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C:\Users\Lakshmi Narayanan\Downloads\"/>
    </mc:Choice>
  </mc:AlternateContent>
  <xr:revisionPtr revIDLastSave="0" documentId="13_ncr:1_{7A65F642-D9BB-46D0-8113-F5FF7D4D5B34}" xr6:coauthVersionLast="47" xr6:coauthVersionMax="47" xr10:uidLastSave="{00000000-0000-0000-0000-000000000000}"/>
  <bookViews>
    <workbookView xWindow="-108" yWindow="-108" windowWidth="23256" windowHeight="12456" tabRatio="500" xr2:uid="{00000000-000D-0000-FFFF-FFFF00000000}"/>
  </bookViews>
  <sheets>
    <sheet name="Tamil" sheetId="1" r:id="rId1"/>
    <sheet name="Rajasthani" sheetId="2" r:id="rId2"/>
    <sheet name="Kerala Recipes" sheetId="3" r:id="rId3"/>
    <sheet name="Udupi" sheetId="4" r:id="rId4"/>
    <sheet name="Gujarati Recipes﻿" sheetId="5" r:id="rId5"/>
    <sheet name="Kongunadu" sheetId="6" r:id="rId6"/>
    <sheet name="Continental" sheetId="7" r:id="rId7"/>
    <sheet name="Chettinad" sheetId="8" r:id="rId8"/>
    <sheet name="Karnataka" sheetId="9" r:id="rId9"/>
    <sheet name="Andhra" sheetId="10" r:id="rId10"/>
    <sheet name="North Indian" sheetId="11" r:id="rId11"/>
  </sheets>
  <definedNames>
    <definedName name="_xlnm._FilterDatabase" localSheetId="0" hidden="1">Tamil!$A$1:$O$6872</definedName>
  </definedNames>
  <calcPr calcId="191029" iterateDelta="1E-4"/>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I939" i="11" l="1"/>
  <c r="G939" i="11"/>
  <c r="B939" i="11"/>
  <c r="I938" i="11"/>
  <c r="G938" i="11"/>
  <c r="B938" i="11"/>
  <c r="I937" i="11"/>
  <c r="G937" i="11"/>
  <c r="B937" i="11"/>
  <c r="I936" i="11"/>
  <c r="G936" i="11"/>
  <c r="B936" i="11"/>
  <c r="I935" i="11"/>
  <c r="G935" i="11"/>
  <c r="B935" i="11"/>
  <c r="I934" i="11"/>
  <c r="G934" i="11"/>
  <c r="B934" i="11"/>
  <c r="I933" i="11"/>
  <c r="G933" i="11"/>
  <c r="B933" i="11"/>
  <c r="I932" i="11"/>
  <c r="G932" i="11"/>
  <c r="B932" i="11"/>
  <c r="I931" i="11"/>
  <c r="G931" i="11"/>
  <c r="B931" i="11"/>
  <c r="I930" i="11"/>
  <c r="G930" i="11"/>
  <c r="B930" i="11"/>
  <c r="I929" i="11"/>
  <c r="G929" i="11"/>
  <c r="B929" i="11"/>
  <c r="I928" i="11"/>
  <c r="G928" i="11"/>
  <c r="B928" i="11"/>
  <c r="I927" i="11"/>
  <c r="G927" i="11"/>
  <c r="B927" i="11"/>
  <c r="I926" i="11"/>
  <c r="G926" i="11"/>
  <c r="B926" i="11"/>
  <c r="I925" i="11"/>
  <c r="G925" i="11"/>
  <c r="B925" i="11"/>
  <c r="I924" i="11"/>
  <c r="G924" i="11"/>
  <c r="B924" i="11"/>
  <c r="I923" i="11"/>
  <c r="G923" i="11"/>
  <c r="B923" i="11"/>
  <c r="I922" i="11"/>
  <c r="G922" i="11"/>
  <c r="B922" i="11"/>
  <c r="I921" i="11"/>
  <c r="G921" i="11"/>
  <c r="B921" i="11"/>
  <c r="I920" i="11"/>
  <c r="G920" i="11"/>
  <c r="B920" i="11"/>
  <c r="I919" i="11"/>
  <c r="G919" i="11"/>
  <c r="B919" i="11"/>
  <c r="I918" i="11"/>
  <c r="G918" i="11"/>
  <c r="B918" i="11"/>
  <c r="I917" i="11"/>
  <c r="G917" i="11"/>
  <c r="B917" i="11"/>
  <c r="I916" i="11"/>
  <c r="G916" i="11"/>
  <c r="B916" i="11"/>
  <c r="I915" i="11"/>
  <c r="G915" i="11"/>
  <c r="B915" i="11"/>
  <c r="I914" i="11"/>
  <c r="G914" i="11"/>
  <c r="B914" i="11"/>
  <c r="I913" i="11"/>
  <c r="G913" i="11"/>
  <c r="B913" i="11"/>
  <c r="I912" i="11"/>
  <c r="G912" i="11"/>
  <c r="B912" i="11"/>
  <c r="I911" i="11"/>
  <c r="G911" i="11"/>
  <c r="B911" i="11"/>
  <c r="I910" i="11"/>
  <c r="G910" i="11"/>
  <c r="B910" i="11"/>
  <c r="I909" i="11"/>
  <c r="G909" i="11"/>
  <c r="B909" i="11"/>
  <c r="I908" i="11"/>
  <c r="G908" i="11"/>
  <c r="B908" i="11"/>
  <c r="I907" i="11"/>
  <c r="G907" i="11"/>
  <c r="B907" i="11"/>
  <c r="I906" i="11"/>
  <c r="G906" i="11"/>
  <c r="B906" i="11"/>
  <c r="I905" i="11"/>
  <c r="G905" i="11"/>
  <c r="B905" i="11"/>
  <c r="I904" i="11"/>
  <c r="G904" i="11"/>
  <c r="B904" i="11"/>
  <c r="I903" i="11"/>
  <c r="G903" i="11"/>
  <c r="B903" i="11"/>
  <c r="I902" i="11"/>
  <c r="G902" i="11"/>
  <c r="B902" i="11"/>
  <c r="I901" i="11"/>
  <c r="G901" i="11"/>
  <c r="B901" i="11"/>
  <c r="I900" i="11"/>
  <c r="G900" i="11"/>
  <c r="B900" i="11"/>
  <c r="I899" i="11"/>
  <c r="G899" i="11"/>
  <c r="B899" i="11"/>
  <c r="I898" i="11"/>
  <c r="G898" i="11"/>
  <c r="B898" i="11"/>
  <c r="I897" i="11"/>
  <c r="G897" i="11"/>
  <c r="B897" i="11"/>
  <c r="I896" i="11"/>
  <c r="G896" i="11"/>
  <c r="B896" i="11"/>
  <c r="I895" i="11"/>
  <c r="G895" i="11"/>
  <c r="B895" i="11"/>
  <c r="I894" i="11"/>
  <c r="G894" i="11"/>
  <c r="B894" i="11"/>
  <c r="I893" i="11"/>
  <c r="G893" i="11"/>
  <c r="B893" i="11"/>
  <c r="I892" i="11"/>
  <c r="G892" i="11"/>
  <c r="B892" i="11"/>
  <c r="I891" i="11"/>
  <c r="G891" i="11"/>
  <c r="B891" i="11"/>
  <c r="I890" i="11"/>
  <c r="G890" i="11"/>
  <c r="B890" i="11"/>
  <c r="I889" i="11"/>
  <c r="G889" i="11"/>
  <c r="B889" i="11"/>
  <c r="I888" i="11"/>
  <c r="G888" i="11"/>
  <c r="B888" i="11"/>
  <c r="I887" i="11"/>
  <c r="G887" i="11"/>
  <c r="B887" i="11"/>
  <c r="I886" i="11"/>
  <c r="G886" i="11"/>
  <c r="B886" i="11"/>
  <c r="I885" i="11"/>
  <c r="G885" i="11"/>
  <c r="B885" i="11"/>
  <c r="I884" i="11"/>
  <c r="G884" i="11"/>
  <c r="B884" i="11"/>
  <c r="I883" i="11"/>
  <c r="G883" i="11"/>
  <c r="B883" i="11"/>
  <c r="I882" i="11"/>
  <c r="G882" i="11"/>
  <c r="B882" i="11"/>
  <c r="I881" i="11"/>
  <c r="G881" i="11"/>
  <c r="B881" i="11"/>
  <c r="I880" i="11"/>
  <c r="G880" i="11"/>
  <c r="B880" i="11"/>
  <c r="I879" i="11"/>
  <c r="G879" i="11"/>
  <c r="B879" i="11"/>
  <c r="I878" i="11"/>
  <c r="G878" i="11"/>
  <c r="B878" i="11"/>
  <c r="I877" i="11"/>
  <c r="G877" i="11"/>
  <c r="B877" i="11"/>
  <c r="I876" i="11"/>
  <c r="G876" i="11"/>
  <c r="B876" i="11"/>
  <c r="I875" i="11"/>
  <c r="G875" i="11"/>
  <c r="B875" i="11"/>
  <c r="I874" i="11"/>
  <c r="G874" i="11"/>
  <c r="B874" i="11"/>
  <c r="I873" i="11"/>
  <c r="G873" i="11"/>
  <c r="B873" i="11"/>
  <c r="I872" i="11"/>
  <c r="G872" i="11"/>
  <c r="B872" i="11"/>
  <c r="I871" i="11"/>
  <c r="G871" i="11"/>
  <c r="B871" i="11"/>
  <c r="I870" i="11"/>
  <c r="G870" i="11"/>
  <c r="B870" i="11"/>
  <c r="I869" i="11"/>
  <c r="G869" i="11"/>
  <c r="B869" i="11"/>
  <c r="I868" i="11"/>
  <c r="G868" i="11"/>
  <c r="B868" i="11"/>
  <c r="I867" i="11"/>
  <c r="G867" i="11"/>
  <c r="B867" i="11"/>
  <c r="I866" i="11"/>
  <c r="G866" i="11"/>
  <c r="B866" i="11"/>
  <c r="I865" i="11"/>
  <c r="G865" i="11"/>
  <c r="B865" i="11"/>
  <c r="I864" i="11"/>
  <c r="G864" i="11"/>
  <c r="B864" i="11"/>
  <c r="I863" i="11"/>
  <c r="G863" i="11"/>
  <c r="B863" i="11"/>
  <c r="I862" i="11"/>
  <c r="G862" i="11"/>
  <c r="B862" i="11"/>
  <c r="I861" i="11"/>
  <c r="G861" i="11"/>
  <c r="B861" i="11"/>
  <c r="I860" i="11"/>
  <c r="G860" i="11"/>
  <c r="B860" i="11"/>
  <c r="I859" i="11"/>
  <c r="G859" i="11"/>
  <c r="B859" i="11"/>
  <c r="I858" i="11"/>
  <c r="G858" i="11"/>
  <c r="B858" i="11"/>
  <c r="I857" i="11"/>
  <c r="G857" i="11"/>
  <c r="B857" i="11"/>
  <c r="I856" i="11"/>
  <c r="G856" i="11"/>
  <c r="B856" i="11"/>
  <c r="I855" i="11"/>
  <c r="G855" i="11"/>
  <c r="B855" i="11"/>
  <c r="I854" i="11"/>
  <c r="G854" i="11"/>
  <c r="B854" i="11"/>
  <c r="I853" i="11"/>
  <c r="G853" i="11"/>
  <c r="B853" i="11"/>
  <c r="I852" i="11"/>
  <c r="G852" i="11"/>
  <c r="B852" i="11"/>
  <c r="I851" i="11"/>
  <c r="G851" i="11"/>
  <c r="B851" i="11"/>
  <c r="I850" i="11"/>
  <c r="G850" i="11"/>
  <c r="B850" i="11"/>
  <c r="I849" i="11"/>
  <c r="G849" i="11"/>
  <c r="B849" i="11"/>
  <c r="I848" i="11"/>
  <c r="G848" i="11"/>
  <c r="B848" i="11"/>
  <c r="I847" i="11"/>
  <c r="G847" i="11"/>
  <c r="B847" i="11"/>
  <c r="I846" i="11"/>
  <c r="G846" i="11"/>
  <c r="B846" i="11"/>
  <c r="I845" i="11"/>
  <c r="G845" i="11"/>
  <c r="B845" i="11"/>
  <c r="I844" i="11"/>
  <c r="G844" i="11"/>
  <c r="B844" i="11"/>
  <c r="I843" i="11"/>
  <c r="G843" i="11"/>
  <c r="B843" i="11"/>
  <c r="I842" i="11"/>
  <c r="G842" i="11"/>
  <c r="B842" i="11"/>
  <c r="I841" i="11"/>
  <c r="G841" i="11"/>
  <c r="B841" i="11"/>
  <c r="I840" i="11"/>
  <c r="G840" i="11"/>
  <c r="B840" i="11"/>
  <c r="I839" i="11"/>
  <c r="G839" i="11"/>
  <c r="B839" i="11"/>
  <c r="I838" i="11"/>
  <c r="G838" i="11"/>
  <c r="B838" i="11"/>
  <c r="I837" i="11"/>
  <c r="G837" i="11"/>
  <c r="B837" i="11"/>
  <c r="I836" i="11"/>
  <c r="G836" i="11"/>
  <c r="B836" i="11"/>
  <c r="I835" i="11"/>
  <c r="G835" i="11"/>
  <c r="B835" i="11"/>
  <c r="I834" i="11"/>
  <c r="G834" i="11"/>
  <c r="B834" i="11"/>
  <c r="I833" i="11"/>
  <c r="G833" i="11"/>
  <c r="B833" i="11"/>
  <c r="I832" i="11"/>
  <c r="G832" i="11"/>
  <c r="B832" i="11"/>
  <c r="I831" i="11"/>
  <c r="G831" i="11"/>
  <c r="B831" i="11"/>
  <c r="I830" i="11"/>
  <c r="G830" i="11"/>
  <c r="B830" i="11"/>
  <c r="I829" i="11"/>
  <c r="G829" i="11"/>
  <c r="B829" i="11"/>
  <c r="I828" i="11"/>
  <c r="G828" i="11"/>
  <c r="B828" i="11"/>
  <c r="I827" i="11"/>
  <c r="G827" i="11"/>
  <c r="B827" i="11"/>
  <c r="I826" i="11"/>
  <c r="G826" i="11"/>
  <c r="B826" i="11"/>
  <c r="I825" i="11"/>
  <c r="G825" i="11"/>
  <c r="B825" i="11"/>
  <c r="I824" i="11"/>
  <c r="G824" i="11"/>
  <c r="B824" i="11"/>
  <c r="I823" i="11"/>
  <c r="G823" i="11"/>
  <c r="B823" i="11"/>
  <c r="I822" i="11"/>
  <c r="G822" i="11"/>
  <c r="B822" i="11"/>
  <c r="I821" i="11"/>
  <c r="G821" i="11"/>
  <c r="B821" i="11"/>
  <c r="I820" i="11"/>
  <c r="G820" i="11"/>
  <c r="B820" i="11"/>
  <c r="I819" i="11"/>
  <c r="G819" i="11"/>
  <c r="B819" i="11"/>
  <c r="I818" i="11"/>
  <c r="G818" i="11"/>
  <c r="B818" i="11"/>
  <c r="I817" i="11"/>
  <c r="G817" i="11"/>
  <c r="B817" i="11"/>
  <c r="I816" i="11"/>
  <c r="G816" i="11"/>
  <c r="B816" i="11"/>
  <c r="I815" i="11"/>
  <c r="G815" i="11"/>
  <c r="B815" i="11"/>
  <c r="I814" i="11"/>
  <c r="G814" i="11"/>
  <c r="B814" i="11"/>
  <c r="I813" i="11"/>
  <c r="G813" i="11"/>
  <c r="B813" i="11"/>
  <c r="I812" i="11"/>
  <c r="G812" i="11"/>
  <c r="B812" i="11"/>
  <c r="I811" i="11"/>
  <c r="G811" i="11"/>
  <c r="B811" i="11"/>
  <c r="I810" i="11"/>
  <c r="G810" i="11"/>
  <c r="B810" i="11"/>
  <c r="I809" i="11"/>
  <c r="G809" i="11"/>
  <c r="B809" i="11"/>
  <c r="I808" i="11"/>
  <c r="G808" i="11"/>
  <c r="B808" i="11"/>
  <c r="I807" i="11"/>
  <c r="G807" i="11"/>
  <c r="B807" i="11"/>
  <c r="I806" i="11"/>
  <c r="G806" i="11"/>
  <c r="B806" i="11"/>
  <c r="I805" i="11"/>
  <c r="G805" i="11"/>
  <c r="B805" i="11"/>
  <c r="I804" i="11"/>
  <c r="G804" i="11"/>
  <c r="B804" i="11"/>
  <c r="I803" i="11"/>
  <c r="G803" i="11"/>
  <c r="B803" i="11"/>
  <c r="I802" i="11"/>
  <c r="G802" i="11"/>
  <c r="B802" i="11"/>
  <c r="I801" i="11"/>
  <c r="G801" i="11"/>
  <c r="B801" i="11"/>
  <c r="I800" i="11"/>
  <c r="G800" i="11"/>
  <c r="B800" i="11"/>
  <c r="I799" i="11"/>
  <c r="G799" i="11"/>
  <c r="B799" i="11"/>
  <c r="I798" i="11"/>
  <c r="G798" i="11"/>
  <c r="B798" i="11"/>
  <c r="I797" i="11"/>
  <c r="G797" i="11"/>
  <c r="B797" i="11"/>
  <c r="I796" i="11"/>
  <c r="G796" i="11"/>
  <c r="B796" i="11"/>
  <c r="I795" i="11"/>
  <c r="G795" i="11"/>
  <c r="B795" i="11"/>
  <c r="I794" i="11"/>
  <c r="G794" i="11"/>
  <c r="B794" i="11"/>
  <c r="I793" i="11"/>
  <c r="G793" i="11"/>
  <c r="B793" i="11"/>
  <c r="I792" i="11"/>
  <c r="G792" i="11"/>
  <c r="B792" i="11"/>
  <c r="I791" i="11"/>
  <c r="G791" i="11"/>
  <c r="B791" i="11"/>
  <c r="I790" i="11"/>
  <c r="G790" i="11"/>
  <c r="B790" i="11"/>
  <c r="I789" i="11"/>
  <c r="G789" i="11"/>
  <c r="B789" i="11"/>
  <c r="I788" i="11"/>
  <c r="G788" i="11"/>
  <c r="B788" i="11"/>
  <c r="I787" i="11"/>
  <c r="G787" i="11"/>
  <c r="B787" i="11"/>
  <c r="I786" i="11"/>
  <c r="G786" i="11"/>
  <c r="B786" i="11"/>
  <c r="I785" i="11"/>
  <c r="G785" i="11"/>
  <c r="B785" i="11"/>
  <c r="I784" i="11"/>
  <c r="G784" i="11"/>
  <c r="B784" i="11"/>
  <c r="I783" i="11"/>
  <c r="G783" i="11"/>
  <c r="B783" i="11"/>
  <c r="I782" i="11"/>
  <c r="G782" i="11"/>
  <c r="B782" i="11"/>
  <c r="I781" i="11"/>
  <c r="G781" i="11"/>
  <c r="B781" i="11"/>
  <c r="I780" i="11"/>
  <c r="G780" i="11"/>
  <c r="B780" i="11"/>
  <c r="I779" i="11"/>
  <c r="G779" i="11"/>
  <c r="B779" i="11"/>
  <c r="I778" i="11"/>
  <c r="G778" i="11"/>
  <c r="B778" i="11"/>
  <c r="I777" i="11"/>
  <c r="G777" i="11"/>
  <c r="B777" i="11"/>
  <c r="I776" i="11"/>
  <c r="G776" i="11"/>
  <c r="B776" i="11"/>
  <c r="I775" i="11"/>
  <c r="G775" i="11"/>
  <c r="B775" i="11"/>
  <c r="I774" i="11"/>
  <c r="G774" i="11"/>
  <c r="B774" i="11"/>
  <c r="I773" i="11"/>
  <c r="G773" i="11"/>
  <c r="B773" i="11"/>
  <c r="I772" i="11"/>
  <c r="G772" i="11"/>
  <c r="B772" i="11"/>
  <c r="I771" i="11"/>
  <c r="G771" i="11"/>
  <c r="B771" i="11"/>
  <c r="I770" i="11"/>
  <c r="G770" i="11"/>
  <c r="B770" i="11"/>
  <c r="I769" i="11"/>
  <c r="G769" i="11"/>
  <c r="B769" i="11"/>
  <c r="I768" i="11"/>
  <c r="G768" i="11"/>
  <c r="B768" i="11"/>
  <c r="I767" i="11"/>
  <c r="G767" i="11"/>
  <c r="B767" i="11"/>
  <c r="I766" i="11"/>
  <c r="G766" i="11"/>
  <c r="B766" i="11"/>
  <c r="I765" i="11"/>
  <c r="G765" i="11"/>
  <c r="B765" i="11"/>
  <c r="I764" i="11"/>
  <c r="G764" i="11"/>
  <c r="B764" i="11"/>
  <c r="I763" i="11"/>
  <c r="G763" i="11"/>
  <c r="B763" i="11"/>
  <c r="I762" i="11"/>
  <c r="G762" i="11"/>
  <c r="B762" i="11"/>
  <c r="I761" i="11"/>
  <c r="G761" i="11"/>
  <c r="B761" i="11"/>
  <c r="I760" i="11"/>
  <c r="G760" i="11"/>
  <c r="B760" i="11"/>
  <c r="I759" i="11"/>
  <c r="G759" i="11"/>
  <c r="B759" i="11"/>
  <c r="I758" i="11"/>
  <c r="G758" i="11"/>
  <c r="B758" i="11"/>
  <c r="I757" i="11"/>
  <c r="G757" i="11"/>
  <c r="B757" i="11"/>
  <c r="I756" i="11"/>
  <c r="G756" i="11"/>
  <c r="B756" i="11"/>
  <c r="I755" i="11"/>
  <c r="G755" i="11"/>
  <c r="B755" i="11"/>
  <c r="I754" i="11"/>
  <c r="G754" i="11"/>
  <c r="B754" i="11"/>
  <c r="I753" i="11"/>
  <c r="G753" i="11"/>
  <c r="B753" i="11"/>
  <c r="I752" i="11"/>
  <c r="G752" i="11"/>
  <c r="B752" i="11"/>
  <c r="I751" i="11"/>
  <c r="G751" i="11"/>
  <c r="B751" i="11"/>
  <c r="I750" i="11"/>
  <c r="G750" i="11"/>
  <c r="B750" i="11"/>
  <c r="I749" i="11"/>
  <c r="G749" i="11"/>
  <c r="B749" i="11"/>
  <c r="I748" i="11"/>
  <c r="G748" i="11"/>
  <c r="B748" i="11"/>
  <c r="I747" i="11"/>
  <c r="G747" i="11"/>
  <c r="B747" i="11"/>
  <c r="I746" i="11"/>
  <c r="G746" i="11"/>
  <c r="B746" i="11"/>
  <c r="I745" i="11"/>
  <c r="G745" i="11"/>
  <c r="B745" i="11"/>
  <c r="I744" i="11"/>
  <c r="G744" i="11"/>
  <c r="B744" i="11"/>
  <c r="I743" i="11"/>
  <c r="G743" i="11"/>
  <c r="B743" i="11"/>
  <c r="I742" i="11"/>
  <c r="G742" i="11"/>
  <c r="B742" i="11"/>
  <c r="I741" i="11"/>
  <c r="G741" i="11"/>
  <c r="B741" i="11"/>
  <c r="I740" i="11"/>
  <c r="G740" i="11"/>
  <c r="B740" i="11"/>
  <c r="I739" i="11"/>
  <c r="G739" i="11"/>
  <c r="B739" i="11"/>
  <c r="I738" i="11"/>
  <c r="G738" i="11"/>
  <c r="B738" i="11"/>
  <c r="I737" i="11"/>
  <c r="G737" i="11"/>
  <c r="B737" i="11"/>
  <c r="I736" i="11"/>
  <c r="G736" i="11"/>
  <c r="B736" i="11"/>
  <c r="I735" i="11"/>
  <c r="G735" i="11"/>
  <c r="B735" i="11"/>
  <c r="I734" i="11"/>
  <c r="G734" i="11"/>
  <c r="B734" i="11"/>
  <c r="I733" i="11"/>
  <c r="G733" i="11"/>
  <c r="B733" i="11"/>
  <c r="I732" i="11"/>
  <c r="G732" i="11"/>
  <c r="B732" i="11"/>
  <c r="I731" i="11"/>
  <c r="G731" i="11"/>
  <c r="B731" i="11"/>
  <c r="I730" i="11"/>
  <c r="G730" i="11"/>
  <c r="B730" i="11"/>
  <c r="I729" i="11"/>
  <c r="G729" i="11"/>
  <c r="B729" i="11"/>
  <c r="I728" i="11"/>
  <c r="G728" i="11"/>
  <c r="B728" i="11"/>
  <c r="I727" i="11"/>
  <c r="G727" i="11"/>
  <c r="B727" i="11"/>
  <c r="I726" i="11"/>
  <c r="G726" i="11"/>
  <c r="B726" i="11"/>
  <c r="I725" i="11"/>
  <c r="G725" i="11"/>
  <c r="B725" i="11"/>
  <c r="I724" i="11"/>
  <c r="G724" i="11"/>
  <c r="B724" i="11"/>
  <c r="I723" i="11"/>
  <c r="G723" i="11"/>
  <c r="B723" i="11"/>
  <c r="I722" i="11"/>
  <c r="G722" i="11"/>
  <c r="B722" i="11"/>
  <c r="I721" i="11"/>
  <c r="G721" i="11"/>
  <c r="B721" i="11"/>
  <c r="I720" i="11"/>
  <c r="G720" i="11"/>
  <c r="B720" i="11"/>
  <c r="I719" i="11"/>
  <c r="G719" i="11"/>
  <c r="B719" i="11"/>
  <c r="I718" i="11"/>
  <c r="G718" i="11"/>
  <c r="B718" i="11"/>
  <c r="I717" i="11"/>
  <c r="G717" i="11"/>
  <c r="B717" i="11"/>
  <c r="I716" i="11"/>
  <c r="G716" i="11"/>
  <c r="B716" i="11"/>
  <c r="I715" i="11"/>
  <c r="G715" i="11"/>
  <c r="B715" i="11"/>
  <c r="I714" i="11"/>
  <c r="G714" i="11"/>
  <c r="B714" i="11"/>
  <c r="I713" i="11"/>
  <c r="G713" i="11"/>
  <c r="B713" i="11"/>
  <c r="I712" i="11"/>
  <c r="G712" i="11"/>
  <c r="B712" i="11"/>
  <c r="I711" i="11"/>
  <c r="G711" i="11"/>
  <c r="B711" i="11"/>
  <c r="I710" i="11"/>
  <c r="G710" i="11"/>
  <c r="B710" i="11"/>
  <c r="I709" i="11"/>
  <c r="G709" i="11"/>
  <c r="B709" i="11"/>
  <c r="I708" i="11"/>
  <c r="G708" i="11"/>
  <c r="B708" i="11"/>
  <c r="I707" i="11"/>
  <c r="G707" i="11"/>
  <c r="B707" i="11"/>
  <c r="I706" i="11"/>
  <c r="G706" i="11"/>
  <c r="B706" i="11"/>
  <c r="I705" i="11"/>
  <c r="G705" i="11"/>
  <c r="B705" i="11"/>
  <c r="I704" i="11"/>
  <c r="G704" i="11"/>
  <c r="B704" i="11"/>
  <c r="I703" i="11"/>
  <c r="G703" i="11"/>
  <c r="B703" i="11"/>
  <c r="I702" i="11"/>
  <c r="G702" i="11"/>
  <c r="B702" i="11"/>
  <c r="I701" i="11"/>
  <c r="G701" i="11"/>
  <c r="B701" i="11"/>
  <c r="I700" i="11"/>
  <c r="G700" i="11"/>
  <c r="B700" i="11"/>
  <c r="I699" i="11"/>
  <c r="G699" i="11"/>
  <c r="B699" i="11"/>
  <c r="I698" i="11"/>
  <c r="G698" i="11"/>
  <c r="B698" i="11"/>
  <c r="I697" i="11"/>
  <c r="G697" i="11"/>
  <c r="B697" i="11"/>
  <c r="I696" i="11"/>
  <c r="G696" i="11"/>
  <c r="B696" i="11"/>
  <c r="I695" i="11"/>
  <c r="G695" i="11"/>
  <c r="B695" i="11"/>
  <c r="I694" i="11"/>
  <c r="G694" i="11"/>
  <c r="B694" i="11"/>
  <c r="I693" i="11"/>
  <c r="G693" i="11"/>
  <c r="B693" i="11"/>
  <c r="I692" i="11"/>
  <c r="G692" i="11"/>
  <c r="B692" i="11"/>
  <c r="I691" i="11"/>
  <c r="G691" i="11"/>
  <c r="B691" i="11"/>
  <c r="I690" i="11"/>
  <c r="G690" i="11"/>
  <c r="B690" i="11"/>
  <c r="I689" i="11"/>
  <c r="G689" i="11"/>
  <c r="B689" i="11"/>
  <c r="I688" i="11"/>
  <c r="G688" i="11"/>
  <c r="B688" i="11"/>
  <c r="I687" i="11"/>
  <c r="G687" i="11"/>
  <c r="B687" i="11"/>
  <c r="I686" i="11"/>
  <c r="G686" i="11"/>
  <c r="B686" i="11"/>
  <c r="I685" i="11"/>
  <c r="G685" i="11"/>
  <c r="B685" i="11"/>
  <c r="I684" i="11"/>
  <c r="G684" i="11"/>
  <c r="B684" i="11"/>
  <c r="I683" i="11"/>
  <c r="G683" i="11"/>
  <c r="B683" i="11"/>
  <c r="I682" i="11"/>
  <c r="G682" i="11"/>
  <c r="B682" i="11"/>
  <c r="I681" i="11"/>
  <c r="G681" i="11"/>
  <c r="B681" i="11"/>
  <c r="I680" i="11"/>
  <c r="G680" i="11"/>
  <c r="B680" i="11"/>
  <c r="I679" i="11"/>
  <c r="G679" i="11"/>
  <c r="B679" i="11"/>
  <c r="I678" i="11"/>
  <c r="G678" i="11"/>
  <c r="B678" i="11"/>
  <c r="I677" i="11"/>
  <c r="G677" i="11"/>
  <c r="B677" i="11"/>
  <c r="I676" i="11"/>
  <c r="G676" i="11"/>
  <c r="B676" i="11"/>
  <c r="I675" i="11"/>
  <c r="G675" i="11"/>
  <c r="B675" i="11"/>
  <c r="I674" i="11"/>
  <c r="G674" i="11"/>
  <c r="B674" i="11"/>
  <c r="I673" i="11"/>
  <c r="G673" i="11"/>
  <c r="B673" i="11"/>
  <c r="I672" i="11"/>
  <c r="G672" i="11"/>
  <c r="B672" i="11"/>
  <c r="I671" i="11"/>
  <c r="G671" i="11"/>
  <c r="B671" i="11"/>
  <c r="I670" i="11"/>
  <c r="G670" i="11"/>
  <c r="B670" i="11"/>
  <c r="I669" i="11"/>
  <c r="G669" i="11"/>
  <c r="B669" i="11"/>
  <c r="I668" i="11"/>
  <c r="G668" i="11"/>
  <c r="B668" i="11"/>
  <c r="I667" i="11"/>
  <c r="G667" i="11"/>
  <c r="B667" i="11"/>
  <c r="I666" i="11"/>
  <c r="G666" i="11"/>
  <c r="B666" i="11"/>
  <c r="I665" i="11"/>
  <c r="G665" i="11"/>
  <c r="B665" i="11"/>
  <c r="I664" i="11"/>
  <c r="G664" i="11"/>
  <c r="B664" i="11"/>
  <c r="I663" i="11"/>
  <c r="G663" i="11"/>
  <c r="B663" i="11"/>
  <c r="I662" i="11"/>
  <c r="G662" i="11"/>
  <c r="B662" i="11"/>
  <c r="I661" i="11"/>
  <c r="G661" i="11"/>
  <c r="B661" i="11"/>
  <c r="I660" i="11"/>
  <c r="G660" i="11"/>
  <c r="B660" i="11"/>
  <c r="I659" i="11"/>
  <c r="G659" i="11"/>
  <c r="B659" i="11"/>
  <c r="I658" i="11"/>
  <c r="G658" i="11"/>
  <c r="B658" i="11"/>
  <c r="I657" i="11"/>
  <c r="G657" i="11"/>
  <c r="B657" i="11"/>
  <c r="I656" i="11"/>
  <c r="G656" i="11"/>
  <c r="B656" i="11"/>
  <c r="I655" i="11"/>
  <c r="G655" i="11"/>
  <c r="B655" i="11"/>
  <c r="I654" i="11"/>
  <c r="G654" i="11"/>
  <c r="B654" i="11"/>
  <c r="I653" i="11"/>
  <c r="G653" i="11"/>
  <c r="B653" i="11"/>
  <c r="I652" i="11"/>
  <c r="G652" i="11"/>
  <c r="B652" i="11"/>
  <c r="I651" i="11"/>
  <c r="G651" i="11"/>
  <c r="B651" i="11"/>
  <c r="I650" i="11"/>
  <c r="G650" i="11"/>
  <c r="B650" i="11"/>
  <c r="I649" i="11"/>
  <c r="G649" i="11"/>
  <c r="B649" i="11"/>
  <c r="I648" i="11"/>
  <c r="G648" i="11"/>
  <c r="B648" i="11"/>
  <c r="I647" i="11"/>
  <c r="G647" i="11"/>
  <c r="B647" i="11"/>
  <c r="I646" i="11"/>
  <c r="G646" i="11"/>
  <c r="B646" i="11"/>
  <c r="I645" i="11"/>
  <c r="G645" i="11"/>
  <c r="B645" i="11"/>
  <c r="I644" i="11"/>
  <c r="G644" i="11"/>
  <c r="B644" i="11"/>
  <c r="I643" i="11"/>
  <c r="G643" i="11"/>
  <c r="B643" i="11"/>
  <c r="I642" i="11"/>
  <c r="G642" i="11"/>
  <c r="B642" i="11"/>
  <c r="I641" i="11"/>
  <c r="G641" i="11"/>
  <c r="B641" i="11"/>
  <c r="I640" i="11"/>
  <c r="G640" i="11"/>
  <c r="B640" i="11"/>
  <c r="I639" i="11"/>
  <c r="G639" i="11"/>
  <c r="B639" i="11"/>
  <c r="I638" i="11"/>
  <c r="G638" i="11"/>
  <c r="B638" i="11"/>
  <c r="I637" i="11"/>
  <c r="G637" i="11"/>
  <c r="B637" i="11"/>
  <c r="I636" i="11"/>
  <c r="G636" i="11"/>
  <c r="B636" i="11"/>
  <c r="I635" i="11"/>
  <c r="G635" i="11"/>
  <c r="B635" i="11"/>
  <c r="I634" i="11"/>
  <c r="G634" i="11"/>
  <c r="B634" i="11"/>
  <c r="I633" i="11"/>
  <c r="G633" i="11"/>
  <c r="B633" i="11"/>
  <c r="I632" i="11"/>
  <c r="G632" i="11"/>
  <c r="B632" i="11"/>
  <c r="I631" i="11"/>
  <c r="G631" i="11"/>
  <c r="B631" i="11"/>
  <c r="I630" i="11"/>
  <c r="G630" i="11"/>
  <c r="B630" i="11"/>
  <c r="I629" i="11"/>
  <c r="G629" i="11"/>
  <c r="B629" i="11"/>
  <c r="I628" i="11"/>
  <c r="G628" i="11"/>
  <c r="B628" i="11"/>
  <c r="I627" i="11"/>
  <c r="G627" i="11"/>
  <c r="B627" i="11"/>
  <c r="I626" i="11"/>
  <c r="G626" i="11"/>
  <c r="B626" i="11"/>
  <c r="I625" i="11"/>
  <c r="G625" i="11"/>
  <c r="B625" i="11"/>
  <c r="I624" i="11"/>
  <c r="G624" i="11"/>
  <c r="B624" i="11"/>
  <c r="I623" i="11"/>
  <c r="G623" i="11"/>
  <c r="B623" i="11"/>
  <c r="I622" i="11"/>
  <c r="G622" i="11"/>
  <c r="B622" i="11"/>
  <c r="I621" i="11"/>
  <c r="G621" i="11"/>
  <c r="B621" i="11"/>
  <c r="I620" i="11"/>
  <c r="G620" i="11"/>
  <c r="B620" i="11"/>
  <c r="I619" i="11"/>
  <c r="G619" i="11"/>
  <c r="B619" i="11"/>
  <c r="I618" i="11"/>
  <c r="G618" i="11"/>
  <c r="B618" i="11"/>
  <c r="I617" i="11"/>
  <c r="G617" i="11"/>
  <c r="B617" i="11"/>
  <c r="I616" i="11"/>
  <c r="G616" i="11"/>
  <c r="B616" i="11"/>
  <c r="I615" i="11"/>
  <c r="G615" i="11"/>
  <c r="B615" i="11"/>
  <c r="I614" i="11"/>
  <c r="G614" i="11"/>
  <c r="B614" i="11"/>
  <c r="I613" i="11"/>
  <c r="G613" i="11"/>
  <c r="B613" i="11"/>
  <c r="I612" i="11"/>
  <c r="G612" i="11"/>
  <c r="B612" i="11"/>
  <c r="I611" i="11"/>
  <c r="G611" i="11"/>
  <c r="B611" i="11"/>
  <c r="I610" i="11"/>
  <c r="G610" i="11"/>
  <c r="B610" i="11"/>
  <c r="I609" i="11"/>
  <c r="G609" i="11"/>
  <c r="B609" i="11"/>
  <c r="I608" i="11"/>
  <c r="G608" i="11"/>
  <c r="B608" i="11"/>
  <c r="I607" i="11"/>
  <c r="G607" i="11"/>
  <c r="B607" i="11"/>
  <c r="I606" i="11"/>
  <c r="G606" i="11"/>
  <c r="B606" i="11"/>
  <c r="I605" i="11"/>
  <c r="G605" i="11"/>
  <c r="B605" i="11"/>
  <c r="I604" i="11"/>
  <c r="G604" i="11"/>
  <c r="B604" i="11"/>
  <c r="I603" i="11"/>
  <c r="G603" i="11"/>
  <c r="B603" i="11"/>
  <c r="I602" i="11"/>
  <c r="G602" i="11"/>
  <c r="B602" i="11"/>
  <c r="I601" i="11"/>
  <c r="G601" i="11"/>
  <c r="B601" i="11"/>
  <c r="I600" i="11"/>
  <c r="G600" i="11"/>
  <c r="B600" i="11"/>
  <c r="I599" i="11"/>
  <c r="G599" i="11"/>
  <c r="B599" i="11"/>
  <c r="I598" i="11"/>
  <c r="G598" i="11"/>
  <c r="B598" i="11"/>
  <c r="I597" i="11"/>
  <c r="G597" i="11"/>
  <c r="B597" i="11"/>
  <c r="I596" i="11"/>
  <c r="G596" i="11"/>
  <c r="B596" i="11"/>
  <c r="I595" i="11"/>
  <c r="G595" i="11"/>
  <c r="B595" i="11"/>
  <c r="I594" i="11"/>
  <c r="G594" i="11"/>
  <c r="B594" i="11"/>
  <c r="I593" i="11"/>
  <c r="G593" i="11"/>
  <c r="B593" i="11"/>
  <c r="I592" i="11"/>
  <c r="G592" i="11"/>
  <c r="B592" i="11"/>
  <c r="I591" i="11"/>
  <c r="G591" i="11"/>
  <c r="B591" i="11"/>
  <c r="I590" i="11"/>
  <c r="G590" i="11"/>
  <c r="B590" i="11"/>
  <c r="I589" i="11"/>
  <c r="G589" i="11"/>
  <c r="B589" i="11"/>
  <c r="I588" i="11"/>
  <c r="G588" i="11"/>
  <c r="B588" i="11"/>
  <c r="I587" i="11"/>
  <c r="G587" i="11"/>
  <c r="B587" i="11"/>
  <c r="I586" i="11"/>
  <c r="G586" i="11"/>
  <c r="B586" i="11"/>
  <c r="I585" i="11"/>
  <c r="G585" i="11"/>
  <c r="B585" i="11"/>
  <c r="I584" i="11"/>
  <c r="G584" i="11"/>
  <c r="B584" i="11"/>
  <c r="I583" i="11"/>
  <c r="G583" i="11"/>
  <c r="B583" i="11"/>
  <c r="I582" i="11"/>
  <c r="G582" i="11"/>
  <c r="B582" i="11"/>
  <c r="I581" i="11"/>
  <c r="G581" i="11"/>
  <c r="B581" i="11"/>
  <c r="I580" i="11"/>
  <c r="G580" i="11"/>
  <c r="B580" i="11"/>
  <c r="I579" i="11"/>
  <c r="G579" i="11"/>
  <c r="B579" i="11"/>
  <c r="I578" i="11"/>
  <c r="G578" i="11"/>
  <c r="B578" i="11"/>
  <c r="I577" i="11"/>
  <c r="G577" i="11"/>
  <c r="B577" i="11"/>
  <c r="I576" i="11"/>
  <c r="G576" i="11"/>
  <c r="B576" i="11"/>
  <c r="I575" i="11"/>
  <c r="G575" i="11"/>
  <c r="B575" i="11"/>
  <c r="I574" i="11"/>
  <c r="G574" i="11"/>
  <c r="B574" i="11"/>
  <c r="I573" i="11"/>
  <c r="G573" i="11"/>
  <c r="B573" i="11"/>
  <c r="I572" i="11"/>
  <c r="G572" i="11"/>
  <c r="B572" i="11"/>
  <c r="I571" i="11"/>
  <c r="G571" i="11"/>
  <c r="B571" i="11"/>
  <c r="I570" i="11"/>
  <c r="G570" i="11"/>
  <c r="B570" i="11"/>
  <c r="I569" i="11"/>
  <c r="G569" i="11"/>
  <c r="B569" i="11"/>
  <c r="I568" i="11"/>
  <c r="G568" i="11"/>
  <c r="B568" i="11"/>
  <c r="I567" i="11"/>
  <c r="G567" i="11"/>
  <c r="B567" i="11"/>
  <c r="I566" i="11"/>
  <c r="G566" i="11"/>
  <c r="B566" i="11"/>
  <c r="I565" i="11"/>
  <c r="G565" i="11"/>
  <c r="B565" i="11"/>
  <c r="I564" i="11"/>
  <c r="G564" i="11"/>
  <c r="B564" i="11"/>
  <c r="I563" i="11"/>
  <c r="G563" i="11"/>
  <c r="B563" i="11"/>
  <c r="I562" i="11"/>
  <c r="G562" i="11"/>
  <c r="B562" i="11"/>
  <c r="I561" i="11"/>
  <c r="G561" i="11"/>
  <c r="B561" i="11"/>
  <c r="I560" i="11"/>
  <c r="G560" i="11"/>
  <c r="B560" i="11"/>
  <c r="I559" i="11"/>
  <c r="G559" i="11"/>
  <c r="B559" i="11"/>
  <c r="I558" i="11"/>
  <c r="G558" i="11"/>
  <c r="B558" i="11"/>
  <c r="I557" i="11"/>
  <c r="G557" i="11"/>
  <c r="B557" i="11"/>
  <c r="I556" i="11"/>
  <c r="G556" i="11"/>
  <c r="B556" i="11"/>
  <c r="I555" i="11"/>
  <c r="G555" i="11"/>
  <c r="B555" i="11"/>
  <c r="I554" i="11"/>
  <c r="G554" i="11"/>
  <c r="B554" i="11"/>
  <c r="I553" i="11"/>
  <c r="G553" i="11"/>
  <c r="B553" i="11"/>
  <c r="I552" i="11"/>
  <c r="G552" i="11"/>
  <c r="B552" i="11"/>
  <c r="I551" i="11"/>
  <c r="G551" i="11"/>
  <c r="B551" i="11"/>
  <c r="I550" i="11"/>
  <c r="G550" i="11"/>
  <c r="B550" i="11"/>
  <c r="I549" i="11"/>
  <c r="G549" i="11"/>
  <c r="B549" i="11"/>
  <c r="I548" i="11"/>
  <c r="G548" i="11"/>
  <c r="B548" i="11"/>
  <c r="I547" i="11"/>
  <c r="G547" i="11"/>
  <c r="B547" i="11"/>
  <c r="I546" i="11"/>
  <c r="G546" i="11"/>
  <c r="B546" i="11"/>
  <c r="I545" i="11"/>
  <c r="G545" i="11"/>
  <c r="B545" i="11"/>
  <c r="I544" i="11"/>
  <c r="G544" i="11"/>
  <c r="B544" i="11"/>
  <c r="I543" i="11"/>
  <c r="G543" i="11"/>
  <c r="B543" i="11"/>
  <c r="I542" i="11"/>
  <c r="G542" i="11"/>
  <c r="B542" i="11"/>
  <c r="I541" i="11"/>
  <c r="G541" i="11"/>
  <c r="B541" i="11"/>
  <c r="I540" i="11"/>
  <c r="G540" i="11"/>
  <c r="B540" i="11"/>
  <c r="I539" i="11"/>
  <c r="G539" i="11"/>
  <c r="B539" i="11"/>
  <c r="I538" i="11"/>
  <c r="G538" i="11"/>
  <c r="B538" i="11"/>
  <c r="I537" i="11"/>
  <c r="G537" i="11"/>
  <c r="B537" i="11"/>
  <c r="I536" i="11"/>
  <c r="G536" i="11"/>
  <c r="B536" i="11"/>
  <c r="I535" i="11"/>
  <c r="G535" i="11"/>
  <c r="B535" i="11"/>
  <c r="I534" i="11"/>
  <c r="G534" i="11"/>
  <c r="B534" i="11"/>
  <c r="I533" i="11"/>
  <c r="G533" i="11"/>
  <c r="B533" i="11"/>
  <c r="I532" i="11"/>
  <c r="G532" i="11"/>
  <c r="B532" i="11"/>
  <c r="I531" i="11"/>
  <c r="G531" i="11"/>
  <c r="B531" i="11"/>
  <c r="I530" i="11"/>
  <c r="G530" i="11"/>
  <c r="B530" i="11"/>
  <c r="I529" i="11"/>
  <c r="G529" i="11"/>
  <c r="B529" i="11"/>
  <c r="I528" i="11"/>
  <c r="G528" i="11"/>
  <c r="B528" i="11"/>
  <c r="I527" i="11"/>
  <c r="G527" i="11"/>
  <c r="B527" i="11"/>
  <c r="I526" i="11"/>
  <c r="G526" i="11"/>
  <c r="B526" i="11"/>
  <c r="I525" i="11"/>
  <c r="G525" i="11"/>
  <c r="B525" i="11"/>
  <c r="I524" i="11"/>
  <c r="G524" i="11"/>
  <c r="B524" i="11"/>
  <c r="I523" i="11"/>
  <c r="G523" i="11"/>
  <c r="B523" i="11"/>
  <c r="I522" i="11"/>
  <c r="G522" i="11"/>
  <c r="B522" i="11"/>
  <c r="I521" i="11"/>
  <c r="G521" i="11"/>
  <c r="B521" i="11"/>
  <c r="I520" i="11"/>
  <c r="G520" i="11"/>
  <c r="B520" i="11"/>
  <c r="I519" i="11"/>
  <c r="G519" i="11"/>
  <c r="B519" i="11"/>
  <c r="I518" i="11"/>
  <c r="G518" i="11"/>
  <c r="B518" i="11"/>
  <c r="I517" i="11"/>
  <c r="G517" i="11"/>
  <c r="B517" i="11"/>
  <c r="I516" i="11"/>
  <c r="G516" i="11"/>
  <c r="B516" i="11"/>
  <c r="I515" i="11"/>
  <c r="G515" i="11"/>
  <c r="B515" i="11"/>
  <c r="I514" i="11"/>
  <c r="G514" i="11"/>
  <c r="B514" i="11"/>
  <c r="I513" i="11"/>
  <c r="G513" i="11"/>
  <c r="B513" i="11"/>
  <c r="I512" i="11"/>
  <c r="G512" i="11"/>
  <c r="B512" i="11"/>
  <c r="I511" i="11"/>
  <c r="G511" i="11"/>
  <c r="B511" i="11"/>
  <c r="I510" i="11"/>
  <c r="G510" i="11"/>
  <c r="B510" i="11"/>
  <c r="I509" i="11"/>
  <c r="G509" i="11"/>
  <c r="B509" i="11"/>
  <c r="I508" i="11"/>
  <c r="G508" i="11"/>
  <c r="B508" i="11"/>
  <c r="I507" i="11"/>
  <c r="G507" i="11"/>
  <c r="B507" i="11"/>
  <c r="I506" i="11"/>
  <c r="G506" i="11"/>
  <c r="B506" i="11"/>
  <c r="I505" i="11"/>
  <c r="G505" i="11"/>
  <c r="B505" i="11"/>
  <c r="I504" i="11"/>
  <c r="G504" i="11"/>
  <c r="B504" i="11"/>
  <c r="I503" i="11"/>
  <c r="G503" i="11"/>
  <c r="B503" i="11"/>
  <c r="I502" i="11"/>
  <c r="G502" i="11"/>
  <c r="B502" i="11"/>
  <c r="I501" i="11"/>
  <c r="G501" i="11"/>
  <c r="B501" i="11"/>
  <c r="I500" i="11"/>
  <c r="G500" i="11"/>
  <c r="B500" i="11"/>
  <c r="I499" i="11"/>
  <c r="G499" i="11"/>
  <c r="B499" i="11"/>
  <c r="I498" i="11"/>
  <c r="G498" i="11"/>
  <c r="B498" i="11"/>
  <c r="I497" i="11"/>
  <c r="G497" i="11"/>
  <c r="B497" i="11"/>
  <c r="I496" i="11"/>
  <c r="G496" i="11"/>
  <c r="B496" i="11"/>
  <c r="I495" i="11"/>
  <c r="G495" i="11"/>
  <c r="B495" i="11"/>
  <c r="I494" i="11"/>
  <c r="G494" i="11"/>
  <c r="B494" i="11"/>
  <c r="I493" i="11"/>
  <c r="G493" i="11"/>
  <c r="B493" i="11"/>
  <c r="I492" i="11"/>
  <c r="G492" i="11"/>
  <c r="B492" i="11"/>
  <c r="I491" i="11"/>
  <c r="G491" i="11"/>
  <c r="B491" i="11"/>
  <c r="I490" i="11"/>
  <c r="G490" i="11"/>
  <c r="B490" i="11"/>
  <c r="I489" i="11"/>
  <c r="G489" i="11"/>
  <c r="B489" i="11"/>
  <c r="I488" i="11"/>
  <c r="G488" i="11"/>
  <c r="B488" i="11"/>
  <c r="I487" i="11"/>
  <c r="G487" i="11"/>
  <c r="B487" i="11"/>
  <c r="I486" i="11"/>
  <c r="G486" i="11"/>
  <c r="B486" i="11"/>
  <c r="I485" i="11"/>
  <c r="G485" i="11"/>
  <c r="B485" i="11"/>
  <c r="I484" i="11"/>
  <c r="G484" i="11"/>
  <c r="B484" i="11"/>
  <c r="I483" i="11"/>
  <c r="G483" i="11"/>
  <c r="B483" i="11"/>
  <c r="I482" i="11"/>
  <c r="G482" i="11"/>
  <c r="B482" i="11"/>
  <c r="I481" i="11"/>
  <c r="G481" i="11"/>
  <c r="B481" i="11"/>
  <c r="I480" i="11"/>
  <c r="G480" i="11"/>
  <c r="B480" i="11"/>
  <c r="I479" i="11"/>
  <c r="G479" i="11"/>
  <c r="B479" i="11"/>
  <c r="I478" i="11"/>
  <c r="G478" i="11"/>
  <c r="B478" i="11"/>
  <c r="I477" i="11"/>
  <c r="G477" i="11"/>
  <c r="B477" i="11"/>
  <c r="I476" i="11"/>
  <c r="G476" i="11"/>
  <c r="B476" i="11"/>
  <c r="I475" i="11"/>
  <c r="G475" i="11"/>
  <c r="B475" i="11"/>
  <c r="I474" i="11"/>
  <c r="G474" i="11"/>
  <c r="B474" i="11"/>
  <c r="I473" i="11"/>
  <c r="G473" i="11"/>
  <c r="B473" i="11"/>
  <c r="I472" i="11"/>
  <c r="G472" i="11"/>
  <c r="B472" i="11"/>
  <c r="I471" i="11"/>
  <c r="G471" i="11"/>
  <c r="B471" i="11"/>
  <c r="I470" i="11"/>
  <c r="G470" i="11"/>
  <c r="B470" i="11"/>
  <c r="I469" i="11"/>
  <c r="G469" i="11"/>
  <c r="B469" i="11"/>
  <c r="I468" i="11"/>
  <c r="G468" i="11"/>
  <c r="B468" i="11"/>
  <c r="I467" i="11"/>
  <c r="G467" i="11"/>
  <c r="B467" i="11"/>
  <c r="I466" i="11"/>
  <c r="G466" i="11"/>
  <c r="B466" i="11"/>
  <c r="I465" i="11"/>
  <c r="G465" i="11"/>
  <c r="B465" i="11"/>
  <c r="I464" i="11"/>
  <c r="G464" i="11"/>
  <c r="B464" i="11"/>
  <c r="I463" i="11"/>
  <c r="G463" i="11"/>
  <c r="B463" i="11"/>
  <c r="I462" i="11"/>
  <c r="G462" i="11"/>
  <c r="B462" i="11"/>
  <c r="I461" i="11"/>
  <c r="G461" i="11"/>
  <c r="B461" i="11"/>
  <c r="I460" i="11"/>
  <c r="G460" i="11"/>
  <c r="B460" i="11"/>
  <c r="I459" i="11"/>
  <c r="G459" i="11"/>
  <c r="B459" i="11"/>
  <c r="I458" i="11"/>
  <c r="G458" i="11"/>
  <c r="B458" i="11"/>
  <c r="I457" i="11"/>
  <c r="G457" i="11"/>
  <c r="B457" i="11"/>
  <c r="I456" i="11"/>
  <c r="G456" i="11"/>
  <c r="B456" i="11"/>
  <c r="I455" i="11"/>
  <c r="G455" i="11"/>
  <c r="B455" i="11"/>
  <c r="I454" i="11"/>
  <c r="G454" i="11"/>
  <c r="B454" i="11"/>
  <c r="I453" i="11"/>
  <c r="G453" i="11"/>
  <c r="B453" i="11"/>
  <c r="I452" i="11"/>
  <c r="G452" i="11"/>
  <c r="B452" i="11"/>
  <c r="I451" i="11"/>
  <c r="G451" i="11"/>
  <c r="B451" i="11"/>
  <c r="I450" i="11"/>
  <c r="G450" i="11"/>
  <c r="B450" i="11"/>
  <c r="I449" i="11"/>
  <c r="G449" i="11"/>
  <c r="B449" i="11"/>
  <c r="I448" i="11"/>
  <c r="G448" i="11"/>
  <c r="B448" i="11"/>
  <c r="I447" i="11"/>
  <c r="G447" i="11"/>
  <c r="B447" i="11"/>
  <c r="I446" i="11"/>
  <c r="G446" i="11"/>
  <c r="B446" i="11"/>
  <c r="I445" i="11"/>
  <c r="G445" i="11"/>
  <c r="B445" i="11"/>
  <c r="I444" i="11"/>
  <c r="G444" i="11"/>
  <c r="B444" i="11"/>
  <c r="I443" i="11"/>
  <c r="G443" i="11"/>
  <c r="B443" i="11"/>
  <c r="I442" i="11"/>
  <c r="G442" i="11"/>
  <c r="B442" i="11"/>
  <c r="I441" i="11"/>
  <c r="G441" i="11"/>
  <c r="B441" i="11"/>
  <c r="I440" i="11"/>
  <c r="G440" i="11"/>
  <c r="B440" i="11"/>
  <c r="I439" i="11"/>
  <c r="G439" i="11"/>
  <c r="B439" i="11"/>
  <c r="I438" i="11"/>
  <c r="G438" i="11"/>
  <c r="B438" i="11"/>
  <c r="I437" i="11"/>
  <c r="G437" i="11"/>
  <c r="B437" i="11"/>
  <c r="I436" i="11"/>
  <c r="G436" i="11"/>
  <c r="B436" i="11"/>
  <c r="I435" i="11"/>
  <c r="G435" i="11"/>
  <c r="B435" i="11"/>
  <c r="I434" i="11"/>
  <c r="G434" i="11"/>
  <c r="B434" i="11"/>
  <c r="I433" i="11"/>
  <c r="G433" i="11"/>
  <c r="B433" i="11"/>
  <c r="I432" i="11"/>
  <c r="G432" i="11"/>
  <c r="B432" i="11"/>
  <c r="I431" i="11"/>
  <c r="G431" i="11"/>
  <c r="B431" i="11"/>
  <c r="I430" i="11"/>
  <c r="G430" i="11"/>
  <c r="B430" i="11"/>
  <c r="I429" i="11"/>
  <c r="G429" i="11"/>
  <c r="B429" i="11"/>
  <c r="I428" i="11"/>
  <c r="G428" i="11"/>
  <c r="B428" i="11"/>
  <c r="I427" i="11"/>
  <c r="G427" i="11"/>
  <c r="B427" i="11"/>
  <c r="I426" i="11"/>
  <c r="G426" i="11"/>
  <c r="B426" i="11"/>
  <c r="I425" i="11"/>
  <c r="G425" i="11"/>
  <c r="B425" i="11"/>
  <c r="I424" i="11"/>
  <c r="G424" i="11"/>
  <c r="B424" i="11"/>
  <c r="I423" i="11"/>
  <c r="G423" i="11"/>
  <c r="B423" i="11"/>
  <c r="I422" i="11"/>
  <c r="G422" i="11"/>
  <c r="B422" i="11"/>
  <c r="I421" i="11"/>
  <c r="G421" i="11"/>
  <c r="B421" i="11"/>
  <c r="I420" i="11"/>
  <c r="G420" i="11"/>
  <c r="B420" i="11"/>
  <c r="I419" i="11"/>
  <c r="G419" i="11"/>
  <c r="B419" i="11"/>
  <c r="I418" i="11"/>
  <c r="G418" i="11"/>
  <c r="B418" i="11"/>
  <c r="I417" i="11"/>
  <c r="G417" i="11"/>
  <c r="B417" i="11"/>
  <c r="I416" i="11"/>
  <c r="G416" i="11"/>
  <c r="B416" i="11"/>
  <c r="I415" i="11"/>
  <c r="G415" i="11"/>
  <c r="B415" i="11"/>
  <c r="I414" i="11"/>
  <c r="G414" i="11"/>
  <c r="B414" i="11"/>
  <c r="I413" i="11"/>
  <c r="G413" i="11"/>
  <c r="B413" i="11"/>
  <c r="I412" i="11"/>
  <c r="G412" i="11"/>
  <c r="B412" i="11"/>
  <c r="I411" i="11"/>
  <c r="G411" i="11"/>
  <c r="B411" i="11"/>
  <c r="I410" i="11"/>
  <c r="G410" i="11"/>
  <c r="B410" i="11"/>
  <c r="I409" i="11"/>
  <c r="G409" i="11"/>
  <c r="B409" i="11"/>
  <c r="I408" i="11"/>
  <c r="G408" i="11"/>
  <c r="B408" i="11"/>
  <c r="I407" i="11"/>
  <c r="G407" i="11"/>
  <c r="B407" i="11"/>
  <c r="I406" i="11"/>
  <c r="G406" i="11"/>
  <c r="B406" i="11"/>
  <c r="I405" i="11"/>
  <c r="G405" i="11"/>
  <c r="B405" i="11"/>
  <c r="I404" i="11"/>
  <c r="G404" i="11"/>
  <c r="B404" i="11"/>
  <c r="I403" i="11"/>
  <c r="G403" i="11"/>
  <c r="B403" i="11"/>
  <c r="I402" i="11"/>
  <c r="G402" i="11"/>
  <c r="B402" i="11"/>
  <c r="I401" i="11"/>
  <c r="G401" i="11"/>
  <c r="B401" i="11"/>
  <c r="I400" i="11"/>
  <c r="G400" i="11"/>
  <c r="B400" i="11"/>
  <c r="I399" i="11"/>
  <c r="G399" i="11"/>
  <c r="B399" i="11"/>
  <c r="I398" i="11"/>
  <c r="G398" i="11"/>
  <c r="B398" i="11"/>
  <c r="I397" i="11"/>
  <c r="G397" i="11"/>
  <c r="B397" i="11"/>
  <c r="I396" i="11"/>
  <c r="G396" i="11"/>
  <c r="B396" i="11"/>
  <c r="I395" i="11"/>
  <c r="G395" i="11"/>
  <c r="B395" i="11"/>
  <c r="I394" i="11"/>
  <c r="G394" i="11"/>
  <c r="B394" i="11"/>
  <c r="I393" i="11"/>
  <c r="G393" i="11"/>
  <c r="B393" i="11"/>
  <c r="I392" i="11"/>
  <c r="G392" i="11"/>
  <c r="B392" i="11"/>
  <c r="I391" i="11"/>
  <c r="G391" i="11"/>
  <c r="B391" i="11"/>
  <c r="I390" i="11"/>
  <c r="G390" i="11"/>
  <c r="B390" i="11"/>
  <c r="I389" i="11"/>
  <c r="G389" i="11"/>
  <c r="B389" i="11"/>
  <c r="I388" i="11"/>
  <c r="G388" i="11"/>
  <c r="B388" i="11"/>
  <c r="I387" i="11"/>
  <c r="G387" i="11"/>
  <c r="B387" i="11"/>
  <c r="I386" i="11"/>
  <c r="G386" i="11"/>
  <c r="B386" i="11"/>
  <c r="I385" i="11"/>
  <c r="G385" i="11"/>
  <c r="B385" i="11"/>
  <c r="I384" i="11"/>
  <c r="G384" i="11"/>
  <c r="B384" i="11"/>
  <c r="I383" i="11"/>
  <c r="G383" i="11"/>
  <c r="B383" i="11"/>
  <c r="I382" i="11"/>
  <c r="G382" i="11"/>
  <c r="B382" i="11"/>
  <c r="I381" i="11"/>
  <c r="G381" i="11"/>
  <c r="B381" i="11"/>
  <c r="I380" i="11"/>
  <c r="G380" i="11"/>
  <c r="B380" i="11"/>
  <c r="I379" i="11"/>
  <c r="G379" i="11"/>
  <c r="B379" i="11"/>
  <c r="I378" i="11"/>
  <c r="G378" i="11"/>
  <c r="B378" i="11"/>
  <c r="I377" i="11"/>
  <c r="G377" i="11"/>
  <c r="B377" i="11"/>
  <c r="I376" i="11"/>
  <c r="G376" i="11"/>
  <c r="B376" i="11"/>
  <c r="I375" i="11"/>
  <c r="G375" i="11"/>
  <c r="B375" i="11"/>
  <c r="I374" i="11"/>
  <c r="G374" i="11"/>
  <c r="B374" i="11"/>
  <c r="I373" i="11"/>
  <c r="G373" i="11"/>
  <c r="B373" i="11"/>
  <c r="I372" i="11"/>
  <c r="G372" i="11"/>
  <c r="B372" i="11"/>
  <c r="I371" i="11"/>
  <c r="G371" i="11"/>
  <c r="B371" i="11"/>
  <c r="I370" i="11"/>
  <c r="G370" i="11"/>
  <c r="B370" i="11"/>
  <c r="I369" i="11"/>
  <c r="G369" i="11"/>
  <c r="B369" i="11"/>
  <c r="I368" i="11"/>
  <c r="G368" i="11"/>
  <c r="B368" i="11"/>
  <c r="I367" i="11"/>
  <c r="G367" i="11"/>
  <c r="B367" i="11"/>
  <c r="I366" i="11"/>
  <c r="G366" i="11"/>
  <c r="B366" i="11"/>
  <c r="I365" i="11"/>
  <c r="G365" i="11"/>
  <c r="B365" i="11"/>
  <c r="I364" i="11"/>
  <c r="G364" i="11"/>
  <c r="B364" i="11"/>
  <c r="I363" i="11"/>
  <c r="G363" i="11"/>
  <c r="B363" i="11"/>
  <c r="I362" i="11"/>
  <c r="G362" i="11"/>
  <c r="B362" i="11"/>
  <c r="I361" i="11"/>
  <c r="G361" i="11"/>
  <c r="B361" i="11"/>
  <c r="I360" i="11"/>
  <c r="G360" i="11"/>
  <c r="B360" i="11"/>
  <c r="I359" i="11"/>
  <c r="G359" i="11"/>
  <c r="B359" i="11"/>
  <c r="I358" i="11"/>
  <c r="G358" i="11"/>
  <c r="B358" i="11"/>
  <c r="I357" i="11"/>
  <c r="G357" i="11"/>
  <c r="B357" i="11"/>
  <c r="I356" i="11"/>
  <c r="G356" i="11"/>
  <c r="B356" i="11"/>
  <c r="I355" i="11"/>
  <c r="G355" i="11"/>
  <c r="B355" i="11"/>
  <c r="I354" i="11"/>
  <c r="G354" i="11"/>
  <c r="B354" i="11"/>
  <c r="I353" i="11"/>
  <c r="G353" i="11"/>
  <c r="B353" i="11"/>
  <c r="I352" i="11"/>
  <c r="G352" i="11"/>
  <c r="B352" i="11"/>
  <c r="I351" i="11"/>
  <c r="G351" i="11"/>
  <c r="B351" i="11"/>
  <c r="I350" i="11"/>
  <c r="G350" i="11"/>
  <c r="B350" i="11"/>
  <c r="I349" i="11"/>
  <c r="G349" i="11"/>
  <c r="B349" i="11"/>
  <c r="I348" i="11"/>
  <c r="G348" i="11"/>
  <c r="B348" i="11"/>
  <c r="I347" i="11"/>
  <c r="G347" i="11"/>
  <c r="B347" i="11"/>
  <c r="I346" i="11"/>
  <c r="G346" i="11"/>
  <c r="B346" i="11"/>
  <c r="I345" i="11"/>
  <c r="G345" i="11"/>
  <c r="B345" i="11"/>
  <c r="I344" i="11"/>
  <c r="G344" i="11"/>
  <c r="B344" i="11"/>
  <c r="I343" i="11"/>
  <c r="G343" i="11"/>
  <c r="B343" i="11"/>
  <c r="I342" i="11"/>
  <c r="G342" i="11"/>
  <c r="B342" i="11"/>
  <c r="I341" i="11"/>
  <c r="G341" i="11"/>
  <c r="B341" i="11"/>
  <c r="I340" i="11"/>
  <c r="G340" i="11"/>
  <c r="B340" i="11"/>
  <c r="I339" i="11"/>
  <c r="G339" i="11"/>
  <c r="B339" i="11"/>
  <c r="I338" i="11"/>
  <c r="G338" i="11"/>
  <c r="B338" i="11"/>
  <c r="I337" i="11"/>
  <c r="G337" i="11"/>
  <c r="B337" i="11"/>
  <c r="I336" i="11"/>
  <c r="G336" i="11"/>
  <c r="B336" i="11"/>
  <c r="I335" i="11"/>
  <c r="G335" i="11"/>
  <c r="B335" i="11"/>
  <c r="I334" i="11"/>
  <c r="G334" i="11"/>
  <c r="B334" i="11"/>
  <c r="I333" i="11"/>
  <c r="G333" i="11"/>
  <c r="B333" i="11"/>
  <c r="I332" i="11"/>
  <c r="G332" i="11"/>
  <c r="B332" i="11"/>
  <c r="I331" i="11"/>
  <c r="G331" i="11"/>
  <c r="B331" i="11"/>
  <c r="I330" i="11"/>
  <c r="G330" i="11"/>
  <c r="B330" i="11"/>
  <c r="I329" i="11"/>
  <c r="G329" i="11"/>
  <c r="B329" i="11"/>
  <c r="I328" i="11"/>
  <c r="G328" i="11"/>
  <c r="B328" i="11"/>
  <c r="I327" i="11"/>
  <c r="G327" i="11"/>
  <c r="B327" i="11"/>
  <c r="I326" i="11"/>
  <c r="G326" i="11"/>
  <c r="B326" i="11"/>
  <c r="I325" i="11"/>
  <c r="G325" i="11"/>
  <c r="B325" i="11"/>
  <c r="I324" i="11"/>
  <c r="G324" i="11"/>
  <c r="B324" i="11"/>
  <c r="I323" i="11"/>
  <c r="G323" i="11"/>
  <c r="B323" i="11"/>
  <c r="I322" i="11"/>
  <c r="G322" i="11"/>
  <c r="B322" i="11"/>
  <c r="I321" i="11"/>
  <c r="G321" i="11"/>
  <c r="B321" i="11"/>
  <c r="I320" i="11"/>
  <c r="G320" i="11"/>
  <c r="B320" i="11"/>
  <c r="I319" i="11"/>
  <c r="G319" i="11"/>
  <c r="B319" i="11"/>
  <c r="I318" i="11"/>
  <c r="G318" i="11"/>
  <c r="B318" i="11"/>
  <c r="I317" i="11"/>
  <c r="G317" i="11"/>
  <c r="B317" i="11"/>
  <c r="I316" i="11"/>
  <c r="G316" i="11"/>
  <c r="B316" i="11"/>
  <c r="I315" i="11"/>
  <c r="G315" i="11"/>
  <c r="B315" i="11"/>
  <c r="I314" i="11"/>
  <c r="G314" i="11"/>
  <c r="B314" i="11"/>
  <c r="I313" i="11"/>
  <c r="G313" i="11"/>
  <c r="B313" i="11"/>
  <c r="I312" i="11"/>
  <c r="G312" i="11"/>
  <c r="B312" i="11"/>
  <c r="I311" i="11"/>
  <c r="G311" i="11"/>
  <c r="B311" i="11"/>
  <c r="I310" i="11"/>
  <c r="G310" i="11"/>
  <c r="B310" i="11"/>
  <c r="I309" i="11"/>
  <c r="G309" i="11"/>
  <c r="B309" i="11"/>
  <c r="I308" i="11"/>
  <c r="G308" i="11"/>
  <c r="B308" i="11"/>
  <c r="I307" i="11"/>
  <c r="G307" i="11"/>
  <c r="B307" i="11"/>
  <c r="I306" i="11"/>
  <c r="G306" i="11"/>
  <c r="B306" i="11"/>
  <c r="I305" i="11"/>
  <c r="G305" i="11"/>
  <c r="B305" i="11"/>
  <c r="I304" i="11"/>
  <c r="G304" i="11"/>
  <c r="B304" i="11"/>
  <c r="I303" i="11"/>
  <c r="G303" i="11"/>
  <c r="B303" i="11"/>
  <c r="I302" i="11"/>
  <c r="G302" i="11"/>
  <c r="B302" i="11"/>
  <c r="I301" i="11"/>
  <c r="G301" i="11"/>
  <c r="B301" i="11"/>
  <c r="I300" i="11"/>
  <c r="G300" i="11"/>
  <c r="B300" i="11"/>
  <c r="I299" i="11"/>
  <c r="G299" i="11"/>
  <c r="B299" i="11"/>
  <c r="I298" i="11"/>
  <c r="G298" i="11"/>
  <c r="B298" i="11"/>
  <c r="I297" i="11"/>
  <c r="G297" i="11"/>
  <c r="B297" i="11"/>
  <c r="I296" i="11"/>
  <c r="G296" i="11"/>
  <c r="B296" i="11"/>
  <c r="I295" i="11"/>
  <c r="G295" i="11"/>
  <c r="B295" i="11"/>
  <c r="I294" i="11"/>
  <c r="G294" i="11"/>
  <c r="B294" i="11"/>
  <c r="I293" i="11"/>
  <c r="G293" i="11"/>
  <c r="B293" i="11"/>
  <c r="I292" i="11"/>
  <c r="G292" i="11"/>
  <c r="B292" i="11"/>
  <c r="I291" i="11"/>
  <c r="G291" i="11"/>
  <c r="B291" i="11"/>
  <c r="I290" i="11"/>
  <c r="G290" i="11"/>
  <c r="B290" i="11"/>
  <c r="I289" i="11"/>
  <c r="G289" i="11"/>
  <c r="B289" i="11"/>
  <c r="I288" i="11"/>
  <c r="G288" i="11"/>
  <c r="B288" i="11"/>
  <c r="I287" i="11"/>
  <c r="G287" i="11"/>
  <c r="B287" i="11"/>
  <c r="I286" i="11"/>
  <c r="G286" i="11"/>
  <c r="B286" i="11"/>
  <c r="I285" i="11"/>
  <c r="G285" i="11"/>
  <c r="B285" i="11"/>
  <c r="I284" i="11"/>
  <c r="G284" i="11"/>
  <c r="B284" i="11"/>
  <c r="I283" i="11"/>
  <c r="G283" i="11"/>
  <c r="B283" i="11"/>
  <c r="I282" i="11"/>
  <c r="G282" i="11"/>
  <c r="B282" i="11"/>
  <c r="I281" i="11"/>
  <c r="G281" i="11"/>
  <c r="B281" i="11"/>
  <c r="I280" i="11"/>
  <c r="G280" i="11"/>
  <c r="B280" i="11"/>
  <c r="I279" i="11"/>
  <c r="G279" i="11"/>
  <c r="B279" i="11"/>
  <c r="I278" i="11"/>
  <c r="G278" i="11"/>
  <c r="B278" i="11"/>
  <c r="I277" i="11"/>
  <c r="G277" i="11"/>
  <c r="B277" i="11"/>
  <c r="I276" i="11"/>
  <c r="G276" i="11"/>
  <c r="B276" i="11"/>
  <c r="I275" i="11"/>
  <c r="G275" i="11"/>
  <c r="B275" i="11"/>
  <c r="I274" i="11"/>
  <c r="G274" i="11"/>
  <c r="B274" i="11"/>
  <c r="I273" i="11"/>
  <c r="G273" i="11"/>
  <c r="B273" i="11"/>
  <c r="I272" i="11"/>
  <c r="G272" i="11"/>
  <c r="B272" i="11"/>
  <c r="I271" i="11"/>
  <c r="G271" i="11"/>
  <c r="B271" i="11"/>
  <c r="I270" i="11"/>
  <c r="G270" i="11"/>
  <c r="B270" i="11"/>
  <c r="I269" i="11"/>
  <c r="G269" i="11"/>
  <c r="B269" i="11"/>
  <c r="I268" i="11"/>
  <c r="G268" i="11"/>
  <c r="B268" i="11"/>
  <c r="I267" i="11"/>
  <c r="G267" i="11"/>
  <c r="B267" i="11"/>
  <c r="I266" i="11"/>
  <c r="G266" i="11"/>
  <c r="B266" i="11"/>
  <c r="I265" i="11"/>
  <c r="G265" i="11"/>
  <c r="B265" i="11"/>
  <c r="I264" i="11"/>
  <c r="G264" i="11"/>
  <c r="B264" i="11"/>
  <c r="I263" i="11"/>
  <c r="G263" i="11"/>
  <c r="B263" i="11"/>
  <c r="I262" i="11"/>
  <c r="G262" i="11"/>
  <c r="B262" i="11"/>
  <c r="I261" i="11"/>
  <c r="G261" i="11"/>
  <c r="B261" i="11"/>
  <c r="I260" i="11"/>
  <c r="G260" i="11"/>
  <c r="B260" i="11"/>
  <c r="I259" i="11"/>
  <c r="G259" i="11"/>
  <c r="B259" i="11"/>
  <c r="I258" i="11"/>
  <c r="G258" i="11"/>
  <c r="B258" i="11"/>
  <c r="I257" i="11"/>
  <c r="G257" i="11"/>
  <c r="B257" i="11"/>
  <c r="I256" i="11"/>
  <c r="G256" i="11"/>
  <c r="B256" i="11"/>
  <c r="I255" i="11"/>
  <c r="G255" i="11"/>
  <c r="B255" i="11"/>
  <c r="I254" i="11"/>
  <c r="G254" i="11"/>
  <c r="B254" i="11"/>
  <c r="I253" i="11"/>
  <c r="G253" i="11"/>
  <c r="B253" i="11"/>
  <c r="I252" i="11"/>
  <c r="G252" i="11"/>
  <c r="B252" i="11"/>
  <c r="I251" i="11"/>
  <c r="G251" i="11"/>
  <c r="B251" i="11"/>
  <c r="I250" i="11"/>
  <c r="G250" i="11"/>
  <c r="B250" i="11"/>
  <c r="I249" i="11"/>
  <c r="G249" i="11"/>
  <c r="B249" i="11"/>
  <c r="I248" i="11"/>
  <c r="G248" i="11"/>
  <c r="B248" i="11"/>
  <c r="I247" i="11"/>
  <c r="G247" i="11"/>
  <c r="B247" i="11"/>
  <c r="I246" i="11"/>
  <c r="G246" i="11"/>
  <c r="B246" i="11"/>
  <c r="I245" i="11"/>
  <c r="G245" i="11"/>
  <c r="B245" i="11"/>
  <c r="I244" i="11"/>
  <c r="G244" i="11"/>
  <c r="B244" i="11"/>
  <c r="I243" i="11"/>
  <c r="G243" i="11"/>
  <c r="B243" i="11"/>
  <c r="I242" i="11"/>
  <c r="G242" i="11"/>
  <c r="B242" i="11"/>
  <c r="I241" i="11"/>
  <c r="G241" i="11"/>
  <c r="B241" i="11"/>
  <c r="I240" i="11"/>
  <c r="G240" i="11"/>
  <c r="B240" i="11"/>
  <c r="I239" i="11"/>
  <c r="G239" i="11"/>
  <c r="B239" i="11"/>
  <c r="I238" i="11"/>
  <c r="G238" i="11"/>
  <c r="B238" i="11"/>
  <c r="I237" i="11"/>
  <c r="G237" i="11"/>
  <c r="B237" i="11"/>
  <c r="I236" i="11"/>
  <c r="G236" i="11"/>
  <c r="B236" i="11"/>
  <c r="I235" i="11"/>
  <c r="G235" i="11"/>
  <c r="B235" i="11"/>
  <c r="I234" i="11"/>
  <c r="G234" i="11"/>
  <c r="B234" i="11"/>
  <c r="I233" i="11"/>
  <c r="G233" i="11"/>
  <c r="B233" i="11"/>
  <c r="I232" i="11"/>
  <c r="G232" i="11"/>
  <c r="B232" i="11"/>
  <c r="I231" i="11"/>
  <c r="G231" i="11"/>
  <c r="B231" i="11"/>
  <c r="I230" i="11"/>
  <c r="G230" i="11"/>
  <c r="B230" i="11"/>
  <c r="I229" i="11"/>
  <c r="G229" i="11"/>
  <c r="B229" i="11"/>
  <c r="I228" i="11"/>
  <c r="G228" i="11"/>
  <c r="B228" i="11"/>
  <c r="I227" i="11"/>
  <c r="G227" i="11"/>
  <c r="B227" i="11"/>
  <c r="I226" i="11"/>
  <c r="G226" i="11"/>
  <c r="B226" i="11"/>
  <c r="I225" i="11"/>
  <c r="G225" i="11"/>
  <c r="B225" i="11"/>
  <c r="I224" i="11"/>
  <c r="G224" i="11"/>
  <c r="B224" i="11"/>
  <c r="I223" i="11"/>
  <c r="G223" i="11"/>
  <c r="B223" i="11"/>
  <c r="I222" i="11"/>
  <c r="G222" i="11"/>
  <c r="B222" i="11"/>
  <c r="I221" i="11"/>
  <c r="G221" i="11"/>
  <c r="B221" i="11"/>
  <c r="I220" i="11"/>
  <c r="G220" i="11"/>
  <c r="B220" i="11"/>
  <c r="I219" i="11"/>
  <c r="G219" i="11"/>
  <c r="B219" i="11"/>
  <c r="I218" i="11"/>
  <c r="G218" i="11"/>
  <c r="B218" i="11"/>
  <c r="I217" i="11"/>
  <c r="G217" i="11"/>
  <c r="B217" i="11"/>
  <c r="I216" i="11"/>
  <c r="G216" i="11"/>
  <c r="B216" i="11"/>
  <c r="I215" i="11"/>
  <c r="G215" i="11"/>
  <c r="B215" i="11"/>
  <c r="I214" i="11"/>
  <c r="G214" i="11"/>
  <c r="B214" i="11"/>
  <c r="I213" i="11"/>
  <c r="G213" i="11"/>
  <c r="B213" i="11"/>
  <c r="I212" i="11"/>
  <c r="G212" i="11"/>
  <c r="B212" i="11"/>
  <c r="I211" i="11"/>
  <c r="G211" i="11"/>
  <c r="B211" i="11"/>
  <c r="I210" i="11"/>
  <c r="G210" i="11"/>
  <c r="B210" i="11"/>
  <c r="I209" i="11"/>
  <c r="G209" i="11"/>
  <c r="B209" i="11"/>
  <c r="I208" i="11"/>
  <c r="G208" i="11"/>
  <c r="B208" i="11"/>
  <c r="I207" i="11"/>
  <c r="G207" i="11"/>
  <c r="B207" i="11"/>
  <c r="I206" i="11"/>
  <c r="G206" i="11"/>
  <c r="B206" i="11"/>
  <c r="I205" i="11"/>
  <c r="G205" i="11"/>
  <c r="B205" i="11"/>
  <c r="I204" i="11"/>
  <c r="G204" i="11"/>
  <c r="B204" i="11"/>
  <c r="I203" i="11"/>
  <c r="G203" i="11"/>
  <c r="B203" i="11"/>
  <c r="I202" i="11"/>
  <c r="G202" i="11"/>
  <c r="B202" i="11"/>
  <c r="I201" i="11"/>
  <c r="G201" i="11"/>
  <c r="B201" i="11"/>
  <c r="I200" i="11"/>
  <c r="G200" i="11"/>
  <c r="B200" i="11"/>
  <c r="I199" i="11"/>
  <c r="G199" i="11"/>
  <c r="B199" i="11"/>
  <c r="I198" i="11"/>
  <c r="G198" i="11"/>
  <c r="B198" i="11"/>
  <c r="I197" i="11"/>
  <c r="G197" i="11"/>
  <c r="B197" i="11"/>
  <c r="I196" i="11"/>
  <c r="G196" i="11"/>
  <c r="B196" i="11"/>
  <c r="I195" i="11"/>
  <c r="G195" i="11"/>
  <c r="B195" i="11"/>
  <c r="I194" i="11"/>
  <c r="G194" i="11"/>
  <c r="B194" i="11"/>
  <c r="I193" i="11"/>
  <c r="G193" i="11"/>
  <c r="B193" i="11"/>
  <c r="I192" i="11"/>
  <c r="G192" i="11"/>
  <c r="B192" i="11"/>
  <c r="I191" i="11"/>
  <c r="G191" i="11"/>
  <c r="B191" i="11"/>
  <c r="I190" i="11"/>
  <c r="G190" i="11"/>
  <c r="B190" i="11"/>
  <c r="I189" i="11"/>
  <c r="G189" i="11"/>
  <c r="B189" i="11"/>
  <c r="I188" i="11"/>
  <c r="G188" i="11"/>
  <c r="B188" i="11"/>
  <c r="I187" i="11"/>
  <c r="G187" i="11"/>
  <c r="B187" i="11"/>
  <c r="I186" i="11"/>
  <c r="G186" i="11"/>
  <c r="B186" i="11"/>
  <c r="I185" i="11"/>
  <c r="G185" i="11"/>
  <c r="B185" i="11"/>
  <c r="I184" i="11"/>
  <c r="G184" i="11"/>
  <c r="B184" i="11"/>
  <c r="I183" i="11"/>
  <c r="G183" i="11"/>
  <c r="B183" i="11"/>
  <c r="I182" i="11"/>
  <c r="G182" i="11"/>
  <c r="B182" i="11"/>
  <c r="I181" i="11"/>
  <c r="G181" i="11"/>
  <c r="B181" i="11"/>
  <c r="I180" i="11"/>
  <c r="G180" i="11"/>
  <c r="B180" i="11"/>
  <c r="I179" i="11"/>
  <c r="G179" i="11"/>
  <c r="B179" i="11"/>
  <c r="I178" i="11"/>
  <c r="G178" i="11"/>
  <c r="B178" i="11"/>
  <c r="I177" i="11"/>
  <c r="G177" i="11"/>
  <c r="B177" i="11"/>
  <c r="I176" i="11"/>
  <c r="G176" i="11"/>
  <c r="B176" i="11"/>
  <c r="I175" i="11"/>
  <c r="G175" i="11"/>
  <c r="B175" i="11"/>
  <c r="I174" i="11"/>
  <c r="G174" i="11"/>
  <c r="B174" i="11"/>
  <c r="I173" i="11"/>
  <c r="G173" i="11"/>
  <c r="B173" i="11"/>
  <c r="I172" i="11"/>
  <c r="G172" i="11"/>
  <c r="B172" i="11"/>
  <c r="I171" i="11"/>
  <c r="G171" i="11"/>
  <c r="B171" i="11"/>
  <c r="I170" i="11"/>
  <c r="G170" i="11"/>
  <c r="B170" i="11"/>
  <c r="I169" i="11"/>
  <c r="G169" i="11"/>
  <c r="B169" i="11"/>
  <c r="I168" i="11"/>
  <c r="G168" i="11"/>
  <c r="B168" i="11"/>
  <c r="I167" i="11"/>
  <c r="G167" i="11"/>
  <c r="B167" i="11"/>
  <c r="I166" i="11"/>
  <c r="G166" i="11"/>
  <c r="B166" i="11"/>
  <c r="I165" i="11"/>
  <c r="G165" i="11"/>
  <c r="B165" i="11"/>
  <c r="I164" i="11"/>
  <c r="G164" i="11"/>
  <c r="B164" i="11"/>
  <c r="I163" i="11"/>
  <c r="G163" i="11"/>
  <c r="B163" i="11"/>
  <c r="I162" i="11"/>
  <c r="G162" i="11"/>
  <c r="B162" i="11"/>
  <c r="I161" i="11"/>
  <c r="G161" i="11"/>
  <c r="B161" i="11"/>
  <c r="I160" i="11"/>
  <c r="G160" i="11"/>
  <c r="B160" i="11"/>
  <c r="I159" i="11"/>
  <c r="G159" i="11"/>
  <c r="B159" i="11"/>
  <c r="I158" i="11"/>
  <c r="G158" i="11"/>
  <c r="B158" i="11"/>
  <c r="I157" i="11"/>
  <c r="G157" i="11"/>
  <c r="B157" i="11"/>
  <c r="I156" i="11"/>
  <c r="G156" i="11"/>
  <c r="B156" i="11"/>
  <c r="I155" i="11"/>
  <c r="G155" i="11"/>
  <c r="B155" i="11"/>
  <c r="I154" i="11"/>
  <c r="G154" i="11"/>
  <c r="B154" i="11"/>
  <c r="I153" i="11"/>
  <c r="G153" i="11"/>
  <c r="B153" i="11"/>
  <c r="I152" i="11"/>
  <c r="G152" i="11"/>
  <c r="B152" i="11"/>
  <c r="I151" i="11"/>
  <c r="G151" i="11"/>
  <c r="B151" i="11"/>
  <c r="I150" i="11"/>
  <c r="G150" i="11"/>
  <c r="B150" i="11"/>
  <c r="I149" i="11"/>
  <c r="G149" i="11"/>
  <c r="B149" i="11"/>
  <c r="I148" i="11"/>
  <c r="G148" i="11"/>
  <c r="B148" i="11"/>
  <c r="I147" i="11"/>
  <c r="G147" i="11"/>
  <c r="B147" i="11"/>
  <c r="I146" i="11"/>
  <c r="G146" i="11"/>
  <c r="B146" i="11"/>
  <c r="I145" i="11"/>
  <c r="G145" i="11"/>
  <c r="B145" i="11"/>
  <c r="I144" i="11"/>
  <c r="G144" i="11"/>
  <c r="B144" i="11"/>
  <c r="I143" i="11"/>
  <c r="G143" i="11"/>
  <c r="B143" i="11"/>
  <c r="I142" i="11"/>
  <c r="G142" i="11"/>
  <c r="B142" i="11"/>
  <c r="I141" i="11"/>
  <c r="G141" i="11"/>
  <c r="B141" i="11"/>
  <c r="I140" i="11"/>
  <c r="G140" i="11"/>
  <c r="B140" i="11"/>
  <c r="I139" i="11"/>
  <c r="G139" i="11"/>
  <c r="B139" i="11"/>
  <c r="I138" i="11"/>
  <c r="G138" i="11"/>
  <c r="B138" i="11"/>
  <c r="I137" i="11"/>
  <c r="G137" i="11"/>
  <c r="B137" i="11"/>
  <c r="I136" i="11"/>
  <c r="G136" i="11"/>
  <c r="B136" i="11"/>
  <c r="I135" i="11"/>
  <c r="G135" i="11"/>
  <c r="B135" i="11"/>
  <c r="I134" i="11"/>
  <c r="G134" i="11"/>
  <c r="B134" i="11"/>
  <c r="I133" i="11"/>
  <c r="G133" i="11"/>
  <c r="B133" i="11"/>
  <c r="I132" i="11"/>
  <c r="G132" i="11"/>
  <c r="B132" i="11"/>
  <c r="I131" i="11"/>
  <c r="G131" i="11"/>
  <c r="B131" i="11"/>
  <c r="I130" i="11"/>
  <c r="G130" i="11"/>
  <c r="B130" i="11"/>
  <c r="I129" i="11"/>
  <c r="G129" i="11"/>
  <c r="B129" i="11"/>
  <c r="I128" i="11"/>
  <c r="G128" i="11"/>
  <c r="B128" i="11"/>
  <c r="I127" i="11"/>
  <c r="G127" i="11"/>
  <c r="B127" i="11"/>
  <c r="I126" i="11"/>
  <c r="G126" i="11"/>
  <c r="B126" i="11"/>
  <c r="I125" i="11"/>
  <c r="G125" i="11"/>
  <c r="B125" i="11"/>
  <c r="I124" i="11"/>
  <c r="G124" i="11"/>
  <c r="B124" i="11"/>
  <c r="I123" i="11"/>
  <c r="G123" i="11"/>
  <c r="B123" i="11"/>
  <c r="I122" i="11"/>
  <c r="G122" i="11"/>
  <c r="B122" i="11"/>
  <c r="I121" i="11"/>
  <c r="G121" i="11"/>
  <c r="B121" i="11"/>
  <c r="I120" i="11"/>
  <c r="G120" i="11"/>
  <c r="B120" i="11"/>
  <c r="I119" i="11"/>
  <c r="G119" i="11"/>
  <c r="B119" i="11"/>
  <c r="I118" i="11"/>
  <c r="G118" i="11"/>
  <c r="B118" i="11"/>
  <c r="I117" i="11"/>
  <c r="G117" i="11"/>
  <c r="B117" i="11"/>
  <c r="I116" i="11"/>
  <c r="G116" i="11"/>
  <c r="B116" i="11"/>
  <c r="I115" i="11"/>
  <c r="G115" i="11"/>
  <c r="I114" i="11"/>
  <c r="G114" i="11"/>
  <c r="B114" i="11"/>
  <c r="I113" i="11"/>
  <c r="G113" i="11"/>
  <c r="B113" i="11"/>
  <c r="I112" i="11"/>
  <c r="G112" i="11"/>
  <c r="B112" i="11"/>
  <c r="I111" i="11"/>
  <c r="G111" i="11"/>
  <c r="I110" i="11"/>
  <c r="G110" i="11"/>
  <c r="B110" i="11"/>
  <c r="I109" i="11"/>
  <c r="G109" i="11"/>
  <c r="B109" i="11"/>
  <c r="I108" i="11"/>
  <c r="G108" i="11"/>
  <c r="B108" i="11"/>
  <c r="I107" i="11"/>
  <c r="G107" i="11"/>
  <c r="I106" i="11"/>
  <c r="G106" i="11"/>
  <c r="B106" i="11"/>
  <c r="I105" i="11"/>
  <c r="G105" i="11"/>
  <c r="I104" i="11"/>
  <c r="G104" i="11"/>
  <c r="B104" i="11"/>
  <c r="I103" i="11"/>
  <c r="G103" i="11"/>
  <c r="B103" i="11"/>
  <c r="I102" i="11"/>
  <c r="G102" i="11"/>
  <c r="B102" i="11"/>
  <c r="I101" i="11"/>
  <c r="G101" i="11"/>
  <c r="B101" i="11"/>
  <c r="I100" i="11"/>
  <c r="G100" i="11"/>
  <c r="B100" i="11"/>
  <c r="I99" i="11"/>
  <c r="G99" i="11"/>
  <c r="B99" i="11"/>
  <c r="I98" i="11"/>
  <c r="G98" i="11"/>
  <c r="B98" i="11"/>
  <c r="I97" i="11"/>
  <c r="G97" i="11"/>
  <c r="B97" i="11"/>
  <c r="I96" i="11"/>
  <c r="G96" i="11"/>
  <c r="I95" i="11"/>
  <c r="G95" i="11"/>
  <c r="B95" i="11"/>
  <c r="I94" i="11"/>
  <c r="G94" i="11"/>
  <c r="B94" i="11"/>
  <c r="I93" i="11"/>
  <c r="G93" i="11"/>
  <c r="I92" i="11"/>
  <c r="G92" i="11"/>
  <c r="B92" i="11"/>
  <c r="I91" i="11"/>
  <c r="G91" i="11"/>
  <c r="B91" i="11"/>
  <c r="I90" i="11"/>
  <c r="G90" i="11"/>
  <c r="B90" i="11"/>
  <c r="I89" i="11"/>
  <c r="G89" i="11"/>
  <c r="B89" i="11"/>
  <c r="I88" i="11"/>
  <c r="G88" i="11"/>
  <c r="B88" i="11"/>
  <c r="I87" i="11"/>
  <c r="G87" i="11"/>
  <c r="I86" i="11"/>
  <c r="G86" i="11"/>
  <c r="B86" i="11"/>
  <c r="I85" i="11"/>
  <c r="G85" i="11"/>
  <c r="B85" i="11"/>
  <c r="I84" i="11"/>
  <c r="G84" i="11"/>
  <c r="B84" i="11"/>
  <c r="I83" i="11"/>
  <c r="G83" i="11"/>
  <c r="B83" i="11"/>
  <c r="I82" i="11"/>
  <c r="G82" i="11"/>
  <c r="B82" i="11"/>
  <c r="I81" i="11"/>
  <c r="G81" i="11"/>
  <c r="B81" i="11"/>
  <c r="I80" i="11"/>
  <c r="G80" i="11"/>
  <c r="B80" i="11"/>
  <c r="I79" i="11"/>
  <c r="G79" i="11"/>
  <c r="B79" i="11"/>
  <c r="I78" i="11"/>
  <c r="G78" i="11"/>
  <c r="B78" i="11"/>
  <c r="I77" i="11"/>
  <c r="G77" i="11"/>
  <c r="B77" i="11"/>
  <c r="I76" i="11"/>
  <c r="G76" i="11"/>
  <c r="B76" i="11"/>
  <c r="I75" i="11"/>
  <c r="G75" i="11"/>
  <c r="B75" i="11"/>
  <c r="I74" i="11"/>
  <c r="G74" i="11"/>
  <c r="B74" i="11"/>
  <c r="I73" i="11"/>
  <c r="G73" i="11"/>
  <c r="B73" i="11"/>
  <c r="I72" i="11"/>
  <c r="G72" i="11"/>
  <c r="B72" i="11"/>
  <c r="I71" i="11"/>
  <c r="G71" i="11"/>
  <c r="B71" i="11"/>
  <c r="I70" i="11"/>
  <c r="G70" i="11"/>
  <c r="B70" i="11"/>
  <c r="I69" i="11"/>
  <c r="G69" i="11"/>
  <c r="B69" i="11"/>
  <c r="I68" i="11"/>
  <c r="G68" i="11"/>
  <c r="B68" i="11"/>
  <c r="I67" i="11"/>
  <c r="G67" i="11"/>
  <c r="B67" i="11"/>
  <c r="I66" i="11"/>
  <c r="G66" i="11"/>
  <c r="B66" i="11"/>
  <c r="I65" i="11"/>
  <c r="G65" i="11"/>
  <c r="B65" i="11"/>
  <c r="I64" i="11"/>
  <c r="G64" i="11"/>
  <c r="B64" i="11"/>
  <c r="I63" i="11"/>
  <c r="G63" i="11"/>
  <c r="B63" i="11"/>
  <c r="I62" i="11"/>
  <c r="G62" i="11"/>
  <c r="B62" i="11"/>
  <c r="I61" i="11"/>
  <c r="G61" i="11"/>
  <c r="B61" i="11"/>
  <c r="I60" i="11"/>
  <c r="G60" i="11"/>
  <c r="B60" i="11"/>
  <c r="I59" i="11"/>
  <c r="G59" i="11"/>
  <c r="B59" i="11"/>
  <c r="I58" i="11"/>
  <c r="G58" i="11"/>
  <c r="B58" i="11"/>
  <c r="I57" i="11"/>
  <c r="G57" i="11"/>
  <c r="B57" i="11"/>
  <c r="I56" i="11"/>
  <c r="G56" i="11"/>
  <c r="B56" i="11"/>
  <c r="I55" i="11"/>
  <c r="G55" i="11"/>
  <c r="B55" i="11"/>
  <c r="I54" i="11"/>
  <c r="G54" i="11"/>
  <c r="B54" i="11"/>
  <c r="I53" i="11"/>
  <c r="G53" i="11"/>
  <c r="B53" i="11"/>
  <c r="I52" i="11"/>
  <c r="G52" i="11"/>
  <c r="B52" i="11"/>
  <c r="I51" i="11"/>
  <c r="G51" i="11"/>
  <c r="B51" i="11"/>
  <c r="I50" i="11"/>
  <c r="G50" i="11"/>
  <c r="B50" i="11"/>
  <c r="I49" i="11"/>
  <c r="G49" i="11"/>
  <c r="B49" i="11"/>
  <c r="I48" i="11"/>
  <c r="G48" i="11"/>
  <c r="B48" i="11"/>
  <c r="I47" i="11"/>
  <c r="G47" i="11"/>
  <c r="B47" i="11"/>
  <c r="I46" i="11"/>
  <c r="G46" i="11"/>
  <c r="B46" i="11"/>
  <c r="I45" i="11"/>
  <c r="G45" i="11"/>
  <c r="B45" i="11"/>
  <c r="I44" i="11"/>
  <c r="G44" i="11"/>
  <c r="B44" i="11"/>
  <c r="I43" i="11"/>
  <c r="G43" i="11"/>
  <c r="B43" i="11"/>
  <c r="I42" i="11"/>
  <c r="G42" i="11"/>
  <c r="B42" i="11"/>
  <c r="I41" i="11"/>
  <c r="G41" i="11"/>
  <c r="B41" i="11"/>
  <c r="I40" i="11"/>
  <c r="G40" i="11"/>
  <c r="B40" i="11"/>
  <c r="I39" i="11"/>
  <c r="G39" i="11"/>
  <c r="B39" i="11"/>
  <c r="I38" i="11"/>
  <c r="G38" i="11"/>
  <c r="B38" i="11"/>
  <c r="I37" i="11"/>
  <c r="G37" i="11"/>
  <c r="B37" i="11"/>
  <c r="I36" i="11"/>
  <c r="G36" i="11"/>
  <c r="B36" i="11"/>
  <c r="I35" i="11"/>
  <c r="G35" i="11"/>
  <c r="B35" i="11"/>
  <c r="I34" i="11"/>
  <c r="G34" i="11"/>
  <c r="B34" i="11"/>
  <c r="I33" i="11"/>
  <c r="G33" i="11"/>
  <c r="B33" i="11"/>
  <c r="I32" i="11"/>
  <c r="G32" i="11"/>
  <c r="B32" i="11"/>
  <c r="I31" i="11"/>
  <c r="G31" i="11"/>
  <c r="B31" i="11"/>
  <c r="I30" i="11"/>
  <c r="G30" i="11"/>
  <c r="B30" i="11"/>
  <c r="I29" i="11"/>
  <c r="G29" i="11"/>
  <c r="B29" i="11"/>
  <c r="I28" i="11"/>
  <c r="G28" i="11"/>
  <c r="B28" i="11"/>
  <c r="I27" i="11"/>
  <c r="G27" i="11"/>
  <c r="B27" i="11"/>
  <c r="I26" i="11"/>
  <c r="G26" i="11"/>
  <c r="B26" i="11"/>
  <c r="I25" i="11"/>
  <c r="G25" i="11"/>
  <c r="B25" i="11"/>
  <c r="I24" i="11"/>
  <c r="G24" i="11"/>
  <c r="B24" i="11"/>
  <c r="I23" i="11"/>
  <c r="G23" i="11"/>
  <c r="B23" i="11"/>
  <c r="I22" i="11"/>
  <c r="G22" i="11"/>
  <c r="B22" i="11"/>
  <c r="I21" i="11"/>
  <c r="G21" i="11"/>
  <c r="B21" i="11"/>
  <c r="I20" i="11"/>
  <c r="G20" i="11"/>
  <c r="B20" i="11"/>
  <c r="I19" i="11"/>
  <c r="G19" i="11"/>
  <c r="B19" i="11"/>
  <c r="I18" i="11"/>
  <c r="G18" i="11"/>
  <c r="B18" i="11"/>
  <c r="I17" i="11"/>
  <c r="G17" i="11"/>
  <c r="B17" i="11"/>
  <c r="I16" i="11"/>
  <c r="G16" i="11"/>
  <c r="B16" i="11"/>
  <c r="I15" i="11"/>
  <c r="G15" i="11"/>
  <c r="B15" i="11"/>
  <c r="I14" i="11"/>
  <c r="G14" i="11"/>
  <c r="B14" i="11"/>
  <c r="I13" i="11"/>
  <c r="G13" i="11"/>
  <c r="B13" i="11"/>
  <c r="I12" i="11"/>
  <c r="G12" i="11"/>
  <c r="B12" i="11"/>
  <c r="I11" i="11"/>
  <c r="G11" i="11"/>
  <c r="B11" i="11"/>
  <c r="I10" i="11"/>
  <c r="B10" i="11"/>
  <c r="I9" i="11"/>
  <c r="G9" i="11"/>
  <c r="B9" i="11"/>
  <c r="I8" i="11"/>
  <c r="B8" i="11"/>
  <c r="I7" i="11"/>
  <c r="B7" i="11"/>
  <c r="I6" i="11"/>
  <c r="B6" i="11"/>
  <c r="I5" i="11"/>
  <c r="B5" i="11"/>
  <c r="I4" i="11"/>
  <c r="B4" i="11"/>
  <c r="I3" i="11"/>
  <c r="G3" i="11"/>
  <c r="B3" i="11"/>
  <c r="I2" i="11"/>
  <c r="B2" i="11"/>
</calcChain>
</file>

<file path=xl/sharedStrings.xml><?xml version="1.0" encoding="utf-8"?>
<sst xmlns="http://schemas.openxmlformats.org/spreadsheetml/2006/main" count="48385" uniqueCount="34717">
  <si>
    <t>Name</t>
  </si>
  <si>
    <t>TamilName</t>
  </si>
  <si>
    <t>Category</t>
  </si>
  <si>
    <t>FoodType</t>
  </si>
  <si>
    <t>CookingTime</t>
  </si>
  <si>
    <t>Ingredients_Tamil</t>
  </si>
  <si>
    <t>Instructions_English</t>
  </si>
  <si>
    <t>Instructions_Tamil</t>
  </si>
  <si>
    <t>ImageUrl</t>
  </si>
  <si>
    <t>VideoUrl</t>
  </si>
  <si>
    <t>Servings</t>
  </si>
  <si>
    <t>Mutton Bone Soup</t>
  </si>
  <si>
    <t>மட்டன் எலும்பு சூப்</t>
  </si>
  <si>
    <t>Soup</t>
  </si>
  <si>
    <t>nonVeg</t>
  </si>
  <si>
    <t>mutton bones - 1/2 kg,
onion - 1 (sliced),
tomato - 2 (chopped),
green chili - 2,
toor dal - 100g,
cumin - 1/2 spoon,
pepper - 1/2 spoon,
oil - 50g,
curry leaves and coriander - handful,
turmeric powder - pinch,
salt - as needed</t>
  </si>
  <si>
    <t>ஆட்டுக்கறி நெஞ்செலும்பு - 1/2 கிலோ,
பெரிய வெங்காயம்  - 1 நீளமாக நறுக்கியது,
தக்காளி - 2 நறுக்கியது,
பச்சை மிளகாய்  - 2,
துவரம் பருப்பு  - 100 கிராம்,
சீரகம் - அரை ஸ்பூன்,
மிளகு - அரை ஸ்பூன்,
எண்ணெய் - 50 கிராம்,
கறிவேப்பிலை, கொத்தமல்லி - கைப்பிடி அளவு,
மஞ்சள் தூள் - சிட்டிகை அளவு,
உப்பு - தேவையான அளவு</t>
  </si>
  <si>
    <t>Clean the mutton bones thoroughly.
Slice onions lengthwise. Chop tomatoes. Cut green chilies crosswise.
Heat oil in a pan, temper with pepper and cumin.
Add onions, tomatoes, green chilies one by one and sauté.
Add bones and stir. Add toor dal, turmeric powder, and required salt.
Pour two glasses of water and bring to boil.
After mutton is well cooked, garnish with curry leaves and coriander.</t>
  </si>
  <si>
    <t>மட்டன் எலும்பை நன்கு கழுவி சுத்தம் செய்து கொள்ளவும்.
வெங்காயத்தை நீளவாக்கில் நறுக்கிக்கொள்ளவும். கூடவே தக்காளியையும் நறுக்கி வைத்துக் கொள்ளலாம். பச்சை மிளகாயை குறுக்கில் வெட்டி வைக்கவும்.
அடுத்து அடுப்பில் வாணலி வைத்து இரண்டு ஸ்பூன் எண்ணெய் ஊற்றி காய வைத்து அதில் மிளகு, சீரகம் போட்டுத் தாளிக்கவும்.
தாளித்த பிறகு அதில் வெங்காயம், தக்காளி, பச்சை மிளகாயை ஒன்றன் பின் ஒன்றாக போட்டு வதக்கவும்.
எலும்பைப் போட்டு புரட்டிக்கொள்ளவும். கூடவே துவரம் பருப்பு, மஞ்சள் பொடி போட்டு தேவையான அளவு உப்பு சேர்க்கவும்.
இரண்டு தம்ளர் தண்ணீர் ஊற்றிக் கொதிக்கவிடவும்.
மட்டன் எலும்பு நன்கு வெந்த பிறகு கருவேப்பிலை, கொத்தமல்லி தூவி இறக்கவும்.</t>
  </si>
  <si>
    <t>https://www.awesomecuisine.com/wp-content/uploads/2013/07/Mutton-Soup.jpg</t>
  </si>
  <si>
    <t>Vegetable Biryani</t>
  </si>
  <si>
    <t>காய்கறி பிரியாணி</t>
  </si>
  <si>
    <t>Biryani</t>
  </si>
  <si>
    <t>veg</t>
  </si>
  <si>
    <t>rice - 2 cups,
mixed vegetables - 2 cups,
biryani masala - 2 tbsp,
onions - 2 (sliced),
tomatoes - 2 (chopped),
ginger garlic paste - 2 tbsp,
mint leaves - handful,
coriander leaves - handful,
spices (bay leaf | cardamom | cinnamon),
salt - to taste</t>
  </si>
  <si>
    <t>அரிசி - 2 கப்,
கலவை காய்கறிகள் - 2 கப்,
பிரியாணி மசாலா - 2 ஸ்பூன்,
வெங்காயம் - 2 (நறுக்கியது),
தக்காளி - 2 (நறுக்கியது),
இஞ்சி பூண்டு விழுது - 2 ஸ்பூன்,
புதினா இலை - கைப்பிடி,
கொத்தமல்லி இலை - கைப்பிடி,
மசாலா (பட்டை | ஏலக்காய் | இலவங்கம்),
உப்பு - தேவையான அளவு</t>
  </si>
  <si>
    <t>Wash and soak rice for 30 minutes.
Cut all vegetables into medium size.
Heat oil, add whole spices.
Add sliced onions and sauté till golden.
Add ginger garlic paste and sauté.
Add vegetables and cook partially.
Add rice, required water and cook.
Garnish with mint and serve hot.</t>
  </si>
  <si>
    <t>அரிசியை கழுவி 30 நிமிடங்கள் ஊற வைக்கவும்.
எல்லா காய்கறிகளையும் நடுத்தர அளவில் நறுக்கவும்.
எண்ணெய் காய்ந்ததும், முழு மசாலாக்களை போடவும்.
நறுக்கிய வெங்காயத்தை போட்டு பொன்னிறமாக வதக்கவும்.
இஞ்சி பூண்டு விழுது சேர்த்து வதக்கவும்.
காய்கறிகளை போட்டு பாதி வேக விடவும்.
அரிசி மற்றும் தேவையான தண்ணீர் சேர்த்து சமைக்கவும்.
புதினா இலை தூவி சூடாக பரிமாறவும்.</t>
  </si>
  <si>
    <t>https://www.terrafood.co.in/cdn/shop/files/VegBiryani.jpg</t>
  </si>
  <si>
    <t>Chicken broth</t>
  </si>
  <si>
    <t>கோழிச் சாறு</t>
  </si>
  <si>
    <t xml:space="preserve">
Chicken  - 1/2 kg,
Small onion  - 10,
tomato  - 1,
Sea dal  - 1 spoon,
Dry chillies  - 3,
Pepper - 1 tablespoon,
Cumin, alone  - 2 tbsp each,
dill  - 1/2 spoon, 
Garlic  - 8 tooth, 
curry leaves  - 10,
Turmeric powder  - 1 pinch,
Oil  - 1 tablespoon,
Salt  - required amount</t>
  </si>
  <si>
    <t xml:space="preserve">
கோழிக்கறி - 1/2 கிலோ,
சின்ன வெங்காயம் - 10,
தக்காளி - 1,
கடலைப் பருப்பு - 1 ஸ்பூன்,
காய்ந்த மிளகாய் - 3,
மிளகு - 1 டேபிள் ஸ்பூன்,
சீரகம் - தலா 2 ஸ்பூன்,
தனியா - தலா 2 ஸ்பூன்,
வெந்தயம் - 1/2 ஸ்பூன்,
பூண்டு - 8 பல்,
கறிவேப்பிலை - 10,
மஞ்சள் தூள் - 1 சிட்டிகை,
எண்ணெய் - 1 டேபிள் ஸ்பூன்,
உப்பு - தேவையான அளவு</t>
  </si>
  <si>
    <t>First clean the chicken well and rinse it with plenty of water. Then mash the cleaned chicken into small pieces. 
Chop onion and tomato. 
Next, put peanuts, dry chillies, pepper, cumin, taniya and fenugreek in a pan and fry until golden brown. 
Grind the fried ingredients in a mixer and add grated onion, garlic and curry leaves and grind to a smooth paste. 
Then heat the oil in the cooker, add the chicken curry and fry it. When the curry is fried, add the chopped tomatoes and the ground paste and fry further. Then add four tamlars of water. Add pinch of turmeric powder, salt and cover the cooker. After a quarter of an hour, die. 
Sprinkle coriander leaves on top and enjoy. This spicy chicken juice is very good for colds.</t>
  </si>
  <si>
    <t>முதலில் கோழியை நன்கு சுத்தம் செய்து நிறைய தண்ணீர் விட்டு அலசிக் கொள்ளவும். பின் சுத்தம் செய்த கோழியை நசுக்கி, சின்னச் சின்னத் துண்டுகளாகப் பிய்த்து வைக்கவும்.
வெங்காயம், தக்காளியை நறுக்கிக் கொள்ளவும்.
அடுத்ததாக கடலைப்பருப்பு, காய்ந்த மிளகாய், மிளகு, சீரகம், தனியா, வெந்தயம் எல்லாவற்றையும் வெறும் வாணலியில் போட்டு சிவக்க வறுக்கவும்.
வறுத்த பொருள்களை மிக்சியில் போட்டுப் பொடித்துக் கொண்டு, கூடவே அரிந்து வைத்துள்ள வெங்காயம், பூண்டு, கறிவேப்பிலையைச் சேர்த்து மழமழப்பாக அரைக்கவும்.
பிறகு குக்கரில் எண்ணெய் விட்டுச் சூடானதும், கோழிக் கறியைப் போட்டு வதக்கவும். கறி வதங்கியதும் நறுக்கி வைத்துள்ள தக்காளி, அரைத்து வைத்துள்ள விழுதையும் போட்டு மேலும் வதக்கவும். பிறகு நான்கு தம்ளர் தண்ணீர் விடவும். சிட்டிகை மஞ்சள் தூள், உப்பு சேர்த்து குக்கரை மூடவும். கால் மணிநேரம் கழித்து இறக்கவும்.
மேலே கொத்துமல்லித்தழை தூவி சுடச் சுட பருகத் தரவும். காரசாரமான இந்த கோழிச் சாறு சளி ஜுரத்துக்கு மிகவும் சுகமாக இருக்கும்.</t>
  </si>
  <si>
    <t>https://diethood.com/wp-content/uploads/2023/12/chicken-vegetable-soup-recipe-3.jpg</t>
  </si>
  <si>
    <t>Mutton soup</t>
  </si>
  <si>
    <t>ஆட்டுக்கால் சூப்</t>
  </si>
  <si>
    <t xml:space="preserve">
Lamb leg - One lamb leg (4),
Large onion - 2,
Tomatoes - 4,
Green chillies - 2,
Pepper - Half a spoon,
Cumin - 1 spoon,
Aneem - Half a spoon,
Cinnamon, cardamom, cloves - 1 each,
Peanut powder - Half a spoon,
Turmeric powder - Quarter spoon,
Ginger &amp; garlic paste - 1 spoon,
Oil - 50 grams,
Salt - As required,
Carom leaves, coriander - Handful</t>
  </si>
  <si>
    <t>ஆட்டுக்கால் - ஒரு ஆட்டுக்கால் (4),
பெரிய வெங்காயம் - 2,
தக்காளி - 4,
பச்சை மிளகாய் - 2,
மிளகு - அரை ஸ்பூன்,
சீரகம் - 1 ஸ்பூன்,
சோம்பு - அரை ஸ்பூன்,
பட்டை, லவங்கம், ஏலக்காய் - தலா 1,
தனியாத்தூள் - அரை ஸ்பூன்,
மஞ்சள் தூள் - கால் ஸ்பூன்,
இஞ்சி, பூண்டு விழுது - 1 ஸ்பூன்,
எண்ணெய் - 50 கிராம்,
உப்பு - தேவையான அளவு,
கருவேப்பிலை, கொத்தமல்லி - கைப்பிடி அளவு</t>
  </si>
  <si>
    <t>First, wash the leg of mutton thoroughly and scrape it clean without any fur on it. 
Then grind pepper, cumin, aniseed, bark, cinnamon and cardamom. 
Next place the cooker in the oven and pour required amount of oil. When the oil dries up, add the powder, add onions and green chillies and saute. Also add ginger garlic paste and saute until its raw smell goes away. 
Next add tomato and saute till it becomes pulpy, then add lamb leg. Add turmeric powder, tanyad powder and required amount of salt to it and saute it well. Finally pour four tamlars of water and cover the cooker with curry leaves and coriander. 
Leave the cooker for eight to ten whistles and remove. Strain and serve hot. Oh what a taste!</t>
  </si>
  <si>
    <t>முதலில் ஆட்டுக்காலைநன்கு கழுவி அதன் மேல் கொஞ்சம் கூட உரோமம் இல்லாமல் நன்கு சுரண்டி சுத்தம் செய்து கொள்ளவும்.
பின் மிளகு, சீரகம், சோம்பு, பட்டை, லவங்கம், ஏலக்காய் எல்லாவற்றையும் சேர்த்து பொடித்துக்கொள்ளவும்.
அடுத்து குக்கரை அடுப்பில் வைத்து தேவையான அளவு எண்ணெய் ஊற்றவும். எண்ணெய் காய்ந்ததும் பொடி செய்த தூளைப் போட்டு, வெங்காயம், பச்சை மிளகாய் சேர்த்து வதக்கவும். கூடவே இஞ்சி பூண்டு விழுதைச் சேர்த்து அதன் பச்சை வாசனை போக வதக்கவும்.
அடுத்து அதனுடன் தக்காளி சேர்த்து கூழாகும் வரை வதக்கி விட்டு, பிறகு ஆட்டுக்கால் சேர்க்கவும். அதன் மேல் மஞ்சள் தூள், தனியாத்தூள், தேவையான அளவு உப்பு சேர்த்து நன்கு வதக்கவும். கடைசியாக நான்கு தம்ளர் தண்ணீர் ஊற்றி கருவேப்பிலை கொத்தமல்லியும் போட்டு குக்கரை மூடவும்.
குக்கரில் எட்டு முதல் பத்து விசில் விட்டு, இறக்கிவிடவும். வடிகட்டி ஆவி பறக்க சூடாகப் பரிமாறவும். ஆஹா என்ன ருசி !</t>
  </si>
  <si>
    <t>Chettinad Seela Fish Curry</t>
  </si>
  <si>
    <t>செட்டிநாட்டு  சீலா மீன் குழம்பு</t>
  </si>
  <si>
    <t>Fish Curry</t>
  </si>
  <si>
    <t>Seela fish pieces - 10,
Small onion - 100 grams,
Tomatoes - 2,
Grated coconut - 3 tablespoons,
Tamarind - Small handful,
Chili powder - 1 tablespoon,
Fish masala powder - 1/2 spoon,
Ginger - Small piece,
Garlic - 6 cloves,
Anise - 1 spoon,
Mustard - 1/2 spoon,
Fenugreek - 1/4 spoon,
Cumin - 1/2 spoon,
Chilli powder - 2,
Curry leaves - a bunch,
Oil - 100 .,
Salt - as required</t>
  </si>
  <si>
    <t>சீலா மீன் துண்டுகள் - 10,
சின்ன வெங்காயம் - 100 கிராம்,
தக்காளி - 2,
தேங்காய் துருவல் - 3 டேபிள் ஸ்பூன்,
புளி - சிறிய கோலிக்குண்டு அளவு,
மிளகாய் தூள் - 1 டேபிள் ஸ்பூன்,
மீன் மசாலாத் தூள் - 1/2 ஸ்பூன்,
இஞ்சி - சிறிய துண்டு,
பூண்டு - 6 பல்,
சோம்பு - 1 ஸ்பூன்,
கடுகு - 1/2 ஸ்பூன்,
வெந்தயம் - 1/4 ஸ்பூன்,
சீரகம் - 1/2 ஸ்பூன்,
மிளகாய் வற்றல் - 2,
கறிவேப்பிலை - ஒரு கொத்து,
எண்ணெய் - 100,
உப்பு - தேவையான அளவு</t>
  </si>
  <si>
    <t>First, wash and clean the sheela fish and cut it into pieces.
Then peel the onion and garlic. Chop the tomatoes into powder.
Next, take half of the onion and grind it into a paste by adding anise, ginger and garlic.
Then take half of the tomato and add grated coconut, tamarind, chilli powder and all the spices, sprinkle some water and grind it.
Then put a pan on the stove and pour oil. When it dries, fry the curry leaves, mustard seeds, cumin seeds, fenugreek seeds, chilli powder and fry it. Add the onion and tomatoes.
Once the onion is fried, add the ground anise and ginger spices. Add the fish pieces and fry them with the required amount of salt.
Then add the grated tomatoes, coconut and tamarind paste and fry them. Add the required amount of water and let it boil.
Boil the gravy well and the aroma of tamarind and chilli powder will go away. When the aroma of fish gravy and spices is released, sprinkle a bunch of coriander leaves and turn off the heat.</t>
  </si>
  <si>
    <t>முதலில் சீலா மீனைக் கழுவி நன்கு சுத்தம் செய்து துண்டு களாக்கி வைக்கவும்.
பின் வெங்காயம், பூண்டு இவைகளை தோல் உரித்து வைத்துக் கொள்ளவும். தக்காளியை பொடியாக நறுக்கி வைக்கவும்.
அடுத்தபடியாக வெங்காயத்தில் பாதியை எடுத்துக்கொண்டு அத்துடன் சோம்பு, இஞ்சி, பூண்டு சேர்த்து விழுதாக அரைத்துக்கொள்ளவும்.
பின் தக்காளியில் பாதியை எடுத்துக்கொண்டு அதனுடன் தேங்காய் துருவல், புளி, மிளகாய் தூள், மசாலா தூள் எல்லா வற்றையும் சேர்த்து லேசாக தண்ணீர் தெளித்து அரைத்து வைக்கவும்.
பிறகு அடுப்பில் வாணலியை வைத்து எண்ணெய் ஊற்றிடு காய்ந்ததும் கருவேப்பிலை, கடுகு தாளித்து சீரகம், வெந்தயம், மிளகாய் வற்றல் போட்டு தாளித்து வெங்காயம், தக்காளியைச் சேர்த்து வதக்கவும்.
வெங்காயம் வதங்கியதும் அரைத்து வைத்திருக்கும் சோம்பு, இஞ்சி மசாலைச் சேர்த்து வதக்கவும். கூடவே மீன் துண்டு களைப் போட்டு தேவையான அளவு உப்பு சேர்த்து பிரட்டி விடவும்.
பின் அரைத்து வைத்த தக்காளி, தேங்காய், புளி விழுதைச் சேர்த்து வதக்கி தேவையான அளவு தண்ணீர் சேர்த்து கொதிக்க விடவும்.
குழம்பு நன்கு கொதித்து புளி, மிளகாய் தூள் வாசனை போய் சுண்டி மீன் குழம்பு, மசாலா வாசனை கமகமத்ததும் கொத்த மல்லித் தழை தூவி இறக்கவும்.</t>
  </si>
  <si>
    <t>https://www.archanaskitchen.com/images/archanaskitchen/1-Author/Shaheen_Ali/CHETTINAD_SURA_MEEN_KUZHAMBU__SHARK_FISH_CURRY.jpg</t>
  </si>
  <si>
    <t>Palm juice, coconut juice</t>
  </si>
  <si>
    <t>நுங்கு, இளநீர் ஜூஸ்</t>
  </si>
  <si>
    <t>Juice</t>
  </si>
  <si>
    <t>5 Palm fruit,
1/2 cup sweetened coconut water,
2 tablespoons sugar (in a cup),
2 tablespoons finely chopped cloves</t>
  </si>
  <si>
    <t xml:space="preserve">நுங்கு - 5,
ஸ்வீட்டான இளநீர் - 1/2 டம்ளர்,
சர்க்கரை - 2 டேபிள் ஸ்பூன் (கோபுரமாக),
பொடியாக நறுக்கிய நுங்கு  - 2 டேபிள் ஸ்பூன்
</t>
  </si>
  <si>
    <t>Get the necessary ingredients ready.
Clean the palm fruit and peel it.
In a large mixer jar, add the palm fruit and sugar.
Then grind it well.
Next, add the water and grind it well.
Transfer the grinded mixture to a bowl.
Then pour it into glasses and add the mango pieces on top.
Now, nutritious, tasty, easy, mango, water and juice are ready. Try it and celebrate the fort.</t>
  </si>
  <si>
    <t>தேவையான பொருட்களை தயாராக எடுத்து வைத்துக் கொள்ளவும்.
நுங்கை சுத்தம் செய்து, தோலை உரித்துக் கொள்ளவும்.
பெரிய மிக்ஸி ஜாரில், நுங்கு, சர்க்கரை சேர்த்துக் கொள்ளவும்.
பிறகு நன்கு அரைக்கவும்.
அடுத்து இளநீரை சேர்த்து நன்கு அரைக்கவும்.
அரைத்ததை பாத்திரத்தில் மாற்றவும்.
பிறகு டம்ளர்களில் ஊற்றி, மேலே நுங்கு துண்டுகளை போடவும். 
இப்போது, சத்தான, சுவையான, சுலபமான, நுங்கு, இளநீர், ஜூஸ் தயார். செய்து பார்த்து, கோடையைக் கொண்டாடவும்.</t>
  </si>
  <si>
    <t>https://media.assettype.com/newssensetn%2F2022-04%2F686aa451-a94b-4efb-898d-0a8ead593e43%2FNew_Project__46_.jpg?rect=34%2C0%2C1088%2C612&amp;w=512&amp;auto=format%2Ccompress&amp;fit=max</t>
  </si>
  <si>
    <t>Green Anchovy Fish Curry</t>
  </si>
  <si>
    <t>பச்சை நெத்திலி மீன் குழம்பு</t>
  </si>
  <si>
    <t>Green Anchovy Fish - 1/2 kg,
Onion - 3,
Tomato - 3,
Green Chillies - 5,
Ginger - small piece,
Garlic - 10 cloves,
Tamarind - lemon size,
Mustard - 1/4 spoon,
Fenugreek - 1/4 spoon,
Turmeric powder - 1/4 spoon,
Sambar chili powder - 4 spoons,
Coriander - handful size,
Curry leaves - a bunch,
Salt - as needed</t>
  </si>
  <si>
    <t>பச்சை நெத்திலி மீன் - 1/2 கிலோ,
வெங்காயம் - 3,
தக்காளி - 3,
பச்சை மிளகாய் - 5,
இஞ்சி - சிறு துண்டு,
பூண்டு - 10 பல்,
புளி - எலுமிச்சை அளவு,
கடுகு - 1/4 ஸ்பூன்,
வெந்தயம் - 1/4 ஸ்பூன்,
மஞ்சள் தூள் - 1/4 ஸ்பூன்,
சாம்பார் மிளகாய் தூள் - 4 ஸ்பூன்,
கொத்துமல்லி - கைப்பிடி அளவு,
கறிவேப்பிலை - ஒரு கொத்து,
உப்பு - தேவையான அளவு</t>
  </si>
  <si>
    <t>Clean and wash the fish thoroughly.
Boil the tamarind, drain the water and take the tamarind pulp. Grind all three together into a paste.
In a pan, heat oil and when it is hot, add mustard, fenugreek, onion, ginger, garlic and onion paste and fry. Then add tomatoes and fry them along with turmeric powder and chilli powder. Pour in tamarind paste and let it boil.
When the gravy is well boiled and simmered, add the anchovies five minutes before removing from the stove and reduce the heat to low.
After five minutes, remove the gravy and serve with coriander leaves.
That's it, the delicious and fragrant anchovies gravy is ready.</t>
  </si>
  <si>
    <t>மீனை நன்கு சுத்தம் செய்து கழுவிக்கொள்ளவும்.
புளியைக் கரைத்து நீரை வடிகட்டி புளிக்கரைசல் எடுத்துக் கொள்ளவும். ஒரேயொரு வெங்காயம், இஞ்சி, பூண்டு மூன்றையும் சேர்த்து விழுதாக அரைத்து வைக்கவும்.
வாணலியில், எண்ணெய் விட்டு, அது காய்ந்ததும் கடுகு, வெந்தயம், வெங்காயம், இஞ்சி, பூண்டு, வெங்காய விழுது ஆகியவற்றைச் சேர்த்து வதக்க வேண்டும். பின் தக்காளியைப் போட்டு வதக்கி கூடவே மஞ்சள் தூள், மிளகாய் தூள் சேர்த்துப் பிரட்டி புளிக்கரைசலை ஊற்றி கொதிக்கவிடவும்.
குழம்பு நன்கு கொதித்து சுண்டியதும் அடுப்பிலிருந்து இறக்குவதற்கு ஐந்து நிமிடங்கள் முன்பாக நெத்திலி மீனை குழம்பில் போட்டு தீயை சிறியதாக்கிக் கொதிக்கவிடவும்.
ஐந்து நிமிடத்துக்குப் பிறகு குழம்பை இறக்கி கொத்தமல்லித் தழை தூவி பரிமாறவும்.
அவ்வளவுதான் சுவையான மணமான நெத்திலி மீன் குழம்பு தயார்.</t>
  </si>
  <si>
    <t>https://enq69sdfnv7.exactdn.com/wp-content/uploads/2024/07/DRied-ANCHOY-CURRY-1-1.jpg?strip=all&amp;lossy=1&amp;ssl=1</t>
  </si>
  <si>
    <t>Sheela Fish Pudding</t>
  </si>
  <si>
    <t>சீலா மீன் புட்டு</t>
  </si>
  <si>
    <t>Fish</t>
  </si>
  <si>
    <t>Sheela fish - 1/4,
Onion - 1/4 kg,
Green chilies - 6,
Ginger - 1 inch piece,
Garlic - 6 cloves,
Turmeric powder - 1/3 spoon,
Mixed chili powder - 1 tablespoon,
Mustard, urad dal - 1/2 spoon,
Oil - 50 ml,
Salt - as required,
Caraway seeds, coriander leaves - a little</t>
  </si>
  <si>
    <t>சீலா மீன் - 1/4,
வெங்காயம் - 1/4 கிலோ,
பச்சை மிளகாய் - 6,
இஞ்சி - ஒரு அங்குலத்துண்டு,
பூண்டு - 6 பல்,
மஞ்சள் தூள் - 1/3 ஸ்பூன்,
கலந்த மிளகாய் தூள் - 1 டேபிள் ஸ்பூன்,
கடுகு, உளுந்தம் பருப்பு - 1/2 ஸ்பூன்,
எண்ணெய் - 50 மிலி,
உப்பு - தேவையான அளவு,
கருவேப்பிலை, கொத்தமல்லித் தழை - சிறிதளவு</t>
  </si>
  <si>
    <t>First, wash the fish thoroughly
Then boil the fish in an idli pan and then grind it.
Add turmeric powder and chili powder to the ground fish and mix it.
Next, grind the onion, green chilies, ginger, and garlic into powder.
Then put a pan on the stove and pour oil. When it is hot, add mustard seeds, urad dal, curry leaves, onion, green chillies, ginger and garlic and fry them well. Then add the battered fish and fry it. Keep it on low flame and fry it till the chilli powder gets absorbed and turns red and then remove it. Sprinkle coriander leaves and serve.</t>
  </si>
  <si>
    <t>முதலில் மீனை நன்கு அலசிக் கழுவிக் கொள்ளவும்
பின் மீனை இட்லிப் பாத்திரத்தில் வேகவைத்து எடுத்து பின் அதை பொடித்துக்கொள்ளவும்.
பொடித்துகொண்ட மீனோடு மஞ்சள் தூள், மிளகாய் தூள் போட்டு பிசறி வைக்கவும்.
அடுத்து வெங்காயம், பச்சை மிளகாய், இஞ்சி, பூண்டு அனைத்தையும் பொடியாக நறுக்கிக்கொள்ளவும்.
பின் அடுப்பில் வாணலி வைத்து எண்ணெய் ஊற்றிக் காய்ந்ததும் கடுகு, உளுத்தம்பருப்பு, கருவேப்பிலை தாளித்து வெங்காயம், பச்சை மிளகாய், இஞ்சி, பூண்டு இவற்றைப் போட்டு நன்கு வதக்கவும். 
பின் பிசறி வைத்துள்ள மீனை போட்டு வதக்கவும். சிறு தீயாக வைத்து பிரட்டி பிரட்டிப் போட்டு மிளகாய் தூள் நெடி போய் சிவந்து வரும்வரை வேகவிட்டு இறக்கவும். கொத்தமல்லித் தழை தூவி பரிமாறவும்.</t>
  </si>
  <si>
    <t>Egg Salna</t>
  </si>
  <si>
    <t>முட்டை சால்னா</t>
  </si>
  <si>
    <t>Egg</t>
  </si>
  <si>
    <t>1 raw egg,
3 boiled eggs,
Onion - 1/4 kg,
Tomato - 2,
Green chillies - 4,
Garlic - 4 cloves,
Coconut paste - 3 tablespoons,
Tamarind - a small pinch,
Turmeric powder - a little,
Chili powder - 2 tablespoons,
Denil - 1/4 teaspoon,
Curry leaves - a bunch,
Coriander leaves - a handful,
Oil - 100 ml,
Salt - as needed</t>
  </si>
  <si>
    <t>பச்சை முட்டை 1,
வேகவைத்த முட்டை 3,
வெங்காயம் - 1/4கிலோ,
தக்காளி - 2,
பச்சை மிளகாய் 4,
பூண்டு - 4 பல்,
தேங்காய் விழுது - 3 டேபிள் ஸ்பூன்,
புளி - சின்ன கோலிக்குண்டு அளவு,
மஞ்சள் தூள் - சிறிது,
மிளகாய் தூள் - 2 ஸ்பூன்,
வெந்தயம் - 1/4 ஸ்பூன்,
கறிவேப்பிலை - ஒரு கொத்து,
கொத்தமல்லித் தழை - கைப்பிடி அளவு,
எண்ணெய் - 100 மிலி,
உப்பு - தேவையான அளவு</t>
  </si>
  <si>
    <t>When the oil is hot, fry the curry leaves, fenugreek, onion, tomato and garlic. Once everything is cooked, dissolve the tamarind and pour it in. Add turmeric powder, chilli powder and as needed salt and bring to a boil.
When the gravy comes to a boil, add the coconut paste. Once it boils, break the raw egg and pour it in. Cover and simmer for anSoup five minutes.
Once the gravy boils well, cut the boiled eggs into two and add them to the gravy. Sprinkle with coriander leaves and serve. Delicious egg chana is ready.</t>
  </si>
  <si>
    <t>வாணலியில் எண்ணெய் ஊற்றிக் காய்ந்ததும் கருவேப்பிலை வெந்தயம் தாளித்து வெங்காயம், தக்காளி, பூண்டைப் போட்டு வதக்கவும். எல்லாம் வதங்கியதும் புளியைக் கரைத்து ஊற்றவும். மஞ்சள் தூள், மிளகாய் தூள், தேவையான அளவு உப்பு சேர்த்துக் கொதிக்கவிடவும்.
குழம்பு ஒரு கொதி வந்ததும் தேங்காய் விழுதைச் சேர்க்கவும். மேலும் கொதித்ததும் பச்சை முட்டையை உடைத்து ஊற்றவும். மேலும் ஐந்து நிமிடம் மூடி போட்டு கொதிக்கவிடவும்.
குழம்பு நன்கு கொதித்ததும் வேகவைத்த முட்டைகளை இரண்டாக வெட்டி குழம்பில் சேர்க்கவும். கொத்தமல்லித் தழை தூவி இறக்கவும். ருசியான முட்டை சால்னா ரெடி.</t>
  </si>
  <si>
    <t>https://www.kannammacooks.com/muttai-mass-and-salna-recipe/</t>
  </si>
  <si>
    <t>https://youtu.be/H00KY3L6pak</t>
  </si>
  <si>
    <t>Chettinad Egg Curry</t>
  </si>
  <si>
    <t>செட்டிநாட்டு முட்டைக் குழம்பு</t>
  </si>
  <si>
    <t>Eggs - 5
Tomato - 1
Mustard - 1/2 spoon
Turmeric powder - pinch
Salt - required
Coriander leaves - handful
Grind:
Small onion - 100 grams
Thaniya - 3 tablespoons
Pepper - 1 tablespoon
Cereal seeds - one and a half tablespoons
Denise - 1/2 spoon
Dried chilies - 2
Asimbu - 1/2 spoon
Baking powder - 2
Cloves - 2
Garlic - 6 cloves
Ginger - a small piece
Coconut paste - 2 tablespoons
Caraway seeds - a bunch</t>
  </si>
  <si>
    <t>முட்டை - 5
தக்காளி - 1
கடுகு - 1/2 ஸ்பூன்
மஞ்சள் தூள் - சிட்டிகை அளவு
உப்பு - தேவையான அளவு
கொத்தமல்லித் தழை - கைப்பிடி அளவு
அரைக்க:
சின்ன வெங்காயம் - 100 கிராம்
தனியா - 3 டேபிள் ஸ்பூன்
மிளகு - 1 ஸ்பூன்
சீரகம் - ஒன்றரை ஸ்பூன்
வெந்தயம் - 1/2 ஸ்பூன்
மிளகாய் வற்றல் - 2
சோம்பு - 1/2 ஸ்பூன்
பட்டை - 2
கிராம்பு - 2
பூண்டு - 6 பல்
இஞ்சி - ஒரு சிறு துண்டு
தேங்காய் விழுது - 2 டேபிள் ஸ்பூன்
கருவேப்பிலை - ஒரு கொத்து</t>
  </si>
  <si>
    <t>Boil 5 eggs and peel them.
1 Chop the tomato into powder.
Next, fry the other ingredients except the onion, ginger and garlic in a pan without adding oil.
Pour a little oil into the pan and fry the onion, ginger and garlic.
Then grind all the fried ingredients together with the ginger, ginger and garlic until they are fine.
Finally, put the pan on the stove and when the oil is hot, add the mustard seeds and curry leaves and fry the tomatoes. When the tomatoes are cooked to a pulp, add the ground spices and fry them. Leave a little water and let it boil.
When the gravy boils, add the coconut paste and let it boil further. After boiling for two minutes, lightly scratch both sides of the hard-boiled eggs and add them to the gravy. Reduce the heat and simmer for another five minutes, then sprinkle with coriander leaves and serve.
Chettinad egg curry with a fragrant aroma is ready. It is not only delicious to pour over rice but also goes well with other types of divans like idli, dosa, chapati etc.</t>
  </si>
  <si>
    <t>5 முட்டையை வேகவைத்து தோலுரித்துக்கொள்ளவும்.
1 தக்காளியை பொடியாக நறுக்கி வைக்கவும்.
அடுத்து வெங்காயம், இஞ்சி, பூண்டு தவிர அரைக்கக் கொடுத்துள்ள மற்ற பொருள்களை வாணலியில் எண்ணெய்ஊற்றாமல் தணலில் ஒவ்வொன்றாக தனித் தனியே லேசாக வறுத்துக்கொள்ளவும்.
வெங்காயம், இஞ்சி, பூண்டை வாணலியில் சிறிதளவு எண் ணெய் ஊற்றிக் காய்ந்ததும் அதில் போட்டு வதக்கிக்கொள்ள வும்.
பின் வறுத்து வைத்துள்ள பொருள்கள் அனைத்தையும் வெங் காயம்,இஞ்சி,பூண்டுடன் சேர்த்து மைபோல் அரைத்துக் கொள்ளவும்.
கடைசியாக அடுப்பில் வாணலி வைத்து எண்ணெய் ஊற்றிக் காய்ந்ததும் கடுகு, கருவேப்பிலை தாளித்து தக்காளியைப் போட்டு வதக்கவும். தக்காளி கூழாக வதங்கியதும், அரைத்து வைத்துள்ள மசாலாவைப் போட்டுப் பிரட்டி வதக்கவும். ஒரு தம்ளர் தண்ணீர் விட்டுக் கொதிக்கவிடவும்.
குழம்பு கொதி வந்ததும் தேங்காய் விழுது சேர்த்து மேலும் கொதிக்கவிடவும். இரண்டு நிமிடங்கள் கொதித்ததும் வேக வைத்துள்ள முட்டைகளை இரு பக்கமும் லேசாகக் கீறிஉ குழம் பில் போடவும். தீயை சிறிதாக்கி மேலும் ஐந்து நிமிடங்கள் கொதிக்கவிட்டு கொத்தமல்லித் தழை தூவி இறக்கவும்.
கமகம வாசத்துடன் செட்டிநாட்டு முட்டைக் குழம்பு தயார். இது சாதத்தில் ஊற்றிக்கொள்ள மட்டுமல்லாமல் இட்லி, தோசை, சப்பாத்தி போன்ற டிபன் வகைகளுக்கும் தொட்டுக்கொள்ள சுவையாக இருக்கும்.</t>
  </si>
  <si>
    <t>https://spicyindiankitchen.com/wp-content/uploads/2019/12/egg-curry-23.jpg</t>
  </si>
  <si>
    <t>Chettinad Egg Paniyarak Curry</t>
  </si>
  <si>
    <t>செட்டிநாட்டு முட்டை பணியாரக் குழம்பு</t>
  </si>
  <si>
    <t>Egg - Large Onion,
Small Onion - 100 grams,
Tomato - 2,
Garlic - 50 grams,
Tamarind - Lemon size,
Green Chillies - 2,
Mixed Chilli Powder - 4 spoons,
Turmeric Powder - 1/2 spoon,
Oil - 100 ml,
Salt - As required
Seasoning:
Mustard - 1/2 spoon,
Cumin - 1 spoon,
Denise - 1/2 spoon,
Curry leaves, coriander leaves - a handful</t>
  </si>
  <si>
    <t>முட்டை - பெரிய வெங்காயம்,
சின்ன வெங்காயம் - 100 கிராம்,
தக்காளி - 2,
பூண்டு - 50 கிராம்,
புளி - எலுமிச்சை அளவு,
பச்சை மிளகாய் - 2,
கலந்த மிளகாய் தூள் - 4 ஸ்பூன்,
மஞ்சள் தூள் - 1/2 ஸ்பூன்,
எண்ணெய் - 100 மி.லி,
உப்பு - தேவையான அளவு
தாளிக்க:
கடுகு - 1/2 ஸ்பூன்,
சீரகம் - 1 ஸ்பூன்,
வெந்தயம் - 1/2 ஸ்பூன்,
கறிவேப்பிலை, கொத்தமல்லித் தழை - ஒருபிடி</t>
  </si>
  <si>
    <t>First break the egg, add 4 spoons of turmeric powder, a little salt and beat it well. Then chop the large onion into powder and fry it and add it to the beaten egg and mix.
Then pour oil into the paniyarak stone, pour it into the paniyarak, and boil it.
Next, peel the small onion and garlic. Chop the tomato into powder and keep it aside. Cut the green chillies in half.
Melt the tamarind in a separate bowl and keep it aside.
Once everything is done, put a pan on the stove and pour oil and when it is hot, add mustard, cumin, fenugreek, and curry leaves and season. Then add the onion, green chillies, and garlic and fry it and finally add the dal. Once it is fried, add 4 spoons of turmeric powder, chilli powder, required salt, add tamarind paste and let it boil.
Once the gravy boils well and thickens, add the fried paniyaraks in it and remove it. The delicious Chetti Nadu Egg Paniyarak gravy is ready.</t>
  </si>
  <si>
    <t>முதலில் முட்டையை உடைத்து, அதில் 4 ஸ்பூன் மஞ்சள் தூள், சிறிதளவு உப்பு சேர்த்து நன்றாக அடித்துக் கலக்கவும். பின் பெரிய வெங்காயத்தை பொடியாக நறுக்கி வதக்கிக் கொண்டு அதையும் அடித்த முட்டையில் போட்டுக் கலக்கவும்.
பின் அந்த முட்டைக் கலவையை பணியாரக் கல்லில் எண்ணெய் ஊற்றி, பணியாரமாக ஊற்றி, வேக வைத்து எடுத்துக் கொள்ளவும்.
அடுத்து சின்ன வெங்காயம், பூண்டு ஆகியவற்றை தோல் உரித்துக் கொள்ளவும். தக்காளியை பொடியாக நறுக்கி வைக்க வும். பச்சை மிளகாயை இரண்டாகக் கீறிக் கொள்ளவும்.
புளியை ஒரு பாத்திரத்தில் தனியே கரைத்து வைத்துக் கொள்ள வும்.
எல்லாம் முடிந்ததும் அடுப்பில் வாணலியை வைத்து எண் ணெய் ஊற்றிக் காய்ந்ததும், கடுகு, சீரகம், வெந்தயம், கருவேப்பிலை போட்டுத் தாளிக்கவும். பின் வெங்காயம், பச்சை மிளகாய், பூண்டு ஆகியவற்றைப் போட்டு வதக்கி கடைசியாக தக்களியைச் சேர்த்து வதக்கவும். வதங்கியதும் 4 ஸ்பூன் மஞ்சள் தூள், மிளகாய் தூள், தேவையான அளவு உப்பு போட்டு, புளிக்கரைசலை ஊற்றிக் கொதிக்க விடவும்.
குழம்பு நன்றாகக் கொதித்து கெட்டியானவுடன், சுட்டு வைத்த பணியாரங்களை அதில் போட்டு இறக்கவும். கமகமக்கும் செட்டி நாடு முட்டை பணியாரக் குழம்பு ரெடி.</t>
  </si>
  <si>
    <t>https://cdn.ibcstack.com/article/ba317708-7b90-4553-9336-fb6b7d0ea82a/24-669381890f454.webp</t>
  </si>
  <si>
    <t>Mutton Salted Kandam Curry</t>
  </si>
  <si>
    <t>ஆட்டுக்கறி உப்புக்கண்டம் குழம்பு</t>
  </si>
  <si>
    <t>Curry</t>
  </si>
  <si>
    <t>5 Mutton Salted Kandams
Turam Dal - 100 grams
Onion - 2
Tomato - 4
Garlic - 6 cloves
Sambar Chilli Powder - 3 tablespoons
Mustard - 1/2 teaspoon
Asimbu - 1/2 teaspoon
Oil - 100 grams
Salt - as required
Curry leaves, coriander leaves - handful size</t>
  </si>
  <si>
    <t>ஆட்டுக்கறி உப்புக் கண்டம் 5 துண்டு,
துவரம் பருப்பு - 100 கிராம்,
வெங்காயம்  - 2,
தக்காளி  - 4,
பூண்டு - 6 பல்,
சாம்பார் மிளகாய் பொடி - 3 டேபிள் ஸ்பூன்,
கடுகு - 1/2 ஸ்பூன்,
சோம்பு - 1/2 ஸ்பூன்,
எண்ணெய் - 100 கிராம்,
உப்பு - தேவையான அளவு,
கறிவேப்பிலை, கொத்தமல்லித் தழை - கைப்பிடி அளவு</t>
  </si>
  <si>
    <t>This curry is very easy. First, grate the mutton salted kadam well. Chop the onion and tomato into powder. Crush the garlic.
Then wash the dal and put it in the cooker, add salt, onion, tomato, crushed garlic, sambar chili powder, required amount of salt and boil the gravy for a quarter of an hour. After the salt is cooked, add tamarind juice and boil for another five minutes and then turn off the heat.
Heat 2 spoons of oil in a pan and when it is hot, fry the cumin, mustard and anise and add it to the gravy. Sprinkle coriander leaves and serve.</t>
  </si>
  <si>
    <t>இந்தக் குழம்பு ரொம்பச் சுலபம். முதலில் ஆட்டுக்கறி உப்புக் கண்டத்தை நன்றாக தட்டிக்கொள்ளவும். வெங்காயம் தக்காளியை பொடியாக நறுக்கிக் கொள்ளவும். பூண்டை நசுக்கி வைக்கவும்.
பின் குக்கரில் துவரம்பருப்பை கழுவிப் போட்டு,கூடவே உப்புக் கண்டம், வெங்காயம், தக்காளி, நசுக்கி வைத்துள்ள பூண்டு, சாம்பார் மிளகாய் பொடி, தேவையான அளவு உப்பு சேர்த்து கால் மணி நேரம் குழம்பை கொதிக்கவிடவும். உப்புக்கண்டம் வெந்த பிறகு, அத்துடன் புளி சாறு ஊற்றி மேலும் ஐந்து நிமிடம் கொதிக்கவிட்டு இறக்கவும்.
வாணலியில் 2 ஸ்பூன் எண்ணெய் ஊற்றிக் காய்ந்ததும் கருவேப்பிலை, கடுகு, சோம்பு தாளித்து குழம்பில் கொட்ட வும். கொத்தமல்லித் தழை தூவி பரிமாறவும்.</t>
  </si>
  <si>
    <t>https://images.boldsky.com/webp/ta/img/2024/07/how-to-make-uppukandam-kuzhambu-1721996335.jpg</t>
  </si>
  <si>
    <t>Chettinad Chicken Rasam</t>
  </si>
  <si>
    <t>செட்டிநாட்டு கோழி ரசம்</t>
  </si>
  <si>
    <t>Chicken meat,
Bone pieces - 200 grams,
Large onion - 2,
Tomatoes - 3,
Ginger - 1 inch piece,
Green chilies - 2,
Garlic - 6 cloves,
Turmeric powder - a pinch,
Chili powder - 1 spoon,
Pepper powder - 2 spoons,
Cumin powder - 1 spoon,
Salt - as required,
For seasoning...
Asimbu - 1/2 spoon,
Bark - 1,
Leaf - 1</t>
  </si>
  <si>
    <t xml:space="preserve">
கோழிக் கறி ,
எலும்புத் துண்டுகள் - 200 கிராம்,
பெரிய வெங்காயம் - 2,
தக்காளி - 3,
இஞ்சி - 1 அங்குலத் துண்டு,
பச்சை மிளகாய் - 2,
பூண்டு  - 6 பல்,
மஞ்சள் தூள் - ஒரு சிட்டிகை,
மிளகாய் தூள் - 1 ஸ்பூன்,
மிளகுத் தூள் - 2 ஸ்பூன்,
சீரகத் தூள் - 1 ஸ்பூன்,
உப்பு - தேவையான அளவு,
தாளிக்க...
சோம்பு - 1/2 ஸ்பூன்,
பட்டை  - 1,
இலை  - 1,</t>
  </si>
  <si>
    <t>Wash and clean the chicken bones thoroughly.
Chop the onion, tomato, and ginger into powder. Crush the garlic. Chop the green chillies.
Next, put the pan on the stove and pour oil. When it is hot, add the anise, bark, leaves, onion, tomato, crushed garlic, ginger, green chillies and fry them well on low heat.
Once it is well fried, add the chicken bones and stir, add turmeric powder, chilli powder, required amount of salt and stir well. Add 4 cups of water and let it boil.
Once the water boils well, add pepper and cumin powder.
Once the curry is well cooked, sprinkle the curry leaves and coriander leaves and drain. Serve hot. It is good for colds and hoarseness. It stimulates appetite.</t>
  </si>
  <si>
    <t xml:space="preserve">கோழிக் கறி எலும்புகளை நன்கு கழுவி சுத்தம் செய்து கொள்ளவும்.
வெங்காயம், தக்காளி, இஞ்சியை பொடியாக நறுக்கி வைக்க வும். பூண்டை நசுக்கி வைக்கவும். பச்சை மிளகாயை கீறிக் கொள்ளவும்.
அடுத்து வாணலியை அடுப்பில் வைத்து எண்ணெய் ஊற்றிக் காய்ந்ததும் சோம்பு, பட்டை, இலை தாளித்து, வெங்காயம், தக்காளி, நசுக்கி வைத்த பூண்டு, இஞ்சி, பச்சை மிளகாய் போட்டு சிறு தீயில் நன்கு வதக்கவும்.
நன்கு வதங்கியதும் கோழி எலும்புகளைப் போட்டுக் கிளறி கூடவே மஞ்சள் தூள், மிளகாய் தூள், தேவையான அளவு உப்பு சேர்த்துக் கிளறி 4 தம்ளர் தண்னீர் சேர்த்துக் கொதிக்க விடவும்.
தண்ணீர் நன்கு கொதித்ததும் மிளகு, சீரகத் தூளை சேர்க்கவும்.
கறி நன்றாக வெந்ததும் கருவேப்பிலை, கொத்தமல்லி தூவி இறக்கிவிடவும். சுடச் சுட பரிமாறவும். சளி, தொண்டை கரகரப்புக்கு இது இதமானது. நன்கு பசியைத் தூண்டும்.
</t>
  </si>
  <si>
    <t>https://www.masalakorb.com/wp-content/uploads/2015/06/Chicken-Rasam-Indian-Chicken-Soup-V1.jpg</t>
  </si>
  <si>
    <t>Crab Rasam</t>
  </si>
  <si>
    <t>நண்டு ரசம்</t>
  </si>
  <si>
    <t>Crab - 1/2 kg (5 crabs),
Large onion - 2,
Small onion - 100 grams,
Tomato - 3,
Ginger | garlic paste - one tablespoon,
Green chilies - 2,
Chilli powder - 1 tablespoon,
Cumin powder - 1 tablespoon,
Chilli powder - 1 tablespoon,
Grated coconut - 4 tablespoons,
Turmeric powder - a pinch,
Cumin (for seasoning) - 1 tablespoon,
Oil - 50 grams,
Salt - as needed,
Caraway seeds | coriander - handfuls</t>
  </si>
  <si>
    <t xml:space="preserve">
நண்டு - 1/2 கிலோ (5 நண்டுகள்),
பெரிய வெங்காயம்  - 2,
சின்ன வெங்காயம் - 100 கிராம்,
தக்காளி - 3,
இஞ்சி - ஒரு டேபிள் ஸ்பூன்,
பூண்டு விழுது - ஒரு டேபிள் ஸ்பூன்,
பச்சை மிளகாய் - 2,
மிளகுத் தூள் - 1 ஸ்பூன்,
சீரகத் தூள் - 1 ஸ்பூன்,
மிளகாய் தூள் - 1 ஸ்பூன்,
தேங்காய் துருவல் - 4 டேபிள் ஸ்பூன்,
மஞ்சள் தூள் - சிட்டிகை அளவு,
சீரகம் (தாளிக்க) - 1 ஸ்பூன்,
எண்ணெய் - 50 கிராம்,
உப்பு - தேவையான அளவு,
கருவேப்பிலை - கைப்பிடி அளவு
கொத்தமல்லி - கைப்பிடி அளவு</t>
  </si>
  <si>
    <t>Break the crab, clean it well and wash it.
Next, chop the large onion and 2 tomatoes into powder.
After that, grind 100 small onions, one tomato, and grated coconut together until smooth like ink.
Then put the pan on the stove and pour oil. When it is hot, add mustard seeds and cumin seeds.
 Add onion and fry until golden brown. Also add ginger garlic paste and the raw smell will go away.</t>
  </si>
  <si>
    <t xml:space="preserve">நண்டை உடைத்து நன்கு சுத்தம் செய்து கழுவி வைத்துக் கொள்ளவும்.
அடுத்து பெரிய வெங்காயம், 2 தக்காளியை பொடியாக நறுக்கி வைத்துக்கொள்ளவும்.
அதற்குப் பிறகு 100 சின்ன வெங்காயம், ஒரு தக்காளி, தேங் காய் துருவல் மூன்றையும் ஒன்றாக மை போல மழமழப்பாக அரைத்துக்கொள்ளவும்.
பின் வாணலியை அடுப்பில் வைத்து எண்ணெய் ஊற்றி காய்ந்ததும் கடுகு உளுந்து, சீரகம் போட்டு தாளிக்கவும். வெங்காயத்தைப் போட்டு பொன் கலரில் வதக்கவும்.கூடவே இஞ்சி பூண்டு விழுதைப் போட்டு பச்சை வாசனை போகும்
</t>
  </si>
  <si>
    <t>https://sautefrynbake.com/wp-content/uploads/2016/12/FullSizeRender-16.jpg</t>
  </si>
  <si>
    <t>Liver and bone soup</t>
  </si>
  <si>
    <t>ஈரல் எலும்பு சூப்</t>
  </si>
  <si>
    <t>Liver, bone - 150 grams,
Onion - 1,
Tomato - 1,
Ginger, garlic paste - 1 tablespoon,
Oil - 3 tablespoons,
Caraway leaves | coriander - handful,
Salt - required amount,
Pepper powder - 2 tablespoons</t>
  </si>
  <si>
    <t>ஈரல், எலும்பு - 150கிராம்,
வெங்காயம் - 1,
தக்காளி - 1,
இஞ்சி, பூண்டு விழுது - 1 டேபிள் ஸ்பூன்,
எண்ணெய் - 3 டேபிள் ஸ்பூன்,
கருவேப்பிலை | கொத்தமல்லி - கைப்பிடி அளவு,
உப்பு - தேவையான அளவு,
மிளகுத் தூள் - 2 ஸ்பூன்</t>
  </si>
  <si>
    <t>First, chop the onion into powder. Then grind the tomato separately with a handful of black neem leaves and coriander.
Next, put a cooker on the stove and add oil and fry the onion and curry leaves after it dries. Then add the liver and bone and fry for a while. Then add the ground tomato paste
and cook. Add water as required for the soup and add salt as required.
When the liver and bones are cooked well, sprinkle pepper and coriander on it and serve. The spicy liver and bone soup with a spicy aroma is ready. Serve it hot.
This soup is very good for pregnant women. It is also beneficial for children and the elderly.</t>
  </si>
  <si>
    <t>முதலில் வெங்காயத்தை பொடியாக நறுக்கி வைத்துக் கொள்ளவும். பின் தக்காளியை தனியே கைப்பிடி அளவு கரு வேப்பிலை, கொத்தமல்லியுடன் சேர்த்து அரைத்து வைத்துக் கொள்ளவும்.
அடுத்து அடுப்பில் குக்கர் வைத்து எண்ணெய் ஊற்றி காய்ந்த பின்பு வெங்காயம் கறிவேப்பிலையை போட்டு வதக்கவும். பின் கூடவே ஈரல் மற்றும் எலும்பைச் சேர்த்து சற்று நேரம் வதக்கவும். பிறகு அரைத்து வைத்துள்ள தக்காளி விழுதை
ஊற்றிப் பிரட்டவும். அதனுடன் சூப் தேவைப்படும் அளவுக்கு தண்ணீர் ஊற்றி, தேவையான அளவு உப்பைப் போடவும்.
ஈரல், எலும்பு நன்கு வெந்ததும் அதன் மேல் மிளகுத்தூள் மற்றும் கொத்தமல்லி தூவி இறக்கவும். கம கம வாசனை யுடன் காரசாரமான ஈரல் எலும்பு சூப் ரெடி. அப்படியே சூடாக பரிமாறவும்.
இந்த சூப் கர்ப்பிணி பெண்களுக்கு மிக மிக நல்லது. குழந்தை கள் மற்றும் முதியவர்களுக்கும் உடல் உரத்துக்கு நலன் தருவது.</t>
  </si>
  <si>
    <t>https://cdn.ibcstack.com/article/7499ce8a-3fcb-49c8-9b80-7d4b39dbbb72/24-66b1693be7566.webp</t>
  </si>
  <si>
    <t>Goat spleen soup</t>
  </si>
  <si>
    <t>ஆட்டு  மண்ணீரல் சூப்</t>
  </si>
  <si>
    <t>Goat spleen,
Small onion - 150 grams,
Green chilies - 2,
Chili powder - 2 spoons,
Cumin powder - 1 spoon,
Ginger - 1 inch piece,
Garlic - 8 cloves,
Berry | cinnamon |  bay leaf - 1 each,
Salt - as needed,
Oil - 2 tablespoons,
Turmeric powder - 1/2 spoon</t>
  </si>
  <si>
    <t>ஆட்டு மண்ணீரல்,
சின்ன வெங்காயம் - 150 கிராம்,
பச்சை மிளகாய் - 2,
மிளகுத் தூள் - 2 ஸ்பூன்,
சீரகத்தூள் - 1 ஸ்பூன்,
இஞ்சி - ஒரு அங்குலத் துண்டு,
பூண்டு - 8 பல்,
பட்டை | லவங்கம், பிரியாணி இலை - தலா ஒன்று,
உப்பு - தேவையான அளவு,
எண்ணெய் - 2 டேபிள் ஸ்பூன்,
மஞ்சள் தூள் - 1/2 ஸ்பூன்</t>
  </si>
  <si>
    <t>Drain the spleen well and cut it into pieces.
Chop the onion into two or four pieces. 
Peel the chilies and keep them. 
Crush the ginger and garlic.
Then put a pan on the stove and add oil and when it dries, add the bay leaf, cinnamon and bay leaf. Then add the onion and fry it. When the onion is golden brown, add the spleen and stir it with turmeric powder, red chili powder, crushed ginger and garlic. Add water to the required amount of soup and boil it. When the soup boils and the spleen is cooked, add pepper and cumin powder to the soup. Sprinkle with black pepper and coriander and serve.
The spleen soup is ready. Serve hot.</t>
  </si>
  <si>
    <t>மண்ணீரலை நன்கு செய்து துண்டுகளாக்கிக் கொள்ளவும்.
வெங்காயத்தை இரண்டு நான்காக நறுக்கிக் கொள்ளவும். 
மிளகாயை கீறி வைக்கவும். இஞ்சி, பூண்டை நசுக்கி வைக்கவும்.
பின் அடுப்பில் வாணலி வைத்து எண்ணெய் விட்டுக் காய்ந்த தும் பட்டை, இலவங்க பிரியாணி இலை போட்டு தாளிக்கவும். பின் வெங்காயம் சேர்த்து வதக்கவும், வெங்காயம் பொன்னிறமாக வதங்கியதும் கூடவே மண்ணீரலைப் போட்டு, அதனுடன் மஞ்சள்தூள், ப.மிளகாய், நசுக்கி வைத்த இஞ்சி, பூண்டு எல்லாவற்றையும் சேர்த்துக் கிளறவும். எவ்வளவு சூப் தேவையோ அவவளவுக்கு தண்ணீர் சேர்த்து கொதிக்கவிடவும். சூப் கொதித்து மண்ணீரல் வெந்ததும் மிளகு, சீரகப் பொடியை சூப்பின் மேல் சேர்க்கவும். கருவேப் பிலை, கொத்தமல்லியைத் தூவி இறக்கவும். 
மண்ணீரல் சூப் ரெடி. சூடாகப் பரிமாறவும்.</t>
  </si>
  <si>
    <t>Chettinad Fish Soup</t>
  </si>
  <si>
    <t>செட்டிநாட்டு மீன் சூப்</t>
  </si>
  <si>
    <t>Fish - 1/4 kg,
Tomato - 2,
Pepper - 2 teaspoons,
Cereal - 1 teaspoon,
Garlic - 10 cloves,
Dried chilies - 5,
Tamarind - the size of a small lemon,
Mustard, urad dal - 1/2 spoon,
Turmeric powder - 1/2 teaspoon,
Oil - 2 teaspoons,
Salt - as needed,
Coriander - a handful</t>
  </si>
  <si>
    <t>வஞ்சிரம் மீன் - 1/4 கிலோ,
தக்காளி - 2,
மிளகு - 2 டீஸ்பூன்,
சீரகம் - 1 டீஸ்பூன்,
பூண்டு - 10 பல்,
காய்ந்த மிளகாய் - 5,
புளி - சிறு எலுமிச்சை அளவு,
கடுகு | உளுந்தப் பருப்பு - 1/2 ஸ்பூன்,
மஞ்சள் பொடி - 1/2 டீஸ்பூன்,
எண்ணெய் - 2 டீஸ்பூன்,
உப்பு - தேவையான அளவு,
கொத்தமல்லி - கைப்பிடி அளவு</t>
  </si>
  <si>
    <t>First, wash the fish well and cut it into pieces.
Next, chop the tomatoes into powder. Crush the pepper, cumin, and garlic well.
Dissolve the tamarind in 2 cups of water and crush it. Add the crushed pepper, cumin, garlic, turmeric powder, salt, and chopped tomatoes and boil. When the water boils and foams, add the fish pieces.
When the fish is cooked and floats to the top, remove it. If you wait too long, the fish will melt. Then, heat oil in a pan, add mustard seeds, urad dal, and a pinch of dried chilies and season. Pour the seasoning into the soup. Sprinkle with coriander and serve.</t>
  </si>
  <si>
    <t>முதலில் மீனை நன்றாகக் கழுவி துண்டுகளாக்கிக் கொள்ள வும்.
அடுத்து தக்காளியை பொடியாக நறுக்கிக்கொள்ளவும். மிளகு, சீரகம், பூண்டை நன்கு நசுக்கி வைத்துக்கொள்ளவும்.
புளியை 2 தம்ளர் தண்ணீரில் கரைத்து அதில் நசுக்கி வைத் துள்ள மிளகு, சீரகம், பூண்டு, மஞ்சள் பொடி, உப்பு மற்றும் நறுக்கிய தக்காளி சேர்த்து கொதிக்கவிடவும். தண்ணீர்
கொதித்து நுரை வரும் சமயத்தில் மீன் துண்டுகளை சேர்க்கவும்.
மீன் வெந்து மேலே மிதக்கும்போது இறக்கிவிடவும். தாமதித் தால் மீன் கரைந்து விடும். பின் வாணலியில் எண்ணெய் விட்டு கடுகு உளுத்தம் பருப்பு, காய்ந்த மிளகாய் கிள்ளிப் போட்டு தாளிக்கவும். தாளிப்பை சூப்பில் ஊற்றவும். கொத்தமல்லி தூவி பரிமாறவும்.</t>
  </si>
  <si>
    <t>Mutton Biryani</t>
  </si>
  <si>
    <t>ஆட்டுக்கறி பிரியாணி</t>
  </si>
  <si>
    <t>Mutton - 1 kg, Biryani rice - 1 kg, Small onion - 1/4 kg, Tomato - 1/4 kg, Green chillies - 100 g (10 to 12 chillies), Ginger garlic paste - 3 tbsp, Baking | cinnamon | biryani leaves - 2 each, Cardamom - 3, Mint - handful, Coriander leaves - handful, Asimbu - 1/2 spoon, Coconut milk - 2 cups, Turmeric powder - pinch, Ghee - 50 g, Oil - 100 g, Salt - as required</t>
  </si>
  <si>
    <t>ஆட்டுக்கறி - 1 கிலோ,  பிரியாணி அரிசி - 1 கிலோ,  சின்ன வெங்காயம் - 1/4 கிலோ,  தக்காளி - 1/4 கிலோ, பச்சை மிளகாய் - 100 கிராம் (10 முதல் 12 மிளகாய்),  இஞ்சி பூண்டு விழுது - 3 டேபிள் ஸ்பூன், பட்டை | லவங்கம் | பிரியாணி இலை - தலா 2,  ஏலக்காய்  - 3, புதினா - கைப்பிடி அளவு, கொத்தமல்லித் தழை - கைப்பிடி அளவு, சோம்பு - 1/2 ஸ்பூன், தேங்காய்ப் பால் - 2 கப், மஞ்சள் தூள் - சிட்டிகை அளவு, நெய் - 50 கிராம், எண்ணெய் - 100 கிராம், உப்பு - தேவையான அளவு</t>
  </si>
  <si>
    <t>Clean the mutton and cut it into pieces. Chop the onion and tomato, grate the green chillies and prepare. Next, pour ghee and oil in the cooker and add anise, cinnamon, cardamom, bay leaves. Add the onion, ginger, garlic paste and fry. Fry until the raw smell of the paste goes away and then add the dal. Add turmeric powder, mint, coriander leaves and fry and add the mutton. Then add a cup of hot water and cook as required. After the mutton is cooked well, pour coconut milk. Then wash and drain the biryani rice. Pour water. One cup of water is the ratio of one cup of rice to one cup of rice. Add salt as required for the biryani and cover the cooker. Cook for 2 whistles. Wow! Chettinad Mutton Biryani with its delicious aroma is ready. The perfect combination of onion tart and crispy topping.</t>
  </si>
  <si>
    <t>சமைக்கும்விதம்: ஆட்டுக்கறியை சுத்தம் செய்து துண்டுகளாக்கி வைத்துக் கொள்ளவும். வெங்காயம், தக்காளியை நறுக்கிக் கொண்டு, பச்சை மிளகாயை கீறி வைத்து தயாராகவும். அடுத்து குக்கரில் நெய் மற்றும் எண்ணெயை ஊற்றி சோம்பு, பட்டை, லவங்கம், ஏலக்காய், பிரியாணி இலை தாளிக்கவும். வெங்காயம், இஞ்சி, பூண்டு விழுது சேர்த்து வதக்கவும். விழுது பச்சை வாசனை போகும்வரை வதக்கி பின் தக் காளியை சேர்த்து வதக்கவும். மஞ்சள் தூள், புதினா, கொத்த மல்லி போட்டு வதக்கி ஆட்டுக்கறியைச் சேர்த்துக் கிளறவும். பின் ஒரு தம்ளர் சுடுநீர் சேர்த்து தேவையான அளவு போட்டு வேகவிடவும். ஆட்டுக்கறி நன்கு வெந்த பிறகு, தேங்காய்ப் பால் ஊற்றவும். பின் பிரியாணி அரிசியைக் கழுவி களைந்து போடவும். தண்ணீர் ஊற்றவும். ஒரு தம்ளர் அரிசிக்கு ஒரு தம்ளர் தண்ணீர் என்பது கணக்கு. பிரியாணிக்கு தேவையான அளவு உப்பு சேர்த்து குக்கரை மூடி போட்டு போடவும். 2 விசில் விட்டு இறக்கவும். ஆஹா! கமகமக்கும் வாசனையுடன் செட்டிநாட்டு ஆட்டுக்கறி பிரியாணி ரெடி. தொட்டுக்கொள்ள வெங்காயப் பச்சடி சரியான காம்பினேஷன்.</t>
  </si>
  <si>
    <t>https://images.hindustantimes.com/tamil/img/2024/06/06/550x309/Chennai_Mutton_Biryani_1710659287055_1717656332691.jpg</t>
  </si>
  <si>
    <t>Chettinad Chicken Pulao</t>
  </si>
  <si>
    <t>செட்டிநாட்டு சிக்கன் புலாவ்</t>
  </si>
  <si>
    <t>Lunch</t>
  </si>
  <si>
    <t>Chicken - 1/2 kg
Biryani rice - 2 cups
Onion - 2
Green chillies - 4
Ginger, garlic minced - 1 spoon
Mint - handful
Cardamom powder - 1/2 spoon
Nutmeg powder - 1/2 spoon
Turmeric powder - 1/4 teaspoon
Coconut milk - 2 cups
Ghee - 1/2 tablespoon
Oil - 2 tablespoons
Garram masala - 1 teaspoon
Salt - as required
For seasoning
Baking soda - 1 small piece
Cloves - 4
Cardamom - 2
Biryani leaves - 2
Curry leaves - a few</t>
  </si>
  <si>
    <t>கோழிக்கறி - 1/2 கிலோ
பிரியாணி அரிசி - 2 கப்
வெங்காயம் - 2
பச்சை மிளகாய் - 4
இஞ்சி, பூண்டு இழுது - 1 ஸ்பூன்
புதினா - கைப்பிடி அளவு
ஏலக்காய் தூள் - 1/2 ஸ்பூன்
ஜாதிக்காய் தூள் - 1/2 ஸ்பூன்
மஞ்சள்தூள் - 1/4 டீஸ்பூன்
தேங்காய்ப்பால் - 2 கப்
நெய் - 1/2 டேபிள்ஸ்பூன்
எண்ணெய் - 2 டேபிள் ஸ்பூன்
கரம் மசாலா - 1 டீஸ்பூன்
உப்பு - தேவையான அளவு
தாளிக்க
பட்டை - 1 சின்ன துண்டு
கிராம்பு - 4
ஏலக்காய் - 2
பிரியாணி இலை - 2
கறிவேப்பிலை - சிறிது</t>
  </si>
  <si>
    <t>Wash and clean the chicken thoroughly Add ginger, garlic paste, yogurt, garam masala and let it marinate for 1 hour.
Slice the onion lengthwise. Peel the green chillies. Then take half of the chopped onion and fry it in oil until golden brown and keep it aside.
Next, in a cooker, add ghee and oil, add the curry leaves, peel, cloves, cardamom, bay leaves and fry them. Add the remaining onion, green chillies and mint. Add turmeric powder and marinate the chicken and fry it well.
Once everything is well fried, add rice, coconut milk, required salt and 2 cups of water. Cook for 3 whistles.
Then remove the rice and chicken and mix well. Add cardamom and nutmeg powder and stir fry it and sprinkle the fried onion on top and serve.</t>
  </si>
  <si>
    <t>சிக்கனை நன்கு கழுவி சுத்தம் செய்ததும் அதனுடன் இஞ்சி, பூண்டு விழுது, தயிர், கரம் மசாலா சேர்த்து 1 மணிநேரம் ஊறவிடவும்.
வெங்காயத்தை மெலிதாக நீளவாக்கில் நறுக்கவும். பச்சை மிளகாயை கீறிக்கொள்ளவும். பின் நறுக்கிய வெங்காயத்தில் பாதியை எடுத்து எண்ணெயில் பொன்னிறமாக பொரித்துத் தனியாக வைத்துக்கொள்ளவும்.
அடுத்து குக்கரில் நெய் மற்றும் எண்ணெய் விட்டு கருவேப் பிலை, பட்டை, கிராம்பு, ஏலக்காய், பிரியாணி இலை போட்டு தாளித்து மீதமுள்ள வெங்காயம், பச்சை மிளகாய், புதினா போட்டு வதக்கவும். கூடவே மஞ்சள் பொடி சேர்த்து ஊற வைத்துள்ள சிக்கனையும் போட்டு நன்கு வதக்கவும்.
எல்லாம் சேர்ந்து நன்கு வதங்கியதும் அரிசி, தேங்காய்ப்பால், தேவையான அளவு உப்பு மற்றும் 2 கப் தண்ணீர் ஊற்றவும். 3 விசில் வரை வேகவிடவும்.
பின் இறக்கினால் சாதம், சிக்கன் கலந்து நன்கு வெந்திருக்கும். அதனுடன் ஏலக்காய், ஜாதிக்காய் தூள் சேர்த்துக் கிளறி பொரித்து எடுத்து வைத்துள்ள வெங்காயத்தை மேலாகத் தூவிப் பரிமாறவும்.</t>
  </si>
  <si>
    <t>https://blogger.googleusercontent.com/img/b/R29vZ2xl/AVvXsEgpGLxOYd8n3TwKIpjLopAR-Fd5RguW3_pMZJBO2R8TLcMWu7ui82Omj9UIZEDTGqY0jTtYxn-iy67ET2SD7mGnzZR1FHDVxEEQcBwqllmEtJP4mzL07ySaWx6ar0zxj-88sJvwEXMXFE4K/s1600/Chicken+Biryani+in+pressure+cooker.JPG</t>
  </si>
  <si>
    <t>Chettinad Fish Biryani</t>
  </si>
  <si>
    <t>செட்டிநாட்டு மீன் பிரியாணி</t>
  </si>
  <si>
    <t>Biryani rice - 1/2,
Fish pieces (vanjiram / kodua or any other fish) - 1/2 kg,
Large onion - 2,
Tomato - 2,
Green chillies - 3,
Ginger, garlic paste - 2 tablespoons,
Mint - a handful,
Coriander leaves - a handful,
Turmeric powder - a teaspoon,
Chili powder - 2 teaspoons,
Garlic powder - 2 teaspoons,
Baking powder, cloves, cardamom - 2 each,
Yogurt - half a cup,
Oil - 100 grams,
Salt - as required</t>
  </si>
  <si>
    <t>பிரியாணி அரிசி - 1/2,
மீன் துண்டுகள்(வஞ்சிரம் / கொடுவா ஏதாவது ஒரு மீன்) - 1/2 கிலோ,
பெரிய வெங்காயம் - 2,
தக்காளி - 2,
பச்சை மிளகாய் - 3,
இஞ்சி, பூண்டு விழுது  - 2 டேபிள் ஸ்பூன்,
புதினா - ஒரு கைப்பிடி அளவு,
கொத்தமல்லித் தழை - ஒரு கைப்பிடி அளவு,
மஞ்சள் தூள் - ஒரு தேக்கரண்டி,
மிளகாய் தூள் - 2 தேக்கரண்டி,
கரம் மசாலா பொடி - 2 தேக்கரண்டி,
பட்டை, கிராம்பு, ஏலக்காய் - தலா 2,
தயிர் - அரை கப்,
எண்ணெய் - 100 கிராம்,
உப்பு - தேவையான அளவு</t>
  </si>
  <si>
    <t>First, boil the biryani rice and drain the rice. The rice should be fluffy.
Next, wash and clean the fish well, add salt, turmeric powder, chili powder, and let it soak for a while, then fry it in oil until it is half cooked and keep it aside.
Chop the onion, tomato, and green chilies lengthwise.
Then put a pan on the stove and pour oil and when it is hot, add the bay leaves, cloves, and cardamom. Then add the onion and green chilies and fry until golden brown. Along with this, add the ginger and garlic paste and fry until the raw smell goes away. Then add the tomatoes, a little turmeric powder, chili powder, allspice powder, and salt and fry. After adding yogurt and coriander leaves, stir.
Then put the fried fish pieces in the spice mixture and cover and boil. When the mixture boils and the fish is cooked, remove the fish separately, pour the rice into it, and stir.
After adding the spices and stirring well, place the fish pieces on top of the rice, add mint and coriander leaves. Leave it on medium flame for another quarter of an hour.
Delicious Chettinad fish biryani is ready. Serve it with grilled onion pachdi.</t>
  </si>
  <si>
    <t>முதலில் பிரியாணி அரிசியை வேக வைத்து சாதத்தை வடித்துக் கொள்ளவும். சாதம் உதிர் உதிராக இருக்கவேண்டும்.
அடுத்து மீனை நன்றாகக் கழுவி சுத்தம் செய்து அதில் உப்பு, மஞ்சள் தூள், மிளகாய் தூள் சேர்த்து சிறிது நேரம் ஊற வைத்து பின் எண்ணெயில் போட்டு பாதி வேகும் அளவு பொரித் தெடுத்து தனியே வைத்துக்கொள்ளவும்.
வெங்காயம், தக்காளி, பச்சை மிளகாய் அனைத்தையும் நீளவாக்கில் நறுக்கி வைக்கவும்.
பிறகு அடுப்பில் வாணலி வைத்து எண்ணெய் ஊற்றிக் காய்ந்ததும் பட்டை, கிராம்பு, ஏலம் போட்டு தாளிக்கவும். பின் வெங்காயம், பச்சை மிளகாய் போட்டு பொன்னிறமாக வரும் வரை வதக்கவும். அத்துடன் கூடவே இஞ்சி, பூண்டு விழுது சேர்த்து பச்சை வாசனை போகும் வரை வதக்கவும். பிறகு தக்காளி, சிறிது மஞ்சள் தூள், மிளகாய் தூள், மசாலா தூள், உப்பு சேர்த்து வதக்கிய பின் தயிர், கொத்தமல்லித் தழை சேர்த்துக் கிளறவும்.
பிறகு பொரித்த மீன் துண்டுகளை மசாலா கலவையில் போட்டு மூடி கொதிக்கவிடவும். கலவை கொதித்து மீன் வெந்ததும் மீனை தனியே எடுத்து விட்டு, சாதத்தை அதில் கொட்டிக் கிளறவும்.
மசாலா சேர்த்து நன்கு கிளறியவுடன் சாதத்தின் மேல் மீன் துண்டுகளை போட்டு, புதினா, மல்லி இலை சேர்க்கவும். மேலும் கால்மணி நேரம் மிதமான தீயில் விட்டு இறக்கவும்.
ருசியான செட்டிநாட்டு மீன் பிரியாணி தயார். சுடச் சுட வெங்காயப் பச்சடியுடன் பரிமாறவும்.</t>
  </si>
  <si>
    <t>https://www.home-cooking-haven.com/images/Fish-Biryani.jpg</t>
  </si>
  <si>
    <t>Crab and Eggplant Curry</t>
  </si>
  <si>
    <t>நண்டு கத்திரிக்காய் குருமா</t>
  </si>
  <si>
    <t>Seafoods</t>
  </si>
  <si>
    <t>Crab - 1 kg,
Large onion - 2 large,
Large tomato - 1,
Eggplant - 4,
Feniseum - 1/2 spoon,
Ginger garlic paste - 1 tablespoon,
Turmeric powder - 1/4 spoon,
Sambar chili powder - 2 tablespoons,
Coconut - 1/2 lid,
Carom seeds - a bunch,
Oil - 100,
Salt - as needed</t>
  </si>
  <si>
    <t>நண்டு - 1 கிலோ,
பெரிய வெங்காயம் - 2 பெரியது,
பெரிய தக்காளி - 1,
கத்திரிக்காய் - 4,
சோம்பு - 1/2 ஸ்பூன்,
இஞ்சி பூண்டு விழுது - 1 டேபிள் ஸ்பூன்,
மஞ்சள் தூள் - 1/4 ஸ்பூன்,
சாம்பார் மிளகாய் தூள் -  2 டேபிள் ஸ்பூன்,
தேங்காய் - 1/2 மூடி,
கருவேப்பிலை - ஒரு கொத்து,
எண்ணெய் - 100,
உப்பு - தேவையான அளவு,</t>
  </si>
  <si>
    <t>First, wash and clean the crab well.
Next, cut the eggplant, onion, and tomato lengthwise. Grate the coconut and take the milk and keep it aside.
Then, pour oil in a pan and when it is hot, add the aniseed, onion, and eggplant and fry it. Add ginger and garlic paste and fry until the raw smell goes away. Add tomatoes and fry until they turn into pulp.
Once everything is fried, add turmeric powder, chili powder, required amount of salt and fry until it turns into a paste. Then add coconut milk. Add required amount of water and let it boil. Once it comes to a boil, add cleaned crab. Let it boil further.
Once the chili powder has dissolved and the gravy has boiled well, sprinkle curry leaves and coriander leaves and serve hot.</t>
  </si>
  <si>
    <t>முதலில் நண்டை நன்கு கழுவிச் சுத்தம் செய்து வைத்துக் கொள்ளவும்.
அடுத்து கத்திரிக்காய், வெங்காயம், தக்காளியை நீளவாக்கில் வெட்டி வைக்கவும். தேங்காயைத் துருவி பால் எடுத்து தனியே வைத்துக்கொள்ளவும்.
பின் வாணலியில் எண்ணெய் ஊற்றிக் காய்ந்ததும் சோம்பு தாளித்து வெங்காயம், கத்தரிக்காய் போட்டு வதக்கவும். கூடவே இஞ்சி, பூண்டு விழுது சேர்த்து வதக்கி பச்சை வாசனை போனதும் தக்காளியைச் சேர்த்து கூழாகும்வரை வதக்கவும்.
எல்லாம் வதங்கியதும் மஞ்சள் தூள், மிளகாய் தூள், தேவை யான அளவு உப்பு சேர்த்துப் பிரட்டி வதக்கி பின் தேங்காய் பாலை ஊற்றவும். கூடவே தேவையான அளவு தண்ணீர் ஊற்றிக் கொதிக்க விடவும். ஒரு கொதி வந்ததும் சுத்தம் செய்த நண்டைப் போடவும். மேலும் கொதிக்கவிடவும்.
மிளகாய் தூள் நெடி போய் குழம்பு நன்கு கொதித்து வந்ததும் கருவேப்பிலை, கொத்தமல்லித் தழை தூவி இறக்கவும். சுடச் சுட பரிமாறவும்.</t>
  </si>
  <si>
    <t>https://mauritian-cuisine.com/wp-content/uploads/2022/11/49161255_10156377194259102_1268528370514132992_n.jpg</t>
  </si>
  <si>
    <t>Shark Fish Peppercorns</t>
  </si>
  <si>
    <t>சுறா மீன் மிளகுக்குழம்பு</t>
  </si>
  <si>
    <t>Shark fish - 1/2 kg,
Tamarind - the size of a lemon,
Whole garlic - 2,
Pepper - 2 tablespoons,
Cumin - 1 tablespoon,
Chili powder - 1 tablespoon,
Curry leaves - a bunch,
Coriander leaves - a handful,
Vatagam - 1 tablespoon,
Oil - 100,
Salt - as needed</t>
  </si>
  <si>
    <t>சுறாமீன் - 1/2 கிலோ,
புளி - எலுமிச்சை பழம் அளவு,
முழுபூண்டு  - 2,
மிளகு - 2 ஸ்பூன்,
சீரகம் - 1 ஸ்பூன்,
மிளகாய்த்தூள் - 1 டேபிள் ஸ்பூன்,
கறிவேப்பிலை - ஒரு கொத்து,
கொத்தமல்லித் தழை - கைப்பிடி,
வடகம் - 1 டேபிள் ஸ்பூன்,
எண்ணெய் - 100,
உப்பு - தேவையான அளவு</t>
  </si>
  <si>
    <t>Wash and clean the shark thoroughly and cut it into pieces.
Then dissolve the tamarind and mix it with turmeric powder and chili powder in the tamarind paste. Peel and crush the garlic.
Place a pan on the stove and fry the pepper and cumin seeds without adding oil.
Then pour oil into the pan again and when it dries, add the Vadagam and fry it. When the gravy boils and the smell of chili powder disappears, add the cleaned shark fish, pepper and cumin powder and boil it further. When the gravy boils well and smells good, sprinkle the curry leaves and coriander leaves and remove.
The spicy shark fish gravy is ready.</t>
  </si>
  <si>
    <t>சுறாவை நன்கு கழுவி சுத்தம் செய்து துண்டுகள் போட்டு வைக்கவும்.
பின் புளியைக் கரைத்து புளிக்கரைசலில் மஞ்சள் தூள், மிளகாய் தூள் போட்டுக் கலந்து வைத்துக் கொள்ளவும். பூண்டை தோலுரித்து நசுக்கி வைக்கவும்.
அடுப்பில் வாணலிவைத்து எண்ணெய் விடாமல் மிளகு, சீரகத்தை வறுத்துப் பொடித்து வைக்கவும்.
பின் மீண்டும் வாணலியில் எண்ணெய் ஊற்றிக் காய்ந்ததும் வடகத்தைப் போட்டுத் தாளித்து புளிக்கரைசலை ஊற்றவும். குழம்பு கொதித்து மிளகாய் பொடி வாசனை போனதும் சுத்தம் செய்து வைத்த சுறா மீன், மிளகு சீரகப் பொடி சேர்த்து மேலும் கொதிக்கவிடவும். குழம்பு நன்கு கொதித்து மணம் வந்ததும் கருவேப்பிலை, கொத்தமல்லித் தூவி இறக்கவும்.
காரசாரமான சுறா மீன் குழம்பு தயார்.</t>
  </si>
  <si>
    <t>https://www.tamilnadutourism.tn.gov.in/img/pages/medium-desktop/nanjil-fish-curry-1656933378_c25ba5992e5fa1801b02.webp</t>
  </si>
  <si>
    <t>Prawn Potato Gravy</t>
  </si>
  <si>
    <t>இறால் உருளைக்கிழங்கு குருமா</t>
  </si>
  <si>
    <t>Prawns - 1/2 kg,
Potatoes - 200 g,
Big onion - 1,
Small onion - 50 g,
Tomatoes - 2,
Green chillies - 3,
Ginger and garlic paste - 1 tablespoon,
Turmeric powder - 1/4 spoon,
Chili powder - 1 tablespoon,
Coconut - 1/2 lid,
Anise - 1/4 spoon,
Poppy seeds - 1/2 spoon,
Baking powder - 1,
Cloves - 2,
Cardamom - 2,
Biryani leaf - 1</t>
  </si>
  <si>
    <t>இறால் - 1/2 கிலோ,
உருளைக்கிழங்கு - 200 கிராம்,
பெரிய வெங்காயம் - 1,
சின்ன வெங்காயம் - 50 கிராம்,
தக்காளி - 2,
பச்சை மிளகாய் - 3,
இஞ்சி, பூண்டு விழுது - 1 டேபிள் ஸ்பூன்,
மஞ்சள் தூள் - 1/4 ஸ்பூன்,
மிளகாய் தூள் - 1 டேபிள் ஸ்பூன்,
தேங்காய் - 1/2 மூடி,
சோம்பு - 1/4 ஸ்பூன்,
கசகசா - 1/2 ஸ்பூன்,
பட்டை - 1,
கிராம்பு - 2,
ஏலக்காய் - 2,
பிரியாணி இலை - 1</t>
  </si>
  <si>
    <t>Peel the prawns and clean them.
Finely chop the small onion and tomato.
Boil the potatoes, peel them and cut them into two.
Grind the onion, poppy seeds and green chillies together.
Next, pour oil in a pan and when it is hot, add the bay leaves, cloves, cardamom and bay leaves and fry the chopped onion. Next, add the ginger and garlic paste and fry until the raw smell goes away and then add the tomatoes. Add the boiled potatoes and fry them.
Then add turmeric powder, chilli powder and required salt and pour two cups of water and boil. When the gravy boils well, add the grated coconut mixture to the gravy. Add the cleaned prawns and boil for another five minutes and then drain.
Serve with curry leaves and coriander leaves.
This kuruma is a great addition not only to rice but also to other types of divans like idli, dosa and appam.</t>
  </si>
  <si>
    <t>இறாலை தோல் உரித்து சுத்தம் செய்து வைத்துக்கொள்ளவும்.
சின்ன வெங்காயம், தக்காளியைப் பொடியாக நறுக்கி வைக்க வும்.
உருளைக்கிழங்கை வேகவைத்து தோல் உரித்துக்கொண்டு இரண்டிரண்டாக வெட்டி வைக்கவும்.
பெரிய வெங்காயம், கசகசா, பச்சை மிளகாய் மூன்றையும் சேர்த்து விழுதாக அரைத்துக்கொள்ளவும்.
அடுத்து வாணலியில் எண்ணெய் ஊற்றிக் காய்ந்ததும் பட்டை, கிராம்பு, ஏலக்காய், பிரியாணி இலை போட்டு தாளித்து நறுக்கி வைத்திருக்கும் வெங்காயத்தைப் போட்டு வதக்கவும். அடுத்து இஞ்சி, பூண்டு விழுது சேர்த்து பச்சை வாசனை போகும்வரை வதக்கி பின் தக்காளியைச் சேர்த்து வதக்கவும். கூடவே வேக வைத்த உருளைக்கிழங்கையும் சேர்த்துப் பிரட்டவும்
பிறகு மஞ்சள் தூள், மிளகாய் தூள், தேவையான அளவு உப்பு போட்டு இரண்டு தம்ளர் தண்ணீர் ஊற்றிக் கொதிக்கவிடவும். குழம்பு நன்கு கொதித்ததும் அரைத்து வைத்துள்ள தேங்காய் கலவையை குழம்பில் சேர்க்கவும். கூடவே சுத்தம் செய்து வைத்துள்ள இறாலையும் சேர்த்து மேலும் ஐந்து நிமிடம் கொதிக்கவிட்டு இறக்கவும்.
கருவேப்பிலை, கொத்தமல்லித் தழை தூவி பரிமாறவும்.
சாதத்துக்கு மட்டுமில்லாமல் இட்லி, தோசை, ஆப்பம் போன்ற டிபன் வகைகளுக்கும் இந்தக் குருமா தொட்டுக் கொள்ள ஜோராக இருக்கும்.</t>
  </si>
  <si>
    <t>https://cdn.foodaciously.com/static/recipes/6e37a5fd-2f44-48ee-9edf-0c9210621d45/prawn-sweet-potato-curry-with-lime-recipe_main-a93249ad9cb544e9d6740809d684e085.webp</t>
  </si>
  <si>
    <t>Karaikudi Fish Stew</t>
  </si>
  <si>
    <t>காரைக்குடி மீன் குழம்பு</t>
  </si>
  <si>
    <t>Fish (any kind) - 1/2 kg,
Small onion - 10,
Tomato - 1,
Tamarind - the size of a lemon,
Garlic - 10 cloves,
Turmeric powder - 1/2 spoon,
Mixed chili powder - 3 tablespoons,
Salt - as needed,
Grind:,
Coconut - 2 handfuls,
Pepper - 1 spoon,
Cumin - 2 spoons,
Caraway seeds - a bunch,
Seasoning:,
Cumin - 1/2 spoon,
Pepper - 1/2 spoon,
Fenugreek - 1/4 spoon,
Caraway seeds - a bunch,
Ghee - 50 ml</t>
  </si>
  <si>
    <t>மீன் (எதுவாக இருந்தாலும்) - 1/2 கிலோ,
சின்ன வெங்காயம் - 10,
தக்காளி - 1,
புளி - எலுமிச்சை அளவு,
பூண்டு - 10 பல்,
மஞ்சள்தூள் - 1/2 ஸ்பூன்,
கலந்த மிளகாய்த்தூள் - 3 டேபிள் ஸ்பூன்,
உப்பு - தேவையான அளவு,
அரைக்க :,
தேங்காய் - 2 பத்தை,
மிளகு - 1 ஸ்பூன்,
சீரகம் - 2 ஸ்பூன்,
கருவேப்பிலை - ஒரு கொத்து,
தாளிக்க:,
சீரகம் - 1/2 ஸ்பூன்,
மிளகு - 1/2 ஸ்பூன்,
வெந்தயம் - 1/4 ஸ்பூன்,
கருவேப்பிலை - ஒரு கொத்து,
நல்லெண்ணெய் - 50 மிலி</t>
  </si>
  <si>
    <t>Wash and clean the fish well Cut into pieces.
Chop the onion, tomato and garlic lengthwise.
Drain the tamarind and take 4 cups of tamarind pulp.
Next, add coconut, pepper, cumin and curry leaves, sprinkle a little water and grind it.
Then pour oil in a pan and when it is hot, fry the fenugreek, pepper, cumin and curry leaves, add onion and garlic and fry. Finally, add the tomato and fry until it becomes a paste.
Once everything is cooked, pour the tamarind water and add turmeric powder, chili powder and required salt and boil it.
Once the gravy boils well, add the ground spices and boil further. Once the gravy thickens, add the fish pieces and boil for another five minutes and then remove. Sprinkle with coriander leaves and serve.</t>
  </si>
  <si>
    <t>மீனை நன்றாகக் கழுவிச் சுத்தம் செய்து துண்டுகளாக்கிக் கொள்ளவும்.
வெங்காயம், தக்காளி, பூண்டை நீளவாக்கில் நறுக்கி வைக்க வும்.
புளியைக் கரைத்து வடிகட்டி 4 கப் புளிக்கரைசல் எடுத்துக் கொள்ளவும்.
அடுத்து தேங்காய், மிளகு, சீரகத்துடன் கருவேப்பிலையையும் சேர்த்து லேசாக தண்ணீர் தெளித்து அரைத்துக்கொள்ளவும்.
பின் வாணலியில் எண்ணெய் ஊற்றிக் காய்ந்ததும் வெந்தயம், மிளகு, சீரகம், கருவேப்பிலை தாளித்து வெங்காயம், பூண்டைப் போட்டு வதக்கவும். கடைசியாக தக்காளியைப் போட்டு கூழாக வதக்கவும்.
எல்லாம் வதங்கியதும் புளித்தண்ணீர் ஊற்றி அத்துடன் மஞ்சள் தூள்,மிளகாய் தூள், தேவையான அளவு உப்பு சேர்த்துக் கொதிக்கவிடவும்.
குழம்பு நன்கு கொதித்ததும் அரைத்து வைத்துள்ள மசாலா வையும் சேர்த்து மேலும் கொதிக்கவிடவும். குழம்பு கெட்டி யாக வந்ததும் மீன் துண்டுகளைப் போட்டு மேலும் ஐந்து நிமிடங்கள் கொதிக்கவிட்டு இறக்கவும். கொத்தமல்லித் தழை தூவி பரிமாறவும்.</t>
  </si>
  <si>
    <t>https://vismaifood.com/storage/app/uploads/public/daa/96d/7bc/thumb__700_0_0_0_auto.jpg</t>
  </si>
  <si>
    <t>Pregnancy cream for postpartum women</t>
  </si>
  <si>
    <t>பிரசவமான பெண்களுக்கான கருவாட்டுக்குழம்பு</t>
  </si>
  <si>
    <t>Sealak pregnancy cream - 1 piece,
Garlic - 100 grams,
Mustard - 2 teaspoons,
Pepper - 1/2 spoon,
Cumin - 1 teaspoon,
Tamarind - 1/2 kolialaw,
Ghee - 4 spoons,
Chilli flakes - 1,
Turmeric powder - 2 pinches,
Salt - as required,
Coriander leaves - handful</t>
  </si>
  <si>
    <t>சீலாக் கருவாடு - 1 துண்டு,
பூண்டு - 100 கிராம்,
கடுகு - 2 டீஸ்பூன்,
மிளகு - 1/2 ஸ்பூன்,
சீரகம் - 1 டீஸ்பூன்,
புளி - 1/2 கோலியளவு,
நல்லெண்ணைய் - 4 கரண்டி,
மிளகாய் வத்தல் - 1,
மஞ்சள் தூள் 2 சிட்டிகை ,
உப்பு - தேவையான அளவு,
கொத்தமல்லித் தழை - கைப்பிடி அளவு</t>
  </si>
  <si>
    <t>Wash and cut the pregnancy cream into pieces.
Next, dissolve the tamarind in a little water until thick.
Next, grind the mustard, cumin, dried chilies, and pepper into small pieces.
Put the ground mixture in the tamarind solution and keep it aside.
Next, peel the garlic and add oil to a pan and fry it well. Then add the tamarind pulp dissolved with the garlic and add ½ cup of water, turmeric powder, salt (you can add a little less salt as the salt is already present in the karuvattu) and bring the gravy to a boil.
When the gravy boils well and the garlic is cooked, add the karuvattu. After the gravy boils for another five minutes, sprinkle coriander leaves and remove it.
By adding more garlic, this karuvattu gravy helps mothers to secrete more milk and heal uterine ulcers.</t>
  </si>
  <si>
    <t>கருவாடை அலசி கழுவி துண்டுகள் போட்டுக்கொள்ளவும்.
அடுத்து புளியை கொஞ்சமாகத் தண்ணீர் விட்டு கெட்டியாகக் கரைத்துக் கொள்ளவும்.
அடுத்து கடுகு, சீரகம், மிளகாய் வற்றல், மிளகு நான்கையும் விழுதாக அரைத்துக்கொள்ளவும்.
அரைத்துக் கொண்டதை புளிக் கரைசலில் போட்டுக் கரைத்து வைக்கவும்.
அடுத்து பூண்டை உரித்துகொண்டு வாணலியில் எண்ணெய் ஊற்றி நன்கு வதக்கவும். பின் பூண்டுடன் கரைத்து வைத்துள்ள புளிக்கரைசலை ஊற்றி மேலும் ½ தம்ளர் தண்ணீர் சேர்த்து மஞ்சள் தூள், உப்பு (கருவாட்டிலேயே உப்பு ஊறி இருப்ப தால் உப்பை சற்று குறைவாகவே போடலாம்) போட்டு குழம்பைக் கொதிக்கவிடவும்.
குழம்பு நன்கு கொதித்து பூண்டு வெந்ததும் கருவாட்டைச் சேர்க்கவும். மேலும் ஐந்து நிமிடங்கள் குழம்பு கொதித்ததும் கொத்தமல்லித் தழை தூவி இறக்கிவிடவும்.
அதிக பூண்டு சேர்த்துச் செய்வதால் தாய்மார்களுக்கு பால் அதிகம் சுரப்பு இருக்கவும், கர்ப்பப்பை புண் ஆற்றவும் இந்த கருவாட்டுக் குழம்பு உதவும்.</t>
  </si>
  <si>
    <t>https://images.news18.com/tamil/uploads/2024/01/Plain-Feature-Image-2024-01-44cac115c0626422a0a3fcfc0db4a2c1-4x3.jpg?impolicy=website&amp;width=360&amp;height=270</t>
  </si>
  <si>
    <t>Dried Fish Eggplant and Mochaikottai Gravy</t>
  </si>
  <si>
    <t>கருவாடு கத்திரிக்காய் மொச்சைக்கொட்டை குழம்பு</t>
  </si>
  <si>
    <t>Dried Fish - 100 grams,
Corn - 100 grams,
Large onion - 1,
Tomato - 1,
Green chilies - 2,
Tamarind - the size of a lemon,
Mixed chili powder - 3 tablespoons,
Turmeric powder - 1/½ teaspoon,
Curry leaves - 1 teaspoon,
Anise - 1/2 teaspoon,
Fenugreek 1/4 teaspoon,
Garlic - 6 cloves,
Oil - 50 ml,
Salt - as needed</t>
  </si>
  <si>
    <t>கருவாடு (வஞ்சிரம், நெத்திலி, எந்தக் கருவாடு,
ஆனாலும்) - 100 கிராம்,
மொச்சைக் கொட்டை - 100 கிராம்,
பெரிய வெங்காயம் - 1,
தக்காளி - 1,
பச்சை மிளகாய் - 2,
புளி - எலுமிச்சை அளவு,
கலந்த மிளகாய்த் தூள்  - 3 டேபிள் ஸ்பூன்,
மஞ்சள் தூள் - 1/½ ஸ்பூன்,
கறிவேப்பிலை - ஒரு இனுக்கு,
சோம்பு - 1/2 ஸ்பூன்,
வெந்தயம் 1/4 ஸ்பூன்,
பூண்டு - 6 பல்,
எண்ணெய் - 50 மி.லி,
உப்பு - தேவையான அளவு</t>
  </si>
  <si>
    <t>For this curd, roast the chickpeas in an empty pan and soak them overnight.
The next day, when cooking, first wash and clean the Dried Fish.
Onion. Chop the tomato into powder. Cut the eggplant into four pieces. Grate the green chilies.
Mash the tamarind until thick.
Then, when the oil is dry in a pan, add the Dried Fish, anise, and fenugreek seeds and fry them one after the other. Add the soaked cashew nuts, then add turmeric powder and chili powder, mix well and pour the tamarind solution. Add two cups of water, add required salt and bring to a boil.
When the gravy boils well, add the Dried Fish pieces. Boil for a few more minutes and sprinkle the Dried Fish, coriander leaves and let it cool.
Delicious Dried Fish brinjal and cashew nut gravy with a pungent aroma is ready.</t>
  </si>
  <si>
    <t>இந்தக் குழம்புக்கு மொச்சைக் கொட்டையை வெறும் வாணலி யில் வறுத்து, முதல் நாள் இரவே ஊறவைக்கவும்.
மறுநாள் சமைக்கும்போது முதலில் கருவாடை நன்கு கழுவிச் சுத்தம் செய்துகொள்ளவும்.
வெங்காயம். தக்காளியை பொடியாக நறுக்கிக்கொள்ளவும். கத்திரிக்காயை நான்கு துண்டாக வெட்டிக்கொள்ளவும். பச்சை மிளகாயை கீறி வைக்கவும்.
புளியைக் கெட்டியாகக் கரைத்து வைக்கவும்.
பின் வாணலியில் எண்ணெய் விட்டுக் காய்ந்ததும் கருவேப் பிலை, சோம்பு, வெந்தயம் தாளித்து வெங்காயம், பூண்டு, பச்சை மிளகாய், கத்தரிக்காய், தக்காளியை ஒன்றன் பின் ஒன்றாகப் போட்டு வதக்கவும். ஊற வைத்துள்ள மொச்சைக் கொட்டையையும் போட்டு பின் அதனுடன் மஞ்சள் தூள், மிளகாய் தூள் சேர்த்துப் பிரட்டி புளிக் கரைசலை ஊற்றவும். கூடவே இரண்டு தம்ளர் தண்ணீர் சேர்த்து தேவையான அளவு உப்பு போட்டுக் கொதிக்கவிடவும்.
குழம்பு நன்கு கொதித்ததும் கருவாட்டுத் துண்டுகளைச் சேர்க்கவும். மேலும் சில நிமிடங்கள் கொதிக்கவிட்டு கரு வேப்பிலை, கொத்தமல்லித் தழை தூவி இறக்கவும்.
கமகமக்கும் வாசனையுடன் ருசியான கருவாடு கத்தரிக்காய், மொச்சைக் கொட்டை குழம்பு தயார்.</t>
  </si>
  <si>
    <t>https://images.hindustantimes.com/tamil/img/2024/04/15/550x309/mochai_gravy_1713155705514_1713155713778.jpg</t>
  </si>
  <si>
    <t>Crab Soup</t>
  </si>
  <si>
    <t>நண்டுக் குழம்பு</t>
  </si>
  <si>
    <t>Crab - 1/2,
Small onion - 100 grams,
Tomato - 1,
Garlic - 10 cloves,
Tamarind - the size of a large gooseberry,
Dried chilies - 8,
Pepper - 1 spoon,
Coconut - 1/2 lid,
Turmeric powder - 1/4 spoon,
Poppy seeds - 1/2 spoon,
Denise - 1/2 spoon,
Asimbu - 1/2 + 1/2,
Cumin - 1/2 spoon,
Oil - 100,
Salt - as needed,
Curry leaves - 1 bunch,
Coriander leaves - handful size</t>
  </si>
  <si>
    <t>நண்டு - 1/2,
சின்ன வெங்காயம் - 100 கிராம்,
தக்காளி - 1,
பூண்டு - 10 பல்,
புளி - பெரிய நெல்லிக்காய் அளவு,
காய்ந்த மிளகாய் - 8,
மிளகு - 1 ஸ்பூன்,
தேங்காய் - 1/2 மூடி,
மஞ்சள் தூள் - 1/4 ஸ்பூன்,
கசகசா - 1/2 ஸ்பூன்,
வெந்தயம் - 1/2 ஸ்பூன்,
சோம்பு - 1/2 + 1/2,
சீரகம் - 1/2 ஸ்பூன்,
எண்ணெய் - 100,
உப்பு - தேவையான அளவு,
கறிவேப்பிலை - 1 கொத்து,
கொத்தமல்லித் தழை - கைப்பிடி அளவு</t>
  </si>
  <si>
    <t>Break the crab, wash and clean it.
Chop the onion, tomato, and garlic into powder.
Next, add the dried chilies, pepper, anise, poppy seeds, coconut, and tamarind and grind them into a paste.
Heat oil in a pan on the stove, add the curry leaves, fenugreek, anise, and cumin seeds, sauté them, then add the onion, tomato, and garlic.
Once everything is well sautéed, add the crab and fry. Add the ground spices and simmer, add water until the crab is submerged, cover, and simmer.
When the gravy thickens, sprinkle coriander leaves and serve.
Delicious crab curry is ready.</t>
  </si>
  <si>
    <t>நண்டை உடைத்துக் கழுவிச் சுத்தம் செய்து வைத்துக் கொள்ளவும்.
வெங்காயம், தக்காளி, பூண்டை பொடியாக நறுக்கிக் கொள்ள வும்.
அடுத்து மிளகாய் வற்றல், மிளகு, சோம்பு, கசகசா, தேங்காய் இவற்றுடன் புளியையும் சேர்த்து விழுதாக அரைத்துக் கொள்ளவும்.
அடுப்பில் வாணலியை வைத்து எண்ணெய் ஊற்றிக் காய்ந் ததும், கருவேப்பிலை, வெந்தயம், சோம்பு, சீரகம் போட்டுத் தாளித்து வெங்காயம், தக்காளி, பூண்டு போட்டு வதக்கவும்.
எல்லாம் நன்கு வதங்கியதும் நண்டைப் போட்டுப் பிரட்ட வும். கூடவே அரைத்து வைத்துள்ள மசாலாவைப் போட்டு வழ்க்கூட்ட்டு, நண்டு மூழ்கும்வரை தண்ணீர் விட்டு மூடி போட்டு மூடி கொதிக்கவிடவும்.
குழம்பு தளதளத்து கெட்டியானதும் கொத்தமல்லித் தழை தூவி இறக்கவும்.
ருசியான நண்டுக்குழம்பு தயார்.</t>
  </si>
  <si>
    <t>https://happietrio.com/wp-content/uploads/2018/05/NanduRasam2.jpg</t>
  </si>
  <si>
    <t>Shark Garlic Curry</t>
  </si>
  <si>
    <t>சுறா பூண்டுக் குழம்பு</t>
  </si>
  <si>
    <t>Shark fish - 1/2,
Large onion - 3,
Tomato - 2,
Green chilies - 3,
Tamarind - the size of a lemon,
Garlic - 10 cloves,
Chili powder - 3 spoons,
Cumin powder - 1 spoon,
Turmeric powder - 1/2 spoon,
Mixed chili powder - 3 spoons,
Mustard - 1/2 spoon,
Fenugreek - 1/4 spoon,
Oil - 100,
Salt - as needed,
Curry leaves - 1 bunch,
Coriander - handful</t>
  </si>
  <si>
    <t>சுறா மீன் - 1/2,
பெரிய வெங்காயம் - 3,
தக்காளி - 2,
பச்சை மிளகாய் - 3,
புளி  - எலுமிச்சை அளவு,
பூண்டு - 10 பல்,
மிளகுத் தூள் - 3 ஸ்பூன்,
சீரகத் தூள் - 1 ஸ்பூன்,
மஞ்சள் தூள் - 1/2 ஸ்பூன்,
கலந்த மிளகாய் தூள் - 3 ஸ்பூன்,
கடுகு - 1/2 ஸ்பூன்,
வெந்தயம் - 1/4 ஸ்பூன்,
எண்ணெய் - 100,
உப்பு - தேவையான அளவு,
கறிவேப்பிலை - 1 கொத்து,
கொத்தமல்லி - கைப்பிடி அளவு</t>
  </si>
  <si>
    <t>Wash and clean the shark and cut it into pieces.
Chop the onion and tomato into powder.
Mash the tamarind until thick.
Grind the pepper, cumin and garlic into a paste.
Then put the pan on the stove and pour oil and when it is hot, fry the mustard seeds, add the curry leaves and fenugreek seeds. Add the onion and garlic and fry. Then add the tomatoes and fry them and add turmeric powder and chilli powder. Add the tamarind paste and two cups of water and let it boil. Add salt as required.
When the gravy boils well, add the ground pepper, cumin seeds and garlic paste and boil further and add the shark fish fillets. When the gravy is well stirred and fragrant, sprinkle coriander leaves and serve hot.</t>
  </si>
  <si>
    <t>சுறாவைக் கழுவி சுத்தம் செய்து துண்டுகளாக்கிக் கொள்ள வும்.
வெங்காயம், தக்காளியைப் பொடியாக நறுக்கிக்கொள்ளவும்.
புளியைக் கெட்டியாகக் கரைத்து வைக்கவும்.
மிளகு, சீரகம், பூண்டு மூன்றையும் விழுதாக அரைத்து வைக்கவும்.
பின் வாணலியை அடுப்பில் வைத்து எண்ணெய் ஊற்றிக் காய்ந்ததும் கடுகுப் பொரியவிட்டு, கருவேப்பிலை, வெந் தயம் தாளிக்கவும். வெங்காயம், பூண்டைப் போட்டு வதக்க வும். பின் தக்காளியைப்போட்டு வதக்கி மஞ்சள் தூள், மிள காய் தூள் சேர்த்துப் பிரட்டவும். கூடவே புளிக் கரைசலை ஊற்றி இரண்டு தம்ளர் தண்ணீரையும் சேர்த்துக் கொதிக்க விடவும். தேவையான அளவு உப்பு சேர்க்கவும்.
குழம்பு நன்கு கொதித்ததும் அரைத்து வைத்திருக்கும் மிளகு, சீரக, பூண்டு விழுதைச் சேர்த்து மேலும் கொதிக்கவிட்டு சுறா மீன் தூண்டுகளைப் போடவும். குழம்பு நன்றாக சுண்டி மணம் வந்ததும் கொத்தமல்லித் தழை தூவி இறக்கி சூடாகப் பரிமாறவும்.</t>
  </si>
  <si>
    <t>https://www.pressurecookrecipes.com/wp-content/uploads/2023/04/imitation-shark-fin-soup.webp</t>
  </si>
  <si>
    <t>Prawn Masala Vada Curry</t>
  </si>
  <si>
    <t>இறால் மசால்வடைக் குழம்பு</t>
  </si>
  <si>
    <t>Prawns - 1/2 kg,
Peanuts - 100 g,
Large onion - 2,
Tomato - 2,
Green chillies - 2,
Ginger - 1 small piece,
Tamarind - the size of a large gooseberry,
Garlic - 6 cloves,
Asimu - 1 spoon,
Turmeric powder - 1 spoon,
Mixed chilli powder - 3 spoons.,
Salt - as required,
Caraway seeds, coriander - A little</t>
  </si>
  <si>
    <t>இறால் - 1/2 கிலோ,
கடலை பருப்பு - 100 கிராம்,
பெரிய வெங்காயம் - 2,
தக்காளி - 2,
பச்சை மிளகாய் - 2,
இஞ்சி - 1 சிறு துண்டு,
புளி - பெரிய நெல்லிக்காய் அளவு,
பூண்டு - 6 பல்,
சோம்பு - 1 ஸ்பூன்,
மஞ்சள் தூள் - 1 ஸ்பூன்,
கலந்த மிளகாய் தூள் - 3 ஸ்பூன்.,
உப்பு - தேவையான அளவு,
கருவேப்பிலை, கொத்தமல்லி - சிறிதளவு</t>
  </si>
  <si>
    <t>Peel the skin of the prawns, wash and clean them.
Chop the onion, tomato and green chillies into powder.
Then soak the cashews for ½ hour and add ginger, garlic, green chillies and anise to it and grind it coarsely in a mixer. Add required amount of salt and mix.
Dissolve the tamarind in a bowl and take the tamarind solution. Add turmeric powder and chilli powder to it and dissolve it.
Next, pour oil in a pan and after it dries, flatten the kneaded cashew dough into small balls and fry it on low flame until golden brown.
Next, put the pan on the stove and add oil and once the mustard seeds are fried, add curry leaves and finely chopped onion and fry it. When the onion turns red, add tomatoes and fry it. Next, add the washed prawns and fry it.
After everything is fried well, pour the tamarind solution and boil it. Once the shrimp gravy is well boiled, sprinkle coriander leaves and set aside. Add the cooked vadas to it. Let it soak for 10 minutes and serve.
The spicy and mouth-watering shrimp masala vada gravy is ready.</t>
  </si>
  <si>
    <t>இறாலைத் தோல் உரித்துக் கழுவிச் சுத்தம் செய்து வைத்துக் கொள்ளவும்.
வெங்காயம், தக்காளியை, பச்சை மிளகாயைப் பொடியாக நறுக்கிக் கொள்ளவும்.
பின் கடலைப் பருப்பை ½ மணி நேரம் ஊறவைத்து எடுத்து அத்துடன் இஞ்சி, பூண்டு பச்சை மிளகாய், சோம்பு சேர்த்து மிக்சியில் போட்டு கரகரப்பாக அரைத்துக்கொள்ளவும். கூடவே தேவையான அளவு உப்பு போட்டு கலந்து கொள்ளவும்.
புளியைக் கெட்டியாகக் கரைத்து ஒரு பாத்திரத்தில் புளிக் கரைசல் எடுத்துக் கொள்ளவும். அதனுடன் மஞ்சள் தூள், மிளகாய் தூள் சேர்த்து கரைத்துக்கொள்ளவும்.
அடுத்ததாக வாணலியில் எண்ணெய் ஊற்றிக் காய்ந்த பிறகு பிசைந்து வைத்துள்ள கடலை மாவைச் சிறு சிறு வடைக ளாகத் தட்டிப் போட்டுச் சிறு தீயில் பொன்னிறமாகச் சுட்டு எடுத்துக் கொள்ளவும்.
அடுத்தபடியாக அடுப்பில் வாணலியை வைத்து எண்ணெய் ஊற்றிக் கடுகு பொரிந்தவுடன், கறிவேப்பிலை, பொடியாக நறுக்கிய வெங்காயம் போட்டு வதக்கவும். வெங்காயம் சிவந்ததும் தக்காளியைச் சேர்த்து வதக்கவும். அடுத்து கழுவி வைத்துள்ள இறாலையும் போட்டு வதக்கிக் கொள்ளவும்.
எல்லாம் நன்கு வதங்கிய பிறகு அதனுடன் புளிக் கரைசலை ஊற்றிக் கொதிக்கவிடவும். இறால் குழம்பு நன்றாகக் கொதித்து வந்த பிறகு கொத்தமல்லித் தழை தூவி இறக்கி வைத்து, சுட்டு வைத்திருக்கும் வடைகளை அதில் போடவும். 10 நிமிடம் ஊற விட்டு எடுத்துப் பரிமாறவும்.
காரசாரமான கமகமக்கும் இறால் மசால் வடை குழம்பு தயார்.</t>
  </si>
  <si>
    <t>https://rumkisgoldenspoon.com/wp-content/uploads/2022/08/Prawn-masala-recipe.jpg</t>
  </si>
  <si>
    <t>Chettinad Viral Fish Curry</t>
  </si>
  <si>
    <t>செட்டிநாட்டு விரால் மீன் குழம்பு</t>
  </si>
  <si>
    <t>Murrel fish - 1/2,
Small onion - 150 grams,
Tomato - 2,
Garlic - 10 cloves,
Tamarind - the size of a lemon,
Mustard - 1/2 spoon,
Fenugreek - 1/4 spoon,
Oil - 50,
Salt - as required,
Caraway seeds, coriander - a little,
Fry and grind:,
Dried chili - 15,
Dhaniya - 6 spoons,
Asimbu - 1 spoon</t>
  </si>
  <si>
    <t>விரால் மீன் - 1/2,
சின்ன வெங்காயம் - 150 கிராம்,
தக்காளி - 2,
பூண்டு - 10 பல்,
புளி - எலுமிச்சை அளவு,
கடுகு - 1/2 ஸ்பூன்,
வெந்தயம் - 1/4 ஸ்பூன்,
எண்ணெய் - 50 ,
உப்பு - தேவையான அளவு,
கருவேப்பிலை, கொத்தமல்லி - சிறிதளவு,
வறுத்து அரைக்க:,
மிளகாய் வற்றல் - 15,
தனியா - 6 ஸ்பூன்,
சோம்பு - 1 ஸ்பூன்</t>
  </si>
  <si>
    <t>Cut the viral fish into pieces, remove the intestines, wash and clean it.
Roast and grind the anise, chili powder, and fenugreek seeds in a pan on the stove and heat it without letting any oil escape.
Chop the onion and tomato into powder. Peel the garlic and keep it aside.
Dissolve the tamarind until thick. Add the ground chili, fenugreek, and anise paste to the tamarind solution and mix it.
Next, put the fenugreek seeds in the stove and pour oil. When it dries, fry the mustard seeds and season with dill. Then add the onion and garlic and fry. Finally, add the tomatoes and fry them and pour in the tamarind paste. Add another cup of water. Let it boil.
When the raw smell disappears, add the fish. Boil it for another boil and sprinkle with curry leaves and coriander leaves and let it cool.
Delicious Chettinad Viral Fish Curry is ready.</t>
  </si>
  <si>
    <t>விரால் மீனை வெட்டி துண்டுகள் போட்டு குடலை எடுத்து கழுவிச் சுத்தம் செய்து கொள்ளவும்.
வறுத்து அரைக்கக் கொடுத்துள்ள சோம்பு, மிளகாய் வற்றல், தனியா மூன்றையும் அடுப்பில் வாணலி வைத்துச் சூடானதும் எண்ணெய் விடாமல் வறுத்தெடுத்து அரைத்துக் கொள்ளவும்.
வெங்காயம், தக்காளியை பொடியாக நறுக்கிக்கொள்ளவும். பூண்டை தோல் உரித்து வைக்கவும்.
புளியை கெட்டியாகக் கரைத்துக்கொள்ளவும். அந்தப் புளிக் கரைசலில் அரைத்து வைத்துள்ள மிளகாய், தனியா, சோம்பு விழுதைச் சேர்த்துக் கலக்கி வைக்கவும்.
அடுத்து அடுப்பில் வானலி வைத்து எண்ணெய் ஊற்றிக் காய்ந்ததும் கடுகு பொரியவிட்டு வெந்தயம் தாளிக்கவும். பின் வெங்காயம், பூண்டைப் போட்டு வதக்கவும். கடைசியாக தக்காளி சேர்த்து வதக்கி புளிக்கரைசலை ஊற்றவும். மேலும் ஒரு தம்ளர் தண்ணீர் சேர்க்கவும். கொதிக்கவிடவும்.
பச்சை வாசனை போனதும் மீனைப் போடவும். மேலும் ஒரு கொதி கொதிக்கவிட்டு கருவேப்பிலை, கொத்தமல்லித் தழை தூவி இறக்கவும்.
சுவையான செட்டிநாட்டு விரால் மீன் குழம்பு தயார்.</t>
  </si>
  <si>
    <t>https://b2958125.smushcdn.com/2958125/wp-content/uploads/viral-meen-kuzhambu-recipe-14.jpg?lossy=1&amp;strip=1&amp;webp=1</t>
  </si>
  <si>
    <t>Fish Fry Sauce</t>
  </si>
  <si>
    <t>மீன் வறுவல் குழம்பு</t>
  </si>
  <si>
    <t>Fish - 1¾ kg (any other fish can be used),
Ginger and garlic paste - 1 tablespoon,
Turmeric powder - 1/4 teaspoon,
Chili powder - 1 tablespoon,
Corn powder - 1/2 teaspoon,
Lemon juice - 3 teaspoons,
Salt - as needed,
Oil - 100 .,
Ingredients for the gravy:,
Onion - 2,
Tomato - 2,
Ginger garlic paste - 1 spoon,
Turmeric powder - 1/2 spoon,
Chili powder - 1 spoon,
Thaniya powder - 1/2 spoon,
Turmeric powder - 1/2 spoon,
Anise - 1/2 spoon,
Tamarind - the size of a large gooseberry,
Coconut milk - 1 cup,
Salt - as needed,
Caraway seeds, coriander leaves - a little.</t>
  </si>
  <si>
    <t>வறுவலுக்குத் தேவையான பொருள்கள்:,
வஞ்சர மீன் - 1¾ கிலோ (வேறு எந்த மீனையும் உபயோகிக்கலாம்),
இஞ்சி, பூண்டு விழுது - 1 டேபிள் ஸ்பூன்,
மஞ்சள் தூள் - 1/4 ஸ்பூன்,
மிளகாய் தூள் - 1 டேபிள் ஸ்பூன்,
தனியாத்தூள் - 1/2 ஸ்பூன்,
எலுமிச்சை சாறு - 3 ஸ்பூன்,
உப்பு - தேவையான அளவு,
எண்ணெய் - 100 .,
குழம்புக்குத் தேவையான பொருள்கள்:,
வெங்காயம் - 2,
தக்காளி - 2,
இஞ்சி பூண்டு விழுது - 1 ஸ்பூன்,
மஞ்சள் தூள் - 1/2 ஸ்பூன்,
மிளகாய் தூள் - 1 ஸ்பூன்,
தனியா தூள் - 1/2 ஸ்பூன்,
மஞ்சள் தூள் - 1/2 ஸ்பூன்,
சோம்பு - 1/2 ஸ்பூன்,
புளி - பெரிய நெல்லிக்காய் அளவு,
தேங்காய் பால் - 1 கப்,
உப்பு - தேவையான அளவு,
கருவேப்பிலை, கொத்தமல்லித் தழை - சிறிதளவு.</t>
  </si>
  <si>
    <t>Dice the fish, wash and clean it well.
Then add turmeric powder, chili powder, taniya powder, ginger, garlic paste, lemon juice and mix everything well with a little water. Put the fish pieces in this mixture, knead it and let it soak for 1 hour.
After the fish pieces are well marinated, pour oil in a frying pan and fry the fish pieces until spicy.
Next, prepare the gravy. Chop the onion and tomato lengthwise. Chop the green chillies.
Mash the tamarind until thick.
Pour oil in a pan and after it dries, add the aniseed, curry leaves, add the onion and green chillies and fry. When the onion is well fried, add the ginger and garlic paste and fry until the raw smell disappears, add the tomatoes and fry. Then add turmeric powder, chilli powder, and tamarind paste and boil it. When the smell of the tamarind paste disappears, pour coconut milk, add required salt and boil it further. When the gravy thickens, sprinkle coriander leaves, set aside and add the fried fish pieces in the gravy.
That's it, the delicious fish fry gravy is ready.</t>
  </si>
  <si>
    <t>மீனை துண்டுகள் போட்டு கழுவி நன்றாகச் சுத்தம் செய்து வைத்துக்கொள்ளவும்.
பின் மஞ்சள் தூள், மிளகாய் தூள், தனியா தூள், இஞ்சி, பூண்டு விழுது, எலுமிச்சை சாறு சேர்த்து லேசாக தண்ணீர் விட்டு அனைத்தையும் நன்றாகக் கலந்து கொள்ளவும். இந்தக் கலவையில் மீன் துண்டுகளைப் போட்டுப் பிசறி 1 மணி நேரம் ஊறவிடவும்.
மீன் துண்டுகள் நன்றாக ஊறிய பிறகு தோசைக்கல்லில் எண்ணெய் ஊற்றி அந்த மீன் துண்டுகளை காரசாரமாக பொறித்தெடுத்து வைக்கவும்.
அடுத்து குழம்புக்கான ஏற்பாடுகள். வெங்காயம், தக்காளியை நீளவாக்கில் நறுக்கிக் கொள்ளவும். பச்சை மிளகாயை கீறி வைக்கவும்.
புளியை கெட்டியாகக் கரைத்துக் கொள்ளவும்.
வாணலியில் எண்ணெய் ஊற்றிக் காய்ந்தபிறகு சோம்பு, கருவேப்பிலை தாளித்து வெங்காயம், பச்சை மிளகாயை போட்டு வதக்கவும். வெங்காயம் நன்கு வதங்கியதும் இஞ்சி, பூண்டு விழுது போட்டு வதக்கி பச்சை வாசனை போனதும் தக்காளியைப் போட்டு வதக்கவும். பின் மஞ்சள் தூள், மிளகாய் தூள், தனியா தூள், போட்டுப் பிரட்டி புளிக் கரைசலை ஊற்றி கொதிக்கவிடவும். புளிக் கரைசல் வாசனை போனதும் தேங்காய் பால் ஊற்றி தேவையான அளவு உப்பு சேர்த்து மேலும் கொதிக்கவிடவும். குழம்பு கெட்டியானதும் கொத்தமல்லித் தழை தூவி இறக்கி வைத்து பொரித்தெடுத்த மீன் துண்டுகளை குழம்பில் போடவும்.
அவ்வளவுதான், ருசியான மீன் வறுவல் குழம்பு ரெடி.</t>
  </si>
  <si>
    <t>https://www.yummytummyaarthi.com/wp-content/uploads/2022/02/fish-fry-1.jpeg</t>
  </si>
  <si>
    <t>Fried and ground fish curry (pathiyak kurambu)</t>
  </si>
  <si>
    <t>வறுத்து அரைத்த மீன் குழம்பு ( பத்தியக் குழம்பு)</t>
  </si>
  <si>
    <t>Any fish - 1 kg,
Small onion - 10,
Garlic - 1 whole garlic,
Sukku - 1 small piece,
Pepper - 2 spoons,
Omam - 2 spoons,
Bengkap - 1 spoon,
Dried chilies - 6,
Dhaniya - 3 spoons,
Tamarind - the size of a lemon,
Grated coconut - 1 cup,
Ghee - 3 tablespoons,
Curry leaves - 5 bunches</t>
  </si>
  <si>
    <t>ஏதாவது ஒரு மீன் - 1 கிலோ,
சின்ன வெங்காயம் - 10,
பூண்டு - ஒரு முழு பூண்டு,
சுக்கு - 1 சிறிய துண்டு,
மிளகு - 2 ஸ்பூன்,
ஓமம் - 2 ஸ்பூன்,
பெருங்காயம் - 1 ஸ்பூன்,
மிளகாய் வற்றல் - 6,
தனியா - 3 ஸ்பூன்,
புளி - ஒரு எலுமிச்சை அளவு,
தேங்காய் துருவல் - 1கப்,
நல்லெண்ணெய் - 3 டேபிள் ஸ்பூன்,
கறிவேப்பிலை - 5 கொத்து</t>
  </si>
  <si>
    <t>Wash and clean the fish in pieces.
Peel the onion and garlic and keep them aside
Mash the tamarind until thick.
Grind the sukku and omam.
Next, put a pan on the stove and pour oil. When it is hot, add pepper, chili powder, and 1/2 of a whole garlic clove and fry it. Then add curry leaves, ginger, and half of a whole garlic clove and fry it. When the onion is well fried, add grated coconut and fry it further.
When the coconut is golden brown, sprinkle with ginger, add the powdered turmeric and fenugreek seeds and fry it further.
Fry it for a while until the coconut changes color and then reduce it. Once the heat cools, put it in a mixer and grind it into a paste.
Then add the ground paste and required amount of salt to the tamarind and boil it. When it comes to a boil, add the fish pieces and the remaining garlic and boil it further.
When the gravy boils well and smells good, sprinkle with coriander leaves and reduce it.
If a mother includes this sour and spicy fried and ground curry in her daily diet after childbirth, it will be delicious, help prevent gas and indigestion, and add strength to a weak body.</t>
  </si>
  <si>
    <t xml:space="preserve">மீனை துண்டுகள் போட்டு கழுவிச் சுத்தம் செய்து வைக்கவும்.
வெங்காயம், பூண்டை தோல் உரித்து வைத்துக்கொள்ளவும்
புளியை கெட்டியாகக் கரைத்துக்கொள்ளவும்.
சுக்கு, ஓமத்தை பொடித்து வைக்கவும்.
அடுத்து அடுப்பில் வாணலி வைத்து எண்ணெய் ஊற்றிக் காய்ந்ததும் மிளகு, மிளகாய் வற்றல், தனியா போட்டு சிவக்க வறுக்கவும். பின்னர் அதனுடனே கருவேப்பிலை, வெங் காயம், முழுப் பூண்டில் பாதி போட்டு வதக்கி, வெங்காயம் நன்கு வதங்கியதும் தேங்காய் துருவல் போட்டு மேலும் வதக்கவும்.
தேங்காய் பொன் வறுவலாக வதங்கியதும் பெருங்காயம் தூவி, பொடித்து வைத்துள்ள சுக்கு, ஓமத்தை சேர்க்கவும்.
மேலும் சற்று நேரம் தேங்காய் நிறம் மாறும்வரை வரை வறுத் தெடுத்து இறக்கவும். சூடு ஆறியதும் மிக்சியில் போட்டு விழுதாக அரைத்துக்கொள்ளவும்.
பின் புளிக்கரைசலில் அரைத்தெடுத்த விழுதையும் தேவை யான அளவு உப்பையும் போட்டுக் கொதிக்கவிடவும். ஒரு கொதி வந்ததும் மீன் துண்டுகளையும் மீதமிருக்கும் பூண்டை யும் போட்டு மேலும் கொதிக்கவிடவும்.
குழம்பு நன்கு கொதித்து வாசனை வந்ததும் கொத்தமல்லித் தழை தூவி இறக்கவும்.
புளிப்பும் காரமான இந்த வறுத்து அரைத்த குழம்பை பிரசவத் துக்குப் பின் தாய் தினமும் சாப்பாட்டில் சேர்த்துக்கொண்டால் வாய்க்கு சுவையாகவும் வாயு, மற்றும் அஜீரனக் கோளாறு ஏற்படாமலும் பலவீனமான உடல்நிலைக்கு பலம் சேர்த்தும் உதவும்.
</t>
  </si>
  <si>
    <t>https://www.teaforturmeric.com/wp-content/uploads/2023/06/Fish-Curry-Fish-Masala-21.jpg</t>
  </si>
  <si>
    <t>Coconut Milk Fish Curry</t>
  </si>
  <si>
    <t>தேங்காய் பால் மீன் குழம்பு</t>
  </si>
  <si>
    <t>Any fish - 1/2 kg,
Large onion - 2,
Tomato - 3,
Green chillies - 4,
Ginger - 1 inch piece,
Garlic - 6 cloves,
Coconut milk - 2 cups,
Turmeric powder - 1/2 spoon,
Mixed chilli powder - 1 spoon,
Mustard - 1 spoon,
Lemon juice - 1 tablespoon,
Oil - 100 .,
Salt - as required,
Curry leaves - a bunch,
Coriander - a handful</t>
  </si>
  <si>
    <t>ஏதாவது ஒரு மீன் - 1/2 கிலோ,
பெரிய வெங்காயம் - 2,
தக்காளி - 3,
பச்சைமிளகாய் - 4,
இஞ்சி - ஒரு அங்குலத்துண்டு,
பூண்டு - 6 பல்,
தேங்காய் பால் - 2 கப்,
மஞ்சள் தூள் - 1/2 ஸ்பூன்,
கலந்த மிளகாய்த்தூள் - 1 ஸ்பூன்,
கடுகு - 1 ஸ்பூன்,
எலுமிச்சை சாறு - 1டேபிள் ஸ்பூன்,
எண்ணெய் - 100 .,
உப்பு - தேவையான அளவு,
கறிவேப்பிலை - ஒரு கொத்து,
கொத்தமல்லி - கைப்பிடி அளவு</t>
  </si>
  <si>
    <t>Fish cut into pieces, wash and clean thoroughly.
Chop the onion and tomato into powder. Peel the green chillies and keep aside. Peel the ginger and garlic and crush them lightly.
Next, pour oil in a pan and when it is hot, add mustard seeds and fry them. Add onion and curry leaves and fry them. When the onion is golden brown, add tomatoes and fry them. Add ginger and garlic and fry them. Add turmeric powder and chilli powder and fry them. Pour in coconut milk. Add half a cup of water and mix and boil.
When the gravy boils and thickens, add lemon juice and mix and add the fish pieces to the gravy. Boil it for another boil and sprinkle coriander leaves and let it cool.
Coconut milk fish gravy is ready.</t>
  </si>
  <si>
    <t>மீனை துண்டுகள் போட்டு நன்கு கழுவிச் சுத்தம் செய்து கொள்ளவும்.
வெங்காயம், தக்காளியை பொடியாக நறுக்கிக் கொள்ளவும். பச்சை மிளகாயை கீறி வைக்கவும். இஞ்சி, பூண்டை தோல் உரித்துக்கொண்டு லேசாக நசுக்கி வைக்கவும்.
அடுத்து வாணலியில் எண்ணெய் ஊற்றிக் காய்ந்ததும் கடுகு போட்டு பொரியவிட்டு வெங்காயம், கருவேப்பிலை போட்டு வதக்கவும். வெங்காயம் பொன்னிறமாக வதங்கியதும் தக்காளி யைப் போட்டு வதக்கவும். கூடவே இஞ்சி, பூண்டு போட்டு வதக்கி மஞ்சள் தூள், மிளகாய் தூள் போட்டுப் பிரட்டி தேங்காய் பாலை ஊற்றவும். கூடவே அரை தம்ளர் தண்ணீர் ஊற்றிக் கலக்கி கொதிக்கவிடவும்.
குழம்பு கொதித்து கெட்டியானதும் எலுமிச்சை சாறு ஊற்றிக் கலந்து மீன் துண்டுகளைக் குழம்பில் போடவும். மேலும் ஒரு கொதி கொதிக்கவிட்டு கொத்தமல்லித் தழை தூவி இறக்கவும்.
தேங்காய் பால் மீன் குழம்பு தயார்.</t>
  </si>
  <si>
    <t>https://images.news18.com/tamil/uploads/2022/03/fish-16476043474x3.jpg?impolicy=website&amp;width=360&amp;height=270</t>
  </si>
  <si>
    <t>Ayrrai Fish Sauce</t>
  </si>
  <si>
    <t>அயிரை மீன் குழம்பு</t>
  </si>
  <si>
    <t>Ayrrai fish - 1 kg,
Chilli powder - 15 to 20,
Thaniya - 25 grams,
Cumin - 1/2 spoon,
Whole coconut - 2,
Tamarind - 200 grams,
Ghee - 200,
Turmeric powder - 1/4 spoon,
Salt - as required</t>
  </si>
  <si>
    <t>அயிரை மீன் - 1 கிலோ,
மிளகாய் வற்றல் - 15 முதல் 20 வரை,
தனியா - 25 கிராம்,
சீரகம் - 1/2 ஸ்பூன்,
முழு தேங்காய் - 2,
புளி - 200 கிராம்,
நல்லெண்ணெய் - 200,
மஞ்சள் தூள் - 1/4 ஸ்பூன்,
உப்பு - தேவையான அளவு</t>
  </si>
  <si>
    <t>Live powdered Ayrrai fish should be washed in milk only. Put the Ayrrai fish in half a liter of cow's milk. After a while, the fish will drink the milk and vomit dirt and die. Then take it out and wash it and keep it separately.
Next, fry the chili powder, Thaniya, and cumin in a pan with a spoon of oil and grind it lightly.
Then break both coconuts and grind them to get the milk.
Then dissolve the tamarind in water and filter it and add turmeric powder, ground chili, cumin powder and mix it.
Put a pan on the stove and first pour the tamarind water in it and boil it. When the tamarind water starts boiling well, pour the coconut milk. Pour 50 grams of ghee all around the top. Add required salt and boil for some more time. Add the washed fish to the gravy.
Once the fish is cooked and the gravy is boiled, sprinkle coriander leaves and serve.
The most delicious ayrai fish gravy is ready.</t>
  </si>
  <si>
    <t xml:space="preserve">உயிருள்ள பொடி அயிரை மீனை பாலில்தான் கழுவவேண்டும். அரை லிட்டர் பசும்பாலில் அயிரை மீனைப் போடவும். சற்று நேரத்தில் மீன்கள் பாலைக் குடித்து அழுக்கைக் கக்கி இறந்து விடும். பின் அதை அப்படியே எடுத்து அலசி தனியே வைத்துக் கொள்ளவும்.
அடுத்து மிளகாய் வற்றல், தனியா, சீரகம் மூன்றையும் வாணலியில் ஒரு ஸ்பூன் எண்ணெய் விட்டு லேசாக வறுத்து அரைத்துக்கொள்ளவும்.
பின் இரண்டு தேங்காயையும் உடைத்து அரைத்து பால் எடுத்துக்கொள்ளவும்.
பிறகு புளியைத் தண்ணீரில் கரைத்து எடுத்து வடிகட்டி கொண்டு அதிலேயே மஞ்சள் தூள், அரைத்த மிளகாய், தனியா, சீரக விழுதைப் போட்டுக் கலக்கவும்.
அடுப்பில் வாணலி வைத்து அதில் முதலில் புளித்தண்ணீரை ஊற்றிக் கொதிக்கவிடவும். புளித் தண்ணீர் நன்கு கொதிக்க ஆரம்பித்ததும் தேங்காய் பால் ஊற்றவும். 50 கிராம் நல் லெண்ணையை மேலே சுற்றிலும் ஊற்றவும். தேவையான அளவு உப்பு போட்டு மேலும் சிறிது நேரம் கொதித்ததும். கழுவின மீனை குழம்பில் சேர்க்கவும்.
மீன் வெந்து குழம்பு கொதித்துச் சுண்டியதும் கொத்தமல்லித் தழை தூவி இறக்கவும்.
மிக மிகச் சுவையான அயிரை மீன் குழம்பு தயார்.
</t>
  </si>
  <si>
    <t>https://vanakkamlondon.com/wp-content/uploads/2020/12/Tamil_News_large_1528356.jpg</t>
  </si>
  <si>
    <t>Prawn Dip</t>
  </si>
  <si>
    <t>இறால் தொக்கு</t>
  </si>
  <si>
    <t>Prawns - 1/2,
Large onion - 2,
Tomatoes - 2,
Ginger garlic paste - 1 tablespoon,
Turmeric powder - 1/2 teaspoon,
Plain chili powder - 1 tablespoon,
Mustard, urad dal - 1/2 teaspoon,
Oil - 100 .,
Salt - as needed</t>
  </si>
  <si>
    <t>இறால் - 1/2,
பெரிய வெங்காயம் - 2,
தக்காளி - 2,
இஞ்சி பூண்டு விழுது - 1 டேபிள் ஸ்பூன்,
மஞ்சள் தூள் - 1/2 ஸ்பூன்,
வெறும் மிளகாய்த்தூள் - 1 டேபிள் ஸ்பூன்,
கடுகு, உளுத்தம்பருப்பு - 1/2 ஸ்பூன்,
எண்ணெய் - 100 .,
உப்பு - தேவையான அளவு</t>
  </si>
  <si>
    <t>Peel and clean the prawns, add turmeric powder and keep aside.
Chop the onion and tomato into powder.
Next, pour oil in a pan and when it is hot, add mustard, urad dal, onion, ginger and garlic paste and fry. When the raw smell goes away, add the tomatoes and fry until they become a paste and add chili powder and fry.
Once everything is well cooked, add the shrimp, salt as required and cover it with a lid. After a few minutes, if you open the lid, the water will have drained from the shrimp. When the water has evaporated and the oil separates, sprinkle the curry leaves and coriander leaves and serve.
Delicious shrimp dip is ready.</t>
  </si>
  <si>
    <t>இறாலை தோல் உரித்துச் சுத்தம் செய்து மஞ்சள் தூள் போட்டுப் பிரட்டி வைத்துக்கொள்ளவும்.
வெங்காயம், தக்காளியை பொடியாக நறுக்கி வைக்கவும்.
அடுத்து வாணலியில் எண்ணெய் ஊற்றிக் காய்ந்ததும் கடுகு உளுத்தம்பருப்பு தாளித்து வெங்காயம், இஞ்சி, பூண்டு விழுதைப் போட்டு வதக்கவும். பச்சை வாசனை போனதும் தக்காளியைச் சேர்த்து கூழாகும்வரை வதக்கி மிளகாய் தூள் சேர்த்துப் பிரட்டவும்.
எல்லாம் நன்கு வதங்கியதும் இறால், தேவையான அளவு உப்பு சேர்த்துப் பிரட்டி மூடி போட்டு மூடவும். சில நிமிடங்கள் கழித்து மூடியைத் திறந்தால் இறாலிலிருந்து தண்ணீர் விட்டிருக்கும். அந்தத் தண்ணீர் சுண்டி தொக்கு திரண்டு எண்ணெய் பிரிந்து வந்ததும் கருவேப்பிலை, கொத்த மல்லித் தழை தூவி இறக்கவும்.
சுவையான இறால் தொக்கு தயார்.</t>
  </si>
  <si>
    <t>https://tamil.samayam.com/thumb/69281028/69281028.jpg?imgsize-216365&amp;width=700&amp;height=394&amp;resizemode=75</t>
  </si>
  <si>
    <t>Chettinad Prawn Special Fry</t>
  </si>
  <si>
    <t>செட்டிநாட்டு இறால் ஸ்பெஷல் ஃபிரை</t>
  </si>
  <si>
    <t>Prawns - 1/4 kg,
Small onion - 100 g,
Tomato - 1,
Green chillies - 2,
Ginger garlic paste - 1 tablespoon,
Turmeric powder - 1/4 teaspoon,
Mixed chilli powder - 2 teaspoons,
Curry leaves - a pinch,
Coconut oil - 2 teaspoons,
Salt - as required</t>
  </si>
  <si>
    <t>இறால் - 1/4 கிலோ,
சின்ன வெங்காயம் - 100 கிராம்,
தக்காளி - 1,
பச்சை மிளகாய் - 2,
இஞ்சி பூண்டு விழுது - 1 டேபிள் ஸ்பூன்,
மஞ்சள் தூள் - 1/4 ஸ்பூன்,
கலந்த மிளகாய் தூள் - 2 ஸ்பூன்,
கறிவேப்பிலை - சிறிதளவு,
தேங்காய் எண்ணெய் - 2 ஸ்பூன்,
உப்பு - தேவையான அளவு</t>
  </si>
  <si>
    <t>Peel the skin off the prawns, wash them, add turmeric powder and set aside.
Chop the onion and tomato. Chop the green chillies.
Then pour a spoon of oil in a pan, add the prawns and fry them.
Add chopped onion, tomato, green chilli, chilli powder, ginger and garlic paste to the fried prawns and let it marinate for an hour.
Finally, pour the remaining coconut oil in the pan, add the soaked prawn mixture and fry until it turns red. Turn it over and fry well. When the fried prawns turn red, remove from heat.
This spicy prawn sambar and rasam are very tasty to touch with rice. You can also mix this fried prawn with white rice.</t>
  </si>
  <si>
    <t>இறாலை தோல் உரித்துச் சுத்தம் செய்து கழுவி மஞ்சள் தூள் போட்டுப் பிரட்டி வைக்கவும்.
வெங்காயம், தக்காளியை நறுக்கிக்கொள்ளவும். பச்சை மிளகாயை கீறிக்கொள்ளவும்.
பின் வாணலியில் ஒரு ஸ்பூன் எண்ணெய் ஊற்றி இறாலைப் போட்டு வதக்கி எடுக்கவும்.
வதக்கின இறாலில் நறுக்கி வைத்த வெங்காயம், தக்காளி, பச்சை மிளகாய், மிளகாய் தூள், இஞ்சி, பூண்டு விழுது அனைத் தையும் சேர்த்துப் பிரட்டி ஒரு மணிநேரம் ஊறவிடவும்.
கடைசியாக வாணலியில் மிச்சமிருக்கும் தேங்காய் எண் ணெயை ஊற்றி, ஊற வைத்திருக்கும் இறால் கலவையைப் போட்டு சிறு தீயில் சிவக்க வதக்கவும். புரட்டிப் புரட்டி நன்கு வதக்க வதக்க வறுவல் சிவந்து வந்ததும் இறக்கவும்.
அட்டகாசமான இந்த இறால் தொக்கு சாம்பார், ரசம் சாதத் துக்கு தொட்டுக்கொள்ள மிகச் சுவையாக இருக்கும். இந்த வறுவலை வெள்ளைச் சாதத்திலேயே போட்டு பிசைந்தும் சாப்பிடலாம்.</t>
  </si>
  <si>
    <t>https://i0.wp.com/www.faskitchen.com/wp-content/uploads/2016/05/chettinad-varuval.jpg?w=680&amp;ssl=1</t>
  </si>
  <si>
    <t>Prawn and Green Chilli Porima</t>
  </si>
  <si>
    <t>இறால் கீரை பொரிமா</t>
  </si>
  <si>
    <t>Prawns - 1/4 kg,
Drumstick - 1/2 bunch,
Green Chilli - 1 bunch,
Eggplant - 1,
Large onion - 1,
Green chillies - 2,
Coconut - 1/2 lid,
Salt - 1/2 spoon,
To make the Porima powder:,
Green rice - 1/4 cup,
Feruncle - 1 spoon,
For seasoning:,
Mustard - 1/2 spoon,
Dried chillies - 2,
Oil - 2 tablespoons</t>
  </si>
  <si>
    <t>இறால் - 1/4 கிலோ,
முருங்கைக்கீரை - 1/2 கட்டு,
பசலைக்கீரை - 1 கட்டு,
கத்திரிக்காய் - 1,
பெரிய வெங்காயம் - 1,
பச்சை மிளகாய் - 2,
தேங்காய் - 1/2 மூடி,
உப்பு - 1/2 ஸ்பூன்,
பொரிமாத்தூள் செய்ய:,
பச்சை அரிசி - 1/4 கப்,
பெருஞ்சீரகம் - 1 ஸ்பூன்,
தாளிக்க:,
கடுகு - 1/2 ஸ்பூன்,
மிளகாய் வற்றல் - 2,
எண்ணெய் - 2 டேபிள் ஸ்பூன்</t>
  </si>
  <si>
    <t>Peel and clean the prawns.
Next, make the Porima powder. For this, fry the rice in a pan without burning it, and add the fennel seeds and fry it. Once cooled, put it in a mixer and grind it like rava.
Grate the coconut. Chop the eggplant, onion, and green chilies into powder.
Next, put a pot on the stove, pour a cup of water and bring it to a boil. Add the shrimp and chopped eggplant, onion, and green chilies to it and let it boil.
After the shrimp and vegetables are cooked, add the greens to it. Add the grated coconut and borimath powder and mash it vigorously. Once the greens are cooked well and softened, remove them and season with mustard and chili powder and serve hot.
This can be made as a dip for dosa or chapati. It can also be eaten alone. This is a great dish for non-vegetarians.</t>
  </si>
  <si>
    <t>இறாலை தோல் உரித்துச் சுத்தம் செய்து வைக்கவும்.
அடுத்து பொரிமாத்தூள் செய்துகொள்ளவேண்டும். அதற்கு அரிசியை வெறும் வாணலியில் தீய்ந்து போகாமல் வறுத்து, கூடவே பெருஞ்சீரகத்தையும் சேர்த்து வறுத்துக் கொள்ள வேண்டும். ஆறியதும் மிக்ஸியில் போட்டு ரவா போல் உடைத்துக் கொள்ளவும்.
தேங்காயை துருவிக் கொள்ளவும். கத்தரிக்காய், வெங்காயம், பச்சை மிளகாயை பொடியாக நறுக்கி வைக்கவும்.
அடுத்து, அடுப்பில் பாத்திரம் வைத்து, ஒரு தம்ளர் தண்ணீர் ஊற்றிக் கொதிக்கவிடவும். அதில் இறாலையும் நறுக்கி வைத்துள்ள கத்தரிக்காய், வெங்காயம், பச்சை மிளகாயையும் போட்டு வேக வைக்கவும்.
இறாலும், காய்களும் வெந்த பிறகு, அதிலேயே கீரைகளை அலசிப் போடவும். தேங்காய் துருவல், பொரிமாத் தூள் போட்டு அழுத்தமாக மசித்துக் கிளறவும். கீரையும் நன்றாக வெந்து குழைந்தவுடன் இறக்கி கடுகு, மிளகாய் வற்றல் தாளித்து சூடாகப் பரிமாறவும்.
இதை தோசை, சப்பாத்திக்கு தொட்டுக் கொள்ளவும் செய்ய லாம். தனியாகவும் சாப்பிடலாம். அசைவப் பிரியர்களுக்கு அலாதியான உணவு இது.</t>
  </si>
  <si>
    <t>https://ameliafreer.com/wp-content/webp-express/webp-images/uploads/2022/11/Spiced-Prawns-Spinach-Cocount-02-uai-720x845-1-800x938_c.jpg.webp</t>
  </si>
  <si>
    <t>Sheela fish fry</t>
  </si>
  <si>
    <t>செட்டிநாட்டு சீலா மீன் வறுவல்</t>
  </si>
  <si>
    <t>Seela fish - 1/2,
Groundnuts - 3 tbsp,
Ultra gram - 3 tbsp,
Turmeric powder - 1/2 tbsp,
Chili powder - 4 tbsp,
Taniyat powder - 4 tbsp,
Dried chilies - 5,
Pepper - 2 tbsp,
Lemon - 1,
Mustard - 1 tbsp,
Oil - 100 ml,
Salt - as required,
Caraway seeds - a bunch</t>
  </si>
  <si>
    <t>சீலா மீன் - 1/2,
கடலைப்பருப்பு - 3 ஸ்பூன்,
உளுத்தம்பருப்பு - 3 ஸ்பூன்,
மஞ்சள் தூள் - 1/2 ஸ்பூன்,
மிளகாய் தூள் - 4 ஸ்பூன்,
தனியாத் தூள் - 4 ஸ்பூன்,
மிளகாய் வற்றல் - 5,
மிளகு - 2 ஸ்பூன்,
எலுமிச்சம் பழம் - 1,
கடுகு - 1 ஸ்பூன்,
எண்ணெய் - 100 மிலி,
உப்பு - தேவையான அளவு,
கருவேப்பிலை - ஒரு கொத்து</t>
  </si>
  <si>
    <t>First, wash and clean the fish well.
In a bowl, mix turmeric powder, chili powder, taniyat powder, required salt, lemon juice, a little water and make a paste. Put the fish in it and marinate it well. The longer you soak it for more than an hour, the tastier it will be.
Next, fry the mustard seeds, pepper, dried chilies, peanuts, urad dal, and black gram in a pan without burning them, cool them and grind them into powder.
Then take the fish soaked in the chili powder paste and finally coat both sides with the ground masala and fry it in oil on a dosa stone in the oven.
It is better to keep the fire low while frying the fish. When both sides are golden brown, the Chettinad Seelameen Varuval is ready. This will be a tasty addition to all types of rice.</t>
  </si>
  <si>
    <t>முதலில் மீனை நன்கு கழுவி சுத்தம் செய்து வைத்துக் கொள்ளவும்.
ஒரு கிண்ணத்தில் மஞ்சள் தூள், மிளகாய் தூள், தனியாத் தூள், தேவையான அளவு உப்பு இவற்றுடன் எலுமிச்சை சாறு, லேசாக தண்ணீர் விட்டு விழுதாக பிசைந்து கொண்டு அதில் மீனைப் போட்டு நன்கு ஊற வைக்கவும். ஒரு மணி நேரத்துக் கும் மேலாக எவ்வளவு நேரம் ஊற விடுகிறீர்களோ அவ் வளவு சுவையாக இருக்கும்.
அடுத்து வாணலியில் கடுகு, மிளகு, மிளகாய் வற்றல், கடலைப்பருப்பு, உளுத்தம்பருப்பு, கருவேப்பிலை ஆகிய வற்றை தீய்ந்து போகாமல் வறுத்து, ஆற வைத்து பொடி செய்து எடுத்துக்கொள்ளவும்.
பின் மிளகாய் தூள் விழுதில் ஊறவைத்துள்ள மீனை எடுத்து கடைசியாக அரைத்து எடுத்துள்ள மசாலாவில் இரண்டுபுற
மும் முக்கியெடுத்து அடுப்பில் தோசைக்கல்லில் எண்ணெய் விட்டு பொரித்தெடுக்கவும்.
மீனைப் பொரிக்கும்போது சிறுதீயாக வைத்துக்கொள்வது நல்லது. இரண்டு புறமும் திருப்பிப்போட்டு பொன்முறுவலாக எடுத்தால் செட்டிநாட்டு சீலாமீன் வறுவல் தயார். இது எல்லா வகை சாதத்துக்கும் தொட்டுக்கொள்ள ஜோராக இருக்கும்.</t>
  </si>
  <si>
    <t>https://images.news18.com/tamil/uploads/2024/03/Food-Recipes-in-Tamil-34-2024-03-2936c3532011c56bd05c1fc2c4fd218b-4x3.jpg?impolicy=website&amp;width=360&amp;height=270</t>
  </si>
  <si>
    <t>black channa salad in Tamil</t>
  </si>
  <si>
    <t>கருப்பு கொண்டக்கடலை சாலட்</t>
  </si>
  <si>
    <t>Salads</t>
  </si>
  <si>
    <t>1/4 cup boiled black beans,
2 teaspoons chopped carrots,
2 teaspoons chopped green chilies,
2 teaspoons chopped yellow chilies,
2 teaspoons chopped red chilies,
2 teaspoons pomegranate pearls,
1 onion,
1 tomato,
1/4 cucumber,
2 teaspoons chopped kale,
1/2 lemon juice,
1/2 teaspoon pink salt,
1/4 teaspoon oregano,
1/2 teaspoon pepper powder</t>
  </si>
  <si>
    <t>1/4கப் வேக வைத்த கருப்பு கொண்டக்கடலை,
2டீஸ்பூன் நறுக்கிய கேரட்,
2டீஸ்பூன் நறுக்கிய பச்சை குடைமிளகாய்,
2டீஸ்பூன் நறுக்கிய மஞ்சள் குடைமிளகாய்,
2டீஸ்பூன் நறுக்கிய சிகப்பு குடைமிளகாய்,
2டீஸ்பூன் மாதுளை முத்துக்கள்,
1வெங்காயம்,
1தக்காளி,
1/4வெள்ளறிக்காய்,
2டீஸ்பூன் நறுக்கிய முட்டைக் கோஸ்,
1/2எலுமிச்சை பழச்சாறு,
1/2டீஸ்பூன் பிங்க் சால்ட்,
1/4டீஸ்பூன் ஓரிகானோ,
1/2டீஸ்பூன் மிளகு தூள்</t>
  </si>
  <si>
    <t>Add all the chopped vegetables together in a bowl
Add salt and pepper to the chopped vegetables and mix..
Finally add oregano and lemon juice and the salad is ready..
Now your delicious and nutritious black bean salad is ready..</t>
  </si>
  <si>
    <t xml:space="preserve">ஒரு பாத்திரத்தில் நறுக்கிய காய்கறிகளை எல்லாம் ஒன்றாக சேர்க்கவும்
நறுக்கிய காய்கறிகளுடன் உப்பும் மிளகுத்தூளும் சேர்த்து கலந்து விடவும்..
இறுதியாக ஓரிகனாகவும் எலுமிச்சை பழ சாரும் சேர்த்து கலந்தால் சாலட் தயாராகிவிடும்..
இப்போது சுவையான சத்தான கருப்பு கொண்டை கடலை சாலட் தயார்..
</t>
  </si>
  <si>
    <t>https://img-global.cpcdn.com/steps/06d05830180379d3/1280x1280sq70/photo.webp</t>
  </si>
  <si>
    <t>italian salad recipe in tamil</t>
  </si>
  <si>
    <t>இத்தாலியன் சாலட்</t>
  </si>
  <si>
    <t xml:space="preserve">1 English cucumber,
1 tomato,
1 tablespoon olives,
1 onion,
1 green pepper,
Mozzarella cheese slices,
1/2 teaspoon basil,
1/2 teaspoon oregano,
1 teaspoon parsley leaves,
1 teaspoon red vinegar,
1 teaspoon white vinegar,
1 teaspoon sugar,
1/4 teaspoon salt,
1/4 teaspoon pepper powder
</t>
  </si>
  <si>
    <t>1இங்லீஷ் குக்கும்பர்,
1 தக்காளி,
1 டேபிள் ஸ்பூன் ஆலிவ்,
1 வெங்காயம்,
1பச்சை குடைமிளாய்,
மோசெரெல்லா சீஸ் துண்டுகள்,
1/2 டீஸ்பூன் பேசில்,
1/2 டீஸ்பூன் ஒரிகானா,
1 டீஸ்பூன் பார்ஸ்லி இலை,
1 டீஸ்பூன் ரெட் வினிகர்,
1 டீஸ்பூன் ஒயிட் வினிகர்,
1 டீஸ்பூன் சர்க்கரை,
1/4 டீஸ்பூன் சால்ட்,
1/4 டீஸ்பூன் மிளகு தூள்</t>
  </si>
  <si>
    <t>Get the   to make Italian salad and keep them ready.
Then cut all the vegetables into cubes.
In a bowl, add olive oil, red vinegar, white vinegar, sugar, salt, and pepper and beat well.
In another bowl, add the chopped vegetables and add the beaten vinegar mixture. Also add basil and oregano and mix well.
Now you are ready to enjoy a very delicious and nutritious Italian salad.
This salad is very tasty. Anyone who wants to diet can taste it.</t>
  </si>
  <si>
    <t>இத்தாலியன் சாலட் செய்ய தேவையான பொருட்களை எடுத்து தயாராக வைக்கவும்.
பின்னர் எல்லா காய்களையும்கியூப்ஸ் ஆக நறுக்கி வைத்துக்கொள்ளவும்.
ஒரு பௌலில் ஆலிவ் ஆயில்,ரெட் வினிகர்,ஒயிட் வினிகர்,சர்க்கரை,சால்ட், மிளகுத்தூள் எல்லாம் சேர்த்து நன்கு பீட் செய்து தயாராக வைக்கவும்.
வேறு ஒரு பௌலில் நறுக்கி வைத்துள்ள காய்களை சேர்த்து,பீட் செய்து வைத்துள்ள வினிகர் கலவையை சேர்க்கவும். அத்துடன் பேசில், ஒரிகானோ எல்லாம் சேர்த்து நன்கு கலந்து விடவும்.
இப்போது மிகவும் சுவையான, சத்தான இத்தாலியன் சாலட் சுவைக்கத்தயார்.
இந்த சாலட் மிகவும் சுவையாக இருக்கும்.டயட் செய்ய விரும்பும் அனைவரும் சுவைக்கலாம்.</t>
  </si>
  <si>
    <t>https://img-global.cpcdn.com/steps/18c32ef6deace1ba/1280x1280sq70/photo.webp</t>
  </si>
  <si>
    <t>Red beans salad recipe</t>
  </si>
  <si>
    <t>ரெட் பீன்ஸ் சாலட் காலை உணவு</t>
  </si>
  <si>
    <t>2 cups kidney beans soaked for 7 hours
1 cup corn🌽
1 large cucumber, chopped
1 large onion, chopped
Salt as required
Lemon juice as required
Coriander leaves</t>
  </si>
  <si>
    <t>2 கப் கிட்னி பீன்ஸ் 7 மணி நேரம் ஊறவைத்தது,
1 கப் கார்ன்,
1பெரிய வெள்ளரி நருக்கியது,
1பெரிய வெங்காயம் நருகியது,
தேவைக்கு ஏற்பஉப்பு,
தேவைக்கு ஏற்பலெமன் ஜூஸ்
		மல்லிதழ</t>
  </si>
  <si>
    <t>Corn kidney beans, add salt and cook well in a cooker
Add boiled kidney beans, corn, chopped onion, cucumber, grated carrot, coriander leaves, lemon, pepper powder and mix well...stir.. 
Healthy breakfast is ready</t>
  </si>
  <si>
    <t>கார்ன் கிட்னி பீன்ஸ் ஐ உப்பு சேர்த்து நன்றக குக்கரில் வேக வைக்கவும்
வெந்த கிட்னி பீன்ஸ் கார்ன் உடன் நறுக்கிய பெரியவெங்காயம் வெள்ளரி கேரட் துருவல் மல்லித்தழை சேர்த்து எலுமிச்சை சேர்த்து மிளகு தூள் சேர்த்து நன்றாக கலந்து...பரிமாறவும்.
ஹெல்த்தி ஆன காலை உணவு ரெடி</t>
  </si>
  <si>
    <t>https://img-global.cpcdn.com/recipes/87507bf77904a40a/1280x1280sq70/photo.webp</t>
  </si>
  <si>
    <t>Carrot salad</t>
  </si>
  <si>
    <t>கேரட் சலாட்</t>
  </si>
  <si>
    <t>4 carrots,
2 green chillies,
1 teaspoon oil,
1 teaspoon lemon juice,
a pinch of cumin powder,
as required salt,
1/4 teaspoon mustard,
1/4 teaspoon urad dal,
curry leaves,
coriander leaves</t>
  </si>
  <si>
    <t>4கேரட்,
2பச்சை மிளகாய்,
1டீஸ்பூன் எண்ணெய்,
1டீஸ்பூன் எலுமிச்சை சாறு,
ஒரு சிட்டிகை பெருங்காயத்தூள்,
தேவையான அளவுஉப்பு,
1/4டீஸ்பூன் கடுகு,
1/4டீஸ்பூன் உளுந்து பருப்பு,
கறிவேப்பிலை,
மல்லி இலை</t>
  </si>
  <si>
    <t>Wash the carrots well, peel and grate them.
Heat the pan on the stove and add oil. When it is hot, add mustard seeds, urad dal, curry leaves, chopped green chillies, coriander leaves and fry them until golden brown. Add turmeric powder.
Then turn off the stove and add the grated carrots and mix.
Add salt as required. Mix everything well, put in a bowl and sprinkle chopped coriander leaves and serve.
Those who want to have this delicious carrot diet, just take a cup. It will be very tasty for everyone to eat as a side dish with rice.
Everyone should make and taste this carrot salad with its eye-catching colors.</t>
  </si>
  <si>
    <t xml:space="preserve">கேரட்டை நன்கு கழுவி, தோல் சீவி, துருவி வைத்துக் கொள்ளவும்.
வாணலியை ஸ்டவ்வில் வைத்து சூடானதும் எண்ணெய் ஊற்றி காய்ந்ததும் கடுகு,உளுந்து பருப்பு, கறிவேப்பிலை, நறுக்கிய பச்சை மிளகாய்,மல்லி இலை சேர்த்து பொன்னிறமாக வதக்கவும்.பெருங்காயத்தூள் சேர்க்கவும்.
பின்னர் ஸ்டவ் ஆஃப் செய்துவிட்டு துருவி வைத்துள்ள காரட்டை சேர்த்து கலக்கவும்.
தேவையான அளவு உப்பு சேர்க்கவும்.எல்லாம் சேர்த்து நன்கு கலந்து,ஒரு பௌலில் சேர்த்து நறுக்கிய மல்லி இலை தூவி பரிமாறவும்.
இந்த சுவையான காரட் டையட் இருக்க விரும்புபவர்கள் ஒரு கப் எடுத்துக் கொண்டால் போதும். எல்லோரும் சாதத்துடன் துணை உணவாக சாப்பிட மிகவும் சுவையாக இருக்கும்.
கண்கவர் வண்ணம் கொண்ட இந்த காரட் சாலட் அனைவரும் செய்து சுவைக்கவும்.
</t>
  </si>
  <si>
    <t>https://img-global.cpcdn.com/recipes/7472024db5c7bce0/1280x1280sq70/photo.webp</t>
  </si>
  <si>
    <t>Beetroot salad recipe</t>
  </si>
  <si>
    <t>ப்ரூட் சாலட்</t>
  </si>
  <si>
    <t>2 apples,
1 pomegranate,
1 piece of mango,
1 handful of ginger,
1 cup of yogurt,
1 glass of milk,
as needed salt</t>
  </si>
  <si>
    <t>2 ஆப்பிள்,
1 மாதுளம் பழம்,
1துண்டு மாங்காய்,
1 கை தண்டு,
1கப் தயிர்,
1டம்ளர் பால்,
தேவையானஅளவு உப்பு</t>
  </si>
  <si>
    <t>In a bowl, mix the finely chopped apple, pomegranate, mango, salt, yogurt, and milk.
It will be super delicious if eaten after 1/4 hour.</t>
  </si>
  <si>
    <t xml:space="preserve">ஒரு பாத்திரத்தில் பொடியாக நறுக்கிய தண்டு ஆப்பிள் மாதுளம் பழம் மாங்காய் உப்பு தயிர் பால் சேர்த்து கலக்கி வைக்கவும்.
1/4மணி நேரம் கழித்து சாப்பிட்டால் சூப்பராக சத்தனதாக இருக்கும்.
</t>
  </si>
  <si>
    <t>https://img-global.cpcdn.com/recipes/ffd1d5398cc3d14a/1280x1280sq70/photo.webp</t>
  </si>
  <si>
    <t>Cucumber salad</t>
  </si>
  <si>
    <t>வெள்ளரி சாலட்</t>
  </si>
  <si>
    <t>1 cucumber, 
1/4 teaspoon pepper, 
salt as needed</t>
  </si>
  <si>
    <t>1வெள்ளரிக்காய்,
1/4ஸ்பூன்மிளகுத்தூள்,
தேவையானஅளவுஉப்பு</t>
  </si>
  <si>
    <t>First, cut the cucumber along the edge and rub it well to extract the milk that comes out.
Then wash the cucumber well, remove the skin and cut it into pieces.
Then add pepper, salt and cucumber together and mix well and serve.</t>
  </si>
  <si>
    <t>முதலில் வெள்ளரிக்காய் ஓரத்தில் நறுக்கி நன்கு தேய்த்தால் பால் வரும் அந்த பாலை வெளியே எடுக்கவும்.
பின்னர் வெள்ளரிக்காயை நன்கு அலசி தோலை நீக்கி துண்டுகளாக நறுக்கி கொள்ளவும்.
பின்னர் மிளகுத்தூள் உப்பு வெள்ளரிக்காய் ஒன்றாக சேர்த்து நன்கு கலந்து பரிமாறவும்.</t>
  </si>
  <si>
    <t>https://img-global.cpcdn.com/recipes/6a191273ecf3991d/1280x1280sq70/photo.webp</t>
  </si>
  <si>
    <t>Sweet corn salad</t>
  </si>
  <si>
    <t>இனிப்பு சோள சாலட்</t>
  </si>
  <si>
    <t>One cup of boiled sweet corn,
2 carrots,
2 large onions,
Salt as required,
A pinch of chaat masala,
1/2 teaspoon chili powder</t>
  </si>
  <si>
    <t>வேகவைத்த ஸ்வீட் கார்ன் ஒரு கப்,
2 கேரட்,
2 பெரிய வெங்காயம்,
உப்பு தேவையான அளவு,
சாட் மசாலா சிறிதளவு ,
1/2  ஸ்பூன்மிளகாய் தூள்</t>
  </si>
  <si>
    <t>Boil the sweet corn well until it reaches 4 whistles.
Grate the carrots and onions.
Then put the chopped onions and carrots in a wide bowl, add all the spices, mix well and serve.</t>
  </si>
  <si>
    <t xml:space="preserve">ஸ்வீட் கார்னை நன்றாக 4 விசில் வரும் வரை வேக வைத்து எடுத்துக் கொள்ளவும்.
கேரட்டையும் வெங்காயத்தையும் துருவி எடுத்துக் கொள்ளவும்.
பின்பு கான் வெங்காயம் கேரட் ஆகியவற்றை ஒரு அகன்ற பாத்திரத்தில் இட்டு எல்லா மசாலாக்களையும் சேர்த்து நன்றாக கிளறி பரிமாறவும்.
</t>
  </si>
  <si>
    <t>https://i0.wp.com/chrizzosgrubscene.com/wp-content/uploads/2023/08/20230803_141740-scaled.jpg?resize=300%2C300&amp;ssl=1</t>
  </si>
  <si>
    <t>Mixed Vegetable Salad</t>
  </si>
  <si>
    <t>மிக்சட் வெஜிடபிள் சாலட்</t>
  </si>
  <si>
    <t>1 carrot,
1 tomato,
1 cucumber,
1 onion,
grated coconut,
2 tablespoons cabbage,
a handful of coriander leaves,
1 tablespoon pepper,
1/2 lemon,
Salt,
1/4 teaspoon chili powder as needed,
soaked green beans or peanuts (optional)
2 tablespoons unripe mango</t>
  </si>
  <si>
    <t>1கேரட்,
1தக்காளி,
1வெள்ளரிக்காய்,
1வெங்காயம்,
பல்லு பல்லாக கீறின தேங்காய்,
2ஸ்பூன் முட்டைக்கோஸ்,
கைப்பிடி கொத்தமல்லி தழை,
1ஸ்பூன் மிளகுத்தூள்,
1/2 எலுமிச்சை,
உப்பு,
1/4 ஸ்பூன் மிளகாய்த்தூள் தேவைக்கு,
ஊறவைத்த பச்சை பயிறு அல்லது நிலக்கடலை (விருப்பம் இருந்தால்)
2ஸ்பூன் புளிப்பில்லாத மாங்காய்</t>
  </si>
  <si>
    <t>Cut the vegetables into small pieces of equal size and keep them aside. Grate the carrots and grate the coconut into small pieces
In a bowl, add the chopped vegetables and grated coconut (if you have cashews, soak and sprouted green lentils or soak and boil peanuts)
Add salt, pepper, coriander leaves and finally squeeze the lemon juice
If you don't want pepper, add green chilies or 1/4 teaspoon chili powder. A delicious mixed vegetable salad is ready to taste.</t>
  </si>
  <si>
    <t>காய்களை பொடியாக ஒரே அளவில் சிறு கஷணமாக வெட்டி வைத்துக்கவும். கேரட்டை துருவி வைத்துக்கவும், தேங்காயை சிறு பல்லா கீறி வைத்துக்கவும்
ஒரு பவுலில் நறுக்கின காய்கள், கீறின தேங்காய் சேர்த்துக்கவும் (விருக்குப்பம் இருந்தால் ஊற வைத்து முளைக்கடின பச்சை பயறு அல்லது ஊற வைத்து வேக வைத்த நிலக்கடலை)
அதுக்கு தேவையான உப்பு, மிளகுத்தூள், சேர்த்து மல்லி தழை தூவி, கடைசியாக எலுமிச்சை சாறு பிழிந்துக்கவும்
மிளகு வேண்டாம் நினைத்தால், பச்சைமிளகாய் அல்லது 1/4 ஸ்பூன் மிளகாய்த்தூள் சேர்த்துக்கவும். சுவையான மிக்ஸட் வெஜிடபிள் சாலட் சுவைக்க தயார்.</t>
  </si>
  <si>
    <t>https://sugarandsnappeas.com/wp-content/uploads/2023/05/marinated-vegetable-salad-1-1-1.jpg</t>
  </si>
  <si>
    <t>Mudakkathaan salad</t>
  </si>
  <si>
    <t>முடக்கத்தான் சாலட்</t>
  </si>
  <si>
    <t>1 handful of mutakatthan spinach,
2 tablespoons of grated coconut,
2 tablespoons of lemon juice,
a little salt</t>
  </si>
  <si>
    <t>1 கைப்பிடிமுடக்கத்தான் கீரை,
2 தேக்கரண்டிதேங்காய்த் துருவல்,
2 ஸ்பூன்எலுமிச்சை சாறு,
உப்பு-சிறிது</t>
  </si>
  <si>
    <t>Clean the mutakatthan spinach and wash it twice with water. Wash it with salt for the third time.
Drain the water and chop it into powder. Add grated coconut and lemon juice to it and mix well.</t>
  </si>
  <si>
    <t>முடக்கத்தான் கீரையை சுத்தம் செய்து 2 முறை தண்ணீரில் கழுவிக் கொள்ளவும்.3 வது முறையாக உப்பு சேர்த்து கழுவிக் கொள்ளவும்.
		தண்ணீரை வடித்து பொடியாக நறுக்கி கொள்ளவும்.அதனோடு தேங்காய் துருவல்,எலுமிச்சை சாறு சேர்த்து நன்றாக கலந்து சாப்பிடவும்</t>
  </si>
  <si>
    <t>https://dheivegam.com/wp-content/uploads/2021/10/mudkathan-keerai3.jpg</t>
  </si>
  <si>
    <t>mango juice</t>
  </si>
  <si>
    <t>மாம்பழச்சாறு</t>
  </si>
  <si>
    <t>Good ripe mango- 1,
Raw sugar- 2 spoons,
Cashew nuts - 3,
Almonds - 3,
Walnuts - 1</t>
  </si>
  <si>
    <t>நல்ல பழுத்தமாம்பழம்- 1,
நாட்டுச்சர்க்கரை- 2 ஸ்பூன்,
முந்திரிபருப்பு - 3,
பாதாம் - 3,
வால்நட்- 1</t>
  </si>
  <si>
    <t>First cut the mango. Put mango, cashew nuts, almonds, raw sugar, ice cubes in a mixer jar and beat well. Mango juice is ready. Pour into a glass and drink.
Add honey if required. Delicious mango juice is ready. You can put some mango pieces on top of the juice and drink it.
You can decorate it with cashew nuts.</t>
  </si>
  <si>
    <t>முதலில் மாம்பழத்தை கட் பண்ணிக்கொள்ளவும். மாம்பழம், முந்திரிப்பருப்பு, பாதாம், நாட்டுச்சர்க்கரை,ஐஸ் துண்டுகள்போட்டு மிக்ஸி ஜாரில்போட்டு நன்கு அடித்துக்கொள்ளவும்.மாம்பழஜூஸ்ரெடி. கண்ணாடி ஊற்றிபருகவும்.
தேன் தேவைப்பட்டால். சேர்க்கலாம். சுவையானமாழ்பழஜூஸ் ரெடி.ஜீஸ் மேலே சில மாம்பழத்துண்டுகள் போட்டு பருகக்கொடுக்கலாம். 
முந்திரிப்பருப்பு போட்டு அலங்கரிக்கலாம்.</t>
  </si>
  <si>
    <t>https://fridge.com/cdn/shop/articles/How_Long_Does_Mango_Juice_Last_In_The_Fridge_-Fridge.com_1920x@2x.jpg?v=1737217161</t>
  </si>
  <si>
    <t>Green peas</t>
  </si>
  <si>
    <t xml:space="preserve">பச்சை பட்டாணி </t>
  </si>
  <si>
    <t>Baby Foods</t>
  </si>
  <si>
    <t>Green peas - 5 teaspoons,
Salt - as required</t>
  </si>
  <si>
    <t>பச்சை பட்டாணி - 5 டீஸ்பூன்,
உப்பு - தேவையான அளவு</t>
  </si>
  <si>
    <t xml:space="preserve">
Wash them well and boil them in a pot. Do not add salt to it. If necessary, mash them with a little ghee on your finger. After it cools down, grind it into a smooth paste.
If necessary, you can add cumin powder. This promotes digestion and prevents flatulence in the baby's body.
Give this to a six-month-old baby, they will be fat and healthy!</t>
  </si>
  <si>
    <t xml:space="preserve">
 சுத்தமாக அலசி நன்றாக குழைய வேக விடவும். இதில் உப்பு சேர்க்க வேண்டாம் தேவையெனில் ஒரு விரலில் நெய் தொட்டு மசித்து கொள்ளுங்கள். இது குளிர்ந்த பிறகு மென்மையான பேஸ்ட் பதத்துக்கு ஆக்கி வைக்கவும்.
தேவையெனில் சீரகத்தூள் சேர்க்கலாம். இது செரிமானத்தை ஊக்குவிக்கும். குழந்தையின் உடலில் வாய்வு தவிர்க்கவும் செய்கிறது.
ஆறு மாச குழந்தைக்கு  கொடுங்க, கொழு கொழுன்னு ஆரோக்கியமா இருப்பாங்க!</t>
  </si>
  <si>
    <t>https://static.langimg.com/thumb/83720630/samayam-tamil-83720630.jpg?width=700&amp;height=394&amp;resizemode=75</t>
  </si>
  <si>
    <t>Sweet potato porridge</t>
  </si>
  <si>
    <t>கேழ்வரகு இனிப்பு கஞ்சி</t>
  </si>
  <si>
    <t xml:space="preserve">
Potato flour - 2 teaspoons,
Corn - 10,
Jaggery - 1/4 teaspoon,
Beetroot - 1 piece or carrot,
Ghee - as required
</t>
  </si>
  <si>
    <t xml:space="preserve">
கேழ்வரகு மாவு -2 டீஸ்பூன்,
கொண்டைக்கடலை - 10,
வெல்லம் - கால் டீஸ்பூன்,
பீட்ரூட் - 1 துண்டு அல்லது கேரட்,
நெய் - தேவைக்கு
</t>
  </si>
  <si>
    <t>Take the potato porridge in a pan, add a little water and stir it without lumps. 
Add chickpea sprouts and vegetables to it and let it cook. After two whistles, 
remove it and add jaggery. 
Rich in calcium
Finally, add ghee while serving it to the baby.
Give it to a six-month-old baby, they will be fat and healthy!</t>
  </si>
  <si>
    <t>கேழ்வரகை பாத்திரத்தில் எடுத்து சிறிது நீர் விட்டு கட்டியில்லாமல் கிளறி எடுங்கள். 
இதில் கொண்டைக்கடலை முளைக்கட்டி சேர்த்து காய்கறிகள் சேர்த்து வேக விடவும்.
இரண்டு விசில்கள் வந்ததும் இறக்கி வெல்லம் சேர்க்கவும். கால்சியம் நிறைந்த
இறுதியாக குழந்தைக்கு பரிமாறும் போது நெய் சேர்க்கவும்.
ஆறு மாச குழந்தைக்கு  கொடுங்க, கொழு கொழுன்னு ஆரோக்கியமா இருப்பாங்க!</t>
  </si>
  <si>
    <t>https://thesoundofcooking.com/wp-content/uploads/2023/09/sweet-potato-congee.jpg</t>
  </si>
  <si>
    <t>Apple puree</t>
  </si>
  <si>
    <t>ஆப்பிள் கூழ்</t>
  </si>
  <si>
    <t>A few slices of apple,
A little butter</t>
  </si>
  <si>
    <t>ஆப்பிள் சில துண்டுகள்,
வெண்ணெய் - சிறிதளவு</t>
  </si>
  <si>
    <t xml:space="preserve">Peel the apple and steam it in an idli pot. Once it is cooked well, remove it, mash it to a paste and add butter and serve it as is. 
There is no need to add any sweetener to this. 
Since the apple itself is sweet, you can serve it as is.
Give it to a six-month-old baby, they will be fat and healthy!
</t>
  </si>
  <si>
    <t>ஆப்பிள் தோல் உரித்து இட்லி பானையில் ஆவியில் வேகவிடவும். 
நன்றாக வெந்ததும் இறக்கி மசித்து பேஸ்ட் பதத்துக்கு ஆக்கி வெண்ணெய் சேர்த்து அப்படியெ கொடுக்கலாம். 
இதில் எந்த இனிப்பையும் சேர்க்க வேண்டியதில்லை. 
ஆப்பிளே இனிப்பாக இருக்கும் என்பதால் அப்படியே கொடுக்கலாம்.
ஆறு மாச குழந்தைக்கு கொடுங்க, கொழுகொழுன்னு ஆரோக்கியமா இருப்பாங்க!</t>
  </si>
  <si>
    <t>https://img.kidspot.com.au/TLl4kjhI/w643-h428-cfill-q90/kk/2015/03/3794-500441-1.jpg</t>
  </si>
  <si>
    <t>Banana with Ragi</t>
  </si>
  <si>
    <t>வாழைப்பழத்துடன் கேழ்வரகு</t>
  </si>
  <si>
    <t xml:space="preserve">Ragi - 2 teaspoons,
Small banana - half the amount,
Water - as required
</t>
  </si>
  <si>
    <t xml:space="preserve">கேழ்வரகு - 2 டீஸ்பூன்,
சிறிய வாழைப்பழம் - பாதி அளவு,
தண்ணீர் - தேவைக்கேற்ப
</t>
  </si>
  <si>
    <t>Mix the Ragi with water and make a paste. 
Drain it and add the banana to it and mash it. When both are ready to form a soft paste, 
you can mix it with ghee and give it to the baby. Since it is a natural sweetener, babies will eat it without refusing.
Give it to a six-month-old baby, they will be fat and healthy!</t>
  </si>
  <si>
    <t xml:space="preserve">கேழ்வரகை நீர் விட்டு கட்டியில்லாமல் கரைத்து கஞ்சியாக காய்ச்சி எடுக்கவும். இதை இறக்கி இதனுடன் வாழைப்பழம் சேர்த்து மசிக்கவும். 
இரண்டும் மென்மையான பேஸ்ட் பதத்துக்கு தயாரானதும் நெய் தொட்டு குழந்தைக்கு கொடுக்கலாம். இயற்கையான இனிப்பு என்பதால் குழந்தைகள் மறுக்காமல் சாப்பிடுவார்கள்.
ஆறு மாச குழந்தைக்கு கொடுங்க, கொழுகொழுன்னு ஆரோக்கியமா இருப்பாங்க!
</t>
  </si>
  <si>
    <t>https://www.myweekendkitchen.in/wp-content/uploads/2019/01/cereal_drink_finger_millet_banana_smoothie.jpg</t>
  </si>
  <si>
    <t>Rice and Dal Meal</t>
  </si>
  <si>
    <t>அரிசி பருப்பு உணவு</t>
  </si>
  <si>
    <t xml:space="preserve">Dal - 2 teaspoons,
Rice - 2 teaspoons,
Palm jaggery - for sweetness,
Ghee - as required
</t>
  </si>
  <si>
    <t xml:space="preserve">பருப்பு - 2 டீஸ்பூன்,
அரிசி - 2 டீஸ்பூன்,
பனை வெல்லம் - இனிப்புக்கு,
நெய் - தேவைக்கு
</t>
  </si>
  <si>
    <t>Boil both the rice and dal in a pan and mash them well. 
Then add a piece of palm jaggery and ghee and mash them. 
You can also add a piece of fruit and mash it. 
It will be delicious with a different taste.
Give it to a six-month-old baby, they will be fat and healthy!</t>
  </si>
  <si>
    <t xml:space="preserve">அரிசி பருப்பு இரண்டையும் குழைய வேகவைத்து நன்றாக மசித்து எடுக்கவும். பிறகு ஒரு துண்டு பனை வெல்லம் மற்றும் நெய் சேர்த்து மசிக்கவும். 
இதில் பழங்களின் துண்டு மசித்தும் சேர்க்கலாம். வித்தியாசமான சுவையுடன் நன்றாக இருக்கும்.
ஆறு மாச குழந்தைக்கு கொடுங்க, கொழுகொழுன்னு ஆரோக்கியமா இருப்பாங்க!
</t>
  </si>
  <si>
    <t>https://www.happyveggiekitchen.com/wp-content/uploads/2020/05/Dal-for-Babies-2-660x660.jpg</t>
  </si>
  <si>
    <t>Shark Cutlet</t>
  </si>
  <si>
    <t>சுறா மீன் கட்லெட்</t>
  </si>
  <si>
    <t>Shark fish - 1/2 kg,
Large onion - 1/4,
Egg - 1,
Turmeric powder - 1 spoon,
Chili powder - 1 spoon,
Pepper powder - 1 spoon,
Green chillies - 6,
Ginger and garlic paste - 1 tablespoon,
Bread powder - 2 cups,
Lemon juice - 1 tablespoon,
Coriander leaves - handful,
Oil - 100,
Salt - as required</t>
  </si>
  <si>
    <t>சுறா மீன் - 1/2 கிலோ,
பெரிய வெங்காயம் - 1/4,
முட்டை - 1,
மஞ்சள் தூள் - 1 ஸ்பூன்,
மிளகாய் தூள் - 1 ஸ்பூன்,
மிளகுத் தூள் - 1 ஸ்பூன்,
பச்சை மிளகாய் - 6,
இஞ்சி, பூண்டு விழுது - 1 டேபிள் ஸ்பூன்,
பிரட் தூள் - 2 கப்,
எலுமிச்சை சாறு - 1 டேபிள் ஸ்பூன்,
கொத்தமல்லித் தழை - கைப்பிடி அளவு,
எண்ணெய் - 100,
உப்பு  - தேவையான அளவு</t>
  </si>
  <si>
    <t>Clean the shark fish pieces, add a little turmeric powder and boil. When the fish is cooked, remove the bones and grind them into powder. Mix the crushed fish with chili powder and salt as required.
Next, break the egg into a bowl and add two pinches of salt and pepper powder and mix well.
Chop the onion and green chillies into powder.
Then pour oil in a pan and when it is hot, add ginger, garlic paste, onion and green chillies and fry well. Pour the fried mixture with the powdered shark fish mixture, add lemon juice and knead it to make a ball.
Finally, dip the balls in the egg mixture and then roll it in bread crumbs and fry in oil in a pan until golden brown.
Super fish cutlets are ready. Like shark fish, other fish can be used for cutlets.</t>
  </si>
  <si>
    <t xml:space="preserve">சுறா மீன் துண்டுகள் போட்டு சுத்தம் செய்துகொண்டு கொஞ்சம் மஞ்சள் தூள் போட்டு வேகவைக்கவும். மீன் வெந்ததும் இறக்கி ஆறவிட்டு முட்களை எடுத்து விட்டு தூளாக்கி உதிர்த்துக் கொள்ளவும். உதிர்த்த மீனுடன் மிளகாய் தூள், தேவையான அளவு உப்பு சேர்த்து கலந்து வைக்கவும்.
அடுத்து முட்டையை ஒரு பாத்திரத்தில் உடைத்து ஊற்றி அத்துடன் இரண்டு சிட்டிகை உப்பு, மிளகுத் தூள் சேர்த்துக் கலந்து நன்கு அடித்து வைக்கவும்.
வெங்காயம், பச்சை மிளகாயை பொடியாக நறுக்கி வைக்கவும்.
பின் வாணலியில் எண்ணெய் ஊற்றிக் காய்ந்ததும் இஞ்சி, பூண்டு விழுது, வெங்காயம், பச்சை மிளகாய் சேர்த்து நன்கு வதக்கவும். வதக்கியதை பொடித்து வைத்துள்ள சுறா மீன் கலவையோடு கொட்டி, கூடவே எலுமிச்சைச் சாறு சேர்த்துப் பிசைந்து உருண்டை பிடித்துக்கொள்ளவும்.
கடைசியாக முட்டைக் கலவையில் உருண்டைகளை நனைத்து பின் அதை பிரட் தூளில் பிரட்டி வாணலியில் எண்ணெயில் விட்டுப் பொன் நிறமாக பொரித்து எடுக்கவும்.
சூப்பர் மீன் கட்லெட் தயார். சுறா மீனைப் போலவே மற்ற மீன்களையும் கட்லெட்டுக்கு பயன்படுத்திக்கொள்ளலாம்.
</t>
  </si>
  <si>
    <t>https://www.kannammacooks.com/wp-content/uploads/fish-cutlet-recipe.jpg</t>
  </si>
  <si>
    <t>Fish Masala Fry</t>
  </si>
  <si>
    <t>மீன் மசாலா வறுவல்</t>
  </si>
  <si>
    <t>Any fish - 1/2,
Small onions - 8,
Flour - 4 spoons,
Turmeric powder - 1/2 spoon,
Chili powder - 2 spoons,
Dhaniya powder - 2 spoons,
Cumin powder - 1 spoon,
Ginger, garlic paste - 1 spoon,
Lemon juice - 2 spoons,
Oil - 1/4 kg,
Salt - as required,
Caraway seeds - 4 bunches,
Coriander leaves - handful size</t>
  </si>
  <si>
    <t>ஏதாவது ஒரு மீன் - 1/2,
சிறிய வெங்காயம் - 8,
மைதா - 4 ஸ்பூன்,
மஞ்சள் தூள் - 1/2 ஸ்பூன்,
மிளகாய்த் தூள் - 2 ஸ்பூன்,
தனியாத் தூள் - 2 ஸ்பூன்,
சீரகத் தூள் - 1 ஸ்பூன்,
இஞ்சி, பூண்டு விழுது - 1 ஸ்பூன்,
எலுமிச்சம் பழச்சாறு - 2 ஸ்பூன்,
எண்ணெய் - 1/4 கிலோ,
உப்பு - தேவையான அளவு,
கருவேப்பிலை - 4 கொத்து,
கொத்தமல்லித்தழை - கைப்பிடி அளவு</t>
  </si>
  <si>
    <t>Wash and clean the fish and cut it into pieces.
Grind the onion, caraway seeds, and coriander leaves together into a paste.
Next, mix the ground paste with turmeric powder, chili powder, coriander powder, cumin powder, ginger garlic paste and required amount of salt to prepare a thick masala.
Apply this masala well on both sides of the fish piece. Then sprinkle maida flour on it and let it soak for 1 hour.
Then pour oil in a dosa stone and when it is dry, turn the fish on both sides over low heat and fry until golden brown.</t>
  </si>
  <si>
    <t>மீனைக் கழுவிச் சுத்தம் செய்து துண்டுகளாக்கிக் கொள்ளவும்.
வெங்காயம், கருவேப்பிலை, கொத்தமல்லித்தழை மூன்றை யும் சேர்த்து விழுதாக அரைத்துக் கொள்ளவும்.
அடுத்து அரைத்துள்ள விழுதுடன் மஞ்சள் தூள், மிளகாய்த் தூள், தனியாத் தூள், சீரகத்தூள், இஞ்சி பூண்டு விழுது, தேவை யான அளவு உப்பு சேர்த்துக் கலந்து கெட்டியான மசாலா தயார் செய்து கொள்ளவும்.
இந்த மசாலாவை மீன் துண்டின் இரு புறங்களிலும் நன்கு தடவி விடவும். பின் அதற்கு மேல் மைதா மாவை தூவி 1 மணி நேரம்வரை ஊற வைக்கவும்.
பின் தோசைக்கல்லில் எண்ணெய் ஊற்றிக் காய்ந்ததும் சிறு தீயில் மீனை இரண்டு பக்கமும் திருப்பிப் போட்டு பொன்னிறமாகப் பொரித்தெடுக்கவும்.</t>
  </si>
  <si>
    <t>https://cdn.ibcstack.com/article/f8256046-ffb6-4935-a4bb-0a36d6cac0db/21-61a6bab7c9c2a.webp</t>
  </si>
  <si>
    <t>Kingfish fry</t>
  </si>
  <si>
    <t>வஞ்சிர மீன் வறுவல்</t>
  </si>
  <si>
    <t>Fish fry - 1/2,
Small onion - 5,
Dried chillies - 10,
Anise - 1 spoon,
Grated coconut - 4 spoons,
Turmeric powder - 1 spoon,
Tamarind - the size of a small gooseberry,
Coriander leaves - a handful,
Cooking oil - 1/4 kg,
Salt - as required</t>
  </si>
  <si>
    <t>வஞ்சிர மீன் - 1/2,
சின்ன வெங்காயம் - 5,
மிளகாய் வற்றல் - 10,
சோம்பு - 1 ஸ்பூன்,
தேங்காய்த் துருவல் - 4 ஸ்பூன்,
மஞ்சள் தூள் - 1 ஸ்பூன்,
புளி - சிறிய நெல்லிக்காய் அளவு,
கொத்துமல்லித் தழை - கைப்பிடி அளவு,
சமையல் எண்ணெய் - 1/4 கிலோ,
உப்பு - தேவையான அளவு</t>
  </si>
  <si>
    <t>First wash and clean the fish.
Next, add the anise, small onion, dried chillies, grated coconut, tamarind, and as required salt and grind them together.
Apply the ground mixture on both sides of the fish pieces and soak for 1 hour.
Then put a dosa stone in the oven, pour oil, put the fish pieces in it, fry them on both sides and fry until golden brown. Sprinkle with coriander leaves and serve beautifully.</t>
  </si>
  <si>
    <t>முதலில் மீனைக் கழுவிச் சுத்தம் செய்யவும்.
அடுத்து சோம்பு, சின்ன வெங்காயம், மிளகாய் வற்றல், தேங்காய்த் துருவல், புளி, தேவையான அளவு உப்பு அனைத்தையும் சேர்த்து ஒன்றாக அரைக்கவும்.
அரைத்த கலவையை மீன் துண்டுகளின் இரண்டு பக்கமும் தடவி 1 மணிநேரம் ஊறவைக்கவும்.
பின் அடுப்பில் தோசைக்கல்லை வைத்து எண்ணெய் ஊற்றி மீன் துண்டுகளைப் போட்டு இரண்டு பக்கமும் வேக விட்டு பொன்னிறத்தில் பொரித்தெடுக்கவும். கொத்தமல்லித் தழை தூவி, அழகாகப் பரிமாறவும்.</t>
  </si>
  <si>
    <t>https://wd-image.webdunia.com/image-conversion/process-aws.php?url=https://nonprod-media.webdunia.com/public_html/_media/ta/img/article/2022-03/19/full/1647692915-4266.jpg&amp;w=&amp;h=&amp;outtype=webp</t>
  </si>
  <si>
    <t>Chettinad Shark Fish Pudding</t>
  </si>
  <si>
    <t>செட்டிநாட்டு சுறா மீன் புட்டு</t>
  </si>
  <si>
    <t>Good milk shark - 1/2 kg,
Large onion - 2,
Green chilies - 5,
Garlic - 10 cloves,
Coriander - 1 handful,
Curry leaves - 1 bunch,
Turmeric powder - 1/2 teaspoon,
Green chili powder - 2 teaspoons,
Asimbu - 1/2 teaspoon,
Salt - as required,
Oil - a tablespoon</t>
  </si>
  <si>
    <t>நல்ல பால் சுறா - 1/2 கிலோ,
பெரிய வெங்காயம் - 2,
பச்சை மிளகாய் - 5,
பூண்டு - 10 பல்,
கொத்தமல்லி - 1 கைப்பிடி,
கறிவேப்பிலை - 1 கொத்து,
மஞ்சள் தூள் - 1/2 டீ ஸ்பூன்,
பச்சை மிளகாய் தூள் - 2 டீ ஸ்பூன்,
சோம்பு - 1/2 டீஸ்பூன்,
உப்பு - தேவையான அளவு,
எண்ணெய் - ஒரு குழி கரண்டி</t>
  </si>
  <si>
    <t>When buying shark, do not buy black shark. It is buffalo shark. It does not cook quickly and is not tasty. You should buy white shark. That is milk shark. It tastes good. It also cooks quickly.
Cut the white milk shark into pieces and wash it well. Then add turmeric powder and boil it.
Good milk shark will cook quickly. Remove the skin of the cooked shark, remove the spine and set aside the flesh.
Then add the required amount of salt and chili powder and mash it. Chop the onion, garlic and green chilies into powder.
Next, put a pan on the stove and pour oil and when it is hot, add the chopped aniseed, chopped onion, garlic and green chilies and fry them well. Then add the mashed fish and stir well.
Fry until the chili powder is gone and stir well and remove. Sprinkle with coriander leaves and serve.
That's it, delicious Chettinad shark pudding is ready.</t>
  </si>
  <si>
    <t>சுறா வாங்கும்போது கறுப்பாக உள்ள சுறாவை வாங்கக் கூடாது. அது எருமை சுறா. சீக்கிரத்தில் வேகாது என்பதோடு சுவையாகவும் இருக்காது. வெள்ளை நிறத்தில் இருக்கும் சுறாவைத்தான் வாங்க வேண்டும். அதுதான் பால் சுறா. நல்ல ருசியாக இருக்கும். சீக்கிரத்திலும் வெந்து விடும்.
வெள்ளையாக இருக்கும் பால் சுறாவை துண்டுகளாக்கி நன்றாக கழுவிக் கொள்ளவும். பின் அதை மஞ்சள் தூள் போட்டு வேக வைத்து எடுத்துக் கொள்ளவும்.
நல்ல பால் சுறா சீக்கிரத்திலேயே வெந்து விடும். வெந்த சுறாவை தோல் நீக்கி நடு முள் எடுத்து விட்டு சதையை உதிர்த்து வைக்கவும்.
பின் அதனுடன் தேவையான அளவு உப்பு, மிளகாய் தூள் போட்டு பிசைந்து வைக்கவும். வெங்காயம், பூண்டு, பச்சை மிளகாயை பொடியாக நறுக்கிக் கொள்ளவும்.
அடுத்ததாக அடுப்பில் வாணலி வைத்து எண்ணெய் ஊற்றிக் காய்ந்ததும் சோம்பு தாளித்து பொடியாக வெட்டி வைத்துள்ள வெங்காயம், பூண்டு, பச்சை மிளகாய் போட்டு நன்றாக வதக்கவும். பிறகு பிசைந்து வைத்துள்ள மீனை நன்றாக உதிர்த்துப் போட்டு கிளறவும்.
மிளகாய்தூள் நெடி போகும்வரை வதக்கி நன்கு கிளறி எடுத்து இறக்கவும். கொத்தமல்லித் தழை தூவி பரிமாறவும்.
அவ்வளவுதான் ருசியான செட்டிநாட்டு சுறா புட்டு தயார்.</t>
  </si>
  <si>
    <t>https://blogger.googleusercontent.com/img/b/R29vZ2xl/AVvXsEjV3EB_AEViJVnvC53h73x_oByV-b9zYMDg7-JiswcLbCF0ucd5DLYkXcEfLiLDva9gg5VXMNHkWmz5ukEON993tjQbJWBnOAUfAqlabcL1Ajl25gIcAu3uF__id36MEaeTWvJoBZ4tgW0/s1600/Sura+Puttu_wm.jpg</t>
  </si>
  <si>
    <t>Chettinad Crab Fry</t>
  </si>
  <si>
    <t>செட்டிநாட்டு நண்டு வறுவல்</t>
  </si>
  <si>
    <t>Large crab - 1 kg (5 or 6 will do),
Onion - 6,
Chili paste - 8,
Thaniya - 2 teaspoons,
Cereal seeds - 1 teaspoon,
Coconut - 2 handfuls,
Mustard - 1 teaspoon,
Oil - 1/4 kg,
Salt - as required</t>
  </si>
  <si>
    <t>பெரிய நண்டு - 1 கிலோ (5 அல்லது 6 வரும்),
வெங்காயம் - 6,
மிளகாய் வற்றல் - 8,
தனியா - 2 டீஸ்பூன்,
சீரகம் - 1 டீ ஸ்பூன்,
தேங்காய் - 2 பத்தை,
கடுகு - 1 டீஸ்பூன்,
எண்ணெய் - 1/4 கிலோ,
உப்பு - தேவையான அளவு</t>
  </si>
  <si>
    <t>First, clean the crabs and cut them into pieces.
Next, grind the small onion, coconut, chili paste, mustard, Thaniya, and cumin into a fine paste.
Add the ground paste to the crab, along with turmeric powder and required salt, mix well and leave to soak for half an hour to 15 minutes.
Finally, put a frying pan on the stove, pour oil, and when it is hot, add the chopped crab and fry until golden brown.
That's it, the delicious Chettinad crab fry is ready.</t>
  </si>
  <si>
    <t>முதலில் நண்டுகளை சுத்தம் செய்து துண்டுகளாக்கிக் கொள்ளவும்.
அடுத்ததாக சின்ன வெங்காயம், தேங்காய், மிளகாய் வற்றல், கடுகு, தனியா, சீரகம் எல்லாவற்றையும் விழுதாக நன்கு அரைத்துக் கொள்ளவும்.
அரைத்த விழுதை நண்டுடன் சேர்த்து கூடவே மஞ்சள் தூள், தேவையான அளவு உப்பு சேர்த்து பிசறிப் பிறட்டி அரைமணி நேரம் 15 நிமிடம் ஊற வைக்கவும்.
கடைசியாக அடுப்பில் வாணலி வைத்து எண்ணெய் ஊற்றிக் காய்ந்ததும் பிசறி வைத்துள்ள நண்டைப் போட்டு சிவக்க பொரித்தெடுக்கவும்.
அவ்வளவுதான் சுவையான செட்டிநாட்டு நண்டு வறுவல் ரெடி.</t>
  </si>
  <si>
    <t>https://blogger.googleusercontent.com/img/b/R29vZ2xl/AVvXsEjF5ewwuqPGllCHDwPty_akuNmYR1j0br9Yi3JSn5wNgbB-uO-eQw6BB6VDxGwTDSJQznYkIngEbDaXM5GOTeKyRBFdKcvtnn8p2bGNvioiuk8vwSIy_lVzVupBWyXQ5Qg5UpVMezSeouT9/s1600/Crab+Curry+Recipe.JPG</t>
  </si>
  <si>
    <t>Mushroom Pepper Roast</t>
  </si>
  <si>
    <t>காளான் மிளகு வறுவல்</t>
  </si>
  <si>
    <t>Dinner</t>
  </si>
  <si>
    <t>2 tbsp - Oil,
1/4 tbsp - Mustard Seeds,
1 tbsp - Chopped Ginger,
1 tbsp - Chopped Garlic,
3 - Onions,
250 gms - Mushroom,
1 - Capsicum,
1/4 cup - Water,
As required Salt,
1 tbsp - Ghee or Oil,
1/4 tbsp - Mustard Seeds,
2 - Green Chillies,
2 - Dried Red Chillies,
As required Curry Leaves,
Grind:,
1 tbsp - Pepper,
1 tbsp - Cumin,
1/2 tbsp - Fennel</t>
  </si>
  <si>
    <t>2 டீஸ்பூன் - எண்ணெய்,
1/4 டீஸ்பூன் - கடுகு விதைகள்,
1 டீஸ்பூன் - நறுக்கிய இஞ்சி,
1 டீஸ்பூன் - நறுக்கிய பூண்டு,
3 - வெங்காயம்,
250 கிராம் - காளான்,
1 - கேப்சிகம்(குடைமிளகாய்),
1/4 கப் - தண்ணீர்,
தேவையான உப்பு,
1 டீஸ்பூன் - நெய் அல்லது எண்ணெய்,
1/4 டீஸ்பூன் - கடுகு விதைகள்,
2 - பச்சை மிளகாய்,
2 - உலர்ந்த சிவப்பு மிளகாய்,
தேவையான கறிவேப்பிலை,
அரைக்கவும்:,
1 டீஸ்பூன் - மிளகு,
1 டீஸ்பூன் - சீரகம்,
1/2 டீஸ்பூன் - பெருஞ்சீரகம்</t>
  </si>
  <si>
    <t>Crush the chillies, fenugreek and cumin seeds in a mortar and pestle (you can also use a blender to improve the process). Always grind them fresh to make this chilli mushroom as freshly ground chillies have more flavour.
Heat the oil and when the oil is nice and hot add the mustard seeds, chopped ginger and chopped garlic. Stir it and then add the chopped onion. Let the onion fry until it turns nice and brown. That's when we get that wonderful color.
Now when it turns golden brown add the mushroom and mix well. Then add the capsicum (adding capsicum is optional), then the freshly ground masala, add a little water salt as required and mix well with the onion. Fry them on a medium flame for 10 minutes.
Sauteing is an optional step, this step will enhance the taste and flavour of the recipe, heat some ghee and add mustard seeds, green chillies, red chillies, curry leaves and stir and pour it in the mushroom.
That's it, the delicious and spicy mushroom pepper fry is all ready to be tasted.</t>
  </si>
  <si>
    <t>மிளகு சோளம், வெந்தயம் மற்றும் சீரகத்தை ஒரு சாந்து மற்றும் பூச்சியில் நசுக்கவும் (செயல்முறையை மேம்படுத்த நீங்கள் பிளெண்டரையும் பயன்படுத்தலாம்) புதிதாக அரைத்த மிளகில் அதிக சுவை இருப்பதால், இந்த மிளகாய் காளான் தயாரிக்க எப்போதும் அவற்றை புதிதாக அரைக்கவும்.
எண்ணெயை சூடாக்கி, எண்ணெய் நன்றாகவும் சூடாகவும் வந்ததும் கடுகு விதைகளைச் சேர்த்து, நறுக்கிய இஞ்சி மற்றும் நறுக்கிய பூண்டைச் சேர்க்கவும். அதைக் கிளறி, பின்னர் நறுக்கிய வெங்காயத்தைச் சேர்க்கவும். வெங்காயம் நன்றாகவும் பழுப்பு நிறமாகவும் ஆகும் வரை வதக்க வேண்டும். அப்போதுதான் நமக்கு அந்த அற்புதமான நிறம் கிடைக்கும்.
இப்போது அது பொன்னிறமாக மாறியதும் காளானைச் சேர்த்து நன்கு கலக்கவும். பின்னர் கேப்சிகம் (கேப்சிகம் சேர்ப்பது விருப்பமானது), பின்னர் புதிதாக அரைத்த மசாலா, தேவையான அளவு சிறிது தண்ணீர் உப்பு சேர்த்து வெங்காயத்துடன் நன்கு கலக்கவும். அவற்றை 10 நிமிடங்கள் மிதமான தீயில் வறுக்க வேண்டும்.
தாவரப்படுத்துவது ஒரு விருப்பமான படி, இந்த படி செய்முறையின் சுவை மற்றும் சுவையை அதிகரிக்கும், சிறிது நெய்யை சூடாக்கி, கடுகு, பச்சை மிளகாய், சிவப்பு மிளகாய், கறிவேப்பிலை ஆகியவற்றைச் சேர்த்து கிளறி, காளானில் ஊற்றவும்.
அவ்வளவுதான், சுவையான மற்றும் காரமான காளான் மிளகு வறுவல் அனைத்தும் சுவைக்கத் தயாராக உள்ளது.</t>
  </si>
  <si>
    <t>https://blogger.googleusercontent.com/img/b/R29vZ2xl/AVvXsEg3o6KVRCurYRw3f9pjtzrDO4RjoCrUcXIdBPXVhDklAeD5nzDmxWFRQnrM3nx-UJB2sV8z1qLWKgyEWx2UgB_RvfuiyFWbSQpWTlcN14fZIVwUKkzvSd_AjoFPSPw92nj3bhL3N9Dr1VY/s1600/DSC06247.JPG</t>
  </si>
  <si>
    <t>Cauliflower Manchurian / Gobi Manchurian</t>
  </si>
  <si>
    <t>காலிஃபிளவர் மஞ்சூரியன் / கோபி மஞ்சூரியன்</t>
  </si>
  <si>
    <t>1 - Cauliflower (medium sized),
1/4 cup - corn starch,
1/2 cup - all purpose flour/ maida,
1/2 tsp - pepper powder,
1 tsp - Chili sauce,
required water,
salt,
For Manchurian: ,
2 tbsp - Oil,
1 tbsp - grated ginger,
1 tbsp - grated garlic,
1 - Onion,
1/2 - Bell pepper,
2 tbsp - Chilli sauce,
2 tbsp - Tomato sauce,
1 tsp - soy sauce,
1 tsp - pepper power,
Required salt,
spring Onion for garnishing</t>
  </si>
  <si>
    <t>1 - காலிஃபிளவர் (நடுத்தர அளவு),
1/4 கப் - சோள மாவு,
1/2 கப் - அனைத்து உபயோக மாவு/ மைதா,
1/2 தேக்கரண்டி - மிளகு தூள்,
1 தேக்கரண்டி - மிளகாய் தூள்,
1 தேக்கரண்டி - மிளகாய் சாஸ்,
தேவையான தண்ணீர்,
உப்பு,
மஞ்சூரியனுக்கு: ,
2 தேக்கரண்டி - எண்ணெய்,
1 தேக்கரண்டி - துருவிய இஞ்சி,
1 தேக்கரண்டி - துருவிய பூண்டு,
1 - வெங்காயம்,
1/2 - பெல் பெப்பர்,
2 தேக்கரண்டி - மிளகாய் சாஸ்,
2 தேக்கரண்டி - தக்காளி சாஸ்,
1 தேக்கரண்டி - சோயா சாஸ்,
1 தேக்கரண்டி - மிளகு பவர்,
தேவையான உப்பு,
அலங்கரிக்க வெங்காயம்</t>
  </si>
  <si>
    <t>Combine the dry ingredients 1/4 cup corn starch , 1/2 cup all purpose flour, salt, 1/2 tsp pepper powder,1 tsp chili sauce and add 1/2-3/4 cup of water and make it into a thick batter
the batter should be thick enough to coat the surface of the cauliflower
Cut the cauliflower into medium sized florets and coat it well with the batter (you can also blanch the cauliflower(cook the florets in water for 3-5 minutes)
Fry the coated florets in hot oil and keep it aside
In a pan heat 2 tbsp oil and add 1 tbsp of finely chopped ginger and 1 tbsp of finely chopped garlic and after the raw smell is gone add 1 finely chopped onion and 1/2 capsicum (bell pepper)
Add the sauces 2 tbsp chili sauce, 2 tbsp tomato sauce(ketchup) and 1 tsp SOY sauce (if the soy sauce is milder add 2 tsp) mix well and add some pepper powder 
Reduce the amount of salt because all these sauces has lot of salt content in it 
now add the fried cauliflower florets and mix well with the ingredients and garnish it with some chopped spring onion
delicious Cauliflower manchurian dry / Gobi Manchurian is ready to be served.</t>
  </si>
  <si>
    <t>உலர்ந்த பொருட்களை ஒன்றாக சேர்த்து 1/4 கப் சோள மாவு, 1/2 கப் அனைத்து உபயோக மாவு, உப்பு, 1/2 தேக்கரண்டி மிளகு தூள், 1 தேக்கரண்டி மிளகாய் சாஸ் மற்றும் 1/2-3/4 கப் தண்ணீர் சேர்த்து ஒரு தடிமனான மாவாக மாற்றவும்
மாவு காலிஃபிளவரின் மேற்பரப்பை பூசும் அளவுக்கு தடிமனாக இருக்க வேண்டும்
வெட்டவும் காலிஃபிளவரை நடுத்தர அளவிலான பூக்களாக வெட்டி, மாவுடன் நன்றாக பூசவும் (நீங்கள் காலிஃபிளவரை வெளுக்கலாம் (பூக்களை 3-5 நிமிடங்கள் தண்ணீரில் சமைக்கலாம்)
பூசப்பட்ட பூக்களை சூடான எண்ணெயில் வறுக்கவும், அதை ஒதுக்கி வைக்கவும்
ஒரு கடாயில் 2 தேக்கரண்டி எண்ணெயை சூடாக்கி, 1 தேக்கரண்டி இறுதியாக நறுக்கிய இஞ்சி மற்றும் 1 தேக்கரண்டி இறுதியாக நறுக்கிய பூண்டு சேர்க்கவும், பச்சை வாசனை போன பிறகு 1 இறுதியாக நறுக்கிய வெங்காயம் மற்றும் 1/2 கேப்சிகம் (பெல் பெப்பர்) சேர்க்கவும்
சாஸ்களை 2 தேக்கரண்டி மிளகாய் சாஸ், 2 தேக்கரண்டி தக்காளி சாஸ் (கெட்ச்அப்) மற்றும் 1 தேக்கரண்டி சோயா சாஸ் (சோயா சாஸ் லேசானதாக இருந்தால் 2 தேக்கரண்டி சேர்க்கவும்) சேர்த்து நன்கு கலந்து சிறிது மிளகு தூள் சேர்க்கவும்
உப்பின் அளவைக் குறைக்கவும், ஏனெனில் இந்த அனைத்து சாஸ்களிலும் உப்பு அதிகம் உள்ளது
இப்போது வறுத்த காலிஃபிளவர் பூக்களைச் சேர்த்து, பொருட்களுடன் நன்றாக கலந்து, சிறிது நறுக்கிய வசந்த வெங்காயத்தால் அலங்கரிக்கவும்
சுவையான காலிஃபிளவர் மஞ்சூரியன் உலர் / கோபி மஞ்சூரியன் பரிமாற தயாராக உள்ளது.</t>
  </si>
  <si>
    <t>https://www.zeptonow.com/recipe/gobi-manchurian/recipeId/34376439-6534-6433-6136-343861353633</t>
  </si>
  <si>
    <t>Paneer Pulao</t>
  </si>
  <si>
    <t>பன்னீர் புலாவ்</t>
  </si>
  <si>
    <t>250 g - Paneer,
1/2 tsp - Chili powder,
1/8 tsp - Salt,
2 tbsp - Butter,
2 tbsp - Ghee / Clarified Butter,
2 Tbsp - Oil,
2 - bay leaves,
3 - cardamom ,
4 - cloves,
1 - Cinnamon Stick ,
2  - Star anise,
10 - Pepper corns,
3 - Green Chilies,
1 tsp - Ginger garlic paste,
10 - Cashews,
1 large - Onion,
5-6 - Beans,
1 tsp - Chili powder,
1 tsp - Garam masala,
1 - Carrot,
1/4 cup - Peas,
2 cup - Basmati Rice,
3 cup - Water ,
Handful,
coriander and Mint leaves,
Salt to taste</t>
  </si>
  <si>
    <t>250 கிராம் - பனீர்,
1/2 தேக்கரண்டி - மிளகாய் தூள்,
1/8 தேக்கரண்டி - உப்பு,
2 தேக்கரண்டி - வெண்ணெய்,
2 தேக்கரண்டி - நெய் / தெளித்த வெண்ணெய்,
2 தேக்கரண்டி - எண்ணெய்,
2 - பிரியாணி இலைகள்,
3 - ஏலக்காய்,
4 - கிராம்பு,
1 - இலவங்கப்பட்டை,
2 - நட்சத்திர சோம்பு,
10 - மிளகு சோளம்,
3 - பச்சை மிளகாய்,
1 தேக்கரண்டி - இஞ்சி பூண்டு விழுது,
10 - முந்திரி,
1 பெரிய வெங்காயம்,
5-6 - பீன்ஸ்,
1 தேக்கரண்டி - மிளகாய் தூள்,
1 தேக்கரண்டி - கரம் மசாலா,
1 - கேரட்,
1/4 கப் - பட்டாணி,
2 கப் - பாஸ்மதி அரிசி,
3 கப் - தண்ணீர்,
கைப்பிடி அளவு -,
கொத்தமல்லி மற்றும் புதினா இலைகள்,
சுவைக்கேற்ப உப்பு</t>
  </si>
  <si>
    <t>In a mixing bowl add the paneer and marinate with chili powder and salt. fry the paneer in ghee or oil until golden.
In a heavy bottom pan melt ghee and oil (ghee imparts nice flavor and taste to the recipe).Then add the whole spices - bay leaves, cinnamon, cardamom, star anise, cloves and pepper corns. Mix it once and then add sliced onions, green chilies and ginger garlic paste.
Once the onions turns golden add chopped veggies - Carrot, beans,peas and cook for 2 minutes. Then the masalas - chili powder and garam masala. Cook for few seconds and then add the soaked basmati rice (soak for 20 -30 minutes), 3 cups of water, Salt . Cover and cook until the rice is done.If you are using a pressure cooked then cook for 1 whistle on a medium heat.
Then add in the fried Paneer, Cashews, Mint and coriander leaves, cover and cook for 5 minutes. Finally add a tsp of ghee and gently stir the rice. 
That's it our Paneer pulao recipe is ready to be enjoyed with Raitha. This is really simple to make and the flavor from the rice and masala makes the mouth to water.</t>
  </si>
  <si>
    <t>ஒரு கலவை பாத்திரத்தில் பனீர் சேர்த்து மிளகாய் தூள் மற்றும் உப்பு சேர்த்து மரைனேட் செய்யவும். பனீரை நெய் அல்லது எண்ணெயில் பொன்னிறமாகும் வரை வறுக்கவும்.
அடி கனமான பாத்திரத்தில் நெய் மற்றும் எண்ணெயை உருக்கவும் (நெய் செய்முறைக்கு நல்ல சுவையையும் சுவையையும் தருகிறது). பின்னர் முழு மசாலாப் பொருட்களையும் சேர்க்கவும் - பிரிஞ்சி இலைகள், இலவங்கப்பட்டை, ஏலக்காய், நட்சத்திர சோம்பு, கிராம்பு மற்றும் மிளகுத்தூள். ஒரு முறை கலந்து, பின்னர் நறுக்கிய வெங்காயம், பச்சை மிளகாய் மற்றும் இஞ்சி பூண்டு விழுது சேர்க்கவும்.
வெங்காயம் பொன்னிறமாக மாறியதும் நறுக்கிய காய்கறிகள் - கேரட், பீன்ஸ், பட்டாணி சேர்த்து 2 நிமிடங்கள் சமைக்கவும். பின்னர் மசாலாக்கள் - மிளகாய் தூள் மற்றும் கரம் மசாலா. சில நொடிகள் சமைக்கவும், பின்னர் ஊறவைத்த பாஸ்மதி அரிசி (20-30 நிமிடங்கள் ஊறவைக்கவும்), 3 கப் தண்ணீர், உப்பு சேர்க்கவும். மூடி வைத்து அரிசி வேகும் வரை சமைக்கவும். நீங்கள் பிரஷர் வேகவைத்திருந்தால், மிதமான தீயில் 1 விசில் வைக்கவும்.
பின்னர் வறுத்த பனீர், முந்திரி, புதினா மற்றும் கொத்தமல்லி இலைகளைச் சேர்த்து, மூடி வைத்து 5 நிமிடங்கள் சமைக்கவும். இறுதியாக ஒரு தேக்கரண்டி நெய் சேர்த்து சாதத்தை மெதுவாகக் கிளறவும்.
அவ்வளவுதான் எங்கள் பனீர் புலாவ் செய்முறை ரைத்தாவுடன் சுவைக்கத் தயாராக உள்ளது. இதைச் செய்வது மிகவும் எளிது, அரிசி மற்றும் மசாலாவின் சுவை வாயில் நீர் ஊற வைக்கிறது.</t>
  </si>
  <si>
    <t>https://hebbarskitchen.com/wp-content/uploads/mainPhotos/paneer-pulao-recipe-how-to-make-paneer-peas-pulav-recipe-1-1920x2558.jpeg</t>
  </si>
  <si>
    <t>Paneer fried rice</t>
  </si>
  <si>
    <t>பனீர் ஃபிரைடு ரைஸ்</t>
  </si>
  <si>
    <t>Fast food</t>
  </si>
  <si>
    <t>1 Cup - Basmati Rice (soak for 20 minutes),
150g - Paneer,
1/4 tsp Chili powder+1/8 tsp pepper +1/8 tsp Salt,
2+2 tbsp - Oil,
1 tbsp - finely chopped Garlic,
1 tbsp - finely chopped Ginger,
1/2 - Onion,
1 large - Carrot,
1/4 - Cabbage,
5-6 - Beans,
1 tsp - Chili Sauce,
1 tsp - Soy Sauce,
1/2 tsp - pepper powder,
Handfull - Spring Onions,
Water and 1 tbsp oil while cooking rice,
Salt to Taste</t>
  </si>
  <si>
    <t>1 கப் - பாஸ்மதி அரிசி (20 நிமிடங்கள் ஊற வைக்கவும்),
150 கிராம் - பனீர்,
1/4 தேக்கரண்டி மிளகாய்த்தூள்+1/8 தேக்கரண்டி மிளகு +1/8 தேக்கரண்டி உப்பு,
2+2 தேக்கரண்டி - எண்ணெய்,
1 தேக்கரண்டி - பொடியாக நறுக்கிய பூண்டு,
1 தேக்கரண்டி - பொடியாக நறுக்கிய இஞ்சி,
1/2 - வெங்காயம்,
1 பெரியது - கேரட்,
1/4 - முட்டைக்கோஸ்,
5-6 - பீன்ஸ்,
1 தேக்கரண்டி - மிளகாய்த்தூள்,
1 தேக்கரண்டி - சோயா சாஸ்,
1/2 தேக்கரண்டி - மிளகு தூள்,
கைப்பிடி அளவு - வெங்காயம்,
அரிசி சமைக்கும் போது தண்ணீர் மற்றும் 1 தேக்கரண்டி எண்ணெய்,
சுவைக்கேற்ப உப்பு</t>
  </si>
  <si>
    <t>Soak the Basmati rice in water for 20 minutes and cook in water with some salt until the rice is 90% cooked..Do not over cook the rice..To get perfect strands add a tbsp of oil into the boiling water before adding the rice.This prevents the rice from sticking to one another.Once 90% cooked spread the rice on a paper towel to remove any moisture from the rice or keep under fan.This step is very important to get the best fried rice with single strands of rice.
Season the paneer with Chile powder, Pepper , salt and fry it it oil until nice and golden on all the sides.
Heat oil in a pan and add finely chopped ginger, finely chopped garlic and salte it for few seconds. Then add in sliced onion and mix it. Now to this add cubed Carrot, Cabbage, Beans and cook until the veggies are 80 -90% cooked do not overcook the vegetables we still need to retain some texture of the veggies.
Then add the sauces - chili sauce, Soy sauce ,required salt and mix it again.You can also use capsicum if you like.Then add the cooked basmati rice and mix everything very gently and carefully, do not break the rice.
Finally add in the fried Paneer, freshly ground pepper, some salt and some spring onions for garnishing and mix well.
Our Delicious Paneer Fried rice is ready to be served.</t>
  </si>
  <si>
    <t>பாஸ்மதி அரிசியை 20 நிமிடங்கள் தண்ணீரில் ஊறவைத்து, அரிசி 90% வேகும் வரை சிறிது உப்பு சேர்த்து தண்ணீரில் சமைக்கவும்..அரிசியை அதிகமாக சமைக்க வேண்டாம்..சரியான இழைகளைப் பெற அரிசியைச் சேர்ப்பதற்கு முன் கொதிக்கும் நீரில் ஒரு தேக்கரண்டி எண்ணெயைச் சேர்க்கவும். இது அரிசி ஒன்றோடொன்று ஒட்டாமல் தடுக்கிறது. 90% சமைத்த பிறகு அரிசியை ஒரு காகிதத் துண்டில் பரப்பவும். அரிசியிலிருந்து ஈரப்பதத்தை நீக்கவும் அல்லது மின்விசிறியின் கீழ் வைக்கவும். ஒற்றை இழை அரிசியுடன் சிறந்த ஃபிரைடு ரைஸைப் பெற இந்த படி மிகவும் முக்கியமானது.
பனீரை மிளகாய் தூள், மிளகு, உப்பு சேர்த்து தாளிக்கவும், எண்ணெயில் அனைத்து பக்கங்களிலும் நன்றாகவும் பொன்னிறமாகவும் மாறும் வரை வறுக்கவும்.
ஒரு வாணலியில் எண்ணெயை சூடாக்கி, இறுதியாக நறுக்கிய இஞ்சி, இறுதியாக நறுக்கிய பூண்டு சேர்த்து சில நொடிகள் உப்பு சேர்க்கவும். பின்னர் நறுக்கிய வெங்காயத்தைச் சேர்த்து கலக்கவும். இப்போது இதனுடன் க்யூப்ஸ் செய்யப்பட்ட கேரட், முட்டைக்கோஸ், பீன்ஸ் சேர்த்து காய்கறிகள் 80 -90% வேகும் வரை சமைக்கவும். காய்கறிகளை அதிகமாக வேகவிடாதீர்கள், காய்கறிகளின் அமைப்பை இன்னும் தக்க வைத்துக் கொள்ள வேண்டும்.
பின்னர் சாஸ்கள் - மிளகாய் சாஸ், சோயா சாஸ், தேவையான உப்பு சேர்த்து மீண்டும் கலக்கவும். நீங்கள் விரும்பினால் கேப்சிகத்தையும் பயன்படுத்தலாம். பின்னர் சமைத்த பாஸ்மதி அரிசியைச் சேர்த்து எல்லாவற்றையும் மிகவும் மெதுவாகவும் கவனமாகவும் கலக்கவும், அரிசியை உடைக்க வேண்டாம்.
இறுதியாக வறுத்த பனீர், புதிதாக அரைத்த மிளகு, சிறிது உப்பு மற்றும் அலங்காரத்திற்கு சிறிது ஸ்பிரிங் வெங்காயம் சேர்த்து நன்கு கலக்கவும்.
எங்கள் சுவையான பனீர் ஃபிரைடு ரைஸ் பரிமாற தயாராக உள்ளது.</t>
  </si>
  <si>
    <t>https://www.whiskaffair.com/wp-content/uploads/2024/03/Schezwan-Paneer-Fried-Rice-2-1.jpg</t>
  </si>
  <si>
    <t>Coconut Milk Rice | Thengai Paal Sadham</t>
  </si>
  <si>
    <t>தேங்காய் பால் சாதம்</t>
  </si>
  <si>
    <t>2 tbsp - Ghee / Clarified Butter,
1 - Cinnamon stick,
1 - Bay leaves,
2 - Cardamom,
3 Cloves,
6 - pepper cons,
1/2 tsp - Cumin seeds,
10-12 - Cashew Nuts,
1 tbsp - Finely chopped Ginger,
2,3  - Green Chilies,
1 - Onion,
1/4 cup - Green Peas,
1  - Carrot,
1 cup - Basmati Rice,
2 cup - Coconut Milk,
Coriander and Mint leaves,
Salt to Taste</t>
  </si>
  <si>
    <t>2 டேபிள் ஸ்பூன் - நெய் / தெளித்த வெண்ணெய்,
1 - இலவங்கப்பட்டை குச்சி,
1 - பிரியாணி இலைகள்,
2 - ஏலக்காய்,
3 கிராம்பு,
6 - மிளகு குறைபாடுகள்,
1/2 டேபிள் ஸ்பூன் - சீரகம்,
10-12 - முந்திரி பருப்பு,
1 டேபிள் ஸ்பூன் - இறுதியாக நறுக்கிய இஞ்சி,
2,3 - பச்சை மிளகாய்,
1 - வெங்காயம்,
1/4 கப் - பச்சை பட்டாணி,
1 - கேரட்,
1 கப் - பாஸ்மதி அரிசி,
2 கப் - தேங்காய் பால்,
கொத்தமல்லி மற்றும் புதினா இலைகள்,
சுவைக்கேற்ப உப்பு</t>
  </si>
  <si>
    <t xml:space="preserve">
Melt ghee in a pan and add the whole spices - cinnamon stick, bay leaves, cardamom, cloves and pepper corns,Cumin seeds,  Ginger , green chilies and cashews. Saute it for a minute. Add 1 sliced onion and cook for 3-4 minutes until it turns golden.
Next add the vegetables ,I have used peas and carrot, you can add any vegetables of your choice. Mix it well and let it cook for 2 minutes. If you are using dry peas then soak it overnight and then cook it slightly and add it along with other vegetables.
Drain the water and add the soaked basmatic rice (soaked in water for 15minutes) ,
The ratio of Rice to coconut milk is 1 : 2 so for 1 cup of rice we need 2 cups of coconut milk. If you wanna make them in pressure cooker then cook for 1 whistle on medium heat.
Add salt and check for salt, the water should taste little salty indicating the amount of salt s correct.
Cover and cook on a medium heat until all the water has been absorbed by the rice or until the rice is fully cooked.
Finally add coriander and mint leaves. Once done flip the rice gently and serve.</t>
  </si>
  <si>
    <t>ஒரு கடாயில் நெய்யை உருக்கி, முழு மசாலாப் பொருட்களையும் சேர்க்கவும் - இலவங்கப்பட்டை குச்சி, பிரியாணி இலைகள், ஏலக்காய், கிராம்பு மற்றும் மிளகு சோளம், சீரகம், இஞ்சி, பச்சை மிளகாய் மற்றும் முந்திரி. ஒரு நிமிடம் வதக்கவும். 1 துண்டுகளாக்கப்பட்ட வெங்காயத்தைச் சேர்த்து 3-4 நிமிடங்கள் பொன்னிறமாகும் வரை சமைக்கவும்.
அடுத்து காய்கறிகளைச் சேர்க்கவும். நான் பட்டாணி மற்றும் கேரட் பயன்படுத்தியுள்ளேன். உங்களுக்கு விருப்பமான எந்த காய்கறிகளையும் சேர்க்கலாம். அதை நன்றாகக் கலந்து 2 நிமிடங்கள் சமைக்கவும். நீங்கள் உலர்ந்த பட்டாணியைப் பயன்படுத்துகிறீர்கள் என்றால், அதை இரவு முழுவதும் ஊறவைத்து, பின்னர் சிறிது வேகவைத்து, மற்ற காய்கறிகளுடன் சேர்க்கவும்.
தண்ணீரை வடிகட்டி, ஊறவைத்த பாஸ்மாடிக் அரிசியைச் சேர்க்கவும் (15 நிமிடங்கள் தண்ணீரில் ஊறவைக்கவும்),
அரிசி மற்றும் தேங்காய் பாலின் விகிதம் 1: 2 ஆகும், எனவே 1 கப் அரிசிக்கு 2 கப் தேங்காய் பால் தேவை. நீங்கள் அவற்றை பிரஷர் குக்கரில் செய்ய விரும்பினால், நடுத்தர வெப்பத்தில் 1 விசில் வரை சமைக்கவும்.
உப்பு சேர்த்து உப்பு இருக்கிறதா என்று சரிபார்க்கவும், தண்ணீர் சிறிது உப்பு சுவைக்க வேண்டும், இது உப்பின் அளவு சரியாக இருப்பதைக் குறிக்கிறது.
அரிசியால் அனைத்து தண்ணீரும் உறிஞ்சப்படும் வரை அல்லது அரிசி முழுமையாக வேகும் வரை மிதமான வெப்பத்தில் மூடி வைத்து சமைக்கவும்.
கடைசியாக கொத்தமல்லி மற்றும் புதினா இலைகளைச் சேர்க்கவும். தயாரானதும், அரிசியை மெதுவாகத் திருப்பி பரிமாறவும்.</t>
  </si>
  <si>
    <t>https://blogger.googleusercontent.com/img/b/R29vZ2xl/AVvXsEgg75wJeeeas0ug2nk8Bwn49Cd4zBBNJuA_IGF-aGwXl_AUE3yujsIPixe0SrgXDdL2oM5Eqv2T6jTda5jv_AJIov4DPDXIxtv0-jWlMO0r9dmhIorR2luXQOY4AZrRnHUKF8wtOFsE_IU/s1600/1.JPG</t>
  </si>
  <si>
    <t>Coriander Rice / Kothamalli Sadam</t>
  </si>
  <si>
    <t>கொத்தமல்லி சாதம் / கொத்தமல்லி சாதம்</t>
  </si>
  <si>
    <t>2 cup - Cooked Rice (I have used Basmati rice),
2 bunch - Coriander leaves,
4 - Green Chilies,
1 inch - Ginger,
2 tbsp - Oil,
1/4 tsp - mustard seeds,
1 tsp - Urad dal,
1 tsp - Chana dal,
1 - Cinnamon stick ,
1 - bay leaf,
2 - cloves,
2 - dry red chilies,
1 tbsp - Cashews or peanuts,
1 - Onion (medium size),
Salt to taste</t>
  </si>
  <si>
    <t>2 கப் - சமைத்த சாதம் (நான் பாசுமதி அரிசி பயன்படுத்தியுள்ளேன்),
2 கொத்து - கொத்தமல்லி இலைகள்,
4 - பச்சை மிளகாய்,
1 அங்குலம் - இஞ்சி,
2 டீஸ்பூன் - எண்ணெய்,
1/4 டீஸ்பூன் - கடுகு,
1 டீஸ்பூன் - உளுத்தம் பருப்பு,
1 டீஸ்பூன் - கடலை பருப்பு,
1 - இலவங்கப்பட்டை குச்சி,
1 - பிரியாணி இலை,
2 - கிராம்பு,
2 - உலர்ந்த சிவப்பு மிளகாய்,
1 டீஸ்பூன் - முந்திரி அல்லது வேர்க்கடலை,
1 - வெங்காயம் (நடுத்தர அளவு),
ருசிக்க உப்பு</t>
  </si>
  <si>
    <t xml:space="preserve">Juice of half lemon
Wash and remove the thick stem of coriander leaves, add it to a blender along with green chilies and ginger. Grind it to a fine paste.
Heat oil is a pan and temper with mustard seeds, urad dal, chana dal, cinnamon stick, bay leaves , cloves and dry red chilies and few cahews.Then add sliced onion and saute until golden brown. Then add the ground coriander leaves and cook for a couple of minutes until dry, add required salt.
Once the mixture becomes slightly dry add the cooked rice and mix well until the rice is well coated with the coriander mixture,. finally squeeze in lemon juice and turn off the heat.
That's it our delicious coriander rice is ready to go into the tiffin box along with some potato varuval and vadagam.
</t>
  </si>
  <si>
    <t>அரை எலுமிச்சை சாறு
கொத்தமல்லி இலைகளின் தடிமனான தண்டுகளை கழுவி நீக்கி, பச்சை மிளகாய் மற்றும் இஞ்சியுடன் சேர்த்து ஒரு பிளெண்டரில் சேர்க்கவும். அதை நன்றாக அரைக்கவும்.
ஒரு கடாயில் எண்ணெயை சூடாக்கி, கடுகு, உளுத்தம் பருப்பு, சன்னா பருப்பு, இலவங்கப்பட்டை குச்சி, பிரியாணி இலைகள், கிராம்பு மற்றும் உலர்ந்த சிவப்பு மிளகாய் மற்றும் சில கஹூஸ் ஆகியவற்றை சேர்த்து நன்கு அரைக்கவும். பின்னர் நறுக்கிய வெங்காயத்தைச் சேர்த்து பொன்னிறமாகும் வரை வதக்கவும். பிறகு அரைத்த கொத்தமல்லி இலைகளைச் சேர்த்து, இரண்டு நிமிடங்கள் வதக்கி, தேவையான உப்பு சேர்க்கவும்.
கலவை சிறிது காய்ந்ததும், சமைத்த அரிசியைச் சேர்த்து, அரிசி கொத்தமல்லி கலவையுடன் நன்கு பூசப்படும் வரை நன்கு கலக்கவும். இறுதியாக எலுமிச்சை சாற்றை பிழிந்து, அடுப்பை அணைக்கவும்.
அவ்வளவுதான், நம் சுவையான கொத்தமல்லி சாதம், சிறிது உருளைக்கிழங்கு வறுவல் மற்றும் வடகத்துடன் டிபன் பாக்ஸில் வைக்க தயாராக உள்ளது.</t>
  </si>
  <si>
    <t>https://traditionallymodernfood.com/wp-content/uploads/2022/09/kothamalli-sadam-coriander-rice-28-scaled.jpeg</t>
  </si>
  <si>
    <t>Tamarind rice / Puli Sadam</t>
  </si>
  <si>
    <t>புளி சாதம்</t>
  </si>
  <si>
    <t>Rice Varieties</t>
  </si>
  <si>
    <t>Tamarind rice Recipe / Puli Sadam, 1 tbsp - Channa dal / Kadalai parupu, 1 tbsp - Urad dal, Ulunthu, 1 tsp  - Coriander seeds, 1 tsp - Pepper corns, 1/2 tsp - Fenugreek seeds, 3-4 - Dry red Chilies, 1/2 tsp - Hing / Asafoetida / perungkaayam, For Puliodarai Mix:, 5-6 tbsp - Oil (Gingelly Oil) / Nallennai, 1/2 tsp - Mustard seeds, 1 tbsp - Channa Dal, 1 tbsp - Urad dal, 1/4 tsp - Hing / Asafoetida, 1/2 tsp - Turmeric Powder, 3-4 - Dry red Chilies, 1 spring - Curry leaves, 1/4 cup - Peanuts, 1/4 cup or 1 - big lemon sized Tamarind, 1.5 cup - water for soaking tamarind, Salt to taste, Cooked rice</t>
  </si>
  <si>
    <t>1 டீஸ்பூன் - சன்னா பருப்பு / கடலை பருப்பு, 1 டீஸ்பூன் - உளுந்து பருப்பு, உளுந்து, 1 டீஸ்பூன் - கொத்தமல்லி விதைகள், 1 டீஸ்பூன் - மிளகுத்தூள், 1/2 டீஸ்பூன் - வெந்தயம், 3-4 - உலர்ந்த சிவப்பு மிளகாய், 1/2 டீஸ்பூன் - ஹிங் / பெருங்காயம், புளியோதரை கலவைக்கு:, 5-6 டீஸ்பூன் - எண்ணெய் (இஞ்சி எண்ணெய்) / நல்லெண்ணை, 1/2 டீஸ்பூன் - கடுகு, 1 டீஸ்பூன் - சன்னா பருப்பு, 1 டீஸ்பூன் - உளுந்து பருப்பு, 1/4 டீஸ்பூன் - ஹிங் / பெருங்காயம், 1/2 டீஸ்பூன் - மஞ்சள் தூள், 3-4 - உலர்ந்த சிவப்பு மிளகாய், 1 ஸ்பிரிங் - கறிவேப்பிலை, 1/4 கப் - வேர்க்கடலை, 1/4 கப் அல்லது 1 பெரிய எலுமிச்சை அளவு புளி, 1.5 கப் - புளி ஊறவைக்க தண்ணீர், சுவைக்கு உப்பு, சமைத்த அரிசி</t>
  </si>
  <si>
    <t>Dry roast channa dal and urad dal ona medium heat, when the dal turns its color slightly add the rest of the ingredients - Coriander seeds, pepper corns, fenugreek seeds, dry red chilies and roast until you feel the nice aroma.Turn off the heat and add Asafoetida powder and let it cool.  Once the mixture cools down grind it into a fine powder.  Heat Gingelly oil in a pan and add mustard seeds, once the seeds pops out add channa dal, urad dal, dry red chilies and curry leaves, after a minute add asafoetida powder, turmeric powder and the peanuts. Roast until the peanuts are nicely roasted.   Once the peanuts are nicely roasted add the powdered mix form step 1 and mix well. Finally add tamarind juice , soak tamarind in water for 30 minutes and extract the juice. Also add required salt. Cook on a medium heat for 15 -20 minutes until the oil separates and oozes out . The mixture should become thick like halwa consistency.    Once the oil separates and the mixture thickens turn off the heat. If you feel the mixture is little tangy then add a small piece of jaggery to balance the taste.  Take required amount of puliodarai mix add add it to the rice and mic well. You can add little bit of gingelly oil to get extra flavour.</t>
  </si>
  <si>
    <t>சன்னா பருப்பையும் உளுத்தம்பருப்பையும் மிதமான தீயில் வறுக்கவும், பருப்பு சிறிது நிறம் மாறியதும் மீதமுள்ள பொருட்களை - கொத்தமல்லி விதைகள், மிளகு, வெந்தயம், உலர்ந்த சிவப்பு மிளகாய் சேர்த்து, நல்ல மணம் வரும் வரை வறுக்கவும். தீயை அணைத்து, பெருங்காயத் தூள் சேர்த்து ஆற விடவும்.  கலவை ஆறியதும், அதை நன்றாகப் பொடியாக அரைக்கவும்.  ஒரு கடாயில் எள் எண்ணெயை சூடாக்கி, கடுகு விதைகளைச் சேர்த்து, விதைகள் வெளிவந்ததும், சன்னா பருப்பு, உளுத்தம்பருப்பு, உலர்ந்த சிவப்பு மிளகாய் மற்றும் கறிவேப்பிலை சேர்க்கவும். ஒரு நிமிடம் கழித்து பெருங்காயத் தூள், மஞ்சள் தூள் மற்றும் வேர்க்கடலையைச் சேர்க்கவும். வேர்க்கடலை நன்றாக வறுத்தெடுக்கும் வரை வறுக்கவும்.  வேர்க்கடலை நன்றாக வறுத்த பிறகு, பொடித்த கலவையை படி 1 இல் சேர்த்து நன்கு கலக்கவும். இறுதியாக புளி சாறு சேர்த்து, புளியை தண்ணீரில் 30 நிமிடங்கள் ஊறவைத்து சாறு எடுக்கவும். தேவையான உப்பு சேர்க்கவும். எண்ணெய் பிரிந்து வெளியே வரும் வரை 15 -20 நிமிடங்கள் மிதமான தீயில் சமைக்கவும். கலவை ஹல்வா போல கெட்டியாக மாற வேண்டும்.  எண்ணெய் பிரிந்து கலவை கெட்டியானதும், அடுப்பை அணைக்கவும். கலவை கொஞ்சம் காரம் பிடித்ததாக உணர்ந்தால், சுவையை சமப்படுத்த ஒரு சிறிய துண்டு வெல்லத்தைச் சேர்க்கவும்.  தேவையான அளவு புளியோதரை கலவையை எடுத்து, அரிசியில் சேர்த்து நன்றாக மைக் செய்யவும். கூடுதல் சுவைக்காக சிறிது எள் எண்ணெயைச் சேர்க்கலாம்.</t>
  </si>
  <si>
    <t>https://nonprod-media.webdunia.com/public_html/_media/ta/img/article/2020-03/13/full/1584096095-8153.jpg</t>
  </si>
  <si>
    <t>Banana puree</t>
  </si>
  <si>
    <t>வாழைப்பழக் கூழ்</t>
  </si>
  <si>
    <t>ripe banana (peeled and diced).</t>
  </si>
  <si>
    <t>பழுத்த வாழைப்பழம் (தோல் நீக்கி துண்டுகளாக்கப்பட்டது).</t>
  </si>
  <si>
    <t xml:space="preserve">Blend the banana in a food processor or mash it in a bowl.
Heat the mashed content for 25 seconds for added softness.
Add milk or water to make it thinner or cereal to thicken it.
</t>
  </si>
  <si>
    <t>வாழைப்பழத்தை ஒரு உணவு செயலியில் கலக்கவும் அல்லது ஒரு கிண்ணத்தில் பிசையவும்.
மென்மையான தன்மையை அதிகரிக்க மசித்த உள்ளடக்கத்தை 25 விநாடிகள் சூடாக்கவும்.
அதை மெல்லியதாக மாற்ற பால் அல்லது தண்ணீரைச் சேர்க்கவும் அல்லது கெட்டியாக மாற்ற தானியத்தைச் சேர்க்கவும்</t>
  </si>
  <si>
    <t>https://cdn2.momjunction.com/wp-content/uploads/2014/04/Banana-puree-1.jpg</t>
  </si>
  <si>
    <t>Mango delight</t>
  </si>
  <si>
    <t>மாம்பழ கூழ்</t>
  </si>
  <si>
    <t>1 ripe mango (peeled, de-seeded, chunked)</t>
  </si>
  <si>
    <t>பழுத்த 1 மாம்பழம் (தோல் நீக்கி, விதை நீக்கி, துண்டுகளாக்கப்பட்டது).</t>
  </si>
  <si>
    <t>Blend the mango chunks in a food processor.
Add in breast milk or formula milk to achieve the desired consistency.</t>
  </si>
  <si>
    <t>மாம்பழத் துண்டுகளை உணவுச் செயலியில் கலக்கவும்.
தேவையான நிலைத்தன்மையை அடைய தாய்ப்பால் அல்லது பால் கலவையில் சேர்க்கவும்.</t>
  </si>
  <si>
    <t>https://cdn2.momjunction.com/wp-content/uploads/2014/04/Mango-delight-1.jpg</t>
  </si>
  <si>
    <t>Apple sauce</t>
  </si>
  <si>
    <t>ஆப்பிள் சாஸ்</t>
  </si>
  <si>
    <t>1 apple (peeled, cut into slices),
2 cups water</t>
  </si>
  <si>
    <t>1 ஆப்பிள் (தோல் நீக்கி, துண்டுகளாக வெட்டப்பட்டது).,
2 கப் தண்ணீர்</t>
  </si>
  <si>
    <t>Boil the apple slices in a saucepan. The slices need to be immersed in water.
Once done, mash the apple slices. Add water to get the desired consistency.
You can add a dash of cinnamon to the puree to enhance its palatability. 
Alternatively, you may boil a small cinnamon stick with apple slices and remove it before mashing the slices to puree.</t>
  </si>
  <si>
    <t>ஆப்பிள் துண்டுகளை ஒரு பாத்திரத்தில் கொதிக்க வைக்கவும். துண்டுகளை தண்ணீரில் மூழ்க வைக்க வேண்டும்.
முடிந்ததும், ஆப்பிள் துண்டுகளை மசிக்கவும். விரும்பிய நிலைத்தன்மையைப் பெற தண்ணீரைச் சேர்க்கவும்.
ப்யூரியின் சுவையை அதிகரிக்க நீங்கள் ஒரு துளி இலவங்கப்பட்டையைச் சேர்க்கலாம். மாற்றாக, நீங்கள் ஒரு சிறிய இலவங்கப்பட்டை குச்சியை ஆப்பிள் துண்டுகளுடன் வேகவைத்து, துண்டுகளை மசிப்பதற்கு முன் அதை அகற்றலாம்.</t>
  </si>
  <si>
    <t>https://cdn2.momjunction.com/wp-content/uploads/2014/04/Apple-sauce-1.jpg</t>
  </si>
  <si>
    <t>Pea puree</t>
  </si>
  <si>
    <t>பட்டாணி கூழ்</t>
  </si>
  <si>
    <t>Frozen or fresh peas,
Breast milk, formula, or water</t>
  </si>
  <si>
    <t>உறைந்த அல்லது புதிய பட்டாணி,
தாய்ப்பால், ஃபார்முலா அல்லது தண்ணீர்</t>
  </si>
  <si>
    <t xml:space="preserve">Fill a saucepan with water and let it boil.
Once the water starts boiling, place two cups of peas in a steamer basket over the pot or saucepan.
Cover the lid and allow the peas to steam for three to five minutes.
Once the peas start looking bright green, tender, and fresh, remove the steamer basket from the pot and let the peas cool.
Blend the peas in a blender or a food processor into a puree.
Add breast milk, formula, or water to get the desired consistency.
</t>
  </si>
  <si>
    <t>ஒரு பாத்திரத்தில் தண்ணீரை நிரப்பி கொதிக்க விடவும்.
தண்ணீர் கொதிக்க ஆரம்பித்ததும், இரண்டு கப் பட்டாணியை ஒரு ஸ்டீமர் கூடையில் பானை அல்லது பாத்திரத்தின் மேல் வைக்கவும்.
மூடியை மூடி, பட்டாணி மூன்று முதல் ஐந்து நிமிடங்கள் வரை வேக விடவும்.
பட்டாணி பிரகாசமான பச்சை நிறமாகவும், மென்மையாகவும், புதியதாகவும் தோன்றத் தொடங்கியதும், பாத்திரத்திலிருந்து ஸ்டீமர் கூடையை அகற்றி பட்டாணியை குளிர்விக்க விடவும்.
பட்டாணியை ஒரு பிளெண்டர் அல்லது உணவு செயலியில் ஒரு ப்யூரியில் கலக்கவும்.
தேவையான நிலைத்தன்மையைப் பெற தாய்ப்பால், ஃபார்முலா அல்லது தண்ணீரைச் சேர்க்கவும்.</t>
  </si>
  <si>
    <t>https://cdn2.momjunction.com/wp-content/uploads/2014/04/Pea-puree-in-6-month-baby-food-chart.jpg</t>
  </si>
  <si>
    <t>Rice cereal</t>
  </si>
  <si>
    <t>அரிசி தானியங்கள்</t>
  </si>
  <si>
    <t>1/4 cup rice,
1 cup water,
2 tbsp formula or breast milk</t>
  </si>
  <si>
    <t>1/4 கப் அரிசி,
1 கப் தண்ணீர்,
2 டேபிள்ஸ்பூன் பால் அல்லது பால்</t>
  </si>
  <si>
    <t xml:space="preserve">Wash the rice and cook it in a saucepan or pressure cooker.
Mash the cooked rice and add formula or breast milk.
</t>
  </si>
  <si>
    <t>அரிசியைக் கழுவி, ஒரு பாத்திரத்தில் அல்லது பிரஷர் குக்கரில் சமைக்கவும்.
சமைத்த அரிசியை மசித்து, பால் அல்லது பால் சேர்க்கவும்.</t>
  </si>
  <si>
    <t>https://cdn2.momjunction.com/wp-content/uploads/2014/04/Rice-cereal-1.jpg</t>
  </si>
  <si>
    <t>Barley apple porridge</t>
  </si>
  <si>
    <t>பார்லி ஆப்பிள் கஞ்சி</t>
  </si>
  <si>
    <t>1/4 cup ground barley,
4 cup water,
2tbsp formula or breast milk,
1 cup peeled and cubed apple</t>
  </si>
  <si>
    <t>1/4 கப் அரைத்த பார்லி,
4 கப் தண்ணீர்,
2 டேபிள்ஸ்பூன் ஃபார்முலா அல்லது தாய்ப்பால்,
1 கப் தோல் நீக்கி க்யூப் செய்து அரைத்த ஆப்பிள்</t>
  </si>
  <si>
    <t xml:space="preserve">Boil water in a saucepan and add barley.
Cook in the simmer for 10 minutes.
Add apple slices and cook on low heat for two minutes.
Puree the contents using a hand blender.
</t>
  </si>
  <si>
    <t>ஒரு பாத்திரத்தில் தண்ணீரை கொதிக்க வைத்து பார்லியைச் சேர்க்கவும்.
10 நிமிடங்கள் கொதி நிலையில் வைக்கவும்.
ஆப்பிள் துண்டுகளைச் சேர்த்து இரண்டு நிமிடங்கள் குறைந்த வெப்பத்தில் சமைக்கவும்.
ஒரு கை கலப்பான் மூலம் உள்ளடக்கங்களை ப்யூரி செய்யவும்.</t>
  </si>
  <si>
    <t>https://cdn2.momjunction.com/wp-content/uploads/2014/04/Barley-apple-porridge-1.jpg</t>
  </si>
  <si>
    <t>Oatmeal cereal</t>
  </si>
  <si>
    <t>ஓட்ஸ் தானியம்</t>
  </si>
  <si>
    <t>1/3 cup water,
¼ cup ground oats,
2tbsp formula or breast milk,
½ banana sliced</t>
  </si>
  <si>
    <t>1/3 கப் தண்ணீர்,
¼ கப் அரைத்த ஓட்ஸ்,
2 டேபிள்ஸ்பூன் ஃபார்முலா அல்லது தாய்ப்பால்,
½ வாழைப்பழம் நறுக்கியது</t>
  </si>
  <si>
    <t xml:space="preserve">Take a saucepan, add water, and bring it to a boil. Add oats and cook in the simmer for 10 minutes.
Once done, add bananas and mash well. Add formula or breast milk to get the desired consistency.
</t>
  </si>
  <si>
    <t>ஒரு பாத்திரத்தை எடுத்து, தண்ணீர் சேர்த்து, கொதிக்க வைக்கவும். ஓட்ஸ் சேர்த்து 10 நிமிடங்கள் கொதிக்க வைக்கவும்.
தயாரானதும், வாழைப்பழங்களைச் சேர்த்து நன்கு மசிக்கவும். விரும்பிய நிலைத்தன்மையைப் பெற ஃபார்முலா அல்லது தாய்ப்பாலைச் சேர்க்கவும்.</t>
  </si>
  <si>
    <t>https://cdn2.momjunction.com/wp-content/uploads/2014/04/Oatmeal-cereal-1.jpg</t>
  </si>
  <si>
    <t>Pumpkin puree</t>
  </si>
  <si>
    <t>பூசணிக்காய் கூழ்</t>
  </si>
  <si>
    <t>1 medium sugar pumpkin (cut in half and De-seeded)</t>
  </si>
  <si>
    <t>1 நடுத்தர சர்க்கரை பூசணிக்காய் (பாதியாக வெட்டி விதை நீக்கப்பட்டது)</t>
  </si>
  <si>
    <t xml:space="preserve">Scoop out the seeds from the sugar pumpkin halves and drain the pumpkins with water in a baking pan.
Bake for 40 minutes in the oven preheated to 400°F. Once the halves turn soft, scoop the squash meat and puree it in a food processor. 
Add water to achieve a smooth consistency.
</t>
  </si>
  <si>
    <t>சர்க்கரை பூசணிக்காய் பகுதிகளிலிருந்து விதைகளை எடுத்து, ஒரு பேக்கிங் பாத்திரத்தில் தண்ணீர் சேர்த்து பூசணிக்காயை வடிகட்டவும்.
400°F க்கு முன்கூட்டியே சூடேற்றப்பட்ட அடுப்பில் 40 நிமிடங்கள் சுடவும். பாதிகள் மென்மையாக மாறியதும், பூசணிக்காயை எடுத்து ஒரு உணவு செயலியில் கூழ் செய்யவும். 
மென்மையான நிலைத்தன்மையைப் பெற தண்ணீரைச் சேர்க்கவும்.</t>
  </si>
  <si>
    <t>https://cdn2.momjunction.com/wp-content/uploads/2014/04/Baked-apples-1.jpg</t>
  </si>
  <si>
    <t>Green beans puree</t>
  </si>
  <si>
    <t>பச்சை பீன்ஸ் கூழ்</t>
  </si>
  <si>
    <t>1 cup fresh beans</t>
  </si>
  <si>
    <t>1 கப் புதிய பீன்ஸ்</t>
  </si>
  <si>
    <t xml:space="preserve">Transfer the beans into a pan and place it in a steamer basket.
Steam until tender. Keep a check on the water level.
Once done, puree the contents in a blender and bring it to a smooth consistency.
</t>
  </si>
  <si>
    <t>பீன்ஸை ஒரு பாத்திரத்தில் போட்டு, ஒரு ஸ்டீமர் கூடையில் வைக்கவும்.
மென்மையாகும் வரை வேகவைக்கவும். நீர் மட்டத்தை சரிபார்க்கவும்.
தயாரானதும், உள்ளடக்கங்களை ஒரு பிளெண்டரில் கூழ் செய்து, மென்மையான நிலைத்தன்மைக்கு கொண்டு வாருங்கள்.</t>
  </si>
  <si>
    <t>https://cdn2.momjunction.com/wp-content/uploads/2014/04/Pumpkin-puree-1.jpg</t>
  </si>
  <si>
    <t>Carrots puree</t>
  </si>
  <si>
    <t>கேரட் கூழ்</t>
  </si>
  <si>
    <t>1 carrot (sweet, peeled, cut)</t>
  </si>
  <si>
    <t>1 கேரட் (இனிப்பு, தோல் நீக்கி, வெட்டப்பட்டது)</t>
  </si>
  <si>
    <t xml:space="preserve">Transfer the carrot slices into a steamer pan containing water. Steam until the carrots turn tender.
Place the contents into a blender and puree them. Add water if needed.
</t>
  </si>
  <si>
    <t>கேரட் துண்டுகளை தண்ணீர் உள்ள ஒரு நீராவி பாத்திரத்தில் மாற்றவும். கேரட் மென்மையாக மாறும் வரை வேகவைக்கவும்.
ஒரு பிளெண்டரில் பொருட்களை வைத்து கூழ் செய்யவும். தேவைப்பட்டால் தண்ணீர் சேர்க்கவும்.</t>
  </si>
  <si>
    <t>https://cdn2.momjunction.com/wp-content/uploads/2014/04/Carrots-puree-1.jpg</t>
  </si>
  <si>
    <t>Vegetable combo</t>
  </si>
  <si>
    <t>காய்கறி சேர்க்கை</t>
  </si>
  <si>
    <t>1/8 cup fresh beans,
1/8 cup peas,
¼ cup summer and zucchini squash,
1/8 cup chopped carrots</t>
  </si>
  <si>
    <t>1/8 கப் புதிய பீன்ஸ்,
1/8 கப் பட்டாணி,
¼ கப் கோடை மற்றும் சீமை சுரைக்காய் ஸ்குவாஷ்,
1/8 கப் நறுக்கிய கேரட்</t>
  </si>
  <si>
    <t xml:space="preserve">Add all the ingredients to a pan and add enough water.
Cook until tender and puree the contents in a blender.
Add water to get the desired consistency.
With such interesting recipes, it is likely that your baby would love her new diet. But you cannot feed her beyond small quantities just because she has developed a liking for it.
</t>
  </si>
  <si>
    <t>ஒரு பாத்திரத்தில் அனைத்து பொருட்களையும் சேர்த்து போதுமான தண்ணீர் சேர்க்கவும்.
மென்மையாகும் வரை சமைக்கவும், உள்ளடக்கங்களை ஒரு பிளெண்டரில் அரைக்கவும்.
விரும்பிய நிலைத்தன்மையைப் பெற தண்ணீரைச் சேர்க்கவும்.
இதுபோன்ற சுவாரஸ்யமான சமையல் குறிப்புகளுடன், உங்கள் குழந்தை தனது புதிய உணவை விரும்பக்கூடும். ஆனால் அவள் அதை விரும்பி சாப்பிட்டுவிட்டாள் என்பதற்காக நீங்கள் அவளுக்கு சிறிய அளவில் அதிகமாக உணவளிக்க முடியாது.</t>
  </si>
  <si>
    <t>https://cdn2.momjunction.com/wp-content/uploads/2014/04/Vegetable-combo-1.jpg</t>
  </si>
  <si>
    <t>Mor Kulambu</t>
  </si>
  <si>
    <t>மோர் குழம்பு</t>
  </si>
  <si>
    <t>1 Cup - Yogurt, 1/2  - Cucumber, 1/2 tsp - Turmeric Powder, 1.5 cup - Water, 1/2 cup - grated Coconut, 3 - Green Chilies, 2 - Shallots, 1 - small piece of ginger, 1/2 tsp - Cumin Seeds, 1 tbsp - Oil, 1/8 tsp - Mustard Seeds, 1/2 tsp - skinless black gram, 3 - dry red chilies, 1/8 tsp - Asafoetida, few - Curry leaves</t>
  </si>
  <si>
    <t>1 கப் - தயிர், 1/2 - வெள்ளரிக்காய், 1/2 தேக்கரண்டி - மஞ்சள் தூள், 1.5 கப் - தண்ணீர், 1/2 கப் - துருவிய தேங்காய், 3 - பச்சை மிளகாய், 2 - வெங்காயத்தாள், 1 - சிறிய துண்டு இஞ்சி, 1/2 தேக்கரண்டி - சீரகம், 1 தேக்கரண்டி - எண்ணெய், 1/8 தேக்கரண்டி - கடுகு விதைகள், 1/2 தேக்கரண்டி - தோல் நீக்கிய உளுந்து, 3 - உலர்ந்த சிவப்பு மிளகாய், 1/8 தேக்கரண்டி - பெருங்காயம், சில - கறிவேப்பிலை</t>
  </si>
  <si>
    <t>Cook cucumber in water until it turns transparent. Once the cucumber is fully cooked (if you press it with a spoon it should break)  add salt , turmeric powder and mix well.  Grind grated coconut, shallots, ginger, cumin seeds, green chilies and  chana dal with some water and make it into a very smooth paste. Soak the chana dal for 20 minutes before adding.   Add the coconut base to the cooked vegetable and let it come to a boil. Once you see the kulambu boiling turn off the heat and keep it aside to cool a bit.  Heat oil in a pan and add mustard seeds, urad dal, curry leaves, dry red chilies and hing. once the dal changes it color to golden turn off the heat.  Once cooled add the yogurt / thayir add the tempering to the curry and mix well.Before adding the yogurt beat it well to ensure no lumps, it should be smooth.  Our delicious and tasty mor kulambu is ready to be served with rice. This recipe is really easy to make and it is an amazing and refreshing dish for summer.</t>
  </si>
  <si>
    <t>வெள்ளரிக்காய் தண்ணீரில் அது வெளிப்படையானதாக மாறும் வரை சமைக்கவும். வெள்ளரிக்காய் முழுவதுமாக வெந்ததும் (ஒரு கரண்டியால் அழுத்தினால் அது உடைந்துவிடும்) உப்பு, மஞ்சள் தூள் சேர்த்து நன்கு கலக்கவும். துருவிய தேங்காய், வெங்காயத்தாள், இஞ்சி, சீரகம், பச்சை மிளகாய் மற்றும் சன்னா பருப்பை சிறிது தண்ணீரில் அரைத்து மிகவும் மென்மையான பேஸ்டாக அரைக்கவும். சன்னா பருப்பை 20 நிமிடங்கள் ஊறவைத்து, பின்னர் சேர்க்கவும். சமைத்த காய்கறியில் தேங்காய்த் துருவலைச் சேர்த்து கொதிக்க விடவும். குழம்பு கொதித்ததும் அடுப்பை அணைத்து, சிறிது நேரம் ஆற வைக்கவும். ஒரு கடாயில் எண்ணெயை சூடாக்கி, கடுகு, உளுத்தம்பருப்பு, கறிவேப்பிலை, காய்ந்த மிளகாய் மற்றும் பெருங்காயம் சேர்க்கவும். பருப்பு பொன்னிறமாக மாறியதும், அடுப்பை அணைக்கவும். குளிர்ந்ததும் தயிர் / தயிர் சேர்த்து, கறியில் தாளிக்க வைத்ததைச் சேர்த்து நன்கு கலக்கவும். தயிர் சேர்ப்பதற்கு முன், கட்டிகள் இல்லாமல் இருக்க நன்றாக அடிக்கவும், அது மென்மையாக இருக்க வேண்டும். எங்கள் சுவையான மற்றும் சுவையான மோர் குழம்பு சாதத்துடன் பரிமாற தயாராக உள்ளது. இந்த செய்முறையை தயாரிப்பது மிகவும் எளிதானது மற்றும் இது கோடைகாலத்திற்கு ஒரு அற்புதமான மற்றும் புத்துணர்ச்சியூட்டும் உணவாகும்.</t>
  </si>
  <si>
    <t>https://blogger.googleusercontent.com/img/b/R29vZ2xl/AVvXsEjiCGLyFT_7MdwmmnWPc9RjsRlhL5TkpnCC5v5EdSGVQ_CXIt6xrMGWLKDXU4VvEkeb0GJjQrgdPEZbCLJDVbMbvnDrU2PXYSde_6aQ5GQWIHfAzuzlkCXTgimgspGj6i_mHZTKpBlfMvi6/s1600/DSC07531.JPG</t>
  </si>
  <si>
    <t>Adai</t>
  </si>
  <si>
    <t>அடை</t>
  </si>
  <si>
    <t>1/2 cup -  Thoor Dal, 1/2 cup -  Chickpea, 1/2 cup -  Skinless black gram, 1/2 cup - Raw rice, 6-8 - dry  red chilies, 15 - shallots, Salt to taste, 1 tbsp - Oil, 2 - dry red chilies, 1/4 tsp - Asafoetida, 1/4 tsp - Turmeric powder, Few Curry leaves.</t>
  </si>
  <si>
    <t>1/2 கப் - துவரம் பருப்பு, 1/2 கப் - கொண்டைக்கடலை, 1/2 கப் - தோல் நீக்கிய உளுந்து, 1/2 கப் - பச்சரிசி, 6-8 - உலர்ந்த சிவப்பு மிளகாய், 15 - வெங்காயத்தாள், சுவைக்கு உப்பு, 1 டீஸ்பூன் - எண்ணெய், 2 - உலர்ந்த சிவப்பு மிளகாய், 1/4 டீஸ்பூன் - பெருங்காயம், 1/4 டீஸ்பூன் - மஞ்சள் தூள், சில கறிவேப்பிலை.</t>
  </si>
  <si>
    <t>Rinse Raw Rice, Thoor Dal, channa dal, skinless black gram  in water for a couple of times and then add enough water to cover the dal and also add dry red chilies and soak it for minimum 1 - 2 hour  Transfer all the soaked Lentils in a mixer jar and grind it into a fine- coarse paste, do not add too much of water , add a very little amount of water while grinding if needed we can add more later.  
Heat oil in a pan and add dry red chilies ( crush them into very small pieces) add Asafoetida, Turmeric powder and Curry leaves (Cut them into small pieces). 
Do this on a low flame to prevent from burning.  Add the tempering to the batter and also add finely chopped shallots, salt and mix it well to get a semi thick batter consistency (add water if required). should be thicker than normal dosa batter.  
Heat an iron pan and pour some batter over it and spread it into a thin layer. Drizzle some oil or Ghee on the top. Once it turns golden on the one side flip it to the other side and cook until both the sides turns golden and crispy   That's it our healthy and tasty adai dosai is ready to be served with a side of chutney and avial. 
This dosa recipe is very similar regular dosa only difference is it is stuffed with lot of nutrients and goodness.to  Please do try this recipe with your family and share your feedback with us. Happy Cooking .</t>
  </si>
  <si>
    <t>பச்சை அரிசி, துவரம்பருப்பு, சன்னா பருப்பு, தோல் நீக்கிய உளுந்து ஆகியவற்றை இரண்டு முறை தண்ணீரில் கழுவி, பின்னர் பருப்பை மூடும் அளவுக்கு போதுமான தண்ணீர் சேர்த்து, உலர்ந்த சிவப்பு மிளகாயைச் சேர்த்து குறைந்தது 1 - 2 மணி நேரம் ஊற வைக்கவும். 
ஊறவைத்த அனைத்து பருப்பையும் ஒரு மிக்ஸி ஜாடியில் போட்டு நன்றாக அரைக்கவும், அதிக தண்ணீர் சேர்க்க வேண்டாம், தேவைப்பட்டால் சிறிது தண்ணீர் சேர்த்து அரைக்கவும். பின்னர் மேலும் சேர்க்கலாம். 
ஒரு கடாயில் எண்ணெயை சூடாக்கி, காய்ந்த சிவப்பு மிளகாய் (மிகச் சிறிய துண்டுகளாக நசுக்கவும்) சேர்க்கவும். பெருங்காயம், மஞ்சள் தூள் மற்றும் கறிவேப்பிலை (சிறிய துண்டுகளாக நறுக்கவும்) சேர்க்கவும். 
அடி பிடிக்காமல் இருக்க குறைந்த தீயில் இதைச் செய்யுங்கள். மாவுடன் தாளிக்கவும், இறுதியாக நறுக்கிய வெங்காயத்தாள், உப்பு சேர்த்து நன்கு கலக்கவும், அரை தடிமனான மாவு நிலைத்தன்மையைப் பெறவும் (தேவைப்பட்டால் தண்ணீர் சேர்க்கவும்). சாதாரண தோசை மாவை விட தடிமனாக இருக்க வேண்டும். ஒரு இரும்பு தோசைக் கல்லை சூடாக்கி, அதன் மீது சிறிது மாவை ஊற்றி மெல்லிய அடுக்காக பரப்பவும். 
மேலே சிறிது எண்ணெய் அல்லது நெய்யை ஊற்றவும். ஒரு பக்கம் பொன்னிறமாக மாறியதும், மறுபுறம் திருப்பி, இரு பக்கமும் பொன்னிறமாகவும் மொறுமொறுப்பாகவும் மாறும் வரை சமைக்கவும். 
அவ்வளவுதான் எங்கள் ஆரோக்கியமான மற்றும் சுவையான அடை தோசை, ஒரு பக்க சட்னி மற்றும் அவியலுடன் பரிமாற தயாராக உள்ளது. இந்த தோசை செய்முறை வழக்கமான தோசைக்கு மிகவும் ஒத்திருக்கிறது, ஒரே வித்தியாசம் என்னவென்றால், இது நிறைய ஊட்டச்சத்துக்கள் மற்றும் நன்மைகளால் நிரப்பப்பட்டுள்ளது. 
தயவுசெய்து இந்த செய்முறையை உங்கள் குடும்பத்தினருடன் முயற்சி செய்து உங்கள் கருத்தை எங்களுடன் பகிர்ந்து கொள்ளுங்கள். மகிழ்ச்சியான சமையல்.</t>
  </si>
  <si>
    <t>https://blogger.googleusercontent.com/img/b/R29vZ2xl/AVvXsEglyvJpojc8_ZaTvKG_TEZZkZ-UImW_t-gFzU2-G22uROj9Rtq5yABA6oTXoKi-mayr91nRbiK1I-gajYBjWwB5Ag75T_Ze1KfpS3MtetIYkwVQkpgXg20OWsfJgK7i76dQe5uT7LrqreC_/s1600/Adai+Avial+recipe.JPG</t>
  </si>
  <si>
    <t>Black Forest Cake</t>
  </si>
  <si>
    <t>பிளாக் ஃபாரஸ்ட் கேக்</t>
  </si>
  <si>
    <t>Sweet Recipes</t>
  </si>
  <si>
    <t>2 cup - All purpose flour, 3/4 cup - Unsweetened Cocoa powder, 2 tsp - Baking Powder, 1 tsp - Baking Soda, 1/2 tsp - Salt, 1 cup - Milk, 3 - large Eggs, 2 - stick Butter, 1 tbsp - Vanilla extract, 2 cup - Sugar, 3 cup - Heavy Whipping Cream, 1/2 cup - Powdered Sugar, 3 cup - Cherry with Syrup, 1/4 cup - Sugar.</t>
  </si>
  <si>
    <t>2 கப் - அனைத்து உபயோக மாவு, 3/4 கப் - இனிக்காத கோகோ தூள், 2 தேக்கரண்டி - பேக்கிங் பவுடர், 1 தேக்கரண்டி - பேக்கிங் சோடா, 1/2 தேக்கரண்டி - உப்பு, 1 கப் - பால், 3 - பெரிய முட்டைகள், 2 - குச்சி வெண்ணெய், 1 தேக்கரண்டி - வெண்ணிலா சாறு, 2 கப் - சர்க்கரை, 3 கப் - கனமான விப்பிங் கிரீம், 1/2 கப் - தூள் சர்க்கரை, 3 கப் - சிரப் உடன் செர்ரி, 1/4 கப் - சர்க்கரை.</t>
  </si>
  <si>
    <t>Sift all the dry ingredients together - all purpose flour, cocoa powder, baking powder, baking soda and salt together in a large mixing bowl. add the wet ingredients milk, eggs, butter, vanilla and sugar to the dry ingredients and combine well. 
Divide the cake mix into 2 halves and transfer it into 2 9 inch baking pan lined with parchment paper and bake it for 30-35 minutes at 350 F. In a sauce pan heat 2 cups of cherry with syrup and 1/4 cup sugar and cook until the syrup thickens. I used bottled sour cherries .  
If the tooth pick inserted at the center comes out clean then the cakes are perfectly done. My cakes were ready exactly after 30 minutes. Transfer the cakes to wire rack and let it cool completely.  Once the cakes are cooled completely slice each cake into 2 equal halves. 
Then apply some cherry syrup on the top of each layer to keep the cake moist and soft. This is very important step to keep the cakes soft and at the same time do not add too much syrup or the cakes will become soggy. In a large mixing bowl add heavy whipping cream, powdered sugar and whisk them together until soft peaks are formed. I refrigerated my mixing bowl and the whisk for 1 hour before whisking them together.  
Place the first layer of the cake and apply some cream on the top and then spread it evenly. Then add some cherry toppings and then place the second layer of cake and then continue the same.  Cover the entire cake with the cream and add some chocolate shavings on the top and sides and top it with cherries. Preheat the oven to 350 Fahrenheit or 175 Celsius  Bake for 30-35 minutes ( for 9 inch pan) . Make sure that the cherry syrup and the cakes are cooled completely before adding or making the cream.Cream melts when added hot.  
Instead of brushing with cherry syrup we can also use normal sugar water ( just boil the sugar in water for couple of minutes and spread)</t>
  </si>
  <si>
    <t>ஒரு பெரிய கலவை கிண்ணத்தில் அனைத்து உலர்ந்த பொருட்களையும் ஒன்றாக சலிக்கவும் - அனைத்து உபயோக மாவு, கோகோ தூள், பேக்கிங் பவுடர், பேக்கிங் சோடா மற்றும் உப்பு. 
ஈரமான பொருட்களை பால், முட்டை, வெண்ணெய், வெண்ணிலா மற்றும் சர்க்கரை ஆகியவற்றை உலர்ந்த பொருட்களுடன் சேர்த்து நன்கு கலக்கவும். கேக் கலவையை 2 பகுதிகளாகப் பிரித்து, காகிதத்தோல் மூடப்பட்ட 2 9 அங்குல பேக்கிங் பாத்திரத்தில் மாற்றி, 350 F இல் 30-35 நிமிடங்கள் சுடவும். ஒரு சாஸ் பாத்திரத்தில் 2 கப் செர்ரியை சிரப் மற்றும் 1/4 கப் சர்க்கரையுடன் சூடாக்கி, சிரப் கெட்டியாகும் வரை சமைக்கவும். நான் பாட்டில் புளிப்பு செர்ரிகளைப் பயன்படுத்தினேன். 
மையத்தில் செருகப்பட்ட டூத்பிக் சுத்தமாக வெளியே வந்தால், கேக்குகள் சரியாக முடிந்தது. என் கேக்குகள் சரியாக 30 நிமிடங்களுக்குப் பிறகு தயாராக இருந்தன. 
கேக்குகளை கம்பி ரேக்கில் மாற்றி முழுமையாக குளிர்விக்க விடவும். கேக்குகள் முழுமையாக குளிர்ந்ததும், ஒவ்வொரு கேக்கையும் 2 சம பாகங்களாக வெட்டவும். 
பின்னர் கேக்கை ஈரப்பதமாகவும் மென்மையாகவும் வைத்திருக்க ஒவ்வொரு அடுக்கின் மேற்புறத்திலும் சிறிது செர்ரி சிரப்பைப் பயன்படுத்துங்கள். கேக்குகளை மென்மையாக வைத்திருக்க இது மிகவும் முக்கியமான படியாகும், அதே நேரத்தில் அதிகமாக சிரப் சேர்க்க வேண்டாம், இல்லையெனில் கேக்குகள் ஈரமாகிவிடும். ஒரு பெரிய கலவை கிண்ணத்தில் கனமான விப்பிங் கிரீம், தூள் சர்க்கரையைச் சேர்த்து மென்மையான சிகரங்கள் உருவாகும் வரை அவற்றை ஒன்றாக அடிக்கவும். நான் என் மிக்ஸிங் கிண்ணத்தையும் விஸ்கையையும் 1 மணி நேரம் குளிர்சாதன பெட்டியில் வைத்து ஒன்றாக கிளறினேன். கேக்கின் முதல் அடுக்கை மேலே வைத்து சிறிது கிரீம் தடவி, பின்னர் அதை சமமாக பரப்பவும். பின்னர் சில செர்ரி டாப்பிங்ஸைச் சேர்த்து, பின்னர் இரண்டாவது அடுக்கு கேக்கை வைக்கவும், பின்னர் அதையே தொடரவும். முழு கேக்கையும் கிரீம் கொண்டு மூடி, மேலேயும் பக்கங்களிலும் சில சாக்லேட் ஷேவிங்ஸைச் சேர்த்து, அதன் மேல் செர்ரிகளால் சூடாக்கவும். அடுப்பை 350 ஃபாரன்ஹீட் அல்லது 175 செல்சியஸுக்கு முன்கூட்டியே சூடாக்கவும் 30-35 நிமிடங்கள் (9 அங்குல பாத்திரத்திற்கு) சுடவும். செர்ரி சிரப் மற்றும் கேக்குகள் கிரீம் சேர்ப்பதற்கு அல்லது செய்வதற்கு முன் முழுமையாக குளிர்ந்துவிட்டதா என்பதை உறுதிப்படுத்திக் கொள்ளுங்கள். 
கிரீம் சூடாகச் சேர்க்கும்போது உருகும். செர்ரி சிரப்பைத் துலக்குவதற்குப் பதிலாக, சாதாரண சர்க்கரை நீரையும் பயன்படுத்தலாம் (சர்க்கரையை தண்ணீரில் ஓரிரு நிமிடங்கள் கொதிக்க வைத்துப் பரப்பவும்).</t>
  </si>
  <si>
    <t>https://blogger.googleusercontent.com/img/b/R29vZ2xl/AVvXsEh0_tbrJhFqRBvlE7U2ICxmKMfmAS80QxP_naYKScnbLyK_zrqKmX7dRX5KbrHRUV0zhJE7OcXxrbn-phcibPiCD5rG5_S2dBiJrBfKgB1SxheGEdBFd_VfFOqFR9BPQqnp_ZIeWgtpX8L6/s640/DSC07710.JPG</t>
  </si>
  <si>
    <t>https://youtu.be/x9gzAEp4B9U</t>
  </si>
  <si>
    <t>Susiyam</t>
  </si>
  <si>
    <t>சூசியம்</t>
  </si>
  <si>
    <t>Traditional Snacks</t>
  </si>
  <si>
    <t>1 cup - Chana Dal, 3/4-1 cup - Jaggery, 1/2 cup - grated Coconut, Pinch of cradamom powder, 2 tbsp - Ghee / Clarified butter, 1/2 cup - All purpose flour, 2 tbsp - Rice flour, pinch of Salt, required Water, coriander leaves for garnishing.</t>
  </si>
  <si>
    <t>1 கப் - கடலை பருப்பு, 3/4-1 கப் - வெல்லம், 1/2 கப் - துருவிய தேங்காய், சிறிது கிராடாம் பவுடர், 2 டேபிள் ஸ்பூன் - நெய் / தெளித்த வெண்ணெய், 1/2 கப் - அனைத்து உபயோக மாவு, 2 டேபிள் ஸ்பூன் - அரிசி மாவு, சிறிது உப்பு, தேவையான தண்ணீர், கொத்தமல்லி இலைகள் அலங்கரிக்க.</t>
  </si>
  <si>
    <t>Soak Channa dal / Kadalai Paruppu in water for 2 hours. 
Transfer the soaked dal into a cooker and add water and cook the dal for 4 whistles on a medium heat or until it is fully cooked.Since we have already soaked the dal it will be ready in 4 whistles if you haven't soaked the dal then cook it for few more whistles.  
Meanwhile in a separate pan melt ghee and add grated coconut and saute it for few seconds until the coconut tuns golden. Adding Coconut enhances the taste of the poornam.  
After cooking the dal add grated jaggery and cook until it thickens. If you are not sure about the quality of jaggery then melt jaggery in a separate pan by adding very little amount of water, filter and then add it to the dal.  Once the dal and jaggey mix thickens add the roasted coconut and cardamom powder and cook until fully thickened. 
You should be able to hold shapes. The poornam should be stiff and should not fall. Once you get this consistency turn off the heat and let it cool for sometime.  
once the poornam is completely cooled take a portion of the poornam and shape it into medium sized balls. 
This recipes makes 16 - 18 balls.  In a bowl combine Maida / All purpose flour , rice flour, pinch of salt and add water to form a semi-thick batter. Batter should not be runny it should be thick enough to coat the poornam.  
Take a poornam , dip it in the batter and make sure all the sides are nicely covered by the batter. Drop the susiyam in hot oil and fry until the outside is cooked and turns crispy. It will not take more than a minutes. It get fried really fast so keep an eye on them.  Our Susiyam is ready to be enjoyed. 
Please do try the recipe and share your feedback with us. happy Cooking and lets spread the Joy of Cooking.</t>
  </si>
  <si>
    <t>சன்னா பருப்பு / கடலை பருப்பு ஆகியவற்றை 2 மணி நேரம் தண்ணீரில் ஊற வைக்கவும். 
ஊறவைத்த பருப்பை ஒரு குக்கரில் போட்டு தண்ணீர் சேர்த்து, பருப்பை மிதமான தீயில் 4 விசில் அல்லது முழுமையாக வேகும் வரை சமைக்கவும். நாம் ஏற்கனவே பருப்பை ஊறவைத்துவிட்டதால், பருப்பை ஊறவைக்கவில்லை என்றால், 4 விசில்களில் தயாராகிவிடும், இன்னும் சில விசில்கள் வேகவைக்கவும். இதற்கிடையில் ஒரு தனி வாணலியில் நெய்யை உருக்கி, துருவிய தேங்காயைச் சேர்த்து, தேங்காய் பொன்னிறமாகும் வரை சில நொடிகள் வதக்கவும். 
தேங்காய் சேர்ப்பது பூர்ணத்தின் சுவையை அதிகரிக்கும். பருப்பை சமைத்த பிறகு, துருவிய வெல்லத்தைச் சேர்த்து கெட்டியாகும் வரை சமைக்கவும். 
வெல்லத்தின் தரம் குறித்து உங்களுக்குத் தெரியாவிட்டால், ஒரு தனி பாத்திரத்தில் வெல்லத்தை மிகக் குறைந்த அளவு தண்ணீர் சேர்த்து உருக்கி, வடிகட்டி, பின்னர் பருப்பில் சேர்க்கவும். பருப்பு மற்றும் வெல்லம் கலவை கெட்டியானவுடன் வறுத்த தேங்காய் மற்றும் ஏலக்காய்த் தூளைச் சேர்த்து, முழுமையாக கெட்டியாகும் வரை சமைக்கவும். 
நீங்கள் வடிவங்களைத் தக்க வைத்துக் கொள்ள முடியும். பூர்ணம் கெட்டியாக இருக்க வேண்டும், விழாமல் இருக்க வேண்டும். 
இந்த நிலைத்தன்மையைப் பெற்ற பிறகு, வெப்பத்தை அணைத்து சிறிது நேரம் ஆற விடவும். பூர்ணம் முழுவதுமாக குளிர்ந்ததும், பூர்ணத்தின் ஒரு பகுதியை எடுத்து நடுத்தர அளவிலான உருண்டைகளாக வடிவமைக்கவும். இந்த செய்முறையில் 16 - 18 பந்துகள் கிடைக்கும். 
ஒரு கிண்ணத்தில் மைதா / அனைத்து வகையான மாவு, அரிசி மாவு, சிட்டிகை உப்பு சேர்த்து தண்ணீர் சேர்த்து அரை தடிமனான மாவை உருவாக்கவும். மாவு சளியாக இருக்கக்கூடாது, அது பூர்ணத்தைப் பூசும் அளவுக்கு தடிமனாக இருக்க வேண்டும். 
ஒரு பூர்ணத்தை எடுத்து, மாவில் நனைத்து, அனைத்து பக்கங்களும் மாவால் நன்றாக மூடப்பட்டிருப்பதை உறுதிசெய்யவும். சுசியத்தை சூடான எண்ணெயில் போட்டு, வெளிப்புறம் வெந்து மொறுமொறுப்பாக மாறும் வரை வதக்கவும். இது ஒரு நிமிடங்களுக்கு மேல் ஆகாது. 
இது மிக விரைவாக வறுக்கப்படுகிறது, எனவே அவற்றைக் கவனியுங்கள். எங்கள் சுசியம் சுவைக்கத் தயாராக உள்ளது. தயவுசெய்து செய்முறையை முயற்சி செய்து உங்கள் கருத்துக்களை எங்களுடன் பகிர்ந்து கொள்ளுங்கள். மகிழ்ச்சியான சமையல், சமையலின் மகிழ்ச்சியைப் பரப்புவோம்.</t>
  </si>
  <si>
    <t>https://blogger.googleusercontent.com/img/b/R29vZ2xl/AVvXsEi45Eu-zE8y7mcBZF0gkS9mt-64rTh1EgYuThqnnhpM78vpcRbFdveGPBboCVnWAHEOuEF2wU7_XJOOyDlBVL7zxFeKM2tdoVVOTNktc8PPkDIQ2_8rzim2EjyD1VzJY88mx0N-6IP6NfcF/s640/Susiyam+sweet+.JPG</t>
  </si>
  <si>
    <t>Aloo Parada</t>
  </si>
  <si>
    <t>ஆலு பராடா</t>
  </si>
  <si>
    <t>2 cup - Wheat flour, 1 tbsp - Oil, 1 cup - water (approximately ), 1/2 tsp - Salt to taste, 3 - Potatoes (medium sized), 1 Tbsp -        Oil, 1 - Onion (finely chopped), 3 - Green Chilies, 1 tsp - Cumin Powder, 1 tsp - Chilli Powder, 1/2 tsp -        Garam Masala Powder, 1/2 tsp -        Amchur Powder (Dry mango Powder),  coriander leaves, Salt to taste.</t>
  </si>
  <si>
    <t>2 கப் - கோதுமை மாவு, 1 டேபிள் ஸ்பூன் - எண்ணெய், 1 கப் - தண்ணீர் (தோராயமாக), 1/2 டேபிள் ஸ்பூன் - ருசிக்க உப்பு, 3 - உருளைக்கிழங்கு (நடுத்தர அளவு), 1 டேபிள் ஸ்பூன் - எண்ணெய், 1 - வெங்காயம் (நறுக்கியது), 3 - பச்சை மிளகாய், 1 டேபிள் ஸ்பூன் - சீரகப் பொடி, 1 டேபிள் ஸ்பூன் - மிளகாய்ப் பொடி, 1/2 டேபிள் ஸ்பூன் - கரம் மசாலா பொடி, 1/2 டேபிள் ஸ்பூன் - ஆம்சூர் பொடி (உலர்ந்த மாம்பழப் பொடி), கொத்தமல்லி இலை, சுவைக்கு உப்பு.</t>
  </si>
  <si>
    <t>In a bowl add 2 cups of wheat flour some salt and also add 1 tbsp of oil. Adding oil makes the parathas soft you can also add ghee. Now after mixing it once gradually add water , little at a time and start kneading to make a soft and a smooth dough. Now cover this and let it rest for minimum 20-30 minutes. Resting period is very important to get soft parathas.   While the dough is resting lets make the inner potato stuffing for that boil 2-3 medium sized potatoes and peel the skin.You can also pressure cook the potatoes for fast action.After peeling the skin mash them very well and keep it aside.   In a pan heat oil and once the oil is nice and hot add 1 finely chopped onion some salt and saute it for a couple of minutes.once the onions are nice and translucent add  chopped green chilies, cumin powder , chili powder, garam masala and also add  amchur powder (is dry mango powder) to get a tangy taste. Mix it once and add the mashed potatoes some finely chopped coriander leaves and mix well until combined.We don’t need to cook longer after mixing everything turn off the heat and allow it to cool for some time.  Take a small portion of the dough and dust it with some flour to prevent sticking.Now after dusting spread it with your fingers or you can also use a rolling pin to spread After spreading take some potato filling and place it at the center and gather all the corners and seal the dough.press it down and sprinkle some more flour on the top so that it will be easy for us to roll. Now with a rolling pin start to spread .Roll it very gently to make a circle of 6-8 cm in diamaeter do not roll the parathas very thin.  Now after rolling in a hot tawa heat some oil and place the paratha and cook over medium heat.Once you get brown spots here and there Flip it to the other side and cook it for another minute or until nicely done.if you want you can spread some oil or ghee on the top.Once you seed nice golden spots on the outside it is done .Take it out from the pan.  Our Delicious Aloo Parathas are ready to be served with some pickle and yogurt. Mashing nicely is very important to get smooth parathas otherwise while rolling, the potatoes chunks will pierce and make holes in the outer layer. In Restaurants they add pomegranate seeds instead of amchur powder to get that taste.Roast the pomegranate seeds for some time and then grind. Do not reduce the amount of  potato stuffing it should be nearly equal to the amount of the outer dough to get good taste.</t>
  </si>
  <si>
    <t>ஒரு பாத்திரத்தில் 2 கப் கோதுமை மாவில் சிறிது உப்பு மற்றும் 1 டேபிள் ஸ்பூன் எண்ணெய் சேர்க்கவும். பராத்தாக்கள் மென்மையாகும், நீங்கள் நெய்யையும் சேர்க்கலாம். இப்போது படிப்படியாக சிறிது சிறிதாக தண்ணீர் சேர்த்து பிசையத் தொடங்குங்கள். இப்போது இதை மூடி வைத்து குறைந்தபட்சம் 20-30 நிமிடங்கள் அப்படியே வைக்கவும். மென்மையான பராத்தாக்கள் பெற ஓய்வு காலம் மிகவும் முக்கியம். மாவு ஓய்வெடுக்கும்போது, ​​உள்ளே இருக்கும் உருளைக்கிழங்கு ஸ்டஃபிங்கைச் செய்து, 2-3 நடுத்தர அளவிலான உருளைக்கிழங்கை வேகவைத்து, தோலை உரிக்கவும். உருளைக்கிழங்கை விரைவாக வேகவைக்க அழுத்தி சமைக்கலாம். தோலை உரித்த பிறகு, அவற்றை நன்றாக மசித்து ஒதுக்கி வைக்கவும். ஒரு கடாயில் எண்ணெயை சூடாக்கி, எண்ணெய் நன்றாகவும் சூடாகவும் வந்ததும், 1 இறுதியாக நறுக்கிய வெங்காயத்தை சிறிது உப்பு சேர்த்து இரண்டு நிமிடங்கள் வதக்கவும். வெங்காயம் நன்றாகவும், தெளிவாகவும் மாறியதும், நறுக்கிய பச்சை மிளகாய், சீரகப் பொடி, மிளகாய்த் தூள், கரம் மசாலா, அம்சூர் பொடி (காய்ந்த மாங்காய்ப் பொடி) சேர்த்து ஒரு காரமான சுவையைப் பெறுங்கள். ஒரு முறை கலந்து, மசித்த உருளைக்கிழங்கில் சிறிது இறுதியாக நறுக்கிய கொத்தமல்லி இலைகளைச் சேர்த்து, நன்கு கலக்கும் வரை நன்கு கலக்கவும். எல்லாம் கலந்த பிறகு அதிக நேரம் சமைக்கத் தேவையில்லை, வெப்பத்தை அணைத்து சிறிது நேரம் ஆற விடவும். மாவின் ஒரு சிறிய பகுதியை எடுத்து, ஒட்டாமல் இருக்க சிறிது மாவைத் தூவவும். இப்போது தூவிய பிறகு, அதை உங்கள் விரல்களால் பரப்பவும் அல்லது ஒரு உருட்டல் முள் பயன்படுத்தி பரப்பவும். விரித்த பிறகு, சிறிது உருளைக்கிழங்கு நிரப்புதலை எடுத்து மையத்தில் வைத்து, அனைத்து மூலைகளையும் சேகரித்து, மாவை மூடவும். அதை அழுத்தி, மேலே சிறிது மாவைத் தூவவும், இதனால் அது உருட்ட எளிதாக இருக்கும். இப்போது ஒரு உருட்டல் முள் கொண்டு பரப்பத் தொடங்குங்கள். 6-8 செ.மீ விட்டம் கொண்ட வட்டத்தை உருவாக்க, பரோட்டாக்களை மிக மெல்லியதாக உருட்ட வேண்டாம். இப்போது சூடான தவாவில் உருட்டிய பிறகு, சிறிது எண்ணெயை சூடாக்கி, பரோட்டாவை வைத்து, மிதமான தீயில் சமைக்கவும். பழுப்பு நிற புள்ளிகள் தோன்றியவுடன், அதை மறுபுறம் திருப்பி, மற்றொரு நிமிடம் அல்லது நன்றாக வேகும் வரை சமைக்கவும். நீங்கள் விரும்பினால், மேலே சிறிது எண்ணெய் அல்லது நெய்யை தடவலாம். வெளிப்புறத்தில் நல்ல தங்க நிற புள்ளிகள் விதைத்தவுடன், அது தயாராக உள்ளது. அதை வாணலியில் இருந்து எடுக்கவும். எங்கள் சுவையான ஆலு பரோட்டாக்கள், சிறிது ஊறுகாய் மற்றும் தயிருடன் பரிமாற தயாராக உள்ளன. மென்மையான பரோட்டாக்களைப் பெற நன்றாக மசிப்பது மிகவும் முக்கியம், இல்லையெனில் உருட்டும்போது உருளைக்கிழங்கு துண்டுகள் துளையிட்டு வெளிப்புற அடுக்கில் துளைகளை உருவாக்கும். உணவகங்களில் அந்த சுவையைப் பெற ஆம்சூர் பொடிக்கு பதிலாக மாதுளை விதைகளைச் சேர்ப்பார்கள். மாதுளை விதைகளை சிறிது நேரம் வறுத்து பின்னர் அரைக்கவும். உருளைக்கிழங்கு நிரப்புதலின் அளவைக் குறைக்க வேண்டாம், நல்ல சுவையைப் பெற அது வெளிப்புற மாவின் அளவிற்கு கிட்டத்தட்ட சமமாக இருக்க வேண்டும்.</t>
  </si>
  <si>
    <t>https://blogger.googleusercontent.com/img/b/R29vZ2xl/AVvXsEhVOISwGtPSD0E8158kS2VEuPNe2lKk2D_bHh2jOw78_MLTVPUeHFw7smpM1HBAABHXOSOFAxLnH2Rv0gM7wWgltAfdxJ2W1s6FHU7qHhql0dDL_eCPHL3XpcxyHhPFfQ6xfDQCkSYS37rq/s640/stuffed+paratha+recipe.JPG</t>
  </si>
  <si>
    <t>https://www.youtube.com/watch?v=25BaBBfbECc</t>
  </si>
  <si>
    <t>Garlic Pickle</t>
  </si>
  <si>
    <t>பூண்டு ஊறுகாய்</t>
  </si>
  <si>
    <t>Pickles</t>
  </si>
  <si>
    <t>1 - cup,  Garlic cloves  (150g ), 1 tbsp -Ginger Garlic paste, 1 tbsp - Chilli powder, 2 tsp - Coriander powder, 1 tsp - Cumin powder,  2 tbsp - Lemon juice or white Vinegar, 1 tsp - Jaggery / vellam or sugar, 1/4 cup- Oil, 10-12 - Curry leaves, 1/4 tsp - Hing / Asafoetida / Kaayam, 1/2 tsp - Turmeric powder, 1/4 tsp - Fenugreek seeds / Venthayam, 1/8 tsp - Mustard seeds / Kadugu, 1 tsp - Salt.</t>
  </si>
  <si>
    <t>1 - கப், பூண்டு பற்கள் (150 கிராம்), 1 டேபிள் ஸ்பூன் - இஞ்சி பூண்டு விழுது, 1 டேபிள் ஸ்பூன் - மிளகாய் தூள், 2 டேபிள் ஸ்பூன் - கொத்தமல்லி தூள், 1 டேபிள் ஸ்பூன் - சீரக தூள், 2 டேபிள் ஸ்பூன் - எலுமிச்சை சாறு அல்லது வெள்ளை வினிகர், 1 டேபிள் ஸ்பூன் - வெல்லம் / வெல்லம் அல்லது சர்க்கரை, 1/4 கப் - எண்ணெய், 10-12 - கறிவேப்பிலை, 1/4 டேபிள் ஸ்பூன் - பெருங்காயம் / காயம், 1/2 டேபிள் ஸ்பூன் - மஞ்சள் தூள், 1/4 டேபிள் ஸ்பூன் - வெந்தயம் / வெந்தயம், 1/8 டேபிள் ஸ்பூன் - கடுகு / கடுக, 1 டேபிள் ஸ்பூன் - உப்பு.</t>
  </si>
  <si>
    <t>Peel the skin of the Garlic and add it to hot water (no need to boil the water). Immediately after adding the garlic turn off the heat and let is soak for 10 minutes. This process softens the garlic and so it stays soft after pickling. After 10 minutes drain any excess water and pat it dry with a cloth or a paper towel.  In a separate bowl combine all the masalas chilli powder, turmeric, cumin, coriander, hing and salt. Keep this aside.  Heat oil in a pan and add mustard seeds, fenugreek seeds and the curry leaves. Then add the finger garlic paste and saute until the raw smell is gone. Be very careful while adding ginger garlic patse it may splutter (cover it with a lid to prevent any spluttering). Then add the spice mix from step 2 and saute it for few seconds. Be careful not to burn the masalas. Make sure the flame is low from start to finish.  Add the blanched garlic pods and mix well with the masalas. Then add lemon juice and jaggery to it and cook it for 2 more minutes. Jaggery is added to balance the sour taste of lemon juice.   After 2 minutes turn off the heat and once the pickle is cooked completely transfer it to clean airtight bottle. Make sure the oil floats on the topa a little bit for extended life.   Our Garlic pickle is ready in no time. It tastes once it is soaked nicely, So allow it to soak for atleast 2 days before serving. There are 2 ways we can prepare this Pickle 1. Fry the garlic cloves in oil for 3-4 minutes and then continue the recipe 2. Blanching, I prefer to blanch the garlic because it makes the cloves soft and remains soft after making pickle.</t>
  </si>
  <si>
    <t>பூண்டை தோலுரித்து சூடான நீரில் சேர்க்கவும் (தண்ணீரை கொதிக்க வைக்க தேவையில்லை). பூண்டு சேர்த்த உடனேயே, அடுப்பை அணைத்து 10 நிமிடங்கள் ஊற வைக்கவும். இந்த செயல்முறை பூண்டை மென்மையாக்குகிறது, இதனால் ஊறுகாய்களுக்குப் பிறகு அது மென்மையாக இருக்கும். 10 நிமிடங்களுக்குப் பிறகு, அதிகப்படியான தண்ணீரை வடிகட்டி, ஒரு துணி அல்லது காகிதத் துண்டைக் கொண்டு உலர வைக்கவும். ஒரு தனி கிண்ணத்தில், மிளகாய்த் தூள், மஞ்சள், சீரகம், கொத்தமல்லி, பெருங்காயம் மற்றும் உப்பு ஆகியவற்றைச் சேர்த்து, அதை தனியாக வைக்கவும். ஒரு கடாயில் எண்ணெயைச் சூடாக்கி, கடுகு, வெந்தயம் மற்றும் கறிவேப்பிலை ஆகியவற்றைச் சேர்க்கவும். பின்னர் பூண்டு விழுதைச் சேர்த்து, பச்சை வாசனை போகும் வரை வதக்கவும். இஞ்சி பூண்டு விழுது சேர்க்கும்போது மிகவும் கவனமாக இருங்கள், அது சிதறக்கூடும் (சிதறுவதைத் தடுக்க ஒரு மூடியால் மூடி வைக்கவும்). பின்னர் படி 2 இல் உள்ள மசாலா கலவையைச் சேர்த்து சில நொடிகள் வதக்கவும். மசாலாக்கள் எரியாமல் கவனமாக இருங்கள். தொடக்கத்திலிருந்து இறுதி வரை தீ குறைவாக இருப்பதை உறுதிப்படுத்திக் கொள்ளுங்கள். வெள்ளை பூண்டு காய்களைச் சேர்த்து, மசாலாக்களுடன் நன்கு கலக்கவும். பின்னர் அதில் எலுமிச்சை சாறு மற்றும் வெல்லம் சேர்த்து மேலும் 2 நிமிடங்கள் சமைக்கவும். எலுமிச்சை சாற்றின் புளிப்புச் சுவையை சமப்படுத்த வெல்லம் சேர்க்கப்படுகிறது. 2 நிமிடங்களுக்குப் பிறகு, வெப்பத்தை அணைத்து, ஊறுகாய் முழுமையாக சமைத்தவுடன், அதை சுத்தமான காற்று புகாத பாட்டிலுக்கு மாற்றவும். எண்ணெய் நீண்ட நேரம் தோப்பாவில் மிதப்பதை உறுதி செய்து கொள்ளுங்கள். எங்கள் பூண்டு ஊறுகாய் சிறிது நேரத்தில் தயாராகிவிடும். நன்றாக ஊறவைத்தவுடன் சுவையாக இருக்கும், எனவே பரிமாறுவதற்கு முன் குறைந்தது 2 நாட்கள் ஊற வைக்கவும். இந்த ஊறுகாயை தயாரிக்க 2 வழிகள் உள்ளன 1. பூண்டு பற்களை எண்ணெயில் 3-4 நிமிடங்கள் வறுக்கவும், பின்னர் செய்முறையைத் தொடரவும் 2. வெண்மையாக்குதல், நான் பூண்டை வெண்மையாக்க விரும்புகிறேன், ஏனெனில் அது கிராம்புகளை மென்மையாக்குகிறது மற்றும் ஊறுகாய் செய்த பிறகு மென்மையாக இருக்கும்.</t>
  </si>
  <si>
    <t>https://blogger.googleusercontent.com/img/b/R29vZ2xl/AVvXsEiNooloq86r_KO3icJ7bjZI0ntK3_bNJUiCE62Bdb5X5RNTFPhqAJc-VCzH6EIXgFh6cms5bbcQ2xn1_VUUtvUnDHpWR2iy5yA16Cj4EAXccnayBj-QvELdm1l2jUTubIgNoAoeiil7kGPw/s640/Garlic+pickle+recipe.jpg</t>
  </si>
  <si>
    <t>Bisi Bele Bath  / Sambar Sadam</t>
  </si>
  <si>
    <t>பிசி பேலே பாத் / சாம்பார் சாதம்</t>
  </si>
  <si>
    <t>3/4 cup - Rice, 1/2 cup - Thoor Dal, 4 cup - Wate, 1 tsp - Oil, 1 tbsp - Chana Dal, 1 tbsp - Coriander Seeds, 2 tsp - Pepper corns, 1 tsp - Urad Dal / Ulunthu, 1 tsp - cumin seeds, 1 tsp - Fennel Seeds, 4 - Dry red chilies, 5 - Kashmiri Chili, 2 - Tbsp Grated Coconut, 1 tbsp - of oil, ½ tsp - turmeric powder, 1/4 tsp - Asafoetidar, 2 - Green Chilies, 10-12 - Shallots, 4 cup - mixed Vegetables, 2 - Tomatoes, 2 - cup Water, 2 - Green Chilies, Salt to taste, 2 tbsp - Ghee, 10-15 - Cashew nuts, 1/8 tsp - Fenugreek seeds, 1/8 tsp - Mustard Seeds, 3 - Dry red chilies, Curry leaves, Coriander leaves.</t>
  </si>
  <si>
    <t>3/4 கப் - அரிசி, 1/2 கப் - துவரம்பருப்பு, 4 கப் - வேல், 1 தேக்கரண்டி - எண்ணெய், 1 தேக்கரண்டி - கடலை பருப்பு, 1 தேக்கரண்டி - கொத்தமல்லி விதைகள், 2 தேக்கரண்டி - மிளகு, 1 தேக்கரண்டி - உளுந்து / உளுந்து, 1 தேக்கரண்டி - சீரகம், 1 தேக்கரண்டி - வெந்தயம் விதைகள், 4 - உலர்ந்த சிவப்பு மிளகாய், 5 - காஷ்மீரி மிளகாய், 2 - தேக்கரண்டி துருவிய தேங்காய், 1 தேக்கரண்டி - எண்ணெய், ½ தேக்கரண்டி - மஞ்சள் தூள், 1/4 தேக்கரண்டி - பெருங்காயம், 2 - பச்சை மிளகாய், 10-12 - வெங்காயத்தாள், 4 கப் - காய்கறிகள், 2 - தக்காளி, 2 - கப் தண்ணீர், 2 - பச்சை மிளகாய், ருசிக்கேற்ப உப்பு, 2 தேக்கரண்டி - நெய், 10-15 - முந்திரி பருப்பு, 1/8 தேக்கரண்டி - வெந்தயம் விதைகள், 1/8 தேக்கரண்டி - கடுகு விதைகள், 3 - காய்ந்த மிளகாய், கறிவேப்பிலை, கொத்தமல்லி இலை.</t>
  </si>
  <si>
    <t>In a pressure cooker add rice and dal (wash it in water for a couple of times) . 
Add 4 cups of water to the rice and cook it for 4 whistles .We need to add more water to cook the rice because the rice needs to be cooked fully and it should be a little mushy. I like my sambar sadam to be mushy, if you want the rice to be more visible then reduce the cooking time. Heat a tsp of oil and add Chana dal, urad dal, coriander seeds, cumin seeds, pepper corns, fennel seeds, dry red chilies , kashmiri chilies to get nice color and roast it for few seconds. 
Then add grated coconut and saute it until coconut changes golden. Allow the mixture to cool completely and grind it to a very smooth powder. If you are using sambar powder then use 4 tbsp of sambar powder. 
You can add any vegetables of your choice, i have used carrots, beans, brinjal, drumstick, potato, Cucumber, fresh peas.In order to prevent discoloration drop the vegetables in cold water immediately after cutting the vegetables (except to tomatoes). In a big pan heat oil and add turmeric powder and asafoetida, give it a stir and then add green chilies and shallots. shallots plays an important role in sambar sadam it give an unique and good taste to the recipe.
After mixing it once add the vegetables , tomatoes and peas. Add the freshly ground sambar powder , water , little bit of salt and cook until the vegetables are fully cooked. 
Once the vegetables are 100 % done add tamarind juice. Soak a gooseberry size tamarind in water for 10 minutes and extract the juice. also add required salt and then add the cooked rice and dal. Mix it well to get rid of any lumps. Cover and cook it for another 5 minutes. Sambar samdam is incomplete without tempering so first melt ghee in a pan and add the cashews roast it until it changes golden. Take it off from the ghee and keep it aside. 
Now in the same pan add fenugreek and mustard seeds, dry red chilies and curry leaves. mix it once and turn off the haet. Add the cashews, tempering and coriander leaves to the prepared sambar rice and mix well. Our Delicious sambar sadam is ready to be served. It tastes awesome with a side of chips or fryums and also with raitha. 
This recipe is very famous in every household in south India especially in the states of  Andra Pradesh and Tamil Nadu.</t>
  </si>
  <si>
    <t>ஒரு பிரஷர் குக்கரில் அரிசி மற்றும் பருப்பைச் சேர்க்கவும் (இரண்டு முறை தண்ணீரில் கழுவவும்). 
அரிசியுடன் 4 கப் தண்ணீர் சேர்த்து 4 விசில் வரும் வரை சமைக்கவும். அரிசி முழுவதுமாக வேக வேண்டும், சிறிது மிருதுவாக இருக்க வேண்டும் என்பதால், அரிசியை சமைக்க அதிக தண்ணீர் சேர்க்க வேண்டும். எனக்கு சாம்பார் சாதம் மிருதுவாக இருப்பது பிடிக்கும், அரிசி அதிகமாகத் தெரிய வேண்டுமென்றால், சமைக்கும் நேரத்தைக் குறைக்கவும். 
ஒரு டீஸ்பூன் எண்ணெயைச் சூடாக்கி, கடலைப்பருப்பு, உளுத்தம்பருப்பு, கொத்தமல்லி விதைகள், சீரகம், மிளகு சோளம், பெருஞ்சீரகம், உலர்ந்த மிருதுவான மிளகாய், காஷ்மீர் மிருதுவாக்கி, நல்ல நிறம் வர சில நொடிகள் வறுக்கவும். பின்னர் துருவிய தேங்காயைச் சேர்த்து தேங்காய் பொன்னிறமாகும் வரை வதக்கவும். 
கலவை முழுவதுமாக ஆறவிட்டு, மிகவும் மென்மையான பொடியாக அரைக்கவும். நீங்கள் சாம்பார் பொடியைப் பயன்படுத்துகிறீர்கள் என்றால், 4 டீஸ்பூன் சாம்பார் பொடியைப் பயன்படுத்தவும். 
உங்களுக்குப் பிடித்த காய்கறிகளைச் சேர்க்கலாம், நான் கேரட், பீன்ஸ், கத்திரிக்காய், முருங்கைக்காய், உருளைக்கிழங்கு, வெள்ளரிக்காய், புதிய பட்டாணி ஆகியவற்றைப் பயன்படுத்தியுள்ளேன். 
காய்கறிகளை நறுக்கிய உடனேயே குளிர்ந்த நீரில் (தக்காளி தவிர) போட்டு, நிறமாற்றத்தைத் தடுக்கவும். 
ஒரு பெரிய வாணலியில் எண்ணெயைச் சூடாக்கி, மஞ்சள் தூள் மற்றும் பெருங்காயம் சேர்த்து, கிளறி, பின்னர் பச்சை மிளகாய் மற்றும் வெங்காயத்தைச் சேர்க்கவும். 
சாம்பார் சாதத்தில் வெங்காயம் முக்கிய பங்கு வகிக்கிறது, இது செய்முறைக்கு ஒரு தனித்துவமான மற்றும் நல்ல சுவையைத் தருகிறது. ஒருமுறை கலந்த பிறகு, காய்கறிகள், தக்காளி மற்றும் பட்டாணி சேர்க்கவும். புதிதாக அரைத்த சாம்பார் பொடி, தண்ணீர், சிறிது உப்பு சேர்த்து காய்கறிகள் முழுமையாக வேகும் வரை சமைக்கவும். காய்கறிகள் 100% தயாரானதும், புளி சாறு சேர்க்கவும். 
ஒரு நெல்லிக்காய் அளவு புளியை தண்ணீரில் 10 நிமிடங்கள் ஊறவைத்து சாற்றைப் பிழிந்து எடுக்கவும். தேவையான உப்பு சேர்த்து, பின்னர் சமைத்த அரிசி மற்றும் பருப்பைச் சேர்க்கவும். 
கட்டிகள் நீங்க நன்கு கலக்கவும். மூடி வைத்து மேலும் 5 நிமிடங்கள் சமைக்கவும். 
சாம்பார் சாதம் பதப்படுத்தாமல் முழுமையடையாது, எனவே முதலில் ஒரு கடாயில் நெய்யை உருக்கி முந்திரி சேர்த்து பொன்னிறமாகும் வரை வறுக்கவும். நெய்யிலிருந்து எடுத்து தனியாக வைக்கவும். 
இப்போது அதே கடாயில் வெந்தயம் மற்றும் கடுகு, காய்ந்த மிளகாய் மற்றும் கறிவேப்பிலை சேர்த்து ஒரு முறை கலந்து, அடுப்பை அணைக்கவும். முந்திரி, தாளிக்கல் மற்றும் கொத்தமல்லி இலைகளை தயாரிக்கப்பட்ட சாம்பார் சாதத்தில் சேர்த்து நன்கு கலக்கவும். 
எங்கள் சுவையான சாம்பார் சாதம் பரிமாற தயாராக உள்ளது. இது சிப்ஸ் அல்லது ஃப்ரையம் மற்றும் ரைத்தாவுடன் பரிமாற அருமையாக இருக்கும். இந்த ரெசிபி தென்னிந்தியாவில் உள்ள ஒவ்வொரு வீட்டிலும், குறிப்பாக ஆந்திரா மற்றும் தமிழ்நாடு மாநிலங்களில் மிகவும் பிரபலமானது.</t>
  </si>
  <si>
    <t>https://blogger.googleusercontent.com/img/b/R29vZ2xl/AVvXsEg92OtvtGlwqUzR9uzfAvQu4uEyvF8uYy6T9Oh6lNZqslA_9pl_Mdz_mbMIYS3VaN3CkPQB6PUpaSTyhx3oV6RYsu5QK4VGZuRK099FVQiiZlgKZVRIPhazIrnOSgysLRy-kKYYed0udhXM/s640/how+to+make+sambar+sadam.JPG</t>
  </si>
  <si>
    <t>Chicken Vindaloo</t>
  </si>
  <si>
    <t>சிக்கன் விண்டலூ</t>
  </si>
  <si>
    <t>Chapatis Gravy</t>
  </si>
  <si>
    <t>10 -  Kashmiri chilies, 3  - cardamom, 6 - cloves, 1 - tsp cumin, 1 - tsp coriander seeds, 1 - tsp pepper corns, 5 - cloves of garlic, 1/4 tsp - Turmeric Powder, 2 inch - of ginger, 3 tbsp - of vinegar, 1 - onion, 3 Tbsp - Vinegar, 1/2 kg - chicken, 2 - Bay leaves, 1 - cinnamon stick, 1 tbsp - oil, Required water, small piece of jaggery or sugar, Salt to taste.</t>
  </si>
  <si>
    <t>10 - காஷ்மீரி மிளகாய், 3 - ஏலக்காய், 6 - கிராம்பு, 1 - தேக்கரண்டி சீரகம், 1 - தேக்கரண்டி கொத்தமல்லி விதைகள், 1 - தேக்கரண்டி மிளகு, 5 - பூண்டு பல், 1/4 தேக்கரண்டி - மஞ்சள் தூள், 2 அங்குலம் - இஞ்சி, 3 தேக்கரண்டி - வினிகர், 1 - வெங்காயம், 3 தேக்கரண்டி - வினிகர், 1/2 கிலோ - சிக்கன், 2 - பிரியாணி இலைகள், 1 - இலவங்கப்பட்டை குச்சி, 1 தேக்கரண்டி - எண்ணெய், தேவையான தண்ணீர், சிறிய துண்டு வெல்லம் அல்லது சர்க்கரை, சுவைக்கேற்ப உப்பு.</t>
  </si>
  <si>
    <t>Lets start with making a special marinade for our chicken, In a blender add 10 Kashmiri chilies (Kashmiri chilies imparts nice bring  red color to the recipe and at the same time they are less spicy) if you are using regular red chilies then reduce the amount of chilies to 6,add coriander seeds , cardamom, Cloves, cumin seeds, pepper corns ,garlic ,ginger, vinegar, turmeric powder, onion and grind it to a smooth paste. in a bowl add the chicken pieces with bones (medium sized pieces, do not cut too small), add salt and coat the pieces nicely with the masala mixture and set it aside and let it marinate for minimum 20 -30 minutes. Heat oil in a pan and add bay leaves and cinnamon stick. 
Give it a stir and add the marinated chicken pieces and cook for 2 minutes. 
After 2 minutes add enough water , salt and mix well. Let it cook for 15-20 minutes on a medium heat. Finally add a small piece of Jaggery or a tsp of sugar to balance the taste. 
This is purely optional. You can skip if you dont like the taste of Jaggey. Since we have added vinegar i have skipped tomatoes, because the sourness to the curry will be given by vinegar, if we add Tomatoes then the curry will become too sour . 
Our Chicken Vindaloo is ready to be served with any of your favorite dishes. 
This curry tastes so good when consumed after 2-3 hours of resting. The chicken will absorb all the flavors from the curry and will have a wonderful taste. 
Use big or medium sized pieces for the curry otherwise the chicken will become too hard. Spread the Joy of cooking.</t>
  </si>
  <si>
    <t>நம் கோழிக்கறிக்கு ஒரு ஸ்பெஷல் மாரினேட் செய்வதன் மூலம் ஆரம்பிக்கலாம், ஒரு பிளெண்டரில் 10 காஷ்மீரி மிளகாய்களைச் சேர்க்கவும் (காஷ்மீரி மிளகாய் செய்முறைக்கு சிவப்பு நிறத்தை சேர்க்கிறது, அதே நேரத்தில் அவை குறைந்த காரமானவை). 
நீங்கள் வழக்கமான சிவப்பு மிளகாயைப் பயன்படுத்துகிறீர்கள் என்றால், மிளகாயின் அளவை 6 ஆகக் குறைத்து, கொத்தமல்லி விதைகள், ஏலக்காய், கிராம்பு, சீரகம், மிளகு, பூண்டு, இஞ்சி, வினிகர், மஞ்சள் தூள், வெங்காயம் ஆகியவற்றைச் சேர்த்து, மென்மையான பேஸ்டாக அரைக்கவும். ஒரு பாத்திரத்தில் கோழி துண்டுகளை எலும்புகளுடன் சேர்த்து (நடுத்தர அளவிலான துண்டுகள், பெரிதாக வெட்ட வேண்டாம்), உப்பு சேர்த்து, துண்டுகளின் மீது மசாலா கலவையுடன் நன்றாக பூசி, அதை ஒதுக்கி வைத்து, குறைந்தபட்சம் 20-30 நிமிடங்கள் மாரினேட் செய்யவும். 
ஒரு கடாயில் எண்ணெயை சூடாக்கி, வளைகுடா இலைகள் மற்றும் இலவங்கப்பட்டை குச்சியைச் சேர்க்கவும். அதைக் கிளறி, மரினேட் செய்த கோழி துண்டுகளைச் சேர்த்து 2 நிமிடங்கள் சமைக்கவும். 
2 நிமிடங்களுக்குப் பிறகு போதுமான தண்ணீர், உப்பு சேர்த்து நன்கு கலக்கவும். மிதமான தீயில் 15-20 நிமிடங்கள் சமைக்கவும். 
கடைசியாக ஒரு சிறிய துண்டு வெல்லம் அல்லது ஒரு தேக்கரண்டி சர்க்கரை சேர்த்து சுவையை சமப்படுத்துங்கள். இது முற்றிலும் விருப்பமானது. ஜாகியின் சுவை உங்களுக்குப் பிடிக்கவில்லை என்றால் நீங்கள் தவிர்க்கலாம். 
நாங்கள் வினிகரைச் சேர்த்திருப்பதால், நான் தக்காளியைத் தவிர்த்துவிட்டேன், ஏனெனில் கறியில் புளிப்பு வினிகரால் கிடைக்கும், தக்காளியைச் சேர்த்தால் கறி மிகவும் புளிப்பாகிவிடும். எங்கள் சிக்கன் விண்டலூ உங்களுக்குப் பிடித்த எந்த உணவுகளுடனும் பரிமாற தயாராக உள்ளது. 2-3 மணி நேரம் ஓய்வெடுத்த பிறகு இந்த கறியை சாப்பிடும்போது மிகவும் சுவையாக இருக்கும். 
சிக்கன் கறியின் அனைத்து சுவைகளையும் உறிஞ்சி அற்புதமான சுவையுடன் இருக்கும். கறிக்கு பெரிய அல்லது நடுத்தர அளவிலான துண்டுகளைப் பயன்படுத்துங்கள், இல்லையெனில் சிக்கன் மிகவும் கடினமாகிவிடும். சமையலின் மகிழ்ச்சியைப் பரப்புங்கள்.</t>
  </si>
  <si>
    <t>https://blogger.googleusercontent.com/img/b/R29vZ2xl/AVvXsEjP2udQiNGrugeT4HmeN85opJSD9uyoMhhEIDtyepsa7F-Hx8iLqsrGPUN2D2PTd7mB2kSAR1G3l6AFjfJCUKpSRyHlhdFfSZr2KoPiIR3zp7ocJKWxiTbi4TZfnj3kV3jaJT7vlG_Y7h5c/s640/Chicken+Vindaloo+Recipe.JPG</t>
  </si>
  <si>
    <t>Onion Tomato Chutney</t>
  </si>
  <si>
    <t>வெங்காய தக்காளி சட்னி</t>
  </si>
  <si>
    <t>Chutney</t>
  </si>
  <si>
    <t>2 tbsp - Oil, 2 tsp - Urad Dal, 2 - Onions, 2 - Tomatoes, 4-5 - Dry red chilies, 2- cloves Garlic, 1 - strand Coriander leaf, Salt to Taste, 1 tsp - Oil, 1/4 tsp - Mustard seeds, 2 - Dry red chilies, 1 Tbsp - Roasted Channa Dal, 1 - strand Curry leaves, Curry Leaves.</t>
  </si>
  <si>
    <t>2 டேபிள் ஸ்பூன் - எண்ணெய், 2 டேபிள் ஸ்பூன் - உளுத்தம் பருப்பு, 2 - வெங்காயம், 2 - தக்காளி, 4-5 - உலர்ந்த சிவப்பு மிளகாய், 2- பல் பூண்டு, 1 - கொத்தமல்லி இலை, ருசிக்க உப்பு, 1 டேபிள் ஸ்பூன் - எண்ணெய், 1/4 டேபிள் ஸ்பூன் - கடுகு, 2 - உலர்ந்த சிவப்பு மிளகாய், 1 டேபிள் ஸ்பூன் - வறுத்த சன்னா பருப்பு, 1 - கறிவேப்பிலை,</t>
  </si>
  <si>
    <t>Heat Oil in a kadai and once the oil is hot add urad dal / ulunthu and saute until it turns golden. Then add dry red chilies. onions , salt and saute it until the onions turns translucent. Once the onions turns translucent add a small piece of tamarind and also add garlic.  Add the chopped tomatoes and cook until the tomatoes soften and the raw smell is gone.Once done add some coriander leaves and turn off the heat. Let it cool completely.  Once cooled add it to a blender and grid it to a smooth paste. No chutney is complete without tempering so to temper heat a tsp of oil and add mustard seeds, once the seeds pops out add dry red chilies and curry leaves. mix once and turn off the heat. Add the tempering on to the chutney and mix. That's it our Onion Tomato Chutney is ready in no time. This is an excellent combination with dosa, Idli and Kara paniyaram. You can adjust the spiciness according to your taste preference.This is the most popular chutney in the households of Tamil Nadu. Please do try this kara Chutney recipe and share your feedback .Happy Cooking .</t>
  </si>
  <si>
    <t>ஒரு கடாயில் எண்ணெயை சூடாக்கி, எண்ணெய் சூடானதும் உளுத்தம் பருப்பு / உளுந்து சேர்த்து பொன்னிறமாகும் வரை வதக்கவும். பின்னர் உலர்ந்த சிவப்பு மிளகாய், உப்பு சேர்த்து வெங்காயம் தெளிவாகும் வரை வதக்கவும். வெங்காயம் தெளிவாகும் போது ஒரு சிறிய துண்டு புளி மற்றும் பூண்டு சேர்க்கவும். நறுக்கிய தக்காளியைச் சேர்த்து தக்காளி மென்மையாகும் வரை மற்றும் பச்சை வாசனை போகும் வரை வதக்கவும். முடிந்ததும் சிறிது கொத்தமல்லி இலைகளைச் சேர்த்து தீயை அணைக்கவும். முழுமையாக ஆற விடவும். ஆறியதும், ஒரு பிளெண்டரில் சேர்த்து, மென்மையான பேஸ்டாக அரைக்கவும். எந்த சட்னியும் பதப்படுத்தாமல் முழுமையடையாது, எனவே ஒரு தேக்கரண்டி எண்ணெயைச் சூடாக்கி, கடுகு விதைகளைச் சேர்க்கவும், விதைகள் வெளியே வந்தவுடன் உலர்ந்த சிவப்பு மிளகாய் மற்றும் கறிவேப்பிலை சேர்க்கவும். ஒரு முறை கலந்து அடுப்பை அணைக்கவும். பதப்படுத்தலை சட்னியில் சேர்த்து கலக்கவும். அவ்வளவுதான், எங்கள் வெங்காய தக்காளி சட்னி சிறிது நேரத்தில் தயாராகிவிடும். இது தோசை, இட்லி மற்றும் கரகாட்டம் ஆகியவற்றுடன் ஒரு சிறந்த கலவையாகும். உங்கள் விருப்பத்திற்கு ஏற்ப காரத்தை சரிசெய்யலாம். இது தமிழ்நாட்டின் வீடுகளில் மிகவும் பிரபலமான சட்னி. தயவுசெய்து இந்த காரா சட்னி செய்முறையை முயற்சி செய்து உங்கள் கருத்துகளைப் பகிர்ந்து கொள்ளுங்கள். இனிய சமையல்.</t>
  </si>
  <si>
    <t>https://blogger.googleusercontent.com/img/b/R29vZ2xl/AVvXsEhjL0ZXQr9YWd1OfjdS4XzSt1pyGgz_l-npXrUN0kqXZMh1_LEwr5AMq7ZYE8LM8jeKP4IHY3dqqdcnr40Z5oPnHNwXITmqk5vEmylfrdgge32SId3zWhGXZDVjn3poxWfDlnIMtDm6F-e3/s640/Kara+Chutney+in+Tamil.JPG</t>
  </si>
  <si>
    <t>https://youtu.be/itrTCAu9eKU</t>
  </si>
  <si>
    <t>Chicken Gravy</t>
  </si>
  <si>
    <t>சிக்கன் கிரேவி</t>
  </si>
  <si>
    <t>3/4 kg - Chicken, 3 Tbsp - Oil, 1 - Cinnamon stick, 3 - Cloves, 3 - Cardamom pods, 2 - large Onions, 1 - tbsp Ginger Garlic paste, 1/4 tsp - Turmeric Powder, 1 tsp - Cumin powder, 1 tsp - Garam masala Powder, 1 tbsp - Red Chillie powder, 2 - Tomatoes, 1 - cup Water, salt to taste, coriander leaves for garnishing.</t>
  </si>
  <si>
    <t>3/4 கிலோ - சிக்கன், 3 டேபிள்ஸ்பூன் - எண்ணெய், 1 - இலவங்கப்பட்டை குச்சி, 3 - கிராம்பு, 3 - ஏலக்காய் காய்கள், 2 - பெரிய வெங்காயம், 1 - டேபிள்ஸ்பூன் இஞ்சி பூண்டு விழுது, 1/4 டேபிள்ஸ்பூன் - மஞ்சள் தூள், 1 டேபிள்ஸ்பூன் - சீரகப் பொடி, 1 டேபிள்ஸ்பூன் - கரம் மசாலா பொடி, 1 டேபிள்ஸ்பூன் - சிவப்பு மிளகாய் பொடி, 2 - தக்காளி, 1 - கப் தண்ணீர், ருசிக்க உப்பு, கொத்தமல்லி இலைகளை அலங்கரிக்கவும்.</t>
  </si>
  <si>
    <t>Heat oil in a pan and add the whole spices cinnamon, cardamom and cloves, whole spices gives nice awesome flavor to the recipe.
Then add the chopped onions, some salt and saute until the onions are nice and golden.   Once the onions are golden add the masalas turmeric powder, ginger garlic paste, cumin powder, Garam masala powder, coriander powder and red chili powder. 
Mix it once and immediately add the tomatoes.Add a little bit of water to prevent the masalas from burning and cook until the tomatoes turns into a paste. It is very important to cook until paste to get nice smooth gravy, otherwise you can grind the mixture and add it to the pan.   
Once the tomatoes are nice and soft add the chicken pieces ,salt and required water. Mix it well, cover and cook it for 15-20 minutes or until the chicken is fully done.   Once the gravy thickens and chicken is cooked thoroughly add a handful of coriander leaves for garnishing and turn off the heat.   
Our delicious chicken gravy is ready to be served. You can always adjust the consistency according to your preference.If you want a lighter gravy then add a little extra water and make it light.This recipe is very easy to make that's why its my favorite recipe of all time. It is a good accompany for many dishes like Chapathi, roti, Idli, Dosa and even with rice.Please give this simple chicken gravy a try and share your feedback.</t>
  </si>
  <si>
    <t>ஒரு கடாயில் எண்ணெயை சூடாக்கி, முழு மசாலாப் பொருட்களையும் இலவங்கப்பட்டை, ஏலக்காய் மற்றும் கிராம்புகளைச் சேர்க்கவும், முழு மசாலாப் பொருட்களும் செய்முறைக்கு ஒரு அற்புதமான சுவையைத் தரும். பின்னர் நறுக்கிய வெங்காயம், சிறிது உப்பு சேர்த்து வெங்காயம் நன்றாகவும் பொன்னிறமாகவும் மாறும் வரை வதக்கவும். வெங்காயம் பொன்னிறமாக மாறியதும் மசாலாக்கள் மஞ்சள் தூள், இஞ்சி பூண்டு விழுது, சீரகப் பொடி, கரம் மசாலா பொடி, கொத்தமல்லி பொடி மற்றும் சிவப்பு மிளகாய் பொடியைச் சேர்க்கவும். 
ஒரு முறை கலந்து உடனடியாக தக்காளியைச் சேர்க்கவும். மசாலா எரியாமல் இருக்க சிறிது தண்ணீர் சேர்த்து, தக்காளி ஒரு பேஸ்டாக மாறும் வரை சமைக்கவும். நல்ல மென்மையான கிரேவி கிடைக்கும் வரை சமைக்க வேண்டியது மிகவும் முக்கியம், இல்லையெனில் நீங்கள் கலவையை அரைத்து வாணலியில் சேர்க்கலாம். 
தக்காளி நன்றாகவும் மென்மையாகவும் ஆனதும் சிக்கன் துண்டுகள், உப்பு மற்றும் தேவையான தண்ணீர் சேர்த்து நன்கு கலக்கவும். அதை நன்றாக கலந்து, மூடி வைத்து 15-20 நிமிடங்கள் அல்லது சிக்கன் முழுவதுமாக வேகும் வரை சமைக்கவும். 
கிரேவி கெட்டியாகி சிக்கன் நன்கு வெந்ததும் அலங்கரிக்க ஒரு கைப்பிடி கொத்தமல்லி இலைகளைச் சேர்த்து அடுப்பை அணைக்கவும். எங்கள் சுவையான சிக்கன் கிரேவி பரிமாற தயாராக உள்ளது. 
உங்கள் விருப்பத்திற்கு ஏற்ப எப்போதும் நிலைத்தன்மையை சரிசெய்யலாம். நீங்கள் இலகுவான கிரேவி விரும்பினால், சிறிது கூடுதல் தண்ணீரைச் சேர்த்து லேசாகச் செய்யுங்கள். 
இந்த ரெசிபி செய்வது மிகவும் எளிதானது, அதனால்தான் இது எல்லா நேரத்திலும் எனக்குப் பிடித்த ரெசிபி. இது சப்பாத்தி, ரொட்டி, இட்லி, தோசை போன்ற பல உணவுகளுக்கு ஒரு நல்ல துணையாகும், மேலும் சாதத்துடன் கூட. 
தயவுசெய்து இந்த எளிய சிக்கன் கிரேவியை முயற்சி செய்து உங்கள் கருத்தைப் பகிர்ந்து கொள்ளுங்கள்.</t>
  </si>
  <si>
    <t>https://blogger.googleusercontent.com/img/b/R29vZ2xl/AVvXsEhesaRYFAseaksuc5tODqRITXvxWJ-4_EQUd75EfIlEHwosf8tP8bCAtoyGC3uAjUxD6OQDEv7z0IbyoIstLsVYN2T3eClZwWcU297KtBbO_YkLtQpe-0LLUgXYHfew7AtYKfayY3qIucsl/s640/Chicken+Gravy+Recipe.jpg</t>
  </si>
  <si>
    <t>Plum Cake</t>
  </si>
  <si>
    <t>பிளம் கேக்</t>
  </si>
  <si>
    <t>1.5 cup - Black Raisins, 1 cup -  Cherry, 1 cup - Fruit mix or Tutti frutti, 1 cup - Mixed Nuts (cashews, almonds, walnuts), 2 Cup - Grape Juice or Rum, 1/2 cup - Sugar, 1/4 cup - Water, 1/2 cup - Boiling Water, 1 inch - Cinnamon, 4 - Cloves, 3 - Cardamom, 2 cup - All purpose flour / Maida, 2 cup - Sugar, 1 cup - Melted Butter, 5 - Eggs, 1 tsp - Baking powder, 1/2 tsp - Baking Soda, 1/2 tsp - Salt, 1 tbsp - Vanilla extract.</t>
  </si>
  <si>
    <t>1.5 கப் - கருப்பு திராட்சை, 1 கப் - செர்ரி, 1 கப் - பழ கலவை அல்லது டுட்டி ஃப்ருட்டி, 1 கப் - கலப்பு கொட்டைகள் (முந்திரி, பாதாம், வால்நட்ஸ்), 2 கப் - திராட்சை சாறு அல்லது ரம், 1/2 கப் - சர்க்கரை, 1/4 கப் - தண்ணீர், 1/2 கப் - கொதிக்கும் நீர், 1 அங்குலம் - இலவங்கப்பட்டை, 4 - கிராம்பு, 3 - ஏலக்காய், 2 கப் - அனைத்து பயன்பாட்டு மாவு / மைதா, 2 கப் - சர்க்கரை, 1 கப் - உருகிய வெண்ணெய், 5 - முட்டை, 1 தேக்கரண்டி - பேக்கிங் பவுடர், 1/2 தேக்கரண்டி - பேக்கிங் சோடா, 1/2 தேக்கரண்டி - உப்பு, 1 தேக்கரண்டி - வெண்ணிலா சாறு.</t>
  </si>
  <si>
    <t>Soak raisins, cherry, Tutti frutti and nuts in grape juice.Add grape juice until the fruits and nuts are fully immersed. 
2 cups of juice will be sufficient , if you are using rum then add 2 cups of rum. Cover and let it soak for minimum 1 day to maximum for a month.
I soaked everything for 2 days.  This is how it looks after 2 days, raisins are nicely soaked and most of the juice is absorbed by the dry fruits . If you want to make the cake instantly then boil the dry fruits and the nuts along with the juice for 3-4 minutes and let it cool completely and then add it to the cake batter.   After two days of soaking lets start making the plum cake by caramelizing the sugar. We need to caramelize the sugar to get nice brown color or you can also add brown sugar instead. Heat 1/2 cup of sugar with 1/4 cup of water and boil it until it gets nice dark brown color( amber color) . 
Once you get brown color add 1/2 cup of boiling water to it and stir well, after mixing turn off the heat and keep it aside.Let it cool completely.   Yes we need to add some spices for the plum cake recipe.In a blender add cinnamon stick, cloves, cardamom and also add some sugar to it and grind it to a fine powder. Refer note: 6 for the reason behind adding sugar. 
You can also use powdered spices if you have.  In a large mixing bowl add eggs , melted butter , sugar and the powder sugar+spice and mix well. Butter should be in room temperature . 
If added hot then the eggs will cook so add the butter once it is completely cooled.  Next add All purpose flour / Maida to the wet ingredients and also add baking powder, baking soda, salt and mix well. I added everything in the same bowl, you can mix the dry ingredients separately in a bowl and then add it to the egg batter.  After mixing add the caramelized sugar and vanilla extract. 
make sure the sugar syrup is at room temperature, if it is hot then it will react with baking soda immediately. so make sure to cool the syrup completely before adding.  Finally add the soaked friuts and nuts along with the juice. Do not drain the juice completely we need some juice in the batter to get nice taste. 
I added most of the juice only 1/4 cup of juice is left. The Cake batter should not be very thick it should be slightly thicker than pouring consistency .   
After combining all the ingredients transfer it to a baking pan. I have used one 10 inch pan and greased the sides with butter and lined with a parchment paper. 
If you don't have 10 inch pan the use 2 medium sized pan and bake it for 40-50 minutes.  Preheat the oven to 350 Fahrenheit or 180 Celsius  Bake for 70-80 minutes ( for 10 inch pan)  40-50 minutes if you use 2 medium sized pan.  Check the cake by inserting a tooth pick. if it comes out clean then our cake is perfectly baked. 
I baked the caked for exactly 75 minutes @ 350 F ie) 1 hour and 15 minutes.</t>
  </si>
  <si>
    <t>திராட்சை, செர்ரி, டுட்டி ஃப்ருட்டி மற்றும் கொட்டைகளை திராட்சை சாற்றில் ஊற வைக்கவும். பழங்கள் மற்றும் கொட்டைகள் முழுமையாக மூழ்கும் வரை திராட்சை சாற்றைச் சேர்க்கவும். 
2 கப் சாறு போதுமானதாக இருக்கும், நீங்கள் ரம் பயன்படுத்துகிறீர்கள் என்றால், 2 கப் ரம் சேர்க்கவும். மூடி வைத்து, குறைந்தபட்சம் 1 நாள் முதல் அதிகபட்சம் ஒரு மாதம் வரை ஊற விடவும். எல்லாவற்றையும் 2 நாட்கள் ஊற வைத்தேன். 
2 நாட்களுக்குப் பிறகு இது இப்படித்தான் தெரிகிறது, திராட்சை நன்றாக ஊறவைக்கப்படுகிறது, மேலும் பெரும்பாலான சாறு உலர் பழங்களால் உறிஞ்சப்படுகிறது. நீங்கள் கேக்கை உடனடியாக செய்ய விரும்பினால், உலர்ந்த பழங்கள் மற்றும் கொட்டைகளை சாறுடன் 3-4 நிமிடங்கள் வேகவைத்து, அதை முழுமையாக குளிர்விக்க விடுங்கள், பின்னர் அதை கேக் மாவில் சேர்க்கவும். 
இரண்டு நாட்கள் ஊறவைத்த பிறகு, சர்க்கரையை கேரமல் செய்வதன் மூலம் பிளம் கேக்கை தயாரிக்க ஆரம்பிக்கலாம். நல்ல பழுப்பு நிறத்தைப் பெற சர்க்கரையை கேரமல் செய்ய வேண்டும் அல்லது அதற்கு பதிலாக பழுப்பு சர்க்கரையையும் சேர்க்கலாம். 
1/2 கப் சர்க்கரையை 1/4 கப் தண்ணீரில் சூடாக்கி, அது நல்ல அடர் பழுப்பு நிறம் (ஆம்பர் நிறம்) வரும் வரை கொதிக்க வைக்கவும். பழுப்பு நிறம் வந்ததும், அதில் 1/2 கப் கொதிக்கும் நீரைச் சேர்த்து நன்கு கிளறி, கலந்த பிறகு, வெப்பத்தை அணைத்து ஒதுக்கி வைக்கவும். முழுமையாக ஆற விடவும். ஆமாம், பிளம் கேக் ரெசிபிக்கு கொஞ்சம் மசாலாப் பொருட்களைச் சேர்க்க வேண்டும். 
ஒரு பிளெண்டரில் இலவங்கப்பட்டை, கிராம்பு, ஏலக்காய் சேர்த்து, சிறிது சர்க்கரை சேர்த்து நன்றாக அரைக்கவும். சர்க்கரை சேர்ப்பதற்கான காரணத்தைக் கவனியுங்கள்: 6. உங்களிடம் பொடித்த மசாலாப் பொருட்கள் இருந்தால் அவற்றையும் பயன்படுத்தலாம். 
ஒரு பெரிய கலவை கிண்ணத்தில் முட்டை, உருகிய வெண்ணெய், சர்க்கரை மற்றும் தூள் சர்க்கரை + மசாலா சேர்த்து நன்கு கலக்கவும். வெண்ணெய் அறை வெப்பநிலையில் இருக்க வேண்டும். 
சூடாகச் சேர்த்தால் முட்டைகள் வேகும், எனவே அது முழுமையாக குளிர்ந்ததும் வெண்ணெய் சேர்க்கவும். அடுத்து ஆல் பர்ப்பஸ் மாவு / மைதாவை ஈரமான பொருட்களுடன் சேர்த்து, பேக்கிங் பவுடர், பேக்கிங் சோடா, உப்பு சேர்த்து நன்கு கலக்கவும். நான் எல்லாவற்றையும் ஒரே கிண்ணத்தில் சேர்த்தேன், நீங்கள் உலர்ந்த பொருட்களை ஒரு கிண்ணத்தில் தனித்தனியாகக் கலந்து, பின்னர் அதை முட்டை மாவில் சேர்க்கலாம். 
கலந்த பிறகு கேரமல் செய்யப்பட்ட சர்க்கரை மற்றும் வெண்ணிலா சாற்றைச் சேர்க்கவும். சர்க்கரை சிரப் அறை வெப்பநிலையில் இருப்பதை உறுதிப்படுத்திக் கொள்ளுங்கள், அது சூடாக இருந்தால் அது உடனடியாக பேக்கிங் சோடாவுடன் வினைபுரியும். எனவே சிரப்பைச் சேர்ப்பதற்கு முன் முழுமையாக குளிர்விக்க மறக்காதீர்கள். இறுதியாக ஊறவைத்த பிரட் மற்றும் கொட்டைகளை சாறுடன் சேர்க்கவும். சாற்றை முழுவதுமாக வடிகட்ட வேண்டாம், நல்ல சுவைக்காக மாவில் சிறிது சாறு தேவை. நான் பெரும்பாலான சாற்றைச் சேர்த்தேன், 1/4 கப் சாறு மட்டுமே மீதமுள்ளது. கேக் மாவு மிகவும் கெட்டியாக இருக்கக்கூடாது, அது ஊற்றுவதை விட சற்று தடிமனாக இருக்க வேண்டும். அனைத்து பொருட்களையும் சேர்த்த பிறகு, அதை ஒரு பேக்கிங் பாத்திரத்திற்கு மாற்றவும். நான் ஒரு 10 அங்குல பாத்திரத்தைப் பயன்படுத்தி, பக்கவாட்டில் வெண்ணெய் தடவி, ஒரு காகிதத்தோல் கொண்டு வரிசையாக வைத்துள்ளேன். உங்களிடம் 10 அங்குல பாத்திரம் இல்லையென்றால், 2 நடுத்தர அளவிலான பாத்திரத்தைப் பயன்படுத்தி 40-50 நிமிடங்கள் சுட வேண்டும். அடுப்பை 350 ஃபாரன்ஹீட் அல்லது 180 செல்சியஸுக்கு முன்கூட்டியே சூடாக்கவும் 70-80 நிமிடங்கள் (10 அங்குல பாத்திரத்திற்கு) நீங்கள் 2 நடுத்தர அளவிலான பாத்திரத்தைப் பயன்படுத்தினால் 40-50 நிமிடங்கள். 
டூத்பிக் செருகுவதன் மூலம் கேக்கைச் சரிபார்க்கவும். அது சுத்தமாக வெளியே வந்தால், எங்கள் கேக் சரியாக சுடப்பட்டுள்ளது. நான் கேக்கை சரியாக 350 F இல் 75 நிமிடங்கள் சுட்டேன், அதாவது 1 மணி நேரம் 15 நிமிடங்கள்.</t>
  </si>
  <si>
    <t>https://blogger.googleusercontent.com/img/b/R29vZ2xl/AVvXsEhZMeNPqt__lVaqC2lNAxsQ2KFRjefsdt5WvwqNKsMOdtPrblwBA_Ci3c5Hh_o298gvxg7_X9_NpM_VlTTdNQmtrW_a0qCWZ6vwyNhzlwVLPiB68PMMI3Lk-MXIEAvRidpqGlVs8UOyDDy3/s640/plum+cake+recipe.JPG</t>
  </si>
  <si>
    <t>https://youtu.be/TqB-EsziVpw</t>
  </si>
  <si>
    <t>Vazhakkai Varuval</t>
  </si>
  <si>
    <t>வாழைக்காய் வறுவல்</t>
  </si>
  <si>
    <t>Veg Side Dish</t>
  </si>
  <si>
    <t>2 - Unripened banana / Raw banana, 2 tbsp - Oil, 1/4 tsp - Turmeric powder, 1.5 tsp - Chili powder, 1 tsp - Garam Masala powder, 1/4 tsp - Pepper powder, Salt to taste, 1/8 tsp - Mustard seeds, 1/2 tsp - Urad Dal / uluntham paruppu, few Curry leaves.</t>
  </si>
  <si>
    <t>2 - பழுக்காத வாழைப்பழம் / பச்சை வாழைப்பழம், 2 டீஸ்பூன் - எண்ணெய், 1/4 டீஸ்பூன் - மஞ்சள் தூள், 1.5 டீஸ்பூன் - மிளகாய் தூள், 1 டீஸ்பூன் - கரம் மசாலா தூள், 1/4 டீஸ்பூன் - மிளகு தூள், ருசிக்க உப்பு, 1/8 டீஸ்பூன் - கடுகு, 1/2 டீஸ்பூன் - உளுந்தம் பருப்பு / உளுந்தம் பருப்பு, சில கறிவேப்பிலை.</t>
  </si>
  <si>
    <t>Peel the skin of the raw banana and cut it into roundels. Do not cut them very thin as we do for banana chips it should be a little thick.   Add the raw banana to the boiling water and cook for 2-minutes. this process helps to soften the banana. After 2 -3 minutes drain the water completely and add it to a bowl. (if required blot it with a paper tower to remove excess moisture).  
season the cooked raw banana with Turmeric powder, Garam masala, Chili powder, salt and pepper. mix it well and make sure all the sides are nicely covered with the mas.  Heat oil in a pan ,add mustard seeds and urad dal. mix it once and add the seasoned raw bananas, placing it flat on the surface of the pan. 
Cook until it turns nice and crisspy, once crisp flip it to the other side and cook until both the sides turn golden and crispy.   
Finally add curry leaves and turn off the heat.Drain the oil and continue the same with the \ next batch.  Our easy and delicious valakkai fry is ready to be served with rice. You can also deep fry the recipe to make it very crispy but less oil makes this dish more healthy and guilt free dish.
This Valakkai fry is very quick and easy to make hassle free recipe. Please do try the recipe and share your feedback .</t>
  </si>
  <si>
    <t>பச்சை வாழைப்பழத்தின் தோலை உரித்து வட்ட வடிவமாக வெட்டவும். வாழைப்பழ சில்லுகளைப் போல மிக மெல்லியதாக வெட்ட வேண்டாம், அது சிறிது தடிமனாக இருக்க வேண்டும். 
கொதிக்கும் நீரில் பச்சை வாழைப்பழத்தைச் சேர்த்து 2 நிமிடங்கள் சமைக்கவும். இந்த செயல்முறை வாழைப்பழத்தை மென்மையாக்க உதவுகிறது. 
2 -3 நிமிடங்களுக்குப் பிறகு தண்ணீரை முழுவதுமாக வடிகட்டி ஒரு கிண்ணத்தில் சேர்க்கவும். (தேவைப்பட்டால் அதிகப்படியான ஈரப்பதத்தை நீக்க காகிதக் கோபுரத்தால் துடைக்கவும்). 
சமைத்த பச்சை வாழைப்பழத்தை மஞ்சள் தூள், கரம் மசாலா, மிளகாய் தூள், உப்பு மற்றும் மிளகு சேர்த்து தாளிக்கவும். நன்றாகக் கலந்து, எல்லாப் பக்கங்களும் மாஸால் மூடப்பட்டிருப்பதை உறுதிசெய்து கொள்ளுங்கள். 
ஒரு கடாயில் எண்ணெயைச் சூடாக்கி, கடுகு மற்றும் உளுத்தம்பருப்பு சேர்த்து, ஒரு முறை கலந்து, பதப்படுத்திய பச்சை வாழைப்பழங்களைச் சேர்த்து, வாணலியின் மேற்பரப்பில் தட்டையாக வைக்கவும். அது நன்றாகவும் மொறுமொறுப்பாகவும் மாறும் வரை சமைக்கவும், மொறுமொறுப்பாகவும் மாறும் வரை சமைக்கவும், மொறுமொறுப்பாகவும் மாறியதும், மறுபுறம் திருப்பி, இருபுறமும் பொன்னிறமாகவும் மொறுமொறுப்பாகவும் மாறும் வரை சமைக்கவும். கடைசியாக கறிவேப்பிலையைச் சேர்த்து, அடுப்பை அணைக்கவும். எண்ணெயை வடிகட்டி, அடுத்த தொகுதியுடன் இதையே தொடரவும். 
எங்கள் எளிதான மற்றும் சுவையான வலக்காய் வறுவல் சாதத்துடன் பரிமாற தயாராக உள்ளது. 
நீங்கள் இதை மிகவும் மொறுமொறுப்பாகவும் செய்ய டீப் ஃப்ரை செய்யலாம், ஆனால் குறைந்த எண்ணெய் இந்த உணவை மிகவும் ஆரோக்கியமானதாகவும் குற்ற உணர்ச்சியற்ற உணவாகவும் ஆக்குகிறது.இந்த வலக்காய் வறுவல் மிகவும் விரைவாகவும் எளிதாகவும் தயாரிக்கக்கூடியது. 
தயவுசெய்து செய்முறையை முயற்சி செய்து உங்கள் கருத்துகளைப் பகிர்ந்து கொள்ளுங்கள்.</t>
  </si>
  <si>
    <t>https://blogger.googleusercontent.com/img/b/R29vZ2xl/AVvXsEhhSxwoAhCniISO3zZWKR5aQmSTbyFSwcU1EdYe2gDNk_qsxsuo-gXpJkGLSUfxSrLdGxNwt77ntfXUTe14YZg12Qxh8aFTpwVcu17NkGnsTudrq0cZubiNgeELQUiuA-j6dz_6QJqqwIy2/s640/Valakkai+fry+in+tamil.JPG</t>
  </si>
  <si>
    <t>Palak Chicken</t>
  </si>
  <si>
    <t>பாலக் சிக்கன்</t>
  </si>
  <si>
    <t>Chicken</t>
  </si>
  <si>
    <t>2 Tbsp - Oil, 2 - Bay leaves , 1 Cinnamon stick, 3 Cloves, 1 Tbsp - Ginger Garlic paste, 3 - Green Chilies, 1/4 tsp - Turmeric powder, 1 tsp - Chili powder, 1 tsp - Coriander powder, 1 tsp - Garam Masala Powder, 1 - Onion, 1 - Tomato, 1 tsp - Kasoori Methi leaves, 2 tbsp - Cream, Salt to taste, Curry Leaves.</t>
  </si>
  <si>
    <t>2 டேபிள்ஸ்பூன் - எண்ணெய், 2 - பிரியாணி இலைகள், 1 இலவங்கப்பட்டை குச்சி, 3 கிராம்பு, 1 டேபிள்ஸ்பூன் - இஞ்சி பூண்டு விழுது, 3 - பச்சை மிளகாய், 1/4 டேபிள்ஸ்பூன் - மஞ்சள் தூள், 1 டேபிள்ஸ்பூன் - மிளகாய் தூள், 1 டேபிள்ஸ்பூன் - கொத்தமல்லி தூள், 1 டேபிள்ஸ்பூன் - கரம் மசாலா தூள், 1 - வெங்காயம், 1 - தக்காளி, 1 டேபிள்ஸ்பூன் - கசூரி மேத்தி இலைகள், 2 டேபிள்ஸ்பூன் - கிரீம், ருசிக்க உப்பு, கறிவேப்பிலை.</t>
  </si>
  <si>
    <t>First lets start by blanching the spinach.I have used baby spinach if you are using regular spinach remove the stem if it is very hard. 
Rinse the spinach in water for a couple of times and add it to the hot water. 
Cook it for 2-3 minutes without placing the lid.After 2 minutes turn off the heat , drain the water completely and add the spinach to a blender and grind it to a very smooth paste. Keep it aside.  Heat oil in a pan and add bay leaves, cinnamon stick and cloves . Give it a stir and add then add finely chopped onions, some salt to speed up the cooking process and saute the onions until golden brown.  
Once the onions turn golden add ginger garlic paste, green chilies, turmeric powder, coriander powder, chilli powder and garam masala. mix it well and then add chopped tomato.Add some water to prevent the masalas from burning and cook until the tomato turns soft and mushy.  Once the tomato turns soft add the chicken pieces and coat it well with the masala. 
I have used chicken thigh for this recipe because the chicken thigh stays soft and tender after cooking.Cook until the chicken is 70-80% done.Add water if required.   
Once the chicken is almost done add the pureed spinach and mix well with the chicken and cook for 5 more minutes. At the end add kasoori methi (crush it with your hands and add it to the curry) .Finally add cream to get rich and silky base.
Mix it once and turn off the heat.  That's it our delicious palak chicken with a rich creamy silky soft base is ready to be served. This is and excellent way to incorporate spinach to our diet and goes very well with chapthi, naan and pulao. Eat spinach and stay healthy .
Those who hate spinach will also start to love this awesome spinach chicken curry recipe. Spread the Joy of Cooking.</t>
  </si>
  <si>
    <t>முதலில் கீரையை வெளுப்பதன் மூலம் ஆரம்பிக்கலாம். நீங்கள் வழக்கமான கீரையைப் பயன்படுத்துகிறீர்கள் என்றால், அது மிகவும் கடினமாக இருந்தால் தண்டு நீக்கவும். கீரையை இரண்டு முறை தண்ணீரில் கழுவி சூடான நீரில் சேர்க்கவும். மூடி வைக்காமல் 2-3 நிமிடங்கள் சமைக்கவும். 2 நிமிடங்களுக்குப் பிறகு, தீயை அணைத்து, தண்ணீரை முழுவதுமாக வடிகட்டி, கீரையை ஒரு பிளெண்டரில் சேர்த்து மிகவும் மென்மையான பேஸ்டாக அரைக்கவும். அதை ஒதுக்கி வைக்கவும். 
ஒரு பாத்திரத்தில் எண்ணெயை சூடாக்கி, பிரிஞ்சி இலை, இலவங்கப்பட்டை மற்றும் கிராம்புகளைச் சேர்த்து வதக்கவும். அதில் நன்றாக நறுக்கிய வெங்காயம், சிறிது உப்பு சேர்த்து வேகவைத்து, வெங்காயத்தை பொன்னிறமாகும் வரை வதக்கவும். 
வெங்காயம் பொன்னிறமாக மாறியதும், இஞ்சி பூண்டு விழுது, பச்சை மிளகாய், மஞ்சள் தூள், கொத்தமல்லி தூள், மிளகாய் தூள் மற்றும் கரம் மசாலா ஆகியவற்றைச் சேர்க்கவும். 
நன்கு கலக்கவும், பின்னர் நறுக்கிய தக்காளியைச் சேர்க்கவும். மசாலா எரியாமல் இருக்க சிறிது தண்ணீர் சேர்த்து, தக்காளி மென்மையாகவும் மென்மையாகவும் மாறும் வரை சமைக்கவும். 
தக்காளி மென்மையாக மாறியதும், சிக்கன் துண்டுகளைச் சேர்த்து மசாலாவுடன் நன்றாக பூசவும். சமைத்த பிறகு சிக்கன் தொடை மென்மையாகவும் மென்மையாகவும் இருப்பதால், இந்த செய்முறைக்கு நான் சிக்கன் தொடையைப் பயன்படுத்தினேன். 
சிக்கன் 70-80% வெந்தவுடன் சமைக்கவும். தேவைப்பட்டால் தண்ணீர் சேர்க்கவும். சிக்கன் கிட்டத்தட்ட தயாரானதும், ப்யூரி செய்யப்பட்ட கீரையைச் சேர்த்து சிக்கனுடன் நன்றாகக் கலந்து மேலும் 5 நிமிடங்கள் சமைக்கவும். இறுதியில் கசூரி மேத்தியைச் சேர்க்கவும் (உங்கள் கைகளால் நசுக்கி, கறியில் சேர்க்கவும்). 
இறுதியாக கிரீம் சேர்த்து, செழுமையான மற்றும் பட்டுப்போன்ற அடித்தளத்தைப் பெறுங்கள். ஒருமுறை கலந்து, தீயை அணைக்கவும். அவ்வளவுதான், எங்கள் சுவையான பாலக் கோழி, மென்மையான, க்ரீமி கலந்த, மென்மையான அடித்தளத்துடன் பரிமாறத் தயாராக உள்ளது. கீரையை நம் உணவில் சேர்த்துக் கொள்ள இது ஒரு சிறந்த வழியாகும், இது சப்தி, நான் மற்றும் புலாவுடன் மிகவும் நன்றாகச் செல்கிறது. கீரையை சாப்பிட்டு ஆரோக்கியமாக இருங்கள். 
கீரையை வெறுப்பவர்கள் இந்த அற்புதமான கீரை சிக்கன் கறி செய்முறையை விரும்பத் தொடங்குவார்கள். சமையலின் மகிழ்ச்சியைப் பரப்புங்கள்.</t>
  </si>
  <si>
    <t>https://blogger.googleusercontent.com/img/b/R29vZ2xl/AVvXsEjDw2lHa_R41epGEJCZjGUmt_JnSK9nQN1yL7OthgTMKKv-YeBviuE1Xe6Wi0ak2Go0Jqr4I_72rRRpdX8SjSVFZDbrR4cc-2QpPYVn2osicVPx3MH_psuqGLOIHzIvvZy_bfklc98Qj9z4/s640/Spinach+Chicken+recipe.JPG</t>
  </si>
  <si>
    <t>https://youtu.be/fVXxKySXCkY</t>
  </si>
  <si>
    <t>Munthiri Kothu</t>
  </si>
  <si>
    <t>முந்திரி கொத்து</t>
  </si>
  <si>
    <t>1 Cup - Paasi payaru / Green Gram, 3/4 cup - Jaggery / Palm Sugar, 1/2 cup - Grated coconut, 4 - Cardamom Pods, 1/2 tsp - Chukku podi / Dry Ginger Powder, 1 tsp - Sesame seeds / ellu, 3 Tbsp - Water, 1/2 cup - Rice Flour, 1 Tbsp - Maida / All purpose flour, 1/2 tsp - Turmeric Powder, Pinch of Salt, Water.</t>
  </si>
  <si>
    <t>1 கப் - பாசிப்பயறு / பச்சைப்பயறு, 3/4 கப் - வெல்லம் / பனை சர்க்கரை, 1/2 கப் - துருவிய தேங்காய், 4 - ஏலக்காய் காய்கள், 1/2 தேக்கரண்டி - சுக்கு பொடி / உலர் இஞ்சி தூள், 1 தேக்கரண்டி - எள் / எள்ளு, 3 தேக்கரண்டி - தண்ணீர், 1/2 கப் - அரிசி மாவு, 1 தேக்கரண்டி - மைதா / அனைத்து உபயோக மாவு, 1/2 தேக்கரண்டி - மஞ்சள் தூள், சிட்டிகை உப்பு, தண்ணீர்.</t>
  </si>
  <si>
    <t>First lets start with roasting the green gram .Roast it until the dal changes it color from green to golden brown.
You can also use skinless green gram for this recipe (pasipayaru).The dal is done when you smell the nice aroma of the dal. After roasting let it cool for 5 minutes.   Once cooled transfer the green gram to a blender also add cardamom pods to get nice aroma and grind it to a powder. Do not grind it very fine, you should be able to feel some texture (fine-coarse powder).   
Dry roast the shredded coconut in an pan and roast until it turns golden, once the coconuts turns golden add the sesame seeds and roast for few more seconds and turn off the heat.  
Now in a mixing bowl combine all the ingredients powdered pasiparuppu , roasted coconut and sesame seeds and chukku powder (dry ginger powder) mix well and keep it aside.  Now in a Sauce pan melt the jaggery by adding some water and bring it to 1/2 string consistency. Powder the jaggery before adding so that it melts fast and uniformly.    Pour the jaggery through a strainer and filter it to remove any dust particles. 
After adding the syrup, immediately mix all the ingredients together and make sure all the areas are surrounded by syrup. Once the mixture is cooled slightly start to make small balls out of it .
Grease your hands with some ghee so that the mixture wont stick to your hands. And rest the balls for 20 - 30 minutes to harden a bit.  🌾 This step should be done fast otherwise the mixture will thicken and we wont be able to make balls.  To make outer cover mix rice flour, maida, turmeric powder, a pinch of salt and a add little amount of water to make a slightly thick paste.
It should not be runny the batter should be thick enough to coat the surface. Turmeric powder is added just to get a nice color. Consistency should be similar dosa batter Consistency.  Now the final step is to fry the balls.
As the name indicates lets take a kothu of balls (3-4) balls at a time and dip it in the batter and cover all the surface with the batter and fry it in oil. Oil should be on a medium heat not too hot. 
Munthiri kothu will cook very fast, flip it in betweena and once the outer cover get crisper drain the oil and take the mundri kothu out.   That is it our delicious Munthiri Kothu recipe is ready to be served. 
Please make our traditional sweet for Festivals like Diwali , Christmas and share it with your friends and family. See this is very easy to make and it lasts for 2-3 weeks if stored in a dry air tight container.
I can guarantee you that your Kids will love the recipe. Spread the Joy of Cooking</t>
  </si>
  <si>
    <t>முதலில் பச்சைப்பயறை வறுக்க ஆரம்பிக்கலாம். பருப்பின் நிறம் பச்சை நிறத்தில் இருந்து தங்க பழுப்பு நிறமாக மாறும் வரை வறுக்கவும். இந்த செய்முறைக்கு (பாசிப்பயறு) தோல் நீக்கிய பச்சைப்பயறையையும் பயன்படுத்தலாம். 
பருப்பின் நல்ல நறுமணம் வரும்போது பருப்பு தயாராகிறது. வறுத்த பிறகு 5 நிமிடங்கள் ஆற விடவும். குளிர்ந்ததும், பச்சைப்பயறையை ஒரு பிளெண்டரில் மாற்றி, நல்ல மணம் வர ஏலக்காய் காய்களைச் சேர்த்து பொடியாக அரைக்கவும். நன்றாக அரைக்க வேண்டாம், சிறிது பதம் (நன்றாக கரடுமுரடான தூள்) உணர முடியும். 
துருவிய தேங்காயை ஒரு பாத்திரத்தில் உலர்த்தி வறுத்து, அது பொன்னிறமாகும் வரை வறுக்கவும், தேங்காய் பொன்னிறமாக மாறியதும் எள்ளைச் சேர்த்து இன்னும் சில வினாடிகள் வறுக்கவும், தீயை அணைக்கவும். இப்போது ஒரு கலவை பாத்திரத்தில் அனைத்து பொருட்களையும் பொடித்த பாசிப்பருப்பு, வறுத்த தேங்காய் மற்றும் எள் மற்றும் சுக்கு தூள் (உலர்ந்த இஞ்சி தூள்) ஆகியவற்றை சேர்த்து நன்கு கலந்து ஒதுக்கி வைக்கவும். இப்போது ஒரு சாஸ் பாத்திரத்தில் வெல்லத்தை சிறிது தண்ணீர் சேர்த்து உருக்கி, 1/2 சரம் நிலைத்தன்மைக்கு கொண்டு வாருங்கள். 
சேர்ப்பதற்கு முன் வெல்லத்தை பொடி செய்யுங்கள், இதனால் அது விரைவாகவும் சீராகவும் உருகும். வெல்லத்தை ஒரு வடிகட்டியில் ஊற்றி, தூசி துகள்கள் அகற்ற வடிகட்டி விடுங்கள். சிரப்பைச் சேர்த்த பிறகு, உடனடியாக அனைத்து பொருட்களையும் ஒன்றாகக் கலந்து, அனைத்து பகுதிகளும் சிரப்பால் சூழப்பட்டுள்ளதா என்பதை உறுதிப்படுத்திக் கொள்ளுங்கள். கலவை சிறிது குளிர்ந்ததும், அதிலிருந்து சிறிய உருண்டைகளை உருவாக்கத் தொடங்குங்கள். 
கலவை உங்கள் கைகளில் ஒட்டாமல் இருக்க சிறிது நெய்யுடன் உங்கள் கைகளை தடவவும். பந்துகளை 20 - 30 நிமிடங்கள் சிறிது கெட்டியாக வைக்கவும்.  
இந்த படியை விரைவாகச் செய்ய வேண்டும், இல்லையெனில் கலவை கெட்டியாகிவிடும், மேலும் பந்துகளை உருவாக்க முடியாது. வெளிப்புற மூடியை உருவாக்க அரிசி மாவு, மைதா, மஞ்சள் தூள், ஒரு சிட்டிகை உப்பு மற்றும் சிறிது தண்ணீர் சேர்த்து சற்று தடிமனான பேஸ்ட் தயாரிக்கவும். அது சலிப்பாக இருக்கக்கூடாது, மாவு மேற்பரப்பை மூடும் அளவுக்கு தடிமனாக இருக்க வேண்டும். மஞ்சள் தூள் சேர்க்கப்படுகிறது, நல்ல நிறம் கிடைக்கும். நிலைத்தன்மை தோசை மாவைப் போன்றதாக இருக்க வேண்டும் நிலைத்தன்மை. 
இப்போது இறுதி படி உருண்டைகளை வறுக்க வேண்டும். பெயர் குறிப்பிடுவது போல, ஒரு நேரத்தில் ஒரு கொத்து உருண்டைகளை (3-4) எடுத்து மாவில் நனைத்து, மேற்பரப்பு முழுவதும் மாவை மூடி எண்ணெயில் வறுக்கவும். எண்ணெய் மிதமான தீயில் இருக்க வேண்டும், அதிக சூடாக இருக்கக்கூடாது. 
முந்திரி கொத்து மிக வேகமாக வெந்துவிடும், இடையில் திருப்பிப் போடவும், வெளிப்புற மூடி மொறுமொறுப்பாக மாறியதும் எண்ணெயை வடித்து, முந்திரி கொத்துவை வெளியே எடுக்கவும். 
அவ்வளவுதான், எங்கள் சுவையான முந்திரி கொத்து செய்முறை பரிமாற தயாராக உள்ளது. தீபாவளி, கிறிஸ்துமஸ் போன்ற பண்டிகைகளுக்கு எங்கள் பாரம்பரிய இனிப்பைச் செய்து உங்கள் நண்பர்கள் மற்றும் குடும்பத்தினருடன் பகிர்ந்து கொள்ளுங்கள். இதைப் பார்ப்பது மிகவும் எளிதானது, காற்று புகாத கொள்கலனில் சேமித்து வைத்தால் 2-3 வாரங்கள் வரை நீடிக்கும். 
உங்கள் குழந்தைகள் இந்த செய்முறையை விரும்புவார்கள் என்று நான் உங்களுக்கு உத்தரவாதம் அளிக்கிறேன். சமையல் மகிழ்ச்சியைப் பரப்புங்கள்.</t>
  </si>
  <si>
    <t>https://blogger.googleusercontent.com/img/b/R29vZ2xl/AVvXsEjatCIc9M0ESLF7a_GJydjeg12_NO8rkq2cCopvEAcyD7tlItaDbCD74wM7PnqhyphenhyphenG6SVEB8TTvAVTqUeDvrD1ZtVYR1ddm26M2VF1P530vmw59k7FMVvOUNw90Z1hyphenhyphenDFNG9nSnwpWcX2AH8/s640/Munthiri+Kothu+Recipe.JPG</t>
  </si>
  <si>
    <t>Idli Podi</t>
  </si>
  <si>
    <t>இட்லி பொடி</t>
  </si>
  <si>
    <t>1/2 Cup - Urad Dal, 1/4 Cup - Split chickpea, 10-15 - Dry red chilies, 1 tsp - Sesame Seeds, 1/4 tsp - Asafoetida / Hing / kaayam, 1 - strand Curry Leaves, 2 tsp - Oil, Salt to taste, Curry Leaves.</t>
  </si>
  <si>
    <t>1/2 கப் - உளுத்தம்பருப்பு, 1/4 கப் - கொண்டைக்கடலை, 10-15 - உலர்ந்த சிவப்பு மிளகாய், 1 தேக்கரண்டி - எள் விதைகள், 1/4 தேக்கரண்டி - பெருங்காயம் / ஹிங் / காயம், 1 - இழை கறிவேப்பிலை, 2 தேக்கரண்டி - எண்ணெய், சுவைக்கு உப்பு, கறிவேப்பிலை.</t>
  </si>
  <si>
    <t>Roast Urad Dal (skinless black gram) and Chana Dal (Split Chickpeas) in oil on a medium heat until the Dal changes its color. Once the dal is halfway done add Hing, Sesame seeds, Curry leaves and red chilies and again roast it for a couple of more minutes. 
We will get a nice aromatic smell while roasting the ingredients.  
After roasting all the ingredients allow the mixture to cook completely and then grind it to a fine to coarse powder according to your preference.
I Love my Idly Power to be a little coarse so i always give it a few pulses to make it coarse.  Our Spicy Idli Podi recipe is ready to be enjoyed with Idli and Dosa. 
See how simple and easy it is to prepare. Please try this spicy Idly powder recipe at home and share your feedback. You acn adjust the chiclies according to your spice preference. If you don't like the taste of Sesame seeds then you can skip. 
If stored it in air tight container it will last for 3 weeks and if you refrigerate it will last for atleat 3-6 months.</t>
  </si>
  <si>
    <t>உளுத்தம்பருப்பு (தோல் நீக்கிய உளுத்தம்பருப்பு) மற்றும் கடலைப்பருப்பு (பிளவுபட்ட கொண்டைக்கடலை) ஆகியவற்றை எண்ணெயில் மிதமான தீயில் பருப்பு நிறம் மாறும் வரை வறுக்கவும். பருப்பு பாதி வெந்தவுடன், கீரை, எள், கறிவேப்பிலை மற்றும் சிவப்பு மிளகாய் சேர்த்து மீண்டும் இரண்டு நிமிடங்கள் வறுக்கவும். பொருட்களை வறுத்தெடுக்கும்போது ஒரு நல்ல நறுமண வாசனை கிடைக்கும். 
அனைத்து பொருட்களையும் வறுத்த பிறகு கலவையை முழுவதுமாக வேக விடவும், பின்னர் உங்கள் விருப்பப்படி நன்றாக கரடுமுரடான பொடியாக அரைக்கவும். 
எனது இட்லி பவர் கொஞ்சம் கரடுமுரடாக இருப்பது எனக்கு மிகவும் பிடிக்கும், எனவே அதை கரடுமுரடாக்க சில பருப்புகளை எப்போதும் கொடுப்பேன். 
எங்கள் காரமான இட்லி பொடி ரெசிபி இட்லி மற்றும் தோசையுடன் சாப்பிட தயாராக உள்ளது. இதை தயாரிப்பது எவ்வளவு எளிது மற்றும் எளிது என்று பாருங்கள். 
இந்த காரமான இட்லி பொடி ரெசிபியை வீட்டிலேயே முயற்சி செய்து உங்கள் கருத்துக்களைப் பகிர்ந்து கொள்ளுங்கள். 
உங்கள் மசாலா விருப்பத்திற்கு ஏற்ப மிளகாய்களை சரிசெய்யலாம். எள்ளின் சுவை உங்களுக்குப் பிடிக்கவில்லை என்றால், நீங்கள் அதைத் தவிர்க்கலாம். 
காற்று புகாத கொள்கலனில் சேமித்து வைத்தால் 3 வாரங்கள் வரை நீடிக்கும், நீங்கள் குளிர்சாதன பெட்டியில் வைத்தால் குறைந்தது 3-6 மாதங்கள் வரை நீடிக்கும்.</t>
  </si>
  <si>
    <t>https://blogger.googleusercontent.com/img/b/R29vZ2xl/AVvXsEj64HI3N4md9qI8xX-xn4ZR11Ls7KdPPFbHKCy_6Ky7ccCK48J0qWUVj6cp-faS1-4rEZfnH6bAlf3_uhL1EI0JRYS2YqmDSFJnPOnwsDyZNYVgmrAr3bgTeeYY2okqwOsa6wb2caQqtT1v/s640/Idli+podi+recipe+in+TAmil.JPG</t>
  </si>
  <si>
    <t>Sweet Aval</t>
  </si>
  <si>
    <t>இனிப்பு அவல்</t>
  </si>
  <si>
    <t>1 cup - flattened Rice / Aval, 3/4 Cup - Jaggery, 1/2 cup - Grated Coconut, 1 tbsp - Ghee, 10-12 - Cashew nuts, 1/4 cup - Water, pinch Cardamom powder.</t>
  </si>
  <si>
    <t>1 கப் - தட்டையான அரிசி / அவல், 3/4 கப் - வெல்லம், 1/2 கப் - துருவிய தேங்காய், 1 டேபிள் ஸ்பூன் - நெய், 10-12 - முந்திரி பருப்பு, 1/4 கப் - தண்ணீர், சிறிதளவு ஏலக்காய் தூள்.</t>
  </si>
  <si>
    <t>in a sauce pan melt ghee , once the ghee is melted  add cashews and roast until it turns golden. 
once the cahews turns golden take it off from the pan and transfer it to a bowl.  
Now in the same pan melt jaggey with water and dissolve completely.  
Pour the melted jaggery on the aval (filter the jaggery syrup through a strainer to remove any impurities) .
Mix it well and then add the grated coconut , pinch of cardamom powder (if you dont like the flavor of cardamom then you can skip) and also add the roasted cashew nuts.
Mix well and let it stand for 5 minutes to soften a bit and then enjoy.  That's it our delicious aval is ready to be enjoyed.See how easy and simple it is to make sweet aval , 
it can be done in less than minutes and it is a quick fix for hunger. Please do try the recipe and share your feedback. Spread the Joy of Cooking.</t>
  </si>
  <si>
    <t>ஒரு சாஸ் பாத்திரத்தில் நெய்யை உருக்கி, நெய் உருகியதும் முந்திரி சேர்த்து பொன்னிறமாகும் வரை வறுக்கவும். 
காஃபிகள் பொன்னிறமாக மாறியதும், அதை வாணலியில் இருந்து எடுத்து ஒரு கிண்ணத்திற்கு மாற்றவும். இப்போது அதே பாத்திரத்தில் வெல்லத்தை தண்ணீரில் உருக்கி முழுவதுமாக கரைக்கவும். 
உருக்கிய வெல்லத்தை அவலின் மீது ஊற்றவும் (எந்தவொரு அசுத்தங்களையும் நீக்க ஒரு வடிகட்டி மூலம் வெல்லம் சிரப்பை வடிகட்டவும்). நன்றாகக் கலந்து, பின்னர் துருவிய தேங்காய், ஒரு சிட்டிகை ஏலக்காய் தூள் (ஏலக்காயின் சுவை உங்களுக்குப் பிடிக்கவில்லை என்றால் நீங்கள் தவிர்க்கலாம்) சேர்த்து வறுத்த முந்திரி பருப்புகளையும் சேர்க்கவும். நன்றாகக் கலந்து, 5 நிமிடங்கள் மென்மையாகும் வரை அப்படியே விட்டு, பின்னர் மசித்து மசிக்கவும். 
அவ்வளவுதான், எங்கள் சுவையான அவல் சுவைக்கத் தயாராக உள்ளது. இனிப்பு அவல் செய்வது எவ்வளவு எளிதானது மற்றும் எளிமையானது என்பதைப் பாருங்கள், இதை நிமிடங்களுக்கும் குறைவான நேரத்தில் செய்துவிடலாம், மேலும் இது பசிக்கு விரைவான தீர்வாகும். தயவுசெய்து செய்முறையை முயற்சி செய்து உங்கள் கருத்துகளைப் பகிர்ந்து கொள்ளுங்கள். சமையலின் மகிழ்ச்சியைப் பரப்புங்கள்.</t>
  </si>
  <si>
    <t>https://blogger.googleusercontent.com/img/b/R29vZ2xl/AVvXsEguiw3xnjAdAD73gd02bjVRCaywJQnnABwa65EgHE2vLV_AcKAcSgFSP0lOr4JvroXEDds-8rEWucvGCb2wgZBzsBI3h43DxNvw0fZLYRCGqS1LrILteJmegXTMD2Bv2BcUwfuPcdOBRTvN/s640/how+to+make+aval+recipe.JPG</t>
  </si>
  <si>
    <t>Prawns Pepper Fry</t>
  </si>
  <si>
    <t>இறால் மிளகு வறுவல்</t>
  </si>
  <si>
    <t>Seafood Starter</t>
  </si>
  <si>
    <t>1/2 Kg - Prawns / Shrimp, 1 Tbsp - Pepper Corns, 1 tsp - Cumin Seeds, 3 Tbsp - Oil, 1 inch - Cinnamon stick, 2 - cardamom pods, 3 - cloves, 2 - Dry Red Chilies, 2(250) - Onion, 1 Tbsp - Ginger Garlic paste, 1/4 tsp - Turmeric Powder, 1 tsp - Garam Masala Powder, 3 - Green Chilies, Salt to Taste, 1 - Tbsp Roasted Channa Dal, Water, Curry Leaves.</t>
  </si>
  <si>
    <t>1/2 கிலோ - இறால் / இறால், 1 டேபிள்ஸ்பூன் - மிளகு சோளம், 1 டேபிள்ஸ்பூன் - சீரகம் விதைகள், 3 டேபிள்ஸ்பூன் - எண்ணெய், 1 அங்குலம் - இலவங்கப்பட்டை, 2 - ஏலக்காய் காய்கள், 3 - கிராம்பு, 2 - உலர்ந்த சிவப்பு மிளகாய், 2(250) - வெங்காயம், 1 டேபிள்ஸ்பூன் - இஞ்சி பூண்டு விழுது, 1/4 டேபிள்ஸ்பூன் - மஞ்சள் தூள், 1 டேபிள்ஸ்பூன் - கரம் மசாலா தூள், 3 - பச்சை மிளகாய், சுவைக்கு உப்பு, 1 - டேபிள்ஸ்பூன் வறுத்த சன்னா பருப்பு, தண்ணீர், கறிவேப்பிலை.</t>
  </si>
  <si>
    <t>In a blender add pepper corns and cumin seeds and grind it to a fine powder. Freshly ground powder smells very good so grind them freshly to get nice aroma.  
Heat oil in a pan and add the whole spices cinnamon stick, cardamom pods, cloves and dry red chilies .
Give it a stir and add the finely chopped onions, also add some salt to speed up the cooking process.
We need to cook saute the onions until they are nice and golden.  Once the onions turns golden add the masalas Turmeric powder, Garam masala powder, Ginger garlic paste, Green Chilies and the freshly ground masala and mix well. Add some water to prevent the masalas from burning.
Add the cleaned and deveined prawns and mix well with the masalas. Add Salt and water if required Cover and cook for 7-10 minutes depending on the size of your prawns.   
Once the prawns are nicely cooked add some freshly ground pepper powder to get more realistic and aroma.Finally garnish it with some curry leaves and turn off the heat.  
Our Delicious Pepper prawns are ready to be enjoyed. See how easy and quick it is make this spicy pepper prawns.I love to enjoy this recipe with some chapathi and rice.
The aroma and taste of this prawns will last longer in your taste buds and you will start to make it again very often.Thanks for reading.Spread the Joy of Cooking .</t>
  </si>
  <si>
    <t>ஒரு பிளெண்டரில் மிளகு சோளம் மற்றும் சீரகத்தை சேர்த்து நன்றாக பொடியாக அரைக்கவும். 
புதிதாக அரைத்த பொடி மிகவும் நன்றாக வாசனை வரும், அதனால் புதியதாக அரைத்து நல்ல மணம் வரும். 
ஒரு கடாயில் எண்ணெயை சூடாக்கி, முழு மசாலாப் பொருட்களையும் இலவங்கப்பட்டை, ஏலக்காய், கிராம்பு மற்றும் உலர்ந்த சிவப்பு மிளகாய் சேர்க்கவும். அதைக் கிளறி, இறுதியாக நறுக்கிய வெங்காயத்தைச் சேர்த்து, சமைக்கும் செயல்முறையை விரைவுபடுத்த சிறிது உப்பு சேர்க்கவும். 
வெங்காயம் நன்றாகவும் பொன்னிறமாகவும் மாறும் வரை வதக்க வேண்டும். வெங்காயம் பொன்னிறமாக மாறியதும், மசாலாக்கள் மஞ்சள் தூள், கரம் மசாலா தூள், இஞ்சி பூண்டு விழுது, பச்சை மிளகாய் மற்றும் புதிதாக அரைத்த மசாலாவைச் சேர்த்து நன்கு கலக்கவும். மசாலாக்கள் எரியாமல் இருக்க சிறிது தண்ணீர் சேர்க்கவும். 
சுத்தம் செய்து பிரித்த இறாலைச் சேர்த்து மசாலாக்களுடன் நன்கு கலக்கவும். தேவைப்பட்டால் உப்பு மற்றும் தண்ணீர் சேர்க்கவும். உங்கள் இறாலின் அளவைப் பொறுத்து 7-10 நிமிடங்கள் மூடி வைத்து சமைக்கவும். இறால் நன்றாக வெந்தவுடன், புதிதாக அரைத்த மிளகுத் தூளைச் சேர்த்து மிகவும் யதார்த்தமான மற்றும் நறுமணத்தைப் பெறுங்கள். 
இறுதியாக சில கறிவேப்பிலைகளால் அலங்கரித்து, தீயை அணைக்கவும். எங்கள் சுவையான மிளகு இறால்கள் சுவைக்கத் தயாராக உள்ளன. இந்த காரமான மிளகு இறாலை எவ்வளவு எளிதாகவும் விரைவாகவும் செய்வது என்று பாருங்கள். 
இந்த ரெசிபியை சப்பாத்தி மற்றும் சாதத்துடன் சேர்த்து ருசிப்பது எனக்கு மிகவும் பிடிக்கும். 
இந்த இறாலின் மணமும் சுவையும் உங்கள் சுவை மொட்டுகளில் நீண்ட நேரம் நீடிக்கும், நீங்கள் அதை அடிக்கடி செய்யத் தொடங்குவீர்கள்.</t>
  </si>
  <si>
    <t>https://blogger.googleusercontent.com/img/b/R29vZ2xl/AVvXsEh_mF4LIang-fZx1N2hSqaDRB_g-Jertroa6HMhkoe7eUy3yiyV7eHVJjnVgO-VODj8PthCvSGk2AH1bNqqY_Aa7hNQzka8aZ4ugh1mDBbFUO3OFucIZEzhuJKhmO0AtdCvYx8tHIHfyt-e/s640/Pepper+prawns+recipe+in+Tamil.JPG</t>
  </si>
  <si>
    <t>https://youtu.be/UcmuvprCjCs</t>
  </si>
  <si>
    <t>Orange Chicken</t>
  </si>
  <si>
    <t>ஆரஞ்சு சிக்கன்</t>
  </si>
  <si>
    <t>1/2 kg - Chicken without bones, 1 - Egg, 1/4 cup - All purpose flour /Maida, 1/4 cup - Corn flour / Corn starch, Salt and pepper, 1 cup - Orange juice, 1 tsp - Grated ginger, 1 tsp - Grated Garlic, 1/2 tsp - Chilli flakes, 1 tbsp - Soy Sauce, 1 tbsp - Vinegar, 2 tbsp - Honey, 1/2 cup - Grated Coconut, 1 tbsp - Corn starch,   2 tbsp - water for slurry, 11/2 tsp - Orange zest, Sesame seeds , spring Onions.</t>
  </si>
  <si>
    <t>1/2 கிலோ - எலும்பு இல்லாத கோழி, 1 - முட்டை, 1/4 கப் - அனைத்து உபயோக மாவு / மைதா, 1/4 கப் - சோள மாவு / சோள மாவு, உப்பு மற்றும் மிளகு, 1 கப் - ஆரஞ்சு சாறு, 1 தேக்கரண்டி - துருவிய இஞ்சி, 1 தேக்கரண்டி - துருவிய பூண்டு, 1/2 தேக்கரண்டி - மிளகாய் துண்டுகள், 1 தேக்கரண்டி - சோயா சாஸ், 1 தேக்கரண்டி - வினிகர், 2 தேக்கரண்டி - தேன், 1/2 கப் - துருவிய தேங்காய், 1 தேக்கரண்டி - சோள மாவு, 2 தேக்கரண்டி - குழம்புக்கு தண்ணீர், 11/2 தேக்கரண்டி - ஆரஞ்சு தோல், எள் விதைகள், வசந்த வெங்காயம்.</t>
  </si>
  <si>
    <t>In a mixing bowl beat egg and the add the chicken pieces and coat well.I have used boneless chicken pieces, thigh meat tastes best with this recipe. Then season it with salt and pepper.
After seasoning add corn starch and all purpose flour and ix well with the chicken.Make sure all the sides of the chicken pieces are nicely coated with the flour mixture.  Fry the chicken in oil on a medium temperature until nice and crisp.
Once the chicken is fully cooked and turns crispy on the outside drain the excess oil and take it off from the oil and keep it aside.  In a pan heat oil and add minced Ginger, Garlic and chili flakes , give it a stir and add orange juice, Soy sauce, vinegar and honey (to balance the taste) ,you can also add sugar if you prefer.mix nicely and let the juice come to boil.   Once the juice starts bubbling add slurry (dissolve 1 tbsp of corn flour in some water and add it to the orange sauce) to thicken the sauce.
Also add some orange zest (grate the skin of orange and add it to the sauce) to get nice lively flavor and taste.Allow the sauce to thicken a bit.  Once the orange sauce thickens add the fried chicken ad coat it well with the sauce and cook it for 2 more minutes and turn off the heat.Finally add some sesame seeds and spring onions for garnishing and serve.  
That's it our sweet and tangy orange chicken is ready to be served with Fried rice or jasmine Rice. You can make this sauce in advance and keep it in fridge for a week so taht whenever we make chicen fries we have coat the leftover chicken with is orange sauce and enjoy. 
This recipe is very sililar to the one which we get in Panda Express Orange Chicken and is much healthier than any stor bough orange chicken.</t>
  </si>
  <si>
    <t xml:space="preserve">ஒரு கலவை கிண்ணத்தில் முட்டையை அடித்து, கோழி துண்டுகளைச் சேர்த்து நன்றாக பூசவும். 
நான் எலும்பு இல்லாத கோழி துண்டுகளைப் பயன்படுத்தினேன், தொடை இறைச்சி இந்த செய்முறையுடன் மிகவும் சுவையாக இருக்கும். பின்னர் உப்பு மற்றும் மிளகு சேர்த்து சீசன் செய்யவும். 
தாளித்த பிறகு சோள மாவு மற்றும் அனைத்து உபயோக மாவு சேர்த்து கோழியுடன் நன்றாக கலக்கவும். கோழி துண்டுகளின் அனைத்து பக்கங்களிலும் மாவு கலவை நன்றாக பூசப்பட்டிருப்பதை உறுதி செய்யவும். கோழியை எண்ணெயில் மிதமான வெப்பநிலையில் நன்றாகவும் மொறுமொறுப்பாகவும் வறுக்கவும். 
கோழி முழுவதுமாக வெந்து, வெளியில் மொறுமொறுப்பாக மாறியதும், அதிகப்படியான எண்ணெயை வடிகட்டி எண்ணெயிலிருந்து எடுத்து தனியாக வைக்கவும். 
ஒரு கடாயில் எண்ணெயை சூடாக்கி, நறுக்கிய இஞ்சி, பூண்டு மற்றும் மிளகாய்த் துண்டுகளைச் சேர்த்து, கிளறி, ஆரஞ்சு சாறு, சோயா சாஸ், வினிகர் மற்றும் தேன் (சுவையை சமப்படுத்த) சேர்க்கவும், நீங்கள் விரும்பினால் சர்க்கரையையும் சேர்க்கலாம். 
நன்றாகக் கலந்து, சாறு கொதிக்க விடவும். சாறு குமிழ ஆரம்பித்ததும், குழம்பு சேர்க்கவும் (1 டேபிள் ஸ்பூன் சோள மாவை சிறிது தண்ணீரில் கரைத்து, ஆரஞ்சு சாஸில் சேர்க்கவும்) சாஸ் கெட்டியாக இருக்கும். மேலும் சிறிது ஆரஞ்சு தோலைச் சேர்க்கவும் (ஆரஞ்சுத் தோலைத் தட்டி, சாஸில் சேர்க்கவும்) நல்ல துடிப்பான சுவை மற்றும் சுவையைப் பெறவும். சாஸ் சிறிது கெட்டியாகட்டும். 
ஆரஞ்சு சாஸ் கெட்டியானதும், வறுத்த கோழியைச் சேர்த்து, சாஸுடன் நன்றாகப் பூசி, மேலும் 2 நிமிடங்கள் சமைக்கவும், வெப்பத்தை அணைக்கவும். இறுதியாக அலங்கரிக்க சில எள் மற்றும் வசந்த வெங்காயத்தைச் சேர்த்து பரிமாறவும். 
அவ்வளவுதான், எங்கள் இனிப்பு மற்றும் காரமான ஆரஞ்சு சிக்கன் ஃபிரைடு ரைஸ் அல்லது ஜாஸ்மின் ரைஸுடன் பரிமாற தயாராக உள்ளது. நீங்கள் இந்த சாஸை முன்கூட்டியே தயாரித்து ஒரு வாரம் குளிர்சாதன பெட்டியில் வைக்கலாம், எனவே நாங்கள் சிக்கன் ஃப்ரைஸ் செய்யும் போதெல்லாம் மீதமுள்ள சிக்கனை ஆரஞ்சு சாஸுடன் பூசி மகிழுங்கள். 
இந்த ரெசிபி பாண்டா எக்ஸ்பிரஸ் ஆரஞ்சு சிக்கனில் கிடைக்கும் ரெசிபியை விட மிகவும் மென்மையானது மற்றும் எந்த ஸ்டோர்போ ஆரஞ்சு சிக்கனை விடவும் மிகவும் ஆரோக்கியமானது. </t>
  </si>
  <si>
    <t>https://blogger.googleusercontent.com/img/b/R29vZ2xl/AVvXsEhQnyibo6LlHwy1FJ0X4XmMLG9NNEpA1N96WgRF0HY_IYTEan6G9KngzfsLDeCO8qnXAv_rZP_UaTI860DbqybcgcSzoXMl1lY571SEEEDEwZ9e2pQggccFwz7IHq3AE3ZjQ2fQL_6oMJ_m/s640/Orange+Chicken+Recipe.JPG</t>
  </si>
  <si>
    <t>https://youtu.be/ZKL5mOzed90</t>
  </si>
  <si>
    <t>Basundi</t>
  </si>
  <si>
    <t>பாசுந்தி</t>
  </si>
  <si>
    <t>2 Liter - Full Fat Milk, 1/4 Cup - Sugar, 2 tbsp - Chopped Pistachios, 2 tbsp - Chopped Almonds, 2 tbsp - Chopped Cashew nuts, 2 tbsp - Cashew nut powder, 15 - strands Saffron, 1/4 tsp - Cardamom powder.</t>
  </si>
  <si>
    <t>2 லிட்டர் - முழு கொழுப்புள்ள பால், 1/4 கப் - சர்க்கரை, 2 டேபிள் ஸ்பூன் - நறுக்கிய பிஸ்தா, 2 டேபிள் ஸ்பூன் - நறுக்கிய பாதாம், 2 டேபிள் ஸ்பூன் - நறுக்கிய முந்திரி பருப்பு, 2 டேபிள் ஸ்பூன் - முந்திரி பருப்பு பொடி, 15 - தண்டு குங்குமப்பூ, 1/4 டேபிள் ஸ்பூன் - ஏலக்காய் பொடி.</t>
  </si>
  <si>
    <t>Heat Milk in a non stick pan and allow the it to boil. Once the milk comes to boil turn down the heat to low and let it simmer for 10 -15 minutes or until the milk reduces half in volume. 
Once the milk reduces to half add the chopped nuts and the cashew powder (Cashew powder adds extra base and it thickens the basundi and really adds nice awesome taste.) Mix well and add sugar. Do not add all the sugar at once because once the milk thickens and reduces in volume you will find it too sweet , so for 4 cups of milk 1/4 cup of sugar will be sufficient.Taste it at the end and if needed add more at the end.   Gather the Milk solids settled at the sides of the pan and drop it into the milk and mix well.
Do this very often because the milk solids gives that richness to the basundi. Scrape the edges very often.Once the milk is almost thickened add Saffron strands and cardamom powder (you can skip cardamom if you don't like the flavor) and cook until milk thickens and reduces to 1/4.  
That's it our delicious Diwali sweet Basundi is ready, chill it in the refrigerator before serving and enjoy. You can sprinkle some nuts on the top before serving. 
You can also add rose essence at the end for extra flavor.Use full fat milk to make this dessert otherwise we will end up with a very little amount of basundi. See how easy it is to prepare, it takes a little time to make but its worth it.
Please give this dessert a try and share your feedback with us.</t>
  </si>
  <si>
    <t>ஒரு குச்சி இல்லாத பாத்திரத்தில் பாலை சூடாக்கி கொதிக்க விடவும். பால் கொதித்ததும், தீயை குறைத்து 10 -15 நிமிடங்கள் அல்லது பால் பாதி அளவு குறையும் வரை கொதிக்க விடவும். 
பால் பாதியாக குறைந்தவுடன் நறுக்கிய கொட்டைகள் மற்றும் முந்திரி பொடியைச் சேர்க்கவும் (முந்திரி பொடி கூடுதல் அடித்தளத்தை சேர்க்கிறது, இது பாசுந்தியை கெட்டியாக்குகிறது மற்றும் மிகவும் அருமையான சுவையை சேர்க்கிறது.) நன்றாகக் கலந்து சர்க்கரையைச் சேர்க்கவும். 
அனைத்து சர்க்கரையையும் ஒரே நேரத்தில் சேர்க்க வேண்டாம், ஏனெனில் பால் கெட்டியாகி அளவு குறைந்தவுடன் அது மிகவும் இனிப்பாக இருக்கும், எனவே 4 கப் பாலுக்கு 1/4 கப் சர்க்கரை போதுமானதாக இருக்கும். கடைசியில் ருசித்துப் பாருங்கள், தேவைப்பட்டால் இறுதியில் மேலும் சேர்க்கவும். வாணலியின் ஓரங்களில் படிந்துள்ள பால் திடப்பொருட்களை சேகரித்து பாலில் போட்டு நன்கு கலக்கவும். 
இதை அடிக்கடி செய்யுங்கள், ஏனெனில் பால் திடப்பொருட்கள் பாசுந்திக்கு அந்த செழுமையைத் தருகின்றன. விளிம்புகளை அடிக்கடி கீறவும். பால் கிட்டத்தட்ட கெட்டியானதும் குங்குமப்பூ இழைகள் மற்றும் ஏலக்காய் தூள் சேர்க்கவும் (சுவை பிடிக்கவில்லை என்றால் ஏலக்காயைத் தவிர்க்கலாம்) பால் கெட்டியாகி 1/4 ஆகக் குறையும் வரை சமைக்கவும். 
அவ்வளவுதான் எங்கள் சுவையான தீபாவளி இனிப்பு பாசுந்தி தயார், பரிமாறுவதற்கு முன் குளிர்சாதன பெட்டியில் குளிர வைத்து மகிழுங்கள். பரிமாறுவதற்கு முன் மேலே சில கொட்டைகளைத் தூவலாம். கூடுதல் சுவைக்காக நீங்கள் இறுதியில் ரோஸ் எசென்ஸையும் சேர்க்கலாம். இந்த இனிப்பை தயாரிக்க முழு கொழுப்புள்ள பாலைப் பயன்படுத்துங்கள், இல்லையெனில் மிகக் குறைந்த அளவு பாசுந்தி கிடைக்கும். தயாரிப்பது எவ்வளவு எளிது என்று பாருங்கள், இதைச் செய்ய சிறிது நேரம் ஆகும், ஆனால் அது மதிப்புக்குரியது. தயவுசெய்து இந்த இனிப்பை முயற்சி செய்து உங்கள் கருத்தை எங்களுடன் பகிர்ந்து கொள்ளுங்கள். சமையலின் மகிழ்ச்சியைப் பரப்புங்கள்.!!!</t>
  </si>
  <si>
    <t>https://blogger.googleusercontent.com/img/b/R29vZ2xl/AVvXsEha0Cw9jBqcEugziDoKoP9PT7GFxmwA2Ywbrnt2aZNuRzDBT0DtVDTrqFKZT8Qy_nJvd2kLbGho2SiqebRn__59VWXi72puHDLZdtl8uQD7dHJxaqBsGEk3e5y1FH5ZjwriFhx5Xy9OXuvR/s640/Basundi+Recipe+in+Tamil.JPG</t>
  </si>
  <si>
    <t>Chicken Lollipop</t>
  </si>
  <si>
    <t>சிக்கன் லாலிபாப்</t>
  </si>
  <si>
    <t>Chicken Starters</t>
  </si>
  <si>
    <t>6 - Chicken Wings, 1 tbsp - Soy Sauce, 1 tbsp - Ginger Garlic paste, 1 tsp - Chili Powder, 1/4 tsp - Pepper powder, Juice of half lemon, Salt to taste, For Batter, 1/4 cup - All purpose flour / Maida, 1/4 cup - Corn flour, 1 - Egg, 1 tbsp - Kashmiri Chilly powder, Salt, Water.</t>
  </si>
  <si>
    <t>6 - சிக்கன் விங்ஸ், 1 டேபிள் ஸ்பூன் - சோயா சாஸ், 1 டேபிள் ஸ்பூன் - இஞ்சி பூண்டு விழுது, 1 டேபிள் ஸ்பூன் - மிளகாய் தூள், 1/4 டேபிள் ஸ்பூன் - மிளகு தூள், அரை எலுமிச்சை சாறு, ருசிக்க உப்பு, இடிக்கு, 1/4 கப் - அனைத்து உபயோக மாவு / மைதா, 1/4 கப் - சோள மாவு, 1 - முட்டை, 1 டேபிள் ஸ்பூன் - காஷ்மீரி மிளகாய் தூள், உப்பு, தண்ணீர்.</t>
  </si>
  <si>
    <t>Using a sharp knife, cut the chicken in between wing and the wingtip and discard the wingtip    Now we have 2 parts left, find the center joint and again using sharp knife cut it into two half at the joint between the drumstick and the wing.   
Now take the wing portion and as you can see there are two end one bigger end and other smaller so we will start from the smallest end and make a circular cut , separating the meat from the bone, around the top.You will see two bones in the wing one thick and other thin. 
Make a cut between the bones and discard the thinner boner scraping any flesh attached to the bone   Now scrape all the flesh sticking to the bone with the knife and then hold it straight and Push the flesh down to the bottom and shape it.   Follow the same for drumstick. 
Start from the smallest end and make a circular cut.Then scrape the flesh sticking to the bone and push the meat down towards the bottom and shape it with your hands.  In a bowl combine Soy sauce, Ginger Garlic paste, Chilly powder,lemon juice, salt , pepper and mix well.Then place the chicken lollipops and coat it well with the masala. Make sure all the sides are nicely coated with the marinade. 
Let it marinate for minimum 20-  30 minutes.  Now after 30 minutes in a bowl combine all purpose flour, corn flour, egg, Salt and Chilly powder (use kashmiri chilly powder to get nice color) if you are using regular chilly powder then reduce the amount of chilly powder to 1 tbsp. Mix well by adding little water and form a semi-thick batter. The consistency of the batter should be good enough to coat the lollipops.  Take a lollipop and dip it into the batter making sure all the sides are nicely covered by the batter. If the batter is too thick then add a little of water to make it think or if the batter is thin then add some flour to it to make it semi-thick.  
Now the final step is to fry the chicken. Place the lollipops in hot oil (medium heat) and fry until they are nice and crispy on the outside flipping once in between.   Our Delicious and crispy chicken lollipops are ready to be served with some ketchup and sauces. Please give it a try and share your feedback with us. 
Kids and guests will love the dish and will ask you for more. Before serving wrap the tip with some aluminium foil and serve.</t>
  </si>
  <si>
    <t xml:space="preserve">கூர்மையான கத்தியைப் பயன்படுத்தி, கோழியை இறக்கைக்கும் இறக்கை முனைக்கும் இடையில் வெட்டி இறக்கை முனையை நிராகரிக்கவும் இப்போது நமக்கு 2 பாகங்கள் மீதமுள்ளன, மைய மூட்டைக் கண்டுபிடித்து, மீண்டும் கூர்மையான கத்தியைப் பயன்படுத்தி முருங்கைக்காய்க்கும் இறக்கைக்கும் இடையிலான மூட்டில் அதை இரண்டு பாதியாக வெட்டவும். இப்போது இறக்கை பகுதியை எடுத்துக் கொள்ளுங்கள், நீங்கள் பார்க்க முடியும் என இரண்டு முனைகள் ஒரு பெரிய முனை மற்றும் மற்றொன்று சிறியவை, எனவே நாம் சிறிய முனையிலிருந்து தொடங்கி ஒரு வட்ட வெட்டு செய்வோம், எலும்பிலிருந்து இறைச்சியைப் பிரித்து, மேல் பகுதியைச் சுற்றி ஒரு வட்ட வெட்டு செய்வோம். 
இறக்கையில் இரண்டு எலும்புகள் ஒன்று தடிமனாகவும் மற்றொன்று மெல்லியதாகவும் இருப்பதைக் காண்பீர்கள். எலும்புகளுக்கு இடையில் ஒரு வெட்டு செய்து, மெல்லிய எலும்பை அகற்றி, எலும்பில் ஒட்டியிருக்கும் சதையை சுரண்டி எடுக்கவும். இப்போது கத்தியால் எலும்பில் ஒட்டியிருக்கும் அனைத்து சதைகளையும் சுரண்டி, பின்னர் அதை நேராகப் பிடித்து, சதையை கீழே தள்ளி வடிவமைக்கவும். முருங்கைக்காயுக்கும் இதையே பின்பற்றுங்கள். 
மிகச்சிறிய முனையிலிருந்து தொடங்கி வட்ட வடிவ வெட்டு செய்யுங்கள். பின்னர் எலும்பில் ஒட்டியிருக்கும் சதையை சுரண்டி, இறைச்சியை கீழே தள்ளி உங்கள் கைகளால் வடிவமைக்கவும். ஒரு கிண்ணத்தில் சோயா சாஸ், இஞ்சி பூண்டு விழுது, மிளகாய் தூள், எலுமிச்சை சாறு, உப்பு, மிளகு ஆகியவற்றைச் சேர்த்து நன்கு கலக்கவும். 
பின்னர் சிக்கன் லாலிபாப்ஸை வைத்து மசாலாவுடன் நன்றாக பூசவும். அனைத்து பக்கங்களும் மாரினேட்டால் நன்றாக பூசப்பட்டிருப்பதை உறுதிசெய்து கொள்ளுங்கள். குறைந்தபட்சம் 20-30 நிமிடங்கள் ஊற விடவும். 
இப்போது 30 நிமிடங்களுக்குப் பிறகு ஒரு கிண்ணத்தில் அனைத்து வகையான மாவு, சோள மாவு, முட்டை, உப்பு மற்றும் மிளகாய் தூள் (நல்ல நிறத்தைப் பெற காஷ்மீரி மிளகாய் தூளைப் பயன்படுத்தவும்) ஆகியவற்றை இணைக்கவும், நீங்கள் வழக்கமான மிளகாய் தூளைப் பயன்படுத்துகிறீர்கள் என்றால், மிளகாய் தூளின் அளவை 1 டீஸ்பூன் ஆகக் குறைக்கவும். சிறிது தண்ணீர் சேர்த்து நன்கு கலந்து, அரை தடிமனான மாவை உருவாக்குங்கள். மாவின் நிலைத்தன்மை லாலிபாப்ஸை மூடும் அளவுக்கு நன்றாக இருக்க வேண்டும். 
ஒரு லாலிபாப்பை எடுத்து, மாவில் நனைத்து, அனைத்து பக்கங்களும் மாவால் நன்றாக மூடப்பட்டிருப்பதை உறுதிப்படுத்திக் கொள்ளுங்கள். மாவு மிகவும் தடிமனாக இருந்தால், சிறிது தண்ணீர் சேர்க்கவும் அல்லது மாவு மெல்லியதாக இருந்தால், அதில் சிறிது மாவு சேர்த்து அரை தடிமனாக மாற்றவும். இப்போது இறுதி படி கோழியை வறுக்க வேண்டும். லாலிபாப்ஸை சூடான எண்ணெயில் (நடுத்தர வெப்பத்தில்) வைத்து, அவை நன்றாகவும், வெளிப்புறத்தில் மொறுமொறுப்பாகவும் இருக்கும் வரை வறுக்கவும், இடையில் ஒரு முறை புரட்டவும். 
எங்கள் சுவையான மற்றும் மொறுமொறுப்பான சிக்கன் லாலிபாப்ஸ் சில கெட்ச்அப் மற்றும் சாஸுடன் பரிமாற தயாராக உள்ளன. 
தயவுசெய்து இதை முயற்சி செய்து உங்கள் கருத்தை எங்களுடன் பகிர்ந்து கொள்ளுங்கள். குழந்தைகள் மற்றும் விருந்தினர்கள் இந்த உணவை விரும்புவார்கள், மேலும் உங்களிடம் மேலும் கேட்பார்கள். 
பரிமாறுவதற்கு முன் நுனியை சிறிது அலுமினியத் தாளில் சுற்றி பரிமாறவும். </t>
  </si>
  <si>
    <t>https://blogger.googleusercontent.com/img/b/R29vZ2xl/AVvXsEjSMSQrwpfp4qad6_KWRuRwa6GSWmdi7aQ67PbyZd0XprTjf4Aydu9K-z10aw42jWtdyHFxLOYg_sUo-QJkDU1gEkuvslbhGyKY0YnHLox02OR9zpOkFU0CBf_3AKoihoR21QGkp5e9FCKo/s640/Chicken+Lollipop+Recipe.JPG</t>
  </si>
  <si>
    <t>https://youtu.be/-YfNNvIARN4</t>
  </si>
  <si>
    <t>Chicken Kofta</t>
  </si>
  <si>
    <t>சிக்கன் கோஃப்டா</t>
  </si>
  <si>
    <t>1/2 kg - Chicken, 1 tsp - Ginger Garlic paste, 1/4 tsp - Pepper Powder, 1/2 tsp - Chili powder, Coriander leaves, Salt to taste, 2 Tbsp - Oil, 2 - Bay leaves ,  1 - Cinnamon stick,  3 - Cardamom,  5 - Cloves, 1/2 tsp - Cumin Seeds, 1 Tbsp - Ginger Garlic paste, 3 - Green Chilies, 1/4 tsp - Turmeric powder, 2 - large Onion, 2 - large Tomato, 2 tsp - Chili powder, 2 tsp - Coriander powder, 1 tsp - Garam Masala powder, 2 tbsp - Yogurt / Curd, Coriander Leaves, Salt to taste.</t>
  </si>
  <si>
    <t>1/2 கிலோ - சிக்கன், 1 தேக்கரண்டி - இஞ்சி பூண்டு விழுது, 1/4 தேக்கரண்டி - மிளகு தூள், 1/2 தேக்கரண்டி - மிளகாய் தூள், கொத்தமல்லி இலைகள், ருசிக்க உப்பு, 2 தேக்கரண்டி - எண்ணெய், 2 - பிரியாணி இலைகள், 1 - இலவங்கப்பட்டை, 3 - ஏலக்காய், 5 - கிராம்பு, 1/2 தேக்கரண்டி - சீரகம், 1 தேக்கரண்டி - இஞ்சி பூண்டு விழுது, 3 - பச்சை மிளகாய், 1/4 தேக்கரண்டி - மஞ்சள் தூள், 2 - பெரிய வெங்காயம், 2 - பெரிய தக்காளி, 2 தேக்கரண்டி - மிளகாய் தூள், 2 தேக்கரண்டி - கொத்தமல்லி தூள், 1 தேக்கரண்டி - கரம் மசாலா தூள், 2 தேக்கரண்டி - தயிர் / தயிர், கொத்தமல்லி இலைகள், ருசிக்க உப்பு.</t>
  </si>
  <si>
    <t>In a blender add boneless chicken pieces and shred the chicken by giving few pulses.You can also use store bought minced chicken.  
Next season the chicken with ginger garlic paste, chilli powder, salt, pepper, coriander leaves and mix well to combine everything together.
You can also add 1 egg if you prefer.  After mixing make medium sized kofta balls, before that grease your hands with some oil so that the meat doesn't stick to your hands. 
Chicken koftas can be made in two ways you can either shallow fry them in oil for some time and then add it to the gravy to get crunchy taste or you can directly add them to the curry to get very soft koftas. Both the methods tastes simply delicious. 
For your reference I am going to fry half of the kofta balls and the rest I am going to add directly to the gravy you can follow any of the method . Next to make base for our Kofta Curry add onions and tomatoes in a blender and grind it to a fine paste.
I have ground the onions and tomatoes to get a smooth curry base you can also chop the onions and tomatoes very finely and add it to the curry.  
Now in a pan heat oil and add whole spices bay leaf, cinnamon stick. cardamom, cloves and cumin seeds and stir once.Then add Ginger garlic paste, green Chilies and turmeric powder and again mix it well and cook for few seconds. 
Then add the onion tomato puree and cook it for 15-20 minutes to get rid of the raw smell.  
Once you see some oil oozing out of the mixture it is right ti,e to add the masalas Chilli powder, Coriander powder, Garam Masala powder, Yogurt to get a creamy texture (you can also add cream if you prefer).Add some water and bring the entire gravy to a boil.  Once the gravy comes to a boil add the uncooked meat balls and mix it well with the gravy and cook for 7- 8 minutes and after 8 minutes add the fried meatballs and add it to the curry and cook for another 5-6 minutes. Finally add chopped coriander leaves for garnishing and turn off the heat. Our Delicious Chicken Kofta curry is ready to be served.It is an excellent side dish for rice, Chappathi, Roti and pulaos. Some times i make American chopsuey just by frying the noodles and add this curry on the top and serve with egg. 
You can replace the chicken with any kind of meat and the curry tastes really good .Please do try this chicken meatball recipe and share you feedback with us.</t>
  </si>
  <si>
    <t>ஒரு பிளெண்டரில் எலும்பில்லாத சிக்கன் துண்டுகளைச் சேர்த்து, சிக்கனை சிறிது பருப்புகள் சேர்த்து துண்டாக்கவும். கடையில் வாங்கிய துண்டு துண்தாக வெட்டப்பட்ட சிக்கனையும் பயன்படுத்தலாம். அடுத்த முறை கோழியுடன் இஞ்சி பூண்டு விழுது, மிளகாய் தூள், உப்பு, மிளகு, கொத்தமல்லி இலை சேர்த்து நன்கு கலக்கவும். 
நீங்கள் விரும்பினால் 1 முட்டையையும் சேர்க்கலாம். கலந்த பிறகு நடுத்தர அளவிலான கோஃப்தா உருண்டைகளை உருவாக்கவும், அதற்கு முன் இறைச்சி உங்கள் கைகளில் ஒட்டாமல் இருக்க உங்கள் கைகளில் சிறிது எண்ணெய் தடவவும். 
சிக்கன் கோஃப்தாக்களை இரண்டு வழிகளில் செய்யலாம், அவற்றை எண்ணெயில் சிறிது நேரம் மேலோட்டமாக வறுக்கவும், பின்னர் அதை கிரேவியில் சேர்க்கவும், மொறுமொறுப்பான சுவையைப் பெறவும் அல்லது நேரடியாக கறியில் சேர்க்கவும், இதனால் மிகவும் மென்மையான கோஃப்தாக்கள் கிடைக்கும். 
இரண்டு முறைகளும் மிகவும் சுவையாக இருக்கும். உங்கள் குறிப்புக்காக, கோஃப்தா உருண்டைகளில் பாதியை வறுக்கப் போகிறேன், மீதமுள்ளவற்றை நேரடியாக கிரேவியில் சேர்க்கப் போகிறேன், நீங்கள் எந்த முறையையும் பின்பற்றலாம். 
எங்கள் கோஃப்தா கறிக்கு அடிப்படை தயாரிக்க அடுத்து வெங்காயம் மற்றும் தக்காளியை ஒரு பிளெண்டரில் சேர்த்து நன்றாக அரைக்கவும். நான் வெங்காயம் மற்றும் தக்காளியை அரைத்து, மென்மையான கறி அடிப்படையைப் பெறவும், வெங்காயம் மற்றும் தக்காளியை மிக நன்றாக நறுக்கி கறியில் சேர்க்கலாம். இப்போது ஒரு கடாயில் எண்ணெயை சூடாக்கி, முழு மசாலாப் பொருட்களையும் சேர்த்து, வளைகுடா இலை, இலவங்கப்பட்டை குச்சி, ஏலக்காய், கிராம்பு மற்றும் சீரகம் சேர்த்து ஒரு முறை கிளறவும். பின்னர் இஞ்சி பூண்டு விழுது, பச்சை மிளகாய் மற்றும் மஞ்சள் தூள் சேர்த்து மீண்டும் நன்றாக கலந்து சில நொடிகள் சமைக்கவும். பின்னர் வெங்காய தக்காளி கூழ் சேர்த்து, பச்சை வாசனை போக 15-20 நிமிடங்கள் சமைக்கவும். 
கலவையிலிருந்து சிறிது எண்ணெய் வெளியேறுவதை நீங்கள் கண்டதும், மசாலாக்கள் மிளகாய் தூள், கொத்தமல்லி தூள், கரம் மசாலா தூள், தயிர் ஆகியவற்றைச் சேர்த்து கிரீமி அமைப்பைப் பெறுங்கள் (நீங்கள் விரும்பினால் கிரீம் சேர்க்கலாம்). சிறிது தண்ணீர் சேர்த்து முழு கிரேவியையும் கொதிக்க வைக்கவும். கிரேவி கொதித்ததும், சமைக்காத இறைச்சி உருண்டைகளைச் சேர்த்து, கிரேவியுடன் நன்றாகக் கலந்து 7-8 நிமிடங்கள் சமைக்கவும், 8 நிமிடங்களுக்குப் பிறகு வறுத்த மீட்பால்ஸைச் சேர்த்து, கறியில் சேர்த்து மேலும் 5-6 நிமிடங்கள் சமைக்கவும். இறுதியாக நறுக்கிய கொத்தமல்லி இலைகளை அலங்காரத்திற்காகச் சேர்த்து, தீயை அணைக்கவும். எங்கள் சுவையான சிக்கன் கோஃப்தா கறி பரிமாற தயாராக உள்ளது. 
இது சாதம், சப்பாத்தி, ரொட்டி மற்றும் புலாவ்களுக்கு ஒரு சிறந்த துணை உணவாகும். சில சமயங்களில் நான் நூடுல்ஸை வறுத்து அமெரிக்கன் சாப்ஸ்யூவைச் செய்து, அதன் மேல் இந்தக் கறியைச் சேர்த்து முட்டையுடன் பரிமாறுவேன். 
நீங்கள் சிக்கனுக்குப் பதிலாக வேறு எந்த வகையான இறைச்சியையும் சேர்க்கலாம், கறி மிகவும் சுவையாக இருக்கும். தயவுசெய்து இந்த சிக்கன் மீட்பால் ரெசிபியை முயற்சி செய்து உங்கள் கருத்துக்களை எங்களுடன் பகிர்ந்து கொள்ளுங்கள். இனிய சமையல்.</t>
  </si>
  <si>
    <t>https://blogger.googleusercontent.com/img/b/R29vZ2xl/AVvXsEhxmDnJ1jrQmAs9x9pqIDZcldScwUZ-I6IkElglHLAdxFFCm2YWWbP-BZPhv0O8QsIRnM14Fj2RxbUGeBqcuKTpJ000lC0NKhpR52D3-mH9leWCpIUCab9ydZqy11xQ44MfS9sSdSVVLIrl/s640/Chicken+Kofta+Curry+Recipe.JPG</t>
  </si>
  <si>
    <t>https://youtu.be/PJSt1sKNQuU</t>
  </si>
  <si>
    <t>Nei Appam</t>
  </si>
  <si>
    <t>நெய் அப்பம்</t>
  </si>
  <si>
    <t>1 Cup - Raw Rice, 3/4-1 Cup - Jaggery / Palm Sugar, 5 - Cardamom Pods, 2  Tbsp - Wheat flour, 2 Tbsp - Ghee / Clarified Butter, 1/4 tsp - Baking powder, Water(1/4 cup for jaggery + extra for batter) Water.</t>
  </si>
  <si>
    <t>1 கப் - பச்சரிசி, 3/4-1 கப் - வெல்லம் / பனங்கற்கண்டு, 5 - ஏலக்காய் காய்கள், 2 டேபிள்ஸ்பூன் - கோதுமை மாவு, 2 டேபிள்ஸ்பூன் - நெய் / தெளித்த வெண்ணெய், 1/4 டீஸ்பூன் - பேக்கிங் பவுடர், தண்ணீர் (வெல்லத்திற்கு 1/4 கப் + மாவுக்கு கூடுதலாக) தண்ணீர்.</t>
  </si>
  <si>
    <t>Soak raw rice in water for 4 hours , after 4 hours drain the water completely and spread it on a cloth and let it sit for 20 minutes to get get rid of the excess moisture.
Then add it to a blender and also add cardamom pods along with this and grind it to a fine powder. (if you have cardamom powder then you can directly add it to the batter later) .  In a pan melt powdered / grated jaggey with 1/4 cup of water. 
We are not looking for any consistency just melt  the jaggery until completely dissolved.
Grate or powder the jaggery before adding so that it dissolves soon and evenly. I have taken somewhere between 3/4- 1 cup of jaggey.  In a bowl combine raw rice flour, jaggery (strain it through a filter to remove any dirt ), wheat flour, baking powder and ghee.Mix well and then gradually add water and make it into a batter (Pouring consistency) be careful while adding water do not add too much water. After mixing everthing together let it rest for 2 hours.  After 2 hours check the batter, if it is hard then add a little bit of water and mix well.(pouring consistency-slightly thicker than dosa batter consistency). 
Heat oil in a kadai and pour a ladle of batter and deep fry them until you get nice golden brown color on the outside and until the sides turns crispy.
Do not fry it for a long time it makes the panirayams hard.   Thatt home and share your feedback with us. 
Spread the Joy of Cooking.'s it our Delicious nei appams are ready to be enjoyed with a cup of black tea or Chukku Kaapi. Please do try this easy sweet paniyaram .</t>
  </si>
  <si>
    <t>பச்சை அரிசியை 4 மணி நேரம் தண்ணீரில் ஊறவைத்து, 4 மணி நேரம் கழித்து தண்ணீரை முழுவதுமாக வடிகட்டி ஒரு துணியில் பரப்பி, அதிகப்படியான ஈரப்பதத்தை அகற்ற 20 நிமிடங்கள் அப்படியே வைக்கவும். பின்னர் அதை ஒரு பிளெண்டரில் சேர்த்து, அதனுடன் ஏலக்காய் காய்களையும் சேர்த்து நன்றாக அரைக்கவும். (உங்களிடம் ஏலக்காய் தூள் இருந்தால், பின்னர் நேரடியாக மாவில் சேர்க்கலாம்). 
ஒரு பாத்திரத்தில் பொடித்த / துருவிய வெல்லத்தை 1/4 கப் தண்ணீரில் உருக்கவும். நாங்கள் எந்த நிலைத்தன்மையையும் தேடவில்லை, வெல்லத்தை முழுமையாகக் கரைக்கும் வரை உருக்கவும். 
வெல்லத்தை அரைக்கவும் அல்லது பொடி செய்யவும், இதனால் அது விரைவில் மற்றும் சமமாக கரையும். நான் 3/4- 1 கப் வெல்லம் எடுத்துள்ளேன். 
ஒரு பாத்திரத்தில் பச்சரிசி மாவு, வெல்லம் (அழுக்கை வடிகட்டி நீக்கவும்), கோதுமை மாவு, பேக்கிங் பவுடர் மற்றும் நெய் ஆகியவற்றை ஒன்றாகச் சேர்த்து நன்கு கலக்கவும். 
பின்னர் படிப்படியாக தண்ணீரைச் சேர்த்து மாவாக மாற்றவும் (ஊற்றுதல் நிலைத்தன்மை) தண்ணீர் சேர்க்கும்போது கவனமாக இருங்கள். எல்லாவற்றையும் ஒன்றாகக் கலந்த பிறகு, அதை 2 மணி நேரம் அப்படியே விடவும். 2 மணி நேரம் கழித்து மாவைச் சரிபார்க்கவும், அது கடினமாக இருந்தால், சிறிது தண்ணீர் சேர்த்து நன்கு கலக்கவும். (ஊற்றுதல் நிலைத்தன்மை - தோசை மாவை விட சற்று தடிமனாக இருக்கும்). ஒரு கடாயில் எண்ணெயைச் சூடாக்கி, ஒரு கரண்டி மாவை ஊற்றி, வெளிப்புறத்தில் நல்ல தங்க பழுப்பு நிறம் வரும் வரை மற்றும் பக்கவாட்டுகள் மொறுமொறுப்பாக மாறும் வரை ஆழமாக வறுக்கவும். 
நீண்ட நேரம் வறுக்க வேண்டாம், இது பனிராயம் கடினமாக இருக்கும். தட் வீட்டில் வைத்து உங்கள் கருத்தை எங்களுடன் பகிர்ந்து கொள்ளுங்கள். சமையலின் மகிழ்ச்சியைப் பரப்புங்கள். 
எங்கள் சுவையான நெய் அப்பங்கள் ஒரு கப் கருப்பு தேநீர் அல்லது சுக்கு காபியுடன் அனுபவிக்க தயாராக உள்ளன. இந்த எளிதான இனிப்பு பணியாரத்தை முயற்சி செய்து பாருங்கள்.</t>
  </si>
  <si>
    <t>https://blogger.googleusercontent.com/img/b/R29vZ2xl/AVvXsEicqa0H9iwSguzSuzThcJb6RCq4T0bUC0XRXnZhAnXyUEUxdMtQts56R0IkHiQ4lyM3eAArrhCXVz1FcvMa8x3Kq1ocvObA8xsUJCxLwdqMRLrAD1X9nhyStC7-xGn_i8h3Cj0V0oHx1s5e/s640/Nei+appam+Recipe+in+TAmil.JPG</t>
  </si>
  <si>
    <t>Paneer Ghee</t>
  </si>
  <si>
    <t>பனீர் நெய்</t>
  </si>
  <si>
    <t>Veg Starter</t>
  </si>
  <si>
    <t>5 - Kashmiri Chilies, 1 tsp - Coriander Seeds, 1 tsp - cumin seeds, 1 tsp - Fennel Seeds, 1 tsp - Pepper Corns, 4-5 - Dry red chilies, 1 inch - Ginger, 2 - Cloves of Garlic, 1 Tbsp - Lemon juice, 1/4 tsp - Turmeric Powder, 4 Tbsp - Ghee / Clarified butter, 1(150g) - Onion, 1/4 cup - Yogurt / Curd, 1 tsp - coriander powder, Salt to taste.</t>
  </si>
  <si>
    <t>5 - காஷ்மீரி மிளகாய், 1 தேக்கரண்டி - கொத்தமல்லி விதைகள், 1 தேக்கரண்டி - சீரகம், 1 தேக்கரண்டி - பெருஞ்சீரகம் விதைகள், 1 தேக்கரண்டி - மிளகு, 4-5 - உலர்ந்த சிவப்பு மிளகாய், 1 அங்குலம் - இஞ்சி, 2 - பூண்டு கிராம்பு, 1 தேக்கரண்டி - எலுமிச்சை சாறு, 1/4 தேக்கரண்டி - மஞ்சள் தூள், 4 தேக்கரண்டி - நெய் / தெளித்த வெண்ணெய், 1 (150 கிராம்) - வெங்காயம், 1/4 கப் - தயிர் / தயிர், 1 தேக்கரண்டி - கொத்தமல்லி தூள், சுவைக்கு உப்பு.</t>
  </si>
  <si>
    <t>Dry roast Kashmiri chilies in a pan ,once roasted take it out and keep aside.Then in the same pan roast coriander seeds, cumin seeds, Fennel seeds, pepper corns and dry red chilies.
The reason why we are roasting separately is because the kashmiri chilies are larger in size and all other ingredients are much smaller compared to it so the seeds might easily get burnt so to avoid burning we are roasting them separately.
Do this on a low-medium heat and be careful while roasting the masalas, do not burn the seeds.  Transfer all the ingredients into a blender and add a piece of ginger, garlic, lemon juice, Turmeric powder and grind it into a smooth and a thick paste.
I have used 1/3 cup of water while grinding.  Melt ghee in a wide pan and fry the paneer on a medium heat until all the sides turns golden. Cut the paneer into medium sized cubes.
Do not over fry the paneer it will become hard so as soon as you see golden color remove the paneer from the ghee.  Now in the same ghee add one finely chopped onion, some salt and saute the onions for 2 minutes. Once the onions are nice and translucent add the ground chettinad masala and also add yogurt to it and mix well and cook the mixture for sometime (8-10 minutes on medium heat) until all the raw smell of the masala is gone.   Once you see some ghee oozing out of the mixture it is perfect time to add the roasted paneer and mix it well with the onion masala mixture and cook for another minute.Finally add some curry leaves for garnishing and turn off the heat.   That is it our delicious and spicy Paneer Ghee roast is ready to be served. It goes excellent with pulao and plain rice. 
You can make this as a semi gravy version by adding some water to the onion masala mixture and after it comes to a boil add the paneer pieces.Semi gravy paneer masala goes very well with chapathi and rotis. We can also replace panner with Mushrooms, Cauliflower and even with potatoes.I have tried with potatoes twice and had as a side for roti my family really loved the recipe and i have started to experiment lot of dishes with the same base.
Please do try this simple yet delicious paneer recipe and share your feedback with us. Spread the Joy of Cooking.</t>
  </si>
  <si>
    <t>காஷ்மீரி மிளகாயை ஒரு பாத்திரத்தில் வறுத்து, வறுத்தவுடன் எடுத்து தனியாக வைக்கவும். 
பின்னர் அதே பாத்திரத்தில் கொத்தமல்லி விதைகள், சீரகம், பெருஞ்சீரகம், மிளகு மற்றும் உலர்ந்த சிவப்பு மிளகாய் ஆகியவற்றை வறுக்கவும். காஷ்மீரி மிளகாய் அளவு பெரியதாகவும், மற்ற அனைத்து பொருட்களும் அதனுடன் ஒப்பிடும்போது மிகச் சிறியதாகவும் இருப்பதால் விதைகள் எளிதில் எரிந்துவிடும், எனவே எரிவதைத் தவிர்க்க அவற்றை தனித்தனியாக வறுக்கிறோம். 
இதை குறைந்த-நடுத்தர தீயில் செய்யவும், மசாலாக்களை வறுக்கும்போது கவனமாக இருங்கள், விதைகளை எரிக்க வேண்டாம். அனைத்து பொருட்களையும் ஒரு பிளெண்டரில் மாற்றி, இஞ்சி, பூண்டு, எலுமிச்சை சாறு, மஞ்சள் தூள் ஆகியவற்றைச் சேர்த்து, மென்மையான மற்றும் அடர்த்தியான பேஸ்டாக அரைக்கவும். 
அரைக்கும் போது நான் 1/3 கப் தண்ணீரைப் பயன்படுத்தினேன். ஒரு அகலமான வாணலியில் நெய்யை உருக்கி, மிதமான தீயில் பனீரை அனைத்து பக்கங்களும் பொன்னிறமாகும் வரை வறுக்கவும். 
பனீரை நடுத்தர அளவிலான க்யூப்ஸாக வெட்டவும். பனீரை அதிகமாக வறுக்க வேண்டாம், அது கடினமாகிவிடும், எனவே நீங்கள் தங்க நிறம் பார்த்தவுடன் பனீரை நெய்யிலிருந்து அகற்றவும். 
இப்போது அதே நெய்யில் ஒரு பொடியாக நறுக்கிய வெங்காயம், சிறிது உப்பு சேர்த்து வெங்காயத்தை 2 நிமிடங்கள் வதக்கவும். வெங்காயம் நன்றாக வதங்கியதும் அரைத்த செட்டிநாடு மசாலாவை சேர்த்து தயிர் சேர்த்து நன்கு கலந்து, மசாலாவின் பச்சை வாசனை போகும் வரை சிறிது நேரம் (8-10 நிமிடங்கள் மிதமான தீயில்) வதக்கவும். 
கலவையிலிருந்து சிறிது நெய் வெளியேறுவதை நீங்கள் கண்டதும், வறுத்த பனீரைச் சேர்த்து வெங்காய மசாலா கலவையுடன் நன்கு கலந்து மற்றொரு நிமிடம் சமைக்க சரியான நேரம். இறுதியாக அலங்கரிக்க சிறிது கறிவேப்பிலையைச் சேர்த்து அடுப்பை அணைக்கவும். 
அவ்வளவுதான் எங்கள் சுவையான மற்றும் காரமான பனீர் நெய் வறுவல் பரிமாற தயாராக உள்ளது. இது புலாவ் மற்றும் சாதாரண சாதத்துடன் சிறப்பாக இருக்கும். வெங்காய மசாலா கலவையில் சிறிது தண்ணீர் சேர்த்து, கொதி வந்த பிறகு பனீர் துண்டுகளைச் சேர்த்து, இதை அரை கிரேவி பதிப்பாகச் செய்யலாம். 
அரை கிரேவி பனீர் மசாலா சப்பாத்தி மற்றும் ரொட்டியுடன் மிகவும் நன்றாக இருக்கும். பன்னருக்குப் பதிலாக காளான், காலிஃபிளவர் மற்றும் உருளைக்கிழங்கையும் சேர்த்து சாப்பிடலாம். நான் இரண்டு முறை உருளைக்கிழங்கை முயற்சித்தேன், ரொட்டிக்கு பக்க உணவாக சாப்பிட்டேன், என் குடும்பத்தினருக்கு இந்த செய்முறை மிகவும் பிடித்திருந்தது, அதே அடிப்படையுடன் நிறைய உணவுகளை நான் பரிசோதிக்கத் தொடங்கினேன். 
தயவுசெய்து இந்த எளிய ஆனால் சுவையான பனீர் செய்முறையை முயற்சி செய்து உங்கள் கருத்துக்களை எங்களுடன் பகிர்ந்து கொள்ளுங்கள். சமையலின் மகிழ்ச்சியைப் பரப்புங்கள்.</t>
  </si>
  <si>
    <t>https://blogger.googleusercontent.com/img/b/R29vZ2xl/AVvXsEiItnR_i-DFILnme1lj0UlGCql4HJY-PZ2kunVZsqbkGs2xzGadLuBDuPwLoA5lFLc9Fo_OP2dzNaJI4YinmbFCPj6cJGWGpC1n1BR4DQ5hQDYL8LIKPN_CSogYnYP3lnmXSrlMMtf7J1-L/s640/Paneer+Ghee+roast.JPG</t>
  </si>
  <si>
    <t>https://youtu.be/9-LGdjbNrDc</t>
  </si>
  <si>
    <t>Karuvattu Kulambu</t>
  </si>
  <si>
    <t>கருவாட்டுக்குளம்</t>
  </si>
  <si>
    <t>1 tbsp - Oil, 1/4 tsp - fenugreek seeds, 1 tsp - cumin seeds, 1 tsp - pepper corns, 3 - cloves of garlic, 10-12 - shallots, 1 - tomato, 1/4 tsp - turmeric powder, 2 tsp - Chilli powder, 3 tsp - coriander powder, 1 cup - Grated coconut, 2 tbsp - of oil, 1/4 tsp - Mustard seeds, 2 - Brinjal / eggplant, 1 - Drumstick, 2 - Green Chilies, tamarind extract, Water, Salt to taste, Curry Leaves.</t>
  </si>
  <si>
    <t>1 டீஸ்பூன் - எண்ணெய், 1/4 டீஸ்பூன் - வெந்தயம், 1 டீஸ்பூன் - சீரகம், 1 டீஸ்பூன் - மிளகுத்தூள், 3 - பூண்டு பல், 10-12 - வெங்காயத்தாள், 1 - தக்காளி, 1/4 டீஸ்பூன் - மஞ்சள் தூள், 2 டீஸ்பூன் - மிளகாய் தூள், 3 டீஸ்பூன் - கொத்தமல்லி தூள், 1 கப் - துருவிய தேங்காய், 2 டீஸ்பூன் - எண்ணெய், 1/4 டீஸ்பூன் - கடுகு, 2 - கத்திரிக்காய் / கத்திரிக்காய், 1 - முருங்கைக்காய், 2 - பச்சை மிளகாய், புளி சாறு, தண்ணீர், ருசிக்கேற்ப உப்பு, கறிவேப்பிலை.</t>
  </si>
  <si>
    <t>Heat some oil in a pan and add fenugreek seeds, cumin seeds and pepper corns and mix it once. Then add garlic and shallots and cook until the shallots turns soft.  Add turmeric powder, chilli powder, coriander powder and then add tomato and cook it for few minutes until the tomatoes turns mushy. Add a little bit of water to prevent the masalas from burning.   Then transfer the ingredients to a blender and also also add grated coconut to it and grind it to a very smooth paste. use fresh coconut for the recipe desiccated coconut doesn't not taste good for this recipe.  Now to make karuvattu kulambu heat 2 tbsp of oil in a pan and add mustard seeds, once the seeds crackle add brinjal and drumstick.Cook this for 3 minutes or until the brinjal turns soft.once soft add green chilies and also add the ground coconut masala mixture.Then add tamarind extract and required water. (I rinsed the pot with some water after sauteing the masalas and added ). Most of the dry fish comes with salt so check for salt and then add salt to the curry.  After adding all the ingredients bring the gravy to a boil,once it comes to a boil add the dry fish and cook for 10-15 minutes on a medium heat.It is very important to cook the fish for 10- 15 minutes, only then all the flavors from the fish will diffuse into the gravy and you will get the best and awesome taste.   Final step is to garnish the Dry fish curry with some curry leaves and turn off the heat. Karuvattu curry tastes even better when heated and served on the next day.</t>
  </si>
  <si>
    <t>ஒரு கடாயில் சிறிது எண்ணெய் சூடாக்கி, வெந்தயம், சீரகம் மற்றும் மிளகுத்தூள் சேர்த்து ஒரு முறை கலக்கவும். பின்னர் பூண்டு மற்றும் வெங்காயத்தாள் சேர்த்து வெங்காயத்தாள் மென்மையாகும் வரை வதக்கவும். மஞ்சள் தூள், மிளகாய் தூள், கொத்தமல்லி தூள் சேர்த்து, தக்காளி சேர்த்து சில நிமிடங்கள் தக்காளி மென்மையாகும் வரை வதக்கவும். மசாலாக்கள் எரியாமல் இருக்க சிறிது தண்ணீர் சேர்க்கவும். பின்னர் பொருட்களை ஒரு பிளெண்டரில் போட்டு, அதில் துருவிய தேங்காயையும் சேர்த்து, மிகவும் மென்மையான பேஸ்டாக அரைக்கவும். செய்முறைக்கு புதிய தேங்காயைப் பயன்படுத்தவும் உலர்த்திய தேங்காய் இந்த செய்முறைக்கு சுவையாக இருக்காது. இப்போது கருவட்டு குழம்பு செய்ய ஒரு வாணலியில் 2 டேபிள்ஸ்பூன் எண்ணெயை சூடாக்கி, கடுகு சேர்க்கவும், விதைகள் வெடித்ததும் கத்திரிக்காய் மற்றும் முருங்கைக்காய் சேர்க்கவும். கத்திரிக்காய் மென்மையாக மாறும் வரை 3 நிமிடங்கள் அல்லது சமைக்கவும். மென்மையாகியதும் பச்சை மிளகாய் சேர்த்து அரைத்த தேங்காய் மசாலா கலவையை சேர்க்கவும். பின்னர் புளி சாறு மற்றும் தேவையான தண்ணீரை சேர்க்கவும். (மசாலாக்களை வதக்கிய பிறகு பாத்திரத்தை சிறிது தண்ணீரில் கழுவி சேர்த்தேன்). பெரும்பாலான உலர்ந்த மீன்களில் உப்பு இருக்கும், எனவே உப்பு இருக்கிறதா என்று சரிபார்த்து, பின்னர் கறியில் உப்பு சேர்க்கவும். அனைத்து பொருட்களையும் சேர்த்த பிறகு, குழம்பை ஒரு கொதி நிலைக்கு கொண்டு வாருங்கள், அது ஒரு கொதி வந்ததும் உலர்ந்த மீனைச் சேர்த்து மிதமான தீயில் 10-15 நிமிடங்கள் சமைக்கவும். மீனை 10-15 நிமிடங்கள் சமைப்பது மிகவும் முக்கியம், அப்போதுதான் மீனின் அனைத்து சுவைகளும் குழம்பில் பரவி சிறந்த மற்றும் அற்புதமான சுவையைப் பெறுவீர்கள். இறுதியாக, உலர்ந்த மீன் கறியை சிறிது கறிவேப்பிலை இலைகளால் அலங்கரித்து, அடுப்பை அணைக்க வேண்டும். கருவாட்டு கறியை சூடாக்கி மறுநாள் பரிமாறும்போது இன்னும் நன்றாக ருசிக்கும்.</t>
  </si>
  <si>
    <t>https://blogger.googleusercontent.com/img/b/R29vZ2xl/AVvXsEhEJl1NPiMXCc9DlAxJTIKBmMIpMjgp-Y3cYz4w78U0ZywU60oOCcep5Kqm3fvSF7r_8aH0oqHQgTaa4GCizTbskXKZeAu8CEe2D6dDEFQBr2q0qeAR1dLLXtQNGwh-IN6MS8kNK8iqnLnA/s640/Karuvattu+kulambu+in+tamil.JPG</t>
  </si>
  <si>
    <t>Lemon Chicken</t>
  </si>
  <si>
    <t>எலுமிச்சை சிக்கன்</t>
  </si>
  <si>
    <t>1/2 Kg - Chicken (bonelss chicken), 1 tbsp - SOY sauce, 1 - Egg, 1 tbsp - Lemon Juice, 1/2 tsp - Pepper, Salt, 1/2 cup - Corn flour / corn starch (for coating), 1/4 cup - Lemon Juice, 2 Tbsp - Honey, 2 Tbsp - Corn flour / corn starch, 1 inch - Ginger, 1 tsp - Lemon Zest, 1 Tbsp - Oil, 1 cup - Water.</t>
  </si>
  <si>
    <t>எலுமிச்சை சிக்கன் 1/2 கிலோ - சிக்கன் (போனல்ஸ் சிக்கன்), 1 டேபிள் ஸ்பூன் - சோயா சாஸ், 1 - முட்டை, 1 டேபிள் ஸ்பூன் - எலுமிச்சை சாறு, 1/2 டேபிள் ஸ்பூன் - மிளகு, உப்பு, 1/2 கப் - சோள மாவு / சோள மாவு (பூச்சுக்கு), 1/4 கப் - எலுமிச்சை சாறு, 2 டேபிள் ஸ்பூன் - தேன், 2 டேபிள் ஸ்பூன் - சோள மாவு / சோள மாவு, 1 அங்குலம் - இஞ்சி, 1 டேபிள் ஸ்பூன் - எலுமிச்சை தோல், 1 டேபிள் ஸ்பூன் - எண்ணெய், 1 கப் - தண்ணீர். ஒரு பாத்திரத்தில் சோயா சாஸ், முட்டை, எலுமிச்சை சாறு உப்பு மற்றும் மிளகு ஆகியவற்றை கலந்து, பின்னர் கோழி துண்டுகளைச் சேர்த்து அனைத்தையும் நன்றாக கலக்கவும். 15-20 நிமிடங்கள் ஒதுக்கி வைக்கவும். இந்த செய்முறைக்கு எலும்பு இல்லாத சிக்கனைப் பயன்படுத்தி, சிக்கனை நடுத்தர அளவிலான துண்டுகளாக வெட்டவும். 20 நிமிடங்கள் மரைனேட் செய்த பிறகு, சிக்கன் துண்டுகளை சோள மாவுடன் நன்றாக பூசி, சோள மாவு கோழியைச் சுற்றி ஒட்டிக்கொள்ளும் வகையில் பார்த்துக் கொள்ளவும். பூசப்பட்ட கோழியை எண்ணெயில் நன்றாகவும் மொறுமொறுப்பாகவும் வறுக்கவும். கோழி நன்றாக வெந்தவுடன் அதை எண்ணெயிலிருந்து வடித்து தனியாக வைக்கவும். எலுமிச்சை சாறு (2 பெரிய எலுமிச்சையிலிருந்து), தேன் அல்லது சர்க்கரை, சோள மாவு மற்றும் தண்ணீரை ஒரு பாத்திரத்தில் சேர்த்து நன்கு கலக்கவும். சுவையை அதிகரிக்க தண்ணீருக்கு பதிலாக சிக்கன் ஸ்டாக்கையும் சேர்க்கலாம். அடித்தளத்தை கெட்டியாக்க சோள மாவு சேர்க்கப்படுகிறது. சீரான சுவையைப் பெற தேன் அல்லது சர்க்கரை சேர்க்கப்படுகிறது. உங்கள் சுவைக்கு ஏற்ப தேனின் அளவை எப்போதும் சரிசெய்யலாம். ஒரு பாத்திரத்தில் 1 டீஸ்பூன் எண்ணெயை சூடாக்கி, நறுக்கிய இஞ்சியைச் சேர்த்து சில நொடிகள் வதக்கவும். பின்னர் படி 4 இல் தயாரிக்கப்பட்ட எலுமிச்சை சாஸைச் சேர்த்து நன்கு கலக்கவும், எலுமிச்சை சாஸைச் சேர்ப்பதற்கு முன், வண்டல் படிவதை உறுதிசெய்ய நன்றாக கலக்கவும். சில நிமிடங்களுக்குள் அடித்தளம் இப்போது கெட்டியாகிவிடும், இந்த கட்டத்தில் எலுமிச்சை தோலைச் சேர்த்து (பாதி எலுமிச்சையின் தோலைத் தட்டி) நன்கு கலக்கவும். இறுதியாக வறுத்த கோழியைச் சேர்த்து எலுமிச்சை சாஸுடன் நன்கு கலந்து ஒரு நிமிடம் சமைக்கவும். எலுமிச்சை சிக்கனை சிறிது எள் மற்றும் நறுக்கிய வெங்காயத்துடன் அலங்கரித்து பரிமாறவும். எங்கள் சுவையான லெமன் சிக்கன் சைனீஸ் ஸ்டைல், அரிசி வகைகள் அல்லது ஃபிரைடு ரைஸ் ரெசிபியுடன் பரிமாற தயாராக உள்ளது. நீங்கள் மசாலா பிரியர் என்றால், இது எலுமிச்சை சிக்கன் செய்வதற்கான எளிதான பதிப்பாகும், பின்னர் சிக்கனில் சிறிது மிளகாய் தூள் மற்றும் எண்ணெயில் சிறிது காய்ந்த மிளகாய் சேர்த்து, இஞ்சியைச் சேர்த்து, பின்னர் அதே செய்முறையைத் தொடரவும். இது ஒரு புத்துணர்ச்சியூட்டும் செய்முறை, நீங்கள் இதை விரும்புவீர்கள் என்று நான் உத்தரவாதம் அளிக்கிறேன். சமையல் மகிழ்ச்சியைப் பரப்புங்கள் !!!</t>
  </si>
  <si>
    <t>Mix Soy sauce, egg, lemon juice salt and pepper in a bowl and then add the chicken pieces and combine everything well.Set it aside for 15-20 minutes.Use boneless chicken for this recipe and cut the chicken into medium sized pieces .  After 20 minutes of marination coat the chicken pieces well with corn flour and make sure the corn flour sticks all around the chicken .  Fry the coated chicken in oil until they are nice and crispy.Once the chicken is cooked well drain it from the oil and keep it aside.  Combined lemon juice (from 2 large lemons), honey or sugar, corn flour and water in a bowl and mix well to dissolve it completely. You can also add chicken stock instead of water to enhance the flavor. Corn flour is added to thicken the base. Honey or sugar is added to get a balanced taste you can always adjust the amount of honey according to your taste.  Heat 1 tbsp of oil in a pan and add chopped ginger and saute it for a few seconds. Then add the prepared lemon sauce from step 4 and mix well, before adding the lemon sauce mix it really well to ensure no sedimentation.Within few minutes the base will thicken now at this stage add lemon zest (grate skin of half lemon) and mix well. Finally add the Fried chicken and mix well with the lemon sauce and cook for one more minute.    Garnish the lemon Chicken with some sesame seeds and chopped spring onions and serve.  Our delicious Lemon Chicken Chinese style is ready to be served with rice varieties or fried rice recipe. This is an easy version of making lemon chicken if you are spice lover then you add some chilli powder to the chicken and some dry chilies in the oil before adding ginger and then continue the same recipe.This is a refreshing recipe and I can guarantee that you will love it. Spread the Joy of Cooking !!!</t>
  </si>
  <si>
    <t>ஒரு பாத்திரத்தில் சோயா சாஸ், முட்டை, எலுமிச்சை சாறு உப்பு மற்றும் மிளகு ஆகியவற்றை கலந்து, பின்னர் கோழி துண்டுகளைச் சேர்த்து அனைத்தையும் நன்றாக கலக்கவும். 15-20 நிமிடங்கள் ஒதுக்கி வைக்கவும். இந்த செய்முறைக்கு எலும்பு இல்லாத சிக்கனைப் பயன்படுத்தி, சிக்கனை நடுத்தர அளவிலான துண்டுகளாக வெட்டவும். 20 நிமிடங்கள் மரைனேட் செய்த பிறகு, சிக்கன் துண்டுகளை சோள மாவுடன் நன்றாக பூசி, சோள மாவு கோழியைச் சுற்றி ஒட்டிக்கொள்ளும் வகையில் பார்த்துக் கொள்ளவும். பூசப்பட்ட கோழியை எண்ணெயில் நன்றாகவும் மொறுமொறுப்பாகவும் வறுக்கவும். கோழி நன்றாக வெந்தவுடன் அதை எண்ணெயிலிருந்து வடித்து தனியாக வைக்கவும். எலுமிச்சை சாறு (2 பெரிய எலுமிச்சையிலிருந்து), தேன் அல்லது சர்க்கரை, சோள மாவு மற்றும் தண்ணீரை ஒரு பாத்திரத்தில் சேர்த்து நன்கு கலக்கவும். சுவையை அதிகரிக்க தண்ணீருக்கு பதிலாக சிக்கன் ஸ்டாக்கையும் சேர்க்கலாம். அடித்தளத்தை கெட்டியாக்க சோள மாவு சேர்க்கப்படுகிறது. சீரான சுவையைப் பெற தேன் அல்லது சர்க்கரை சேர்க்கப்படுகிறது. உங்கள் சுவைக்கு ஏற்ப தேனின் அளவை எப்போதும் சரிசெய்யலாம். ஒரு பாத்திரத்தில் 1 டீஸ்பூன் எண்ணெயை சூடாக்கி, நறுக்கிய இஞ்சியைச் சேர்த்து சில நொடிகள் வதக்கவும். பின்னர் படி 4 இல் தயாரிக்கப்பட்ட எலுமிச்சை சாஸைச் சேர்த்து நன்கு கலக்கவும், எலுமிச்சை சாஸைச் சேர்ப்பதற்கு முன், வண்டல் படிவதை உறுதிசெய்ய நன்றாக கலக்கவும். சில நிமிடங்களுக்குள் அடித்தளம் இப்போது கெட்டியாகிவிடும், இந்த கட்டத்தில் எலுமிச்சை தோலைச் சேர்த்து (பாதி எலுமிச்சையின் தோலைத் தட்டி) நன்கு கலக்கவும். இறுதியாக வறுத்த கோழியைச் சேர்த்து எலுமிச்சை சாஸுடன் நன்கு கலந்து ஒரு நிமிடம் சமைக்கவும். எலுமிச்சை சிக்கனை சிறிது எள் மற்றும் நறுக்கிய வெங்காயத்துடன் அலங்கரித்து பரிமாறவும். எங்கள் சுவையான லெமன் சிக்கன் சைனீஸ் ஸ்டைல், அரிசி வகைகள் அல்லது ஃபிரைடு ரைஸ் ரெசிபியுடன் பரிமாற தயாராக உள்ளது. நீங்கள் மசாலா பிரியர் என்றால், இது எலுமிச்சை சிக்கன் செய்வதற்கான எளிதான பதிப்பாகும், பின்னர் சிக்கனில் சிறிது மிளகாய் தூள் மற்றும் எண்ணெயில் சிறிது காய்ந்த மிளகாய் சேர்த்து, இஞ்சியைச் சேர்த்து, பின்னர் அதே செய்முறையைத் தொடரவும். இது ஒரு புத்துணர்ச்சியூட்டும் செய்முறை, நீங்கள் இதை விரும்புவீர்கள் என்று நான் உத்தரவாதம் அளிக்கிறேன். சமையல் மகிழ்ச்சியைப் பரப்புங்கள் !!!</t>
  </si>
  <si>
    <t>https://blogger.googleusercontent.com/img/b/R29vZ2xl/AVvXsEisXwl7SrlcUKb2a1xHzJvteWcoOS0TMsnySXa7XaZ_U9zxFJ3-OQ7VBC-OJPfHzQYUBgryx6oCZmSDQ7abbv8RN_Qd8w5t-L06o2x6YfYmASdcoc942YX9sgL0Ds7bxNzS1yDCy-BIXnsS/s640/Lemon+Chicken+Recipe+.JPG</t>
  </si>
  <si>
    <t>https://youtu.be/kGEQ5MpFauU</t>
  </si>
  <si>
    <t>Chicken Kathi Roll</t>
  </si>
  <si>
    <t>சிக்கன் கத்தி ரோல்</t>
  </si>
  <si>
    <t>Chaat Recipes</t>
  </si>
  <si>
    <t>1 cup - All purpose flour / Maida, 1/4 cup - Wheat flour, 1/4 cup - Wheat flour, Salt to taste, water, 250 g - Chicken, 1 tbsp - oil, 1/2 tsp - cumin seeds, 1 - onion, 1 - tomato, 1 tsp - Ginger garlic paste, 1/4 tsp - Turmeric powder, 1 tsp - Chilli powder, 1 -  Chat masala powder, 1/2 tsp - Garam Masala Powder, 1/2 tsp - Cumin powder, 1 tbsp - lemon Juice, Salt to taste, Coriander leaves.</t>
  </si>
  <si>
    <t>1 கப் - அனைத்து உபயோக மாவு / மைதா, 1/4 கப் - கோதுமை மாவு, 1/4 கப் - கோதுமை மாவு, 1/4 கப் - கோதுமை மாவு, ருசிக்கேற்ப உப்பு, தண்ணீர், 250 கிராம் - சிக்கன், 1 டீஸ்பூன் - எண்ணெய், 1/2 டீஸ்பூன் - சீரகம், 1 - வெங்காயம், 1 - தக்காளி, 1 டீஸ்பூன் - இஞ்சி பூண்டு விழுது, 1/4 டீஸ்பூன் - மஞ்சள் தூள், 1 டீஸ்பூன் - மிளகாய் தூள், 1 - சாட் மசாலா தூள், 1/2 டீஸ்பூன் - கரம் மசாலா தூள், 1/2 டீஸ்பூன் - சீரக தூள், 1 டீஸ்பூன் - எலுமிச்சை சாறு, ருசிக்கேற்ப உப்பு, கொத்தமல்லி இலைகள்.</t>
  </si>
  <si>
    <t>In a bowl combine Maida, wheat flour, salt ,oil and mix it well.now to the mixture slowly and gradually add water and start to knead.Knead it into a very soft and smooth dough.The dough should not be hard.After kneading Cover and let it rest for 20 minutes.  Heat oil in a pan and once the oil is hot add cumin seeds and then add 1 chopped onion some salt and saute it for few seconds.Once the onions are translucent add the masalas Ginger garlic paste , chili powder, garma masala , cumin powder and chat masala and mix well.Then add chopped tomato and cook for some time.  Once the tomatoes turns soft add the chicken pieces cut into very small pieces, juice of half lemon and mix it well with the masalas and and cook for 5-6 minutes or until the chicken is fully cooked and becomes dry. Finally add some chopped coriander leaves and turn off the heat.  Now after 20 minutes divide the dough and the stuffing into 3 equal portions and start to roll a dough. Sprinkle some flour on the top so that the dough doesn't stick to the rolling pin and it will be easy for us to roll.After rolling into a very thin sheet cover the rotis in a damn cloth to prevent from drying. We also need 2 eggs for this recipe so beat 2 eggs and keep it aside.  Heat a tawa and grease it with some oil, Heat should be on a low stetting otherwise the roti will become hard soon. Place the roti and again apply some oil on the top and immediately flip it to the other side. Pour 1/3 of the beaten eggs on to the top of roti and spread it all over the sheet.Cook it for few seconds and flip it to the other side and cook for another few seconds until you see nice golden spots on the bottom side.  After making Roti place the chicken stuffing at the center of the roti and also place some sliced onions to get that crunchy taste and start to roll from one end. After rolling cut the roll into 2 halves.   You can add coriander or mint chutney at the center to get that refreshing flavor. If you are a great fan of mayonnaise then you can spread a layer of mayonnaise on the roti and ten stuff it with chicken that tastes even delicious. That is it our awesome Chicken Frankie is ready to be served.Do try this Chicken Kathi Roll and share your feedback. Spread the Joy Of Cooking.</t>
  </si>
  <si>
    <t>ஒரு பாத்திரத்தில் மைதா, கோதுமை மாவு, உப்பு, எண்ணெய் சேர்த்து நன்கு கலக்கவும். இப்போது மெதுவாகவும் படிப்படியாகவும் தண்ணீர் சேர்த்து பிசையத் தொடங்குங்கள். மிகவும் மென்மையான மற்றும் மென்மையான மாவாக பிசையவும். மாவு கடினமாக இருக்கக்கூடாது. பிசைந்த பிறகு மூடி வைத்து 20 நிமிடங்கள் ஓய்வெடுக்கவும். ஒரு பாத்திரத்தில் எண்ணெயை சூடாக்கி, எண்ணெய் சூடானதும் சீரகத்தை சேர்த்து, பின்னர் 1 நறுக்கிய வெங்காயத்தை சிறிது உப்பு சேர்த்து சில நொடிகள் வதக்கவும். வெங்காயம் தெளிவாகத் தெரிந்ததும் மசாலாக்கள், இஞ்சி பூண்டு விழுது, மிளகாய் தூள், கர்மா மசாலா, சீரகப் பொடி மற்றும் சாட் மசாலா சேர்த்து நன்கு கலக்கவும். பின்னர் நறுக்கிய தக்காளியைச் சேர்த்து சிறிது நேரம் சமைக்கவும். தக்காளி மென்மையாக மாறியதும், மிகச் சிறிய துண்டுகளாக நறுக்கிய கோழி துண்டுகள், அரை எலுமிச்சை சாறு சேர்த்து மசாலாக்களுடன் நன்கு கலந்து 5-6 நிமிடங்கள் அல்லது கோழி முழுமையாக வெந்து காயும் வரை சமைக்கவும். இறுதியாக நறுக்கிய கொத்தமல்லி இலைகளைச் சேர்த்து அடுப்பை அணைக்கவும். இப்போது 20 நிமிடங்களுக்குப் பிறகு மாவையும் ஸ்டஃபிங்கையும் 3 சம பாகங்களாகப் பிரித்து மாவை உருட்டத் தொடங்குங்கள். மாவு ரோலிங் பின்னில் ஒட்டாமல் இருக்க மேலே சிறிது மாவைத் தூவவும், அது நமக்கு உருட்ட எளிதாக இருக்கும். மிக மெல்லிய தாளில் உருட்டிய பிறகு, ரொட்டியை உலராமல் இருக்க ஒரு துணியில் மூடி வைக்கவும். இந்த செய்முறைக்கு நமக்கு 2 முட்டைகளும் தேவை, எனவே 2 முட்டைகளை அடித்து ஒதுக்கி வைக்கவும். ஒரு தவாவை சூடாக்கி, சிறிது எண்ணெய் தடவவும், சூடு குறைந்த அளவில் இருக்க வேண்டும் இல்லையெனில் ரொட்டி விரைவில் கடினமாகிவிடும். ரொட்டியை வைத்து மீண்டும் மேலே சிறிது எண்ணெய் தடவி உடனடியாக மறுபுறம் திருப்பி வைக்கவும். அடித்த முட்டைகளில் 1/3 பகுதியை ரொட்டியின் மேல் ஊற்றி, தாளில் முழுவதும் பரப்பவும். சில வினாடிகள் சமைத்து, மறுபுறம் திருப்பி, கீழ் பக்கத்தில் நல்ல தங்க நிற புள்ளிகள் தெரியும் வரை இன்னும் சில வினாடிகள் சமைக்கவும். ரொட்டி செய்த பிறகு, ரொட்டியின் மையத்தில் சிக்கன் ஸ்டஃபிங்கை வைக்கவும், மொறுமொறுப்பான சுவையைப் பெற சிறிது வெங்காயத்தை நறுக்கவும், ஒரு முனையிலிருந்து உருட்டத் தொடங்கவும். உருட்டிய பிறகு, ரோலை 2 பகுதிகளாக வெட்டவும். புத்துணர்ச்சியூட்டும் சுவையைப் பெற, நடுவில் கொத்தமல்லி அல்லது புதினா சட்னியைச் சேர்க்கலாம். நீங்கள் மயோனைஸின் தீவிர ரசிகராக இருந்தால், ரொட்டியின் மீது மயோனைஸின் ஒரு அடுக்கைப் பரப்பி, அதில் பத்து சிக்கன் நிரப்பலாம், அது இன்னும் சுவையாக இருக்கும். அவ்வளவுதான் எங்கள் அற்புதமான சிக்கன் பிரான்கி பரிமாற தயாராக உள்ளது. இந்த சிக்கன் கத்தி ரோலை முயற்சி செய்து உங்கள் கருத்தைப் பகிர்ந்து கொள்ளுங்கள். சமையல் மகிழ்ச்சியைப் பரப்புங்கள்.</t>
  </si>
  <si>
    <t>https://blogger.googleusercontent.com/img/b/R29vZ2xl/AVvXsEjCxgLGzdRoH4rOcp-5O9e6BEKFSaQHzWNcElrtpRBKPnzdYSolXjkVLLQ1PGIPU9eEFu4SopU-tYm4uaY_nGf4ZEqAJw29PAa7SKZRbTtYFrkNUw3K6cORC7uvOPZVWVBhrVAyNHTxZq80/s640/Chicken+Kathi+roll+recipe.JPG</t>
  </si>
  <si>
    <t>https://youtu.be/ttLCntTc2X4</t>
  </si>
  <si>
    <t>Sweet Corn Chicken Soup</t>
  </si>
  <si>
    <t>இனிப்பு சோள சிக்கன் சூப்</t>
  </si>
  <si>
    <t>1/2 kg - Chicken with bones, 1 - Onion, 1 - Carrot, 2 - Celery sticks, 4 - cloves of Garlic, 1 tsp - Pepper corms, Salt to taste, Water, 1 tsp - Butter 1 1/2 cup - Corn Kernels, 1 - Egg, Pepper Powder, Salt to taste.</t>
  </si>
  <si>
    <t>1/2 கிலோ - எலும்புகளுடன் கூடிய சிக்கன், 1 - வெங்காயம், 1 - கேரட், 2 - செலரி குச்சிகள், 4 - பூண்டு பல், 1 தேக்கரண்டி - மிளகுத் தண்டுகள், சுவைக்கு உப்பு, தண்ணீர், 1 தேக்கரண்டி - வெண்ணெய் 1 1/2 கப் - சோளக் கொட்டைகள், 1 - முட்டை, மிளகுத் தூள், சுவைக்கு உப்பு.</t>
  </si>
  <si>
    <t>Lets start with making chicken stock, in a large pot add the chicken pieces, then the onion (cut into quarters) , carrot and 2 sticks of  celery. Crush Garlic and pepper and add it to the chicken to get nice flavor.Add some salt and finally add plenty of water and bring it to a boil.Once it comes to a boil turn down the heat to low and let it simmer for 45 minutes to 1 hour. After 1 hour remove the excess fat floating on the surface of the stock and pick the pieces out. Pour it through a strainer and collect the clear stock.That's it our chicken stock is ready, you can keep it in nionsthe refrigerator and use it in other  recipes whenever you want.  Now shred the flesh from the chicken and cut it into small pieces.Since we have cooked the chicken for 1 hour the meat will be soft and tender.  To get more flavor and taste grind half of the corn Kernels in a blender and keep it aside.Adding corn paste to the soup enhances the taste and thickens the soup as well.  Cut the spring onions into three, 1 inch from the root, the white stalk and the green part.Whites we will add early in the recipe and the green portion we will add at the end. Do not throw away the roots,plant them they will grow fast from the tip and will last for a long time and you can harvest whenever you want it will keep on growing.  In a pan melt butter and add the whites of the spring onions and saute it for a few seconds.Then add the corn kernals, ground corn paste, shredded chicken and mix well.  Add chicken stock 4-5 cups of chicken stock and to thicken the soup dissolve 2 tbsp of corn flour or corn starch in water and add it to the soup.Finally add required salt and pepper,git it a mix and cook for 8-10 minutes on a medium heat.  now after 8-10 minutes beat one egg nicely and slowly and gradually add it to the soup and mix with a spoon.Finally add greens of the spring onions turn off the heat.   That's it our delicious Sweet Corn Chicken soup is ready to be served. Sprinkle some pepper on the top before serving.See how easy it is to prepare this soup.The same process you can follow for vegetable soup just replace the chicken with more vegetables and mushrooms. Spread the Joy of Cooking .  If you want a deep color then brown the chicken first with little bit of oil and then add the vegetables and water to make chicken stock.</t>
  </si>
  <si>
    <t>சிக்கன் ஸ்டாக் தயாரிப்பதில் இருந்து ஆரம்பிக்கலாம், ஒரு பெரிய தொட்டியில் சிக்கன் துண்டுகள், பின்னர் வெங்காயம் (நான்காக வெட்டப்பட்டது), கேரட் மற்றும் 2 குச்சிகள் செலரி ஆகியவற்றைச் சேர்க்கவும். பூண்டு மற்றும் மிளகாயை நசுக்கி, சிக்கனுடன் சேர்க்கவும், இதனால் நல்ல சுவை கிடைக்கும். சிறிது உப்பு சேர்த்து இறுதியாக நிறைய தண்ணீர் சேர்த்து கொதிக்க விடவும். கொதி வந்ததும், தீயைக் குறைத்து 45 நிமிடங்கள் முதல் 1 மணி நேரம் வரை கொதிக்க விடவும். 1 மணி நேரத்திற்குப் பிறகு, சாதத்தின் மேற்பரப்பில் மிதக்கும் அதிகப்படியான கொழுப்பை அகற்றி, துண்டுகளை எடுக்கவும். ஒரு வடிகட்டியில் ஊற்றி தெளிவான குழம்பை சேகரிக்கவும். அவ்வளவுதான் எங்கள் சிக்கன் குழம்பு தயாராக உள்ளது, நீங்கள் அதை பல குளிர்சாதன பெட்டியில் வைத்து மற்ற சமையல் குறிப்புகளில் பயன்படுத்தலாம். இப்போது கோழியின் சதையை துண்டாக்கி சிறிய துண்டுகளாக வெட்டவும். கோழியை 1 மணி நேரம் சமைத்ததால் இறைச்சி மென்மையாகவும் மென்மையாகவும் இருக்கும். அதிக சுவை மற்றும் சுவை பெற சோள கர்னல்களில் பாதியை ஒரு பிளெண்டரில் அரைத்து ஒதுக்கி வைக்கவும். சூப்பில் சோள விழுதைச் சேர்ப்பது சுவையை அதிகரிக்கும் மற்றும் சூப்பையும் கெட்டியாக்கும். வெங்காயத்தை மூன்றாக நறுக்கவும், வேர், வெள்ளை தண்டு மற்றும் பச்சை பகுதியிலிருந்து 1 அங்குலம். செய்முறையின் ஆரம்பத்தில் வெள்ளை மற்றும் இறுதியில் சேர்க்கும் பச்சை பகுதியை வெட்டவும். வேர்களை தூக்கி எறிய வேண்டாம், அவற்றை நடவும், அவை நுனியிலிருந்து வேகமாக வளரும், நீண்ட நேரம் நீடிக்கும், நீங்கள் எப்போது வேண்டுமானாலும் அறுவடை செய்யலாம், அது தொடர்ந்து வளரும். ஒரு பாத்திரத்தில் வெண்ணெயை உருக்கி, வெங்காயத்தின் வெள்ளைக்கருவைச் சேர்த்து சில நொடிகள் வதக்கவும். பின்னர் சோளக் கீரைகள், அரைத்த சோள விழுது, துண்டாக்கப்பட்ட கோழி ஆகியவற்றைச் சேர்த்து நன்கு கலக்கவும். சிக்கன் ஸ்டாக் 4-5 கப் சிக்கன் ஸ்டாக் சேர்த்து சூப் கெட்டியாக 2 டேபிள்ஸ்பூன் சோள மாவு அல்லது சோள மாவை தண்ணீரில் கரைத்து சூப்பில் சேர்க்கவும். இறுதியாக தேவையான உப்பு மற்றும் மிளகு சேர்த்து, அதை ஒரு கலவையாகக் கிளறி, மிதமான தீயில் 8-10 நிமிடங்கள் சமைக்கவும். இப்போது 8-10 நிமிடங்களுக்குப் பிறகு ஒரு முட்டையை நன்றாக அடித்து மெதுவாகவும் படிப்படியாக சூப்பில் சேர்த்து ஒரு கரண்டியால் கலக்கவும். இறுதியாக வெங்காயத்தின் கீரைகளைச் சேர்த்து, தீயை அணைக்கவும். அவ்வளவுதான் எங்கள் சுவையான ஸ்வீட் கார்ன் சிக்கன் சூப் பரிமாற தயாராக உள்ளது. பரிமாறுவதற்கு முன் மேலே சிறிது மிளகு தூவவும். இந்த சூப்பைத் தயாரிப்பது எவ்வளவு எளிது என்று பாருங்கள். காய்கறி சூப்பிற்கு நீங்கள் பின்பற்றக்கூடிய அதே செயல்முறை, கோழியை அதிக காய்கறிகள் மற்றும் காளான்களால் மாற்றவும். சமையல் மகிழ்ச்சியைப் பரப்புங்கள். நீங்கள் ஒரு ஆழமான நிறத்தை விரும்பினால், முதலில் கோழியை சிறிது எண்ணெயுடன் பழுப்பு நிறமாக வதக்கவும், பின்னர் காய்கறிகள் மற்றும் தண்ணீரைச் சேர்த்து சிக்கன் குழம்பு தயாரிக்கவும்.</t>
  </si>
  <si>
    <t>https://blogger.googleusercontent.com/img/b/R29vZ2xl/AVvXsEhh9Rz2DQLpA7oKW6XVwa53z3a4XmloAqC4U5VKruJvilrZU2hWd5i-DUsGaxXu1vRnACNv4up0iDHjJUydcUYHfZ1oAnqShPSE0kcnEZYL6prkwN4RY0TfAlsJVTqO1vTykQ5raO2jA_SY/s640/Sweet+corn+chicken+soup+recipe.JPG</t>
  </si>
  <si>
    <t>https://youtu.be/dZ9Wj1LU7CA</t>
  </si>
  <si>
    <t>Chicken Keema Samosa</t>
  </si>
  <si>
    <t>சிக்கன் கீமா சமோசா</t>
  </si>
  <si>
    <t>1 1/2 cup - All purpose flour / Maida, 2 tbsp - Oil, 1/2 tsp - Carom seeds, Salt to taste, water, 200 g - Chicken 1 tbsp - oil, 1/2 tsp - cumin seeds, 1 - onion, 1 tsp - Ginger garlic paste, 1 - Green chilli, 1/4 tsp - Turmeric powder, 1 tsp - chilli powder, 1 tsp - garam masala powder, Salt to taste, Coriander leaves.</t>
  </si>
  <si>
    <t>1 1/2 கப் - அனைத்து உபயோக மாவு / மைதா, 2 டேபிள்ஸ்பூன் - எண்ணெய், 1/2 டேபிள்ஸ்பூன் - கேரமல் விதைகள், ருசிக்க உப்பு, தண்ணீர், 200 கிராம் - கேரமல் 1 டேபிள்ஸ்பூன் - எண்ணெய், 1/2 டேபிள்ஸ்பூன் - சீரகம், 1 - வெங்காயம், 1 டேபிள்ஸ்பூன் - இஞ்சி பூண்டு விழுது, 1 - பச்சை மிளகாய், 1/4 டேபிள்ஸ்பூன் - மஞ்சள் தூள், 1 டேபிள்ஸ்பூன் - மிளகாய் தூள், 1 டேபிள்ஸ்பூன் - கரம் மசாலா தூள், ருசிக்க உப்பு, கொத்தமல்லி இலைகள்.</t>
  </si>
  <si>
    <t>In a mixing bowl combine all purpose flour / Maida ,Carom seeds, salt ,oil and mix well. Now gradually add water to and knead well to form a stiff dough. Do not add too much of water the dough should be harder than chapati dough and it should be stiff.  In a pan heat oil, once the oil is hot add cumin seeds then add one chopped onion ,some salt and saute it for a few seconds.Then add the masalas ginger garlic paste, green chillies, Turmeric powder, Garam Masala, chilli powder and give it a quick stir. Add some water to prevent the masalas from burning.  Take boneless chicken pieces in a blender and mince the chicken and add it to the onion masala mixture.Also add a little bit of water (1/4 cup) to help the chicken cook fast.Cook for 4-5 minutes or until the chicken is cooked and all the water is evaporated.Finally add some chopped coriander leaves and turn off the heat. Chicken should be dry without any moisture .  Now after 30 minute and divide the dough into 6 equal balls and lets start to spread the dough.Take one ball and press it lightly and and roll it into a thin sheet. cover the rest of the balls with damn cloth to prevent drying. Once rolled cut the sheet at the center to form 2 semi circles.Now take a semicircle and wet half of the straight end with some water and join the two ends bring the watered end on the top.  Now fill the samosa sheet with the chicken stuffing and again apply some water at the edges (all around the edges) and press it firmly to form a tight seal.Make sure there are no openings.  After stuffing heat oil in a pan and drop the samosas.It is very important to fry the samosas on a low temperature.If the temperature of the oil it very hot then the outer dough will get browned soon and will taste raw so fry the samosas on a medium - low heat flipping the samosas in between.Once all the sides are golden and crispy take it off from the heat and serve.   That's is our delicious Chicken Keema Samosa is ready to be served with some coriander chutney or with tomato Ketchup.Please do try this recipe and share your feedback with us. Spread the Joy of Cooking.  Ajwain /Carom seeds has lot of medicinal benifits so try to add a little amount to the dough ,they also taste good. If you dont like the taste of Ajwain / Carom seeds then you can skip or use cumin seeds instead oil should be on a medium-low heat when frying the Samosas.</t>
  </si>
  <si>
    <t>ஒரு கலவை பாத்திரத்தில் அனைத்து உபயோக மாவு / மைதா, கேரமல் விதைகள், உப்பு, எண்ணெய் சேர்த்து நன்கு கலக்கவும். இப்போது படிப்படியாக தண்ணீரைச் சேர்த்து நன்கு பிசைந்து ஒரு கெட்டியான மாவை உருவாக்குங்கள். அதிக தண்ணீர் சேர்க்க வேண்டாம், மாவு சப்பாத்தி மாவை விட கடினமாக இருக்க வேண்டும், அது கெட்டியாக இருக்க வேண்டும். ஒரு கடாயில் எண்ணெயை சூடாக்கி, எண்ணெய் சூடானதும், சீரகம் சேர்த்து, நறுக்கிய வெங்காயம், சிறிது உப்பு சேர்த்து சில நொடிகள் வதக்கவும். பின்னர் மசாலாக்கள் இஞ்சி பூண்டு விழுது, பச்சை மிளகாய், மஞ்சள் தூள், கரம் மசாலா, மிளகாய் தூள் சேர்த்து விரைவாக கிளறவும். மசாலாக்கள் எரியாமல் இருக்க சிறிது தண்ணீர் சேர்க்கவும். எலும்பில்லாத சிக்கன் துண்டுகளை ஒரு பிளெண்டரில் எடுத்து சிக்கனை அரைத்து வெங்காய மசாலா கலவையில் சேர்க்கவும். சிக்கன் வேகமாக சமைக்க சிறிது தண்ணீர் (1/4 கப்) சேர்க்கவும். சிக்கன் வேகும் வரை 4-5 நிமிடங்கள் அல்லது சிக்கன் வெந்து தண்ணீர் முழுவதும் ஆவியாகும் வரை சமைக்கவும். இறுதியாக சிறிது நறுக்கிய கொத்தமல்லி இலைகளைச் சேர்த்து, தீயை அணைக்கவும். சிக்கன் ஈரப்பதம் இல்லாமல் உலர்ந்திருக்க வேண்டும். இப்போது 30 நிமிடங்களுக்குப் பிறகு, மாவை 6 சம பந்துகளாகப் பிரித்து, மாவை பரப்ப ஆரம்பிக்கலாம். ஒரு உருண்டையை எடுத்து லேசாக அழுத்தி, மெல்லிய தாளில் உருட்டவும். மீதமுள்ள பந்துகளை உலராமல் இருக்க துணியால் மூடி வைக்கவும். உருட்டிய பிறகு, தாளின் மையத்தில் 2 அரை வட்டங்களை வெட்டுங்கள். இப்போது ஒரு அரை வட்டத்தை எடுத்து, நேரான முனையின் பாதியை சிறிது தண்ணீரில் நனைத்து, இரண்டு முனைகளையும் இணைத்து மேலே தண்ணீர் ஊற்றிய முனையை கொண்டு வாருங்கள். இப்போது சமோசா தாளில் சிக்கன் ஸ்டஃபிங்கை நிரப்பி, மீண்டும் விளிம்புகளில் (விளிம்புகளைச் சுற்றி) சிறிது தண்ணீரைத் தடவி, இறுக்கமாக மூடும் வரை அதை உறுதியாக அழுத்தவும். எந்த திறப்புகளும் இல்லை என்பதை உறுதிப்படுத்திக் கொள்ளுங்கள். ஒரு பாத்திரத்தில் எண்ணெயை நிரப்பிய பிறகு, சமோசாக்களை விடுங்கள். சமோசாக்களை குறைந்த வெப்பநிலையில் வறுக்க வேண்டியது மிகவும் முக்கியம். எண்ணெயின் வெப்பநிலை மிகவும் சூடாக இருந்தால், வெளிப்புற மாவு விரைவில் பழுப்பு நிறமாகி பச்சையாக இருக்கும், எனவே சமோசாக்களை நடுத்தர - ​​குறைந்த வெப்பத்தில் வறுக்கவும். அனைத்து பக்கங்களும் பொன்னிறமாகவும் மொறுமொறுப்பாகவும் மாறியதும், அதை அடுப்பிலிருந்து எடுத்து பரிமாறவும். அவ்வளவுதான் எங்கள் சுவையான சிக்கன் கீமா சமோசாவை சிறிது கொத்தமல்லி சட்னி அல்லது தக்காளி கெட்ச்அப்புடன் பரிமாற தயாராக உள்ளது. தயவுசெய்து இந்த செய்முறையை முயற்சி செய்து உங்கள் கருத்தை எங்களுடன் பகிர்ந்து கொள்ளுங்கள். சமையலின் மகிழ்ச்சியைப் பரப்புங்கள். அஜ்வைன் / கேரம் விதைகள் நிறைய மருத்துவ நன்மைகளைக் கொண்டுள்ளன, எனவே மாவில் சிறிது அளவு சேர்க்க முயற்சி செய்யுங்கள், அவை சுவையாகவும் இருக்கும். அஜ்வைன் / கேரம் விதைகளின் சுவை உங்களுக்குப் பிடிக்கவில்லை என்றால், நீங்கள் தவிர்க்கலாம் அல்லது அதற்கு பதிலாக சீரக விதைகளைப் பயன்படுத்தலாம். சமோசாக்களை வறுக்கும்போது எண்ணெய் மிதமான-குறைந்த வெப்பத்தில் இருக்க வேண்டும்.</t>
  </si>
  <si>
    <t>https://blogger.googleusercontent.com/img/b/R29vZ2xl/AVvXsEheIDUZCB6P6331twfmBcyoolIjb3dHK_QNiERwCGoQbwJqbA1Sh9tHM99UtsTdqygt4XJWX6ZrtNgIiJpd0fPaJuGOkU-UeSdNrmZkvK9vi5VDQEhNTgCSNjf4QnR6Swexbx_T1sOwGoQz/s640/Chicken+keema+samosa+recipe.JPG</t>
  </si>
  <si>
    <t>https://youtu.be/EDKKGsEt6Qg</t>
  </si>
  <si>
    <t>Egg Masala</t>
  </si>
  <si>
    <t>முட்டை மசாலா</t>
  </si>
  <si>
    <t>6 - Eggs, 1 inch - Ginger, 5 - Garlic cloves, 1 - Onion (chopped), 3 - Green chilies, 1 - strand Curry Leaves, 1/4 tsp - Turmeric powder, 1 tsp - Garam Masala, 1.5 tsp - Chilli powder, 1/2 tsp - Pepper Powder, 1 Tbsp - Oil, Salt to taste, Coriander Leaves for Garnishin</t>
  </si>
  <si>
    <t>6 - முட்டைகள், 1 அங்குலம் - இஞ்சி, 5 - பூண்டு பல், 1 - வெங்காயம் (நறுக்கியது), 3 - பச்சை மிளகாய், 1 - தண்டு கறிவேப்பிலை, 1/4 தேக்கரண்டி - மஞ்சள் தூள், 1 தேக்கரண்டி - கரம் மசாலா, 1.5 தேக்கரண்டி - மிளகாய் தூள், 1/2 தேக்கரண்டி - மிளகு தூள், 1 தேக்கரண்டி - எண்ணெய், ருசிக்க உப்பு, அலங்கரிக்க கொத்தமல்லி இலைகள்.</t>
  </si>
  <si>
    <t>Heat some oil in a pan and add crushed ginger - garlic and saute it for a few seconds until the raw smell is gone.Next add chopped onion to this, some salt and saute until the onions are golden Once the onions are nice and golden add turmeric powder , garam masala, chilli powder, green chilies and few curry leaves.give it a quick stir and immediately add water some to prevent the masalas from burning not too much of water just 2- 3 tbsp of water is enough.  Mix it again and then place the boiled eggs flat on the onion masala mixture and sprinkle some pepper powder on the top of the eggs.After a couple of minutes flip the eggs to the other side, mix gently allowing the masala to coat the eggs. And cook for another 1 or 2 minutes. Finally sprinkle some coriander leaves for garnishing and turn off the heat.  See how simple our egg masala is to make it can be made in few minutes and its taste last for a long time. You can make several variations in this recipe,if you want it semi gravy for chapathi then add one chopped tomato to the onion masala mixture ,cook until the tomatoes turns soft and mushy (also add a tsp of coriander powder). once the tomatoes are fully cooked and you get a paste like consistency add water and bring the entire gravy to a boil and then add the halved eggs and cook for 5 minutes.Finally garnish it with coriander leaves and serve.Do try this easy egg roast recipe and say good bye to boring boiled eggs.Happy Cooking !!!</t>
  </si>
  <si>
    <t>ஒரு கடாயில் சிறிது எண்ணெயை சூடாக்கி, நொறுக்கப்பட்ட இஞ்சி - பூண்டு சேர்த்து, பச்சை வாசனை போகும் வரை சில நொடிகள் வதக்கவும். அடுத்து இதனுடன் நறுக்கிய வெங்காயம், சிறிது உப்பு சேர்த்து வெங்காயம் பொன்னிறமாகும் வரை வதக்கவும். வெங்காயம் நன்றாக வதங்கி பொன்னிறமானதும் மஞ்சள் தூள், கரம் மசாலா, மிளகாய் தூள், பச்சை மிளகாய் மற்றும் சில கறிவேப்பிலை சேர்க்கவும். விரைவாகக் கிளறி உடனடியாக சிறிது தண்ணீர் சேர்த்து மசாலாக்கள் எரியாமல் தடுக்க அதிக தண்ணீர் இல்லை 2-3 தேக்கரண்டி தண்ணீர் போதும். மீண்டும் கலந்து, பின்னர் வேகவைத்த முட்டைகளை வெங்காய மசாலா கலவையின் மீது தட்டையாக வைத்து, முட்டைகளின் மேல் சிறிது மிளகு தூள் தூவவும். சில நிமிடங்களுக்குப் பிறகு முட்டைகளை மறுபுறம் திருப்பி, மசாலா முட்டைகள் மீது படும்படி மெதுவாக கலக்கவும். மேலும் 1 அல்லது 2 நிமிடங்கள் சமைக்கவும். இறுதியாக அலங்கரிக்க சில கொத்தமல்லி இலைகளைத் தூவி, தீயை அணைக்கவும். எங்கள் முட்டை மசாலா எவ்வளவு எளிமையானது என்பதைப் பாருங்கள், இது சில நிமிடங்களில் தயாரிக்கப்படலாம், அதன் சுவை நீண்ட நேரம் நீடிக்கும். இந்த செய்முறையில் நீங்கள் பல மாறுபாடுகளைச் செய்யலாம், நீங்கள் சப்பாத்திக்கு அரை கிரேவி விரும்பினால், வெங்காய மசாலா கலவையில் ஒரு நறுக்கிய தக்காளியைச் சேர்த்து, தக்காளி மென்மையாகவும் மென்மையாகவும் மாறும் வரை சமைக்கவும் (ஒரு தேக்கரண்டி கொத்தமல்லி தூளையும் சேர்க்கவும்). தக்காளி முழுமையாக வெந்ததும், பேஸ்ட் போன்ற நிலைத்தன்மையைப் பெற்றவுடன், தண்ணீர் சேர்த்து முழு கிரேவியையும் கொதிக்க வைத்து, பாதியாக நறுக்கிய முட்டைகளைச் சேர்த்து 5 நிமிடங்கள் சமைக்கவும். இறுதியாக கொத்தமல்லி இலைகளால் அலங்கரித்து பரிமாறவும். இந்த எளிதான முட்டை ரோஸ்ட் செய்முறையை முயற்சி செய்து, சலிப்பூட்டும் வேகவைத்த முட்டைகளுக்கு குட் பை சொல்லுங்கள். இனிய சமையல் !!!</t>
  </si>
  <si>
    <t>https://blogger.googleusercontent.com/img/b/R29vZ2xl/AVvXsEg86Ysb3L46HU2RY4Yi-VYfj-9DZ7NDm1ytO86uYj4jHvWq8Iuob0N4mTomL-uF5PgmxXCzyjSVFc2Es09I03MGiCtB-fxe0uRsdKLKJ-NrKnYxaOhrhf_rO0sya_vLpcMDYbOtNlgiIQAV/s640/Egg+Masala+Recipe.jpg</t>
  </si>
  <si>
    <t>https://youtu.be/XZ-VNtTcHEE</t>
  </si>
  <si>
    <t>Stuffed Chicken Parotta</t>
  </si>
  <si>
    <t>ஸ்டஃப்டு சிக்கன் பரோட்டா</t>
  </si>
  <si>
    <t>1 cup - Maida / All Purpose Flour, 1 tbsp - Oil,  1/2 tsp - Salt to taste, Water , 250 g - Boneless Chicken pieces, 1/4 tsp - Pepper Powder to season Chicken, 1 Tbsp - Ginger Garlic Paste, 1/4 tsp - Turmeric powder, 1 tsp - Coriander Powder, 1 tsp - Cumin Powder, 1 tbsp - Chilli Powder, 2 - Green Chilies, 1 Tbsp - Oil, coriander leaves, Salt to taste.</t>
  </si>
  <si>
    <t>1 கப் - மைதா / அனைத்து உபயோக மாவு, 1 டேபிள் ஸ்பூன் - எண்ணெய், 1/2 டேபிள் ஸ்பூன் - ருசிக்க உப்பு, தண்ணீர், 250 கிராம் - எலும்பில்லாத சிக்கன் துண்டுகள், 1/4 டேபிள் ஸ்பூன் - சிக்கன் தாளிக்க மிளகு தூள், 1 டேபிள் ஸ்பூன் - இஞ்சி பூண்டு விழுது, 1/4 டேபிள் ஸ்பூன் - மஞ்சள் தூள், 1 டேபிள் ஸ்பூன் - கொத்தமல்லி தூள், 1 டேபிள் ஸ்பூன் - சீரக தூள், 1 டேபிள் ஸ்பூன் - மிளகாய் தூள், 2 - பச்சை மிளகாய், 1 டேபிள் ஸ்பூன் - எண்ணெய், கொத்தமல்லி இலைகள், சுவைக்கு உப்பு.</t>
  </si>
  <si>
    <t>Let’s start by making the dough. In a bowl add in the all-purpose flour, some salt and then gradually water and mix well to form a nice soft dough.The consistency it should be soft and smooth. Now add a tbsp. of oil and coat nicely all over the dough cover and let it rest for 20 minutes.   Meanwhile let’s make the stuffing for that in a pan add the chicken pieces and season with some salt and pepper. We need to get rid of all the moisture form the chicken. Once the chicken is nicely cooked  transfer this to a blender and shred the chicken and keep it aside.  Now in pan heat 1 tbsp. of oil, once the oil is nice and hot add the chopped onions, some salt and sauté it for few minutes.Once the onions are translucent add in the masalas turmeric powder , ginger garlic paste, cumin powder , coriander powder, red chili powder, chopped green chilies and mix it nicely with the onions.And once the raw smell is gone add the cooked chicken and mix it well with the onion masala mixture. After mixing everything add the chopped coriander leaves, give it a mix and turn off the heat.  Sprinkle some flour and take a small portion of the dough and spread it with your hands are you can also use rolling pin.now after spreading place the chicken stuffing at the center.This recipes makes around 6 parathas so divide the dough and the stuffing into 6 equal Portions gather all the corners and seal the dough with the stuffing inside. Press it down and Dust a little four on the top and Roll it very gently to make a circle of 6-7 inch diameter do not make it very thin.it should be a little thick, If you see some bubble piece and break the bubble.  Place it on a hot tawa and cook over medium heat.As you press it will puff up. Flip it again and spread ½ tsp of oil and press it with spatula and cook for 30-40 seconds over medium heat until Golden brown spots appear on both sides of paratha.</t>
  </si>
  <si>
    <t>மாவை தயாரிப்பதன் மூலம் தொடங்குவோம். ஒரு கிண்ணத்தில் அனைத்து உபயோக மாவு, சிறிது உப்பு சேர்த்து, பின்னர் படிப்படியாக தண்ணீர் சேர்த்து நன்கு கலந்து ஒரு நல்ல மென்மையான மாவை உருவாக்குங்கள். அது மென்மையாகவும் மென்மையாகவும் இருக்க வேண்டும். இப்போது ஒரு டேபிள் ஸ்பூன் எண்ணெயைச் சேர்த்து மாவை முழுவதுமாக நன்றாக பூசி மூடி 20 நிமிடங்கள் ஓய்வெடுக்கவும். இதற்கிடையில், ஒரு பாத்திரத்தில் அதற்கான ஸ்டஃபிங்கைச் செய்து, சிக்கன் துண்டுகளைச் சேர்த்து சிறிது உப்பு மற்றும் மிளகு சேர்த்து தாளிக்கவும். கோழியிலிருந்து ஈரப்பதத்தை நீக்க வேண்டும். கோழி நன்றாக வெந்தவுடன், அதை ஒரு பிளெண்டரில் மாற்றி, கோழியை துண்டாக்கி தனியாக வைக்கவும். இப்போது வாணலியில் 1 டேபிள்ஸ்பூன் எண்ணெயை சூடாக்கவும், எண்ணெய் நன்றாகவும் சூடாகவும் வந்ததும், நறுக்கிய வெங்காயம், சிறிது உப்பு சேர்த்து சில நிமிடங்கள் வதக்கவும். வெங்காயம் தெளிவாகத் தெரிந்ததும், மசாலாவில் மஞ்சள் தூள், இஞ்சி பூண்டு விழுது, சீரகத் தூள், கொத்தமல்லித் தூள், சிவப்பு மிளகாய்த் தூள், நறுக்கிய பச்சை மிளகாய் சேர்த்து வெங்காயத்துடன் நன்றாகக் கலக்கவும். பச்சை வாசனை போனதும், சமைத்த கோழியைச் சேர்த்து வெங்காய மசாலா கலவையுடன் நன்றாகக் கலக்கவும். எல்லாவற்றையும் கலந்த பிறகு, நறுக்கிய கொத்தமல்லி இலைகளைச் சேர்த்து, அதைக் கலந்து, அடுப்பை அணைக்கவும். சிறிது மாவைத் தூவி, மாவின் ஒரு சிறிய பகுதியை எடுத்து, உங்கள் கைகளால் பரப்பவும். நீங்கள் ரோலிங் பின்னையும் பயன்படுத்தலாம். இப்போது பரப்பிய பிறகு, கோழி ஸ்டஃபிங்கை மையத்தில் வைக்கவும். இந்த செய்முறை சுமார் 6 பரோட்டாக்களை உருவாக்குகிறது, எனவே மாவையும் ஸ்டஃபிங்கையும் 6 சம பாகங்களாகப் பிரித்து, அனைத்து மூலைகளையும் சேகரித்து, உள்ளே ஸ்டஃபிங்குடன் மாவை மூடவும். அதை அழுத்தி, மேலே சிறிது நான்கைத் தூவி, 6-7 அங்குல விட்டம் கொண்ட வட்டத்தை உருவாக்க மிக மெதுவாக உருட்டவும், அதை மிகவும் மெல்லியதாக மாற்ற வேண்டாம். அது கொஞ்சம் தடிமனாக இருக்க வேண்டும், நீங்கள் சில குமிழி துண்டுகளைப் பார்த்தால் குமிழி உடைந்து விடும். சூடான தவாவில் வைத்து நடுத்தர வெப்பத்தில் சமைக்கவும். நீங்கள் அழுத்தும்போது அது வீங்கும். அதை மீண்டும் திருப்பி, ½ தேக்கரண்டி எண்ணெயைத் தடவி, ஸ்பேட்டூலாவால் அழுத்தி, பரோட்டாவின் இருபுறமும் தங்க பழுப்பு நிற புள்ளிகள் தோன்றும் வரை நடுத்தர வெப்பத்தில் 30-40 வினாடிகள் சமைக்கவும்.</t>
  </si>
  <si>
    <t>https://blogger.googleusercontent.com/img/b/R29vZ2xl/AVvXsEh9a5tza4cosnqUUI1Hgw29nbvXFOUvNwT0Y3vMEKcPyW1ABKFpI4XmIeKeu-E0rvWX7PfAxIzwJtmKA3FedZedHtawkFXwXdbSMaxPp_Z30iPONeo3x85oq3XwzmWhaHoOd9lXKy3LeASo/s640/chciken+keema+parotta.JPG</t>
  </si>
  <si>
    <t>Tirunelveli Halwa</t>
  </si>
  <si>
    <t>திருநெல்வேலி அல்வா</t>
  </si>
  <si>
    <t>1 cup (200g) - Samba Gothumai / Samba Wheat, 3 cup 600g - Sugar  (2.5 cups + .5 for caramelizing the sugar), 1 cup (225 ml) - Ghee (225 - 250 ml), 4 cup (1 liter) - Water , 1/4 cup - Cashew nuts (optional).</t>
  </si>
  <si>
    <t>1 கப் (200 கிராம்) - சம்பா கோதுமை / சம்பா கோதுமை, 3 கப் 600 கிராம் - சர்க்கரை (சர்க்கரையை கேரமல் செய்ய 2.5 கப் + .5), 1 கப் (225 மிலி) - நெய் (225 - 250 மிலி), 4 கப் (1 லிட்டர்) - தண்ணீர், 1/4 கப் - முந்திரி பருப்பு (விரும்பினால்).</t>
  </si>
  <si>
    <t>Soak Samba gothumai / Samba wheat in water for 8 hours or overnight and extract the milk. If you are using full wheat then grind the soaked wheat in a blender and strain it through a  cloth or fine filter. Again add some water to the leftover husk and repeat the same until no more milk comes from the wheat. If you are using broken samba wheat then no need to grind it in a blender just by pressing with our hands we will be able to extract all the milk from the grains.Repeat the process by adding fresh water again and again until you get slightly clear water ( 4-5 times).   After extracting the milk keep it undisturbed for 2-3 hours for the milk to settle. I have transferred it to a long vessel so that it will be easy for us to pour the clear water.  Now after 3 hours of sedimentation we will get two layers top clear water layer and milk at the bottom, drain the cleared water and add 4 cups of fresh water to the milk. The reason why we are discarding the clear water and adding the fresh water is the fermented and the raw smell of the wheat will be in the top clear water so add fresh water to get rid of that smell.  In one pan dissolve 1/2 cup of sugar in 2 tbsp of water and caramelize the sugar to get that nice amber color. In another pan dissolve 2.5 cups of sugar in 1 cup of water and bring it to a boil. Gradually add the caramelized sugar to the dissolved sugar and mix well.Once the sugar reaches 1/2 string consistency slowly and gradually add the wheat milk and keep on stirring (do not add too much at once).  After adding all the milk mix it nicely and once it starts to thicken start adding the ghee 1 tbsp at a time and keep on stirring.Initially it will be very watery but soon it will start to thicken.  Once it start to thicken and ghee starts to ooze out add some roasted nuts and turn of the heat. Traditional tirunelvi halwa does not contain any nuts but to enrich the flavor and taste I have added some roasted cashew nuts.  Our delicious tirunelvi halwa is ready to be served. If possible remove the excess ghee oozed out from the halwa otherwise the ghee will harden once the halwa is cooled.If not then you can microwave the halwa for 20 seconds to get rid of the ghee.  1:30 pm - kept the milk for settling 4:30 pm - replaced the settled clear water with fresh water 5:00 pm - Started to add wheat milk in the sugar syrup 5:15 pm - Started to add ghee 6:10 pm - Ghee started to ooze out 6:20 pm - Added nuts and turned off the heat.</t>
  </si>
  <si>
    <t>சம்பா கோதுமை / சம்பா கோதுமையை 8 மணி நேரம் அல்லது இரவு முழுவதும் தண்ணீரில் ஊறவைத்து பால் எடுக்கவும். நீங்கள் முழு கோதுமையைப் பயன்படுத்துகிறீர்கள் என்றால், ஊறவைத்த கோதுமையை ஒரு பிளெண்டரில் அரைத்து, ஒரு துணி அல்லது நன்றாக வடிகட்டி மூலம் வடிகட்டவும். மீதமுள்ள உமியில் சிறிது தண்ணீர் சேர்த்து, கோதுமையிலிருந்து பால் வராத வரை மீண்டும் செய்யவும். நீங்கள் உடைந்த சம்பா கோதுமையைப் பயன்படுத்துகிறீர்கள் என்றால், அதை ஒரு பிளெண்டரில் அரைக்க வேண்டிய அவசியமில்லை, நம் கைகளால் அழுத்துவதன் மூலம் தானியங்களிலிருந்து அனைத்து பாலையும் எடுக்க முடியும். சிறிது தெளிவான நீர் கிடைக்கும் வரை (4-5 முறை) மீண்டும் மீண்டும் புதிய தண்ணீரைச் சேர்ப்பதன் மூலம் செயல்முறையை மீண்டும் செய்யவும். பால் பிரித்தெடுத்த பிறகு, பால் கெட்டியாகும் வரை 2-3 மணி நேரம் கலக்காமல் வைத்திருங்கள். தெளிவான தண்ணீரை ஊற்றுவது எளிதாக இருக்கும் வகையில், அதை ஒரு நீண்ட பாத்திரத்தில் மாற்றியுள்ளேன். இப்போது 3 மணி நேரம் வண்டல் படிந்த பிறகு, மேல் இரண்டு அடுக்கு தெளிவான நீர் அடுக்கு மற்றும் கீழே பால் கிடைக்கும், சுத்தம் செய்யப்பட்ட தண்ணீரை வடிகட்டி, பாலில் 4 கப் புதிய தண்ணீரை சேர்க்கவும். தெளிவான நீரை நிராகரித்து புதிய தண்ணீரைச் சேர்ப்பதற்கான காரணம் புளித்த நீர் மற்றும் கோதுமையின் பச்சையான வாசனை மேல் தெளிவான நீரில் இருக்கும், எனவே புதிய தண்ணீரைச் சேர்க்கவும், அந்த வாசனையைப் போக்க. ஒரு பாத்திரத்தில் 2 டேபிள்ஸ்பூன் தண்ணீரில் 1/2 கப் சர்க்கரையைக் கரைத்து, சர்க்கரையை கேரமல் செய்யவும், இதனால் அந்த நல்ல அம்பர் நிறம் கிடைக்கும். மற்றொரு பாத்திரத்தில் 1 கப் தண்ணீரில் 2.5 கப் சர்க்கரையைக் கரைத்து கொதிக்க வைக்கவும். கரைந்த சர்க்கரையுடன் படிப்படியாக கேரமல் செய்யப்பட்ட சர்க்கரையைச் சேர்த்து நன்கு கலக்கவும். சர்க்கரை 1/2 சரம் நிலைத்தன்மையை அடைந்ததும், படிப்படியாக கோதுமைப் பாலை சேர்த்து கிளறிக்கொண்டே இருங்கள் (ஒரே நேரத்தில் அதிகமாக சேர்க்க வேண்டாம்). பால் முழுவதும் சேர்த்த பிறகு நன்றாகக் கலக்கவும், கெட்டியாக ஆரம்பித்ததும் நெய்யை ஒவ்வொன்றாக 1 டேபிள் ஸ்பூன் சேர்த்து தொடர்ந்து கிளறவும். ஆரம்பத்தில் இது மிகவும் தண்ணீர் நிறைந்ததாக இருக்கும், ஆனால் விரைவில் கெட்டியாகத் தொடங்கும். கெட்டியாக ஆரம்பித்ததும் நெய் வெளியேறத் தொடங்கியதும் சிறிது வறுத்த கொட்டைகளைச் சேர்த்து, தீயை அணைக்கவும். பாரம்பரிய திருநெல்வி ஹல்வாவில் கொட்டைகள் இல்லை, ஆனால் சுவை மற்றும் சுவையை மேம்படுத்த நான் சிறிது வறுத்த முந்திரி பருப்புகளைச் சேர்த்துள்ளேன். எங்கள் சுவையான திருநெல்வி ஹல்வா பரிமாற தயாராக உள்ளது. முடிந்தால் ஹல்வாவிலிருந்து கசிந்த அதிகப்படியான நெய்யை அகற்றவும், இல்லையெனில் ஹல்வா குளிர்ந்ததும் நெய் கெட்டியாகிவிடும். இல்லையென்றால், நெய்யை அகற்ற 20 வினாடிகள் மைக்ரோவேவ் ஹல்வாவை சமைக்கலாம். மதியம் 1:30 மணி - பால் ஊற வைக்க வைக்கப்பட்டது மாலை 4:30 மணி - ஊற வைத்த தெளிவான நீரை புதிய தண்ணீரால் மாற்றியது மாலை 5:00 மணி - சர்க்கரை பாகில் கோதுமை பால் சேர்க்கத் தொடங்கினார் மாலை 5:15 மணி - நெய் சேர்க்கத் தொடங்கினார் மாலை 6:10 மணி - நெய் கசியத் தொடங்கியது மாலை 6:20 மணி - கொட்டைகளைச் சேர்த்து அடுப்பை அணைத்தார்.</t>
  </si>
  <si>
    <t>https://blogger.googleusercontent.com/img/b/R29vZ2xl/AVvXsEiXul5p65m_4EUj2GyjJ0A0Ump33oIvj5wQlJcH0T-X8xtv3S5r1yEiuWWbVb6KXuEPVKoZ6s9IoWbxgAZs4jN05Cn-ougFSduE34vPx3q-l4wBTzytn3OFHilH_8hd1JFULMww_YzXDZDK/s640/Tirunelveli+halwa+recipe.JPG</t>
  </si>
  <si>
    <t>Mayonnaise</t>
  </si>
  <si>
    <t>மயோனைசே</t>
  </si>
  <si>
    <t>2 - Egg Yolks,  200 ml - Oil ( I have used sunflower oil), 1/4 tsp - Mustard powder or 1 tsp Mustard sauce, 1 tbsp - Vinegar, 2 tsp - Lemon Juice, 1/4 tsp - Pepper powder, 1/2 tsp - Salt.</t>
  </si>
  <si>
    <t>2 - முட்டையின் மஞ்சள் கரு, 200 மிலி - எண்ணெய் (நான் சூரியகாந்தி எண்ணெயைப் பயன்படுத்தினேன்), 1/4 தேக்கரண்டி - கடுகு பொடி அல்லது 1 தேக்கரண்டி கடுகு சாஸ், 1 தேக்கரண்டி - வினிகர், 2 தேக்கரண்டி - எலுமிச்சை சாறு, 1/4 தேக்கரண்டி - மிளகு பொடி, 1/2 தேக்கரண்டி - உப்பு.</t>
  </si>
  <si>
    <t>Powder mustard seeds in a mortar and pestle and keep it aside. In a bowl add 2 egg yolks and add the powdered mustard powder.If you have mustard sauce then use 1 tsp of mustard sauce instead of mustard powder.mix once.For 2 yolks we can use approximately 200 - 250 ml of oil.  Powder mustard seeds in a mortar and pestle and keep it aside. In a bowl add 2 egg yolks and add the powdered mustard powder.If you have mustard sauce then use 1 tsp of mustard sauce instead of mustard powder.mix once.For 2 yolks we can use approximately 200 - 250 ml of oil.  Once you get a thick smooth paste transfer the mayonnaise to a clean bottle and and put it in the fridge and use whenever needed.I have used exactly 200 ml of oil.  You can use an electric beater or food processor to speed up the process. Use any flavorless oil for making Mayonnaise recipe.</t>
  </si>
  <si>
    <t>கடுகு விதைகளை ஒரு சாணக்கியில் பொடித்து தனியாக வைக்கவும். ஒரு கிண்ணத்தில் 2 முட்டையின் மஞ்சள் கருவைச் சேர்த்து, பொடித்த கடுகு பொடியைச் சேர்க்கவும். உங்களிடம் கடுகு சாஸ் இருந்தால், கடுகு பொடிக்குப் பதிலாக 1 தேக்கரண்டி கடுகு சாஸைப் பயன்படுத்தவும். ஒரு முறை கலக்கவும். 2 மஞ்சள் கருவுக்கு நாம் தோராயமாக 200 - 250 மில்லி எண்ணெயைப் பயன்படுத்தலாம். ஒரு கிண்ணத்தில் கடுகு விதைகளை ஒரு சாணக்கியில் பொடித்து தனியாக வைக்கவும். ஒரு கிண்ணத்தில் 2 முட்டையின் மஞ்சள் கருவைச் சேர்த்து, பொடித்த கடுகு பொடியைச் சேர்க்கவும். உங்களிடம் கடுகு சாஸ் இருந்தால், கடுகு பொடிக்குப் பதிலாக 1 தேக்கரண்டி கடுகு சாஸைப் பயன்படுத்தவும். ஒரு முறை கலக்கவும். 2 மஞ்சள் கருவுக்கு நாம் தோராயமாக 200 - 250 மில்லி எண்ணெயைப் பயன்படுத்தலாம். ஒரு கெட்டியான மென்மையான பேஸ்ட் கிடைத்ததும், மயோனைசேவை ஒரு சுத்தமான பாட்டிலில் மாற்றி, குளிர்சாதன பெட்டியில் வைத்து, தேவைப்படும் போதெல்லாம் பயன்படுத்தவும். நான் சரியாக 200 மில்லி எண்ணெயைப் பயன்படுத்தியுள்ளேன். செயல்முறையை விரைவுபடுத்த நீங்கள் ஒரு மின்சார பீட்டர் அல்லது உணவு செயலியைப் பயன்படுத்தலாம். மயோனைசே செய்முறையைத் தயாரிக்க, சுவையற்ற எண்ணெயைப் பயன்படுத்தவும்.</t>
  </si>
  <si>
    <t>https://blogger.googleusercontent.com/img/b/R29vZ2xl/AVvXsEidbjUdfZMczHKGwb_xlDJC8uMw-DGwD7wh13HH9p5zY3qUGE-z7TZxToGUssYTuCf5npJO_Ts44IoFl_xFtoNQ3oq8pTI7BT5q_p_SpoCk2MN6A7yYkBoRsvuOUrwtIrqBVxhXiCBQAMQn/s640/Mayonnaise+Recipe.JPG</t>
  </si>
  <si>
    <t>Avial</t>
  </si>
  <si>
    <t>அவியல்</t>
  </si>
  <si>
    <t>2 - Brinjal / eggplant, 1 - Cucumber, 2 - Carrots, 10-15 - Cluster Beans, 1 - Drumstick, 1 - Plantain, you can use raw mangoes,  beans,  1 cup - Grated Coconut, 4 - Green Chilies, 1/2 tsp - Turmeric Powder, 2 - Shallots, 1 - small ball of Tamarind, few Curry leaves, 1 Tbsp - Coconut Oil, 1/2 tsp - Mustard seeds, few Curry leaves.</t>
  </si>
  <si>
    <t>2 - கத்திரிக்காய் / கத்திரிக்காய், 1 - வெள்ளரிக்காய், 2 - கேரட், 10-15 - கொத்தமல்லி, 1 - முருங்கைக்காய், 1 - வாழைப்பழம், பச்சை மாம்பழம், பீன்ஸ், 1 கப் - துருவிய தேங்காய், 4 - பச்சை மிளகாய், 1/2 தேக்கரண்டி - மஞ்சள் தூள், 2 - வெங்காயத்தாள், 1 - புளி சிறிய உருண்டை, சில கறிவேப்பிலை, 1 தேக்கரண்டி - தேங்காய் எண்ணெய், 1/2 தேக்கரண்டி - கடுகு, சில கறிவேப்பிலை.</t>
  </si>
  <si>
    <t>Heat 2 tbsp. of coconut oil, Use coconut oil because traditionally avial is made in coconut oil, coconut imparts nice smell and taste to our avail, if you don't like the taste of coconut oil then use regular cooking oil.Add the vegetables one by one, First add drumstick, because drumstick take a little longer time to cook, Followed by drumstick add Brinjal, Cucumber, Carrot, Cluster beans and plantain.Add required salt and cook for 5-6 minutes.You can use any vegetables you like.  Now in a blender add grated coconut, Green Chilies, Turmeric powder, Tamarind (if you are using mangoes then add less amount of tamarind), Shallots and some curry leaves, and give it a few pulses we don’t need to grind them into a paste this consistency is enough.  Now add this mixture to the half cooked vegetables and mix well. Cook until all the vegetables are nicely cooked.Using a nonstick pan is preferred for this recipe because vegetables will release a lot of moisture while cooking and vegetables will taste their best when they are allowed to cook in their own juices,if you are making this avial for Adai then add 1 cup of water while cooking the vegetables to get a semi gravy consistency.  The final step is to temper, tempering can be done at the beginning or at the end, I.e. Before adding the vegetables add mustard seeds and few curry leaves and then add the vegetables. But I always prefer it to do at the end to maintain the rich aroma of our avail. So to temper add 1 tbsp. coconut oil, add ½ tsp mustard seeds and some curry leaves and mix it with the avial.  Our awesome avail is ready to be enjoyed with Adai or with rice.If you make it without adding water then it is an excellent choice for rice, if it is semi watery then you have have this as a side for Adai, dosa and Chapathi too..Do try this delicious and Nutritious Recipe and share with your friends and Family.Happy Cooking.</t>
  </si>
  <si>
    <t>2 டீஸ்பூன் சூடாக்கவும். தேங்காய் எண்ணெய், பாரம்பரியமாக அவியல் தேங்காய் எண்ணெயில் தயாரிக்கப்படுவதால் தேங்காய் எண்ணெயைப் பயன்படுத்துங்கள், தேங்காய் நல்ல மணத்தையும் சுவையையும் தருகிறது, தேங்காய் எண்ணெயின் சுவை உங்களுக்குப் பிடிக்கவில்லை என்றால் வழக்கமான சமையல் எண்ணெயைப் பயன்படுத்துங்கள். காய்கறிகளை ஒவ்வொன்றாகச் சேர்க்கவும், முதலில் முருங்கைக்காய் சேர்க்கவும், ஏனெனில் முருங்கைக்காய் சமைக்க சிறிது நேரம் எடுக்கும், அதைத் தொடர்ந்து முருங்கைக்காய், வெள்ளரிக்காய், கேரட், கொத்தமல்லி மற்றும் வாழைப்பழம் சேர்க்கவும். தேவையான உப்பு சேர்த்து 5-6 நிமிடங்கள் சமைக்கவும். நீங்கள் விரும்பும் எந்த காய்கறிகளையும் பயன்படுத்தலாம். இப்போது ஒரு பிளெண்டரில் துருவிய தேங்காய், பச்சை மிளகாய், மஞ்சள் தூள், புளி (நீங்கள் மாம்பழத்தைப் பயன்படுத்துகிறீர்கள் என்றால் குறைந்த அளவு புளி சேர்க்கவும்), வெங்காயத்தாள் மற்றும் சில கறிவேப்பிலை ஆகியவற்றைச் சேர்த்து, சிறிது பருப்புகளை அரைத்து, அவற்றை ஒரு பேஸ்டாக அரைக்கத் தேவையில்லை, இது போதுமானது. இப்போது இந்த கலவையை பாதி வேகவைத்த காய்கறிகளுடன் சேர்த்து நன்கு கலக்கவும். அனைத்து காய்கறிகளும் நன்றாக வேகும் வரை சமைக்கவும். இந்த ரெசிபிக்கு நான்ஸ்டிக் பாத்திரத்தைப் பயன்படுத்துவது நல்லது, ஏனெனில் காய்கறிகள் சமைக்கும் போது அதிக ஈரப்பதத்தை வெளியிடும், மேலும் காய்கறிகள் அவற்றின் சொந்த சாறுகளில் சமைக்க அனுமதிக்கப்படும்போது அவற்றின் சுவை சிறப்பாக இருக்கும். நீங்கள் அடைக்காக இந்த அவியல் செய்தால், காய்கறிகளை சமைக்கும் போது 1 கப் தண்ணீர் சேர்க்கவும், இதனால் அரை குழம்பு நிலைத்தன்மை கிடைக்கும். இறுதி படி, வேகவைப்பது, வேகவைப்பதை ஆரம்பத்திலோ அல்லது முடிவிலோ செய்யலாம், அதாவது காய்கறிகளைச் சேர்ப்பதற்கு முன் கடுகு மற்றும் சில கறிவேப்பிலைகளைச் சேர்த்து, பின்னர் காய்கறிகளைச் சேர்க்கவும். ஆனால், நமக்குக் கிடைக்கும் வளமான நறுமணத்தைத் தக்கவைக்க, கடைசியில் இதைச் செய்வதை நான் எப்போதும் விரும்புகிறேன். எனவே வேகவைக்க 1 டீஸ்பூன் தேங்காய் எண்ணெயைச் சேர்த்து, ½ டீஸ்பூன் கடுகு மற்றும் சில கறிவேப்பிலைகளைச் சேர்த்து, அவியலுடன் கலக்கவும். அடையுடன் அல்லது சாதத்துடன் சாப்பிட எங்கள் அருமையான உணவு தயாராக உள்ளது. தண்ணீர் சேர்க்காமல் செய்தால், சாதத்திற்கு இது ஒரு சிறந்த தேர்வாகும், பாதி தண்ணீர் போல் இருந்தால், அடை, தோசை மற்றும் சப்பாத்திக்கு இதை ஒரு பக்க உணவாகவும் சாப்பிட்டிருப்பீர்கள். இந்த சுவையான மற்றும் சத்தான ரெசிபியை முயற்சி செய்து உங்கள் நண்பர்கள் மற்றும் குடும்பத்தினருடன் பகிர்ந்து கொள்ளுங்கள். மகிழ்ச்சியான சமையல்.</t>
  </si>
  <si>
    <t>https://blogger.googleusercontent.com/img/b/R29vZ2xl/AVvXsEhhUflWleaY2IzETXhdM5ali4RBO6b6DXFTdefQLs-QvMbxb3DjzVckIeyfAbX8ifKzk4adcmtWDBczhl5WQhlbuG0jx8p6yrfEc-9KA9djnmbFHhaS2sccm7IKrF49x8nt4tfomoHw3uGO/s640/Adai+Avial+Recipe.JPG</t>
  </si>
  <si>
    <t>Kadai Chicken</t>
  </si>
  <si>
    <t>கடாய் கோழி</t>
  </si>
  <si>
    <t>Chicken Curry</t>
  </si>
  <si>
    <t>1/2 kg - Chicken (with or without bones), 6 - Dry Red Chilies, 1 tbsp - Coriander seeds, 1/2 tsp - Pepper corns, 1 tsp - Cumin seeds, 1/2 tsp - Fennel seeds, 4 - cloves, 3 Tbsp - Oil, 2 Bay leaves ,  1 - Cinnamon stick,  2 - dry red chilies, 2 large - Onion (finely chopped), 1 Tbsp - Ginger Garlic paste, 1 Tbsp - Kashmiri Chili powder, 1/4 tsp - Turmeric powder, 1 - Tomato (finely chopped), 1/4 cup -  Water, 2 Tbsp -  Cashew nut paste (soak 10 cashews in water for 30 min and grind), 1/2 - Bell pepper (cubed), Coriander Leaves, Salt to taste.</t>
  </si>
  <si>
    <t>1/2 கிலோ - கோழி (எலும்புடன் அல்லது இல்லாமல்), 6 - உலர்ந்த சிவப்பு மிளகாய், 1 டீஸ்பூன் - கொத்தமல்லி விதைகள், 1/2 டீஸ்பூன் - மிளகு, 1 டீஸ்பூன் - சீரகம், 1/2 டீஸ்பூன் - பெருஞ்சீரகம், 4 - கிராம்பு, 3 டீஸ்பூன் - எண்ணெய், 2 பிரியாணி இலைகள், 1 - இலவங்கப்பட்டை, 2 - உலர்ந்த சிவப்பு மிளகாய், 2 பெரியது - வெங்காயம் (நன்றாக நறுக்கியது), 1 டீஸ்பூன் - இஞ்சி பூண்டு விழுது, 1 டீஸ்பூன் - காஷ்மீரி மிளகாய் தூள், 1/4 டீஸ்பூன் - மஞ்சள் தூள், 1 - தக்காளி (நன்றாக நறுக்கியது), 1/4 கப் - தண்ணீர், 2 டீஸ்பூன் - முந்திரி விழுது (10 முந்திரிகளை தண்ணீரில் 30 நிமிடங்கள் ஊறவைத்து அரைக்கவும்), 1/2 - குடை மிளகாய் (குடைகளாக நறுக்கியது), கொத்தமல்லி இலை, சுவைக்கேற்ப உப்பு.</t>
  </si>
  <si>
    <t>To make Kadai masala dry roast red chilies, coriander seeds, black pepper, cumin seeds, fennel seeds and cloves in a pan for 2- 3 minutes on a medium heat.Once you start to smell the nice aroma of the roasted spices turn off the heat and once the mixture cools down completely transfer to a blender and grind it to a powder.  In a pan heat oil and add the whole spices Bay leaves, Cinnamon stick and red chilies. Add finely chopped onions and some salt to speed up the cooking process.Once the onions are golden brown add ginger garlic paste and cook until the raw smell is gone. Then add half of the ground masala , chili powder and turmeric powder and mix well.  After mixing add chopped tomato and also add water to prevent the masala from sticking to the bottom and cook until everything turns into a paste.Add the cleaned chicken pieces and mix well with the masalas. Cover and cook for 10-15 minutes based on the size of your chicken pieces.   once the chicken is done add cashew paste to get a creamy base (soak 10-12 cashews in water for 30 minutes and then grind to a smooth paste).Add cubed bell pepper and cook for few minutes. within 2-3 minutes bell peppers will turn soft at that point add the rest of the kadai masala and also sprinkle some fresh coriander leaves on the top and turn off the heat.   Our delicous Khadai chciken masala is ready to be served.It goes excellent with nan, chapathi, roti and also goes excellent with rice. Please do try this Kadai Chicken Restaurant style and post your feedback. Kadai Masala can be made two ways : 1) grind everything into a fine powder or 2) First grind the mixture coarsely, separate half of the masala and set that aside.Grind the remaining masala to a fine powder. Add the fine powder at the beginning and the coarse powder towards the end to get nice aroma and flavor.</t>
  </si>
  <si>
    <t>கடாய் மசாலா செய்ய, சிவப்பு மிளகாய், கொத்தமல்லி, கருப்பு மிளகு, சீரகம், பெருஞ்சீரகம் மற்றும் கிராம்பு ஆகியவற்றை ஒரு பாத்திரத்தில் 2-3 நிமிடங்கள் மிதமான தீயில் வறுக்கவும். வறுத்த மசாலாப் பொருட்களின் நல்ல நறுமணம் வர ஆரம்பித்ததும், தீயை அணைத்து, கலவை முழுவதுமாக குளிர்ந்ததும், ஒரு பிளெண்டருக்கு மாற்றி பொடியாக அரைக்கவும். ஒரு வாணலியில் எண்ணெயை சூடாக்கி, முழு மசாலாப் பொருட்களையும் பிரித்தெடுக்கும் வளைகுடா இலைகள், இலவங்கப்பட்டை மற்றும் சிவப்பு மிளகாய் சேர்க்கவும். இறுதியாக நறுக்கிய வெங்காயம் மற்றும் சிறிது உப்பு சேர்த்து சமைக்கும் செயல்முறையை விரைவுபடுத்தவும். வெங்காயம் பொன்னிறமாக மாறியதும், இஞ்சி பூண்டு விழுது சேர்த்து பச்சை வாசனை போகும் வரை வதக்கவும். பின்னர் அரைத்த மசாலாவில் பாதி, மிளகாய் தூள் மற்றும் மஞ்சள் தூள் சேர்த்து நன்கு கலக்கவும். கலந்த பிறகு, நறுக்கிய தக்காளியைச் சேர்த்து, மசாலா அடிப்பகுதியில் ஒட்டாமல் இருக்க தண்ணீர் சேர்த்து, அனைத்தும் பேஸ்டாக மாறும் வரை சமைக்கவும். சுத்தம் செய்த சிக்கன் துண்டுகளைச் சேர்த்து மசாலாக்களுடன் நன்கு கலக்கவும். உங்கள் சிக்கன் துண்டுகளின் அளவைப் பொறுத்து 10-15 நிமிடங்கள் மூடி வைத்து சமைக்கவும். கோழி வெந்ததும் முந்திரி விழுதைச் சேர்த்து கிரீமி பேஸ் பெறுங்கள் (10-12 முந்திரிகளை தண்ணீரில் 30 நிமிடங்கள் ஊறவைத்து, பின்னர் மென்மையான பேஸ்டாக அரைக்கவும்). க்யூப் செய்யப்பட்ட பெல் பெப்பரைச் சேர்த்து சில நிமிடங்கள் சமைக்கவும். 2-3 நிமிடங்களுக்குள் பெல் பெப்பர்ஸ் மென்மையாக மாறும், மீதமுள்ள கடாய் மசாலாவைச் சேர்த்து மேலே சில புதிய கொத்தமல்லி இலைகளைத் தூவி அடுப்பை அணைக்கவும். எங்கள் சுவையான கடாய் சிக்கன் மசாலா பரிமாற தயாராக உள்ளது. இது நான், சப்பாத்தி, ரொட்டியுடன் அருமையாக இருக்கும், மேலும் சாதத்துடன் அருமையாக இருக்கும். தயவுசெய்து இந்த கடாய் சிக்கன் உணவக பாணியை முயற்சி செய்து உங்கள் கருத்தைப் பதிவு செய்யவும். கடாய் மசாலாவை இரண்டு வழிகளில் செய்யலாம்: 1) அனைத்தையும் நன்றாகப் பொடியாக அரைக்கவும் அல்லது 2) முதலில் கலவையை கரடுமுரடாக அரைத்து, மசாலாவின் பாதியை பிரித்து ஒதுக்கி வைக்கவும். மீதமுள்ள மசாலாவை நைசாக அரைக்கவும். நல்ல மணம் மற்றும் சுவையைப் பெற ஆரம்பத்தில் நுண்ணிய பொடியையும் இறுதியில் கரடுமுரடான பொடியையும் சேர்க்கவும்.</t>
  </si>
  <si>
    <t>https://blogger.googleusercontent.com/img/b/R29vZ2xl/AVvXsEjyEd1aDkv3ByqoydbJct7Sw0rztihEP5cDhhhjHOJxzESW9fOO6ykSJoiPMMoCng-F-JY3XfFDjRGNIefwgA25tbCImK5Y9G3tUO6B5qkzwwhaeMcC5x0ftEV24-op0Am4loYnFBysDNTP/s640/Kadai+Chicken+recipe.jpg</t>
  </si>
  <si>
    <t>https://youtu.be/91MF2CeNh4Y</t>
  </si>
  <si>
    <t>Coconut Poli</t>
  </si>
  <si>
    <t>தேங்காய் பொலி</t>
  </si>
  <si>
    <t>1 cup - All purpose flour / .Maida, pinch of Salt, Water (approximately 1/2 cup), 1 tbsp - Oil, 1 cup - Grated Coconut, 3/4 cup - Sugar, 1/4 tsp - Cardamom powder, 10-12 - Saffron Strands (optional), Ghee for cooking.</t>
  </si>
  <si>
    <t>1 கப் - அனைத்து உபயோக மாவு / மைதா, சிட்டிகை உப்பு, தண்ணீர் (தோராயமாக 1/2 கப்), 1 டீஸ்பூன் - எண்ணெய், 1 கப் - துருவிய தேங்காய், 3/4 கப் - சர்க்கரை, 1/4 டீஸ்பூன் - ஏலக்காய் தூள், 10-12 - குங்குமப்பூ இழைகள் (விரும்பினால்), சமையலுக்கு நெய்.</t>
  </si>
  <si>
    <t>Let’s start with making dough. In a mixing bowl add Maida, a pinch of salt and gradually add water and knead it into a soft dough (1/2 cup water) after kneading sometime add some oil (1 tbsp of oil) and gently rub it into the dough and knead it again to form a soft and smooth dough .Now apply some more oil on the top to coat the surface of the dough and allow it to rest for minimum 1-2 hours.  Now the dough has been rested for almost two hours now lets start making the sweet filling. Into a pan add the grated coconut and saute for a minute and then add cardamom powder and sugar and cook it until all the moisture evaporates. Once it becomes thick turn off the heat and add few strands of saffron (this is optional) and mix it once and allow it to cool completely.  Take a small portion of the dough and spread it, place the sweet mixture at the center and cover it with the dough .Spread it into a thin sheet if you see some stuffing on the surface that is fine it doesn’t have to be perfect.I have used my hands to flatten you can also use rolling pin.   Now in a pan apply some ghee and place the thengai poli and cook it for few minutes on each side on a medium heat until you see golden spots on the outside.  Now our tasty Coconut poli is ready to be served and share this recipe with your friends and family. Resting the dough is very important, if you do not rest the dough then the outer layer will be hard and it will not stretch properly while rolling and flattening. Happy Cooking !!!</t>
  </si>
  <si>
    <t>மாவை தயாரிப்பதில் இருந்து ஆரம்பிக்கலாம். ஒரு கலவை கிண்ணத்தில் மைதா, ஒரு சிட்டிகை உப்பு சேர்த்து படிப்படியாக தண்ணீர் சேர்த்து மென்மையான மாவாக (1/2 கப் தண்ணீர்) பிசைந்த பிறகு சிறிது எண்ணெய் (1 டீஸ்பூன் எண்ணெய்) சேர்த்து மெதுவாக மாவில் தேய்த்து மீண்டும் பிசைந்து மென்மையான மற்றும் மென்மையான மாவை உருவாக்குங்கள். இப்போது மாவின் மேற்பரப்பில் பூசுவதற்கு மேலே சிறிது எண்ணெயைத் தடவி, குறைந்தபட்சம் 1-2 மணி நேரம் அப்படியே விடவும். இப்போது மாவு கிட்டத்தட்ட இரண்டு மணி நேரம் ஓய்வெடுக்கப்பட்டுள்ளது, இப்போது இனிப்பு நிரப்புதலைத் தொடங்கலாம். ஒரு பாத்திரத்தில் துருவிய தேங்காயைச் சேர்த்து ஒரு நிமிடம் வதக்கி, பின்னர் ஏலக்காய்த் தூள் மற்றும் சர்க்கரையைச் சேர்த்து ஈரப்பதம் முழுவதும் ஆவியாகும் வரை சமைக்கவும். அது கெட்டியானதும், தீயை அணைத்து, சில குங்குமப்பூ இழைகளைச் சேர்த்து (இது விருப்பத்திற்குரியது) ஒரு முறை கலந்து முழுமையாக ஆற விடவும். மாவின் ஒரு சிறிய பகுதியை எடுத்து அதைப் பரப்பி, இனிப்பு கலவையை மையத்தில் வைத்து மாவால் மூடி வைக்கவும். மேற்பரப்பில் சிறிது திணிப்பு இருப்பதைக் கண்டால், அதை ஒரு மெல்லிய தாளில் பரப்பவும், அது நன்றாக இருக்கும், அது சரியானதாக இருக்க வேண்டியதில்லை. நான் தட்டையாக்க என் கைகளைப் பயன்படுத்தினேன், நீங்கள் ரோலிங் பின்னையும் பயன்படுத்தலாம். இப்போது ஒரு பாத்திரத்தில் சிறிது நெய் தடவி, தேங்காய் பொலியை வைத்து, வெளியில் தங்க நிற புள்ளிகள் தெரியும் வரை ஒவ்வொரு பக்கத்திலும் சில நிமிடங்கள் மிதமான தீயில் சமைக்கவும். இப்போது எங்கள் சுவையான தேங்காய் பொலி பரிமாற தயாராக உள்ளது, இந்த செய்முறையை உங்கள் நண்பர்கள் மற்றும் குடும்பத்தினருடன் பகிர்ந்து கொள்ளுங்கள். மாவை ஓய்வெடுப்பது மிகவும் முக்கியம், நீங்கள் மாவை ஓய்வெடுக்கவில்லை என்றால், வெளிப்புற அடுக்கு கடினமாக இருக்கும், மேலும் அது உருட்டி தட்டையாக்கும் போது சரியாக நீட்டாது. மகிழ்ச்சியான சமையல் !!!</t>
  </si>
  <si>
    <t>https://blogger.googleusercontent.com/img/b/R29vZ2xl/AVvXsEj9LgxNRjijBDniYKhlvOCVoHWPiHuvQZ1IPgfC2ExYK7LTn6-H-g8Jeuzv1xbWiFza05kqVrgNOJJ_hYGrGCcKnfRDWjixzR60sQ0e0Z6YAj5hApWDL0W-MiettTEiULyxskG7f8yGYMQU/s640/coconut+poli.jpg</t>
  </si>
  <si>
    <t>Chicken Dum Biryani</t>
  </si>
  <si>
    <t>சிக்கன் தம் பிரியாணி</t>
  </si>
  <si>
    <t>1 Kg - Chicken with bones, 1 Tbsp - Ginger Garlic Paste, 1 Tbsp - Chili powde, 1 tsp - Garam masala powder, 1/4 tsp - Turmeric powder, 3 - cardamom ,  4 - cloves ,  2 - Cinnamon Stick, 1 Tbsp - Lemon Juice, 1/2 cup - Yogurt /  Curd, 1 Tbsp - Oil, 5 - Green Chilies,  Fried Onions (2 onions fried), some Coriander leaves, some Mint Leaves, Salt, 1 Tbsp - Ghee, 1/2 tsp - 2 bay leaves ,  3 - cardamom ,  4 - cloves ,  1 - Cinnaon Stick , 1 - Start anise, 2 - cups Basmati Rice, Water ,   Salt to taste, 2 tbsp - Ghee / Clarified Butter, Brown Onions , Handfull coriander and Mint leaves, 2 Tbsp - Saffron Milk.</t>
  </si>
  <si>
    <t>1 கிலோ - எலும்புகளுடன் கூடிய சிக்கன், 1 டேபிள்ஸ்பூன் - இஞ்சி பூண்டு விழுது, 1 டேபிள்ஸ்பூன் - மிளகாய் தூள், 1 டேபிள்ஸ்பூன் - கரம் மசாலா தூள், 1/4 டேபிள்ஸ்பூன் - மஞ்சள் தூள், 3 - ஏலக்காய், 4 - கிராம்பு, 2 - இலவங்கப்பட்டை, 1 டேபிள்ஸ்பூன் - எலுமிச்சை சாறு, 1/2 கப் - தயிர் / தயிர், 1 டேபிள்ஸ்பூன் - எண்ணெய், 5 - பச்சை மிளகாய், வறுத்த வெங்காயம் (2 வெங்காயம் வறுத்தது), சிறிது கொத்தமல்லி இலைகள், சிறிது புதினா இலைகள், உப்பு, 1 டேபிள்ஸ்பூன் - நெய், 1/2 டேபிள்ஸ்பூன் - 2 பிரியாணி இலைகள், 3 - ஏலக்காய், 4 - கிராம்பு, 1 - இலவங்கப்பட்டை குச்சி, 1 - சோம்பு குச்சி, 2 - கப் பாஸ்மதி அரிசி, தண்ணீர், ருசிக்கேற்ப உப்பு, 2 டேபிள்ஸ்பூன் - நெய் / தெளித்த வெண்ணெய், பழுப்பு நிற வெங்காயம் , கைப்பிடி கொத்தமல்லி மற்றும் புதினா இலைகள், 2 டேபிள்ஸ்பூன் - குங்குமப்பூ பால்.</t>
  </si>
  <si>
    <t>In a mixing bowl add the chicken pieces and season it with ginger garlic paste, turmeric powder, garam masala powder, chilli powder, green chilies, lemon juice, Yogurt, fried onions, mint leaves , coriander leaves , oil and salt. mix it nicely and coat the chicken pieces well with the masalas. Marinate the chicken for a minimum of  2 hours to overnight.For best results marinate the chicken for overnight in the refrigerator.   The next step is to flavor the rice , in a big pan heat a tbsp. of ghee and add the whole spices bay leaves , cinnamon stick , star anise,  cloves and  cardamom and mix it once .After extracting all the flavors add enough water and season it with salt.once the water comes to a rolling boil add the basmati rice which has been soaked in water for 30 minutes and allow the rice to cook until the rice is 50 % done.  Meanwhile lets layer the chicken pieces.In a heavy bottomed pan place the chicken pieces flat on the surface and once the rice is 50 % done if you press it with your fingers you should be able to feel the texture in the rice now at this point turn off the heat and spread it over the meat (do not drain the water completely there should be some moisture in the rice) and on the top sprinkle some fried onions ,coriander leaves and mint leaves .Again layer the remaining rice and sprinkle some fried onions ,coriander and mint leaves. Finally on the top add ghee and also add saffron milk to get a nice color (soak few strands of saffron in warm milk for 10 minutes and add).  This is the most important step we need to lock all the flavors inside so to make it airtight take some dough (any dough I have taken chapathi dough) and apply it to the edges of the lid and press firmly So that it forms a tight seal. if you have any opening in the lid for steam cover that as well.</t>
  </si>
  <si>
    <t>ஒரு கலவை பாத்திரத்தில் கோழி துண்டுகளைச் சேர்த்து, இஞ்சி பூண்டு விழுது, மஞ்சள் தூள், கரம் மசாலா தூள், மிளகாய் தூள், பச்சை மிளகாய், எலுமிச்சை சாறு, தயிர், வறுத்த வெங்காயம், புதினா இலைகள், கொத்தமல்லி இலைகள், எண்ணெய் மற்றும் உப்பு சேர்த்து தாளிக்கவும். நன்றாக கலந்து, கோழி துண்டுகளை மசாலாக்களுடன் நன்றாக பூசவும். கோழியை குறைந்தபட்சம் 2 மணி நேரம் முதல் இரவு வரை மரைனேட் செய்யவும். சிறந்த முடிவுகளுக்கு குளிர்சாதன பெட்டியில் இரவு முழுவதும் மரைனேட் செய்யவும். அடுத்த படி அரிசியை சுவைக்க வேண்டும், ஒரு பெரிய வாணலியில் ஒரு தேக்கரண்டி நெய்யை சூடாக்கி, முழு மசாலாப் பொருட்களையும் சேர்க்கவும் வளைகுடா இலைகள், இலவங்கப்பட்டை குச்சி, நட்சத்திர சோம்பு, கிராம்பு மற்றும் ஏலக்காய் ஆகியவற்றை ஒரு முறை கலக்கவும். அனைத்து சுவைகளையும் பிரித்தெடுத்த பிறகு போதுமான தண்ணீர் சேர்த்து உப்பு சேர்க்கவும். தண்ணீர் ஒரு கொதி நிலைக்கு வந்ததும், தண்ணீரில் 30 நிமிடங்கள் ஊறவைத்த பாஸ்மதி அரிசியைச் சேர்த்து, அரிசி 50% வேகும் வரை சமைக்கவும். இதற்கிடையில், கோழித் துண்டுகளை அடுக்கி வைக்கவும். அடி கனமான ஒரு பாத்திரத்தில் கோழித் துண்டுகளை மேற்பரப்பில் தட்டையாக வைக்கவும், அரிசி 50% வெந்தவுடன் உங்கள் விரல்களால் அழுத்தினால் அரிசியின் அமைப்பை நீங்கள் உணர முடியும். இப்போது இந்த கட்டத்தில் வெப்பத்தை அணைத்து இறைச்சியின் மீது பரப்பவும் (தண்ணீரை முழுவதுமாக வடிகட்ட வேண்டாம், அரிசியில் சிறிது ஈரப்பதம் இருக்க வேண்டும்). மேலே சிறிது வறுத்த வெங்காயம், கொத்தமல்லி இலைகள் மற்றும் புதினா இலைகளைத் தூவவும். மீதமுள்ள அரிசியை மீண்டும் அடுக்கி, சிறிது வறுத்த வெங்காயம், கொத்தமல்லி மற்றும் புதினா இலைகளைத் தூவவும். இறுதியாக மேலே நெய்யைச் சேர்த்து குங்குமப்பூ பாலைச் சேர்த்து நல்ல நிறம் கிடைக்கும் (சூடான பாலில் சில குங்குமப்பூ இழைகளை 10 நிமிடங்கள் ஊறவைத்து சேர்க்கவும்). காற்று புகாததாக இருக்க, உள்ளே உள்ள அனைத்து சுவைகளையும் பூட்ட வேண்டிய மிக முக்கியமான படி இது. சிறிது மாவை (நான் சப்பாத்தி மாவை எடுத்த எந்த மாவையும்) எடுத்து மூடியின் விளிம்புகளில் தடவி உறுதியாக அழுத்தவும், இதனால் அது இறுக்கமாக மூடப்படும். மூடியில் நீராவிக்கு ஏதேனும் திறப்பு இருந்தால் அதையும் மூடி வைக்கவும்.</t>
  </si>
  <si>
    <t>https://blogger.googleusercontent.com/img/b/R29vZ2xl/AVvXsEjXlU0PoFxN9Gn9PkkJGlnhDFLkZg6JxQqVxxcjN1RNU8L1buu5vlMGrdLnjxBwaJ9WcXtvHZyIikX02-ahfCH3B7N4E3gHgogyW2Gh-1tJGMo8Vsq1grSdk3_qniDTGNUtiKkntiSwv3CH/s640/Chciken+Dum+Biryani+Recipe.JPG</t>
  </si>
  <si>
    <t>https://youtu.be/d-VO5dWnv1E</t>
  </si>
  <si>
    <t>Thattai</t>
  </si>
  <si>
    <t>தட்டாய்</t>
  </si>
  <si>
    <t>1 - cup Rice flour, 1 Tbsp - Urad Dal / Skinless black gram, 1 Tbsp - Roasted Chickpeas / roasted Chana Dal, 1 tsp - Cumin seeds or Sesame Seeds, 1 tsp - Chili powder, 2 tsp - Butter, 1 Tbsp - Soaked Chana dal / Soaked Chickpeas, few Chopped curry leaves, 1/4 tsp - Hing / Asafoetida, 3/4 cup - water ( approximately ), Salt to taste, Oil for Frying.</t>
  </si>
  <si>
    <t>1 - கப் அரிசி மாவு, 1 டேபிள்ஸ்பூன் - உளுத்தம் பருப்பு / தோல் நீக்கிய உளுத்தம் பருப்பு, 1 டேபிள்ஸ்பூன் - வறுத்த கொண்டைக்கடலை / வறுத்த கடலை பருப்பு, 1 டேபிள்ஸ்பூன் - சீரகம் அல்லது எள், 1 டேபிள்ஸ்பூன் - மிளகாய் தூள், 2 டேபிள்ஸ்பூன் - வெண்ணெய், 1 டேபிள்ஸ்பூன் - ஊறவைத்த கடலை பருப்பு / ஊறவைத்த கொண்டைக்கடலை, சில நறுக்கிய கறிவேப்பிலை, 1/4 டேபிள்ஸ்பூன் - பெருங்காயம் / பெருங்காயம், 3/4 கப் - தண்ணீர் (தோராயமாக), சுவைக்கு உப்பு, பொரிக்க எண்ணெய்.</t>
  </si>
  <si>
    <t>Dry roast Skinless black gram for a few minutes on a medium heat until you a get nice golden color (you will get an awesome aroma while roasting). Be careful while roasting do not burn them. Then transfer this to a blender and also add roasted chana dal along with this and grind it to a very fine powder.  Combine rice flour, ground flour (from step 1) , Soaked Chana dal, Asafoetida, Chopped Curry leaves, Cumin seeds (you can also use sesame seeds) and salt in a bowl.Mix it well and then add water to it do not add too much of water at a time,gradually add in the water and form a soft dough (Chapathi dough consistency). If you want it to be a little softer then you can add 2 tsp of butter to it and then knead.I have skipped butter because I like it to be a little hard.  Take a small portion of the dough and make ball first and then pace it inside a plastic bag( I have used zip lock bag) and grease the bag with some oil or ghee to prevent sticking. press it with a flat bottomed container or bowl and flatten it to get a thin layer (you can also use your fingers to flatten it more). If the thatti is thick then it will take more time to cook and at the same time it will not be crispy,so flatten them thin.  After flattening take the thatti and fry them in hot oil (medium heat).Flip it to the other side and fry until both the sides are golden and crisp.It is fully cooked only after all the bubbles subside.   Our Crispy and crunchy Thatti murukku is ready to be served with a cup of hot tea or coffee.I am going to make this Murukku for this Diwali too.Store this in airtight container and enjoy. You can add also broken peanuts to this if you like. Lets Spread the Joy of Cooking .</t>
  </si>
  <si>
    <t>தோல் நீக்கிய உளுத்தம் பருப்புகளை மிதமான தீயில் சில நிமிடங்கள் நல்ல தங்க நிறம் வரும் வரை (வறுக்கும்போது ஒரு அற்புதமான வாசனை கிடைக்கும்) வறுக்கவும். வறுக்கும்போது கவனமாக இருங்கள், அவற்றை எரிக்க வேண்டாம். பின்னர் இதை ஒரு பிளெண்டரில் மாற்றி, இதனுடன் வறுத்த கடலை பருப்பு சேர்த்து நன்றாக பொடியாக அரைக்கவும். ஒரு பாத்திரத்தில் அரிசி மாவு, அரைத்த மாவு (படி 1 இல் இருந்து), ஊறவைத்த கடலை பருப்பு, பெருங்காயம், நறுக்கிய கறிவேப்பிலை, சீரகம் (எள்ளும் பயன்படுத்தலாம்) மற்றும் உப்பு ஆகியவற்றைச் சேர்த்து நன்கு கலக்கவும். பின்னர் அதில் தண்ணீர் சேர்க்கவும், அதிக தண்ணீர் சேர்க்க வேண்டாம், படிப்படியாக தண்ணீரைச் சேர்த்து மென்மையான மாவை உருவாக்கவும் (சப்பாத்தி மாவின் நிலைத்தன்மை). நீங்கள் கொஞ்சம் மென்மையாக இருக்க விரும்பினால், அதில் 2 தேக்கரண்டி வெண்ணெய் சேர்த்து பிசையலாம். அது கொஞ்சம் கடினமாக இருப்பது எனக்குப் பிடிக்கும் என்பதால் நான் வெண்ணெயைத் தவிர்த்துவிட்டேன். மாவின் ஒரு சிறிய பகுதியை எடுத்து முதலில் உருண்டையாக உருட்டி, பின்னர் அதை ஒரு பிளாஸ்டிக் பையில் (நான் ஜிப் லாக் பையைப் பயன்படுத்தினேன்) வைத்து, ஒட்டாமல் இருக்க சிறிது எண்ணெய் அல்லது நெய் தடவவும். ஒரு தட்டையான அடிப்பகுதி கொண்ட கொள்கலன் அல்லது கிண்ணத்தால் அதை அழுத்தி, ஒரு மெல்லிய அடுக்கைப் பெற தட்டையாக்குங்கள் (நீங்கள் அதை மேலும் தட்டையாக்க உங்கள் விரல்களையும் பயன்படுத்தலாம்). தட்டி தடிமனாக இருந்தால், அது சமைக்க அதிக நேரம் எடுக்கும், அதே நேரத்தில் அது மொறுமொறுப்பாக இருக்காது, எனவே அவற்றை மெல்லியதாக தட்டையாக்குங்கள். தட்டையாக ஆறிய பிறகு, தட்டியை எடுத்து சூடான எண்ணெயில் (நடுத்தர தீயில்) வறுக்கவும். மறுபுறம் திருப்பி, இரு பக்கங்களும் பொன்னிறமாகவும் மொறுமொறுப்பாகவும் ஆகும் வரை வறுக்கவும். அனைத்து குமிழ்களும் அடங்கிய பின்னரே அது முழுமையாக வேகும். எங்கள் மொறுமொறுப்பான மற்றும் மொறுமொறுப்பான தட்டி முறுக்கு ஒரு கப் சூடான தேநீர் அல்லது காபியுடன் பரிமாற தயாராக உள்ளது. இந்த தீபாவளிக்கும் இந்த முறுக்கு செய்யப் போகிறேன். இதை காற்று புகாத கொள்கலனில் சேமித்து மகிழுங்கள். நீங்கள் விரும்பினால் இதில் உடைத்த வேர்க்கடலையையும் சேர்க்கலாம். சமையலின் மகிழ்ச்சியைப் பரப்புவோம்.</t>
  </si>
  <si>
    <t>https://blogger.googleusercontent.com/img/b/R29vZ2xl/AVvXsEiP-zz1h76PUi_MWE7Axztw3fhHKFAedxmZoMirJ630kpbZ2QHesCeJhJ7vh0EKY3ZllDn4rI0eJ3KhKE-qzM2oL51f1HfE4z21ocOHhSJJG9Va6qLrYzKedgIf6SBGbQ4EAABl2-g9yMgC/s640/Thattai+recipe+in+tamil.JPG</t>
  </si>
  <si>
    <t>Bread Halwa</t>
  </si>
  <si>
    <t>ரொட்டி ஹல்வா</t>
  </si>
  <si>
    <t>7 - Slices Bread ( I have used milk bread), 1/2 cup - Sugar, 1/2 cup - Ghee /  Clarified Butter, 2 cups - Milk, 1/4 cup- Cashew nut.</t>
  </si>
  <si>
    <t>7 - துண்டுகள் ரொட்டி (நான் பால் ரொட்டியைப் பயன்படுத்தினேன்), 1/2 கப் - சர்க்கரை, 1/2 கப் - நெய் / தெளித்த வெண்ணெய், 2 கப் - பால், 1/4 கப் - முந்திரி பருப்பு.</t>
  </si>
  <si>
    <t>Trim the edges of the bread (this is optional) and after trimming the edges cut the bread slices into small pieces. If we cut the slices into small pieces then all the sides will be nicely roasted in the ghee.  Before roasting the bread pieces I am going to roast some cashew nuts (to reduce the usage of more pans). Melt  ghee and roast the cashews for 2 minutes until they are nice and golden, once the cashews are golden take it off from the pan and keep it aside.Take some of the roasted cashews and powder them in a blender.  Then in the same ghee add the bread pieces and roast it golden in low to medium heat, be very careful while roasting ,do not burn them. The pieces should get a nice golden color.   Now you can see the bread pieces are nice and golden now to this add milk and mix it once with the bread slices.Let it cook for few minutes and then we can mash them.  Once they are soft, mash the bread pieces nicely and then add the powder cashew nuts and also add sugar ( you ca n increase or decrease the amount of sugar based on your sweet preference) .Mix well and let it cook for sometimes on a low - medium heat . Once it starts to leave the sides of the pan it is at the right stage, now add the roasted cashews and mix well with the halwa and turn off the heat.   Our Delicious Bread halwa is ready to be served. You can serve them when is is hot or Chilled.You can also add Cardamom powder at the end to enhance the flavor of the bread halwa.</t>
  </si>
  <si>
    <t>ரொட்டியின் விளிம்புகளை வெட்டுங்கள் (இது விருப்பத்திற்குரியது) மற்றும் விளிம்புகளை வெட்டிய பிறகு ரொட்டி துண்டுகளை சிறிய துண்டுகளாக வெட்டுங்கள். துண்டுகளை சிறிய துண்டுகளாக வெட்டினால், அனைத்து பக்கங்களும் நெய்யில் நன்றாக வறுத்தெடுக்கப்படும். ரொட்டி துண்டுகளை வறுப்பதற்கு முன், நான் சில முந்திரி பருப்புகளை வறுக்கப் போகிறேன் (அதிக பாத்திரங்களின் பயன்பாட்டைக் குறைக்க). நெய்யை உருக்கி, முந்திரிகளை 2 நிமிடங்கள் நன்றாகவும் பொன்னிறமாகவும் வறுக்கவும், முந்திரி பொன்னிறமாக மாறியதும், அதை வாணலியில் இருந்து எடுத்து ஒதுக்கி வைக்கவும். வறுத்த முந்திரிகளில் சிலவற்றை எடுத்து ஒரு பிளெண்டரில் பொடி செய்யவும். பின்னர் அதே நெய்யில் ரொட்டி துண்டுகளைச் சேர்த்து குறைந்த அல்லது நடுத்தர வெப்பத்தில் பொன்னிறமாக வறுக்கவும், வறுக்கும்போது மிகவும் கவனமாக இருங்கள், அவற்றை எரிக்க வேண்டாம். துண்டுகள் ஒரு நல்ல தங்க நிறத்தைப் பெற வேண்டும். இப்போது ரொட்டித் துண்டுகள் நன்றாகவும் பொன்னிறமாகவும் இருப்பதை நீங்கள் காணலாம். இப்போது பால் சேர்த்து ரொட்டித் துண்டுகளுடன் ஒரு முறை கலக்கவும். சில நிமிடங்கள் சமைக்க விடுங்கள், பின்னர் நாம் அவற்றை மசிக்கலாம். அவை மென்மையாக மாறியதும், ரொட்டித் துண்டுகளை நன்றாக மசித்து, பின்னர் முந்திரி பருப்புப் பொடியைச் சேர்த்து சர்க்கரையையும் சேர்க்கவும் (உங்கள் இனிப்பு விருப்பத்தின் அடிப்படையில் சர்க்கரையின் அளவை அதிகரிக்கவோ குறைக்கவோ முடியும்). நன்றாகக் கலந்து, சில நேரங்களில் குறைந்த - நடுத்தர தீயில் சமைக்க விடுங்கள். அது வாணலியின் பக்கவாட்டில் இருந்து வெளியேறத் தொடங்கியதும், அது சரியான நிலையில் உள்ளது, இப்போது வறுத்த முந்திரிகளைச் சேர்த்து ஹல்வாவுடன் நன்றாகக் கலந்து, அடுப்பை அணைக்கவும். எங்கள் சுவையான ரொட்டித் துண்டுகள் பரிமாறத் தயாராக உள்ளன. சூடாகவோ அல்லது குளிரூட்டப்பட்டோ நீங்கள் அவற்றைப் பரிமாறலாம். ரொட்டித் துண்டுகளின் சுவையை அதிகரிக்க இறுதியில் ஏலக்காய்த் தூளையும் சேர்க்கலாம்.</t>
  </si>
  <si>
    <t>https://blogger.googleusercontent.com/img/b/R29vZ2xl/AVvXsEgOHbUMGuYJeJ_I4cnJrovTGd5c0vDxixDmeCaJh1CmN9UZF2RJrHKrIgkIVia1-RAGZdo5T48YxjQHBroo4pn2Q3E1h64WJ9X-6iiqQ9k6tCw9d75Htr9kRebUYEjZW_5xdRXXcLVsICRD/s640/Bread+Halwa+recipe.JPG</t>
  </si>
  <si>
    <t>Fish Biryani</t>
  </si>
  <si>
    <t>மீன் பிரியாணி</t>
  </si>
  <si>
    <t>1/2 tsp -        Coriander seeds, 1/2 tsp -        Fennel seeds, 1/2 tsp -        Cumin seeds, 1/2 tsp -        Pepper corns, 1 - Star anise, 3 - cloves, 3 - Cardamom, 1 inch - Cinnamon stick, 1/2 Kg -        Fish / any Fish of your choice, 1/2 cup -Yogurt, 1 Tbsp -  Ginger Garlic Paste, 1 Tbsp -  Chili powder, 1 Tbsp -  Lemon Juice, 1/4 tsp - urmeric powder, Salt, 1 Tbsp -  Oil, 1/2 tsp - Shahi Jeera, 2 - bay leaves ,  2  - cardamom ,  2 - cloves ,  1- Cinnamon Stick , 1 - Start anise Water , 2 cups - Basmati rice, 3 tbsp - Ghee / Clarified Butter, Brown Onions (2 onions fried), Handfull coriander ,  Mint leaves, 2 Tbsp - Saffron</t>
  </si>
  <si>
    <t>1/2 தேக்கரண்டி - கொத்தமல்லி விதைகள், 1/2 தேக்கரண்டி - பெருஞ்சீரகம் விதைகள், 1/2 தேக்கரண்டி - சீரகம் விதைகள், 1/2 தேக்கரண்டி - மிளகுத்தூள், 1 - நட்சத்திர சோம்பு, 3 - கிராம்பு, 3 - ஏலக்காய், 1 அங்குலம் - இலவங்கப்பட்டை குச்சி, 1/2 கிலோ - மீன் / உங்களுக்கு விருப்பமான எந்த மீன், 1/2 கப் - தயிர், 1 தேக்கரண்டி - இஞ்சி பூண்டு விழுது, 1 தேக்கரண்டி - மிளகாய் தூள், 1 தேக்கரண்டி - எலுமிச்சை சாறு, 1/4 தேக்கரண்டி - மஞ்சள் தூள், உப்பு, 1 தேக்கரண்டி - எண்ணெய், 1/2 தேக்கரண்டி - ஷாஹி ஜீரா, 2 - பிரியாணி இலைகள், 2 - ஏலக்காய், 2 - கிராம்பு, 1- இலவங்கப்பட்டை குச்சி, 1 - தொடக்க சோம்பு தண்ணீர், 2 கப் - பாஸ்மதி அரிசி, 3 தேக்கரண்டி - நெய் / தெளித்த வெண்ணெய், பழுப்பு வெங்காயம் (2 வெங்காயம் வறுத்தது), கைப்பிடி அளவு கொத்தமல்லி , புதினா இலைகள், 2 டேபிள்ஸ்பூன் - குங்குமப்பூ பால்.</t>
  </si>
  <si>
    <t>To make biryani masala dry roast  coriander seeds, fennel seeds, cumin seeds, pepper corns , star anise, cinnamon , cloves , cardamom for a couple of minutes on a medium heat and then grind it to a fine powder.  Now for the marination in a bowl add Yogurt, ginger garlic paste, Red chili powder, turmeric powder, freshly ground masala powder(from step 1), lemon juice and salt .mix it well until all the ingredients are well combined.  Then add the fish pieces and mix it very gently and coat all the pieces with the masala mixture.After mixing everything set this aside and let it marinate for at least 20-30 minutes.  Next step is to cook the rice.For best Biryani flavoring the rice is very important,so for flavoring heat a tbsp of oil and once the oil is hot add the whole spices Cinnamon stick, cardamom, cloves, star anise, Bay leaves and shahi jeera to get an awesome flavor .Then add water and season it with salt and once the water comes to a rolling boil add the soaked basmati rice and cook until the rice is 70% done.If you squeeze the rice with your finger it should not be very mushy you should be able to feel some texture in the rice.  Meanwhile in a  heavy bottom non-stick pan heat Ghee and add the marinated fish pieces and place the fish flat on the pan (add all the marinated masalas) let it develop some nice color.After 2-3 minutes flip the fish to the other side and add some mint and coriander leaves and some fried onions on the top.  Then layer the 70% cooked rice on the top of the fish and add some mint and coriander leaves and fried onions.then place the 80% cooked rice on the top of that and again repeat the same with mint and coriander leaves and fried onions.Finally add some saffron milk on the top to get a nice color and also add some ghee.Place a lid to cover ,to make it airtight take some dough and apply it to the edges of the lid and press firmly So that it forms a tight seal.Keep it on a very low heat for 15-20 minutes.  Now after 20 minutes open the lid and enjoy the beautiful and aromatic Fish Biryani with any sides of your choice. No not use thick spoon to sir use a flat spoon and mix it gently.Do not mix it completely, while serving the biryani it should have all the beautiful colors (yellow, saffron, white and green colors).Hyderabadi Fish Biryani is ready to be served .</t>
  </si>
  <si>
    <t>பிரியாணி மசாலா செய்ய கொத்தமல்லி விதைகள், பெருஞ்சீரகம், சீரகம், மிளகு, நட்சத்திர சோம்பு, இலவங்கப்பட்டை, கிராம்பு, ஏலக்காய் ஆகியவற்றை மிதமான தீயில் இரண்டு நிமிடங்கள் வறுக்கவும், பின்னர் நன்றாக பொடியாக அரைக்கவும். இப்போது ஒரு பாத்திரத்தில் தயிர், இஞ்சி பூண்டு விழுது, சிவப்பு மிளகாய் தூள், மஞ்சள் தூள், புதிதாக அரைத்த மசாலா தூள் (படி 1 இல் இருந்து), எலுமிச்சை சாறு மற்றும் உப்பு சேர்த்து நன்கு கலக்கவும். அனைத்து பொருட்களும் நன்றாக கலக்கும் வரை நன்கு கலக்கவும். பின்னர் மீன் துண்டுகளைச் சேர்த்து மிக மெதுவாக கலந்து, அனைத்து துண்டுகளையும் மசாலா கலவையுடன் பூசவும். அனைத்தையும் கலந்த பிறகு, இதை ஒதுக்கி வைத்து, குறைந்தது 20-30 நிமிடங்கள் ஊற வைக்கவும். அடுத்த படி அரிசியை சமைக்க வேண்டும். பிரியாணிக்கு சிறந்த சுவையை அளிக்க அரிசி மிகவும் முக்கியமானது, எனவே சுவையை அதிகரிக்க ஒரு தேக்கரண்டி எண்ணெயை சூடாக்கி, எண்ணெய் சூடானதும் முழு மசாலாப் பொருட்களையும் இலவங்கப்பட்டை, ஏலக்காய், கிராம்பு, நட்சத்திர சோம்பு, பிரியாணி இலைகள் மற்றும் ஷாஹி ஜீராவைச் சேர்க்கவும், இது ஒரு அற்புதமான சுவையைப் பெற உதவும். பின்னர் தண்ணீரைச் சேர்த்து உப்பு சேர்த்து தாளிக்கவும். தண்ணீர் கொதித்ததும் ஊறவைத்த பாஸ்மதி அரிசியைச் சேர்த்து அரிசி 70% வேகும் வரை சமைக்கவும். அரிசியை உங்கள் விரலால் பிழிந்தால், அது மிகவும் மென்மையாக இருக்கக்கூடாது, நீங்கள் அரிசியில் சிறிது அமைப்பை உணர முடியும். இதற்கிடையில் ஒரு கனமான அடிப்பகுதி கொண்ட நான்-ஸ்டிக் பாத்திரத்தில் நெய்யை சூடாக்கி, ஊறவைத்த மீன் துண்டுகளைச் சேர்த்து, மீனை வாணலியில் தட்டையாக வைக்கவும் (ஊறவைத்த அனைத்து மசாலாக்களையும் சேர்க்கவும்), அது சிறிது நல்ல நிறத்தை பெறட்டும். 2-3 நிமிடங்களுக்குப் பிறகு மீனை மறுபுறம் திருப்பி, மேலே சிறிது புதினா மற்றும் கொத்தமல்லி இலைகள் மற்றும் சிறிது வறுத்த வெங்காயத்தைச் சேர்க்கவும். பின்னர் மீனின் மேல் 70% சமைத்த அரிசியை அடுக்கி, சிறிது புதினா மற்றும் கொத்தமல்லி இலைகள் மற்றும் வறுத்த வெங்காயங்களைச் சேர்க்கவும். பின்னர் 80% சமைத்த அரிசியை அதன் மேல் வைத்து, மீண்டும் புதினா மற்றும் கொத்தமல்லி இலைகள் மற்றும் வறுத்த வெங்காயங்களைச் சேர்த்து அதே போல் செய்யவும். இறுதியாக மேலே சிறிது குங்குமப்பூ பால் சேர்க்கவும், நல்ல நிறம் கிடைக்கும், சிறிது நெய்யும் சேர்க்கவும். மூடி வைக்கவும், காற்று புகாததாக இருக்க சிறிது மாவை எடுத்து மூடியின் ஓரங்களில் தடவி, இறுக்கமாக அழுத்தவும். 15-20 நிமிடங்கள் மிகக் குறைந்த தீயில் வைக்கவும். இப்போது 20 நிமிடங்களுக்குப் பிறகு மூடியைத் திறந்து, உங்களுக்கு விருப்பமான எந்த பக்கங்களுடனும் அழகான மற்றும் நறுமணமுள்ள மீன் பிரியாணியை அனுபவிக்கவும். தடிமனான கரண்டியைப் பயன்படுத்த வேண்டாம், ஐயா, ஒரு தட்டையான கரண்டியைப் பயன்படுத்தி மெதுவாக கலக்கவும். அதை முழுமையாக கலக்க வேண்டாம், பிரியாணியை பரிமாறும்போது அது அனைத்து அழகான வண்ணங்களையும் (மஞ்சள், குங்குமப்பூ, வெள்ளை மற்றும் பச்சை நிறங்கள்) கொண்டிருக்க வேண்டும். ஹைதராபாத் மீன் பிரியாணி பரிமாற தயாராக உள்ளது.</t>
  </si>
  <si>
    <t>https://blogger.googleusercontent.com/img/b/R29vZ2xl/AVvXsEhB6W8XNd_pbjZ2NnnfQ2moGW1sdvi2HOAnTYsQRZSkGNux2toBYHAbX9bFUrOFko3T_YDdNNqAzBNOG7sQJrWCo_18ppgfmON6pQb2uArcB2Go381tjT8UB3yeGr00_LksrUaxEJ0-P0v2/s640/Fish+Biryani.JPG</t>
  </si>
  <si>
    <t>https://youtu.be/Mr0ntbQzNR4</t>
  </si>
  <si>
    <t>Chilli Chicken</t>
  </si>
  <si>
    <t>மிளகாய் சிக்கன்</t>
  </si>
  <si>
    <t>1/2 kg - Chicken (without bones), 2 Tbsp - Corn flour, 2 Tbsp - All purpose flour / Maida, 1 tbsp - Ginger Garlic Paste, 1 tbsp - Chilli Sauce, 1 - Egg, 1 tsp - Pepper Powder, 1Tbsp - salt to taste, 2 tbsp - Oil, 6 - cloves Garlic, 4 - Dry Red Chilies, 6 - Green Chilies, 1 - Onion (cubed), 1/2 - Bell pepper (cubed), 1 tbsp - Chilli Sauce, 1 tbsp - Soy sauce, 1 tbsp - Vinegar, Few Spring Onions.</t>
  </si>
  <si>
    <t>1/2 கிலோ - சிக்கன் (எலும்புகள் இல்லாமல்), 2 டேபிள்ஸ்பூன் - சோள மாவு, 2 டேபிள்ஸ்பூன் - அனைத்து உபயோக மாவு / மைதா, 1 டேபிள்ஸ்பூன் - இஞ்சி பூண்டு விழுது, 1 டேபிள்ஸ்பூன் - மிளகாய் சாஸ், 1 - முட்டை, 1 டேபிள்ஸ்பூன் - மிளகு தூள், 1 டேபிள்ஸ்பூன் - சுவைக்கு உப்பு, 2 டேபிள்ஸ்பூன் - எண்ணெய், 6 - பூண்டு பல், 4 - உலர்ந்த சிவப்பு மிளகாய், 6 - பச்சை மிளகாய், 1 - வெங்காயம் (குயூப்ஸ்), 1/2 - பெல் மிளகு (குயூப்ஸ்), 1 டேபிள்ஸ்பூன் - மிளகாய் சாஸ், 1 டேபிள்ஸ்பூன் - சோயா சாஸ், 1 டேபிள்ஸ்பூன் - வினிகர், சில ஸ்பிரிங் வெங்காயம்.</t>
  </si>
  <si>
    <t>Cut the chicken into medium sized cubes and add it to a bowl.Add corn flour, all purpose flour, chilli sauce, ginger garlic paste,egg, salt and pepper and mix it well with the chicken pieces.If the marination is too thin then add extra corn flour to it,make sure the masalas coat nicely won the pieces.Keep it aside and let it marinate for minimun 20-30 minutes. You can also marinate it overnight for best results(keep it inside the fridge) Brining the chicken pieces helps the chicken to tenderize.  Fry the chicken pieces in hot oil until all the sides are golden and crispy.Do not overcrowd the pieces,leaves some space between the pieces so that they cook uniformly and stay crispy.Fry them in small batches.  To make chilli chicken in a wok / pan heat oil ( oil used for frying chicken) and add finely chopped garlic and saute for few second, once the raw smell of the garlic is gone add dry red chilies, green chilies, Onion cut into cubes and cubed bell pepper,add a tiny bit of salt and saute until the onions are translucent.Do not brown the onions, onions should still have some texture in it (this adds extra crunchiness and taste to the recipe) once the onions are translucent add chilli sauce, soy sauce and vinegar and mix well.  After mixing all the ingredients add the fried chicken pieces and mix it well with the sauce mixture. Making sure all the pieces are nicely coated.Finally add some chopped sping onions for garnishing and turn off the heat.  Our Delicious restaurant style chilli chicken recipe is ready to be enjoyed with fried rice or any of your favorite main course.Do try this Chilli chicken Recipe Indian Style and surprise your family and friends.Happy Cooking !!!</t>
  </si>
  <si>
    <t>கோழியை நடுத்தர அளவிலான க்யூப்ஸாக வெட்டி ஒரு பாத்திரத்தில் சேர்க்கவும். சோள மாவு, அனைத்து வகையான மாவு, மிளகாய் சாஸ், இஞ்சி பூண்டு விழுது, முட்டை, உப்பு மற்றும் மிளகு சேர்த்து கோழி துண்டுகளுடன் நன்றாக கலக்கவும். மரைனேஷன் மிகவும் மெல்லியதாக இருந்தால், அதனுடன் கூடுதல் சோள மாவைச் சேர்த்து, மசாலா நன்றாக பூசுவதை உறுதிசெய்து கொள்ளுங்கள். அதை ஒதுக்கி வைத்துவிட்டு, குறைந்தபட்சம் 20-30 நிமிடங்கள் ஊற வைக்கவும். சிறந்த முடிவுகளுக்கு நீங்கள் இரவு முழுவதும் ஊறவைக்கலாம் (ஃபிரிட்ஜில் வைக்கவும்) சிக்கன் துண்டுகளை கொட்டிவிடுவது கோழி மென்மையாகும். சிக்கன் துண்டுகளை சூடான எண்ணெயில் அனைத்து பக்கங்களும் பொன்னிறமாகவும் மொறுமொறுப்பாகவும் மாறும் வரை வறுக்கவும். துண்டுகளை அதிகமாக நிரப்ப வேண்டாம், துண்டுகளுக்கு இடையில் சிறிது இடைவெளி விட்டு, அவை சீராக சமைக்கப்பட்டு மொறுமொறுப்பாக இருக்கும். அவற்றை சிறிய தொகுதிகளாக வறுக்கவும். ஒரு வாணலியில் சில்லி சிக்கன் செய்ய, எண்ணெயை (சிக்கன் வறுக்கப் பயன்படுத்தப்படும் எண்ணெய்) சூடாக்கி, இறுதியாக நறுக்கிய பூண்டைச் சேர்த்து சில நொடிகள் வதக்கவும். பூண்டின் பச்சை வாசனை போனதும், உலர்ந்த சிவப்பு மிளகாய், பச்சை மிளகாய், க்யூப்ஸாக நறுக்கிய வெங்காயம் மற்றும் க்யூப்ஸாக நறுக்கிய பெல் பெப்பர் சேர்த்து, சிறிது உப்பு சேர்த்து வெங்காயம் தெளிவாகும் வரை வதக்கவும். வெங்காயத்தை பழுப்பு நிறமாக மாற்ற வேண்டாம், வெங்காயத்தில் இன்னும் சிறிது அமைப்பு இருக்க வேண்டும் (இது செய்முறைக்கு கூடுதல் மொறுமொறுப்பையும் சுவையையும் சேர்க்கிறது) வெங்காயம் ஒளிஊடுருவக்கூடியதாக மாறியதும், சில்லி சாஸ், சோயா சாஸ் மற்றும் வினிகர் சேர்த்து நன்கு கலக்கவும். அனைத்து பொருட்களையும் கலந்த பிறகு, வறுத்த சிக்கன் துண்டுகளைச் சேர்த்து, சாஸ் கலவையுடன் நன்கு கலக்கவும். அனைத்து துண்டுகளும் நன்றாக பூசப்பட்டிருப்பதை உறுதிசெய்து கொள்ளுங்கள். இறுதியாக அலங்கரிக்க சிறிது நறுக்கிய வெங்காயத்தைச் சேர்த்து, அடுப்பை அணைக்கவும். எங்கள் சுவையான உணவக பாணி சில்லி சிக்கன் ரெசிபி ஃபிரைடு ரைஸ் அல்லது உங்களுக்குப் பிடித்த மெயின் கோர்ஸுடன் அனுபவிக்கத் தயாராக உள்ளது. இந்த சில்லி சிக்கன் ரெசிபி இந்திய பாணியை முயற்சி செய்து உங்கள் குடும்பத்தினரையும் நண்பர்களையும் ஆச்சரியப்படுத்துங்கள். மகிழ்ச்சியான சமையல் !!!</t>
  </si>
  <si>
    <t>https://blogger.googleusercontent.com/img/b/R29vZ2xl/AVvXsEgLr2H9KXFOygP_n5GS99Eq6ArjZQoSoCRfBV1AKoVwQlH4gFIyRK4iNyp87uF4zkejoWpUjRtu_RyKSyAxjiwZCoDYUA_9xTRgYvJtZm3XvQ28XgQyOup_Ncfh3P2KOLo607Y7Qfr1h6FE/s640/Chilli+Chiken.jpg</t>
  </si>
  <si>
    <t>https://youtu.be/o4OWpTZ0uQU</t>
  </si>
  <si>
    <t>Rasam</t>
  </si>
  <si>
    <t>ரசம்</t>
  </si>
  <si>
    <t>1 tsp  - Cumin Seeds, 1 tsp - Pepper corns, 5 - Garlic, 1 Tbsp - Oil, 1/4 tsp - Mustard Seeds, 1/4 tsp - Turmeric Powder, 1/4 tsp - Asafoetida / Hing /Kaayam, 2  - Dry red chilies, few Curry leaves, 2 - Tomatoes, Lemon Sized Tamarind (soaked in water) , Salt to taste,  Coriander leaves.</t>
  </si>
  <si>
    <t>1 தேக்கரண்டி - சீரக விதைகள், 1 தேக்கரண்டி - மிளகு சோளம், 5 - பூண்டு, 1 தேக்கரண்டி - எண்ணெய், 1/4 தேக்கரண்டி - கடுகு விதைகள், 1/4 தேக்கரண்டி - மஞ்சள் தூள், 1/4 தேக்கரண்டி - பெருங்காயம் / ஹிங் / காயம், 2 - உலர்ந்த சிவப்பு மிளகாய், சில கறிவேப்பிலை, 2 - தக்காளி, எலுமிச்சை அளவு புளி (தண்ணீரில் ஊறவைத்தது), ருசிக்க உப்பு, கொத்தமல்லி இலைகள்.</t>
  </si>
  <si>
    <t>In a mortar and pestle crush Pepper corns, Cumin seeds,  Garlic pods and keep it aside.You can also use a blender to grind but traditionally the spices are crushed using hands.  In a kadai heat oil and for tempering add mustard seeds, Asafoetida, Turmeric powder, dry red chilies ,curry leaves and saute it for few seconds.Then add the crushed pepper - garlic mixture from step 1 and saute if for a minute.  Then mash 2 tomatoes with your hands or in a blender,do not make into a paste ,there should be some tomato chunks in the rasam.Add the mashed tomato to the kadai and again saute it for a minute.   Once the tomatoes turns soft add tamarind extract, soak a small ball of tamarind (Lemon sized) in water for 10-15 minutes and extract the juice and discard the small chunks. Add salt to taste and if the rasam tastes too sour then add more water to it and bring the entire thing to a boil.  Once you see one or two bubbles add a hand full of chopped coriander leaves and again wait for a bubble to appear, once you see bubbles here and there turn off the heat and serve hot. Do not allow it to boil for a long time, rasam will not taste good.  That's it our delicious rasam recipe without rasam powder is ready to be served with rice and If you are fond of non-veg then the best company is Chicken Ghee Roast or Mutton Ghee Roast and a simple potato fry with rice tastes heavenly with is delicious home made rasam.</t>
  </si>
  <si>
    <t>ஒரு சாந்து மற்றும் கூழில் மிளகு சோளம், சீரகம், பூண்டு காய்களை நசுக்கி ஒதுக்கி வைக்கவும். நீங்கள் ஒரு பிளெண்டரைப் பயன்படுத்தி அரைக்கலாம், ஆனால் பாரம்பரியமாக மசாலாப் பொருட்கள் கைகளால் நசுக்கப்படுகின்றன. ஒரு கடாயில் எண்ணெயை சூடாக்கி, தாளிக்க கடுகு விதைகள், பெருங்காயம், மஞ்சள் தூள், உலர்ந்த சிவப்பு மிளகாய், கறிவேப்பிலை ஆகியவற்றைச் சேர்த்து சில நொடிகள் வதக்கவும். பின்னர் படி 1 இல் இருந்து நொறுக்கப்பட்ட மிளகு - பூண்டு கலவையைச் சேர்த்து ஒரு நிமிடம் வதக்கவும். பிறகு 2 தக்காளியை கைகளாலோ அல்லது மிக்ஸியிலோ பிசைந்து கொள்ளுங்கள், பேஸ்டாக மாற்ற வேண்டாம், ரசத்தில் சிறிது தக்காளி துண்டுகள் இருக்க வேண்டும். மசித்த தக்காளியை கடாயில் சேர்த்து மீண்டும் ஒரு நிமிடம் வதக்கவும். தக்காளி மென்மையாக மாறியதும் புளி சாற்றைச் சேர்த்து, ஒரு சிறிய உருண்டை (எலுமிச்சை அளவு) தண்ணீரில் 10-15 நிமிடங்கள் ஊறவைத்து சாற்றைப் பிழிந்து, சிறிய துண்டுகளை நிராகரிக்கவும். சுவைக்கு உப்பு சேர்க்கவும். ரசம் மிகவும் புளிப்பு சுவையாக இருந்தால், அதில் அதிக தண்ணீர் சேர்த்து முழுவதையும் கொதிக்க வைக்கவும். ஒன்று அல்லது இரண்டு குமிழ்கள் தெரிந்ததும், ஒரு கை நிறைய நறுக்கிய கொத்தமல்லி இலைகளைச் சேர்த்து, மீண்டும் ஒரு குமிழ் தோன்றும் வரை காத்திருந்து, அங்கும் இங்கும் குமிழ்கள் தெரிந்ததும், அடுப்பை அணைத்து சூடாகப் பரிமாறவும். நீண்ட நேரம் கொதிக்க விடாதீர்கள், ரசம் சுவையாக இருக்காது. அவ்வளவுதான், ரசம் பொடி இல்லாமல் எங்கள் சுவையான ரசம் ரெசிபி சாதத்துடன் பரிமாற தயாராக உள்ளது. நீங்கள் அசைவ உணவுகளை விரும்பினால், சிறந்த தயாரிப்பு சிக்கன் நெய் ரோஸ்ட் அல்லது மட்டன் நெய் ரோஸ்ட் ஆகும். அரிசியுடன் ஒரு எளிய உருளைக்கிழங்கு வறுவல் சுவையாக இருக்கும், இது வீட்டில் தயாரிக்கப்பட்ட ரசம் சுவையாக இருக்கும்.</t>
  </si>
  <si>
    <t>https://blogger.googleusercontent.com/img/b/R29vZ2xl/AVvXsEgdiq9s_jRWDAtwdOHe4K3Tqnunq7N7gHuZAsNna8vQcG1cHOwKBlo9L5qUIlQBKrC5fUQx1Jb2Ws1sl0Hodw9zXmnlE_hd7L6yGrnIV8ZUPOenTHrnYg4EiHoQBYKc7A4gYJJvu7obhvVo/s640/RAsam-5.jpg</t>
  </si>
  <si>
    <t>Besan Laddu</t>
  </si>
  <si>
    <t>கடலை மாவு</t>
  </si>
  <si>
    <t>1.5 Cup - Besan flour / Chickpea flour , 1 cup - Sugar, 1/2 cup - Ghee / Clarified Butter, 15-20 - Cashews, 3 - cardamom pods.</t>
  </si>
  <si>
    <t>1.5 கப் கடலை மாவு / கொண்டைக்கடலை மாவு, 1 கப் சர்க்கரை, 1/2 கப் நெய் / தெளித்த வெண்ணெய், 15-20 - முந்திரி, 3 - ஏலக்காய் காய்கள்.</t>
  </si>
  <si>
    <t>First in a nonstick pan melt ghee / Clarified butter,once the ghee melts add in the besan flour and mix it well with the ghee.we have to start on a medium to low heat and keep stirring until it turns golden brown in color. If it is not nicely roasted then the flour leaves a raw smell to the laddoos so roast until you begin to smell the good aroma and the change in color.  Initially the ghee will be absorbed by the besan and it will form small clumps but don’t worry when the besan is fully cooked the ghee will start oozing out and the mixture will attain a paste like consistency and another way of checking is by aroma, besan releases a nice aroma when it is fully cooked (It will take 8-10 minutes on a low-medium heat) now when the besan is fully cooked this is how it looks it might not look very firm at first but once the laddus dry up they will be a lot firmer.   Now allow the mixture to cool slightly I am transferring this to a bowl because the pan retains some heat and we don’t want to besan to brown at the bottom .  Meanwhile lets powder some sugar along with this add 3 pods of cardamom to get a nice flavor and grind it to a fine powder.Add the powdered sugar to the besan and also add some broken cashew nuts mix well I am going to use my hands to break all the lumps and mix everything together.  Once all the ingredients are well combined lets shape it into medium sized balls.From 1.5 cups of besan we get around 15 medium sized laddus.Use some pressure when forming the balls so that they don't come apart.  Our Delicious and easy to make besan laddu / Kadalai maavu urundai is ready to be served.Make this easy sweet for this Diwali and share it with your friends and family.Instead of cashews nuts you can also add almonds, pistachios and raisins.Happy Cooking.</t>
  </si>
  <si>
    <t>முதலில் ஒரு நான்ஸ்டிக் பாத்திரத்தில் நெய் / தெளித்த வெண்ணெய் உருக்கி, நெய் உருகியதும் கடலை மாவைச் சேர்த்து நெய்யுடன் நன்கு கலக்கவும். நாம் மிதமான தீயில் தொடங்கி, தங்க பழுப்பு நிறமாக மாறும் வரை தொடர்ந்து கிளற வேண்டும். அது நன்றாக வறுக்கப்படவில்லை என்றால், மாவு லட்டுகளுக்கு ஒரு பச்சை வாசனையை விட்டுவிடும், எனவே நல்ல நறுமணத்தையும் நிற மாற்றத்தையும் நீங்கள் உணரத் தொடங்கும் வரை வறுக்கவும். ஆரம்பத்தில் நெய் கடலை மாவால் உறிஞ்சப்பட்டு, அது சிறிய கட்டிகளாக மாறும், ஆனால் கடலை மாவு முழுவதுமாக வெந்ததும் கவலைப்பட வேண்டாம், நெய் வெளியேறத் தொடங்கி, கலவை ஒரு பேஸ்ட் போன்ற நிலைத்தன்மையைப் பெறும். சரிபார்க்க மற்றொரு வழி நறுமணம், கடலை மாவு முழுமையாக வெந்ததும் ஒரு நல்ல நறுமணத்தை வெளியிடுகிறது (குறைந்த-நடுத்தர வெப்பத்தில் 8-10 நிமிடங்கள் ஆகும்). இப்போது கடலை மாவு முழுமையாக வெந்ததும் இப்படித்தான் தெரிகிறது, இது முதலில் மிகவும் உறுதியாகத் தெரியாமல் போகலாம், ஆனால் லட்டு காய்ந்ததும் அவை மிகவும் உறுதியாகிவிடும். இப்போது கலவையை சிறிது குளிர்விக்க விடுங்கள், நான் இதை ஒரு கிண்ணத்திற்கு மாற்றுகிறேன், ஏனெனில் பாத்திரம் சிறிது வெப்பத்தைத் தக்க வைத்துக் கொள்ளும், மேலும் கடலை மாவு கீழே பழுப்பு நிறமாக மாறுவதை நாம் விரும்ப மாட்டோம். இதற்கிடையில், இதனுடன் சிறிது சர்க்கரையைப் பொடி செய்து, 3 காய்கள் ஏலக்காய் சேர்த்து ஒரு நல்ல சுவையைப் பெற நன்றாகப் பொடியாக அரைக்கவும். கடலை மாவுடன் பொடித்த சர்க்கரையைச் சேர்த்து, உடைத்த முந்திரி பருப்புகளையும் சேர்த்து நன்றாகக் கலக்கவும். நான் என் கைகளைப் பயன்படுத்தி அனைத்து கட்டிகளையும் உடைத்து எல்லாவற்றையும் ஒன்றாகக் கலக்கப் போகிறேன். அனைத்து பொருட்களும் நன்கு கலந்தவுடன், அதை நடுத்தர அளவிலான பந்துகளாக வடிவமைக்கலாம். 1.5 கப் கடலை மாவிலிருந்து சுமார் 15 நடுத்தர அளவிலான லட்டுக்கள் கிடைக்கும். உருண்டைகளை உருவாக்கும் போது அவை பிரிந்து விடாமல் இருக்க சிறிது அழுத்தம் கொடுங்கள். எங்கள் சுவையான மற்றும் எளிதில் தயாரிக்கக்கூடிய கடலை மாவு உருண்டை பரிமாற தயாராக உள்ளது. இந்த தீபாவளிக்கு இந்த எளிதான இனிப்பைச் செய்து உங்கள் நண்பர்கள் மற்றும் குடும்பத்தினருடன் பகிர்ந்து கொள்ளுங்கள். முந்திரி பருப்புகளுக்குப் பதிலாக பாதாம், பிஸ்தா மற்றும் திராட்சையும் சேர்க்கலாம். மகிழ்ச்சியான சமையல்.</t>
  </si>
  <si>
    <t>https://blogger.googleusercontent.com/img/b/R29vZ2xl/AVvXsEgNRL_8OppCGZQbkvyGrLUAGhnVB7EJTbJ52e_G6Xd98HqiJWIe8pVFskB_vGHLF-ww2S3ODdUYoNjLfVRL4zyTdyszDM7-jX1e5AcQU1LBO-jtMVrZaTGttIG7By0063ogZ6QXP44jZQOx/s640/Besan+Laddu+Recipe.JPG</t>
  </si>
  <si>
    <t>https://youtu.be/3Acv7oSGXfQ</t>
  </si>
  <si>
    <t>Banana Cupcake</t>
  </si>
  <si>
    <t>வாழைப்பழ கப்கேக்</t>
  </si>
  <si>
    <t>3 - Fully ripe Bananas, 1 3/4 cup - All purpose flour /  Maida, 1/2 cup - Vegetable Oil, 2 - large Eggs, 3/4 cup - Sugar, 1/4 tsp - Vanilla Extract, 1/2 cup - Chocolate Chips, 1 tsp - Baking Powder, 1/2 tsp - Baking Soda, 1/4 tsp - Salt.</t>
  </si>
  <si>
    <t>3 - முழுமையாக பழுத்த வாழைப்பழங்கள், 1 3/4 கப் - அனைத்து பயன்பாட்டு மாவு / மைதா, 1/2 கப் - காய்கறி எண்ணெய், 2 - பெரிய முட்டைகள், 3/4 கப் - சர்க்கரை, 1/4 தேக்கரண்டி - வெண்ணிலா சாறு, 1/2 கப் - சாக்லேட் சிப்ஸ், 1 தேக்கரண்டி - பேக்கிங் பவுடர், 1/2 தேக்கரண்டி - பேக்கிங் சோடா, 1/4 தேக்கரண்டி - உப்பு.</t>
  </si>
  <si>
    <t>Preheat the Oven 400 Fahrenheit or 200 Celsius. Before preheating the pressure Cooker add salt - Salt is used to retain the heat (a layer of 1/2 inch thickness) and then place a wire rack - to prevent direct heating and browning and then a perforated plate and close the cooker.  We need to preheat the cooker for 15 minutes on a medium heat without adding the Cooker weight.  For making banana muffins we need 3 fully ripe bananas. In a large bowl first add the bananas and with a help of a fork mash them nicely until you get a paste like consistency, it should still have some small chunks in it, which adds texture to the muffins.If you are using small bananas then we need 1 cup after mashing.   After mashing add vegetable oil ,eggs, vanilla extract, sugar and mix everything together .Once combined add All purpose flour / Maida then along with this add baking powder, Baking Soda and a pinch of salt,mix all the ingredients together and this is how it looks it should not be very thick and at the same time should not be watery. Finally add the chocolate chips to this and mix this in and incorporate nicely.I have use semi-sweet Chocolate.  Now lets line the cup cake tray with some muffin liners.Then take a scoop of batter and fill into the muffin liners.If you want you can add some chocolate chips on the top. Fill the liners to about 3/4th do not overfill them. Bake this in the oven Oven for 16 - 20 minutes (It took exactly 18 minutes for me).  And now for the cooker we cannot keep them directly inside,because there will be lot of heat transferred from the cooker to the base of the cupcakes and it will have a burnt taste and since we are not using a muffin pan we need to add further stability to the cupcake liners so I found that trimmed paper cups works excellent for this purposed.Cut the paper cups to about the same height of the muffin liners and place the cup cake liner inside and again take a scoop of batter and fill into the muffin liners.(do not use plastic cups).  Place the Filled Cup cake cups on a plate (I have used ever silver masala box). They are ready to go inside the cooker.Bake this for 16 - 20 minutes without adding the cooker weight on a medium heat.The cooking time will vary depending on the amount of batter used in each mold.After 16 -17 minutes check it once if you insert a tooth pick it should come out clean. If it is not ready you need to adjust the cooking time accordingly.  Since we have kept them side the paper cups the bottom will will stay clear and there is no burnt marks.  Our Delicious Cup cakes are ready to be served, Since we have added Bananas and Chocolate chips I don't prefer any butter cream topping on the top. Because Banana Cup cake by itself tastes awesome.</t>
  </si>
  <si>
    <t>அடுப்பை 400 பாரன்ஹீட் அல்லது 200 செல்சியஸில் முன்கூட்டியே சூடாக்கவும். பிரஷர் குக்கரை முன்கூட்டியே சூடாக்கும் முன் உப்பு சேர்க்கவும் - வெப்பத்தைத் தக்கவைக்க உப்பு பயன்படுத்தப்படுகிறது (1/2 அங்குல தடிமன் கொண்ட ஒரு அடுக்கு) பின்னர் ஒரு கம்பி ரேக்கை வைக்கவும் - நேரடி வெப்பம் மற்றும் பழுப்பு நிறத்தைத் தடுக்கவும், பின்னர் ஒரு துளையிடப்பட்ட தட்டில் குக்கரை மூடவும். குக்கர் எடையைச் சேர்க்காமல் நடுத்தர வெப்பத்தில் 15 நிமிடங்கள் குக்கரை முன்கூட்டியே சூடாக்க வேண்டும். வாழைப்பழ மஃபின்கள் தயாரிக்க நமக்கு 3 முழுமையாக பழுத்த வாழைப்பழங்கள் தேவை. ஒரு பெரிய கிண்ணத்தில் முதலில் வாழைப்பழங்களைச் சேர்த்து, ஒரு ஃபோர்க் உதவியுடன் அவற்றை நன்றாக மசித்து, பேஸ்ட் போன்ற நிலைத்தன்மையைப் பெறும் வரை, அதில் இன்னும் சில சிறிய துண்டுகள் இருக்க வேண்டும், இது மஃபின்களுக்கு அமைப்பை சேர்க்கிறது. நீங்கள் சிறிய வாழைப்பழங்களைப் பயன்படுத்துகிறீர்கள் என்றால், மஃபின்களை மசித்த பிறகு நமக்கு 1 கப் தேவைப்படும். மசித்த பிறகு தாவர எண்ணெய், முட்டை, வெண்ணிலா சாறு, சர்க்கரை சேர்த்து எல்லாவற்றையும் ஒன்றாக கலக்கவும். ஒன்றாகச் சேர்ந்த பிறகு ஆல் பர்ப்பஸ் மாவு / மைதாவைச் சேர்த்து, அதனுடன் பேக்கிங் பவுடர், பேக்கிங் சோடா மற்றும் ஒரு சிட்டிகை உப்பு சேர்த்து, அனைத்து பொருட்களையும் ஒன்றாகக் கலக்கவும். இது இப்படித்தான் தெரிகிறது, இது மிகவும் கெட்டியாகவும், அதே நேரத்தில் தண்ணீராகவும் இருக்கக்கூடாது. இறுதியாக இதனுடன் சாக்லேட் சிப்ஸைச் சேர்த்து, இதை நன்றாகக் கலந்து சேர்க்கவும். நான் செமி-ஸ்வீட் சாக்லேட்டைப் பயன்படுத்துகிறேன். இப்போது கப் கேக் ட்ரேயை சில மஃபின் லைனர்களால் வரிசைப்படுத்தலாம். பின்னர் ஒரு ஸ்கூப் மாவை எடுத்து மஃபின் லைனர்களில் நிரப்பவும். நீங்கள் விரும்பினால் மேலே சில சாக்லேட் சிப்ஸைச் சேர்க்கலாம். லைனர்களை சுமார் 3/4 பங்கு நிரப்பவும், அவற்றை அதிகமாக நிரப்ப வேண்டாம். இதை அடுப்பில் வைத்து 16 - 20 நிமிடங்கள் சுடவும் (எனக்கு சரியாக 18 நிமிடங்கள் ஆனது). இப்போது குக்கரைப் பொறுத்தவரை, அவற்றை நேரடியாக உள்ளே வைத்திருக்க முடியாது, ஏனென்றால் குக்கரிலிருந்து கப்கேக்குகளின் அடிப்பகுதிக்கு அதிக வெப்பம் மாற்றப்படும், மேலும் அது எரிந்த சுவையுடன் இருக்கும், மேலும் நாங்கள் ஒரு மஃபின் பானைப் பயன்படுத்தாததால், கப்கேக் லைனர்களுக்கு மேலும் நிலைத்தன்மையைச் சேர்க்க வேண்டும், எனவே டிரிம் செய்யப்பட்ட காகிதக் கப்கள் இதற்கு சிறப்பாக செயல்படுகின்றன என்பதைக் கண்டறிந்தேன். பேப்பர் கப்களை மஃபின் லைனர்களின் அதே உயரத்திற்கு வெட்டி, கப் கேக் லைனரை உள்ளே வைத்து, மீண்டும் ஒரு ஸ்கூப் மாவை எடுத்து மஃபின் லைனர்களில் நிரப்பவும். (பிளாஸ்டிக் கப்களைப் பயன்படுத்த வேண்டாம்). நிரப்பப்பட்ட கப் கேக் கப்களை ஒரு தட்டில் வைக்கவும் (நான் எப்போதும் வெள்ளி மசாலா பெட்டியைப் பயன்படுத்தியிருக்கிறேன்). அவை குக்கருக்குள் செல்லத் தயாராக உள்ளன. நடுத்தர வெப்பத்தில் குக்கர் எடையைச் சேர்க்காமல் 16 - 20 நிமிடங்கள் இதை சுடவும். ஒவ்வொரு அச்சிலும் பயன்படுத்தப்படும் மாவின் அளவைப் பொறுத்து சமையல் நேரம் மாறுபடும். 16 -17 நிமிடங்களுக்குப் பிறகு நீங்கள் ஒரு டூத்பிக் செருகினால் அது சுத்தமாக வெளியே வர வேண்டுமா என்று ஒரு முறை சரிபார்க்கவும். அது தயாராக இல்லை என்றால், அதற்கேற்ப சமைக்கும் நேரத்தை சரிசெய்ய வேண்டும். நாங்கள் அவற்றை காகிதக் கோப்பைகளின் ஓரத்தில் வைத்திருப்பதால், அடிப்பகுதி தெளிவாக இருக்கும், மேலும் எரிந்த அடையாளங்கள் எதுவும் இருக்காது. எங்கள் சுவையான கப் கேக்குகள் பரிமாறத் தயாராக உள்ளன, நாங்கள் வாழைப்பழங்கள் மற்றும் சாக்லேட் சிப்ஸ்களைச் சேர்த்திருப்பதால், மேலே வெண்ணெய் கிரீம் பூசுவதை நான் விரும்பவில்லை. ஏனென்றால் வாழைப்பழ கப் கேக் தானே அருமையாக ருசிக்கிறது.</t>
  </si>
  <si>
    <t>https://blogger.googleusercontent.com/img/b/R29vZ2xl/AVvXsEiTPhBA20cVjR3wZzfhwjIbFX_Rd3A1lmHfWeDcQj6NnrxCPQabRR3K5F3x2dFMEZ5ZFTrHQuzxoOlMcdVFEpj9yXkYd5OXDKoJZTyZpMQPPKC-tyq0ciDSUH4TsaTvibCwxhfden4kXyOu/s640/DSC06257.JPG</t>
  </si>
  <si>
    <t>https://youtu.be/H4cH5OCH4ss</t>
  </si>
  <si>
    <t>Mutton Ghee</t>
  </si>
  <si>
    <t>மட்டன் நெய்</t>
  </si>
  <si>
    <t>Mutton</t>
  </si>
  <si>
    <t>1 kg - Mutton (Goat or Lamb), 3 Tbsp - Ghee / Clarified Butter, 1 Tbsp - Ginger Garlic Paste, 1/2 tsp - Turmeric powder, salt to taste, Water, 10 - Kashmiri Chilies, 1 Tbsp - Coriander Seeds, 2 tsp - cumin seeds, 1 tsp - Fennel Seeds, 1 Tbsp - Pepper Corns, 6-7 - Dry red chilies, 1 - Cinnamon stick, 4 - Cloves, 1 - Star anise, 1 inch - Ginger, 2 - Cloves of Garlic, 1 Tbsp - Lemon juice, 4 Tbsp - Water, 1/4 cup - Ghee / Clarified butter, 2 Tbsp - Ghee Roast Yogurt / Curd, Curry Leaves for Garnishing, Salt to taste.</t>
  </si>
  <si>
    <t>1 கிலோ - மட்டன் (ஆடு அல்லது ஆட்டுக்குட்டி), 3 டேபிள்ஸ்பூன் - நெய் / தெளித்த வெண்ணெய், 1 டேபிள்ஸ்பூன் - இஞ்சி பூண்டு விழுது, 1/2 டேபிள்ஸ்பூன் - மஞ்சள் தூள், சுவைக்கு உப்பு, தண்ணீர், 10 - காஷ்மீரி மிளகாய், 1 டேபிள்ஸ்பூன் - கொத்தமல்லி விதைகள், 2 டேபிள்ஸ்பூன் - சீரகம், 1 டேபிள்ஸ்பூன் - பெருஞ்சீரகம் விதைகள், 1 டேபிள்ஸ்பூன் - மிளகு, 6-7 - உலர்ந்த சிவப்பு மிளகாய், 1 - இலவங்கப்பட்டை குச்சி, 4 - கிராம்பு, 1 - நட்சத்திர சோம்பு, 1 அங்குலம் - இஞ்சி, 2 - பூண்டு கிராம்பு, 1 டேபிள்ஸ்பூன் - எலுமிச்சை சாறு, 4 டேபிள்ஸ்பூன் - தண்ணீர், 1/4 கப் - நெய் / தெளித்த வெண்ணெய், 2 டேபிள்ஸ்பூன் - நெய் வறுத்த தயிர் / தயிர், அலங்கரிக்க கறிவேப்பிலை, சுவைக்கு உப்பு.</t>
  </si>
  <si>
    <t>In a pressure cooker melt ghee , add ginger garlic paste and turmeric powder.Mix well and then add the mutton pieces,some salt and saute in the ghee for 3-4 minutes.Then add some water not too much just to cover the mutton pieces.Cook for 4-5 Whistles on a medium heat or until the meat is soft and tender. Transfer the broth in a bowl.  The reason why we are separating the pieces form the liquid is we want to make mutton roast not mutton gravy and at the same time we don’t want to waste this broth so we are going to add it to the masala and reduce it and then we are going to add the mutton pieces that way mutton will be nicely roasted and will retain all the flavor.   To make Masala for Mutton Ghee roast,Dry roast kashmiri chilies (Kashmiri Chilies adds a nice color to the recipe and at the same time they are less spicy) If you don't have kashmiri Chilies then replace this with 4-5 regular chilies) .After roasting for 3 minutes transfer this to a plate and then roast the other spices Coriander seeds, Pepper corns, Fennel seeds, Cumin seeds, Cinnamon, Cloves, star anise and dry red chilies and roast it for some time until you feel the nice aroma of the roasted spices and be careful no not burn them.  ransfer all the roasted spices to a blender and along with this add a piece of Ginger, Garlic and lemon juice and grind it to a smooth paste by adding some water.  To make mutton Ghee roast  melt some ghee in a pan and add the ground masala and also add yogurt to it and mix this well with the ghee. Now to this add the broth which we have separated initially and mix well with the masalas .Add some salt if required.We need to cook this until the gravy thickens and reduces.  Now you can see the gravy is nice and thick, the ghee which we have added has oozed out now its time to add the cooked mutton pieces and mix well with the gravy.After mixing nicely cook this for another 4-5 minutes on a medium heat. Finally add some curry leaves for garnishing and turn off the heat.  Our Delicious Mutton Ghee roast is ready to be served.I cannot wait to taste this awesome mutton Roast.If you want a gravy kind of thing then you can add the mutton pieces along with the broth at the end and cook for 5 minutes in the masala. Happy Cooking.</t>
  </si>
  <si>
    <t>ஒரு பிரஷர் குக்கரில் நெய்யை உருக்கி, இஞ்சி பூண்டு விழுது மற்றும் மஞ்சள் தூள் சேர்க்கவும். நன்றாகக் கலந்து, மட்டன் துண்டுகள், சிறிது உப்பு சேர்த்து, நெய்யில் 3-4 நிமிடங்கள் வதக்கவும். பிறகு, மட்டன் துண்டுகளை அதிகமாக மூடாமல் சிறிது தண்ணீர் சேர்க்கவும். மிதமான தீயில் அல்லது இறைச்சி மென்மையாகவும் மென்மையாகவும் ஆகும் வரை 4-5 விசில்கள் சமைக்கவும். குழம்பை ஒரு பாத்திரத்தில் மாற்றவும். நாங்கள் திரவத்திலிருந்து துண்டுகளைப் பிரிப்பதற்கான காரணம், மட்டன் கிரேவி அல்ல, மட்டன் வறுவல் செய்ய விரும்புகிறோம், அதே நேரத்தில் இந்த குழம்பை வீணாக்க விரும்புவதில்லை, எனவே அதை மசாலாவில் சேர்த்து, அதைக் குறைத்து, பின்னர் மட்டன் துண்டுகளைச் சேர்ப்போம், இதனால் மட்டன் நன்றாக வறுத்து, அனைத்து சுவையையும் தக்க வைத்துக் கொள்ளும். மட்டன் நெய் வறுவலுக்கு மசாலா செய்ய, காஷ்மீரி மிளகாய்களை உலர்வாக வறுக்கவும் (காஷ்மீரி மிளகாய்கள் செய்முறைக்கு நல்ல நிறத்தை சேர்க்கின்றன, அதே நேரத்தில் அவை குறைவான காரமானவை). உங்களிடம் காஷ்மீரி மிளகாய் இல்லையென்றால், இதை 4-5 வழக்கமான மிளகாய்களால் மாற்றவும்). 3 நிமிடங்கள் வறுத்த பிறகு, இதை ஒரு தட்டில் மாற்றி, மற்ற மசாலாப் பொருட்களை கொத்தமல்லி விதைகள், மிளகு, பெருஞ்சீரகம், சீரகம், இலவங்கப்பட்டை, கிராம்பு, நட்சத்திர சோம்பு மற்றும் உலர்ந்த சிவப்பு மிளகாய் ஆகியவற்றை வறுக்கவும். வறுத்த மசாலாக்களின் நல்ல மணம் வரும் வரை சிறிது நேரம் வறுக்கவும். அவை எரியாமல் கவனமாக இருங்கள். வறுத்த அனைத்து மசாலாப் பொருட்களையும் ஒரு பிளெண்டரில் போட்டு, அதனுடன் ஒரு துண்டு இஞ்சி, பூண்டு மற்றும் எலுமிச்சை சாறு சேர்த்து, சிறிது தண்ணீர் சேர்த்து மென்மையான பேஸ்டாக அரைக்கவும். மட்டன் நெய் வறுவலுக்கு ஒரு கடாயில் சிறிது நெய்யை உருக்கி, அரைத்த மசாலாவைச் சேர்த்து, அதனுடன் தயிரையும் சேர்த்து, நெய்யுடன் நன்கு கலக்கவும். இப்போது இதனுடன் நாம் ஆரம்பத்தில் பிரித்த குழம்பைச் சேர்த்து மசாலாக்களுடன் நன்றாகக் கலக்கவும். தேவைப்பட்டால் சிறிது உப்பு சேர்க்கவும். கிரேவி கெட்டியாகி குறையும் வரை இதை சமைக்க வேண்டும். இப்போது கிரேவி நன்றாகவும் கெட்டியாகவும் இருப்பதை நீங்கள் காணலாம், நாம் சேர்த்த நெய் வெளியேறிவிட்டது, இப்போது சமைத்த மட்டன் துண்டுகளைச் சேர்த்து கிரேவியுடன் நன்றாகக் கலக்கவும். நன்றாகக் கலந்த பிறகு, மிதமான தீயில் மற்றொரு 4-5 நிமிடங்கள் சமைக்கவும். இறுதியாக அலங்கரிக்க சில கறிவேப்பிலைகளைச் சேர்த்து அடுப்பை அணைக்கவும். எங்கள் சுவையான மட்டன் நெய் வறுவல் பரிமாற தயாராக உள்ளது. இந்த அருமையான மட்டன் ரோஸ்டை ருசிக்க நான் ஆவலுடன் காத்திருக்கிறேன். உங்களுக்கு ஒரு வகையான கிரேவி வேண்டுமென்றால், நீங்கள் மட்டன் துண்டுகளை குழம்புடன் சேர்த்து மசாலாவில் 5 நிமிடங்கள் சமைக்கலாம். மகிழ்ச்சியான சமையல்.</t>
  </si>
  <si>
    <t>https://blogger.googleusercontent.com/img/b/R29vZ2xl/AVvXsEhlKi96YZQk0cgUYAGojoPHpTRBcXeGAu4LbbZ1iajSnu-4eN7_1Yjf4dJYLmdiVw5eKLkgiGc6d6UWT-UQpBzmJ6STOMm3zlZfAJrOWLPck54VlBwDWVyQr9QU3IpHPv9H_N-dRw2vqGEw/s640/Mutton+Ghee+roast.JPG</t>
  </si>
  <si>
    <t>https://youtu.be/02AdD3U2k_8</t>
  </si>
  <si>
    <t>Sambar</t>
  </si>
  <si>
    <t>சாம்பார்</t>
  </si>
  <si>
    <t>1/4 tsp - Mustard seeds, 1/4 tsp - Fenugreek seeds, 2 - Dry red Chilies , few Curry leaves, 1/4 tsp - Turmeric powder, 1/8 tsp - Asafoetida / Hing, 10-12 - Shallots, 1 Cup - Toor Dal / Thuvaram Paruppu, 2 Tbsp - Sambar Powder, 1 tsp - Chili powder, Tamarind juice(lemon size tamarind soaked in water), Vegetables (Carrots, Eggplant, Cucumber, Drumstick), 2 - Tomatoes, 1/4 tsp - Jaggery / Vellam, 2 Tbsp - Oil, required Salt, required water, Coriander leaves for Garnishing.</t>
  </si>
  <si>
    <t>1/4 தேக்கரண்டி - கடுகு, 1/4 தேக்கரண்டி - வெந்தயம், 2 - உலர்ந்த சிவப்பு மிளகாய், சில கறிவேப்பிலை, 1/4 தேக்கரண்டி - மஞ்சள் தூள், 1/8 தேக்கரண்டி - பெருங்காயம் / பெருங்காயம், 10-12 - வெங்காயத்தாள், 1 கப் - துவரம் பருப்பு / துவரம் பருப்பு, 2 தேக்கரண்டி - சாம்பார் பொடி, 1 தேக்கரண்டி - மிளகாய் தூள், புளி சாறு (தண்ணீரில் ஊறவைத்த எலுமிச்சை அளவு புளி), காய்கறிகள் (கேரட், கத்திரிக்காய், வெள்ளரிக்காய், முருங்கைக்காய்), 2 - தக்காளி, 1/4 தேக்கரண்டி - வெல்லம் / வெல்லம், 2 தேக்கரண்டி - எண்ணெய், தேவையான உப்பு, தேவையான தண்ணீர், அலங்கரிக்க கொத்தமல்லி இலைகள்.</t>
  </si>
  <si>
    <t>Pressure cook the Toor dal with some water for 4-5 whistles and cook until the dal is fully cooked and turns mushy.Keep this aside.  In a big pan heat oil and add mustard seeds, fenugreek seeds, dry red chilies, curry leaves to temper and then add turmeric powder and hing.mix it once and then add shallots (Shallots adds very good taste to the sambar). Then add the cut vegetables (I have added Drumstick, Brinjal, Cucumber, Carrots) also add 2 chopped tomatoes and give it a mix.  Add Sambhar powder and chili powder after mixing it once add tamarind extract (soak a lemon size of tamarind in water for 10 -20 minutes and then extract the juice) also add enough water for sambar. Add required salt.Cover and cook until the vegetables are 80% done.  Once the veggies are 80% done add the cooked Thoor dal a small piece of jaggery to get a balanced taste, mix it well.Again cover the lid and cook for 10 more minutes on a medium heat.   Once all the veggies are fully cooked add some shopped coriander leaves to get an awesome flavor mix it again and turn off the heat.  Our Delicious South Indian style Sambar is ready to be Served.You can enjoyed this as a side for any breakfast recipes or with Rice .</t>
  </si>
  <si>
    <t>துவரம்பருப்பை சிறிது தண்ணீரில் 4-5 விசில் வரை அழுத்தி வேகவைத்து, பருப்பு முழுவதுமாக வெந்து, மென்மையாக மாறும் வரை சமைக்கவும். இதை ஒதுக்கி வைக்கவும். ஒரு பெரிய வாணலியில் எண்ணெயை சூடாக்கி, கடுகு, வெந்தயம், உலர்ந்த சிவப்பு மிளகாய், கறிவேப்பிலை ஆகியவற்றைச் சேர்த்து, பின்னர் மஞ்சள் தூள் மற்றும் பெருங்காயம் சேர்க்கவும். ஒரு முறை கலக்கவும், பின்னர் வெங்காயத்தாள் சேர்க்கவும் (வெங்காயம் சாம்பாருக்கு மிகவும் சுவையாக இருக்கும்). பின்னர் நறுக்கிய காய்கறிகளைச் சேர்க்கவும் (நான் முருங்கைக்காய், கத்திரிக்காய், வெள்ளரிக்காய், கேரட் சேர்த்துள்ளேன்) மேலும் 2 நறுக்கிய தக்காளியைச் சேர்த்து கலக்கவும். சாம்பார் பொடி மற்றும் மிளகாய்த்தூள் சேர்த்து, கலந்த பிறகு புளி சாறு சேர்க்கவும் (ஒரு எலுமிச்சை அளவு புளியை தண்ணீரில் 10-20 நிமிடங்கள் ஊறவைத்து, பின்னர் சாறு பிழியவும்) மேலும் சாம்பாருக்கு போதுமான தண்ணீர் சேர்க்கவும். தேவையான உப்பு சேர்க்கவும். மூடி வைத்து காய்கறிகள் 80% வேகும் வரை சமைக்கவும். காய்கறிகள் 80% வேகும் போது, ​​சமைத்த துவரம்பருப்பை ஒரு சிறிய துண்டு வெல்லம் சேர்த்து நன்கு கலக்கவும். மீண்டும் மூடியை மூடி, மிதமான தீயில் 10 நிமிடங்கள் சமைக்கவும். அனைத்து காய்கறிகளும் நன்கு வெந்தவுடன், சிறிது மல்லி இலைகளைச் சேர்த்து, அருமையான சுவைக்காக மீண்டும் கலந்து, அடுப்பை அணைக்கவும். எங்கள் சுவையான தென்னிந்திய பாணி சாம்பார் பரிமாற தயாராக உள்ளது. இதை நீங்கள் எந்த காலை உணவு ரெசிபிகளுக்கும் அல்லது சாதத்துடன் சேர்த்து சாப்பிடலாம்.</t>
  </si>
  <si>
    <t>https://blogger.googleusercontent.com/img/b/R29vZ2xl/AVvXsEiOvP5JLwytXnDG9xxPGYUzb1qm8ElK1QO2ei_NrfOjaFq-pxU4ce_FETUdQst9bJ4nOfLgmQ5zXECPo3-wd6n8NbcQZqFokPg3DXkZW4nyxHSEDqd7A1qhHlp4FZVGPK3aFRs8m7-Zg2hX/s640/Sambar+Recipe.JPG</t>
  </si>
  <si>
    <t>Pineapple Kesari</t>
  </si>
  <si>
    <t>அன்னாசி கேசரி</t>
  </si>
  <si>
    <t>1 cup - Sooji / Rava / Semolina, 1 cup - Sugar, 1/2 cup - Pineapple Chunks or grated pineapple, 1/4 cup - Pineapple Puree, 4 tbsp - Ghee, som Cashew nuts, some Raisins, 2 tbsp - Saffron water or yellow food color(optional), 2 cups - Water (or 1.5 cup water + 1/2 cup milk).</t>
  </si>
  <si>
    <t>1 கப் - சூஜி / ரவா / ரவை, 1 கப் - சர்க்கரை, 1/2 கப் - அன்னாசி துண்டுகள் அல்லது துருவிய அன்னாசி, 1/4 கப் - அன்னாசி கூழ், 4 டீஸ்பூன் - நெய், சோம்பு முந்திரி, சிறிது திராட்சை, 2 டீஸ்பூன் - குங்குமப்பூ தண்ணீர் அல்லது மஞ்சள் உணவு நிறம் (விரும்பினால்), 2 கப் - தண்ணீர் (அல்லது 1.5 கப் தண்ணீர் + 1/2 கப் பால்).</t>
  </si>
  <si>
    <t>Add some Ghee in a pan and roast cashews first,once it turn golden add the raisins and roast until they are ballooned, do not burn them (they will taste bitter if burnt). Transfer this to a plate and then add the sooji and roast it nicely until you get a nice aroma and golden color.The rava is done when your whole house is filled with the aroma of roasted rava and the roasted rava should have a golden color.It will take around 8-10 minutes.when it obtains golden color remove the pan from heat and immediately transfer it to a plate to prevent browning.   And again in the same pan add water.Once the water comes to a boil add the pineapple puree and the chunks and cook it for 3-4 minutes.For this recipe we have taken two cups of water for 1 cup of rawa. However if you prefer a more creamy and richer kesari you can use 1.5 cups of water and ½ cup of milk for every cup of rawa.  Now to this gradually add the roasted rava and and keep stirring to prevent lumps once you get a lump free mixture cook until all the water is absorbed by the rawa.   Once all the water has been absorbed by the rava/ sooji aadd the rest of the ghee and incorporate well.Also add the Saffron water (few strands of Saffron soaked in warm water).This is optional you can also use yellow food color if you wish.  Next gradually add Sugar and mix well.The ratio of Rava to sugar can be adjusted according to your sweet preference, A ratio of 1:1 ie 1 cup of sugar for 1 cup of rawa is preferred by most people. However if you prefer a moderate sweetness you can use ¾ cup of sugar per cup of rawa. You can adjust the sweetness somewhere from ¾ cup to 2 cups of sugar for every 1 cup of rava / Sooji. Finally add the roasted nuts and mix well and serve.  Our Delicious and Yummy Pineapple Rava kesari is ready to be served.As I mentioned earlier you can serve this dessert with any breakfast recipes.This is more tastier than regular kesari and taste much better.Happy Cooking Friends.</t>
  </si>
  <si>
    <t>ஒரு பாத்திரத்தில் சிறிது நெய் சேர்த்து முதலில் முந்திரி வறுக்கவும், அது பொன்னிறமாக மாறியதும், திராட்சையைச் சேர்த்து பலூன் ஆகும் வரை வறுக்கவும், அவற்றை எரிக்க வேண்டாம் (எரிந்தால் கசப்பாக இருக்கும்). இதை ஒரு தட்டில் போட்டு, பின்னர் சூஜியைச் சேர்த்து, நல்ல மணமும் தங்க நிறமும் வரும் வரை நன்றாக வறுக்கவும். உங்கள் வீடு முழுவதும் வறுத்த ரவையின் நறுமணத்தால் நிரம்பியதும், வறுத்த ரவை தங்க நிறமாக மாறும்போது ரவை தயாராகிவிடும். இது சுமார் 8-10 நிமிடங்கள் ஆகும். அது தங்க நிறம் பெற்றதும், பாத்திரத்தை வெப்பத்திலிருந்து அகற்றி, பழுப்பு நிறமாகாமல் இருக்க உடனடியாக ஒரு தட்டில் மாற்றவும். மீண்டும் அதே பாத்திரத்தில் தண்ணீர் சேர்க்கவும். தண்ணீர் கொதித்ததும் அன்னாசிப்பழ கூழ் மற்றும் துண்டுகளைச் சேர்த்து 3-4 நிமிடங்கள் சமைக்கவும். இந்த செய்முறைக்கு 1 கப் ரவாவுக்கு இரண்டு கப் தண்ணீர் எடுத்துள்ளோம். இருப்பினும், நீங்கள் அதிக கிரீமி மற்றும் பணக்கார கேசரியை விரும்பினால், ஒவ்வொரு கப் ரவாவிற்கும் 1.5 கப் தண்ணீர் மற்றும் ½ கப் பால் பயன்படுத்தலாம். இப்போது இதில் படிப்படியாக வறுத்த ரவையைச் சேர்த்து, கட்டிகள் இல்லாமல் இருக்க, கலவையைப் பெற்றவுடன், அனைத்து தண்ணீரும் ரவையால் உறிஞ்சப்படும் வரை கிளறிக்கொண்டே இருங்கள். ரவை/சூஜி தண்ணீர் முழுவதும் உறிஞ்சப்பட்டவுடன், மீதமுள்ள நெய்யைச் சேர்த்து நன்கு கலக்கவும். குங்குமப்பூ தண்ணீரையும் சேர்க்கவும் (வெதுவெதுப்பான நீரில் ஊறவைத்த சில குங்குமப்பூ இழைகள்). இது விருப்பமானது, நீங்கள் விரும்பினால் மஞ்சள் உணவு வண்ணத்தையும் பயன்படுத்தலாம். அடுத்து படிப்படியாக சர்க்கரையைச் சேர்த்து நன்கு கலக்கவும். ரவா மற்றும் சர்க்கரையின் விகிதத்தை உங்கள் இனிப்பு விருப்பத்திற்கு ஏற்ப சரிசெய்யலாம், 1:1 என்ற விகிதம் அதாவது 1 கப் ரவாவிற்கு 1 கப் சர்க்கரை பெரும்பாலான மக்களால் விரும்பப்படுகிறது. இருப்பினும், நீங்கள் மிதமான இனிப்பை விரும்பினால், ஒரு கப் ரவாவிற்கு ¾ கப் சர்க்கரையைப் பயன்படுத்தலாம். ஒவ்வொரு 1 கப் ரவா/சூஜிக்கும் ¾ கப் முதல் 2 கப் சர்க்கரை வரை இனிப்புத்தன்மையை சரிசெய்யலாம். இறுதியாக வறுத்த கொட்டைகளைச் சேர்த்து நன்கு கலந்து பரிமாறவும். எங்கள் சுவையான மற்றும் சுவையான அன்னாசி ரவா கேசரி பரிமாற தயாராக உள்ளது. நான் முன்பு குறிப்பிட்டது போல், இந்த இனிப்பை எந்த காலை உணவு ரெசிபிகளுடனும் பரிமாறலாம். இது வழக்கமான கேசரியை விட சுவையானது மற்றும் மிகவும் சுவையாக இருக்கும். சமையல் நண்பர்களே.</t>
  </si>
  <si>
    <t>https://blogger.googleusercontent.com/img/b/R29vZ2xl/AVvXsEgCfeeoLthUul9O-DUMpmZqFaKTix0iYcALU-JNiMs0guu_DLiYLGdDJ6kbTO7jkH0HERfGaZUvsovXit7asxsSAhbuZETYvESD-tYp02ScIplv07j5Vpn31Q1zKnTFTThMlCNdceUiuRf2/s640/Pineapple+keasri.JPG</t>
  </si>
  <si>
    <t>Chicken 65</t>
  </si>
  <si>
    <t>கோழி 65</t>
  </si>
  <si>
    <t>1/2 kg - Chicken (with or without bones), 3 Tbsp - Yogurt / Curd, 1 Tbsp - Ginger Garlic Paste, 1 tsp  - Garam Masala powder, 1 tsp - Coriander powder, 1/4 tsp - Turmeric powder, 2 Tbsp - Kashmiri Chili powder, 1 Tbsp - Corn flour, 1 - beaten Egg, salt to taste, 5 - Green Chilies, Few Curry leaves.</t>
  </si>
  <si>
    <t>1/2 கிலோ - கோழி (எலும்புகளுடன் அல்லது இல்லாமல்), 3 டேபிள்ஸ்பூன் - தயிர் / தயிர், 1 டேபிள்ஸ்பூன் - இஞ்சி பூண்டு விழுது, 1 டேபிள்ஸ்பூன் - கரம் மசாலா தூள், 1 டேபிள்ஸ்பூன் - கொத்தமல்லி தூள், 1/4 டேபிள்ஸ்பூன் - மஞ்சள் தூள், 2 டேபிள்ஸ்பூன் - காஷ்மீரி மிளகாய் தூள், 1 டேபிள்ஸ்பூன் - சோள மாவு, 1 - அடித்த முட்டை, ருசிக்க உப்பு, 5 - பச்சை மிளகாய், சிறிது கறிவேப்பிலை.</t>
  </si>
  <si>
    <t>To make chicken 65 masala in a bowl add Yogurt, Ginger garlic paste, garam masala, coriander powder, chili powder, corn flour,Turmeric powder, salt ,beated egg and mix it nicely to for am smooth paste.Do not add any water.The batter should be thick.  Add the chicken pieces and combine well with the masala paste.Make sure all the areas are nicely covered with the masalas. After mixing cover and marinate for 30 minutes.  After 30 minutes of marination fry the chicken pieces in oil.Do not over crowd the chicken pieces there should be enough space between the pieces only then the chicken will fry uniformly all around.Once they are half done flip it to the other side and fry until crisp and golden brown. Finally fry some curry leaves and chilies in the same oil and garnish the chicken pieces.  Our delicious chicken 65 is ready to be enjoyed as a starer or as a side for biryani, plain rice and lot more.See how easy this is to make and I can guarantee you that this restaurant style chicken 65 tastes several time better than the one we buy from stores and hotels.Do try this easy Chicken 65 recipe and post your feedback.Happy Cooking.</t>
  </si>
  <si>
    <t>ஒரு பாத்திரத்தில் சிக்கன் 65 மசாலா செய்ய தயிர், இஞ்சி பூண்டு விழுது, கரம் மசாலா, கொத்தமல்லி தூள், மிளகாய் தூள், சோள மாவு, மஞ்சள் தூள், உப்பு, அடித்த முட்டை ஆகியவற்றைச் சேர்த்து நன்கு மிருதுவான பேஸ்ட் வரை கலக்கவும். தண்ணீர் சேர்க்க வேண்டாம். மாவு கெட்டியாக இருக்க வேண்டும். கோழி துண்டுகளைச் சேர்த்து மசாலா பேஸ்டுடன் நன்றாக கலக்கவும். அனைத்து பகுதிகளும் மசாலாக்களால் நன்றாக மூடப்பட்டிருப்பதை உறுதிசெய்து கொள்ளுங்கள். கலந்த பிறகு மூடி 30 நிமிடங்கள் ஊற வைக்கவும். 30 நிமிடங்கள் மரைனேட் செய்த பிறகு, கோழித் துண்டுகளை எண்ணெயில் வறுக்கவும். கோழித் துண்டுகளை அதிகமாகக் கூட்ட வேண்டாம். துண்டுகளுக்கு இடையில் போதுமான இடைவெளி இருக்க வேண்டும். அப்போதுதான் கோழி முழுவதும் ஒரே மாதிரியாக வறுக்கப்படும். அவை பாதி வெந்தவுடன், மறுபுறம் திருப்பி, மொறுமொறுப்பாகவும், பொன்னிறமாகவும் வறுக்கவும். இறுதியாக அதே எண்ணெயில் சிறிது கறிவேப்பிலை மற்றும் மிளகாய்களை வறுத்து, கோழித் துண்டுகளை அலங்கரிக்கவும். எங்கள் சுவையான சிக்கன் 65, பிரியாணி, சாதாரண சாதம் மற்றும் பலவற்றிற்கு ஒரு பக்க உணவாகவோ அல்லது பக்க உணவாகவோ சாப்பிடத் தயாராக உள்ளது. இதைச் செய்வது எவ்வளவு எளிது என்று பாருங்கள், இந்த உணவக பாணி சிக்கன் 65, நாங்கள் கடைகள் மற்றும் ஹோட்டல்களில் வாங்கும் சிக்கனை விட பல மடங்கு சிறந்த சுவை கொண்டது என்று நான் உங்களுக்கு உத்தரவாதம் அளிக்க முடியும். இந்த எளிதான சிக்கன் 65 செய்முறையை முயற்சி செய்து உங்கள் கருத்தைப் பதிவிடுங்கள். இனிய சமையல்.</t>
  </si>
  <si>
    <t>https://blogger.googleusercontent.com/img/b/R29vZ2xl/AVvXsEiTWZdCYquJZ84wObTpLpa9u1hCf22DSnWtdFKBDqjW3IcGVq3OF7GA4S6xtwRANQzhjiIWwJreI7YrcyZ6C2UzTrjAovHa5W7ulkxaXs9nA0e_Ni-iP6CDuIzKa0luRHcjyyYBYfz2qCuA/s640/Trial-1.jpg</t>
  </si>
  <si>
    <t>https://youtu.be/Ru4K3LDiIDo</t>
  </si>
  <si>
    <t>Prawns Ghee</t>
  </si>
  <si>
    <t>இறால் நெய்</t>
  </si>
  <si>
    <t>1/2 kg - Prawns / Shrimp (Deveined), 1/4 tsp - Turmeric powder, some Salt, 8 - Kashmiri Chilies, 1 tsp - Coriander Seeds, 1 tsp - cumin seeds, 1 tsp - Fennel Seeds, 1 tsp - Pepper Corns, 4 - Dry red chilies, 1 - Piece Ginger, 3 - Cloves of Garlic, 1 Tbsp - Lemon juice, 3 Tbsp - Water, 1/4 cup - Ghee / Clarified butter, 1(200g) - Onion (finely chopped), 1/4 cup - Yogurt / Curd, Curry Leaves for Garnishing, Salt to taste.</t>
  </si>
  <si>
    <t>1/2 கிலோ - இறால் / இறால் (நறுக்கியது), 1/4 தேக்கரண்டி - மஞ்சள் தூள், சிறிது உப்பு, 8 - காஷ்மீரி மிளகாய், 1 தேக்கரண்டி - கொத்தமல்லி விதைகள், 1 தேக்கரண்டி - சீரகம், 1 தேக்கரண்டி - பெருஞ்சீரகம் விதைகள், 1 தேக்கரண்டி - மிளகு, 4 - உலர்ந்த சிவப்பு மிளகாய், 1 - துண்டு இஞ்சி, 3 - பூண்டு கிராம்பு, 1 தேக்கரண்டி - எலுமிச்சை சாறு, 3 தேக்கரண்டி - தண்ணீர், 1 (200 கிராம்) - வெங்காயம் (நறுக்கியது), 1/4 கப் - தயிர் / தயிர், அலங்கரிக்க கறிவேப்பிலை, சுவைக்கேற்ப உப்பு.</t>
  </si>
  <si>
    <t>First we need to cook the prawns separately to get rid all the moisture,so cook the prawns with some salt and turmeric powder without adding any water or oil for some time until all the water content from the prawns is gone.   To make masala for the prawns in a pan dry roast Kashmiri Chilies for a couple of minutes(Kashmiri chilies adds a nice color to the recipe and at the same time they are less spicy,if you don't have kashmiri chilies then replace it with 4 regular dried chilies).Then in the same pan roast Coriander seeds, Pepper corns, Fennel seeds, Cumin Seeds and dry red chilies until the color changes a bit.  Transfer all the ingredients to a blender and along with this add Ginger, Garlic, Lemon Juice, some water and grind it to a smooth paste.  To make Prawns Ghee roast melt some Ghee,add finely chopped onions some salt and cook until the onions are nice and translucent.Then add the ground masala paste, Yogurt and mix it well with the onions.Cook the masala for 8-10 minutes or until the raw smell is completely gone.  Then add some curry leaves and also add the cooked prawns.Mix it well with the masala mixture and cook for another 4-5 minutes.Since the prawns are already cooked we don't have to cook for a long time.  Our Delicious and tasty Prawns Ghee Roast / Prawns varuval is ready to be served.I have made dry toady,if you want it to be semi-gravy then add some water to the masala before adding the prawns.If you are not used to heat then you can reduce the amount of chilies used. Happy Cooking and lets Spread the Joy of Cooking !!</t>
  </si>
  <si>
    <t>முதலில், அனைத்து ஈரப்பதத்தையும் போக்க இறாலை தனித்தனியாக சமைக்க வேண்டும், எனவே சிறிது உப்பு மற்றும் மஞ்சள் தூள் சேர்த்து சிறிது நேரம் தண்ணீர் அல்லது எண்ணெய் சேர்க்காமல், இறாலில் உள்ள அனைத்து நீர்ச்சத்தும் போகும் வரை சமைக்கவும். ஒரு பாத்திரத்தில் இறாலுக்கு மசாலா செய்ய காஷ்மீர் மிளகாயை இரண்டு நிமிடங்கள் வறுக்கவும் (காஷ்மீரி மிளகாய் செய்முறைக்கு நல்ல நிறத்தை சேர்க்கிறது, அதே நேரத்தில் அவை குறைந்த காரமானவை, உங்களிடம் காஷ்மீர் மிளகாய் இல்லையென்றால், அதை 4 வழக்கமான காய்ந்த மிளகாயுடன் மாற்றவும்). பின்னர் அதே வாணலியில் கொத்தமல்லி, மிளகு, பெருஞ்சீரகம், சீரகம் மற்றும் உலர்ந்த சிவப்பு மிளகாயை நிறம் மாறும் வரை வறுக்கவும். அனைத்து பொருட்களையும் ஒரு பிளெண்டரில் மாற்றி, இஞ்சி, பூண்டு, எலுமிச்சை சாறு, சிறிது தண்ணீர் சேர்த்து மென்மையான பேஸ்டாக அரைக்கவும். இறால் செய்ய நெய் வறுக்கவும் சிறிது நெய்யை உருக்கி, இறுதியாக நறுக்கிய வெங்காயத்தை சிறிது உப்பு சேர்த்து வெங்காயம் நன்றாகவும், கசியும் வரை சமைக்கவும். பின்னர் அரைத்த மசாலா பேஸ்ட், தயிர் சேர்த்து வெங்காயத்துடன் நன்கு கலக்கவும். மசாலாவை 8-10 நிமிடங்கள் அல்லது பச்சை வாசனை முற்றிலும் போகும் வரை சமைக்கவும். பிறகு சிறிது கறிவேப்பிலை சேர்த்து, சமைத்த இறாலையும் சேர்க்கவும். மசாலா கலவையுடன் நன்றாக கலந்து மேலும் 4-5 நிமிடங்கள் சமைக்கவும். இறால் ஏற்கனவே வெந்துவிட்டதால், நாம் நீண்ட நேரம் சமைக்க வேண்டியதில்லை. எங்கள் சுவையான மற்றும் சுவையான இறால் நெய் வறுவல் / இறால் வருவல் பரிமாற தயாராக உள்ளது. நான் உலர்ந்த டோடி செய்துள்ளேன், நீங்கள் அதை அரை குழம்பாக விரும்பினால், இறாலைச் சேர்ப்பதற்கு முன் மசாலாவில் சிறிது தண்ணீர் சேர்க்கவும். நீங்கள் சூடாகப் பழக்கமில்லை என்றால், மிளகாயின் அளவைக் குறைக்கலாம். மகிழ்ச்சியான சமையல், சமையலின் மகிழ்ச்சியைப் பரப்புவோம் !!</t>
  </si>
  <si>
    <t>https://blogger.googleusercontent.com/img/b/R29vZ2xl/AVvXsEi0EpqH77hZqdV2L6zXewJzYO-x8OK3B-FZ8g-1zX2Mc5rGGD5kGn0eFpe8qChCrZtqo7Nzqm3thyphenhyphenOlCFGazkHPdO979bfNAE3afSoSpgwH1hmkj2kYsWipWmBZnGuE1IdSDwgjuUi98msN/s640/Prawns+Ghee+Roast.JPG</t>
  </si>
  <si>
    <t>https://youtu.be/GKrWvbov4Nk</t>
  </si>
  <si>
    <t>Chicken Drumsticks</t>
  </si>
  <si>
    <t>கோழி முருங்கைக்காய்</t>
  </si>
  <si>
    <t>6 - Chicken Drumsticks with or without skin (1/2 kg), 8 - Kashmiri Chilies, 4  - Regular red chilies, 2 - Pieces of Ginger, 3 - cloves of Garlic, 1 Tbsp - Black pepper, 1 tsp - Cumin Seeds, 1/4 tsp - Turmeric powder, 2 Tbsp  - Lemon Juice, 2 Tbsp - Water for Grinding, 3 Tbsp - Oil, Salt to Taste.</t>
  </si>
  <si>
    <t>6 - தோலுடன் அல்லது இல்லாமல் கோழி முருங்கைக்காய் (1/2 கிலோ), 8 - காஷ்மீர் மிளகாய்கள், 4 - வழக்கமான சிவப்பு மிளகாய்கள், 2 - இஞ்சி துண்டுகள், 3 - பூண்டு பல், 1 தேக்கரண்டி - கருப்பு மிளகு, 1 தேக்கரண்டி - சீரகம் விதைகள், 1/4 தேக்கரண்டி - மஞ்சள் தூள், 2 தேக்கரண்டி - எலுமிச்சை சாறு, 2 தேக்கரண்டி - அரைக்க தண்ணீர், 3 தேக்கரண்டி - எண்ணெய், சுவைக்கேற்ப உப்பு.</t>
  </si>
  <si>
    <t>First soak the kashmiri chilies and regular chilies in hot water for 30 minutes.   In a blender add the soaked chilies, Ginger, Garlic, Pepper corns, Cumin Seeds, Turmeric powder, Lemon Juice, water and grind it into a very smooth paste.Do not add too much of wtaer while grinding,the mixture should be thick enough to coat the chicken pieces.  Make some cuts here and there on the chicken drumsticks,so that the masalas can penetrate more efficiently into the meat.Add required salt and then the freshly ground masala paste.Rub it generously on the surface of the chicken and make sure all the sides are nicely coated with the masala paste. All the chicken to marinate for minimum 30 min - 1 hour .  After about an hour heat some oil in a pan and place the marinated chicken drumsticks one by one and fry until it gets a nice golden brown on the outside.After about 7 minutes flip the chicken to the other side and roast until each and every sides get a nice crispy texture and golden brown on the outside.Or in the preheated oven @ 400 F / 200 C for 30 - 40 minutes.  Our Delicious Chicken Drumsticks are ready to be severed.Enjoy them when it is hot.</t>
  </si>
  <si>
    <t>முதலில் காஷ்மீர் மிளகாய் மற்றும் வழக்கமான மிளகாய்களை வெந்நீரில் 30 நிமிடங்கள் ஊற வைக்கவும். ஒரு பிளெண்டரில் ஊறவைத்த மிளகாய், இஞ்சி, பூண்டு, மிளகு சோளம், சீரகம் விதைகள், மஞ்சள் தூள், எலுமிச்சை சாறு, தண்ணீர் சேர்த்து மிகவும் மென்மையான பேஸ்டாக அரைக்கவும். அரைக்கும் போது அதிகமாக தண்ணீர் சேர்க்க வேண்டாம், கலவை கோழி துண்டுகளை பூசும் அளவுக்கு தடிமனாக இருக்க வேண்டும். சிக்கன் டிரம்ஸ்டிக்ஸில் சில வெட்டுக்களைச் செய்யுங்கள், இதனால் மசாலாக்கள் இறைச்சியில் மிகவும் திறமையாக ஊடுருவ முடியும். தேவையான உப்பு மற்றும் பின்னர் புதிதாக அரைத்த மசாலா பேஸ்ட்டைச் சேர்க்கவும். சிக்கனின் மேற்பரப்பில் தாராளமாகத் தேய்த்து, அனைத்து பக்கங்களிலும் மசாலா பேஸ்ட் நன்றாக பூசப்பட்டிருப்பதை உறுதிசெய்யவும். அனைத்து சிக்கனையும் குறைந்தபட்சம் 30 நிமிடங்கள் - 1 மணி நேரம் ஊற வைக்கவும். சுமார் ஒரு மணி நேரத்திற்குப் பிறகு, ஒரு பாத்திரத்தில் சிறிது எண்ணெயை சூடாக்கி, மரைனேட் செய்யப்பட்ட சிக்கன் டிரம்ஸ்டிக்ஸை ஒவ்வொன்றாக வைத்து, வெளியே நல்ல தங்க பழுப்பு நிறமாக மாறும் வரை வறுக்கவும். சுமார் 7 நிமிடங்களுக்குப் பிறகு சிக்கனை மறுபுறம் திருப்பி, ஒவ்வொரு பக்கமும் நல்ல மொறுமொறுப்பான அமைப்பு மற்றும் வெளியே தங்க பழுப்பு நிறமாக மாறும் வரை வறுக்கவும். அல்லது 400 F / 200 C வெப்பநிலையில் 30 - 40 நிமிடங்கள் முன்கூட்டியே சூடாக்கப்பட்ட அடுப்பில் வறுக்கவும். எங்கள் சுவையான சிக்கன் டிரம்ஸ்டிக்கள் துண்டிக்க தயாராக உள்ளன. அது சூடாகும்போது அவற்றை அனுபவிக்கவும்.</t>
  </si>
  <si>
    <t>https://blogger.googleusercontent.com/img/b/R29vZ2xl/AVvXsEjvbc8SXUmT_WKDrNTmOCR9hNComlwDg0LAkZhoSU9d7czJWeC3U2KOG8-WNOMKgelES9rIKyps0IV-3GZt1cpz1nCOhAgtk3Ad__wt0JG15rfbyuUrUfijCVfjLj5q2dYUWioFB1XznAhO/s640/Chicken-Drumsticks-Recipe.JPG</t>
  </si>
  <si>
    <t>https://youtu.be/ZurpTqM2i5o</t>
  </si>
  <si>
    <t>Crab Curry with Coconut Milk</t>
  </si>
  <si>
    <t>தேங்காய் பாலுடன் நண்டு குழம்பு</t>
  </si>
  <si>
    <t>Crab Recipe</t>
  </si>
  <si>
    <t>1/2 kg - crab ( Nandu ), 2 - Onions, 4 - Garlic cloves, 1 piece - Ginger, 2 tbsp - Kashmiri Chili powder, 1 tsp - Cumin Powder, 1 tsp - Fennel powder, 1/2 tsp - Turmeric powder, 1/2 tsp - Poppy Seeds / Kasakasa, 1 Tbsp - Coriander Powder, 2 Tbsp - Curry Powder, 1/2 cup - For Crab Curry, 2 Tbsp - Gingelly Oil, few Curry leaves, 2  - Tomatoes, 1-2 cups - Coconut Milk, Water , Salt to Taste.</t>
  </si>
  <si>
    <t>1/2 கிலோ - நண்டு (நந்து), 2 - வெங்காயம், 4 - பூண்டு பல், 1 துண்டு - இஞ்சி, 2 டீஸ்பூன் - காஷ்மீர் மிளகாய் தூள், 1 டீஸ்பூன் - சீரகப் பொடி, 1 டீஸ்பூன் - வெந்தயப் பொடி, 1/2 டீஸ்பூன் - மஞ்சள் பொடி, 1/2 டீஸ்பூன் - பாப்பி விதைகள் / கசகசா, 1 டீஸ்பூன் - கொத்தமல்லி பொடி, 2 டீஸ்பூன் - கறிவேப்பிலை, 1/2 கப் - நண்டு குழம்புக்கு, 2 டீஸ்பூன் - எள் எண்ணெய், சில கறிவேப்பிலை, 2 - தக்காளி, 1-2 கப் - தேங்காய் பால், தண்ணீர், சுவைக்கேற்ப உப்பு.</t>
  </si>
  <si>
    <t>in a blender add onions, cumin powder, coriander powder, turmeric powder, poppy seeds, fennel powder, Garlic, Ginger ,Curry powder and chili power (I have used 2 Tbsp of kashmiri chili powder to get a nice color if you are using regular chili powder use 2 tsp).Grind it into a very fine paste.  Heat Gingelly oil then add some curry leaves and then the freshly ground masala paste and cook for few minutes (add some water if required).Then add chopped tomatoes,salt and cook until tomatoes turns into a paste.   once the gravy thickens up a bit add in the cleaned and scored crabs(it is very important to score the crabs,only then the masalas will penetrate more efficiently into the crabs)and cook until the crabs are 50% cooked. Then add coconut milk and again cover and cook until the crabs are fully done.  Our Delicious Crab curry is ready to be enjoyed with Rice. This awesome Pollachi Special Crab curry also goes very well with Chapathi, Bread, Roti and even Bread.</t>
  </si>
  <si>
    <t>ஒரு பிளெண்டரில் வெங்காயம், சீரகப் பொடி, கொத்தமல்லி பொடி, மஞ்சள் தூள், பாப்பி விதைகள், பெருஞ்சீரகம் பொடி, பூண்டு, இஞ்சி, கறிவேப்பிலை மற்றும் மிளகாய் பவர் சேர்க்கவும் (வழக்கமான மிளகாய் தூள் பயன்படுத்தினால் 2 டீஸ்பூன் பயன்படுத்தினால் நல்ல நிறம் கிடைக்கும் என்று நான் 2 டீஸ்பூன் காஷ்மீர் மிளகாய் தூளைப் பயன்படுத்தினேன்). அதை மிக நன்றாக பேஸ்டாக அரைக்கவும். எண்ணெய்யை சூடாக்கி, சிறிது கறிவேப்பிலை சேர்த்து, புதிதாக அரைத்த மசாலா விழுதைச் சேர்த்து, சில நிமிடங்கள் சமைக்கவும் (தேவைப்பட்டால் சிறிது தண்ணீர் சேர்க்கவும்). பின்னர் நறுக்கிய தக்காளி, உப்பு சேர்த்து, தக்காளி ஒரு பேஸ்டாக மாறும் வரை சமைக்கவும். குழம்பு சிறிது கெட்டியானதும், சுத்தம் செய்து அரைத்த நண்டுகளைச் சேர்க்கவும் (நண்டுகளை அரைப்பது மிகவும் முக்கியம், அப்போதுதான் மசாலாக்கள் நண்டுகளுக்குள் மிகவும் திறமையாக ஊடுருவும்) மற்றும் நண்டுகள் 50% வேகும் வரை சமைக்கவும். பின்னர் தேங்காய்ப் பால் சேர்த்து மீண்டும் மூடி வைத்து, நண்டுகள் முழுமையாக வேகும் வரை சமைக்கவும். எங்கள் சுவையான நண்டு கறி சாதத்துடன் சாப்பிட தயாராக உள்ளது. இந்த அருமையான பொள்ளாச்சி ஸ்பெஷல் நண்டு கறி சப்பாத்தி, ரொட்டி, ரொட்டி மற்றும் ரொட்டியுடன் கூட நன்றாகச் செல்லும்.</t>
  </si>
  <si>
    <t>https://blogger.googleusercontent.com/img/b/R29vZ2xl/AVvXsEiB3VD4tmUL4P_9NVP48u1KYwL9qwV55eGYYAkFPI9NXtl9dYTK_xQR1Rb-LnNSomlbwsRGg3EEUB9r1bvj4xI4GzcDs2cP32aky9f4ZLbcNbOtB7y04dYRXuOxo4KW2tzd_vnrnp7paFVk/s640/Crab+Curry+Recipe.JPG</t>
  </si>
  <si>
    <t>https://youtu.be/5zw3e0qkKWw</t>
  </si>
  <si>
    <t>Mushroom Biryani</t>
  </si>
  <si>
    <t>காளான் பிரியாணி</t>
  </si>
  <si>
    <t>500g - Mushroom / Kaalan, 2 Tbsp - Ghee / Clarified Butter, 2 Tbsp - Oil, 2  - Bay leaves, 1 - Cinnamon Stick, 1 - Star anise, 3 - Cardamom pods, 3 - Cloves, 200g - Onion (1 large), 100g - Tomato (1 tomato), 1/2 tsp - Fennel Seeds, 1 Tbsp - Ginger Garlic paste, 3 - Green Chilies, 1/2 tsp - Turmeric powder, 1 tsp - Garam Masala powder, 2 tsp - Red Chili powder, 1/4 cup - Yogurt / Curd, Handfull coriander and Mint leaves, 2 cups - Basmati rice, 3 cups - Water, Salt to Taste.</t>
  </si>
  <si>
    <t>500 கிராம் - காளான் / காலன், 2 டேபிள்ஸ்பூன் - நெய் / தெளித்த வெண்ணெய், 2 டேபிள்ஸ்பூன் - எண்ணெய், 2 - பிரியாணி இலைகள், 1 - இலவங்கப்பட்டை குச்சி, 1 - நட்சத்திர சோம்பு, 3 - ஏலக்காய் காய்கள், 3 - கிராம்பு, 200 கிராம் - வெங்காயம் (1 பெரியது), 100 கிராம் - தக்காளி (1 தக்காளி), 1/2 டீஸ்பூன் - வெந்தயம் விதைகள், 1 டேபிள்ஸ்பூன் - இஞ்சி பூண்டு விழுது, 3 - பச்சை மிளகாய், 1/2 டீஸ்பூன் - மஞ்சள் தூள், 1 டீஸ்பூன் - கரம் மசாலா தூள், 2 டீஸ்பூன் - சிவப்பு மிளகாய் தூள், 1/4 கப் - தயிர் / தயிர், ஒரு கைப்பிடி கொத்தமல்லி மற்றும் புதினா இலைகள், 2 கப் - பாஸ்மதி அரிசி, 3 கப் - தண்ணீர், சுவைக்கேற்ப உப்பு.</t>
  </si>
  <si>
    <t>First step is to clean the mushroom, clean it with a paper towel or a cloth,never clean then in water or soak it in water,if you soak it in water then the mushrooms will become soggy so use a paper towel to clean the dirt. Once cleaned cut then into pieces of quarter inch size.  Heat ghee and oil.once the oil is hot add the whole spices bay leaves, cinnamon stick, star anise, cardamom and cloves.Then add sliced onion,some salt to speed up the cooking process and saute it until the onions are golden.  once they are nice and golden add in the fennel seeds, Ginger Garlic paste, green chilies, Turmeric powder, Garam masala powder and red chili powder give it a quick mix and then add tomato puree(from 1 tomato) or you can also add 1 thinly sliced tomato. If you don’t like the taste tomato then replace it with a tbsp. of lemon juice to get sour taste.   Once it is thickened and the raw smell is gone at this stage add the cleaned mushrooms. Mix it well with the onion masala mixture .whenever you cook mushrooms it will release a lot of moisture so we need to remove that moisture completely. Now once the mushrooms are cooked add quarter cup of yogurt some mint leaves and some coriander leaves. Gently mix it gain.   Add water (the ratio of rice to water for Biryani is 1: 1.5)then add required salt, soaked basmati rice (soaked in water for 30 minutes) Mix it well..Cover and cook until all the water is absorbed and the rice is 100% cooked.   Now I can smell the awesome flavor of our biryani..you can see the rice is perfectly cooked .Enjoy this delicious Kaalan Biryani with Raita or Cauliflower Manchurian.</t>
  </si>
  <si>
    <t>முதல் படி காளானை சுத்தம் செய்து, ஒரு காகித துண்டு அல்லது துணியால் சுத்தம் செய்யுங்கள், தண்ணீரில் சுத்தம் செய்ய வேண்டாம் அல்லது தண்ணீரில் ஊறவைக்க வேண்டாம், நீங்கள் அதை தண்ணீரில் நனைத்தால் காளான்கள் ஈரமாகிவிடும், எனவே ஒரு காகித துண்டு பயன்படுத்தி அழுக்குகளை சுத்தம் செய்யுங்கள். சுத்தம் செய்த பிறகு கால் அங்குல அளவு துண்டுகளாக வெட்டவும். நெய் மற்றும் எண்ணெயை சூடாக்கவும். எண்ணெய் சூடானதும் முழு மசாலாவையும் பிரியாணி இலைகள், இலவங்கப்பட்டை குச்சி, நட்சத்திர சோம்பு, ஏலக்காய் மற்றும் கிராம்பு சேர்க்கவும். பின்னர் நறுக்கிய வெங்காயம், சிறிது உப்பு சேர்த்து சமைக்கும் செயல்முறையை விரைவுபடுத்தி வெங்காயம் பொன்னிறமாகும் வரை வதக்கவும். அவை நன்றாகவும் பொன்னிறமாகவும் மாறியதும், பெருஞ்சீரகம், இஞ்சி பூண்டு விழுது, பச்சை மிளகாய், மஞ்சள் தூள், கரம் மசாலா தூள் மற்றும் சிவப்பு மிளகாய் தூள் சேர்த்து விரைவாக கலக்கவும், பின்னர் தக்காளி கூழ் (1 தக்காளியில் இருந்து) சேர்க்கவும் அல்லது நீங்கள் 1 மெல்லியதாக நறுக்கிய தக்காளியையும் சேர்க்கலாம். உங்களுக்கு தக்காளி சுவை பிடிக்கவில்லை என்றால், புளிப்பு சுவை கிடைக்கும். அது கெட்டியானதும், இந்த கட்டத்தில் பச்சை வாசனை போனதும் சுத்தம் செய்யப்பட்ட காளான்களைச் சேர்க்கவும். வெங்காய மசாலா கலவையுடன் நன்றாக கலக்கவும். காளான்களை சமைக்கும் போதெல்லாம் அது நிறைய ஈரப்பதத்தை வெளியிடும், எனவே அந்த ஈரப்பதத்தை நாம் முழுவதுமாக அகற்ற வேண்டும். இப்போது காளான்கள் வெந்தவுடன் கால் கப் தயிரில் சில புதினா இலைகள் மற்றும் சில கொத்தமல்லி இலைகளைச் சேர்க்கவும். மெதுவாக கலக்கவும். தண்ணீரைச் சேர்க்கவும் (பிரியாணிக்கு அரிசி மற்றும் தண்ணீரின் விகிதம் 1: 1.5) பின்னர் தேவையான உப்பு, ஊறவைத்த பாஸ்மதி அரிசியைச் சேர்க்கவும் (30 நிமிடங்கள் தண்ணீரில் ஊற வைக்கவும்) அதை நன்கு கலக்கவும்.. மூடி வைத்து, தண்ணீர் முழுவதும் உறிஞ்சப்பட்டு அரிசி 100% வேகும் வரை சமைக்கவும். இப்போது எங்கள் பிரியாணியின் அற்புதமான சுவையை என்னால் மணக்க முடிகிறது.. அரிசி சரியாக வேகுவதை நீங்கள் காணலாம். இந்த சுவையான காலன் பிரியாணியை ரைத்தா அல்லது காலிஃபிளவர் மஞ்சூரியனுடன் அனுபவிக்கவும்.</t>
  </si>
  <si>
    <t>https://blogger.googleusercontent.com/img/b/R29vZ2xl/AVvXsEg1bxUVLZHT8uWd2-QRBm5AupJhExX-Jped0lU4glipb2WAhq5Tn1NQK2-wewFNtACAwsWO-VyaQN5xwk4D4zN3C_Vu1Mg_kcRHcnThZQSKEKd4wT6ogh2hyphenhyphenlbUzfBleG21xpyxU5NiKO7T/s640/Mushroom+Biryani+recipe.JPG</t>
  </si>
  <si>
    <t>https://youtu.be/b61dMCoaHNs</t>
  </si>
  <si>
    <t>Bombay Karachi Halwa</t>
  </si>
  <si>
    <t>பாம்பே கராச்சி ஹல்வா</t>
  </si>
  <si>
    <t>1 Cup - Corn Flour / Corn Starch, 2.5 cup - Sugar, 2+2 cups - Water (2 for corn flour + 2 for sugar), 3/4 cup - Ghee / Clarified Butter, some Broken Cashew nuts, pinch of Cardamom powder, pinch of Red and Yellow food color, 1 tsp - Lemon Juice to prevent sugar crystallization.</t>
  </si>
  <si>
    <t>1 கப் - சோள மாவு / சோள மாவு, 2.5 கப் - சர்க்கரை, 2+2 கப் - தண்ணீர் (சோள மாவுக்கு 2 + சர்க்கரைக்கு 2), 3/4 கப் - நெய் / தெளித்த வெண்ணெய், சிறிது உடைந்த முந்திரி பருப்புகள், சிறிது ஏலக்காய் தூள், சிறிது சிவப்பு மற்றும் மஞ்சள் உணவு நிறம், 1 தேக்கரண்டி - சர்க்கரை படிகமாவதைத் தடுக்க எலுமிச்சை சாறு.</t>
  </si>
  <si>
    <t>First thing is to check the corn flour.To check if u have the right flour dissolve some of the flour in water if it is soluble and if u get a milk like consistency then you are good to go, if it is grainy or lumpy then your halva won’t work with that flour.  Take one cup of corn flour or corn starch depending on your country and mix it with 2 cups of water and keep it aside.  In a pan dissolve 2.5 cups of sugar in 2 cups of water and once the sugar dissolves completely add a tsp of lemon juice to prevent sugar crystallization.You can adjust the sweetness somewhere between 2 to 2.5 cups of sugar.  In a pan dissolve 2.5 cups of sugar in 2 cups of water and once the sugar dissolves completely add a tsp of lemon juice to prevent sugar crystallization.You can adjust the sweetness somewhere between 2 to 2.5 cups of sugar.  Gradually add the corn flour mixture and keep mixing in a medium heat.In around 2-3 minutes you will see some transparent lumps here are there that is absolutely normal.After some time of stirring the mixture will start to set.  Once the mixture sets slowly incorporate 3/4 cup of ghee by adding one tbsp at a time and keen on stirring.It may take around 20-30 minutes to get the proper consistency. Add cardamom powder and some broken cashews and mix that in.Cardamom powder is optional(if you don't like the flavor of cardamom you can skip).you can also add almonds and pistachios.  The final step is to add color.I am going make in two different colors so divide the halwa into two half and add red and yellow food color and mix well until the color is uniformly distributed.  Transfer the halwa to a greased plate and allo it to cool for minimum 1 hour.Once the halwa is cooled cut into cubes and enjoy this delicious Bombay karachi Kalwa.  Please do try this Bombay Karachi Halwa and share it with your friends and family. This halwa is enjoyed equally by both kids and adults. If you enjoyed this recipe you might also like Badam Halwa Recipe and 7 cups sweet recipe .</t>
  </si>
  <si>
    <t>முதலில் சோள மாவைச் சரிபார்க்க வேண்டும். உங்களிடம் சரியான மாவு இருக்கிறதா என்று சோதிக்க, தண்ணீரில் சிறிது மாவை கரையக்கூடியதா என்று கரைக்கவும், பால் போன்ற நிலைத்தன்மையைப் பெற்றால், நீங்கள் செல்லலாம், அது தானியமாகவோ அல்லது கட்டியாகவோ இருந்தால், உங்கள் ஹல்வா அந்த மாவுடன் வேலை செய்யாது. உங்கள் நாட்டைப் பொறுத்து ஒரு கப் சோள மாவு அல்லது சோள மாவை எடுத்து 2 கப் தண்ணீரில் கலந்து ஒதுக்கி வைக்கவும். ஒரு பாத்திரத்தில் 2.5 கப் சர்க்கரையை 2 கப் தண்ணீரில் கரைக்கவும், சர்க்கரை முழுவதுமாக கரைந்ததும் ஒரு தேக்கரண்டி எலுமிச்சை சாறு சேர்க்கவும், இது சர்க்கரை படிகமாவதைத் தடுக்கும். நீங்கள் 2 முதல் 2.5 கப் சர்க்கரை வரை இனிப்புத்தன்மையை சரிசெய்யலாம். ஒரு பாத்திரத்தில் 2.5 கப் சர்க்கரையை 2 கப் தண்ணீரில் கரைக்கவும், சர்க்கரை முழுவதுமாக கரைந்ததும் ஒரு தேக்கரண்டி எலுமிச்சை சாறு சேர்க்கவும், இது சர்க்கரை படிகமாவதைத் தடுக்கும். நீங்கள் 2 முதல் 2.5 கப் சர்க்கரை வரை இனிப்புத்தன்மையை சரிசெய்யலாம். சோள மாவு கலவையை படிப்படியாகச் சேர்த்து மிதமான தீயில் தொடர்ந்து கலக்கவும். சுமார் 2-3 நிமிடங்களில் சில வெளிப்படையான கட்டிகள் இருப்பதைக் காண்பீர்கள், அவை முற்றிலும் இயல்பானவை. சிறிது நேரம் கிளறிய பிறகு கலவை உறுதியாகத் தொடங்கும். கலவை மெதுவாக 3/4 கப் நெய்யைச் சேர்த்து, ஒவ்வொன்றாக ஒரு தேக்கரண்டி சேர்த்து கிளறவும். சரியான நிலைத்தன்மையைப் பெற சுமார் 20-30 நிமிடங்கள் ஆகலாம். ஏலக்காய் தூள் மற்றும் சிறிது உடைத்த முந்திரி சேர்த்து கலக்கவும். ஏலக்காய் தூள் விருப்பமானது (ஏலக்காயின் சுவை உங்களுக்குப் பிடிக்கவில்லை என்றால் நீங்கள் தவிர்க்கலாம்). நீங்கள் பாதாம் மற்றும் பிஸ்தாவையும் சேர்க்கலாம். இறுதி படி வண்ணத்தைச் சேர்ப்பது. நான் இரண்டு வெவ்வேறு வண்ணங்களில் செய்யப் போகிறேன், எனவே ஹல்வாவை இரண்டு பகுதிகளாகப் பிரித்து சிவப்பு மற்றும் மஞ்சள் உணவு வண்ணத்தைச் சேர்த்து நிறம் சீராக பரவும் வரை நன்கு கலக்கவும். ஹல்வாவை ஒரு நெய் தடவிய தட்டில் மாற்றி, குறைந்தபட்சம் 1 மணி நேரம் குளிர்விக்க விடுங்கள். ஹல்வா குளிர்ந்ததும் க்யூப்ஸாக வெட்டி இந்த சுவையான பாம்பே கராச்சி கல்வாவை அனுபவிக்கவும். தயவுசெய்து இந்த பாம்பே கராச்சி ஹல்வாவை முயற்சி செய்து உங்கள் நண்பர்கள் மற்றும் குடும்பத்தினருடன் பகிர்ந்து கொள்ளுங்கள். இந்த ஹல்வாவை குழந்தைகள் மற்றும் பெரியவர்கள் இருவரும் சமமாக ருசிக்கிறார்கள். இந்த செய்முறையை நீங்கள் ரசித்திருந்தால், பாதாம் ஹல்வா ரெசிபி மற்றும் 7 கப் இனிப்பு ரெசிபியையும் நீங்கள் விரும்பலாம்.</t>
  </si>
  <si>
    <t>https://blogger.googleusercontent.com/img/b/R29vZ2xl/AVvXsEhOTg1NHshJBLQ58s_5gKze51DHcQo6xlHAFJYaugxefs4IN69LImAa6Lm3Pk7sQq5u1tiT6_LfKGHJNCZWah8euMj8Mo4IKz40ryzsL-U-YnC2JuykJagwrKCXm1aXv_Dgl3qQ2D_uR2f2/s640/DSC04916.JPG</t>
  </si>
  <si>
    <t>https://youtu.be/xCiPrT1JiDg</t>
  </si>
  <si>
    <t>Vendakkai Puli Kulambu</t>
  </si>
  <si>
    <t>வெண்டைக்காய் புளி குழம்பு</t>
  </si>
  <si>
    <t>100g - Ladyfinger , 2 Tbsp - Gingelly Oil, 1/4 tsp - Mustard seeds, 1/4 tsp - Fenugreek seeds, few Curry leaves, 7-8 - Shallots, 1 - Tomato, 1 - lemon sized Tamarind, 1 Tbsp - Kulambu powder, 1/2 cup - Grated coconut, 1 - Garlic clove, 2 - Shallots, 1/2 tsp - Cumin seeds, Water, Salt to Taste.</t>
  </si>
  <si>
    <t>100 கிராம் - லேடிஃபிங்கர், 2 டேபிள்ஸ்பூன் - எள் எண்ணெய், 1/4 டேபிள்ஸ்பூன் - கடுகு, 1/4 டேபிள்ஸ்பூன் - வெந்தயம், சில கறிவேப்பிலை, 7-8 - வெங்காயத்தாள், 1 - தக்காளி, 1 - எலுமிச்சை அளவு புளி, 1 டேபிள்ஸ்பூன் - குழம்பு பொடி, 1/2 கப் - துருவிய தேங்காய், 1 - பூண்டு பல், 2 - வெங்காயத்தாள், 1/2 டேபிள்ஸ்பூன் - சீரகம், தண்ணீர், சுவைக்கேற்ப உப்பு.</t>
  </si>
  <si>
    <t>Cut the okra into pieces of 1 inch in size and saute them in oil (Gingelly oil)  for 4-5 minutes or until it gets a nice golden color on the outside and keep it aside.Roasting them removes the stickiness from the Okra.  In the same oil temper with mustard seeds, fenugreek seeds and some curry leaves. Immediately after adding the tempering ingredients add the shallots(since the pan is already hot fenugreek will turn brown soon) and saute for a couple of minutes.Once the shallots are soft and golden add 1 tbsp of Kulambu powder (Curry powder) or you can also use sambar powder.   Then add 1 chopped tomato and cook until everything turns into a paste.Once the shallots are soft and golden add 1 tbsp of Kulambu powder (Curry powder) and mix it and add tamarind juice (soak lemon size tamarind in water for sometime and then extract the juice) ,add enough water , required salt.  and also add the roasted Okra.Cook for few minutes until the gravy boils and thickens a bit.  Meanwhile to make coconut base in a blender add grated coconut, garlic, shallots ,cumin seeds and grind it to a coarse paste.Add some water if required while grinding.  Once the gravy thickens a bit add the coconut mixture and cook for another 4-5 minutes or until the oil separates at the sides.  Our delicious Vendakkai Puli Kulambu is ready to be served with Rice, Dosa , Idli and lot more.Happy Cooking !!!  If you like this Puli Kulmabu recipe you might also like Sundakkai Vatha Kulambu.</t>
  </si>
  <si>
    <t>வெண்டைக்காயை 1 அங்குல அளவு துண்டுகளாக நறுக்கி, எண்ணெயில் (இஞ்சி எண்ணெய்) 4-5 நிமிடங்கள் அல்லது வெளிப்புறத்தில் நல்ல தங்க நிறம் வரும் வரை வதக்கி, ஒதுக்கி வைக்கவும். வெண்டைக்காயில் உள்ள ஒட்டும் தன்மை நீங்கும். அதே எண்ணெயில் கடுகு, வெந்தயம் மற்றும் சில கறிவேப்பிலை சேர்த்து வதக்கவும். தாளிக்க தேவையான பொருட்களைச் சேர்த்தவுடன், வெங்காயத்தாளைச் சேர்த்து (கடா ஏற்கனவே சூடாகிவிட்டதால் வெந்தயம் விரைவில் பழுப்பு நிறமாக மாறும்) இரண்டு நிமிடங்கள் வதக்கவும். வெங்காயத்தாளை மென்மையாகவும், பொன்னிறமாகவும் மாறியதும், 1 டீஸ்பூன் குழம்புப் பொடி (கறிவேப்பிலை) சேர்க்கவும் அல்லது சாம்பார் பொடியையும் பயன்படுத்தலாம். பின்னர் 1 நறுக்கிய தக்காளியைச் சேர்த்து, எல்லாம் ஒரு பேஸ்டாக மாறும் வரை சமைக்கவும். வெங்காயத்தாளை மென்மையாகவும், பொன்னிறமாகவும் மாறியதும், 1 டீஸ்பூன் குழம்புப் பொடி (கறிவேப்பிலை) சேர்த்து கலந்து, புளி சாறு சேர்க்கவும் (எலுமிச்சை அளவு புளியை தண்ணீரில் சிறிது நேரம் ஊறவைத்து, பின்னர் சாறு எடுக்கவும்), போதுமான தண்ணீர், தேவையான உப்பு சேர்க்கவும். வறுத்த வெந்தயக் கீரையையும் சேர்க்கவும். குழம்பு கொதித்து கெட்டியாகும் வரை சில நிமிடங்கள் சமைக்கவும். இதற்கிடையில், தேங்காய்த் தளத்தை ஒரு பிளெண்டரில் துருவிய தேங்காய், பூண்டு, வெங்காயத்தாள், சீரகம் ஆகியவற்றைச் சேர்த்து, கரடுமுரடான பேஸ்டாக அரைக்கவும். தேவைப்பட்டால் சிறிது தண்ணீர் சேர்க்கவும். குழம்பு சிறிது கெட்டியானதும் தேங்காய் கலவையைச் சேர்த்து மேலும் 4-5 நிமிடங்கள் அல்லது பக்கவாட்டில் எண்ணெய் பிரிந்து வரும் வரை சமைக்கவும். எங்கள் சுவையான வெண்டைக்காய் புளி குழம்பு சாதம், தோசை, இட்லி மற்றும் பலவற்றுடன் பரிமாற தயாராக உள்ளது. மகிழ்ச்சியான சமையல்!!! இந்த புளி குல்மாபு செய்முறையை நீங்கள் விரும்பினால், சுண்டக்காய் வத குழம்புவும் உங்களுக்குப் பிடிக்கும்.</t>
  </si>
  <si>
    <t>https://blogger.googleusercontent.com/img/b/R29vZ2xl/AVvXsEgzcxw1P-aFxDUsamQobxXGz7zdEk4UCBWVnbKHp1Ss5I_jaw2YgsofKkTbC10HVlwn0mQ-UlrMrrg1GkQyHHrze4f8ph7g7jbvjSWw0L8-8vWiUgVAR6jcNWh-mz3SZ90vLrCNIaLZ1LGZ/s640/Vendakkai+Puli+Kulambu.JPG</t>
  </si>
  <si>
    <t>https://youtu.be/UqkBZ0TxrUM?si=tokdWAopOF1MhtBe</t>
  </si>
  <si>
    <t>Filter Coffee</t>
  </si>
  <si>
    <t>காபியை வடிகட்டி</t>
  </si>
  <si>
    <t>Snack Recipes</t>
  </si>
  <si>
    <t>Coffee Powder,  Water,  Milk,  Sugar.</t>
  </si>
  <si>
    <t>காபி தூள், தண்ணீர், பால், சர்க்கரை.</t>
  </si>
  <si>
    <t>Add 3 tbsp of coffee powder in the upper porous cup and flatten it with the press given.Do not add too much of Coffee powder inside the container leave enough space for water.(should be less than 1/3 rd portion).  To make filter coffee we need boiling water so first lets boil some water in a sauce pan and wait until it comes to a rolling boil.Once the water comes to a rolling boil pour the water on the upper porous cup where we have already added coffee powder.  Wait for sometime until all the water is filtered and the decoction is collected at the bottom.If you want a strong decoction then dont add too much of water at once add little at a time to get strong decoction.   Once the decoction is ready Heat some milk (try to use full fat milk to get rich coffee).The final step is mixing everything together.It all depends on your taste bud.If you want strong coffee then add more decoction and if you like it to be mild add less decoction. But I always love to have strong Coffee.You can also adjust milk accordingly.Add sugar as per your taste.  This is an important step in making Filter Coffee mixing, pouring back and forth between the tumbler and the saucer from 1 feet above gives a lovely frothy Coffee and should be consumed with that froth on the surface.</t>
  </si>
  <si>
    <t>மேல் நுண்துளை கோப்பையில் 3 தேக்கரண்டி காபி தூளைச் சேர்த்து, கொடுக்கப்பட்டுள்ள அழுத்தத்துடன் தட்டையாக்குங்கள். கொள்கலனுக்குள் காபி தூளை அதிகமாகச் சேர்க்க வேண்டாம், தண்ணீருக்கு போதுமான இடத்தை விட்டு விடுங்கள். (1/3 பங்குக்கும் குறைவாக இருக்க வேண்டும்). வடிகட்டி காபி தயாரிக்க நமக்கு கொதிக்கும் நீர் தேவை, எனவே முதலில் ஒரு சாஸ் பாத்திரத்தில் சிறிது தண்ணீரைக் கொதிக்க வைத்து, அது உருளும் வரை காத்திருக்கவும். தண்ணீர் ஒரு உருளும் கொதி நிலைக்கு வந்ததும், காபி தூள் ஏற்கனவே சேர்த்துள்ள மேல் நுண்துளை கோப்பையில் தண்ணீரை ஊற்றவும். அனைத்து தண்ணீரும் வடிகட்டப்பட்டு, காபி தூள் கீழே சேகரிக்கப்படும் வரை சிறிது நேரம் காத்திருக்கவும். உங்களுக்கு வலுவான டிகாஷன் வேண்டுமென்றால், ஒரே நேரத்தில் அதிக தண்ணீர் சேர்க்க வேண்டாம், இதனால் வலுவான டிகாஷன் கிடைக்கும். டிகாஷன் தயாரானதும், சிறிது பாலை சூடாக்கவும் (நிறைந்த காபி பெற முழு கொழுப்புள்ள பாலைப் பயன்படுத்த முயற்சிக்கவும்). இறுதி படி அனைத்தையும் ஒன்றாகக் கலப்பது. இது உங்கள் சுவை மொட்டைப் பொறுத்தது. நீங்கள் வலுவான காபி விரும்பினால், அதிக டிகாஷனைச் சேர்க்கவும், அது லேசானதாக இருக்க விரும்பினால், குறைந்த டிகாஷனைச் சேர்க்கவும். ஆனால் எனக்கு எப்போதும் வலுவான காபி குடிப்பது மிகவும் பிடிக்கும். அதற்கேற்ப பாலை நீங்கள் சரிசெய்யலாம். உங்கள் ரசனைக்கேற்ப சர்க்கரை சேர்க்கவும். ஃபில்டர் காபியை கலக்கும்போது இது ஒரு முக்கியமான படியாகும், டம்ளருக்கும் சாஸருக்கும் இடையில் 1 அடி உயரத்தில் இருந்து முன்னும் பின்னுமாக ஊற்றினால் ஒரு அழகான நுரையுடன் கூடிய காபி கிடைக்கும், மேலும் அந்த நுரை மேற்பரப்பில் இருக்குமாறு அதை உட்கொள்ள வேண்டும்.</t>
  </si>
  <si>
    <t>https://blogger.googleusercontent.com/img/b/R29vZ2xl/AVvXsEjMNwKcfeI9hyphenhyphen97Yl0TBxdCv9xpjKYPh9CanlGcaVelewJO4O1V2a4CyiZYMFaAwrj0WLwD4rTfQOIAT4juhf4mjhe672BE-6eG1ixf4HxdywuZN6ZRKCVcxIwlUrs7pL8fMkh5YXWstT6b/s640/South+Indian+Filter+Coffee.JPG</t>
  </si>
  <si>
    <t>Vegetable Fried Rice</t>
  </si>
  <si>
    <t>காய்கறி வறுத்த அரிசி</t>
  </si>
  <si>
    <t>1 Cup - Basmati Rice (soak for 1 hour), 1- large Potato, 3 - Carrots, 1/2 - Cabbage, 15-20 - Beans, 1 tsp - Chili Sauce, 1 tsp - Soy Sauce, 1 tsp - pepper powder, Handfull Spring Onions, Water, Salt to Taste.</t>
  </si>
  <si>
    <t>1 கப் - பாஸ்மதி அரிசி (1 மணி நேரம் ஊறவைக்கவும்), 1- பெரிய உருளைக்கிழங்கு, 3 - கேரட், 1/2 - முட்டைக்கோஸ், 15-20 - பீன்ஸ், 1 தேக்கரண்டி - மிளகாய் சாஸ், 1 தேக்கரண்டி - சோயா சாஸ், 1 தேக்கரண்டி - மிளகு தூள், கைப்பிடி வெங்காயம், தண்ணீர், சுவைக்கேற்ப உப்பு.</t>
  </si>
  <si>
    <t>Soak the Basmati rice in water for 1 hour and cook in water with some salt until the rice is 90% cooked..Do not over cook the rice..To get perfect strands add a tbsp of water into the boiling water before adding the rice.This prevents the rice from sticking to one another.Once 90% cooked spread the rice on a paper towel to remove any moisture from the rice or keep under fan.This step is very important to get the best fried rice with single strands of rice.  Cut potatoes into small little cubes(blot it with a paper towel to remove any excess moisture) and add slat and chili powder to season.Fry the potatoes in oil until golden and crispy on the outside.   Heat some oil in a pan,add Carrots, Cabbage, Beans and cook until the veggies are 90-95% cooked do not overcook the vegetables we still need to retain some texture of the veggies.Then add required salt, chili sauce, Soy sauce and mix it again.You can also use capsicum if you like.  Then add the cooked basmati rice and the fried potatoes. Mix everything very gently and carefully.Do not break the rice.After mixing it add freshly ground pepper and some spring onions for garnishing.  Our Delicious Veg Fried rice is ready to be served with any of your favorite side like Gobi Manchurian or with Matar Paneer.</t>
  </si>
  <si>
    <t>பாஸ்மதி அரிசியை 1 மணி நேரம் தண்ணீரில் ஊறவைத்து, சிறிது உப்பு சேர்த்து தண்ணீரில் அரிசி 90% வேகும் வரை சமைக்கவும்..அரிசியை அதிகமாக வேகவைக்க வேண்டாம்..சரியான இழைகளைப் பெற அரிசியைச் சேர்ப்பதற்கு முன் கொதிக்கும் நீரில் ஒரு தேக்கரண்டி தண்ணீரைச் சேர்க்கவும். இது அரிசி ஒன்றோடொன்று ஒட்டாமல் தடுக்கிறது.90% சமைத்தவுடன் அரிசியை ஒரு காகிதத் துண்டில் பரப்பி, அரிசியிலிருந்து ஈரப்பதத்தை நீக்கவும் அல்லது விசிறியின் கீழ் வைக்கவும். ஒற்றை இழைகளுடன் சிறந்த வறுத்த அரிசியைப் பெற இந்த படி மிகவும் முக்கியமானது. உருளைக்கிழங்கை சிறிய க்யூப்ஸாக வெட்டி (அதிகப்படியான ஈரப்பதத்தை நீக்க ஒரு காகிதத் துண்டைக் கொண்டு துடைக்கவும்) தாளிக்க ஸ்லாட் மற்றும் மிளகாய் தூள் சேர்க்கவும். உருளைக்கிழங்கை எண்ணெயில் பொன்னிறமாகவும், வெளியில் மொறுமொறுப்பாகவும் வறுக்கவும். ஒரு கடாயில் சிறிது எண்ணெயை சூடாக்கி, கேரட், முட்டைக்கோஸ், பீன்ஸ் சேர்த்து, காய்கறிகள் 90-95% வேகும் வரை வதக்கவும். காய்கறிகளை அதிகமாக வேகவிடாதீர்கள், காய்கறிகளின் அமைப்பை இன்னும் தக்க வைத்துக் கொள்ள வேண்டும். பின்னர் தேவையான உப்பு, மிளகாய் சாஸ், சோயா சாஸ் சேர்த்து மீண்டும் கலக்கவும். நீங்கள் விரும்பினால் கேப்சிகத்தையும் பயன்படுத்தலாம். பின்னர் சமைத்த பாஸ்மதி அரிசி மற்றும் வறுத்த உருளைக்கிழங்கைச் சேர்க்கவும். எல்லாவற்றையும் மிகவும் மெதுவாகவும் கவனமாகவும் கலக்கவும். அரிசியை உடைக்க வேண்டாம். அதைக் கலந்த பிறகு புதிதாக அரைத்த மிளகு மற்றும் அலங்காரத்திற்காக சிறிது வெங்காயத்தைச் சேர்க்கவும். எங்கள் சுவையான வெஜ் ஃபிரைடு அரிசி, கோபி மஞ்சூரியன் அல்லது மாதர் பனீர் போன்ற உங்களுக்குப் பிடித்த எந்த பக்க உணவுடனும் பரிமாற தயாராக உள்ளது.</t>
  </si>
  <si>
    <t>https://blogger.googleusercontent.com/img/b/R29vZ2xl/AVvXsEg-H_mnX-Spy1lhDhL4Aa1qjmsN2A0bx7wHi7atnU63L7uDFaqDs1EuGQD_D6MTVmYNAsno5W9y8sOeGfMo3BbkRH-74MASQHlyu4XaDj0b_0kRiV3ZJQJXosSUmv64qd5y7djNGQLp_76S/s640/Veg-Fried-Rice-Indian-Style.JPG</t>
  </si>
  <si>
    <t>https://youtu.be/aYTtmH_v6ME</t>
  </si>
  <si>
    <t>Badam Halwa</t>
  </si>
  <si>
    <t>பாதாம் ஹல்வா</t>
  </si>
  <si>
    <t>Diwali Recipes</t>
  </si>
  <si>
    <t>1 Cup - Badam / Almonds, 1 cup - Sugar, 3/4 cup - Milk, 2 tbsp - Saffron Milk (15-20 strands of saffron soaked in warm water) , 3-4 Tbsp  - Ghee / Clarified Butter, pinch of Cardamom powder.</t>
  </si>
  <si>
    <t>1 கப் - பாதாம் / பாதாம், 1 கப் - சர்க்கரை, 3/4 கப் - பால், 2 டேபிள் ஸ்பூன் - குங்குமப்பூ பால் (வெதுவெதுப்பான நீரில் ஊறவைத்த 15-20 குங்குமப்பூ), 3-4 டேபிள் ஸ்பூன் - நெய் / தெளித்த வெண்ணெய், சிட்டிகை ஏலக்காய் தூள்.</t>
  </si>
  <si>
    <t>Soak almonds in water for 2-3 hours and remove the skin just press it between thumb and index finger and slide to remove the skin or you can also soak the almonds in boiling water for 30 minutes to facilitate the process.  Then grind it to a coarse paste by adding milk. Do not grind it to a very smooth paste.If you grind it a very fine paste then the texture of the halva wont be good, halwa should have a little grainy texture.This is the consistency which we need for making halva.  Now to make halva melt some ghee and then add the badam paste mix it well then add sugar I have added 1 cup of sugar for 1 cup of Almonds.If you like it to be too sweet you can increase the amount of sugar somewhere form 1-2 cups of sugar.  Mix it completely and keep on stirring once the sugar dissolves completely add some saffron milk to get a nice color I have soaked few strands of saffron in 2 tbsp warm milk for 15 minutes.Mix it nicely in and keep on stirring. Prefer a non-stick pan to prevent the halva from sticking to the bottom.  It may take around 15-20 minutes (on a low to medium heat) for halva to set so keep on stirring to prevent from burning and sticking.Add 1 pinch of cardamom powder (this is optional if you don’t like the flavor of cardamom you can skip).Now you can see the halva has started to set and it is detached from the sides of the pan and is rotating together. Finally you can also add a tbsp of ghee to enrich the taste of Halwa. Now we have the perfect consistency of the halva. Its time for plating you can add some slivered almonds at the top and serve.  Our Delicious Badam Halva is ready to be served warm or chilled.</t>
  </si>
  <si>
    <t>பாதாம் பருப்பை 2-3 மணி நேரம் தண்ணீரில் ஊறவைத்து, தோலை அகற்றி, கட்டைவிரலுக்கும் ஆள்காட்டி விரலுக்கும் இடையில் அழுத்தி, தோலை நீக்கவும் அல்லது செயல்முறையை எளிதாக்க பாதாம் பருப்பை கொதிக்கும் நீரில் 30 நிமிடங்கள் ஊறவைக்கவும். பின்னர் பால் சேர்த்து கரடுமுரடான பேஸ்டாக அரைக்கவும். மிகவும் மென்மையான பேஸ்டாக அரைக்க வேண்டாம். நீங்கள் அதை மிக மெல்லிய பேஸ்டாக அரைத்தால், ஹல்வாவின் அமைப்பு நன்றாக இருக்காது, ஹல்வா சிறிது தானிய அமைப்பைக் கொண்டிருக்க வேண்டும். ஹல்வா தயாரிக்க நமக்குத் தேவையான நிலைத்தன்மை இதுதான். இப்போது ஹல்வாவை உருக்க சிறிது நெய்யை உருக்கி, பின்னர் பாதாம் விழுதைச் சேர்த்து நன்கு கலக்கவும், பின்னர் சர்க்கரை சேர்க்கவும். 1 கப் பாதாமுக்கு 1 கப் சர்க்கரை சேர்த்துள்ளேன். இது மிகவும் இனிப்பாக இருக்க விரும்பினால், 1-2 கப் சர்க்கரையாக சர்க்கரையின் அளவை அதிகரிக்கலாம். அதை முழுவதுமாக கலந்து, சர்க்கரை முழுவதுமாக கரைந்ததும் சிறிது குங்குமப்பூ பால் சேர்த்து கிளறவும். ஒரு நல்ல நிறம் வர, நான் 2 டேபிள்ஸ்பூன் சூடான பாலில் சில குங்குமப்பூ இழைகளை 15 நிமிடங்கள் ஊறவைத்துள்ளேன். அதை நன்றாகக் கலந்து கிளறிக்கொண்டே இருங்கள். ஹல்வா அடிப்பகுதியில் ஒட்டாமல் இருக்க, நான்-ஸ்டிக் பாத்திரத்தை விரும்புங்கள். ஹல்வா செட் ஆக சுமார் 15-20 நிமிடங்கள் (குறைந்த முதல் நடுத்தர வெப்பத்தில்) ஆகலாம், எனவே எரிவதையும் ஒட்டாமல் இருக்க தொடர்ந்து கிளறவும். 1 சிட்டிகை ஏலக்காய் தூள் சேர்க்கவும் (ஏலக்காயின் சுவை உங்களுக்குப் பிடிக்கவில்லை என்றால் இது விருப்பமானது, நீங்கள் தவிர்க்கலாம்). இப்போது ஹல்வா செட் ஆகத் தொடங்கியிருப்பதைக் காணலாம், அது பான் பக்கங்களிலிருந்து பிரிக்கப்பட்டு ஒன்றாகச் சுழன்று கொண்டிருப்பதைக் காணலாம். கடைசியாக, ஹல்வாவின் சுவையை மேம்படுத்த ஒரு தேக்கரண்டி நெய்யையும் சேர்க்கலாம். இப்போது ஹல்வாவின் சரியான நிலைத்தன்மை நமக்குக் கிடைத்துவிட்டது. மேலே சிறிது பாதாம் துண்டுகளைச் சேர்த்துப் பரிமாற வேண்டிய நேரம் இது. எங்கள் சுவையான பாதாம் ஹல்வா சூடாகவோ அல்லது குளிரூட்டப்பட்டோ பரிமாற தயாராக உள்ளது.</t>
  </si>
  <si>
    <t>https://blogger.googleusercontent.com/img/b/R29vZ2xl/AVvXsEi9ii80nyYS8kIAxmGgzEhFWNaOpKfqxKj5Xy6vbdqysCHpcMdBGwVTuO08qtWZORZUH0JyyqkljhqwB5qcXy2Omc8pTGCmKRZcxJKdB6FOObnAAWJLYRF2zas5YtQUmTdHsEGk-j7qM6ni/s640/Badam+Halwa.JPG</t>
  </si>
  <si>
    <t>Matar Paneer</t>
  </si>
  <si>
    <t>மட்டர் பனீர்</t>
  </si>
  <si>
    <t>Veg Gravy</t>
  </si>
  <si>
    <t>150g - Paneer / Cottage Cheese, 100g - Green peas / Matar , 2 - large Onions, 3 - Tomatoes, 1 inch - Ginger, 3 - cloves Garlic, 4-5 -Cashews, 1 -Bay leaf, 1 - Cinnamon Stick, 1 tsp - Cumin Seeds, 1/4 tsp - Turmeric Powderx, 1 tsp - Cumin Powder, 1 tsp - Coriander Powder, 1 tsp - Garam Masala powder, 1 Tbsp - Kashmiri Chili powder or 1 tsp regular Chili powder, 1 Tbsp - Yogurt / Curd, 4 - Tbsp Oil (2 tbsp for sauting + 2 Tbsp for Gravy), Handfull coriander leaves, Water, Salt to Taste.</t>
  </si>
  <si>
    <t>150 கிராம் - பனீர் / பாலாடைக்கட்டி, 100 கிராம் - பச்சைப் பட்டாணி / மட்டர், 2 - பெரிய வெங்காயம், 3 - தக்காளி, 1 அங்குலம் - இஞ்சி, 3 - பூண்டு பல், 4-5 - முந்திரி, 1 - வளைகுடா இலை, 1 - இலவங்கப்பட்டை குச்சி, 1 தேக்கரண்டி - சீரக விதைகள், 1/4 தேக்கரண்டி - மஞ்சள் தூள்x, 1 தேக்கரண்டி - சீரகப் பொடி, 1 தேக்கரண்டி - கொத்தமல்லி பொடி, 1 தேக்கரண்டி - கரம் மசாலா பொடி, 1 தேக்கரண்டி - காஷ்மீரி மிளகாய் தூள் அல்லது 1 தேக்கரண்டி வழக்கமான மிளகாய் தூள், 1 தேக்கரண்டி - தயிர் / தயிர், 4 - தேக்கரண்டி எண்ணெய் (வதக்க 2 தேக்கரண்டி + கிரேவிக்கு 2 தேக்கரண்டி), ஒரு கைப்பிடி கொத்தமல்லி இலைகள், தண்ணீர், சுவைக்கேற்ப உப்பு.</t>
  </si>
  <si>
    <t>To make base for our Mattar paneer heat some oil in a pan.Add chopped onions and salt to speed up the cooking process,Once the onions are translucent add Cashews, Ginger, Garlic(you can also use 1 Tbsp of ginger garlic paste) and saute it for a minute.Do not add too much of cashews as this may change the taste of the gravy.Then add chopped tomatoes and cook until the tomatoes turns into a paste or until soft.   Once the mixture cools down transfer it to a blender and grind it to a smooth paste...This is the base for our Matar paneer gravy.  Heat some oil and add Bay leaf, cinnamon stick, cumin seeds and turmeric powder.Mix it once and then add the Onion Tomato Puree and mix well.  Then add the masalas Cumin powder, Coriander powder, Garam masala powder, Chili powder.I have used Kashmiri chili powder to get a nice color,if you are using regular chili powder please reduce the amount of chili powder to 1 tsp.And also add Yogurt.After mixing all the ingredients add required water and salt.Cover and let it simmer for 8-10 minutes on a medium heat.   Once the gravy starts to thicken add the green peas (Fresh or frozen both works fine).Then add the paneer (I have used homemade paneer).Gently mix the paneer with the gravy and again cover and cook for 3-4 minutes on a medium heat.  Once the gravy is ready garnish it with some chopped coriander leaves and turn off the heat.You can also add a tbsp of cream on the top to get a creamy texture but since we have already added cashews the gravy looks just fine for me so I have not added any cream. Serve hot with your favorite main dishes.</t>
  </si>
  <si>
    <t>நமது மட்டர் பனீர் பேஸ் செய்ய ஒரு பாத்திரத்தில் சிறிது எண்ணெயை சூடாக்கவும். நறுக்கிய வெங்காயம் மற்றும் உப்பு சேர்த்து வேகவைக்கவும். வெங்காயம் தெளிவாக வதங்கியதும் முந்திரி, இஞ்சி, பூண்டு (நீங்கள் 1 டேபிள்ஸ்பூன் இஞ்சி பூண்டு விழுது கூட பயன்படுத்தலாம்) சேர்த்து ஒரு நிமிடம் வதக்கவும். முந்திரி அதிகம் சேர்க்க வேண்டாம், ஏனெனில் இது கிரேவியின் சுவையை மாற்றக்கூடும். பின்னர் நறுக்கிய தக்காளியைச் சேர்த்து தக்காளி பேஸ்டாக மாறும் வரை அல்லது மென்மையாகும் வரை சமைக்கவும். கலவை ஆறியதும் அதை ஒரு பிளெண்டரில் மாற்றி மென்மையான பேஸ்டாக அரைக்கவும்... இது நமது மட்டர் பனீர் கிரேவிக்கான அடிப்படை. சிறிது எண்ணெயை சூடாக்கி, பிரியாணி இலை, இலவங்கப்பட்டை குச்சி, சீரகம் மற்றும் மஞ்சள் தூள் சேர்க்கவும். இதை ஒரு முறை கலந்து, பின்னர் வெங்காய தக்காளி கூழ் சேர்த்து நன்கு கலக்கவும். பிறகு மசாலாப் பொருட்களைச் சேர்க்கவும். சீரகப் பொடி, கொத்தமல்லித் தூள், கரம் மசாலாப் பொடி, மிளகாய்த் தூள் ஆகியவற்றைச் சேர்க்கவும். நல்ல நிறத்திற்காக நான் காஷ்மீர் மிளகாய்த் தூளைப் பயன்படுத்தினேன், நீங்கள் வழக்கமான மிளகாய்த் தூளைப் பயன்படுத்துகிறீர்கள் என்றால், மிளகாய்த் தூளின் அளவை 1 டீஸ்பூன் ஆகக் குறைக்கவும். மேலும் தயிரையும் சேர்க்கவும். அனைத்துப் பொருட்களையும் கலந்த பிறகு, தேவையான தண்ணீர் மற்றும் உப்பு சேர்க்கவும். மூடி வைத்து, மிதமான தீயில் 8-10 நிமிடங்கள் கொதிக்க விடவும். கிரேவி கெட்டியாக ஆரம்பித்ததும் பச்சைப் பட்டாணியைச் சேர்க்கவும் (புதிய அல்லது உறைந்த இரண்டும் நன்றாக வேலை செய்யும்). பின்னர் பனீர் சேர்க்கவும் (நான் வீட்டில் தயாரிக்கப்பட்ட பனீர் பயன்படுத்தியுள்ளேன்). மெதுவாக பனீர் கிரேவியுடன் கலந்து, மீண்டும் மூடி, மிதமான தீயில் 3-4 நிமிடங்கள் சமைக்கவும். கிரேவி தயாரானதும், சிறிது நறுக்கிய கொத்தமல்லி இலைகளால் அலங்கரித்து, தீயை அணைக்கவும். கிரீமி நிறத்தைப் பெற நீங்கள் மேலே ஒரு டீஸ்பூன் க்ரீமையும் சேர்க்கலாம், ஆனால் நாங்கள் ஏற்கனவே முந்திரி சேர்த்துள்ளதால், கிரேவி எனக்கு நன்றாகத் தெரிகிறது, எனவே நான் எந்த க்ரீமையும் சேர்க்கவில்லை. உங்களுக்குப் பிடித்த முக்கிய உணவுகளுடன் சூடாகப் பரிமாறவும்.</t>
  </si>
  <si>
    <t>https://blogger.googleusercontent.com/img/b/R29vZ2xl/AVvXsEi0xMgEOMyKK-iZymxj_05Bi9jmurhRzVTgERaowt6beQeGZb3S_HSz4rsLdizqAwltldCTboevMAhTpJgZCquA_IfSn3MzW_eUZfU6c3h2fuENTghQd_sFh9FObbkdZsBLXCX54dIMFbl9/s640/Matar+Paneer+recipe.JPG</t>
  </si>
  <si>
    <t>https://youtu.be/_I41GDms9_0</t>
  </si>
  <si>
    <t>Broccoli Fry</t>
  </si>
  <si>
    <t>ப்ரோக்கோலி பொரியல்</t>
  </si>
  <si>
    <t>1 - Broccoli  (medium sized) 15 - Mint leaves 4 - Green Chilies 1 inch - Ginger 4 tbsp - Besan flour / Chickpea flour / Gram Flour 1/2 tsp - Garam Masala powder Water, Salt to Taste, Oil for Frying.</t>
  </si>
  <si>
    <t>1 - ப்ரோக்கோலி (நடுத்தர அளவு) 15 - புதினா இலைகள் 4 - பச்சை மிளகாய் 1 அங்குலம் - இஞ்சி 4 தேக்கரண்டி - கடலை மாவு / கடலை மாவு / கடலை மாவு 1/2 தேக்கரண்டி - கரம் மசாலா தூள் தண்ணீர், சுவைக்கு உப்பு, பொரிப்பதற்கு எண்ணெய்.</t>
  </si>
  <si>
    <t>Grind Mint leaves, Ginger, Green Chilies into a fine paste   Clean the broccoli and cut them into medium sized florets and add the ground paste,salt, Garam masala and besan flour (just to coat the surface of the florets) Sprinkle some water on the top and mix it well (very little amount of water).  Heat some oil in a kadai and fry the coated florets until its golden and crispy. The best method is to pan fry or bake the florets...For baking preheat the oven to 350 F and bale for 15-20 minutes tossing once in the midway.  Our Delicious brocoli fry is ready to be served with any gravy of your choice...</t>
  </si>
  <si>
    <t>புதினா இலைகள், இஞ்சி, பச்சை மிளகாய் ஆகியவற்றை நன்றாக விழுதாக அரைக்கவும் ப்ரோக்கோலியை சுத்தம் செய்து நடுத்தர அளவிலான பூக்களாக வெட்டி, அரைத்த விழுது, உப்பு, கரம் மசாலா மற்றும் கடலை மாவு (பூக்களின் மேற்பரப்பை பூசுவதற்கு மட்டும்) சேர்த்து மேலே சிறிது தண்ணீர் தெளித்து நன்றாக கலக்கவும் (மிகக் குறைந்த அளவு தண்ணீர்). ஒரு கடாயில் சிறிது எண்ணெயை சூடாக்கி, பூசப்பட்ட பூக்களை பொன்னிறமாகவும் மொறுமொறுப்பாகவும் வறுக்கவும். சிறந்த முறை பான் வறுக்கவும் அல்லது பூக்களை சுடவும்... பேக்கிங்கிற்கு அடுப்பை 350 F க்கு முன்கூட்டியே சூடாக்கி, நடுவில் ஒரு முறை 15-20 நிமிடங்கள் பேல் செய்யவும். எங்கள் சுவையான ப்ரோக்கோலி பொரியல் உங்களுக்கு விருப்பமான எந்த கிரேவியுடனும் பரிமாற தயாராக உள்ளது...</t>
  </si>
  <si>
    <t>https://blogger.googleusercontent.com/img/b/R29vZ2xl/AVvXsEgA9Bq9BQCNArb-CX7ytJQXNkcZzCeezZn71q4TstbIIIqvuGrW5Ju9_xcKudVMBmdJN9OC_ErsbDM33Zv90HFs8anQhOOIfkhyk98MUUfqbTHF0zfgTvHorumDAYxWrYrXDNE1OH1EhObs/s640/Brocoli+fry+recipe.JPG</t>
  </si>
  <si>
    <t>Mutton Curry</t>
  </si>
  <si>
    <t>மட்டன் கறி</t>
  </si>
  <si>
    <t>1 Kg - Mutton / Lamb, 1 tsp - Cumin seeds, 1 tsp - fennel seeds, 10 - Dry Red Chilies, 1 Tbsp - coriander seeds, 1/4 cup - grated coconut, 5-6 - Cashews, 2 Tbsp - Oil, 1,1,3 - Bay leaf, Cinnamon Stick, Cloves, 150g - Shallots (1 Cup), 1 - Tomato, 1 Tbsp - Ginger Garlic paste, 1/2 tsp - Turmeric powder, Handfull coriander leaves, Water, Salt to Taste.</t>
  </si>
  <si>
    <t>1 கிலோ - மட்டன் / ஆட்டுக்குட்டி, 1 தேக்கரண்டி - சீரகம், 1 தேக்கரண்டி - பெருஞ்சீரகம், 10 - உலர்ந்த சிவப்பு மிளகாய், 1 தேக்கரண்டி - கொத்தமல்லி விதைகள், 1/4 கப் - துருவிய தேங்காய், 5-6 - முந்திரி, 2 தேக்கரண்டி - எண்ணெய், 1,1,3 - பிரியாணி இலை, இலவங்கப்பட்டை, கிராம்பு, 150 கிராம் - வெங்காயத்தாள் (1 கப்), 1 - தக்காளி, 1 தேக்கரண்டி - இஞ்சி பூண்டு விழுது, 1/2 தேக்கரண்டி - மஞ்சள் தூள், ஒரு கைப்பிடி கொத்தமல்லி இலைகள், தண்ணீர், சுவைக்கேற்ப உப்பு.</t>
  </si>
  <si>
    <t>To make fresh mutton masala dry roast coriander seeds, fennel, cumin seeds and dry red chilies for a couple of minutes on a medium heat.To get best results do not use store bought mutton masala powder.  Transfer the roasted spices to a blender add cashews, coconut and grind it to a fine powder. You can also use this masala for making chicken curry.  To make Mutton Curry heat oil in a cooker, whole spices (Bay leaf, cinnamon, cloves) and then add a cup of shallots (Shallots adds a unique taste to the recipe) You can also use onions.Add required salt and saute until the shallots are golden brown.   Once the onions are browned add Ginger Garlic paste, Turmeric powder, and the freshly ground mutton masala (from step 1) and give it a quick stir.Then add 1 chopped tomato and cook for a few minutes or until everything turns into a paste.   Add the mutton pieces and mix it well with the gravy.Add required water and salt. Cover and cook for 4-5 whistles on a medium heat or until the meat is soft and tender.  You can see the oil oozing out.Finally add some chopped coriander leaves and it is ready to serve. Our Delicious Mutton Kulambu is ready.</t>
  </si>
  <si>
    <t>https://blogger.googleusercontent.com/img/b/R29vZ2xl/AVvXsEg2mrYc_DWuPFHRKJ2I_IZNcKQADGZTKZ6cRy0CWiV_cI9QNtekkBH8NiVgq8MfMdVeYfLsfRWlkpUCbDDRhk0JItqBkdyHLmI5v3CTlJVoNZ7-XLrC_FQXbb6_RkdjR4R4hH4W62AM6X_z/s640/Mutton+Curry.jpg</t>
  </si>
  <si>
    <t>https://youtu.be/DySpmrTBedc</t>
  </si>
  <si>
    <t>Chettinad Chicken Curry</t>
  </si>
  <si>
    <t>செட்டிநாடு கோழி கறி</t>
  </si>
  <si>
    <t>1/2 kg - Chicken (with bone), 1 inch - Cinnamon stick, 1 - Star anise, 3  - Cardamom pods, 4 - Cloves, 2 tsp - Cumin seeds, 1 tsp - Pepper Corns, 1 tsp - Fennel seeds, 4 - Dry Red Chilies, 1 Tbsp - Coriander seeds, 1/4 cup - Grated Coconut, 5 - Cashews, 2 Tbsp - Oil, 2  - Bay leaves, 1(250 g) - Shallots, 1 Tbsp - Ginger Garlic paste, 1 (100g) - Tomato, 1/2 tsp - Turmeric powder, 1-2 Tbsp - Red Chili Powder, Handfull Coriander leaves, 2 cup - Water, Salt to Taste.</t>
  </si>
  <si>
    <t>1/2 கிலோ - கோழி (எலும்புடன்), 1 அங்குலம் - இலவங்கப்பட்டை, 1 - நட்சத்திர சோம்பு, 3 - ஏலக்காய் காய்கள், 4 - கிராம்பு, 2 தேக்கரண்டி - சீரகம், 1 தேக்கரண்டி - மிளகு, 1 தேக்கரண்டி - வெந்தயம், 4 - உலர்ந்த சிவப்பு மிளகாய், 1 தேக்கரண்டி - கொத்தமல்லி விதைகள், 1/4 கப் - துருவிய தேங்காய், 5 - முந்திரி, 2 தேக்கரண்டி - எண்ணெய், 2 - பிரியாணி இலைகள், 1 (250 கிராம்) - வெங்காயத்தாள், 1 தேக்கரண்டி - இஞ்சி பூண்டு விழுது, 1 (100 கிராம்) - தக்காளி, 1/2 தேக்கரண்டி - மஞ்சள் தூள், 1-2 தேக்கரண்டி - சிவப்பு மிளகாய் தூள், கைப்பிடி அளவு கொத்தமல்லி இலைகள், 2 கப் - தண்ணீர், சுவைக்கேற்ப உப்பு.</t>
  </si>
  <si>
    <t>To make chettinad masala dry roast cinnamon, star anise, cloves, cardamom, coriander seeds, pepper corns, fennel seeds, cumin seeds and dry red chilies for a couple of minutes.Once you feel the nice aroma of the roasted spices add grated coconut, cashews and roast it until the coconut turns a little golden.  Once the mixture cools down transfer this to a bender and grind it to a fine powder.You can use this chettinad masala for making many other chettinad recipes like Chettinad mutton Curry ,Chettinad prawns,Chettinad crabs etc...  o make Chettinad chicken Curry heat some oil in a pan ,add 2 bay leaves then add a cup of shallots (always prefer to use shallots while making chettinad recipes because shallots adds a unique taste and flavor to the curry).some salt to quicken the process of cooking. Once the shallots are translucent add ginger garlic paste, turmeric powder, chili powder and also add the freshly ground chettinad masala and mix it once.  Immediately after mixing add chopped tomatoes,required water,salt.Cover and cook until it comes to a good boil. If you want a thick gravy add less water else you can adjust accordingly.  Then add the chicken pieces (preferably the one with bones to get a good taste).Again cover and cook for 15 - 20 minutes on a medium heat.  Once the chicken is thoroughly cooked add some chopped coriander leaves for garnishing and turn off the heat..You can serve this Delicious Chettinad Chicken Gravy with rice, chapathi and lot more...Happy Cooking!!!</t>
  </si>
  <si>
    <t>செட்டிநாடு மசாலா செய்ய இலவங்கப்பட்டை, நட்சத்திர சோம்பு, கிராம்பு, ஏலக்காய், கொத்தமல்லி விதைகள், மிளகு சோளம், பெருஞ்சீரகம் விதைகள், சீரகம் மற்றும் உலர்ந்த சிவப்பு மிளகாய் ஆகியவற்றை இரண்டு நிமிடங்கள் வறுக்கவும். வறுத்த மசாலாப் பொருட்களின் நல்ல நறுமணத்தை உணர்ந்தவுடன், துருவிய தேங்காய், முந்திரி சேர்த்து தேங்காய் சிறிது பொன்னிறமாகும் வரை வறுக்கவும். கலவை குளிர்ந்ததும், இதை ஒரு வளைவில் மாற்றி நன்றாகப் பொடியாக அரைக்கவும். செட்டிநாடு மட்டன் கறி, செட்டிநாடு இறால், செட்டிநாடு நண்டு போன்ற பல செட்டிநாடு ரெசிபிகளை தயாரிக்க இந்த செட்டிநாடு மசாலாவைப் பயன்படுத்தலாம்... செட்டிநாடு சிக்கன் கறி ஒரு கடாயில் சிறிது எண்ணெயைச் சூடாக்கி, 2 பிரியாணி இலைகளைச் சேர்த்து, ஒரு கப் வெங்காயத்தைச் சேர்க்கவும் (செட்டிநாடு ரெசிபிகளைச் செய்யும்போது வெங்காயத்தைப் பயன்படுத்துவதை எப்போதும் விரும்புங்கள், ஏனெனில் வெங்காயம் கறிக்கு ஒரு தனித்துவமான சுவையையும் சுவையையும் சேர்க்கிறது). சமைக்கும் செயல்முறையை விரைவுபடுத்த சிறிது உப்பு. வெங்காயம் ஒளிஊடுருவக்கூடியதாக மாறியதும், இஞ்சி பூண்டு விழுது, மஞ்சள் தூள், மிளகாய் தூள் மற்றும் புதிதாக அரைத்த செட்டிநாடு மசாலாவைச் சேர்த்து ஒரு முறை கலக்கவும். கலந்தவுடன் உடனடியாக நறுக்கிய தக்காளி, தேவையான தண்ணீர், உப்பு சேர்த்து நன்கு கொதிக்கும் வரை சமைக்கவும். கெட்டியான கிரேவி வேண்டுமென்றால் குறைவான தண்ணீரைச் சேர்க்கவும், இல்லையெனில் அதற்கேற்ப சரிசெய்யலாம். பின்னர் சிக்கன் துண்டுகளைச் சேர்க்கவும் (நல்ல சுவைக்கு எலும்புகள் உள்ளதைச் சேர்க்கவும்). மீண்டும் மூடி வைத்து மிதமான தீயில் 15 - 20 நிமிடங்கள் சமைக்கவும். சிக்கன் நன்கு வெந்தவுடன், அலங்கரிக்க சிறிது நறுக்கிய கொத்தமல்லி இலைகளைச் சேர்த்து அடுப்பை அணைக்கவும்.. இந்த சுவையான செட்டிநாடு சிக்கன் கிரேவியை சாதம், சப்பாத்தி மற்றும் பலவற்றுடன் பரிமாறலாம்...சமையல் மகிழ்ச்சி!!!</t>
  </si>
  <si>
    <t>https://blogger.googleusercontent.com/img/b/R29vZ2xl/AVvXsEiHlQKopq7XEDH_CMAZ07g8z69tSiM0Vbr3qlcLvCsSIJ4P1NXxiHqP-1Jg7L36lwRHa4mmMpInyZJ03hekthpbD66bOnwqYjbYD5JcrSqLxanscJo9Wy1OKoGV9aP3fIO90BLXOLZ2pz2S/s640/Chettinad+Chicken+Curry.JPG</t>
  </si>
  <si>
    <t>https://youtu.be/0P-_1JUuZaQ</t>
  </si>
  <si>
    <t>Chicken Ghee Roast</t>
  </si>
  <si>
    <t>கோழி நெய் வறுவல்</t>
  </si>
  <si>
    <t>1 kg - Chicken (with bone), 10 - Kashmiri Chilies, 1 Tbsp - Coriander Seeds, 2 tsp - cumin seeds, 1 tsp - Fennel Seeds, 1 Tbsp - Pepper Corns, 6-7 - Dry red chilies,  2 - Piece Ginger, 4 - Cloves of Garlic, 2 Tbsp - Lemon juice, 1/2 tsp - Turmeric Powder, 4 Tbsp - Yogurt / Curd, 1/4 cup - Ghee / Clarified butter, 1(150g) - Onion (finely chopped), 1 tsp - Jaggery or Sugar, Curry Leaves for Garnishing, Salt to taste.</t>
  </si>
  <si>
    <t>1 கிலோ - கோழி (எலும்புடன்), 10 - காஷ்மீரி மிளகாய், 1 டேபிள்ஸ்பூன் - கொத்தமல்லி விதைகள், 2 டேபிள்ஸ்பூன் - சீரகம், 1 டேபிள்ஸ்பூன் - பெருஞ்சீரகம் விதைகள், 1 டேபிள்ஸ்பூன் - மிளகு, 6-7 - உலர்ந்த சிவப்பு மிளகாய், 2 - துண்டு இஞ்சி, 4 - பூண்டு கிராம்பு, 2 டேபிள்ஸ்பூன் - எலுமிச்சை சாறு, 1/2 டேபிள்ஸ்பூன் - மஞ்சள் தூள், 4 டேபிள்ஸ்பூன் - தயிர் / தயிர், 1/4 கப் - நெய் / தெளித்த வெண்ணெய், 1 (150 கிராம்) - வெங்காயம் (நன்றாக நறுக்கியது), 1 டேபிள்ஸ்பூன் - வெல்லம் அல்லது சர்க்கரை, அலங்கரிக்க கறிவேப்பிலை, சுவைக்கேற்ப உப்பு.</t>
  </si>
  <si>
    <t>To make Chettinad masala dry roast Kashmiri chilies separately.Then in the same pan roast coriander seeds, cumin seeds, Fennel seeds, pepper corns and dry red chilies.The reason why we are roasting separately is because the kashmiri chilies are larger in size and all other ingredients are much smaller compared to it. The seeds might easily get burnt so to avoid burning we are roasting them separately.  Grind the roasted ingredients along with a piece of ginger, garlic, lemon juice and grind it into a smooth and a thick paste.If you find harder to grind then add some water and then grind (I have added 2 tbsp of water while grinding).  Clean the chicken and cut them into medium sized pieces (Preferably Chicken with bones).Apply the ground paste and also add turmeric powder ,Yogurt, required salt and coat the chicken pieces well with the masalas. Allow it to marinate for a minimum of 1 hour (Overnight marination is also good).  To make chicken Ghee roast heat 1/4 cup Ghee,add one finely chopped onion, a pinch of salt and saute until the onions are translucent. then add the marinated chicken pieces one by one.Dont waste any masalas add all the left over masalas. Add a small piece of Jaggery or a tsp of sugar to get a balanced taste and cook until the chicken it fully done.Stir the pieces in between.   It may take around 15 - 20 minutes (on a medium heat) depending on the size of the chicken pieces.Chicken will have a crispy texture on the outside when it is fully done.Finally add some curry leaves to give it an extra flavor and turn off the heat.  Our Yummilicious Chicken Ghee roast is ready to be served..Happy Cooking !!!!</t>
  </si>
  <si>
    <t>செட்டிநாடு மசாலா செய்ய காஷ்மீரி மிளகாயை தனித்தனியாக வறுக்கவும். பின்னர் அதே வாணலியில் கொத்தமல்லி விதைகள், சீரகம், பெருஞ்சீரகம், மிளகு மற்றும் உலர்ந்த சிவப்பு மிளகாய் ஆகியவற்றை வறுக்கவும். காஷ்மீர் மிளகாய் அளவு பெரியதாகவும், மற்ற அனைத்து பொருட்களும் அதனுடன் ஒப்பிடும்போது மிகச் சிறியதாகவும் இருப்பதால், நாங்கள் தனித்தனியாக வறுக்கிறோம். விதைகள் எளிதில் எரிந்து போகக்கூடும், எனவே எரிவதைத் தவிர்க்க அவற்றை தனித்தனியாக வறுக்கிறோம். வறுத்த பொருட்களை ஒரு துண்டு இஞ்சி, பூண்டு, எலுமிச்சை சாறுடன் அரைத்து, மென்மையான மற்றும் அடர்த்தியான பேஸ்டாக அரைக்கவும். அரைக்க கடினமாக இருந்தால், சிறிது தண்ணீர் சேர்த்து அரைக்கவும் (அரைக்கும் போது 2 டேபிள்ஸ்பூன் தண்ணீர் சேர்த்துள்ளேன்). கோழியை சுத்தம் செய்து நடுத்தர அளவிலான துண்டுகளாக வெட்டவும் (எலும்புகளுடன் கூடிய சிக்கன் சிறந்தது). அரைத்த பேஸ்ட்டைப் பூசி, மஞ்சள் தூள், தயிர், தேவையான உப்பு சேர்த்து, கோழி துண்டுகளை மசாலாக்களால் நன்கு பூசவும். குறைந்தபட்சம் 1 மணி நேரம் ஊற விடவும் (இரவு முழுவதும் மரைனேட் செய்வது நல்லது). கோழி நெய் வறுக்க 1/4 கப் நெய்யை சூடாக்கி, அதில் ஒரு சிட்டிகை உப்பு சேர்த்து, வெங்காயம் நன்கு வதங்கும் வரை வதக்கவும். பின்னர் ஊறவைத்த கோழி துண்டுகளை ஒவ்வொன்றாக சேர்க்கவும். மசாலாவை வீணாக்காதீர்கள், மீதமுள்ள மசாலாக்களைச் சேர்க்கவும். ஒரு சிறிய துண்டு வெல்லம் அல்லது ஒரு தேக்கரண்டி சர்க்கரையைச் சேர்த்து, சீரான சுவையைப் பெற, கோழி முழுவதுமாக வேகும் வரை சமைக்கவும். இடையில் துண்டுகளை கிளறவும். கோழி துண்டுகளின் அளவைப் பொறுத்து (நடுத்தர வெப்பத்தில்) சுமார் 15 - 20 நிமிடங்கள் ஆகலாம். கோழி முழுமையாக வேகும் போது வெளிப்புறத்தில் ஒரு மொறுமொறுப்பான அமைப்பு இருக்கும். இறுதியாக சில கறிவேப்பிலைகளைச் சேர்த்து, கூடுதல் சுவையைக் கொடுத்து, தீயை அணைக்கவும். எங்கள் சுவையான கோழி நெய் வறுவல் பரிமாற தயாராக உள்ளது..சமையல் மகிழ்ச்சி!!!!</t>
  </si>
  <si>
    <t>https://blogger.googleusercontent.com/img/b/R29vZ2xl/AVvXsEj_EjuiC_K665b8EHLRSgNQOLmAz1qvRVfTNvk7bpfFaJONueYLZqwKBrUy2LhW473AO44BquDbhZnzyKyy2kJjt0sjkXPFBsXD0V5q20M-kAiFBU_rl-NEYKrjbtdNVxkXSXRb8-H5O29O/s640/Chicken+Ghee+Roast+Recipe.JPG</t>
  </si>
  <si>
    <t>https://youtu.be/LT0qHSrWmOE</t>
  </si>
  <si>
    <t>Nethili Meen Kulambu</t>
  </si>
  <si>
    <t>நெத்திலி மீன் குழம்பு</t>
  </si>
  <si>
    <t>1/4 kg - Anchovy Fish , 1/4 tsp - Mustard Seeds, 1/2 tsp - Fenugreek Seeds , 1/2 tsp - Pepper corns, 1/2 tsp - Cumin Seeds, 3 - Cloves Garlic, 10-12 - Shallots , 1 - Tomato, 1/2 tsp - Turmeric powder, 2 tsp - Chili Powder, 3 tsp - Coriander Powder, 1 cup - Grated Coconut, 1 - Gooseberry size lemon (puree), 2 - Green Chilies, 10 - pieces Raw mangoes, Required water, few Curry leaves for Garnishing, 2 Tbsp - Oil, Salt to taste.</t>
  </si>
  <si>
    <t>1/4 கிலோ - நெத்திலி மீன் , 1/4 தேக்கரண்டி - கடுகு விதைகள், 1/2 தேக்கரண்டி - வெந்தய விதைகள் , 1/2 தேக்கரண்டி - மிளகு சோளம், 1/2 தேக்கரண்டி - சீரகம் விதைகள், 3 - கிராம்பு பூண்டு, 10-12 - வெங்காயத்தாள் , 1 - தக்காளி, 1/2 தேக்கரண்டி - மஞ்சள் தூள், 2 தேக்கரண்டி - மிளகாய் தூள், 3 தேக்கரண்டி - கொத்தமல்லி தூள், 1 கப் - துருவிய தேங்காய், 1 - நெல்லிக்காய் அளவு எலுமிச்சை (கூழ்), 2 - பச்சை மிளகாய், 10 - துண்டுகள் பச்சை மாம்பழம், தேவையான தண்ணீர், அலங்கரிக்க சில கறிவேப்பிலை, 2 தேக்கரண்டி - எண்ணெய், சுவைக்கேற்ப உப்பு.</t>
  </si>
  <si>
    <t>Heat a tbsp oil and add mustard seeds,cumin seeds,fenugreek seeds and pepper corns to temper.once you smell the aroma of the fenugreek seeds add garlic and shallots and saute it for a minute.Also add salt.  Add turmeric powder, Chili powder, coriander powder (my mom always says to use a little more coriander powder than chili power while making fish curry) mix it once,be careful do not burn the masalas. Then add 1 tomato,some water and cook for 5 minutes until the tomatoes are soft.  Allow the mixture to cool completely and grind it along with 1 cup of grated coconut.(only use fresh coconut).  again heat a tbsp of oil,add the ground coconut paste and then add green chilies,green mangoes and tamarind extract.Add required water,salt and cook for 10 minutes until the raw smell of the masala is gone.You can also add drumstick.Drumstick adds a unique taste to the anchovy fish curry.  Now add the cleaned Anchovies and mix well with the gravy.Cover and cook for 5-6 minutes.I have removed the head and tail of the fish.you can also remove the bones of the fish,Children will love it.  Since the anchovies are tiny little fishes they will cook very fast.Once the fish is done add few curry leaves and turn off the heat.</t>
  </si>
  <si>
    <t>ஒரு தேக்கரண்டி எண்ணெயை சூடாக்கி, கடுகு, சீரகம், வெந்தயம் மற்றும் மிளகுத்தூள் சேர்த்து வேக வைக்கவும். வெந்தயத்தின் வாசனை வந்ததும், பூண்டு மற்றும் வெங்காயத்தாள் சேர்த்து ஒரு நிமிடம் வதக்கவும். உப்பு சேர்க்கவும். மஞ்சள் தூள், மிளகாய் தூள், கொத்தமல்லி தூள் (மீன் கறி செய்யும்போது மிளகாய் தூளை விட சற்று அதிகமாக கொத்தமல்லி தூள் பயன்படுத்த வேண்டும் என்று என் அம்மா எப்போதும் சொல்வார்கள்) சேர்த்து ஒரு முறை கலக்கவும், மசாலா எரியாமல் கவனமாக இருங்கள். பின்னர் 1 தக்காளி, சிறிது தண்ணீர் சேர்த்து தக்காளி மென்மையாகும் வரை 5 நிமிடங்கள் சமைக்கவும். கலவையை முழுவதுமாக ஆற வைத்து, 1 கப் துருவிய தேங்காயுடன் சேர்த்து அரைக்கவும். (புதிய தேங்காயை மட்டும் பயன்படுத்தவும்). மீண்டும் ஒரு தேக்கரண்டி எண்ணெயை சூடாக்கி, அரைத்த தேங்காய் விழுது சேர்த்து, பின்னர் பச்சை மிளகாய், பச்சை மாங்காய் மற்றும் புளி சாறு சேர்க்கவும். தேவையான தண்ணீர், உப்பு சேர்த்து, மசாலாவின் பச்சை வாசனை போகும் வரை 10 நிமிடங்கள் சமைக்கவும். நீங்கள் முருங்கைக்காயையும் சேர்க்கலாம். முருங்கைக்காய் நெத்திலி மீன் கறிக்கு ஒரு தனித்துவமான சுவையை சேர்க்கிறது. இப்போது சுத்தம் செய்த நெத்திலியைச் சேர்த்து குழம்புடன் நன்றாகக் கலக்கவும். மூடி வைத்து 5-6 நிமிடங்கள் சமைக்கவும். மீனின் தலை மற்றும் வாலை நீக்கிவிட்டேன். மீனின் எலும்புகளையும் நீக்கலாம், குழந்தைகள் இதை விரும்புவார்கள். நெத்திலி சிறிய மீன்கள் என்பதால் அவை மிக விரைவாக வெந்துவிடும். மீன் வெந்ததும் சில கறிவேப்பிலைகளைச் சேர்த்து அடுப்பை அணைக்கவும்.</t>
  </si>
  <si>
    <t>https://blogger.googleusercontent.com/img/b/R29vZ2xl/AVvXsEgXVsgTMc8eN89zC98Vzf7ib3FNpLuHbM069G09OU19ZSkuV90gtbzLRkCG8U-Bj5LmNd33LUyk6ngYa3U-17hqRHpKXtEIB0mdMyuf_DmVTj1xizq4j4FhWNJxq0vCNbFEGB1HUpH6om_H/s640/Nethili+Meen+Kulambu.JPG</t>
  </si>
  <si>
    <t>Snake Gourd and prawns</t>
  </si>
  <si>
    <t>பாம்புக்காய் மற்றும் இறால்</t>
  </si>
  <si>
    <t>1 - Medium sized Snake Gourd, 250g - Prawns, 10 - -Shallots, 1/4 tsp - Mustard Seeds, 1/2 tsp - Cumin Seeds, 2 - Dry Red Chilies, few Curry Leaves, 1/4 tsp  - Turmeric powder, 2  - Green Chilies, 1/2 tsp  - Chili Powder (optional), 1/2 cup - Cup Grated Coconut, 1 Tbsp - Coconut Oil, Salt to taste.</t>
  </si>
  <si>
    <t>1 - நடுத்தர அளவிலான பாம்புக்காய், 250 கிராம் - இறால், 10 - - வெங்காயத்தாள், 1/4 தேக்கரண்டி - கடுகு விதைகள், 1/2 தேக்கரண்டி - சீரகம் விதைகள், 2 - உலர்ந்த சிவப்பு மிளகாய், சில கறிவேப்பிலை, 1/4 தேக்கரண்டி - மஞ்சள் தூள், 2 - பச்சை மிளகாய், 1/2 தேக்கரண்டி - மிளகாய் தூள் (விரும்பினால்), 1/2 கப் - துருவிய தேங்காய், 1 தேக்கரண்டி - தேங்காய் எண்ணெய், சுவைக்கேற்ப உப்பு.</t>
  </si>
  <si>
    <t>In a pan heat 1 tbsp Coconut oil (Coconut oil enhances the taste and adds a unique flavor to the Kootu. To temper add some mustard seeds, cumin seeds,dried red chilies, some curry leaves.Then add the shallots (small onions) and green Chilies and saute it for a minute.   Add Turmeric powder,then add the Snake Gourd (Pudalangai) cut into small pieces,salt.Cover and cook it for 5-10 minutes.Add 1/4 cup of water if required.  Once the Snake Gourd is half cooked add the prawns (shrimp), Chili powder (Chili powder is optional) mix it once.   Add the Grated Coconut and cook until the prawns are fully cooked (I have used medium sized prawns so it took 10 minutes).  Our Delicious Pudalangai Prawns Kootu is Ready.Give this a try and post your Feedback...Happy Cooking !!!</t>
  </si>
  <si>
    <t>ஒரு கடாயில் 1 டேபிள் ஸ்பூன் தேங்காய் எண்ணெயை சூடாக்கவும் (தேங்காய் எண்ணெய் கூட்டுக்கு சுவையை அதிகரித்து, தனித்துவமான சுவையை சேர்க்கிறது. சிறிது கடுகு, சீரகம், உலர்ந்த சிவப்பு மிளகாய், சிறிது கறிவேப்பிலை சேர்க்கவும். பின்னர் வெங்காயம் (சிறிய வெங்காயம்) மற்றும் பச்சை மிளகாய் சேர்த்து ஒரு நிமிடம் வதக்கவும். மஞ்சள் தூள் சேர்த்து, பின்னர் சிறிய துண்டுகளாக நறுக்கிய பாம்புக்காய் (புடலங்காய்) சேர்த்து, உப்பு சேர்த்து மூடி வைத்து 5-10 நிமிடங்கள் சமைக்கவும். தேவைப்பட்டால் 1/4 கப் தண்ணீர் சேர்க்கவும். பாம்புக்காய் பாதி வெந்தவுடன் இறால் (இறால்), மிளகாய் தூள் (விருப்பப்பட்டால்) சேர்த்து ஒரு முறை கலக்கவும். தேங்காய் துருவலைச் சேர்த்து, இறால் முழுமையாக வேகும் வரை சமைக்கவும் (நான் நடுத்தர அளவிலான இறாலைப் பயன்படுத்தியுள்ளேன், எனவே இது 10 நிமிடங்கள் ஆனது). எங்கள் சுவையான புடலங்காய் இறால் கூட்டு தயார். இதை முயற்சி செய்து உங்கள் கருத்தைப் பதிவு செய்யவும்...சமையல் மகிழ்ச்சி !!!</t>
  </si>
  <si>
    <t>https://blogger.googleusercontent.com/img/b/R29vZ2xl/AVvXsEhBFL3AEJR_JSWVMz3fOvFtIpCmFnlydJeJ7sfcILQFrRMdGjLsfGEOYuAd7rMcogDNFeWnaQ003LB3QII_GEyCWUjh0Hwr2uScVXF0IjfZUewMCL996EDjzAwioIgD7RvbERJexoGbLfBC/s640/Snake+Gourd+porial.JPG</t>
  </si>
  <si>
    <t>ரிப்பன் பக்கோடா</t>
  </si>
  <si>
    <t>1 cup - Rice flour, 1/2 cup - Besan , 1 Tbsp - Butter, 1 tsp - Sesame seeds, 1 tsp - Chili powder, 1/4 tsp -  Asafoetida , 1 cup - water (approximately ), Salt to taste, Oil for Frying.</t>
  </si>
  <si>
    <t>1 கப் - அரிசி மாவு, 1/2 கப் - கடலை மாவு, 1 டேபிள்ஸ்பூன் - வெண்ணெய், 1 டேபிள்ஸ்பூன் - எள், 1 டேபிள்ஸ்பூன் - மிளகாய் தூள், 1/4 டேபிள்ஸ்பூன் - பெருங்காயம், 1 கப் - தண்ணீர் (தோராயமாக), ருசிக்க உப்பு, பொரிப்பதற்கு எண்ணெய்.</t>
  </si>
  <si>
    <t>Combine rice flour, besan  (கடலை மாவு ) ,chili powder, Sesame seeds(எள்ளு) you can also use cumin seeds if you like, Hing (காயம்) , Butter and salt in a mixing bowl and mix everything. once all the ingredients are well combined gradually add water and form a firm and a non-sticky dough.Don't add too much of water at once add little at a time and form a dough.  This is the attachment we need for making the ribbon Pakoda. Fill the dough in a murukku mold (Idiyappam mold).Check the temperature of oil.Oil should be in a medium heat,to check the temperature if you drop a small portion of the dough it should float immediately on the surface of the oil.If it stays down for a long time then the oil is not hot enough. And at the same time if the temperature of the oil is very hot then the pakodas may get burnt soon and will be very hard.   Gently rotate the handle and fry the murukku until golden. Do not press the dough in the same place gently move your hands in circular motion and fry the murukku. If it accumulates in the same place then the pakodas will not be fried evenly and they wont turn crispy.If they are not fried properly then the pakodas will turn soft soon and wont stay crispier.  Once they are golden on the one side flip it to the other side and cook until the bubble cease. Then drain the excess oil and after the pakodas comes to room temperature store them in an air tight container and serve whenever required.   Our Delicious Crunchy Ribbon Pakodas are ready to be served with some Cardamom tea.Happy Cooking dear friends !!!!</t>
  </si>
  <si>
    <t>அரிசி மாவு, கடலை மாவு, மிளகாய் தூள், எள்ளு, சீரகம், ஹிங் (காயம்), வெண்ணெய் மற்றும் உப்பு ஆகியவற்றை ஒரு கலவை பாத்திரத்தில் சேர்த்து எல்லாவற்றையும் கலக்கவும். அனைத்து பொருட்களும் நன்றாக கலந்தவுடன், படிப்படியாக தண்ணீரைச் சேர்த்து, ஒரு உறுதியான மற்றும் ஒட்டாத மாவை உருவாக்கவும். ஒரே நேரத்தில் அதிக தண்ணீர் சேர்க்க வேண்டாம், சிறிது சிறிதாக சேர்த்து மாவை உருவாக்கவும். ரிப்பன் பக்கோடா செய்வதற்கு நமக்குத் தேவையான இணைப்பு இதுதான். மாவை ஒரு முறுக்கு அச்சுக்குள் (இடியப்பம் அச்சு) நிரப்பவும். எண்ணெயின் வெப்பநிலையைச் சரிபார்க்கவும். எண்ணெய் மிதமான சூட்டில் இருக்க வேண்டும், மாவின் ஒரு சிறிய பகுதியை நீங்கள் கீழே போட்டால் அது உடனடியாக எண்ணெயின் மேற்பரப்பில் மிதக்க வேண்டும். அது நீண்ட நேரம் கீழே இருந்தால் எண்ணெய் போதுமான அளவு சூடாகாது. அதே நேரத்தில் எண்ணெயின் வெப்பநிலை மிகவும் சூடாக இருந்தால் பக்கோடாக்கள் விரைவில் எரிந்து மிகவும் கடினமாகிவிடும். கைப்பிடியை மெதுவாகச் சுழற்றி முறுக்கை பொன்னிறமாகும் வரை வறுக்கவும். மாவை அதே இடத்தில் அழுத்த வேண்டாம், மெதுவாக உங்கள் கைகளை வட்ட இயக்கத்தில் நகர்த்தி முறுக்கை வறுக்கவும். அது ஒரே இடத்தில் குவிந்தால் பக்கோடாக்கள் சமமாக வறுக்கப்படாது, மேலும் அவை மொறுமொறுப்பாக மாறாது. அவை சரியாக வறுக்கப்படாவிட்டால் பக்கோடாக்கள் விரைவில் மென்மையாக மாறி மொறுமொறுப்பாக இருக்காது. அவை ஒரு பக்கம் பொன்னிறமாக மாறியதும், மறுபுறம் திருப்பி குமிழி நிற்கும் வரை சமைக்கவும். பின்னர் அதிகப்படியான எண்ணெயை வடித்து, பக்கோடாக்கள் அறை வெப்பநிலைக்கு வந்த பிறகு, காற்று புகாத கொள்கலனில் சேமித்து, தேவைப்படும் போதெல்லாம் பரிமாறவும். எங்கள் சுவையான மொறுமொறுப்பான ரிப்பன் பக்கோடாக்கள் ஏலக்காய் தேநீருடன் பரிமாற தயாராக உள்ளன. இனிய சமையல் அன்பு நண்பர்களே !!!!</t>
  </si>
  <si>
    <t>https://blogger.googleusercontent.com/img/b/R29vZ2xl/AVvXsEgat3aV65BlhQ4y6m8YV4dBK1uHAqLaRXwcVioDuBTfChlwuToUqnDQCgnCYpELQfuu2yhcNuGOKAMhG9wOpVqkBibvjjtlRH8bIheq5Dx7tFB2Fogzlx3zjc6DBY3td2_pAH4TKRb_b918/s640/Ribbon+Pakoda.JPG</t>
  </si>
  <si>
    <t>Thalapakattu Mutton Biryani</t>
  </si>
  <si>
    <t>தலபக்கட்டு மட்டன் பிரியாணி</t>
  </si>
  <si>
    <t>1 - Star anise, 1  - mace, 1 inch - Cinnamon stick, 4  - cardamom pods, 4 - cloves, 1 tsp - Cumin seeds, 1/2 tsp - fennel seeds, 1 tsp - pepper corns, 2 tsp - coriander seeds, 2 Tbsp - Ghee / Clarified Butter, 2 Tbsp - Oil, 2  - bay leaves ,  1 inch - Cinnamon, 1(200 g) -  Onion , 2 Tbsp - Ginger Garlic paste, 3 - green Chilies, 1/2 tsp - Turmeric powder, 1-2 Tbsp - Red Chili Powder, 1(150g) - Tomato, 1/2 cup - Yogurt / Curd, Handfull coriander and Mint leaves, 500g - Mutton (lamb), 2 cups - Seeraga Samba Rice, 3 cups - Water, Salt to Taste.</t>
  </si>
  <si>
    <t>1 - நட்சத்திர சோம்பு, 1 - ஜாதிக்காய், 1 அங்குலம் - இலவங்கப்பட்டை, 4 - ஏலக்காய் காய்கள், 4 - கிராம்பு, 1 தேக்கரண்டி - சீரகம், 1/2 தேக்கரண்டி - பெருஞ்சீரகம், 1 தேக்கரண்டி - மிளகு, 2 தேக்கரண்டி - கொத்தமல்லி விதைகள், 2 தேக்கரண்டி - நெய் / தெளித்த வெண்ணெய், 2 தேக்கரண்டி - எண்ணெய், 2 - பிரியாணி இலைகள், 1 அங்குலம் - இலவங்கப்பட்டை, 1 (200 கிராம்) - வெங்காயம், 2 தேக்கரண்டி - இஞ்சி பூண்டு விழுது, 3 - பச்சை மிளகாய், 1/2 தேக்கரண்டி - மஞ்சள் தூள், 1-2 தேக்கரண்டி - சிவப்பு மிளகாய் தூள், 1 (150 கிராம்) - தக்காளி, 1/2 கப் - தயிர் / தயிர், ஒரு கைப்பிடி கொத்தமல்லி மற்றும் புதினா இலைகள், 500 கிராம் - மட்டன் (ஆட்டுக்குட்டி), 2 கப் - சீரக சம்பா அரிசி, 3 கப் - தண்ணீர், சுவைக்கு உப்பு.</t>
  </si>
  <si>
    <t>To make biryani masala grind cinnamon,star anise, mace, cloves, cardamom,  fennel seeds, cumin seeds, pepper corns, coriander seeds into a fine powder.You can also dry roast the ingredients and then grind.  In a pressure cooker heat equal quantities of oil and ghee,add 2 bay leaves,cinnamon stick and then add sliced onions,required salt and saute until the onions are golden brown. Then add ginger garlic paste ,Slit Green chilies and cook until the raw smell is gone.then add turmeric powder, Chili powder (as per your spice preference 1-2 tbsp) and also add the freshly ground biryani masala powder(from step 1) and mix it once.  Immediately after adding the masalas add sliced tomatoes and cook until the tomatoes are soft.It is important to cook the tomatoes well otherwise we will end up with tomato chunks in our biryani. Once the tomatoes are soft add 1/2 cup of yogurt / curd and mix it well.   Add the Mutton pieces and also add 1 cup of water, required salt and cook for 4 whistles on a medium heat or until the mutton is cooked perfectly.  Now add a handful of mint and coriander leaves.Add 2 cups of water (the ratio of rice:water for biryani is 2:3,since we have already added 1 cup of water while cooking the mutton it is enough to add 2 cups of water .  add the soaked aromatic 'Seeraga Samba Rice' and mix it well.Cover and cook for 15-20 on a medium heat without placing the cooker weight and after that let it stand for 15 more minutes undisturbed.  Open to serve and enjoy our delicious Thalapakatti Mutton Biryani with some fresh  Raita. Happy Cooking!!!</t>
  </si>
  <si>
    <t>பிரியாணி மசாலா செய்ய இலவங்கப்பட்டை, நட்சத்திர சோம்பு, ஜாதிக்காய், கிராம்பு, ஏலக்காய், பெருஞ்சீரகம், சீரகம், மிளகு, கொத்தமல்லி விதைகள் ஆகியவற்றை நன்றாக பொடியாக அரைக்கவும். நீங்கள் பொருட்களை உலர் வறுத்து பின்னர் அரைக்கலாம். ஒரு பிரஷர் குக்கரில் எண்ணெய் மற்றும் நெய்யை சம அளவு சூடாக்கி, 2 பிரியாணி இலைகள், இலவங்கப்பட்டை குச்சியைச் சேர்த்து, பின்னர் நறுக்கிய வெங்காயம், தேவையான உப்பு சேர்த்து வெங்காயம் பொன்னிறமாகும் வரை வதக்கவும். பின்னர் இஞ்சி பூண்டு விழுது, பச்சை மிளகாய் ஆகியவற்றைச் சேர்த்து பச்சை வாசனை போகும் வரை வதக்கவும். பின்னர் மஞ்சள் தூள், மிளகாய் தூள் (உங்கள் மசாலா விருப்பப்படி 1-2 டேபிள்ஸ்பூன்) சேர்த்து, புதிதாக அரைத்த பிரியாணி மசாலா தூளையும் (படி 1 இல் இருந்து) சேர்த்து ஒரு முறை கலக்கவும். மசாலாவைச் சேர்த்த உடனேயே துண்டுகளாக்கப்பட்ட தக்காளியைச் சேர்த்து, தக்காளி மென்மையாகும் வரை சமைக்கவும். தக்காளியை நன்றாக சமைக்க வேண்டியது அவசியம், இல்லையெனில் நம் பிரியாணியில் தக்காளி துண்டுகள் இருக்கும். தக்காளி மென்மையாக ஆனதும் 1/2 கப் தயிர் / தயிர் சேர்த்து நன்கு கலக்கவும். மட்டன் துண்டுகளைச் சேர்த்து, 1 கப் தண்ணீர், தேவையான உப்பு சேர்த்து, மிதமான தீயில் 4 விசில் வரும் வரை அல்லது மட்டன் நன்றாக வேகும் வரை சமைக்கவும். இப்போது ஒரு கைப்பிடி புதினா மற்றும் கொத்தமல்லி இலைகளைச் சேர்க்கவும். 2 கப் தண்ணீர் சேர்க்கவும் (பிரியாணிக்கு அரிசி மற்றும் தண்ணீரின் விகிதம் 2:3, ஏனெனில் நாம் ஏற்கனவே மட்டன் சமைக்கும் போது 1 கப் தண்ணீர் சேர்த்துள்ளதால், 2 கப் தண்ணீர் சேர்த்தால் போதும். ஊறவைத்த நறுமணமுள்ள 'சீரக சம்பா அரிசி'யைச் சேர்த்து நன்கு கலக்கவும். குக்கர் எடையை வைக்காமல் மிதமான தீயில் 15-20 நிமிடங்கள் மூடி வைத்து, அதன் பிறகு 15 நிமிடங்கள் அப்படியே வைக்கவும். எங்கள் சுவையான தலப்பாக்கட்டி மட்டன் பிரியாணியை சிறிது புதிய ரைத்தாவுடன் பரிமாறவும், மகிழவும். சமைப்பதற்கு மகிழ்ச்சி!!!</t>
  </si>
  <si>
    <t>https://blogger.googleusercontent.com/img/b/R29vZ2xl/AVvXsEgMBnX6qQkloQgIoXL-kFH2drphIw2UsoAJK7mrD7S0dBCTPdk9OL1r1LIaJ5phYq5Y2gErpd_eP0MwFpEtkI241nuvh7MPaQ7pXGTv7Zj6-wFQhhGlV6lpgtesedLdjGFm0M6w5JWPg8Zb/s640/seeraga+samba+mutton+biryani.JPG</t>
  </si>
  <si>
    <t>Mint Rice</t>
  </si>
  <si>
    <t>புதினா சாதம்</t>
  </si>
  <si>
    <t>2 Cup - Cooked Rice(Basmati Rice), 2 cup - Mint Leaves, 1  - small ball of tamarind, 2 - Ginger, 2  - Green Chilies, 1 Tbsp - Oil, 1/4 tsp - Mustard Seeds,     1 tsp  - Urad Dal (Skinless Black gram), 2 - Dry Red Chilies, 15-20 - Cashew nuts,       Salt to taste.</t>
  </si>
  <si>
    <t>2 கப் - சமைத்த சாதம் (பாஸ்மதி அரிசி), 2 கப் - புதினா இலைகள், 1 - சிறிய உருண்டை புளி, 2 - இஞ்சி, 2 - பச்சை மிளகாய், 1 டேபிள் ஸ்பூன் - எண்ணெய், 1/4 டீஸ்பூன் - கடுகு விதைகள், 1 டீஸ்பூன் - உளுந்து பருப்பு (தோல் நீக்காத உளுந்து), 2 - உலர்ந்த சிவப்பு மிளகாய், 15-20 - முந்திரி பருப்பு, ருசிக்கேற்ப உப்பு.</t>
  </si>
  <si>
    <t>First lets make pudina paste (Mint paste).Clean the mint and remove the leaves from the stem.In a blender add the mint leaves , 1 small ball of tamarind , 2 inch Ginger, 2 green chilies and grind it to a smooth paste.Do not add water while grinding,if you find difficult to grind then a a very little amount of water and grind (because we want the paste to be thick).  In a pan heat 1 tbsp oil, once the oil is hot add some mustard seeds, urad dal(skinless black gram), 2 dried red chilies and roast it until the dal turns golden.Then add 15-20 broken cashews and again roast it until the cashews are golden.You can replace cashew nuts with peanuts if you like.   Then add the freshly ground pudina paste / mint paste and cook for 2-3 minutes until the paste thickens.If you have added water while grinding then cook for few more minutes to thicken the paste.If its is watery then pudina rice will be clumsy and the rice wont stand separate.Also add required salt.  Once the paste becomes thick add the cooked rice (I have used Basmati Rice) and mix gently and carefully do not break the rice. That's it so simple our delicious Pudina Rice / Mint Rice is reday to be served.Happy Cooking !!!</t>
  </si>
  <si>
    <t>முதலில் புதினா பேஸ்ட் (புதினா பேஸ்ட்) செய்யலாம். புதினாவை சுத்தம் செய்து, தண்டிலிருந்து இலைகளை நீக்கவும். ஒரு பிளெண்டரில் புதினா இலைகள், 1 சிறிய உருண்டை புளி, 2 அங்குல இஞ்சி, 2 பச்சை மிளகாய் சேர்த்து மென்மையான பேஸ்டாக அரைக்கவும். அரைக்கும் போது தண்ணீர் சேர்க்க வேண்டாம், அரைக்க கடினமாக இருந்தால் மிகக் குறைந்த அளவு தண்ணீர் சேர்த்து அரைக்கவும் (ஏனென்றால் பேஸ்ட் கெட்டியாக இருக்க வேண்டும்). ஒரு கடாயில் 1 டேபிள் ஸ்பூன் எண்ணெயை சூடாக்கி, எண்ணெய் சூடானதும் சிறிது கடுகு, உளுத்தம்பருப்பு (தோல் நீக்கிய உளுந்து), 2 உலர்ந்த சிவப்பு மிளகாய் சேர்த்து பருப்பு பொன்னிறமாகும் வரை வறுக்கவும். பின்னர் 15-20 உடைத்த முந்திரி சேர்த்து மீண்டும் முந்திரி பொன்னிறமாகும் வரை வறுக்கவும். நீங்கள் விரும்பினால் முந்திரி பருப்புக்கு பதிலாக வேர்க்கடலையை சேர்க்கலாம். பின்னர் புதிதாக அரைத்த புதினா விழுது / புதினா விழுது சேர்த்து பேஸ்ட் கெட்டியாகும் வரை 2-3 நிமிடங்கள் சமைக்கவும். அரைக்கும் போது தண்ணீர் சேர்த்திருந்தால், பேஸ்ட் கெட்டியாகும் வரை இன்னும் சில நிமிடங்கள் சமைக்கவும். அது தண்ணீராக இருந்தால், புதினா அரிசி விகாரமாக இருக்கும், அரிசி தனியாக நிற்காது. தேவையான உப்பையும் சேர்க்கவும். பேஸ்ட் கெட்டியானதும் சமைத்த அரிசியைச் சேர்த்து (நான் பாஸ்மதி அரிசியைப் பயன்படுத்தினேன்) மெதுவாகவும் கவனமாகவும் கலக்கவும், அரிசியை உடைக்க வேண்டாம். அவ்வளவுதான் எங்கள் சுவையான புதினா அரிசி / புதினா அரிசி மறுநாள் பரிமாறப்படும். மகிழ்ச்சியான சமையல் !!!</t>
  </si>
  <si>
    <t>https://blogger.googleusercontent.com/img/b/R29vZ2xl/AVvXsEggRE62w1CBz0o0JCTAh5JoGnQhJPPKPgaaNUDK-TlSDAi4OXe56LioL5-bhLv7Uctt8a0qfKxmqhSa5ZV8aFIHUDV7zEn5oehYM4lNDpBA8iXba9du9ZNSpQgny9A9wz_dB3DQNgs3-D2S/s640/Mint+Rice+Recipe.JPG</t>
  </si>
  <si>
    <t>https://youtu.be/zjw3tKD-80g</t>
  </si>
  <si>
    <t>Vegetable Kuruma</t>
  </si>
  <si>
    <t>காய்கறி குருமா</t>
  </si>
  <si>
    <t>1 Tbsp - Oil, 2 - Bay Leaves, 1 inch - Cinnamon stick, 3 - cardamom pods, 4 - cloves, 1 tsp - fennel seeds, 1(200g) - Onion, 1 Tbsp - Ginger Garlic paste, 1/2 tsp  - Turmeric powder, 1 tsp  - Cumin powder, 1 tbsp  - Coriander powder, 1 tbsp - Chili powder, 2  - Tomatoes, Vegetables ( Carrots, Beans, Peas, Cauliflower , Potatoes), Coriander leaves for Garnishing, Salt to Taste, 1/2 cup - Grated Coconut, 1 Tbsp - Roasted Channa Dal, 1 tsp - poppy Seeds, 5 - Cashew nuts, 1 Tbsp - Water.</t>
  </si>
  <si>
    <t>1 டேபிள்ஸ்பூன் - எண்ணெய், 2 - பிரிஞ்சி இலைகள், 1 அங்குலம் - இலவங்கப்பட்டை, 3 - ஏலக்காய் காய்கள், 4 - கிராம்பு, 1 டேபிள்ஸ்பூன் - பெருஞ்சீரகம், 1(200 கிராம்) - வெங்காயம், 1 டேபிள்ஸ்பூன் - இஞ்சி பூண்டு விழுது, 1/2 டேபிள்ஸ்பூன் - மஞ்சள் தூள், 1 டேபிள்ஸ்பூன் - சீரகப் பொடி, 1 டேபிள்ஸ்பூன் - கொத்தமல்லி பொடி, 1 டேபிள்ஸ்பூன் - மிளகாய் தூள், 2 - தக்காளி, காய்கறிகள் (கேரட், பீன்ஸ், பட்டாணி, காலிஃபிளவர், உருளைக்கிழங்கு), அலங்கரிக்க கொத்தமல்லி இலைகள், சுவைக்கு உப்பு, 1/2 கப் - தேங்காய் துருவல், 1 டேபிள்ஸ்பூன் - வறுத்த சன்னா பருப்பு, 1 டேபிள்ஸ்பூன் - பாப்பி விதைகள், 5 - முந்திரி பருப்பு, 1 டேபிள்ஸ்பூன் - தண்ணீர்.</t>
  </si>
  <si>
    <t>In a pan heat some oil, once the oil is hot add bay leaves, cinnamon, cardamom, cloves and a tsp of fennel seeds (I love to add whole fennel seeds,You can also use fennel powder (use 1/2 tsp of fennel powder)Then add chopped onions, salt and saute until the onions are golden.  hen add some Ginger Garlic paste and mix it.After the raw smell of ginger garlic paste is gone add turmeric powder, coriander powder, cumin powder and Chili powder (1 tbsp will be less spicy,you can adjust according to your spice preference).But the one which we get in the Hotel will be less spicy.  Then add 2 chopped tomato and cook until the tomatoes turns soft. Followed by tomatoes add the vegetables of your choice (I have added Carrots, Cauliflower, Peas, Beans, Potatoes and Cauliflower).Add enough water and cook until the vegetables are 50 % done.  Meanwhile lets make a coconut base for the Veg Korma. In a blender add 1/2 cup of grated coconut, Roasted channa dal, poppy seeds, cashews and grind it to a smooth paste along with some water.If you don't like the taste of coconut add 1 boiled and mashed potato to thicken the gravy.   Ones the veggies are half done add the coconut paste, add salt if required and cook until the vegetables are 100 % cooked.   Finally add chopped coriander leaves and turn off the heat.Coriander leaves gives good flavor and aroma to the veg Kuruma.  Our Delicious Hotel Style Veg Kurma is ready to be enjoyed with some Chapathi and Roti.Happy Cookig!!!</t>
  </si>
  <si>
    <t>ஒரு பாத்திரத்தில் சிறிது எண்ணெயைச் சூடாக்கி, எண்ணெய் சூடானதும், பிரிஞ்சி இலைகள், இலவங்கப்பட்டை, ஏலக்காய், கிராம்பு மற்றும் ஒரு தேக்கரண்டி பெருஞ்சீரகம் விதைகளைச் சேர்க்கவும் (முழு பெருஞ்சீரகம் விதைகளைச் சேர்க்க நான் விரும்புகிறேன், நீங்கள் பெருஞ்சீரகம் தூளையும் பயன்படுத்தலாம் (1/2 தேக்கரண்டி பெருஞ்சீரகம் தூள் பயன்படுத்தவும்). பின்னர் நறுக்கிய வெங்காயம், உப்பு சேர்த்து வெங்காயம் பொன்னிறமாகும் வரை வதக்கவும். சிறிது இஞ்சி பூண்டு விழுதைச் சேர்த்து கலக்கவும். இஞ்சி பூண்டு விழுது பச்சை வாசனை போன பிறகு மஞ்சள் தூள், கொத்தமல்லி தூள், சீரகத் தூள் மற்றும் மிளகாய் தூள் சேர்க்கவும் (1 தேக்கரண்டி காரமாக இருக்கும், உங்கள் விருப்பப்படி சரிசெய்யலாம்). ஆனால் ஹோட்டலில் கிடைக்கும் ஒன்று குறைவாக காரமாக இருக்கும். பின்னர் 2 நறுக்கிய தக்காளியைச் சேர்த்து தக்காளி மென்மையாகும் வரை சமைக்கவும். அதைத் தொடர்ந்து தக்காளி உங்களுக்கு விருப்பமான காய்கறிகளைச் சேர்க்கவும் (நான் கேரட், காலிஃபிளவர், பட்டாணி, பீன்ஸ், உருளைக்கிழங்கு மற்றும் காலிஃபிளவர் சேர்த்துள்ளேன்). போதுமான தண்ணீர் சேர்த்து காய்கறிகள் 50% வேகும் வரை சமைக்கவும். இதற்கிடையில் வெஜ் கோர்மாவுக்கு தேங்காய் பேஸ் தயாரிக்கலாம். ஒரு பிளெண்டரில் 1/2 கப் துருவிய தேங்காய், வறுத்த சன்னா சேர்க்கவும். பருப்பு, பாப்பி விதைகள், முந்திரி ஆகியவற்றை சிறிது தண்ணீருடன் சேர்த்து மென்மையான பேஸ்டாக அரைக்கவும். தேங்காயின் சுவை உங்களுக்குப் பிடிக்கவில்லை என்றால், 1 வேகவைத்த மற்றும் மசித்த உருளைக்கிழங்கைச் சேர்த்து குழம்பு கெட்டியாக இருக்கும். காய்கறிகள் பாதி வெந்தவுடன் தேங்காய் விழுது சேர்த்து, தேவைப்பட்டால் உப்பு சேர்த்து, காய்கறிகள் 100% வேகும் வரை சமைக்கவும். இறுதியாக நறுக்கிய கொத்தமல்லி இலைகளைச் சேர்த்து, அடுப்பை அணைக்கவும். காய்கறி குருமாவுக்கு நல்ல சுவையையும் நறுமணத்தையும் தருகிறது. எங்கள் சுவையான ஹோட்டல் ஸ்டைல் ​​வெஜ் குர்மாவை சப்பாத்தி மற்றும் ரொட்டியுடன் சாப்பிட தயாராக உள்ளது. இனிய சமையல்!!!</t>
  </si>
  <si>
    <t>https://blogger.googleusercontent.com/img/b/R29vZ2xl/AVvXsEh0e7ixs9cdUxgbJVMU8hsIYJPyhSLC4t7wFepGqK3uqELDja7hpuXkLclxKo4fSCtvdDVrrrE1ki3KykG1FCked19KXCEW3ScIIIwqTWv9MOfaC_zftEyzGCSy_8jHuUaPLcClCkKqs2jF/s640/Vegetable+Kurma.JPG</t>
  </si>
  <si>
    <t>https://youtu.be/fRF2uM85c2s</t>
  </si>
  <si>
    <t>Chicken Cutlet</t>
  </si>
  <si>
    <t>சிக்கன் கட்லெட்</t>
  </si>
  <si>
    <t>500 g - Boneless chicken pieces, 1 tbsp - Oil, 1(200 g) - Onion(finely Chopped), 1 tbsp - Ginger Garlic Paste, 2 tbsp - Chili powder, 1/2 tsp - Turmeric powder, 1 tsp - Garam masala powder, 1/2 tsp - pepper powder, salt to tastec, 2 - boiled potatoes, handful  Coriander leaves, 2 - Eggs (season with salt and pepper), 1 cup - bread crumbs (I have used Italian bread crumbs), 4 Tbsp - Oil for shallow frying.</t>
  </si>
  <si>
    <t>500 கிராம் - எலும்பில்லாத சிக்கன் துண்டுகள், 1 டேபிள் ஸ்பூன் - எண்ணெய், 1(200 கிராம்) - வெங்காயம் (நன்றாக நறுக்கியது), 1 டேபிள் ஸ்பூன் - இஞ்சி பூண்டு விழுது, 2 டேபிள் ஸ்பூன் - மிளகாய் தூள், 1/2 டேபிள் ஸ்பூன் - மஞ்சள் தூள், 1 டேபிள் ஸ்பூன் - கரம் மசாலா தூள், 1/2 டேபிள் ஸ்பூன் - மிளகு தூள், சுவைக்கு உப்பு, 2 - வேகவைத்த உருளைக்கிழங்கு, கைப்பிடி கொத்தமல்லி இலை, 2 - முட்டை (உப்பு மற்றும் மிளகு சேர்த்து தாளிக்கவும்), 1 கப் - ரொட்டி துண்டுகள் (நான் இத்தாலிய ரொட்டி துண்டுகளைப் பயன்படுத்தினேன்), 4 டேபிள் ஸ்பூன் - மிருதுவாக வறுக்க எண்ணெய்.</t>
  </si>
  <si>
    <t>Clean the boneless chicken pieces and blot it well with a paper towel to remove excess moisture from the chicken .Chicken should be dry for this recipe.Mince the chicken in a blender and keep it aside.  To make chicken Cutlet heat 1 tbsp oil in a pan and add the finely chopped onions and some salt.Once the onions are golden add the masalas Ginger Garlic Paste , Chili powder, turmeric powder, garam masala powder and mix it once.  Add the minced Chicken Pieces add some salt and pepper, and mix it well with the Onion masala mixture and cook it for few minutes until the chicken is fully cooked.The mixture should be dry.   Once the chicken is well done turn of the heat and allow the mixture to cool .Then transfer the cooked chicken into a mixing jar and add 2 boiled potatoes (mash the potatoes well) and also add a handful of coriander leaves and combine everything together.you should be able to hold shape when rolled into balls.  Roll a small portion of the mixture into medium sized ball and flatten it between the palms to give it shape. similarly do it for the rest.It makes around 15 patties from 500 g chicken.   Now to coat the cutlets break 2 eggs add some salt and pepper to season and beat it well.We also need some bread crumbs.I have used Italian Bread crumbs (plain bread crumbs will also taste good) Now everything is set.Dip the cutlets in beaten eggs and then roll it into breadcrumbs make sure that all the sides are nicely coated.Then tap it to remove any excess crumbs or this extra crumbs spoils the oil.   Now the final step is to fry the cutlets. To shallow fry heat 4 tbsp of oil(you can also deep fry ) , place the chicken cutlets and fry until golden brown. Oil should be in medium heat while frying.If the temperature of the oil is too hot then the outer surface will become dark soon and the cutlets wont taste very good and at the same time if the oil is at low temperature then the cutlets will soak more oil and it wont be crispy.  The cutlets are nice and brown on one side ,now flip it to the other side and again fry until golden brown.Now the cutlets are crispy on the both sides, carefully remove from the oil and place it on a wire rack.  To keep the cutlets crispy  Place the cutlets on a wire rack . If you place it on paper towel to remove excess oil then the steam will be trapped under the food and the cutlets will turn soggy, so to keep the cutlets crisper place it on a cooling rack so that air can circulate underneath and the food will stay crispy for a long time.  Our Delicious Chicken Cutlets are ready to be enjoyed with Ketchup and hot Coffee!!!! Happy Cooking ....</t>
  </si>
  <si>
    <t>எலும்பில்லாத சிக்கன் துண்டுகளை சுத்தம் செய்து, கோழியிலிருந்து அதிகப்படியான ஈரப்பதத்தை நீக்க ஒரு காகித துண்டுடன் நன்றாக துடைக்கவும். இந்த செய்முறைக்கு கோழி உலர்ந்திருக்க வேண்டும். கோழியை ஒரு பிளெண்டரில் நறுக்கி ஒதுக்கி வைக்கவும். சிக்கன் கட்லெட் செய்ய ஒரு கடாயில் 1 டேபிள் ஸ்பூன் எண்ணெயை சூடாக்கி, அதில் பொடியாக நறுக்கிய வெங்காயம் மற்றும் சிறிது உப்பு சேர்க்கவும். வெங்காயம் பொன்னிறமாக மாறியதும், மசாலாக்கள் இஞ்சி பூண்டு விழுது, மிளகாய் தூள், மஞ்சள் தூள், கரம் மசாலா தூள் சேர்த்து ஒரு முறை கலக்கவும். நறுக்கிய சிக்கன் துண்டுகளைச் சேர்த்து, சிறிது உப்பு மற்றும் மிளகு சேர்த்து, வெங்காய மசாலா கலவையுடன் நன்கு கலந்து, சிக்கன் முழுமையாக வேகும் வரை சில நிமிடங்கள் சமைக்கவும். கலவை உலர்ந்திருக்க வேண்டும். சிக்கன் நன்றாக வெந்தவுடன், அடுப்பை அணைத்து, கலவையை குளிர்விக்க விடவும். பின்னர் சமைத்த சிக்கனை ஒரு மிக்ஸி ஜாடியில் மாற்றி, 2 வேகவைத்த உருளைக்கிழங்கைச் சேர்க்கவும் (உருளைக்கிழங்கை நன்றாக மசிக்கவும்) மேலும் ஒரு கைப்பிடி கொத்தமல்லி இலைகளைச் சேர்த்து, அனைத்தையும் ஒன்றாக இணைக்கவும். உருண்டைகளாக உருட்டும்போது நீங்கள் வடிவத்தை வைத்திருக்க முடியும். கலவையின் ஒரு சிறிய பகுதியை நடுத்தர அளவிலான உருண்டையாக உருட்டி, உள்ளங்கைகளுக்கு இடையில் தட்டையாக்கி, அதற்கு வடிவம் கொடுக்கவும். மீதமுள்ளவற்றுக்கும் இதேபோல் செய்யுங்கள். 500 கிராம் சிக்கனில் இருந்து சுமார் 15 பஜ்ஜிகள் கிடைக்கும். இப்போது கட்லெட்டுகளை பூச 2 முட்டைகளை உடைத்து சிறிது உப்பு மற்றும் மிளகு சேர்த்து நன்கு அடிக்கவும். எங்களுக்கு கொஞ்சம் பிரட் கிரம்ப்ஸ் தேவை. நான் இத்தாலியன் பிரட் கிரம்ப்ஸ் பயன்படுத்தினேன் (சாதாரண பிரட் கிரம்ப்ஸும் நன்றாக இருக்கும்). இப்போது எல்லாம் தயாராகிவிட்டது. கட்லெட்டுகளை அடித்த முட்டைகளில் நனைத்து, பின்னர் பிரட் கிரம்ப்ஸில் உருட்டவும், அனைத்து பக்கங்களும் நன்றாக பூசப்பட்டிருப்பதை உறுதிசெய்து கொள்ளுங்கள். பின்னர் அதிகப்படியான நொறுக்குத் தீனிகளை அகற்ற அதைத் தட்டவும், இல்லையெனில் இந்த கூடுதல் நொறுக்குத் தீனிகள் எண்ணெயைக் கெடுக்கும். இப்போது இறுதி படி கட்லெட்டுகளை வறுக்க வேண்டும். ஆழமாக வறுக்க 4 டேபிள்ஸ்பூன் எண்ணெயை சூடாக்கவும் (நீங்கள் ஆழமாக வறுக்கவும் முடியும்), சிக்கன் கட்லெட்டுகளை வைத்து பொன்னிறமாகும் வரை வறுக்கவும். வறுக்கும்போது எண்ணெய் மிதமான வெப்பத்தில் இருக்க வேண்டும். எண்ணெயின் வெப்பநிலை மிகவும் சூடாக இருந்தால், வெளிப்புற மேற்பரப்பு விரைவில் கருமையாகிவிடும், கட்லெட்டுகள் மிகவும் சுவையாக இருக்காது, அதே நேரத்தில் எண்ணெய் குறைந்த வெப்பநிலையில் இருந்தால் கட்லெட்டுகள் அதிக எண்ணெயை ஊறவைத்து, அது மொறுமொறுப்பாக இருக்காது. கட்லெட்டுகள் ஒரு பக்கம் நன்றாகவும், பழுப்பு நிறமாகவும் இருக்கும், இப்போது அதை மறுபுறம் திருப்பி மீண்டும் பொன்னிறமாகும் வரை வறுக்கவும். இப்போது கட்லெட்டுகள் இருபுறமும் மொறுமொறுப்பாக இருக்கும், எண்ணெயிலிருந்து கவனமாக அகற்றி ஒரு கம்பி ரேக்கில் வைக்கவும். கட்லெட்டுகளை மொறுமொறுப்பாக வைத்திருக்க கட்லெட்டுகளை ஒரு கம்பி ரேக்கில் வைக்கவும். அதிகப்படியான எண்ணெயை அகற்ற நீங்கள் அதை காகிதத் துண்டில் வைத்தால், உணவின் கீழ் நீராவி சிக்கிவிடும், மேலும் கட்லெட்டுகள் ஈரமாகிவிடும், எனவே கட்லெட்டுகளை மொறுமொறுப்பாக வைத்திருக்க அதை ஒரு கூலிங் ரேக்கில் வைக்கவும், இதனால் காற்று அடியில் சுற்றும் மற்றும் உணவு நீண்ட நேரம் மொறுமொறுப்பாக இருக்கும். எங்கள் சுவையான சிக்கன் கட்லெட்டுகள் கெட்ச்அப் மற்றும் சூடான காபியுடன் அனுபவிக்க தயாராக உள்ளன!!!! மகிழ்ச்சியான சமையல் ....</t>
  </si>
  <si>
    <t>https://blogger.googleusercontent.com/img/b/R29vZ2xl/AVvXsEgSvw0xzaVDrgfBA6isM3s7KBGZOpjbxjsUJkl9UaVN3ROdLLgqASMu27hvtfNG3VWwzfQTnmFnCBOz4cN9D1RJcoKC2FtLQCT9qd7XDzFh4DmwrybmyayIU3O-rIdcGWpJNpK2YCdUyEpy/s640/Chicken+Cutlet+Recipe.JPG</t>
  </si>
  <si>
    <t>Chettinad Chicken Biryani in Pressure Cooker</t>
  </si>
  <si>
    <t>பிரஷர் குக்கரில் செட்டிநாடு சிக்கன் பிரியாணி</t>
  </si>
  <si>
    <t>1 - Bay leaf, 1 - mace, 1 inch - Cinnamon stick, 3 - cardamom pods, 4 - cloves, 1 tsp - Cumin seeds, 1 tsp - fennel seeds, 1/2 tsp - pepper corns, 2 tsp - coriander seeds, 1 - star anise, 2 - Tbsp - Ghee , 2 - Tbsp - Oil, 2 - bay leaves ,  3 - green cardamom ,  3 - cloves, 1(250 g) - Onion , 2 Tbsp - Ginger Garlic paste, 5 - green Chilies, 1/2 tsp - Turmeric powder, 1-2 Tbsp - Red Chili Powder, 1(150g) - Tomato, 1/2 cup - Yogurt / Curd, Handfull coriander and Mint leaves, 500g - Chicken (with bone) cut into medium size pieces, 2 cups - Basmati rice, 3 cups - Water, Salt to Taste.</t>
  </si>
  <si>
    <t>1 - பிரியாணி இலை, 1 - ஜாதிக்காய், 1 அங்குலம் - இலவங்கப்பட்டை, 3 - ஏலக்காய் காய்கள், 4 - கிராம்பு, 1 தேக்கரண்டி - சீரகம், 1 தேக்கரண்டி - பெருஞ்சீரகம், 1/2 தேக்கரண்டி - மிளகு, 2 தேக்கரண்டி - கொத்தமல்லி விதைகள், 1 - நட்சத்திர சோம்பு, 2 - தேக்கரண்டி - நெய், 2 - தேக்கரண்டி - எண்ணெய், 2 - பிரியாணி இலைகள், 3 - பச்சை ஏலக்காய், 3 - கிராம்பு, 1 (250 கிராம்) - வெங்காயம், 2 தேக்கரண்டி - இஞ்சி பூண்டு விழுது, 5 - பச்சை மிளகாய், 1/2 தேக்கரண்டி - மஞ்சள் தூள், 1-2 தேக்கரண்டி - சிவப்பு மிளகாய் தூள், 1 (150 கிராம்) - தக்காளி, 1/2 கப் - தயிர் / தயிர், ஒரு கைப்பிடி கொத்தமல்லி மற்றும் புதினா இலைகள், 500 கிராம் - நடுத்தர அளவு துண்டுகளாக வெட்டப்பட்ட சிக்கன் (எலும்புடன்), 2 கப் - பாஸ்மதி அரிசி, 3 கப் - தண்ணீர், ருசிக்கேற்ப உப்பு.</t>
  </si>
  <si>
    <t>To make biryani masala dry roast bay leaf, fennel seeds, coriander seeds, mace, star anise, cinnamon stick, pepper  ,Green cardamom ,cloves, cumin seeds for 2 minutes in a medium heat and grind it to a fine powder (you can use this masala for any chettinad recipes).  To start heat 2 tbsp of oil and 2 tbsp ghee / clarified butter (ghee adds extra aroma and richness to the biryani) then add the whole spices bay leaves , cardamom and cloves . Add  thinly sliced onion (its very important to slice them thinly),then add required salt and saute until the onions are golden brown.  Once the onions are nice and brown add 3 green chilies , 2 tbsp of ginger garlic paste and cook until the raw smell is gone and then add the masalas turmeric powder ,freshly ground biryani masala(from step 1) and chili powder depending on your spice preference.Give it a quick mix (be carful do not burn the masalas).  Add sliced tomatoes and cook until the tomatoes turns into a paste (we don't want tomato chunks in our biryani) after mixing add some mint and coriander leaves then add 1/2 cup of yogurt and mix everything well.(you can also use 1 tbsp lemon juice if you prefer).  Add the chicken pieces (prefer the one with bones for biryani).Mix well and cook for sometime until the chicken pieces are 50% done.  Then add water (for 2 cups of Basmati rice add 3 cups of water) and mix well.Check for salt if required add extra salt.  Now add the cleaned and soaked basmati rice(soaked for minimum 20-30 min) and mix well. drain the water from rice completely before adding.mix well and cover and cook for 1 whistle on a medium heat and then turn off the heat and let it stand for 15 more minutes.  open and mix gently to enjoy tasty home-made chettinad style chicken biryani with some fresh Raitha.   Normally the ratio of rice:water is 1:2,Since we have soaked the Basmati rice and have added yogurt reduce the amount of water to 1:1.5(rice:water).</t>
  </si>
  <si>
    <t>பிரியாணி மசாலா செய்ய பிரியாணி இலை, பெருஞ்சீரகம், கொத்தமல்லி விதைகள், ஜாதிக்காய், நட்சத்திர சோம்பு, இலவங்கப்பட்டை, மிளகு, பச்சை ஏலக்காய், கிராம்பு, சீரகம் ஆகியவற்றை மிதமான தீயில் 2 நிமிடங்கள் வறுத்து, நன்றாகப் பொடியாக அரைக்கவும் (இந்த மசாலாவை எந்த செட்டிநாடு ரெசிபிகளுக்கும் பயன்படுத்தலாம்). தொடங்குவதற்கு 2 டேபிள்ஸ்பூன் எண்ணெய் மற்றும் 2 டேபிள்ஸ்பூன் நெய் / தெளிக்கப்பட்ட வெண்ணெய் (நெய் பிரியாணிக்கு கூடுதல் மணத்தையும் செழுமையையும் சேர்க்கிறது) சூடாக்கி, பின்னர் முழு மசாலாப் பொருட்களான பிரியாணி இலைகள், ஏலக்காய் மற்றும் கிராம்புகளைச் சேர்க்கவும். மெல்லியதாக நறுக்கிய வெங்காயத்தைச் சேர்க்கவும் (மெல்லியதாக நறுக்குவது மிகவும் முக்கியம்), பின்னர் தேவையான உப்பு சேர்த்து வெங்காயம் பொன்னிறமாகும் வரை வதக்கவும். வெங்காயம் நன்றாக வதங்கி, பழுப்பு நிறமாக மாறியதும், 3 பச்சை மிளகாய், 2 டேபிள் ஸ்பூன் இஞ்சி பூண்டு விழுது சேர்த்து பச்சை வாசனை போகும் வரை வதக்கவும். பின்னர் மசாலா, மஞ்சள் தூள், புதிதாக அரைத்த பிரியாணி மசாலா (படி 1 இல் இருந்து) மற்றும் மிளகாய் தூள் ஆகியவற்றை உங்கள் காரத்திற்கு ஏற்றவாறு சேர்க்கவும். விரைவாக கலக்கவும் (காரமாக இருங்கள், மசாலாக்களை எரிக்க வேண்டாம்). தக்காளி துண்டுகளை சேர்த்து தக்காளி ஒரு பேஸ்டாக மாறும் வரை சமைக்கவும் (எங்கள் பிரியாணியில் தக்காளி துண்டுகள் வேண்டாம்) கலந்த பிறகு சிறிது புதினா மற்றும் கொத்தமல்லி இலைகளைச் சேர்த்து, 1/2 கப் தயிர் சேர்த்து எல்லாவற்றையும் நன்றாக கலக்கவும். (நீங்கள் விரும்பினால் 1 டேபிள் ஸ்பூன் எலுமிச்சை சாற்றையும் பயன்படுத்தலாம்). சிக்கன் துண்டுகளைச் சேர்க்கவும் (பிரியாணிக்கு எலும்புகளுடன் இருப்பதை விரும்புங்கள்). நன்றாகக் கலந்து, சிக்கன் துண்டுகள் 50% வெந்து போகும் வரை சிறிது நேரம் சமைக்கவும். பின்னர் தண்ணீர் சேர்க்கவும் (2 கப் பாசுமதி அரிசிக்கு 3 கப் தண்ணீர் சேர்க்கவும்) நன்கு கலக்கவும். தேவைப்பட்டால் உப்பு இருக்கிறதா என்று சரிபார்த்து கூடுதல் உப்பு சேர்க்கவும். இப்போது சுத்தம் செய்து ஊறவைத்த பாஸ்மதி அரிசியைச் சேர்த்து (குறைந்தபட்சம் 20-30 நிமிடங்கள் ஊறவைத்து) நன்கு கலக்கவும். அரிசியிலிருந்து தண்ணீரை முழுவதுமாக வடித்து, பின்னர் சேர்க்கவும். நன்றாகக் கலந்து மூடி, மிதமான தீயில் 1 விசில் வரும் வரை சமைக்கவும், பின்னர் அடுப்பை அணைத்து, மேலும் 15 நிமிடங்கள் அப்படியே வைக்கவும். திறந்து மெதுவாகக் கலந்து, சுவையான வீட்டில் தயாரிக்கப்பட்ட செட்டிநாடு பாணி சிக்கன் பிரியாணியை சிறிது புதிய ரைத்தாவுடன் அனுபவிக்கவும். பொதுவாக அரிசி: தண்ணீரின் விகிதம் 1:2 ஆகும், நாம் பாஸ்மதி அரிசியை ஊறவைத்து தயிர் சேர்த்திருப்பதால், தண்ணீரின் அளவை 1:1.5 (அரிசி: தண்ணீர்) ஆகக் குறைக்கவும்.</t>
  </si>
  <si>
    <t>https://blogger.googleusercontent.com/img/b/R29vZ2xl/AVvXsEgpGLxOYd8n3TwKIpjLopAR-Fd5RguW3_pMZJBO2R8TLcMWu7ui82Omj9UIZEDTGqY0jTtYxn-iy67ET2SD7mGnzZR1FHDVxEEQcBwqllmEtJP4mzL07ySaWx6ar0zxj-88sJvwEXMXFE4K/s640/Chicken+Biryani+in+pressure+cooker.JPG</t>
  </si>
  <si>
    <t>Vatha Kuzhambu</t>
  </si>
  <si>
    <t>வத்த குழம்பு</t>
  </si>
  <si>
    <t>1/4 cup - Turkey Berry, 3 Tbsp - Gingerly Oil , 1/4 tsp - Mustard Seeds, 1/2  tsp - Urad Dal , 1/4 tsp - Fenugreek Seeds, 1/8 tsp -  Asafoetida, few Curry Leves , 5 - cloves of Garlic ,        10-12 - Shallots, 1/4 tsp - Turmeric Powder, 2 tsp - Chili powder, 2 tsp - Cumin powder, 1/2 tspb - Coriander Powder, Small ball of Tamarind, Salt, Required Water</t>
  </si>
  <si>
    <t>1/4 கப் - வான்கோழி பெர்ரி, 3 டேபிள்ஸ்பூன் - இஞ்சி எண்ணெய், 1/4 டேபிள்ஸ்பூன் - கடுகு விதைகள், 1/2 டேபிள்ஸ்பூன் - உளுத்தம் பருப்பு, 1/4 டேபிள்ஸ்பூன் - வெந்தய விதைகள், 1/8 டேபிள்ஸ்பூன் - பெருங்காயம், சில கறிவேப்பிலை, 5 - பூண்டு பல், 10-12 - வெங்காயத்தாள், 1/4 டேபிள்ஸ்பூன் - மஞ்சள் தூள், 2 டேபிள்ஸ்பூன் - மிளகாய் தூள், 2 டேபிள்ஸ்பூன் - சீரக தூள், 1/2 டேபிள்ஸ்பூன் - கொத்தமல்லி தூள், சிறிய உருண்டை புளி, உப்பு, தேவையான தண்ணீர்.</t>
  </si>
  <si>
    <t>Heat 3 tbsp of Gingerly Oil in a kadai (Traditionally all types of Vatha Kulabus are made with Gingerly oil ),Gingerly oil enhances the taste of Vatha Kulambu a lot.However if you don't like the taste of Gingerly Oil you can also use regular cooking oil.  For Tempering: add mustard seeds, urad dal, fenugreek and Dried red Chilies and allow the mustard to splutter  Add some Garlic Cloves and shallots.I always prefer to crush the garlic once and add it enhances the aroma of the vathal Kulambu. one ore thing use shallots as shallots add a unique taste to the kulambu.  Then add the Sunda vathal and saute it for a minute and then add asafoetida and then the Masalas Turmeric powder ,chilli powder, cumin powder, coriander powder and mix it well .Should be very careful not to burn the masalas. If you have Kulambu powder handy then add 1-2 tbsp of Kulambu powder avoiding all the masalas which we have added.  Then add the Tamarind Extract(soak a small ball size (gooseberry) tamarind in water for 10 minutes before extracting the juice), Salt and required water and bring the gravy to boil and then let it simmer for sometime depends on how you want the gravy to be, if you want it to be thicker as i wish allow it it simmer for 6-10 minutes on a medium heat.  Once the gravy has started to thicken check for salt and sourness,if required add some salt if it tastes sour then add a small piece of jaggery and bring the gravy to a boil until the jaggery dissolves completely.  Our Delicious Sunadakkai Vathal Kuzhambu is ready to be served with some rice and applam.To add extra richness after turning off the heat add a tsp of gingerly oil on the top and serve.</t>
  </si>
  <si>
    <t>ஒரு கடாயில் 3 டேபிள்ஸ்பூன் இஞ்சி எண்ணெயை சூடாக்கவும் (பாரம்பரியமாக அனைத்து வகையான வத்த குழம்புகளும் இஞ்சி எண்ணெயில் தயாரிக்கப்படுகின்றன), வத்த குழம்புவின் சுவையை இஞ்சி எண்ணெய் மிகவும் அதிகரிக்கிறது. இருப்பினும், இஞ்சி எண்ணெயின் சுவை உங்களுக்குப் பிடிக்கவில்லை என்றால், நீங்கள் வழக்கமான சமையல் எண்ணெயையும் பயன்படுத்தலாம். பதப்படுத்துவதற்கு: கடுகு, உளுத்தம்பருப்பு, வெந்தயம் மற்றும் உலர்ந்த சிவப்பு மிளகாய் சேர்த்து கடுகு வதங்க விடவும் சிறிது பூண்டு பல் மற்றும் வெங்காயத்தாள் சேர்க்கவும். நான் எப்போதும் பூண்டை ஒரு முறை நசுக்கி, குழம்புவின் மணத்தை அதிகரிக்கும். ஒரு தாதுப் பொருளாக வெங்காயத்தாள் பயன்படுத்தினால் குழம்புக்கு ஒரு தனித்துவமான சுவை கிடைக்கும். பின்னர் சுண்டக்காய் சேர்த்து ஒரு நிமிடம் வதக்கி, பின்னர் சாதத்தை சேர்த்து, பின்னர் மசாலா மஞ்சள் தூள், மிளகாய் தூள், சீரகத்தூள், கொத்தமல்லி தூள் சேர்த்து நன்கு கலக்கவும். மசாலாக்கள் எரியாமல் கவனமாக இருக்க வேண்டும். உங்களிடம் குழம்புத்தூள் இருந்தால், 1-2 தேக்கரண்டி குழம்புத்தூள் சேர்க்கவும். நாங்கள் சேர்த்த அனைத்து மசாலாக்களையும் தவிர்க்கவும். பின்னர் புளி சாறு (ஒரு சிறிய உருண்டை அளவு (நெல்லிக்காய்) புளியை தண்ணீரில் 10 நிமிடங்கள் ஊறவைத்து சாறு எடுக்கவும்), உப்பு மற்றும் தேவையான தண்ணீர் சேர்த்து குழம்பை கொதிக்க விடவும், பின்னர் சிறிது நேரம் கொதிக்க விடவும். குழம்பு எப்படி இருக்க வேண்டும் என்பதைப் பொறுத்தது. நீங்கள் விரும்பினால், அது கெட்டியாக இருக்க விரும்பினால், மிதமான தீயில் 6-10 நிமிடங்கள் கொதிக்க விடவும். குழம்பு கெட்டியாக ஆரம்பித்ததும், உப்பு மற்றும் புளிப்பு இருக்கிறதா என்று சரிபார்க்கவும், தேவைப்பட்டால், புளிப்பு சுவை இருந்தால் சிறிது உப்பு சேர்க்கவும், பின்னர் ஒரு சிறிய துண்டு வெல்லம் சேர்த்து, வெல்லம் முழுவதுமாக கரையும் வரை கொதிக்க வைக்கவும். எங்கள் சுவையான சுனடக்காய் வத்தல் குழம்பு சிறிது சாதம் மற்றும் அப்ளாமுடன் பரிமாற தயாராக உள்ளது. வெப்பத்தை அணைத்த பிறகு கூடுதல் செழுமையை சேர்க்க, மேலே ஒரு தேக்கரண்டி இஞ்சி எண்ணெயைச் சேர்த்து பரிமாறவும்.</t>
  </si>
  <si>
    <t>https://blogger.googleusercontent.com/img/b/R29vZ2xl/AVvXsEi0ibCoPgdrMvl-bZ5mcpsWZUiM_jRzzR7RvQvZQIE_t028sDx9dAQeV_MQco_sQhOxRLffNInUXCHEIL0qm2oQYjty9HDW6pQzKr0_A2jRq5J5vXOKKUbJjbChx6P8T_fiQ90tjGqryG9C/s640/Vatha+Kuzhambu+Recipe.JPG</t>
  </si>
  <si>
    <t>Chettinad Crab Masala</t>
  </si>
  <si>
    <t>செட்டிநாடு நண்டு மாசா</t>
  </si>
  <si>
    <t>1 kg - crab (king crab), 1 Cup - Grated coconut, 1 tbsp - pepper corns, 1 tbsp - cumin seeds, 2 - dry red chilies, 1 tbsp - ginger garlic paste, 1(250g) - Large Onion, 2(150g) - Tomato, 1/4 tsp - Turmeric Powder, 1 Tbsp - Coriander Powder, 2 tbsp - Chili Powder (can adjust according to your taste), 1/2 tsp - Mustard Seeds, Salt to Taste, Curry Leaves for Garnishing.</t>
  </si>
  <si>
    <t>1 கிலோ - நண்டு (ராஜா நண்டு), 1 கப் - துருவிய தேங்காய், 1 டீஸ்பூன் - மிளகு சோளம், 1 டீஸ்பூன் - சீரகம், 2 - உலர்ந்த சிவப்பு மிளகாய், 1 டீஸ்பூன் - இஞ்சி பூண்டு விழுது, 1 (250 கிராம்) - பெரிய வெங்காயம், 2 (150 கிராம்) - தக்காளி, 1/4 டீஸ்பூன் - மஞ்சள் தூள், 1 டீஸ்பூன் - கொத்தமல்லி தூள், 2 டீஸ்பூன் - மிளகாய் தூள் (உங்கள் ருசிக்கேற்ப சரிசெய்யலாம்), 1/2 டீஸ்பூன் - கடுகு, சுவைக்கேற்ப உப்பு, அலங்கரிக்க கறிவேப்பிலை.</t>
  </si>
  <si>
    <t>Dry roast 1 cup grated coconut, pepper corns, cumin seeds, dry red chilies for 3 minutes on a medium heat.Then grind the coconut mixture into a fine paste.  to make crab masala heat some oil , add mustard seeds once the seeds pops out add green chilies add chopped onions ,required salt and saute until the onions are golden Then add ginger garlic paste and cook for 2 more minutes or until the raw smell is gone.  Add the masalas turmeric powder, coriander powder and chili powder (I have added 2 tbsp chili powder I am making it very spicy) and mix well.Then add chopped tomatoes and cook until the tomatoes are soft and well cooked (If you like the gravy to be very smooth then grind the cooked onions and tomatoes).   Add the ground coconut paste(from step 1) ,add required water and cook for 5 - 7 minutes after the gravy boils add the cleaned and scored crabs, cover and cook for 15 - 20 minutes based on the size of your crab.  after the crabs are nicely cooked add some curry leaves for garnishing and serve.</t>
  </si>
  <si>
    <t>1 கப் துருவிய தேங்காய், மிளகு சோளம், சீரகம், உலர்ந்த சிவப்பு மிளகாய் ஆகியவற்றை மிதமான தீயில் 3 நிமிடங்கள் வறுக்கவும். பின்னர் தேங்காய் கலவையை நன்றாக பேஸ்டாக அரைக்கவும். நண்டு மசாலா செய்ய சிறிது எண்ணெயை சூடாக்கி, விதைகள் வெளியே வந்தவுடன் கடுகு சேர்த்து, பச்சை மிளகாய் சேர்த்து, நறுக்கிய வெங்காயம், தேவையான உப்பு சேர்த்து, வெங்காயம் பொன்னிறமாகும் வரை வதக்கவும். மசாலாக்கள் மஞ்சள் தூள், கொத்தமல்லி தூள் மற்றும் மிளகாய் தூள் (நான் 2 டேபிள்ஸ்பூன் மிளகாய் தூள் சேர்த்துள்ளேன், நான் மிகவும் காரமாக செய்கிறேன்) சேர்த்து நன்கு கலக்கவும். பின்னர் நறுக்கிய தக்காளியைச் சேர்த்து, தக்காளி மென்மையாகவும் நன்றாகவும் வேகும் வரை வதக்கவும் (கிரேவி மிகவும் மென்மையாக இருக்க விரும்பினால், சமைத்த வெங்காயம் மற்றும் தக்காளியை அரைக்கவும்). அரைத்த தேங்காய் விழுதைச் சேர்க்கவும் (படி 1 இல் இருந்து), தேவையான தண்ணீர் சேர்த்து 5 - 7 நிமிடங்கள் சமைக்கவும். கிரேவி கொதித்த பிறகு, சுத்தம் செய்து அரைத்த நண்டுகளைச் சேர்த்து, மூடி வைத்து, உங்கள் நண்டின் அளவைப் பொறுத்து 15 - 20 நிமிடங்கள் சமைக்கவும். நண்டுகள் நன்றாக சமைத்த பிறகு, அலங்கரிக்க சில கறிவேப்பிலைகளைச் சேர்த்து பரிமாறவும்.</t>
  </si>
  <si>
    <t>https://blogger.googleusercontent.com/img/b/R29vZ2xl/AVvXsEigR4QeLfRNAo3ZJwQ0lVxFqxVeUpAUNXh8ysa85UWVx1qxx1qOjapPTuv-kySnppWOlebdfW9CpYHiqVXWcYybI1aHgQEFGjXroD8RmK1hyphenhyphenXzibniv3bHunPozQrm-WJuJqybMGs-0tNrv/s640/chettinad+crab+curry.JPG</t>
  </si>
  <si>
    <t>Spicy Prawns Roast</t>
  </si>
  <si>
    <t>காரமான இறால் வறுவல்</t>
  </si>
  <si>
    <t>500g - Deveined Prawns, ¼ tsp - Turmeric powder, 1 Tbsp - Chili powder, 1 tsp - Garam Masala Powder, 2 tsp - Coriander powder, 5 - green chillies, 1 tsp - Ginger Garlic Paste, 1 tsp -  Pepper powder, Salt to taste, For Spicy Prawns, 3 Tbsp - Oil, 4 - Green Chilies, 200g - sliced onion, curry leaves for garnishing.</t>
  </si>
  <si>
    <t>500 கிராம் - வேகவைத்த இறால், ¼ தேக்கரண்டி - மஞ்சள் தூள், 1 தேக்கரண்டி - மிளகாய் தூள், 1 தேக்கரண்டி - கரம் மசாலா தூள், 2 தேக்கரண்டி - கொத்தமல்லி தூள், 5 - பச்சை மிளகாய், 1 தேக்கரண்டி - இஞ்சி பூண்டு விழுது, 1 தேக்கரண்டி - மிளகு தூள், ருசிக்க உப்பு, காரமான இறாலுக்கு, 3 தேக்கரண்டி - எண்ணெய், 4 - பச்சை மிளகாய், 200 கிராம் - நறுக்கிய வெங்காயம், அலங்காரத்திற்கு கறிவேப்பிலை.</t>
  </si>
  <si>
    <t>Marinate the prawns with turmeric powder, chilli powder, garam masala powder, coriander powder, ginger garlic paste, pepper powder and salt and let it marinate for minimum 15 -20 minutes (marination helps a lot ).  Cover and Cook the prawns without adding any oil or water (the prawns will cook it in its own juices).prawns will release lot of moisture (if needed add a little water ).Prawns will cook very fast so just 3- 5 minutes is enough.   Heat 3 tbsp oil ,green chillies , Curry leaves, thinly sliced onions required salt and saute the onions until nice soft and browned.   Add the cooked prawns and mix it well with the masala. Since we have already cooked the prawns it will not take much time to cook just 3 -4 minutes is enough.  Yummylicious prawns roast is ready....Woow Delicious !!!!! I cannot wait to taste it. Happy Cooking !!!</t>
  </si>
  <si>
    <t>இறாலை மஞ்சள் தூள், மிளகாய் தூள், கரம் மசாலா தூள், கொத்தமல்லி தூள், இஞ்சி பூண்டு விழுது, மிளகு தூள் மற்றும் உப்பு சேர்த்து மரைனேட் செய்து குறைந்தது 15 -20 நிமிடங்கள் ஊற வைக்கவும் (மரைனேட் செய்வது மிகவும் உதவும்). இறால்களை மூடி வைத்து, எண்ணெய் அல்லது தண்ணீர் சேர்க்காமல் சமைக்கவும் (இறால் அதன் சொந்த சாற்றில் சமைக்கும்). இறால் அதிக ஈரப்பதத்தை வெளியிடும் (தேவைப்பட்டால் சிறிது தண்ணீர் சேர்க்கவும்). இறால் மிக விரைவாக வெந்துவிடும், எனவே 3-5 நிமிடங்கள் போதும். 3 டீஸ்பூன் எண்ணெய், பச்சை மிளகாய், கறிவேப்பிலை, மெல்லியதாக நறுக்கிய வெங்காயம் தேவையான அளவு உப்பு சேர்த்து சூடாக்கி, வெங்காயத்தை நன்றாக மென்மையாகவும், பழுப்பு நிறமாகவும் வதக்கவும். சமைத்த இறால்களைச் சேர்த்து மசாலாவுடன் நன்கு கலக்கவும். நாம் ஏற்கனவே இறாலை சமைத்துவிட்டதால், சமைக்க அதிக நேரம் எடுக்காது, 3-4 நிமிடங்கள் போதும். சுவையான ருசியான இறால் வறுவல் தயார்....ஆஹா சுவையானது !!!!! அதை ருசிக்க நான் ஆவலுடன் காத்திருக்கிறேன். மகிழ்ச்சியான சமையல் !!!</t>
  </si>
  <si>
    <t>https://blogger.googleusercontent.com/img/b/R29vZ2xl/AVvXsEiyLP04l7ivFHKDnyKeH-nyVjxdHHBBuf8UJbF0VSrETiUlEKuSAWDF1zj_F6dVcW1q7sB6Yhaq7IPCtK7Oh2aNfI6wN7gAhs0JIQYn7UOJBhPOIrQ9THzZ4XHGXkFGTmP0eeUkTkLFJKbe/s640/Prawns+Fry.JPG</t>
  </si>
  <si>
    <t>https://youtu.be/oKdtpNjUntQ</t>
  </si>
  <si>
    <t>Curry Leaf Pepper Chicken</t>
  </si>
  <si>
    <t>கறிவேப்பிலை மிளகு கோழி</t>
  </si>
  <si>
    <t>1 inch - Cinnamon stick, 2 - Cloves,  3 - Cardamom, 1 tsp - Cumin Seeds, 1 tsp - Fennel Seeds, 1 Tbsp - Pepper corns, 1/2 cup - Curry leaves, 250g - Boneless Chicken pieces, 3 tbsp - Oil, 3 - cloves garlic, 1 inch - Ginger, 3 - Green chilies, 15 - small onion, 1/4 tsp - turmeric powder, 1 tsp - Coriander powder, some Curry leaves, Salt to taste.</t>
  </si>
  <si>
    <t>1 அங்குலம் - இலவங்கப்பட்டை குச்சி, 2 - கிராம்பு, 3 - ஏலக்காய், 1 தேக்கரண்டி - சீரகம், 1 தேக்கரண்டி - பெருஞ்சீரகம் விதைகள், 1 தேக்கரண்டி - மிளகு சோளம், 1/2 கப் - கறிவேப்பிலை, 250 கிராம் - எலும்பில்லாத கோழி துண்டுகள், 3 தேக்கரண்டி - எண்ணெய், 3 - பூண்டு பல், 1 அங்குலம் - இஞ்சி, 3 - பச்சை மிளகாய், 15 - சிறிய வெங்காயம், 1/4 தேக்கரண்டி - மஞ்சள் தூள், 1 தேக்கரண்டி - கொத்தமல்லி தூள், சிறிது கறிவேப்பிலை, சுவைக்கு உப்பு.</t>
  </si>
  <si>
    <t>to make curry leaf powder dry roast cinnamon , cardamom, cloves, cumin seeds, fennel seeds, pepper corns for 2 minutes on a medium heat and then add a handfull of curry leaves and again roast it for couple of more minutes.  Transfer this to a blender and grind it to a fine powder (allow the mixture to cool and then grind).  To make curry leaf chicken heat some oil add some chopped ginger and some chopped garlic (I prefer to use chopped one rather than ginger garlic paste) and some green chilies. After the raw smell is gone add turmeric powder , and a handfull of shallots  once the shallots are soft and golden add some curry leaves , coriander powder and the freshly ground curry leaf powder (from step 1) and mix it well .  Then add the chicken pieces and mix it well with the masalas and cook until the chicken is fully done.(It takes around 7 minutes if your chicken pieces are small - medium sized).  Our Delicious Healthy and tasty Curry leaf chicken is ready to be served..Happy Cooking .</t>
  </si>
  <si>
    <t>கறிவேப்பிலை பொடி செய்ய இலவங்கப்பட்டை, ஏலக்காய், கிராம்பு, சீரகம், பெருஞ்சீரகம், மிளகு ஆகியவற்றை மிதமான தீயில் 2 நிமிடங்கள் வறுக்கவும், பின்னர் ஒரு கைப்பிடி கறிவேப்பிலை சேர்த்து மீண்டும் இரண்டு நிமிடங்கள் வறுக்கவும். இதை ஒரு பிளெண்டரில் மாற்றி நன்றாக பொடியாக அரைக்கவும் (கலவையை ஆறவிடவும், பின்னர் அரைக்கவும்). கறிவேப்பிலை சிக்கன் செய்ய சிறிது எண்ணெயை சூடாக்கி, சிறிது நறுக்கிய இஞ்சி மற்றும் சிறிது நறுக்கிய பூண்டு (இஞ்சி பூண்டு விழுதை விட நறுக்கிய ஒன்றைப் பயன்படுத்துவது எனக்குப் பிடிக்கும்) மற்றும் சில பச்சை மிளகாய் சேர்க்கவும். பச்சை வாசனை போன பிறகு, மஞ்சள் தூள் மற்றும் ஒரு கைப்பிடி வெங்காயத்தைச் சேர்க்கவும். வெங்காயம் மென்மையாகவும் பொன்னிறமாகவும் மாறியதும், சிறிது கறிவேப்பிலை, கொத்தமல்லி தூள் மற்றும் புதிதாக அரைத்த கறிவேப்பிலை தூள் (படி 1 இல் இருந்து) சேர்த்து நன்கு கலக்கவும். பின்னர் சிக்கன் துண்டுகளைச் சேர்த்து மசாலாக்களுடன் நன்கு கலந்து சிக்கன் முழுமையாக வேகும் வரை சமைக்கவும். (உங்கள் சிக்கன் துண்டுகள் சிறியதாக இருந்தால் - நடுத்தர அளவில் இருந்தால் சுமார் 7 நிமிடங்கள் ஆகும்). எங்கள் சுவையான ஆரோக்கியமான மற்றும் சுவையான கறிவேப்பிலை சிக்கன் பரிமாற தயாராக உள்ளது.. மகிழ்ச்சியான சமையல்.</t>
  </si>
  <si>
    <t>https://blogger.googleusercontent.com/img/b/R29vZ2xl/AVvXsEggXiiQsB8Jldfpmd9jqCD-1MEdmdORsslsQWlBiBXBTKohNtjixQgNxGwZaa29VcGyPrQGgpgA3mnEEl7XzkYgiMaF8XBrOhRX8b7bNYY1-eYG7WiTIW2-CB0hcESnEZaUxajOWVIZVzFO/s640/curry+leaf+chicken.JPG</t>
  </si>
  <si>
    <t>https://youtu.be/bpoKRzTyRlU</t>
  </si>
  <si>
    <t>Rava Ladoo</t>
  </si>
  <si>
    <t>ரவா லட்டு</t>
  </si>
  <si>
    <t>1 Cup - Rava, 1 cup - Sugar, 1/2 cup - grated cocnut, 15-20  - Cashews, 1/4 cup - Raisins, 1/2 tsp - cardamom powder, 1/4 - 1/2  - Cup Milk.</t>
  </si>
  <si>
    <t>1 கப் - ரவா, 1 கப் - சர்க்கரை, 1/2 கப் - துருவிய தேங்காய், 15-20 - முந்திரி, 1/4 கப் - திராட்சை, 1/2 தேக்கரண்டி - ஏலக்காய் தூள், 1/4 - 1/2 - கப் பால்.</t>
  </si>
  <si>
    <t>Melt some ghee / clarified butter Once the ghee is melted add some cashews and roast until the cashews are golden .Then add some raisins and roast until the raisins are ballooned.  Add grated coconut and mix it well (if you like you can aslo add small pieces of coconut cunks)But I always prefer to add grated coconut.  Then add rava / sooji and roast it for 6-7 minutes on a low heat. once you feel the aroma of the rava add sugar and mix until the sugar is well combined.  After the sugar dissolves add some milk, mix well and turn off the heat.once the mixture cools down slightly make laddoo (take some portion of the mixture and press it in your hands to form ladoo shape).  Our delicious rawa ladoo is ready with 100% good result. Happy Cooking.</t>
  </si>
  <si>
    <t>நெய் உருகியதும் சிறிது நெய் / தெளித்த வெண்ணெய் உருக்கி, சிறிது முந்திரி சேர்த்து முந்திரி பொன்னிறமாகும் வரை வறுக்கவும். பின்னர் சிறிது திராட்சையும் சேர்த்து திராட்சை பலூன் ஆகும் வரை வறுக்கவும். துருவிய தேங்காயைச் சேர்த்து நன்கு கலக்கவும் (விரும்பினால் சிறிய தேங்காய் துண்டுகளையும் சேர்க்கலாம்) ஆனால் நான் எப்போதும் துருவிய தேங்காயைச் சேர்க்க விரும்புகிறேன். பின்னர் ரவா / சூஜியைச் சேர்த்து குறைந்த வெப்பத்தில் 6-7 நிமிடங்கள் வறுக்கவும். ரவாவின் வாசனையை உணர்ந்ததும் சர்க்கரை சேர்த்து சர்க்கரை நன்கு கலக்கும் வரை கலக்கவும். சர்க்கரை கரைந்த பிறகு சிறிது பால் சேர்த்து நன்கு கலந்து அடுப்பை அணைக்கவும். கலவை சிறிது குளிர்ந்ததும் லட்டு தயாரிக்கவும் (கலவையின் சிறிது பகுதியை எடுத்து உங்கள் கைகளில் அழுத்தி லட்டு வடிவத்தை உருவாக்கவும்). எங்கள் சுவையான ரவா லட்டு 100% நல்ல பலனுடன் தயாராக உள்ளது. மகிழ்ச்சியான சமையல்.</t>
  </si>
  <si>
    <t>https://blogger.googleusercontent.com/img/b/R29vZ2xl/AVvXsEiVC-bmwz6gs7uBnGDbvnsDSL3WfTCS1yqgmPq7SSQYlFgnkQmomCxSa4bfbRga5b3feQqETXOPS8bMDsld7NiNBMcZ38UuU9CBhfSfsUjjHfhjz0byb4aOYgjVpxqdTl4gjTD6IEGyUtxK/s640/sooji+laddu.JPG</t>
  </si>
  <si>
    <t>https://youtu.be/i0daUMZKTlY</t>
  </si>
  <si>
    <t>Paruppu Kulambu</t>
  </si>
  <si>
    <t>பருப்பு குழம்பு</t>
  </si>
  <si>
    <t>1 Cup - Thoor Dal , 1 - small onions, 3 - Cloves of garlic, 3 - Green chilies, 1 - Tomato, 1/2 tsp - Turmeric powder, 1/4 tsp - Hing / Asafoetida,  1 tsp - Chili powder, Salt to taste, Water as required, 1 tsp - Oil, 1/2 tsp - Mustard seeds, 3 - Dry Red chilies, Curry leaves.</t>
  </si>
  <si>
    <t>1 கப் - துவரம்பருப்பு , 1 - சிறிய வெங்காயம் , 3 - பூண்டு பல் , 3 - பச்சை மிளகாய் , 1 - தக்காளி , 1/2 தேக்கரண்டி - மஞ்சள் தூள் , 1/4 தேக்கரண்டி - பெருங்காயம் / பெருங்காயம் , 1 தேக்கரண்டி - மிளகாய் தூள் , ருசிக்க உப்பு , தேவைக்கேற்ப தண்ணீர் , 1 தேக்கரண்டி - எண்ணெய் , 1/2 தேக்கரண்டி - கடுகு , 3 - உலர்ந்த சிவப்பு மிளகாய் , கறிவேப்பிலை .</t>
  </si>
  <si>
    <t>In a pressure Cooker add the cleaned Thoor Dal, add enough water, shallots, garlic, green Chillies, turmeric powder, hing/asafoetida, chilli powder, salt to taste and cook for 4 whistles until the dal is fully done (100% cooked) we dont want any chunks.   To temper heat 1 tsp oil, once the oil is hot enough add mustard seeds once you hear the popping sound add dry red chilies , curry leaves and turn off the heat .Add the tempering to the cooke dal and mix well.</t>
  </si>
  <si>
    <t>ஒரு பிரஷர் குக்கரில் சுத்தம் செய்த துவரம்பருப்பு சேர்த்து , போதுமான தண்ணீர் , வெங்காயத்தாள் , பூண்டு , பச்சை மிளகாய் , மஞ்சள் தூள் , பெருங்காயம் , மிளகாய் தூள் , சுவைக்கேற்ப உப்பு சேர்த்து 4 விசில் வரும் வரை (100% வேகும் வரை) சமைக்கவும் . எங்களுக்கு எந்த துண்டுகளும் தேவையில்லை . 1 டீஸ்பூன் எண்ணெயை சூடாக்கவும். எண்ணெய் போதுமான அளவு சூடானதும் கடுகு சேர்த்து வெடிக்கும் சத்தம் கேட்டதும் காய்ந்த மிளகாய், கறிவேப்பிலை சேர்த்து அடுப்பை அணைக்கவும். வேகவைத்த பருப்பில் தாளிக்க கொடுத்துள்ளதை சேர்த்து நன்கு கலக்கவும்.</t>
  </si>
  <si>
    <t>https://blogger.googleusercontent.com/img/b/R29vZ2xl/AVvXsEiskRiYFbVKOXTgBFHMt2W2MzIWsnHrcNlENPYbkX4bRIO4NqUvu6AUzAS74o0XvwdwOPYmmmCHh390_PM0h5qrftXV9rREsmc12JlZyadEsODQbwlx-4Z3nA0jRitL1VCgT4zVzr4HYg8a/s640/paruppu+Kulambu.JPG</t>
  </si>
  <si>
    <t>Shrimp Biryani - Hyderabadi Style</t>
  </si>
  <si>
    <t>இறால் பிரியாணி - ஹைதராபாத் பாணி</t>
  </si>
  <si>
    <t>1.5 Cup - Basmati Rice, 1/2 kg - Shrimp (deveined),  1/4 tsp - Turmeric powder, 1/2 tsp  - garam masala,    1 tsp - Coriander powder, 1 tbsp - Chili powder, 3 - green chillies(paste), 2 tsp - Ginger Gralic Paste, 1/2 Cup - Curd / Yogurt, 1 +1 Cup - Fried Onions, handfull Coriander leaves and Mint leaves, 2 Tbsp - Ghee,  2 Tbsp - Oil, 1tsp - Fennel Seeds, 1 tsp - Shahi Jeera, 4 - Cloves, 10-15 - Pepper corns, 1 - Star anise , 1 - Mace, 4 - Cardamom, 2 inch - Cinamon Sticks, 12-15 - Saffron strands soaked in warm milk, 2 cups - Salt to Taste, 4 cups - Water.</t>
  </si>
  <si>
    <t>1.5 கப் - பாஸ்மதி அரிசி, 1/2 கிலோ - இறால் (நறுக்கப்பட்டது), 1/4 தேக்கரண்டி - மஞ்சள் தூள், 1/2 தேக்கரண்டி - கரம் மசாலா, 1 தேக்கரண்டி - கொத்தமல்லி தூள், 1 தேக்கரண்டி - மிளகாய் தூள், 3 - பச்சை மிளகாய் (பேஸ்ட்), 2 தேக்கரண்டி - இஞ்சி கிராலிக் பேஸ்ட், 1/2 கப் - தயிர் / தயிர், 1 +1 கப் - வறுத்த வெங்காயம், ஒரு கைப்பிடி கொத்தமல்லி இலைகள் மற்றும் புதினா இலைகள், 2 தேக்கரண்டி - நெய், 2 தேக்கரண்டி - எண்ணெய், 1 தேக்கரண்டி - பெருஞ்சீரகம் விதைகள், 1 தேக்கரண்டி - ஷாஹி ஜீரா, 4 - கிராம்பு, 10-15 - மிளகுத்தூள், 1 - நட்சத்திர சோம்பு, 1 - மேஸ், 4 - ஏலக்காய், 2 அங்குலம் - இலவங்கப்பட்டை குச்சிகள், 12-15 - சூடான பாலில் ஊறவைத்த குங்குமப்பூ, 2 கப் - சுவைக்கு உப்பு, 4 கப் - தண்ணீர்.</t>
  </si>
  <si>
    <t>To marinate combine turmeric powder, garam masala, Coriander powder, chilli powder, 3 green chillies(paste) , Ginger garlic paste, curd / Yogurt , fried onions , Coriander leaves, mint leaves Salt and Ghee /Clarified Butter together and mix it well the prawn and set it aside for minimum 20 - 30 minutes.        Flavoring the rice is very important especially when we are making Hyderabadi style otherwise the rice will be plain.So to flavor the rice in a cheese cloth add the whole spices fennel seeds, shahi jeera, Cloves, pepper corns, Star anise, mace, cardamom, cinamon sticks and tie the cheese cloth.You can also add the spices directly,but many of us dont like biting into spices when we taste our biryani so to avoid that i have used cheesecloth / any clean cloth.   Then add this cheese cloth to 2 tbsp of oil and allow the oil to extract all the flavors of the whole masalas after a minute add 2 Bay leaves and enough water, salt and bring it to a rolling boil Once the water comes to a rolling boil add basmati rice which has been soaked for atleast 30 minutes and cook until the rice is 70 % done (because we are going to cook the rice again).  In a heavy bottom pan add 2 tbsp oil and Spread the marinated prawns equally dont stalk too much(the one without contact to the surface will not be crispy)And add some of the 70 % cooked rice on to the top of the prawns and smoothern it,spread a layer of coriander leaves and some fried onions ,and then spread 80% cooked rice on the top and also add some coriander leaves and some fried onions.  To get nice color add some Saffron milk(soak 12-15 saffron strands to luke warm water and keep it for 10-15 minutes) and aslo add 2 tbsp of clarified butter / Ghee.Place a tight lid to cover and cook for 15 minutes until the prawns are nicely cooked.Then Turn off the heat and then leave it for 10 more minutes without opening the lid.   Our Delicious prawn Biryani is ready ,Mix lightly and enjoy. Dont mix too much (the beautiful yellow and white combination may get spoiled).</t>
  </si>
  <si>
    <t>மரினேட் செய்ய மஞ்சள் தூள், கரம் மசாலா, கொத்தமல்லி தூள், மிளகாய் தூள், 3 பச்சை மிளகாய் (பேஸ்ட்), இஞ்சி பூண்டு விழுது, தயிர் / தயிர், வறுத்த வெங்காயம், கொத்தமல்லி இலைகள், புதினா இலைகள் உப்பு மற்றும் நெய் / தெளித்த வெண்ணெய் ஆகியவற்றை ஒன்றாக கலந்து, இறாலை சேர்த்து குறைந்தது 20 - 30 நிமிடங்கள் தனியாக வைக்கவும். ஹைதராபாத் பாணியில் அரிசியை சுவைப்பது மிகவும் முக்கியம், இல்லையெனில் அரிசி சாதாரணமாக இருக்கும். எனவே ஒரு சீஸ் துணியில் அரிசியை சுவைக்க முழு மசாலாப் பொருட்களையும் சேர்த்து பெருஞ்சீரகம் விதைகள், ஷாஹி ஜீரா, கிராம்பு, மிளகு சோளம், நட்சத்திர சோம்பு, ஜாதிக்காய், ஏலக்காய், இலவங்கப்பட்டை குச்சிகள் சேர்த்து சீஸ் துணியைக் கட்டவும். நீங்கள் நேரடியாக மசாலாப் பொருட்களையும் சேர்க்கலாம், ஆனால் நம்மில் பலர் பிரியாணியை ருசிக்கும்போது மசாலாப் பொருட்களைக் கடிக்க விரும்புவதில்லை, அதனால் நான் சீஸ் துணி / எந்த சுத்தமான துணியையும் பயன்படுத்தியிருப்பதைத் தவிர்க்கலாம். பின்னர் இந்த சீஸ் துணியை 2 டேபிள் ஸ்பூன் எண்ணெயில் சேர்த்து, ஒரு நிமிடம் கழித்து எண்ணெய் முழு மசாலாக்களின் அனைத்து சுவைகளையும் பிரித்தெடுக்க அனுமதிக்கவும். 2 பே இலைகள் மற்றும் போதுமான தண்ணீர், உப்பு சேர்த்து கொதிக்க விடவும். தண்ணீர் கொதித்ததும், குறைந்தது 30 நிமிடங்கள் ஊறவைத்த பாஸ்மதி அரிசியைச் சேர்த்து, அரிசி 70% வேகும் வரை சமைக்கவும் (ஏனென்றால் நாங்கள் மீண்டும் அரிசியை சமைக்கப் போகிறோம்). அடி கனமான பாத்திரத்தில் 2 டேபிள் ஸ்பூன் எண்ணெயைச் சேர்த்து, மரைனேட் செய்யப்பட்ட இறாலை அதிகமாகத் தண்டு இல்லாமல் பரப்பவும் (மேற்பரப்பில் தொடாதது மொறுமொறுப்பாக இருக்காது). மேலும் 70% சமைத்த அரிசியில் சிலவற்றை இறாலின் மேல் சேர்த்து மென்மையாக்கவும், கொத்தமல்லி இலைகள் மற்றும் சிறிது வறுத்த வெங்காயத்தை ஒரு அடுக்கு கொத்தமல்லி இலைகள் மற்றும் சிறிது வறுத்த வெங்காயத்தை பரப்பி, பின்னர் 80% சமைத்த அரிசியை மேலே பரப்பி, சில கொத்தமல்லி இலைகள் மற்றும் சிறிது வறுத்த வெங்காயத்தையும் சேர்க்கவும். நல்ல நிறம் பெற சிறிது குங்குமப்பூ பால் சேர்க்கவும் (12-15 குங்குமப்பூ இழைகளை வெதுவெதுப்பான நீரில் ஊறவைத்து 10-15 நிமிடங்கள் வைக்கவும்) மேலும் 2 தேக்கரண்டி வெண்ணெய் / நெய் சேர்க்கவும். ஒரு இறுக்கமான மூடியை மூடி வைத்து இறால் நன்றாக வேகும் வரை 15 நிமிடங்கள் சமைக்கவும். பின்னர் அடுப்பை அணைத்துவிட்டு, மூடியைத் திறக்காமல் மேலும் 10 நிமிடங்கள் வைக்கவும். எங்கள் சுவையான இறால் பிரியாணி தயார், லேசாக கலந்து மகிழுங்கள். அதிகமாக கலக்க வேண்டாம் (அழகான மஞ்சள் மற்றும் வெள்ளை கலவை கெட்டுப்போகலாம்).</t>
  </si>
  <si>
    <t>https://blogger.googleusercontent.com/img/b/R29vZ2xl/AVvXsEjKl5bRc7z_XczCYW5TMEtjPUCHHD-GQ4YKhCoy9yndS-W0zl0U4njfwBrisKB_-AdUiCuvygQ0lnEZqk1wmdhACvIv8U9IkkMHXAeyXS0bwnjgowrBXORz1Tfpyf5ooBwTCYI_sJLfmnQ-/s640/hyderabadi+prawn+biryani.JPG</t>
  </si>
  <si>
    <t>https://youtu.be/Gr65-bm4DjY</t>
  </si>
  <si>
    <t>Chilli Parotta</t>
  </si>
  <si>
    <t>மிளகாய் பரோட்டா</t>
  </si>
  <si>
    <t>4 -Parotta (cut into medium sized cubes), 1 - Onion, 1/2 - Bell pepper / Capsicum, ¼ tsp  - mustard seeds, 2 tsp - chopped  ginger, 2 tsp - chopped garlic, 5 - green chillies, 1 tsp - Coriander powder, 1 tsp - Garam masala powder, 1 tsp - Cumin seeds, 2 tsp - tomato sauce , 1 Tbsp - Chilli sauce, 3 Tbsp - Oil, Required salt, curry leaves for garnishing.</t>
  </si>
  <si>
    <t>4 - பரோட்டா (நடுத்தர அளவிலான க்யூப்ஸாக வெட்டப்பட்டது), 1 - வெங்காயம், 1/2 -  கேப்சிகம், ¼ தேக்கரண்டி - கடுகு விதைகள், 2 தேக்கரண்டி - நறுக்கிய இஞ்சி, 2 தேக்கரண்டி - நறுக்கிய பூண்டு, 5 - பச்சை மிளகாய், 1 தேக்கரண்டி - கொத்தமல்லி தூள், 1 தேக்கரண்டி - கரம் மசாலா தூள், 1 தேக்கரண்டி - சீரகம், 2 தேக்கரண்டி - தக்காளி சாஸ், 1 தேக்கரண்டி - மிளகாய் சாஸ், 3 தேக்கரண்டி - எண்ணெய், தேவையான உப்பு, அலங்கரிக்க கறிவேப்பிலை.</t>
  </si>
  <si>
    <t>Cut the parottas into medium sized cubes (you can also use frozen parottas,heat or steam the parottas before starting to make chili parotta) .  In a heavy bottom pan heat some oil and add mustard seeds,once the seeds pops out add grated ginger and grated garlic, after a minute add some curry leaves, green chilies and mix once.  Add in the cubed onions and cubed bell pepper and saute until the onions are browned and crispy.(do not burn).  then add the masalas garam masala powder , coriander powder, cumin powder I did not added tomatoes because tomatoes makes the parottas soggy (we want our chili parotta to be crispy) instead add tomato sauce mix once and add the sauces Chili sauce and to give some sourness add some tomato Ketchup and combine everything together.   Finally add the cubed parottas and mix it nicely until all the parotta pieces are well coated with the masalas.  That's it our delicious Chilli parota is done with less oil.Serve it with some Raitha. Happy Cooking!!!</t>
  </si>
  <si>
    <t>பரோட்டாக்களை நடுத்தர அளவிலான க்யூப்ஸாக வெட்டுங்கள் (நீங்கள் உறைந்த பரோட்டாக்களையும் பயன்படுத்தலாம், மிளகாய் பரோட்டா செய்யத் தொடங்குவதற்கு முன் பரோட்டாக்களை சூடாக்கலாம் அல்லது வேகவைக்கலாம்). அடி கனமான பாத்திரத்தில் சிறிது எண்ணெயைச் சூடாக்கி, கடுகு விதைகளைச் சேர்க்கவும், விதைகள் வெளிவந்ததும் துருவிய இஞ்சி மற்றும் துருவிய பூண்டு சேர்க்கவும், ஒரு நிமிடம் கழித்து சில கறிவேப்பிலை, பச்சை மிளகாய் சேர்த்து ஒரு முறை கலக்கவும். வெங்காயம் க்யூப் செய்து, க்யூப் செய்து நறுக்கிய குடை மிளகாயைச் சேர்த்து, வெங்காயம் பொன்னிறமாகி மொறுமொறுப்பாகும் வரை வதக்கவும். (எரிக்க வேண்டாம்). பிறகு மசாலா, கரம் மசாலா, கொத்தமல்லி தூள், சீரகத் தூள் சேர்க்கவும். தக்காளி பரோட்டாவை ஈரமாக்குவதால் நான் தக்காளியைச் சேர்க்கவில்லை (எங்கள் மிளகாய் பரோட்டா மொறுமொறுப்பாக இருக்க வேண்டும் என்று நாங்கள் விரும்புகிறோம்). அதற்கு பதிலாக தக்காளி சாஸை ஒரு முறை சேர்த்து, சாஸ், மிளகாய் சாஸ் சேர்த்து, சிறிது புளிப்புத் தன்மை வர சிறிது தக்காளி கெட்ச்அப் சேர்த்து, அனைத்தையும் ஒன்றாகக் கலக்கவும். இறுதியாக க்யூப் செய்து நறுக்கிய பரோட்டாவைச் சேர்த்து, அனைத்து பரோட்டா துண்டுகளும் மசாலாவுடன் நன்கு பூசப்படும் வரை நன்றாகக் கலக்கவும். அவ்வளவுதான், எங்கள் சுவையான மிளகாய் பரோட்டா குறைந்த எண்ணெயில் தயாராகிறது. சிறிது ரைத்தாவுடன் பரிமாறவும். மகிழ்ச்சியான சமையல்!!!</t>
  </si>
  <si>
    <t>https://blogger.googleusercontent.com/img/b/R29vZ2xl/AVvXsEi_tEdQbdZWHwU2ZveiXeIbLwzLDnvDuTHbJ3R7IfuxV7xSoeMpPF6ZOiFfGa70yM0SrU_lm2x1V76U3VEwtcNIXYWNVUmewbRfo02gSVOId2gaYmM1N2UoYqwMaWdvpzu3TT0XknopQmE9/s640/Chili+parotta.JPG</t>
  </si>
  <si>
    <t>https://youtu.be/afkbmrRzRN4</t>
  </si>
  <si>
    <t>Pepper Chicken</t>
  </si>
  <si>
    <t>மிளகு கோழி</t>
  </si>
  <si>
    <t>750g - Chicken (with bone),  1 - Onion,  1 - Tomato,  1.5 tbsp - Pepper powder, 2,1,4,4,3 - bay leaves, Cinamon stick, Cloves, Cardamom, Red chilies,  1/2 tsp - turmeric powder,  2 tsp - chili powder,  2 tsp - Coriander powder,  2 Tbsp - Oil,  Required salt,  curry leaves for garnishing.</t>
  </si>
  <si>
    <t>750 கிராம் - கோழி (எலும்புடன்), 1 - வெங்காயம், 1 - தக்காளி, 1.5 டீஸ்பூன் - மிளகு தூள், 2,1,4,4,3 - பிரியாணி இலைகள், இலவங்கப்பட்டை குச்சி, கிராம்பு, ஏலக்காய், சிவப்பு மிளகாய், 1/2 டீஸ்பூன் - மஞ்சள் தூள், 2 டீஸ்பூன் - மிளகாய் தூள், 2 டீஸ்பூன் - கொத்தமல்லி தூள், 2 டீஸ்பூன் - எண்ணெய், தேவையான உப்பு, அலங்கரிக்க கறிவேப்பிலை.</t>
  </si>
  <si>
    <t>heat some oil and add mustard seeds, cinnamon sticks, Cardamom, cloves ,bay leaves, 3 red chilies to temper and the add 1 chopped onion,salt and saute until the onions are golden brown be careful do not burn the onions (it will taste bitter).  Once the onions are golden add 1 tbsp of ginger garlic paste and saute for a couple of minutes.For the masalas add turmeric powder, Chili powder and coriander powder and mix it well and.  Add 1 chopped tomato (you can also continue without adding tomatoes,instead add 1 tsp of lemon juice to it) and then the cleaned chicken pieces and mix it well with the masalas, cover and cook for 8- 10 minutes until the chicken is 100% cooked.  Once the chicken is well done add pepper powder mix it well and also add some curry leaves for garnishing and turn off the heat.</t>
  </si>
  <si>
    <t>சிறிது எண்ணெயை சூடாக்கி, கடுகு, இலவங்கப்பட்டை குச்சிகள், ஏலக்காய், கிராம்பு, பிரியாணி இலைகள், 3 சிவப்பு மிளகாய் சேர்த்து, 1 நறுக்கிய வெங்காயம், உப்பு சேர்த்து வெங்காயம் பொன்னிறமாகும் வரை வதக்கவும். வெங்காயம் எரியாமல் கவனமாக இருங்கள் (கசப்பாக இருக்கும்). வெங்காயம் பொன்னிறமாக மாறியதும் 1 டீஸ்பூன் இஞ்சி பூண்டு விழுது சேர்த்து இரண்டு நிமிடங்கள் வதக்கவும். மசாலாக்களுக்கு மஞ்சள் தூள், மிளகாய் தூள் மற்றும் கொத்தமல்லி தூள் சேர்த்து நன்கு கலக்கவும். 1 நறுக்கிய தக்காளியைச் சேர்த்து (தக்காளி சேர்க்காமல் வதக்கலாம், அதற்குப் பதிலாக 1 தேக்கரண்டி எலுமிச்சை சாறு சேர்க்கவும்) பின்னர் சுத்தம் செய்த கோழித் துண்டுகளைச் சேர்த்து மசாலாக்களுடன் நன்கு கலந்து, மூடி வைத்து 8-10 நிமிடங்கள் கோழி 100% வேகும் வரை சமைக்கவும். கோழி நன்றாக வெந்தவுடன் மிளகுத் தூள் சேர்த்து நன்கு கலக்கவும், அலங்கரிக்க சிறிது கறிவேப்பிலை சேர்த்து அடுப்பை அணைக்கவும்.</t>
  </si>
  <si>
    <t>https://blogger.googleusercontent.com/img/b/R29vZ2xl/AVvXsEjvtjJh2F1xlD6GdkCxdLnw8QkAQKysWyJj9KwkbT0xXDZGFmIDSTp5-QpC-SdBkiaHUdbgYG_T0KKZ1imUGAgaj9JNAsPz9Ko2zherIKOHcohELqnPiY4wW3_374yKVijQOX7Kz0xUpVAU/s640/Pepper+Chicken+Chettinad.JPG</t>
  </si>
  <si>
    <t>https://youtu.be/53gwFbONYKE</t>
  </si>
  <si>
    <t>Chettinad Mutton Curry</t>
  </si>
  <si>
    <t>செட்டிநாடு மட்டன் கறி</t>
  </si>
  <si>
    <t>1 kg - Mutton , 1 tsp - oil, 1 inch - Cinnamon stick, 3 - cardamom pods, 3 - cloves, 1 tsp - Cumin seeds, 1 tsp - fennel seeds, 4 - Dry Red Chilies, 1 Tbsp - coriander seeds, 3 Tbsp - grated coconut, 5 - Cashews, 2 Tbsp - Oil, 2  - Bay leaves, 1/4 tsp - Mustard seeds, 1(250 g) - shallots, 1 Tbsp - Ginger Garlic paste, 1  - tomato, 1/2 tsp - Turmeric powder, 1-2 Tbsp - Red Chili Powder, Handfull coriander leaves, 1 cup - Water, Salt to Taste.</t>
  </si>
  <si>
    <t>1 கிலோ - மட்டன், 1 தேக்கரண்டி - எண்ணெய், 1 அங்குலம் - இலவங்கப்பட்டை, 3 - ஏலக்காய் காய்கள், 3 - கிராம்பு, 1 தேக்கரண்டி - சீரகம், 1 தேக்கரண்டி - பெருஞ்சீரகம், 4 - உலர்ந்த சிவப்பு மிளகாய், 1 தேக்கரண்டி - கொத்தமல்லி விதைகள், 3 தேக்கரண்டி - துருவிய தேங்காய், 5 - முந்திரி, 2 தேக்கரண்டி - எண்ணெய், 2 - பிரியாணி இலைகள், 1/4 தேக்கரண்டி - கடுகு, 1 (250 கிராம்) - வெங்காயத்தாள், 1 தேக்கரண்டி - இஞ்சி பூண்டு விழுது, 1 - தக்காளி, 1/2 தேக்கரண்டி - மஞ்சள் தூள், 1-2 தேக்கரண்டி - சிவப்பு மிளகாய் தூள், ஒரு கைப்பிடி கொத்தமல்லி இலைகள், 1 கப் - தண்ணீர், சுவைக்கேற்ப உப்பு.</t>
  </si>
  <si>
    <t>To make chettinad masala roast cinamon stick, cardamom, cloves, fennel seeds, cumin seeds, coriander seeds, dry red chilies ,grated coconut ,5 cashews in 1 tsp of oil for 2 minutes on a medium heat and grind it to a smooth paste.  In a pan heat some oil, add some mustard seeds 2 bay leaves and add some shallots (small onions) Shallots adds a unique taste to the mutton curry.Especially in Chettinad Cuisines they use shallots than regular onions add some salt and cook for 2 minutes once the shallots are golden add ginger garlic paste and cook for two more minutes.  Add chopped tomato and then add the masalas turmeric powder, chili powder and also add the freshly ground chettinad masala(in step 1).  add the mutton pieces and mix it well with the masalas and transfer it to a cooker,add water (enough to cook the mutton pieces) if you want the gravy to be thick add less water and cook for 4 whistles on a medium heat (or until the meat is well cooked).  Once the mutton is well cooked add some chopped coriander leaves and turn off the heatyou can see the oil oozing out(yummylicious).</t>
  </si>
  <si>
    <t>செட்டிநாடு மசாலா செய்ய, இலவங்கப்பட்டை குச்சி, ஏலக்காய், கிராம்பு, பெருஞ்சீரகம், சீரகம், கொத்தமல்லி விதைகள், உலர்ந்த சிவப்பு மிளகாய், துருவிய தேங்காய், 5 முந்திரி ஆகியவற்றை 1 தேக்கரண்டி எண்ணெயில் 2 நிமிடங்கள் மிதமான தீயில் வறுத்து, மென்மையான பேஸ்ட் வரை அரைக்கவும். ஒரு கடாயில் சிறிது எண்ணெயை சூடாக்கி, சிறிது கடுகு, 2 பிரியாணி இலைகள் மற்றும் சிறிது வெங்காயம் (சிறிய வெங்காயம்) சேர்க்கவும். வெங்காயம் மட்டன் கறிக்கு ஒரு தனித்துவமான சுவையை சேர்க்கிறது. குறிப்பாக செட்டிநாடு உணவுகளில், வழக்கமான வெங்காயத்தை விட வெங்காயம் பயன்படுத்தப்படுகிறது, சிறிது உப்பு சேர்த்து, வெங்காயம் பொன்னிறமாக மாறியதும் 2 நிமிடங்கள் சமைக்கவும். நறுக்கிய தக்காளியைச் சேர்த்து, பின்னர் மசாலாக்கள், மஞ்சள் தூள், மிளகாய் தூள், புதிதாக அரைத்த செட்டிநாடு மசாலாவைச் சேர்க்கவும் (படி 1 இல்). மட்டன் துண்டுகளைச் சேர்த்து மசாலாக்களுடன் நன்றாகக் கலந்து, குக்கரில் போட்டு வதக்கவும். குழம்பு கெட்டியாக வேண்டுமென்றால், தண்ணீர் சேர்க்கவும் (மட்டன் துண்டுகளை வேகவைக்க போதுமானது). கிரேவி கெட்டியாக வேண்டுமென்றால், தண்ணீரைக் குறைத்து, மிதமான தீயில் 4 விசில் வரை (அல்லது இறைச்சி நன்றாக வேகும் வரை) சமைக்கவும். மட்டன் நன்றாக வெந்தவுடன், நறுக்கிய கொத்தமல்லி இலைகளைச் சேர்த்து, அடுப்பை அணைத்துவிட்டால், எண்ணெய் கசிவதைக் காணலாம் (சுவையாக).</t>
  </si>
  <si>
    <t>https://blogger.googleusercontent.com/img/b/R29vZ2xl/AVvXsEhON9WbghWIMXVtrTkXmYre6bNjli8HOhXxskz5jIq8CY0QRi6WyioAK9Rb29U0jQGjBVxnM1Kjr7ST6On6v_1eEzmnMk9D8EGD08R0QuWtdUVthFqSp6FyVxSuuiHAOkMaYk4FiGvHnyr4/s640/mutton+kulambu.JPG</t>
  </si>
  <si>
    <t>https://youtu.be/JyjW0kpD8Kc</t>
  </si>
  <si>
    <t>கோழி குழம்பு</t>
  </si>
  <si>
    <t>750g - Chicken , 1 cup - Grated coconut, 1 Tbsp - Pepper corns, 2 tsp - Fennel seeds , 2 tsp - Cumin seeds, 2 - Onions(sliced), 2 Tbsp - Ginger garlic and Green chili paste, 1/2 tsp - Turmeric powder, 2 tsp - Chili powder, 1 Tbsp - Coriander powder, 2,1,4,4  - Bay leaves, Cinnamon stick,Cradamom,Cloves, 2 - Tomatoes(sliced), 2 Tbsp - Oil, Salt to taste, curry leaves and coriander leaves for garnishing, salt to taste.</t>
  </si>
  <si>
    <t>750 கிராம் - கோழி, 1 கப் - துருவிய தேங்காய், 1 டேபிள்ஸ்பூன் - மிளகு, 2 டேபிள்ஸ்பூன் - வெந்தயம், 2 டேபிள்ஸ்பூன் - சீரகம், 2 - வெங்காயம் (நறுக்கியது), 2 டேபிள்ஸ்பூன் - இஞ்சி பூண்டு மற்றும் பச்சை மிளகாய் விழுது, 1/2 டேபிள்ஸ்பூன் - மஞ்சள் தூள், 2 டேபிள்ஸ்பூன் - மிளகாய் தூள், 1 டேபிள்ஸ்பூன் - கொத்தமல்லி தூள், 2,1,4,4 - பிரியாணி இலைகள், இலவங்கப்பட்டை, கிராம்பு, கிராம்பு, 2 - தக்காளி (நறுக்கியது), 2 டேபிள்ஸ்பூன் - எண்ணெய், சுவைக்கு உப்பு, கறிவேப்பிலை மற்றும் அலங்காரத்திற்கு கொத்தமல்லி, சுவைக்கு உப்பு.</t>
  </si>
  <si>
    <t>To make coconut paste grind grated coconut, pepper corns ,Feneel seeds ,cumin seeds into a fine paste and keep it aside.   In a pan heat some oil and add the whole spices bay leaves, cinnamon stick , cloves, cardamom ( if you dont like the taste of cardamom you can skip)Then add sliced onions, salt and saute until the onions are golden brown.   once the onions are browned add 2 tbsp of ginger garlic and green chili paste(if you dont have the three mixture handy then add 1 tbsp of ginger garlic paste and 3 green chilies)Then add turmeric powder, coriander powder and chili powder (we have already added 1 tbsp pepper corns while grinding coconut paste so adjust the amount of chili powder accordingly).  once everything is mixed add some curry leaves and also add 2 sliced tomatoes and cook until soft and the mixture turns into a paste.(this chicken curry will be already be smooth,if you want it to be extra smooth then grind the onion and tomato mixture after cooking and add it to the gravy).  Then add the chicken pieces and mix it well with the masalas add water if needed and when the chicken is half done add the coconut paste and cook until the chicken is fully cooked. It may take around 20 -25 minutes for the chicken to get cooked completely.   Once the chicken is cooked,oil starts to separate and you can feel the wonderful aroma of the chicken curry at that point add some chopped coriander leaves to make it even more flavorful.</t>
  </si>
  <si>
    <t>தேங்காய் விழுது செய்ய துருவிய தேங்காய், மிளகு சோளம், வெந்தயம் விதைகள், சீரகம் ஆகியவற்றை நன்றாக விழுதாக அரைத்து தனியாக வைக்கவும். ஒரு கடாயில் சிறிது எண்ணெயை சூடாக்கி, முழு மசாலாப் பொருட்களையும் சேர்த்து, பிரியாணி இலைகள், இலவங்கப்பட்டை குச்சி, கிராம்பு, ஏலக்காய் (ஏலக்காயின் சுவை உங்களுக்குப் பிடிக்கவில்லை என்றால் நீங்கள் தவிர்க்கலாம்) சேர்க்கவும். பின்னர் நறுக்கிய வெங்காயம், உப்பு சேர்த்து வெங்காயம் பொன்னிறமாகும் வரை வதக்கவும். வெங்காயம் பொன்னிறமானதும் 2 டேபிள்ஸ்பூன் இஞ்சி பூண்டு மற்றும் பச்சை மிளகாய் விழுது சேர்க்கவும் (மூன்று கலவையும் உங்களிடம் இல்லையென்றால் 1 டேபிள்ஸ்பூன் இஞ்சி பூண்டு விழுது மற்றும் 3 பச்சை மிளகாய் சேர்க்கவும்) பின்னர் மஞ்சள் தூள், கொத்தமல்லி தூள் மற்றும் மிளகாய் தூள் சேர்க்கவும் (தேங்காய் விழுதை அரைக்கும் போது ஏற்கனவே 1 டேபிள்ஸ்பூன் மிளகுத்தூள் சேர்த்துள்ளோம், எனவே மிளகாய் தூளின் அளவை சரிசெய்யவும்). எல்லாம் கலந்ததும், சிறிது கறிவேப்பிலை மற்றும் 2 துண்டுகளாக்கப்பட்ட தக்காளியைச் சேர்த்து மென்மையாகும் வரை சமைக்கவும். (இந்த சிக்கன் கறி ஏற்கனவே மென்மையாக இருக்கும், நீங்கள் கூடுதல் மென்மையாக இருக்க விரும்பினால், வெங்காயம் மற்றும் தக்காளி கலவையை சமைத்த பிறகு அரைத்து கிரேவியில் சேர்க்கவும்). பின்னர் சிக்கன் துண்டுகளைச் சேர்த்து மசாலாக்களுடன் நன்கு கலக்கவும், தேவைப்பட்டால் தண்ணீர் சேர்க்கவும், சிக்கன் பாதி தயாரானதும் தேங்காய் விழுது சேர்த்து சிக்கன் முழுமையாக வேகும் வரை சமைக்கவும். கோழி முழுவதுமாக வேக சுமார் 20 -25 நிமிடங்கள் ஆகலாம். கோழி வெந்தவுடன், எண்ணெய் பிரிந்து வரத் தொடங்கும், கோழி கறியின் அற்புதமான நறுமணத்தை நீங்கள் உணரலாம், அப்போது சிறிது நறுக்கிய கொத்தமல்லி இலைகளைச் சேர்க்கவும், அது இன்னும் சுவையாக இருக்கும்</t>
  </si>
  <si>
    <t>https://blogger.googleusercontent.com/img/b/R29vZ2xl/AVvXsEj-82OC_-Y_l04u09AFBrZTnCr22o4zAeTc0dRSKuiV-jZ0NbeTxKoeejMXtsPXUblPZoEqo_g2RJfvSY0L1viDEXAcK8UF-UCa3uSopyUeOPT17Me35bm6VsnXjggavDp5Aof4DN8EKmmC/s640/Chicken+Curry.JPG</t>
  </si>
  <si>
    <t>https://youtu.be/MFuTHYj8p8Q</t>
  </si>
  <si>
    <t>Mutton Chukka</t>
  </si>
  <si>
    <t>மட்டன் சுக்கா</t>
  </si>
  <si>
    <t>Mutton Side Dish</t>
  </si>
  <si>
    <t>500g - Mutton , 1 tsp - Cumin seeds, 2 tsp - Pepper corns, 1 tsp - Coriander seeds, 4 - Dry Red Chili , 150g -  small onion, 1 Tbsp - Ginger Garlic paste, 5 - Green chilies, 1/2 tsp - Turmeric powder, 3 - Green chilies, 2 Tbsp - Oil, Salt to taste, Curry Leaves.</t>
  </si>
  <si>
    <t>500 கிராம் - மட்டன், 1 தேக்கரண்டி - சீரகம், 2 தேக்கரண்டி - மிளகு, 1 தேக்கரண்டி - கொத்தமல்லி விதைகள், 4 - உலர்ந்த சிவப்பு மிளகாய், 150 கிராம் - சிறிய வெங்காயம், 1 தேக்கரண்டி - இஞ்சி பூண்டு விழுது, 5 - பச்சை மிளகாய், 1/2 தேக்கரண்டி - மஞ்சள் தூள், 3 - பச்சை மிளகாய், 2 தேக்கரண்டி - எண்ணெய், ருசிக்க உப்பு, கறிவேப்பிலை.</t>
  </si>
  <si>
    <t>Lets prepare masala for mutton, powder Cumin Seeds, Pepper corns, Dry red chili, coriander seeds in a blender and grind it to a fine powder and keep it aside.   In a pressure cooker add the mutton pieces, along with the lamb add turmeric powder, freshly ground mutton masala(in step 1),  required salt with 1/2 cup of water and cook for 3 whistles.  In a pan heat some oil and add green chilies , curry leaves, shallots, salt and saute until shallots are golden and then add 1 tbsp ginger garlic paste and saute it for a couple of minutes until the raw smell is gone.  Add the cooked mutton pieces and cook for some more time until all the water has been evaporated and the mutton become a little dry.  Delicious Mutton Roast / Mutton chukka is ready.. enjoy this side with any rice varieties and also goes excellent with Dosa , puri and Chappathi ...Happy Cooking!!!</t>
  </si>
  <si>
    <t>மட்டனுக்கு மசாலா தயார் செய்து, சீரகம், மிளகு, உலர்ந்த சிவப்பு மிளகாய், கொத்தமல்லி விதைகளை ஒரு பிளெண்டரில் பொடி செய்து, நன்றாக அரைத்து தனியாக வைக்கவும். ஒரு பிரஷர் குக்கரில் மட்டன் துண்டுகளைச் சேர்த்து, ஆட்டுக்குட்டியுடன் மஞ்சள் தூள், புதிதாக அரைத்த மட்டன் மசாலா (படி 1 இல்), தேவையான உப்பு சேர்த்து 1/2 கப் தண்ணீர் சேர்த்து 3 விசில் வரை சமைக்கவும். ஒரு கடாயில் சிறிது எண்ணெயை சூடாக்கி, பச்சை மிளகாய், கறிவேப்பிலை, வெங்காயத்தாள், உப்பு சேர்த்து, வெங்காயத்தாள் பொன்னிறமாகும் வரை வதக்கவும். பின்னர் 1 டீஸ்பூன் இஞ்சி பூண்டு விழுது சேர்த்து, பச்சை வாசனை போகும் வரை இரண்டு நிமிடங்கள் வதக்கவும். சமைத்த மட்டன் துண்டுகளைச் சேர்த்து, தண்ணீர் முழுவதும் ஆவியாகி மட்டன் சிறிது காயும் வரை சிறிது நேரம் சமைக்கவும். சுவையான மட்டன் வறுவல் / மட்டன் சுக்கா தயார்.. இந்த பக்கத்தை எந்த அரிசி வகைகளுடனும் சேர்த்து மகிழுங்கள், மேலும் தோசை, பூரி மற்றும் சப்பாத்தியுடன் அருமையாக இருக்கும்...சமையல் சுவையாக இருக்கும்!!!</t>
  </si>
  <si>
    <t>https://blogger.googleusercontent.com/img/b/R29vZ2xl/AVvXsEg3lBUi04GFRhvIdMeDeNphtA6SyVb6XlaVdPY53VspCP9TjCEPSCTKnkt5Hta5RNgYd0huHqKEBqTRThJ34MtGMLwlF0F2fIMEVWjS7yabKhyphenhyphenTd6K6SHA27pUTrw0KqF93ep_uyFuSomlY/s640/mutton+roast.JPG</t>
  </si>
  <si>
    <t>https://youtu.be/48EM-qtUqSM</t>
  </si>
  <si>
    <t>Veg Biryani</t>
  </si>
  <si>
    <t>2 cups- Basmati rice (soaked for 30 min), 2 tbsp - Ghee, 2 - Bay leaves, 1 inch - Cinnamon stick, 4  - Cloves, 4 - Cardamom, 1(250g)  - Large onion(sliced), 3 - Green chilies, 1 tbsp - Ginger garlic paste, 1/2 tsp - Turmeric powder, 1 tsp - Garam masala powder, 2 tsp - Coriander powder, 1 tbsp - Chili powder (you can adjust according to your spice level), 1(150g) - Tomato(sliced), 1/2 cup - Curd, coriander and mint leaves, any vegetables of your choice , 3 - carrots, 12 -  beans, 1/4 - cauliflower, 1 - potato, 1/4 cup - Green peas.</t>
  </si>
  <si>
    <t>2 கப்- பாஸ்மதி அரிசி (30 நிமிடங்கள் ஊறவைத்தது), 2 டேபிள்ஸ்பூன் - நெய், 2 - பிரியாணி இலைகள், 1 அங்குலம் - இலவங்கப்பட்டை, 4 - கிராம்பு, 4 - ஏலக்காய், 1(250 கிராம்) - பெரிய வெங்காயம் (நறுக்கியது), 3 - பச்சை மிளகாய், 1 டேபிள்ஸ்பூன் - இஞ்சி பூண்டு விழுது, 1/2 டேபிள்ஸ்பூன் - மஞ்சள் தூள், 1 டேபிள்ஸ்பூன் - கரம் மசாலா தூள், 2 டேபிள்ஸ்பூன் - கொத்தமல்லி தூள், 1 டேபிள்ஸ்பூன் - மிளகாய் தூள் (உங்கள் மசாலா அளவைப் பொறுத்து சரிசெய்யலாம்), 1(150 கிராம்) - தக்காளி (நறுக்கியது), 1/2 கப் - தயிர், கொத்தமல்லி மற்றும் புதினா இலைகள், உங்களுக்கு விருப்பமான எந்த காய்கறிகளும், 3 - கேரட், 12 - பீன்ஸ், 1/4 - காலிஃபிளவர், 1 - உருளைக்கிழங்கு, 1/4 கப் - பச்சை பட்டாணி.</t>
  </si>
  <si>
    <t>Melt 2 tbsp Ghee/ Clarified Butter to enrich the taste .You can aslo use regular cooking oil.Add the whole spices cinnamon, cardamom, bay leaves, cloves and after a minute add 1 sliced onion(250g) , add required salt and saute until the onions are golden brown.   Once the onions are nice and brown add 3 green chilies and 1 tbsp of Ginger garlic paste and saute until the raw smell is gone. Then add the masalas turmeric powder ,garam masala powder, coriander powder, chili powder and mix once be careful do not burn the masalas.  Then add 1 tomato (150g) and cook until everything turns into a paste.we dont want any tomato chunks in our veg biryani.  Add the vegetable (i have taken carrots, beans, Cauliflower, Potatoes, Green Peas) you can add any vegetables you like. mix the veggies well with the tomato paste and then add curd / yogurt. If you dont like to add curd then add 2 tbsp of lemon juice to it.   Now add water (for 2 cups of basmati rice we need 3 cups of water) normally for cooking rice we add 1:2 ratio of rice:water, but since we have already soaked the basmati rice for 30 minutes 3 cups will be enough) .Add some coriander and some mint leaves.  Then add the Basmati / Biryani rice (2 cups of biryani rice which has been soaked for atleadt 30 minutes) mix once ,Check for salt and add required salt and cook for 1 whistle on a medium heat.after a whistle dont open the cooker immediately,let it stand for 15 more minutes.  Open and stir lightly (be careful do not break the rice).   Our delicious easy veg biryani in pressure Cooker is ready now. Enjoy this one pot veg viryab=ni with some raita or Brinjal Gravy. Very easy to make and very tasty as well. Happy Cooking!!!</t>
  </si>
  <si>
    <t>சுவையை அதிகரிக்க 2 டேபிள் ஸ்பூன் நெய்/ கிளாரிஃபைடு வெண்ணெயை உருக்கவும். நீங்கள் வழக்கமான சமையல் எண்ணெயையும் பயன்படுத்தலாம். முழு மசாலாப் பொருட்களையும் சேர்த்து இலவங்கப்பட்டை, ஏலக்காய், பிரியாணி இலைகள், கிராம்பு சேர்த்து ஒரு நிமிடம் கழித்து 1 நறுக்கிய வெங்காயம் (250 கிராம்) சேர்த்து, தேவையான உப்பு சேர்த்து வெங்காயம் பொன்னிறமாகும் வரை வதக்கவும். வெங்காயம் நன்றாக வதங்கி பழுப்பு நிறமாக மாறியதும் 3 பச்சை மிளகாய் மற்றும் 1 டேபிள் ஸ்பூன் இஞ்சி பூண்டு விழுது சேர்த்து பச்சை வாசனை போகும் வரை வதக்கவும். பின்னர் மசாலாக்கள் மஞ்சள் தூள், கரம் மசாலா தூள், கொத்தமல்லி தூள், மிளகாய் தூள் சேர்த்து நன்கு கலக்கவும். மசாலாக்கள் எரியாமல் கவனமாக இருங்கள். பின்னர் 1 தக்காளி (150 கிராம்) சேர்த்து எல்லாம் ஒரு பேஸ்டாக மாறும் வரை சமைக்கவும். எங்கள் காய்கறி பிரியாணியில் தக்காளி துண்டுகள் எதுவும் வேண்டாம். காய்கறியைச் சேர்க்கவும் (நான் கேரட், பீன்ஸ், காலிஃபிளவர், உருளைக்கிழங்கு, பச்சை பட்டாணி எடுத்துள்ளேன்) நீங்கள் விரும்பும் எந்த காய்கறிகளையும் சேர்க்கலாம். காய்கறிகளை தக்காளி விழுதுடன் நன்றாக கலக்கவும், பின்னர் தயிர் / தயிர் சேர்க்கவும். நீங்கள் தயிர் சேர்க்க விரும்பவில்லை என்றால், அதில் 2 டேபிள் ஸ்பூன் எலுமிச்சை சாறு சேர்க்கவும். இப்போது தண்ணீர் சேர்க்கவும் (2 கப் பாஸ்மதி அரிசிக்கு 3 கப் தண்ணீர் தேவைப்படும்) வழக்கமாக அரிசி சமைக்க 1:2 என்ற விகிதத்தில் அரிசி: தண்ணீர் சேர்க்கவும், ஆனால் பாஸ்மதி அரிசியை 30 நிமிடங்கள் ஊறவைத்துவிட்டதால் 3 கப் போதுமானது). சிறிது கொத்தமல்லி மற்றும் சில புதினா இலைகளைச் சேர்க்கவும். பின்னர் பாஸ்மதி / பிரியாணி அரிசியைச் சேர்க்கவும் (கிட்டத்தட்ட 30 நிமிடங்கள் ஊறவைத்த 2 கப் பிரியாணி அரிசி) ஒரு முறை கலந்து, உப்பு சரிபார்த்து, தேவையான உப்பு சேர்த்து, மிதமான தீயில் 1 விசில் வரை சமைக்கவும். விசில் வந்த பிறகு, குக்கரை உடனடியாகத் திறக்க வேண்டாம், மேலும் 15 நிமிடங்கள் நிற்க விடுங்கள். திறந்து லேசாகக் கிளறவும் (கவனமாக இருங்கள் அரிசி உடைந்து போகாமல் இருங்கள்). பிரஷர் குக்கரில் எங்கள் சுவையான எளிதான வெஜ் பிரியாணி இப்போது தயாராக உள்ளது. இந்த ஒரு பானை வெஜ் விரியாப்=னியை சிறிது ரைத்தா அல்லது கத்திரிக்காய் கிரேவியுடன் அனுபவிக்கவும். செய்ய மிகவும் எளிதானது மற்றும் மிகவும் சுவையானது. மகிழ்ச்சியான சமையல்!!!</t>
  </si>
  <si>
    <t>https://blogger.googleusercontent.com/img/b/R29vZ2xl/AVvXsEiNL37rFVk-YtXGN9k4pihKGeBjWX60bC74anLv78hQhGznG5UQuuY8vQf9UdLC9f3AdZykU4jPY5UYdYHqyygj9jwjMopnAjqLDEywNJ1K-24B9TNrkLMR22x9HGmYw7eSiaqTz7j68yn2/s640/veg+Biryani.JPG</t>
  </si>
  <si>
    <t>https://youtu.be/b8U9jHMeTOg</t>
  </si>
  <si>
    <t>Milk Peda</t>
  </si>
  <si>
    <t>பால் பேடா</t>
  </si>
  <si>
    <t>1 liter - Full Fat milk, 150 g  - Sugar, 1/4 Tsp - Cardamom Powder, 1 Tbsp - Ghee/ Clarified Butter.</t>
  </si>
  <si>
    <t>1 லிட்டர் - முழு கொழுப்புள்ள பால், 150 கிராம் - சர்க்கரை, 1/4 தேக்கரண்டி - ஏலக்காய் தூள், 1 தேக்கரண்டி - நெய்/தெளிவுபடுத்தப்பட்ட வெண்ணெய்.</t>
  </si>
  <si>
    <t>Boil milk try to use full fat mil because if we use 2% or skim milk we will end up with very little amount of khoya and stir often or else the milk will stick to the bottom.you can use milk powder to ease the process or cooking time but today i am making the tradition way so i have use milk . Once the milk reduces to half,add sugar and allow to reduce and thicken up(the consistency should be semi-solid.  Once it thickened,add Cardamom powder and mix well(if you don't like the flavor of cardamom you can skip,cardamom powder is totally optional).You can stop right here to enjoy south Indian Palkova .   To make peda add some ghee and mix once and make milk peda and switch off the heat. once the mixture cooks down a bit grease your hands with ghee and make it into your desired shapes.Decorate it with some cashews or Pistachios.  Our delicious doodh peda / Milk sweet is ready .It may be a little time consuming but its worth the effort.</t>
  </si>
  <si>
    <t>பாலை கொதிக்க வைக்கவும், முழு கொழுப்புள்ள மில் பயன்படுத்த முயற்சிக்கவும், ஏனென்றால் 2% அல்லது கொழுப்பு நீக்கப்பட்ட பாலைப் பயன்படுத்தினால், மிகக் குறைந்த அளவு கோயா மட்டுமே கிடைக்கும், அடிக்கடி கிளறவும், இல்லையெனில் பால் அடிப்பகுதியில் ஒட்டிக்கொள்ளும். செயல்முறை அல்லது சமையல் நேரத்தை எளிதாக்க நீங்கள் பால் பவுடரைப் பயன்படுத்தலாம், ஆனால் இன்று நான் பாரம்பரிய முறையில் செய்கிறேன், அதனால் நான் பாலைப் பயன்படுத்துகிறேன். பால் பாதியாகக் குறைந்தவுடன், சர்க்கரையைச் சேர்த்து, குறைத்து கெட்டியாக விடவும் (நிலைத்தன்மை அரை-திடமாக இருக்க வேண்டும். அது கெட்டியானதும், ஏலக்காய்த் தூளைச் சேர்த்து நன்கு கலக்கவும் (ஏலக்காயின் சுவை உங்களுக்குப் பிடிக்கவில்லை என்றால் நீங்கள் தவிர்க்கலாம், ஏலக்காய்த் தூள் முற்றிலும் விருப்பமானது). தென்னிந்திய பால்கோவாவை அனுபவிக்க நீங்கள் இங்கேயே நிறுத்தலாம். பேடா செய்ய சிறிது நெய்யைச் சேர்த்து ஒரு முறை கலந்து, பால் பேடா செய்து, தீயை அணைக்கவும். கலவை சிறிது கொதித்ததும், உங்கள் கைகளில் நெய் தடவி, உங்களுக்கு விருப்பமான வடிவங்களில் தயாரிக்கவும். சிறிது முந்திரி அல்லது பிஸ்தாவால் அலங்கரிக்கவும். எங்கள் சுவையான தூத் பேடா / பால் இனிப்பு தயாராக உள்ளது. இது சிறிது நேரம் எடுக்கும், ஆனால் அது முயற்சிக்கு மதிப்புள்ளது.</t>
  </si>
  <si>
    <t>https://blogger.googleusercontent.com/img/b/R29vZ2xl/AVvXsEhRfFYbdWUvTHjpX0_GDLRz35GKIhkpVpAszdy8_foW7DHi0Rwa2AqwiWla8tguOLAsTFUxQ3RAjhJQ1E3t5uzRXINMPjie97FmzU50uMVzh1ngrN6r4iLPnnkCwfsLBb7hkZsEteDOkAzw/s640/doodh+peda.JPG</t>
  </si>
  <si>
    <t>Rasmalai</t>
  </si>
  <si>
    <t>ரஸ்மலாய்</t>
  </si>
  <si>
    <t>4 cups - of full fat milk, 1 cup - sugar, 1/5 tsp - cardamom powder, slivered almonds and pistachios, 15-20 - saffron threads, 2L - full fat milk, 3 - lemons, 10 cups - of water, 2 cups - of sugar.</t>
  </si>
  <si>
    <t>4 கப் - முழு கொழுப்புள்ள பால், 1 கப் - சர்க்கரை, 1/5 தேக்கரண்டி - ஏலக்காய் தூள், நறுக்கிய பாதாம் மற்றும் பிஸ்தா, 15-20 - குங்குமப்பூ நூல்கள், 2 லிட்டர் - முழு கொழுப்புள்ள பால், 3 - எலுமிச்சை, 10 கப் - தண்ணீர், 2 கப் - சர்க்கரை.</t>
  </si>
  <si>
    <t>The base for Rasmalai is paneer to make paneer Boil the  milk. Once the milk starts to boil switch off the heat and after a minute add lemon juice to cuddle the milk you can also citric acid. Now the milk is fully cuddled, stain it through a cheese cloth  (dont throw away the whey,whey is very nutritious and can be added in many other dishes) Rinse it with cold water to remove the lemon flavor. Squeeze extra water and tie it up and hang it for 30 minutes. To make rabdi :Add  4 cups of milk and sugar and put it in low heat and let it simmer and Once the milk is reduced add cardamom powder, nuts(almonds and pistachios) 2 tbsp of saffron milk (soak few strands of saffron in warm milk for 10 minutes and add it to the rabdi. To make light Sugar syrup: Add 2 cups of sugar in 10 cups of water and bring it to a rolling boil  Next lets knead the paneer.knead it for atleast  10 min only then we will get soft . After 30 minutes knead the paneer for minimum 10-15 minutes to get good rasmalai .if you dont knead the paneer then the rasmalai balls will breakdown while cooking ,so to prevent the balls from breaking and dissolving knead the paneer well until it starts holding shapes. nce after kneading the dough fo 15 minutes make it into small balls and then press the gently to flattern them. Now drop it into the boiling sugar syrup and let them cook for 10 minutes .The balls will absorb the sugar syrup and will double the size. The rasgulla will be soft and very fluffy .Switch of the heat and allow it to cool.To prevent from drying pour some of the sugar syrup on to the top of cooked rasgulla. Once the rabdi is ready (consistency of rabdi should be a little less than the consistency of condensed milk,only then the rabdi will penetrate more efficiently into the rasmalai) Squeeze the rasgulla a little to release some extra water content and then add it to the rabdi  Our delicious fibrous and soft rasamalai is ready, allow the Rasmalai to absorb all the taste and flavor from the rabdi and serve cold:) Happy Cooking!!!</t>
  </si>
  <si>
    <t>ரஸ்மலாய்க்கு பனீர் தயாரிக்க அடிப்படை பனீர் பாலை கொதிக்க வைக்கவும். பால் கொதிக்க ஆரம்பித்ததும், தீயை அணைத்துவிட்டு, ஒரு நிமிடம் கழித்து எலுமிச்சை சாறு சேர்த்து பாலை அணைக்கவும், நீங்கள் சிட்ரிக் அமிலத்தையும் சேர்க்கலாம். இப்போது பால் முழுவதுமாக இறுக்கமாகி, ஒரு சீஸ் துணியில் கறை படிய வைக்கவும் (மோரை தூக்கி எறிய வேண்டாம், மோர் மிகவும் சத்தானது மற்றும் பல உணவுகளில் சேர்க்கலாம்). எலுமிச்சை சுவையை நீக்க குளிர்ந்த நீரில் கழுவவும். கூடுதல் தண்ணீரை பிழிந்து கட்டி 30 நிமிடங்கள் தொங்க விடுங்கள். ரப்டி செய்ய: 4 கப் பால் மற்றும் சர்க்கரை சேர்த்து குறைந்த தீயில் வைத்து கொதிக்க விடவும். பால் வற்றியதும் ஏலக்காய் தூள், கொட்டைகள் (பாதாம் மற்றும் பிஸ்தா) 2 டேபிள்ஸ்பூன் குங்குமப்பூ பால் சேர்க்கவும் (சில குங்குமப்பூவை வெதுவெதுப்பான பாலில் 10 நிமிடங்கள் ஊறவைத்து ரப்டியில் சேர்க்கவும். லேசான சர்க்கரை பாகு தயாரிக்க: 10 கப் தண்ணீரில் 2 கப் சர்க்கரை சேர்த்து கொதிக்க விடவும். அடுத்து பனீரை பிசையலாம். குறைந்தது 10 நிமிடங்கள் பிசைந்தால் போதும். 30 நிமிடங்களுக்குப் பிறகு பனீரை குறைந்தது 10-15 நிமிடங்கள் பிசைந்து நல்ல ரஸ்மலாய் கிடைக்கும். நீங்கள் பனீரை பிசையவில்லை என்றால், ரஸ்மலாய் உருண்டைகள் சமைக்கும் போது உடைந்துவிடும், எனவே பந்துகள் உடைந்து கரையாமல் தடுக்க பனீரை நன்கு பிசையவும். பின்னர் மாவை 15 நிமிடங்கள் பிசைந்த பிறகு சிறிய உருண்டைகளாக உருட்டி, மெதுவாக அழுத்தி அவற்றை தட்டையாக்குங்கள். இப்போது அதை வாணலியில் விடவும். சர்க்கரை பாகை கொதிக்க வைத்து 10 நிமிடங்கள் சமைக்கவும். உருண்டைகள் சர்க்கரை பாகை உறிஞ்சி, அளவை இரட்டிப்பாக்கும். ரசகுல்லா மென்மையாகவும், மிகவும் பஞ்சுபோன்றதாகவும் இருக்கும். வெப்பத்தை குறைத்து குளிர்விக்க அனுமதிக்கவும். உலராமல் இருக்க, சமைத்த ரசகுல்லாவின் மேல் சிறிது சர்க்கரை பாகை ஊற்றவும். ரப்டி தயாரானதும் (ரப்டியின் நிலைத்தன்மை அமுக்கப்பட்ட பாலின் நிலைத்தன்மையை விட சற்று குறைவாக இருக்க வேண்டும், அப்போதுதான் ரப்டி ரசமலாய்க்குள் மிகவும் திறமையாக ஊடுருவும்) ரஸ்குல்லாவை சிறிது பிழிந்து, சிறிது கூடுதல் தண்ணீரை வெளியிடவும், பின்னர் அதை ரப்டியில் சேர்க்கவும். எங்கள் சுவையான நார்ச்சத்து மற்றும் மென்மையான ரசமலை தயாராக உள்ளது, ரஸ்மலை ரப்டியின் அனைத்து சுவை மற்றும் சுவையையும் உறிஞ்சி குளிர்ச்சியாக பரிமாறவும் :) மகிழ்ச்சியான சமையல்!!!</t>
  </si>
  <si>
    <t>https://blogger.googleusercontent.com/img/b/R29vZ2xl/AVvXsEh5bvFrQeJKC33psfECpEBHXbSdkpb0u7yUUgEyQRaU9vLauVelkiuLTqFSY5DSTpGQm1X24vExZknZkcYQifWRoXu6enez2WEFjREus5dBNvOCgz2rABsnhY018psmp6YFp6pO9U3EvqwR/s640/rasmalai+recipe.JPG</t>
  </si>
  <si>
    <t>https://youtu.be/Bf5cAvzOY5Q</t>
  </si>
  <si>
    <t>Butter Murukku</t>
  </si>
  <si>
    <t>வெண்ணெய் முருக்கு</t>
  </si>
  <si>
    <t>2 cup - Rice flour, 1 cup - Besan, 3 Tbsp - Butterc, 1 Tbsp - cumin seeds or sesame seeds, Salt to taste, 1 cup -water (1.25 cup approximately ).</t>
  </si>
  <si>
    <t>2 கப் - அரிசி மாவு, 1 கப் - கடலை மாவு, 3 டேபிள்ஸ்பூன் - வெண்ணெய், 1 டேபிள்ஸ்பூன் - சீரகம் அல்லது எள், ருசிக்க உப்பு, 1 கப் - தண்ணீர் (தோராயமாக 1.25 கப்).</t>
  </si>
  <si>
    <t>Into a large mixing bowl add the rice flour then the besan, butter, salt and also add in the cumin seeds and mix it really well.  Add water don’t add too much of water at once be very careful while adding water and knead it into smooth and firm dough.  ake a good amount of the murukku dough and add it to the murukku maker.  Fry it in oil over medium heat till it is golden and all the bubbles settles down.</t>
  </si>
  <si>
    <t>ஒரு பெரிய கலவை பாத்திரத்தில் அரிசி மாவு, பின்னர் கடலை மாவு, வெண்ணெய், உப்பு சேர்த்து சீரகத்தையும் சேர்த்து நன்றாக கலக்கவும். தண்ணீர் சேர்க்கவும், ஒரே நேரத்தில் அதிக தண்ணீர் சேர்க்க வேண்டாம், தண்ணீர் சேர்க்கும்போது மிகவும் கவனமாக இருங்கள், மென்மையான மற்றும் உறுதியான மாவாக பிசையவும். முருக்கு மாவை நல்ல அளவு எடுத்து, முருக்கு தயாரிப்பாளரில் சேர்க்கவும். மிதமான தீயில் எண்ணெயில் பொன்னிறமாகும் வரை வறுக்கவும், அனைத்து குமிழிகளும் படியும் வரை வறுக்கவும்.</t>
  </si>
  <si>
    <t>https://blogger.googleusercontent.com/img/b/R29vZ2xl/AVvXsEhf2grW5FmypkiXyz1YJK-WiwsoN2H7LZhsXyWKntCkHV8k3mm2Z-CnqAbcRl_vc4govxhS6yF49-YQl2UNyd-ZSKlLmLo6LgRv4x_8y-2e2IIf8Vg-RTkKvJBrVQG91O29Hh-AzB8GeJgM/s640/butter+murukku.JPG</t>
  </si>
  <si>
    <t>https://youtu.be/wN2Ys6usTmY</t>
  </si>
  <si>
    <t>Fish Fingers</t>
  </si>
  <si>
    <t>மீன் விரல்கள்</t>
  </si>
  <si>
    <t>4 - fish fillets, 1/4 tsp - turmeric powder, 1 tsp - chili powder, ½ tsp - cumin powder, ½ tsp - coriander powder, 1 tsp - ginger garlic paste, ½  - lemon (juice), 1- egg, 1 - tbsp of all purpose flour, Salt, 1 tsp - pepper powder, bread crumbs, oil for frying.</t>
  </si>
  <si>
    <t>4 - மீன் துண்டுகள், 1/4 தேக்கரண்டி - மஞ்சள் தூள், 1 தேக்கரண்டி - மிளகாய் தூள், ½ தேக்கரண்டி - சீரக தூள், ½ தேக்கரண்டி - கொத்தமல்லி தூள், 1 தேக்கரண்டி - இஞ்சி பூண்டு விழுது, ½ - எலுமிச்சை (சாறு), 1- முட்டை, 1 - அனைத்து உபயோக மாவு,</t>
  </si>
  <si>
    <t>Cut the fish fillets into finger size pieces (I have taken Tilapia fish) any fish without bone will work good (ex. Basa fish).  To season add the masalas Pinch of turmeric powder, 1 tsp chilli powder , ½ tsp cumin powder , ½ tsp coriander powder, 1 tsp ginger garlic paste , ½  lemon (juice) , 1 egg, 1 tbsp of all purpose flour , Salt, pepper powder and mix well.  oat the fish pieces with bread crumbs (i have used seasoned bread crumbs to add extra flavor) gently press it with your hands to hold the bread crumbs well.  Fry the coated fish pieces in oil until golden brown on all sides .Oil should be in a medium heat to prevent burning the bread crumbs to get best finger fish.  Our delicious fish finger / fish nuggets / finger Fish is ready .Enjoy this delicious and easy fish fingers with some mayonnaise and ketchup...Happy Cooking !!!</t>
  </si>
  <si>
    <t>மீன் துண்டுகளை விரல் அளவு துண்டுகளாக நறுக்கவும் (நான் திலாப்பியா மீனை எடுத்துக்கொண்டேன்) எலும்பு இல்லாத எந்த மீனும் நன்றாக வேலை செய்யும் (எ.கா. பாசா மீன்). மசாலாவை தாளிக்க ஒரு சிட்டிகை மஞ்சள் தூள், 1 தேக்கரண்டி மிளகாய் தூள், ½ தேக்கரண்டி சீரக தூள், ½ தேக்கரண்டி கொத்தமல்லி தூள், 1 தேக்கரண்டி இஞ்சி பூண்டு விழுது, ½ எலுமிச்சை (சாறு), 1 முட்டை, அனைத்து உபயோக மாவு 1 தேக்கரண்டி, உப்பு, மிளகு தூள் சேர்த்து நன்கு கலக்கவும். மீன் துண்டுகளை ரொட்டி துண்டுகளுடன் ஓட்ஸ் செய்யவும் (கூடுதல் சுவையை சேர்க்க நான் சுவையூட்டப்பட்ட ரொட்டி துண்டுகளைப் பயன்படுத்தினேன்) ரொட்டி துண்டுகளை நன்றாகப் பிடிக்க உங்கள் கைகளால் மெதுவாக அழுத்தவும். பூசப்பட்ட மீன் துண்டுகளை எண்ணெயில் அனைத்து பக்கங்களிலும் பொன்னிறமாகும் வரை வறுக்கவும். சிறந்த விரல் மீனைப் பெற, ரொட்டித் துண்டுகள் எரிவதைத் தடுக்க எண்ணெயை மிதமான வெப்பத்தில் வைக்கவும். எங்கள் சுவையான மீன் விரல் / மீன் கட்டிகள் / விரல் மீன் தயார். இந்த சுவையான மற்றும் எளிதான மீன் விரல்களை சிறிது மயோனைஸ் மற்றும் கெட்ச்அப்புடன் அனுபவிக்கவும்...சமையல் மகிழ்ச்சி !!!</t>
  </si>
  <si>
    <t>https://blogger.googleusercontent.com/img/b/R29vZ2xl/AVvXsEgjbuZdB3IyZLPkJoh2u0WdwgRmtpPztc45oUTNb5tc-oOhrfj1EodPlA-IUbi1ZJmgAfwOjfo6Qf9VXwsow2YiQjm7Ivxzcl8BJwWCVsl1zDXb0-kl-eu38Ca8xDXScHogwf8uwRCByI56/s640/fish+fingers.JPG</t>
  </si>
  <si>
    <t>https://youtu.be/Xz3Ji8w5I7k</t>
  </si>
  <si>
    <t>Cauliflower Manchurian</t>
  </si>
  <si>
    <t>காலிஃபிளவர் மஞ்சூரியன்</t>
  </si>
  <si>
    <t>1 - Cauliflower (medium sized), 1/4 cup - corn starch, 1/2 cup - all purpose flour/ maida, 1/2 tsp - pepper powder, 1 tsp - Chili sauce, required water, salt, 2 tbsp - Oil, 1 tbsp - grated ginger, 1 tbsp - grated garlic, 1 - Onion, 1/2 - Bell pepper, 2 tbsp - Chilli sauce, 2 tbsp - Tomato sauce, 1 tsp - soy sauce, 1 tsp - pepper power, Required salt, spring Onion for garnishing.</t>
  </si>
  <si>
    <t>1 - காலிஃபிளவர் (நடுத்தர அளவு), 1/4 கப் - சோள மாவு, 1/2 கப் - அனைத்து பயன்பாட்டு மாவு/ மைதா, 1/2 தேக்கரண்டி - மிளகு தூள், 1 தேக்கரண்டி - மிளகாய் தூள், 1 தேக்கரண்டி - மிளகாய் சாஸ், தேவையான தண்ணீர், உப்பு, 2 தேக்கரண்டி - எண்ணெய், 1 தேக்கரண்டி - துருவிய இஞ்சி, 1 தேக்கரண்டி - துருவிய பூண்டு, 1 - வெங்காயம், 1/2 - பெல் பெப்பர், 2 தேக்கரண்டி - மிளகாய் சாஸ், 2 தேக்கரண்டி - தக்காளி சாஸ், 1 தேக்கரண்டி - சோயா சாஸ், 1 தேக்கரண்டி - மிளகு சக்தி, தேவையான உப்பு, அலங்காரத்திற்கு ஸ்பிரிங் வெங்காயம்.</t>
  </si>
  <si>
    <t>Combine the dry ingredients 1/4 cup corn starch , 1/2 cup all purpose flour, salt, 1/2 tsp pepper powder,1 tsp chili sauce and add 1/2-3/4 cup of water and make it into a thick batter the batter should be thick enough to coat the surface of the cauliflower.  Cut the cauliflower into medium sized florets and coat it well with the batter (you can also blanch the cauliflower(cook the florets in water for 3-5 minutes).  Fry the coated florets in hot oil and keep it aside.  In a pan heat 2 tbsp oil and add 1 tbsp of finely chopped ginger and 1 tbsp of finely chopped garlic and after the raw smell is gone add 1 finely chopped onion and 1/2 capsicum (bell pepper).   Add the sauces 2 tbsp chili sauce, 2 tbsp tomato sauce(ketchup) and 1 tsp SOY sauce (if the soy sauce is milder add 2 tsp) mix well and add some pepper powder  Reduce the amount of salt because all these sauces has lot of salt content in it .  now add the fried cauliflower florets and mix well with the ingredients and garnish it with some chopped spring onion.  Our delicious Cauliflower manchurian dry / Gobi Manchurian is ready to be served. Happy Cooking !!!</t>
  </si>
  <si>
    <t>உலர்ந்த பொருட்களை 1/4 கப் சோள மாவு, 1/2 கப் அனைத்து பயன்பாட்டு மாவு, உப்பு, 1/2 தேக்கரண்டி மிளகு தூள், 1 தேக்கரண்டி மிளகாய் சாஸ் சேர்த்து 1/2-3/4 கப் தண்ணீர் சேர்த்து ஒரு தடிமனான மாவாக மாற்றவும் மாவு காலிஃபிளவரின் மேற்பரப்பை பூசும் அளவுக்கு தடிமனாக இருக்க வேண்டும். காலிஃபிளவரை நடுத்தர அளவிலான பூக்களாக வெட்டி, மாவுடன் நன்றாக பூசவும் (நீங்கள் காலிஃபிளவரை வெளுக்கலாம் (பூக்களை 3-5 நிமிடங்கள் தண்ணீரில் சமைக்கலாம்). பூசப்பட்ட பூக்களை சூடான எண்ணெயில் வறுக்கவும், அதை ஒதுக்கி வைக்கவும். ஒரு கடாயில் 2 தேக்கரண்டி எண்ணெயை சூடாக்கி, 1 தேக்கரண்டி இறுதியாக நறுக்கிய இஞ்சி மற்றும் 1 தேக்கரண்டி இறுதியாக நறுக்கிய பூண்டு சேர்க்கவும், பச்சை வாசனை போன பிறகு 1 இறுதியாக நறுக்கிய வெங்காயம் மற்றும் 1/2 கேப்சிகம் (பெல் பெப்பர்) சேர்க்கவும். சாஸ்களை 2 தேக்கரண்டி மிளகாய் சாஸ், 2 தேக்கரண்டி தக்காளி சாஸ் (கெட்ச்அப்) மற்றும் 1 தேக்கரண்டி சோயா சாஸ் (சோயா சாஸ் லேசானதாக இருந்தால் 2 தேக்கரண்டி சேர்க்கவும்) சேர்த்து நன்கு கலந்து சிறிது மிளகு தூள் சேர்க்கவும். உப்பின் அளவைக் குறைக்கவும், ஏனெனில் இந்த அனைத்து சாஸ்களிலும் உப்பு அதிகம் உள்ளது. இப்போது வறுத்த காலிஃபிளவர் பூக்களைச் சேர்த்து, பொருட்களுடன் நன்றாக கலந்து, சிறிது நறுக்கிய வசந்த வெங்காயத்தால் அலங்கரிக்கவும். எங்கள் சுவையான காலிஃபிளவர் மஞ்சூரியன் உலர் / கோபி மஞ்சூரியன் பரிமாற தயாராக உள்ளது. மகிழ்ச்சியான சமையல் !!!</t>
  </si>
  <si>
    <t>https://blogger.googleusercontent.com/img/b/R29vZ2xl/AVvXsEjdruFrseWtkS_8_CYqGVlxFqI8tCmN0ABkDxrABOwXZj-T-QRO8zfaD_xi_gAVehGLd7p0PO6bRkhidYAshFFqMvSckL2EE_S6l7N579HPkwsYDsx6AuNfjH0mMOW_2P5MCBZSfFls2K9Q/s640/Cauliflower+manchurian+dry.JPG</t>
  </si>
  <si>
    <t>https://youtu.be/hHRETfxZR2s</t>
  </si>
  <si>
    <t>Chettinad Egg</t>
  </si>
  <si>
    <t>செட்டிநாடு முட்டை</t>
  </si>
  <si>
    <t>2 - Cinnamon sticks, 4 -  Cardamom, 4 -  Cloves, 1  - Star anise, 1 Tbsp - Peppercorns, 2 Tsp - Coriander Seeds, 3 -  Dry Red chilli, 2 Tsp - Fennel seeds, 2 Tsp - Cumin Seeds, 2 tbsp - Oil, 1/4 tsp - Mustard seeds, 2 - Bayleaves, 200g -  shallots, 1-  tbsp Ginger garlic paste, 3-  Green Chillies, 2 - Tomatoes, 1/2 tsp - Turmeric powder, 1 tbsp - Chilli Powder, 2 tbsp - Chettinad masala powder, Curry leaves, 4 - Eggs halved, 1 tsp - Oil, 1/4 tsp - Turmeric powder, 1/2 tsp - Salt.</t>
  </si>
  <si>
    <t>2 - இலவங்கப்பட்டை குச்சிகள், 4 - ஏலக்காய், 4 - கிராம்பு, 1 - நட்சத்திர சோம்பு, 1 தேக்கரண்டி - மிளகு, 2 தேக்கரண்டி - கொத்தமல்லி விதைகள், 3 - உலர்ந்த சிவப்பு மிளகாய், 2 தேக்கரண்டி - வெந்தயம், 2 தேக்கரண்டி - சீரகம், 2 தேக்கரண்டி - எண்ணெய், 1/4 தேக்கரண்டி - கடுகு, 2 - பிரியாணி இலைகள், 200 கிராம் - வெங்காயத்தாள், 1- தேக்கரண்டி இஞ்சி பூண்டு விழுது, 3- பச்சை மிளகாய், 2 - தக்காளி, 1/2 தேக்கரண்டி - மஞ்சள் தூள், 1 தேக்கரண்டி - மிளகாய் தூள், 2 தேக்கரண்டி - செட்டிநாடு மசாலா தூள், கறிவேப்பிலை, 4 - முட்டைகளை பாதியாக நறுக்கியது, 1 தேக்கரண்டி - எண்ணெய், 1/4 தேக்கரண்டி - மஞ்சள் தூள், 1/2 தேக்கரண்டி - உப்பு.</t>
  </si>
  <si>
    <t>First to season the eggs, in a very low heat add 1 tsp oil then add turmeric powder and salt and roast the halved eggs for 2 minutes on both the sides (if you cook it for a long time then the eggs will become very hard).   To make Chettinad masala, dry roast cinnamon sticks , cardamom, cloves, star anise, pepper corns, coriander seeds,r ed chili, fennel seeds and cumin seeds for 2 minutes and grind it to a fine powder.This is sufficient for 8 eggs(we get 3 tbsp) (you can store it in air tight container) .  To prepare gravy heat oil and temper it with mustard seeds and bayleaves and then add 1 cup of sliced shallots (shallots adds a very unique taste to any chettinad dish) add required salt and saute for few minutes.  Add Ginger garlic paste and saute until the raw smell is gone and then add Green Chilies and the spices turmeric powder,chilly powder and 2 tbsp of chettinad masala(since i have used 4 eggs i have used 2 tbsp of chettinad masala ) and saute them.  After sauteing for a minute add 2 chopped tomatoes and cook until everything is soft and smooth.Once you get a smooth paste add enough water and bring it to a boil.  Finally add the roasted eggs and slowly mix them and dont need to cook it longer,just 2-3 minutes is enough(otherwise the egg will become hard).Finally add Curry leaves for Garnishing.   Happy Lunch or Dinner with this traditional Chettinad egg curry !!!! Happy Cooking .</t>
  </si>
  <si>
    <t>முதலில் முட்டைகளைத் தாளிக்க, மிகக் குறைந்த தீயில் 1 தேக்கரண்டி எண்ணெய் சேர்த்து, மஞ்சள் தூள் மற்றும் உப்பு சேர்த்து, பாதியாக நறுக்கிய முட்டைகளை இருபுறமும் 2 நிமிடங்கள் வறுக்கவும் (நீங்கள் நீண்ட நேரம் சமைத்தால் முட்டைகள் மிகவும் கடினமாகிவிடும்). செட்டிநாடு மசாலா செய்ய, இலவங்கப்பட்டை குச்சிகள், ஏலக்காய், கிராம்பு, நட்சத்திர சோம்பு, மிளகுத்தூள், கொத்தமல்லி விதைகள், மிளகாய்த்தூள், பெருஞ்சீரகம் மற்றும் சீரகம் ஆகியவற்றை 2 நிமிடங்கள் உலர்த்தி வறுத்து, நன்றாகப் பொடியாக அரைக்கவும். இது 8 முட்டைகளுக்கு போதுமானது (எங்களுக்கு 3 தேக்கரண்டி கிடைக்கும்) (நீங்கள் அதை காற்று புகாத கொள்கலனில் சேமிக்கலாம்). குழம்பு தயாரிக்க எண்ணெயை சூடாக்கி, கடுகு மற்றும் பிரியாணி இலைகளுடன் சேர்த்து, பின்னர் 1 கப் துண்டுகளாக்கப்பட்ட வெங்காயத்தைச் சேர்க்கவும் (வெங்காயம் எந்த செட்டிநாடு உணவிற்கும் மிகவும் தனித்துவமான சுவையை சேர்க்கிறது) தேவையான உப்பு சேர்த்து சில நிமிடங்கள் வதக்கவும். இஞ்சி பூண்டு விழுது சேர்த்து பச்சை வாசனை போகும் வரை வதக்கவும், பின்னர் பச்சை மிளகாய், மசாலா மஞ்சள் தூள், மிளகாய் தூள் மற்றும் 2 டேபிள் ஸ்பூன் செட்டிநாடு மசாலா (நான் 4 முட்டைகள் பயன்படுத்தியதால் 2 டேபிள் ஸ்பூன் செட்டிநாடு மசாலா) சேர்த்து வதக்கவும். ஒரு நிமிடம் வதக்கிய பிறகு 2 நறுக்கிய தக்காளியைச் சேர்த்து, எல்லாம் மென்மையாகவும் மென்மையாகவும் ஆகும் வரை சமைக்கவும். மென்மையான பேஸ்ட் வந்ததும் போதுமான தண்ணீர் சேர்த்து கொதிக்க வைக்கவும். இறுதியாக வறுத்த முட்டைகளைச் சேர்த்து மெதுவாக கலக்கவும், அதிக நேரம் சமைக்கத் தேவையில்லை, 2-3 நிமிடங்கள் போதும் (இல்லையெனில் முட்டை கடினமாகிவிடும்). இறுதியாக அலங்கரிக்க கறிவேப்பிலை சேர்க்கவும். இந்த பாரம்பரிய செட்டிநாடு முட்டை கறியுடன் இனிய மதிய உணவு அல்லது இரவு உணவு !!!! இனிய சமையல்.</t>
  </si>
  <si>
    <t>https://blogger.googleusercontent.com/img/b/R29vZ2xl/AVvXsEjZ5DPF6OF4vRvrboEPmDjsLjTdgR4zpWQ-HlKqwNGpKv4M8h5574CyhHkKgWWmwiQMJxNqE44xSx0lraHNTmqGLlOGjBO7AD8JA2IOTKa22g0X_BC35JoJZ-gKjLTTMoaJfX-w5vt4a2_G/s640/Chettinad+egg+Curry.JPG</t>
  </si>
  <si>
    <t>https://youtu.be/9-3oZ8n7wf0</t>
  </si>
  <si>
    <t>Chana Masala</t>
  </si>
  <si>
    <t>சன்னா மசாலா</t>
  </si>
  <si>
    <t>200g - Chana Dal , 2 - onions (250 g), 2 -  tomatoes (150 g), 1 Tbsp - Ginger Garlic paste, 1-2 Tbsp - Chili powder, 1 Tbsp - coriander powder, 1/4 tsp - Turmeric powder, 1 tsp - Garam Masala powderGarlic, 1 tsp - Cumin Seeds, 3 - Green chilies, 2 Tbsp - Oil, Salt to taste, Coriander Leaves for Garnishing.</t>
  </si>
  <si>
    <t>200 கிராம் - சன்னா பருப்பு, 2 - வெங்காயம் (250 கிராம்), 2 - தக்காளி (150 கிராம்), 1 டேபிள்ஸ்பூன் - இஞ்சி பூண்டு விழுது, 1-2 டேபிள்ஸ்பூன் - மிளகாய் தூள், 1 டேபிள்ஸ்பூன் - கொத்தமல்லி தூள், 1/4 டேபிள்ஸ்பூன் - மஞ்சள் தூள், 1 டேபிள்ஸ்பூன் - கரம் மசாலா தூள், 1 டேபிள்ஸ்பூன் - சீரகம், 3 - பச்சை மிளகாய், 2 டேபிள்ஸ்பூன் - எண்ணெய், ருசிக்க உப்பு, கொத்தமல்லி இலைகள்.</t>
  </si>
  <si>
    <t>Soak the chickpeas for about 6 hrs to overnight and then pressure cook them for 3 to 4 whistles with required water, salt and a pinch of turmeric powder.You should be easily able to smash with your fingers.  In a pan,add oil and temper it with cumin seeds.Add Onions,required salt and saute until it become golden brown color.   Add ginger garlic paste and sauté until the raw smell is gone and then add the spices turmeric powder,garam masala powder,coriander powder,chili powder and amchoor powder and sauté for a minute.  Add the chopped tomatoes and cook until it becomes a nice paste,if needed add some water(1/4 cup) .  Add required water and also green chillies and give them a good mix.  Take some cooked channa in a blender and blend it to a smooth paste to get thick gravy Add the grinded chana to the gravy and allow them to boil.  Add the boiled chickpeas along with the water and allow them to cook for 3 to 4 minutes Finally garnish it with coriander leaves.   Enjoy with chappathi/rotis or any parathas !!!! Happy Cooking.</t>
  </si>
  <si>
    <t>கொண்டைக்கடலையை சுமார் 6 மணி நேரம் முதல் இரவு வரை ஊறவைத்து, பின்னர் தேவையான தண்ணீர், உப்பு மற்றும் ஒரு சிட்டிகை மஞ்சள் தூள் சேர்த்து 3 முதல் 4 விசில் வரை வேக வைக்கவும். உங்கள் விரல்களால் எளிதில் நசுக்க முடியும். ஒரு கடாயில், எண்ணெயைச் சேர்த்து சீரக விதைகளைச் சேர்த்து தாளிக்கவும். வெங்காயம், தேவையான உப்பு சேர்த்து தங்க பழுப்பு நிறமாக மாறும் வரை வதக்கவும். இஞ்சி பூண்டு விழுது சேர்த்து பச்சை வாசனை போகும் வரை வதக்கவும், பின்னர் மசாலா மஞ்சள் தூள், கரம் மசாலா தூள், கொத்தமல்லி தூள், மிளகாய் தூள் மற்றும் ஆம்சூர் தூள் சேர்த்து ஒரு நிமிடம் வதக்கவும். நறுக்கிய தக்காளியைச் சேர்த்து, அது ஒரு நல்ல பேஸ்டாக மாறும் வரை சமைக்கவும், தேவைப்பட்டால் சிறிது தண்ணீர் (1/4 கப்) சேர்க்கவும். தேவையான தண்ணீர் மற்றும் பச்சை மிளகாய் சேர்த்து நன்கு கலக்கவும். ஒரு பிளெண்டரில் சிறிது சமைத்த சன்னாவை எடுத்து, கெட்டியான கிரேவி கிடைக்கும் வரை மென்மையான பேஸ்டாக அரைக்கவும். வேகவைத்த கொண்டைக்கடலையை தண்ணீருடன் சேர்த்து 3 முதல் 4 நிமிடங்கள் சமைக்கவும். இறுதியாக கொத்தமல்லி இலைகளால் அலங்கரிக்கவும். சப்பாத்தி/ரொட்டிகள் அல்லது ஏதேனும் பரோட்டாக்களுடன் மகிழுங்கள்!!!! சமைப்பதற்கு மகிழ்ச்சி.</t>
  </si>
  <si>
    <t>https://blogger.googleusercontent.com/img/b/R29vZ2xl/AVvXsEiTwD_rd19im4vLxbeBoD9ZpYeL7SRdoneOvEUy41F1hMfvqffIRebpDxs_3WlCODywb_vHpJ8tpmWFs2uxwMQSx0zIPL5MxPV6x7co1_uGhkjV_oQUmRdyWzbL7WQHBjakrNaNabdlr90r/s640/Channa+Masala.JPG</t>
  </si>
  <si>
    <t>https://youtu.be/IWdTULkMwdc</t>
  </si>
  <si>
    <t>7 Cup Burfi</t>
  </si>
  <si>
    <t>7 கப் பர்ஃபி</t>
  </si>
  <si>
    <t>1 cup - Besan, 1 cup - Grated Coconut, 2 cups - Sugar, 1 cup - Milk, 1 cup - Nuts (Almonds,Cashews), 1 cup - Ghee / Clarified Butter.</t>
  </si>
  <si>
    <t>1 கப் - கடலைப்பருப்பு, 1 கப் - துருவிய தேங்காய், 2 கப் - சர்க்கரை, 1 கப் - பால், 1 கப் - கொட்டைகள் (பாதாம், முந்திரி), 1 கப் - நெய் / தெளித்த வெண்ணெய்.</t>
  </si>
  <si>
    <t>Start off with roasting besan flour / chickpea flour I have taken a non stick pan to prevent the burfi from sticking to the bottom and roast it for 3 - 4 min on a low heat. Once u start smelling the sweet aroma of the besan flour it is time for our second cup .  Add 1 cup of Grated Coconut and mix it well.  Followed by coconut add 2 cups of sugar and mix it again.  Add the fifth cup Milk and mix it well and cook until sugar dissolves completely.   Now add the 6th cup nuts, I have take one cup of Almonds and Cashews and cut them into very small pieces,Now the mixture will be a little watery but soon it will solidify.  Then add the last cup Ghee / Clarified Butter, gradually add in the Ghee and incorporate all the ghee into the mixture and cook for 10- 15 minutes on a medium heat Consistency is very important, if is it not at the right consistency then the burfi will be chewy and will be more like a fudge and will also take lot of time to set.  Now it has thickened and started to leave the sides of the pan.  Once it starts leaving the sides of the pan or kadai , pour it into a greased plate or tray. With a help of a spoon Smoothen its top. Leave it to cool slightly,it just took 4 minutes for me to set(if it is not at right consistency then it will take more time) Once the mixture cools down slightly cut it into your desired shapes.  Our Delicious 7 cup Burfi is ready!!! Its Festival season, Lets have fun .</t>
  </si>
  <si>
    <t>கடலைப்பருப்பு மாவு / கொண்டைக்கடலை மாவை வறுத்து தொடங்குங்கள். பர்ஃபி அடிப்பகுதியில் ஒட்டாமல் இருக்க நான் ஒரு குச்சி இல்லாத பாத்திரத்தை எடுத்து, குறைந்த வெப்பத்தில் 3 - 4 நிமிடங்கள் வறுக்கவும். கடலைப்பருப்பு மாவின் இனிமையான நறுமணத்தை நீங்கள் மணக்க ஆரம்பித்ததும், இரண்டாவது கப் செய்ய வேண்டிய நேரம் இது. 1 கப் துருவிய தேங்காயைச் சேர்த்து நன்கு கலக்கவும். அதைத் தொடர்ந்து தேங்காய் 2 கப் சர்க்கரையைச் சேர்த்து மீண்டும் கலக்கவும். ஐந்தாவது கப் பால் சேர்த்து நன்கு கலந்து சர்க்கரை முழுவதுமாக கரையும் வரை சமைக்கவும். இப்போது 6வது கப் கொட்டைகளைச் சேர்க்கவும், நான் ஒரு கப் பாதாம் மற்றும் முந்திரி எடுத்து மிகச் சிறிய துண்டுகளாக வெட்டினேன், இப்போது கலவை கொஞ்சம் தண்ணீராக இருக்கும், ஆனால் விரைவில் அது கெட்டியாகிவிடும். பின்னர் கடைசி கப் நெய் / தெளித்த வெண்ணெய் சேர்த்து, படிப்படியாக நெய்யைச் சேர்த்து, கலவையில் அனைத்து நெய்யையும் சேர்த்து, மிதமான தீயில் 10-15 நிமிடங்கள் சமைக்கவும். சரியான நிலைத்தன்மையில் இல்லையென்றால், பர்ஃபி மெல்லும் மற்றும் ஒரு ஃபட்ஜ் போல இருக்கும், மேலும் செட் ஆக அதிக நேரம் எடுக்கும். இப்போது அது கெட்டியாகி, பான் அல்லது கடாயின் பக்கங்களை விட்டு வெளியேறத் தொடங்கியதும், அதை ஒரு எண்ணெய் தடவிய தட்டு அல்லது தட்டில் ஊற்றவும். ஒரு கரண்டியால் அதன் மேற்புறத்தை மென்மையாக்கவும். சிறிது குளிர்விக்க விடவும், அது செட் ஆக 4 நிமிடங்கள் ஆனது (சரியான நிலைத்தன்மையில் இல்லையென்றால், அதற்கு அதிக நேரம் எடுக்கும்). கலவை சிறிது குளிர்ந்ததும், அதை உங்களுக்கு விருப்பமான வடிவங்களில் வெட்டுங்கள். எங்கள் சுவையான 7 கப் பர்ஃபி தயார்!!! இது பண்டிகை காலம், வேடிக்கையாக இருப்போம்.</t>
  </si>
  <si>
    <t>https://blogger.googleusercontent.com/img/b/R29vZ2xl/AVvXsEjQhgpO8l4QibTW5yDUb0hh7wBjJAky6c6WdbqVeMe6EkZcPhZgWEkUXG6Csumy2HhGOZp_YiY2IAZ4ak1NJWdICWFiKpIL2UFW88_P6KTFoHDeVFopDwEvpOOBV9WogWWcwG2mfPBMmlGN/s640/7+cups+burfi.JPG</t>
  </si>
  <si>
    <t>https://youtu.be/xVoAbX-wWGM</t>
  </si>
  <si>
    <t>Jangiri Sweet</t>
  </si>
  <si>
    <t>ஜாங்கிரி இனிப்பு</t>
  </si>
  <si>
    <t>1 cup - Black gram skin off , 1/4-1/2 - cup Water, pinch of orange food color, For Sugar Syrup, 2 cups - Sugar, 1 cup - Water, juice of half lemon to prevent sugar Crystallization.</t>
  </si>
  <si>
    <t>1 கப் - உளுந்து தோல் நீக்கி, 1/4-1/2 - கப் தண்ணீர், சிறிதளவு ஆரஞ்சு உணவு நிறம், சர்க்கரை சிரப்பிற்கு, 2 கப் - சர்க்கரை, 1 கப் - தண்ணீர், சர்க்கரை படிகமாவதைத் தடுக்க அரை எலுமிச்சை சாறு.</t>
  </si>
  <si>
    <t>Soak white Urad dal in water for 2 hours and drain the excess water .Grind it to a smooth paste by adding very little amount of water(somewhere from 1/4 - 1/2 cup water).The consistency should be like medhu vada batter.  Add orange food color (optional) and mix it well evenly.  Fill the Batter into a piping bag or any other plastic bag and make a small hole at the tip ,first make small hole and if needed make it bigger .You can also use Ketchup bottle .  To make sugar syrup melt 2 cups of sugar in 1 cup of water and bring it to 1/2 -  1 string consistency (should not exceed 1 string consistency)if it exceeds 1 string consistency then the syrup will not penetrate more efficiently.And to prevent sugar crystallization add juice of half lemon or you can also use Cream of Tartar.  Fry jangiri in oil (oil should be at medium temperature only then the jangiris will be soft) until crispy and flip it to other side and fry till crisp.  Dip it in sugar syrup for 1- 2 minutes.    Enjoy Delicious Jangri.</t>
  </si>
  <si>
    <t>வெள்ளை உளுந்தை 2 மணி நேரம் தண்ணீரில் ஊறவைத்து, அதிகப்படியான தண்ணீரை வடிகட்டவும். மிகக் குறைந்த அளவு தண்ணீரைச் சேர்த்து (1/4 - 1/2 கப் தண்ணீரிலிருந்து சிறிது) மென்மையான பேஸ்டாக அரைக்கவும். நிலைத்தன்மை மெது வடை மாவு போல இருக்க வேண்டும். ஆரஞ்சு உணவு வண்ணத்தை (விரும்பினால்) சேர்த்து நன்கு கலக்கவும். பேட்டரை ஒரு பைப்பிங் பை அல்லது வேறு எந்த பிளாஸ்டிக் பையிலும் நிரப்பி, நுனியில் ஒரு சிறிய துளை செய்து, முதலில் சிறிய துளை செய்து, தேவைப்பட்டால் அதை பெரிதாக்கவும். நீங்கள் கெட்ச்அப் பாட்டிலையும் பயன்படுத்தலாம். சர்க்கரை பாகை தயாரிக்க 2 கப் சர்க்கரையை 1 கப் தண்ணீரில் உருக்கி 1/2 - 1 சர நிலைத்தன்மைக்கு கொண்டு வாருங்கள் (1 சர நிலைத்தன்மைக்கு மேல் இருக்கக்கூடாது). 1 சர நிலைத்தன்மைக்கு மேல் இருந்தால், சிரப் மிகவும் திறமையாக ஊடுருவாது. மேலும் சர்க்கரை படிகமாக்கலைத் தடுக்க அரை எலுமிச்சை சாறு சேர்க்கவும் அல்லது நீங்கள் டார்ட்டர் கிரீம் பயன்படுத்தலாம். ஜாங்கிரியை எண்ணெயில் வறுக்கவும் (எண்ணெய் நடுத்தர வெப்பநிலையில் இருக்க வேண்டும், அப்போதுதான் ஜாங்கிரிகள் மென்மையாக இருக்கும்) மொறுமொறுப்பாகும் வரை வறுக்கவும், அதை மறுபுறம் திருப்பி மொறுமொறுப்பாகும் வரை வறுக்கவும். சர்க்கரை பாகில் 1-2 நிமிடங்கள் நனைக்கவும். சுவையான ஜாங்கிரியை அனுபவிக்கவும்.</t>
  </si>
  <si>
    <t>https://blogger.googleusercontent.com/img/b/R29vZ2xl/AVvXsEgtWgAEgm0xLzf7x8QZdzr60MAZn0Jm239YY1Q3ZdcTDOg_TPcfeE6TWyE2eHx1sCnY19rKunN4Ga2hhK3iohknPLXPdHhnPbibCKMY2AETdpdsY6u3CGeLwnXVa7Gg_177WguZEiBapm0C/s640/Jangiri+Sweet+Recipe.JPG</t>
  </si>
  <si>
    <t>https://youtu.be/gw0R1r_y_0A</t>
  </si>
  <si>
    <t>Jalebi Sweet</t>
  </si>
  <si>
    <t>ஜிலேபி ஸ்வீட்</t>
  </si>
  <si>
    <t>1 cup - All purpose flour / Maida, 3 Tbsp - corn flour, ¾ cup -  curd, 1 cup - All purpose flour / Maida, 3 Tbsp- corn flour, ¼ - ½ cup - water, ¼ Tsp - baking powder before frying, Yellow food color, Oil for Frying, For Sugar Syrup, 2 - cups , Sugar, 1 cup - Water, juice of half lemon to prevent sugar Crystallization.</t>
  </si>
  <si>
    <t>1 கப் - அனைத்து உபயோக மாவு / மைதா, 3 டேபிள்ஸ்பூன் - சோள மாவு, ¾ கப் - தயிர், 1 கப் - அனைத்து உபயோக மாவு / மைதா, 3 டேபிள்ஸ்பூன் - சோள மாவு, ¼ - ½ கப் - தண்ணீர், ¼ டேபிள்ஸ்பூன் - வறுப்பதற்கு முன் பேக்கிங் பவுடர், மஞ்சள் உணவு நிறம், வறுக்க எண்ணெய், சர்க்கரை சிரப்பிற்கு, 2 - கப், சர்க்கரை, 1 கப் - தண்ணீர், சர்க்கரை படிகமாவதைத் தடுக்க அரை எலுமிச்சை சாறு.</t>
  </si>
  <si>
    <t>Mix maida , corn flour, curd , ghee , Yellow food color with some water (1/4 - 1/2 cups approximately).The batter should be in a flowing consistency. Set this aside for fermentation for minimum 8 hrs - overnight ,only then we will get crispier jelabis.  After 8-12 hours of fermentation add a pinch of baking soda and mix well.Fill the batter into a piping bag or any other plastic bag and make a small hole at the bottom (I have used Ketchup bottle ).  To make sugar syrup heat sugar and water and bring to 1/2 to 1 string consistency,if the syrup passes 1 string consistency then the sugar syrup will not penetrate more efficiently and the jalebi  will not be juicy,To prevent sugar crystallization add lemon juice(you can also use cream of tartar).  Fry the jalebis in oil until crisp,temperature of the oil should be medium ,if it is very low then the jalebis will not turn crispy.  Add the fried jalebis immediately into the sugar syrup and dunk it inside for 20 -30 seconds,(sugar syrup should be a little warm).  Enjoy Crispy Jelabis .</t>
  </si>
  <si>
    <t>மைதா, சோள மாவு, தயிர், நெய், மஞ்சள் உணவு நிறம் ஆகியவற்றை சிறிது தண்ணீரில் (தோராயமாக 1/4 - 1/2 கப்) கலக்கவும். மாவு நன்றாக பாயும் நிலைத்தன்மையுடன் இருக்க வேண்டும். இதை நொதித்தலுக்கு குறைந்தது 8 மணி நேரம் - இரவு முழுவதும் ஒதுக்கி வைக்கவும், அப்போதுதான் நமக்கு மொறுமொறுப்பான ஜெலபிஸ் கிடைக்கும். 8-12 மணி நேரம் நொதித்த பிறகு, ஒரு சிட்டிகை பேக்கிங் சோடாவைச் சேர்த்து நன்கு கலக்கவும். மாவை ஒரு பைப்பிங் பை அல்லது வேறு ஏதேனும் பிளாஸ்டிக் பையில் நிரப்பி, கீழே ஒரு சிறிய துளை செய்யுங்கள் (நான் கெட்ச்அப் பாட்டிலைப் பயன்படுத்தினேன்). சர்க்கரை பாகு தயாரிக்க, சர்க்கரை மற்றும் தண்ணீரை சூடாக்கி, 1/2 முதல் 1 சரம் நிலைத்தன்மைக்கு கொண்டு வாருங்கள். சிரப் 1 சரம் நிலைத்தன்மையைக் கடந்தால், சர்க்கரை பாகு திறமையாக ஊடுருவாது, ஜிலேபி ஜூசியாக இருக்காது. சர்க்கரை படிகமாக்கலைத் தடுக்க எலுமிச்சை சாறு சேர்க்கவும் (நீங்கள் டார்ட்டர் கிரீம் பயன்படுத்தலாம்). ஜிலேபிகளை எண்ணெயில் மொறுமொறுப்பாக வறுக்கவும், எண்ணெயின் வெப்பநிலை நடுத்தரமாக இருக்க வேண்டும், அது மிகக் குறைவாக இருந்தால், ஜிலேபிகள் மொறுமொறுப்பாக மாறாது. வறுத்த ஜிலேபிகளை உடனடியாக சர்க்கரை பாகில் சேர்த்து 20 -30 வினாடிகள் உள்ளே ஊற வைக்கவும் (சர்க்கரை பாகு சிறிது சூடாக இருக்க வேண்டும்). மொறுமொறுப்பான ஜிலேபிகளை அனுபவிக்கவும்.</t>
  </si>
  <si>
    <t>https://blogger.googleusercontent.com/img/b/R29vZ2xl/AVvXsEhjNVTT34MvzRWG3acxASRRZTAYYK7dE2q4WH5ZT0rCr97TknTFTm5OOGwj1nAqyEly1k7ZWSsTD9Y9jKxwbY8lEbif6kFLQDwsHqNMu9BYNqZ3H0ms-1WPkDm0MvGnsGFbSc-rDjqWn9k6/s640/DSC03567.JPG</t>
  </si>
  <si>
    <t>https://youtu.be/g_VaGxjMpbE</t>
  </si>
  <si>
    <t>Chettinad Fish Curry</t>
  </si>
  <si>
    <t>செட்டிநாடு மீன் குழம்பு</t>
  </si>
  <si>
    <t>1/2 kg - Fish (Red Snapper), 1/2 tsp - Seeds , 1/2 tsp - Fenugreek Seeds , 1/2 tsp - Pepper corns ,   1/2 tsp Cumin Seeds, 3 - Cloves Garlic, 5 - Shallots , 1 - Tomato, 1/2 tsp - Turmeric powder, 2 tsp - Chili Powder, 3 tsp - Coriander Powder, 1 cup - Grated Coconut, 1 - Tamarind (lemon sized) , 3 - Green Chilies, 2 Tbsp - Oil, Required Water, Salt to taste.</t>
  </si>
  <si>
    <t>1/2 கிலோ - மீன் (ரெட் ஸ்னாப்பர்), 1/2 தேக்கரண்டி - விதைகள், 1/2 தேக்கரண்டி - வெந்தய விதைகள், 1/2 தேக்கரண்டி - மிளகு, 1/2 தேக்கரண்டி சீரகம், 3 - கிராம்பு பூண்டு, 5 - வெங்காயத்தாள், 1 - தக்காளி, 1/2 தேக்கரண்டி - மஞ்சள் தூள், 2 தேக்கரண்டி - மிளகாய் தூள், 3 தேக்கரண்டி - கொத்தமல்லி தூள், 1 கப் - துருவிய தேங்காய், 1 - புளி (எலுமிச்சை அளவு), 3 - பச்சை மிளகாய், 2 தேக்கரண்டி - எண்ணெய், தேவையான தண்ணீர், சுவைக்கேற்ப உப்பு.</t>
  </si>
  <si>
    <t>For the Chettinad curry masala powder, dry roast equal quantities of mustard, cumin, fenugreek, pepper and grind it into a fine powder. This powder can be stored in an air-tight container and be used for upto 3 months.    Heat 1 Tbsp of oil in a pan and add 3 cloves of garlic and after a couple of minutes add 4-5 shallots and cook till the shallots turn translucent.Then add one tomato and cook it till the tomato turns soft.   Add ¼ tsp turmeric powder and Fish curry masala powder(which we ground in step 1 ). This powder imparts a unique smell to our recipe. Also add 2 Tsp Chilli powder and 1 Tbsp of coriander powder. For the fish curry it is essential to use slightly more coriander powder than chilli powder. Saute for 1 min and turn of the heat do not burn the masala.    Transfer this mixture to mixer and add 1 cup of grated coconut and grind it to a very smooth paste.   Add 2 Tsp of oil to the pan and add 3 green chillis and the ground masala paste and some water(as per your need). Now add the tamarind extract and bring it to a boil and required salt and allow the curry to boil.    Once the mixture starts boiling add the cleaned fish pieces and cook for 7 minutes. There are some variations where you can add the fish before the gravy boils. It all depends on the texture of the fish, for fishes with firmer meat you can add it earlier in the recipe and then bring the entire gravy to a boil. However for fishes with delicate meat you have to add the fish pieces at the end after gravy has started boiling. Other wise the fish pieces will start breaking down.   Add the curry leaves and turn of the heat. Allow the gravy to rest for 15-30 mins. Now our delicious fish gravy is ready to be served with some rice.   My fish curry calls me, i am gonna enjoy my delicious fish curry .</t>
  </si>
  <si>
    <t>செட்டிநாடு கறி மசாலாப் பொடிக்கு, கடுகு, சீரகம், வெந்தயம், மிளகு ஆகியவற்றை சம அளவு வறுத்து நன்றாகப் பொடி செய்து கொள்ளவும். இந்தப் பொடியை காற்றுப் புகாத கொள்கலனில் சேமித்து 3 மாதங்கள் வரை பயன்படுத்தலாம். ஒரு கடாயில் 1 டேபிள்ஸ்பூன் எண்ணெயை சூடாக்கி, 3 பல் பூண்டு சேர்த்து, சில நிமிடங்களுக்குப் பிறகு 4-5 வெங்காயங்களைச் சேர்த்து, வெங்காயம் தெளிவாகும் வரை வதக்கவும். பின்னர் ஒரு தக்காளியைச் சேர்த்து, தக்காளி மென்மையாக மாறும் வரை வதக்கவும். ¼ டீஸ்பூன் மஞ்சள் தூள் மற்றும் மீன் கறி மசாலாப் பொடியைச் சேர்க்கவும் (படி 1 இல் அரைத்தோம்). இந்தப் பொடி எங்கள் செய்முறைக்கு ஒரு தனித்துவமான வாசனையைத் தருகிறது. மேலும் 2 டேபிள்ஸ்பூன் மிளகாய்த் தூள் மற்றும் 1 டேபிள்ஸ்பூன் கொத்தமல்லித் தூள் சேர்க்கவும். மீன் கறிக்கு, மிளகாய்த் தூளை விட சற்று அதிகமாக கொத்தமல்லித் தூள் பயன்படுத்துவது அவசியம். 1 நிமிடம் வதக்கி, மசாலா எரியாமல் இருக்க, தீயை அணைக்கவும். இந்த கலவையை மிக்ஸியில் மாற்றி, 1 கப் துருவிய தேங்காயைச் சேர்த்து, மிகவும் மென்மையான பேஸ்டாக அரைக்கவும். வாணலியில் 2 டேபிள்ஸ்பூன் எண்ணெய் சேர்த்து, 3 பச்சை மிளகாய், அரைத்த மசாலா விழுது மற்றும் சிறிது தண்ணீர் (உங்கள் தேவைக்கேற்ப) சேர்க்கவும். இப்போது புளி சாற்றைச் சேர்த்து ஒரு கொதி நிலைக்கு கொண்டு வந்து, தேவையான உப்பு சேர்த்து கறி கொதிக்க விடவும். கலவை கொதிக்க ஆரம்பித்ததும் சுத்தம் செய்த மீன் துண்டுகளைச் சேர்த்து 7 நிமிடங்கள் சமைக்கவும். குழம்பு கொதிக்கும் முன் மீனைச் சேர்க்க சில வழிகள் உள்ளன. இவை அனைத்தும் மீனின் அமைப்பைப் பொறுத்தது, உறுதியான இறைச்சி கொண்ட மீன்களுக்கு, நீங்கள் அதை செய்முறையின் ஆரம்பத்தில் சேர்த்து, பின்னர் முழு குழம்பையும் கொதிக்க வைக்கலாம். இருப்பினும், மென்மையான இறைச்சி கொண்ட மீன்களுக்கு, குழம்பு கொதிக்க ஆரம்பித்த பிறகு, மீன் துண்டுகளை இறுதியில் சேர்க்க வேண்டும். இல்லையெனில் மீன் துண்டுகள் உடைந்து போகும். கறிவேப்பிலையைச் சேர்த்து, தீயை அணைக்கவும். குழம்பை 15-30 நிமிடங்கள் அப்படியே வைக்கவும். இப்போது எங்கள் சுவையான மீன் குழம்பு சிறிது சாதத்துடன் பரிமாற தயாராக உள்ளது. என் மீன் கறி என்னை அழைக்கிறது, நான் என் சுவையான மீன் கறியை ருசிக்கப் போகிறேன்.</t>
  </si>
  <si>
    <t>https://blogger.googleusercontent.com/img/b/R29vZ2xl/AVvXsEjmcY2LfE_1687SqqI5bOZjyYsyS1DPOAU_gt2LiqBS6qTfBn94S_GNa-Agoc7cAt6WcLLwyF0kNLQQ3Ul8dOKtnGiZ2L6xBzlAJA5gIkCrjIvLr6p4VPFeTU0AkMk6iCBmiC7PiCOGzg-4/s640/Fish+curry.JPG</t>
  </si>
  <si>
    <t>https://youtu.be/pEuWYPcCf10</t>
  </si>
  <si>
    <t>Mutton Biryani in Pressure Cooker</t>
  </si>
  <si>
    <t>பிரஷர் குக்கரில் மட்டன் பிரியாணி</t>
  </si>
  <si>
    <t>1 - Star anise, 1 - mace, 1 inch - Cinnamon stick, 3 - cardamom pods, 4 - cloves, 1 tsp - Cumin seeds, 1/2 tsp - fennel seeds, 1/2 tsp - pepper corns, 2 tsp - coriander seeds, 1 - Bay leaf, 2 - Tbsp - Ghee, 2 - Tbsp - Oil, 2 - bay leaves ,  3 - green cardamom ,  3 - cloves, 1(250 g) - Onion , 2 Tbsp - Ginger Garlic paste, 5 - green Chilies, 1/2 tsp - Turmeric powder, 1-2 Tbsp - Red Chili Powder, 1(150g) - Tomato, 1/2 cup -  Curd, Handfull coriander and Mint leaves, 500g - Mutton (lamb), 2 cups - Basmati rice, 3 cups - Water, Salt to Taste.</t>
  </si>
  <si>
    <t>1 - நட்சத்திர சோம்பு, 1 - ஜாதிக்காய், 1 அங்குலம் - இலவங்கப்பட்டை, 3 - ஏலக்காய் காய்கள், 4 - கிராம்பு, 1 தேக்கரண்டி - சீரகம், 1/2 தேக்கரண்டி - பெருஞ்சீரகம், 1/2 தேக்கரண்டி - மிளகு, 2 தேக்கரண்டி - கொத்தமல்லி விதைகள், 1 - பிரியாணி இலை, 2 - தேக்கரண்டி - நெய், 2 - தேக்கரண்டி - எண்ணெய், 2 - பிரியாணி இலைகள், 3 - பச்சை ஏலக்காய், 3 - கிராம்பு, 1 (250 கிராம்) - வெங்காயம், 2 தேக்கரண்டி - இஞ்சி பூண்டு விழுது, 5 - பச்சை மிளகாய், 1/2 தேக்கரண்டி - மஞ்சள் தூள், 1-2 தேக்கரண்டி - சிவப்பு மிளகாய் தூள், 1 (150 கிராம்) - தக்காளி, 1/2 கப் - தயிர், ஒரு கைப்பிடி கொத்தமல்லி மற்றும் புதினா இலைகள், 500 கிராம் - மட்டன் (ஆட்டுக்குட்டி), 2 கப் - பாஸ்மதி அரிசி, 3 கப் - தண்ணீர், உப்பு சுவைக்கவும்.</t>
  </si>
  <si>
    <t>To make Biryani masala dry roast star anise ,cinamon stick,cloves , mace, cardamom, cumin seeds, fennel seeds, pepper corns, coriander seeds and bay leaves for 2 minutes on a low heat and grind it to a fine powder.  In a cooker heat 2 tbsp. of oil and 2 tbsp. of ghee /Clarified butter and add 2 bay leaves ,3 green cardamom , 3 cloves.   Add 1 sliced onion(200g) add some salt and saute until golden brown. For biryani we need to brown the onions to get best result at the same time be careful do not burn them.Now to this add 5 green chilies add 1tbsp of ginger paste and 1 tbsp of garlic paste.  And after the raw smell is gone add  1/2 tsp of turmeric powder , masala powder (freshly ground biryani masala powder in step 1) and also add 1 -2  tbsp of chilli powder depending on your spice preference and mix all the ingredients together and then add 1 sliced tomato (150g) and cook it until everything turns into a paste we don’t want tomato chunks in our biryani.   Now to this add ½ cup yogurt/curd and cook it for 2-3 minutes and then add some coriander and mint leaves.I like to add mint little extra than coriander leaves.  Add the mutton pieces also add 1 cup of water and cook for 4 whistles on a medium heat.  After the mutton pieces are nicely cooked now add the basmati rice which has been soaked for 20 minutes, today I have taken 2 cups of basmati rice i.e. 400g of rice for that I have taken 500g of mutton (for best biryani always use equal or slightly more meat than rice).  For 2 cups of rice we need 3 cups of water but already we have add 1 cup water while cooking mutton so add 2 cups again. Since the mutton is also going to release lot of moisture we only need to add little water while cooking.Check for salt,if needed add more salt cover and cook it for 1 whistle on a low heat or just cook for 10-15 minutes without weight(whistle).  And after a whistle switch off the heat and let it stand for 15 more minutes.  Our Delicious Mutton biryani is ready to be served will all its flavor and Taste.</t>
  </si>
  <si>
    <t>பிரியாணி மசாலா செய்ய, நட்சத்திர சோம்பு, இலவங்கப்பட்டை குச்சி, கிராம்பு, ஜாதிக்காய், ஏலக்காய், சீரகம், பெருஞ்சீரகம், மிளகு, கொத்தமல்லி விதைகள் மற்றும் பிரியாணி இலைகளை 2 நிமிடங்கள் குறைந்த வெப்பத்தில் வறுத்து, நன்றாகப் பொடியாக அரைக்கவும். ஒரு குக்கரில் 2 டேபிள்ஸ்பூன் எண்ணெய் மற்றும் 2 டேபிள்ஸ்பூன் நெய் / தெளித்த வெண்ணெய் ஆகியவற்றை சூடாக்கி, 2 பே இலைகள், 3 பச்சை ஏலக்காய், 3 கிராம்புகளைச் சேர்க்கவும். 1 துண்டுகளாக்கப்பட்ட வெங்காயம் (200 கிராம்) சேர்த்து சிறிது உப்பு சேர்த்து பொன்னிறமாகும் வரை வதக்கவும். பிரியாணிக்கு, சிறந்த பலனைப் பெற வெங்காயத்தை பழுப்பு நிறமாக்க வேண்டும், அதே நேரத்தில் அவை எரியாமல் கவனமாக இருங்கள். இப்போது இதனுடன் 5 பச்சை மிளகாய்களைச் சேர்த்து 1 டேபிள்ஸ்பூன் இஞ்சி விழுது மற்றும் 1 டேபிள்ஸ்பூன் பூண்டு விழுது சேர்க்கவும். பச்சை வாசனை போன பிறகு 1/2 டீஸ்பூன் மஞ்சள் தூள், மசாலா தூள் (படி 1 இல் புதிதாக அரைத்த பிரியாணி மசாலா தூள்) சேர்த்து, உங்கள் காரத்திற்கு ஏற்றவாறு 1 -2 டீஸ்பூன் மிளகாய் தூள் சேர்த்து, அனைத்து பொருட்களையும் ஒன்றாக கலந்து, பின்னர் 1 துண்டுகளாக்கப்பட்ட தக்காளியை (150 கிராம்) சேர்த்து, எல்லாம் ஒரு பேஸ்டாக மாறும் வரை சமைக்கவும். எங்கள் பிரியாணியில் தக்காளி துண்டுகள் வேண்டாம். இப்போது இதனுடன் ½ கப் தயிர்/தயிர் சேர்த்து 2-3 நிமிடங்கள் சமைக்கவும், பின்னர் சிறிது கொத்தமல்லி மற்றும் புதினா இலைகளை சேர்க்கவும். கொத்தமல்லி இலைகளை விட புதினாவை கொஞ்சம் கூடுதலாக சேர்க்க விரும்புகிறேன். மட்டன் துண்டுகளையும் சேர்த்து 1 கப் தண்ணீர் சேர்த்து மிதமான தீயில் 4 விசில் வரை சமைக்கவும். மட்டன் துண்டுகள் நன்றாக வெந்த பிறகு, 20 நிமிடங்கள் ஊறவைத்த பாஸ்மதி அரிசியைச் சேர்க்கவும், இன்று நான் 2 கப் பாஸ்மதி அரிசியை அதாவது 400 கிராம் அரிசியை எடுத்துக் கொண்டேன், அதற்காக நான் 500 கிராம் மட்டனை எடுத்துக் கொண்டேன் (சிறந்த பிரியாணிக்கு எப்போதும் அரிசியை விட சமமாக அல்லது சற்று அதிகமாக இறைச்சியைப் பயன்படுத்துங்கள்). 2 கப் அரிசிக்கு 3 கப் தண்ணீர் தேவை, ஆனால் ஏற்கனவே மட்டன் சமைக்கும் போது 1 கப் தண்ணீர் சேர்த்துள்ளோம், எனவே மீண்டும் 2 கப் சேர்க்கவும். மட்டன் நிறைய ஈரப்பதத்தை வெளியிடும் என்பதால், சமைக்கும் போது சிறிது தண்ணீர் மட்டுமே சேர்க்க வேண்டும். உப்பு இருக்கிறதா என்று பாருங்கள், தேவைப்பட்டால் அதிக உப்பு சேர்க்கவும் மூடி வைத்து 1 விசில் வரும் வரை குறைந்த தீயில் சமைக்கவும் அல்லது எடை இல்லாமல் 10-15 நிமிடங்கள் (விசில்) சமைக்கவும். ஒரு விசில் வந்த பிறகு, அடுப்பை அணைத்துவிட்டு 15 நிமிடங்கள் அப்படியே வைக்கவும். எங்கள் சுவையான மட்டன் பிரியாணி பரிமாற தயாராக உள்ளது, அதன் சுவை மற்றும் சுவை அனைத்தும் இருக்கும்.</t>
  </si>
  <si>
    <t>https://blogger.googleusercontent.com/img/b/R29vZ2xl/AVvXsEj8k4MRxosF4PBOd193WiW5rDc_b9G2yAfhltUB-MTG2GPLfTZhEPMz_EFM48tgmORBKnn0x9TN7bgKJSU8k_05xvp-cMBdEyalWqc_FmrZOaTIzIQXHJ78-g5SZp8q6IaD1DCrOmR5FSVQ/s640/Mutton+Biryani-in+pressure+cooker.JPG</t>
  </si>
  <si>
    <t>https://youtu.be/RVVAHdl0cSE</t>
  </si>
  <si>
    <t>Crab Curry</t>
  </si>
  <si>
    <t>நண்டு குழம்பு</t>
  </si>
  <si>
    <t>1/2 kg - crab (king crab), 2 tbsp - Oil, 2 tsp - cumin seeds, 2 tsp - fennel seeds, 1 tbsp - pepper corns, 2 - Green chilies, 1 tbsp - ginger garlic paste, 1(250g) -Large Onion, 2(150g) - Tomato, 1/2 tsp -Turmeric Powder, 1 Tbsp - Coriander Powder, 2-3 tsp - Chilli Powder, 1/2 cup - Grated Coconut, 3 - Cardamom, 2 - Cloves, 1/2 tsp - Mustard Seeds, Salt to Taste, Curry Leaves for Garnishing.</t>
  </si>
  <si>
    <t>1/2 கிலோ - நண்டு (ராஜா நண்டு), 2 டீஸ்பூன் - எண்ணெய், 2 டீஸ்பூன் - சீரகம், 2 டீஸ்பூன் - பெருஞ்சீரகம், 1 டீஸ்பூன் - மிளகு சோளம், 2 - பச்சை மிளகாய், 1 டீஸ்பூன் - இஞ்சி பூண்டு விழுது, 1 (250 கிராம்) - பெரிய வெங்காயம், 2 (150 கிராம்) - தக்காளி, 1/2 டீஸ்பூன் - மஞ்சள் தூள், 1 டீஸ்பூன் - கொத்தமல்லி தூள், 2-3 டீஸ்பூன் - மிளகாய் தூள், 1/2 கப் - துருவிய தேங்காய், 3 - ஏலக்காய், 2 - கிராம்பு, 1/2 டீஸ்பூன் - கடுகு, சுவைக்கு உப்பு, அலங்கரிக்க கறிவேப்பிலை.</t>
  </si>
  <si>
    <t>Roast 2 tsp cumin seeds,2 tsp fennel,3 tsp pepper corns in 1 tbsp oil for a minute Add sliced onions(250g) ,required salt and saute for 2 more minutes.  Once the onions are golden add 2 green Chillies and 1 tbsp of ginger garlic paste and saute until raw smell is gone Add the masalas turmeric powder,chilli powder and coriander powder and saute it for a minute and turn off the heat.  Grind the onion mixture along with some grated coconut and make it into a smooth paste.  Again Heat 1 tbsp oil and add cardamom pods, cloves and mustard seeds and allow the seeds to pop Add the ground coconut onion masala paste and also add required water and bring the gravy to a boil.  Now add the cleaned and scored crab (if you are using big crabs its very important to score the crabs only then masalas will diffuse into the meat more efficiently).  Cover and cook for 15-20 minutes (in case of small crabs cook for 10 minutes) To add more flavor add some curry leaves for garnishing and turn off the heat and serve the delicious crab curry over rice .Happy Cooking!!!</t>
  </si>
  <si>
    <t>2 டீஸ்பூன் சீரகம், 2 டீஸ்பூன் பெருஞ்சீரகம், 3 டீஸ்பூன் மிளகு சோளத்தை 1 டீஸ்பூன் எண்ணெயில் ஒரு நிமிடம் வறுக்கவும் துண்டுகளாக்கப்பட்ட வெங்காயம் (250 கிராம்), தேவையான உப்பு சேர்த்து மேலும் 2 நிமிடங்கள் வதக்கவும். வெங்காயம் பொன்னிறமாக மாறியதும் 2 பச்சை மிளகாய், 1 டேபிள் ஸ்பூன் இஞ்சி பூண்டு விழுது சேர்த்து பச்சை வாசனை போகும் வரை வதக்கவும். மசாலா மஞ்சள் தூள், மிளகாய் தூள் மற்றும் கொத்தமல்லி தூள் சேர்த்து ஒரு நிமிடம் வதக்கி, தீயை அணைக்கவும். வெங்காயக் கலவையை சிறிது துருவிய தேங்காயுடன் சேர்த்து அரைத்து, மென்மையான பேஸ்டாக ஆக்குங்கள். மீண்டும் 1 டேபிள் ஸ்பூன் எண்ணெயை சூடாக்கி, ஏலக்காய் காய்கள், கிராம்பு மற்றும் கடுகு சேர்த்து, விதைகள் வெடிக்க விடுங்கள். அரைத்த தேங்காய் வெங்காய மசாலா விழுதைச் சேர்த்து, தேவையான தண்ணீரைச் சேர்த்து, குழம்பை கொதிக்க விடவும். இப்போது சுத்தம் செய்து அரைத்த நண்டைச் சேர்க்கவும் (நீங்கள் பெரிய நண்டுகளைப் பயன்படுத்துகிறீர்கள் என்றால், நண்டுகள் நன்றாகப் படருவது மிகவும் முக்கியம், அப்போது மசாலாக்கள் இறைச்சியில் மிகவும் திறமையாக பரவும்). 15-20 நிமிடங்கள் மூடி வைத்து சமைக்கவும் (சிறிய நண்டுகள் 10 நிமிடங்கள் சமைக்கவும்) அதிக சுவை சேர்க்க, அலங்காரத்திற்காக சில கறிவேப்பிலைகளைச் சேர்த்து, தீயை அணைத்து, அரிசியின் மேல் சுவையான நண்டு கறியை பரிமாறவும். சமைப்பதற்கு மகிழ்ச்சி!!!</t>
  </si>
  <si>
    <t>https://blogger.googleusercontent.com/img/b/R29vZ2xl/AVvXsEjF5ewwuqPGllCHDwPty_akuNmYR1j0br9Yi3JSn5wNgbB-uO-eQw6BB6VDxGwTDSJQznYkIngEbDaXM5GOTeKyRBFdKcvtnn8p2bGNvioiuk8vwSIy_lVzVupBWyXQ5Qg5UpVMezSeouT9/s640/Crab+Curry+Recipe.JPG</t>
  </si>
  <si>
    <t>https://youtu.be/Hb49Vntm1z4</t>
  </si>
  <si>
    <t>Gulab Jamun from Khoya</t>
  </si>
  <si>
    <t>கோயாவிலிருந்து குலாப் ஜாமுன்</t>
  </si>
  <si>
    <t>150g - Khoya, 4 tbsp - All Purpose flour, 1/4 tsp - Baking powder, 1/4 cup - Water , For sugar syrup, 2 cups - Sugar, 2 cups- Water, 1tsp - Lemon juice, 4- Cardamom.</t>
  </si>
  <si>
    <t>150 கிராம் - கோயா, 4 டீஸ்பூன் - அனைத்து உபயோக மாவு, 1/4 டீஸ்பூன் - பேக்கிங் பவுடர், 1/4 கப் - தண்ணீர், சர்க்கரை சிரப்பிற்கு, 2 கப் - சர்க்கரை, 2 கப் - தண்ணீர், 1 டீஸ்பூன் - எலுமிச்சை சாறு, 4- ஏலக்காய்.</t>
  </si>
  <si>
    <t>To make Sugar syrup add Sugar and water in a pan and bring to a boil.Once the sugar syrup starts boiling, reduce the heat to medium and let the syrup simmer down for another 10 minutes.  Add lemon juice (The lemon juice prevents the sugar crystallization once the mixture cools down and keeps it in the liquid state.) Add the crushed cardamom pods .  Meanwhile,Powder the khoya in a blender to a fine powdery consistency ,Add All purpose Flour and Baking powder .  Add Water little by little and mix the ingredients well till you get a smooth dough and make small ball out of the dough .  In a pan,heat the oil for frying.Make sure the oil should be in moderate temperature.If it is too hot,the outer surface gets browned very soon and the inside wont get cooked well.and swirl it with a spoon to ensure even cooking. Fry until the jamuns get a nice brown color.  Drain them from the oil and add it to the sugar syrup and let the jamuns soak in the sugar syrup for atleast 6-8 hours.  Enjoy the Tasty Jamuns made from khoya.</t>
  </si>
  <si>
    <t>சர்க்கரை சிரப் தயாரிக்க ஒரு பாத்திரத்தில் சர்க்கரை மற்றும் தண்ணீரைச் சேர்த்து கொதிக்க வைக்கவும். சர்க்கரை சிரப் கொதிக்க ஆரம்பித்ததும், தீயை நடுத்தரமாகக் குறைத்து, சிரப்பை மேலும் 10 நிமிடங்கள் கொதிக்க விடவும். எலுமிச்சை சாறு சேர்க்கவும் (கலவை குளிர்ந்ததும் எலுமிச்சை சாறு சர்க்கரை படிகமாவதைத் தடுக்கிறது மற்றும் திரவ நிலையில் வைத்திருக்கும்.) நொறுக்கப்பட்ட ஏலக்காய் காய்களைச் சேர்க்கவும். இதற்கிடையில், கோயாவை ஒரு பிளெண்டரில் நன்றாகப் பொடி செய்யும் வரை பொடி செய்யவும், அனைத்து உபயோக மாவு மற்றும் பேக்கிங் பவுடரைச் சேர்க்கவும். சிறிது சிறிதாக தண்ணீர் சேர்த்து, மென்மையான மாவு கிடைக்கும் வரை பொருட்களை நன்கு கலந்து, மாவிலிருந்து சிறிய உருண்டைகளை உருவாக்கவும். ஒரு பாத்திரத்தில், பொரிப்பதற்கு எண்ணெயை சூடாக்கவும். எண்ணெய் மிதமான வெப்பநிலையில் இருக்க வேண்டும். அது மிகவும் சூடாக இருந்தால், வெளிப்புற மேற்பரப்பு மிக விரைவில் பழுப்பு நிறமாகிவிடும், மேலும் உட்புறம் நன்றாக வேகாது. ஒரு கரண்டியால் அதைச் சுழற்றி, சமமாக சமைக்கவும். ஜாமுன்கள் நல்ல பழுப்பு நிறம் வரும் வரை வறுக்கவும். அவற்றை எண்ணெயிலிருந்து வடிகட்டி, சர்க்கரை பாகில் சேர்த்து, ஜாமுன்களை சர்க்கரை பாகில் குறைந்தது 6-8 மணி நேரம் ஊற வைக்கவும். கோவாவிலிருந்து தயாரிக்கப்பட்ட சுவையான ஜாமுன்களை அனுபவிக்கவும்.</t>
  </si>
  <si>
    <t>https://blogger.googleusercontent.com/img/b/R29vZ2xl/AVvXsEjvb4TtSO8J0_iq31Nka8iRqUnsdeAJKaOuvVWHGTf4mR52cwi2J57fn_MiBORaTD8V4gPA5pCUKgU1e0GtX_dBCi6bF9lk8Sil6NuvUa02N-NM42v87nwPoI_zQMucDYNMOCWe1qmEOxfi/s640/Gulab-Jamun.JPG</t>
  </si>
  <si>
    <t>https://youtu.be/cqM7MQ7r7Kg</t>
  </si>
  <si>
    <t>Boondi Laddu</t>
  </si>
  <si>
    <t>பூண்டி லட்டு</t>
  </si>
  <si>
    <t>1 ½ cup - Besan Flour , 2 cups - of sugar, 2 cups - of water, Cashew nuts, Raisins, 1 tbsp - ghee , Oil for frying.</t>
  </si>
  <si>
    <t>1 ½ கப் - கடலை மாவு, 2 கப் - சர்க்கரை, 2 கப் - தண்ணீர், முந்திரி பருப்பு, திராட்சை, 1 டீஸ்பூன் - நெய், பொரிப்பதற்கு எண்ணெய்.</t>
  </si>
  <si>
    <t>Into a mixing bowl add besan and water(( I have used 1 cup approximately ) i.e 1 tbsp less for 1 cup) and make a lump free smooth batter.First add little water and make into smooth paste and then add more water to form a pouring consistency (if you add too much water at once you will end up with lumps so this way of making ensures lump free batter).  The consistency of the batter is very important.To check the batter pour a little amount of batter on to the ladle over hot oil and look at the shape of the boondis formed, if they are round shaped then the batter is at perfect consistency if they are elongated then the batter is thick add some more water if it is too watery then they will fall too quickly and form clumps so add more besan to it.  Fry the Boondis in hot oil,Temperature of oil should be very hot as soon as you drop the batter it should float on the surface of the oil,else it will settle at the same place,it will soak up lot of oil and the boondis wont be round it will be flat.   To make sugar syrup melt 2 cups of sugar add 1 cup of water and bring it to 1(one thick string) string consistency. The consistency of sugar syrup is very important.  Roast some nuts.Melt 1 tbsp Ghee/Clarified butter roast some cashews and raisins.  Combine Fried boondi ,nuts,sugar and enjoy as boondi (you can add boondis on the top of while payasam(milk payasam) to enjoy awesome tasty payasam (My favourite)).  You can continue to make Sweet Laddu,if you find difficulty in making shapes grind some of the boondis (just pulse it for 15 seconds) and mix it with the regular boondis,you will get perfect shapes.  If the boodis stick to your hand apply some ghee to your palms to avoid stickiness.</t>
  </si>
  <si>
    <t>ஒரு கலவை பாத்திரத்தில் கடலை மாவு மற்றும் தண்ணீரைச் சேர்த்து ((நான் தோராயமாக 1 கப் பயன்படுத்தியுள்ளேன்) அதாவது 1 கப்பிற்கு 1 டீஸ்பூன் குறைவாக) கட்டி இல்லாத மென்மையான மாவை தயாரிக்கவும். முதலில் சிறிது தண்ணீர் சேர்த்து மென்மையான பேஸ்டாக ஆக்கி, பின்னர் அதிக தண்ணீரைச் சேர்த்து ஊற்றும் நிலைத்தன்மையை உருவாக்கவும் (ஒரே நேரத்தில் அதிகமாக தண்ணீர் சேர்த்தால் கட்டிகள் இருக்கும், எனவே இந்த முறை கட்டி இல்லாத மாவை உறுதி செய்கிறது). மாவின் நிலைத்தன்மை மிகவும் முக்கியமானது. மாவைச் சரிபார்க்க, சூடான எண்ணெயில் சிறிது அளவு மாவை ஊற்றி, பூண்டிகளின் வடிவத்தைப் பாருங்கள், அவை வட்டமாக இருந்தால், மாவு சரியான நிலைத்தன்மையுடன் இருக்கும், பின்னர் மாவு தடிமனாக இருந்தால் இன்னும் கொஞ்சம் தண்ணீரைச் சேர்க்கவும், அது மிகவும் தண்ணீராக இருந்தால், அவை மிக விரைவாக விழுந்து கட்டிகளாக உருவாகும், எனவே அதில் அதிக கடலை மாவைச் சேர்க்கவும். பூண்டிஸை சூடான எண்ணெயில் வறுக்கவும், எண்ணெயின் வெப்பநிலை மிகவும் சூடாக இருக்க வேண்டும், நீங்கள் மாவை இறக்கியவுடன் அது எண்ணெயின் மேற்பரப்பில் மிதக்க வேண்டும், இல்லையெனில் அது அதே இடத்தில் படிந்துவிடும், அது நிறைய எண்ணெயை உறிஞ்சிவிடும், பூண்டிகள் வட்டமாக இருக்காது, அது தட்டையாக இருக்கும். சர்க்கரை பாகை உருக 2 கப் சர்க்கரையை 1 கப் தண்ணீர் சேர்த்து 1 (ஒரு தடிமனான சரம்) சரம் நிலைத்தன்மைக்கு கொண்டு வாருங்கள். சர்க்கரை பாகின் நிலைத்தன்மை மிகவும் முக்கியமானது. சிறிது கொட்டைகளை வறுக்கவும். 1 டீஸ்பூன் நெய்/தெளிவுபடுத்திய வெண்ணெய் உருக்கி சிறிது முந்திரி மற்றும் திராட்சையை வறுக்கவும். வறுத்த பூண்டி, கொட்டைகள், சர்க்கரை சேர்த்து பூண்டியாக மசிக்கவும் (அதன் மேல் பூண்டிகளைச் சேர்த்து பாயசம் (பால் பாயசம்) சுவைக்கலாம் (எனக்குப் பிடித்தது)). நீங்கள் இனிப்பு லட்டு தொடர்ந்து செய்யலாம், வடிவங்களை உருவாக்குவதில் சிரமம் இருந்தால் சில பூண்டிகளை அரைத்து (15 வினாடிகள் துடித்தால் போதும்) வழக்கமான பூண்டிகளுடன் கலக்கவும், உங்களுக்கு சரியான வடிவங்கள் கிடைக்கும். பூதிகள் உங்கள் கையில் ஒட்டிக்கொண்டால், ஒட்டும் தன்மையைத் தவிர்க்க உங்கள் உள்ளங்கையில் சிறிது நெய்யைத் தடவவும்.</t>
  </si>
  <si>
    <t>https://blogger.googleusercontent.com/img/b/R29vZ2xl/AVvXsEifTzpfvpteHSJXLhaMvEKaBnkZwH8cn6hIYCnvorNS7vdcHkdiN4F2f-bUogXhV4b_13tHOPgAbLBEKUH9Wx-IEbRAYsfMkgdjCQ-LEi0tELZNukrCaqg1rVYN8DASBqDsZHUyjzVekkVx/s640/Boondi+Ladoo.JPG</t>
  </si>
  <si>
    <t>https://youtu.be/ksMr8nKQj2g</t>
  </si>
  <si>
    <t>Pomfret Fish Fry</t>
  </si>
  <si>
    <t>பாம்ஃப்ரெட் மீன் வறுவல்</t>
  </si>
  <si>
    <t>500g - pomfret fish, 1/4 tsp - turmeric powder, 1 tsp - coriander powder, 2 tsp - chilli powder, 2 tsp - ginger garlic powder, 1 tsp - pepper powder, 2 tsp - oil, chopped curry leaves, juice of half lemon, salt to taste.</t>
  </si>
  <si>
    <t>500 கிராம் - பாம்ஃப்ரெட் மீன், 1/4 தேக்கரண்டி - மஞ்சள் தூள், 1 தேக்கரண்டி - கொத்தமல்லி தூள், 2 தேக்கரண்டி - மிளகாய் தூள், 2 தேக்கரண்டி - இஞ்சி பூண்டு தூள், 1 தேக்கரண்டி - மிளகு தூள், 2 தேக்கரண்டி - எண்ணெய், நறுக்கிய கறிவேப்பிலை, பாதி எலுமிச்சை சாறு, ருசிக்க உப்பு.</t>
  </si>
  <si>
    <t>Into a bowl mix turmeric powder,coriander powder,chilli powder,ginger garlic paste,curry leaves,salt,pepper powder and lemon juice.  coat the fish pieces well with the masalas and marinate it for minimum 20-30 minutes.  Heat some oil and fry until crispy on both the sides.</t>
  </si>
  <si>
    <t>ஒரு பாத்திரத்தில் மஞ்சள் தூள், கொத்தமல்லி தூள், மிளகாய் தூள், இஞ்சி பூண்டு விழுது, கறிவேப்பிலை, உப்பு, மிளகு தூள் மற்றும் எலுமிச்சை சாறு ஆகியவற்றை கலக்கவும். மீன் துண்டுகளை மசாலாக்களால் நன்றாகப் பூசி, குறைந்தபட்சம் 20-30 நிமிடங்கள் ஊற வைக்கவும். சிறிது எண்ணெயை சூடாக்கி, இருபுறமும் மொறுமொறுப்பாகும் வரை வறுக்கவும்.</t>
  </si>
  <si>
    <t>https://blogger.googleusercontent.com/img/b/R29vZ2xl/AVvXsEgWQDywTnWBBw3_Pe3Qz1SJzU5CtsNkmm0HsYu7Y8QxOjtDyn8btFrtQewux5U2elaqbVAMtv4-bjTQhtv4B7LGS0vWc5wHaId6aMXM6E3cAtbY9KMAiY-1U5ZwDyAM7sIrqZGAmCwnf5t-/s640/Pomfret+fish+fry.JPG</t>
  </si>
  <si>
    <t>Pomfret Fry Recipe / Fish Fry Indian Style / Fish Fry Recipe</t>
  </si>
  <si>
    <t>Chettinad Egg Biryani</t>
  </si>
  <si>
    <t>செட்டிநாடு முட்டை பிரியாணி</t>
  </si>
  <si>
    <t>1- mace, 1- star anise, 1- inch cinnamon stick, 10-15 - pepper corns, 3 - Green cardamom, 3 - cloves, 1 tsp - cumin seeds, 1 tbsp - of oil, ½ tsp - turmeric powder, 1 tsp - chilli powder, 1 tsp - cumin powder, 1 tsp - coriander powder, Salt to taste, 2 cups - of basmati rice, 3 cups - of water, 8 - hardboiled eggs, 20 - cashews, 1 - onion (200 g), 1 - tbsp ginger garlic paste, 4 - green chillies, 1-2 tsp - chilli powder, 1/4 tsp - turmeric powder, 1/2 cup - yogurt / curd, Coriander &amp; mint leaves, 1 tbsp - Ghee, 2 tbsp - saffron milk, Salt to taste.</t>
  </si>
  <si>
    <t>1- ஜாதிக்காய், 1- நட்சத்திர சோம்பு, 1- அங்குல இலவங்கப்பட்டை குச்சி, 10-15 - மிளகு சோளம், 3 - பச்சை ஏலக்காய், 3 - கிராம்பு, 1 தேக்கரண்டி - சீரகம், 1 தேக்கரண்டி - எண்ணெய், ½ தேக்கரண்டி - மஞ்சள் தூள், 1 தேக்கரண்டி - மிளகாய் தூள், 1 தேக்கரண்டி - சீரக தூள், 1 தேக்கரண்டி - கொத்தமல்லி தூள், ருசிக்க உப்பு, 2 கப் - பாஸ்மதி அரிசி, 3 கப் - தண்ணீர், 8 - வேகவைத்த முட்டை, 20 - முந்திரி, 1 - வெங்காயம் (200 கிராம்), 1 - தேக்கரண்டி இஞ்சி பூண்டு விழுது, 4 - பச்சை மிளகாய், 1-2 தேக்கரண்டி - மிளகாய் தூள், 1/4 தேக்கரண்டி - மஞ்சள் தூள், 1/2 கப் - தயிர் / தயிர், கொத்தமல்லி மற்றும் புதினா இலைகள், 1 தேக்கரண்டி - நெய், 2 தேக்கரண்டி - குங்குமப்பூ பால், ருசிக்க உப்பு.</t>
  </si>
  <si>
    <t>To make biryani masala powder grind mace , start anise, cinnamon, pepper corns , Green cardamom , cloves, cumin seeds.  In a  heavy bottom pan heat 3 tbsp. of oil and add 2 bay leaves .Add the freshly ground masala powder and saute it for few seconds and be careful dont burn the masalas.Add in one sliced onion(200 g), some salt and sauté till the onions are nicely browned ,you can also use friend onions.  Add 1 tbsp Ginger Garlic paste, 4 green chillies and after the raw smell is gone add the masalas ½ tsp turmeric powder, 1 tsp red Chilli powder if u want the biryani to be extra spicy u can add 2 -3 tsp.  Add some cashews to enhance the taste , Add some coriander leaves and some mint leaves.  Add 1/2 cup yogurt / curd and add 3 cups of water (for 2 cups of rice.  Add the Basmati rice which has been soaked for at least half an hour add required salt.Cover and cook until all the water is being absorbed by the rice .  Meanwhile to season the eggs Cut some boiled eggs and in a pan add oil and into the warm oil add ½ tsp turmeric powder 1 tsp chilli powder ,1 tsp cumin powder, 1 tsp coriander powder , Add some salt place the eggs and cook it for 2 minutes on both the sides.  Once all the water has been absorbed by the rice turn the heat to low and add 1 tbsp. of gee /Clarified Butter and also add 2 tbsp saffron milk (soak 10-15 strands of saffron in warm milk for 10 minutes) add the seasoned eggs cover it and cook for 5 more min on a very low heat..  Our tasty homemade chettinad egg biryani is ready. Serve it with Onion Raita. Happy Cooking.</t>
  </si>
  <si>
    <t>பிரியாணி மசாலா பொடி செய்ய, ஜாதிக்காய், சோம்பு, இலவங்கப்பட்டை, மிளகு, பச்சை ஏலக்காய், கிராம்பு, சீரகம் ஆகியவற்றை அரைக்கவும். ஒரு அடி கனமான வாணலியில் 3 டேபிள்ஸ்பூன் எண்ணெயை சூடாக்கி, 2 பிரியாணி இலைகளைச் சேர்க்கவும். புதிதாக அரைத்த மசாலா பொடியைச் சேர்த்து சில நொடிகள் வதக்கவும், மசாலா எரியாமல் கவனமாக இருங்கள். அதில் நறுக்கிய வெங்காயம் (200 கிராம்), சிறிது உப்பு சேர்த்து வெங்காயம் நன்றாக வதக்கவும், நீங்கள் வெங்காயத்தையும் பயன்படுத்தலாம். 1 டேபிள்ஸ்பூன் இஞ்சி பூண்டு விழுது, 4 பச்சை மிளகாய் சேர்த்து, பச்சை வாசனை போன பிறகு மசாலா ½ டீஸ்பூன் மஞ்சள் தூள், 1 டீஸ்பூன் சிவப்பு மிளகாய் தூள் சேர்த்து, பிரியாணி கூடுதல் காரமாக இருக்க விரும்பினால், 2 -3 டீஸ்பூன் சேர்க்கலாம். சுவை அதிகரிக்க சிறிது முந்திரி, சிறிது கொத்தமல்லி இலை மற்றும் சிறிது புதினா இலைகளைச் சேர்க்கவும். 1/2 கப் தயிர்/தயிர் சேர்த்து 3 கப் தண்ணீர் (2 கப் அரிசிக்கு) சேர்க்கவும். குறைந்தது அரை மணி நேரம் ஊறவைத்த பாஸ்மதி அரிசியைச் சேர்த்து, தேவையான உப்பு சேர்க்கவும். மூடி வைத்து, அரிசி அனைத்து தண்ணீரும் உறிஞ்சப்படும் வரை சமைக்கவும். இதற்கிடையில், முட்டைகளைத் தாளிக்கவும். சிறிது வேகவைத்த முட்டைகளை வெட்டி, ஒரு வாணலியில் எண்ணெய் சேர்த்து, சூடான எண்ணெயில் ½ தேக்கரண்டி மஞ்சள் தூள் 1 தேக்கரண்டி மிளகாய் தூள், 1 தேக்கரண்டி சீரகத் தூள், 1 தேக்கரண்டி கொத்தமல்லி தூள் சேர்க்கவும். சிறிது உப்பு சேர்த்து முட்டைகளை வைத்து, இருபுறமும் 2 நிமிடங்கள் சமைக்கவும். அரிசி அனைத்து நீரும் உறிஞ்சப்பட்டவுடன், தீயை குறைத்து, 1 தேக்கரண்டி கீரை/தெளிவுபடுத்தப்பட்ட வெண்ணெய் சேர்த்து, 2 தேக்கரண்டி குங்குமப்பூ பால் சேர்க்கவும் (10-15 குங்குமப்பூவை சூடான பாலில் 10 நிமிடங்கள் ஊற வைக்கவும்) பதப்படுத்தப்பட்ட முட்டைகளைச் சேர்த்து, அதை மூடி, மிகக் குறைந்த தீயில் 5 நிமிடங்கள் சமைக்கவும். எங்கள் சுவையான வீட்டில் தயாரிக்கப்பட்ட செட்டிநாடு முட்டை பிரியாணி தயார். வெங்காய ரைத்தாவுடன் பரிமாறவும். மகிழ்ச்சியான சமையல்.</t>
  </si>
  <si>
    <t>https://blogger.googleusercontent.com/img/b/R29vZ2xl/AVvXsEgE3j_RKVgNK1Pi_2MTDpWC6udNc975AFYLfcom8ACiXM79BORBV_8g8y4SogOkxMFuoz0h8ZeTSXwKQSiqUObzWI0fKLJVgoedXqlWX8JgOr0eiX5hCrAgbNYg61BQNpcXc8GehSvbvKe3/s640/Egg+Biryani.JPG</t>
  </si>
  <si>
    <t>Easy Egg Biryani Recipe | How to make egg biryani at home | Hyderabadi Egg Dum Biryani</t>
  </si>
  <si>
    <t>Spicy Potato Fry</t>
  </si>
  <si>
    <t>காரமான உருளைக்கிழங்கு வறுவல்</t>
  </si>
  <si>
    <t>3 - Potatoes, 1/4 tsp - Mustard Seeds, 1 tsp - urad Dal (black gram without skin), 1 tsp - Fennel Seeds, 1/4 tsp - turmeric powder, 2 tsp - chilli power, Curry leaves, 3 tbsp - oil, Salt to taste.</t>
  </si>
  <si>
    <t>3 - உருளைக்கிழங்கு, 1/4 தேக்கரண்டி - கடுகு விதைகள், 1 தேக்கரண்டி - உளுத்தம்பருப்பு (தோல் நீக்கப்படாத கருப்பு பயறு), 1 தேக்கரண்டி - பெருஞ்சீரகம் விதைகள், 1/4 தேக்கரண்டி - மஞ்சள் தூள், 2 தேக்கரண்டி - மிளகாய்த்தூள், கறிவேப்பிலை, 3 தேக்கரண்டி - எண்ணெய், ருசிக்கேற்ப உப்பு.</t>
  </si>
  <si>
    <t>I have taken 3 potatoes and peeled the skin and cut them into medium sized pieces And then I have covered the raw potatoes with water to stop them from turning brown.  Heat 3 tbsp. of oil in a pan ,add ¼ tsp mustard seeds once you hear the popping sound add 1 tsp of urad dal (split black gram) and also add 1 tsp of fennel seeds and then add some curry leaves and turmeric powder.  Add the cubed potatoes (drain the water completely) mix well ,also add required salt and 2 tsp chilli powder and roast it until the potatoes are fully cooked.  Now our potatoes are nicely roasted. Since we have cut them into medium sized pieces they didn’t take much time to cook .</t>
  </si>
  <si>
    <t>நான் 3 உருளைக்கிழங்கை எடுத்து, தோலை உரித்து, நடுத்தர அளவிலான துண்டுகளாக வெட்டினேன் பின்னர் பச்சை உருளைக்கிழங்கு பழுப்பு நிறமாக மாறாமல் இருக்க தண்ணீரில் மூடி வைத்தேன். ஒரு கடாயில் 3 தேக்கரண்டி எண்ணெயை சூடாக்கி, ¼ தேக்கரண்டி கடுகு சேர்த்து, வெடிக்கும் சத்தம் கேட்டவுடன், 1 தேக்கரண்டி உளுத்தம்பருப்பு சேர்த்து, 1 தேக்கரண்டி பெருஞ்சீரகம் சேர்த்து, பின்னர் சிறிது கறிவேப்பிலை மற்றும் மஞ்சள் தூள் சேர்க்கவும். துண்டுகளாக்கப்பட்ட உருளைக்கிழங்கைச் சேர்த்து (தண்ணீரை முழுவதுமாக வடித்து) நன்கு கலக்கவும், தேவையான உப்பு மற்றும் 2 தேக்கரண்டி மிளகாய்த்தூள் சேர்த்து, உருளைக்கிழங்கு முழுமையாக வேகும் வரை வறுக்கவும். இப்போது எங்கள் உருளைக்கிழங்கு நன்றாக வறுத்தெடுக்கப்பட்டது. நாங்கள் அவற்றை நடுத்தர அளவிலான துண்டுகளாக வெட்டியதால் அவை சமைக்க அதிக நேரம் எடுக்கவில்லை.</t>
  </si>
  <si>
    <t>https://blogger.googleusercontent.com/img/b/R29vZ2xl/AVvXsEh6awSVITDEKF__tD_iagWB8FI0PIUuJfPGYzXiCA-uBLYGRtgNYWuEorZteNH1If88_HNC_4ciXHXs1PV4eZZy6dc010EHbgmTkEOigX2kz2B5Vpqnq0kKOlGqw5l7eGYl8TH3LwVAbAMi/s640/spicy+potato+fry.JPG</t>
  </si>
  <si>
    <t>Chicken Korma</t>
  </si>
  <si>
    <t>சிக்கன் கோர்மா</t>
  </si>
  <si>
    <t>500g - Chicken pieces with bone, 1 tbsp - oil, 1 - onions (250g), 10-12 - cashews, 1 tbsp - poppy seeds, 2 tbsp - shredded coconut , ¼ cup - water, 2 tbsp - oil, 1 - bay leaf, 1 -  cinnamon stick, 4 - cardamom, 4 - cloves, 10-15 - black pepper corns, 2 tsp - ginger garlic paste, ½ tsp - turmeric powder, ½ tsp - cumin powder, 2 tsp - coriander powder, 1 tsp - chili powder, 3 tbsp - yogurt, 1 cup - water , Salt to taste, Coriander leaves for garnishing.</t>
  </si>
  <si>
    <t>500 கிராம் - எலும்புடன் கூடிய சிக்கன் துண்டுகள், 1 டேபிள் ஸ்பூன் - எண்ணெய், 1 - வெங்காயம் (250 கிராம்), 10-12 - முந்திரி, 1 டேபிள் ஸ்பூன் - பாப்பி விதைகள், 2 டேபிள் ஸ்பூன் - துருவிய தேங்காய், ¼ கப் - தண்ணீர், 2 டேபிள் ஸ்பூன் - எண்ணெய், 1 - பிரியாணி இலை, 1 - இலவங்கப்பட்டை, 4 - ஏலக்காய், 4 - கிராம்பு, 10-15 - கருப்பு மிளகு சோளம், 2 டேபிள் ஸ்பூன் - இஞ்சி பூண்டு விழுது, ½ டீஸ்பூன் - மஞ்சள் தூள், ½ டீஸ்பூன் - சீரக தூள், 2 டேபிள் ஸ்பூன் - கொத்தமல்லி தூள், 1 டீஸ்பூன் - மிளகாய் தூள், 3 டேபிள் ஸ்பூன் - தயிர், 1 கப் - தண்ணீர், சுவைக்கு உப்பு, அலங்காரத்திற்கு கொத்தமல்லி இலைகள்.</t>
  </si>
  <si>
    <t>Heat 1 tbsp of oil and add the onions(250g)  add required salt and saute until the onions are nicely browned , don’t burn them they will taste bitter.  Add the browned onions into a mixer jar and along with this add 10-12 cashews, 1 tbsp poppy seeds,2 tbsp shredded coconut ¼ cup water and grind it into a smooth paste.  Heat 2 tbsp oil add 1 bay leaf, then 1 “ cinnamon stick , 4 cardamom, 4 cloves, 10-15 black pepper corns, 2 tsp of ginger garlic paste and mix it well Add ½ tsp of turmeric powder, ½ tsp cumin powder, 2 tsp coriander powder , 1 tsp chilli powder and saute it for few seconds dont burn the masalas.  As soon as mixing the masalas add 3 tbsp of curd / Yogurt and mix once then add the ground onion cashew mixture, Mix it and combine everything together .  Now add 1 cup of water if you want more gravy add some more water and cook for 5-7 minutes .  after the gravy has come to a boil add the chicken add required salt now cover it and cook for 15-20 minutes based on the size of your chicken pieces.  8 Garnish it with some chopped coriander leaves.    Enjoy Restaurant Style Chicken Korma with naan , Roti ,Chappathi ....Happy Cooking.</t>
  </si>
  <si>
    <t>1 டேபிள் ஸ்பூன் எண்ணெயை சூடாக்கி, வெங்காயத்தை (250 கிராம்) சேர்த்து, வெங்காயம் நன்றாக பழுப்பு நிறமாகும் வரை வதக்கவும், அவற்றை எரிக்க வேண்டாம், அவை கசப்பாக இருக்கும். ஒரு மிக்ஸி ஜாடியில் வதக்கிய வெங்காயத்தைச் சேர்த்து, அதனுடன் 10-12 முந்திரி, 1 டேபிள் ஸ்பூன் பாப்பி விதைகள், 2 டேபிள் ஸ்பூன் துருவிய தேங்காய் ¼ கப் தண்ணீர் சேர்த்து, மென்மையான பேஸ்டாக அரைக்கவும். 2 டேபிள் ஸ்பூன் எண்ணெயைச் சூடாக்கி, 1 பே இலை, பின்னர் 1 “இலவங்கப்பட்டை குச்சி, 4 ஏலக்காய், 4 கிராம்பு, 10-15 கருப்பு மிளகு சோளம், 2 டேபிள் ஸ்பூன் இஞ்சி பூண்டு விழுது சேர்த்து நன்கு கலக்கவும். ½ டேபிள் ஸ்பூன் மஞ்சள் தூள், ½ டேபிள் ஸ்பூன் சீரகத் தூள், 2 டேபிள் ஸ்பூன் கொத்தமல்லித் தூள், 1 டேபிள் ஸ்பூன் மிளகாய்த் தூள் ஆகியவற்றைச் சேர்த்து, சில நொடிகள் வதக்கவும். மசாலா எரியாமல் இருக்கவும். மசாலாக்கள் கலந்தவுடன் 3 டேபிள் ஸ்பூன் தயிர் / தயிர் சேர்த்து ஒரு முறை கலக்கவும், பின்னர் அரைத்த வெங்காய முந்திரி கலவையைச் சேர்த்து, அதைக் கலந்து அனைத்தையும் ஒன்றாகக் கலக்கவும். இப்போது 1 கப் தண்ணீர் சேர்த்து, அதிக கிரேவி வேண்டுமென்றால், சிறிது தண்ணீர் சேர்த்து 5-7 நிமிடங்கள் சமைக்கவும். குழம்பு கொதித்த பிறகு சிக்கனைச் சேர்த்து தேவையான உப்பு சேர்த்து மூடி வைத்து, உங்கள் சிக்கன் துண்டுகளின் அளவைப் பொறுத்து 15-20 நிமிடங்கள் சமைக்கவும். 8 நறுக்கிய கொத்தமல்லி இலைகளால் அலங்கரிக்கவும். நான், ரொட்டி, சப்பாத்தியுடன் உணவக பாணி சிக்கன் கோர்மாவை அனுபவிக்கவும்....சமையல் மகிழ்ச்சியாக இருக்கும்.</t>
  </si>
  <si>
    <t>https://blogger.googleusercontent.com/img/b/R29vZ2xl/AVvXsEileuJDHDE-mf2kWTanPnIIolQhW34mHJBx-N9wFM689-iAXuTGWIZf91BbZo5h7NUPPCc1W-WolKO6K_dJbvFMqhQA6IM8W95YbeCfCwgHdJrVbccK6EUgQ6yQ6goXsUmfy_3GCbWhwDqr/s640/Chicken+korma.JPG</t>
  </si>
  <si>
    <t>Easy Chicken Korma Recipe / South Indian Chicken Korma</t>
  </si>
  <si>
    <t>Poondu Milagu Kuzhambu</t>
  </si>
  <si>
    <t>பூண்டு மிளகாய் குழம்பு</t>
  </si>
  <si>
    <t>1/2 cup - Small onions/Shallots,  3 - Garlic , Tamarind – small lemon sized, 4 tbsp - Gingely oil or Sesame oil , 1 tsp - Mustard seeds , 2 - Red Chilli , 1 ¼ tsp - PepperCorns ,  ¼ tsp - Cumin seeds, ¼ tsp - Channa dal ,  ¼ tsp - Dhania,  Coriander seeds, 1/4 tsp - Asafoetida/Hing , Curry leaves – two springs, Jaggery a pinch - Optional, Salt to taste.</t>
  </si>
  <si>
    <t>1/2 கப் - சின்ன வெங்காயம்/வெங்காயம், 3 - பூண்டு, புளி - சிறிய எலுமிச்சை அளவு, 4 தேக்கரண்டி - இஞ்சி எண்ணெய் அல்லது எள் எண்ணெய், 1 தேக்கரண்டி - கடுகு, 2 - சிவப்பு மிளகாய், 1 ¼ தேக்கரண்டி - மிளகுத்தூள், ¼ தேக்கரண்டி - சீரகம், ¼ தேக்கரண்டி - சன்னா பருப்பு, ¼ தேக்கரண்டி - தானியா, கொத்தமல்லி விதைகள், 1/4 தேக்கரண்டி - பெருங்காயம்/இங், கறிவேப்பிலை - இரண்டு ஸ்ப்ரிங்க்ஸ், ஒரு சிட்டிகை வெல்லம் - விருப்பத்திற்கு, சுவைக்கேற்ப உப்பு.</t>
  </si>
  <si>
    <t>In a pan dry roast Red chilli, Pepper corns, channa dal, cumin seeds, coriander seeds.  Grind it as a powder then add the onions and few curry leaves in to this and  grind coarsely (not in to       fine paste).  Heat oil in the same pan. Add mustard seeds once it splutters add curry  leaves, Asafoetida powder, Chopped garlic and fry for 2 minutes.   Add the paste in to this. Cook this in this in medium flame for another 2 minutes and add tamarind extract and salt. Close the pan with a lid and allow it to boil.  It has to boil and come in to a thick consistency. Add a pinch of Jaggery.</t>
  </si>
  <si>
    <t>ஒரு கடாயில் சிவப்பு மிளகாய், மிளகு சோளம், சன்னா பருப்பு, சீரகம், கொத்தமல்லி ஆகியவற்றை வறுக்கவும். பொடியாக அரைத்து, வெங்காயம் மற்றும் சில கறிவேப்பிலைகளை இதனுடன் சேர்த்து கரடுமுரடாக அரைக்கவும் (நன்றாக பேஸ்ட் செய்யாமல்). அதே பாத்திரத்தில் எண்ணெயை சூடாக்கவும். கடுகு வதங்கியதும் கறிவேப்பிலை, பெருங்காயம் பொடி, நறுக்கிய பூண்டு சேர்த்து 2 நிமிடங்கள் வதக்கவும். இதனுடன் விழுதைச் சேர்க்கவும். மிதமான தீயில் இதை 2 நிமிடங்கள் வதக்கி, புளி சாறு மற்றும் உப்பு சேர்க்கவும். வாணலியை மூடி வைத்து கொதிக்க விடவும். அது கொதிக்க ஆரம்பித்து கெட்டியான நிலைத்தன்மைக்கு வர வேண்டும். ஒரு சிட்டிகை வெல்லம் சேர்க்கவும்.</t>
  </si>
  <si>
    <t>https://www.archanaskitchen.com/images/archanaskitchen/1-Author/nithya.anantham/Poondu_Milagu_Kuzhambu_Recipe_Tamilnadu_Style_Tangy_Garlic_and_Black_Pepper_Curry.jpg</t>
  </si>
  <si>
    <t>Rice Flakes Urundai</t>
  </si>
  <si>
    <t>அரிசித் துண்டுகள் உருண்டை</t>
  </si>
  <si>
    <t>1 cup - Flattened Rice Flakes , 5 tsp - Jaggery, ¼ cup - Grated Coconut , ¼ tsp - Cardamom, 4 - small pieces Cashewnut, ¼ tsp - Ghee , Water for sprinkling.</t>
  </si>
  <si>
    <t>1 கப் - தட்டையான அரிசித் துண்டுகள், 5 தேக்கரண்டி - வெல்லம், ¼ கப் - துருவிய தேங்காய், ¼ தேக்கரண்டி - ஏலக்காய், 4 - சிறிய துண்டுகள் முந்திரி, ¼ தேக்கரண்டி - நெய், தெளிக்க தண்ணீர்.</t>
  </si>
  <si>
    <t>Sprinkle little water in the Aval / Phoa and keep aside.  For syrup, heat water and jaggery until it dissolves . Filter it through a  strainer.   In a pan add ghee, cahewnuts and roast. Now  add the grated coconut and fry it for 2 minutes.    Once the colour of coconut changes add Aval/Poha , Cardamom powder.  Add the Jaggery syrup in to the Mixture and mix it well and cook for 2 minutes.   Apply some ghee in your palm and fingers  and make balls/Urundai with the mixture.  Aval/Poha Urundai is ready to serve.</t>
  </si>
  <si>
    <t>அவல் / போவாவில் சிறிது தண்ணீர் தெளித்து ஒதுக்கி வைக்கவும். சிரப் தயாரிக்க, தண்ணீர் மற்றும் வெல்லத்தை கரையும் வரை சூடாக்கவும். ஒரு வடிகட்டி மூலம் வடிகட்டவும். ஒரு பாத்திரத்தில் நெய், கருவேப்பிலை சேர்த்து வறுக்கவும். இப்போது துருவிய தேங்காயைச் சேர்த்து 2 நிமிடங்கள் வறுக்கவும். தேங்காயின் நிறம் மாறியதும் அவல் / போஹா, ஏலக்காய்த் தூள் சேர்க்கவும். வெல்லம் சிரப்பை கலவையில் சேர்த்து நன்கு கலந்து 2 நிமிடங்கள் சமைக்கவும். உங்கள் உள்ளங்கை மற்றும் விரல்களில் சிறிது நெய் தடவி, கலவையுடன் உருண்டைகள் / உருண்டை செய்யுங்கள். அவல் / போஹா உருண்டை பரிமாற தயாராக உள்ளது.</t>
  </si>
  <si>
    <t>https://blogger.googleusercontent.com/img/b/R29vZ2xl/AVvXsEiuEHIDmH00JlIR177ohmKDExVtuik3FtEMcS9no6LUK04Zd5BUW1zPMjow7_NB88LFqE8jv4ffLXin4GkYB4RSDYA5xTOKxmvzMODh6frdCPg0MXzWAWaRaC_GWbwpwnYOOCrT3mJkm_HO/s640/aval+phoha.jpg</t>
  </si>
  <si>
    <t>Kadalai Urundai</t>
  </si>
  <si>
    <t>கடலை உருண்டை</t>
  </si>
  <si>
    <t>2 cup - Peanut , 1cup - Jaggery , ½ cup - Water , Ghee for greasing.</t>
  </si>
  <si>
    <t>2 கப் - வேர்க்கடலை, 1 கப் - வெல்லம், ½ கப் - தண்ணீர், நெய் தடவுவதற்கு.</t>
  </si>
  <si>
    <t>First, in a heavy bottomed pan, roast the peanut in medium flame   with constant stirring. It will crack open. Once cooled down, rub the peanuts and eliminate the skin by blowing it away.  For syrup, heat water and jaggery until it dissolves.   Filter it through a  strainer.  Continue heating until the syrup is thick and frothy. Keep the flame low when the syrup nears the consistency .  Test the consistency by adding few drops to water and you should be able to form a shiny ball out of it, that holds the shape.  Add peanuts to it. Mix well.  After a minute, grease your hands with ghee and carefully take little  mixture with your fingers and shape it to  round balls.</t>
  </si>
  <si>
    <t>முதலில், அடி கனமான ஒரு பாத்திரத்தில், வேர்க்கடலையை மிதமான தீயில் தொடர்ந்து கிளறி வறுக்கவும். அது வெடிக்கும். ஆறியதும், வேர்க்கடலையைத் தேய்த்து, தோலை ஊதி நீக்கவும். சிரப்பிற்கு, தண்ணீர் மற்றும் வெல்லத்தை கரையும் வரை சூடாக்கவும். ஒரு வடிகட்டி மூலம் வடிகட்டவும். சிரப் கெட்டியாகவும் நுரையாகவும் வரும் வரை சூடாக்கவும். சிரப் நிலைத்தன்மையை நெருங்கும் போது தீயை குறைவாக வைத்திருங்கள். தண்ணீரில் சில துளிகள் சேர்ப்பதன் மூலம் நிலைத்தன்மையை சோதிக்கவும், அதிலிருந்து ஒரு பளபளப்பான பந்தை உருவாக்க முடியும், அது வடிவத்தை வைத்திருக்கும். அதனுடன் வேர்க்கடலையைச் சேர்க்கவும். நன்றாக கலக்கவும். ஒரு நிமிடம் கழித்து, உங்கள் கைகளில் நெய் தடவி, கவனமாக சிறிது கலவையை உங்கள் விரல்களால் எடுத்து வட்ட உருண்டைகளாக வடிவமைக்கவும்.</t>
  </si>
  <si>
    <t>https://blogger.googleusercontent.com/img/b/R29vZ2xl/AVvXsEholjB1vYWSw_bqV2vM-xuYgee4Ka-aKnYRHJ9XEZUMBIYrr0QwH2ZC4n1H4A2zTqnkydLSLy93kCq_L0ORb4pIZWbmw0d6QiFFRf65cWryiE0V0rt_f8zIlkhDo2ocr2riJZfbIdZd8JXQ/s640/10.jpg</t>
  </si>
  <si>
    <t>Kulfi</t>
  </si>
  <si>
    <t>குல்ஃபி</t>
  </si>
  <si>
    <t>1/2 liter - Milk  full fat, 1/4 cup - Powdered sugar , 2 piece - Cardamom, 6 pieces - Pistachio, 6 pieces - Cashew nuts, Optional- can use condensed milk.</t>
  </si>
  <si>
    <t>1/2 லிட்டர் - பால் முழு கொழுப்பு, 1/4 கப் - தூள் சர்க்கரை, 2 துண்டு - ஏலக்காய், 6 துண்டுகள் - பிஸ்தா, 6 துண்டுகள் - முந்திரி பருப்பு, விரும்பினால் - அமுக்கப்பட்ட பாலைப் பயன்படுத்தலாம்.</t>
  </si>
  <si>
    <t>In a  pan heat full fat milk.    Let the milk simmer and stir continuously  so that it does not stick to the bottom of pan.  Simmer the milk until it is reduced to half.   Now add powdered sugar, pistachio , cashew nuts  cardamom powder and stir well.   Let the milk get simmer on medium flame till it is reduced to 1/4 of original quantity.    Once the milk is reduced to 1/4, the kulfi mix is ready. Let kulfi mixture  cool down completely.    Pour the mixture in kulfi molds.   Place the molds in deep freeze section of refrigerator and let it get set for about 7-8 hrs or overnight.  kulfi is ready to serve. Just before serving, unmold the kulfi and serve chill. To unmold kulfi - keep  the mold in a cup of water for  two mins .</t>
  </si>
  <si>
    <t xml:space="preserve">விரும்பினால் - அமுக்கப்பட்ட பாலைப் பயன்படுத்தலாம். ஒரு பாத்திரத்தில் முழு கொழுப்புள்ள பாலை சூடாக்கவும். பால் கொதிக்க விடவும், வாணலியின் அடிப்பகுதியில் ஒட்டாமல் இருக்க தொடர்ந்து கிளறவும். பால் பாதியாகக் குறையும் வரை வேகவைக்கவும். இப்போது தூள் சர்க்கரை, பிஸ்தா, முந்திரி ஏலக்காய் தூள் சேர்த்து நன்கு கிளறவும். பால் அசல் அளவில் 1/4 ஆகக் குறையும் வரை மிதமான தீயில் கொதிக்க விடவும். பால் 1/4 ஆகக் குறைக்கப்பட்டதும், குல்ஃபி கலவை தயாராக உள்ளது. குல்ஃபி கலவையை முழுமையாக ஆற விடவும். கலவையை குல்ஃபி அச்சுகளில் ஊற்றவும். அச்சுகளை குளிர்சாதன பெட்டியின் ஆழமான உறைவிப்பான் பிரிவில் வைத்து சுமார் 7-8 மணி நேரம் அல்லது இரவு முழுவதும் அப்படியே வைக்கவும். குல்ஃபி பரிமாற தயாராக உள்ளது. </t>
  </si>
  <si>
    <t>https://www.chilitochoc.com/wp-content/uploads/2021/07/mango-kulfi-sq.jpg</t>
  </si>
  <si>
    <t>Kongu Chicken Curry</t>
  </si>
  <si>
    <t>கொங்கு கோழி கறி</t>
  </si>
  <si>
    <t>3 pieces (500gms) -   CHicken, 300 gms -  small onions- shallots, half - bunch Coriander, 1 cup -  of curry leaves, 5 - cloves ,  required ginger , 3-  green chillis make a paste, 1 Roma - Tomatoes diced, 1 - tablespoon coconut oil, Garam masala, 2gms - Cinnamon,  3 - Cloves,  2 - dry red chillies,  1- spoon Cumin , 1 - spoon Fennel seeds, 1 - Tablespoon: Turmeric &amp; Coriander powder ,  1- Tablespoon Briyani Masala powder.</t>
  </si>
  <si>
    <t>3 துண்டுகள் (500 கிராம்) - சிக்கன், 300 கிராம் - சிறிய வெங்காயம் - வெங்காயத்தாள், அரை - கொத்து கொத்தமல்லி, 1 கப் - கறிவேப்பிலை, 5 - கிராம்பு, தேவையான இஞ்சி , 3- பச்சை மிளகாய் - துண்டுகளாக்கப்பட்டது, 1 - தேக்கரண்டி தேங்காய் எண்ணெய், கரம் மசாலா, 2 கிராம்பு - இலவங்கப்பட்டை, 3 - கிராம்பு, 2 - உலர்ந்த சிவப்பு மிளகாய், 1- தேக்கரண்டி சீரகம் , 1 - தேக்கரண்டி பெருஞ்சீரகம் விதைகள், 1 - தேக்கரண்டி: மஞ்சள் மற்றும் கொத்தமல்லி தூள் , 1- தேக்கரண்டி பிரியாணி மசாலா தூள்.</t>
  </si>
  <si>
    <t>Heat the coconut oil and add ingredients Whole Garam masala- 2gms Cinnamon, 3 Cloves, 2 dry red chillies, 1 spoon Cumin and 1 spoon Fennel seeds with curry leaves.  After 5 mins , add the onions with ingredients 5 cloves and required ginger with green chillis make a paste.  Then add Tomatos after the onions ingredient 5 cloves and required ginger with green chillis make a pasteget golden brown and cook for till the tomato is done  Add the chicken with  half bunch coriander with powder ingredients 1 Tablespoon: Turmeric &amp; Coriander powder and 1 Tablespoon Briyani Masala powder  mix well and close with the glass of water for 15 to 20 mins.   Chicken is ready now garnish with fresh coriander leaves.</t>
  </si>
  <si>
    <t>தேங்காய் எண்ணெயை சூடாக்கி தேவையான பொருட்களை சேர்க்கவும் முழு கரம் மசாலா - 2 கிராம்பு இலவங்கப்பட்டை, 3 கிராம்பு, 2 உலர்ந்த சிவப்பு மிளகாய், 1 தேக்கரண்டி சீரகம் மற்றும் 1 தேக்கரண்டி பெருஞ்சீரகம் விதைகள் கறிவேப்பிலையுடன். 5 நிமிடங்களுக்குப் பிறகு, வெங்காயம், தேவையான பொருட்கள், 5 பல், தேவையான இஞ்சி, பச்சை மிளகாய் ஆகியவற்றைச் சேர்த்து ஒரு பேஸ்ட் செய்யவும். பின்னர் வெங்காயப் பொருட்கள், 5 பல், தேவையான இஞ்சி, பச்சை மிளகாய் ஆகியவற்றைச் சேர்த்து ஒரு பேஸ்ட் செய்யவும். தங்க பழுப்பு நிறமாக மாறி, தக்காளி வதங்கும் வரை வதக்கவும். கோழியுடன் அரை கொத்து கொத்தமல்லி, பொடி, 1 டேபிள்ஸ்பூன் மஞ்சள் தூள், 1 டேபிள்ஸ்பூன் பிரியாணி மசாலா தூள் ஆகியவற்றைச் சேர்த்து நன்கு கலந்து, ஒரு கிளாஸ் தண்ணீரில் 15 முதல் 20 நிமிடங்கள் மூடி வைக்கவும். சிக்கன் தயாராக உள்ளது, இப்போது புதிய கொத்தமல்லி இலைகளால் அலங்கரிக்கவும்.</t>
  </si>
  <si>
    <t>https://blogger.googleusercontent.com/img/b/R29vZ2xl/AVvXsEi1PB7u5jsunSDMhQ7apVJNv2SV3WwsnE6GJzB7s6IK3FUVNzrApYuNo8jFQJ9RbZTa8HVVlT4FliTXSJUQGzQs5ja1aCADBpBHuHA_xlawv6mpfcH4paSKY4dxnUlgkA8lk2DgJs6yqJYg/s640/Kongu+Chicken+curry.JPG</t>
  </si>
  <si>
    <t>Asoka Halwa</t>
  </si>
  <si>
    <t>அசோகா அல்வா</t>
  </si>
  <si>
    <t>1 cup  - Moong dal, 2 tbsp - Wheat flour, 1 and 1/2 - cup Sugar, 1 tsp - Cardamom powder, 10-15 - Cashew nuts, A drop Food colour (Red or orange), 1 cup Ghee.</t>
  </si>
  <si>
    <t>1 கப் - பாசிப்பருப்பு, 2 டேபிள்ஸ்பூன் - கோதுமை மாவு, 1 மற்றும் 1/2 - கப் சர்க்கரை, 1 டீஸ்பூன் - ஏலக்காய் தூள், 10-15 - முந்திரி பருப்பு, ஒரு துளி உணவு நிறம் (சிவப்பு அல்லது ஆரஞ்சு), 1 கப் நெய்.</t>
  </si>
  <si>
    <t>Heat a tsp of ghee in a kadai.Roast the moong dal till raw smell goes.   Add 1/4 cup water to 1 cup moong dal and cook in pressure cooker until it becomes soft and keep aside.  Fry the cashews and wheat flour separately and keep aside.   Now add the dal into the kadai and then add in the sugar.  After adding the sugar the mix will be like water.Now add the roasted wheat and cardamom powder,mix well.  Add in the colour and mix it without lumps.  Add the remaining ghee and keep stirring..   Add in the cashew nuts and mix well.   Stir well till it should become a non sticky paste.  At this stage remove the Kadai from the stove.</t>
  </si>
  <si>
    <t>ஒரு கடாயில் ஒரு தேக்கரண்டி நெய்யை சூடாக்கவும். பாசிப்பருப்பை பச்சை வாசனை போகும் வரை வறுக்கவும். 1 கப் பாசிப்பருப்புடன் 1/4 கப் தண்ணீர் சேர்த்து பிரஷர் குக்கரில் மென்மையாகும் வரை சமைக்கவும். முந்திரி மற்றும் கோதுமை மாவை தனித்தனியாக வறுக்கவும். இப்போது பாசிப்பருப்பை கடாயில் சேர்த்து, பின்னர் சர்க்கரை சேர்க்கவும். சர்க்கரை சேர்த்த பிறகு கலவை தண்ணீர் போல் இருக்கும். இப்போது வறுத்த கோதுமை மற்றும் ஏலக்காய் தூளை சேர்த்து, நன்றாக கலக்கவும். கலரை சேர்த்து கட்டிகள் இல்லாமல் கலக்கவும். மீதமுள்ள நெய்யை சேர்த்து தொடர்ந்து கிளறவும்.. முந்திரி பருப்புகளை சேர்த்து நன்கு கலக்கவும். அது ஒட்டும் தன்மையற்ற பேஸ்டாக மாறும் வரை நன்கு கிளறவும். இந்த கட்டத்தில் கடாயை அடுப்பிலிருந்து இறக்கவும்.</t>
  </si>
  <si>
    <t>https://blogger.googleusercontent.com/img/b/R29vZ2xl/AVvXsEgC0I0NMiVZ2IIaqkytumg0US4hZcNECHVHVRNO9AoCp1RNmpv8tJPnbvTNjjVqOJwuh9mRTHCATGQwL715EjjMpCCS8QsL0BgnRO53SaATzyFUSnJ1x9abtyCELAPKXKGLGtUEZiupmB54/s640/Asoka+halwa.jpg</t>
  </si>
  <si>
    <t>Steamed Masala Vadai</t>
  </si>
  <si>
    <t>வேகவைத்த மசாலா வடை</t>
  </si>
  <si>
    <t>1 1/2 cup - Chennai Dal,      1/4 teaspoon - Peppercorns, 1/4  cup - Onion Finely chopped ,  1 teaspoon - Ginger Finely chopped, Cooking soda (optional),  1 tablespoon - Ghee, 1/2 teaspoon - Lemon juice , 1 Spring  - Curry leaves , 2 - Red chillies, 1/2 teaspoon - Hing , Salt  to taste.</t>
  </si>
  <si>
    <t>1/4 டீஸ்பூன் - மிளகு, 1/4 கப் - வெங்காயம் நன்றாக நறுக்கியது , 1 டீஸ்பூன் - இஞ்சி நன்றாக நறுக்கியது , சமையல் சோடா (விரும்பினால்), 1 டேபிள் ஸ்பூன் - நெய், 1/2 டீஸ்பூன் - எலுமிச்சை சாறு , 1 ஸ்பிரிங் - கறிவேப்பிலை , 2 - சிவப்பு மிளகாய், 1/2 டீஸ்பூன் - ஹிங் , ருசிக்கேற்ப உப்பு.</t>
  </si>
  <si>
    <t>Wash and soak the channa dal in water for 3 to 4 hours.  Drain the water and keep aside.  In the mixie jar, add red chillies, onions, ginger, curry leaves, peppercorns, salt, channa dal and a pinch cooking soda and grind to a coarse paste.Remove the mixture into a bowl add little lemon juice and mix well.  Prepare small dumplings with the mixture and steam cook for about 10 min.  Once done,heat some ghee in a pan,add red chillies,mustard seeds,turmeric,hing,curry leaves,coconut grated,salt,lemon juice,coriander and saute for few minutes.  Add dumplings and toss well and serve hot.</t>
  </si>
  <si>
    <t>சன்னா பருப்பை கழுவி 3 முதல் 4 மணி நேரம் தண்ணீரில் ஊற வைக்கவும். தண்ணீரை வடிகட்டி ஒதுக்கி வைக்கவும். மிக்ஸி ஜாடியில், சிவப்பு மிளகாய், வெங்காயம், இஞ்சி, கறிவேப்பிலை, மிளகுத்தூள், உப்பு, சன்னா பருப்பு மற்றும் ஒரு சிட்டிகை சமையல் சோடாவை சேர்த்து கரடுமுரடான பேஸ்டாக அரைக்கவும். கலவையை ஒரு பாத்திரத்தில் எடுத்து சிறிது எலுமிச்சை சாறு சேர்த்து நன்கு கலக்கவும். கலவையுடன் சிறிய உருண்டைகளை தயார் செய்து சுமார் 10 நிமிடங்கள் ஆவியில் வேகவைக்கவும். தயாரானதும், ஒரு பாத்திரத்தில் சிறிது நெய்யை சூடாக்கி, சிவப்பு மிளகாய், கடுகு, மஞ்சள், கீல், கறிவேப்பிலை, தேங்காய் துருவல், உப்பு, எலுமிச்சை சாறு, கொத்தமல்லி சேர்த்து சில நிமிடங்கள் வதக்கவும். உருண்டைகளைச் சேர்த்து நன்கு வதக்கி சூடாகப் பரிமாறவும்.</t>
  </si>
  <si>
    <t>https://www.madhuseverydayindian.com/wp-content/uploads/2020/08/steamed-masala-vada-recipe-480x270.jpg</t>
  </si>
  <si>
    <t>Puli Upma</t>
  </si>
  <si>
    <t>புளி உப்புமா</t>
  </si>
  <si>
    <t>2 cups - Rice flour ,    2 cups - Tamarind water ,  5 tbsp -  the usual oil,  1/4 tsp - Mustard seeds ,   Asafoetida powder - a pinch,   Curry leaves - few,   2 - Red chillies ,   1/2 tsp - Channa dhall ,    1/2 tsp - Turmeric powder ,   Salt to taste.</t>
  </si>
  <si>
    <t>2 கப் - அரிசி மாவு, 2 கப் - புளி தண்ணீர், 5 டேபிள் ஸ்பூன் - வழக்கமான எண்ணெய், 1/4 டேபிள் ஸ்பூன் - கடுகு, அசாஃபோடிடா பொடி - ஒரு சிட்டிகை, கறிவேப்பிலை - சிறிது, 2 - சிவப்பு மிளகாய், 1/2 டேபிள் ஸ்பூன் - சன்னா பருப்பு, 1/2 டேபிள் ஸ்பூன் - மஞ்சள் தூள், சுவைக்கேற்ப உப்பு.</t>
  </si>
  <si>
    <t>First take the rice flour, add salt and turmeric powder to it.   Add  tamarind water  and make it a smooth paste.    Heat oil, add mustard seeds, when it splutters add urad dhal, red chillies, curry leaves and asafoetida powder and fry it till golden brown.    Now add the rice flour paste and stir it continuously till the flour fully cooks.   The paste will scramble if its fully cooked.  Reduce the flame and sprinkle a hand full of water and cover it with a lid.    Again open and stir it. Let it be on the flame for 3 mins. It has to look like sand colour .</t>
  </si>
  <si>
    <t>முதலில் அரிசி மாவை எடுத்து, உப்பு மற்றும் மஞ்சள் தூள் சேர்க்கவும். புளி தண்ணீர் சேர்த்து மென்மையான பேஸ்ட் செய்யவும். எண்ணெய் சூடாக்கி, கடுகு சேர்த்து, அது வதங்கியதும் உளுத்தம் பருப்பு, சிவப்பு மிளகாய், கறிவேப்பிலை மற்றும் பெருங்காயம் தூள் சேர்த்து பொன்னிறமாகும் வரை வதக்கவும். இப்போது அரிசி மாவு விழுதைச் சேர்த்து, மாவு முழுவதுமாக வேகும் வரை தொடர்ந்து கிளறவும். பேஸ்ட் முழுமையாக வெந்தால் அது துருவிவிடும். தீயைக் குறைத்து, ஒரு கை நிறைய தண்ணீர் தெளித்து மூடி வைக்கவும். மீண்டும் திறந்து கிளறவும். 3 நிமிடங்கள் தீயில் இருக்கட்டும். அது மணல் நிறமாக இருக்க வேண்டும்.</t>
  </si>
  <si>
    <t>https://lh6.ggpht.com/_aUUosxcjMiI/TUvY7rFcxpI/AAAAAAAAE-0/Ry51Oq-8cRI/Puliupma_thumb4.jpg?imgmax=800</t>
  </si>
  <si>
    <t>Pollachi Crab Masala</t>
  </si>
  <si>
    <t>பொள்ளாச்சி நண்டு மசாலா</t>
  </si>
  <si>
    <t>Crab(Njandu), Bangalore tomatoes(ripe), 1 - 2 tbsp - Gingelly oil ,  2 - 3 cups - Thick coconut milk , 4 table spoons - Curry Powder, Aniseeds(Perinjeerakam)(powdered), Cumin seeds(Jeerakam)(powdered), Turmeric powder, Popppy seeds(Khashakhasha)(powdereed), Curry leaves(powdered) Ginger paste, Garlic paste, Coconut paste, Coriander powder, Kashmiri chilly powder, Onion paste, Pepper(powdered), Salt - As reqd.</t>
  </si>
  <si>
    <t>நண்டு (நஞ்சு), பெங்களூர் தக்காளி (பழுத்த), 1 - 2 தேக்கரண்டி - எள் எண்ணெய், 2 - 3 கப் - கெட்டியான தேங்காய் பால், 4 மேசைக்கரண்டி - கறிவேப்பிலை பொடி, சோம்பு (பெரிஞ்சீரகம்) (பொடி), சீரகம் (ஜீரகம்) (பொடி), மஞ்சள் பொடி, பாப்பி விதைகள் (கசகசா) (பொடி), கறிவேப்பிலை (பொடி), இஞ்சி விழுது, பூண்டு விழுது, தேங்காய் விழுது, கொத்தமல்லி பொடி, காஷ்மீரி மிளகாய் தூள், வெங்காய விழுது, மிளகு (பொடி), உப்பு - தேவைக்கேற்ப.</t>
  </si>
  <si>
    <t>Grind together all ingredients in a mixer grinder(except tomatoes).  Heat the gingelly oil in a pan or a kadai.  Fry the curry leaves and the masala paste.  Add tomatoes and fry, till it gets cooked.  Add the cleaned crab and mix well with the masala.  Add hot water and fry well.  Add thick coconut milk and cook again.  Cook, till it becomes dry.  Can be had dry or semi-dry. Serve with rice or bread.</t>
  </si>
  <si>
    <t>மிக்ஸி கிரைண்டரில் அனைத்து பொருட்களையும் ஒன்றாக அரைக்கவும் (தக்காளி தவிர). ஒரு கடாயில் அல்லது கடாயில் எள் எண்ணெயை சூடாக்கவும். கறிவேப்பிலை மற்றும் மசாலா விழுதை வறுக்கவும். தக்காளி சேர்த்து வேகும் வரை வதக்கவும். சுத்தம் செய்த நண்டைச் சேர்த்து மசாலாவுடன் நன்கு கலக்கவும். வெந்நீர் சேர்த்து நன்கு வதக்கவும். கெட்டியான தேங்காய்ப் பால் சேர்த்து மீண்டும் சமைக்கவும். அது வற்றும் வரை சமைக்கவும். உலர்ந்த அல்லது அரை உலர்ந்ததாக சாப்பிடலாம். அரிசி அல்லது ரொட்டியுடன் பரிமாறவும்.</t>
  </si>
  <si>
    <t>https://blogger.googleusercontent.com/img/b/R29vZ2xl/AVvXsEhjA2TTRqMErmHoSEOK0-FKACGGDR5XVOSl9r2x4kiZiEpazV-_xyvWKWr5rc7jGGwqrduWWtssjAt28OgUQp2trEBzt3S49o04ufo7naiFOqKN660xiE9zMHSZYqDksYlt2ENrtPiU2j2i/s640/14101784_10210556240328125_1785329163_n.jpg</t>
  </si>
  <si>
    <t>Soya 65</t>
  </si>
  <si>
    <t>சோயா 65</t>
  </si>
  <si>
    <t>1 cup - Meal maker (60 g), 1/4 tsp - Turmeric, 1/2 tsp - Cumin powder, 1 tsp - Garam masala, 1 tbsp - Kashmiri chili powder or 2 tsp regular, 1 tbsp - Ginger garlic paste, 2 tbsp - Rice flour, 2 tbsp - Besan flour, 1/2  - Lemon, required Salt, 1 tbsp - Water if required, 10 -  Green chilies, 1  - pring Curry leaves.</t>
  </si>
  <si>
    <t>1 கப் - மீல் மேக்கர் (60 கிராம்), 1/4 தேக்கரண்டி - மஞ்சள், 1/2 தேக்கரண்டி - சீரகப் பொடி, 1 தேக்கரண்டி - கரம் மசாலா, 1 தேக்கரண்டி - காஷ்மீரி மிளகாய் தூள் அல்லது 2 தேக்கரண்டி வழக்கமான, 1 தேக்கரண்டி - இஞ்சி பூண்டு விழுது, 2 தேக்கரண்டி - அரிசி மாவு, 2 தேக்கரண்டி - கடலை மாவு, 1/2 - எலுமிச்சை, தேவையான உப்பு, 1 தேக்கரண்டி - தேவைப்பட்டால் தண்ணீர், 10 - பச்சை மிளகாய், 1 - கறிவேப்பிலை பிழி.</t>
  </si>
  <si>
    <t>Boil water in a pan and add some salt . Add soya chunks, turn off the heat and let it sit for 10 -15 min. Rinse with cold water and squeeze any extra water.   Into a mixing bowl add the softened soya , chilli powder, turmeric powder, cumin powder, ginger garlic paste , garam masala, rice flour, besan flour, required salt , juice of half lemon and mix well. If required sprinkle some water to coat all the masalas evenly. let it sit for 10 min.   Heat oil in a pan and fry until crispy. Turn off the heat and fry some green chilies and curry leaves. Add it to the fried soya.   njoy the delicious crispy soya 65 recipe . Happy Cooking !!!</t>
  </si>
  <si>
    <t>ஒரு பாத்திரத்தில் தண்ணீரை கொதிக்க வைத்து சிறிது உப்பு சேர்க்கவும். சோயா துண்டுகளைச் சேர்த்து, அடுப்பை அணைத்து 10 -15 நிமிடங்கள் அப்படியே வைக்கவும். குளிர்ந்த நீரில் கழுவி, கூடுதல் தண்ணீரை பிழியவும். ஒரு கலவை பாத்திரத்தில் மென்மையாக்கப்பட்ட சோயா, மிளகாய் தூள், மஞ்சள் தூள், சீரகப் பொடி, இஞ்சி பூண்டு விழுது, கரம் மசாலா, அரிசி மாவு, கடலை மாவு, தேவையான உப்பு, அரை எலுமிச்சை சாறு ஆகியவற்றைச் சேர்த்து நன்கு கலக்கவும். தேவைப்பட்டால் சிறிது தண்ணீர் தெளித்து அனைத்து மசாலாக்களும் சமமாக பூசவும். 10 நிமிடங்கள் அப்படியே வைக்கவும். ஒரு கடாயில் எண்ணெயை சூடாக்கி மொறுமொறுப்பாகும் வரை வதக்கவும். அடுப்பை அணைத்துவிட்டு பச்சை மிளகாய் மற்றும் கறிவேப்பிலையை வதக்கவும். வறுத்த சோயாவுடன் சேர்க்கவும். சுவையான மொறுமொறுப்பான சோயா 65 செய்முறையை அனுபவிக்கவும். மகிழ்ச்சியான சமையல்!!!</t>
  </si>
  <si>
    <t>https://blogger.googleusercontent.com/img/b/R29vZ2xl/AVvXsEjmHGF5ZwX87oj0iusggHCXh9C1I3YQt2x1kGHlFo85drLQk0ZPcPk2DoHx1KruUdsahSCYAhkFqy7lN0U9okfJvVUDm7LR-aRYBzymQsxaO1YbZLjJYWq2E24OgWPPt1DF7KOS888dg8k/s640/edit.jpg</t>
  </si>
  <si>
    <t>https://www.youtube.com/watch?v=enGHLPZxFn0&amp;t=22s</t>
  </si>
  <si>
    <t>Chicken roast</t>
  </si>
  <si>
    <t>சிக்கன் ரோஸ்ட்</t>
  </si>
  <si>
    <t>1/2 kg  - Chicken, 1 - Egg, 1/4 tsp - turmeric powder, 1 tsp - Chilli powder, 1 tbsp - rice flour, 1 tbsp - Corn flower, required Salt, 1/8 tsp - pepper, 4 tbsp - Oil, 1 - Cinnamon,  2 - cloves, 2 - cardamom, 2 - Green chilies, 2 - dry red chilies, 1 - spring Curry leaves, 1 tbsp - Ginger garlic paste, 2 - Onion, 2 - Tomatoes, 1/4 tsp - turmeric powder, 1/2 tsp - Cumin powder, 1 tsp - Garam masala, 2 tsp - Chili powder, Salt to taste, handful Coriander leaves.</t>
  </si>
  <si>
    <t>1/2 கிலோ - சிக்கன், 1 - முட்டை, 1/4 தேக்கரண்டி - மஞ்சள் தூள், 1 தேக்கரண்டி - மிளகாய் தூள், 1 தேக்கரண்டி - அரிசி மாவு, 1 தேக்கரண்டி - சோளப் பூ, தேவையான உப்பு, 1/8 தேக்கரண்டி - மிளகு, 4 தேக்கரண்டி - எண்ணெய், 1 - இலவங்கப்பட்டை, 2 - கிராம்பு, 2 - ஏலக்காய், 2 - பச்சை மிளகாய், 2 - உலர்ந்த சிவப்பு மிளகாய், 1 - வசந்த கறிவேப்பிலை, 1 தேக்கரண்டி - இஞ்சி பூண்டு விழுது, 2 - வெங்காயம், 2 - தக்காளி, 1/4 தேக்கரண்டி - மஞ்சள் தூள், 1/2 தேக்கரண்டி - சீரகத் தூள், 1 தேக்கரண்டி - கரம் மசாலா, 2 தேக்கரண்டி - மிளகாய் தூள், ருசிக்க உப்பு, ஒரு கைப்பிடி கொத்தமல்லி இலைகள்.</t>
  </si>
  <si>
    <t>Into a mixing bowl add chicken, egg, turmeric powder, chili powder, rice flour, corn flour, salt and pepper. Give it a mix and marinate for 30 minutes.   Heat oil and shallow fry the marinated chicken and keep it aside.    Heat oil in a pan and temper with whole spices, green chilies, red chilies, curry leaves,ginger garlic paste. Then add finely chopped onions and saute until golden brown.  Now add the masalas- turmeric powder,chili powder, garam amsala,cumin powder, required salt and cook until the raw smell is gone. Add chopped tomatoes and cook until mushy.  Now add the fried chicken from step 2 and mix well. Add a cup of water and cook for another 10 minutes. Finally add coriander leaves for garnishing and turn off the heat.   That's it our delicious Chicken roast / Chicken varuval recipe is ready to be enjoyed.</t>
  </si>
  <si>
    <t>ஒரு கலவை பாத்திரத்தில் சிக்கன், முட்டை, மஞ்சள் தூள், மிளகாய் தூள், அரிசி மாவு, சோள மாவு, உப்பு மற்றும் மிளகு ஆகியவற்றைச் சேர்க்கவும். அதை ஒரு கலவையாக வைத்து 30 நிமிடங்கள் ஊற வைக்கவும். எண்ணெய் சூடாக்கி, மரைனேட் செய்யப்பட்ட சிக்கனை ஆழமாக வறுக்கவும், ஒதுக்கி வைக்கவும். ஒரு கடாயில் எண்ணெயை சூடாக்கி, முழு மசாலா, பச்சை மிளகாய், சிவப்பு மிளகாய், கறிவேப்பிலை, இஞ்சி பூண்டு விழுது சேர்த்து வதக்கவும். பின்னர் இறுதியாக நறுக்கிய வெங்காயத்தைச் சேர்த்து பொன்னிறமாகும் வரை வதக்கவும். இப்போது மசாலாக்கள் - மஞ்சள் தூள், மிளகாய் தூள், கரம் அம்சாலா, சீரகப் பொடி, தேவையான உப்பு சேர்த்து பச்சை வாசனை போகும் வரை வதக்கவும். நறுக்கிய தக்காளியைச் சேர்த்து மென்மையாகும் வரை வதக்கவும். இப்போது படி 2 இல் உள்ள வறுத்த சிக்கனைச் சேர்த்து நன்கு கலக்கவும். ஒரு கப் தண்ணீர் சேர்த்து மேலும் 10 நிமிடங்கள் சமைக்கவும். இறுதியாக அலங்கரிக்க கொத்தமல்லி இலைகளைச் சேர்த்து அடுப்பை அணைக்கவும். அவ்வளவுதான் எங்கள் சுவையான சிக்கன் ரோஸ்ட் / சிக்கன் வருவல் ரெசிபி சுவைக்க தயாராக உள்ளது.</t>
  </si>
  <si>
    <t>https://blogger.googleusercontent.com/img/b/R29vZ2xl/AVvXsEg4Brf0bpecm-y81XBJRfucLo4QVBg3ecZadj5Sx-cOqfU5_nzl1nSx_Pj6x9eAC4TnxDiCynREHYQIzRkaq_cVZRam7WTWR43Vr9bojkSrkl1YNqg04xCfCaGgxXsqnDFpGp9L7zk1Kxg/s640/DSC09822.JPG</t>
  </si>
  <si>
    <t>Aval Kesari</t>
  </si>
  <si>
    <t>அவல் கேசரி</t>
  </si>
  <si>
    <t>1 cup - Aval(70 g), 1/2 cup - Jaggery(60 g), 3 tbsp - Ghee, 10 - Cashews, 2 tbsp - raisins, 1/4 tsp - Cardamom powder, 1 cup - Milk, 1/2 cup - Water, 1/4 cup - Water for melting Jaggery.</t>
  </si>
  <si>
    <t>1 கப் - அவல் (70 கிராம்), 1/2 கப் - வெல்லம் (60 கிராம்), 3 டேபிள் ஸ்பூன் - நெய், 10 - முந்திரி, 2 டேபிள் ஸ்பூன் - திராட்சை, 1/4 டேபிள் ஸ்பூன் - ஏலக்காய் தூள், 1 கப் - பால், 1/2 கப் - தண்ணீர், 1/4 கப் - கரைக்க தேவையான தண்ணீர் வெல்லம்.</t>
  </si>
  <si>
    <t>Into a pan add jaggery, water and let the jaggery melt. Filter the syrup and keep it aside.  Melt a tbsp of ghee and roast cashews and raisins. keep it asides. In the same leftover ghee roast the aval for 3-4 minutes on medium heat and keep it aside.  Boil water and milk in a pan. Once the milk boils add the roasted aval and cook until the milk thickens. Then add the melted jaggery syrup from step 1 and cook until it thickens, to it add a tbsp of ghee and mix well.  Finally add cardamom powder, roasted nuts, 1 tbsp ghee mix well and turn off the heat.   Enjoy the delicious special aval kesari . Happy Cooking !!!</t>
  </si>
  <si>
    <t>ஒரு பாத்திரத்தில் வெல்லம், தண்ணீர் சேர்த்து வெல்லம் கரைய விடவும். சிரப்பை வடிகட்டி தனியாக வைக்கவும். ஒரு டேபிள் ஸ்பூன் நெய்யை உருக்கி முந்திரி மற்றும் திராட்சையை வறுக்கவும். தனியாக வைக்கவும். மீதமுள்ள நெய்யில் அவலை 3-4 நிமிடங்கள் மிதமான தீயில் வறுத்து தனியாக வைக்கவும். ஒரு பாத்திரத்தில் தண்ணீர் மற்றும் பால் கொதிக்க விடவும். பால் கொதித்ததும் வறுத்த அவலை சேர்த்து பால் கெட்டியாகும் வரை சமைக்கவும். பின்னர் படி 1 இல் இருந்து உருகிய வெல்ல சிரப்பை சேர்த்து கெட்டியாகும் வரை சமைக்கவும், அதில் ஒரு டேபிள் ஸ்பூன் நெய் சேர்த்து நன்கு கலக்கவும். கடைசியாக ஏலக்காய் தூள், வறுத்த கொட்டைகள், 1 டீஸ்பூன் நெய் சேர்த்து நன்கு கலந்து அடுப்பை அணைக்கவும். சுவையான ஸ்பெஷல் அவல் கேசரியை அனுபவியுங்கள். மகிழ்ச்சியான சமையல் !!!</t>
  </si>
  <si>
    <t>https://blogger.googleusercontent.com/img/b/R29vZ2xl/AVvXsEhhzvOTcSh3hlET2929AmKK2dw_4dNW-4SvhPMGm8rd13vBt2XfJbeUIJNaIYt6sUJKRgx_BkorlUGE00YwgMXxJUFIx_F9S4MyTCt9EKd2dTc4r_glg-rM-khDRZYyI_SuWW24i7psltk/s640/DSC09854.JPG</t>
  </si>
  <si>
    <t>Chilli sauce</t>
  </si>
  <si>
    <t>மிளகாய் சாஸ்</t>
  </si>
  <si>
    <t>25 g - dry red chilies , 1/4  - Onion, 6 -7 - Garlic pods 1  - Tomato, 1 tbsp - Oil, 2 tsp - Salt, 2 tbsp - Sugar, 3 tbsp - lemon juice, 1.5 cup - Water.</t>
  </si>
  <si>
    <t>25 கிராம் - உலர்ந்த சிவப்பு மிளகாய், 1/4 - வெங்காயம், 6 -7 - பூண்டு காய்கள் 1 - தக்காளி, 1 டீஸ்பூன் - எண்ணெய், 2 டீஸ்பூன் - உப்பு, 2 டீஸ்பூன் - சர்க்கரை, 3 டீஸ்பூன் - எலுமிச்சை சாறு, 1.5 கப் - தண்ணீர்.</t>
  </si>
  <si>
    <t>Into a bowl add dry red chilies and soak it in hot water for 20 minutes. Transfer the soaked chilies to a blender along with water and off onion, garlic, tomato and grind it to a smooth paste.   Filter it and add rinse the jar with half cup water and it to the chilli mix.  Heat a pan and add Oil. Then add the sauce from step 2 and also add in salt,sugar and cook until, thickens.   Finally add lemon juice and cook for 2 more minutes. turn off the heat and once cooled store it in the refrigerator.   Enjoy the delicious homemade spicy Chilli sauce recipe . Happy Cooking !!!</t>
  </si>
  <si>
    <t>ஒரு பாத்திரத்தில் உலர்ந்த சிவப்பு மிளகாயைச் சேர்த்து சூடான நீரில் 20 நிமிடங்கள் ஊற வைக்கவும். ஊறவைத்த மிளகாயை ஒரு பிளெண்டரில் தண்ணீருடன் மாற்றி வெங்காயம், பூண்டு, தக்காளியை நீக்கி மென்மையான பேஸ்டாக அரைக்கவும். அதை வடிகட்டி, ஜாடியை அரை கப் தண்ணீரில் கழுவி மிளகாய் கலவையில் சேர்க்கவும். ஒரு வாணலியை சூடாக்கி எண்ணெய் சேர்க்கவும். பின்னர் படி 2 இல் உள்ள சாஸைச் சேர்த்து உப்பு, சர்க்கரை சேர்த்து கெட்டியாகும் வரை சமைக்கவும். இறுதியாக எலுமிச்சை சாறு சேர்த்து மேலும் 2 நிமிடங்கள் சமைக்கவும். வெப்பத்தை அணைத்து, குளிர்ந்ததும் குளிர்சாதன பெட்டியில் சேமிக்கவும். வீட்டில் தயாரிக்கப்பட்ட சுவையான காரமான மிளகாய் சாஸ் செய்முறையை அனுபவிக்கவும். மகிழ்ச்சியான சமையல் !!!</t>
  </si>
  <si>
    <t>https://blogger.googleusercontent.com/img/b/R29vZ2xl/AVvXsEh1YYFi7pyWwtnfleBboa3Ht4PR_YWUfTGKnwB7qqERKEUWnC95G7IgHmpCblg7ujxu-paldenLjxdoldMjndAiuVsPuF0JsjUIEq34iy1YkVVUDytNATnJnwL-uk8MTD2qoY-4C1eSRnw/s640/DSC09814.JPG</t>
  </si>
  <si>
    <t>Biscuit Pudding</t>
  </si>
  <si>
    <t>பிஸ்கட் புட்டிங்</t>
  </si>
  <si>
    <t>1/2 cup - Sugar, 1/4 cup - Water, 10 - Marie gold Biscuit, 1/4 cup - Sugar, 4  - Cardamom, 2 - Eggs, 1 tbsp - Ghee, 1 cup - Milk.</t>
  </si>
  <si>
    <t>1/2 கப் - சர்க்கரை, 1/4 கப் - தண்ணீர், 10 - மேரி கோல்ட் பிஸ்கட், 1/4 கப் - சர்க்கரை, 4 - ஏலக்காய், 2 - முட்டை, 1 டேபிள் ஸ்பூன் - நெய், 1 கப் - பால்.</t>
  </si>
  <si>
    <t>Into a sauce pan add sugar, water and heat for some time. Once you get nice golden color turn off the heat. Transfer the caramel to pan and spread it all over the pan.    Into a mixie add biscuits, sugar, cardamom and powder it. Keep it aside.  Into a mixing bowl whisk eggs and then add the biscuit mixture from step 2 (sieve and add to collect any lumps) . Then add ghee and mix well. Finally add Milk and mix until well combined. Pour it over the caramel and cover it with a lid.   Add water to a Idli cooker or a pan and place a stand to elevate the pan. Keep the pudding pan inside and make sure the base of the pan touches the water. Steam for 30 - 35  minutes on medium low heat.   After 35 minutes check the pudding by inserting a knife, if it comes out clean then the Biscuit pudding is nice and ready. Cut it into pieces and is ready to be served.  That's it our delicious Biscuit pudding is ready to be served. Please do try this recipe at home and share it with your friends and family.</t>
  </si>
  <si>
    <t>ஒரு சாஸ் பானில் சர்க்கரை, தண்ணீர் சேர்த்து சிறிது நேரம் சூடாக்கவும். நல்ல தங்க நிறம் வந்ததும், தீயை அணைக்கவும். கேரமலை பாத்திரத்தில் மாற்றி, பாத்திரம் முழுவதும் பரப்பவும். மிக்ஸியில் பிஸ்கட், சர்க்கரை, ஏலக்காய் சேர்த்து பொடி செய்யவும். அதை ஒதுக்கி வைக்கவும். ஒரு மிக்ஸி கிண்ணத்தில் முட்டைகளை அடித்து, பின்னர் படி 2 இல் உள்ள பிஸ்கட் கலவையை சேர்க்கவும் (சல்லடை போட்டு கட்டிகள் சேரும்படி சேர்க்கவும்). பின்னர் நெய் சேர்த்து நன்கு கலக்கவும். இறுதியாக பால் சேர்த்து நன்கு கலக்கும் வரை கலக்கவும். கேரமல் மீது ஊற்றி ஒரு மூடியால் மூடி வைக்கவும். ஒரு இட்லி குக்கர் அல்லது ஒரு பானில் தண்ணீரைச் சேர்த்து, பாத்திரத்தை உயர்த்த ஒரு ஸ்டாண்டை வைக்கவும். புட்டிங் பானை உள்ளே வைத்து, பாத்திரத்தின் அடிப்பகுதி தண்ணீரைத் தொடும் என்பதை உறுதிப்படுத்திக் கொள்ளுங்கள். மிதமான தீயில் 30 - 35 நிமிடங்கள் ஆவியில் வேக வைக்கவும். 35 நிமிடங்களுக்குப் பிறகு கத்தியைச் செருகி புட்டிங்கைச் சரிபார்க்கவும், அது சுத்தமாக வெளியே வந்தால் பிஸ்கட் புட்டிங் நன்றாகவும் தயாராகவும் இருக்கும். அதை துண்டுகளாக வெட்டி பரிமாறத் தயாராக உள்ளது. அவ்வளவுதான் எங்கள் சுவையான பிஸ்கட் புட்டிங் பரிமாறத் தயாராக உள்ளது. தயவுசெய்து இந்த ரெசிபியை வீட்டிலேயே முயற்சி செய்து உங்கள் நண்பர்கள் மற்றும் குடும்பத்தினருடன் பகிர்ந்து கொள்ளுங்கள்.</t>
  </si>
  <si>
    <t>https://blogger.googleusercontent.com/img/b/R29vZ2xl/AVvXsEjnlkgvbe7rRf84i-lwNxsdoNC16bHwv-zWU9y6iOjvmABeLtHwLJrlqi9B7BoSfqh7BQ_08r_1yPVjr5DbbPTOlEixQGONcGkYjNRIjpXeGu-nJl9fsMjJtw49c_COv6n3L5PuELOEFT2y/s640/DSC09716.JPG</t>
  </si>
  <si>
    <t>Cauliflower Fried</t>
  </si>
  <si>
    <t>காலிஃபிளவர் வறுத்தது</t>
  </si>
  <si>
    <t>250 g - Cauliflower, 1/8 tsp - Turmeric, 2 tsp - Chili powder, 4 tbsp - Rice flour, 4 tbsp - Besan flour, required Salt, Oil for frying, 5-7 - dry red chilies, 5 - Garlic, 1 inch - Ginger, 2 tbsp - Oil, 3 tbsp - Oil, 1  - Onion|, 1  - Carrot, 5  - Beans, 1 cup - Basmati rice (200 g), 1/4 tsp - Pepper, handful spring Onion, required Salt.</t>
  </si>
  <si>
    <t>250 கிராம் - காலிஃபிளவர், 1/8 தேக்கரண்டி - மஞ்சள், 2 தேக்கரண்டி - மிளகாய் தூள், 4 தேக்கரண்டி - அரிசி மாவு, 4 தேக்கரண்டி - கடலை மாவு, தேவையான உப்பு, வறுக்க எண்ணெய், 5-7 - உலர்ந்த சிவப்பு மிளகாய், 5 - பூண்டு, 1 அங்குலம் - இஞ்சி, 2 தேக்கரண்டி - எண்ணெய், 3 தேக்கரண்டி - எண்ணெய், 1 - வெங்காயம்|, 1 - கேரட், 5 - பீன்ஸ், 1 கப் - பாஸ்மதி அரிசி (200 கிராம்), 1/4 தேக்கரண்டி - மிளகு, ஒரு கைப்பிடி வெங்காயம், தேவையான உப்பு.</t>
  </si>
  <si>
    <t>Into a mixing bowl add cauliflower florets , add hot water and soak for 2 min. Drain the water and add turmeric powder, chili powder, required salt and give it a toss. Then add besan flour, rice flour and coat the florets well. Sprinkle some water if required. Fry on Hot oil until crispy.   Into a mixie add dry red chilies, garlic,ginger, water and grind it to a smooth paste.  Heat a pan and add Oil. Then add sliced Onion, chilli paste from step 2 and cook until the raw smell is gone. Then add carrot, beans and cook for another 2-3 min. Finally add the fried cauliflower from step 1 and mix well, let it cook for one more minute.  Add cooked Basmati rice , add pepper, some chopped spring onion and mix gently without breaking the rice.   Enjoy the delicious homemade spicy fried rice recipe without sauces. Happy Cooking !!!</t>
  </si>
  <si>
    <t>ஒரு கலவை பாத்திரத்தில் காலிஃபிளவர் பூக்களை சேர்த்து, சூடான நீரை சேர்த்து 2 நிமிடம் ஊற வைக்கவும். தண்ணீரை வடிகட்டி, மஞ்சள் தூள், மிளகாய் தூள், தேவையான உப்பு சேர்த்து ஒரு டாஸ் போடவும். பின்னர் கடலை மாவு, அரிசி மாவு சேர்த்து பூக்களை நன்றாக பூசவும். தேவைப்பட்டால் சிறிது தண்ணீர் தெளிக்கவும். சூடான எண்ணெயில் மொறுமொறுப்பாகும் வரை வதக்கவும். மிக்ஸியில் உலர்ந்த சிவப்பு மிளகாய், பூண்டு, இஞ்சி, தண்ணீர் சேர்த்து மென்மையான பேஸ்டாக அரைக்கவும். ஒரு வாணலியை சூடாக்கி எண்ணெய் சேர்க்கவும். பின்னர் 2 வது படியில் நறுக்கிய வெங்காயம், மிளகாய் விழுது சேர்த்து பச்சை வாசனை போகும் வரை சமைக்கவும். பின்னர் கேரட், பீன்ஸ் சேர்த்து மேலும் 2-3 நிமிடங்கள் சமைக்கவும். இறுதியாக 1 வது படியில் வறுத்த காலிஃபிளவரைச் சேர்த்து நன்கு கலக்கவும், மேலும் ஒரு நிமிடம் சமைக்கவும். சமைத்த பாஸ்மதி அரிசியைச் சேர்த்து, மிளகு, சிறிது நறுக்கிய வெங்காயத்தைச் சேர்த்து, அரிசியை உடையாமல் மெதுவாகக் கலக்கவும். சாஸ்கள் இல்லாமல் சுவையான வீட்டில் தயாரிக்கப்பட்ட காரமான ஃபிரைடு ரைஸ் ரெசிபியை அனுபவிக்கவும். மகிழ்ச்சியான சமையல் !!!</t>
  </si>
  <si>
    <t>https://blogger.googleusercontent.com/img/b/R29vZ2xl/AVvXsEheuKKRPjP8EEjNBFXzWjxhGO6hbMzP7AOOeVscAOkmjIhMrbKCJaHQ2VAprCGkHuZur8Ztr3fHfWhzuCwr1h-k3FC_75omiaRxqhFKzeSHR6TULc2rr2GJW8JqkWIgoGA4jEGvYZqvVB0/s640/DSC08197.JPG</t>
  </si>
  <si>
    <t>poori</t>
  </si>
  <si>
    <t>பூரி</t>
  </si>
  <si>
    <t>2 cup  - Wheat flour (250 g), 1 tsp - Salt, 2 tbsp - Oil, required Water, Oil for frying.</t>
  </si>
  <si>
    <t>2 கப் - கோதுமை மாவு (250 கிராம்), 1 தேக்கரண்டி - உப்பு, 2 தேக்கரண்டி - எண்ணெய், தேவையான தண்ணீர், பொரிக்க எண்ணெய்.</t>
  </si>
  <si>
    <t>Into a mixing bowl add wheat flour, salt ,oil and mix well.   Gradually add water and mix well to form a stiff dough, Cover and let it rest for 10 min.  Divide the dough into 12 portions and start rolling, Use oil to roll ,do not roll it too thin, it should be slightly thicker than chapathi(make sure there are no cracks on the surface).  Use a wide pan and heat up sufficient oil, oil should he hot. Fry the pooris in hot oil until they are ballooned and golden on the outside.  Enjoy the delicious Poori with some potato masala. Please do try this recipe at home and share your feedback. Happy Cooking !!!</t>
  </si>
  <si>
    <t>ஒரு கலவை பாத்திரத்தில் கோதுமை மாவு, உப்பு, எண்ணெய் சேர்த்து நன்கு கலக்கவும். படிப்படியாக தண்ணீர் சேர்த்து நன்கு கலந்து கெட்டியான மாவை உருவாக்கவும், மூடி வைத்து 10 நிமிடங்கள் அப்படியே வைக்கவும். மாவை 12 பகுதிகளாகப் பிரித்து உருட்டத் தொடங்குங்கள், எண்ணெயைப் பயன்படுத்தி உருட்டவும், மிக மெல்லியதாக உருட்ட வேண்டாம், அது சப்பாத்தியை விட சற்று தடிமனாக இருக்க வேண்டும் (மேற்பரப்பில் எந்த விரிசல்களும் இல்லை என்பதை உறுதிப்படுத்திக் கொள்ளுங்கள்). ஒரு அகலமான பாத்திரத்தைப் பயன்படுத்தி போதுமான எண்ணெயைச் சூடாக்கவும், அது சூடாக இருந்தால். பூரிகளை சூடான எண்ணெயில் பலூன் போலவும், வெளியே பொன்னிறமாகவும் வறுக்கவும். சிறிய பூரியை உருளைக்கிழங்கு மசாலாவுடன் சேர்த்து மகிழுங்கள். இந்த செய்முறையை வீட்டிலேயே முயற்சி செய்து உங்கள் கருத்துக்களைப் பகிர்ந்து கொள்ளுங்கள். சமைப்பதற்கு மகிழ்ச்சி !!!</t>
  </si>
  <si>
    <t>https://www.indianveggiedelight.com/wp-content/uploads/2020/10/poori-recipe-featured.jpg</t>
  </si>
  <si>
    <t>Chilli Egg Bonda</t>
  </si>
  <si>
    <t>மிளகாய் முட்டை போண்டா</t>
  </si>
  <si>
    <t>4 - boiled Eggs, 3/4 cup - Besan flour , 1/4 cup - rice flour, pinch of Asafoetida, 1/8 tsp - Turmeric powder, 1 tsp - Chili powder, 1/2 tsp - Garam masala, required Salt, required Water, 2 cup - Oil for frying, 3 tbsp - Oil, 1/4 tsp - Mustard seeds, 3 - green chilies, 2 - dry red chilies, 1 - spring Curry leaves, 1 tbsp - Ginger garlic paste, 2  - Onion, 1/2 tsp - turmeric powder, 1/2 tsp - Cumin powderc, 1 tsp - Garam masala, 2 tsp - Chili powder, Salt to taste, handful Coriander leaves.</t>
  </si>
  <si>
    <t>4 - வேகவைத்த முட்டைகள், 3/4 கப் - கடலை மாவு, 1/4 கப் - அரிசி மாவு, சிறிது பெருங்காயம், 1/8 தேக்கரண்டி - மஞ்சள் தூள், 1 தேக்கரண்டி - மிளகாய் தூள், 1/2 தேக்கரண்டி - கரம் மசாலா, தேவையான உப்பு, தேவையான தண்ணீர், 2 கப் - வறுக்க எண்ணெய், 3 தேக்கரண்டி - எண்ணெய், 1/4 தேக்கரண்டி - கடுகு, 3 - பச்சை மிளகாய், 2 - உலர்ந்த சிவப்பு மிளகாய், 1 - வசந்த கறிவேப்பிலை, 1 தேக்கரண்டி - இஞ்சி பூண்டு விழுது, 2 - வெங்காயம், 1/2 தேக்கரண்டி - மஞ்சள் தூள், 1/2 தேக்கரண்டி - சீரகப் பொடி, 1 தேக்கரண்டி - கரம் மசாலா, 2 தேக்கரண்டி - மிளகாய் தூள், சுவைக்கு உப்பு, கைப்பிடி அளவு கொத்தமல்லி இலைகள்.</t>
  </si>
  <si>
    <t>into a mixing bowl add besan flour,rice flour,chili powder,asafoetida,trmeric powder,garam masala,required Salt,water and form a semi thick batter.   Cut the eggs into 4 and coat the batter and deep fry until crisp (make sure the eggs are dry otherwise the batter will not coat on the outside) .   Heat oil in a pan and temper with mustard seeds, green chilies, red chilies, curry leaves,ginger garlic paste. Then add finely chopped onions and saute until golden brown.  Now add the masalas- turmeric powder,chili powder, garam amsala,cumin powder, required salt and cook until the raw smell is gone. Now add the fried eggs from step 2 and mix well. Finally add coriander leaves for garnishing and turn off the heat.  That's it our delicious Egg chilli recipe is ready to be enjoyed.</t>
  </si>
  <si>
    <t>ஒரு கலவை பாத்திரத்தில் கடலை மாவு, அரிசி மாவு, மிளகாய் தூள், அசபோடிடா, ட்ரிமெரிக் பொடி, கரம் மசாலா, தேவையான உப்பு, தண்ணீர் சேர்த்து அரை தடிமனான மாவை உருவாக்கவும். முட்டைகளை 4 பகுதிகளாக வெட்டி, மாவை பூசி, மொறுமொறுப்பாகும் வரை வறுக்கவும் (முட்டைகள் உலர்ந்திருப்பதை உறுதிசெய்து கொள்ளுங்கள் இல்லையெனில் மாவு வெளிப்புறத்தில் படாமல் இருக்கும்). ஒரு கடாயில் எண்ணெயை சூடாக்கி, கடுகு, பச்சை மிளகாய், சிவப்பு மிளகாய், கறிவேப்பிலை, இஞ்சி பூண்டு விழுது சேர்த்து வதக்கவும். பின்னர் இறுதியாக நறுக்கிய வெங்காயத்தைச் சேர்த்து பொன்னிறமாகும் வரை வதக்கவும். இப்போது மசாலாக்கள் - மஞ்சள் தூள், மிளகாய் தூள், கரம் அம்சாலா, சீரகப் பொடி, தேவையான உப்பு சேர்த்து பச்சை வாசனை போகும் வரை சமைக்கவும். இப்போது படி 2 இல் வறுத்த முட்டைகளைச் சேர்த்து நன்கு கலக்கவும். இறுதியாக அலங்கரிக்க கொத்தமல்லி இலைகளைச் சேர்த்து, தீயை அணைக்கவும். அவ்வளவுதான், எங்கள் சுவையான முட்டை மிளகாய் செய்முறை சுவைக்க தயாராக உள்ளது.</t>
  </si>
  <si>
    <t>https://blogger.googleusercontent.com/img/b/R29vZ2xl/AVvXsEjYdj9Zz5nCzeaFiiUuSezG6O02tyPOm0gyY5_Ok_Y-kE7KssJHTB_jhxmQA7ZYvUKXTDQEoQ7nfNGkqxzg0_oEi4VnY7LEg4rUxu_GEfwdoN8dijw3u8UNCIIHYYaQUAtJ0epeSp4PGYM/s640/DSC09671.JPG</t>
  </si>
  <si>
    <t>Peanut Katli</t>
  </si>
  <si>
    <t>வேர்க்கடலை கட்லி</t>
  </si>
  <si>
    <t>1 cup - Peanut (150 g), 1/2 cup - Sugar (100g), 1/2 cup - Water, 1 tsp - Ghee, 1/2 tsp - Cardamom powder.</t>
  </si>
  <si>
    <t>1 கப் - வேர்க்கடலை (150 கிராம்), 1/2 கப் - சர்க்கரை (100 கிராம்), 1/2 கப் - தண்ணீர், 1 தேக்கரண்டி - நெய், 1/2 தேக்கரண்டி - ஏலக்காய் தூள்.</t>
  </si>
  <si>
    <t>Roast the peanuts and remove the skin. Once cooled transfer it to a mixie and powder it by pulsing.   Into a sauce pan add sugar, water and boil until it reaches 1 string consistency. Then add the powdered Peanuts from step 1 and also add in ghee, cardamom powder and cook for a minute until everything comes together.    Transfer it to a greased pan and roll it thin and the cut into diamonds.   Thats it our delicious easy Kadalai Katli / Kadalai Sweet / Peanut sweet is ready to be enjoyed.</t>
  </si>
  <si>
    <t>வேர்க்கடலையை வறுத்து, தோலை நீக்கவும். ஆறியதும், மிக்ஸியில் போட்டு, நன்கு பொடி செய்து பொடியாக்கவும். ஒரு சாஸ் பாத்திரத்தில் சர்க்கரை, தண்ணீர் சேர்த்து, 1 நார் பதம் வரும் வரை கொதிக்க வைக்கவும். பின்னர் படி 1 இல் பொடித்த வேர்க்கடலையைச் சேர்த்து, நெய், ஏலக்காய் தூள் சேர்த்து, அனைத்தும் ஒன்றாக வரும் வரை ஒரு நிமிடம் சமைக்கவும். அதை ஒரு நெய் தடவிய பாத்திரத்திற்கு மாற்றி, மெல்லியதாக உருட்டி, வைரங்களாக வெட்டவும். அவ்வளவுதான், எங்கள் சுவையான எளிதான கடலை கட்லி / கடலை இனிப்பு / வேர்க்கடலை இனிப்பு சாப்பிட தயாராக உள்ளது.</t>
  </si>
  <si>
    <t>https://blogger.googleusercontent.com/img/b/R29vZ2xl/AVvXsEiK5q8xj3dVTDXMTSJTDveir7Li1noBiRRAKJqhZLsZdoYoOUynUnvzb0b0NY2cU-BYDt591K2PEFQlz2wgnbmBwrQtJ0BUS6NdRPd38dT-7IitX9v4kyrOdhViXvIBeswbYGtwKDc72sw/s640/DSC09054.JPG</t>
  </si>
  <si>
    <t>Crispy Corn</t>
  </si>
  <si>
    <t>மொறுமொறுப்பான சோளம்</t>
  </si>
  <si>
    <t>2 cup - Corn Kernels, 1 tbsp - Rice flour, 4-6 tbsp - Corn flour, required Salt, required Pepper, Oil for frying, 1 tsp - Chili powder, 1/2 tsp - Cumin powder, 1/2 tsp - Chat masala, required Salt and Pepper, 1 tsp  - Lemon juice, some chopped Onion, some  chopped coriander leaves, 1/8   - Lemon (wedge).</t>
  </si>
  <si>
    <t>2 கப் - சோளக் கொட்டைகள், 1 டீஸ்பூன் - அரிசி மாவு, 4-6 டீஸ்பூன் - சோள மாவு, தேவையான உப்பு, தேவையான மிளகு, வறுக்க எண்ணெய், 1 டீஸ்பூன் - மிளகாய்த் தூள், 1/2 டீஸ்பூன் - சீரகத் தூள், 1/2 டீஸ்பூன் - சாட் மசாலா, தேவையான உப்பு மற்றும் மிளகு, 1 டீஸ்பூன் - எலுமிச்சை சாறு, சிறிது நறுக்கிய வெங்காயம், சிறிது நறுக்கிய கொத்தமல்லி இலைகள், 1/8 - எலுமிச்சை (ஆப்பு).</t>
  </si>
  <si>
    <t>Into a sauce pan boil water and add corn kernels and boil for 2 min. Strain and let it sit for 5 min.   Then add rice flour, corn flour, little salt and pepper. Add more corn flour if required. Then deep fry it in oil.  Then add masalas- Chili powder, chat masala,cumin powder,salt and pepper. Finally squeeze in some lemon juice . Give it a good shake.  Finally garnish with chopped coriander leaves, chopped Onion and a lemon wedge on top.  Our delicious Spicy masala diamond cuts are ready to be enjoyed. Happy Cooking!!!</t>
  </si>
  <si>
    <t>ஒரு சாஸ் பானில் தண்ணீரை கொதிக்க வைத்து சோளத் துருவலைச் சேர்த்து 2 நிமிடம் கொதிக்க விடவும். வடிகட்டி 5 நிமிடம் அப்படியே வைக்கவும். பின்னர் அரிசி மாவு, சோள மாவு, சிறிது உப்பு மற்றும் மிளகு சேர்க்கவும். தேவைப்பட்டால் மேலும் சோள மாவு சேர்க்கவும். பின்னர் எண்ணெயில் ஆழமாக வறுக்கவும். பின்னர் மசாலாக்கள் - மிளகாய்த் தூள், சாட் மசாலா, சீரகத் தூள், உப்பு மற்றும் மிளகு சேர்க்கவும். இறுதியாக சிறிது எலுமிச்சை சாற்றை பிழிந்து கொள்ளவும். நன்றாக குலுக்கவும். இறுதியாக நறுக்கிய கொத்தமல்லி இலைகள், நறுக்கிய வெங்காயம் மற்றும் மேலே ஒரு எலுமிச்சை துண்டு சேர்த்து அலங்கரிக்கவும். எங்கள் சுவையான காரமான மசாலா வைர வெட்டுக்கள் ருசிக்க தயாராக உள்ளன. மகிழ்ச்சியான சமையல்!!!</t>
  </si>
  <si>
    <t>https://blogger.googleusercontent.com/img/b/R29vZ2xl/AVvXsEi4n0LKJRWe3NlG639TVJQ9HBg5Q_EWndxK6AFVegpL_davjbyjQSfFJPbSrWKe0UKOYEmA2d4PKh-YhU4BaPXvzI_g2KQLQMgO3GVwDLjkaMlcFkcB0rs-muSWhPuOd9e_h16ckmIgfW0/s640/DSC09102.JPG</t>
  </si>
  <si>
    <t>Masala Diamond Cuts</t>
  </si>
  <si>
    <t>மசாலா வைர துண்டுகள்</t>
  </si>
  <si>
    <t>3 - Garlic, 1 tsp - Cumin seeds, 1 tsp - Pepper, 2 cup - Maida (250g), 2 tbsp - Rava, 1 tsp - Sesame seeds, 1  - Chili powder, pinch of Asafoetida, few Curry leaves, 1 tbsp - Ghee, 1 tsp - Salt, required Water, Oil for frying.</t>
  </si>
  <si>
    <t>3 - பூண்டு, 1 தேக்கரண்டி - சீரகம், 1 தேக்கரண்டி - மிளகு, 2 கப் - மைதா (250 கிராம்), 2 தேக்கரண்டி - ரவா, 1 தேக்கரண்டி - எள், 1 - மிளகாய் தூள், சிறிது பெருங்காயம், சில கறிவேப்பிலை, 1 தேக்கரண்டி - நெய், 1 தேக்கரண்டி - உப்பு, தேவையான தண்ணீர், வறுக்க எண்ணெய்.</t>
  </si>
  <si>
    <t>Into a mixer jar add garlic,cumin, pepper and grind it well.   Into a mixing bowl add maida,rava, ghee, asafoetida, chili powder, chopped curry leaves,  Sesame seeds, ground masala from step 1, required salt and mix well. Then gradually add water and knead it to a slightly stiff dough. Let it rest for 15 min.   Now divide the dough int 10 portions and roll it very thin.Similarly do it will add the dough balls.   Take a rolled sheet and then cut into diamond shapes and fry it in hot oil. Oil should be hot so that it floats on the surface as soon as we add it t oil. Once it is nice and crispy take it off from the oil.  . Our delicious Spicy masala diamond cuts are ready to be enjoyed. Happy Cooking!!!</t>
  </si>
  <si>
    <t>ஒரு மிக்ஸி ஜாடியில் பூண்டு, சீரகம், மிளகு சேர்த்து நன்கு அரைக்கவும். ஒரு கலவை பாத்திரத்தில் மைதா, ரவா, நெய், பெருங்காயம், மிளகாய் தூள், நறுக்கிய கறிவேப்பிலை, எள், படி 1 இல் இருந்து அரைத்த மசாலா, தேவையான உப்பு சேர்த்து நன்கு கலக்கவும். பின்னர் படிப்படியாக தண்ணீர் சேர்த்து சற்று கெட்டியான மாவாக பிசையவும். 15 நிமிடங்கள் அப்படியே வைக்கவும். இப்போது மாவை 10 பகுதிகளாகப் பிரித்து மிக மெல்லியதாக உருட்டவும். இதேபோல் செய்தால் மாவு உருண்டைகள் சேரும். ஒரு உருட்டப்பட்ட தாளை எடுத்து, பின்னர் வைர வடிவங்களில் வெட்டி சூடான எண்ணெயில் வறுக்கவும். எண்ணெய் சூடாக இருக்க வேண்டும், அதனால் நாம் அதை எண்ணெயில் சேர்த்தவுடன் மேற்பரப்பில் மிதக்கும். அது நன்றாகவும் மொறுமொறுப்பாகவும் மாறியதும், அதை எண்ணெயிலிருந்து எடுக்கவும். . எங்கள் சுவையான காரமான மசாலா வைர துண்டுகள் சுவைக்க தயாராக உள்ளன. மகிழ்ச்சியான சமையல்!!!</t>
  </si>
  <si>
    <t>https://blogger.googleusercontent.com/img/b/R29vZ2xl/AVvXsEix-MBn2nx9tHpQB0hFaazm7mN8qFcAT8fMg_RjU_f4wBTSQutFX3qIldouExAb07_A6iAMYnhJuC-CEcwP5hRwNbFEZttMDtPtrlCMxEDVZ1KUxU4vNEXMw6bRsPXAggv8LWw0lVzN2mz5/s640/select.JPG</t>
  </si>
  <si>
    <t>Idli Kurma</t>
  </si>
  <si>
    <t>இட்லி குருமா</t>
  </si>
  <si>
    <t>1 tbsp - Oil, 1/8 tsp - Mustard seeds, 1 - Cinnamon, 2  - Cardamom, 2 - Cloves, 1/2 tsp - Fennel seeds, 2 - green chilies, 1- spring Curry leaves, 1 tbsp - Ginger garlic paste, 2 - Onions, 3 - small Tomatoes, 1/2 tsp - Turmeric powder, 1 tsp - Coriander powder, 2 tsp - Chili powder, 1/2 cup - Coconut, 1/2 tsp - Fennel seeds, 1 tsp - poppy seeds, 4 - Cashews.</t>
  </si>
  <si>
    <t>1 டேபிள் ஸ்பூன் - எண்ணெய், 1/8 டேபிள் ஸ்பூன் - கடுகு, 1 - இலவங்கப்பட்டை, 2 - ஏலக்காய், 2 - கிராம்பு, 1/2 டேபிள் ஸ்பூன் - வெந்தயம், 2 - பச்சை மிளகாய், 1- வசந்த கறிவேப்பிலை, 1 டேபிள் ஸ்பூன் - இஞ்சி பூண்டு விழுது, 2 - வெங்காயம், 3 - சிறிய தக்காளி, 1/2 டேபிள் ஸ்பூன் - மஞ்சள் தூள், 1 டேபிள் ஸ்பூன் - கொத்தமல்லி தூள், 2 டேபிள் ஸ்பூன் - மிளகாய் தூள், 1/2 கப் - தேங்காய், 1/2 டேபிள் ஸ்பூன் - வெந்தயம், 1 டேபிள் ஸ்பூன் - பாப்பி விதைகள், 4 - முந்திரி.</t>
  </si>
  <si>
    <t>Heat oil and temper with mustard , Cardamom, cinnamon, cloves, fennel, curry leaves and green chilies, ginger garlic paste. Then add in Onions and saute it for a couple of minutes.  Now add in the tomatoes , turmeric powder, coriander powder, chili powder, required salt and cook until the tomatoes are nice and soft.   In the meanwhile make coconut paste using grated coconut, cumin, fennel , poppy seeds, cashews and grind along with some water and keep it aside.   Once the tomatoes are soft add required water and let it boil for sometime. Finally add in the coconut paste and let it cook for 10 more minutes. Finally add coriander leaves for garnishing and turn off the heat.  Our Delicious Idli Kulambu / Idli Kurma is ready to be enjoyed with Idli , dosa or rice . Do try this simple and Kurma and share your feedback. Happy Cooking!!!</t>
  </si>
  <si>
    <t>எண்ணெயை சூடாக்கி கடுகு, ஏலக்காய், இலவங்கப்பட்டை, கிராம்பு, பெருஞ்சீரகம், கறிவேப்பிலை மற்றும் பச்சை மிளகாய், இஞ்சி பூண்டு விழுது சேர்த்து வதக்கவும். பின்னர் வெங்காயத்தை சேர்த்து இரண்டு நிமிடங்கள் வதக்கவும். இப்போது தக்காளி, மஞ்சள் தூள், கொத்தமல்லி தூள், மிளகாய் தூள், தேவையான உப்பு சேர்த்து தக்காளி நன்றாக மென்மையாகும் வரை வதக்கவும். இதற்கிடையில் தேங்காய் துருவல், சீரகம், பெருஞ்சீரகம், கசகசா, முந்திரி ஆகியவற்றைப் பயன்படுத்தி தேங்காய் விழுது செய்து, சிறிது தண்ணீர் சேர்த்து அரைத்து தனியாக வைக்கவும். தக்காளி மென்மையாக வதங்கியதும் தேவையான அளவு தண்ணீர் சேர்த்து சிறிது நேரம் கொதிக்க விடவும். கடைசியாக தேங்காய் விழுதைச் சேர்த்து மேலும் 10 நிமிடங்கள் சமைக்கவும். இறுதியாக அலங்கரிக்க கொத்தமல்லி இலைகளைச் சேர்த்து அடுப்பை அணைக்கவும். எங்கள் சுவையான இட்லி குழம்பு / இட்லி குர்மா இட்லி, தோசை அல்லது சாதத்துடன் சாப்பிட தயாராக உள்ளது. இந்த எளிய மற்றும் குர்மாவை முயற்சி செய்து உங்கள் கருத்துகளைப் பகிர்ந்து கொள்ளுங்கள். இனிய சமையல்!!!</t>
  </si>
  <si>
    <t>https://blogger.googleusercontent.com/img/b/R29vZ2xl/AVvXsEiSXAa_0ywAaA6VUwqCzHSEmd3BurGgpgTAfJnIKFpSPE6etsBPebvfLn3f1YHsvBgw1UO_wbuDp0dA8WVsOZmaU5JyTiZ1SVlg77TP1bjR7PYnCM6l3xAWh9XGRPMYlBzps6W7gKWgQts/s640/DSC09336.JPG</t>
  </si>
  <si>
    <t>Jigarthanda</t>
  </si>
  <si>
    <t>ஜிகர்தண்டா</t>
  </si>
  <si>
    <t>4 - Almond gum, 1 cup - Water, 1/2 cup - Sugar , 1/2 cup - boiling Water, 1/2 L - full fat milk, 2 tbsp - Sugar, 1/2 L  - Full fat Milk, 2 tbsp - Sugar, 2 tbsp - Nanari sarbath, 2 scoop - Vanilla ice cream.</t>
  </si>
  <si>
    <t>4 - பாதாம் பசை, 1 கப் - தண்ணீர், 1/2 கப் - சர்க்கரை, 1/2 கப் - கொதிக்கும் நீர், 1/2 லி - முழு கொழுப்புள்ள பால், 2 டீஸ்பூன் - சர்க்கரை, 1/2 லி - முழு கொழுப்புள்ள பால், 2 டீஸ்பூன் - சர்க்கரை, 2 டீஸ்பூன் - நானாரி சர்பத், 2 ஸ்கூப் - வெண்ணிலா ஐஸ்கிரீம்.</t>
  </si>
  <si>
    <t>Soak Almond gum in water overnight and let it bloom.  Into a sauce pan caramelize 1/2 cup sugar and once it turns golden add 1/2 cup boiling water and keep it aside.   Into a pan heat 1/2 Liter Milk , add 12 tbsp Sugar and boil milk until thickens (cream consistency). Keep it aside.  Into a  pan boil 1/2 L milk and add half of the caramelized Sugar and also add in 2 tbsp  Sugar  and let it boil for 5 min. Keep it in the fridge to chill.    For the ice-cream we can either use store bought vanilla ice cream or we can make homemade ice cream. I have made a simple jigarthanda icecream by mixing the leftover caramelized sugar syrup to store bought vanilla ice-cream and freezing it again.  Now its time for assembling. Into a glass tumbler add badam pisin / almond gum from step 1. then add 2 tbsp of Nanari sarbath, milk cream from step 3 .Then add milk from step 4 , mix some ice crem in an finally top it with jigarthanda icecream and sugar syrup.   Our delicious baby food recipes are ready to be served. Happy Cooking!!!</t>
  </si>
  <si>
    <t>பாதாம் பசையை இரவு முழுவதும் தண்ணீரில் ஊறவைத்து பூக்க விடவும். ஒரு சாஸ் பானில் 1/2 கப் சர்க்கரையை கேரமல் செய்து, அது பொன்னிறமாக மாறியதும் 1/2 கப் கொதிக்கும் நீரைச் சேர்த்து ஒதுக்கி வைக்கவும். ஒரு பாத்திரத்தில் 1/2 லிட்டர் பாலை சூடாக்கி, 12 டீஸ்பூன் சர்க்கரையைச் சேர்த்து, பால் கெட்டியாகும் வரை (கிரீம் நிலைத்தன்மை) கொதிக்க வைக்கவும். அதை ஒதுக்கி வைக்கவும். ஒரு பாத்திரத்தில் 1/2 லிட்டர் பாலை கொதிக்க வைத்து, கேரமல் செய்யப்பட்ட சர்க்கரையில் பாதியைச் சேர்த்து, 2 டீஸ்பூன் சர்க்கரையைச் சேர்த்து 5 நிமிடங்கள் கொதிக்க விடவும். குளிர்சாதன பெட்டியில் குளிர்விக்க வைக்கவும். ஐஸ்கிரீமுக்கு, கடையில் வாங்கிய வெண்ணிலா ஐஸ்கிரீமைப் பயன்படுத்தலாம் அல்லது வீட்டிலேயே ஐஸ்கிரீமை செய்யலாம். மீதமுள்ள கேரமல் செய்யப்பட்ட சர்க்கரை சிரப்பைக் கலந்து, அதை மீண்டும் உறைய வைப்பதன் மூலம் ஒரு எளிய ஜிகர்தண்டா ஐஸ்கிரீமை நான் செய்துள்ளேன். இப்போது அசெம்பிள் செய்ய வேண்டிய நேரம் இது. ஒரு கண்ணாடி டம்ளரில் படி(Step) 1 இல் உள்ள பாதாம் பிசின் / பாதாம் கம் சேர்க்கவும். பின்னர் படி(Step) 3 இல் உள்ள பால் கிரீம் 2 தேக்கரண்டி சேர்க்கவும். பின்னர் படி(Step) 4 இல் உள்ள பால் சேர்க்கவும், சிறிது ஐஸ் கிரீம் கலந்து இறுதியாக ஜிகர்தண்டா ஐஸ்கிரீம் மற்றும் சர்க்கரை சிரப்பைச் சேர்க்கவும். எங்கள் சுவையான குழந்தை உணவு ரெசிபிகள் பரிமாற தயாராக உள்ளன. மகிழ்ச்சியான சமையல்!!!</t>
  </si>
  <si>
    <t>https://blogger.googleusercontent.com/img/b/R29vZ2xl/AVvXsEi2TRcAbNUX7G7o80I94KbZowIflsIRDSKIMcVK6HOS0AfqsbHr8jH97SE5n-gekh6qeR0i0YCA3sB2IV3w1P2t-MJu0lCzzL6nHaD9nXxDnXSZYQ77zKMOc7_pG3yKxxWn3xDgLCecRete/s640/DSC09261.JPG</t>
  </si>
  <si>
    <t>6 months - Baby food</t>
  </si>
  <si>
    <t>6 மாதங்கள் - குழந்தை உணவு</t>
  </si>
  <si>
    <t>1 - Carrot, 1 - Sweet potato, 1 - Beetroot, 1 - Beans,sweet peas, carrot, 1 - Apple, 1 - Banana, required Water.</t>
  </si>
  <si>
    <t>1 - கேரட், 1 - சர்க்கரைவள்ளிக் கிழங்கு, 1 - பீட்ரூட், 1 - பீன்ஸ், சர்க்கரைவள்ளிக் கிழங்கு, கேரட், 1 - ஆப்பிள், 1 - வாழைப்பழம், தேவையான தண்ணீர்.</t>
  </si>
  <si>
    <t>Peel and add chopped carrot into a sauce pan, required water (just enough to cover carrot) , cover and cook until carrots are nice and soft.  Once cooled transfer it to a blender and grind it smooth.  Peel and add chopped Sweet potato into a sauce pan, required water (just enough to cover Sweet potato) , cover and cook until sweet potatoes are nice and soft.  Once cooled transfer it to a blender and grind it smooth.   Peel and add chopped beetroot into a sauce pan, required water (just enough to cover the beetroot ) , cover and cook until beetroot  are nice and soft.  Once cooled transfer it to a blender and grind it smooth.   Into a sauce pan add beans, sweet peas,carrot add required water , cover and cook until veggies are nice and soft.  Once cooled transfer it to a blender and grind it smooth.  Peel and add chopped apple into a sauce pan, required water (just enough to cover apple) , cover and cook until they are nice and soft.  Once cooled transfer it to a blender and grind it smooth.   Mash or grind ripe bananas.  Our delicious baby food recipes are ready to be served. Happy Cooking!!!</t>
  </si>
  <si>
    <t>தோல் நீக்கி நறுக்கிய கேரட்டை ஒரு சாஸ் பாத்திரத்தில் சேர்க்கவும், தேவையான தண்ணீர் (கேரட்டை மூடும் அளவுக்கு) மூடி, கேரட் நன்றாகவும் மென்மையாகவும் ஆகும் வரை சமைக்கவும். ஆறியதும், அதை ஒரு பிளெண்டருக்கு மாற்றி, மென்மையாக அரைக்கவும். தோல் நீக்கி நறுக்கிய சர்க்கரைவள்ளிக் கிழங்கை ஒரு சாஸ் பாத்திரத்தில் சேர்க்கவும், தேவையான தண்ணீர் (சீவட்டை மூடும் அளவுக்கு) மூடி, சர்க்கரைவள்ளிக் கிழங்கு நன்றாகவும் மென்மையாகவும் ஆகும் வரை சமைக்கவும். ஆறியதும், அதை ஒரு பிளெண்டருக்கு மாற்றி, மென்மையாக அரைக்கவும். தோல் நீக்கி நறுக்கிய பீட்ரூட்டை ஒரு சாஸ் பாத்திரத்தில் சேர்க்கவும், தேவையான தண்ணீர் (பீட்ரூட்டை மூடும் அளவுக்கு) மூடி, பீட்ரூட் நன்றாகவும் மென்மையாகவும் ஆகும் வரை சமைக்கவும். ஆறியதும், அதை ஒரு பிளெண்டருக்கு மாற்றி, மென்மையாக அரைக்கவும். ஒரு சாஸ் பாத்திரத்தில் பீன்ஸ், சர்க்கரைவள்ளிக் கிழங்கு, கேரட் சேர்த்து, தேவையான தண்ணீர் சேர்த்து, மூடி, காய்கறிகள் நன்றாகவும் மென்மையாகவும் ஆகும் வரை சமைக்கவும். ஆறியதும், ஒரு பிளெண்டருக்கு மாற்றி, மென்மையாக அரைக்கவும். தோல் நீக்கி, நறுக்கிய ஆப்பிளை ஒரு சாஸ் பாத்திரத்தில் சேர்த்து, தேவையான அளவு தண்ணீர் (ஆப்பிளை மூடும் அளவுக்கு) சேர்த்து, மூடி வைத்து, அவை நன்றாகவும் மென்மையாகவும் ஆகும் வரை சமைக்கவும். ஆறியதும், அதை ஒரு பிளெண்டருக்கு மாற்றி, மென்மையாக அரைக்கவும். பழுத்த வாழைப்பழங்களை மசிக்கவும் அல்லது அரைக்கவும். எங்கள் சுவையான குழந்தை உணவு ரெசிபிகள் பரிமாற தயாராக உள்ளன. மகிழ்ச்சியான சமையல்!!!</t>
  </si>
  <si>
    <t>spiced Buttermilk</t>
  </si>
  <si>
    <t>மசாலா மோர்</t>
  </si>
  <si>
    <t>1/2 cup - Jaggery, 2 cup - Water, 1/2 tsp - Cardamom powder, 1/2 tsp - dry ginger powder, pinch of Salt, pinch of edible Camphor(optional), 1 -  strand Tamarind, 1/2 - Lemon, 2 cup - thick Curd, 3 cup - Water, 2 - green chilies, 1 inch - ginger, 1 tsp - Cumin seeds, 1- spring Curry leaves, 1 tsp - Oil, 1 -  string Curry leaves, pinch of Asafoetida .</t>
  </si>
  <si>
    <t>1/2 கப் - வெல்லம், 2 கப் - தண்ணீர், 1/2 தேக்கரண்டி - ஏலக்காய் தூள், 1/2 தேக்கரண்டி - உலர்ந்த இஞ்சி தூள், சிட்டிகை உப்பு, சிட்டிகை உண்ணக்கூடிய கற்பூரம் (விரும்பினால்), 1 - இழை புளி, 1/2 - எலுமிச்சை, 2 கப் - அடர்த்தியான தயிர், 3 கப் - தண்ணீர், 2 - பச்சை மிளகாய், 1 அங்குலம் - இஞ்சி, 1 தேக்கரண்டி - சீரகம், 1- வசந்த கறிவேப்பிலை, 1 தேக்கரண்டி - எண்ணெய், 1 - சரம் கறிவேப்பிலை, சிட்டிகை பெருங்காயம்.</t>
  </si>
  <si>
    <t>Into a mixing bowl add jaggery, water, cardamom powder,dry ginger powder,edible camphor,tamarind extract, pinch of salt, lemon juice and mix well.Pass it through a sieve and store it.  Into a mixing bowl add thick curd and beat it nicely, then add water, crushed ginger, crushed cumin seeds, chopped green chilies, chopped curry leaves, chopped coriander leaves, required salt and mix well. Heat a pan and add oil, temper with mustard seeds, curry leaves and asafoetida and add it to the buttermilk.  Our delicious traditional panagam and buttermilk are ready to be served. Happy Cooking!!!</t>
  </si>
  <si>
    <t>ஒரு கலவை பாத்திரத்தில் வெல்லம், தண்ணீர், ஏலக்காய் தூள், உலர்ந்த இஞ்சி தூள், உண்ணக்கூடிய கற்பூரம், புளி சாறு, சிட்டிகை உப்பு, எலுமிச்சை சாறு ஆகியவற்றைச் சேர்த்து நன்கு கலக்கவும். ஒரு சல்லடை வழியாக அனுப்பவும். ஒரு கலவை பாத்திரத்தில் கெட்டியான தயிரை சேர்த்து நன்றாக அடித்து, பின்னர் தண்ணீர், நொறுக்கப்பட்ட இஞ்சி, நொறுக்கப்பட்ட சீரகம், நறுக்கிய பச்சை மிளகாய், நறுக்கிய கறிவேப்பிலை, நறுக்கிய கொத்தமல்லி இலைகள், தேவையான உப்பு சேர்த்து நன்கு கலக்கவும். ஒரு வாணலியை சூடாக்கி, எண்ணெய் சேர்த்து, கடுகு, கறிவேப்பிலை மற்றும் பெருங்காயம் சேர்த்து தாளிக்கவும். எங்கள் சுவையான பாரம்பரிய பனகம் மற்றும் மோர் தயாராக உள்ளன. மகிழ்ச்சியான சமையல்!!!</t>
  </si>
  <si>
    <t>https://encrypted-tbn0.gstatic.com/images?q=tbn:ANd9GcS_Tutf50eRoWBDtLJH6HgkW1k1nCuq4qBphg&amp;s</t>
  </si>
  <si>
    <t>egg rice</t>
  </si>
  <si>
    <t>முட்டை சாதம்</t>
  </si>
  <si>
    <t>2 +2 tbsp - Oil, 1/8 tsp - mustard seeds, 1,2,2 - Cinnamon stick, Cardamom, cloves, 1 tbsp - Ginger Garlic paste, 2 - green chiliesc, 1 - spring Curry leaves, 1  - Onion, 1 - Tomato, 4 - Eggs, 1 - Onion, 1/8 tsp - Turmeric powder, 1/2 tsp - Cumin powder, 1/2 tsp - Garam masala, 1 tsp - Chili powder, 2 cup - Cooked rice, required  Salt and pepper, Coriander leaves.</t>
  </si>
  <si>
    <t>2 +2 டேபிள் ஸ்பூன் - எண்ணெய், 1/8 டேபிள் ஸ்பூன் - கடுகு, 1,2,2 - இலவங்கப்பட்டை, ஏலக்காய், கிராம்பு, 1 டேபிள் ஸ்பூன் - இஞ்சி பூண்டு விழுது, 2 - பச்சை மிளகாய், 1 - வசந்த கறிவேப்பிலை, 1 - வெங்காயம், 1 - தக்காளி, 4 - முட்டை, 1 - வெங்காயம், 1/8 டேபிள் ஸ்பூன் - மஞ்சள் தூள், 1/2 டேபிள் ஸ்பூன் - சீரகப் பொடி, 1/2 டேபிள் ஸ்பூன் - கரம் மசாலா, 1 டேபிள் ஸ்பூன் - மிளகாய் தூள், 2 கப் - சமைத்த சாதம், தேவையான உப்பு மற்றும் மிளகு, கொத்தமல்லி இலைகள்.</t>
  </si>
  <si>
    <t>Heat oil in a pan and temper with mustard seeds, cinnamon,cardamom, cloves, ginger garlic paste, green chilies,curry leaves and mix well.   Then add in chopped onion and cook until golden. Then add the masala - turmeric, chili powder, cumin powder,garam masala and mix well and cook for a couple of minutes. Then add chopped tomato and cook until soft.    Now in the same pan make space for the eggs and heat 2 tbsp oil and add in 4 eggs, required salt and pepper and let the egg cook for a minute. Now scramble the eggs and mix with the masala.  Finally add cooked rice, coriander leaves and mix well with the egg masala mixture.  Our delicious Egg rice is ready to be served. Happy Cooking!!!</t>
  </si>
  <si>
    <t>ஒரு கடாயில் எண்ணெயை சூடாக்கி, கடுகு, இலவங்கப்பட்டை, ஏலக்காய், கிராம்பு, இஞ்சி பூண்டு விழுது, பச்சை மிளகாய், கறிவேப்பிலை சேர்த்து நன்கு கலக்கவும். பின்னர் நறுக்கிய வெங்காயத்தைச் சேர்த்து பொன்னிறமாகும் வரை வதக்கவும். பின்னர் மசாலா - மஞ்சள், மிளகாய் தூள், சீரகப் பொடி, கரம் மசாலா சேர்த்து நன்கு கலந்து இரண்டு நிமிடங்கள் வதக்கவும். பின்னர் நறுக்கிய தக்காளியைச் சேர்த்து மென்மையாகும் வரை வதக்கவும். இப்போது அதே கடாயில் முட்டைகளுக்கு இடம் விட்டு, 2 டேபிள்ஸ்பூன் எண்ணெயை சூடாக்கி, 4 முட்டைகள், தேவையான உப்பு மற்றும் மிளகு சேர்த்து, முட்டையை ஒரு நிமிடம் வேக விடவும். இப்போது முட்டைகளை துருவி மசாலாவுடன் கலக்கவும். கடைசியாக சமைத்த சாதம், கொத்தமல்லி இலைகளைச் சேர்த்து, முட்டை மசாலா கலவையுடன் நன்கு கலக்கவும். எங்கள் சுவையான முட்டை சாதம் பரிமாற தயாராக உள்ளது. மகிழ்ச்சியான சமையல்!!!</t>
  </si>
  <si>
    <t>https://blogger.googleusercontent.com/img/b/R29vZ2xl/AVvXsEi4ZhxYfsLCvn3eA8a37xse6cDwv6KtZM8iGyW_pxfO50aV09LclVXTlfXnRab1JOJrrBynhK7iChSHn5t_PvVloe0YlEevMy7B81v_5Cx93BLLl1jBZXXhLvAbJFwi-1ED_pqo35LH-RBX/s640/DSC08964.JPG</t>
  </si>
  <si>
    <t>Mushroom Curry</t>
  </si>
  <si>
    <t>காளான் கறி</t>
  </si>
  <si>
    <t>1/4 kg - Mushroom, 2 tbsp - Oil, 1/8 tsp - Mustard seeds, 1,1 - Bay leaf,cinnamon, 2,2 - Cloves, Cardamom, 2 tsp - Ginger garlic paste, 2 - Green chilies, 1 - spring Curry leaves, 1 - Onion, 1 - Tomato, 1/4 tsp - turmeric powder, 1/2 tsp - Garam masala, 2 tsp - Coriander powder, 1-2 tsp - Chili powder, required Water, required Salt, Coriander leaves, 1/4 cup - Coconut, 1/2 tsp - Cumin seeds, 1/2 tsp - Fennel seeds, 1/2 tsp - pepper , required Water.</t>
  </si>
  <si>
    <t>1/4 கிலோ - காளான், 2 டேபிள்ஸ்பூன் - எண்ணெய், 1/8 டீஸ்பூன் - கடுகு விதைகள், 1,1 - பிரியாணி இலை, இலவங்கப்பட்டை, 2,2 - கிராம்பு, ஏலக்காய், 2 டீஸ்பூன் - இஞ்சி பூண்டு விழுது, 2 - பச்சை மிளகாய், 1 - வசந்த கறிவேப்பிலை, 1 - வெங்காயம், 1 - தக்காளி, 1/4 டீஸ்பூன் - மஞ்சள் தூள், 1/2 டீஸ்பூன் - கரம் மசாலா, 2 டீஸ்பூன் - கொத்தமல்லி தூள், 1-2 டீஸ்பூன் - மிளகாய் தூள், தேவையான தண்ணீர், தேவையான உப்பு, கொத்தமல்லி இலை, 1/4 கப் - தேங்காய், 1/2 டீஸ்பூன் - சீரகம், 1/2 டீஸ்பூன் - வெந்தயம், 1/2 டீஸ்பூன் - மிளகு, தேவையான தண்ணீர்.</t>
  </si>
  <si>
    <t>Heat oil and temper with mustard, whole spices, giner garlic paste, curry leaves, green chilies. then add chopped onions and saute until golden. Add tomato and cook until soft.    Add the cleaned mushrooms and the masalas- garam masala, turmeric, coriander, chili powder and cook for 3 minutes. Then add required water, salt and cook for 15 min.   Into a mixie jar add grated coconut, cumin seeds, fennel seeds,pepper and grind it smooth with the help of some water.   add the coconut paste to the cooked mushrooms and let it boil. Finally add chopped coriander leaves and turn off the heat.  That's it our delicious Mushroom kulambu is ready to be served. Please do try this recipe at home and share it with your friends and family.</t>
  </si>
  <si>
    <t>எண்ணெய் சூடாக்கி, கடுகு, முழு மசாலா, இஞ்சி பூண்டு விழுது, கறிவேப்பிலை, பச்சை மிளகாய் சேர்த்து வதக்கவும். பின்னர் நறுக்கிய வெங்காயத்தைச் சேர்த்து பொன்னிறமாகும் வரை வதக்கவும். தக்காளியைச் சேர்த்து மென்மையாகும் வரை வதக்கவும். சுத்தம் செய்த காளான்கள் மற்றும் மசாலாக்களான கரம் மசாலா, மஞ்சள், கொத்தமல்லி, மிளகாய் தூள் ஆகியவற்றைச் சேர்த்து 3 நிமிடங்கள் சமைக்கவும். பின்னர் தேவையான தண்ணீர், உப்பு சேர்த்து 15 நிமிடங்கள் சமைக்கவும். ஒரு மிக்ஸி ஜாடியில் துருவிய தேங்காய், சீரகம், பெருஞ்சீரகம், மிளகு ஆகியவற்றைச் சேர்த்து சிறிது தண்ணீர் சேர்த்து மென்மையாக அரைக்கவும். தேங்காய் விழுதை சமைத்த காளானுடன் சேர்த்து கொதிக்க விடவும். இறுதியாக நறுக்கிய கொத்தமல்லி இலைகளைச் சேர்த்து அடுப்பை அணைக்கவும். அவ்வளவுதான் எங்கள் சுவையான காளான் குழம்பு பரிமாற தயாராக உள்ளது. இந்த செய்முறையை வீட்டிலேயே முயற்சி செய்து உங்கள் நண்பர்கள் மற்றும் குடும்பத்தினருடன் பகிர்ந்து கொள்ளுங்கள்.</t>
  </si>
  <si>
    <t>https://blogger.googleusercontent.com/img/b/R29vZ2xl/AVvXsEhPe0h7uaPyadUiZYnxVukzdNNzylu8jo_Ugy7yMv_b5CsoIRgklyC2o4qLMX8tILaeG_k3QMONCeNaagXerQxXQJCBJ15iNqlKIMtR3BPFD6SrPToDB2osizSD0ZNCWg7evKJ5fy_OJ8Xz/s640/sel.JPG</t>
  </si>
  <si>
    <t>Cauliflower Chilli</t>
  </si>
  <si>
    <t>காலிஃபிளவர் மிளகாய்</t>
  </si>
  <si>
    <t>1/4 kg - Cauliflower, 4 tbsp - Rava or Maida, 4 tbsp - Corn flour, 1 tbsp - rice flour, 1 tsp - chili powder, 1 tsp - garam masala, required Salt, 1/8 tsp - Pepper, required Water, 2-3 tbsp - Oil, 1/4 tsp - mustard, 1 tbsp - Ginger garlic paste, 2,2 - green chilies, red chilies, few Curry leaves, 1/8 tsp - turmeric powder, 1 tsp - Garam masala, 1 tsp  - Chili powder, 2 - Onion, required Salt.</t>
  </si>
  <si>
    <t>1/4 கிலோ - காலிஃபிளவர், 4 டேபிள் ஸ்பூன் - ரவா அல்லது மைதா, 4 டேபிள் ஸ்பூன் - சோள மாவு, 1 டேபிள் ஸ்பூன் - அரிசி மாவு, 1 டேபிள் ஸ்பூன் - மிளகாய் தூள், 1 டேபிள் ஸ்பூன் - கரம் மசாலா, தேவையான உப்பு, 1/8 டேபிள் ஸ்பூன் - மிளகு, தேவையான தண்ணீர், 2-3 டேபிள் ஸ்பூன் - எண்ணெய், 1/4 டேபிள் ஸ்பூன் - கடுகு, 1 டேபிள் ஸ்பூன் - இஞ்சி பூண்டு விழுது, 2,2 - பச்சை மிளகாய், சிவப்பு மிளகாய், சில கறிவேப்பிலை, 1/8 டேபிள் ஸ்பூன் - மஞ்சள் தூள், 1 டேபிள் ஸ்பூன் - கரம் மசாலா, 1 டேபிள் ஸ்பூன் - மிளகாய் தூள், 2 - வெங்காயம், தேவையான உப்பு.</t>
  </si>
  <si>
    <t>Soak cauliflower florets in boiling water for 5 minutes and rinse with cold water.   Into a mixing bowl add 1/4 cup maida or 1/4 cup powdered Rava, corn flour, rice flour,chili powder, garam masala,salt , pepper some water and soak for 2 minutes. Then add the cauliflower florets from step 1 and coat well.   Fry the coated florets until crisp and keep it aside.  Into a pan heat oil and add mustard seeds, red chilies, green chilies,curry leaves, ginger garlic paste and then add finely chopped onions, required salt and roast until the onions are golden brown.  Then add the masalas- turmeric powder, garam masala,chili powder and give it a stir. Finally add the fried cauliflower and mix well with the masalas.  That's it our delicious Cauliflower chilli 65 is ready to be served. Please do try this recipe at home and share it with your friends and family.</t>
  </si>
  <si>
    <t>காலிஃபிளவர் பூக்களை கொதிக்கும் நீரில் 5 நிமிடங்கள் ஊறவைத்து குளிர்ந்த நீரில் கழுவவும். ஒரு கலவை பாத்திரத்தில் 1/4 கப் மைதா அல்லது 1/4 கப் பொடித்த ரவா, சோள மாவு, அரிசி மாவு, மிளகாய் தூள், கரம் மசாலா, உப்பு, மிளகு ஆகியவற்றை சிறிது தண்ணீர் சேர்த்து 2 நிமிடங்கள் ஊற வைக்கவும். பின்னர் படி 1 இல் உள்ள காலிஃபிளவர் பூக்களைச் சேர்த்து நன்றாக பூசவும். பூசப்பட்ட பூக்களை மொறுமொறுப்பாக வறுக்கவும், ஒதுக்கி வைக்கவும். ஒரு கடாயில் எண்ணெயை சூடாக்கி, கடுகு, சிவப்பு மிளகாய், பச்சை மிளகாய், கறிவேப்பிலை, இஞ்சி பூண்டு விழுது சேர்த்து, இறுதியாக நறுக்கிய வெங்காயம், தேவையான உப்பு சேர்த்து வெங்காயம் பொன்னிறமாகும் வரை வறுக்கவும். பின்னர் மசாலாக்கள் - மஞ்சள் தூள், கரம் மசாலா, மிளகாய் தூள் சேர்த்து கிளறவும். இறுதியாக வறுத்த காலிஃபிளவரைச் சேர்த்து மசாலாக்களுடன் நன்கு கலக்கவும். அவ்வளவுதான் எங்கள் சுவையான காலிஃபிளவர் மிளகாய் 65 பரிமாற தயாராக உள்ளது. இந்த ரெசிபியை வீட்டிலேயே முயற்சி செய்து உங்கள் நண்பர்கள் மற்றும் குடும்பத்தினருடன் பகிர்ந்து கொள்ளுங்கள்.</t>
  </si>
  <si>
    <t>https://blogger.googleusercontent.com/img/b/R29vZ2xl/AVvXsEhSD6rg6j-4-B-bu_nAzFC8Te6HCHyoox3jiflYXwEEmt7GJY25Vfq0og0HJ5j5FtKe_rLjhXOFvq20InRxGj86yq9OzwUI5cCcociYvHG8V7w59wBJDHnsfBAZLhxYWuiWwM84-xLuEyvf/s640/DSC08784.JPG</t>
  </si>
  <si>
    <t>Coconut Bun</t>
  </si>
  <si>
    <t>தேங்காய் ரொட்டி</t>
  </si>
  <si>
    <t>1/2 cup - Milk (125 ml), 2 tsp - Yeast (7 g), 1 tsp - Sugar, 2 cup - Maida, 3 tbsp - Sugar, pinch of        Salt , 4 tbsp - melted Butter, 1.5 cup - grated Coconut, 1/4 cup - Cherry, 1/2 cup - Tutti frutti, 3 tbsp - Sugar, 3 - Cardamom, 2 tbsp - Milk for brushing.</t>
  </si>
  <si>
    <t>1/2 கப் - பால் (125 மிலி), 2 தேக்கரண்டி - ஈஸ்ட் (7 கிராம்), 1 தேக்கரண்டி - சர்க்கரை, 2 கப் - மைதா, 3 தேக்கரண்டி - சர்க்கரை, சிட்டிகை உப்பு, 4 தேக்கரண்டி - உருகிய வெண்ணெய், 1.5 கப் - துருவிய தேங்காய், 1/4 கப் - செர்ரி, 1/2 கப் - துட்டி ஃப்ருட்டி, 3 தேக்கரண்டி - சர்க்கரை, 3 - ஏலக்காய், 2 தேக்கரண்டி - துலக்குவதற்கு பால்.</t>
  </si>
  <si>
    <t>Into a bowl add warm milk, 1 tsp sugar, yeast and let the yeast bloom.  Into a mixing bowl add maida, 3 tbsp sugar, salt, melted unsalted butter, yeast milk from step 1 and knead for 10 min. Coat with oil and let it rest for 1 hr 30 min.   Into a mixing bowl combine finely chopped onion, grated carrot, chopped green chilies, coriander leaves and mix well.  In a mixing bowl add grated coconut, chopped cherry, tutti frutti, sugar (powder 3 tbsp sugar along with 3 cardamom). Mix well and keep it aside.   Now once the dough is doubled divide it into 2 and roll them little thick. On the top of one sheet stuff coconut filling and cover with other sheet and seal the edges. Let it rest for another 15 min.  Now brush with milk or egg and bake at 350 F /175 C for 25 min.  That's it our delicious Coconut bun is ready to be served. Please do try this recipe at home and share it with your friends and family.</t>
  </si>
  <si>
    <t>ஒரு கிண்ணத்தில் சூடான பால், 1 தேக்கரண்டி சர்க்கரை, ஈஸ்ட் சேர்த்து ஈஸ்ட் பூக்க விடவும். ஒரு மிக்ஸிங் கிண்ணத்தில் மைதா, 3 தேக்கரண்டி சர்க்கரை, உப்பு, உருகிய உப்பு சேர்க்காத வெண்ணெய், படி 1 இல் இருந்து ஈஸ்ட் பால் சேர்த்து 10 நிமிடங்கள் பிசையவும். எண்ணெயை தடவி 1 மணி நேரம் 30 நிமிடங்கள் அப்படியே வைக்கவும். ஒரு மிக்ஸிங் கிண்ணத்தில் இறுதியாக நறுக்கிய வெங்காயம், துருவிய கேரட், நறுக்கிய பச்சை மிளகாய், கொத்தமல்லி இலைகளை சேர்த்து நன்கு கலக்கவும். ஒரு கலவை பாத்திரத்தில் துருவிய தேங்காய், நறுக்கிய செர்ரி, துட்டி ஃப்ருட்டி, சர்க்கரை (3 டேபிள்ஸ்பூன் சர்க்கரை மற்றும் 3 ஏலக்காய் பொடி) சேர்க்கவும். நன்றாக கலந்து தனியாக வைக்கவும். இப்போது மாவு இரட்டிப்பானதும் அதை 2 ஆக பிரித்து சிறிது தடிமனாக உருட்டவும். ஒரு தாளின் மேல் தேங்காய் நிரப்பி, மற்றொரு தாளுடன் மூடி, விளிம்புகளை மூடவும். அதை மேலும் 15 நிமிடங்கள் ஓய்வெடுக்க விடவும். இப்போது பால் அல்லது முட்டையுடன் துலக்கி, 350 F / 175 C இல் 25 நிமிடங்கள் சுடவும். அவ்வளவுதான், எங்கள் சுவையான தேங்காய் ரொட்டி பரிமாற தயாராக உள்ளது. தயவுசெய்து இந்த செய்முறையை வீட்டிலேயே முயற்சி செய்து உங்கள் நண்பர்கள் மற்றும் குடும்பத்தினருடன் பகிர்ந்து கொள்ளுங்கள்.</t>
  </si>
  <si>
    <t>https://blogger.googleusercontent.com/img/b/R29vZ2xl/AVvXsEjR5fJqz4ZJghnNUxov8FqL2lwr-J4pkhDw-Vl-Z2aJkzMD7ARNcasK3e4qbgu7bupVUhV8tjJZzAyEYESpzTIC5Rhc_-b0MH8zNhQWiQoiFdWaMEudfNC086YKxlINpRHiSefjUTyM540/s640/DSC08712.JPG</t>
  </si>
  <si>
    <t>Cashew Macaroon</t>
  </si>
  <si>
    <t>முந்திரி மெக்கரூன்</t>
  </si>
  <si>
    <t>1/2 cup - Egg Whites(3 large egg / 100 g), 1/2 cup - Sugar (100 g), 1 cup - Cashews(125 g).</t>
  </si>
  <si>
    <t>1/2 கப் - முட்டையின் வெள்ளைக்கரு (3 பெரிய முட்டைகள் / 100 கிராம்), 1/2 கப் - சர்க்கரை (100 கிராம்), 1 கப் - முந்திரி (125 கிராம்).</t>
  </si>
  <si>
    <t>Powder sugar in a blender and keep it aside.   Powder Cashews in few pulses and keep it aside.  Separate egg yolks and whites (Eggs should be at room temperate). Transfer the whites to a clean bowl and with an electric beater whisk whites for 2 minutes and then add sugar and beat again until you get stiff peak.(add sugar in three batches ).  Then add the powdered Cashews from step 2 and gently mix. Transfer it to a piping bag and make macroons. Bake at 200 F / 100 C for 1 hr 30 minutes.  Our delicious Thoothukudi macroons are ready to be enjoyed. Happy Cooking!!!</t>
  </si>
  <si>
    <t>ஒரு பிளெண்டரில் சர்க்கரையை பொடி செய்து தனியாக வைக்கவும். முந்திரியை சில பருப்புகளாக பொடி செய்து தனியாக வைக்கவும். முட்டையின் மஞ்சள் கரு மற்றும் வெள்ளைக்கருவை தனித்தனியாக பிரிக்கவும் (முட்டை அறை வெப்பநிலையில் இருக்க வேண்டும்). வெள்ளைக்கருவை ஒரு சுத்தமான கிண்ணத்திற்கு மாற்றி, மின்சார பீட்டரைப் பயன்படுத்தி வெள்ளைக்கருவை 2 நிமிடங்கள் துடைத்து, பின்னர் சர்க்கரையைச் சேர்த்து, கெட்டியாகும் வரை மீண்டும் அடிக்கவும். (மூன்று தொகுதிகளாக சர்க்கரையைச் சேர்க்கவும்). பின்னர் படி 2 இல் இருந்து பொடித்த முந்திரியைச் சேர்த்து மெதுவாக கலக்கவும். அதை ஒரு பைப்பிங் பையில் மாற்றி மேக்ரூன்களை உருவாக்கவும். 200 F / 100 C இல் 1 மணி நேரம் 30 நிமிடங்கள் சுடவும். எங்கள் சுவையான தூத்துக்குடி மேக்ரூன்கள் அனுபவிக்கத் தயாராக உள்ளன. மகிழ்ச்சியான சமையல்!!!</t>
  </si>
  <si>
    <t>https://abicake.com/cdn/shop/files/Thoothukudi-Macroon.png?v=1704123161</t>
  </si>
  <si>
    <t>Healthy nuts ladoo</t>
  </si>
  <si>
    <t>ஆரோக்கியமான கொட்டைகள் லட்டு</t>
  </si>
  <si>
    <t>1/4 cup - Almonds (50 g), 1/4 cup - Cashews (50 g), 2 tbsp - Pistachios (25 g), 1/4 cup - Coconut, 1/2 cup - Oats (50 g), 5-6 - Dates, 1/2 cup - Honey, 1 tbsp - Ghee.</t>
  </si>
  <si>
    <t>1/4 கப் - பாதாம் (50 கிராம்), 1/4 கப் - முந்திரி (50 கிராம்), 2 டேபிள்ஸ்பூன் - பிஸ்தா (25 கிராம்), 1/4 கப் - தேங்காய், 1/2 கப் - ஓட்ஸ் (50 கிராம்), 5-6 - பேரீச்சம்பழம், 1/2 கப் - தேன், 1 டேபிள்ஸ்பூன் - நெய்.</t>
  </si>
  <si>
    <t>Roast the nuts -Almonds, cashews and Pista on medium heat and transfer it to a blender.    Then roast the grated coconut until dry and the add instant oats and roast for few more minutes. Transfer it to the blender along with nuts and give it a few pulses.   Heat Honey and ghee in a pan and add the nuts powder from step 2 and alos add in some chopped dates or raisins mix well.Turn off the heat and then shape it once cooled  Our delicious Ladoo is ready to be served . Happy Cooking!!!</t>
  </si>
  <si>
    <t>கொட்டைகள் - பாதாம், முந்திரி மற்றும் பிஸ்தாவை மிதமான தீயில் வறுத்து, ஒரு பிளெண்டருக்கு மாற்றவும். பின்னர் துருவிய தேங்காயை உலரும் வரை வறுத்து, உடனடி ஓட்ஸைச் சேர்த்து, இன்னும் சில நிமிடங்கள் வறுக்கவும். அதை பிளெண்டருக்கு மாற்றி, கொட்டைகளுடன் சிறிது பருப்புகளை கொடுக்கவும். ஒரு பாத்திரத்தில் தேன் மற்றும் நெய்யை சூடாக்கி, படி 2 இல் உள்ள கொட்டைகளின் பொடியைச் சேர்த்து, சிறிது நறுக்கிய பேரீச்சம்பழம் அல்லது திராட்சையைச் சேர்த்து நன்கு கலக்கவும். தீயை அணைத்து, குளிர்ந்ததும் அதை வடிவமைக்கவும் எங்கள் சுவையான லட்டு பரிமாற தயாராக உள்ளது. மகிழ்ச்சியான சமையல்!!!</t>
  </si>
  <si>
    <t>https://encrypted-tbn0.gstatic.com/images?q=tbn:ANd9GcSYyHIsPjvvK9As2XNF8CI0cBA_esUQ9jgdhg&amp;s</t>
  </si>
  <si>
    <t>Beaten Coffee</t>
  </si>
  <si>
    <t>அடிக்கப்பட்ட காபி</t>
  </si>
  <si>
    <t>2 tbsp - instant coffee powder, 2 tbsp - Sugar, 1 tbsp - Water, 2 cup - Milk.</t>
  </si>
  <si>
    <t>2 தேக்கரண்டி - உடனடி காபி தூள், 2 தேக்கரண்டி - சர்க்கரை, 1 தேக்கரண்டி - தண்ணீர், 2 கப் - பால்.</t>
  </si>
  <si>
    <t>In a cup add coffee powder, sugar, water and beat with a spoon for 10 minutes until stiff and frothy. You can also use electric beater to speed up the process.  Take half of the beaten coffee and transfer it to a cup, add hot water on the top and mix well. Add more froth on the top or you can decorate as you wish.  Our delicious homemade cappuccino is ready to be enjoyed. Happy Cooking!!!</t>
  </si>
  <si>
    <t>ஒரு கோப்பையில் காபி தூள், சர்க்கரை, தண்ணீர் சேர்த்து, ஒரு கரண்டியால் 10 நிமிடங்கள் கெட்டியாகவும் நுரையாகவும் வரும் வரை அடிக்கவும். செயல்முறையை விரைவுபடுத்த மின்சார பீட்டரையும் பயன்படுத்தலாம். அடிக்கப்பட்ட காபியில் பாதியை எடுத்து ஒரு கோப்பையில் மாற்றி, மேலே சூடான நீரைச் சேர்த்து நன்கு கலக்கவும். மேலே அதிக நுரையைச் சேர்க்கவும் அல்லது நீங்கள் விரும்பியபடி அலங்கரிக்கலாம். எங்கள் சுவையான வீட்டில் தயாரிக்கப்பட்ட கேப்புசினோ ருசிக்கத் தயாராக உள்ளது. மகிழ்ச்சியான சமையல்!!!</t>
  </si>
  <si>
    <t>https://dinedelicious.in/wp-content/uploads/2021/02/Phiti-Hui-Coffee-5.jpg</t>
  </si>
  <si>
    <t>Rose Jamun</t>
  </si>
  <si>
    <t>ரோஸ் ஜாமூன்</t>
  </si>
  <si>
    <t>4 cups - Full fat milk (1 Liter), 2  - lemon (juice), 4 drops - Pink food color, 1 cup - Sugar, 1.5 cup - Water, 1-2 tsp - Rose essence, few Rose petals (optional).</t>
  </si>
  <si>
    <t>4 கப் - முழு கொழுப்புள்ள பால் (1 லிட்டர்), 2 - எலுமிச்சை (சாறு), 4 சொட்டுகள் - இளஞ்சிவப்பு உணவு நிறம், 1 கப் - சர்க்கரை, 1 1/2 கப் - தண்ணீர், 1-2 தேக்கரண்டி - ரோஸ் எசன்ஸ், சில ரோஜா இதழ்கள் (விரும்பினால்).</t>
  </si>
  <si>
    <t>The base for Rasgulla is paneer, To make paneer boil the milk. Once the milk starts to boil switch off the heat and add the lemon juice to curdle the milk you can also vinegar   Now the milk is fully curdled, stain it through a cheese cloth , Rinse it with cold water to remove the lemon flavor and squeeze water thoroughly or you can also hang the paneer for 30 min.  Transfer the paneer to a plate and knead the paneer for minimum 10 minutes to get good soft smooth texture.Then add pink food color and knead for 2 more min. If you dont knead the paneer then the rasgulla balls will breakdown while cooking ,so to prevent the balls from breaking and dissolving into syrup knead the paneer well until it starts holding shapes.  Before we start making balls heat water in a big wide pot and add sugar to it. Keep it on medium - high and let the syrup boil.   Now make small cylindrical balls without any cracks and add it to boiling water and cook for 5 min on high heat. Then turn the heat to medium and cook for another 5 minutes, balls will absorb the sugar syrup and will double the size. Finally add rose essence and few rose petals and cook for another 2 minutes.The rasgulla will be soft and very fluffy .Switch of the heat and allow it to cool.   Let the rasgulla soak the syrup overnight or minimum of 6 hours.  Our delicious fibrous and soft Rose Jamun is ready, allow it to absorb all the taste and flavor from the syrup and serve cold:) Happy Cooking!!!</t>
  </si>
  <si>
    <t>ரஸ்குல்லாவின் அடிப்படை பனீர், பனீர் தயாரிக்க பாலை கொதிக்க வைக்கவும். பால் கொதிக்க ஆரம்பித்ததும், அடுப்பை அணைத்துவிட்டு, எலுமிச்சை சாற்றைச் சேர்த்து பால் தயிர் செய்யவும். வினிகரும் செய்யலாம். இப்போது பால் முழுவதுமாக தயிர் ஆகி, சீஸ் துணியில் கறை படிய விடவும். எலுமிச்சை சுவையை நீக்க குளிர்ந்த நீரில் கழுவி, தண்ணீரை நன்கு பிழியவும் அல்லது பனீரை 30 நிமிடங்கள் தொங்கவிடலாம். பனீரை ஒரு தட்டில் மாற்றி, நல்ல மென்மையான அமைப்பைப் பெற குறைந்தபட்சம் 10 நிமிடங்கள் பனீரை பிசையவும். பின்னர் பிங்க் உணவு நிறத்தைச் சேர்த்து மேலும் 2 நிமிடங்கள் பிசையவும். நீங்கள் பனீரை பிசையவில்லை என்றால், ரஸ்குல்லா பந்துகள் சமைக்கும் போது உடைந்துவிடும், எனவே பந்துகள் உடைந்து சிரப்பில் கரைவதைத் தடுக்க பனீர் வடிவங்களைப் பிடிக்கும் வரை நன்கு பிசையவும். நாம் உருண்டைகள் செய்யத் தொடங்குவதற்கு முன், ஒரு பெரிய அகலமான பாத்திரத்தில் தண்ணீரை சூடாக்கி, அதில் சர்க்கரையைச் சேர்க்கவும். அதை நடுத்தர உயரத்தில் வைத்து, சிரப்பை கொதிக்க விடவும். இப்போது சிறிய உருளை உருண்டைகளை உருவாக்கி, எந்த விரிசல்களும் இல்லாமல் கொதிக்கும் நீரில் சேர்த்து, அதிக வெப்பத்தில் 5 நிமிடங்கள் சமைக்கவும். பின்னர் தீயை நடுத்தரமாக மாற்றி, மேலும் 5 நிமிடங்கள் சமைக்கவும், பந்துகள் சர்க்கரை பாகை உறிஞ்சி, அளவை இரட்டிப்பாக்கும். இறுதியாக ரோஸ் எசென்ஸ் மற்றும் சில ரோஜா இதழ்களைச் சேர்த்து, மேலும் 2 நிமிடங்கள் சமைக்கவும். ரஸ்குல்லா மென்மையாகவும், மிகவும் பஞ்சுபோன்றதாகவும் இருக்கும். தீயை அணைத்து குளிர்விக்க அனுமதிக்கவும். ரஸ்குல்லாவை சிரப்பை இரவு முழுவதும் அல்லது குறைந்தபட்சம் 6 மணி நேரம் ஊற விடவும். எங்கள் சுவையான நார்ச்சத்து மற்றும் மென்மையான ரோஸ் ஜாமூன் தயாராக உள்ளது, சிரப்பில் உள்ள அனைத்து சுவை மற்றும் சுவையையும் உறிஞ்சி குளிர்ச்சியாக பரிமாறவும் :) மகிழ்ச்சியான சமையல்!!!</t>
  </si>
  <si>
    <t>https://i.ytimg.com/vi/pjBe3nqLvoU/maxresdefault.jpg</t>
  </si>
  <si>
    <t>Jam Biscuit</t>
  </si>
  <si>
    <t>ஜாம் பிஸ்கட்</t>
  </si>
  <si>
    <t>300 g - Strawberry, 1 tbsp - lemon juice, 1/4 cup - Sugar, 1 - small Pineapple, 1 tbsp - lemon juice, 1/4 cup - Sugar, 1.5 cup - Oats (150 g), 1 cup - Wheat flour(140 g), 1/2 cup -  melted Butter (100 g), 1/2 cup - Honey(125 ml), 1 tsp - Baking powder.</t>
  </si>
  <si>
    <t>300 கிராம் - ஸ்ட்ராபெர்ரி, 1 டீஸ்பூன் - எலுமிச்சை சாறு, 1/4 கப் - சர்க்கரை, 1 - சிறிய அன்னாசி, 1 டீஸ்பூன் - எலுமிச்சை சாறுc, 1/4 கப் - சர்க்கரை, 1.5 கப் - ஓட்ஸ் (150 கிராம்), 1 கப் - கோதுமை மாவு (140 கிராம்), 1/2 கப் - உருக்கிய வெண்ணெய் (100 கிராம்), 1/2 கப் - தேன் (125 மிலி), 1 டீஸ்பூன் - பேக்கிங் பவுடர்.</t>
  </si>
  <si>
    <t>Cut strawberries into small chunks, tranfer it to a pan add lemon juice, sugar and cook for medium heat until it thickens.  Cut Pineapple  into small pieces, transfer it to a blender and grind it smooth,Transfer it to a pan add lemon juice, sugar and cook on medium heat until thickens.    Into a blender add rolled oats and grind it to a fine powder. Transfer it to a mixing bowl and add wheat flour, baking powder, melted butter, honey and mix well.  Roll the dough into sheet and cut into rectangles, place some jam inside and seal it. Bake at 350 F for 15 minutes. Similarly we can make biscuits with the same dough.  That's it our delicious jam biscuits are ready to be served. Please do try this recipe at home and share it with your friends and family.</t>
  </si>
  <si>
    <t>ஸ்ட்ராபெர்ரிகளை சிறிய துண்டுகளாக வெட்டி, ஒரு பாத்திரத்தில் எலுமிச்சை சாறு, சர்க்கரை சேர்த்து, அது கெட்டியாகும் வரை மிதமான தீயில் சமைக்கவும். அன்னாசிப்பழத்தை சிறிய துண்டுகளாக நறுக்கி, ஒரு பிளெண்டரில் மாற்றி, மென்மையாக அரைக்கவும். ஒரு பாத்திரத்தில் எலுமிச்சை சாறு, சர்க்கரை சேர்த்து, நடுத்தர வெப்பத்தில் கெட்டியாகும் வரை சமைக்கவும். ஒரு பிளெண்டரில் உருட்டப்பட்ட ஓட்ஸைச் சேர்த்து நன்றாகப் பொடியாக அரைக்கவும். அதை ஒரு கலவை கிண்ணத்திற்கு மாற்றி, கோதுமை மாவு, பேக்கிங் பவுடர், உருக்கிய வெண்ணெய், தேன் சேர்த்து நன்கு கலக்கவும். மாவை ஒரு தாளில் உருட்டி, செவ்வகங்களாக வெட்டி, உள்ளே சிறிது ஜாமை வைத்து சீல் வைக்கவும். 350 F இல் 15 நிமிடங்கள் சுடவும். அதேபோல், அதே மாவை வைத்து பிஸ்கட் செய்யலாம். அவ்வளவுதான், எங்கள் சுவையான ஜாம் பிஸ்கட் பரிமாற தயாராக உள்ளது. தயவுசெய்து இந்த ரெசிபியை வீட்டிலேயே முயற்சி செய்து உங்கள் நண்பர்கள் மற்றும் குடும்பத்தினருடன் பகிர்ந்து கொள்ளுங்கள்.</t>
  </si>
  <si>
    <t>https://www.thecookingcollective.com.au/wp-content/uploads/2024/09/raspberry-jam-drop-biscuits-1-of-1.jpg</t>
  </si>
  <si>
    <t>Bread Uthappam</t>
  </si>
  <si>
    <t>ரொட்டி ஊத்தப்பம்</t>
  </si>
  <si>
    <t>5-6 pc - Bread, 2 tbsp - Rava, 2 tbsp - rice flour, 1/4 cup - Curd, 1 cup - Water (or as required), required Salt , 2  - Onion, Carrot,green chili, coriander leaves, 1 tsp - Ghee or Oil.</t>
  </si>
  <si>
    <t>5-6 பிசிக்கள் - ரொட்டி, 2 டீஸ்பூன் - ரவா, 2 டீஸ்பூன் - அரிசி மாவு, 1/4 கப் - தயிர், 1 கப் - தண்ணீர் (அல்லது தேவைக்கேற்ப), தேவையான உப்பு, 2 - வெங்காயம், கேரட், பச்சை மிளகாய், கொத்தமல்லி இலைகள், 1 டீஸ்பூன் - நெய் அல்லது எண்ணெய்.</t>
  </si>
  <si>
    <t>Into a mixing bowl add rava, rice flour, curd, water and soak for 5 minutes.   Cut the bread into pieces and powder with a help of a blender. Add the rava mix from step 1 and blend it together, add water if required. (Batter should be semi thick), also add in a pinch of salt.   Into a mixing bowl combine finely chopped onion, grated carrot, chopped green chilies, coriander leaves and mix well.   Heat a dosa pan and pour a ladle of batter and then top it with onion, carrot mix from step 3 and finally drizzle dome ghee or oil and cook on low heat for few minutes. Then flip it to the other side and cook for 2 more minutes and take it off from the pan.  That's it our delicious Bread uthappam is ready to be served. Please do try this recipe at home and share it with your friends and family.</t>
  </si>
  <si>
    <t>ஒரு கலவை பாத்திரத்தில் ரவை, அரிசி மாவு, தயிர், தண்ணீர் சேர்த்து 5 நிமிடங்கள் ஊற வைக்கவும். ஒரு பிளெண்டரின் உதவியுடன் ரொட்டியை துண்டுகளாக நறுக்கி பொடி செய்யவும். படி 1 இல் உள்ள ரவை கலவையைச் சேர்த்து ஒன்றாக கலக்கவும், தேவைப்பட்டால் தண்ணீர் சேர்க்கவும். (மாவு அரை கெட்டியாக இருக்க வேண்டும்), ஒரு சிட்டிகை உப்பு சேர்க்கவும். ஒரு கலவை பாத்திரத்தில் இறுதியாக நறுக்கிய வெங்காயம், துருவிய கேரட், நறுக்கிய பச்சை மிளகாய், கொத்தமல்லி இலை ஆகியவற்றைச் சேர்த்து நன்கு கலக்கவும். ஒரு தோசை பாத்திரத்தை சூடாக்கி, ஒரு கரண்டி மாவை ஊற்றி, அதன் மேல் படி 3 இல் உள்ள வெங்காயம், கேரட் கலவையை ஊற்றி, இறுதியாக டோம் நெய் அல்லது எண்ணெயைத் தூவி, குறைந்த வெப்பத்தில் சில நிமிடங்கள் சமைக்கவும். பின்னர் அதை மறுபுறம் திருப்பி, மேலும் 2 நிமிடங்கள் சமைத்து, வாணலியில் இருந்து எடுக்கவும். அவ்வளவுதான், எங்கள் சுவையான ரொட்டி உத்தப்பம் பரிமாற தயாராக உள்ளது. தயவுசெய்து இந்த செய்முறையை வீட்டிலேயே முயற்சி செய்து உங்கள் நண்பர்கள் மற்றும் குடும்பத்தினருடன் பகிர்ந்து கொள்ளுங்கள்.</t>
  </si>
  <si>
    <t>https://blogger.googleusercontent.com/img/b/R29vZ2xl/AVvXsEhCU_iGqykdK67W6fsYZ4NrxWv1q9P_a6ZzNgdkDg8EI1laX_vDGA9Cygez0F8xrmGUHtN7vNPo3aEja5L83cN0dPdQBAShMsuRn1ZWS2O9UdtyqVk85LKZwMx24yH9leYKWhICCuEGTOtt/s640/DSC08470.JPG</t>
  </si>
  <si>
    <t>Rava Pudding</t>
  </si>
  <si>
    <t>ரவா புட்டிங்</t>
  </si>
  <si>
    <t>1/2 cup - Sugar, 1/4 cup - Water, 2 cup - Milk, 1/2 cup - Sugar, 2 tbsp - Butter, 1/4 cup - Rava, 2  - Eggs, 1 tsp - Vanilla extract.</t>
  </si>
  <si>
    <t>1/2 கப் - சர்க்கரை, 1/4 கப் - தண்ணீர், 2 கப் - பால், 1/2 கப் - சர்க்கரை, 2 டேபிள் ஸ்பூன் - வெண்ணெய், 1/4 கப் - ரவா, 2 - முட்டை, 1 டீஸ்பூன் - வெண்ணிலா சாறு.</t>
  </si>
  <si>
    <t>Into a sauce pan add sugar, water and heat for some time. Once you get nice golden color turn off the heat. Transfer the caramel to pan and spread it all over the pan.   Boil milk in a pan and then add sugar, butter and mix well. Then add Rava and cook for 3 minutes.Turn off the heat and keep it aside.  Into a mixing bowl eggs, vanilla extract and beat well. Gradually add the pudding mix from step 2 and  combine well.Pour it over the caramel and cover it.   Add water to a Idli cooker or a pan and place a stand to elevate the pan. Keep the pudding pan inside and make sure the base of the pan touches the water. Steam for 30 - 35  minutes on medium low heat.    After 35 minutes check the pudding by inserting a knife, if it comes out clean then the Rava pudding is nice and ready. Cut it into pieces and is ready to be served.  That's it our delicious Rava pudding is ready to be served. Please do try this recipe at home and share it with your friends and family.</t>
  </si>
  <si>
    <t>ஒரு சாஸ் பாத்திரத்தில் சர்க்கரை, தண்ணீர் சேர்த்து சிறிது நேரம் சூடாக்கவும். நல்ல தங்க நிறம் வந்ததும், தீயை அணைக்கவும். கேரமலை பாத்திரத்தில் மாற்றி, பாத்திரம் முழுவதும் பரப்பவும். ஒரு பாத்திரத்தில் பால் கொதிக்க வைத்து, சர்க்கரை, வெண்ணெய் சேர்த்து நன்கு கலக்கவும். பின்னர் ரவாவை சேர்த்து 3 நிமிடங்கள் சமைக்கவும். தீயை அணைத்து ஒதுக்கி வைக்கவும். ஒரு கலவை பாத்திரத்தில் முட்டை, வெண்ணிலா சாறு சேர்த்து நன்றாக அடிக்கவும். படி 2 இல் இருந்து புட்டிங் கலவையை படிப்படியாக சேர்த்து நன்கு கலக்கவும். கேரமல் மீது ஊற்றி மூடி வைக்கவும். ஒரு இட்லி குக்கர் அல்லது ஒரு பாத்திரத்தில் தண்ணீரைச் சேர்த்து, பாத்திரத்தை உயர்த்த ஒரு ஸ்டாண்ட் வைக்கவும். புட்டிங் பாத்திரத்தை உள்ளே வைத்து, பாத்திரத்தின் அடிப்பகுதி தண்ணீரைத் தொடும் வகையில் வேகவைக்கவும். மிதமான குறைந்த தீயில் 30 - 35 நிமிடங்கள் வேகவைக்கவும். 35 நிமிடங்களுக்குப் பிறகு கத்தியைச் செருகி புட்டிங்கைச் சரிபார்க்கவும், அது சுத்தமாக வெளியே வந்தால் ரவா புட்டிங் நன்றாகவும் தயாராகவும் இருக்கும். அதை துண்டுகளாக வெட்டி பரிமாறத் தயாராக உள்ளது. அவ்வளவுதான் எங்கள் சுவையான ரவா புட்டிங் பரிமாறத் தயாராக உள்ளது. தயவுசெய்து இந்த ரெசிபியை வீட்டிலேயே முயற்சி செய்து உங்கள் நண்பர்கள் மற்றும் குடும்பத்தினருடன் பகிர்ந்து கொள்ளுங்கள்.</t>
  </si>
  <si>
    <t>https://blogger.googleusercontent.com/img/b/R29vZ2xl/AVvXsEhX75_nH2xTwD_z-ohR3jrK2ySeuB5UMNf4LOWvfZsB3MpLGxgQ02DMUqieuGCMXmnRRZSyL9gR1YpQEBGcaVtBWvFxWje4X_8cZsaQLHZuMy5OOA2BcEEbHX2m5iH0EMoIrYn76xfJbgrd/s640/DSC08391.JPG</t>
  </si>
  <si>
    <t>Vendhaya Kulambu</t>
  </si>
  <si>
    <t>வெந்தய குழம்பு</t>
  </si>
  <si>
    <t>1 tbsp - Coriander seeds, 1/2 tsp - pepper corns, 1/2 tsp - Cumin seeds, 1/2 tsp - Rice, 1/2 tsp - Fenugreek seeds, 2-4 - dried red chilies, 3 tbsp - Oil, 1/4 tsp - mustard seeds, 1/2 tsp - skinless black gram, 10-12 - fenugreek, 1 - dried red chili, 1 - spring Curry leaves, 10  - Garlic pods, 1 cup - Small onion(100g ), 1  - Tomatoc, 1/4 tsp - Turmeric powder, pinch of Asafoetida, 1  - lemon sized Tamarind, 2 cup - Water, required Salt.</t>
  </si>
  <si>
    <t>1 டீஸ்பூன் - கொத்தமல்லி விதைகள், 1/2 டீஸ்பூன் - மிளகு சோளம், 1/2 டீஸ்பூன் - சீரகம், 1/2 டீஸ்பூன் - அரிசி, 1/2 டீஸ்பூன் - வெந்தயம், 2-4 - உலர்ந்த சிவப்பு மிளகாய், 3 டீஸ்பூன் - எண்ணெய், 1/4 டீஸ்பூன் - கடுகு, 1/2 டீஸ்பூன் - தோல் நீக்கிய உளுந்து, 10-12 - வெந்தயம், 1 - உலர்ந்த சிவப்பு மிளகாய், 1 - வசந்த கறிவேப்பிலை, 10 - பூண்டு காய்கள், 1 கப் - சின்ன வெங்காயம் (100 கிராம்), 1 - தக்காளி, 1/4 டீஸ்பூன் - மஞ்சள் தூள், சிட்டிகை பெருங்காயம், 1 - எலுமிச்சை அளவு புளி, 2 கப் - தண்ணீர், தேவையான உப்பு.</t>
  </si>
  <si>
    <t>Dry roast coriander , cumin, pepper, rice, fenugreek, red chili until aromatic. Transfer it to a blender and grind it to a fine powder.   Heat oil in  apn and temper with mustard, skinless black gram, dry red chili, fenugreek, curry leaves and garlic. Cook for a minute and add in chopped small onions and cook until soft. Then add tomato and cook until the tomato is mushy.   Now add turmeric powder, asafoetida, freshly ground masala from step 1 and mix well. Then add tamarind extract, water , required salt and let the gravy reduce and thicken.   Once oil separates and gravy thickens add some curry leaves and turn off the heat.  Our delicious and aromatic Vendaya kulambu is all ready to be enjoyed.</t>
  </si>
  <si>
    <t>கொத்தமல்லி, சீரகம், மிளகு, அரிசி, வெந்தயம், சிவப்பு மிளகாய் ஆகியவற்றை நறுமணம் வரும் வரை வறுக்கவும். அதை ஒரு பிளெண்டரில் மாற்றி நன்றாக பொடியாக அரைக்கவும். காரட்டில் எண்ணெயை சூடாக்கி, கடுகு, தோல் நீக்கிய உளுந்து, உலர்ந்த சிவப்பு மிளகாய், வெந்தயம், கறிவேப்பிலை மற்றும் பூண்டு சேர்த்து வதக்கவும். ஒரு நிமிடம் வதக்கி, நறுக்கிய சின்ன வெங்காயம் சேர்த்து மென்மையாகும் வரை வதக்கவும். பின்னர் தக்காளி சேர்த்து தக்காளி மென்மையாகும் வரை வதக்கவும். இப்போது மஞ்சள் தூள், பெருங்காயம், படி 1 இல் இருந்து புதிதாக அரைத்த மசாலா சேர்த்து நன்கு கலக்கவும். பின்னர் புளி சாறு, தண்ணீர், தேவையான உப்பு சேர்த்து குழம்பு குறைத்து கெட்டியாக விடவும். எண்ணெய் பிரிந்து குழம்பு கெட்டியானதும், சிறிது கறிவேப்பிலை சேர்த்து அடுப்பை அணைக்கவும். எங்கள் சுவையான மற்றும் மணம் கொண்ட வெண்டைக்காய் குழம்பு சாப்பிட தயாராக உள்ளது.</t>
  </si>
  <si>
    <t>https://blogger.googleusercontent.com/img/b/R29vZ2xl/AVvXsEhQ6IEXnAZ9-GeFQDDkFy2_q6qLD4Ayj2iE3dimO9x69VE2IDPWLBFJikrdKbPgjAudNlvegwh2j8tLQVT-u5fIaXS4LxKKyhWxwjEMcVF_YZYVKRqJTVh2pvVuosqKuQte_hfMzpkdH18/s640/DSC08360.JPG</t>
  </si>
  <si>
    <t>Potato rice</t>
  </si>
  <si>
    <t>உருளைக்கிழங்கு அரிசி</t>
  </si>
  <si>
    <t>3 tbsp - Oil, 1/4 tsp - mustard seeds, 1/2 tsp - Cumin seeds, 1/2 tsp - fennel seeds, 1,1,2,2 - Bay leaf, cinnamon stick, Cardamom, cloves, 2  - Garlic, 1 inch - Ginger, 2 - dried red chilies, 1 - spring Curry leaves, 1 - Onion, 3 - potatoes, 1/8 tsp - Turmeric, 1 tsp - Garam masala, 1 tsp - Chili powder, 2 cup - Cooked rice, required  - Salt, Coriander leaves.</t>
  </si>
  <si>
    <t>3 தேக்கரண்டி - எண்ணெய், 1/4 தேக்கரண்டி - கடுகு, 1/2 தேக்கரண்டி - சீரகம், 1/2 தேக்கரண்டி - பெருஞ்சீரகம், 1,1,2,2 - பிரியாணி இலை, இலவங்கப்பட்டை, ஏலக்காய், கிராம்பு, 2 - பூண்டு, 1 அங்குலம் - இஞ்சி, 2 - உலர்ந்த சிவப்பு மிளகாய், 1 - வசந்த கறிவேப்பிலை, 1 - வெங்காயம், 3 - உருளைக்கிழங்கு, 1/8 தேக்கரண்டி - மஞ்சள், 1 தேக்கரண்டி - கரம் மசாலா, 1 தேக்கரண்டி - மிளகாய் தூள், 2 கப் - சமைத்த அரிசி, தேவையான - உப்பு, கொத்தமல்லி இலைகள்.</t>
  </si>
  <si>
    <t>Heat oil in a pan and temper with mustard seeds, cumin seeds, fennel,cinnamon,cardamom, bay leaf, cloves, ginger garlic paste, dried red chilies,curry leaves and mix well.    Then add in chopped onion and cook for a minute. Add chopped potatoes, required salt amd cook until the potatoes are fully cooked.   Then add the masalas - turmeric, chili powder, garam masala powder and mix well and cook for a couple of minutes. Then add cooked rice, coriander leaves and mix well.  Our delicious Potato rice is ready to be served. Happy Cooking!!!</t>
  </si>
  <si>
    <t>ஒரு கடாயில் எண்ணெயை சூடாக்கி, கடுகு, சீரகம், பெருஞ்சீரகம், இலவங்கப்பட்டை, ஏலக்காய், பிரியாணி இலை, கிராம்பு, இஞ்சி பூண்டு விழுது, உலர்ந்த சிவப்பு மிளகாய், கறிவேப்பிலை சேர்த்து நன்கு கலக்கவும். பின்னர் நறுக்கிய வெங்காயத்தைச் சேர்த்து ஒரு நிமிடம் சமைக்கவும். நறுக்கிய உருளைக்கிழங்கு, தேவையான உப்பு சேர்த்து உருளைக்கிழங்கு முழுமையாக வேகும் வரை சமைக்கவும். பின்னர் மசாலாக்களைச் சேர்த்து - மஞ்சள் தூள், மிளகாய் தூள், கரம் மசாலா தூள் சேர்த்து நன்கு கலந்து இரண்டு நிமிடங்கள் சமைக்கவும். பின்னர் சமைத்த சாதம், கொத்தமல்லி இலைகளைச் சேர்த்து நன்கு கலக்கவும். எங்கள் சுவையான உருளைக்கிழங்கு சாதம் பரிமாற தயாராக உள்ளது. மகிழ்ச்சியான சமையல்!!!</t>
  </si>
  <si>
    <t>https://blogger.googleusercontent.com/img/b/R29vZ2xl/AVvXsEjCG9RrD65EplvrTfCji-A7xpktWMmr9Ey3LtcisTTa4MjwfeBySIjrBWbTq4PLqttS1XB0KqqG0VgZPjczHN9HmoYpKGAMyDwHVvmwT0XnXZ17GotlBMNp1hXmM-7cCh2fkMmAEOLxfssW/s640/DSC08372.JPG</t>
  </si>
  <si>
    <t>Homemade Wheat Noodles</t>
  </si>
  <si>
    <t>வீட்டில் தயாரிக்கப்பட்ட கோதுமை நூடுல்ஸ்</t>
  </si>
  <si>
    <t>1 cup - Wheat flour(130 g), 1/2 tsp - Salt, 2 tbsp - Oil, 1-5 tbsp - Water or as required, 2 tbsp - Oil, 1- clovesGarlic, 1  - Onion, 2 - Carrot, 1  - Capsicum, 1 cup - Cabbage, 1 tsp - Garam masala, 1 tsp - Chili powder, 1/8 tsp - Pepper powder, 1 tsp - Lemon juice, required Salt.</t>
  </si>
  <si>
    <t>1 கப் - கோதுமை மாவு (130 கிராம்), 1/2 தேக்கரண்டி - உப்பு, 2 தேக்கரண்டி - எண்ணெய், 1-5 தேக்கரண்டி - தண்ணீர் அல்லது தேவைக்கேற்ப, 2 தேக்கரண்டி - எண்ணெய், 1- கிராம்பு பூண்டு, 1 - வெங்காயம், 2 - கேரட், 1 - கேப்சிகம், 1 கப் - முட்டைக்கோஸ், 1 தேக்கரண்டி - கரம் மசாலா, 1 தேக்கரண்டி - மிளகாய் தூள், 1/8 தேக்கரண்டி - மிளகு தூள், 1 தேக்கரண்டி - எலுமிச்சை சாறு, தேவையான உப்பு.</t>
  </si>
  <si>
    <t>Into a mixing bowl add wheat flour, salt, oil and mix it well, then gradually add water and knead it into a tight stiff dough. Cover and let it rest for 1 hr.  Dust the work area with flour and stuff the murukku maker with the dough and press it. It will be a little hard to press but dont give up, press it hard and sprinkle flour to the pressed noodles to prevent sticking.  Boil water in a sauce pan and add some salt. Add the noodles and cook on high for 5 minutes. Drain and keep it aside.   Heat oil in a pan and add chopped garlic, give it a stir and add sliced onion, then the veggies - carrot, capsicum and cabbage.Cook for a minute.   Now to this add garam masala, chili powder, salt pepper and mix well. Finally add the cooked noodles from step 3 and turn off the heat. Now add some lemon juice and mix well.  Our delicious homemade wheat noodles / Godumai noodles is all ready to be enjoyed.</t>
  </si>
  <si>
    <t>ஒரு கலவை பாத்திரத்தில் கோதுமை மாவு, உப்பு, எண்ணெய் சேர்த்து நன்கு கலக்கவும், பின்னர் படிப்படியாக தண்ணீர் சேர்த்து இறுக்கமான கெட்டியான மாவாக பிசையவும். மூடி 1 மணி நேரம் வைக்கவும். வேலை செய்யும் இடத்தை மாவால் தூவி, முருக்கு தயாரிப்பாளரில் மாவை நிரப்பி அழுத்தவும். அழுத்துவது கொஞ்சம் கடினமாக இருக்கும், ஆனால் விட்டுவிடாதீர்கள், அதை கடினமாக அழுத்தி, அழுத்திய நூடுல்ஸில் ஒட்டாமல் இருக்க மாவைத் தெளிக்கவும். ஒரு சாஸ் பாத்திரத்தில் தண்ணீரை கொதிக்க வைத்து சிறிது உப்பு சேர்க்கவும். நூடுல்ஸைச் சேர்த்து 5 நிமிடங்கள் அதிக வெப்பத்தில் சமைக்கவும். அதை வடிகட்டி தனியாக வைக்கவும். ஒரு கடாயில் எண்ணெயை சூடாக்கி, நறுக்கிய பூண்டைச் சேர்த்து, கிளறி, நறுக்கிய வெங்காயம், பின்னர் காய்கறிகள் - கேரட், கேப்சிகம் மற்றும் முட்டைக்கோஸ் ஆகியவற்றைச் சேர்க்கவும். ஒரு நிமிடம் சமைக்கவும். இப்போது இதில் கரம் மசாலா, மிளகாய் தூள், உப்பு மிளகு ஆகியவற்றைச் சேர்த்து நன்கு கலக்கவும். இறுதியாக படி 3 இல் இருந்து சமைத்த நூடுல்ஸைச் சேர்த்து, அடுப்பை அணைக்கவும். இப்போது சிறிது எலுமிச்சை சாறு சேர்த்து நன்கு கலக்கவும். எங்கள் சுவையான வீட்டில் தயாரிக்கப்பட்ட கோதுமை நூடுல்ஸ் / கோடுமை நூடுல்ஸ் அனைத்தும் சுவைக்க தயாராக உள்ளது.</t>
  </si>
  <si>
    <t>https://blogger.googleusercontent.com/img/b/R29vZ2xl/AVvXsEiwPcOHdvpMbepEJqhN3jqAKDoyGbH0BX79r9AFI74gqkgv95eumUv_B_5Z7J8pKiTQk1SlmA56Bk7Tu02k-7kk6EgHfAyc8p35FzKya6xiZH4yaiy1AfqW1Fbw02lHU84kazzofblgKsU/s640/DSC08368.JPG</t>
  </si>
  <si>
    <t>Wheat flour Halwa</t>
  </si>
  <si>
    <t>கோதுமை மாவு ஹல்வா</t>
  </si>
  <si>
    <t>1/2 cup - Wheat flour, 1/2 cup - Ghee, 1/2 cup - Sugar, 1.5 cup - Water, 10-12 - Cashews, pinch of Salt, pinch of Cardamom powder.</t>
  </si>
  <si>
    <t>1/2 கப் - கோதுமை மாவு, 1/2 கப் - நெய், 1/2 கப் - சர்க்கரை, 1.5 கப் - தண்ணீர், 10-12 - முந்திரி, சிட்டிகை உப்பு, சிட்டிகை ஏலக்காய் தூள்.</t>
  </si>
  <si>
    <t>Into a pan melt ghee (reserve 1-2 tbsp of ghee for later use). Then roast the cashews until golden and keep it aside.  Now in the same ghee add wheat flour and roast until raw smell is gone, it takes approximately 10 minutes. Then add Sugar, pinch of salt and water (ratio of flour to water is 1:3). Mix well and keep stirring until everything comes together and ghee oozes out.  At this stage add cardamom powder, roasted cashews and the reserved 1-2 tbsp ghee and mix well. Turn off the heat and the halwa is ready to be served.  Our delicious gothumai halwa is ready to be served. Happy Cooking!!!</t>
  </si>
  <si>
    <t>ஒரு பாத்திரத்தில் நெய்யை உருக்கி (பின்னர் பயன்படுத்த 1-2 டேபிள்ஸ்பூன் நெய்யை ஒதுக்கி வைக்கவும்). பின்னர் முந்திரியை பொன்னிறமாகும் வரை வறுக்கவும், அதை தனியாக வைக்கவும். இப்போது அதே நெய்யில் கோதுமை மாவைச் சேர்த்து பச்சை வாசனை போகும் வரை வறுக்கவும், இது சுமார் 10 நிமிடங்கள் ஆகும். பின்னர் சர்க்கரை, சிட்டிகை உப்பு மற்றும் தண்ணீர் சேர்க்கவும் (மாவு மற்றும் தண்ணீரின் விகிதம் 1:3). நன்கு கலந்து, அனைத்தும் ஒன்றாக வந்து நெய் வெளியேறும் வரை தொடர்ந்து கிளறவும். இந்த கட்டத்தில் ஏலக்காய் தூள், வறுத்த முந்திரி மற்றும் ஒதுக்கப்பட்ட 1-2 டேபிள்ஸ்பூன் நெய்யைச் சேர்த்து நன்கு கலக்கவும். தீயை அணைத்து, ஹல்வா பரிமாற தயாராக உள்ளது. எங்கள் சுவையான கோதுமை ஹல்வா பரிமாற தயாராக உள்ளது. மகிழ்ச்சியான சமையல்!!!</t>
  </si>
  <si>
    <t>https://blogger.googleusercontent.com/img/b/R29vZ2xl/AVvXsEhgGaNEsQsGRuyDIts3y4aPP1w57de2jGwHk-8BJ4gFq_O7EEiJ7h-pQkWLtgollHv6zDmasNgU-M2OH9lwISDgqutX57Z8kFUgiRYqqkeqcV6JP__nI39ZJANmCJPV7PyFdT8YkBLh3lc/s640/photo.mp4_snapshot_00.58_%255B2020.01.09_23.44.41%255D.jpg</t>
  </si>
  <si>
    <t>Suthu Murukku</t>
  </si>
  <si>
    <t>சுத்து முருக்கு</t>
  </si>
  <si>
    <t>1 cup - Raw Rice , 2 tbsp - Ulunthu maavu , 2 tbsp - Butter, 3/4 tsp - Salt, 1 tsp - Sesame seeds, pinch of Asafoetida, 6-7 tbsp  - Water, Oil for frying.</t>
  </si>
  <si>
    <t>1 கப் - பச்சரிசி, 2 டேபிள் ஸ்பூன் - உளுந்து மாவு, 2 டேபிள் ஸ்பூன் - வெண்ணெய், 3/4 டேபிள் ஸ்பூன் - உப்பு, 1 டேபிள் ஸ்பூன் - எள், சிட்டிகை பெருங்காயம், 6-7 டேபிள் ஸ்பூன் - தண்ணீர், பொரிப்பதற்கு எண்ணெய்.</t>
  </si>
  <si>
    <t>Wash and soak raw rice in water for 2 hours, drain the water and spread it on a towel and let it dry for 20 minutes. Transfer it to a blender and powder them well. Pass it through a sieve and keep it aside.   Dry roast 1/2 cup of urad dal in a pan and transfer it to a blender and powder them finely. Pass it through a sieve , we just need 2 tbsp of (ulunthu )flour .  Into a mixing bowl add rice flour, urad dal flour, sesame seeds, salt, melted butter , required water and knead it into a smooth dough.    Make murukku by twisting and turning the dough and fry it in meduim hot oil until golden.   Our delicious crispy Kai murukku is all ready to be enjoyed.</t>
  </si>
  <si>
    <t>பச்சரிசியை கழுவி 2 மணி நேரம் தண்ணீரில் ஊற வைத்து, தண்ணீரை வடிகட்டி, ஒரு துண்டில் பரப்பி 20 நிமிடங்கள் உலர விடவும். அதை ஒரு பிளெண்டருக்கு மாற்றி நன்கு பொடி செய்யவும். ஒரு சல்லடையில் போட்டு தனியாக வைக்கவும். 1/2 கப் உளுந்து பருப்பை ஒரு பாத்திரத்தில் வறுத்து, ஒரு பிளெண்டருக்கு மாற்றி நன்றாக பொடி செய்யவும். ஒரு சல்லடையில் போட்டு, 2 டேபிள் ஸ்பூன் (உழுந்து) மாவு மட்டும் போதும். ஒரு கலவை பாத்திரத்தில் அரிசி மாவு, உளுந்து பருப்பு மாவு, எள், உப்பு, உருகிய வெண்ணெய், தேவையான தண்ணீர் சேர்த்து மென்மையான மாவாக பிசையவும். மாவை முறுக்கி, திருப்பி முறுக்கு செய்து, நடுத்தர சூடான எண்ணெயில் பொன்னிறமாகும் வரை வறுக்கவும். எங்கள் சுவையான மொறுமொறுப்பான கை முறுக்கு சுவைக்க தயாராக உள்ளது.</t>
  </si>
  <si>
    <t>https://blogger.googleusercontent.com/img/b/R29vZ2xl/AVvXsEgokV3LnTM96TMQA7RGSns0jguaL7dg7boSmEb7tr0mAWZT_mm6wvb5E5BX7b57cxhLWT0PTnVq7HHvtD7XUzzJNMNE4bqWh7Fvdo_rP8Ntv1BScAxyqzJmIaif258KKK4T909b01Jl9FY/s640/DSC08315.JPG</t>
  </si>
  <si>
    <t>Chicken Shawarma</t>
  </si>
  <si>
    <t>சிக்கன் ஷவர்மா</t>
  </si>
  <si>
    <t>1 cup - Warm water, 1 tsp - Sugarc, 2 tsp - Yeast, 1 tsp - Salt, 2 tbsp - Oil, 3 cup - Maida(375 g), 1,1,1 - Carrot,Cucumber,Capsicum, 5 - mint leaves, 1- large Lemon, 1/2 tsp - Salt, Pepper, 1/2 kg - Chicken, 1/4 tsp - turmeric powder, 1 tsp - Cumin powder, 2 tsp - Chili powder, 4 tbsp - Curd, Salt and Pepper, 1 tsp - Lemon juice, 3 tbsp  - Oil , 1/2 cup - Mayonnaise, 1  - Garlic, 1/4 tsp - Pepper, sliced Onion.</t>
  </si>
  <si>
    <t>1 கப் - வெதுவெதுப்பான நீர், 1 தேக்கரண்டி - சர்க்கரை, 2 தேக்கரண்டி - ஈஸ்ட், 1 தேக்கரண்டி - உப்பு, 2 தேக்கரண்டி - எண்ணெய், 3 கப் - மைதா (375 கிராம்), 1 - கேரட், 1 - வெள்ளரிக்காய், 1- கேப்சிகம்(குடைமிளகாய்), 5 - புதினா இலைகள், 1- பெரிய எலுமிச்சை, 1/2 தேக்கரண்டி - உப்பு, மிளகு, 1/2 கிலோ - சிக்கன், 1/4 தேக்கரண்டி - மஞ்சள் தூள், 1 தேக்கரண்டி - சீரகத் தூள், 2 தேக்கரண்டி - மிளகாய் தூள், 4 தேக்கரண்டி - தயிர், உப்பு மற்றும் மிளகு, 1 தேக்கரண்டி - எலுமிச்சை சாறு, 3 தேக்கரண்டி - எண்ணெய், 1/2 கப் - மயோனைசே, 1 - பூண்டு, 1/4 தேக்கரண்டி - மிளகு, வெங்காயம் நறுக்கியது.</t>
  </si>
  <si>
    <t>Into a mixing bowl of warm water add sugar and yeast. Keep it aside for 5 minutes. Into a bowl add maida, salt, oil and the yeast mixture and knead for 10 minutes. Cover and let it rest for 1.30 to 2 hrs.   Once the dough doubles in size give it  a punch and divide into 10 portions and rest it for 5 minutes, now roll the balls and let it rest for another 5-10 minutes. Heat the tawa and cook until the pita bread is well cooked.   Into a mixing bowl add julienne Carrot, cucumber and capsicum. Add some chopped mint leaves, lemon juice, salt and pepper, give it a mix and keep it aside.   Into a mixing bowl add boneless chicken pieces and add curd, turmeric , chili powder, cumin powder, salt, pepper and lemon juice. Marinate for 30 minutes and roast it in oil until sides are browned. Cut the chicken into small pieces and keep it aside.   Into a mixing bowl add plain mayonnaise, minced garlic, pepper and mix well.   Take a pita bread and spread some garlic mayo and place the chicken at the center and then some pickle and some fresh onion and then some extra garlic mayo and fold it.  Our delicious Chicken Shawarma is all ready to be enjoyed.</t>
  </si>
  <si>
    <t>ஒரு பாத்திரத்தில் வெதுவெதுப்பான நீரில் சர்க்கரை மற்றும் ஈஸ்ட் சேர்க்கவும். 5 நிமிடங்கள் ஒதுக்கி வைக்கவும். ஒரு பாத்திரத்தில் மைதா, உப்பு, எண்ணெய் மற்றும் ஈஸ்ட் கலவையை சேர்த்து 10 நிமிடங்கள் பிசையவும். மூடி வைத்து 1.30 முதல் 2 மணி நேரம் வரை வைக்கவும். மாவு இரட்டிப்பாகியதும், அதை ஒரு பஞ்ச் கொடுத்து 10 பகுதிகளாகப் பிரித்து 5 நிமிடங்கள் வைக்கவும், இப்போது உருண்டைகளை உருட்டி மற்றொரு 5-10 நிமிடங்கள் வைக்கவும். தவாவை சூடாக்கி, பிடா ரொட்டி நன்றாக வேகும் வரை சமைக்கவும். ஒரு கலவை கிண்ணத்தில் ஜூலியன் கேரட், வெள்ளரி மற்றும் கேப்சிகம் சேர்க்கவும். சிறிது நறுக்கிய புதினா இலைகள், எலுமிச்சை சாறு, உப்பு மற்றும் மிளகு சேர்த்து, அதை கலந்து தனியாக வைக்கவும். ஒரு கலவை கிண்ணத்தில் எலும்பில்லாத சிக்கன் துண்டுகளைச் சேர்த்து, தயிர், மஞ்சள், மிளகாய் தூள், சீரகத் தூள், உப்பு, மிளகு மற்றும் எலுமிச்சை சாறு சேர்க்கவும். 30 நிமிடங்கள் மரைனேட் செய்து, பக்கவாட்டு பழுப்பு நிறமாக மாறும் வரை எண்ணெயில் வறுக்கவும். கோழியை சிறிய துண்டுகளாக வெட்டி ஒதுக்கி வைக்கவும். ஒரு கலவை கிண்ணத்தில் வெற்று மயோனைஸ், நறுக்கிய பூண்டு, மிளகு சேர்த்து நன்கு கலக்கவும். ஒரு பிடா ரொட்டியை எடுத்து சிறிது பூண்டு மயோனைசேவை பரப்பி, சிக்கனை மையத்தில் வைத்து, பின்னர் சிறிது ஊறுகாய், சிறிது புதிய வெங்காயம், பின்னர் சிறிது கூடுதல் பூண்டு மயோனைசேவை மடிக்கவும். எங்கள் சுவையான சிக்கன் ஷவர்மா சுவைக்க தயாராக உள்ளது.</t>
  </si>
  <si>
    <t>https://blogger.googleusercontent.com/img/b/R29vZ2xl/AVvXsEjLiRmPyW9PIs0ZmRXGfYKeiT_-EoPm5iP-QX0QB7WHnQ0P6UuEd-i_8dJde-X9UixwJdyXirKM9Lyc3XLvaNtmS0_0Rml-Z0v9vJspslf-ubot3X3HR-AoCRxevGxhlCM-Ds7hvhgYphQ/s640/select.JPG</t>
  </si>
  <si>
    <t>Potato Chips</t>
  </si>
  <si>
    <t>உருளைக்கிழங்கு சிப்ஸ்</t>
  </si>
  <si>
    <t>1.5 kg - Potato, 1 tbsp - Salt, 2 tbsp - Water, 1 tsp - Chili powder, Oil for Frying.</t>
  </si>
  <si>
    <t>1.5 கிலோ - உருளைக்கிழங்கு, 1 டேபிள் ஸ்பூன் - உப்பு, 2 டேபிள் ஸ்பூன் - தண்ணீர், 1 டேபிள் ஸ்பூன் - மிளகாய் தூள், பொரிப்பதற்கு எண்ணெய்.</t>
  </si>
  <si>
    <t>Peel the skin of the potatoes and slice them thin. Wash the sliced potatoes in Water to remove starch and pat it dry with a towel to remove moisture.   In a small bowl dissolve salt in water and keep it aside.  Once the oil is nice and hot drop the potato slices one by one and also sprinkle few drops of salt water and fry until the potatoes and nice and crispy.  After frying all the pottaoes sprinkle some chili powder and shake well.  That's it our delicious crispy potato chips / lays chips are ready to be served.</t>
  </si>
  <si>
    <t>உருளைக்கிழங்கின் தோலை உரித்து மெல்லியதாக நறுக்கவும். துண்டுகளாக்கப்பட்ட உருளைக்கிழங்கை தண்ணீரில் கழுவி, ஸ்டார்ச் நீக்கி, ஈரப்பதத்தை நீக்க ஒரு துண்டுடன் உலர வைக்கவும். ஒரு சிறிய கிண்ணத்தில் உப்பை தண்ணீரில் கரைத்து ஒதுக்கி வைக்கவும். எண்ணெய் நன்றாகவும் சூடாகவும் ஆனதும், உருளைக்கிழங்கு துண்டுகளை ஒவ்வொன்றாக இறக்கி, சில துளிகள் உப்பு நீரைத் தூவி, உருளைக்கிழங்கு நன்றாகவும் மொறுமொறுப்பாகவும் ஆகும் வரை வதக்கவும். அனைத்து பொட்டாக்களையும் வறுத்த பிறகு, சிறிது மிளகாய் தூளைத் தூவி நன்கு குலுக்கவும். அவ்வளவுதான், எங்கள் சுவையான மொறுமொறுப்பான உருளைக்கிழங்கு சிப்ஸ் / லேஸ் சிப்ஸ் பரிமாற தயாராக உள்ளன.</t>
  </si>
  <si>
    <t>https://blogger.googleusercontent.com/img/b/R29vZ2xl/AVvXsEjC0okaDef6QdDYLtmzFCvnDxApH-ZNoNOBDz-rp4gNu1rPQmtg4cgWJf0q4FfSZOlM1yzWGRX_IZmiisZIx59lNAHc1kMlPu89yiVtWd_kJA8etPlwqq0SNjCOWxbAkFnpGex6xmGgoRc/s640/DSC08193.JPG</t>
  </si>
  <si>
    <t>peanut candy</t>
  </si>
  <si>
    <t>வேர்க்கடலை மிட்டாய்</t>
  </si>
  <si>
    <t>1 cup - raw peanut (150 g), 1 cup  - Jaggery (150 g), 1 tbsp - Ghee, pinch cardamom powder, 1/4 cup Water.</t>
  </si>
  <si>
    <t>1 கப் - பச்சை வேர்க்கடலை (150 கிராம்), 1 கப் - வெல்லம் (150 கிராம்), 1 டேபிள் ஸ்பூன் - நெய், சிட்டிகை ஏலக்காய் தூள், 1/4 கப் தண்ணீர்.</t>
  </si>
  <si>
    <t>Dry roast peanut until crisp, then rub it to remove the skin of the peanuts.Break into 2 and set it aside.   Into a pan add powdered jaggery, water and let it melt, pass it through a filter to collect any dirt. Transfer it to the pan again and add ghee and cook until the syrup thickens.To check the consistency pour a little syrup to a bowl of water, the syrup should break and should be brittle.   Once you get the right consistency add the broken peanuts, some cardamom powder and mix well. Immediately transfer it to a greased pan and cut into desired shapes.  That's it our delicious Peanut chikki is ready to be enjoyed .</t>
  </si>
  <si>
    <t>வேர்க்கடலையை மொறுமொறுப்பாக வறுத்து, பின்னர் வேர்க்கடலையின் தோலை நீக்க தேய்க்கவும். 2 பகுதிகளாக உடைத்து ஒதுக்கி வைக்கவும். ஒரு பாத்திரத்தில் பொடித்த வெல்லம், தண்ணீர் சேர்த்து உருக விடவும், அழுக்குகள் சேகரிக்க ஒரு வடிகட்டி வழியாக அனுப்பவும். அதை மீண்டும் பாத்திரத்தில் மாற்றி நெய் சேர்த்து சிரப் கெட்டியாகும் வரை சமைக்கவும். நிலைத்தன்மையை சரிபார்க்க ஒரு கிண்ணத்தில் தண்ணீரில் சிறிது சிரப்பை ஊற்றவும், சிரப் உடைந்து உடையக்கூடியதாக இருக்க வேண்டும். சரியான நிலைத்தன்மையைப் பெற்றவுடன் உடைந்த வேர்க்கடலை, சிறிது ஏலக்காய் தூள் சேர்த்து நன்கு கலக்கவும். உடனடியாக அதை எண்ணெய் தடவிய பாத்திரத்திற்கு மாற்றி விரும்பிய வடிவங்களில் வெட்டவும். அவ்வளவுதான், எங்கள் சுவையான வேர்க்கடலை சிக்கி சாப்பிட தயாராக உள்ளது.</t>
  </si>
  <si>
    <t>https://blogger.googleusercontent.com/img/b/R29vZ2xl/AVvXsEhG_dHKRhQV3x77qNjrSPfNmwyJrItIg8eW7YDoGGBhgPa9Ba37Ho5_Bnp7jMrqb6YE5HpA288JIZgOVgHI-ZUHMQIyd1EWwxf7ZL40h6tuswlK05dFOTKIMGk1RP0zh0Q5mbrxXM-ZKHcv/s640/DSC08181.JPG</t>
  </si>
  <si>
    <t>Wheat Parotta</t>
  </si>
  <si>
    <t>கோதுமை பரோட்டா</t>
  </si>
  <si>
    <t>2 cup - Wheat flour (250 g), 1 tsp - Salt, 3 tbsp - Oil, 3/4 cup - Wate.</t>
  </si>
  <si>
    <t>2 கப் - கோதுமை மாவு (250 கிராம்), 1 தேக்கரண்டி - உப்பு, 3 தேக்கரண்டி - எண்ணெய், 3/4 கப் - வாட்.</t>
  </si>
  <si>
    <t>Into a mixing bowl add Wheat flour, salt and give it a mix. Then add water and form a soft dough, I have used a little greater than 3/4 cup of water. Transfer it to a work area and knead the dough by stretching it for 10-15 min. Then add a tbsp of oil and mix it again, it might be greasy at the beginning but soon it will come together.   Transfer it to a bowl and apply a tbsp of oil and then cover it with a cloth and let it rest for 1-4 hours. The longer we rest the dough softer the parottas become.  Divide it into 6 balls, apply some oil and rest it for another 30 min to 1 hr. Cover and let it relax.   Spread the ball very thin and apply some oil, gather it together and roll it. Cover and let it sit for another 15 minutes.   Now press it to flatten and place it on a medium hot tawa and cook until golden and well some. Apply some oil if required.  Beat the parottas while it is hot and serve it with your favorite curries.  Happy Cooking !!!</t>
  </si>
  <si>
    <t>ஒரு கலவை பாத்திரத்தில் கோதுமை மாவு, உப்பு சேர்த்து கலக்கவும். பின்னர் தண்ணீர் சேர்த்து மென்மையான மாவை உருவாக்கவும், நான் 3/4 கப் தண்ணீரை விட சற்று அதிகமாக பயன்படுத்தியுள்ளேன். அதை ஒரு வேலைப் பகுதிக்கு மாற்றி, 10-15 நிமிடங்கள் நீட்டி மாவை பிசையவும். பின்னர் ஒரு தேக்கரண்டி எண்ணெயைச் சேர்த்து மீண்டும் கலக்கவும், ஆரம்பத்தில் எண்ணெய் பசையாக இருக்கலாம், ஆனால் விரைவில் அது ஒன்றாக வரும். அதை ஒரு பாத்திரத்தில் மாற்றி ஒரு தேக்கரண்டி எண்ணெயைத் தடவி, பின்னர் ஒரு துணியால் மூடி 1-4 மணி நேரம் ஓய்வெடுக்க விடவும். மாவை எவ்வளவு நேரம் ஓய்வெடுக்கிறோமோ, அவ்வளவு நேரம் பரோட்டாக்கள் மென்மையாக மாறும். அதை 6 பந்துகளாகப் பிரித்து, சிறிது எண்ணெயைத் தடவி, மேலும் 30 நிமிடம் முதல் 1 மணி நேரம் வரை அப்படியே வைக்கவும். மூடி வைத்து ஓய்வெடுக்கவும். உருண்டையை மிக மெல்லியதாக பரப்பி, சிறிது எண்ணெயைத் தடவி, ஒன்றாகச் சேர்த்து உருட்டவும். மூடி வைத்து மேலும் 15 நிமிடங்கள் அப்படியே வைக்கவும். இப்போது அதை தட்டையாக்க அழுத்தி, மிதமான சூடான தவாவில் வைத்து, பொன்னிறமாகும் வரை வதக்கவும், சிறிது சிறிதாக சமைக்கவும். தேவைப்பட்டால் சிறிது எண்ணெய் தடவவும். பரோட்டாக்கள் சூடாக இருக்கும்போதே அடித்து, உங்களுக்குப் பிடித்த கறிகளுடன் பரிமாறவும். சமையல் சுவையில் மகிழ்ச்சியாக இருங்கள்!!!</t>
  </si>
  <si>
    <t>https://blogger.googleusercontent.com/img/b/R29vZ2xl/AVvXsEjDoWKuyuckEbYdS3LXMO64K1F0RRDbAAjR9WmLKe8ArnSvYVU0OUApOpLp9b6As1IW1eLZ1XQmqc8Ski4mVKQu2bLtuzFG8qAeFX3LN2oc_OMkYGc1s7ad7z5f4-knnT8MCLdIPKHxbbQ/s640/1-Parotta+select.JPG</t>
  </si>
  <si>
    <t>Muscoth Halwa</t>
  </si>
  <si>
    <t>மஸ்கோத் அல்வா</t>
  </si>
  <si>
    <t>1 cup - Wheat flour(125 g), 1 cup  - tightly packed Jaggery (200 g), 1 large - Coconut (300 g grated), 7 cup - Water (2+1+4).</t>
  </si>
  <si>
    <t>1 கப் - கோதுமை மாவு (125 கிராம்), 1 கப் - இறுக்கமாக பேக் செய்யப்பட்ட வெல்லம் (200 கிராம்), 1 பெரியது - தேங்காய் (300 கிராம் துருவியது), 7 கப் - தண்ணீர் (2+1+4).</t>
  </si>
  <si>
    <t>Into a mixing bowl add wheat flour, gradually add water and knead it into a chapathi dough. Add water (2 cups) and let it rest for 1 hour.  After 1 hr extract the milk with your hands and pass it through a fine mesh and collect the milk. After extracting the milk keep it undisturbed for 2-4 hours for the milk to settle.   Now after 3 hours of sedimentation we will get two layers top clear water layer and milk at the bottom, drain the cleared water , we need the wheat milk not the clear fluid.  Heat jaggery with 1 cup water , once it is dissolved pass it through a sieve to remove any dirt and keep it aside.   Grate 1 very large or 2 medium coconut and transfer it to a mixie jar, add 1 cup water and extract the milk. Then add 1 more cup of water and extract the milk again. Then add 2 cups of water and extract the remaining milk.   Transfer coconut milk, wheat milk, jaggery into a wide pan and start heating on slow flame.  It takes approximately 1 hr to 1.30 min for the oil to ooze out, Once the halwa has hardened and oil starts oozing transfer it to a greased bowl and let it cool.  Once cooled cut into desired portion.  That's it our delicious coconut milk / muscoth halwa is ready to be enjoyed.</t>
  </si>
  <si>
    <t>ஒரு கலவை பாத்திரத்தில் கோதுமை மாவைச் சேர்த்து, படிப்படியாக தண்ணீரைச் சேர்த்து சப்பாத்தி மாவாகப் பிசையவும். தண்ணீரை (2 கப்) சேர்த்து 1 மணி நேரம் அப்படியே விடவும். 1 மணி நேரத்திற்குப் பிறகு, உங்கள் கைகளால் பாலை பிரித்தெடுத்து, அதை ஒரு மெல்லிய வலை வழியாகக் கடந்து, பாலை சேகரிக்கவும். பால் பிரித்தெடுத்த பிறகு, பால் கெட்டியாகும் வரை 2-4 மணி நேரம் அதைக் கலக்காமல் வைத்திருங்கள். இப்போது 3 மணி நேரம் படிந்த பிறகு, மேலே இரண்டு அடுக்கு தெளிவான நீர் அடுக்கும், கீழே பால் கிடைக்கும், சுத்தம் செய்யப்பட்ட தண்ணீரை வடிகட்டவும், நமக்குத் தேவையானது கோதுமை பால், தெளிவான திரவம் அல்ல. 1 கப் தண்ணீரில் வெல்லத்தை சூடாக்கவும், அது கரைந்ததும், அதை ஒரு சல்லடை வழியாக அனுப்பி, அழுக்குகளை அகற்றி ஒதுக்கி வைக்கவும். 1 மிகப் பெரிய அல்லது 2 நடுத்தர தேங்காயை துருவி, ஒரு மிக்ஸி ஜாடியில் போட்டு, 1 கப் தண்ணீர் சேர்த்து, பால் எடுக்கவும். பிறகு மேலும் 1 கப் தண்ணீர் சேர்த்து, மீண்டும் பால் எடுக்கவும். பிறகு 2 கப் தண்ணீர் சேர்த்து, மீதமுள்ள பாலை எடுக்கவும். தேங்காய் பால், கோதுமை பால், வெல்லம் ஆகியவற்றை ஒரு அகலமான பாத்திரத்தில் போட்டு, மெதுவான தீயில் சூடாக்கவும். எண்ணெய் வெளியேற சுமார் 1 மணி முதல் 1.30 நிமிடங்கள் ஆகும். ஹல்வா கெட்டியானதும், எண்ணெய் கசிய ஆரம்பித்ததும், அதை ஒரு எண்ணெய் தடவிய பாத்திரத்தில் போட்டு ஆற விடவும். ஆறியதும், விரும்பிய பகுதிகளாக வெட்டவும். அவ்வளவுதான், எங்கள் சுவையான தேங்காய் பால் / மஸ்கத் ஹல்வாவை ருசிக்க தயாராக உள்ளது.</t>
  </si>
  <si>
    <t>https://blogger.googleusercontent.com/img/b/R29vZ2xl/AVvXsEjtEXIw5VlIcfslPiT3Sgp_7ogntZb9yGQsTfY4ENLKE_6k_gy8k2F2wQMxJbN4cXrruV8mlhrnLIyJaj3UE5VT_C-ejA1OTAFhAblLUawBMFlLGHKzN_eeDJvymRKxOGmWWK67-9lApcM/s640/DSC08130.JPG</t>
  </si>
  <si>
    <t>Wheat Cake</t>
  </si>
  <si>
    <t>கோதுமை கேக்</t>
  </si>
  <si>
    <t>1/4 cup - Butter (55 g approx), 1/2 cup  - Brown or white Sugar (100 g), 2  - Eggs, 1 cup - Wheat flour (125 g), 1 tsp - Baking powder, 1/2 tsp - Baking Soda, pinch of Salt, 1/4 cup - Milk, 1 tsp - Vanilla extract.</t>
  </si>
  <si>
    <t>1/4 கப் - வெண்ணெய் (தோராயமாக 55 கிராம்), 1/2 கப் - பழுப்பு அல்லது வெள்ளை சர்க்கரை (100 கிராம்), 2 - முட்டை, 1 கப் - கோதுமை மாவு (125 கிராம்), 1 தேக்கரண்டி - பேக்கிங் பவுடர், 1/2 தேக்கரண்டி - பேக்கிங் சோடா, சிட்டிகை உப்பு, 1/4 கப் - பால், 1 தேக்கரண்டி - வெண்ணிலா சாறு.</t>
  </si>
  <si>
    <t>Into mixing bowl add softened Butter and whisk it well. Then add in Sugar (brown sugar or white sugar), eggs and mix well.   Sieve Wheat flour,baking powder, soda, salt into the mixing bowl and mix it until combined. Then add milk, vanilla extract and mix it together with the batter, do not over mix.   Transfer it to a greased baking pan (6 inch pan) and bake it at 350 F / 175 C for 30-35 minutes.  That's it our delicious Wheat cake is ready to be enjoyed with a cup of hot tea/ coffee.</t>
  </si>
  <si>
    <t>கலவை கிண்ணத்தில் மென்மையாக்கப்பட்ட வெண்ணெய் சேர்த்து நன்கு கிளறவும். பின்னர் சர்க்கரை (பழுப்பு சர்க்கரை அல்லது வெள்ளை சர்க்கரை), முட்டைகளைச் சேர்த்து நன்கு கலக்கவும். கோதுமை மாவு, பேக்கிங் பவுடர், சோடா, உப்பு ஆகியவற்றை கலவை கிண்ணத்தில் சலிக்கவும், கலக்கவும். பின்னர் பால், வெண்ணிலா சாறு சேர்த்து மாவுடன் கலக்கவும், அதிகமாக கலக்க வேண்டாம். அதை ஒரு எண்ணெய் தடவிய பேக்கிங் பானுக்கு (6 அங்குல பான்) மாற்றி 350 F / 175 C வெப்பநிலையில் 30-35 நிமிடங்கள் சுடவும். அவ்வளவுதான், எங்கள் சுவையான கோதுமை கேக் ஒரு கப் சூடான தேநீர்/காபியுடன் அனுபவிக்க தயாராக உள்ளது.</t>
  </si>
  <si>
    <t>https://blogger.googleusercontent.com/img/b/R29vZ2xl/AVvXsEh4rGPkiUKyhYIUo7b8tqtOe-nJ0U4JZrxUPsRGzceb4_THQ9P6Tv8Ndid3N8NxUERzQgNUM4QYvtyFL994eLDZ0M93hxLnUCKd0IgwLZndmTPaAj3xi0dn8eg31-DKvSbmgWyxLE8EQJs/s640/DSC08020.JPG</t>
  </si>
  <si>
    <t>Popcorn chicken</t>
  </si>
  <si>
    <t>பாப்கார்ன் சிக்கன்</t>
  </si>
  <si>
    <t>250g - Boneless chicken, 1 cup - Curd, 2 - Eggs, 1 inch - Ginger, 2 - Garlic, 1 small - piece Onion, 1 tsp - Chili powder, 1/4 tsp - Pepper, 1.5 tsp - Salt, 1 cup - Maida, 1/2 cup - Corn flour, 1 tsp - chili powder, 1/2 tsp - Coriander powder, 1/2 tsp - Cumin powder, 1/2 tsp - Pepper, 1 tsp - Salt.</t>
  </si>
  <si>
    <t>250 கிராம் - எலும்பில்லாத சிக்கன், 1 கப் - தயிர், 2 - முட்டை, 1 அங்குலம் - இஞ்சி, 2 - பூண்டு, 1 சிறிய துண்டு வெங்காயம், 1 தேக்கரண்டி - மிளகாய் தூள், 1/4 தேக்கரண்டி - மிளகு, 1.5 தேக்கரண்டி - உப்பு, 1 கப் - மைதா, 1/2 கப் - சோள மாவு, 1 தேக்கரண்டி - மிளகாய் தூள், 1/2 தேக்கரண்டி - கொத்தமல்லி தூள், 1/2 தேக்கரண்டி - சீரக தூள், 1/2 தேக்கரண்டி - மிளகு, 1 தேக்கரண்டி - உப்பு.</t>
  </si>
  <si>
    <t>Into a blender add ginger , garlic, 1/8 of an onion, water and grind well. Filter it and set it aside.   Into a mixing bowl add curd, eggs, then add the ginger-garlic-onion water from step 1 , chili powder, salt, pepper and mix well.  Now add in the boneless chicken cubes and mix well. Refrigerate the chicken  it for minimun 2-10 hrs.  In a separate bowl combine maida, corn flour, chili powder, cumin powder, coriander powder, pepper and salt.    Now take a chicken piece and dip it in the flour mixture and again in the wet mixture (which we used to marinate the chicken) and then dip in the flour and keep it aside.   Fry the chicken pieces on hot oil until golden and crisp on all the sides.  That's it our delicious Popcorn chicken is ready to be enjoyed .Happy Cooking !!!</t>
  </si>
  <si>
    <t>ஒரு பிளெண்டரில் இஞ்சி, பூண்டு, 1/8 வெங்காயம், தண்ணீர் சேர்த்து நன்கு அரைக்கவும். வடிகட்டி ஒதுக்கி வைக்கவும். ஒரு கலவை கிண்ணத்தில் தயிர், முட்டைகள் சேர்த்து, பின்னர் படி 1 இஞ்சி-பூண்டு-வெங்காய தண்ணீர், மிளகாய் தூள், உப்பு, மிளகு சேர்த்து நன்கு கலக்கவும். இப்போது எலும்பில்லாத சிக்கன் க்யூப்ஸை சேர்த்து நன்கு கலக்கவும். கோழியை குறைந்தபட்சம் 2-10 மணி நேரம் குளிர்சாதன பெட்டியில் வைக்கவும். ஒரு தனி கிண்ணத்தில் மைதா, சோள மாவு, மிளகாய் தூள், சீரக தூள், கொத்தமல்லி தூள், மிளகு மற்றும் உப்பு ஆகியவற்றைச் சேர்க்கவும். இப்போது ஒரு சிக்கன் துண்டை எடுத்து மாவு கலவையிலும், மீண்டும் ஈரமான கலவையிலும் (நாங்கள் கோழியை ஊறவைக்கப் பயன்படுத்தினோம்) நனைத்து, பின்னர் மாவில் நனைத்து ஒதுக்கி வைக்கவும். கோழித் துண்டுகளை சூடான எண்ணெயில் பொன்னிறமாகவும், அனைத்து பக்கங்களிலும் மொறுமொறுப்பாகவும் வறுக்கவும். அவ்வளவுதான், எங்கள் சுவையான பாப்கார்ன் சிக்கன் சுவைக்கத் தயாராக உள்ளது. மகிழ்ச்சியான சமையல் !!!</t>
  </si>
  <si>
    <t>https://vaya.in/recipes/wp-content/uploads/2017/12/Popcorn-Chicken-Recipe.jpg</t>
  </si>
  <si>
    <t>Vegetable Puffs</t>
  </si>
  <si>
    <t>காய்கறி பஃப்ஸ்</t>
  </si>
  <si>
    <t>250 g - Maida (2 cups), 125 g   - Butter (unsalted) (1/2 cup +2 tbsp), 3/4 cup - Water (approx), 1 tsp - Salt, 1 tbsp - Oil, 2 medium - Onion, 1 inch - Ginger, 1/4 tsp - turmeric powder, 1/2 tsp - Garam masala, 2 tsp - Chili powder, 1 - Tomato, 1/4 cup - Green peas, 1  - Carrot, required        Salt, required        Water, 2 - Boiled Potatoes, 1 tbsp - chopped coriander leaves, 1 spring        Curry leaves.</t>
  </si>
  <si>
    <t>250 கிராம் - மைதா (2 கப்), 125 கிராம் - வெண்ணெய் (உப்பு சேர்க்காதது) (1/2 கப் +2 டேபிள்ஸ்பூன்), 3/4 கப் - தண்ணீர் (தோராயமாக), 1 டீஸ்பூன் - உப்பு, 1 டீஸ்பூன் - எண்ணெய், 2 நடுத்தர - ​​வெங்காயம், 1 அங்குலம் - இஞ்சி, 1/4 டீஸ்பூன் - மஞ்சள் தூள், 1/2 டீஸ்பூன் - கரம் மசாலா, 2 டீஸ்பூன் - மிளகாய் தூள், 1 - தக்காளி, 1/4 கப் - பச்சை பட்டாணி, 1 - கேரட், தேவையான உப்பு, தேவையான தண்ணீர், 2 - வேகவைத்த உருளைக்கிழங்கு, 1 டீஸ்பூன் - நறுக்கிய கொத்தமல்லி இலை, 1 ஸ்பிரிங் கறிவேப்பிலை.</t>
  </si>
  <si>
    <t>Heat oil in a pan and add onions, crushed Ginger and saute it for a couple of minutes. Then add in the masalas - turmeric, garam masala, chili powder and give it a stir. Then add chopped tomato, green peas, carrot, required salt ,some water and cook until the veggies are well done.   Now add in cooked and smashed potatoes, coriander leaves, curry leaves and turn off the heat.   Place some of the stuffing in the puff sheat and seal it with water, brush some milk on top and bake it at 400 F / 200 C preheated Oven for 20 -22 minutes.  That's it our delicious Vegetable Puff is all ready to be enjoyed with a cup of hot coffee/ tea. Happy Cooking !!!</t>
  </si>
  <si>
    <t>ஒரு கடாயில் எண்ணெயை சூடாக்கி வெங்காயம், நொறுக்கப்பட்ட இஞ்சியைச் சேர்த்து இரண்டு நிமிடங்கள் வதக்கவும். பின்னர் மசாலாக்களில் - மஞ்சள், கரம் மசாலா, மிளகாய் தூள் சேர்த்து கிளறவும். பின்னர் நறுக்கிய தக்காளி, பச்சை பட்டாணி, கேரட், தேவையான உப்பு, சிறிது தண்ணீர் சேர்த்து காய்கறிகள் நன்றாக வேகும் வரை சமைக்கவும். இப்போது சமைத்த மற்றும் நொறுக்கப்பட்ட உருளைக்கிழங்கு, கொத்தமல்லி இலைகள், கறிவேப்பிலை ஆகியவற்றைச் சேர்த்து அடுப்பை அணைக்கவும். பஃப் ஷீட்டில் சிறிது ஸ்டஃபிங்கை வைத்து தண்ணீரில் மூடி, மேலே சிறிது பால் தடவி, 400 F / 200 C க்கு முன்கூட்டியே சூடாக்கப்பட்ட அடுப்பில் 20 -22 நிமிடங்கள் சுடவும். அவ்வளவுதான், எங்கள் சுவையான வெஜிடபிள் பஃப் ஒரு கப் சூடான காபி / டீயுடன் அனுபவிக்க தயாராக உள்ளது. மகிழ்ச்சியான சமையல் !!! Kāykaṟi paḥps</t>
  </si>
  <si>
    <t>https://blogger.googleusercontent.com/img/b/R29vZ2xl/AVvXsEiOG3rqcfy4Ta1hsazV1HljnEvJTltZ4Nn-Mbya_wz2zPzOZcQzfBUpTMMPWG_PnnoNsyf-j7LEBkB1IfoYoCLacAn2X7epe5HGMtZU7Xp_SOn7cPaO10BBW0cIfX7-GVMSdATVUuuGr7Q/s640/editted--6-1.jpg</t>
  </si>
  <si>
    <t>Egg Podimas</t>
  </si>
  <si>
    <t>முட்டை பொடிமாஸ்</t>
  </si>
  <si>
    <t>2 tbsp - Oil, 1/8 tsp - Mustard seeds, 1/2 tsp - Cumin seeds, 2 - green chilies, 1 - spring Curry leaves, 2  - Onion, 1 - Tomato, pinch of turmeric powder, 1/4 tsp - Garam masala, 1/4 tsp - pepper, 1/2 tsp - Chili powder, required Salt, 1 tbsp - Coriander leaves, 4 - Eggs.</t>
  </si>
  <si>
    <t>2 டேபிள் ஸ்பூன் - எண்ணெய், 1/8 டேபிள் ஸ்பூன் - கடுகு, 1/2 டேபிள் ஸ்பூன் - சீரகம், 2 - பச்சை மிளகாய், 1 - வசந்த கறிவேப்பிலை, 2 - வெங்காயம், 1 - தக்காளி, சிறிது மஞ்சள் தூள், 1/4 டேபிள் ஸ்பூன் - கரம் மசாலா, 1/4 டேபிள் ஸ்பூன் - மிளகு, 1/2 டேபிள் ஸ்பூன் - மிளகாய் தூள், தேவையான உப்பு, 1 டேபிள் ஸ்பூன் - கொத்தமல்லி இலை, 4 - முட்டை.</t>
  </si>
  <si>
    <t>Heat a pan and add 2 tbsp oil, then add mustard seeds , cumin seeds, green chilies, curry leaves and give it a stir.   Then add finely chopped onions and saute for 2 minutes, then add the masalas - turmeric powder, chili powder, garam masala, pepper and salt. Then add in chopped tomato and cook for few seconds.  Now make a well and add a tsp of oil and add the eggs, some salt and pepper give it a minute for the egg to set and then mix well. Finally garnish with coriander leaves and turn off the heat.  That's it our delicious Egg poriyal recipe is ready to be enjoyed .Happy Cooking !!!</t>
  </si>
  <si>
    <t>ஒரு வாணலியை சூடாக்கி, 2 டேபிள் ஸ்பூன் எண்ணெய் சேர்த்து, பின்னர் கடுகு, சீரகம், பச்சை மிளகாய், கறிவேப்பிலை சேர்த்து கிளறவும். பின்னர் இறுதியாக நறுக்கிய வெங்காயத்தைச் சேர்த்து 2 நிமிடங்கள் வதக்கவும், பின்னர் மசாலாக்கள் - மஞ்சள் தூள், மிளகாய் தூள், கரம் மசாலா, மிளகு மற்றும் உப்பு சேர்க்கவும். பின்னர் நறுக்கிய தக்காளியைச் சேர்த்து சில நொடிகள் சமைக்கவும். இப்போது ஒரு கிணறு செய்து ஒரு டேபிள் ஸ்பூன் எண்ணெயைச் சேர்த்து, முட்டைகளைச் சேர்த்து, சிறிது உப்பு மற்றும் மிளகு சேர்த்து முட்டை உறைவதற்கு ஒரு நிமிடம் விட்டு, பின்னர் நன்கு கலக்கவும். கடைசியாக கொத்தமல்லி இலைகளால் அலங்கரித்து அடுப்பை அணைக்கவும். அவ்வளவுதான் எங்கள் சுவையான முட்டை பொரியல் ரெசிபி ருசிக்க தயாராக உள்ளது. மகிழ்ச்சியான சமையல்!!!</t>
  </si>
  <si>
    <t>https://blogger.googleusercontent.com/img/b/R29vZ2xl/AVvXsEicD0eRhtbiSGDo3gAeEL6Y2O496Jti2eL4y9s54X5PYsmdA4lknrwCH3u2Fzbsn1vdZ_tYVpy-UaNnvt892ncAkUeAJR-7E9oKnvbZiYVhVufkvDxE1kA3VHEiSCZLhuDaKZb3_68tq7Yx/s640/DSC07972.JPG</t>
  </si>
  <si>
    <t>Masala Puri recipe</t>
  </si>
  <si>
    <t>மசாலா பூரி செய்முறை</t>
  </si>
  <si>
    <t>1/2 cup - Green peas, 2  - potato, 1 - Onion, 1 inch - Ginger, 3 - Garlic, 1  - green chili, 2 - Tomatoes, 1/4 tsp - turmeric, 1/2 tsp - Cumin powder, 1 tsp - Garam masala, 1.5 tsp - Chili powder, 2 tsp - lemon juice, 1 tbsp - Coriander leaves, 2 tbsp - Oil, required Salt, 4-6  - Puri, 1 tbsp - Mint chutney, 1 tbsp - tamarind chutney, 2 tbsp - finely chopped onion, 1 tbsp - finely chopped tomatoes, 2 tbsp - sev, 1 tbsp - chopped coriander leaves.</t>
  </si>
  <si>
    <t>1/2 கப் - பச்சை பட்டாணி, 2 - உருளைக்கிழங்கு, 1 - வெங்காயம், 1 அங்குலம் - இஞ்சி, 3 - பூண்டு, 1 - பச்சை மிளகாய், 2 - தக்காளி, 1/4 தேக்கரண்டி - மஞ்சள், 1/2 தேக்கரண்டி - சீரகப் பொடி, 1 தேக்கரண்டி - கரம் மசாலா, 1.5 தேக்கரண்டி - மிளகாய் பொடி, 2 தேக்கரண்டி - எலுமிச்சை சாறு, 1 தேக்கரண்டி - கொத்தமல்லி இலை, 2 தேக்கரண்டி - எண்ணெய், தேவையான உப்பு, 4-6 - பூரி, 1 தேக்கரண்டி - புதினா சட்னி, 1 தேக்கரண்டி - புளி சட்னி, 2 தேக்கரண்டி - நன்றாக நறுக்கிய வெங்காயம், 1 தேக்கரண்டி - நன்றாக நறுக்கிய தக்காளி, 2 தேக்கரண்டி - சேவ், 1 தேக்கரண்டி - நறுக்கிய கொத்தமல்லி இலைகள்.</t>
  </si>
  <si>
    <t>Wash and soak green peas overnight and then transfer it to a pressure cooker , to this add 2 potatoes, salt , required water and cook for 4 whistles on medium heat. Mash it well and keep it aside.   Heat a tbsp of oil and add onion, ginger, garlic, green chilies and cook for a couple of minutes, then add the chopped tomatoes and cook for another 2 minutes. Turn off the heat and once its cooled grind it smooth.  Now in the same pan heat a tbsp of oil and add the masala from step 2 and mix well, then add in turmeric powder, cumin powder, garam masala, chili powder(you can also add chat masala, amchoor powder to this) then add required salt and mix well. Now add in the cooked and mashed peas from step 1 .Cover and let it cook for 5-6 minutes.  Add water to adjust the consistency to suit your preference. Now add in juice of half lemon, some chopped coriander leaves and turn off the heat.   Now in a plate break some puri, on the top of puri add the prepared masala from step 4, some mint chutney, tamarind chutney, chopped onion, chopped tomatoes, sev and finally garnish it with coriander leaves.  That's it our delicious Masala puri recipe is ready to be enjoyed .Happy Cooking !!!</t>
  </si>
  <si>
    <t>பச்சை பட்டாணியை இரவு முழுவதும் கழுவி ஊறவைத்து, பின்னர் அதை ஒரு பிரஷர் குக்கரில் மாற்றி, இதில் 2 உருளைக்கிழங்கு, உப்பு, தேவையான தண்ணீர் சேர்த்து மிதமான தீயில் 4 விசில் வரும் வரை சமைக்கவும். நன்றாக மசித்து ஒதுக்கி வைக்கவும். ஒரு தேக்கரண்டி எண்ணெயை சூடாக்கி வெங்காயம், இஞ்சி, பூண்டு, பச்சை மிளகாய் சேர்த்து இரண்டு நிமிடங்கள் வதக்கவும், பின்னர் நறுக்கிய தக்காளியைச் சேர்த்து மேலும் 2 நிமிடங்கள் வதக்கவும். தீயை அணைத்து, அது ஆறியதும் மென்மையாக அரைக்கவும். இப்போது அதே கடாயில் ஒரு தேக்கரண்டி எண்ணெயை சூடாக்கி, படி 2 இல் உள்ள மசாலாவைச் சேர்த்து நன்கு கலக்கவும், பின்னர் மஞ்சள் தூள், சீரகத் தூள், கரம் மசாலா, மிளகாய் தூள் (நீங்கள் இதில் சாட் மசாலா, ஆம்சூர் பொடியையும் சேர்க்கலாம்) சேர்த்து தேவையான உப்பு சேர்த்து நன்கு கலக்கவும். இப்போது படி 1 இல் உள்ள சமைத்த மற்றும் மசித்த பட்டாணியைச் சேர்க்கவும். மூடி வைத்து 5-6 நிமிடங்கள் சமைக்கவும். உங்கள் விருப்பத்திற்கு ஏற்ப நிலைத்தன்மையை சரிசெய்ய தண்ணீர் சேர்க்கவும். இப்போது அரை எலுமிச்சை சாறு, சிறிது நறுக்கிய கொத்தமல்லி இலைகளைச் சேர்த்து, தீயை அணைக்கவும். இப்போது ஒரு தட்டில் சிறிது பூரியை உடைத்து, பூரியின் மேல் படி 4 இல் உள்ள தயாரிக்கப்பட்ட மசாலா, சிறிது புதினா சட்னி, புளி சட்னி, நறுக்கிய வெங்காயம், நறுக்கிய தக்காளி, சேவ் ஆகியவற்றைச் சேர்த்து இறுதியாக கொத்தமல்லி இலைகளால் அலங்கரிக்கவும். அவ்வளவுதான் எங்கள் சுவையான மசாலா பூரி ரெசிபி ருசிக்க தயாராக உள்ளது. மகிழ்ச்சியான சமையல் !!!</t>
  </si>
  <si>
    <t>https://blogger.googleusercontent.com/img/b/R29vZ2xl/AVvXsEhU79HWgE9e1JvHI94dMHm13ZcLlEGcgeyQeLeIImMbs_DSdiEPu0ACtZ3Qzyimp-W1h033dwif8dLcIjc33Lzm9v86lZ2aD-7K5sEopFfrIvvSOMupUcEh_cTkmGrw-Yp2JyajjspjCfM/s640/DSC07909.JPG</t>
  </si>
  <si>
    <t>Little hearts Biscuit</t>
  </si>
  <si>
    <t>லிட்டில் ஹார்ட்ஸ் பிஸ்கட்</t>
  </si>
  <si>
    <t>100 g - unsalted Butter (1/2 cup), 150 g  - Maida (1 cup tightly packed), 2 tbsp  - Sugar, 1 tsp  - lemon juice, pinch of Salt, 5 tbsp - Cold water, 4 tbsp - Sugar.</t>
  </si>
  <si>
    <t>100 கிராம் - உப்பு சேர்க்காத வெண்ணெய் (1/2 கப்), 150 கிராம் - மைதா (1 கப் இறுக்கமாக பேக் செய்யப்பட்டது), 2 டீஸ்பூன் - சர்க்கரை, 1 டீஸ்பூன் - எலுமிச்சை சாறு, சிட்டிகை உப்பு, 5 டீஸ்பூன் - குளிர்ந்த நீர், 4 டீஸ்பூன் - சர்க்கரை.</t>
  </si>
  <si>
    <t>freeze the butter for 2 hours or until solid.Similarly refrigerate water for 2 hours. We need cold water for making this recipe.  Into a mixing bowl add maida (for 100 g of butter we need 150 g maida), some salt, 2 tbsp sugar, lemon juice and give it a mix. Then grate the frozen butter and mix it with maida. Now add cold water (we need approximately 5 tbsp) mix until combined.Wrap it and refrigerate for 1-2 hrs.  Take the sheet out of the fridge and dust it with some flour(maida) and roll it (about 1 cm thick) then cut the edges to form a rectangle. Then spread sugar generously (1/4 cup). Fold about and inch from both the sides, sprinkle some sugar and fold it again from both the sides, finally sprinkle some sugar and apply some water and seal.(please refer video for the folds).   Wrap and refrigerate or freeze for 30 min, now again dust with flour and cut it into small pieces.  Preheat the oven to 400 F/ 200 C and bake for 10 minutes, flip it to other side and bake it again for another 5-6 min until golden. We can also fry the biscuit in medium hot oil until golden and crisp.  Enjoy delicious homemade little hearts biscuits  Happy Cooking!!!</t>
  </si>
  <si>
    <t>வெண்ணெயை 2 மணி நேரம் அல்லது கெட்டியாகும் வரை உறைய வைக்கவும். அதேபோல் 2 மணி நேரம் தண்ணீரை குளிர்சாதன பெட்டியில் வைக்கவும். இந்த செய்முறையை தயாரிக்க நமக்கு குளிர்ந்த நீர் தேவை. ஒரு கலவை கிண்ணத்தில் மைதா (100 கிராம் வெண்ணெய்க்கு 150 கிராம் மைதா), சிறிது உப்பு, 2 டீஸ்பூன் சர்க்கரை, எலுமிச்சை சாறு சேர்த்து கலக்கவும். பின்னர் உறைந்த வெண்ணெயை தட்டி மைதாவுடன் கலக்கவும். இப்போது குளிர்ந்த நீரைச் சேர்த்து (தோராயமாக 5 டீஸ்பூன் தேவை) கலக்கவும். அதை போர்த்தி 1-2 மணி நேரம் குளிர்சாதன பெட்டியில் வைக்கவும். ஃப்ரிட்ஜிலிருந்து தாளை எடுத்து சிறிது மாவு (மைதா) தூவி, அதை (சுமார் 1 செ.மீ தடிமன்) உருட்டி, ஒரு செவ்வகத்தை உருவாக்க விளிம்புகளை வெட்டுங்கள். பின்னர் சர்க்கரையை தாராளமாக (1/4 கப்) பரப்பவும். இரண்டு பக்கங்களிலிருந்தும் சுமார் ஒரு அங்குலமாக மடித்து, சிறிது சர்க்கரையைத் தூவி, மீண்டும் இரு பக்கங்களிலிருந்தும் மடித்து, இறுதியாக சிறிது சர்க்கரையைத் தூவி சிறிது தண்ணீர் தடவி மூடவும். (மடிப்புகளுக்கு வீடியோவைப் பார்க்கவும்). 30 நிமிடங்கள் போர்த்தி குளிர்சாதன பெட்டியில் வைக்கவும் அல்லது உறைய வைக்கவும், இப்போது மீண்டும் மாவைத் தூவி சிறிய துண்டுகளாக வெட்டவும். அடுப்பை 400 F/ 200 C க்கு முன்கூட்டியே சூடாக்கி, 10 நிமிடங்கள் சுடவும், மறுபுறம் திருப்பி, மீண்டும் 5-6 நிமிடங்கள் பொன்னிறமாகும் வரை சுடவும். பிஸ்கட்டை நடுத்தர சூடான எண்ணெயில் பொன்னிறமாகவும் மொறுமொறுப்பாகவும் வறுக்கவும். சுவையான வீட்டில் தயாரிக்கப்பட்ட சிறிய இதய பிஸ்கட்டுகளை அனுபவிக்கவும்!!!</t>
  </si>
  <si>
    <t>https://blogger.googleusercontent.com/img/b/R29vZ2xl/AVvXsEhCzkIVrmUjrwg3WcJLzOywOnfQLMoQeorTXl1fsXJzwlgZ37SXV26cOr-gYBLRoCXIwyGWXMv721bHP0Yn9B1evWCzuwEVevvWpOLA-qw2OamHCefwPM91jb5UqxeL5D-bOpIkc8Ccaf4/s640/DSC07890.JPG</t>
  </si>
  <si>
    <t>Maida Parotta</t>
  </si>
  <si>
    <t>மைதா பரோட்டா</t>
  </si>
  <si>
    <t>2 cup - Maida (250 g), 1 tsp - Salt, 3 tbsp - Oil, 3/4 cup - Water.</t>
  </si>
  <si>
    <t>2 கப் - மைதா (250 கிராம்), 1 தேக்கரண்டி - உப்பு, 3 தேக்கரண்டி - எண்ணெய், 3/4 கப் - தண்ணீர்.</t>
  </si>
  <si>
    <t>Into a mixing bowl add maida, salt and give it a mix. Then add water and form a soft dough, I have used a little greater than 3/4 cup of water. Transfer it to a work area and knead the dough by stretching it for 10-15 min. Then add a tbsp of oil and mix it again, it might be greasy at the beginning but soon it will come together.  Transfer it to a bowl and apply a tbsp of oil and then cover it with a cloth and let it rest for 1-4 hours. The longer we rest the dough softer the parottas become.   Divide it into 6 balls, apply some oil and rest it for another 30 min to 1 hr. Cover and let it relax.   Spread the ball very thin and apply some oil, gather it together and roll it. Cover and let it sit for another 15 minutes.   Now press it to flatten and place it on a medium hot tawa and cook until golden and well some. Apply some oil if required.   Beat the parottas while it is hot and serve it with your favorite curries.  Happy Cooking !!!</t>
  </si>
  <si>
    <t>ஒரு கலவை பாத்திரத்தில் மைதா, உப்பு சேர்த்து கலக்கவும். பின்னர் தண்ணீர் சேர்த்து மென்மையான மாவை உருவாக்கவும், நான் 3/4 கப் தண்ணீரை விட சற்று அதிகமாக பயன்படுத்தியுள்ளேன். அதை ஒரு வேலைப் பகுதிக்கு மாற்றி, 10-15 நிமிடங்கள் நீட்டி மாவை பிசையவும். பின்னர் ஒரு தேக்கரண்டி எண்ணெயைச் சேர்த்து மீண்டும் கலக்கவும், ஆரம்பத்தில் எண்ணெய் பசையாக இருக்கலாம், ஆனால் விரைவில் அது ஒன்றாக வரும். அதை ஒரு பாத்திரத்தில் மாற்றி ஒரு தேக்கரண்டி எண்ணெயைத் தடவி, பின்னர் ஒரு துணியால் மூடி 1-4 மணி நேரம் அப்படியே வைக்கவும். மாவை எவ்வளவு நேரம் விடுகிறோமோ, அவ்வளவு நேரம் பரோட்டாக்கள் மென்மையாக மாறும். அதை 6 பந்துகளாகப் பிரித்து, சிறிது எண்ணெயைத் தடவி, மேலும் 30 நிமிடம் முதல் 1 மணி நேரம் வரை அப்படியே வைக்கவும். மூடி வைத்து ஓய்வெடுக்கவும். உருண்டையை மிக மெல்லியதாக பரப்பி, சிறிது எண்ணெயைத் தடவி, ஒன்றாகச் சேர்த்து உருட்டவும். மூடி வைத்து மேலும் 15 நிமிடங்கள் அப்படியே வைக்கவும். இப்போது அதை தட்டையாக்க அழுத்தி, மிதமான சூடான தவாவில் வைத்து, பொன்னிறமாகும் வரை வதக்கவும், சிறிது சிறிதாக சமைக்கவும். தேவைப்பட்டால் சிறிது எண்ணெய் தடவவும். பரோட்டாக்கள் சூடாக இருக்கும்போதே அடித்து, உங்களுக்குப் பிடித்த கறிகளுடன் பரிமாறவும். சமையல் சுவையில் மகிழ்ச்சியாக இருங்கள்!!!</t>
  </si>
  <si>
    <t>https://b2958125.smushcdn.com/2958125/wp-content/uploads/parotta-recipe-kerala-parotta-1-10.jpg?lossy=1&amp;strip=1&amp;webp=1</t>
  </si>
  <si>
    <t>Tea Kadali Kajada</t>
  </si>
  <si>
    <t>தேநீர் கடலி கஜாடா</t>
  </si>
  <si>
    <t>1 cup - Maida (125 g), 2 tbsp - Rava, 1 tbsp - rice flour, pinch of baking soda, pinch of Salt, 1/2 cup - Sugar (100 g), 3 - Cardamom, 1 - Egg, 2 tbsp - Milk, 1 tsp - Ghee, 1/4 cup - Oil for frying.</t>
  </si>
  <si>
    <t>1 கப் - மைதா (125 கிராம்), 2 டேபிள் ஸ்பூன் - ரவா, 1 டேபிள் ஸ்பூன் - அரிசி மாவு, சிட்டிகை பேக்கிங் சோடா, சிட்டிகை உப்பு, 1/2 கப் - சர்க்கரை (100 கிராம்), 3 - ஏலக்காய், 1 - முட்டை, 2 டேபிள் ஸ்பூன் - பால், 1 டேபிள் ஸ்பூன் - நெய், 1/4 கப் - பொரிப்பதற்கு எண்ணெய்.</t>
  </si>
  <si>
    <t>Into a Blender add sugar, cardamom and grind it to a fine powder. Then add 1 egg and grind it again to form a smooth batter.   Now in a bowl add Maida, rava, rice flour, baking soda, salt, ghee, egg sugar mixture from step 1, milk and mix well. The batter will be slightly sticky. Keep it aside for minimum 15 -20 min. We get approximately 6-7 kajada.  Heat some oil in a pan and apply some ghee in your hands and make small balls out of the batter and drop one ball at a time and cook on low to medium heat. It takes approximately 5 minutes to get cooked completely.   Make sure they are cooked thoroughly, otherwise the batter will be raw at the center.  That's it our delicious Muttaikose or vettu cake is ready to be enjoyed. Happy Cooking and happy festive season!!!</t>
  </si>
  <si>
    <t>ஒரு பிளெண்டரில் சர்க்கரை, ஏலக்காய் சேர்த்து நன்றாகப் பொடியாக அரைக்கவும். பின்னர் 1 முட்டையைச் சேர்த்து மீண்டும் ஒரு மென்மையான மாவை உருவாக்க அரைக்கவும். இப்போது ஒரு கிண்ணத்தில் மைதா, ரவா, அரிசி மாவு, பேக்கிங் சோடா, உப்பு, நெய், முட்டை சர்க்கரை கலவையை படி 1 இல் இருந்து பால் சேர்த்து நன்கு கலக்கவும். மாவு சிறிது ஒட்டும் தன்மையுடையதாக இருக்கும். குறைந்தபட்சம் 15 -20 நிமிடங்கள் ஒதுக்கி வைக்கவும். தோராயமாக 6-7 கஜாடா கிடைக்கும். ஒரு கடாயில் சிறிது எண்ணெயை சூடாக்கி, உங்கள் கைகளில் சிறிது நெய் தடவி, மாவிலிருந்து சிறிய உருண்டைகளாக உருட்டி, ஒரு நேரத்தில் ஒரு பந்தை விட்டு, குறைந்த அல்லது நடுத்தர வெப்பத்தில் சமைக்கவும். முழுமையாக வேக சுமார் 5 நிமிடங்கள் ஆகும். அவை நன்கு வேகவைக்கப்பட்டுள்ளதா என்பதை உறுதிப்படுத்திக் கொள்ளுங்கள், இல்லையெனில் மாவு மையத்தில் பச்சையாக இருக்கும். அவ்வளவுதான் எங்கள் சுவையான முத்தாய்கோஸ் அல்லது வெட்டு கேக் சுவைக்க தயாராக உள்ளது. மகிழ்ச்சியான சமையல் மற்றும் மகிழ்ச்சியான பண்டிகை காலம்!!!</t>
  </si>
  <si>
    <t>https://blogger.googleusercontent.com/img/b/R29vZ2xl/AVvXsEhRzyLRX29IyVt0BcH4HLyZlo9UMh2SO0Bu-Y3jgEijX5uyJsMzstavQKxf8_ZtVrOzmUSe4WGHtLY7PuADi0u8J7an7ibF3FrE-fgO0HkP-CAbhjoxrqfoNXuSemyc34N7UmaJ6KPc1Qs/s640/Kajada.jpg</t>
  </si>
  <si>
    <t>Appam</t>
  </si>
  <si>
    <t>ஆப்பம்</t>
  </si>
  <si>
    <t>1 cup - Raw rice (200 g), 1/2 cup - grated coconut, 1/4 cup - cooked rice, required water or coconut water, required Salt.</t>
  </si>
  <si>
    <t>1 கப் - பச்சரிசி (200 கிராம்), 1/2 கப் - துருவிய தேங்காய், 1/4 கப் - சமைத்த அரிசி, தேவையான தண்ணீர் அல்லது தேங்காய் தண்ணீர், தேவையான உப்பு.</t>
  </si>
  <si>
    <t>Wash and soak the raw rice in water for 4 hours. Drain the water and add it to a blender. Grind it to a fine paste.   Take 1/2 cup of the batter from step 1 and add it to a pan, also add in 1 cup of water to it and cook on low heat until the mixture becomes tick like a paste. Let it cool.   Now into the remaining batter (from step 1) add grated coconut, cooked rice and the rice paste from step 2 , required water or we can also add coconut water , grind it again until everything turns into a fine paste. Batter should be little runny.   Transfer it to a bow and let it ferment for 8 to 10 hours.Fermentation is very important in making appam.   Heat appam pan and pour some batter , pan should be hot . swirl the pan to spread the batter and cover and let it cook.  That's it our delicious Appam recipe is ready to be enjoyed with curry or coconut milk. Happy Cooking and happy festive season!!!</t>
  </si>
  <si>
    <t>பச்சை அரிசியை கழுவி 4 மணி நேரம் தண்ணீரில் ஊற வைக்கவும். தண்ணீரை வடிகட்டி ஒரு பிளெண்டரில் சேர்க்கவும். அதை நன்றாக விழுதாக அரைக்கவும். படி 1 இல் இருந்து 1/2 கப் மாவை எடுத்து ஒரு வாணலியில் சேர்க்கவும், அதனுடன் 1 கப் தண்ணீரையும் சேர்த்து, கலவை ஒரு பேஸ்ட் போல மாறும் வரை குறைந்த வெப்பத்தில் சமைக்கவும். அதை குளிர்விக்க விடவும். இப்போது மீதமுள்ள மாவில் (படி 1 இல் இருந்து) துருவிய தேங்காய், வேகவைத்த அரிசி மற்றும் படி 2 இல் இருந்து அரிசி விழுதை சேர்க்கவும், தேவையான தண்ணீர் அல்லது தேங்காய் தண்ணீரையும் சேர்த்து, எல்லாம் நன்றாக விழுதாக மாறும் வரை மீண்டும் அரைக்கலாம். மாவு சிறிது திரவமாக இருக்க வேண்டும். அதை ஒரு வில்லுக்கு மாற்றி 8 முதல் 10 மணி நேரம் புளிக்க விடவும். ஆப்பம் தயாரிப்பதில் நொதித்தல் மிகவும் முக்கியமானது. ஆப்பம் பாத்திரத்தை சூடாக்கி, சிறிது மாவை ஊற்றவும், பாத்திரம் சூடாக இருக்க வேண்டும். மாவை பரப்பி, பாத்திரத்தை சுழற்றி மூடி, வேக விடவும். அவ்வளவுதான், எங்கள் சுவையான ஆப்பம் ரெசிபி கறி அல்லது தேங்காய் பாலுடன் சாப்பிட தயாராக உள்ளது. இனிய சமையல் மற்றும் பண்டிகை காலம்!!!</t>
  </si>
  <si>
    <t>https://blogger.googleusercontent.com/img/b/R29vZ2xl/AVvXsEhH9H0sB9ztvIF02rVTm8Hd5rd02ZuEHPqhH3K8q8s6HRjCX_qlCimgRJEL-iTcPA3853Pw8M4Sdi6PCE9nhlqD26d5JnXgJcZB0ws9BzxZxaBkqnAZMXWNn-2hvJgN9bpODM_DbfmcVCY/s640/DSC07689.JPG</t>
  </si>
  <si>
    <t>Tomato Sauce</t>
  </si>
  <si>
    <t>தக்காளி சாஸ்</t>
  </si>
  <si>
    <t>1 kg - Tomatoes, 1/4  - of Onion, 2  - pods of Garlic , 1 tiny - Cinnamon, 2 - Cloves, 1/2 tsp - Chili powder, 1 tsp - Salt or to taste, 4 tbsp - Vinegar, 4 tbsp - Sugar.</t>
  </si>
  <si>
    <t>1 கிலோ - தக்காளி, 1/4 - வெங்காயம், 2 - பூண்டு காய்கள், 1 சிறியது - இலவங்கப்பட்டை, 2 - கிராம்பு, 1/2 தேக்கரண்டி - மிளகாய்த்தூள், 1 தேக்கரண்டி - உப்பு அல்லது சுவைக்கேற்ப, 4 தேக்கரண்டி - வினிகர், 4 தேக்கரண்டி - சர்க்கரை.</t>
  </si>
  <si>
    <t>Wash the tomatoes and remove the eye of the tomatoes. Cut it into 4 pieces and add it to a pan, also add 1/4th of an onion, cloves, cinnamon, garlic. Cover and let it cook for 15-20 minutes or until the tomatoes are mushy.  Turn off the heat and once the tomatoes are cooled transfer it to a blender and grind it smooth. Pass it through a filer to collect any chunks.  Add the pureed tomatoes from step 2) to a wide pan and let it come to a boil. Then add vinegar, sugar, chili powder, salt and cook until the sauce is thickened. You can adjust the sourness of the sauce by adjusting the sugar.  To check the consistency take a drop of sauce to a plate and tilt it, should stay in its place and should not be runny. Turn of the heat and let it cool. Once cooled store it in an air tight container and it stays good for 3 weeks in the refrigerator.  Enjoy Tangy delicious homemade tomato sauce / ketchup with fries Happy Cooking!!</t>
  </si>
  <si>
    <t>தக்காளியைக் கழுவி, தக்காளியின் கண்ணை நீக்கவும். அதை 4 துண்டுகளாக வெட்டி ஒரு பாத்திரத்தில் சேர்க்கவும், வெங்காயத்தில் 1/4 பங்கு, கிராம்பு, இலவங்கப்பட்டை, பூண்டு ஆகியவற்றைச் சேர்க்கவும். மூடி வைத்து 15-20 நிமிடங்கள் அல்லது தக்காளி மென்மையாகும் வரை சமைக்கவும். தீயை அணைத்து, தக்காளி குளிர்ந்ததும், அதை ஒரு பிளெண்டருக்கு மாற்றி மென்மையாக அரைக்கவும். துண்டுகளை சேகரிக்க ஒரு ஃபைலர் வழியாக அனுப்பவும். படி 2 இல் இருந்து ப்யூரி செய்யப்பட்ட தக்காளியை) ஒரு அகலமான பாத்திரத்தில் சேர்த்து கொதிக்க விடவும். பின்னர் வினிகர், சர்க்கரை, மிளகாய்த்தூள், உப்பு சேர்த்து சாஸ் கெட்டியாகும் வரை சமைக்கவும். சர்க்கரையை சரிசெய்வதன் மூலம் சாஸின் புளிப்பை சரிசெய்யலாம். நிலைத்தன்மையை சரிபார்க்க ஒரு தட்டில் ஒரு துளி சாஸை எடுத்து சாய்த்து, அது அதன் இடத்தில் இருக்க வேண்டும், நீர் வடிந்து போகக்கூடாது. அடுப்பை அணைத்து ஆற விடவும். குளிர்ந்ததும் காற்று புகாத கொள்கலனில் சேமித்து வைத்தால், குளிர்சாதன பெட்டியில் 3 வாரங்கள் நன்றாக இருக்கும். சுவையான வீட்டில் தயாரிக்கப்பட்ட தக்காளி சாஸ் / பொரியலுடன் கெட்ச்அப்பை அனுபவிக்கவும். இனிய சமையல்!!</t>
  </si>
  <si>
    <t>https://blogger.googleusercontent.com/img/b/R29vZ2xl/AVvXsEioWLiuu-pgOgP1GS0hbBtgBiiFFwxDxp7mHuWz3Nj7OFIwBEbOXlk2sWPkjjJN2aWn_YlTXb8XPiQ7IdAqAppFf_ZXHH-j7nefWFWCj4AtodLAlsjNBRyFUn6Pb7maDDJgU3prEgzWZuw/s640/Tomato+ketchup.JPG</t>
  </si>
  <si>
    <t>Motichoor Ladoo</t>
  </si>
  <si>
    <t>மோதிச்சூர் லட்டு</t>
  </si>
  <si>
    <t>1 cup - Besan (100 g), 3/4 cup - Water approx, pinch of Orange food color, 1/4 cup - Oil for frying, 1 cup - Sugar (200 g), 1/2 cup - Water, pinch of Cardamom powder, pinch of Orange food color, 1/4 cup - chopped cashews, 1 tbsp - Ghee.</t>
  </si>
  <si>
    <t>1 கப் - கடலைப்பருப்பு (100 கிராம்), 3/4 கப் - தண்ணீர் தோராயமாக, சிறிது ஆரஞ்சு உணவு நிறம், 1/4 கப் - வறுக்க எண்ணெய், 1 கப் - சர்க்கரை (200 கிராம்), 1/2 கப் - தண்ணீர், சிறிது ஏலக்காய் தூள், சிறிது ஆரஞ்சு உணவு நிறம், 1/4 கப் - நறுக்கிய முந்திரி, 1 டீஸ்பூன் - நெய்.</t>
  </si>
  <si>
    <t>Into a mixing bowl add besan and add little water at first (1/4 cup) and mix it well without any lumps. Then add more water to form a watery batter (I have used a total of 3/4 cup water approximately). Add orange food color and combine well.(First add little water and make into smooth paste and then add more water to form a pouring consistency (if you add too much water at once you will end up with lumps so this way of making ensures lump free batter)).   Heat a pan and fry the Boondis on medium-hot oil, Use a tiny hole ladle to make boondhis. Temperature of oil should be little high, as soon as you drop the batter it should float on the surface of the oil,else it will settle at the same place and will soak up lot of oil.   Dissolve sugar in water and bring it to a boil(let it boil for 2 minutes). Then add cardamom powder and orange food color. Turn off the heat and add the fried bhoodis from step 2 and mix well. Now turn ON the heat and cook on low heat for 7-8 minutes or until they come together (until all the sugar syrup is been absorbed by the boondhis).  Once they are well combined add chopped nuts and ghee, mix it again and turn off the heat. Transfer it to a bowl and let it cool down a little.   Apply some ghee in your hands and start making ladoos.  That's it our delicious Motichoor laduu is ready to be enjoyed. Happy Cooking and happy festive season!!!</t>
  </si>
  <si>
    <t>ஒரு கலவை பாத்திரத்தில் கடலைப்பருப்பைச் சேர்த்து முதலில் சிறிது தண்ணீர் (1/4 கப்) சேர்த்து கட்டிகள் இல்லாமல் நன்கு கலக்கவும். பின்னர் தண்ணீர் போன்ற மாவை உருவாக்க அதிக தண்ணீர் சேர்க்கவும் (நான் தோராயமாக 3/4 கப் தண்ணீரைப் பயன்படுத்தியுள்ளேன்). ஆரஞ்சு உணவு நிறத்தைச் சேர்த்து நன்கு கலக்கவும். (முதலில் சிறிது தண்ணீர் சேர்த்து மென்மையான பேஸ்டாக மாற்றவும், பின்னர் அதிக தண்ணீர் சேர்த்து ஊற்றும் நிலைத்தன்மையை உருவாக்கவும் (ஒரே நேரத்தில் அதிகமாக தண்ணீர் சேர்த்தால் கட்டிகள் இருக்கும், எனவே இந்த முறை கட்டிகள் இல்லாத மாவை உறுதி செய்கிறது). ஒரு பாத்திரத்தை சூடாக்கி, மிதமான சூடான எண்ணெயில் பூந்திகளை வறுக்கவும், ஒரு சிறிய துளை கொண்ட கரண்டியைப் பயன்படுத்தி பூந்திகளை தயாரிக்கவும். எண்ணெயின் வெப்பநிலை சற்று அதிகமாக இருக்க வேண்டும், நீங்கள் மாவை இறக்கியவுடன் அது எண்ணெயின் மேற்பரப்பில் மிதக்க வேண்டும், இல்லையெனில் அது அதே இடத்தில் படிந்து நிறைய எண்ணெயை உறிஞ்சிவிடும். சர்க்கரையை தண்ணீரில் கரைத்து கொதிக்க விடவும் (2 நிமிடங்கள் கொதிக்க விடவும்). பின்னர் ஏலக்காய் தூள் மற்றும் ஆரஞ்சு உணவு வண்ணத்தைச் சேர்க்கவும். அடுப்பை அணைத்து, படி 2 இல் வறுத்த பூந்திகளைச் சேர்த்து நன்கு கலக்கவும். இப்போது அடுப்பை இயக்கி, குறைந்த வெப்பத்தில் 7-8 நிமிடங்கள் அல்லது அவை ஒன்றாக வரும் வரை (சர்க்கரை பாகில் உள்ள அனைத்தும் உறிஞ்சப்படும் வரை) சமைக்கவும். அவை நன்கு இணைந்ததும், நறுக்கிய கொட்டைகள் மற்றும் நெய்யைச் சேர்த்து, மீண்டும் கலந்து, அடுப்பை அணைக்கவும். அதை ஒரு கிண்ணத்திற்கு மாற்றி சிறிது ஆற விடவும். உங்கள் கைகளில் சிறிது நெய் தடவி லட்டுகளை தயாரிக்கத் தொடங்குங்கள். அவ்வளவுதான் எங்கள் சுவையான மோதிச்சூர் லட்டு அனுபவிக்கத் தயாராக உள்ளது. மகிழ்ச்சியான சமையல் மற்றும் மகிழ்ச்சியான பண்டிகை காலம்!!!</t>
  </si>
  <si>
    <t>https://blogger.googleusercontent.com/img/b/R29vZ2xl/AVvXsEia8UWPuTfLqVitnH6NUBOfLHWQQtV1g8L8p7NN6uG0ABcXbcMgx0BnvqiA2Gls0mZ9ab748Nq2SQnuFjgga8nalFGW99L30S6u9WQdrGGi0MLBaxhsnnD9RXAJDrPyVgG9Of4ZJLAh3iI/s640/editted--4-1.jpg</t>
  </si>
  <si>
    <t>Mini Spicy Murukku</t>
  </si>
  <si>
    <t>மினி காரமான முருக்கு</t>
  </si>
  <si>
    <t>1 cup - raw Rice flour(200g), 2 tbsp - Skinless black gram , 1 tbsp  - roasted channa dal, 1 tsp - Sesame seeds, 1/8 tsp - Asafoetida, 1 tsp - Chili powder, 1 tsp - Salt to taste, 2 tbsp - Butter at room temperature, 1/2 cup - Water.</t>
  </si>
  <si>
    <t>1 கப் - பச்சை அரிசி மாவு (200 கிராம்), 2 டேபிள் ஸ்பூன் - தோல் நீக்கிய உளுந்து, 1 டேபிள் ஸ்பூன் - வறுத்த சன்னா பருப்பு, 1 டேபிள் ஸ்பூன் - எள், 1/8 டேபிள் ஸ்பூன் - பெருங்காயம், 1 டேபிள் ஸ்பூன் - மிளகாய் தூள், 1 டேபிள் ஸ்பூன் - சுவைக்கு உப்பு, 2 டேபிள் ஸ்பூன் - அறை வெப்பநிலையில் வெண்ணெய், 1/2 கப் - தண்ணீர்.</t>
  </si>
  <si>
    <t>In a pan roast skinless black gram for 2-3 minutes on low heat. Turn off the heat and add roasted channa dal and roast for 1 more minute.Transfer it to blender and grind it to a fine powder. Sieve it to collect any big chunks, flour should be very fine.  Into a large mixing bowl add the rice flour then the roasted flour from step 1, unsalted butter (or 2 tbsp of oil), chili powder, salt , Sesame seeds or cumin seeds ,asafoetida and mix well.  Then gradually add in water and knead it into a soft dough and at the same time dont add too much of water(I have used approximately 1/2 cup).  Take a good amount of the murukku dough and add it to the murukku maker, You can directly add it to the oil or we can press it in a laddle and then drop it in oil.   Fry the murukku on medium heat flipping sides until the bubbles subside.  Enjoy Crunchy Spicy mini murukku with your favorite coffee :) Happy Cooking!!!</t>
  </si>
  <si>
    <t>ஒரு கடாயில் தோல் நீக்கிய உளுந்து பருப்பை 2-3 நிமிடங்கள் குறைந்த தீயில் வறுக்கவும். தீயை அணைத்து வறுத்த சன்னா பருப்பை சேர்த்து மேலும் 1 நிமிடம் வறுக்கவும். அதை மிக்ஸியில் மாற்றி நன்றாக பொடியாக அரைக்கவும். பெரிய துண்டுகள் சேகரிக்க சலிக்கவும், மாவு மிகவும் நன்றாக இருக்கும். ஒரு பெரிய கலவை கிண்ணத்தில் அரிசி மாவு, பின்னர் படி 1 இல் இருந்து வறுத்த மாவு, உப்பு சேர்க்காத வெண்ணெய் (அல்லது 2 டேபிள் ஸ்பூன் எண்ணெய்), மிளகாய் தூள், உப்பு, எள் அல்லது சீரகம், பெருங்காயம் ஆகியவற்றைச் சேர்த்து நன்கு கலக்கவும். பிறகு படிப்படியாக தண்ணீரைச் சேர்த்து மென்மையான மாவாகப் பிசையவும், அதே நேரத்தில் அதிகமாக தண்ணீர் சேர்க்க வேண்டாம் (நான் சுமார் 1/2 கப் பயன்படுத்தியுள்ளேன்). முருக்கு மாவை நல்ல அளவு எடுத்து முருக்கு தயாரிப்பாளரில் சேர்க்கவும், நீங்கள் அதை நேரடியாக எண்ணெயில் சேர்க்கலாம் அல்லது நாம் அதை ஒரு கரண்டியால் அழுத்தி எண்ணெயில் போடலாம். முருக்கு மிதமான தீயில் குமிழ்கள் குறையும் வரை பக்கவாட்டில் வறுக்கவும். உங்களுக்குப் பிடித்த காபியுடன் மொறுமொறுப்பான காரமான மினி முருக்குவை அனுபவிக்கவும் :) சமையல் மகிழ்ச்சியாக உள்ளது!!!</t>
  </si>
  <si>
    <t>https://blogger.googleusercontent.com/img/b/R29vZ2xl/AVvXsEjV9-v8gE5oh7U851WHDI1DOxnbNUrfLI2-2N3f6mUXjKmAFwfmKk5UVtwYoHfpOQDrRr6U5qrKgkYA8Ft31vDlwc6Prm4cr9gC5-In4qT4ZGKEDQ_HTHdp_0BoID3gOCZ933Vs1sA6nHU/s640/DSC07248.JPG</t>
  </si>
  <si>
    <t>Suriyakala</t>
  </si>
  <si>
    <t>சூரியகலா</t>
  </si>
  <si>
    <t>1 cup - Maida (125 g), 2 tbsp  - Ghee, pinch  - salt, 1/4 cup - Water approx, 2 tbsp - Ghee, 1/4 cup - Milk, 3 tbsp - Sugar, 1 cup - Milk powder(100g), 1/4 cup - chopped nuts, pinch - Cardamom powder, 1 cup - Sugar(200g), 1/2 cup - Water (120ml), few drops of lemon juice, 2 - Cardamom.</t>
  </si>
  <si>
    <t>1 கப் - மைதா (125 கிராம்), 2 டேபிள் ஸ்பூன் - நெய், சிட்டிகை - உப்பு, 1/4 கப் - தண்ணீர் தோராயமாக, 2 டேபிள் ஸ்பூன் - நெய், 1/4 கப் - பால், 3 டேபிள் ஸ்பூன் - சர்க்கரை, 1 கப் - பால் பவுடர் (100 கிராம்), 1/4 கப் - நறுக்கிய கொட்டைகள், சிட்டிகை - ஏலக்காய் தூள், 1 கப் - சர்க்கரை (200 கிராம்), 1/2 கப் - தண்ணீர் (120 மிலி), சில துளிகள் எலுமிச்சை சாறு, 2 - ஏலக்காய்.</t>
  </si>
  <si>
    <t>In a bowl add Maida, ghee,salt and mix well.Then add water and combine everything nicely to form a thick dough.Cover it with a wet cloth and keep it aside for 30 minutes.   Now in a non stick pan melt ghee and add milk, sugar and let the sugar dissolve. Then add milk powder( i have used NIDO) stir it immediately. Once it start to separate from pan add chopped nuts(I have used cashews), cardamom and mix well. It takes just 1-2 minutes to set after the milk powder is added.Turn off the heat and keep it aside.   Dissolve sugar in water and bring it to one sting consistency, the sugar syrup should not pass one string , if is passes one string consistency then the syrup will not penetrate more efficiently into the Suriyaka. Once the syrup reaches one string, add cardamom and few strands of saffron (saffron is optional) and also add few drops of lemon juice to prevent sugar crystallization.Turn off the heat and keep it aside.   Now divide the dough into 2 and roll them thin, cut it into circles using a sharp circle cutter . Take a piece and place some khoya inside and cover it with another piece. seal the edges by pressing it and twist the edges to give it some shape..   Fry the Suriyala on a medium heat , oil should not be very hot. Halfway passed flip it to the other side and let it develop uniform  golden color on all the sides. Drain the excess oil and continue with the rest of the batches.  After frying drop it into the sugar syrup, if the syrup is cooled completely then heat it for a minute before adding the Suriyala . Cover the Suriyala  in sugar syrup and let it soak for minimum 10 -15 minutes.  That's it our delicious Suriyala sweet is ready to be enjoyed. Happy Cooking and happy festive season!!!</t>
  </si>
  <si>
    <t>ஒரு பாத்திரத்தில் மைதா, நெய், உப்பு சேர்த்து நன்கு கலக்கவும். பின்னர் தண்ணீர் சேர்த்து எல்லாவற்றையும் நன்றாக கலந்து கெட்டியான மாவை உருவாக்கவும். ஈரமான துணியால் மூடி 30 நிமிடங்கள் ஒதுக்கி வைக்கவும். இப்போது ஒரு ஒட்டாத பாத்திரத்தில் நெய்யை உருக்கி பால், சர்க்கரை சேர்த்து சர்க்கரையை கரைக்கவும். பின்னர் பால் பவுடரை (நான் NIDO ஐப் பயன்படுத்தினேன்) சேர்த்து உடனடியாக கிளறவும். அது பாத்திரத்திலிருந்து பிரிய ஆரம்பித்ததும் நறுக்கிய கொட்டைகள் (நான் முந்திரி), ஏலக்காய் சேர்த்து நன்கு கலக்கவும். பால் பவுடர் சேர்த்த பிறகு கெட்டியாக 1-2 நிமிடங்கள் மட்டுமே ஆகும். தீயை அணைத்து தனியாக வைக்கவும். சர்க்கரையை தண்ணீரில் கரைத்து ஒரு கொட்டு நிலைத்தன்மைக்கு கொண்டு வாருங்கள், சர்க்கரை பாகு ஒரு கொட்டு நிலைத்தன்மைக்கு வரக்கூடாது, ஒரு கொட்டு நிலைத்தன்மையை கடந்தால் சிரப் சூரியகாவிற்குள் திறமையாக ஊடுருவாது. சிரப் ஒரு கொட்டு அடைந்ததும், ஏலக்காய் மற்றும் சில குங்குமப்பூ இழைகளைச் சேர்க்கவும் (குங்குமப்பூ விருப்பமானது) மேலும் சர்க்கரை படிகமாவதைத் தடுக்க சில துளிகள் எலுமிச்சை சாற்றையும் சேர்க்கவும். தீயை அணைத்து தனியாக வைக்கவும். இப்போது மாவை 2 ஆகப் பிரித்து மெல்லியதாக உருட்டி, கூர்மையான வட்ட கட்டரைப் பயன்படுத்தி வட்டங்களாக வெட்டவும். ஒரு துண்டை எடுத்து உள்ளே சிறிது கோயாவை வைத்து மற்றொரு துண்டால் மூடி வைக்கவும். அதை அழுத்தி விளிம்புகளை மூடி, அதற்கு ஒரு வடிவம் கொடுக்க விளிம்புகளைத் திருப்பவும்.. சூரியாலாவை மிதமான தீயில் வறுக்கவும், எண்ணெய் மிகவும் சூடாக இருக்கக்கூடாது. பாதி முடிந்ததும் அதை மறுபுறம் திருப்பி, அனைத்து பக்கங்களிலும் சீரான தங்க நிறத்தை உருவாக்க விடவும். அதிகப்படியான எண்ணெயை வடிகட்டி, மீதமுள்ள தொகுதிகளுடன் தொடரவும். வறுத்த பிறகு, அதை சர்க்கரை பாகில் போடவும், சிரப் முழுவதுமாக குளிர்ந்துவிட்டால், சூரியலாவைச் சேர்ப்பதற்கு முன் ஒரு நிமிடம் சூடாக்கவும். சூரியலாவை சர்க்கரை பாகில் மூடி, குறைந்தபட்சம் 10-15 நிமிடங்கள் ஊற வைக்கவும். அவ்வளவுதான், எங்கள் சுவையான சூரியலா இனிப்பு சுவைக்கத் தயாராக உள்ளது. மகிழ்ச்சியான சமையல் மற்றும் மகிழ்ச்சியான பண்டிகை காலம்!!!</t>
  </si>
  <si>
    <t>https://blogger.googleusercontent.com/img/b/R29vZ2xl/AVvXsEhBfUa7MOZnXdnho3jE9MqRTYbQC-swMT9bNA7CLM4yXof61HjSWnPAb6sxOHibDIwttILSs_oNKoBCU3egxoAiJ9qFa6G6Vq-oGTtxIzPWhM2a1liL4bHOBxsMCZVBcarUNapXBd_QPYY/s640/DSC07333.JPG</t>
  </si>
  <si>
    <t>Thengai Paal Murukku</t>
  </si>
  <si>
    <t>தேங்காய் பால் முறுக்கு</t>
  </si>
  <si>
    <t>1 cup - raw Rice flour(200g), 1/4 cup - Skinless black gram (60g), 2 tbsp  - Butter at room temperature, 1 tsp - Sesame seeds, 1/8 tsp - Asafoetida, 1 tsp - Salt or to taste, 2 cup  - grated coconut, 1/2 cup - Water.</t>
  </si>
  <si>
    <t>1 கப் - பச்சை அரிசி மாவு (200 கிராம்), 1/4 கப் - தோல் நீக்கிய உளுந்து (60 கிராம்), 2 டேபிள் ஸ்பூன் - அறை வெப்பநிலையில் வெண்ணெய், 1 டேபிள் ஸ்பூன் - எள், 1/8 டேபிள் ஸ்பூன் - பெருங்காயம், 1 டேபிள் ஸ்பூன் - உப்பு அல்லது சுவைக்கேற்ப, 2 கப் - துருவிய தேங்காய், 1/2 கப் - தண்ணீர்.</t>
  </si>
  <si>
    <t>Into a mixie jar add grated coconut , some water and grind it to extract all the milk. Then filter it to collect thick coconut milk( do not add too much of water).   In a pan roast skinless black gram for 2-3 minutes on low heat. Transfer it to blender and grind it to a fine powder. Sieve it to collect any big chunks, flour should be very fine.   Into a large mixing bowl add the rice flour then the roasted gram flour from step 2, unsalted butter (or 2 tbsp of oil), salt , Sesame seeds or cumin seeds ,asafoetida and mix well.  Then gradually add in the coconut extract from step 1 and knead it into a soft dough and at the same time dont add too much of coconut milk.   Take a good amount of the murukku dough and add it to the murukku maker, You can directly add it to the oil or we can press it in a laddle and then drop it in oil.   Fry the murukku on medium heat flipping sides until the bubbles subside.  Enjoy Crunchy Thengai paal murukku / Coconut milk murukku with your favorite coffee Happy Cooking!!!</t>
  </si>
  <si>
    <t>ஒரு மிக்ஸி ஜாடியில் துருவிய தேங்காயை, சிறிது தண்ணீர் சேர்த்து, பால் முழுவதும் பிரித்தெடுக்க அரைக்கவும். பின்னர் அதை வடிகட்டி கெட்டியான தேங்காய் பால் சேகரிக்கவும் (அதிக தண்ணீர் சேர்க்க வேண்டாம்). தோல் நீக்கிய உளுந்தை 2-3 நிமிடங்கள் குறைந்த வெப்பத்தில் வறுக்கவும். அதை மிக்ஸியில் மாற்றி நன்றாக பொடியாக அரைக்கவும். பெரிய துண்டுகள் சேகரிக்கும் வரை சலிக்கவும், மாவு மிகவும் நன்றாக இருக்கும். ஒரு பெரிய கலவை கிண்ணத்தில் அரிசி மாவு, பின்னர் படி 2 இல் இருந்து வறுத்த உளுந்து மாவு, உப்பு சேர்க்காத வெண்ணெய் (அல்லது 2 டேபிள் ஸ்பூன் எண்ணெய்), உப்பு, எள் அல்லது சீரகம், பெருங்காயம் ஆகியவற்றைச் சேர்த்து நன்கு கலக்கவும். பின்னர் படிப்படியாக படி 1 இல் இருந்து தேங்காய் சாற்றைச் சேர்த்து மென்மையான மாவாகப் பிசையவும், அதே நேரத்தில் அதிகமாக தேங்காய்ப் பால் சேர்க்க வேண்டாம். முருக்கு மாவை நல்ல அளவு எடுத்து முருக்கு தயாரிப்பாளரில் சேர்க்கவும், நீங்கள் அதை நேரடியாக எண்ணெயில் சேர்க்கலாம் அல்லது நாம் அதை ஒரு கரண்டியால் அழுத்தி பின்னர் எண்ணெயில் போடலாம். முருக்கு மிதமான தீயில் குமிழ்கள் குறையும் வரை பக்கவாட்டில் வறுக்கவும். முருக்கு உங்களுக்குப் பிடித்த காபியுடன் மொறுமொறுப்பான தேங்காய் பால் முருக்கு / தேங்காய் பால் முருக்குவை அனுபவிக்கவும். சமையல் மகிழ்ச்சி!!!</t>
  </si>
  <si>
    <t>https://blogger.googleusercontent.com/img/b/R29vZ2xl/AVvXsEhsLKALM-Z_pLIrZVKLIelDvD9JgvWePWfaiYSrD5PXrKlVbNOo9qhz9miFNeZAjzkFePAXJT8RgHCwruREf0bUi72neqpuN2aruncJG3mtQBkgYh92fhL4egMqaEmcCD3dSZ11nbrA1VE/s640/rice+murukku.JPG</t>
  </si>
  <si>
    <t>Kadalai maavu Burfi</t>
  </si>
  <si>
    <t>கடலை மாவு பர்ஃபி</t>
  </si>
  <si>
    <t>1 cup - Chickpea flour(100g), 1/2 cup - Ghee (100g), 2 tbsp  - chopped nuts, few Saffron strands, 3/4 cup - Sugar, 1/2 cup - Water, 1/2 tsp - Cardamom powder.</t>
  </si>
  <si>
    <t>1 கப் - கொண்டைக்கடலை மாவு (100 கிராம்), 1/2 கப் - நெய் (100 கிராம்), 2 டேபிள் ஸ்பூன் - நறுக்கிய கொட்டைகள், சில குங்குமப்பூ இழைகள், 3/4 கப் - சர்க்கரை, 1/2 கப் - தண்ணீர், 1/2 டேபிள் ஸ்பூன் - ஏலக்காய் தூள்.</t>
  </si>
  <si>
    <t>Into a sauce pan add sugar, water and cook until the sugar syrup reaches 1 string consistency. Turn off the heat and add cardamom powder and stir. Keep it aside.  Now in a non stick pan melt ghee and add the besan flour (sift the flour before adding). Initially the mixture will be thick but soon it will become thin. Keep stirring the mixture on low heat for 8-10 minutes.  Once the raw smell of the besan is gone add sugar syrup from step 1 and mix well on low heat for 2 minutes or less. Once the bubbles subsides and leaves the pan transfer it to a greased pan.Do not cook for a longer duration, it might turn hard.   Add some chopped nuts, saffron(optional) and press it gently with a spoon and let it cool.  Once cooled, cut it into desired shapes.  That's it our delicious Besan Burfi / Kadalai maavu burfi  is ready to be enjoyed. Happy Cooking and happy festive season!!!</t>
  </si>
  <si>
    <t>ஒரு சாஸ் பானில் சர்க்கரை, தண்ணீர் சேர்த்து சர்க்கரை பாகு ஒரு நார் நிலைத்தன்மை அடையும் வரை சமைக்கவும். தீயை அணைத்து ஏலக்காய் தூள் சேர்த்து கிளறவும். அதை ஒதுக்கி வைக்கவும். இப்போது ஒரு நான்ஸ்டிக் பாத்திரத்தில் நெய்யை உருக்கி கடலை மாவு சேர்க்கவும் (சேர்ப்பதற்கு முன் மாவை சலிக்கவும்). ஆரம்பத்தில் கலவை கெட்டியாக இருக்கும், ஆனால் விரைவில் அது மெல்லியதாகிவிடும். கலவையை குறைந்த தீயில் 8-10 நிமிடங்கள் தொடர்ந்து கிளறவும். கடலை மாவின் பச்சை வாசனை போனதும் படி 1 இல் இருந்து சர்க்கரை பாகை சேர்த்து குறைந்த தீயில் 2 நிமிடங்கள் அல்லது அதற்கும் குறைவாக நன்கு கலக்கவும். குமிழ்கள் குறைந்து கடாயை விட்டு வெளியேறியதும், அதை எண்ணெய் தடவிய பாத்திரத்திற்கு மாற்றவும். அதிக நேரம் சமைக்க வேண்டாம், அது கடினமாக மாறக்கூடும். சிறிது நறுக்கிய கொட்டைகள், குங்குமப்பூ (விரும்பினால்) சேர்த்து ஒரு கரண்டியால் மெதுவாக அழுத்தி ஆற விடவும். ஆறியதும், விரும்பிய வடிவங்களில் வெட்டவும். அவ்வளவுதான் எங்கள் சுவையான பெசன் பர்பி / கடலை மாவு பர்பி சுவைக்க தயாராக உள்ளது. மகிழ்ச்சியான சமையல் மற்றும் மகிழ்ச்சியான பண்டிகை காலம்!!!</t>
  </si>
  <si>
    <t>https://blogger.googleusercontent.com/img/b/R29vZ2xl/AVvXsEhvs0XhZfnMayEf6LwkEBFalfBEXJgABzsP2mcTW8ABYdIJLlFC3kpfTKupJ5cpPKQO8o2sFWceVUj58rS8DbpKklvbp-gbZ4olfvOQuK_-Pjtk8Fc6B7SmAZ8YBTPkWyUsKvCWQZOiPBo/s640/DSC07281.JPG</t>
  </si>
  <si>
    <t>Omapodi</t>
  </si>
  <si>
    <t>ஓமப்பொடி</t>
  </si>
  <si>
    <t>1 cup -Chickpea flour(100g), 1/4 cup - Rice flour, 1/4 tsp - Turmeric powder, pinch Asafoetida, 1 tbsp - Butter or Oil, 3/4 tsp - Salt, Curry leaves, 1 tbsp - Omam (Ajwain), 1/2 cup  - Water.</t>
  </si>
  <si>
    <t>1 கப் - கொண்டைக்கடலை மாவு (100 கிராம்), 1/4 கப் - அரிசி மாவு, 1/4 தேக்கரண்டி - மஞ்சள் தூள், சிட்டிகை பெருங்காயம், 1 தேக்கரண்டி - வெண்ணெய் அல்லது எண்ணெய், 3/4 தேக்கரண்டி - உப்பு, கறிவேப்பிலை, 1 தேக்கரண்டி - ஓமம் (அஜ்வைன்), 1/2 கப் - தண்ணீர்.</t>
  </si>
  <si>
    <t>Into a blender add Omam and powder it, Finally add water and grind it again. Pass it through a filter and collect the clear omam water and keep it aside.  Into a mixing bowl add besan, rice flour, turmeric powder, soft butter (or you can also add hot Oil ) salt, oil and asafoetida. Mix once and then gradually add omam water from step 1 and mix it to form a soft dough (chapathi dough) . I have use approximately 1/4 cup of Omam water.  Place it inside idiyappam achu and press it into oil .Flip it halfyway and fry until bubbles subside.Break it into small pieces and keep it aside. Now trun off the heat and fry some curry leaves and add it to the omapodi and mix well.  That's it our delicious crunchy omapodi is ready to be enjoyed. Happy Cooking !!!</t>
  </si>
  <si>
    <t>ஒரு பிளெண்டரில் ஓமம் சேர்த்து பொடி செய்து, இறுதியாக தண்ணீர் சேர்த்து மீண்டும் அரைக்கவும். அதை வடிகட்டி வழியாக செலுத்தி தெளிவான ஓமம் தண்ணீரை சேகரித்து ஒதுக்கி வைக்கவும். ஒரு கலவை கிண்ணத்தில் கடலை மாவு, அரிசி மாவு, மஞ்சள் தூள், மென்மையான வெண்ணெய் (அல்லது நீங்கள் சூடான எண்ணெயையும் சேர்க்கலாம்) உப்பு, எண்ணெய் மற்றும் பெருங்காயம் சேர்க்கவும். ஒரு முறை கலந்து, பின்னர் படிப்படியாக படி 1 இலிருந்து ஓமம் தண்ணீரைச் சேர்த்து மென்மையான மாவை (சப்பாத்தி மாவு) தயாரிக்க கலக்கவும். நான் தோராயமாக 1/4 கப் ஓமம் தண்ணீரைப் பயன்படுத்தினேன். இடியாப்பம் அச்சுக்குள் வைத்து எண்ணெயில் அழுத்தவும். பாதியாகத் திருப்பி குமிழிகள் மறையும் வரை வறுக்கவும். சிறிய துண்டுகளாக உடைத்து ஒதுக்கி வைக்கவும். இப்போது அடுப்பை அணைத்து, சிறிது கறிவேப்பிலையை வறுத்து, ஓமப்பொடியுடன் சேர்த்து நன்கு கலக்கவும். அவ்வளவுதான், எங்கள் சுவையான மொறுமொறுப்பான ஓமப்பொடி சுவைக்கத் தயாராக உள்ளது. மகிழ்ச்சியான சமையல் !!!</t>
  </si>
  <si>
    <t>https://blogger.googleusercontent.com/img/b/R29vZ2xl/AVvXsEi6FZFs2WW7cT5svMc156zd60N3IkVOAOd3MxYfQ5yD2DR6Q6w48T8awPunoqGLVaGbtGAC-HxhnwDj2Lzqlsw7y4tEmt2GOg3Ow2Nz0tJpYpPabUbAffvQ5UTgQwF3QR3L0outZhW83o8/s640/DSC07336.JPG</t>
  </si>
  <si>
    <t>Mixed vegetable fry</t>
  </si>
  <si>
    <t>கலவை காய்கறி வறுவல்</t>
  </si>
  <si>
    <t>2 tbsp - Oil, 1/4 cup - Mustard seeds, 1 - chopped Onion, 1 tsp - Ginger Garlic paste, Curry leaves, 1 - Tomato, 1/4 tsp - Turmeric powder, 1/2 tsp - Cumin powder, 1/2 tsp - Garam masala , 2 tsp - Chili powder, 1 - Carrot, 1 cup - Cauliflower, 5-6 - Green beans, 1/2 cup - Green peas, 1 - Potato, required water, required salt.</t>
  </si>
  <si>
    <t>கறிவேப்பிலை, 1 - தக்காளி, 1/4 தேக்கரண்டி - மஞ்சள் தூள், 1/2 தேக்கரண்டி - சீரகப் பொடி, 1/2 தேக்கரண்டி - கரம் மசாலா, 2 தேக்கரண்டி - மிளகாய் தூள், 1 - கேரட், 1 கப் - காலிஃபிளவர், 5-6 - பச்சை பீன்ஸ், 1/2 கப் - பச்சை பட்டாணி, 1 - உருளைக்கிழங்கு, தேவையான தண்ணீர், தேவையான உப்பு.</t>
  </si>
  <si>
    <t>Heat oil in a pan and temper with mustard seeds, then add chopped onion , ginger garlic paste, curry leaves and cook until onions are browned.  Then add tomato and the masalas - turmeric powder, chili powder, garam masala,cumin powder.    Add the veggies - Carrot, beans, potato, cauliflower,peas , required water some salt and cook until the veggies are nicely roasted.  Our delicious mixed vegetable kootu is all ready to be enjoyed with rice or chapathi. Spread the JOY OF COOKING !!!</t>
  </si>
  <si>
    <t>2 தேக்கரண்டி - எண்ணெய், 1/4 கப் - கடுகு, 1 - நறுக்கிய வெங்காயம், 1 தேக்கரண்டி - இஞ்சி பூண்டு விழுது, கறிவேப்பிலை, 1 - தக்காளி, 1/4 தேக்கரண்டி - மஞ்சள் தூள், 1/2 தேக்கரண்டி - சீரகப் பொடி, 1/2 தேக்கரண்டி - கரம் மசாலா, 2 தேக்கரண்டி - மிளகாய் தூள், 1 - கேரட், 1 கப் - காலிஃபிளவர், 5-6 - பச்சை பீன்ஸ், 1/2 கப் - பச்சை பட்டாணி, 1 - உருளைக்கிழங்கு, தேவையான தண்ணீர், தேவையான உப்பு.</t>
  </si>
  <si>
    <t>https://blogger.googleusercontent.com/img/b/R29vZ2xl/AVvXsEgF-F2inbVwiAfJQPVLHLPsI0Q3zwg_01dwNUlI5lzkD61vtvtsw2FoV8vJhZhx_jg0eK6Ibt8bcLzb5NiS-OTVCct-7loF4NrZ9A536cqGc2triqyaCrdNopeAWyUj9LrDNL3J0IWxGE3x/s640/editted--1-1.jpg</t>
  </si>
  <si>
    <t>Potato nuggets</t>
  </si>
  <si>
    <t>உருளைக்கிழங்கு துண்டுகள்</t>
  </si>
  <si>
    <t>3 large - potatoes, 1/4 cup - chopped onion, 2 tablespoons - chopped coriander leaves, 1/2 tablespoon - garam masala, 1/2 tablespoon - chili powder, 1/4 cup - bread crumbs, salt and pepper, 4 tablespoons - cornstarch, 1 cup - bread crumbs, 1/2 cup - water, oil for frying.</t>
  </si>
  <si>
    <t>3 பெரிய - உருளைக்கிழங்கு, 1/4 கப் - நறுக்கிய வெங்காயம், 2 டேபிள் ஸ்பூன் - நறுக்கிய கொத்தமல்லி இலைகள், 1/2 டேபிள் ஸ்பூன் - கரம் மசாலா, 1/2 டேபிள் ஸ்பூன் - மிளகாய் தூள், 1/4 கப் - ரொட்டி துண்டுகள், உப்பு மற்றும் மிளகு, 4 டேபிள் ஸ்பூன் - சோள மாவு, 1 கப் - ரொட்டி துண்டுகள், 1/2 கப் - தண்ணீர், பொரிப்பதற்கு எண்ணெய்.</t>
  </si>
  <si>
    <t>Boil and mash 3 potatoes with hand or we can also grate the potatoes for uniform texture.   Season potatoes with chopped onion, coriander leaves, garam masala, chili powder, pepper powder, bread crumbs, salt and mix well.Without adding water knead it into a dough, If you feel the dough is watery or sticky then add little more bread crumbs or corn flour to make it thick.  Grease the hand with oil and roll the dough into small nuggets.  Now in a separate bowl add corn flour, water and mix well. Take one potato nugget and dip it in corn flour water then roll it over bread crumbs.   Once the oil is nice and hot add the potato nuggets one by one and fry until crispy and golden. Enjoy this crispy delicious potato nuggets with a smile on your face.  Spread the JOY OF COOKING !!!</t>
  </si>
  <si>
    <t>3 உருளைக்கிழங்கை கையால் வேகவைத்து மசிக்கவும் அல்லது உருளைக்கிழங்கை சீரான நிலைக்கு தட்டியும் செய்யலாம். உருளைக்கிழங்கை நறுக்கிய வெங்காயம், கொத்தமல்லி இலை, கரம் மசாலா, மிளகாய் தூள், மிளகு தூள், ரொட்டி துண்டுகள், உப்பு சேர்த்து நன்கு கலக்கவும். தண்ணீர் சேர்க்காமல் மாவாக பிசையவும், மாவு நீர் அல்லது ஒட்டும் தன்மை கொண்டதாக உணர்ந்தால், சிறிது ரொட்டி துண்டுகள் அல்லது சோள மாவு சேர்த்து கெட்டியாக பிசையவும். கையில் எண்ணெய் தடவி, மாவை சிறிய கட்டிகளாக உருட்டவும். இப்போது ஒரு தனி கிண்ணத்தில் சோள மாவு, தண்ணீர் சேர்த்து நன்கு கலக்கவும். ஒரு உருளைக்கிழங்கு கட்டியை எடுத்து சோள மாவு நீரில் நனைத்து, பிரட் துண்டுகளின் மேல் உருட்டவும். எண்ணெய் நன்றாகவும் சூடாகவும் ஆனதும், உருளைக்கிழங்கு கட்டிகளை ஒவ்வொன்றாகச் சேர்த்து மொறுமொறுப்பாகவும் பொன்னிறமாகவும் வறுக்கவும். இந்த மொறுமொறுப்பான சுவையான உருளைக்கிழங்கு கட்டியை உங்கள் முகத்தில் புன்னகையுடன் அனுபவிக்கவும். சமையலின் மகிழ்ச்சியைப் பரப்புங்கள்!!!</t>
  </si>
  <si>
    <t>https://blogger.googleusercontent.com/img/b/R29vZ2xl/AVvXsEhWucA4Q-yAlfwu5g32XlcdbV-eELypnC81lirUGZBPnSPZYDcUNXr0EwIL4mFoAEYMI_DYMyXGNapWACv7yk2OxVLZ9nMqaF3mz1kQ66sElN87o-dypOBCS-HdfZkgQju67AstSFeyLgs/s640/editted--1-1.jpg</t>
  </si>
  <si>
    <t>Healthy Dosa</t>
  </si>
  <si>
    <t>ஆரோக்கியமான தோசை</t>
  </si>
  <si>
    <t>1/2 cup - Channa dal , 1/2 cup - Urad dal , 1/2 cup - Green gram, 1/2 cup - Thoor dal, 1/2 cup - Idli rice , required water, required Salt.</t>
  </si>
  <si>
    <t>1/2 கப் - சன்னா பருப்பு, 1/2 கப் - உளுத்தம் பருப்பு, 1/2 கப் - பச்சைப்பயறு, 1/2 கப் - துவரம்பருப்பு, 1/2 கப் - இட்லி அரிசி, தேவையான தண்ணீர், தேவையான உப்பு.</t>
  </si>
  <si>
    <t>Rinse Idli Rice, Thoor Dal, Channa dal, skinless black gram, Green gram in water for a couple of times and then add enough water to cover the dal and also add dry red chilies and soak it for minimum 2-4 hours.  Transfer all the soaked Lentils in a mixer jar and grind it into a paste, do not add too much of water , add a very little amount of water while grinding if needed we can add more later.  To add some taste to the dosa add chili powder to the batter , salt and mix it well to get a semi thick batter consistency (add water if required).   Heat an iron pan and pour some batter over it and spread it into a thin layer. Drizzle some oil or Ghee on the top. Once it turns golden on the one side flip it to the other side and cook until both the sides turns golden and crispy  That's it our healthy and tasty dosai is ready to be served with a side of chutney. This dosa recipe is very similar regular dosa only difference is it is stuffed with lot of nutrients and goodness.to  Please do try this recipe with your family and share your feedback with us. Happy Cooking .</t>
  </si>
  <si>
    <t>இட்லி அரிசி, துவரம்பருப்பு, சன்னா பருப்பு, தோல் நீக்கிய உளுந்து, பச்சைப்பயறு ஆகியவற்றை இரண்டு முறை தண்ணீரில் கழுவி, பின்னர் பருப்பை மூடும் அளவுக்கு தண்ணீர் சேர்த்து, உலர்ந்த சிவப்பு மிளகாயையும் சேர்த்து குறைந்தது 2-4 மணி நேரம் ஊற வைக்கவும். ஊறவைத்த அனைத்து பருப்பையும் ஒரு மிக்ஸி ஜாடியில் மாற்றி பேஸ்டாக அரைக்கவும், அதிகமாக தண்ணீர் சேர்க்க வேண்டாம், தேவைப்பட்டால் சிறிது தண்ணீர் சேர்த்து அரைக்கலாம். தோசைக்கு சிறிது சுவை சேர்க்க, மாவில் மிளகாய் தூள், உப்பு சேர்த்து நன்கு கலக்கவும், அரை தடிமனான மாவு நிலைத்தன்மையைப் பெறவும் (தேவைப்பட்டால் தண்ணீர் சேர்க்கவும்). ஒரு இரும்பு பாத்திரத்தை சூடாக்கி, அதன் மேல் சிறிது மாவை ஊற்றி, மெல்லிய அடுக்காக பரப்பவும். மேலே சிறிது எண்ணெய் அல்லது நெய்யை தடவவும். ஒரு பக்கம் பொன்னிறமாக மாறியதும் மறுபுறம் திருப்பி, இரு பக்கமும் பொன்னிறமாகவும் மொறுமொறுப்பாகவும் மாறும் வரை சமைக்கவும். அவ்வளவுதான் எங்கள் ஆரோக்கியமான மற்றும் சுவையான தோசை, ஒரு பக்க சட்னியுடன் பரிமாற தயாராக உள்ளது. இந்த தோசை செய்முறை வழக்கமான தோசைக்கு மிகவும் ஒத்திருக்கிறது, ஒரே வித்தியாசம் என்னவென்றால், இதில் நிறைய ஊட்டச்சத்துக்கள் மற்றும் நன்மைகள் நிறைந்துள்ளன. தயவுசெய்து இந்த செய்முறையை உங்கள் குடும்பத்தினருடன் முயற்சி செய்து உங்கள் கருத்தை எங்களுடன் பகிர்ந்து கொள்ளுங்கள். மகிழ்ச்சியான சமையல்.</t>
  </si>
  <si>
    <t>https://blogger.googleusercontent.com/img/b/R29vZ2xl/AVvXsEjrorFbuKkXZ6bnqjdwD49sMFScLfo8BHpZxJAvH5SL2gA2CxQXJttOi0qFuInLpSnKjm6TUTORnA73UWwbf42UJCU-6VoTdDt6Q3J4NRPYptgPJUH9IPmYTAnAP-8uLE8PRyTvhSGEvWc/s640/editted--3-1.jpg</t>
  </si>
  <si>
    <t>Tomato Chutney</t>
  </si>
  <si>
    <t>தக்காளி சட்னி</t>
  </si>
  <si>
    <t>1 tsp - Oil, 2 large - Tomato, 4 - Small onion, 6 - Garlic clove, 2 - dry red chilies, few Coriander leaves, Salt to taste, 2 tbsp - Oil, 1/2 tsp - Mustard seeds, 1 tsp - Urad dal, 1 - dry red chili, pinch of Asafoetida, Curry leaves.</t>
  </si>
  <si>
    <t>1 தேக்கரண்டி - எண்ணெய், 2 பெரியது - தக்காளி, 4 - சிறிய வெங்காயம், 6 - பூண்டு பல், 2 - உலர்ந்த சிவப்பு மிளகாய், சில கொத்தமல்லி இலைகள், ருசிக்க உப்பு, 2 தேக்கரண்டி - எண்ணெய், 1/2 தேக்கரண்டி - கடுகு, 1 தேக்கரண்டி - உளுத்தம்பருப்பு, 1 - உலர்ந்த சிவப்பு மிளகாய், சிறிது பெருங்காயம், கறிவேப்பிலை.</t>
  </si>
  <si>
    <t>Heat oil in a pan and add small onions,then add cloves and give it a stir. Finally add chopped tomatoes, red chilies, required salt and cook until the juices from the tomatoes are reduced.Add few coriander leaves and turn off the heat.  Transfer it to a blender and grind it smooth.  Now to temper, heat oil in a pan and add mustard seeds, urad dal, red chilies, curry leaves, asafoetida and then add in the tomato puree from step 2 and cook for a minute and turn off the heat.  That's it our delicious tomato chutney is ready to be served with idli, dosa,etc... Happy Cooking !!!</t>
  </si>
  <si>
    <t>ஒரு கடாயில் எண்ணெயை சூடாக்கி, சிறிய வெங்காயத்தைச் சேர்த்து, பின்னர் கிராம்புகளைச் சேர்த்து கிளறவும். இறுதியாக நறுக்கிய தக்காளி, சிவப்பு மிளகாய், தேவையான உப்பு சேர்த்து தக்காளியிலிருந்து சாறு குறையும் வரை சமைக்கவும். சிறிது கொத்தமல்லி இலைகளைச் சேர்த்து, தீயை அணைக்கவும். இதை ஒரு பிளெண்டரில் மாற்றி, மென்மையாக அரைக்கவும். இப்போது ஒரு கடாயில் எண்ணெயைச் சூடாக்கி, கடுகு, உளுத்தம்பருப்பு, சிவப்பு மிளகாய், கறிவேப்பிலை, பெருங்காயம் சேர்த்து, பின்னர் படி 2 இல் உள்ள தக்காளி கூழ் சேர்த்து ஒரு நிமிடம் வதக்கி, தீயை அணைக்கவும். அவ்வளவுதான் எங்கள் சுவையான தக்காளி சட்னி இட்லி, தோசை போன்றவற்றுடன் பரிமாற தயாராக உள்ளது... இனிய சமையல்!!!</t>
  </si>
  <si>
    <t>https://blogger.googleusercontent.com/img/b/R29vZ2xl/AVvXsEiLibpfholxkogwbJJnSZ7k4o_lNBM8g8XhLSbuDNH2jk4YN5f73lGkjMAvzD3TS1kINdsuNQ71q8h5BOZ8QvGk9ouTdD7Zr8esuxIRmml8KYcszmfUM2wVe3ecAkD6v_Cq17ZMY4arlSQ/s640/editted--3-1.jpg</t>
  </si>
  <si>
    <t>Rainbow cake</t>
  </si>
  <si>
    <t>ரெயின்போ கேக்</t>
  </si>
  <si>
    <t>2 cup - All purpose flour (250 g), 1 cup - Sugar, 2 tsp - Baking Powder, 1 tsp - Baking Soda, 1/2 tsp - Salt  , 3  - Eggs, 1 cup  - Oil (250 ml) or melted butter, 1 cup - Milk (250 ml), 1 tsp - Vanilla extract, Colors - red, purple, Orange, Pink, 2 cup  - Butter (400 g), 2 cup - Powdered Sugar (250 g), 1/2 tsp  - Pink food color, 1 tbsp - Milk, 1 tsp - Vanilla extract.</t>
  </si>
  <si>
    <t>2 கப் - அனைத்து உபயோக மாவு (250 கிராம்), 1 கப் - சர்க்கரை, 2 தேக்கரண்டி - பேக்கிங் பவுடர், 1 தேக்கரண்டி - பேக்கிங் சோடா, 1/2 தேக்கரண்டி - உப்பு, 3 - முட்டை, 1 கப் - எண்ணெய் (250 மிலி) அல்லது உருகிய வெண்ணெய், 1 கப் - பால் (250 மிலி), 1 தேக்கரண்டி - வெண்ணிலா சாறு, நிறங்கள் - சிவப்பு, ஊதா, ஆரஞ்சு, இளஞ்சிவப்பு, 2 கப் - வெண்ணெய் (400 கிராம்), 2 கப் - தூள் சர்க்கரை (250 கிராம்), 1/2 தேக்கரண்டி - இளஞ்சிவப்பு உணவு நிறம், 1 தேக்கரண்டி - பால், 1 தேக்கரண்டி - வெண்ணிலா சாறு.</t>
  </si>
  <si>
    <t>Into a mixing bowl add eggs and whisk them nicely for 4-5 minutes. If you dont prefer eggs then use 1 cup of thick yogurt / curd instead of eggs.  Now to the eggs add milk, Oil or melted butter, Sugar, Vanilla extract and mix well until the sugar is dissolved.  Sift all the dry ingredients together - all purpose flour, baking powder, baking soda and salt and mix well with the wet ingredients.   Divide the batter into 4 and color them - I have used Red, Purple, Orange and Pink food colors. I have used four - 7 inch pan for baking the cakes, it takes approximately 12 -15  minutes at 350 F / 175 C in a preheated oven for a single cake. I baked all the four cakes separately .You can bake a single cake and cut it into 4 equal portions later. Once the cakes are done let it cool completely.   Into a bowl add 400 gram of unsalted butter (room temperature butter) and beat until it turns bright white (takes approximately 5-10 minutes on medium high). Now to this gradually add powdered sugar and mix well. I reserved some of the butter cream before adding color and in the rest of the cream I added pink color for the outer decoration .   Once done add milk and vanilla extract and mix well. Transfer it to a piping bag and set aside.   Place the first layer of the cake and apply some reserved white butter cream and then spread it evenly, then place the second layer of cake and then continue the same. Finally Cover the entire cake with the cream and I used Wiltom 1M tip to cover the cake with rosette add finally some sprinkles on the top.</t>
  </si>
  <si>
    <t>ஒரு கலவை கிண்ணத்தில் முட்டைகளைச் சேர்த்து 4-5 நிமிடங்கள் நன்றாக அடிக்கவும். நீங்கள் முட்டைகளை விரும்பவில்லை என்றால், முட்டைகளுக்கு பதிலாக 1 கப் தடிமனான தயிர் / தயிர் பயன்படுத்தவும். இப்போது முட்டைகளில் பால், எண்ணெய் அல்லது உருகிய வெண்ணெய், சர்க்கரை, வெண்ணிலா சாறு சேர்த்து சர்க்கரை கரையும் வரை நன்கு கலக்கவும். உலர்ந்த பொருட்கள் அனைத்தையும் ஒன்றாக சலித்து - அனைத்து வகையான மாவு, பேக்கிங் பவுடர், பேக்கிங் சோடா மற்றும் உப்பு ஆகியவற்றை ஒன்றாக சேர்த்து, ஈரமான பொருட்களுடன் நன்கு கலக்கவும். மாவை 4 ஆக பிரித்து வண்ணம் தீட்டவும் - நான் சிவப்பு, ஊதா, ஆரஞ்சு மற்றும் இளஞ்சிவப்பு உணவு வண்ணங்களைப் பயன்படுத்தினேன். கேக்குகளை சுடுவதற்கு நான்கு - 7 அங்குல பாத்திரத்தைப் பயன்படுத்தினேன், 350 F / 175 C வெப்பநிலையில் ஒரு கேக்கை முன்கூட்டியே சூடாக்கப்பட்ட அடுப்பில் சுமார் 12 -15 நிமிடங்கள் ஆகும். நான்கு கேக்குகளையும் தனித்தனியாக சுட்டேன். நீங்கள் ஒரு கேக்கை சுடலாம், பின்னர் அதை 4 சம பாகங்களாக வெட்டலாம். கேக்குகள் தயாரானதும், அதை முழுமையாக குளிர்விக்க விடுங்கள். ஒரு கிண்ணத்தில் 400 கிராம் உப்பு சேர்க்காத வெண்ணெய் (அறை வெப்பநிலை வெண்ணெய்) சேர்த்து, அது பிரகாசமான வெண்மையாக மாறும் வரை அடிக்கவும் (நடுத்தர உயரத்தில் சுமார் 5-10 நிமிடங்கள் ஆகும்). இப்போது இதில் படிப்படியாக தூள் சர்க்கரையைச் சேர்த்து நன்கு கலக்கவும். வண்ணத்தைச் சேர்ப்பதற்கு முன்பு நான் வெண்ணெய் கிரீம் சிலவற்றை ஒதுக்கி வைத்தேன், மீதமுள்ள க்ரீமில் வெளிப்புற அலங்காரத்திற்காக இளஞ்சிவப்பு நிறத்தைச் சேர்த்தேன். முடிந்ததும் பால் மற்றும் வெண்ணிலா சாறு சேர்த்து நன்கு கலக்கவும். அதை ஒரு பைப்பிங் பையில் மாற்றி ஒதுக்கி வைக்கவும். கேக்கின் முதல் அடுக்கை வைத்து, சிறிது வெள்ளை வெண்ணெய் கிரீம் தடவி, பின்னர் அதை சமமாக பரப்பவும், பின்னர் இரண்டாவது அடுக்கு கேக்கை வைக்கவும், பின்னர் அதையே தொடரவும். இறுதியாக முழு கேக்கையும் கிரீம் கொண்டு மூடி, நான் வில்டம் 1M முனையைப் பயன்படுத்தி கேக்கை ரோஸெட்டால் மூடி, இறுதியாக மேலே சில தெளிப்புகளைச் சேர்க்கவும்.</t>
  </si>
  <si>
    <t>https://blogger.googleusercontent.com/img/b/R29vZ2xl/AVvXsEjSXL82qeQ1SGt__KCcw0gO-eFeJqZHf7XI2eAfI_6hK5Ns1c5Rb6_uLkudCmb51sZa8hvz4aJu9iXf3FQ8Xrtley9_eo4sm_0dnwCFWo6nA7VVrNQAvA2IIhiVwYcs13E6Q1W0xgAmWE0/s640/2.jpg</t>
  </si>
  <si>
    <t>Ada Payasam</t>
  </si>
  <si>
    <t>அட பாயசம்</t>
  </si>
  <si>
    <t>100 g - Ada, 200 g - Jaggery, 1 cup - Water, 2 cup - coconut milk (third extract), 1 cup - coconut milk (second extract), 1 cup - thick coconut milk (first extract), 2 tbsp - Ghee, 1/4 cup - coconut pieces, 10 - Cashews, 1/2 tsp - Cardamom .</t>
  </si>
  <si>
    <t>100 கிராம் - அட, 200 கிராம் - வெல்லம், 1 கப் - தண்ணீர், 2 கப் - தேங்காய் பால் (மூன்றாவது சாறு), 1 கப் - தேங்காய் பால் (இரண்டாவது சாறு), 1 கப் - கெட்டியான தேங்காய் பால் (முதல் சாறு), 2 தேக்கரண்டி - நெய், 1/4 கப் - தேங்காய் துண்டுகள், 10 - முந்திரி, 1/2 தேக்கரண்டி - ஏலக்காய்.</t>
  </si>
  <si>
    <t>Heat water in a pan and add ada to it. Cook until the ada is nice and soft. Rise the cooked ada in cold water for a couple of times and drain the water.   Heat a pan and add jaggery also add water and filter it once the jaggery melts.    Now in the same pan add the filtered jaggery syrup and then add the cooked ada, cook until all the jaggery syrup is been absorbed by the adai.   Now its time to add in the coconut milk, firstly add 2 cups of thin coconut milk (last extract of the coconut) and cook for few minutes.   Once the coconut milk is reduced to half add 1 cup of thick coconut milk and cook for few more minutes. Finally add the first extract of the coconut milk and turn off the stove.   Now in a separate pan melt ghee and roast some coconut pieces, then add some cashews and saute until golden.   Finally add the roasted coconut pieces, cashews and cardamom powder to the payasam and stir.  That's it our delicious Adai payasam / ada pradamban is ready to be served with rice. Happy Cooking !!!</t>
  </si>
  <si>
    <t>ஒரு பாத்திரத்தில் தண்ணீரை சூடாக்கி, அடாவடியை சேர்க்கவும். அடாவடி நன்றாகவும் மென்மையாகவும் ஆகும் வரை சமைக்கவும். சமைத்த அடாவடியை குளிர்ந்த நீரில் இரண்டு முறை கிளறி தண்ணீரை வடிகட்டவும். ஒரு பாத்திரத்தை சூடாக்கி, வெல்லம் சேர்த்து, தண்ணீரைச் சேர்த்து, வெல்லம் உருகியதும் வடிகட்டி வைக்கவும். இப்போது அதே பாத்திரத்தில் வடிகட்டிய வெல்லம் சிரப்பைச் சேர்த்து, பின்னர் சமைத்த அடாவடியைச் சேர்த்து, வெல்லம் சிரப் அனைத்தும் அடையால் உறிஞ்சப்படும் வரை சமைக்கவும். இப்போது தேங்காய்ப் பால் சேர்க்க வேண்டிய நேரம் இது, முதலில் 2 கப் மெல்லிய தேங்காய்ப் பால் (தேங்காயின் கடைசி சாறு) சேர்த்து சில நிமிடங்கள் சமைக்கவும். தேங்காய் பால் பாதியாகக் குறைந்ததும் 1 கப் கெட்டியான தேங்காய்ப் பால் சேர்த்து இன்னும் சில நிமிடங்கள் சமைக்கவும். இறுதியாக தேங்காய்ப் பாலில் இருந்து முதல் சாற்றைச் சேர்த்து அடுப்பை அணைக்கவும். இப்போது ஒரு தனி வாணலியில் நெய்யை உருக்கி, சிறிது தேங்காய் துண்டுகளை வறுத்து, பின்னர் சிறிது முந்திரி சேர்த்து பொன்னிறமாகும் வரை வதக்கவும். கடைசியாக வறுத்த தேங்காய் துண்டுகள், முந்திரி மற்றும் ஏலக்காய் தூள் ஆகியவற்றை பாயாசத்தில் சேர்த்து கிளறவும். அவ்வளவுதான், எங்கள் சுவையான அடை பாயாசம் / அட பிரதம்பன் சாதத்துடன் பரிமாற தயாராக உள்ளது. மகிழ்ச்சியான சமையல் !!!</t>
  </si>
  <si>
    <t>https://blogger.googleusercontent.com/img/b/R29vZ2xl/AVvXsEhhSfhZi1jvCO4Thr4JwSuL9ezQhEG63tzrdAU9gRW5e3TlXz0bEFEnKPt0FjTaWnQ-aWYY85AvZUXX0_5A-ZBDl7lFhU5IXpcgEAkcY8tqUFu91ax8KKkhbHDzmqcnesC7HgntO9aqmKQ/s640/DSC07083.JPG</t>
  </si>
  <si>
    <t>Fish Masala</t>
  </si>
  <si>
    <t>மீன் மசாலா</t>
  </si>
  <si>
    <t>6 pc - Fish(400g ), 1 tsp - Chili powder, 1/2 tsp - Turmeric powder, Salt and Pepper, Oil for frying , 2 tbsp - Oil, 1/4 tsp - Mustard seeds, 1/2 tsp - Cumin seeds, 1/2 tsp - Fennel seeds, 1 tbsp - Ginger (chopped finely), 1 tbsp - Garlic (chopped finely), 1 - Green chilies, 1 - red chilies, 1 - spring Curry leaves, 3 -  small onion , 1 tsp - Chili powder, 1 tsp - Garam masala, required salt, required water, Coriander leaves.</t>
  </si>
  <si>
    <t>6 - மீன் (400 கிராம்), 1 டீஸ்பூன் - மிளகாய் தூள், 1/2 டீஸ்பூன் - மஞ்சள் தூள், உப்பு மற்றும் மிளகு, பொரிப்பதற்கு எண்ணெய், 2 டீஸ்பூன் - எண்ணெய், 1/4 டீஸ்பூன் - கடுகு, 1/2 டீஸ்பூன் - சீரகம், 1/2 டீஸ்பூன் - பெருஞ்சீரகம், 1 டீஸ்பூன் - இஞ்சி (நன்றாக நறுக்கியது), 1 டீஸ்பூன் - பூண்டு (நன்றாக நறுக்கியது), 1 - பச்சை மிளகாய், 1 - சிவப்பு மிளகாய், 1 - வசந்த கறிவேப்பிலை, 3 - சிறிய வெங்காயம், 1 டீஸ்பூன் - மிளகாய் தூள், 1 டீஸ்பூன் - கரம் மசாலா, தேவையான உப்பு, தேவையான தண்ணீர், கொத்தமல்லி இலைகள்.</t>
  </si>
  <si>
    <t>Clean the fish and mariante the fish with chili powder, turmeric, salt and pepper. Keep it aside for 15 -20 min.  Heat oil in a pan and fry the fish until crisp on both sides. Remove it from the oil and keep it aside.   Now in the same pan add mustard seeds, cumin , fennel, chopped ginger, chopped garlic, dry red chilies, green chilies, curry leaves and give it a stir.  Then add chopped onion and cook until they are browned.Once they are browned add the tomatoes and the masalas Chili powder and garam masala. Cook until it turns to a paste.   Now add some water and cook for 2 minutes, then add the fried fish from step 2 and cover it with a lid. Cook for few minutes and then flip it over and cook for few more minutes.   That's it our delicious Fish masala fry is ready to be served with rice. Happy Cooking !!!</t>
  </si>
  <si>
    <t>மீனை சுத்தம் செய்து, மிளகாய் தூள், மஞ்சள், உப்பு மற்றும் மிளகு சேர்த்து மீனை மரியான்ட் செய்யவும். 15 -20 நிமிடங்கள் ஒதுக்கி வைக்கவும். ஒரு கடாயில் எண்ணெயை சூடாக்கி, மீனை இருபுறமும் மொறுமொறுப்பாகும் வரை வறுக்கவும். எண்ணெயிலிருந்து அகற்றி ஒதுக்கி வைக்கவும். இப்போது அதே வாணலியில் கடுகு, சீரகம், பெருஞ்சீரகம், நறுக்கிய இஞ்சி, நறுக்கிய பூண்டு, உலர்ந்த சிவப்பு மிளகாய், பச்சை மிளகாய், கறிவேப்பிலை ஆகியவற்றைச் சேர்த்து கிளறவும். பின்னர் நறுக்கிய வெங்காயத்தைச் சேர்த்து அவை பழுப்பு நிறமாகும் வரை வதக்கவும். அவை பழுப்பு நிறமானதும் தக்காளி மற்றும் மசாலாக்கள் மிளகாய்த்தூள் மற்றும் கரம் மசாலாவைச் சேர்க்கவும். அது ஒரு பேஸ்டாக மாறும் வரை வதக்கவும். இப்போது சிறிது தண்ணீர் சேர்த்து 2 நிமிடங்கள் சமைக்கவும், பின்னர் படி 2 இல் வறுத்த மீனைச் சேர்த்து மூடி வைக்கவும். சில நிமிடங்கள் சமைக்கவும், பின்னர் அதை திருப்பி வைத்து இன்னும் சில நிமிடங்கள் சமைக்கவும். அவ்வளவுதான், எங்கள் சுவையான மீன் மசாலா வறுவல் சாதத்துடன் பரிமாற தயாராக உள்ளது. மகிழ்ச்சியான சமையல் !!!</t>
  </si>
  <si>
    <t>https://blogger.googleusercontent.com/img/b/R29vZ2xl/AVvXsEjgE3haFcUAlWPKWiE6bcDH4vYv8jyZ4JzNNDfo4Cz28k4nV7M1xYXNGoGIxoS3DebBry8yOPtjI9eUR52GwOnGJa4ozE72niCdt3dUxVU5_Du5dXCNYy6p216H4ohC7teAbswf8iJNa4Em/s640/DSC06082.JPG</t>
  </si>
  <si>
    <t>Potato Chili 65</t>
  </si>
  <si>
    <t>உருளைக்கிழங்கு மிளகாய் 65</t>
  </si>
  <si>
    <t>2 large - Potatoes(400g ), 2 tbsp - rice flour, 2 tbsp - Corn flour, 1 tsp - Chili powder, 1 tsp - Garam masala, Salt and Pepper, Oil for frying, For Masala, 2 tbsp - Oil, 1/8 tsp - Mustard seeds, 1 large - onion (or 2 medium), 1 tbsp - Ginger (chopped finely), 1 tbsp - Garlic (chopped finely), 2 - Green chilies, 2 - red chilies, 1 - sping Curry leaves, 1/2 tsp - Cumin powder, 1 tsp - Garam masala, 1 tsp - Chili powder.</t>
  </si>
  <si>
    <t>2 பெரியது - உருளைக்கிழங்கு (400 கிராம்), 2 தேக்கரண்டி - அரிசி மாவு, 2 தேக்கரண்டி - சோள மாவு, 1 தேக்கரண்டி - மிளகாய் தூள், 1 தேக்கரண்டி - கரம் மசாலா, உப்பு மற்றும் மிளகு, பொரிப்பதற்கு எண்ணெய், மசாலாவிற்கு, 2 தேக்கரண்டி - எண்ணெய், 1/8 தேக்கரண்டி - கடுகு, 1 பெரியது - வெங்காயம் (அல்லது 2 நடுத்தரம்), 1 தேக்கரண்டி - இஞ்சி (நன்றாக நறுக்கியது), 1 தேக்கரண்டி - பூண்டு (நன்றாக நறுக்கியது), 2 - பச்சை மிளகாய், 2 - சிவப்பு மிளகாய், 1 - கறிவேப்பிலை, 1/2 தேக்கரண்டி - சீரகப் பொடி, 1 தேக்கரண்டி - கரம் மசாலா, 1 தேக்கரண்டி - மிளகாய் தூள்.</t>
  </si>
  <si>
    <t>Peal the skin of the potatoes and cut them into medium sized cubes. Boil water in a pan and add the potatoes and cook for 5 minutes. Drain the water and transfer it to a bowl.   Now to the boiled potatoes add rice flour, corn flour, chili powder, garam masala, salt and pepper. Sprinkle some water and coat the masalas with the potatoes.    Heat oil in a pan and fry the potatoes until crisp on all the sides, drain the oil and keep it aside.   Heat oil in a pan and temper with mustard seeds, ginger, garlic, green chilies, curry leaves and red chilies. Then add chopped onion and cook until they are browned.   Once the onions are nice and brown add the masalas - cumin powder, chili powder and garam masala. Finally add the fried potatoes and mix it well (do not add water).  That's it our delicious crunchy potato fry is ready to be served. Happy Cooking !!!</t>
  </si>
  <si>
    <t>உருளைக்கிழங்கின் தோலை உரித்து நடுத்தர அளவிலான க்யூப்ஸாக வெட்டவும். ஒரு பாத்திரத்தில் தண்ணீரை கொதிக்க வைத்து உருளைக்கிழங்கைச் சேர்த்து 5 நிமிடங்கள் சமைக்கவும். தண்ணீரை வடிகட்டி ஒரு கிண்ணத்திற்கு மாற்றவும். இப்போது வேகவைத்த உருளைக்கிழங்கில் அரிசி மாவு, சோள மாவு, மிளகாய் தூள், கரம் மசாலா, உப்பு மற்றும் மிளகு சேர்க்கவும். சிறிது தண்ணீர் தெளித்து, உருளைக்கிழங்குடன் மசாலாக்களை பூசவும். ஒரு கடாயில் எண்ணெயை சூடாக்கி, உருளைக்கிழங்கை அனைத்து பக்கங்களிலும் மொறுமொறுப்பாக வதக்கி, எண்ணெயை வடித்து தனியாக வைக்கவும். ஒரு கடாயில் எண்ணெயை சூடாக்கி, கடுகு, இஞ்சி, பூண்டு, பச்சை மிளகாய், கறிவேப்பிலை மற்றும் சிவப்பு மிளகாய் சேர்த்து வதக்கவும். பின்னர் நறுக்கிய வெங்காயத்தைச் சேர்த்து, அவை பொன்னிறமாகும் வரை வதக்கவும். வெங்காயம் நன்றாக வதங்கி, பழுப்பு நிறமாக மாறியதும், மசாலாக்கள் - சீரகப் பொடி, மிளகாய்த் தூள் மற்றும் கரம் மசாலாவைச் சேர்க்கவும். இறுதியாக வறுத்த உருளைக்கிழங்கைச் சேர்த்து நன்கு கலக்கவும் (தண்ணீர் சேர்க்க வேண்டாம்). அவ்வளவுதான், எங்கள் சுவையான மொறுமொறுப்பான உருளைக்கிழங்கு வறுவல் பரிமாற தயாராக உள்ளது. மகிழ்ச்சியான சமையல் !!!</t>
  </si>
  <si>
    <t>https://blogger.googleusercontent.com/img/b/R29vZ2xl/AVvXsEiws7fkoliQFnNgFczpCjhTxkFNwCW_AjTXkjp-9t2luwmleuco13TwTMlO2Kih9Jtn_cEqNKi9Ketnw7mV83VuRicsCJjyGAOTNG4R02M69DnjVx9EiwAjKzu5vf9BFnm2HY-ZVXF6hco/s640/DSC07204.JPG</t>
  </si>
  <si>
    <t>Soya Chunks Kulambu</t>
  </si>
  <si>
    <t>சோயா குழம்பு</t>
  </si>
  <si>
    <t>1 cup - Meal maker, 2 tbsp - Oil, 1/4 tsp - Mustard seeds, 1- bay leaf,  1 - cinnamon,  2 - cardamon,  2 - cloves, 1 tbsp - Ginger garlic paste, 2 - Green chilies, Curry leaves, 1 - Onion, 1/4 tsp - Turmeric, 1 tsp - Garam masala, 1-2 tsp - Chili powder, 1 tbsp - Coriander powder, 2 - Tomatoes, 1/4 cup - Coconut, 1 tsp - cumin seeds, 1 tsp - fennel seeds, 1 - Cinnamon,  1 - cardamom,  1 - clove, required Salt, Coriander leaves .</t>
  </si>
  <si>
    <t>1 கப் - மீல் மேக்கர், 2 டேபிள்ஸ்பூன் - எண்ணெய், 1/4 டேபிள்ஸ்பூன் - கடுகு, 1- பிரியாணி இலை, 1 - இலவங்கப்பட்டை, 2 - ஏலக்காய், 2 - கிராம்பு, 1 டேபிள்ஸ்பூன் - இஞ்சி பூண்டு விழுது, 2 - பச்சை மிளகாய், கறிவேப்பிலை, 1 - வெங்காயம், 1/4 டேபிள்ஸ்பூன் - மஞ்சள், 1 டேபிள்ஸ்பூன் - கரம் மசாலா, 1-2 டேபிள்ஸ்பூன் - மிளகாய் தூள், 1 டேபிள்ஸ்பூன் - கொத்தமல்லி தூள், 2 - தக்காளி, 1/4 கப் - தேங்காய், 1 டேபிள்ஸ்பூன் - சீரகம், 1 டேபிள்ஸ்பூன் - பெருஞ்சீரகம், 1 - இலவங்கப்பட்டை, 1 - ஏலக்காய், 1 - கிராம்பு, தேவையான உப்பு, கொத்தமல்லி இலைகள்.</t>
  </si>
  <si>
    <t>Heat water and add in the soya chunks and let it soak for 10 -15 minutes. After 15 minutes squeeze the water and set it aside. (we can also break the chunks into small pieces and add to the recipe.  Heat oil in a pan and add mustard seeds, once the seeds pops out add the whole spices -cinnamon, cardamom, clove, bay leaf. Then add in ginger garlic paste, green chilies, curry leaves and give it a stir.  Finally add onions and saute until golden.  Once the onions are golden add the masalas - turmeric, garam masala, Coriander powder, chili powder, give it a stir and the add tomatoes, some water and cook until soft.   In a blender add grated coconut, cumin seeds, fennel seeds,cinnamon, cardamom, clove some water and grind it to a fine paste.  Once the tomatoes are nice and soft dd the coconut base , required water, required salt and let it boil. Finally add the soya chunks and cook for 10  minutes.   Finally garnish with coriander leaves and turn off the heat.  That's  it our delicious soya chinks Kulambu recipe is ready to be served with rice or Chapathi.</t>
  </si>
  <si>
    <t>தண்ணீரை சூடாக்கி, சோயா துண்டுகளை சேர்த்து 10 -15 நிமிடங்கள் ஊற வைக்கவும். 15 நிமிடங்களுக்குப் பிறகு தண்ணீரை பிழிந்து தனியாக வைக்கவும். ஒரு கடாயில் எண்ணெயை சூடாக்கி, கடுகு விதைகளைச் சேர்த்து, விதைகள் வெளியே வந்ததும், இலவங்கப்பட்டை, ஏலக்காய், கிராம்பு, பிரியாணி இலை ஆகியவற்றைச் சேர்க்கவும். பின்னர் இஞ்சி பூண்டு விழுது, பச்சை மிளகாய், கறிவேப்பிலை ஆகியவற்றைச் சேர்த்து நன்கு கிளறவும். இறுதியாக வெங்காயத்தைச் சேர்த்து பொன்னிறமாகும் வரை வதக்கவும். வெங்காயம் பொன்னிறமானதும், மஞ்சள், கரம் மசாலா, கொத்தமல்லி தூள், மிளகாய் தூள் ஆகியவற்றைச் சேர்த்து நன்கு கிளறி, தக்காளியைச் சேர்த்து சிறிது தண்ணீர் சேர்த்து மென்மையாகும் வரை சமைக்கவும். ஒரு பிளெண்டரில் துருவிய தேங்காய், சீரகம், பெருஞ்சீரகம், இலவங்கப்பட்டை, ஏலக்காய், கிராம்பு ஆகியவற்றைச் சேர்த்து நன்கு அரைக்கவும். தக்காளி நன்றாகவும் மென்மையாகவும் ஆனதும், தேங்காய்த் தளம், தேவையான தண்ணீர், தேவையான உப்பு சேர்த்து கொதிக்க விடவும். இறுதியாக சோயா துண்டுகளைச் சேர்த்து 10 நிமிடங்கள் சமைக்கவும். கடைசியாக கொத்தமல்லி இலைகளால் அலங்கரித்து, தீயை அணைக்கவும். அவ்வளவுதான், எங்கள் சுவையான சோயா சிங்க்ஸ் குழம்பு செய்முறை சாதம் அல்லது சப்பாத்தியுடன் பரிமாற தயாராக உள்ளது.</t>
  </si>
  <si>
    <t>https://blogger.googleusercontent.com/img/b/R29vZ2xl/AVvXsEiYi9BhlJvXsX2RTVP_8xbd_fVFby0ccuC84mxVaNacohh_Zolowdi0mLs1QaB4RGWS9aGCk2xY36g0_dpCZzKT6qAOTiDG6Y9DG_Z0z2o0FoHYyUhr8Pimr6CAdjkHFsYCu5KEqH5QuQ8/s640/DSC07225.JPG</t>
  </si>
  <si>
    <t>https://www.youtube.com/watch?v=6P4DMik6bW0</t>
  </si>
  <si>
    <t>Roadside Kalan Masala</t>
  </si>
  <si>
    <t>சாலையோர கலன் மசாலா</t>
  </si>
  <si>
    <t>2 cup - Chopped Cabbage (200 g), 2 cup - Chopped Mushroom (200 g) , 1 cup - Maida, 1/4 cup - Corn flour, 1 tbsp - Chili powder, 1 tbsp - Garam masala, required Salt, 2 tbsp - Oil, 2  - onion, 1 tbsp - Ginger garlic paste, 2 - Green chilies, Curry leaves, 3 - Tomatoes, 1/4 tsp - Turmeric powder, 1/2 tsp - Garam masala, 1 tsp - Coriander powder, 2 tsp - Chili powder, 1 tbsp - Corn flour ,  1 cup - water, required Salt, Coriander leaves , chopped onion.</t>
  </si>
  <si>
    <t>2 கப் - நறுக்கிய முட்டைக்கோஸ் (200 கிராம்), 2 கப் - நறுக்கிய காளான் (200 கிராம்), 1 கப் - மைதா, 1/4 கப் - சோள மாவு, 1 டேபிள் ஸ்பூன் - மிளகாய் தூள், 1 டேபிள் ஸ்பூன் - கரம் மசாலா, தேவையான உப்பு, 2 டேபிள் ஸ்பூன் - எண்ணெய், 2 - வெங்காயம், 1 டேபிள் ஸ்பூன் - இஞ்சி பூண்டு விழுது, 2 - பச்சை மிளகாய், கறிவேப்பிலை, 3 - தக்காளி, 1/4 டேபிள் ஸ்பூன் - மஞ்சள் தூள், 1/2 டேபிள் ஸ்பூன் - கரம் மசாலா, 1 டேபிள் ஸ்பூன் - கொத்தமல்லி தூள், 2 டேபிள் ஸ்பூன் - மிளகாய் தூள், 1 டேபிள் ஸ்பூன் - சோள மாவு, 1 கப் - தண்ணீர், தேவையான உப்பு, கொத்தமல்லி இலை, நறுக்கிய வெங்காயம்.</t>
  </si>
  <si>
    <t>In a bowl, mix maida, corn flour, ginger-garlic paste, red chili powder, and salt.  Add mushrooms and cabbage to this mixture. Sprinkle little water and coat well.  Heat oil in a pan and deep fry the coated mushrooms and cabbage until crispy. Drain and set aside.  Heat 2 tbsp oil in a pan and add fennel seeds. Add chopped onions, green chili, and curry leaves. Sauté until onions turn golden.  Add ginger-garlic paste and sauté until raw smell disappears. Add tomatoes and cook until soft.  Add turmeric, red chili powder, coriander powder, garam masala, and pepper powder. Mix well.  Lower the flame and add beaten curd. Stir continuously to avoid curdling.  Add tomato sauce, soya sauce, and kasuri methi. Cook until masala thickens.  Add the fried mushrooms and cabbage to the masala. Toss well. Cook for 2–3 minutes so the masala coats the mushrooms properly. Garnish with chopped coriander leaves and serve hot.</t>
  </si>
  <si>
    <t>ஒரு பாத்திரத்தில், மைதா, சோள மாவு, இஞ்சி-பூண்டு விழுது, சிவப்பு மிளகாய் தூள் மற்றும் உப்பு ஆகியவற்றை கலக்கவும். இந்த கலவையுடன் காளான்கள் மற்றும் முட்டைக்கோஸை சேர்க்கவும். சிறிது தண்ணீர் தெளித்து நன்றாக பூசவும். ஒரு கடாயில் எண்ணெயை சூடாக்கி, பூசப்பட்ட காளான்கள் மற்றும் முட்டைக்கோஸை மொறுமொறுப்பாக வதக்கவும். வடிகட்டி தனியாக வைக்கவும். ஒரு கடாயில் 2 தேக்கரண்டி எண்ணெயை சூடாக்கி, பெருஞ்சீரகம் சேர்க்கவும். நறுக்கிய வெங்காயம், பச்சை மிளகாய் மற்றும் கறிவேப்பிலை சேர்க்கவும். வெங்காயம் பொன்னிறமாகும் வரை வதக்கவும். இஞ்சி-பூண்டு விழுது சேர்த்து, பச்சை வாசனை மறையும் வரை வதக்கவும். தக்காளியைச் சேர்த்து மென்மையாகும் வரை வதக்கவும். மஞ்சள், சிவப்பு மிளகாய் தூள், கொத்தமல்லி தூள், கரம் மசாலா மற்றும் மிளகு தூள் சேர்க்கவும். நன்கு கலக்கவும். தீயைக் குறைத்து, தயிர் சேர்க்கவும். தயிர் கெட்டியாகும் வரை தொடர்ந்து கிளறவும். தக்காளி சாஸ், சோயா சாஸ் மற்றும் கசூரி மேத்தி சேர்க்கவும். மசாலா கெட்டியாகும் வரை சமைக்கவும். வறுத்த காளான்கள் மற்றும் முட்டைக்கோஸை மசாலாவுடன் சேர்க்கவும். நன்றாகக் கிளறவும். மசாலா காளான்களை சரியாக மூடும் வகையில் 2-3 நிமிடங்கள் சமைக்கவும். நறுக்கிய கொத்தமல்லி இலைகளால் அலங்கரித்து சூடாகப் பரிமாறவும்.</t>
  </si>
  <si>
    <t>https://blogger.googleusercontent.com/img/b/R29vZ2xl/AVvXsEj2fmmLCQeOWtNzxEDeXMHuDmVgI6F8nqzw8EguQd7h7QmHBw9mMrrS1QZ1G5BVOVwXW93e4sG-c6GLX6dCl-Z0eD6nUNFC2S1K4xUwlVUsr-k_9wmdQr152iVZRQ3lE7leSf2430stE9s/s640/editted--1-1.jpg</t>
  </si>
  <si>
    <t>Wheat Biscuit</t>
  </si>
  <si>
    <t>கோதுமை பிஸ்கட்</t>
  </si>
  <si>
    <t>1 cup - Wheat flour (150 g), 1 cup - Dates (100 g), 1/4 cup - Hot Milk, 3 tbsp - Butter (50 g), 1 tsp - Baking powder, 1/4 tsp - Salt.</t>
  </si>
  <si>
    <t>1 கப் - கோதுமை மாவு (150 கிராம்), 1 கப் - பேரீச்சம்பழம் (100 கிராம்), 1/4 கப் - சூடான பால், 3 டீஸ்பூன் - வெண்ணெய் (50 கிராம்), 1 டீஸ்பூன் - பேக்கிங் பவுடர், 1/4 டீஸ்பூன் - உப்பு.</t>
  </si>
  <si>
    <t>Chop the dates into small pieces and soak it in hot milk for 20 minutes.After soaking grind it to a smooth paste along with Milk.    Into a mixing bowl add unsalted butter at room temperature and whisk well for 3 - 4 minutes, make sure the butter is nice and soft.  Add the dates paste to the butter and mix well. Now to this sieve wheat flour, baking powder , salt and mix well with your hands, do not over mix.   Divide the dough into 2 and roll them flat, 2 cm thickness, Cut into circles and decorate the biscuits if you wish.   Preheat the oven to 350 F / 175 C and bake the biscuits for 12 - 15 minutes. Let it cool before serving.  Our delicious Wheat Biscuits / gothumai maavu Biscuits are ready to be enjoyed. Please do try this recipe at home and share the healthy biscuits with friends and family.  Happy Cooking!!!</t>
  </si>
  <si>
    <t>பேரீச்சம்பழத்தை சிறிய துண்டுகளாக நறுக்கி, சூடான பாலில் 20 நிமிடங்கள் ஊற வைக்கவும். ஊறவைத்த பிறகு, பாலுடன் சேர்த்து மென்மையான பேஸ்டாக அரைக்கவும். ஒரு கலவை கிண்ணத்தில் அறை வெப்பநிலையில் உப்பு சேர்க்காத வெண்ணெய் சேர்த்து 3 - 4 நிமிடங்கள் நன்றாக துடைக்கவும், வெண்ணெய் நன்றாகவும் மென்மையாகவும் இருப்பதை உறுதி செய்யவும். பேரீச்சம்பழ பேஸ்ட்டை வெண்ணெயில் சேர்த்து நன்கு கலக்கவும். இப்போது இந்த சல்லடையில் கோதுமை மாவு, பேக்கிங் பவுடர், உப்பு சேர்த்து உங்கள் கைகளால் நன்றாக கலக்கவும், அதிகமாக கலக்க வேண்டாம். மாவை 2 ஆக பிரித்து தட்டையாக, 2 செ.மீ தடிமன் கொண்ட தட்டையாக உருட்டி, வட்டங்களாக வெட்டி பிஸ்கட்டுகளை அலங்கரிக்கவும். அடுப்பை 350 F / 175 C க்கு முன்கூட்டியே சூடாக்கி, பிஸ்கட்டுகளை 12 - 15 நிமிடங்கள் சுடவும். பரிமாறுவதற்கு முன் அதை குளிர்விக்க விடுங்கள். எங்கள் சுவையான கோதுமை பிஸ்கட்கள் / கோதுமை மாவு பிஸ்கட்கள் ருசிக்க தயாராக உள்ளன. தயவுசெய்து இந்த செய்முறையை வீட்டிலேயே முயற்சி செய்து, ஆரோக்கியமான பிஸ்கட்களை நண்பர்கள் மற்றும் குடும்பத்தினருடன் பகிர்ந்து கொள்ளுங்கள். மகிழ்ச்சியான சமையல்!!!</t>
  </si>
  <si>
    <t>https://blogger.googleusercontent.com/img/b/R29vZ2xl/AVvXsEjyvx1uS77M8xKUffUKls5X8SFt6w_UYvwTC4rg8-BNW4_5KmKnqHyeTEWv80Cqp78rzlkUQv03yPc90TlvjiWePu6_Gif-q4rtN-cxnF-e99OOQ9Px8Am7UKCjOX1fBgEIEQkS2dzijgI/s640/DSC06900.JPG</t>
  </si>
  <si>
    <t>Udacha Muttai Kulambu</t>
  </si>
  <si>
    <t>உடச்ச முட்டை குழம்பு</t>
  </si>
  <si>
    <t>2 tbsp - Oil, 1/4 tsp - Mustard seeds, 1 - Cinnamon,  2 -  cloves,  2 - cardamom, 1 tsp - Fennel seeds, 2 - larde Onion, 1 - Ginger garlic paste, 2 - Green chilies, few Curry leaves, 1/4 tsp - Turmeric powder, 1 tsp - Garam masala, 1 tsp - Coriander powder, 2 tsp - Chili powder, 2 large - tomatoes, 5 - Eggs, required Water, required Salt, Coriander leaves for garnishing.</t>
  </si>
  <si>
    <t>2 டேபிள் ஸ்பூன் - எண்ணெய், 1/4 டேபிள் ஸ்பூன் - கடுகு, 1 - இலவங்கப்பட்டை, 2 - கிராம்பு, 2 - ஏலக்காய், 1 டேபிள் ஸ்பூன் - வெந்தயம், 2 - பெரிய வெங்காயம், 1 - இஞ்சி பூண்டு விழுது, 2 - பச்சை மிளகாய், சில கறிவேப்பிலை, 1/4 டேபிள் ஸ்பூன் - மஞ்சள் தூள், 1 டேபிள் ஸ்பூன் - கரம் மசாலா, 1 டேபிள் ஸ்பூன் - கொத்தமல்லி தூள், 2 டேபிள் ஸ்பூன் - மிளகாய் தூள், 2 பெரிய தக்காளி, 5 - முட்டை, தேவையான தண்ணீர், தேவையான உப்பு, அலங்கரிக்க கொத்தமல்லி இலைகள்.</t>
  </si>
  <si>
    <t>Heat oil in a pan and temper with mustard seeds, Cinnamon, cardamom, clove, fennel seeds. Then add in finely chopped onion , ginger garlic paste, green chilies, curry leaves and saute until golden brown.   Now lets add the masalas - Turmeric powder, Coriander powder, Garam masala, Chili powder and mix well. If required add a little bit of water to prevent the masalas from burning. Next add in finely chopped tomatoes and cook until everything turns into a paste.    Once the tomatoes are nice and soft add  water, required salt and let it cook for few more minutes. Beat one egg and add it to the boiling gravy and stir,  adding egg thickens the gravy. Now break open 4 eggs and drop it directly into the curry. Cover and let it cook for 5 minutes.   Now if required flip the eggs to the other side and cook for few more minutes - 2 to 5 minutes. Finally garnish with coriander leaves and turn off the heat.  Our delicious Egg Curry is ready to be served. This curry is an excellent companion for Chapathi, Roti , Rice and Dosa. Please do try this recipe and spread the joy of cooking !!!</t>
  </si>
  <si>
    <t>ஒரு கடாயில் எண்ணெயை சூடாக்கி, கடுகு, இலவங்கப்பட்டை, ஏலக்காய், கிராம்பு, பெருஞ்சீரகம் ஆகியவற்றைச் சேர்த்து, இறுதியாக நறுக்கிய வெங்காயம், இஞ்சி பூண்டு விழுது, பச்சை மிளகாய், கறிவேப்பிலை சேர்த்து பொன்னிறமாகும் வரை வதக்கவும். இப்போது மசாலா - மஞ்சள் தூள், கொத்தமல்லி தூள், கரம் மசாலா, மிளகாய் தூள் சேர்த்து நன்கு கலக்கவும். தேவைப்பட்டால் மசாலாக்கள் எரியாமல் இருக்க சிறிது தண்ணீர் சேர்க்கவும். அடுத்து, இறுதியாக நறுக்கிய தக்காளியைச் சேர்த்து, எல்லாம் ஒரு பேஸ்டாக மாறும் வரை சமைக்கவும். தக்காளி நன்றாகவும் மென்மையாகவும் மாறியதும், தண்ணீர், தேவையான உப்பு சேர்த்து இன்னும் சில நிமிடங்கள் சமைக்கவும். ஒரு முட்டையை அடித்து, கொதிக்கும் கிரேவியில் சேர்த்து கிளறி, முட்டையைச் சேர்த்து கிரேவி கெட்டியாகும். இப்போது 4 முட்டைகளை உடைத்து நேரடியாக கறியில் விடவும். மூடி வைத்து 5 நிமிடங்கள் சமைக்கவும். இப்போது தேவைப்பட்டால், முட்டைகளை மறுபுறம் திருப்பி, இன்னும் சில நிமிடங்கள் - 2 முதல் 5 நிமிடங்கள் சமைக்கவும். இறுதியாக கொத்தமல்லி இலைகளால் அலங்கரித்து, அடுப்பை அணைக்கவும். எங்கள் சுவையான முட்டை கறி பரிமாற தயாராக உள்ளது. இந்த கறி சப்பாத்தி, ரொட்டி, சாதம் மற்றும் தோசைக்கு ஒரு சிறந்த துணை. தயவுசெய்து இந்த செய்முறையை முயற்சி செய்து, சமைப்பதன் மகிழ்ச்சியைப் பரப்புங்கள் !!!</t>
  </si>
  <si>
    <t>https://i.ytimg.com/vi/B-5ztRnnSro/maxresdefault.jpg</t>
  </si>
  <si>
    <t>Mutton Dalcha</t>
  </si>
  <si>
    <t>மட்டன் டால்சா</t>
  </si>
  <si>
    <t>1 tsp  - Oil, 1 - bay leaf, 1 - cinnamon,  2 -  cloves,  2 - cardamom, 12 - Shallots, 1 tbsp - Ginger garlic paste, 2 - Green Chilies, 2  - Tomatoes, 1/2 kg - Goat meat, 1/2 cup - Toor dal, 1/4 cup - Channa Dal , 1 tsp - Garam masala, 1 tsp - Coriander powder, 1 tsp - Chili powder, 1/4 tsp - Turmeric powder, 1  -  Brinjal,  1/2  - Raw Mango, 1/4 cup - Tamarind extract, required Water, required Salt, 1 tbsp - Oil, 1 tbsp  - Ghee, 1/4 tsp - Mustard seeds, 1/2 tsp - Cumin seeds, 1/2 tsp - Pepper corns, few Curry leaves, 1/2 cup - Onion.</t>
  </si>
  <si>
    <t>1 தேக்கரண்டி - எண்ணெய், 1 - பிரியாணி இலை, 1 - இலவங்கப்பட்டை, 2 - கிராம்பு, 2 - ஏலக்காய், 12 - வெங்காயத்தாள், 1 தேக்கரண்டி - இஞ்சி பூண்டு விழுது, 2 - பச்சை மிளகாய், 2 - தக்காளி, 1/2 கிலோ - ஆட்டு இறைச்சி, 1/2 கப் - துவரம்பருப்பு, 1/4 கப் - சன்னா பருப்பு, 1 தேக்கரண்டி - கரம் மசாலா, 1 தேக்கரண்டி - கொத்தமல்லி தூள், 1 தேக்கரண்டி - மிளகாய் தூள், 1/4 தேக்கரண்டி - மஞ்சள் தூள், 1 - கத்திரிக்காய், 1/2 - பச்சை மாம்பழம், 1/4 கப் - புளி சாறு, தேவையான தண்ணீர், தேவையான உப்பு, 1 தேக்கரண்டி - எண்ணெய், 1 தேக்கரண்டி - நெய், 1/4 தேக்கரண்டி - கடுகு, 1/2 தேக்கரண்டி - சீரகம், 1/2 தேக்கரண்டி - மிளகு, சில கறிவேப்பிலை, 1/2 கப் - வெங்காயம்.</t>
  </si>
  <si>
    <t>Heat some oil in a cooker and flavor with cinnamon, cardamom, bay leaf and cloves. Then add shallot , ginger garlic paste , green chilies, tomatoes and give it a stir.  Now add in the mutton pieces - prefer the bone pieces for making mutton dalcha recipe. Also add in channa dal, thoor dal and the masalas - turmeric powder, chili powder, garam masala, coriander powder, salt.   Add enough water , Since we have added dal we need to add water more than usual. Cover and cook for 5- 6 whistles on medium heat. It takes approximately 25 minutes.    Once the mutton and dal is cooked add veggies - Brinjal, raw mango and some tamarind extract. We ca also use potatoes, drumstick and raw banana.Cover and let it cook for 10 more minutes or until the veggies are fully done.  Heat a pan with oil and ghee, temper with - mustard seeds, cumin seeds, curry leaves, dry red chilies, pepper and some chopped onion.    Pour the tempering on to the mutton dalcha, also add in some chopped coriander leaves and mix well.  Our delicious Mutton Dalcha is ready to be served with rice. Please do try this reicpe and share it with your friends and family.  Happy Cooking!!!</t>
  </si>
  <si>
    <t>ஒரு குக்கரில் சிறிது எண்ணெயை சூடாக்கி, இலவங்கப்பட்டை, ஏலக்காய், பிரியாணி இலை மற்றும் கிராம்பு சேர்த்து வதக்கவும். பின்னர் வெங்காயத்தாள், இஞ்சி பூண்டு விழுது, பச்சை மிளகாய், தக்காளி சேர்த்து கிளறவும். இப்போது மட்டன் துண்டுகளைச் சேர்க்கவும் - மட்டன் தால்சா செய்முறைக்கு எலும்புத் துண்டுகளை விரும்புங்கள். சன்னா பருப்பு, துவரம்பருப்பு மற்றும் மசாலாக்களையும் சேர்க்கவும் - மஞ்சள் தூள், மிளகாய் தூள், கரம் மசாலா, கொத்தமல்லி தூள், உப்பு. போதுமான தண்ணீர் சேர்க்கவும், பருப்பைச் சேர்த்திருப்பதால், வழக்கத்தை விட அதிகமாக தண்ணீர் சேர்க்க வேண்டும். மூடி வைத்து மிதமான தீயில் 5-6 விசில்கள் வரை சமைக்கவும். இது தோராயமாக 25 நிமிடங்கள் ஆகும். மட்டன் மற்றும் பருப்பு வெந்தவுடன், காய்கறிகள் - கத்திரிக்காய், பச்சை மாம்பழம் மற்றும் சிறிது புளி சாறு சேர்க்கவும். உருளைக்கிழங்கு, முருங்கைக்காய் மற்றும் பச்சை வாழைப்பழத்தையும் பயன்படுத்தலாம். மூடி வைத்து, மேலும் 10 நிமிடங்கள் அல்லது காய்கறிகள் முழுமையாக வேகும் வரை சமைக்கவும். ஒரு கடாயை எண்ணெய் மற்றும் நெய்யுடன் சூடாக்கி, கடுகு, சீரகம், கறிவேப்பிலை, உலர்ந்த சிவப்பு மிளகாய், மிளகு மற்றும் சிறிது நறுக்கிய வெங்காயம் சேர்த்து தாளிக்கவும். மட்டன் டால்சாவின் மீது பதப்படுத்தலை ஊற்றி, சிறிது நறுக்கிய கொத்தமல்லி இலைகளைச் சேர்த்து நன்கு கலக்கவும். எங்கள் சுவையான மட்டன் டால்சா சாதத்துடன் பரிமாற தயாராக உள்ளது. தயவுசெய்து இந்த ரெசிபியை முயற்சி செய்து உங்கள் நண்பர்கள் மற்றும் குடும்பத்தினருடன் பகிர்ந்து கொள்ளுங்கள். மகிழ்ச்சியான சமையல்!!!</t>
  </si>
  <si>
    <t>https://blogger.googleusercontent.com/img/b/R29vZ2xl/AVvXsEhFbMWILEsVdH3iGKUKgHcCLrOBgO-M6jelQqrTBx9hA-ZlXQ1Py5VlIoGcY2MzewvNZ633gcv7wMtJrdVVbjbL-NQK5TuOHq_C7lkGbkh7-ify5oM06aSs4eV2h6d1lbU2oFNqv4Us-1w/s640/editted.jpg</t>
  </si>
  <si>
    <t>Rasgulla</t>
  </si>
  <si>
    <t>ரசகுல்லா</t>
  </si>
  <si>
    <t>8 cup  - Full fat Milk (2 liter), 2 cup - Sugar (400 g), 8 cup - Water (2 liter), 3 tbsp - Lemon juice, 3 - Cardamom.</t>
  </si>
  <si>
    <t>8 கப் - முழு கொழுப்புள்ள பால் (2 லிட்டர்), 2 கப் - சர்க்கரை (400 கிராம்), 8 கப் - தண்ணீர் (2 லிட்டர்), 3 டேபிள் ஸ்பூன் - எலுமிச்சை சாறு, 3 - ஏலக்காய்.</t>
  </si>
  <si>
    <t>The base for Rasgulla is paneer, To make paneer boil the milk. Once the milk starts to boil switch off the heat and add the lemon juice to curdle the milk you can also vinegar   Now the milk is fully curdled, stain it through a cheese cloth (dont throw away the whey,whey is very nutritious and can be added in many other dishes) Rinse it with cold water to remove the lemon flavor.   Squeeze extra water and tie it up and hang it for 30 minutes to 1 hour.   Before we start kneading the paneer heat water in a big wide pot and add sugar to it. Kepp it on medium - high and let the syrup boil.   After 1 hour knead the paneer for minimum 10-12 minutes to get good soft smooth texture. If you dont knead the paneer then the rasgulla balls will breakdown while cooking ,so to prevent the balls from breaking and dissolving into syrup knead the paneer well until it starts holding shapes   Once after kneading the dough for 10-12 minutes make it into small balls without any cracks, balls should be smooth on the outside.  Now drop it into the boiling sugar syrup and let them cook for 5 min on high heat. Then turn the heat to medium and cook for another 10 minutes, balls will absorb the sugar syrup and will double the size. The rasgulla will be soft and very fluffy .Switch of the heat and allow it to cool.   Let the rasgulla soak the syrup overnight or minimum of 6 hours.  Our delicious fibrous and soft rasagulla is ready, allow it to absorb all the taste and flavor from the syrup and serve cold:) Happy Cooking!!!</t>
  </si>
  <si>
    <t>ரசகுல்லாவின் அடிப்படை பனீர், பனீர் தயாரிக்க பாலை கொதிக்க வைக்கவும். பால் கொதிக்க ஆரம்பித்ததும், அடுப்பை அணைத்துவிட்டு, எலுமிச்சை சாற்றைச் சேர்த்து பால் தயிர் செய்யவும். வினிகரும் சேர்க்கலாம். இப்போது பால் முழுவதுமாக தயிர் ஆகி, ஒரு சீஸ் துணியில் காய்ச்சவும் (மோர் தூக்கி எறிய வேண்டாம், மோர் மிகவும் சத்தானது மற்றும் பல உணவுகளில் சேர்க்கலாம்). எலுமிச்சை சுவையை நீக்க குளிர்ந்த நீரில் கழுவவும். கூடுதல் தண்ணீரை பிழிந்து கட்டி 30 நிமிடங்கள் முதல் 1 மணி நேரம் வரை தொங்கவிடவும். பனீர் பிசையத் தொடங்குவதற்கு முன், ஒரு பெரிய அகலமான பாத்திரத்தில் தண்ணீரை சூடாக்கி, அதில் சர்க்கரை சேர்க்கவும். நடுத்தர அளவிலான தீயில் வைத்து, சிரப்பை கொதிக்க விடவும். 1 மணி நேரத்திற்குப் பிறகு, பனீரை குறைந்தபட்சம் 10-12 நிமிடங்கள் பிசைந்து, நல்ல மென்மையான மென்மையான அமைப்பைப் பெறவும். பனீரை பிசையவில்லை என்றால், ரசகுல்லா உருண்டைகள் சமைக்கும் போது உடைந்துவிடும், எனவே உருண்டைகள் உடைந்து சிரப்பாக கரைவதைத் தடுக்க, பனீரை நன்கு பிசைந்து, அது வடிவத்தைப் பிடிக்கும் வரை 10-12 நிமிடங்கள் மாவைப் பிசைந்த பிறகு, சிறிய உருண்டைகளாக எந்த விரிசல்களும் இல்லாமல், பந்துகள் வெளியில் மென்மையாக இருக்க வேண்டும். இப்போது கொதிக்கும் சர்க்கரை பாகில் போட்டு, அதிக வெப்பத்தில் 5 நிமிடங்கள் சமைக்கவும். பின்னர் தீயை நடுத்தரமாக மாற்றி, மேலும் 10 நிமிடங்கள் சமைக்கவும், பந்துகள் சர்க்கரை பாகை உறிஞ்சி, அளவை இரட்டிப்பாக்கும். ரசகுல்லா மென்மையாகவும், மிகவும் பஞ்சுபோன்றதாகவும் இருக்கும். தீயை அணைத்து குளிர்விக்க விடுங்கள். ரசகுல்லாவை இரவு முழுவதும் அல்லது குறைந்தபட்சம் 6 மணி நேரம் ஊற விடவும். எங்கள் சுவையான நார்ச்சத்து மற்றும் மென்மையான ரசகுல்லா தயாராக உள்ளது, சிரப்பில் இருந்து அனைத்து சுவை மற்றும் சுவையையும் உறிஞ்சி குளிர்ச்சியாக பரிமாறவும் :) மகிழ்ச்சியான சமையல்!!!</t>
  </si>
  <si>
    <t>https://blogger.googleusercontent.com/img/b/R29vZ2xl/AVvXsEhB8zEuGIUJkKw2JLmG4qz_x3PCKnur1VQoBwSbU6wOzrNtG2gmaYSn4czz54SvWPQJ3LpxdcXRCYO_1FwXD3dqWh5hD5LYLcv3g1SGhagsbu6XBgeoaLDs0xy6tJUcUSrrMLCH_CrPB30/s640/editted--2-1.jpg</t>
  </si>
  <si>
    <t>Cauliflower Gravy</t>
  </si>
  <si>
    <t>காலிஃபிளவர் கிரேவி</t>
  </si>
  <si>
    <t>2 tbsp - Oil, 1 - Bay Leaf, 1 inch - Cinnamon stick, 2 - cardamom pods, 2 - clove, 1 tsp - ennel seeds, 1/4 tsp - Mustard seeds, 1/2 inch - Ginger, 2 - Garlic cloves, 2 - Green chilies, 1/4 tsp - Turmeric powder, 1 tsp - Coriander powder, 1 tsp - Garam masala, 2 tsp - Chili powder, 2 - Tomatoes, 1 - Potatoes, 1/2 cup  - Peas, 1- Cauliflower, few Coriander leaves, few Curry leaves, required Water, 1/4 cup - Grated Coconut, 1 tbsp - Roasted Channa Dal, 4-5 - Cashew nuts, 1/2 tsp - Fennel seeds, 1/2 tsp - Cumin seeds, 1/2 tsp - Poppy seeds, required Water.</t>
  </si>
  <si>
    <t>2 டேபிள் ஸ்பூன் - எண்ணெய், 1 - பிரிஞ்சி இலை, 1 அங்குலம் - இலவங்கப்பட்டை, 2 - ஏலக்காய் காய்கள், 2 - கிராம்பு, 1 டேபிள் ஸ்பூன் - எண்ணெல் விதைகள், 1/4 டேபிள் ஸ்பூன் - கடுகு, 1/2 டேபிள் ஸ்பூன் - இஞ்சி, 2 - பூண்டு பல், 2 - பச்சை மிளகாய், 1/4 டேபிள் ஸ்பூன் - மஞ்சள் தூள், 1 டேபிள் ஸ்பூன் - கொத்தமல்லி தூள், 1 டேபிள் ஸ்பூன் - கரம் மசாலா, 2 டேபிள் ஸ்பூன் - மிளகாய் தூள், 2 - தக்காளி, 1 - உருளைக்கிழங்கு, 1/2 கப் - பட்டாணி, 1- காலிஃபிளவர், சில கொத்தமல்லி இலைகள், சில கறிவேப்பிலை, தேவையான தண்ணீர், 1/4 கப் - தேங்காய் துருவல், 1 டேபிள் ஸ்பூன் - வறுத்த சன்னா பருப்பு, 4-5 - முந்திரி பருப்பு, 1/2 டேபிள் ஸ்பூன் - வெந்தயம் விதைகள், 1/2 டேபிள் ஸ்பூன் - சீரகம், 1/2 டேபிள் ஸ்பூன் - பாப்பி விதைகள், தேவையான தண்ணீர்.</t>
  </si>
  <si>
    <t>In a blender add grated coconut, Roasted channa dal, Cumin seeds, Fennel seeds, cashews, poppy seeds and grind it to a smooth paste along with some water.  Heat oil in a pan and once the oil is hot add bay leaf, cinnamon, cardamom, cloves , mustard seeds and fennel seeds .Then add sliced onion and saute until the onions are golden.  Then add some Ginger Garlic paste, green chilies and mix it. After the raw smell of ginger garlic paste is gone add tomatoes .   Then add in the masalas - turmeric powder, coriander powder, garam masala and chili powder. Give it a stir and then add the Cauliflower  (I have added Peas and Potatoes for extra taste).Add required salt and finally add water.  Cover and cook until the veggies are fully cooked. Finally add the cooconut paste from step 1, stir and cook for few more minutes.   Finally add chopped coriander leaves, curry leaves and mix well. Coriander leaves gives good flavor and aroma to the Cauliflower Kuruma.  Our Delicious Hotel Style Cauliflower gravy ready to be enjoyed with some Chapathi and Roti or Parotta .Happy Cooking!!!</t>
  </si>
  <si>
    <t>ஒரு பிளெண்டரில் துருவிய தேங்காய், வறுத்த சன்னா பருப்பு, சீரகம், பெருஞ்சீரகம், முந்திரி, கசகசா சேர்த்து சிறிது தண்ணீர் சேர்த்து மென்மையான பேஸ்ட் வரை அரைக்கவும். ஒரு கடாயில் எண்ணெயை சூடாக்கி, எண்ணெய் சூடானதும் பிரியாணி இலை, இலவங்கப்பட்டை, ஏலக்காய், கிராம்பு, கடுகு மற்றும் பெருஞ்சீரகம் சேர்க்கவும். பின்னர் நறுக்கிய வெங்காயத்தைச் சேர்த்து வெங்காயம் பொன்னிறமாகும் வரை வதக்கவும். பின்னர் சிறிது இஞ்சி பூண்டு விழுது, பச்சை மிளகாய் சேர்த்து கலக்கவும். இஞ்சி பூண்டு விழுது பச்சை வாசனை போன பிறகு தக்காளி சேர்க்கவும். பின்னர் மசாலாக்களில் - மஞ்சள் தூள், கொத்தமல்லி தூள், கரம் மசாலா மற்றும் மிளகாய் தூள் சேர்க்கவும். அதை சிறிது கிளறி, பின்னர் காலிஃபிளவர் சேர்க்கவும் (கூடுதல் சுவைக்காக நான் பட்டாணி மற்றும் உருளைக்கிழங்கைச் சேர்த்துள்ளேன்). தேவையான உப்பு சேர்த்து இறுதியாக தண்ணீர் சேர்க்கவும். காய்கறிகள் முழுமையாக வேகும் வரை மூடி வைத்து சமைக்கவும். இறுதியாக படி 1 இல் உள்ள தேங்காய் விழுதைச் சேர்த்து, கிளறி, இன்னும் சில நிமிடங்கள் சமைக்கவும். இறுதியாக நறுக்கிய கொத்தமல்லி இலைகள், கறிவேப்பிலை சேர்த்து நன்கு கலக்கவும். கொத்தமல்லி இலைகள் காலிஃபிளவர் குருமாவுக்கு நல்ல சுவையையும் மணத்தையும் தரும். எங்கள் சுவையான ஹோட்டல் ஸ்டைல் ​​காலிஃபிளவர் கிரேவி சப்பாத்தி, ரொட்டி அல்லது பரோட்டாவுடன் சாப்பிட தயாராக உள்ளது. மகிழ்ச்சியான சமையல்!!!</t>
  </si>
  <si>
    <t>https://blogger.googleusercontent.com/img/b/R29vZ2xl/AVvXsEjPMszjuJwa_9Rv9MrdcQOEgjhnr0lOvw3FEvMmekyVM-ii7bIlwQNLX1EhW5PRUHcRdcOuOylbb8EsjoXeXiv946hYZwt8joXoCOrw69rEdq413W-InI0RSRotZZVeTdJ4MDWer335PFQ/s640/editted.jpg</t>
  </si>
  <si>
    <t>Chola Poori</t>
  </si>
  <si>
    <t>சோழ பூரி</t>
  </si>
  <si>
    <t>2 cup  - Maida (250 g), 1 tsp - Sugar, 1 tsp - Salt, 1/4 tsp - baking soda, 2 tbsp - Rava, 2 tbsp - Oil, 4 tbsp - thick curd , required Water.</t>
  </si>
  <si>
    <t>2 கப் - மைதா (250 கிராம்), 1 தேக்கரண்டி - சர்க்கரை, 1 தேக்கரண்டி - உப்பு, 1/4 தேக்கரண்டி - பேக்கிங் சோடா, 2 தேக்கரண்டி - ரவா, 2 தேக்கரண்டி - எண்ணெய், 4 தேக்கரண்டி - கெட்டியான தயிர், தேவையான தண்ணீர்.</t>
  </si>
  <si>
    <t>Into a mixing bowl add maida, salt , sugar, rava, oil, curd, baking soda and mix well.    Gradually add water and mix well to form a soft dough, it might be sticky at first but after kneading it doesn't stick to your hands. Dough should be very soft and should have more moisture than taht of chapthi dough.Cover the dough with a wet cloth and let it rest for 1 -2 hour.   Now after 2 hours divide the dough into 8 to 10 portions and start rolling, Do not roll it too thin, it should be slightly thicker than chapathi or poori.   Use a wide pan and heat up sufficient oil, oil should he hot. Fry the pooris in hot oil until they are ballooned and golden on the outside.  Enjoy the delicious Bhaturae with some channa masala. Please do try this recipe at home and share your feedback. Happy Cooking !!!</t>
  </si>
  <si>
    <t>ஒரு கலவை பாத்திரத்தில் மைதா, உப்பு, சர்க்கரை, ரவா, எண்ணெய், தயிர், பேக்கிங் சோடா ஆகியவற்றைச் சேர்த்து நன்கு கலக்கவும். மெதுவாக தண்ணீர் சேர்த்து நன்கு கலக்கவும், மென்மையான மாவை உருவாக்கவும், முதலில் ஒட்டும் தன்மை இருக்கலாம், ஆனால் பிசைந்த பிறகு அது உங்கள் கைகளில் ஒட்டாது. மாவு மிகவும் மென்மையாகவும், சப்தி மாவின் அளவை விட அதிக ஈரப்பதத்துடனும் இருக்க வேண்டும். மாவை ஈரமான துணியால் மூடி 1-2 மணி நேரம் அப்படியே வைக்கவும். இப்போது 2 மணி நேரம் கழித்து மாவை 8 முதல் 10 பகுதிகளாகப் பிரித்து உருட்டத் தொடங்குங்கள், அதை மிகவும் மெல்லியதாக உருட்ட வேண்டாம், அது சப்பாத்தி அல்லது பூரியை விட சற்று தடிமனாக இருக்க வேண்டும். ஒரு அகலமான பாத்திரத்தைப் பயன்படுத்தி போதுமான எண்ணெயைச் சூடாக்கவும், அது சூடாக இருந்தால் எண்ணெய் ஊற்றவும். பூரிகளை சூடான எண்ணெயில் பலூன் போல மாறி வெளியே பொன்னிறமாகும் வரை வறுக்கவும். சன்னா மசாலாவுடன் சுவையான பட்டுரேயை அனுபவிக்கவும். தயவுசெய்து இந்த செய்முறையை வீட்டிலேயே முயற்சி செய்து உங்கள் கருத்துகளைப் பகிர்ந்து கொள்ளுங்கள். இனிய சமையல்!!!</t>
  </si>
  <si>
    <t>https://blogger.googleusercontent.com/img/b/R29vZ2xl/AVvXsEhRRUNWF948anUtTpik8rZyzAtLTcv00sXdQMs6QBUzWySvLUfYvhDavvvNsXEDrShx3MlH9XVS9s9fpG2ILCeHOSRgaFaxD-e3Ul3rYZ-Dh8026sbZpWv-KymMZBkgzsHC7MHXyN_pf4M/s640/editted.jpg</t>
  </si>
  <si>
    <t>Kaju Pista Roll</t>
  </si>
  <si>
    <t>கஜு பிஸ்தா ரோல்</t>
  </si>
  <si>
    <t>1/2 cup - Pistachios (60 gram), 2 tbsp  - Sugar (12 g), 2 - Cardamom, 1 tbsp - Milk, pinch of Green food color (optional),  Cashew , 1 cup - Cashews (150 gram), 2 tbsp - Milk powder, 1/2 cup - Sugar (100 gram), 1/4 cup - Water, some ghee for greasing.</t>
  </si>
  <si>
    <t>1/2 கப் - பிஸ்தா (60 கிராம்), 2 டேபிள்ஸ்பூன் - சர்க்கரை (12 கிராம்), 2 - ஏலக்காய், 1 டேபிள்ஸ்பூன் - பால், ஒரு சிட்டிகை பச்சை உணவு நிறம் (விரும்பினால்), முந்திரி, 1 கப் - முந்திரி (150 கிராம்), 2 டேபிள்ஸ்பூன் - பால் பவுடர், 1/2 கப் - சர்க்கரை (100 கிராம்), 1/4 கப் - தண்ணீர், தண்ணீர் தடவுவதற்கு சிறிது நெய்.</t>
  </si>
  <si>
    <t>Into a blender add sugar, cardamom and grind it to a fine powder and set it aside.  Now in the same blender add the pistachios and grind it to a semi fine powder. Do not grind it for a long time, give few pulses at a time, otherwise it will release oil. Give few pulses and powder it.  Sieve both sugar and pistachio powder to collect any big chunks. Now mix pinch of green food color to milk and add it to the pista powder and make a smooth ball. Do not add too much of milk, we just need a tsp of milk.  Now grind the cashews as we did with pistachios, in small pulses. I used 2 batches to grind cashes. If we grind for a longer duration then oil separates from the cashews.  Once done transfer it to a sieve and also add milk powder ( I have used Nido milk powder).  Now in a pan add sugar, water and bring the sugar syrup to 1 string consistency. Now add the powdered Cashews from step 4 and cook for few minutes until everything comes together. Do not cook for a long time.Let it cool for some time.  Now roll the cashew mix thin and cut it into 2 halves, divide the pista ball into 2 and roll it into a cylinder and place the pista roll on one side of the cashew sheet and start rolling. Cut it into desired length, similarly do with the other pista and cashew.  That's it our delicious Kaju Pista roll is all ready to be enjoyed. Do try this recipe and please share your feedback with us. Happy Cooking !!!</t>
  </si>
  <si>
    <t>ஒரு பிளெண்டரில் சர்க்கரை, ஏலக்காய் சேர்த்து நன்றாக அரைத்து தனியாக வைக்கவும். இப்போது அதே பிளெண்டரில் பிஸ்தாவை அரைத்து அரைத்து பொடியாக அரைக்கவும். நீண்ட நேரம் அரைக்க வேண்டாம், ஒரு நேரத்தில் சில பருப்புகளை கொடுங்கள், இல்லையெனில் அது எண்ணெய் வெளியேறும். சில பருப்புகளை கொடுங்கள், பொடி செய்யவும். பெரிய துண்டுகள் சேகரிக்க சர்க்கரை மற்றும் பிஸ்தா தூள் இரண்டையும் சலிக்கவும். இப்போது பாலில் ஒரு சிட்டிகை பச்சை உணவு வண்ணத்தை கலந்து பிஸ்தா தூளில் சேர்த்து மென்மையான உருண்டையாக உருட்டவும். அதிகம் பால் சேர்க்க வேண்டாம், ஒரு தேக்கரண்டி பால் போதும். இப்போது முந்திரி பருப்பை பிஸ்தாவுடன் அரைத்தது போல், சிறிய பருப்புகளாக அரைக்கவும். நான் 2 தொகுதிகளாக காரத்தை அரைத்தேன். நாம் நீண்ட நேரம் அரைத்தால், முந்திரியிலிருந்து எண்ணெய் பிரியும். வெந்தவுடன் அதை ஒரு சல்லடையில் மாற்றி, பால் பவுடரையும் சேர்க்கவும் (நான் நிடோ பால் பவுடரைப் பயன்படுத்தினேன்). இப்போது ஒரு பாத்திரத்தில் சர்க்கரை, தண்ணீர் சேர்த்து, சர்க்கரை பாகை 1 சரம் நிலைத்தன்மைக்கு கொண்டு வாருங்கள். இப்போது படி 4 இல் உள்ள பொடித்த முந்திரியைச் சேர்த்து, எல்லாம் ஒன்றாக வரும் வரை சில நிமிடங்கள் சமைக்கவும். நீண்ட நேரம் சமைக்க வேண்டாம். சிறிது நேரம் ஆற விடவும். இப்போது முந்திரி கலவையை மெல்லியதாக உருட்டி 2 பகுதிகளாக வெட்டி, பிஸ்தா உருண்டையை 2 ஆக பிரித்து, ஒரு சிலிண்டரில் உருட்டி, முந்திரி தாளின் ஒரு பக்கத்தில் பிஸ்தா ரோலை வைத்து உருட்டத் தொடங்குங்கள். விரும்பிய நீளத்திற்கு வெட்டவும், மற்ற பிஸ்தா மற்றும் முந்திரியையும் இதேபோல் செய்யவும். அவ்வளவுதான், எங்கள் சுவையான கஜு பிஸ்தா ரோல் சுவைக்க தயாராக உள்ளது. இந்த ரெசிபியை முயற்சி செய்து பாருங்கள், உங்கள் கருத்துக்களை எங்களுடன் பகிர்ந்து கொள்ளுங்கள். இனிய சமையல்!!!</t>
  </si>
  <si>
    <t>https://blogger.googleusercontent.com/img/b/R29vZ2xl/AVvXsEin7gTF-CxoHF9YdpxE4dHTEHA1d-CReIUeLa9H39QVdtNUWCqizx8EujcAt0IRPrc1IWyMSelhkT9TFnnAqeZnqpEdFl24KuubyWBczJJrU4p5dlg6dGJHtbCh0ZWGnAOts1RtoC7GtVY/s640/editted-photo.jpg</t>
  </si>
  <si>
    <t>Mushroom Pepper Fry</t>
  </si>
  <si>
    <t>1 tbsp - Pepper, 1 tsp - Cumin seeds, 1/2 tsp - Fennel, Mushroom Roast, 2 tbsp - Oil, 1/4 tsp - Mustard seeds, 1 tsp - Chopped Ginger, 1 tsp - Chopped Garlic, 3  - Onion, 250 g - Mushroom, 1 - Capsicum, 1/4 cup - Water, required Salt, 1 tbsp - Ghee or Oil, 1/4 tsp - Mustard seeds, 2 - Green Chilies, 2 - Dried Red Chilies, Curry leaves.</t>
  </si>
  <si>
    <t>1 டீஸ்பூன் - மிளகு, 1 டீஸ்பூன் - சீரகம், 1/2 டீஸ்பூன் - வெந்தயம், காளான் வறுவல், 2 டீஸ்பூன் - எண்ணெய், 1/4 டீஸ்பூன் - கடுகு விதைகள், 1 டீஸ்பூன் - நறுக்கிய இஞ்சி, 1 டீஸ்பூன் - நறுக்கிய பூண்டு, 3 - வெங்காயம், 250 கிராம் - காளான், 1 - கேப்சிகம், 1/4 கப் - தண்ணீர், தேவையான உப்பு, 1 டீஸ்பூன் - நெய் அல்லது எண்ணெய், 1/4 டீஸ்பூன் - கடுகு விதைகள், 2 - பச்சை மிளகாய், 2 - உலர்ந்த சிவப்பு மிளகாய், கறிவேப்பிலை.</t>
  </si>
  <si>
    <t>Crush the pepper corns, Fennel seeds and cumin seeds in a mortar and pestle (you can also use blender to seep up the process) Freshly ground pepper has lot of flavor in it so for making this pepper Mushroom always grind them freshly.  Heat oil and once the oil is nice and hot add mustard seeds and also add chopped ginger and chopped garlic.Give it a stir and then add the chopped onions. We need to saute the onions until they are nice and brown.Only then we will get that awesome color.  Now once you get golden brown add the mushroom and mix well. Then add the capsicum (adding capsicum is optional), then the freshly ground masala, required Salt some water and mix it well with the onions.We need to roast them in medium flame for 10 minutes.  Tempering is an optional step, this step enhances the taste and flavor of the recipe, Heat some ghee, add mustard seeds, green chilies, red chilies, curry leaves give it a stir and pour it on to the mushroom.   That's it our delicious and spicy Mushroom pepper roast is all ready to be enjoyed. Do try this recipe and please share your feedback with us. Happy Cooking !!</t>
  </si>
  <si>
    <t>மிளகு சோளம், வெந்தயம் மற்றும் சீரகத்தை ஒரு சாந்து மற்றும் பூச்சியில் நசுக்கவும் (செயல்முறையை மேம்படுத்த நீங்கள் பிளெண்டரையும் பயன்படுத்தலாம்) புதிதாக அரைத்த மிளகில் அதிக சுவை இருப்பதால், இந்த மிளகு காளான் தயாரிக்க எப்போதும் அவற்றை புதிதாக அரைக்கவும். எண்ணெயை சூடாக்கி, எண்ணெய் நன்றாகவும் சூடாகவும் வந்ததும் கடுகு விதைகள் மற்றும் நறுக்கிய இஞ்சி மற்றும் நறுக்கிய பூண்டு சேர்க்கவும். அதை ஒரு கிளறி, பின்னர் நறுக்கிய வெங்காயத்தை சேர்க்கவும். வெங்காயம் நன்றாகவும், பழுப்பு நிறமாகவும் ஆகும் வரை வதக்க வேண்டும். அப்போதுதான் நமக்கு அந்த அற்புதமான நிறம் கிடைக்கும். இப்போது பொன்னிறமாக மாறியதும் காளானைச் சேர்த்து நன்கு கலக்கவும். பின்னர் கேப்சிகம் (கேப்சிகம் சேர்ப்பது விருப்பமானது), பின்னர் புதிதாக அரைத்த மசாலா, தேவையான அளவு உப்பு சேர்த்து சிறிது தண்ணீர் சேர்த்து வெங்காயத்துடன் நன்கு கலக்கவும். அவற்றை 10 நிமிடங்கள் மிதமான தீயில் வறுக்க வேண்டும். தாளிக்க ஒரு விருப்பமான படி, இந்த படி செய்முறையின் சுவை மற்றும் சுவையை அதிகரிக்கும், சிறிது நெய்யை சூடாக்கி, கடுகு, பச்சை மிளகாய், சிவப்பு மிளகாய், கறிவேப்பிலை சேர்த்து கிளறி, காளானில் ஊற்றவும். அவ்வளவுதான் எங்கள் சுவையான மற்றும் காரமான காளான் மிளகு வறுவல் அனைத்தும் சுவைக்க தயாராக உள்ளது. இந்த செய்முறையை முயற்சி செய்து உங்கள் கருத்தை எங்களுடன் பகிர்ந்து கொள்ளுங்கள். மகிழ்ச்சியான சமையல்!!</t>
  </si>
  <si>
    <t>https://blogger.googleusercontent.com/img/b/R29vZ2xl/AVvXsEg3o6KVRCurYRw3f9pjtzrDO4RjoCrUcXIdBPXVhDklAeD5nzDmxWFRQnrM3nx-UJB2sV8z1qLWKgyEWx2UgB_RvfuiyFWbSQpWTlcN14fZIVwUKkzvSd_AjoFPSPw92nj3bhL3N9Dr1VY/s640/DSC06247.JPG</t>
  </si>
  <si>
    <t>காளான் மிளகு வறுவல் | Mushroom Pepper Fry  - Queen Bee Kitchen Guide</t>
  </si>
  <si>
    <t>Paal Paniyaram</t>
  </si>
  <si>
    <t>பால் பணியாரம்</t>
  </si>
  <si>
    <t>100 g - Raw Rice (1/2 cup), 100 g - Urad dal (1/2 cup), pinch of Salt, 500 ml - Coconut milk(2 cup), 100 g - Sugar (1/2 cup), 3 - Cardamom, Oil for frying.</t>
  </si>
  <si>
    <t>100 கிராம் - பச்சரிசி (1/2 கப்), 100 கிராம் - உளுத்தம் பருப்பு (1/2 கப்), சிட்டிகை உப்பு, 500 மிலி - தேங்காய் பால் (2 கப்), 100 கிராம் - சர்க்கரை (1/2 கப்), 3 - ஏலக்காய், பொரிப்பதற்கு எண்ணெய்.</t>
  </si>
  <si>
    <t>Wash and soak rice and dal / Ulunthu in water for 2 hours.   In the meanwhile prepare coconut milk by extracting milk from fresh coconut, Now to this add sugar, powdered cardamom and mix well until the sugar is dissolved.   Grind the soaked rice and dhal along with a pinch of salt to a fine paste. Do not add too much of water, batter should be semi thick(at the same time not too thick).  Heat oil in a pan and pour small balls out of the batter and fry until all the sides are nice and golden. Immediately drop the fried paniyaram into coconut milk and let it soak for 10 -15 minutes before serving.  That's it our Paal paniyaram is ready in no time.Do try this recipe and please share your feedback with us. Happy Cooking !!!</t>
  </si>
  <si>
    <t>அரிசி மற்றும் பருப்பை கழுவி 2 மணி நேரம் தண்ணீரில் ஊற வைக்கவும். இதற்கிடையில், புதிய தேங்காயிலிருந்து பால் பிரித்தெடுத்து தேங்காய் பால் தயாரிக்கவும், இப்போது இதில் சர்க்கரை, பொடித்த ஏலக்காய் சேர்த்து சர்க்கரை கரையும் வரை நன்கு கலக்கவும். ஊறவைத்த அரிசி மற்றும் பருப்பை ஒரு சிட்டிகை உப்புடன் நன்றாக அரைக்கவும். அதிக தண்ணீர் சேர்க்க வேண்டாம், மாவு அரை கெட்டியாக இருக்க வேண்டும் (அதே நேரத்தில் அதிக கெட்டியாக இருக்கக்கூடாது). ஒரு கடாயில் எண்ணெயை சூடாக்கி, மாவிலிருந்து சிறிய உருண்டைகளை ஊற்றி, அனைத்து பக்கங்களும் நன்றாகவும் பொன்னிறமாகவும் மாறும் வரை வறுக்கவும். உடனடியாக வறுத்த பணியாரத்தை தேங்காய் பாலில் போட்டு 10 -15 நிமிடங்கள் ஊற வைத்து பரிமாறவும். அவ்வளவுதான், எங்கள் பால் பணியாரம் சிறிது நேரத்தில் தயாராகிவிட்டது. இந்த ரெசிபியை முயற்சி செய்து பாருங்கள், உங்கள் கருத்துக்களை எங்களுடன் பகிர்ந்து கொள்ளுங்கள். இனிய சமையல்!!!</t>
  </si>
  <si>
    <t>https://blogger.googleusercontent.com/img/b/R29vZ2xl/AVvXsEgAhc4ucoYC9l83TxPyqAqaDxAIvCBrfY6wUR_9bM4vq6kXXi9UM8DKZWyxKVjT5KwZlGVkFPIH5TEAAuAc5EYFfC1yaDcPK4z6o_WYQOOqcPsC0viaKbMm8jNnORyU6ua__LLlDkGBpYw/s640/DSC06209.JPG</t>
  </si>
  <si>
    <t>Sathu Maavu</t>
  </si>
  <si>
    <t>சாத்து மாவு</t>
  </si>
  <si>
    <t>1/2 cup - Rice, 1/4 cup - Black gram , 1/4 cup - Green gram , 1/4 cup - Skinless green gram, 1/4 cup - roasted channa dal, 1/4 cup - broken wheat , 2 tbsp - Barley, 2 tbsp - Horse gram, 1/4 cup - Almonds, 20 - Cashewsc, 20 - Pistachios , 4 - Cardamom.</t>
  </si>
  <si>
    <t>1/2 கப் - அரிசி, 1/4 கப் - உளுந்து, 1/4 கப் - பச்சைப்பயறு, 1/4 கப் - தோல் நீக்கிய பச்சைப்பயறு, 1/4 கப் - வறுத்த சன்னா பருப்பு, 1/4 கப் - உடைத்த கோதுமை, 2 டீஸ்பூன் - பார்லி, 2 டீஸ்பூன் - கொள்ளு, 1/4 கப் - பாதாம், 20 - முந்திரி, 20 - பிஸ்தா, 4 - ஏலக்காய்.</t>
  </si>
  <si>
    <t>Wash all the above mentioned ingredients separately for 3 times and spread it on a paper towel. I didnt wash roasted channa dal. Let it fan dry for 1- 2 hours.  Dry roast all the ingredients separately until its nicely roasted. Be very careful while roasting , do not burn them, it might taste bitter. Roast on low flame. Transfer it to a plate and let it cool.  Once cooled transfer it to a mixie jar and grind it to a fine powder. Sieve it through a wire mesh and grind the large particles again and follow the same.</t>
  </si>
  <si>
    <t>மேலே குறிப்பிட்டுள்ள அனைத்து பொருட்களையும் 3 முறை தனித்தனியாக கழுவி, ஒரு காகிதத் துண்டில் பரப்பவும். நான் வறுத்த சன்னா பருப்பைக் கழுவவில்லை. 1-2 மணி நேரம் உலர விடவும். நன்றாக வறுத்த வரை அனைத்து பொருட்களையும் தனித்தனியாக உலர வறுக்கவும். வறுக்கும்போது மிகவும் கவனமாக இருங்கள், அவற்றை எரிக்க வேண்டாம், அது கசப்பாக இருக்கலாம். குறைந்த தீயில் வறுக்கவும். அதை ஒரு தட்டில் மாற்றி ஆற விடவும். ஆறியதும், மிக்ஸி ஜாடியில் மாற்றி, நன்றாகப் பொடியாக அரைக்கவும். ஒரு கம்பி வலை வழியாக அதை சல்லடை போட்டு, பெரிய துகள்களை மீண்டும் அரைத்து, அதே போல் செய்யவும்.</t>
  </si>
  <si>
    <t>https://encrypted-tbn0.gstatic.com/images?q=tbn:ANd9GcStqelCbS0fKs94vJbuB1JsFF4CqOxvpLxeJw&amp;s</t>
  </si>
  <si>
    <t>பனீர் புலாவ்</t>
  </si>
  <si>
    <t>250 g - Paneer, 1/2 tsp - Chili powder , 2 tbsp - Butter, 2 tbsp - Ghee , 2 Tbsp - Oil, 2 - bay leaves ,  3 - cardamom ,  4 - cloves ,  1 - Cinnamon Stick ,  2 - Star anise, 10 - epper corns, 3 - Green Chilies, 1 tsp - Ginger garlic paste, 10 - Cashews, 1 - large Onion, 5-6 - Beans, 1 tsp - Chili powder, 1 tsp - Garam masala, 1  - Carrot, 1/4 cup - Peas, 2 cup - Basmati Rice, 3 cup - Water , Handful coriander and Mint leaves, Salt to taste.</t>
  </si>
  <si>
    <t>250 கிராம் - பனீர், 1/2 தேக்கரண்டி - மிளகாய் தூள், 2 தேக்கரண்டி - வெண்ணெய், 2 தேக்கரண்டி - நெய், 2 தேக்கரண்டி - எண்ணெய், 2 - பிரியாணி இலைகள், 3 - ஏலக்காய், 4 - கிராம்பு, 1 - இலவங்கப்பட்டை, 2 - நட்சத்திர சோம்பு, 10 - எப்பர் கார்ன்ஸ், 3 - பச்சை மிளகாய், 1 தேக்கரண்டி - இஞ்சி பூண்டு விழுது, 10 - முந்திரி, 1 - பெரிய வெங்காயம், 5-6 - பீன்ஸ், 1 தேக்கரண்டி - மிளகாய் தூள், 1 தேக்கரண்டி - கரம் மசாலா, 1 - கேரட், 1/4 கப் - பட்டாணி, 2 கப் - பாஸ்மதி அரிசி, 3 கப் - தண்ணீர், கைப்பிடி அளவு கொத்தமல்லி மற்றும் புதினா இலைகள், சுவைக்கேற்ப உப்பு.</t>
  </si>
  <si>
    <t>In a mixing bowl add the paneer and marinate with chili powder and salt. fry the paneer in ghee or oil until golden.  In a heavy bottom pan melt ghee and oil (ghee imparts nice flavor and taste to the recipe).Then add the whole spices - bay leaves, cinnamon, cardamom, star anise, cloves and pepper corns. Mix it once and then add sliced onions, green chilies and ginger garlic paste.  Once the onions turns golden add chopped veggies - Carrot, beans,peas and cook for 2 minutes. Then the masalas - chili powder and garam masala. Cook for few seconds and then add the soaked basmati rice (soak for 20 -30 minutes), 3 cups of water, Salt . Cover and cook until the rice is done.If you are using a pressure cooked then cook for 1 whistle on a medium heat.  Then add in the fried Paneer, Cashews, Mint and coriander leaves, cover and cook for 5 minutes. Finally add a tsp of ghee and gently stir the rice.   That's it our Paneer pulao recipe is ready to be enjoyed with Raitha. This is really simple to make and the flavor from the rice and masala makes the mouth to water. Do try this recipe and please share your feedback with us. Happy Cooking !!!</t>
  </si>
  <si>
    <t>ஒரு கலவை பாத்திரத்தில் பனீரை சேர்த்து மிளகாய் தூள் மற்றும் உப்பு சேர்த்து மரைனேட் செய்யவும். பனீரை நெய் அல்லது எண்ணெயில் பொன்னிறமாகும் வரை வறுக்கவும். அடி கனமான அடி பாத்திரத்தில் நெய் மற்றும் எண்ணெயை உருக்கவும் (நெய் செய்முறைக்கு நல்ல சுவையையும் சுவையையும் தருகிறது). பின்னர் முழு மசாலாப் பொருட்களையும் சேர்க்கவும் - பிரிஞ்சி இலைகள், இலவங்கப்பட்டை, ஏலக்காய், நட்சத்திர சோம்பு, கிராம்பு மற்றும் மிளகுத்தூள். ஒரு முறை கலந்து, பின்னர் நறுக்கிய வெங்காயம், பச்சை மிளகாய் மற்றும் இஞ்சி பூண்டு விழுது சேர்க்கவும். வெங்காயம் பொன்னிறமாக மாறியதும் நறுக்கிய காய்கறிகள் - கேரட், பீன்ஸ், பட்டாணி சேர்த்து 2 நிமிடங்கள் சமைக்கவும். பின்னர் மசாலாக்கள் - மிளகாய் தூள் மற்றும் கரம் மசாலா. சில நொடிகள் சமைக்கவும், பின்னர் ஊறவைத்த பாஸ்மதி அரிசி (20-30 நிமிடங்கள் ஊறவைக்கவும்), 3 கப் தண்ணீர், உப்பு சேர்க்கவும். மூடி வைத்து அரிசி வேகும் வரை சமைக்கவும். நீங்கள் பிரஷர் வேகவைத்திருந்தால், மிதமான தீயில் 1 விசில் வைக்கவும். பின்னர் வறுத்த பனீர், முந்திரி, புதினா மற்றும் கொத்தமல்லி இலைகளைச் சேர்த்து, மூடி வைத்து 5 நிமிடங்கள் சமைக்கவும். இறுதியாக ஒரு தேக்கரண்டி நெய் சேர்த்து சாதத்தை மெதுவாகக் கிளறவும். அவ்வளவுதான், எங்கள் பனீர் புலாவ் செய்முறை ரைத்தாவுடன் சுவைக்கத் தயாராக உள்ளது. இதை செய்வது மிகவும் எளிது, அரிசி மற்றும் மசாலாவின் சுவை நாவில் நீர் ஊற வைக்கிறது. இந்த ரெசிபியை முயற்சி செய்து பாருங்கள், உங்கள் கருத்துக்களை எங்களுடன் பகிர்ந்து கொள்ளுங்கள். இனிய சமையல்!!!</t>
  </si>
  <si>
    <t>https://blogger.googleusercontent.com/img/b/R29vZ2xl/AVvXsEghvFZ5xGahepDRxjf2QfrfdIekHfwo4KX2KLWlnHYAZVpOyyI8Pa0N45w8BGIl1viAWF199M9NmutlnsT3oy8iVYRp6iIq7YTdlzZlDUJokibDZnTuEVdERZzbF5e7cTzajPeD11YK0tY/s640/DSC05891.JPG</t>
  </si>
  <si>
    <t>Chicken Urundai Kulambu</t>
  </si>
  <si>
    <t>கோழி உருண்டை குழம்பு</t>
  </si>
  <si>
    <t>1/2 kg - Chicken without bones, 1  - Egg, 2 tbsp  - Roasted channa dal powder, 1/2  - Onion, 1/2 tsp - Chili powder, 1 - Green Chili, 2 Tbsp - Oil, 2 - Bay leaves ,  1 - Cinnamon stick,  2 - Cardamom,  2 - Cloves, 1/2 tsp - Cumin Seeds, 1 inch - Ginger , 2 - Garlic, 2 - Green Chilies, 1/4 tsp - Turmeric powder, 1 large - Onion, 2 large - Tomato , 1.5 tsp - Chili powder, 1 tsp - Coriander powder, 1 tsp - Garam Masala Powder, 1 tsp - Cumin powder, 4 tbsp - Curd , Coriander Leaves, Salt to taste.</t>
  </si>
  <si>
    <t>1/2 கிலோ - எலும்பு இல்லாத கோழி, 1 - முட்டை, 2 டேபிள் ஸ்பூன் - வறுத்த சன்னா பருப்பு தூள், 1/2 - வெங்காயம், 1/2 டீஸ்பூன் - மிளகாய் தூள், 1 - பச்சை மிளகாய், 2 டேபிள் ஸ்பூன் - எண்ணெய், 2 - பிரியாணி இலைகள், 1 - இலவங்கப்பட்டை, 2 - ஏலக்காய், 2 - கிராம்பு, 1/2 டீஸ்பூன் - சீரகம் விதைகள், 1 அங்குலம் - இஞ்சி, 2 - பூண்டு, 2 - பச்சை மிளகாய், 1/4 டீஸ்பூன் - மஞ்சள் தூள், 1 பெரியது - வெங்காயம், 2 பெரியது - தக்காளி, 1.5 டீஸ்பூன் - மிளகாய் தூள், 1 டீஸ்பூன் - கொத்தமல்லி தூள், 1 டீஸ்பூன் - கரம் மசாலா தூள், 1 டீஸ்பூன் - சீரக தூள், 4 டீஸ்பூன் - தயிர், கொத்தமல்லி இலைகள், சுவைக்கேற்ப உப்பு.</t>
  </si>
  <si>
    <t>In a blender add boneless chicken pieces and shred the chicken by giving few pulses.You can also use store bought minced chicken.   Next season the chicken with Egg, Onion, green chiles, Roasted channa dal powder(pottu kadalai maavu) , chilli powder, salt, coriander leaves and mix well to combine everything together.  After mixing make medium sized kofta balls, before that grease your hands with some oil so that the meat doesn't stick to your hands. Fry the chicken balls in oil until golden on all the sides.   Next to make base for our Kofta Curry heat 2 tsp oil and add the onion, ginger and garlic. Once the onions are browned add tomatoes,and the masalas - turmeric powder, cumin powder, coriander powder, garam masala, chili powder , some water and cook until they are soft.  Transfer the contents to a blender and grind it to a smooth paste.   Now in a pan heat oil and add whole spices bay leaf, cinnamon stick, cardamom, cloves and cumin seeds and green chilies. Then add the onion tomato puree and cook it for 7- 10 min minutes to get rid of the raw smell.  Once you see some oil oozing out of the mixture it is right time to add the Curd (yogurt), required salt and mix well. Finally add the fried Chicken balls, cover and let it simmer for 5 - 7 minutes.  Finally add coriander leaves and turn off the heat.  Our Delicious Chicken Kofta curry is ready to be served.It is an excellent side dish for rice, Chappathi, Roti and pulaos. Some times i make American chophouse just by frying the noodles and add this curry on the top and serve with egg. You can replace the chicken with any kind of meat and the curry tastes really good .Please do try this chicken meatball recipe and share you feedback with us.Happy Cooking .</t>
  </si>
  <si>
    <t>ஒரு பிளெண்டரில் எலும்பு இல்லாத கோழி துண்டுகளைச் சேர்த்து, கோழியை சிறிது பருப்புகள் சேர்த்து துண்டாக்கவும். கடையில் வாங்கிய துண்டு துண்தாக வெட்டப்பட்ட கோழியையும் பயன்படுத்தலாம். அடுத்த முறை கோழிக்கறியுடன் முட்டை, வெங்காயம், பச்சை மிளகாய், வறுத்த சன்னா பருப்பு தூள் (பொட்டு கடலை மாவு), மிளகாய் தூள், உப்பு, கொத்தமல்லி இலை ஆகியவற்றை சேர்த்து நன்கு கலக்கவும். கலந்த பிறகு நடுத்தர அளவிலான கோஃப்தா உருண்டைகளை உருவாக்கவும், அதற்கு முன் இறைச்சி உங்கள் கைகளில் ஒட்டாமல் இருக்க சிறிது எண்ணெயை கைகளில் தடவவும். கோழி உருண்டைகளை எண்ணெயில் அனைத்து பக்கங்களிலும் பொன்னிறமாகும் வரை வறுக்கவும். எங்கள் கோஃப்தா கறிக்கு அடித்தளமாக 2 தேக்கரண்டி எண்ணெயை சூடாக்கி வெங்காயம், இஞ்சி மற்றும் பூண்டு சேர்க்கவும். வெங்காயம் பழுப்பு நிறமானதும் தக்காளி மற்றும் மசாலாக்களைச் சேர்த்து - மஞ்சள் தூள், சீரகத் தூள், கொத்தமல்லித் தூள், கரம் மசாலா, மிளகாய்த் தூள், சிறிது தண்ணீர் சேர்த்து மென்மையாகும் வரை சமைக்கவும். ஒரு பிளெண்டரில் போட்டு மென்மையான பேஸ்டாக அரைக்கவும். இப்போது ஒரு கடாயில் எண்ணெயைச் சூடாக்கி, முழு மசாலாப் பொருட்களான வளைகுடா இலை, இலவங்கப்பட்டை குச்சி, ஏலக்காய், கிராம்பு மற்றும் சீரகம் மற்றும் பச்சை மிளகாய் ஆகியவற்றைச் சேர்க்கவும். பின்னர் வெங்காய தக்காளி கூழ் சேர்த்து 7-10 நிமிடங்கள் சமைக்கவும், இதனால் பச்சை வாசனை நீங்கும். கலவையிலிருந்து சிறிது எண்ணெய் வெளியேறுவதை நீங்கள் கண்டதும், தயிர் (தயிர்), தேவையான உப்பு சேர்த்து நன்கு கலக்கவும். இறுதியாக வறுத்த சிக்கன் பந்துகளைச் சேர்த்து, மூடி வைத்து 5 - 7 நிமிடங்கள் கொதிக்க விடவும். இறுதியாக கொத்தமல்லி இலைகளைச் சேர்த்து, அடுப்பை அணைக்கவும். எங்கள் சுவையான சிக்கன் கோஃப்தா கறி பரிமாற தயாராக உள்ளது. இது சாதம், சப்பாத்தி, ரொட்டி மற்றும் புலாவ்களுக்கு ஒரு சிறந்த துணை உணவாகும். சில சமயங்களில் நான் நூடுல்ஸை வறுத்து அமெரிக்கன் சாப்ஹவுஸ் செய்கிறேன், அதன் மேல் இந்த கறியைச் சேர்த்து முட்டையுடன் பரிமாறுவேன். நீங்கள் சிக்கனுக்குப் பதிலாக எந்த வகையான இறைச்சியையும் சேர்க்கலாம், கறி மிகவும் சுவையாக இருக்கும். தயவுசெய்து இந்த சிக்கன் மீட்பால் செய்முறையை முயற்சி செய்து உங்கள் கருத்தை எங்களுடன் பகிர்ந்து கொள்ளுங்கள். மகிழ்ச்சியான சமையல்.</t>
  </si>
  <si>
    <t>https://blogger.googleusercontent.com/img/b/R29vZ2xl/AVvXsEiFv-SYAgSQ36AqWYVLVkgPIZMJOGxxjSSYjoA5DwQYUu5WalFuly7Z-pbfkkuyoUJVkWqWIfT24vyQJZPhDcvqRnvtQD_L4EX3AysiHSmhVZ6DPxGo5L24gje3rrsQW0tyU_3lp7VCMCg/s640/editted.jpg</t>
  </si>
  <si>
    <t>White Kurma</t>
  </si>
  <si>
    <t>வெள்ளை குர்மா</t>
  </si>
  <si>
    <t>1 Tbsp - Oil, 1 - Bay Leaf, 1 inchn - Cinnamon stick, 2 - cardamom pods, 1 - clove, 1 tsp - fennel seeds, Curry Leaves, 1 Tbsp - Ginger Garlic paste, 1(200g)  - Onion, Vegetables ( Carrots, Beans, Peas, Cauliflower , Potatoes), Coriander leaves for Garnishing, Salt to Taste, 1 cup - Grated Coconut, 1 tbsp - Roasted Channa Dal, 4-5 - Cashew nuts, 1 tsp - Fennel seeds, 1 tsp - Cumin seeds, 4-5 - Green chilies, 1 - clove,  2 - cardamom,  1 - Cinnamon, required Water.</t>
  </si>
  <si>
    <t>1 டேபிள்ஸ்பூன் - எண்ணெய், 1 - பிரிஞ்சி இலை, 1 அங்குலம் - இலவங்கப்பட்டை குச்சி, 2 - ஏலக்காய் காய்கள், 1 - கிராம்பு, 1 டீஸ்பூன் - பெருஞ்சீரகம் விதைகள், கறிவேப்பிலை, 1 டேபிள்ஸ்பூன் - இஞ்சி பூண்டு விழுது, 1 (200 கிராம்) - வெங்காயம், காய்கறிகள் (கேரட், பீன்ஸ், பட்டாணி, காலிஃபிளவர், உருளைக்கிழங்கு), அலங்கரிக்க கொத்தமல்லி இலைகள், சுவைக்கு உப்பு, 1 கப் - துருவிய தேங்காய், 1 டேபிள்ஸ்பூன் - வறுத்த சன்னா பருப்பு, 4-5 - முந்திரி பருப்பு, 1 டேபிள்ஸ்பூன் - பெருஞ்சீரகம், 1 டேபிள்ஸ்பூன் - சீரகம், 4-5 - பச்சை மிளகாய், 1 - கிராம்பு, 2 - ஏலக்காய், 1 - இலவங்கப்பட்டை, தேவையான தண்ணீர்.</t>
  </si>
  <si>
    <t>In a blender add 1 cup of grated coconut, Roasted channa dal, Cumin seeds, Fennel seeds, cashews, clove, cinnamon, cardamom, Green Chilies and grind it to a smooth paste along with some water.  In a pan heat some oil, once the oil is hot add bay leaf, cinnamon, cardamom, cloves and a tsp of fennel seeds .Then add chopped onion and saute until the onions are golden.  Then add some Ginger Garlic paste and mix it.After the raw smell of ginger garlic paste is gone add the vegetables of your choice (I have added Carrots, Cauliflower, Peas, Beans, Potatoes and Cauliflower).Cook the veggies for a couple of minutes.   Ones the veggies are slightly cooked add the coconut paste, add salt , required water and cook for 2 whistles or until the vegetables are 100 % cooked. It takes approximately 30 minutes on a open pot.   Finally add chopped coriander leaves and mix well. Coriander leaves gives good flavor and aroma to the veg Kuruma.  Our Delicious Hotel Style Veg white Kurma is ready to be enjoyed with some Chapathi and Roti or Parotta .Happy Cooking!!!</t>
  </si>
  <si>
    <t>ஒரு மிக்ஸியில் 1 கப் துருவிய தேங்காய், வறுத்த சன்னா பருப்பு, சீரகம், பெருஞ்சீரகம், முந்திரி, கிராம்பு, இலவங்கப்பட்டை, ஏலக்காய், பச்சை மிளகாய் ஆகியவற்றைச் சேர்த்து, சிறிது தண்ணீர் சேர்த்து மென்மையான பேஸ்டாக அரைக்கவும். ஒரு கடாயில் சிறிது எண்ணெயைச் சூடாக்கி, எண்ணெய் சூடானதும், பிரியாணி இலை, இலவங்கப்பட்டை, ஏலக்காய், கிராம்பு மற்றும் ஒரு தேக்கரண்டி பெருஞ்சீரகம் சேர்க்கவும். பின்னர் நறுக்கிய வெங்காயத்தைச் சேர்த்து வெங்காயம் பொன்னிறமாகும் வரை வதக்கவும். பின்னர் சிறிது இஞ்சி பூண்டு விழுது சேர்த்து கலக்கவும். இஞ்சி பூண்டு விழுது பச்சை வாசனை போன பிறகு, உங்களுக்கு விருப்பமான காய்கறிகளைச் சேர்க்கவும் (நான் கேரட், காலிஃபிளவர், பட்டாணி, பீன்ஸ், உருளைக்கிழங்கு மற்றும் காலிஃபிளவர் சேர்த்துள்ளேன்). காய்கறிகளை இரண்டு நிமிடங்கள் சமைக்கவும். காய்கறிகள் சிறிது வெந்தவுடன் தேங்காய் விழுது, உப்பு, தேவையான தண்ணீர் சேர்த்து 2 விசில் அல்லது காய்கறிகள் 100% வேகும் வரை சமைக்கவும். திறந்த பாத்திரத்தில் சுமார் 30 நிமிடங்கள் ஆகும். கடைசியாக நறுக்கிய கொத்தமல்லி இலைகளைச் சேர்த்து நன்கு கலக்கவும். கொத்தமல்லி இலைகள் காய்கறி குருமாவுக்கு நல்ல சுவையையும் நறுமணத்தையும் தரும். எங்கள் சுவையான ஹோட்டல் ஸ்டைல் ​​வெஜ் வைட் குர்மா சப்பாத்தி, ரொட்டி அல்லது பரோட்டாவுடன் சாப்பிட தயாராக உள்ளது. மகிழ்ச்சியான சமையல்!!!</t>
  </si>
  <si>
    <t>https://blogger.googleusercontent.com/img/b/R29vZ2xl/AVvXsEhcxxh5gM51dXAHGFTrFH7pgqSail9NeysfMTWCW9pPXsbl4Qgc52549W4DklMyk_zxzPsizFVE_oJc_ycBoh-USZzsxV8cKFWfvBIMUB7elQtaCitbqAt5bv6BQj3CHnEyUHx707-Nm6M/s640/editted.jpg</t>
  </si>
  <si>
    <t>Coffee Cake with Buttercream frosting</t>
  </si>
  <si>
    <t>பட்டர்கிரீம் ஃப்ரோஸ்டிங் கொண்ட காபி கேக்</t>
  </si>
  <si>
    <t>1 cup -  Maida (130g), 1/4 cup - Unsweetened Cocoa powder (25 g), 1 tsp - Baking Powder, 1/2 tsp - Baking Soda, 1/4 tsp - Salt, 1/2 cup - Hot Water, 2 tbsp  - Instant Coffee powder, 1 - Egg, 1/2 cup - Milk, 1/2 cup - Oil, 1 tsp - Vanilla extract , 1 cup - Sugar, 1 cup  - Butter (200 g), 3/4 cup - Powdered Sugar (125 g), 3 +3 tbsp - Chocolate chips or syrup,  2 tsp - Milk, 1/4 tsp - Vanilla extract.</t>
  </si>
  <si>
    <t>1 கப் - மைதா (130 கிராம்), 1/4 கப் - இனிக்காத கோகோ பவுடர் (25 கிராம்), 1 தேக்கரண்டி - பேக்கிங் பவுடர், 1/2 தேக்கரண்டி - பேக்கிங் சோடா, 1/4 தேக்கரண்டி - உப்பு, 1/2 கப் - வெந்நீர், 2 தேக்கரண்டி - உடனடி காபி பவுடர், 1 - முட்டை, 1/2 கப் - பால், 1/2 கப் - எண்ணெய், 1 தேக்கரண்டி - வெண்ணிலா சாறு, 1 கப் - சர்க்கரை, 1 கப் - வெண்ணெய் (200 கிராம்), 3/4 கப் - தூள் சர்க்கரை (125 கிராம்), 3 +3 தேக்கரண்டி - சாக்லேட் சிப்ஸ் அல்லது சிரப், 2 தேக்கரண்டி - பால், 1/4 தேக்கரண்டி - வெண்ணிலா சாறு.</t>
  </si>
  <si>
    <t>Dissolve Coffee powder in hot water and keep it aside. I have used Bru instant coffee powder for this recipe , you can use any coffee you like.  Now in a mixing bowl add egg and beat well. Then add milk, oil, vanilla extract, coffee water form step 1, sugar and mix until the sugar is dissolved.  Sift all the dry ingredients together - all purpose flour, cocoa powder, baking powder, baking soda and salt and mix well with the wet ingredients.  I have used 3 - 7 inch pan for baking the cakes, it takes approximately 15- 17 minutes for me at 350 F / 175 C preheated oven. You can bake a single cake and cut it into 3 equal portions later. Once the cakes are done let it cool completely.   Into a bowl and 200 gram of unsalted butter (room temperature butter) and beat until it turns bright white (takes approximately 10 minutes on medium high). Now to this add powdered sugar and mix well.   Then add melted chocolate (at room temperature) , milk and vanilla extract and mix well. Transfer it to a piping bag and set aside.  Place the first layer of the cake and apply some Coffee water to wet the cake , then some cream on the top and then spread it evenly, then place the second layer of cake and then continue the same. Finally Cover the entire cake with the cream and add some chocolate syrup on the top and garnish.</t>
  </si>
  <si>
    <t>காபி பவுடரை வெந்நீரில் கரைத்து ஒதுக்கி வைக்கவும். இந்த ரெசிபிக்கு நான் ப்ரூ இன்ஸ்டன்ட் காபி பவுடரைப் பயன்படுத்தினேன், நீங்கள் விரும்பும் எந்த காபியையும் பயன்படுத்தலாம். இப்போது ஒரு கலவை கிண்ணத்தில் முட்டையைச் சேர்த்து நன்றாக அடிக்கவும். பின்னர் பால், எண்ணெய், வெண்ணிலா சாறு, காபி தண்ணீர் படி 1, சர்க்கரை சேர்த்து சர்க்கரை கரையும் வரை கலக்கவும். அனைத்து உலர்ந்த பொருட்களையும் - அனைத்து வகையான மாவு, கோகோ பவுடர், பேக்கிங் பவுடர், பேக்கிங் சோடா மற்றும் உப்பு ஆகியவற்றை ஒன்றாக சலித்து, ஈரமான பொருட்களுடன் நன்கு கலக்கவும். கேக்குகளை சுடுவதற்கு நான் 3 - 7 அங்குல பாத்திரத்தைப் பயன்படுத்தினேன், 350 F / 175 C ப்ரீஹீட் செய்யப்பட்ட அடுப்பில் எனக்கு சுமார் 15-17 நிமிடங்கள் ஆகும். நீங்கள் ஒரு கேக்கை சுட்டு பின்னர் 3 சம பாகங்களாக வெட்டலாம். கேக்குகள் தயாரானதும், அதை முழுமையாக குளிர்விக்க விடவும். ஒரு கிண்ணத்தில் 200 கிராம் உப்பு சேர்க்காத வெண்ணெய் (அறை வெப்பநிலை வெண்ணெய்) சேர்த்து, அது பிரகாசமான வெண்மையாக மாறும் வரை அடிக்கவும் (நடுத்தர உயரத்தில் சுமார் 10 நிமிடங்கள் ஆகும்). இப்போது இதனுடன் தூள் சர்க்கரையைச் சேர்த்து நன்கு கலக்கவும். பின்னர் உருகிய சாக்லேட் (அறை வெப்பநிலையில்), பால் மற்றும் வெண்ணிலா சாறு ஆகியவற்றைச் சேர்த்து நன்கு கலக்கவும். அதை ஒரு பைப்பிங் பையில் மாற்றி ஒதுக்கி வைக்கவும். கேக்கின் முதல் அடுக்கை வைத்து, கேக்கை நனைக்க சிறிது காபி தண்ணீரை தடவி, அதன் மேல் சிறிது கிரீம் தடவி, பின்னர் அதை சமமாக பரப்பி, இரண்டாவது அடுக்கை கேக்கை வைத்து, அதே போல் தொடரவும். இறுதியாக, முழு கேக்கையும் கிரீம் கொண்டு மூடி, மேலே சிறிது சாக்லேட் சிரப்பைச் சேர்த்து அலங்கரிக்கவும்.</t>
  </si>
  <si>
    <t>https://blogger.googleusercontent.com/img/b/R29vZ2xl/AVvXsEgq9Cqxy75tK8ymj3qmO-FsZGhlqp90-4mMihaxZYxcMLBPk2P2lXycf9bo21mAhw7yJq1HbAHCWZmOUbZCqJe_BOp04C6pg1egkVokXpYBa0ynbhnIKrVSH4qHTqrEF9xwaD3ywJ3LNVo/s640/Coffee+Cake.jpg</t>
  </si>
  <si>
    <t>Pani Puri</t>
  </si>
  <si>
    <t>பாணி பூரி</t>
  </si>
  <si>
    <t>1/2 cup - Mint leaves, 1/2 cup - Coriander leaves, 1/2 inch - Ginger , 2-3 - Green Chilies, 1 - Lemon , 1/4 tsp - Pepper, 1 tsp - Cumin powder, 10-12  - strand Tamarind (1 cup), 5-6 - Dates, 1/4 cup - Jaggery, 1/2 tsp - Chili powder, 1/4 tsp - Salt , 1 cup  - Semolina (160g), 2 tbsp - Maida, 1/3 cup - Water (approx), 1/2 cup - cooked Chickpea, 2  - boiled Potato, 1/2 cup - Chopped Onion, 1/2 cup - Coriander leaves, 1/2 tsp - Cumin powder, 1/2 tsp - Chili powder, Salt to taste.</t>
  </si>
  <si>
    <t>1/2 கப் - புதினா இலைகள், 1/2 கப் - கொத்தமல்லி இலைகள், 1/2 அங்குலம் - இஞ்சி, 2-3 - பச்சை மிளகாய், 1 - எலுமிச்சை, 1/4 தேக்கரண்டி - மிளகு, 1 தேக்கரண்டி - சீரகப் பொடி, 10-12 - இழை புளி (1 கப்), 5-6 - பேரீச்சம்பழம், 1/4 கப் - வெல்லம், 1/2 தேக்கரண்டி - மிளகாய் பொடி, 1/4 தேக்கரண்டி - உப்பு, 1 கப் - ரவை (160 கிராம்), 2 தேக்கரண்டி - மைதா, 1/3 கப் - தண்ணீர் (தோராயமாக), 1/2 கப் - சமைத்த கொண்டைக்கடலை, 2 - வேகவைத்த உருளைக்கிழங்கு, 1/2 கப் - நறுக்கிய வெங்காயம், 1/2 கப் - கொத்தமல்லி இலைகள், 1/2 தேக்கரண்டி - சீரகப் பொடி, 1/2 தேக்கரண்டி - மிளகாய் பொடி, சுவைக்கேற்ப உப்பு.</t>
  </si>
  <si>
    <t>Lets start with making Puri for Pani poori. Into a mixing bowl add Rava, maida, salt and gradually add water to make a stiff dough. Knead the dough for  minimum 5 minutes and cover it with a damp cloth and let it rest for 30 minutes.  Green Chutney /  Pudina chutney.  Into a blender add mint leaves, Coriander leaves, Green chilies, Ginger, Pepper powder, cumin powder salt and lemon juice. Add required water and grind it to a smooth paste. Pass it through a filter and then add more water.  Soak the tamarind in water for 15 minutes and squeeze the pulp, add it to a pan and also add in dates, jaggery, chili powder and required salt. Let it boil for sometime. Once it thickens turn off the heat and let to cool. Grind it to a fine paste and keep it aside.  Divide the dough into 2 portions and roll it thin. Cut cricles anf fry in on medium hot oil. Make sure to fry it until crispy / golden.  Into a mixing bowl add potatoes and mash well. Then add in cooked chickpeas, cumin powder, chili powder, salt, chopped Onion, coriander leaves and mix well.  Crack oped top of the puri and stuff the potato masala then tamarind chutney and the dip it in Pudina water and enjoy !!!!!!!!!  That's it our delicious Pani puri is ready to be served, Before serving garnish with sev and some coriander leaves on the top. Serve it immediately to maintain freshness and crispiness.</t>
  </si>
  <si>
    <t>பாணி பூரிக்கு பூரி செய்வதன் மூலம் ஆரம்பிக்கலாம். ஒரு கலவை பாத்திரத்தில் ரவா, மைதா, உப்பு சேர்த்து படிப்படியாக தண்ணீர் சேர்த்து கெட்டியான மாவை தயாரிக்கவும். மாவை குறைந்தது 5 நிமிடங்கள் பிசைந்து, ஈரமான துணியால் மூடி 30 நிமிடங்கள் அப்படியே வைக்கவும். பச்சை சட்னி / புதினா சட்னி. ஒரு பிளெண்டரில் புதினா இலைகள், கொத்தமல்லி இலைகள், பச்சை மிளகாய், இஞ்சி, மிளகு தூள், சீரக தூள் உப்பு மற்றும் எலுமிச்சை சாறு சேர்க்கவும். தேவையான தண்ணீர் சேர்த்து மென்மையான பேஸ்டாக அரைக்கவும். அதை ஒரு வடிகட்டி வழியாக அனுப்பவும், பின்னர் மேலும் தண்ணீர் சேர்க்கவும். புளியை 15 நிமிடங்கள் தண்ணீரில் ஊறவைத்து, கூழ் பிழிந்து, ஒரு பாத்திரத்தில் சேர்த்து, பேரீச்சம்பழம், வெல்லம், மிளகாய் தூள் மற்றும் தேவையான உப்பு சேர்க்கவும். சிறிது நேரம் கொதிக்க விடவும். அது கெட்டியானதும், தீயை அணைத்து ஆற விடவும். நன்றாக பேஸ்டாக அரைத்து ஒதுக்கி வைக்கவும். மாவை 2 பகுதிகளாக பிரித்து மெல்லியதாக உருட்டவும். வட்டங்களை வெட்டி, நடுத்தர சூடான எண்ணெயில் வறுக்கவும். மொறுமொறுப்பாக / பொன்னிறமாக வறுக்கவும். ஒரு கலவை பாத்திரத்தில் உருளைக்கிழங்கைச் சேர்த்து நன்கு மசிக்கவும். பின்னர் வேகவைத்த கொண்டைக்கடலை, சீரகப் பொடி, மிளகாய்த் தூள், உப்பு, நறுக்கிய வெங்காயம், கொத்தமல்லி இலைகள் சேர்த்து நன்கு கலக்கவும். பூரியின் மேல் பகுதியை உடைத்து, உருளைக்கிழங்கு மசாலாவை நிரப்பி, பின்னர் புளி சட்னியை ஊற்றி, புதினா தண்ணீரில் நனைத்து மசிக்கவும்!!!!!!!!! அவ்வளவுதான், எங்கள் சுவையான பானி பூரி பரிமாற தயாராக உள்ளது, பரிமாறுவதற்கு முன் சேவ் மற்றும் மேலே சிறிது கொத்தமல்லி இலைகளால் அலங்கரிக்கவும். புத்துணர்ச்சியையும் மொறுமொறுப்பையும் பராமரிக்க உடனடியாக பரிமாறவும்.</t>
  </si>
  <si>
    <t>https://blogger.googleusercontent.com/img/b/R29vZ2xl/AVvXsEgvAUWFg6daaZS4l8NqkkIA_9kg2mkrHpTxn-j_5ulJkJ3adYFFYG2_lzdV3PMTHe8Y59iMqWSkwEYa-NV-UMO3CsOgC7eSyjw2o9yhvNk_TaR9LM5-v-LTREe0Z6TGQX6q7TEl761HCUc/s640/DSC06055.JPG</t>
  </si>
  <si>
    <t>Bread Pizza</t>
  </si>
  <si>
    <t>பிரெட் பீட்சா</t>
  </si>
  <si>
    <t>4 slice - Bread, 1 tsp - Butter, 1/4 cup - Pizza Sauce, 1/2  - Onion, 1/2  - Tomato, 1/2 - Capsicum, 10 - Olives (optional), 1 cup - Mozzarella Cheese , 1/2 tsp - Chilli flakes, 1/2 tsp  - Italian seasoning.</t>
  </si>
  <si>
    <t>4 துண்டுகள் - ரொட்டி, 1 தேக்கரண்டி - வெண்ணெய், 1/4 கப் - பீட்சா சாஸ், 1/2 - வெங்காயம், 1/2 - தக்காளி, 1/2 - கேப்சிகம், 10 - ஆலிவ்கள் (விரும்பினால்), 1 கப் - மொஸரெல்லா சீஸ், 1/2 தேக்கரண்டி - மிளகாய் துண்டுகள், 1/2 தேக்கரண்டி - இத்தாலிய மசாலா.</t>
  </si>
  <si>
    <t>Grease a pan with butter and toast the bread on one side. Flip it to the other side and keep the flame on low.   Spread a layer of homemade pizza sauce and then add the toppings- onion, tomato, capsicum, olives and then top it with mozzarella cheese.   Finally add some seasoning - chilli flakes and Italian seasoning. Cover the pan and let the cheese melt.  Our delicious bread pizza is done in no time. Make sure to keep the flame on low .</t>
  </si>
  <si>
    <t>ஒரு பாத்திரத்தில் வெண்ணெய் தடவி, ரொட்டியை ஒரு பக்கம் வறுக்கவும். அதை மறுபுறம் திருப்பி, தீயை குறைவாக வைக்கவும். வீட்டில் தயாரிக்கப்பட்ட பீட்சா சாஸை ஒரு அடுக்காக பரப்பி, பின்னர் வெங்காயம், தக்காளி, கேப்சிகம், ஆலிவ்ஸ் போன்ற டாப்பிங்ஸைச் சேர்த்து, அதன் மேல் மொஸரெல்லா சீஸ் சேர்க்கவும். இறுதியாக சிறிது மசாலா - மிளகாய் துண்டுகள் மற்றும் இத்தாலிய மசாலா சேர்க்கவும். பாத்திரத்தை மூடி, சீஸ் உருக விடவும். எங்கள் சுவையான பிரட் பீட்சா சிறிது நேரத்தில் தயாராகிவிடும். தீயை குறைவாக வைத்திருக்க மறக்காதீர்கள்.</t>
  </si>
  <si>
    <t>https://blogger.googleusercontent.com/img/b/R29vZ2xl/AVvXsEhs7MnYIG5Cp-QJxYeXt9_ifTuqWdLPhcuV4I5DwwNeuQvcD5PKjjCE0yVsEEmPhtCHLcAmnohVf_71RSJy3IXfRbnBhFk9Lgcfoi1QThgQ1E2J6eC2XtE1OFv1kyf1flOk-opH71DgZU4/s640/DSC05588.JPG</t>
  </si>
  <si>
    <t>Oreo Biscuit</t>
  </si>
  <si>
    <t>ஓரியோ பிஸ்கட்</t>
  </si>
  <si>
    <t>1/2 cup - Butter, 1/2 cup - sugar (100 gram) , 1 cup - All purpose flour / Maida (130 gram) , 1/4 cup - Cocoa powder (40 gram) , 3 tbsp - Milk (45 ml), Pinch of salt, 3 tbsp  - Butter, 1/2 cup - sugar  (100 gram) , 1/2 tsp - Vanilla extract.</t>
  </si>
  <si>
    <t>1/2 கப் - வெண்ணெய், 1/2 கப் - சர்க்கரை (100 கிராம்), 1 கப் - அனைத்து வகையான மாவு / மைதா (130 கிராம்), 1/4 கப் - கோகோ பவுடர் (40 கிராம்), 3 டேபிள் ஸ்பூன் - பால் (45 மிலி), சிட்டிகை உப்பு, 3 டேபிள் ஸ்பூன் - வெண்ணெய், 1/2 கப் - சர்க்கரை (100 கிராம்), 1/2 டேபிள் ஸ்பூன் - வெண்ணிலா சாறு.</t>
  </si>
  <si>
    <t>Into a mixing bowl add softened butter ( make sure the butter is at room temperature - nice and soft) and whisk well until pale and fluffy. Then add powdered sugar to it and mix it again until well combined. (You can also use electric beater to seep up the process) . Then add in the cocoa powder, Maida, salt, Milk and mix well without any lumps ( use your hands for mixing)   refrigerate the dough for 30 minutes to get perfect shapes.  Now transfer the dough to a working surface and roll it thin , I have used paper below and parchment paper above the dough to roll evenly. Using cookie cutter or a lid make small rounds. We get 32 pieces from this recipe.  Transfer them to a baking pan lined with parchment paper (make sure to leave some space in between the cookies) and bake it for 13-15 minutes @ 350 F / 175 C or until crispy. It may seam a little soft at first but once it cools down it thickens, Allow it to cool completely.  A well baked cookie should have nice crisp to it.  It takes approximately 12- 15 minutes when baked in Cooker at medium heat.  Into a mixing bowl add softened butter and beat well. then add in the powdered sugar and vanilla extract.  The mixture should be thick .  Once the biscuits are cooled spread butter cream with a help of a spoon and place another oreo biscuit on the top. That's it our oreo biscuits are ready to be enjoyed.  Once the cookies are cooled, store them in a air tight container / Cookie jar. Happy oreo Biscuit, enjoy  Cookies !!!</t>
  </si>
  <si>
    <t>ஒரு கலவை கிண்ணத்தில் மென்மையாக்கப்பட்ட வெண்ணெய் சேர்க்கவும் (வெண்ணெய் அறை வெப்பநிலையில் இருப்பதை உறுதிசெய்து கொள்ளுங்கள் - நன்றாகவும் மென்மையாகவும் இருக்கும்) மற்றும் வெளிர் மற்றும் பஞ்சுபோன்ற வரை நன்கு அடிக்கவும். பின்னர் அதில் தூள் சர்க்கரையைச் சேர்த்து நன்கு கலக்கும் வரை மீண்டும் கலக்கவும். (செயல்முறையை கசியும் வகையில் நீங்கள் மின்சார பீட்டரையும் பயன்படுத்தலாம்). பின்னர் கோகோ பவுடர், மைதா, உப்பு, பால் சேர்த்து கட்டிகள் இல்லாமல் நன்கு கலக்கவும் (கலக்க உங்கள் கைகளைப் பயன்படுத்தவும்) சரியான வடிவங்களைப் பெற மாவை 30 நிமிடங்கள் குளிர்சாதன பெட்டியில் வைக்கவும். இப்போது மாவை ஒரு வேலை செய்யும் இடத்திற்கு மாற்றி மெல்லியதாக உருட்டவும், கீழே காகிதத்தையும் மாவின் மேலே காகிதத்தையும் சமமாக உருட்டவும் பயன்படுத்தினேன். குக்கீ கட்டர் அல்லது ஒரு மூடியைப் பயன்படுத்தி சிறிய வட்டங்களைச் செய்யுங்கள். இந்த செய்முறையிலிருந்து நமக்கு 32 துண்டுகள் கிடைக்கும். அவற்றை காகிதத்தோல் காகிதத்தால் வரிசையாக அமைக்கப்பட்ட பேக்கிங் பாத்திரத்தில் மாற்றவும் (குக்கீகளுக்கு இடையில் சிறிது இடைவெளி விடவும்) 13-15 நிமிடங்கள் அல்லது 350 F / 175 C வெப்பநிலையில் அல்லது மொறுமொறுப்பாகும் வரை சுடவும். இது முதலில் சிறிது மென்மையாக மடிக்கப்படலாம், ஆனால் அது குளிர்ந்ததும் அது கெட்டியாகிவிடும், அதை முழுமையாக குளிர்விக்க விடவும். நன்கு சுடப்பட்ட குக்கீ நல்ல மொறுமொறுப்பாக இருக்க வேண்டும். குக்கரில் மிதமான வெப்பத்தில் சுடும்போது தோராயமாக 12-15 நிமிடங்கள் ஆகும். ஒரு கலவை கிண்ணத்தில் மென்மையாக்கப்பட்ட வெண்ணெய் சேர்த்து நன்றாக அடிக்கவும். பின்னர் தூள் சர்க்கரை மற்றும் வெண்ணிலா சாற்றைச் சேர்க்கவும். கலவை கெட்டியாக இருக்க வேண்டும். பிஸ்கட்கள் குளிர்ந்ததும் ஒரு கரண்டியால் வெண்ணெய் கிரீம் தடவி மேலே மற்றொரு ஓரியோ பிஸ்கட்டை வைக்கவும். அவ்வளவுதான் எங்கள் ஓரியோ பிஸ்கட்கள் சுவைக்க தயாராக உள்ளன. குக்கீகள் குளிர்ந்ததும், அவற்றை காற்று புகாத கொள்கலன் / குக்கீ ஜாடியில் சேமிக்கவும். மகிழ்ச்சியான ஓரியோ பிஸ்கட், குக்கீகளை அனுபவியுங்கள் !!!</t>
  </si>
  <si>
    <t>https://blogger.googleusercontent.com/img/b/R29vZ2xl/AVvXsEg2kiNqm-thJRzAJQ_nBjKxzOZbb31Bzk7hsu3WJeCWFE92dpn2XaaJBCu3rbgHvrfhOpKGK7k6F5SohJVYYqm7GtV0tXRpPN6yXlN2XTc5WfZOalmpLKXa_jYD2RZoEuJICvHcZ0ihZ04/s640/DSC05926.JPG</t>
  </si>
  <si>
    <t>Potato Fingers</t>
  </si>
  <si>
    <t>உருளைக்கிழங்கு விரல்கள்</t>
  </si>
  <si>
    <t>3 large - Potatoes (400g), 1 tbsp - Rava, 1 tbsp  - corn flour, 2 tbsp - Rice flour, 1/2 tsp - Chili powder, 1/4 tsp - Pepper powder, Coriander leaves, Curry leaves, Salt to taste, Oil for frying.</t>
  </si>
  <si>
    <t>3 பெரிய உருளைக்கிழங்கு (400 கிராம்), 1 டீஸ்பூன் - ரவா, 1 டீஸ்பூன் - சோள மாவு, 2 டீஸ்பூன் - அரிசி மாவு, 1/2 டீஸ்பூன் - மிளகாய் தூள், 1/4 டீஸ்பூன் - மிளகு தூள், கொத்தமல்லி இலை, கறிவேப்பிலை, சுவைக்கு உப்பு, பொரிப்பதற்கு எண்ணெய்.</t>
  </si>
  <si>
    <t>Boil and mash 3 potatoes with fingers, we can also grate the potatoes.  Season potatoes with rava, corn flour, rice flour, chili powder, pepper powder, curry leaves, coriander leaves, salt and mix well.Without adding water knead it into a dough, If you feel the dough is watery or sticky then add little more bread crumbs or corn flour to make it thick.   Grease the hand with oil and roll the dough thin fingers.   Once the oil is nice and hot add the potato fingers one by one and fry until crispy and golden. Enjoy this crispy delicious potato fingers with a smile on your face.  Spread the JOY OF COOKING !!!</t>
  </si>
  <si>
    <t>3 உருளைக்கிழங்கை விரல்களால் வேகவைத்து மசித்து, உருளைக்கிழங்கையும் துருவலாம். உருளைக்கிழங்கை ரவா, சோள மாவு, அரிசி மாவு, மிளகாய் தூள், மிளகு தூள், கறிவேப்பிலை, கொத்தமல்லி இலை, உப்பு சேர்த்து நன்கு கலக்கவும். தண்ணீர் சேர்க்காமல் மாவாக பிசையவும், மாவு நீர்த்துப்போகும் அல்லது ஒட்டும் தன்மை கொண்டதாக உணர்ந்தால், சிறிது ரொட்டித் துண்டுகள் அல்லது சோள மாவு சேர்த்து கெட்டியாக பிசையவும். கையில் எண்ணெயை தடவி, மாவை மெல்லிய விரல்களால் உருட்டவும். எண்ணெய் நன்றாகவும் சூடாகவும் ஆனதும், உருளைக்கிழங்கு விரல்களை ஒவ்வொன்றாகச் சேர்த்து மொறுமொறுப்பாகவும் பொன்னிறமாகவும் வறுக்கவும். முகத்தில் புன்னகையுடன் இந்த மொறுமொறுப்பான சுவையான உருளைக்கிழங்கு விரல்களை அனுபவிக்கவும். சமையலின் மகிழ்ச்சியைப் பரப்புங்கள்!!!</t>
  </si>
  <si>
    <t>https://blogger.googleusercontent.com/img/b/R29vZ2xl/AVvXsEjpog9r8V0W9a8YMDOjJwgW5CI0xZ6CjywozuwGEe09qBSoEI7LlbSgkYKSjqzk5Hrnvt2CvHHDTCSI9UPDn14lfYt67faBKxJBpBOsNfLV43dWB0KGWsp_AIDg4k0bfU2dSP6Aqx5ecIA/s640/DSC05294.JPG</t>
  </si>
  <si>
    <t>Popsicles</t>
  </si>
  <si>
    <t>பாப்சிகல்ஸ்</t>
  </si>
  <si>
    <t>4 - Mangoes, 6 - Strawberry, 4 tbsp - Sugar (optional), 15  - Grapes, 1/2 cup - Water, 1/4 cup - Sugar, 2 cup - Grapes, 4  - Orange, 1/4 cup - Honey or Sugar, 1.5 cup - Milk, 2 tbsp  - Semiya, 1/4 cup - Sugar, 2 - Lemon, 1/4 cup - Honey or Sugar, 2 - mint leaves (optional)</t>
  </si>
  <si>
    <t>4 - மாம்பழம், 6 - ஸ்ட்ராபெர்ரி, 4 டேபிள் ஸ்பூன் - சர்க்கரை (விரும்பினால்), 15 - திராட்சை, 1/2 கப் - தண்ணீர், 1/4 கப் - சர்க்கரை, 2 கப் - திராட்சை, 4 - ஆரஞ்சு, 1/4 கப் - தேன் அல்லது சர்க்கரை, 1.5 கப் - பால், 2 டேபிள் ஸ்பூன் - சேமியா, 1/4 கப் - சர்க்கரை, 2 - எலுமிச்சை, 1/4 கப் - தேன் அல்லது சர்க்கரை, 2 - புதினா இலைகள் (விரும்பினால்).</t>
  </si>
  <si>
    <t>Mango Strawberry Ice: Into a blender add the mango chunks and grind it smooth. If you like sweet or if you are serving to kids please use sugar for extra sweetness. Once done transfer it to a ice mold. To get nice contrast i have used pureed some strawberry and topped over mangoes.  Grape Ice: Add grapes to a pan and cook it with some water. Once the grapes are nice and soft add sugar and cook until it turns hick (syrup consistency) . Turn off the heat and let it cool. Now to a blender add some seedless grapes and grind. Pass it thought a filter and transfer it to a Popsicle mold.  Orange Ice:  Squeeze juice out of 4 oranges and add some honey or sugar to sweeten the juice. Transfer it to the mold and set aside.  Semiya Ice: Into a pan add milk and semiya, cook until the semiya is soft and tender. Finally add sugar and cook for few more seconds. Once cooled transfer it to the mold and set aside.  Lemon Ice: Squeeze juice out of 2 Lemon and add some honey or sugar to sweeten the juice. Transfer it to the mold and set aside.  Freeze it for 4 - 8 hours and our refreshing ice are ready to be enjoyed.</t>
  </si>
  <si>
    <t>மாம்பழ ஸ்ட்ராபெரி ஐஸ்: மாம்பழ துண்டுகளை ஒரு பிளெண்டரில் சேர்த்து மென்மையாக அரைக்கவும். உங்களுக்கு இனிப்பு பிடித்திருந்தால் அல்லது குழந்தைகளுக்கு பரிமாறினால் கூடுதல் இனிப்புக்கு சர்க்கரையைப் பயன்படுத்தவும். முடிந்ததும் அதை ஒரு ஐஸ் மோல்டுக்கு மாற்றவும். நல்ல மாறுபாட்டைப் பெற நான் கொஞ்சம் ஸ்ட்ராபெரியை ப்யூரி செய்து மாம்பழத்தின் மேல் வைத்துள்ளேன். திராட்சை ஐஸ்: திராட்சையை ஒரு பாத்திரத்தில் சேர்த்து சிறிது தண்ணீர் சேர்த்து சமைக்கவும். திராட்சை நன்றாகவும் மென்மையாகவும் மாறியதும் சர்க்கரையைச் சேர்த்து அது ஹிக் (சிரப் நிலைத்தன்மை) ஆகும் வரை சமைக்கவும். வெப்பத்தை அணைத்து ஆறவிடவும். இப்போது ஒரு பிளெண்டரில் சிறிது விதையற்ற திராட்சையைச் சேர்த்து அரைக்கவும். அதை வடிகட்டி ஒரு பாப்சிகல் அச்சுக்கு மாற்றவும். ஆரஞ்சு ஐஸ்: 4 ஆரஞ்சுகளிலிருந்து சாற்றை பிழிந்து, சாற்றை இனிப்பாக்க சிறிது தேன் அல்லது சர்க்கரை சேர்க்கவும். அதை அச்சுக்கு மாற்றி ஒதுக்கி வைக்கவும். சேமியா ஐஸ்: ஒரு பாத்திரத்தில் பால் மற்றும் சேமியாவைச் சேர்த்து, சேமியா மென்மையாகவும் மென்மையாகவும் ஆகும் வரை சமைக்கவும். இறுதியாக சர்க்கரையைச் சேர்த்து இன்னும் சில வினாடிகள் சமைக்கவும். குளிர்ந்ததும் அதை அச்சுக்கு மாற்றி ஒதுக்கி வைக்கவும். எலுமிச்சை ஐஸ்: 2 எலுமிச்சையிலிருந்து சாற்றை பிழிந்து, சாற்றை இனிப்பாக்க சிறிது தேன் அல்லது சர்க்கரையைச் சேர்க்கவும். அதை அச்சுக்கு மாற்றி ஒதுக்கி வைக்கவும். 4 - 8 மணி நேரம் உறைய வைக்கவும், எங்கள் புத்துணர்ச்சியூட்டும் ஐஸ் அனுபவிக்கத் தயாராக உள்ளது.</t>
  </si>
  <si>
    <t>https://amandascookin.com/wp-content/uploads/2023/07/Jello-Popsicles-RCSQ.jpg</t>
  </si>
  <si>
    <t>Karandi Omelette</t>
  </si>
  <si>
    <t>கரண்டி ஆம்லெட்</t>
  </si>
  <si>
    <t>2 - Eggs, 4-5 - Small Onion (finely chopped), 2 tbsp - Coriander leaves (finely chopped) , 2  - Green Chilies (finely chopped) , 1/4 tsp - Chili powder, 1/8 tsp - Turmeric powder, 1/4 tsp - Pepper, Salt to taste, 2 tbsp - Oil.</t>
  </si>
  <si>
    <t>2 - முட்டை, 4-5 - சிறிய வெங்காயம் (நன்றாக நறுக்கியது), 2 டேபிள்ஸ்பூன் - கொத்தமல்லி இலைகள் (நன்றாக நறுக்கியது), 2 - பச்சை மிளகாய் (நன்றாக நறுக்கியது), 1/4 டேபிள்ஸ்பூன் - மிளகாய் தூள், 1/8 டேபிள்ஸ்பூன் - மஞ்சள் தூள், 1/4 டேபிள்ஸ்பூன் - மிளகு, ருசிக்கேற்ப உப்பு, 2 டேபிள்ஸ்பூன் - எண்ணெய்.</t>
  </si>
  <si>
    <t>Crack open 2 eggs and beat it well. Then add finely chopped onions, green chilies, Coriander leaves, turmeric powder, red chili powder, salt and pepper. Mix well and set aside.  I have used kuzhi paniyaram pan for making this recipe , we can also use small tempering pan (the traditional way) as well for larger omelette.  Heat oil and pour the egg mixture and cook until its golden. Then flip it to the other side and cook thoroughly.   That's it our delicious karandi omlette is ready to be enjoyed hot.</t>
  </si>
  <si>
    <t>2 முட்டைகளை உடைத்து நன்றாக அடிக்கவும். பின்னர் இறுதியாக நறுக்கிய வெங்காயம், பச்சை மிளகாய், கொத்தமல்லி இலை, மஞ்சள் தூள், சிவப்பு மிளகாய் தூள், உப்பு மற்றும் மிளகு சேர்க்கவும். நன்கு கலந்து ஒதுக்கி வைக்கவும். இந்த செய்முறையை தயாரிக்க நான் குழி பணியாரம் பாத்திரத்தைப் பயன்படுத்தினேன், பெரிய ஆம்லெட்டுக்கு சிறிய டெம்பரிங் பாத்திரத்தையும் (பாரம்பரிய முறை) பயன்படுத்தலாம். எண்ணெயை சூடாக்கி முட்டை கலவையை ஊற்றி பொன்னிறமாகும் வரை சமைக்கவும். பின்னர் அதை மறுபுறம் திருப்பி நன்கு சமைக்கவும். அவ்வளவுதான் எங்கள் சுவையான கரண்டி ஆம்லெட் சூடாக சாப்பிட தயாராக உள்ளது.</t>
  </si>
  <si>
    <t>https://blogger.googleusercontent.com/img/b/R29vZ2xl/AVvXsEha9Emh1eWtmK5qI5aA7wzPGL5AN-2JKk6d7DghOmWaZnkzvRX_SPIdEfL0sP2Y-EB7Iwhb_LeiBiUUjSjMLXMtrE9p7Gn3GEiNAezriLU2O3bZCPYw9lccOCt242w8NDMFnjspJkZzmUg/s640/final--3.jpg</t>
  </si>
  <si>
    <t>Karandi Omelette | கரண்டி ஆம்லெட் - Queen Bee Chef Oviya</t>
  </si>
  <si>
    <t>Cake in Fry pan</t>
  </si>
  <si>
    <t>வறுக்கப் பாத்திரத்தில் கேக்</t>
  </si>
  <si>
    <t>1 cup - All purpose flour( 130g), 1 - Egg, 1/4 cup - Oil (60 ml),  1/2 cup  - Sugar (150g),  1/2 cup - Milk ( 60 ml) , 1 tsp - Vanilla Extract, 1/2 tsp - Baking Soda, 1/4 tsp - Salt, 1 tbsp - Jam, 1/4 cup - melted chocolate, 1 tbsp - White chocolate.</t>
  </si>
  <si>
    <t>1 கப் - அனைத்து உபயோக மாவு (130 கிராம்), 1 - முட்டை, 1/4 கப் - எண்ணெய் (60 மிலி), 1/2 கப் - சர்க்கரை (150 கிராம்), 1/2 கப் - பால் (60 மிலி), 1 தேக்கரண்டி - வெண்ணிலா சாறு, 1/2 தேக்கரண்டி - பேக்கிங் சோடா, 1/4 தேக்கரண்டி - உப்பு, 1 தேக்கரண்டி - ஜாம், 1/4 கப் - உருகிய சாக்லேட், 1 தேக்கரண்டி - வெள்ளை சாக்லேட்.</t>
  </si>
  <si>
    <t>Into a bowl add egg and whisk well. If you do not like egg then add 1/4 cup of yogurt instead of egg.    Now add Milk, Oil, Sugar, vanilla extract, soda, salt and mix well.   Finally add maida and mix the batter without any lumps.  Grease a nonstick pan with butter and transfer the batter and cover.  Cook on very low flame for 15 - 20 minutes. It took 17 - 18 minutes for a 10 inch pan. If you are using a small pan then bake it in 2 batches.  Cake is done when the top of the cake doesn't stick to your hands.  I have cut the cake into small rounds and topped wih Jam and chocolate for extra fun. Please do try this easy tawa cake and share it with your family.</t>
  </si>
  <si>
    <t>ஒரு பாத்திரத்தில் முட்டையைச் சேர்த்து நன்றாகக் கிளறவும். முட்டை பிடிக்கவில்லை என்றால், முட்டைக்குப் பதிலாக 1/4 கப் தயிர் சேர்க்கவும். இப்போது பால், எண்ணெய், சர்க்கரை, வெண்ணிலா சாறு, சோடா, உப்பு சேர்த்து நன்கு கலக்கவும். இறுதியாக மைதாவைச் சேர்த்து, மாவை கட்டிகள் இல்லாமல் கலக்கவும். நான்ஸ்டிக் பாத்திரத்தில் வெண்ணெய் தடவி, மாவை மாற்றி மூடி வைக்கவும். மிகக் குறைந்த தீயில் 15 - 20 நிமிடங்கள் சமைக்கவும். 10 அங்குல பாத்திரத்திற்கு 17 - 18 நிமிடங்கள் ஆனது. நீங்கள் ஒரு சிறிய பாத்திரத்தைப் பயன்படுத்துகிறீர்கள் என்றால், அதை 2 தொகுதிகளாக சுடவும். கேக்கின் மேற்பகுதி உங்கள் கைகளில் ஒட்டாதபோது கேக் தயாராகிவிடும். கூடுதல் வேடிக்கைக்காக நான் கேக்கை சிறிய வட்டங்களாக வெட்டி ஜாம் மற்றும் சாக்லேட்டுடன் மேலே போட்டுள்ளேன். தயவுசெய்து இந்த எளிதான தவா கேக்கை முயற்சி செய்து உங்கள் குடும்பத்தினருடன் பகிர்ந்து கொள்ளுங்கள்.</t>
  </si>
  <si>
    <t>https://blogger.googleusercontent.com/img/b/R29vZ2xl/AVvXsEhnlvrjBJ_MtVpLMtuNy5XxJDjcnMJwRDLFhpTi6usAF3krEtZO6tyoG17BqBydK-5CMw5Wgt6LjYex8pzGwcItLro9rqAcqpt30DSz0oyhNSP1oTTNyw2aD62njNYc_kTN6ftRN_1Atsg/s640/final--2.jpg</t>
  </si>
  <si>
    <t>Mutton Varuval</t>
  </si>
  <si>
    <t>மட்டன் வறுவல்</t>
  </si>
  <si>
    <t>3/4 kg - Mutton (Goat ), 1/2 tsp - Turmeric powder, salt to taste, Water, 1 - Cinnamon stick, 3 - Cardamom, 2 - Cloves, 1  - Star anise, 1 tsp - Pepper Corns, 4-5 - Dry red chilies, 1 tsp - Coriander seeds, 1 tsp  - Cumin seeds, 2 - Green Chilies, 1 inch - Ginger, 3 - Cloves of Garlic, 2 Tbsp - Coriander leaves, 1 - spring Curry leaves, 7-8  - Small Onion, 2 tbsp - Oil, 2  - Onion, Curry Leaves for Garnishing, Salt to taste.</t>
  </si>
  <si>
    <t>3/4 கிலோ - மட்டன் (ஆடு), 1/2 தேக்கரண்டி - மஞ்சள் தூள், ருசிக்க உப்பு, தண்ணீர், 1 - இலவங்கப்பட்டை, 3 - ஏலக்காய், 2 - கிராம்பு, 1 - நட்சத்திர சோம்பு, 1 தேக்கரண்டி - மிளகு, 4-5 - உலர்ந்த சிவப்பு மிளகாய், 1 தேக்கரண்டி - கொத்தமல்லி விதைகள், 1 தேக்கரண்டி - சீரகம், 2 - பச்சை மிளகாய், 1 அங்குலம் - இஞ்சி, 3 - பூண்டு கிராம்பு, 2 தேக்கரண்டி - கொத்தமல்லி இலைகள், 1 - வசந்த கறிவேப்பிலை, 7-8 - சிறிய வெங்காயம், 2 தேக்கரண்டி - எண்ணெய், 2 - வெங்காயம், அலங்கரிக்க கறிவேப்பிலை, ருசிக்க உப்பு.</t>
  </si>
  <si>
    <t>In a pressure cooker  add the mutton pieces,some salt and Turmeric. Then add some water not too much just to cover the mutton pieces.Cook for 4-5 Whistles on a medium heat or until the meat is soft and tender.   Dry roast Cinnamon, Cardamom, clove, star anise, fennel, cumin, pepper, green chilies, red chilies, ginger , garlic , shallots(small onion) , Curry leaves and coriander leaves and roast it for some time until you feel the nice aroma of the roasted spices and be careful no not burn them.  Transfer all the roasted spices to a blender and grind it to a smooth paste by adding some water.   Heat oil in a pan and add the Onions and cook until they are golden brown.  Now to this add the broth which we have separated from the mutton after cooking. Then add the freshly ground masala and some salt and mix well with the masalas .We need to cook this until the gravy thickens and reduces.   Now you can see the gravy is nice and thick,  add the cooked mutton pieces and mix well with the gravy.After mixing nicely cook this for sometime until the oil separates ( on a medium heat). Finally add some curry leaves for garnishing and turn off the heat.  Our Delicious Mutton roast is ready to be served.I cannot wait to taste this awesome mutton Roast.If you want a gravy kind of thing then you can add the mutton pieces along with the broth at the end and cook for 5 minutes in the masala. Happy Cooking.</t>
  </si>
  <si>
    <t>ஒரு பிரஷர் குக்கரில் மட்டன் துண்டுகள், சிறிது உப்பு மற்றும் மஞ்சள் சேர்க்கவும். பின்னர் மட்டன் துண்டுகளை மூடுவதற்கு அதிகமாக தண்ணீர் சேர்க்கவும். 4-5 விசில்கள் மிதமான தீயில் அல்லது இறைச்சி மென்மையாகவும் மென்மையாகவும் மாறும் வரை சமைக்கவும். இலவங்கப்பட்டை, ஏலக்காய், கிராம்பு, நட்சத்திர சோம்பு, பெருஞ்சீரகம், சீரகம், மிளகு, பச்சை மிளகாய், சிவப்பு மிளகாய், இஞ்சி, பூண்டு, சிறிய வெங்காயம், கறிவேப்பிலை மற்றும் கொத்தமல்லி ஆகியவற்றை வறுத்து, வறுத்த மசாலாப் பொருட்களின் நல்ல மணம் வரும் வரை சிறிது நேரம் வறுக்கவும், அவை எரியாமல் கவனமாக இருங்கள். வறுத்த மசாலாப் பொருட்களை எல்லாம் ஒரு பிளெண்டரில் மாற்றி, சிறிது தண்ணீர் சேர்த்து மென்மையான பேஸ்டாக அரைக்கவும். ஒரு கடாயில் எண்ணெயை சூடாக்கி, வெங்காயத்தைச் சேர்த்து, அவை பொன்னிறமாகும் வரை சமைக்கவும். இப்போது இதனுடன், சமைத்த பிறகு மட்டனில் இருந்து பிரித்த குழம்பைச் சேர்க்கவும். பின்னர் புதிதாக அரைத்த மசாலா மற்றும் சிறிது உப்பு சேர்த்து மசாலாக்களுடன் நன்கு கலக்கவும். கிரேவி கெட்டியாகும் வரை மற்றும் குறையும் வரை இதை சமைக்க வேண்டும். இப்போது கிரேவி நன்றாகவும் கெட்டியாகவும் இருப்பதை நீங்கள் காணலாம், சமைத்த மட்டன் துண்டுகளைச் சேர்த்து, கிரேவியுடன் நன்கு கலக்கவும். நன்றாகக் கலந்த பிறகு, எண்ணெய் பிரியும் வரை (நடுத்தர தீயில்) சிறிது நேரம் சமைக்கவும். இறுதியாக அலங்கரிக்க சில கறிவேப்பிலைகளைச் சேர்த்து, தீயை அணைக்கவும். எங்கள் சுவையான மட்டன் ரோஸ்ட் பரிமாற தயாராக உள்ளது. இந்த அருமையான மட்டன் ரோஸ்டை ருசிக்க நான் ஆவலுடன் காத்திருக்கிறேன். உங்களுக்கு ஒரு வகையான கிரேவி வேண்டுமென்றால், கடைசியில் குழம்புடன் மட்டன் துண்டுகளைச் சேர்த்து மசாலாவில் 5 நிமிடங்கள் சமைக்கலாம். மகிழ்ச்சியான சமையல்.</t>
  </si>
  <si>
    <t>https://blogger.googleusercontent.com/img/b/R29vZ2xl/AVvXsEij0N1_x4tjjoxUXogjvfP82Y0J1BAh8XCQpxPkJXe9uIfBXu6OJPCJ1TQXV5bOynfQzMXbA7NWSTEZ9gkQeiE2B_VQBHpRIUj6IWce2N6ytFhjxHJ1wPG8DcChKUR2q3fCPPFP13Xn5ig/s640/Untitled.jpg</t>
  </si>
  <si>
    <t>Veg Sandwich , Mini Idli, Masala Corn</t>
  </si>
  <si>
    <t>வெஜ் சாண்ட்விச், மினி இட்லி, மசாலா கார்ன்</t>
  </si>
  <si>
    <t>6 - slice Bread , 1 tbsp - Oil, 1 - Onion, 1  - Copped Green Chilies, 1 tsp - Chili powder, 1 - Carrot, 1/2 Cup - Green Peas, 5 - Beans, 1  - arge Potato , 1/4 tsp - Pepper powder, Chopped Coriander leaves, Salt to Taste.</t>
  </si>
  <si>
    <t>6 - துண்டு ரொட்டி, 1 டேபிள்ஸ்பூன் - எண்ணெய், 1 - வெங்காயம், 1 - நறுக்கிய பச்சை மிளகாய், 1 டீஸ்பூன் - மிளகாய் தூள், 1 - கேரட், 1/2 கப் - பச்சை பட்டாணி, 5 - பீன்ஸ், 1 - பெரிய உருளைக்கிழங்கு, 1/4 டீஸ்பூன் - மிளகு தூள், நறுக்கிய கொத்தமல்லி இலை, ருசிக்கேற்ப உப்பு.</t>
  </si>
  <si>
    <t>Heat oil in a pan and saute onions, after a minute add the vegetables ( carrot , peas , you can add your favorite choices). Then add chopped green chili , chili powder and cook well. (sprinkle some water if required).  Once the veggies are cooked add boiled potato and mix well. Then with a help of a masher or with the back side of a tumbler mash everything nicely.   Finally add some pepper powder and coriander leaves, combine well.  Spread the masala filling and cover it with a slice of bread.  Heat a iron pan and grease it with some butter, place the sandwich and cook until golden, place a weight on the top and apply some pressure.  Once golden on one side flip it to the other side and toast until golden.  That's it our delicious colorful lunch box is ready to be enjoyed.Happy Cooking !!!</t>
  </si>
  <si>
    <t>ஒரு கடாயில் எண்ணெயை சூடாக்கி வெங்காயத்தை வதக்கி, ஒரு நிமிடம் கழித்து காய்கறிகளைச் சேர்க்கவும் (கேரட், பட்டாணி, உங்களுக்குப் பிடித்தவற்றைச் சேர்க்கலாம்). பின்னர் நறுக்கிய பச்சை மிளகாய், மிளகாய் தூள் சேர்த்து நன்கு சமைக்கவும். (தேவைப்பட்டால் சிறிது தண்ணீர் தெளிக்கவும்). காய்கறிகள் வெந்தவுடன் வேகவைத்த உருளைக்கிழங்கைச் சேர்த்து நன்கு கலக்கவும். பின்னர் ஒரு மசியின் உதவியுடன் அல்லது ஒரு டம்ளரின் பின்புறம் அனைத்தையும் நன்றாக மசிக்கவும். இறுதியாக சிறிது மிளகுத் தூள் மற்றும் கொத்தமல்லி இலைகளைச் சேர்த்து நன்கு கலக்கவும். மசாலா நிரப்புதலை பரப்பி, ஒரு துண்டு ரொட்டியால் மூடி வைக்கவும். ஒரு இரும்பு பாத்திரத்தை சூடாக்கி, அதில் சிறிது வெண்ணெய் தடவி, சாண்ட்விச்சை வைத்து பொன்னிறமாகும் வரை சமைக்கவும், மேலே ஒரு எடையை வைத்து சிறிது அழுத்தம் கொடுக்கவும். ஒரு பக்கம் பொன்னிறமானதும், மறுபுறம் திருப்பி பொன்னிறமாகும் வரை டோஸ்ட் செய்யவும். அவ்வளவுதான், எங்கள் சுவையான வண்ணமயமான மதிய உணவுப் பெட்டி சுவைக்கத் தயாராக உள்ளது. மகிழ்ச்சியான சமையல் !!!</t>
  </si>
  <si>
    <t>https://blogger.googleusercontent.com/img/b/R29vZ2xl/AVvXsEgYihtevrwgquVY-xIVlrYjGUYKffQZG1KR-xu1O2u0Osj9FnPOpM7g8KbCE-JIfY1wZTbrRvUfxvVlp87UD8LxJoR2TRRxSObwh3iZZ9I6b_vACLYHJDyYBeVqzTpL8emIT4Cm5n3hhjk/s640/DSC05268.JPG</t>
  </si>
  <si>
    <t>Akki Roti</t>
  </si>
  <si>
    <t>அக்கி ரொட்டி</t>
  </si>
  <si>
    <t>2 cup - Rice flour (300 g approx), 1 - Onion, 1  - Carrot, 1/4 cup - Coconut, 1/4 cup - Coriander leaves, 1 tsp  - Cumin seeds, 2 - Green Chilies, 1 tsp - Ginger, required Water, Salt to taste.</t>
  </si>
  <si>
    <t>2 கப் - அரிசி மாவு (தோராயமாக 300 கிராம்), 1 - வெங்காயம், 1 - கேரட், 1/4 கப் - தேங்காய், 1/4 கப் - கொத்தமல்லி இலைகள், 1 தேக்கரண்டி - சீரகம், 2 - பச்சை மிளகாய், 1 தேக்கரண்டி - இஞ்சி, தேவையான தண்ணீர், சுவைக்கேற்ப உப்பு.</t>
  </si>
  <si>
    <t>Into a mixing bow all rice flour, chopped onion, grated carrot, Coriander leaves, grated coconut, cumin seeds, green chilies, ginger, salt and mix well.  Gradually add water and make a soft dough. Divide the dough into 8 balls.  Grease oil on a plastic sheet and spread the dough with fingers, do not make it too thin.  Heat a tawa and grease with oil, Place the akki roti and cook until both the sides are well done.  Serve with chutney. That's it our delicious and simple akki roti is ready to be enjoyed. Happy Cooking !!!</t>
  </si>
  <si>
    <t>ஒரு கலவை வில்லில் அரிசி மாவு, நறுக்கிய வெங்காயம், துருவிய கேரட், கொத்தமல்லி இலைகள், துருவிய தேங்காய், சீரகம், பச்சை மிளகாய், இஞ்சி, உப்பு அனைத்தையும் சேர்த்து நன்கு கலக்கவும். படிப்படியாக தண்ணீர் சேர்த்து மென்மையான மாவை உருவாக்கவும். மாவை 8 உருண்டைகளாகப் பிரிக்கவும். ஒரு பிளாஸ்டிக் தாளில் எண்ணெய் தடவி, விரல்களால் மாவை பரப்பவும், அதை மிகவும் மெல்லியதாக மாற்ற வேண்டாம். ஒரு தவாவை சூடாக்கி எண்ணெய் தடவி, அக்கி ரொட்டியை வைத்து இருபுறமும் நன்றாக வேகும் வரை சமைக்கவும். சட்னியுடன் பரிமாறவும். அவ்வளவுதான் எங்கள் சுவையான மற்றும் எளிமையான அக்கி ரொட்டியை அனுபவிக்க தயாராக உள்ளது. மகிழ்ச்சியான சமையல் !!!</t>
  </si>
  <si>
    <t>https://blogger.googleusercontent.com/img/b/R29vZ2xl/AVvXsEhM1DMxbCZ3JQhMX31IX3c-2_fB6d9xzXHjXsczyQCJtf0rsr5fuuZ5FHAw4t5KqXOCaWhHSz7RmPR75cmTQlNQ0CNsih1td-W5KwrHtPsuM9IL-4lhWdZETIxP98D_sVZLMSYYLeSwwuc/s640/DSC05281.JPG</t>
  </si>
  <si>
    <t>Paneer Fry</t>
  </si>
  <si>
    <t>பனீர் பொரியல்</t>
  </si>
  <si>
    <t>2 tbsp - Oil, 1/8 tsp - Turmeric, 1 tsp - Chili powder, Pepper &amp; Salt, 1/4 tsp - Garam masala, 1 tsp - Lemon Juice, 150 g - Paneer .</t>
  </si>
  <si>
    <t>2 டீஸ்பூன் - எண்ணெய், 1/8 டீஸ்பூன் - மஞ்சள், 1 டீஸ்பூன் - மிளகாய்த்தூள், மிளகு மற்றும் உப்பு, 1/4 டீஸ்பூன் - கரம் மசாலா, 1 டீஸ்பூன் - எலுமிச்சை சாறு, 150 கிராம் - பனீர்.</t>
  </si>
  <si>
    <t>Cube the paneer and season with chili powder, turmeric powder , Pepper, Garam masala, Pepper, salt and some lemon juice.  Heat oil and roast the panner on medium heat until well done.</t>
  </si>
  <si>
    <t>பனீர் துண்டுகளை அரைத்து, மிளகாய்த்தூள், மஞ்சள் தூள், மிளகு, கரம் மசாலா, மிளகு, உப்பு மற்றும் சிறிது எலுமிச்சை சாறு சேர்த்து தாளிக்கவும். எண்ணெயை சூடாக்கி, மிதமான தீயில் நன்கு வேகும் வரை பனரை வறுக்கவும்.</t>
  </si>
  <si>
    <t>https://blogger.googleusercontent.com/img/b/R29vZ2xl/AVvXsEiBIg9m9AShNbAYZFy2Zz2u7sy8QpKyYAxtPsvByAzK2KbtNWphJM302tZG2XqL6NSxjoGujL0uYXSeNHDcG4orN3QKmEXo2ZtNJJALMd8We6AjB_R1WfMg7J6JFwMGjbuKwxO-8wm7ji8/s640/DSC05265.JPG</t>
  </si>
  <si>
    <t>Spicy Egg Roast</t>
  </si>
  <si>
    <t>காரமான முட்டை வறுவல்</t>
  </si>
  <si>
    <t>1 tbsp - Oil, 1/8 tsp - Turmeric, 1/2 tsp - Chili powder, 1/8 tsp - Pepper , required Salt, 1 - Curry leaves, 2 - Boiled Eggs.</t>
  </si>
  <si>
    <t>1 டீஸ்பூன் - எண்ணெய், 1/8 டீஸ்பூன் - மஞ்சள், 1/2 டீஸ்பூன் - மிளகாய் தூள், 1/8 டீஸ்பூன் - மிளகு, தேவையான உப்பு, 1 - கறிவேப்பிலை, 2 - வேகவைத்த முட்டைகள்.</t>
  </si>
  <si>
    <t>Slice the cooked eggs  Heat oil and add chili powder, turmeric powder , Pepper, Curry leaves and some salt. Add the sliced eggs and roast 2 minutes on both the sides and keep it aside.  That's it our delicious colorful lunch box is ready to be enjoyed.Happy Cooking !!!</t>
  </si>
  <si>
    <t>சமைத்த முட்டைகளை துண்டுகளாக நறுக்கவும் எண்ணெயை சூடாக்கி மிளகாய் தூள், மஞ்சள் தூள், மிளகு, கறிவேப்பிலை மற்றும் சிறிது உப்பு சேர்க்கவும். துண்டுகளாக்கப்பட்ட முட்டைகளைச் சேர்த்து, இருபுறமும் 2 நிமிடங்கள் வறுத்து, ஒதுக்கி வைக்கவும். அவ்வளவுதான் எங்கள் சுவையான வண்ணமயமான மதிய உணவுப் பெட்டி சுவைக்கத் தயாராக உள்ளது. மகிழ்ச்சியான சமையல் !!!</t>
  </si>
  <si>
    <t>https://blogger.googleusercontent.com/img/b/R29vZ2xl/AVvXsEj_zXoxGXOMQoKeDXG35mrjcQHpPNvl7i8bTdtxRU6COx-yu0MKNSxfEOxChX2HGc200g4JtGIazXsLn1PjZ_z9umfeSeszLeDUPM5pLLraZK1QhvTnDxapbjz__D9Ddq2-UuO7JymgO1Q/s640/DSC05256.JPG</t>
  </si>
  <si>
    <t>Egg Chapathi</t>
  </si>
  <si>
    <t>முட்டை சப்பாத்தி</t>
  </si>
  <si>
    <t>1.5 cup - wheat flour (dough for 4 chapathi) 3 - Eggs, 1/2  - Onion, 1/2 - Tomato, 2 - Green Chilies, 1/2 tsp - Chili powder, Coriander leaves, required salt, Pepper.</t>
  </si>
  <si>
    <t>1.5 கப் - கோதுமை மாவு (4 சப்பாத்திக்கு மாவு) 3 - முட்டை, 1/2 - வெங்காயம், 1/2 - தக்காளி, 2 - பச்சை மிளகாய், 1/2 தேக்கரண்டி - மிளகாய் தூள், கொத்தமல்லி இலை, தேவையான உப்பு, மிளகு.</t>
  </si>
  <si>
    <t>In a bowl combine wheat flour, salt and gradually add water and start to knead.Knead it into a very soft and smooth dough. After kneading Cover and let it rest for 15 minutes  In a bowl add the eggs and beat it nicely then add the rest of the ingredients  -finely chopped Onion, Tomato, green chilies, coriander leaves, chili powder, salt and pepper. Mix well to combine everything together.  Now after 15 minutes divide the dough into 4 and start to roll the dough.  Heat a tawa and grease it with oil,  Place the roti and again apply some oil on the top and immediately flip it to the other side. Pour 1/4 of the beaten eggs on to the top of roti and spread it all over the sheet.Cook it for few seconds and flip it to the other side and cook for another few seconds until you see nice golden spots on the bottom side.   Roll the egg chapathi and cut into wheels.</t>
  </si>
  <si>
    <t>ஒரு பாத்திரத்தில் கோதுமை மாவு, உப்பு சேர்த்து படிப்படியாக தண்ணீர் சேர்த்து பிசையத் தொடங்குங்கள். அதை மிகவும் மென்மையான மற்றும் மென்மையான மாவாகப் பிசையவும். பிசைந்த பிறகு மூடி 15 நிமிடங்கள் அப்படியே வைக்கவும் ஒரு பாத்திரத்தில் முட்டைகளைச் சேர்த்து நன்றாக அடித்து, மீதமுள்ள பொருட்களைச் சேர்க்கவும் - இறுதியாக நறுக்கிய வெங்காயம், தக்காளி, பச்சை மிளகாய், கொத்தமல்லி இலை, மிளகாய் தூள், உப்பு மற்றும் மிளகு. அனைத்தையும் ஒன்றாக இணைக்க நன்கு கலக்கவும். இப்போது 15 நிமிடங்களுக்குப் பிறகு மாவை 4 ஆகப் பிரித்து மாவை உருட்டத் தொடங்குங்கள். ஒரு தவாவை சூடாக்கி, எண்ணெயில் தடவி, ரொட்டியை வைத்து, மீண்டும் மேலே சிறிது எண்ணெய் தடவி, உடனடியாக மறுபுறம் திருப்பி வைக்கவும். அடித்த முட்டைகளில் 1/4 பகுதியை ரொட்டியின் மேல் ஊற்றி, தாளின் மேல் பரப்பவும். சில வினாடிகள் சமைத்து, மறுபுறம் திருப்பி, கீழ் பக்கத்தில் நல்ல தங்க நிற புள்ளிகள் தெரியும் வரை இன்னும் சில வினாடிகள் சமைக்கவும். முட்டை சப்பாத்தியை உருட்டி சக்கரங்களாக வெட்டவும்.</t>
  </si>
  <si>
    <t>https://i.ytimg.com/vi/5ZJULrMiCJI/hq720.jpg?sqp=-oaymwEhCK4FEIIDSFryq4qpAxMIARUAAAAAGAElAADIQj0AgKJD&amp;rs=AOn4CLCNKs6m7Kay02T39hJk0TsdKEVq5A</t>
  </si>
  <si>
    <t>Banana pockets</t>
  </si>
  <si>
    <t>வாழைப்பழ பாக்கெட்டுகள்</t>
  </si>
  <si>
    <t>1 tsp - Butter, 4 - Bread slice, 2 tsp - Jam, 1 - Banana.</t>
  </si>
  <si>
    <t>1 தேக்கரண்டி - வெண்ணெய், 4 - ரொட்டி துண்டு, 2 தேக்கரண்டி - ஜாம், 1 - வாழைப்பழம்.</t>
  </si>
  <si>
    <t>Cut the edges of the bread and roll them flat.  Spread a thin layer of jam and then pace cut banana slices on top and cover the bread and seal the edges.  Toast the bread in a tawa and cut into 4 pieces.  That's it our delicious colorful lunch box is ready to be enjoyed.Happy Cooking !!!</t>
  </si>
  <si>
    <t>ரொட்டியின் விளிம்புகளை வெட்டி தட்டையாக உருட்டவும். ஒரு மெல்லிய அடுக்கில் ஜாம் தடவி, பின்னர் மேலே வேகவைத்த வாழைப்பழ துண்டுகளை வைத்து ரொட்டியை மூடி, விளிம்புகளை மூடவும். ரொட்டியை ஒரு தவாவில் வறுத்து 4 துண்டுகளாக வெட்டவும். அவ்வளவுதான் எங்கள் சுவையான வண்ணமயமான மதிய உணவுப் பெட்டி சுவைக்கத் தயாராக உள்ளது. மகிழ்ச்சியான சமையல் !!!</t>
  </si>
  <si>
    <t>https://encrypted-tbn0.gstatic.com/images?q=tbn:ANd9GcQuC_zoTLOjfzACZgbfdazUUy85sONSTsaxnw&amp;s</t>
  </si>
  <si>
    <t>Paruppu Sadam</t>
  </si>
  <si>
    <t>பருப்பு சாதம்</t>
  </si>
  <si>
    <t>2 tbsp - Oil , 1 tbsp - Ghee , 1/4 tsp - Mustard seeds , 1/2 tsp - Urad Dal, 1 tsp - cumin seeds, 1 - spring Curry leaves, 3 - Green Chilies, 4 - Dry red chilies, 5-6  - Garlic cloves (10 if small), 10 - Shallots, 1/2 tsp - Turmeric Powder, 1/4 tsp - Asafoetida, 1 - Tomato, 1 cup   - Rice, 1/3 cup - Thoor dal , 2 cup - Water, Salt to taste.</t>
  </si>
  <si>
    <t>2 டீஸ்பூன் - எண்ணெய், 1 டீஸ்பூன் - நெய், 1/4 டீஸ்பூன் - கடுகு, 1/2 டீஸ்பூன் - உளுத்தம் பருப்பு, 1 டீஸ்பூன் - சீரகம், 1 - வசந்த கறிவேப்பிலை, 3 - பச்சை மிளகாய், 4 - உலர்ந்த சிவப்பு மிளகாய், 5-6 - பூண்டு பல் (சிறியதாக இருந்தால் 10), 10 - வெங்காயத்தாள், 1/2 டீஸ்பூன் - மஞ்சள் தூள், 1/4 டீஸ்பூன் - பெருங்காயம், 1 - தக்காளி, 1 கப் - அரிசி, 1/3 கப் - துவரம்பருப்பு, 2 கப் - தண்ணீர், சுவைக்கேற்ப உப்பு.</t>
  </si>
  <si>
    <t>Wash and soak thoor dal in water for 15 minutes, then add rice to it and rinse well. Keep it aside.  Heat oil and ghee in a cooker and temper with mustard seeds, urad dal, cunin seeds, green chilies, red chilies, garlic, shallots and cook for a minute.  Then add tomato and cook for few more minutes. Now to this add asafoetida and turmeric powder, mix well.  Now add in the rice + dhal, water and required salt. Cook for 1 whistle on medium heat.   Melt ghee in a pan and then add some curry leaves and add it to the cooked dal and rice, mix well and is ready to be served.</t>
  </si>
  <si>
    <t>துவரம்பருப்பை கழுவி 15 நிமிடங்கள் தண்ணீரில் ஊறவைத்து, பின்னர் அதில் அரிசியைச் சேர்த்து நன்கு துவைக்கவும். ஒதுக்கி வைக்கவும். குக்கரில் எண்ணெய் மற்றும் நெய்யை சூடாக்கி, கடுகு, உளுத்தம்பருப்பு, சீரகம், பச்சை மிளகாய், சிவப்பு மிளகாய், பூண்டு, வெங்காயத்தாள் சேர்த்து ஒரு நிமிடம் சமைக்கவும். பின்னர் தக்காளியைச் சேர்த்து இன்னும் சில நிமிடங்கள் சமைக்கவும். இப்போது இதனுடன் பெருங்காயம் மற்றும் மஞ்சள் தூள் சேர்த்து நன்கு கலக்கவும். இப்போது அரிசி + பருப்பு, தண்ணீர் மற்றும் தேவையான உப்பு சேர்த்து மிதமான தீயில் 1 விசில் வரை சமைக்கவும். ஒரு பாத்திரத்தில் நெய்யை உருக்கி, சிறிது கறிவேப்பிலையை சேர்த்து, சமைத்த பருப்பிலும் சாதத்திலும் சேர்க்கவும், நன்கு கலக்கவும், பரிமாற தயாராக உள்ளது.</t>
  </si>
  <si>
    <t>https://www.kannammacooks.com/wp-content/uploads/pollachi-style-arisi-paruppu-sadam.jpg</t>
  </si>
  <si>
    <t>https://youtu.be/32wcE8j-9nM</t>
  </si>
  <si>
    <t>Kovakkai Fry</t>
  </si>
  <si>
    <t>கோவக்காய் பொரியல்</t>
  </si>
  <si>
    <t>2 tbsp - Oil , 300g - Kovakkai,  1/4 tsp - Turmeric powder, 1/2 tsp - Garam masala, 1 tsp - Chili powder, 1 - spring Curry leaves, required Salt.</t>
  </si>
  <si>
    <t>2 டேபிள் ஸ்பூன் - எண்ணெய், 300 கிராம் - கோவக்காய், 1/4 டேபிள் ஸ்பூன் - மஞ்சள் தூள், 1/2 டேபிள் ஸ்பூன் - கரம் மசாலா, 1 டேபிள் ஸ்பூன் - மிளகாய் தூள், 1 டேபிள் ஸ்பூன் - கறிவேப்பிலை, தேவையான உப்பு.</t>
  </si>
  <si>
    <t>Heat oil in a pan and add kovakkai, cover and half cook the kovakkai.  Once it is half done add the masalas - turmeric powder, garam masala, chili powder and salt. Cook until its nicely roasted.</t>
  </si>
  <si>
    <t>ஒரு கடாயில் எண்ணெயை சூடாக்கி கோவக்காய் சேர்த்து, மூடி வைத்து, கோவக்காய் பாதி வதக்கவும். பாதி வதங்கியதும் மசாலாக்கள் - மஞ்சள் தூள், கரம் மசாலா, மிளகாய் தூள் மற்றும் உப்பு சேர்த்து நன்றாக வறுத்தெடுக்கும் வரை வதக்கவும்.</t>
  </si>
  <si>
    <t>https://encrypted-tbn0.gstatic.com/images?q=tbn:ANd9GcTq3ur81U_EWY37dZJSjxpQCIP058VeZSRcfA&amp;s</t>
  </si>
  <si>
    <t>https://www.youtube.com/watch?v=TKb7nSRn0JE</t>
  </si>
  <si>
    <t>Dora Cake</t>
  </si>
  <si>
    <t>டோரா கேக்</t>
  </si>
  <si>
    <t>2  - Eggs, 1/4 cup - Sugar (50 g), 2 tbsp - Honey, 1/2 cup - Milk (125 ml), 1/4 tsp - Vanilla extract, 1 cup - Maida (130 g), 1/8 tsp - Baking soda, 1/4 cup - Chocolate spread .</t>
  </si>
  <si>
    <t>2 - முட்டை, 1/4 கப் - சர்க்கரை (50 கிராம்), 2 டேபிள் ஸ்பூன் - தேன், 1/2 கப் - பால் (125 மிலி), 1/4 டீஸ்பூன் - வெண்ணிலா சாறு, 1 கப் - மைதா (130 கிராம்), 1/8 டீஸ்பூன் - பேக்கிங் சோடா, 1/4 கப் - சாக்லேட் ஸ்ப்ரெட்.</t>
  </si>
  <si>
    <t>Into a mixing bowl add eggs and beat until foamy . Then add in milk, sugar, honey and vanilla extract. Beat well until sugar is dissolved.   Now add Maida, baking soda and mix well without any lumps. Batter should not be too thick nor too think (pouring consistency) Rest it for 10 minutes.  After 10 minutes grease a pan with some oil and pour a ladle of batter and cover it with a lid. Heat should be on medium low. Turn it to the other side and cook for few more seconds.   Once the pan cakes are cooled spread a thick layer of chocolate spread and cover it with another pan cake.  That's it our soft and fluffy pan cake / dora cake is ready to be enjoyed Please do try this recipe at home and share it with your friends and family members. Spread the Joy of Cooking !!!</t>
  </si>
  <si>
    <t>ஒரு கலவை கிண்ணத்தில் முட்டைகளைச் சேர்த்து நுரை வரும் வரை அடிக்கவும். பின்னர் பால், சர்க்கரை, தேன் மற்றும் வெண்ணிலா சாறு சேர்க்கவும். சர்க்கரை கரையும் வரை நன்றாக அடிக்கவும். இப்போது மைதா, பேக்கிங் சோடாவைச் சேர்த்து கட்டிகள் இல்லாமல் நன்கு கலக்கவும். மாவு மிகவும் கெட்டியாகவோ அல்லது அதிகமாகவோ இருக்கக்கூடாது (ஊறும் நிலைத்தன்மை) 10 நிமிடங்கள் வைக்கவும். 10 நிமிடங்களுக்குப் பிறகு ஒரு பாத்திரத்தில் சிறிது எண்ணெய் தடவி ஒரு கரண்டி மாவை ஊற்றி ஒரு மூடியால் மூடி வைக்கவும். வெப்பம் மிதமானதாக இருக்க வேண்டும். அதை மறுபுறம் திருப்பி இன்னும் சில வினாடிகள் சமைக்கவும். பான் கேக்குகள் குளிர்ந்ததும் ஒரு தடிமனான அடுக்கு சாக்லேட் ஸ்ப்ரெட் பரப்பி, மற்றொரு பான் கேக்கால் மூடி வைக்கவும். அவ்வளவுதான் எங்கள் மென்மையான மற்றும் பஞ்சுபோன்ற பான் கேக் / டோரா கேக் ருசிக்க தயாராக உள்ளது. தயவுசெய்து இந்த செய்முறையை வீட்டிலேயே முயற்சி செய்து உங்கள் நண்பர்கள் மற்றும் குடும்ப உறுப்பினர்களுடன் பகிர்ந்து கொள்ளுங்கள். சமையலின் மகிழ்ச்சியைப் பரப்புங்கள் !!!</t>
  </si>
  <si>
    <t>https://blogger.googleusercontent.com/img/b/R29vZ2xl/AVvXsEhcygEYNB-1wfPrjMXMLgmSmKUImljcfz2XO1B7tIO7vW20-J2imeGyNa70JbBRyL4cdiygc5qrqS_36R30dzCj1c6EOiLRaACsokVYv1dbczrCBI9wlwzETSw5hgZxVZokRroWe7EtBi1T/s640/DSC05068.JPG</t>
  </si>
  <si>
    <t>Egg white Chilli</t>
  </si>
  <si>
    <t>முட்டை வெள்ளை மிளகாய்</t>
  </si>
  <si>
    <t>4 - Eggs (only the whites), 1/4 cup - All purpose flour / Maida, 1/4 cup -  corn flour, 1 tsp - Chili powder, Salt and Pepper, Water, 3 tbsp  - Oil, 1/4 tsp  - Mustard seeds, 1 tbsp - Finely chopped Ginger, 2 tbsp - Finely chopped Garlic, 5 - Green chilies, 4 - dry red chilies, 1 - spring Curry leaves, 3 - Onion (finely chopped), 1/2 tsp  - Cumin powder, 1/4 tsp - Garam masala, 1 tsp - Chili powder, 1 - Tomato, required Salt , 1/2  Lemon.</t>
  </si>
  <si>
    <t>4 - முட்டை (வெள்ளை கரு மட்டும்), 1/4 கப் - அனைத்து உபயோக மாவு / மைதா, 1/4 கப் - சோள மாவு, 1 தேக்கரண்டி - மிளகாய் தூள், உப்பு மற்றும் மிளகு, தண்ணீர், 3 தேக்கரண்டி - எண்ணெய், 1/4 தேக்கரண்டி - கடுகு, 1 தேக்கரண்டி - பொடியாக நறுக்கிய இஞ்சி, 2 தேக்கரண்டி - பொடியாக நறுக்கிய பூண்டு, 5 - பச்சை மிளகாய், 4 - உலர்ந்த சிவப்பு மிளகாய், 1 - வசந்த கறிவேப்பிலை, 3 - வெங்காயம் (பொடியாக நறுக்கியது), 1/2 தேக்கரண்டி - சீரகப் பொடி, 1/4 தேக்கரண்டி - கரம் மசாலா, 1 தேக்கரண்டி - மிளகாய் தூள், 1 - தக்காளி, தேவையான உப்பு, 1/2 எலுமிச்சை.</t>
  </si>
  <si>
    <t>Break open 4 eggs and separate the yolks and the whites. Grease a box with oil and transfer the egg whites into that box and place it in water.  Boil it for 15-20 minutes on medium heat.Run a knife through the edges and cut the steamed eggs into desired shape and keep it aside.  In a mixing bowl add maida ,corn flour, chili powder ,Pepper , salt add water and mix well to for a semi thick batter. Coat the cooked eggs and fry it in hot oil. Once they become crispy take it off from the oil and set aside.  Now in a pan heat oil and add Mustard seeds, finely chopped ginger, chopped garlic, Green chilies, red chilies, Curry leaves and saute it for a minute until the raw smell is gone.Then add chopped onions and saute until it turns golden brown. Then add the masalas - Cumin powder, Garam masala and chili powder.  Now to this add tomato and cook until oil separates. Now add bell peppers / Capsicum and cook for a couple of minutes.   Add the fried eggs and finally add required salt, lemon juice and mix well until its covered with the masalas.  That's it our delicious egg chilli is ready to be served with Rice,naan, fried rice and roti.</t>
  </si>
  <si>
    <t>4 முட்டைகளை உடைத்து மஞ்சள் கரு மற்றும் வெள்ளை கருவை பிரிக்கவும். ஒரு பெட்டியில் எண்ணெய் தடவி, முட்டையின் வெள்ளை கருவை அந்தப் பெட்டியில் மாற்றி தண்ணீரில் வைக்கவும். மிதமான தீயில் 15-20 நிமிடங்கள் வேகவைக்கவும். கத்தியை விளிம்புகள் வழியாக இயக்கி, வேகவைத்த முட்டைகளை விரும்பிய வடிவத்தில் வெட்டி ஒதுக்கி வைக்கவும். ஒரு கலவை பாத்திரத்தில் மைதா, சோள மாவு, மிளகாய் தூள், மிளகு, உப்பு சேர்த்து தண்ணீர் சேர்த்து நன்கு அரை தடிமனான மாவு வரை கலக்கவும். சமைத்த முட்டைகளை பூசி சூடான எண்ணெயில் வறுக்கவும். அவை மொறுமொறுப்பாக மாறியதும் எண்ணெயிலிருந்து எடுத்து ஒதுக்கி வைக்கவும். இப்போது ஒரு கடாயில் எண்ணெயை சூடாக்கி, கடுகு, இறுதியாக நறுக்கிய இஞ்சி, நறுக்கிய பூண்டு, பச்சை மிளகாய், சிவப்பு மிளகாய், கறிவேப்பிலை சேர்த்து பச்சை வாசனை போகும் வரை ஒரு நிமிடம் வதக்கவும். பின்னர் நறுக்கிய வெங்காயத்தைச் சேர்த்து பொன்னிறமாகும் வரை வதக்கவும். பின்னர் மசாலாக்கள் - சீரகப் பொடி, கரம் மசாலா மற்றும் மிளகாய் தூள் சேர்க்கவும். இப்போது இதனுடன் தக்காளியைச் சேர்த்து எண்ணெய் பிரியும் வரை வதக்கவும். இப்போது குடை மிளகாய் / கேப்சிகம் சேர்த்து இரண்டு நிமிடங்கள் சமைக்கவும். பொரித்த முட்டைகளைச் சேர்த்து, இறுதியாக தேவையான உப்பு, எலுமிச்சை சாறு சேர்த்து மசாலாக்கள் மீது மூடப்படும் வரை நன்கு கலக்கவும். அவ்வளவுதான், எங்கள் சுவையான முட்டை மிளகாய் சாதம், நான், ஃபிரைடு ரைஸ் மற்றும் ரொட்டியுடன் பரிமாற தயாராக உள்ளது.</t>
  </si>
  <si>
    <t>https://blogger.googleusercontent.com/img/b/R29vZ2xl/AVvXsEiqP8VkY_UIe7KZ2f5Or772YSLu-TKmDrec3MbIeLa8Ssd6rm1R7wFzLIis3HYjMKX_-al1rBnEXNAQ-4T2Sc32AqgJlkDW6xpJ4msP1aGWBQ7a6H8jl1kEs3WVioKu22RfkVRGPM5Oi60/s640/DSC05100.JPG</t>
  </si>
  <si>
    <t>Bottle gourd Kheer</t>
  </si>
  <si>
    <t>சுரைக்காய் கீர்</t>
  </si>
  <si>
    <t>1 medium - Bottle gourd (650 gram), 3 cup - Milk (750 ml), 1/4 cup - Sugar (50 gram), 2 tbsp - Ghee, 2 tbsp  - Cashews, 2 tbsp - Raisins , 2 tbsp - Almonds, 3 - Cardamom , 10 - strand Saffron (optinal) .</t>
  </si>
  <si>
    <t>1 நடுத்தர அளவு - சுரைக்காய் (650 கிராம்), 3 கப் - பால் (750 மிலி), 1/4 கப் - சர்க்கரை (50 கிராம்), 2 டீஸ்பூன் - நெய், 2 டீஸ்பூன் - முந்திரி, 2 டீஸ்பூன் - திராட்சை, 2 டீஸ்பூன் - பாதாம், 3 - ஏலக்காய், 10 - இழை குங்குமப்பூ (விருப்பத்தேர்வு).</t>
  </si>
  <si>
    <t>Boil full fat milk and reduce it to half, Keep on low flame and stir it often to prevent burning of milk. Scrape the edges to collect milk fat.  Melt ghee in a pan and roast the nuts. Transfer it to a plate and now in the same pan add the grated bottle gourd /  sorakkai and saute it until the raw smell is gone, it takes approximately 5- 6 minutes.Keep it aside.   Once the is reduced to half and cardamom powder, saffron strands and then add sugar and mix well.   Now add in the cooked bottle gourd and cook for another 5- 7 minutes. Finally add in the roasted nuts and mix well and that's it.   That' it our Bottle gourd Kheer Recipe / Sorakkai Payasam  is ready to be enjoyed hot or cold. Please give it a try and I can guarantee you that you are gonna love it as I do.</t>
  </si>
  <si>
    <t>முழு கொழுப்புள்ள பாலை கொதிக்க வைத்து பாதியாகக் குறைத்து, குறைந்த தீயில் வைத்து, பால் எரிவதைத் தடுக்க அடிக்கடி கிளறவும். பால் கொழுப்பை சேகரிக்க விளிம்புகளை கீறவும். ஒரு பாத்திரத்தில் நெய்யை உருக்கி கொட்டைகளை வறுக்கவும். அதை ஒரு தட்டில் மாற்றி, இப்போது அதே பாத்திரத்தில் துருவிய சுரைக்காய் / சொரக்காயைச் சேர்த்து பச்சை வாசனை போகும் வரை வதக்கவும், இது சுமார் 5-6 நிமிடங்கள் ஆகும். அதை ஒதுக்கி வைக்கவும். பாதியாக வதங்கியதும், ஏலக்காய் தூள், குங்குமப்பூ இழைகள், பின்னர் சர்க்கரை சேர்த்து நன்கு கலக்கவும். இப்போது சமைத்த சுரைக்காயைச் சேர்த்து மேலும் 5-7 நிமிடங்கள் சமைக்கவும். கடைசியா வறுத்த கொட்டைகளை சேர்த்து நல்லா கலக்குங்க, அவ்வளவுதான். அவ்வளவுதான் நம்ம பூசணிக்காய் கீர் ரெசிபி / சொரக்காய் பாயசம் சூடாகவோ அல்லது குளிராகவோ சாப்பிட ரெடி. தயவு செய்து இதை முயற்சி செய்து பாருங்கள், நான் விரும்புவது போலவே நீங்களும் இதை விரும்புவீர்கள் என்று நான் உத்தரவாதம் அளிக்கிறேன்.</t>
  </si>
  <si>
    <t>https://blogger.googleusercontent.com/img/b/R29vZ2xl/AVvXsEjhd7B-XoPAQExwP15T8uAlRZtZN6GKYFexRkh0pzR9-iMAeesQorSN3F-ST1k3YkYHv7abTxn4jedTnzJnXIJanITi8A_TmttTXBGdbq17SsuWrRJi81zfyKDoiyPC8nYQT76A0TZctJny/s640/final--2.jpg</t>
  </si>
  <si>
    <t>Bread Chilli</t>
  </si>
  <si>
    <t>ரொட்டி மிளகாய்</t>
  </si>
  <si>
    <t>6 slice - Bread, 4 Tbsp - Oil, 1/8 tsp - Mustard seeds, 1/4 tsp  - Cumin seeds, 1 tbsp - Chopped Ginger, 5-6 - Chopped Garlic, 4  - Green Chilies, 4 - dry red Chilies, 1 - spring Curry leaves, 2 - Onions, 2 - Tomatoes, 1 - Capsicum, 1/4 tsp - Turmeric powder, 1/2 tsp - Garam masala, 2 tsp - Chili powder, Salt to taste, Coriander leaves.</t>
  </si>
  <si>
    <t>6 துண்டுகள் - ரொட்டி, 4 டேபிள்ஸ்பூன் - எண்ணெய், 1/8 டீஸ்பூன் - கடுகு விதைகள், 1/4 டீஸ்பூன் - சீரகம், 1 டீஸ்பூன் - நறுக்கிய இஞ்சி, 5-6 - நறுக்கிய பூண்டு, 4 - பச்சை மிளகாய், 4 - உலர்ந்த சிவப்பு மிளகாய், 1 - வசந்த கறிவேப்பிலை, 2 - வெங்காயம், 2 - தக்காளி, 1 - கேப்சிகம், 1/4 டீஸ்பூன் - மஞ்சள் தூள், 1/2 டீஸ்பூன் - கரம் மசாலா, 2 டீஸ்பூன் - மிளகாய் தூள், சுவைக்கு உப்பு, கொத்தமல்லி இலைகள்.</t>
  </si>
  <si>
    <t>Cut the bread slices into small pies and toast the pieces on medium heat using some oil.Once they are nicely toasted take it off from the pan and keep it aside,  Heat oil in a pan and add mustard seeds, cumin seeds, Ginger, Garlic, Green chilies, dry red chilies, Curry leaves and mix well. Now add in 2 finely chopped onions and saute until golden brown.   Now add the masalas - turmeric, chili and garam masala , mix once and then add in the tomatoes and cook until oil separates from it.  Now add in capsicum and cook for another minute and finally add the toasted bread piecs and coat it well with the masala and cook for 3 more minutes. Finalla add coriander leaves and turn off the heat.  Our delicious bread chili  is ready to be enjoyed .Do try this recipe and post your feedback. Happy Cooking.</t>
  </si>
  <si>
    <t>ரொட்டி துண்டுகளை சிறிய துண்டுகளாக வெட்டி, சிறிது எண்ணெயைப் பயன்படுத்தி நடுத்தர வெப்பத்தில் வறுக்கவும். அவை நன்றாக வறுத்ததும், அதை வாணலியில் இருந்து எடுத்து ஒதுக்கி வைக்கவும். ஒரு கடாயில் எண்ணெயை சூடாக்கி, கடுகு, சீரகம், இஞ்சி, பூண்டு, பச்சை மிளகாய், உலர்ந்த சிவப்பு மிளகாய், கறிவேப்பிலை சேர்த்து நன்கு கலக்கவும். இப்போது 2 இறுதியாக நறுக்கிய வெங்காயங்களைச் சேர்த்து பொன்னிறமாகும் வரை வதக்கவும். இப்போது மசாலாக்கள் - மஞ்சள், மிளகாய் மற்றும் கரம் மசாலாவைச் சேர்த்து, ஒரு முறை கலந்து, பின்னர் தக்காளியைச் சேர்த்து, எண்ணெய் பிரியும் வரை சமைக்கவும். இப்போது கேப்சிகம் சேர்த்து மற்றொரு நிமிடம் வதக்கி, இறுதியாக வறுத்த ரொட்டி துண்டுகளைச் சேர்த்து, மசாலாவுடன் நன்றாக தடவி, மேலும் 3 நிமிடங்கள் சமைக்கவும். இறுதியாக கொத்தமல்லி இலைகளைச் சேர்த்து, அடுப்பை அணைக்கவும். எங்கள் சுவையான பிரட் மிளகாய் ருசிக்க தயாராக உள்ளது. இந்த ரெசிபியை முயற்சி செய்து உங்கள் கருத்தைப் பதிவு செய்யவும். இனிய சமையல்.</t>
  </si>
  <si>
    <t>https://blogger.googleusercontent.com/img/b/R29vZ2xl/AVvXsEh5LKcM-1rJtsh5nwaoTVnV85z0H0XJhH8kNgb8hbwLXsF4hX339LGDxB4VNBCOeNlCPInjCslY11Hp37ySGRca0_94hI8hxO7LtBnXMXvS61gy2eJEO29FzOtrssdvMdjTdCu4njHXe-w/s640/DSC05030.JPG</t>
  </si>
  <si>
    <t>Somas</t>
  </si>
  <si>
    <t>சோமாஸ்</t>
  </si>
  <si>
    <t>1 cup - Maida (125 g), 2 tbsp - Rava, pinch Salt, 1 tbsp - Ghee, 6 tbsp - Water or as required, 1/4 cup - Roasted channa dal, 1 tsp - Ghee, 1/4 cup - Cashews, 1/2 cup - grated Coconut, 1/2 cup - Sugar , 3  - Cardamom.</t>
  </si>
  <si>
    <t>1 கப் - மைதா (125 கிராம்), 2 டேபிள் ஸ்பூன் - ரவா, சிட்டிகை உப்பு, 1 டேபிள் ஸ்பூன் - நெய், 6 டேபிள் ஸ்பூன் - தண்ணீர் அல்லது தேவைக்கேற்ப, 1/4 கப் - வறுத்த சன்னா பருப்பு, 1 டேபிள் ஸ்பூன் - நெய், 1/4 கப் - முந்திரி, 1/2 கப் - துருவிய தேங்காய், 1/2 கப் - சர்க்கரை, 3 - ஏலக்காய்.</t>
  </si>
  <si>
    <t>In a mixing bowl add maida, salt, Rava and ghee. Mix well then gradually add water to make a stiff dough. Knead the dough for a minimum of 10 - 12 minutes, kneading softens the dough. Cover and keep it aside.  Roast the channa dal (pottu kadalai) in a pan for 2 -3 minutes over medium heat. Transfer it to a blender and grind it coarsely. Now in the same pan melt ghee and then add cashews , grated coconut and roast until the moisture from the coconut is gone.  Powder sugar along with cardamom and add all the ingredients - coconut + powdered channa dal + Sugar in a bowl and mix well.  Take a portion of dough and roll it thin, Then grease the somas mold with oil and place the rolled sheet and then place the poornam and seal it tight with the help of water.  Fry the somas in oil over medium heat until the bubbles settles down and golden. Do not fry on very hot oil.  Our delicious somas recipe for this festival is ready. Please do try this recipe and share this recipe with your family members. Happy Diwali  !!!</t>
  </si>
  <si>
    <t>ஒரு கலவை பாத்திரத்தில் மைதா, உப்பு, ரவா மற்றும் நெய் சேர்க்கவும். நன்கு கலந்து, படிப்படியாக தண்ணீர் சேர்த்து கெட்டியான மாவை உருவாக்கவும். மாவை குறைந்தபட்சம் 10 - 12 நிமிடங்கள் பிசையவும், பிசைவது மாவை மென்மையாக்கும். மூடி வைத்து ஒதுக்கி வைக்கவும். சன்னா பருப்பை (பொட்டு கடலை) ஒரு பாத்திரத்தில் 2 -3 நிமிடங்கள் மிதமான தீயில் வறுக்கவும். அதை ஒரு பிளெண்டருக்கு மாற்றி கரடுமுரடாக அரைக்கவும். இப்போது அதே பேனில் நெய்யை உருக்கி, பின்னர் முந்திரி, துருவிய தேங்காய் சேர்த்து தேங்காயின் ஈரப்பதம் போகும் வரை வறுக்கவும். சர்க்கரையை ஏலக்காயுடன் பொடி செய்து, ஒரு பாத்திரத்தில் தேங்காய் + பொடித்த சன்னா பருப்பு + சர்க்கரை ஆகிய அனைத்து பொருட்களையும் சேர்த்து நன்கு கலக்கவும். மாவின் ஒரு பகுதியை எடுத்து மெல்லியதாக உருட்டவும், பின்னர் சோமாஸ் அச்சுக்கு எண்ணெய் தடவி, உருட்டிய தாளை வைத்து, பின்னர் பூர்ணத்தை வைத்து தண்ணீர் உதவியுடன் இறுக்கமாக மூடவும். சோமாக்களை எண்ணெயில் மிதமான தீயில் குமிழ்கள் படிந்து பொன்னிறமாகும் வரை வறுக்கவும். மிகவும் சூடான எண்ணெயில் வறுக்க வேண்டாம். இந்த பண்டிகைக்கான எங்கள் சுவையான சோமாஸ் செய்முறை தயாராக உள்ளது. தயவுசெய்து இந்த செய்முறையை முயற்சி செய்து, இந்த செய்முறையை உங்கள் குடும்ப உறுப்பினர்களுடன் பகிர்ந்து கொள்ளுங்கள். தீபாவளி வாழ்த்துக்கள் !!!</t>
  </si>
  <si>
    <t>https://blogger.googleusercontent.com/img/b/R29vZ2xl/AVvXsEj9eKGXT0uDR0Y7TPzu8mFnYLCs-yH_DBOdR3ZHrKIC3BNQMOLHqZH5fbMcKwdcIrsZLGPepcsZh70QZDi1WyfOHuMP2IasviMcJxr5goq7AGRcfp_UMN7rlAaOnI5PO3cphqrkF68_xczr/s640/0.JPG</t>
  </si>
  <si>
    <t>Rava Jamun</t>
  </si>
  <si>
    <t>ரவா ஜாமூன்</t>
  </si>
  <si>
    <t>1/2 cup - Rava (100g), 1.5 cup  - Milk (375 ml), 2 tsp  - Ghee, 1 cup - Sugar (200g), 1.5 cup - Water (375 ml), 3 - Cardamom pods, 1/2 tsp - Lemon Juice, few Saffron strands.</t>
  </si>
  <si>
    <t>1/2 கப் - ரவா (100 கிராம்), 1.5 கப் - பால் (375 மிலி), 2 தேக்கரண்டி - நெய், 1 கப் - சர்க்கரை (200 கிராம்), 1.5 கப் - தண்ணீர் (375 மிலி), 3 - ஏலக்காய் காய்கள், 1/2 தேக்கரண்டி - எலுமிச்சை சாறு, சில குங்குமப்பூ.</t>
  </si>
  <si>
    <t>Dry roast rava in a pan over medium heat for 3- 4 minutes. Then add milk ,ghee and mix well. Cook over medium heat until all the milk is been absorbed and becomes a tight dough. Transfer it to a bowl and let it cool for some time. Now knead it atleast 5 minutes. After kneading take a small portion of the dough a roll it into small balls, there should not be any cracks on the outside of the balls, it should be soft and smooth.  Into a pan add sugar and water to cover the sugar , once the sugar dissolves and comes to a boil turn down the heat to low and let it simmer for 8 -10 minutes. Sugar syrup should not reach 1 string consistency, if it reaches 1 string consistency then the syrup will not penetrate more efficiently into the jamuns. Once it reaches half string , add a few drops of lemon juice to prevent sugar crystallization also add crushed cardamom pods for flavoring and few strands of saffron ( optional)  Heat oil or ghee in a pan, Temperature of the oil should be medium it should not be high , if you drop a small portion of the dough it should come to the surface of the oil immediately whith out changing it color, if it becomes brown then the oil is very hot and if it stays down for a long time then the temperature of the oil is not hot enough.  Once you get that temperature, drop the balls and fry until golden brown. do not over crowd the oil , leave enough room for frying also use more oil the jamuns should be fully immersed into the oil.  In between swirl it with a spoon to ensure even browning.  Once the balls develop nice uniform golden brown color take it off from the oil and drop it into the sugar syrup. If the sugar syrup is cooled then we need to warm it up for 1 minute before adding the jamuns. Let the balls soak in the syrup for minimum 5-6 hours before serving.  That's it our Gulab Jamuns using  Rava is ready to be served. Its quite simple and really easy to make, all we need is Rava , milk , sugar and water.</t>
  </si>
  <si>
    <t>ஒரு பாத்திரத்தில் மிதமான தீயில் ரவாவை 3-4 நிமிடங்கள் உலர வறுக்கவும். பின்னர் பால், நெய் சேர்த்து நன்கு கலக்கவும். பால் முழுவதும் உறிஞ்சப்பட்டு இறுக்கமான மாவாக மாறும் வரை மிதமான தீயில் சமைக்கவும். அதை ஒரு கிண்ணத்திற்கு மாற்றி சிறிது நேரம் ஆற விடவும். இப்போது குறைந்தது 5 நிமிடங்கள் பிசையவும். பிசைந்த பிறகு, மாவின் ஒரு சிறிய பகுதியை எடுத்து, சிறிய உருண்டைகளாக உருட்டவும், பந்துகளின் வெளிப்புறத்தில் எந்த விரிசல்களும் இருக்கக்கூடாது, அது மென்மையாகவும் மென்மையாகவும் இருக்க வேண்டும். ஒரு பாத்திரத்தில் சர்க்கரை மற்றும் தண்ணீரைச் சேர்த்து சர்க்கரையை மூடவும். சர்க்கரை கரைந்து கொதி வந்ததும், தீயைக் குறைத்து 8 -10 நிமிடங்கள் கொதிக்க விடவும். சர்க்கரை பாகு ஒரு நார் நிலைத்தன்மையை எட்டக்கூடாது, அது 1 நார் நிலைத்தன்மையை அடைந்தால், சிரப் ஜாமூன்களுக்குள் திறமையாக ஊடுருவாது. அது அரை நார் நிலையை அடைந்ததும், சர்க்கரை படிகமாக்கலைத் தடுக்க சில துளிகள் எலுமிச்சை சாற்றைச் சேர்க்கவும், மேலும் சுவைக்காக நொறுக்கப்பட்ட ஏலக்காய் காய்களையும், சில குங்குமப்பூ இழைகளையும் சேர்க்கவும் (விரும்பினால்) ஒரு பாத்திரத்தில் எண்ணெய் அல்லது நெய்யை சூடாக்கவும், எண்ணெயின் வெப்பநிலை நடுத்தரமாக இருக்க வேண்டும், அது அதிகமாக இருக்கக்கூடாது, நீங்கள் மாவின் ஒரு சிறிய பகுதியைக் கைவிட்டால், அது உடனடியாக எண்ணெயின் மேற்பரப்பில் வந்து நிறம் மாறும், அது பழுப்பு நிறமாக மாறினால், எண்ணெய் மிகவும் சூடாக இருக்கும், அது நீண்ட நேரம் கீழே இருந்தால், எண்ணெயின் வெப்பநிலை போதுமான அளவு சூடாகாது. அந்த வெப்பநிலையை அடைந்ததும், உருண்டைகளை இறக்கி பொன்னிறமாகும் வரை வறுக்கவும். எண்ணெயை அதிகமாக நிரப்ப வேண்டாம், வறுக்க போதுமான இடத்தை விட்டு, அதிக எண்ணெயைப் பயன்படுத்தவும். ஜாமூன்கள் எண்ணெயில் முழுமையாக மூழ்கியிருக்க வேண்டும். இடையில் ஒரு கரண்டியால் சுழற்றி, சமமாக பழுப்பு நிறமாக மாற வேண்டும். பந்துகள் நல்ல சீரான தங்க பழுப்பு நிறத்தை அடைந்ததும், எண்ணெயிலிருந்து எடுத்து சர்க்கரை பாகில் போடவும். சர்க்கரை பாகு குளிர்ந்துவிட்டால், ஜாமூன்களைச் சேர்ப்பதற்கு முன், அதை 1 நிமிடம் சூடாக்கவும். பரிமாறுவதற்கு முன், பந்துகளை சிரப்பில் குறைந்தது 5-6 மணி நேரம் ஊற விடவும். அவ்வளவுதான், ரவாவைப் பயன்படுத்தி தயாரிக்கப்படும் எங்கள் குலாப் ஜாமுன்கள் பரிமாற தயாராக உள்ளன. இது மிகவும் எளிமையானது மற்றும் தயாரிக்க மிகவும் எளிதானது, நமக்குத் தேவையானது ரவா, பால், சர்க்கரை மற்றும் தண்ணீர்.</t>
  </si>
  <si>
    <t>https://blogger.googleusercontent.com/img/b/R29vZ2xl/AVvXsEgXkkGPGRjldP0gy8C871FtKVzNLfzAQaaWdqJosxCf5f2Ycc3IQPZyBt7mm5P46HnIl3AWtGfICPx9pX93WBDpFs8McDW8jVRe_07WY438QftvvhPiAWJmzr3vbmY4jwJ51zntNZhCeB7N/s640/final--1.jpg</t>
  </si>
  <si>
    <t>Homemade Pineapple Jam</t>
  </si>
  <si>
    <t>வீட்டில் தயாரிக்கப்பட்ட அன்னாசிப்பழ ஜாம்</t>
  </si>
  <si>
    <t>1 - Pineapple (2 cup puree - 250 ml), 1.5-2 cup - Sugar (300 - 400 gram) , 1/2  - Lemon.</t>
  </si>
  <si>
    <t>1 - அன்னாசி (2 கப் கூழ் - 250 மிலி), 1.5-2 கப் - சர்க்கரை (300 - 400 கிராம்), 1/2 - எலுமிச்சை.</t>
  </si>
  <si>
    <t>Puree fully ripe pineapple in a blender and measure it. I got 2 cups (we can use the exact measure of sugar or can be adjusted to suit your preference)  Heat the pineapple puree in a pan and cook for few minutes. Once slightly thickened add sugar. I have used 1.5 cup sugar for 2 cup puree. If you want it to be sweeter then use 2 cup sugar.  Once sugar melts and thickens squeeze half lemon and cook until it thickens. Keep on medium heat. It took approximately 30 minutes on medium heat.  Once thickened check the consistency . That's it our delicious homemade pineapple jam is ready without any preservatives or added color. We can follow the steps and procedure for making apple jam, strawberry jam, mango jam etc... Please do try this recipe at home and share it with your lovely family members.</t>
  </si>
  <si>
    <t>முழுமையாக பழுத்த அன்னாசிப்பழத்தை ஒரு பிளெண்டரில் அரைத்து, அதை அளந்து கொள்ளவும். எனக்கு 2 கப் கிடைத்தது (சர்க்கரையின் சரியான அளவைப் பயன்படுத்தலாம் அல்லது உங்கள் விருப்பத்திற்கு ஏற்ப சரிசெய்யலாம்) அன்னாசிப்பழ கூழ் ஒரு பாத்திரத்தில் சூடாக்கி சில நிமிடங்கள் சமைக்கவும். சிறிது கெட்டியானதும் சர்க்கரை சேர்க்கவும். 2 கப் கூழ்க்கு 1.5 கப் சர்க்கரை பயன்படுத்தினேன். நீங்கள் அதை இனிப்பாக விரும்பினால் 2 கப் சர்க்கரையைப் பயன்படுத்தவும். சர்க்கரை உருகி கெட்டியானதும், அரை எலுமிச்சையை பிழிந்து கெட்டியாகும் வரை சமைக்கவும். நடுத்தர வெப்பத்தில் வைக்கவும். நடுத்தர வெப்பத்தில் சுமார் 30 நிமிடங்கள் ஆனது. கெட்டியானதும் நிலைத்தன்மையை சரிபார்க்கவும். அவ்வளவுதான், எங்கள் சுவையான வீட்டில் தயாரிக்கப்பட்ட அன்னாசி ஜாம், எந்த பாதுகாப்புகள் அல்லது வண்ணம் சேர்க்கப்படாமல் தயாராக உள்ளது. ஆப்பிள் ஜாம், ஸ்ட்ராபெரி ஜாம், மாம்பழ ஜாம் போன்றவற்றை தயாரிப்பதற்கான படிகள் மற்றும் நடைமுறையை நாங்கள் பின்பற்றலாம்... இந்த செய்முறையை வீட்டிலேயே முயற்சி செய்து உங்கள் அன்பான குடும்ப உறுப்பினர்களுடன் பகிர்ந்து கொள்ளுங்கள்.</t>
  </si>
  <si>
    <t>https://blogger.googleusercontent.com/img/b/R29vZ2xl/AVvXsEig8KRrDNMJhgY7bxqUX6VG0jGzp-W1kkUboITOcYcj7H5seKvxMEL7W9HVuuiGoxba-ubSNYKe8NdtFY3ubdhnvO09zMxiHh095l4nm9u2mhP5tO8czmcMdRs2Xo_x6LOEipWanXRGBT0/s640/DSC02887.JPG</t>
  </si>
  <si>
    <t>Sago Payasam</t>
  </si>
  <si>
    <t>சவ்வரிசி பாயசம்</t>
  </si>
  <si>
    <t>1/2 cup - Sago (100 gram) , 2 cup - Water  (500 ml), 2 cup - Milk (500 ml), 1/2 cup - Sugar (100 gram), 1 tbsp - Ghee, 2 tbsp  - Cashews, 2 tbsp - Raisins , 2 tbsp - Almonds, 3 - Cardamom , 10 - strand Saffron (optimal) .</t>
  </si>
  <si>
    <t>1/2 கப் - சவ்வரிசி (100 கிராம்), 2 கப் - தண்ணீர் (500 மிலி), 2 கப் - பால் (500 மிலி), 1/2 கப் - சர்க்கரை (100 கிராம்), 1 டீஸ்பூன் - நெய், 2 டீஸ்பூன் - முந்திரி, 2 டீஸ்பூன் - திராட்சை, 2 டீஸ்பூன் - பாதாம், 3 - ஏலக்காய், 10 - குங்குமப்பூ (உகந்தவை).</t>
  </si>
  <si>
    <t>Soak Javvarisi in water for 1 hour, Soaking in water speeds up the cooking time of Javvarisi , otherwise it takes longer duration to get cooked completely. Add water to a pan and bring it to a boil. Once the water boils add the soaked Javvarisi and cook until transparent.   Once transparent add hot Milk to it and let it boil for few more minutes. Then add sugar to it and let it cook for another 5 minutes.   Now in a separate pan melt ghee and roast the nuts - cashews and almonds, once golden add raisins and roast until raisins are ballooned. Add the roasted nuts to the payasam, also add crushed Cardamom or cardamom powder and few strands of saffron for a nice color. Mix well and that's it.   That' it our Javvarisi payasam is ready to be enjoyed hot or cold. Please give it a try and I can guarantee you that you are gonna love it as I do.</t>
  </si>
  <si>
    <t>ஜவ்வரிசியை 1 மணி நேரம் தண்ணீரில் ஊற வைக்கவும், தண்ணீரில் ஊறவைப்பது ஜவ்வரிசி சமைக்கும் நேரத்தை துரிதப்படுத்துகிறது, இல்லையெனில் அது முழுமையாக வேகுவதற்கு அதிக நேரம் எடுக்கும். ஒரு பாத்திரத்தில் தண்ணீர் சேர்த்து கொதிக்க வைக்கவும். தண்ணீர் கொதித்தவுடன் ஊறவைத்த ஜவ்வரிசியைச் சேர்த்து வெளிப்படையான வரை சமைக்கவும். வெளிப்படையானதும் சூடான பால் சேர்த்து இன்னும் சில நிமிடங்கள் கொதிக்க விடவும். பின்னர் அதில் சர்க்கரை சேர்த்து மேலும் 5 நிமிடங்கள் சமைக்கவும். இப்போது ஒரு தனி வாணலியில் நெய்யை உருக்கி, கொட்டைகள் - முந்திரி மற்றும் பாதாம் ஆகியவற்றை வறுக்கவும், பொன்னிறமானதும் திராட்சையைச் சேர்த்து, திராட்சை பலூன் ஆகும் வரை வறுக்கவும். வறுத்த கொட்டைகளை பாயாசத்துடன் சேர்த்து, நொறுக்கப்பட்ட ஏலக்காய் அல்லது ஏலக்காய் தூள் மற்றும் சிறிது குங்குமப்பூவைச் சேர்த்து நல்ல நிறத்தைப் பெறுங்கள். நன்றாகக் கலக்கவும், அவ்வளவுதான். அவ்வளவுதான் எங்கள் ஜவ்வரிசி பாயாசம் சூடாகவோ அல்லது குளிராகவோ சாப்பிட தயாராக உள்ளது. தயவுசெய்து இதை முயற்சித்துப் பாருங்கள், நான் விரும்புவது போல் நீங்கள் அதை விரும்புவீர்கள் என்று நான் உங்களுக்கு உத்தரவாதம் அளிக்கிறேன்.</t>
  </si>
  <si>
    <t>https://blogger.googleusercontent.com/img/b/R29vZ2xl/AVvXsEj9hDd9Cb_le2hKoDsH1Aff3UrQwKngLrayzFDZxnBL0FlB4hDbjZLn651EWf7-PuwXD7LHmT9YL3SYEPLJu4xQHzzDKq8cig-kdl8hp0hUkGFB9BQ2IfoB4xhxamBsp6h1HM7DFB1C3j0/s640/0.JPG</t>
  </si>
  <si>
    <t>Egg Roast</t>
  </si>
  <si>
    <t>முட்டை வறுவல்</t>
  </si>
  <si>
    <t>3 - Eggs, 1 - small piece  Cinnamon, 1  - clove, 1/2 tsp - Fennel seeds, 1/2 tsp - Cumin seeds, 1/2 tsp  - Coriander seeds, 1/2 tsp - Pepper, 2 - Green Chilies, 1 inch  - Ginger, 2 - Garlic cloves, 1 tbsp - Oil, 1/2 tsp - Chilli Powder, 1/8 tsp - Turmeric powder, 3 tbsp - Oil, 1/4 tsp - Mustard seeds, 2  - Onion, Curry leaves, 1 tsp - Chili powder, 1 - Tomato, required Water, Coriander leaves, Salt to taste.</t>
  </si>
  <si>
    <t>3 - முட்டை, 1 - சிறிய துண்டு இலவங்கப்பட்டை, 1 - கிராம்பு, 1/2 தேக்கரண்டி - வெந்தயம், 1/2 தேக்கரண்டி - சீரகம், 1/2 தேக்கரண்டி - கொத்தமல்லி, 1/2 தேக்கரண்டி - மிளகு, 2 - பச்சை மிளகாய், 1 அங்குலம் - இஞ்சி, 2 - பூண்டு பல், 1 தேக்கரண்டி - எண்ணெய், 1/2 தேக்கரண்டி - மிளகாய் தூள், 1/8 தேக்கரண்டி - மஞ்சள் தூள், 3 தேக்கரண்டி - எண்ணெய், 1/4 தேக்கரண்டி - கடுகு, 2 - வெங்காயம், கறிவேப்பிலை, 1 தேக்கரண்டி - மிளகாய் தூள், 1 - தக்காளி, தேவையான தண்ணீர், கொத்தமல்லி இலைகள், சுவைக்கேற்ப உப்பு.</t>
  </si>
  <si>
    <t>Dry roast cinnamon, clove, fennel, cumin, coriander and pepper for a couple of minutes. transfer it to a blender and add green chilies, ginger, Garlic and grind it well.  Heat oil and add chili powder, turmeric powder and some salt. Add the halved eggs and roast 2 minutes on both the sides and keep it aside.   Now in the same pan add oil and temper with mustard seeds, Then add sliced onion and saute it until golden. Add curry leaves, freshly ground masala from step 1 and chili powder. Then add 1 large tomato (or 2 medium) , little bit of water and salt.  Once you see oil oozing out add the seasoned eggs and finally sprinkle some coriander leaves on top and is ready to be served.  See how simple our egg masala is to make it can be made in few minutes and its taste last for a long time. This is an excellent side for Rice, variety rice, chapathi and lot more.Do try this easy egg roast recipe and say good bye to boring boiled eggs. Happy Cooking !!!</t>
  </si>
  <si>
    <t>இலவங்கப்பட்டை, கிராம்பு, பெருஞ்சீரகம், சீரகம், கொத்தமல்லி மற்றும் மிளகு ஆகியவற்றை இரண்டு நிமிடங்கள் உலர வைக்கவும். அதை ஒரு பிளெண்டரில் மாற்றி பச்சை மிளகாய், இஞ்சி, பூண்டு சேர்த்து நன்கு அரைக்கவும். எண்ணெயை சூடாக்கி மிளகாய் தூள், மஞ்சள் தூள் மற்றும் சிறிது உப்பு சேர்க்கவும். பாதியாக நறுக்கிய முட்டைகளைச் சேர்த்து, இருபுறமும் 2 நிமிடங்கள் வறுத்து, தனியாக வைக்கவும். இப்போது அதே கடாயில் எண்ணெய் சேர்த்து கடுகு சேர்த்து தாளிக்கவும், பின்னர் நறுக்கிய வெங்காயத்தைச் சேர்த்து பொன்னிறமாகும் வரை வதக்கவும். கறிவேப்பிலை, படி 1 இல் இருந்து புதிதாக அரைத்த மசாலா மற்றும் மிளகாய் தூள் சேர்க்கவும். பின்னர் 1 பெரிய தக்காளி (அல்லது 2 நடுத்தர), சிறிது தண்ணீர் மற்றும் உப்பு சேர்க்கவும். எண்ணெய் வெளியேறுவதை நீங்கள் பார்த்ததும், பதப்படுத்தப்பட்ட முட்டைகளைச் சேர்த்து, இறுதியாக மேலே சிறிது கொத்தமல்லி இலைகளைத் தூவவும், பரிமாறத் தயாராக இருக்கும். எங்கள் முட்டை மசாலாவை சில நிமிடங்களில் செய்வது எவ்வளவு எளிது என்பதைப் பாருங்கள், அதன் சுவை நீண்ட நேரம் நீடிக்கும். இது சாதம், பல்வேறு சாதம், சப்பாத்தி மற்றும் பலவற்றிற்கு ஒரு சிறந்த பக்க உணவாகும். இந்த எளிதான முட்டை ரோஸ்ட் ரெசிபியை முயற்சி செய்து, சலிப்பூட்டும் வேகவைத்த முட்டைகளுக்கு விடைபெறுங்கள். மகிழ்ச்சியான சமையல் !!!</t>
  </si>
  <si>
    <t>https://blogger.googleusercontent.com/img/b/R29vZ2xl/AVvXsEj2ziL3dWh84oMlILfqHXVzzUOBqKByOQzmNUb0_KuZlo1Di3jlRcdZgC8JU7G3gCtemIdIXUlr4PhxOBzTzNMj95zZ0BohlE0vI6u8pasX3YxSt2QfGBUHeeovUgxsr69aJbXPyHrIaEQ/s640/DSC03967.JPG</t>
  </si>
  <si>
    <t>Bread Pudding</t>
  </si>
  <si>
    <t>பிரெட் புட்டிங்</t>
  </si>
  <si>
    <t>2 tbsp - Melted Butter (unsalted), 2 - Eggs, 1/2 cup - Sugar (100 gram) , 1 tsp - Vanilla extract , 1.5 cup - Milk (360 ml), 1/2 tsp - Salt, 10 - slice Bread (white bread), 1/2 cup - Sugar (100 g), 2 tbsp - Water.</t>
  </si>
  <si>
    <t>2 டேபிள் ஸ்பூன் - உருகிய வெண்ணெய் (உப்பு சேர்க்காதது), 2 - முட்டைகள், 1/2 கப் - சர்க்கரை (100 கிராம்), 1 டேபிள் ஸ்பூன் - வெண்ணிலா சாறு, 1.5 கப் - பால் (360 மிலி), 1/2 டேபிள் ஸ்பூன் - உப்பு, 10 - துண்டு ரொட்டி (வெள்ளை ரொட்டி), 1/2 கப் - சர்க்கரை (100 கிராம்), 2 டேபிள் ஸ்பூன் - தண்ணீர்.</t>
  </si>
  <si>
    <t>trim the edges of the bread and cut into pieces. transfer it to a blender and give it a few pules to powder the bread.  Into a mixing bowl add melted butter, eggs, sugar and vanilla extract. Combine well and then add milk. Mix it again and then add in the powdered bread and mix it again.  Keep it aside and now lets make caramel. Into a sauce pan add sugar, water and heat for some time. Once you get nice golden color turn off the heat.  Transfer the caramel to pan and spread it all over the pan. Now with a help of a spoon pour the bread mixture over the caramel . Cover it with a aluminium foil and make some holes.  Add water to a cooker and place a stand to elevate the pan. Keep the pan inside and make sure the base of the pan touches the water. Steam for 40 - 45 minutes on medium heat.   After 45 minutes check the pudding by inserting a knife, if it comes out clean then the bread pudiing is nice and ready. Cut it into pieces and is ready to be served.  That's it our delicious bread pudding is ready to be served. Please do try this recipe at home and share it with your friends and family.</t>
  </si>
  <si>
    <t>பிரெட் விளிம்புகளை வெட்டி துண்டுகளாக நறுக்கவும். அதை ஒரு பிளெண்டரில் மாற்றி, ரொட்டியை பொடி செய்ய சில துகள்கள் கொடுங்கள். ஒரு கலவை கிண்ணத்தில் உருகிய வெண்ணெய், முட்டை, சர்க்கரை மற்றும் வெண்ணிலா சாறு சேர்க்கவும். நன்றாக கலக்கவும், பின்னர் பால் சேர்க்கவும். மீண்டும் கலக்கவும், பின்னர் தூள் பிரெட் சேர்த்து மீண்டும் கலக்கவும். அதை ஒதுக்கி வைத்துவிட்டு இப்போது கேரமல் செய்யலாம். ஒரு சாஸ் பானில் சர்க்கரை, தண்ணீர் சேர்த்து சிறிது நேரம் சூடாக்கவும். நல்ல தங்க நிறம் வந்ததும், தீயை அணைக்கவும். கேரமலை வாணலியில் மாற்றி, வாணலி முழுவதும் பரப்பவும். இப்போது ஒரு கரண்டியால் ரொட்டி கலவையை கேரமல் மீது ஊற்றவும். அதை ஒரு அலுமினியத் தாளால் மூடி, சில துளைகளை உருவாக்குங்கள். ஒரு குக்கரில் தண்ணீரைச் சேர்த்து, பாத்திரத்தை உயர்த்த ஒரு ஸ்டாண்டை வைக்கவும். பாத்திரத்தை உள்ளே வைத்து, பாத்திரத்தின் அடிப்பகுதி தண்ணீரைத் தொடுவதை உறுதிசெய்து கொள்ளுங்கள். மிதமான தீயில் 40 - 45 நிமிடங்கள் ஆவியில் வேகவைக்கவும். 45 நிமிடங்களுக்குப் பிறகு, கத்தியைச் செருகுவதன் மூலம் புட்டிங்கைச் சரிபார்க்கவும், அது சுத்தமாக வெளியே வந்தால், ரொட்டி புட்டிங் நன்றாகவும் தயாராகவும் இருக்கும். அதை துண்டுகளாக வெட்டி பரிமாற தயாராக உள்ளது. அவ்வளவுதான் எங்கள் சுவையான ரொட்டி புட்டிங் பரிமாற தயாராக உள்ளது. தயவுசெய்து இந்த செய்முறையை வீட்டிலேயே முயற்சி செய்து உங்கள் நண்பர்கள் மற்றும் குடும்பத்தினருடன் பகிர்ந்து கொள்ளுங்கள்.</t>
  </si>
  <si>
    <t>https://blogger.googleusercontent.com/img/b/R29vZ2xl/AVvXsEiw7xe49TvQYBeBtSj1ryU9DYoac6YyblCrtWcKObhSkgzaJyTI6HJ3U5fjIsXo_hnYxe296GqZkFKhCZMAMDfwyBBwZ1IFunqL0Bj2LEda3H4I6jBYdg7lgEtJ16-DsW-bLCPf-dd48yw/s640/final.jpg</t>
  </si>
  <si>
    <t>Red Velvet Cake</t>
  </si>
  <si>
    <t>சிவப்பு வெல்வெட் கேக்</t>
  </si>
  <si>
    <t>2.5 cup - All purpose flour / Maida (300g), 2 tbsp - Unsweetened Cocoa powder, 2 tsp - Baking Powder, 1/2 tsp - Baking Soda, 1/2 tsp - Salt , 2  - Eggs, 1.5 cup - Sugar (300g), 1 cup - Oil (sunflower) 250 ml, 1 cup - Curd / yogurt 250 ml, 1 tsp - Vanilla extract , 1 tsp - Red food color, 100 g  -  Butter, 225 g - Cream Cheese, 1.75 cup  - powdered Sugar (350 gram), 1 tsp   - Vanilla extract .</t>
  </si>
  <si>
    <t>2.5 கப் - அனைத்து உபயோக மாவு / மைதா (300 கிராம்), 2 டேபிள் ஸ்பூன் - இனிப்பு சேர்க்காத கோகோ பவுடர், 2 டேபிள் ஸ்பூன் - பேக்கிங் பவுடர், 1/2 டேபிள் ஸ்பூன் - பேக்கிங் சோடா, 1/2 டேபிள் ஸ்பூன் - உப்பு, 2 - முட்டை, 1.5 கப் - சர்க்கரை (300 கிராம்), 1 கப் - எண்ணெய் (சூரியகாந்தி) 250 மிலி, 1 கப் - தயிர் / தயிர் 250 மிலி, 1 டேபிள் ஸ்பூன் - வெண்ணிலா சாறு, 1 டேபிள் ஸ்பூன் - சிவப்பு உணவு நிறம், 100 கிராம் - வெண்ணெய், 225 கிராம் - கிரீம் சீஸ், 1.75 கப் - தூள் சர்க்கரை (350 கிராம்), 1 டேபிள் ஸ்பூன் - வெண்ணிலா சாறு.</t>
  </si>
  <si>
    <t>Into a mixing bowl add eggs and beat well.  Then add oil, curd, vanilla extract and mix them together. Finally add red food color and make a bright red batter.   Sift all the dry ingredients together - all purpose flour, cocoa powder, baking powder, baking soda and salt together into the same bowl. Do not over mix the batter.   Divide the cake mix into 2 halves and transfer it into 2 - 9 inch baking pan lined with parchment paper and bake it for 20- 22 minutes at 350 F / 175 C . Check at 20 minutes, if the tooth pick inserted at the center comes out clean then the cakes are perfectly done  Once the cake is cooled trim the cake to level it and save the trimmed pieces for decorating the cake.   into a mixing bowl add butter (make sure the butter is at room temperature) beat it nicely with a electric beater for 2-3 minutes until soft and fluffy. Then add cream cheese (at room temperature) and beat it again until well combined. gradually add in the sifted powdered sugar and combine well to form a semi thick cream batter.  Place a layer of the cake and apply cream cheese frosting on the top and then spread it evenly. Then place the second layer cake and cover it evenly with cream cheese on all the sides. Finally crumble the saves trimmed cake and add it to the edges to decorate the cake. Then some strawberries on top for final decoration.</t>
  </si>
  <si>
    <t>ஒரு கலவை கிண்ணத்தில் முட்டைகளைச் சேர்த்து நன்றாக அடிக்கவும். பின்னர் எண்ணெய், தயிர், வெண்ணிலா சாறு சேர்த்து அவற்றை ஒன்றாக கலக்கவும். இறுதியாக சிவப்பு உணவு வண்ணத்தைச் சேர்த்து பிரகாசமான சிவப்பு மாவை உருவாக்கவும். அனைத்து உலர்ந்த பொருட்களையும் ஒன்றாக சலிக்கவும் - அனைத்து உபயோக மாவு, கோகோ பவுடர், பேக்கிங் பவுடர், பேக்கிங் சோடா மற்றும் உப்பு ஆகியவற்றை ஒரே கிண்ணத்தில் ஒன்றாக இணைக்கவும். மாவை அதிகமாக கலக்க வேண்டாம். கேக் கலவையை 2 பகுதிகளாகப் பிரித்து, அதை பார்ச்மென்ட் பேப்பரால் வரிசையாக அமைக்கப்பட்ட 2 - 9 அங்குல பேக்கிங் பாத்திரத்தில் மாற்றி, 350 F / 175 C வெப்பநிலையில் 20-22 நிமிடங்கள் சுடவும். 20 நிமிடங்களில், மையத்தில் செருகப்பட்ட டூத்பிக் சுத்தமாக வெளியே வருகிறதா என்று பாருங்கள், பின்னர் கேக்குகள் சரியாக முடிந்துவிட்டன. கேக் குளிர்ந்ததும், கேக்கை சமன் செய்ய டிரிம் செய்து, கேக்கை அலங்கரிக்க டிரிம் செய்யப்பட்ட துண்டுகளை சேமிக்கவும். ஒரு கலவை கிண்ணத்தில் வெண்ணெய் சேர்க்கவும் (வெண்ணெய் அறை வெப்பநிலையில் இருப்பதை உறுதிசெய்து கொள்ளுங்கள்) அதை ஒரு மின்சார பீட்டரால் 2-3 நிமிடங்கள் மென்மையாகவும் பஞ்சுபோன்றதாகவும் ஆகும் வரை நன்றாக அடிக்கவும். பின்னர் கிரீம் சீஸ் (அறை வெப்பநிலையில்) சேர்த்து மீண்டும் நன்றாக கலக்கும் வரை அடிக்கவும். படிப்படியாக சலித்த தூள் சர்க்கரையைச் சேர்த்து, அரை தடிமனான கிரீம் மாவை உருவாக்க நன்கு கலக்கவும். கேக்கின் ஒரு அடுக்கை வைத்து, மேலே கிரீம் சீஸ் ஃப்ரோஸ்டிங்கைப் பூசி, பின்னர் அதை சமமாக பரப்பவும். பின்னர் இரண்டாவது அடுக்கு கேக்கை வைத்து, அனைத்து பக்கங்களிலும் கிரீம் சீஸால் சமமாக மூடவும். இறுதியாக சேவ்ஸ் ட்ரிம் செய்யப்பட்ட கேக்கை நொறுக்கி, கேக்கை அலங்கரிக்க விளிம்புகளில் சேர்க்கவும். பின்னர் இறுதி அலங்காரத்திற்காக மேலே சில ஸ்ட்ராபெர்ரிகள்.</t>
  </si>
  <si>
    <t>https://blogger.googleusercontent.com/img/b/R29vZ2xl/AVvXsEji9ZIjGds0BAxkTV1-vh8CArzuyHJRKKOMbZ89XqnHn8ph8b4FErb4Lt0wxAUhGmHwuu2cZevwm4YYx3Rm82I8VRGgfclb2RVLNwmbnKQzNEncM7sUK3Terhf71IWJ75zZ6xPWdf5pGnI/s640/00.JPG</t>
  </si>
  <si>
    <t>White Sauce Pasta</t>
  </si>
  <si>
    <t>வெள்ளை சாஸ் பாஸ்தா</t>
  </si>
  <si>
    <t>1 cup - Pasta (100g) , 1 tbsp - Butter, 2 - cloves Garlic, 5-6  - Mushroom, 1/4 cup - Peas, 1/4 cup - Corn, 1/2 - Capsicum, 2 tbsp - Butter, 2 tbsp - Maida / All purpose flour, 2 cup - Milk (500 ml) , 1/4 cup - white cheddar cheese (optional), 1/4 tsp - Basil leaves, 1/4 tsp  - Chili flakes, Salt and Pepper.</t>
  </si>
  <si>
    <t>1 கப் - பாஸ்தா (100 கிராம்), 1 டீஸ்பூன் - வெண்ணெய், 2 - பூண்டு பல், 5-6 - காளான், 1/4 கப் - பட்டாணி, 1/4 கப் - சோளம், 1/2 - கேப்சிகம், 2 டீஸ்பூன் - வெண்ணெய், 2 டீஸ்பூன் - மைதா / அனைத்து வகையான மாவு, 2 கப் - பால் (500 மிலி), 1/4 கப் - வெள்ளை செடார் சீஸ் (விரும்பினால்), 1/4 டீஸ்பூன் - துளசி இலைகள், 1/4 டீஸ்பூன் - மிளகாய்த்தூள், உப்பு மற்றும் மிளகு.</t>
  </si>
  <si>
    <t>Bring water to a rolling boil and add required salt, then add pasta and cook until its soft and tender, I cooked for approximately 15 minutes, follow the instructions/time on the packet for best results. Once its done drain the water , coat with a tsp of oil to prevent drying and keep it aside.  Heat Butter and add finely chopped garlic, then add mushroom and saute until soft. Then add peas, corn, capsicum , little bit of salt and cook for 2 -3 minutes. Once the veggies are done transfer it to a plate and keep it aside.  Now in the same pan melt butter and add flour / maida. Cook on a low heat for a minute until the raw smell is gone. Then add milk and cook until the milk thickens slightly.   Once the milk is thickened add grated cheese (cheese is optional). Now add the saute'd veggies , pasta, basill, chili flakes and required salt. Mix it well and let it boil.  Finally grate some Parmesan cheese on the top before serving (optional).  That's it our delicious and easy creamy white sauce pasta recipe is ready to be enjoyed. Please do try this recipe at home and share it with your friends and family. Happy Cooking !!!!</t>
  </si>
  <si>
    <t>தண்ணீரை ஒரு கொதி நிலைக்கு கொண்டு வந்து தேவையான உப்பு சேர்த்து, பின்னர் பாஸ்தாவை சேர்த்து மென்மையாகவும் மென்மையாகவும் சமைக்கவும், நான் சுமார் 15 நிமிடங்கள் சமைத்தேன், சிறந்த முடிவுகளுக்கு பாக்கெட்டில் உள்ள வழிமுறைகளை/நேரத்தைப் பின்பற்றவும். அது முடிந்ததும், தண்ணீரை வடிகட்டவும், உலராமல் இருக்க ஒரு டீஸ்பூன் எண்ணெயை பூசி ஒதுக்கி வைக்கவும். வெண்ணெயை சூடாக்கி, இறுதியாக நறுக்கிய பூண்டைச் சேர்த்து, காளான் சேர்த்து மென்மையாகும் வரை வதக்கவும். பிறகு பட்டாணி, சோளம், கேப்சிகம், சிறிது உப்பு சேர்த்து 2 -3 நிமிடங்கள் சமைக்கவும். காய்கறிகள் வெந்தவுடன் அதை ஒரு தட்டில் மாற்றி ஒதுக்கி வைக்கவும். இப்போது அதே கடாயில் வெண்ணெய் உருக்கி மாவு / மைதா சேர்க்கவும். பச்சை வாசனை போகும் வரை ஒரு நிமிடம் குறைந்த வெப்பத்தில் சமைக்கவும். பின்னர் பால் சேர்த்து பால் சிறிது கெட்டியாகும் வரை சமைக்கவும். பால் கெட்டியானதும் துருவிய சீஸ் (சீஸ் விருப்பத்திற்குரியது) சேர்க்கவும். இப்போது வதக்கிய காய்கறிகள், பாஸ்தா, பாசில், மிளகாய் துண்டுகள் மற்றும் தேவையான உப்பு சேர்க்கவும். நன்றாக கலந்து கொதிக்க விடவும். இறுதியாக பரிமாறும் முன் மேலே சிறிது பர்மேசன் சீஸ் தட்டி (விரும்பினால்). அவ்வளவுதான் எங்கள் சுவையான மற்றும் எளிதான கிரீமி வெள்ளை சாஸ் பாஸ்தா செய்முறையை அனுபவிக்க தயாராக உள்ளது. தயவுசெய்து இந்த செய்முறையை வீட்டிலேயே முயற்சி செய்து உங்கள் நண்பர்கள் மற்றும் குடும்பத்தினருடன் பகிர்ந்து கொள்ளுங்கள். மகிழ்ச்சியான சமையல் !!!!</t>
  </si>
  <si>
    <t>https://blogger.googleusercontent.com/img/b/R29vZ2xl/AVvXsEjAXNQSkzaGxAAsEsvha9H39rr1iKcMZYEFNOPXZglWaXZkiuvaNfdEjkQAVdh-3vZkoVQlZv_GBieFJD2ECMhYi4wJ8tYYFw3jSb4kfbD1sNA1U39LFwJ1GXtGcUL1BofWvC6D0u6kUn4/s640/editted2.jpg</t>
  </si>
  <si>
    <t>Beetroot Halwa</t>
  </si>
  <si>
    <t>பீட்ரூட் ஹல்வா</t>
  </si>
  <si>
    <t>2 cup - Grated Beetroot (300 gram), 4 tbsp  - Ghee, 1/2 cup - Sugar (100 g) , 1.5 cup  - Milk (375 - 500 ml), 1 tbsp - Cashews, 1 tbsp - Raisins, 3  - Cardamom .</t>
  </si>
  <si>
    <t>2 கப் - துருவிய பீட்ரூட் (300 கிராம்), 4 டேபிள் ஸ்பூன் - நெய், 1/2 கப் - சர்க்கரை (100 கிராம்), 1.5 கப் - பால் (375 - 500 மிலி), 1 டேபிள் ஸ்பூன் - முந்திரி, 1 டேபிள் ஸ்பூன் - திராட்சை, 3 - ஏலக்காய்.</t>
  </si>
  <si>
    <t>Melt 4 tbsp of ghee in a pan and roast the cashews, once they turn golden add the raisins and saute it until the raisins are ballooned. Take it out of the pan and keep it aside.  Now in the same pan add the grated beetroot and saute it for 4 -5 minutes until the raw smell is gone.   Then add milk to get rich and creamy carrot halwa. We need to add more milk to get rid of the raw smell of the Beetroot. (anywhere from 1.5 cup to 2 cups of milk) ,Stir it in between to prevent from burning also scrape the edges to pull in any milk settlements. Cook on a medium heat. Once it thickens a bit add the sugar and mix well. the mixture loosens as soon as we add sugar. Keep it on a medium heat an cook until everything thickens.   Now add the roasted nuts, crushed cardamom or cardamom powder to get nice flavor, also add some ghee (1 tbsp) and mix well. Cook for few more minutes and turn off the heat.   That's is our Beetroot halwa is ready to be enjoyed. You can add some nuts on the top to make it attractive.Please do try the recipe and enjoy with your friends and family Spread the Joy of Cooking !!!</t>
  </si>
  <si>
    <t>ஒரு கடாயில் 4 டேபிள் ஸ்பூன் நெய்யை உருக்கி, முந்திரி பருப்பு பொன்னிறமாக மாறியதும், திராட்சை சேர்த்து, திராட்சை பலூன் ஆகும் வரை வதக்கவும். அதை வாணலியில் இருந்து எடுத்து தனியாக வைக்கவும். இப்போது அதே கடாயில் துருவிய பீட்ரூட்டைச் சேர்த்து, பச்சை வாசனை போகும் வரை 4 -5 நிமிடங்கள் வதக்கவும். பின்னர் பால் சேர்க்கவும், கிரீமி மற்றும் கிரீமி கேரட் ஹல்வா கிடைக்கும். பீட்ரூட்டின் பச்சை வாசனையைப் போக்க நாம் அதிக பால் சேர்க்க வேண்டும். (1.5 கப் முதல் 2 கப் பால் வரை) , எரியாமல் இருக்க இடையிடையே கிளறி, பால் ஏதேனும் உள்ளே இழுக்க விளிம்புகளை கீறி விடவும். மிதமான தீயில் சமைக்கவும். கொஞ்சம் கெட்டியானதும் சர்க்கரையைச் சேர்த்து நன்றாகக் கலக்கவும். சர்க்கரை சேர்த்தவுடன் கலவை தளர்ந்துவிடும். மிதமான தீயில் வைத்து எல்லாம் கெட்டியாகும் வரை சமைக்கவும். இப்போது வறுத்த கொட்டைகள், நொறுக்கப்பட்ட ஏலக்காய் அல்லது ஏலக்காய்த் தூள் சேர்த்து நல்ல சுவை கிடைக்கும், சிறிது நெய் (1 டீஸ்பூன்) சேர்த்து நன்கு கலக்கவும். இன்னும் சில நிமிடங்கள் சமைத்து அடுப்பை அணைக்கவும். அவ்வளவுதான் எங்கள் பீட்ரூட் ஹல்வா சுவைக்கத் தயாராக உள்ளது. அதை கவர்ச்சிகரமானதாக மாற்ற மேலே சில கொட்டைகளைச் சேர்க்கலாம். தயவுசெய்து செய்முறையை முயற்சி செய்து உங்கள் நண்பர்கள் மற்றும் குடும்பத்தினருடன் மகிழுங்கள் சமையல் மகிழ்ச்சியைப் பரப்புங்கள் !!!</t>
  </si>
  <si>
    <t>https://blogger.googleusercontent.com/img/b/R29vZ2xl/AVvXsEhifAJtwWqqnv45G9bFxIk9Uii2YJcrIXv0BV6wK95-1DuJQ4DQytuvKNTxiM0wR2TG1inNFRWC7F6XXMRNODZ0GYvzyE8hjPSEn8mZ-AxjCxvUhjgPSZBZOLTWiqbSbhrEzimakGUnxLk/s640/editted2.jpg</t>
  </si>
  <si>
    <t>Tomato Curry</t>
  </si>
  <si>
    <t>தக்காளி கறி</t>
  </si>
  <si>
    <t>2 tbsp - Oil, 1/8 tsp - Mustard seeds, 1/2 tsp - Urad dal, 1  - Cinnamon, 2  - Cloves, 1/2 tsp - Fennel seeds, 2  - dry red chilies, 1 - spring Curry leaves, 3 - cloves of Garlic, 15 - Shallots, 3 large - Tomatoes, 1/2 tsp - Turmeric powder, 1 tsp - Coriander powder, 1-2 tsp - Chili powder, 1/4 cup - Coconut, 1/2 tsp - Cumin seeds, 1/4 tsp - Fennel seeds, Coriander leaves for Garnishing.</t>
  </si>
  <si>
    <t>2 டீஸ்பூன் - எண்ணெய், 1/8 டீஸ்பூன் - கடுகு, 1/2 டீஸ்பூன் - உளுத்தம்பருப்பு, 1 - இலவங்கப்பட்டை, 2 - கிராம்பு, 1/2 டீஸ்பூன் - வெந்தயம், 2 - உலர்ந்த சிவப்பு மிளகாய், 1 - வசந்த கறிவேப்பிலை, 3 - பூண்டு பல், 15 - வெங்காயத்தாள், 3 பெரியது - தக்காளி, 1/2 டீஸ்பூன் - மஞ்சள் தூள், 1 டீஸ்பூன் - கொத்தமல்லி தூள், 1-2 டீஸ்பூன் - மிளகாய் தூள், 1/4 கப் - தேங்காய், 1/2 டீஸ்பூன் - சீரகம், 1/4 டீஸ்பூன் - வெந்தயம், அலங்கரிக்க கொத்தமல்லி இலைகள்.</t>
  </si>
  <si>
    <t>Heat oil and temper with mustard , urad dal, cinnamon, cloves, fennel, curry leaves and dry red chilies. Then add in garlic and shallots and saute it for a couple of minutes.  Now add in the tomatoes , required salt and cook until the tomatoes are nice and soft. Use fully ripe tomatoes , I have used 3 large tomatoes, if you are using small tomatoes use 4.   In the meanwhile make coconut paste using grated coconut, cumin, fennel and grind along with some water and keep it aside.   Once the tomatoes are soft add required water and let it boil for sometime. Finally add in the coconut paste and let it cook for 5 more minutes. Finally add coriander leaves for garnishing and turn off the heat.  Our Delicious Tomato Kulambu is ready to be enjoyed with Idli , dosa or rice . Do try this simple and thakkali kulambu and share your feedback. Happy Cooking!!!</t>
  </si>
  <si>
    <t>எண்ணெயை சூடாக்கி, கடுகு, உளுத்தம்பருப்பு, இலவங்கப்பட்டை, கிராம்பு, பெருஞ்சீரகம், கறிவேப்பிலை மற்றும் உலர்ந்த சிவப்பு மிளகாய் சேர்த்து வதக்கவும். பின்னர் பூண்டு மற்றும் வெங்காயத்தாள் சேர்த்து இரண்டு நிமிடங்கள் வதக்கவும். இப்போது தக்காளி, தேவையான அளவு உப்பு சேர்த்து தக்காளி நன்றாகவும் மென்மையாகவும் ஆகும் வரை சமைக்கவும். முழுமையாக பழுத்த தக்காளியைப் பயன்படுத்துங்கள், நான் 3 பெரிய தக்காளிகளைப் பயன்படுத்தினேன், நீங்கள் சிறிய தக்காளியைப் பயன்படுத்தினால் 4 பயன்படுத்தவும். இதற்கிடையில் தேங்காய் துருவல், சீரகம், பெருஞ்சீரகம் ஆகியவற்றைப் பயன்படுத்தி தேங்காய் விழுது செய்து, சிறிது தண்ணீர் சேர்த்து அரைத்து ஒதுக்கி வைக்கவும். தக்காளி மென்மையாக வதங்கியதும் தேவையான தண்ணீர் சேர்த்து சிறிது நேரம் கொதிக்க விடவும். இறுதியாக தேங்காய் விழுதைச் சேர்த்து மேலும் 5 நிமிடங்கள் சமைக்கவும். இறுதியாக அலங்கரிக்க கொத்தமல்லி இலைகளைச் சேர்த்து அடுப்பை அணைக்கவும். எங்கள் சுவையான தக்காளி குழம்பு இட்லி, தோசை அல்லது சாதத்துடன் சாப்பிட தயாராக உள்ளது. இந்த எளிய மற்றும் தக்கலி குழம்புவை முயற்சி செய்து உங்கள் கருத்துகளைப் பகிர்ந்து கொள்ளுங்கள். இனிய சமையல்!!!</t>
  </si>
  <si>
    <t>https://blogger.googleusercontent.com/img/b/R29vZ2xl/AVvXsEjVpXcH12hX_F_b7bkPZoGaj638FtjmRKkZ8-nLkOjWsKMU0Oz4td2FVMKdrbZ6HiuRiyRY_mRn8l0Pkc_r0xThQ5xQV9mghAdHCm8kCksE5bnjo2KNFcXiWpoZulP0iaJ7SUkbyX26Bd0/s640/DSC04118.JPG</t>
  </si>
  <si>
    <t>Bhel Puri</t>
  </si>
  <si>
    <t>பேல் பூரி</t>
  </si>
  <si>
    <t>1/2 cup - Mint leaves, 1/2 cup - Coriander leaves, 1 inch - Ginger , 2 - Green Chilies, 1/2 tsp - Lemon juice,  Salt to taste, 10-12  - strand Tamarind (1 cup), 5-6 - Dates, 1/4 cup - Jaggery, 1/2 tsp - Chili powder, 3 cup  - Pori /  puffed rice, 1/4 cup - Mixture, 1/4 cup - Sev / omapodi, 1/2 - Onion (finely chopped), 1/2  - Tomato (finely chopped), 1/2 cup - cooked Chickpea, 1  - boiled Potato, 1 - grated Carrot, 1/4 cup - fried Peanut, 4-5 - Pani puri (optional), 2 - Green chilies, 1/2 tsp - Chili powder, 1/2-1 tsp - Chat masala, 1 tbsp - Lemon juice, 2 tbsp - Coriander leaves, Salt to taste</t>
  </si>
  <si>
    <t>1/2 கப் - புதினா இலைகள், 1/2 கப் - கொத்தமல்லி இலைகள், 1 அங்குலம் - இஞ்சி, 2 - பச்சை மிளகாய், 1/2 தேக்கரண்டி - எலுமிச்சை சாறு, ருசிக்க உப்பு, 10-12 - புளி (1 கப்), 5-6 - பேரீச்சம்பழம், 1/4 கப் - வெல்லம், 1/2 தேக்கரண்டி - மிளகாய் தூள், 3 கப் - பொரி / ஊறிய அரிசி, 1/4 கப் - கலவை, 1/4 கப் - சேவல் / ஓமப்பொடி, 1/2 - வெங்காயம் (நன்றாக நறுக்கியது), 1/2 - தக்காளி (நன்றாக நறுக்கியது), 1/2 கப் - சமைத்த கொண்டைக்கடலை, 1 - வேகவைத்த உருளைக்கிழங்கு, 1 - துருவிய கேரட், 1/4 கப் - வறுத்த வேர்க்கடலை, 4-5 - பானி பூரி (விரும்பினால்), 2 - பச்சை மிளகாய், 1/2 தேக்கரண்டி - மிளகாய் தூள், 1/2-1 தேக்கரண்டி - சாட் மசாலா, 1 தேக்கரண்டி - எலுமிச்சை சாறு, 2 தேக்கரண்டி - கொத்தமல்லி இலைகள், ருசிக்கேற்ப உப்பு.</t>
  </si>
  <si>
    <t>Lets start with making green Chutney /  Pudina chutney. Into a blender add mint leaves, Coriander leaves, Green chilies, Ginger, salt and lemon juice. If required add a little bit of water and grind it to a smooth paste.   Soak the tamarind in water for 15 minutes and squeeze the pulp, add it to a pan and also add in dates, jaggery, chili powder and required salt. Let it boil for sometime. Once it thickens turn off the heat and let to cool. Grind it to a fine paste and keep it aside.   Into a large mixing bowl add pori, mixture, sev / omapodi, Onion, tomato, cooked chickpea / kondakadalai, potato, carrot, peanuts, pani puri(optional), green chilies, chili powder, chat masala, lemon juice, coriander leaves, salt, 2-3 tbsp green chutney for step 1 , 2-3 tbsp tamarind chutney from step 2 and mix well with a spoon. We can also add black channa, green mangoes, cooked green gram , sprouts etc..  That's it our delicious Bhel puri is ready to be served, Before serving garnish with sev and some coriander leaves on the top. Serve it immediately to maintain freshness and crispiness.</t>
  </si>
  <si>
    <t>பச்சை சட்னி / புதினா சட்னி செய்வதில் இருந்து ஆரம்பிக்கலாம். ஒரு பிளெண்டரில் புதினா இலைகள், கொத்தமல்லி இலைகள், பச்சை மிளகாய், இஞ்சி, உப்பு மற்றும் எலுமிச்சை சாறு சேர்க்கவும். தேவைப்பட்டால் சிறிது தண்ணீர் சேர்த்து மென்மையான பேஸ்ட் வரை அரைக்கவும். புளியை 15 நிமிடங்கள் தண்ணீரில் ஊறவைத்து, கூழ் பிழிந்து, ஒரு பாத்திரத்தில் சேர்த்து, பேரீச்சம்பழம், வெல்லம், மிளகாய் தூள் மற்றும் தேவையான உப்பு சேர்க்கவும். சிறிது நேரம் கொதிக்க விடவும். அது கெட்டியானதும், தீயை அணைத்து ஆற விடவும். நன்றாக பேஸ்ட் ஆக அரைத்து தனியாக வைக்கவும். ஒரு பெரிய கலவை கிண்ணத்தில் பொரி, கலவை, சேவ் / ஓமப்பொடி, வெங்காயம், தக்காளி, சமைத்த கொண்டைக்கடலை / கொண்டகடலை, உருளைக்கிழங்கு, கேரட், வேர்க்கடலை, பானி பூரி (விரும்பினால்), பச்சை மிளகாய், மிளகாய் தூள், சாட் மசாலா, எலுமிச்சை சாறு, கொத்தமல்லி இலைகள், உப்பு, படி 1 க்கு 2-3 தேக்கரண்டி பச்சை சட்னி, படி 2 இல் இருந்து 2-3 தேக்கரண்டி புளி சட்னி மற்றும் ஒரு கரண்டியால் நன்கு கலக்கவும். நாம் கருப்பு சன்னா, பச்சை மாம்பழம், சமைத்த பச்சை பயறு, முளைகள் போன்றவற்றையும் சேர்க்கலாம். அவ்வளவுதான் எங்கள் சுவையான பேல் பூரி பரிமாற தயாராக உள்ளது, பரிமாறும் முன் சேவ் மற்றும் மேலே சில கொத்தமல்லி இலைகளால் அலங்கரிக்கவும். புத்துணர்ச்சி மற்றும் மொறுமொறுப்பை பராமரிக்க உடனடியாக பரிமாறவும்.</t>
  </si>
  <si>
    <t>https://www.sugarsaltmagic.com/wp-content/uploads/2022/11/Creamy-Mushroom-Sauce-3FEAT-1000x1000.jpg</t>
  </si>
  <si>
    <t>Paneer Fried Rice</t>
  </si>
  <si>
    <t>1 Cup - Basmati Rice (soak for 20 minutes), 150g - Paneer, 1/4 tsp - Chili powder, 1/8 tsp -  pepper , 2+2 tbsp - Oil, 1 tbsp - Garlic, 1 tbsp - Ginger, 1/2 - Onion, 1 large - Carrot, 1/4 - Cabbage, 5-6 - Beans, 1 tsp - Chili Sauce, 1 tsp - Soy Sauce, 1/2 tsp - pepper powder, Handfull Spring Onions, Water , 1 tbsp - oil,  Salt to Taste.</t>
  </si>
  <si>
    <t>1 கப் - பாஸ்மதி அரிசி (20 நிமிடங்கள் ஊறவைக்கவும்), 150 கிராம் - பனீர், 1/4 தேக்கரண்டி - மிளகாய் தூள், 1/8 தேக்கரண்டி - மிளகு, 2+2 தேக்கரண்டி - எண்ணெய், 1 தேக்கரண்டி - பூண்டு, 1 தேக்கரண்டி - இஞ்சி, 1/2 - வெங்காயம், 1 பெரியது - கேரட், 1/4 - முட்டைக்கோஸ், 5-6 - பீன்ஸ், 1 தேக்கரண்டி - மிளகாய் சாஸ், 1 தேக்கரண்டி - சோயா சாஸ், 1/2 தேக்கரண்டி - மிளகு தூள், ஒரு கை நிறைய வெங்காயம், தண்ணீர், 1 தேக்கரண்டி - எண்ணெய், ருசிக்கேற்ப உப்பு.</t>
  </si>
  <si>
    <t>Soak the Basmati rice in water for 20 minutes and cook in water with some salt until the rice is 90% cooked..Do not over cook the rice..To get perfect strands add a tbsp of oil into the boiling water before adding the rice.This prevents the rice from sticking to one another.Once 90% cooked spread the rice on a paper towel to remove any moisture from the rice or keep under fan.This step is very important to get the best fried rice with single strands of rice.  Season the paneer with chili powder, Pepper , salt and fry it it oil until nice and golden on all the sides.   Heat oil in a pan and add finely chopped ginger, finely chopped garlic and saute it for few seconds. Then add in sliced onion and mix it. Now to this add cubed Carrot, Cabbage, Beans and cook until the veggies are 80 -90% cooked do not overcook the vegetables we still need to retain some texture of the veggies.   Then add the sauces - chili sauce, Soy sauce ,required salt and mix it again.You can also use capsicum if you like.Then add the cooked basmati rice and mix everything very gently and carefully, do not break the rice.   Finally add in the fried Paneer, freshly ground pepper, some salt and some spring onions for garnishing and mix well.  Our Delicious Veg Fried rice is ready to be served with any of your favorite side like Chicken Manchurian or veg Manchurian.</t>
  </si>
  <si>
    <t>பாஸ்மதி அரிசியை 20 நிமிடங்கள் தண்ணீரில் ஊறவைத்து, சிறிது உப்பு சேர்த்து தண்ணீரில் அரிசி 90% வேகும் வரை சமைக்கவும்.. அரிசியை அதிகமாக வேக வைக்க வேண்டாம்.. சரியான இழைகளைப் பெற, அரிசியைச் சேர்ப்பதற்கு முன் கொதிக்கும் நீரில் ஒரு தேக்கரண்டி எண்ணெயைச் சேர்க்கவும். இது அரிசி ஒன்றோடொன்று ஒட்டாமல் தடுக்கிறது. 90% சமைத்தவுடன் அரிசியை ஒரு காகிதத் துண்டில் பரப்பி, அரிசியிலிருந்து ஈரப்பதத்தை நீக்கவும் அல்லது விசிறியின் கீழ் வைக்கவும். ஒற்றை இழைகளுடன் சிறந்த வறுத்த அரிசியைப் பெற இந்த படி மிகவும் முக்கியமானது. பனீரை மிளகாய் தூள், மிளகு, உப்பு சேர்த்து, அனைத்து பக்கங்களிலும் நன்றாகவும் பொன்னிறமாகவும் வரும் வரை எண்ணெயில் வறுக்கவும். ஒரு கடாயில் எண்ணெயைச் சூடாக்கி, இறுதியாக நறுக்கிய இஞ்சி, இறுதியாக நறுக்கிய பூண்டு சேர்த்து சில நொடிகள் வதக்கவும். பின்னர் நறுக்கிய வெங்காயத்தைச் சேர்த்து கலக்கவும். இப்போது இதனுடன் க்யூப் செய்யப்பட்ட கேரட், முட்டைக்கோஸ், பீன்ஸ் சேர்த்து காய்கறிகள் 80 -90% வேகும் வரை சமைக்கவும். காய்கறிகளை அதிகமாக வேகவிடாதீர்கள், காய்கறிகளின் அமைப்பைத் தக்க வைத்துக் கொள்ள இன்னும் நமக்குத் தேவை. பின்னர் சாஸ்கள் - சில்லி சாஸ், சோயா சாஸ், தேவையான உப்பு சேர்த்து மீண்டும் கலக்கவும். நீங்கள் விரும்பினால் கேப்சிகத்தையும் பயன்படுத்தலாம். பின்னர் சமைத்த பாஸ்மதி அரிசியைச் சேர்த்து, எல்லாவற்றையும் மிக மெதுவாகவும் கவனமாகவும் கலக்கவும், அரிசியை உடைக்க வேண்டாம். இறுதியாக வறுத்த பனீர், புதிதாக அரைத்த மிளகு, சிறிது உப்பு மற்றும் அலங்கரிக்க சிறிது வெங்காயம் சேர்த்து நன்கு கலக்கவும். எங்கள் சுவையான வெஜ் ஃபிரைடு ரைஸ் உங்களுக்குப் பிடித்த சிக்கன் மஞ்சூரியன் அல்லது வெஜ் மஞ்சூரியன் போன்ற எந்த பக்க உணவுடனும் பரிமாற தயாராக உள்ளது.</t>
  </si>
  <si>
    <t>https://blogger.googleusercontent.com/img/b/R29vZ2xl/AVvXsEjU3miKMCuG8qdPI-0HX1tkkkwrDDP8kUwLDgg5MPd0pldL8Ofp3axvGNDW5nRTNjHlX1mdYWRSk64az9HTeimcgm6qLTHvr9tbS4RDQlsDpG_SvWbi5rFelE7_QmL0MxqG5ciJmVRKQEo/s640/editted2.jpg</t>
  </si>
  <si>
    <t>Semiya Kesari</t>
  </si>
  <si>
    <t>சேமியா கேசரி</t>
  </si>
  <si>
    <t>1 cup - Vermicelli, 3/4 cup - Sugar, 3-4 tbsp - Ghee, 15 - Cashew nuts, 2 tbsp - Raisins, pinch - Cardamom powder, pinch Salt, pinch - Orange food color (optional), 2 cups - Water .</t>
  </si>
  <si>
    <t>1 கப் - சேமியா, 3/4 கப் - சர்க்கரை, 3-4 டேபிள் ஸ்பூன் - நெய், 15 - முந்திரி பருப்புகள், 2 டேபிள் ஸ்பூன் - திராட்சை, சிட்டிகை - ஏலக்காய் தூள், சிட்டிகை உப்பு, சிட்டிகை - ஆரஞ்சு உணவு நிறம் (விரும்பினால்), 2 கப் - தண்ணீர்.</t>
  </si>
  <si>
    <t>Add some Ghee in a pan and roast cashews first,once it turn golden add the raisins and roast until they are ballooned, do not burn them (they will taste bitter if burnt). Now add semiya and roast it nicely until you get a nice aroma and golden color. It will take around 8-10 minutes.when it obtains golden color remove the pan from heat and immediately transfer it to a plate to prevent browning.   And again in the same pan add water. For this recipe I have taken two cups of water for 1 cup of semiya. Once the water comes to a boil  add the roasted semiya and and stir and cook until all the water is absorbed by the semiya.   Once all the water has been absorbed add Sugar and mix well (do not add sugar before the semiya is well cooked). The ratio of semiya  to sugar can be adjusted according to your sweet preference, A ratio of 1:1 ie 1 cup of sugar for 1 cup of semiya is preferred by most people. However if you prefer a moderate sweetness you can use ¾ cup of sugar per cup of semiya (I have used 3/4 cup).  Step 4) Add food color if you prefer , dissolve some color powder in water and then add to get even distribution. Next add the rest of the ghee, cardamom powder, roasted nuts and incorporate well, adding Ghee at the end of the recipe enhances the taste and the flavor.  Mix well and cook until dry, if you do not roast the semiya until golden brown then it might be sticky and will not have individual strands.  Our Delicious and Yummy Semiya kesari is ready to be served. As I mentioned earlier you can serve this dessert with any breakfast recipes.This is more tastier than regular kesari and taste much better.</t>
  </si>
  <si>
    <t>ஒரு கடாயில் சிறிது நெய் சேர்த்து முதலில் முந்திரி வறுக்கவும், அது பொன்னிறமாக மாறியதும் திராட்சையைச் சேர்த்து பலூன் ஆகும் வரை வறுக்கவும், அவற்றை எரிக்க வேண்டாம் (எரிந்தால் அவை கசப்பாக இருக்கும்). இப்போது சேமியாவைச் சேர்த்து, நல்ல மணம் மற்றும் தங்க நிறம் வரும் வரை நன்றாக வறுக்கவும். இது சுமார் 8-10 நிமிடங்கள் எடுக்கும். அது தங்க நிறம் வந்ததும், பேனை அடுப்பிலிருந்து அகற்றி, உடனடியாக ஒரு தட்டில் வைத்து பழுப்பு நிறமாக மாறாமல் இருக்க வேண்டும். மீண்டும் அதே பேனில் தண்ணீர் சேர்க்கவும். இந்த ரெசிபிக்கு 1 கப் சேமியாவுக்கு இரண்டு கப் தண்ணீர் எடுத்துக்கொண்டேன். தண்ணீர் கொதித்ததும் வறுத்த சேமியாவைச் சேர்த்து, சேமியா உறிஞ்சப்படும் வரை கிளறி சமைக்கவும். தண்ணீர் முழுவதும் உறிஞ்சப்பட்ட பிறகு சர்க்கரையைச் சேர்த்து நன்கு கலக்கவும் (சேமியா நன்றாக வேகும் வரை சர்க்கரையைச் சேர்க்க வேண்டாம்). சேமியாவிற்கும் சர்க்கரைக்கும் உள்ள விகிதத்தை உங்கள் இனிப்பு விருப்பத்திற்கு ஏற்ப சரிசெய்யலாம், 1:1 என்ற விகிதம் அதாவது 1 கப் சேமியாவிற்கு 1 கப் சர்க்கரை பெரும்பாலான மக்களால் விரும்பப்படுகிறது. இருப்பினும், நீங்கள் மிதமான இனிப்புகளை விரும்பினால், ஒரு கப் சேமியாவிற்கு ¾ கப் சர்க்கரையைப் பயன்படுத்தலாம் (நான் 3/4 கப் பயன்படுத்தியுள்ளேன்). நீங்கள் விரும்பினால் உணவு வண்ணத்தைச் சேர்க்கவும், தண்ணீரில் சிறிது வண்ணப் பொடியைக் கரைத்து, பின்னர் சமமாக விநியோகிக்கவும். அடுத்து மீதமுள்ள நெய், ஏலக்காய் தூள், வறுத்த கொட்டைகள் ஆகியவற்றைச் சேர்த்து நன்கு கலக்கவும், செய்முறையின் இறுதியில் நெய்யைச் சேர்க்கவும். நன்றாகக் கலந்து உலரும் வரை சமைக்கவும், நீங்கள் சேமியாவை பொன்னிறமாகும் வரை வறுக்கவில்லை என்றால், அது ஒட்டும் தன்மையுடனும், தனித்தனி இழைகள் இல்லாமலும் இருக்கலாம். எங்கள் சுவையான மற்றும் சுவையான சேமியா கேசரி பரிமாற தயாராக உள்ளது. நான் முன்பே குறிப்பிட்டது போல, இந்த இனிப்பை எந்த காலை உணவு ரெசிபியுடனும் பரிமாறலாம். இது வழக்கமான கேசரியை விட சுவையாகவும், மிகவும் சுவையாகவும் இருக்கும்.</t>
  </si>
  <si>
    <t>https://blogger.googleusercontent.com/img/b/R29vZ2xl/AVvXsEhMZMNdvDAfZ6oT2pVl1wxW0HHfeW7U7sKxdTf7Z-T6VgtyEVvBzwYgrqzMBtFsPPUbZhfQ3Z-N81uQOvuc3H__GRvXSqlOd2A3pt3ilAFua_S8iFJFpZ5MDlILPZUY5OBcLVSI1pLlUXU/s640/0.JPG</t>
  </si>
  <si>
    <t>Mushroom</t>
  </si>
  <si>
    <t>காளான்</t>
  </si>
  <si>
    <t>200g - Mushroom, 1 tbsp - Butter, 2 - cloves Garlic, 1/2 - Onion, 1/4 cup - Peas, 1 /4 cup - Corn Kernels, 1/2 tsp - Chili powder, 1/4 tsp  - Pepper Powder, required Salt, 2 tbsp - Butter, 2 tbsp - Maida / All purpose flour, 2 cup - Milk (500 ml), Salt and pepper.</t>
  </si>
  <si>
    <t>200 கிராம் - காளான், 1 டேபிள் ஸ்பூன் - வெண்ணெய், 2 - பல் பூண்டு, 1/2 - வெங்காயம், 1/4 கப் - பட்டாணி, 1/4 கப் - சோளக் கொட்டைகள், 1/2 டீஸ்பூன் - மிளகாய்த்தூள், 1/4 டீஸ்பூன் - மிளகுத்தூள், தேவையான உப்பு, 2 டீஸ்பூன் - வெண்ணெய், 2 டீஸ்பூன் - மைதா / அனைத்து உபயோக மாவு, 2 கப் - பால் (500 மிலி), உப்பு மற்றும் மிளகு.</t>
  </si>
  <si>
    <t>Wash the mushrooms well to get rid of any dirt/sand. Then pat it dry with a tissue or a cloth and slice them little thick.   In a pan melt butter and add minced garlic and saute it for few seconds. Then add onion and saute it for a minute.   Add the sliced Mushrooms and cook for few minutes.Once the mushrooms turns soft add in the peas (if you are using dry peas soak it for 8 hours ,cook and then add), also add in corn, chili powder, pepper and required salt. Let it cook for 4-5 minutes.  Once the veggies are well cooked transfer it to a plate and set it aside.   Now in the same pan melt butter and add flour / maida. Cook on a low heat for a minute until the raw smell is gone. Then add milk and cook until the milk thickens slightly.   Once the milk is thickened add the saute'd veggies and let it boil. Finally add required salt, pepper and mix well.  That's it our delicious creamy mushroom soup is ready to be served as an appetizer or as a main course for dinner. Please do try this Kaalan soup and enjoy with your friends and family. Happy Cooking!!!</t>
  </si>
  <si>
    <t>காளான்களை நன்கு கழுவி அழுக்கு/மணல் நீங்கும். பின்னர் ஒரு டிஷ்யூ அல்லது துணியால் உலர்த்தி சிறிது தடிமனாக நறுக்கவும். ஒரு பாத்திரத்தில் வெண்ணெயை உருக்கி, நறுக்கிய பூண்டைச் சேர்த்து சில நொடிகள் வதக்கவும். பின்னர் வெங்காயத்தைச் சேர்த்து ஒரு நிமிடம் வதக்கவும். நறுக்கிய காளான்களைச் சேர்த்து சில நிமிடங்கள் சமைக்கவும். காளான்கள் மென்மையாக மாறியதும் பட்டாணியைச் சேர்க்கவும் (நீங்கள் உலர்ந்த பட்டாணியைப் பயன்படுத்துகிறீர்கள் என்றால் 8 மணி நேரம் ஊறவைத்து, சமைத்து பின்னர் சேர்க்கவும்), சோளம், மிளகாய்த்தூள், மிளகு மற்றும் தேவையான உப்பு சேர்க்கவும். 4-5 நிமிடங்கள் வேக விடவும். காய்கறிகள் நன்கு வெந்தவுடன், அதை ஒரு தட்டில் மாற்றி ஒதுக்கி வைக்கவும். இப்போது அதே பாத்திரத்தில் வெண்ணெயை உருக்கி மாவு / மைதா சேர்க்கவும். பச்சை வாசனை போகும் வரை ஒரு நிமிடம் குறைந்த தீயில் சமைக்கவும். பின்னர் பால் சேர்த்து பால் சிறிது கெட்டியாகும் வரை சமைக்கவும். பால் கெட்டியானதும், வதக்கிய காய்கறிகளைச் சேர்த்து கொதிக்க விடவும். இறுதியாக தேவையான உப்பு, மிளகு சேர்த்து நன்கு கலக்கவும். அவ்வளவுதான், எங்கள் சுவையான க்ரீமி காளான் சூப் பசியைத் தூண்டும் மருந்தாகவோ அல்லது இரவு உணவிற்கு ஒரு முக்கிய உணவாகவோ பரிமாற தயாராக உள்ளது. தயவுசெய்து இந்த காலன் சூப்பை முயற்சி செய்து உங்கள் நண்பர்கள் மற்றும் குடும்பத்தினருடன் அனுபவிக்கவும். மகிழ்ச்சியான சமையல்!!!</t>
  </si>
  <si>
    <t>https://blogger.googleusercontent.com/img/b/R29vZ2xl/AVvXsEjpuWNvdr6cO-ZnnkawVbDT3G7VJrZh1u-DhzZXG3ROrG1syvoBwW0EMgTKomFbSq6LZG3O1YWV7f9QoPEO4sV9rByKCkAQvQNkwNTn3_4od8Gn1xiP1XB-1feXcO27eB7ZjQSC6NDMFfw/s640/0.JPG</t>
  </si>
  <si>
    <t>Wheat Halwa</t>
  </si>
  <si>
    <t>கோதுமை ஹல்வா</t>
  </si>
  <si>
    <t>1 cup - Wheat flour , 2 cup - Sugar  , 3/4 cup - Ghee, 5 cup(1.25L)  - Water , 1/4 cup - Cashew nuts , 1/2 tsp - Cardamom powder.</t>
  </si>
  <si>
    <t>1 கப் - கோதுமை மாவு, 2 கப் - சர்க்கரை, 3/4 கப் - நெய், 5 கப் (1.25லி) - தண்ணீர், 1/4 கப் - முந்திரி பருப்பு, 1/2 தேக்கரண்டி - ஏலக்காய் தூள்.</t>
  </si>
  <si>
    <t>Into a mixing bowl add wheat flour, gradually add water and knead it into a chapathi dough. Add water (4 cups) and let it rest for 3 -4 hours.   After 4 hours extract the milk with your hands and pass it through a fine mesh and collect the milk. Again add 1 cup of water to the rest of the dough and extract the milk, pass it through a fine mesh and collect the milk.   Transfer the wheat milk to a wide pan and cook on medium heat. 15 minutes later it looks like this (pic 2).  Now after 30 minutes it will start to thicken, at this stage in a separate pan dissolve 1/2 cup of sugar in 1/4 cup of water and caramelize the sugar to get that nice amber color.  Once it reaches paste like consistency (after 45 minutes) add sugar and once the sugar dissolves add the caramelized sugar and mix well until everything turns watery.  Once it starts to thicken (in my case after 1.30 hours) start adding the ghee 1 tbsp at a time and keep on stirring.  Once it start to thicken and ghee starts to ooze out add some roasted nuts and cardamom powder and turn of the heat.  Our delicious tirunelvi gothumai halwa is ready to be served. Happy Cooking!!!</t>
  </si>
  <si>
    <t>ஒரு கலவை பாத்திரத்தில் கோதுமை மாவைச் சேர்த்து, படிப்படியாக தண்ணீர் சேர்த்து சப்பாத்தி மாவாகப் பிசையவும். (4 கப்) தண்ணீர் சேர்த்து 3 -4 மணி நேரம் அப்படியே வைக்கவும். 4 மணி நேரத்திற்குப் பிறகு, உங்கள் கைகளால் பாலை பிரித்தெடுத்து, ஒரு மெல்லிய வலை வழியாகக் கடந்து, பாலை சேகரிக்கவும். மீண்டும் 1 கப் தண்ணீரை மீதமுள்ள மாவில் சேர்த்து, பாலை பிரித்தெடுத்து, ஒரு மெல்லிய வலை வழியாகக் கடந்து, பாலை சேகரிக்கவும். கோதுமை பாலை ஒரு அகலமான பாத்திரத்தில் மாற்றி, மிதமான தீயில் சமைக்கவும். 15 நிமிடங்களுக்குப் பிறகு இது போல் தெரிகிறது (படம் 2). இப்போது 30 நிமிடங்களுக்குப் பிறகு அது கெட்டியாகத் தொடங்கும், இந்த கட்டத்தில் ஒரு தனி பாத்திரத்தில் 1/4 கப் தண்ணீரில் 1/2 கப் சர்க்கரையைக் கரைத்து, சர்க்கரையை கேரமல் செய்யவும், இதனால் அது ஒரு நல்ல அம்பர் நிறத்தைப் பெறும். அது பேஸ்ட் போன்ற நிலைத்தன்மையை அடைந்ததும் (45 நிமிடங்களுக்குப் பிறகு) சர்க்கரையைச் சேர்க்கவும், சர்க்கரை கரைந்ததும் கேரமல் செய்யப்பட்ட சர்க்கரையைச் சேர்த்து எல்லாம் தண்ணீராக மாறும் வரை நன்கு கலக்கவும். அது கெட்டியாகத் தொடங்கியதும் (என் விஷயத்தில் 1.30 மணி நேரத்திற்குப் பிறகு) நெய்யை ஒவ்வொன்றாக 1 தேக்கரண்டி சேர்த்து தொடர்ந்து கிளறவும். அது கெட்டியாகத் தொடங்கியதும், நெய் வெளியேறத் தொடங்கியதும், சிறிது வறுத்த கொட்டைகள் மற்றும் ஏலக்காய்த் தூள் சேர்த்து, அடுப்பை அணைக்கவும். எங்கள் சுவையான திருநெல்வி கோதுமை ஹல்வா பரிமாற தயாராக உள்ளது. மகிழ்ச்சியான சமையல்!!!</t>
  </si>
  <si>
    <t>https://blogger.googleusercontent.com/img/b/R29vZ2xl/AVvXsEitcHLh72CdaacsxgkgJRhryDoOFy19F75JSa8W2_H9tLfy9fnaKAibZXkD3Ku57gdIsjHpUkIqXswTYa_CMyDs7QsIfpU6wKPWOhK_F2-mAalyrE5F7l2p6ZfeSXWU1odVuKcdOwgFCSQ/s640/o.JPG</t>
  </si>
  <si>
    <t>Chicken Bread Roll</t>
  </si>
  <si>
    <t>சிக்கன் பிரட் ரோல்</t>
  </si>
  <si>
    <t>2 Tbsp - Oil, 1/2 tsp - Cumin seeds, 1 - Onion, 1 tsp - Ginger Garlic Paste, 1 - Green Chilli, 1/4 tsp - Turmeric Powder, 1/2 tsp - Garam Masala powder, 2 tsp - Chilli powder, 250g - boneless Chicken, Salt to taste, Coriander leaves, 10-12 - Bread slices, Water for sealing, Oil for frying.</t>
  </si>
  <si>
    <t>2 டேபிள்ஸ்பூன் - எண்ணெய், 1/2 டேபிள்ஸ்பூன் - சீரகம், 1 - வெங்காயம், 1 டேபிள்ஸ்பூன் - இஞ்சி பூண்டு விழுது, 1 - பச்சை மிளகாய், 1/4 டேபிள்ஸ்பூன் - மஞ்சள் தூள், 1/2 டேபிள்ஸ்பூன் - கரம் மசாலா தூள், 2 டேபிள்ஸ்பூன் - மிளகாய் தூள், 2 டேபிள்ஸ்பூன் - மிளகாய் தூள், 250 கிராம் - எலும்பு இல்லாத சிக்கன், சுவைக்கு உப்பு, கொத்தமல்லி இலைகள், 10-12 - ரொட்டி துண்டுகள், சீல் செய்வதற்கு தண்ணீர், பொரிப்பதற்கு எண்ணெய்.</t>
  </si>
  <si>
    <t>In a pan heat oil, once the oil is hot add cumin seeds then add one chopped onion ,some salt and saute it for a few seconds.Then add the masalas ginger garlic paste, green chillies, Turmeric powder, Garam Masala, chilli powder and give it a quick stir.    Take boneless chicken pieces and chop them finely or we can also mince the chicken in a blender. Add it to the onion masala mixture and cook for 5- 7 minutes or until the chicken is cooked . Finally add some chopped coriander leaves and turn off the heat. Chicken should be dry without any moisture .  Take a slice of bread and trim the edges, roll it flat with a rolling pin. Now take some chicken stuffing and roll it . Apply some water around the edges and press it firmly to form a tight seal. Make sure there are no openings.   Heat oil in a pan and drop the bread rolls. Oil should be on medium-high. Once all the sides are golden and crispy take it off from the heat and is ready to be served.  That's is our delicious Chicken Keema Bread roll is ready to be served with some coriander chutney or with tomato Ketchup.Please do try this recipe and share your feedback with us. Spread the Joy of Cooking.</t>
  </si>
  <si>
    <t>ஒரு கடாயில் எண்ணெயை சூடாக்கி, எண்ணெய் சூடானதும், சீரகம் சேர்த்து, நறுக்கிய வெங்காயம், சிறிது உப்பு சேர்த்து சில நொடிகள் வதக்கவும். பின்னர் மசாலாக்கள் இஞ்சி பூண்டு விழுது, பச்சை மிளகாய், மஞ்சள் தூள், கரம் மசாலா, மிளகாய் தூள் சேர்த்து விரைவாக கிளறவும். எலும்பில்லாத சிக்கன் துண்டுகளை எடுத்து நன்றாக நறுக்கவும் அல்லது சிக்கனை ஒரு பிளெண்டரில் நறுக்கவும். வெங்காய மசாலா கலவையில் சேர்த்து 5-7 நிமிடங்கள் அல்லது சிக்கன் வேகும் வரை சமைக்கவும். கடைசியாக நறுக்கிய கொத்தமல்லி இலைகளைச் சேர்த்து அடுப்பை அணைக்கவும். கோழி ஈரப்பதம் இல்லாமல் உலர்ந்திருக்க வேண்டும். ஒரு துண்டு ரொட்டியை எடுத்து விளிம்புகளை வெட்டி, ஒரு ரோலிங் பின் மூலம் தட்டையாக உருட்டவும். இப்போது சிறிது சிக்கன் ஸ்டஃபிங்கை எடுத்து உருட்டவும். விளிம்புகளைச் சுற்றி சிறிது தண்ணீர் தடவி இறுக்கமாக அழுத்தவும். எந்த திறப்புகளும் இல்லாமல் பார்த்துக் கொள்ளுங்கள். ஒரு பாத்திரத்தில் எண்ணெயை சூடாக்கி, ரொட்டி ரோல்களை விடுங்கள். எண்ணெய் நடுத்தர உயரத்தில் இருக்க வேண்டும். அனைத்து பக்கங்களும் பொன்னிறமாகவும் மொறுமொறுப்பாகவும் மாறியதும், அதை அடுப்பிலிருந்து எடுத்து பரிமாற தயாராக இருக்கும். அவ்வளவுதான் எங்கள் சுவையான சிக்கன் கீமா ரொட்டி ரோல், கொத்தமல்லி சட்னி அல்லது தக்காளி கெட்ச்அப்புடன் பரிமாற தயாராக உள்ளது. தயவுசெய்து இந்த செய்முறையை முயற்சி செய்து உங்கள் கருத்தை எங்களுடன் பகிர்ந்து கொள்ளுங்கள். சமையலின் மகிழ்ச்சியைப் பரப்புங்கள்.</t>
  </si>
  <si>
    <t>https://blogger.googleusercontent.com/img/b/R29vZ2xl/AVvXsEhXVpwn3svuoKhV2vse8My07uEUoT6VUSF0B9eC-4fx2yT79T7nHVuHE3Up-GVqObAlqaoeDjRkdP-gE3HejsGVGH7nZMM-7zw5_ClDq1BXONiwu_EZivSRvYz96Q7JR79g0WWw9yJ5_N8/s640/editted2.jpg</t>
  </si>
  <si>
    <t>Cold Coffee</t>
  </si>
  <si>
    <t>குளிர் காபி</t>
  </si>
  <si>
    <t>1 cup - Milk (cold) , 1 tbsp  - Instant coffee powder, 2 tbsp - Water, 2 tbsp - Chocolate syrup, 2 tbsp - Sugar.</t>
  </si>
  <si>
    <t>1 கப் - பால் (குளிர்) , 1 டீஸ்பூன் - உடனடி காபி தூள், 2 டீஸ்பூன் - தண்ணீர், 2 டீஸ்பூன் - சாக்லேட் சிரப், 2 டீஸ்பூன் - சர்க்கரை.</t>
  </si>
  <si>
    <t>Mix coffee powder in some water. Into a blender add Cold milk, coffee mixture, chocolate syrup, Sugar and beat until smooth. We can also add ice cubes to make it extra cold, Since the milk is nice and cold I have skipped Ice cubes. Before transferring into a tumbler decorate the sides with some chocolate syrup and then pour the milkshake into the tumbler.  That's it our delicious cold coffee is ready in no time, Lets enjoy !!!</t>
  </si>
  <si>
    <t>காபி தூளை சிறிது தண்ணீரில் கலக்கவும். ஒரு பிளெண்டரில் குளிர்ந்த பால், காபி கலவை, சாக்லேட் சிரப், சர்க்கரை சேர்த்து மென்மையான வரை அடிக்கவும். ஐஸ் கட்டிகளையும் சேர்த்து குளிர்ச்சியாக மாற்றலாம், பால் நன்றாகவும் குளிராகவும் இருப்பதால் நான் ஐஸ் கட்டிகளைத் தவிர்த்துவிட்டேன். ஒரு டம்ளரில் மாற்றுவதற்கு முன் பக்கவாட்டில் சிறிது சாக்லேட் சிரப்பால் அலங்கரித்து, பின்னர் மில்க் ஷேக்கை டம்ளரில் ஊற்றவும். அவ்வளவுதான், எங்கள் சுவையான குளிர் காபி சிறிது நேரத்தில் தயாராக உள்ளது, மகிழலாம் !!!</t>
  </si>
  <si>
    <t>https://jalojog.com/wp-content/uploads/2024/04/Cold_Coffee.jpg</t>
  </si>
  <si>
    <t>Coffee Milkshake</t>
  </si>
  <si>
    <t>காபி மில்க் ஷேக்</t>
  </si>
  <si>
    <t>1 cup - Milk (cold), 2 tbsp  - Instant coffee powder, 2 tbsp - Water, 2 tbsp - Chocolate syrup, 2 tbsp - Sugar, 1 - scoop Ice cream .</t>
  </si>
  <si>
    <t>1 கப் - பால் (குளிர்), 2 டேபிள் ஸ்பூன் - உடனடி காபி பவுடர், 2 டேபிள் ஸ்பூன் - தண்ணீர், 2 டேபிள் ஸ்பூன் - சாக்லேட் சிரப், 2 டேபிள் ஸ்பூன் - சர்க்கரை, 1 - ஸ்கூப் ஐஸ்கிரீம்.</t>
  </si>
  <si>
    <t>Mix coffee powder in some water and set it aside.  Into a blender add Cold milk, coffee mixture, chocolate syrup, Sugar , Ice cream and beat until smooth. We can also add ice cubes to make it extra cold, Since the milk is nice and cold I have skipped Ice cubes.  Before transferring into a tumbler decorate the sides with some chocolate syrup and then pour the milkshake into the tumbler. Finally add some whipped cream on top and also add some chocolate syrup on top for garnishing.  That's it our delicious coffee milkshake is ready in no time, Lets enjoy !!!</t>
  </si>
  <si>
    <t>காபி பவுடரை சிறிது தண்ணீரில் கலந்து ஒதுக்கி வைக்கவும். ஒரு பிளெண்டரில் குளிர்ந்த பால், காபி கலவை, சாக்லேட் சிரப், சர்க்கரை, ஐஸ்கிரீம் ஆகியவற்றைச் சேர்த்து மென்மையான வரை அடிக்கவும். ஐஸ் கட்டிகளையும் சேர்த்து குளிர்ச்சியாக மாற்றலாம், பால் நன்றாகவும் குளிராகவும் இருப்பதால் நான் ஐஸ் கட்டிகளைத் தவிர்த்துவிட்டேன். ஒரு டம்ளரில் மாற்றுவதற்கு முன் பக்கவாட்டில் சிறிது சாக்லேட் சிரப் கொண்டு அலங்கரித்து, பின்னர் மில்க் ஷேக்கை டம்ளரில் ஊற்றவும். இறுதியாக மேலே சிறிது விப் க்ரீமைச் சேர்த்து, அலங்காரத்திற்காக மேலே சிறிது சாக்லேட் சிரப்பையும் சேர்க்கவும். அவ்வளவுதான், எங்கள் சுவையான காபி மில்க் ஷேக் சிறிது நேரத்தில் தயாராக உள்ளது, அனுபவிப்போம் !!!</t>
  </si>
  <si>
    <t>https://blogger.googleusercontent.com/img/b/R29vZ2xl/AVvXsEh5DWdPeX5fE-vEZM3IAt7cDo6DqGzTIZRKgl_ztDhTtWMa6Jd0Rulxr4TEyaq7o-08ZCUrZwaBQat_C8lZ-m7w6CpHGo4aOzkhXFJlxpHEQZToaciihAuHUiMbHPvFOzmQ7ZoD7QHFWH4/s640/editted1.jpg</t>
  </si>
  <si>
    <t>Milk Powder Burfi</t>
  </si>
  <si>
    <t>பால் பவுடர் பர்ஃபி</t>
  </si>
  <si>
    <t>2 cup - Milk powder (250 gram), 1 cup - Powdered Sugar (150 gram), 1/2 cup - Milk (120 ml), 1/2 cup - Ghee (120 ml), 1/4 tsp - Cardamom powder, chopped nuts and saffron for garnishing.</t>
  </si>
  <si>
    <t>2 கப் - பால் பவுடர் (250 கிராம்), 1 கப் - தூள் சர்க்கரை (150 கிராம்), 1/2 கப் - பால் (120 மிலி), 1/2 கப் - நெய் (120 மிலி), 1/4 டீஸ்பூன் - ஏலக்காய் பொடி, நறுக்கிய கொட்டைகள் மற்றும் குங்குமப்பூவை அலங்கரிக்கவும்.</t>
  </si>
  <si>
    <t>In a heavy bottomed pan melt ghee and add milk and stir well. Now add in the milk powder and mix well without any lumps.  Once well mixed add powdered sugar and mix well. Sugar melts and releases moisture, soon it will start to thicken.  Continue to cook until the mixture thickens, it takes approximately 15 minutes.Now add in Cardamom powder and mix well.   From start to finish keep the flame on sim (medium-low to prevent burning). Once it start leaving the pan without sticking then we know it is at right consistency. Now to check the consistency take a small portion of the mixture and place it on a plate and roll it, it should not stick to your hands. If we cook for a long time then it might turn hard.  Transfer it to a greased plate and add some chopped nuts and saffron for garnishing and press it gently on the top , let it cool completely. Now after 3 hours cut it into desired shapes and that's it our delicious milk Burfi using milk powder / milk sweet is ready to be enjoyed.  That's it our delicious milk powder Burfi / milk sweet is ready to be enjoyed with friends and family. Its definitely worth a try. Spread the Joy of Cooking !!!</t>
  </si>
  <si>
    <t>அடி கனமான பாத்திரத்தில் நெய்யை உருக்கி பால் சேர்த்து நன்கு கிளறவும். இப்போது பால் பவுடரைச் சேர்த்து கட்டிகள் இல்லாமல் நன்கு கலக்கவும். நன்கு கலந்த பிறகு தூள் சர்க்கரையைச் சேர்த்து நன்கு கலக்கவும். சர்க்கரை உருகி ஈரப்பதத்தை வெளியிடுகிறது, விரைவில் அது கெட்டியாகத் தொடங்கும். கலவை கெட்டியாகும் வரை தொடர்ந்து சமைக்கவும், இது சுமார் 15 நிமிடங்கள் ஆகும். இப்போது ஏலக்காய் பொடியைச் சேர்த்து நன்கு கலக்கவும். தொடக்கத்திலிருந்து இறுதி வரை சுடரை சிம்மில் வைக்கவும் (எரிவதைத் தடுக்க நடுத்தர-குறைந்த). அது ஒட்டாமல் பாத்திரத்தை விட்டு வெளியேறத் தொடங்கியதும், அது சரியான நிலைத்தன்மையில் இருப்பதை நாம் அறிவோம். இப்போது கலவையின் ஒரு சிறிய பகுதியை எடுத்து ஒரு தட்டில் வைத்து உருட்டவும், அது உங்கள் கைகளில் ஒட்டக்கூடாது. நாம் நீண்ட நேரம் சமைத்தால் அது கெட்டியாகிவிடும். நெய் தடவிய தட்டில் அதை வைத்து, சிறிது நறுக்கிய கொட்டைகள் மற்றும் குங்குமப்பூவை அழகுபடுத்தி, மேலே மெதுவாக அழுத்தி, முழுமையாக ஆற விடவும். இப்போது 3 மணி நேரத்திற்குப் பிறகு அதை விரும்பிய வடிவங்களில் வெட்டுங்கள், அவ்வளவுதான் எங்கள் சுவையான பால் பர்ஃபி பால் பவுடர் / பால் இனிப்புடன் சுவைக்க தயாராக உள்ளது. அவ்வளவுதான் எங்கள் சுவையான பால் பவுடர் பர்ஃபி / பால் இனிப்பு நண்பர்கள் மற்றும் குடும்பத்தினருடன் சுவைக்க தயாராக உள்ளது. இது நிச்சயமாக முயற்சிக்கத் தகுந்தது. சமையலின் மகிழ்ச்சியைப் பரப்புங்கள் !!!</t>
  </si>
  <si>
    <t>https://blogger.googleusercontent.com/img/b/R29vZ2xl/AVvXsEhwDV4UIqbFctVtkHpl3UDe8jyf3HcHRbOk1dpOYFZ2OTpgcdIQH9OtuPzK5mPC9mBBxlF7VTKtJswpBgRjzmtfRbTXPzqjJqku1IJObDUKHD7N_ag8IVBzH3EWGVL_K5TYf0PyWXxShkQ/s640/DSC02864.JPG</t>
  </si>
  <si>
    <t>Homemade Milk Bun</t>
  </si>
  <si>
    <t>வீட்டில் தயாரிக்கப்பட்ட பால் பன்</t>
  </si>
  <si>
    <t>1 tsp - Yeast (3 gram), 1/2 cup - warm Milk (120ml), 1 tsp - Sugar(4 gram), 2 cup  - Maida / All purpose flour (250 gram), 2-3 tbsp - Sugar, 1/4 tsp - Salt, 3 tbsp - Butter  (45 gram), 1 - Egg.</t>
  </si>
  <si>
    <t>1 தேக்கரண்டி - ஈஸ்ட் (3 கிராம்), 1/2 கப் - சூடான பால் (120 மிலி), 1 தேக்கரண்டி - சர்க்கரை (4 கிராம்), 2 கப் - மைதா / அனைத்து வகையான மாவு (250 கிராம்), 2-3 தேக்கரண்டி - சர்க்கரை, 1/4 தேக்கரண்டி - உப்பு, 3 தேக்கரண்டி - வெண்ணெய் (45 கிராம்), 1 - முட்டை.</t>
  </si>
  <si>
    <t>Activating yeast is a very important step in making bread. Add Sugar to luke warm milk (105 F - 110 F), (42 - 43 C ) then add yeast to it and mix it well and let it sit for 5 - 10 minutes. Once the yeast is activated lets prepare the dough.  In a mixing bowl combine Maida, salt , butter (softened at room temperature) , yeast milk mixture, and Egg. Mix well to form a soft and a sticky dough. This dough will be very sticky compared to other dough preparation. If you are vegetarian the use 1 tbsp butter and 2 - 3 tbsp of milk instead of 1 egg.  Once well mixed transfer the dough to work surface and knead for minimum 10 - 12 minutes. Stretch the dough and knead well with 2 hands.  Once after kneading transfer the dough to a greased bowl , also apply few drops of oil on the top to prevent drying. Keep it undisturbed for 1.30 to 2 hours or until the dough doubles in size. Now after 1.30 hours (in my case 1.30 hours ) transfer the dough to work area and divide it into 9 equal portions. Spread the ball into sheet and roll it to form a smooth ball.   Keep in in a greased bread pan and cover it . Again proof for another 30 minutes or until it doubles in size.  Now preheat the oven to 350 F / 175 C and bake it for 20 -25 minutes or until the outer layer become dark (golden brown) .It took exactly 22 minutes for me. Once baked apply some melted butter on top and let it cool for sometime before taking it out of the pan.  Preheat the cooker with a layer of salt and a wire stand to elevate the pan from touching to the salt for 15 heat on medium heat . Place the pan and immediately close the lid and bake for 18 -22 minutes on medium heat.  It took exactly 20 minutes for me. Once baked apply some melted butter on top and let it cool for sometime before taking it out of the pan.  That's it our delicious homemade milk buns are ready to be enjoyed. Please do try this recipe at home and share it with your friends and family members. Spread the Joy of Cooking !!!</t>
  </si>
  <si>
    <t>ரொட்டி தயாரிப்பதில் ஈஸ்டை செயல்படுத்துவது மிக முக்கியமான படியாகும். வெதுவெதுப்பான பாலில் (105 F - 110 F), (42 - 43 C) சர்க்கரையைச் சேர்த்து, பின்னர் அதில் ஈஸ்டை சேர்த்து நன்கு கலந்து 5 - 10 நிமிடங்கள் அப்படியே வைக்கவும். ஈஸ்ட் செயல்படுத்தப்பட்டதும், மாவை தயார் செய்யலாம். ஒரு கலவை கிண்ணத்தில் மைதா, உப்பு, வெண்ணெய் (அறை வெப்பநிலையில் மென்மையாக்கப்பட்டது), ஈஸ்ட் பால் கலவை மற்றும் முட்டை ஆகியவற்றை இணைக்கவும். மென்மையான மற்றும் ஒட்டும் மாவை உருவாக்க நன்கு கலக்கவும். இந்த மாவை மற்ற மாவு தயாரிப்புகளுடன் ஒப்பிடும்போது மிகவும் ஒட்டும் தன்மையுடையதாக இருக்கும். நீங்கள் சைவ உணவு உண்பவராக இருந்தால், 1 முட்டைக்குப் பதிலாக 1 டேபிள் ஸ்பூன் வெண்ணெய் மற்றும் 2 - 3 டேபிள் ஸ்பூன் பால் பயன்படுத்தவும். நன்றாக கலந்த பிறகு, மாவை வேலை செய்யும் இடத்திற்கு மாற்றி, குறைந்தபட்சம் 10 - 12 நிமிடங்கள் பிசையவும். மாவை நீட்டி, 2 கைகளால் நன்றாக பிசையவும். பிசைந்த பிறகு, மாவை ஒரு எண்ணெய் தடவிய கிண்ணத்திற்கு மாற்றவும், அதன் மேல் சில துளிகள் எண்ணெயைத் தடவவும், உலராமல் இருக்கவும். 1.30 முதல் 2 மணி நேரம் அல்லது மாவின் அளவு இரட்டிப்பாகும் வரை அதை அசைக்காமல் வைத்திருங்கள். இப்போது 1.30 மணி நேரத்திற்குப் பிறகு (எனது விஷயத்தில் 1.30 மணி நேரம்) மாவை வேலை செய்யும் பகுதிக்கு மாற்றி 9 சம பாகங்களாகப் பிரிக்கவும். பந்தை ஒரு தாளில் பரப்பி, மென்மையான பந்தை உருவாக்க அதை உருட்டவும். நெசவு செய்யப்பட்ட ரொட்டி பாத்திரத்தில் வைத்து மூடி வைக்கவும். மீண்டும் 30 நிமிடங்கள் அல்லது அளவு இரட்டிப்பாகும் வரை பாதுகாக்கவும். இப்போது அடுப்பை 350 F / 175 C க்கு முன்கூட்டியே சூடாக்கி, 20 -25 நிமிடங்கள் அல்லது வெளிப்புற அடுக்கு கருமையாக (தங்க பழுப்பு) மாறும் வரை சுடவும். இது எனக்கு சரியாக 22 நிமிடங்கள் ஆனது. சுட்ட பிறகு சிறிது உருகிய வெண்ணெயை மேலே தடவி சிறிது நேரம் ஆற விடவும், பின்னர் அதை வாணலியில் இருந்து எடுக்கவும். குக்கரை உப்பு மற்றும் கம்பி ஸ்டாண்டால் ஒரு அடுக்குடன் சூடாக்கி, வாணலியை உப்புடன் தொடுவதைத் தவிர்த்து நடுத்தர வெப்பத்தில் 15 வெப்பத்திற்கு உயர்த்தவும். வாணலியை வைத்து உடனடியாக மூடியை மூடி, 18 -22 நிமிடங்கள் நடுத்தர வெப்பத்தில் சுடவும். இது எனக்கு சரியாக 20 நிமிடங்கள் ஆனது. சுட்ட பிறகு சிறிது உருகிய வெண்ணெயை மேலே தடவி சிறிது நேரம் ஆற விடவும், பின்னர் வாணலியில் இருந்து எடுக்கவும். அவ்வளவுதான் எங்கள் சுவையான வீட்டில் தயாரிக்கப்பட்ட பால் பன்கள் சுவைக்கத் தயாராக உள்ளன. தயவுசெய்து இந்த செய்முறையை வீட்டிலேயே முயற்சி செய்து உங்கள் நண்பர்கள் மற்றும் குடும்ப உறுப்பினர்களுடன் பகிர்ந்து கொள்ளுங்கள். சமையலின் மகிழ்ச்சியைப் பரப்புங்கள் !!!</t>
  </si>
  <si>
    <t>https://blogger.googleusercontent.com/img/b/R29vZ2xl/AVvXsEhqV5iijjcQoJQ-YSgWp-t3yLtXB_aH8Landxv5Le2dKhNtT3CD4C8Uf8WgzQ7rPYiatRUvhdb9Gz1m-MNsw9Jd6BI7C5SW0F9-GSFDFWk0M6FOiIvJOxYnys5Z-j4mG4g0NjZPUi0hqFU/s640/selected.JPG</t>
  </si>
  <si>
    <t>Rava Vada</t>
  </si>
  <si>
    <t>ரவா வடை</t>
  </si>
  <si>
    <t>1 cup - Rava , 1/2 tsp - Cumin seeds, 10-15 - Pepper corns, 1 inch - Ginger, 2 - Green Chilies, 2 tbsp - Coriander leaves, few Curry leaves, 1/4 tsp - Asafoetida powder , 1/4 tsp - Baking Soda, 1/2 - Onion (finely chopped), 1/2 cup - Curd , Salt to taste, Oil for frying.</t>
  </si>
  <si>
    <t>1 கப் - ரவா , 1/2 தேக்கரண்டி - சீரகம் , 10-15 - மிளகு சோளம் , 1 அங்குலம் - இஞ்சி , 2 - பச்சை மிளகாய் , 2 தேக்கரண்டி - கொத்தமல்லி இலைகள் , சில கறிவேப்பிலை , 1/4 தேக்கரண்டி - பெருங்காயம் பொடி , 1/4 தேக்கரண்டி - பேக்கிங் சோடா , 1/2 - வெங்காயம் (பொடியாக நறுக்கியது), 1/2 கப் - தயிர் , சுவைக்கு உப்பு , பொரிப்பதற்கு எண்ணெய் .</t>
  </si>
  <si>
    <t>In a mixing bowl combine Rava, Cumin seeds, Pepper, Ginger, green chilies, curry leaves, coriander leaves, asafoetida, baking soda, onion, curd and salt. Mix well to form a semi thick batter. Add more curd if required. Baking soda yields  in soft fluffier vadas. Rest it for 15 -30 minutes.   Now after resting grease your hands with oil and take a portion of the batter and make into vada shape with  a hole at the center.  Heat on in a pan and fry the vada until it is golden and crispy. Make sure the oil is at medium heat to get even browning.  That's it our delicious Rava vadai also known as Sooji Vada is ready to be enjoyed with a cup of hot tea/coffee and coconut chutney. Please do try this recipe and share it with your friends and family Spread the Joy of Cooking !!!</t>
  </si>
  <si>
    <t>ஒரு கலவை பாத்திரத்தில் ரவா , சீரகம் , மிளகு , இஞ்சி , பச்சை மிளகாய் , கறிவேப்பிலை , கொத்தமல்லி இலை , பெருங்காயம் , பேக்கிங் சோடா , வெங்காயம் , தயிர் மற்றும் உப்பு ஆகியவற்றை சேர்த்து நன்கு கலக்கவும். அரை தடிமனான மாவை உருவாக்கவும். தேவைப்பட்டால் மேலும் தயிர் சேர்க்கவும். பேக்கிங் சோடா மென்மையான மென்மையான வடைகளாக மாறும். 15 -30 நிமிடங்கள் அப்படியே வைக்கவும். இப்போது கைகளில் எண்ணெய் தடவி மாவின் ஒரு பகுதியை எடுத்து மையத்தில் துளையுடன் வடை வடிவில் செய்யவும். ஒரு பாத்திரத்தில் வடையை சூடாக்கி, பொன்னிறமாகவும் மொறுமொறுப்பாகவும் ஆகும் வரை வறுக்கவும். எண்ணெய் மிதமான சூட்டில் இருக்குமாறு பார்த்துக்கொள்ளவும், இதனால் அது சீரான பழுப்பு நிறமாக மாறும். அவ்வளவுதான், எங்கள் சுவையான ரவா வடை, சூஜி வடை என்றும் அழைக்கப்படுகிறது, இது ஒரு கப் சூடான தேநீர்/காபி மற்றும் தேங்காய் சட்னியுடன் சாப்பிட தயாராக உள்ளது. தயவுசெய்து இந்த ரெசிபியை முயற்சி செய்து உங்கள் நண்பர்கள் மற்றும் குடும்பத்தினருடன் பகிர்ந்து கொள்ளுங்கள். சமையல் மகிழ்ச்சியைப் பரப்புங்கள்!!!</t>
  </si>
  <si>
    <t>https://blogger.googleusercontent.com/img/b/R29vZ2xl/AVvXsEjcQwufwLggM48ifVwcxYzsTGzCL-ODoTwn0mYax36MI8oYqTMsSYqKBbEMU5MHV_hDWUXpsmNJKaq6qfZYIOfjOA1iIJC9Kgwy9xJVsQPqZKXO0lhCDARzbLW3P8nZDX26KZj-2mRKQKU/s640/DSC03793.JPG</t>
  </si>
  <si>
    <t>Mango Kulfi</t>
  </si>
  <si>
    <t>மாம்பழ குல்ஃபி</t>
  </si>
  <si>
    <t>3 cup - Full fat Milk (750 ml), 1/4 cup  - Condensed Milk (60 ml), 1/4 cup - Sugar (50 g), 10 -12  - chopped Almonds , 10 -12  - chopped Pistachios , 1/4 tsp - Cardamom powder, 10 - Saffron strands (optional) , 1/2 cup - Mango for mango Kulfi.</t>
  </si>
  <si>
    <t>3 கப் - முழு கொழுப்புள்ள பால் (750 மிலி), 1/4 கப் - அமுக்கப்பட்ட பால் (60 மிலி), 1/4 கப் - சர்க்கரை (50 கிராம்), 10 -12 - நறுக்கிய பாதாம் பருப்பு, 10 -12 - நறுக்கிய பிஸ்தா பருப்பு, 1/4 தேக்கரண்டி - ஏலக்காய் தூள், 10 - குங்குமப்பூ தண்டுகள் (விரும்பினால்), 1/2 கப் - மாம்பழ குல்ஃபிக்கு மாம்பழம்.</t>
  </si>
  <si>
    <t>Heat milk in a pan and simmer it for 15 - 20 minutes until the milk thickens. Then add sweetened condensed milk and stir well. Condensed milk adds creaminess to the recipe, If you don't have condensed milk skip and add more sugar.   Also add in sugar. Simmer for few more minutes. Then add the chopped almonds, pistachios, cardamom powder and saffron ( saffron is optional ). Cook for 10 more minutes or until the milk thickens and looks creamy.  This is the consistency of the kulfi mix, if there is more water content then the kulfi will not be creamy and will be more like ice. Make sure the mix is nice and thick.  Let the mix cool, once cooled transfer it to kulfi mold or a tumbler, cover it with an aluminum foil or plastic wrap , insert a ice cream stick and let it freeze for 8 -10 hours before serving.  For mango kulfi we need half a cup of pureed mangoes , mix with the cooled kulfi mix and combine well. transfer it to kulfi mold or a tumbler, cover it with an aluminum foil or plastic wrap , insert a ice cream stick and let it freeze for 8 -10 hours before serving.  That's it our delicious and creamy Kulfi / Mango Kulfi is ready to be enjoyed not only during Summer but all along the year. Please do try the recipe and share it with your friends and family.</t>
  </si>
  <si>
    <t>ஒரு பாத்திரத்தில் பாலை சூடாக்கி, பால் கெட்டியாகும் வரை 15 - 20 நிமிடங்கள் கொதிக்க வைக்கவும். பின்னர் இனிப்பு அமுக்கப்பட்ட பாலை சேர்த்து நன்கு கிளறவும். அமுக்கப்பட்ட பால் செய்முறைக்கு கிரீமி சுவை சேர்க்கிறது, உங்களிடம் அமுக்கப்பட்ட பால் இல்லையென்றால், சர்க்கரையை சேர்த்து மேலும் சில நிமிடங்கள் கொதிக்க வைக்கவும். பின்னர் நறுக்கிய பாதாம் பருப்பு, பிஸ்தா பருப்பு, ஏலக்காய் தூள் மற்றும் குங்குமப்பூ (குங்குமப்பூ) சேர்க்கவும் (விரும்பினால்). பால் கெட்டியாகி கிரீமியாகத் தோன்றும் வரை மேலும் 10 நிமிடங்கள் சமைக்கவும். குல்ஃபி கலவையின் நிலைத்தன்மை இதுதான், அதிக நீர்ச்சத்து இருந்தால் குல்ஃபி கிரீமியாக இருக்காது, மேலும் ஐஸ் போல இருக்கும். கலவை நன்றாகவும் தடிமனாகவும் இருப்பதை உறுதிப்படுத்திக் கொள்ளுங்கள். கலவையை குளிர்விக்க விடுங்கள், குளிர்ந்ததும் அதை குல்ஃபி அச்சு அல்லது டம்ளருக்கு மாற்றவும், அதை ஒரு அலுமினியத் தகடு அல்லது பிளாஸ்டிக் மடக்குடன் மூடி, ஒரு ஐஸ்கிரீம் குச்சியைச் செருகவும், பரிமாறுவதற்கு முன் 8-10 மணி நேரம் உறைய வைக்கவும். மாம்பழ குல்ஃபிக்கு நமக்கு அரை கப் ப்யூரி செய்யப்பட்ட மாம்பழங்கள் தேவை, குளிர்ந்த குல்ஃபி கலவையுடன் கலந்து நன்றாக கலக்கவும். அதை குல்ஃபி அச்சு அல்லது டம்ளருக்கு மாற்றவும், அலுமினியத் தகடு அல்லது பிளாஸ்டிக் மடக்குடன் மூடி, ஒரு ஐஸ்கிரீம் குச்சியைச் செருகவும், பரிமாறுவதற்கு முன் 8-10 மணி நேரம் உறைய வைக்கவும். அவ்வளவுதான் எங்கள் சுவையான மற்றும் கிரீமி குல்ஃபி / மாம்பழ குல்ஃபி கோடையில் மட்டுமல்ல, ஆண்டு முழுவதும் அனுபவிக்க தயாராக உள்ளது. தயவுசெய்து செய்முறையை முயற்சி செய்து உங்கள் நண்பர்கள் மற்றும் குடும்பத்தினருடன் பகிர்ந்து கொள்ளுங்கள்.</t>
  </si>
  <si>
    <t>https://blogger.googleusercontent.com/img/b/R29vZ2xl/AVvXsEgyUFY7FG3JYFGRZgxfuUOvqHwcgik05jYY032hTKpzYVlSnTSF3lwpT2e7zfUGDKolp0B16uNlZaY9sdsmmYszOn0DRzFtIoryatj1WzaPPj-9qLe4PIQ1XL9fSSTzv3MpAwzVbdysrBI/s640/editted3.jpg</t>
  </si>
  <si>
    <t>Bourbon Biscuit</t>
  </si>
  <si>
    <t>போர்பன் பிஸ்கட்</t>
  </si>
  <si>
    <t>6 tbsp - Butter(75 gram), 1/2 cup - Powdered sugar (100 gram), 1 cup - All purpose flour / Maida (125 gram) , 1/4 cup - Cocoa powder (25 gram) , 3 tbsp - Milk (45 ml), Pinch of salt, 3 tbsp  - Butter, 1/2 cup - Powdered sugar  (100 gram),  1-2 tbsp - Cocoa powder.</t>
  </si>
  <si>
    <t>6 டேபிள் ஸ்பூன் - வெண்ணெய் (75 கிராம்), 1/2 கப் - தூள் சர்க்கரை (100 கிராம்), 1 கப் - அனைத்து வகையான மாவு / மைதா (125 கிராம்), 1/4 கப் - கோகோ பவுடர் (25 கிராம்), 3 டேபிள் ஸ்பூன் - பால் (45 மிலி), சிட்டிகை உப்பு, 3 டேபிள் ஸ்பூன் - வெண்ணெய், 1/2 கப் - தூள் சர்க்கரை (100 கிராம்), 1-2 டேபிள் ஸ்பூன் - கோகோ பவுடர்.</t>
  </si>
  <si>
    <t>a mixing bowl add softened butter ( make sure the butter is at room temperature - nice and soft) and whisk well until pale and fluffy. Then add powdered sugar to it and mix it again until well combined. (You can also use electric beater to seep up the process) . Then add in the cocoa powder, Maida, salt, Milk and mix well without any lumps ( use your hands for mixing)    Now transfer the dough to a working surface and roll it thin , I have used plastic paper below and parchment paper above the dough to roll evenly. Use a knife to cut them into squares, then cut them into biscuit shapes (2.5 cm * 6 cm) . With a help of a fork or needle make small impressions as in Bourbon biscuit. Finally sprinkle some granulated sugar on top. We get 30 pieces from this recipe.  Transfer them to a baking pan lined with parchment paper (make sure to leave some space in between the cookies) and bake it for 13-15 minutes @ 350 F / 175 C or until crispy. It may seam a little soft at first but once it cools down it thickens, Allow it to cool completely.  A well baked cookie should have nice crisp to it.  It takes approximately 20 minutes when baked in Cooker at medium heat.  Into a mixing bowl add softened butter and beat well. then add in the cocoa powder and combine with it. Now slowly add in the powdered sugar and mix it well. The mixture should be thick as shown below.  Once the biscuits are cooled spread butter cream with a help of a spoon and place another bourbon biscuit on the top. That's it our Bourbon biscuits are ready to be enjoyed.  Once the cookies are cooled, store them in a air tight container / Cookie jar. Happy Bourbon Biscuit, enjoy  Cookies.</t>
  </si>
  <si>
    <t>ஒரு கலவை கிண்ணத்தில் மென்மையாக்கப்பட்ட வெண்ணெய் சேர்க்கவும் (வெண்ணெய் அறை வெப்பநிலையில் இருப்பதை உறுதிசெய்து கொள்ளுங்கள் - நன்றாகவும் மென்மையாகவும் இருக்கும்) மற்றும் வெளிர் மற்றும் பஞ்சுபோன்ற வரை நன்கு அடிக்கவும். பின்னர் அதில் தூள் சர்க்கரையைச் சேர்த்து நன்கு கலக்கும் வரை மீண்டும் கலக்கவும். (செயல்முறையை கசிவதற்கு நீங்கள் மின்சார பீட்டரையும் பயன்படுத்தலாம்). பின்னர் கோகோ பவுடர், மைதா, உப்பு, பால் சேர்த்து கட்டிகள் இல்லாமல் நன்கு கலக்கவும் (கலக்க உங்கள் கைகளைப் பயன்படுத்தவும்) இப்போது மாவை ஒரு வேலை செய்யும் மேற்பரப்புக்கு மாற்றி மெல்லியதாக உருட்டவும், நான் கீழே பிளாஸ்டிக் காகிதத்தையும் மாவின் மேலே காகிதத்தோல் காகிதத்தையும் சமமாக உருட்ட பயன்படுத்தினேன். ஒரு கத்தியைப் பயன்படுத்தி அவற்றை சதுரங்களாக வெட்டி, பின்னர் பிஸ்கட் வடிவங்களில் (2.5 செ.மீ * 6 செ.மீ) வெட்டவும். ஒரு முட்கரண்டி அல்லது ஊசியின் உதவியுடன் போர்பன் பிஸ்கட்டில் இருப்பது போல சிறிய அச்சுகளை உருவாக்கவும். இறுதியாக மேலே சிறிது கிரானுலேட்டட் சர்க்கரையைத் தூவவும். இந்த செய்முறையிலிருந்து நமக்கு 30 துண்டுகள் கிடைக்கும். அவற்றை காகிதத்தோல் மூடப்பட்ட பேக்கிங் பாத்திரத்திற்கு மாற்றவும் (குக்கீகளுக்கு இடையில் சிறிது இடைவெளி விடவும்) மற்றும் 350 F / 175 C வெப்பநிலையில் 13-15 நிமிடங்கள் அல்லது மொறுமொறுப்பாகும் வரை சுடவும். இது முதலில் சிறிது மென்மையாக மடிக்கப்படலாம், ஆனால் அது குளிர்ந்ததும் அது கெட்டியாகிவிடும், அதை முழுமையாக குளிர்விக்க விடவும். நன்றாக சுடப்பட்ட குக்கீ நல்ல மொறுமொறுப்பாக இருக்க வேண்டும். குக்கரில் மிதமான வெப்பத்தில் சுடும்போது சுமார் 20 நிமிடங்கள் ஆகும். ஒரு கலவை கிண்ணத்தில் மென்மையாக்கப்பட்ட வெண்ணெய் சேர்த்து நன்றாக அடிக்கவும். பின்னர் கோகோ பவுடரைச் சேர்த்து அதனுடன் இணைக்கவும். இப்போது மெதுவாக தூள் சர்க்கரையைச் சேர்த்து நன்கு கலக்கவும். கலவை கீழே காட்டப்பட்டுள்ளபடி தடிமனாக இருக்க வேண்டும். பிஸ்கட்கள் குளிர்ந்ததும், ஒரு கரண்டியால் வெண்ணெய் கிரீம் தடவி, அதன் மேல் மற்றொரு போர்பன் பிஸ்கட்டை வைக்கவும். அவ்வளவுதான், எங்கள் போர்பன் பிஸ்கட்கள் சுவைக்க தயாராக உள்ளன. குக்கீகள் குளிர்ந்ததும், அவற்றை காற்று புகாத கொள்கலன் / குக்கீ ஜாடியில் சேமிக்கவும். போர்பன் பிஸ்கட் மகிழ்ச்சி, குக்கீகளை அனுபவிக்கவும்.</t>
  </si>
  <si>
    <t>https://blogger.googleusercontent.com/img/b/R29vZ2xl/AVvXsEjkatDmIEr_A43-O8gMR3zRHK2furiCvMoO4kVC9TR_2W-vHwx-zzcU5J7bhLh4zsMuvM5RZIVBJkFzdinGbDyJ2h9zi9Ati8t89z5kFbHoXEotfXTN90qt3pRaSUkEj7DjWKlUf81TKY0/s640/11.JPG</t>
  </si>
  <si>
    <t>Pav Bhaji</t>
  </si>
  <si>
    <t>பாவ் பாஜி</t>
  </si>
  <si>
    <t>2 - Carrots,  10 -  Beans,  1/2 cup - Peas,  1/4 - Cauliflower ,  2 - Potatoes, 3 Tbsp - Butter, 1/2 tsp - Cumin Seeds, 1  - Onion, 1 tbsp - Ginger Garlic Paste , 1/2 tsp - Turmeric powder, 1/2 tsp - Cumin seeds, 1 tsp - Coriander powder , 1 tsp - Garam Masala powder,  1 tbsp - Chili powder , 3  - Tomatoes, 1 - Capsicum, Salt to Taste, Coriander leaves for Garnishing,  1/2 -  Lemon.</t>
  </si>
  <si>
    <t>2 - கேரட், 10 - பீன்ஸ், 1/2 கப் - பட்டாணி, 1/4 - காலிஃபிளவர் , 2 - உருளைக்கிழங்கு, 3 டேபிள்ஸ்பூன் - வெண்ணெய், 1/2 டேபிள்ஸ்பூன் - சீரகம் விதைகள், 1 - வெங்காயம், 1 டேபிள்ஸ்பூன் - இஞ்சி பூண்டு விழுது , 1/2 டேபிள்ஸ்பூன் - மஞ்சள் தூள், 1/2 டேபிள்ஸ்பூன் - சீரகம் விதைகள், 1 டேபிள்ஸ்பூன் - கொத்தமல்லி தூள் , 1 டேபிள்ஸ்பூன் - கரம் மசாலா தூள், 1 டேபிள்ஸ்பூன் - மிளகாய் தூள் , 3 - தக்காளி, 1 - கேப்சிகம், சுவைக்கு உப்பு,</t>
  </si>
  <si>
    <t>Cook the veggies with some water in a pan / Cooker or microwave for 12 minutes. I have used fresh peas, If you are using dry peas then soak the peas overnight and then add along with the vegetables. Once the vegetables are cooked nicely mash them well.  Heat a pan and melt butter, then add cumin seeds and chopped onion. Once the onion is cooked add the masalas -  Ginger Garlic paste, turmeric powder, coriander powder, Garam masala,  cumin powder and Chili powder (1 tbsp will be less spicy,you can adjust according to your spice preference).  Then add 3 chopped tomato and cook until the tomatoes turns soft. Followed by tomatoes add Capsicum and cook for few more minutes.  Then add the cooked / mashed vegetables from step 1 along with its water and cook until the gravy is reduced. Mash it well with a masher. Finally add coriander leaves and lemon juice. Mix well and turn off the heat. Note: You can add beetroot or beetroot juice at the end to get bright red color.  Our Delicious Pav Bhaji Recipe  is ready to be enjoyed with toasted Bun . Sprinkle some onion and coriander leaves on the top and place a small piece of butter before serving.  Happy Cooking!!!</t>
  </si>
  <si>
    <t>கொத்தமல்லி இலைகள் / குக்கர் அல்லது மைக்ரோவேவில் சிறிது தண்ணீர் சேர்த்து 12 நிமிடங்கள் சமைக்கவும். நான் புதிய பட்டாணி பயன்படுத்தினேன், நீங்கள் உலர்ந்த பட்டாணி பயன்படுத்தினால், பட்டாணியை இரவு முழுவதும் ஊறவைத்து, பின்னர் காய்கறிகளுடன் சேர்க்கவும். காய்கறிகள் நன்றாக சமைத்தவுடன் அவற்றை நன்றாக மசிக்கவும். ஒரு கடாயை சூடாக்கி, வெண்ணெயை உருக்கி, சீரகம் மற்றும் நறுக்கிய வெங்காயத்தைச் சேர்க்கவும். வெங்காயம் வதங்கியதும் மசாலாக்களைச் சேர்க்கவும் - இஞ்சி பூண்டு விழுது, மஞ்சள் தூள், கொத்தமல்லி தூள், கரம் மசாலா, சீரகத் தூள் மற்றும் மிளகாய்த்தூள் (1 டேபிள் ஸ்பூன் காரமாக இருக்கும், உங்கள் கார விருப்பத்திற்கு ஏற்ப சரிசெய்யலாம்). பின்னர் 3 நறுக்கிய தக்காளியைச் சேர்த்து, தக்காளி மென்மையாகும் வரை சமைக்கவும். அதைத் தொடர்ந்து தக்காளி கேப்சிகம் சேர்த்து இன்னும் சில நிமிடங்கள் சமைக்கவும். பின்னர் படி 1 இல் இருந்து சமைத்த / மசித்த காய்கறிகளை அதன் தண்ணீருடன் சேர்த்து, குழம்பு குறையும் வரை சமைக்கவும். ஒரு மசியுடன் நன்றாக மசிக்கவும். இறுதியாக கொத்தமல்லி இலைகள் மற்றும் எலுமிச்சை சாறு சேர்க்கவும். நன்றாக கலந்து, தீயை அணைக்கவும். குறிப்பு: பிரகாசமான சிவப்பு நிறத்தைப் பெற, நீங்கள் இறுதியில் பீட்ரூட் அல்லது பீட்ரூட் சாற்றைச் சேர்க்கலாம். எங்கள் சுவையான பாவ் பாஜி ரெசிபி டோஸ்ட் செய்யப்பட்ட ரொட்டியுடன் சாப்பிட தயாராக உள்ளது. மேலே சிறிது வெங்காயம் மற்றும் கொத்தமல்லி இலைகளைத் தூவி, பரிமாறும் முன் ஒரு சிறிய துண்டு வெண்ணெய் வைக்கவும். மகிழ்ச்சியான சமையல்!!!</t>
  </si>
  <si>
    <t>https://blogger.googleusercontent.com/img/b/R29vZ2xl/AVvXsEjvBUvHe-ZvDXWfYVXDENU50IVKrXQ5DYIxrYwslZrGfl19YJbk_NrM__WXyRMMZDe9NdtrgKGz9vfv1k1e62Gf5SbC2Hf7dmy3Y9VlV4kfdWg-cfwK9NeKadjn48X7N1pggP7VvS6QIR0/s640/11.JPG</t>
  </si>
  <si>
    <t>Ashoka Halwa</t>
  </si>
  <si>
    <t>1/2 cup - Moong Dhal , 2 tbsp  - Wheat flour or Maida, 1 cup - Sugar (200 gram) , 1/2 cup  - Ghee (120 ml), 2 tbsp - Cashews, 1 pinch - Red or Orange food color (optional) , 1/2 tsp - Cardamom powder.</t>
  </si>
  <si>
    <t>1/2 கப் - பாசிப்பருப்பு , 2 டேபிள்ஸ்பூன் - கோதுமை மாவு அல்லது மைதா, 1 கப் - சர்க்கரை (200 கிராம்), 1/2 கப் - நெய் (120 மிலி), 2 டேபிள்ஸ்பூன் - முந்திரி, 1 சிட்டிகை - சிவப்பு அல்லது ஆரஞ்சு உணவு நிறம் (விரும்பினால்), 1/2 டேபிள்ஸ்பூன் - ஏலக்காய் தூள்.</t>
  </si>
  <si>
    <t>Wash the moong dal and add it to a cooker . Add enough water ( I have added 1.5 cup water ). Cover the cooker and cook for 4 whistles  or until the dhal is nice and mushy.  Mash it well or transfer the cooked dhal to a mixer and grind it smooth. Make sure to slightly cool the dhal  before grinding.   Melt 4 tbsp of ghee in a pan and roast the cashews, once they turn golden take it out of the pan and keep it aside. Now in the same pan add the wheat flour and roast for a minute until the raw smell is gone. ( Wheat flour is added to get texture) .  Then add the mashed dhal and cook for few minutes. Once it starts to thicken add sugar and mix well. The mixture loosens as soon as we add sugar. Keep it on a medium heat and cook until everything thickens. Cook on a medium heat   Gradually add in the rest of the ghee, 1 tbsp at a time and keep on cooking. The mixture thickens soon and rotates together without sticking to the pan. Finally add food color (mix with water and then add ) and mix well until the color is distributed evenly.   Now add cardamom powder to get nice flavor, roasted cashews and also add 1 tbsp ghee  and mix well. Cook for few more minutes and turn off the heat.  That's is our delicious Asoka halwa is ready to be enjoyed. You can add some nuts on the top to make it attractive.Please do try the recipe and enjoy with your friends and family Spread the Joy of Cooking !!!</t>
  </si>
  <si>
    <t>பாசிப்பருப்பை கழுவி குக்கரில் சேர்க்கவும். போதுமான தண்ணீர் சேர்க்கவும் (நான் 1.5 கப் தண்ணீர் சேர்த்துள்ளேன்). குக்கரை மூடி 4 விசில் அல்லது பருப்பு நன்றாகவும், மிக்ஸியில் அரைக்கவும். அரைப்பதற்கு முன் பருப்பை சிறிது ஆறவிடவும். ஒரு கடாயில் 4 டேபிள்ஸ்பூன் நெய்யை உருக்கி, முந்திரிகளை வறுத்து, அவை பொன்னிறமாக மாறியதும், அதை வாணலியில் இருந்து எடுத்து தனியாக வைக்கவும். இப்போது அதே கடாயில் கோதுமை மாவைச் சேர்த்து, பச்சை வாசனை போகும் வரை ஒரு நிமிடம் வறுக்கவும். (கோதுமை மாவு சேர்க்கப்படும், இதனால் பருப்பின் அமைப்பு மறைந்துவிடும்). பிறகு மசித்த பருப்பைச் சேர்த்து சில நிமிடங்கள் சமைக்கவும். அது கெட்டியாக ஆரம்பித்ததும் சர்க்கரையைச் சேர்த்து நன்கு கலக்கவும். சர்க்கரை சேர்த்தவுடன் கலவை தளர்ந்துவிடும். மிதமான தீயில் வைத்து எல்லாம் கெட்டியாகும் வரை சமைக்கவும். மிதமான தீயில் சமைக்கவும் படிப்படியாக மீதமுள்ள நெய்யை ஒரு நேரத்தில் 1 தேக்கரண்டி சேர்த்து சமைக்கவும். கலவை விரைவில் கெட்டியாகி, வாணலியில் ஒட்டாமல் ஒன்றாக சுழலும். இறுதியாக உணவு வண்ணத்தைச் சேர்க்கவும் (தண்ணீருடன் கலந்து பின்னர் சேர்க்கவும்) மற்றும் நிறம் சமமாக பரவும் வரை நன்கு கலக்கவும். இப்போது நல்ல சுவை பெற ஏலக்காய் தூள், வறுத்த முந்திரி மற்றும் 1 தேக்கரண்டி நெய்யைச் சேர்த்து நன்கு கலக்கவும். இன்னும் சில நிமிடங்கள் சமைத்து அடுப்பை அணைக்கவும். அவ்வளவுதான் எங்கள் சுவையான அசோகா ஹல்வா சுவைக்க தயாராக உள்ளது. அதை கவர்ச்சிகரமானதாக மாற்ற நீங்கள் மேலே சில கொட்டைகளைச் சேர்க்கலாம். தயவுசெய்து செய்முறையை முயற்சி செய்து உங்கள் நண்பர்கள் மற்றும் குடும்பத்தினருடன் அனுபவிக்கவும் சமையல் மகிழ்ச்சியைப் பரப்புங்கள் !!!</t>
  </si>
  <si>
    <t>https://blogger.googleusercontent.com/img/b/R29vZ2xl/AVvXsEiY4JGWJgdgPtWkTYuvB096CcNWcXXHU4RYtj6K7T_AOD26T0WdmOrbrTGa0J0MwNGXZObcEJ-00zFH6j9E988kOUmWVEh1F_qdVeKa3u9WjWEVPJgSDP2g0FjuDf_Em3lso3OxWBpMBcs/s640/asoka+Halwa.JPG</t>
  </si>
  <si>
    <t>Bread Jamun</t>
  </si>
  <si>
    <t>ரொட்டி ஜாமூன்</t>
  </si>
  <si>
    <t>8 slice - Milk Bread, 4 tbsp - Milk, 1 cup - Sugar, 1 cup - Water, 3 - Cardamom pods, 1/2 tsp - Lemon Juice, few Saffron strands.</t>
  </si>
  <si>
    <t>8 துண்டுகள் - பால் ரொட்டி, 4 தேக்கரண்டி - பால், 1 கப் - சர்க்கரை, 1 கப் - தண்ணீர், 3 - ஏலக்காய் காய்கள், 1/2 தேக்கரண்டி - எலுமிச்சை சாறு, சில குங்குமப்பூ இழைகள்.</t>
  </si>
  <si>
    <t>Lets start with sugar syrup, Into a pan add sugar and water to cover the sugar , once the sugar dissolves and comes to a boil turn down the heat to low and let it simmer for 8 -10 minutes. Sugar syrup should not reach 1 string consistency, if it reaches 1 string consistency then the syrup will not penetrate more efficiently into the jamuns. Once it reaches half string , add a few drops of lemon juice to prevent sugar crystallization also add crushed cardamom pods for flavoring and few strands of saffron ( optional).  Trim the edges of the bread and cut it into small pieces. Blend in a mixer to get fine powder. Add milk little at a time and start kneading into smooth dough.  After kneading take a small portion of the dough a roll it into small balls, there should not be any cracks on the outside of the balls, it should be soft and smooth. If you see cracks then you can sprinkle a little more of milk and make it again.  Heat oil or ghee in a pan, Temperature of the oil should be medium it should not be high , if you drop a small portion of the dough it should come to the surface of the oil immediately whithout changing it color, if it becomes brown then the oil is very hot and if it stays down for a long time then the temperature of the oil is not hot enough. Once you get that temperature, drop the balls and fry until golden brown. do not over crowd the oil , leave enough room for frying also use more oil the jamuns should be fully immersed into the oil.  In between swirl it with a spoon to ensure even browning.  Once the balls develop nice uniform golden brown color take it off from the oil and drop it into the sugar syrup. If the sugar syrup is cooled then we need to warm it up for 1 minute before adding the jamuns.  Let the balls soak in the syrup for minimum 3- 4 hours before serving.  That's it our Gulab Jamuns using Bread is ready to be served. Its quite simple and really easy to make, all we need is Bread , milk ,  sugar and water.</t>
  </si>
  <si>
    <t>சர்க்கரை பாகில் இருந்து ஆரம்பிக்கலாம், ஒரு பாத்திரத்தில் சர்க்கரை மற்றும் தண்ணீரைச் சேர்த்து சர்க்கரையை மூடவும், சர்க்கரை கரைந்து கொதி வந்ததும், தீயைக் குறைத்து 8 -10 நிமிடங்கள் கொதிக்க விடவும். சர்க்கரை பாகில் 1 சரம் நிலைத்தன்மையை அடையக்கூடாது, அது 1 சரம் நிலைத்தன்மையை அடைந்தால், சிரப் ஜாமூன்களில் திறமையாக ஊடுருவாது. அது அரை சரம் நிலையை அடைந்ததும், சர்க்கரை படிகமாக்கலைத் தடுக்க சில துளிகள் எலுமிச்சை சாற்றைச் சேர்க்கவும், சுவைக்காக நொறுக்கப்பட்ட ஏலக்காய் காய்களையும், சில குங்குமப்பூ இழைகளையும் சேர்க்கவும் (விரும்பினால்). ரொட்டியின் விளிம்புகளை வெட்டி சிறிய துண்டுகளாக வெட்டவும். மிக்ஸியில் நன்றாகப் பொடி செய்ய கலக்கவும். ஒரு நேரத்தில் சிறிது பால் சேர்த்து மென்மையான மாவாகப் பிசையத் தொடங்குங்கள். பிசைந்த பிறகு, மாவின் ஒரு சிறிய பகுதியை எடுத்து, சிறிய உருண்டைகளாக உருட்டவும். பந்துகளின் வெளிப்புறத்தில் எந்த விரிசல்களும் இருக்கக்கூடாது, அது மென்மையாகவும் மென்மையாகவும் இருக்க வேண்டும். விரிசல்கள் தெரிந்தால், சிறிது பால் தெளித்து மீண்டும் செய்யலாம். ஒரு கடாயில் எண்ணெய் அல்லது நெய்யை சூடாக்கவும், எண்ணெயின் வெப்பநிலை நடுத்தரமாக இருக்க வேண்டும், அதிகமாக இருக்கக்கூடாது, நீங்கள் ஒரு சிறிய பகுதியை மாவை போட்டால், அது உடனடியாக எண்ணெயின் மேற்பரப்பில் வர வேண்டும், அதன் நிறம் மாறாமல் இருக்க வேண்டும், அது பழுப்பு நிறமாக மாறினால், எண்ணெய் மிகவும் சூடாக இருக்கும், அது நீண்ட நேரம் கீழே இருந்தால், எண்ணெயின் வெப்பநிலை போதுமான அளவு சூடாக இருக்காது. அந்த வெப்பநிலையை அடைந்ததும், உருண்டைகளை இறக்கி, பொன்னிறமாகும் வரை வறுக்கவும். எண்ணெயை அதிகமாக நிரப்ப வேண்டாம், வறுக்க போதுமான இடம் விட்டு, அதிக எண்ணெயைப் பயன்படுத்தவும், ஜாமூன்களை எண்ணெயில் முழுமையாக மூழ்கடிக்க வேண்டும். இடையில் ஒரு கரண்டியால் சுழற்றி, சீரான பழுப்பு நிறத்தை உறுதி செய்யவும். பந்துகள் நல்ல சீரான தங்க பழுப்பு நிறமாக மாறியதும், எண்ணெயிலிருந்து எடுத்து சர்க்கரை பாகில் போடவும். சர்க்கரை பாகு குளிர்ந்துவிட்டால், ஜாமூன்களைச் சேர்ப்பதற்கு முன் 1 நிமிடம் சூடாக்க வேண்டும். பரிமாறுவதற்கு முன் பந்துகளை சிரப்பில் குறைந்தது 3-4 மணி நேரம் ஊற விடவும். அவ்வளவுதான், ரொட்டியைப் பயன்படுத்தி தயாரிக்கப்படும் எங்கள் குலாப் ஜாமூன்கள் பரிமாற தயாராக உள்ளன. இது மிகவும் எளிமையானது மற்றும் தயாரிப்பது மிகவும் எளிதானது, நமக்குத் தேவையானது ரொட்டி, பால், சர்க்கரை மற்றும் தண்ணீர் மட்டுமே.</t>
  </si>
  <si>
    <t>https://blogger.googleusercontent.com/img/b/R29vZ2xl/AVvXsEi5fQ8Q8ujy4C5FLJ7SDL6iJUkdnwZoVB5PJE2s2W5ouyZ4KE2iRJ9T_ssjUe8PGnXSZJmsBa4QjAJ_vLQNVV-PTn5JHm8gVdRuMtwyQnq24lFwlZzoFhcVvkScbScH1D75Egz8lZiJ880/s640/0.JPG</t>
  </si>
  <si>
    <t>Chicken Manchurian</t>
  </si>
  <si>
    <t>கோழி மஞ்சூரியன்</t>
  </si>
  <si>
    <t>500g - boneless Chicken , 1 - Egg, 3 tbsp - All purpose flour / Maida, 3 tbsp - Corn starch or corn flour, 1/2 tsp - Chili powder, Salt and Pepper, 3 tbsp  - Oil, 1 tbsp - Finely chopped Ginger, 1 tbsp - Finely chopped Garlic, 1  - Onion , 1 - Capsicum , 2 tbsp - Chilli sauce, 2 tbsp - Tomato sauce , 1 tbsp - Soy sauce (light soya sauce), 1/2 tsp  - Pepper powder, required Salt , Spring Onions for garnishing, For Semi Gravy, 1 tbsp -  corn flour  , 1/4 cup -  water.</t>
  </si>
  <si>
    <t>500 கிராம் - எலும்பு இல்லாத கோழி, 1 - முட்டை, 3 டேபிள் ஸ்பூன் - அனைத்து வகையான மாவு / மைதா, 3 டேபிள் ஸ்பூன் - சோள மாவு அல்லது சோள மாவு, 1/2 டேபிள் ஸ்பூன் - மிளகாய் தூள், உப்பு மற்றும் மிளகு, 3 டேபிள் ஸ்பூன் - எண்ணெய், 1 டேபிள் ஸ்பூன் - நன்றாக நறுக்கிய இஞ்சி, 1 டேபிள் ஸ்பூன் - நன்றாக நறுக்கிய பூண்டு, 1 - வெங்காயம், 1 - கேப்சிகம், 2 டேபிள் ஸ்பூன் - மிளகாய் சாஸ், 2 டேபிள் ஸ்பூன் - தக்காளி சாஸ், 1 டேபிள் ஸ்பூன் - சோயா சாஸ் (லேசான சோயா சாஸ்), 1/2 டேபிள் ஸ்பூன் - மிளகு தூள், தேவையான உப்பு, அலங்காரத்திற்கு ஸ்பிரிங் வெங்காயம், அரை கிரேவிக்கு, 1 டேபிள் ஸ்பூன் - சோள மாவு, 1/4 கப் - தண்ணீர்.</t>
  </si>
  <si>
    <t>In a mixing bowl add the chicken pieces, egg, maida ,corn flour, chili powder ,Salt and pepper. Mix well to for a semi thick batter. The batter should be little thick, you can adjust the flour to make the batter thick.   Marinate the chicken for 15 minutes if you prefer , then fry it in hot oil. Once they become crispy take it off from the oil and set aside.   Now in a pan heat oil and add finely chopped ginger, chopped garlic and saute it for a minute until the raw smell is gone.Then add chopped onions and cook for a minute until it turns translucent. Then add bell peppers / Capsicum and cook for a couple of minutes.  Now its time to add the sauces - chilli sauce, tomato ketchup, Soy sauce and mix well. If you want the recipe to be dry then we can add the fried chicken at this stage and mix with the sauces and turn off the heat after a couple of minutes, but if you want little gravy then dissolve corn starch in water and add it to the pan. once it thickens up a bit add the fried chicken and cook for another 2 minutes. Finally add required salt, some pepper and garnish with chopped spring Onions.   That's it our delicious chicken Manchurian is ready to be served with naan, fried rice and roti. Please do try this recipe at home and share it with your friends and family members - Spread the Joy of Cooking !!!</t>
  </si>
  <si>
    <t>ஒரு கலவை பாத்திரத்தில் கோழி துண்டுகள், முட்டை, மைதா, சோள மாவு, மிளகாய் தூள், உப்பு மற்றும் மிளகு சேர்க்கவும். அரை தடிமனான மாவு வரும் வரை நன்கு கலக்கவும். மாவு கொஞ்சம் தடிமனாக இருக்க வேண்டும், மாவை கெட்டியாக மாற்ற மாவை சரிசெய்யலாம். நீங்கள் விரும்பினால் கோழியை 15 நிமிடங்கள் மரைனேட் செய்து, சூடான எண்ணெயில் வறுக்கவும். அவை மொறுமொறுப்பாக மாறியதும் எண்ணெயிலிருந்து எடுத்து தனியாக வைக்கவும். இப்போது ஒரு கடாயில் எண்ணெயை சூடாக்கி, இறுதியாக நறுக்கிய இஞ்சி, நறுக்கிய பூண்டு சேர்த்து, பச்சை வாசனை போகும் வரை ஒரு நிமிடம் வதக்கவும். பின்னர் நறுக்கிய வெங்காயத்தைச் சேர்த்து, அது வெளிப்படையானதாக மாறும் வரை ஒரு நிமிடம் வதக்கவும். பின்னர் பெல் பெப்பர்ஸ் / கேப்சிகம் சேர்த்து இரண்டு நிமிடங்கள் சமைக்கவும். இப்போது சாஸ்கள் - மிளகாய் சாஸ், தக்காளி கெட்ச்அப், சோயா சாஸ் சேர்த்து நன்கு கலக்கவும். நீங்கள் செய்முறையை உலர விரும்பினால், இந்த கட்டத்தில் வறுத்த கோழியைச் சேர்த்து, சாஸுடன் கலந்து, இரண்டு நிமிடங்களுக்குப் பிறகு அடுப்பை அணைக்கலாம், ஆனால் உங்களுக்கு கொஞ்சம் கிரேவி வேண்டுமென்றால், சோள மாவுச்சத்தை தண்ணீரில் கரைத்து, பாத்திரத்தில் சேர்க்கவும். அது சிறிது கெட்டியானதும் வறுத்த கோழியைச் சேர்த்து மேலும் 2 நிமிடங்கள் சமைக்கவும். இறுதியாக தேவையான உப்பு, சிறிது மிளகு சேர்த்து, நறுக்கிய வெங்காயத்தால் அலங்கரிக்கவும். அவ்வளவுதான், எங்கள் சுவையான சிக்கன் மஞ்சூரியன் நான், வறுத்த அரிசி மற்றும் ரொட்டியுடன் பரிமாற தயாராக உள்ளது. இந்த ரெசிபியை வீட்டிலேயே முயற்சி செய்து உங்கள் நண்பர்கள் மற்றும் குடும்பத்தினருடன் பகிர்ந்து கொள்ளுங்கள் - சமையல் மகிழ்ச்சியைப் பரப்புங்கள்!!!</t>
  </si>
  <si>
    <t>https://blogger.googleusercontent.com/img/b/R29vZ2xl/AVvXsEijusfZJOmIjInyJ2u_TNAGvfv1_qeHeH74eKuOO3Je_KOWq-038PtZxiogDXvgKkC1bK5b1hDoKamDMxVRMu2Y_UGDne0-4kBl4wgdB5-njy2ywEKjb_2AvRb8Ik0CBjA3Qb1eTw4iu2I/s640/DSC02794.JPG</t>
  </si>
  <si>
    <t>Idli Batter for making soft Kushboo Idli</t>
  </si>
  <si>
    <t>மென்மையான குஷ்பூ இட்லி தயாரிக்க இட்லி மாவு</t>
  </si>
  <si>
    <t>4 cup - Idli Rice, 1 cup - Skinless black gram, 1/2 cup - Sago, 5-6 - Fenugreek seeds.</t>
  </si>
  <si>
    <t>4 கப் - இட்லி அரிசி, 1 கப் - தோல் நீக்கிய உளுந்து, 1/2 கப் - சவ்வரிசி, 5-6 - வெந்தயம்.</t>
  </si>
  <si>
    <t>Wash and soak rice, dal ,sago and fenugreek seeds in water for minimum 5 -6 hours.   Drain the water and add the urad dhal and fenugreek together to a grinder and grind it until soft and fluffy, it takes approximately 25 -30 minutes , sprinkle some water while grinding if required. Keep it separate in a bowl.   Similarly drain the water and add together the soaked rice and javvarisi to the same grinder and grind it until soft and 90% done, it takes approximately 30 - 35 minutes , sprinkle some water while grinding if required.   Add required salt and mix both the batter well with the help of your hand. The batter doubles in sizes when fermented, make sure there is enough space for it to raise . Let it ferment for 8 hours, if you live in cold reign then keep the batter inside the oven with the light ON. Fermented batter looks light and nicely aerated.  Gently mix the batter and pour it on to a idli plate greased with oil. Once the water steams place the idli plate inside the idli cooker and steam for 8 - 10 minutes.  Once done let it slightly before taking from the idli plate.  Our soft and spongy idlis are ready to be served with a side of chutney and sambar , a cup of hot filter coffee tastes heavenly. Please so try this recipe and share it with your friends and family. Spread the Joy of Cooking !!!</t>
  </si>
  <si>
    <t>அரிசி, பருப்பு, சவ்வரிசி மற்றும் வெந்தயம் ஆகியவற்றை கழுவி குறைந்தபட்சம் 5-6 மணி நேரம் தண்ணீரில் ஊற வைக்கவும். தண்ணீரை வடிகட்டி, உளுத்தம் பருப்பு மற்றும் வெந்தயத்தை ஒரு கிரைண்டரில் சேர்த்து மென்மையாகவும் பஞ்சுபோன்றதாகவும் அரைக்கவும், இது சுமார் 25-30 நிமிடங்கள் ஆகும், தேவைப்பட்டால் சிறிது தண்ணீர் தெளிக்கவும். ஒரு கிண்ணத்தில் தனியாக வைக்கவும். இதேபோல் தண்ணீரை வடிகட்டி, ஊறவைத்த அரிசி மற்றும் ஜவ்வரிசியை ஒரே கிரைண்டரில் சேர்த்து மென்மையாகவும் 90% முடியும் வரை அரைக்கவும், இது சுமார் 30-35 நிமிடங்கள் ஆகும், தேவைப்பட்டால் அரைக்கும்போது சிறிது தண்ணீர் தெளிக்கவும். தேவையான உப்பு சேர்த்து, உங்கள் கையின் உதவியுடன் இரண்டையும் நன்றாக கலக்கவும். புளிக்கும்போது மாவு அளவு இரட்டிப்பாகும், அது உயர போதுமான இடம் இருப்பதை உறுதிப்படுத்திக் கொள்ளுங்கள். 8 மணி நேரம் புளிக்க விடுங்கள், நீங்கள் குளிர் காலத்தில் வாழ்ந்தால், மாவை அடுப்பில் வைத்து, விளக்கை எரிய வைக்கவும். புளிக்கவைத்த மாவு லேசாகவும், நன்றாக காற்றோட்டமாகவும் இருக்கும். மாவை மெதுவாகக் கலந்து, எண்ணெய் தடவிய இட்லி தட்டில் ஊற்றவும். தண்ணீர் ஆவியாக வந்ததும், இட்லி தட்டை இட்லி குக்கருக்குள் வைத்து 8 - 10 நிமிடங்கள் ஆவியில் வேக வைக்கவும். வெந்ததும், இட்லி தட்டில் இருந்து எடுப்பதற்கு முன் சிறிது நேரம் வேக வைக்கவும். எங்கள் மென்மையான மற்றும் பஞ்சுபோன்ற இட்லிகள் சட்னி மற்றும் சாம்பாருடன் பரிமாற தயாராக உள்ளன, ஒரு கப் சூடான வடிகட்டி காபி அற்புதமான சுவை கொண்டது. தயவுசெய்து இந்த செய்முறையை முயற்சி செய்து உங்கள் நண்பர்கள் மற்றும் குடும்பத்தினருடன் பகிர்ந்து கொள்ளுங்கள். சமையலின் மகிழ்ச்சியைப் பரப்புங்கள் !!!</t>
  </si>
  <si>
    <t>https://blogger.googleusercontent.com/img/b/R29vZ2xl/AVvXsEg53QQMFPcRwHIFLlNKan2pGWAM2T5Q0RcQXNVfYQP6YCpjibo3KW68K5mB0KHds6Z6yJ8q47t-LjCsx6TsWhxdCU5b3kK8Qa_vxCDhyJ5l8hgGLlYM3U1VqnXdC_rgcfLnmfQnjpICENw/s640/10.JPG</t>
  </si>
  <si>
    <t>Keerai Kootu</t>
  </si>
  <si>
    <t>கீரை கூட்டு</t>
  </si>
  <si>
    <t>1 tbsp  - Oil, 1/2 tsp - Cumin seeds, 3  - Garlic cloves, 3 - Green Chilies, 10 - Pearl Onions, 1  - Tomato, 2 tsp - Sambar powder , 1/4 tsp  - Turmeric powder, 250 g  -  Spinach, 1 cup  - Thoor dal (200 g), Salt to taste, 1 tsp - Oil, 1/8 tsp - Mustard seeds, 1 tsp - Urad dal, 2  - Dry red chilies, Curry leaves, Pinch of Asafoetida .</t>
  </si>
  <si>
    <t>1 டேபிள் ஸ்பூன் - எண்ணெய், 1/2 டேபிள் ஸ்பூன் - சீரகம், 3 - பூண்டு பல், 3 - பச்சை மிளகாய், 10 - முத்து வெங்காயம், 1 - தக்காளி, 2 டேபிள் ஸ்பூன் - சாம்பார் பொடி, 1/4 டேபிள் ஸ்பூன் - மஞ்சள் தூள், 250 கிராம் - கீரை, 1 கப் - துவரம்பருப்பு (200 கிராம்), ருசிக்க உப்பு, 1 டேபிள் ஸ்பூன் - எண்ணெய், 1/8 டேபிள் ஸ்பூன் - கடுகு, 1 டேபிள் ஸ்பூன் - உளுத்தம் பருப்பு, 2 - உலர்ந்த சிவப்பு மிளகாய், கறிவேப்பிலை, சிட்டிகை பெருங்காயம்.</t>
  </si>
  <si>
    <t>Wash and cook dal in a pressure cooker with required water for 4 whistles. Make sure the dhal is mushy once cooked.  In a pan heat oil and add Cumin seeds, garlic, green chilies, pearl onions and saute if for a minute. Then add tomato and cook for 2 more minutes.   Now add in the keerai (spinach ) I have taken pasalai keerai today, we can also use arai keerai, both tastes excellent for this recipe. Cook for a minute and once the spinach becomes soft add sambar powder and turmeric powder and cook a little longer.   Add the cooked dal and mix it well with the spinach. Add required salt and let it boil for a minute.   Now the final step is to temper, heat oil in a pan and add mustard seeds, once the seeds pops add urad dal, cumin seeds, dry red chilies , curry leaves and a pinch of asafoetida. Turn off the heat and add it on the top od keeari kootu and mix well.  That's it our delicious keerai kootu is ready to be enjoyed with Rice, Dosa , Chapathi or Idli. You can also add ghee on the top for extra flavor and taste. Please do try this delicious keerai Sambar and enjoy with your friends and family.</t>
  </si>
  <si>
    <t>பருப்பை கழுவி, தேவையான தண்ணீரில் பிரஷர் குக்கரில் 4 விசில் வரும் வரை சமைக்கவும். வெந்தவுடன் பருப்பை மென்மையாக்கவும். ஒரு கடாயில் எண்ணெயை சூடாக்கி, சீரகம், பூண்டு, பச்சை மிளகாய், முத்து வெங்காயம் சேர்த்து ஒரு நிமிடம் வதக்கவும். பின்னர் தக்காளியை சேர்த்து மேலும் 2 நிமிடங்கள் சமைக்கவும். இப்போது கீரையைச் சேர்க்கவும். இன்று நான் பசலை கீரையை எடுத்துக்கொண்டேன், அரை கீரையையும் பயன்படுத்தலாம், இரண்டும் இந்த செய்முறைக்கு மிகவும் சுவையாக இருக்கும். ஒரு நிமிடம் சமைக்கவும், கீரை மென்மையாக மாறியதும் சாம்பார் பொடி மற்றும் மஞ்சள் தூள் சேர்த்து சிறிது நேரம் சமைக்கவும். சமைத்த பருப்பைச் சேர்த்து கீரையுடன் நன்றாக கலக்கவும். தேவையான உப்பு சேர்த்து ஒரு நிமிடம் கொதிக்க விடவும். இப்போது இறுதி படியாக, ஒரு கடாயில் எண்ணெயை சூடாக்கி, கடுகு சேர்க்கவும், விதைகள் வெடித்ததும் உளுத்தம் பருப்பு, சீரகம், உலர்ந்த சிவப்பு மிளகாய், கறிவேப்பிலை மற்றும் ஒரு சிட்டிகை பெருங்காயம் சேர்க்கவும். அடுப்பை அணைத்து, கீரை கூட்டின் மேல் சேர்த்து நன்கு கலக்கவும். அவ்வளவுதான், எங்கள் சுவையான கீரை கூட்டு சாதம், தோசை, சப்பாத்தி அல்லது இட்லியுடன் சாப்பிட தயாராக உள்ளது. கூடுதல் சுவை மற்றும் சுவைக்காக நீங்கள் மேலே நெய்யையும் சேர்க்கலாம். தயவுசெய்து இந்த சுவையான கீரை சாம்பாரை முயற்சி செய்து உங்கள் நண்பர்கள் மற்றும் குடும்பத்தினருடன் அனுபவிக்கவும்.</t>
  </si>
  <si>
    <t>https://blogger.googleusercontent.com/img/b/R29vZ2xl/AVvXsEjjMCdk5LUHhNbiCp02wKkcPXvhEupJXAvJ-JJIgIka2mVXtsZc_spstDn_aq2E8h2fTIEsR1Lhyphenhyphen3LcmG-mX_pg4sEBNLcG3VEnsHXxoMBgxoIbwyPTbsviqhFeMYb-wDRZcdNu2AnWp1U/s640/0.JPG</t>
  </si>
  <si>
    <t>Spring Roll</t>
  </si>
  <si>
    <t>ஸ்பிரிங் ரோல்</t>
  </si>
  <si>
    <t>1.5 cup - Maida (200g), 1 tbsp  - Oil, 1/2 tsp - Salt, required Water, 1 tbsp - Oil , 1 tsp - Chopped Ginger, 1 tsp - Chopped Garlic, 1/2 - Onion, 4 - Beans, 1 - Bell pepper, 1  - Carrot, 1/4  - Cabbage, 1/2 tsp - Soy sauce, 2 tsp - Chili sauce, 1/4 tsp - Pepper powder, required salt.</t>
  </si>
  <si>
    <t>1.5 கப் - மைதா (200 கிராம்), 1 டேபிள் ஸ்பூன் - எண்ணெய், 1/2 டேபிள் ஸ்பூன் - உப்பு, தேவையான தண்ணீர், 1 டேபிள் ஸ்பூன் - எண்ணெய், 1 டேபிள் ஸ்பூன் - நறுக்கிய இஞ்சி, 1 டேபிள் ஸ்பூன் - நறுக்கிய பூண்டு, 1/2 - வெங்காயம், 4 - பீன்ஸ், 1 - பெல் பெப்பர், 1 - கேரட், 1/4 - முட்டைக்கோஸ், 1/2 டேபிள் ஸ்பூன் - சோயா சாஸ், 2 டேபிள் ஸ்பூன் - மிளகாய் சாஸ், 1/4 டேபிள் ஸ்பூன் - மிளகு தூள், தேவையான உப்பு.</t>
  </si>
  <si>
    <t>Into a mixing bowl add maida, salt oil and knead well by adding water. Make sure the dough is nice and soft. Cover it with a wet cloth and let it rest for 30 minutes.   In a pan heat oil and add ginger , garlic and saute it for a minute. Now add the onions, and the veggies - beans, carrot, capsicum, cabbage and cook for a couple of minutes. Finally add chili sauce , soy sauce, pepper and salt and turn off the heat. Do not cook the veggies for a long time.  Now after 30 minutes divide the dough into 9 equal portions and roll them into balls. Sightly roll the balls and apply some oil and dust with flour over all the rolled small sheets. Stalk 3 rotis at a time and start rolling as thin as you can. Similarly do with the other 6 rotis ( total of 3 batches)  Heat a tawa over low heat and place the stalked rotis and heat if for 30 seconds on both the sides (until bubble appears).   Once it is slightly cooled remove the sheets one by one and if you wish you can cut it into square shapes.  Divide the stuffing into 9 portions and keep it a the end and roll it. Seal the edges with maida water mixture .   Fry the spring rolls on low - medium heat until it turns golden on all the sides. That's it our delicious crunchy spring rolls are ready to be enjoyed with ketchup or tamarind chutney .</t>
  </si>
  <si>
    <t>ஒரு கலவை பாத்திரத்தில் மைதா, உப்பு, எண்ணெய் சேர்த்து தண்ணீர் சேர்த்து நன்கு பிசையவும். மாவு நன்றாகவும் மென்மையாகவும் இருப்பதை உறுதிசெய்து கொள்ளுங்கள். ஈரமான துணியால் மூடி 30 நிமிடங்கள் அப்படியே வைக்கவும். ஒரு கடாயில் எண்ணெயை சூடாக்கி, இஞ்சி, பூண்டு சேர்த்து ஒரு நிமிடம் வதக்கவும். இப்போது வெங்காயம், காய்கறிகள் - பீன்ஸ், கேரட், கேப்சிகம், முட்டைக்கோஸ் சேர்த்து இரண்டு நிமிடங்கள் சமைக்கவும். இறுதியாக மிளகாய் சாஸ், சோயா சாஸ், மிளகு மற்றும் உப்பு சேர்த்து தீயை அணைக்கவும். காய்கறிகளை நீண்ட நேரம் சமைக்க வேண்டாம். 30 நிமிடங்களுக்குப் பிறகு மாவை 9 சம பாகங்களாகப் பிரித்து உருண்டைகளாக உருட்டவும். உருண்டைகளை அழகாக உருட்டி, சிறிது எண்ணெய் தடவி, உருட்டப்பட்ட அனைத்து சிறிய தாள்களிலும் மாவுடன் தூவவும். ஒரு நேரத்தில் 3 ரொட்டிகளைத் தட்டி, முடிந்தவரை மெல்லியதாக உருட்டத் தொடங்குங்கள். இதேபோல் மற்ற 6 ரொட்டிகளையும் (மொத்தம் 3 தொகுதிகள்) செய்யவும். குறைந்த தீயில் ஒரு தவாவை சூடாக்கி, தண்டு ரொட்டிகளை வைத்து, இருபுறமும் 30 வினாடிகள் சூடாக்கவும் (குமிழி தோன்றும் வரை). அது சிறிது குளிர்ந்ததும், தாள்களை ஒவ்வொன்றாக அகற்றி, நீங்கள் விரும்பினால் அதை சதுர வடிவங்களில் வெட்டலாம். ஸ்டஃபிங்கை 9 பகுதிகளாகப் பிரித்து, முடிவில் வைத்து உருட்டவும். மைதா தண்ணீர் கலவையுடன் விளிம்புகளை மூடவும். ஸ்பிரிங் ரோல்களை குறைந்த - நடுத்தர வெப்பத்தில் அனைத்து பக்கங்களிலும் பொன்னிறமாக மாறும் வரை வறுக்கவும். அவ்வளவுதான், எங்கள் சுவையான மொறுமொறுப்பான ஸ்பிரிங் ரோல்களை கெட்ச்அப் அல்லது புளி சட்னியுடன் அனுபவிக்க தயாராக உள்ளன.</t>
  </si>
  <si>
    <t>https://blogger.googleusercontent.com/img/b/R29vZ2xl/AVvXsEjfUP1Qi0nKwqw2IFfIV7BjuYqa_RCC-DW9RSmG52dsugr6AHindAHTcrKXSpQ9qKJR4JI7j9-A0AyzpV6PzCu9I6uidbWC4lhLI-98rZXB8YLY1rvPjBn4GS8HVe-Y0SFZVhrhnvt5g0Y/s640/DSC03524.JPG</t>
  </si>
  <si>
    <t>Rava Dosa</t>
  </si>
  <si>
    <t>ரவா தோசை</t>
  </si>
  <si>
    <t>1 cup - Rava (200 grams), 1 cup - Rice flour (160 gram), 2 tbsp - Maida / all purpose flour, 2 tbsp - Curd, 1 tbsp - Finely chopped Ginger, 2 - Finely chopped Green chilies, 1/2 tsp - Cumin seeds, 1 tsp - Pepper corns, 1 - spring Finely chopped  Curry leaves, 1  - Onion (finely chopped ), Salt as required, plenty of water, Coriander leaves, Ghee or oil .</t>
  </si>
  <si>
    <t>1 கப் - ரவா (200 கிராம்), 1 கப் - அரிசி மாவு (160 கிராம்), 2 டேபிள் ஸ்பூன் - மைதா / அனைத்து வகையான மாவு, 2 டேபிள் ஸ்பூன் - தயிர், 1 டேபிள் ஸ்பூன் - நன்றாக நறுக்கிய இஞ்சி, 2 - நன்றாக நறுக்கிய பச்சை மிளகாய், 1/2 டேபிள் ஸ்பூன் - சீரகம், 1 டேபிள் ஸ்பூன் - மிளகு, 1 - வசந்த காலம் இறுதியாக நறுக்கிய கறிவேப்பிலை, 1 - வெங்காயம் (நறுக்கியது), தேவைக்கேற்ப உப்பு, நிறைய தண்ணீர், கொத்தமல்லி இலை, நெய் அல்லது எண்ணெய்.</t>
  </si>
  <si>
    <t>Into a mixing bowl add rava, rice flour, maida, curd, ginger, cumin, pepper, green chilies , curry leaves and salt. Mix well and add water to form a thin batter (we need to add more water for making rava dosa) Let it rest for 15 -20 minutes.  Now after 15 minutes add finely chopped onion and mix well, add more water if required. Batter should be very watery only then holes will be formed. Add more and more water if required.  Heat a tawa, Make sure the tawa is very hot. Pour a ladle of watery rava dosa mix and spread it all around the tawa. sprinkle some coriander leaves on the top and finally drizzle some oil or ghee on the top. Let it cook for 3 -4 minutes.   Once the Rawa dosa  turns golden and cripsy take it off from the pan. Rava dosai takes longer time to cook than the regular dosa, it takes minimum 3 - 4 minutes.  That's it our crispy and delicious rawa dosai is ready to be enjoyed with a cup of hot coffee and with chutney and Sambar.  Please do try this recipe at home and share it with your friends and family members. Spread the Joy of Cooking !!!</t>
  </si>
  <si>
    <t>ஒரு கலவை பாத்திரத்தில் ரவா, அரிசி மாவு, மைதா, தயிர், இஞ்சி, சீரகம், மிளகு, பச்சை மிளகாய், கறிவேப்பிலை மற்றும் உப்பு சேர்க்கவும். நன்கு கலந்து தண்ணீர் சேர்த்து மெல்லிய மாவை உருவாக்கவும் (ரவா தோசை செய்ய நாம் இன்னும் தண்ணீர் சேர்க்க வேண்டும்) 15 -20 நிமிடங்கள் அப்படியே வைக்கவும். இப்போது 15 நிமிடங்களுக்குப் பிறகு நன்றாக நறுக்கிய வெங்காயத்தைச் சேர்த்து நன்கு கலக்கவும், தேவைப்பட்டால் அதிக தண்ணீர் சேர்க்கவும். மாவு மிகவும் தண்ணீராக இருக்க வேண்டும், அப்போதுதான் துளைகள் உருவாகும். தேவைப்பட்டால் மேலும் மேலும் தண்ணீர் சேர்க்கவும். ஒரு தவாவை சூடாக்கி, தவா மிகவும் சூடாக இருப்பதை உறுதிசெய்து கொள்ளுங்கள். ஒரு கரண்டி தண்ணீர் ரவா தோசை கலவையை ஊற்றி தவா முழுவதும் பரப்பவும். மேலே சிறிது கொத்தமல்லி இலைகளைத் தூவி, இறுதியாக மேலே சிறிது எண்ணெய் அல்லது நெய்யைத் தூவவும். 3 -4 நிமிடங்கள் சமைக்க விடவும். ரவா தோசை பொன்னிறமாக மாறி மொறுமொறுப்பாக மாறியதும், அதை வாணலியில் இருந்து எடுக்கவும். வழக்கமான தோசையை விட ரவா தோசை சமைக்க அதிக நேரம் எடுக்கும், இது குறைந்தது 3 - 4 நிமிடங்கள் ஆகும். அவ்வளவுதான் எங்கள் மொறுமொறுப்பான மற்றும் சுவையான ரவா தோசையை ஒரு கப் சூடான காபி மற்றும் சட்னி மற்றும் சாம்பாருடன் அனுபவிக்க தயாராக உள்ளது. தயவுசெய்து இந்த செய்முறையை வீட்டிலேயே முயற்சி செய்து உங்கள் நண்பர்கள் மற்றும் குடும்ப உறுப்பினர்களுடன் பகிர்ந்து கொள்ளுங்கள். சமையலின் மகிழ்ச்சியைப் பரப்புங்கள் !!!</t>
  </si>
  <si>
    <t>https://blogger.googleusercontent.com/img/b/R29vZ2xl/AVvXsEgd7qjbSPecyPT9KVfS2biufWLjGl0LXI35hVSZCOAi229PTaJogvbsiKYalpcUxeqlu2ttwHytzHpMc_u_YNnPzdXTaLZiFFd6qhArZTLFXmIYXttMSBmnNvKGCg9eJBIwYipDPoPFJn4/s640/0.JPG</t>
  </si>
  <si>
    <t>Pizza Sauce</t>
  </si>
  <si>
    <t>பீட்சா சாஸ்</t>
  </si>
  <si>
    <t>6 - Tomatoes, 1/2 - Onion, 4  - Kashmiri Chilies or regular Chilies, 1 tbsp - Olive oil, 3 - Cloves of Garlic(minced), 2-4 tbsp - Tomato Ketchup , 1 tsp - Vinegar(optional) , 1/4 tsp - Chili flakes, 1/4 tsp - Pepper powder, 2 tsp - Sugar, 1/4 tsp - Basil, 1 tsp - Oregano, Salt as required.</t>
  </si>
  <si>
    <t>6 - தக்காளி, 1/2 - வெங்காயம், 4 - காஷ்மீர் மிளகாய் அல்லது வழக்கமான மிளகாய், 1 டேபிள் ஸ்பூன் - ஆலிவ் எண்ணெய், 3 - பூண்டு பல் (நறுக்கியது), 2-4 டேபிள் ஸ்பூன் - தக்காளி கெட்ச்அப், 1 டேபிள் ஸ்பூன் - வினிகர் (விரும்பினால்), 1/4 டேபிள் ஸ்பூன் - மிளகாய்த் துண்டுகள், 1/4 டேபிள் ஸ்பூன் - மிளகுத் தூள், 2 டேபிள் ஸ்பூன் - சர்க்கரை, 1/4 டேபிள் ஸ்பூன் - துளசி, 1 டேபிள் ஸ்பூன் - ஆர்கனோ, தேவைக்கேற்ப உப்பு.</t>
  </si>
  <si>
    <t>Make X cut at the bottom of the tomatoes and remove the eye of the them. Add the tomatoes +Onion + chilies into boiling water and cook for 2 -3 minutes. Take it out from hot water and peel the skin of the tomatoes.  Add the cooked onion and chilies and grind it to a paste. Then add the tomatoes and grind it coarse paste.  Heat oil in a pan and garlic and cook until the raw smell is gone. Then add the onion tomato paste and cook for sometime until it thickens slightly.  Taste the mix, if you feel its already too sour add 2 tbsp of tomato ketchup, else add more to suit your preference. I have added 4 tbsp of Tomato ketchup. Similarly add vinegar if required. Then add chili flakes, pepper powder and sugar to balance the sourness. Cook for a couple of minutes and finally add seasoning - basil and oregano and cook until it thickens.  That's it our delicious pizza sauce is ready to be applied over pizza. Refrigerate the remaining sauce and can be use later.</t>
  </si>
  <si>
    <t>தக்காளியின் அடிப்பகுதியில் X வெட்டு செய்து அவற்றின் கண்ணை நீக்கவும். தக்காளி + வெங்காயம் + மிளகாய்களை கொதிக்கும் நீரில் சேர்த்து 2 -3 நிமிடங்கள் சமைக்கவும். 
சூடான நீரில் இருந்து எடுத்து தக்காளியின் தோலை உரிக்கவும். சமைத்த வெங்காயம் மற்றும் மிளகாய்களைச் சேர்த்து ஒரு பேஸ்டாக அரைக்கவும். பின்னர் தக்காளியைச் சேர்த்து கரடுமுரடான பேஸ்டாக அரைக்கவும். 
ஒரு கடாயில் எண்ணெய் ஊற்றி பூண்டை சூடாக்கி, பச்சை வாசனை போகும் வரை வதக்கவும். பின்னர் வெங்காய தக்காளி விழுதைச் சேர்த்து சிறிது கெட்டியாகும் வரை சிறிது நேரம் வதக்கவும். கலவையை ருசித்துப் பாருங்கள், ஏற்கனவே புளிப்பு அதிகமாக இருந்தால் 2 டேபிள் ஸ்பூன் தக்காளி கெட்ச்அப் சேர்க்கவும், இல்லையெனில் உங்கள் விருப்பத்திற்கு ஏற்ப மேலும் சேர்க்கவும். நான் 4 டேபிள் ஸ்பூன் தக்காளி கெட்ச்அப் சேர்த்துள்ளேன். இதேபோல் தேவைப்பட்டால் வினிகரைச் சேர்க்கவும். பின்னர் மிளகாய்த்தூள், மிளகுத்தூள் மற்றும் சர்க்கரை சேர்த்து புளிப்பைச் சமப்படுத்தவும். இரண்டு நிமிடங்கள் சமைக்கவும், இறுதியாக மசாலா - துளசி மற்றும் ஆர்கனோவைச் சேர்த்து கெட்டியாகும் வரை சமைக்கவும். அவ்வளவுதான், எங்கள் சுவையான பீட்சா சாஸ் பீட்சா மீது தடவ தயாராக உள்ளது. 
மீதமுள்ள சாஸை குளிர்சாதன பெட்டியில் வைக்கவும், பின்னர் பயன்படுத்தலாம்.</t>
  </si>
  <si>
    <t>https://blogger.googleusercontent.com/img/b/R29vZ2xl/AVvXsEhuxH7OSy91eMSsLEn3aNWgQcDFmZRfWLCdb_edxwMkeERAKpZI0K9hMoPDdmFiHOZzc5YVSbxY3jPcnqQ35uJ1CVTQgjWKAXpPWu0ITg7WELFFFUXrX6h3F3yq7rgxML-3rfybl1yWYHU/s640/editted.jpg</t>
  </si>
  <si>
    <t>Vegetable Pizza</t>
  </si>
  <si>
    <t>காய்கறி பீட்சா</t>
  </si>
  <si>
    <t>1 cup - warm water (250 ml), 2 tsp - Sugar (8 gram), 1.5 tsp - Yeast (5 g), 1 cup - warm water (250 ml), 2 tbsp - Oil (30 ml), 1.5 tsp - Salt, 2.5 cup - All Purpose flour (350 g), 1/4 cup - Pizza Sauce, Toppings  Sliced ( onion + Capsicum+Mushroom + Olives) , 1/4 tsp  - Italian seasoning , 250 g - Mozzarella Cheese , 100 g  - Cheddar Cheese (optional) .</t>
  </si>
  <si>
    <t>1 கப் - வெதுவெதுப்பான நீர் (250 மிலி), 2 தேக்கரண்டி - சர்க்கரை (8 கிராம்), 1.5 தேக்கரண்டி - ஈஸ்ட் (5 கிராம்), 1 கப் - வெதுவெதுப்பான நீர் (250 மிலி), 2 தேக்கரண்டி - எண்ணெய் (30 மிலி), 1.5 தேக்கரண்டி - உப்பு, 2.5 கப் - அனைத்து உபயோக மாவு (350 கிராம்), 1/4 கப் - பீட்சா சாஸ், வெங்காயம் + கேப்சிகம் + காளான் + ஆலிவ்ஸ்) நறுக்கிய மேல்புறங்கள், 1/4 தேக்கரண்டி - இத்தாலிய மசாலா, 250 கிராம் - மொஸரெல்லா சீஸ், 100 கிராம் - செடார் சீஸ் (விரும்பினால்).</t>
  </si>
  <si>
    <t>In a bowl add warm water, sugar and yeast. Mix well and leave it at room temperature until the yeast gets activated.   Now in a mixing bowl add maida, salt, oil and yeast mixture. Mix well and knead for at least 10 minutes. Initially the dough will be sticking to the hands after 10 minutes it will not stick. Coat with some oil and cover with a wet cloth and leave it at room temperature until it doubles in size. It takes approximately 1.30 to 2 hours.   Once the dough is doubled in size give it a punch and transfer it to a work area. I am going to make 2 pizzas one for the oven and one for cooker. So i have cut them into 1 small and 1 large pizza ball.  Spread the dough over a pizza pan and poke it with a fork to prevent the dough from rising while baking.  spread a layer of pizza sauce, shredded mozzarella , cheddar cheese is optional (it gives nice color to the pizza. Then add onions, capsicum, mushroom and olives. Finally spread cheese on top and sprinkle some oregano.  Bake it at 450 F / 230 C for 15 - 17 minutes. Similarly bake it in the cooker on high heat for 13 -15 minutes without the cooker weight.(preheat the cooker with a layer of salt on high flame for 15 minutes)  Serve the pizza while its hot. Spread the Joy of Cooking !!!</t>
  </si>
  <si>
    <t>ஒரு பாத்திரத்தில் வெதுவெதுப்பான நீர், சர்க்கரை மற்றும் ஈஸ்ட் சேர்க்கவும். நன்கு கலந்து, ஈஸ்ட் செயல்படும் வரை அறை வெப்பநிலையில் விடவும். இப்போது ஒரு கலவை கிண்ணத்தில் மைதா, உப்பு, எண்ணெய் மற்றும் ஈஸ்ட் கலவையை சேர்க்கவும். நன்கு கலந்து குறைந்தது 10 நிமிடங்கள் பிசையவும். ஆரம்பத்தில் மாவு 10 நிமிடங்களுக்குப் பிறகு கைகளில் ஒட்டிக்கொண்டிருக்கும், அது ஒட்டாது. சிறிது எண்ணெய் தடவி, ஈரமான துணியால் மூடி, அறை வெப்பநிலையில் அதன் அளவு இரட்டிப்பாகும் வரை விடவும். இது தோராயமாக 1.30 முதல் 2 மணி நேரம் ஆகும். மாவு இரட்டிப்பாகியதும், அதை ஒரு பஞ்ச் கொடுத்து வேலை செய்யும் பகுதிக்கு மாற்றவும். நான் 2 பீட்சாக்களை செய்யப் போகிறேன், ஒன்று அடுப்புக்கும் மற்றொன்று குக்கருக்கும். எனவே நான் அவற்றை 1 சிறிய மற்றும் 1 பெரிய பீட்சா பந்துகளாக வெட்டினேன். ஒரு பீட்சா பாத்திரத்தில் மாவை பரப்பி, பேக்கிங் செய்யும் போது மாவு உயராமல் இருக்க ஒரு முட்கரண்டி கொண்டு குத்தவும். பீட்சா சாஸ், துருவிய மொஸெரெல்லா, செடார் சீஸ் ஆகியவற்றை ஒரு அடுக்கு பரப்பவும் (இது பீட்சாவிற்கு நல்ல நிறத்தைத் தரும். பின்னர் வெங்காயம், கேப்சிகம், காளான் மற்றும் ஆலிவ்களைச் சேர்க்கவும். இறுதியாக மேலே சீஸ் தடவி சிறிது ஆர்கனோவைத் தூவவும். 450 F / 230 C வெப்பநிலையில் 15 - 17 நிமிடங்கள் சுடவும். அதேபோல் குக்கரில் அதிக வெப்பத்தில் 13 - 15 நிமிடங்கள் குக்கர் எடை இல்லாமல் சுடவும். (குக்கரை அதிக தீயில் ஒரு அடுக்கு உப்பு சேர்த்து 15 நிமிடங்கள் முன்கூட்டியே சூடாக்கவும்) பீட்சா சூடாக இருக்கும்போது பரிமாறவும். சமையலின் மகிழ்ச்சியைப் பரப்புங்கள் !!!</t>
  </si>
  <si>
    <t>https://blogger.googleusercontent.com/img/b/R29vZ2xl/AVvXsEj-lnGy1CHBRIeedmkJPC6_W7pnzGyID2gr8ff-zGshANUBW5kMJQukwgsRLkk1LjLJYRa9ZZ8bCElYcD4imMxqPaHUGYlfcd5tmggez934pYnQgl0vpzUfcZXHrh8A1VZ_8tbYjIO79u8/s640/editted.jpg</t>
  </si>
  <si>
    <t>English Toffee</t>
  </si>
  <si>
    <t>ஆங்கில டாஃபி</t>
  </si>
  <si>
    <t>200 g  - Butter (unsalted Butter) , 200 g - Sugar (1 cup) , 1/8 tsp - Salt, 2 tbsp - Water, Cashews (optional), Chocolate (optional).</t>
  </si>
  <si>
    <t>200 கிராம் - வெண்ணெய் (உப்பு சேர்க்காத வெண்ணெய்), 200 கிராம் - சர்க்கரை (1 கப்), 1/8 தேக்கரண்டி - உப்பு, 2 தேக்கரண்டி - தண்ணீர், முந்திரி (விரும்பினால்), சாக்லேட் (விரும்பினால்).</t>
  </si>
  <si>
    <t>Heat butter, Sugar, water, Salt in a pan over medium heat. Do not reduce the amount of butter, toffee will turn hard. Stir it continuously. It will soon begin to change its color.   As you can see it has started changing its color, keep on stirring until it reaches 310 F or 155 C. Keep on medium heat or it soon become dark and tastes bitter. Once it reaches that particular consistency turn off the heat , if we cook longer then it will turn hard and will taste bitter.   If you don't have a thermometer then pour a spoon full of sugar - butter mixture into a bowl of cold water (chill water) , if it breaks instantly then the consistency of the toffee mix is perfect. if it doesn't become hard and it you can press it then the consistency is incorrect, we need to heat little longer.   Immediately pour the mix to a wide pan and sprinkle some roasted cashews on top, we can also use almonds, pistachio and walnuts. I have divided it into two and have spread some chocolate over other half and then topped with nuts. Allow it to cool for 2 -3 hours before breaking.  It will be easy to break , That's it our delicious English Butter Toffee is ready to be enjoyed. Please do try this recipe and share it with your friends and family.</t>
  </si>
  <si>
    <t>வெண்ணெய், சர்க்கரை, தண்ணீர், உப்பு ஆகியவற்றை ஒரு பாத்திரத்தில் மிதமான தீயில் சூடாக்கவும். வெண்ணெயின் அளவைக் குறைக்காதீர்கள், டாஃபி கெட்டியாக மாறும். தொடர்ந்து கிளறவும். அது விரைவில் அதன் நிறத்தை மாற்றத் தொடங்கும். நீங்கள் பார்க்க முடியும் என, அது அதன் நிறத்தை மாற்றத் தொடங்கியுள்ளது, அது 310 F அல்லது 155 C அடையும் வரை கிளறவும். நடுத்தர வெப்பத்தில் வைத்திருங்கள் அல்லது அது விரைவில் கருமையாகவும் கசப்பாகவும் மாறும். அது குறிப்பிட்ட நிலைத்தன்மையை அடைந்ததும், வெப்பத்தை அணைக்கவும், நாம் நீண்ட நேரம் சமைத்தால் அது கடினமாகவும் கசப்பாகவும் இருக்கும். உங்களிடம் தெர்மோமீட்டர் இல்லையென்றால், ஒரு ஸ்பூன் சர்க்கரை - வெண்ணெய் கலவையை குளிர்ந்த நீரில் (குளிர்ந்த நீர்) ஊற்றவும், அது உடனடியாக உடைந்தால், டாஃபி கலவையின் நிலைத்தன்மை சரியானது. அது கடினமாகவில்லை என்றால், நீங்கள் அதை அழுத்தினால், நிலைத்தன்மை தவறாக இருக்கும், நாம் சிறிது நேரம் சூடாக்க வேண்டும். உடனடியாக கலவையை ஒரு அகலமான பாத்திரத்தில் ஊற்றி, மேலே வறுத்த முந்திரியைத் தூவவும், பாதாம், பிஸ்தா மற்றும் வால்நட்ஸையும் பயன்படுத்தலாம். நான் அதை இரண்டாகப் பிரித்து, மற்ற பாதியின் மீது சிறிது சாக்லேட்டைப் பரப்பி, அதன் மேல் கொட்டைகளைப் போட்டு கலக்கினேன். 2-3 மணி நேரம் ஆற விடவும், பின்னர் உடைக்கவும். உடைப்பது எளிதாக இருக்கும், அவ்வளவுதான் எங்கள் சுவையான இங்கிலீஷ் பட்டர் டாஃபி சுவைக்கத் தயாராக உள்ளது. தயவுசெய்து இந்த ரெசிபியை முயற்சி செய்து உங்கள் நண்பர்கள் மற்றும் குடும்பத்தினருடன் பகிர்ந்து கொள்ளுங்கள்.</t>
  </si>
  <si>
    <t>https://blogger.googleusercontent.com/img/b/R29vZ2xl/AVvXsEhf9_8UbgZYyxMFPG6_yWMbOaD_qE8nmefsM5QrbdZQirScGxrt-vwDWGw9o1Mr9VZfgTXZvTVWq7tn5XOhfNZItzdc103lQEBnH0UzSYE7KRyE3BKs43Yw4n3UInVjnUsMKcnNn5fV9KE/s640/7.JPG</t>
  </si>
  <si>
    <t>Coconut Milk Rice</t>
  </si>
  <si>
    <t>2 tbsp  - Ghee, 1 - Cinnamon stick,  1 - Bay leaves 2 -  Cardamom,  3 - Cloves,  6 - pepper cons, 1/2 tsp - Cumin seeds, 10-12 - Cashew Nuts, 1 tbsp - Finely chopped Ginger, 2-3  - Green Chilies , 1 - Onion, 1/4 cup - Green Peas , 1  - Carrot, 1 cup - Basmati Rice, 2 cup - Coconut Milk, Coriander and Mint leaves, Salt to Taste.</t>
  </si>
  <si>
    <t>2 டேபிள் ஸ்பூன் - நெய், 1 - இலவங்கப்பட்டை, 1 - பிரியாணி இலைகள் 2 - ஏலக்காய், 3 - கிராம்பு, 6 - மிளகு, 1/2 டேபிள் ஸ்பூன் - சீரகம், 10-12 - முந்திரி பருப்பு, 1 டேபிள் ஸ்பூன் - இறுதியாக நறுக்கிய இஞ்சி, 2,3 - பச்சை மிளகாய், 1 - வெங்காயம், 1/4 கப் - பச்சை பட்டாணி, 1 - கேரட், 1 கப் - பாஸ்மதி அரிசி, 2 கப் - தேங்காய் பால், கொத்தமல்லி மற்றும் புதினா இலைகள், சுவைக்கு உப்பு.</t>
  </si>
  <si>
    <t>Melt ghee in a pan and add the whole spices - cinnamon stick, bay leaves, cardamom, cloves and pepper corns,Cumin seeds,  Ginger , green chilies and cashews. Saute it for a minute. Add 1 sliced onion and cook for 3-4 minutes until it turns golden.  Next add the vegetables ,I have used peas and carrot, you can add any vegetables of your choice. Mix it well and let it cook for 2 minutes. If you are using dry peas then soak it overnight and then cook it slightly and add it along with other vegetables. Drain the water and add the soaked basmatic rice (soaked in water for 15minutes) ,  The ratio of Rice to coconut milk is 1 : 2 so for 1 cup of rice we need 2 cups of coconut milk. If you wanna make them in pressure cooker then cook for 1 whistle on medium heat. Add salt and check for salt, the water should taste little salty indicating the amount of salt s correct. Cover and cook on a medium heat until all the water has been absorbed by the rice or until the rice is fully cooked.  Finally add coriander and mint leaves. Once done flip the rice gently and serve. That's it our delicious Thengai pal Sadam is ready to be enjoyed with Ennai kathirikai, Paneer butter Masala, Chicken gravy etc...</t>
  </si>
  <si>
    <t>ஒரு கடாயில் நெய்யை உருக்கி, முழு மசாலாப் பொருட்களையும் சேர்க்கவும் - இலவங்கப்பட்டை, பிரியாணி இலைகள், ஏலக்காய், கிராம்பு மற்றும் மிளகு சோளம், சீரகம், இஞ்சி, பச்சை மிளகாய் மற்றும் முந்திரி. ஒரு நிமிடம் வதக்கவும். 1 துண்டுகளாக்கப்பட்ட வெங்காயத்தைச் சேர்த்து 3-4 நிமிடங்கள் பொன்னிறமாகும் வரை சமைக்கவும். அடுத்து காய்கறிகளைச் சேர்க்கவும், நான் பட்டாணி மற்றும் கேரட்டைப் பயன்படுத்தினேன், நீங்கள் விரும்பும் எந்த காய்கறிகளையும் சேர்க்கலாம். நன்றாகக் கலந்து 2 நிமிடங்கள் சமைக்கவும். நீங்கள் உலர்ந்த பட்டாணியைப் பயன்படுத்துகிறீர்கள் என்றால், அதை இரவு முழுவதும் ஊறவைத்து, பின்னர் சிறிது வேகவைத்து, மற்ற காய்கறிகளுடன் சேர்க்கவும். தண்ணீரை வடிகட்டி, ஊறவைத்த பாஸ்மாடிக் அரிசியைச் சேர்க்கவும் (15 நிமிடங்கள் தண்ணீரில் ஊறவைக்கவும்), அரிசி மற்றும் தேங்காய்ப் பாலின் விகிதம் 1: 2, எனவே 1 கப் அரிசிக்கு 2 கப் தேங்காய்ப் பால் தேவைப்படும். நீங்கள் அவற்றை பிரஷர் குக்கரில் சமைக்க விரும்பினால், நடுத்தர வெப்பத்தில் 1 விசில் வரை சமைக்கவும். உப்பு சேர்த்து உப்பு இருக்கிறதா என்று சரிபார்க்கவும், தண்ணீர் சிறிது உப்பு சுவைக்க வேண்டும், இது உப்பின் அளவு சரியாக இருப்பதைக் குறிக்கிறது. அரிசி அனைத்து தண்ணீரும் உறிஞ்சப்படும் வரை அல்லது அரிசி முழுமையாக வேகும் வரை மூடி மிதமான வெப்பத்தில் சமைக்கவும். கடைசியாக கொத்தமல்லி மற்றும் புதினா இலைகளைச் சேர்க்கவும். சாதத்தை மெதுவாகப் புரட்டிப் பரிமாறவும். அவ்வளவுதான், எங்கள் சுவையான தேங்காய் பால் சாதம், என்னை கத்திரிக்காய், பனீர் வெண்ணெய் மசாலா, சிக்கன் கிரேவி போன்றவற்றுடன் சுவைக்கத் தயாராக உள்ளது...</t>
  </si>
  <si>
    <t>https://blogger.googleusercontent.com/img/b/R29vZ2xl/AVvXsEgg75wJeeeas0ug2nk8Bwn49Cd4zBBNJuA_IGF-aGwXl_AUE3yujsIPixe0SrgXDdL2oM5Eqv2T6jTda5jv_AJIov4DPDXIxtv0-jWlMO0r9dmhIorR2luXQOY4AZrRnHUKF8wtOFsE_IU/s640/1.JPG</t>
  </si>
  <si>
    <t>Choco Lava Cake</t>
  </si>
  <si>
    <t>சோகோ லாவா கேக்</t>
  </si>
  <si>
    <t>100 g  - Semi sweet chocolate or milk chocolate , 4 tbsp - Butter (50 gram) , 1/2 cup - Maida (65 gram), 1/2 cup - Sugar (powdered) 100 gram, 1/4 cup - Cocoa powder (25 gram), 1/2 tsp - Baking powder, 1/8 tsp - Baking soda, 1/8 tsp - Salt, 3/4 cup - Milk, 2 tbsp - Curd, 1 tsp - Vanilla Extract.</t>
  </si>
  <si>
    <t>100 கிராம் - அரை இனிப்பு சாக்லேட் அல்லது பால் சாக்லேட், 4 டீஸ்பூன் - வெண்ணெய் (50 கிராம்), 1/2 கப் - மைதா (65 கிராம்), 1/2 கப் - சர்க்கரை (பொடித்தது) 100 கிராம், 1/4 கப் - கோகோ பவுடர் (25 கிராம்), 1/2 டீஸ்பூன் - பேக்கிங் பவுடர், 1/8 டீஸ்பூன் - பேக்கிங் சோடா, 1/8 டீஸ்பூன் - உப்பு, 3/4 கப் - பால், 2 டீஸ்பூன் - தயிர், 1 டீஸ்பூன் - வெண்ணிலா சாறு.</t>
  </si>
  <si>
    <t>Melt chocolate and butter in a double boiler. I have taken milk chocolate, we can use both semi sweet and bitter sweet chocolate, Dairy milk also works just fine.   In a mixing bowl sift flour, powdered sugar, cocoa powder, baking soda, baking powder, salt . Then add in milk, curd and vanilla extract. Mix well. Finally add the melted chocolate and combine well.   Now lets prep the ramekin, we can also use deep saucers to make this recipe. First grease the ramekin with butter and then sprinkle flour on all the sides and tap it to get rid of excess flour. Pour the batter into the prepared bowl, do not overfill, until 3/4 of the bowl.  Preheat the oven to 450 F and bake for 8 -9 minutes. Baking time is little hard to be exact on this recipe, based on the size of the pan, amount of batter , oven temperature the baking time may vary, If we bake it for 1 more minute then the cake will be fully formed and there will not be any lava, similarly if we take it before one minute then the outer cake will not be formed .So dont be worried for the first time, next time we can perfect the recipe by adjusting the time.  preheat the cooker with a layer of salt and a wire stand to elevate the pan from touching to the salt for 15 heat on high heat . Place the ramekin and immediately close the lid and cook for 10 -12 minutes on medium-high.     Once its slightly cooled sprinkle with powdered sugar and cut it open to enjoy the chocolate lava. Please do try this recipe at home and share it with your friends and loved ones. Spread the Joy of Cooking !!!.</t>
  </si>
  <si>
    <t>சாக்லேட் மற்றும் வெண்ணெய் ஆகியவற்றை டபுள் பாய்லரில் உருக்கவும். நான் மில்க் சாக்லேட் எடுத்துள்ளேன், அரை இனிப்பு மற்றும் கசப்பான இனிப்பு சாக்லேட் இரண்டையும் பயன்படுத்தலாம், பால் பாலும் நன்றாக வேலை செய்கிறது. ஒரு கலவை கிண்ணத்தில் மாவு, தூள் சர்க்கரை, கோகோ பவுடர், பேக்கிங் சோடா, பேக்கிங் பவுடர், உப்பு ஆகியவற்றை சலிக்கவும். பின்னர் பால், தயிர் மற்றும் வெண்ணிலா சாறு சேர்க்கவும். நன்றாக கலக்கவும். இறுதியாக உருகிய சாக்லேட்டை சேர்த்து நன்கு கலக்கவும். இப்போது ரமேக்கின் தயார் செய்யலாம், இந்த செய்முறையை தயாரிக்க ஆழமான சாஸர்களையும் பயன்படுத்தலாம். முதலில் ரமேக்கினில் வெண்ணெய் தடவி, பின்னர் அனைத்து பக்கங்களிலும் மாவைத் தூவி, அதிகப்படியான மாவை அகற்ற அதைத் தட்டவும். தயாரிக்கப்பட்ட கிண்ணத்தில் மாவை ஊற்றவும், கிண்ணத்தின் 3/4 வரை அதிகமாக நிரப்ப வேண்டாம். அடுப்பை 450 F க்கு முன்கூட்டியே சூடாக்கி 8 -9 நிமிடங்கள் சுடவும். பேக்கிங் நேரம் இந்த செய்முறையில் சரியாகச் சொல்வது கடினம், பாத்திரத்தின் அளவு, மாவின் அளவு, அடுப்பு வெப்பநிலை ஆகியவற்றைப் பொறுத்து பேக்கிங் நேரம் மாறுபடலாம். நாம் அதை இன்னும் 1 நிமிடம் சுட்டால், கேக் முழுமையாக உருவாகும், எந்த எரிமலைக் குழம்பும் இருக்காது, அதேபோல் நாம் அதை ஒரு நிமிடத்திற்கு முன் எடுத்தால், வெளிப்புற கேக் உருவாகாது. எனவே முதல் முறையாக கவலைப்பட வேண்டாம், அடுத்த முறை நேரத்தை சரிசெய்வதன் மூலம் செய்முறையை சரியாகச் செய்யலாம். குக்கரை உப்பு அடுக்கு மற்றும் ஒரு கம்பி ஸ்டாண்டால் சூடாக்கி, வாணலியை உப்பு தொடுவதை விட அதிக வெப்பத்தில் 15 நிமிடங்கள் உயர்த்தவும். ரமேக்கினை வைத்து உடனடியாக மூடியை மூடி, நடுத்தர-உயர் வெப்பநிலையில் 10 -12 நிமிடங்கள் சமைக்கவும். சிறிது ஆறியதும், அதன் மீது சர்க்கரைப் பொடியைத் தூவி, சாக்லேட் லாவாவை ருசிக்க வெட்டிப் பாருங்கள். இந்த ரெசிபியை வீட்டிலேயே முயற்சி செய்து உங்கள் நண்பர்கள் மற்றும் அன்பானவர்களுடன் பகிர்ந்து கொள்ளுங்கள். சமையல் மகிழ்ச்சியைப் பரப்புங்கள்!!!.</t>
  </si>
  <si>
    <t>https://blogger.googleusercontent.com/img/b/R29vZ2xl/AVvXsEjkVVTr3cSVYyUpw9EQ_0NwYlt-Ynrn6C2OEZj2_7tkR-9Wtu05mx1w3wvXlSQfXIeF_nZxOliuCdPvDv3kSlJBk6xxzUKl962nSs_8fk4rj70Laaznvhelbg3X4qqlwV40WEAu0ntxkQ0/s640/15.JPG</t>
  </si>
  <si>
    <t>Sweet Pongal</t>
  </si>
  <si>
    <t>இனிப்புப் பொங்கல்</t>
  </si>
  <si>
    <t>1 tsp - Ghee , 1 tbsp - (roasting nuts) , 1 cup - Raw Rice, 1/2 cup - Moong Dal, 2 cup - Jaggery (400g) ,  4 cup - Water, 1 cup - Milk, 10-12 - Cashew nuts, 2 tbsp - Raisins, 1 tsp - Cardamom powder.</t>
  </si>
  <si>
    <t>1 தேக்கரண்டி - நெய், 1 தேக்கரண்டி - (வறுத்த கொட்டைகள்), 1 கப் - பச்சரிசி, 1/2 கப் - பாசிப்பருப்பு, 2 கப் - வெல்லம் (400 கிராம்), 4 கப் - தண்ணீர், 1 கப் - பால், 10-12 - முந்திரி பருப்பு, 2 தேக்கரண்டி - திராட்சை, 1 தேக்கரண்டி - ஏலக்காய் தூள்.</t>
  </si>
  <si>
    <t>Melt ghee in a cooker and roast dal over medium heat for a couple of minutes. Dal should not change its color. Once you feel the nice aroma of the dal add rice and mix well (I have rinsed  the rice in water for couple of times)  Next lets add water,  For (1 cup rice +.5 cup dal ) we will need 5 cups of water. I have used 4 cups of water and 1 cup milk (milk gives richness to the recipe) , You can skip milk and add water if you prefer. Cover and let it cook for 4 to 5 whistles on a medium heat. We need to cook the rice until turns soft and mushy, that is the reason we are adding more water.   Melt ghee and roast cashews and raisins and keep it aside. Now in the same pan add powdered jaggey, water and melt. Strain the jaggery syrup to collect any dirt.   Add the jaggery syrup to the cooked rice and dal and mix well. Finally add cardamom powder, roasted nuts and plenty of ghee and mix well. Cook for 2 more minutes and turn off the heat.  That's it our delicious sweet pongal /  sakkarai pongal is ready to be enjoyed :) Please do try this recipe at home and share it with your friends and family. Spread the joy of cooking !!!!</t>
  </si>
  <si>
    <t>ஒரு குக்கரில் நெய்யை உருக்கி, மிதமான தீயில் பருப்பை ஓரிரு நிமிடங்கள் வறுக்கவும். பருப்பின் நிறம் மாறக்கூடாது. பருப்பின் நல்ல மணம் வந்ததும், அரிசியைச் சேர்த்து நன்றாகக் கலக்கவும் (நான் அரிசியை இரண்டு முறை தண்ணீரில் கழுவிவிட்டேன்) அடுத்து தண்ணீர் சேர்க்கலாம், (1 கப் அரிசி +.5 கப் பருப்பு) க்கு 5 கப் தண்ணீர் தேவைப்படும். நான் 4 கப் தண்ணீர் மற்றும் 1 கப் பால் (பால் செய்முறைக்கு செழுமையைத் தருகிறது) பயன்படுத்தியுள்ளேன், நீங்கள் விரும்பினால் பாலை விட்டுவிட்டு தண்ணீர் சேர்க்கலாம். மூடி வைத்து, மிதமான தீயில் 4 முதல் 5 விசில் வரை சமைக்கவும். அரிசி மென்மையாகவும், மிருதுவாகவும் மாறும் வரை சமைக்க வேண்டும், அதனால்தான் நாங்கள் அதிக தண்ணீர் சேர்க்கிறோம். நெய்யை உருக்கி, முந்திரி மற்றும் திராட்சையை வறுத்து, ஒதுக்கி வைக்கவும். இப்போது அதே வாணலியில் பொடித்த வெல்லம், தண்ணீர் சேர்த்து உருகவும். எந்த அழுக்கையும் சேகரிக்க வெல்ல சிரப்பை வடிகட்டவும். வெல்ல சிரப்பை சமைத்த அரிசி மற்றும் பருப்பில் சேர்த்து நன்கு கலக்கவும். இறுதியாக ஏலக்காய் தூள், வறுத்த கொட்டைகள் மற்றும் நிறைய நெய் சேர்த்து நன்கு கலக்கவும். இன்னும் 2 நிமிடங்கள் சமைத்து, அடுப்பை அணைக்கவும். அவ்வளவுதான் எங்கள் சுவையான இனிப்பு பொங்கல் / சக்கரை பொங்கல் சுவைக்க தயாராக உள்ளது :) தயவுசெய்து இந்த செய்முறையை வீட்டிலேயே முயற்சி செய்து உங்கள் நண்பர்கள் மற்றும் குடும்பத்தினருடன் பகிர்ந்து கொள்ளுங்கள். சமைப்பதில் மகிழ்ச்சியைப் பரப்புங்கள் !!!!</t>
  </si>
  <si>
    <t>https://blogger.googleusercontent.com/img/b/R29vZ2xl/AVvXsEgXheyxeNFhe3OxYDDvBLM0c0YuBge9Nc93p84KD3CHLbUzKj-QiBayrTTloVZeIvspS260uqEMPNcGz2VnYZydbvexnpiYC0hDE_IX9shBBJa05ZpahP7YGC7RUISRgOL8kDDmKGYO2ms/s640/0.JPG</t>
  </si>
  <si>
    <t>Potato Smiley</t>
  </si>
  <si>
    <t>உருளைக்கிழங்கு ஸ்மைலி</t>
  </si>
  <si>
    <t>4 medium - Potatoes (boiled), 2 tbsp - bread crumbs, 2 tbsp  - corn flour, 1/2 tsp - Chili powder, 1/4 tsp - Pepper powder, Salt to taste, Oil for frying.</t>
  </si>
  <si>
    <t>4 நடுத்தர - ​​உருளைக்கிழங்கு (வேகவைத்தது), 2 தேக்கரண்டி - ரொட்டித் தூள், 2 தேக்கரண்டி - சோள மாவு, 1/2 தேக்கரண்டி - மிளகாய்த் தூள், 1/4 தேக்கரண்டி - மிளகுத் தூள், சுவைக்கு உப்பு, பொரிப்பதற்கு எண்ணெய்.</t>
  </si>
  <si>
    <t>Boil and grate 4 medium sized potatoes, we can also smash the potatoes but for even size i would recommend to grate the potatoes after boiling.   Season the grated potatoes with salt, pepper, chili powder, corn flour and bread crumbs. If you dont have bread crumbs then grind 1 bread slice in a mixie and add it to the potatoes. Without adding water knead it into a dough, If you feel the dough is watery or sticky then add little more bread crumbs or corn flour to make it thick.   Grease the broad and rolling pin with oil and roll the dough thin (about 1/2 cm in thickness). Then with a sharp edge of a lid press it down to cut circles. Then with a straw make 2 holes for the eyes and with a edge of a spoon make a cure for the beautiful smile. Again roll the leftover dough and make more smilies.   Once the oil is nice and hot add the smiley one by one and fry until crispy and golden. Enjoy this crispy delicious smiley with a smile on your face. Spread the JOY OF COOKING !!!</t>
  </si>
  <si>
    <t>4 நடுத்தர அளவிலான உருளைக்கிழங்கை வேகவைத்து துருவவும், உருளைக்கிழங்கையும் நசுக்கலாம், ஆனால் சம அளவில் உருளைக்கிழங்கை கொதித்த பிறகு துருவ பரிந்துரைக்கிறேன். துருவிய உருளைக்கிழங்கை உப்பு, மிளகு, மிளகாய்த் தூள், சோள மாவு மற்றும் ரொட்டித் தூள் ஆகியவற்றுடன் தாளிக்கவும். உங்களிடம் ரொட்டித் தூள் இல்லையென்றால், 1 ரொட்டித் துண்டை மிக்ஸியில் அரைத்து உருளைக்கிழங்கில் சேர்க்கவும். தண்ணீர் சேர்க்காமல் மாவாகப் பிசையவும், மாவு நீர்த்துப்போகும் அல்லது ஒட்டும் என்று நீங்கள் உணர்ந்தால், அதை கெட்டியாக மாற்ற இன்னும் கொஞ்சம் ரொட்டித் தூள் அல்லது சோள மாவு சேர்க்கவும். அகலமான மற்றும் உருளும் பின்னில் எண்ணெயை தடவி, மாவை மெல்லியதாக (சுமார் 1/2 செ.மீ தடிமன்) உருட்டவும். பின்னர் ஒரு மூடியின் கூர்மையான விளிம்பைப் பயன்படுத்தி வட்டங்களாக வெட்டவும். பின்னர் ஒரு வைக்கோலைக் கொண்டு கண்களுக்கு 2 துளைகளை உருவாக்கி, ஒரு கரண்டியின் விளிம்பைப் பயன்படுத்தி அழகான புன்னகைக்கு ஒரு மருந்தை உருவாக்கவும். மீதமுள்ள மாவை மீண்டும் உருட்டி, மேலும் ஸ்மைலிகளை உருவாக்குங்கள். எண்ணெய் நன்றாகவும் சூடாகவும் ஆனதும், ஸ்மைலியை ஒவ்வொன்றாகச் சேர்த்து மொறுமொறுப்பாகவும் பொன்னிறமாகவும் வறுக்கவும். இந்த மொறுமொறுப்பான சுவையான ஸ்மைலியை உங்கள் முகத்தில் புன்னகையுடன் அனுபவிக்கவும்.</t>
  </si>
  <si>
    <t>https://blogger.googleusercontent.com/img/b/R29vZ2xl/AVvXsEi5wPnN6jvACDjfH96kcCn0I79HaixMnS5240LPcRbh5vHSh503gYqxRH-OgfV87SsYIr3WkcHgIL8PplpPUJ74oYPOPo8wiLi1oUIXtrnejvWZeA3TQHShVdPlyZvu0hZ2rw0FQU-DftQ/s640/donut+steffu.jpg</t>
  </si>
  <si>
    <t>Banana Cake</t>
  </si>
  <si>
    <t>வாழைப்பழ கேக்</t>
  </si>
  <si>
    <t>2 large - Banana, 1/4 cup - melted Butter, 1  - Egg, 1/2 cup - Sugar (100 g) , 1 cup - Maida / All purpose flour (130g), 1 tsp - Baking powder, 1/2 tsp - Baking soda, 1/4 tsp  - Salt, 1 tsp - Vanilla extract.</t>
  </si>
  <si>
    <t>2 பெரியது - வாழைப்பழம், 1/4 கப் - உருகிய வெண்ணெய், 1 - முட்டை, 1/2 கப் - சர்க்கரை (100 கிராம்), 1 கப் - மைதா / அனைத்து உபயோக மாவு (130 கிராம்), 1 தேக்கரண்டி - பேக்கிங் பவுடர், 1/2 தேக்கரண்டி - பேக்கிங் சோடா, 1/4 தேக்கரண்டி - உப்பு, 1 தேக்கரண்டி - வெண்ணிலா சாறு.</t>
  </si>
  <si>
    <t>We need to preheat the cooker for 15 minutes on a medium heat without adding the Cooker weight. Similarly preheat the oven to 375 F / 200 C  How-to-assemble-cooker-for-BakingHow-to-Assemble-cooker-for-making-Cake  In a large bowl add the bananas and with a help of a fork mash them nicely until you get a paste like consistency, it should still have some small chunks in it, which adds texture to the muffins.If you are using small bananas then we need 1 cup after mashing.  After mashing add Butter or oil ,egg, Sugar and mix everything together .Once combined add baking powder, Baking Soda , salt and vanilla extract.   Now add Maida and mix all the ingredients together and this is how it looks it should not be very thick and at the same time should not be watery. We can also use chocolate chips to thisif you wish.  Grease the loaf pan with butter and place a parchment paper and pour the batter in. Bake it for 40 minutes at 375 F or until a toothpick inserted comes out clean. (Here I have use 8 inch loaf pan)  Similarly I made an other batch with the same ingredients. Once the cooker is been preheated place the cake pan at the center and cook for 35 - 40 minutes or until a toothpick inserted comes out clean. (Here I have use 6 inch pan)  Our Delicious Banana cake is ready to be served, Please do try this banana bread at home and share it with your family members. Spread the joy of Cooking !!!</t>
  </si>
  <si>
    <t>குக்கர் எடையைச் சேர்க்காமல் குக்கரை மிதமான வெப்பத்தில் 15 நிமிடங்கள் முன்கூட்டியே சூடாக்க வேண்டும். இதேபோல் அடுப்பை 375 F / 200 C க்கு முன்கூட்டியே சூடாக்கவும் பேக்கிங்கிற்கு-குக்கரை எவ்வாறு இணைப்பது-கேக் தயாரிப்பதற்கு-குக்கரை எவ்வாறு இணைப்பது ஒரு பெரிய கிண்ணத்தில் வாழைப்பழங்களைச் சேர்த்து, ஒரு முட்கரண்டி உதவியுடன் பேஸ்ட் போன்ற நிலைத்தன்மையைப் பெறும் வரை நன்றாக மசிக்கவும், அதில் இன்னும் சில சிறிய துண்டுகள் இருக்க வேண்டும், இது மஃபின்களுக்கு அமைப்பை சேர்க்கிறது. நீங்கள் சிறிய வாழைப்பழங்களைப் பயன்படுத்துகிறீர்கள் என்றால், மசித்த பிறகு நமக்கு 1 கப் தேவைப்படும். மசித்த பிறகு வெண்ணெய் அல்லது எண்ணெய், முட்டை, சர்க்கரை சேர்த்து எல்லாவற்றையும் ஒன்றாக கலக்கவும். ஒன்றாகச் சேர்த்த பிறகு பேக்கிங் பவுடர், பேக்கிங் சோடா, உப்பு மற்றும் வெண்ணிலா சாறு சேர்க்கவும். இப்போது மைதாவைச் சேர்த்து அனைத்து பொருட்களையும் ஒன்றாகக் கலக்கவும், இது மிகவும் கெட்டியாகவும் இருக்கக்கூடாது, அதே நேரத்தில் தண்ணீராகவும் இருக்கக்கூடாது. நீங்கள் விரும்பினால் சாக்லேட் சிப்ஸையும் பயன்படுத்தலாம். லோஃப் பேனில் வெண்ணெய் தடவி, ஒரு காகிதத்தோலை வைத்து, மாவை ஊற்றவும். 375 F இல் 40 நிமிடங்கள் அல்லது செருகப்பட்ட டூத்பிக் சுத்தமாக வரும் வரை சுடவும். (இங்கே நான் 8 அங்குல லோஃப் பேனைப் பயன்படுத்துகிறேன்) இதேபோல், நான் அதே பொருட்களைக் கொண்டு மற்றொரு தொகுதியைச் செய்தேன். குக்கரை முன்கூட்டியே சூடாக்கிய பிறகு, கேக் பேனை மையத்தில் வைத்து 35 - 40 நிமிடங்கள் அல்லது செருகப்பட்ட டூத்பிக் சுத்தமாக வரும் வரை சமைக்கவும். (இங்கே நான் 6 அங்குல பானைப் பயன்படுத்துகிறேன்) எங்கள் சுவையான வாழைப்பழ கேக் பரிமாறத் தயாராக உள்ளது, தயவுசெய்து இந்த வாழைப்பழ ரொட்டியை வீட்டிலேயே முயற்சி செய்து உங்கள் குடும்ப உறுப்பினர்களுடன் பகிர்ந்து கொள்ளுங்கள். சமையலின் மகிழ்ச்சியைப் பரப்புங்கள் !!!</t>
  </si>
  <si>
    <t>https://blogger.googleusercontent.com/img/b/R29vZ2xl/AVvXsEilEiau6QL3yeiyaN7s8IcgPreOBhpmmNtu3nagApGc-QUhGMH7ulMCv1A8maUsZzM6PhS9gP1SboSoarSdeVPYCwI3jMdpZFtRn52uKXBoHU1nW1gPcy3RFkfYelZUbuVZ2uJpZptvP3Q/s640/Invert.jpg</t>
  </si>
  <si>
    <t>Butter Cookies</t>
  </si>
  <si>
    <t>பட்டர் குக்கீகள்</t>
  </si>
  <si>
    <t>1/2 cup - Sugar (100g), 3/4 cup - Butter (150g), 1 tsp  - Vanilla extract, 1 - pinch Salt, 2 cup - Maida / All purpose flour (250g), 1 tbsp - Cocoa powder.</t>
  </si>
  <si>
    <t>1/2 கப் - சர்க்கரை (100 கிராம்), 3/4 கப் - வெண்ணெய் (150 கிராம்), 1 டீஸ்பூன் - வெண்ணிலா சாறு, 1 - சிட்டிகை உப்பு, 2 கப் - மைதா / அனைத்து உபயோக மாவு (250 கிராம்), 1 டீஸ்பூன் - கோகோ தூள்.</t>
  </si>
  <si>
    <t>Into a mixing bowl add the butter and whisk well until soft and fluffy, it takes approximately 2 - 3 minutes. We can also use electric beater to speed up the process. Make sure the butter is at room temperature.   Now add vanilla extract, salt and powdered sugar (1/2 cup sugar before powdering). Adding vanilla extract is optional, we can skip if you don't have.  Now add in the flour and mix until well combined. Divide the dough into 2 equal portions. I am making both vanilla and chocolate flavor cookies today.  Add cocoa powder to one half of the dough and mix well until even.  Now roll it on a plastic wrap and make a rod, make sure all the sides are equal. Freeze the dough for 20 minutes. Now after 2 minutes Divide the dough into 3 equal pieces and then stack alternatively (black-white-black and white-black-white)  Again divide the dough into 3 equal portions and stack it again alternatively , glue with  water or melted butter to keep them fixed. Start form one side and cut it into small squares.  Preheat the cooker for 15 minutes with a layer of salt and a stand. Arrange the cookies on a plate (I have used Idli plate) and bake it for 20 -25 minutes on medium heat without the cooker weight.  Similarly arrange the cookies on a baking tray lined with parchment paper and bake it for 375 F / 200 C for 13 -15 minutes.  Initially it may look soft but once it cools down it will be firm and tastes delicious. That's it our delicious checker board butter cookies are ready to be enjoyed with a cup of hot coffee / Tea.</t>
  </si>
  <si>
    <t>ஒரு கலவை கிண்ணத்தில் வெண்ணெய் சேர்த்து மென்மையாகவும் பஞ்சுபோன்றதாகவும் ஆகும் வரை நன்றாக அடிக்கவும், இது தோராயமாக 2 - 3 நிமிடங்கள் ஆகும். செயல்முறையை விரைவுபடுத்த மின்சார பீட்டரையும் பயன்படுத்தலாம். வெண்ணெய் அறை வெப்பநிலையில் இருப்பதை உறுதிப்படுத்திக் கொள்ளுங்கள். இப்போது வெண்ணிலா சாறு, உப்பு மற்றும் தூள் சர்க்கரை சேர்க்கவும் (பொடி செய்வதற்கு முன் 1/2 கப் சர்க்கரை). வெண்ணிலா சாறு சேர்ப்பது விருப்பமானது, உங்களிடம் இல்லையென்றால் நாம் தவிர்க்கலாம். இப்போது மாவில் சேர்த்து நன்கு கலக்கும் வரை கலக்கவும். மாவை 2 சம பாகங்களாகப் பிரிக்கவும். நான் இன்று வெண்ணிலா மற்றும் சாக்லேட் சுவை குக்கீகளை செய்கிறேன். மாவின் ஒரு பாதியில் கோகோ தூளைச் சேர்த்து சமமாக ஆகும் வரை நன்றாக கலக்கவும். இப்போது அதை ஒரு பிளாஸ்டிக் மடக்கு மீது உருட்டி ஒரு கம்பியை உருவாக்கவும், அனைத்து பக்கங்களும் சமமாக இருப்பதை உறுதிசெய்யவும். மாவை 20 நிமிடங்கள் ஃப்ரீசரில் வைக்கவும். இப்போது 2 நிமிடங்களுக்குப் பிறகு மாவை 3 சம துண்டுகளாகப் பிரித்து, பின்னர் மாறி மாறி அடுக்கி வைக்கவும் (கருப்பு-வெள்ளை-கருப்பு மற்றும் வெள்ளை-கருப்பு-வெள்ளை) மீண்டும் மாவை 3 சம பாகங்களாகப் பிரித்து, மாறி மாறி அடுக்கி, தண்ணீர் அல்லது உருகிய வெண்ணெய் சேர்த்து ஒட்டவும். ஒரு பக்கத்தை உருவாக்கி, சிறிய சதுரங்களாக வெட்டவும். குக்கரை உப்பு மற்றும் ஒரு அடுக்கு ஸ்டாண்டுடன் 15 நிமிடங்கள் சூடாக்கவும். குக்கீகளை ஒரு தட்டில் (நான் இட்லி தட்டைப் பயன்படுத்தினேன்) அடுக்கி, குக்கர் எடை இல்லாமல் நடுத்தர வெப்பத்தில் 20 -25 நிமிடங்கள் சுடவும். இதேபோல், குக்கீகளை பேக்கிங் தட்டில் பேக்கிங் தாளில் அடுக்கி, 375 F / 200 C வெப்பநிலையில் 13 -15 நிமிடங்கள் சுடவும். ஆரம்பத்தில் இது மென்மையாகத் தோன்றலாம், ஆனால் அது குளிர்ந்ததும் அது உறுதியாகவும் சுவையாகவும் இருக்கும். அவ்வளவுதான், எங்கள் சுவையான செக்கர் போர்டு பட்டர் குக்கீகள் ஒரு கப் சூடான காபி / டீயுடன் அனுபவிக்கத் தயாராக உள்ளன.</t>
  </si>
  <si>
    <t>https://blogger.googleusercontent.com/img/b/R29vZ2xl/AVvXsEgRCWWdIqZkoMmZZ4gaWRwLepK0YjmqiNmk5I2uIoQ6VIJVVez_yMZaj1ajSei3I4iMQ6UBfdutoSGPLINqIVcYPAWDQAtDQYyqv0gODt_kebA8o1BYTi8URc8KohVlvKu93lDCq96oojE/s640/DSC02561.JPG</t>
  </si>
  <si>
    <t>Donuts</t>
  </si>
  <si>
    <t>டோனட்ஸ்</t>
  </si>
  <si>
    <t>1 tsp - Yeast , 1 tsp - Sugar, 1/2 cup  - Milk (luke warm) , 2 cup - Maida / All purpose flour, 1/4 cup - Sugar, 1  - Egg, 2 tbsp - Butter, 1/2 tsp - Salt, 1/2 cup - Powdered Sugar, 1 tbsp  - Milk.</t>
  </si>
  <si>
    <t>1 தேக்கரண்டி - ஈஸ்ட், 1 தேக்கரண்டி - சர்க்கரை, 1/2 கப் - பால் (சூடான) , 2 கப் - மைதா / அனைத்து வகையான மாவு, 1/4 கப் - சர்க்கரை, 1 - முட்டை, 2 தேக்கரண்டி - வெண்ணெய், 1/2 தேக்கரண்டி - உப்பு, 1/2 கப் - தூள் சர்க்கரை, 1 தேக்கரண்டி - பால்.</t>
  </si>
  <si>
    <t>Activating yeast is a very important step in making Donut. Add Sugar to luke warm milk (105 F - 110 F), (42 - 43 C ) then add yeast to it and mix it well and let it sit for 5 minutes. Once the yeast is activated lets prepare the dough.  In a mixing bowl combine Maida, Sugar, egg, salt , butter (softened at room temperature) , yeast milk mixture. Mix well to form a soft and a sticky dough.  Once well mixed transfer the dough to work surface and knead for minimum 5 minutes.  Kneading softens the dough and soon after kneading dough will no more stick to your hands.  Once after kneading transfer the dough to a greased bowl , also apply few drops of oil on the top to prevent drying. Keep it undisturbed for 1.30 to 2 hours or until the dough doubles in size.   Now after 2 hours transfer the dough to work area and spread it into a thick sheet. Use a donut press or use two circles to cut it into donut shape. Transfer it to a baking pan / any tray and let it proof for another 30 minutes.   After 30 minutes fry the donuts in oil (at medium temperature ) until golden or golden brown.  For the sugar glaze: Into a bowl add powdered sugar and milk, mix it to form a thick paste. Then dip the donut and that's it.  Finally coat the donut holes with sugar and cinnamon powder. That's it our delicious donuts are ready to be enjoyed.</t>
  </si>
  <si>
    <t>டோனட் தயாரிப்பதில் ஈஸ்டை செயல்படுத்துவது மிக முக்கியமான படியாகும். வெதுவெதுப்பான பாலில் (105 F - 110 F), (42 - 43 C) சர்க்கரையைச் சேர்த்து, அதில் ஈஸ்டை சேர்த்து நன்கு கலந்து 5 நிமிடங்கள் அப்படியே வைக்கவும். ஈஸ்ட் செயல்படுத்தப்பட்டதும், மாவை தயார் செய்யலாம். ஒரு கலவை கிண்ணத்தில் மைதா, சர்க்கரை, முட்டை, உப்பு, வெண்ணெய் (அறை வெப்பநிலையில் மென்மையாக்கப்பட்டது), ஈஸ்ட் பால் கலவையை இணைக்கவும். மென்மையான மற்றும் ஒட்டும் மாவை உருவாக்க நன்கு கலக்கவும். நன்கு கலந்த பிறகு, மாவை வேலை செய்யும் இடத்திற்கு மாற்றி குறைந்தபட்சம் 5 நிமிடங்கள் பிசையவும். பிசைவது மாவை மென்மையாக்கும், பிசைந்தவுடன் மாவு உங்கள் கைகளில் ஒட்டாமல் இருக்கும். பிசைந்த பிறகு, மாவை ஒரு எண்ணெய் தடவிய கிண்ணத்திற்கு மாற்றவும், அதன் மேல் சில துளிகள் எண்ணெயைத் தடவவும், இதனால் மாவு உலராமல் தடுக்கவும். 1.30 முதல் 2 மணி நேரம் வரை அல்லது மாவின் அளவு இரட்டிப்பாகும் வரை அதை அசைக்காமல் வைக்கவும். இப்போது 2 மணி நேரம் கழித்து மாவை வேலை செய்யும் பகுதிக்கு மாற்றி ஒரு தடிமனான தாளில் பரப்பவும். ஒரு டோனட் பிரஸ்ஸைப் பயன்படுத்தவும் அல்லது இரண்டு வட்டங்களைப் பயன்படுத்தி டோனட் வடிவத்தில் வெட்டவும். அதை ஒரு பேக்கிங் பான் / எந்த தட்டிலும் மாற்றி, மேலும் 30 நிமிடங்கள் அதை ப்ரூஃப் செய்யவும். 30 நிமிடங்களுக்குப் பிறகு டோனட்ஸை எண்ணெயில் (நடுத்தர வெப்பநிலையில்) பொன்னிறம் அல்லது தங்க பழுப்பு வரை வறுக்கவும். சர்க்கரை மெருகூட்டலுக்கு: ஒரு கிண்ணத்தில் தூள் சர்க்கரை மற்றும் பால் சேர்த்து, ஒரு தடிமனான பேஸ்ட்டை உருவாக்க கலக்கவும். பின்னர் டோனட்டை நனைக்கவும், அவ்வளவுதான். இறுதியாக டோனட் துளைகளில் சர்க்கரை மற்றும் இலவங்கப்பட்டை தூள் பூசவும். அவ்வளவுதான், எங்கள் சுவையான டோனட்ஸ் அனுபவிக்க தயாராக உள்ளன.</t>
  </si>
  <si>
    <t>https://blogger.googleusercontent.com/img/b/R29vZ2xl/AVvXsEjs82guQCypnVOPMRigIjZJxHPx_o7w6UZKO7wRe82nM2ektegR-uabHb2EtNycesP5i0glRp1CibmekmM74ATVDtdlNIg3pxYSn2Cjaw1gamYmF1SXDAFQp8iu97AmPPSzyavOQSfnOvU/s640/DSC02608.JPG</t>
  </si>
  <si>
    <t>Semiya Kichadi</t>
  </si>
  <si>
    <t>சேமியா கிச்சடி</t>
  </si>
  <si>
    <t>1 cup -  Vermicelli (100g approx), 1 tbsp - Oil, 1/4 tsp - Mustard seeds, 1/4 tsp - Urad dal, 1/4 tsp - Channa Dal, 1 tsp - Chopped Ginger, 3-4 - Green Chilies, 1 - spring  Curry leaves, 5-6 - Cashews, 1  - Onion, 1/4 tsp - Turmeric powder, 1/2 - Tomato, 5-6  - Green Beans, 1 - Carrot, 1/2 cup - Green peas, 2 cup - Water (500g approx), 1 tbsp - Ghee, required salt.</t>
  </si>
  <si>
    <t>1 கப் - சேமியா (தோராயமாக 100 கிராம்), 1 டேபிள் ஸ்பூன் - எண்ணெய், 1/4 டேபிள் ஸ்பூன் - கடுகு, 1/4 டேபிள் ஸ்பூன் - உளுத்தம் பருப்பு, 1/4 டேபிள் ஸ்பூன் - சன்னா பருப்பு, 1 டேபிள் ஸ்பூன் - நறுக்கிய இஞ்சி, 3-4 - பச்சை மிளகாய், 1 - ஸ்பிரிங் கறிவேப்பிலை, 5-6 - முந்திரி, 1 - வெங்காயம், 1/4 டேபிள் ஸ்பூன் - மஞ்சள் தூள், 1/2 - தக்காளி, 5-6 - பச்சை பீன்ஸ், 1 - கேரட், 1/2 கப் - பச்சை பட்டாணி, 2 கப் - தண்ணீர் (தோராயமாக 500 கிராம்), 1 டேபிள் ஸ்பூன் - நெய், தேவையான உப்பு.</t>
  </si>
  <si>
    <t>Heat oil in a pan and roast the vermicelli until golden brown. Its very important to roast the semiya because well roasted semiya does not stick to not another so the end result will be non sticky and delicous kichadi.Once nice and golden remove it from heatt and set it aside. If you have pre roasted semiya then we can skip this step.  Heat oil in a pan and temper with mustard seeds, urad dal, channa dal, green chilies, ginger, cashews and curry leaves.Then add chopped onions and Turmeric powder and cook for 2 minutes ( turmeric powder is optional , it gives nice color to the recipe).  Then add tomato, peas, beans and carrot. Cook for 5 minutes. Then add water and bring the water to nice boil.If you are using less vegetables the reduce the amount of water to 1.5 cup for 1 cup semiya.  Now add in the roasted semiya and cook until all the water has been absorbed by the semiya and its dry . Finally add ghee and mix well. Adding ghee gives nice flavor and taste to the recipe.  That's it our delicious Semiya Kichadi is ready to be served with coconut chutney and a cup of hot tea/coffee.  Please do try this semiya kichadi and share it with your beloved family members.</t>
  </si>
  <si>
    <t>ஒரு கடாயில் எண்ணெயை சூடாக்கி சேமியாவை பொன்னிறமாகும் வரை வறுக்கவும். சேமியாவை வறுப்பது மிகவும் முக்கியம், ஏனெனில் நன்றாக வறுத்த சேமியா மற்றொன்றில் ஒட்டாது, எனவே இறுதி முடிவு ஒட்டும் தன்மையற்ற மற்றும் சுவையான கிச்சடியாக இருக்கும். நன்றாக பொன்னிறமானதும், அதை வெப்பத்திலிருந்து எடுத்து ஒதுக்கி வைக்கவும். நீங்கள் முன்பே வறுத்த சேமியாவை வைத்திருந்தால், இந்தப் படியைத் தவிர்க்கலாம். ஒரு கடாயில் எண்ணெயைச் சூடாக்கி, கடுகு, உளுத்தம்பருப்பு, சன்னா பருப்பு, பச்சை மிளகாய், இஞ்சி, முந்திரி மற்றும் கறிவேப்பிலை ஆகியவற்றைச் சேர்த்து வதக்கவும். பின்னர் நறுக்கிய வெங்காயம் மற்றும் மஞ்சள் தூள் சேர்த்து 2 நிமிடங்கள் சமைக்கவும் (மஞ்சள் தூள் விருப்பமானது, இது செய்முறைக்கு நல்ல நிறத்தைத் தரும்). பின்னர் தக்காளி, பட்டாணி, பீன்ஸ் மற்றும் கேரட் சேர்க்கவும். 5 நிமிடங்கள் சமைக்கவும். பின்னர் தண்ணீர் சேர்த்து தண்ணீரை நன்றாக கொதிக்க விடவும். நீங்கள் குறைவாக காய்கறிகளைப் பயன்படுத்துகிறீர்கள் என்றால், 1 கப் சேமியாவுக்கு தண்ணீரின் அளவை 1.5 கப் ஆகக் குறைக்கவும். இப்போது வறுத்த சேமியாவைச் சேர்த்து, சேமியாவால் அனைத்து தண்ணீரும் உறிஞ்சப்பட்டு அது வறண்டு போகும் வரை சமைக்கவும். இறுதியாக நெய்யைச் சேர்த்து நன்கு கலக்கவும். நெய்யைச் சேர்ப்பது செய்முறைக்கு நல்ல சுவையையும் சுவையையும் தரும். அவ்வளவுதான் எங்கள் சுவையான சேமியா கிச்சடி தேங்காய் சட்னி மற்றும் ஒரு கப் சூடான தேநீர்/காபியுடன் பரிமாற தயாராக உள்ளது. தயவுசெய்து இந்த சேமியா கிச்சடியை முயற்சி செய்து உங்கள் அன்பான குடும்ப உறுப்பினர்களுடன் பகிர்ந்து கொள்ளுங்கள்.</t>
  </si>
  <si>
    <t>https://blogger.googleusercontent.com/img/b/R29vZ2xl/AVvXsEirFEwyCJXbehDgd98Jl2RhZd_pkjG05AKjdGf46O8ZuuEYNcTX9S8KIZXkck42oGE-RMNGx1XVbgUaPUGlsNkjVPEAwYkBcegypBxXwPMDct9qtZXBmsob3QdLPaCchUINFv0Gf1PObLU/s640/DSC02538.JPG</t>
  </si>
  <si>
    <t>Brownie</t>
  </si>
  <si>
    <t>பிரவுனி</t>
  </si>
  <si>
    <t>200 g  - Semi sweet chocolate (1 cup ), 1/4 cup - Butter (110 g) , 1 cup - Sugar (200 g) , 3  - Eggs, 2 tbsp - Cocoa powder, 1/4 tsp - Salt, 1 tsp - Vanilla Extract, 1/4 cup - Walnut (or Cashews or chocolate chips) , 1 cup - Maida / all purpose flour (130 g).</t>
  </si>
  <si>
    <t>200 கிராம் - அரை இனிப்பு சாக்லேட் (1 கப்), 1/4 கப் - வெண்ணெய் (110 கிராம்), 1 கப் - சர்க்கரை (200 கிராம்), 3 - முட்டை, 2 டீஸ்பூன் - கோகோ பவுடர், 1/4 டீஸ்பூன் - உப்பு, 1 டீஸ்பூன் - வெண்ணிலா சாறு, 1/4 கப் - வால்நட் (அல்லது முந்திரி அல்லது சாக்லேட் சிப்ஸ்), 1 கப் - மைதா / அனைத்து வகையான மாவு (130 கிராம்).</t>
  </si>
  <si>
    <t>Sep up Double boiler:- heat water in a big pan, once water boils and starts to steam place a bowl on top and add the chocolate chips and butter. Melt until it is smooth and creamy.  Take if off from the double boiler and add sugar, Mix well . Once the mixture is slightly cooled add 3 eggs one at a time and mix well until well incorporated.  Add cocoa powder, salt and vanilla extract and mix well. Finally add flour in small batches and mix well without any lumps.   Adding nuts is optional, I have added walnuts today , we can also use cashews, chocolate chips instead of walnuts. Mix well.  Transfer the batter to a greased 9 inch pan lined with parchment paper and bake it for 20 minutes @ 350 F / 175 C. If you are using 8 inch pan it takes approximately 25 minutes.   Once baked let it cool for sometime. Once cooled cut it into desired size.  That's it our delicious brownie is ready to be served with ice cream . We can heat the brownie for few seconds and then serve with ice cream.</t>
  </si>
  <si>
    <t>செப்டம்பர் வரை இரட்டை கொதிகலன்: - ஒரு பெரிய பாத்திரத்தில் தண்ணீரை சூடாக்கி, தண்ணீர் கொதித்து ஆவியாக ஆரம்பித்ததும், அதன் மேல் ஒரு கிண்ணத்தை வைத்து சாக்லேட் சிப்ஸ் மற்றும் வெண்ணெய் சேர்க்கவும். அது மென்மையாகவும் கிரீமியாகவும் மாறும் வரை உருகவும். இரட்டை கொதிகலனில் இருந்து இறக்கி சர்க்கரையைச் சேர்த்து, நன்கு கலக்கவும். கலவை சிறிது குளிர்ந்ததும், ஒவ்வொன்றாக 3 முட்டைகளைச் சேர்த்து நன்கு கலக்கவும். கோகோ பவுடர், உப்பு மற்றும் வெண்ணிலா சாறு சேர்த்து நன்கு கலக்கவும். இறுதியாக மாவை சிறிய தொகுதிகளாகச் சேர்த்து கட்டிகள் இல்லாமல் நன்கு கலக்கவும். கொட்டைகள் சேர்ப்பது விருப்பத்திற்குரியது, நான் இன்று வால்நட்ஸைச் சேர்த்துள்ளேன், வால்நட்ஸுக்குப் பதிலாக முந்திரி, சாக்லேட் சிப்ஸ்களையும் பயன்படுத்தலாம். நன்றாக கலக்கவும். மாவை காகிதத்தோல் வரிசையாக நெய் தடவிய 9 அங்குல பாத்திரத்தில் மாற்றி 350 F / 175 C வெப்பநிலையில் 20 நிமிடங்கள் சுடவும். நீங்கள் 8 அங்குல பாத்திரத்தைப் பயன்படுத்துகிறீர்கள் என்றால், இது சுமார் 25 நிமிடங்கள் ஆகும். சுட்ட பிறகு சிறிது நேரம் ஆற விடவும். குளிர்ந்ததும், விரும்பிய அளவில் வெட்டவும். அவ்வளவுதான், எங்கள் சுவையான பிரவுனி ஐஸ்கிரீமுடன் பரிமாற தயாராக உள்ளது. பிரவுனியை சில நொடிகள் சூடாக்கி, பின்னர் ஐஸ்கிரீமுடன் பரிமாறலாம்.</t>
  </si>
  <si>
    <t>https://blogger.googleusercontent.com/img/b/R29vZ2xl/AVvXsEiCREEsMdf2zKWpKFkNFGpHP81oestigU-WH42gLABMVU63HaLokVdxGeF7oVp9XOGWfjFPLk-5KjVj99xuUoRHg0kWEAvJb37_Ksw0qC4gmuyCzBGVz1ZshFmFPMsCt2CoKd0_LcMjwcs/s640/choco.jpg</t>
  </si>
  <si>
    <t>Soya Chunks Fry</t>
  </si>
  <si>
    <t>சோயா துண்டுகள் பொரியல்</t>
  </si>
  <si>
    <t>1 cup - Soya Chunks, 3 tbsp - Oil, 1/4 tsp - Mustard, 1/2 tsp - Cumin seeds, 1 tsp - Chopped Ginger, 1 tsp - Chopped Garlic , 2 - Green Chilies, 1 - strand Curry leaves, 2 - Onion, 1/4 tsp - Turmeric powder, 1 tsp - Garam masala powder, 1 tsp - Cumin powder, 1 tbsp - Chili powder , 1 - Tomato, Salt to taste, Coriander leaves.</t>
  </si>
  <si>
    <t>1 கப் - சோயா துண்டுகள், 3 டேபிள்ஸ்பூன் - எண்ணெய், 1/4 டேபிள்ஸ்பூன் - கடுகு, 1/2 டேபிள்ஸ்பூன் - சீரகம், 1 டேபிள்ஸ்பூன் - நறுக்கிய இஞ்சி, 1 டேபிள்ஸ்பூன் - நறுக்கிய பூண்டு, 2 - பச்சை மிளகாய், 1 - தண்டு கறிவேப்பிலை, 2 - வெங்காயம், 1/4 டேபிள்ஸ்பூன் - மஞ்சள் தூள், 1 டேபிள்ஸ்பூன் - கரம் மசாலா தூள், 1 டேபிள்ஸ்பூன் - சீரகம் தூள், 1 டேபிள்ஸ்பூன் - மிளகாய் தூள், 1 - தக்காளி, ருசிக்கேற்ப உப்பு, கொத்தமல்லி இலைகள்.</t>
  </si>
  <si>
    <t>Heat water and add a pinch of salt to it and then add in the soya chunks and let it soak for 10 -15 minutes. After 15 minutes squeeze the water and set it aside. (we can also break the chunks into small pieces and add to the recipe.   Heat oil in a pan and add mustard seeds, once the seeds pops out add cumin seed, chopped ginger, chopped garlic, green chilies, curry leaves. Finally add onions and saute until golden.   Once the onions are golden add the masalas - turmeric, garam masala, cumin powder, chili powder, give it a stir and the add tomato and cook until soft.   Now add in the soya chunks and mix it along with the masala and let it cook for few minutes. Finally add coriander leaves for garnishing and turn off the heat.  That's  it our delicious soya chinks fry recipe is ready to be served with rice or variety rice.</t>
  </si>
  <si>
    <t>தண்ணீரை சூடாக்கி, அதில் ஒரு சிட்டிகை உப்பு சேர்த்து, பின்னர் சோயா துண்டுகளை சேர்த்து 10 -15 நிமிடங்கள் ஊற வைக்கவும். 15 நிமிடங்களுக்குப் பிறகு தண்ணீரை பிழிந்து தனியாக வைக்கவும். (நாம் துண்டுகளை சிறிய துண்டுகளாக உடைத்து செய்முறையில் சேர்க்கலாம். ஒரு கடாயில் எண்ணெயை சூடாக்கி கடுகு சேர்க்கவும், விதைகள் வெளியே வந்ததும் சீரகம், நறுக்கிய இஞ்சி, நறுக்கிய பூண்டு, பச்சை மிளகாய், கறிவேப்பிலை சேர்க்கவும். இறுதியாக வெங்காயத்தைச் சேர்த்து பொன்னிறமாகும் வரை வதக்கவும். வெங்காயம் பொன்னிறமானதும் மசாலாக்கள் - மஞ்சள், கரம் மசாலா, சீரகப் பொடி, மிளகாய்த் தூள் சேர்த்து கிளறி, தக்காளியைச் சேர்த்து மென்மையாகும் வரை வதக்கவும். இப்போது சோயா துண்டுகளைச் சேர்த்து மசாலாவுடன் கலந்து சில நிமிடங்கள் சமைக்கவும். இறுதியாக அலங்கரிக்க கொத்தமல்லி இலைகளைச் சேர்த்து அடுப்பை அணைக்கவும். அவ்வளவுதான் எங்கள் சுவையான சோயா சிங்க்ஸ் ஃப்ரை ரெசிபி சாதம் அல்லது பல்வேறு வகையான அரிசியுடன் பரிமாற தயாராக உள்ளது.</t>
  </si>
  <si>
    <t>https://blogger.googleusercontent.com/img/b/R29vZ2xl/AVvXsEhiud6tC5SpG-Cm-7qvqImOSp1rGqeiJ2ZTzPNLLQsThuOGauL4o_Q6Lxx7Dsj1txLlxItL35BvSaqomVpY-y-xdJNfky2mOUjQp5sEEmKDxhslv6Io6q2pMTFd0AiDI1TfeaIlxYA9eiM/s640/0.JPG</t>
  </si>
  <si>
    <t>Chicken Momos</t>
  </si>
  <si>
    <t>சிக்கன் மோமோஸ்</t>
  </si>
  <si>
    <t>1 cup - All purpose flour / Maida (130 g), required  salt, required  water, 250g - Chicken , 1/2  - Onion, 1/2 cup - Cabbage, 1/2 cup - Carrot, 1 clove - Garlic , 1 inch - Ginger, 1/2 tsp - Chili powder, 1/4 tsp - Pepper powder, 2 tbsp - Coriander leaves, 2 tbsp - Gingelly Oil, Salt to taste, 2  - Tomatoes, 5 - dry red chilies, 5 - Kashmiri chilies (deseeded) , 3 -  clove Garlic,  required Water, 1/2 tsp - Sugar, required salt.</t>
  </si>
  <si>
    <t>1 கப் - அனைத்து உபயோக மாவு / மைதா (130 கிராம்), தேவையான உப்பு, தேவையான தண்ணீர், 250 கிராம் - சிக்கன், 1/2 - வெங்காயம், 1/2 கப் - முட்டைக்கோஸ், 1/2 கப் - கேரட், 1 பல் - பூண்டு, 1 அங்குலம் - இஞ்சி, 1/2 தேக்கரண்டி - மிளகாய் தூள், 1/4 தேக்கரண்டி - மிளகு தூள், 2 தேக்கரண்டி - கொத்தமல்லி இலைகள், 2 தேக்கரண்டி - எள் எண்ணெய், சுவைக்கு உப்பு, 2 - தக்காளி, 5 - உலர்ந்த சிவப்பு மிளகாய், 5 - காஷ்மீரி மிளகாய் (விதை நீக்கியது), 3 - பல் பூண்டு, தேவையான தண்ணீர், 1/2 தேக்கரண்டி - சர்க்கரை, தேவையான உப்பு.</t>
  </si>
  <si>
    <t>Into a mixing bowl add maida, salt and then gradually add water to form a soft non sticky dough, dough should not be very hard.After kneading cover with a wet cloth and set aside.  Now in a separate bowl add minced chicken, finely chopped onion, finely chopped Cabbage, finely chopped Carrot, finely chopped Ginger, finely chopped Garlic, coriander leaves, chili powder, pepper, oil, salt and mix well. Sprinkle some water and mix again, adding water keeps the chicken juicy.   Now dust the dough with some flour and spread it as thin as possible. With a help of sharp mouth cut it into small circles.   Now take a spoon full chicken and keep at the center and start folding from one end. seal both the ends and that's it.   Arrange the chicken momos on a greased idli plate and steam it for 15 -20 minutes.  Into a sauce pan add 2 tomatoes, chilies, kashmiri chilies, garlic, water and cook for 15 minutes. Once the tomatoes are nice and soft turn off the heat and alet it cool. Once cooled remove the skin of tomatoes and transfer it to a mixer jar. Add required salt, sugar and grind it to a smooth paste.  That's it our delicious chicken momos recipe is ready to be enjoyed with hot chutney. Please do try this recipe and home and Spread the Joy of Cooking !!!</t>
  </si>
  <si>
    <t>ஒரு கலவை கிண்ணத்தில் மைதா, உப்பு சேர்த்து, பின்னர் படிப்படியாக தண்ணீர் சேர்த்து மென்மையான ஒட்டும் தன்மையற்ற மாவை உருவாக்குங்கள், மாவு மிகவும் கடினமாக இருக்கக்கூடாது. பிசைந்த பிறகு ஈரமான துணியால் மூடி ஒதுக்கி வைக்கவும். இப்போது ஒரு தனி கிண்ணத்தில் துண்டு துண்தாக வெட்டப்பட்ட கோழி இறைச்சி, இறுதியாக நறுக்கிய வெங்காயம், இறுதியாக நறுக்கிய முட்டைக்கோஸ், இறுதியாக நறுக்கிய கேரட், இறுதியாக நறுக்கிய இஞ்சி, இறுதியாக நறுக்கிய பூண்டு, கொத்தமல்லி இலை, மிளகாய் தூள், மிளகு, எண்ணெய், உப்பு ஆகியவற்றைச் சேர்த்து நன்கு கலக்கவும். சிறிது தண்ணீர் தெளித்து மீண்டும் கலக்கவும், தண்ணீர் சேர்க்கவும், கோழி ஜூஸியாக இருக்கும். இப்போது மாவை சிறிது மாவுடன் தூவி, முடிந்தவரை மெல்லியதாக பரப்பவும். கூர்மையான வாயின் உதவியுடன் அதை சிறிய வட்டங்களாக வெட்டவும். இப்போது ஒரு ஸ்பூன் முழு கோழி இறைச்சியை எடுத்து மையத்தில் வைத்து ஒரு முனையிலிருந்து மடிக்கத் தொடங்குங்கள். இரண்டு முனைகளையும் மூடுங்கள், அவ்வளவுதான். சிக்கன் மோமோஸை எண்ணெய் தடவிய இட்லி தட்டில் அடுக்கி 15 -20 நிமிடங்கள் ஆவியில் வேகவைக்கவும். ஒரு சாஸ் பானில் 2 தக்காளி, மிளகாய், காஷ்மீர் மிளகாய், பூண்டு, தண்ணீர் சேர்த்து 15 நிமிடங்கள் சமைக்கவும். தக்காளி நன்றாகவும் மென்மையாகவும் ஆனதும், தீயை அணைத்து ஆற விடவும். குளிர்ந்ததும் தக்காளியின் தோலை நீக்கி மிக்ஸி ஜாடிக்கு மாற்றவும். தேவையான உப்பு, சர்க்கரை சேர்த்து மென்மையான பேஸ்டாக அரைக்கவும். அவ்வளவுதான் எங்கள் சுவையான சிக்கன் மோமோஸ் ரெசிபி சூடான சட்னியுடன் சாப்பிட தயாராக உள்ளது. தயவுசெய்து இந்த ரெசிபியை முயற்சி செய்து வீட்டிலேயே செய்து சமையலின் மகிழ்ச்சியைப் பரப்புங்கள் !!!</t>
  </si>
  <si>
    <t>https://blogger.googleusercontent.com/img/b/R29vZ2xl/AVvXsEgcKLKlQC_DUQ1wzYWZHh66jUOK_5-yv-3ZI_m1eYZgyIzZu3MqJ8ggM_wOmLBFCNJO7nHw05UEYmEkzKzHhOolt9EsmPV0DgOXKUegJ1ApvZ6TbnMEFz5_t-H2KfWK1v7CIUnHtxAj37w/s640/DSC02411.JPG</t>
  </si>
  <si>
    <t>Mutton Semi Gravy</t>
  </si>
  <si>
    <t>மட்டன் அரை கிரேவி</t>
  </si>
  <si>
    <t>500 g - Mutton, 1/2 tsp  - Turmeric, required salt, required water, 3 tbsp - Oil, 1 - Cinnamon stick ,  2 - cardamom,  2 - cloves, 1 tsp - Cumin seeds, 2 - Onions, 1 tbsp - Ginger Garlic paste, 1/4 tsp - Turmeric powder, 1 tsp - Garam masala powder, 2 tsp - Cumin powder, 1 tsp - Coriander powder, 1 tbsp - Chili powder, 2 - Tomatoes, Salt to taste, Coriander leaves.</t>
  </si>
  <si>
    <t>500 கிராம் - மட்டன், 1/2 தேக்கரண்டி - மஞ்சள், தேவையான உப்பு, தேவையான தண்ணீர், 3 தேக்கரண்டி - எண்ணெய், 1 - இலவங்கப்பட்டை, 2 - ஏலக்காய், 2 - கிராம்பு, 1 தேக்கரண்டி - சீரகம், 2 - வெங்காயம், 1 தேக்கரண்டி - இஞ்சி பூண்டு விழுது, 1/4 தேக்கரண்டி - மஞ்சள் தூள், 1 தேக்கரண்டி - கரம் மசாலா தூள், 2 தேக்கரண்டி - சீரக தூள், 1 தேக்கரண்டி - கொத்தமல்லி தூள், 1 தேக்கரண்டி - மிளகாய் தூள், 2 - தக்காளி, ருசிக்கேற்ப உப்பு, கொத்தமல்லி இலைகள்.</t>
  </si>
  <si>
    <t>Into a pressure cooker add the mutton pieces , salt , turmeric and some water just to cover the pieces. Cover and cook for 4 whistles on medium heat.  Now in a heavy bottomed pan heat oil and add the whole spices and cumin seeds, give it a stir and add the chopped onions. add some salt and cook until the onions are golden. Once golden add the masalas - Ginger Garlic paste , Turmeric powder, faram masala, cumin powder , coriander powder and chili powder.  Now add in the chopped tomatoes and cook until soft and mushy. Add a little of water if required , do not add more.   Once the tomatoes are nice and soft transfer the cooked mutton along with its juices , add salt if required and cook until the gravy thickens. Finally add chopped coriander leaves for garnishing and tun off the heat.  That's it our delicious Mutton semi gravy is ready to be enjoyed with a plate of hot rice, Idli , dosa or chapathi. Do try this simple and easy mutton gravy at home and share it with your friends and family.</t>
  </si>
  <si>
    <t>ஒரு பிரஷர் குக்கரில் மட்டன் துண்டுகள், உப்பு, மஞ்சள் தூள் மற்றும் துண்டுகளை மூடுவதற்கு சிறிது தண்ணீர் சேர்க்கவும். மூடி வைத்து மிதமான தீயில் 4 விசில் வரை சமைக்கவும். இப்போது ஒரு அடி கனமான பாத்திரத்தில் எண்ணெயை சூடாக்கி, முழு மசாலா மற்றும் சீரகத்தை சேர்த்து, அதில் ஒரு க்ரைஸ் ஊற்றி, நறுக்கிய வெங்காயத்தைச் சேர்க்கவும். சிறிது உப்பு சேர்த்து வெங்காயம் பொன்னிறமாகும் வரை வதக்கவும். பொன்னிறமாக மாறியதும் மசாலாக்களை சேர்க்கவும் - இஞ்சி பூண்டு விழுது, மஞ்சள் தூள், பரம் மசாலா, சீரகப் பொடி, கொத்தமல்லித் தூள் மற்றும் மிளகாய்த் தூள். இப்போது நறுக்கிய தக்காளியைச் சேர்த்து மென்மையாகவும் மென்மையாகவும் வதக்கவும். தேவைப்பட்டால் சிறிது தண்ணீர் சேர்க்கவும், அதிகமாகச் சேர்க்க வேண்டாம். தக்காளி நன்றாகவும் மென்மையாகவும் மாறியதும், சமைத்த மட்டனை அதன் சாறுகளுடன் சேர்த்து, தேவைப்பட்டால் உப்பு சேர்த்து, குழம்பு கெட்டியாகும் வரை சமைக்கவும். இறுதியாக அலங்கரிக்க நறுக்கிய கொத்தமல்லி இலைகளைச் சேர்த்து, தீயை அணைக்கவும். அவ்வளவுதான் எங்கள் சுவையான மட்டன் அரை கிரேவி, சூடான சாதம், இட்லி, தோசை அல்லது சப்பாத்தியுடன் சாப்பிட தயாராக உள்ளது. வீட்டிலேயே இந்த எளிய மற்றும் எளிதான மட்டன் கிரேவியை முயற்சி செய்து, உங்கள் நண்பர்கள் மற்றும் குடும்பத்தினருடன் பகிர்ந்து கொள்ளுங்கள்.</t>
  </si>
  <si>
    <t>https://blogger.googleusercontent.com/img/b/R29vZ2xl/AVvXsEhnLTDg9MwuTzUc_NGN_BVQn0dXv60AWCKhIQOO1GpCQJBcubCRhXKCCGm-ce6aS8jdxi4YfJqK93NdZlOMDs4ovcxrV62p4MwfkQOcmpipIL7Hq2qdfdPp623slcMh02T_L4j9P1ugzYM/s640/choco.jpg</t>
  </si>
  <si>
    <t>Mysore pak</t>
  </si>
  <si>
    <t>மைசூர் பாக்</t>
  </si>
  <si>
    <t>2 cup -  Besan flour , 2 cup  - Sugar, 1/2 cup - Water, 1 cup  - Ghee, 1 cup - Oil.</t>
  </si>
  <si>
    <t>2 கப் - கடலை மாவு, 2 கப் - சர்க்கரை, 1/2 கப் - தண்ணீர், 1 கப் - நெய், 1 கப் - எண்ணெய்.</t>
  </si>
  <si>
    <t>Heat oil and ghee in a pan over medium heat. (we can play with the oil and ghee ratio , I have used 1:1 ratio, if you like ghee then you can skip oil and use 2 part ghee or 1/2 oil and 1.5 part ghee) 1 cup ghee should be used minimum for good flavor.  While the ghee oil mixture is heating, in a separate pan melt sugar in water and bring it to 1/2 string consistency , sugar syrup should not pass 1 string (if it passes 1 string then the mysorepak may turn hard ).   Once it reaches the desired consistency gradually add besan and mix well without any lumps. Its very important to sift the flour to get lump free mixture.  Once we get a smooth mixture add a ladle of hot oil+ghee and mix well to incorporate well. Oil should be very hot while adding, we should be able to hear shushhhhhhhh sound . Once fully incorporated add another spoon and mix well. Continue to add until it no longer absorbs oil. Once you see some ghee oozing out add 1 ladle of hot oil and mix well. Once you get bubbles turn off the heat and transfer it to a greased pan. (I used a bread pan) . If all the ghee oozes out it will turn hard so keen in mind while adding ghee , once you see ghee oozing out immediately stop adding further.   Do not give pressure, gently tap it . The mixture sets immediately after transferring. Once slightly cooled cut it into desired shapes. Do not take it out of pan now , only after the mixture cools completely we need to take it oil. Also use a deep pan to get that nice color at the center.  Look at the holes inside, this is what makes the mysore pak get the texture and keeps it light.  That's it our delicious mysore pak is ready to be distributed and enjoyed. Please do try this recipe and home and share your happiness with friends and family. Spread the Joy of Cooking !!!</t>
  </si>
  <si>
    <t>ஒரு பாத்திரத்தில் எண்ணெய் மற்றும் நெய்யை மிதமான தீயில் சூடாக்கவும். (நாம் எண்ணெய் மற்றும் நெய் விகிதத்தைப் பயன்படுத்தலாம், நான் 1:1 விகிதத்தைப் பயன்படுத்தியுள்ளேன், நீங்கள் நெய்யை விரும்பினால், எண்ணெயைத் தவிர்த்து, 2 பங்கு நெய் அல்லது 1/2 எண்ணெய் மற்றும் 1.5 பங்கு நெய்யைப் பயன்படுத்தலாம்) நல்ல சுவைக்கு 1 கப் நெய்யை குறைந்தபட்சம் பயன்படுத்த வேண்டும். நெய் எண்ணெய் கலவை சூடாகும்போது, ​​ஒரு தனி பாத்திரத்தில் சர்க்கரையை தண்ணீரில் உருக்கி, 1/2 சரம் நிலைத்தன்மைக்கு கொண்டு வாருங்கள், சர்க்கரை பாகு 1 சரம் கடந்து செல்லக்கூடாது (அது 1 சரம் தாண்டினால், மைசூர் பாக் கடினமாகிவிடும்). அது விரும்பிய நிலைத்தன்மையை அடைந்ததும், படிப்படியாக கடலை மாவைச் சேர்த்து, கட்டிகள் இல்லாமல் நன்கு கலக்கவும். கட்டிகள் இல்லாத கலவையைப் பெற மாவை சலிப்பது மிகவும் முக்கியம். மென்மையான கலவை கிடைத்ததும், ஒரு கரண்டி சூடான எண்ணெய் + நெய் சேர்த்து நன்கு கலக்கவும். எண்ணெய் சேர்க்கும்போது மிகவும் சூடாக இருக்க வேண்டும், ஷ்ஷ்ஷ்ஷ்ஷ்ஷ் என்ற சத்தம் கேட்க வேண்டும். முழுமையாக கலந்த பிறகு மற்றொரு கரண்டியைச் சேர்த்து நன்கு கலக்கவும். அது எண்ணெயை உறிஞ்சாமல் போகும் வரை தொடர்ந்து சேர்க்கவும். சிறிது நெய் வெளியேறுவதைக் கண்டதும் 1 கரண்டி சூடான எண்ணெயைச் சேர்த்து நன்கு கலக்கவும். குமிழ்கள் வந்தவுடன், வெப்பத்தை அணைத்து, எண்ணெய் தடவிய பாத்திரத்தில் மாற்றவும். (நான் ஒரு ரொட்டி பாத்திரத்தைப் பயன்படுத்தினேன்). நெய் அனைத்தும் வெளியேறினால், நெய் சேர்க்கும்போது அது கடினமாக மாறும், நெய் வெளியேறுவதைக் கண்டவுடன் உடனடியாக மேலும் சேர்ப்பதை நிறுத்துங்கள். அழுத்தம் கொடுக்க வேண்டாம், மெதுவாக அதைத் தட்டவும். கலவை மாற்றிய உடனேயே கெட்டியாகிவிடும். சிறிது ஆறியதும், விரும்பிய வடிவங்களில் வெட்டவும். இப்போது அதை வாணலியில் இருந்து எடுக்க வேண்டாம், கலவை முழுவதுமாக குளிர்ந்த பிறகு மட்டுமே நாம் எண்ணெயை எடுக்க வேண்டும். மையத்தில் அந்த நல்ல நிறத்தைப் பெற ஆழமான பாத்திரத்தையும் பயன்படுத்தவும். உள்ளே உள்ள துளைகளைப் பாருங்கள், இதுதான் மைசூர் பாக்கை அமைப்பைப் பெறவும், அதை லேசாக வைத்திருக்கவும் செய்கிறது. அவ்வளவுதான், எங்கள் சுவையான மைசூர் பாக் விநியோகிக்கவும் ரசிக்கவும் தயாராக உள்ளது. தயவுசெய்து இந்த ரெசிபியை வீட்டிலேயே முயற்சி செய்து உங்கள் நண்பர்கள் மற்றும் குடும்பத்தினருடன் உங்கள் மகிழ்ச்சியைப் பகிர்ந்து கொள்ளுங்கள். சமையலின் மகிழ்ச்சியைப் பரப்புங்கள் !!!</t>
  </si>
  <si>
    <t>https://blogger.googleusercontent.com/img/b/R29vZ2xl/AVvXsEgqSfTCOAW2YiIP1N__9Q6FuKfoRFfb_Y5VJrk5KTAdHwBroXUygy_8YQcEkXTMhOMtRG4E2XnoXbZwtS82ekwuA7p1k304cI60z9GStXl28fskkfZAFT9yOAn9b6YakQMEaQaVpTldX2E/s640/choco.jpg</t>
  </si>
  <si>
    <t>Milk cake</t>
  </si>
  <si>
    <t>பால் கேக்</t>
  </si>
  <si>
    <t>2 liter - full fat milk, 1 tbsp  - Lemon juice , 200 g - Sugar (1 cup ), Pinch of cardamom powder.</t>
  </si>
  <si>
    <t>2 லிட்டர் - முழு கொழுப்புள்ள பால், 1 டேபிள் ஸ்பூன் - எலுமிச்சை சாறு, 200 கிராம் - சர்க்கரை (1 கப்), சிட்டிகை ஏலக்காய் தூள்.</t>
  </si>
  <si>
    <t>In a heavy bottomed pan add milk and let it reduce , it takes approximately 1.30 hours, scrape down the edges to collect the milk solids. Once the milk thickens and reduces and lemon juice and mix well. Within few seconds the milk cuddles .  once the milk cuddles add sugar and mix well. Continue to cook until the mixture thickens, it takes approximately 20 more minutes.  Now at this stage add cardamom powder and cook for another 5 minutes or until the mixture becomes thick as shown below.   Transfer it to a greased plate and let it cool completely. Now after 4 to 6 hours cut it into desired shapes and that's it our delicious milk cake / milk sweet is ready to be enjoyed.  That's it our delicious milk cake / milk sweet is ready to be enjoyed with friends and family. Its definitely worth a try.</t>
  </si>
  <si>
    <t>ஒரு அடி கனமான பாத்திரத்தில் பால் சேர்த்து, அதை குறைக்க விடவும், சுமார் 1.30 மணி நேரம் ஆகும், பால் திடப்பொருட்களை சேகரிக்க விளிம்புகளை கீறவும். பால் கெட்டியாகி, குறைந்து, எலுமிச்சை சாறு சேர்த்து நன்கு கலக்கவும். சில நொடிகளில் பால் ஒட்டிக்கொள்கிறது. பால் ஒட்டிக்கொண்டவுடன் சர்க்கரையைச் சேர்த்து நன்கு கலக்கவும். கலவை கெட்டியாகும் வரை தொடர்ந்து சமைக்கவும், சுமார் 20 நிமிடங்கள் ஆகும். இந்த கட்டத்தில் ஏலக்காய் தூளைச் சேர்த்து, கீழே காட்டப்பட்டுள்ளபடி கலவை கெட்டியாகும் வரை மேலும் 5 நிமிடங்கள் சமைக்கவும். அதை ஒரு எண்ணெய் தடவிய தட்டில் மாற்றி முழுமையாக ஆற விடவும். இப்போது 4 முதல் 6 மணி நேரம் கழித்து அதை விரும்பிய வடிவங்களில் வெட்டுங்கள், அவ்வளவுதான் எங்கள் சுவையான பால் கேக் / பால் இனிப்பு சுவைக்க தயாராக உள்ளது. அவ்வளவுதான் எங்கள் சுவையான பால் கேக் / பால் இனிப்பு நண்பர்கள் மற்றும் குடும்பத்தினருடன் அனுபவிக்க தயாராக உள்ளது. இது நிச்சயமாக முயற்சிக்கத் தகுந்தது.</t>
  </si>
  <si>
    <t>https://blogger.googleusercontent.com/img/b/R29vZ2xl/AVvXsEhcqdePgMc8ymvgQWo_RrCByl7mZnF0O-odwCneVfiB9q0dle1FMJkK8C4fCq-a6D8lAgQNaoKWhFppPfrWHPBs6zJ80E4wIQ79WfLuK5fnARryAmPddpECHQPKXao7kSMojSqgXaNxOHg/s640/0.JPG</t>
  </si>
  <si>
    <t>Maida Biscuit</t>
  </si>
  <si>
    <t>மைதா பிஸ்கட்</t>
  </si>
  <si>
    <t>1.5 cup - Maida , 1/2 cup - Sugar (Powder well), 2 tbsp - Ghee ( 50 ml approximately ), Pinch of salt, Oil for frying.</t>
  </si>
  <si>
    <t>1.5 கப் - மைதா, 1/2 கப் - சர்க்கரை (நன்றாகப் பொடி), 2 டேபிள் ஸ்பூன் - நெய் (தோராயமாக 50 மிலி), சிட்டிகை உப்பு, பொரிப்பதற்கு எண்ணெய்.</t>
  </si>
  <si>
    <t>Into a mixing bowl add Maida, powdered sugar (its very important to powder the sugar), ghee and salt, mix well and gradually add water to form a soft dough (chapathi dough consistency) (we can also use butter instead of ghee)   Divide the dough into 2 and spread it (do not roll it too thin or too thick) Then cut it square or diamond shaped with a knife of Pizza cutter.   Once the oil is hot drop the diamonds one by one and fry until golden brown. (oil should be on medium heat).  That's it our delicious Maida biscuit / Diamond cuts is ready to be enjoyed with a cup of Tea / Coffee. Kids will definitely love it. Spread the joy of Cooking !!!</t>
  </si>
  <si>
    <t>ஒரு கலவை பாத்திரத்தில் மைதா, பொடித்த சர்க்கரை (சர்க்கரையைப் பொடி செய்வது மிகவும் முக்கியம்), நெய் மற்றும் உப்பு சேர்த்து நன்கு கலந்து, படிப்படியாக தண்ணீர் சேர்த்து மென்மையான மாவை உருவாக்கவும் (சப்பாத்தி மாவின் நிலைத்தன்மை) (நெய்க்குப் பதிலாக வெண்ணெயையும் பயன்படுத்தலாம்) மாவை 2 ஆகப் பிரித்து பரப்பவும் (மிக மெல்லியதாகவோ அல்லது மிகவும் தடிமனாகவோ உருட்ட வேண்டாம்) பின்னர் பீட்சா கட்டர் கத்தியால் சதுரமாகவோ அல்லது வைர வடிவமாகவோ வெட்டவும். எண்ணெய் சூடானதும் வைரங்களை ஒவ்வொன்றாக இறக்கி பொன்னிறமாகும் வரை வறுக்கவும். (எண்ணெய் மிதமான சூட்டில் இருக்க வேண்டும்). அவ்வளவுதான் எங்கள் சுவையான மைதா பிஸ்கட் / டயமண்ட் கட்ஸ் ஒரு கப் டீ / காபியுடன் சாப்பிட தயாராக உள்ளது. குழந்தைகள் நிச்சயமாக இதை விரும்புவார்கள். சமைப்பதில் மகிழ்ச்சியைப் பரப்புங்கள்!!!</t>
  </si>
  <si>
    <t>https://blogger.googleusercontent.com/img/b/R29vZ2xl/AVvXsEhJl37fcRPppYom2PYZ4IMh8enRBHUeDTDEx7qlurZ5OFVDazTOQso3b7c0F_4kcpK9cPqsAnsIuUw2YFtmJWM0Lm1-DjR3coIy3XhR3FUKZCkR1rpJtln5SY88IxwzS7y4gWbBT-Z1tDE/s640/1.JPG</t>
  </si>
  <si>
    <t>Strawberry Ice Cream</t>
  </si>
  <si>
    <t>ஸ்ட்ராபெரி ஐஸ்கிரீம்</t>
  </si>
  <si>
    <t>2 cup - Strawberry (200 gram), 2 tbsp - Sugar, 1 cup - Heavy whipping cream, 1/2 cup - Condensed milk, 1 tsp - Vanilla extract.</t>
  </si>
  <si>
    <t>2 கப் - ஸ்ட்ராபெரி (200 கிராம்), 2 டேபிள் ஸ்பூன் - சர்க்கரை, 1 கப் - கனமான விப்பிங் க்ரீம், 1/2 கப் - கண்டன்சுடு பால், 1 டீஸ்பூன் - வெண்ணிலா சாறு.</t>
  </si>
  <si>
    <t>Into a blender add strawberry , sugar and grind it until smooth. In a separate bowl add chilled heavy whipping cream and beat until stiff peaks, then add condensed milk and blend well. Finally add vanilla extract and the strawberry puree and mix well. Transfer it to an air tight container and freeze for 6 -7 hours.</t>
  </si>
  <si>
    <t>ஒரு பிளெண்டரில் ஸ்ட்ராபெரி, சர்க்கரை சேர்த்து மென்மையான வரை அரைக்கவும். ஒரு தனி கிண்ணத்தில் குளிர்ந்த கனமான விப்பிங் க்ரீமை சேர்த்து கெட்டியாகும் வரை அடிக்கவும், பின்னர் கண்டன்சுடு மில்க் சேர்த்து நன்கு கலக்கவும். இறுதியாக வெண்ணிலா சாறு மற்றும் ஸ்ட்ராபெரி ப்யூரி சேர்த்து நன்கு கலக்கவும். காற்று புகாத கொள்கலனில் மாற்றி 6 -7 மணி நேரம் உறைய வைக்கவும்.</t>
  </si>
  <si>
    <t>https://blogger.googleusercontent.com/img/b/R29vZ2xl/AVvXsEgdOBBrfO1-WBckBmJcUrtl5jsmW0yAI5Thl8l446q78eP6iT1qNbVhDDsHQFBWt7LfyDOqGXrEBpH_JTL0T_wgkHV5VjP0Y4Wv9cBzdWDR6WMc4rsBPenlSYvl_SVaSiD7Ye5vIm7XsvE/s640/7.JPG</t>
  </si>
  <si>
    <t>Banana Ice Cream</t>
  </si>
  <si>
    <t>வாழைப்பழ ஐஸ்கிரீம்</t>
  </si>
  <si>
    <t>2 Large  - Banana (fresh of Frozen), 2 tbsp - Sugar, 1 cup - Heavy whipping cream, 1/2 cup - Condensed milk, 1 tsp - Vanilla extract, 2 tbsp - Caramelized nuts (sugar coated nuts).</t>
  </si>
  <si>
    <t>2 பெரிய வாழைப்பழம் (புதியதாக உறைந்த நிலையில்), 2 தேக்கரண்டி - சர்க்கரை, 1 கப் - கனமான விப்பிங் க்ரீம், 1/2 கப் - அமுக்கப்பட்ட பால், 1 தேக்கரண்டி - வெண்ணிலா சாறு, 2 தேக்கரண்டி - கேரமல் செய்யப்பட்ட கொட்டைகள் (சர்க்கரை பூசப்பட்ட கொட்டைகள்).</t>
  </si>
  <si>
    <t>Into a blender add Banana, sugar and grind it until smooth. In a separate bowl add chilled heavy whipping cream and beat until stiff peaks, then add condensed milk and blend well. Finally add vanilla extract, some caramelized nuts and the banana puree and mix well.  it to an air tight container and freeze for 6 -7 hours.</t>
  </si>
  <si>
    <t>ஒரு பிளெண்டரில் வாழைப்பழம், சர்க்கரை சேர்த்து மென்மையான வரை அரைக்கவும். ஒரு தனி கிண்ணத்தில் குளிர்ந்த கனமான விப்பிங் க்ரீமை சேர்த்து கெட்டியாகும் வரை அடிக்கவும், பின்னர் அமுக்கப்பட்ட பால் சேர்த்து நன்கு கலக்கவும். இறுதியாக வெண்ணிலா சாறு, சிறிது கேரமல் செய்யப்பட்ட கொட்டைகள் மற்றும் வாழைப்பழ கூழ் சேர்த்து நன்கு கலக்கவும். காற்று புகாத கொள்கலனில் போட்டு 6-7 மணி நேரம் உறைய வைக்கவும்.</t>
  </si>
  <si>
    <t>https://blogger.googleusercontent.com/img/b/R29vZ2xl/AVvXsEh1a01Gfz8dWJ8GBvgzwhyphenhyphenK5powYa8plDsw6WdOWKNDSEeMh3o0ij29emlbqU9Qtw53Zmw_c2lH_SyGIxhxgE4qcoNDl4-Z1lxrXjvDz1P-7TB8Uaa09zSbxK9vtNZg8ajBxbdpo_FYatc/s640/b.JPG</t>
  </si>
  <si>
    <t>Mango Ice Cream</t>
  </si>
  <si>
    <t>மாம்பழ ஐஸ்கிரீம்</t>
  </si>
  <si>
    <t>2 large - Sweet Mango (or 2 cup), 2 tbsp - Sugar, 1 cup - Heavy whipping cream, 1/2 cup - Condensed milk, 1 tsp - Vanilla extract.</t>
  </si>
  <si>
    <t>2 பெரியது - இனிப்பு மாம்பழம் (அல்லது 2 கப்), 2 தேக்கரண்டி - சர்க்கரை, 1 கப் - கனமான விப்பிங் க்ரீம், 1/2 கப் - கண்டன்சுடு பால், 1 தேக்கரண்டி - வெண்ணிலா சாறு.</t>
  </si>
  <si>
    <t>Into a blender add mangoes, sugar and grind it until smooth. In a separate bowl add chilled heavy whipping cream and beat until stiff peaks, then add condensed milk and blend well. Finally add vanilla extract and the pureed mangoes and mix well. Transfer it to an air tight container and freeze for 6 -7 hours.</t>
  </si>
  <si>
    <t>ஒரு பிளெண்டரில் மாம்பழம், சர்க்கரை சேர்த்து மென்மையாகும் வரை அரைக்கவும். ஒரு தனி கிண்ணத்தில் குளிர்ந்த கனமான விப்பிங் க்ரீமை சேர்த்து கெட்டியாகும் வரை அடிக்கவும், பின்னர் கண்டன்சுடு மில்க் சேர்த்து நன்கு கலக்கவும். இறுதியாக வெண்ணிலா சாறு மற்றும் ப்யூரி செய்யப்பட்ட மாம்பழங்களை சேர்த்து நன்கு கலக்கவும். காற்று புகாத கொள்கலனில் மாற்றி 6-7 மணி நேரம் உறைய வைக்கவும்.</t>
  </si>
  <si>
    <t>https://blogger.googleusercontent.com/img/b/R29vZ2xl/AVvXsEiKyMSgvjWUWmTPovyFGqIJ2Bxtp6Rp5vj1lC02gGyqcQ5Xz0CbgnMlV6VEEIeHp6asLoZvKdOYktXUjTXyxIChRatidvkdFQRrNFOH64pijgR5T3JScS-DT97Qzf2rpuFs6R_-98CCQII/s640/a.JPG</t>
  </si>
  <si>
    <t>Chocolate Ice Cream</t>
  </si>
  <si>
    <t>சாக்லேட் ஐஸ்க்ரீம்</t>
  </si>
  <si>
    <t>1 cup - Heavy whipping creamc, 1/2 cup - Condensed milk, 1 tsp - Vanilla extract, 2 tbsp - Cocoa powder, 2 tbsp - Chocolate chips, 2 tbsp - chocolate syrup (optional).</t>
  </si>
  <si>
    <t>1 கப் - கனமான விப்பிங் க்ரீம்c, 1/2 கப் - கண்டன்ஸ்டு மில்க், 1 டீஸ்பூன் - வெண்ணிலா சாறு, 2 டீஸ்பூன் - கோகோ பவுடர், 2 டீஸ்பூன் - சாக்லேட் சிப்ஸ், 2 டீஸ்பூன் - சாக்லேட் சிரப் (விருப்பத்தேர்வு).</t>
  </si>
  <si>
    <t>In a bowl add chilled heavy whipping cream and beat until stiff peaks, then add condensed milk and blend well. Finally add vanilla extract , chocolate chips and cocoa powder and mix well. Then transfer it to a air tight container and add drizzle some chocolate syrup and swirl it with a spoon and Freeze for 6 -7 hours.</t>
  </si>
  <si>
    <t>ஒரு கிண்ணத்தில் குளிர்ந்த கனமான விப்பிங் க்ரீமை சேர்த்து கெட்டியாகும் வரை அடிக்கவும், பின்னர் கண்டன்ஸ்டு மில்க் சேர்த்து நன்கு கலக்கவும். கடைசியாக வெண்ணிலா சாறு, சாக்லேட் சிப்ஸ் மற்றும் கோகோ பவுடர் சேர்த்து நன்கு கலக்கவும். பின்னர் அதை காற்று புகாத கொள்கலனுக்கு மாற்றி, சிறிது சாக்லேட் சிரப்பை ஊற்றி, ஒரு கரண்டியால் சுழற்றி 6-7 மணி நேரம் ஃப்ரீசரில் வைக்கவும்.</t>
  </si>
  <si>
    <t>https://blogger.googleusercontent.com/img/b/R29vZ2xl/AVvXsEhBnXT9_K5jKifL5MplevV2rvuVmpj5GiJPEdGDMSuP-x40Pb5pPvdQDIEGWkuvAL8ei8LkqqX9-XrWT20qGd6ZXt2A7N7j628mCI9anMNjeQNeZYvNrxIioA8J24yiaJc42clFQ-pNVwM/s640/c.JPG</t>
  </si>
  <si>
    <t>Ennai Kathirikai</t>
  </si>
  <si>
    <t>எண்ணை கத்திரிக்காய்</t>
  </si>
  <si>
    <t>20 - Peanuts, 1 tsp - Fennel, 1 tsp - Cumin, 1/4 tsp  - Sesame seeds, 10 -12  - Fenugreek, 4 tbsp - Gingelly oil, 1/4 tsp - Mustard seeds, 1 tsp - Urad dal, 2  - Onions, 2  - Tomatoes, 1 tsp - Ginger Garlic paste, 1/4 tsp  - Turmeric powder, 1 tsp - Coriander powder , 2- 3 tsp - Chili powder, 1 - spring Curry leaves, 1 small - Tamarind soaked in water , Salt to taste , 5 small - Brinjals ( Indian eggplant) .</t>
  </si>
  <si>
    <t>20 - வேர்க்கடலை, 1 தேக்கரண்டி - வெந்தயம், 1 தேக்கரண்டி - சீரகம், 1/4 தேக்கரண்டி - எள், 10 -12 - வெந்தயம், 4 தேக்கரண்டி - எள் எண்ணெய், 1/4 தேக்கரண்டி - கடுகு, 1 தேக்கரண்டி - உளுத்தம் பருப்பு, 2 - வெங்காயம், 2 - தக்காளி, 1 தேக்கரண்டி - இஞ்சி பூண்டு விழுது, 1/4 தேக்கரண்டி - மஞ்சள் தூள், 1 தேக்கரண்டி - கொத்தமல்லி தூள், 2- 3 தேக்கரண்டி - மிளகாய் தூள், 1 - வசந்த கறிவேப்பிலை, 1 சிறியது - தண்ணீரில் ஊறவைத்த புளி, சுவைக்கு உப்பு, 5 சிறியது - கத்திரிக்காய் (இந்திய கத்தரிக்காய்).</t>
  </si>
  <si>
    <t>Roast peanuts on a medium heat for 2 minutes, then add fennel seeds, cumin seeds, sesame and fenugreek and roast it for 1 more minute. Transfer it to a jar and grind it to a fine powder.  Heat oil in a pan and fry the brinjals until soft. Make deep X cut at the bottom of the brinjal for easy penetration of the masalas.  Now again in the same oil add mustard seeds, urad dal and gice it a stir. Then add onions and cook until onions are soft. Then add the masalas - ginger garlic paste , turmeric powder, coriander powder , chili powder and curry leaves. Mix well and let it cook for a minute.  In the meanwhile grind 2 tomatoes and add it to the onion masala mixture and let it cook until the raw smell is gone. Finally add tamarind water (extract) and mix well, cover and cook until the oil oozes out.</t>
  </si>
  <si>
    <t>வேர்க்கடலையை 2 நிமிடங்கள் மிதமான தீயில் வறுத்து, பின்னர் பெருஞ்சீரகம், சீரகம், எள் மற்றும் வெந்தயம் சேர்த்து மேலும் 1 நிமிடம் வறுக்கவும். அதை ஒரு ஜாடிக்கு மாற்றி நன்றாக பொடியாக அரைக்கவும். ஒரு கடாயில் எண்ணெயை சூடாக்கி, கத்தரிக்காயை மென்மையாகும் வரை வறுக்கவும். மசாலாக்கள் எளிதில் ஊடுருவ கத்திரிக்காயின் அடிப்பகுதியில் ஆழமான X வெட்டு செய்யுங்கள். இப்போது மீண்டும் அதே எண்ணெயில் கடுகு, உளுத்தம்பருப்பு சேர்த்து கிளறவும். பின்னர் வெங்காயத்தைச் சேர்த்து வெங்காயம் மென்மையாகும் வரை வதக்கவும். பின்னர் மசாலாக்கள் - இஞ்சி பூண்டு விழுது, மஞ்சள் தூள், கொத்தமல்லி தூள், மிளகாய் தூள் மற்றும் கறிவேப்பிலை ஆகியவற்றைச் சேர்த்து நன்கு கலந்து ஒரு நிமிடம் வதக்கவும். இதற்கிடையில், 2 தக்காளியை அரைத்து, வெங்காய மசாலா கலவையில் சேர்த்து, பச்சை வாசனை போகும் வரை வதக்கவும். இறுதியாக புளி தண்ணீர் (சாறு) சேர்த்து நன்கு கலந்து, மூடி வைத்து எண்ணெய் வெளியேறும் வரை சமைக்கவும்.</t>
  </si>
  <si>
    <t>https://blogger.googleusercontent.com/img/b/R29vZ2xl/AVvXsEhEnOhUDKlSQtHiASGiANelz1PCllxuLsCq0c2a2AVuVjKaJbz9PYeCTgCrRmIsmG_Wvd12glwEtMK7Vun9y_Sh0j8lnZddBpR7vtMjfcM-piZu0dydHw2gU6gUQ6wmrJqu7eeZ6vwRDcw/s640/Capture2.JPG</t>
  </si>
  <si>
    <t>Mixture</t>
  </si>
  <si>
    <t>கலவை</t>
  </si>
  <si>
    <t>1 cup - Besan flour, 1/4 cup - Rice flour, 1 tsp - Chili powder, pinch of baking soda, Required Salt, Required Water, 1 cup - Besan flour, 1/4 cup - Rice flour, 1/2 tsp - Turmeric powder, 1 tsp  - Oil, 1/2 cup - Roasted Channa dal, 1/2 cup - Peanuts, 1/4 cup - Cashews, 1/2 cup -  Flattened Rice, 2  - spring Curry leaves, Oil for frying, 1 tsp - Chili powder, pinch of  Asafoetida .</t>
  </si>
  <si>
    <t>1 கப் - கடலை மாவு, 1/4 கப் - அரிசி மாவு, 1 தேக்கரண்டி - மிளகாய் தூள், சிறிது பேக்கிங் சோடா, தேவையான உப்பு, தேவையான தண்ணீர், 1 கப் - கடலை மாவு, 1/4 கப் - அரிசி மாவு, 1/2 தேக்கரண்டி - மஞ்சள் தூள், 1 தேக்கரண்டி - எண்ணெய், 1/2 கப் - வறுத்த சன்னா பருப்பு, 1/2 கப் - வேர்க்கடலை, 1/4 கப் - முந்திரி, 1/2 கப் - தட்டையான அரிசி, 2 - வசந்த கறிவேப்பிலை, வறுக்க எண்ணெய், 1 தேக்கரண்டி - மிளகாய் தூள், சிறிது பெருங்காயம்.</t>
  </si>
  <si>
    <t>Into a mixing bowl add besan, rice flour, chili powder, salt, baking soda and asafoetida. Mix once and then gradually add water to form a semi thick batter. Pour a ladle of batter on a laddu ladle and spread it with another spoon. Once the kara boondhis are nice and crispy take it off from oil.    Into a mixing bowl add besan, rice flour, Turmeric powder, salt, oil and asafoetida. Mix once and then gradually add water to form a soft dough (chapathi dough) Place it inside idiyappam achu and press it into oil .Flip it halfyway and fry until bubbles subside. Break it into small pieces and keep it aside.  Fry roasted channa dal , peanuts, cahews, flattened rice and curry leaves (be careful while frying, do not burn them)  Finally combine everything together and add chili powder , salt and a pinch of asafoetida. Mix well and serve with hot coffee or tea. We can also add fried garlic to get garlic flavor.  That's it our delicious homemade spicy Tamil Nadu Mixture is ready to be enjoyed. Once cooled store it in air tight container to maintain its freshness and crispiness. Happy Cooking !!!</t>
  </si>
  <si>
    <t>ஒரு கலவை பாத்திரத்தில் கடலை மாவு, அரிசி மாவு, மிளகாய் தூள், உப்பு, பேக்கிங் சோடா மற்றும் பெருங்காயம் சேர்க்கவும். ஒரு முறை கலந்து, பின்னர் படிப்படியாக தண்ணீர் சேர்த்து அரை தடிமனான மாவை உருவாக்கவும். ஒரு லட்டு கரண்டியில் ஒரு கரண்டி மாவை ஊற்றி மற்றொரு கரண்டியால் பரப்பவும். கர பூந்திகள் நன்றாகவும் மொறுமொறுப்பாகவும் மாறியதும், எண்ணெயிலிருந்து எடுக்கவும். ஒரு கலவை பாத்திரத்தில் கடலை மாவு, அரிசி மாவு, மஞ்சள் தூள், உப்பு, எண்ணெய் மற்றும் பெருங்காயம் சேர்க்கவும். ஒரு முறை கலந்து, பின்னர் படிப்படியாக தண்ணீர் சேர்த்து மென்மையான மாவை (சப்பாத்தி மாவு) செய்யவும். இடியப்பம் அச்சுக்குள் வைத்து எண்ணெயில் அழுத்தவும். பாதியாக புரட்டி குமிழிகள் குறையும் வரை வறுக்கவும். சிறிய துண்டுகளாக உடைத்து ஒதுக்கி வைக்கவும். வறுத்த சன்னா பருப்பை, வேர்க்கடலை, கேச்சீவ்ஸ், தட்டையான அரிசி மற்றும் கறிவேப்பிலையை வறுக்கவும் (வறுக்கும்போது கவனமாக இருங்கள், அவற்றை எரிக்க வேண்டாம்) இறுதியாக அனைத்தையும் ஒன்றாக சேர்த்து மிளகாய் தூள், உப்பு மற்றும் ஒரு சிட்டிகை பெருங்காயம் சேர்க்கவும். நன்றாக கலந்து சூடான காபி அல்லது தேநீருடன் பரிமாறவும். பூண்டு சுவை பெற வறுத்த பூண்டையும் சேர்க்கலாம். அவ்வளவுதான் எங்கள் சுவையான வீட்டில் தயாரிக்கப்பட்ட காரமான தமிழ்நாடு கலவை சுவைக்க தயாராக உள்ளது. குளிர்ந்ததும் அதன் புத்துணர்ச்சியையும் மிருதுவான தன்மையையும் பராமரிக்க காற்று புகாத கொள்கலனில் சேமிக்கவும். மகிழ்ச்சியான சமையல் !!!</t>
  </si>
  <si>
    <t>https://blogger.googleusercontent.com/img/b/R29vZ2xl/AVvXsEhI0Gk13XIQVJqY2Sih1quKHKlNAsNJISPI_368CekNHXh6YhPRf_fW1BWl97jVpTDfTTTFzrymsdw7_ef6_USUzPLShH_UD4sAECbZQn7R86fGfuPEkTZua3ubG6O-UFY2lZ-HNMlXU5Y/s640/DSC02125.JPG</t>
  </si>
  <si>
    <t>Vegetable Cutlet</t>
  </si>
  <si>
    <t>காய்கறி கட்லெட்</t>
  </si>
  <si>
    <t>1 tbsp - Oil, 1 - Onion, 2 - Green chilies, 1 tsp - Ginger Garlic paste, 1/2 tsp  - Garam masala powder, 1/4 tsp - Turmeric powder, 1 tbsp - Chili powder, 10 - Beans ,  1 - Carrot,  1/2 cup -  Peas , Salt and pepper , Chopped Coriander leaves, 1 cup - Bread Crumbs, 1/2 cup - Maida, Water , Oil for frying.</t>
  </si>
  <si>
    <t>1 டீஸ்பூன் - எண்ணெய், 1 - வெங்காயம், 2 - பச்சை மிளகாய், 1 டீஸ்பூன் - இஞ்சி பூண்டு விழுது, 1/2 டீஸ்பூன் - கரம் மசாலா தூள், 1/4 டீஸ்பூன் - மஞ்சள் தூள், 1 டீஸ்பூன் - மிளகாய் தூள், 10 - பீன்ஸ், 1 - கேரட், 1/2 கப் - பட்டாணி, உப்பு மற்றும் மிளகு, நறுக்கிய கொத்தமல்லி இலை, 1 கப் - ரொட்டி துண்டுகள், 1/2 கப் - மைதா, தண்ணீர், பொரிக்க எண்ணெய்.</t>
  </si>
  <si>
    <t>Heat oil in a pan and saute the chopped onions for a minute, once the onions turns translucent add the masalas - Green chilies, turmeric powder, ginger garlic paste, garam masala and chili powder. Mix well and then add finely chopped vegetables - Carrot, beans and green peas. (add water if required and cook for 2 to 3 minutes.  Boil and mash 3 potatoes and add it to the pan and mix well with the vegetables. Then with a masher or with the tumbler mash them well. . Finally add required salt, pepper and coriander leaves and mix well.  Take a small portion of the mixture and make it into a thick patty. This recipe makes 6 to 7 patties. Now to coat the patties we will need bread crumbs, and in a separate bowl mix all purpose flour  with water and form a semi thick batter. Take a patty ,dip it in the maida mixture and the roll it into the bread crumbs. Shake off any excess crumbs. Similarly do it with the rest of the patties.  After coating the patties in bread crumbs fry them on medium heat until golden brown on both the sides (flip them halfway) .We can either deep fry or shallow fry the patties.  We can also use the same patties to make vegetable burger which is my all time favorite. Please do try this recipe and home and share it with your friends and family.</t>
  </si>
  <si>
    <t>ஒரு கடாயில் எண்ணெயை சூடாக்கி, நறுக்கிய வெங்காயத்தை ஒரு நிமிடம் வதக்கவும், வெங்காயம் தெளிவாகத் தெரிந்ததும் மசாலாக்கள் - பச்சை மிளகாய், மஞ்சள் தூள், இஞ்சி பூண்டு விழுது, கரம் மசாலா மற்றும் மிளகாய் தூள் சேர்க்கவும். நன்கு கலந்து, பின்னர் இறுதியாக நறுக்கிய காய்கறிகள் - கேரட், பீன்ஸ் மற்றும் பச்சை பட்டாணி சேர்க்கவும். (தேவைப்பட்டால் தண்ணீர் சேர்த்து 2 முதல் 3 நிமிடங்கள் சமைக்கவும். 3 உருளைக்கிழங்கை வேகவைத்து மசித்து, வாணலியில் சேர்த்து காய்கறிகளுடன் நன்கு கலக்கவும். பின்னர் ஒரு மஷர் அல்லது டம்ளர் மூலம் நன்கு மசிக்கவும். இறுதியாக தேவையான உப்பு, மிளகு மற்றும் கொத்தமல்லி இலைகளைச் சேர்த்து நன்கு கலக்கவும். கலவையின் ஒரு சிறிய பகுதியை எடுத்து ஒரு தடிமனான பஜ்ஜியாக மாற்றவும். இந்த செய்முறையில் 6 முதல் 7 பஜ்ஜிகள் கிடைக்கும். இப்போது பஜ்ஜிகளை பூச நமக்கு ரொட்டி துண்டுகள் தேவைப்படும், மேலும் ஒரு தனி கிண்ணத்தில் அனைத்து வகையான மாவையும் தண்ணீரில் கலந்து அரை தடிமனான மாவை உருவாக்கவும். ஒரு பஜ்ஜியை எடுத்து, மைதா கலவையில் நனைத்து, ரொட்டி துண்டுகளில் உருட்டவும். அதிகப்படியான பஜ்ஜிகளை குலுக்கவும். மீதமுள்ள பஜ்ஜிகளுடன் இதேபோல் செய்யவும். பஜ்ஜிகளை ரொட்டி துண்டுகளில் பூசிய பிறகு, நடுத்தர வெப்பத்தில் இருபுறமும் தங்க பழுப்பு நிறமாகும் வரை வறுக்கவும் (அவற்றை பாதியாக புரட்டவும்). பஜ்ஜிகளை ஆழமாக வறுக்கலாம் அல்லது மேலோட்டமாக வறுக்கலாம். நான் எப்போதும் விரும்பும் வெஜிடபிள் பர்கர் தயாரிக்க அதே பஜ்ஜிகளைப் பயன்படுத்தலாம். தயவுசெய்து இந்த செய்முறையை முயற்சி செய்து வீட்டிலேயே செய்யுங்கள். உங்கள் நண்பர்களுடனும் குடும்பத்தினருடனும் பகிர்ந்து கொள்ளுங்கள்.</t>
  </si>
  <si>
    <t>https://blogger.googleusercontent.com/img/b/R29vZ2xl/AVvXsEiGtc91j1UwDgfJIn119QZ9Thax2-cZE0lsqim9-FDpNyoTo2VWY-w6gfmJ0bFJ6zXW39V4iARUeNl5qwjf7_NR7n3xSCg49z4tnjG-wbg7x6tHtd05fZt5iHDph7g-NtrzZHIrjICSj7I/s640/DSC01460.JPG</t>
  </si>
  <si>
    <t>Mutton Kola Urundai</t>
  </si>
  <si>
    <t>மட்டன் கோலா உருண்டை</t>
  </si>
  <si>
    <t>1/4 kg - Minced goat meat , 1 tsp - Fennel Seeds, 1/2 inch - Cinnamon, 2 - Cloves, 1 - Cardamom, 1 inch - Ginger, 2  - Garlic cloves, 2  - Green Chilies, 1 tbsp - Oil, 1/4 tsp - Turmeric powder, 1 tsp - Chili powder, 1  - Onion (finely chopped), 2 tbsp - Roasted channa dal flour, Salt to taste,  Coriander leaves , Oil for frying .</t>
  </si>
  <si>
    <t>1/4 கிலோ - அரைத்த ஆட்டு இறைச்சி, 1 தேக்கரண்டி - வெந்தயம் விதைகள், 1/2 அங்குலம் - இலவங்கப்பட்டை, 2 - கிராம்பு, 1 - ஏலக்காய், 1 அங்குலம் - இஞ்சி, 2 - பூண்டு பல், 2 - பச்சை மிளகாய், 1 தேக்கரண்டி - எண்ணெய், 1/4 தேக்கரண்டி - மஞ்சள் தூள், 1 தேக்கரண்டி - மிளகாய் தூள், 1 - வெங்காயம் (நன்றாக நறுக்கியது), 2 தேக்கரண்டி - வறுத்த சன்னா பருப்பு மாவு, சுவைக்கு உப்பு, கொத்தமல்லி இலைகள், பொரிப்பதற்கு எண்ணெய்.</t>
  </si>
  <si>
    <t>Grind fennel seeds, cinnamon, cloves and cardamom to a fine powder. Then add ginger, garlic and green chilies and grind it again.   Heat oil in a pan and add the minced meat (i bout it from stores) we can remove the bones and grind it in mixie as well. Now add the masalas -turmeric powder, chili powder and the freshly ground masala for step 1 , required salt and cook for 5 minutes.  once done transfer the cooked meat into a mixie and grind well. If there is any water left after cooking the meat strain the water completely and add only the meat. Add finely chopped onion and some coriander leaves. Check for salt and if required add more.  Now to bind everything together add roasted channa dal powder (pottu kadadalai maavu) and mix well, if there is more water left add a little more of flour to bind everything together. Now make small balls out of it. We get approximately 10 kola urundai from 1/4 kg meat.  Once the oil is medium hot place the kofta one by one and fry until all the sides are crispy and golden.  That's it our Mutton Kofta balls are ready to be enjoyed with rice or can be served as appetizer. Please do try this recipe at home and share it with your friends and family. Happy Cooking !!!!</t>
  </si>
  <si>
    <t>பெருஞ்சீரகம், இலவங்கப்பட்டை, கிராம்பு மற்றும் ஏலக்காயை நன்றாக பொடியாக அரைக்கவும். பின்னர் இஞ்சி, பூண்டு மற்றும் பச்சை மிளகாய் சேர்த்து மீண்டும் அரைக்கவும். ஒரு கடாயில் எண்ணெயை சூடாக்கி, துண்டு துண்தாக வெட்டப்பட்ட இறைச்சியைச் சேர்க்கவும் (நான் கடைகளில் வாங்கினேன்), எலும்புகளை நீக்கி மிக்ஸியிலும் அரைக்கலாம். இப்போது மசாலாக்கள் - மஞ்சள் தூள், மிளகாய் தூள் மற்றும் படி 1 க்கு புதிதாக அரைத்த மசாலா, தேவையான உப்பு சேர்த்து 5 நிமிடங்கள் சமைக்கவும். சமைத்த இறைச்சியை மிக்ஸியில் போட்டு நன்றாக அரைக்கவும். இறைச்சி சமைத்த பிறகு தண்ணீர் மீதமிருந்தால் தண்ணீரை முழுவதுமாக வடிகட்டி இறைச்சியை மட்டும் சேர்க்கவும். இறுதியாக நறுக்கிய வெங்காயம் மற்றும் சிறிது கொத்தமல்லி இலைகளை சேர்க்கவும். உப்பு இருக்கிறதா என்று சரிபார்த்து, தேவைப்பட்டால் மேலும் சேர்க்கவும். இப்போது எல்லாவற்றையும் ஒன்றாக இணைக்க வறுத்த சன்னா பருப்பு தூள் (பொட்டு கடலை மாவு) சேர்த்து நன்கு கலக்கவும், தண்ணீர் மீதமிருந்தால் அனைத்தையும் ஒன்றாக இணைக்க சிறிது மாவு சேர்க்கவும். இப்போது அதிலிருந்து சிறிய உருண்டைகளை உருவாக்கவும். 1/4 கிலோ இறைச்சியிலிருந்து தோராயமாக 10 கோலா உருண்டை கிடைக்கும். எண்ணெய் மிதமான சூடானதும் கோஃப்தாவை ஒவ்வொன்றாக வைத்து அனைத்து பக்கங்களும் மொறுமொறுப்பாகவும் பொன்னிறமாகவும் மாறும் வரை வறுக்கவும். அவ்வளவுதான் எங்கள் மட்டன் கோஃப்தா உருண்டைகள் சாதத்துடன் சாப்பிட தயாராக உள்ளன அல்லது பசியைத் தூண்டும் பொருளாக பரிமாறலாம். தயவுசெய்து இந்த செய்முறையை வீட்டிலேயே முயற்சி செய்து உங்கள் நண்பர்கள் மற்றும் குடும்பத்தினருடன் பகிர்ந்து கொள்ளுங்கள். மகிழ்ச்சியான சமையல்!!!!</t>
  </si>
  <si>
    <t>https://blogger.googleusercontent.com/img/b/R29vZ2xl/AVvXsEjKTqf3UL1mTaHqvGCvC9SpSIgA1xUF4aKGRwEuo2A1xR7fljhXaWcSWaD8YlJUx7onXDKP2-kRAh7UWXReRySMkk8QVQunkPCaxQO4PqtKakKqvgGxyG1YXBmsByBdtOrI3HNxunjV17I/s640/Capture.JPG</t>
  </si>
  <si>
    <t>Paal payasam</t>
  </si>
  <si>
    <t>பால் பாயசம்</t>
  </si>
  <si>
    <t>1/4 cup - Basmati Rice, 1 liter - Milk (4 cups approximately) , 1/2 cup - Sugar, 1 tbsp - Ghee, 3 - Cardamom, 1 tbsp - Cashews, 1 tbsp - Raisins.</t>
  </si>
  <si>
    <t>1/4 கப் - பாஸ்மதி அரிசி, 1 லிட்டர் - பால் (தோராயமாக 4 கப்), 1/2 கப் - சர்க்கரை, 1 டீஸ்பூன் - நெய், 3 - ஏலக்காய், 1 டீஸ்பூன் - முந்திரி, 1 டீஸ்பூன் - திராட்சை.</t>
  </si>
  <si>
    <t>Wash rice and add it to a blender , give it a few pulses , break the rice into 2 to 3 pieces, do not powder them .   Melt ghee in a pan or pressure cooker and and saute the rice for a minutes on low heat, then add milk , stir once. Cover the cooker and cook it for 20 -25 minutes, if you get whistle in between thats fine. If you are making it in open pot cook on medium for 25 minutes stirring occasionally.   After 25 minutes turn off the heat and let pressure subside, then add sugar and cook it for another 5 to 7 minutes. Finally add cardamom and some roasted nuts (cashews and raising in ghee) . Mix well and turn off the heat.    That's it our delicious rice payasam / milk payasam is ready to be enjoyed. We can also add condensed milk at the end to enhance the taste. Please do try this recipe at home and enjoy with friends and family. Happy Cooking !!!</t>
  </si>
  <si>
    <t>அரிசியைக் கழுவி, மிக்ஸியில் சேர்த்து, சிறிது பருப்புகளாக நறுக்கி, அரிசியை 2 முதல் 3 துண்டுகளாக உடைத்து, பொடியாக்க வேண்டாம். ஒரு பாத்திரத்தில் அல்லது பிரஷர் குக்கரில் நெய்யை உருக்கி, அரிசியை குறைந்த தீயில் ஒரு நிமிடம் வதக்கி, பின்னர் பால் சேர்த்து, ஒரு முறை கிளறவும். குக்கரை மூடி, 20-25 நிமிடங்கள் சமைக்கவும், இடையில் விசில் வந்தால் நன்றாக இருக்கும். நீங்கள் திறந்த பாத்திரத்தில் செய்தால், அவ்வப்போது கிளறி 25 நிமிடங்கள் மிதமான வெப்பத்தில் சமைக்கவும். 25 நிமிடங்களுக்குப் பிறகு, தீயை அணைத்து, அழுத்தம் குறைய விடவும், பின்னர் சர்க்கரையைச் சேர்த்து மேலும் 5 முதல் 7 நிமிடங்கள் சமைக்கவும். இறுதியாக ஏலக்காய் மற்றும் சிறிது வறுத்த கொட்டைகள் (முந்திரி மற்றும் நெய்யில் ஊற்றவும்) சேர்க்கவும். நன்றாக கலந்து அடுப்பை அணைக்கவும். அவ்வளவுதான், எங்கள் சுவையான அரிசி பாயசம் / பால் பாயசம் சுவைக்க தயாராக உள்ளது. சுவையை அதிகரிக்க இறுதியில் கண்டன்ஸ்டு மில்க் சேர்க்கலாம். தயவுசெய்து இந்த ரெசிபியை வீட்டிலேயே முயற்சி செய்து நண்பர்கள் மற்றும் குடும்பத்தினருடன் மகிழுங்கள். மகிழ்ச்சியான சமையல் !!!</t>
  </si>
  <si>
    <t>https://blogger.googleusercontent.com/img/b/R29vZ2xl/AVvXsEgo8ZMOX8NAQfKjL-Eu3vGXaUyCFOoyNTyOL2w-G4jvbkHt3NTFpGpq7-iA_5ajM4J-XbX3L0tVatfSxt63NJshTl8WoXSAueQ_BOJ2P4B-lhdcK8ZJMkSjmgdV7xzAIJFBi80D_L8QFXI/s640/DSC01615.JPG</t>
  </si>
  <si>
    <t>https://youtu.be/V5i9_nML8R4?si=tAahIYaT1sYRN5Pj</t>
  </si>
  <si>
    <t>Pasta</t>
  </si>
  <si>
    <t>பாஸ்தா</t>
  </si>
  <si>
    <t>2 cup  - Pasta, 2 tbsp - Oil, 2 - cloves Garlic, 1 - inch Ginger, 2 - Onion (medium size), 4 - Tomatoes (medium size), 1 - Carrot, 1/2 - Capsicum, 1 tsp - Garam masala, 2 tbsp - Chili sauce, 2 tbsp - Tomato ketchup , pinch - Pepper powder, Coriander leaves, Salt to taste, Parmesan cheese (optional) .</t>
  </si>
  <si>
    <t>2 கப் - பாஸ்தா, 2 டேபிள்ஸ்பூன் - எண்ணெய், 2 - பல் பூண்டு, 1 - அங்குல இஞ்சி, 2 - வெங்காயம் (நடுத்தர அளவு), 4 - தக்காளி (நடுத்தர அளவு), 1 - கேரட், 1/2 - கேப்சிகம், 1 டீஸ்பூன் - கரம் மசாலா, 2 டீஸ்பூன் - மிளகாய் சாஸ், 2 டீஸ்பூன் - தக்காளி கெட்ச்அப், சிட்டிகை - மிளகு தூள், கொத்தமல்லி இலைகள், ருசிக்க உப்பு, பர்மேசன் சீஸ் (விரும்பினால்).</t>
  </si>
  <si>
    <t>Bring water to a rolling boil and add required salt, then add pasta and cook until its soft and tender, I cooked for approximately 10 minutes. follow the instructions/time on the packet for best results. Once its done drain the water and keep it aside.  heat oil and add finely chopped garlic, finely chopped ginger and saute it for a few seconds.Then add onion and cook for another minute.  Once the onions are translucent add tomatoes and cook until soft. Always add double the tomatoes over onions to get that nice tangy taste. Once the tomatoes are soft add chopped carrot and capsicum and cook for few more minutes. Add water if required.   Now add required salt, garam masala powder, tomato ketchup and chili sauce (if you are mot using chili sauce add 1 tsp of chili powder). Then add the cooked pasta and mix well,heat for 1 more minute. Finally sprinkle some pepper powder and some chopped coriander leaves and turn off the heat.</t>
  </si>
  <si>
    <t>தண்ணீரை ஒரு கொதி நிலைக்கு கொண்டு வந்து தேவையான உப்பு சேர்த்து, பின்னர் பாஸ்தாவை சேர்த்து மென்மையாகவும் மென்மையாகவும் ஆகும் வரை சமைக்கவும், நான் சுமார் 10 நிமிடங்கள் சமைத்தேன். சிறந்த முடிவுகளுக்கு பாக்கெட்டில் உள்ள வழிமுறைகள்/நேரத்தைப் பின்பற்றவும். அது தயாரானதும் தண்ணீரை வடிகட்டி ஒதுக்கி வைக்கவும். எண்ணெயை சூடாக்கி, இறுதியாக நறுக்கிய பூண்டு, இறுதியாக நறுக்கிய இஞ்சியைச் சேர்த்து சில நொடிகள் வதக்கவும். பின்னர் வெங்காயத்தைச் சேர்த்து மற்றொரு நிமிடம் சமைக்கவும். வெங்காயம் ஒளிஊடுருவக்கூடியதாக மாறியதும் தக்காளியைச் சேர்த்து மென்மையாகும் வரை சமைக்கவும். வெங்காயத்தின் மேல் எப்போதும் தக்காளியை இரட்டிப்பாக்கி, அந்த நல்ல காரமான சுவையைப் பெறுங்கள். தக்காளி மென்மையாக வதங்கியதும் நறுக்கிய கேரட் மற்றும் கேப்சிகம் சேர்த்து இன்னும் சில நிமிடங்கள் சமைக்கவும். தேவைப்பட்டால் தண்ணீர் சேர்க்கவும். இப்போது தேவையான உப்பு, கரம் மசாலா தூள், தக்காளி கெட்ச்அப் மற்றும் மிளகாய் சாஸ் சேர்க்கவும் (நீங்கள் மிளகாய் சாஸை அதிகம் பயன்படுத்துகிறீர்கள் என்றால் 1 தேக்கரண்டி மிளகாய் தூள் சேர்க்கவும்). பின்னர் சமைத்த பாஸ்தாவை சேர்த்து நன்கு கலந்து, மேலும் 1 நிமிடம் சூடாக்கவும். இறுதியாக சிறிது மிளகு தூள் மற்றும் சிறிது நறுக்கிய கொத்தமல்லி இலைகளை தூவி, அடுப்பை அணைக்கவும்.</t>
  </si>
  <si>
    <t>https://blogger.googleusercontent.com/img/b/R29vZ2xl/AVvXsEheAr7PA9yXrevG3uOYbAv-r8KF_9F2OMrtsxWkKdsvpvxl1L4GfPQgF53pOT427UWxiWemlLm0XNBb91tDiy70o2zNyNNCnFvHuj6qixI5tZQk01w8XuEvY6nXm0QsohtUBF6-tBpSZFU/s640/1.JPG</t>
  </si>
  <si>
    <t>Adhirasam</t>
  </si>
  <si>
    <t>அதிரசம்</t>
  </si>
  <si>
    <t>400g - Raw rice (2 cups), 4  - Cardamom, 300g - Jaggery (1.5 cup), 1/2 cup - Water, 1 tbsp - Ghee, 1/4  tsp - Dry ginger powder, Oil for frying.</t>
  </si>
  <si>
    <t>400 கிராம் - பச்சரிசி (2 கப்), 4 - ஏலக்காய், 300 கிராம் - வெல்லம் (1.5 கப்), 1/2 கப் - தண்ணீர், 1 டீஸ்பூன் - நெய், 1/4 டீஸ்பூன் - உலர்ந்த இஞ்சி தூள், வறுக்க எண்ணெய்.</t>
  </si>
  <si>
    <t>This is one of the very important steps in making Adhirasam. Prefer fatty Raw rice (palagara arisi) , in thin rice we will not be able to get good results (adhirasam will separate while frying)  Wash and soak the ice in water for 1 hour and then spread it on a cloth or paper towel and dry it under fan for 20 minutes, there should not be any water sticking to the rice.   Transfer the rice to a mixie ,add 4 cardamom to it and powder well, pass it through a sieve to collect fine powder. put back the coarse powder and grind it again we need very fine powder. After passing only 2 tbsp of coarse powder was left for me , use 1 tbsp of it and add it to the fine powder and mix well (discard the remaining )  Heat jaggery in water, once it melts completely filter it to get rid of any dust. Then keep in on medium heat , we need to be little careful at this point . keep a vessel filled with water to check the consistency. Drop some jaggery into water if it dissolves in water then it is not ready cook for few more minutes, if it stays firm and if you can take it with your hands then it is ready (do not heat it again)  Immediately add ghee and dry ginger powder  (sukku podi) and mix well. Turn off the heat. Now take a spoon of sieved rice flour and add it to the syrup stirring constantly, keep on adding all the flour and mix well without any lumps. The batter should be semi thick , not too watery nor too hard.Apply some ghee on top and let it cool completely, Once cooled cover and leave it on the counter for 24 to 48 hours minimum.  Now after 2 days the dough will look something like this, it will be little hard and stiff. Take a small portion of the dough , flatten with your hands and make a small hole at the center.  Oil should be on medium while frying. If you drop a small piece of dough it should float on the surface of the oil immediately. Fry until both the sides are golden brown.  That's it our delicious traditional Adhirasam is ready to be served. Lets keep our tradition and distribute during festivals. Have a nice day, Happy Cooking !!!</t>
  </si>
  <si>
    <t>இது அதிரசம் தயாரிப்பதில் மிக முக்கியமான படிகளில் ஒன்றாகும். கொழுப்பு நிறைந்த பச்சரிசி (பலாகர அரிசி) , மெல்லிய அரிசியில் நல்ல பலன்களைப் பெற முடியாது (வறுக்கும்போது அதிரசம் பிரிந்துவிடும்) ஐஸைக் கழுவி தண்ணீரில் 1 மணி நேரம் ஊறவைத்து, பின்னர் அதை ஒரு துணி அல்லது காகிதத் துண்டில் பரப்பி, 20 நிமிடங்கள் விசிறியின் கீழ் உலர வைக்கவும், தண்ணீர் ஒட்டாமல் இருக்க வேண்டும். அரிசியை மிக்ஸியில் மாற்றி, அதில் 4 ஏலக்காயைச் சேர்த்து நன்கு பொடி செய்து, ஒரு சல்லடை மூலம் நன்றாகப் பொடி செய்யவும். கரடுமுரடான பொடியை மீண்டும் போட்டு மீண்டும் அரைக்கவும். நமக்கு மிகவும் நன்றாகப் பொடி தேவைப்படும். எனக்கு 2 டேபிள் ஸ்பூன் கரடுமுரடான பொடி மட்டும் மிச்சமிருந்த பிறகு, அதில் 1 டேபிள் ஸ்பூன் எடுத்து நன்றாகப் பொடித்த பொடியுடன் சேர்த்து நன்றாகக் கலக்கவும் (மீதமுள்ளதை நீக்கவும்) வெல்லத்தை தண்ணீரில் சூடாக்கி, அது முழுவதுமாக உருகியதும், தூசியை அகற்ற அதை வடிகட்டி வைக்கவும். பின்னர் மிதமான தீயில் வைக்கவும், இந்த கட்டத்தில் நாம் கொஞ்சம் கவனமாக இருக்க வேண்டும். நிலைத்தன்மையை சரிபார்க்க ஒரு பாத்திரத்தில் தண்ணீர் நிரப்பவும். தண்ணீரில் சிறிது வெல்லத்தை தண்ணீரில் போட்டு, அது தண்ணீரில் கரைந்தால், அது தயாராக இல்லை, இன்னும் சில நிமிடங்கள் சமைக்கவும், அது உறுதியாக இருந்தால், உங்கள் கைகளால் எடுக்க முடிந்தால், அது தயாராக உள்ளது (மீண்டும் சூடாக்க வேண்டாம்) உடனடியாக நெய் மற்றும் உலர்ந்த இஞ்சி பொடி (சுக்கு பொடி) சேர்த்து நன்கு கலக்கவும். தீயை அணைக்கவும். இப்போது ஒரு ஸ்பூன் சலித்த அரிசி மாவை எடுத்து சிரப்பில் சேர்த்து தொடர்ந்து கிளறி, அனைத்து மாவையும் சேர்த்து கட்டிகள் இல்லாமல் நன்கு கலக்கவும். மாவு அரை தடிமனாக இருக்க வேண்டும், அதிக நீர் அல்லது மிகவும் கடினமாக இருக்கக்கூடாது. மேலே சிறிது நெய் தடவி முழுமையாக ஆற விடவும், ஆறியதும் மூடி, குறைந்தபட்சம் 24 முதல் 48 மணி நேரம் வரை கவுண்டரில் வைக்கவும். இப்போது 2 நாட்களுக்குப் பிறகு மாவு இப்படி இருக்கும், அது கொஞ்சம் கடினமாகவும் கடினமாகவும் இருக்கும். மாவின் ஒரு சிறிய பகுதியை எடுத்து, உங்கள் கைகளால் தட்டையாக்கி, மையத்தில் ஒரு சிறிய துளை செய்யுங்கள். வறுக்கும்போது எண்ணெய் நடுத்தர அளவில் இருக்க வேண்டும். நீங்கள் ஒரு சிறிய துண்டு மாவை போட்டால் அது உடனடியாக எண்ணெயின் மேற்பரப்பில் மிதக்க வேண்டும். இருபுறமும் தங்க பழுப்பு நிறமாக மாறும் வரை வறுக்கவும். அவ்வளவுதான் எங்கள் சுவையான பாரம்பரிய ஆதிரசம் பரிமாற தயாராக உள்ளது. எங்கள் பாரம்பரியத்தை கடைப்பிடித்து பண்டிகைகளின் போது விநியோகிப்போம். இனிய நாள், மகிழ்ச்சியான சமையல் !!!</t>
  </si>
  <si>
    <t>https://blogger.googleusercontent.com/img/b/R29vZ2xl/AVvXsEjRkkQgmFplp1SomdZmDY8qs_-1edt71u5P1T1AeNCVQDIWh4oKozTDYhLlxcA1WG1Loff_Ua5ehRmGzq6pfZvqXkmfwwszyghyphenhyphenKR11oPWqlvZpDhzm9ey55VCkF-jW9mH0TkLmgC2yMYo/s640/editted-1.jpg</t>
  </si>
  <si>
    <t>Garlic Naan</t>
  </si>
  <si>
    <t>பூண்டு நான்</t>
  </si>
  <si>
    <t>2 cup - Maida , 1/4 cup - Water  to activate yeast, 1 tsp - Yeast (3 grams), 1 tsp - Sugar, 1 tbsp - Oil, required Salt, 4 tbsp - Melted Butter, 3 cloves  - Garlic, Coriander leaves.</t>
  </si>
  <si>
    <t>2 கப் - மைதா, 1/4 கப் - ஈஸ்ட் தூண்ட தண்ணீர், 1 தேக்கரண்டி - ஈஸ்ட் (3 கிராம்), 1 தேக்கரண்டி - சர்க்கரை, 1 தேக்கரண்டி - எண்ணெய், தேவையான உப்பு, 4 தேக்கரண்டி - உருகிய வெண்ணெய், 3 பல் - பூண்டு, கொத்தமல்லி இலைகள்.</t>
  </si>
  <si>
    <t>Activating yeast is a very important step in making bread. Add Sugar to luke warm milk (105 F - 110 F), (42 - 43 C ) then add yeast to it and mix it well and let it sit for 5 minutes. Once the yeast is activated lets prepare the dough. If you do not have yeast use 1 tsp baking powder, 1/4 tsp baking soda and 1/4 cup of yogurt instead of yeast.(combine everything to the flour and mix well)   In a mixing bowl combine Maida, Oil, salt , yeast mixture, and required water. Mix well to form a soft and a sticky dough. ( I used approximately 3/4 cup water)  Once well mixed knead for minimum 8 - 10 minutes. Kneading softens the dough and soon after kneading dough will no more stick to your hands.  Once after kneading apply few drops of oil on the top of the dough and on the sides of bowl to prevent drying. Keep it undisturbed for 1 to 1.30 hours or until the dough doubles in size. (cover it with a cloth) If you are not using yeast the keep it aside of 2 hours to soften the dough.  Now after 1.30 hours take a portion of the dough, dust with flour on both the sides to prevent sticking and then spread it with hands or use a rolling pin to roll out smooth. Place it on a very hot iron pan and wait until you see bubbles. Now flip it to the other side and cook for another 20 seconds until you get brown color on the other side. (We can show it on fire as well to get brown marks)  Once out of the pan grease it with melted butter to make it stay soft and fresh.  Melt butter and add finely chopped garlic, chopped coriander leaves and mix well. Apply it over flattened dough and cook until done.  Now preheat the oven to the maximum temperature 550 F / 190 C and bake it for 6 -7 minutes or until done (golden brown) .</t>
  </si>
  <si>
    <t>ஈஸ்ட் தூண்டுவது ரொட்டி தயாரிப்பதில் மிக முக்கியமான படியாகும். வெதுவெதுப்பான பாலில் (105 F - 110 F), (42 - 43 C) சர்க்கரையைச் சேர்த்து, அதில் ஈஸ்ட் சேர்த்து நன்கு கலந்து 5 நிமிடங்கள் அப்படியே வைக்கவும். ஈஸ்ட் தூண்டப்பட்டதும், மாவை தயார் செய்யலாம். உங்களிடம் ஈஸ்ட் இல்லையென்றால், ஈஸ்டுக்கு பதிலாக 1 தேக்கரண்டி பேக்கிங் பவுடர், 1/4 தேக்கரண்டி பேக்கிங் சோடா மற்றும் 1/4 கப் தயிர் ஆகியவற்றைப் பயன்படுத்துங்கள். (எல்லாவற்றையும் மாவுடன் சேர்த்து நன்கு கலக்கவும்) ஒரு கலவை கிண்ணத்தில் மைதா, எண்ணெய், உப்பு, ஈஸ்ட் கலவை மற்றும் தேவையான தண்ணீரை சேர்த்து நன்கு கலக்கவும். மென்மையான மற்றும் ஒட்டும் மாவை உருவாக்க நன்கு கலக்கவும். (நான் சுமார் 3/4 கப் தண்ணீரைப் பயன்படுத்தினேன்) நன்றாகக் கலந்த பிறகு குறைந்தது 8 - 10 நிமிடங்கள் பிசையவும். பிசைந்தவுடன் மாவு மென்மையாகிறது, பிசைந்தவுடன் மாவு உங்கள் கைகளில் ஒட்டாது. பிசைந்த பிறகு, மாவின் மேற்புறத்திலும் கிண்ணத்தின் பக்கங்களிலும் சில துளிகள் எண்ணெயைத் தடவி, உலராமல் தடுக்கவும். 1 முதல் 1.30 மணி நேரம் அல்லது மாவு அளவு இரட்டிப்பாகும் வரை அதை அசைக்காமல் வைக்கவும். (ஒரு துணியால் மூடி வைக்கவும்) நீங்கள் ஈஸ்ட் பயன்படுத்தவில்லை என்றால், மாவை மென்மையாக்க 2 மணி நேரம் ஒதுக்கி வைக்கவும். இப்போது 1.30 மணி நேரத்திற்குப் பிறகு, மாவின் ஒரு பகுதியை எடுத்து, ஒட்டாமல் இருக்க இருபுறமும் மாவைத் தூவி, பின்னர் அதை கைகளால் பரப்பவும் அல்லது மென்மையாக உருட்ட ஒரு ரோலிங் பின் பயன்படுத்தவும். மிகவும் சூடான இரும்பு வாணலியில் வைத்து, குமிழ்கள் தெரியும் வரை காத்திருக்கவும். இப்போது அதை மறுபுறம் திருப்பி, மறுபுறம் பழுப்பு நிறம் வரும் வரை மேலும் 20 வினாடிகள் சமைக்கவும். (பழுப்பு நிறக் குறிகள் வர நாம் அதை நெருப்பில் காட்டலாம்) வாணலியில் இருந்து வெளியே வந்ததும், மென்மையாகவும் புதியதாகவும் இருக்க உருகிய வெண்ணெய் தடவவும். வெண்ணெயை உருக்கி, இறுதியாக நறுக்கிய பூண்டு, நறுக்கிய கொத்தமல்லி இலைகளைச் சேர்த்து நன்கு கலக்கவும். தட்டையான மாவின் மேல் தடவி, சமைக்கும் வரை சமைக்கவும். இப்போது அடுப்பை அதிகபட்ச வெப்பநிலை 550 F / 190 C க்கு முன்கூட்டியே சூடாக்கி, 6 -7 நிமிடங்கள் அல்லது சமைக்கும் வரை (தங்க பழுப்பு) சுடவும்.</t>
  </si>
  <si>
    <t>https://blogger.googleusercontent.com/img/b/R29vZ2xl/AVvXsEjo6EZKP0fD3sJtb6_YP6I3PPKCaa7xmUlT0R9YF1N2VHpU_2Lq9RStavPb4pqBuzCTbgXFc4hHWNcAcNgbpRpaJndhv2Oy_JLGDNpAu46-gq27XXUfISyyG5_ysrMG0aVhT-I25k17Yd0/s640/naan.JPG</t>
  </si>
  <si>
    <t>Homemade Eggless Ice cream</t>
  </si>
  <si>
    <t>வீட்டில் தயாரிக்கப்பட்ட முட்டை இல்லாத ஐஸ்கிரீம்</t>
  </si>
  <si>
    <t>1 liter - Full fat Milk (4 cups approx), 150 gram - Sugar (3/4 cup) , 2 tbsp  - Custard powder, 2 tbsp - Butter, 1 tbsp - Vanilla essence,  1 tsp - Ghee, 3 tbsp - broken Cashews, 2 tsp - Sugar.</t>
  </si>
  <si>
    <t>1 லிட்டர் - முழு கொழுப்புள்ள பால் (தோராயமாக 4 கப்), 150 கிராம் - சர்க்கரை (3/4 கப்), 2 டீஸ்பூன் - கஸ்டர்ட் பவுடர், 2 டீஸ்பூன் - வெண்ணெய், 1 டீஸ்பூன் - வெண்ணிலா எசன்ஸ், 1 டீஸ்பூன் - நெய், 3 டீஸ்பூன் - உடைத்த முந்திரி, 2 டீஸ்பூன் - சர்க்கரை.</t>
  </si>
  <si>
    <t>In a large heavy bottom pan add milk and cook it over medium heat until milk reduces to half, It takes approximately 45 minutes. Stir it in between to prevent the milk sticking to the bottom.   Once the milk is reduced to half (approximately- don't need to be exact),  take a spoon (3 tbsp ) of hot milk and add it to custard powder, mix well and keep it aside. (do not add the custard powder directly into the pint, it doesn't dissolve properly.   Now add 2 tbsp of butter and mix well, Reduce the heat to low and gradually add the custard mixture and keep stirring on low heat.   Now add sugar and mix well. Turn on the heat to medium and let it cook for sometime on medium until bubbles appear. (takes approximately 7 minutes)  Once it become thick and bubbles apprears turn off the heat and add vanilla extract and mix well.  Pass it through a strainer , as you can see its clear without any solid particles. Allow it to cool completely. Once cooled keep it in an air tight container and freeze it for  3 to 4 hours.  After 3 hours transfer the mixture to a blender and grind it smooth without any solids. Again freeze it for 3 hours and repeat the same for 3 more times.   After beating for the 4th time melt ghee in a pan and add broken cashews , once the cashews turns golden add sugar and wait until sugar melts and changes its color. Allow the cashew sugar mixture to cool down and add it to the beaten ice cream and freeze it.  That's it our delicious homemade ice cream is ready to be enjoyed. Please so try this recipe at home and share it with your Friends and Family. Happy Cooking !!!!</t>
  </si>
  <si>
    <t>ஒரு பெரிய கனமான அடிப்பகுதி கொண்ட பாத்திரத்தில் பால் சேர்த்து, பால் பாதியாகக் குறையும் வரை மிதமான தீயில் சமைக்கவும், இது சுமார் 45 நிமிடங்கள் ஆகும். பால் அடிப்பகுதியில் ஒட்டாமல் இருக்க இடையில் கிளறவும். பால் பாதியாகக் குறைக்கப்பட்டதும் (தோராயமாக - சரியாகச் சொல்லத் தேவையில்லை), ஒரு ஸ்பூன் (3 டீஸ்பூன்) சூடான பாலை எடுத்து கஸ்டர்ட் பவுடரில் சேர்த்து, நன்கு கலந்து ஒதுக்கி வைக்கவும். (கஸ்டர்ட் பவுடரை நேரடியாக பைண்டில் சேர்க்க வேண்டாம், அது சரியாக கரைவதில்லை. இப்போது 2 டேபிள்ஸ்பூன் வெண்ணெய் சேர்த்து நன்கு கலக்கவும், தீயை குறைத்து, படிப்படியாக கஸ்டர்ட் கலவையைச் சேர்த்து குறைந்த தீயில் கிளறவும். இப்போது சர்க்கரையைச் சேர்த்து நன்கு கலக்கவும். தீயை நடுத்தரமாக ஆக்கி, குமிழ்கள் தோன்றும் வரை சிறிது நேரம் நடுத்தரத்தில் சமைக்க விடவும். (தோராயமாக 7 நிமிடங்கள் ஆகும்) அது கெட்டியாகி குமிழ்கள் தோன்றியவுடன், வெப்பத்தை அணைத்து, வெண்ணிலா சாற்றைச் சேர்த்து நன்கு கலக்கவும். ஒரு வடிகட்டி வழியாக அனுப்பவும், ஏனெனில் அது எந்த திடமான துகள்களும் இல்லாமல் தெளிவாகத் தெரியும். அதை முழுமையாக குளிர்விக்க விடவும். குளிர்ந்ததும், காற்று புகாத கொள்கலனில் வைத்து 3 முதல் 4 மணி நேரம் ஃப்ரீசரில் வைக்கவும். 3 மணி நேரம் கழித்து கலவையை ஒரு பிளெண்டருக்கு மாற்றி, எந்த திடப்பொருளும் இல்லாமல் மென்மையாக அரைக்கவும். மீண்டும் 3 மணி நேரம் ஃப்ரீசரில் போட்டு, இதையே 3 முறை செய்யவும். 4வது முறையாக அடித்த பிறகு, ஒரு பாத்திரத்தில் நெய்யை உருக்கி, உடைத்த முந்திரியைச் சேர்த்து, முந்திரி பொன்னிறமாக மாறியதும், சர்க்கரையைச் சேர்த்து, சர்க்கரை உருகி அதன் தன்மை மாறும் வரை காத்திருக்கவும். நிறம். முந்திரி சர்க்கரை கலவையை குளிர்விக்க விடுங்கள், அதை அடித்து ஐஸ்கிரீமில் சேர்த்து உறைய வைக்கவும். அவ்வளவுதான், எங்கள் சுவையான வீட்டில் தயாரிக்கப்பட்ட ஐஸ்கிரீம் அனுபவிக்க தயாராக உள்ளது. எனவே தயவுசெய்து இந்த செய்முறையை வீட்டிலேயே முயற்சி செய்து உங்கள் நண்பர்கள் மற்றும் குடும்பத்தினருடன் பகிர்ந்து கொள்ளுங்கள். மகிழ்ச்சியான சமையல் !!!!</t>
  </si>
  <si>
    <t>https://blogger.googleusercontent.com/img/b/R29vZ2xl/AVvXsEiaIgNlLHdsRGBs_EZ7Mz0SuYFbDbdr1HgXSksuc4NkqFNePElNJU8yNZVSdrTCUgt5xu0ApOw2hFMhnVWS-XQM0OBRVAAMdOAf5kBelwFjsSXCwccOSMhsQ9huZUVU6fJxunJW1YLbXpA/s640/Capture.JPG</t>
  </si>
  <si>
    <t>Coriander Rice</t>
  </si>
  <si>
    <t>கொத்தமல்லி சாதம்</t>
  </si>
  <si>
    <t>2 cup  - Cooked Rice, 2 bunch - Coriander leaves, 4 - Green Chilies, 1 inch - Ginger, 2 tbsp - Oil 1/4 tsp - mustard seeds,  1 tsp -  Urad dal ,  1 tsp -  Chana dal, 1 - Cinnamon stick ,  1 - bay leaf,  2 -  cloves, 2 - dry red chilies, 1 tbsp - Cashews or peanuts, 1 - Onion (medium size), Salt to taste, Juice of half lemon.</t>
  </si>
  <si>
    <t>2 கப் - சமைத்த சாதம், 2 கொத்து - கொத்தமல்லி இலைகள், 4 - பச்சை மிளகாய், 1 அங்குலம் - இஞ்சி, 2 டீஸ்பூன் - எண்ணெய் 1/4 டீஸ்பூன் - கடுகு, 1 டீஸ்பூன் - உளுத்தம் பருப்பு, 1 டீஸ்பூன் - கடலை பருப்பு, 1 - இலவங்கப்பட்டை குச்சி, 1 - பிரியாணி இலை, 2 - கிராம்பு, 2 - உலர்ந்த சிவப்பு மிளகாய், 1 டீஸ்பூன் - முந்திரி அல்லது வேர்க்கடலை, 1 - வெங்காயம் (நடுத்தர அளவு), ருசிக்க உப்பு, அரை எலுமிச்சை சாறு.</t>
  </si>
  <si>
    <t>Wash and remove the thick stem of coriander leaves, add it to a blender along with green chilies and ginger. Grind it to a fine paste.  Heat oil is a pan and temper with mustard seeds, urad dal, chana dal, cinnamon stick, bay leaves , cloves and dry red chilies and few cahews.Then add sliced onion and saute until golden brown. Then add the ground coriander leaves and cook for a couple of minutes until dry, add required salt.  Once the mixture becomes slightly dry add the cooked rice and mix well until the rice is well coated with the coriander mixture,. finally squeeze in lemon juice and turn off the heat.  That's it our delicious coriander rice is ready to go into the tiffin box along with some potato varuval and vadagam.</t>
  </si>
  <si>
    <t>கொத்தமல்லி இலைகளின் தடிமனான தண்டுகளை கழுவி, பச்சை மிளகாய் மற்றும் இஞ்சியுடன் சேர்த்து ஒரு பிளெண்டரில் சேர்க்கவும். நன்றாக அரைக்கவும். ஒரு கடாயில் எண்ணெயை சூடாக்கி, கடுகு, உளுத்தம் பருப்பு, கடலை பருப்பு, இலவங்கப்பட்டை குச்சி, பிரியாணி இலைகள், கிராம்பு மற்றும் உலர்ந்த சிவப்பு மிளகாய் மற்றும் சில கத்தரிக்காய் சேர்த்து நன்கு அரைக்கவும். பின்னர் நறுக்கிய வெங்காயத்தைச் சேர்த்து பொன்னிறமாகும் வரை வதக்கவும். பின்னர் அரைத்த கொத்தமல்லி இலைகளைச் சேர்த்து, இரண்டு நிமிடங்கள் வதக்கி, தேவையான உப்பு சேர்க்கவும். கலவை சிறிது காய்ந்ததும், சமைத்த அரிசியைச் சேர்த்து, அரிசி கொத்தமல்லி கலவையுடன் நன்கு பூசப்படும் வரை நன்கு கலக்கவும். இறுதியாக எலுமிச்சை சாற்றை பிழிந்து, அடுப்பை அணைக்கவும். அவ்வளவுதான், எங்கள் சுவையான கொத்தமல்லி சாதம், சிறிது உருளைக்கிழங்கு வறுவல் மற்றும் வடகத்துடன் டிபன் பாக்ஸில் வைக்க தயாராக உள்ளது.</t>
  </si>
  <si>
    <t>https://blogger.googleusercontent.com/img/b/R29vZ2xl/AVvXsEhTQLNJ4KOH52sHYc5p-kTjI4O899RTo273rlnci-xKbu_mAtZ2t2yMCk-8Pza4YhBdNLjL3Q2cwhSDwmlH2sS384BblL7zJgQ40aIGJ2I2Eb77Z8vEvGOpmgL7aebimq9VrWqB6Iq4n0w/s640/44.JPG</t>
  </si>
  <si>
    <t>Vegetable Sandwich</t>
  </si>
  <si>
    <t>காய்கறி சாண்ட்விச்</t>
  </si>
  <si>
    <t>6 slice - Bread, 1 tbsp - Oil, 1 - Onion, 1  - Copped Green Chilies, 1 tsp - Chili powder, 1 - Carrot, 1/2 Cup - Green Peas, 1 large - Potato (boiled and mashed), 3 - slices Cheese, 1/4 tsp - Pepper powder, Chopped Coriander leaves, Salt to Taste.</t>
  </si>
  <si>
    <t>6 துண்டுகள் - ரொட்டி, 1 டேபிள்ஸ்பூன் - எண்ணெய், 1 - வெங்காயம், 1 - நறுக்கிய பச்சை மிளகாய், 1 டீஸ்பூன் - மிளகாய் தூள், 1 - கேரட், 1/2 கப் - பச்சை பட்டாணி, 1 பெரியது - உருளைக்கிழங்கு (வேகவைத்து மசித்தது), 3 - துண்டுகள் சீஸ், 1/4 டீஸ்பூன் - மிளகு தூள், நறுக்கிய கொத்தமல்லி இலை, சுவைக்கேற்ப உப்பு.</t>
  </si>
  <si>
    <t>Heat oil in a pan and saute onions, after a minute add the vegetables ( carrot , peas , you can add your favorite choices). Then add chopped green chili , chili powder and cook well. (sprinkle some water if required).   Once the veggies are cooked add boiled potato and mix well. Then with a help of a masher or with the back side of a tumbler mash everything nicely.  Finally add some pepper powder and coriander leaves, combine well.  Spread the masala filling and place a cheese on the top (cheese is optional) Then cover it with a slice of bread.  Heat a iron pan and grease it with some butter, place the sandwich and cook until golden, place a weight on the top and apply some pressure.  Once golden on one side flip it to the other side and toast until golden.</t>
  </si>
  <si>
    <t>ஒரு கடாயில் எண்ணெயை சூடாக்கி வெங்காயத்தை வதக்கி, ஒரு நிமிடம் கழித்து காய்கறிகளைச் சேர்க்கவும் (கேரட், பட்டாணி, உங்களுக்குப் பிடித்தவற்றைச் சேர்க்கலாம்). பின்னர் நறுக்கிய பச்சை மிளகாய், மிளகாய் தூள் சேர்த்து நன்கு சமைக்கவும். (தேவைப்பட்டால் சிறிது தண்ணீர் தெளிக்கவும்). காய்கறிகள் வெந்தவுடன் வேகவைத்த உருளைக்கிழங்கைச் சேர்த்து நன்கு கலக்கவும். பின்னர் ஒரு மசியின் உதவியுடன் அல்லது ஒரு டம்ளரின் பின்புறம் அனைத்தையும் நன்றாக மசிக்கவும். இறுதியாக சிறிது மிளகுத் தூள் மற்றும் கொத்தமல்லி இலைகளைச் சேர்த்து நன்கு கலக்கவும். மசாலா நிரப்புதலைத் தூவி, மேலே ஒரு சீஸ் வைக்கவும் (சீஸ் விருப்பத்திற்குரியது) பின்னர் அதை ஒரு ரொட்டித் துண்டால் மூடி வைக்கவும். ஒரு இரும்பு பாத்திரத்தை சூடாக்கி, அதில் சிறிது வெண்ணெய் தடவி, சாண்ட்விச்சை வைத்து பொன்னிறமாகும் வரை சமைக்கவும், மேலே ஒரு எடையை வைத்து சிறிது அழுத்தம் கொடுக்கவும். ஒரு பக்கம் பொன்னிறமானதும், மறுபுறம் திருப்பி பொன்னிறமாகும் வரை டோஸ்ட் செய்யவும். அவ்வளவுதான், எங்கள் சுவையான மசாலா வெஜ் சாண்ட்விச் சாப்பிட தயாராக உள்ளது. மகிழ்ச்சியான சமையல்!!!!</t>
  </si>
  <si>
    <t>https://blogger.googleusercontent.com/img/b/R29vZ2xl/AVvXsEjXf4W3KzLYMRLlE8ZQ-6rk9pMAeEMD6eNa48Qy0mpU09mMyaJQzQBeec6a7meHzz9x43IKN8CA6Igp9BV14ZyzXbtX8Jy-1RaadDmt4LdzEOjFKzIn75ImttxaPj4OCBsaDo2R2fDqM4E/s640/DSC01712.JPG</t>
  </si>
  <si>
    <t>Mysore Bonda</t>
  </si>
  <si>
    <t>மைசூர் போண்டா</t>
  </si>
  <si>
    <t>1 Cup - Maida / all purpose flour, 1/4 cup - Rice flour, 2 - Copped Green Chilies, 1 tsp - Cumin seeds, 1 tsp - Chopped Ginger, 2 tbsp - Chopped Coriander leaves, 1/2 Cup - Yogurt, 1/2 tsp - Baking Soda, Water as required, Salt to Taste.</t>
  </si>
  <si>
    <t>1 கப் - மைதா / அனைத்து உபயோக மாவு, 1/4 கப் - அரிசி மாவு, 2 - நறுக்கிய பச்சை மிளகாய், 1 தேக்கரண்டி - சீரகம், 1 தேக்கரண்டி - நறுக்கிய இஞ்சி, 2 தேக்கரண்டி - நறுக்கிய கொத்தமல்லி இலை, 1/2 கப் - தயிர், 1/2 தேக்கரண்டி - பேக்கிங் சோடா, தேவைக்கேற்ப தண்ணீர், சுவைக்கேற்ப உப்பு.</t>
  </si>
  <si>
    <t>In a bowl combine Maida, Rice flour, cumin, ginger, green chilies and coriander leaves. Mix it once and then add yogurt, baking soda, required salt and mix well.  Next add required batter to form a semi thick batter without any lumps. Once the batter is ready let it rest for 5 to 10 minutes. In the meanwhile lets heat up some oil for frying.  Once the oil is nice and hot , wet your hands with some water and take a portion of the batter and drop it into hot oil. Let it fry until golden . Once it develops nice golden color on all the sides take it off from oil.  That's it our crispy crunchy evening snack Mysore bonda is ready to be enjoyed with coconut chutney and a cup of coffee. Do try this quick and simple recipe at home and share it with your friends and family. Happy Cooking !!!</t>
  </si>
  <si>
    <t>ஒரு பாத்திரத்தில் மைதா, அரிசி மாவு, சீரகம், இஞ்சி, பச்சை மிளகாய் மற்றும் கொத்தமல்லி இலைகளை சேர்த்து ஒரு முறை கலந்து, பின்னர் தயிர், பேக்கிங் சோடா, தேவையான உப்பு சேர்த்து நன்கு கலக்கவும். அடுத்து தேவையான மாவைச் சேர்த்து, கட்டிகள் இல்லாமல் அரை தடிமனான மாவை உருவாக்கவும். மாவு தயாரானதும், 5 முதல் 10 நிமிடங்கள் வரை வைக்கவும். இதற்கிடையில், சிறிது எண்ணெயை வறுக்கவும். எண்ணெய் நன்றாகவும் சூடாகவும் வந்ததும், உங்கள் கைகளை சிறிது தண்ணீரில் நனைத்து, மாவின் ஒரு பகுதியை எடுத்து சூடான எண்ணெயில் விடவும். பொன்னிறமாகும் வரை வறுக்கவும். அனைத்து பக்கங்களிலும் நல்ல தங்க நிறம் வந்ததும், எண்ணெயிலிருந்து அகற்றவும். அவ்வளவுதான், எங்கள் மொறுமொறுப்பான மொறுமொறுப்பான மாலை நேர சிற்றுண்டி மைசூர் போண்டா, தேங்காய் சட்னி மற்றும் ஒரு கப் காபியுடன் சாப்பிட தயாராக உள்ளது. இந்த விரைவான மற்றும் எளிமையான செய்முறையை வீட்டிலேயே முயற்சி செய்து உங்கள் நண்பர்கள் மற்றும் குடும்பத்தினருடன் பகிர்ந்து கொள்ளுங்கள். மகிழ்ச்சியான சமையல்!!!</t>
  </si>
  <si>
    <t>https://blogger.googleusercontent.com/img/b/R29vZ2xl/AVvXsEjoaKWJVl1JbzsibZ8c060L2jD2mDdUhWyXKGRlqJMgxwfcGUaoJsucyHtKWjhM6qhQeUplbYFXPFlRutftQ5MjFutMZ3oAUJoxnDZb1aHUI5QNQWPsHjCnGFkqTR1JsLD6TIZMT9EK9t8/s640/Mysore+Bonda.JPG</t>
  </si>
  <si>
    <t>https://youtu.be/L4m2MTyKE5M</t>
  </si>
  <si>
    <t>Lady's Finger Fry</t>
  </si>
  <si>
    <t>வெண்டைக்காய் பொரியல்</t>
  </si>
  <si>
    <t>25 - Lady's finger, 3 tbsp - Oil, 1/4 tsp - Mustard seeds, 1 tsp - Urad Dal, 1 - spring Curry leaves, 10 - 12 - Shallots, 1/4 tsp - Turmeric , 1 tsp - Chili powder, Salt to Taste.</t>
  </si>
  <si>
    <t>25 - வெண்டைக்காய் பொரியல், 3 டேபிள் ஸ்பூன் - எண்ணெய், 1/4 டேபிள் ஸ்பூன் - கடுகு, 1 டேபிள் ஸ்பூன் - உளுத்தம்பருப்பு, 1 - வசந்த கறிவேப்பிலை, 10 - 12 - வெங்காயத்தாள், 1/4 டேபிள் ஸ்பூன் - மஞ்சள், 1 டேபிள் ஸ்பூன் - மிளகாய்த்தூள், ருசிக்கேற்ப உப்பு.</t>
  </si>
  <si>
    <t>Heat oil in a pan and add mustard seeds, Once the seeds pops out add urad dal and curry leaves . Then add chopped shallots and saute it for a minute. We can also use 1/4 regular onions instead of shallots.  Next add the lady's finger and saute it for 2 more minutes. Use tender ones to get best results. Next add turmeric and chili powder , required salt and mix well.  Do not add any extra water, let is cook until done. I like roasted poriyal so I have cooked until it golden brown.  That's it our vendakkai poriyal is ready to be served. Please do try this healthy side dish and share it with your friends and family. Happy Cooking !!!</t>
  </si>
  <si>
    <t>ஒரு கடாயில் எண்ணெயை சூடாக்கி கடுகு சேர்க்கவும், விதைகள் வெளியே வந்ததும் உளுத்தம்பருப்பு மற்றும் கறிவேப்பிலை சேர்க்கவும். பின்னர் நறுக்கிய வெங்காயத்தாள் சேர்த்து ஒரு நிமிடம் வதக்கவும். வெண்டைக்காய் பொரியல் பதிலாக 1/4 வழக்கமான வெங்காயத்தையும் பயன்படுத்தலாம். அடுத்து வெண்டைக்காய் பொரியல் சேர்த்து மேலும் 2 நிமிடங்கள் வதக்கவும். சிறந்த பலன்களைப் பெற மென்மையானவற்றைப் பயன்படுத்தவும். அடுத்து மஞ்சள் தூள் மற்றும் மிளகாய் தூள், தேவையான உப்பு சேர்த்து நன்கு கலக்கவும். கூடுதல் தண்ணீர் சேர்க்க வேண்டாம், சமைக்கும் வரை சமைக்கவும். எனக்கு வறுத்த பொரியல் பிடிக்கும், அதனால் அது பொன்னிறமாகும் வரை சமைத்தேன். அவ்வளவுதான் எங்கள் வெண்டைக்காய் பொரியல் பரிமாற தயாராக உள்ளது. இந்த ஆரோக்கியமான சைடு டிஷை முயற்சி செய்து உங்கள் நண்பர்கள் மற்றும் குடும்பத்தினருடன் பகிர்ந்து கொள்ளுங்கள். இனிய சமையல்!!!</t>
  </si>
  <si>
    <t>https://blogger.googleusercontent.com/img/b/R29vZ2xl/AVvXsEhpQp767fSc8XL6GsyEnC8uuij9vhAFnSXRwBZXFuIVSeuaiqdnST2zyJcqYXUo9T_Lz2ijc2Y9Ul26li3C1seH7TPW8u7EykAk6x3KAJRhuEQ3qJERN0-8Urd-a9Wt_62paMBaANhjYcw/s640/editted-1.jpg</t>
  </si>
  <si>
    <t>Rava Idli</t>
  </si>
  <si>
    <t>ரவா இட்லி</t>
  </si>
  <si>
    <t>1 Cup - Semolina, 1 tbsp - Oil, 1/4 tsp - Mustard seeds, 1 tsp - Urad Dal, 1 tsp - Chana Dal, 1 tsp - Chopped Ginger, 2  - Copped Green Chilies, Chopped Curry leaves, 1  - Grated Carrot, 1/2 - Onion, 1/2 cup - thick Curd, 3/4 cup  - Water , 1 pinch - baking soda, Salt to Taste, Coriander leaves.</t>
  </si>
  <si>
    <t>1 கப் - ரவை, 1 டேபிள் ஸ்பூன் - எண்ணெய், 1/4 டேபிள் ஸ்பூன் - கடுகு, 1 டேபிள் ஸ்பூன் - உளுத்தம்பருப்பு, 1 டேபிள் ஸ்பூன் - கடலைப்பருப்பு, 1 டேபிள் ஸ்பூன் - நறுக்கிய இஞ்சி, 2 - நறுக்கிய பச்சை மிளகாய், நறுக்கிய கறிவேப்பிலை, 1 - துருவிய கேரட், 1/2 - வெங்காயம், 1/2 கப் - கெட்டியான தயிர், 3/4 கப் - தண்ணீர், 1 சிட்டிகை - பேக்கிங் சோடா, சுவைக்கேற்ப உப்பு, கொத்தமல்லி இலைகள்.</t>
  </si>
  <si>
    <t>Heat oil in a pan and add mustard seeds, once the seeps pops our add urad dal and chana dal. Then add finely chopped ginger, green chilies and chopped curry leaves, give it a stir.  Add grated carrot to it and saute it for 2 minutes. Then add onion and mix well. Finally add rava and roast it for couple of more minutes. Turn off the heat and transfer it to a bowl.  Once the mixture cools down  add curd and required water and soak it for 10 -15 minutes . Do not use too much of water, idli becomes flattery.   After soaking add required salt, Baking soda and chopped coriander leaves and mix well. Add water if required. I didn't add any water after soaking ( I have used 3/4 cup of water) Do not add too much water, batter should be semi thick.   Grease the idli plates with some oil and pour a ladle full of rava idli batter and steam for 8 -10 minutes (place the idli plate into idli cooker only after the water starts to steams )  That's it our delicious easy and simple rava idli is ready to served with coconut chutney, Tiffen sambar and with a cup of hot coffee. Happy Cooking!!!</t>
  </si>
  <si>
    <t>ஒரு கடாயில் எண்ணெயை சூடாக்கி, கடுகு சேர்த்து, கடுகு பொரிந்ததும், உளுத்தம்பருப்பு மற்றும் கடலைப்பருப்பு சேர்க்கவும். பின்னர் இறுதியாக நறுக்கிய இஞ்சி, பச்சை மிளகாய் மற்றும் நறுக்கிய கறிவேப்பிலை சேர்த்து கிளறவும். அதனுடன் துருவிய கேரட்டை சேர்த்து 2 நிமிடங்கள் வதக்கவும். பின்னர் வெங்காயத்தை சேர்த்து நன்கு கலக்கவும். இறுதியாக ரவாவை சேர்த்து மேலும் இரண்டு நிமிடங்கள் வறுக்கவும். தீயை அணைத்து ஒரு கிண்ணத்திற்கு மாற்றவும். கலவை ஆறியதும் தயிர் மற்றும் தேவையான தண்ணீரைச் சேர்த்து 10 -15 நிமிடங்கள் ஊற வைக்கவும். அதிக தண்ணீர் பயன்படுத்த வேண்டாம், இட்லி சுவையாக மாறும். ஊறவைத்த பிறகு தேவையான உப்பு, பேக்கிங் சோடா மற்றும் நறுக்கிய கொத்தமல்லி இலைகளைச் சேர்த்து நன்கு கலக்கவும். தேவைப்பட்டால் தண்ணீர் சேர்க்கவும். ஊறவைத்த பிறகு நான் தண்ணீர் சேர்க்கவில்லை (நான் 3/4 கப் தண்ணீர் பயன்படுத்தியுள்ளேன்) அதிக தண்ணீர் சேர்க்க வேண்டாம், மாவு அரை கெட்டியாக இருக்க வேண்டும். இட்லி தட்டுகளில் சிறிது எண்ணெய் தடவி, ரவா இட்லி மாவை ஒரு கரண்டி ஊற்றி 8 -10 நிமிடங்கள் ஆவியில் வேக வைக்கவும் (தண்ணீர் வேக ஆரம்பித்த பிறகுதான் இட்லி தட்டில் இட்லி குக்கரில் வைக்கவும்) அவ்வளவுதான் எங்கள் சுவையான எளிதான மற்றும் எளிமையான ரவா இட்லி தேங்காய் சட்னி, டிபன் சாம்பார் மற்றும் ஒரு கப் சூடான காபியுடன் பரிமாற தயாராக உள்ளது. சமையல் மகிழ்ச்சி!!!</t>
  </si>
  <si>
    <t>https://blogger.googleusercontent.com/img/b/R29vZ2xl/AVvXsEjNvPxGfIHGIVTUoueW4KfZdtepHWYZvPWjldslk34gzMCUa3YO8JpEy3ScvS1d_Hyfz407Lvi5Rt5eUn-uezZ5rvGsqfuOhAwhbk9TV0vbCeylxPvM19lQMGyTaHhZad2SJ-Idxgw2GhI/s640/Rava+IDli.JPG</t>
  </si>
  <si>
    <t>Homemade Bread</t>
  </si>
  <si>
    <t>வீட்டில் தயாரிக்கப்பட்ட ரொட்டி</t>
  </si>
  <si>
    <t>4 cup - Maida, 1 pack - Yeast , 3/4 cup - Milk (180 ml), 1/2 cup - Water (125 ml), 3 tbsp - Sugar, 1 tsp  - Salt, 4 tbsp - Butter (55 grams).</t>
  </si>
  <si>
    <t>4 கப் - மைதா, 1 பாக்கெட் - ஈஸ்ட் , 3/4 கப் - பால் (180 மிலி), 1/2 கப் - தண்ணீர் (125 மிலி), 3 டேபிள் ஸ்பூன் - சர்க்கரை, 1 டேபிள் ஸ்பூன் - உப்பு, 4 டேபிள் ஸ்பூன் - வெண்ணெய் (55 கிராம்).</t>
  </si>
  <si>
    <t>Activating yeast is a very important step in making bread. Add Sugar to luke warm milk (105 F - 110 F), (42 - 43 C ) then add yeast to it and mix it well and let it sit for 5 minutes. Once the yeast is activated lets prepare the dough.  In a mixing bowl combine Maida, salt , butter (softened at room temperature) , yeast milk mixture, and water. Mix well to form a soft and a sticky dough.  Once well mixed transfer the dough to work surface and knead for minimum 10 - 15 minutes. Stretch the dough and knead well with 2 hands. Kneading softens the dough and soon after kneading dough will no more stick to your hands.  Once after kneading transfer the dough to a greased bowl , also apply few drops of oil on the top to prevent drying. Keep it undisturbed for 1.30 to 2 hours or until the dough doubles in size.    Now after 1.30 hours (in my case 1.30 hours ) transfer the dough to work area and spread it into a sheet, do not give more pressure or knead again, gently pat it to form a square sheet. Then roll the sheet to form a rectangular rod (size of the pan)    Keep in in a greased bread pan and cover it . Again proof for another 30 minutes or until it doubles in size.   Now preheat the oven to 350 F / 175 C and bake it for 35 -40 minutes or until the outer layer become dark (golden brown) . Once baked apply some melted butter on top and immediately transfer the bread to a wire rack and let it cool for sometime.   Once the bread is completely cooled cut them into slices and is ready to be enjoyed with jam, nitella or as a sandwich bread.</t>
  </si>
  <si>
    <t>ஈஸ்ட் செயல்படுத்தப்பட்டதும், மாவை தயார் செய்யலாம். ஒரு கலவை கிண்ணத்தில் மைதா, உப்பு, வெண்ணெய் (அறை வெப்பநிலையில் மென்மையாக்கப்பட்டது), ஈஸ்ட் பால் கலவை மற்றும் தண்ணீரை இணைக்கவும். மென்மையான மற்றும் ஒட்டும் மாவை உருவாக்க நன்கு கலக்கவும். நன்கு கலந்த பிறகு, மாவை வேலை செய்யும் இடத்திற்கு மாற்றி குறைந்தபட்சம் 10 - 15 நிமிடங்கள் பிசையவும். மாவை நீட்டி 2 கைகளால் நன்றாக பிசையவும். பிசைவது மாவை மென்மையாக்கும், பிசைந்தவுடன் மாவு உங்கள் கைகளில் ஒட்டாமல் இருக்கும். பிசைந்த பிறகு, மாவை ஒரு எண்ணெய் தடவிய கிண்ணத்திற்கு மாற்றவும், உலராமல் இருக்க மேலே சில துளிகள் எண்ணெயைத் தடவவும். 1.30 முதல் 2 மணி நேரம் அல்லது மாவின் அளவு இரட்டிப்பாகும் வரை அதை அசைக்காமல் வைக்கவும். இப்போது 1.30 மணி நேரத்திற்குப் பிறகு (எனது விஷயத்தில் 1.30 மணி நேரம்) மாவை வேலை செய்யும் பகுதிக்கு மாற்றி ஒரு தாளில் பரப்பவும், அதிக அழுத்தம் கொடுக்கவோ அல்லது மீண்டும் பிசையவோ வேண்டாம், ஒரு சதுர தாளை உருவாக்க மெதுவாக தட்டவும். பின்னர் தாளை ஒரு செவ்வக கம்பியாக (பான் அளவு) உருட்டவும். நெய் தடவிய ரொட்டி பாத்திரத்தில் வைத்து மூடி வைக்கவும். மீண்டும் 30 நிமிடங்கள் அல்லது அளவு இரட்டிப்பாகும் வரை ப்ரூஃப் செய்யவும். இப்போது அடுப்பை 350 F / 175 C க்கு முன்கூட்டியே சூடாக்கி, 35 -40 நிமிடங்கள் அல்லது வெளிப்புற அடுக்கு கருமையாக (தங்க பழுப்பு) மாறும் வரை சுடவும். சுட்டவுடன் அதன் மேல் சிறிது உருகிய வெண்ணெய் தடவி, உடனடியாக ரொட்டியை ஒரு கம்பி ரேக்கில் மாற்றி சிறிது நேரம் ஆற விடவும். ரொட்டி முழுவதுமாக குளிர்ந்ததும், அதை துண்டுகளாக வெட்டி, ஜாம், நிடெல்லா அல்லது சாண்ட்விச் பிரெட்டுடன் சேர்த்து சாப்பிட தயாராக இருக்கும்.</t>
  </si>
  <si>
    <t>https://blogger.googleusercontent.com/img/b/R29vZ2xl/AVvXsEhn0vstdtYHTgi_qHRXNSEvD8JJF8J4u9WyEti1bl_Bvez_dXOaB9QX7_6p89oT8lznVBuOUZNgE7je4mNHHYMouyPKmuGKsthsKUC3yzVFErVvur_Cj1v4B0ef6KTCYJKxgQmiqhZzd_A/s640/homemade+bread.JPG</t>
  </si>
  <si>
    <t>Coconut Burfi</t>
  </si>
  <si>
    <t>தேங்காய் பர்ஃபி</t>
  </si>
  <si>
    <t>2 Cup -  Grated coconut, 1.5 Cup - Sugar, 3 tbsp - Milk, 1/2 tsp - Cardamom powder, 1+1 tbsp - Ghee ( 1 for roasting nuts and 1 to add at the end ), 10 - Cashews.</t>
  </si>
  <si>
    <t>2 கப் - துருவிய தேங்காய், 1.5 கப் - சர்க்கரை, 3 டேபிள் ஸ்பூன் - பால், 1/2 டேபிள் ஸ்பூன் - ஏலக்காய் தூள், 1+1 டேபிள் ஸ்பூன் - நெய் (1 கொட்டை வறுக்க மற்றும் 1 இறுதியில் சேர்க்க), 10 - முந்திரி.</t>
  </si>
  <si>
    <t>Roast the grated coconut on a medium heat for about 2 minutes, do not brown the coconut. Then add sugar and milk to it. Mix it well and cook on a medium heat.Soon the sugar dissolves and become watery, Stir them in between to prevent burning.  In the meanwhile lets roast some cashews, Melt ghee and roast the cahews until golden ( break the cashews into small pieces )   Once the coconut sugar mixture thickens and leaves the sides of the pan add some cardamom powder to get nice flavor , 1 tbsp of ghee and also add the roasted cashews and mix again.   Grease a plate with some ghee and transfer the coconut mixture and shape it with a spoon ( grease the spoon with some ghee to prevent sticking). Once they are slightly cooled cut them into your desired shapes.  That's it our delicious coconut barfi is ready to be enjoyed with friends and family !!!</t>
  </si>
  <si>
    <t>துருவிய தேங்காயை மிதமான தீயில் சுமார் 2 நிமிடங்கள் வறுக்கவும், தேங்காயை பழுப்பு நிறமாக்க வேண்டாம். பின்னர் அதில் சர்க்கரை மற்றும் பால் சேர்க்கவும். நன்கு கலந்து மிதமான தீயில் சமைக்கவும். விரைவில் சர்க்கரை கரைந்து தண்ணீர் விடும், எரிவதைத் தடுக்க இடையில் கிளறவும். இதற்கிடையில் சிறிது முந்திரி வறுக்கவும், நெய்யை உருக்கி, கஹூவை பொன்னிறமாகும் வரை வறுக்கவும் (முந்திரி சிறிய துண்டுகளாக உடைக்கவும்) தேங்காய் சர்க்கரை கலவை கெட்டியாகி வாணலியின் ஓரங்களில் இருந்து வெளியேறியதும், சிறிது ஏலக்காய் தூள் சேர்த்து நல்ல சுவை கிடைக்கும், 1 டேபிள் ஸ்பூன் நெய் மற்றும் வறுத்த முந்திரி சேர்த்து மீண்டும் கலக்கவும். ஒரு தட்டில் சிறிது நெய் தடவி, தேங்காய் கலவையை மாற்றி, ஒரு கரண்டியால் வடிவமைக்கவும் (கரண்டியில் ஒட்டாமல் இருக்க சிறிது நெய் தடவவும்). அவை சிறிது குளிர்ந்ததும், உங்களுக்கு விருப்பமான வடிவங்களில் வெட்டிக் கொள்ளவும். அவ்வளவுதான், எங்கள் சுவையான தேங்காய் பர்ஃபி நண்பர்கள் மற்றும் குடும்பத்தினருடன் சுவைக்க தயாராக உள்ளது !!!</t>
  </si>
  <si>
    <t>https://blogger.googleusercontent.com/img/b/R29vZ2xl/AVvXsEi-VlyajFwnyfcTMVY4r3GuPzACjWpRSQwb_1OnrOOrvACvEaN4QznmWV0TaKfuLmwh2VqFo3A65gJBTSXVzJrycnXIm52bynLCNKL_vfc71M6BPgibPERPYfNnrRk6lYUKMViBrF-JO5E/s640/Coconut+Burfi+Recipe.JPG</t>
  </si>
  <si>
    <t>Vegetable Soup</t>
  </si>
  <si>
    <t>காய்கறி சூப்</t>
  </si>
  <si>
    <t>1 tsp - Butter, 2 cloves - Garlic, 1/4 cup - Onion, 1 - Carrot, 10 - Beans, 1 cup - Corn Kernels (1/2 for grinding + 1/2 ), 2 tbsp - Corn flour + 1/4 cup water, Pepper Powder, Salt to taste, Coriander or spring leaves for garnishing .</t>
  </si>
  <si>
    <t>1 தேக்கரண்டி - வெண்ணெய், 2 பல் - பூண்டு, 1/4 கப் - வெங்காயம், 1 - கேரட், 10 - பீன்ஸ், 1 கப் - சோள கர்னல்ஸ் (அரைப்பதற்கு 1/2 + 1/2 ), 2 தேக்கரண்டி - சோள மாவு + 1/4 கப் தண்ணீர், மிளகு தூள், சுவைக்கு உப்பு, கொத்தமல்லி அல்லது வசந்த இலைகளை அலங்கரிக்கவும்.</t>
  </si>
  <si>
    <t>Grind 1/2 cup of corn kernels and keep it aside, Adding corn paste to the soup enhances the taste and thickens the soup as well. Finely chop all the vegetables.   In a pan melt butter and add minced garlic and saute it for few seconds. Then add onion and saute it for a minute. Now add all the vegetables and the corn paste.  Add 4-5 cups of water or vegetable stock, add in required salt ,cover and cook for 20 -25 minutes. After 20 minutes add the slurry to thicken the soup. To make slurry dissolve 2 tbsp of corn flour or corn starch in water and add it to the soup and cook for few more minutes. Finally add required  pepper and mix well.  Finally add spring onion or coriander leaves for garnishing and turn off the heat. If would prefer dark color add a tsp of soy sauce at the end before turning down the heat.  That's it our delicious Sweet Corn Vegetable soup is ready to be served. Sprinkle some pepper on the top before serving.See how easy it is to prepare this soup.The same process you can follow for Chicken soup , I have a recipe for Sweet corn chicken soup as well.</t>
  </si>
  <si>
    <t>1/2 கப் சோள கர்னல்களை அரைத்து ஒதுக்கி வைக்கவும், சூப்பில் சோள விழுது சேர்ப்பது சுவையை அதிகரிக்கும் மற்றும் சூப் கெட்டியாகிறது. அனைத்து காய்கறிகளையும் நன்றாக நறுக்கவும். ஒரு பாத்திரத்தில் வெண்ணெயை உருக்கி, நறுக்கிய பூண்டைச் சேர்த்து சில நொடிகள் வதக்கவும். பின்னர் வெங்காயத்தைச் சேர்த்து ஒரு நிமிடம் வதக்கவும். இப்போது அனைத்து காய்கறிகளையும் சோள விழுதையும் சேர்க்கவும். 4-5 கப் தண்ணீர் அல்லது காய்கறி குழம்பு சேர்த்து, தேவையான உப்பு சேர்த்து, மூடி வைத்து 20 -25 நிமிடங்கள் சமைக்கவும். 20 நிமிடங்களுக்குப் பிறகு குழம்பு சேர்த்து சூப் கெட்டியாக ஆகும் வரை கொதிக்க விடவும். குழம்பு தயாரிக்க 2 டேபிள் ஸ்பூன் சோள மாவு அல்லது சோள மாவை தண்ணீரில் கரைத்து சூப்பில் சேர்த்து இன்னும் சில நிமிடங்கள் சமைக்கவும். கடைசியாக தேவையான மிளகு சேர்த்து நன்கு கலக்கவும். கடைசியாக அலங்கரிக்க வெங்காயம் அல்லது கொத்தமல்லி இலைகளைச் சேர்த்து அடுப்பை அணைக்கவும். நீங்கள் அடர் நிறத்தை விரும்பினால், அடுப்பை குறைப்பதற்கு முன் ஒரு டீஸ்பூன் சோயா சாஸைச் சேர்க்கவும். அவ்வளவுதான், எங்கள் சுவையான ஸ்வீட் கார்ன் வெஜிடபிள் சூப் பரிமாற தயாராக உள்ளது. பரிமாறுவதற்கு முன் மேலே சிறிது மிளகு தூவவும். இந்த சூப்பை தயாரிப்பது எவ்வளவு எளிது என்று பாருங்கள். சிக்கன் சூப்பிற்கும் இதே செயல்முறையை நீங்கள் பின்பற்றலாம், ஸ்வீட் கார்ன் சிக்கன் சூப்பிற்கும் எனக்கு ஒரு செய்முறை உள்ளது.</t>
  </si>
  <si>
    <t>https://blogger.googleusercontent.com/img/b/R29vZ2xl/AVvXsEhcXmDFyp-4Mc4cPOcDEbMqcTjc9Iuim9A_kWHya3su-9yfrZCWQ4bZibVtMSHgBgXE3c9VgX1omliaW2D5jo7x_Cl-syuQeJKKEQ_wb_9xfhYTSRQjG0U4JFPklk8__3LXTfbKsPmEXmY/s640/veg+soup.JPG</t>
  </si>
  <si>
    <t>Egg Fried Rice</t>
  </si>
  <si>
    <t>முட்டை ஃபிரைடு ரைஸ்</t>
  </si>
  <si>
    <t>1 Cup - Basmati Rice, 5 - Eggs, 1 tbsp - finely chopped Ginger, 1 tbsp - finely chopped Garlic, 2+2 tbsp - Oil, 1 large - Carrot, 1/4  - Cabbage, 10 -12 - Beans, 1 tsp - Chili Sauce, 1 tsp - Soy Sauce, 1/2 tsp - pepper powder, Handfull Spring Onions, Water ,  1 tbsp - oil while cooking rice, Salt to Taste.</t>
  </si>
  <si>
    <t>1 கப் - பாஸ்மதி அரிசி, 5 - முட்டை, 1 டேபிள் ஸ்பூன் - நன்றாக நறுக்கிய இஞ்சி, 1 டேபிள் ஸ்பூன் - நன்றாக நறுக்கிய பூண்டு, 2+2 டேபிள் ஸ்பூன் - எண்ணெய், 1 பெரியது - கேரட், 1/4 - முட்டைக்கோஸ், 10 -12 - பீன்ஸ், 1 டேபிள் ஸ்பூன் - மிளகாய் சாஸ், 1 டேபிள் ஸ்பூன் - சோயா சாஸ், 1/2 டேபிள் ஸ்பூன் - மிளகு தூள், கைப்பிடி வெங்காயம், தண்ணீர், 1 டேபிள் ஸ்பூன் - அரிசி சமைக்கும் போது எண்ணெய், சுவைக்கு உப்பு.</t>
  </si>
  <si>
    <t>Soak the Basmati rice in water for 30 minutes and cook in water with some salt until the rice is 90% cooked..Do not over cook the rice..To get perfect strands add a tbsp of oil into the boiling water before adding the rice.This prevents the rice from sticking to one another.Once 90% cooked spread the rice on a paper towel to remove any moisture from the rice or keep under fan.This step is very important to get the best fried rice with single strands of rice.   Heat oil in a pan and add the eggs , if you are diet conscious use 5 whites and 2 yolks (this is how I make normally at home) . Add a pinch of salt and some pepper powder and scramble the eggs.  Heat oil in a pan and add finely chopped ginger, finely chopped garlic and saute it for few seconds. Next add in cubed Carrot, Cabbage, Beans and cook until the veggies are 80 -90% cooked do not overcook the vegetables we still need to retain some texture of the veggies.  Then add the sauces - chili sauce, Soy sauce ,required salt and mix it again.You can also use capsicum if you like.Then add the cooked basmati rice and the scrambled eggs. Mix everything very gently and carefully.Do not break the rice.After mixing it add freshly ground pepper and some spring onions for garnishing.  Our Delicious Veg Fried rice is ready to be served with any of your favorite side like Chicken Manchurian or veg Manchurian.</t>
  </si>
  <si>
    <t>பாஸ்மதி அரிசியை 30 நிமிடங்கள் தண்ணீரில் ஊறவைத்து, அரிசி 90% வேகும் வரை சிறிது உப்பு சேர்த்து தண்ணீரில் சமைக்கவும்..அரிசியை அதிகமாக வேகவைக்காதீர்கள்..சரியான இழைகளைப் பெற அரிசியைச் சேர்ப்பதற்கு முன் கொதிக்கும் நீரில் ஒரு டேபிள் ஸ்பூன் எண்ணெயைச் சேர்க்கவும். இது அரிசி ஒன்றோடொன்று ஒட்டாமல் தடுக்கிறது.90% சமைத்தவுடன் அரிசியை ஒரு காகிதத் துண்டில் பரப்பி அரிசியிலிருந்து ஈரப்பதத்தை நீக்கவும் அல்லது விசிறியின் கீழ் வைக்கவும். ஒற்றை இழைகளுடன் சிறந்த வறுத்த அரிசியைப் பெற இந்த படி மிகவும் முக்கியமானது. ஒரு பாத்திரத்தில் எண்ணெயை சூடாக்கி முட்டைகளைச் சேர்க்கவும், நீங்கள் டயட் அக்கறை கொண்டவராக இருந்தால் 5 வெள்ளை கரு மற்றும் 2 மஞ்சள் கருவைப் பயன்படுத்தவும் (நான் வழக்கமாக வீட்டில் செய்வது இதுதான்). ஒரு சிட்டிகை உப்பு மற்றும் சிறிது மிளகுத் தூள் சேர்த்து முட்டைகளை ஸ்க்ரப் செய்யவும். ஒரு பாத்திரத்தில் எண்ணெயை சூடாக்கி, இறுதியாக நறுக்கிய இஞ்சி, இறுதியாக நறுக்கிய பூண்டு சேர்த்து சில நொடிகள் வதக்கவும். அடுத்து, துண்டுகளாக்கப்பட்ட கேரட், முட்டைக்கோஸ், பீன்ஸ் சேர்த்து, காய்கறிகள் 80 -90% வேகும் வரை சமைக்கவும். காய்கறிகளின் அமைப்பை இன்னும் தக்க வைத்துக் கொள்ள வேண்டிய காய்கறிகளை அதிகமாக வேகவிடாதீர்கள். பின்னர் சாஸ்கள் - மிளகாய் சாஸ், சோயா சாஸ், தேவையான உப்பு சேர்த்து மீண்டும் கலக்கவும். நீங்கள் விரும்பினால் கேப்சிகத்தையும் பயன்படுத்தலாம். பின்னர் சமைத்த பாஸ்மதி அரிசி மற்றும் துருவல் முட்டைகளைச் சேர்க்கவும். எல்லாவற்றையும் மிகவும் மெதுவாகவும் கவனமாகவும் கலக்கவும். அரிசியை உடைக்க வேண்டாம். அதை கலந்த பிறகு, புதிதாக அரைத்த மிளகு மற்றும் அலங்காரத்திற்காக சிறிது வெங்காயத்தைச் சேர்க்கவும். எங்கள் சுவையான வெஜ் ஃபிரைடு ரைஸ் உங்களுக்குப் பிடித்த சிக்கன் மஞ்சூரியன் அல்லது வெஜ் மஞ்சூரியன் போன்ற எந்த பக்க உணவுடனும் பரிமாற தயாராக உள்ளது.</t>
  </si>
  <si>
    <t>https://blogger.googleusercontent.com/img/b/R29vZ2xl/AVvXsEjAWnluWlQHoNuGvRP9bPxu2MtEuep9Av3kSHl7Nza7XL3QrHYfR0MnFCUhvbvui46QFcv6A5B5LsXJj-v4peBiehrmz1T4_2jzTfVL1ZbBQXwDRZTOY1Wfd5iJJH4jb-fQ3P3smd-JmAw/s640/Trial-3.jpg</t>
  </si>
  <si>
    <t>Eggless Butter Cookies</t>
  </si>
  <si>
    <t>முட்டை இல்லாத வெண்ணெய் குக்கீகள்</t>
  </si>
  <si>
    <t>1 cup  - Butter , 1 cup - Powdered sugar, 2 1/4 cup - All purpose flour / Maida.</t>
  </si>
  <si>
    <t>1 கப் - வெண்ணெய், 1 கப் - பொடித்த சர்க்கரை, 2 1/4 கப் - அனைத்து உபயோக மாவு / மைதா.</t>
  </si>
  <si>
    <t>Into a mixing bowl add softened butter ( make sure the butter is at room temperature - nice and soft) and whisk well until pale and fluffy.    Then add powdered sugar to it and mix it again until well combined. (You can also use electri beater to seep up the process. Dont forget to scrape the edges.  Now add maida / All purpose flour to it and mix well without any lumps ( use your hands for mixing)   Now transfer the dough to a working surface and roll it into thick rod. You can also spread them into sheet of 1/4 inch thickness and cut them with a cookie cutter to get your favorite shapes.  I just used a knife to cut them into squares.   Transfer them to a baking pan lined with parchment paper (make sure to leave some space in between the cookies) and bake it for 13-15 minutes @ 375 F or until slight golden brown. It may seam a little soft at first but once it cools down it thickens, Allow it to cool completely.  A well baked cookie should have nice crisp to it.    Once the cookies are cooled, store them in a air tight container / Cookie jar. Happy Butter Cookies.</t>
  </si>
  <si>
    <t>ஒரு கலவை கிண்ணத்தில் மென்மையாக்கப்பட்ட வெண்ணெய் சேர்க்கவும் (வெண்ணெய் அறை வெப்பநிலையில் இருப்பதை உறுதிசெய்து கொள்ளுங்கள் - நன்றாகவும் மென்மையாகவும்) மற்றும் வெளிர் மற்றும் பஞ்சுபோன்ற வரை நன்கு அடிக்கவும். பின்னர் அதில் பொடித்த சர்க்கரையைச் சேர்த்து நன்கு கலக்கும் வரை மீண்டும் கலக்கவும். (செயல்முறையை மேம்படுத்த நீங்கள் எலக்ட்ரிக் பீட்டரையும் பயன்படுத்தலாம். விளிம்புகளைத் துடைக்க மறக்காதீர்கள். இப்போது அதில் மைதா / அனைத்து வகையான மாவுகளையும் சேர்த்து கட்டிகள் இல்லாமல் நன்றாக கலக்கவும் (கலக்க உங்கள் கைகளைப் பயன்படுத்தவும்) இப்போது மாவை ஒரு வேலை செய்யும் மேற்பரப்பிற்கு மாற்றி, அதை தடிமனான கம்பியில் உருட்டவும். நீங்கள் அவற்றை 1/4 அங்குல தடிமன் கொண்ட தாளில் பரப்பி, உங்களுக்குப் பிடித்த வடிவங்களைப் பெற குக்கீ கட்டர் மூலம் வெட்டலாம். நான் அவற்றை சதுரங்களாக வெட்ட ஒரு கத்தியைப் பயன்படுத்தினேன். அவற்றை காகிதத்தோல் காகிதத்தால் வரிசையாக அமைக்கப்பட்ட பேக்கிங் பாத்திரத்தில் மாற்றவும் (குக்கீகளுக்கு இடையில் சிறிது இடைவெளி விடவும்) மற்றும் 375 F இல் 13-15 நிமிடங்கள் அல்லது லேசான தங்க பழுப்பு வரை சுடவும். முதலில் இது சிறிது மென்மையாக மடிக்கப்படலாம், ஆனால் அது குளிர்ந்ததும் அது கெட்டியாகிவிடும், அதை முழுமையாக குளிர்விக்க அனுமதிக்கவும். நன்றாக சுடப்பட்ட குக்கீ நல்ல மிருதுவாக இருக்க வேண்டும். குக்கீகள் குளிர்ந்ததும், காற்று புகாத கொள்கலன் / குக்கீ ஜாடியில் சேமிக்கவும். ஹேப்பி பட்டர் குக்கீகள்.</t>
  </si>
  <si>
    <t>https://blogger.googleusercontent.com/img/b/R29vZ2xl/AVvXsEj_m8Qc75fLPBJVE8QlPm5GWpvfAG5FBx-WSxhsm8NVfQ4pSdIaip6UhA1wcNPwP4ycX65NXdkD3gAUniX4kWwb3EA9D3JWiDdn2o1roe2w5WgbvkLkGbhOyBOOrxe2Kuzt8HgZ9ktiMRg/s640/Trial-4.jpg</t>
  </si>
  <si>
    <t>https://youtu.be/_-1mWp-Qff8</t>
  </si>
  <si>
    <t>Rava Kichadi</t>
  </si>
  <si>
    <t>ரவா கிச்சடி</t>
  </si>
  <si>
    <t>2 tbsp  - Oil, 1/8 tsp - Mustard seeds, 1 tsp - Chana Dal, 1 tsp - Urad Dal, 4 - Green Chilies, 1 tsp - Chopped Ginger, Curry leaves, 10 -12 - Cashews, 1/2 tsp - Turmeric powder, 1  - Onion, 1 - Tomato, 1 -  Carrot,  6 - Beans,  1/2 cup -  Green Peas, 1 Cup -  Semolina, 2 1/2 cup - Water, 2 tbsp - Ghee, required Salt.</t>
  </si>
  <si>
    <t>2 டேபிள் ஸ்பூன் - எண்ணெய், 1/8 டேபிள் ஸ்பூன் - கடுகு, 1 டேபிள் ஸ்பூன் - கடலை பருப்பு, 1 டேபிள் ஸ்பூன் - உளுத்தம் பருப்பு, 4 - பச்சை மிளகாய், 1 டேபிள் ஸ்பூன் - நறுக்கிய இஞ்சி, கறிவேப்பிலை, 10 -12 - முந்திரி, 1/2 டேபிள் ஸ்பூன் - மஞ்சள் தூள், 1 - வெங்காயம், 1 - தக்காளி, 1 - கேரட், 6 - பீன்ஸ், 1/2 கப் - பச்சை பட்டாணி, 1 கப் - ரவை, 2.5 கப் - தண்ணீர், 2 டேபிள் ஸ்பூன் - நெய், தேவையான உப்பு.</t>
  </si>
  <si>
    <t>Roast Rava for 3 to 4 minutes on medium heat and transfer it to a plate.  Heat oil in a pan and add mustard seeds, once the seeds pops out add chana dal, urad dal and saute it for few seconds, then add curry leaves, cashews and green chilies. Then add copped onion and saute it for a couple of minutes.  Add turmeric powder , Once the raw smell of the turmeric is gone add tomato and mix well.  Now add the veggies - Carrot, beans and green peas and cook until the veggies are almost done also add salt  Now add water and let it come to boil.  Once the water comes to a boil gradually add the roasted rava and mix well without any lumps. Once all the water has been absorbed by the rava add ghee and mix well. Turn off the heat.  That's it our delicious and simple Rava Kichadi recipe is ready to be served with thick coconut chutney or with sugar.</t>
  </si>
  <si>
    <t>ரவாவை மிதமான தீயில் 3 முதல் 4 நிமிடங்கள் வறுத்து ஒரு தட்டில் மாற்றவும். ஒரு கடாயில் எண்ணெயை சூடாக்கி, கடுகு சேர்த்து, விதைகள் வெளியே வந்ததும், உடைத்த கடலை பருப்பு, உளுத்தம் பருப்பு சேர்த்து சில நொடிகள் வதக்கவும், பின்னர் கறிவேப்பிலை, முந்திரி மற்றும் பச்சை மிளகாய் சேர்க்கவும். பின்னர் நறுக்கிய வெங்காயத்தைச் சேர்த்து இரண்டு நிமிடங்கள் வதக்கவும். மஞ்சள் தூள் சேர்க்கவும், மஞ்சளின் பச்சை வாசனை போனதும் தக்காளி சேர்த்து நன்கு கலக்கவும். இப்போது காய்கறிகள் - கேரட், பீன்ஸ் மற்றும் பச்சை பட்டாணி சேர்த்து காய்கறிகள் கிட்டத்தட்ட வேகும் வரை சமைக்கவும், உப்பு சேர்க்கவும். இப்போது தண்ணீர் சேர்த்து கொதிக்க விடவும். தண்ணீர் கொதி வந்ததும், வறுத்த ரவையை படிப்படியாக சேர்த்து கட்டிகள் இல்லாமல் நன்கு கலக்கவும். ரவை தண்ணீர் முழுவதும் உறிஞ்சப்பட்டவுடன், நெய் சேர்த்து நன்கு கலக்கவும். தீயை அணைக்கவும். அவ்வளவுதான், எங்கள் சுவையான மற்றும் எளிமையான ரவா கிச்சடி ரெசிபி கெட்டியான தேங்காய் சட்னி அல்லது சர்க்கரையுடன் பரிமாற தயாராக உள்ளது.</t>
  </si>
  <si>
    <t>https://blogger.googleusercontent.com/img/b/R29vZ2xl/AVvXsEg63IWK77l1Sn2kj7ZIukVV26NlVknCRE9MFduSyTHo7gtjkOwP-hfs9WZ6j5ejN6Ot5gjNcMo7dL7KGbM7U-WniUcksEyWuG0X8HbP8ryH-sTRP5pB1GwTR5W1RdB3atYEhUCbqj4N560/s640/editted.jpg</t>
  </si>
  <si>
    <t>Potato Curry</t>
  </si>
  <si>
    <t>உருளைக்கிழங்கு கறி</t>
  </si>
  <si>
    <t>2 tbsp  - Oil, 1/4 tsp - Mustard seeds, 1 tsp - Cumin seeds, 1 - Cinnamon stick, 2 large - Potatoes, 2  - Onions, 1 - Large Tomato , 1/4 tsp - Turmeric powder, 1 tsp - Garam Masala powder, 1 tsp - Corinader powder, 1 -2 tsp - Chili powder, 2  - Green Chilies, 1 tsp - Ginger Garlic paste, 1 - spring Curry leaves, 2 tbsp - Coriander leaves, required Water, required Salt.</t>
  </si>
  <si>
    <t>2 டீஸ்பூன் - எண்ணெய், 1/4 டீஸ்பூன் - கடுகு, 1 டீஸ்பூன் - சீரகம், 1 - இலவங்கப்பட்டை குச்சி, 2 பெரியது - உருளைக்கிழங்கு, 2 - வெங்காயம், 1 - பெரிய தக்காளி, 1/4 டீஸ்பூன் - மஞ்சள் தூள், 1 டீஸ்பூன் - கரம் மசாலா தூள், 1 டீஸ்பூன் - கொத்தமல்லி தூள், 1 -2 டீஸ்பூன் - மிளகாய் தூள், 2 - பச்சை மிளகாய், 1 டீஸ்பூன் - இஞ்சி பூண்டு விழுது, 1 - வசந்த கறிவேப்பிலை, 2 டீஸ்பூன் - கொத்தமல்லி இலை, தேவையான தண்ணீர், தேவையான உப்பு.</t>
  </si>
  <si>
    <t>heat oil in a pan and add mustard seeds, Once the seeds pops out add cumin and cinnamon stick. Add finely chopped onions , required salt and saute the onions for a couple of minutes.  Now lets add the masalas - Ginger garlic paste, turmeric powder, Garam masala, red chili powder , coriander powder, green chilies and curry leaves. Mix well and then add the tomato. I have used 1 large tomato for this recipe.  Add required water and let it cook for few minutes until the raw smell of the masalas is gone. Now add boiled poatoes and mash half of the potatoes with a masher or with a back of a tumbler and let it cook for few more minutes.Add water if required. Finally add coriander leaves for garnishing and turn off the heat.  That's it our spicy potato gravy is ready to be served with Poori, Chapathi or with Dosa. Please do try this recipe at home and share your feedback. happy Cooking !!!.</t>
  </si>
  <si>
    <t>ஒரு கடாயில் எண்ணெயை சூடாக்கி, கடுகு சேர்க்கவும், விதைகள் வெளிவந்தவுடன் சீரகம் மற்றும் இலவங்கப்பட்டை சேர்க்கவும். இறுதியாக நறுக்கிய வெங்காயம், தேவையான உப்பு சேர்த்து வெங்காயத்தை இரண்டு நிமிடங்கள் வதக்கவும். இப்போது மசாலாக்கள் - இஞ்சி பூண்டு விழுது, மஞ்சள் தூள், கரம் மசாலா, சிவப்பு மிளகாய் தூள், கொத்தமல்லி தூள், பச்சை மிளகாய் மற்றும் கறிவேப்பிலை சேர்க்கவும். நன்றாக கலந்து பின்னர் தக்காளி சேர்க்கவும். இந்த செய்முறைக்கு நான் 1 பெரிய தக்காளியைப் பயன்படுத்தினேன். தேவையான அளவு தண்ணீர் சேர்த்து, மசாலாவின் பச்சை வாசனை போகும் வரை சில நிமிடங்கள் சமைக்கவும். இப்போது வேகவைத்த உருளைக்கிழங்கைச் சேர்த்து, பாதி உருளைக்கிழங்கை ஒரு மஷர் அல்லது ஒரு டம்ளர் பின்புறம் கொண்டு மசித்து, இன்னும் சில நிமிடங்கள் சமைக்கவும். தேவைப்பட்டால் தண்ணீர் சேர்க்கவும். இறுதியாக அலங்கரிக்க கொத்தமல்லி இலைகளைச் சேர்த்து அடுப்பை அணைக்கவும். அவ்வளவுதான், எங்கள் காரமான உருளைக்கிழங்கு கிரேவி பூரி, சப்பாத்தி அல்லது தோசையுடன் பரிமாற தயாராக உள்ளது. தயவுசெய்து இந்த ரெசிபியை வீட்டிலேயே முயற்சி செய்து உங்கள் கருத்துகளைப் பகிர்ந்து கொள்ளுங்கள். சமையல் மகிழ்ச்சி!!!.</t>
  </si>
  <si>
    <t>https://blogger.googleusercontent.com/img/b/R29vZ2xl/AVvXsEg1Hx56-tYj7OjY_xo0gTMMWUmaN6OKVGRrGp3loG2kNjQthsFupHbgSfKByOu6sHv6FMErWbVBcjUpz_xGaAFxtJhHApR3Cm0V8SEKJ_ONKouYRq-1Abs876JdBXGq0ZRv11SrjaSQsaQ/s640/editted.jpg</t>
  </si>
  <si>
    <t>Idiyappam</t>
  </si>
  <si>
    <t>இடியாப்பம்</t>
  </si>
  <si>
    <t>1.5 cup - Idiyappam Flour, 1/2 tsp - Salt, 1 tsp  - Oil , Required water (boiling water).</t>
  </si>
  <si>
    <t>1.5 கப் - இடியாப்பம் மாவு, 1/2 தேக்கரண்டி - உப்பு, 1 தேக்கரண்டி - எண்ணெய், தேவையான தண்ணீர் (கொதிக்கும் நீர்).</t>
  </si>
  <si>
    <t>Into a sauce pan heat water and bring water to a nice rolling boil. Adding hot water is very important in this recipe as it makes the Idiyappam stay softer.   In a mixing bowl add rice flour and add required salt to it. Mix it nicely and then add oil and gradually add boiling water and mix well with a spoon. Do not add too much of water,the dough should be little thick and hard. Once the dough cools slightly mix it nicely with hands.  Transfer the dough into Murukku press attached with tiny hole plate and close the lid. Grease the Idli plate with some oil and press the dough, while pressing make sure the strings falls straight without breaking, if it breaks often then the dough is not in right consistency.  Transfer the plates to Idli cooker and steam for 6 -7 minutes. (Before placing the Idli plates heat the Idli cooker with some water until it steams)  That's it our Idiyappam is ready to be served. We can serve with thick coconut milk and sugar, Veg Kurma , if you are fond of non veg then Chicken Curry goes excellent with this recipe. Happy Cooking !!!</t>
  </si>
  <si>
    <t>ஒரு வாணலித் தட்டு பாத்திரத்தில்(sauce pan) தண்ணீரை சூடாக்கி, தண்ணீரை நன்றாக கொதிக்க விடவும். இந்த செய்முறையில் சூடான நீரைச் சேர்ப்பது மிகவும் முக்கியம், ஏனெனில் இது இடியாப்பத்தை மென்மையாக வைத்திருக்கும். ஒரு கலவை பாத்திரத்தில் அரிசி மாவைச் சேர்த்து, தேவையான உப்பு சேர்க்கவும். நன்றாகக் கலக்கவும், பின்னர் எண்ணெயைச் சேர்த்து, படிப்படியாக கொதிக்கும் நீரைச் சேர்த்து, ஒரு கரண்டியால் நன்றாகக் கலக்கவும். அதிகமாகத் தண்ணீர் சேர்க்க வேண்டாம், மாவு கொஞ்சம் கெட்டியாகவும் கடினமாகவும் இருக்க வேண்டும். மாவு சிறிது ஆறியதும், கைகளால் நன்றாகக் கலக்கவும். மாவை ஒரு சிறிய துளை தட்டுடன் இணைக்கப்பட்ட முருக்கு பிரஸ்ஸுக்கு மாற்றி மூடியை மூடவும். இட்லி தட்டில் சிறிது எண்ணெய் தடவி, மாவை அழுத்தவும், அழுத்தும் போது சரங்கள் உடையாமல் நேராக விழும்படி பார்த்துக் கொள்ளுங்கள், அது அடிக்கடி உடைந்தால், மாவு சரியான நிலைத்தன்மையில் இருக்காது. தட்டுகளை இட்லி குக்கருக்கு மாற்றி 6 -7 நிமிடங்கள் ஆவியில் வேகவைக்கவும். (இட்லி தட்டுகளை வைப்பதற்கு முன் இட்லி குக்கரை சிறிது தண்ணீர் சேர்த்து வேகவைக்கவும்) அவ்வளவுதான் நம் இடியாப்பம் பரிமாற தயாராக உள்ளது. கெட்டியான தேங்காய் பால் மற்றும் சர்க்கரை, வெஜ் குர்மாவுடன் பரிமாறலாம், நீங்கள் அசைவ உணவுகளை விரும்பினால், இந்த ரெசிபியுடன் சிக்கன் கறி சிறப்பாக இருக்கும். மகிழ்ச்சியான சமையல்!!!</t>
  </si>
  <si>
    <t>https://blogger.googleusercontent.com/img/b/R29vZ2xl/AVvXsEgw-upb8zfww4dTRYPfyVcW46U4Kr4WcWc8LDvgzBYQjoLx-9WDGMTpoB6R0ovi3cUysrbl-ABIMiH8oKoK7EMGsrV8VqjYVwUMb4jHP-Z_2-0NIpoteXbzWWmBv_-k6Dg84lnHWar6-zM/s640/easy+Idiyappam+Recipe.JPG</t>
  </si>
  <si>
    <t>Plain Biryani</t>
  </si>
  <si>
    <t>சாதாரண பிரியாணி</t>
  </si>
  <si>
    <t>2 tbsp - Oil, 2 tbsp - Ghee, 2 - Bay leaf,  1 - cinnamon stick,  2 - star anise ,  3 - cardamom,  4 - cloves, 1 tsp - Fennel seeds, 1 inch - Ginger, 4 - cloves Garlic, 2  - Green chilies, 2 - Onions, 2 - Tomatoes, 1/4 cup - Curd, 1/2 tsp  - Turmeric Powder, 1 tsp   - Garam Masala powder , 1 tsp  - Red Chilli Powder, 2 cup - Basmati Rice, 3 cup - Water, Mint Leaves, Coriander leaves, Salt to taste .</t>
  </si>
  <si>
    <t>2 தேக்கரண்டி - எண்ணெய், 2 தேக்கரண்டி - நெய், 2 - பிரியாணி இலை, 1 - இலவங்கப்பட்டை குச்சி, 2 - நட்சத்திர சோம்பு, 3 - ஏலக்காய், 4 - கிராம்பு, 1 தேக்கரண்டி - பெருஞ்சீரகம் விதைகள், 1 அங்குலம் - இஞ்சி, 4 - பல் பூண்டு, 2 - பச்சை மிளகாய், 2 - வெங்காயம், 2 - தக்காளி, 1/4 கப் - தயிர், 1/2 தேக்கரண்டி - மஞ்சள் தூள், 1 தேக்கரண்டி - கரம் மசாலா தூள், 1 தேக்கரண்டி - சிவப்பு மிளகாய் தூள், 2 கப் - பாஸ்மதி அரிசி, 3 கப் - தண்ணீர், புதினா இலைகள், கொத்தமல்லி இலைகள், சுவைக்கேற்ப உப்பு.</t>
  </si>
  <si>
    <t>in a mortar and pestle or in a blender add ginger , Garlic, green chilies and grind it well.   spices - bay leaves, cinnamon stick, cloves, cardamom, star anise and fennel seeds. Then add Onions , pinch of salt and saute it until the onions turns golden.  Once the onions turns golden add the ginger garlic and green chili paste and cook until the raw smell is gone. Then add the masalas - Turmeric powder, chili powder and garam masala powder. Cook for a minute.   Then add sliced tomatoes and cook until everything turns into a paste. Once the onions and tomatoes turns soft add yogurt and mix well. Yogurt is added to get little sour taste (we can also use lemon juice instead of yogurt)  Then add Basmati rice (washed and soaked in water for 30 minutes), Water , Mint and Coriander leaves. Finally add salt and mix well. while taste testing the water should be little salty. Ratio of rice to water is 1:1.5 so for 2 cups of rice I have used 3 cups of water.  Cover and cook it for 1 whistle on a medium heat or until the rice is well done. That's it our easy and simple Kuska Biryani is ready to be enjoyed with Onion Raitha, veg Salna or chicken Salna. Please do try this recipe at home and share it with your friends and family. Happy Cooking and lets spread the Joy of Cooking !!!</t>
  </si>
  <si>
    <t>ஒரு சாந்து அல்லது ஒரு பிளெண்டரில் இஞ்சி, பூண்டு, பச்சை மிளகாய் சேர்த்து நன்கு அரைக்கவும். மசாலாப் பொருட்கள் - பிரியாணி இலைகள், இலவங்கப்பட்டை குச்சி, கிராம்பு, ஏலக்காய், நட்சத்திர சோம்பு மற்றும் பெருஞ்சீரகம் விதைகள். பின்னர் வெங்காயம், சிட்டிகை உப்பு சேர்த்து வெங்காயம் பொன்னிறமாகும் வரை வதக்கவும். வெங்காயம் பொன்னிறமாக மாறியதும் இஞ்சி பூண்டு மற்றும் பச்சை மிளகாய் விழுது சேர்த்து பச்சை வாசனை போகும் வரை வதக்கவும். பின்னர் மசாலாக்கள் - மஞ்சள் தூள், மிளகாய் தூள் மற்றும் கரம் மசாலா தூள் சேர்த்து ஒரு நிமிடம் சமைக்கவும். பின்னர் நறுக்கிய தக்காளியைச் சேர்த்து எல்லாம் ஒரு பேஸ்டாக மாறும் வரை சமைக்கவும். வெங்காயம் மற்றும் தக்காளி மென்மையாக மாறியதும் தயிர் சேர்த்து நன்கு கலக்கவும். தயிர் சிறிது புளிப்பு சுவை பெற சேர்க்கப்படுகிறது (தயிருக்கு பதிலாக எலுமிச்சை சாற்றையும் பயன்படுத்தலாம்) பின்னர் பாஸ்மதி அரிசி (கழுவி 30 நிமிடங்கள் தண்ணீரில் ஊறவைத்தது), தண்ணீர், புதினா மற்றும் கொத்தமல்லி இலைகளைச் சேர்க்கவும். இறுதியாக உப்பு சேர்த்து நன்கு கலக்கவும். சுவை சோதிக்கும் போது தண்ணீர் சிறிது உப்பு இருக்க வேண்டும். அரிசி மற்றும் தண்ணீரின் விகிதம் 1:1.5 எனவே 2 கப் அரிசிக்கு நான் 3 கப் தண்ணீரைப் பயன்படுத்தினேன். மூடி, மிதமான தீயில் 1 விசில் விடவும் அல்லது அரிசி நன்றாக வேகும் வரை சமைக்கவும். அவ்வளவுதான் எங்கள் எளிதான மற்றும் எளிமையான குஸ்கா பிரியாணி வெங்காய ரைத்தா, வெஜ் சால்னா அல்லது சிக்கன் சால்னாவுடன் சுவைக்க தயாராக உள்ளது. இந்த ரெசிபியை வீட்டிலேயே முயற்சி செய்து உங்கள் நண்பர்கள் மற்றும் குடும்பத்தினருடன் பகிர்ந்து கொள்ளுங்கள். சமையல் அனுபவியுங்கள், சமையலின் மகிழ்ச்சியைப் பரப்புவோம்!!!</t>
  </si>
  <si>
    <t>https://blogger.googleusercontent.com/img/b/R29vZ2xl/AVvXsEh5kFfPfdwBlf7xwpuihTC2Z3F2xQ4CgUQLKz4s3vW8mbFthoQ11Jv9T4MgTbU0tHc9wt4yCTgHt86RdrmkR_-wg0zalf9fNGjyE3M_DlsVfCDBVWw1Oy4M_Iphw0m0J3Tcpgfj14PUOkM/s640/Kuska+Recipe.JPG</t>
  </si>
  <si>
    <t>How to make Paneer</t>
  </si>
  <si>
    <t>பனீர் செய்வது எப்படி</t>
  </si>
  <si>
    <t>Kitchen Hacks</t>
  </si>
  <si>
    <t>2 liter - Full fat milk, 4-6 tbsp - Lemon juice .</t>
  </si>
  <si>
    <t>2 லிட்டர் - முழு கொழுப்புள்ள பால், 4-6 டேபிள் ஸ்பூன் - எலுமிச்சை சாறு.</t>
  </si>
  <si>
    <t>heat milk in a pan and bring it to boil, use full fat milk to get more paneer. Once the milk comes to a boil add lemon juice or vinegar to cuddle the milk , I always prefer to use lemon juice because vinegar sometimes leaves some strong flavor behind. Slowly add the lemon juice and cuddle the milk.  Once the milk is fully cuddled and the whey separates strain it through a sieve (place a cotton cloth or cheese cloth on the top of the sieve to collect all the paneer )  Rinse it with water to get rid of lemon taste (this step is optional)   After rinsing squeeze the excess water and adjust the shape (make it little square) . Place a weight on the top (I used a bowl filled with water) and leave it undisturbed for 2 hours minimum.   After 2 hours remove the cheese cloth and cut it into desired shapes.</t>
  </si>
  <si>
    <t>ஒரு பாத்திரத்தில் பாலை சூடாக்கி கொதிக்க விடவும், அதிக பனீர் பெற முழு கொழுப்புள்ள பாலைப் பயன்படுத்தவும். பால் கொதித்ததும் எலுமிச்சை சாறு அல்லது வினிகரைச் சேர்த்து பாலை அணைக்கவும், வினிகர் சில நேரங்களில் சில வலுவான சுவையை விட்டுச்செல்வதால் நான் எப்போதும் எலுமிச்சை சாற்றைப் பயன்படுத்த விரும்புகிறேன். மெதுவாக எலுமிச்சை சாற்றைச் சேர்த்து பாலை அணைக்கவும். பால் முழுவதுமாக இறுக்கமாகி, மோர் பிரிந்ததும், அதை ஒரு சல்லடை மூலம் வடிகட்டவும் (சல்லடையின் மேல் ஒரு பருத்தி துணி அல்லது சீஸ் துணியை வைத்து பனீர் அனைத்தையும் சேகரிக்கவும்) எலுமிச்சை சுவையை போக்க தண்ணீரில் கழுவவும் (இந்த படி விருப்பமானது) கழுவிய பிறகு அதிகப்படியான தண்ணீரை பிழிந்து வடிவத்தை சரிசெய்யவும் (சிறிய சதுரமாக மாற்றவும்). மேலே ஒரு எடையை வைக்கவும் (நான் தண்ணீர் நிரப்பப்பட்ட கிண்ணத்தைப் பயன்படுத்தினேன்) குறைந்தபட்சம் 2 மணி நேரம் அதை அப்படியே விடவும். 2 மணி நேரம் கழித்து சீஸ் துணியை அகற்றி, விரும்பிய வடிவங்களில் வெட்டவும்.</t>
  </si>
  <si>
    <t>https://blogger.googleusercontent.com/img/b/R29vZ2xl/AVvXsEhCO9hOAHe_B2P_TjM67mHN0z0ZxkpUd2gkII3eM-jKgmjaOMzM59qSyWV8dN5rkOORtNkO5nNMBXz1dM-jWaw8HFGciZDWSgBs0odk7NHJHpQ8LbjjL3CfSZ3BPZ9-4If9XN34gA1LZk8/s640/how+to+make+paneer.JPG</t>
  </si>
  <si>
    <t>Fruit custard</t>
  </si>
  <si>
    <t>பழ கஸ்டர்ட்</t>
  </si>
  <si>
    <t>500 ml - Milk , 2 tbsp - Custard powder, 2-3 tbsp - Milk (for dissolving custard powder), 6 tbsp - Sugar, 2 cup  - Fruits (Grapes | Banana | Apple Mango).</t>
  </si>
  <si>
    <t>500 மிலி - பால், 2 டேபிள் ஸ்பூன் - கஸ்டர்ட் பவுடர், 2-3 டேபிள் ஸ்பூன் - பால் (கஸ்டர்ட் பவுடரை கரைக்க), 6 டேபிள் ஸ்பூன் - சர்க்கரை, 2 கப் - பழங்கள் (திராட்சை | வாழைப்பழம் | ஆப்பிள் மாம்பழம்).</t>
  </si>
  <si>
    <t>Heat milk in a pan, once the milk comes to slight boil turn down the heat to low and add custard powder. Do not add the custard powder directly to the hot milk (it forms lumps) so dissolve the custard powder in some milk and then add to the hot milk.   Gradually add the custard powder mix to the milk and mix it nicely without any lumps. Then add sugar, you can adjust the sweetness according to your taste preference. I have added 6 tbsp of sugar. Mix it nicely and let the milk simmer for some time.  Once the custard mix thickens slightly , turn off the heat and transfer the contents to a bowl and let it cool completely. You can also chill it in the refrigerator for an hour.    Once the base is cooled completely add the fruits and mix well. I have added Grapes, Banana, Apple and mangoes.  That's it our Fruit custard is ready to be served, We can add pomegranate , Chikoo/ sapotta , Orange, Kiwi etc... Serve it immediately or refrigerate and serve when required. Please do try this recipe at home and share with your friends and family.  Spread the Joy of Cooking !!!</t>
  </si>
  <si>
    <t>ஒரு பாத்திரத்தில் பாலை சூடாக்கி, பால் சிறிது கொதித்ததும், தீயை குறைத்து, கஸ்டர்ட் பவுடரை சேர்க்கவும். கஸ்டர்ட் பவுடரை நேரடியாக சூடான பாலில் சேர்க்க வேண்டாம் (அது கட்டிகளாக மாறும்) எனவே கஸ்டர்ட் பவுடரை சிறிது பாலில் கரைத்து, பின்னர் சூடான பாலில் சேர்க்கவும். படிப்படியாக கஸ்டர்ட் பவுடர் கலவையை பாலில் சேர்த்து, கட்டிகள் இல்லாமல் நன்றாக கலக்கவும். பின்னர் சர்க்கரை சேர்க்கவும், உங்கள் சுவை விருப்பத்திற்கு ஏற்ப இனிப்பை சரிசெய்யலாம். நான் 6 டேபிள் ஸ்பூன் சர்க்கரை சேர்த்துள்ளேன். அதை நன்றாக கலந்து, பாலை சிறிது நேரம் கொதிக்க விடவும். கஸ்டர்ட் கலவை சிறிது கெட்டியானதும், வெப்பத்தை அணைத்து, உள்ளடக்கங்களை ஒரு கிண்ணத்தில் மாற்றி முழுமையாக ஆற விடவும். நீங்கள் அதை ஒரு மணி நேரம் குளிர்சாதன பெட்டியில் குளிரூட்டலாம். அடிப்பகுதி முழுவதுமாக குளிர்ந்ததும் பழங்களைச் சேர்த்து நன்கு கலக்கவும். நான் திராட்சை, வாழைப்பழம், ஆப்பிள் மற்றும் மாம்பழங்களைச் சேர்த்துள்ளேன். அவ்வளவுதான் எங்கள் பழ கஸ்டர்ட் பரிமாற தயாராக உள்ளது, மாதுளை, சிக்கூ/சப்போட்டா, ஆரஞ்சு, கிவி போன்றவற்றைச் சேர்க்கலாம்... உடனடியாக பரிமாறவும் அல்லது குளிர்சாதன பெட்டியில் வைத்து தேவைப்படும்போது பரிமாறவும். இந்த செய்முறையை வீட்டிலேயே முயற்சி செய்து உங்கள் நண்பர்கள் மற்றும் குடும்பத்தினருடன் பகிர்ந்து கொள்ளுங்கள். சமையல் மகிழ்ச்சியைப் பரப்புங்கள்!!!</t>
  </si>
  <si>
    <t>https://blogger.googleusercontent.com/img/b/R29vZ2xl/AVvXsEhkCBLqGJZho3mzDHIAkuqvjAlmn92skcGRshvAwkrGBhpYHloRz67qX7yn9Anjy4NsjEoyiqhvJLe0FNWGQ7TSXTY9rMfwq7N8Yvh-IwGTqTtGmZJIjUwh0OjWpONQGtw9R2PO3-Pw_PQ/s640/easy+fruit+custard+recipe.JPG</t>
  </si>
  <si>
    <t>https://youtu.be/sWc-BmEYdyE</t>
  </si>
  <si>
    <t>Garam Masala Powder</t>
  </si>
  <si>
    <t>கரம் மசாலாப் பொடி</t>
  </si>
  <si>
    <t>Podi varieties</t>
  </si>
  <si>
    <t>1 tbsp - Coriander seeds, 1 tbsp - Pepper Corns, 1 tbsp - Cumin seeds, 1 tbsp - Cloves, 2 tbsp - Fennel Seeds, 4 - Mace, 8 - Star anise, 20 - Cardamom, 4 inch -  Cinnamon stick, 2 - Bay leaves .</t>
  </si>
  <si>
    <t>1 டீஸ்பூன் - கொத்தமல்லி விதைகள், 1 டீஸ்பூன் - மிளகு சோளம், 1 டீஸ்பூன் - சீரகம், 1 டீஸ்பூன் - கிராம்பு, 2 டீஸ்பூன் - பெருஞ்சீரகம் விதைகள், 4 - மேஸ், 8 - நட்சத்திர சோம்பு, 20 - ஏலக்காய், 4 அங்குலம் - இலவங்கப்பட்டை, 2 - பிரியாணி இலைகள்.</t>
  </si>
  <si>
    <t>Dry roast all the whole spices on a low heat .Be very careful while roasting, do not burn the masalas (it may taste bitter if burnt)  Turn off the heat and let it cool completely. Once cooled transfer it to a blender and grind it to a fine powder.  That's it our homemade garam masala is ready , store it in an air tight container and use it later. This masala can be used to make all non veg recipes and biryani.</t>
  </si>
  <si>
    <t>அனைத்து மசாலாப் பொருட்களையும் குறைந்த தீயில் உலர்த்தி வறுக்கவும். வறுக்கும்போது மிகவும் கவனமாக இருங்கள், மசாலாக்களை எரிக்க வேண்டாம் (எரித்தால் கசப்பாக இருக்கும்) தீயை அணைத்து முழுமையாக ஆற விடவும். குளிர்ந்ததும், அதை ஒரு பிளெண்டரில் மாற்றி நன்றாகப் பொடியாக அரைக்கவும். அவ்வளவுதான் எங்கள் வீட்டில் தயாரிக்கப்பட்ட கரம் மசாலா தயாராக உள்ளது, காற்று புகாத கொள்கலனில் சேமித்து பின்னர் பயன்படுத்தவும். இந்த மசாலாவை அனைத்து அசைவ சமையல் குறிப்புகள் மற்றும் பிரியாணி தயாரிக்க பயன்படுத்தலாம்.</t>
  </si>
  <si>
    <t>https://blogger.googleusercontent.com/img/b/R29vZ2xl/AVvXsEhXVVAfbB5rpz_MDPxg6viWXG3EbpPv_K3-WejvfpkvNrAcrlcSz1lfgbfh5l0MO6x81PP-jhrVQAOkpdCKGYhC3bG9WbW1I3UOZJq5i24u5QYGL94yLNoi0cVlscHLGNlAjTZSIMnFOTg/s640/Trial-4.jpg</t>
  </si>
  <si>
    <t>Rava Cake</t>
  </si>
  <si>
    <t>ரவா கேக்</t>
  </si>
  <si>
    <t>1/2 cup  - Melted Butter (100g), 1 cup - Sugar (200g), 1/2 cup - Yogurt, 1 cup - Milk (250 ml), 1 tsp - Vanilla Extract, 1.5 cup - Semolina (250g) , 1/2 cup - Maida / All purpose flour (approximately 60g), 1 tsp - Baking powder, 1/2 tsp  - Baking Soda, 1 tsp - Baking powder, 1/2 tsp  - Salt, 1/4 cup - Chopped Nuts (Cashews , Almonds and pistachios), 1 cup - Tutti Frutti.</t>
  </si>
  <si>
    <t>1/2 கப் - உருகிய வெண்ணெய் (100 கிராம்), 1 கப் - சர்க்கரை (200 கிராம்), 1/2 கப் - தயிர், 1 கப் - பால் (250 மிலி), 1 தேக்கரண்டி - வெண்ணிலா சாறு, 1.5 கப் - ரவை (250 கிராம்), 1/2 கப் - மைதா / அனைத்து வகையான மாவு (தோராயமாக 60 கிராம்), 1 தேக்கரண்டி - பேக்கிங் பவுடர், 1/2 தேக்கரண்டி - பேக்கிங் சோடா, 1 தேக்கரண்டி - பேக்கிங் பவுடர், 1/2 தேக்கரண்டி - உப்பு, 1/4 கப் - நறுக்கிய கொட்டைகள் (முந்திரி, பாதாம் மற்றும் பிஸ்தா), 1 கப் - டுட்டி ஃப்ருட்டி.</t>
  </si>
  <si>
    <t>In a mixing bowl add melted butter, Sugar and mix well. Then add yogurt (beat the yogurt nicely without any lumps) , Milk and vanilla extract. Mix until well combined.  In a separate mixing bowl add rava, Maida , baking powder, baking soda and salt. Mix it well for even distribution.  Now add the wet ingredients to the dry ingredients and mix without any lumps. Finally add some nuts and Tutti frutti and combine well. ( we can reduce tutti frutti and add more nuts and vise versa)  Transfer the cake mix to a baking pan (grease with butter on all sides and also place a parchment paper to prevent sticking) Bake it for 45 - 50 minutes @ 350 F / 175 C In pressure cooker it takes approximately 55 - 60 min.   That's it Our delicious and easy Rava cake is ready to be served.</t>
  </si>
  <si>
    <t>ஒரு கலவை பாத்திரத்தில் உருகிய வெண்ணெய், சர்க்கரை சேர்த்து நன்கு கலக்கவும். பின்னர் தயிர் (தயிரை கட்டிகள் இல்லாமல் நன்றாக அடிக்கவும்), பால் மற்றும் வெண்ணிலா சாறு சேர்க்கவும். நன்கு கலக்கும் வரை கலக்கவும். ஒரு தனி கலவை பாத்திரத்தில் ரவா, மைதா, பேக்கிங் பவுடர், பேக்கிங் சோடா மற்றும் உப்பு சேர்க்கவும். சமமாக விநியோகிக்க நன்கு கலக்கவும். இப்போது ஈரமான பொருட்களை உலர்ந்த பொருட்களுடன் சேர்த்து கட்டிகள் இல்லாமல் கலக்கவும். இறுதியாக சில கொட்டைகள் மற்றும் துட்டி ஃப்ருட்டியைச் சேர்த்து நன்கு கலக்கவும். (துட்டி ஃப்ருட்டியைக் குறைத்து மேலும் கொட்டைகள் சேர்க்கலாம் மற்றும் நேர்மாறாகவும்) கேக் கலவையை ஒரு பேக்கிங் பாத்திரத்திற்கு மாற்றவும் (எல்லா பக்கங்களிலும் வெண்ணெய் தடவி, ஒட்டாமல் இருக்க ஒரு காகிதத்தோல் காகிதத்தையும் வைக்கவும்) 350 F / 175 C வெப்பநிலையில் 45 - 50 நிமிடங்கள் சுடவும் பிரஷர் குக்கரில் இது தோராயமாக 55 - 60 நிமிடங்கள் ஆகும். அவ்வளவுதான், எங்கள் சுவையான மற்றும் எளிதான ரவா கேக் பரிமாற தயாராக உள்ளது.</t>
  </si>
  <si>
    <t>https://blogger.googleusercontent.com/img/b/R29vZ2xl/AVvXsEiLSXsNMQ0R7WrIUa9RU3qCF-hTKvC5uMWwHymCj3JFZBBwgGIst-Qxh0JC2AQdrarBlAMNgWcSUbOUdUwFCFCA55K-gqSR5V2M8mF8-8gnKGrLgBlc3ks_clkKDaMhLnA-Y3VYclL14Oc/s640/Rava+Cake.JPG</t>
  </si>
  <si>
    <t>Thaen Mittai</t>
  </si>
  <si>
    <t>தேய்ன் மிட்டாய்</t>
  </si>
  <si>
    <t>1 cup - Rice (Idli rice also works well), 1/4 cup - Skinless black gram, 1 pinch - Food color, 1/4 tsp - Baking Soda, 1/4 cup - Water (approximately), 1.5 cup - Sugar, 3/4 cup - Water.</t>
  </si>
  <si>
    <t>1 கப் - அரிசி (இட்லி அரிசியும் நன்றாக வேலை செய்கிறது), 1/4 கப் - தோல் நீக்கிய உளுந்து, 1 சிட்டிகை - உணவு நிறம், 1/4 தேக்கரண்டி - பேக்கிங் சோடா, 1/4 கப் - தண்ணீர் (தோராயமாக), 1.5 கப் - சர்க்கரை, 3/4 கப் - தண்ணீர்.</t>
  </si>
  <si>
    <t>Melt sugar in water and bring it to 1/2 string consistency. Once the sugar dissolves and comes to a boil turn down the heat to low and simmer it for 6 -7 minutes. Once the syrup thickens and reaches 1/2 sting consistency turn off the heat and add few drops of lemon juice to prevent sugar crystallization.  Soak rice and dal in water for 3- 4 hours. Add little water and grind it to a smooth paste. The consistency should be like idli batter, should not be watery. Then add  some orange food color and baking soda. (adding food color is optional but in olden days they add food color to make it even more attractive).  Heat oil in a pan - Oil should be on medium heat. Wet your hands in some water and make small balls and drop it in oil. It should come to to surface of the oil immediately .Fry until they are nice and crisp on all the sides.  Once they are nice and crisp drain the excess oil and dunk into the sugar syrup immediately. The syrup should be little warm while adding the fried balls (if it is not warm heat it for a minute ) Soak in sugar syrup for 10 - 15 minutes.  Once they are nicely soaked take it off from the syrup and allow it to dry for sometime and then we can store it in air tight container. We can also coat the balls in sugar to make it even sweeter, but I love to eat without the sugar coating.  That's it our delicious childhood cadbury is ready to be enjoyed, when you bite into it you can feel the syrup oozing out from the inside. Happy Cooking !!! Please do try this Thaen mittai recipe at home and share it with your friends and family. Lets not forget our traditional sweet of Tamil Nadu.</t>
  </si>
  <si>
    <t>சர்க்கரையை தண்ணீரில் உருக்கி 1/2 சரம் நிலைத்தன்மைக்கு கொண்டு வாருங்கள். சர்க்கரை கரைந்து கொதி வந்ததும், தீயை குறைத்து 6 -7 நிமிடங்கள் கொதிக்க வைக்கவும். சிரப் கெட்டியாகி 1/2 சரம் நிலைத்தன்மையை அடைந்ததும், தீயை அணைத்து, சர்க்கரை படிகமாவதைத் தடுக்க சில துளிகள் எலுமிச்சை சாறு சேர்க்கவும். அரிசி மற்றும் பருப்பை 3-4 மணி நேரம் தண்ணீரில் ஊற வைக்கவும். சிறிது தண்ணீர் சேர்த்து மென்மையான பேஸ்டாக அரைக்கவும். நிலைத்தன்மை இட்லி மாவு போல இருக்க வேண்டும், தண்ணீராக இருக்கக்கூடாது. பின்னர் சிறிது ஆரஞ்சு உணவு நிறம் மற்றும் பேக்கிங் சோடா சேர்க்கவும். (உணவு வண்ணத்தைச் சேர்ப்பது விருப்பமானது, ஆனால் பழைய நாட்களில் அதை இன்னும் கவர்ச்சிகரமானதாக மாற்ற உணவு வண்ணத்தைச் சேர்க்கிறார்கள்). ஒரு பாத்திரத்தில் எண்ணெயைச் சூடாக்கவும் - எண்ணெய் மிதமான சூட்டில் இருக்க வேண்டும். உங்கள் கைகளை சிறிது தண்ணீரில் நனைத்து, சிறிய உருண்டைகளாக உருட்டி எண்ணெயில் போடவும். அது உடனடியாக எண்ணெயின் மேற்பரப்புக்கு வர வேண்டும். அவை எல்லா பக்கங்களிலும் நன்றாகவும் மொறுமொறுப்பாகவும் இருக்கும் வரை வறுக்கவும். அவை நன்றாகவும் மொறுமொறுப்பாகவும் ஆனதும், அதிகப்படியான எண்ணெயை வடிகட்டி உடனடியாக சர்க்கரை பாகில் நனைக்கவும். வறுத்த உருண்டைகளைச் சேர்க்கும்போது சிரப் சிறிது சூடாக இருக்க வேண்டும் (சூடாக இல்லாவிட்டால் ஒரு நிமிடம் சூடாக்கவும்). சர்க்கரை பாகில் 10 - 15 நிமிடங்கள் ஊற வைக்கவும். அவை நன்றாக ஊறியதும், சிரப்பில் இருந்து எடுத்து சிறிது நேரம் உலர விடவும், பின்னர் அதை காற்று புகாத கொள்கலனில் சேமிக்கலாம். இன்னும் இனிப்பாக மாற்ற உருண்டைகளை சர்க்கரையில் பூசலாம், ஆனால் சர்க்கரை பூச்சு இல்லாமல் சாப்பிடுவது எனக்கு மிகவும் பிடிக்கும். அவ்வளவுதான் எங்கள் சுவையான குழந்தை பருவ கேட்பரி சுவைக்கத் தயாராக உள்ளது, நீங்கள் அதைக் கடிக்கும்போது சிரப் உள்ளே இருந்து வெளியேறுவதை உணரலாம். மகிழ்ச்சியான சமையல் !!! இந்த தேேன் மிட்டாய் ரெசிபியை வீட்டிலேயே முயற்சி செய்து உங்கள் நண்பர்கள் மற்றும் குடும்பத்தினருடன் பகிர்ந்து கொள்ளுங்கள். நமது தமிழ்நாட்டின் பாரம்பரிய இனிப்பை மறந்துவிடக் கூடாது.</t>
  </si>
  <si>
    <t>https://blogger.googleusercontent.com/img/b/R29vZ2xl/AVvXsEgoupJMrCtCmsTtHCR-gHsYLO1Df2I2pQhObziHjFNl-qYvFGW-uj7V478JB4ySEmGBFRjKXqWfWUOcqyRX384z0XU6scKkRFWUeLFw5JNnmqAMYe5WvmdDYpfUh9gSQCXghrrma1O1xl4/s640/fying.JPG</t>
  </si>
  <si>
    <t>Chocolate Cake</t>
  </si>
  <si>
    <t>சாக்லேட் கேக்</t>
  </si>
  <si>
    <t>2 cup - All Purpose flour / Maida, 3/4 cup - Cocoa powder , 2 tsp - Baking powder, 1 tsp - Baking Soda, 1 tsp - Salt, 2 cup - Sugar, 1.5 cup - Milk, 1 cup - Yogurt (Curd), 1/2 cup - Oil, 2 tsp - Vanilla Extract.</t>
  </si>
  <si>
    <t>2 கப் - அனைத்து உபயோக மாவு / மைதா, 3/4 கப் - கோகோ பவுடர், 2 தேக்கரண்டி - பேக்கிங் பவுடர், 1 தேக்கரண்டி - பேக்கிங் சோடா, 1 தேக்கரண்டி - உப்பு, 2 கப் - சர்க்கரை, 1.5 கப் - பால், 1 கப் - தயிர் (தயிர்), 1/2 கப் - எண்ணெய், 2 தேக்கரண்டி - வெண்ணிலா சாறு.</t>
  </si>
  <si>
    <t>Lets start by preheating the oven at 350 F or 175 C, before preheating the cooker lets make some small arrangements: Add a layer of salt (approximately 2 cups of salt) - we can reuse the salt for future baking  Then place a wire stand - to elevate the pan from touching the base . Finally a perforated plate on the top and cover the cooker. We need to preheat the cooker for 15 minutes on a medium heat without adding the Cooker weight.  In a big mixing bowl, sift in all purpose flour, Cocoa powder, Baking powder, baking powder, salt . then add Sugar and mix well. We can also use a wire sieve for mixing everything together.  Now lets add the wet ingredients- Milk, Yogurt, oil and vanilla extract , mix well with a wire whisk without any lumps. Beat the yogurt nicely before adding and make sure there are not lumps.   Divide the batter into 2 halves and transfer it to a baking pan. This recipe yields two 9 inch pans  Baking Time: In oven: 30 -35 minutes on 350 F / 175 C In cooker: 40 -45 minutes on medium without placing the cooker weight.</t>
  </si>
  <si>
    <t>அடுப்பை 350 F அல்லது 175 C க்கு முன்கூட்டியே சூடாக்குவதன் மூலம் தொடங்குவோம், குக்கரை முன்கூட்டியே சூடாக்குவதற்கு முன் சில சிறிய ஏற்பாடுகளைச் செய்வோம்: ஒரு அடுக்கு உப்பு (தோராயமாக 2 கப் உப்பு) சேர்க்கவும் - எதிர்கால பேக்கிங்கிற்கு உப்பை மீண்டும் பயன்படுத்தலாம் பின்னர் ஒரு கம்பி ஸ்டாண்டை வைக்கவும் - பான் அடித்தளத்தைத் தொடுவதை உயர்த்தவும். இறுதியாக மேலே ஒரு துளையிடப்பட்ட தட்டு மற்றும் குக்கரை மூடவும். குக்கர் எடையைச் சேர்க்காமல் நடுத்தர வெப்பத்தில் குக்கரை 15 நிமிடங்கள் முன்கூட்டியே சூடாக்க வேண்டும். ஒரு பெரிய கலவை கிண்ணத்தில், அனைத்து உபயோக மாவு, கோகோ பவுடர், பேக்கிங் பவுடர், பேக்கிங் பவுடர், உப்பு ஆகியவற்றை சலிக்கவும். பின்னர் சர்க்கரையைச் சேர்த்து நன்கு கலக்கவும். எல்லாவற்றையும் ஒன்றாகக் கலக்க ஒரு கம்பி சல்லடையையும் பயன்படுத்தலாம். இப்போது ஈரமான பொருட்களைச் சேர்த்து - பால், தயிர், எண்ணெய் மற்றும் வெண்ணிலா சாறு ஆகியவற்றை ஒரு கம்பி துடைப்பத்தால் கட்டிகள் இல்லாமல் நன்கு கலக்கவும். தயிரை நன்றாக அடித்து, கட்டிகள் இல்லாமல் பார்த்துக் கொள்ளுங்கள். மாவை 2 பகுதிகளாகப் பிரித்து, ஒரு பேக்கிங் பாத்திரத்திற்கு மாற்றவும். இந்த செய்முறையில் இரண்டு 9 அங்குல பாத்திரங்கள் கிடைக்கும் பேக்கிங் நேரம்: அடுப்பில்: 350 F / 175 C இல் 30 -35 நிமிடங்கள் குக்கரில்: குக்கர் எடையை வைக்காமல் நடுத்தரத்தில் 40 -45 நிமிடங்கள்.</t>
  </si>
  <si>
    <t>https://blogger.googleusercontent.com/img/b/R29vZ2xl/AVvXsEjpvLUnR5MwBCwOcLq3IZuTJqXgwVs0ctuRtdgB50AMpRvfybY7lZpQHPOacWeLniz9Dy7Sa5OJk0RVfWvsz45fvtN7SyTMjL4BU04Xc4LSyVcvC-MLEuLBposmpdCLLBOrU3wPCsgeaaQ/s640/Eggless+chocolate+cake+.JPG</t>
  </si>
  <si>
    <t>https://youtu.be/YvCsSW_gH2Y</t>
  </si>
  <si>
    <t>Onion Bonda</t>
  </si>
  <si>
    <t>வெங்காய போண்டா</t>
  </si>
  <si>
    <t>1 cup - chickpea flour, 1/4 cup - rice flour, 2 - green chilies, 1 inch - Ginger, Coriander leaves, Curry leaves, 1/2 - 1 tsp - chili powder, 1/4 tsp - Asafoetida, 1/4 tsp - baking soda, required Salt, Required water, Oil fro frying.</t>
  </si>
  <si>
    <t>1 கப் - கொண்டைக்கடலை மாவு, 1/4 கப் - அரிசி மாவு, 2 - பச்சை மிளகாய், 1 அங்குலம் - இஞ்சி, கொத்தமல்லி இலைகள், கறிவேப்பிலை, 1/2 - 1 தேக்கரண்டி - மிளகாய் தூள், 1/4 தேக்கரண்டி - பெருங்காயம், 1/4 தேக்கரண்டி - பேக்கிங் சோடா, தேவையான உப்பு, தேவையான தண்ணீர், வறுக்க எண்ணெய்.</t>
  </si>
  <si>
    <t>In a mixing bowl add Chickpea flour , Rice flour, chopped Onion, Green Chilies, finely chopped ginger, Coriander leaves, curry leaves, Asafoetida, baking soda and Salt. Mix it well.  Now gradually add water and mix well to form a semi thick batter, The batter should not be too watery nor too thick. I have used approximately 1/2 cup of water for this recipe.   Once the batter is ready lets fry the bondas, Oil should be on medium-high while frying, if the temperature of oil is low then the bondas will soak up lot of oil and will not be crispy. Once all the sides are equally browned and crispy drain the oil and take it off from the pan.   That's is our onion bonda is nice and ready to be enjoyed with coconut chutney and a cup of hot coffee / tea. Please do try this easy onion bonda and share with your friends and family. Happy Cooking !!!</t>
  </si>
  <si>
    <t>ஒரு கலவை பாத்திரத்தில் கடலை மாவு, அரிசி மாவு, நறுக்கிய வெங்காயம், பச்சை மிளகாய், இறுதியாக நறுக்கிய இஞ்சி, கொத்தமல்லி இலை, கறிவேப்பிலை, பெருங்காயம், பேக்கிங் சோடா மற்றும் உப்பு சேர்த்து நன்கு கலக்கவும். இப்போது படிப்படியாக தண்ணீரைச் சேர்த்து அரை தடிமனான மாவை உருவாக்க நன்கு கலக்கவும், மாவு மிகவும் தண்ணீராகவோ அல்லது மிகவும் கெட்டியாகவோ இருக்கக்கூடாது. இந்த செய்முறைக்கு நான் தோராயமாக 1/2 கப் தண்ணீரைப் பயன்படுத்தினேன். மாவு தயாரானதும் போண்டாக்களை வறுக்கவும். வறுக்கும்போது எண்ணெய் மிதமான அளவில் இருக்க வேண்டும். எண்ணெயின் வெப்பநிலை குறைவாக இருந்தால் போண்டாக்கள் நிறைய எண்ணெயை உறிஞ்சிவிடும், மொறுமொறுப்பாக இருக்காது. அனைத்து பக்கங்களும் சமமாக பழுப்பு நிறமாகி மொறுமொறுப்பாக மாறியதும் எண்ணெயை வடித்து வாணலியில் இருந்து எடுக்கவும். அதுதான் எங்கள் வெங்காய போண்டா நன்றாக இருக்கிறது, தேங்காய் சட்னி மற்றும் ஒரு கப் சூடான காபி / தேநீருடன் சாப்பிட தயாராக உள்ளது. தயவுசெய்து இந்த எளிதான வெங்காய போண்டாவை முயற்சி செய்து உங்கள் நண்பர்கள் மற்றும் குடும்பத்தினருடன் பகிர்ந்து கொள்ளுங்கள். மகிழ்ச்சியான சமையல் !!!</t>
  </si>
  <si>
    <t>https://blogger.googleusercontent.com/img/b/R29vZ2xl/AVvXsEi0zj4ptLliwF8eIMW0Mtb2ig1aMzYXCp3snkTrQBqfQRBXb2Of30TTGeE0OtsDU3UHganwHWLbBr9YAuOaMygy0wcLg_SgBl0Nk1T3oCeoxRJhPize9RL-lmBycNhGDzjPpe70pChlCfE/s640/Onion+Bonda.JPG</t>
  </si>
  <si>
    <t>Egg Manchurian</t>
  </si>
  <si>
    <t>முட்டை மஞ்சூரியன்</t>
  </si>
  <si>
    <t>4 - Eggs, Salt and Pepper, 1/4 cup - All purpose flour / Maida, 1/4 cup - Corn starch or corn flour, 1/2 tsp - Chili powder, 2 tbsp  - Oil, 1 tbsp - Finely chopped Ginger, 1 tbsp - Finely chopped Garlic, 1  - Onion (finely chopped), 1 - Capsicum / Bell pepper (finely chopped), 2 tbsp - Chilli sauce, 2 tbsp - Tomato sauce , 1 tbsp - Soy sauce, 1/2 tsp  - Pepper powder, required Salt and Pepper, Spring Onions, 1 tbsp - corn flour , 1/4 cup - water.</t>
  </si>
  <si>
    <t>4 - முட்டை, உப்பு மற்றும் மிளகு, 1/4 கப் - அனைத்து வகையான மாவு / மைதா, 1/4 கப் - சோள மாவு அல்லது சோள மாவு, 1/2 தேக்கரண்டி - மிளகாய் தூள், 2 தேக்கரண்டி - எண்ணெய், 1 தேக்கரண்டி - நன்றாக நறுக்கிய இஞ்சி, 1 தேக்கரண்டி - நன்றாக நறுக்கிய பூண்டு, 1 - வெங்காயம் (நன்றாக நறுக்கியது), 1 - கேப்சிகம் / பெல் பெப்பர் (நன்றாக நறுக்கியது), 2 தேக்கரண்டி - மிளகாய் சாஸ், 2 தேக்கரண்டி - தக்காளி சாஸ், 1 தேக்கரண்டி - சோயா சாஸ், 1/2 தேக்கரண்டி - மிளகு தூள், தேவையான உப்பு மற்றும் மிளகு, ஸ்பிரிங் வெங்காயம், 1 தேக்கரண்டி - சோள மாவு, 1/4 கப் - தண்ணீர்.</t>
  </si>
  <si>
    <t>Break open 4 eggs into a bowl and add required salt, some pepper and mix well. Grease a pan with oil and transfer the egg mixture into that bowl and place it inside an Idli cooker (we can also use rice cooker without adding the cooker weight). Steam it for 15-20 minutes .Run a knife through the edges and cut the steamed eggs into desired shape and keep it aside.  In a mixing bowl add maida ,corn flour, chili powder ,add water and mix well to for a semi thick batter. Coat the cooked eggs and fry it in hot oil. Once they become crispy take it off from the oil and set aside.  Now in a pan heat oil and add finely chopped ginger, chopped garlic and saute it for a minute until the raw smell is gone.Then add chopped onions and cook for a minute until it turns translucent. Then add bell peppers / Capsicum and cook for a couple of minutes.  Now its time to add the sauces - chilli sauce, tomato ketchup, Soy sauce and mix well. If you want the recipe to be dry then we can add the fried eggs and mix with the sauces and turn off the heat after a couple of minutes, but if you want little gravy then dissolve corn starch in water and add it to the pan. once it thickens up a bit add the fried eggs and cook for another 2 minutes.Finally add required salt, some pepper and garnish with chopped spring Onions.   That's it our egg Manchurian is ready to be served with naan, fried rice and roti.</t>
  </si>
  <si>
    <t>ஒரு பாத்திரத்தில் 4 முட்டைகளை உடைத்து தேவையான உப்பு, சிறிது மிளகு சேர்த்து நன்கு கலக்கவும். ஒரு பாத்திரத்தில் எண்ணெயை தடவி, முட்டை கலவையை அந்த பாத்திரத்தில் மாற்றி, ஒரு இட்லி குக்கரில் வைக்கவும் (குக்கர் எடையைச் சேர்க்காமல் ரைஸ் குக்கரையும் பயன்படுத்தலாம்). 15-20 நிமிடங்கள் வேகவைக்கவும். கத்தியால் விளிம்புகள் வழியாக வேகவைத்த முட்டைகளை விரும்பிய வடிவத்தில் வெட்டி தனியாக வைக்கவும். ஒரு கலவை பாத்திரத்தில் மைதா, சோள மாவு, மிளகாய் தூள் சேர்த்து, தண்ணீர் சேர்த்து, அரை தடிமனான மாவு வரும் வரை நன்கு கலக்கவும். சமைத்த முட்டைகளை பூசி சூடான எண்ணெயில் வறுக்கவும். அவை மொறுமொறுப்பாக மாறியதும், எண்ணெயிலிருந்து எடுத்து தனியாக வைக்கவும். இப்போது ஒரு கடாயில் எண்ணெயை சூடாக்கி, இறுதியாக நறுக்கிய இஞ்சி, நறுக்கிய பூண்டு சேர்த்து, பச்சை வாசனை போகும் வரை ஒரு நிமிடம் வதக்கவும். பின்னர் நறுக்கிய வெங்காயத்தைச் சேர்த்து, அது ஒளிஊடுருவக்கூடியதாக மாறும் வரை ஒரு நிமிடம் வதக்கவும். பின்னர் பெல் பெப்பர்ஸ் / கேப்சிகம் சேர்த்து இரண்டு நிமிடங்கள் சமைக்கவும். இப்போது சாஸ்கள் - மிளகாய் சாஸ், தக்காளி கெட்ச்அப், சோயா சாஸ் சேர்த்து நன்றாக கலக்கவும். நீங்கள் செய்முறையை உலர விரும்பினால், வறுத்த முட்டைகளைச் சேர்த்து, சாஸ்களுடன் கலந்து, இரண்டு நிமிடங்களுக்குப் பிறகு வெப்பத்தை அணைக்கலாம், ஆனால் உங்களுக்கு சிறிது கிரேவி வேண்டுமென்றால், சோள மாவை தண்ணீரில் கரைத்து, வாணலியில் சேர்க்கவும். கொஞ்சம் கெட்டியானதும் வறுத்த முட்டைகளைச் சேர்த்து மேலும் 2 நிமிடங்கள் சமைக்கவும். இறுதியாக தேவையான உப்பு, சிறிது மிளகு சேர்த்து நறுக்கிய வெங்காயத்தால் அலங்கரிக்கவும். அவ்வளவுதான், எங்கள் முட்டை மஞ்சூரியன் நான், ஃபிரைடு ரைஸ் மற்றும் ரொட்டியுடன் பரிமாற தயாராக உள்ளது.</t>
  </si>
  <si>
    <t>https://blogger.googleusercontent.com/img/b/R29vZ2xl/AVvXsEhYw0xH1JB1jhjK3wc_aYYRTLOWYOC8s7cpvucgY62XuKWNtSHnqCDqDQROs3wkwvCV76nM9X3A1WeeW7gsMlRNwfpVsDQNdaXaoIgpJJq55L9xVp5KF7dnaWENF4uLrlBTGY6d-U9eCx8/s640/egg+manchurian+recipe.JPG</t>
  </si>
  <si>
    <t>Strawberry Milkshake</t>
  </si>
  <si>
    <t>ஸ்ட்ராபெரி மில்க் ஷேக்</t>
  </si>
  <si>
    <t>1 cup - Strawberry, 1/4 cup - Sugar, 1/2 cup - Milk, 2 - Scoop Ice cream, Topping Strawberry pieces,  Whipped Cream.</t>
  </si>
  <si>
    <t>1 கப் - ஸ்ட்ராபெரி, 1/4 கப் - சர்க்கரை, 1/2 கப் - பால், 2 - ஸ்கூப் ஐஸ்க்ரீம், ஸ்ட்ராபெரி துண்டுகளை மேல்புறமாக அரைக்கவும், விப்ட் க்ரீம்.</t>
  </si>
  <si>
    <t>Into a blender add strawberry , sugar and grind it until smooth. Then add milk, ice cream and grind for a minute until light.(we can add blueberries, blackberries or raspberry in place of strawberry) Transfer the milk shake to a glass and decorate with some strawberry pieces and some whipped  cream.</t>
  </si>
  <si>
    <t>ஸ்ட்ராபெரி, சர்க்கரை சேர்த்து மிக்ஸியில் அரைக்கவும். பின்னர் பால், ஐஸ்கிரீம் சேர்த்து லேசாக அரைக்கவும். (ஸ்ட்ராபெரிக்கு பதிலாக ப்ளூபெர்ரி, ப்ளாக்பெர்ரி அல்லது ராஸ்பெர்ரி சேர்க்கலாம்) மில்க் ஷேக்கை ஒரு கிளாஸுக்கு மாற்றி, சில ஸ்ட்ராபெரி துண்டுகள் மற்றும் சில விப்ட் க்ரீம் கொண்டு அலங்கரிக்கவும்.</t>
  </si>
  <si>
    <t>https://blogger.googleusercontent.com/img/b/R29vZ2xl/AVvXsEillEUYBX51VWNUaOcwN2B5KG8nX4wyhYpK-wytLYLnRApxQwkHzQI8ZgHWLqdSWfxVyBbPUhFeBkgjANT5JGssxzjYmfpXTgkG7QUqf307MUdaERyIjWNv6e7A4gOuAi9cwExNa0u4gPA/s640/1.JPG</t>
  </si>
  <si>
    <t>Paal Kozhukattai</t>
  </si>
  <si>
    <t>பால் கொழுக்கட்டை</t>
  </si>
  <si>
    <t>1 cup - Idiyappam flour, 1/4 cup - grated Coconut, 1 tbsp - Sugar, pinch of Salt, hot Water, 2 cup - light coconut milk, 1 cup - Thick coconut milk, 1/2 cup - Milk, 3/4 cup - Sugar, 1/2 tsp - Cardamom powder.</t>
  </si>
  <si>
    <t>1 கப் - இடியாப்பம் மாவு, 1/4 கப் - துருவிய தேங்காய், 1 டேபிள் ஸ்பூன் - சர்க்கரை, சிறிது உப்பு, சூடான தண்ணீர், 2 கப் - லேசான தேங்காய் பால், 1 கப் - கெட்டியான தேங்காய் பால், 1/2 கப் - பால், 3/4 கப் - சர்க்கரை, 1/2 டீஸ்பூன் - ஏலக்காய் தூள்.</t>
  </si>
  <si>
    <t>In a mixing bowl add Idiyappam flour ,freshly grated coconut, sugar and salt. Mix it nicely with the flour. (take out a tbsp of this flour mixture out before adding the water, we will add this flour later to the coconut milk to thicken its consistency ) Add boiling water and mix it with a spoon to form a soft dough.  Once the mixture cools down slightly, make small balls out of it. (do not roll it into very big balls).   In a pan add thin coconut milk, cow's milk and also add the flour mixture (from step 1) and bring it to a boil . Adding more coocnut milk enchances the richness and flavor of the recipe.  Once it comes to a boil add the kozhukatti balls and cook for 15 - 20 minutes on medium heat.  After 15 minutes add sugar and mix well. Once the sugar dissolves completely add the thick coconut milk and cook for another 2-3 minutes on a low heat. Finally add cardamom powder and turn off the heat.  That's it our sweet and delicious paal Kolukattai is ready to be served. I normally make this for breakfast when I have fresh coconut at home. We can also serve this as an evening snack.  Children will definitely enjoy this Paal kollukattai recipe with smile in their face. Do try this recipe and share it with your friends and family.</t>
  </si>
  <si>
    <t>ஒரு கலவை பாத்திரத்தில் இடியாப்பம் மாவு, புதிதாக துருவிய தேங்காய், சர்க்கரை மற்றும் உப்பு சேர்க்கவும். மாவுடன் நன்றாக கலக்கவும். (தண்ணீர் சேர்ப்பதற்கு முன் ஒரு டீஸ்பூன் இந்த மாவு கலவையை வெளியே எடுக்கவும், பின்னர் இந்த மாவை தேங்காய் பாலில் சேர்த்து அதன் நிலைத்தன்மையை கெட்டியாக்குவோம்) கொதிக்கும் தண்ணீரைச் சேர்த்து மென்மையான மாவை உருவாக்க ஒரு கரண்டியால் கலக்கவும். கலவை சிறிது குளிர்ந்ததும், அதிலிருந்து சிறிய உருண்டைகளை உருவாக்கவும். (அதை மிகப் பெரிய உருண்டைகளாக உருட்ட வேண்டாம்). ஒரு பாத்திரத்தில் மெல்லிய தேங்காய் பால், பசுவின் பால் சேர்த்து, மாவு கலவையையும் (படி 1 இல் இருந்து) சேர்த்து கொதிக்க வைக்கவும். தேங்காய் பால் கூடுதலாக சேர்ப்பது செய்முறையின் சுவையையும் செழுமையையும் அதிகரிக்கும். கொதி வந்தவுடன் கொழுக்கட்டி உருண்டைகளைச் சேர்த்து மிதமான தீயில் 15 - 20 நிமிடங்கள் சமைக்கவும். 15 நிமிடங்களுக்குப் பிறகு சர்க்கரையைச் சேர்த்து நன்கு கலக்கவும். சர்க்கரை முழுவதுமாக கரைந்ததும் கெட்டியான தேங்காய்ப் பாலை சேர்த்து குறைந்த தீயில் 2-3 நிமிடங்கள் சமைக்கவும். கடைசியாக ஏலக்காய் பொடியைச் சேர்த்து அடுப்பை அணைக்கவும். அவ்வளவுதான் எங்கள் இனிப்பு மற்றும் சுவையான பால் கொழுக்கட்டை பரிமாற தயாராக உள்ளது. நான் வழக்கமாக வீட்டில் புதிய தேங்காய் வைத்திருக்கும் போது காலை உணவாக இதைச் செய்வேன். இதை மாலை நேர சிற்றுண்டியாகவும் பரிமாறலாம். குழந்தைகள் முகத்தில் புன்னகையுடன் இந்த பால் கொல்லுக்கட்டை செய்முறையை நிச்சயமாக ரசிப்பார்கள். இந்த செய்முறையை முயற்சி செய்து உங்கள் நண்பர்கள் மற்றும் குடும்பத்தினருடன் பகிர்ந்து கொள்ளுங்கள்.</t>
  </si>
  <si>
    <t>https://blogger.googleusercontent.com/img/b/R29vZ2xl/AVvXsEhTxf1PbLCL56BHMm220dY2vWe7rzrJUBGJMyoBJyLCbu6JY0BagW64wdumBu8Qj_vGOEm8E7SYmg6_i2kjzqRNhpVYy_g5mOtvLRDfJ6vcVxehw3yXF5NppD7d_mHJo48FPkbPcghsz_s/s640/Trial-2.jpg</t>
  </si>
  <si>
    <t>கோழி கறி</t>
  </si>
  <si>
    <t>1 tbsp - Coriander seeds, 1 tsp - Fennel Seeds, 1 tsp - Cumin seeds, 1 tsp - pepper corns, 1 - Cradamom,  4 - cloves,  3 - cardan, 2 tbsp - of oil, 2 - Onions, ½ tsp - turmeric powder, 2-3 tsp - chilli powder, 1 tbsp - Ginger garlic paste, 2 - Tomatoes, Required Water, Salt to taste, Coriander leaves for Garnishing.</t>
  </si>
  <si>
    <t>1 டீஸ்பூன் - கொத்தமல்லி விதைகள், 1 டீஸ்பூன் - வெந்தயம் விதைகள், 1 டீஸ்பூன் - சீரகம் விதைகள், 1 டீஸ்பூன் - மிளகு சோளம், 1 - க்ராடாமம், 4 - கிராம்பு, 3 - கார்டன், 2 டீஸ்பூன் - எண்ணெய், 2 - வெங்காயம், ½ டீஸ்பூன் - மஞ்சள் தூள், 2-3 டீஸ்பூன் - மிளகாய் தூள், 1 டீஸ்பூன் - இஞ்சி பூண்டு விழுது, 2 - தக்காளி, தேவையான தண்ணீர், சுவைக்கு உப்பு, அலங்கரிக்க கொத்தமல்லி இலைகள்.</t>
  </si>
  <si>
    <t>Dry roast the whole spices - Coriander seeds, Fennel, cumin, pepper, cinnamon, cloves and cardamom on a medium heat until you feel the nice aroma. Be careful while roasting , do not burn the spices. Once roasted transfer the spices to a blender and grind it to a fine powder.   heat oil in a pan and saute the finely chopped onions, once the onions turns golden add the rest of the masalas - ginger garlic paste, Turmeric powder, red chili powder (we can also use kashmiri chili powder to get nice color) .Mix well and then add the finely chopped tomatoes, some water and cook for 6-7 minutes.   Once the onions and the tomatoes turns soft add the cleaned chicken pieces and mix well with the onion masala mixture. Always prefer chicken with bones for making chicken curry . Also add required water, required salt , cover and cook for 20 - 25 minutes based on the size of your chicken pieces.  If you like to use coconut - grind 1/2 cup of coconut and add it to the recipe towards the end.  Once the chicken is fully done garnish with coriander leaves and turn off the heat.That's it our quick and easy chicken curry is ready to be enjoyed. I had this delicious chicken curry with some soft Chapathi. Do try this recipe at home and share it with your Friends and Family. Happy Cooking !!!</t>
  </si>
  <si>
    <t>முழு மசாலாப் பொருட்களையும் - கொத்தமல்லி விதைகள், வெந்தயம், சீரகம், மிளகு, இலவங்கப்பட்டை, கிராம்பு மற்றும் ஏலக்காய் ஆகியவற்றை மிதமான தீயில் நல்ல மணம் வரும் வரை வறுக்கவும். வறுக்கும்போது கவனமாக இருங்கள், மசாலாப் பொருட்களை எரிக்க வேண்டாம். வறுத்த பிறகு மசாலாப் பொருட்களை ஒரு பிளெண்டரில் மாற்றி நன்றாகப் பொடியாக அரைக்கவும். ஒரு பாத்திரத்தில் எண்ணெயை சூடாக்கி, இறுதியாக நறுக்கிய வெங்காயத்தை வதக்கவும், வெங்காயம் பொன்னிறமாக மாறியதும் மீதமுள்ள மசாலாக்களைச் சேர்க்கவும் - இஞ்சி பூண்டு விழுது, மஞ்சள் தூள், சிவப்பு மிளகாய் தூள் (நல்ல நிறம் பெற காஷ்மீர் மிளகாய் தூளையும் பயன்படுத்தலாம்). நன்றாகக் கலந்து, இறுதியாக நறுக்கிய தக்காளி, சிறிது தண்ணீர் சேர்த்து 6-7 நிமிடங்கள் சமைக்கவும். வெங்காயம் மற்றும் தக்காளி மென்மையாக மாறியதும், சுத்தம் செய்த சிக்கன் துண்டுகளைச் சேர்த்து வெங்காய மசாலா கலவையுடன் நன்கு கலக்கவும். சிக்கன் கறி செய்வதற்கு எப்போதும் எலும்புகளுடன் சிக்கனை விரும்புங்கள். தேவையான தண்ணீர், தேவையான உப்பு சேர்த்து, மூடி வைத்து, உங்கள் சிக்கன் துண்டுகளின் அளவைப் பொறுத்து 20 - 25 நிமிடங்கள் சமைக்கவும். நீங்கள் தேங்காய் பயன்படுத்த விரும்பினால் - 1/2 கப் தேங்காயை அரைத்து, செய்முறையின் முடிவில் சேர்க்கவும். சிக்கன் முழுவதுமாக தயாரானதும், கொத்தமல்லி இலைகளால் அலங்கரித்து, தீயை அணைக்கவும். அவ்வளவுதான், எங்கள் விரைவான மற்றும் எளிதான சிக்கன் கறி சுவைக்கத் தயாராக உள்ளது. நான் இந்த சுவையான சிக்கன் கறியை சில மென்மையான சப்பாத்தியுடன் சாப்பிட்டேன். இந்த செய்முறையை வீட்டிலேயே முயற்சி செய்து உங்கள் நண்பர்கள் மற்றும் குடும்பத்தினருடன் பகிர்ந்து கொள்ளுங்கள். மகிழ்ச்சியான சமையல் !!!</t>
  </si>
  <si>
    <t>https://blogger.googleusercontent.com/img/b/R29vZ2xl/AVvXsEiPk6hvMw8F6dkwh4UQ51EJv4FaycTMYHCVTe4ZGp6ocql5V2L0ZMMjwbwCuNm9R99RgpKJ94aRIvVjuYXTQ3Uyz4QfD2ryR7WOV4Rx-NCsMLb7m1lsSRrycDgSdHDVtY6wBG8_V91QeFY/s640/Chicken+Curry.JPG</t>
  </si>
  <si>
    <t>https://youtu.be/h6Jkptm7dqE</t>
  </si>
  <si>
    <t>Ven Pongal</t>
  </si>
  <si>
    <t>வெண் பொங்கல்</t>
  </si>
  <si>
    <t>1 cup - Raw Rice, 1/2 cup - Moong Dal, 2 tbsp - Ghee,  3 -  Green Chilies, 1/4 tsp - Asafoetida, 1 piece - Ginger, 5 cups - of Water, Salt to taste, 2 tbsp - Ghee, 1 tsp - pepper corns, 2 tsp - Cumin seeds, 10-12 - cashews, Curry leaves.</t>
  </si>
  <si>
    <t>1 கப் - பச்சரிசி, 1/2 கப் - பாசிப்பருப்பு, 2 டேபிள்ஸ்பூன் - நெய், 3 - பச்சை மிளகாய், 1/4 டேபிள்ஸ்பூன் - பெருங்காயம், 1 துண்டு - இஞ்சி, 5 கப் - தண்ணீர், ருசிக்க உப்பு, 2 டேபிள்ஸ்பூன் - நெய், 1 டேபிள்ஸ்பூன் - மிளகு, 2 டேபிள்ஸ்பூன் - சீரகம், 10-12 - முந்திரி, கறிவேப்பிலை.</t>
  </si>
  <si>
    <t>Dry roast rice and dal over medium heat for a couple of minutes. Dal should not change its color. Once you feel the nice aroma of the dal turn off the heat and rinse it in water for a couple of times.  Melt Ghee in a cooker and add asafoetida, ginger (finely chopped) and green chilies. Give it a stir and add the rice and dal. Mix it well with the ghee and then add water . For (1.5 cups rice + dal ) we will need 5 cups of water. Also add required salt, Cover and let it cook for 4 whistles on a medium heat. We need to cook the rice until turns soft and mushy, that is the reason we are adding more water.  Melt ghee in a pan and roast cashews, once the cashews turns golden add pepper corns (if you dont like to add whole pepper, crush it and add to the recipe) Also add in cumin seeds, curry leaves. Mix it once and turn off the heat. Add the tempering to the pongal and mix well. If you wish you can add more ghee at the end to get nice aroma and taste.  That's it our Ven pogal is ready to be served</t>
  </si>
  <si>
    <t>அரிசி மற்றும் பருப்பை மிதமான தீயில் இரண்டு நிமிடங்கள் வறுக்கவும். பருப்பின் நிறம் மாறக்கூடாது. பருப்பின் நல்ல மணம் வந்ததும், அடுப்பை அணைத்து, இரண்டு முறை தண்ணீரில் கழுவவும். குக்கரில் நெய்யை உருக்கி, பெருங்காயம், இஞ்சி (நன்றாக நறுக்கியது) மற்றும் பச்சை மிளகாய் சேர்க்கவும். அதைக் கிளறி, அரிசி மற்றும் பருப்பைச் சேர்க்கவும். நெய்யுடன் நன்றாகக் கலந்து, பின்னர் தண்ணீர் சேர்க்கவும். (1.5 கப் அரிசி + பருப்பு) க்கு 5 கப் தண்ணீர் தேவைப்படும். தேவையான அளவு உப்பு சேர்த்து, மூடி வைத்து, மிதமான தீயில் 4 விசில் வரும் வரை வேக விடவும். அரிசி மென்மையாகவும், மிருதுவாகவும் மாறும் வரை சமைக்க வேண்டும், அதனால்தான் நாங்கள் அதிக தண்ணீர் சேர்க்கிறோம். ஒரு கடாயில் நெய்யை உருக்கி, முந்திரி பருப்பை வறுக்கவும், முந்திரி பொன்னிறமாக மாறியதும் மிளகுத்தூள் சேர்க்கவும் (முழு மிளகையும் சேர்க்க விரும்பவில்லை என்றால், அதை நசுக்கி செய்முறையில் சேர்க்கவும்). சீரகம், கறிவேப்பிலை சேர்க்கவும். ஒரு முறை கலந்து அடுப்பை அணைக்கவும். பொங்கலில் தாளிக்க வைத்ததைச் சேர்த்து நன்கு கலக்கவும். நீங்கள் விரும்பினால், நல்ல மணமும் சுவையும் பெற கடைசியில் அதிக நெய் சேர்க்கலாம். அவ்வளவுதான், எங்கள் வெண் போகல் பரிமாற தயாராக உள்ளது.</t>
  </si>
  <si>
    <t>https://blogger.googleusercontent.com/img/b/R29vZ2xl/AVvXsEiAnpmoaxGU68bGYHUG5eg8_sWLLZtxpKDtsVza8eMEexH3HSyw3Z_zXaHoeBK3IGattycQ1wtROuOtQ4zz9fKN1PyhdysRhx7kvo6NSl4yOT_UsY4Uxkpwo-DW-rh3q9RsIdW7dQ_TiI0/s640/pongal+recipe.JPG</t>
  </si>
  <si>
    <t>Vegetable Manchurian</t>
  </si>
  <si>
    <t>காய்கறி மஞ்சூரியன்</t>
  </si>
  <si>
    <t>1 cup - finely chopped Cabbage, 1 cup - grated Carrot, 1/2 cup - Bell pepper / Capsicum , 1/2 tsp  - Chili sauce 1/2 tsp - Soy sauce, 2 tbsp - Maida, 2 tbsp - Corn flour or corn starch , Salt and Pepper, Oil for frying, 2 tbsp  - Oil, 1 tbsp  - Finely chopped Ginger, 1 tbsp - Finely chopped Garlic, 1  - Onion, 1 - Bell pepper , some large chunks, 1 tbsp - Chili sauce, 1 tbsp - Tomato Ketchup, 1 tbsp - Soy Sauce, 1 tbsp - Corn starch, 1 cup -  water for gravy, Salt &amp; Pepper, Spring Onions for garnishing .</t>
  </si>
  <si>
    <t>1 கப் - இறுதியாக நறுக்கிய முட்டைக்கோஸ், 1 கப் - துருவிய கேரட், 1/2 கப் - பெல் பெப்பர் / கேப்சிகம், 1/2 தேக்கரண்டி - மிளகாய் சாஸ் 1/2 தேக்கரண்டி - சோயா சாஸ், 2 தேக்கரண்டி - மைதா, 2 தேக்கரண்டி - சோள மாவு அல்லது சோள மாவு, உப்பு மற்றும் மிளகு, வறுக்க எண்ணெய், 2 தேக்கரண்டி - எண்ணெய், 1 தேக்கரண்டி - நன்றாக நறுக்கிய இஞ்சி, 1 தேக்கரண்டி - நன்றாக நறுக்கிய பூண்டு, 1 - வெங்காயம், 1 - பெல் பெப்பர், சில பெரிய துண்டுகள், 1 தேக்கரண்டி - மிளகாய் சாஸ், 1 தேக்கரண்டி - தக்காளி கெட்ச்அப், 1 தேக்கரண்டி - சோயா சாஸ், 1 தேக்கரண்டி - சோள மாவு, 1 கப் - குழம்புக்கு தண்ணீர், உப்பு &amp; மிளகு, அலங்கரிக்க வெங்காயம்.</t>
  </si>
  <si>
    <t>In a mixing bowl add Cabbage, carrot, bell pepper, chili sauce, soy sauce, salt and pepper. Mix once and then add maida, corn starch and mix well to combine everything together. We don't need to add any water at this point because the vegetables will release lot of its own moisture. You you still find that your mixture is dry then sprinkle a few drops of water and then mix. (do not add too much of water) .I didn't add any water.    Take a portion of the veg mix and make it into medium sized balls.   Fry the balls over medium heat. Once they develop nice golden brown color on all the sides take it off from the heat and keep it aside. (try with one ball first, it it separates add some maida to it and then mix)  Heat oil and add minced ginger, Garlic and saute it for a minute. Then add chopped onions, bell pepper and cook for 2 minutes. Then add the sauces - chili sauce, Soy sauce and tomato Ketchup. Also add required salt and some pepper.   Add the fried veg balls and mix it well with the gravy. Finally garnish with spring onions and turn off the heat.  That's it our delicious Indo- Chinese Veg Manchurian is ready to be enjoyed with hot naan or with Fried rice, Do try this recipe at home and share with your friends and Family.</t>
  </si>
  <si>
    <t>ஒரு கலவை பாத்திரத்தில் முட்டைக்கோஸ், கேரட், பெல் பெப்பர், மிளகாய் சாஸ், சோயா சாஸ், உப்பு மற்றும் மிளகு சேர்க்கவும். ஒரு முறை கலந்து, பின்னர் மைதா, சோள மாவு சேர்த்து நன்கு கலக்கவும், எல்லாவற்றையும் ஒன்றாக இணைக்கவும். இந்த கட்டத்தில் நாம் தண்ணீர் சேர்க்க தேவையில்லை, ஏனென்றால் காய்கறிகள் அதன் சொந்த ஈரப்பதத்தை அதிக அளவில் வெளியிடும். உங்கள் கலவை இன்னும் உலர்ந்திருப்பதை நீங்கள் காணலாம், பின்னர் சில துளிகள் தண்ணீரைத் தெளித்து பின்னர் கலக்கவும். (அதிகமாக தண்ணீர் சேர்க்க வேண்டாம்). நான் தண்ணீர் சேர்க்கவில்லை. காய்கறி கலவையின் ஒரு பகுதியை எடுத்து நடுத்தர அளவிலான பந்துகளாக ஆக்குங்கள். பந்துகளை நடுத்தர வெப்பத்தில் வறுக்கவும். அவை எல்லா பக்கங்களிலும் நல்ல தங்க பழுப்பு நிறத்தை உருவாக்கியதும், அதை அடுப்பிலிருந்து எடுத்து ஒதுக்கி வைக்கவும். (முதலில் ஒரு பந்தில் முயற்சிக்கவும், அது பிரிந்து சிறிது மைதாவைச் சேர்த்து கலக்கவும்) எண்ணெயை சூடாக்கி, நறுக்கிய இஞ்சி, பூண்டு சேர்த்து ஒரு நிமிடம் வதக்கவும். பின்னர் நறுக்கிய வெங்காயம், பெல் பெப்பர் சேர்த்து 2 நிமிடங்கள் சமைக்கவும். பின்னர் சாஸ்கள் - மிளகாய் சாஸ், சோயா சாஸ் மற்றும் தக்காளி கெட்ச்அப் சேர்க்கவும். தேவையான உப்பு மற்றும் சிறிது மிளகு சேர்க்கவும். வறுத்த காய்கறி பந்துகளைச் சேர்த்து கிரேவியுடன் நன்றாக கலக்கவும். இறுதியாக ஸ்பிரிங் ஆனியன் கொண்டு அலங்கரித்து, தீயை அணைக்கவும். அவ்வளவுதான் எங்கள் சுவையான இந்தோ-சீன வெஜ் மஞ்சூரியன் சூடான நானுடன் அல்லது ஃபிரைடு ரைஸுடன் சாப்பிட தயாராக உள்ளது. இந்த ரெசிபியை வீட்டிலேயே முயற்சி செய்து உங்கள் நண்பர்கள் மற்றும் குடும்பத்தினருடன் பகிர்ந்து கொள்ளுங்கள்.</t>
  </si>
  <si>
    <t>https://blogger.googleusercontent.com/img/b/R29vZ2xl/AVvXsEh2Ph6icmajbE6glMiU48WB7rO8773xCmyXy5zHUwLPgIIrMY5Yd62x5rimkh8kovaV8sKWkitgpkuuCZeqMYO6DjccxKDP6gPrkpODC7YHkt80zbXO1sxMDAZfyHzWIsbMLntmYUKGZI8/s640/vegetable+Manchurian+Recipe.JPG</t>
  </si>
  <si>
    <t>https://youtu.be/lR_ceiFGa2g</t>
  </si>
  <si>
    <t>Channa Masala</t>
  </si>
  <si>
    <t>1 cup -  Chickpeas , 1 tsp - Oil, 2 - Onions, 1 inch - Ginger, 4  - cloves Garlic, 1/2 tsp - Turmeric powder, 1 tsp - Cumin Powder, 1 tsp - Garam Masala powder, 2 tsp - Coriander powder, 2 tsp - Red Chili powder, 1 tsp  - Amchoor powder / Dry Mango powder, 2  - Tomatoes c, 2 tbsp  - Oil, 1 - Cinnamon stick,  1 -  Bay leaf,  3  - cloves ,  3 - cardamom, 1/2 tsp Cumin seeds,  3 - Green Chilies, Salt to taste, Coriander leaves for garnishing .</t>
  </si>
  <si>
    <t>1 கப் - கொண்டைக்கடலை, 1 தேக்கரண்டி - எண்ணெய், 2 - வெங்காயம், 1 அங்குலம் - இஞ்சி, 4 - பூண்டு பல், 1/2 தேக்கரண்டி - மஞ்சள் தூள், 1 தேக்கரண்டி - சீரகப் பொடி, 1 தேக்கரண்டி - கரம் மசாலா பொடி, 2 தேக்கரண்டி - கொத்தமல்லி பொடி, 2 தேக்கரண்டி - சிவப்பு மிளகாய் பொடி, 1 தேக்கரண்டி - ஆம்சூர் பொடி / உலர் மாங்காய் பொடி, 2 - தக்காளி சி, 2 தேக்கரண்டி - எண்ணெய், 1 - இலவங்கப்பட்டை, 1 - பிரியாணி இலை, 3 - கிராம்பு, 3 - ஏலக்காய், 1/2 தேக்கரண்டி சீரக விதைகள், 3 - பச்சை மிளகாய், சுவைக்கு உப்பு, கொத்தமல்லி இலைகள் அலங்கரிக்க.</t>
  </si>
  <si>
    <t>Soak chickpeas for 8 hours and pressure cook it for 4-5 whistles on a medium heat with some water and some salt.   Heat oil in a pan and add onions and saute if for some time, Once the Onions turns translucent add Ginger , Garlic and the masalas -  Turmeric powder, Cumin powder, Garam masala, Coriander powder, chili powder and dry mango powder. Also add some water to prevent the masalas from burning.Finally add tomatoes , cover and cook for 6-7 minutes or until the raw smell of the masala is gone.   Once the raw smell is gone turn off the heat and allow it cool. Once cooled grind it to a fine paste.   Heat oil in a pan and add the whole spices - Cinnamon stick, Bay leaf, cloves ,cardamom, Cumin seeds and green chilies. Mix it once and then add the freshly ground masala paste, required salt and once it comes to a boil add the cooked chickpeas along with its water (if there is too much water then reduce the amount of water)  Mix well and cook for 5 minutes. Mash some of the chickpeas with a masher or with a backside of a tumbler to thicken the gravy. And cook it for a couple of more minutes.  Finally Garnish it with chopped coriander leaves and turn off the heat.  That's it our delicious Channa Masala Gravy is ready to be served with Chapathi, roti and lot more. Please do try the recipe and share your feedback. Happy Cooking and Spread the Joy of Cooking !!!</t>
  </si>
  <si>
    <t>கொண்டைக்கடலையை 8 மணி நேரம் ஊறவைத்து, மிதமான தீயில் 4-5 விசில்கள் வரும் வரை சிறிது தண்ணீர் மற்றும் உப்பு சேர்த்து வேக வைக்கவும். ஒரு பாத்திரத்தில் எண்ணெயை சூடாக்கி வெங்காயத்தைச் சேர்த்து சிறிது நேரம் வதக்கவும். வெங்காயம் தெளிவாகத் தெரிந்ததும் இஞ்சி, பூண்டு மற்றும் மசாலாக்கள் - மஞ்சள் தூள், சீரகப் பொடி, கரம் மசாலா, கொத்தமல்லித் பொடி, மிளகாய்த் பொடி மற்றும் உலர்ந்த மாங்காய்ப் பொடி ஆகியவற்றைச் சேர்க்கவும். மசாலாக்கள் எரியாமல் இருக்க சிறிது தண்ணீர் சேர்க்கவும். இறுதியாக தக்காளியைச் சேர்த்து, மூடி வைத்து 6-7 நிமிடங்கள் அல்லது மசாலாவின் பச்சை வாசனை போகும் வரை சமைக்கவும். பச்சை வாசனை போனதும், அடுப்பை அணைத்து ஆற விடவும். ஆறியதும் நன்றாக அரைக்கவும். ஒரு பாத்திரத்தில் எண்ணெயை சூடாக்கி, இலவங்கப்பட்டை, பிரியாணி இலை, கிராம்பு, ஏலக்காய், சீரகம் மற்றும் பச்சை மிளகாய் ஆகிய முழு மசாலாப் பொருட்களையும் சேர்க்கவும். ஒரு முறை கலந்து, புதிதாக அரைத்த மசாலா விழுது, தேவையான உப்பு சேர்த்து, கொதி வந்ததும், வேகவைத்த கொண்டைக்கடலையை அதன் தண்ணீருடன் சேர்க்கவும் (அதிகமாக தண்ணீர் இருந்தால் தண்ணீரின் அளவைக் குறைக்கவும்) நன்றாகக் கலந்து 5 நிமிடங்கள் சமைக்கவும். கிரேவி கெட்டியாகும் வரை சிறிது கொண்டைக்கடலையை ஒரு மசியுடன் அல்லது ஒரு டம்ளரின் பின்புறத்துடன் மசிக்கவும். மேலும் சில நிமிடங்கள் சமைக்கவும். இறுதியாக நறுக்கிய கொத்தமல்லி இலைகளால் அலங்கரித்து அடுப்பை அணைக்கவும். அவ்வளவுதான், எங்கள் சுவையான சன்னா மசாலா கிரேவி சப்பாத்தி, ரொட்டி மற்றும் பலவற்றுடன் பரிமாற தயாராக உள்ளது. தயவுசெய்து செய்முறையை முயற்சி செய்து உங்கள் கருத்துகளைப் பகிர்ந்து கொள்ளுங்கள். மகிழ்ச்சியான சமையல் மற்றும் சமையலின் மகிழ்ச்சியைப் பரப்புங்கள் !!!</t>
  </si>
  <si>
    <t>https://blogger.googleusercontent.com/img/b/R29vZ2xl/AVvXsEjkv93rYGyB65lXtJAMJGmuVJXgHmuqg0qjx5yYgJBEdVCXT2dz9WLk3ttk8RMk9PDgYJKTK1PBwkwpEVR5TnneAwPNdcHELXT_JzENO_q2PAp-FGNKOv9ndiOWny41TWHzVxOpVNbY7eI/s200/garnishing.JPG</t>
  </si>
  <si>
    <t>Medu Vada</t>
  </si>
  <si>
    <t>மெது வடை</t>
  </si>
  <si>
    <t>1 cup - Urad Dal, 1 piece  - Ginger, 10-15 - pepper corns, 3 - green chilies, Curry leaves, 1/4 tsp -  Asafoetida, 1 - Onion, Salt to taste.</t>
  </si>
  <si>
    <t>1 கப் - உளுத்தம் பருப்பு, 1 துண்டு - இஞ்சி, 10-15 - மிளகு சோளம், 3 - பச்சை மிளகாய், கறிவேப்பிலை, 1/4 தேக்கரண்டி - பெருங்காயம், 1 - வெங்காயம், சுவைக்கேற்ப உப்பு.</t>
  </si>
  <si>
    <t>Wash and soak Urad dal in water for 3-4 hours. Drain the water completely and add it to a blender, sprinkle some water and grind it to a very soft and fluffy batter. Do not add too much of water while grinding , add little by little and grind to make a smooth batter  Transfer the batter to a bowl and add finely chopped Ginger, Green chilies, pepper corns, curry leaves, Onions and asafoetida powder. Finally add salt and mix well. Beat it nicely with hands to incorporate air into the batter to make it light so that the vadas turns out fuffy and light.  Wet your hand with water and take some batter , make a small ball and make a small hole at the center with your hands. Drop it the oil over medium heat. Turn the vadas halfway through and fry until both the sides are golden brown and crispy.  That's it our Delicious Medu vadai is ready to be enjoyed with Chutney and a cup of hot tea or with breakfast recipes.Happy Cooking !!!</t>
  </si>
  <si>
    <t>உளுத்தம் பருப்பை கழுவி 3-4 மணி நேரம் தண்ணீரில் ஊற வைக்கவும். தண்ணீரை முழுவதுமாக வடிகட்டி, மிக்ஸியில் சேர்த்து, சிறிது தண்ணீர் தெளித்து, மிகவும் மென்மையாகவும், பஞ்சுபோன்றதாகவும் அரைக்கவும். அரைக்கும் போது அதிகமாக தண்ணீர் சேர்க்க வேண்டாம், சிறிது சிறிதாக சேர்த்து, மென்மையான மாவை அரைக்கவும். மாவை ஒரு கிண்ணத்தில் மாற்றி, இறுதியாக நறுக்கிய இஞ்சி, பச்சை மிளகாய், மிளகு, கறிவேப்பிலை, வெங்காயம் மற்றும் பெருங்காயம் தூள் சேர்க்கவும். இறுதியாக உப்பு சேர்த்து நன்கு கலக்கவும். மாவில் காற்றை செலுத்த கைகளால் நன்றாக அடிக்கவும், இதனால் வடைகள் பளபளப்பாகவும் லேசாகவும் மாறும். உங்கள் கையை தண்ணீரில் நனைத்து, சிறிது மாவை எடுத்து, ஒரு சிறிய உருண்டை செய்து, உங்கள் கைகளால் மையத்தில் ஒரு சிறிய துளை செய்யுங்கள். மிதமான தீயில் எண்ணெயை ஊற்றி, வடைகளை பாதியிலேயே திருப்பி, இருபுறமும் பொன்னிறமாகவும் மொறுமொறுப்பாகவும் மாறும் வரை வறுக்கவும். அவ்வளவுதான், எங்கள் சுவையான மேடு வடை சட்னி மற்றும் ஒரு கப் சூடான தேநீருடன் அல்லது காலை உணவு ரெசிபிகளுடன் சாப்பிட தயாராக உள்ளது. மகிழ்ச்சியான சமையல் !!!</t>
  </si>
  <si>
    <t>https://blogger.googleusercontent.com/img/b/R29vZ2xl/AVvXsEhKbtxhK20yZexV3rwP2P_YGJmHYVN__R_kZyXZZy6EK23-eDdJnL9L2ashnYHO9Js7OQznSbRUldPcHGiK9L07akhlutY-b5glnkLISbi5zPGdELdCwN8JxYj6JZsRdw_xyyjrmPyMcZY/s1600/medu+vada+Recipe.JPG</t>
  </si>
  <si>
    <t>Vegetable Burger</t>
  </si>
  <si>
    <t>காய்கறி பர்கர்</t>
  </si>
  <si>
    <t>1 tsp - Oil, 1 - Onion, 6-7 - Beans, 1/2 cup  - Cauliflower , 1/2 cup - Green peas, 2 - Green chilies, 1/2 tsp - Cumin powder, 1 tsp - Garam masala powder, 2 - pottaoes (boiled and mashed), 2 tbsp - Maida / All purpose flour, 2 tbsp - Chopped Coriander leaves, 1/2 cup - Bread Crumbs, 2 tbsp - Maida , 2 tbsp - Corn flour , Water , Oil for frying, 4 - Burger buns, Mayonnaise,  lettuce,  onion,  tomatoes,  Cheese,  pickle, Mustard sauce and tomato ketchup .</t>
  </si>
  <si>
    <t>1 தேக்கரண்டி - எண்ணெய், 1 - வெங்காயம், 6-7 - பீன்ஸ், 1/2 கப் - காலிஃபிளவர், 1/2 கப் - பச்சைப் பட்டாணி, 2 - பச்சை மிளகாய், 1/2 தேக்கரண்டி - சீரகப் பொடி, 1 தேக்கரண்டி - கரம் மசாலா பொடி, 2 - பொட்டா (வேகவைத்து மசித்தது), 2 தேக்கரண்டி - மைதா / அனைத்து வகையான மாவு, 2 தேக்கரண்டி - நறுக்கிய கொத்தமல்லி இலை, 1/2 கப் - ரொட்டித் துண்டுகள், 2 தேக்கரண்டி - மைதா, 2 தேக்கரண்டி - சோள மாவு, தண்ணீர், பொரிக்க எண்ணெய், 4 - பர்கர் பன், மயோனைஸ், கீரை, வெங்காயம், தக்காளி, சீஸ், ஊறுகாய், கடுகு சாஸ் மற்றும் தக்காளி கெட்ச்அப்.</t>
  </si>
  <si>
    <t>Heat oil in a pan and the finely chopped onions , once the onions turns  translucent add the finely chopped vegetables - Carrot, beans, cauliflower and green peas. Add Green chilies, cumin powder, garam masala and saute for 2 minutes, we don't have to cook for a long time, sweating the veggies are fine.   Boil and mash 2 potatoes and add it to a bowl, also add the cooked veggies, chopped coriander leaves , maida , salt and pepper. Mix well , do not add water.  Take a small portion of the mixture and make it into a thick patty. This makes 4 patties (do not make it small, It should be big enough to cover the buns.  Now to coat the patties we will need bread crumbs, and in a separate bowl mix all purpose flour and corn starch with water and form a semi thick batter. Take a patty ,dip it in the maida corn starch mixture and the roll it into the bread crumbs. Shake off any excess crumbs. Similarly do it with the rest of the patties.  After coating the patties in bread crumbs fry them on medium heat until golden brown on both the sides (flip them halfway) .We either deep fry or shallow fry the patties.  Toasting the burger buns are optional, I like to toast my burger buns so for toasting spread a thin layer of butter and toast the buns. Then add your favorite choices, I have added -Mayonnaise, lettuce, onion, tomatoes, patty, cheese, pickle, mustard sauce and tomato ketchup.</t>
  </si>
  <si>
    <t>ஒரு கடாயில் எண்ணெயை சூடாக்கி, இறுதியாக நறுக்கிய வெங்காயத்தை, வெங்காயம் கசியும் போது இறுதியாக நறுக்கிய காய்கறிகளை - கேரட், பீன்ஸ், காலிஃபிளவர் மற்றும் பச்சைப் பட்டாணி சேர்க்கவும். பச்சை மிளகாய், சீரகப் பொடி, கரம் மசாலா சேர்த்து 2 நிமிடம் வதக்கவும், அதிக நேரம் சமைக்க வேண்டியதில்லை, காய்கறிகள் நன்றாக இருக்கும். 2 உருளைக்கிழங்கை வேகவைத்து மசித்து, ஒரு பாத்திரத்தில் சேர்க்கவும், சமைத்த காய்கறிகள், நறுக்கிய கொத்தமல்லி இலைகள், மைதா, உப்பு மற்றும் மிளகு ஆகியவற்றைச் சேர்க்கவும். தண்ணீர் சேர்க்காமல் நன்றாக கலக்கவும். கலவையில் ஒரு சிறிய பகுதியை எடுத்து ஒரு தடிமனான பஜ்ஜியாக மாற்றவும். இது 4 பஜ்ஜிகள் ஆகும் (சிறியதாக மாற்ற வேண்டாம், அது பன்களை மூடும் அளவுக்கு பெரியதாக இருக்க வேண்டும். இப்போது பஜ்ஜிகளை பூச நமக்கு ரொட்டி துண்டுகள் தேவைப்படும், மேலும் ஒரு தனி கிண்ணத்தில் அனைத்து வகையான மாவு மற்றும் சோள மாவு ஆகியவற்றை தண்ணீரில் கலந்து அரை தடிமனான மாவை உருவாக்கவும். ஒரு பஜ்ஜியை எடுத்து, மைதா சோள மாவு கலவையில் நனைத்து, அதை ரொட்டி துண்டுகளில் உருட்டவும். அதிகப்படியான துண்டுகளை குலுக்கி அகற்றவும். இதேபோல் மீதமுள்ள பஜ்ஜிகளுடன் செய்யவும். பஜ்ஜிகளை பிரட் துண்டுகளில் பூசிய பிறகு, நடுத்தர வெப்பத்தில் இருபுறமும் தங்க பழுப்பு நிறமாகும் வரை வறுக்கவும் (அவற்றை பாதியாக புரட்டவும்). பஜ்ஜிகளை ஆழமாக வறுக்கவும் அல்லது ஆழமாக வறுக்கவும். பர்கர் பஜ்ஜிகளை வறுப்பது விருப்பமானது, நான் என் பர்கர் பஜ்ஜிகளை டோஸ்ட் செய்ய விரும்புகிறேன், எனவே டோஸ்டிங் செய்ய ஒரு மெல்லிய அடுக்கில் வெண்ணெய் தடவி பன்களை டோஸ்ட் செய்யவும். பின்னர் உங்களுக்கு பிடித்த விருப்பங்களைச் சேர்க்கவும், நான் சேர்த்துள்ளேன் - மயோனைசே, லெட்யூஸ், வெங்காயம், தக்காளி, பஜ்ஜி, சீஸ், ஊறுகாய், கடுகு சாஸ் மற்றும் தக்காளி கெட்ச்அப்.</t>
  </si>
  <si>
    <t>https://blogger.googleusercontent.com/img/b/R29vZ2xl/AVvXsEjVBAxDeGENbwXkTg3bmdSsKjycX_Kcc0ZMTUYnxM3LbD6cecaMYjh5FDrO5AWEKq4cpZk-_e7PERAgfHfuvtTWs5sIRa4ZTQcypt_xwenXHdBhTCQh95D22lM1Q3dUeVZ7kauS0NWpTok/s640/Veg+burger+recipe.JPG</t>
  </si>
  <si>
    <t>Carrot Halwa</t>
  </si>
  <si>
    <t>கேரட் ஹல்வா</t>
  </si>
  <si>
    <t>3 cup - Grated carrot (4-5 large carrot), 4 tbsp  - Ghee, 3/4 cup - Sugar (we can add up to 1 cup) , 2.5 cup - Milk, 1 tbsp - Cashews, 1 tbsp - Raisins, 1/2 tsp - Cardamom powder.</t>
  </si>
  <si>
    <t>3 கப் - துருவிய கேரட் (4-5 பெரிய கேரட்), 4 டேபிள் ஸ்பூன் - நெய், 3/4 கப் - சர்க்கரை (1 கப் வரை சேர்க்கலாம்), 2.5 கப் - பால், 1 டேபிள் ஸ்பூன் - முந்திரி, 1 டேபிள் ஸ்பூன் - திராட்சை, 1/2 டேபிள் ஸ்பூன் - ஏலக்காய் தூள்.</t>
  </si>
  <si>
    <t>Melt 2 tbsp of ghee in a pan and roast the cashews, once they turn golden add the raisins and saute it until the raisins are ballooned. Take it out of the pan and keep it aside.  Now in the same pan add the grated carrot and saute it for 2 -3 minutes until the carrot changes its color a little bit to pale orange.  Then add milk (you can add 1:1 milk:water) but I always prefer to use milk to get rich and creamy carrot halwa. We need to add more milk to get rid of the raw smell of the carrot. Stir it in between to prevent from burning also scrape the edges to pull in any milk settlements. Cook on a medium heat  Once it thickens a bit add the sugar and mix well. the mixture loosens as soon as we add sugar. Keep it on a medium heat an cook until everything thickens.  Now add cardamom powder to get nice flavor, roasted nuts from step 1, also add the rest of the ghee (2 tbsp) and mix well. Cook for few more minutes and turn off the heat.  That's is our carrot halwa is ready to be enjoyed. You can add some nuts on the top to make it attractive.Please do try the recipe and enjoy with your friends and family Spread the Joy of Cooking !!!</t>
  </si>
  <si>
    <t>ஒரு கடாயில் 2 டேபிள் ஸ்பூன் நெய்யை உருக்கி, முந்திரி பருப்பு பொன்னிறமாக மாறியதும், திராட்சை சேர்த்து, திராட்சை பலூன் ஆகும் வரை வதக்கவும். அதை வாணலியில் இருந்து எடுத்து தனியாக வைக்கவும். இப்போது அதே கடாயில் துருவிய கேரட்டைச் சேர்த்து, கேரட் சிறிது வெளிர் ஆரஞ்சு நிறமாக மாறும் வரை 2 -3 நிமிடங்கள் வதக்கவும். பிறகு பால் சேர்க்கவும் (நீங்கள் 1:1 பால்: தண்ணீர் சேர்க்கலாம்) ஆனால் நான் எப்போதும் பால் மற்றும் கிரீமி கேரட் ஹல்வாவைப் பெற விரும்புகிறேன். கேரட்டின் பச்சை வாசனையைப் போக்க நாம் அதிக பால் சேர்க்க வேண்டும். எரியாமல் இருக்க அதை இடையில் கிளறி, பால் ஏதேனும் இருந்தால் உள்ளே இழுக்க விளிம்புகளைத் துடைக்கவும். மிதமான தீயில் சமைக்கவும் கொஞ்சம் கெட்டியானதும் சர்க்கரையைச் சேர்த்து நன்றாகக் கலக்கவும். சர்க்கரை சேர்த்தவுடன் கலவை தளர்ந்துவிடும். மிதமான தீயில் வைத்து எல்லாம் கெட்டியாகும் வரை சமைக்கவும். இப்போது நல்ல சுவை பெற ஏலக்காய்த் தூள், படி 1 இல் வறுத்த கொட்டைகள், மீதமுள்ள நெய்யையும் (2 டீஸ்பூன்) சேர்த்து நன்கு கலக்கவும். இன்னும் சில நிமிடங்கள் சமைத்து அடுப்பை அணைக்கவும். அவ்வளவுதான் எங்கள் கேரட் ஹல்வா சுவைக்கத் தயாராக உள்ளது. அதை கவர்ச்சிகரமானதாக மாற்ற மேலே சில கொட்டைகளைச் சேர்க்கலாம். தயவுசெய்து செய்முறையை முயற்சி செய்து உங்கள் நண்பர்கள் மற்றும் குடும்பத்தினருடன் மகிழுங்கள் சமையல் மகிழ்ச்சியைப் பரப்புங்கள் !!!</t>
  </si>
  <si>
    <t>https://blogger.googleusercontent.com/img/b/R29vZ2xl/AVvXsEgV3kq2ga8gPsY4P6SGI27AG8iplhCVvLLKfIhEEdIm9CMARHcOF19GHZTpmJx6lv7xOj1Cyd7n2gH-AkmbhnreBC6pGjKJEezl2QcbBeMq0vW9qcA6G1v4YQS5NiFGB_-0N5DZZ3XDf0E/s640/Carrot+Halwa+Recipe.JPG</t>
  </si>
  <si>
    <t>Egg Noodles</t>
  </si>
  <si>
    <t>முட்டை நூடுல்ஸ்</t>
  </si>
  <si>
    <t>1 pack - Hakka Noodles , 1 tbsp - Oil (for coating noodles after cooking), 3 large  - Eggs, 2 tbsp  - Oil, 1 tbsp - Finely chopped Ginger, 1 tbsp - Finely chopped Garlic, 1/2  - Onion (Thinly sliced), 1 - Carrot(thinly sliced), 1/4  - Cabbage, 1/2 - Capsicum, 1 tbsp - Chilli sauce, 1 tbsp - Tomato sauce, 1 tbsp - Soy sauce, 1 tbsp - Vinegar , 1/2 tsp  - Pepper powder, required Salt, Spring Onions.</t>
  </si>
  <si>
    <t>1 பேக் - ஹக்கா நூடுல்ஸ் , 1 டேபிள் ஸ்பூன் - எண்ணெய் (சமைத்த பிறகு நூடுல்ஸ் பூசுவதற்கு), 3 பெரியது - முட்டைகள், 2 டேபிள் ஸ்பூன் - எண்ணெய், 1 டேபிள் ஸ்பூன் - நன்றாக நறுக்கிய இஞ்சி, 1 டேபிள் ஸ்பூன் - நன்றாக நறுக்கிய பூண்டு, 1/2 - வெங்காயம் (மெல்லியதாக நறுக்கியது), 1 - கேரட் (மெல்லியதாக நறுக்கியது), 1/4 - முட்டைக்கோஸ், 1/2 - கேப்சிகம், 1 டேபிள் ஸ்பூன் - மிளகாய் சாஸ், 1 டேபிள் ஸ்பூன் - தக்காளி சாஸ், 1 டேபிள் ஸ்பூன் - வினிகர், 1/2 டேபிள் ஸ்பூன் - மிளகு தூள், தேவையான உப்பு, ஸ்பிரிங் வெங்காயம்.</t>
  </si>
  <si>
    <t>Cook noodles according to the instructions (do not overcook , it may turn too soft and sticky). Drain the water and drizzle some oil and mix well. Oil prevents the noodles from sticking to one another.   Heat oil and add eggs, season with salt and pepper .Scramble the eggs and keep it aside  Now again in the same pan heat some oil and add finely chopped ginger and finely chopped garlic. Then add sliced onion and saute it for a couple of minutes until the onions turns translucent.  Once the onions are translucent add finely chopped or grated vegetables - Carrots, beans, capsicum and cook until the veggies are 80% done.Do not overcook the vegetables we need to maintain some texture of the veggies. Then add the sauces - Chilli sauce, Tomato ketchup, Soy sauce and vinegar.  Add the cooked noodles and mix it well with the vegetables and the sauces. Finally add the scrambled eggs, salt , pepper and a handful of spring onions and turn off the heat.  That's it our delicious egg noodles is ready to be served hot. You can add a little bit of ajinomoto or MSG to enhance the taste, but without that also our noodles taste wonderful. I never add MSG to my recipes. This recipe tastes heavenly and really simple to make. please do try the recipe at home and share your feedback. happy Cooking !!!</t>
  </si>
  <si>
    <t>நூடுல்ஸை அறிவுறுத்தல்களின்படி சமைக்கவும் (அதிகமாக வேகவிடாதீர்கள், அது மிகவும் மென்மையாகவும் ஒட்டும் தன்மையுடனும் மாறக்கூடும்). தண்ணீரை வடிகட்டி, சிறிது எண்ணெயைத் தூவி நன்கு கலக்கவும். எண்ணெய் நூடுல்ஸ் ஒன்றோடொன்று ஒட்டாமல் தடுக்கிறது. எண்ணெயை சூடாக்கி முட்டைகளைச் சேர்த்து உப்பு மற்றும் மிளகு சேர்த்து வதக்கவும். முட்டைகளை துருவி தனியாக வைக்கவும் இப்போது மீண்டும் அதே கடாயில் சிறிது எண்ணெயைச் சூடாக்கி, இறுதியாக நறுக்கிய இஞ்சி மற்றும் இறுதியாக நறுக்கிய பூண்டு சேர்க்கவும். பின்னர் நறுக்கிய வெங்காயத்தைச் சேர்த்து வெங்காயம் ஒளிஊடுருவக்கூடியதாக மாறும் வரை இரண்டு நிமிடங்கள் வதக்கவும். வெங்காயம் ஒளிஊடுருவக்கூடியதாக மாறியதும், இறுதியாக நறுக்கிய அல்லது துருவிய காய்கறிகள் - கேரட், பீன்ஸ், கேப்சிகம் ஆகியவற்றைச் சேர்த்து, காய்கறிகள் 80% வேகும் வரை சமைக்கவும். காய்கறிகளின் அமைப்பைப் பராமரிக்க நமக்குத் தேவையான காய்கறிகளை அதிகமாக வேகவைக்க வேண்டாம். பின்னர் சாஸ்கள் - மிளகாய் சாஸ், தக்காளி கெட்ச்அப், சோயா சாஸ் மற்றும் வினிகர் ஆகியவற்றைச் சேர்க்கவும். சமைத்த நூடுல்ஸைச் சேர்த்து, காய்கறிகள் மற்றும் சாஸுடன் நன்றாகக் கலக்கவும். இறுதியாக துருவல் முட்டைகள், உப்பு, மிளகு மற்றும் ஒரு கைப்பிடி வெங்காயத்தைச் சேர்த்து, அடுப்பை அணைக்கவும். அவ்வளவுதான், எங்கள் சுவையான முட்டை நூடுல்ஸ் சூடாக பரிமாற தயாராக உள்ளது. சுவையை அதிகரிக்க நீங்கள் சிறிது அஜினோமோட்டோ அல்லது எம்எஸ்ஜி சேர்க்கலாம், ஆனால் அது இல்லாமல் எங்கள் நூடுல்ஸின் சுவையும் அருமையாக இருக்கும். நான் என் சமையல் குறிப்புகளில் எம்எஸ்ஜி சேர்க்க மாட்டேன். இந்த செய்முறை அற்புதமானது மற்றும் செய்ய மிகவும் எளிதானது. தயவுசெய்து வீட்டிலேயே செய்முறையை முயற்சி செய்து உங்கள் கருத்தைப் பகிர்ந்து கொள்ளுங்கள். மகிழ்ச்சியான சமையல்!!!</t>
  </si>
  <si>
    <t>https://blogger.googleusercontent.com/img/b/R29vZ2xl/AVvXsEgTKnOeKJlIADM9fgfd7YtDlVhSBtRi0jjLKRR4iolp05pxdSfNoaKDJ7yXZNg0367cK1Ojmjy7RBABaqmSrZTV8Akx6pSxuwXpojX7kD4T2OG5_DReecaLWLiFWhBmkmUj00P3n5awCug/s640/how+to+make+egg+noodles.JPG</t>
  </si>
  <si>
    <t>https://youtu.be/qhOSPQo9B_o</t>
  </si>
  <si>
    <t>Tamarind rice</t>
  </si>
  <si>
    <t>1 tbsp - Channa dal , 1 tbsp - Urad dal,   1 tsp  - Coriander seeds , 1 tsp - Pepper corns, 1/2 tsp - Fenugreek seeds, 3-4  - Dry red Chilies, 1/2 tsp -   Asafoetida , 5-6 tbsp - Oil , 1/2 tsp  - Mustard seeds, 1 tbsp - Channa Dal, 1 tbsp - Urad dal, 1/2 tsp - Turmeric Powder, 3-4  - Dry red Chilies, 1 - spring Curry leaves, 1/4 cup - Peanuts, 1/4 cup - or 1 big lemon sized Tamarind , 1.5 cup  - water for soaking tamarind, Salt to taste, Cooked rice.</t>
  </si>
  <si>
    <t>1 டீஸ்பூன் - சன்னா பருப்பு , 1 டீஸ்பூன் - உளுத்தம் பருப்பு , 1 டீஸ்பூன் - கொத்தமல்லி விதைகள் , 1 டீஸ்பூன் - மிளகு சோளம் , 1/2 டீஸ்பூன் - வெந்தயம் , 3-4 - உலர்ந்த சிவப்பு மிளகாய் , 1/2 டீஸ்பூன் - பெருங்காயம் , 5-6 டீஸ்பூன் - எண்ணெய் , 1/2 டீஸ்பூன் - கடுகு , 1 டீஸ்பூன் - சன்னா பருப்பு , 1 டீஸ்பூன் - உளுத்தம் பருப்பு , 1/2 டீஸ்பூன் - மஞ்சள் தூள் , 3-4 - உலர்ந்த சிவப்பு மிளகாய் , 1 - வசந்த கறிவேப்பிலை , 1/4 கப் - வேர்க்கடலை , 1/4 கப் - அல்லது 1 பெரிய எலுமிச்சை அளவு புளி , 1.5 கப் - புளி ஊறவைக்க தண்ணீர் , சுவைக்கு உப்பு , சமைத்த அரிசி .</t>
  </si>
  <si>
    <t>Dry roast channa dal and urad dal ona medium heat, when the dal turns its color slightly add the rest of the ingredients - Coriander seeds, pepper corns, fenugreek seeds, dry red chilies and roast until you feel the nice aroma.Turn off the heat and add Asafoetida powder and let it cool. Once the mixture cools down grind it into a fine powder.  Heat Gingelly oil in a pan and add mustard seeds, once the seeds pops out add channa dal, urad dal, dry red chilies and curry leaves, after a minute add asafoetida powder, turmeric powder and the peanuts. Roast until the peanuts are nicely roasted.  Once the peanuts are nicely roasted add the powdered mix form step 1 and mix well. Finally add tamarind juice , soak tamarind in water for 30 minutes and extract the juice. Also add required salt. Cook on a medium heat for 15 -20 minutes until the oil separates and oozes out . The mixture should become thick like halwa consistency.   Once the oil separates and the mixture thickens turn off the heat. If you feel the mixture is little tangy then add a small piece of jaggery to balance the taste.  Take required amount of puliodarai mix add add it to the rice and mic well. You can add little bit of gingelly oil to get extra flavor.</t>
  </si>
  <si>
    <t>சன்னா பருப்பையும் உளுத்தம்பருப்பையும் மிதமான தீயில் வறுக்கவும். பருப்பு சிறிது நிறம் மாறியதும் மீதமுள்ள பொருட்களை - கொத்தமல்லி விதைகள், மிளகு, வெந்தயம், உலர்ந்த சிவப்பு மிளகாய் சேர்த்து, நல்ல மணம் வரும் வரை வறுக்கவும். தீயை அணைத்து, பெருங்காயத்தூள் சேர்த்து ஆற விடவும். கலவை ஆறியதும், அதை நன்றாகப் பொடியாக அரைக்கவும். ஒரு கடாயில் எள் எண்ணெயை சூடாக்கி, கடுகு விதைகளைச் சேர்த்து, விதைகள் வெளியே வந்ததும், சன்னா பருப்பு, உளுத்தம்பருப்பு, உலர்ந்த சிவப்பு மிளகாய் மற்றும் கறிவேப்பிலை சேர்க்கவும். ஒரு நிமிடம் கழித்து பெருங்காயத்தூள், மஞ்சள் தூள் மற்றும் வேர்க்கடலை சேர்க்கவும். வேர்க்கடலை நன்றாக வறுத்தெடுக்கும் வரை வறுக்கவும். வேர்க்கடலை நன்றாக வறுத்த பிறகு, பொடித்த கலவையை படி 1 இல் சேர்த்து நன்கு கலக்கவும். இறுதியாக புளி சாறு சேர்த்து, புளியை தண்ணீரில் 30 நிமிடங்கள் ஊறவைத்து சாறு எடுக்கவும். தேவையான உப்பு சேர்க்கவும். எண்ணெய் பிரிந்து வெளியேறும் வரை 15-20 நிமிடங்கள் மிதமான தீயில் சமைக்கவும். கலவை ஹல்வா போல கெட்டியாக மாற வேண்டும். எண்ணெய் பிரிந்து கலவை கெட்டியாக வந்ததும், அடுப்பை அணைக்கவும். கலவை கொஞ்சம் காரம் பிடித்ததாக உணர்ந்தால், சுவையை சமப்படுத்த ஒரு சிறிய துண்டு வெல்லத்தைச் சேர்க்கவும். தேவையான அளவு புளியோதரை கலவையை எடுத்து, அரிசியில் சேர்த்து நன்றாகக் கிளறவும். கூடுதல் சுவைக்காக சிறிது எள் எண்ணெயைச் சேர்க்கலாம்.</t>
  </si>
  <si>
    <t>https://blogger.googleusercontent.com/img/b/R29vZ2xl/AVvXsEjmTb0lG_MbuLsohcLSqO40-FgHaWulsNYttHTbcHPsKMrhfS6tqurH2-hkXZYpkq53PIh1gDloOaMoJQX1ITo9ylAvYYnzrYdI_px57RlUiTjZILv8W-xb8uCrpst2sC7eZUOGSIyX2L0/s640/Tamarind+rice+recipe.JPG</t>
  </si>
  <si>
    <t>Coconut Chutney</t>
  </si>
  <si>
    <t>தேங்காய் சட்னி</t>
  </si>
  <si>
    <t>1 cup - grated cococnut, 3 tbsp - roasted chann dal, 1 inch - ginger, 3 - green chilies, salt, water, 1 tbsp  - of oil, 1/4 tsp - mustard seeds, 1/4 tsp - urad dal, 2  - dry red chilies, 1  - spring curry leaves.</t>
  </si>
  <si>
    <t>1 கப் - துருவிய தேங்காய், 3 டேபிள் ஸ்பூன் - வறுத்த கடலைப்பருப்பு, 1 அங்குலம் - இஞ்சி, 3 - பச்சை மிளகாய், உப்பு, தண்ணீர், 1 டேபிள் ஸ்பூன் - எண்ணெய், 1/4 டேபிள் ஸ்பூன் - கடுகு, 1/4 டேபிள் ஸ்பூன் - உளுத்தம்பருப்பு, 2 - உலர்ந்த சிவப்பு மிளகாய், 1 - வசந்த கறிவேப்பிலை.</t>
  </si>
  <si>
    <t>In a blender add grated coconut ,always use fresh coconut for best results (do not use desiccated coconut), also add roasted channa dal, a small piece of ginger, green chilies, salt and required water (add less at the beginning and we can add more while grinding ). Transfer this to a bowl.  Now to temper heat oil in a pan and add mustard seeds, once the seeds splutters add urad dal, dry red chilies and curry leaves. Mix it once and add it to the ground coconut mixture and mix well.  That's it our delicious coconut chutney is ready in no time, This is an excellent side dish for most of our breakfast recipe. Please do try this recipe and share your feedback. Happy Cooking and Spread the Joy of Cooking !!!</t>
  </si>
  <si>
    <t>ஒரு பிளெண்டரில் துருவிய தேங்காயைச் சேர்க்கவும், எப்போதும் சிறந்த பலன்களுக்கு புதிய தேங்காயைப் பயன்படுத்தவும் (உலர்ந்த தேங்காயைப் பயன்படுத்த வேண்டாம்), வறுத்த சன்னா பருப்பு, ஒரு சிறிய துண்டு இஞ்சி, பச்சை மிளகாய், உப்பு மற்றும் தேவையான தண்ணீர் சேர்க்கவும் (ஆரம்பத்தில் குறைவாகச் சேர்க்கவும், அரைக்கும் போது அதிகமாகச் சேர்க்கலாம்). இதை ஒரு கிண்ணத்திற்கு மாற்றவும். இப்போது ஒரு கடாயில் எண்ணெயைச் சூடாக்கி, கடுகு விதைகளைச் சேர்க்கவும், விதைகள் பிளந்ததும் உளுத்தம்பருப்பு, உலர்ந்த சிவப்பு மிளகாய் மற்றும் கறிவேப்பிலை சேர்க்கவும். இதை ஒரு முறை கலந்து, அரைத்த தேங்காய் கலவையில் சேர்த்து நன்கு கலக்கவும். அவ்வளவுதான் எங்கள் சுவையான தேங்காய் சட்னி சிறிது நேரத்தில் தயாராகிவிட்டது. எங்கள் பெரும்பாலான காலை உணவு ரெசிபிகளுக்கு இது ஒரு சிறந்த சைட் டிஷ். தயவுசெய்து இந்த ரெசிபியை முயற்சி செய்து உங்கள் கருத்துக்களைப் பகிர்ந்து கொள்ளுங்கள். மகிழ்ச்சியான சமையல் மற்றும் சமையலின் மகிழ்ச்சியைப் பரப்புங்கள் !!!</t>
  </si>
  <si>
    <t>https://blogger.googleusercontent.com/img/b/R29vZ2xl/AVvXsEhpu0Fz3VlWy-6sVP1NYlb_OP3uMXovCzafZrnzw2_ON3linp49b7jwyl7fwUJy2QH8lMwerIe7rGoh7dAnpdySrImQMGzgJeE_Fij45S372V5ni9671iKLCqDMzry3iXUOT-7vqKKbbHc/s640/Coconut+Chutney+Recipe.JPG</t>
  </si>
  <si>
    <t>https://youtu.be/wg_bxYiXZvs?si=LA_Q5HErIqV3beVL</t>
  </si>
  <si>
    <t>Mutton Rogan Josh</t>
  </si>
  <si>
    <t>மட்டன் ரோகன் ஜோஷ்</t>
  </si>
  <si>
    <t>1/2 kg - Mutton, 4 tbsp -  Ghee, 1  - Cinnamon Stick ,  2  - black cardamom.  4  - green Cardamom ,  1-  mace, 1/2 tsp -  cumin seeds,  1/2 tsp -  pepper corns, 1/2 tsp -  Turmeric powder, 1/2 tsp -  Hing, 2 tbsp - Kashmiri Chili powder, 1 tsp - Dry Ginger powder, 2 tsp -  Fennel seed powder, 1/2 cup  - Thick Yogurt, Required Water, Salt to taste, 1 tsp Cumin Seeds, 3 Green Cardamom, few Saffron strands.</t>
  </si>
  <si>
    <t>1/2 கிலோ - மட்டன், 4 டேபிள்ஸ்பூன் - நெய், 1 - இலவங்கப்பட்டை குச்சி, 2 - கருப்பு ஏலக்காய். 4 - பச்சை ஏலக்காய், 1- ஜாதிக்காய், 1/2 டேபிள்ஸ்பூன் - சீரகம், 1/2 டேபிள்ஸ்பூன் - மிளகு சோளம், 1/2 டேபிள்ஸ்பூன் - மஞ்சள் தூள், 1/2 டேபிள்ஸ்பூன் - ஹிங், 2 டேபிள்ஸ்பூன் - காஷ்மீர் மிளகாய் தூள், 1 டேபிள்ஸ்பூன் - உலர்ந்த இஞ்சி தூள், 2 டேபிள்ஸ்பூன் - பெருஞ்சீரக விதை தூள், 1/2 கப் - கெட்டியான தயிர், தேவையான தண்ணீர், சுவைக்கு உப்பு, 1 டேபிள்ஸ்பூன் சீரகம், 3 பச்சை ஏலக்காய், சில குங்குமப்பூ தண்டுகள்.</t>
  </si>
  <si>
    <t>Melt ghee or oil in a pan and add the whole spices - Cinnamon stick, black cardamom, Green Cardamom, mace, cumin seeds and pepper corns. Give it a stir and then add the mutton pieces. You should hear the Hushhhhhhhhhhhh..... sound when you place the mutton pieces to get nice color on the outside.  Once the mutton develop some nice color on the outside ( after a couple of minutes) add first set of masalas - Turmeric powder, Hing, Kashmiri red chili powder to impart nice color and finally required salt. after adding all the ingredients mix it nicely and let it cook for 10 minutes.  After 10 minutes add the second set of ingredients - Dry Ginger powder, Fennel Seeds powder and thick Yogurt . Mix it nicely and then add enough water cover and cook until the mutton is fully done. Mutton Takes somewhere from 1 hour to 1 hr 20 minutes to get completely cooked.   In the meanwhile crush some cumin seeds, cardamom and saffron and keep it aside. Adding these spices at the end enhances the flavor of the recipe.  After 1 hour add the powdered spices and cook for another 5 minutes or until the mutton is fully done. Once you see the meat falling off the bones turn off the heat.  That's it our flavorful and aromatic Mutton Rogan Josh / Mutton Curry is ready to be served with naan, chapathi and roti. Please do try this recipe at home and share your feedback. Happy Cooking and Spread the Joy of Cooking !!!.</t>
  </si>
  <si>
    <t>ஒரு கடாயில் நெய் அல்லது எண்ணெயை உருக்கி, முழு மசாலாப் பொருட்களையும் சேர்க்கவும் - இலவங்கப்பட்டை குச்சி, கருப்பு ஏலக்காய், பச்சை ஏலக்காய், ஜாதிக்காய், சீரகம் மற்றும் மிளகுத்தூள். அதைக் கிளறி, பின்னர் மட்டன் துண்டுகளைச் சேர்க்கவும். மட்டன் துண்டுகளை வெளியில் நல்ல நிறத்தில் வைக்கும்போது ஹுஷ்ஷ்ஷ்ஷ்ஷ்ஷ்ஷ்..... என்ற சத்தம் கேட்க வேண்டும். மட்டன் வெளியில் நல்ல நிறம் வந்ததும் (சில நிமிடங்களுக்குப் பிறகு) முதல் செட் மசாலாக்கள் - மஞ்சள் தூள், ஹிங், காஷ்மீரி சிவப்பு மிளகாய் தூள் சேர்த்து நல்ல நிறத்தை கொடுக்கவும், இறுதியாக தேவையான உப்பு சேர்க்கவும். அனைத்து பொருட்களையும் சேர்த்த பிறகு அதை நன்றாக கலந்து 10 நிமிடங்கள் சமைக்கவும். 10 நிமிடங்களுக்குப் பிறகு இரண்டாவது செட் பொருட்கள் - உலர் இஞ்சி தூள், பெருஞ்சீரக விதை தூள் மற்றும் கெட்டியான தயிர் சேர்க்கவும். அதை நன்றாக கலந்து, பின்னர் போதுமான தண்ணீர் சேர்த்து மூடி வைத்து, மட்டன் முழுமையாக வேகும் வரை சமைக்கவும். மட்டன் முழுமையாக வேக 1 மணி நேரம் முதல் 1 மணி நேரம் 20 நிமிடங்கள் வரை ஆகும். இதற்கிடையில், சிறிது சீரகம், ஏலக்காய் மற்றும் குங்குமப்பூவை நசுக்கி ஒதுக்கி வைக்கவும். இறுதியில் இந்த மசாலாப் பொருட்களைச் சேர்ப்பது செய்முறையின் சுவையை அதிகரிக்கும். 1 மணி நேரத்திற்குப் பிறகு தூள் மசாலாக்களைச் சேர்த்து மேலும் 5 நிமிடங்கள் சமைக்கவும் அல்லது மட்டன் முழுமையாக வேகும் வரை சமைக்கவும். எலும்புகளிலிருந்து இறைச்சி விழுவதை நீங்கள் பார்த்தவுடன், வெப்பத்தை அணைக்கவும். அவ்வளவுதான் எங்கள் சுவையான மற்றும் நறுமணமுள்ள மட்டன் ரோகன் ஜோஷ் / மட்டன் கறி நான், சப்பாத்தி மற்றும் ரொட்டியுடன் பரிமாற தயாராக உள்ளது. தயவுசெய்து இந்த செய்முறையை வீட்டிலேயே முயற்சி செய்து உங்கள் கருத்துக்களைப் பகிர்ந்து கொள்ளுங்கள். மகிழ்ச்சியான சமையல் மற்றும் சமையலின் மகிழ்ச்சியைப் பரப்புங்கள் !!!.</t>
  </si>
  <si>
    <t>https://blogger.googleusercontent.com/img/b/R29vZ2xl/AVvXsEgpvrhP0XQkWl_0Ti2TRumM5D9HKUFLvUeTmvgFqingINqgmu7JqifyCsWyrz3NCUAg-YuqqJ6xPPlp0vpyKyg5C1iXgPrpzpJeptWQWZrfPoeUBQkFmjYeRUuDfUVcgqu9ugI8B5HxmS8/s640/Mutton+Rogan+Josh+Recipe.JPG</t>
  </si>
  <si>
    <t>https://youtu.be/5EoeL3A4mUE</t>
  </si>
  <si>
    <t>Rava Kesari</t>
  </si>
  <si>
    <t>ரவா கேசரி</t>
  </si>
  <si>
    <t>1 cup - Semolina, 1 cup - Sugar, 4 -5 tbsp - Ghee, 15 - Cashew nuts, 2 tbsp - Raisins, 1 pinch - Orange food color (optional), 2 cups - Water (or 1 cup water + 1 cup milk).</t>
  </si>
  <si>
    <t>1 கப் - ரவை, 1 கப் - சர்க்கரை, 4 -5 டேபிள் ஸ்பூன் - நெய், 15 - முந்திரி பருப்புகள், 2 டேபிள் ஸ்பூன் - திராட்சை, 1 சிட்டிகை - ஆரஞ்சு உணவு நிறம் (விரும்பினால்), 2 கப் - தண்ணீர் (அல்லது 1 கப் தண்ணீர் + 1 கப் பால்).</t>
  </si>
  <si>
    <t>Add some Ghee in a pan and roast cashews first,once it turn golden add the raisins and roast until they are ballooned, do not burn them (they will taste bitter if burnt). Transfer this to a plate and then add 1 more tbsp of ghee to the pan and then add the sooji and roast it nicely until you get a nice aroma and golden color.It will take around 8-10 minutes.when it obtains golden color remove the pan from heat and immediately transfer it to a plate to prevent browning.   And again in the same pan add water. For this recipe I have taken two cups of water for 1 cup of rawa. However if you prefer a more creamy and richer kesari you can use 1 cup of water and 1 cup of milk for every cup of rawa. or you can use 3 cups of water for little soft kesari. Once the water comes to a boil gradually add the roasted rava and and keep stirring to prevent lumps once you get a lump free mixture cook until all the water is absorbed by the rawa  Once all the water has been absorbed by the rava/ sooji gradually add Sugar and mix well.The ratio of Rava to sugar can be adjusted according to your sweet preference, A ratio of 1:1 ie 1 cup of sugar for 1 cup of rawa is preferred by most people. However if you prefer a moderate sweetness you can use ¾ cup of sugar per cup of rawa. You can adjust the sweetness somewhere from ¾ cup to 2 cups of sugar for every 1 cup of rava / Sooji. Add food color if you prefer , dissolve some color powder in water and then add to get even distribution.  Next add the rest of the ghee, cardamom powder, roasted nuts and incorporate well ,Adding Ghee at the end of the recipe enhances the taste and the flavor of the recipe also it prevents the kesari from sticking to your hands.  Our Delicious and Yummy Rava kesari is ready to be served. As I mentioned earlier you can serve this dessert with any breakfast recipes.This is more tastier than regular kesari and taste much better.</t>
  </si>
  <si>
    <t>ஒரு பாத்திரத்தில் சிறிது நெய் சேர்த்து முதலில் முந்திரி வறுக்கவும், அது பொன்னிறமாக மாறியதும், திராட்சையைச் சேர்த்து, அவை பலூன் ஆகும் வரை வறுக்கவும், அவற்றை எரிக்க வேண்டாம் (அவை எரிந்தால் கசப்பாக இருக்கும்). இதை ஒரு தட்டில் மாற்றி, பின்னர் வாணலியில் மேலும் 1 டேபிள் ஸ்பூன் நெய்யைச் சேர்த்து, சூஜியைச் சேர்த்து, நல்ல மணம் மற்றும் தங்க நிறம் வரும் வரை நன்றாக வறுக்கவும். இது சுமார் 8-10 நிமிடங்கள் எடுக்கும். அது தங்க நிறம் பெற்றதும், பாத்திரத்தை வெப்பத்திலிருந்து அகற்றி, உடனடியாக ஒரு தட்டில் மாற்றவும், அதனால் அது பழுப்பு நிறமாக மாறாது. மீண்டும் அதே பாத்திரத்தில் தண்ணீர் சேர்க்கவும். இந்த செய்முறைக்கு, 1 கப் ரவாவுக்கு இரண்டு கப் தண்ணீர் எடுத்துக்கொண்டேன். இருப்பினும், நீங்கள் அதிக கிரீமி மற்றும் பணக்கார கேசரியை விரும்பினால், ஒவ்வொரு கப் ரவாவிற்கும் 1 கப் தண்ணீர் மற்றும் 1 கப் பால் பயன்படுத்தலாம். அல்லது சிறிது மென்மையான கேசரிக்கு 3 கப் தண்ணீர் பயன்படுத்தலாம். தண்ணீர் கொதித்ததும், வறுத்த ரவையை படிப்படியாகச் சேர்த்து, கட்டிகள் இல்லாமல் கலவையைப் பெற்றவுடன், கட்டிகள் இல்லாமல் இருக்க கிளறிக்கொண்டே இருங்கள். ரவா/சூஜியால் அனைத்து தண்ணீரும் உறிஞ்சப்பட்டவுடன், படிப்படியாக சர்க்கரையைச் சேர்த்து நன்கு கலக்கவும். ரவா மற்றும் சர்க்கரையின் விகிதத்தை உங்கள் இனிப்பு விருப்பத்திற்கு ஏற்ப சரிசெய்யலாம், 1:1 என்ற விகிதத்தை பெரும்பாலான மக்கள் விரும்புகிறார்கள், அதாவது 1 கப் ரவாவிற்கு 1 கப் சர்க்கரை. இருப்பினும், நீங்கள் மிதமான இனிப்பை விரும்பினால், ஒரு கப் ரவாவிற்கு ¾ கப் சர்க்கரையைப் பயன்படுத்தலாம். ஒவ்வொரு கப் ரவா/சூஜிக்கும் ¾ கப் முதல் 2 கப் சர்க்கரை வரை இனிப்புத்தன்மையை சரிசெய்யலாம். நீங்கள் விரும்பினால் உணவு வண்ணத்தைச் சேர்க்கவும், தண்ணீரில் சிறிது வண்ணப் பொடியைக் கரைத்து, பின்னர் சீரான விநியோகத்தைப் பெற சேர்க்கவும். அடுத்து மீதமுள்ள நெய், ஏலக்காய் பொடி, வறுத்த கொட்டைகள் சேர்த்து நன்கு கலக்கவும். செய்முறையின் இறுதியில் நெய் சேர்ப்பது செய்முறையின் சுவையை அதிகரிக்கும், மேலும் கேசரி உங்கள் கைகளில் ஒட்டாமல் தடுக்கும். எங்கள் சுவையான மற்றும் சுவையான ரவா கேசரி பரிமாற தயாராக உள்ளது. நான் முன்பு குறிப்பிட்டது போல், இந்த இனிப்பை எந்த காலை உணவு ரெசிபிகளுடனும் பரிமாறலாம். இது வழக்கமான கேசரியை விட சுவையானது மற்றும் மிகவும் சுவையாக இருக்கும்.</t>
  </si>
  <si>
    <t>https://blogger.googleusercontent.com/img/b/R29vZ2xl/AVvXsEiIJn8GjiQpeCdUJTG2Cl0lhlnlhmwn651B9V-otZZu1u8BUKskSu31r0ERSTXRwuyHOl9jM__i4bgKa8Mx4itpyn3VQjYidOjt-2tY7bWRu99_iZYokwsUPNiumx5Et9mUFPBAGLfQBUI/s1600/Kesari+Recipe.JPG</t>
  </si>
  <si>
    <t>Masala Vadai</t>
  </si>
  <si>
    <t>மசாலா வடை</t>
  </si>
  <si>
    <t>1 cup - Channa Dal, 1  - Cinnamon Stick, 5-6 - Garlic Cloves, 1 inch -  Ginger, 5-6  - Green Chilies, 1 tsp -  Fennel seeds, 1 -  Onion, 3 tbsp - Coriander leaves, 1 - spring Curry leaves, Salt to taste.</t>
  </si>
  <si>
    <t>1 கப் - சன்னா பருப்பு, 1 - இலவங்கப்பட்டை குச்சி, 5-6 - பூண்டு பல், 1 அங்குலம் - இஞ்சி, 5-6 - பச்சை மிளகாய், 1 தேக்கரண்டி - வெந்தயம் விதைகள், 1 - வெங்காயம், 3 தேக்கரண்டி - கொத்தமல்லி இலைகள், 1 - வசந்த கறிவேப்பிலை, ருசிக்கேற்ப உப்பு.</t>
  </si>
  <si>
    <t>Wash and soak Channa Dal / Kadalai Paruppu in water for 4 hours. Minimum 3-4 of soaking the dal is mandatory for nice masal vadai.  In a blender add Cinnamon stick, Garlic, Ginger, Green chilies, fennel seeds and grind it coarsely.   Now add the soaked dal , drain all the excess water, do not add water while grinding. Grind it into coarse paste(give it few pulses), if you see some whole dal here and there that is absolutely fine (do not grind too fine), Whole dal adds more texture and taste to the vadai.   Transfer the ground dal to a bowl and add finely chopped onions, Coriander leaves, curry leaves and required salt. Mix all the ingredients together well.  Take a small portion of the vada mix and make a ball, then place the ball at your palm and press it with your other hand to flatten a little bit.  Once the oil is hot add the vada one by one into the oil and fry until golden brown, flip it once in the midway.   Thats's it our Delicious crispy vada is ready to be enjoyed with a cup of hot tea or coffee. Please do try the recipe at home and share your feedback. Happy Cooking !!!.</t>
  </si>
  <si>
    <t>சன்னா பருப்பு / கடலை பருப்பு ஆகியவற்றை கழுவி 4 மணி நேரம் தண்ணீரில் ஊற வைக்கவும். நல்ல மசாலா வடைக்கு குறைந்தபட்சம் 3-4 முறை ஊறவைக்கவும். ஒரு பிளெண்டரில் இலவங்கப்பட்டை, பூண்டு, இஞ்சி, பச்சை மிளகாய், பெருஞ்சீரகம் விதைகள் சேர்த்து கரகரப்பாக அரைக்கவும். இப்போது ஊறவைத்த பருப்பைச் சேர்த்து, அதிகப்படியான தண்ணீரை வடிகட்டவும், அரைக்கும்போது தண்ணீர் சேர்க்க வேண்டாம். அதை கரகரப்பாக அரைக்கவும் (சில பருப்புகள் கொடுங்கள்), சில முழு பருப்பை அங்கேயும் நன்றாகக் கண்டால் (மிகவும் நன்றாக அரைக்க வேண்டாம்), முழு பருப்பினால் வடைக்கு அதிக அமைப்பு மற்றும் சுவை சேர்க்கப்படும். அரைத்த பருப்பை ஒரு பாத்திரத்தில் போட்டு, பொடியாக நறுக்கிய வெங்காயம், கொத்தமல்லி இலை, கறிவேப்பிலை மற்றும் தேவையான உப்பு சேர்க்கவும். அனைத்து பொருட்களையும் ஒன்றாக கலக்கவும். வடை மிக்ஸியில் ஒரு சிறிய பகுதியை எடுத்து ஒரு உருண்டையாக உருட்டி, பந்தை உங்கள் உள்ளங்கையில் வைத்து, உங்கள் மற்றொரு கையால் சிறிது தட்டையாக்க அழுத்தவும். எண்ணெய் சூடானதும் வடையை ஒவ்வொன்றாக எண்ணெயில் சேர்த்து பொன்னிறமாகும் வரை வறுக்கவும், நடுவில் ஒரு முறை புரட்டவும். அவ்வளவுதான், எங்கள் சுவையான மொறுமொறுப்பான வடை, ஒரு கப் சூடான தேநீர் அல்லது காபியுடன் சாப்பிட தயாராக உள்ளது. தயவுசெய்து வீட்டிலேயே செய்முறையை முயற்சி செய்து உங்கள் கருத்துகளைப் பகிர்ந்து கொள்ளுங்கள். இனிய சமையல்!!!.</t>
  </si>
  <si>
    <t>https://blogger.googleusercontent.com/img/b/R29vZ2xl/AVvXsEhEay0XNSX-c3pMI66R-JdoQ-UcdXASffzp5Cxj7Yue1mRPg9YpqwxT5x6pInBZYkKL7QbKE4Ld1dlkAVz93uHBoI7Djxe1uzwCNy60w_ka010fESjaLO87abqCHnV-hbag9lz96NH09s8/s640/masala+vadai+Recipe.JPG</t>
  </si>
  <si>
    <t>Gulab Jamun</t>
  </si>
  <si>
    <t>குலாப் ஜாமுன்</t>
  </si>
  <si>
    <t>1 cup - Milk Powder, 3 tbsp  - All purpose flour / Maida, 1 tbsp - Ghee, 1/8 tsp - Baking soda, 4 -5 - tbsp Milk, 1.5 cup -  Sugar, 1.5 cup -  Water, 1/2 tsp -  Lemon Juice, 4 -  Cardamom pods, few Saffron strands.</t>
  </si>
  <si>
    <t>1 கப் - பால் பவுடர், 3 டேபிள் ஸ்பூன் - அனைத்து உபயோக மாவு / மைதா, 1 டேபிள் ஸ்பூன் - நெய், 1/8 டேபிள் ஸ்பூன் - பேக்கிங் சோடா, 4 -5 - டேபிள் ஸ்பூன் பால், 1.5 கப் - சர்க்கரை, 1.5 கப் - தண்ணீர், 1/2 டேபிள் ஸ்பூன் - எலுமிச்சை சாறு, 4 - ஏலக்காய் காய்கள், சில குங்குமப்பூ இழைகள்.</t>
  </si>
  <si>
    <t>Lets start with sugar syrup, Into a pan add sugar and water to cover the sugar , once the sugar dissolves and comes to a boil turn down the heat to low and let it simmer for 8 -10 minutes. Sugar syrup should not reach 1 string consistency, if it reaches 1 string consistency then the syrup will not penetrate more efficiently into the jamuns. Once it reaches half string , add a few drops of lemon juice to prevent sugar crystallization also add crushed cardamom pods for flavoring and few strands of saffron ( optional)  In a mixing bowl add milk powder, Ghee, All purpose flour, baking soda and mix well. After mixing nicely add milk gradually and mix it gently to form a dought. Do not give too much of pressure and knead and also do not knead it for a long time (jamuns turns hard) After kneading take a small portion of the dough a roll it into small balls, there should not be any cracks on the outside of the balls, it should be soft and smooth. If you see cracks then you can sprinkle a little more of milk and make it again.  Heat oil or ghee in a pan, Temperature of the oil should be medium it should not be high , if you drop a small portion of the dough it should come to the surface of the oil immediately whithout changing it color, if it becomes brown then the oil is very hot and if it stays down for a long time then the temperature of the oil is not hot enough. Once you get that temperature, drop the balls and fry until golden brown. do not over crowd the oil , leave enough room for frying also use more oil the jamuns should be fully immersed into the oil.  In between swirl it with a spoon to ensure even browning.  Once the balls develop nice uniform golden brown color take it off from the oil and drop it into the sugar syrup. If the sugar syrup is cooled then we need to warm it up for 1 minute before adding the jamuns.  Let the balls soak in the syrup for minimum 3- 4 hours before serving.   That's it our Gulab Jamuns using milk powder are ready to be served. Its quite simple and really easy to make, all we need is milk powder, milk , ghee , maida, sugar and water.</t>
  </si>
  <si>
    <t>சர்க்கரை பாகை வைத்து ஆரம்பிக்கலாம், ஒரு பாத்திரத்தில் சர்க்கரை மற்றும் தண்ணீரைச் சேர்த்து சர்க்கரையை மூடவும், சர்க்கரை கரைந்து கொதி வந்ததும், தீயைக் குறைத்து 8 -10 நிமிடங்கள் கொதிக்க விடவும். சர்க்கரை பாகு 1 டேபிள் நிலைத்தன்மையை எட்டக்கூடாது, அது 1 டேபிள் நிலைத்தன்மையை அடைந்தால், சிரப் ஜாமுன்களில் திறமையாக ஊடுருவாது. அது அரை டேபிள் ஸ்பூன் அடைந்ததும், சர்க்கரை படிகமாக்கலைத் தடுக்க சில துளிகள் எலுமிச்சை சாற்றைச் சேர்க்கவும், சுவைக்காக நொறுக்கப்பட்ட ஏலக்காய் காய்களையும், சில டேபிள் ஸ்பூன் குங்குமப்பூவையும் சேர்க்கவும் (விரும்பினால்) ஒரு கலவை கிண்ணத்தில் பால் பவுடர், நெய், அனைத்து உபயோக மாவு, பேக்கிங் சோடாவைச் சேர்த்து நன்கு கலக்கவும். நன்றாகக் கலந்த பிறகு, படிப்படியாகப் பால் சேர்த்து மெதுவாகக் கலந்து, மாவை உருவாக்குங்கள். அதிக அழுத்தம் கொடுக்க வேண்டாம், பிசைய வேண்டாம், நீண்ட நேரம் பிசைய வேண்டாம் (ஜாமூன்கள் கடினமாக மாறும்). பிசைந்த பிறகு, மாவின் ஒரு சிறிய பகுதியை எடுத்து, சிறிய உருண்டைகளாக உருட்டவும், உருண்டைகளின் வெளிப்புறத்தில் எந்த விரிசல்களும் இருக்கக்கூடாது, அது மென்மையாகவும் மென்மையாகவும் இருக்க வேண்டும். விரிசல்கள் தெரிந்தால், நீங்கள் சிறிது பால் தெளித்து மீண்டும் செய்யலாம். ஒரு கடாயில் எண்ணெய் அல்லது நெய்யை சூடாக்கவும், எண்ணெயின் வெப்பநிலை நடுத்தரமாக இருக்க வேண்டும், அது அதிகமாக இருக்கக்கூடாது, நீங்கள் மாவின் ஒரு சிறிய பகுதியைக் கைவிட்டால், அது உடனடியாக எண்ணெயின் மேற்பரப்பில் வர வேண்டும், அதன் நிறம் மாறாமல் இருக்க வேண்டும், அது பழுப்பு நிறமாக மாறினால், எண்ணெய் மிகவும் சூடாக இருக்கும், அது நீண்ட நேரம் கீழே இருந்தால், எண்ணெயின் வெப்பநிலை போதுமான அளவு சூடாக இருக்காது. அந்த வெப்பநிலையை அடைந்ததும், உருண்டைகளை இறக்கி பொன்னிறமாகும் வரை வறுக்கவும். எண்ணெயை அதிகமாகக் கலக்க வேண்டாம், வறுக்க போதுமான இடத்தை விட்டு, அதிக எண்ணெயைப் பயன்படுத்தவும். ஜாமூன்கள் எண்ணெயில் முழுமையாக மூழ்க வேண்டும். இடையில் ஒரு கரண்டியால் சுழற்றி, சீரான பழுப்பு நிறத்தை உறுதி செய்யவும். உருண்டைகள் நல்ல சீரான தங்க பழுப்பு நிறமாக மாறியதும், எண்ணெயிலிருந்து எடுத்து சர்க்கரை பாகில் போடவும். சர்க்கரை பாகு குளிர்ந்துவிட்டால், ஜாமூன்களைச் சேர்ப்பதற்கு முன் 1 நிமிடம் சூடுபடுத்த வேண்டும். பரிமாறுவதற்கு முன் பந்துகளை குறைந்தபட்சம் 3-4 மணி நேரம் சிரப்பில் ஊற விடவும். அவ்வளவுதான், பால் பவுடரைப் பயன்படுத்தி தயாரிக்கப்படும் எங்கள் குலாப் ஜாமூன்கள் பரிமாற தயாராக உள்ளன. இது மிகவும் எளிமையானது மற்றும் தயாரிப்பது மிகவும் எளிதானது, நமக்குத் தேவையானது பால் பவுடர், பால், நெய், மைதா, சர்க்கரை மற்றும் தண்ணீர்.</t>
  </si>
  <si>
    <t>https://blogger.googleusercontent.com/img/b/R29vZ2xl/AVvXsEjdD3-z6vkpsgeRoh5xn8IExS58r-38SfeZ07E8nW5RBEA46KdTMbpFMIVstXqX3-WK9OotiLcGOqqgxy8eU5K5f6OqCOPRsCMRqCf6Z4Y2lfLNrclW3oECH752s99I-3T9mrB6TX1bISc/s640/gulab+jamin+with+milk+powder.JPG</t>
  </si>
  <si>
    <t>https://youtu.be/NS16PPCZOSs</t>
  </si>
  <si>
    <t>Potato Fry</t>
  </si>
  <si>
    <t>உருளைக்கிழங்கு வறுவல்</t>
  </si>
  <si>
    <t>2 large - Potatoes, 1/8 tsp - Turmeric powder, 1 tsp - Chili powder, 1 tsp - Fennel Seeds, 1/8 tsp - Mustard seeds, 1/2 or 1 - Sliced Onion, 1  - spring Curry leaves, 2 tbsp - Oil, Salt to taste.</t>
  </si>
  <si>
    <t>2 பெரியது - உருளைக்கிழங்கு, 1/8 தேக்கரண்டி - மஞ்சள் தூள், 1 தேக்கரண்டி - மிளகாய் தூள், 1 தேக்கரண்டி - பெருஞ்சீரகம் விதைகள், 1/8 தேக்கரண்டி - கடுகு, 1/2 அல்லது 1 - நறுக்கிய வெங்காயம், 1 - வசந்த கறிவேப்பிலை, 2 தேக்கரண்டி - எண்ணெய், சுவைக்கேற்ப உப்பு.</t>
  </si>
  <si>
    <t>Peel the skin of the potatoes and cut them into small pieces, I like to cut them long like this you can also cut them into small bite size pieces. Season with turmeric powder and chilli powder to ensure even coating of the masalas.  Heat oil in a pan and add mustard seeds and half of the fennel seeds , give it a stir and then add the potatoes. roast it for some time.  Once the potatoes are half done add sliced Onion , required salt and roast until the onions and the potatoes are fully roasted - sides turns crispy. Finally add the remaining half of the fennel seeds and the curry leaves for falvoring and turn off the heat.  That's it our delicious and easy potato fry is ready to be enjoyed as a side dish for rice or any variety rice recipe. Please do try this recipe at home and share your feedback. happy Cooking !!! and Spread the Joy of Cooking !!!</t>
  </si>
  <si>
    <t>உருளைக்கிழங்கை தோலுரித்து சிறிய துண்டுகளாக நறுக்கவும், நான் அவற்றை நீளமாக வெட்ட விரும்புகிறேன், நீங்கள் அவற்றை சிறிய கடி அளவு துண்டுகளாக வெட்டலாம். மசாலாக்கள் சமமாக பூசப்படுவதை உறுதி செய்ய மஞ்சள் தூள் மற்றும் மிளகாய் தூள் சேர்த்து தாளிக்கவும். ஒரு கடாயில் எண்ணெயை சூடாக்கி, கடுகு மற்றும் பெருஞ்சீரகத்தில் பாதி சேர்த்து, கிளறி, பின்னர் உருளைக்கிழங்கைச் சேர்க்கவும். சிறிது நேரம் வறுக்கவும்.  உருளைக்கிழங்கு பாதி வதங்கியதும், நறுக்கிய வெங்காயம், தேவையான உப்பு சேர்த்து வெங்காயம் மற்றும் உருளைக்கிழங்கு முழுவதுமாக வறுத்தெடுக்கும் வரை வறுக்கவும் - பக்கவாட்டுகள் மொறுமொறுப்பாக மாறும் வரை வறுக்கவும்.  இறுதியாக மீதமுள்ள பாதி பெருஞ்சீரகம் விதைகள் மற்றும் வறுக்க கறிவேப்பிலை சேர்த்து வதக்கி, தீயை அணைக்கவும்.  அவ்வளவுதான், எங்கள் சுவையான மற்றும் எளிதான உருளைக்கிழங்கு வறுவல் சாதத்திற்கு அல்லது வேறு எந்த வகையான சாதத்திற்கும் ஒரு பக்க உணவாக அனுபவிக்க தயாராக உள்ளது. தயவுசெய்து இந்த செய்முறையை வீட்டிலேயே முயற்சி செய்து உங்கள் கருத்துக்களைப் பகிர்ந்து கொள்ளுங்கள். மகிழ்ச்சியான சமையல் !!! சமையலின் மகிழ்ச்சியைப் பரப்புங்கள் !!!</t>
  </si>
  <si>
    <t>https://blogger.googleusercontent.com/img/b/R29vZ2xl/AVvXsEg47aSKkfcwlgu3C2IlC-PxRvPXOFb9fAF-M2zI5awITWk-1Y9i5I5rZCl_8EXABEpKvHxaU_sBY9yFbNX_ooa9R4LaPl2myVPiH2CQr6HFJ4cN01kcLPttJfRjl5GN4YLI6BRyjCoEmck/s640/Potato+Fry+Recipe.JPG</t>
  </si>
  <si>
    <t>Ghee Rice</t>
  </si>
  <si>
    <t>நெய் சாதம்</t>
  </si>
  <si>
    <t>4 tbsp  - Ghee , 15-20 - Cashews, 3 tbsp - Raisins, 1  - Onion, 1 -  Cinnamon stick,  2 - Bay leaves, 1 - Star anise,  3 -  Cardamom,  4 -  Cloves, 1 tbsp  - Crushed Ginger, 3 - Green Chilies , 1 - Onion, 2 cup - Basmati Rice, 3 cup - Water, some Coriander Leaves, Salt to Taste.</t>
  </si>
  <si>
    <t>4 டேபிள் ஸ்பூன் - நெய் , 15-20 - முந்திரி , 3 டேபிள் ஸ்பூன் - திராட்சை , 1 - வெங்காயம் , 1 - இலவங்கப்பட்டை , 2 - பிரியாணி இலைகள் , 1 - நட்சத்திர சோம்பு , 3 - ஏலக்காய் , 4 - கிராம்பு , 1 டேபிள் ஸ்பூன் - நொறுக்கப்பட்ட இஞ்சி , 3 - பச்சை மிளகாய் , 1 - வெங்காயம் , 2 கப் - பாஸ்மதி அரிசி , 3 கப் - தண்ணீர் , சிறிது கொத்தமல்லி இலைகள் , சுவைக்கேற்ப உப்பு .</t>
  </si>
  <si>
    <t>Melt ghee in a pan and roast cashews , once they turn golden add raisins and saute until the raisins is ballooned. Take it off from the pan and keep it aside. Now in the same pan saute onion until it turns golden brown. Once nicely browned take it out and keep it aside.(be careful while sauteing do not burn the onions , it may taste bitter)   Again in the same ghee (or you can add more if you prefer) add the whole spices - Cinnamon, cardamom, bay leaves, cloves and star anise. Then add crushed Ginger, green chilies and saute it until raw smell of ginger is gone. Then add Onion and saute until translucent.  Then add the soaked basmati rice, I have used 2 cups of basmati rice washed and soaked in water for 20 minutes.Mix it well with the ghee and cook for 2 minutes. Then add water and required salt . Cover and cook until all the water is absorbed by the rice or until the rice is 100% done.  Finally add ghee for more flavor and also add the roasted nuts, fried onions and some coriander or mint leaves on the top and turn off the heat.  That's it our delicious and flavorful Ghee rice is ready to be enjoyed with chicken or Mutton Gravy.Please do try the recipe and share your feedback. Happy Cooking !!!</t>
  </si>
  <si>
    <t>ஒரு கடாயில் நெய்யை உருக்கி முந்திரி வறுக்கவும் , அவை பொன்னிறமாக மாறியதும் திராட்சை சேர்த்து திராட்சை பலூன் ஆகும் வரை வதக்கவும் . அதை வாணலியில் இருந்து எடுத்து தனியாக வைக்கவும் .  இப்போது அதே வாணலியில் வெங்காயத்தை பொன்னிறமாக மாறும் வரை வதக்கவும் . நன்றாக வதங்கியதும் எடுத்து தனியாக வைக்கவும். (வெங்காயத்தை வதக்கும்போது கவனமாக இருங்கள், கசப்பாக இருக்கலாம்)  மீண்டும் அதே நெய்யில் (அல்லது நீங்கள் விரும்பினால் இன்னும் கொஞ்சம் சேர்க்கலாம்) முழு மசாலாப் பொருட்களையும் சேர்க்கவும் - இலவங்கப்பட்டை, ஏலக்காய், பிரியாணி இலைகள், கிராம்பு மற்றும் நட்சத்திர சோம்பு.  பின்னர் நொறுக்கப்பட்ட இஞ்சி, பச்சை மிளகாய் சேர்த்து, இஞ்சியின் பச்சை வாசனை போகும் வரை வதக்கவும்.  பின்னர் வெங்காயத்தைச் சேர்த்து, வெளிப்படையான வரை வதக்கவும்.  பின்னர் ஊறவைத்த பாஸ்மதி அரிசியைச் சேர்க்கவும், நான் 2 கப் பாஸ்மதி அரிசியைக் கழுவி தண்ணீரில் 20 நிமிடங்கள் ஊறவைத்துள்ளேன். நெய்யுடன் நன்றாகக் கலந்து 2 நிமிடங்கள் சமைக்கவும். பின்னர் தண்ணீர் மற்றும் தேவையான உப்பு சேர்க்கவும். மூடி வைத்து, அரிசியால் அனைத்து தண்ணீரும் உறிஞ்சப்படும் வரை அல்லது அரிசி 100% வேகும் வரை சமைக்கவும்.  இறுதியாக அதிக சுவைக்காக நெய்யைச் சேர்த்து, மேலே வறுத்த கொட்டைகள், வறுத்த வெங்காயம் மற்றும் சிறிது கொத்தமல்லி அல்லது புதினா இலைகளைச் சேர்த்து, தீயை அணைக்கவும்.  அவ்வளவுதான் எங்கள் சுவையான மற்றும் சுவையான நெய் சாதம் சிக்கன் அல்லது மட்டன் கிரேவியுடன் சாப்பிட தயாராக உள்ளது. தயவுசெய்து செய்முறையை முயற்சி செய்து உங்கள் கருத்துகளைப் பகிர்ந்து கொள்ளுங்கள். மகிழ்ச்சியான சமையல் !!!</t>
  </si>
  <si>
    <t>https://blogger.googleusercontent.com/img/b/R29vZ2xl/AVvXsEhZUkLHrNVbLWEYczmqcIZ-ALEbC5ppulX4cz8Wl6-XotaRfQ1ELPXqm0fXVbiDdoKhE4cV-ZxuE-hhfVE2UVYQc3hcvFpjhh7WxygAspv35tlbt-iwQsqr8nVh15iXayidXmHhmFHV5cE/s640/Ghee+Rice.JPG</t>
  </si>
  <si>
    <t>Rice Pudding</t>
  </si>
  <si>
    <t>பால் பாயசம் | அரிசி பாயாசம்</t>
  </si>
  <si>
    <t>1/4 cup - Rice , 1 liter - Milk (4 cups approximately), 5-6 tbsp  - Sugar, 1 tbsp - Cashews, 1 tbsp - Almonds, 1 tbsp - Pistachios, 1 tbsp - Raisins, few Saffron, 4-5 - Cardamom pods.</t>
  </si>
  <si>
    <t>1/4 கப் - அரிசி, 1 லிட்டர் - பால் (தோராயமாக 4 கப்), 5-6 டீஸ்பூன் - சர்க்கரை, 1 டீஸ்பூன் - முந்திரி, 1 டீஸ்பூன் - பாதாம், 1 டீஸ்பூன் - பிஸ்தா, 1 டீஸ்பூன் - திராட்சை, சில குங்குமப்பூ, 4-5 - ஏலக்காய்.</t>
  </si>
  <si>
    <t>Heat milk in a pan and bring it to boil, try to use whole milk / full fat milk for this recipe. Once the milk has started boiling add the rice. We can use both short or long grain rice, wash and soak the rice in water for 20 -30 minutes. Add the rice and let it cook completely.  Reduce the heat to medium -low    Scrape the sides of the pan and add it to the milk    Stir the milk often for every 3- 4 minutes to prevent the rice from sticking to the bottom of the pan  While the rice is cooking lets powder some nuts - Cashews, Almonds, Pistachios and keep it aside.   Once the milk has reduced and rice is fully done add sugar, you can adjust according to your sweet preference.Also add in the powdered nuts, Raising and mix well.  Finally add crushed cardamom pods and few strands of saffron to get nice flavor and color. Mix it well and let it cook for few more minutes.   Once the milk is reduced fully and the rice is nice and soft (it breaks down into tiny pieces) turn off the heat and allow it to cool completely before serving. That's it our Rice Pudding / Rice Kheer is nice and ready.You can garnish it with rose petals or some nuts on the top.</t>
  </si>
  <si>
    <t>ஒரு பாத்திரத்தில் பாலை சூடாக்கி கொதிக்க வைத்து, இந்த செய்முறைக்கு முழு பால் / முழு கொழுப்புள்ள பால் பயன்படுத்த முயற்சிக்கவும்.  பால் கொதிக்க ஆரம்பித்தவுடன் அரிசியைச் சேர்க்கவும். நாம் குறுகிய அல்லது நீண்ட தானிய அரிசி இரண்டையும் பயன்படுத்தலாம், அரிசியைக் கழுவி 20 -30 நிமிடங்கள் தண்ணீரில் ஊற வைக்கவும். அரிசியைச் சேர்த்து முழுமையாக சமைக்கவும். தீயை மிதமானதாகக் குறை  பாத்திரத்தின் பக்கவாட்டுகளைத் துடைத்து பாலில் சேர்க்கவும் அரிசி பாத்திரத்தின் அடிப்பகுதியில் ஒட்டாமல் இருக்க ஒவ்வொரு 3-4 நிமிடங்களுக்கும் அடிக்கடி பாலை கிளறவும்  அரிசி சமைக்கும் போது சில கொட்டைகள் - முந்திரி, பாதாம், பிஸ்தா ஆகியவற்றைப் பொடி செய்து ஒதுக்கி வைக்கவும்.  பால் குறைந்து, சாதம் முழுவதுமாக வெந்ததும், சர்க்கரை சேர்க்கவும். உங்கள் விருப்பத்திற்கு ஏற்ப அதை சரிசெய்யலாம். பொடித்த கொட்டைகளையும் சேர்த்து, நன்கு கலக்கவும்.  கடைசியாக நொறுக்கப்பட்ட ஏலக்காய் காய்கள் மற்றும் சிறிது குங்குமப்பூவைச் சேர்த்து நல்ல சுவை மற்றும் நிறம் கிடைக்கும். நன்றாகக் கலந்து, இன்னும் சில நிமிடங்கள் சமைக்கவும்.  பால் முழுவதுமாகக் குறைந்து, சாதம் நன்றாகவும் மென்மையாகவும் (சிறிய துண்டுகளாக உடைந்ததும்) அடுப்பை அணைத்து, பரிமாறுவதற்கு முன் முழுமையாக ஆற விடவும்.  அவ்வளவுதான் எங்கள் ரைஸ் புட்டிங் / ரைஸ் கீர் நன்றாக இருக்கிறது, தயார். நீங்கள் அதை மேலே ரோஜா இதழ்கள் அல்லது சில கொட்டைகளால் அலங்கரிக்கலாம்.</t>
  </si>
  <si>
    <t>https://encrypted-tbn0.gstatic.com/images?q=tbn:ANd9GcTl2WZ7tAk3PNy1PDNK-ebYQNrcsr62u2xfyQ&amp;s</t>
  </si>
  <si>
    <t>Badusha</t>
  </si>
  <si>
    <t>பாதுஷா</t>
  </si>
  <si>
    <t>1.5cup - Maida / All Purpose flour, 1/2 tsp - Baking Powder, 2 tbsp -  Curd, 1/4 cup - Ghee , 1/2 tsp - Sugar, 3 -4 tbsp - Milk, 1 Cup - Sugar, 1/2 Cup - Water, 2 - Cardamom, 10 - Saffron, few drops lemon juice.</t>
  </si>
  <si>
    <t>1.5 கப் - மைதா / அனைத்து உபயோக மாவு, 1/2 தேக்கரண்டி - பேக்கிங் பவுடர், 2 தேக்கரண்டி - தயிர், 1/4 கப் - நெய், 1/2 தேக்கரண்டி - சர்க்கரை, 3 -4 தேக்கரண்டி - பால், 1 கப் - சர்க்கரை, 1/2 கப் - தண்ணீர், 2 - ஏலக்காய், 10 - குங்குமப்பூ, சில துளிகள் எலுமிச்சை சாறு.</t>
  </si>
  <si>
    <t>In a bowl add Maida, baking powder and mix well.Then add curd, ghee, sugar and milk. Combine everything nicely to form a dough.  Do not add too much of  milk Do not over knead the dough Dough should not be soft like chapathi dough, it should be flaky After mixing cover it with a cloth and keep it aside for 10 - 15 minutes  Dissolve sugar in water and bring it to one sting consistency, the sugar syrup should not pass one string , if is passes one string consistency then the syrup will not penetrate more efficiently into the badusha.   Once the syrup reaches one string, add cardamom and few strands of saffron (saffron is optional) and also add few drops of lemon juice to prevent sugar crystallization.Turn off the heat and keep it aside.  Now after 15 minutes take a small portion of the dough and make it into balls, you may see very few cracks on the outside that is perfectly normal, if there are more cracks then the badushas may break while frying, in that case we need to adjust the consistency by adding little more milk.Then make a small pit at the center using your index finger.  Fry the badhusha on a medium heat , oil should not be very hot. If it is hot then the badushas will develop color soon and it will stay raw at the center. In few minutes the badushas will lighten and float on the oil, flip it to the other side and let it develop uniform  golden color on all the sides.  Drain the excess oil and continue with the rest of the batches.  After frying drop it into the sugar syrup, if the syrup is cooled completely then heat it for a minute before adding the badusha. Cover the badushas in sugar syrup and let it soak for minimum 3 -4 minutes.  Finally Garnish it with your favorite nuts on the top.</t>
  </si>
  <si>
    <t>ஒரு பாத்திரத்தில் மைதா, பேக்கிங் பவுடர் சேர்த்து நன்கு கலக்கவும். பின்னர் தயிர், நெய், சர்க்கரை மற்றும் பால் சேர்க்கவும். எல்லாவற்றையும் நன்றாக சேர்த்து மாவை உருவாக்கவும்.  அதிகமாக பால் சேர்க்க வேண்டாம் மாவை அதிகமாக பிசைய வேண்டாம் மாவு சப்பாத்தி மாவைப் போல மென்மையாக இருக்கக்கூடாது, அது செதில்களாக இருக்க வேண்டும் கலந்த பிறகு அதை ஒரு துணியால் மூடி 10 - 15 நிமிடங்கள் ஒதுக்கி வைக்கவும்  சர்க்கரையை தண்ணீரில் கரைத்து ஒரு கொட்டு நிலைத்தன்மைக்கு கொண்டு வாருங்கள், சர்க்கரை பாகு ஒரு கொட்டு நிலைத்தன்மைக்கு செல்லக்கூடாது, ஒரு கொட்டு நிலைத்தன்மைக்கு சென்றால், சிரப் பாதுஷாவிற்குள் மிகவும் திறமையாக ஊடுருவாது.  சிரப் ஒரு சரம் பதத்திற்கு வந்தவுடன், ஏலக்காய் மற்றும் சில குங்குமப்பூ இழைகளைச் சேர்க்கவும் (குங்குமப்பூ விருப்பமானது) மேலும் சர்க்கரை படிகமாவதைத் தடுக்க சில துளிகள் எலுமிச்சை சாற்றையும் சேர்க்கவும். தீயை அணைத்து ஒதுக்கி வைக்கவும்.  இப்போது 15 நிமிடங்களுக்குப் பிறகு மாவின் ஒரு சிறிய பகுதியை எடுத்து உருண்டைகளாக உருட்டவும், வெளிப்புறத்தில் மிகக் குறைவான விரிசல்களைக் காணலாம், இது முற்றிலும் இயல்பானது, அதிக விரிசல்கள் இருந்தால், வறுக்கும்போது பாதுஷாக்கள் உடைந்து போகலாம், அந்த விஷயத்தில் நாம் இன்னும் கொஞ்சம் பால் சேர்ப்பதன் மூலம் நிலைத்தன்மையை சரிசெய்ய வேண்டும். பின்னர் உங்கள் ஆள்காட்டி விரலைப் பயன்படுத்தி மையத்தில் ஒரு சிறிய குழியை உருவாக்கவும்.  பாதுஷாவை மிதமான தீயில் வறுக்கவும், எண்ணெய் மிகவும் சூடாக இருக்கக்கூடாது. அது சூடாக இருந்தால் பாதுஷாக்கள் விரைவில் நிறம் மாறும், அது மையத்தில் பச்சையாகவே இருக்கும். சில நிமிடங்களில் பாதுஷாக்கள் லேசாகி எண்ணெயில் மிதக்கும், அதை மறுபுறம் திருப்பி, அனைத்து பக்கங்களிலும் சீரான தங்க நிறத்தை உருவாக்கட்டும்.  அதிகப்படியான எண்ணெயை வடிகட்டவும், மீதமுள்ள தொகுதிகளுடன் தொடரவும்.  வறுத்த பிறகு, சர்க்கரை பாகில் போடவும். சிரப் முழுவதுமாக குளிர்ந்துவிட்டால், பாதுஷாவைச் சேர்ப்பதற்கு முன் ஒரு நிமிடம் சூடாக்கவும். பாதுஷாக்களை சர்க்கரை பாகில் மூடி, குறைந்தபட்சம் 3-4 நிமிடங்கள் ஊற விடவும்.  இறுதியாக, உங்களுக்குப் பிடித்த கொட்டைகளை மேலே வைத்து அலங்கரிக்கவும்.</t>
  </si>
  <si>
    <t>https://blogger.googleusercontent.com/img/b/R29vZ2xl/AVvXsEg6ZKCIIi3gRzj8ccjzOsuAtPGQoUf1WnbGTfBWNqK1f1alAZvlIOuq22n6J9b88Ik1mVJZMZL2bxkrba8ha2Jc6I6OwGjyPS2QfhdSaQi8-wD5HRKtlpDqetfF-EvdsB5Q5Z48K74a8Rc/s640/Badusha.JPG</t>
  </si>
  <si>
    <t>Kadai Paneer</t>
  </si>
  <si>
    <t>கடாய் பனீர்</t>
  </si>
  <si>
    <t>200g - Paneer / Cottage Cheese , 2 - Dry Red Chilies, 1 tbsp  - Coriander seeds, 1/2 tsp - Pepper corns, 1 tsp - Cumin seeds, 1 tsp  - Fennel seeds, 1 tsp - Oil, 2  - Onions , 2 - Tomatoes, 1 inch  - Ginger,   3 - cloves Garlic, 1/2 tsp - Turmeric powder, 1 tsp - Chili powder, 2 Tbsp  - Oil, 1 -  Cinnamon stick,  4 - cloves ,  3  - Cardamom ,  2  - green chilies, Bell pepper, Onion, Salt to taste ,  required water, Coriander leaves.</t>
  </si>
  <si>
    <t>200 கிராம் - பனீர் / பாலாடைக்கட்டி, 2 - உலர்ந்த சிவப்பு மிளகாய், 1 டீஸ்பூன் - கொத்தமல்லி விதைகள், 1/2 டீஸ்பூன் - மிளகு, 1 டீஸ்பூன் - சீரகம், 1 டீஸ்பூன் - பெருஞ்சீரகம், 1 டீஸ்பூன் - எண்ணெய், 2 - வெங்காயம், 2 - தக்காளி, 1 அங்குலம் - இஞ்சி, 3 - பூண்டு பல், 1/2 டீஸ்பூன் - மஞ்சள் தூள், 1 டீஸ்பூன் - மிளகாய் தூள், 2 டீஸ்பூன் - எண்ணெய், 1 - இலவங்கப்பட்டை குச்சி, 4 - கிராம்பு, 3 - ஏலக்காய், 2 - பச்சை மிளகாய், பெல் மிளகு, வெங்காயம், சுவைக்கு உப்பு, தேவையான தண்ணீர், கொத்தமல்லி இலைகள்</t>
  </si>
  <si>
    <t>Dry roast coriander seeds, fennel seeds, cumin seeds, pepper corns, dry red chilies for 2- 3 minutes on a medium heat, once you feel the nice aroma of the roasted spices turn off the heat and transfer the spices to a blender and grind it to a fine-coarse powder (do not grind it too fine, masala should be little coarse)  Heat oil in a pan and add onions, little bit of salt and saute it for few minutes. Once the onions turns golden add Garlic, Ginger, Turmeric powder, chili powder , tomatoes and add required water and let it cook for 5- 6 minutes.  Once the tomatoes are nice and soft transfer to a blender and once the mixture cools down grind it to a smooth paste.  Heat oil and once it is nice and hot add the whole spices - cinnamon stick, cardamom, cloves and then add green chilies ,cubed bell pepper and onions. Once the tomatoes turns translucent add the freshly ground kadai masala from step 1 and mix well.  Then add the onion tomato base from step 3 and mix well.Also add required water and salt. Cover and cook for some more time. Finally add the cubed paneer and mix it gently with the masala base and cover and cook for another 2 - 3 minutes.  Finally add coriander leaves for garnishing and turn off the heat.  That's it our delicious Kadai Paneer is ready under 20 minutes and is ready to be served hot with roti, chapathi or any dish of your choice. It is really quite simple  easy to make and tatses absolutely delicious. You can roast / fry the paneer in some ghee for a couple of minutes and add it to the curry to enhance the taste of Kadai paneer Recipe. Please do try the recipe and share your feedback.</t>
  </si>
  <si>
    <t>கொத்தமல்லி விதைகள், பெருஞ்சீரகம், சீரகம், மிளகுத்தூள், உலர்ந்த சிவப்பு மிளகாய் ஆகியவற்றை மிதமான தீயில் 2-3 நிமிடங்கள் வறுக்கவும். வறுத்த மசாலாப் பொருட்களின் நல்ல மணம் வந்ததும், தீயை அணைத்து, மசாலாப் பொருட்களை ஒரு பிளெண்டரில் போட்டு நன்றாக கரடுமுரடான பொடியாக அரைக்கவும் (நன்றாக அரைக்க வேண்டாம், மசாலா கொஞ்சம் கரடுமுரடானதாக இருக்க வேண்டும்).  ஒரு கடாயில் எண்ணெயை சூடாக்கி, வெங்காயம், சிறிது உப்பு சேர்த்து சில நிமிடங்கள் வதக்கவும். வெங்காயம் பொன்னிறமாக மாறியதும், பூண்டு, இஞ்சி, மஞ்சள் தூள், மிளகாய் தூள், தக்காளி சேர்த்து தேவையான தண்ணீர் சேர்த்து 5-6 நிமிடங்கள் சமைக்கவும்.  தக்காளி நன்றாக மென்மையாக மாறியதும், ஒரு பிளெண்டரில் போட்டு, கலவை ஆறியதும், மென்மையான பேஸ்டாக அரைக்கவும்.  எண்ணெயை சூடாக்கி, அது நன்றாகவும் சூடாகவும் வந்ததும், முழு மசாலாப் பொருட்களையும் - இலவங்கப்பட்டை குச்சி, ஏலக்காய், கிராம்பு, பின்னர் பச்சை மிளகாய், துண்டுகளாக்கப்பட்ட குச்சி மற்றும் வெங்காயம் சேர்த்து அரைக்கவும். தக்காளி ஒளிஊடுருவக்கூடியதாக மாறியதும், படி 1 இல் இருந்து புதிதாக அரைத்த கடாய் மசாலாவைச் சேர்த்து நன்கு கலக்கவும்.  பின்னர் படி 3 இல் உள்ள வெங்காய தக்காளி பேஸைச் சேர்த்து நன்கு கலக்கவும். தேவையான தண்ணீர் மற்றும் உப்பு சேர்க்கவும். மூடி வைத்து சிறிது நேரம் சமைக்கவும். இறுதியாக துண்டுகளாக்கப்பட்ட பனீரைச் சேர்த்து மசாலா பேஸுடன் மெதுவாக கலந்து மூடி வைத்து மேலும் 2 - 3 நிமிடங்கள் சமைக்கவும்.  இறுதியாக அலங்கரிக்க கொத்தமல்லி இலைகளைச் சேர்த்து அடுப்பை அணைக்கவும்.  அவ்வளவுதான் எங்கள் சுவையான கடாய் பனீர் 20 நிமிடங்களுக்குள் தயாராக உள்ளது மற்றும் ரொட்டி, சப்பாத்தி அல்லது உங்களுக்கு விருப்பமான எந்த உணவுடனும் சூடாக பரிமாற தயாராக உள்ளது. இது மிகவும் எளிமையானது மற்றும் மிகவும் சுவையாக இருக்கும். நீங்கள் பனீரை சிறிது நெய்யில் வறுத்து/வறுத்து, கறியில் சேர்த்து கடாய் பனீர் ரெசிபியின் சுவையை அதிகரிக்கலாம். தயவுசெய்து செய்முறையை முயற்சி செய்து உங்கள் கருத்துகளைப் பகிர்ந்து கொள்ளுங்கள்.</t>
  </si>
  <si>
    <t>https://encrypted-tbn0.gstatic.com/images?q=tbn:ANd9GcSisTWcK78IaqZqtfdL0Y2N-RKNzxmM0mb2FQ&amp;s</t>
  </si>
  <si>
    <t>https://youtu.be/JadvONTwPbY</t>
  </si>
  <si>
    <t>Mushroom Gravy</t>
  </si>
  <si>
    <t>காளான் கிரேவி</t>
  </si>
  <si>
    <t>250 g - Mushroom, 3 tbsp - Oil, 1  - Cinnamon stick, 3 - Cardamom, 1/2 tsp - Cumin seeds, 1 - Onion, 1/2 tsp - Turmeric powder, 1/2 tsp - Cumin powder, 1 tsp - Garam masala powder, 1 tsp - Coriander powder, 2 tsp - Chili powder or to taste, 1 tsp - Ginger Garlic paste, 3 - Green Chilies, few Curry leaves, 1 - Tomato, required Water, Salt to taste, Coriander leaves.</t>
  </si>
  <si>
    <t>250 கிராம் - காளான், 3 டேபிள்ஸ்பூன் - எண்ணெய், 1 - இலவங்கப்பட்டை குச்சி, 3 - ஏலக்காய், 1/2 டேபிள்ஸ்பூன் - சீரகம், 1 - வெங்காயம், 1/2 டேபிள்ஸ்பூன் - மஞ்சள் தூள், 1/2 டேபிள்ஸ்பூன் - சீரகப் பொடி, 1 டேபிள்ஸ்பூன் - கரம் மசாலா பொடி, 1 டேபிள்ஸ்பூன் - கொத்தமல்லி பொடி, 2 டேபிள்ஸ்பூன் - மிளகாய் பொடி அல்லது சுவைக்கேற்ப, 1 டேபிள்ஸ்பூன் - இஞ்சி பூண்டு விழுது, 3 - பச்சை மிளகாய், சில கறிவேப்பிலை, 1 - தக்காளி, தேவையான தண்ணீர், ருசிக்கேற்ப உப்பு, கொத்தமல்லி இலைகள்.</t>
  </si>
  <si>
    <t>Heat oil in a pan and add cinnamon stick, cardamom and cumin seeds, after a few seconds add finely chopped onions, salt and saute until golden.  Once the onions are golden add the masalas - Ginger garlic paste, turmeric powder, Cumin powder, garam masala , coriander powder , red chili powder, green chilies and curry leaves. Mix all the ingredients well and then add chopped tomato , little bit of water and cook cook until everything turns soft ( 5 - 6 minutes). You can also add tomato paste to get very smooth gravy.  Once oil starts to separate, add the cleaned and sliced mushrooms and mix it well with the masala mixture and cook for 3 - 4 minutes. Then add required water and cook until the mushrooms are fully done.   Finally garnish with chopped coriander leaves and turn off the heat. You can add a tsp of ghee on the top to enhance the flavor.</t>
  </si>
  <si>
    <t>ஒரு கடாயில் எண்ணெயை சூடாக்கி, இலவங்கப்பட்டை, ஏலக்காய் மற்றும் சீரகம் சேர்த்து, சில நொடிகள் கழித்து இறுதியாக நறுக்கிய வெங்காயம், உப்பு சேர்த்து பொன்னிறமாகும் வரை வதக்கவும்.  வெங்காயம் பொன்னிறமாக மாறியதும் மசாலாக்களை சேர்க்கவும் - இஞ்சி பூண்டு விழுது, மஞ்சள் தூள், சீரகப் பொடி, கரம் மசாலா, கொத்தமல்லி பொடி, சிவப்பு மிளகாய் பொடி, பச்சை மிளகாய் மற்றும் கறிவேப்பிலை. அனைத்து பொருட்களையும் நன்றாகக் கலந்து, பின்னர் நறுக்கிய தக்காளி, சிறிது தண்ணீர் சேர்த்து, எல்லாம் மென்மையாகும் வரை (5 - 6 நிமிடங்கள்) சமைக்கவும். தக்காளி விழுதையும் சேர்த்து மிகவும் மென்மையான கிரேவியைப் பெறலாம்.  எண்ணெய் பிரிந்து வர ஆரம்பித்ததும், சுத்தம் செய்து நறுக்கிய காளான்களைச் சேர்த்து மசாலா கலவையுடன் நன்கு கலந்து 3 - 4 நிமிடங்கள் சமைக்கவும். பின்னர் தேவையான அளவு தண்ணீர் சேர்த்து காளான்கள் முழுமையாக வேகும் வரை சமைக்கவும்.  இறுதியாக நறுக்கிய கொத்தமல்லி இலைகளால் அலங்கரித்து, தீயை அணைக்கவும். சுவையை அதிகரிக்க மேலே ஒரு தேக்கரண்டி நெய்யைச் சேர்க்கலாம்.</t>
  </si>
  <si>
    <t>https://blogger.googleusercontent.com/img/b/R29vZ2xl/AVvXsEjqMwjzw5hbBHHp0Y1NJNP3YPhbPkFBEqvGHE2djeMnWXHAxxUqJE3DSo7Dxzl6gP5TL9q83BCHuTUuFh46taiqRtqOb69YEhZP1LYQcv1P9g4hRlXMlJoiHYjiQ6JtZXZBI9FRdYihVz8/s640/mushroom+masala+recipe.JPG</t>
  </si>
  <si>
    <t>Onion Pakoda</t>
  </si>
  <si>
    <t>வெங்காய பக்கோடா</t>
  </si>
  <si>
    <t>2 - Onion (large) , 4 - green Chilies, 1 tsp - Fennel seeds, 1.5 tsp - Chili powder, pinch Asafoetida, 1 - spring Curry leaves, 3 tbsp  - Coriander leaves, 1/2 cup - Besan, 1/4 cup - Rice flour, 1 tbsp  - Oil, Salt to taste, Water.</t>
  </si>
  <si>
    <t>2 - வெங்காயம் (பெரியது), 4 - பச்சை மிளகாய், 1 தேக்கரண்டி - வெந்தயம், 1.5 தேக்கரண்டி - மிளகாய் தூள், சிட்டிகை பெருங்காயம், 1 - வசந்த கறிவேப்பிலை, 3 தேக்கரண்டி - கொத்தமல்லி இலை, 1/2 கப் - கடலைப்பருப்பு, 1/4 கப் - அரிசி மாவு, 1 தேக்கரண்டி - எண்ணெய், சுவைக்கு உப்பு, தண்ணீர்.</t>
  </si>
  <si>
    <t>Slice the onions lengthwise and add it to a bowl. Add slit green chilies, fennel seeds, Chili powder, Asafoetida, Oil, curry leaves  coriander leaves (finely chopped)  and salt. Mix all the ingredients well.   Add besan and rice flour to the onions and mix well. Do not add water at this point, because the onions releases its own moisture so sprinkle water only when you are ready for frying.   Once you are ready to fry sprinkle a very little amount of water, just enough to bind them together.Do not add too much of water, if we add more water then it will not be crispy and taste like bajji.   Heat oil in a kadai and once the oil is nice and hot deep fry them in small batches.Once it turns nice and crispy drain the excess oil and take it off from the oil.  That's it our crispy Onion Pakkoda is ready to be served with a cup of hot tea/ coffee.I love to have this Onion Pakoda as a side for Lemon Rice, my friend Preethi suggested this combination , from then on I am following the same, what a lovely combination !!!!.</t>
  </si>
  <si>
    <t>வெங்காயத்தை நீளவாக்கில் நறுக்கி ஒரு பாத்திரத்தில் சேர்க்கவும். பச்சை மிளகாய், பெருங்காயம், மிளகாய் தூள், பெருங்காயம், எண்ணெய், கறிவேப்பிலை கொத்தமல்லி இலைகள் (நன்றாக நறுக்கியது) மற்றும் உப்பு சேர்க்கவும். அனைத்து பொருட்களையும் நன்றாக கலக்கவும்.  வெங்காயத்துடன் கடலைப்பருப்பு மற்றும் அரிசி மாவை சேர்த்து நன்கு கலக்கவும். இந்த நேரத்தில் தண்ணீர் சேர்க்க வேண்டாம், ஏனெனில் வெங்காயம் அதன் சொந்த ஈரப்பதத்தை வெளியிடுகிறது, எனவே நீங்கள் வறுக்கத் தயாரானதும் மட்டுமே தண்ணீரைத் தெளிக்கவும்.  வறுக்கத் தயாரானதும், மிகக் குறைந்த அளவு தண்ணீரைத் தெளிக்கவும், அவற்றை ஒன்றாக இணைக்க போதுமானது. அதிக தண்ணீர் சேர்க்க வேண்டாம், நாம் அதிக தண்ணீர் சேர்த்தால் அது மொறுமொறுப்பாக இருக்காது, பஜ்ஜி போல சுவைக்கும்.  ஒரு கடாயில் எண்ணெயை சூடாக்கி, எண்ணெய் நன்றாகவும் சூடாகவும் வந்ததும், அவற்றை சிறிய துண்டுகளாக வறுக்கவும். அது நன்றாக மாறி மொறுமொறுப்பாக மாறியதும், அதிகப்படியான எண்ணெயை வடிகட்டி எண்ணெயிலிருந்து எடுக்கவும்.  அவ்வளவுதான், எங்கள் மொறுமொறுப்பான வெங்காய பக்கோடா ஒரு கப் சூடான தேநீர் / காபியுடன் பரிமாற தயாராக உள்ளது. எலுமிச்சை சாதத்திற்கு இந்த வெங்காய பக்கோடாவை ஒரு பக்க உணவாக சாப்பிடுவது எனக்கு மிகவும் பிடிக்கும், என் தோழி பிரீத்தி இந்த கலவையை பரிந்துரைத்தார், அப்போதிருந்து நானும் அதையே பின்பற்றுகிறேன், என்ன ஒரு அழகான கலவை !!!!.</t>
  </si>
  <si>
    <t>https://encrypted-tbn0.gstatic.com/images?q=tbn:ANd9GcSw44jgJREOyQ27GqhF34ZZ-9I37CyEuRYy9w&amp;s</t>
  </si>
  <si>
    <t>Chicken Tikka</t>
  </si>
  <si>
    <t>சிக்கன் டிக்கா</t>
  </si>
  <si>
    <t>4 tbsp - thick Yogurt, 1 tbsp - Ginger Garlic paste, 1/2 tsp - Turmeric powder, 1 tsp - Cumin powder, 1 tsp - Garam masala powder, 1 tbsp - Kashmiri Chili powder, 1 tbsp - Lemon juice, required salt, 1/4 tsp - Pepper, 1/2 kg - Boneless chicken pieces, 1 - Capsicum / Bell pepper, 1  - Onion.</t>
  </si>
  <si>
    <t>4 டீஸ்பூன் - கெட்டியான தயிர், 1 டீஸ்பூன் - இஞ்சி பூண்டு விழுது, 1/2 டீஸ்பூன் - மஞ்சள் தூள், 1 டீஸ்பூன் - சீரகப் பொடி, 1 டீஸ்பூன் - கரம் மசாலா பொடி, 1 டீஸ்பூன் - காஷ்மீரி மிளகாய் பொடி, 1 டீஸ்பூன் - எலுமிச்சை சாறு, தேவையான உப்பு, 1/4 டீஸ்பூன் - மிளகு, 1/2 கிலோ - எலும்பில்லாத சிக்கன் துண்டுகள், 1 - கேப்சிகம் / பெல் பெப்பர், 1 - வெங்காயம்.</t>
  </si>
  <si>
    <t>Into a mixing bowl add yogurt, ginger garlic paste, Turmeric powder, cumin powder, garam masala, chili powder, lemon juice , salt and pepper. After adding all the ingredients mix it nicely.   Add boneless Chicken pieces, Bell peppers and onions to the masala mixture and coat well with the mixture. Onions, bell peppers and chicken - equal size .  Let it marinate for minimum 30 -60 minutes, for best results marinate it overnight in the refrigerator.  After marinating the chicken arrange them on a skewer,  alternately place the bell peppers and the onions.  Preheat the oven to 450 F and bake it for 10 minutes on one side and then flip it to the other side and bake for 10 -15 minutes. Once the chicken is fully done broil it for another 2 minutes to get nice color on the chicken pieces. Elevate the chicken pieces from touching the pan , to prevent the chicken boiling from its own juices.   Heat an iron pan and grease with oil, Place the chicken skewers and cook until the chicken is fully done, make sure to flip them in between to ensure even cooking.  That's it our delicious chicken Tikka is ready, Squeeze a little bit of lemon juice on the top before serving. You can use this chicken to make lot of recipes like Chicken Tikka masala, Butter Chicken and even you use this chicken to make chicken masala curry. All the recipes tastes wonderful with this delicious chicken tikka.</t>
  </si>
  <si>
    <t>ஒரு கலவை கிண்ணத்தில் தயிர், இஞ்சி பூண்டு விழுது, மஞ்சள் தூள், சீரகப் பொடி, கரம் மசாலா, மிளகாய் தூள், எலுமிச்சை சாறு, உப்பு மற்றும் மிளகு சேர்க்கவும். அனைத்து பொருட்களையும் சேர்த்த பிறகு அதை நன்றாக கலக்கவும்.  எலும்பில்லாத சிக்கன் துண்டுகள், பெல் பெப்பர் மற்றும் வெங்காயத்தை மசாலா கலவையில் சேர்த்து கலவையுடன் நன்றாக பூசவும். வெங்காயம், பெல் பெப்பர் மற்றும் கோழி - சம அளவு.  குறைந்தபட்சம் 30-60 நிமிடங்கள் ஊற விடவும், சிறந்த முடிவுகளுக்கு குளிர்சாதன பெட்டியில் இரவு முழுவதும் ஊற வைக்கவும்.  கோழியை ஊறவைத்த பிறகு, ஒரு ஸ்கீவரில் அடுக்கி, பெல் பெப்பர் மற்றும் வெங்காயத்தை மாறி மாறி வைக்கவும்.  அடுப்பை 450 F க்கு முன்கூட்டியே சூடாக்கி, ஒரு பக்கம் 10 நிமிடங்கள் சுடவும், பின்னர் அதை மறுபுறம் திருப்பி 10 -15 நிமிடங்கள் சுடவும். சிக்கன் முழுவதுமாக வெந்ததும், சிக்கன் துண்டுகள் நல்ல நிறத்தைப் பெற அதை மேலும் 2 நிமிடங்கள் வேகவைக்கவும். சிக்கன் அதன் சொந்த சாறுகளிலிருந்து கொதிக்காமல் இருக்க, சிக்கன் துண்டுகள் வாணலியைத் தொடாமல் உயர்த்தவும்.  ஒரு இரும்பு வாணலியை சூடாக்கி, எண்ணெயை தடவி, சிக்கன் ஸ்கீவர்களை வைத்து, சிக்கன் முழுமையாக வேகும் வரை சமைக்கவும், சமமாக சமைக்கப்படுவதை உறுதிசெய்ய அவற்றை இடையில் புரட்டுவதை உறுதிசெய்யவும்.  அவ்வளவுதான் எங்கள் சுவையான சிக்கன் டிக்கா தயார், பரிமாறுவதற்கு முன் மேலே சிறிது எலுமிச்சை சாற்றை பிழியவும். சிக்கன் டிக்கா மசாலா, பட்டர் சிக்கன் போன்ற பல ரெசிபிகளை நீங்கள் இந்த சிக்கனைப் பயன்படுத்தலாம், மேலும் நீங்கள் சிக்கன் மசாலா கறி செய்ய இந்த சிக்கனைப் பயன்படுத்தலாம். இந்த சுவையான சிக்கன் டிக்காவுடன் அனைத்து ரெசிபிகளும் அருமையாக இருக்கும்.</t>
  </si>
  <si>
    <t>https://blogger.googleusercontent.com/img/b/R29vZ2xl/AVvXsEiaVkKDn-IHBE5OaBmFk6KjWHEjzR5DXrVVIQ1ovgY36Yxv5MyvnstI1dWQ-Dxqkef8n1DFiGmjsbzwmjEAh9vHjlAV2z8E-OlgUCqQNp7BsV0KRNMJwJUN8n1tPPWtoJ3STYMLJR1bjGGZ/s200/chicken+tikka+on+tawa.JPG</t>
  </si>
  <si>
    <t>Paruppu Urundai Kuzhambu</t>
  </si>
  <si>
    <t>பருப்பு உருண்டை குழம்பு</t>
  </si>
  <si>
    <t>3/4 cup - oor dal, 1/4 cup - Channa Dal / Chickpea / Kadalai paruppu, 1 tsp - Fennel seeds, 3  - dry red chilies, 10-12 - Shallots (small onions), 3 tbsp - Coriander leaves, Salt to taste, 2 tbsp - Oil, 1/4 tsp - Mustard seeds, 1/2 tsp - Cumin seeds, 1/2 tsp - Fennel seeds, 5 - cloves  Garlic, 15 - Shallots (small onions), 1/2 tsp - Turmeric powder, 2 tsp - Coriander powder, 2 tsp - Chili powder or to taste, 1 - Tomato, Tamarind extract  (lemon size), 1/4 cup - grated Coconut, required Water, Salt to taste, Curry leaves.</t>
  </si>
  <si>
    <t>3/4 கப் - உளுத்தம் பருப்பு, 1/4 கப் - சன்னா பருப்பு / கொண்டைக்கடலை / கடலை பருப்பு, 1 தேக்கரண்டி - வெந்தயம் விதைகள், 3 - உலர்ந்த சிவப்பு மிளகாய், 10-12 - வெங்காயம் (சிறிய வெங்காயம்), 3 தேக்கரண்டி - கொத்தமல்லி இலைகள், சுவைக்கு உப்பு, 2 தேக்கரண்டி - எண்ணெய், 1/4 தேக்கரண்டி - கடுகு, 1/2 தேக்கரண்டி - சீரகம், 1/2 தேக்கரண்டி - வெந்தயம் விதைகள், 5 - பல் பூண்டு, 15 - வெங்காயம் (சிறிய வெங்காயம்), 1/2 தேக்கரண்டி - மஞ்சள் தூள், 2 தேக்கரண்டி - கொத்தமல்லி தூள், 2 தேக்கரண்டி - மிளகாய் தூள் அல்லது சுவைக்கு, 1 - தக்காளி, புளி சாறு (எலுமிச்சை அளவு), 1/4 கப் - துருவிய தேங்காய், தேவையான தண்ணீர், ருசிக்கு உப்பு, கறிவேப்பிலை.</t>
  </si>
  <si>
    <t>Wash and soak Toor dal and Channa dal in water for 1 - 2 hours. Drain the water and transfer it to a blender also add fennel seeds and dry red chilies, grind it to a coarse - fine paste without adding any water.  Transfter the dal mix to a bowl and add finely chopped shallots (small onions) , shallots gives nice taste to the recipe, also add chopped coriander leaves and salt. Mix it well and form small balls out of it .Leave a small portion of the mix (we will add later in the curry to thicken the base)  Steam the urundai / dal balls on a idli plate for 10 -12 minutes. Grease the idli pan with some oil before placing the balls (optional).  Heat oil in a pan and add mustard seeds, once the seeds splutter add cumin seeds and fennel seeds, give it a stir and add garlic then shallots (cut into small pieces) , saute it for 2 minutes and then add the masalas - turmeric powder, coriander powder, red chili powder.  Add chopped tomato and then add tamarind extract ( small lemon size tamarind soaked in water for 20 minutes) , the left over urundai mix / dal mix , required water, required salt and cook for 5 - 6 minutes.   In the meanwhile grind coconut with some water and keep it aside, coconut adds richness and creaminess to the recipe, it also thickens the base.  Add the coconut mixture to the curry and cook for 2 more minutes.Once done add the cooked balls and cook for another 4 - 5 minutes on a medium heat. Finally garnish it with curry leaves.  That's it our Paruppu Urundia Kuzhambu is ready, let the balls soak for 10 - 15 minutes in the gravy before serving, so that the balls become soft by absorbing the gravy . Please so try the recipe and share your feedback with us, Spread the Joy of Cooking !!!</t>
  </si>
  <si>
    <t>துவரம் பருப்பையும் சன்னா பருப்பையும் கழுவி 1 - 2 மணி நேரம் தண்ணீரில் ஊற வைக்கவும். தண்ணீரை வடித்து ஒரு பிளெண்டரில் போட்டு, வெந்தயம் மற்றும் உலர்ந்த சிவப்பு மிளகாய் சேர்த்து, தண்ணீர் சேர்க்காமல் கரடுமுரடான பேஸ்டாக அரைக்கவும்.  பருப்பு கலவையை ஒரு கிண்ணத்தில் மாற்றி, இறுதியாக நறுக்கிய வெங்காயம் (சிறிய வெங்காயம்) சேர்க்கவும், வெங்காயம் செய்முறைக்கு நல்ல சுவையைத் தரும், நறுக்கிய கொத்தமல்லி இலைகள் மற்றும் உப்பு சேர்க்கவும். நன்றாக கலந்து அதிலிருந்து சிறிய உருண்டைகளை உருவாக்குங்கள். கலவையின் ஒரு சிறிய பகுதியை விட்டு விடுங்கள் (அடிப்பகுதி கெட்டியாக கறியில் பின்னர் சேர்ப்போம்)  உருண்டை / பருப்பு உருண்டைகளை ஒரு இட்லி தட்டில் 10-12 நிமிடங்கள் வேகவைக்கவும். உருண்டைகளை வைப்பதற்கு முன் இட்லி பாத்திரத்தில் சிறிது எண்ணெயுடன் தடவவும் (விரும்பினால்).  ஒரு கடாயில் எண்ணெயை சூடாக்கி, கடுகு சேர்க்கவும், விதைகள் பிளந்ததும் சீரகம் மற்றும் பெருஞ்சீரகம் சேர்த்து, கிளறி, பூண்டு சேர்த்து, பின்னர் வெங்காயம் (சிறிய துண்டுகளாக நறுக்கியது), 2 நிமிடங்கள் வதக்கவும், பின்னர் மசாலாக்கள் - மஞ்சள் தூள், கொத்தமல்லி தூள், சிவப்பு மிளகாய் தூள் சேர்க்கவும்.  நறுக்கிய தக்காளியைச் சேர்த்து, பின்னர் புளி சாறு (சிறிய எலுமிச்சை அளவு புளி தண்ணீரில் 20 நிமிடங்கள் ஊறவைத்தது), மீதமுள்ள உருண்டை கலவை / பருப்பு கலவை, தேவையான தண்ணீர், தேவையான உப்பு சேர்த்து 5 - 6 நிமிடங்கள் சமைக்கவும்.  இதற்கிடையில், தேங்காய் சிறிது தண்ணீரில் அரைத்து, ஒதுக்கி வைக்கவும், தேங்காய் செய்முறைக்கு செழுமையையும் கிரீமியையும் சேர்க்கிறது, இது அடிப்பகுதியையும் கெட்டியாக்குகிறது.  தேங்காய் கலவையை கறியுடன் சேர்த்து மேலும் 2 நிமிடங்கள் சமைக்கவும். சமைத்த உருண்டைகளைச் சேர்த்து, மிதமான தீயில் மேலும் 4 - 5 நிமிடங்கள் சமைக்கவும். இறுதியாக கறிவேப்பிலையால் அலங்கரிக்கவும்.  அவ்வளவுதான் எங்கள் பருப்பு உருண்டியா குழம்பு தயார், பரிமாறும் முன் உருண்டைகளை கிரேவியில் 10 - 15 நிமிடங்கள் ஊற வைக்கவும், இதனால் உருண்டைகள் கிரேவியை உறிஞ்சி மென்மையாக மாறும். தயவுசெய்து செய்முறையை முயற்சி செய்து உங்கள் கருத்தை எங்களுடன் பகிர்ந்து கொள்ளுங்கள், சமையலின் மகிழ்ச்சியைப் பரப்புங்கள் !!!</t>
  </si>
  <si>
    <t>https://blogger.googleusercontent.com/img/b/R29vZ2xl/AVvXsEjAdY7cBT6CSWH6F9XT7N70iCnw33n28agl60kRJz3KCUEfUZTNqEnkFKzkjsXWIhX0C1s7EWtvMk1h572HI29FRK_CUonUIZ83gy6xc6acKY2D6dOI4P_oErCsG6VdP57CaVyKv8fdimsR/s400/how+to+make+paruppu+urundai+kulambu.JPG</t>
  </si>
  <si>
    <t>Malai Kofta</t>
  </si>
  <si>
    <t>மலாய் கோஃப்டா</t>
  </si>
  <si>
    <t>1 cup - Grated Paneer / Cottage cheese ( 150 g) , 1 cup - Potato(boiled and mashed) - 2 medium size, 1/2 tsp - Chili powder, 1/2 tsp - Garam masala powder, 3 tbsp - chopped nuts (cashews, almonds etc..), 3 tbsp - Coriander leaves, 1 tbsp - Maida + extra for coating, Salt and pepper, Oil for frying, 2 tbsp - Oil. 1 - Onion, 3  - Tomatoes, 1 inch - Ginger, 4 cloves  - Garlic, 1/2 tsp - Turmeric powder, 1 tsp - Cumin powder, 1 tsp - Coriander powder, 1 tbsp - kashmiri chili powder , 5-6 - Cashews, 2 tbsp  - Butter, 2 bay leaves,  1 cinnamon stick,  3 cardamom, 1/2 tsp - Cumin seeds, 3 - Green chilies, 1/2 tsp - Sugar or Honey, 1 tsp - dried fenugreek leaves, 1 tbsp - Cream Salt to taste,  required water.</t>
  </si>
  <si>
    <t>1 கப் - துருவிய பனீர் / பாலாடைக்கட்டி (150 கிராம்), 1 கப் - உருளைக்கிழங்கு (வேகவைத்து மசித்தது) - 2 நடுத்தர அளவு, 1/2 தேக்கரண்டி - மிளகாய் தூள், 1/2 தேக்கரண்டி - கரம் மசாலா தூள், 3 தேக்கரண்டி - நறுக்கிய கொட்டைகள் (முந்திரி, பாதாம் போன்றவை..), 3 தேக்கரண்டி - கொத்தமல்லி இலைகள், 1 தேக்கரண்டி - மைதா + பூசுவதற்கு கூடுதலாக, உப்பு மற்றும் மிளகு, வறுக்க எண்ணெய், 2 தேக்கரண்டி - எண்ணெய். 1 - வெங்காயம், 3 - தக்காளி, 1 அங்குலம் - இஞ்சி, 4 பல் - பூண்டு, 1/2 தேக்கரண்டி - மஞ்சள் தூள், 1 தேக்கரண்டி - சீரகப் பொடி, 1 தேக்கரண்டி - கொத்தமல்லி பொடி, 1 தேக்கரண்டி - காஷ்மீரி மிளகாய் பொடி, 5-6 - முந்திரி, 2 தேக்கரண்டி - வெண்ணெய், 2 பிரியாணி இலைகள், 1 இலவங்கப்பட்டை குச்சி, 3 ஏலக்காய், 1/2 தேக்கரண்டி - சீரகம் விதைகள், 3 - பச்சை மிளகாய், 1/2 தேக்கரண்டி - சர்க்கரை அல்லது தேன், 1 தேக்கரண்டி - உலர்ந்த வெந்தய இலைகள், 1 தேக்கரண்டி - கிரீம் ருசிக்க உப்பு, தேவையான தண்ணீர்.</t>
  </si>
  <si>
    <t>In a mixing bowl combine grated paneer, boiled and mashed potatoes, Chili powder, garam masala, coriander leaves, chopped nuts, Maida, pepper and salt. The mixture should be dry and there should not be any moisture , if there is too much of moisture then the koftas may beak while frying in oil, so if that happens add some more flour (maida ) and mix well this will hold everything together.  Make medium sized kofta balls out of the mixture. Roll it in flour ( you can use maida or corn flour )  Fry the koftas in oil - medium temperature. Once all the sides develop nice uniform golden color take it off from the oil and keep it aside.  Heat oil and add onion and saute until translucent. Add roughly chopped tomatoes and the masalas - Turmeric powder, garam masala powder, cumin powder, coriander powder , red chili powder , ginger garlc and cashew nuts. Add little bit of water , cover and cook for 10 minutes.  Once the raw smell of the masala is gone turn off the heat and transfer the contents to a blender and once the mixture cools down grind it to a smooth paste.   Melt butter in a pan and add the whole spices for flavoring - Bay leaves, Cinnamon, Cardamom, cumin seeds and green chilies.Give it a stir and then add the ground masala paste. Cover and cook for another 6 -7 minutes.   Add water and bring it to boil,then add some sugar to balance the taste, fresh cream and kasoori methi (crush it beween your palms and add it to the curry) . Mix everything once and turn off the heat.  Arrange the koftas in a plate and add the gravy on to the top of the koftas, drizzle some cream and sprinkle some chopped coriander leaves on the top before serving.</t>
  </si>
  <si>
    <t>ஒரு கலவை பாத்திரத்தில் துருவிய பனீர், வேகவைத்த மற்றும் மசித்த உருளைக்கிழங்கு, மிளகாய் தூள், கரம் மசாலா, கொத்தமல்லி இலைகள், நறுக்கிய கொட்டைகள், மைதா, மிளகு மற்றும் உப்பு ஆகியவற்றைச் சேர்க்கவும். கலவை உலர்ந்ததாகவும் ஈரப்பதம் இல்லாமல் இருக்க வேண்டும், அதிக ஈரப்பதம் இருந்தால், கோஃப்தாக்கள் எண்ணெயில் வறுக்கும்போது கொப்பளிக்கக்கூடும், அப்படி நடந்தால் இன்னும் கொஞ்சம் மாவு (மைதா) சேர்த்து நன்கு கலக்கவும், இது எல்லாவற்றையும் ஒன்றாக வைத்திருக்கும்.  கலவையிலிருந்து நடுத்தர அளவிலான கோஃப்தா உருண்டைகளை உருவாக்கவும். அதை மாவில் உருட்டவும் (நீங்கள் மைதா அல்லது சோள மாவைப் பயன்படுத்தலாம்)  கோஃப்தாக்களை எண்ணெயில் - நடுத்தர வெப்பநிலையில் வறுக்கவும். அனைத்து பக்கங்களும் நல்ல சீரான தங்க நிறம் வந்தவுடன், எண்ணெயிலிருந்து எடுத்து தனியாக வைக்கவும்.  எண்ணெயை சூடாக்கி வெங்காயத்தைச் சேர்த்து, வெளிப்படையான வரை வதக்கவும். தோராயமாக நறுக்கிய தக்காளி மற்றும் மசாலாக்களைச் சேர்க்கவும் - மஞ்சள் தூள், கரம் மசாலா தூள், சீரகத் தூள், கொத்தமல்லித் தூள், சிவப்பு மிளகாய் தூள், இஞ்சி பூண்டு மற்றும் முந்திரி. சிறிது தண்ணீர் சேர்த்து, மூடி வைத்து 10 நிமிடங்கள் சமைக்கவும்.  மசாலாவின் பச்சை வாசனை போனதும், அடுப்பை அணைத்து, உள்ளடக்கங்களை ஒரு பிளெண்டரில் போட்டு, கலவை குளிர்ந்ததும், மென்மையான பேஸ்டாக அரைக்கவும்.  ஒரு கடாயில் வெண்ணெய் உருக்கி, சுவைக்காக முழு மசாலாப் பொருட்களையும் சேர்க்கவும் - வளைகுடா இலைகள், இலவங்கப்பட்டை, ஏலக்காய், சீரகம் மற்றும் பச்சை மிளகாய். அதைக் கிளறி, பின்னர் அரைத்த மசாலா பேஸ்ட்டைச் சேர்க்கவும். மூடி வைத்து மேலும் 6-7 நிமிடங்கள் சமைக்கவும்.  தண்ணீர் சேர்த்து கொதிக்க விடவும், பின்னர் சுவையை சமப்படுத்த சிறிது சர்க்கரை, புதிய கிரீம் மற்றும் கசூரி மேத்தி (உங்கள் உள்ளங்கையில் நசுக்கி கறியில் சேர்க்கவும்) சேர்க்கவும். எல்லாவற்றையும் ஒரு முறை கலந்து அடுப்பை அணைக்கவும்.  கோஃப்தாக்களை ஒரு தட்டில் அடுக்கி, கோஃப்தாக்களின் மேல் கிரேவியைச் சேர்த்து, சிறிது கிரீம் தூவி, மேலே சிறிது நறுக்கிய கொத்தமல்லி இலைகளைத் தூவி பரிமாறவும்.</t>
  </si>
  <si>
    <t>https://blogger.googleusercontent.com/img/b/R29vZ2xl/AVvXsEj1FyR9hOb2EfBZf8z_7cIhgYdAt00oA2AKHyqlSGiMlEtAzlUPJrXpuqtUbmS2aX5FPkox0_ydaib5__Uplg_IrputStig-UU5Nwbsa83OE1mMu5Ru_VtYrq_gWA5Z77cHfjRNoA_8suzp/s640/Malai+Kofta+curry.JPG</t>
  </si>
  <si>
    <t>Lemon Rice</t>
  </si>
  <si>
    <t>எலுமிச்சை சாதம்</t>
  </si>
  <si>
    <t>2 tbsp - Oil, 1/4 tsp - Mustard seeds, 1 tsp - Channa Dal / Kadalai paruppu, 1 tsp - Urad dal , 3 - dry Red Chilies, 3 - Green Chilies, 1 - spring Curry leaves, 1/2 tsp - Turmeric powder, pinch of Asafoetida , 3 tbsp - Peanut, 10 - 12 - Cashews, 2 small  - Lemon or as required , 2 cup - Cooked rice, Salt to tatse.</t>
  </si>
  <si>
    <t>2 தேக்கரண்டி - எண்ணெய், 1/4 தேக்கரண்டி - கடுகு, 1 தேக்கரண்டி - சன்னா பருப்பு / கடலை பருப்பு, 1 தேக்கரண்டி - உளுத்தம் பருப்பு, 3 - உலர்ந்த சிவப்பு மிளகாய், 3 - பச்சை மிளகாய், 1 - வசந்த கறிவேப்பிலை, 1/2 தேக்கரண்டி - மஞ்சள் தூள், சிறிது பெருங்காயம், 3 தேக்கரண்டி - வேர்க்கடலை, 10 - 12 - முந்திரி, 2 சிறியது - எலுமிச்சை அல்லது தேவைக்கேற்ப, 2 கப் - சமைத்த அரிசி, பருப்புக்கு உப்பு.</t>
  </si>
  <si>
    <t>Heat oil in a pan and temper with - mustard , channa dal and urad dal. Once the dal changes it color slightly add peanuts and cashew nuts roast it for few more minutes until it chages to golden brown.  Add dry red chilies ,green chilies and curry leaves. Give it a stir and add turmeric powder and a pinch of Asafoetida. Switch off the stove immediately.   Once it is cooled slightly add the lemon juice, salt and mix well.   Add the cooked rice and mix well. You can adjust or reduce the sourness of lemon by adding extra cooked rice.  That's it our lemon rice / Elumichai Sadam is ready to be served . I made potato fry and fryums as a side for this delicious and tangy lemon rice.</t>
  </si>
  <si>
    <t>ஒரு கடாயில் எண்ணெயை சூடாக்கி, கடுகு, சன்னா பருப்பு மற்றும் உளுத்தம் பருப்பு சேர்த்து வதக்கவும். பருப்பு சிறிது நிறம் மாறியதும், வேர்க்கடலை மற்றும் முந்திரி பருப்பு சேர்த்து இன்னும் சில நிமிடங்கள் பொன்னிறமாகும் வரை வறுக்கவும்.  காய்ந்த சிவப்பு மிளகாய், பச்சை மிளகாய் மற்றும் கறிவேப்பிலை சேர்க்கவும். அதை கிளறி, மஞ்சள் தூள் மற்றும் ஒரு சிட்டிகை பெருங்காயம் சேர்க்கவும். உடனடியாக அடுப்பை அணைக்கவும்.  சிறிது ஆறியதும் எலுமிச்சை சாறு, உப்பு சேர்த்து நன்கு கலக்கவும்.  சமைத்த அரிசியைச் சேர்த்து நன்கு கலக்கவும். கூடுதலாக சமைத்த அரிசியைச் சேர்ப்பதன் மூலம் எலுமிச்சையின் புளிப்பை சரிசெய்யலாம் அல்லது குறைக்கலாம்.  அவ்வளவுதான் எங்கள் எலுமிச்சை சாதம் / எலுமிச்சை சாதம் பரிமாற தயாராக உள்ளது. இந்த சுவையான மற்றும் காரமான எலுமிச்சை சாதத்திற்கு ஒரு பக்க உணவாக உருளைக்கிழங்கு வறுவல் மற்றும் பிரையம் செய்தேன்.</t>
  </si>
  <si>
    <t>https://blogger.googleusercontent.com/img/b/R29vZ2xl/AVvXsEgKH209Ig4akCtY3jzPhM4cywrGBz6TWkOSJKKpZsKfGfDxD4mqu4FK8qaeP4DZG3oVm6Bnm7yFIRvhrd9EhZY123p_z_VD78Z4pSSb7RjOEaHel3Eo53RyPMk9bTu97BaLkgr14wTXv2Lv/s640/DSC09099.JPG</t>
  </si>
  <si>
    <t>Sponge Cake</t>
  </si>
  <si>
    <t>ஸ்பாஞ்ச் கேக்</t>
  </si>
  <si>
    <t>1 cup - All purpose flour /  Maida ( 130g), 4  - Eggs, 1/4 cup - Butter (55g) , 3/4 cup  - Sugar (150g) , 1/4 cup - Milk ( 60 ml) , 1 tbsp - Vanilla Extract, 1 tsp - Baking Powder, 1/4 tsp - Salt.</t>
  </si>
  <si>
    <t>1 கப் - அனைத்து உபயோக மாவு / மைதா (130 கிராம்), 4 - முட்டை, 1/4 கப் - வெண்ணெய் (55 கிராம்), 3/4 கப் - சர்க்கரை (150 கிராம்), 1/4 கப் - பால் (60 மிலி), 1 டீஸ்பூன் - வெண்ணிலா சாறு, 1 டீஸ்பூன் - பேக்கிங் பவுடர், 1/4 டீஸ்பூன் - உப்பு.</t>
  </si>
  <si>
    <t>Start by preheating the oven @ 350 F or 175 C. Before preheating the cooker spread a layer of salt, then place a wire rack and a perforated plate on the top. Cover and preheat the Cooker for 15 minutes on a medium heat without placing the cooker weight.  Separate the egg whites and yolks in a separate bowl. We don't need any yolks in our whites, if there is any yolk left behind then it will prevent the egg whites from whipping up nicely. So make sure the whiles are clean without yolks.  Beat the egg whites until soft peaks are formed. It will take approximately 5 -6 minutes. Beating the egg whites gives nice texture and aeration to the cake.   Similarly beat the yolks until pale yellow , takes 3 - 4 minutes. Once done add the wet ingredients - Butter and sugar mix well and then add milk and vanilla extract. Mix it nicely.  Next in a sifter add maida / all purpose flour , baking powder and salt, sift them together. Gently fold the flour into the egg mixture and make a smooth batter without any lumps.    Now add the egg white mixture , 1/3 at a time and gently fold it into the flour mixture . Do not give lot of pressure, because the air trapped in the whiles helps the cake to stay fluffy and spongy. Do it very slowly and carefully. Similarly do it with the rest of the whites and fold to incorporate everything into the batter.  Transfer the cake batter into a baking pan, I have use 6 inch baking pan- greased with butter and lined with parchment paper. Bake it for 35 - 40 minutes on a medium heat without placing the cooker weight.  Similarly I made one more batch to bake it in the oven at 350 F for 28 - 30 min</t>
  </si>
  <si>
    <t>அடுப்பை @ 350 F அல்லது 175 C க்கு முன்கூட்டியே சூடாக்குவதன் மூலம் தொடங்கவும்.  குக்கரை முன்கூட்டியே சூடாக்குவதற்கு முன் உப்பு அடுக்கைப் பரப்பி, பின்னர் ஒரு கம்பி ரேக் மற்றும் ஒரு துளையிடப்பட்ட தட்டை மேலே வைக்கவும். குக்கர் எடையை வைக்காமல் மிதமான வெப்பத்தில் 15 நிமிடங்கள் குக்கரை மூடி முன்கூட்டியே சூடாக்கவும்.  முட்டையின் வெள்ளைக்கரு மற்றும் மஞ்சள் கருவை ஒரு தனி கிண்ணத்தில் பிரிக்கவும். எங்கள் வெள்ளைக்கருவில் மஞ்சள் கருக்கள் எதுவும் தேவையில்லை, மஞ்சள் கரு எஞ்சியிருந்தால், அது முட்டையின் வெள்ளைக்கரு நன்றாக கிளறுவதைத் தடுக்கும். எனவே மஞ்சள் கருக்கள் இல்லாமல் சுத்தமாக இருப்பதை உறுதிப்படுத்திக் கொள்ளுங்கள்.  மென்மையான சிகரங்கள் உருவாகும் வரை முட்டையின் வெள்ளைக்கருவை அடிக்கவும். இது தோராயமாக 5 -6 நிமிடங்கள் எடுக்கும். முட்டையின் வெள்ளைக்கருவை அடிப்பது கேக்கிற்கு நல்ல அமைப்பையும் காற்றோட்டத்தையும் தரும்.  இதேபோல் மஞ்சள் கருவை வெளிர் மஞ்சள் நிறமாக அடிக்க 3 - 4 நிமிடங்கள் ஆகும். முடிந்ததும், ஈரமான பொருட்களைச் சேர்க்கவும் - வெண்ணெய் மற்றும் சர்க்கரை நன்றாக கலக்கவும், பின்னர் பால் மற்றும் வெண்ணிலா சாறு சேர்க்கவும். நன்றாக கலக்கவும்.  அடுத்து ஒரு சல்லடையில் மைதா / அனைத்து வகையான மாவு, பேக்கிங் பவுடர் மற்றும் உப்பு சேர்த்து, அவற்றை ஒன்றாக சலிக்கவும். முட்டை கலவையில் மாவை மெதுவாக மடித்து, கட்டிகள் இல்லாமல் மென்மையான மாவை உருவாக்கவும்.  இப்போது முட்டையின் வெள்ளைக்கரு கலவையை ஒரு நேரத்தில் 1/3 பங்கு சேர்த்து, மாவு கலவையில் மெதுவாக மடிக்கவும். அதிக அழுத்தம் கொடுக்க வேண்டாம், ஏனென்றால் கேக்கில் சிக்கிய காற்று கேக் பஞ்சுபோன்றதாகவும் பஞ்சுபோன்றதாகவும் இருக்க உதவுகிறது. இதை மிக மெதுவாகவும் கவனமாகவும் செய்யுங்கள். இதேபோல் மீதமுள்ள வெள்ளைக்கருவுடன் செய்து, எல்லாவற்றையும் மாவில் சேர்க்க மடிக்கவும்.  கேக் மாவை ஒரு பேக்கிங் பாத்திரத்தில் மாற்றவும், நான் 6 அங்குல பேக்கிங் பாத்திரத்தைப் பயன்படுத்தினேன் - வெண்ணெய் தடவி, காகிதத்தோல் காகிதத்தால் வரிசையாக. குக்கர் வெயிட்டை வைக்காமல் மிதமான தீயில் 35 - 40 நிமிடங்கள் சுடவும்.  இதேபோல், 350 F இல் 28 - 30 நிமிடங்கள் அடுப்பில் சுட இன்னும் ஒரு தொகுதியை உருவாக்கினேன்.</t>
  </si>
  <si>
    <t>https://blogger.googleusercontent.com/img/b/R29vZ2xl/AVvXsEjK0yJvFBd4yAOZF-yqx0cbDsptnS0MGmeBlNjUNgiw0glonkcnNb7qmZy_SmJcZwyRIfPwKw6N3QZIaEn3pjCVP4SocCT3Ac4BDOGVEqLpSeVn4a5xm77cp4pRbnDFlbtkBX2kkZzJmt9J/s640/sponge+cake+recipe+in+Cooker.JPG</t>
  </si>
  <si>
    <t>Vegetable Salna</t>
  </si>
  <si>
    <t>காய்கறி சால்னா</t>
  </si>
  <si>
    <t>1 tsp  - Oil, 1 - cinnamon,  3 - cardamom,  4 - cloves, 2 tsp - Fennel Seeds , 1 tsp - Cumin Seeds , 2 - Onions, 2  - Tomatoes, 1/2 tsp - Turmeric powder, 2 tsp - Coriander powder, 2 tsp - Chilli Powder, 1 piece - Ginger, 4 -  cloves Garlic, 1/4 cup - Grated Coconut, 2 tbsp - Oil, 2 - bay leaves,  1 -  cinnamon,  1 tsp - fennel seeds, 3 - Green chilies, Vegetables ( Beans , Carrot , Peas, Potato), required Water, Salt to Taste , Coriander leaves for Garnishing.</t>
  </si>
  <si>
    <t>1 தேக்கரண்டி - எண்ணெய், 1 - இலவங்கப்பட்டை, 3 - ஏலக்காய், 4 - கிராம்பு, 2 தேக்கரண்டி - வெந்தயம் விதைகள், 1 தேக்கரண்டி - சீரகம் விதைகள், 2 - வெங்காயம், 2 - தக்காளி, 1/2 தேக்கரண்டி - மஞ்சள் தூள், 2 தேக்கரண்டி - கொத்தமல்லி தூள், 2 தேக்கரண்டி - மிளகாய் தூள், 1 துண்டு - இஞ்சி, 4 - பல் பூண்டு, 1/4 கப் - துருவிய தேங்காய், 2 தேக்கரண்டி - எண்ணெய், 2 - பிரியாணி இலைகள், 1 - இலவங்கப்பட்டை, 1 தேக்கரண்டி - பெருஞ்சீரகம் விதைகள், 3 - பச்சை மிளகாய், காய்கறிகள் (பீன்ஸ், கேரட், பட்டாணி, உருளைக்கிழங்கு), தேவையான தண்ணீர், சுவைக்கு உப்பு, அலங்கரிக்க கொத்தமல்லி இலைகள்.</t>
  </si>
  <si>
    <t>Heat oil in a pan and add cinnamon stick, cardamom, cloves , fennel seeds and cumin seeds. Roast it for a minute and then add onions ,tomatoes , ginger and garlic.  Add in the masalas - Turmeric powder, coriander powder, chili powder and mix well. Add some water and cook until the raw smell of the masalas is gone ( 6- 7 minutes)  Once the raw smell is gone turn off the heat and transfer the mixture to a blender, also add grated coconut to it and once the mixture cools down grind it to a smooth paste.  Now to make veg salna heat oil and add bay leaves, cinnamon and fennel seeds and green chilies. Fennel seeds adds more flavor and aroma to the recipe. Then add the vegetables, I have used  Beans , Carrot , Peas and Potato, you can add any vegetables of your choice. Saute the veggies for a couple of minutes.  Then add the ground masala , required water, required salt and mix well. Cover the cooker and cook for 2 whistles. If you are using a regular pan then cook until the veggies are 100 % cooked.  Finally add a handful of coriander leaves, mix it once and serve.  That's it our Vegetable gravy is ready to be served with chapathi, Idli, dosa and it is an excellent side dish for parotta. Please do try this vegetable salna recipe and share your feedback.</t>
  </si>
  <si>
    <t>ஒரு கடாயில் எண்ணெயை சூடாக்கி, இலவங்கப்பட்டை, ஏலக்காய், கிராம்பு, பெருஞ்சீரகம் விதைகள் மற்றும் சீரகம் சேர்க்கவும். ஒரு நிமிடம் வறுக்கவும், பின்னர் வெங்காயம், தக்காளி, இஞ்சி மற்றும் பூண்டு சேர்க்கவும்.  மசாலாக்களில் - மஞ்சள் தூள், கொத்தமல்லி தூள், மிளகாய் தூள் சேர்த்து நன்கு கலக்கவும். சிறிது தண்ணீர் சேர்த்து மசாலாக்களின் பச்சை வாசனை போகும் வரை சமைக்கவும் (6-7 நிமிடங்கள்)  பச்சை வாசனை போனதும், தீயை அணைத்து, கலவையை ஒரு பிளெண்டரில் போட்டு, அதில் துருவிய தேங்காயையும் சேர்த்து, கலவை குளிர்ந்ததும், அதை மென்மையான பேஸ்டாக அரைக்கவும்.  இப்போது வெஜ் சால்னா செய்ய எண்ணெயை சூடாக்கி, பிரியாணி இலைகள், இலவங்கப்பட்டை மற்றும் பெருஞ்சீரகம் விதைகள் மற்றும் பச்சை மிளகாய் சேர்க்கவும். வெஞ்சரம் விதைகள் செய்முறைக்கு அதிக சுவையையும் நறுமணத்தையும் சேர்க்கிறது.  பின்னர் காய்கறிகளைச் சேர்க்கவும், நான் பீன்ஸ், கேரட், பட்டாணி மற்றும் உருளைக்கிழங்கு பயன்படுத்தியுள்ளேன், நீங்கள் உங்களுக்கு விருப்பமான எந்த காய்கறிகளையும் சேர்க்கலாம். காய்கறிகளை இரண்டு நிமிடங்கள் வதக்கவும்.  பின்னர் அரைத்த மசாலா, தேவையான தண்ணீர், தேவையான உப்பு சேர்த்து நன்கு கலக்கவும். குக்கரை மூடி 2 விசில் வரை சமைக்கவும். நீங்கள் வழக்கமான பாத்திரத்தைப் பயன்படுத்துகிறீர்கள் என்றால், காய்கறிகள் 100% வேகும் வரை சமைக்கவும்.  இறுதியாக ஒரு கைப்பிடி கொத்தமல்லி இலைகளைச் சேர்த்து, ஒரு முறை கலந்து பரிமாறவும்.  அவ்வளவுதான் எங்கள் காய்கறி குழம்பு சப்பாத்தி, இட்லி, தோசையுடன் பரிமாற தயாராக உள்ளது, இது பரோட்டாவிற்கு ஒரு சிறந்த துணை உணவாகும். தயவுசெய்து இந்த காய்கறி சால்னா செய்முறையை முயற்சி செய்து உங்கள் கருத்துகளைப் பகிர்ந்து கொள்ளுங்கள்.</t>
  </si>
  <si>
    <t>https://encrypted-tbn0.gstatic.com/images?q=tbn:ANd9GcTfCyA_WHNWFBNiwzgjckHqk4MRaYFUSZRRDQ&amp;s</t>
  </si>
  <si>
    <t>Chicken Pulao</t>
  </si>
  <si>
    <t>சிக்கன் புலாவ்</t>
  </si>
  <si>
    <t>1/2 Kg - Chicken with bones, 1/2 cup - Yogurt, 1 Tbsp  - Chili powder , 1 tsp - Garam masala powder, 1/2 tsp - Turmeric powder, 1 tbsp - Ginger Garlic paste, Salt, 2 tbsp - Ghee , 2 Tbsp - Oil, 2  - bay leaves ,  3 - cardamom ,  4 - cloves ,  1 - Cinnamon Stick ,  2 - Start anise, 10 -12 - Pepper corns, 4 - Green Chilies, 1 large - Onion, 1  - Tomato, 2 cup - Basmati Rice, 3 cup - Water,    1/2 Kg - Chicken with bones, 1/2 cup - Yogurt , 1 Tbsp  - Chili powder , 1 tsp - Garam masala powder, 1/2 tsp - Turmeric powder, 1 tbsp - Ginger Garlic paste, Salt, 2 tbsp - Ghee , 2 Tbsp - Oil, 2 - bay leaves ,  3 - cardamom ,  4 - cloves ,  1 - Cinnamon Stick ,  2 - Start anise, 10 -12 - Pepper corns, 4 - Green Chilies, 1 - large Onion, 1  - Tomato, 2 - cup Basmati Rice, 3 - cup Water   , Handfull coriander and Mint leaves, Salt to taste.</t>
  </si>
  <si>
    <t>1/2 கிலோ - எலும்புகளுடன் கூடிய சிக்கன், 1/2 கப் - தயிர், 1 டேபிள்ஸ்பூன் - மிளகாய் தூள், 1 டேபிள்ஸ்பூன் - கரம் மசாலா தூள், 1/2 டேபிள்ஸ்பூன் - மஞ்சள் தூள், 1 டேபிள்ஸ்பூன் - இஞ்சி பூண்டு விழுது, உப்பு, 2 டேபிள்ஸ்பூன் - நெய், 2 டேபிள்ஸ்பூன் - எண்ணெய், 2 - பிரியாணி இலைகள், 3 - ஏலக்காய், 4 - கிராம்பு, 1 - இலவங்கப்பட்டை குச்சி, 2 - சோம்பு, 10 -12 - மிளகு, 4 - பச்சை மிளகாய், 1 பெரிய வெங்காயம், 1 - தக்காளி, 2 கப் - பாஸ்மதி அரிசி, 3 கப் - தண்ணீர், 1/2 கிலோ - எலும்புகளுடன் கூடிய சிக்கன், 1/2 கப் - தயிர், 1 டேபிள்ஸ்பூன் - மிளகாய் தூள், 1 டேபிள்ஸ்பூன் - கரம் மசாலா தூள், 1/2 டேபிள்ஸ்பூன் - மஞ்சள் தூள், 1 டேபிள்ஸ்பூன் - இஞ்சி பூண்டு விழுது, உப்பு, 2 டேபிள்ஸ்பூன் - நெய், 2 டேபிள்ஸ்பூன் - எண்ணெய், 2 - பிரியாணி இலைகள், 3 - ஏலக்காய், 4 - கிராம்பு, 1 - இலவங்கப்பட்டை குச்சி, 2 - சோம்பு, 10 -12 - மிளகுத்தூள், 4 - பச்சை மிளகாய், 1 - பெரிய வெங்காயம், 1 - தக்காளி, 2 - கப் பாஸ்மதி அரிசி, 3 - கப் தண்ணீர், கைப்பிடி கொத்தமல்லி மற்றும் புதினா இலைகள், சுவைக்கேற்ப உப்பு.</t>
  </si>
  <si>
    <t>In a mixing bowl add the cleaned chicken pieces and add yogurt, ginger garlic paste, turmeric powder, garam masala, red chili powder. Mix well and coat the chicken pieces well with the masala. Marinate for 20 - 30 minutes.  In a heavy bottom pan melt ghee and oil (ghee imparts nice flavor and taste to the recipe).Then add the whole spices - bay leaves, cinnamon, cardamom, star anise, cloves and pepper corns. Mix it once and then add green chilies and sliced onions.  Once the onions turns golden add chopped tomato and cook for few minuted until soft. Then add the marinated chicken pieces and cook for 5-6 minutes.   Once the chicken is half done add the soaked basmati rice (rinse the rice in water for 3 times and soak for 20 - 30 minutes, drain the water completely before adding the rice) . Mix it well with the chicken pieces .  The ratio of rice to water is 1:1.5 so for 2 cups of rice we will need 3 cups of water. Also add required salt, mint leaves and coriander leaves mix it once . Cover and cook until all the water has been absorbed by the rice or until the chicken and rice are fully cooked.  If you are using a pressure cooked then cook for 1 whistle on a medium heat.  Once the rice is fully cooked and you start to smell the nice aroma of the pulao turn off the heat and gently and slowly with a flat spoon fluff the rice.  That's it our Chicken pulao recipe is ready to be enjoyed with Raitha. This is really simple to make and the flavor from the rice and chicken makes the mouth to water. Do try this recipe and please share your feedback with us. Happy Cooking !!!</t>
  </si>
  <si>
    <t>ஒரு கலவை பாத்திரத்தில் சுத்தம் செய்த சிக்கன் துண்டுகளைச் சேர்த்து தயிர், இஞ்சி பூண்டு விழுது, மஞ்சள் தூள், கரம் மசாலா, சிவப்பு மிளகாய் தூள் சேர்க்கவும். நன்கு கலந்து சிக்கன் துண்டுகளை மசாலாவுடன் நன்கு பூசவும். 20 - 30 நிமிடங்கள் ஊற வைக்கவும்.  அடி கனமான பாத்திரத்தில் நெய் மற்றும் எண்ணெயை உருக்கவும் (நெய் செய்முறைக்கு நல்ல சுவையையும் சுவையையும் தருகிறது). பின்னர் முழு மசாலாப் பொருட்களையும் சேர்க்கவும் - பிரியாணி இலைகள், இலவங்கப்பட்டை, ஏலக்காய், நட்சத்திர சோம்பு, கிராம்பு மற்றும் மிளகுத்தூள். ஒரு முறை கலந்து, பச்சை மிளகாய் மற்றும் நறுக்கிய வெங்காயத்தைச் சேர்க்கவும்.  வெங்காயம் பொன்னிறமாக மாறியதும் நறுக்கிய தக்காளியைச் சேர்த்து, மென்மையாகும் வரை சில நிமிடங்கள் வதக்கவும். பிறகு ஊற வைத்த கோழித் துண்டுகளைச் சேர்த்து 5-6 நிமிடங்கள் சமைக்கவும்.  கோழி பாதி வெந்ததும் ஊற வைத்த பாஸ்மதி அரிசியைச் சேர்க்கவும் (அரிசியை 3 முறை தண்ணீரில் கழுவி 20 - 30 நிமிடங்கள் ஊறவைத்து, அரிசியைச் சேர்ப்பதற்கு முன் தண்ணீரை முழுவதுமாக வடிகட்டவும்). கோழித் துண்டுகளுடன் நன்றாக கலக்கவும்.  அரிசிக்கும் தண்ணீருக்கும் உள்ள விகிதம் 1:1.5, எனவே 2 கப் அரிசிக்கும் 3 கப் தண்ணீர் தேவைப்படும். தேவையான உப்பு, புதினா இலைகள் மற்றும் கொத்தமல்லி இலைகளைச் சேர்த்து ஒரு முறை கலக்கவும். மூடி வைத்து, அரிசியால் அனைத்து தண்ணீரும் உறிஞ்சப்படும் வரை அல்லது கோழி மற்றும் அரிசி முழுமையாக வேகும் வரை சமைக்கவும்.  நீங்கள் அழுத்தும் வேகத்தில் சமைத்தால், மிதமான தீயில் 1 விசில் வரை சமைக்கவும்.  அரிசி முழுவதுமாக வெந்தவுடன், புலாவின் நல்ல நறுமணம் வர ஆரம்பித்ததும், வெப்பத்தை அணைத்து, மெதுவாகவும் மெதுவாகவும் ஒரு தட்டையான கரண்டியால் அரிசியை பிசையவும்.  அவ்வளவுதான், எங்கள் சிக்கன் புலாவ் செய்முறை ரைத்தாவுடன் சுவைக்க தயாராக உள்ளது. இதை செய்வது மிகவும் எளிது, அரிசி மற்றும் கோழியின் சுவை நாவில் நீர் ஊற வைக்கிறது. இந்த ரெசிபியை முயற்சி செய்து பாருங்கள், உங்கள் கருத்துக்களை எங்களுடன் பகிர்ந்து கொள்ளுங்கள். இனிய சமையல்!!!</t>
  </si>
  <si>
    <t>https://blogger.googleusercontent.com/img/b/R29vZ2xl/AVvXsEigqo_eeVrp2KUkjYnnvkO5TUulV-HkV6RqZ18lfeJdACSiI5mkYPwr8XWhMyvRdAv2ynEogYHL_c-_cahNO1XJKhvkXN0WhD4hzi5XYiT64cqwezjkXg7JulwTUHEWvKvXVJiyGBRjdZ3C/s640/chicken+pulao.JPG</t>
  </si>
  <si>
    <t>https://youtu.be/hKvW1h32YEE</t>
  </si>
  <si>
    <t>Rasam Powder</t>
  </si>
  <si>
    <t>ரசம் பொடி</t>
  </si>
  <si>
    <t>1/2 cup - Coriander seeds , 1/4 cup - Pepper Corns , 1/4 cup - Cumin Seeds , 1/4 cup - Thor dal , 1/4 cup - Chana Dal, 10  - Dry red chilies , 1 tsp - Turmeric Powder , 1 tsp - Asafoetida , 10 - Curry leaves.</t>
  </si>
  <si>
    <t>1/2 கப் - கொத்தமல்லி விதைகள், 1/4 கப் - மிளகு சோளம், 1/4 கப் - சீரகம், 1/4 கப் - தோர் பருப்பு, 1/4 கப் - கடலை பருப்பு, 10 - உலர்ந்த சிவப்பு மிளகாய், 1 தேக்கரண்டி - மஞ்சள் தூள், 1 தேக்கரண்டி - பெருங்காயம், 10 - கறிவேப்பிலை.</t>
  </si>
  <si>
    <t>Heat and pan and dry roast coriander seeds on a medium heat. Once half done add curry leaves and roast until the seeds are nicely roasted.  Next roast pepper until you feel the nice aroma.Then roast cumin seeds and set aside.Cumin doesn't take much time to get roasted.  Roast Thor dal and channa dal together until it changes its color - golden brown.  Finally roast the dry red chilies and keep it aside. Since we have already added pepper corns so not add too much of chilies just 8- 10 will be enough.  After roasting all the ingredients allow the mixture to cool completely.  Once cooled transfer the contents to a blender and grind ,Once it is half done add Asafoetida and Turmeric powder and grind it to a very fine powder.  Cool the powder completely and store it in an air tight container. That's it our rasam podi is ready to be used.  To make rasam with rasam Podi :Heat oil and temper with - mustard seeds, fenugreek seeds, dry red chilies, curry leaves, (pinch of turmeric and Asafoetida if required) . Then 3 cloves of garlic and tomatoes , then add a tbsp of our rasam powder and cook for a minute. Finally add tamarind extract, water , salt and bring it to boil. Garnish with coriander leaves and turn off the heat. Our delicious and tasty rasam is ready to be enjoyed with rice.</t>
  </si>
  <si>
    <t>சூடாக்கி, வாணலியில் கொத்தமல்லி விதைகளை மிதமான தீயில் வறுக்கவும். பாதி வெந்த பிறகு கறிவேப்பிலை சேர்த்து விதைகள் நன்றாக வறுக்கப்படும் வரை வறுக்கவும்.  அடுத்து மிளகாயை நல்ல மணம் வரும் வரை வறுக்கவும். பின்னர் சீரகத்தை வறுக்கவும். சீரகம் வறுக்க அதிக நேரம் எடுக்காது.  தோர் பருப்பையும் சன்னா பருப்பையும் ஒன்றாக சேர்த்து அதன் நிறம் - தங்க பழுப்பு நிறமாக மாறும் வரை வறுக்கவும்.  இறுதியாக உலர்ந்த சிவப்பு மிளகாயை வறுக்கவும், ஒதுக்கி வைக்கவும். நாம் ஏற்கனவே மிளகு சோளங்களைச் சேர்த்துள்ளதால், அதிகமாக சேர்க்க வேண்டாம், 8-10 மிளகாய்கள் மட்டுமே போதுமானது.  அனைத்து பொருட்களையும் வறுத்த பிறகு, கலவையை முழுவதுமாக குளிர்விக்க விடுங்கள்.  குளிர்ந்ததும், உள்ளடக்கங்களை ஒரு பிளெண்டரில் மாற்றி அரைக்கவும், பாதி வெந்தவுடன் சாதத்தையும் மஞ்சள் தூளையும் சேர்த்து மிக நுண்ணிய பொடியாக அரைக்கவும்.  பொடியை முழுவதுமாக ஆறவைத்து காற்று புகாத கொள்கலனில் சேமிக்கவும். அவ்வளவுதான் எங்கள் ரசம் பொடி பயன்படுத்த தயாராக உள்ளது.  ரசம் பொடியுடன் ரசம் செய்ய: எண்ணெயை சூடாக்கி - கடுகு, வெந்தயம், உலர்ந்த சிவப்பு மிளகாய், கறிவேப்பிலை, (தேவைப்பட்டால் ஒரு சிட்டிகை மஞ்சள் மற்றும் பெருங்காயம்) சேர்த்து தாளிக்கவும். பின்னர் 3 பல் பூண்டு மற்றும் தக்காளி, பின்னர் ஒரு தேக்கரண்டி ரசம் பொடியைச் சேர்த்து ஒரு நிமிடம் சமைக்கவும். இறுதியாக புளி சாறு, தண்ணீர், உப்பு சேர்த்து கொதிக்க விடவும். கொத்தமல்லி இலைகளால் அலங்கரித்து, தீயை அணைக்கவும். எங்கள் சுவையான மற்றும் சுவையான ரசம் சாதத்துடன் சாப்பிட தயாராக உள்ளது.</t>
  </si>
  <si>
    <t>https://blogger.googleusercontent.com/img/b/R29vZ2xl/AVvXsEiuj8VJYT1iK2yXndNwT_8gHB4SsDXkUjT50Rw3jOpPX_47X6M-cbX9BDDY3aMVjkf0xcga0SoMkD9Hikk_ncq4OD27pAoa14XDEJ2cXXksH6UeCppR2iKWnc21yggIVFaMeUK0olBykfiu/s640/Rasam+Powder+recipe.jpg</t>
  </si>
  <si>
    <t>Butter Chicken</t>
  </si>
  <si>
    <t>வெண்ணெய் சிக்கன்</t>
  </si>
  <si>
    <t>1/2 kg - Boneless Chicken, 2 tbsp -  Curd, 1 tbsp - Lemon Juice, 1 tbsp - Kashmiri Chili powder, 2 tsp - Ginger Garlic paste, required salt, 1 tbsp - Butter, 1 (100g) - Onion(medium size), 4 (450g) - Tomatoes, 1 tsp - Ginger Garlic paste, 1 tbsp - Kashmiri Chili powder, 1 tsp   - Garam masala powder, 5 - 6 - Cashews, 1/2 cup - water, 3-4 tbsp - Butter, 2  - Bay leaves, 1 inch - Cinnamon stick, 2  - Cardamom, 1 tsp -  dried fenugreek leaves, 2 tbsp - Fresh cream, 1 tsp - Sugar or Honey , Salt to Taste.</t>
  </si>
  <si>
    <t>1/2 கிலோ - எலும்பு இல்லாத சிக்கன், 2 டேபிள் ஸ்பூன் - தயிர், 1 டேபிள் ஸ்பூன் - எலுமிச்சை சாறு, 1 டேபிள் ஸ்பூன் - காஷ்மீர் மிளகாய் தூள், 2 டேபிள் ஸ்பூன் - இஞ்சி பூண்டு விழுது, தேவையான உப்பு, 1 டேபிள் ஸ்பூன் - வெண்ணெய், 1 (100 கிராம்) - வெங்காயம் (நடுத்தர அளவு), 4 (450 கிராம்) - தக்காளி, 1 டேபிள் ஸ்பூன் - இஞ்சி பூண்டு விழுது, 1 டேபிள் ஸ்பூன் - காஷ்மீர் மிளகாய் தூள், 1 டேபிள் ஸ்பூன் - கரம் மசாலா தூள், 5 - 6 - முந்திரி, 1/2 கப் - தண்ணீர், 3-4 டேபிள் ஸ்பூன் - வெண்ணெய், 2 - பிரிஞ்சி இலைகள், 1 அங்குலம் - இலவங்கப்பட்டை, 2 - ஏலக்காய், 1 டேபிள் ஸ்பூன் - உலர்ந்த வெந்தய இலைகள், 2 டேபிள் ஸ்பூன் - புதிய கிரீம், 1 டேபிள் ஸ்பூன் - சர்க்கரை அல்லது தேன், சுவைக்கு உப்பு.</t>
  </si>
  <si>
    <t>Marinate the chicken with yogurt,  ginger garlic paste,  Kashmiri chilli, juice of half lemon and salt for 20 - 30 minutes  Heat oil or butter in a pan and pan fry the chicken pieces and cook until the chicken is fully cooked.Once the chicken is thoroughly cooked remove it from the pan and keep it aside.   Now in the same pan add some butter (if required) , i have added 1 tbsp butter. Once the butter melts add roughly chopped onion and saute it for a couple of minutes. Add ginger garlic paste , garam masala powder,chilli powder,tomatoes and cashews. Add some water and cook for 7- 10 minutes.  Allow the mixture to cool completely and grind it to a smooth paste. You can also pass the mixture through a sieve to get rid of any lumps and to get a fine paste  Heat Butter add Bay leaves, cinnamon, cardamom and also add the puree (step 4), sugar, salt and the cooked chicken pieces. Cover and cook for 4-5 minutes.  Finally add fresh cream and Kasoori methi known as dried fenugreek leaves (crush it with your palm and add). Mix once and turn off the heat.   Our delicous and silky butter chicken is ready to be served. This is an excellent side dish for Naan, Chapathi, Roti and also goes excellent with pulao, Please do try this recipe and share your feedback. Happy Cooking !!!</t>
  </si>
  <si>
    <t>கோழியை தயிர், இஞ்சி பூண்டு விழுது, காஷ்மீரி மிளகாய்த்தூள், அரை எலுமிச்சை சாறு மற்றும் உப்பு சேர்த்து 20 - 30 நிமிடங்கள் மரைனேட் செய்யவும்  ஒரு பாத்திரத்தில் எண்ணெய் அல்லது வெண்ணெய் சேர்த்து சூடாக்கி, கோழி துண்டுகளை வறுக்கவும், கோழி முழுவதுமாக வேகும் வரை சமைக்கவும். கோழி நன்கு வெந்தவுடன் அதை வாணலியில் இருந்து எடுத்து ஒதுக்கி வைக்கவும்.  இப்போது அதே பாத்திரத்தில் சிறிது வெண்ணெய் சேர்க்கவும் (தேவைப்பட்டால்), நான் 1 டீஸ்பூன் வெண்ணெய் சேர்த்துள்ளேன். வெண்ணெய் உருகியதும் தோராயமாக நறுக்கிய வெங்காயத்தைச் சேர்த்து இரண்டு நிமிடங்கள் வதக்கவும். இஞ்சி பூண்டு விழுது, கரம் மசாலா தூள், மிளகாய் தூள், தக்காளி மற்றும் முந்திரி சேர்த்து. சிறிது தண்ணீர் சேர்த்து 7-10 நிமிடங்கள் சமைக்கவும்.  கலவையை முழுவதுமாக ஆற விடவும், மென்மையான பேஸ்டாக அரைக்கவும். கட்டிகள் இல்லாமல் இருக்கவும், நன்றாக பேஸ்டாக அரைக்கவும், கலவையை ஒரு சல்லடை வழியாக அனுப்பலாம்  வெண்ணெயை சூடாக்கி, வளைகுடா இலைகள், இலவங்கப்பட்டை, ஏலக்காய் சேர்த்து, கூழ் (படி 4), சர்க்கரை, உப்பு மற்றும் சமைத்த கோழி துண்டுகளையும் சேர்க்கவும். மூடி வைத்து 4-5 நிமிடங்கள் சமைக்கவும்.  கடைசியாக ஃப்ரெஷ் க்ரீம் மற்றும் உலர்ந்த வெந்தய இலைகள் எனப்படும் கசூரி மேத்தியைச் சேர்க்கவும் (உங்கள் உள்ளங்கையால் நசுக்கி சேர்க்கவும்). ஒரு முறை கலந்து அடுப்பை அணைக்கவும்.  எங்கள் சுவையான மற்றும் பட்டர் சிக்கன் பரிமாற தயாராக உள்ளது. இது நான், சப்பாத்தி, ரொட்டிக்கு ஒரு சிறந்த சைட் டிஷ் மற்றும் புலாவுடன் சிறப்பாக இருக்கும். தயவுசெய்து இந்த ரெசிபியை முயற்சி செய்து உங்கள் கருத்துகளைப் பகிர்ந்து கொள்ளுங்கள். இனிய சமையல்!!!</t>
  </si>
  <si>
    <t>https://blogger.googleusercontent.com/img/b/R29vZ2xl/AVvXsEiNUABFnBlGU7DKSGrvAxeheQXh9Pe7NuzlN5sDyV08asRoMx6vl3Gx1UIcOL4OtySPXEFmFdL_DC2pDGg22lNa33wcivNbatlir_y6fzCEi9ram7g0BrH1_CgU8qtLM-waUr8M6zUa-AjR/s640/Butter+Chicken+.JPG</t>
  </si>
  <si>
    <t>Ennai Kathirikai Kulambu</t>
  </si>
  <si>
    <t>எண்ணை கத்திரிக்காய் குழம்பு</t>
  </si>
  <si>
    <t>1 tbsp  - Oil, 2 - Onions, 2 - Tomatoes, 4 - Garlic, 1 inch - Ginger , 1/2 tsp - Turmeric powder, 1 tbsp - Coriander Powder, 1 tbsp - Red Chilli powder, 2 tbsp - Grated coconut, 1 tsp - cumin seeds, 1 tsp - Fennel Seeds, 4-5 tbsp  - Oil, 1/8 tsp - Mustard seeds, 1/4 tsp - Fenugreek seeds, 2 - dry red chilies, few Curry leaves, 10 - shallots, Tamarind ( small lemon size) , Salt to Taste, Required water, 8 - Brinjal.</t>
  </si>
  <si>
    <t>1 டேபிள் ஸ்பூன் - எண்ணெய், 2 - வெங்காயம், 2 - தக்காளி, 4 - பூண்டு, 1 அங்குலம் - இஞ்சி, 1/2 டேபிள் ஸ்பூன் - மஞ்சள் தூள், 1 டேபிள் ஸ்பூன் - கொத்தமல்லி தூள், 1 டேபிள் ஸ்பூன் - சிவப்பு மிளகாய் தூள், 2 டேபிள் ஸ்பூன் - துருவிய தேங்காய், 1 டேபிள் ஸ்பூன் - சீரகம், 1 டேபிள் ஸ்பூன் - வெந்தயம், 4-5 டேபிள் ஸ்பூன் - எண்ணெய், 1/8 டேபிள் ஸ்பூன் - கடுகு, 1/4 டேபிள் ஸ்பூன் - வெந்தயம், 2 - உலர்ந்த சிவப்பு மிளகாய், சில கறிவேப்பிலை, 10 - வெங்காயம், புளி (சிறிய எலுமிச்சை அளவு), சுவைக்கு உப்பு, தேவையான தண்ணீர், 8 - கத்திரிக்காய்.</t>
  </si>
  <si>
    <t>Heat oil in a kadai and add the sliced onions and saute it for a couple of minutes, Once the onions turns translucent add ginger and  garlic and the masalas - turmeric powder, coriander powder, red chili powder. Give it a stir and cook for a minute.  Then add chopped tomatoes and cook it for another 2 minutes.Turn off the heat and allow it to cool completely.   Once the mixture is cooled add grated coconut, cumin seeds ,fennel seeds and grind it to a fine paste.  Make X cut at the bottom of the brinjal , if the stem of the brinjal is very tender then you can use the stem else discard the stems. Heat oil in a pan and fry the brinjal on a medium heat for 7-10 minutes, stirring frequently.   Now in the same oil add ingredients to temper - Mustard seeds, fenugreek seeds, dry red chilies and  curry leaves. Next add in finely chopped shallots and saute for a minute.  Add the freshly ground masala paste from step 3 , Cover and cook until the oil separates and oozes out (medium heat).  Once you see oil separating add tamarind juice , water if required, required salt and bring it to boil. Then add the roasted brinjal and let it cook for another 5 minutes covered.  That's it our Ennai Kathirikai Kulambu is ready to be served as a side dish for Biryani, Not only for biryani it also goes excellent with Rice, chapathi and idli too.Please do try the recipe and share your feedback with us. Happy Cooking !!!</t>
  </si>
  <si>
    <t>ஒரு கடாயில் எண்ணெயை சூடாக்கி, நறுக்கிய வெங்காயத்தைச் சேர்த்து இரண்டு நிமிடங்கள் வதக்கவும், வெங்காயம் தெளிவாகத் தெரிந்ததும் இஞ்சி மற்றும் பூண்டு மற்றும் மசாலாப் பொருட்கள் - மஞ்சள் தூள், கொத்தமல்லி தூள், சிவப்பு மிளகாய் தூள் ஆகியவற்றைச் சேர்க்கவும். அதைக் கிளறி ஒரு நிமிடம் சமைக்கவும்.  பின்னர் நறுக்கிய தக்காளியைச் சேர்த்து மேலும் 2 நிமிடங்கள் வதக்கவும். தீயை அணைத்து முழுமையாக ஆற விடவும்.  கலவை குளிர்ந்ததும் துருவிய தேங்காய், சீரகம், பெருஞ்சீரகம் ஆகியவற்றைச் சேர்த்து நன்றாக அரைக்கவும்.  கத்திரிக்காயின் அடிப்பகுதியில் X வெட்டு செய்யுங்கள், கத்திரிக்காயின் தண்டு மிகவும் மென்மையாக இருந்தால், நீங்கள் தண்டைப் பயன்படுத்தலாம், இல்லையெனில் தண்டுகளை நிராகரிக்கவும்.  ஒரு கடாயில் எண்ணெயை சூடாக்கி, கத்திரிக்காயை மிதமான தீயில் 7-10 நிமிடங்கள் அடிக்கடி கிளறி வறுக்கவும்.  இப்போது அதே எண்ணெயில் கடுகு, வெந்தயம், உலர்ந்த சிவப்பு மிளகாய் மற்றும் கறிவேப்பிலை ஆகியவற்றைச் சேர்க்கவும். அடுத்து, இறுதியாக நறுக்கிய வெங்காயத்தைச் சேர்த்து ஒரு நிமிடம் வதக்கவும்.  படி 3 இல் இருந்து புதிதாக அரைத்த மசாலா விழுதைச் சேர்த்து, மூடி வைத்து எண்ணெய் பிரிந்து வெளியேறும் வரை (நடுத்தர தீ) சமைக்கவும்.  எண்ணெய் பிரிவதை நீங்கள் பார்த்ததும் புளி சாறு, தேவைப்பட்டால் தண்ணீர், தேவையான உப்பு சேர்த்து கொதிக்க வைக்கவும். பிறகு வறுத்த கத்திரிக்காயைச் சேர்த்து மேலும் 5 நிமிடங்கள் மூடி வைத்து சமைக்கவும்.  அவ்வளவுதான், எங்கள் எண்ணை கத்திரிக்காய் குழம்பு பிரியாணிக்கு ஒரு துணை உணவாக பரிமாற தயாராக உள்ளது, பிரியாணிக்கு மட்டுமல்ல, இது சாதம், சப்பாத்தி மற்றும் இட்லிக்கும் கூட அருமையாக இருக்கும். தயவுசெய்து செய்முறையை முயற்சி செய்து உங்கள் கருத்தை எங்களுடன் பகிர்ந்து கொள்ளுங்கள். இனிய சமையல்!!!</t>
  </si>
  <si>
    <t>https://blogger.googleusercontent.com/img/b/R29vZ2xl/AVvXsEjXNd3rtb0b3PTybGeMogXeJrIC5OSK411EX8sWL5on6tyPe66Yv6Ut10hO5S4COksB73XY9uetnfy7KVurWaM2rb58OCsB2pZsyCU9JrFUDpE54aSbKJKvzuxoqyxKgIOs9qDXAmDc8fgz/s640/ennai+kathirikai+kulambu.JPG</t>
  </si>
  <si>
    <t>Egg Bhurji</t>
  </si>
  <si>
    <t>முட்டை புர்ஜி</t>
  </si>
  <si>
    <t>2 tbsp - Oil, 1/2 tsp - Cumin Seeds, 2 large - Onions, 2 - Green Chilies , 1/4 tsp - Turmeric powder, 1/2 tsp - Garam Masala Powder, 1 tsp - Chilli Powder  powder, 2 - Tomatoes, 5 - Eggs, 1/4 tsp  - Pepper powder, Salt to Taste, Coriander leaves.</t>
  </si>
  <si>
    <t>2 டீஸ்பூன் - எண்ணெய், 1/2 டீஸ்பூன் - சீரகம், 2 பெரிய வெங்காயம், 2 - பச்சை மிளகாய், 1/4 டீஸ்பூன் - மஞ்சள் தூள், 1/2 டீஸ்பூன் - கரம் மசாலா தூள், 1 டீஸ்பூன் - மிளகாய் தூள், 2 - தக்காளி, 5 - முட்டை, 1/4 டீஸ்பூன் - மிளகு தூள், ருசிக்கேற்ப உப்பு, கொத்தமல்லி இலைகள்.</t>
  </si>
  <si>
    <t>Heat oil in a pan and add cumin seeds, then add finely chopped onions , required salt and saute it for a couple of minutes. Once the onions turns translucent add green chilies, turmeric powder, chili powder and mix well.   Followed by the masalas, add finely chopped tomatoes and cook for 5-6 minutes.  In the meanwhile break open the eggs to a mixing bowl, add a pinch of salt and beat it nicely. You can also add the eggs directly to the mixture if you prefer.  Once the tomatoes are nice and soft add the beaten eggs and cook on a low - medium heat stirring continuously , scraping the edges frequently .You can stop at any point you like, I prefer it very dry so i have cooked the eggs thoroughly .  Once the eggs are done add some freshly ground pepper and some finely chopped coriander leaves , mix it once and turn off the heat.  That's it our egg Bhurji is ready to be served. You can serve this with bread, Chapathi or rice.</t>
  </si>
  <si>
    <t>ஒரு கடாயில் எண்ணெயை சூடாக்கி சீரகம் சேர்த்து, பின்னர் இறுதியாக நறுக்கிய வெங்காயம், தேவையான உப்பு சேர்த்து இரண்டு நிமிடங்கள் வதக்கவும். வெங்காயம் தெளிவாகத் தெரிந்ததும் பச்சை மிளகாய், மஞ்சள் தூள், மிளகாய் தூள் சேர்த்து நன்கு கலக்கவும்.  பின்னர் மசாலாக்கள், இறுதியாக நறுக்கிய தக்காளியைச் சேர்த்து 5-6 நிமிடங்கள் சமைக்கவும்.  இதற்கிடையில் முட்டைகளை ஒரு கலவை பாத்திரத்தில் உடைத்து திறந்து, ஒரு சிட்டிகை உப்பு சேர்த்து நன்றாக அடிக்கவும். நீங்கள் விரும்பினால் முட்டைகளை நேரடியாக கலவையில் சேர்க்கலாம்.  தக்காளி நன்றாகவும் மென்மையாகவும் ஆனதும், அடித்த முட்டைகளைச் சேர்த்து, மிதமான சூட்டில் தொடர்ந்து கிளறி, விளிம்புகளை அடிக்கடி சுரண்டி வேக வைக்கவும். நீங்கள் விரும்பும் எந்த இடத்திலும் நிறுத்தலாம், எனக்கு இது மிகவும் வறண்டதாக இருக்கும், அதனால் நான் முட்டைகளை நன்கு சமைத்தேன்.  முட்டைகள் தயாரானதும், புதிதாக அரைத்த மிளகுத்தூள் மற்றும் சிறிது பொடியாக நறுக்கிய கொத்தமல்லி இலைகளைச் சேர்த்து, ஒரு முறை கலந்து, அடுப்பை அணைக்கவும்.  அவ்வளவுதான், நமது முட்டை புர்ஜி பரிமாற தயாராக உள்ளது. இதை நீங்கள் ரொட்டி, சப்பாத்தி அல்லது சாதத்துடன் பரிமாறலாம்.</t>
  </si>
  <si>
    <t>https://blogger.googleusercontent.com/img/b/R29vZ2xl/AVvXsEivAfUbN0YKgNw2X9xQgDRZ6IAyjSJuG0bhUbHHPXEnR_wH_YgeMoOcjQQ4XSzFBPD5EhPM8l7X1xO0U1SRXBCMUoQQIxZgZinLCZ0t90OL0A-2UTJ3lqZNIxhW7b-pqdFA-4lh-nT_Opoe/s640/Egg+Bhurji+.JPG</t>
  </si>
  <si>
    <t>https://youtu.be/xcLwT61gKMg</t>
  </si>
  <si>
    <t>Chicken Salna</t>
  </si>
  <si>
    <t>சிக்கன் சால்னா</t>
  </si>
  <si>
    <t>1 tsp - Oil, 1 - cinnamon,  3 - cardamom,  4 -  cloves, 2 tsp - Fennel Seeds , 1 tsp - Cumin Seeds, 1 tsp - Pepper Corns , 1 tsp - Poppy Seeds , 1/2 cup - grated Coconut, 1/2 kg - Chicken , 2 tbsp - Oil, 2 -  bay leaves,  2 -  cinnamon,  1 tsp - fennel seeds, 2 large - Onions, 1 tbsp - Ginger Garlic Paste, 3  - Green Chilies , 1/2 tsp - Turmeric powder, 1 tbsp - Coriander powder, 1 tbsp - Chilli Powder, 2 - Tomatoes, required Water, Salt to Taste , Coriander leaves for Garnishing.</t>
  </si>
  <si>
    <t>1 தேக்கரண்டி - எண்ணெய், 1 - இலவங்கப்பட்டை, 3 - ஏலக்காய், 4 - கிராம்பு, 2 தேக்கரண்டி - வெந்தயம், 1 தேக்கரண்டி - சீரகம், 1 தேக்கரண்டி - மிளகு, 1 தேக்கரண்டி - கசகசா, 1/2 கப் - துருவிய தேங்காய், 1/2 கிலோ - சிக்கன், 2 தேக்கரண்டி - எண்ணெய், 2 - பிரியாணி இலைகள், 2 - இலவங்கப்பட்டை, 1 தேக்கரண்டி - பெருஞ்சீரகம் விதைகள், 2 பெரியது - வெங்காயம், 1 தேக்கரண்டி - இஞ்சி பூண்டு விழுது, 3 - பச்சை மிளகாய், 1/2 தேக்கரண்டி - மஞ்சள் தூள், 1 தேக்கரண்டி - கொத்தமல்லி தூள், 1 தேக்கரண்டி - மிளகாய் தூள், 2 - தக்காளி, தேவையான தண்ணீர், சுவைக்கு உப்பு, கொத்தமல்லி இலைகள் அலங்கரிக்க.</t>
  </si>
  <si>
    <t>Heat oil in a pan and add the whole spices- cinnamon, cloves, cardamom, pepper corns, fennel and cumin seeds and roast it for few seconds. Then add poppy seeds, grated coconut and saute until coconut turns golden.  Allow the mixture to cool completely and then grind it to a fine powder.  Heat oil and add cinnamon, bay leaves and fennel seeds, adding fennel adds more taste to the chciken Salna. Then add sliced onions, some salt and saute it for a couple of minutes.  Once the onions turns golden add the masalas - Ginger Garlic Paste, green chilies, turmeric powder, coriander powder, chili powder and the freshly ground masala and mix well.  Immediately after mixing the masalas add sliced tomatoes and cook for 2 minutes until the tomatoes turns soft.  Add the chicken pieces , mix well with the masalas and add enough water, salt if required and mix well. Add little extra water because the chicken salna which we buy from hotels will be a little watery. Cover the cooker and cook for 3 - 4 whistles on a medium heat. If you are using a pan to cook then cover it with a lid and cook until the chicken is fully done.It may take around 30 minutes.  Once the Pressure is fully released open the cooker, you will see oil floating on the top indicating our chicken salna is ready. Finally add a handful of chopped coriander leaves for garnishing.  That's it our Chicken Salna is ready to be enjoyed with Parotta / Chapthi and this curyy also goes excellent with Idli and dosa too. Freshly ground masala and the chicken bones adds unique taste to the salna.</t>
  </si>
  <si>
    <t>ஒரு கடாயில் எண்ணெயை சூடாக்கி, முழு மசாலாப் பொருட்களையும் - இலவங்கப்பட்டை, கிராம்பு, ஏலக்காய், மிளகு, பெருஞ்சீரகம் மற்றும் சீரகம் சேர்த்து சில நொடிகள் வறுக்கவும்.  பின்னர் கசகசா, துருவிய தேங்காய் சேர்த்து தேங்காய் பொன்னிறமாகும் வரை வதக்கவும்.  கலவையை முழுவதுமாக ஆற வைத்து, பின்னர் நன்றாக பொடியாக அரைக்கவும்.  எண்ணெயை சூடாக்கி, இலவங்கப்பட்டை, பிரியாணி இலைகள் மற்றும் பெருஞ்சீரகம் சேர்த்து, பெருஞ்சீரகம் சேர்த்து சிக்கன் சால்னாவுக்கு கூடுதல் சுவை சேர்க்கிறது. பின்னர் நறுக்கிய வெங்காயம், சிறிது உப்பு சேர்த்து இரண்டு நிமிடங்கள் வதக்கவும்.  வெங்காயம் பொன்னிறமாக மாறியதும், மசாலாக்கள் - இஞ்சி பூண்டு விழுது, பச்சை மிளகாய், மஞ்சள் தூள், கொத்தமல்லி தூள், மிளகாய் தூள் மற்றும் புதிதாக அரைத்த மசாலாவை சேர்த்து நன்கு கலக்கவும்.  மசாலாக்கள் கலந்த உடனேயே துண்டுகளாக்கப்பட்ட தக்காளியைச் சேர்த்து, தக்காளி மென்மையாகும் வரை 2 நிமிடங்கள் சமைக்கவும்.  சிக்கன் துண்டுகளைச் சேர்த்து, மசாலாக்களுடன் நன்கு கலந்து, போதுமான தண்ணீர், தேவைப்பட்டால் உப்பு சேர்த்து நன்கு கலக்கவும். ஹோட்டல்களில் இருந்து வாங்கும் சிக்கன் சால்னா சிறிது தண்ணீராக இருக்கும் என்பதால், சிறிது தண்ணீர் சேர்க்கவும்.  குக்கரை மூடி, மிதமான தீயில் 3 - 4 விசில் வரை சமைக்கவும். நீங்கள் சமைக்க ஒரு பாத்திரத்தைப் பயன்படுத்தினால், அதை ஒரு மூடியால் மூடி, சிக்கன் முழுமையாக சமைக்கும் வரை சமைக்கவும். இது சுமார் 30 நிமிடங்கள் ஆகலாம்.  அழுத்தம் முழுவதுமாக விடுவிக்கப்பட்டதும், குக்கரைத் திறக்கவும், மேலே எண்ணெய் மிதப்பதைக் காண்பீர்கள், இது எங்கள் சிக்கன் சால்னா தயாராக இருப்பதைக் குறிக்கிறது.  இறுதியாக அலங்கரிக்க ஒரு கைப்பிடி நறுக்கிய கொத்தமல்லி இலைகளைச் சேர்க்கவும்.  அவ்வளவுதான், எங்கள் சிக்கன் சால்னா பரோட்டா / சப்தியுடன் சுவைக்கத் தயாராக உள்ளது, மேலும் இந்த கர்ரி இட்லி மற்றும் தோசையுடனும் சிறப்பாகச் செல்கிறது. புதிதாக அரைத்த மசாலா மற்றும் சிக்கன் எலும்புகள் சால்னாவிற்கு தனித்துவமான சுவையை சேர்க்கின்றன.</t>
  </si>
  <si>
    <t>https://blogger.googleusercontent.com/img/b/R29vZ2xl/AVvXsEib0gtNum2iXC9jHCgmLRkmIHNQ20KHZUCvHulqZyGRN4o-wXKDAtgyJZIvzgsdQ_3GMJLQ0b7BpD7OJnMhj0Lve2w81YN_lsIGks1FNpFlbPfD80DDB0baGIURQegav7gczQF7wDdFVoJZ/s640/chicken+salna+recipe.JPG</t>
  </si>
  <si>
    <t>https://youtu.be/74ohZRMfR6g?si=d0_oaatKP5P8NzJW</t>
  </si>
  <si>
    <t>Vegetable Pulao</t>
  </si>
  <si>
    <t>காய்கறி புலாவ்</t>
  </si>
  <si>
    <t>3 tbsp - Ghee , 1 - Cinnamon stick,  2 -  Bay leaves 1 - Star anise,  3 - Cardamom,  4 - Cloves, 1/2 tsp - Pepper Corns , 10-12 - Cashew Nuts, 1 large - Onion, 1 tsp  - Ginger Garlic Paste, 3 - Green Chilies , 1.5 tsp - Chilli Powder  powder, 2 cup  - Vegetables (Peas , carrot, Beans , Cauliflower)  1 cup - Basmati Rice, 2 cup - Water, some - Mint Leaves, Salt to Taste.</t>
  </si>
  <si>
    <t>3 டேபிள் ஸ்பூன் - நெய், 1 - இலவங்கப்பட்டை குச்சி, 2 - பிரியாணி இலைகள் 1 - நட்சத்திர சோம்பு,  3 - ஏலக்காய், 4 - கிராம்பு, 1/2 டேபிள் ஸ்பூன் - மிளகு, 10-12 - முந்திரி பருப்பு, 1 பெரியது - வெங்காயம், 1 டேபிள் ஸ்பூன் - இஞ்சி பூண்டு விழுது,  3 - பச்சை மிளகாய், 1.5 டேபிள் ஸ்பூன் - மிளகாய் தூள், 2 கப் - காய்கறிகள் (பட்டாணி, கேரட், பீன்ஸ், காலிஃபிளவர்)  1 கப் - பாஸ்மதி அரிசி, 2 கப் - தண்ணீர், சிறிது - புதினா இலைகள், சுவைக்கேற்ப உப்பு.</t>
  </si>
  <si>
    <t>Melt ghee in a pan and add the whole spices - cinnamon stick, bay leaves, star anise, cardamom, cloves and pepper corns. Give it a stir and add the cashew nuts and roast it for few seconds until golden.  Add 1 sliced onion, little bit of salt  and cook for 3-4 minutes until it turns golden, once golden add green chilies and ginger garlic paste and mix well.  Next add the vegetables ,I have used peas, carrot, beans and cauliflower, you can add any vegetables of your choice. Mix it well and let it cook for 2 minutes.  Drain the water and add the soaked basmatic rice (soaked in water for 30 minutes) , some mint leaves for extra flavor and mix well.Then add water The ratio of Rice to water is 1 : 2 so for 1 cup of rice we need 2 cups of water. You can reduce the amount of water and add coconut milk as well. (1.5 cup water + .5 cup coconut milk) Add salt and check for salt, the water should taste little salty indicating the amount of salt s correct.  Cover and cook on a medium heat until all the water has been absorbed by the rice or until the rice is fully cooked. If you are using a pressure cooker then cook for 2 whistles on a medium heat.  Once done flip the rice gently and serve.</t>
  </si>
  <si>
    <t>ஒரு கடாயில் நெய்யை உருக்கி, முழு மசாலாப் பொருட்களையும் சேர்க்கவும் - இலவங்கப்பட்டை குச்சி, பிரியாணி இலைகள், நட்சத்திர சோம்பு, ஏலக்காய், கிராம்பு மற்றும் மிளகுத்தூள். அதைக் கிளறி, முந்திரி பருப்புகளைச் சேர்த்து சில நொடிகள் பொன்னிறமாகும் வரை வறுக்கவும்.  1 வெங்காயம், சிறிது உப்பு சேர்த்து 3-4 நிமிடங்கள் பொன்னிறமாகும் வரை வதக்கவும். பொன்னிறமானதும் பச்சை மிளகாய், இஞ்சி பூண்டு விழுது சேர்த்து நன்கு கலக்கவும்.  அடுத்து காய்கறிகளைச் சேர்க்கவும், நான் பட்டாணி, கேரட், பீன்ஸ் மற்றும் காலிஃபிளவர் பயன்படுத்தியுள்ளேன், உங்களுக்கு விருப்பமான எந்த காய்கறிகளையும் சேர்க்கலாம். நன்கு கலந்து 2 நிமிடங்கள் சமைக்கவும்.  தண்ணீரை வடிகட்டி, ஊறவைத்த பாஸ்மாடிக் அரிசி (30 நிமிடங்கள் தண்ணீரில் ஊறவைத்தது), கூடுதல் சுவைக்காக சில புதினா இலைகளைச் சேர்த்து நன்கு கலக்கவும். பின்னர் தண்ணீர் சேர்க்கவும். அரிசி மற்றும் தண்ணீரின் விகிதம் 1: 2 ஆகும், எனவே 1 கப் அரிசிக்கு 2 கப் தண்ணீர் தேவை. நீங்கள் தண்ணீரின் அளவைக் குறைத்து தேங்காய்ப் பாலையும் சேர்க்கலாம். (1.5 கப் தண்ணீர் + .5 கப் தேங்காய் பால்) உப்பு சேர்த்து உப்பு இருக்கிறதா என்று சரிபார்க்கவும், தண்ணீர் சிறிது உப்பு சுவைக்க வேண்டும், இது உப்பு அளவு சரியாக இருப்பதைக் குறிக்கிறது.  மூடி வைத்து, அரிசியால் அனைத்து தண்ணீரும் உறிஞ்சப்படும் வரை அல்லது அரிசி முழுமையாக வேகும் வரை மிதமான தீயில் சமைக்கவும்.  நீங்கள் பிரஷர் குக்கரைப் பயன்படுத்துகிறீர்கள் என்றால், மிதமான தீயில் 2 விசில் வரை சமைக்கவும்.  தயாரானதும், அரிசியை மெதுவாகத் திருப்பிப் போட்டுப் பரிமாறவும்.</t>
  </si>
  <si>
    <t>https://blogger.googleusercontent.com/img/b/R29vZ2xl/AVvXsEgFPjIluL4H7E7Qznz6kq0DziLeDpnSg0RqM_0J-3nemYyxHbWSK0EaaAZ70NBiy1kLAFy5ZCxgBfCpETdfnL2oSqhS88KOdNTexX9Me5y1xKbFCU0D0DocySLaCPdiP1eXT7dvEWHXstDA/s640/vegetable+pulao.JPG</t>
  </si>
  <si>
    <t>https://youtu.be/eLWTnLWzk8U</t>
  </si>
  <si>
    <t>Thakkali Sadam</t>
  </si>
  <si>
    <t>தக்காளி சாதம்</t>
  </si>
  <si>
    <t>2-3 tbsp - Oil, 1/4 tsp - Mustard Seeds, 1 tsp - Channa Dal , 1 tsp - Urad Dal , 1 tsp - Fennel seeds, Curry Leaves, 1/2 tsp - Garam Masala Powder, 1/2 tsp - Turmeric powder, 1.5 tsp - Chilli Powder  powder, 3 - Green Chilies,  1 tsp - Ginger Garlic Paste, 1 - Onion, 3  - Tomatoes, Salt to Taste, 1 tsp - Ghee , 3/4- 1 cup  - Rice .</t>
  </si>
  <si>
    <t>2-3 தேக்கரண்டி - எண்ணெய், 1/4 தேக்கரண்டி - கடுகு, 1 தேக்கரண்டி - சன்னா பருப்பு, 1 தேக்கரண்டி - உளுத்தம் பருப்பு, 1 தேக்கரண்டி - வெந்தயம், கறிவேப்பிலை, 1/2 தேக்கரண்டி - கரம் மசாலா தூள், 1/2 தேக்கரண்டி - மஞ்சள் தூள், 1.5 தேக்கரண்டி - மிளகாய் தூள், 3 - பச்சை மிளகாய், 1 தேக்கரண்டி - இஞ்சி பூண்டு விழுது, 1 - வெங்காயம், 3 - தக்காளி, சுவைக்கு உப்பு, 1 தேக்கரண்டி - நெய், 3/4- 1 கப் - அரிசி.</t>
  </si>
  <si>
    <t>In a large kadai heat oil and add mustard seeds, channa dal, urad dal and saute it for a few seconds, Once the dal changes its color add fennel seeds and curry leaves . Add sliced onion , some salt and cook until the onions turns soft.  Add green chilies, ginger garlic paste and the masalas - Turmeric powder, chili powder and garam masala powder (Ginger garlic paste and garam masala adds more taste to the tomato rice and it tastes like biryani)  Mix once and then add the tomatoes , cover and cook until oil oozes out from the mixture.   Once the tomatoes become soft mash it with a spoon so that everything turns into a paste. Stir them in between to prevent the mixture from burning.  Once the oil oozes out add ghee to enhance the taste and flavor of the tomato rice and turn off the heat.  Finally add the coked rice and mix well. This mixture will be sufficient for 3/4 - 1 cup of rice (before cooking). If you are not sure about the amount then take a bowl of rice and add mixture little at a time and mix well.  That's it our Thakkai Sadam / Tomato rice is ready to be enjoyed with Raitha and Vadagam. It tastes more or less like a plain biryani because of the ginger garlic paste and the garam masala. You can store the thokku for 2 days in the refrigerator, and whenever needed we can use it to make tomato rice.</t>
  </si>
  <si>
    <t>ஒரு பெரிய கடாயில் எண்ணெயை சூடாக்கி, கடுகு, சன்னா பருப்பு, உளுத்தம் பருப்பு சேர்த்து சில நொடிகள் வதக்கவும். பருப்பு நிறம் மாறியதும் பெருஞ்சீரகம் மற்றும் கறிவேப்பிலை சேர்க்கவும்.  வெங்காயம் நறுக்கியது, சிறிது உப்பு சேர்த்து வெங்காயம் மென்மையாகும் வரை வதக்கவும்.  பச்சை மிளகாய், இஞ்சி பூண்டு விழுது மற்றும் மசாலாக்கள் - மஞ்சள் தூள், மிளகாய் தூள் மற்றும் கரம் மசாலா தூள் (இஞ்சி பூண்டு விழுது மற்றும் கரம் மசாலா தக்காளி சாதத்திற்கு கூடுதல் சுவையை சேர்க்கிறது, இது பிரியாணி போல சுவைக்கிறது) சேர்க்கவும்  ஒரு முறை கலந்து, பின்னர் தக்காளியைச் சேர்த்து, மூடி வைத்து, எண்ணெய் வெளியேறும் வரை சமைக்கவும்.  தக்காளி மென்மையாக மாறியதும், ஒரு கரண்டியால் பிசைந்து, எல்லாம் ஒரு பேஸ்டாக மாறும். கலவை எரியாமல் இருக்க இடையில் கிளறவும்.  எண்ணெய் வெளியேறியதும், தக்காளி சாதத்தின் சுவை மற்றும் சுவையை அதிகரிக்க நெய்யைச் சேர்த்து, அடுப்பை அணைக்கவும்.  இறுதியாக கோக்வெட் ரைஸைச் சேர்த்து நன்கு கலக்கவும். இந்த கலவை 3/4 - 1 கப் அரிசிக்கு (சமைப்பதற்கு முன்) போதுமானதாக இருக்கும். அளவு உங்களுக்குத் தெரியாவிட்டால், ஒரு கிண்ணம் அரிசியை எடுத்து சிறிது சிறிதாக கலவையைச் சேர்த்து நன்கு கலக்கவும்.  அவ்வளவுதான், எங்கள் தக்கை சாதம் / தக்காளி சாதம் ரைத்தா மற்றும் வடகத்துடன் சுவைக்க தயாராக உள்ளது. இஞ்சி பூண்டு விழுது மற்றும் கரம் மசாலா இருப்பதால் இது ஒரு சாதாரண பிரியாணி போலவே சுவையாக இருக்கும். நீங்கள் தோக்கை 2 நாட்கள் குளிர்சாதன பெட்டியில் சேமித்து வைக்கலாம், தேவைப்படும் போதெல்லாம் தக்காளி சாதம் தயாரிக்க இதைப் பயன்படுத்தலாம்.</t>
  </si>
  <si>
    <t>https://blogger.googleusercontent.com/img/b/R29vZ2xl/AVvXsEgmJfuFCxpLqx8JxBZlRNnt5Zk_GwLBW4w2xCzqf2_B-zG3kfXIZSFUdE17q1PovF5eywK81gjEnNTuLSomsrfdJH9dXheB6I3Txi5RGelkmstdkGRhsl9uzNJuo9ZCCYqy6-Tqfvclak3X/s640/thakkali+sadam+recipe.JPG</t>
  </si>
  <si>
    <t>Bread Omelette</t>
  </si>
  <si>
    <t>ரொட்டி ஆம்லெட்</t>
  </si>
  <si>
    <t>2 - Slices of bread, 3 large - Eggs , 3 tbsp - Onions (finely chopped), 2 tbsp - Coriander leaves (finely chopped) , 2  - Green Chilies (finely chopped) , 1/2 tsp - Chili powder, 1 tbsp - Butter, 1/4 tsp - Pepper, Salt to taste, pinch of Chat Masala.</t>
  </si>
  <si>
    <t>2 - ரொட்டி துண்டுகள், 3 பெரிய - முட்டைகள், 3 தேக்கரண்டி - வெங்காயம் (நன்றாக நறுக்கியது), 2 தேக்கரண்டி - கொத்தமல்லி இலைகள் (நன்றாக நறுக்கியது), 2 - பச்சை மிளகாய் (நன்றாக நறுக்கியது), 1/2 தேக்கரண்டி - மிளகாய் தூள், 1 தேக்கரண்டி - வெண்ணெய், 1/4 தேக்கரண்டி - மிளகு, ருசிக்க உப்பு, சிறிது சாட் மசாலா</t>
  </si>
  <si>
    <t>Toasting bread is optional but i prefer to toast my bread .Melt some butter in a pan and once the butter is melted place the bread slice and let it develop some nice color on both the sides.. Once they develop nice golden color on both the sides take it off from the pan.  In a bowl add the eggs and beat it nicely then add the rest of the ingredients  -finely chopped Onions, green chilies, coriander leaves, chili powder, salt and pepper. Mix well to combine everything together.  Now to make bread omelette. Heat a pan and grease with butter or oil, once the oil is hot add ½ of the egg mixture and spread it all over the pan to form a thin layer. Now immediately place the toasted bread slice and let it cook for sometime.  Once the eggs are cooked fold the egg with the bread, cover the bread with the egg sheet from all the sides and cook for few more seconds.  Finally Sprinkle some chat masala on the top for extra taste and garnish with some coriander leaves on the top.  That’s it our bread omlette is ready to be served. You can serve this with mint, coriander chutney or with tomato Ketchup.</t>
  </si>
  <si>
    <t>ரொட்டியை டோஸ்ட் செய்வது விருப்பமானது, ஆனால் நான் என் ரொட்டியை டோஸ்ட் செய்ய விரும்புகிறேன். ஒரு பாத்திரத்தில் சிறிது வெண்ணெய் உருக்கி, வெண்ணெய் உருகியதும் ரொட்டித் துண்டை வைத்து, இருபுறமும் நல்ல தங்க நிறம் வர விடவும்..  அவை இரண்டு பக்கங்களிலும் நல்ல தங்க நிறம் வரும்போது, ​​அதை வாணலியில் இருந்து எடுக்கவும்.  ஒரு பாத்திரத்தில் முட்டைகளைச் சேர்த்து நன்றாக அடித்து, மீதமுள்ள பொருட்களை - இறுதியாக நறுக்கிய வெங்காயம், பச்சை மிளகாய், கொத்தமல்லி இலை, மிளகாய் தூள், உப்பு மற்றும் மிளகு சேர்க்கவும். எல்லாவற்றையும் ஒன்றாக இணைக்க நன்கு கலக்கவும்.  இப்போது ரொட்டி ஆம்லெட் தயாரிக்கவும். ஒரு பாத்திரத்தை சூடாக்கி, வெண்ணெய் அல்லது எண்ணெயுடன் தடவவும். எண்ணெய் சூடானதும், முட்டைக் கலவையைச் சேர்த்து, பான் முழுவதும் பரப்பி மெல்லிய அடுக்கை உருவாக்கவும்.  இப்போது உடனடியாக டோஸ்ட் செய்யப்பட்ட பிரட் துண்டை வைத்து சிறிது நேரம் சமைக்கவும்.  முட்டைகள் வெந்தவுடன், முட்டையை ரொட்டியுடன் மடித்து, ரொட்டியை அனைத்து பக்கங்களிலும் முட்டைத் தாளால் மூடி, இன்னும் சில வினாடிகள் சமைக்கவும்.  இறுதியாக, கூடுதல் சுவைக்காக மேலே சிறிது சாட் மசாலாவைத் தூவி, மேலே சிறிது கொத்தமல்லி இலைகளால் அலங்கரிக்கவும்.  அவ்வளவுதான், எங்கள் பிரட் ஆம்லெட் பரிமாற தயாராக உள்ளது. இதை நீங்கள் புதினா, கொத்தமல்லி சட்னி அல்லது தக்காளி கெட்ச்அப்புடன் பரிமாறலாம்.</t>
  </si>
  <si>
    <t>https://blogger.googleusercontent.com/img/b/R29vZ2xl/AVvXsEihQruJA2z46W_Nf9qWSpwqZC_bfBkiUdoyUZxr-fWhyphenhyphenlfeoduOIdOHiyblQVCAIdoWriJPetnFClMn-jgXjfr1OElXP1fOl4J8p5ApyLc6n8_f3MpaC0I0WPaWAI_NWzxPM_yqEuLTQ1gH/s640/bread+omelette+recipe.JPG</t>
  </si>
  <si>
    <t>https://youtu.be/y0cueLZrpGE</t>
  </si>
  <si>
    <t>French Fries</t>
  </si>
  <si>
    <t>பிரஞ்சு பொரியல்</t>
  </si>
  <si>
    <t>1 Kg - Potatoes, 2 tbsp - Salt, 2 Tbsp - Vinegar, Salt to taste, Water as required, Oil for frying.</t>
  </si>
  <si>
    <t>1 கிலோ - உருளைக்கிழங்கு, 2 டேபிள்ஸ்பூன் - உப்பு, 2 டேபிள்ஸ்பூன் - வினிகர், ருசிக்க உப்பு, தேவைக்கேற்ப தண்ணீர், வறுக்க எண்ணெய்.</t>
  </si>
  <si>
    <t>Peel the skin off the potatoes and trim off the potatoes and rinse it in water. Trim off the edges to get equal sized fries otherwise you can leave them. Then slice the potatoes vertically and then cut then into medium sized stick. Do not cut too thin if the stick is thin then the fries will become very hard on the outside Now immediately after slicing add it to cold water to prevent from discoloring and continue with the rest of the potatoes.  Now the next step is to leave the potatoes in water for minimum 1-2 hours or you can also refrigerate it overnight. This is the fundamental first step of making proper french fries. The soaking process removes the starch on the outside of the potato, this helps to remove the excess starch from the potatoes and it  stays crispy when we fry them.  Now after soaking blanch the potatoes. Heat water in a bowl and add salt , vinegar mix it once and then add the potatoes,Soaking in hot water softens the potatoes so it remains soft at the inside. let it soak for 7-10 minutes.  Now after 7 minutes remove the potatoes form water and pat it dry with kitchen  towel or paper towel to remove the excels moisture completely.  The secret in every perfect fries to is double fry them . So for the first time we need to fry the potatoes at low temperature 300-325 F for 3 - 4 minutes. This time we are not looking for any color change. Fry it in small batches, do not over crowed them , leaves space between the potatoes and fry it for just 3-4 minutes. Take it off from the oil and keep it on a wire rack.Continue the same with rest of the batches,. Now after frying let it cool for 10-20 minutes. Check the temperature of the oil by placing one stick it should not bubble up high.   Now at this point after frying once we can freeze it and fry it again whenever you want. I always make it in large quantity and freeze the rest so whenever needed we can immediately take if from the freezer and fry.   Once the fries are cooled completely it time to do the second frying. Increase the temperature to 350- 375 degrees an fry it until they develop nice golden color on the outsides.  This time oil should be hot enough to form more bubbles once placed in the oil.   Now the fries are nice and crisp drain the excess oil and place it on a wire rack. Finally season it with salt or you can also add any seasoning of your choice.Our Crispy french fries is ready to be enjoyed with tomato Ketchup.</t>
  </si>
  <si>
    <t>உருளைக்கிழங்கை தோலுரித்து, உருளைக்கிழங்கை வெட்டி தண்ணீரில் கழுவவும். சம அளவிலான பொரியல் கிடைக்கும் வகையில் விளிம்புகளை வெட்டி விடுங்கள், இல்லையெனில் நீங்கள் அவற்றை விட்டுவிடலாம்.  பின்னர் உருளைக்கிழங்கை செங்குத்தாக நறுக்கி, பின்னர் நடுத்தர அளவிலான குச்சியாக வெட்டவும். குச்சி மெல்லியதாக இருந்தால் மிகவும் மெல்லியதாக வெட்ட வேண்டாம், பின்னர் பொரியல் வெளிப்புறத்தில் மிகவும் கடினமாகிவிடும் இப்போது நறுக்கிய உடனேயே அதை குளிர்ந்த நீரில் சேர்த்து நிறமாற்றம் ஏற்படாமல் தடுக்கவும், மீதமுள்ள உருளைக்கிழங்குடன் தொடரவும்.  இப்போது அடுத்த படி உருளைக்கிழங்கை குறைந்தபட்சம் 1-2 மணி நேரம் தண்ணீரில் விட வேண்டும் அல்லது நீங்கள் அதை இரவு முழுவதும் குளிர்சாதன பெட்டியில் வைக்கலாம். சரியான பிரஞ்சு பொரியல் தயாரிப்பதற்கான அடிப்படை முதல் படி இது. ஊறவைக்கும் செயல்முறை உருளைக்கிழங்கின் வெளிப்புறத்தில் உள்ள ஸ்டார்ச்சை நீக்குகிறது, இது உருளைக்கிழங்கிலிருந்து அதிகப்படியான ஸ்டார்ச்சை அகற்ற உதவுகிறது, மேலும் நாம் அவற்றை வறுக்கும்போது அது மொறுமொறுப்பாக இருக்கும்.  இப்போது ஊறவைத்த பிறகு உருளைக்கிழங்கை வெளுக்கவும். ஒரு பாத்திரத்தில் தண்ணீரை சூடாக்கி, உப்பு, வினிகர் சேர்த்து ஒரு முறை கலந்து, பின்னர் உருளைக்கிழங்கைச் சேர்க்கவும். சூடான நீரில் ஊறவைத்தால் உருளைக்கிழங்கு மென்மையாகும், அதனால் அது உள்ளே மென்மையாக இருக்கும். 7-10 நிமிடங்கள் ஊற விடவும்.  இப்போது 7 நிமிடங்களுக்குப் பிறகு உருளைக்கிழங்கை தண்ணீரில் இருந்து அகற்றி, எக்செல்ஸ் ஈரப்பதத்தை முழுவதுமாக நீக்க சமையலறை துண்டு அல்லது காகித துண்டுடன் உலர வைக்கவும்.  ஒவ்வொரு சரியான பொரியலிலும் உள்ள ரகசியம் என்னவென்றால், அவற்றை இரண்டு முறை வறுக்கவும். எனவே முதல் முறையாக உருளைக்கிழங்கை 300-325 F குறைந்த வெப்பநிலையில் 3 - 4 நிமிடங்கள் வறுக்க வேண்டும். இந்த முறை எந்த நிற மாற்றத்தையும் நாங்கள் எதிர்பார்க்கவில்லை. சிறிய தொகுதிகளாக வறுக்கவும், அவற்றை அதிகமாக நனைக்க வேண்டாம், உருளைக்கிழங்கிற்கு இடையில் இடைவெளி விட்டு 3-4 நிமிடங்கள் மட்டுமே வறுக்கவும்.  எண்ணெயிலிருந்து எடுத்து ஒரு கம்பி ரேக்கில் வைக்கவும். மீதமுள்ள தொகுதிகளிலும் இதையே தொடரவும்.  இப்போது வறுத்த பிறகு 10-20 நிமிடங்கள் குளிர்விக்க விடவும்.  ஒரு குச்சியை வைத்து எண்ணெயின் வெப்பநிலையை சரிபார்க்கவும், அது அதிகமாக குமிழியாக இருக்கக்கூடாது.  இப்போது ஒரு முறை வறுத்த பிறகு, அதை உறைய வைத்து, நீங்கள் விரும்பும் போதெல்லாம் மீண்டும் வறுக்கலாம். நான் எப்போதும் அதை அதிக அளவில் செய்து, மீதமுள்ளவற்றை உறைய வைக்கிறேன், எனவே தேவைப்படும் போதெல்லாம் உடனடியாக ஃப்ரீசரில் இருந்து எடுத்து வறுக்கலாம்.  பொரியல் முழுவதுமாக குளிர்ந்ததும், இரண்டாவது வறுக்க வேண்டும். வெப்பநிலையை 350-375 டிகிரிக்கு அதிகரித்து, வெளிப்புறங்களில் நல்ல தங்க நிறம் உருவாகும் வரை வறுக்கவும்.  இந்த முறை எண்ணெய் எண்ணெயில் வைத்தவுடன் அதிக குமிழ்கள் உருவாகும் அளவுக்கு சூடாக இருக்க வேண்டும்.  இப்போது பொரியல் நன்றாகவும் மொறுமொறுப்பாகவும் இருக்கும், அதிகப்படியான எண்ணெயை வடிகட்டி ஒரு கம்பி ரேக்கில் வைக்கவும். இறுதியாக உப்பு சேர்த்து சுவைக்கலாம் அல்லது உங்களுக்கு விருப்பமான எந்த மசாலாவையும் சேர்க்கலாம். எங்கள் மொறுமொறுப்பான பிரஞ்சு பொரியல் தக்காளி கெட்ச்அப்புடன் சுவைக்க தயாராக உள்ளது.</t>
  </si>
  <si>
    <t>https://blogger.googleusercontent.com/img/b/R29vZ2xl/AVvXsEgzatKWi8QGVRLOwPXA9qS7s2c1xD-tFyqAsfly_O_yFP6YbdrkUuzJ1v1v2JgFIMj2f_TKPnvSDGOhommoLZVxILLyaux9qC-mSfWK2Z1O5fH9a01fMwGeqJ3pVEa-_T5fCkFeU7B0YvyV/s640/French+fries+Recipe+1.JPG</t>
  </si>
  <si>
    <t>https://youtu.be/ljOfJn05xSk</t>
  </si>
  <si>
    <t>Tiffin Sambar</t>
  </si>
  <si>
    <t>டிபன் சாம்பார்</t>
  </si>
  <si>
    <t>1/2 Cup - Thoor dal, 3/4 cup - Pumpkin, 1 tsp - Oil, 1 tbsp - Channa Dal , 1 tbsp - Coriander seeds, 1/2 tsp  - Cumin Seeds, 5-6 - Dry red chilies, 2 tsp - Oil, 1/8 tsp - Mustard seeds, 1/4 tsp - Fenugreek seeds, 3  - Dry red chilies, few Curry leaves, 1/2 tsp - Turmeric powder 1/8 tsp - Asafoetida, 10-15 - Shallots , 1 - Tomato 2 - Green Chilies 1 ball - Tamarind (lemon size)  required Water, required Salt , handful Coriander leaves for garnishing, 1 tsp - Ghee .</t>
  </si>
  <si>
    <t>1/2 கப் - துவரம் பருப்பு, 3/4 கப் - பூசணிக்காய், 1 தேக்கரண்டி - எண்ணெய், 1 தேக்கரண்டி - சன்னா பருப்பு, 1 தேக்கரண்டி - கொத்தமல்லி விதைகள், 1/2 தேக்கரண்டி - சீரகம், 5-6 - உலர்ந்த சிவப்பு மிளகாய், 2 தேக்கரண்டி - எண்ணெய், 1/8 தேக்கரண்டி - கடுகு, 1/4 தேக்கரண்டி - வெந்தயம், 3 - உலர்ந்த சிவப்பு மிளகாய், சில கறிவேப்பிலை, 1/2 தேக்கரண்டி - மஞ்சள் தூள் 1/8 தேக்கரண்டி - பெருங்காயம், 10-15 - வெங்காயத்தாள், 1 - தக்காளி 2 - பச்சை மிளகாய் 1 பந்து - புளி (எலுமிச்சை அளவு) தேவையான தண்ணீர், தேவையான உப்பு, அலங்காரத்திற்கு ஒரு கைப்பிடி கொத்தமல்லி, 1 தேக்கரண்டி - நெய்.</t>
  </si>
  <si>
    <t>Pressure cook Thoor dal and pumpkin with water for 4-5 whistles (cut the pumpkin into small pieces and add)  You can also add vegetables like carrot, potatoes , brinjal, drumsticks instead of pumpkin. Mash it with a spoon and keep it aside.  Heat a tsp of oil and roast channa dal , coriander seeds , cumin and red chilies until the raw smell is gone and you feel the aroma of the roasted spices. Be careful while roasting do not burn the spices.   Heat oil in a pan and add mustard seeds, fenugreek, dry red chilies, curry leaves, turmeric powder, Asafoetida and give it a stir. Then add the shallots cut into halves and saute if for a minute.  Add tomato, green chilies and the freshly ground masala and cook for 2 more minutes.  Add the cooked dal - pumpkin mixture and tamarind extract, (soak a lemon size tamarind in water for 10 minutes and extract the juice) also add required water , salt and cook it for 5-7 minutes   Once it comes to a boil add in some chopped coriander leaves for garnishing and also add a tsp of ghee for a nice aroma and flavor .Mix it once and turn off the heat.   Our Delicious Hotel style sambar is ready to be enjoyed with a plate of Idli, Dosa or with pongal. As i mentioned earlier this is really easy to make and that's why it is called as arachuvitta sambar in Tamil.</t>
  </si>
  <si>
    <t>துவரம்பருப்பையும் பூசணிக்காயையும் தண்ணீரில் 4-5 விசில் வரை வேகவைக்கவும் (பூசணிக்காயை சிறிய துண்டுகளாக நறுக்கி சேர்க்கவும்). பூசணிக்காயை விட கேரட், உருளைக்கிழங்கு, கத்திரிக்காய், முருங்கைக்காய் போன்ற காய்கறிகளையும் சேர்க்கலாம்.  ஒரு கரண்டியால் மசித்து தனியாக வைக்கவும்.  ஒரு தேக்கரண்டி எண்ணெயை சூடாக்கி, சன்னா பருப்பு, கொத்தமல்லி, சீரகம் மற்றும் சிவப்பு மிளகாய் ஆகியவற்றை பச்சை வாசனை போகும் வரை வறுக்கவும், வறுத்த மசாலாவின் வாசனையை உணரவும். வறுக்கும்போது கவனமாக இருங்கள்.  ஒரு கடாயில் எண்ணெயை சூடாக்கி, கடுகு, வெந்தயம், உலர்ந்த சிவப்பு மிளகாய், கறிவேப்பிலை, மஞ்சள் தூள், பெருங்காயம் சேர்த்து கிளறவும். பின்னர் பாதியாக நறுக்கிய வெங்காயத்தைச் சேர்த்து ஒரு நிமிடம் வதக்கவும்.  தக்காளி, பச்சை மிளகாய் மற்றும் புதிதாக அரைத்த மசாலாவைச் சேர்த்து மேலும் 2 நிமிடங்கள் சமைக்கவும்.  வேகவைத்த பருப்பு - பூசணிக்காய் கலவையையும் புளி சாறும் சேர்த்து, (ஒரு எலுமிச்சை அளவு புளியை தண்ணீரில் 10 நிமிடங்கள் ஊறவைத்து சாறு பிழிந்து கொள்ளவும்) தேவையான தண்ணீர், உப்பு சேர்த்து 5-7 நிமிடங்கள் சமைக்கவும்.  கொதி வந்ததும், சிறிது நறுக்கிய கொத்தமல்லி இலைகளை சேர்த்து அலங்கரிக்கவும், ஒரு தேக்கரண்டி நெய் சேர்க்கவும். நல்ல மணம் மற்றும் சுவைக்காக. ஒருமுறை கலந்து அடுப்பை அணைக்கவும்.  எங்கள் சுவையான ஹோட்டல் பாணி சாம்பார் ஒரு தட்டில் இட்லி, தோசை அல்லது பொங்கலுடன் சாப்பிட தயாராக உள்ளது. நான் முன்பு குறிப்பிட்டது போல் இதைச் செய்வது மிகவும் எளிதானது, அதனால்தான் இது தமிழில் அரச்சுவிட்ட சாம்பார் என்று அழைக்கப்படுகிறது.</t>
  </si>
  <si>
    <t>https://blogger.googleusercontent.com/img/b/R29vZ2xl/AVvXsEivEtxNrCIbfpv3WpKRkQBw4GM7QDAgzIuktuMmXCWZv9MGQ-Z6HMGdTs2xQMW-VEl96UZDDwdkLaQ6hWdCX2ZoZAWhNFeSpXF2H2hzIYR4fkj_K6R2gNOCr-0EZhOkBFhKeD3AqS3ZoAIH/s640/DSC08296.JPG</t>
  </si>
  <si>
    <t>Egg Curry</t>
  </si>
  <si>
    <t>முட்டை கறி</t>
  </si>
  <si>
    <t>6 - Boiled eggs, 1 tsp - Oil, 1/8 tsp - Turmeric powder, 1 tsp - chili powder, 1/4 tsp - pepper powder, Salt, 2 tbsp - Oil, 1 - Cinnamon Stick,  3 - cloves,  2 - cardamom, 1/2 tsp - Cumin Seeds, 2 - Onions, 1 - Tomato, 3  - Green Chilies, 1 tbsp - Ginger Garlic Paste, 1/2 tsp  - Turmeric Powder, 1 tsp - Garam Masala Powder, 1 tsp - Coriander powder, 2 tsp  - Chili powder, 1/2 cup - Coconut , Salt to Taste, Required Water, Coriander Leaves.</t>
  </si>
  <si>
    <t>6 - வேகவைத்த முட்டைகள், 1 தேக்கரண்டி - எண்ணெய், 1/8 தேக்கரண்டி - மஞ்சள் தூள், 1 தேக்கரண்டி - மிளகாய் தூள், 1/4 தேக்கரண்டி - மிளகு தூள், உப்பு, 2 தேக்கரண்டி - எண்ணெய், 1 - இலவங்கப்பட்டை குச்சி, 3 - கிராம்பு, 2 - ஏலக்காய், 1/2 தேக்கரண்டி - சீரகம், 2 - வெங்காயம், 1 - தக்காளி, 3 - பச்சை மிளகாய், 1 தேக்கரண்டி - இஞ்சி பூண்டு விழுது, 1/2 தேக்கரண்டி - மஞ்சள் தூள், 1 தேக்கரண்டி - கரம் மசாலா தூள், 1 தேக்கரண்டி - கொத்தமல்லி தூள், 2 தேக்கரண்டி - மிளகாய் தூள், 1/2 கப் - தேங்காய், சுவைக்கு உப்பு, தேவையான தண்ணீர், கொத்தமல்லி இலைகள்.</t>
  </si>
  <si>
    <t>Boil 6 eggs and discard the shell. Make few slits on the eggs or you can cut them into halves if you prefer. 
Now to season heat oil and add chili powder,  turmeric powder, salt , little pepper and mix nicely. Place the eggs and sauté it for a couple of minutes on a medium heat.  
Now to make gravy heat some oil and for flavoring add whole spices - cinnamon stick, cloves, cardamom and cumin seeds.Next add finely chopped onions and some salt and saute until golden brown.  Add ginger garlic paste, green chilies and the masalas - Turmeric powder, Coriander powder, Garam masala, Chlili powder and mix well. If required add a little of water to prevent the masalas from burning. 
Next add in finely chopped tomato and cook until everything turns into a paste.  Once the tomatoes are nice and soft add enough water and let it cook for some time. 
If you prefer a smooth gravy then you can grind the onion and tomatoes into a fine paste and then continue on with the recipe but I prefer to have some texture in my gravy and so I am going to continue at is it.  
In a blender add grated coconut with some water and grind it to a fine paste. Adding Coconut adds thickens and richness to the gravy.  Add the coconut milk and let it boil for some time. 
Once the entire gravy comes to a boil add in the seasoned eggs and let it cook for a couple of more minutes.  Finally garnish it with some coriander leaves and turn off the heat.  
Our delicious Egg Curry is ready to be served. This is an curry is an excellent companion for Chapathi, Roti , Rice and Dosa. This also goes very well with Appam, Appam and Muttai Curry is a staple food in Kerala.</t>
  </si>
  <si>
    <t>6 முட்டைகளை வேகவைத்து, ஓட்டை நீக்கவும். முட்டைகளில் சில துண்டுகளாக வெட்டவும் அல்லது நீங்கள் விரும்பினால் அவற்றை பாதியாக வெட்டலாம்.  இப்போது எண்ணெயை சூடாக்கி மிளகாய் தூள், மஞ்சள் தூள், உப்பு, சிறிது மிளகு சேர்த்து நன்றாக கலக்கவும்.  
முட்டைகளை வைத்து மிதமான தீயில் இரண்டு நிமிடங்கள் வதக்கவும்.  இப்போது கிரேவி செய்ய சிறிது எண்ணெயை சூடாக்கி, சுவைக்காக முழு மசாலாப் பொருட்களையும் சேர்க்கவும் - இலவங்கப்பட்டை குச்சி, கிராம்பு, ஏலக்காய் மற்றும் சீரகம். 
அடுத்து இறுதியாக நறுக்கிய வெங்காயம் மற்றும் சிறிது உப்பு சேர்த்து பொன்னிறமாகும் வரை வதக்கவும்.  
இஞ்சி பூண்டு விழுது, பச்சை மிளகாய் மற்றும் மசாலாக்கள் - மஞ்சள் தூள், கொத்தமல்லி தூள், கரம் மசாலா, மிளகாய் தூள் ஆகியவற்றைச் சேர்த்து நன்கு கலக்கவும். 
தேவைப்பட்டால் மசாலாக்கள் எரியாமல் இருக்க சிறிது தண்ணீர் சேர்க்கவும்.  அடுத்து இறுதியாக நறுக்கிய தக்காளியைச் சேர்த்து, எல்லாம் ஒரு பேஸ்டாக மாறும் வரை சமைக்கவும்.  
தக்காளி நன்றாகவும் மென்மையாகவும் மாறியதும் போதுமான தண்ணீர் சேர்த்து சிறிது நேரம் சமைக்கவும்.  
நீங்கள் மென்மையான கிரேவியை விரும்பினால், வெங்காயம் மற்றும் தக்காளியை நன்றாக பேஸ்டாக அரைத்து, பின்னர் செய்முறையைத் தொடரலாம், ஆனால் என் கிரேவியில் சிறிது அமைப்பு இருக்க வேண்டும் என்று நான் விரும்புகிறேன், அதனால் நான் அப்படியே தொடரப் போகிறேன்.  ஒரு பிளெண்டரில் துருவிய தேங்காயை சிறிது தண்ணீருடன் சேர்த்து நன்றாக பேஸ்டாக அரைக்கவும். 
தேங்காய் சேர்ப்பது கிரேவிக்கு கெட்டியாகவும் செழுமையாகவும் சேர்க்கிறது.  தேங்காய்ப் பால் சேர்த்து சிறிது நேரம் கொதிக்க விடவும். முழு கிரேவியும் கொதி வந்ததும், அதில் தாளித்த முட்டைகளைச் சேர்த்து இன்னும் சில நிமிடங்கள் சமைக்கவும்.  
கடைசியாக சிறிது கொத்தமல்லி இலைகளால் அலங்கரித்து அடுப்பை அணைக்கவும்.  எங்கள் சுவையான முட்டை கறி பரிமாற தயாராக உள்ளது. இது சப்பாத்தி, ரொட்டி, சாதம் மற்றும் தோசைக்கு ஒரு சிறந்த துணை. இது அப்பம், அப்பம் மற்றும் முத்தாய் கறி ஆகியவற்றுடன் மிகவும் நன்றாக செல்கிறது. கேரளாவில் இது ஒரு முக்கிய உணவு.</t>
  </si>
  <si>
    <t>https://blogger.googleusercontent.com/img/b/R29vZ2xl/AVvXsEg_uxQUk41v6P5-n8GQs9EsCd7izGOk0GCDJI_HXAs3YiUw754XtDlpxZShMxtT8ZM-xW-6PIBXwoCscYfhVwJ5yB7ZS7gqE7Q77gFqOZ5eDCqpr_ILeDUf0bWE3Sv282B-xvnSP9gP9ZNV/s640/Egg+Curry+Recipe.jpg</t>
  </si>
  <si>
    <t>https://youtu.be/gd9JMzVQk9A</t>
  </si>
  <si>
    <t>Vada Curry</t>
  </si>
  <si>
    <t>வடை கறி</t>
  </si>
  <si>
    <t>1 cup - Channa Dal, 2 tsp - Fennel seeds , 4-5 - Dry red chilies, Salt to taste, Oil for frying, 2 Tbsp - Oil, 1  - Bay leaf,  1 - cinnamon stick,  2 - cardamom,  2 - cloves, 2 - Onions, 2 - Tomatoes, 1 tbsp - Ginger Garlic Paste, 1/2 tsp  - Turmeric Powder, 1 tsp  - Garam Masala powder , 1 tsp  - Coriander powder, 2-3 tsp - Red Chilli Powder, 2  - Green chilies, 1/4 cup - Grated Coconut, few Curry Leaves, Coriander leaves, Salt to taste , Water .</t>
  </si>
  <si>
    <t>1 கப் - சன்னா பருப்பு, 2 தேக்கரண்டி - பெருஞ்சீரகம், 4-5 - உலர்ந்த சிவப்பு மிளகாய், ருசிக்க உப்பு, வறுக்க எண்ணெய், 2 தேக்கரண்டி - எண்ணெய், 1 - பிரியாணி இலை, 1 - இலவங்கப்பட்டை, 2 - ஏலக்காய், 2 - கிராம்பு, 2 - வெங்காயம், 2 - தக்காளி, 1 தேக்கரண்டி - இஞ்சி பூண்டு விழுது, 1/2 தேக்கரண்டி - மஞ்சள் தூள், 1 தேக்கரண்டி - கரம் மசாலா தூள், 1 தேக்கரண்டி - கொத்தமல்லி தூள், 2-3 தேக்கரண்டி - சிவப்பு மிளகாய் தூள், 2 - பச்சை மிளகாய், 1/4 கப் - துருவிய தேங்காய், சில கறிவேப்பிலை, கொத்தமல்லி இலைகள், சுவைக்கு உப்பு, தண்ணீர்.</t>
  </si>
  <si>
    <t>Soak Channa Dal / Kadalai paruppu for 2 hours. Drain the water completely and transfer it to a blender and also add fennel seeds, dry red chilies , required salt and grind it to a coarse paste.  
Fry the vada mix in oil until golden . Once golden remove from oil and break them into small pieces and keep it aside.  Heat oil in a pan and add cinnamon stick, cardamon , bay leaves and cloves. 
Add finely onions, some salt and saute until the onions turns golden.  Once the onions turns golden add  green chilies, ginger garlic paste and the masalas - Turmeric powder, coriander powder, Garam masala powder and chili powder and some curry leaves .
Mix it once and then add finely chopped tomato some water ,cover and cook until everything turns into a paste.  In the meanwhile grind coconut with some water in a blender and keep it aside. Coconut adds thickness and creamy taste to the curry. 
Coconut is purely optional, if you don't like the taste of coconut then your can skip.  Once the tomatoes turns into a paste add coconut milk and let it come to a boil.
Now add the broken masal vadas and cook for few more minutes.  Finally add curry leaves and coriander leaves for garnishing and turn off the heat.  
Our Delicious Vada Curry is ready to be served. You can make this recipe with the leftover masal vada as well. This recipe goes excellent with dosa, Idli and chapathi.</t>
  </si>
  <si>
    <t>சன்னா பருப்பு / கடலை பருப்பு ஆகியவற்றை 2 மணி நேரம் ஊற வைக்கவும்.  தண்ணீரை முழுவதுமாக வடிகட்டி ஒரு பிளெண்டரில் போட்டு, பெருஞ்சீரகம் விதைகள், உலர்ந்த சிவப்பு மிளகாய், தேவையான உப்பு சேர்த்து கரடுமுரடான பேஸ்டாக அரைக்கவும்.  வடை கலவையை எண்ணெயில் பொன்னிறமாகும் வரை வறுக்கவும். பொன்னிறமானதும் எண்ணெயிலிருந்து எடுத்து சிறிய துண்டுகளாக உடைத்து தனியாக வைக்கவும்.  ஒரு கடாயில் எண்ணெயை சூடாக்கி, இலவங்கப்பட்டை, ஏலக்காய், பிரியாணி இலைகள் மற்றும் கிராம்புகளைச் சேர்க்கவும். 
இறுதியாக வெங்காயம், சிறிது உப்பு சேர்த்து வெங்காயம் பொன்னிறமாகும் வரை வதக்கவும்.  
வெங்காயம் பொன்னிறமானதும், பச்சை மிளகாய், இஞ்சி பூண்டு விழுது மற்றும் மசாலாக்கள் - மஞ்சள் தூள், கொத்தமல்லி தூள், கரம் மசாலா தூள் மற்றும் மிளகாய் தூள் மற்றும் சிறிது கறிவேப்பிலை ஆகியவற்றைச் சேர்க்கவும். அதை ஒரு முறை கலந்து, இறுதியாக நறுக்கிய தக்காளியைச் சேர்த்து சிறிது தண்ணீர், மூடி வைத்து, எல்லாம் ஒரு பேஸ்டாக மாறும் வரை சமைக்கவும்.  இதற்கிடையில், ஒரு பிளெண்டரில் தேங்காயை சிறிது தண்ணீருடன் அரைத்து ஒதுக்கி வைக்கவும். 
தேங்காய் கறியில் அடர்த்தி மற்றும் கிரீமி சுவை சேர்க்கிறது. தேங்காய் முற்றிலும் விருப்பமானது, தேங்காயின் சுவை உங்களுக்குப் பிடிக்கவில்லை என்றால், நீங்கள் தவிர்க்கலாம்.  
தக்காளி பேஸ்டாக மாறியதும், தேங்காய் பால் சேர்த்து கொதிக்க விடவும். இப்போது உடைத்த மசாலா வடைகளைச் சேர்த்து இன்னும் சில நிமிடங்கள் சமைக்கவும்.  
கடைசியாக கறிவேப்பிலை மற்றும் கொத்தமல்லி இலைகளை அழகுபடுத்த சேர்த்து, தீயை அணைக்கவும்.  
எங்கள் சுவையான வடை கறி பரிமாற தயாராக உள்ளது. மீதமுள்ள மசாலா வடையுடன் இந்த ரெசிபியை நீங்கள் செய்யலாம். 
இந்த ரெசிபி தோசை, இட்லி மற்றும் சப்பாத்தியுடன் சிறப்பாகச் செல்லும்.</t>
  </si>
  <si>
    <t>https://blogger.googleusercontent.com/img/b/R29vZ2xl/AVvXsEha3ummvKVlfvfO0SUbBAOgzBYGga0AFQ3Rb3lOxMMr7QzvTCX2LWBNjrvL_akdT9O3q-5Cfj20BFga68Tv47Fj6ZDwA6MhiOLNLCU_Ylx2-yCKce36WYIpv96pH61crS-90hQGL8yekZjQ/s640/Vada+curry+recipe.JPG</t>
  </si>
  <si>
    <t>Semiya Payasam</t>
  </si>
  <si>
    <t>சேமியா பாயசம்</t>
  </si>
  <si>
    <t>4 cup - Full fat milk (2 Liter approximately), 1 cup - Vermicelli / Semiya, 1/2 cup - Condensed Milk (milkmaid), 1/2 cup - Sugar, 1/4 cup - Sago, 3 tbsp - Ghee, 2 tbsp  - Cashews, 2 tbsp - Raisins , 2 tbsp - Almonds, 4 - Cardamom.</t>
  </si>
  <si>
    <t>4 கப் - முழு கொழுப்புள்ள பால் (தோராயமாக 2 லிட்டர்), 1 கப் - சேமியா / சேமியா, 1/2 கப் - அமுக்கப்பட்ட பால் (மில்க்மெய்ட்), 1/2 கப் - சர்க்கரை, 1/4 கப் - சாகோ, 3 டீஸ்பூன் - நெய், 2 டீஸ்பூன் - முந்திரி, 2 டீஸ்பூன் - திராட்சை, 2 டீஸ்பூன் - திராட்சை, 2 டீஸ்பூன் - பாதாம், 4 - ஏலக்காய்.</t>
  </si>
  <si>
    <t>Melt ghee in a pan and roast cashews first, once the cashews turns golden add almonds and raisins to it and saute until the raisins balloons up, be careful while roasting the nuts , do not burn them. 
Once the raisins balloons transfer the nuts to a plate.  Now in the same pan roast vermicelli (semiya). If your vermicelli is raw then roast it until it turns golden , if you are using pre-roasted vermicelli then roast it for 2 minutes on a low heat. Once roasted turn off the heat and set it aside.  Sago / javvarisi will take longer time to cook compared to vermicelli so cook the sago first in some milk or water , I used 1 cup of water + 2 cups of Milk to cook sago. 
Once it is half done (takes 15-20 minutes) and becomes half translucent add vermicelli and cook until the vermicelli becomes soft and fully cooked.
By this time most of the milk will be absorbed by the vermicelli and sago   Once both Sago and vermicelli are fully cooked add sugar and the condensed milk. If you are not using condensed milk then add extra sugar (somewhere from 1/4-1/2 cup ). 
Mix well and add the remaining 2 cups of milk .  Once the payasam comes to a boil add cardamom pods for flavoring and garnish it with the roasted nuts.Crush the cardamom and add to get best results, you can also use cardamom powder.  
That' it our Semiya payasam is ready to be enjoyed hot or cold. In my hometown Nagercoil this payasam is mandatory in all weddings and functions they add sweet boondi on the top of it to add extra taste and sweetness. 
That is a real awesome combination, if you get a chance to have this combo please give it a try and i can guarantee you that you are gonna love it as i do.</t>
  </si>
  <si>
    <t>ஒரு கடாயில் நெய்யை உருக்கி முதலில் முந்திரிகளை வறுக்கவும், முந்திரி பொன்னிறமாக மாறியதும் அதில் பாதாம் மற்றும் திராட்சையைச் சேர்த்து, திராட்சை பலூன்கள் வரை வதக்கவும், கொட்டைகளை வறுக்கும்போது கவனமாக இருங்கள், அவற்றை எரிக்க வேண்டாம்.  
திராட்சை பலூன்கள் கொட்டைகளை ஒரு தட்டில் மாற்றியதும்.  இப்போது அதே கடாயில் சேமியாவை வறுக்கவும். உங்கள் சேமியா பச்சையாக இருந்தால், அது பொன்னிறமாகும் வரை வறுக்கவும், நீங்கள் முன் வறுத்த சேமியாவைப் பயன்படுத்தினால், குறைந்த வெப்பத்தில் 2 நிமிடங்கள் வறுக்கவும். 
வறுத்ததும், வெப்பத்தை அணைத்து ஒதுக்கி வைக்கவும்.  சேமியா / ஜவ்வரிசி வெந்தவுடன் ஒப்பிடும்போது அதிக நேரம் எடுக்கும், எனவே முதலில் சேமியாவை பால் அல்லது தண்ணீரில் சமைக்கவும், நான் 1 கப் தண்ணீர் + 2 கப் பால் சேர்த்து சமைத்தேன். 
பாதி வெந்ததும் (15-20 நிமிடங்கள் ஆகும்) பாதி ஒளிஊடுருவக்கூடியதாக மாறியதும், சேமியாவைச் சேர்த்து, சேமியா மென்மையாகவும் முழுமையாகவும் வேகும் வரை சமைக்கவும். இந்த நேரத்தில் பெரும்பாலான பால் சேமியா மற்றும் சேமியாவால் உறிஞ்சப்படும்.  
சேமியா மற்றும் சேமியா இரண்டும் முழுமையாக வெந்தவுடன் சர்க்கரை மற்றும் அமுக்கப்பட்ட பாலைச் சேர்க்கவும். 
நீங்கள் அமுக்கப்பட்ட பாலைப் பயன்படுத்தவில்லை என்றால், கூடுதல் சர்க்கரையைச் சேர்க்கவும் (1/4-1/2 கப் வரை). நன்றாகக் கலந்து மீதமுள்ள 2 கப் பாலைச் சேர்க்கவும்.  பாயாசம் கொதித்ததும், சுவைக்காக ஏலக்காய் காய்களைச் சேர்த்து, வறுத்த கொட்டைகளால் அலங்கரிக்கவும். 
ஏலக்காயை நசுக்கி, சிறந்த பலனைப் பெற, நீங்கள் ஏலக்காய் பொடியையும் பயன்படுத்தலாம்.  அவ்வளவுதான் எங்கள் சேமியா பாயாசம் சூடாகவோ அல்லது குளிராகவோ சாப்பிட தயாராக உள்ளது. 
என்னுடைய சொந்த ஊரான நாகர்கோவிலில், எல்லா திருமணங்களிலும் விழாக்களிலும் இந்தப் பாயசம் கட்டாயம். கூடுதல் சுவை மற்றும் இனிப்பைச் சேர்க்க அதன் மேல் இனிப்பு பூந்தியைச் சேர்ப்பார்கள். 
இது உண்மையிலேயே அருமையான கலவை, இந்த காம்போவை நீங்கள் சாப்பிட வாய்ப்பு கிடைத்தால், தயவுசெய்து இதை முயற்சித்துப் பாருங்கள், நான் விரும்புவது போல் நீங்களும் இதை விரும்புவீர்கள் என்று நான் உத்தரவாதம் அளிக்கிறேன்.</t>
  </si>
  <si>
    <t>https://blogger.googleusercontent.com/img/b/R29vZ2xl/AVvXsEiYamcDAM9pizi7VjhQCkQ5TkkelDBCyZAxJwhCxUhqml1NtaAOjpUCmDLR3iMH_5S7Q8Xt3Zro6VVUA4BiDPcuzNNdhNqlh2d6xdLivC5AvB4dvcSsy13da2UccmATizVGL70mdxvJbeyL/s640/Semiya+Payasam+Recipe.JPG</t>
  </si>
  <si>
    <t>Onion Samosa</t>
  </si>
  <si>
    <t>வெங்காய சமோசா</t>
  </si>
  <si>
    <t>1/2 cup - All purpose flour / Maida, 1/2 Cup - Wheat flour, 1 tbsp - Oil, Salt to taste, Water as required, 1 - Onionc, 3 tbsp - grated Carrot, 3 tbsp - grated Beetroot, 3 tbsp - grated Potato , 3 - Green Chlies, 1/2 tsp - Cumin powder, 1/2 tsp - Chilli powder, 1/2 tsp - Garam Masala, 3 tbsp  - Coriander leaves chopped, 1 tbsp - Curry leaves chopped , Salt to taste, 2 tbsp  - All purpose flour / Maida, Water, Oil for frying.</t>
  </si>
  <si>
    <t>1/2 கப் - அனைத்து உபயோக மாவு / மைதா, 1/2 கப் - கோதுமை மாவு, 1 டேபிள் ஸ்பூன் - எண்ணெய், ருசிக்க உப்பு, தேவைக்கேற்ப தண்ணீர், 1 - வெங்காயம், 3 டேபிள் ஸ்பூன் - துருவிய கேரட், 3 டேபிள் ஸ்பூன் - துருவிய பீட்ரூட், 3 டேபிள் ஸ்பூன் - துருவிய உருளைக்கிழங்கு, 3 - பச்சை மிளகாய், 1/2 டேபிள் ஸ்பூன் - சீரகப் பொடி, 1/2 டேபிள் ஸ்பூன் - மிளகாய் தூள், 1/2 டேபிள் ஸ்பூன் - கரம் மசாலா, 3 டேபிள் ஸ்பூன் - கொத்தமல்லி இலைகள் நறுக்கியது, 1 டேபிள் ஸ்பூன் - கறிவேப்பிலை நறுக்கியது, ருசிக்க உப்பு, 2 டேபிள் ஸ்பூன் - அனைத்து உபயோக மாவு / மைதா, தண்ணீர், பொரிக்க எண்ணெய்.</t>
  </si>
  <si>
    <t>In a mixing bowl combine all purpose flour, wheat flour, oil, salt and gradually add water to form a smooth and soft dough. You can also add cumin seeds, carom seeds to get extra flavor and taste. After kneading cover it with a damp cloth and set is aside for 20-30 minutes.  Not only onions we can also add some vegetables to make the filling to make it even tastier so i have grated carrot, beetroot and potato , you can either add them directly to the onions or can saute for a minute and then add it to the onions.  For sauteing heat oil in a pan and add the grated vegetables, green chilies, cumin powder, garam masala and chili powder, saute it for 1-2 minutes and turn off the heat.  Onions has lot of moisture in it so place the chopped onions on paper towel and pat it dry to get rid of any excess moisture or you can also add 1/2 cup of pressed rice / poha / Aval to the onions to absorb the moisture released while frying.   After 30 minutes of resting divide the dough into 4 equal parts , cover the rest of the balls with a moist cloth to prevent drying. Take a ball and press it on the top , apply some flour on the top and bottom to prevent sticking.Start rolling, roll it very thin as much thin as you can.  After rolling into a sheet cut the edges and make it into a square, do not waste the excess trimmed sheet mix it with the rest of the balls and roll it again.After trimming the edges divide the sheet into 3 equal portions to form a rectangle.  After dividing the sheets place it on a damp sheet (squeeze all the moisture) and cover it with another sheet to prevent drying if in case it takes more time to roll the rest of the sheets.  place the sheet on a tawa and heat it for 2-3 seconds on both sides, this makes the sheets stay firm and it will be easy for us to fold. Make sure the tawa is not very hot.  Combine the onions and the vegetables together also add chopped coriander leaves, Curry leaves and salt . Mix it well and keep it aside.  Make a paste by mixing all purpose flour / Maida with some water to stick the edges of the samosa.   Take a sheet and apply some maida paste to one end of the sheet and fold it inside. Press the tip to gum the corner. Again fold it inside to make the second fold.Take a spoon full of stuffing and place it inside the cone. apply some more maida paste all round the openings and press it firm to prevent any openings.  Heat oil in a pan and drop the samosa one b one and fry until it turns golden brown then flip it to the other side and fry until both the sides become golden and crispy.  That's it our onion samosa lets say healthy onion samosa with all goodness of veggies are ready to be served with a cup of hot tea and with a side of chutneys and ketchup. Please give it a try and enjoy with your friends and family. Spread the Joy of Cooking !!!</t>
  </si>
  <si>
    <t>ஒரு கலவை பாத்திரத்தில் அனைத்து உபயோக மாவு, கோதுமை மாவு, எண்ணெய், உப்பு சேர்த்து படிப்படியாக தண்ணீர் சேர்த்து மென்மையான மற்றும் மென்மையான மாவை உருவாக்குங்கள். கூடுதல் சுவை மற்றும் சுவை பெற சீரகம், கேரம் விதைகளையும் சேர்க்கலாம். பிசைந்த பிறகு ஈரமான துணியால் மூடி 20-30 நிமிடங்கள் ஒதுக்கி வைக்கவும்.  வெங்காயம் மட்டுமல்ல, பூரணத்தை இன்னும் சுவையாக மாற்ற சில காய்கறிகளையும் சேர்க்கலாம், அதனால் நான் துருவிய கேரட், பீட்ரூட் மற்றும் உருளைக்கிழங்கை வைத்திருக்கிறேன், நீங்கள் அவற்றை நேரடியாக வெங்காயத்துடன் சேர்க்கலாம் அல்லது ஒரு நிமிடம் வதக்கி பின்னர் வெங்காயத்துடன் சேர்க்கலாம்.  வதக்க, ஒரு கடாயில் எண்ணெயை சூடாக்கி, துருவிய காய்கறிகள், பச்சை மிளகாய், சீரகப் பொடி, கரம் மசாலா மற்றும் மிளகாய் தூள் சேர்த்து, 1-2 நிமிடங்கள் வதக்கி, தீயை அணைக்கவும்.  வெங்காயத்தில் அதிக ஈரப்பதம் இருப்பதால், நறுக்கிய வெங்காயத்தை ஒரு காகிதத் துண்டில் வைத்து, அதிகப்படியான ஈரப்பதத்தை அகற்ற அதை உலர வைக்கவும் அல்லது வறுக்கும்போது வெளியாகும் ஈரப்பதத்தை உறிஞ்சுவதற்கு 1/2 கப் அழுத்திய அரிசி / போஹா / அவல் ஆகியவற்றை வெங்காயத்தில் சேர்க்கலாம்.  30 நிமிடங்கள் ஓய்வெடுத்த பிறகு, மாவை 4 சம பாகங்களாகப் பிரித்து, மீதமுள்ள பந்துகளை ஈரமான துணியால் மூடி, உலராமல் இருக்க வைக்கவும்.  ஒரு பந்தை எடுத்து மேலே அழுத்தி, மேலேயும் கீழேயும் ஒட்டாமல் இருக்க சிறிது மாவை தடவவும். உருட்டத் தொடங்கி, முடிந்தவரை மெல்லியதாக உருட்டவும்.  ஒரு தாளில் உருட்டிய பிறகு விளிம்புகளை வெட்டி ஒரு சதுரமாக ஆக்குங்கள், அதிகப்படியான வெட்டப்பட்ட தாளை வீணாக்காதீர்கள், மீதமுள்ள பந்துகளுடன் கலந்து மீண்டும் உருட்டவும். விளிம்புகளை வெட்டிய பிறகு, தாளை 3 சம பாகங்களாகப் பிரித்து ஒரு செவ்வகத்தை உருவாக்குங்கள்.  தாள்களைப் பிரித்த பிறகு, அதை ஈரமான தாளில் வைக்கவும் (அனைத்து ஈரப்பதத்தையும் பிழிந்து) மீதமுள்ள தாள்களை உருட்ட அதிக நேரம் எடுத்தால் உலராமல் இருக்க மற்றொரு தாளால் மூடவும்.  தாளை ஒரு தவாவில் வைத்து இருபுறமும் 2-3 வினாடிகள் சூடாக்கவும், இது தாள்கள் உறுதியாக இருக்கவும், மடிப்பது எங்களுக்கு எளிதாக இருக்கும். தவா மிகவும் சூடாகாமல் பார்த்துக் கொள்ளுங்கள்.  வெங்காயம் மற்றும் காய்கறிகளை ஒன்றாக சேர்த்து நறுக்கிய கொத்தமல்லி இலைகள், கறிவேப்பிலை மற்றும் உப்பு சேர்க்கவும். அதை நன்றாக கலந்து ஒதுக்கி வைக்கவும்.  சமோசாவின் விளிம்புகள் ஒட்டுவதற்கு அனைத்து வகையான மாவு / மைதாவை சிறிது தண்ணீரில் கலந்து ஒரு பேஸ்ட் தயாரிக்கவும்.  ஒரு தாளை எடுத்து தாளின் ஒரு முனையில் சிறிது மைதா பேஸ்ட்டை தடவி உள்ளே மடிக்கவும். மூலையில் பசை வரும் வரை நுனியை அழுத்தவும். இரண்டாவது மடிப்பை உருவாக்க மீண்டும் அதை உள்ளே மடிக்கவும். ஒரு ஸ்பூன் நிறைய ஸ்டஃபிங்கை எடுத்து கூம்புக்குள் வைக்கவும். திறப்புகளைச் சுற்றி இன்னும் சிறிது மைதா பேஸ்ட்டைத் தடவி, எந்த திறப்புகளும் ஏற்படாமல் இருக்க அதை உறுதியாக அழுத்தவும்.  ஒரு கடாயில் எண்ணெயை சூடாக்கி, சமோசாவை ஒன்றின் மேல் ஒன்றாகப் போட்டு, அது பொன்னிறமாகும் வரை வறுக்கவும், பின்னர் அதை மறுபுறம் திருப்பி, இருபுறமும் பொன்னிறமாகவும் மொறுமொறுப்பாகவும் வறுக்கவும்.  அவ்வளவுதான், எங்கள் வெங்காய சமோசா, ஆரோக்கியமான வெங்காய சமோசாவை, அனைத்து வகையான காய்கறிகளுடன், ஒரு கப் சூடான தேநீருடன், ஒரு பக்க சட்னிகள் மற்றும் கெட்ச்அப்புடன் பரிமாற தயாராக உள்ளது. தயவுசெய்து இதை முயற்சி செய்து உங்கள் நண்பர்கள் மற்றும் குடும்பத்தினருடன் மகிழுங்கள். சமையலின் மகிழ்ச்சியைப் பரப்புங்கள் !!!</t>
  </si>
  <si>
    <t>https://blogger.googleusercontent.com/img/b/R29vZ2xl/AVvXsEhZbxWzw6bJ1godFPqgjYFAlXlAmV1tzfzWf0x2sk_NtW5PYXhIl2mTAOTL1VghRIx9mXyqnKhjGuwjJhn03luK8PDNJ7BxshZscLrDEXU-b7ObAaET5Yn66_VCX4wVbNkqEzGfeVvKcZd-/s640/Onion+Samosa+recipe.JPG</t>
  </si>
  <si>
    <t>Prawns Fry</t>
  </si>
  <si>
    <t>இறால் வறுவல்</t>
  </si>
  <si>
    <t>500 g - Prawns , 1 tbsp - Ginger Garlic Paste, 1/2 tsp - Turmeric Powder, 1 tsp - Garam Masala Powder, 1 tbsp - Chili Powder, 2  - Green Chilies, 10-12 - Curry Leaves, 1/2 tsp  - Pepper Powder, 1 tbsp - All purpose flour / Maida, 1 tbsp - Corn flour / starch , 1 tbsp - Rice flour, Salt to taste.</t>
  </si>
  <si>
    <t>500 கிராம் - இறால், 1 டேபிள் ஸ்பூன் - இஞ்சி பூண்டு விழுது, 1/2 டேபிள் ஸ்பூன் - மஞ்சள் தூள், 1 டேபிள் ஸ்பூன் - கரம் மசாலா தூள், 1 டேபிள் ஸ்பூன் - மிளகாய் தூள், 2 - பச்சை மிளகாய், 10-12 - கறிவேப்பிலை, 1/2 டேபிள் ஸ்பூன் - மிளகு தூள், 1 டேபிள் ஸ்பூன் - அனைத்து உபயோக மாவு / மைதா, 1 டேபிள் ஸ்பூன் - சோள மாவு / ஸ்டார்ச், 1 டேபிள் ஸ்பூன் - அரிசி மாவு, சுவைக்கேற்ப உப்பு.</t>
  </si>
  <si>
    <t>In a mixing bowl add the cleaned and deveined prawns, season it with ginger Garlic paste, turmeric powder, garam masala, chili powder, salt, pepper, chopped curry leaves and chopped green chilies.  To get a crispy outer layer add maida, corn flour, rice flour to get some extra crispiness , mix well and also sprinkle a few drops of water to bind the flour more efficiently.  Heat oil in a pan and add the prawns one by one and fry until they are nice and crispy on both the sides. Do not overcrowd the prawns leaves some space between each prawns for them to fry uniformly. Once they are nice and crispy on both the sides drain the excess oil and take it off from the oil. Continue with the rest of the batches.  That's it our crispy prawns fry is ready to be served. You can enjoy this for appetizer or can be enjoyed as a side for rice. As i mentioned this recipe is really quick and easy to make, it took less than 10 minutes. Please do try this prawns fry recipe and share your feedback with us.</t>
  </si>
  <si>
    <t>ஒரு கலவை பாத்திரத்தில் சுத்தம் செய்து பிரித்த இறாலை சேர்த்து, இஞ்சி பூண்டு விழுது, மஞ்சள் தூள், கரம் மசாலா, மிளகாய் தூள், உப்பு, மிளகு, நறுக்கிய கறிவேப்பிலை மற்றும் நறுக்கிய பச்சை மிளகாய் ஆகியவற்றைச் சேர்த்து தாளிக்கவும்.  ஒரு மொறுமொறுப்பான வெளிப்புற அடுக்கைப் பெற மைதா, சோள மாவு, அரிசி மாவு ஆகியவற்றைச் சேர்த்து சிறிது மொறுமொறுப்பாக இருக்கும், நன்கு கலந்து, மாவை மிகவும் திறமையாக பிணைக்க சில துளிகள் தண்ணீரைத் தெளிக்கவும்.  ஒரு கடாயில் எண்ணெயை சூடாக்கி, இறாலை ஒவ்வொன்றாகச் சேர்த்து, இருபுறமும் நன்றாகவும் மொறுமொறுப்பாகவும் இருக்கும் வரை வதக்கவும். இறால்களை அதிகமாக நிரப்ப வேண்டாம், ஒவ்வொரு இறாலுக்கும் இடையில் சிறிது இடைவெளி விட்டு, அவை சீராக வறுக்க வேண்டும்.  இரண்டு பக்கமும் நன்றாகவும் மொறுமொறுப்பாகவும் ஆனதும், அதிகப்படியான எண்ணெயை வடித்து எண்ணெயிலிருந்து எடுக்கவும். மீதமுள்ளவற்றைத் தொடரவும்.  அவ்வளவுதான், எங்கள் மொறுமொறுப்பான இறால் வறுவல் பரிமாற தயாராக உள்ளது. நீங்கள் இதை பசியைத் தூண்டும் உணவாகவோ அல்லது சாதத்திற்கு ஒரு பக்க உணவாகவோ சாப்பிடலாம். நான் குறிப்பிட்டது போல், இந்த ரெசிபி மிகவும் விரைவாகவும் எளிதாகவும் தயாரிக்கப்படுகிறது, இது 10 நிமிடங்களுக்கும் குறைவாகவே ஆகும். தயவுசெய்து இந்த இறால் வறுவல் செய்முறையை முயற்சி செய்து உங்கள் கருத்தை எங்களுடன் பகிர்ந்து கொள்ளுங்கள்.</t>
  </si>
  <si>
    <t>https://blogger.googleusercontent.com/img/b/R29vZ2xl/AVvXsEj4rdI3H27OzUd1C7JhplQviM3AdSQDUzehl2yInWi2SIWfYXRxlHwLtNFBNQCNl42G5B7Qs6ptXiSYmnqGVvVJt1GfsIMTlEHbcs1VS3Btcu4r4ZGn0pLXsRFjpBg-TPsutkfAYgwqCHN6/s640/prawns+fry+recipe.JPG</t>
  </si>
  <si>
    <t>https://youtu.be/4lplex4K75c</t>
  </si>
  <si>
    <t>Chicken Fried Rice</t>
  </si>
  <si>
    <t>சிக்கன் ஃபிரைடு ரைஸ்</t>
  </si>
  <si>
    <t>1 Cup - Basmati Rice, 1 Cup - Water, 1 tbsp - Oil, Salt to taste, 250 g - Boneless chicken pieces, 1 tsp - Chilli Powder, 1/4 tsp - Pepper Powder, Salt to taste, 5 large - Eggs, 2 - Carrots, 1/2 - Cabbage, 15-20 - Beans, 2 tsp - Chili Sauce, 2 tsp - Soy Sauce , 1 tsp - pepper powder, Handful Spring Onions, 4 tbsp - Oil , Salt to Taste.</t>
  </si>
  <si>
    <t>1 கப் - பாஸ்மதி அரிசி, 1 கப் - தண்ணீர், 1 டேபிள் ஸ்பூன் - எண்ணெய்,  ருசிக்க உப்பு, 250 கிராம் - எலும்பில்லாத சிக்கன் துண்டுகள்,  1 டேபிள் ஸ்பூன் - மிளகாய் தூள்,  1/4 டேபிள் ஸ்பூன் - மிளகு தூள்,  ருசிக்க உப்பு,  5 பெரிய - முட்டைகள்,  2 - கேரட்,  1/2 - முட்டைக்கோஸ்,  15-20 - பீன்ஸ்,  2 டேபிள் ஸ்பூன் - மிளகாய் சாஸ்,  2 டேபிள் ஸ்பூன் - சோயா சாஸ்,  1 டேபிள் ஸ்பூன் - மிளகு தூள்,  ஒரு கைப்பிடி வெங்காயம், 4 டேபிள் ஸ்பூன் - எண்ணெய்,  ருசிக்க உப்பு.</t>
  </si>
  <si>
    <t>Soak the Basmati rice in water for 1 hour and cook in water with some salt until the rice is 90% cooked..Do not over cook the rice..To get perfect strands add a tbsp of water into the boiling water before adding the rice.This prevents the rice from sticking to one another.Once 90% cooked spread the rice on a paper towel to remove any moisture from the rice or keep under fan.This step is very important to get the best fried rice with single strands of rice.  Cut Chicken into small bite size cubes and season it with some salt , chili powder and pepper. Fry the chicken in oil until golden and crispy on the outside.  Heat oil in a kadai and add eggs to it, add a pinch of salt and scramble the eggs.Once done transfer the scrambled eggs to a bowl.  Again in the same pan heat oil and add the veggies- Carrots, Cabbage, Beans and cook until the veggies are 80-90% cooked do not overcook the vegetables we still need to retain some texture of the veggies. Then add required salt, chili sauce, Soy sauce and mix it again.  Then add the cooked basmati rice , scrambled eggs and the fried chicken. Mix everything very gently and carefully. Do not break the rice.After mixing it add freshly ground pepper and some spring onions for garnishing and turn off the heat.</t>
  </si>
  <si>
    <t>பாஸ்மதி அரிசியை தண்ணீரில் 1 மணி நேரம் ஊறவைத்து, சிறிது உப்பு சேர்த்து தண்ணீரில் அரிசி 90% வேகும் வரை சமைக்கவும்.. அரிசியை அதிகமாக வேக வைக்க வேண்டாம்.. சரியான இழைகளைப் பெற, அரிசியைச் சேர்ப்பதற்கு முன் கொதிக்கும் நீரில் ஒரு தேக்கரண்டி தண்ணீரைச் சேர்க்கவும். இது அரிசி ஒன்றோடொன்று ஒட்டாமல் தடுக்கிறது. 90% சமைத்தவுடன் அரிசியிலிருந்து ஈரப்பதத்தை நீக்க ஒரு காகிதத் துண்டில் அரிசியை பரப்பவும் அல்லது விசிறியின் கீழ் வைக்கவும். ஒற்றை இழைகளுடன் சிறந்த வறுத்த அரிசியைப் பெற இந்த படி மிகவும் முக்கியமானது.  கோழியை சிறிய துண்டுகளாக வெட்டி, சிறிது உப்பு, மிளகாய் தூள் மற்றும் மிளகு சேர்த்து தாளிக்கவும். கோழியை எண்ணெயில் பொன்னிறமாகவும் வெளியே மொறுமொறுப்பாகவும் வறுக்கவும்.  ஒரு கடாயில் எண்ணெயை சூடாக்கி, அதில் முட்டைகளைச் சேர்த்து, ஒரு சிட்டிகை உப்பு சேர்த்து முட்டைகளை கிளறவும். துருவிய முட்டைகளை ஒரு கிண்ணத்திற்கு மாற்றவும்.  மீண்டும் அதே கடாயில் எண்ணெயை சூடாக்கி, காய்கறிகள்- கேரட், முட்டைக்கோஸ், பீன்ஸ் ஆகியவற்றைச் சேர்த்து, காய்கறிகள் 80-90% வேகும் வரை சமைக்கவும். காய்கறிகளை அதிகமாக வேகவிடாதீர்கள், காய்கறிகளின் அமைப்பைத் தக்க வைத்துக் கொள்ள இன்னும் நமக்குத் தேவை. பிறகு தேவையான உப்பு, மிளகாய் சாஸ், சோயா சாஸ் சேர்த்து மீண்டும் கலக்கவும்.  பின்னர் சமைத்த பாஸ்மதி அரிசி, துருவல் முட்டை மற்றும் வறுத்த கோழியைச் சேர்க்கவும். எல்லாவற்றையும் மிகவும் மெதுவாகவும் கவனமாகவும் கலக்கவும். அரிசியை உடைக்க வேண்டாம். கலந்த பிறகு, புதிதாக அரைத்த மிளகு மற்றும் அலங்காரத்திற்காக சிறிது வெங்காயத்தைச் சேர்த்து, அடுப்பை அணைக்கவும்.</t>
  </si>
  <si>
    <t>https://blogger.googleusercontent.com/img/b/R29vZ2xl/AVvXsEi0pIrANtGUGQM2uGkCUgZGdzJSvonoVLZH4Pr4gAohmCJo0R0V0lXf0lhJ8o2GLMVatHdavSsPQbAAk8bTVjSRdKhewUyZUByX5-cUREbYrG1Aj8wW2ra3FCy7ugq7e6D2Z9OKl6u1yHeE/s640/Chicken+Fried+Rice.JPG</t>
  </si>
  <si>
    <t>https://youtu.be/EsAT8F7YBys</t>
  </si>
  <si>
    <t>rice - 2 cups, mixed vegetables - 2 cups, biryani masala - 2 tbsp, onions - 2 (sliced), tomatoes - 2 (chopped), ginger garlic paste - 2 tbsp, mint leaves - handful, coriander leaves - handful, spices (bay leaf | cardamom | cinnamon), salt - to taste</t>
  </si>
  <si>
    <t>அரிசி - 2 கப், கலவை காய்கறிகள் - 2 கப், பிரியாணி மசாலா - 2 ஸ்பூன், வெங்காயம் - 2 (நறுக்கியது), தக்காளி - 2 (நறுக்கியது), இஞ்சி பூண்டு விழுது - 2 ஸ்பூன், புதினா இலை - கைப்பிடி, கொத்தமல்லி இலை - கைப்பிடி, மசாலா (பட்டை | ஏலக்காய் | இலவங்கம்), உப்பு - தேவையான அளவு</t>
  </si>
  <si>
    <t>Wash and soak rice for 30 minutes. Cut all vegetables into medium size. Heat oil, add whole spices. Add sliced onions and sauté till golden. Add ginger garlic paste and sauté. Add vegetables and cook partially. Add rice, required water and cook. Garnish with mint and serve hot.</t>
  </si>
  <si>
    <t xml:space="preserve"> அரிசியை கழுவி 30 நிமிடங்கள் ஊற வைக்கவும்.  எல்லா காய்கறிகளையும் நடுத்தர அளவில் நறுக்கவும்.  எண்ணெய் காய்ந்ததும், முழு மசாலாக்களை போடவும். 4. நறுக்கிய வெங்காயத்தை போட்டு பொன்னிறமாக வதக்கவும்.  இஞ்சி பூண்டு விழுது சேர்த்து வதக்கவும்.  காய்கறிகளை போட்டு பாதி வேக விடவும்.  அரிசி மற்றும் தேவையான தண்ணீர் சேர்த்து சமைக்கவும். 8. புதினா இலை தூவி சூடாக பரிமாறவும்.</t>
  </si>
  <si>
    <t>https://example.com/veg-biryani.jpg</t>
  </si>
  <si>
    <t>Lamb leg - One lamb leg (4), Large onion - 2, Tomatoes - 4, Green chillies - 2, Pepper - Half a spoon, Cumin - 1 spoon, Aneem - Half a spoon, Baking powder, cinnamon, cardamom - 1 each, Peanut powder - Half a spoon, Turmeric powder - Quarter spoon, Ginger, garlic paste - 1 spoon, Oil - 50 grams, Salt - As required, Carom leaves, coriander - Handful</t>
  </si>
  <si>
    <t>ஆட்டுக்கால் - ஒரு ஆட்டுக்கால் (4), பெரிய வெங்காயம் - 2, தக்காளி - 4, பச்சை மிளகாய் - 2, மிளகு - அரை ஸ்பூன், சீரகம் - 1 ஸ்பூன், சோம்பு - அரை ஸ்பூன், பட்டை, லவங்கம், ஏலக்காய் - தலா 1, தனியாத்தூள் - அரை ஸ்பூன், மஞ்சள் தூள் - கால் ஸ்பூன், இஞ்சி, பூண்டு விழுது - 1 ஸ்பூன், எண்ணெய் - 50 கிராம், உப்பு - தேவையான அளவு, கருவேப்பிலை, கொத்தமல்லி - கைப்பிடி அளவு</t>
  </si>
  <si>
    <t>First, wash the leg of mutton thoroughly and scrape it clean without any fur on it.  Then grind pepper, cumin, aniseed, bark, cinnamon and cardamom.  Next place the cooker in the oven and pour required amount of oil. When the oil dries up, add the powder, add onions and green chillies and saute. Also add ginger garlic paste and saute until its raw smell goes away.  Next add tomato and saute till it becomes pulpy, then add lamb leg. Add turmeric powder, tanyad powder and required amount of salt to it and saute it well. Finally pour four tamlars of water and cover the cooker with curry leaves and coriander.  Leave the cooker for eight to ten whistles and remove. Strain and serve hot. Oh what a taste!</t>
  </si>
  <si>
    <t>முதலில் ஆட்டுக்காலைநன்கு கழுவி அதன் மேல் கொஞ்சம் கூட உரோமம் இல்லாமல் நன்கு சுரண்டி சுத்தம் செய்து கொள்ளவும். பின் மிளகு, சீரகம், சோம்பு, பட்டை, லவங்கம், ஏலக்காய் எல்லாவற்றையும் சேர்த்து பொடித்துக்கொள்ளவும். அடுத்து குக்கரை அடுப்பில் வைத்து தேவையான அளவு எண்ணெய் ஊற்றவும். எண்ணெய் காய்ந்ததும் பொடி செய்த தூளைப் போட்டு, வெங்காயம், பச்சை மிளகாய் சேர்த்து வதக்கவும். கூடவே இஞ்சி பூண்டு விழுதைச் சேர்த்து அதன் பச்சை வாசனை போக வதக்கவும். அடுத்து அதனுடன் தக்காளி சேர்த்து கூழாகும் வரை வதக்கி விட்டு, பிறகு ஆட்டுக்கால் சேர்க்கவும். அதன் மேல் மஞ்சள் தூள், தனியாத்தூள், தேவையான அளவு உப்பு சேர்த்து நன்கு வதக்கவும். கடைசியாக நான்கு தம்ளர் தண்ணீர் ஊற்றி கருவேப்பிலை கொத்தமல்லியும் போட்டு குக்கரை மூடவும். குக்கரில் எட்டு முதல் பத்து விசில் விட்டு, இறக்கிவிடவும். வடிகட்டி ஆவி பறக்க சூடாகப் பரிமாறவும். ஆஹா என்ன ருசி !</t>
  </si>
  <si>
    <t>Seela fish pieces - 10, Small onion - 100 grams, Tomatoes - 2, Grated coconut - 3 tablespoons, Tamarind - Small handful, Chili powder - 1 tablespoon, Fish masala powder - 1/2 spoon, Ginger - Small piece, Garlic - 6 cloves, Anise - 1 spoon, Mustard - 1/2 spoon, Fenugreek - 1/4 spoon, Cumin - 1/2 spoon, Chilli powder - 2, Curry leaves - a bunch, Oil - 100 ., Salt - as required</t>
  </si>
  <si>
    <t>சீலா மீன் துண்டுகள் - 10, சின்ன வெங்காயம் - 100 கிராம், தக்காளி - 2, தேங்காய் துருவல் - 3 டேபிள் ஸ்பூன், புளி - சிறிய கோலிக்குண்டு அளவு, மிளகாய் தூள் - 1 டேபிள் ஸ்பூன், மீன் மசாலாத் தூள் - 1/2 ஸ்பூன், இஞ்சி - சிறிய துண்டு, பூண்டு - 6 பல், சோம்பு - 1 ஸ்பூன், கடுகு - 1/2 ஸ்பூன், வெந்தயம் - 1/4 ஸ்பூன், சீரகம் - 1/2 ஸ்பூன், மிளகாய் வற்றல் - 2, கறிவேப்பிலை - ஒரு கொத்து, எண்ணெய் - 100, உப்பு - தேவையான அளவு</t>
  </si>
  <si>
    <t>First, wash and clean the sheela fish and cut it into pieces. Then peel the onion and garlic. Chop the tomatoes into powder. Next, take half of the onion and grind it into a paste by adding anise, ginger and garlic. Then take half of the tomato and add grated coconut, tamarind, chilli powder and all the spices, sprinkle some water and grind it. Then put a pan on the stove and pour oil. When it dries, fry the curry leaves, mustard seeds, cumin seeds, fenugreek seeds, chilli powder and fry it. Add the onion and tomatoes. Once the onion is fried, add the ground anise and ginger spices. Add the fish pieces and fry them with the required amount of salt. Then add the grated tomatoes, coconut and tamarind paste and fry them. Add the required amount of water and let it boil. Boil the gravy well and the aroma of tamarind and chilli powder will go away. When the aroma of fish gravy and spices is released, sprinkle a bunch of coriander leaves and turn off the heat.</t>
  </si>
  <si>
    <t>முதலில் சீலா மீனைக் கழுவி நன்கு சுத்தம் செய்து துண்டு களாக்கி வைக்கவும். பின் வெங்காயம், பூண்டு இவைகளை தோல் உரித்து வைத்துக் கொள்ளவும். தக்காளியை பொடியாக நறுக்கி வைக்கவும். அடுத்தபடியாக வெங்காயத்தில் பாதியை எடுத்துக்கொண்டு அத்துடன் சோம்பு, இஞ்சி, பூண்டு சேர்த்து விழுதாக அரைத்துக்கொள்ளவும். பின் தக்காளியில் பாதியை எடுத்துக்கொண்டு அதனுடன் தேங்காய் துருவல், புளி, மிளகாய் தூள், மசாலா தூள் எல்லா வற்றையும் சேர்த்து லேசாக தண்ணீர் தெளித்து அரைத்து வைக்கவும். பிறகு அடுப்பில் வாணலியை வைத்து எண்ணெய் ஊற்றிடு காய்ந்ததும் கருவேப்பிலை, கடுகு தாளித்து சீரகம், வெந்தயம், மிளகாய் வற்றல் போட்டு தாளித்து வெங்காயம், தக்காளியைச் சேர்த்து வதக்கவும். வெங்காயம் வதங்கியதும் அரைத்து வைத்திருக்கும் சோம்பு, இஞ்சி மசாலைச் சேர்த்து வதக்கவும். கூடவே மீன் துண்டு களைப் போட்டு தேவையான அளவு உப்பு சேர்த்து பிரட்டி விடவும். பின் அரைத்து வைத்த தக்காளி, தேங்காய், புளி விழுதைச் சேர்த்து வதக்கி தேவையான அளவு தண்ணீர் சேர்த்து கொதிக்க விடவும். குழம்பு நன்கு கொதித்து புளி, மிளகாய் தூள் வாசனை போய் சுண்டி மீன் குழம்பு, மசாலா வாசனை கமகமத்ததும் கொத்த மல்லித் தழை தூவி இறக்கவும்.</t>
  </si>
  <si>
    <t>Eggs - 5 Tomato - 1 Mustard - 1/2 spoon Turmeric powder - pinch Salt - required Coriander leaves - handful Grind: Small onion - 100 grams Thaniya - 3 tablespoons Pepper - 1 tablespoon Cereal seeds - one and a half tablespoons Denise - 1/2 spoon Dried chilies - 2 Asimbu - 1/2 spoon Baking powder - 2 Cloves - 2 Garlic - 6 cloves Ginger - a small piece Coconut paste - 2 tablespoons Caraway seeds - a bunch</t>
  </si>
  <si>
    <t>முட்டை - 5 தக்காளி - 1 கடுகு - 1/2 ஸ்பூன் மஞ்சள் தூள் - சிட்டிகை அளவு உப்பு  - தேவையான அளவு கொத்தமல்லித் தழை - கைப்பிடி அளவு அரைக்க: சின்ன வெங்காயம் - 100 கிராம் தனியா - 3 டேபிள் ஸ்பூன் மிளகு - 1 ஸ்பூன் சீரகம் - ஒன்றரை ஸ்பூன் வெந்தயம் - 1/2 ஸ்பூன் மிளகாய் வற்றல் - 2 சோம்பு - 1/2 ஸ்பூன் பட்டை  -   2 கிராம்பு  - 2 பூண்டு  - 6 பல் இஞ்சி - ஒரு சிறு துண்டு தேங்காய் விழுது  - 2 டேபிள் ஸ்பூன் கருவேப்பிலை - ஒரு கொத்து</t>
  </si>
  <si>
    <t>Boil 5 eggs and peel them. Chop 1 tomato into powder. Next, fry the other ingredients except the onion, ginger, and garlic in a pan with oil. Fry them separately in a pan without pouring. Pour a little oil in a pan and fry the onion, ginger and garlic. Then grind all the fried ingredients together with the onion, ginger and garlic until they are smooth. Finally, put the pan on the stove and when the oil is dry, add the mustard seeds and curry leaves and fry the tomatoes. When the tomatoes are cooked to a pulp, add the ground spices and fry them. Leave a little water and let it boil. When the gravy boils, add the coconut paste and let it boil further. After boiling for two minutes, lightly scratch both sides of the hard-boiled eggs and add them to the gravy. Reduce the heat and simmer for another five minutes, sprinkle with coriander leaves and serve. Chettinad egg curry with a fragrant aroma is ready. It is not only delicious to pour over rice but also goes well with other types of divans like idli, dosa, chapati etc.</t>
  </si>
  <si>
    <t>5 முட்டையை வேகவைத்து தோலுரித்துக்கொள்ளவும். 1 தக்காளியை பொடியாக நறுக்கி வைக்கவும். அடுத்து வெங்காயம், இஞ்சி, பூண்டு தவிர அரைக்கக் கொடுத்துள்ள மற்ற பொருள்களை வாணலியில் எண்ணெய் ஊற்றாமல் தணலில் ஒவ்வொன்றாக தனித் தனியே லேசாக வறுத்துக்கொள்ளவும். வெங்காயம், இஞ்சி, பூண்டை வாணலியில் சிறிதளவு எண் ணெய் ஊற்றிக் காய்ந்ததும் அதில் போட்டு வதக்கிக்கொள்ள வும். பின் வறுத்து வைத்துள்ள பொருள்கள் அனைத்தையும் வெங் காயம்,இஞ்சி,பூண்டுடன் சேர்த்து மைபோல் அரைத்துக் கொள்ளவும். கடைசியாக அடுப்பில் வாணலி வைத்து எண்ணெய் ஊற்றிக் காய்ந்ததும் கடுகு, கருவேப்பிலை தாளித்து தக்காளியைப் போட்டு வதக்கவும். தக்காளி கூழாக வதங்கியதும், அரைத்து வைத்துள்ள மசாலாவைப் போட்டுப் பிரட்டி வதக்கவும். ஒரு தம்ளர் தண்ணீர் விட்டுக் கொதிக்கவிடவும். குழம்பு கொதி வந்ததும் தேங்காய் விழுது சேர்த்து மேலும் கொதிக்கவிடவும். இரண்டு நிமிடங்கள் கொதித்ததும் வேக வைத்துள்ள முட்டைகளை இரு பக்கமும் லேசாகக் கீறிஉ குழம் பில் போடவும். தீயை சிறிதாக்கி மேலும் ஐந்து நிமிடங்கள் கொதிக்கவிட்டு கொத்தமல்லித் தழை தூவி இறக்கவும். கமகம வாசத்துடன் செட்டிநாட்டு முட்டைக் குழம்பு தயார். இது சாதத்தில் ஊற்றிக்கொள்ள மட்டுமல்லாமல் இட்லி, தோசை, சப்பாத்தி போன்ற டிபன் வகைகளுக்கும் தொட்டுக்கொள்ள சுவையாக இருக்கும்.</t>
  </si>
  <si>
    <t>https://www.awesomecuisine.com/wp-content/uploads/2016/03/Chettinad-Egg-Curry-.jpg</t>
  </si>
  <si>
    <t>Green Anchovy Fish - 1/2 kg, Onion - 3, Tomato - 3, Green Chillies - 5, Ginger - small piece, Garlic - 10 cloves, Tamarind - lemon size, Mustard - 1/4 spoon, Fenugreek - 1/4 spoon, Turmeric powder - 1/4 spoon, Sambar chili powder - 4 spoons, Coriander - handful size, Curry leaves - a bunch, Salt - as needed</t>
  </si>
  <si>
    <t>பச்சை நெத்திலி மீன் - 1/2 கிலோ, வெங்காயம் - 3, தக்காளி - 3, பச்சை மிளகாய் - 5, இஞ்சி - சிறு துண்டு, பூண்டு - 10 பல், புளி - எலுமிச்சை அளவு, கடுகு - 1/4 ஸ்பூன், வெந்தயம் - 1/4 ஸ்பூன், மஞ்சள் தூள் - 1/4 ஸ்பூன், சாம்பார் மிளகாய் தூள் - 4 ஸ்பூன், கொத்துமல்லி - கைப்பிடி அளவு, கறிவேப்பிலை - ஒரு கொத்து, உப்பு - தேவையான அளவு</t>
  </si>
  <si>
    <t>Clean and wash the fish thoroughly. Boil the tamarind, drain the water and take the tamarind pulp. Grind all three together into a paste. In a pan, heat oil and when it is hot, add mustard, fenugreek, onion, ginger, garlic and onion paste and fry. Then add tomatoes and fry them along with turmeric powder and chilli powder. Pour in tamarind paste and let it boil. When the gravy is well boiled and simmered, add the anchovies five minutes before removing from the stove and reduce the heat to low. After five minutes, remove the gravy and serve with coriander leaves. That's it, the delicious and fragrant anchovies gravy is ready.</t>
  </si>
  <si>
    <t>மீனை நன்கு சுத்தம் செய்து கழுவிக்கொள்ளவும். புளியைக் கரைத்து நீரை வடிகட்டி புளிக்கரைசல் எடுத்துக் கொள்ளவும். ஒரேயொரு வெங்காயம், இஞ்சி, பூண்டு மூன்றையும் சேர்த்து விழுதாக அரைத்து வைக்கவும். வாணலியில், எண்ணெய் விட்டு, அது காய்ந்ததும் கடுகு, வெந்தயம், வெங்காயம், இஞ்சி, பூண்டு, வெங்காய விழுது ஆகியவற்றைச் சேர்த்து வதக்க வேண்டும். பின் தக்காளியைப் போட்டு வதக்கி கூடவே மஞ்சள் தூள், மிளகாய் தூள் சேர்த்துப் பிரட்டி புளிக்கரைசலை ஊற்றி கொதிக்கவிடவும். குழம்பு நன்கு கொதித்து சுண்டியதும் அடுப்பிலிருந்து இறக்குவதற்கு ஐந்து நிமிடங்கள் முன்பாக நெத்திலி மீனை குழம்பில் போட்டு தீயை சிறியதாக்கிக் கொதிக்கவிடவும். ஐந்து நிமிடத்துக்குப் பிறகு குழம்பை இறக்கி கொத்தமல்லித் தழை தூவி பரிமாறவும். அவ்வளவுதான் சுவையான மணமான நெத்திலி மீன் குழம்பு தயார்.</t>
  </si>
  <si>
    <t>Sheela fish - 1/4, Onion - 1/4 kg, Green chilies - 6, Ginger - 1 inch piece, Garlic - 6 cloves, Turmeric powder - 1/3 spoon, Mixed chili powder - 1 tablespoon, Mustard, urad dal - 1/2 spoon, Oil - 50 ml, Salt - as required, Caraway seeds, coriander leaves - a little</t>
  </si>
  <si>
    <t>சீலா மீன் - 1/4, வெங்காயம் - 1/4 கிலோ, பச்சை மிளகாய் - 6, இஞ்சி - ஒரு அங்குலத்துண்டு, பூண்டு - 6 பல், மஞ்சள் தூள் - 1/3 ஸ்பூன், கலந்த மிளகாய் தூள் - 1 டேபிள் ஸ்பூன், கடுகு, உளுந்தம் பருப்பு - 1/2 ஸ்பூன், எண்ணெய் - 50 மிலி, உப்பு - தேவையான அளவு, கருவேப்பிலை, கொத்தமல்லித் தழை - சிறிதளவு</t>
  </si>
  <si>
    <t>First, wash the fish thoroughly Then boil the fish in an idli pan and then grind it. Add turmeric powder and chili powder to the ground fish and mix it. Next, grind the onion, green chilies, ginger, and garlic into powder. Then put a pan on the stove and pour oil. When it is hot, add mustard seeds, urad dal, curry leaves, onion, green chillies, ginger and garlic and fry them well. Then add the battered fish and fry it. Keep it on low flame and fry it till the chilli powder gets absorbed and turns red and then remove it. Sprinkle coriander leaves and serve.</t>
  </si>
  <si>
    <t>முதலில் மீனை நன்கு அலசிக் கழுவிக் கொள்ளவும் பின் மீனை இட்லிப் பாத்திரத்தில் வேகவைத்து எடுத்து பின் அதை பொடித்துக்கொள்ளவும். பொடித்துகொண்ட மீனோடு மஞ்சள் தூள், மிளகாய் தூள் போட்டு பிசறி வைக்கவும். அடுத்து வெங்காயம், பச்சை மிளகாய், இஞ்சி, பூண்டு அனைத்தையும் பொடியாக நறுக்கிக்கொள்ளவும். பின் அடுப்பில் வாணலி வைத்து எண்ணெய் ஊற்றிக் காய்ந்ததும் கடுகு, உளுத்தம்பருப்பு, கருவேப்பிலை தாளித்து வெங்காயம், பச்சை மிளகாய், இஞ்சி, பூண்டு இவற்றைப் போட்டு நன்கு வதக்கவும்.  பின் பிசறி வைத்துள்ள மீனை போட்டு வதக்கவும். சிறு தீயாக வைத்து பிரட்டி பிரட்டிப் போட்டு மிளகாய் தூள் நெடி போய் சிவந்து வரும்வரை வேகவிட்டு இறக்கவும். கொத்தமல்லித் தழை தூவி பரிமாறவும்.</t>
  </si>
  <si>
    <t>முட்டை - 5 தக்காளி - 1 கடுகு - 1/2 ஸ்பூன் மஞ்சள் தூள் - சிட்டிகை அளவு உப்பு - தேவையான அளவு கொத்தமல்லித் தழை - கைப்பிடி அளவு அரைக்க: சின்ன வெங்காயம் - 100 கிராம் தனியா - 3 டேபிள் ஸ்பூன் மிளகு - 1 ஸ்பூன் சீரகம் - ஒன்றரை ஸ்பூன் வெந்தயம் - 1/2 ஸ்பூன் மிளகாய் வற்றல் - 2 சோம்பு - 1/2 ஸ்பூன் பட்டை - 2 கிராம்பு - 2 பூண்டு - 6 பல் இஞ்சி - ஒரு சிறு துண்டு தேங்காய் விழுது - 2 டேபிள் ஸ்பூன் கருவேப்பிலை - ஒரு கொத்து</t>
  </si>
  <si>
    <t>Boil 5 eggs and peel them. 1 Chop the tomato into powder. Next, fry the other ingredients except the onion, ginger and garlic in a pan without adding oil. Pour a little oil into the pan and fry the onion, ginger and garlic. Then grind all the fried ingredients together with the ginger, ginger and garlic until they are fine. Finally, put the pan on the stove and when the oil is hot, add the mustard seeds and curry leaves and fry the tomatoes. When the tomatoes are cooked to a pulp, add the ground spices and fry them. Leave a little water and let it boil. When the gravy boils, add the coconut paste and let it boil further. After boiling for two minutes, lightly scratch both sides of the hard-boiled eggs and add them to the gravy. Reduce the heat and simmer for another five minutes, then sprinkle with coriander leaves and serve. Chettinad egg curry with a fragrant aroma is ready. It is not only delicious to pour over rice but also goes well with other types of divans like idli, dosa, chapati etc.</t>
  </si>
  <si>
    <t>5 முட்டையை வேகவைத்து தோலுரித்துக்கொள்ளவும். 1 தக்காளியை பொடியாக நறுக்கி வைக்கவும். அடுத்து வெங்காயம், இஞ்சி, பூண்டு தவிர அரைக்கக் கொடுத்துள்ள மற்ற பொருள்களை வாணலியில் எண்ணெய்ஊற்றாமல் தணலில் ஒவ்வொன்றாக தனித் தனியே லேசாக வறுத்துக்கொள்ளவும். வெங்காயம், இஞ்சி, பூண்டை வாணலியில் சிறிதளவு எண் ணெய் ஊற்றிக் காய்ந்ததும் அதில் போட்டு வதக்கிக்கொள்ள வும். பின் வறுத்து வைத்துள்ள பொருள்கள் அனைத்தையும் வெங் காயம்,இஞ்சி,பூண்டுடன் சேர்த்து மைபோல் அரைத்துக் கொள்ளவும். கடைசியாக அடுப்பில் வாணலி வைத்து எண்ணெய் ஊற்றிக் காய்ந்ததும் கடுகு, கருவேப்பிலை தாளித்து தக்காளியைப் போட்டு வதக்கவும். தக்காளி கூழாக வதங்கியதும், அரைத்து வைத்துள்ள மசாலாவைப் போட்டுப் பிரட்டி வதக்கவும். ஒரு தம்ளர் தண்ணீர் விட்டுக் கொதிக்கவிடவும். குழம்பு கொதி வந்ததும் தேங்காய் விழுது சேர்த்து மேலும் கொதிக்கவிடவும். இரண்டு நிமிடங்கள் கொதித்ததும் வேக வைத்துள்ள முட்டைகளை இரு பக்கமும் லேசாகக் கீறிஉ குழம் பில் போடவும். தீயை சிறிதாக்கி மேலும் ஐந்து நிமிடங்கள் கொதிக்கவிட்டு கொத்தமல்லித் தழை தூவி இறக்கவும். கமகம வாசத்துடன் செட்டிநாட்டு முட்டைக் குழம்பு தயார். இது சாதத்தில் ஊற்றிக்கொள்ள மட்டுமல்லாமல் இட்லி, தோசை, சப்பாத்தி போன்ற டிபன் வகைகளுக்கும் தொட்டுக்கொள்ள சுவையாக இருக்கும்.</t>
  </si>
  <si>
    <t>Egg - Large Onion, Small Onion - 100 grams, Tomato - 2, Garlic - 50 grams, Tamarind - Lemon size, Green Chillies - 2, Mixed Chilli Powder - 4 spoons, Turmeric Powder - 1/2 spoon, Oil - 100 ml, Salt - As required Seasoning: Mustard - 1/2 spoon, Cumin - 1 spoon, Denise - 1/2 spoon, Curry leaves, coriander leaves - a handful</t>
  </si>
  <si>
    <t>முட்டை - பெரிய வெங்காயம், சின்ன வெங்காயம் - 100 கிராம், தக்காளி - 2, பூண்டு - 50 கிராம், புளி - எலுமிச்சை அளவு, பச்சை மிளகாய் - 2, கலந்த மிளகாய் தூள் - 4 ஸ்பூன், மஞ்சள் தூள் - 1/2 ஸ்பூன், எண்ணெய் - 100 மி.லி, உப்பு - தேவையான அளவு தாளிக்க: கடுகு - 1/2 ஸ்பூன், சீரகம் - 1 ஸ்பூன், வெந்தயம் - 1/2 ஸ்பூன், கறிவேப்பிலை, கொத்தமல்லித் தழை - ஒருபிடி</t>
  </si>
  <si>
    <t>First break the egg, add 4 spoons of turmeric powder, a little salt and beat it well. Then chop the large onion into powder and fry it and add it to the beaten egg and mix. Then pour oil into the paniyarak stone, pour it into the paniyarak, and boil it. Next, peel the small onion and garlic. Chop the tomato into powder and keep it aside. Cut the green chillies in half. Melt the tamarind in a separate bowl and keep it aside. Once everything is done, put a pan on the stove and pour oil and when it is hot, add mustard, cumin, fenugreek, and curry leaves and season. Then add the onion, green chillies, and garlic and fry it and finally add the dal. Once it is fried, add 4 spoons of turmeric powder, chilli powder, required salt, add tamarind paste and let it boil. Once the gravy boils well and thickens, add the fried paniyaraks in it and remove it. The delicious Chetti Nadu Egg Paniyarak gravy is ready.</t>
  </si>
  <si>
    <t>முதலில் முட்டையை உடைத்து, அதில் 4 ஸ்பூன் மஞ்சள் தூள், சிறிதளவு உப்பு சேர்த்து நன்றாக அடித்துக் கலக்கவும். பின் பெரிய வெங்காயத்தை பொடியாக நறுக்கி வதக்கிக் கொண்டு அதையும் அடித்த முட்டையில் போட்டுக் கலக்கவும். பின் அந்த முட்டைக் கலவையை பணியாரக் கல்லில் எண்ணெய் ஊற்றி, பணியாரமாக ஊற்றி, வேக வைத்து எடுத்துக் கொள்ளவும். அடுத்து சின்ன வெங்காயம், பூண்டு ஆகியவற்றை தோல் உரித்துக் கொள்ளவும். தக்காளியை பொடியாக நறுக்கி வைக்க வும். பச்சை மிளகாயை இரண்டாகக் கீறிக் கொள்ளவும். புளியை ஒரு பாத்திரத்தில் தனியே கரைத்து வைத்துக் கொள்ள வும். எல்லாம் முடிந்ததும் அடுப்பில் வாணலியை வைத்து எண் ணெய் ஊற்றிக் காய்ந்ததும், கடுகு, சீரகம், வெந்தயம், கருவேப்பிலை போட்டுத் தாளிக்கவும். பின் வெங்காயம், பச்சை மிளகாய், பூண்டு ஆகியவற்றைப் போட்டு வதக்கி கடைசியாக தக்களியைச் சேர்த்து வதக்கவும். வதங்கியதும் 4 ஸ்பூன் மஞ்சள் தூள், மிளகாய் தூள், தேவையான அளவு உப்பு போட்டு, புளிக்கரைசலை ஊற்றிக் கொதிக்க விடவும். குழம்பு நன்றாகக் கொதித்து கெட்டியானவுடன், சுட்டு வைத்த பணியாரங்களை அதில் போட்டு இறக்கவும். கமகமக்கும் செட்டி நாடு முட்டை பணியாரக் குழம்பு ரெடி.</t>
  </si>
  <si>
    <t>5 Mutton Salted Kandams Turam Dal - 100 grams Onion - 2 Tomato - 4 Garlic - 6 cloves Sambar Chilli Powder - 3 tablespoons Mustard - 1/2 teaspoon Asimbu - 1/2 teaspoon Oil - 100 grams Salt - as required Curry leaves, coriander leaves - handful size</t>
  </si>
  <si>
    <t>ஆட்டுக்கறி உப்புக் கண்டம் 5 துண்டு, துவரம் பருப்பு - 100 கிராம், வெங்காயம்  - 2, தக்காளி  - 4, பூண்டு - 6 பல், சாம்பார் மிளகாய் பொடி - 3 டேபிள் ஸ்பூன், கடுகு - 1/2 ஸ்பூன், சோம்பு - 1/2 ஸ்பூன், எண்ணெய் - 100 கிராம், உப்பு - தேவையான அளவு, கறிவேப்பிலை, கொத்தமல்லித் தழை - கைப்பிடி அளவு</t>
  </si>
  <si>
    <t>This curry is very easy. First, grate the mutton salted kadam well. Chop the onion and tomato into powder. Crush the garlic. Then wash the dal and put it in the cooker, add salt, onion, tomato, crushed garlic, sambar chili powder, required amount of salt and boil the gravy for a quarter of an hour. After the salt is cooked, add tamarind juice and boil for another five minutes and then turn off the heat. Heat 2 spoons of oil in a pan and when it is hot, fry the cumin, mustard and anise and add it to the gravy. Sprinkle coriander leaves and serve.</t>
  </si>
  <si>
    <t>இந்தக் குழம்பு ரொம்பச் சுலபம். முதலில் ஆட்டுக்கறி உப்புக் கண்டத்தை நன்றாக தட்டிக்கொள்ளவும். வெங்காயம் தக்காளியை பொடியாக நறுக்கிக் கொள்ளவும். பூண்டை நசுக்கி வைக்கவும். பின் குக்கரில் துவரம்பருப்பை கழுவிப் போட்டு,கூடவே உப்புக் கண்டம், வெங்காயம், தக்காளி, நசுக்கி வைத்துள்ள பூண்டு, சாம்பார் மிளகாய் பொடி, தேவையான அளவு உப்பு சேர்த்து கால் மணி நேரம் குழம்பை கொதிக்கவிடவும். உப்புக்கண்டம் வெந்த பிறகு, அத்துடன் புளி சாறு ஊற்றி மேலும் ஐந்து நிமிடம் கொதிக்கவிட்டு இறக்கவும். வாணலியில் 2 ஸ்பூன் எண்ணெய் ஊற்றிக் காய்ந்ததும் கருவேப்பிலை, கடுகு, சோம்பு தாளித்து குழம்பில் கொட்ட வும். கொத்தமல்லித் தழை தூவி பரிமாறவும்.</t>
  </si>
  <si>
    <t>Crab - 1/2 kg (5 crabs), Large onion - 2, Small onion - 100 grams, Tomato - 3, Ginger | garlic paste - one tablespoon, Green chilies - 2, Chilli powder - 1 tablespoon, Cumin powder - 1 tablespoon, Chilli powder - 1 tablespoon, Grated coconut - 4 tablespoons, Turmeric powder - a pinch, Cumin (for seasoning) - 1 tablespoon, Oil - 50 grams, Salt - as needed, Caraway seeds | coriander - handfuls</t>
  </si>
  <si>
    <t>நண்டு - 1/2 கிலோ (5 நண்டுகள்), பெரிய வெங்காயம்  - 2, சின்ன வெங்காயம் - 100 கிராம், தக்காளி - 3, இஞ்சி - ஒரு டேபிள் ஸ்பூன், பூண்டு விழுது - ஒரு டேபிள் ஸ்பூன், பச்சை மிளகாய் - 2, மிளகுத் தூள் - 1 ஸ்பூன், சீரகத் தூள் - 1 ஸ்பூன், மிளகாய் தூள் - 1 ஸ்பூன், தேங்காய் துருவல் - 4 டேபிள் ஸ்பூன், மஞ்சள் தூள் - சிட்டிகை அளவு, சீரகம் (தாளிக்க) - 1 ஸ்பூன், எண்ணெய் - 50 கிராம், உப்பு - தேவையான அளவு, கருவேப்பிலை - கைப்பிடி அளவு கொத்தமல்லி - கைப்பிடி அளவு</t>
  </si>
  <si>
    <t>Break the crab, clean it well and wash it. Next, chop the large onion and 2 tomatoes into powder. After that, grind 100 small onions, one tomato, and grated coconut together until smooth like ink. Then put the pan on the stove and pour oil. When it is hot, add mustard seeds and cumin seeds.  Add onion and fry until golden brown. Also add ginger garlic paste and the raw smell will go away.</t>
  </si>
  <si>
    <t>நண்டை உடைத்து நன்கு சுத்தம் செய்து கழுவி வைத்துக் கொள்ளவும். அடுத்து பெரிய வெங்காயம், 2 தக்காளியை பொடியாக நறுக்கி வைத்துக்கொள்ளவும். அதற்குப் பிறகு 100 சின்ன வெங்காயம், ஒரு தக்காளி, தேங் காய் துருவல் மூன்றையும் ஒன்றாக மை போல மழமழப்பாக அரைத்துக்கொள்ளவும். பின் வாணலியை அடுப்பில் வைத்து எண்ணெய் ஊற்றி காய்ந்ததும் கடுகு உளுந்து, சீரகம் போட்டு தாளிக்கவும். வெங்காயத்தைப் போட்டு பொன் கலரில் வதக்கவும்.கூடவே இஞ்சி பூண்டு விழுதைப் போட்டு பச்சை வாசனை போகும்</t>
  </si>
  <si>
    <t>Liver, bone - 150 grams, Onion - 1, Tomato - 1, Ginger, garlic paste - 1 tablespoon, Oil - 3 tablespoons, Caraway leaves | coriander - handful, Salt - required amount, Pepper powder - 2 tablespoons</t>
  </si>
  <si>
    <t>ஈரல், எலும்பு - 150கிராம், வெங்காயம் - 1, தக்காளி - 1, இஞ்சி, பூண்டு விழுது - 1 டேபிள் ஸ்பூன், எண்ணெய் - 3 டேபிள் ஸ்பூன், கருவேப்பிலை | கொத்தமல்லி - கைப்பிடி அளவு, உப்பு - தேவையான அளவு, மிளகுத் தூள் - 2 ஸ்பூன்</t>
  </si>
  <si>
    <t>First, chop the onion into powder. Then grind the tomato separately with a handful of black neem leaves and coriander. Next, put a cooker on the stove and add oil and fry the onion and curry leaves after it dries. Then add the liver and bone and fry for a while. Then add the ground tomato paste and cook. Add water as required for the soup and add salt as required. When the liver and bones are cooked well, sprinkle pepper and coriander on it and serve. The spicy liver and bone soup with a spicy aroma is ready. Serve it hot. This soup is very good for pregnant women. It is also beneficial for children and the elderly.</t>
  </si>
  <si>
    <t>முதலில் வெங்காயத்தை பொடியாக நறுக்கி வைத்துக் கொள்ளவும். பின் தக்காளியை தனியே கைப்பிடி அளவு கரு வேப்பிலை, கொத்தமல்லியுடன் சேர்த்து அரைத்து வைத்துக் கொள்ளவும். அடுத்து அடுப்பில் குக்கர் வைத்து எண்ணெய் ஊற்றி காய்ந்த பின்பு வெங்காயம் கறிவேப்பிலையை போட்டு வதக்கவும். பின் கூடவே ஈரல் மற்றும் எலும்பைச் சேர்த்து சற்று நேரம் வதக்கவும். பிறகு அரைத்து வைத்துள்ள தக்காளி விழுதை ஊற்றிப் பிரட்டவும். அதனுடன் சூப் தேவைப்படும் அளவுக்கு தண்ணீர் ஊற்றி, தேவையான அளவு உப்பைப் போடவும். ஈரல், எலும்பு நன்கு வெந்ததும் அதன் மேல் மிளகுத்தூள் மற்றும் கொத்தமல்லி தூவி இறக்கவும். கம கம வாசனை யுடன் காரசாரமான ஈரல் எலும்பு சூப் ரெடி. அப்படியே சூடாக பரிமாறவும். இந்த சூப் கர்ப்பிணி பெண்களுக்கு மிக மிக நல்லது. குழந்தை கள் மற்றும் முதியவர்களுக்கும் உடல் உரத்துக்கு நலன் தருவது.</t>
  </si>
  <si>
    <t>Goat spleen, Small onion - 150 grams, Green chilies - 2, Chili powder - 2 spoons, Cumin powder - 1 spoon, Ginger - 1 inch piece, Garlic - 8 cloves, Berry | cinnamon |  bay leaf - 1 each, Salt - as needed, Oil - 2 tablespoons, Turmeric powder - 1/2 spoon</t>
  </si>
  <si>
    <t>ஆட்டு மண்ணீரல், சின்ன வெங்காயம் - 150 கிராம், பச்சை மிளகாய் - 2, மிளகுத் தூள் - 2 ஸ்பூன், சீரகத்தூள் - 1 ஸ்பூன், இஞ்சி - ஒரு அங்குலத் துண்டு, பூண்டு - 8 பல், பட்டை | லவங்கம், பிரியாணி இலை - தலா ஒன்று, உப்பு - தேவையான அளவு, எண்ணெய் - 2 டேபிள் ஸ்பூன், மஞ்சள் தூள் - 1/2 ஸ்பூன்</t>
  </si>
  <si>
    <t>Drain the spleen well and cut it into pieces. Chop the onion into two or four pieces.  Peel the chilies and keep them.  Crush the ginger and garlic. Then put a pan on the stove and add oil and when it dries, add the bay leaf, cinnamon and bay leaf. Then add the onion and fry it. When the onion is golden brown, add the spleen and stir it with turmeric powder, red chili powder, crushed ginger and garlic. Add water to the required amount of soup and boil it. When the soup boils and the spleen is cooked, add pepper and cumin powder to the soup. Sprinkle with black pepper and coriander and serve. The spleen soup is ready. Serve hot.</t>
  </si>
  <si>
    <t>மண்ணீரலை நன்கு செய்து துண்டுகளாக்கிக் கொள்ளவும். வெங்காயத்தை இரண்டு நான்காக நறுக்கிக் கொள்ளவும்.  மிளகாயை கீறி வைக்கவும். இஞ்சி, பூண்டை நசுக்கி வைக்கவும். பின் அடுப்பில் வாணலி வைத்து எண்ணெய் விட்டுக் காய்ந்த தும் பட்டை, இலவங்க பிரியாணி இலை போட்டு தாளிக்கவும். பின் வெங்காயம் சேர்த்து வதக்கவும், வெங்காயம் பொன்னிறமாக வதங்கியதும் கூடவே மண்ணீரலைப் போட்டு, அதனுடன் மஞ்சள்தூள், ப.மிளகாய், நசுக்கி வைத்த இஞ்சி, பூண்டு எல்லாவற்றையும் சேர்த்துக் கிளறவும். எவ்வளவு சூப் தேவையோ அவவளவுக்கு தண்ணீர் சேர்த்து கொதிக்கவிடவும். சூப் கொதித்து மண்ணீரல் வெந்ததும் மிளகு, சீரகப் பொடியை சூப்பின் மேல் சேர்க்கவும். கருவேப் பிலை, கொத்தமல்லியைத் தூவி இறக்கவும்.  மண்ணீரல் சூப் ரெடி. சூடாகப் பரிமாறவும்.</t>
  </si>
  <si>
    <t>Fish - 1/4 kg, Tomato - 2, Pepper - 2 teaspoons, Cereal - 1 teaspoon, Garlic - 10 cloves, Dried chilies - 5, Tamarind - the size of a small lemon, Mustard, urad dal - 1/2 spoon, Turmeric powder - 1/2 teaspoon, Oil - 2 teaspoons, Salt - as needed, Coriander - a handful</t>
  </si>
  <si>
    <t>வஞ்சிரம் மீன் - 1/4 கிலோ, தக்காளி - 2, மிளகு - 2 டீஸ்பூன், சீரகம் - 1 டீஸ்பூன், பூண்டு - 10 பல், காய்ந்த மிளகாய் - 5, புளி - சிறு எலுமிச்சை அளவு, கடுகு | உளுந்தப் பருப்பு - 1/2 ஸ்பூன், மஞ்சள் பொடி - 1/2 டீஸ்பூன், எண்ணெய் - 2 டீஸ்பூன், உப்பு - தேவையான அளவு, கொத்தமல்லி - கைப்பிடி அளவு</t>
  </si>
  <si>
    <t>First, wash the fish well and cut it into pieces. Next, chop the tomatoes into powder. Crush the pepper, cumin, and garlic well. Dissolve the tamarind in 2 cups of water and crush it. Add the crushed pepper, cumin, garlic, turmeric powder, salt, and chopped tomatoes and boil. When the water boils and foams, add the fish pieces. When the fish is cooked and floats to the top, remove it. If you wait too long, the fish will melt. Then, heat oil in a pan, add mustard seeds, urad dal, and a pinch of dried chilies and season. Pour the seasoning into the soup. Sprinkle with coriander and serve.</t>
  </si>
  <si>
    <t>முதலில் மீனை நன்றாகக் கழுவி துண்டுகளாக்கிக் கொள்ள வும். அடுத்து தக்காளியை பொடியாக நறுக்கிக்கொள்ளவும். மிளகு, சீரகம், பூண்டை நன்கு நசுக்கி வைத்துக்கொள்ளவும். புளியை 2 தம்ளர் தண்ணீரில் கரைத்து அதில் நசுக்கி வைத் துள்ள மிளகு, சீரகம், பூண்டு, மஞ்சள் பொடி, உப்பு மற்றும் நறுக்கிய தக்காளி சேர்த்து கொதிக்கவிடவும். தண்ணீர் கொதித்து நுரை வரும் சமயத்தில் மீன் துண்டுகளை சேர்க்கவும். மீன் வெந்து மேலே மிதக்கும்போது இறக்கிவிடவும். தாமதித் தால் மீன் கரைந்து விடும். பின் வாணலியில் எண்ணெய் விட்டு கடுகு உளுத்தம் பருப்பு, காய்ந்த மிளகாய் கிள்ளிப் போட்டு தாளிக்கவும். தாளிப்பை சூப்பில் ஊற்றவும். கொத்தமல்லி தூவி பரிமாறவும்.</t>
  </si>
  <si>
    <t>Chettinad Mutton Biryani</t>
  </si>
  <si>
    <t>செட்டிநாட்டு ஆட்டுக்கறி பிரியாணி</t>
  </si>
  <si>
    <t>Mutton - 1 kg, Biryani rice - 1 kg, Small onion - 1/4 kg, Tomato - 1/4 kg, Green chillies - 100 g (10 to 12 chillies), Ginger garlic paste - 3 tbsp, Baking, cinnamon, biryani leaves - 2, Cardamom - 3, Mint - handful Coriander leaves - handful Asimbu - 1/2 spoon, Coconut milk - 2 cups, Turmeric powder - pinch Ghee - 50 g, Oil - 100 g, Salt - as required</t>
  </si>
  <si>
    <t>ஆட்டுக்கறி - 1 கிலோ, பிரியாணி அரிசி - 1 கிலோ, சின்ன வெங்காயம் - 1/4 கிலோ, தக்காளி - 1/4 கிலோ, பச்சை மிளகாய் - 100 கிராம் (10 முதல் 12 மிளகாய்), இஞ்சி பூண்டு விழுது - 3 டேபிள் ஸ்பூன், பட்டை, லவங்கம், பிரியாணி இலை - தலா 2, ஏலக்காய்  - 3, புதினா - கைப்பிடி அளவு, கொத்தமல்லித் தழை - கைப்பிடி அளவு, சோம்பு - 1/2 ஸ்பூன், தேங்காய்ப் பால் - 2 கப், மஞ்சள் தூள் - சிட்டிகை அளவு, நெய் - 50 கிராம், எண்ணெய் - 100 கிராம், உப்பு - தேவையான அளவு</t>
  </si>
  <si>
    <t>Chettinad Mutton Thaniya Biryani</t>
  </si>
  <si>
    <t>செட்டிநாட்டு ஆட்டுக்கறி தனியா பிரியாணி</t>
  </si>
  <si>
    <t>Mutton - 1 kg, Biryani rice - 1 kg, Coconut milk - 3 cups, Onion - 1/4 kg, Tomato - 300 grams, Green chilies - 15, Ginger garlic paste - 6 spoons, Thaniya - 200 grams, Baking powder, cinnamon, cardamom - 3 each, Biryani - 3, Ghee - 100 grams, Oil - 100 grams, Turmeric powder - 1 pinch, Mint, coriander leaves - 1 bunch each, Salt - as required</t>
  </si>
  <si>
    <t>ஆட்டுக்கறி - 1 கிலோ, பிரியாணி அரிசி - 1 கிலோ, தேங்காய் பால் - 3 கப், வெங்காயம் - 1/4 கிலோ, தக்காளி - 300 கிராம், பச்சை மிளகாய் - 15, இஞ்சி பூண்டு விழுது - 6 ஸ்பூன், தனியா - 200 கிராம், பட்டை, லவங்கம், ஏலக்காய் - தலா 3, பிரியாணி - 3, நெய் - 100 கிராம், எண்ணெய் - 100 கிராம், மஞ்சள் தூள் - 1 சிட்டிகை, புதினா, கொத்தமல்லி தழை - தலா 1 கட்டு, உப்பு - தேவையான அளவு</t>
  </si>
  <si>
    <t>Pour 2 liters of water in a cooker and boil the thaniya for 15 minutes. Then strain the tanya and keep the water separately. Next, pour oil and ghee in a cooker and when it dries, add the ginger, garlic paste, cinnamon, cardamom, bay leaves and fry them. Then add the onion, tomato and green chillies one after the other and fry them. Add the mutton and fry them. Add half a cup of water to the tanya mixture and cook the curry for 4 whistles. Then add the drained biryani rice. Pour 3 cups of tanya water and 3 cups of coconut milk with it. Add required salt and close the cooker and let it cook for one whistle. Sprinkle coriander and serve.</t>
  </si>
  <si>
    <t>குக்கரில் 2 லிட்டர் தண்ணீர் ஊற்றி தனியாவை 15 நிமிஷம் வேகவைக்கவும். பின் தனியாவை வடிகட்டி அந்தத் தண் ணீரை மட்டும் தனியே எடுத்துக் கொள்ளவும். அடுத்து குக்கரில் எண்ணெய் மற்றும் நெய் ஊற்றி காய்ந்ததும் பட்டை, லவங்கம், ஏலக்காய், பிரியாணி இலை தாளித்து இஞ்சி பூண்டு விழுது சேர்த்து வதக்கவும். பின் வெங்காயம், தக்காளி, பச்சை மிளகாயை ஒன்றன் பின் ஒன்றாகப் போட்டு வதக்கவும். கூடவே ஆட்டுக்கறியைச் சேர்த்துப் பிரட்டவும். வதக்கிய கலவையுடன் அரை தம்ளர் தண்ணீர் விட்டு 4 விசில் வரை கறியை வேகவிடவும். பிறகு அதனுடன் களைந்து வைத்த பிரியாணி அரிசியைப் போடவும். அதனுடன் தனியா தண்ணீர்3 தம்ளர், 3 கப் தேங்காய் பால் ஊற்றவும். தேவை யான அளவு உப்பு சேர்த்து குக்கரை மூடி ஒரு விசில் விட்டு இறக்கவும். கொத்தமல்லித் தூவி பரிமாறவும்.</t>
  </si>
  <si>
    <t>https://www.awesomecuisine.com/wp-content/uploads/2012/11/Chettinad-Mutton-Biryani.jpg</t>
  </si>
  <si>
    <t>Chettinad Pepper Curry Rice</t>
  </si>
  <si>
    <t>செட்டிநாட்டு மிளகு கறி சாதம்</t>
  </si>
  <si>
    <t>Mutton - 1/2 kg, Rice - 1/2 kg, Large onion - 2, Tomato - 1, Green chilies - 2, Ginger, garlic paste - 2 spoons, Grated coconut - 1/4 cup, Pepper - 3 spoons, Cumin - 1 spoon, Turmeric powder - 1 spoon, Black pepper powder - 1 spoon, Carom seeds, coriander leaves - handful, Oil - 50 grams, Salt - as required</t>
  </si>
  <si>
    <t>ஆட்டுக்கறி - 1/2 கிலோ, அரிசி - 1/2 கிலோ, பெரிய வெங்காயம் - 2, தக்காளி - 1, பச்சை மிளகாய் - 2, இஞ்சி, பூண்டு விழுது - 2 ஸ்பூன், தேங்காய் துறுவல் - 1/4 கப், மிளகு - 3 ஸ்பூன், சீரகம் - 1 ஸ்பூன், மஞ்சள் தூள் - 1 ஸ்பூன், கரம் மசாலா தூள் - 1 ஸ்பூன், கருவேப்பிலை, கொத்தமல்லித் தழை - கைப்பிடி அளவு, எண்ணெய் - 50 கிராம், உப்பு - தேவையான அளவு</t>
  </si>
  <si>
    <t>First, drain the rice and put it in a cooker, drain the rice and let it cool. Next, add the pepper, cumin, coconut flowers, and poppy seeds and grind them well. Then clean the meat and cut it into pieces and add the ground paste, yogurt, a spoon of ginger garlic paste, and grated green chilies to the meat and let it marinate for 10 minutes. Once everything is ready, put a cooker on the stove and pour oil and when it is dry, add the bark, cinnamon, cardamom, and bay leaves. Then add the onion, tomato, and another spoon of ginger garlic paste and fry until the raw smell goes away. Then add the marinated meat in the mixture and stir. Pour a cup of water and let it simmer on the stove. When the meat is well cooked and the gravy is thick, add the rice that has been cooled a little bit and mix. Sprinkle coriander leaves on top. That's it; delicious pepper rice is ready.</t>
  </si>
  <si>
    <t>முதலில் அரிசியைக் களைந்து குக்கரில் போட்டு உதிர் உதிராக சாதம் வடித்து ஆற வைத்துக்கொள்ளவும். அடுத்து மிளகு, சீரகம், தேங்காய் பூ, கசகசா எல்லாவற்றையும் சேர்த்து நன்கு அரைத்துக் கொள்ளவும். பின் கறியை சுத்தம் செய்து துண்டுகளாக்கிக் கொண்டு அந்தக் கறியுடன் அரைத்த விழுது, தயிர், ஒரு ஸ்பூன் இஞ்சி பூண்டு விழுது, கீறிய பச்சமிளகாய் சேர்த்துப் பிரட்டி 10 நிமிடம் ஊறவிடவும். அனைத்தும் தயரானதும் அடுப்பில் குக்கர் வைத்து எண்ணெய் ஊற்றி காய்ந்ததும், பட்டை, லவங்கம், ஏலக்காய்,பிரியாணி இலை போட்டு தாளிக்கவும். பின் வெங்காயம், தக்காளி, மற்றொரு ஸ்பூன் இஞ்சி பூண்டு விழுது போட்டு பச்சை வாசனை போக வதக்கவும். பிறகு கலவையில் ஊறவைத்த கறியைச் சேர்த்துக் கிளறவும். ஒரு கப் தண்ணீர் ஊற்றி சிம்மிலே வேகவிடவும். கறி நன்கு வெந்து கிரேவியானதும் உதிராக ஆற வைத்துள்ள சாதத்தை கொஞ்சம் கொஞ்சமாகப் போட்டு கலக்கவும். மேலாக கொத்தமல்லித் தழை தூவவும். அவ்வளவுதான்; சுவையான மிளகு சாதம் ரெடி.</t>
  </si>
  <si>
    <t>https://i0.wp.com/pompomcooks.com/wp-content/uploads/2021/02/DSC_2027.jpeg?w=1300&amp;ssl=1</t>
  </si>
  <si>
    <t>Chettinad Chicken Biryani</t>
  </si>
  <si>
    <t>செட்டிநாட்டு கோழி பிரியாணி</t>
  </si>
  <si>
    <t>Biryani rice - 1/2, Chicken curry - 1/2 kg, Onion - 1/4 kg, Tomato - 1/4 kg 3, Green chillies - 5, Mint - 1 bunch, Coriander leaves - 2 handfuls, Ginger, garlic paste - 50 g, Cardamom - 2, Baking powder, cinnamon, Marathi koku, Pineapple flower, - 2 each, Seaweed - 1/2 tablespoon, Chili powder - 2 teaspoons, Pancha powder - 4 teaspoons, Turmeric powder - 2 teaspoons, Yogurt - 1 cup, Oil - 50 g, Salt - as required</t>
  </si>
  <si>
    <t>பிரியாணி அரிசி - 1/2, கோழிக் கறி - 1/2 கிலோ, வெங்காயம் - 1/4கிலோ, தக்காளி - 1/4 கிலோ 3, பச்சை மிளகாய்  - 5, புதினா - 1 கட்டு, கொத்தமல்லித் தழை - 2 கைப்பிடி அளவு, இஞ்சி, பூண்டு விழுது - 50 கிராம், ஏலக்காய் - 2, பட்டை, லவங்கம், மராட்டி மொக்கு, அன்னாசிப்பூ, - தலா 2, கடல்பாசி -  1/2 டேபிள் ஸ்பூன், மிளகாய்த்தூள் - 2 தேக்கரண்டி, தனியாத்தூள் - 4 தேக்கரண்டி, மஞ்சள்தூள் -  2 தேக்கரண்டி, தயிர் - 1 கப், எண்ணெய்  - 50 கிராம், உப்பு - தேவையான அளவு</t>
  </si>
  <si>
    <t>Clean the chicken Cut it into pieces and scratch it with a knife. Only then will the spices soak in it and be tasty. Chop the onion and tomato into powder. Chop the green chillies. Next, put the cooker on the stove and add 2 spoons of oil, add the cardamom, cinnamon, marathi flower, pineapple flower, cardamom, and seaweed and fry well. Then Add the chopped onion and fry until golden brown. Next, add the tomatoes and fry well until they become a paste. After everything is fried, add turmeric powder, chili powder, and coriander powder, sprinkle a little water and stir well until the raw smell goes away. Then add the coriander and mint and fry. Next, add the cleaned chicken and stir well and fry until the chicken changes color. Then pour ½ cup of water. Mix as required. After the chicken is half cooked, add the green chillies. While the chicken is boiling with the spice mixture, add the washed rice and mix. Add 1½ cups of water per cup of rice and cover it. When the rice is three-quarters cooked, open the lid and add the yogurt and stir. When a whistle sounds, remove it. Open the lid and sprinkle mint and coriander leaves on it and serve. Hot and delicious Chettinad Chicken Biryani is ready.</t>
  </si>
  <si>
    <t>கோழிக்கறியை சுத்தம் செய்து துண்டுகளாக்கிக் கொண்டு அதில் கத்தியால் கீறிக்கொள்ளவும். அப்போதுதான் அதில் மசாலா நன்கு ஊறி சுவையாக இருக்கும். வெங்காயம், தக்காளியை பொடியாக நறுக்கி வைக்கவும். பச்சை மிளகாயை கீறி வைக்கவும். அடுத்து குக்கரை அடுப்பில் வைத்து 2 ஸ்பூன் எண்ணெய் விட்டு பட்டை, லவங்கம், மராட்டி மொக்கு, அன்னாசிப் பூ, ஏலக்காய், கடற்பாசி சேர்த்து நன்கு வதக்கவும். பின்னர் பொடியாக நறுக்கி வைத்துள்ள வெங்காயத்தைப் போட்டு பொன்னிறமாக வதக்கவும். அடுத்து தக்காளி சேர்த்து நன்கு கூழாகுமாறு வதக்கிக் கொள்ளவும். எல்லாம் வதங்கிய பின் மஞ்சள் தூள், மிளகாய்த்தூள், தனியாத்தூள் சேர்த்து சிறிது தண்ணீர் தெளித்து, பச்சை வாசனை போகுமளவு நன்கு கிளறவும். பின்னர் கொத்த மல்லி, புதினா சேர்த்து வதக்கவும். அடுத்து சுத்தம் செய்து வைத்துள்ள சிக்கன் சேர்த்து நன்றாகக் கிளறி சிக்கன் நிறம் மாறும்வரை வதக்கவும். பின் ½ தம்ளர் தண்ணீர் ஊற்றவும். தேவையான அளவு கலக்கவும். சிக்கன் பாதியளவு வெந்த பிறகு, பச்சைமிளகாயைச் சேர்க்க வும். திக்கான மசாலா கலவையுடன் சிக்கன் கொதிக்கும் போதே, கழுவி வைத்துள்ள அரிசியைச் சேர்த்து கலக்கவும். ஒரு கப் அரிசிக்கு 1½ கப் அளவில் தண்ணீர் சேர்த்து மூடி விடவும். அரிசி முக்கால் பதம் வெந்ததும் மூடியைத் திறந்து தயிரைச் சேர்த்து கிளறவும். ஒரு விசில் வந்ததும் இறக்கிவிடவும். மூடியைத் திறந்து புதினா, கொத்தமல்லித்தழைகளை அதன் மேல் தூவி பரிமாற வும். சூடான சுவையான செட்டிநாட்டு சிக்கன் பிரியாணி ரெடி.</t>
  </si>
  <si>
    <t>https://simpleindianmeals.com/wp-content/uploads/2018/01/Chicken-biryani.jpg</t>
  </si>
  <si>
    <t>Chicken - 1/2 kg Biryani rice - 2 cups Onion - 2 Green chillies - 4 Ginger, garlic minced - 1 spoon Mint - handful Cardamom powder - 1/2 spoon Nutmeg powder - 1/2 spoon Turmeric powder - 1/4 teaspoon Coconut milk - 2 cups Ghee - 1/2 tablespoon Oil - 2 tablespoons Garram masala - 1 teaspoon Salt - as required For seasoning Baking soda - 1 small piece Cloves - 4 Cardamom - 2 Biryani leaves - 2 Curry leaves - a few</t>
  </si>
  <si>
    <t>கோழிக்கறி - 1/2 கிலோ பிரியாணி அரிசி - 2 கப் வெங்காயம் - 2 பச்சை மிளகாய் - 4 இஞ்சி, பூண்டு இழுது - 1 ஸ்பூன் புதினா - கைப்பிடி அளவு ஏலக்காய் தூள் - 1/2 ஸ்பூன் ஜாதிக்காய் தூள் - 1/2 ஸ்பூன் மஞ்சள்தூள் - 1/4 டீஸ்பூன் தேங்காய்ப்பால் - 2 கப் நெய் - 1/2 டேபிள்ஸ்பூன் எண்ணெய் - 2 டேபிள் ஸ்பூன் கரம் மசாலா - 1 டீஸ்பூன் உப்பு - தேவையான அளவு தாளிக்க பட்டை - 1 சின்ன துண்டு கிராம்பு - 4 ஏலக்காய் - 2 பிரியாணி இலை - 2 கறிவேப்பிலை - சிறிது</t>
  </si>
  <si>
    <t>Wash and clean the chicken thoroughly Add ginger, garlic paste, yogurt, garam masala and let it marinate for 1 hour. Slice the onion lengthwise. Peel the green chillies. Then take half of the chopped onion and fry it in oil until golden brown and keep it aside. Next, in a cooker, add ghee and oil, add the curry leaves, peel, cloves, cardamom, bay leaves and fry them. Add the remaining onion, green chillies and mint. Add turmeric powder and marinate the chicken and fry it well. Once everything is well fried, add rice, coconut milk, required salt and 2 cups of water. Cook for 3 whistles. Then remove the rice and chicken and mix well. Add cardamom and nutmeg powder and stir fry it and sprinkle the fried onion on top and serve.</t>
  </si>
  <si>
    <t>சிக்கனை நன்கு கழுவி சுத்தம் செய்ததும் அதனுடன் இஞ்சி, பூண்டு விழுது, தயிர், கரம் மசாலா சேர்த்து 1 மணிநேரம் ஊறவிடவும். வெங்காயத்தை மெலிதாக நீளவாக்கில் நறுக்கவும். பச்சை மிளகாயை கீறிக்கொள்ளவும். பின் நறுக்கிய வெங்காயத்தில் பாதியை எடுத்து எண்ணெயில் பொன்னிறமாக பொரித்துத் தனியாக வைத்துக்கொள்ளவும். அடுத்து குக்கரில் நெய் மற்றும் எண்ணெய் விட்டு கருவேப் பிலை, பட்டை, கிராம்பு, ஏலக்காய், பிரியாணி இலை போட்டு தாளித்து மீதமுள்ள வெங்காயம், பச்சை மிளகாய், புதினா போட்டு வதக்கவும். கூடவே மஞ்சள் பொடி சேர்த்து ஊற வைத்துள்ள சிக்கனையும் போட்டு நன்கு வதக்கவும். எல்லாம் சேர்ந்து நன்கு வதங்கியதும் அரிசி, தேங்காய்ப்பால், தேவையான அளவு உப்பு மற்றும் 2 கப் தண்ணீர் ஊற்றவும். 3 விசில் வரை வேகவிடவும். பின் இறக்கினால் சாதம், சிக்கன் கலந்து நன்கு வெந்திருக்கும். அதனுடன் ஏலக்காய், ஜாதிக்காய் தூள் சேர்த்துக் கிளறி பொரித்து எடுத்து வைத்துள்ள வெங்காயத்தை மேலாகத் தூவிப் பரிமாறவும்.</t>
  </si>
  <si>
    <t>Chettinad Prawn Biryani</t>
  </si>
  <si>
    <t>செட்டிநாட்டு இறால் பிரியாணி</t>
  </si>
  <si>
    <t>Prawns - 1/2 kg, Biryani rice - 1/2 kg, Onions - 2, Tomatoes - 3, Green chillies - 2, Ginger, garlic paste - 1 spoon, Bread - 1 inch piece, Cardamom - 2, Chilli powder - 1 teaspoon, Yogurt - half a cup, Mint, coriander - handful, Oil - 50 grams, Salt - as required</t>
  </si>
  <si>
    <t>இறால் - 1/2 கிலோ, பிரியாணி அரிசி - 1/2 கிலோ, வெங்காயம் - 2, தக்காளி - 3, பச்சை மிளகாய் - 2, இஞ்சி, பூண்டு விழுது - 1 ஸ்பூன், பட்டை - 1 அங்குலத் துண்டு, ஏலக்காய்  - 2, மிளகாய்த் தூள் - 1 டீஸ்பூன், தயிர் - அரை கப், புதினா, கொத்தமல்லி - கைப்பிடி அளவு, எண்ணெய் - 50 கிராம், உப்பு - தேவையான அளவு</t>
  </si>
  <si>
    <t>First, peel, wash and clean the prawns. Next, soak the rice. Then, when the oil in the cooker is dry, add the onion, tomato, green chillies and mint one after the other and fry them. Add ginger, garlic, and curry paste and fry until the raw smell goes away. Add chili powder, salt, yogurt, coriander and shrimp and fry well. Then add one cup of water per cup of rice and boil. When it boils, add rice and cover. After a whistle in the cooker, turn off the heat. Then put 5 cups of water on the stove. Add curry, cloves, cardamom and required salt to it and boil it. Next, mix the grated coconut with yogurt and beat well. Grind all the ginger, garlic, green chilies and a handful of coriander leaves together. Then put a pan on the stove and pour ghee and heat it. Add chopped onion and fry until golden brown. Add the grated ginger and garlic paste and fry until the raw smell goes away. Add tomatoes, remaining coriander leaves, mint leaves and pepper powder and fry. Then add the coconut-curd paste and fry. Add garam masala and salt as required and stir. Next, lightly scratch the boiled egg here and there and add it to the masala and cook for a few more minutes. Add the omelette pieces and mix. When the masala thickens, pour the boiled water, add the rice and mix well and cover. Cook on medium heat. When the masala mixture is well combined and becomes a gravy, remove it and pour ghee on top. Cover and cook for ½ hour, open it, mix well and serve.</t>
  </si>
  <si>
    <t>முதலில் இறாலை உரித்துக் கழுவி சுத்தம் செய்து வைத்துக் கொள்ளவும். அடுத்து அரிசியை ஊற வைக்கவும். பின் குக்கரில் எண்ணெய் விட்டுக் காய்ந்ததும், வெங்காயம், தக்காளி, பச்சை மிளகாய், புதினா அனைத்தையும் ஒன்றன் பின் ஒன்றாகப் போட்டு வதக்கவும். இஞ்சி, பூண்டு, பட்டை விழுது சேர்த்து பச்சை வாசனை போகும்வரை வதக்கி கூடவே மிளகாய்த்தூள், உப்பு, தயிர், கொத்தமல்லியுடன் இறாலையும் சேர்த்துக் கலக்கி நன்கு வதக்கவும். பின் ஒரு கப் அரிசிக்கு ஒரு கப் அளவுக்கு தண்ணீர் சேர்த்து கொதிக்கவுடவும். கொதி வந்ததும் அரிசியைப் போட்டு மூடவும். குக்கரில் ஒரு விசில் வந்த பிறகு இறக்கவும். பின் 5 கப் தண்ணீரை அடுப்பில் வைத்து. அதில் பட்டை, கிராம்பு, ஏலக்காய் மற்றும் தேவையான உப்பு சேர்த்து கொதிக்க வைத்து வைத்துக்கொள்ளவும். அடுத்து தேங்காய் துருவலை தயிருடன் சேர்த்து நன்கு அடித்துக் கொள்ளவும். இஞ்சி, பூண்டு, பச்சை மிளகாய், ஒரு கைப்பிடி அளவு கொத்தமல்லித் தழை அனைத்தையும் சேர்த்து அரைத்துக் கொள்ளவும். பின் அடுப்பில் வாணலியை வைத்து நெய் ஊற்றி சூடாக்க வும். நறுக்கிய வெங்காயம் சேர்த்து பொன்னிறமாகும் வரை வதக்கவும். அரைத்து வைத்துள்ள இஞ்சி பூண்டு விழுது சேர்த்து பச்சை வாசனை போகும் வரை வதக்கவும். தக்காளி, மீதமுள்ள மல்லி இலை, புதினா இலை, மிளகுதூள் சேர்த்து வதக்கவும். பின் தேங்காய் -தயிர் விழுதைச் சேர்த்துப் பிரட்ட வும். கூடவே கரம் மசாலா, தேவையான அளவு உப்பு சேர்த்துக் கிளறவும். அடுத்தபடியாக வேக வைத்துள்ள முட்டையை ஆங்காங்கே லேசாகக் கீறி மசாலாவில் சேர்த்து மேலும் சில நிமிடங்கள் வேகவிடவும். கூடவே ஆம்லெட் துண்டுகளைச் சேர்த்துக் கலக்கவும். மசாலா கெட்டியானதும் கொதிக்க வைத்து வைத்துள்ள தண்ணீர் ஊற்றி, அரிசி சேர்த்து நன்றாகக் கலந்து மூடி போட்டு மூடவும். மிதமான சூட்டில் வேகவிடவும். மசாலா கலவை நன்கு திரண்டு கிரேவியானதும் இறக்கி வைத்து மேலாக நெய் ஊற்றிவிடவும். மூடி போட்டு மூடி ½ மணிநேரம் ஆனதும் திறந்து நன்கு கலந்து கிளறி பரிமாறவும்.</t>
  </si>
  <si>
    <t>https://www.archanaskitchen.com/images/archanaskitchen/1-Author/Karthika_Gopalakrishnan/Prawns_Biryani.jpg</t>
  </si>
  <si>
    <t>Biryani rice - 1/2 Fish pieces (vanjiram, kodua or any other fish) - 1/2 kg Large onion - 2 Tomato - 2 Green chillies - 3 Ginger, garlic paste - 2 tablespoons Mint - a handful Coriander leaves - a handful Turmeric powder - a teaspoon Chili powder - 2 teaspoons Garlic powder - 2 teaspoons Baking powder, cloves, cardamom - 2 each Yogurt - half a cup Oil - 100 grams Salt - as required</t>
  </si>
  <si>
    <t>பிரியாணி அரிசி - 1/2 மீன் துண்டுகள்(வஞ்சிரம், கொடுவா ஏதாவது ஒரு மீன்) - 1/2 கிலோ பெரிய வெங்காயம் - 2 தக்காளி - 2 பச்சை மிளகாய் - 3 இஞ்சி, பூண்டு விழுது  - 2 டேபிள் ஸ்பூன் புதினா - ஒரு கைப்பிடி அளவு கொத்தமல்லித் தழை - ஒரு கைப்பிடி அளவு மஞ்சள் தூள் - ஒரு தேக்கரண்டி மிளகாய் தூள் - 2 தேக்கரண்டி கரம் மசாலா பொடி - 2 தேக்கரண்டி பட்டை, கிராம்பு, ஏலக்காய் - தலா 2 தயிர் - அரை கப் எண்ணெய் - 100 கிராம் உப்பு - தேவையான அளவு</t>
  </si>
  <si>
    <t>First, boil the biryani rice and drain the rice. The rice should be fluffy. Next, wash and clean the fish well, add salt, turmeric powder, chili powder, and let it soak for a while, then fry it in oil until it is half cooked and keep it aside. Chop the onion, tomato, and green chilies lengthwise. Then put a pan on the stove and pour oil and when it is hot, add the bay leaves, cloves, and cardamom. Then add the onion and green chilies and fry until golden brown. Along with this, add the ginger and garlic paste and fry until the raw smell goes away. Then add the tomatoes, a little turmeric powder, chili powder, allspice powder, and salt and fry. After adding yogurt and coriander leaves, stir. Then put the fried fish pieces in the spice mixture and cover and boil. When the mixture boils and the fish is cooked, remove the fish separately, pour the rice into it, and stir. After adding the spices and stirring well, place the fish pieces on top of the rice, add mint and coriander leaves. Leave it on medium flame for another quarter of an hour. Delicious Chettinad fish biryani is ready. Serve it with grilled onion pachdi.</t>
  </si>
  <si>
    <t>முதலில் பிரியாணி அரிசியை வேக வைத்து சாதத்தை வடித்துக் கொள்ளவும். சாதம் உதிர் உதிராக இருக்கவேண்டும். அடுத்து மீனை நன்றாகக் கழுவி சுத்தம் செய்து அதில் உப்பு, மஞ்சள் தூள், மிளகாய் தூள் சேர்த்து சிறிது நேரம் ஊற வைத்து பின் எண்ணெயில் போட்டு பாதி வேகும் அளவு பொரித் தெடுத்து தனியே வைத்துக்கொள்ளவும். வெங்காயம், தக்காளி, பச்சை மிளகாய் அனைத்தையும் நீளவாக்கில் நறுக்கி வைக்கவும். பிறகு அடுப்பில் வாணலி வைத்து எண்ணெய் ஊற்றிக் காய்ந்ததும் பட்டை, கிராம்பு, ஏலம் போட்டு தாளிக்கவும். பின் வெங்காயம், பச்சை மிளகாய் போட்டு பொன்னிறமாக வரும் வரை வதக்கவும். அத்துடன் கூடவே இஞ்சி, பூண்டு விழுது சேர்த்து பச்சை வாசனை போகும் வரை வதக்கவும். பிறகு தக்காளி, சிறிது மஞ்சள் தூள், மிளகாய் தூள், மசாலா தூள், உப்பு சேர்த்து வதக்கிய பின் தயிர், கொத்தமல்லித் தழை சேர்த்துக் கிளறவும். பிறகு பொரித்த மீன் துண்டுகளை மசாலா கலவையில் போட்டு மூடி கொதிக்கவிடவும். கலவை கொதித்து மீன் வெந்ததும் மீனை தனியே எடுத்து விட்டு, சாதத்தை அதில் கொட்டிக் கிளறவும். மசாலா சேர்த்து நன்கு கிளறியவுடன் சாதத்தின் மேல் மீன் துண்டுகளை போட்டு, புதினா, மல்லி இலை சேர்க்கவும். மேலும் கால்மணி நேரம் மிதமான தீயில் விட்டு இறக்கவும். ருசியான செட்டிநாட்டு மீன் பிரியாணி தயார். சுடச் சுட வெங்காயப் பச்சடியுடன் பரிமாறவும்.</t>
  </si>
  <si>
    <t>Turkey Biryani</t>
  </si>
  <si>
    <t>வான்கோழி பிரியாணி</t>
  </si>
  <si>
    <t>Turkey meat - 1 kg Biryani rice - 1/2 kg Large onion - 3 Tomatoes - 4 Green chillies - 8 Ginger, garlic paste - 2 tablespoons Mint - 1 bunch Coriander leaves - 1 bunch Coconut milk - 1 cup Turmeric powder - 1/2 spoon Biryani masala powder - 3 tablespoons Chili powder - 1/2 spoon Anise powder - 1/2 spoon Bay leaves, cinnamon, biryani leaves - 2 each Cardamom - 5 Cloves - 5 Poppy seeds - 2 tablespoons Cashew nuts - 20 Almonds - 20 Raisins - 25 Ghee - 200 grams Oil - 100 grams Yogurt - 1/2 cup Salt - as required</t>
  </si>
  <si>
    <t>வான்கோழி கறி - 1 கிலோ பிரியாணி அரிசி - 1/2 கிலோ பெரிய வெங்காயம் - 3 தக்காளி - 4 பச்சை மிளகாய் - 8 இஞ்சி, பூண்டு விழுது - 2 டேபிள் ஸ்பூன் புதினா - 1 கட்டு கொத்தமல்லித் தழை - 1கட்டு தேங்காய் பால் - 1 கப் மஞ்சள் தூள் - 1/2 ஸ்பூன் பிரியாணி மசாலா தூள் - 3 டேபிள் ஸ்பூன் மிளகுத் தூள் - 1/2 ஸ்பூன் சோம்பு தூள் - 1/2 ஸ்பூன் பட்டை, லவங்கம், பிரியாணி இலை - தலா 2 ஏலக்காய் - 5 கிராம்பு - 5 கசகசா - 2 டேபிள் ஸ்பூன் முந்திரி - 20 பாதாம் பருப்பு - 20 காய்ந்த திராட்சை - 25 நெய் - 200 கிராம் எண்ணெய் - 100 கிராம் தயிர் - 1/2 கப் உப்பு - தேவையான அளவு</t>
  </si>
  <si>
    <t>Wash and drain the biryani rice. Add turmeric powder, curry powder, pepper powder, anise powder, 4 cups of yogurt, chopped green chilies, a little mint, and a little coriander leaves to the turkey curry. Cover and let it marinate for an hour. Chop the onion and tomato. Peel the mint and coriander leaves and chop them into powder. Pour ghee in a pan and roast the raisins and cashew nuts and keep them aside. Soak the almonds, peel them, add the poppy seeds and grind them like ink. Then pour ghee in the cooker and when it is hot, add cardamom, bay leaves, cloves and coriander leaves and season. Add chopped onion, tomato, ginger, garlic paste, mint and coriander leaves one after the other and fry. Add the remaining 4 cups of yogurt and fry. Next, add the marinated chicken curry and fry well. All four sides Add oil and stir on low flame. Once it is well fried and the gravy is formed, add the ground almonds, poppy seeds paste and coconut milk and fry for another 5 minutes. Add required amount of water and close the cooker. Let it cook for 20 minutes. Once the curry is cooked, take the masala gravy in a separate vessel. Again, take a little of the rice that has cooled in the cooker and spread it. On top of that, take a little of the turkey masala gravy and spread it over the rice. Sprinkle some mint and coriander leaves. Similarly, make another layer of rice, and spread curry gravy, mint and coriander leaves on it in layers. Close the cooker and cook for another 10 minutes on low heat and let it cool. Then open the cooker and mix the rice with the curry well from top to bottom and sprinkle roasted cashews and dried raisin on it. Serve hot with onion pachdi.</t>
  </si>
  <si>
    <t>பிரியாணி அரிசியை கழுவிக் களைந்து உதிராக வடித்துக் கொள்ளவும். வான்கோழிக் கறியில் மஞ்சள் தூள், கறி மசாலாத் தூள். மிளகுத் தூள், சோம்புத் தூள், 4 கப் தயிர், கீறின பச்சை மிளகாய், கொஞ்சம் புதினா, கொஞ்சம் கொத்தமல்லித் தழை அனைத்தையும் போட்டு புரட்டி ஒரு மணி நேரம் ஊறவிடவும். வெங்காயம், தக்காளியை நறுக்கிக்கொள்ளவும். புதினா, கொத்தமல்லித் தழையை உதிர்த்து பொடியாக நறுக்கிக்கொள்ளவும். வாணலியில் நெய் ஊற்றி திராட்சை, முந்திரிப்பருப்பை வறுத்து தனியே வைக்கவும். பாதாம் பருப்பை ஊற வைத்து தோல் உரித்து கசகசவோடு சேர்த்து மை போல அரைத்து வைத்துக்கொள்ளவும். பின் குக்கரில் நெய் ஊற்றி சூடானதும் ஏலக்காய், பட்டை, கிராம்பு, பிரியாணி இலை போட்டு தாளிக்கவும். நறுக்கிய வெங்காயம், தக்காளி, இஞ்சி, பூண்டு விழுது, புதினா, கொத்த மல்லித் தழை அனைத்தையும் ஒன்றன் பின் ஒன்றாக போட்டு வதக்கவும். மீதமுள்ள 4 கப் தயிர் சேர்த்து பிரட்டவும். அடுத்து மசாலா கலவையில் ஊறவைத்துள்ள வான் கோழிக் கறியைப் போட்டு நன்றாக பிரட்டி வதக்கவும். நாலாபக்கமும் எண்ணெயை ஊற்றி சிறு தீயில் கிளறவும். நன்கு வதங்கி கிரேவியானதும் அரைத்து வைத்துள்ள பாதாம் பருப்பு கசகசா விழுது மற்றும் தேங்காய் பால் சேர்த்து மேலும் 5 நிமிடங்கள் வதக்கிய பின்பு தேவையான அளவு தண்ணீர் சேர்த்து குக்கரை மூடவும். 20 நிமிடங்கள் வேக விடவும். கறி வெந்ததும் மசாலா கிரேவியை தனி பாத்திரத்தில் எடுத்துக்கொள்ளவும். மறுபடியும் குக்கரில் ஆற வைத்த சாதத்தில் கொஞ்சம் எடுத்து பரப்பி வைக்கவும். அதன் மேல் வான்கோழி மசாலா கிரேவியை கொஞ்சம் எடுத்து சாதத்தின் மேலாகப் பரப்ப வும்.கொஞ்சம் புதினா, கொத்தமல்லித் தழையைத் தூவவும். இது போலவே சாதம் மற்றொரு லேயர், அதன்மேல் கறி கிரேவி, புதினா, மல்லித் தழை என்று அடுக்கடுக்காக பரப்பி வைக்கவும். குக்கரை மூடி மறுபடியும் 10 நிமிடங்கள் சிறு தீயில் வேக விட்டு இறக்கவும். பின் குக்கரைத் திறந்து சாதத்தை கறியுடன் மேலும் கீழுமாக நன்கு கலந்து அதன் மேல் வறுத்து வைத்த முந்திரி, திராட் சையைத் தூவவும். வெங்காயப் பச்சடியுடன் சுடச் சுட பரிமாறவும்.</t>
  </si>
  <si>
    <t>https://media.vikatan.com/vikatan%2F2022-11%2F91253704-093f-4187-9c04-9119cce5711c%2F3.jpeg?q=75&amp;auto=format%2Ccompress&amp;w=770</t>
  </si>
  <si>
    <t>Crab - 1 kg, Large onion - 2 large, Large tomato - 1, Eggplant - 4, Feniseum - 1/2 spoon, Ginger garlic paste - 1 tablespoon, Turmeric powder - 1/4 spoon, Sambar chili powder - 2 tablespoons, Coconut - 1/2 lid, Carom seeds - a bunch, Oil - 100, Salt - as needed</t>
  </si>
  <si>
    <t>நண்டு - 1 கிலோ, பெரிய வெங்காயம் - 2 பெரியது, பெரிய தக்காளி - 1, கத்திரிக்காய் - 4, சோம்பு - 1/2 ஸ்பூன், இஞ்சி பூண்டு விழுது - 1 டேபிள் ஸ்பூன், மஞ்சள் தூள் - 1/4 ஸ்பூன், சாம்பார் மிளகாய் தூள் -  2 டேபிள் ஸ்பூன், தேங்காய் - 1/2 மூடி, கருவேப்பிலை - ஒரு கொத்து, எண்ணெய் - 100, உப்பு - தேவையான அளவு,</t>
  </si>
  <si>
    <t>First, wash and clean the crab well. Next, cut the eggplant, onion, and tomato lengthwise. Grate the coconut and take the milk and keep it aside. Then, pour oil in a pan and when it is hot, add the aniseed, onion, and eggplant and fry it. Add ginger and garlic paste and fry until the raw smell goes away. Add tomatoes and fry until they turn into pulp. Once everything is fried, add turmeric powder, chili powder, required amount of salt and fry until it turns into a paste. Then add coconut milk. Add required amount of water and let it boil. Once it comes to a boil, add cleaned crab. Let it boil further. Once the chili powder has dissolved and the gravy has boiled well, sprinkle curry leaves and coriander leaves and serve hot.</t>
  </si>
  <si>
    <t>முதலில் நண்டை நன்கு கழுவிச் சுத்தம் செய்து வைத்துக் கொள்ளவும். அடுத்து கத்திரிக்காய், வெங்காயம், தக்காளியை நீளவாக்கில் வெட்டி வைக்கவும். தேங்காயைத் துருவி பால் எடுத்து தனியே வைத்துக்கொள்ளவும். பின் வாணலியில் எண்ணெய் ஊற்றிக் காய்ந்ததும் சோம்பு தாளித்து வெங்காயம், கத்தரிக்காய் போட்டு வதக்கவும். கூடவே இஞ்சி, பூண்டு விழுது சேர்த்து வதக்கி பச்சை வாசனை போனதும் தக்காளியைச் சேர்த்து கூழாகும்வரை வதக்கவும். எல்லாம் வதங்கியதும் மஞ்சள் தூள், மிளகாய் தூள், தேவை யான அளவு உப்பு சேர்த்துப் பிரட்டி வதக்கி பின் தேங்காய் பாலை ஊற்றவும். கூடவே தேவையான அளவு தண்ணீர் ஊற்றிக் கொதிக்க விடவும். ஒரு கொதி வந்ததும் சுத்தம் செய்த நண்டைப் போடவும். மேலும் கொதிக்கவிடவும். மிளகாய் தூள் நெடி போய் குழம்பு நன்கு கொதித்து வந்ததும் கருவேப்பிலை, கொத்தமல்லித் தழை தூவி இறக்கவும். சுடச் சுட பரிமாறவும்.</t>
  </si>
  <si>
    <t>Shark fish - 1/2 kg, Tamarind - the size of a lemon, Whole garlic - 2, Pepper - 2 tablespoons, Cumin - 1 tablespoon, Chili powder - 1 tablespoon, Curry leaves - a bunch, Coriander leaves - a handful, Vatagam - 1 tablespoon, Oil - 100, Salt - as needed</t>
  </si>
  <si>
    <t>சுறாமீன் - 1/2 கிலோ, புளி - எலுமிச்சை பழம் அளவு, முழுபூண்டு  - 2, மிளகு - 2 ஸ்பூன், சீரகம் - 1 ஸ்பூன், மிளகாய்த்தூள் - 1 டேபிள் ஸ்பூன், கறிவேப்பிலை - ஒரு கொத்து, கொத்தமல்லித் தழை - கைப்பிடி, வடகம் - 1 டேபிள் ஸ்பூன், எண்ணெய் - 100, உப்பு - தேவையான அளவு</t>
  </si>
  <si>
    <t>Wash and clean the shark thoroughly and cut it into pieces. Then dissolve the tamarind and mix it with turmeric powder and chili powder in the tamarind paste. Peel and crush the garlic. Place a pan on the stove and fry the pepper and cumin seeds without adding oil. Then pour oil into the pan again and when it dries, add the Vadagam and fry it. When the gravy boils and the smell of chili powder disappears, add the cleaned shark fish, pepper and cumin powder and boil it further. When the gravy boils well and smells good, sprinkle the curry leaves and coriander leaves and remove. The spicy shark fish gravy is ready.</t>
  </si>
  <si>
    <t>சுறாவை நன்கு கழுவி சுத்தம் செய்து துண்டுகள் போட்டு வைக்கவும். பின் புளியைக் கரைத்து புளிக்கரைசலில் மஞ்சள் தூள், மிளகாய் தூள் போட்டுக் கலந்து வைத்துக் கொள்ளவும். பூண்டை தோலுரித்து நசுக்கி வைக்கவும். அடுப்பில் வாணலிவைத்து எண்ணெய் விடாமல் மிளகு, சீரகத்தை வறுத்துப் பொடித்து வைக்கவும். பின் மீண்டும் வாணலியில் எண்ணெய் ஊற்றிக் காய்ந்ததும் வடகத்தைப் போட்டுத் தாளித்து புளிக்கரைசலை ஊற்றவும். குழம்பு கொதித்து மிளகாய் பொடி வாசனை போனதும் சுத்தம் செய்து வைத்த சுறா மீன், மிளகு சீரகப் பொடி சேர்த்து மேலும் கொதிக்கவிடவும். குழம்பு நன்கு கொதித்து மணம் வந்ததும் கருவேப்பிலை, கொத்தமல்லித் தூவி இறக்கவும். காரசாரமான சுறா மீன் குழம்பு தயார்.</t>
  </si>
  <si>
    <t>Prawns - 1/2 kg, Potatoes - 200 g, Big onion - 1, Small onion - 50 g, Tomatoes - 2, Green chillies - 3, Ginger and garlic paste - 1 tablespoon, Turmeric powder - 1/4 spoon, Chili powder - 1 tablespoon, Coconut - 1/2 lid, Anise - 1/4 spoon, Poppy seeds - 1/2 spoon, Baking powder - 1, Cloves - 2, Cardamom - 2, Biryani leaf - 1</t>
  </si>
  <si>
    <t>இறால் - 1/2 கிலோ, உருளைக்கிழங்கு - 200 கிராம், பெரிய வெங்காயம் - 1, சின்ன வெங்காயம் - 50 கிராம், தக்காளி - 2, பச்சை மிளகாய் - 3, இஞ்சி, பூண்டு விழுது - 1 டேபிள் ஸ்பூன், மஞ்சள் தூள் - 1/4 ஸ்பூன், மிளகாய் தூள் - 1 டேபிள் ஸ்பூன், தேங்காய் - 1/2 மூடி, சோம்பு - 1/4 ஸ்பூன், கசகசா - 1/2 ஸ்பூன், பட்டை - 1, கிராம்பு - 2, ஏலக்காய் - 2, பிரியாணி இலை - 1</t>
  </si>
  <si>
    <t>Peel the prawns and clean them. Finely chop the small onion and tomato. Boil the potatoes, peel them and cut them into two. Grind the onion, poppy seeds and green chillies together. Next, pour oil in a pan and when it is hot, add the bay leaves, cloves, cardamom and bay leaves and fry the chopped onion. Next, add the ginger and garlic paste and fry until the raw smell goes away and then add the tomatoes. Add the boiled potatoes and fry them. Then add turmeric powder, chilli powder and required salt and pour two cups of water and boil. When the gravy boils well, add the grated coconut mixture to the gravy. Add the cleaned prawns and boil for another five minutes and then drain. Serve with curry leaves and coriander leaves. This kuruma is a great addition not only to rice but also to other types of divans like idli, dosa and appam.</t>
  </si>
  <si>
    <t>இறாலை தோல் உரித்து சுத்தம் செய்து வைத்துக்கொள்ளவும். சின்ன வெங்காயம், தக்காளியைப் பொடியாக நறுக்கி வைக்க வும். உருளைக்கிழங்கை வேகவைத்து தோல் உரித்துக்கொண்டு இரண்டிரண்டாக வெட்டி வைக்கவும். பெரிய வெங்காயம், கசகசா, பச்சை மிளகாய் மூன்றையும் சேர்த்து விழுதாக அரைத்துக்கொள்ளவும். அடுத்து வாணலியில் எண்ணெய் ஊற்றிக் காய்ந்ததும் பட்டை, கிராம்பு, ஏலக்காய், பிரியாணி இலை போட்டு தாளித்து நறுக்கி வைத்திருக்கும் வெங்காயத்தைப் போட்டு வதக்கவும். அடுத்து இஞ்சி, பூண்டு விழுது சேர்த்து பச்சை வாசனை போகும்வரை வதக்கி பின் தக்காளியைச் சேர்த்து வதக்கவும். கூடவே வேக வைத்த உருளைக்கிழங்கையும் சேர்த்துப் பிரட்டவும் பிறகு மஞ்சள் தூள், மிளகாய் தூள், தேவையான அளவு உப்பு போட்டு இரண்டு தம்ளர் தண்ணீர் ஊற்றிக் கொதிக்கவிடவும். குழம்பு நன்கு கொதித்ததும் அரைத்து வைத்துள்ள தேங்காய் கலவையை குழம்பில் சேர்க்கவும். கூடவே சுத்தம் செய்து வைத்துள்ள இறாலையும் சேர்த்து மேலும் ஐந்து நிமிடம் கொதிக்கவிட்டு இறக்கவும். கருவேப்பிலை, கொத்தமல்லித் தழை தூவி பரிமாறவும். சாதத்துக்கு மட்டுமில்லாமல் இட்லி, தோசை, ஆப்பம் போன்ற டிபன் வகைகளுக்கும் இந்தக் குருமா தொட்டுக் கொள்ள ஜோராக இருக்கும்.</t>
  </si>
  <si>
    <t>Fish (any kind) - 1/2 kg, Small onion - 10, Tomato - 1, Tamarind - the size of a lemon, Garlic - 10 cloves, Turmeric powder - 1/2 spoon, Mixed chili powder - 3 tablespoons, Salt - as needed, Grind:, Coconut - 2 handfuls, Pepper - 1 spoon, Cumin - 2 spoons, Caraway seeds - a bunch, Seasoning:, Cumin - 1/2 spoon, Pepper - 1/2 spoon, Fenugreek - 1/4 spoon, Caraway seeds - a bunch, Ghee - 50 ml</t>
  </si>
  <si>
    <t>மீன் (எதுவாக இருந்தாலும்) - 1/2 கிலோ, சின்ன வெங்காயம் - 10, தக்காளி - 1, புளி - எலுமிச்சை அளவு, பூண்டு - 10 பல், மஞ்சள்தூள் - 1/2 ஸ்பூன், கலந்த மிளகாய்த்தூள் - 3 டேபிள் ஸ்பூன், உப்பு - தேவையான அளவு, அரைக்க :, தேங்காய் - 2 பத்தை, மிளகு - 1 ஸ்பூன், சீரகம் - 2 ஸ்பூன், கருவேப்பிலை - ஒரு கொத்து, தாளிக்க:, சீரகம் - 1/2 ஸ்பூன், மிளகு - 1/2 ஸ்பூன், வெந்தயம் - 1/4 ஸ்பூன், கருவேப்பிலை - ஒரு கொத்து, நல்லெண்ணெய் - 50 மிலி</t>
  </si>
  <si>
    <t>Wash and clean the fish well Cut into pieces. Chop the onion, tomato and garlic lengthwise. Drain the tamarind and take 4 cups of tamarind pulp. Next, add coconut, pepper, cumin and curry leaves, sprinkle a little water and grind it. Then pour oil in a pan and when it is hot, fry the fenugreek, pepper, cumin and curry leaves, add onion and garlic and fry. Finally, add the tomato and fry until it becomes a paste. Once everything is cooked, pour the tamarind water and add turmeric powder, chili powder and required salt and boil it. Once the gravy boils well, add the ground spices and boil further. Once the gravy thickens, add the fish pieces and boil for another five minutes and then remove. Sprinkle with coriander leaves and serve.</t>
  </si>
  <si>
    <t>மீனை நன்றாகக் கழுவிச் சுத்தம் செய்து துண்டுகளாக்கிக் கொள்ளவும். வெங்காயம், தக்காளி, பூண்டை நீளவாக்கில் நறுக்கி வைக்க வும். புளியைக் கரைத்து வடிகட்டி 4 கப் புளிக்கரைசல் எடுத்துக் கொள்ளவும். அடுத்து தேங்காய், மிளகு, சீரகத்துடன் கருவேப்பிலையையும் சேர்த்து லேசாக தண்ணீர் தெளித்து அரைத்துக்கொள்ளவும். பின் வாணலியில் எண்ணெய் ஊற்றிக் காய்ந்ததும் வெந்தயம், மிளகு, சீரகம், கருவேப்பிலை தாளித்து வெங்காயம், பூண்டைப் போட்டு வதக்கவும். கடைசியாக தக்காளியைப் போட்டு கூழாக வதக்கவும். எல்லாம் வதங்கியதும் புளித்தண்ணீர் ஊற்றி அத்துடன் மஞ்சள் தூள்,மிளகாய் தூள், தேவையான அளவு உப்பு சேர்த்துக் கொதிக்கவிடவும். குழம்பு நன்கு கொதித்ததும் அரைத்து வைத்துள்ள மசாலா வையும் சேர்த்து மேலும் கொதிக்கவிடவும். குழம்பு கெட்டி யாக வந்ததும் மீன் துண்டுகளைப் போட்டு மேலும் ஐந்து நிமிடங்கள் கொதிக்கவிட்டு இறக்கவும். கொத்தமல்லித் தழை தூவி பரிமாறவும்.</t>
  </si>
  <si>
    <t>Sealak pregnancy cream - 1 piece, Garlic - 100 grams, Mustard - 2 teaspoons, Pepper - 1/2 spoon, Cumin - 1 teaspoon, Tamarind - 1/2 kolialaw, Ghee - 4 spoons, Chilli flakes - 1, Turmeric powder - 2 pinches, Salt - as required, Coriander leaves - handful</t>
  </si>
  <si>
    <t>சீலாக் கருவாடு - 1 துண்டு, பூண்டு - 100 கிராம், கடுகு - 2 டீஸ்பூன், மிளகு - 1/2 ஸ்பூன், சீரகம் - 1 டீஸ்பூன், புளி - 1/2 கோலியளவு, நல்லெண்ணைய் - 4 கரண்டி, மிளகாய் வத்தல் - 1, மஞ்சள் தூள் 2 சிட்டிகை , உப்பு - தேவையான அளவு, கொத்தமல்லித் தழை - கைப்பிடி அளவு</t>
  </si>
  <si>
    <t>Wash and cut the pregnancy cream into pieces. Next, dissolve the tamarind in a little water until thick. Next, grind the mustard, cumin, dried chilies, and pepper into small pieces. Put the ground mixture in the tamarind solution and keep it aside. Next, peel the garlic and add oil to a pan and fry it well. Then add the tamarind pulp dissolved with the garlic and add ½ cup of water, turmeric powder, salt (you can add a little less salt as the salt is already present in the karuvattu) and bring the gravy to a boil. When the gravy boils well and the garlic is cooked, add the karuvattu. After the gravy boils for another five minutes, sprinkle coriander leaves and remove it. By adding more garlic, this karuvattu gravy helps mothers to secrete more milk and heal uterine ulcers.</t>
  </si>
  <si>
    <t>கருவாடை அலசி கழுவி துண்டுகள் போட்டுக்கொள்ளவும். அடுத்து புளியை கொஞ்சமாகத் தண்ணீர் விட்டு கெட்டியாகக் கரைத்துக் கொள்ளவும். அடுத்து கடுகு, சீரகம், மிளகாய் வற்றல், மிளகு நான்கையும் விழுதாக அரைத்துக்கொள்ளவும். அரைத்துக் கொண்டதை புளிக் கரைசலில் போட்டுக் கரைத்து வைக்கவும். அடுத்து பூண்டை உரித்துகொண்டு வாணலியில் எண்ணெய் ஊற்றி நன்கு வதக்கவும். பின் பூண்டுடன் கரைத்து வைத்துள்ள புளிக்கரைசலை ஊற்றி மேலும் ½ தம்ளர் தண்ணீர் சேர்த்து மஞ்சள் தூள், உப்பு (கருவாட்டிலேயே உப்பு ஊறி இருப்ப தால் உப்பை சற்று குறைவாகவே போடலாம்) போட்டு குழம்பைக் கொதிக்கவிடவும். குழம்பு நன்கு கொதித்து பூண்டு வெந்ததும் கருவாட்டைச் சேர்க்கவும். மேலும் ஐந்து நிமிடங்கள் குழம்பு கொதித்ததும் கொத்தமல்லித் தழை தூவி இறக்கிவிடவும். அதிக பூண்டு சேர்த்துச் செய்வதால் தாய்மார்களுக்கு பால் அதிகம் சுரப்பு இருக்கவும், கர்ப்பப்பை புண் ஆற்றவும் இந்த கருவாட்டுக் குழம்பு உதவும்.</t>
  </si>
  <si>
    <t>Dried Fish - 100 grams, Corn - 100 grams, Large onion - 1, Tomato - 1, Green chilies - 2, Tamarind - the size of a lemon, Mixed chili powder - 3 tablespoons, Turmeric powder - 1/½ teaspoon, Curry leaves - 1 teaspoon, Anise - 1/2 teaspoon, Fenugreek 1/4 teaspoon, Garlic - 6 cloves, Oil - 50 ml, Salt - as needed</t>
  </si>
  <si>
    <t>கருவாடு (வஞ்சிரம், நெத்திலி, எந்தக் கருவாடு, ஆனாலும்) - 100 கிராம், மொச்சைக் கொட்டை - 100 கிராம், பெரிய வெங்காயம் - 1, தக்காளி - 1, பச்சை மிளகாய் - 2, புளி - எலுமிச்சை அளவு, கலந்த மிளகாய்த் தூள்  - 3 டேபிள் ஸ்பூன், மஞ்சள் தூள் - 1/½ ஸ்பூன், கறிவேப்பிலை - ஒரு இனுக்கு, சோம்பு - 1/2 ஸ்பூன், வெந்தயம் 1/4 ஸ்பூன், பூண்டு - 6 பல், எண்ணெய் - 50 மி.லி, உப்பு - தேவையான அளவு</t>
  </si>
  <si>
    <t>For this curd, roast the chickpeas in an empty pan and soak them overnight. The next day, when cooking, first wash and clean the Dried Fish. Onion. Chop the tomato into powder. Cut the eggplant into four pieces. Grate the green chilies. Mash the tamarind until thick. Then, when the oil is dry in a pan, add the Dried Fish, anise, and fenugreek seeds and fry them one after the other. Add the soaked cashew nuts, then add turmeric powder and chili powder, mix well and pour the tamarind solution. Add two cups of water, add required salt and bring to a boil. When the gravy boils well, add the Dried Fish pieces. Boil for a few more minutes and sprinkle the Dried Fish, coriander leaves and let it cool. Delicious Dried Fish brinjal and cashew nut gravy with a pungent aroma is ready.</t>
  </si>
  <si>
    <t>இந்தக் குழம்புக்கு மொச்சைக் கொட்டையை வெறும் வாணலி யில் வறுத்து, முதல் நாள் இரவே ஊறவைக்கவும். மறுநாள் சமைக்கும்போது முதலில் கருவாடை நன்கு கழுவிச் சுத்தம் செய்துகொள்ளவும். வெங்காயம். தக்காளியை பொடியாக நறுக்கிக்கொள்ளவும். கத்திரிக்காயை நான்கு துண்டாக வெட்டிக்கொள்ளவும். பச்சை மிளகாயை கீறி வைக்கவும். புளியைக் கெட்டியாகக் கரைத்து வைக்கவும். பின் வாணலியில் எண்ணெய் விட்டுக் காய்ந்ததும் கருவேப் பிலை, சோம்பு, வெந்தயம் தாளித்து வெங்காயம், பூண்டு, பச்சை மிளகாய், கத்தரிக்காய், தக்காளியை ஒன்றன் பின் ஒன்றாகப் போட்டு வதக்கவும். ஊற வைத்துள்ள மொச்சைக் கொட்டையையும் போட்டு பின் அதனுடன் மஞ்சள் தூள், மிளகாய் தூள் சேர்த்துப் பிரட்டி புளிக் கரைசலை ஊற்றவும். கூடவே இரண்டு தம்ளர் தண்ணீர் சேர்த்து தேவையான அளவு உப்பு போட்டுக் கொதிக்கவிடவும். குழம்பு நன்கு கொதித்ததும் கருவாட்டுத் துண்டுகளைச் சேர்க்கவும். மேலும் சில நிமிடங்கள் கொதிக்கவிட்டு கரு வேப்பிலை, கொத்தமல்லித் தழை தூவி இறக்கவும். கமகமக்கும் வாசனையுடன் ருசியான கருவாடு கத்தரிக்காய், மொச்சைக் கொட்டை குழம்பு தயார்.</t>
  </si>
  <si>
    <t>Crab - 1/2, Small onion - 100 grams, Tomato - 1, Garlic - 10 cloves, Tamarind - the size of a large gooseberry, Dried chilies - 8, Pepper - 1 spoon, Coconut - 1/2 lid, Turmeric powder - 1/4 spoon, Poppy seeds - 1/2 spoon, Denise - 1/2 spoon, Asimbu - 1/2 + 1/2, Cumin - 1/2 spoon, Oil - 100, Salt - as needed, Curry leaves - 1 bunch, Coriander leaves - handful size</t>
  </si>
  <si>
    <t>நண்டு - 1/2, சின்ன வெங்காயம் - 100 கிராம், தக்காளி - 1, பூண்டு - 10 பல், புளி - பெரிய நெல்லிக்காய் அளவு, காய்ந்த மிளகாய் - 8, மிளகு - 1 ஸ்பூன், தேங்காய் - 1/2 மூடி, மஞ்சள் தூள் - 1/4 ஸ்பூன், கசகசா - 1/2 ஸ்பூன், வெந்தயம் - 1/2 ஸ்பூன், சோம்பு - 1/2 + 1/2, சீரகம் - 1/2 ஸ்பூன், எண்ணெய் - 100, உப்பு - தேவையான அளவு, கறிவேப்பிலை - 1 கொத்து, கொத்தமல்லித் தழை - கைப்பிடி அளவு</t>
  </si>
  <si>
    <t>Break the crab, wash and clean it. Chop the onion, tomato, and garlic into powder. Next, add the dried chilies, pepper, anise, poppy seeds, coconut, and tamarind and grind them into a paste. Heat oil in a pan on the stove, add the curry leaves, fenugreek, anise, and cumin seeds, sauté them, then add the onion, tomato, and garlic. Once everything is well sautéed, add the crab and fry. Add the ground spices and simmer, add water until the crab is submerged, cover, and simmer. When the gravy thickens, sprinkle coriander leaves and serve. Delicious crab curry is ready.</t>
  </si>
  <si>
    <t>நண்டை உடைத்துக் கழுவிச் சுத்தம் செய்து வைத்துக் கொள்ளவும். வெங்காயம், தக்காளி, பூண்டை பொடியாக நறுக்கிக் கொள்ள வும். அடுத்து மிளகாய் வற்றல், மிளகு, சோம்பு, கசகசா, தேங்காய் இவற்றுடன் புளியையும் சேர்த்து விழுதாக அரைத்துக் கொள்ளவும். அடுப்பில் வாணலியை வைத்து எண்ணெய் ஊற்றிக் காய்ந் ததும், கருவேப்பிலை, வெந்தயம், சோம்பு, சீரகம் போட்டுத் தாளித்து வெங்காயம், தக்காளி, பூண்டு போட்டு வதக்கவும். எல்லாம் நன்கு வதங்கியதும் நண்டைப் போட்டுப் பிரட்ட வும். கூடவே அரைத்து வைத்துள்ள மசாலாவைப் போட்டு வழ்க்கூட்ட்டு, நண்டு மூழ்கும்வரை தண்ணீர் விட்டு மூடி போட்டு மூடி கொதிக்கவிடவும். குழம்பு தளதளத்து கெட்டியானதும் கொத்தமல்லித் தழை தூவி இறக்கவும். ருசியான நண்டுக்குழம்பு தயார்.</t>
  </si>
  <si>
    <t>Shark fish - 1/2, Large onion - 3, Tomato - 2, Green chilies - 3, Tamarind - the size of a lemon, Garlic - 10 cloves, Chili powder - 3 spoons, Cumin powder - 1 spoon, Turmeric powder - 1/2 spoon, Mixed chili powder - 3 spoons, Mustard - 1/2 spoon, Fenugreek - 1/4 spoon, Oil - 100, Salt - as needed, Curry leaves - 1 bunch, Coriander - handful</t>
  </si>
  <si>
    <t>சுறா மீன் - 1/2, பெரிய வெங்காயம் - 3, தக்காளி - 2, பச்சை மிளகாய் - 3, புளி  - எலுமிச்சை அளவு, பூண்டு - 10 பல், மிளகுத் தூள் - 3 ஸ்பூன், சீரகத் தூள் - 1 ஸ்பூன், மஞ்சள் தூள் - 1/2 ஸ்பூன், கலந்த மிளகாய் தூள் - 3 ஸ்பூன், கடுகு - 1/2 ஸ்பூன், வெந்தயம் - 1/4 ஸ்பூன், எண்ணெய் - 100, உப்பு - தேவையான அளவு, கறிவேப்பிலை - 1 கொத்து, கொத்தமல்லி - கைப்பிடி அளவு</t>
  </si>
  <si>
    <t>Wash and clean the shark and cut it into pieces. Chop the onion and tomato into powder. Mash the tamarind until thick. Grind the pepper, cumin and garlic into a paste. Then put the pan on the stove and pour oil and when it is hot, fry the mustard seeds, add the curry leaves and fenugreek seeds. Add the onion and garlic and fry. Then add the tomatoes and fry them and add turmeric powder and chilli powder. Add the tamarind paste and two cups of water and let it boil. Add salt as required. When the gravy boils well, add the ground pepper, cumin seeds and garlic paste and boil further and add the shark fish fillets. When the gravy is well stirred and fragrant, sprinkle coriander leaves and serve hot.</t>
  </si>
  <si>
    <t>சுறாவைக் கழுவி சுத்தம் செய்து துண்டுகளாக்கிக் கொள்ள வும். வெங்காயம், தக்காளியைப் பொடியாக நறுக்கிக்கொள்ளவும். புளியைக் கெட்டியாகக் கரைத்து வைக்கவும். மிளகு, சீரகம், பூண்டு மூன்றையும் விழுதாக அரைத்து வைக்கவும். பின் வாணலியை அடுப்பில் வைத்து எண்ணெய் ஊற்றிக் காய்ந்ததும் கடுகுப் பொரியவிட்டு, கருவேப்பிலை, வெந் தயம் தாளிக்கவும். வெங்காயம், பூண்டைப் போட்டு வதக்க வும். பின் தக்காளியைப்போட்டு வதக்கி மஞ்சள் தூள், மிள காய் தூள் சேர்த்துப் பிரட்டவும். கூடவே புளிக் கரைசலை ஊற்றி இரண்டு தம்ளர் தண்ணீரையும் சேர்த்துக் கொதிக்க விடவும். தேவையான அளவு உப்பு சேர்க்கவும். குழம்பு நன்கு கொதித்ததும் அரைத்து வைத்திருக்கும் மிளகு, சீரக, பூண்டு விழுதைச் சேர்த்து மேலும் கொதிக்கவிட்டு சுறா மீன் தூண்டுகளைப் போடவும். குழம்பு நன்றாக சுண்டி மணம் வந்ததும் கொத்தமல்லித் தழை தூவி இறக்கி சூடாகப் பரிமாறவும்.</t>
  </si>
  <si>
    <t>Prawns - 1/2 kg, Peanuts - 100 g, Large onion - 2, Tomato - 2, Green chillies - 2, Ginger - 1 small piece, Tamarind - the size of a large gooseberry, Garlic - 6 cloves, Asimu - 1 spoon, Turmeric powder - 1 spoon, Mixed chilli powder - 3 spoons., Salt - as required, Caraway seeds, coriander - A little</t>
  </si>
  <si>
    <t>இறால் - 1/2 கிலோ, கடலை பருப்பு - 100 கிராம், பெரிய வெங்காயம் - 2, தக்காளி - 2, பச்சை மிளகாய் - 2, இஞ்சி - 1 சிறு துண்டு, புளி - பெரிய நெல்லிக்காய் அளவு, பூண்டு - 6 பல், சோம்பு - 1 ஸ்பூன், மஞ்சள் தூள் - 1 ஸ்பூன், கலந்த மிளகாய் தூள் - 3 ஸ்பூன்., உப்பு - தேவையான அளவு, கருவேப்பிலை, கொத்தமல்லி - சிறிதளவு</t>
  </si>
  <si>
    <t>Peel the skin of the prawns, wash and clean them. Chop the onion, tomato and green chillies into powder. Then soak the cashews for ½ hour and add ginger, garlic, green chillies and anise to it and grind it coarsely in a mixer. Add required amount of salt and mix. Dissolve the tamarind in a bowl and take the tamarind solution. Add turmeric powder and chilli powder to it and dissolve it. Next, pour oil in a pan and after it dries, flatten the kneaded cashew dough into small balls and fry it on low flame until golden brown. Next, put the pan on the stove and add oil and once the mustard seeds are fried, add curry leaves and finely chopped onion and fry it. When the onion turns red, add tomatoes and fry it. Next, add the washed prawns and fry it. After everything is fried well, pour the tamarind solution and boil it. Once the shrimp gravy is well boiled, sprinkle coriander leaves and set aside. Add the cooked vadas to it. Let it soak for 10 minutes and serve. The spicy and mouth-watering shrimp masala vada gravy is ready.</t>
  </si>
  <si>
    <t>இறாலைத் தோல் உரித்துக் கழுவிச் சுத்தம் செய்து வைத்துக் கொள்ளவும். வெங்காயம், தக்காளியை, பச்சை மிளகாயைப் பொடியாக நறுக்கிக் கொள்ளவும். பின் கடலைப் பருப்பை ½ மணி நேரம் ஊறவைத்து எடுத்து அத்துடன் இஞ்சி, பூண்டு பச்சை மிளகாய், சோம்பு சேர்த்து மிக்சியில் போட்டு கரகரப்பாக அரைத்துக்கொள்ளவும். கூடவே தேவையான அளவு உப்பு போட்டு கலந்து கொள்ளவும். புளியைக் கெட்டியாகக் கரைத்து ஒரு பாத்திரத்தில் புளிக் கரைசல் எடுத்துக் கொள்ளவும். அதனுடன் மஞ்சள் தூள், மிளகாய் தூள் சேர்த்து கரைத்துக்கொள்ளவும். அடுத்ததாக வாணலியில் எண்ணெய் ஊற்றிக் காய்ந்த பிறகு பிசைந்து வைத்துள்ள கடலை மாவைச் சிறு சிறு வடைக ளாகத் தட்டிப் போட்டுச் சிறு தீயில் பொன்னிறமாகச் சுட்டு எடுத்துக் கொள்ளவும். அடுத்தபடியாக அடுப்பில் வாணலியை வைத்து எண்ணெய் ஊற்றிக் கடுகு பொரிந்தவுடன், கறிவேப்பிலை, பொடியாக நறுக்கிய வெங்காயம் போட்டு வதக்கவும். வெங்காயம் சிவந்ததும் தக்காளியைச் சேர்த்து வதக்கவும். அடுத்து கழுவி வைத்துள்ள இறாலையும் போட்டு வதக்கிக் கொள்ளவும். எல்லாம் நன்கு வதங்கிய பிறகு அதனுடன் புளிக் கரைசலை ஊற்றிக் கொதிக்கவிடவும். இறால் குழம்பு நன்றாகக் கொதித்து வந்த பிறகு கொத்தமல்லித் தழை தூவி இறக்கி வைத்து, சுட்டு வைத்திருக்கும் வடைகளை அதில் போடவும். 10 நிமிடம் ஊற விட்டு எடுத்துப் பரிமாறவும். காரசாரமான கமகமக்கும் இறால் மசால் வடை குழம்பு தயார்.</t>
  </si>
  <si>
    <t>Murrel fish - 1/2, Small onion - 150 grams, Tomato - 2, Garlic - 10 cloves, Tamarind - the size of a lemon, Mustard - 1/2 spoon, Fenugreek - 1/4 spoon, Oil - 50, Salt - as required, Caraway seeds, coriander - a little, Fry and grind:, Dried chili - 15, Dhaniya - 6 spoons, Asimbu - 1 spoon</t>
  </si>
  <si>
    <t>விரால் மீன் - 1/2, சின்ன வெங்காயம் - 150 கிராம், தக்காளி - 2, பூண்டு - 10 பல், புளி - எலுமிச்சை அளவு, கடுகு - 1/2 ஸ்பூன், வெந்தயம் - 1/4 ஸ்பூன், எண்ணெய் - 50 , உப்பு - தேவையான அளவு, கருவேப்பிலை, கொத்தமல்லி - சிறிதளவு, வறுத்து அரைக்க:, மிளகாய் வற்றல் - 15, தனியா - 6 ஸ்பூன், சோம்பு - 1 ஸ்பூன்</t>
  </si>
  <si>
    <t>Cut the viral fish into pieces, remove the intestines, wash and clean it. Roast and grind the anise, chili powder, and fenugreek seeds in a pan on the stove and heat it without letting any oil escape. Chop the onion and tomato into powder. Peel the garlic and keep it aside. Dissolve the tamarind until thick. Add the ground chili, fenugreek, and anise paste to the tamarind solution and mix it. Next, put the fenugreek seeds in the stove and pour oil. When it dries, fry the mustard seeds and season with dill. Then add the onion and garlic and fry. Finally, add the tomatoes and fry them and pour in the tamarind paste. Add another cup of water. Let it boil. When the raw smell disappears, add the fish. Boil it for another boil and sprinkle with curry leaves and coriander leaves and let it cool. Delicious Chettinad Viral Fish Curry is ready.</t>
  </si>
  <si>
    <t>விரால் மீனை வெட்டி துண்டுகள் போட்டு குடலை எடுத்து கழுவிச் சுத்தம் செய்து கொள்ளவும். வறுத்து அரைக்கக் கொடுத்துள்ள சோம்பு, மிளகாய் வற்றல், தனியா மூன்றையும் அடுப்பில் வாணலி வைத்துச் சூடானதும் எண்ணெய் விடாமல் வறுத்தெடுத்து அரைத்துக் கொள்ளவும். வெங்காயம், தக்காளியை பொடியாக நறுக்கிக்கொள்ளவும். பூண்டை தோல் உரித்து வைக்கவும். புளியை கெட்டியாகக் கரைத்துக்கொள்ளவும். அந்தப் புளிக் கரைசலில் அரைத்து வைத்துள்ள மிளகாய், தனியா, சோம்பு விழுதைச் சேர்த்துக் கலக்கி வைக்கவும். அடுத்து அடுப்பில் வானலி வைத்து எண்ணெய் ஊற்றிக் காய்ந்ததும் கடுகு பொரியவிட்டு வெந்தயம் தாளிக்கவும். பின் வெங்காயம், பூண்டைப் போட்டு வதக்கவும். கடைசியாக தக்காளி சேர்த்து வதக்கி புளிக்கரைசலை ஊற்றவும். மேலும் ஒரு தம்ளர் தண்ணீர் சேர்க்கவும். கொதிக்கவிடவும். பச்சை வாசனை போனதும் மீனைப் போடவும். மேலும் ஒரு கொதி கொதிக்கவிட்டு கருவேப்பிலை, கொத்தமல்லித் தழை தூவி இறக்கவும். சுவையான செட்டிநாட்டு விரால் மீன் குழம்பு தயார்.</t>
  </si>
  <si>
    <t>Fish - 1¾ kg (any other fish can be used), Ginger and garlic paste - 1 tablespoon, Turmeric powder - 1/4 teaspoon, Chili powder - 1 tablespoon, Corn powder - 1/2 teaspoon, Lemon juice - 3 teaspoons, Salt - as needed, Oil - 100 ., Ingredients for the gravy:, Onion - 2, Tomato - 2, Ginger garlic paste - 1 spoon, Turmeric powder - 1/2 spoon, Chili powder - 1 spoon, Thaniya powder - 1/2 spoon, Turmeric powder - 1/2 spoon, Anise - 1/2 spoon, Tamarind - the size of a large gooseberry, Coconut milk - 1 cup, Salt - as needed, Caraway seeds, coriander leaves - a little.</t>
  </si>
  <si>
    <t>வறுவலுக்குத் தேவையான பொருள்கள்:, வஞ்சர மீன் - 1¾ கிலோ (வேறு எந்த மீனையும் உபயோகிக்கலாம்), இஞ்சி, பூண்டு விழுது - 1 டேபிள் ஸ்பூன், மஞ்சள் தூள் - 1/4 ஸ்பூன், மிளகாய் தூள் - 1 டேபிள் ஸ்பூன், தனியாத்தூள் - 1/2 ஸ்பூன், எலுமிச்சை சாறு - 3 ஸ்பூன், உப்பு - தேவையான அளவு, எண்ணெய் - 100 ., குழம்புக்குத் தேவையான பொருள்கள்:, வெங்காயம் - 2, தக்காளி - 2, இஞ்சி பூண்டு விழுது - 1 ஸ்பூன், மஞ்சள் தூள் - 1/2 ஸ்பூன், மிளகாய் தூள் - 1 ஸ்பூன், தனியா தூள் - 1/2 ஸ்பூன், மஞ்சள் தூள் - 1/2 ஸ்பூன், சோம்பு - 1/2 ஸ்பூன், புளி - பெரிய நெல்லிக்காய் அளவு, தேங்காய் பால் - 1 கப், உப்பு - தேவையான அளவு, கருவேப்பிலை, கொத்தமல்லித் தழை - சிறிதளவு.</t>
  </si>
  <si>
    <t>Dice the fish, wash and clean it well. Then add turmeric powder, chili powder, taniya powder, ginger, garlic paste, lemon juice and mix everything well with a little water. Put the fish pieces in this mixture, knead it and let it soak for 1 hour. After the fish pieces are well marinated, pour oil in a frying pan and fry the fish pieces until spicy. Next, prepare the gravy. Chop the onion and tomato lengthwise. Chop the green chillies. Mash the tamarind until thick. Pour oil in a pan and after it dries, add the aniseed, curry leaves, add the onion and green chillies and fry. When the onion is well fried, add the ginger and garlic paste and fry until the raw smell disappears, add the tomatoes and fry. Then add turmeric powder, chilli powder, and tamarind paste and boil it. When the smell of the tamarind paste disappears, pour coconut milk, add required salt and boil it further. When the gravy thickens, sprinkle coriander leaves, set aside and add the fried fish pieces in the gravy. That's it, the delicious fish fry gravy is ready.</t>
  </si>
  <si>
    <t>மீனை துண்டுகள் போட்டு கழுவி நன்றாகச் சுத்தம் செய்து வைத்துக்கொள்ளவும். பின் மஞ்சள் தூள், மிளகாய் தூள், தனியா தூள், இஞ்சி, பூண்டு விழுது, எலுமிச்சை சாறு சேர்த்து லேசாக தண்ணீர் விட்டு அனைத்தையும் நன்றாகக் கலந்து கொள்ளவும். இந்தக் கலவையில் மீன் துண்டுகளைப் போட்டுப் பிசறி 1 மணி நேரம் ஊறவிடவும். மீன் துண்டுகள் நன்றாக ஊறிய பிறகு தோசைக்கல்லில் எண்ணெய் ஊற்றி அந்த மீன் துண்டுகளை காரசாரமாக பொறித்தெடுத்து வைக்கவும். அடுத்து குழம்புக்கான ஏற்பாடுகள். வெங்காயம், தக்காளியை நீளவாக்கில் நறுக்கிக் கொள்ளவும். பச்சை மிளகாயை கீறி வைக்கவும். புளியை கெட்டியாகக் கரைத்துக் கொள்ளவும். வாணலியில் எண்ணெய் ஊற்றிக் காய்ந்தபிறகு சோம்பு, கருவேப்பிலை தாளித்து வெங்காயம், பச்சை மிளகாயை போட்டு வதக்கவும். வெங்காயம் நன்கு வதங்கியதும் இஞ்சி, பூண்டு விழுது போட்டு வதக்கி பச்சை வாசனை போனதும் தக்காளியைப் போட்டு வதக்கவும். பின் மஞ்சள் தூள், மிளகாய் தூள், தனியா தூள், போட்டுப் பிரட்டி புளிக் கரைசலை ஊற்றி கொதிக்கவிடவும். புளிக் கரைசல் வாசனை போனதும் தேங்காய் பால் ஊற்றி தேவையான அளவு உப்பு சேர்த்து மேலும் கொதிக்கவிடவும். குழம்பு கெட்டியானதும் கொத்தமல்லித் தழை தூவி இறக்கி வைத்து பொரித்தெடுத்த மீன் துண்டுகளை குழம்பில் போடவும். அவ்வளவுதான், ருசியான மீன் வறுவல் குழம்பு ரெடி.</t>
  </si>
  <si>
    <t>Any fish - 1 kg, Small onion - 10, Garlic - 1 whole garlic, Sukku - 1 small piece, Pepper - 2 spoons, Omam - 2 spoons, Bengkap - 1 spoon, Dried chilies - 6, Dhaniya - 3 spoons, Tamarind - the size of a lemon, Grated coconut - 1 cup, Ghee - 3 tablespoons, Curry leaves - 5 bunches</t>
  </si>
  <si>
    <t>ஏதாவது ஒரு மீன் - 1 கிலோ, சின்ன வெங்காயம் - 10, பூண்டு - ஒரு முழு பூண்டு, சுக்கு - 1 சிறிய துண்டு, மிளகு - 2 ஸ்பூன், ஓமம் - 2 ஸ்பூன், பெருங்காயம் - 1 ஸ்பூன், மிளகாய் வற்றல் - 6, தனியா - 3 ஸ்பூன், புளி - ஒரு எலுமிச்சை அளவு, தேங்காய் துருவல் - 1கப், நல்லெண்ணெய் - 3 டேபிள் ஸ்பூன், கறிவேப்பிலை - 5 கொத்து</t>
  </si>
  <si>
    <t>Wash and clean the fish in pieces. Peel the onion and garlic and keep them aside Mash the tamarind until thick. Grind the sukku and omam. Next, put a pan on the stove and pour oil. When it is hot, add pepper, chili powder, and 1/2 of a whole garlic clove and fry it. Then add curry leaves, ginger, and half of a whole garlic clove and fry it. When the onion is well fried, add grated coconut and fry it further. When the coconut is golden brown, sprinkle with ginger, add the powdered turmeric and fenugreek seeds and fry it further. Fry it for a while until the coconut changes color and then reduce it. Once the heat cools, put it in a mixer and grind it into a paste. Then add the ground paste and required amount of salt to the tamarind and boil it. When it comes to a boil, add the fish pieces and the remaining garlic and boil it further. When the gravy boils well and smells good, sprinkle with coriander leaves and reduce it. If a mother includes this sour and spicy fried and ground curry in her daily diet after childbirth, it will be delicious, help prevent gas and indigestion, and add strength to a weak body.</t>
  </si>
  <si>
    <t>மீனை துண்டுகள் போட்டு கழுவிச் சுத்தம் செய்து வைக்கவும். வெங்காயம், பூண்டை தோல் உரித்து வைத்துக்கொள்ளவும் புளியை கெட்டியாகக் கரைத்துக்கொள்ளவும். சுக்கு, ஓமத்தை பொடித்து வைக்கவும். அடுத்து அடுப்பில் வாணலி வைத்து எண்ணெய் ஊற்றிக் காய்ந்ததும் மிளகு, மிளகாய் வற்றல், தனியா போட்டு சிவக்க வறுக்கவும். பின்னர் அதனுடனே கருவேப்பிலை, வெங் காயம், முழுப் பூண்டில் பாதி போட்டு வதக்கி, வெங்காயம் நன்கு வதங்கியதும் தேங்காய் துருவல் போட்டு மேலும் வதக்கவும். தேங்காய் பொன் வறுவலாக வதங்கியதும் பெருங்காயம் தூவி, பொடித்து வைத்துள்ள சுக்கு, ஓமத்தை சேர்க்கவும். மேலும் சற்று நேரம் தேங்காய் நிறம் மாறும்வரை வரை வறுத் தெடுத்து இறக்கவும். சூடு ஆறியதும் மிக்சியில் போட்டு விழுதாக அரைத்துக்கொள்ளவும். பின் புளிக்கரைசலில் அரைத்தெடுத்த விழுதையும் தேவை யான அளவு உப்பையும் போட்டுக் கொதிக்கவிடவும். ஒரு கொதி வந்ததும் மீன் துண்டுகளையும் மீதமிருக்கும் பூண்டை யும் போட்டு மேலும் கொதிக்கவிடவும். குழம்பு நன்கு கொதித்து வாசனை வந்ததும் கொத்தமல்லித் தழை தூவி இறக்கவும். புளிப்பும் காரமான இந்த வறுத்து அரைத்த குழம்பை பிரசவத் துக்குப் பின் தாய் தினமும் சாப்பாட்டில் சேர்த்துக்கொண்டால் வாய்க்கு சுவையாகவும் வாயு, மற்றும் அஜீரனக் கோளாறு ஏற்படாமலும் பலவீனமான உடல்நிலைக்கு பலம் சேர்த்தும் உதவும்.</t>
  </si>
  <si>
    <t>Any fish - 1/2 kg, Large onion - 2, Tomato - 3, Green chillies - 4, Ginger - 1 inch piece, Garlic - 6 cloves, Coconut milk - 2 cups, Turmeric powder - 1/2 spoon, Mixed chilli powder - 1 spoon, Mustard - 1 spoon, Lemon juice - 1 tablespoon, Oil - 100 ., Salt - as required, Curry leaves - a bunch, Coriander - a handful</t>
  </si>
  <si>
    <t>ஏதாவது ஒரு மீன் - 1/2 கிலோ, பெரிய வெங்காயம் - 2, தக்காளி - 3, பச்சைமிளகாய் - 4, இஞ்சி - ஒரு அங்குலத்துண்டு, பூண்டு - 6 பல், தேங்காய் பால் - 2 கப், மஞ்சள் தூள் - 1/2 ஸ்பூன், கலந்த மிளகாய்த்தூள் - 1 ஸ்பூன், கடுகு - 1 ஸ்பூன், எலுமிச்சை சாறு - 1டேபிள் ஸ்பூன், எண்ணெய் - 100 ., உப்பு - தேவையான அளவு, கறிவேப்பிலை - ஒரு கொத்து, கொத்தமல்லி - கைப்பிடி அளவு</t>
  </si>
  <si>
    <t>Fish cut into pieces, wash and clean thoroughly. Chop the onion and tomato into powder. Peel the green chillies and keep aside. Peel the ginger and garlic and crush them lightly. Next, pour oil in a pan and when it is hot, add mustard seeds and fry them. Add onion and curry leaves and fry them. When the onion is golden brown, add tomatoes and fry them. Add ginger and garlic and fry them. Add turmeric powder and chilli powder and fry them. Pour in coconut milk. Add half a cup of water and mix and boil. When the gravy boils and thickens, add lemon juice and mix and add the fish pieces to the gravy. Boil it for another boil and sprinkle coriander leaves and let it cool. Coconut milk fish gravy is ready.</t>
  </si>
  <si>
    <t>மீனை துண்டுகள் போட்டு நன்கு கழுவிச் சுத்தம் செய்து கொள்ளவும். வெங்காயம், தக்காளியை பொடியாக நறுக்கிக் கொள்ளவும். பச்சை மிளகாயை கீறி வைக்கவும். இஞ்சி, பூண்டை தோல் உரித்துக்கொண்டு லேசாக நசுக்கி வைக்கவும். அடுத்து வாணலியில் எண்ணெய் ஊற்றிக் காய்ந்ததும் கடுகு போட்டு பொரியவிட்டு வெங்காயம், கருவேப்பிலை போட்டு வதக்கவும். வெங்காயம் பொன்னிறமாக வதங்கியதும் தக்காளி யைப் போட்டு வதக்கவும். கூடவே இஞ்சி, பூண்டு போட்டு வதக்கி மஞ்சள் தூள், மிளகாய் தூள் போட்டுப் பிரட்டி தேங்காய் பாலை ஊற்றவும். கூடவே அரை தம்ளர் தண்ணீர் ஊற்றிக் கலக்கி கொதிக்கவிடவும். குழம்பு கொதித்து கெட்டியானதும் எலுமிச்சை சாறு ஊற்றிக் கலந்து மீன் துண்டுகளைக் குழம்பில் போடவும். மேலும் ஒரு கொதி கொதிக்கவிட்டு கொத்தமல்லித் தழை தூவி இறக்கவும். தேங்காய் பால் மீன் குழம்பு தயார்.</t>
  </si>
  <si>
    <t>Ayrrai fish - 1 kg, Chilli powder - 15 to 20, Thaniya - 25 grams, Cumin - 1/2 spoon, Whole coconut - 2, Tamarind - 200 grams, Ghee - 200, Turmeric powder - 1/4 spoon, Salt - as required</t>
  </si>
  <si>
    <t>அயிரை மீன் - 1 கிலோ, மிளகாய் வற்றல் - 15 முதல் 20 வரை, தனியா - 25 கிராம், சீரகம் - 1/2 ஸ்பூன், முழு தேங்காய் - 2, புளி - 200 கிராம், நல்லெண்ணெய் - 200, மஞ்சள் தூள் - 1/4 ஸ்பூன், உப்பு - தேவையான அளவு</t>
  </si>
  <si>
    <t>Live powdered Ayrrai fish should be washed in milk only. Put the Ayrrai fish in half a liter of cow's milk. After a while, the fish will drink the milk and vomit dirt and die. Then take it out and wash it and keep it separately. Next, fry the chili powder, Thaniya, and cumin in a pan with a spoon of oil and grind it lightly. Then break both coconuts and grind them to get the milk. Then dissolve the tamarind in water and filter it and add turmeric powder, ground chili, cumin powder and mix it. Put a pan on the stove and first pour the tamarind water in it and boil it. When the tamarind water starts boiling well, pour the coconut milk. Pour 50 grams of ghee all around the top. Add required salt and boil for some more time. Add the washed fish to the gravy. Once the fish is cooked and the gravy is boiled, sprinkle coriander leaves and serve. The most delicious ayrai fish gravy is ready.</t>
  </si>
  <si>
    <t>உயிருள்ள பொடி அயிரை மீனை பாலில்தான் கழுவவேண்டும். அரை லிட்டர் பசும்பாலில் அயிரை மீனைப் போடவும். சற்று நேரத்தில் மீன்கள் பாலைக் குடித்து அழுக்கைக் கக்கி இறந்து விடும். பின் அதை அப்படியே எடுத்து அலசி தனியே வைத்துக் கொள்ளவும். அடுத்து மிளகாய் வற்றல், தனியா, சீரகம் மூன்றையும் வாணலியில் ஒரு ஸ்பூன் எண்ணெய் விட்டு லேசாக வறுத்து அரைத்துக்கொள்ளவும். பின் இரண்டு தேங்காயையும் உடைத்து அரைத்து பால் எடுத்துக்கொள்ளவும். பிறகு புளியைத் தண்ணீரில் கரைத்து எடுத்து வடிகட்டி கொண்டு அதிலேயே மஞ்சள் தூள், அரைத்த மிளகாய், தனியா, சீரக விழுதைப் போட்டுக் கலக்கவும். அடுப்பில் வாணலி வைத்து அதில் முதலில் புளித்தண்ணீரை ஊற்றிக் கொதிக்கவிடவும். புளித் தண்ணீர் நன்கு கொதிக்க ஆரம்பித்ததும் தேங்காய் பால் ஊற்றவும். 50 கிராம் நல் லெண்ணையை மேலே சுற்றிலும் ஊற்றவும். தேவையான அளவு உப்பு போட்டு மேலும் சிறிது நேரம் கொதித்ததும். கழுவின மீனை குழம்பில் சேர்க்கவும். மீன் வெந்து குழம்பு கொதித்துச் சுண்டியதும் கொத்தமல்லித் தழை தூவி இறக்கவும். மிக மிகச் சுவையான அயிரை மீன் குழம்பு தயார்.</t>
  </si>
  <si>
    <t>Prawns - 1/2, Large onion - 2, Tomatoes - 2, Ginger garlic paste - 1 tablespoon, Turmeric powder - 1/2 teaspoon, Plain chili powder - 1 tablespoon, Mustard, urad dal - 1/2 teaspoon, Oil - 100 ., Salt - as needed</t>
  </si>
  <si>
    <t>இறால் - 1/2, பெரிய வெங்காயம் - 2, தக்காளி - 2, இஞ்சி பூண்டு விழுது - 1 டேபிள் ஸ்பூன், மஞ்சள் தூள் - 1/2 ஸ்பூன், வெறும் மிளகாய்த்தூள் - 1 டேபிள் ஸ்பூன், கடுகு, உளுத்தம்பருப்பு - 1/2 ஸ்பூன், எண்ணெய் - 100 ., உப்பு - தேவையான அளவு</t>
  </si>
  <si>
    <t>Peel and clean the prawns, add turmeric powder and keep aside. Chop the onion and tomato into powder. Next, pour oil in a pan and when it is hot, add mustard, urad dal, onion, ginger and garlic paste and fry. When the raw smell goes away, add the tomatoes and fry until they become a paste and add chili powder and fry. Once everything is well cooked, add the shrimp, salt as required and cover it with a lid. After a few minutes, if you open the lid, the water will have drained from the shrimp. When the water has evaporated and the oil separates, sprinkle the curry leaves and coriander leaves and serve. Delicious shrimp dip is ready.</t>
  </si>
  <si>
    <t>இறாலை தோல் உரித்துச் சுத்தம் செய்து மஞ்சள் தூள் போட்டுப் பிரட்டி வைத்துக்கொள்ளவும். வெங்காயம், தக்காளியை பொடியாக நறுக்கி வைக்கவும். அடுத்து வாணலியில் எண்ணெய் ஊற்றிக் காய்ந்ததும் கடுகு உளுத்தம்பருப்பு தாளித்து வெங்காயம், இஞ்சி, பூண்டு விழுதைப் போட்டு வதக்கவும். பச்சை வாசனை போனதும் தக்காளியைச் சேர்த்து கூழாகும்வரை வதக்கி மிளகாய் தூள் சேர்த்துப் பிரட்டவும். எல்லாம் நன்கு வதங்கியதும் இறால், தேவையான அளவு உப்பு சேர்த்துப் பிரட்டி மூடி போட்டு மூடவும். சில நிமிடங்கள் கழித்து மூடியைத் திறந்தால் இறாலிலிருந்து தண்ணீர் விட்டிருக்கும். அந்தத் தண்ணீர் சுண்டி தொக்கு திரண்டு எண்ணெய் பிரிந்து வந்ததும் கருவேப்பிலை, கொத்த மல்லித் தழை தூவி இறக்கவும். சுவையான இறால் தொக்கு தயார்.</t>
  </si>
  <si>
    <t>Prawns - 1/4 kg, Small onion - 100 g, Tomato - 1, Green chillies - 2, Ginger garlic paste - 1 tablespoon, Turmeric powder - 1/4 teaspoon, Mixed chilli powder - 2 teaspoons, Curry leaves - a pinch, Coconut oil - 2 teaspoons, Salt - as required</t>
  </si>
  <si>
    <t>இறால் - 1/4 கிலோ, சின்ன வெங்காயம் - 100 கிராம், தக்காளி - 1, பச்சை மிளகாய் - 2, இஞ்சி பூண்டு விழுது - 1 டேபிள் ஸ்பூன், மஞ்சள் தூள் - 1/4 ஸ்பூன், கலந்த மிளகாய் தூள் - 2 ஸ்பூன், கறிவேப்பிலை - சிறிதளவு, தேங்காய் எண்ணெய் - 2 ஸ்பூன், உப்பு - தேவையான அளவு</t>
  </si>
  <si>
    <t>Peel the skin off the prawns, wash them, add turmeric powder and set aside. Chop the onion and tomato. Chop the green chillies. Then pour a spoon of oil in a pan, add the prawns and fry them. Add chopped onion, tomato, green chilli, chilli powder, ginger and garlic paste to the fried prawns and let it marinate for an hour. Finally, pour the remaining coconut oil in the pan, add the soaked prawn mixture and fry until it turns red. Turn it over and fry well. When the fried prawns turn red, remove from heat. This spicy prawn sambar and rasam are very tasty to touch with rice. You can also mix this fried prawn with white rice.</t>
  </si>
  <si>
    <t>இறாலை தோல் உரித்துச் சுத்தம் செய்து கழுவி மஞ்சள் தூள் போட்டுப் பிரட்டி வைக்கவும். வெங்காயம், தக்காளியை நறுக்கிக்கொள்ளவும். பச்சை மிளகாயை கீறிக்கொள்ளவும். பின் வாணலியில் ஒரு ஸ்பூன் எண்ணெய் ஊற்றி இறாலைப் போட்டு வதக்கி எடுக்கவும். வதக்கின இறாலில் நறுக்கி வைத்த வெங்காயம், தக்காளி, பச்சை மிளகாய், மிளகாய் தூள், இஞ்சி, பூண்டு விழுது அனைத் தையும் சேர்த்துப் பிரட்டி ஒரு மணிநேரம் ஊறவிடவும். கடைசியாக வாணலியில் மிச்சமிருக்கும் தேங்காய் எண் ணெயை ஊற்றி, ஊற வைத்திருக்கும் இறால் கலவையைப் போட்டு சிறு தீயில் சிவக்க வதக்கவும். புரட்டிப் புரட்டி நன்கு வதக்க வதக்க வறுவல் சிவந்து வந்ததும் இறக்கவும். அட்டகாசமான இந்த இறால் தொக்கு சாம்பார், ரசம் சாதத் துக்கு தொட்டுக்கொள்ள மிகச் சுவையாக இருக்கும். இந்த வறுவலை வெள்ளைச் சாதத்திலேயே போட்டு பிசைந்தும் சாப்பிடலாம்.</t>
  </si>
  <si>
    <t>Prawns - 1/4 kg, Drumstick - 1/2 bunch, Green Chilli - 1 bunch, Eggplant - 1, Large onion - 1, Green chillies - 2, Coconut - 1/2 lid, Salt - 1/2 spoon, To make the Porima powder:, Green rice - 1/4 cup, Feruncle - 1 spoon, For seasoning:, Mustard - 1/2 spoon, Dried chillies - 2, Oil - 2 tablespoons</t>
  </si>
  <si>
    <t>இறால் - 1/4 கிலோ, முருங்கைக்கீரை - 1/2 கட்டு, பசலைக்கீரை - 1 கட்டு, கத்திரிக்காய் - 1, பெரிய வெங்காயம் - 1, பச்சை மிளகாய் - 2, தேங்காய் - 1/2 மூடி, உப்பு - 1/2 ஸ்பூன், பொரிமாத்தூள் செய்ய:, பச்சை அரிசி - 1/4 கப், பெருஞ்சீரகம் - 1 ஸ்பூன், தாளிக்க:, கடுகு - 1/2 ஸ்பூன், மிளகாய் வற்றல் - 2, எண்ணெய் - 2 டேபிள் ஸ்பூன்</t>
  </si>
  <si>
    <t>Peel and clean the prawns. Next, make the Porima powder. For this, fry the rice in a pan without burning it, and add the fennel seeds and fry it. Once cooled, put it in a mixer and grind it like rava. Grate the coconut. Chop the eggplant, onion, and green chilies into powder. Next, put a pot on the stove, pour a cup of water and bring it to a boil. Add the shrimp and chopped eggplant, onion, and green chilies to it and let it boil. After the shrimp and vegetables are cooked, add the greens to it. Add the grated coconut and borimath powder and mash it vigorously. Once the greens are cooked well and softened, remove them and season with mustard and chili powder and serve hot. This can be made as a dip for dosa or chapati. It can also be eaten alone. This is a great dish for non-vegetarians.</t>
  </si>
  <si>
    <t>இறாலை தோல் உரித்துச் சுத்தம் செய்து வைக்கவும். அடுத்து பொரிமாத்தூள் செய்துகொள்ளவேண்டும். அதற்கு அரிசியை வெறும் வாணலியில் தீய்ந்து போகாமல் வறுத்து, கூடவே பெருஞ்சீரகத்தையும் சேர்த்து வறுத்துக் கொள்ள வேண்டும். ஆறியதும் மிக்ஸியில் போட்டு ரவா போல் உடைத்துக் கொள்ளவும். தேங்காயை துருவிக் கொள்ளவும். கத்தரிக்காய், வெங்காயம், பச்சை மிளகாயை பொடியாக நறுக்கி வைக்கவும். அடுத்து, அடுப்பில் பாத்திரம் வைத்து, ஒரு தம்ளர் தண்ணீர் ஊற்றிக் கொதிக்கவிடவும். அதில் இறாலையும் நறுக்கி வைத்துள்ள கத்தரிக்காய், வெங்காயம், பச்சை மிளகாயையும் போட்டு வேக வைக்கவும். இறாலும், காய்களும் வெந்த பிறகு, அதிலேயே கீரைகளை அலசிப் போடவும். தேங்காய் துருவல், பொரிமாத் தூள் போட்டு அழுத்தமாக மசித்துக் கிளறவும். கீரையும் நன்றாக வெந்து குழைந்தவுடன் இறக்கி கடுகு, மிளகாய் வற்றல் தாளித்து சூடாகப் பரிமாறவும். இதை தோசை, சப்பாத்திக்கு தொட்டுக் கொள்ளவும் செய்ய லாம். தனியாகவும் சாப்பிடலாம். அசைவப் பிரியர்களுக்கு அலாதியான உணவு இது.</t>
  </si>
  <si>
    <t>Seela fish - 1/2, Groundnuts - 3 tbsp, Ultra gram - 3 tbsp, Turmeric powder - 1/2 tbsp, Chili powder - 4 tbsp, Taniyat powder - 4 tbsp, Dried chilies - 5, Pepper - 2 tbsp, Lemon - 1, Mustard - 1 tbsp, Oil - 100 ml, Salt - as required, Caraway seeds - a bunch</t>
  </si>
  <si>
    <t>சீலா மீன் - 1/2, கடலைப்பருப்பு - 3 ஸ்பூன், உளுத்தம்பருப்பு - 3 ஸ்பூன், மஞ்சள் தூள் - 1/2 ஸ்பூன், மிளகாய் தூள் - 4 ஸ்பூன், தனியாத் தூள் - 4 ஸ்பூன், மிளகாய் வற்றல் - 5, மிளகு - 2 ஸ்பூன், எலுமிச்சம் பழம் - 1, கடுகு - 1 ஸ்பூன், எண்ணெய் - 100 மிலி, உப்பு - தேவையான அளவு, கருவேப்பிலை - ஒரு கொத்து</t>
  </si>
  <si>
    <t>First, wash and clean the fish well. In a bowl, mix turmeric powder, chili powder, taniyat powder, required salt, lemon juice, a little water and make a paste. Put the fish in it and marinate it well. The longer you soak it for more than an hour, the tastier it will be. Next, fry the mustard seeds, pepper, dried chilies, peanuts, urad dal, and black gram in a pan without burning them, cool them and grind them into powder. Then take the fish soaked in the chili powder paste and finally coat both sides with the ground masala and fry it in oil on a dosa stone in the oven. It is better to keep the fire low while frying the fish. When both sides are golden brown, the Chettinad Seelameen Varuval is ready. This will be a tasty addition to all types of rice.</t>
  </si>
  <si>
    <t>முதலில் மீனை நன்கு கழுவி சுத்தம் செய்து வைத்துக் கொள்ளவும். ஒரு கிண்ணத்தில் மஞ்சள் தூள், மிளகாய் தூள், தனியாத் தூள், தேவையான அளவு உப்பு இவற்றுடன் எலுமிச்சை சாறு, லேசாக தண்ணீர் விட்டு விழுதாக பிசைந்து கொண்டு அதில் மீனைப் போட்டு நன்கு ஊற வைக்கவும். ஒரு மணி நேரத்துக் கும் மேலாக எவ்வளவு நேரம் ஊற விடுகிறீர்களோ அவ் வளவு சுவையாக இருக்கும். அடுத்து வாணலியில் கடுகு, மிளகு, மிளகாய் வற்றல், கடலைப்பருப்பு, உளுத்தம்பருப்பு, கருவேப்பிலை ஆகிய வற்றை தீய்ந்து போகாமல் வறுத்து, ஆற வைத்து பொடி செய்து எடுத்துக்கொள்ளவும். பின் மிளகாய் தூள் விழுதில் ஊறவைத்துள்ள மீனை எடுத்து கடைசியாக அரைத்து எடுத்துள்ள மசாலாவில் இரண்டுபுற மும் முக்கியெடுத்து அடுப்பில் தோசைக்கல்லில் எண்ணெய் விட்டு பொரித்தெடுக்கவும். மீனைப் பொரிக்கும்போது சிறுதீயாக வைத்துக்கொள்வது நல்லது. இரண்டு புறமும் திருப்பிப்போட்டு பொன்முறுவலாக எடுத்தால் செட்டிநாட்டு சீலாமீன் வறுவல் தயார். இது எல்லா வகை சாதத்துக்கும் தொட்டுக்கொள்ள ஜோராக இருக்கும்.</t>
  </si>
  <si>
    <t>1/4 cup boiled black beans, 2 teaspoons chopped carrots, 2 teaspoons chopped green chilies, 2 teaspoons chopped yellow chilies, 2 teaspoons chopped red chilies, 2 teaspoons pomegranate pearls, 1 onion, 1 tomato, 1/4 cucumber, 2 teaspoons chopped kale, 1/2 lemon juice, 1/2 teaspoon pink salt, 1/4 teaspoon oregano, 1/2 teaspoon pepper powder</t>
  </si>
  <si>
    <t>1/4கப் வேக வைத்த கருப்பு கொண்டக்கடலை, 2டீஸ்பூன் நறுக்கிய கேரட், 2டீஸ்பூன் நறுக்கிய பச்சை குடைமிளகாய், 2டீஸ்பூன் நறுக்கிய மஞ்சள் குடைமிளகாய், 2டீஸ்பூன் நறுக்கிய சிகப்பு குடைமிளகாய், 2டீஸ்பூன் மாதுளை முத்துக்கள், 1வெங்காயம், 1தக்காளி, 1/4வெள்ளறிக்காய், 2டீஸ்பூன் நறுக்கிய முட்டைக் கோஸ், 1/2எலுமிச்சை பழச்சாறு, 1/2டீஸ்பூன் பிங்க் சால்ட், 1/4டீஸ்பூன் ஓரிகானோ, 1/2டீஸ்பூன் மிளகு தூள்</t>
  </si>
  <si>
    <t>Add all the chopped vegetables together in a bowl Add salt and pepper to the chopped vegetables and mix.. Finally add oregano and lemon juice and the salad is ready.. Now your delicious and nutritious black bean salad is ready..</t>
  </si>
  <si>
    <t>ஒரு பாத்திரத்தில் நறுக்கிய காய்கறிகளை எல்லாம் ஒன்றாக சேர்க்கவும் நறுக்கிய காய்கறிகளுடன் உப்பும் மிளகுத்தூளும் சேர்த்து கலந்து விடவும்.. இறுதியாக ஓரிகனாகவும் எலுமிச்சை பழ சாரும் சேர்த்து கலந்தால் சாலட் தயாராகிவிடும்.. இப்போது சுவையான சத்தான கருப்பு கொண்டை கடலை சாலட் தயார்..</t>
  </si>
  <si>
    <t>1 English cucumber, 1 tomato, 1 tablespoon olives, 1 onion, 1 green pepper, Mozzarella cheese slices, 1/2 teaspoon basil, 1/2 teaspoon oregano, 1 teaspoon parsley leaves, 1 teaspoon red vinegar, 1 teaspoon white vinegar, 1 teaspoon sugar, 1/4 teaspoon salt, 1/4 teaspoon pepper powder</t>
  </si>
  <si>
    <t>1இங்லீஷ் குக்கும்பர், 1 தக்காளி, 1 டேபிள் ஸ்பூன் ஆலிவ், 1 வெங்காயம், 1பச்சை குடைமிளாய், மோசெரெல்லா சீஸ் துண்டுகள், 1/2 டீஸ்பூன் பேசில், 1/2 டீஸ்பூன் ஒரிகானா, 1 டீஸ்பூன் பார்ஸ்லி இலை, 1 டீஸ்பூன் ரெட் வினிகர், 1 டீஸ்பூன் ஒயிட் வினிகர், 1 டீஸ்பூன் சர்க்கரை, 1/4 டீஸ்பூன் சால்ட், 1/4 டீஸ்பூன் மிளகு தூள்</t>
  </si>
  <si>
    <t>Get the   to make Italian salad and keep them ready. Then cut all the vegetables into cubes. In a bowl, add olive oil, red vinegar, white vinegar, sugar, salt, and pepper and beat well. In another bowl, add the chopped vegetables and add the beaten vinegar mixture. Also add basil and oregano and mix well. Now you are ready to enjoy a very delicious and nutritious Italian salad. This salad is very tasty. Anyone who wants to diet can taste it.</t>
  </si>
  <si>
    <t>இத்தாலியன் சாலட் செய்ய தேவையான பொருட்களை எடுத்து தயாராக வைக்கவும். பின்னர் எல்லா காய்களையும்கியூப்ஸ் ஆக நறுக்கி வைத்துக்கொள்ளவும். ஒரு பௌலில் ஆலிவ் ஆயில்,ரெட் வினிகர்,ஒயிட் வினிகர்,சர்க்கரை,சால்ட், மிளகுத்தூள் எல்லாம் சேர்த்து நன்கு பீட் செய்து தயாராக வைக்கவும். வேறு ஒரு பௌலில் நறுக்கி வைத்துள்ள காய்களை சேர்த்து,பீட் செய்து வைத்துள்ள வினிகர் கலவையை சேர்க்கவும். அத்துடன் பேசில், ஒரிகானோ எல்லாம் சேர்த்து நன்கு கலந்து விடவும். இப்போது மிகவும் சுவையான, சத்தான இத்தாலியன் சாலட் சுவைக்கத்தயார். இந்த சாலட் மிகவும் சுவையாக இருக்கும்.டயட் செய்ய விரும்பும் அனைவரும் சுவைக்கலாம்.</t>
  </si>
  <si>
    <t>2 cups kidney beans soaked for 7 hours 1 cup corn🌽 1 large cucumber, chopped 1 large onion, chopped Salt as required Lemon juice as required Coriander leaves</t>
  </si>
  <si>
    <t>2 கப் கிட்னி பீன்ஸ் 7 மணி நேரம் ஊறவைத்தது, 1 கப் கார்ன், 1பெரிய வெள்ளரி நருக்கியது, 1பெரிய வெங்காயம் நருகியது, தேவைக்கு ஏற்பஉப்பு, தேவைக்கு ஏற்பலெமன் ஜூஸ்   மல்லிதழ</t>
  </si>
  <si>
    <t>Corn kidney beans, add salt and cook well in a cooker Add boiled kidney beans, corn, chopped onion, cucumber, grated carrot, coriander leaves, lemon, pepper powder and mix well...stir..  Healthy breakfast is ready</t>
  </si>
  <si>
    <t>கார்ன் கிட்னி பீன்ஸ் ஐ உப்பு சேர்த்து நன்றக குக்கரில் வேக வைக்கவும்</t>
  </si>
  <si>
    <t>4 carrots, 2 green chillies, 1 teaspoon oil, 1 teaspoon lemon juice, a pinch of cumin powder, as required salt, 1/4 teaspoon mustard, 1/4 teaspoon urad dal, curry leaves, coriander leaves</t>
  </si>
  <si>
    <t>4கேரட், 2பச்சை மிளகாய், 1டீஸ்பூன் எண்ணெய், 1டீஸ்பூன் எலுமிச்சை சாறு, ஒரு சிட்டிகை பெருங்காயத்தூள், தேவையான அளவுஉப்பு, 1/4டீஸ்பூன் கடுகு, 1/4டீஸ்பூன் உளுந்து பருப்பு, கறிவேப்பிலை, மல்லி இலை</t>
  </si>
  <si>
    <t>Wash the carrots well, peel and grate them. Heat the pan on the stove and add oil. When it is hot, add mustard seeds, urad dal, curry leaves, chopped green chillies, coriander leaves and fry them until golden brown. Add turmeric powder. Then turn off the stove and add the grated carrots and mix. Add salt as required. Mix everything well, put in a bowl and sprinkle chopped coriander leaves and serve. Those who want to have this delicious carrot diet, just take a cup. It will be very tasty for everyone to eat as a side dish with rice. Everyone should make and taste this carrot salad with its eye-catching colors.</t>
  </si>
  <si>
    <t>கேரட்டை நன்கு கழுவி, தோல் சீவி, துருவி வைத்துக் கொள்ளவும். வாணலியை ஸ்டவ்வில் வைத்து சூடானதும் எண்ணெய் ஊற்றி காய்ந்ததும் கடுகு,உளுந்து பருப்பு, கறிவேப்பிலை, நறுக்கிய பச்சை மிளகாய்,மல்லி இலை சேர்த்து பொன்னிறமாக வதக்கவும்.பெருங்காயத்தூள் சேர்க்கவும். பின்னர் ஸ்டவ் ஆஃப் செய்துவிட்டு துருவி வைத்துள்ள காரட்டை சேர்த்து கலக்கவும். தேவையான அளவு உப்பு சேர்க்கவும்.எல்லாம் சேர்த்து நன்கு கலந்து,ஒரு பௌலில் சேர்த்து நறுக்கிய மல்லி இலை தூவி பரிமாறவும். இந்த சுவையான காரட் டையட் இருக்க விரும்புபவர்கள் ஒரு கப் எடுத்துக் கொண்டால் போதும். எல்லோரும் சாதத்துடன் துணை உணவாக சாப்பிட மிகவும் சுவையாக இருக்கும். கண்கவர் வண்ணம் கொண்ட இந்த காரட் சாலட் அனைவரும் செய்து சுவைக்கவும்.</t>
  </si>
  <si>
    <t>2 apples, 1 pomegranate, 1 piece of mango, 1 handful of ginger, 1 cup of yogurt, 1 glass of milk, as needed salt</t>
  </si>
  <si>
    <t>2 ஆப்பிள், 1 மாதுளம் பழம், 1துண்டு மாங்காய், 1 கை தண்டு, 1கப் தயிர், 1டம்ளர் பால், தேவையானஅளவு உப்பு</t>
  </si>
  <si>
    <t>In a bowl, mix the finely chopped apple, pomegranate, mango, salt, yogurt, and milk. It will be super delicious if eaten after 1/4 hour.</t>
  </si>
  <si>
    <t>ஒரு பாத்திரத்தில் பொடியாக நறுக்கிய தண்டு ஆப்பிள் மாதுளம் பழம் மாங்காய் உப்பு தயிர் பால் சேர்த்து கலக்கி வைக்கவும். 1/4மணி நேரம் கழித்து சாப்பிட்டால் சூப்பராக சத்தனதாக இருக்கும்.</t>
  </si>
  <si>
    <t>1 cucumber,  1/4 teaspoon pepper,  salt as needed</t>
  </si>
  <si>
    <t>1வெள்ளரிக்காய், 1/4ஸ்பூன்மிளகுத்தூள், தேவையானஅளவுஉப்பு</t>
  </si>
  <si>
    <t>First, cut the cucumber along the edge and rub it well to extract the milk that comes out. Then wash the cucumber well, remove the skin and cut it into pieces. Then add pepper, salt and cucumber together and mix well and serve.</t>
  </si>
  <si>
    <t>முதலில் வெள்ளரிக்காய் ஓரத்தில் நறுக்கி நன்கு தேய்த்தால் பால் வரும் அந்த பாலை வெளியே எடுக்கவும். பின்னர் வெள்ளரிக்காயை நன்கு அலசி தோலை நீக்கி துண்டுகளாக நறுக்கி கொள்ளவும். பின்னர் மிளகுத்தூள் உப்பு வெள்ளரிக்காய் ஒன்றாக சேர்த்து நன்கு கலந்து பரிமாறவும்.</t>
  </si>
  <si>
    <t>One cup of boiled sweet corn, 2 carrots, 2 large onions, Salt as required, A pinch of chaat masala, 1/2 teaspoon chili powder</t>
  </si>
  <si>
    <t>வேகவைத்த ஸ்வீட் கார்ன் ஒரு கப், 2 கேரட், 2 பெரிய வெங்காயம், உப்பு தேவையான அளவு, சாட் மசாலா சிறிதளவு , 1/2  ஸ்பூன்மிளகாய் தூள்</t>
  </si>
  <si>
    <t>Boil the sweet corn well until it reaches 4 whistles. Grate the carrots and onions. Then put the chopped onions and carrots in a wide bowl, add all the spices, mix well and serve.</t>
  </si>
  <si>
    <t>ஸ்வீட் கார்னை நன்றாக 4 விசில் வரும் வரை வேக வைத்து எடுத்துக் கொள்ளவும். கேரட்டையும் வெங்காயத்தையும் துருவி எடுத்துக் கொள்ளவும். பின்பு கான் வெங்காயம் கேரட் ஆகியவற்றை ஒரு அகன்ற பாத்திரத்தில் இட்டு எல்லா மசாலாக்களையும் சேர்த்து நன்றாக கிளறி பரிமாறவும்.</t>
  </si>
  <si>
    <t>1 carrot, 1 tomato, 1 cucumber, 1 onion, grated coconut, 2 tablespoons cabbage, a handful of coriander leaves, 1 tablespoon pepper, 1/2 lemon, Salt, 1/4 teaspoon chili powder as needed, soaked green beans or peanuts (optional) 2 tablespoons unripe mango</t>
  </si>
  <si>
    <t>1கேரட், 1தக்காளி, 1வெள்ளரிக்காய், 1வெங்காயம், பல்லு பல்லாக கீறின தேங்காய், 2ஸ்பூன் முட்டைக்கோஸ், கைப்பிடி கொத்தமல்லி தழை, 1ஸ்பூன் மிளகுத்தூள், 1/2 எலுமிச்சை, உப்பு, 1/4 ஸ்பூன் மிளகாய்த்தூள் தேவைக்கு, ஊறவைத்த பச்சை பயிறு அல்லது நிலக்கடலை (விருப்பம் இருந்தால்) 2ஸ்பூன் புளிப்பில்லாத மாங்காய்</t>
  </si>
  <si>
    <t>Cut the vegetables into small pieces of equal size and keep them aside. Grate the carrots and grate the coconut into small pieces  In a bowl, add the chopped vegetables and grated coconut (if you have cashews, soak and sprouted green lentils or soak and boil peanuts)  Add salt, pepper, coriander leaves and finally squeeze the lemon juice  If you don't want pepper, add green chilies or 1/4 teaspoon chili powder. A delicious mixed vegetable salad is ready to taste.</t>
  </si>
  <si>
    <t>காய்களை பொடியாக ஒரே அளவில் சிறு கஷணமாக வெட்டி வைத்துக்கவும். கேரட்டை துருவி வைத்துக்கவும், தேங்காயை சிறு பல்லா கீறி வைத்துக்கவும்  ஒரு பவுலில் நறுக்கின காய்கள், கீறின தேங்காய் சேர்த்துக்கவும் (விருக்குப்பம் இருந்தால் ஊற வைத்து முளைக்கடின பச்சை பயறு அல்லது ஊற வைத்து வேக வைத்த நிலக்கடலை)  அதுக்கு தேவையான உப்பு, மிளகுத்தூள், சேர்த்து மல்லி தழை தூவி, கடைசியாக எலுமிச்சை சாறு பிழிந்துக்கவும்  மிளகு வேண்டாம் நினைத்தால், பச்சைமிளகாய் அல்லது 1/4 ஸ்பூன் மிளகாய்த்தூள் சேர்த்துக்கவும். சுவையான மிக்ஸட் வெஜிடபிள் சாலட் சுவைக்க தயார்.</t>
  </si>
  <si>
    <t>1 handful of mutakatthan spinach, 2 tablespoons of grated coconut, 2 tablespoons of lemon juice, a little salt</t>
  </si>
  <si>
    <t>1 கைப்பிடிமுடக்கத்தான் கீரை, 2 தேக்கரண்டிதேங்காய்த் துருவல், 2 ஸ்பூன்எலுமிச்சை சாறு, உப்பு-சிறிது</t>
  </si>
  <si>
    <t>Clean the mutakatthan spinach and wash it twice with water. Wash it with salt for the third time.  Drain the water and chop it into powder. Add grated coconut and lemon juice to it and mix well.</t>
  </si>
  <si>
    <t>முடக்கத்தான் கீரையை சுத்தம் செய்து 2 முறை தண்ணீரில் கழுவிக் கொள்ளவும்.3 வது முறையாக உப்பு சேர்த்து கழுவிக் கொள்ளவும்.    தண்ணீரை வடித்து பொடியாக நறுக்கி கொள்ளவும்.அதனோடு தேங்காய் துருவல்,எலுமிச்சை சாறு சேர்த்து நன்றாக கலந்து சாப்பிடவும்</t>
  </si>
  <si>
    <t>Potato flour - 2 teaspoons, Corn - 10, Jaggery - 1/4 teaspoon, Beetroot - 1 piece or carrot, Ghee - as required</t>
  </si>
  <si>
    <t>கேழ்வரகு மாவு -2 டீஸ்பூன், கொண்டைக்கடலை - 10, வெல்லம் - கால் டீஸ்பூன், பீட்ரூட் - 1 துண்டு அல்லது கேரட், நெய் - தேவைக்கு</t>
  </si>
  <si>
    <t>Take the potato porridge in a Pressure Cooker, add a little water and stir it without lumps.   Add chickpea sprouts and vegetables to it and let it cook. After two whistles,  remove it and add jaggery.   Rich in calcium  Finally, add ghee while serving it to the baby.  Give it to a six-month-old baby, they will be fat and healthy!</t>
  </si>
  <si>
    <t>கேழ்வரகை(Pressure Cooker) பாத்திரத்தில் எடுத்து சிறிது நீர் விட்டு கட்டியில்லாமல் கிளறி எடுங்கள்.   இதில் கொண்டைக்கடலை முளைக்கட்டி சேர்த்து காய்கறிகள் சேர்த்து வேக விடவும்.  இரண்டு விசில்கள் வந்ததும் இறக்கி வெல்லம் சேர்க்கவும். கால்சியம் நிறைந்த  இறுதியாக குழந்தைக்கு பரிமாறும் போது நெய் சேர்க்கவும்.    ஆறு மாச குழந்தைக்கு  கொடுங்க, கொழு கொழுன்னு ஆரோக்கியமா இருப்பாங்க!</t>
  </si>
  <si>
    <t>A few slices of apple, A little butter</t>
  </si>
  <si>
    <t>ஆப்பிள் சில துண்டுகள், வெண்ணெய் - சிறிதளவு</t>
  </si>
  <si>
    <t>Peel the apple and steam it in an idli pot. Once it is cooked well, remove it, mash it to a paste and add butter and serve it as is.   There is no need to add any sweetener to this.   Since the apple itself is sweet, you can serve it as is.  Give it to a six-month-old baby, they will be fat and healthy!</t>
  </si>
  <si>
    <t>ஆப்பிள் தோல் உரித்து இட்லி பானையில் ஆவியில் வேகவிடவும்.   நன்றாக வெந்ததும் இறக்கி மசித்து பேஸ்ட் பதத்துக்கு ஆக்கி வெண்ணெய் சேர்த்து அப்படியெ கொடுக்கலாம்.   இதில் எந்த இனிப்பையும் சேர்க்க வேண்டியதில்லை.   ஆப்பிளே இனிப்பாக இருக்கும் என்பதால் அப்படியே கொடுக்கலாம்.  ஆறு மாச குழந்தைக்கு கொடுங்க, கொழுகொழுன்னு ஆரோக்கியமா இருப்பாங்க!</t>
  </si>
  <si>
    <t>Ragi - 2 teaspoons, Small banana - half the amount, Water - as required</t>
  </si>
  <si>
    <t>கேழ்வரகு - 2 டீஸ்பூன், சிறிய வாழைப்பழம் - பாதி அளவு, தண்ணீர் - தேவைக்கேற்ப</t>
  </si>
  <si>
    <t>Mix the Ragi with water and Boil it into porridge.  Drain it and add the banana to it and mash it. When both are ready to form a soft paste,  you can mix it with ghee and give it to the baby. Since it is a natural sweetener, babies will eat it without refusing.  Give it to a six-month-old baby, they will be fat and healthy!</t>
  </si>
  <si>
    <t>கேழ்வரகை நீர் விட்டு கட்டியில்லாமல் கரைத்து கஞ்சியாக காய்ச்சி எடுக்கவும். இதை இறக்கி இதனுடன் வாழைப்பழம் சேர்த்து மசிக்கவும்.   இரண்டும் மென்மையான பேஸ்ட் பதத்துக்கு தயாரானதும் நெய் தொட்டு குழந்தைக்கு கொடுக்கலாம். இயற்கையான இனிப்பு என்பதால் குழந்தைகள் மறுக்காமல் சாப்பிடுவார்கள்.  ஆறு மாச குழந்தைக்கு கொடுங்க, கொழுகொழுன்னு ஆரோக்கியமா இருப்பாங்க!</t>
  </si>
  <si>
    <t>Dal - 2 teaspoons, Rice - 2 teaspoons, Palm jaggery - for sweetness, Ghee - as required</t>
  </si>
  <si>
    <t>பருப்பு - 2 டீஸ்பூன், அரிசி - 2 டீஸ்பூன், பனை வெல்லம் - இனிப்புக்கு, நெய் - தேவைக்கு</t>
  </si>
  <si>
    <t>Boil both the rice and dal in a pan and mash them well.   Then add a piece of palm jaggery and ghee and mash them.  You can also add a piece of fruit and mash it.   It will be delicious with a different taste.  Give it to a six-month-old baby, they will be fat and healthy!</t>
  </si>
  <si>
    <t>அரிசி பருப்பு இரண்டையும் குழைய வேகவைத்து நன்றாக மசித்து எடுக்கவும். பிறகு ஒரு துண்டு பனை வெல்லம் மற்றும் நெய் சேர்த்து மசிக்கவும்.   இதில் பழங்களின் துண்டு மசித்தும் சேர்க்கலாம். வித்தியாசமான சுவையுடன் நன்றாக இருக்கும்.  ஆறு மாச குழந்தைக்கு கொடுங்க, கொழுகொழுன்னு ஆரோக்கியமா இருப்பாங்க!</t>
  </si>
  <si>
    <t>Shark fish - 1/2 kg, Large onion - 1/4, Egg - 1, Turmeric powder - 1 spoon, Chili powder - 1 spoon, Pepper powder - 1 spoon, Green chillies - 6, Ginger and garlic paste - 1 tablespoon, Bread powder - 2 cups, Lemon juice - 1 tablespoon, Coriander leaves - handful, Oil - 100, Salt - as required</t>
  </si>
  <si>
    <t>சுறா மீன் - 1/2 கிலோ, பெரிய வெங்காயம் - 1/4, முட்டை - 1, மஞ்சள் தூள் - 1 ஸ்பூன், மிளகாய் தூள் - 1 ஸ்பூன், மிளகுத் தூள் - 1 ஸ்பூன், பச்சை மிளகாய் - 6, இஞ்சி, பூண்டு விழுது - 1 டேபிள் ஸ்பூன், பிரட் தூள் - 2 கப், எலுமிச்சை சாறு - 1 டேபிள் ஸ்பூன், கொத்தமல்லித் தழை - கைப்பிடி அளவு, எண்ணெய் - 100, உப்பு  - தேவையான அளவு</t>
  </si>
  <si>
    <t>Clean the shark fish pieces, add a little turmeric powder and boil. When the fish is cooked, remove the bones and grind them into powder. Mix the crushed fish with chili powder and salt as required.  Next, break the egg into a bowl and add two pinches of salt and pepper powder and mix well.  Chop the onion and green chillies into powder.  Then pour oil in a pan and when it is hot, add ginger, garlic paste, onion and green chillies and fry well. Pour the fried mixture with the powdered shark fish mixture, add lemon juice and knead it to make a ball.  Finally, dip the balls in the egg mixture and then roll it in bread crumbs and fry in oil in a pan until golden brown.  Super fish cutlets are ready. Like shark fish, other fish can be used for cutlets.</t>
  </si>
  <si>
    <t>சுறா மீன் துண்டுகள் போட்டு சுத்தம் செய்துகொண்டு கொஞ்சம் மஞ்சள் தூள் போட்டு வேகவைக்கவும். மீன் வெந்ததும் இறக்கி ஆறவிட்டு முட்களை எடுத்து விட்டு தூளாக்கி உதிர்த்துக் கொள்ளவும். உதிர்த்த மீனுடன் மிளகாய் தூள், தேவையான அளவு உப்பு சேர்த்து கலந்து வைக்கவும்.  அடுத்து முட்டையை ஒரு பாத்திரத்தில் உடைத்து ஊற்றி அத்துடன் இரண்டு சிட்டிகை உப்பு, மிளகுத் தூள் சேர்த்துக் கலந்து நன்கு அடித்து வைக்கவும்.  வெங்காயம், பச்சை மிளகாயை பொடியாக நறுக்கி வைக்கவும்.  பின் வாணலியில் எண்ணெய் ஊற்றிக் காய்ந்ததும் இஞ்சி, பூண்டு விழுது, வெங்காயம், பச்சை மிளகாய் சேர்த்து நன்கு வதக்கவும். வதக்கியதை பொடித்து வைத்துள்ள சுறா மீன் கலவையோடு கொட்டி, கூடவே எலுமிச்சைச் சாறு சேர்த்துப் பிசைந்து உருண்டை பிடித்துக்கொள்ளவும்.  கடைசியாக முட்டைக் கலவையில் உருண்டைகளை நனைத்து பின் அதை பிரட் தூளில் பிரட்டி வாணலியில் எண்ணெயில் விட்டுப் பொன் நிறமாக பொரித்து எடுக்கவும்.  சூப்பர் மீன் கட்லெட் தயார். சுறா மீனைப் போலவே மற்ற மீன்களையும் கட்லெட்டுக்கு பயன்படுத்திக்கொள்ளலாம்.</t>
  </si>
  <si>
    <t>Any fish - 1/2, Small onions - 8, Flour - 4 spoons, Turmeric powder - 1/2 spoon, Chili powder - 2 spoons, Dhaniya powder - 2 spoons, Cumin powder - 1 spoon, Ginger, garlic paste - 1 spoon, Lemon juice - 2 spoons, Oil - 1/4 kg, Salt - as required, Caraway seeds - 4 bunches, Coriander leaves - handful size</t>
  </si>
  <si>
    <t>ஏதாவது ஒரு மீன் - 1/2, சிறிய வெங்காயம் - 8, மைதா - 4 ஸ்பூன், மஞ்சள் தூள் - 1/2 ஸ்பூன், மிளகாய்த் தூள் - 2 ஸ்பூன், தனியாத் தூள் - 2 ஸ்பூன், சீரகத் தூள் - 1 ஸ்பூன், இஞ்சி, பூண்டு விழுது - 1 ஸ்பூன், எலுமிச்சம் பழச்சாறு - 2 ஸ்பூன், எண்ணெய் - 1/4 கிலோ, உப்பு - தேவையான அளவு, கருவேப்பிலை - 4 கொத்து, கொத்தமல்லித்தழை - கைப்பிடி அளவு</t>
  </si>
  <si>
    <t>Wash and clean the fish and cut it into pieces.  Grind the onion, caraway seeds, and coriander leaves together into a paste.  Next, mix the ground paste with turmeric powder, chili powder, coriander powder, cumin powder, ginger garlic paste and required amount of salt to prepare a thick masala.  Apply this masala well on both sides of the fish piece. Then sprinkle maida flour on it and let it soak for 1 hour.  Then pour oil in a dosa stone and when it is dry, turn the fish on both sides over low heat and fry until golden brown.</t>
  </si>
  <si>
    <t>மீனைக் கழுவிச் சுத்தம் செய்து துண்டுகளாக்கிக் கொள்ளவும்.  வெங்காயம், கருவேப்பிலை, கொத்தமல்லித்தழை மூன்றை யும் சேர்த்து விழுதாக அரைத்துக் கொள்ளவும்.  அடுத்து அரைத்துள்ள விழுதுடன் மஞ்சள் தூள், மிளகாய்த் தூள், தனியாத் தூள், சீரகத்தூள், இஞ்சி பூண்டு விழுது, தேவை யான அளவு உப்பு சேர்த்துக் கலந்து கெட்டியான மசாலா தயார் செய்து கொள்ளவும்.  இந்த மசாலாவை மீன் துண்டின் இரு புறங்களிலும் நன்கு தடவி விடவும். பின் அதற்கு மேல் மைதா மாவை தூவி 1 மணி நேரம்வரை ஊற வைக்கவும்.  பின் தோசைக்கல்லில் எண்ணெய் ஊற்றிக் காய்ந்ததும் சிறு தீயில் மீனை இரண்டு பக்கமும் திருப்பிப் போட்டு பொன்னிறமாகப் பொரித்தெடுக்கவும்.</t>
  </si>
  <si>
    <t>Fish fry - 1/2, Small onion - 5, Dried chillies - 10, Anise - 1 spoon, Grated coconut - 4 spoons, Turmeric powder - 1 spoon, Tamarind - the size of a small gooseberry, Coriander leaves - a handful, Cooking oil - 1/4 kg, Salt - as required</t>
  </si>
  <si>
    <t>வஞ்சிர மீன் - 1/2, சின்ன வெங்காயம் - 5, மிளகாய் வற்றல் - 10, சோம்பு - 1 ஸ்பூன், தேங்காய்த் துருவல் - 4 ஸ்பூன், மஞ்சள் தூள் - 1 ஸ்பூன், புளி - சிறிய நெல்லிக்காய் அளவு, கொத்துமல்லித் தழை - கைப்பிடி அளவு, சமையல் எண்ணெய் - 1/4 கிலோ, உப்பு - தேவையான அளவு</t>
  </si>
  <si>
    <t>First wash and clean the fish.  Next, add the anise, small onion, dried chillies, grated coconut, tamarind, and as required salt and grind them together.  Apply the ground mixture on both sides of the fish pieces and soak for 1 hour.  Then put a dosa stone in the oven, pour oil, put the fish pieces in it, fry them on both sides and fry until golden brown. Sprinkle with coriander leaves and serve beautifully.</t>
  </si>
  <si>
    <t>முதலில் மீனைக் கழுவிச் சுத்தம் செய்யவும்.  அடுத்து சோம்பு, சின்ன வெங்காயம், மிளகாய் வற்றல், தேங்காய்த் துருவல், புளி, தேவையான அளவு உப்பு அனைத்தையும் சேர்த்து ஒன்றாக அரைக்கவும்.  அரைத்த கலவையை மீன் துண்டுகளின் இரண்டு பக்கமும் தடவி 1 மணிநேரம் ஊறவைக்கவும்.  பின் அடுப்பில் தோசைக்கல்லை வைத்து எண்ணெய் ஊற்றி மீன் துண்டுகளைப் போட்டு இரண்டு பக்கமும் வேக விட்டு பொன்னிறத்தில் பொரித்தெடுக்கவும். கொத்தமல்லித் தழை தூவி, அழகாகப் பரிமாறவும்.</t>
  </si>
  <si>
    <t>Good milk shark - 1/2 kg, Large onion - 2, Green chilies - 5, Garlic - 10 cloves, Coriander - 1 handful, Curry leaves - 1 bunch, Turmeric powder - 1/2 teaspoon, Green chili powder - 2 teaspoons, Asimbu - 1/2 teaspoon, Salt - as required, Oil - a tablespoon</t>
  </si>
  <si>
    <t>நல்ல பால் சுறா - 1/2 கிலோ, பெரிய வெங்காயம் - 2, பச்சை மிளகாய் - 5, பூண்டு - 10 பல், கொத்தமல்லி - 1 கைப்பிடி, கறிவேப்பிலை - 1 கொத்து, மஞ்சள் தூள் - 1/2 டீ ஸ்பூன், பச்சை மிளகாய் தூள் - 2 டீ ஸ்பூன், சோம்பு - 1/2 டீஸ்பூன், உப்பு - தேவையான அளவு, எண்ணெய் - ஒரு குழி கரண்டி</t>
  </si>
  <si>
    <t>When buying shark, do not buy black shark. It is buffalo shark. It does not cook quickly and is not tasty. You should buy white shark. That is milk shark. It tastes good. It also cooks quickly.   Cut the white milk shark into pieces and wash it well. Then add turmeric powder and boil it.  Good milk shark will cook quickly. Remove the skin of the cooked shark, remove the spine and set aside the flesh.  Then add the required amount of salt and chili powder and mash it. Chop the onion, garlic and green chilies into powder.  Next, put a pan on the stove and pour oil and when it is hot, add the chopped aniseed, chopped onion, garlic and green chilies and fry them well. Then add the mashed fish and stir well.  Fry until the chili powder is gone and stir well and remove. Sprinkle with coriander leaves and serve.  That's it, delicious Chettinad shark pudding is ready.</t>
  </si>
  <si>
    <t>சுறா வாங்கும்போது கறுப்பாக உள்ள சுறாவை வாங்கக் கூடாது. அது எருமை சுறா. சீக்கிரத்தில் வேகாது என்பதோடு சுவையாகவும் இருக்காது. வெள்ளை நிறத்தில் இருக்கும் சுறாவைத்தான் வாங்க வேண்டும். அதுதான் பால் சுறா. நல்ல ருசியாக இருக்கும். சீக்கிரத்திலும் வெந்து விடும்.   வெள்ளையாக இருக்கும் பால் சுறாவை துண்டுகளாக்கி நன்றாக கழுவிக் கொள்ளவும். பின் அதை மஞ்சள் தூள் போட்டு வேக வைத்து எடுத்துக் கொள்ளவும்.  நல்ல பால் சுறா சீக்கிரத்திலேயே வெந்து விடும். வெந்த சுறாவை தோல் நீக்கி நடு முள் எடுத்து விட்டு சதையை உதிர்த்து வைக்கவும்.   பின் அதனுடன் தேவையான அளவு உப்பு, மிளகாய் தூள் போட்டு பிசைந்து வைக்கவும். வெங்காயம், பூண்டு, பச்சை மிளகாயை பொடியாக நறுக்கிக் கொள்ளவும்.  அடுத்ததாக அடுப்பில் வாணலி வைத்து எண்ணெய் ஊற்றிக் காய்ந்ததும் சோம்பு தாளித்து பொடியாக வெட்டி வைத்துள்ள வெங்காயம், பூண்டு, பச்சை மிளகாய் போட்டு நன்றாக வதக்கவும். பிறகு பிசைந்து வைத்துள்ள மீனை நன்றாக உதிர்த்துப் போட்டு கிளறவும்.  மிளகாய்தூள் நெடி போகும்வரை வதக்கி நன்கு கிளறி எடுத்து இறக்கவும். கொத்தமல்லித் தழை தூவி பரிமாறவும்.  அவ்வளவுதான் ருசியான செட்டிநாட்டு சுறா புட்டு தயார்.</t>
  </si>
  <si>
    <t>Large crab - 1 kg (5 or 6 will do), Onion - 6, Chili paste - 8, Thaniya - 2 teaspoons, Cereal seeds - 1 teaspoon, Coconut - 2 handfuls, Mustard - 1 teaspoon, Oil - 1/4 kg, Salt - as required</t>
  </si>
  <si>
    <t>பெரிய நண்டு - 1 கிலோ (5 அல்லது 6 வரும்), வெங்காயம் - 6, மிளகாய் வற்றல் - 8, தனியா - 2 டீஸ்பூன், சீரகம் - 1 டீ ஸ்பூன், தேங்காய் - 2 பத்தை, கடுகு - 1 டீஸ்பூன், எண்ணெய் - 1/4 கிலோ, உப்பு - தேவையான அளவு</t>
  </si>
  <si>
    <t>First, clean the crabs and cut them into pieces.  Next, grind the small onion, coconut, chili paste, mustard, Thaniya, and cumin into a fine paste.  Add the ground paste to the crab, along with turmeric powder and required salt, mix well and leave to soak for half an hour to 15 minutes.  Finally, put a frying pan on the stove, pour oil, and when it is hot, add the chopped crab and fry until golden brown.  That's it, the delicious Chettinad crab fry is ready.</t>
  </si>
  <si>
    <t>முதலில் நண்டுகளை சுத்தம் செய்து துண்டுகளாக்கிக் கொள்ளவும்.  அடுத்ததாக சின்ன வெங்காயம், தேங்காய், மிளகாய் வற்றல், கடுகு, தனியா, சீரகம் எல்லாவற்றையும் விழுதாக நன்கு அரைத்துக் கொள்ளவும்.  அரைத்த விழுதை நண்டுடன் சேர்த்து கூடவே மஞ்சள் தூள், தேவையான அளவு உப்பு சேர்த்து பிசறிப் பிறட்டி அரைமணி நேரம் 15 நிமிடம் ஊற வைக்கவும்.  கடைசியாக அடுப்பில் வாணலி வைத்து எண்ணெய் ஊற்றிக் காய்ந்ததும் பிசறி வைத்துள்ள நண்டைப் போட்டு சிவக்க பொரித்தெடுக்கவும்.  அவ்வளவுதான் சுவையான செட்டிநாட்டு நண்டு வறுவல் ரெடி.</t>
  </si>
  <si>
    <t>2 tbsp - Oil, 1/4 tbsp - Mustard Seeds, 1 tbsp - Chopped Ginger, 1 tbsp - Chopped Garlic, 3 - Onions, 250 gms - Mushroom, 1 - Capsicum, 1/4 cup - Water, As required Salt, 1 tbsp - Ghee or Oil, 1/4 tbsp - Mustard Seeds, 2 - Green Chillies, 2 - Dried Red Chillies, As required Curry Leaves, Grind:, 1 tbsp - Pepper, 1 tbsp - Cumin, 1/2 tbsp - Fennel</t>
  </si>
  <si>
    <t>2 டீஸ்பூன் - எண்ணெய், 1/4 டீஸ்பூன் - கடுகு விதைகள், 1 டீஸ்பூன் - நறுக்கிய இஞ்சி, 1 டீஸ்பூன் - நறுக்கிய பூண்டு, 3 - வெங்காயம், 250 கிராம் - காளான், 1 - கேப்சிகம், 1/4 கப் - தண்ணீர், தேவையான உப்பு, 1 டீஸ்பூன் - நெய் அல்லது எண்ணெய், 1/4 டீஸ்பூன் - கடுகு விதைகள், 2 - பச்சை மிளகாய், 2 - உலர்ந்த சிவப்பு மிளகாய், தேவையான கறிவேப்பிலை, அரைக்கவும்:, 1 டீஸ்பூன் - மிளகு, 1 டீஸ்பூன் - சீரகம், 1/2 டீஸ்பூன் - பெருஞ்சீரகம்</t>
  </si>
  <si>
    <t>Crush the chillies, fenugreek and cumin seeds in a mortar and pestle (you can also use a blender to improve the process). Always grind them fresh to make this chilli mushroom as freshly ground chillies have more flavour.  Heat the oil and when the oil is nice and hot add the mustard seeds, chopped ginger and chopped garlic. Stir it and then add the chopped onion. Let the onion fry until it turns nice and brown. That's when we get that wonderful color.  Now when it turns golden brown add the mushroom and mix well. Then add the capsicum (adding capsicum is optional), then the freshly ground masala, add a little water salt as required and mix well with the onion. Fry them on a medium flame for 10 minutes.  Sauteing is an optional step, this step will enhance the taste and flavour of the recipe, heat some ghee and add mustard seeds, green chillies, red chillies, curry leaves and stir and pour it in the mushroom.  That's it, the delicious and spicy mushroom pepper fry is all ready to be tasted.</t>
  </si>
  <si>
    <t>மிளகு சோளம், வெந்தயம் மற்றும் சீரகத்தை ஒரு சாந்து மற்றும் பூச்சியில் நசுக்கவும் (செயல்முறையை மேம்படுத்த நீங்கள் பிளெண்டரையும் பயன்படுத்தலாம்) புதிதாக அரைத்த மிளகில் அதிக சுவை இருப்பதால், இந்த மிளகாய் காளான் தயாரிக்க எப்போதும் அவற்றை புதிதாக அரைக்கவும்.  எண்ணெயை சூடாக்கி, எண்ணெய் நன்றாகவும் சூடாகவும் வந்ததும் கடுகு விதைகளைச் சேர்த்து, நறுக்கிய இஞ்சி மற்றும் நறுக்கிய பூண்டைச் சேர்க்கவும். அதைக் கிளறி, பின்னர் நறுக்கிய வெங்காயத்தைச் சேர்க்கவும். வெங்காயம் நன்றாகவும் பழுப்பு நிறமாகவும் ஆகும் வரை வதக்க வேண்டும். அப்போதுதான் நமக்கு அந்த அற்புதமான நிறம் கிடைக்கும்.  இப்போது அது பொன்னிறமாக மாறியதும் காளானைச் சேர்த்து நன்கு கலக்கவும். பின்னர் கேப்சிகம் (கேப்சிகம் சேர்ப்பது விருப்பமானது), பின்னர் புதிதாக அரைத்த மசாலா, தேவையான அளவு சிறிது தண்ணீர் உப்பு சேர்த்து வெங்காயத்துடன் நன்கு கலக்கவும். அவற்றை 10 நிமிடங்கள் மிதமான தீயில் வறுக்க வேண்டும்.  தாவரப்படுத்துவது ஒரு விருப்பமான படி, இந்த படி செய்முறையின் சுவை மற்றும் சுவையை அதிகரிக்கும், சிறிது நெய்யை சூடாக்கி, கடுகு, பச்சை மிளகாய், சிவப்பு மிளகாய், கறிவேப்பிலை ஆகியவற்றைச் சேர்த்து கிளறி, காளானில் ஊற்றவும்.  அவ்வளவுதான், சுவையான மற்றும் காரமான காளான் மிளகு வறுவல் அனைத்தும் சுவைக்கத் தயாராக உள்ளது.</t>
  </si>
  <si>
    <t>Paneer 65 / Paneer fry</t>
  </si>
  <si>
    <t>பனீர் 65 / பனீர் வறுவல்</t>
  </si>
  <si>
    <t>200g - Paneer, For marination:, 4 Tbsp - Corn flour, 2 Tbsp - Rice flour, 1/2 tsp - Garam Masala, 1 Tbsp - Coriander powder, 1/8 tsp - Turmeric powder, 1 Tbsp - Kashmiri Chili powder, 1  Tbsp - Ginger Garlic Paste, 2 - Green Chilies, 1 spring - Curry leaves, 1/8 tsp - Pepper powder, 1/2 - Lemon, salt to taste, For Garnishing:, 5 - Green Chilies, Few - Curry leaves</t>
  </si>
  <si>
    <t>200 கிராம் - பனீர், மரினேஷனுக்கு:, 4 டேபிள்ஸ்பூன் - சோள மாவு, 2 டேபிள்ஸ்பூன் - அரிசி மாவு, 1/2 டேபிள்ஸ்பூன் - கரம் மசாலா, 1 டேபிள்ஸ்பூன் - கொத்தமல்லி தூள், 1/8 டேபிள்ஸ்பூன் - மஞ்சள் தூள், 1 டேபிள்ஸ்பூன் - காஷ்மீரி மிளகாய் தூள், 1 டேபிள்ஸ்பூன் - இஞ்சி பூண்டு விழுது, 2 - பச்சை மிளகாய், 1 ஸ்பிரிங் - கறிவேப்பிலை, 1/8 டேபிள்ஸ்பூன் - மிளகு தூள், 1/2 - எலுமிச்சை, ருசிக்க உப்பு, வறுக்க:, 5 - பச்சை மிளகாய், சிறிது - கறிவேப்பிலை</t>
  </si>
  <si>
    <t>In a bowl add corn flour,rice flour, Ginger garlic paste, garam masala, chili powder,Turmeric powder, salt , chopped green chilies, chopped curry leaves, pepper powder, lemon juice, salt , add little water and mix it nicely to for am thick paste.  Coat the paneer in this marinade and fry it over medium high. Do not over crowd the pieces there should be enough space between the pieces only then the paneer will fry uniformly all around. Once they are half done flip it to the other side and fry until crisp and golden brown.  Finally fry some green chilies and curry leaves until crispy and add it to the fried paneer pieces for garnishing.  Our delicious Paneer 65 is ready to be enjoyed as a starer or as a side for biryani, plain rice and lot more.See how easy this is to make and I can guarantee you that this restaurant style paneer fry tastes several time better than the one we buy from stores and hotels.</t>
  </si>
  <si>
    <t>ஒரு பாத்திரத்தில் சோள மாவு, அரிசி மாவு, இஞ்சி பூண்டு விழுது, கரம் மசாலா, மிளகாய் தூள், மஞ்சள் தூள், உப்பு, நறுக்கிய பச்சை மிளகாய், நறுக்கிய கறிவேப்பிலை, மிளகு தூள், எலுமிச்சை சாறு, உப்பு சேர்த்து, சிறிது தண்ணீர் சேர்த்து நன்றாக கெட்டியாக கலக்கவும்.  இந்த மேரினேட்டில் பனீர் பூசி, மிதமான அளவில் வதக்கவும். துண்டுகளை அதிகமாக நிரப்ப வேண்டாம், துண்டுகளுக்கு இடையில் போதுமான இடைவெளி இருக்க வேண்டும், அப்போதுதான் பனீர் சுற்றிலும் சீராக வறுத்துவிடும். அவை பாதி வெந்தவுடன் அதை மறுபுறம் திருப்பி, மொறுமொறுப்பாகவும், தங்க பழுப்பு நிறமாகவும் வறுக்கவும்.  இறுதியாக சில பச்சை மிளகாய் மற்றும் கறிவேப்பிலை மொறுமொறுப்பாக வறுத்து, வறுத்த பனீர் துண்டுகளுடன் சேர்த்து அலங்கரிக்கவும்.  எங்கள் சுவையான பனீர் 65 ஒரு ஸ்டேரராகவோ அல்லது பிரியாணி, சாதாரண சாதம் மற்றும் பலவற்றிற்கு ஒரு சைட் ஆகவோ சாப்பிட தயாராக உள்ளது. இதைச் செய்வது எவ்வளவு எளிது என்று பாருங்கள், இந்த உணவக பாணி பனீர் ஃப்ரை நாங்கள் கடைகள் மற்றும் ஹோட்டல்களில் வாங்குவதை விட பல மடங்கு சுவையாக இருக்கும் என்று நான் உங்களுக்கு உத்தரவாதம் அளிக்க முடியும்.</t>
  </si>
  <si>
    <t>https://www.maggi.in/sites/default/files/styles/home_stage_1500_700/public/srh_recipes/438121a9e0860e365fadc5791fbf689c.jpg?h=c1449715&amp;itok=EmwKb6_5</t>
  </si>
  <si>
    <t>1 - Cauliflower (medium sized), 1/4 cup - corn starch, 1/2 cup - all purpose flour/ maida, 1/2 tsp - pepper powder, 1 tsp - Chili sauce, required water, salt, For Manchurian: , 2 tbsp - Oil, 1 tbsp - grated ginger, 1 tbsp - grated garlic, 1 - Onion, 1/2 - Bell pepper, 2 tbsp - Chilli sauce, 2 tbsp - Tomato sauce, 1 tsp - soy sauce, 1 tsp - pepper power, Required salt, spring Onion for garnishing</t>
  </si>
  <si>
    <t>1 - காலிஃபிளவர் (நடுத்தர அளவு), 1/4 கப் - சோள மாவு, 1/2 கப் - அனைத்து உபயோக மாவு/ மைதா, 1/2 தேக்கரண்டி - மிளகு தூள், 1 தேக்கரண்டி - மிளகாய் தூள், 1 தேக்கரண்டி - மிளகாய் சாஸ், தேவையான தண்ணீர், உப்பு, மஞ்சூரியனுக்கு: , 2 தேக்கரண்டி - எண்ணெய், 1 தேக்கரண்டி - துருவிய இஞ்சி, 1 தேக்கரண்டி - துருவிய பூண்டு, 1 - வெங்காயம், 1/2 - பெல் பெப்பர், 2 தேக்கரண்டி - மிளகாய் சாஸ், 2 தேக்கரண்டி - தக்காளி சாஸ், 1 தேக்கரண்டி - சோயா சாஸ், 1 தேக்கரண்டி - மிளகு பவர், தேவையான உப்பு, அலங்கரிக்க வெங்காயம்</t>
  </si>
  <si>
    <t>Combine the dry ingredients 1/4 cup corn starch , 1/2 cup all purpose flour, salt, 1/2 tsp pepper powder,1 tsp chili sauce and add 1/2-3/4 cup of water and make it into a thick batter the batter should be thick enough to coat the surface of the cauliflower  Cut the cauliflower into medium sized florets and coat it well with the batter (you can also blanch the cauliflower(cook the florets in water for 3-5 minutes)  Fry the coated florets in hot oil and keep it aside  In a pan heat 2 tbsp oil and add 1 tbsp of finely chopped ginger and 1 tbsp of finely chopped garlic and after the raw smell is gone add 1 finely chopped onion and 1/2 capsicum (bell pepper)  Add the sauces 2 tbsp chili sauce, 2 tbsp tomato sauce(ketchup) and 1 tsp SOY sauce (if the soy sauce is milder add 2 tsp) mix well and add some pepper powder  Reduce the amount of salt because all these sauces has lot of salt content in it   now add the fried cauliflower florets and mix well with the ingredients and garnish it with some chopped spring onion  delicious Cauliflower manchurian dry / Gobi Manchurian is ready to be served.</t>
  </si>
  <si>
    <t>உலர்ந்த பொருட்களை ஒன்றாக சேர்த்து 1/4 கப் சோள மாவு, 1/2 கப் அனைத்து உபயோக மாவு, உப்பு, 1/2 தேக்கரண்டி மிளகு தூள், 1 தேக்கரண்டி மிளகாய் சாஸ் மற்றும் 1/2-3/4 கப் தண்ணீர் சேர்த்து ஒரு தடிமனான மாவாக மாற்றவும் மாவு காலிஃபிளவரின் மேற்பரப்பை பூசும் அளவுக்கு தடிமனாக இருக்க வேண்டும்  வெட்டவும் காலிஃபிளவரை நடுத்தர அளவிலான பூக்களாக வெட்டி, மாவுடன் நன்றாக பூசவும் (நீங்கள் காலிஃபிளவரை வெளுக்கலாம் (பூக்களை 3-5 நிமிடங்கள் தண்ணீரில் சமைக்கலாம்)  பூசப்பட்ட பூக்களை சூடான எண்ணெயில் வறுக்கவும், அதை ஒதுக்கி வைக்கவும்  ஒரு கடாயில் 2 தேக்கரண்டி எண்ணெயை சூடாக்கி, 1 தேக்கரண்டி இறுதியாக நறுக்கிய இஞ்சி மற்றும் 1 தேக்கரண்டி இறுதியாக நறுக்கிய பூண்டு சேர்க்கவும், பச்சை வாசனை போன பிறகு 1 இறுதியாக நறுக்கிய வெங்காயம் மற்றும் 1/2 கேப்சிகம் (பெல் பெப்பர்) சேர்க்கவும்  சாஸ்களை 2 தேக்கரண்டி மிளகாய் சாஸ், 2 தேக்கரண்டி தக்காளி சாஸ் (கெட்ச்அப்) மற்றும் 1 தேக்கரண்டி சோயா சாஸ் (சோயா சாஸ் லேசானதாக இருந்தால் 2 தேக்கரண்டி சேர்க்கவும்) சேர்த்து நன்கு கலந்து சிறிது மிளகு தூள் சேர்க்கவும்  உப்பின் அளவைக் குறைக்கவும், ஏனெனில் இந்த அனைத்து சாஸ்களிலும் உப்பு அதிகம் உள்ளது  இப்போது வறுத்த காலிஃபிளவர் பூக்களைச் சேர்த்து, பொருட்களுடன் நன்றாக கலந்து, சிறிது நறுக்கிய வசந்த வெங்காயத்தால் அலங்கரிக்கவும்  சுவையான காலிஃபிளவர் மஞ்சூரியன் உலர் / கோபி மஞ்சூரியன் பரிமாற தயாராக உள்ளது.</t>
  </si>
  <si>
    <t>Vegetable Pongal</t>
  </si>
  <si>
    <t>காய்கறி பொங்கல்</t>
  </si>
  <si>
    <t>1 cup - Brown rice (200 grams), 1/2 cup - Alfalfa (100 grams), 1 tablespoon - Oil, 1 inch - Ginger, 3 - Green Chillies, 1 - Onion, 2 - Carrots, 10-12 - Green Beans, 1/2 cup - Green Peas, 5 cups - Water, 1 tablespoon - Ghee, Required Salt, 2 tablespoons - Ghee, 10-12 - Cashews, 1 tablespoon - Pepper, 1 tablespoon - Cumin, Pinch of coriander, Curry leaves</t>
  </si>
  <si>
    <t>1 கப் - பச்சரிசி (200 கிராம்), 1/2 கப் - பாசிப்பருப்பு (100 கிராம்), 1 டேபிள் ஸ்பூன் - எண்ணெய், 1 அங்குலம் - இஞ்சி, 3 - பச்சை மிளகாய், 1 - வெங்காயம், 2 - கேரட், 10-12 - பச்சை பீன்ஸ், 1/2 கப் - பச்சை பட்டாணி, 5 கப் - தண்ணீர், 1 டேபிள் ஸ்பூன் - நெய், தேவையான உப்பு, 2 டேபிள் ஸ்பூன் - நெய், 10-12 - முந்திரி, 1 டேபிள் ஸ்பூன் - மிளகு, 1 டேபிள் ஸ்பூன் - சீரகம், சிட்டிகை பெருங்காயம், கறிவேப்பிலை</t>
  </si>
  <si>
    <t>Fry the dry rice and dal on medium heat for two minutes. The color of the dal should not change. When the dal starts to smell good, switch off the stove and rinse it twice with water.  Heat oil in a cooker, add ginger (chopped) and green chillies. Stir it, then add chopped onion and vegetables - carrots, beans, peas. Saute for a minute, then add rice and dal, add a little ghee and mix well.  For (1 cup rice + 1/2 cup dal), you will need 5 cups of water. Add salt as required, cover and cook on medium flame for 4 whistles.  The rice should be cooked till it becomes soft and mushy, that is why we add more water.  Melt ghee in a pan and fry the cashew nuts, once the cashews turn golden brown, add the chillies (if you don't want to add whole chillies, crush them and add them to the recipe). Add cumin seeds, a pinch of turmeric and curry leaves. Mix once and switch off the flame.  Add the seasonings that you used in Pongal and mix well. If you want, you can add more ghee at the end, so that it gets a nice aroma and taste.  That's it, our vegetable veen phokal is ready to serve, it's time to celebrate Pongal.</t>
  </si>
  <si>
    <t>உலர்ந்த அரிசி மற்றும் பருப்பை மிதமான தீயில் இரண்டு நிமிடங்கள் வறுக்கவும். பருப்பின் நிறம் மாறக்கூடாது. பருப்பின் நல்ல வாசனை வந்ததும், அடுப்பை அணைத்து, இரண்டு முறை தண்ணீரில் கழுவவும்.  குக்கரில் எண்ணெயை சூடாக்கி, இஞ்சி (நறுக்கியது) மற்றும் பச்சை மிளகாய் சேர்க்கவும். அதை கிளறி, பின்னர் நறுக்கிய வெங்காயத்தையும் காய்கறிகளையும் சேர்க்கவும் - கேரட், பீன்ஸ், பட்டாணி. ஒரு நிமிடம் வதக்கி, பின்னர் அரிசி மற்றும் பருப்பைச் சேர்த்து, சிறிது நெய் சேர்த்து நன்கு கலக்கவும்.  (1 கப் அரிசி + 1/2 கப் பருப்பு) க்கு, 5 கப் தண்ணீர் தேவைப்படும். தேவையான உப்பு சேர்த்து, மூடி வைத்து, மிதமான தீயில் 4 விசில் வரை சமைக்கவும்.  அரிசி மென்மையாகவும், மிருதுவாகவும் மாறும் வரை சமைக்க வேண்டும், அதனால்தான் நாங்கள் அதிக தண்ணீர் சேர்க்கிறோம்.  ஒரு கடாயில் நெய்யை உருக்கி, முந்திரி பருப்பை வறுக்கவும், முந்திரி பொன்னிறமாக மாறியதும் மிளகுத்தூள் சேர்க்கவும் (முழு மிளகாய் சேர்க்க விரும்பவில்லை என்றால், அதை நசுக்கி செய்முறையில் சேர்க்கவும்). சீரகம், சிட்டிகை பெருங்காயம் மற்றும் கறிவேப்பிலை சேர்க்கவும். ஒரு முறை கலந்து, தீயை அணைக்கவும். பொங்கலில் தாளிக்க வைத்ததைச் சேர்த்து நன்கு கலக்கவும். நீங்கள் விரும்பினால், கடைசியில் அதிக நெய் சேர்க்கலாம், இதனால் நல்ல மணமும் சுவையும் கிடைக்கும்.  அவ்வளவுதான் எங்கள் காய்கறி வெண் போகல் பரிமாற தயாராக உள்ளது, பொங்கல் கொண்டாட வேண்டிய நேரம் இது.</t>
  </si>
  <si>
    <t>https://www.indianveggiedelight.com/wp-content/uploads/2022/10/ven-pongal.jpg</t>
  </si>
  <si>
    <t>250 g - Paneer, 1/2 tsp - Chili powder, 1/8 tsp - Salt, 2 tbsp - Butter, 2 tbsp - Ghee / Clarified Butter, 2 Tbsp - Oil, 2 - bay leaves, 3 - cardamom , 4 - cloves, 1 - Cinnamon Stick , 2  - Star anise, 10 - Pepper corns, 3 - Green Chilies, 1 tsp - Ginger garlic paste, 10 - Cashews, 1 large - Onion, 5-6 - Beans, 1 tsp - Chili powder, 1 tsp - Garam masala, 1 - Carrot, 1/4 cup - Peas, 2 cup - Basmati Rice, 3 cup - Water , Handful, coriander and Mint leaves, Salt to taste</t>
  </si>
  <si>
    <t>250 கிராம் - பனீர், 1/2 தேக்கரண்டி - மிளகாய் தூள், 1/8 தேக்கரண்டி - உப்பு, 2 தேக்கரண்டி - வெண்ணெய், 2 தேக்கரண்டி - நெய் / தெளித்த வெண்ணெய், 2 தேக்கரண்டி - எண்ணெய், 2 - பிரியாணி இலைகள், 3 - ஏலக்காய், 4 - கிராம்பு, 1 - இலவங்கப்பட்டை, 2 - நட்சத்திர சோம்பு, 10 - மிளகு சோளம், 3 - பச்சை மிளகாய், 1 தேக்கரண்டி - இஞ்சி பூண்டு விழுது, 10 - முந்திரி, 1 பெரிய வெங்காயம், 5-6 - பீன்ஸ், 1 தேக்கரண்டி - மிளகாய் தூள், 1 தேக்கரண்டி - கரம் மசாலா, 1 - கேரட், 1/4 கப் - பட்டாணி, 2 கப் - பாஸ்மதி அரிசி, 3 கப் - தண்ணீர், கைப்பிடி அளவு -, கொத்தமல்லி மற்றும் புதினா இலைகள், சுவைக்கேற்ப உப்பு</t>
  </si>
  <si>
    <t>In a mixing bowl add the paneer and marinate with chili powder and salt. fry the paneer in ghee or oil until golden.   In a heavy bottom pan melt ghee and oil (ghee imparts nice flavor and taste to the recipe).Then add the whole spices - bay leaves, cinnamon, cardamom, star anise, cloves and pepper corns. Mix it once and then add sliced onions, green chilies and ginger garlic paste.  Once the onions turns golden add chopped veggies - Carrot, beans,peas and cook for 2 minutes. Then the masalas - chili powder and garam masala. Cook for few seconds and then add the soaked basmati rice (soak for 20 -30 minutes), 3 cups of water, Salt . Cover and cook until the rice is done.If you are using a pressure cooked then cook for 1 whistle on a medium heat.   Then add in the fried Paneer, Cashews, Mint and coriander leaves, cover and cook for 5 minutes. Finally add a tsp of ghee and gently stir the rice.   That's it our Paneer pulao recipe is ready to be enjoyed with Raitha. This is really simple to make and the flavor from the rice and masala makes the mouth to water.</t>
  </si>
  <si>
    <t>ஒரு கலவை பாத்திரத்தில் பனீர் சேர்த்து மிளகாய் தூள் மற்றும் உப்பு சேர்த்து மரைனேட் செய்யவும். பனீரை நெய் அல்லது எண்ணெயில் பொன்னிறமாகும் வரை வறுக்கவும்.  அடி கனமான பாத்திரத்தில் நெய் மற்றும் எண்ணெயை உருக்கவும் (நெய் செய்முறைக்கு நல்ல சுவையையும் சுவையையும் தருகிறது). பின்னர் முழு மசாலாப் பொருட்களையும் சேர்க்கவும் - பிரிஞ்சி இலைகள், இலவங்கப்பட்டை, ஏலக்காய், நட்சத்திர சோம்பு, கிராம்பு மற்றும் மிளகுத்தூள். ஒரு முறை கலந்து, பின்னர் நறுக்கிய வெங்காயம், பச்சை மிளகாய் மற்றும் இஞ்சி பூண்டு விழுது சேர்க்கவும்.  வெங்காயம் பொன்னிறமாக மாறியதும் நறுக்கிய காய்கறிகள் - கேரட், பீன்ஸ், பட்டாணி சேர்த்து 2 நிமிடங்கள் சமைக்கவும். பின்னர் மசாலாக்கள் - மிளகாய் தூள் மற்றும் கரம் மசாலா. சில நொடிகள் சமைக்கவும், பின்னர் ஊறவைத்த பாஸ்மதி அரிசி (20-30 நிமிடங்கள் ஊறவைக்கவும்), 3 கப் தண்ணீர், உப்பு சேர்க்கவும். மூடி வைத்து அரிசி வேகும் வரை சமைக்கவும். நீங்கள் பிரஷர் வேகவைத்திருந்தால், மிதமான தீயில் 1 விசில் வைக்கவும்.  பின்னர் வறுத்த பனீர், முந்திரி, புதினா மற்றும் கொத்தமல்லி இலைகளைச் சேர்த்து, மூடி வைத்து 5 நிமிடங்கள் சமைக்கவும். இறுதியாக ஒரு தேக்கரண்டி நெய் சேர்த்து சாதத்தை மெதுவாகக் கிளறவும்.  அவ்வளவுதான் எங்கள் பனீர் புலாவ் செய்முறை ரைத்தாவுடன் சுவைக்கத் தயாராக உள்ளது. இதைச் செய்வது மிகவும் எளிது, அரிசி மற்றும் மசாலாவின் சுவை வாயில் நீர் ஊற வைக்கிறது.</t>
  </si>
  <si>
    <t>1 Cup - Basmati Rice (soak for 20 minutes), 150g - Paneer, 1/4 tsp Chili powder+1/8 tsp pepper +1/8 tsp Salt, 2+2 tbsp - Oil, 1 tbsp - finely chopped Garlic, 1 tbsp - finely chopped Ginger, 1/2 - Onion, 1 large - Carrot, 1/4 - Cabbage, 5-6 - Beans, 1 tsp - Chili Sauce, 1 tsp - Soy Sauce, 1/2 tsp - pepper powder, Handfull - Spring Onions, Water and 1 tbsp oil while cooking rice, Salt to Taste</t>
  </si>
  <si>
    <t>1 கப் - பாஸ்மதி அரிசி (20 நிமிடங்கள் ஊற வைக்கவும்), 150 கிராம் - பனீர், 1/4 தேக்கரண்டி மிளகாய்த்தூள்+1/8 தேக்கரண்டி மிளகு +1/8 தேக்கரண்டி உப்பு, 2+2 தேக்கரண்டி - எண்ணெய், 1 தேக்கரண்டி - பொடியாக நறுக்கிய பூண்டு, 1 தேக்கரண்டி - பொடியாக நறுக்கிய இஞ்சி, 1/2 - வெங்காயம், 1 பெரியது - கேரட், 1/4 - முட்டைக்கோஸ், 5-6 - பீன்ஸ், 1 தேக்கரண்டி - மிளகாய்த்தூள், 1 தேக்கரண்டி - சோயா சாஸ், 1/2 தேக்கரண்டி - மிளகு தூள், கைப்பிடி அளவு - வெங்காயம், அரிசி சமைக்கும் போது தண்ணீர் மற்றும் 1 தேக்கரண்டி எண்ணெய், சுவைக்கேற்ப உப்பு</t>
  </si>
  <si>
    <t>Soak the Basmati rice in water for 20 minutes and cook in water with some salt until the rice is 90% cooked..Do not over cook the rice..To get perfect strands add a tbsp of oil into the boiling water before adding the rice.This prevents the rice from sticking to one another.Once 90% cooked spread the rice on a paper towel to remove any moisture from the rice or keep under fan.This step is very important to get the best fried rice with single strands of rice.  Season the paneer with Chile powder, Pepper , salt and fry it it oil until nice and golden on all the sides.  Heat oil in a pan and add finely chopped ginger, finely chopped garlic and salte it for few seconds. Then add in sliced onion and mix it. Now to this add cubed Carrot, Cabbage, Beans and cook until the veggies are 80 -90% cooked do not overcook the vegetables we still need to retain some texture of the veggies.  Then add the sauces - chili sauce, Soy sauce ,required salt and mix it again.You can also use capsicum if you like.Then add the cooked basmati rice and mix everything very gently and carefully, do not break the rice.  Finally add in the fried Paneer, freshly ground pepper, some salt and some spring onions for garnishing and mix well.  Our Delicious Paneer Fried rice is ready to be served.</t>
  </si>
  <si>
    <t>பாஸ்மதி அரிசியை 20 நிமிடங்கள் தண்ணீரில் ஊறவைத்து, அரிசி 90% வேகும் வரை சிறிது உப்பு சேர்த்து தண்ணீரில் சமைக்கவும்..அரிசியை அதிகமாக சமைக்க வேண்டாம்..சரியான இழைகளைப் பெற அரிசியைச் சேர்ப்பதற்கு முன் கொதிக்கும் நீரில் ஒரு தேக்கரண்டி எண்ணெயைச் சேர்க்கவும். இது அரிசி ஒன்றோடொன்று ஒட்டாமல் தடுக்கிறது. 90% சமைத்த பிறகு அரிசியை ஒரு காகிதத் துண்டில் பரப்பவும். அரிசியிலிருந்து ஈரப்பதத்தை நீக்கவும் அல்லது மின்விசிறியின் கீழ் வைக்கவும். ஒற்றை இழை அரிசியுடன் சிறந்த ஃபிரைடு ரைஸைப் பெற இந்த படி மிகவும் முக்கியமானது.  பனீரை மிளகாய் தூள், மிளகு, உப்பு சேர்த்து தாளிக்கவும், எண்ணெயில் அனைத்து பக்கங்களிலும் நன்றாகவும் பொன்னிறமாகவும் மாறும் வரை வறுக்கவும்.  ஒரு வாணலியில் எண்ணெயை சூடாக்கி, இறுதியாக நறுக்கிய இஞ்சி, இறுதியாக நறுக்கிய பூண்டு சேர்த்து சில நொடிகள் உப்பு சேர்க்கவும். பின்னர் நறுக்கிய வெங்காயத்தைச் சேர்த்து கலக்கவும். இப்போது இதனுடன் க்யூப்ஸ் செய்யப்பட்ட கேரட், முட்டைக்கோஸ், பீன்ஸ் சேர்த்து காய்கறிகள் 80 -90% வேகும் வரை சமைக்கவும். காய்கறிகளை அதிகமாக வேகவிடாதீர்கள், காய்கறிகளின் அமைப்பை இன்னும் தக்க வைத்துக் கொள்ள வேண்டும்.  பின்னர் சாஸ்கள் - மிளகாய் சாஸ், சோயா சாஸ், தேவையான உப்பு சேர்த்து மீண்டும் கலக்கவும். நீங்கள் விரும்பினால் கேப்சிகத்தையும் பயன்படுத்தலாம். பின்னர் சமைத்த பாஸ்மதி அரிசியைச் சேர்த்து எல்லாவற்றையும் மிகவும் மெதுவாகவும் கவனமாகவும் கலக்கவும், அரிசியை உடைக்க வேண்டாம்.  இறுதியாக வறுத்த பனீர், புதிதாக அரைத்த மிளகு, சிறிது உப்பு மற்றும் அலங்காரத்திற்கு சிறிது ஸ்பிரிங் வெங்காயம் சேர்த்து நன்கு கலக்கவும்.  எங்கள் சுவையான பனீர் ஃபிரைடு ரைஸ் பரிமாற தயாராக உள்ளது.</t>
  </si>
  <si>
    <t>தேங்காய் பால் சாதம் | தேங்காய் பால் சாதம்</t>
  </si>
  <si>
    <t>2 tbsp - Ghee / Clarified Butter, 1 - Cinnamon stick, 1 - Bay leaves, 2 - Cardamom, 3 Cloves, 6 - pepper cons, 1/2 tsp - Cumin seeds, 10-12 - Cashew Nuts, 1 tbsp - Finely chopped Ginger, 2,3  - Green Chilies, 1 - Onion, 1/4 cup - Green Peas, 1  - Carrot, 1 cup - Basmati Rice, 2 cup - Coconut Milk, Coriander and Mint leaves, Salt to Taste</t>
  </si>
  <si>
    <t>2 டேபிள் ஸ்பூன் - நெய் / தெளித்த வெண்ணெய், 1 - இலவங்கப்பட்டை குச்சி, 1 - பிரியாணி இலைகள், 2 - ஏலக்காய், 3 கிராம்பு, 6 - மிளகு குறைபாடுகள், 1/2 டேபிள் ஸ்பூன் - சீரகம், 10-12 - முந்திரி பருப்பு, 1 டேபிள் ஸ்பூன் - இறுதியாக நறுக்கிய இஞ்சி, 2,3 - பச்சை மிளகாய், 1 - வெங்காயம், 1/4 கப் - பச்சை பட்டாணி, 1 - கேரட், 1 கப் - பாஸ்மதி அரிசி, 2 கப் - தேங்காய் பால், கொத்தமல்லி மற்றும் புதினா இலைகள், சுவைக்கேற்ப உப்பு</t>
  </si>
  <si>
    <t>Melt ghee in a pan and add the whole spices - cinnamon stick, bay leaves, cardamom, cloves and pepper corns,Cumin seeds,  Ginger , green chilies and cashews. Saute it for a minute. Add 1 sliced onion and cook for 3-4 minutes until it turns golden.   Next add the vegetables ,I have used peas and carrot, you can add any vegetables of your choice. Mix it well and let it cook for 2 minutes. If you are using dry peas then soak it overnight and then cook it slightly and add it along with other vegetables. Drain the water and add the soaked basmatic rice (soaked in water for 15minutes) ,   The ratio of Rice to coconut milk is 1 : 2 so for 1 cup of rice we need 2 cups of coconut milk. If you wanna make them in pressure cooker then cook for 1 whistle on medium heat. Add salt and check for salt, the water should taste little salty indicating the amount of salt s correct. Cover and cook on a medium heat until all the water has been absorbed by the rice or until the rice is fully cooked.   Finally add coriander and mint leaves. Once done flip the rice gently and serve.</t>
  </si>
  <si>
    <t>ஒரு கடாயில் நெய்யை உருக்கி, முழு மசாலாப் பொருட்களையும் சேர்க்கவும் - இலவங்கப்பட்டை குச்சி, பிரியாணி இலைகள், ஏலக்காய், கிராம்பு மற்றும் மிளகு சோளம், சீரகம், இஞ்சி, பச்சை மிளகாய் மற்றும் முந்திரி. ஒரு நிமிடம் வதக்கவும். 1 துண்டுகளாக்கப்பட்ட வெங்காயத்தைச் சேர்த்து 3-4 நிமிடங்கள் பொன்னிறமாகும் வரை சமைக்கவும்.  அடுத்து காய்கறிகளைச் சேர்க்கவும். நான் பட்டாணி மற்றும் கேரட் பயன்படுத்தியுள்ளேன். உங்களுக்கு விருப்பமான எந்த காய்கறிகளையும் சேர்க்கலாம். அதை நன்றாகக் கலந்து 2 நிமிடங்கள் சமைக்கவும். நீங்கள் உலர்ந்த பட்டாணியைப் பயன்படுத்துகிறீர்கள் என்றால், அதை இரவு முழுவதும் ஊறவைத்து, பின்னர் சிறிது வேகவைத்து, மற்ற காய்கறிகளுடன் சேர்க்கவும்.  தண்ணீரை வடிகட்டி, ஊறவைத்த பாஸ்மாடிக் அரிசியைச் சேர்க்கவும் (15 நிமிடங்கள் தண்ணீரில் ஊறவைக்கவும்),  அரிசி மற்றும் தேங்காய் பாலின் விகிதம் 1: 2 ஆகும், எனவே 1 கப் அரிசிக்கு 2 கப் தேங்காய் பால் தேவை. நீங்கள் அவற்றை பிரஷர் குக்கரில் செய்ய விரும்பினால், நடுத்தர வெப்பத்தில் 1 விசில் வரை சமைக்கவும். உப்பு சேர்த்து உப்பு இருக்கிறதா என்று சரிபார்க்கவும், தண்ணீர் சிறிது உப்பு சுவைக்க வேண்டும், இது உப்பின் அளவு சரியாக இருப்பதைக் குறிக்கிறது.  அரிசியால் அனைத்து தண்ணீரும் உறிஞ்சப்படும் வரை அல்லது அரிசி முழுமையாக வேகும் வரை மிதமான வெப்பத்தில் மூடி வைத்து சமைக்கவும்.  கடைசியாக கொத்தமல்லி மற்றும் புதினா இலைகளைச் சேர்க்கவும். தயாரானதும், அரிசியை மெதுவாகத் திருப்பி பரிமாறவும்.</t>
  </si>
  <si>
    <t>2 cup - Cooked Rice (I have used Basmati rice), 2 bunch - Coriander leaves, 4 - Green Chilies, 1 inch - Ginger, 2 tbsp - Oil, 1/4 tsp - mustard seeds, 1 tsp - Urad dal, 1 tsp - Chana dal, 1 - Cinnamon stick , 1 - bay leaf, 2 - cloves, 2 - dry red chilies, 1 tbsp - Cashews or peanuts, 1 - Onion (medium size), Salt to taste</t>
  </si>
  <si>
    <t>2 கப் - சமைத்த சாதம் (நான் பாசுமதி அரிசி பயன்படுத்தியுள்ளேன்), 2 கொத்து - கொத்தமல்லி இலைகள், 4 - பச்சை மிளகாய், 1 அங்குலம் - இஞ்சி, 2 டீஸ்பூன் - எண்ணெய், 1/4 டீஸ்பூன் - கடுகு, 1 டீஸ்பூன் - உளுத்தம் பருப்பு, 1 டீஸ்பூன் - கடலை பருப்பு, 1 - இலவங்கப்பட்டை குச்சி, 1 - பிரியாணி இலை, 2 - கிராம்பு, 2 - உலர்ந்த சிவப்பு மிளகாய், 1 டீஸ்பூன் - முந்திரி அல்லது வேர்க்கடலை, 1 - வெங்காயம் (நடுத்தர அளவு), ருசிக்க உப்பு</t>
  </si>
  <si>
    <t>Juice of half lemon  Wash and remove the thick stem of coriander leaves, add it to a blender along with green chilies and ginger. Grind it to a fine paste.  Heat oil is a pan and temper with mustard seeds, urad dal, chana dal, cinnamon stick, bay leaves , cloves and dry red chilies and few cahews.Then add sliced onion and saute until golden brown. Then add the ground coriander leaves and cook for a couple of minutes until dry, add required salt.  Once the mixture becomes slightly dry add the cooked rice and mix well until the rice is well coated with the coriander mixture,. finally squeeze in lemon juice and turn off the heat.  That's it our delicious coriander rice is ready to go into the tiffin box along with some potato varuval and vadagam.</t>
  </si>
  <si>
    <t>அரை எலுமிச்சை சாறு  கொத்தமல்லி இலைகளின் தடிமனான தண்டுகளை கழுவி நீக்கி, பச்சை மிளகாய் மற்றும் இஞ்சியுடன் சேர்த்து ஒரு பிளெண்டரில் சேர்க்கவும். அதை நன்றாக அரைக்கவும்.  ஒரு கடாயில் எண்ணெயை சூடாக்கி, கடுகு, உளுத்தம் பருப்பு, சன்னா பருப்பு, இலவங்கப்பட்டை குச்சி, பிரியாணி இலைகள், கிராம்பு மற்றும் உலர்ந்த சிவப்பு மிளகாய் மற்றும் சில கஹூஸ் ஆகியவற்றை சேர்த்து நன்கு அரைக்கவும். பின்னர் நறுக்கிய வெங்காயத்தைச் சேர்த்து பொன்னிறமாகும் வரை வதக்கவும். பிறகு அரைத்த கொத்தமல்லி இலைகளைச் சேர்த்து, இரண்டு நிமிடங்கள் வதக்கி, தேவையான உப்பு சேர்க்கவும்.  கலவை சிறிது காய்ந்ததும், சமைத்த அரிசியைச் சேர்த்து, அரிசி கொத்தமல்லி கலவையுடன் நன்கு பூசப்படும் வரை நன்கு கலக்கவும். இறுதியாக எலுமிச்சை சாற்றை பிழிந்து, அடுப்பை அணைக்கவும்.  அவ்வளவுதான், நம் சுவையான கொத்தமல்லி சாதம், சிறிது உருளைக்கிழங்கு வறுவல் மற்றும் வடகத்துடன் டிபன் பாக்ஸில் வைக்க தயாராக உள்ளது.</t>
  </si>
  <si>
    <t>1 Cup - Basmati Rice (soak for 30 minutes), 5 - Eggs, 1 tbsp - finely chopped Ginger, 1 tbsp - finely chopped Garlic, 2+2 tbsp - Oil, 1 large - Carrot, 1/4 - Cabbage, 10 -12 - Beans, 1 tsp - Chili Sauce, 1 tsp - Soy Sauce, 1/2 tsp - pepper powder, Handfull - Spring Onions, Water and 1 tbsp oil while cooking rice, Salt to Taste</t>
  </si>
  <si>
    <t>1 கப் - பாஸ்மதி அரிசி (30 நிமிடங்கள் ஊறவைக்கவும்), 5 - முட்டை, 1 டேபிள் ஸ்பூன் - நன்றாக நறுக்கிய இஞ்சி, 1 டேபிள் ஸ்பூன் - நன்றாக நறுக்கிய பூண்டு, 2+2 டேபிள் ஸ்பூன் - எண்ணெய், 1 பெரியது - கேரட், 1/4 - முட்டைக்கோஸ், 10 -12 - பீன்ஸ், 1 டேபிள் ஸ்பூன் - மிளகாய் சாஸ், 1 டேபிள் ஸ்பூன் - சோயா சாஸ், 1/2 டேபிள் ஸ்பூன் - மிளகு தூள், கைப்பிடி அளவு - வெங்காயம், அரிசி சமைக்கும் போது தண்ணீர் மற்றும் 1 டேபிள் ஸ்பூன் எண்ணெய், சுவைக்கு உப்பு</t>
  </si>
  <si>
    <t>Soak the Basmati rice in water for 30 minutes and cook in water with some salt until the rice is 90% cooked..Do not over cook the rice..To get perfect strands add a tbsp of oil into the boiling water before adding the rice.This prevents the rice from sticking to one another.Once 90% cooked spread the rice on a paper towel to remove any moisture from the rice or keep under fan.This step is very important to get the best fried rice with single strands of rice.  Heat oil in a pan and add the eggs , if you are diet conscious use 5 whites and 2 yolks (this is how I make normally at home) . Add a pinch of salt and some pepper powder and scramble the eggs.  Heat oil in a pan and add finely chopped ginger, finely chopped garlic and saute it for few seconds. Next add in cubed Carrot, Cabbage, Beans and cook until the veggies are 80 -90% cooked do not overcook the vegetables we still need to retain some texture of the veggies.  Then add the sauces - chili sauce, Soy sauce ,required salt and mix it again.You can also use capsicum if you like.Then add the cooked basmati rice and the scrambled eggs. Mix everything very gently and carefully.Do not break the rice.After mixing it add freshly ground pepper and some spring onions for garnishing.  Our Delicious Egg Fried rice is ready to be served with any of your favorite side like Chicken Manchurian or veg Manchurian.</t>
  </si>
  <si>
    <t>பாஸ்மதி அரிசியை 30 நிமிடங்கள் தண்ணீரில் ஊறவைத்து, அரிசி 90% வேகும் வரை சிறிது உப்பு சேர்த்து தண்ணீரில் சமைக்கவும்..அரிசியை அதிகமாக சமைக்க வேண்டாம்..சரியான இழைகளைப் பெற அரிசியைச் சேர்ப்பதற்கு முன் கொதிக்கும் நீரில் ஒரு டேபிள் ஸ்பூன் எண்ணெயைச் சேர்க்கவும். இது அரிசி ஒன்றோடொன்று ஒட்டாமல் தடுக்கிறது.90% சமைத்தவுடன் அரிசியை ஒரு காகிதத் துண்டில் பரப்பி அரிசியிலிருந்து ஈரப்பதத்தை நீக்கவும் அல்லது விசிறியின் கீழ் வைக்கவும். ஒற்றை இழைகளுடன் சிறந்த வறுத்த அரிசியைப் பெற இந்த படி மிகவும் முக்கியமானது.  ஒரு பாத்திரத்தில் எண்ணெயை சூடாக்கி முட்டைகளைச் சேர்க்கவும், நீங்கள் டயட் அக்கறை கொண்டவராக இருந்தால் 5 வெள்ளை கரு மற்றும் 2 மஞ்சள் கருவைப் பயன்படுத்தவும் (நான் வழக்கமாக வீட்டில் செய்வது இதுதான்). ஒரு சிட்டிகை உப்பு மற்றும் சிறிது மிளகுத் தூள் சேர்த்து முட்டைகளை ஸ்க்ரப் செய்யவும்.  ஒரு பாத்திரத்தில் எண்ணெயை சூடாக்கி, இறுதியாக நறுக்கிய இஞ்சி, இறுதியாக நறுக்கிய பூண்டு சேர்த்து சில நொடிகள் வதக்கவும். அடுத்து, துண்டுகளாக்கப்பட்ட கேரட், முட்டைக்கோஸ், பீன்ஸ் சேர்த்து, காய்கறிகள் 80 -90% வேகும் வரை சமைக்கவும். காய்கறிகளின் அமைப்பை இன்னும் தக்க வைத்துக் கொள்ள வேண்டிய காய்கறிகளை அதிகமாக வேகவிடாதீர்கள்.  பின்னர் சாஸ்கள் - மிளகாய் சாஸ், சோயா சாஸ், தேவையான உப்பு சேர்த்து மீண்டும் கலக்கவும். நீங்கள் விரும்பினால் கேப்சிகத்தையும் பயன்படுத்தலாம். பின்னர் சமைத்த பாஸ்மதி அரிசி மற்றும் துருவல் முட்டைகளைச் சேர்க்கவும். எல்லாவற்றையும் மிகவும் மெதுவாகவும் கவனமாகவும் கலக்கவும். அரிசியை உடைக்க வேண்டாம். அதை கலந்த பிறகு, புதிதாக அரைத்த மிளகு மற்றும் அலங்காரத்திற்காக சிறிது வெங்காயத்தைச் சேர்க்கவும்.  எங்கள் சுவையான வெஜ் ஃபிரைடு ரைஸ் உங்களுக்குப் பிடித்த சிக்கன் மஞ்சூரியன் அல்லது வெஜ் மஞ்சூரியன் போன்ற எந்த பக்க உணவுடனும் பரிமாற தயாராக உள்ளது.</t>
  </si>
  <si>
    <t>https://blogger.googleusercontent.com/img/b/R29vZ2xl/AVvXsEjAWnluWlQHoNuGvRP9bPxu2MtEuep9Av3kSHl7Nza7XL3QrHYfR0MnFCUhvbvui46QFcv6A5B5LsXJj-v4peBiehrmz1T4_2jzTfVL1ZbBQXwDRZTOY1Wfd5iJJH4jb-fQ3P3smd-JmAw/s1600/Trial-3.jpg</t>
  </si>
  <si>
    <t>புளி சாதம் / புளி சாதம்</t>
  </si>
  <si>
    <t>வாழைப்பழ கூழ்</t>
  </si>
  <si>
    <t>Blend the banana in a food processor or mash it in a bowl.   Heat the mashed content for 25 seconds for added softness.   Add milk or water to make it thinner or cereal to thicken it.</t>
  </si>
  <si>
    <t>வாழைப்பழத்தை ஒரு உணவு செயலியில் கலக்கவும் அல்லது ஒரு கிண்ணத்தில் பிசையவும்.  மென்மையான தன்மையை அதிகரிக்க மசித்த உள்ளடக்கத்தை 25 விநாடிகள் சூடாக்கவும்.  அதை மெல்லியதாக மாற்ற பால் அல்லது தண்ணீரைச் சேர்க்கவும் அல்லது கெட்டியாக மாற்ற தானியத்தைச் சேர்க்கவும்</t>
  </si>
  <si>
    <t>Blend the mango chunks in a food processor.  Add in breast milk or formula milk to achieve the desired consistency.</t>
  </si>
  <si>
    <t>மாம்பழத் துண்டுகளை உணவுச் செயலியில் கலக்கவும்.  தேவையான நிலைத்தன்மையை அடைய தாய்ப்பால் அல்லது பால் கலவையில் சேர்க்கவும்.</t>
  </si>
  <si>
    <t>1 apple (peeled, cut into slices), 2 cups water</t>
  </si>
  <si>
    <t>1 ஆப்பிள் (தோல் நீக்கி, துண்டுகளாக வெட்டப்பட்டது)., 2 கப் தண்ணீர்</t>
  </si>
  <si>
    <t>Boil the apple slices in a saucepan. The slices need to be immersed in water.  Once done, mash the apple slices. Add water to get the desired consistency.  You can add a dash of cinnamon to the puree to enhance its palatability.   Alternatively, you may boil a small cinnamon stick with apple slices and remove it before mashing the slices to puree.</t>
  </si>
  <si>
    <t>ஆப்பிள் துண்டுகளை ஒரு பாத்திரத்தில் கொதிக்க வைக்கவும். துண்டுகளை தண்ணீரில் மூழ்க வைக்க வேண்டும்.  முடிந்ததும், ஆப்பிள் துண்டுகளை மசிக்கவும். விரும்பிய நிலைத்தன்மையைப் பெற தண்ணீரைச் சேர்க்கவும்.  ப்யூரியின் சுவையை அதிகரிக்க நீங்கள் ஒரு துளி இலவங்கப்பட்டையைச் சேர்க்கலாம். மாற்றாக, நீங்கள் ஒரு சிறிய இலவங்கப்பட்டை குச்சியை ஆப்பிள் துண்டுகளுடன் வேகவைத்து, துண்டுகளை மசிப்பதற்கு முன் அதை அகற்றலாம்.</t>
  </si>
  <si>
    <t>Frozen or fresh peas, Breast milk, formula, or water</t>
  </si>
  <si>
    <t>உறைந்த அல்லது புதிய பட்டாணி, தாய்ப்பால், ஃபார்முலா அல்லது தண்ணீர்</t>
  </si>
  <si>
    <t>Fill a saucepan with water and let it boil.  Once the water starts boiling, place two cups of peas in a steamer basket over the pot or saucepan.  Cover the lid and allow the peas to steam for three to five minutes. Once the peas start looking bright green, tender, and fresh, remove the steamer basket from the pot and let the peas cool.  Blend the peas in a blender or a food processor into a puree. Add breast milk, formula, or water to get the desired consistency.</t>
  </si>
  <si>
    <t>ஒரு பாத்திரத்தில் தண்ணீரை நிரப்பி கொதிக்க விடவும்.  தண்ணீர் கொதிக்க ஆரம்பித்ததும், இரண்டு கப் பட்டாணியை ஒரு ஸ்டீமர் கூடையில் பானை அல்லது பாத்திரத்தின் மேல் வைக்கவும்.  மூடியை மூடி, பட்டாணி மூன்று முதல் ஐந்து நிமிடங்கள் வரை வேக விடவும்.  பட்டாணி பிரகாசமான பச்சை நிறமாகவும், மென்மையாகவும், புதியதாகவும் தோன்றத் தொடங்கியதும், பாத்திரத்திலிருந்து ஸ்டீமர் கூடையை அகற்றி பட்டாணியை குளிர்விக்க விடவும்.  பட்டாணியை ஒரு பிளெண்டர் அல்லது உணவு செயலியில் ஒரு ப்யூரியில் கலக்கவும். தேவையான நிலைத்தன்மையைப் பெற தாய்ப்பால், ஃபார்முலா அல்லது தண்ணீரைச் சேர்க்கவும்.</t>
  </si>
  <si>
    <t>1/4 cup rice, 1 cup water, 2 tbsp formula or breast milk</t>
  </si>
  <si>
    <t>1/4 கப் அரிசி, 1 கப் தண்ணீர், 2 டேபிள்ஸ்பூன் பால் அல்லது பால்</t>
  </si>
  <si>
    <t>Wash the rice and cook it in a saucepan or pressure cooker.  Mash the cooked rice and add formula or breast milk.</t>
  </si>
  <si>
    <t>அரிசியைக் கழுவி, ஒரு பாத்திரத்தில் அல்லது பிரஷர் குக்கரில் சமைக்கவும்.  சமைத்த அரிசியை மசித்து, பால் அல்லது பால் சேர்க்கவும்.</t>
  </si>
  <si>
    <t>1/4 cup ground barley, 4 cup water, 2tbsp formula or breast milk, 1 cup peeled and cubed apple</t>
  </si>
  <si>
    <t>1/4 கப் அரைத்த பார்லி, 4 கப் தண்ணீர், 2 டேபிள்ஸ்பூன் ஃபார்முலா அல்லது தாய்ப்பால், 1 கப் தோல் நீக்கி க்யூப் செய்து அரைத்த ஆப்பிள்</t>
  </si>
  <si>
    <t>Boil water in a saucepan and add barley.  Cook in the simmer for 10 minutes.  Add apple slices and cook on low heat for two minutes.  Puree the contents using a hand blender.</t>
  </si>
  <si>
    <t>ஒரு பாத்திரத்தில் தண்ணீரை கொதிக்க வைத்து பார்லியைச் சேர்க்கவும்.  10 நிமிடங்கள் கொதி நிலையில் வைக்கவும்.  ஆப்பிள் துண்டுகளைச் சேர்த்து இரண்டு நிமிடங்கள் குறைந்த வெப்பத்தில் சமைக்கவும்.  ஒரு கை கலப்பான் மூலம் உள்ளடக்கங்களை ப்யூரி செய்யவும்.</t>
  </si>
  <si>
    <t>1/3 cup water, ¼ cup ground oats, 2tbsp formula or breast milk, ½ banana sliced</t>
  </si>
  <si>
    <t>1/3 கப் தண்ணீர், ¼ கப் அரைத்த ஓட்ஸ், 2 டேபிள்ஸ்பூன் ஃபார்முலா அல்லது தாய்ப்பால், ½ வாழைப்பழம் நறுக்கியது</t>
  </si>
  <si>
    <t>Take a saucepan, add water, and bring it to a boil. Add oats and cook in the simmer for 10 minutes.  Once done, add bananas and mash well. Add formula or breast milk to get the desired consistency.</t>
  </si>
  <si>
    <t>ஒரு பாத்திரத்தை எடுத்து, தண்ணீர் சேர்த்து, கொதிக்க வைக்கவும். ஓட்ஸ் சேர்த்து 10 நிமிடங்கள் கொதிக்க வைக்கவும்.  தயாரானதும், வாழைப்பழங்களைச் சேர்த்து நன்கு மசிக்கவும். விரும்பிய நிலைத்தன்மையைப் பெற ஃபார்முலா அல்லது தாய்ப்பாலைச் சேர்க்கவும்.</t>
  </si>
  <si>
    <t>Scoop out the seeds from the sugar pumpkin halves and drain the pumpkins with water in a baking pan.  Bake for 40 minutes in the oven preheated to 400°F. Once the halves turn soft, scoop the squash meat and puree it in a food processor.   Add water to achieve a smooth consistency.</t>
  </si>
  <si>
    <t>சர்க்கரை பூசணிக்காய் பகுதிகளிலிருந்து விதைகளை எடுத்து, ஒரு பேக்கிங் பாத்திரத்தில் தண்ணீர் சேர்த்து பூசணிக்காயை வடிகட்டவும்.  400°F க்கு முன்கூட்டியே சூடேற்றப்பட்ட அடுப்பில் 40 நிமிடங்கள் சுடவும். பாதிகள் மென்மையாக மாறியதும், பூசணிக்காயை எடுத்து ஒரு உணவு செயலியில் கூழ் செய்யவும்.   மென்மையான நிலைத்தன்மையைப் பெற தண்ணீரைச் சேர்க்கவும்.</t>
  </si>
  <si>
    <t>Transfer the beans into a pan and place it in a steamer basket.  Steam until tender. Keep a check on the water level.  Once done, puree the contents in a blender and bring it to a smooth consistency.</t>
  </si>
  <si>
    <t>பீன்ஸை ஒரு பாத்திரத்தில் போட்டு, ஒரு ஸ்டீமர் கூடையில் வைக்கவும்.  மென்மையாகும் வரை வேகவைக்கவும். நீர் மட்டத்தை சரிபார்க்கவும்.  தயாரானதும், உள்ளடக்கங்களை ஒரு பிளெண்டரில் கூழ் செய்து, மென்மையான நிலைத்தன்மைக்கு கொண்டு வாருங்கள்.</t>
  </si>
  <si>
    <t>Carrot puree</t>
  </si>
  <si>
    <t>Transfer the carrot slices into a steamer pan containing water. Steam until the carrots turn tender.  Place the contents into a blender and puree them. Add water if needed.</t>
  </si>
  <si>
    <t>கேரட் துண்டுகளை தண்ணீர் உள்ள ஒரு நீராவி பாத்திரத்தில் மாற்றவும். கேரட் மென்மையாக மாறும் வரை வேகவைக்கவும்.  ஒரு பிளெண்டரில் பொருட்களை வைத்து கூழ் செய்யவும். தேவைப்பட்டால் தண்ணீர் சேர்க்கவும்.</t>
  </si>
  <si>
    <t>1/8 cup fresh beans, 1/8 cup peas, ¼ cup summer and zucchini squash, 1/8 cup chopped carrots</t>
  </si>
  <si>
    <t>1/8 கப் புதிய பீன்ஸ், 1/8 கப் பட்டாணி, ¼ கப் கோடை மற்றும் சீமை சுரைக்காய் ஸ்குவாஷ், 1/8 கப் நறுக்கிய கேரட்</t>
  </si>
  <si>
    <t>Add all the ingredients to a pan and add enough water.  Cook until tender and puree the contents in a blender.  Add water to get the desired consistency.  With such interesting recipes, it is likely that your baby would love her new diet. But you cannot feed her beyond small quantities just because she has developed a liking for it.</t>
  </si>
  <si>
    <t>ஒரு பாத்திரத்தில் அனைத்து பொருட்களையும் சேர்த்து போதுமான தண்ணீர் சேர்க்கவும்.  மென்மையாகும் வரை சமைக்கவும், உள்ளடக்கங்களை ஒரு பிளெண்டரில் அரைக்கவும்.  விரும்பிய நிலைத்தன்மையைப் பெற தண்ணீரைச் சேர்க்கவும்.  இதுபோன்ற சுவாரஸ்யமான சமையல் குறிப்புகளுடன், உங்கள் குழந்தை தனது புதிய உணவை விரும்பக்கூடும். ஆனால் அவள் அதை விரும்பி சாப்பிட்டுவிட்டாள் என்பதற்காக நீங்கள் அவளுக்கு சிறிய அளவில் அதிகமாக உணவளிக்க முடியாது.</t>
  </si>
  <si>
    <t>Chicken Tortilla Soup</t>
  </si>
  <si>
    <t>சிக்கன் டார்ட்டில்லா சூப்</t>
  </si>
  <si>
    <t>2 tsp - vegetable oil,
1 - small onion, 
2 tsp -  minced garlic,
2 - jalapenos, 
6 cups - low-sodium chicken broth,
One 14.5-ounce can fire-roasted diced tomatoes,
One 14.5-ounce can black beans, rinsed and drained,
3 - chicken breasts, boneless and skinless,
2 - limes, juiced, plus wedges for garnish,
Salt and freshly ground black pepper,
1 cup -  roughly chopped fresh cilantro leaves,
One 8-inch flour tortilla, grilled, cut into thin strips,
1 -  avocado  pitted, sliced,
1 cup -  shredded Monterrey cheese.</t>
  </si>
  <si>
    <t>2 தேக்கரண்டி - தாவர எண்ணெய்,
1 - சிறிய வெங்காயம்,
2 தேக்கரண்டி - நறுக்கிய பூண்டு,
2 - ஜலபெனோஸ்,
6 கப் - குறைந்த சோடியம் கொண்ட சிக்கன் குழம்பு,
14.5-அவுன்ஸ் தீயில் வறுத்த துண்டுகளாக்கப்பட்ட தக்காளி,
14.5-அவுன்ஸ் கருப்பு பீன்ஸ் கேன், கழுவி வடிகட்டியது,
3 - எலும்பு இல்லாத மற்றும் தோல் இல்லாத கோழி மார்பகங்கள்,
2 - எலுமிச்சை, சாறு பிழிந்தது, அலங்காரத்திற்காக குடைமிளகாய்,
உப்பு மற்றும் புதிதாக அரைத்த கருப்பு மிளகு,
1 கப் - தோராயமாக நறுக்கிய புதிய கொத்தமல்லி இலைகள்,
ஒரு 8 அங்குல மாவு டார்ட்டில்லா, வறுக்கப்பட்டு, மெல்லிய கீற்றுகளாக வெட்டப்பட்டது,
1 - வெண்ணெய் பழம்(avocado) - குழி நீக்கப்பட்டது - துண்டுகளாக்கப்பட்டது,
1 கப் - துண்டாக்கப்பட்ட மான்டேரி சீஸ்.</t>
  </si>
  <si>
    <t>In a large saucepan heat the vegetable oil. Add the onions and cook for 2 minutes. Once the onions have softened add the garlic and jalepenos and cook for another minute. 
Pour the chicken broth, tomatoes and beans into the pot and bring to a boil. 
Once at a boil lower heat to simmer and add your chicken breasts. Cook the chicken for 20 to 25 minutes. Once chicken is cooked remove from pot. When cool enough to handle shred it and set it aside. 
Add lime juice and fresh cilantro to the pot. 
In a serving bowl add a mound of shredded chicken. Ladle soup over chicken and top with a lime wedge, grilled tortilla strips, avocado slices and cheese.</t>
  </si>
  <si>
    <t>ஒரு பெரிய வாணலியில் தாவர எண்ணெயை சூடாக்கவும். வெங்காயத்தைச் சேர்த்து 2 நிமிடங்கள் சமைக்கவும். வெங்காயம் மென்மையாக்கப்பட்டதும் பூண்டு மற்றும் ஜலபெனோஸ் சேர்த்து மற்றொரு நிமிடம் சமைக்கவும்.
சிக்கன் குழம்பு, தக்காளி மற்றும் பீன்ஸை பாத்திரத்தில் ஊற்றி கொதிக்க வைக்கவும்.
கொதி வந்ததும், தீயைக் குறைத்து, உங்கள் கோழி மார்பகங்களைச் சேர்க்கவும். கோழியை 20 முதல் 25 நிமிடங்கள் சமைக்கவும். கோழி வெந்தவுடன், பாத்திரத்திலிருந்து அகற்றவும். கையாளும் அளவுக்கு குளிர்ந்ததும், அதை துண்டுகளாக நறுக்கி ஒதுக்கி வைக்கவும்.
பாத்திரத்தில் எலுமிச்சை சாறு மற்றும் புதிய கொத்தமல்லி சேர்க்கவும்.
பரிமாறும் பாத்திரத்தில் ஒரு குவியல் துண்டாக்கப்பட்ட கோழியைச் சேர்க்கவும். கோழியின் மீது சூப்பை ஊற்றி, அதன் மேல் ஒரு சுண்ணாம்பு துண்டு, கிரில் செய்யப்பட்ட டார்ட்டில்லா துண்டுகள், அவகேடோ துண்டுகள் மற்றும் சீஸ் ஆகியவற்றைச் சேர்க்கவும்.</t>
  </si>
  <si>
    <t>https://food.fnr.sndimg.com/content/dam/images/food/fullset/2007/8/22/0/TM1510_Chicken_Fajita_Tortilla_Soup.jpg.rend.hgtvcom.406.305.suffix/1371584215777.webp</t>
  </si>
  <si>
    <t>Cream of Fresh Tomato Soup</t>
  </si>
  <si>
    <t>புதிய தக்காளி சூப் கிரீம்</t>
  </si>
  <si>
    <t xml:space="preserve">3 tsp -  good olive oil,
1 1/2 cups -  chopped red onions,
2 -  carrots, unpeeled and chopped,
1 -  minced garlic (3 cloves),
4 -  pounds vine-ripened tomatoes, 
1 1/2 tsp -  sugar,
1 tsp -  tomato paste,
1/4 cup -  packed chopped fresh basil leaves, plus julienned basil leaves, for garnish,
3 cups -  chicken stock, preferably homemade,
1 tsp -  kosher salt,
2 tsp - freshly ground black pepper,
3/4 cup -  heavy cream,
Croutons.
</t>
  </si>
  <si>
    <t>3 தேக்கரண்டி - நல்ல ஆலிவ் எண்ணெய்,
1 1/2 கப் - நறுக்கிய சிவப்பு வெங்காயம்,
2 - கேரட், உரிக்கப்படாத மற்றும் நறுக்கியது,
1 - நறுக்கிய பூண்டு (3 பல்),
4 - பவுண்டுகள் கொடியில் பழுத்த தக்காளி,
1 1/2 தேக்கரண்டி - சர்க்கரை,
1 தேக்கரண்டி - தக்காளி விழுது,
1/4 கப் - பொடியாக நறுக்கிய புதிய துளசி இலைகள், அழகுபடுத்த ஜூலியன் துளசி இலைகள்,
3 கப் - சிக்கன் குழம்பு, முன்னுரிமை வீட்டில் தயாரிக்கப்பட்டது,
1 தேக்கரண்டி - கோஷர் உப்பு,
2 தேக்கரண்டி - புதிதாக அரைத்த கருப்பு மிளகு,
3/4 கப் - கனமான கிரீம்,
க்ரூட்டன்ஸ்.</t>
  </si>
  <si>
    <t>Heat the olive oil in a large, heavy-bottomed pot over medium-low heat. Add the onions and carrots and saute for about 10 minutes, until very tender. Add the garlic and cook for 1 minute. Add the tomatoes, sugar, tomato paste, basil, chicken stock, salt, and pepper and stir well. Bring the soup to a boil, lower the heat, and simmer, uncovered, for 30 to 40 minutes, until the tomatoes are very tender.
Add the cream to the soup and process it through a food mill into a bowl, discarding only the dry pulp that's left. Reheat the soup over low heat just until hot and serve with julienned basil leaves and/or croutons.</t>
  </si>
  <si>
    <t>ஒரு பெரிய, அடிப்பகுதி கொண்ட பாத்திரத்தில் ஆலிவ் எண்ணெயை நடுத்தர-குறைந்த வெப்பத்தில் சூடாக்கவும். வெங்காயம் மற்றும் கேரட்டைச் சேர்த்து சுமார் 10 நிமிடங்கள், மிகவும் மென்மையாகும் வரை வதக்கவும். பூண்டைச் சேர்த்து 1 நிமிடம் சமைக்கவும். தக்காளி, சர்க்கரை, தக்காளி விழுது, துளசி, சிக்கன் குழம்பு, உப்பு மற்றும் மிளகு சேர்த்து நன்கு கிளறவும். சூப்பை கொதிக்க வைத்து, தீயைக் குறைத்து, மூடி வைக்காமல், தக்காளி மிகவும் மென்மையாகும் வரை 30 முதல் 40 நிமிடங்கள் வரை கொதிக்க வைக்கவும்.
சூப்பில் கிரீம் சேர்த்து, ஒரு உணவு ஆலை வழியாக ஒரு கிண்ணத்தில் பதப்படுத்தவும், மீதமுள்ள உலர்ந்த கூழ் மட்டும் அகற்றவும். சூப்பை குறைந்த வெப்பத்தில் சூடாகும் வரை மீண்டும் சூடாக்கி, ஜூலியன் துளசி இலைகள் மற்றும்/அல்லது க்ரூட்டன்களுடன் பரிமாறவும்.</t>
  </si>
  <si>
    <t>https://food.fnr.sndimg.com/content/dam/images/food/fullset/2008/7/21/0/NY0210_Tomato-Soup.jpg.rend.hgtvcom.406.305.suffix/1383079439714.webp</t>
  </si>
  <si>
    <t>Minestrone Soup</t>
  </si>
  <si>
    <t>மினஸ்ட்ரோன் சூப்</t>
  </si>
  <si>
    <t>2 tablespoons -  extra-virgin olive oil,
1 -  large onion, 
4 - cloves garlic,
2  - stalks celery,
1 -  large carrot, 
1/3 pound -  green beans, trimmed and cut into 1/2-inch pieces (about 1 1/2 cups),
1 teaspoon  - dried oregano,
1 teaspoon -  dried basil,
Kosher salt and freshly ground pepper,
1 28-ounce -  can no-salt-added diced tomatoes,
1 14-ounce -  can crushed tomatoes,
6 cups -  low-sodium chicken broth,
1 15-ounce -  can low-sodium kidney beans, 
1 cup - elbow pasta,
1/3 cup -  finely grated parmesan cheese,
2 tablespoons - chopped fresh basil.</t>
  </si>
  <si>
    <t>2 தேக்கரண்டி - கூடுதல் கன்னி ஆலிவ் எண்ணெய்,
1 - பெரிய வெங்காயம்,
4 - பூண்டு பல்,
2 - செலரி தண்டுகள்,
1 - பெரிய கேரட்,
1/3 பவுண்டு - பச்சை பீன்ஸ், நறுக்கி 1/2-அங்குல துண்டுகளாக வெட்டவும் (சுமார் 1 1/2 கப்),
1 தேக்கரண்டி - உலர்ந்த ஆர்கனோ,
1 தேக்கரண்டி - உலர்ந்த துளசி,
கோஷர் உப்பு மற்றும் புதிதாக அரைத்த மிளகு,
1 28-அவுன்ஸ் - உப்பு சேர்க்காத துண்டுகளாக்கப்பட்ட தக்காளி,
1 14-அவுன்ஸ் - நொறுக்கப்பட்ட தக்காளி,
6 கப் - குறைந்த சோடியம் சிக்கன் குழம்பு,
1 15-அவுன்ஸ் - குறைந்த சோடியம் கிட்னி பீன்ஸ்,
1 கப் - எல்போ பாஸ்தா,
1/3 கப் - நன்றாக துருவிய பார்மேசன் சீஸ்,
2 தேக்கரண்டி - நறுக்கிய புதிய துளசி.</t>
  </si>
  <si>
    <t>Heat the olive oil in a large pot over medium-high heat. Add the onion and cook until translucent, about 4 minutes. Add the garlic and cook 30 seconds. Add the celery and carrot and cook until they begin to soften, about 5 minutes. Stir in the green beans, dried oregano and basil, 3/4 teaspoon salt, and pepper to taste; cook 3 more minutes.
Add the diced and crushed tomatoes and the chicken broth to the pot and bring to a boil. Reduce the heat to medium low and simmer 10 minutes. Stir in the kidney beans and pasta and cook until the pasta and vegetables are tender, about 10 minutes. Season with salt. Ladle into bowls and top with the parmesan and chopped basil.</t>
  </si>
  <si>
    <t>ஒரு பெரிய தொட்டியில் ஆலிவ் எண்ணெயை நடுத்தர உயர் வெப்பத்தில் சூடாக்கவும். வெங்காயத்தைச் சேர்த்து, வெளிப்படையான வரை, சுமார் 4 நிமிடங்கள் சமைக்கவும். பூண்டைச் சேர்த்து 30 வினாடிகள் சமைக்கவும். செலரி மற்றும் கேரட்டைச் சேர்த்து, அவை மென்மையாகும் வரை சுமார் 5 நிமிடங்கள் சமைக்கவும். பச்சை பீன்ஸ், உலர்ந்த ஓரிகனோ மற்றும் துளசி, 3/4 டீஸ்பூன் உப்பு மற்றும் மிளகு ஆகியவற்றைச் சேர்த்து கிளறவும்; மேலும் 3 நிமிடங்கள் சமைக்கவும்.
துண்டுகளாக்கப்பட்ட மற்றும் நொறுக்கப்பட்ட தக்காளி மற்றும் சிக்கன் குழம்பு ஆகியவற்றை பாத்திரத்தில் சேர்த்து ஒரு கொதி நிலைக்கு கொண்டு வாருங்கள். தீயை மிதமான அளவிற்குக் குறைத்து 10 நிமிடங்கள் கொதிக்க வைக்கவும். சிறுநீரக பீன்ஸ் மற்றும் பாஸ்தாவைச் சேர்த்து, பாஸ்தா மற்றும் காய்கறிகள் மென்மையாகும் வரை சுமார் 10 நிமிடங்கள் சமைக்கவும். உப்பு சேர்த்து சுவைக்கவும். கிண்ணங்களில் போட்டு, பர்மேசன் மற்றும் நறுக்கிய துளசியைத் தூவி மேலே வைக்கவும்.</t>
  </si>
  <si>
    <t>https://food.fnr.sndimg.com/content/dam/images/food/fullset/2011/4/19/1/FN_minestrone-014_s4x3.jpg.rend.hgtvcom.406.305.suffix/1382539877918.webp</t>
  </si>
  <si>
    <t>Cream-less Mushroom Soup</t>
  </si>
  <si>
    <t>கிரீம் இல்லாத காளான் சூப்</t>
  </si>
  <si>
    <t>3/4 cup -  extra-virgin olive oil,
4 cups -  sliced cremini mushrooms ,
3 tablespoons -  sliced garlic,
1 -  onion, sliced ,
Freshly cracked black pepper,
Kosher salt,
3 cups -  chicken stock ,
1/2 cup -  roughly chopped stale bread ,
1/4 cup -  vermouth ,
1 teaspoon - fresh thyme leaves,
Sherry vinegar, 
Fried shallots,
Chopped fresh dill, 
1/4 cup -  tahini,
1/4 cup -  extra-virgin olive oil,
2 tablespoons -  lemon juice ,
2 teaspoons -  minced fresh parsley ,
1 teaspoon -  honey ,
Kosher salt and freshly cracked black pepper .</t>
  </si>
  <si>
    <t>3/4 கப் - கூடுதல் கன்னி ஆலிவ் எண்ணெய்,
4 கப் - துண்டுகளாக்கப்பட்ட க்ரெமினி காளான்கள்,
3 தேக்கரண்டி - துண்டுகளாக்கப்பட்ட பூண்டு,
1 - வெங்காயம், துண்டுகளாக்கப்பட்ட ,
புதிதாக வெடித்த கருப்பு மிளகு,
கோஷர் உப்பு,
3 கப் - சிக்கன் ஸ்டாக்,
1/2 கப் - தோராயமாக நறுக்கிய பழைய ரொட்டி,
1/4 கப் - வெர்மவுத்,
1 டீஸ்பூன் - புதிய தைம் இலைகள்,
ஷெர்ரி வினிகர்,
வறுத்த வெங்காயத்தாள்,
நறுக்கிய புதிய வெந்தயம்,
1/4 கப் - தஹினி,
1/4 கப் - கூடுதல் கன்னி ஆலிவ் எண்ணெய்,
2 தேக்கரண்டி - எலுமிச்சை சாறு,
2 டீஸ்பூன் - துண்டுகளாக்கப்பட்ட புதிய வோக்கோசு,
1 டீஸ்பூன் - தேன்,
கோஷர் உப்பு மற்றும் புதிதாக வெடித்த கருப்பு மிளகு.</t>
  </si>
  <si>
    <t>In a Dutch oven or heavy-bottomed pot, heat 1/4 cup of the olive oil over medium-high heat. Add the mushrooms, garlic and onion and season with pepper. Cook until the vegetables are softened and lightly caramelized, about 8 minutes. Season with salt and pepper. Add the chicken stock, bread, vermouth and thyme. Bring to a simmer and simmer for another 20 minutes.
Transfer the soup to a blender, add 2 to 3 teaspoons sherry vinegar and, with the motor running, drizzle in the remaining 1/2 cup olive oil for a creamy texture. Season with salt and pepper and more sherry vinegar as needed to balance the richness. Divide the hot soup among bowls and garnish with Tahini Herb Drizzle, fried shallots and chopped dill.
In a medium bowl, whisk together the tahini, olive oil, lemon juice, parsley and honey. Season with salt and pepper. If necessary, thin with a few teaspoons of water to achieve the desired consistency.
When blending hot liquid, first let it cool for five minutes or so, then transfer it to a blender, filling only halfway. Put the lid on, leaving one corner open. Cover the lid with a kitchen towel to catch splatters, and pulse until smooth.</t>
  </si>
  <si>
    <t>ஒரு டச்சு அடுப்பில் அல்லது அடிப்பகுதி கொண்ட பாத்திரத்தில், 1/4 கப் ஆலிவ் எண்ணெயை நடுத்தர உயர் வெப்பத்தில் சூடாக்கவும். காளான்கள், பூண்டு மற்றும் வெங்காயத்தைச் சேர்த்து மிளகு சேர்த்து சுவைக்கவும். காய்கறிகள் மென்மையாகி லேசாக கேரமல் ஆகும் வரை, சுமார் 8 நிமிடங்கள் சமைக்கவும். உப்பு மற்றும் மிளகு சேர்க்கவும். சிக்கன் ஸ்டாக், ரொட்டி, வெர்மவுத் மற்றும் தைம் சேர்க்கவும். ஒரு கொதி நிலைக்கு கொண்டு வந்து மேலும் 20 நிமிடங்கள் கொதிக்க வைக்கவும்.
சூப்பை ஒரு பிளெண்டருக்கு மாற்றி, 2 முதல் 3 டீஸ்பூன் ஷெர்ரி வினிகரைச் சேர்த்து, மோட்டார் இயங்கும் போது, ​​மீதமுள்ள 1/2 கப் ஆலிவ் எண்ணெயில் தூவவும், கிரீமி அமைப்புக்காக. உப்பு மற்றும் மிளகு மற்றும் தேவையான அளவு ஷெர்ரி வினிகரைச் சேர்த்து சுவைக்கவும். சூடான சூப்பை கிண்ணங்களுக்கு இடையில் பிரித்து, தஹினி ஹெர்ப் ட்ரிஸ்ஸல், வறுத்த வெங்காயத்தாள் மற்றும் நறுக்கிய வெந்தயம் கொண்டு அலங்கரிக்கவும்.
ஒரு நடுத்தர கிண்ணத்தில், தஹினி, ஆலிவ் எண்ணெய், எலுமிச்சை சாறு, வோக்கோசு மற்றும் தேன் ஆகியவற்றை ஒன்றாக துடைக்கவும். உப்பு மற்றும் மிளகு சேர்த்து சுவைக்கவும். தேவைப்பட்டால், விரும்பிய நிலைத்தன்மையை அடைய சில தேக்கரண்டி தண்ணீரில் நீர்த்தவும்.
சூடான திரவத்தை கலக்கும்போது, ​​முதலில் அதை ஐந்து நிமிடங்கள் அல்லது அதற்கு மேல் குளிர்விக்க விடுங்கள், பின்னர் அதை ஒரு பிளெண்டருக்கு மாற்றவும், பாதியளவு மட்டுமே நிரப்பவும். மூடியை வைத்து, ஒரு மூலையைத் திறந்து வைக்கவும். தெளிப்புகளைப் பிடிக்க ஒரு சமையலறை துண்டால் மூடியை மூடி, மென்மையான வரை துடிக்கவும்.</t>
  </si>
  <si>
    <t>https://food.fnr.sndimg.com/content/dam/images/food/fullset/2018/4/19/0/KC1701_Tortilla-Soup_s4x3.jpg.rend.hgtvcom.406.305.suffix/1524173312900.webp</t>
  </si>
  <si>
    <t>Cioppino</t>
  </si>
  <si>
    <t>சியோப்பினோ</t>
  </si>
  <si>
    <t>3 tablespoons -  olive oil,
1 -  large fennel bulb, 
1 - onion, 
3 - large shallots, 
2 teaspoons - salt,
4 -  large garlic cloves, 
3/4 teaspoon -  dried crushed red pepper flakes, 
1/4 cup -  tomato paste,
1 (28-ounce) -  can diced tomatoes in juice,
1 1/2 cups -  dry white wine,
5 cups -  fish stock,
1 - bay leaf,
1 -  pound manila clams, 
1 -  pound mussels, scrubbed, 
1 -  pound uncooked large shrimp,
1'1/2  - pounds assorted firm-fleshed fish fillets such as halibut or salmon.</t>
  </si>
  <si>
    <t>3 தேக்கரண்டி - ஆலிவ் எண்ணெய்,
1 - பெரிய பெருஞ்சீரகம் குமிழ்,
1 - வெங்காயம்,
3 - பெரிய வெங்காயம்,
2 தேக்கரண்டி - உப்பு,
4 - பெரிய பூண்டு பல்,
3/4 தேக்கரண்டி - உலர்ந்த நொறுக்கப்பட்ட சிவப்பு மிளகு செதில்கள்,
1/4 கப் - தக்காளி விழுது,
1 (28-அவுன்ஸ்) - சாற்றில் துண்டுகளாக்கப்பட்ட தக்காளி,
1 1/2 கப் - உலர் வெள்ளை ஒயின்,
5 கப் - மீன் குழம்பு,
1 - வளைகுடா இலை,
1 - பவுண்டு மணிலா கிளாம்ஸ்,
1 - பவுண்டு மஸ்ஸல்ஸ், ஸ்க்ரப் செய்யப்பட்டது,
1 - பவுண்டு சமைக்கப்படாத பெரிய இறால்,
1'1/2 - பவுண்டுகள் ஹாலிபட் அல்லது சால்மன் போன்ற வகைப்பட்ட உறுதியான சதை கொண்ட மீன் ஃபில்லட்டுகள்.</t>
  </si>
  <si>
    <t>Heat the oil in a very large pot over medium heat. Add the fennel, onion, shallots, and salt and saute until the onion is translucent, about 10 minutes. Add the garlic and 3/4 teaspoon of red pepper flakes, and saute 2 minutes. Stir in the tomato paste. Add tomatoes with their juices, wine, fish stock and bay leaf. Cover and bring to a simmer. Reduce the heat to medium-low. Cover and simmer until the flavors blend, about 30 minutes.
Add the clams and mussels to the cooking liquid. Cover and cook until the clams and mussels begin to open, about 5 minutes. Add the shrimp and fish. Simmer gently until the fish and shrimp are just cooked through, and the clams are completely open, stirring gently, about 5 minutes longer (discard any clams and mussels that do not open). Season the soup, to taste, with more salt and red pepper flakes.
Ladle the soup into bowls and serve.</t>
  </si>
  <si>
    <t>ஒரு பெரிய பாத்திரத்தில் எண்ணெயை மிதமான தீயில் சூடாக்கவும். பெருஞ்சீரகம், வெங்காயம், வெங்காயம் மற்றும் உப்பு சேர்த்து வெங்காயம் கசியும் வரை சுமார் 10 நிமிடங்கள் வதக்கவும். பூண்டு மற்றும் 3/4 தேக்கரண்டி சிவப்பு மிளகு செதில்களைச் சேர்த்து, 2 நிமிடங்கள் வதக்கவும். தக்காளி விழுதைச் சேர்த்து கிளறவும். தக்காளியை அவற்றின் சாறுகள், ஒயின், மீன் குழம்பு மற்றும் வளைகுடா இலையுடன் சேர்க்கவும். மூடி வைத்து ஒரு கொதி நிலைக்கு கொண்டு வாருங்கள். தீயை நடுத்தரமாகக் குறைத்து, சுவைகள் கலக்கும் வரை சுமார் 30 நிமிடங்கள் மூடி வைத்து சமைக்கவும்.
சமையல் திரவத்தில் கிளாம்கள் மற்றும் மஸல்களைச் சேர்க்கவும். மூடி வைத்து, கிளாம்கள் மற்றும் மஸல்கள் திறக்கத் தொடங்கும் வரை சுமார் 5 நிமிடங்கள் சமைக்கவும். இறால் மற்றும் மீனைச் சேர்க்கவும். மீன் மற்றும் இறால் வேகும் வரை மெதுவாக வேகவைத்து, கிளாம்கள் முழுமையாக திறக்கும் வரை, சுமார் 5 நிமிடங்கள் மெதுவாகக் கிளறி விடுங்கள் (திறக்காத கிளாம்கள் மற்றும் மஸல்களை நிராகரிக்கவும்). சுவைக்க, அதிக உப்பு மற்றும் சிவப்பு மிளகுத் துண்டுகளுடன் சூப்பைத் தாளிக்கவும்.
சூப்பை கிண்ணங்களில் போட்டு பரிமாறவும்.</t>
  </si>
  <si>
    <t>https://food.fnr.sndimg.com/content/dam/images/food/fullset/2019/10/25/YK310_Cioppino_s4x3.jpg.rend.hgtvcom.406.305.suffix/1572016070379.webp</t>
  </si>
  <si>
    <t>Pasta and Beans</t>
  </si>
  <si>
    <t>பாஸ்தா மற்றும் பீன்ஸ்</t>
  </si>
  <si>
    <t>2 tablespoons -  extra-virgin olive oil,
1/8 pound - pancetta,
Two 4 to 6-inch -  sprigs rosemary, 
One 4 to 6-inch -  sprig thyme with several sprigs on it,
1 -  large fresh bay leaf or 2 dried bay leaves,
1 -  medium onion, 
1 - small carrot,
1  - rib celery, 
4 -  large cloves garlic, 
Coarse salt and pepper,
Two 15-ounce -  cans cannellini beans,
1 cup -  canned tomato sauce ,
2 cups - water,
1 -  quart chicken stock,
1 1/2 cups -  ditalini,
Grated Parmigiano or Romano,
Crusty bread.</t>
  </si>
  <si>
    <t>2 தேக்கரண்டி - கூடுதல் கன்னி ஆலிவ் எண்ணெய்,
1/8 பவுண்டு - பான்செட்டா,
இரண்டு 4 முதல் 6 அங்குல - ரோஸ்மேரி தளிர்கள்,
ஒரு 4 முதல் 6 அங்குல - பல தளிர்கள் கொண்ட தைம் தளிர்,
1 - பெரிய புதிய வளைகுடா இலை அல்லது 2 உலர்ந்த வளைகுடா இலைகள்,
1 - நடுத்தர வெங்காயம்,
1 - சிறிய கேரட்,
1 - ரிப் செலரி,
4 - பெரிய பல் பூண்டு,
கரடுமுரடான உப்பு மற்றும் மிளகு,
இரண்டு 15-அவுன்ஸ் - கேன்கள் கேனெல்லினி பீன்ஸ்,
1 கப் - பதிவு செய்யப்பட்ட தக்காளி சாஸ்,
2 கப் - தண்ணீர்,
1 - குவார்ட்டர் சிக்கன் ஸ்டாக்,
1 1/2 கப் - டைட்டலினி,
துருவிய பார்மிகியானோ அல்லது ரோமானோ,
மொறுமொறுப்பான ரொட்டி.</t>
  </si>
  <si>
    <t xml:space="preserve">Heat a deep pot over medium high heat and add oil and pancetta. Brown the pancetta bits lightly, and add herb stems, bay leaf, chopped vegetables, and garlic. 
Season vegetables with salt and pepper. Add beans, tomato sauce, water, and stock to pot and raise heat to high. Bring soup to a rapid boil and add pasta.
 Reduce heat to medium and cook soup, stirring occasionally, 6 to 8 minutes or until pasta is cooked al dente.
 Rosemary and thyme leaves will separate from stems as soup cooks.
 Remove herb stems and bay leaf from soup and place pot on table on a trivet.
 Let soup rest and begin to cool for a few minutes. Ladle soup into bowls and top with lots of grated cheese. Pass crusty bread for bowl mopping.
</t>
  </si>
  <si>
    <t>நடுத்தர உயர் வெப்பத்தில் ஒரு ஆழமான பாத்திரத்தை சூடாக்கி, எண்ணெய் மற்றும் பான்செட்டாவை சேர்க்கவும். பான்செட்டா துண்டுகளை லேசாக பழுப்பு நிறமாக்கி, மூலிகை தண்டுகள், வளைகுடா இலை, நறுக்கிய காய்கறிகள் மற்றும் பூண்டு சேர்க்கவும்.
காய்கறிகளை உப்பு மற்றும் மிளகுடன் சீசன் செய்யவும். பீன்ஸ், தக்காளி சாஸ், தண்ணீர் மற்றும் குழம்பு ஆகியவற்றை பாத்திரத்தில் சேர்த்து அதிக வெப்பத்தை ஏற்படுத்துங்கள். சூப்பை விரைவாக கொதிக்க வைத்து பாஸ்தாவை சேர்க்கவும்.
அதிக வெப்பத்தை குறைத்து, அவ்வப்போது கிளறி, 6 முதல் 8 நிமிடங்கள் அல்லது பாஸ்தா அல் டென்டே வேகும் வரை சூப்பை சமைக்கவும்.
சூப் சமைக்கும்போது ரோஸ்மேரி மற்றும் தைம் இலைகள் தண்டுகளிலிருந்து பிரிந்து விடும்.
சூப்பிலிருந்து மூலிகை தண்டுகள் மற்றும் வளைகுடா இலைகளை அகற்றி, பானையை ஒரு ட்ரிவெட்டில் வைக்கவும்.
சூப்பை சில நிமிடங்கள் அப்படியே வைத்து குளிர்விக்கத் தொடங்குங்கள். கிண்ணங்களில் சூப்பை ஊற்றி, அதன் மேல் நிறைய துருவிய சீஸ் ஊற்றவும். கிண்ணத்தை துடைக்க மொறுமொறுப்பான ரொட்டியை அனுப்பவும்.</t>
  </si>
  <si>
    <t>https://food.fnr.sndimg.com/content/dam/images/food/fullset/2017/5/18/0/BX1303H_16-Bean-Pasta-e-Fagiole_s4x3.jpg.rend.hgtvcom.406.305.suffix/1495125466824.webp</t>
  </si>
  <si>
    <t>Best Tomato Soup</t>
  </si>
  <si>
    <t>சிறந்த தக்காளி சூப்</t>
  </si>
  <si>
    <t>1 -  medium white,
6 tablespoons -  (3/4 stick) butter,
Two 14.5-ounce -  cans diced tomatoes ,
One 46-ounce -  bottle or can tomato juice,
3 to 6 tablespoons -  sugar ,
1 or 2 tablespoons - chicken base, 
Freshly ground black pepper ,
1 cup -  sherry, 
1 1/2 cups -  heavy cream ,
1/4 cup -  chopped fresh basil,
1/4 cup -  chopped flat-leaf parsley.</t>
  </si>
  <si>
    <t>1 - நடுத்தர வெள்ளை,
6 தேக்கரண்டி - (3/4 குச்சி) வெண்ணெய்,
இரண்டு 14.5-அவுன்ஸ் - துண்டுகளாக்கப்பட்ட தக்காளி கேன்கள்,
ஒரு 46-அவுன்ஸ் - பாட்டில் அல்லது கேன் தக்காளி சாறு,
3 முதல் 6 தேக்கரண்டி - சர்க்கரை,
1 அல்லது 2 தேக்கரண்டி - சிக்கன் பேஸ்,
புதிதாக அரைத்த கருப்பு மிளகு,
1 கப் - ஷெர்ரி,
1 1/2 கப் - கனமான கிரீம்,
1/4 கப் - நறுக்கிய புதிய துளசி,
1/4 கப் - நறுக்கிய தட்டையான இலை வோக்கோசு.</t>
  </si>
  <si>
    <t>To begin, dice the onion. Melt the butter in a large pot or Dutch oven. Throw in the onion and cook until translucent.
Now dump in the diced tomatoes and stir to combine. Add the tomato juice.
Next - and this is important - in order to combat the acidity of the tomatoes add 3 to 6 tablespoons of sugar. Now, you'll want to start on the low side, then taste and add more as needed. 
Some tomatoes and juice have more of an acidic bite than others. (For what it's worth, and I realize it's not worth much, I use 6 tablespoons of sugar.)
Next, add 1 or 2 tablespoons chicken base to the pot. I added 3, and it wound up being a little too much.
Now you can add lots of freshly ground black pepper. Stir to combine, then heat almost to a boil. Then turn off the heat.
Add in the sherry if desired. Stir in the cream. Add the basil and parsley and stir.
Serve the soup warm!</t>
  </si>
  <si>
    <t>தொடங்க, வெங்காயத்தை பகடையாக நறுக்கவும். ஒரு பெரிய தொட்டியில் அல்லது டச்சு அடுப்பில் வெண்ணெயை உருக்கவும். வெங்காயத்தை எறிந்து ஒளிஊடுருவக்கூடிய வரை சமைக்கவும்.
இப்போது துண்டுகளாக்கப்பட்ட தக்காளியில் போட்டு கலக்கவும். தக்காளி சாற்றைச் சேர்க்கவும்.
அடுத்து - இது முக்கியமானது - தக்காளியின் அமிலத்தன்மையை எதிர்த்துப் போராட 3 முதல் 6 தேக்கரண்டி சர்க்கரை சேர்க்கவும். இப்போது, ​​நீங்கள் குறைந்த பக்கத்தில் தொடங்க வேண்டும், பின்னர் ருசித்து தேவைக்கேற்ப மேலும் சேர்க்கவும்.
சில தக்காளி மற்றும் சாறு மற்றவற்றை விட அதிக அமிலத்தன்மை கொண்டதாக இருக்கும். (அதற்கு மதிப்பு, அது அதிகம் மதிப்பு இல்லை என்பதை நான் உணர்கிறேன், நான் 6 தேக்கரண்டி சர்க்கரை பயன்படுத்துகிறேன்.)
அடுத்து, பாத்திரத்தில் 1 அல்லது 2 தேக்கரண்டி சிக்கன் பேஸைச் சேர்க்கவும். நான் 3 ஐச் சேர்த்தேன், அது கொஞ்சம் அதிகமாகிவிட்டது.
இப்போது நீங்கள் புதிதாக அரைத்த கருப்பு மிளகு நிறைய சேர்க்கலாம். ஒன்றாகக் கிளறி, பின்னர் கிட்டத்தட்ட ஒரு கொதி நிலைக்கு சூடாக்கவும். பின்னர் தீயை அணைக்கவும்.
விரும்பினால் ஷெர்ரி சேர்க்கவும். கிரீம் சேர்க்கவும். துளசி மற்றும் வோக்கோசு சேர்த்து கிளறவும்.
சூப்பை சூடாக பரிமாறவும்!</t>
  </si>
  <si>
    <t>https://food.fnr.sndimg.com/content/dam/images/food/video/0/02/022/0221/0221723.jpg.rend.hgtvcom.406.305.suffix/1661175802855.webp</t>
  </si>
  <si>
    <t>Araya's Place Tom Yum Soup</t>
  </si>
  <si>
    <t>ஆராயாவின் இடம் டாம் யம் சூப்</t>
  </si>
  <si>
    <t>3 cups -  vegetable broth,
5 -  kaffir lime leaves,
3  - slices unpeeled galangal, 
3  - slices lemongrass, 
1 cup - sliced button mushrooms,
2 tablespoons -  thin soy sauce,
10 - Thai chile peppers, 
1 - lime, 
1  - medium tomato, 
1/2 - onion, 
8 -  medium-size cubes tofu, 
Dash chopped cilantro,
Dash chopped green onions.</t>
  </si>
  <si>
    <t>3 கப் - காய்கறி குழம்பு,
5 - காஃபிர் சுண்ணாம்பு இலைகள்,
3 - உரிக்கப்படாத கலங்கல் துண்டுகள்,
3 - எலுமிச்சை புல் துண்டுகள்,
1 கப் - வெட்டப்பட்ட பட்டன் காளான்கள்,
2 தேக்கரண்டி - மெல்லிய சோயா சாஸ்,
10 - தாய் சிலி மிளகுத்தூள்,
1 - சுண்ணாம்பு,
1 - நடுத்தர தக்காளி,
1/2 - வெங்காயம்,
8 - நடுத்தர அளவிலான க்யூப்ஸ் டோஃபு,
நறுக்கிய கொத்தமல்லி,
நறுக்கிய பச்சை வெங்காயத்தை நசுக்கவும்.</t>
  </si>
  <si>
    <t>In a medium saucepan, bring the vegetable broth to a boil. Once boiling, add the lime leaves, galangal and lemongrass and boil for 5 minutes.
 Add the mushrooms, thin soy sauce, Thai chiles, lime juice, tomatoes, onions and tofu, if desired, and boil for another 5 minutes. Garnish with cilantro and green onions.</t>
  </si>
  <si>
    <t>ஒரு நடுத்தர வாணலியில், காய்கறி குழம்பை ஒரு கொதி நிலைக்கு கொண்டு வாருங்கள். கொதித்ததும், சுண்ணாம்பு இலைகள், கலங்கல் மற்றும் எலுமிச்சை புல் சேர்த்து 5 நிமிடங்கள் கொதிக்க வைக்கவும்.
காளான்கள், மெல்லிய சோயா சாஸ், தாய் சிலிஸ், எலுமிச்சை சாறு, தக்காளி, வெங்காயம் மற்றும் டோஃபு ஆகியவற்றை விரும்பினால் சேர்த்து மேலும் 5 நிமிடங்கள் கொதிக்க வைக்கவும். கொத்தமல்லி மற்றும் பச்சை வெங்காயத்தால் அலங்கரிக்கவும்.</t>
  </si>
  <si>
    <t>https://food.fnr.sndimg.com/content/dam/images/food/fullset/2017/11/1/0/DV2708H_Tom-Yum-Seafood-Soup_s4x3.jpg.rend.hgtvcom.406.305.suffix/1509553472260.webp</t>
  </si>
  <si>
    <t>Lasagna Soup</t>
  </si>
  <si>
    <t>லாசக்னா சூப்</t>
  </si>
  <si>
    <t>Kosher salt,
8 - ounces lasagna noodles, broken into pieces,
1 tablespoon - extra-virgin olive oil, 
1 onion, 
1/2 -  pound hot ,
3 - cloves garlic, 
1 teaspoon -  dried oregano,
2 tablespoons -  tomato paste,
4 cups -  low-sodium chicken broth,
1 15-ounce -  can crushed ,
1/2 cup -  chopped fresh basil, 
1/3 cup -  grated parmesan cheese,
1/4 cup -  heavy cream,
Ricotta cheese.</t>
  </si>
  <si>
    <t>கோஷர் உப்பு,
8 - அவுன்ஸ் லாசக்னா நூடுல்ஸ், துண்டுகளாக உடைத்து,
1 டேபிள்ஸ்பூன் - கூடுதல் கன்னி ஆலிவ் எண்ணெய்,
1 வெங்காயம்,
1/2 - பவுண்டு சூடான ,
3 - பல் பூண்டு,
1 டீஸ்பூன் - உலர்ந்த ஆர்கனோ,
2 டேபிள்ஸ்பூன் - தக்காளி விழுது,
4 கப் - குறைந்த சோடியம் கொண்ட சிக்கன் குழம்பு,
1 15-அவுன்ஸ் - நொறுக்கப்பட்ட கேன்,
1/2 கப் - நறுக்கிய புதிய துளசி,
1/3 கப் - துருவிய பார்மேசன் சீஸ்,
1/4 கப் - கனமான கிரீம்,
ரிகோட்டா சீஸ்.</t>
  </si>
  <si>
    <t>Bring a large pot of salted water to a boil. Add the noodles and cook as the label directs. Drain; drizzle with olive oil and toss.
Meanwhile, heat 1 tablespoon olive oil in a large Dutch oven or heavy-bottomed pot over medium-high heat. Add the onion and cook, stirring, until softened, about 4 minutes. Add the sausage, garlic and oregano and cook, stirring and breaking up the sausage with a wooden spoon, until the sausage is browned, about 3 minutes.
 Add the tomato paste and cook, stirring, until darkened, about 2 minutes.
Add the chicken broth, tomatoes and 1 cup water; cover and bring to a simmer. Uncover and cook until slightly reduced, about 10 minutes. Stir in the noodles, basil, parmesan and heavy cream; simmer 2 more minutes.
Divide the soup among bowls. Top with ricotta and sliced basil.</t>
  </si>
  <si>
    <t>ஒரு பெரிய பாத்திரத்தில் உப்பு நீரை கொதிக்க வைக்கவும். நூடுல்ஸைச் சேர்த்து லேபிளில் குறிப்பிடப்பட்டுள்ளபடி சமைக்கவும். வடிகட்டி; ஆலிவ் எண்ணெயைத் தூவி கிளறவும்.
இதற்கிடையில், ஒரு பெரிய டச்சு அடுப்பில் அல்லது அடிப்பகுதி கொண்ட பாத்திரத்தில் நடுத்தர உயர் வெப்பத்தில் 1 டேபிள்ஸ்பூன் ஆலிவ் எண்ணெயைச் சூடாக்கவும். வெங்காயத்தைச் சேர்த்து, மென்மையாகும் வரை கிளறி, சுமார் 4 நிமிடங்கள் சமைக்கவும். தொத்திறைச்சி, பூண்டு மற்றும் ஆர்கனோவைச் சேர்த்து, ஒரு மரக் கரண்டியால் தொத்திறைச்சியைக் கிளறி உடைத்து, தொத்திறைச்சி பழுப்பு நிறமாக மாறும் வரை சுமார் 3 நிமிடங்கள் சமைக்கவும்.
தக்காளி விழுதைச் சேர்த்து, இருட்டாகும் வரை சுமார் 2 நிமிடங்கள் சமைக்கவும்.
சிக்கன் குழம்பு, தக்காளி மற்றும் 1 கப் தண்ணீர் சேர்த்து; மூடி வைத்து ஒரு கொதி நிலைக்கு கொண்டு வாருங்கள். மூடியை அகற்றி, சிறிது குறையும் வரை, சுமார் 10 நிமிடங்கள் சமைக்கவும். நூடுல்ஸ், துளசி, பர்மேசன் மற்றும் கனமான கிரீம் சேர்த்து கிளறவும்; மேலும் 2 நிமிடங்கள் கொதிக்க வைக்கவும்.
கிண்ணங்களுக்கு இடையில் சூப்பைப் பிரிக்கவும். ரிக்கோட்டா மற்றும் துண்டுகளாக்கப்பட்ட துளசியுடன் மேலே வைக்கவும்.</t>
  </si>
  <si>
    <t>https://food.fnr.sndimg.com/content/dam/images/food/fullset/2017/2/18/0/FNK_Grilled-Cheese-and-Tomato-Soup-Lasagna_s4x3.jpg.rend.hgtvcom.406.305.suffix/1487435370329.webp</t>
  </si>
  <si>
    <t>Leek Potato Soup</t>
  </si>
  <si>
    <t>லீக் உருளைக்கிழங்கு சூப்</t>
  </si>
  <si>
    <t xml:space="preserve">1  - pound leeks,
3 tablespoons -  unsalted butter,
Heavy pinch kosher salt, 
14  - nounces, 
1 - quart vegetable broth,
1 cup -  heavy cream,
1 cup -  buttermilk,
1/2 teaspoon -  white pepper,
1 tablespoon -  snipped chives.
</t>
  </si>
  <si>
    <t>1 - பவுண்டு லீக்ஸ்,
3 டேபிள்ஸ்பூன் - உப்பு சேர்க்காத வெண்ணெய்,
அதிக சிட்டிகை கோஷர் உப்பு,
14 - பெயர்ச்சொல்,
1 - குவார்ட்டர் காய்கறி குழம்பு,
1 கப் - கனமான கிரீம்,
1 கப் - மோர்,
1/2 டீஸ்பூன் - வெள்ளை மிளகு,
1 டேபிள்ஸ்பூன் - நறுக்கிய வெங்காயத்தாள்.
லீக்ஸை சிறிய துண்டுகளாக நறுக்கவும்.</t>
  </si>
  <si>
    <t>Chop the leeks into small pieces.
In a 6-quart saucepan over medium heat, melt the butter. Add the leeks and a heavy pinch of salt and sweat for 5 minutes. Decrease the heat to medium-low and cook until the leeks are tender, approximately 25 minutes, stirring occasionally.
Add the potatoes and the vegetable broth, increase the heat to medium-high, and bring to a boil. Reduce the heat to low, cover, and gently simmer until the potatoes are soft, approximately 45 minutes.
Turn off the heat and puree the mixture with an immersion blender until smooth. Stir in the heavy cream, buttermilk, and white pepper. 
Taste and adjust seasoning if desired. Sprinkle with chives and serve immediately, or chill and serve cold.</t>
  </si>
  <si>
    <t>லீக்ஸை சிறிய துண்டுகளாக நறுக்கவும்.
6-குவார்ட்டர் பாத்திரத்தில் நடுத்தர வெப்பத்தில், வெண்ணெயை உருக்கவும். லீக்ஸ் மற்றும் ஒரு சிட்டிகை உப்பு சேர்த்து 5 நிமிடங்கள் வியர்வை செய்யவும். தீயை நடுத்தர-குறைவாகக் குறைத்து, லீக்ஸ் மென்மையாகும் வரை, தோராயமாக 25 நிமிடங்கள், அவ்வப்போது கிளறி சமைக்கவும்.
உருளைக்கிழங்கு மற்றும் காய்கறி குழம்பைச் சேர்த்து, தீயை நடுத்தர-உயர்வாக அதிகரித்து, ஒரு கொதி நிலைக்கு கொண்டு வாருங்கள். தீயை குறைத்து, மூடி வைத்து, உருளைக்கிழங்கு மென்மையாகும் வரை, தோராயமாக 45 நிமிடங்கள் மெதுவாக வேகவைக்கவும்.
தீயை அணைத்து, கலவையை ஒரு மூழ்கும் பிளெண்டரைப் பயன்படுத்தி மென்மையான வரை ப்யூரி செய்யவும். கனமான கிரீம், மோர் மற்றும் வெள்ளை மிளகு சேர்த்து கிளறவும்.
விரும்பினால் ருசித்து, மசாலாவை சரிசெய்யவும். வெங்காயத்தாள் தூவி உடனடியாகப் பரிமாறவும், அல்லது ஆறவைத்து குளிர்ச்சியாகப் பரிமாறவும்.</t>
  </si>
  <si>
    <t>https://food.fnr.sndimg.com/content/dam/images/food/fullset/2013/11/18/0/FN_Soups-Potato-Leek-Soup_s4x3.jpg.rend.hgtvcom.406.305.suffix/1385047400528.webp</t>
  </si>
  <si>
    <t>Roasted Tomato Basil Soup</t>
  </si>
  <si>
    <t>வறுத்த தக்காளி துளசி சூப்</t>
  </si>
  <si>
    <t>3 -  pounds ripe plum tomatoes, 
1/4 cup -  plus 2 tablespoons good olive oil,
1 tablespoon -  kosher salt,
1 1/2 teaspoons -  freshly ground black pepper,
2 cups -  chopped yellow onions,
6 -  garlic cloves, 
2 tablespoons -  unsalted butter,
1/4 teaspoon -  crushed red pepper flakes,
1 (28-ounce) -  canned plum tomatoes, 
4 cups -  fresh basil leaves,
1 teaspoon -  fresh thyme leaves,
1 - quart chicken stock or water.</t>
  </si>
  <si>
    <t>3 - பவுண்டு பழுத்த பிளம் தக்காளி,
1/4 கப் - கூடுதலாக 2 தேக்கரண்டி நல்ல ஆலிவ் எண்ணெய்,
1 தேக்கரண்டி - கோஷர் உப்பு,
1 1/2 தேக்கரண்டி - புதிதாக அரைத்த கருப்பு மிளகு,
2 கப் - நறுக்கிய மஞ்சள் வெங்காயம்,
6 - பூண்டு பற்கள்,
2 தேக்கரண்டி - உப்பு சேர்க்காத வெண்ணெய்,
1/4 தேக்கரண்டி - நொறுக்கப்பட்ட சிவப்பு மிளகு துண்டுகள்,
1 (28-அவுன்ஸ்) - பதிவு செய்யப்பட்ட பிளம் தக்காளி,
4 கப் - புதிய துளசி இலைகள்,
1 தேக்கரண்டி - புதிய தைம் இலைகள்,
1 - குவார்ட்டர் சிக்கன் ஸ்டாக் அல்லது தண்ணீர்.</t>
  </si>
  <si>
    <t>Preheat the oven to 400 degrees F. Toss together the tomatoes, 1/4 cup olive oil, salt, and pepper. Spread the tomatoes in 1 layer on a baking sheet and roast for 45 minutes.
In an 8-quart stockpot over medium heat, saute the onions and garlic with 2 tablespoons of olive oil, the butter, and red pepper flakes for 10 minutes, until the onions start to brown. Add the canned tomatoes, basil, thyme, and chicken stock.
 Add the oven-roasted tomatoes, including the liquid on the baking sheet. Bring to a boil and simmer uncovered for 40 minutes. Pass through a food mill fitted with the coarsest blade. Taste for seasonings. Serve hot or cold.</t>
  </si>
  <si>
    <t>அடுப்பை 400 டிகிரி எஃப்-க்கு முன்கூட்டியே சூடாக்கவும். தக்காளி, 1/4 கப் ஆலிவ் எண்ணெய், உப்பு மற்றும் மிளகு ஆகியவற்றை ஒன்றாக டாஸ் செய்யவும். தக்காளியை ஒரு பேக்கிங் தாளில் 1 அடுக்கில் பரப்பி 45 நிமிடங்கள் வறுக்கவும்.
8-குவார்ட்டர் ஸ்டாக் பானையில், வெங்காயம் மற்றும் பூண்டை 2 தேக்கரண்டி ஆலிவ் எண்ணெய், வெண்ணெய் மற்றும் சிவப்பு மிளகு துண்டுகளுடன் சேர்த்து 10 நிமிடங்கள், வெங்காயம் பழுப்பு நிறமாக மாறும் வரை வதக்கவும். பதிவு செய்யப்பட்ட தக்காளி, துளசி, தைம் மற்றும் சிக்கன் ஸ்டாக் சேர்க்கவும்.
அடுப்பில் வறுத்த தக்காளியை, பேக்கிங் தாளில் உள்ள திரவத்துடன் சேர்த்து சேர்க்கவும். ஒரு கொதி நிலைக்கு கொண்டு வந்து 40 நிமிடங்கள் மூடி இல்லாமல் கொதிக்க வைக்கவும். கரடுமுரடான பிளேடு பொருத்தப்பட்ட ஒரு உணவு ஆலை வழியாக அனுப்பவும். மசாலாப் பொருட்களுக்கு சுவையூட்டவும். சூடாகவோ அல்லது குளிராகவோ பரிமாறவும்.</t>
  </si>
  <si>
    <t>https://food.fnr.sndimg.com/content/dam/images/food/fullset/2007/1/26/0/sh0710_soup.jpg.rend.hgtvcom.406.305.suffix/1389804707797.webp</t>
  </si>
  <si>
    <t>Bean and Escarole Soup</t>
  </si>
  <si>
    <t>பீன் மற்றும் எஸ்கரோல் சூப்</t>
  </si>
  <si>
    <t>2 tablespoons -  extra-virgin olive oil, 
3 -  cloves garlic, 
2 -  carrots, 
1 - red onion, 
2 teaspoons -  chopped fresh rosemary,
1 - head escarole, 
1 15-ounce -  can cannellini beans,
4 cups -  low-sodium chicken broth,
Kosher salt and freshly ground pepper,
12 - beef meatballs ,
Grated parmesan cheese.</t>
  </si>
  <si>
    <t>2 டேபிள்ஸ்பூன் - கூடுதல் கன்னி ஆலிவ் எண்ணெய்,
3 - பூண்டு பல்,
2 - கேரட்,
1 - சிவப்பு வெங்காயம்,
2 டீஸ்பூன் - நறுக்கிய புதிய ரோஸ்மேரி,
1 - தலை எஸ்கரோல்,
1 15-அவுன்ஸ் - கேன் கேனெல்லினி பீன்ஸ்,
4 கப் - குறைந்த சோடியம் கொண்ட சிக்கன் குழம்பு,
கோஷர் உப்பு மற்றும் புதிதாக அரைத்த மிளகு,
12 - மாட்டிறைச்சி மீட்பால்ஸ் ,
துருவிய பார்மேசன் சீஸ்.</t>
  </si>
  <si>
    <t xml:space="preserve">Heat the olive oil in a large pot or Dutch oven over medium-high heat. Add the garlic, carrots, red onion and rosemary and cook, stirring, until softened, about 5 minutes. Stir in the escarole, beans and their liquid, chicken broth, 2 cups water, 1/2 teaspoon salt and a few grinds of pepper.
Increase the heat to high and bring to a boil. Reduce the heat to medium low and simmer until the vegetables are tender, about 10 minutes. 
Gently stir in the meatballs and cook until warmed through, about 5 minutes. Season with salt and pepper. Ladle into bowls and top with parmesan and a few grinds of pepper; drizzle with olive oil. </t>
  </si>
  <si>
    <t>ஒரு பெரிய தொட்டியில் அல்லது டச்சு அடுப்பில் ஆலிவ் எண்ணெயை நடுத்தர உயர் வெப்பத்தில் சூடாக்கவும். பூண்டு, கேரட், சிவப்பு வெங்காயம் மற்றும் ரோஸ்மேரியைச் சேர்த்து, சுமார் 5 நிமிடங்கள் மென்மையாகும் வரை கிளறி, சமைக்கவும். எஸ்கரோல், பீன்ஸ் மற்றும் அவற்றின் திரவம், சிக்கன் குழம்பு, 2 கப் தண்ணீர், 1/2 டீஸ்பூன் உப்பு மற்றும் சிறிது மிளகு ஆகியவற்றைச் சேர்த்து கிளறவும்.
தீயை அதிகப்படுத்தி கொதிக்க வைக்கவும். தீயை மிதமானதாகக் குறைத்து, காய்கறிகள் மென்மையாகும் வரை சுமார் 10 நிமிடங்கள் இளங்கொதிவாக்கவும்.
மீட்பால்ஸை மெதுவாகக் கிளறி, சூடு ஆகும் வரை சுமார் 5 நிமிடங்கள் சமைக்கவும். உப்பு மற்றும் மிளகு சேர்த்து சுவைக்கவும். கிண்ணங்களில் போட்டு, அதன் மேல் பர்மேசன் மற்றும் சிறிது மிளகு தூவி பரிமாறவும்; ஆலிவ் எண்ணெயைத் தூவவும்.</t>
  </si>
  <si>
    <t>https://food.fnr.sndimg.com/content/dam/images/food/fullset/2021/02/03/FNK_5IngredientCreamyWhiteBeanSoup_H.jpg.rend.hgtvcom.406.305.suffix/1612401997797.webp</t>
  </si>
  <si>
    <t>Bouillabaisse</t>
  </si>
  <si>
    <t>பவுலாபைஸ்</t>
  </si>
  <si>
    <t>4 tablespoons -  canola oil,
6 - sea scallops, 
Six 3-ounce -  halibut fillets,
6 - anchovies, 
4 tablespoons -  unsalted butter, 
Kosher salt and freshly ground black pepper,
6 -  large red shrimp, such as Carabineros, 
18 -  mussels, 
Three 8-ounce -  lobster tails, 
1/4 cup -  chopped fresh flat-leaf parsley, 
2 tablespoons -  chopped fresh tarragon, 
1 teaspoon -  finely grated lemon zest,
Six 1/2-inch-thick -  slices baguette, 
Finely chopped fresh chives, 
1/4 cup -  canola oil,
5 cups -  raw shrimp shells,
1 - carrot, 
1 - stalk celery, 
1 cup - white wine,
2  - plum tomatoes, 
10 -  sprigs fresh flat-leaf parsley,
1 - bay leaf,
1/2 teaspoon -  whole black peppercorns,
1/2 cup -  mayonnaise,
2  - anchovies, 
2 tablespoons -  tomato powder,
2 teaspoons -  tomato paste,
1  - onion, 
Juice and finely grated zest of 1/2 lemon,
2 tablespoons - canola oil,
1 -  small head fennel, 
1 -  small onion, 
1/2 cup -  pastis, 
One 15-ounce -  can plum tomatoes, 
Pinch of saffron,
Pinch of Calabrian chile flakes,
1  - head garlic.</t>
  </si>
  <si>
    <t>4 தேக்கரண்டி - கனோலா எண்ணெய்,
6 - கடல் ஸ்காலப்ஸ்,
ஆறு 3-அவுன்ஸ் - ஹாலிபட் ஃபில்லட்டுகள்,
6 - நெத்திலி,
4 தேக்கரண்டி - உப்பு சேர்க்காத வெண்ணெய்,
கோஷர் உப்பு மற்றும் புதிதாக அரைத்த கருப்பு மிளகு,
6 - பெரிய சிவப்பு இறால், எடுத்துக்காட்டாக, காராபினெரோஸ்,
18 - மஸ்ஸல்ஸ்,
மூன்று 8-அவுன்ஸ் - இரால் வால்கள்,
1/4 கப் - நறுக்கிய புதிய தட்டையான இலை வோக்கோசு,
2 தேக்கரண்டி - நறுக்கிய புதிய டாராகன்,
1 தேக்கரண்டி - நன்றாக அரைத்த எலுமிச்சை தோல்,
ஆறு 1/2-அங்குல தடிமன் - துண்டுகள் பக்கோடா,
இறுதியாக நறுக்கிய புதிய வெங்காயத்தாள்,
1/4 கப் - கனோலா எண்ணெய்,
5 கப் - பச்சை இறால் ஓடுகள்,
1 - கேரட்,
1 - தண்டு செலரி,
1 கப் - வெள்ளை ஒயின்,
2 - பிளம் தக்காளி,
10 - புதிய தட்டையான இலை வோக்கோசு கிளைகள்,
1 - வளைகுடா இலை,
1/2 தேக்கரண்டி - முழு கருப்பு மிளகுத்தூள்,
1/2 கப் - மயோனைசே,
2 - நெத்திலி,
2 டேபிள்ஸ்பூன் - தக்காளி தூள்,
2 டீஸ்பூன் - தக்காளி விழுது,
1 - வெங்காயம்,
சாறு மற்றும் நன்றாக துருவிய 1/2 எலுமிச்சை தோல்,
2 டேபிள்ஸ்பூன் - கனோலா எண்ணெய்,
1 - சிறிய தலை பெருஞ்சீரகம்,
1 - சிறிய வெங்காயம்,
1/2 கப் - பாஸ்டிஸ்,
ஒரு 15-அவுன்ஸ் - கேன் பிளம் தக்காளி,
சிட்டிகை குங்குமப்பூ,
சிட்டிகை கலாப்ரியன் சிலி செதில்கள்,
1 - தலை பூண்டு.</t>
  </si>
  <si>
    <t>For the shrimp stock: In a large saucepan over high heat, heat the oil until almost smoking. Add the shrimp shells and tails, onion, carrot and celery and saute, stirring occasionally, for 5 minutes. Add the wine and cook until reduced by half, then add 10 cups of cold water, the tomatoes, parsley, bay leaf and peppercorns. Bring to a boil, reduce the heat to medium low and simmer, skimming the surface occasionally, for 40 minutes.
Strain the stock through a strainer lined with cheesecloth into a large bowl, pressing on the solids to extract as much liquid as possible; discard the solids. The stock can be made 2 days in advance and stored tightly covered in the refrigerator, or frozen up to 3 months.
For the tomato aioli: Combine the mayonnaise, anchovies, tomato powder, tomato paste, green onion, lemon juice, lemon zest, salt and pepper in a small bowl. Cover and refrigerate for at least 30 minutes to allow the flavors to meld.
For the broth: Heat the oil in a large, high-sided saute pan over high heat and cook the fennel and onion until they begin to soften. Add the pastis and cook until reduced by half, about 5 minutes. Add the tomatoes, saffron, chile flakes and 2 cups of the shrimp stock. Bring to a boil, add the garlic and cook until reduced by half, about 10 minutes. Add 4 more cups of shrimp stock, reduce the heat and cook until the flavors meld and the broth reduces slightly, about 20 minutes. Strain the shrimp-tomato broth into a large bowl, discard the solids, pour the liquid back into the high-sided saute pan and set aside.
For the anchovy butter: Put the anchovies and butter in a bowl and mix until combined. Season with salt and pepper, cover and refrigerate until cold, at least 20 minutes.
For the seafood: Heat 2 tablespoons of the oil in a large saute pan over high heat. Season the scallops on both sides with salt and pepper. Sear the scallops on one side until golden brown, about 2 minutes, then turn over and cook for 30 seconds. Remove to a baking sheet.
Add another tablespoon of the oil to the pan and season both sides of the halibut fillets with salt and pepper. Sear on one side until golden brown, then turn over and cook for 30 seconds. Remove to the baking sheet with the scallops.
Heat the remaining tablespoon of oil in the large saute pan, season the shrimp with salt and pepper and sear until the shells become lightly golden brown, about 1 1/2 minutes per side. Deglaze the pan with 1 cup of the reserved shrimp-tomato broth. Transfer the liquid to the remaining shrimp-tomato broth in the high-sided saute pan.
Heat the shrimp-tomato broth over high heat. Add the mussels, cover and cook until they open, about 2 minutes. Remove the mussels to the baking sheet with a slotted spoon and discard any that did not open.
Add the seared seafood and lobster tails to the shrimp-tomato broth, cover and let cook for 2 minutes.
To serve: Add the anchovy butter to the broth and cook until thickened; stir in the parsley, tarragon and lemon zest. Top each baguette slice with a large dollop of tomato aioli and garnish with chives. Divide the seafood and broth among 6 large, slightly shallow soup bowls. Top each with a tomato aioli crouton and garnish with more parsley or tarragon or chives, if desired.</t>
  </si>
  <si>
    <t>இறால் குழம்புக்கு: ஒரு பெரிய வாணலியில் அதிக வெப்பத்தில், எண்ணெய் கிட்டத்தட்ட புகைபிடிக்கும் வரை சூடாக்கவும். இறால் ஓடுகள் மற்றும் வால்கள், வெங்காயம், கேரட் மற்றும் செலரி ஆகியவற்றைச் சேர்த்து, அவ்வப்போது கிளறி, 5 நிமிடங்கள் வதக்கவும். ஒயின் சேர்த்து பாதியாகக் குறையும் வரை சமைக்கவும், பின்னர் 10 கப் குளிர்ந்த நீர், தக்காளி, வோக்கோசு, வளைகுடா இலை மற்றும் மிளகுத்தூள் சேர்க்கவும். ஒரு கொதி நிலைக்கு கொண்டு வந்து, வெப்பத்தை மிதமாகக் குறைத்து, அவ்வப்போது மேற்பரப்பை 40 நிமிடங்கள் குறைக்கவும்.
ஒரு பெரிய கிண்ணத்தில் சீஸ்க்லாத் வரிசையாக அமைக்கப்பட்ட ஒரு வடிகட்டி மூலம் குழம்பை வடிகட்டி, முடிந்தவரை திரவத்தை பிரித்தெடுக்க திடப்பொருட்களின் மீது அழுத்தவும்; திடப்பொருட்களை நிராகரிக்கவும். குழம்பை 2 நாட்களுக்கு முன்பே தயாரித்து குளிர்சாதன பெட்டியில் இறுக்கமாக மூடி வைக்கலாம் அல்லது 3 மாதங்கள் வரை உறைய வைக்கலாம்.
தக்காளி அயோலிக்கு: மயோனைஸ், நெத்திலி, தக்காளி தூள், தக்காளி விழுது, பச்சை வெங்காயம், எலுமிச்சை சாறு, எலுமிச்சை தோல், உப்பு மற்றும் மிளகு ஆகியவற்றை ஒரு சிறிய கிண்ணத்தில் இணைக்கவும். சுவைகள் கரைய அனுமதிக்க குறைந்தது 30 நிமிடங்கள் மூடி குளிர்சாதன பெட்டியில் வைக்கவும்.
குழம்புக்கு: ஒரு பெரிய, உயர் பக்க வதக்கிய பாத்திரத்தில் எண்ணெயை அதிக வெப்பத்தில் சூடாக்கி, பெருஞ்சீரகம் மற்றும் வெங்காயத்தை மென்மையாக்கத் தொடங்கும் வரை சமைக்கவும். பாஸ்டிஸைச் சேர்த்து பாதியாகக் குறையும் வரை, சுமார் 5 நிமிடங்கள் சமைக்கவும். தக்காளி, குங்குமப்பூ, மிளகாய்த் துண்டுகள் மற்றும் 2 கப் இறால் குழம்பு சேர்க்கவும். ஒரு கொதி நிலைக்கு கொண்டு வந்து, பூண்டு சேர்த்து பாதியாகக் குறையும் வரை, சுமார் 10 நிமிடங்கள் சமைக்கவும். மேலும் 4 கப் இறால் குழம்பைச் சேர்த்து, வெப்பத்தைக் குறைத்து, சுவைகள் கரைந்து குழம்பு சிறிது குறையும் வரை, சுமார் 20 நிமிடங்கள் சமைக்கவும். இறால்-தக்காளி குழம்பை ஒரு பெரிய கிண்ணத்தில் வடிகட்டி, திடப்பொருட்களை நிராகரித்து, திரவத்தை மீண்டும் உயர் பக்க வதக்கிய பாத்திரத்தில் ஊற்றி ஒதுக்கி வைக்கவும்.
நெத்திலி வெண்ணெயைப் பொறுத்தவரை: நெத்திலி மற்றும் வெண்ணெயை ஒரு கிண்ணத்தில் போட்டு, கலக்கும் வரை கலக்கவும். உப்பு மற்றும் மிளகு சேர்த்து, மூடி, குளிர்சாதன பெட்டியில் குறைந்தது 20 நிமிடங்கள் வைக்கவும்.
கடல் உணவுக்காக: ஒரு பெரிய வதக்கிய பாத்திரத்தில் 2 தேக்கரண்டி எண்ணெயை அதிக வெப்பத்தில் சூடாக்கவும். இருபுறமும் உப்பு மற்றும் மிளகு சேர்த்து ஸ்காலப்ஸைத் தாளிக்கவும். ஸ்காலப்ஸை ஒரு பக்கத்தில் தங்க பழுப்பு நிறமாக வறுக்கவும், சுமார் 2 நிமிடங்கள், பின்னர் திருப்பி 30 வினாடிகள் சமைக்கவும். பேக்கிங் தாளில் அகற்றவும்.
வாணலியில் மற்றொரு தேக்கரண்டி எண்ணெயைச் சேர்த்து, ஹாலிபட் ஃபில்லட்டுகளின் இருபுறமும் உப்பு மற்றும் மிளகு சேர்த்து தாளிக்கவும். ஒரு பக்கத்தில் தங்க பழுப்பு நிறமாக வறுக்கவும், பின்னர் திருப்பி 30 வினாடிகள் சமைக்கவும். ஸ்காலப்ஸுடன் பேக்கிங் தாளில் அகற்றவும்.
மீதமுள்ள தேக்கரண்டி எண்ணெயை பெரிய வதக்கிய பாத்திரத்தில் சூடாக்கி, இறாலை உப்பு மற்றும் மிளகு சேர்த்து தாளிக்கவும், ஓடுகள் லேசாக தங்க பழுப்பு நிறமாக மாறும் வரை, ஒரு பக்கத்திற்கு சுமார் 1 1/2 நிமிடங்கள் வதக்கவும். 1 கப் ஒதுக்கப்பட்ட இறால்-தக்காளி குழம்புடன் பாத்திரத்தை டீக்ளேஸ் செய்யவும். திரவத்தை உயர் பக்க வதக்கிய பாத்திரத்தில் மீதமுள்ள இறால்-தக்காளி குழம்புக்கு மாற்றவும்.
இறால்-தக்காளி குழம்பை அதிக வெப்பத்தில் சூடாக்கவும். மஸல்களைச் சேர்த்து, மூடி, அவை திறக்கும் வரை, சுமார் 2 நிமிடங்கள் சமைக்கவும். மஸல்களை ஒரு துளையிடப்பட்ட கரண்டியால் பேக்கிங் தாளில் அகற்றி, திறக்காதவற்றை நிராகரிக்கவும்.
வறுத்த கடல் உணவு மற்றும் இரால் வால்களை இறால்-தக்காளி குழம்பில் சேர்த்து, மூடி 2 நிமிடங்கள் சமைக்கவும்.
பரிமாற: குழம்பில் நெத்திலி வெண்ணெய் சேர்த்து கெட்டியாகும் வரை சமைக்கவும்; வோக்கோசு, டாராகன் மற்றும் எலுமிச்சை தோலைச் சேர்த்து கிளறவும். ஒவ்வொரு பக்கோடா துண்டுகளின் மேல் ஒரு பெரிய அளவு தக்காளி அயோலியை வைத்து, வெங்காயத்தாள்களால் அலங்கரிக்கவும். கடல் உணவு மற்றும் குழம்பை 6 பெரிய, சற்று ஆழமற்ற சூப் கிண்ணங்களில் பிரிக்கவும். ஒவ்வொன்றின் மேல் ஒரு தக்காளி அயோலி க்ரூட்டனை வைத்து, தேவைப்பட்டால், மேலும் வோக்கோசு அல்லது டாராகன் அல்லது சீவ்ஸால் அலங்கரிக்கவும்.</t>
  </si>
  <si>
    <t>https://encrypted-tbn0.gstatic.com/images?q=tbn:ANd9GcSX-0u2XHA299nQ6rodTNjhD0qtVy_IrNrwtg&amp;s</t>
  </si>
  <si>
    <t>Lentil Soup</t>
  </si>
  <si>
    <t xml:space="preserve">
பருப்பு சூப்</t>
  </si>
  <si>
    <t>2 tablespoons - olive oil, 
1 - medium onion, 
2 - carrots, 
2  - celery stalks,
2 - cloves garlic, 
Salt and freshly ground black pepper,
1 (14 1/2-ounce) -  can diced tomatoes,
1 - pound lentils,
11 cups -  low-salt chicken broth,
 6 - fresh thyme sprigs,
2/3 cup -  dried elbow pasta,
1 cup - shredded Parmesan.</t>
  </si>
  <si>
    <t>2 தேக்கரண்டி - ஆலிவ் எண்ணெய்,
1 - நடுத்தர வெங்காயம்,
2 - கேரட்,
2 - செலரி தண்டுகள்,
2 - பூண்டு பல்,
உப்பு மற்றும் புதிதாக அரைத்த கருப்பு மிளகு,
1 (14 1/2-அவுன்ஸ்) - துண்டுகளாக்கப்பட்ட தக்காளி,
1 - பவுண்டு பருப்பு,
11 கப் - குறைந்த உப்பு சிக்கன் குழம்பு,
6 - புதிய தைம் தளிர்கள்,
2/3 கப் - உலர்ந்த எல்போ பாஸ்தா,
1 கப் - துண்டாக்கப்பட்ட பர்மேசன்.</t>
  </si>
  <si>
    <t>Heat the oil in a heavy large pot over medium heat. Add the onion, carrots, and celery. Add the garlic, salt, and pepper and saute until all the vegetables are tender, about 5 to 8 minutes. 
Add the tomatoes with their juices. Simmer until the juices evaporate a little and the tomatoes break down, stirring occasionally, about 8 minutes.
 Add the lentils and mix to coat. Add the broth and stir. Add the thyme sprigs. Bring to a boil over high heat. Cover and simmer over low heat until the lentils are almost tender, about 30 minutes.
Stir in the pasta. Simmer until the pasta is tender but still firm to the bite, about 8 minutes. Season with salt and pepper, to taste.
Ladle the soup into bowls. Sprinkle with the Parmesan, drizzle with olive oil, and serve.</t>
  </si>
  <si>
    <t>ஒரு பெரிய கனமான பாத்திரத்தில் எண்ணெயை மிதமான தீயில் சூடாக்கவும். வெங்காயம், கேரட் மற்றும் செலரி சேர்க்கவும். பூண்டு, உப்பு மற்றும் மிளகு சேர்த்து அனைத்து காய்கறிகளும் மென்மையாகும் வரை சுமார் 5 முதல் 8 நிமிடங்கள் வரை வதக்கவும்.
தக்காளியை அவற்றின் சாறுகளுடன் சேர்க்கவும். சாறுகள் சிறிது ஆவியாகும் வரை மற்றும் தக்காளி உடைந்து போகும் வரை, அவ்வப்போது கிளறி, சுமார் 8 நிமிடங்கள் வரை வேகவைக்கவும்.
பருப்பைச் சேர்த்து பூச கலக்கவும். குழம்பு சேர்த்து கிளறவும். தைம் தளிர்களைச் சேர்க்கவும். அதிக தீயில் கொதிக்க வைக்கவும். பருப்பு கிட்டத்தட்ட மென்மையாகும் வரை, சுமார் 30 நிமிடங்கள், மூடி வைத்து குறைந்த தீயில் வேக வைக்கவும்.
பாஸ்தாவைச் சேர்த்துக் கிளறவும். பாஸ்தா மென்மையாகும் வரை, ஆனால் கடித்தால் கெட்டியாகும் வரை, சுமார் 8 நிமிடங்கள் வேக வைக்கவும். சுவைக்கேற்ப உப்பு மற்றும் மிளகுத்தூள் சேர்த்துப் பரிமாறவும்.
சூப்பை கிண்ணங்களில் ஊற்றவும். பர்மேசன் தூவி, ஆலிவ் எண்ணெயைத் தூவி, பரிமாறவும்.</t>
  </si>
  <si>
    <t>https://www.allrecipes.com/thmb/mVE0x7bzey6DPJFBBXDoI_rBrkw=/0x512/filters:no_upscale():max_bytes(150000):strip_icc()/13978-lentil-soup-DDMFS-4x3-edfa47fc6b234e6b8add24d44c036d43.jpg</t>
  </si>
  <si>
    <t>Potato-Leek Soup With Bacon</t>
  </si>
  <si>
    <t>உருளைக்கிழங்கு-லீக் சூப் பேக்கன் உடன்</t>
  </si>
  <si>
    <t>2 tablespoons - unsalted butter,
1/2 teaspoon - smoked paprika,
1 1/2 cups - cubed crusty bread,
4 - slices bacon, 
2 - large leeks, 
2 - cloves garlic, 
4 cups - low-sodium chicken broth,
2 - medium russet potatoes, 
Kosher salt and freshly ground pepper,
1/2 cup - heavy cream,
1 1/2 cups - frozen peas,
1/4 cup - chopped fresh parsley.</t>
  </si>
  <si>
    <t>2 டேபிள்ஸ்பூன் - உப்பு சேர்க்காத வெண்ணெய்,
1/2 டீஸ்பூன் - புகைபிடித்த மிளகுத்தூள்,
1 1/2 கப் - க்யூப் செய்யப்பட்ட க்ரஸ்டி ரொட்டி,
4 - துண்டுகளாக்கப்பட்ட பன்றி இறைச்சி,
2 - பெரிய லீக்ஸ்,
2 - பூண்டு பற்கள்,
4 கப் - குறைந்த சோடியம் கொண்ட சிக்கன் குழம்பு,
2 - நடுத்தர ரஸ்ஸெட் உருளைக்கிழங்கு,
கோஷர் உப்பு மற்றும் புதிதாக அரைத்த மிளகு,
1/2 கப் - கனமான கிரீம்,
1 1/2 கப் - உறைந்த பட்டாணி,
1/4 கப் - நறுக்கிய புதிய வோக்கோசு.</t>
  </si>
  <si>
    <t>Preheat the oven to 400 degrees F. Make the croutons: Melt 1 tablespoon butter, then mix with the paprika in a bowl. Add the bread cubes and toss. Spread on a baking sheet and bake until golden, 8 to 10 minutes.
Meanwhile, cook the bacon in a large saucepan over medium heat until crisp, about 8 minutes. Transfer with a slotted spoon to a paper towel-lined plate. Discard all but about 1 tablespoon fat from the pan. Add the remaining 1 tablespoon butter, then add the leeks and garlic; cover and cook until soft, about 5 minutes. Add the broth, 2 cups water, the potatoes and 1/4 teaspoon each salt and pepper; cover and bring to a boil over high heat. Reduce the heat to medium and simmer, partially covered, until the potatoes are tender, about 10 minutes.
Puree half the soup in a blender (remove the filler cap to let steam escape), then return to the pot. Add the cream and bring to a simmer. Add the peas and cook until tender, about 3 minutes. Season with salt and pepper. Serve topped with the croutons, bacon and parsley.</t>
  </si>
  <si>
    <t>அடுப்பை 400 டிகிரி எஃப்-க்கு முன்கூட்டியே சூடாக்கவும். க்ரூட்டன்களை உருவாக்கவும்: 1 டேபிள்ஸ்பூன் வெண்ணெயை உருக்கி, பின்னர் ஒரு கிண்ணத்தில் மிளகுத்தூள் சேர்த்து கலக்கவும். ரொட்டி க்யூப்ஸைச் சேர்த்து டாஸ் செய்யவும். ஒரு பேக்கிங் தாளில் பரப்பி, 8 முதல் 10 நிமிடங்கள் வரை பொன்னிறமாகும் வரை சுடவும்.
இதற்கிடையில், ஒரு பெரிய வாணலியில் பன்றி இறைச்சியை நடுத்தர வெப்பத்தில் மிருதுவாக, சுமார் 8 நிமிடங்கள் சமைக்கவும். துளையிடப்பட்ட கரண்டியால் ஒரு காகித துண்டு-வரிசைப்படுத்தப்பட்ட தட்டுக்கு மாற்றவும். வாணலியில் இருந்து 1 டேபிள்ஸ்பூன் கொழுப்பைத் தவிர மற்ற அனைத்தையும் நிராகரிக்கவும். மீதமுள்ள 1 டேபிள் ஸ்பூன் வெண்ணெய் சேர்த்து, பின்னர் லீக்ஸ் மற்றும் பூண்டு சேர்த்து; மூடி வைத்து மென்மையாகும் வரை சுமார் 5 நிமிடங்கள் சமைக்கவும். குழம்பு, 2 கப் தண்ணீர், உருளைக்கிழங்கு மற்றும் தலா 1/4 டீஸ்பூன் உப்பு மற்றும் மிளகு சேர்த்து; மூடி வைத்து அதிக வெப்பத்தில் கொதிக்க வைக்கவும். தீயை நடுத்தரமாகக் குறைத்து, பாதி மூடி, உருளைக்கிழங்கு மென்மையாகும் வரை சுமார் 10 நிமிடங்கள் இளங்கொதிவாக்கவும்.
பாதி சூப்பை ஒரு பிளெண்டரில் அரைக்கவும் (நீராவி வெளியேற அனுமதிக்க நிரப்பு மூடியை அகற்றவும்), பின்னர் மீண்டும் பாத்திரத்தில் வைக்கவும். கிரீம் சேர்த்து ஒரு கொதி நிலைக்கு கொண்டு வாருங்கள். பட்டாணியைச் சேர்த்து மென்மையாகும் வரை சுமார் 3 நிமிடங்கள் சமைக்கவும். உப்பு மற்றும் மிளகு சேர்த்து சுவைக்கவும். க்ரூட்டன்கள், பன்றி இறைச்சி மற்றும் வோக்கோசுடன் மேலே பரிமாறவும்.</t>
  </si>
  <si>
    <t>https://food.fnr.sndimg.com/content/dam/images/food/fullset/2011/3/1/0/FNM_040111-WN-Dinners-034_s4x3.jpg.rend.hgtvcom.1280.720.suffix/1382539723853.webp</t>
  </si>
  <si>
    <t>Fully Loaded Baked Potato Soup</t>
  </si>
  <si>
    <t>முழுமையாக நிரப்பப்பட்ட வேகவைத்த உருளைக்கிழங்கு சூப்</t>
  </si>
  <si>
    <t>4 - large baking potatoes,
12 - slices thick-cut applewood smoked bacon,
1/2 cup -  all-purpose flour,
6 cups -  2 percent low-fat milk, 
5 -  ounces sharp Cheddar, 
Kosher salt and freshly ground black pepper,
4 -  ounces sour cream,
3 tablespoons -  finely chopped fresh chives.</t>
  </si>
  <si>
    <t>4 - பெரிய பேக்கிங் உருளைக்கிழங்கு,
12 - தடிமனாக வெட்டப்பட்ட ஆப்பிள்வுட் புகைபிடித்த பன்றி இறைச்சி துண்டுகள்,
1/2 கப் - அனைத்து நோக்கங்களுக்காகவும் பயன்படுத்தக்கூடிய மாவு,
6 கப் - 2 சதவீதம் குறைந்த கொழுப்புள்ள பால்,
5 - அவுன்ஸ் கூர்மையான செடார்,
கோஷர் உப்பு மற்றும் புதிதாக அரைத்த கருப்பு மிளகு,
4 - அவுன்ஸ் புளிப்பு கிரீம்,
3 தேக்கரண்டி - இறுதியாக நறுக்கிய புதிய வெங்காய இனப்பூண்டு.</t>
  </si>
  <si>
    <t>reheat the oven to 350 degrees F.
Place the potatoes on a roasting tray and bake for 45 minutes. When done, the tip of a paring knife should go through the potatoes easily.
Slice the bacon into lardons (thin strips) and cook in a large, heavy-bottomed pot over medium heat until crisp. Remove the bacon from the pot with a slotted spoon and set aside, leaving the drippings in the pot.
Add the flour to the drippings in the pot and stir to combine. Cook, without adding color, until the flour and fat has combined, about 1 minute. Pour in the milk while you whisk to incorporate. Cook over medium heat until bubbly and thickened, stirring frequently, about 15 minutes.
Scoop out the potato pulp from the skins and add to the milk mixture. Mash with the back of a wooden spoon leaving it a little bit chunky.
Add the cooked bacon (leaving a little out for garnishing the soup), 1 cup of the cheese, and season well with salt and pepper. Stir until the cheese has melted. Remove from the heat.
Ladle the soup into bowls, drizzle with sour cream (from a squeeze bottle), sprinkle with remaining bacon bits, grated cheese and chives.</t>
  </si>
  <si>
    <t>அடுப்பை 350 டிகிரி எஃப் வெப்பநிலையில் மீண்டும் சூடாக்கவும்.
உருளைக்கிழங்கை வறுத்த தட்டில் வைத்து 45 நிமிடங்கள் சுடவும். முடிந்ததும், ஒரு துண்டு துண்டான கத்தியின் நுனி உருளைக்கிழங்கின் வழியாக எளிதாக செல்ல வேண்டும்.
பன்றி இறைச்சியை லார்டன்களாக (மெல்லிய கீற்றுகள்) நறுக்கி, ஒரு பெரிய, அடிப்பகுதி கொண்ட பாத்திரத்தில் நடுத்தர வெப்பத்தில் மொறுமொறுப்பாகும் வரை சமைக்கவும். ஒரு துளையிடப்பட்ட கரண்டியால் பானையிலிருந்து பேக்கனை அகற்றி ஒதுக்கி வைக்கவும், பானையில் சொட்டுகளை விட்டு விடுங்கள்.
பானையில் உள்ள சொட்டுகளில் மாவைச் சேர்த்து கலக்கவும். மாவும் கொழுப்பும் இணையும் வரை, நிறம் சேர்க்காமல், சுமார் 1 நிமிடம் சமைக்கவும். கலக்கும்போது பாலை ஊற்றவும். குமிழி போலவும் கெட்டியாகவும் ஆகும் வரை மிதமான தீயில் சுமார் 15 நிமிடங்கள் சமைக்கவும், அடிக்கடி கிளறி, உருளைக்கிழங்கு கூழ் தோலில் இருந்து எடுத்து பால் கலவையில் சேர்க்கவும். ஒரு மர கரண்டியின் பின்புறத்தால் சிறிது தடிமனாக இருக்கும் வரை பிசையவும்.
சமைத்த பன்றி இறைச்சி (சூப்பை அலங்கரிக்க சிறிது வெளியே விட்டு), 1 கப் சீஸ் சேர்த்து, உப்பு மற்றும் மிளகு சேர்த்து நன்கு சுவைக்கவும். சீஸ் உருகும் வரை கிளறவும். அடுப்பிலிருந்து அகற்றவும்.
சூப்பை கிண்ணங்களில் ஊற்றி, புளிப்பு கிரீம் (ஒரு பிழி பாட்டிலில் இருந்து) தூவி, மீதமுள்ள பேக்கன் துண்டுகள், துருவிய சீஸ் மற்றும் சீவ்ஸ் ஆகியவற்றைத் தெளிக்கவும்.</t>
  </si>
  <si>
    <t>https://whatsgabycooking.com/wp-content/uploads/2022/11/WGC-__-Fully-Loaded-Baked-Potato-Soup-870x580-1.jpg</t>
  </si>
  <si>
    <t>Parker's Split Pea Soup</t>
  </si>
  <si>
    <t>பார்க்கர்ஸ் ஸ்பிளிட் பீ சூப்</t>
  </si>
  <si>
    <t xml:space="preserve">1 cup -  chopped yellow onions,
2  - cloves garlic,
1/8 cup -  good olive oil,
1/2 teaspoon -  dried oregano,
1-1/2 teaspoons -  kosher salt,
1 teaspoon -  freshly ground black pepper,
2 cups -  medium-diced carrots,
1 cup - medium-diced red boiling potatoes,
1 - pound dried split green peas,
8 cups -  chicken stock or water.
</t>
  </si>
  <si>
    <t>1 கப் - நறுக்கிய மஞ்சள் வெங்காயம்,
2 - பூண்டு பல்,
1/8 கப் - நல்ல ஆலிவ் எண்ணெய்,
1/2 டீஸ்பூன் - உலர்ந்த ஆர்கனோ,
1-1/2 டீஸ்பூன் - கோஷர் உப்பு,
1 டீஸ்பூன் - புதிதாக அரைத்த கருப்பு மிளகு,
2 கப் - நடுத்தர துண்டுகளாக நறுக்கிய கேரட்,
1 கப் - நடுத்தர துண்டுகளாக நறுக்கிய சிவப்பு கொதிக்கும் உருளைக்கிழங்கு,
1 - பவுண்டு உலர்ந்த ஸ்பிளிட் பச்சை பட்டாணி,
8 கப் - சிக்கன் ஸ்டாக் அல்லது தண்ணீர்.</t>
  </si>
  <si>
    <t>In a 4-quart stockpot on medium heat, saute the onions and garlic with the olive oil, oregano, salt, and pepper until the onions are translucent, 10 to 15 minutes. Add the carrots, potatoes, 1/2 pound of split peas, and chicken stock.
 Bring to a boil, then simmer uncovered for 40 minutes. Skim off the foam while cooking.
 Add the remaining split peas and continue to simmer for another 40 minutes, or until all the peas are soft. Stir frequently to keep the solids from burning on the bottom. Taste for salt and pepper. Serve hot.</t>
  </si>
  <si>
    <t>4-குவார்ட்டர் ஸ்டாக் பானையில், வெங்காயம் மற்றும் பூண்டை ஆலிவ் எண்ணெய், ஆர்கனோ, உப்பு மற்றும் மிளகு சேர்த்து வெங்காயம் கசியும் வரை 10 முதல் 15 நிமிடங்கள் வரை வதக்கவும். கேரட், உருளைக்கிழங்கு, 1/2 பவுண்டு ஸ்பிளிட் பீஸ் மற்றும் சிக்கன் ஸ்டாக் சேர்க்கவும்.
ஒரு கொதி நிலைக்கு கொண்டு வந்து, 40 நிமிடங்கள் மூடி இல்லாமல் கொதிக்க வைக்கவும். சமைக்கும் போது நுரை நீக்கவும்.
மீதமுள்ள ஸ்பிளிட் பீஸ்ஸைச் சேர்த்து மேலும் 40 நிமிடங்கள் அல்லது அனைத்து பட்டாணிகளும் மென்மையாகும் வரை தொடர்ந்து கொதிக்க வைக்கவும். திடப்பொருட்கள் கீழே எரியாமல் இருக்க அடிக்கடி கிளறவும். உப்பு, மிளகு சேர்த்து ருசித்துப் பாருங்கள். சூடாகப் பரிமாறவும்.</t>
  </si>
  <si>
    <t>https://encrypted-tbn0.gstatic.com/images?q=tbn:ANd9GcQjAecx6VZp4RWO58kevjTB5eF-fzv495DwRg&amp;s</t>
  </si>
  <si>
    <t>Sausage, Kale, and Lentil Soup</t>
  </si>
  <si>
    <t>தொத்திறைச்சி, கேல் மற்றும் பருப்பு சூப்</t>
  </si>
  <si>
    <t>1 tablespoo -  extra-virgin olive oil,
1 -  pound hot sausage, 
1 - onion, 
2 - ribs celery, chopped, 
1 -  large carrot, 
1 - large Idaho (russet) potato, 
1 -  Fresno or Holland chile pepper, 
2 - sprigs fresh rosemary, 
2 - large cloves garlic, 
1/2 tablespoon -  ground cumin,
Kosher salt and freshly ground black pepper,
1 - bundle Tuscan, 
1/4 cup -  tomato paste,
1 cup - white wine,
Freshly grated nutmeg,
1 3/4 cups -  lentils,
4 cups -  chicken stock,
2 cups -  water.</t>
  </si>
  <si>
    <t>1 டேபிள்ஸ்பூன் - கூடுதல் கன்னி ஆலிவ் எண்ணெய்,
1 - பவுண்டு சூடான தொத்திறைச்சி,
1 - வெங்காயம்,
2 - செலரி விலா எலும்புகள், நறுக்கியது,
1 - பெரிய கேரட்,
1 - பெரிய இடாஹோ (ரஸ்ஸெட்) உருளைக்கிழங்கு,
1 - ஃப்ரெஸ்னோ அல்லது ஹாலந்து சிலி மிளகு,
2 - புதிய ரோஸ்மேரியின் கிளைகள்,
2 - பெரிய பல் பூண்டு,
1/2 டேபிள்ஸ்பூன் - அரைத்த சீரகம்,
கோஷர் உப்பு மற்றும் புதிதாக அரைத்த கருப்பு மிளகு,
1 - மூட்டை டஸ்கன்,
1/4 கப் - தக்காளி விழுது,
1 கப் - வெள்ளை ஒயின்,
புதிதாக துருவிய ஜாதிக்காய்,
1 3/4 கப் - பருப்பு,
4 கப் - சிக்கன் ஸ்டாக்,
2 கப் - தண்ணீர்.</t>
  </si>
  <si>
    <t>In a soup pot or large Dutch oven, heat 1 tablespoon extra-virgin olive oil. Add the sausage, breaking it into pieces, and cook until lightly brown. Add the onions, celery, carrots, potato, chile pepper, rosemary, garlic, cumin, salt, and pepper, and cook to soften, 8 to10 minutes.
Wilt in the kale, and season the kale leaves with a little freshly grated nutmeg. Stir in the tomato paste for 30 seconds, then add white wine. Cook to reduce by 1/2 and stir in the lentils, stock, and water. 
Bring to a boil, reduce the heat to low, and simmer the soup until the lentils are tender, about 35 minutes. Serve immediately or cool, store, and reheat. Serve with chopped celery greens, to garnish.</t>
  </si>
  <si>
    <t>ஒரு சூப் பானை அல்லது பெரிய டச்சு அடுப்பில், 1 டேபிள்ஸ்பூன் கூடுதல் கன்னி ஆலிவ் எண்ணெயை சூடாக்கவும். தொத்திறைச்சியைச் சேர்த்து, துண்டுகளாக உடைத்து, லேசாக பழுப்பு நிறமாகும் வரை சமைக்கவும். வெங்காயம், செலரி, கேரட், உருளைக்கிழங்கு, மிளகாய்த்தூள், ரோஸ்மேரி, பூண்டு, சீரகம், உப்பு மற்றும் மிளகு ஆகியவற்றைச் சேர்த்து, மென்மையாகும் வரை 8 முதல் 10 நிமிடங்கள் வரை சமைக்கவும்.
காலேவை வாடி, காலே இலைகளை சிறிது புதிதாக துருவிய ஜாதிக்காயுடன் தாளிக்கவும். தக்காளி விழுதை 30 விநாடிகள் சேர்த்து கிளறி, பின்னர் வெள்ளை ஒயின் சேர்க்கவும். 1/2 அளவு குறைக்க சமைக்கவும், பின்னர் பருப்பு, குழம்பு மற்றும் தண்ணீரைச் சேர்த்து கிளறவும்.
ஒரு கொதி நிலைக்கு கொண்டு வந்து, தீயை குறைத்து, பருப்பு மென்மையாகும் வரை, சுமார் 35 நிமிடங்கள் சூப்பை வேகவைக்கவும். உடனடியாக பரிமாறவும் அல்லது ஆறவிடவும், சேமித்து, மீண்டும் சூடுபடுத்தவும். அலங்கரிக்க, நறுக்கிய செலரி கீரைகளுடன் பரிமாறவும்.</t>
  </si>
  <si>
    <t>https://www.fromachefskitchen.com/wp-content/uploads/2015/10/Sausage-and-Lentil-Soup-with-Kale-1.jpg</t>
  </si>
  <si>
    <t>Italian Wedding Soup</t>
  </si>
  <si>
    <t>இத்தாலிய திருமண சூப்</t>
  </si>
  <si>
    <t>1 - small onion, 
1/3 cup - chopped fresh Italian parsley,
1-  eggz,
1 teaspoon -  minced garlic,
1 teaspoon -  salt,
1 -  slice fresh white bread, 
1/2 cup -  grated Parmesan.
8 -  ounces ground beef,
8 - ounces ground pork,
Freshly ground black pepper,
12 cups -  low-sodium chicken broth,
1 -  pound curly endive, 
2 - eggs
2 tablespoon - freshly grated Parmesan, 
Salt and freshly ground black pepper.</t>
  </si>
  <si>
    <t>1 - சிறிய வெங்காயம்,
1/3 கப் - நறுக்கிய புதிய இத்தாலிய வோக்கோசு,
1- முட்டை,
1 டீஸ்பூன் - நறுக்கிய பூண்டு,
1 டீஸ்பூன் - உப்பு,
1 - புதிய வெள்ளை ரொட்டியை நறுக்கவும்,
1/2 கப் - அரைத்த பார்மேசன்.
8 - அவுன்ஸ் அரைத்த மாட்டிறைச்சி,
8 - அவுன்ஸ் அரைத்த பன்றி இறைச்சி,
புதிதாக அரைத்த கருப்பு மிளகு,
12 கப் - குறைந்த சோடியம் கொண்ட கோழி குழம்பு,
1 - பவுண்டு சுருள் எண்டிவ்,
2 - முட்டை
2 தேக்கரண்டி - புதிதாக அரைத்த பார்மேசன்,
உப்பு மற்றும் புதிதாக அரைத்த கருப்பு மிளகு.</t>
  </si>
  <si>
    <t>To make the meatballs: Stir the first 6 ingredients in a large bowl to blend. Stir in the cheese, beef and pork. Using 1 1/2 teaspoons for each, shape the meat mixture into 1-inch-diameter meatballs. Place on a baking sheet.
To make the soup: Bring the broth to a boil in a large pot over medium-high heat. Add the meatballs and curly endive and simmer until the meatballs are cooked through and the curly endive is tender, about 8 minutes. Whisk the eggs and cheese in a medium bowl to blend. Stir the soup in a circular motion. 
Gradually drizzle the egg mixture into the moving broth, stirring gently with a fork to form thin stands of egg, about 1 minute. Season the soup to taste with salt and pepper.
Ladle the soup into bowls and serve. Finish soup with parmesan cheese if desired.</t>
  </si>
  <si>
    <t>மீட்பால்ஸ் செய்ய: ஒரு பெரிய கிண்ணத்தில் முதல் 6 பொருட்களை கலக்க கிளறவும். சீஸ், மாட்டிறைச்சி மற்றும் பன்றி இறைச்சியைச் சேர்க்கவும். ஒவ்வொன்றிற்கும் 1 1/2 தேக்கரண்டி பயன்படுத்தி, இறைச்சி கலவையை 1 அங்குல விட்டம் கொண்ட மீட்பால்ஸாக வடிவமைக்கவும். பேக்கிங் தாளில் வைக்கவும்.
சூப் தயாரிக்க: குழம்பை ஒரு பெரிய தொட்டியில் நடுத்தர உயர் வெப்பத்தில் கொதிக்க வைக்கவும். மீட்பால்ஸ் மற்றும் சுருள் எண்டிவ் ஆகியவற்றைச் சேர்த்து, மீட்பால்ஸ் வேகும் வரை மற்றும் சுருள் எண்டிவ் மென்மையாகும் வரை சுமார் 8 நிமிடங்கள் இளங்கொதிவாக்கவும். ஒரு நடுத்தர கிண்ணத்தில் முட்டை மற்றும் சீஸை அடித்து கலக்கவும். சூப்பை வட்ட இயக்கத்தில் கிளறவும்.
முட்டை கலவையை படிப்படியாக நகரும் குழம்பில் ஊற்றி, ஒரு முட்கரண்டி கொண்டு மெதுவாக கிளறி, முட்டையின் மெல்லிய குவியல்களை உருவாக்க, சுமார் 1 நிமிடம். உப்பு மற்றும் மிளகு சேர்த்து சுவைக்க சூப்பைத் தாளிக்கவும்.
சூப்பை கிண்ணங்களில் போட்டு பரிமாறவும். விரும்பினால், பார்மேசன் சீஸ் கொண்டு சூப்பை முடிக்கவும்.</t>
  </si>
  <si>
    <t>https://encrypted-tbn0.gstatic.com/images?q=tbn:ANd9GcQMu0JJZggtC2NBHScCT6J51xSoAF-i7jd62w&amp;s</t>
  </si>
  <si>
    <t>Roasted Tomato Soup</t>
  </si>
  <si>
    <t>வறுத்த தக்காளி சூப்</t>
  </si>
  <si>
    <t>2 1/2 pounds -  fresh tomatoes,
6 - cloves garlic,
2 -  small yellow onions, 
Vine cherry tomatoes for garnish, 
1/2 cup -  extra-virgin olive oil,
Salt and freshly ground black pepper,
1 -  quart chicken stock,
2 -  bay leaves,
4 tablespoons -  butter,
1/2 cup -  chopped fresh basil leaves, 
3/4 cup -  heavy cream.</t>
  </si>
  <si>
    <t>2 1/2 பவுண்டுகள் - புதிய தக்காளி,
6 - பூண்டு பல்,
2 - சிறிய மஞ்சள் வெங்காயம்,
அலங்காரத்திற்கு வைன் செர்ரி தக்காளி,
1/2 கப் - கூடுதல் கன்னி ஆலிவ் எண்ணெய்,
உப்பு மற்றும் புதிதாக அரைத்த கருப்பு மிளகு,
1 - குவார்ட் சிக்கன் ஸ்டாக்,
2 - வளைகுடா இலைகள்,
4 தேக்கரண்டி - வெண்ணெய்,
1/2 கப் - நறுக்கிய புதிய துளசி இலைகள்,
3/4 கப் - கனமான கிரீம்.</t>
  </si>
  <si>
    <t>Preheat oven to 450 degrees F.
Wash, core and cut the tomatoes into halves. Spread the tomatoes, garlic cloves and onions onto a baking tray. If using vine cherry tomatoes for garnish, add them as well, leaving them whole and on the vine. Drizzle with 1/2 cup of olive oil and season with salt and pepper. Roast for 20 to 30 minutes, or until caramelized.
Remove roasted tomatoes, garlic and onion from the oven and transfer to a large stock pot (set aside the roasted vine tomatoes for later). Add 3/4 of the chicken stock, bay leaves, and butter. Bring to a boil, reduce heat and simmer for 15 to 20 minutes or until liquid has reduced by a third.
Wash and dry basil leaves, if using, and add to the pot. Remove the bay leaves before using an immersion blender to puree the soup until smooth. Return soup to low heat, add cream and adjust consistency with remaining chicken stock, if necessary. 
Season to taste with salt and freshly ground black pepper. Garnish in bowl with 3 or 4 roasted vine cherry tomatoes and a splash of heavy cream.</t>
  </si>
  <si>
    <t>அடுப்பை 450 டிகிரி எஃப்-க்கு முன்கூட்டியே சூடாக்கவும்.
தக்காளியைக் கழுவி, மையத்தை எடுத்து, பாதியாக வெட்டவும். தக்காளி, பூண்டு பல் மற்றும் வெங்காயத்தை ஒரு பேக்கிங் தட்டில் பரப்பவும். அலங்காரத்திற்கு வைன் செர்ரி தக்காளியைப் பயன்படுத்தினால், அவற்றையும் சேர்த்து, அவற்றை முழுவதுமாக வைன் மீது வைக்கவும். 1/2 கப் ஆலிவ் எண்ணெயைத் தூவி உப்பு மற்றும் மிளகு சேர்த்துப் பயன்படுத்துங்கள். 20 முதல் 30 நிமிடங்கள் அல்லது கேரமல் ஆகும் வரை வறுக்கவும்.
வறுத்த தக்காளி, பூண்டு மற்றும் வெங்காயத்தை அடுப்பிலிருந்து அகற்றி, ஒரு பெரிய ஸ்டாக் பானைக்கு மாற்றவும் (வறுத்த வைன் தக்காளியை பின்னர் ஒதுக்கி வைக்கவும்). 3/4 சிக்கன் குழம்பு, வளைகுடா இலைகள் மற்றும் வெண்ணெய் சேர்க்கவும். ஒரு கொதி நிலைக்கு கொண்டு வந்து, வெப்பத்தை குறைத்து, 15 முதல் 20 நிமிடங்கள் அல்லது திரவம் மூன்றில் ஒரு பங்கு குறையும் வரை இளங்கொதிவாக்கவும்.
துளசி இலைகளைப் பயன்படுத்தினால், கழுவி உலர்த்தி, பாத்திரத்தில் சேர்க்கவும். சூப்பை மென்மையாகும் வரை ப்யூரி செய்ய ஒரு மூழ்கும் பிளெண்டரைப் பயன்படுத்துவதற்கு முன்பு வளைகுடா இலைகளை அகற்றவும். சூப்பை குறைந்த வெப்பத்தில் திருப்பி, கிரீம் சேர்த்து, தேவைப்பட்டால் மீதமுள்ள சிக்கன் குழம்புடன் நிலைத்தன்மையை சரிசெய்யவும்.
சுவைக்கு உப்பு மற்றும் புதிதாக அரைத்த கருப்பு மிளகு சேர்த்து தாளிக்கவும். கிண்ணத்தில் 3 அல்லது 4 வறுத்த செர்ரி தக்காளி மற்றும் ஒரு ஸ்பிளாஸ் கனமான கிரீம் சேர்த்து அலங்கரிக்கவும்.</t>
  </si>
  <si>
    <t>https://www.gimmesomeoven.com/wp-content/uploads/2021/09/Roasted-Tomato-Soup-Recipe-8.jpg</t>
  </si>
  <si>
    <t>Best-Ever Beer Cheese Soup</t>
  </si>
  <si>
    <t>சிறந்த பீர் சீஸ் சூப்</t>
  </si>
  <si>
    <t xml:space="preserve">8 tablespoons - salted butter,
1 to 1 1/2 -  large carrots, 
3/4 cup -  small-diced piquillo peppers,
Fine sea salt and freshly ground black pepper ,
3/4 cup -  all-purpose flour ,
4 cups -  chicken stock,
One 12-ounce bottle beer,
1 1/2 cups -  half-and-half ,
12 ounces -  aged yellow cheddar,
1/2 tablespoon -  Worcestershire sauce ,
1/8 teaspoon -  grated nutmeg ,
2 tablespoons -  Dijon mustard ,
2 tablespoons -  fresh lemon juice,
Mustard oil , 
Fresh goat cheese,
Fresh thyme leaves.
</t>
  </si>
  <si>
    <t>8 தேக்கரண்டி - உப்பு சேர்க்கப்பட்ட வெண்ணெய்,
1 முதல் 1 1/2 - பெரிய கேரட்,
3/4 கப் - சிறிய துண்டுகளாக நறுக்கிய பிக்குவில்லோ மிளகுத்தூள்,
நுண்ணிய கடல் உப்பு மற்றும் புதிதாக அரைத்த கருப்பு மிளகு,
3/4 கப் - அனைத்து நோக்கங்களுக்காகவும் பயன்படுத்தக்கூடிய மாவு,
4 கப் - சிக்கன் ஸ்டாக்,
ஒரு 12-அவுன்ஸ் பாட்டில் பீர்,
1 1/2 கப் - அரை-அரை,
12 அவுன்ஸ் - வயதான மஞ்சள் செடார்,
1/2 தேக்கரண்டி - வொர்செஸ்டர்ஷைர் சாஸ்,
1/8 தேக்கரண்டி - துருவிய ஜாதிக்காய்,
2 தேக்கரண்டி - டிஜான் கடுகு,
2 தேக்கரண்டி - புதிய எலுமிச்சை சாறு,
கடுகு எண்ணெய்,
புதிய ஆடு சீஸ்,
புதிய தைம் இலைகள்.</t>
  </si>
  <si>
    <t>In a large stockpot, melt the butter over medium heat. Add the carrots, peppers and 1/2 teaspoon salt and cook, stirring, until the vegetables are soft, about 5 minutes. Add the flour and cook, stirring, until well incorporated, about 5 minutes more.
Add the chicken stock, beer and half-and-half and cook, whisking often, at a very slow simmer over medium-low heat for 15 minutes.
Add the cheddar to the soup by the handful, whisking each batch until smooth. Add the Worcestershire, hot sauce, 1/2 teaspoon black pepper, the nutmeg, mustard and lemon juice, and stir to combine.
Puree the soup in batches in a blender (holding a thick towel over the lid to prevent overflow) until very smooth.
Just before serving, reheat the soup until steaming and taste for seasoning, adding salt as necessary. Ladle the soup into bowls and garnish each bowl with a swirl of mustard oil, a dollop of goat cheese and a sprinkle of thyme.</t>
  </si>
  <si>
    <t>ஒரு பெரிய ஸ்டாக் பானில், வெண்ணெயை மிதமான தீயில் உருக்கவும். கேரட், மிளகுத்தூள் மற்றும் 1/2 தேக்கரண்டி உப்பு சேர்த்து, காய்கறிகள் மென்மையாகும் வரை சுமார் 5 நிமிடங்கள் சமைக்கவும். மாவைச் சேர்த்து, நன்கு கலக்கும் வரை கிளறி, சுமார் 5 நிமிடங்கள் சமைக்கவும்.
சிக்கன் குழம்பு, பீர் மற்றும் அரை அரை சாற்றைச் சேர்த்து, அடிக்கடி கிளறி, மிதமான தீயில் 15 நிமிடங்கள் மிகக் குறைந்த கொதிநிலையில் சமைக்கவும்.
சூப்பில் ஒரு கைப்பிடி அளவு செடாரைச் சேர்த்து, ஒவ்வொரு தொகுதியையும் மென்மையாகும் வரை கிளறவும். வொர்செஸ்டர்ஷயர், காரமான சாஸ், 1/2 டீஸ்பூன் கருப்பு மிளகு, ஜாதிக்காய், கடுகு மற்றும் எலுமிச்சை சாறு சேர்த்து, கலக்கவும்.
சூப்பை ஒரு பிளெண்டரில் (மூடியின் மேல் ஒரு தடிமனான துண்டைப் பிடித்துக் கொண்டு) மிகவும் மென்மையாகும் வரை தொகுதிகளாகப் பிசையவும்.
பரிமாறுவதற்கு சற்று முன்பு, சூப்பை வேகவைக்கும் வரை மீண்டும் சூடாக்கி, சுவைக்க சுவைக்கவும், தேவையான அளவு உப்பு சேர்க்கவும். சூப்பை கிண்ணங்களில் போட்டு, ஒவ்வொரு கிண்ணத்திலும் கடுகு எண்ணெய், ஒரு துளி ஆடு சீஸ் மற்றும் ஒரு துளி தைம் தூவி அலங்கரிக்கவும்.</t>
  </si>
  <si>
    <t>https://images.themodernproper.com/production/posts/2020/Beer-Cheese-Soup-27.jpg?w=1200&amp;q=82&amp;auto=format&amp;fit=crop&amp;dm=1599768434&amp;s=75fbdcf206abed2f1e759755178939eb</t>
  </si>
  <si>
    <t>Giada's House Soup</t>
  </si>
  <si>
    <t>கியாடாஸ் ஹவுஸ் சூப்</t>
  </si>
  <si>
    <t>2 tablespoons -  extra-virgin olive oil, 
1 -  leek, white and tender green parts only, 
2 -  carrots, 1 finely chopped, 
1/2 - fennel bulb,
Kosher salt,
1/2 teaspoon -  red pepper flakes,
3/4 cup -  dried small white beans, 
1/2 to 3/4 cup -  farro,
1 15-ounce -  can diced tomatoes,
2 -  quarts chicken stock ,
2 to 3 -  sprigs thyme,
1 2 - inch piece parmesan cheese rind,
13 -  ounces turkey or Polska kielbasa,
4 to 5 - large leaves Tuscan kale, 
Grated parmesan cheese and fresh lemon juice.</t>
  </si>
  <si>
    <t>2 டேபிள்ஸ்பூன் - கூடுதல் கன்னி ஆலிவ் எண்ணெய்,
1 - லீக், வெள்ளை மற்றும் மென்மையான பச்சை பாகங்கள் மட்டும்,
2 - கேரட், 1 இறுதியாக நறுக்கியது,
1/2 - பெருஞ்சீரகம்,
கோஷர் உப்பு,
1/2 டீஸ்பூன் - சிவப்பு மிளகுத் துண்டுகள்,
3/4 கப் - உலர்ந்த சிறிய வெள்ளை பீன்ஸ்,
1/2 முதல் 3/4 கப் - ஃபாரோ,
1 15-அவுன்ஸ் - துண்டுகளாக்கப்பட்ட தக்காளி,
2 - குவார்ட்ஸ் சிக்கன் ஸ்டாக் ,
2 முதல் 3 - தைம் தளிர்கள்,
1 2 - அங்குல துண்டு பார்மேசன் சீஸ் தோல்,
13 - அவுன்ஸ் வான்கோழி அல்லது போல்ஸ்கா கீல்பாசா,
4 முதல் 5 - பெரிய இலைகள் டஸ்கன் காலே,
துருவிய பார்மேசன் சீஸ் மற்றும் புதிய எலுமிச்சை சாறு.</t>
  </si>
  <si>
    <t>Heat the olive oil in a large soup pot over medium heat. Add the leek, chopped carrot and fennel and season with 1/2 teaspoon salt and the pepper flakes. Saute slowly until the vegetables are very soft but not browned, about 3 minutes.
Add the white beans and farro and toast for a minute or two, then add the tomatoes with their juices and the chicken stock, thyme, parmesan rind and 4 cups water. Bring to a boil, then reduce the heat to a steady simmer. Cook, stirring occasionally, about 1 1/2 hours, or until the beans are tender but not mushy; they should be firm and separate. Season with salt.
Add the kielbasa, kale and sliced carrot. Cook until the kale and carrot are tender, about 15 minutes. Remove and discard the thyme sprigs and parmesan rind. Serve with a drizzle of olive oil, a sprinkle of grated parmesan and a squeeze of lemon, if you like.</t>
  </si>
  <si>
    <t>ஒரு பெரிய சூப் பானையில் ஆலிவ் எண்ணெயை மிதமான தீயில் சூடாக்கவும். லீக், நறுக்கிய கேரட் மற்றும் பெருஞ்சீரகம் சேர்த்து 1/2 டீஸ்பூன் உப்பு மற்றும் மிளகுத் துண்டுகளுடன் சீசன் செய்யவும். காய்கறிகள் மிகவும் மென்மையாகும் வரை மெதுவாக வதக்கவும், ஆனால் பழுப்பு நிறமாக மாறாமல் சுமார் 3 நிமிடங்கள் வரை வதக்கவும்.
வெள்ளை பீன்ஸ் மற்றும் ஃபாரோவைச் சேர்த்து ஒரு நிமிடம் அல்லது இரண்டு நிமிடங்கள் வறுக்கவும், பின்னர் தக்காளியை அவற்றின் சாறுகளுடன் சேர்த்து சிக்கன் ஸ்டாக், தைம், பர்மேசன் தோல் மற்றும் 4 கப் தண்ணீர் சேர்க்கவும். ஒரு கொதி நிலைக்கு கொண்டு வாருங்கள், பின்னர் தீயை ஒரு நிலையான கொதி நிலைக்குக் குறைக்கவும். அவ்வப்போது கிளறி, சுமார் 1 1/2 மணி நேரம் அல்லது பீன்ஸ் மென்மையாகும் வரை சமைக்கவும், ஆனால் மென்மையாக இருக்காது; அவை உறுதியாகவும் தனித்தனியாகவும் இருக்க வேண்டும். உப்பு சேர்த்து சுவைக்கவும்.
கீல்பாசா, கேல் மற்றும் துண்டுகளாக்கப்பட்ட கேரட்டைச் சேர்க்கவும். கேல் மற்றும் கேரட் மென்மையாகும் வரை சுமார் 15 நிமிடங்கள் சமைக்கவும். தைம் தளிர்கள் மற்றும் பர்மேசன் தோல்களை அகற்றி நிராகரிக்கவும். நீங்கள் விரும்பினால், ஆலிவ் எண்ணெய், துருவிய பர்மேசன் தூவி, எலுமிச்சை பிழிந்து சேர்த்து பரிமாறவும்.</t>
  </si>
  <si>
    <t>https://food.fnr.sndimg.com/content/dam/images/food/fullset/2015/8/27/1/FNM_100115-Giadas-House-Soup-Recipe_s4x3.jpg.rend.hgtvcom.1280.1280.suffix/1441046385238.webp</t>
  </si>
  <si>
    <t>Zuppa Toscana</t>
  </si>
  <si>
    <t>ஜூப்பா டோஸ்கானா</t>
  </si>
  <si>
    <t>4 - strips thick-cut bacon,
1 - pound sweet Italian sausage, 
4 to 5  - large russet potatoes, 
3 - cloves garlic, 
1 -  large white onion, , 
Pinch of crushed red pepper flakes ,
Kosher salt and freshly ground black pepper , 
6 cups -  chicken broth,
6 cups -  curly kale, 
3/4 cup -  heavy cream ,
1 teaspoon -  white wine vinegar .</t>
  </si>
  <si>
    <t>4 - தடிமனான துண்டுகளாக வெட்டப்பட்ட பன்றி இறைச்சி,
1 - பவுண்டு இனிப்பு இத்தாலிய தொத்திறைச்சி,
4 முதல் 5 - பெரிய ரஸ்ஸெட் உருளைக்கிழங்கு,
3 - பல் பூண்டு,
1 - பெரிய வெள்ளை வெங்காயம், ,
நொறுக்கப்பட்ட சிவப்பு மிளகு செதில்கள்,
கோஷர் உப்பு மற்றும் புதிதாக அரைத்த கருப்பு மிளகு,
6 கப் - சிக்கன் குழம்பு,
6 கப் - சுருள் காலே,
3/4 கப் - கனமான கிரீம்,
1 டீஸ்பூன் - வெள்ளை ஒயின் வினிகர்.</t>
  </si>
  <si>
    <t>Cook the bacon in a large Dutch oven over medium-high heat, stirring occasionally, until crisp, about 6 minutes. 
Transfer to a paper towel-lined plate with a slotted spoon; set aside to drain. Add the Italian sausage to the drippings and cook, breaking it up with a wooden spoon, until browned and no longer pink, about 6 minutes. Transfer to the paper towel-lined plate to drain.
Add the potatoes, garlic and onion to the drippings and cook, stirring occasionally, until slightly softened, 6 to 8 minutes. Season with the crushed red pepper flakes and salt and pepper. 
Add the chicken broth, increase the heat to high and bring to a boil. Reduce the heat to medium-low and simmer until the potatoes are tender and cooked through, 12 to 15 minutes.   
Add the kale, heavy cream, bacon and sausage and cook over medium heat until the kale is tender, another 5 minutes. Stir in the vinegar just before serving.</t>
  </si>
  <si>
    <t>ஒரு பெரிய டச்சு அடுப்பில் பன்றி இறைச்சியை நடுத்தர உயர் வெப்பத்தில், அவ்வப்போது கிளறி, சுமார் 6 நிமிடங்கள் மிருதுவாகும் வரை சமைக்கவும்.
துளையிடப்பட்ட கரண்டியால் காகித துண்டு வரிசையாக அமைக்கப்பட்ட தட்டுக்கு மாற்றவும்; வடிகட்ட ஒதுக்கி வைக்கவும். இத்தாலிய தொத்திறைச்சியை சொட்டுகளில் சேர்த்து, ஒரு மர கரண்டியால் உடைத்து, பழுப்பு நிறமாகவும், இளஞ்சிவப்பு நிறமாகவும் இல்லாத வரை, சுமார் 6 நிமிடங்கள் சமைக்கவும். காகித துண்டு வரிசையாக அமைக்கப்பட்ட தட்டுக்கு மாற்றவும்.
சொட்டுகளில் உருளைக்கிழங்கு, பூண்டு மற்றும் வெங்காயத்தைச் சேர்த்து, அவ்வப்போது கிளறி, சிறிது மென்மையாகும் வரை, 6 முதல் 8 நிமிடங்கள் வரை சமைக்கவும். நொறுக்கப்பட்ட சிவப்பு மிளகுத் துண்டுகள் மற்றும் உப்பு மற்றும் மிளகு சேர்த்து சுவைக்கவும்.
கோழி குழம்பு சேர்த்து, தீயை அதிகப்படுத்தி, கொதிக்க வைக்கவும். தீயை நடுத்தரமாகக் குறைத்து, உருளைக்கிழங்கு மென்மையாகி 12 முதல் 15 நிமிடங்கள் வரை வேகும் வரை வேக வைக்கவும்.
கேல், கனமான கிரீம், பன்றி இறைச்சி மற்றும் தொத்திறைச்சியைச் சேர்த்து, கேல் மென்மையாகும் வரை மிதமான தீயில், மேலும் 5 நிமிடங்கள் சமைக்கவும். பரிமாறுவதற்கு சற்று முன்பு வினிகரைச் சேர்த்துக் கிளறவும்.</t>
  </si>
  <si>
    <t>https://www.gimmesomeoven.com/wp-content/uploads/2014/10/Zuppa-Toscana-Recipe-with-Gnocchi-7-1.jpg</t>
  </si>
  <si>
    <t>Easy Tomato Soup and Grilled Cheese Croutons</t>
  </si>
  <si>
    <t>எளிதான தக்காளி சூப் மற்றும் வறுக்கப்பட்ட சீஸ் க்ரூட்டன்கள்</t>
  </si>
  <si>
    <t>3 tablespoons -  good olive oil,
3 cups -  yellow onions, 
1 tablespoon -  minced garlic,
4 cups -  chicken stock,e
1 (28-ounce) -  can crushed tomatoes, 
Large pinch of saffron threads,
Kosher salt and freshly ground black pepper,
1/2 cup -  orzo,
1/2 cup -  heavy cream,
Grilled Cheese Croutons, 
4 (1/2-inch-thick) -  slices country white bread,
2 tablespoons  -  unsalted butter, 
4 - ounces Gruyere cheese.</t>
  </si>
  <si>
    <t>3 தேக்கரண்டி - நல்ல ஆலிவ் எண்ணெய்,
3 கப் - மஞ்சள் வெங்காயம்,
1 தேக்கரண்டி - நறுக்கிய பூண்டு,
4 கப் - சிக்கன் ஸ்டாக்,e
1 (28-அவுன்ஸ்) - நொறுக்கப்பட்ட தக்காளி,
பெரிய சிட்டிகை குங்குமப்பூ நூல்கள்,
கோஷர் உப்பு மற்றும் புதிதாக அரைத்த கருப்பு மிளகு,
1/2 கப் - ஓர்சோ,
1/2 கப் - கனமான கிரீம்,
கிரில் செய்யப்பட்ட சீஸ் க்ரூட்டன்கள்,
4 (1/2-அங்குல தடிமன்) - நாட்டுப்புற வெள்ளை ரொட்டி துண்டுகள்,
2 தேக்கரண்டி - உப்பு சேர்க்காத வெண்ணெய்,
4 - அவுன்ஸ் க்ரூயெர் சீஸ்.</t>
  </si>
  <si>
    <t xml:space="preserve">In a large pot or Dutch oven such as Le Creuset, heat the olive oil over medium heat. Add the onions and cook over medium-low heat for 15 minutes, stirring occasionally, until golden brown.
 Add the garlic and cook for 1 more minute. Stir in the chicken stock, tomatoes, saffron, 1 tablespoon salt and 1 teaspoon pepper.
 Bring the soup to a boil, then lower the heat and simmer for 15 minutes. 
Meanwhile, fill a medium pot with water, add 2 teaspoons salt and bring to a boil. Add the orzo and cook for 7 minutes. (It will finish cooking in the soup.) Drain the orzo and add it to the soup. Stir in the cream, return the soup to a simmer and cook for 10 more minutes, stirring frequently. 
Serve hot with Grilled Cheese Croutons scattered on top.
Heat a panini grill. Place the four slices of bread on a cutting board and brush lightly with the melted butter, being sure to butter the corners. Turn the slices over and pile Gruyere on two of the slices. Place the remaining two slices of bread on top of the Gruyere, buttered sides up. 
Grill the sandwiches on the panini grill for about 5 minutes, until nicely browned. Place on a cutting board, allow to rest for 1 minute and cut into 1-inch cubes. </t>
  </si>
  <si>
    <t>லெ க்ரூசெட் போன்ற ஒரு பெரிய தொட்டியில் அல்லது டச்சு அடுப்பில், ஆலிவ் எண்ணெயை நடுத்தர வெப்பத்தில் சூடாக்கவும். வெங்காயத்தைச் சேர்த்து நடுத்தர-குறைந்த வெப்பத்தில் 15 நிமிடங்கள், அவ்வப்போது கிளறி, பொன்னிறமாகும் வரை சமைக்கவும்.
பூண்டு சேர்த்து மேலும் 1 நிமிடம் சமைக்கவும். சிக்கன் ஸ்டாக், தக்காளி, குங்குமப்பூ, 1 தேக்கரண்டி உப்பு மற்றும் 1 தேக்கரண்டி மிளகு சேர்த்து கிளறவும்.
சூப்பை ஒரு கொதி நிலைக்கு கொண்டு வந்து, பின்னர் தீயைக் குறைத்து 15 நிமிடங்கள் கொதிக்க வைக்கவும்.
இதற்கிடையில், ஒரு நடுத்தர அளவிலான பாத்திரத்தில் தண்ணீரில் நிரப்பி, 2 தேக்கரண்டி உப்பு சேர்த்து கொதிக்க வைக்கவும். ஓர்சோவைச் சேர்த்து 7 நிமிடங்கள் சமைக்கவும். (சூப்பில் சமைப்பது முடிவடையும்.) ஓர்சோவை வடிகட்டி சூப்பில் சேர்க்கவும். கிரீம் சேர்த்து கிளறி, சூப்பை மீண்டும் ஒரு கொதி நிலைக்கு கொண்டு வந்து, அடிக்கடி கிளறி, மேலும் 10 நிமிடங்கள் சமைக்கவும்.
மேலே சிதறடிக்கப்பட்ட சீஸ் க்ரூட்டன்களுடன் சூடாக பரிமாறவும்.
ஒரு பாணினி கிரில்லை சூடாக்கவும். நான்கு ரொட்டித் துண்டுகளை ஒரு கட்டிங் போர்டில் வைத்து, உருகிய வெண்ணெயால் லேசாக துலக்கவும், மூலைகளில் வெண்ணெய் தடவவும். துண்டுகளைத் திருப்பி, இரண்டு துண்டுகளில் க்ரூயரை குவியலாக வைக்கவும். மீதமுள்ள இரண்டு ரொட்டித் துண்டுகளை க்ரூயரின் மேல், வெண்ணெய் தடவிய பக்கங்களை மேலே வைக்கவும்.
பனினி கிரில்லில் சாண்ட்விச்களை சுமார் 5 நிமிடங்கள், நன்றாக பழுப்பு நிறமாக மாறும் வரை கிரில் செய்யவும். ஒரு கட்டிங் போர்டில் வைக்கவும், 1 நிமிடம் ஓய்வெடுக்க அனுமதிக்கவும், 1 அங்குல க்யூப்ஸாக வெட்டவும்.</t>
  </si>
  <si>
    <t>https://encrypted-tbn0.gstatic.com/images?q=tbn:ANd9GcSzmj_YvqmCBsgRHfMLdkz2-PUMxxqREBiKYg&amp;s</t>
  </si>
  <si>
    <t>Potato Leek Soup</t>
  </si>
  <si>
    <t>உருளைக்கிழங்கு லீக் சூப்</t>
  </si>
  <si>
    <t>8 cups - chicken stock,
6 - russet potatoes,
4 -  leeks , 
3 - stalks celery,
1 - bay leaf,
1 1/2 teaspoons -  finely chopped fresh thyme,
Salt and freshly ground pepper,
1 cup - heavy cream.</t>
  </si>
  <si>
    <t>8 கப் - சிக்கன் ஸ்டாக்,
6 - ருசெட் உருளைக்கிழங்கு,
4 - லீக்ஸ்,
3 - செலரி தண்டுகள்,
1 - வளைகுடா இலை,
1 1/2 டீஸ்பூன் - இறுதியாக நறுக்கிய புதிய தைம்,
உப்பு மற்றும் புதிதாக அரைத்த மிளகு,
1 கப் - கனமான கிரீம்.</t>
  </si>
  <si>
    <t>Put the chicken stock, potatoes, leeks, celery, bay leaf and thyme in a large pot and sprinkle with salt and pepper. Boil until the potatoes are soft, 15 to 20 minutes.
Remove the bay leaf. Using an immersion blender (or in batches in a blender or food processor), blend the soup until smooth. 
Pour the soup into a medium pot; add the cream and simmer until the soup has thickened, about 20 minutes.</t>
  </si>
  <si>
    <t>சிக்கன் ஸ்டாக், உருளைக்கிழங்கு, லீக்ஸ், செலரி, தைம் ஆகியவற்றை ஒரு பெரிய தொட்டியில் போட்டு உப்பு மற்றும் மிளகு தூவி அரைக்கவும். உருளைக்கிழங்கு மென்மையாகும் வரை, 15 முதல் 20 நிமிடங்கள் வரை கொதிக்க வைக்கவும்.
வளைகுடா இலையை அகற்றவும். ஒரு மூழ்கும் பிளெண்டரைப் பயன்படுத்தி (அல்லது ஒரு பிளெண்டர் அல்லது உணவு செயலியில் தொகுதிகளாக), சூப்பை மென்மையாகும் வரை கலக்கவும்.
ஒரு நடுத்தர அளவிலான பாத்திரத்தில் சூப்பை ஊற்றவும்; கிரீம் சேர்த்து சூப் கெட்டியாகும் வரை, சுமார் 20 நிமிடங்கள் கொதிக்க வைக்கவும்.</t>
  </si>
  <si>
    <t>https://encrypted-tbn0.gstatic.com/images?q=tbn:ANd9GcSHpdItfRBcShHjljDpTblc0oIrAdGaFWcdaw&amp;s</t>
  </si>
  <si>
    <t>Broccoli Soup</t>
  </si>
  <si>
    <t>ப்ரோக்கோலி சூப்</t>
  </si>
  <si>
    <t xml:space="preserve">4 tablespoons -  butter, 
1 1/2  - pounds fresh broccoli,
1 -  large onion,
1 -  carrot,
Salt and freshly ground black pepper,
3 tablespoons -  all-purpose flour,
4 cups -  low-sodium chicken broth,
1/2 cup - cream,
Homemade Croutons.
</t>
  </si>
  <si>
    <t>4 தேக்கரண்டி - வெண்ணெய்,
1 1/2 பவுண்டுகள் புதிய ப்ரோக்கோலி,
1 - பெரிய வெங்காயம்,
1 - கேரட்,
உப்பு மற்றும் புதிதாக அரைத்த கருப்பு மிளகு,
3 தேக்கரண்டி - அனைத்து நோக்கங்களுக்கான மாவு,
4 கப் - குறைந்த சோடியம் கொண்ட சிக்கன் குழம்பு,
1/2 கப் - கிரீம்,
வீட்டில் தயாரிக்கப்பட்ட க்ரூட்டன்கள்.</t>
  </si>
  <si>
    <t>Melt 4 tablespoons butter in heavy medium pot over medium-high heat. Add broccoli, onion, carrot, salt and pepper and saute until onion is translucent, about 6 minutes. Add the flour and cook for 1 minute, until the flour reaches a blonde color. Add stock and bring to boil.
Simmer uncovered until broccoli is tender, about 15 minutes. Pour in cream. With an immersion blender, puree the soup. Add salt and pepper, to taste, and then replace the lid back on the pot. Serve hot with Homemade Croutons.
Preheat oven to 400 degrees F.
Cut bread into cubes and place in a large bowl. Drizzle cubes with olive oil, salt, pepper and red pepper flakes. Mix well.
Spread seasoned bread onto a sheet pan and bake for about 15 minutes.</t>
  </si>
  <si>
    <t>4 தேக்கரண்டி வெண்ணெயை நடுத்தர அளவிலான பாத்திரத்தில் நடுத்தர உயர் வெப்பத்தில் உருக்கி. ப்ரோக்கோலி, வெங்காயம், கேரட், உப்பு மற்றும் மிளகு சேர்த்து வெங்காயம் ஒளிஊடுருவக்கூடியதாக மாறும் வரை சுமார் 6 நிமிடங்கள் வதக்கவும். மாவைச் சேர்த்து, மாவு பொன்னிற நிறத்தை அடையும் வரை 1 நிமிடம் சமைக்கவும். குழம்பு சேர்த்து கொதிக்க வைக்கவும்.
ப்ரோக்கோலி மென்மையாகும் வரை சுமார் 15 நிமிடங்கள் மூடி இல்லாமல் வேகவைக்கவும். கிரீம் ஊற்றவும். ஒரு மூழ்கும் கலப்பான் மூலம், சூப்பை ப்யூரி செய்யவும். சுவைக்க உப்பு மற்றும் மிளகு சேர்த்து, பின்னர் மூடியை மீண்டும் பாத்திரத்தில் வைக்கவும். வீட்டில் தயாரிக்கப்பட்ட க்ரூட்டன்களுடன் சூடாக பரிமாறவும்.
அடுப்பை 400 டிகிரி எஃப்-க்கு முன்கூட்டியே சூடாக்கவும்.
ரொட்டியை க்யூப்ஸாக வெட்டி ஒரு பெரிய கிண்ணத்தில் வைக்கவும். க்யூப்ஸை ஆலிவ் எண்ணெய், உப்பு, மிளகு மற்றும் சிவப்பு மிளகுத் துண்டுகளுடன் தூவி நன்கு கலக்கவும்.
பதப்படுத்தப்பட்ட ரொட்டியை ஒரு தாள் பாத்திரத்தில் பரப்பி சுமார் 15 நிமிடங்கள் சுடவும்.</t>
  </si>
  <si>
    <t>https://www.allrecipes.com/thmb/5TcHvXXXtOt9apPCmUxzGn-g7Lo=/1500x0/filters:no_upscale():max_bytes(150000):strip_icc()/ALR-230882-best-cream-of-broccoli-and-potato-soup-VAT-4x3-3-a9b661618b504f48b11424e83ccfe6ec.jpg</t>
  </si>
  <si>
    <t>Potato-Leek Soup with Mini Pierogi</t>
  </si>
  <si>
    <t>மினி பைரோகியுடன் உருளைக்கிழங்கு-லீக் சூப்</t>
  </si>
  <si>
    <t>4 tablespoons -  unsalted butter,
1 - bunch leeks,
1 - onion, 
2 - russet potatoes, 
3 - cloves garlic, 
Kosher salt and freshly ground pepper,
4 cups - low-sodium chicken broth,
1 -  bay leaf,
1/2 cup -  heavy cream,
2 - slices thick-cut bacon.</t>
  </si>
  <si>
    <t>4 தேக்கரண்டி - உப்பு சேர்க்காத வெண்ணெய்,
1 - கொத்து லீக்ஸ்,
1 - வெங்காயம்,
2 - ரசெட் உருளைக்கிழங்கு,
3 - பூண்டு பல்,
கோஷர் உப்பு மற்றும் புதிதாக அரைத்த மிளகு,
4 கப் - குறைந்த சோடியம் கொண்ட கோழி குழம்பு,
1 - வளைகுடா இலை,
1/2 கப் - கனமான கிரீம்,
2 - தடிமனான வெட்டப்பட்ட பன்றி இறைச்சி துண்டுகள்.</t>
  </si>
  <si>
    <t>12 frozen mini pierogi (half of a 1-pound package) Chopped fresh chives, for topping
Melt the butter in a large pot or Dutch oven over medium heat. Add the leeks and onion and cook, stirring occasionally, until softened, about 5 minutes. Add the potatoes, garlic, 1 teaspoon salt and a few grinds of pepper. Cook, stirring occasionally, until well coated, about 2 minutes.
Add 3 cups water, the chicken broth and bay leaf. Bring to a boil, then reduce the heat to maintain a simmer. Cook until the potatoes are very tender, 15 minutes. Discard the bay leaf. Working in 2 or 3 batches, puree the soup in a blender until smooth.
 Transfer to a clean pot and stir in the cream; season with salt and pepper. Keep warm over low heat.
Meanwhile, cook the bacon in a nonstick skillet over medium heat, stirring, until crisp, about 7 minutes. Transfer to paper towels using a slotted spoon. Add the pierogi to the skillet and cook, flipping halfway through, until golden brown and warmed through, about 5 minutes. Top each serving of soup with pierogi, bacon and chives.</t>
  </si>
  <si>
    <t>12 உறைந்த மினி பைரோகி (1-பவுண்டு பொட்டலத்தின் பாதி) நறுக்கிய புதிய வெங்காயத்தாள், மேல் பூசுவதற்கு
ஒரு பெரிய தொட்டியில் அல்லது டச்சு அடுப்பில் வெண்ணெயை நடுத்தர வெப்பத்தில் உருக்கவும். லீக்ஸ் மற்றும் வெங்காயத்தைச் சேர்த்து, அவ்வப்போது கிளறி, மென்மையாகும் வரை, சுமார் 5 நிமிடங்கள் சமைக்கவும். உருளைக்கிழங்கு, பூண்டு, 1 டீஸ்பூன் உப்பு மற்றும் ஒரு சில துண்டாக்கப்பட்ட மிளகு சேர்க்கவும். அவ்வப்போது கிளறி, நன்கு பூசப்படும் வரை, சுமார் 2 நிமிடங்கள் சமைக்கவும்.
3 கப் தண்ணீர், கோழி குழம்பு மற்றும் வளைகுடா இலை சேர்க்கவும். ஒரு கொதி நிலைக்கு கொண்டு வாருங்கள், பின்னர் தீயை குறைத்து ஒரு கொதி நிலைக்கு கொண்டு வாருங்கள். உருளைக்கிழங்கு மிகவும் மென்மையாகும் வரை, 15 நிமிடங்கள் சமைக்கவும். பிரியாணி இலையை தூக்கி எறியுங்கள். 2 அல்லது 3 தொகுதிகளாக சூப்பை ஒரு பிளெண்டரில் மென்மையாகும் வரை ப்யூரி செய்யவும்.
ஒரு சுத்தமான பாத்திரத்திற்கு மாற்றி, கிரீம் சேர்த்து கிளறவும்; உப்பு மற்றும் மிளகு சேர்த்து சுவைக்கவும். குறைந்த தீயில் சூடாக வைக்கவும்.
இதற்கிடையில், பன்றி இறைச்சியை ஒரு நான்ஸ்டிக் வாணலியில் நடுத்தர வெப்பத்தில் சுமார் 7 நிமிடங்கள் கிளறி, மொறுமொறுப்பாகும் வரை சமைக்கவும். துளையிடப்பட்ட கரண்டியால் காகித துண்டுகளுக்கு மாற்றவும். பைரோகியை வாணலியில் சேர்த்து, பாதியிலேயே புரட்டி, பொன்னிறமாகி, சூடாகும் வரை, சுமார் 5 நிமிடங்கள் சமைக்கவும். சூப்பின் ஒவ்வொரு பரிமாறலின் மேல் பைரோகி, பேக்கன் மற்றும் சீவ்ஸ் ஆகியவற்றைச் சேர்க்கவும்.</t>
  </si>
  <si>
    <t>https://encrypted-tbn0.gstatic.com/images?q=tbn:ANd9GcRJ8GYXNhtF96TcAs4TEM1TqECYXHumsS5x4g&amp;s</t>
  </si>
  <si>
    <t>Loaded Potato Soup</t>
  </si>
  <si>
    <t>ஏற்றப்பட்ட உருளைக்கிழங்கு சூப்</t>
  </si>
  <si>
    <t xml:space="preserve"> slices bacon,
2 -  medium yellow onions, 
2 -  cloves garlic, 
3 tablespoons -  flour ,
Kosher salt and freshly ground black pepper,
4 cups -  chicken broth ,
1 cup -  heavy cream ,
3 pounds -  russet potatoes, 
1 cup -  sour cream ,
3 cups -  shredded cheddar,
4 -  scallions.</t>
  </si>
  <si>
    <t>பன்றி இறைச்சி துண்டுகள்,
2 - நடுத்தர மஞ்சள் வெங்காயம்,
2 - பூண்டு பல்,
3 தேக்கரண்டி - மாவு,
கோஷர் உப்பு மற்றும் புதிதாக அரைத்த கருப்பு மிளகு,
4 கப் - சிக்கன் குழம்பு,
1 கப் - கனமான கிரீம்,
3 பவுண்டுகள் - ரசெட் உருளைக்கிழங்கு,
1 கப் - புளிப்பு கிரீம்,
3 கப் - துண்டாக்கப்பட்ட செடார்,
4 - ஸ்காலியன்ஸ்.</t>
  </si>
  <si>
    <t>Set a large Dutch oven over medium-high heat. Add the bacon and cook until crispy, 6 to 8 minutes; remove to a plate. When cool, crumble and set aside for garnish.
Add the onions and garlic to the pot, and cook in the rendered bacon grease until softened, 4 to 5 minutes. Add the flour and some salt and pepper, and stir until combined.
 Cook for 3 minutes, so the raw flour taste cooks out. Add the chicken broth and heavy cream, whisking to remove any flour lumps. Add the potatoes and cook over medium heat until tender, about 10 minutes.
With a potato masher, break up the cooked potatoes¿this will yield a thick and chunky consistency. Whisk in sour cream and then the shredded cheddar; let it melt through.
Serve garnished with crispy crumbled bacon and sliced scallions.</t>
  </si>
  <si>
    <t>நடுத்தர உயர் வெப்பத்தில் ஒரு பெரிய டச்சு அடுப்பை அமைக்கவும். பன்றி இறைச்சியைச் சேர்த்து, 6 முதல் 8 நிமிடங்கள் மொறுமொறுப்பாகும் வரை சமைக்கவும்; ஒரு தட்டில் அகற்றவும். குளிர்ந்ததும், நொறுக்கி அலங்கரிக்க ஒதுக்கி வைக்கவும்.
வெங்காயம் மற்றும் பூண்டை பாத்திரத்தில் சேர்த்து, ரெண்டர் செய்யப்பட்ட பேக்கன் கிரீஸில் 4 முதல் 5 நிமிடங்கள் மென்மையாகும் வரை சமைக்கவும். மாவு மற்றும் சிறிது உப்பு மற்றும் மிளகு சேர்த்து, கலக்கும் வரை கிளறவும்.
பச்சை மாவின் சுவை வெளியேற 3 நிமிடங்கள் சமைக்கவும். சிக்கன் குழம்பு மற்றும் கனமான கிரீம் சேர்த்து, மாவு கட்டிகள் ஏதேனும் இருந்தால் நீக்க கிளறவும். உருளைக்கிழங்கைச் சேர்த்து, மிதமான வெப்பத்தில் சுமார் 10 நிமிடங்கள் மென்மையாகும் வரை சமைக்கவும்.
உருளைக்கிழங்கு மஷரைப் பயன்படுத்தி, சமைத்த உருளைக்கிழங்கை உடைக்கவும் - இது ஒரு தடிமனான மற்றும் பருமனான நிலைத்தன்மையைப் பெறும். புளிப்பு கிரீம் மற்றும் பின்னர் துண்டாக்கப்பட்ட செடார் சேர்த்து கிளறவும்; அது உருக விடவும்.
மொறுமொறுப்பான நொறுக்கப்பட்ட பன்றி இறைச்சி மற்றும் துண்டுகளாக்கப்பட்ட ஸ்காலியன்ஸால் அலங்கரித்து பரிமாறவும்.</t>
  </si>
  <si>
    <t>https://encrypted-tbn0.gstatic.com/images?q=tbn:ANd9GcTXOvYd0rFVtuRh5-8ha6cv1FWH9d7AeihZtA&amp;s</t>
  </si>
  <si>
    <t>Cream of Chicken Soup</t>
  </si>
  <si>
    <t xml:space="preserve">
கிரீம் ஆஃப் சிக்கன் சூப்</t>
  </si>
  <si>
    <t>1/2 cup -  unsalted butter,
1 -  medium Spanish onion, 
2 -  stalks celery,
3 -  medium carrots, 
1/2 cup -  plus 1 tablespoon flour,
7 cups -  chicken broth, 
3 -  sprigs parsley,
3  - sprigs fresh thyme,
1 -  bay leaf,
2 3/4 cups -  cooked, 
1/2 cup -  heavy cream,
2 1/2 teaspoons -  dry sherry,
1 tablespoon -  kosher salt,
Freshly ground black pepper to taste,
2 tablespoons -  chopped flat-leaf parsley.</t>
  </si>
  <si>
    <t>1/2 கப் - உப்பு சேர்க்காத வெண்ணெய்,
1 - நடுத்தர ஸ்பானிஷ் வெங்காயம்,
2 - செலரி தண்டுகள்,
3 - நடுத்தர கேரட்,
1/2 கப் - கூடுதலாக 1 தேக்கரண்டி மாவு,
7 கப் - சிக்கன் குழம்பு,
3 - வோக்கோசு முளைகள்,
3 - புதிய தைம் முளைகள்,
1 - வளைகுடா இலை,
2 3/4 கப் - சமைத்த,
1/2 கப் - கனமான கிரீம்,
2 1/2 டீஸ்பூன் - உலர்ந்த ஷெர்ரி,
1 தேக்கரண்டி - கோஷர் உப்பு,
சுவைக்கு ஏற்ப புதிதாக அரைத்த கருப்பு மிளகு,
2 தேக்கரண்டி - நறுக்கிய தட்டையான இலை வோக்கோசு.</t>
  </si>
  <si>
    <t>Melt the butter in a large soup pot over medium heat. Add the onion, celery, and carrots and cook, covered, stirring occasionally, until soft, about 12 minutes. Add the flour and cook, stirring with a wooden spoon, for 2 minutes more.
Pour in the broth and bring to a boil while whisking constantly. Tie the parsley sprigs, thyme, and bay leaf together with a piece of kitchen twine and add to the soup. Lower the heat and simmer for 15 minutes.
Stir in the chicken and bring to a boil. Remove from the heat.
Whisk the heavy cream, sherry, and salt into the soup and season with pepper to taste. Remove and discard the herb bundle. Divide among soup bowls, sprinkle the top of each soup with the chopped parsley and serve immediately.</t>
  </si>
  <si>
    <t>ஒரு பெரிய சூப் பானையில் வெண்ணெயை மிதமான தீயில் உருக்கவும். வெங்காயம், செலரி மற்றும் கேரட் சேர்த்து, மூடி, அவ்வப்போது கிளறி, மென்மையாகும் வரை, சுமார் 12 நிமிடங்கள் சமைக்கவும். மாவைச் சேர்த்து, ஒரு மர கரண்டியால் கிளறி, மேலும் 2 நிமிடங்கள் சமைக்கவும்.
குழம்பில் ஊற்றி, தொடர்ந்து கிளறிக்கொண்டே கொதிக்க வைக்கவும். வோக்கோசு, தைம் மற்றும் வளைகுடா இலை ஆகியவற்றை ஒரு சமையலறை கயிறு துண்டுடன் கட்டி சூப்பில் சேர்க்கவும். தீயைக் குறைத்து 15 நிமிடங்கள் இளங்கொதிவாக்கவும்.
கோழியைச் சேர்த்து கிளறி கொதிக்க வைக்கவும். அடுப்பிலிருந்து இறக்கவும்.
சூப்பில் கனமான கிரீம், ஷெர்ரி மற்றும் உப்பு சேர்த்து சுவைக்க மிளகு சேர்த்து சுவைக்கவும். மூலிகை மூட்டையை அகற்றி நிராகரிக்கவும். சூப் கிண்ணங்களுக்கு இடையில் பிரித்து, ஒவ்வொரு சூப்பின் மேற்புறத்திலும் நறுக்கிய வோக்கோசைத் தூவி உடனடியாக பரிமாறவும்.</t>
  </si>
  <si>
    <t>https://www.licious.in/blog/wp-content/uploads/2020/12/Cream-of-chicken-Soup.jpg</t>
  </si>
  <si>
    <t>Tuscan Vegetable Soup</t>
  </si>
  <si>
    <t xml:space="preserve">
டஸ்கன் காய்கறி சூப்</t>
  </si>
  <si>
    <t>1 (15-ounce)  -  can low-sodium canellini beans, 
1 tablespoon -  olive oil,
1/2 -  large onion, 
2 -  carrots, 
2 -  stalks celery, 
1 -  small zucchini, 
1  - clove garlic, 
1 tablespoon -  chopped fresh thyme leaves,
2 teaspoons -  chopped fresh sage leaves,
1/2 teaspoon  - salt,
1/4 teaspoon -  freshly ground black pepper,
32 ounces -  low-sodium chicken broth,
1 (14.5-ounce) -  can no salt added diced tomatoes,
2 cups -  chopped baby spinach leaves
1/3 cup -  freshly grated Parmesan.</t>
  </si>
  <si>
    <t>1 (15-அவுன்ஸ்) - குறைந்த சோடியம் கொண்ட கனெல்லினி பீன்ஸ்,
1 தேக்கரண்டி - ஆலிவ் எண்ணெய்,
1/2 - பெரிய வெங்காயம்,
2 - கேரட்,
2 - செலரி தண்டுகள்,
1 - சிறிய சீமை சுரைக்காய்,
1 - பூண்டு கிராம்பு,
1 தேக்கரண்டி - நறுக்கிய புதிய தைம் இலைகள்,
2 தேக்கரண்டி - நறுக்கிய புதிய முனிவர் இலைகள்,
1/2 தேக்கரண்டி - உப்பு,
1/4 தேக்கரண்டி - புதிதாக அரைத்த கருப்பு மிளகு,
32 அவுன்ஸ் - குறைந்த சோடியம் கொண்ட கோழி குழம்பு,
1 (14.5-அவுன்ஸ்) - உப்பு சேர்க்கப்படாத தக்காளி,
2 கப் - நறுக்கிய குழந்தை கீரை இலைகள்
1/3 கப் - புதிதாக அரைத்த பார்மேசன்.</t>
  </si>
  <si>
    <t>In a small bowl mash half of the beans with a masher or the back of a spoon, and set aside.
Heat the oil in a large soup pot over medium-high heat. Add the onion, carrots, celery, zucchini, garlic, thyme, sage, 1/2 teaspoon of salt and 1/4 teaspoon of pepper, and cook stirring occasionally until the vegetables are tender, about 5 minutes.
Add the broth and tomatoes with the juice and bring to a boil. Add the mashed and whole beans and the spinach leaves and cook until the spinach is wilted, about 3 minutes more.
Serve topped with Parmesan, if desired.</t>
  </si>
  <si>
    <t>ஒரு சிறிய கிண்ணத்தில் பீன்ஸில் பாதியை ஒரு மஷர் அல்லது ஒரு கரண்டியின் பின்புறம் கொண்டு மசித்து, ஒதுக்கி வைக்கவும்.
ஒரு பெரிய சூப் பானையில் எண்ணெயை நடுத்தர உயர் வெப்பத்தில் சூடாக்கவும். வெங்காயம், கேரட், செலரி, சீமை சுரைக்காய், பூண்டு, தைம், முனிவர், 1/2 டீஸ்பூன் உப்பு மற்றும் 1/4 டீஸ்பூன் மிளகு சேர்த்து, அவ்வப்போது கிளறி, காய்கறிகள் மென்மையாகும் வரை சுமார் 5 நிமிடங்கள் சமைக்கவும்.
சாறுடன் குழம்பு மற்றும் தக்காளியைச் சேர்த்து ஒரு கொதி நிலைக்கு கொண்டு வாருங்கள். மசித்த மற்றும் முழு பீன்ஸ் மற்றும் கீரை இலைகளைச் சேர்த்து, கீரை வாடும் வரை, சுமார் 3 நிமிடங்கள் சமைக்கவும்.
விரும்பினால், பர்மேசனுடன் மேலே பரிமாறவும்.</t>
  </si>
  <si>
    <t>https://encrypted-tbn0.gstatic.com/images?q=tbn:ANd9GcRCoalcXtVYaZY_ff5AdcbbZACY9fjSq9AMAQ&amp;s</t>
  </si>
  <si>
    <t>White Lasagna Soup</t>
  </si>
  <si>
    <t>வெள்ளை லாசக்னா சூப்</t>
  </si>
  <si>
    <t>1/4 cup -  olive oil,
16 -  ounces sliced mixed mushrooms ,
1 tablespoon -  fresh thyme leaves ,
1 teaspoon -  kosher salt ,
2 teaspoons -  Italian seasoning ,
3 cloves garlic,
1/4 cup -  all-purpose flour ,
6 cups -  low-sodium vegetable broth ,
1 cup -  heavy cream ,
8 ounces -  no-boil lasagna noodles, 
4 cups -  baby spinach 
Ricotta cheese,
Pesto sauce.</t>
  </si>
  <si>
    <t>1/4 கப் - ஆலிவ் எண்ணெய்,
16 - அவுன்ஸ் நறுக்கிய கலப்பு காளான்கள்,
1 தேக்கரண்டி - புதிய தைம் இலைகள்,
1 தேக்கரண்டி - கோஷர் உப்பு,
2 தேக்கரண்டி - இத்தாலிய மசாலா,
3 பல் பூண்டு,
1/4 கப் - அனைத்து நோக்கத்திற்கான மாவு,
6 கப் - குறைந்த சோடியம் காய்கறி குழம்பு,
1 கப் - கனமான கிரீம்,
8 அவுன்ஸ் - கொதிக்காத லாசக்னா நூடுல்ஸ்,
4 கப் - பேபி ஸ்பினாச்
ரிகோட்டா சீஸ்,
பெஸ்டோ சாஸ்.</t>
  </si>
  <si>
    <t>Heat the oil in a Dutch oven over medium-high heat. When the oil is hot, add the mushrooms, thyme and salt, then stir. Cook until the liquid is released and the mushrooms are browned, 6 to 8 minutes.
Add the Italian seasoning and garlic, stir and cook for 1 minute. 
Sprinkle with the flour, stirring until the flour has coated all the mushrooms. Stir in the broth and bring to a simmer; simmer, stirring occasionally, until the mixture thickens, about 10 minutes.
Add the heavy cream and return to a simmer. Add the lasagna sheets and cook until al dente, 3 to 4 minutes. 
Add the spinach and cook just until the spinach wilts, about 1 minute.
Turn the heat off and ladle into bowls. Garnish with a few dollops of ricotta cheese and a few drizzles of pesto.</t>
  </si>
  <si>
    <t>டச்சு அடுப்பில் எண்ணெயை நடுத்தர உயர் வெப்பத்தில் சூடாக்கவும். எண்ணெய் சூடானதும், காளான்கள், தைம் மற்றும் உப்பு சேர்த்து, பின்னர் கிளறவும். திரவம் வெளியேறி காளான்கள் பழுப்பு நிறமாகும் வரை 6 முதல் 8 நிமிடங்கள் வரை சமைக்கவும்.
இத்தாலிய மசாலா மற்றும் பூண்டு சேர்த்து, கிளறி 1 நிமிடம் சமைக்கவும்.
மாவுடன் தெளிக்கவும், மாவு அனைத்து காளான்களையும் பூசும் வரை கிளறவும். குழம்பை சேர்த்து ஒரு கொதி நிலைக்கு கொண்டு வாருங்கள்; அவ்வப்போது கிளறி, கலவை கெட்டியாகும் வரை, சுமார் 10 நிமிடங்கள் இளங்கொதிவாக்கவும்.
கனமான க்ரீமைச் சேர்த்து மீண்டும் ஒரு கொதி நிலைக்கு கொண்டு வாருங்கள். லாசக்னா தாள்களைச் சேர்த்து அல் டென்டே வரை 3 முதல் 4 நிமிடங்கள் வரை சமைக்கவும்.
கீரையைச் சேர்த்து, கீரை வாடிவிடும் வரை சுமார் 1 நிமிடம் சமைக்கவும்.
அடுப்பை அணைத்து, கிண்ணங்களில் கரண்டியால் நிரப்பவும். ஒரு சில துண்டுகள் ரிக்கோட்டா சீஸ் மற்றும் ஒரு சில தூறல் பெஸ்டோவுடன் அலங்கரிக்கவும்.</t>
  </si>
  <si>
    <t>https://encrypted-tbn0.gstatic.com/images?q=tbn:ANd9GcSe_JZDEH8RLAwhSq8ikouwHxPOYpZbEoEIBw&amp;s</t>
  </si>
  <si>
    <t>Wonton Soup Dinner</t>
  </si>
  <si>
    <t>வொன்டன் சூப் இரவு உணவு</t>
  </si>
  <si>
    <t>2 tablespoons -  vegetable oil,
2 -  cloves garlic,
1 tablespoon -  fresh ginger, 
3 -  scallions, thinly sliced, 
4 ounces -  shiitake mushrooms, 
5 cups -  chicken bone broth,
4 -  heads baby bok choy, 
2 tablespoons -  soy sauce ,
One 12-ounce -  package frozen wontons.</t>
  </si>
  <si>
    <t>2 தேக்கரண்டி - தாவர எண்ணெய்,
2 - பூண்டு கிராம்பு,
1 தேக்கரண்டி - புதிய இஞ்சி,
3 - ஸ்காலியன்ஸ், மெல்லியதாக வெட்டப்பட்டது,
4 அவுன்ஸ் - ஷிடேக் காளான்கள்,
5 கப் - சிக்கன் எலும்பு குழம்பு,
4 - தலைகள் பேபி போக் சோய்,
2 தேக்கரண்டி - சோயா சாஸ்,
12-அவுன்ஸ் - ஒரு பொட்டலம் உறைந்த வொன்டன்ஸ்.</t>
  </si>
  <si>
    <t>In a medium pot or Dutch oven, heat the vegetable oil over medium heat. Add the garlic, ginger and white parts of the scallions and cook, stirring frequently, until fragrant, 1 to 2 minutes.
 Add the shiitakes and cook until they begin to soften, another minute.
Add the bone broth and bring to a boil. Add the bok choy and simmer, stirring occasionally, until the bok choy is tender, 4 to 5 minutes. Add the soy sauce and stir. Add the wontons and cook until they are cooked through, 2 to 3 minutes. Taste and season if necessary.
Ladle into bowls, then top with the scallion greens. Serve immediately.</t>
  </si>
  <si>
    <t>ஒரு நடுத்தர பானை அல்லது டச்சு அடுப்பில், தாவர எண்ணெயை நடுத்தர வெப்பத்தில் சூடாக்கவும். பூண்டு, இஞ்சி மற்றும் ஸ்காலியன்ஸின் வெள்ளை பாகங்களைச் சேர்த்து, அடிக்கடி கிளறி, மணம் வரும் வரை, 1 முதல் 2 நிமிடங்கள் வரை சமைக்கவும்.
ஷிடேக்குகளைச் சேர்த்து, அவை மென்மையாகத் தொடங்கும் வரை, மற்றொரு நிமிடம் சமைக்கவும்.
எலும்பு குழம்பைச் சேர்த்து ஒரு கொதி நிலைக்கு கொண்டு வாருங்கள். போக் சோயைச் சேர்த்து, அவ்வப்போது கிளறி, போக் சோய் மென்மையாகும் வரை, 4 முதல் 5 நிமிடங்கள் வரை கொதிக்க வைக்கவும். சோயா சாஸைச் சேர்த்து கிளறவும். வொன்டன்ஸைச் சேர்த்து, அவை சமைக்கப்படும் வரை, 2 முதல் 3 நிமிடங்கள் வரை சமைக்கவும். தேவைப்பட்டால் சுவைத்து, சுவைக்கவும்.
கிண்ணங்களில் ஊற்றி, அதன் மேல் வெங்காயத் துண்டுகளைத் தூவி உடனடியாகப் பரிமாறவும்.</t>
  </si>
  <si>
    <t>https://encrypted-tbn0.gstatic.com/images?q=tbn:ANd9GcTc3IpouCYWE2WxHCsf-mF_UKBpvR-OHz0Y6A&amp;s</t>
  </si>
  <si>
    <t>Trisha's Chicken Tortilla Soup</t>
  </si>
  <si>
    <t>த்ரிஷாவின் சிக்கன் டார்ட்டில்லா சூப்</t>
  </si>
  <si>
    <t>3 tablespoonsb - butter,
1 teaspoon -  minced garlicc,
1  - medium onion, 
2 tablespoons -  all-purpose flour,
14-ounce -  cans chicken brot,
4 cups -  half-and-half,
10.75-ounce -  can cream of chicken soup,
1 cup -  prepared salsa, 
4 -  boneless, 
 16-ounce -  bag tortilla chips,
8 ounces -  Monterey Jack,
8 ounces -  sharp Cheddar, 
 15-ounce -  can black beans, 
 15-ounce -  can kidney beans, 
 15-ounce can whole kernel corn, 
2 teaspoon -  ground cumin,
 1.27-ounce -  packet fajita seasoning,
1/2 cup -  sour cream.</t>
  </si>
  <si>
    <t>3 டேபிள்ஸ்பூன் - வெண்ணெய்,
1 டீஸ்பூன் - நறுக்கிய பூண்டு,
1 - நடுத்தர வெங்காயம்,
2 டேபிள்ஸ்பூன் - அனைத்து-பயன்பாட்டு மாவு,
14-அவுன்ஸ் - சிக்கன் ப்ரோட் கேன்கள்,
4 கப் - அரை-அரை,
10.75-அவுன்ஸ் - சிக்கன் சூப் கேன்,
1 கப் - தயாரிக்கப்பட்ட சல்சா,
4 - எலும்பு இல்லாத,
16-அவுன்ஸ் - பை டார்ட்டில்லா சிப்ஸ்,
8 அவுன்ஸ் - மான்டேரி ஜாக்,
8 அவுன்ஸ் - கூர்மையான செடார்,
15-அவுன்ஸ் - கருப்பு பீன்ஸ் கேன்,
15-அவுன்ஸ் - சிறுநீரக பீன்ஸ் கேன்,
15-அவுன்ஸ் கேன் முழு தானிய சோளம்,
2 டீஸ்பூன் - அரைத்த சீரகம்,
1.27-அவுன்ஸ் - பாக்கெட் ஃபாஜிதா மசாலா,
1/2 கப் - புளிப்பு கிரீம்.</t>
  </si>
  <si>
    <t>Melt the butter in a large pot over medium heat. Add the garlic and the onion and saute until softened, 5 minutes. Add the flour and stir well, cooking for 1 minute more. Add the broth and the half-and-half.
 Stir in the cream of chicken soup, salsa, chicken, beans, corn, cumin and fajita seasoning. Continue to simmer over low heat for 15 minutes. Crumble the tortilla chips into individual bowls and top with a ladle of soup. Sprinkle each serving with cheese and add a dollop of sour cream.</t>
  </si>
  <si>
    <t>ஒரு பெரிய தொட்டியில் வெண்ணெயை நடுத்தர வெப்பத்தில் உருக்கவும். பூண்டு மற்றும் வெங்காயத்தைச் சேர்த்து மென்மையாகும் வரை 5 நிமிடங்கள் வதக்கவும். மாவைச் சேர்த்து நன்கு கிளறி, 1 நிமிடம் மேலும் சமைக்கவும். குழம்பையும் அரை-அரையையும் சேர்க்கவும்.
சிக்கன் சூப், சல்சா, சிக்கன், பீன்ஸ், சோளம், சீரகம் மற்றும் ஃபாஜிதா மசாலாப் பொருட்களின் கிரீம் சேர்த்து கிளறவும். 15 நிமிடங்கள் குறைந்த வெப்பத்தில் தொடர்ந்து கொதிக்க வைக்கவும். டார்ட்டில்லா சிப்ஸை தனித்தனி கிண்ணங்களாக நொறுக்கி, அதன் மேல் ஒரு கரண்டி சூப் ஊற்றவும். ஒவ்வொரு பரிமாறலிலும் சீஸ் தூவி, ஒரு சிட்டிகை புளிப்பு கிரீம் சேர்க்கவும்.</t>
  </si>
  <si>
    <t>https://encrypted-tbn0.gstatic.com/images?q=tbn:ANd9GcScYeV4t4LNvIHD3hqQxpyL5ajiuKWbgOcI7w&amp;s</t>
  </si>
  <si>
    <t>Gumbo</t>
  </si>
  <si>
    <t xml:space="preserve">
கம்போ</t>
  </si>
  <si>
    <t>1 pound -  shrimp,
1 tablespoon -  oil,
3 -  medium blue crabs,
2 -  bay leaves,
1 - head garlic, 
1 -  medium onion,
2 -  ribs celery,
1 -  carrot,
2 tablespoons -  crab boil seasoning,
1 teaspoon - crushed red pepper,
2 tablespoons -  salt,
1 -  gallon water,
1 cup -  peanut oil,
4 -  chicken legs and thighs,
1 cup -  all-purpose flour,
1/2 cup -  oil,
1 pound -  andouille,
2-  large onions, 
5 to 6  - ribs celery,
3 to 4 -  carrots, 
1 -  large green pepper, 
1 tablespoon -  chopped garlic,
2 tablespoons -  paprika,
1 tablespoon -  dried oregano,
1 tablespoon -  dried thyme,
1 teaspoon -  granulated onion,
1 teaspoon -  granulated garlic,
1 teaspoon -  crushed red pepper,
1 teaspoon -  black pepper,
1 (6-ounce) -  can tomato paste,
1 (14-ounce) -  can diced ,
1 pound -  cut okra.</t>
  </si>
  <si>
    <t>1 பவுண்டு - இறால்,
1 தேக்கரண்டி - எண்ணெய்,
3 - நடுத்தர நீல நண்டுகள்,
2 - வளைகுடா இலைகள்,
1 - தலை பூண்டு,
1 - நடுத்தர வெங்காயம்,
2 - செலரி விலா எலும்புகள்,
1 - கேரட்,
2 தேக்கரண்டி - நண்டு வேகவைத்த மசாலா,
1 தேக்கரண்டி - நொறுக்கப்பட்ட சிவப்பு மிளகு,
2 தேக்கரண்டி - உப்பு,
1 - கேலன் தண்ணீர்,
1 கப் - வேர்க்கடலை எண்ணெய்,
4 - கோழி கால்கள் மற்றும் தொடைகள்,
1 கப் - அனைத்து நோக்கத்திற்கான மாவு,
1/2 கப் - எண்ணெய்,
1 பவுண்டு - ஆண்டூயில்,
2- பெரிய வெங்காயம்,
5 முதல் 6 - செலரி விலா எலும்புகள்,
3 முதல் 4 - கேரட்,
1 - பெரிய பச்சை மிளகு,
1 தேக்கரண்டி - நறுக்கிய பூண்டு,
2 தேக்கரண்டி - மிளகுத்தூள்,
1 தேக்கரண்டி - உலர்ந்த ஆர்கனோ,
1 தேக்கரண்டி - உலர்ந்த தைம்,
1 தேக்கரண்டி - கிரானுலேட்டட் வெங்காயம்,
1 தேக்கரண்டி - கிரானுலேட்டட் பூண்டு,
1 தேக்கரண்டி - நொறுக்கப்பட்ட சிவப்பு மிளகு,
1 தேக்கரண்டி - கருப்பு மிளகு,
1 (6-அவுன்ஸ்) - தக்காளி விழுது,
1 (14-அவுன்ஸ்) - துண்டுகளாக்கப்பட்டது ,
1 பவுண்டு - வெட்டப்பட்ட வெண்டைக்காய்.</t>
  </si>
  <si>
    <t>For the stock: Start with the stock by peeling and de-heading the shrimp. In a 5 to 6 quart pot add a tablespoon of oil, and when hot cook the shrimp peels and heads until slightly toasted. Add the live crabs and cover the pot to steam for 5 minutes.
 Add the rest of the stock ingredients except the water and sweat the vegetables. Add half the quantity of water and boil for half an hour. Add the remaining half of the water, bring to a boil, and then lower heat and keep on a low boil for 1 1/2 hours.
For the roux: While the stock is boiling, preheat the oven to 375 degrees F.
In an oven-proof saucepan make the roux by heating up the oil, add the chicken and brown, then remove and place in a baking dish in the preheated oven. Add the flour to the hot oil in the saucepan being careful that the oil isn't too hot or the mixture will boil over. 
Cook this until it begins to get lighter in color, then put in the oven, stirring a few times until it turns mahogany brown.
For the gumbo: While the stock is boiling and the roux is in the oven, start the gumbo. In a large pot add 1/2 cup oil and sausage and render the sausage a few minutes to extract the flavor and grease from them. Add the vegetables and set over medium heat, stirring occasionally.
In a small bowl mix the seasonings and add to the gumbo pot when the onions have turned transparent. Stir to release the flavorful oils, then add the tomato paste.
Take the chicken out of the oven and let cool. Take the roux out of the oven and cool slightly before adding to the gumbo pot. Strain the stock.
To the gumbo pot, add the roux and mix well. Add the diced tomatoes and half the stock and scrape the bottom of the pot well. Bring to a boil over medium heat and add more stock, as needed. After about 30 minutes, taste and correct seasonings, adding salt as needed.
Pull the chicken meat from the bones and chop to desired size. Saute the shrimp and any other fish you want and add to the gumbo with the okra. After simmering a few minutes the gumbo is ready serve - however it will taste better after resting several hours or until the next day.</t>
  </si>
  <si>
    <t>குழம்புக்கு: குழம்பை உரித்து, தலையை நீக்குவதன் மூலம் தொடங்கவும். 5 முதல் 6 குவார்ட்டர் பாத்திரத்தில் ஒரு தேக்கரண்டி எண்ணெய் சேர்க்கவும், சூடாகும்போது இறால் தோல்கள் மற்றும் தலைகளை சிறிது வறுக்கும் வரை சமைக்கவும். உயிருள்ள நண்டுகளைச் சேர்த்து, பாத்திரத்தை 5 நிமிடங்கள் ஆவியில் வேகவைக்கவும்.
தண்ணீர் தவிர மீதமுள்ள குழம்பு பொருட்களைச் சேர்த்து காய்கறிகளை வியர்க்கவும். பாதி அளவு தண்ணீரைச் சேர்த்து அரை மணி நேரம் கொதிக்க வைக்கவும். மீதமுள்ள பாதி தண்ணீரைச் சேர்த்து, ஒரு கொதி நிலைக்கு கொண்டு வந்து, பின்னர் தீயைக் குறைத்து 1 1/2 மணி நேரம் குறைந்த கொதி நிலையில் வைக்கவும்.
ரூக்ஸ்க்கு: குழம்பு கொதிக்கும் போது, ​​அடுப்பை 375 டிகிரி எஃப்-க்கு முன்கூட்டியே சூடாக்கவும்.
ஓவன்-ப்ரூஃப் பாத்திரத்தில் எண்ணெயை சூடாக்கி ரூக்ஸ் செய்யவும், கோழி மற்றும் பழுப்பு நிறத்தைச் சேர்க்கவும், பின்னர் அகற்றி, முன்கூட்டியே சூடாக்கப்பட்ட அடுப்பில் ஒரு பேக்கிங் டிஷில் வைக்கவும். பாத்திரத்தில் உள்ள சூடான எண்ணெயில் மாவைச் சேர்க்கவும், எண்ணெய் மிகவும் சூடாகவோ அல்லது கலவை கொதிக்கவோ கூடாது என்பதில் கவனமாக இருங்கள்.
இது லேசான நிறம் மாறத் தொடங்கும் வரை சமைக்கவும், பின்னர் அடுப்பில் வைக்கவும், மஹோகனி பழுப்பு நிறமாக மாறும் வரை சில முறை கிளறவும்.
கம்போவுக்கு: குழம்பு கொதிக்கும் போது மற்றும் ரூக்ஸ் அடுப்பில் இருக்கும் போது, ​​கம்போவைத் தொடங்கவும். ஒரு பெரிய பாத்திரத்தில் 1/2 கப் எண்ணெய் மற்றும் தொத்திறைச்சியைச் சேர்த்து, அவற்றிலிருந்து சுவை மற்றும் கிரீஸ் பிரித்தெடுக்க சில நிமிடங்கள் தொத்திறைச்சியை விடுங்கள். காய்கறிகளைச் சேர்த்து, அவ்வப்போது கிளறி, மிதமான தீயில் வைக்கவும்.
ஒரு சிறிய பாத்திரத்தில் மசாலாப் பொருட்களைக் கலந்து, வெங்காயம் வெளிப்படையானதாக மாறியதும் கம்போ பானையில் சேர்க்கவும். சுவையான எண்ணெய்கள் வெளியேறும் வரை கிளறவும், பின்னர் தக்காளி விழுதைச் சேர்க்கவும்.
கோழியை அடுப்பிலிருந்து எடுத்து ஆற விடவும். கம்போ பானையில் சேர்ப்பதற்கு முன், ரூக்ஸை அடுப்பிலிருந்து எடுத்து சிறிது ஆறவிடவும். குழம்பை வடிகட்டி வைக்கவும்.
கம்போ பானையில், ரூக்ஸைச் சேர்த்து நன்கு கலக்கவும். துண்டுகளாக்கப்பட்ட தக்காளியையும், பாதி குழம்பையும் சேர்த்து, பாத்திரத்தின் அடிப்பகுதியை நன்றாகத் துடைக்கவும். மிதமான தீயில் கொதிக்க வைத்து, தேவைக்கேற்ப அதிக குழம்பைச் சேர்க்கவும். சுமார் 30 நிமிடங்களுக்குப் பிறகு, சுவையூட்டிகளை சரிசெய்து, தேவைக்கேற்ப உப்பு சேர்க்கவும்.
கோழி இறைச்சியை எலும்புகளிலிருந்து பிரித்து தேவையான அளவுக்கு நறுக்கவும். இறால் மற்றும் நீங்கள் விரும்பும் வேறு எந்த மீனையும் வதக்கி, ஓக்ராவுடன் கம்போவுடன் சேர்க்கவும். சில நிமிடங்கள் கொதித்த பிறகு கம்போ தயாராக உள்ளது - இருப்பினும் பல மணி நேரம் ஓய்வெடுத்த பிறகு அல்லது மறுநாள் வரை அது நன்றாக ருசிக்கும்.</t>
  </si>
  <si>
    <t>https://encrypted-tbn0.gstatic.com/images?q=tbn:ANd9GcTFGVzHLxO_v8AmHi9MvrVRXNxwL3iJdyXvxQ&amp;s</t>
  </si>
  <si>
    <t>Escarole and Bean Soup</t>
  </si>
  <si>
    <t>எஸ்கரோல் மற்றும் பீன் சூப்</t>
  </si>
  <si>
    <t>2 tablespoons -  olive oil,
2 - garlic cloves, 
1 pound -  escarole, 
Salt,
4 cups -  low-salt chicken broth,
1 (15-ounce) -  can cannellini beans, 
1 (1-ounce) -  piece Parmesan,
Freshly ground black pepper,
6 teaspoons -  extra-virgin olive oil.</t>
  </si>
  <si>
    <t>2 தேக்கரண்டி - ஆலிவ் எண்ணெய்,
2 - பூண்டு பல்,
1 பவுண்டு - எஸ்கரோல்,
உப்பு,
4 கப் - குறைந்த உப்பு சிக்கன் குழம்பு,
1 (15-அவுன்ஸ்) - கேன் கேனெல்லினி பீன்ஸ்,
1 (1-அவுன்ஸ்) - துண்டு பர்மேசன்,
புதிதாக அரைத்த கருப்பு மிளகு,
6 டீஸ்பூன் - கூடுதல் கன்னி ஆலிவ் எண்ணெய்.</t>
  </si>
  <si>
    <t>Heat 2 tablespoons of olive oil in a heavy large pot over medium heat. Add the garlic and saute until fragrant, about 15 seconds. Add the escarole and saute until wilted, about 2 minutes. 
Add a pinch of salt. Add the chicken broth, beans, and Parmesan cheese. 
Cover and simmer until the beans are heated through, about 5 minutes. Season with salt and pepper, to taste.
Ladle the soup into 6 bowls. Drizzle 1 teaspoon extra-virgin olive oil over each. Serve with crusty bread.</t>
  </si>
  <si>
    <t>ஒரு பெரிய கனமான பாத்திரத்தில் 2 தேக்கரண்டி ஆலிவ் எண்ணெயை மிதமான தீயில் சூடாக்கவும். பூண்டைச் சேர்த்து மணம் வரும் வரை சுமார் 15 வினாடிகள் வதக்கவும். எஸ்கரோலைச் சேர்த்து வாடும் வரை சுமார் 2 நிமிடங்கள் வதக்கவும்.
ஒரு சிட்டிகை உப்பு சேர்க்கவும். சிக்கன் குழம்பு, பீன்ஸ் மற்றும் பர்மேசன் சீஸ் சேர்க்கவும்.
மூடி வைத்து பீன்ஸ் சூடேறும் வரை சுமார் 5 நிமிடங்கள் இளங்கொதிவாக்கவும். சுவைக்க உப்பு மற்றும் மிளகு சேர்த்து சுவைக்கவும்.
சூப்பை 6 கிண்ணங்களில் ஊற்றவும். ஒவ்வொன்றின் மீதும் 1 தேக்கரண்டி கூடுதல் கன்னி ஆலிவ் எண்ணெயைத் தூவவும். மொறுமொறுப்பான ரொட்டியுடன் பரிமாறவும்.</t>
  </si>
  <si>
    <t>https://earthly-provisions.com/wp-content/uploads/2024/01/Escarole-and-White-Bean-Soup-Vegan-7.jpg</t>
  </si>
  <si>
    <t>Roasted Potato Leek Soup</t>
  </si>
  <si>
    <t>வறுத்த உருளைக்கிழங்கு லீக் சூப்</t>
  </si>
  <si>
    <t>2 pounds - Yukon gold potatoes,
4 cups -  chopped leeks,
1/4 cup -  good olive oil,
Kosher salt and freshly ground black pepper,
3 cups -  baby arugula,
1/2 cup -  dry white wine,
6 to 7 cups -  chicken stock, 
3/4 cup -  heavy cream,
8 ounces -  creme fraiche,
1/4 cup -  freshly grated Parmesan,
Crispy Shallots,
1 1/2 cups -  olive oil,
3 tablespoons -  unsalted butter,
5 to 6 shallots.</t>
  </si>
  <si>
    <t>2 பவுண்டுகள் - யூகான் தங்க உருளைக்கிழங்கு,
4 கப் - நறுக்கிய லீக்ஸ்,
1/4 கப் - நல்ல ஆலிவ் எண்ணெய்,
கோஷர் உப்பு மற்றும் புதிதாக அரைத்த கருப்பு மிளகு,
3 கப் - பேபி அருகுலா,
1/2 கப் - உலர் வெள்ளை ஒயின்,
6 முதல் 7 கப் - சிக்கன் ஸ்டாக்,
3/4 கப் - கனமான கிரீம்,
8 அவுன்ஸ் - கிரீம் ஃப்ரைச்,
1/4 கப் - புதிதாக துருவிய பார்மேசன்,
கிரிஸ்பி ஷாலோட்ஸ்,
1 1/2 கப் - ஆலிவ் எண்ணெய்,
3 டேபிள்ஸ்பூன் - உப்பு சேர்க்காத வெண்ணெய்,
5 முதல் 6 ஷாலோட்ஸ்.</t>
  </si>
  <si>
    <t>Preheat the oven to 400 degrees F.
Combine the potatoes and leeks on a sheet pan in a single layer. Add the olive oil, 1 teaspoon salt, and 1/2 teaspoon pepper and toss to coat the vegetables evenly. Roast for 40 to 45 minutes, turning them with a spatula a few times during cooking, until very tender. Add the arugula and toss to combine. Roast for 4 to 5 more minutes, until the arugula is wilted. Remove the pan from the oven and place over 2 burners. Stir in the wine and 1 cup of the chicken stock and cook over low heat, scraping up any crispy roasted bits sticking to the pan.
In batches, transfer the roasted vegetables to a food processor fitted with the steel blade, adding the pan liquid and about 5 cups of the chicken stock to make a puree. 
Pour the puree into a large pot or Dutch oven. Continue to puree the vegetables in batches until they're all done and combined in the large pot. Add enough of the remaining 1 to 2 cups of stock to make a thick soup. 
Add the cream, creme fraiche, 2 teaspoons salt, and 1 teaspoon pepper and check the seasonings.
When ready to serve, reheat the soup gently and whisk in 2 tablespoons white wine and 1/4 cup of Parmesan. Serve hot with an extra grating of Parmesan and crispy shallots, if using.
Heat the oil and butter in a saucepan over medium-low heat until it reaches 220 degrees F on a candy thermometer.
Reduce the heat to low, add the shallots, and cook for 30 to 40 minutes, until they are a rich golden brown. 
The temperature should stay below 260 degrees F. Stir the shallots occasionally to make sure they brown evenly. Remove them from the oil with a slotted spoon, drain well, and spread out to cool on paper towels. Once they have dried and crisped, they can be stored at room temperature, covered, for several days.</t>
  </si>
  <si>
    <t>அடுப்பை 400 டிகிரி எஃப்-க்கு முன்கூட்டியே சூடாக்கவும்.
உருளைக்கிழங்கு மற்றும் லீக்ஸை ஒரு தாள் பாத்திரத்தில் ஒற்றை அடுக்கில் இணைக்கவும். ஆலிவ் எண்ணெய், 1 டீஸ்பூன் உப்பு மற்றும் 1/2 டீஸ்பூன் மிளகு சேர்த்து காய்கறிகளை சமமாக பூசவும். 40 முதல் 45 நிமிடங்கள் வறுக்கவும், சமைக்கும் போது ஒரு ஸ்பேட்டூலாவுடன் சில முறை திருப்பவும், மிகவும் மென்மையாகும் வரை. அருகுலாவைச் சேர்த்து ஒன்றாகக் கலக்கவும். அருகுலா வாடிப்போகும் வரை மேலும் 4 முதல் 5 நிமிடங்கள் வறுக்கவும். அடுப்பிலிருந்து வாணலியை அகற்றி 2 பர்னர்களுக்கு மேல் வைக்கவும். ஒயின் மற்றும் 1 கப் சிக்கன் ஸ்டாக்கைச் சேர்த்து கிளறி, குறைந்த வெப்பத்தில் சமைக்கவும், வாணலியில் ஒட்டிக்கொண்டிருக்கும் மொறுமொறுப்பான வறுத்த துண்டுகளை அகற்றவும்.
தொகுதிகளாக, வறுத்த காய்கறிகளை ஸ்டீல் பிளேடுடன் பொருத்தப்பட்ட உணவு செயலிக்கு மாற்றி, பான் திரவத்தையும் சுமார் 5 கப் சிக்கன் ஸ்டாக்கையும் சேர்த்து ப்யூரி செய்யவும்.
கூழ் ஒரு பெரிய பாத்திரத்தில் அல்லது டச்சு அடுப்பில் ஊற்றவும். காய்கறிகள் அனைத்தும் முடிந்து பெரிய பாத்திரத்தில் கலக்கப்படும் வரை தொடர்ந்து ப்யூரி செய்யவும். மீதமுள்ள 1 முதல் 2 கப் குழம்பில் போதுமான அளவு சேர்த்து ஒரு தடிமனான சூப் தயாரிக்கவும்.
கிரீம், க்ரீம் ஃப்ரைச், 2 டீஸ்பூன் உப்பு மற்றும் 1 டீஸ்பூன் மிளகு சேர்த்து மசாலாப் பொருட்களைச் சரிபார்க்கவும்.
பரிமாறத் தயாரானதும், சூப்பை மெதுவாக மீண்டும் சூடாக்கி, 2 டேபிள்ஸ்பூன் ஒயிட் ஒயின் மற்றும் 1/4 கப் பர்மேசன் சேர்த்து கிளறவும். பயன்படுத்தினால், கூடுதலாக பர்மேசன் மற்றும் மொறுமொறுப்பான வெங்காயத்தாள்களை சேர்த்து சூடாகப் பரிமாறவும்.
ஒரு பாத்திரத்தில் எண்ணெய் மற்றும் வெண்ணெயை மிதமான-குறைந்த வெப்பத்தில் 220 டிகிரி F அடையும் வரை ஒரு மிட்டாய் வெப்பமானியில் சூடாக்கவும்.
தீயைக் குறைத்து, வெங்காயத்தாள்களைச் சேர்த்து, அவை தங்க பழுப்பு நிறமாக மாறும் வரை 30 முதல் 40 நிமிடங்கள் சமைக்கவும்.
வெப்பநிலையைக் குறைத்து, வெங்காயத்தாள்களைச் சேர்த்து, அவை சமமாக பழுப்பு நிறமாக மாறுவதை உறுதிசெய்ய அவ்வப்போது கிளறவும். துளையிடப்பட்ட கரண்டியால் எண்ணெயிலிருந்து அவற்றை அகற்றி, நன்கு வடிகட்டி, காகிதத் துண்டுகளில் பரப்பி குளிர்விக்க வைக்கவும். அவை உலர்ந்து மொறுமொறுப்பாக மாறியதும், அவற்றை அறை வெப்பநிலையில், மூடி வைத்து, பல நாட்கள் சேமிக்கலாம்.</t>
  </si>
  <si>
    <t>https://encrypted-tbn0.gstatic.com/images?q=tbn:ANd9GcTAoGc0ZRlPioyUMSiu-rnugpIRBvVZyoGFgg&amp;s</t>
  </si>
  <si>
    <t>பருப்பு சூப்</t>
  </si>
  <si>
    <t>2 tablespoons -  olive oil,
1 cup -  finely chopped onion,
1/2 cup -  finely chopped carrot,
1/2 cup -  finely chopped celery,
2 teaspoons -  kosher salt,
1 pound -  lentils,
1 cup -  peeled and chopped tomatoes,
2 - quarts chicken,
1/2 teaspoon -  freshly ground coriander,
1/2 teaspoon -  freshly ground toasted cumin,
1/2 teaspoon -  freshly ground grains of paradise.</t>
  </si>
  <si>
    <t>2 தேக்கரண்டி - ஆலிவ் எண்ணெய்,
1 கப் - இறுதியாக நறுக்கிய வெங்காயம்,
1/2 கப் - இறுதியாக நறுக்கிய கேரட்,
1/2 கப் - இறுதியாக நறுக்கிய செலரி,
2 தேக்கரண்டி - கோஷர் உப்பு,
1 பவுண்டு - பருப்பு,
1 கப் - தோல் நீக்கி நறுக்கிய தக்காளி,
2 - குவார்ட்ஸ் சிக்கன்,
1/2 தேக்கரண்டி - புதிதாக அரைத்த கொத்தமல்லி,
1/2 தேக்கரண்டி - புதிதாக அரைத்த வறுக்கப்பட்ட சீரகம்,
1/2 தேக்கரண்டி - புதிதாக அரைத்த சொரசொரப்பான தானியங்கள்.</t>
  </si>
  <si>
    <t>Place the olive oil into a large 6-quart Dutch oven and set over medium heat. Once hot, add the onion, carrot, celery and salt and sweat until the onions are translucent, approximately 6 to 7 minutes.
 Add the lentils, tomatoes, broth, coriander, cumin and grains of paradise and stir to combine. Increase the heat to high and bring just to a boil. Reduce the heat to low, cover and cook at a low simmer until the lentils are tender, approximately 35 to 40 minutes. Using a stick blender, puree to your preferred consistency. Serve immediately.</t>
  </si>
  <si>
    <t>ஆலிவ் எண்ணெயை ஒரு பெரிய 6-குவார்ட்டர் டச்சு அடுப்பில் வைத்து நடுத்தர வெப்பத்தில் வைக்கவும். சூடானதும், வெங்காயம், கேரட், செலரி மற்றும் உப்பு சேர்த்து வெங்காயம் கசியும் வரை, சுமார் 6 முதல் 7 நிமிடங்கள் வரை வதக்கவும்.
பருப்பு, தக்காளி, குழம்பு, கொத்தமல்லி, சீரகம் மற்றும் சொரசொரப்பான தானியங்களைச் சேர்த்து கலக்கவும். தீயை அதிகப்படுத்தி கொதிக்க வைக்கவும். தீயை குறைத்து, மூடி வைத்து, பருப்பு மென்மையாகும் வரை, சுமார் 35 முதல் 40 நிமிடங்கள் வரை குறைந்த கொதி நிலையில் சமைக்கவும். ஒரு குச்சி பிளெண்டரைப் பயன்படுத்தி, உங்களுக்கு விருப்பமான நிலைத்தன்மைக்கு கூழ் சேர்க்கவும். உடனடியாக பரிமாறவும்.</t>
  </si>
  <si>
    <t>https://encrypted-tbn0.gstatic.com/images?q=tbn:ANd9GcSadVbyC-Vuilv0f-uqc60XU1QleA8SuJaezw&amp;s</t>
  </si>
  <si>
    <t>Chicken Soup</t>
  </si>
  <si>
    <t>சிக்கன் சூப்</t>
  </si>
  <si>
    <t xml:space="preserve"> 4- to 5-pound  - roast chicken,
4 cups -  low-sodium chicken broth,
2  - medium carrots, 
2 -  celery stalks, 
1 -  medium onion, 
1 -  bay leaf,
1/2 cup  - white rice,
2 tablespoons -  chopped parsley,
Kosher salt.</t>
  </si>
  <si>
    <t>4- முதல் 5-பவுண்டு - வறுத்த கோழி,
4 கப் - குறைந்த சோடியம் கொண்ட சிக்கன் குழம்பு,
2 - நடுத்தர கேரட்,
2 - செலரி தண்டுகள்,
1 - நடுத்தர வெங்காயம்,
1 - வளைகுடா இலை,
1/2 கப் - வெள்ளை அரிசி,
2 தேக்கரண்டி - நறுக்கிய வோக்கோசு,
கோஷர் உப்பு.</t>
  </si>
  <si>
    <t>Put the bones and carcass from a leftover chicken (they can be in pieces) in a large pot. Cover with the broth and 4 cups water. Bring to a boil over medium-high heat, reduce to a simmer and cook for 20 minutes. Skim any foam or fat from the broth with a ladle as necessary.
Remove the bones and carcass with tongs or a slotted spoon; set aside to cool. Add the carrots, celery, onion and bay leaf to the broth, bring back to a simmer and cook until the vegetables are about half cooked (they will still have resistance when tested with a knife but be somewhat pliable when bent), about 10 minutes. Stir in the rice (to keep it from sticking to the bottom), and cook until the grains are just al dente, 10 to 12 minutes.
Meanwhile, when the carcass and bones are cool enough to handle, pick off the meat, and shred it into bite-size pieces.
When the rice is done, add the meat to the broth and simmer until warmed through, about 1 minute. Stir in the parsley, and season with 1/2 teaspoon salt or more to taste. Serve hot.</t>
  </si>
  <si>
    <t>மீதமுள்ள கோழியின் எலும்புகள் மற்றும் சடலத்தை (அவை துண்டுகளாக இருக்கலாம்) ஒரு பெரிய தொட்டியில் வைக்கவும். குழம்பு மற்றும் 4 கப் தண்ணீரில் மூடி வைக்கவும். நடுத்தர-அதிக வெப்பத்தில் கொதிக்க வைத்து, ஒரு கொதி நிலைக்குக் குறைத்து 20 நிமிடங்கள் சமைக்கவும். தேவைப்பட்டால் ஒரு கரண்டியால் குழம்பிலிருந்து நுரை அல்லது கொழுப்பை நீக்கவும்.
இடுக்கி அல்லது துளையிட்ட கரண்டியால் எலும்புகள் மற்றும் சடலத்தை அகற்றவும்; குளிர்விக்க ஒதுக்கி வைக்கவும். குழம்பில் கேரட், செலரி, வெங்காயம் மற்றும் வளைகுடா இலையைச் சேர்த்து, மீண்டும் ஒரு கொதி நிலைக்கு கொண்டு வந்து காய்கறிகள் பாதி வேகும் வரை சமைக்கவும் (கத்தியால் சோதிக்கப்படும் போது அவை இன்னும் எதிர்ப்புத் திறன் கொண்டவை ஆனால் வளைக்கும்போது ஓரளவு நெகிழ்வானதாக இருக்கும்), சுமார் 10 நிமிடங்கள். அரிசியைச் சேர்த்துக் கிளறி (அடியில் ஒட்டாமல் இருக்க), தானியங்கள் வெறும் அல் டென்டே ஆகும் வரை 10 முதல் 12 நிமிடங்கள் சமைக்கவும்.
இதற்கிடையில், சடலமும் எலும்புகளும் கையாளும் அளவுக்கு குளிர்ந்ததும், இறைச்சியை எடுத்து, கடி அளவு துண்டுகளாக நறுக்கவும்.
அரிசி தயாரானதும், குழம்பில் இறைச்சியைச் சேர்த்து, சூடுபடுத்தும் வரை சுமார் 1 நிமிடம் கொதிக்க வைக்கவும். பார்ஸ்லியைக் கிளறி, 1/2 டீஸ்பூன் உப்பு அல்லது அதற்கு மேற்பட்டவற்றைச் சேர்த்து சுவைக்கவும். சூடாகப் பரிமாறவும்.</t>
  </si>
  <si>
    <t>https://encrypted-tbn0.gstatic.com/images?q=tbn:ANd9GcSVa7xM34RKmXR9xrTeYvzCU4b4ogxYgoLWkw&amp;s</t>
  </si>
  <si>
    <t>Fisherman's Stoup</t>
  </si>
  <si>
    <t>ஃபிஷர்மேன் ஸ்டூப்</t>
  </si>
  <si>
    <t xml:space="preserve">1 -  medium red onion, 
1 -  Fresno chile pepper,
1 tablespoon -  fresh lemon zest,
2 -  cloves garlic, 
1/2 cup -  flat leaf parsley, 
2 tablespoons - fresh thyme leaves,
2 -  fresh bay leaves,
Fresh flat-leaf parsley,
1/4 cup -  extra-virgin olive oil,
6 -  anchovy filets,
4 -  small ribs celery, 
2 -  starchy potatoes, 
1 -  red pepper, 
1/2 bottle -  lager beer,
1 (28-ounce) -  can diced tomatoes ,
2 cups -  chicken stock,
1 pound  - cod, 
1 pound -  sea scallops,
1 -  loaf ciabatta .
</t>
  </si>
  <si>
    <t>1 - நடுத்தர சிவப்பு வெங்காயம்,
1 - ஃப்ரெஸ்னோ சிலி மிளகு,
1 தேக்கரண்டி - புதிய எலுமிச்சை தோல்,
2 - பூண்டு கிராம்பு,
1/2 கப் - தட்டையான இலை வோக்கோசு,
2 தேக்கரண்டி - புதிய தைம் இலைகள்,
2 - புதிய வளைகுடா இலைகள்,
புதிய தட்டையான இலை வோக்கோசு,
1/4 கப் - கூடுதல் கன்னி ஆலிவ் எண்ணெய்,
6 - நெத்திலி பைலெட்டுகள்,
4 - சிறிய விலா எலும்புகள்,
2 - ஸ்டார்ச் உருளைக்கிழங்கு,
1 - சிவப்பு மிளகு,
1/2 பாட்டில் - லாகர் பீர்,
1 (28-அவுன்ஸ்) - துண்டுகளாக்கப்பட்ட தக்காளி,
2 கப் - சிக்கன் ஸ்டாக்,
1 பவுண்டு - காட்,
1 பவுண்டு - கடல் ஸ்காலப்ஸ்,
1 - லோஃப் சியாபட்டா.</t>
  </si>
  <si>
    <t>For the seafood base: Place the red onion, chile pepper, lemon zest, garlic, parsley, thyme, and bay leaves in a food processor and process ingredients into paste.
For the soup base: In a Dutch oven, heat the extra-virgin olive oil and anchovies over medium-high heat, when the anchovies melt into the oil add the seafood base and stir 3 to 4 minutes then add the celery, potatoes, and red pepper and cover the pot 4 to 5 minutes to sweat them out, stirring occasionally. Deglaze the pot with beer.
 Add tomatoes and chicken stock and bring to a boil, simmer for 20 minutes or until it has reduced by a third, then turn off the heat, cool and store for a make-ahead meal.
To reheat: Reheat over medium-high heat. Crust up and warm bread in a hot oven. When the stoup comes to a boil, fold or nestle the cod and scallops into the liquid, and return to a bubble, cook for 5 to 6 minutes, until the fish is opaque and cooked through, then turn off the heat. Serve immediately with lots of bread for mopping.</t>
  </si>
  <si>
    <t>கடல் உணவு அடிப்படைக்கு: சிவப்பு வெங்காயம், மிளகாய் மிளகு, எலுமிச்சை தோல், பூண்டு, வோக்கோசு, தைம் மற்றும் வளைகுடா இலைகளை ஒரு உணவு செயலியில் வைத்து, பொருட்களை பேஸ்டாக பதப்படுத்தவும்.
சூப் பேஸுக்கு: ஒரு டச்சு அடுப்பில், கூடுதல் கன்னி ஆலிவ் எண்ணெய் மற்றும் நெத்திலிகளை நடுத்தர-அதிக வெப்பத்தில் சூடாக்கவும், நெத்திலிகள் எண்ணெயில் உருகும்போது கடல் உணவு பேஸைச் சேர்த்து 3 முதல் 4 நிமிடங்கள் கிளறவும், பின்னர் செலரி, உருளைக்கிழங்கு மற்றும் சிவப்பு மிளகு ஆகியவற்றைச் சேர்த்து, அவ்வப்போது கிளறி, அவற்றை வியர்வை வர 4 முதல் 5 நிமிடங்கள் பானையை மூடி வைக்கவும். பானையை பீர் கொண்டு டீக்ளேஸ் செய்யவும்.
தக்காளி மற்றும் சிக்கன் ஸ்டாக்கைச் சேர்த்து ஒரு கொதி நிலைக்கு கொண்டு வந்து, 20 நிமிடங்கள் அல்லது மூன்றில் ஒரு பங்கு குறையும் வரை வேகவைக்கவும், பின்னர் தீயை அணைத்து, ஆறவைத்து, ஒரு முன்கூட்டிய உணவிற்காக சேமிக்கவும்.
மீண்டும் சூடுபடுத்த: நடுத்தர-அதிக வெப்பத்தில் மீண்டும் சூடாக்கவும். ரொட்டியை மேலோடு உருக்கி, சூடான அடுப்பில் சூடாக்கவும். ஸ்டூப் ஒரு கொதி நிலைக்கு வந்ததும், காட் மற்றும் ஸ்காலப்ஸை திரவத்தில் மடித்து அல்லது கூடு கட்டி, மீண்டும் ஒரு குமிழிக்கு வந்து, மீன் ஒளிபுகா மற்றும் சமைக்கும் வரை 5 முதல் 6 நிமிடங்கள் சமைக்கவும், பின்னர் தீயை அணைக்கவும். துடைப்பதற்காக நிறைய ரொட்டியுடன் உடனடியாக பரிமாறவும்.</t>
  </si>
  <si>
    <t>https://www.deliciousmagazine.co.uk/wp-content/uploads/2022/09/aquacotta-768x960.jpg</t>
  </si>
  <si>
    <t>Smoked Sausage and Baked Bean Soup</t>
  </si>
  <si>
    <t>புகைபிடித்த தொத்திறைச்சி மற்றும் வேகவைத்த பீன் சூப்</t>
  </si>
  <si>
    <t>1 tablespoon - vegetable oil,
20 -  smoked cocktail sausages, 
2 -  stalks celery, 
1 -  carrot, 
1 -  small onion, 
Kosher salt and freshly ground pepper,
1 14-ounce -  can cherry tomatoes,
1 15-ounce -  can white beans ,
1 8-ounce -  can baked beans,
2 cups -  low-sodium chicken broth,
2 tablespoons -  roughly chopped fresh parsley,
1 cup -  shredded cheddar cheese.</t>
  </si>
  <si>
    <t>1 தேக்கரண்டி - தாவர எண்ணெய்,
20 - புகைபிடித்த காக்டெய்ல் தொத்திறைச்சிகள்,
2 - செலரி தண்டுகள்,
1 - கேரட்,
1 - சிறிய வெங்காயம்,
கோஷர் உப்பு மற்றும் புதிதாக அரைத்த மிளகு,
1 14-அவுன்ஸ் - செர்ரி தக்காளி கேன்,
1 15-அவுன்ஸ் - வெள்ளை பீன்ஸ் கேன்,
1 8-அவுன்ஸ் - வேகவைத்த பீன்ஸ் கேன்,
2 கப் - குறைந்த சோடியம் கொண்ட சிக்கன் குழம்பு,
2 தேக்கரண்டி - தோராயமாக நறுக்கிய புதிய வோக்கோசு,
1 கப் - துண்டாக்கப்பட்ட செடார் சீஸ்.</t>
  </si>
  <si>
    <t>Heat the vegetable oil in a large pot or Dutch oven over medium-high heat. Add the sausages and cook, stirring occasionally, until lightly browned and crisp, about 5 minutes. Transfer to a plate with a slotted spoon.
Add the celery, carrot and onion to the pot and cook, stirring occasionally, until slightly softened, about 5 minutes. Season with salt and pepper. Add the cherry tomatoes, white beans (and their liquid), baked beans, chicken broth and 2 1/2 cups water.
 Bring to a boil, then reduce the heat to medium and continue cooking until the soup thickens slightly and the tomatoes just start bursting, about 20 minutes.
Return the sausages to the pot along with the parsley; season with salt and pepper. Top each serving of soup with the cheese.</t>
  </si>
  <si>
    <t>ஒரு பெரிய தொட்டியில் அல்லது டச்சு அடுப்பில் தாவர எண்ணெயை நடுத்தர உயர் வெப்பத்தில் சூடாக்கவும். தொத்திறைச்சிகளைச் சேர்த்து, அவ்வப்போது கிளறி, லேசாக பழுப்பு நிறமாகவும் மொறுமொறுப்பாகவும், சுமார் 5 நிமிடங்கள் சமைக்கவும். துளையிடப்பட்ட கரண்டியால் ஒரு தட்டில் மாற்றவும்.
செலரி, கேரட் மற்றும் வெங்காயத்தை பானையில் சேர்த்து, அவ்வப்போது கிளறி, சிறிது மென்மையாகும் வரை, சுமார் 5 நிமிடங்கள் சமைக்கவும். உப்பு மற்றும் மிளகு சேர்த்து சுவைக்கவும். செர்ரி தக்காளி, வெள்ளை பீன்ஸ் (மற்றும் அதன் திரவம்), வேகவைத்த பீன்ஸ், சிக்கன் குழம்பு மற்றும் 2 1/2 கப் தண்ணீர் சேர்க்கவும்.
கொதி நிலைக்கு கொண்டு வந்து, பின்னர் தீயை நடுத்தரமாகக் குறைத்து, சூப் சிறிது கெட்டியாகும் வரை மற்றும் தக்காளி வெடிக்கத் தொடங்கும் வரை, சுமார் 20 நிமிடங்கள் சமைக்கவும்.
தொத்திறைச்சிகளை மீண்டும் பானையில் பார்ஸ்லியுடன் சேர்த்து வைக்கவும்; உப்பு மற்றும் மிளகு சேர்த்து சுவைக்கவும். சூப்பின் ஒவ்வொரு பரிமாறலின் மேல் சீஸ் தூவவும்.</t>
  </si>
  <si>
    <t>https://encrypted-tbn0.gstatic.com/images?q=tbn:ANd9GcRkR2JVdZy5E30fD-eRRDyIhwfUvuHKbi_c7w&amp;s</t>
  </si>
  <si>
    <t>Shrimp Noodle Bowl</t>
  </si>
  <si>
    <t>இறால் நூடுல்ஸ் கிண்ணம்</t>
  </si>
  <si>
    <t>8 cups -  low-sodium chicken stock,
2 cups -  frozen peas,
2 cups -  frozen carrot slices,
2 tablespoons -  toasted sesame oil,
2 tablespoons -  soy sauce,
2 tablespoons -  Szechuan stir-fry sauce,
10 ounces -  fresh yaki-soba,
1 pound -  cooked medium shrimp.</t>
  </si>
  <si>
    <t>8 கப் - குறைந்த சோடியம் சிக்கன் குழம்பு,
2 கப் - உறைந்த பட்டாணி,
2 கப் - உறைந்த கேரட் துண்டுகள்,
2 தேக்கரண்டி - வறுக்கப்பட்ட எள் எண்ணெய்,
2 தேக்கரண்டி - சோயா சாஸ்,
2 தேக்கரண்டி - செச்சுவான் ஸ்டிர்-ஃப்ரை சாஸ்,
10 அவுன்ஸ் - புதிய யாகி-சோபா,
1 பவுண்டு - சமைத்த நடுத்தர இறால்.</t>
  </si>
  <si>
    <t>To a large pot over medium-high heat, add all ingredients except noodles and shrimp. Bring to boil; reduce to simmer for 6 minutes. 
Add noodles and return to simmer for 2 minutes. Add shrimp and return to simmer until shrimp are heated through, about 1 to 2 minutes.
Using tongs, divide noodles into serving bowls, add shrimp and ladle in stock.</t>
  </si>
  <si>
    <t>நடுத்தர-அதிக வெப்பத்தில் ஒரு பெரிய தொட்டியில், நூடுல்ஸ் மற்றும் இறால் தவிர அனைத்து பொருட்களையும் சேர்க்கவும். கொதிக்க விடவும்; 6 நிமிடங்கள் கொதிக்க விடவும்.
நூடுல்ஸைச் சேர்த்து 2 நிமிடங்கள் கொதிக்க வைக்கவும். இறாலைச் சேர்த்து, இறால் சூடாக்கும் வரை சுமார் 1 முதல் 2 நிமிடங்கள் வரை கொதிக்க வைக்கவும்.
இடுக்கியைப் பயன்படுத்தி, நூடுல்ஸை பரிமாறும் கிண்ணங்களாகப் பிரித்து, இறால் மற்றும் கரண்டியை கையிருப்பில் வைக்கவும்.</t>
  </si>
  <si>
    <t>https://www.tasteofhome.com/wp-content/uploads/2018/01/Shrimp-n-Noodle-Bowls_EXPS_SDAM19_39890_C12_11_3b-1-1.jpg</t>
  </si>
  <si>
    <t>Butternut Squash Soup</t>
  </si>
  <si>
    <t>பட்டர்நட் ஸ்குவாஷ் சூப்</t>
  </si>
  <si>
    <t>One 2- to 3-pound -  butternut squash, 
2 tablespoons -  unsalted butter,
1  - medium onion, 
6 cups -  chicken stock,
Nutmeg,
Salt and freshly ground black pepper.</t>
  </si>
  <si>
    <t>ஒரு 2 முதல் 3 பவுண்டு எடையுள்ள பட்டர்நட் ஸ்குவாஷ்,
2 டேபிள்ஸ்பூன் - உப்பு சேர்க்காத வெண்ணெய்,
1 - நடுத்தர வெங்காயம்,
6 கப் - சிக்கன் ஸ்டாக்,
ஜாதிக்காய்,
உப்பு மற்றும் புதிதாக அரைத்த கருப்பு மிளகு.</t>
  </si>
  <si>
    <t>Cut squash into 1-inch chunks. In large pot melt butter. Add onion and cook until translucent, about 8 minutes.
 Add squash and stock. Bring to a simmer and cook until squash is tender, about 15 to 20 minutes. Remove squash chunks with slotted spoon and place in a blender and puree. Return blended squash to pot. Stir and season with nutmeg, salt, and pepper. Serve.</t>
  </si>
  <si>
    <t>ஸ்குவாஷை 1 அங்குல துண்டுகளாக நறுக்கவும். ஒரு பெரிய பாத்திரத்தில் வெண்ணெய் உருக்கவும். வெங்காயத்தைச் சேர்த்து, வெளிப்படையான வரை சுமார் 8 நிமிடங்கள் சமைக்கவும்.
ஸ்குவாஷ் மற்றும் ஸ்டாக் சேர்க்கவும். ஒரு கொதி நிலைக்கு கொண்டு வந்து ஸ்குவாஷ் மென்மையாகும் வரை சுமார் 15 முதல் 20 நிமிடங்கள் சமைக்கவும். துளையிடப்பட்ட கரண்டியால் ஸ்குவாஷ் துண்டுகளை அகற்றி, ஒரு பிளெண்டரில் போட்டு கூழ் செய்யவும். கலந்த ஸ்குவாஷை மீண்டும் பானையில் வைக்கவும். ஜாதிக்காய், உப்பு மற்றும் மிளகு சேர்த்து கிளறி, பரிமாறவும்.</t>
  </si>
  <si>
    <t>https://encrypted-tbn0.gstatic.com/images?q=tbn:ANd9GcSeCCHpTHvftmZhYY3KmmnCzh2ipKspl4To7A&amp;s</t>
  </si>
  <si>
    <t>French Three Onion Soup</t>
  </si>
  <si>
    <t>பிரஞ்சு மூன்று வெங்காய சூப்</t>
  </si>
  <si>
    <t>1 tablespoon -  unsalted butter,
1 teaspoon -  extra-virgin olive oil,
1 1/2 pounds -  yellow onions, peeled,(about 6 cups sliced)
6 -  shallots, 
1 -  leek, 
Kosher salt and freshly ground black pepper,
3 to 4 -  fresh thyme sprigs,
1 -  fresh rosemary sprig,
1 tablespoon -  all-purpose flour,
4 cups -  low-sodium beef broth,
2 cups -  water,
2 teaspoons -  Worcestershire sauce,
1/4 cup -  dry sherry,
8 (1/4-inch thick) -  slices whole-wheat baguette,
1/2 cup -  finely grated Gruyere,
1 tablespoon -  chopped fresh chives.</t>
  </si>
  <si>
    <t>1 தேக்கரண்டி - உப்பு சேர்க்காத வெண்ணெய்,
1 தேக்கரண்டி - கூடுதல் கன்னி ஆலிவ் எண்ணெய்,
1 1/2 பவுண்டுகள் - மஞ்சள் வெங்காயம், உரிக்கப்பட்டது, (சுமார் 6 கப் வெட்டப்பட்டது)
6 - வெங்காயத்தாள்,
1 - லீக்,
கோஷர் உப்பு மற்றும் புதிதாக அரைத்த கருப்பு மிளகு,
3 முதல் 4 - புதிய தைம் தளிர்கள்,
1 - புதிய ரோஸ்மேரி தளிர்,
1 தேக்கரண்டி - அனைத்து நோக்கங்களுக்காகவும் பயன்படுத்தக்கூடிய மாவு,
4 கப் - குறைந்த சோடியம் மாட்டிறைச்சி குழம்பு,
2 கப் - தண்ணீர்,
2 தேக்கரண்டி - வொர்செஸ்டர்ஷைர் சாஸ்,
1/4 கப் - உலர்ந்த ஷெர்ரி,
8 (1/4-அங்குல தடிமன்) - முழு கோதுமை பக்கோடா துண்டுகள்,
1/2 கப் - நன்றாக துருவிய க்ரூயெர்,
1 தேக்கரண்டி - நறுக்கிய புதிய வெங்காயத்தாள்.</t>
  </si>
  <si>
    <t>Heat the butter and oil together in a Dutch oven over medium heat. Add the onions, shallots and leek, and season with salt and pepper, to taste. Stir to combine and cover. Cook, without stirring until the onions are soft and beginning to brown, about 10 to 15 minutes.
Uncover, and continue to cook, stirring often, until the onions are a rich brown color and well caramelized, about 25 to 30 minutes. (If the onions begin to stick to the bottom of the pan or burn add about a 1 tablespoon water at a time.) Meanwhile, tie the reserved leek top with the thyme and rosemary using a piece of kitchen twine.
Sprinkle the flour over the onions and cook, stirring, to cook out the raw flour taste, about 2 to 3 minutes. Stir in the broth and 2 cups water, scraping any browned bits from the bottom of the pan; add the herb bundle. Reduce the heat and simmer until thickened, 20 to 25 minutes. Stir in the Worcestershire and remove from the heat. 
Discard the herb bundle, stir in the sherry and season, to taste, with salt and pepper.
Preheat the broiler. Divide the soup between 4 (16-ounce) oven proof bowls or ramekins and arrange them on a baking sheet. 
Top each bowl evenly with 2 baguette slices and top with the cheese. Put under the broiler until the cheese is melted and lightly browned, about 1 minute. Sprinkle with the chives and serve.</t>
  </si>
  <si>
    <t>வெண்ணெய் மற்றும் எண்ணெயை டச்சு அடுப்பில் மிதமான தீயில் சூடாக்கவும். வெங்காயம், வெங்காயத்தாள் மற்றும் லீக் ஆகியவற்றைச் சேர்த்து, சுவைக்க உப்பு மற்றும் மிளகு சேர்த்து தாளிக்கவும். ஒன்றாகக் கிளறி மூடி வைக்கவும். வெங்காயம் மென்மையாகி, பழுப்பு நிறமாக மாறத் தொடங்கும் வரை, கிளறாமல் சுமார் 10 முதல் 15 நிமிடங்கள் சமைக்கவும்.
மூடியை அகற்றி, வெங்காயம் ஒரு பணக்கார பழுப்பு நிறமாகவும், நன்கு கேரமல் ஆகும் வரை, சுமார் 25 முதல் 30 நிமிடங்கள் வரை அடிக்கடி கிளறி, சமைக்கவும். (வெங்காயம் வாணலியின் அடிப்பகுதியில் ஒட்ட ஆரம்பித்தால் அல்லது எரிய ஆரம்பித்தால், ஒரு நேரத்தில் சுமார் 1 தேக்கரண்டி தண்ணீர் சேர்க்கவும்.) இதற்கிடையில், ஒதுக்கப்பட்ட லீக்கின் மேற்புறத்தை தைம் மற்றும் ரோஸ்மேரியுடன் சமையலறை கயிறு பயன்படுத்தி கட்டவும்.
வெங்காயத்தின் மீது மாவைத் தூவி, பச்சை மாவின் சுவையை சமைக்க, கிளறி, சுமார் 2 முதல் 3 நிமிடங்கள் சமைக்கவும். குழம்பு மற்றும் 2 கப் தண்ணீரைச் சேர்த்து, வாணலியின் அடிப்பகுதியில் இருந்து பழுப்பு நிறமாக இருக்கும் துண்டுகளை சுரண்டி எடுக்கவும்; மூலிகை மூட்டையைச் சேர்க்கவும். தீயைக் குறைத்து, 20 முதல் 25 நிமிடங்கள் வரை கெட்டியாகும் வரை சமைக்கவும். வொர்செஸ்டர்ஷையரைச் சேர்த்து, அடுப்பிலிருந்து இறக்கவும்.
மூலிகை மூட்டையை நிராகரித்து, ஷெர்ரியைச் சேர்த்து, சுவைக்க உப்பு மற்றும் மிளகு சேர்த்து தாளிக்கவும்.
பிராய்லரை முன்கூட்டியே சூடாக்கவும். சூப்பை 4 (16-அவுன்ஸ்) ஓவன் ப்ரூஃப் கிண்ணங்கள் அல்லது ரமேக்கின்களுக்கு இடையில் பிரித்து, அவற்றை ஒரு பேக்கிங் தாளில் அடுக்கி வைக்கவும்.
ஒவ்வொரு கிண்ணத்தின் மீதும் 2 பக்கோடா துண்டுகளை சமமாக மேலே வைத்து, சீஸ் மேலே தடவவும். சீஸ் உருகி லேசாக பழுப்பு நிறமாக மாறும் வரை, சுமார் 1 நிமிடம் பிராய்லரின் அடியில் வைக்கவும். சீவ்ஸைத் தூவி பரிமாறவும்.</t>
  </si>
  <si>
    <t>https://encrypted-tbn0.gstatic.com/images?q=tbn:ANd9GcQS1Jw8t_ajg5ZoNCEdrQcRVU8lCc18X_bqHQ&amp;s</t>
  </si>
  <si>
    <t>Instant Pot Butternut Squash Soup</t>
  </si>
  <si>
    <t>உடனடி பானை பட்டர்நட் ஸ்குவாஷ் சூப்</t>
  </si>
  <si>
    <t>5 ounces -  pancetta, 
2 -  medium carrots, 
1 -  stalk celery, 
1/2 -  medium onion, 
4 -  large sage leaves, 
1/2 teaspoon -  ground cumin,
Kosher salt and freshly ground black pepper,
7 cups -  butternut squash cut into 1-inch pieces,
3 cups -  chicken stock,
1 cup -  cream,
8 ounces - small white button mushrooms,
Pinch ground cumin,
Kosher salt,
Creme fraiche or full-fat Greek yogurt, 
Minced chives.</t>
  </si>
  <si>
    <t>5 அவுன்ஸ் - பான்செட்டா,
2 - நடுத்தர கேரட்,
1 - தண்டு செலரி,
1/2 - நடுத்தர வெங்காயம்,
4 - பெரிய முனிவர் இலைகள்,
1/2 டீஸ்பூன் - அரைத்த சீரகம்,
கோஷர் உப்பு மற்றும் புதிதாக அரைத்த கருப்பு மிளகு,
7 கப் - 1 அங்குல துண்டுகளாக வெட்டப்பட்ட பட்டர்நட் ஸ்குவாஷ்,
3 கப் - சிக்கன் ஸ்டாக்,
1 கப் - கிரீம்,
8 அவுன்ஸ் - சிறிய வெள்ளை பட்டன் காளான்கள்,
சிறிது சீரகம்,
கோஷர் உப்பு,
கிரீம் ஃப்ரைச் அல்லது முழு கொழுப்புள்ள கிரேக்க தயிர்,
துண்டு துண்டாக்கப்பட்ட சீவ்ஸ்.</t>
  </si>
  <si>
    <t xml:space="preserve"> Set a 6- or 8-quart Instant Pot® to medium saute setting (see Cook's Note) and line a plate with a paper towel. Add the pancetta to the pot and cook, stirring occasionally, until crisp and the fat is rendered, about 8 minutes. Remove the pancetta with a slotted spoon to the lined plate. Drain all but 2 tablespoons of the drippings from the pot and reserve.
Add the carrots, celery, onion, sage, cumin, 2 teaspoons salt and 1/4 teaspoon pepper to the pot and cook, stirring occasionally, until the vegetables have softened, about 5 minutes. Add the squash and chicken stock. Follow the manufacturer's guide for locking the lid and preparing to cook. Set to pressure cook on high for 25 minutes. 
After the pressure cook cycle is complete, follow the manufacturer's guide for quick release and wait until the quick release cycle is complete. Be careful of any remaining steam and unlock and remove the lid. Use an immersion blender to puree the soup until smooth. Use the cream or water to thin the soup to the desired consistency. Season with additional salt and pepper.  
For the toppings: Meanwhile, heat 1 tablespoon of the reserved pancetta fat in a medium skillet over medium-high heat. Add the mushrooms, cumin and a generous pinch of salt. Cook, stirring occasionally, until the mushrooms have released all their liquid and turned brown and slightly crisp, 10 to 20 minutes.
 Remove the mushrooms and set aside for the topping.
Ladle the soup into bowls and serve topped with the crisp pancetta, mushrooms, creme fraiche and chives.</t>
  </si>
  <si>
    <t>6 அல்லது 8-குவார்ட்டர் இன்ஸ்டன்ட் பாட்® ஐ நடுத்தர வதக்கிய அமைப்பை அமைக்கவும் (குக்கின் குறிப்பைப் பார்க்கவும்) மற்றும் ஒரு தட்டில் ஒரு காகித துண்டுடன் வரிசைப்படுத்தவும். பானையில் பான்செட்டாவைச் சேர்த்து, அவ்வப்போது கிளறி, மொறுமொறுப்பாகவும், கொழுப்பு மாறும் வரை, சுமார் 8 நிமிடங்கள் சமைக்கவும். வரிசைப்படுத்தப்பட்ட தட்டில் ஒரு துளையிடப்பட்ட கரண்டியால் பான்செட்டாவை அகற்றவும். பானையிலிருந்து 2 தேக்கரண்டி சொட்டுகளைத் தவிர மற்ற அனைத்தையும் வடிகட்டி ஒதுக்கி வைக்கவும்.
கேரட், செலரி, வெங்காயம், முனிவர், சீரகம், 2 டீஸ்பூன் உப்பு மற்றும் 1/4 டீஸ்பூன் மிளகு ஆகியவற்றை பாத்திரத்தில் சேர்த்து, அவ்வப்போது கிளறி, காய்கறிகள் மென்மையாகும் வரை சுமார் 5 நிமிடங்கள் சமைக்கவும். ஸ்குவாஷ் மற்றும் சிக்கன் ஸ்டாக் சேர்க்கவும். மூடியைப் பூட்டி சமைக்கத் தயாரிப்பதற்கான உற்பத்தியாளரின் வழிகாட்டியைப் பின்பற்றவும். 25 நிமிடங்கள் அதிக அழுத்தத்தில் சமைக்கவும்.
பிரஷர் குக் சுழற்சி முடிந்ததும், விரைவான வெளியீட்டிற்கான உற்பத்தியாளரின் வழிகாட்டியைப் பின்பற்றி விரைவான வெளியீட்டு சுழற்சி முடியும் வரை காத்திருக்கவும். மீதமுள்ள நீராவி குறித்து கவனமாக இருங்கள் மற்றும் மூடியைத் திறந்து அகற்றவும். சூப்பை மென்மையாகும் வரை ப்யூரி செய்ய ஒரு மூழ்கும் கலப்பான் பயன்படுத்தவும். விரும்பிய நிலைத்தன்மைக்கு சூப்பை மெல்லியதாக மாற்ற கிரீம் அல்லது தண்ணீரைப் பயன்படுத்தவும். கூடுதல் உப்பு மற்றும் மிளகு சேர்த்துத் தாளிக்கவும்.
டாப்பிங்ஸுக்கு: இதற்கிடையில், 1 டேபிள் ஸ்பூன் ஒதுக்கப்பட்ட பான்செட்டா கொழுப்பை ஒரு நடுத்தர வாணலியில் நடுத்தர-அதிக வெப்பத்தில் சூடாக்கவும். காளான்கள், சீரகம் மற்றும் ஒரு சிட்டிகை உப்பு சேர்க்கவும். காளான்கள் அவற்றின் அனைத்து திரவத்தையும் வெளியிட்டு பழுப்பு நிறமாகவும் சற்று மொறுமொறுப்பாகவும் மாறும் வரை, 10 முதல் 20 நிமிடங்கள் வரை சமைக்கவும்.
காளான்களை அகற்றி, டாப்பிங்கிற்காக ஒதுக்கி வைக்கவும்.
டாப்பிங்ஸுக்கு: இதற்கிடையில், 1 டேபிள் ஸ்பூன் ஒதுக்கப்பட்ட பான்செட்டா கொழுப்பை நடுத்தர-அதிக வெப்பத்தில் சூடாக்கவும். காளான்கள், சீரகம் மற்றும் ஒரு சிட்டிகை உப்பு சேர்க்கவும். காளான்கள் அவற்றின் அனைத்து திரவத்தையும் வெளியிட்டு பழுப்பு நிறமாகவும் சற்று மொறுமொறுப்பாகவும் மாறும் வரை, 10 முதல் 20 நிமிடங்கள் வரை சமைக்கவும்.
காளான்களை அகற்றி, டாப்பிங்கிற்காக ஒதுக்கி வைக்கவும்.
சூப்பை கிண்ணங்களில் ஊற்றி, அதன் மேல் மொறுமொறுப்பான பான்செட்டா, காளான்கள், க்ரீம் ஃப்ரைச் மற்றும் சீவ்ஸ் ஆகியவற்றைச் சேர்த்துப் பரிமாறவும்.</t>
  </si>
  <si>
    <t>https://cdn.apartmenttherapy.info/image/upload/v1603476041/k/Photo/Recipes/2020-10-Instant-Pot-Butternut-Squash-Soup/2020-10-14_ATK_30989.jpg</t>
  </si>
  <si>
    <t>Roasted Butternut Squash Soup</t>
  </si>
  <si>
    <t>வறுத்த பட்டர்நட் ஸ்குவாஷ் சூப்</t>
  </si>
  <si>
    <t>2 tablespoons -  extra-virgin olive oil,
1/2 cup -   diced onion,
1/4 cup - diced celery,
1/4 cup -  diced carrot,
1 -  cinnamon stick,
Sea salt, 
Freshly ground black pepper,
 4 cups -  chicken stock ,
1/2 teaspoon -  ground toasted coriander, 
1 1/2 cups - Roasted Winter Squash, 
1/2 cup -  half-and-half, 
1/4 cup -  mascarpone cheese, 
2 tablespoons -  toasted pumpkin seeds,
 3 pounds -  butternut squash,
Gray salt,
Freshly ground black pepper,
1/2 cup -  unsalted butter
2 tablespoons - finely chopped fresh sage leaves,
2 tablespoons -  granulated sugar,
1/4 cup -  balsamic vinegar,
1/4 cup -  dark unsulfured molasses,
2 teaspoons -  Toasted Spice Rub, 
1/4 cup -  fennel seeds,
1 tablespoon -  coriander seeds,
1 tablespoon -  peppercorns,
1 1/2 teaspoons -  red pepper flakes,
1/4 cup - pure California chili powder,
2 tablespoons -  kosher salt,
2 tablespoons -  ground cinnamon.</t>
  </si>
  <si>
    <t>2 டேபிள்ஸ்பூன் - கூடுதல் கன்னி ஆலிவ் எண்ணெய்,
1/2 கப் - துண்டுகளாக்கப்பட்ட வெங்காயம்,
1/4 கப் - துண்டுகளாக்கப்பட்ட செலரி,
1/4 கப் - துண்டுகளாக்கப்பட்ட கேரட்,
1 - இலவங்கப்பட்டை குச்சி,
கடல் உப்பு,
புதிதாக அரைத்த கருப்பு மிளகு,
4 கப் - சிக்கன் ஸ்டாக்,
1/2 டீஸ்பூன் - அரைத்த வறுக்கப்பட்ட கொத்தமல்லி,
1 1/2 கப் - வறுத்த குளிர்கால ஸ்குவாஷ்,
1/2 கப் - அரைத்த அரை,
1/4 கப் - மஸ்கார்போன் சீஸ்,
2 டேபிள்ஸ்பூன் - வறுக்கப்பட்ட பூசணி விதைகள்,
3 பவுண்டுகள் - பட்டர்நட் ஸ்குவாஷ்,
சாம்பல் உப்பு,
புதிதாக அரைத்த கருப்பு மிளகு,
1/2 கப் - உப்பு சேர்க்காத வெண்ணெய்
2 டேபிள்ஸ்பூன் - இறுதியாக நறுக்கிய புதிய முனிவர் இலைகள்,
2 டேபிள்ஸ்பூன் - கிரானுலேட்டட் சர்க்கரை,
1/4 கப் - பால்சாமிக் வினிகர்,
1/4 கப் - அடர் கந்தகமற்ற வெல்லப்பாகு,
2 டீஸ்பூன் - வறுக்கப்பட்ட மசாலா ரப்,
1/4 கப் - பெருஞ்சீரகம் விதைகள்,
1 தேக்கரண்டி - கொத்தமல்லி விதைகள்,
1 தேக்கரண்டி - மிளகுத்தூள்,
1 1/2 தேக்கரண்டி - சிவப்பு மிளகுத் துண்டுகள்,
1/4 கப் - தூய கலிபோர்னியா மிளகாய் தூள்,
2 தேக்கரண்டி - கோஷர் உப்பு,
2 தேக்கரண்டி - அரைத்த இலவங்கப்பட்டை.</t>
  </si>
  <si>
    <t>Heat the olive oil in a large saucepan over medium heat until hot. Add the onion, celery, carrot, and cinnamon stick and saute until soft but not brown, about 10 minutes. Season with salt and pepper.
Add the chicken stock and the coriander, if using, and bring to a boil. Simmer for several minutes. Stir in the squash until smooth, then simmer gently to let the flavors meld, about 10 minutes. Discard the cinnamon stick.
Puree the soup in a blender until smooth. (The soup can be made ahead to this point, cooled, covered, and refrigerated for several days or frozen for about 1 month. It will thicken as it cools and may need thinning with stock or water when reheating.)
Return the soup to the pan and reheat gently. Add the half-and-half, if using. Adjust the seasoning with salt and pepper. Keep warm until service.
Ladle the soup into serving bowls. Garnish evenly, with the cheese and pumpkin seeds, if desired.
Preheat the oven to 400 degrees F. Peel the squash with a vegetable peeler. Halve lengthwise, discard the seeds, then cut into 1-inch dice. Place in a large bowl and season with salt and pepper.
Heat the butter in a medium skillet over medium-high heat. When the butter ceases to foam and has turned a light brown, pull the pan off the heat and immediately add the sage, sugar, vinegar (stand back so as not to get splattered), molasses and toasted spice rub. Mix well and let simmer over medium-low heat for 1 to 2 minutes to meld the flavors.
Pour the vinegar mixture over the squash and toss well, then transfer to a heavy rimmed baking sheet or baking dish large enough to hold the squash in a single layer. Place in the oven and roast, tossing at least once, until very tender and caramelized, about 45 minutes to 1 hour. Set aside until cool enough to handle but still warm, so the liquids are runny.
Working in batches, if necessary, transfer the warm squash and all the cooking liquids to a food processor and process until smooth. Use immediately, refrigerate for up to 5 days, or freeze for up to 2 months.
Serving suggestions: Serve the puree on its own as a side dish for roast chicken, turkey, or pork; stir into polenta just before the end of cooking; use as a stuffing for ravioli; make into a soup; or use to flavor pastina. Or omit the sage, season with ground cinnamon and freshly grated nutmeg to taste, and use as a substitute for canned 
Toast the fennel seeds, coriander seeds, and peppercorns in a small, heavy pan over medium heat. When the fennel turns light brown, work quickly. Turn on the exhaust fan, add the red pepper flakes, and toss, toss, toss, always under the fan. Immediately turn the spice mixture out onto a plate to cool.
Put mixture into a blender with the chili powder, salt, and cinnamon and blend until the spices are evenly ground. If you have a small spice mill or a coffee grinder dedicated to grinding spices, grind only the fennel, coriander, pepper, and chili flakes. 
Pour into a bowl and toss with the remaining ingredients. Keep the spice mix in a glass jar in a cool, dry place, or freeze.</t>
  </si>
  <si>
    <t>ஒரு பெரிய வாணலியில் ஆலிவ் எண்ணெயை மிதமான தீயில் சூடாக்கவும். வெங்காயம், செலரி, கேரட் மற்றும் இலவங்கப்பட்டை குச்சியைச் சேர்த்து, மென்மையாக ஆனால் பழுப்பு நிறமாக இல்லாத வரை சுமார் 10 நிமிடங்கள் வதக்கவும். உப்பு மற்றும் மிளகு சேர்த்துப் வதக்கவும்.
சிக்கன் குழம்பு மற்றும் கொத்தமல்லி, பயன்படுத்தினால், சேர்த்து ஒரு கொதி நிலைக்கு கொண்டு வாருங்கள். பல நிமிடங்கள் வேகவைக்கவும். ஸ்குவாஷை மென்மையாகும் வரை கிளறி, பின்னர் சுவைகள் கலக்க மெதுவாக, சுமார் 10 நிமிடங்கள் வேகவைக்கவும். இலவங்கப்பட்டை குச்சியை அப்புறப்படுத்துங்கள்.
சூப்பை ஒரு பிளெண்டரில் மென்மையாகும் வரை ப்யூரி செய்யவும். (சூப்பை இந்த நிலைக்கு முன்பே தயாரிக்கலாம், குளிர்ந்து, மூடி, பல நாட்கள் குளிர்சாதன பெட்டியில் வைக்கலாம் அல்லது சுமார் 1 மாதம் உறைய வைக்கலாம். அது குளிர்ந்ததும் கெட்டியாகிவிடும், மீண்டும் சூடுபடுத்தும்போது குழம்பு அல்லது தண்ணீரில் நீர்த்த வேண்டியிருக்கும்.)
சூப்பை வாணலியில் திருப்பி மெதுவாக மீண்டும் சூடுபடுத்தவும். பயன்படுத்தினால், பாதியைச் சேர்க்கவும். உப்பு மற்றும் மிளகு சேர்த்து மசாலாவை சரிசெய்யவும். பரிமாறும் வரை சூடாக வைக்கவும்.
பரிமாறும் கிண்ணங்களில் சூப்பை ஊற்றவும். விரும்பினால், சீஸ் மற்றும் பூசணி விதைகளுடன் சமமாக அலங்கரிக்கவும்.
அடுப்பை 400 டிகிரி F க்கு முன்கூட்டியே சூடாக்கவும். காய்கறி தோலுரிப்பான் மூலம் பூசணிக்காயை உரிக்கவும். நீளவாக்கில் பாதியாக வெட்டி, விதைகளை நிராகரித்து, பின்னர் 1 அங்குல துண்டுகளாக வெட்டவும். ஒரு பெரிய கிண்ணத்தில் வைத்து உப்பு மற்றும் மிளகு சேர்த்து தாளிக்கவும்.
வெண்ணெயை நடுத்தர உயர் வெப்பத்தில் நடுத்தர வாணலியில் சூடாக்கவும். வெண்ணெய் நுரை வருவதை நிறுத்தி, லேசான பழுப்பு நிறமாக மாறியதும், பாத்திரத்தை அடுப்பிலிருந்து எடுத்து உடனடியாக சேஜ், சர்க்கரை, வினிகர் (தெரியாமல் இருக்க பின்னால் நிற்கவும்), வெல்லப்பாகு மற்றும் வறுத்த மசாலாவைச் சேர்க்கவும். நன்கு கலந்து, சுவைகள் ஒன்றிணைக்க 1 முதல் 2 நிமிடங்கள் நடுத்தர-குறைந்த வெப்பத்தில் கொதிக்க விடவும்.
ஸ்குவாஷின் மீது வினிகர் கலவையை ஊற்றி நன்கு கிளறி, பின்னர் ஸ்குவாஷை ஒரு அடுக்கில் வைத்திருக்கும் அளவுக்கு பெரிய தடிமனான விளிம்பு பேக்கிங் தாள் அல்லது பேக்கிங் டிஷுக்கு மாற்றவும். அடுப்பில் வைத்து, வறுக்கவும், குறைந்தது ஒரு முறையாவது, மிகவும் மென்மையாகவும், கேரமல் ஆகவும், சுமார் 45 நிமிடங்கள் முதல் 1 மணி நேரம் வரை கிளறவும். கையாள போதுமான அளவு குளிர்ச்சியடையும் வரை, ஆனால் இன்னும் சூடாக இருக்கும் வரை ஒதுக்கி வைக்கவும், இதனால் திரவங்கள் திரவமாக இருக்கும்.
தொகுதிகளாக வேலை செய்தால், தேவைப்பட்டால், சூடான ஸ்குவாஷ் மற்றும் அனைத்து சமையல் திரவங்களையும் ஒரு உணவு செயலிக்கு மாற்றி, சீரான வரை பதப்படுத்தவும். உடனடியாகப் பயன்படுத்தவும், 5 நாட்கள் வரை குளிர்சாதன பெட்டியில் வைக்கவும் அல்லது 2 மாதங்கள் வரை உறைய வைக்கவும்.
பரிமாறும் பரிந்துரைகள்: வறுத்த கோழி, வான்கோழி அல்லது பன்றி இறைச்சிக்கு ஒரு பக்க உணவாக ப்யூரியை தனியாக பரிமாறவும்; சமையல் முடிவதற்கு சற்று முன்பு பொலெண்டாவில் கிளறவும்; ரவியோலிக்கு ஒரு நிரப்பியாகப் பயன்படுத்தவும்; சூப் தயாரிக்கவும்; அல்லது பாஸ்டினாவை சுவைக்க பயன்படுத்தவும். அல்லது முனிவரைத் தவிர்த்து, அரைத்த இலவங்கப்பட்டை மற்றும் புதிதாக அரைத்த ஜாதிக்காயுடன் சுவைக்கவும், பதிவு செய்யப்பட்டதற்கு மாற்றாகப் பயன்படுத்தவும்
பெருஞ்சீரகம் விதைகள், கொத்தமல்லி விதைகள் மற்றும் மிளகுத்தூள் ஆகியவற்றை நடுத்தர வெப்பத்தில் ஒரு சிறிய, கனமான பாத்திரத்தில் வறுக்கவும். பெருஞ்சீரகம் வெளிர் பழுப்பு நிறமாக மாறும்போது, ​​விரைவாக வேலை செய்யவும். எக்ஸாஸ்ட் ஃபேனை இயக்கி, சிவப்பு மிளகுத் துண்டுகளைச் சேர்த்து, எப்போதும் ஃபேனின் அடியில், கிளறி, கிளறி, கிளறி, கிளறி, கிளறி, கிளறி, மசாலா கலவையை உடனடியாக ஒரு தட்டில் வைத்து குளிர்விக்க விடுங்கள்.
மிளகாய்த் தூள், உப்பு மற்றும் இலவங்கப்பட்டை சேர்த்து, மசாலாப் பொருட்கள் சமமாக அரைக்கும் வரை கலக்கவும். உங்களிடம் ஒரு சிறிய மசாலா ஆலை அல்லது மசாலாப் பொருட்களை அரைக்க அர்ப்பணிக்கப்பட்ட காபி கிரைண்டர் இருந்தால், பெருஞ்சீரகம், கொத்தமல்லி, மிளகு மற்றும் மிளகாய்த் துண்டுகளை மட்டும் அரைக்கவும்.
ஒரு கிண்ணத்தில் ஊற்றி மீதமுள்ள பொருட்களுடன் கலக்கவும். மசாலா கலவையை ஒரு கண்ணாடி ஜாடியில் குளிர்ந்த, உலர்ந்த இடத்தில் வைக்கவும் அல்லது உறைய வைக்கவும்.</t>
  </si>
  <si>
    <t>https://feelgoodfoodie.net/wp-content/uploads/2023/09/Roasted-Butternut-Squash-Soup-TIMG.jpg</t>
  </si>
  <si>
    <t>Squash Soup in Pumpkin Bowls</t>
  </si>
  <si>
    <t>பூசணிக்காய் கிண்ணங்களில் ஸ்குவாஷ் சூப்</t>
  </si>
  <si>
    <t>4  - small baking pumpkins,
2 -  teaspoons sugar,
Kosher salt
3 tablespoons - unsalted butter,
1/2 -  small onion, 
2 -  sprigs thyme,
1 -  medium butternut , 
1 teaspoon -  sugar,
3 tablespoons -  heavy cream,
Freshly ground pepper,
Pepitas ,
Sourdough ,s
Paprika, 
Crisp prosciutto, 
Fried onions,
Fried sage or parsley leaves.</t>
  </si>
  <si>
    <t>4 - சிறிய பேக்கிங் பூசணிக்காய்கள்,
2 - டீஸ்பூன் சர்க்கரை,
கோஷர் உப்பு
3 டேபிள்ஸ்பூன் - உப்பு சேர்க்காத வெண்ணெய்,
1/2 - சிறிய வெங்காயம்,
2 - தைம் கிளைகள்,
1 - நடுத்தர பட்டர்நட்,
1 டீஸ்பூன் - சர்க்கரை,
3 டேபிள்ஸ்பூன் - கனமான கிரீம்,
புதிதாக அரைத்த மிளகு,
பெபிடாஸ்,
புளிப்பு,கள்
பாப்ரிகா,
மிருதுவான புரோசியூட்டோ,
வறுத்த வெங்காயம்,
வறுத்த முளை அல்லது வோக்கோசு இலைகள்.</t>
  </si>
  <si>
    <t xml:space="preserve"> Preheat the oven to 400 degrees F. Use a paring knife to cut a large circle around the stem of each pumpkin (make a zigzag cut, if desired). Remove the lid and scoop out the seeds and fibers. Sprinkle the inside of each with 1/2 teaspoon each sugar and salt. Place the pumpkins and lids on a baking sheet; roast until tender, 20 to 35 minutes, depending on their size. 
Meanwhile, make the soup: Melt the butter in a large saucepan over low heat. Add the onion and 1 teaspoon salt. Strip the thyme leaves into the pot, increase the heat to medium and cook, stirring occasionally, until the onion is soft, about 5 minutes.
 Add the squash and sugar and cook, stirring, until glazed, 3 to 4 minutes. Add 5 cups water and bring to a boil. Reduce the heat to low and simmer, uncovered, until the squash is tender, 15 to 20 minutes. 
Working in batches, transfer the soup to a blender, crack the lid to let steam escape and puree until smooth; return to the saucepan (or puree directly in the pan with an immersion blender). Stir in the heavy cream, if desired. Season with salt and pepper, and top as desired. </t>
  </si>
  <si>
    <t>அடுப்பை 400 டிகிரி F க்கு முன்கூட்டியே சூடாக்கவும். ஒவ்வொரு பூசணிக்காயின் தண்டைச் சுற்றி ஒரு பெரிய வட்டத்தை வெட்ட ஒரு பாரிங் கத்தியைப் பயன்படுத்தவும் (விரும்பினால் ஜிக்ஜாக் கட் செய்யவும்). மூடியை அகற்றி விதைகள் மற்றும் நார்களை வெளியே எடுக்கவும். ஒவ்வொன்றின் உட்புறத்திலும் 1/2 டீஸ்பூன் சர்க்கரை மற்றும் உப்பு தெளிக்கவும். பூசணிக்காய்கள் மற்றும் மூடிகளை ஒரு பேக்கிங் தாளில் வைக்கவும்; மென்மையான வரை வறுக்கவும், அவற்றின் அளவைப் பொறுத்து 20 முதல் 35 நிமிடங்கள் வரை.
இதற்கிடையில், சூப் தயாரிக்கவும்: ஒரு பெரிய வாணலியில் வெண்ணெயை குறைந்த தீயில் உருக்கவும். வெங்காயம் மற்றும் 1 டீஸ்பூன் உப்பு சேர்க்கவும். பாத்திரத்தில் தைம் இலைகளை அகற்றி, தீயை நடுத்தரமாக அதிகரித்து, அவ்வப்போது கிளறி, வெங்காயம் மென்மையாகும் வரை, சுமார் 5 நிமிடங்கள் சமைக்கவும்.
ஸ்குவாஷ் மற்றும் சர்க்கரையைச் சேர்த்து, கிளறி, 3 முதல் 4 நிமிடங்கள் வரை சமைக்கவும். 5 கப் தண்ணீர் சேர்த்து ஒரு கொதி நிலைக்கு கொண்டு வாருங்கள். தீயைக் குறைத்து, ஸ்குவாஷ் மென்மையாகும் வரை, 15 முதல் 20 நிமிடங்கள் வரை மூடி இல்லாமல் இளங்கொதிவாக்கவும்.
தொகுதிகளாக வேலை செய்து, சூப்பை ஒரு பிளெண்டருக்கு மாற்றி, மூடியை உடைத்து நீராவி வெளியேறும் வரை மென்மையாகும் வரை பிசையவும்; மீண்டும் பாத்திரத்தில் வைக்கவும் (அல்லது நேரடியாக ஒரு அமிர்ஷன் பிளெண்டரைப் பயன்படுத்தி வாணலியில் ப்யூரி செய்யவும்). விரும்பினால், கனமான கிரீம் சேர்த்து கிளறவும். உப்பு மற்றும் மிளகு சேர்த்து, விரும்பியபடி மேலே தெளிக்கவும்.</t>
  </si>
  <si>
    <t>https://food.fnr.sndimg.com/content/dam/images/food/fullset/2010/8/30/3/FNM_100110-Cover-021_s4x3.jpg.rend.hgtvcom.616.462.suffix/1382539497855.webp</t>
  </si>
  <si>
    <t>Quick Chick and Noodle Soup</t>
  </si>
  <si>
    <t>விரைவு சிக்கன் மற்றும் நூடுல் சூப்</t>
  </si>
  <si>
    <t xml:space="preserve">2 tablespoons -  extra-virgin olive oil,
2 -  medium carrots, 
1 -  parsnip,
1 -  medium onion, 
2 -  ribs celery, 
2 -  bay leaves, 
Salt and pepper,
6 cups -  good quality chicken stock,
1 pound - chicken breast tenders, 
1/2 pound - wide egg noodles,
A handful fresh parsley, 
A handul fresh dill.
</t>
  </si>
  <si>
    <t>2 டேபிள்ஸ்பூன் - கூடுதல் கன்னி ஆலிவ் எண்ணெய்,
2 - நடுத்தர கேரட்,
1 - வோக்கோசு,
1 - நடுத்தர வெங்காயம்,
2 - விலா எலும்புகள் செலரி,
2 - வளைகுடா இலைகள்,
உப்பு மற்றும் மிளகு,
6 கப் - நல்ல தரமான சிக்கன் ஸ்டாக்,
1 பவுண்டு - சிக்கன் மார்பக டெண்டர்கள்,
1/2 பவுண்டு அகலமுள்ள முட்டை நூடுல்ஸ்,
ஒரு கைப்பிடி புதிய வோக்கோசு,
ஒரு கைப்பிடி புதிய வெந்தயம்.</t>
  </si>
  <si>
    <t>Place a large pot over moderate heat and add extra-virgin olive oil. Work close to the stove and add vegetables to the pot as you chop, in the order they are listed.
Add bay leaves and season vegetables with salt and pepper, to taste. Add stock to the pot and raise flame to bring liquid to a boil. Add diced chicken tenderloins, return soup to a boil, and reduce heat back to moderate. 
Cook chicken 2 minutes and add noodles. Cook soup an additional 6 minutes or until noodles are tender and remove soup from the heat.
Stir in parsley and dill, remove bay leaves and serve. This is a thick soup. Add up to 2 cups of water if you like chicken soup with lots of broth.</t>
  </si>
  <si>
    <t>ஒரு பெரிய பாத்திரத்தை மிதமான தீயில் வைத்து கூடுதல் கன்னி ஆலிவ் எண்ணெயைச் சேர்க்கவும். அடுப்புக்கு அருகில் வைத்து, காய்கறிகளை நறுக்கிய வரிசையில் சேர்க்கவும்.
வளைகுடா இலைகளைச் சேர்த்து, சுவைக்க, காய்கறிகளை உப்பு மற்றும் மிளகுடன் தாளிக்கவும். பாத்திரத்தில் குழம்பைச் சேர்த்து, திரவத்தை கொதிக்க வைக்க தீயை உயர்த்தவும். துண்டுகளாக்கப்பட்ட சிக்கன் டெண்டர்லோயின்களைச் சேர்த்து, சூப்பை மீண்டும் கொதிக்க வைத்து, மீண்டும் மிதமான வெப்பத்திற்குக் குறைக்கவும்.
கோழியை 2 நிமிடங்கள் சமைத்து நூடுல்ஸைச் சேர்க்கவும். நூடுல்ஸ் மென்மையாகும் வரை சூப்பை கூடுதலாக 6 நிமிடங்கள் சமைக்கவும், சூப்பை வெப்பத்திலிருந்து அகற்றவும்.
பார்ஸ்லி மற்றும் வெந்தயத்தை சேர்த்து கிளறி, பிரிஞ்சி இலைகளை நீக்கி பரிமாறவும். இது ஒரு தடிமனான சூப். குழம்பு அதிகம் உள்ள சிக்கன் சூப்பை நீங்கள் விரும்பினால் 2 கப் தண்ணீர் சேர்க்கவும்.</t>
  </si>
  <si>
    <t>https://www.averiecooks.com/wp-content/uploads/2015/09/chickennoodlesoup-32.jpg</t>
  </si>
  <si>
    <t>Thai Chicken Soup</t>
  </si>
  <si>
    <t>தாய் சிக்கன் சூப்</t>
  </si>
  <si>
    <t>1 tablespoon - vegetable oil,
1 -  onion, 
2 -  cloves garlic, 
2 tablespoons -  green curry paste,
6 cups -  low-sodium chicken broth,
1 15-ounce -  can coconut milk,
1 tablespoon -  fish sauce, 
2 - red bell peppers, 
4 ounces -  thin rice noodles, 
2 -  small skinless boneless chicken breasts ,
1 tablespoon -  fresh lime juice, 
1 cup -  roughly chopped fresh cilantro.</t>
  </si>
  <si>
    <t>1 டேபிள் ஸ்பூன் - தாவர எண்ணெய்,
1 - வெங்காயம்,
2 - பூண்டு பல்,
2 டேபிள் ஸ்பூன் - பச்சை கறி விழுது,
6 கப் - குறைந்த சோடியம் கொண்ட சிக்கன் குழம்பு,
1 15-அவுன்ஸ் - தேங்காய் பால் கேன்,
1 டேபிள் ஸ்பூன் - மீன் சாஸ்,
2 - சிவப்பு குடை மிளகாய்,
4 அவுன்ஸ் - மெல்லிய அரிசி நூடுல்ஸ்,
2 - சிறிய தோல் இல்லாத எலும்பு இல்லாத கோழி மார்பகங்கள்,
1 டேபிள் ஸ்பூன் - புதிய எலுமிச்சை சாறு,
1 கப் - தோராயமாக நறுக்கிய புதிய கொத்தமல்லி.</t>
  </si>
  <si>
    <t xml:space="preserve">Heat the vegetable oil in a large pot over medium-high heat. Add the onion and cook, stirring occasionally, until softened and lightly browned, about 8 minutes. Add the garlic and curry paste and cook, stirring, 1 to 2 minutes. Add the chicken broth, coconut milk and fish sauce; cover and bring to a boil. 
Add the bell peppers and noodles and simmer, uncovered, until the noodles are al dente, about 3 minutes. 
Add the chicken and simmer until just cooked through, about 3 more minutes. Stir in the lime juice and cilantro. Add more fish sauce and lime juice, if desired. </t>
  </si>
  <si>
    <t>ஒரு பெரிய தொட்டியில் தாவர எண்ணெயை நடுத்தர உயர் வெப்பத்தில் சூடாக்கவும். வெங்காயத்தைச் சேர்த்து, அவ்வப்போது கிளறி, மென்மையாகவும் லேசாக பழுப்பு நிறமாகவும் சுமார் 8 நிமிடங்கள் சமைக்கவும். பூண்டு மற்றும் கறி விழுது சேர்த்து, 1 முதல் 2 நிமிடங்கள் சமைக்கவும். சிக்கன் குழம்பு, தேங்காய் பால் மற்றும் மீன் சாஸ் சேர்க்கவும்; மூடி வைத்து கொதிக்க வைக்கவும்.
பெல் பெப்பர்ஸ் மற்றும் நூடுல்ஸைச் சேர்த்து, நூடுல்ஸ் அல் டென்ட் ஆகும் வரை, சுமார் 3 நிமிடங்கள் மூடி இல்லாமல் இளங்கொதிவாக்கவும்.
சிக்கனைச் சேர்த்து, சமைக்கும் வரை, சுமார் 3 நிமிடங்கள் இளங்கொதிவாக்கவும். எலுமிச்சை சாறு மற்றும் கொத்தமல்லி சேர்த்து கிளறவும். தேவைப்பட்டால், மீன் சாஸ் மற்றும் எலுமிச்சை சாறு சேர்க்கவும்.</t>
  </si>
  <si>
    <t>https://www.saltandlavender.com/wp-content/uploads/2018/01/thai-chicken-curry-soup-recipe-1.jpg</t>
  </si>
  <si>
    <t>Chicken Fajita Tortilla Soup</t>
  </si>
  <si>
    <t>சிக்கன் ஃபஜிதா டார்ட்டில்லா சூப்</t>
  </si>
  <si>
    <t>2 tablespoons -  extra-virgin olive oil,
2  - packages chicken tenders, 
1 tablespoon  - coriander,
2 tablespoons -  chopped fresh thyme leaves, 
Salt and freshly ground black pepper,
1 -  large onion, 
1 -  large bell pepper,
1 -  jalapeno, 
 28-ounce -  can fire roasted diced tomatoes,
1 -  quart chicken stock,
1 -  bag white corn tortilla chips,
1 -  cup shredded Pepper Jack ,
1 -  ripe avocado,
1 -  lime, 
4 -  scallions,
Handful fresh cilantro leaves.</t>
  </si>
  <si>
    <t>2 டேபிள்ஸ்பூன் - கூடுதல் கன்னி ஆலிவ் எண்ணெய்,
2 - சிக்கன் டெண்டர்கள்,
1 டேபிள்ஸ்பூன் - கொத்தமல்லி,
2 டேபிள்ஸ்பூன் - நறுக்கிய புதிய தைம் இலைகள்,
உப்பு மற்றும் புதிதாக அரைத்த கருப்பு மிளகு,
1 - பெரிய வெங்காயம்,
1 - பெரிய குடை மிளகாய்,
1 - ஜலபெனோ,
28-அவுன்ஸ் - வறுத்த துண்டுகளாக்கப்பட்ட தக்காளியை சுடலாம்,
1 - குவார்ட் சிக்கன் ஸ்டாக்,
1 - பை வெள்ளை சோள டார்ட்டில்லா சிப்ஸ்,
1 - கப் துண்டாக்கப்பட்ட பெப்பர் ஜாக்,
1 - பழுத்த வெண்ணெய்,
1 - சுண்ணாம்பு,
4 - ஸ்காலியன்ஸ்,
சில புதிய கொத்தமல்லி இலைகள்.</t>
  </si>
  <si>
    <t xml:space="preserve">Heat a large skillet with extra-virgin olive oil, 2 turns of the pan, over medium-high heat.
 Add chicken, begin to brown 4 minutes, add coriander, thyme, salt and pepper, to taste, onions, bell pepper and jalapeno, season with salt and pepper, to taste. Cook 8 to 10 minutes, stirring frequently. Add tomatoes and stock, heat through. 
While the soup is working, lightly crush some tortilla chips and divide among 4 bowls. You need a couple of handfuls per bowl.
 Top the chips with a little cheese. Toss the avocado with lime juice. Top the chips with ladles of soup. Garnish soup with avocado, scallions and cilantro or parsley.
</t>
  </si>
  <si>
    <t>ஒரு பெரிய வாணலியை கூடுதல் கன்னி ஆலிவ் எண்ணெயுடன், 2 முறை நடுத்தர உயர் வெப்பத்தில் சூடாக்கவும்.
சிக்கனைச் சேர்த்து, 4 நிமிடங்கள் பழுப்பு நிறமாகத் தொடங்குங்கள், கொத்தமல்லி, தைம், உப்பு மற்றும் மிளகு, சுவைக்க, வெங்காயம், பெல் பெப்பர் மற்றும் ஜலபெனோவைச் சேர்த்து, சுவைக்க உப்பு மற்றும் மிளகு சேர்த்து, சுவைக்க. அடிக்கடி கிளறி, 8 முதல் 10 நிமிடங்கள் சமைக்கவும். தக்காளி மற்றும் குழம்பு சேர்த்து, சூடாக்கவும்.
சூப் வேகும் போது, ​​சிறிது டார்ட்டில்லா சிப்ஸை லேசாக நசுக்கி 4 கிண்ணங்களாகப் பிரிக்கவும். ஒரு கிண்ணத்திற்கு இரண்டு கைப்பிடி அளவு தேவைப்படும்.
சிப்ஸின் மேல் சிறிது சீஸ் தடவவும். அவகேடோவை எலுமிச்சை சாறுடன் தூவவும். சிப்ஸின் மேல் சூப் கரண்டியால் தூவவும். அவகேடோ, வெங்காயத்தாள் மற்றும் கொத்தமல்லி அல்லது வோக்கோசு கொண்டு சூப்பை அலங்கரிக்கவும்.</t>
  </si>
  <si>
    <t>https://www.thecookierookie.com/wp-content/uploads/2022/01/featured-chicken-fajita-soup-recipe.jpg</t>
  </si>
  <si>
    <t xml:space="preserve">Squash Soup </t>
  </si>
  <si>
    <t>ஸ்குவாஷ் சூப்</t>
  </si>
  <si>
    <t>3 to 3 1/2 pounds -  butternut squash, 
Unsalted butter,
1 tablespoon -  kosher salt, 
1 teaspoon -  freshly ground white pepper, 
3 cups -  chicken or vegetable broth,
1/4 cup -  honey,
1 teaspoon -  minced fresh ginger,
1/2 cup -  heavy cream,
1/4 teaspoon -  freshly grated nutmeg.</t>
  </si>
  <si>
    <t>3 முதல் 3 1/2 பவுண்டுகள் - பட்டர்நட் ஸ்குவாஷ்,
உப்பு சேர்க்காத வெண்ணெய்,
1 டேபிள் ஸ்பூன் - கோஷர் உப்பு,
1 டீஸ்பூன் - புதிதாக அரைத்த வெள்ளை மிளகு,
3 கப் - கோழி அல்லது காய்கறி குழம்பு,
1/4 கப் - தேன்,
1 டீஸ்பூன் - நறுக்கிய புதிய இஞ்சி,
1/2 கப் - கனமான கிரீம்,
1/4 டீஸ்பூன் - புதிதாக துருவிய ஜாதிக்காய்.</t>
  </si>
  <si>
    <t>Heat the oven to 400 degrees F.
Place the quartered squash onto a half sheet pan, brush the flesh of the squash with a little butter and season with 1 tablespoon of the salt and 1 teaspoon of the white pepper. Place in the oven and roast for 30 to 35 minutes or until the flesh is soft and tender.
Scoop the flesh from the skin into a 6-quart pot. Add the broth, honey and ginger. Place over medium heat and bring to a simmer, approximately 7 to 8 minutes. 
Using a stick blender, puree the mixture until smooth*. Stir in the heavy cream and return to a low simmer. Season with the remaining salt, pepper, and nutmeg.
*When blending hot liquids: Remove liquid from the heat and allow to cool for at least 5 minutes. Transfer liquid to a blender or food processor and fill it no more than halfway. If using a blender, release one corner of the lid.
 This prevents the vacuum effect that creates heat explosions. Place a towel over the top of the machine, pulse a few times then process on high speed until smooth.</t>
  </si>
  <si>
    <t>அடுப்பை 400 டிகிரி எஃப் வரை சூடாக்கவும்.
நான்கு பகுதிகளாக வெட்டப்பட்ட ஸ்குவாஷை ஒரு அரை தாள் பாத்திரத்தில் வைத்து, ஸ்குவாஷின் சதைப்பகுதியில் சிறிது வெண்ணெய் தடவி, 1 டேபிள் ஸ்பூன் உப்பு மற்றும் 1 டீஸ்பூன் வெள்ளை மிளகு சேர்த்து தாளிக்கவும். அடுப்பில் வைத்து 30 முதல் 35 நிமிடங்கள் அல்லது சதை மென்மையாகவும் மென்மையாகவும் இருக்கும் வரை வறுக்கவும்.
தோலில் இருந்து சதையை 6-கால் பானையில் எடுக்கவும். குழம்பு, தேன் மற்றும் இஞ்சி சேர்க்கவும். மிதமான தீயில் வைத்து, சுமார் 7 முதல் 8 நிமிடங்கள் வரை ஒரு கொதி நிலைக்கு கொண்டு வாருங்கள்.
ஒரு குச்சி கலப்பான் பயன்படுத்தி, கலவையை மென்மையான வரை ப்யூரி செய்யவும்*. கனமான கிரீம் சேர்த்துக் கிளறி, குறைந்த கொதி நிலைக்குத் திரும்பவும். மீதமுள்ள உப்பு, மிளகு மற்றும் ஜாதிக்காயைச் சேர்த்துப் பதப்படுத்தவும்.
*சூடான திரவங்களை கலக்கும்போது: திரவத்தை வெப்பத்திலிருந்து அகற்றி, குறைந்தது 5 நிமிடங்களுக்கு குளிர்விக்க அனுமதிக்கவும். திரவத்தை ஒரு பிளெண்டர் அல்லது உணவு செயலிக்கு மாற்றி, பாதியளவுக்கு மேல் நிரப்ப வேண்டாம். பிளெண்டரைப் பயன்படுத்தினால், மூடியின் ஒரு மூலையை விடுங்கள்.
இது வெப்ப வெடிப்புகளை உருவாக்கும் வெற்றிட விளைவைத் தடுக்கிறது. இயந்திரத்தின் மேல் ஒரு துண்டை வைத்து, சில முறை துடித்து, மென்மையான வரை அதிவேகத்தில் செயலாக்கவும்.</t>
  </si>
  <si>
    <t>https://encrypted-tbn0.gstatic.com/images?q=tbn:ANd9GcQAFqZqlnP61eFqmcUs34dFHEtkEcjYlZqJJw&amp;s</t>
  </si>
  <si>
    <t>Shrimp and Grits</t>
  </si>
  <si>
    <t>இறால் மற்றும் துருவல்</t>
  </si>
  <si>
    <t>4 cups -  water,
Salt and pepper,
1 cup -  stone-ground grits,
3 tablespoons -  butter,
2 cups -  shredded sharp cheddar cheese,
1 pound -  shrimp,
6 -  slices bacon, 
4 teaspoons -  lemon juice,
2 tablespoons -  chopped parsley,
1 cup - thinly sliced scallions,
1 -  large clove garlic.</t>
  </si>
  <si>
    <t>4 கப் - தண்ணீர்,
உப்பு மற்றும் மிளகு,
1 கப் - கல்-துருவல் துருவல்,
3 தேக்கரண்டி - வெண்ணெய்,
2 கப் - துண்டாக்கப்பட்ட கூர்மையான செடார் சீஸ்,
1 பவுண்டு - இறால்,
6 - துண்டுகள் பன்றி இறைச்சி,
4 தேக்கரண்டி - எலுமிச்சை சாறு,
2 தேக்கரண்டி - நறுக்கிய வோக்கோசு,
1 கப் - மெல்லியதாக வெட்டப்பட்ட ஸ்காலியன்ஸ்,
1 - பெரிய பூண்டு பல்.</t>
  </si>
  <si>
    <t>Bring water to a boil. Add salt and pepper. Add grits and cook until water is absorbed, about 20 to 25 minutes. Remove from heat and stir in butter and cheese.
Rinse shrimp and pat dry. Fry the bacon in a large skillet until browned; drain well. In grease, add shrimp. Cook until shrimp turn pink. Add lemon juice, chopped bacon, parsley, scallions and garlic. Saute for 3 minutes.
Spoon grits into a serving bowl. Add shrimp mixture and mix well. Serve immediately.</t>
  </si>
  <si>
    <t>தண்ணீரை கொதிக்க வைக்கவும். உப்பு மற்றும் மிளகு சேர்க்கவும். துருவல் துருவல் சேர்த்து தண்ணீர் உறிஞ்சப்படும் வரை சுமார் 20 முதல் 25 நிமிடங்கள் சமைக்கவும். வெப்பத்திலிருந்து நீக்கி வெண்ணெய் மற்றும் சீஸ் சேர்த்து கிளறவும்.
இறாலை துவைத்து உலர வைக்கவும். ஒரு பெரிய வாணலியில் பன்றி இறைச்சியை பழுப்பு நிறமாக மாறும் வரை வறுக்கவும்; நன்கு வடிகட்டவும். கிரீஸில், இறாலை சேர்க்கவும். இறால் இளஞ்சிவப்பு நிறமாக மாறும் வரை சமைக்கவும். எலுமிச்சை சாறு, நறுக்கிய பன்றி இறைச்சி, வோக்கோசு, ஸ்காலியன்ஸ் மற்றும் பூண்டு சேர்க்கவும். 3 நிமிடங்கள் வதக்கவும்.
பரிமாறும் பாத்திரத்தில் துருவல் துருவல் தேங்காயை கரண்டியால் வைக்கவும். இறால் கலவையைச் சேர்த்து நன்கு கலக்கவும். உடனடியாக பரிமாறவும்.</t>
  </si>
  <si>
    <t>https://cdn.apartmenttherapy.info/image/upload/f_jpg,q_auto:eco,c_fill,g_auto,w_1500,ar_1:1/k%2FPhoto%2FRecipes%2F2023-11-shrimp-and-grits%2FShrimp-and-grits-2</t>
  </si>
  <si>
    <t>Winter Minestrone</t>
  </si>
  <si>
    <t>குளிர்கால மினஸ்ட்ரோன்</t>
  </si>
  <si>
    <t>2 tablespoons -  olive oil,
1 - onion, 
2 -  carrots, peeled, 
2 -  celery stalks, 
3 -  ounces thinly sliced pancetta,
2 -  garlic cloves, 
1 pound -  Swiss chard, 
1 -  russet potato, 
1 (14 1/2-ounce) -  can diced tomatoes,
1 -  fresh rosemary sprig,
1 (15-ounce) -  can cannellini beans,
2 (14-ounce) -  cans low-sodium beef broth,
1 ounce - piece Parmesan cheese rind,
2 tablespoons -  chopped fresh Italian parsley leaves,
Salt and pepper.</t>
  </si>
  <si>
    <t>2 தேக்கரண்டி - ஆலிவ் எண்ணெய்,
1 - வெங்காயம்,
2 - கேரட், உரிக்கப்பட்டது,
2 - செலரி தண்டுகள்,
3 - அவுன்ஸ் மெல்லியதாக வெட்டப்பட்ட பான்செட்டா,
2 - பூண்டு பற்கள்,
1 பவுண்டு - சுவிஸ் சார்ட்,
1 - ரஸ்ஸெட் உருளைக்கிழங்கு,
1 (14 1/2-அவுன்ஸ்) - துண்டுகளாக்கப்பட்ட தக்காளி,
1 - புதிய ரோஸ்மேரி தளிர்,
1 (15-அவுன்ஸ்) - கேனெல்லினி பீன்ஸ் கேன்,
2 (14-அவுன்ஸ்) - குறைந்த சோடியம் கொண்ட மாட்டிறைச்சி குழம்பு கேன்கள்,
1 அவுன்ஸ் - துண்டு பர்மேசன் சீஸ் தோல்,
2 தேக்கரண்டி - நறுக்கிய புதிய இத்தாலிய வோக்கோசு இலைகள்,
உப்பு மற்றும் மிளகு.</t>
  </si>
  <si>
    <t>Heat the oil in a heavy large pot over medium heat. Add the onion, carrots, celery, pancetta, and garlic. Saute until the onion is translucent, about 10 minutes. Add the Swiss chard and potato; saute for 2 minutes.
 Add the tomatoes and rosemary sprig. Simmer until the chard is wilted and the tomatoes break down, about 10 minutes. 
Meanwhile, blend 3/4 cup of the beans with 1/4 cup of the broth in a processor until almost smooth.
 Add the pureed bean mixture, remaining broth, and Parmesan cheese rind to the vegetable mixture. Simmer until the potato pieces are tender, stirring occasionally, about 15 minutes. Stir in the whole beans and parsley. Simmer until the beans are heated through and the soup is thick, about 2 minutes. Season with salt and pepper, to taste. 
Discard Parmesan rind and rosemary sprig (the leaves will have fallen off of the stem.) 
Ladle the soup into bowls and serve.</t>
  </si>
  <si>
    <t>ஒரு பெரிய தொட்டியில் எண்ணெயை நடுத்தர வெப்பத்தில் சூடாக்கவும். வெங்காயம், கேரட், செலரி, பான்செட்டா மற்றும் பூண்டு சேர்க்கவும். வெங்காயம் ஒளிஊடுருவக்கூடியதாக மாறும் வரை சுமார் 10 நிமிடங்கள் வதக்கவும். சுவிஸ் சார்ட் மற்றும் உருளைக்கிழங்கைச் சேர்க்கவும்; 2 நிமிடங்கள் வதக்கவும்.
தக்காளி மற்றும் ரோஸ்மேரி தளிர் சேர்க்கவும். சார்ட் வாடி, தக்காளி உடையும் வரை சுமார் 10 நிமிடங்கள் வதக்கவும்.
இதற்கிடையில், 3/4 கப் பீன்ஸை 1/4 கப் குழம்புடன் ஒரு செயலியில் கிட்டத்தட்ட மென்மையாகும் வரை கலக்கவும்.
ப்யூரி செய்யப்பட்ட பீன் கலவை, மீதமுள்ள குழம்பு மற்றும் பர்மேசன் சீஸ் தோல் ஆகியவற்றை காய்கறி கலவையில் சேர்க்கவும். உருளைக்கிழங்கு துண்டுகள் மென்மையாகும் வரை, அவ்வப்போது கிளறி, சுமார் 15 நிமிடங்கள் வதக்கவும். முழு பீன்ஸ் மற்றும் வோக்கோசையும் சேர்த்து கிளறவும். பீன்ஸ் சூடாகி சூப் கெட்டியாகும் வரை, சுமார் 2 நிமிடங்கள் வதக்கவும். சுவைக்க உப்பு மற்றும் மிளகு சேர்த்து சுவைக்கவும்.
பர்மேசன் தோல் மற்றும் ரோஸ்மேரி தளிர் ஆகியவற்றை நிராகரிக்கவும் (இலைகள் தண்டிலிருந்து உதிர்ந்திருக்கும்.)
சூப்பை கிண்ணங்களில் போட்டு பரிமாறவும்.</t>
  </si>
  <si>
    <t>https://encrypted-tbn0.gstatic.com/images?q=tbn:ANd9GcS2DKjaFpxEyPCdUPRj3RcGx_HZ_Shw-FbNpQ&amp;s</t>
  </si>
  <si>
    <t>Ham and Split Pea Soup</t>
  </si>
  <si>
    <t>ஹாம் மற்றும் பட்டாணி சூப்</t>
  </si>
  <si>
    <t>1 pound -  dried split peas,
1 -  ham hock,
3 tablespoons -  unsalted butter,
1 cup -  finely chopped,
1/2 cup -  finely chopped celery,
1/2 cup -  finely chopped carrots,
2 teaspoons -  minced garlic,
1 pound -  Smithfield ham, 
1 teaspoon  - salt,
3/4 teaspoon -  freshly ground black pepper,
1/4 teaspoon -  crushed red pepper flakes,
8 cups -  water,
1  - bay leaf,
2 teaspoons -  fresh thyme,
Parmesan Truffled Potato Chips, 
2 pounds -  red bliss potatoes, 
4 cups -  vegetable oil, 
1/4 cup -  grated Parmesan,
1 tablespoon -  truffle oil,
1 teaspoon -  salt,
1 teaspoon -  freshly ground black pepper.</t>
  </si>
  <si>
    <t>1 பவுண்டு - உலர்ந்த பட்டாணி,
1 - ஹாம் ஹாக்,
3 தேக்கரண்டி - உப்பு சேர்க்காத வெண்ணெய்,
1 கப் - நன்றாக நறுக்கியது,
1/2 கப் - நன்றாக நறுக்கிய செலரி,
1/2 கப் - நன்றாக நறுக்கிய கேரட்,
2 தேக்கரண்டி - நறுக்கிய பூண்டு,
1 பவுண்டு - ஸ்மித்ஃபீல்ட் ஹாம்,
1 தேக்கரண்டி - உப்பு,
3/4 தேக்கரண்டி - புதிதாக அரைத்த கருப்பு மிளகு,
1/4 தேக்கரண்டி - நொறுக்கப்பட்ட சிவப்பு மிளகு செதில்கள்,
8 கப் - தண்ணீர்,
1 - வளைகுடா இலை,
2 தேக்கரண்டி - புதிய தைம்,
பர்மேசன் டிரஃபிள்டு உருளைக்கிழங்கு சிப்ஸ்,
2 பவுண்டுகள் - சிவப்பு ப்ளிஸ் உருளைக்கிழங்கு,
4 கப் - தாவர எண்ணெய்,
1/4 கப் - துருவிய பார்மேசன்,
1 தேக்கரண்டி - டிரஃபிள் எண்ணெய்,
1 தேக்கரண்டி - உப்பு,
1 தேக்கரண்டி - புதிதாக அரைத்த கருப்பு மிளகு.</t>
  </si>
  <si>
    <t>Place the peas in a large pot or bowl, cover with water by 2 inches and soak 8 hours or overnight. Drain the peas and set aside.
Score the ham hock. Place in a pot, cover with water and bring to a boil. Reduce heat and let simmer for 1 hour. Drain and set aside.
In a large pot, melt the butter over medium-high heat. Add the onions and cook, stirring, for 2 minutes. Add the celery and carrots and cook, stirring, until just soft, about 3 minutes. Add the garlic and cook, stirring, for 30 seconds.
Add the ham hock and ham and cook, stirring, until beginning to brown. Add the drained peas, salt, pepper, and pepper flakes, and cook, stirring for 2 minutes. Add 8 cups of water, the bay leaf and thyme, and cook, stirring occasionally, until the peas are tender, about 1 hour. (Add more water as needed, if the soup becomes too thick or dry.)
Remove the bay leaf and discard. Adjust the seasoning, to taste, and serve immediately with Parmesan Truffled Chips on top.
Using a mandolin or very sharp, heavy knife, slice the potatoes into rounds as thin as possible, and place in a large bowl of water to prevent discoloration.
Heat the oil in a large, heavy pot to between 340 and 350 degrees F.
Pat the potatoes completely dry. Add to the oil in batches and cook until golden brown, stirring with a long handled spoon to turn and cook evenly, about 2 minutes.
Drain on paper towels and place in a large bowl. Toss with the cheese, truffle oil, salt, and pepper. Serve immediately.</t>
  </si>
  <si>
    <t>ஒரு பெரிய தொட்டியில் அல்லது கிண்ணத்தில் பட்டாணியை வைத்து, 2 அங்குலம் தண்ணீரில் மூடி 8 மணி நேரம் அல்லது இரவு முழுவதும் ஊற வைக்கவும். பட்டாணியை வடிகட்டி ஒதுக்கி வைக்கவும்.
ஹாம் ஹாக்கை அடிக்கவும். ஒரு பாத்திரத்தில் போட்டு, தண்ணீரில் மூடி கொதிக்க விடவும். தீயைக் குறைத்து 1 மணி நேரம் கொதிக்க விடவும். தண்ணீரை வடிகட்டி ஒதுக்கி வைக்கவும்.
ஒரு பெரிய பாத்திரத்தில், வெண்ணெயை மிதமான வெப்பத்தில் உருக்கவும். வெங்காயத்தைச் சேர்த்து 2 நிமிடங்கள் சமைக்கவும். செலரி மற்றும் கேரட்டைச் சேர்த்து, கிளறி, சுமார் 3 நிமிடங்கள் சமைக்கவும். பூண்டைச் சேர்த்து, கிளறி, 30 வினாடிகள் சமைக்கவும்.
ஹாம் ஹாக் மற்றும் ஹாமைச் சேர்த்து, கிளறி, பழுப்பு நிறமாகத் தொடங்கும் வரை சமைக்கவும். வடிகட்டிய பட்டாணி, உப்பு, மிளகு மற்றும் மிளகுத் துண்டுகளைச் சேர்த்து, 2 நிமிடங்கள் சமைக்கவும். 8 கப் தண்ணீர், வளைகுடா இலை மற்றும் தைம் சேர்த்து, அவ்வப்போது கிளறி, பட்டாணி மென்மையாகும் வரை, சுமார் 1 மணி நேரம் சமைக்கவும். (சூப் மிகவும் கெட்டியாகவோ அல்லது உலர்ந்ததாகவோ இருந்தால், தேவைக்கேற்ப அதிக தண்ணீர் சேர்க்கவும்.)
வளைகுடா இலையை அகற்றி நிராகரிக்கவும். சுவைக்கேற்ப மசாலாவை சரிசெய்து, மேலே பர்மேசன் ட்ரஃபிள்டு சிப்ஸுடன் உடனடியாக பரிமாறவும்.
ஒரு மாண்டலின் அல்லது மிகவும் கூர்மையான, கனமான கத்தியைப் பயன்படுத்தி, உருளைக்கிழங்கை முடிந்தவரை மெல்லியதாக வட்டங்களாக நறுக்கி, நிறமாற்றத்தைத் தடுக்க ஒரு பெரிய கிண்ணத்தில் தண்ணீரில் வைக்கவும்.
ஒரு பெரிய, கனமான பாத்திரத்தில் எண்ணெயை 340 முதல் 350 டிகிரி எஃப் வரை சூடாக்கவும்.
உருளைக்கிழங்கை முழுவதுமாக உலர வைக்கவும். எண்ணெயில் தொகுதிகளாகச் சேர்த்து, பொன்னிறமாகும் வரை சமைக்கவும், நீண்ட கைப்பிடி கொண்ட கரண்டியால் கிளறி, சமமாகத் திருப்பி, சுமார் 2 நிமிடங்கள் சமைக்கவும்.
காகிதத் துண்டுகளில் வடிகட்டி, ஒரு பெரிய கிண்ணத்தில் வைக்கவும். சீஸ், டிரஃபிள் எண்ணெய், உப்பு மற்றும் மிளகு சேர்த்து கலக்கவும். உடனடியாக பரிமாறவும்.</t>
  </si>
  <si>
    <t>https://tastefullygrace.com/wp-content/uploads/2022/11/Split-Pea-Soup-With-Ham-Recipe-1-scaled.jpg</t>
  </si>
  <si>
    <t>The Best Lentil Soup</t>
  </si>
  <si>
    <t>சிறந்த பருப்பு சூப்</t>
  </si>
  <si>
    <t>3 tablespoons - olive oil,
3 -  medium carrots,
1 -  medium onion, 
1 - large celery stalk, 
Kosher salt and freshly ground black pepper ,
2 tablespoons -  tomato paste ,
1 - large clove garlic, minced,
1 1/2 cups -  dried brown lentils ,
4 cups -  vegetable stock ,
7 -  sprigs thyme,
1 -  bay leaf ,
1/2 teaspoon -  dried oregano ,
1/4 teaspoon -  crushed red pepper flakes ,
1 teaspoon -  lemon zest, 
1/2 cup -  flat-leaf parsley leaves.</t>
  </si>
  <si>
    <t>3 தேக்கரண்டி - ஆலிவ் எண்ணெய்,
3 - நடுத்தர கேரட்,
1 - நடுத்தர வெங்காயம்,
1 - பெரிய செலரி தண்டு,
கோஷர் உப்பு மற்றும் புதிதாக அரைத்த கருப்பு மிளகு,
2 தேக்கரண்டி - தக்காளி விழுது,
1 - பெரிய பல் பூண்டு, நறுக்கியது,
1 1/2 கப் - உலர்ந்த பழுப்பு பயறு,
4 கப் - காய்கறி குழம்பு,
7 - தைம் கிளைகள்,
1 - வளைகுடா இலை,
1/2 தேக்கரண்டி - உலர்ந்த ஆர்கனோ,
1/4 தேக்கரண்டி - நொறுக்கப்பட்ட சிவப்பு மிளகு செதில்கள்,
1 தேக்கரண்டி - எலுமிச்சை தோல்,
1/2 கப் - தட்டையான இலை வோக்கோசு இலைகள்.</t>
  </si>
  <si>
    <t xml:space="preserve">Heat the oil in a large heavy-bottom pot over medium-high heat. Add the carrot, onion, celery and 1 teaspoon salt and cook, stirring occasionally, until the vegetables are starting to caramelize and take on a dark brown color, 8 to 10 minutes (this step is important as it will add tons of flavor to your soup!).
Stir in the tomato paste and garlic and cook, scraping up the brown bits, until the garlic is fragrant and slightly softened, 1 to 2 minutes. Add in the lentils, stock, 4 cups water, thyme, bay leaf, oregano, red pepper flakes, lemon zest, 2 teaspoons salt and a generous amount of black pepper and stir to combine.
 Bring to a boil then reduce the heat to low. Cover and cook until the lentils are softened with just a bit of bite, 25 to 30 minutes.  
Remove the bay leaf. Puree 2 1/2 cups of the soup in a blender until smooth then stir back into the pot. Stir in the lemon juice and parsley. Ladle into bowls and garnish with more parsley. </t>
  </si>
  <si>
    <t>ஒரு பெரிய அடிப்பகுதி கொண்ட பாத்திரத்தில் எண்ணெயை நடுத்தர-அதிக வெப்பத்தில் சூடாக்கவும். கேரட், வெங்காயம், செலரி மற்றும் 1 தேக்கரண்டி உப்பு சேர்த்து, அவ்வப்போது கிளறி, காய்கறிகள் கேரமல் ஆக ஆரம்பித்து அடர் பழுப்பு நிறமாக மாறும் வரை, 8 முதல் 10 நிமிடங்கள் சமைக்கவும் (இந்த படி முக்கியமானது, ஏனெனில் இது உங்கள் சூப்பில் டன் சுவையை சேர்க்கும்!).
தக்காளி விழுது மற்றும் பூண்டை சேர்த்து கிளறி, பழுப்பு நிற துண்டுகளை எடுத்து, பூண்டு மணம் வரும் வரை மற்றும் சிறிது மென்மையாகும் வரை 1 முதல் 2 நிமிடங்கள் வரை சமைக்கவும். பருப்பு, குழம்பு, 4 கப் தண்ணீர், தைம், பிரியாணி இலை, ஆர்கனோ, சிவப்பு மிளகு துண்டுகள், எலுமிச்சை தோல், 2 டீஸ்பூன் உப்பு மற்றும் தாராளமாக கருப்பு மிளகு சேர்த்து கலக்கவும்.
ஒரு கொதி நிலைக்கு கொண்டு வந்து தீயை குறைத்து. மூடி வைத்து, பருப்பு மென்மையாகும் வரை சிறிது கடி, 25 முதல் 30 நிமிடங்கள் வரை சமைக்கவும்.
பிரியாணி இலையை அகற்றவும். 2 1/2 கப் சூப்பை ஒரு பிளெண்டரில் மென்மையாகும் வரை பிசைந்து, பின்னர் மீண்டும் பாத்திரத்தில் கிளறவும். எலுமிச்சை சாறு மற்றும் பிரியாணி சேர்த்து கிளறவும். கிண்ணங்களில் ஊற்றி, மேலும் பர்ஸ்லியால் அலங்கரிக்கவும்.</t>
  </si>
  <si>
    <t>https://hips.hearstapps.com/hmg-prod/images/lentil-soup-index-656a10a95bcbf.jpg?crop=0.6669045919581251xw:1xh;center,top&amp;resize=1200:*</t>
  </si>
  <si>
    <t>Chai Masala</t>
  </si>
  <si>
    <t>சாய் மசாலா</t>
  </si>
  <si>
    <t>Beverages</t>
  </si>
  <si>
    <t xml:space="preserve">   Green Cardamom – 10 gram,
   Whole black pepper – 10 grams,
   Cloves – 10 grams,
   Cinnamon – 2 sticks,
   Dry ginger powder – 2 tsp,
   Nutmeg powder – 2 tsp.</t>
  </si>
  <si>
    <t>பச்சை ஏலக்காய் - 10 கிராம்,
முழு கருப்பு மிளகு - 10 கிராம்,
கிராம்பு - 10 கிராம்,
இலவங்கப்பட்டை - 2 குச்சிகள்,
உலர் இஞ்சி தூள் - 2 தேக்கரண்டி,
ஜாதிக்காய் தூள் - 2 தேக்கரண்டி.</t>
  </si>
  <si>
    <t>Dry roast cardamom, whole black peppercorns, cloves and cinnamon (break cinnamon sticks into 2-3 pieces, if they are big) on medium low heat for 2-3 minutes. Leave it to cool. There should be no moisture in the spices.
Grate nutmeg and keep it aside. You can also use ready made nutmeg powder.
Powder it coarsely. Add dry ginger powder (sukku powder) and nutmeg powder and grind it to a fine powder.
Aromatic, flavorful chai masala powder is ready. Store it in an airtight container.
Bring 1/2 cup of water to a boil, add a tsp of tea leaves or powder, 1/8 tsp of the prepared chai masala powder.  You can add fresh ginger also if preferred. Let it steep on low heat for 2 minutes.
Add 1/2 cup of milk , when milk is about to boil, simmer for few minutes. Then strain, add needed sugar and enjoy hot cup of Indian masala chai.</t>
  </si>
  <si>
    <t>ஏலக்காய், முழு கருப்பு மிளகு, கிராம்பு மற்றும் இலவங்கப்பட்டை (பெரியதாக இருந்தால் இலவங்கப்பட்டை குச்சிகளை 2-3 துண்டுகளாக உடைக்கவும்) மிதமான குறைந்த வெப்பத்தில் 2-3 நிமிடங்கள் வறுக்கவும். அதை குளிர்விக்க விடவும். மசாலாப் பொருட்களில் ஈரப்பதம் இருக்கக்கூடாது.
ஜாதிக்காயை தட்டி தனியாக வைக்கவும். நீங்கள் தயாராக தயாரிக்கப்பட்ட ஜாதிக்காய் தூளையும் பயன்படுத்தலாம்.
அதை கரடுமுரடாக பொடி செய்யவும். உலர்ந்த இஞ்சி தூள் (சுக்கு தூள்) மற்றும் ஜாதிக்காய் தூள் சேர்த்து நன்றாக பொடியாக அரைக்கவும்.
நறுமணமுள்ள, சுவையான சாய் மசாலா தூள் தயாராக உள்ளது. காற்று புகாத கொள்கலனில் சேமிக்கவும்.
1/2 கப் தண்ணீரை கொதிக்க வைக்கவும், ஒரு தேக்கரண்டி தேயிலை இலைகள் அல்லது தூள், தயாரிக்கப்பட்ட சாய் மசாலா தூளில் 1/8 தேக்கரண்டி சேர்க்கவும். விரும்பினால் புதிய இஞ்சியையும் சேர்க்கலாம். குறைந்த தீயில் 2 நிமிடங்கள் ஊற விடவும்.
பால் கொதிக்கும் போது 1/2 கப் பால் சேர்த்து, சில நிமிடங்கள் கொதிக்க விடவும். பின்னர் வடிகட்டி, தேவையான சர்க்கரையைச் சேர்த்து, சூடான கப் இந்திய மசாலா சாயை அனுபவிக்கவும்.</t>
  </si>
  <si>
    <t>https://www.theflavorbender.com/wp-content/uploads/2021/01/Masala-Chai-9998-2.jpg</t>
  </si>
  <si>
    <t>https://youtu.be/CVufMze52JQ</t>
  </si>
  <si>
    <t>Lemon Mint Cooler</t>
  </si>
  <si>
    <t>எலுமிச்சை புதினா கூலர்</t>
  </si>
  <si>
    <t xml:space="preserve">   Fresh mint – fistful,
   Lemon – 2 juicy ones,
   Sugar or any sweetener – as needed,
   Salt – a pinch,
   Water – 2 1/4 cup,
   Fresh Mint Leaves – 3,
   Ice cubes – 3-4.</t>
  </si>
  <si>
    <t>புதிய புதினா - கைப்பிடி அளவு,
எலுமிச்சை - 2 ஜூசி,
சர்க்கரை அல்லது வேறு ஏதேனும் இனிப்பு - தேவைக்கேற்ப,
உப்பு - ஒரு சிட்டிகை,
தண்ணீர் - 2 1/4 கப்,
புதிய புதினா இலைகள் - 3,
ஐஸ் கட்டிகள் - 3-4.</t>
  </si>
  <si>
    <t>Squeeze juice from two lemons.
Grind mint leaves, jaggery (I used powdered jaggery in place of sugar) finely using the lemon juice.
Add a pinch of salt, chilled water and mix well. (I added little less water as once you add ice cubes, it gets more diluted). You can adjust the amount of water according to your taste.
Top it with 3-4 ice cubes and garnish with fresh mint leaves. Enjoy!</t>
  </si>
  <si>
    <t>இரண்டு எலுமிச்சையிலிருந்து சாற்றை பிழிந்து எடுக்கவும்.
புதினா இலைகள், வெல்லம் (சர்க்கரைக்குப் பதிலாக நான் பொடித்த வெல்லத்தைப் பயன்படுத்தினேன்) ஆகியவற்றை எலுமிச்சைச் சாற்றைப் பயன்படுத்தி நன்றாக அரைக்கவும்.
ஒரு சிட்டிகை உப்பு, குளிர்ந்த நீரைச் சேர்த்து நன்கு கலக்கவும். (ஐஸ் கட்டிகளைச் சேர்த்தவுடன், அது மேலும் நீர்த்துப்போகும் என்பதால், நான் கொஞ்சம் குறைவாகவே தண்ணீரைச் சேர்த்தேன்). உங்கள் ரசனைக்கேற்ப தண்ணீரின் அளவை சரிசெய்யலாம்.
அதன் மேல் 3-4 ஐஸ் கட்டிகளை ஊற்றி, புதிய புதினா இலைகளால் அலங்கரிக்கவும். மகிழுங்கள்!</t>
  </si>
  <si>
    <t>https://www.allrecipes.com/thmb/iMXR_5M7ONdR7xiJf3UG2lhzAd0=/1500x0/filters:no_upscale():max_bytes(150000):strip_icc()/14249-d56aa9268fe64218aae196021b06ab15.jpg</t>
  </si>
  <si>
    <t>Gooseberry Juice</t>
  </si>
  <si>
    <t>நெல்லிக்காய் சாறு</t>
  </si>
  <si>
    <t xml:space="preserve">   Gooseberries – 1/4 kg,
   Buttermilk – 1 cup,
   Gooseberry juice – 1 tbsp ,
   Salt to taste,
   Mint and curry leaves paste – 1/2 tsp.</t>
  </si>
  <si>
    <t>நெல்லிக்காய் - 1/4 கிலோ,
மோர் - 1 கப்,
நெல்லிக்காய் சாறு - 1 டீஸ்பூன்,
ருசிக்க உப்பு,
புதினா மற்றும் கறிவேப்பிலை விழுது - 1/2 டீஸ்பூன்.</t>
  </si>
  <si>
    <t>Choose ripe slightly yellowish gooseberries without any cuts or damages.
Cut it into medium sized pieces and discard the seeds.
gooseberries-amla-nellikai
Grind it using very less water to a fine paste.
Strain it and extract as much juice as possible. You can squeeze with your hands to remove even the last drop of juice.
how to make amla juice 
Fresh gooseberry juice is ready.
Mix 10-15 ml of gooseberry juice with needed water or buttermilk and consume it. I usually do not add anything to the juice. But if preferred you can add a pinch of salt or honey, mix it well and drink it.</t>
  </si>
  <si>
    <t>வெட்டுக்கள் அல்லது சேதங்கள் இல்லாமல் பழுத்த சற்று மஞ்சள் நிற நெல்லிக்காயைத் தேர்ந்தெடுக்கவும்.
நடுத்தர அளவிலான துண்டுகளாக வெட்டி விதைகளை நிராகரிக்கவும்.
நெல்லிக்காய்-அம்லா-நெல்லிகை
மிகக் குறைந்த தண்ணீரைப் பயன்படுத்தி நன்றாக அரைக்கவும்.
அதை வடிகட்டி முடிந்தவரை சாற்றைப் பிழியவும். கடைசி சொட்டு சாற்றைக் கூட உங்கள் கைகளால் பிழிந்து எடுக்கலாம்.
நெல்லிக்காய் சாறு தயாரிப்பது எப்படி
புதிய நெல்லிக்காய் சாறு தயாராக உள்ளது.
10-15 மில்லி நெல்லிக்காய் சாற்றை தேவையான தண்ணீர் அல்லது மோருடன் கலந்து குடிக்கவும். நான் வழக்கமாக சாற்றில் எதுவும் சேர்ப்பதில்லை. ஆனால் விரும்பினால் நீங்கள் ஒரு சிட்டிகை உப்பு அல்லது தேன் சேர்த்து, நன்றாக கலந்து குடிக்கலாம்.</t>
  </si>
  <si>
    <t>https://static.toiimg.com/thumb/resizemode-4,width-1280,height-720,msid-116610291/116610291.jpg</t>
  </si>
  <si>
    <t>Thandai</t>
  </si>
  <si>
    <t>தண்டை</t>
  </si>
  <si>
    <t xml:space="preserve">   Milk – 2 cups (1/2 liter),
   Saffron strands – 6-7,
   Sugar – 3 tbsp or as needed,
   Almonds – 8-10,
   Pistachio – 8-10,
   Cashew nuts – 6-7,
   Khus Khus (kasa kasa) – 1 tbsp,
   Whole black peppercorns – 8-10,
   Cardamom – 5,
   Fennel seeds – 1/2 tsp,
   Cinnamon – 1 inch stick,
   Dry Rose Petals – 6.</t>
  </si>
  <si>
    <t>பால் - 2 கப் (1/2 லிட்டர்),
குங்குமப்பூ - 6-7,
சர்க்கரை - 3 டேபிள்ஸ்பூன் அல்லது தேவைக்கேற்ப,
பாதாம் - 8-10,
பிஸ்தா - 8-10,
முந்திரி பருப்பு - 6-7,
குஸ் குஸ் (கசா கசா) - 1 டேபிள்ஸ்பூன்,
முழு கருப்பு மிளகு - 8-10,
ஏலக்காய் - 5,
வெந்தயம் - 1/2 டேபிள்ஸ்பூன்,
இலவங்கப்பட்டை - 1 அங்குல குச்சி,
உலர்ந்த ரோஜா இதழ்கள் - 6.</t>
  </si>
  <si>
    <t>Boil milk, add sugar and mix well until it dissolves. Leave it to cool.
Soak saffron in a little hot milk and set aside.
Once milk is warm, mix the saffron flavored milk with the rest of the milk.
Soak cashew nuts, pistachio, almonds in hot water for 1-2 hours. Soak khus khus also in hot water separately. Remove the skin of almonds and pistachio. Then grind everything together with a little milk along with khus khus to a paste. Set aside.
How to make Thandai
Grind cardamom (discard the pod), whole black pepper, cinnamon and fennel seeds to fine powder. (I have used 1/8 tsp cinnamon powder in place of cinnamon stick).
Now add the ground paste, ground powder to the milk and mix well.
Thandai -Holi special 
Garnish with dried rose petals. Refrigerate for 2-3 hours and serve chilled.
Thandai tastes best when served chilled.</t>
  </si>
  <si>
    <t>பாலை கொதிக்க வைத்து, சர்க்கரை சேர்த்து கரையும் வரை நன்கு கலக்கவும். அதை குளிர்விக்க விடவும்.
குங்குமப்பூவை சிறிது சூடான பாலில் ஊற வைத்து ஒதுக்கி வைக்கவும்.
பால் சூடாகியதும், குங்குமப்பூ சுவையூட்டப்பட்ட பாலை மீதமுள்ள பாலுடன் கலக்கவும்.
முந்திரி, பிஸ்தா, பாதாம் ஆகியவற்றை வெந்நீரில் 1-2 மணி நேரம் ஊற வைக்கவும். குஸ் குஸையும் வெந்நீரில் தனித்தனியாக ஊற வைக்கவும். பாதாம் மற்றும் பிஸ்தாவின் தோலை நீக்கவும். பின்னர் எல்லாவற்றையும் சிறிது பாலுடன் குஸ் குஸ் சேர்த்து ஒரு பேஸ்டாக அரைக்கவும். ஒதுக்கி வைக்கவும்.
தண்டை எப்படி செய்வது
ஏலக்காய் (நொறுக்கு நீக்கி), முழு கருப்பு மிளகு, இலவங்கப்பட்டை மற்றும் பெருஞ்சீரகம் விதைகளை நன்றாகப் பொடியாக அரைக்கவும். (நான் இலவங்கப்பட்டை குச்சிக்குப் பதிலாக 1/8 தேக்கரண்டி இலவங்கப்பட்டை தூள் பயன்படுத்தியுள்ளேன்).
இப்போது அரைத்த விழுது, அரைத்த பொடியை பாலில் சேர்த்து நன்கு கலக்கவும்.
தண்டை - ஹோலி ஸ்பெஷல்
உலர்ந்த ரோஜா இதழ்களால் அலங்கரித்து 2-3 மணி நேரம் குளிர்சாதன பெட்டியில் வைத்து குளிர்ச்சியாக பரிமாறவும்.
தண்டை குளிர்ந்து பரிமாறும்போது சுவையாக இருக்கும்.</t>
  </si>
  <si>
    <t>https://encrypted-tbn0.gstatic.com/images?q=tbn:ANd9GcSP7iAd2D0k3W9gUZ19TyVkgoiz4u8Ym7ofjQ&amp;s</t>
  </si>
  <si>
    <t>Sambaram</t>
  </si>
  <si>
    <t>சாம்பரம்</t>
  </si>
  <si>
    <t xml:space="preserve">   Curd – 1 cup,
   Water  – 1 1/2 cup,
   Salt – as needed,
   Green chillies – 1,
   Shallot  - 2-3,
   Ginger - 1/2 inch piece,
   Curry Leaves  – 5-6 leaves.</t>
  </si>
  <si>
    <t>தயிர் - 1 கப்,
தண்ணீர் - 1 1/2 கப்,
உப்பு - தேவைக்கேற்ப,
பச்சை மிளகாய் - 1,
வெங்காயம் - 2-3,
இஞ்சி - 1/2 அங்குல துண்டு,
கறிவேப்பிலை - 5-6 இலைகள்.</t>
  </si>
  <si>
    <t>Finely chop green chilli, ginger (peel the skin and chop) and shallots. You can also crush ginger and green chillies.
Blend 1 cup of curd with 1 1/2 cup of water. You can also use the traditional wooden churner called “mattu”. Add salt to taste.
Then add shallots, curry leaves, crushed ginger and green chillies. Mix well and leave it for 5 minutes for the flavors to get infused. Sambaram is ready to be served. 
Check out my another version of Spiced Buttermilk and also Kerala’s popular Moru Curry.</t>
  </si>
  <si>
    <t>பச்சை மிளகாய், இஞ்சி (தோல் உரித்து நறுக்கவும்) மற்றும் வெங்காயம் ஆகியவற்றை நன்றாக நறுக்கவும். நீங்கள் இஞ்சி மற்றும் பச்சை மிளகாயையும் நசுக்கலாம்.
1 கப் தயிருடன் 1 1/2 கப் தண்ணீரை கலக்கவும். நீங்கள் "மட்டு" என்று அழைக்கப்படும் பாரம்பரிய மரக் குழம்பையும் பயன்படுத்தலாம். சுவைக்கு உப்பு சேர்க்கவும்.
பின்னர் வெங்காயம், கறிவேப்பிலை, நொறுக்கப்பட்ட இஞ்சி மற்றும் பச்சை மிளகாய் சேர்க்கவும். நன்றாகக் கலந்து, சுவைகள் ஊற 5 நிமிடங்கள் விடவும். சாம்பரம் பரிமாறத் தயாராக உள்ளது.
மசாலா மோர் மற்றும் கேரளாவின் பிரபலமான மோரு கறியின் எனது மற்றொரு பதிப்பைப் பாருங்கள்.</t>
  </si>
  <si>
    <t>https://www.whiskaffair.com/wp-content/uploads/2017/12/Sambaram-2-3.jpg</t>
  </si>
  <si>
    <t>Carrot Milkshake</t>
  </si>
  <si>
    <t>கேரட் மில்க் ஷேக்</t>
  </si>
  <si>
    <t xml:space="preserve">   Carrot – 1/2 cup grated,
   Milk – 1 1/4 cup,
   Almonds – 4-5,
   Dates – 4.</t>
  </si>
  <si>
    <t>கேரட் - 1/2 கப் துருவியது,
பால் - 1 1/4 கப்,
பாதாம் - 4-5,
பேரிக்காய் - 4.</t>
  </si>
  <si>
    <t>Heat a pan, add grated carrots and saute them on low heat. You may sprinkle 1-2 tbsp of water. Cook until the raw smell of the carrot goes. Do not overcook the carrots. Leave it to cool.
Grind the carrots with 1/4 cup of milk.
Then add the rest of the milk, dates-almond paste and blend until smooth. Enjoy!!</t>
  </si>
  <si>
    <t>ஒரு பாத்திரத்தை சூடாக்கி, துருவிய கேரட்டைச் சேர்த்து குறைந்த தீயில் வதக்கவும். 1-2 டேபிள்ஸ்பூன் தண்ணீர் தெளிக்கலாம். கேரட்டின் பச்சை வாசனை போகும் வரை சமைக்கவும். கேரட்டை அதிகமாக வேகவிடாதீர்கள். அதை குளிர்விக்க விடவும்.
கேரட்டை 1/4 கப் பாலுடன் அரைக்கவும்.
பின்னர் மீதமுள்ள பால், பேரீச்சம்பழம்-பாதாம் விழுது சேர்த்து மிருதுவாகும் வரை கலக்கவும். மகிழுங்கள்!!</t>
  </si>
  <si>
    <t>https://encrypted-tbn0.gstatic.com/images?q=tbn:ANd9GcRmX-C_nhOa8P0RwZlY_2gsPFgoDgqgA2OqKw&amp;s</t>
  </si>
  <si>
    <t>Falooda Ice Cream</t>
  </si>
  <si>
    <t>ஃபலூடா ஐஸ்கிரீம்</t>
  </si>
  <si>
    <t xml:space="preserve">    Milk – 1 1/2 cup,
   Sugar – 1 tbsp,
   Jelly – 1/2 a packet,
   Sabja seeds/basil seeds/tukmaria – 1/2 tbsp,
   Falooda Sev – 4 tbsp or as needed,
   Pineapple,
   Apple,
   Pomegranates,
   Mangoes,
   Almonds – 10-12,
   Cashew nuts – 10-12,
   Pistachio – 10-12,
   Glazed Cherries – 2 tbps,
   Vanilla Ice Cream – 2 generous scoop.</t>
  </si>
  <si>
    <t>பால் - 1 1/2 கப்,
சர்க்கரை - 1 டீஸ்பூன்,
ஜெல்லி - ஒரு பாக்கெட்டில் 1/2,
சப்ஜா விதைகள்/துளசி விதைகள்/துக்மரியா - 1/2 டீஸ்பூன்,
ஃபலூடா சேவ் - 4 டீஸ்பூன் அல்லது தேவைக்கேற்ப,
அன்னாசி,
ஆப்பிள்,
மாதுளை,
மாம்பழம்,
பாதாம் - 10-12,
முந்திரி - 10-12,
பிஸ்தா - 10-12,
மெருகூட்டப்பட்ட செர்ரி - 2 டீஸ்பூன்,
வெனிலா ஐஸ்கிரீம் - 2 தாராளமான ஸ்கூப்.</t>
  </si>
  <si>
    <t>Boil 1 1/2 cup of milk and reduce it to 1 cup. Sweeten it with sugar. Cool and refrigerate it. We need chilled milk for making falooda.
Prepare jelly as per instructions on the packet. You can use any flavored jelly (preferably strawberry or raspberry flavor). Vegetarian jelly is available in the market or you can use agar agar. One packet of jelly makes 4 faloodas.
Soak 1/2 tbsp of sabja seeds in 3/4 cup of water for 20 minutes. Drain the excess water and keep it aside.
Prepare falooda sev as given in the Falooda Sev Recipe. You can also use ready made falooda sev. If you cannot get or if you do not want to make falooda sev at home, you can use cooked fine vermicelli.
Chill the glass in which you are going to layer the falooda for 10 minutes in the refrigerator.
Clean and cut all the fruits. I have used pineapple, apples, pomegranates and mangoes. Avoid fruits with high water content like watermelon, cantaloupe etc. You will need 1 cup of mixed fruits.
Toast almonds, cashew nut and pistachio separately and chop it. Keep it aside.
Chop glazed cherries and keep it aside. Reserve 2 whole cherries for garnishing.
All the ingredients are kept ready below. Once the ingredients are kept ready, making falooda is a breeze.
There are no hard and fast rules when it comes to layering. It is your personal choice. For royal falooda, you can start with rose syrup but since I am not fond of rose syrup, I have skipped that. 
Layer the bottom of the glass with jelly.
Then top it with sabja seeds.
Then top it with a layer of falooda sev.
Then add a layer of mixed fruits.
Add chopped nuts followed by chopped glazed cherries.
Add half cup of chilled sweetened milk.
Top it with a generous scoop of vanilla ice cream.
Garnish with some nuts, cherries and fruits. Finally decorate it with a whole cherry and serve chilled.</t>
  </si>
  <si>
    <t>1 1/2 கப் பாலை வேகவைத்து 1 கப்பாகக் குறைக்கவும். சர்க்கரையுடன் இனிப்பு செய்யவும். ஆறவைத்து குளிர்விக்கவும். ஃபலூடா தயாரிக்க நமக்கு குளிர்ந்த பால் தேவை.
பாக்கெட்டில் உள்ள வழிமுறைகளின்படி ஜெல்லியை தயார் செய்யவும். நீங்கள் எந்த சுவையூட்டப்பட்ட ஜெல்லியையும் பயன்படுத்தலாம் (முன்னுரிமை ஸ்ட்ராபெரி அல்லது ராஸ்பெர்ரி சுவை). சைவ ஜெல்லி சந்தையில் கிடைக்கிறது அல்லது நீங்கள் அகர் அகாரைப் பயன்படுத்தலாம். ஒரு பாக்கெட் ஜெல்லி 4 ஃபலூடாக்களை உருவாக்குகிறது.
1/2 டீஸ்பூன் சப்ஜா விதைகளை 3/4 கப் தண்ணீரில் 20 நிமிடங்கள் ஊற வைக்கவும். அதிகப்படியான தண்ணீரை வடிகட்டி தனியாக வைக்கவும்.
ஃபலூடா சேவ் செய்முறையில் கொடுக்கப்பட்டுள்ளபடி பலூடா சேவ் தயாரிக்கவும். நீங்கள் தயாராக தயாரிக்கப்பட்ட பலூடா சேவையும் பயன்படுத்தலாம். உங்களிடம் கிடைக்கவில்லை என்றால் அல்லது வீட்டில் பலூடா சேவ் செய்ய விரும்பவில்லை என்றால், நீங்கள் சமைத்த நன்றாக வெர்மிசெல்லியைப் பயன்படுத்தலாம்.
நீங்கள் பலூடாவை அடுக்கி வைக்கப் போகும் கிளாஸை குளிர்சாதன பெட்டியில் 10 நிமிடங்கள் குளிர வைக்கவும்.
அனைத்து பழங்களையும் சுத்தம் செய்து வெட்டவும். நான் அன்னாசி, ஆப்பிள், மாதுளை மற்றும் மாம்பழங்களைப் பயன்படுத்தினேன். தர்பூசணி, பாகற்காய் போன்ற அதிக நீர் உள்ளடக்கம் கொண்ட பழங்களைத் தவிர்க்கவும். உங்களுக்கு 1 கப் மிக்ஸ்டு ஃப்ரூட்ஸ் தேவைப்படும்.
பாதாம், முந்திரி மற்றும் பிஸ்தாவை தனித்தனியாக வறுத்து நறுக்கவும். அதை தனியாக வைக்கவும்.
மெருகூட்டப்பட்ட செர்ரிகளை நறுக்கி தனியாக வைக்கவும். அலங்காரத்திற்காக 2 முழு செர்ரிகளை ஒதுக்கி வைக்கவும்.
அனைத்து பொருட்களும் கீழே தயாராக உள்ளன. பொருட்கள் தயாராக வைக்கப்பட்டதும், பலூடா செய்வது ஒரு சுலபமான விஷயம்.
அடுக்குகள் போடுவதில் எந்த கடுமையான விதிகளும் இல்லை. அது உங்கள் தனிப்பட்ட விருப்பம். ராயல் பலூடாவிற்கு, நீங்கள் ரோஸ் சிரப்பில் தொடங்கலாம், ஆனால் எனக்கு ரோஸ் சிரப் பிடிக்காததால், நான் அதைத் தவிர்த்துவிட்டேன்.
கிளாஸின் அடிப்பகுதியில் ஜெல்லியை அடுக்கி வைக்கவும்.
பின்னர் அதன் மேல் சப்ஜா விதைகளைத் தடவவும்.
பின்னர் அதன் மேல் பலூடா சேவ் ஒரு அடுக்கால்.
பின்னர் கலவை பழங்களை ஒரு அடுக்கில் சேர்க்கவும்.
நறுக்கிய கொட்டைகளைச் சேர்க்கவும், பின்னர் நறுக்கிய மெருகூட்டப்பட்ட செர்ரிகளைச் சேர்க்கவும்.
அரை கப் குளிர்ந்த இனிப்புப் பால் சேர்க்கவும்.
அதன் மேல் ஒரு தாராளமான வெண்ணிலா ஐஸ்கிரீமை ஊற்றவும்.
சில கொட்டைகள், செர்ரிகள் மற்றும் பழங்களால் அலங்கரிக்கவும். இறுதியாக ஒரு முழு செர்ரியால் அலங்கரித்து குளிர்ந்து பரிமாறவும்.</t>
  </si>
  <si>
    <t>https://shwetainthekitchen.com/wp-content/uploads/2020/06/IMG_0058-scaled.jpg</t>
  </si>
  <si>
    <t>Vellari Pazham Milkshake</t>
  </si>
  <si>
    <t>வெள்ளரி பழம் - வெள்ளரி பழம் மில்க் ஷேக்</t>
  </si>
  <si>
    <t xml:space="preserve">   Cucumber fruit-vellari Pazham – 1 cup chopped,
   Chilled Milk – 1 cup,
   Sugar to taste,
   Ice cubes – 2-3.</t>
  </si>
  <si>
    <t>வெள்ளரி பழம் - வெள்ளரி பழம் - 1 கப் நறுக்கியது,
குளிர்ந்த பால் - 1 கப்,
சுவைக்கு சர்க்கரை,
ஐஸ் கட்டிகள் - 2-3.</t>
  </si>
  <si>
    <t>Wash, peel the skin and remove the seeds. Chop the vellari palam roughly.
Blend the cucumber fruit with 1/4 cup of milk to a smooth paste. Then add the rest of the milk, needed sugar, ice cubes and blend it smoothly.
Refrigerate it and enjoy chilled.</t>
  </si>
  <si>
    <t>கழுவி, தோலை உரித்து விதைகளை நீக்கவும். வெள்ளரி பழத்தை தோராயமாக நறுக்கவும்.
வெள்ளரி பழத்தை 1/4 கப் பாலுடன் சேர்த்து மென்மையான பேஸ்டாக அரைக்கவும். பின்னர் மீதமுள்ள பால், தேவையான சர்க்கரை, ஐஸ் கட்டிகள் சேர்த்து நன்கு கலக்கவும்.
குளிர்சாதன பெட்டியில் வைத்து குளிர்ச்சியாக மசிக்கவும்.</t>
  </si>
  <si>
    <t>https://verygoodrecipes.com/images/blogs/padhuskitchen/vellari-pazham-milkshake-cucumber-fruit-juice-recipe.160x120.jpg</t>
  </si>
  <si>
    <t>Dry Fruits Milkshake</t>
  </si>
  <si>
    <t>உலர் பழ மில்க் ஷேக்</t>
  </si>
  <si>
    <t xml:space="preserve">   Almond Milk – 1 1/4 cup,
   Dates – 4,
   Figs – 2,
   Almonds – 3 blanched,
   Cashew nuts – 3,
   Cardamom powder – a pinch,
   Honey or any other sweetener .</t>
  </si>
  <si>
    <t>பாதாம் பால் - 1 1/4 கப்,
பேரீச்சம்பழம் - 4,
அத்திப்பழம் - 2,
பாதாம் - 3 வெளுத்த,
முந்திரி பருப்பு - 3,
ஏலக்காய் தூள் - ஒரு சிட்டிகை,
தேன் அல்லது வேறு ஏதேனும் இனிப்பு.</t>
  </si>
  <si>
    <t>Blend together 1/4 cup of milk, soaked dates, figs, cashew nuts and blanched almonds slightly coarse.
Add the rest of the milk, cardamom powder and blend again. You can garnish with 1-2 slivered almonds, if preferred.
Pour it into a glass and serve chilled.</t>
  </si>
  <si>
    <t>1/4 கப் பால், ஊறவைத்த பேரீச்சம்பழம், அத்திப்பழம், முந்திரி பருப்பு மற்றும் வெளுத்த பாதாம் ஆகியவற்றை சிறிது கரடுமுரடாக ஒன்றாகக் கலக்கவும்.
மீதமுள்ள பால், ஏலக்காய் தூள் சேர்த்து மீண்டும் கலக்கவும். விரும்பினால், 1-2 துருவிய பாதாம் பருப்புகளால் அலங்கரிக்கலாம்.
ஒரு கிளாஸில் ஊற்றி குளிர்ந்து பரிமாறவும்.</t>
  </si>
  <si>
    <t>https://encrypted-tbn0.gstatic.com/images?q=tbn:ANd9GcTsgihXwlBV_jlCd7qT8-0bgZmDeCopDzKk7Q&amp;s</t>
  </si>
  <si>
    <t>Almond Milk</t>
  </si>
  <si>
    <t>பாதாம் பால்</t>
  </si>
  <si>
    <t xml:space="preserve">   Almonds – 1 cup,
   Water – 4 cups,
  Milk - 4 cups,
   Cheese cloth.</t>
  </si>
  <si>
    <t>பாதாம் - 1 கப்,
தண்ணீர் - 4 கப்,
பால் - 4 கப்,
சீஸ் துணி.</t>
  </si>
  <si>
    <t>Wash and soak almonds overnight or for 8-10 hours. Alternatively instead of soaking, you can also blanch almonds, remove the skin and use it to extract milk.
Next day or after 8-10 hours – Wash almonds well. You can peel the skin of the almonds, if you want, but it is not necessary.
Add 1 cup of water and blend the almonds to a smooth paste. Then add the rest of the water and blend for a few minutes or until frothy.
Homemade Almond Milk Recipe 
Line a sieve with a cheese cloth (or any soft clean cotton cloth) and strain it. Gather up the cheesecloth and squeeze it gently to extract more milk.
Fresh Homemade almond milk is ready. You can discard the pulp or use it when making rotis or you can dry it and use it in baking, in place of almond flour.
You can sweeten your almond milk by adding honey, maple syrup or ground dates paste.
You can flavor it by adding 3/4 tsp vanilla extract or 1/2 tsp cinnamon powder.
Apart from drinking it plain, you can add it to your cereals, use it in cooking, make delicious fruit smoothies, milkshakes, chocolate flavored almond milk etc.</t>
  </si>
  <si>
    <t>பாதாமை இரவு முழுவதும் அல்லது 8-10 மணி நேரம் கழுவி ஊற வைக்கவும். ஊறவைப்பதற்கு பதிலாக, நீங்கள் பாதாமை வெளுத்து, தோலை நீக்கி பால் எடுக்க பயன்படுத்தலாம்.
அடுத்த நாள் அல்லது 8-10 மணி நேரம் கழித்து - பாதாமை நன்றாக கழுவவும். நீங்கள் விரும்பினால், பாதாமின் தோலை உரிக்கலாம், ஆனால் அது தேவையில்லை.
1 கப் தண்ணீர் சேர்த்து பாதாமை மென்மையான பேஸ்டாக கலக்கவும். பின்னர் மீதமுள்ள தண்ணீரைச் சேர்த்து சில நிமிடங்கள் அல்லது நுரை வரும் வரை கலக்கவும்.
வீட்டில் தயாரிக்கப்பட்ட பாதாம் பால் செய்முறை
ஒரு சீஸ் துணியால் (அல்லது ஏதேனும் மென்மையான சுத்தமான பருத்தி துணியால்) ஒரு சல்லடையை வரிசைப்படுத்தி வடிகட்டி வடிகட்டவும். சீஸ் துணியை சேகரித்து மெதுவாக பிழிந்து அதிக பால் எடுக்கவும்.
புதிய வீட்டில் தயாரிக்கப்பட்ட பாதாம் பால் தயாராக உள்ளது. நீங்கள் கூழ் தூக்கி எறியலாம் அல்லது ரொட்டி தயாரிக்கும் போது பயன்படுத்தலாம் அல்லது உலர்த்தி பாதாம் மாவுக்கு பதிலாக பேக்கிங்கில் பயன்படுத்தலாம்.
உங்கள் பாதாம் பாலை இனிப்பாக்க தேன், மேப்பிள் சிரப் அல்லது அரைத்த பேரீச்சம்பழ விழுது ஆகியவற்றைச் சேர்க்கலாம்.
3/4 தேக்கரண்டி வெண்ணிலா சாறு அல்லது 1/2 தேக்கரண்டி இலவங்கப்பட்டை தூள் சேர்த்து சுவைக்கலாம்.
இதை சாதாரணமாக குடிப்பதைத் தவிர, உங்கள் தானியங்களில் சேர்க்கலாம், சமையலில் பயன்படுத்தலாம், சுவையான பழ ஸ்மூத்திகள், மில்க் ஷேக்குகள், சாக்லேட் சுவையுள்ள பாதாம் பால் போன்றவற்றை செய்யலாம்.</t>
  </si>
  <si>
    <t>https://www.ambitiouskitchen.com/wp-content/uploads/2021/09/Vanilla-Almond-Milk-10.jpg</t>
  </si>
  <si>
    <t>Badam Paal</t>
  </si>
  <si>
    <t xml:space="preserve">   Milk - 2 1/2 cup,
   Almonds – 16,
   Saffron – 3 strands,
   Cardamom Powder – 1/4 tsp,
   Sugar – 2 1/2 tbsp or as needed,
   Pistachio - 3,
   Almonds - 2,
   Cashew nuts - 2.</t>
  </si>
  <si>
    <t>பால் - 2 1/2 கப்,
பாதாம் - 16,
குங்குமப்பூ - 3 இழைகள்,
ஏலக்காய் தூள் - 1/4 தேக்கரண்டி,
சர்க்கரை - 2 1/2 தேக்கரண்டி அல்லது தேவைக்கேற்ப,
பிஸ்தா - 3,
பாதாம் - 2,
முந்திரி பருப்பு - 2.</t>
  </si>
  <si>
    <t>Boil milk. Soak the saffron strands in 1/4 cup of hot milk.
Dry roast the ingredients given under “for the powder” slightly and powder it. Keep it aside.
Soak almonds in hot water for 1/2 an hour. Peel the skin and grind it with a little milk slightly coarse.
Boil the remaining milk on medium heat stirring continuously until it reduces a little.
Add the saffron soaked milk, ground almond paste, cardamom powder and sugar needed.
Boil on medium heat for a few more minutes stirring continuously. Add the prepared powder, mix well and cook for a further 2-3 minutes.
Remove from heat and serve hot. You can garnish with a saffron strand and sprinkle the powder we prepared.</t>
  </si>
  <si>
    <t>பால் கொதிக்க வைக்கவும். குங்குமப்பூ இழைகளை 1/4 கப் சூடான பாலில் ஊற வைக்கவும்.
“பொடிக்கு” ​​என்பதன் கீழ் கொடுக்கப்பட்டுள்ள பொருட்களை சிறிது வறுத்து பொடி செய்யவும். அதை ஒதுக்கி வைக்கவும்.
பாதாமை 1/2 மணி நேரம் வெந்நீரில் ஊற வைக்கவும். தோலை உரித்து சிறிது பாலுடன் சிறிது கரடுமுரடாக அரைக்கவும்.
மீதமுள்ள பாலை மிதமான தீயில் தொடர்ந்து கொதிக்க வைத்து, அது சிறிது குறையும் வரை கொதிக்க வைக்கவும்.
குங்குமப்பூ ஊறவைத்த பால், அரைத்த பாதாம் விழுது, ஏலக்காய் தூள் மற்றும் தேவையான சர்க்கரை சேர்க்கவும்.
தொடர்ந்து கிளறி, இன்னும் சில நிமிடங்கள் மிதமான தீயில் கொதிக்க வைக்கவும். தயாரிக்கப்பட்ட பொடியைச் சேர்த்து, நன்கு கலந்து, மேலும் 2-3 நிமிடங்கள் சமைக்கவும்.
வெப்பத்திலிருந்து நீக்கி சூடாகப் பரிமாறவும். நீங்கள் ஒரு குங்குமப்பூ இழையால் அலங்கரித்து, நாங்கள் தயாரித்த பொடியைத் தூவலாம்.</t>
  </si>
  <si>
    <t>https://www.yummytummyaarthi.com/wp-content/uploads/2013/11/badam-milk-1.jpeg</t>
  </si>
  <si>
    <t>Sukku Malli Coffee</t>
  </si>
  <si>
    <t>சுக்கு மல்லி காபி</t>
  </si>
  <si>
    <t xml:space="preserve">   Coriander seeds – 2 tsp,
   Dry ginger – 1/2 inch piece,
   Whole black Pepper – 3 ,
   Water – 2 cups,
   Palm jaggery or jaggery – 1-2 tsp.</t>
  </si>
  <si>
    <t>கொத்தமல்லி விதைகள் - 2 தேக்கரண்டி,
உலர் இஞ்சி - 1/2 அங்குல துண்டு,
முழு கருப்பு மிளகு - 3,
தண்ணீர் - 2 கப்,
பனை வெல்லம் அல்லது வெல்லம் - 1-2 தேக்கரண்டி.</t>
  </si>
  <si>
    <t xml:space="preserve">
Bring 2 cup of water to boil, add the sukku malli coffee powder and boil on medium heat until it reduces to half  the quantity.
Add palm jaggery (karupatti or pana vellem) or jaggery to taste. Once it dissolves, remove from heat, filter it and sip it slightly hot.</t>
  </si>
  <si>
    <t>2 கப் தண்ணீரை கொதிக்க வைத்து, சுக்கு மல்லி காபி பொடியைச் சேர்த்து, அளவு பாதியாகக் குறையும் வரை மிதமான தீயில் கொதிக்க வைக்கவும்.
பனை வெல்லம் (கருப்பட்டி அல்லது பன வெல்லம்) அல்லது வெல்லத்தைச் சுவைக்கேற்ப சேர்க்கவும். அது கரைந்ததும், அடுப்பிலிருந்து இறக்கி, வடிகட்டி, சிறிது சூடாகப் பருகவும்.</t>
  </si>
  <si>
    <t>https://m.media-amazon.com/images/I/81wRDw6f9SL.jpg</t>
  </si>
  <si>
    <t>Pomegranate Milkshake</t>
  </si>
  <si>
    <t>மாதுளை மில்க் ஷேக்</t>
  </si>
  <si>
    <t xml:space="preserve">   Pomegranate – 2 ,
   Milk – 3/4- 1 cup,
   Honey – 2 tsp ,
   Chia seeds – 2 tsp.</t>
  </si>
  <si>
    <t>மாதுளை - 2 ,
பால் - 3/4- 1 கப்,
தேன் - 2 தேக்கரண்டி ,
சியா விதைகள் - 2 தேக்கரண்டி.</t>
  </si>
  <si>
    <t>Cut pomegranate into half, then just start hitting the back of the fruit with a wooden ladle. All the seeds will come off easily.
Soak the chia seeds for about 5-10 minutes just prior to blending in very less water.
Blend pomegranate pearls (seeds), honey and milk together in a blender and filter it. Then add chia seeds to the filtered milkshake and blend again. Consume immediately.</t>
  </si>
  <si>
    <t>மாதுளையை பாதியாக வெட்டி, பின்னர் ஒரு மர கரண்டியால் பழத்தின் பின்புறத்தில் அடிக்கத் தொடங்குங்கள். அனைத்து விதைகளும் எளிதில் வெளியே வரும்.
மிகக் குறைந்த தண்ணீரில் கலக்கும் முன் சியா விதைகளை சுமார் 5-10 நிமிடங்கள் ஊற வைக்கவும்.
மாதுளை முத்துக்கள் (விதைகள்), தேன் மற்றும் பால் ஆகியவற்றை ஒரு பிளெண்டரில் ஒன்றாகக் கலந்து வடிகட்டி வைக்கவும். பின்னர் வடிகட்டிய மில்க் ஷேக்கில் சியா விதைகளைச் சேர்த்து மீண்டும் கலக்கவும். உடனடியாக உட்கொள்ளவும்.</t>
  </si>
  <si>
    <t>https://encrypted-tbn0.gstatic.com/images?q=tbn:ANd9GcRfmL1nohiBFsFSwjp3rgAQ5PDqHD9vZMaZHA&amp;s</t>
  </si>
  <si>
    <t xml:space="preserve">Orange Mint Passion Fruit Juice </t>
  </si>
  <si>
    <t>ஆரஞ்சு புதினா பேஷன் பழச்சாறு</t>
  </si>
  <si>
    <t xml:space="preserve">   Passion Fruit - 2,
   Oranges - 2,
   Mint leaves - 1/4 cup,
   Sugar,
   Ice cubes.</t>
  </si>
  <si>
    <t>பேஷன் பழம் - 2,
ஆரஞ்சு - 2,
புதினா இலைகள் - 1/4 கப்,
சர்க்கரை,
ஐஸ் கட்டிகள்.</t>
  </si>
  <si>
    <t>Combine fresh orange juice, mint juice, passion fruit pulp, sugar and blend it just for a second. It is just to separate the seeds from the jelly. Make sure you do not over blend as the seeds will become gritty.
Top it with ice cubes and serve chilled. Beat the summer heat with this cold and refreshing orange mint passion fruit juice.</t>
  </si>
  <si>
    <t>புதிதாக ஆரஞ்சு சாறு, புதினா சாறு, பேஷன் பழ கூழ், சர்க்கரை ஆகியவற்றை சேர்த்து ஒரு நொடி மட்டும் கலக்கவும். ஜெல்லியிலிருந்து விதைகளைப் பிரிக்க இது போதுமானது. விதைகள் கரகரப்பாக மாறும் என்பதால் அதிகமாக கலக்க வேண்டாம்.
அதன் மேல் ஐஸ் கட்டிகளை ஊற்றி குளிர்ச்சியாகப் பரிமாறவும். இந்த குளிர்ச்சியான மற்றும் புத்துணர்ச்சியூட்டும் ஆரஞ்சு புதினா பேஷன் பழச்சாற்றைக் கொண்டு கோடை வெப்பத்தைத் தணிக்கவும்.</t>
  </si>
  <si>
    <t>https://emilylaurae.com/wp-content/uploads/2022/08/passion-fruit-juice-2.jpg</t>
  </si>
  <si>
    <t>Pomegranate Juice</t>
  </si>
  <si>
    <t>மாதுளை சாறு</t>
  </si>
  <si>
    <t xml:space="preserve">   Pomegranate - 1 big ,
   Chilled water - 1 cup,
   Sweetener of your choice.</t>
  </si>
  <si>
    <t>மாதுளை - 1 பெரியது,
குளிர்ந்த நீர் - 1 கப்,
உங்களுக்கு விருப்பமான இனிப்பு.</t>
  </si>
  <si>
    <t>Cut the top crown of the pomegranate fruit to reveal the seeds.
Then make 4-5 length wise cuts/slits on the outside from the top of the fruit starting from the crown to the bottom following the white pith lines (indicated by an arrow in the picture above). Then pull apart the fruit. That’s it.
Separate the seeds and discard the rind and pith. If there are few small white membranes or pith, do not bother as we are going to strain the pomegranate juice after blending it.
Add 2 cups of pomegranate seeds and 1 cup of cold water in a blender/mixer. Blend it for a few seconds. Then strain the juice using a mesh strainer. Press the pulp with a ladle to extract as much juice as possible.
If required add sugar to taste. I did not add sugar as the pomegranate was naturally sweet.</t>
  </si>
  <si>
    <t>மாதுளை பழத்தின் மேல் பகுதியை விதைகள் தெரியும்படி வெட்டுங்கள்.
பின்னர் பழத்தின் மேல் பகுதியிலிருந்து வெளிப்புறத்தில் 4-5 நீள வெட்டுக்கள்/பிளவுகளை வெள்ளை குழி கோடுகளைப் பின்பற்றி (மேலே உள்ள படத்தில் ஒரு அம்புக்குறியால் குறிக்கப்பட்டுள்ளது) செய்யவும். பின்னர் பழத்தை பிரிக்கவும். அவ்வளவுதான்.
விதைகளைப் பிரித்து, தோலையும் குழியையும் நிராகரிக்கவும். சிறிய வெள்ளை சவ்வுகள் அல்லது குழி இருந்தால், கவலைப்பட வேண்டாம், ஏனெனில் மாதுளை சாற்றை கலந்த பிறகு வடிகட்டுவோம்.
2 கப் மாதுளை விதைகள் மற்றும் 1 கப் குளிர்ந்த நீரை ஒரு பிளெண்டர்/மிக்சியில் சேர்க்கவும். சில வினாடிகள் கலக்கவும். பின்னர் ஒரு வலை வடிகட்டியைப் பயன்படுத்தி சாற்றை வடிகட்டவும். முடிந்தவரை சாறு எடுக்க ஒரு கரண்டியால் கூழ் அழுத்தவும்.
தேவைப்பட்டால் சுவைக்கு சர்க்கரை சேர்க்கவும். மாதுளை இயற்கையாகவே இனிப்பாக இருந்ததால் நான் சர்க்கரை சேர்க்கவில்லை.</t>
  </si>
  <si>
    <t>https://encrypted-tbn0.gstatic.com/images?q=tbn:ANd9GcTKbo0mq3PS1WLybkIeMPm0gIbVUrr8xvm1vg&amp;s</t>
  </si>
  <si>
    <t>Mixed Berry Banana Smoothie</t>
  </si>
  <si>
    <t>மிக்ஸ்டு பெர்ரி வாழைப்பழ ஸ்மூத்தி</t>
  </si>
  <si>
    <t xml:space="preserve">   Raspberry - 1/2 cup,
   Blueberry - 1/2 cup,,
   Black berry - 1/2 cup,
   Strawberry - 1/2 cup,
   Ripe Banana - 1 ,
    yogurt - 1/4 cup,
  Milk - 1/2-3/4 cup,
   Honey or sugar to taste.</t>
  </si>
  <si>
    <t>ராஸ்பெர்ரி - 1/2 கப்,
புளுபெர்ரி - 1/2 கப்,,
பிளாக் பெர்ரி - 1/2 கப்,
ஸ்ட்ராபெரி - 1/2 கப்,
பழுத்த வாழைப்பழம் - 1 ,
தயிர் - 1/4 கப்,
பால் - 1/2-3/4 கப்,
சுவைக்கேற்ப தேன் அல்லது சர்க்கரை.</t>
  </si>
  <si>
    <t>In a blender, add all the berries, chopped banana, Greek yogurt (this gives a creamy texture to the smoothie), milk, honey and blend everything together until smooth and forthy.
Serve chilled. You can use frozen berries also. When you run out of time or when you are in a hurry, you can prepare this smoothie in a jiffy and have it for breakfast.</t>
  </si>
  <si>
    <t>ஒரு பிளெண்டரில், அனைத்து பெர்ரிகளையும், நறுக்கிய வாழைப்பழம், கிரேக்க தயிர் (இது ஸ்மூத்திக்கு ஒரு கிரீமி அமைப்பைக் கொடுக்கும்), பால், தேன் ஆகியவற்றைச் சேர்த்து, மென்மையாகவும் உறுதியாகவும் கலக்கவும்.
குளிர்ச்சியாகப் பரிமாறவும். நீங்கள் உறைந்த பெர்ரிகளையும் பயன்படுத்தலாம். நேரம் தீர்ந்து போகும்போது அல்லது நீங்கள் அவசரமாக இருக்கும்போது, ​​இந்த ஸ்மூத்தியை ஒரு நொடியில் தயாரித்து காலை உணவாக சாப்பிடலாம்.</t>
  </si>
  <si>
    <t>https://gimmedelicious.com/wp-content/uploads/2021/02/Mixed-Berry-Banana-Smoothie-SQ.jpg</t>
  </si>
  <si>
    <t>Nutella Banana Milkshake</t>
  </si>
  <si>
    <t>நுடெல்லா வாழைப்பழ மில்க் ஷேக்</t>
  </si>
  <si>
    <t xml:space="preserve">   Nutella - 3 tbps ,
   Milk – boiled and chilled - 1 cup,
   Banana -1.</t>
  </si>
  <si>
    <t>நுடெல்லா - 3 டேபிள்ஸ்பூன்,
பால் - வேகவைத்து குளிரூட்டப்பட்டது - 1 கப்,
வாழைப்பழம் -1.</t>
  </si>
  <si>
    <t>In a blender, blend together banana, nutella and chilled milk. You do not need sugar for this as nutella has sugar in it. If you are using small bananas, you can use 2 bananas otherwise 1 banana is enough.
Pour it into a glass and serve chilled. It is quite filling and very delicious. Banana and chocolate are made for each other.
You will love this banana custard with chocolate topping also.</t>
  </si>
  <si>
    <t>ஒரு பிளெண்டரில், வாழைப்பழம், நுடெல்லா மற்றும் குளிர்ந்த பால் ஆகியவற்றை ஒன்றாக கலக்கவும். நுடெல்லாவில் சர்க்கரை இருப்பதால் இதற்கு சர்க்கரை தேவையில்லை. நீங்கள் சிறிய வாழைப்பழங்களைப் பயன்படுத்துகிறீர்கள் என்றால், நீங்கள் 2 வாழைப்பழங்களைப் பயன்படுத்தலாம், இல்லையெனில் 1 வாழைப்பழம் போதும்.
ஒரு கிளாஸில் ஊற்றி குளிர்ச்சியாகப் பரிமாறவும். இது மிகவும் நிறைவாகவும் மிகவும் சுவையாகவும் இருக்கிறது. வாழைப்பழமும் சாக்லேட்டும் ஒன்றோடொன்று தயாரிக்கப்படுகின்றன.
சாக்லேட் டாப்பிங்குடன் இந்த வாழைப்பழ கஸ்டர்டை நீங்கள் விரும்புவீர்கள்.</t>
  </si>
  <si>
    <t>https://tidymom.net/blog/wp-content/uploads/2020/08/nutella-banana-milkshake-pic.jpg</t>
  </si>
  <si>
    <t>Oreo Milkshake</t>
  </si>
  <si>
    <t>ஓரியோ மில்க் ஷேக்</t>
  </si>
  <si>
    <t xml:space="preserve">   Oreo cookies - 5,
   Milk -1 1/4 cup ,
   Vanilla ice cream – 40 grams.</t>
  </si>
  <si>
    <t>ஓரியோ குக்கீகள் - 5,
பால் -1 1/4 கப்,
வெண்ணிலா ஐஸ்கிரீம் - 40 கிராம்.</t>
  </si>
  <si>
    <t>In a blender, blend 5 oreo cookies, ice cream and milk together.
Pour into a glass, garnish with some crushed oreos and serve cold.</t>
  </si>
  <si>
    <t>ஒரு பிளெண்டரில், 5 ஓரியோ குக்கீகள், ஐஸ்கிரீம் மற்றும் பால் ஆகியவற்றை ஒன்றாகக் கலக்கவும்.
ஒரு கிளாஸில் ஊற்றி, சிறிது நொறுக்கப்பட்ட ஓரியோக்களால் அலங்கரித்து, குளிர்ச்சியாகப் பரிமாறவும்.</t>
  </si>
  <si>
    <t>https://encrypted-tbn0.gstatic.com/images?q=tbn:ANd9GcRoO-Sa3oXjmOAq2jptEqJ3RfOhMGKkYaWmNA&amp;s</t>
  </si>
  <si>
    <t>Watermelon Muskmelon Juice</t>
  </si>
  <si>
    <t>தர்பூசணி முலாம்பழ சாறு</t>
  </si>
  <si>
    <t xml:space="preserve">   Watermelon chopped - 1 cup,
   Muskmelon chopped - 1 cup,
   Honey - 1 tsp (optional),
   Ice cubes - 2-3.</t>
  </si>
  <si>
    <t>தர்பூசணி நறுக்கியது - 1 கப்,
தர்பூசணி நறுக்கியது - 1 கப்,
தேன் - 1 தேக்கரண்டி (விரும்பினால்),
ஐஸ் கட்டிகள் - 2-3.</t>
  </si>
  <si>
    <t>Peel the skin and scoop out the seeds for both musk melon and watermelon. Cut it into cubes.
In a blender, combine together watermelon, muskmelon, crushed ice cubes and blend until smooth. Pour into a tall glass and enjoy!! You do not need honey but if required add a tsp of honey along with the fruits and blend everything together.
Melons have a cooling effect on the body so this is a perfect summer drink.</t>
  </si>
  <si>
    <t>தோலை உரித்து, கஸ்தூரி முலாம்பழம் மற்றும் தர்பூசணி இரண்டிற்கும் விதைகளை எடுத்துக் கொள்ளுங்கள். அதை க்யூப்ஸாக வெட்டுங்கள்.
ஒரு பிளெண்டரில், தர்பூசணி, முலாம்பழம், நொறுக்கப்பட்ட ஐஸ் கட்டிகள் ஆகியவற்றை ஒன்றாக சேர்த்து மென்மையான வரை கலக்கவும். ஒரு உயரமான கிளாஸில் ஊற்றி மசித்து மசிக்கவும்!! உங்களுக்கு தேன் தேவையில்லை, ஆனால் தேவைப்பட்டால் பழங்களுடன் ஒரு தேக்கரண்டி தேனைச் சேர்த்து எல்லாவற்றையும் ஒன்றாக கலக்கவும்.
முலாம்பழம் உடலுக்கு குளிர்ச்சியான விளைவைக் கொண்டிருப்பதால், இது ஒரு சரியான கோடைகால பானமாகும்.</t>
  </si>
  <si>
    <t>https://static.toiimg.com/photo/100964218/100964218.jpg?v=3</t>
  </si>
  <si>
    <t xml:space="preserve">   Strawberries – 3/4 cup,
   Cold milk  – 1 1/4 cup,
   Sugar or honey to taste.</t>
  </si>
  <si>
    <t>ஸ்ட்ராபெர்ரிகள் - 3/4 கப்,
குளிர்ந்த பால் - 1 1/4 கப்,
சுவைக்கேற்ப சர்க்கரை அல்லது தேன்.</t>
  </si>
  <si>
    <t>In a blender, add strawberries, milk, sugar/honey and blend until smooth.
Pour into a tall glass and serve chilled.</t>
  </si>
  <si>
    <t>ஒரு பிளெண்டரில், ஸ்ட்ராபெர்ரிகள், பால், சர்க்கரை/தேன் சேர்த்து மென்மையான வரை கலக்கவும்.
ஒரு உயரமான கிளாஸில் ஊற்றி குளிர்ந்து பரிமாறவும்.</t>
  </si>
  <si>
    <t>https://www.thehungrybites.com/wp-content/uploads/2023/06/Strawberry-milkshake-frappuccino-featured.jpg</t>
  </si>
  <si>
    <t>Multigrain Porridge</t>
  </si>
  <si>
    <t>பல தானிய கஞ்சி</t>
  </si>
  <si>
    <t xml:space="preserve">   Finger millet - 1/4 kg,
   Pear millet - 1/4 kg,
   Green gram – 1/4 kg,
   Wheat – 1/4 kg,
   Par boiled rice  – 1/4 kg,
   Fried gram - 100 grams,
   Barley – 100 grams,
   Sago – 50 grams,
   Dry ginger - 2 inch piece,
   Almonds - 25 grams.</t>
  </si>
  <si>
    <t>கேழ்வரகு - 1/4 கிலோ,
பேரிக்காய் - 1/4 கிலோ,
பச்சைப்பயறு - 1/4 கிலோ,
கோதுமை - 1/4 கிலோ,
புழுங்கல் அரிசி - 1/4 கிலோ,
வறுத்த பருப்பு - 100 கிராம்,
பார்லி - 100 கிராம்,
ஜவ்வரிசி - 50 கிராம்,
உலர்ந்த இஞ்சி - 2 அங்குல துண்டு,
பாதாம் - 25 கிராம்.</t>
  </si>
  <si>
    <t>Wash finger millet/ragi well and soak it in water overnight.
Next day, rinse well , drain the water, tie it in a muslin cloth and hang it.
Leave it for sprouting. Rinse once in between.
After it has sprouted, rinse it again gently, drain the water and spread it on a cloth for drying. Dry it well either in the sun or in shade inside the house.
After it has dried well, dry roast it, till you get a nice aroma.
Repeat the same process as above for Pearl millet, Green gram and Wheat.
Dry roast boiled rice, fried gram, barley, sago, dry ginger and almonds separately.
Now combine all the 10 ingredients and get it ground in the flour mill/rice mill.
Your porridge powder is ready.</t>
  </si>
  <si>
    <t>கேழ்வரகு / ராகி ஆகியவற்றை நன்கு கழுவி இரவு முழுவதும் தண்ணீரில் ஊற வைக்கவும்.
மறுநாள், நன்கு துவைத்து, தண்ணீரை வடித்து, ஒரு மஸ்லின் துணியில் கட்டி தொங்க விடவும்.
முளைக்க விடவும். இடையில் ஒரு முறை துவைக்கவும்.
அது முளைத்த பிறகு, மீண்டும் மெதுவாக துவைக்கவும், தண்ணீரை வடித்து, உலர்த்த ஒரு துணியில் பரப்பவும். வெயிலில் அல்லது வீட்டின் உள்ளே நிழலில் நன்கு உலர வைக்கவும்.
அது நன்கு காய்ந்த பிறகு, நல்ல வாசனை வரும் வரை உலர வறுக்கவும்.
மேலே உள்ள அதே செயல்முறையை முத்து தினை, பச்சை பயறு மற்றும் கோதுமைக்கும் செய்யவும்.
வேகவைத்த அரிசி, வறுத்த பயறு, பார்லி, சவ்வரிசி, உலர்ந்த இஞ்சி மற்றும் பாதாம் ஆகியவற்றை தனித்தனியாக வறுத்துக்கொள்ளவும்.
இப்போது 10 பொருட்களையும் சேர்த்து மாவு ஆலை/அரிசி ஆலையில் அரைக்கவும்.
உங்கள் கஞ்சி பொடி தயாராக உள்ளது.</t>
  </si>
  <si>
    <t>https://thewoksoflife.com/wp-content/uploads/2019/11/chinese-multigrain-porridge-8-500x500.jpg</t>
  </si>
  <si>
    <t>Ginger Cardamom Tea</t>
  </si>
  <si>
    <t>இஞ்சி ஏலக்காய் தேநீர்</t>
  </si>
  <si>
    <t xml:space="preserve">Tea leaves or powder – 1 1/2 tsp,
Ginger - 1/2 inch piece,
Cardamom – 1 crushed ,
Milk – 1/2 cup,
Water - 1/3 cup,
Sugar to taste.
</t>
  </si>
  <si>
    <t>தேயிலை இலைகள் அல்லது தூள் - 1 1/2 தேக்கரண்டி,
இஞ்சி - 1/2 அங்குல துண்டு,
ஏலக்காய் - 1 நொறுக்கியது,
பால் - 1/2 கப்,
தண்ணீர் - 1/3 கப்,
சுவைக்கேற்ப சர்க்கரை.</t>
  </si>
  <si>
    <t>Bring 1/3 cup of water to boil. Add tea powder, crushed ginger, cardamom and boil it in medium low flame for 2 minutes. If you want it stronger brew it for more time.
Add milk and bring it to boil. When the milk boils and raises up, reduce the flame, then increase the flame again, let the milk rise up again. Switch off the flame and strain the tea into a teacup.
Add sugar to taste. You can add nattu sakkarai (natural unrefined cane sugar) instead of white sugar. I drink tea with nattu sakkarai and I do not find much difference. You can also try it.
Enjoy piping hot Indian Ginger cardamon tea!</t>
  </si>
  <si>
    <t>1/3 கப் தண்ணீரை கொதிக்க வைக்கவும். தேநீர் தூள், நொறுக்கப்பட்ட இஞ்சி, ஏலக்காய் சேர்த்து 2 நிமிடங்கள் மிதமான தீயில் கொதிக்க வைக்கவும். நீங்கள் அதை வலுவாக விரும்பினால் அதிக நேரம் காய்ச்சவும்.
பால் சேர்த்து கொதிக்க வைக்கவும். பால் கொதித்து மேலே எழும்பும்போது, ​​தீயைக் குறைத்து, பின்னர் தீயை மீண்டும் அதிகரிக்கவும், பால் மீண்டும் மேலே வரட்டும். தீயை அணைத்துவிட்டு தேநீரை ஒரு தேநீர் கோப்பையில் வடிகட்டவும்.
சுவைக்கேற்ப சர்க்கரை சேர்க்கவும். வெள்ளை சர்க்கரைக்கு பதிலாக நாட்டு சக்கரை (இயற்கை சுத்திகரிக்கப்படாத கரும்பு சர்க்கரை) சேர்க்கலாம். நான் நாட்டு சக்கரையுடன் தேநீர் குடிப்பேன், எனக்கு அதிக வித்தியாசம் தெரியவில்லை. நீங்களும் இதை முயற்சி செய்யலாம்.
சூடான இந்திய இஞ்சி ஏலக்காய் தேநீரை அனுபவிக்கவும்!</t>
  </si>
  <si>
    <t>https://encrypted-tbn0.gstatic.com/images?q=tbn:ANd9GcRMNpoFaiAd4nZnXeGC-EGtM4eLnYCp1Z1-7g&amp;s</t>
  </si>
  <si>
    <t>Green Tea</t>
  </si>
  <si>
    <t>பச்சை தேயிலை</t>
  </si>
  <si>
    <t>Green tea leaves- 1 tsp,
Water – 1 cup,
Honey to taste,
Fresh lemon juice to taste.</t>
  </si>
  <si>
    <t>பச்சை தேயிலை இலைகள் - 1 தேக்கரண்டி,
தண்ணீர் - 1 கப்,
சுவைக்கு தேன்,
சுவைக்கு புதிய எலுமிச்சை சாறு.</t>
  </si>
  <si>
    <t>Heat 1 cup of water. Do not bring it to boiling point. Switch off before that stage.
Add 1 tsp green tea and brew it for about 2-3 minutes. If you brew it longer, the the tea will taste bitter, so just 2-3 minutes is sufficient.
Strain the tea into a cup.
Add honey and a few drops of lemon juice to taste. Enjoy it piping hot!!</t>
  </si>
  <si>
    <t>1 கப் தண்ணீரை சூடாக்கவும். கொதிக்கும் நிலைக்கு கொண்டு வர வேண்டாம். அந்த நிலைக்கு முன் அணைக்கவும்.
1 தேக்கரண்டி பச்சை தேயிலை சேர்த்து சுமார் 2-3 நிமிடங்கள் காய்ச்சவும். நீங்கள் அதை நீண்ட நேரம் காய்ச்சினால், தேநீர் கசப்பாக இருக்கும், எனவே 2-3 நிமிடங்கள் மட்டுமே போதுமானது.
தேநீரை ஒரு கோப்பையில் வடிகட்டவும்.
சுவைக்கு தேன் மற்றும் சில துளிகள் எலுமிச்சை சாறு சேர்க்கவும். அதை சூடாக அனுபவிக்கவும்!!</t>
  </si>
  <si>
    <t>https://encrypted-tbn0.gstatic.com/images?q=tbn:ANd9GcSo71WCTXj1P3UzC2-Fcc8Fg4QOQQuKikRcmA&amp;s</t>
  </si>
  <si>
    <t>Lassi</t>
  </si>
  <si>
    <t>லஸ்ஸி</t>
  </si>
  <si>
    <t>Yogurt – 1 1/4 cup,
Sugar – 2 tbsp or as required,
Water – 1/4 cup,
Cardamom powder – a generous pinch.</t>
  </si>
  <si>
    <t>தயிர் - 1 1/4 கப்,
சர்க்கரை - 2 டேபிள்ஸ்பூன் அல்லது தேவைக்கேற்ப,
தண்ணீர் - 1/4 கப்,
ஏலக்காய்த்தூள் - ஒரு சிட்டிகை தாராளமாக.</t>
  </si>
  <si>
    <t>Blend together yogurt, sugar and water in a blender.
Sprinkle cardamom powder and serve chilled. Add ice cubes if required.</t>
  </si>
  <si>
    <t>தயிர், சர்க்கரை மற்றும் தண்ணீரை ஒரு பிளெண்டரில் ஒன்றாகக் கலக்கவும்.
ஏலக்காய்த்தூளைத் தூவி குளிர்ச்சியாகப் பரிமாறவும். தேவைப்பட்டால் ஐஸ் கட்டிகளைச் சேர்க்கவும்.</t>
  </si>
  <si>
    <t>https://encrypted-tbn0.gstatic.com/images?q=tbn:ANd9GcS4ILjPivZbD4Y_ttQXnMks-mzP2slpSmm1-Q&amp;s</t>
  </si>
  <si>
    <t>Pomegranate Beetroot Juice</t>
  </si>
  <si>
    <t>மாதுளை பீட்ரூட் சாறு</t>
  </si>
  <si>
    <t xml:space="preserve">   Pomegranates - 1 big sized fruit,
   Beetroot – peeled and chopped - 1/4 cup,
   Fresh lemon juice - 2 tsp,
   Honey - 2 tsp,
   Mint leave.</t>
  </si>
  <si>
    <t>மாதுளை - 1 பெரிய அளவிலான பழம்,
பீட்ரூட் - தோல் நீக்கி நறுக்கியது - 1/4 கப்,
புதினா இலைகள் புதிய எலுமிச்சை சாறு - 2 தேக்கரண்டி,
தேன் - 2 தேக்கரண்டி,
புதினா இலைகள்.</t>
  </si>
  <si>
    <t>Cut the pomegranates and separate the arils (seeds) from the white membrane. Add 1/4 cups of water and blend it for a few seconds in a blender or mixie.
Strain using a juice strainer and keep the pomegranates juice aside.
Grind beetroots with 1/4 cups of water to a smooth paste and strain it using a muslin cloth or cheese cloth or any thin cotton fabric. Squeeze to extract as much juice as possible. Now your beetroot juice is also ready.
Now mix beetroot juice, lemon juice and pomegranate juice together, add honey (if required) to taste.
Garnish with 2 fresh mint leaves and serve chilled.
I think it’s a great way to sneak beetroot into a kid’s diet and also to get someone who is not fond of beetroot to eat beets.</t>
  </si>
  <si>
    <t>மாதுளையை வெட்டி, வெள்ளை சவ்விலிருந்து விதைகளை பிரிக்கவும். 1/4 கப் தண்ணீரைச் சேர்த்து, மிக்ஸி அல்லது மிக்ஸியில் சில நொடிகள் கலக்கவும்.
சாறு வடிகட்டியைப் பயன்படுத்தி வடிகட்டி, மாதுளை சாற்றை ஒதுக்கி வைக்கவும்.
பீட்ரூட்டை 1/4 கப் தண்ணீரில் மென்மையான பேஸ்டாக அரைத்து, மஸ்லின் துணி அல்லது சீஸ் துணி அல்லது ஏதேனும் மெல்லிய பருத்தி துணியைப் பயன்படுத்தி வடிகட்டவும். முடிந்தவரை சாறு எடுக்க பிழியவும். இப்போது உங்கள் பீட்ரூட் சாறும் தயாராக உள்ளது.
இப்போது பீட்ரூட் சாறு, எலுமிச்சை சாறு மற்றும் மாதுளை சாறு ஆகியவற்றை ஒன்றாக கலந்து, சுவைக்க தேன் (தேவைப்பட்டால்) சேர்க்கவும்.
2 புதிய புதினா இலைகளால் அலங்கரித்து குளிர்ச்சியாக பரிமாறவும்.
குழந்தைகளின் உணவில் பீட்ரூட்டைச் சேர்ப்பதற்கும், பீட்ரூட்டை விரும்பாத ஒருவரை பீட்ரூட் சாப்பிட வைப்பதற்கும் இது ஒரு சிறந்த வழியாகும் என்று நான் நினைக்கிறேன்.</t>
  </si>
  <si>
    <t>https://encrypted-tbn0.gstatic.com/images?q=tbn:ANd9GcRP9BgshfVLSKLFmFak9I4-OMJkBiZNe8hdeQ&amp;s</t>
  </si>
  <si>
    <t>Carrot Orange Juice</t>
  </si>
  <si>
    <t>கேரட் ஆரஞ்சு சாறு</t>
  </si>
  <si>
    <t>Oranges – 3,
Carrots - 2,
Honey to taste (optional).</t>
  </si>
  <si>
    <t>ஆரஞ்சு – 3,
கேரட் – 2,
சுவைக்கேற்ப தேன் (விரும்பினால்).</t>
  </si>
  <si>
    <t>Wash and peel the carrots. Chop it into cubes, add 1/4 cup of water and blend it in a mixie to a smooth paste. Strain using a muslin or a cheese cloth. Squeeze it to extract as much juice as possible. Keep it aside.
Now using an ordinary citrus juicer, squeeze juice from all the oranges.
Now mix orange juice and carrot juice together. Add honey if required. (you don’t need it if your oranges are sweet enough)
Serve chilled.</t>
  </si>
  <si>
    <t>கேரட்டை கழுவி தோல் நீக்கி, க்யூப்ஸாக நறுக்கி, 1/4 கப் தண்ணீர் சேர்த்து மிக்ஸியில் போட்டு மென்மையான பேஸ்ட் வரை அரைக்கவும். மஸ்லின் அல்லது சீஸ் துணியைப் பயன்படுத்தி வடிகட்டவும். முடிந்தவரை சாறு எடுக்க பிழியவும். அதை ஒதுக்கி வைக்கவும்.
இப்போது ஒரு சாதாரண சிட்ரஸ் ஜூஸரைப் பயன்படுத்தி, அனைத்து ஆரஞ்சுகளிலிருந்தும் சாறு பிழியவும்.
இப்போது ஆரஞ்சு சாறு மற்றும் கேரட் சாறு ஆகியவற்றை ஒன்றாக கலக்கவும். தேவைப்பட்டால் தேன் சேர்க்கவும். (உங்கள் ஆரஞ்சு போதுமான அளவு இனிப்பாக இருந்தால் உங்களுக்கு இது தேவையில்லை)
குளிர்ச்சியாக பரிமாறவும்.</t>
  </si>
  <si>
    <t>https://food.fnr.sndimg.com/content/dam/images/food/fullset/2013/12/27/0/FNK_carrot-orange-juice_s4x3.jpg.rend.hgtvcom.1280.1280.suffix/1389218999830.webp</t>
  </si>
  <si>
    <t>Lemonade</t>
  </si>
  <si>
    <t>எலுமிச்சைப் பழம்</t>
  </si>
  <si>
    <t>Water – 1/4 cup,
Fresh lemon juice – 1/4 cup,
Sugar – 1/4 cup,
Ice cold water – 3 cups,
Salt – a generous pinch,
Ice cubes.</t>
  </si>
  <si>
    <t>தண்ணீர் - 1/4 கப்,
புதிய எலுமிச்சை சாறு - 1/4 கப்,
சர்க்கரை - 1/4 கப்,
ஐஸ் குளிர்ந்த நீர் - 3 கப்,
உப்பு - ஒரு சிட்டிகை,
ஐஸ் கட்டிகள்.</t>
  </si>
  <si>
    <t>Squeeze juice of fresh lemon, strain it and keep it aside.
In a pan, bring water and sugar to boil. Once sugar dissolves, switch off the flame and let it cool.Chill it after that.
Add lemon juice, salt and cold water. Keep it in the refrigerator.
Serve chilled with ice cubes.(you can freeze some juice in ice tray and add those ice cubes)
Those who do not want to add sugar can use honey instead.</t>
  </si>
  <si>
    <t>புதிய எலுமிச்சை சாற்றை பிழிந்து, வடிகட்டி, தனியாக வைக்கவும்.
ஒரு பாத்திரத்தில், தண்ணீர் மற்றும் சர்க்கரையை கொதிக்க வைக்கவும். சர்க்கரை கரைந்ததும், அடுப்பை அணைத்து ஆற விடவும். அதன் பிறகு குளிர வைக்கவும்.
எலுமிச்சை சாறு, உப்பு மற்றும் குளிர்ந்த நீரைச் சேர்க்கவும். குளிர்சாதன பெட்டியில் வைக்கவும்.
ஐஸ் கட்டிகளுடன் குளிர்வித்து பரிமாறவும். (ஐஸ் தட்டில் சிறிது சாற்றை உறைய வைத்து, அந்த ஐஸ் கட்டிகளைச் சேர்க்கலாம்)
சர்க்கரை சேர்க்க விரும்பாதவர்கள் அதற்கு பதிலாக தேனைப் பயன்படுத்தலாம்.</t>
  </si>
  <si>
    <t>https://i2.wp.com/lmld.org/wp-content/uploads/2022/04/Lemonade-4.jpg</t>
  </si>
  <si>
    <t>Musk Melon Juice</t>
  </si>
  <si>
    <t>கஸ்தூரி முலாம்பழ சாறு</t>
  </si>
  <si>
    <t>Half a musk melon,
Any sweetener,
fruit is ripe and sweet.</t>
  </si>
  <si>
    <t>பாதி கஸ்தூரி முலாம்பழம்,
ஏதேனும் இனிப்பு,
பழம் பழுத்ததாகவும் இனிப்பாகவும் இருக்கும்.</t>
  </si>
  <si>
    <t>Cut the fruit into half, scoop out the seeds, peel the skin and chop it into cubes.
Blend the chopped melon along with 1/4 cup of water to a smooth puree.
Pour it into a tall glass, add 2 ice cubes and serve chilled.</t>
  </si>
  <si>
    <t>பழத்தை பாதியாக வெட்டி, விதைகளை எடுத்து, தோலை உரித்து, க்யூப்ஸாக நறுக்கவும்.
நறுக்கிய முலாம்பழத்தை 1/4 கப் தண்ணீருடன் சேர்த்து மென்மையான கூழ் வரை கலக்கவும்.
ஒரு உயரமான கிளாஸில் ஊற்றி, 2 ஐஸ் கட்டிகளைச் சேர்த்து, குளிர்ந்து பரிமாறவும்.</t>
  </si>
  <si>
    <t>https://vaya.in/recipes/wp-content/uploads/2019/07/Muskmelon-Juice.jpg</t>
  </si>
  <si>
    <t>Iced Lemon Tea</t>
  </si>
  <si>
    <t>ஐஸ்கட் லெமன் டீ</t>
  </si>
  <si>
    <t>Lemon – 1,
Tea powder - 1 tsp,
Ice cold water – 2 cups,
Ice cubes – 2-3,
Sugar or honey to taste,
Mint leaves.</t>
  </si>
  <si>
    <t>எலுமிச்சை - 1,
தேநீர் தூள் - 1 டீஸ்பூன்,
ஐஸ் குளிர்ந்த நீர் - 2 கப்,
ஐஸ் கட்டிகள் - 2-3,
சுவைக்கு சர்க்கரை அல்லது தேன்,
புதினா இலைகள்.</t>
  </si>
  <si>
    <t>Bring half cup of water to rolling boil. Switch off and add 1 tea bag/1 tsp tea powder.
Let it steep for 10 minutes. Discard the tea bags or strain the tea and allow it to cool.
Add juice of 1 lemon and sugar. Stir well for the sugar to dissolve.
Then add 2 cups of cold water.
Refrigerate until chilled. Add ice cubes before serving
You can increase or decrease the ingredients according to your taste.</t>
  </si>
  <si>
    <t>அரை கப் தண்ணீரை கொதிக்க விடவும். அதை அணைத்துவிட்டு 1 டீ பேக் / 1 டீஸ்பூன் டீ பவுடர் சேர்க்கவும்.
10 நிமிடங்கள் ஊற விடவும். டீ பேக்குகளை அப்புறப்படுத்தவும் அல்லது டீயை வடிகட்டி ஆற விடவும்.
1 எலுமிச்சை சாறு மற்றும் சர்க்கரை சேர்க்கவும். சர்க்கரை கரையும் வரை நன்கு கிளறவும்.
பின்னர் 2 கப் குளிர்ந்த நீரை சேர்க்கவும்.
குளிரும் வரை குளிர்சாதன பெட்டியில் வைக்கவும். பரிமாறுவதற்கு முன் ஐஸ் கட்டிகளைச் சேர்க்கவும்
உங்கள் ரசனைக்கு ஏற்ப பொருட்களை அதிகரிக்கவோ குறைக்கவோ முடியும்.</t>
  </si>
  <si>
    <t>https://shwetainthekitchen.com/wp-content/uploads/2023/07/lemon-iced-tea.jpg</t>
  </si>
  <si>
    <t>Grape Juice</t>
  </si>
  <si>
    <t>திராட்சை சாறு</t>
  </si>
  <si>
    <t>Black grapes – 2 cups,
Water – 1/2 cup,
Sugar ,
Ice cubes.</t>
  </si>
  <si>
    <t>கருப்பு திராட்சை - 2 கப்,
தண்ணீர் - 1/2 கப்,
சர்க்கரை,
ஐஸ் கட்டிகள்.</t>
  </si>
  <si>
    <t>In a blender, add grapes and 1/4 cup water and puree it.
Then add another 1/4 cup water and blend it again.
Strain using a juice strainer. Press the puree nicely to extract as much juice as possible.
Add honey or sugar if required. Pour into a glass, add 2 ice cubes and serve chilled.
What could be a better way to beat the summer heat than a glass of healthy, delicious and chilled fruit juice!! More juice recipes to come. Stay connected.</t>
  </si>
  <si>
    <t>ஒரு பிளெண்டரில், திராட்சை மற்றும் 1/4 கப் தண்ணீர் சேர்த்து ப்யூரி செய்யவும்.
பின்னர் மேலும் 1/4 கப் தண்ணீர் சேர்த்து மீண்டும் கலக்கவும்.
ஒரு ஜூஸ் வடிகட்டியைப் பயன்படுத்தி வடிகட்டவும். முடிந்தவரை சாறு எடுக்க ப்யூரியை நன்றாக அழுத்தவும்.
தேவைப்பட்டால் தேன் அல்லது சர்க்கரை சேர்க்கவும். ஒரு கிளாஸில் ஊற்றி, 2 ஐஸ் கட்டிகளைச் சேர்த்து குளிர்ச்சியாகப் பரிமாறவும்.
கோடை வெப்பத்தை வெல்ல ஒரு கிளாஸ் ஆரோக்கியமான, சுவையான மற்றும் குளிர்ந்த பழச்சாற்றை விட சிறந்த வழி என்ன இருக்க முடியும்!! இன்னும் ஜூஸ் ரெசிபிகள் வரவுள்ளன. தொடர்பில் இருங்கள்.</t>
  </si>
  <si>
    <t>https://vaya.in/recipes/wp-content/uploads/2018/02/Grape-Juice.jpg</t>
  </si>
  <si>
    <t>Panakam</t>
  </si>
  <si>
    <t>பனகம்</t>
  </si>
  <si>
    <t>Jaggery - 1/4 cup,
Water – 1 1/4 cup,
Lemon juice – 1 tbsp,
Dry ginger powder – 1/2 tsp,
Cardamon powder – a  pinch.</t>
  </si>
  <si>
    <t>வெல்லம் - 1/4 கப்,
தண்ணீர் - 1 1/4 கப்,
எலுமிச்சை சாறு - 1 டீஸ்பூன்,
உலர்ந்த இஞ்சி தூள் - 1/2 டீஸ்பூன்,
ஏலக்காய் தூள் - ஒரு சிட்டிகை.</t>
  </si>
  <si>
    <t>Soak jaggery in 1 1/4 cup water for 15 minutes. Filter it to remove impurities.
Add lemon juice, dry ginger powder, cardamom powder and mix well.
Serve chilled.</t>
  </si>
  <si>
    <t>வெல்லத்தை 1 1/4 கப் தண்ணீரில் 15 நிமிடங்கள் ஊற வைக்கவும். அசுத்தங்கள் நீங்க அதை வடிகட்டி வைக்கவும்.
எலுமிச்சை சாறு, உலர்ந்த இஞ்சி தூள், ஏலக்காய் தூள் சேர்த்து நன்கு கலக்கவும்.
குளிரூட்டப்பட்ட நிலையில் பரிமாறவும்.</t>
  </si>
  <si>
    <t>https://samagni.com/wp-content/uploads/2015/03/p3208222.jpg</t>
  </si>
  <si>
    <t>Oats Apple Smoothie</t>
  </si>
  <si>
    <t>ஓட்ஸ் ஆப்பிள் ஸ்மூத்தி</t>
  </si>
  <si>
    <t xml:space="preserve">   Apple - 1 peeled and chopped,
   Oats – 2 tbsp,
   Milk – 3/4 -1 cup,
   Dates – 3 ,
   Honey – 2 tsp if needed.</t>
  </si>
  <si>
    <t>ஆப்பிள் - 1 தோல் நீக்கி நறுக்கியது,
ஓட்ஸ் - 2 டேபிள்ஸ்பூன்,
பால் - 3/4 -1 கப்,
பேரீச்சம்பழம் - 3 ,
தேன் - தேவைப்பட்டால் 2 டேபிள்ஸ்பூன்.</t>
  </si>
  <si>
    <t>Cook oats in half cup of water stirring occasionally until thick. Leave it to cool.
Add the cooked oats, chopped apples, milk, dates, honey in a blender and blend until smooth.
Pour it into a glass and serve chilled.</t>
  </si>
  <si>
    <t>ஓட்ஸை அரை கப் தண்ணீரில் அவ்வப்போது கிளறி கெட்டியாகும் வரை வேகவைத்து, ஆற விடவும்.
சமைத்த ஓட்ஸ், நறுக்கிய ஆப்பிள்கள், பால், பேரீச்சம்பழம், தேன் ஆகியவற்றை ஒரு பிளெண்டரில் சேர்த்து, மென்மையான வரை கலக்கவும்.
ஒரு கிளாஸில் ஊற்றி, குளிர்ந்து பரிமாறவும்.</t>
  </si>
  <si>
    <t>https://encrypted-tbn0.gstatic.com/images?q=tbn:ANd9GcRSrjZUsyB9ZTar18Azfw00IBc3IzmxlrBkzA&amp;s</t>
  </si>
  <si>
    <t>Oats Carrot Smoothie</t>
  </si>
  <si>
    <t>ஓட்ஸ் கேரட் ஸ்மூத்தி</t>
  </si>
  <si>
    <t xml:space="preserve">   Oats – 2 tbsp,
   Milk – 3/4 cup chilled,
   Carrot juice - 1/2 cup,
   Dates – 3 pitted,
   Almonds -1 tsp,
   Pistachio – 1 tsp ,
   Honey – 2 tsp.</t>
  </si>
  <si>
    <t>ஓட்ஸ் – 2 டேபிள் ஸ்பூன்,
பால் – 3/4 கப் குளிர்விக்கப்பட்ட,
கேரட் சாறு - 1/2 கப்,
பேரிச்சம்பழம் – 3 குழிகள்,
பாதாம் - 1 டேபிள் ஸ்பூன்,
பிஸ்தா – 1 டேபிள் ஸ்பூன்,
தேன் – 2 டேபிள் ஸ்பூன்.</t>
  </si>
  <si>
    <t>Combine cooked oats, dates, carrot juice, honey and little milk in a blender and blend until smooth. Then add the rest of the milk and blend for a few more seconds. Garnish with chopped nuts. Pour it into a glass and serve chilled.
This refreshing Carrot Oats Smoothie or milkshake (name it as you like) takes only a few minutes to prepare, and is ideal for a quick and light breakfast. It also makes a great snack in between meals.</t>
  </si>
  <si>
    <t>சமைத்த ஓட்ஸ், பேரீச்சம்பழம், கேரட் சாறு, தேன் மற்றும் சிறிது பால் ஆகியவற்றை ஒரு பிளெண்டரில் சேர்த்து மென்மையான வரை கலக்கவும். பின்னர் மீதமுள்ள பாலைச் சேர்த்து இன்னும் சில வினாடிகள் கலக்கவும். நறுக்கிய கொட்டைகளால் அலங்கரிக்கவும். ஒரு கிளாஸில் ஊற்றி குளிர்ச்சியாக பரிமாறவும்.
இந்த புத்துணர்ச்சியூட்டும் கேரட் ஓட்ஸ் ஸ்மூத்தி அல்லது மில்க் ஷேக் (உங்கள் விருப்பப்படி பெயரிடுங்கள்) தயாரிக்க சில நிமிடங்கள் மட்டுமே ஆகும், மேலும் விரைவான மற்றும் லேசான காலை உணவிற்கு ஏற்றது. இது உணவுக்கு இடையில் ஒரு சிறந்த சிற்றுண்டியாகவும் அமைகிறது.</t>
  </si>
  <si>
    <t>https://img-global.cpcdn.com/recipes/8d5f3f5ce222f0b5/680x482cq70/apple-oats-carrot-smoothie-recipe-main-photo.jpg</t>
  </si>
  <si>
    <t>Pomegranates Oats Smoothie</t>
  </si>
  <si>
    <t>மாதுளை ஓட்ஸ் ஸ்மூத்தி</t>
  </si>
  <si>
    <t xml:space="preserve">   Pomegranates juice – 1/2 cup,
   Low Fat Milk – 1/2 cup,
   Oats – 2 tbsp,
   Honey or powdered jaggery – 2 tsp,
   Dates – 3.</t>
  </si>
  <si>
    <t>மாதுளை சாறு - 1/2 கப்,
குறைந்த கொழுப்புள்ள பால் - 1/2 கப்,
ஓட்ஸ் - 2 டேபிள்ஸ்பூன்,
தேன் அல்லது பொடித்த வெல்லம் - 2 டேபிள்ஸ்பூன்,
பேரிக்காய் - 3.</t>
  </si>
  <si>
    <t>Peel and remove the pomegranates pearls or seeds. Blend it with very less water, strain it with a juice strainer. Extract 1/2 cup of thick juice. Keep it aside.
Cook oats in 1/2 cup of water on low flame till it thickens. Allow it to cool.
Combine pomegranate juice, cooked oats, honey, dates, 1/4 cup of milk and blend until smooth.Then add the rest of the milk and blend it for a few more seconds.
Pour it into tall glass and serve chilled. If preferred you can add a few pomegranates pearls to the milkshake.</t>
  </si>
  <si>
    <t>மாதுளை முத்துக்கள் அல்லது விதைகளை உரித்து நீக்கவும். மிகக் குறைந்த தண்ணீரில் கலக்கவும், சாறு வடிகட்டி மூலம் வடிகட்டவும். 1/2 கப் கெட்டியான சாற்றை எடுக்கவும். அதை ஒதுக்கி வைக்கவும்.
ஓட்ஸை 1/2 கப் தண்ணீரில் குறைந்த தீயில் கெட்டியாகும் வரை சமைக்கவும். அதை குளிர்விக்க விடவும்.
மாதுளை சாறு, சமைத்த ஓட்ஸ், தேன், பேரிச்சை, 1/4 கப் பால் சேர்த்து மென்மையான வரை கலக்கவும். பின்னர் மீதமுள்ள பாலைச் சேர்த்து இன்னும் சில வினாடிகள் கலக்கவும்.
ஒரு உயரமான கிளாஸில் ஊற்றி குளிர்ந்து பரிமாறவும். விரும்பினால், மில்க் ஷேக்கில் சில மாதுளை முத்துக்களைச் சேர்க்கலாம்.</t>
  </si>
  <si>
    <t>https://feelgoodfoodie.net/wp-content/uploads/2016/10/Pomegranate-Smoothie-4.jpg</t>
  </si>
  <si>
    <t>Banana Oats Smoothie</t>
  </si>
  <si>
    <t>வாழைப்பழ ஓட்ஸ் ஸ்மூத்தி</t>
  </si>
  <si>
    <t xml:space="preserve">   Oats – 2 tbsp,
   Milk – 3/4 cup,
   Yogurt – 1/4 cup ,
   Banana – 1,
   Honey – 2 tsp,
   Walnuts chopped – 1 tbsp.</t>
  </si>
  <si>
    <t>ஓட்ஸ் - 2 டேபிள் ஸ்பூன்,
பால் - 3/4 கப்,
தயிர் - 1/4 கப்,
வாழைப்பழம் - 1,
தேன் - 2 டேபிள் ஸ்பூன்,
நொறுக்கப்பட்ட வால்நட்ஸ் - 1 டேபிள் ஸ்பூன்.</t>
  </si>
  <si>
    <t>Cook oats in 1/2 cup of water and allow it to cool. It will take only 2-3 minutes. You can prepare this even the previous night and refrigerate, so that it will be much easier for you in the morning. Alternatively you can even powder slightly dry roasted oats and add it to your smoothie but I personally prefer cooking oats.
In a blender, combine cooked oats, yogurt, chopped banana, honey, little milk and blend it until smooth.
Then add the rest of the milk and blend again.
Add chopped walnuts and serve chilled.</t>
  </si>
  <si>
    <t>ஓட்ஸை 1/2 கப் தண்ணீரில் சமைத்து குளிர்விக்க விடுங்கள். இதற்கு 2-3 நிமிடங்கள் மட்டுமே ஆகும். இதை நீங்கள் முந்தைய இரவே தயார் செய்து குளிர்சாதன பெட்டியில் வைக்கலாம், இதனால் காலையில் இது உங்களுக்கு மிகவும் எளிதாக இருக்கும். மாற்றாக, நீங்கள் சிறிது உலர்ந்த வறுத்த ஓட்ஸை கூட பொடி செய்து உங்கள் ஸ்மூத்தியில் சேர்க்கலாம், ஆனால் நான் தனிப்பட்ட முறையில் ஓட்ஸ் சமைக்க விரும்புகிறேன்.
ஒரு பிளெண்டரில், சமைத்த ஓட்ஸ், தயிர், நறுக்கிய வாழைப்பழம், தேன், சிறிது பால் ஆகியவற்றை சேர்த்து மென்மையான வரை கலக்கவும்.
பின்னர் மீதமுள்ள பாலை சேர்த்து மீண்டும் கலக்கவும்.
நொறுக்கப்பட்ட வால்நட்ஸை சேர்த்து குளிர்ந்து பரிமாறவும்.</t>
  </si>
  <si>
    <t>https://encrypted-tbn0.gstatic.com/images?q=tbn:ANd9GcRbGdOK4DEvu6VThoG1cQbkzvJwPBb3cFavkA&amp;s</t>
  </si>
  <si>
    <t>Oats Milkshake</t>
  </si>
  <si>
    <t>ஓட்ஸ் மில்க் ஷேக்</t>
  </si>
  <si>
    <t xml:space="preserve">   Oats – 2 tbsp,
   Dates – 3,
   Almonds blanched – 3-4,
   Jaggery – 2 tsp,
   Milk -3/4 cup.</t>
  </si>
  <si>
    <t>ஓட்ஸ் – 2 டேபிள் ஸ்பூன்,
பேரீச்சம்பழம் – 3,
பாதாம் பருப்பு – 3-4,
வெல்லம் – 2 டேபிள் ஸ்பூன்,
பால் - 3/4 கப்.</t>
  </si>
  <si>
    <t>Cook oats in 1/2 cup of water on medium heat, stirring continuously. Allow it to cool.
Blend almonds, dates in 1/4 cup of milk first, then add cooked oats, jaggery, rest of the milk and blend for a few more seconds.
Pour into a glass and serve chilled.
Yummy and healthy oats milkshake is ready.</t>
  </si>
  <si>
    <t>ஓட்ஸை 1/2 கப் தண்ணீரில் மிதமான தீயில் வைத்து, தொடர்ந்து கிளறி வேக வைக்கவும். அதை குளிர்விக்க விடவும்.
முதலில் பாதாம், பேரீச்சம்பழம் ஆகியவற்றை 1/4 கப் பாலில் கலந்து, பின்னர் சமைத்த ஓட்ஸ், வெல்லம், மீதமுள்ள பால் சேர்த்து இன்னும் சில வினாடிகள் கலக்கவும்.
ஒரு கிளாஸில் ஊற்றி குளிர்ந்து பரிமாறவும்.
சுவையான மற்றும் ஆரோக்கியமான ஓட்ஸ் மில்க் ஷேக் தயார்.</t>
  </si>
  <si>
    <t>https://www.eatingbirdfood.com/wp-content/uploads/2022/02/oatmeal-smoothie-hero.jpg</t>
  </si>
  <si>
    <t>Banana Milkshake</t>
  </si>
  <si>
    <t>வாழைப்பழ மில்க் ஷேக்</t>
  </si>
  <si>
    <t xml:space="preserve">   Milk – 1 cup + 1/4 cup,
   Ripe banana – 1,
   Honey ,
   Vanilla ice cream – a scoop.</t>
  </si>
  <si>
    <t>பால் - 1 கப் + 1/4 கப்,
பழுத்த வாழைப்பழம் - 1,
தேன் ,
வெண்ணிலா ஐஸ்கிரீம் - ஒரு ஸ்கூப்.</t>
  </si>
  <si>
    <t>Peel the skin, chop and blend banana with 1/4 cups of milk to a smooth paste. Then add the rest of the milk, honey, ice cream and blend again. Pour into a glass and serve chilled.
Garnish with grated chocolate if desired.</t>
  </si>
  <si>
    <t>தோலை உரித்து, நறுக்கி, வாழைப்பழத்தை 1/4 கப் பாலுடன் சேர்த்து மென்மையான பேஸ்ட் வரை கலக்கவும். பின்னர் மீதமுள்ள பால், தேன், ஐஸ்கிரீம் சேர்த்து மீண்டும் கலக்கவும். ஒரு கிளாஸில் ஊற்றி குளிர்ந்து பரிமாறவும்.
விரும்பினால் துருவிய சாக்லேட் கொண்டு அலங்கரிக்கவும்.</t>
  </si>
  <si>
    <t>https://encrypted-tbn0.gstatic.com/images?q=tbn:ANd9GcT-MXXBnTvd-T5wcW1avw0rOmLYBzOQB3N4Iw&amp;s</t>
  </si>
  <si>
    <t>குளிர்ந்த காபி</t>
  </si>
  <si>
    <t>Cold milk – 1 1/2 cup,
Coffee decoction - 1/2 cup,
Sugar to taste,
Vanilla ice cream – a scoop.</t>
  </si>
  <si>
    <t>குளிர்ந்த பால் - 1 1/2 கப்,
காபி டிகாக்ஷன் - 1/2 கப்,
சுவைக்கு சர்க்கரை,
வெண்ணிலா ஐஸ்கிரீம் - ஒரு ஸ்கூப்.</t>
  </si>
  <si>
    <t>Blend milk, coffee decoction, powdered sugar and vanilla ice cream till frothy.
Pour it in a glass, garnish with a scoop of ice cream and serve chilled.( I also sprinkled a pinch of cocoa powder to make it more appealing)
Enjoy!</t>
  </si>
  <si>
    <t>பால், காபி டிகாக்ஷன், தூள் சர்க்கரை மற்றும் வெண்ணிலா ஐஸ்கிரீமை நுரை வரும் வரை கலக்கவும்.
ஒரு கிளாஸில் ஊற்றி, ஒரு ஸ்கூப் ஐஸ்கிரீமுடன் அலங்கரித்து, குளிர்ச்சியாகப் பரிமாறவும். (நான் அதை இன்னும் கவர்ச்சியாக மாற்ற ஒரு சிட்டிகை கோகோ பவுடரையும் தூவினேன்)
சுவையாக சாப்பிடுங்கள்!</t>
  </si>
  <si>
    <t>https://mytastycurry.com/wp-content/uploads/2020/04/Cafe-style-cold-coffee-with-icecream-500x500.jpg</t>
  </si>
  <si>
    <t>South Indian Filter Coffee</t>
  </si>
  <si>
    <t>தென்னிந்திய ஃபில்டர் காபி</t>
  </si>
  <si>
    <t xml:space="preserve">   Coffee filter,
   Coffee Powder – 3 tbsp,
   Water – 3/4 cup,
   Fresh Milk for 2 cups of coffee,
   Sugar as required.</t>
  </si>
  <si>
    <t>காபி ஃபில்டர்,
காபி பவுடர் - 3 டேபிள் ஸ்பூன்,
தண்ணீர் - 3/4 கப்,
2 கப் காபிக்கு புதிய பால்,
தேவைக்கேற்ப சர்க்கரை.</t>
  </si>
  <si>
    <t>Put 3 tbsp of coffee powder in the upper container, fix it on top of the lower container and tap the container gently, so that the powder will settle evenly.
Bring water to rolling boil and pour it over the coffee powder. Close it with a lid and leave it undisturbed for 10-15 minutes.
The coffee decoction will get collected in the lower container .
 Boil milk and simmer for a few minutes stirring continuously. Pour needed decoction in a cup and add milk and sugar to taste. If you want it strong, add more decoction, if you prefer mild coffee, add less decoction. Serve hot and frothy in tumbler and davara. Enjoy the aroma and the taste of South Indian filter coffee.</t>
  </si>
  <si>
    <t>மேல் பாத்திரத்தில் 3 டேபிள் ஸ்பூன் காபி பவுடரை போட்டு, கீழ் பாத்திரத்தின் மேல் வைத்து, பொடி சமமாக படியும் வகையில் மெதுவாக தட்டவும்.
தண்ணீரை கொதிக்க வைத்து காபி பவுடரின் மேல் ஊற்றவும். அதை ஒரு மூடியால் மூடி, 10-15 நிமிடங்கள் அப்படியே வைக்கவும்.
காபி டீகாஷன் கீழ் பாத்திரத்தில் சேகரிக்கப்படும்.
பாலை கொதிக்க வைத்து, தொடர்ந்து கிளறி சில நிமிடங்கள் கொதிக்க வைக்கவும். ஒரு கோப்பையில் தேவையான டீகாஷனை ஊற்றி, பால் மற்றும் சர்க்கரையை சுவைக்க சேர்க்கவும். நீங்கள் அதை வலுவாக விரும்பினால், அதிக டீகாஷனை சேர்க்கவும், நீங்கள் லேசான காபியை விரும்பினால், குறைந்த டீகாஷனை சேர்க்கவும். டம்ளர் மற்றும் டவராவில் சூடாகவும் நுரையுடனும் பரிமாறவும். தென்னிந்திய ஃபில்டர் காபியின் நறுமணத்தையும் சுவையையும் அனுபவிக்கவும்.</t>
  </si>
  <si>
    <t>https://encrypted-tbn0.gstatic.com/images?q=tbn:ANd9GcRGFLXLHCpJ3CN_Gc4fOO9uBgw0A1qx8s0srA&amp;s</t>
  </si>
  <si>
    <t>Spiced Buttermilk</t>
  </si>
  <si>
    <t xml:space="preserve">
மசாலா மோர்</t>
  </si>
  <si>
    <t xml:space="preserve">   Curd – 1 cup,
   Water – 2 cups,
   Green chilli - 1 ,
   Ginger – a small piece grated,
   Coriander leaves – 2 tsp finely chopped,
   Curry leaves – 2-3 leaves,
   Roasted cumin seeds powder -1/2 tsp,
   Juice of -  1/2 a lemon ,
   Salt as required.</t>
  </si>
  <si>
    <t>தயிர் - 1 கப்,
தண்ணீர் - 2 கப்,
பச்சை மிளகாய் - 1 ,
இஞ்சி - ஒரு சிறிய துண்டு துருவியது,
கொத்தமல்லி இலை - 2 தேக்கரண்டி நன்றாக நறுக்கியது,
கறிவேப்பிலை - 2-3 இலைகள்,
வறுத்த சீரகத் தூள் - 1/2 தேக்கரண்டி,
சாறு - 1/2 எலுமிச்சை,
தேவைக்கேற்ப உப்பு.</t>
  </si>
  <si>
    <t>Blend curd and water. You can use the traditional mattu also.
Add finely chopped green chilli, ginger, coriander leaves, curry leaves, roasted cumin powder and salt required.
Squeeze juice of half a lemon. Mix well and serve chilled.</t>
  </si>
  <si>
    <t>தயிர் மற்றும் தண்ணீரை கலக்கவும். நீங்கள் பாரம்பரிய மட்டுவையும் பயன்படுத்தலாம்.
இறுதியாக நறுக்கிய பச்சை மிளகாய், இஞ்சி, கொத்தமல்லி இலை, கறிவேப்பிலை, வறுத்த சீரகத் தூள் மற்றும் தேவையான உப்பு சேர்க்கவும்.
அரை எலுமிச்சை சாற்றை பிழிந்து. நன்றாக கலந்து குளிர்ந்து பரிமாறவும்.</t>
  </si>
  <si>
    <t>https://www.seriouseats.com/thmb/w2NJNqjkyGJCTAMGJJdPt8EIrxc=/1500x0/filters:no_upscale():max_bytes(150000):strip_icc()/__opt__aboutcom__coeus__resources__content_migration__serious_eats__seriouseats.com__recipes__images__2014__01__20140113-neer-more-81c1f0846bf6492583c1d5a8a40a4a76.jpg</t>
  </si>
  <si>
    <t>Plantain Stem Juice</t>
  </si>
  <si>
    <t>வாழைத்தண்டு சாறு</t>
  </si>
  <si>
    <t>Plantain chopped – 2 cups,
Butter milk – 1 cup,
Salt to taste,
Roasted Jeera powder - a generous pinch.</t>
  </si>
  <si>
    <t>நறுக்கிய வாழைப்பழம் – 2 கப்,
வெண்ணெய் பால் – 1 கப்,
ருசிக்கேற்ப உப்பு,
வறுத்த ஜீரா பொடி - ஒரு சிட்டிகை.</t>
  </si>
  <si>
    <t>Take 1 mediun sized plantain stem.Remove the outer covering and discard it.
Cut it into rounds removing the thread like fiber with your finger.
Keep it in diluted buttermilk to prevent discoloration.
Then chop it into small pieces.
Remove the chopped pieces from the buttermilk and grind it with a little water or fresh buttermilk.
Strain it, add the rest of the butter milk and blend again.
Add salt to taste. Sprinkle roasted jeera powder and serve chilled.</t>
  </si>
  <si>
    <t>ஒரு நடுத்தர அளவிலான வாழைத்தண்டை எடுத்துக் கொள்ளுங்கள். வெளிப்புற உறையை அகற்றி அதை நிராகரிக்கவும்.
உங்கள் விரலால் நார் போன்ற நூலை நீக்கி வட்டங்களாக வெட்டுங்கள்.
நிறமாற்றத்தைத் தடுக்க நீர்த்த மோரில் வைக்கவும்.
பின்னர் அதை சிறிய துண்டுகளாக நறுக்கவும்.
மோரில் இருந்து நறுக்கிய துண்டுகளை அகற்றி சிறிது தண்ணீர் அல்லது புதிய மோர் சேர்த்து அரைக்கவும்.
அதை வடிகட்டி, மீதமுள்ள மோர் பாலை சேர்த்து மீண்டும் கலக்கவும்.
சுவைக்கேற்ப உப்பு சேர்க்கவும். வறுத்த ஜீரா பொடியைத் தூவி குளிர்ந்து பரிமாறவும்.</t>
  </si>
  <si>
    <t>https://m.media-amazon.com/images/I/41z4MQ9xSCL._AC_UF1000,1000_QL80_.jpg</t>
  </si>
  <si>
    <t>Mango Lassi</t>
  </si>
  <si>
    <t>மாம்பழ லஸ்ஸி</t>
  </si>
  <si>
    <t>Mango Pieces – 1/2 cup,
Water – 1/2 cup,
Milk - 1/4 cup,
Curd - 1/2 cup,
Sugar as required.</t>
  </si>
  <si>
    <t>மாம்பழத் துண்டுகள் - 1/2 கப்,
தண்ணீர் - 1/2 கப்,
பால் - 1/4 கப்,
தயிர் - 1/2 கப்,
தேவைக்கேற்ப சர்க்கரை.</t>
  </si>
  <si>
    <t>Blend mangoes with milk first to a fine paste.Then add the rest of the ingredients and blend it for a few seconds.
Sprinkle a pinch of cardamom powder if desired.Serve chilled.
Adjust the consistency by adding or reducing the amount of water.</t>
  </si>
  <si>
    <t>மாம்பழத்தை முதலில் பாலுடன் நன்றாகப் பசையாக அரைக்கவும். பின்னர் மீதமுள்ள பொருட்களைச் சேர்த்து சில நொடிகள் கலக்கவும்.
விரும்பினால் ஒரு சிட்டிகை ஏலக்காய்த் தூள் தூவவும். குளிர்ந்து பரிமாறவும்.
தண்ணீரை சேர்ப்பதன் மூலமோ அல்லது குறைப்பதன் மூலமோ நிலைத்தன்மையை சரிசெய்யவும்.</t>
  </si>
  <si>
    <t>https://encrypted-tbn0.gstatic.com/images?q=tbn:ANd9GcSJjnsPaHKutGrnvUJUx0Q0V6eV8Vcu1V9bXQ&amp;s</t>
  </si>
  <si>
    <t>Mango Milk Shake</t>
  </si>
  <si>
    <t>மாம்பழ மில்க் ஷேக்</t>
  </si>
  <si>
    <t xml:space="preserve">   Ripe mangoes chopped - 1 cup,
   Cold milk – 1 3/4 –  2 cups,
   Powdered sugar or honey to taste.</t>
  </si>
  <si>
    <t>பழுத்த மாம்பழங்களை நறுக்கியது - 1 கப்,
குளிர்ந்த பால் - 1 3/4 - 2 கப்,
சுவைக்கேற்ப சர்க்கரை அல்லது தேன் பொடி செய்யவும்.</t>
  </si>
  <si>
    <t>Peel the mangoes and cut it into cubes.
Blend the mango cubes into a fine paste adding little milk.
Then add the rest of the milk, sugar and blend it for a few seconds.
Pour into tall glass and enjoy the delicious mango milkshake.</t>
  </si>
  <si>
    <t>மாம்பழங்களை தோல் நீக்கி க்யூப்ஸாக வெட்டவும்.
மாம்பழ க்யூப்ஸை சிறிது பால் சேர்த்து நன்றாக பேஸ்டாக அரைக்கவும்.
பின்னர் மீதமுள்ள பால், சர்க்கரை சேர்த்து சில நொடிகள் கலக்கவும்.
ஒரு உயரமான கிளாஸில் ஊற்றி சுவையான மாம்பழ மில்க் ஷேக்கை அனுபவிக்கவும்.</t>
  </si>
  <si>
    <t>https://tastyoven.com/wp-content/uploads/2022/06/mango-shake-image.jpeg</t>
  </si>
  <si>
    <t>Papaya Smoothie</t>
  </si>
  <si>
    <t>பப்பாளி ஸ்மூத்தி</t>
  </si>
  <si>
    <t xml:space="preserve">   Papaya – 1 cup chopped,
   Chilled Milk - 1 cup,
   Yogurt - 1/4 cup,
   Honey – 1 tsp.</t>
  </si>
  <si>
    <t>பப்பாளி - 1 கப் நறுக்கியது,
குளிர்ந்த பால் - 1 கப்,
தயிர் - 1/4 கப்,
தேன் - 1 டீஸ்பூன்.</t>
  </si>
  <si>
    <t>Peel the skin, remove the seeds of papaya and chop it into cubes.
Blend everything together in a blender and serve chilled.</t>
  </si>
  <si>
    <t>பப்பாளியின் தோலை உரித்து, விதைகளை நீக்கி, க்யூப்ஸாக நறுக்கவும்.
எல்லாவற்றையும் ஒரு பிளெண்டரில் ஒன்றாகக் கலந்து, குளிர்ந்த நிலையில் பரிமாறவும்.</t>
  </si>
  <si>
    <t>https://encrypted-tbn0.gstatic.com/images?q=tbn:ANd9GcRftbgnODsMgzbWPEU7zuA8EtNuN8wBQCFMiA&amp;s</t>
  </si>
  <si>
    <t>Watermelon Juice</t>
  </si>
  <si>
    <t>தர்பூசணி சாறு</t>
  </si>
  <si>
    <t xml:space="preserve">   Watermelon pieces – 2 cups,
   Ginger – 1/2 inch piece,
   Fresh Lemon juice - 1 tsp,
   Salt – a pinch.</t>
  </si>
  <si>
    <t>தர்பூசணி துண்டுகள் - 2 கப்,
இஞ்சி - 1/2 அங்குல துண்டு,
புதிய எலுமிச்சை சாறு - 1 தேக்கரண்டி,
உப்பு - ஒரு சிட்டிகை.</t>
  </si>
  <si>
    <t>Put everything in a blender and blend it until smooth. (You need not add water as the water content in watermelon is high and that is enough).
Serve chilled. Add ice cubes if preferred.
I did not add sugar as the watermelon itself was very sweet but those who want can add sugar or a tsp of honey if needed.
Have a glass of watermelon juice and enjoy the health benefits it offers.</t>
  </si>
  <si>
    <t>எல்லாவற்றையும் ஒரு பிளெண்டரில் போட்டு, மென்மையான வரை அரைக்கவும். (தர்பூசணியில் தண்ணீர் அளவு அதிகமாக இருப்பதால் தண்ணீர் சேர்க்க தேவையில்லை, அதுவே போதுமானது).
குளிர்ச்சியாக பரிமாறவும். விருப்பப்பட்டால் ஐஸ் கட்டிகளைச் சேர்க்கவும்.
தர்பூசணி மிகவும் இனிப்பாக இருந்ததால் நான் சர்க்கரை சேர்க்கவில்லை, ஆனால் விரும்புவோர் சர்க்கரை அல்லது தேவைப்பட்டால் ஒரு தேக்கரண்டி தேன் சேர்க்கலாம்.
ஒரு கிளாஸ் தர்பூசணி சாறு குடித்து, அது வழங்கும் ஆரோக்கிய நன்மைகளை அனுபவிக்கவும்.</t>
  </si>
  <si>
    <t>https://cdn.loveandlemons.com/wp-content/uploads/2021/06/watermelon-juice.jpg</t>
  </si>
  <si>
    <t>Chikoo Milkshake</t>
  </si>
  <si>
    <t>சிக்கூ மில்க் ஷேக்</t>
  </si>
  <si>
    <t xml:space="preserve">   Chikoo pieces – 1 cup,
   Cold Milk – 1 1/2 cups,
   Powdered Sugar – 1 tsp.</t>
  </si>
  <si>
    <t>சிக்கூ துண்டுகள் - 1 கப்,
குளிர்ந்த பால் - 1 1/2 கப்,
பொடித்த சர்க்கரை - 1 டீஸ்பூன்.</t>
  </si>
  <si>
    <t>Peel the skin and discard the seeds of sapota.
Blend it with a little milk and sugar/honey.You can also use 2-3 dates instead of sugar or honey to make it more nutritious and tasty.
Then add the rest of the milk and blend everything together until smooth.
Serve chilled. Children will love this very much.</t>
  </si>
  <si>
    <t>தோலை உரித்து சப்போட்டா விதைகளை நிராகரிக்கவும்.
சிறிது பால் மற்றும் சர்க்கரை/தேனுடன் கலக்கவும். சர்க்கரை அல்லது தேனுக்கு பதிலாக 2-3 பேரீச்சம்பழங்களையும் பயன்படுத்தலாம், இது அதிக சத்தானதாகவும் சுவையாகவும் இருக்கும்.
பின்னர் மீதமுள்ள பாலைச் சேர்த்து எல்லாவற்றையும் ஒன்றாகக் கலக்கவும்.
குளிரவைத்து பரிமாறவும். குழந்தைகள் இதை மிகவும் விரும்புவார்கள்.</t>
  </si>
  <si>
    <t>https://satyanarayanmukhwas.com/wp-content/uploads/2024/06/chikoo-milkshake-.jpg</t>
  </si>
  <si>
    <t>Refreshing Apple Milk Shake</t>
  </si>
  <si>
    <t>புத்துணர்ச்சியூட்டும் ஆப்பிள் மில்க் ஷேக்</t>
  </si>
  <si>
    <t xml:space="preserve">   Cold Milk - 1 1/2 cup,
   Apple – 1 big,
   Sugar – 1 tbsp,
   Vanila ice cream - 2 scoops.</t>
  </si>
  <si>
    <t>குளிர்ந்த பால் - 1 1/2 கப்,
ஆப்பிள் - 1 பெரியது,
சர்க்கரை - 1 டீஸ்பூன்,
வெண்ணிலா ஐஸ்கிரீம் - 2 ஸ்கூப்.</t>
  </si>
  <si>
    <t>Peel the skin of apple and remove the core and the seeds. Cut it into cubes.
First grind the apple pieces with a little milk in a blender. Then add the rest of the milk, ice-cream (optional), sugar and blend it until smooth.
Serve Cold. Enjoy!!.</t>
  </si>
  <si>
    <t>ஆப்பிளின் தோலை உரித்து, மையப்பகுதி மற்றும் விதைகளை நீக்கி, அதை க்யூப்ஸாக வெட்டுங்கள்.
முதலில் ஆப்பிள் துண்டுகளை ஒரு பிளெண்டரில் சிறிது பாலுடன் அரைக்கவும். பின்னர் மீதமுள்ள பால், ஐஸ்கிரீம் (விரும்பினால்), சர்க்கரை சேர்த்து மென்மையான வரை கலக்கவும்.
குளிர்ச்சியாக பரிமாறவும். மகிழுங்கள்!!.</t>
  </si>
  <si>
    <t>https://encrypted-tbn0.gstatic.com/images?q=tbn:ANd9GcQBgOOfJNSZpajV0ljr-rGHM5bBQaCl7larzw&amp;s</t>
  </si>
  <si>
    <t>Pineapple Juice</t>
  </si>
  <si>
    <t>அன்னாசி பழச்சாறு</t>
  </si>
  <si>
    <t xml:space="preserve">   Pineapple pieces – 1 1/2 cup,
   Cold Water - 1 1/4 cup,
   Powdered Sugar – 2 tsp.
</t>
  </si>
  <si>
    <t>அன்னாசி துண்டுகள் - 1 1/2 கப்,
குளிர்ந்த நீர் - 1 1/4 கப்,
சர்க்கரை பொடி - 2 தேக்கரண்டி.</t>
  </si>
  <si>
    <t>Scrap off the skin of the pineapple well and remove the hard core at its center. Cut it into small pieces.
Blend the pineapple pieces, sugar and water together in a blender. Strain the juice using a juice strainer.
If the pineapple is very sweet, you need not add sugar or honey.
Add crushed ice and enjoy!!</t>
  </si>
  <si>
    <t>அன்னாசிப்பழத்தை நன்றாகத் தோலுரித்து, அதன் மையத்தில் உள்ள கடினமான மையத்தை அகற்றவும். அதை சிறிய துண்டுகளாக வெட்டவும்.
அன்னாசி துண்டுகள், சர்க்கரை மற்றும் தண்ணீரை ஒரு பிளெண்டரில் ஒன்றாகக் கலக்கவும். சாறு வடிகட்டியைப் பயன்படுத்தி சாற்றை வடிகட்டவும்.
அன்னாசிப்பழம் மிகவும் இனிப்பாக இருந்தால், நீங்கள் சர்க்கரை அல்லது தேனை சேர்க்க வேண்டியதில்லை.
நொறுக்கப்பட்ட ஐஸ் சேர்த்து மகிழுங்கள்!!</t>
  </si>
  <si>
    <t>https://tinkuscafe.com/wp-content/uploads/2024/03/Pineapple-Juice.jpg</t>
  </si>
  <si>
    <t>Poha Sweet Snack</t>
  </si>
  <si>
    <t>போஹா இனிப்பு சிற்றுண்டி</t>
  </si>
  <si>
    <t>Bachelor Recipes</t>
  </si>
  <si>
    <t>1 cup - Jaggery (200 gms),
3 cups - Brown poha (1/4 kg),
2 tsp - Ghee (clarified butter),
1/4 cup -  Roasted gram dal ,
1 tbsp -  Black Sesame seeds,
1/4 cup -  Raisins black or brown,
1 cup - Fresh Matured coconut heaped,
1/8 tsp - Cardamom Powder,
1/2 tsp - Dry Ginger Powder,
1/2 tsp - Roasted Cumin Powder.</t>
  </si>
  <si>
    <t>1 கப் - வெல்லம் (200 கிராம்),
3 கப் - பழுப்பு போஹா (1/4 கிலோ),
2 தேக்கரண்டி - நெய் (தெளிவுபடுத்தப்பட்ட வெண்ணெய்),
1/4 கப் - வறுத்த பருப்பு,
1 தேக்கரண்டி - கருப்பு எள்,
1/4 கப் - கருப்பு அல்லது பழுப்பு திராட்சை,
1 கப் - புதிதாக முதிர்ந்த தேங்காய் குவியலாக,
1/8 தேக்கரண்டி - ஏலக்காய் தூள்,
1/2 தேக்கரண்டி - உலர்ந்த இஞ்சி தூள்,
1/2 தேக்கரண்டி - வறுத்த சீரக தூள்.</t>
  </si>
  <si>
    <t>In a kadai , add the filtered jaggery  and a tsp of ghee.
Boil the jaggery until it thicken and bubbles.
At this stage, add the coconut. Cook the coconut well so that remaining moisture from the coconut goes.
Reduce the heat and add the roasted  beaten rice or poha.
Add all the other ingredients (roasted gram, sesame seeds, raisins).
Add 1/2 tsp cardamom powder  and 1/2 tsp dry ginger powder.
Now on medium low heat, mix everything well so that the poha is well coated with the jaggery.
Saute until it becomes a little dry. Turn off heat.
Add 1/2 tsp roasted cumin powder and mix well.
Let it cool completely. Once it cools, it will become dry.
Indian style granola is ready.
Store it in a bottle or air tight container.</t>
  </si>
  <si>
    <t>ஒரு கடாயில், வடிகட்டிய வெல்லம் மற்றும் ஒரு தேக்கரண்டி நெய் சேர்க்கவும்.
வெல்லம் கெட்டியாகி குமிழியாகும் வரை கொதிக்க வைக்கவும்.
இந்த கட்டத்தில், தேங்காயைச் சேர்க்கவும். தேங்காயிலிருந்து மீதமுள்ள ஈரப்பதம் போகும் வரை தேங்காயை நன்கு சமைக்கவும்.
தீயைக் குறைத்து, வறுத்த அரிசி அல்லது போஹாவைச் சேர்க்கவும்.
மற்ற அனைத்து பொருட்களையும் (வறுத்த பருப்பு, எள், திராட்சை) சேர்க்கவும்.
1/2 தேக்கரண்டி ஏலக்காய் தூள் மற்றும் 1/2 தேக்கரண்டி உலர்ந்த இஞ்சி தூள் சேர்க்கவும்.
இப்போது மிதமான தீயில், போஹா வெல்லத்துடன் நன்கு பூசப்படும் வகையில் அனைத்தையும் நன்கு கலக்கவும்.
சிறிது காயும் வரை வதக்கவும். வெப்பத்தை அணைக்கவும்.
1/2 தேக்கரண்டி வறுத்த சீரகப் பொடியைச் சேர்த்து நன்கு கலக்கவும்.
முற்றிலும் ஆற விடவும். ஆறியதும், அது காய்ந்துவிடும்.
இந்திய பாணி கிரானோலா தயார்.
ஒரு பாட்டில் அல்லது காற்று புகாத கொள்கலனில் சேமிக்கவும்.</t>
  </si>
  <si>
    <t>https://encrypted-tbn0.gstatic.com/images?q=tbn:ANd9GcQgYSw_0ob22E6R4GMerpzav8fRch-zcgI25w&amp;s</t>
  </si>
  <si>
    <t>https://youtu.be/c1bJ9niGG4U</t>
  </si>
  <si>
    <t>Protein Rich Green Gram Idli</t>
  </si>
  <si>
    <t>புரதச்சத்து நிறைந்த பச்சைப்பயறு இட்லி</t>
  </si>
  <si>
    <t>Tiffin</t>
  </si>
  <si>
    <t>1 cup - Green Gram,
1/2 Cup -Whole Urad dal,
1/2 tbsp - Salt.</t>
  </si>
  <si>
    <t>1 கப் - பச்சைப்பயறு,
1/2 கப் - முழு உளுத்தம்பருப்பு,
1/2 டீஸ்பூன் - உப்பு.</t>
  </si>
  <si>
    <t>Mix the fermented batter well. The consistency of the batter should neither be thick nor thin. The batter is ready to make either idli or dosa.
Bring water to boil in an idli steamer or kadai. This is a very important step.
Grease the idli mould with oil. Pour a ladle of batter in all the cavities.
Close it with a lid and steam cook for 15 minutes or until done.
Once cooked, leave it for 5 minutes. Then dip a spoon in water and remove the idlis. In this way, idli will not stick to the mould and there will be no wastage.
Soft and spongy idlis are ready. You can make dosas with the same batter.
Enjoy healthy and nutritious idli and dosa with any chutney of your choice.
Storage and Shelf life - Store it in the refrigerator and use it within 2 days.</t>
  </si>
  <si>
    <t>புளித்த மாவை நன்றாக கலக்கவும். மாவின் நிலைத்தன்மை கெட்டியாகவோ அல்லது மெல்லியதாகவோ இருக்கக்கூடாது. மாவு இட்லி அல்லது தோசை தயாரிக்க தயாராக உள்ளது.
ஒரு இட்லி ஸ்டீமர் அல்லது கடாயில் தண்ணீரை கொதிக்க வைக்கவும். இது மிகவும் முக்கியமான படியாகும்.
இட்லி அச்சுக்குள் எண்ணெய் தடவவும். அனைத்து குழிகளிலும் ஒரு கரண்டி மாவை ஊற்றவும்.
அதை ஒரு மூடியால் மூடி 15 நிமிடங்கள் அல்லது முடியும் வரை வேகவைக்கவும்.
சமைத்த பிறகு, அதை 5 நிமிடங்கள் விடவும். பின்னர் ஒரு கரண்டி தண்ணீரில் நனைத்து இட்லிகளை அகற்றவும். இந்த வழியில், இட்லி அச்சுக்குள் ஒட்டாது, மேலும் வீணாகாது.
மென்மையான மற்றும் பஞ்சுபோன்ற இட்லிகள் தயாராக உள்ளன. அதே மாவுடன் தோசைகளை நீங்கள் செய்யலாம்.
உங்களுக்கு விருப்பமான எந்த சட்னியுடன் ஆரோக்கியமான மற்றும் சத்தான இட்லி மற்றும் தோசையை அனுபவிக்கவும்.
சேமிப்பு மற்றும் அடுக்கு வாழ்க்கை - குளிர்சாதன பெட்டியில் சேமித்து 2 நாட்களுக்குள் பயன்படுத்தவும்.</t>
  </si>
  <si>
    <t>https://encrypted-tbn0.gstatic.com/images?q=tbn:ANd9GcTXqtvL7UAiBNRoIeYQ73G16owzWi7b_uRZLQ&amp;s</t>
  </si>
  <si>
    <t>https://youtu.be/j-Mx59GDji4</t>
  </si>
  <si>
    <t>Instant Tamarind Rice</t>
  </si>
  <si>
    <t>உடனடி புளி சாதம்</t>
  </si>
  <si>
    <t>Simple Recipes</t>
  </si>
  <si>
    <t>1 tsp - Sesame seed oil For Rice,
30 gms - Tamarind ( 30 grams or a small lemon sized ball),
4 - Red Chilli,
1 tsp - Rock Salt ( 1 heaped tsp or as needed),
1 tsp - Sesame seeds,
1/2 tsp - Fenugreek seeds,
1/2 tsp - Coriander seeds,
50 ml - Gingelly Oil (nellennai),
1 tsp - Mustard seeds,
1 pinch - Asafoetida,
1 -  sprig Curry leaves,
1/2 tsp -  Turmeric powder,
3 tbsp - Roasted Peanuts.</t>
  </si>
  <si>
    <t>1 தேக்கரண்டி - அரிசிக்கு எள் விதை எண்ணெய்,
30 கிராம் - புளி (30 கிராம் அல்லது ஒரு சிறிய எலுமிச்சை அளவு பந்து),
4 - சிவப்பு மிளகாய்,
1 தேக்கரண்டி - கல் உப்பு (1 குவியலாக தேய்க்கப்பட்ட தேக்கரண்டி அல்லது தேவைக்கேற்ப),
1 தேக்கரண்டி - எள் விதைகள்,
1/2 தேக்கரண்டி - வெந்தயம்,
1/2 தேக்கரண்டி - கொத்தமல்லி விதைகள்,
50 மில்லி - எள் எண்ணெய் (நெல்லெண்ணெய்),
1 தேக்கரண்டி - கடுகு,
1 சிட்டிகை - பெருங்காயம்,
1 - தளிர் கறிவேப்பிலை,
1/2 தேக்கரண்டி - மஞ்சள் தூள்,
3 தேக்கரண்டி - வறுத்த வேர்க்கடலை.</t>
  </si>
  <si>
    <t>Heat 1/4 cup of sesame seed oil (nallennai), add a tsp of mustard seeds, asafoetida, 1/4 tsp turmeric powder and curry leaves.
When mustard seeds splutters, add the roasted peanuts and saute for a few seconds.
Pour the seasoning on the tamarind paste.
Add the prepared powder to it and mix well. Pulikachal is ready.
Now add needed paste to the rice and mix well.
Our tamarind rice is ready. Enjoy it with appalam or chips or paruppu vadai without onions or masal vadai.</t>
  </si>
  <si>
    <t>1/4 கப் எள் விதை எண்ணெய் (நல்லெண்ணெய்) சூடாக்கி, ஒரு தேக்கரண்டி கடுகு, பெருங்காயம், 1/4 தேக்கரண்டி மஞ்சள் தூள் மற்றும் கறிவேப்பிலை சேர்க்கவும்.
கடுகு வதங்கியதும், வறுத்த வேர்க்கடலையைச் சேர்த்து சில நொடிகள் வதக்கவும்.
புளி விழுதில் தாளிக்க வேண்டியவற்றை ஊற்றவும்.
தயாரிக்கப்பட்ட பொடியை அதனுடன் சேர்த்து நன்கு கலக்கவும். புளிகச்சால் தயார்.
இப்போது சாதத்தில் தேவையான விழுதைச் சேர்த்து நன்கு கலக்கவும்.
நமது புளி சாதம் தயார். வெங்காயம் அல்லது மசாலா வடை இல்லாமல் அப்பளம் அல்லது சிப்ஸ் அல்லது பருப்பு வடையுடன் இதை மசிக்கவும்.</t>
  </si>
  <si>
    <t>https://www.padhuskitchen.com/wp-content/uploads/2020/12/instant-puliyodharai.jpg</t>
  </si>
  <si>
    <t>https://youtu.be/-xyw8hP_Sio</t>
  </si>
  <si>
    <t>Idli using Idli Rava</t>
  </si>
  <si>
    <t>இட்லி ரவாவைப் பயன்படுத்தி இட்லி</t>
  </si>
  <si>
    <t>1/2 cup - Whole Urad dal,
1 1/2 cup - Idli Rava,
1 tsp - Fenugreek seeds,
Salt as needed.</t>
  </si>
  <si>
    <t>1/2 கப் - முழு உளுத்தம் பருப்பு,
1 1/2 கப் - இட்லி ரவா,
1 தேக்கரண்டி - வெந்தயம்,
தேவைக்கேற்ப உப்பு.</t>
  </si>
  <si>
    <t>Grind the urad dal with needed chilled water. Add water gradually and grind it to a fluffy batter.  Do not operate the mixie at a stretch. This is to prevent the mixie from getting heated up. Use the whipper button in the end for few seconds to get fluffy batter.
After grinding the urad dal, transfer it into a bowl. Squeeze out the water from the idli rava and add to the urad dal batter.
Add  needed salt  (approximately 1 1/2 tsp rock salt -in the video it is mentioned as tbsp by mistake) and mix both the batter well.
The consistency of the batter should neither be thick nor thin, so add needed water to get the right idli batter consistency.
Note – If the batter is too thick, the idlis will be rock hard. If the batter is watery, you will end up with thin flat idlis. So the consistency of the batter is important.
Mix the batter well with your hands to incorporated air in the batter. This will also aid in fermentation.
Leave it to ferment overnight or for 6-7 hours.
Bring water to boil in an idli steamer. Grease the idli mould with oil and pour a ladle of the fermented batter in each of the cavities.
Steam cook for 15 minutes or until done. Wet your fingers and touch the idlis, if it sticks, cook for few more minutes. You can also check by inserting a toothpick in the center of the idli. If the toothpick comes out clean, the idli is cooked well.
Once cooked, turn off the heat and remove the idli mould. Wait for 5 minutes and then remove the idlis. Dip a spoon in water and remove the idlis, this will prevent the idlis from sticking to the mould.
Enjoy it with Chutney or Sambar of your choice.</t>
  </si>
  <si>
    <t>தேவையான அளவு குளிர்ந்த நீரில் உளுத்தம் பருப்பை அரைக்கவும். படிப்படியாக தண்ணீரைச் சேர்த்து, மிக்ஸியை மென்மையாக அரைக்கவும். மிக்ஸியை ஒரே நேரத்தில் பயன்படுத்த வேண்டாம். மிக்ஸி சூடாவதைத் தடுக்க இது செய்யப்படுகிறது. இறுதியில் சில நொடிகள் விப்பர் பொத்தானைப் பயன்படுத்தி, பஞ்சுபோன்ற மாவைப் பெறுங்கள்.
உளுத்தம் பருப்பை அரைத்த பிறகு, அதை ஒரு கிண்ணத்தில் மாற்றவும். இட்லி ரவையிலிருந்து தண்ணீரை பிழிந்து, உளுத்தம் பருப்பில் சேர்க்கவும்.
தேவையான உப்பு (தோராயமாக 1 1/2 தேக்கரண்டி கல் உப்பு - வீடியோவில் இது டேபிள்ஸ்பூன் என்று தவறுதலாகக் குறிப்பிடப்பட்டுள்ளது) சேர்த்து, இரண்டையும் நன்றாகக் கலக்கவும்.
மாவின் நிலைத்தன்மை கெட்டியாகவோ அல்லது மெல்லியதாகவோ இருக்கக்கூடாது, எனவே சரியான இட்லி மாவு நிலைத்தன்மையைப் பெற தேவையான தண்ணீரைச் சேர்க்கவும்.
குறிப்பு – மாவு மிகவும் கெட்டியாக இருந்தால், இட்லிகள் பாறை போல் கடினமாக இருக்கும். மாவு நீர்த்தன்மையுடன் இருந்தால், மெல்லிய தட்டையான இட்லிகள் கிடைக்கும். எனவே மாவின் நிலைத்தன்மை முக்கியமானது.
மாவை உங்கள் கைகளால் மாவில் காற்று சேரும் வரை நன்கு கலக்கவும். இது நொதித்தலுக்கும் உதவும்.
இரவு முழுவதும் அல்லது 6-7 மணி நேரம் புளிக்க விடவும்.
இட்லி ஸ்டீமரில் தண்ணீரை கொதிக்க வைக்கவும். இட்லி அச்சுக்குள் எண்ணெய் தடவி, புளித்த மாவை ஒவ்வொரு குழியிலும் ஒரு கரண்டி ஊற்றவும்.
15 நிமிடங்கள் அல்லது முடியும் வரை வேகவைக்கவும். உங்கள் விரல்களை நனைத்து இட்லிகளைத் தொடவும், அது ஒட்டிக்கொண்டால், இன்னும் சில நிமிடங்கள் சமைக்கவும். இட்லியின் மையத்தில் ஒரு டூத்பிக் செருகுவதன் மூலமும் நீங்கள் சரிபார்க்கலாம். டூத்பிக் சுத்தமாக வெளியே வந்தால், இட்லி நன்றாக வெந்துவிட்டது.
சமைத்தவுடன், வெப்பத்தை அணைத்து இட்லி அச்சுகளை அகற்றவும். 5 நிமிடங்கள் காத்திருந்து பின்னர் இட்லிகளை அகற்றவும். ஒரு கரண்டி தண்ணீரில் நனைத்து இட்லிகளை அகற்றவும், இது இட்லிகள் அச்சுக்குள் ஒட்டாமல் தடுக்கும்.
உங்களுக்குப் பிடித்த சட்னி அல்லது சாம்பாருடன் இதை மகிழுங்கள்.</t>
  </si>
  <si>
    <t>https://www.padhuskitchen.com/wp-content/uploads/2020/10/idli-using-idli-rava-rice-rava.jpg</t>
  </si>
  <si>
    <t>https://youtu.be/D0s_dzslC0k</t>
  </si>
  <si>
    <t>Instant Bombay Sambar</t>
  </si>
  <si>
    <t>உடனடி பாம்பே சாம்பார்</t>
  </si>
  <si>
    <t>10 - Pearl Onions ,
1 - Tomato (finely chopped),
2 - Green chilli (finely chopped),
1 - inch Ginger,
5 - Garlic cloves (finely chopped),
1 tbsp - Gram flour ,
3/4 tsp - Jaggery,
Salt needed,
1 1/2 cup - Water,
1/4 tsp -  Turmeric Powder,
1 tsp - Chilli Powder,
2 tbsp - Oil,
1 tsp - Mustard seeds,
1 tsp - Urad dal,
1 tsp - Cumin seeds,
1/4 tsp - Fenugreek seeds,
1 -  Red Chilli,
1 pinch -  Asafoetida (hing),
1 - sprig Curry leaves.</t>
  </si>
  <si>
    <t>10 - முத்து வெங்காயம்,
1 - தக்காளி (நன்றாக நறுக்கியது),
2 - பச்சை மிளகாய் (நன்றாக நறுக்கியது),
1 - அங்குல இஞ்சி,
5 - பூண்டு பல் (நன்றாக நறுக்கியது),
1 தேக்கரண்டி - கடலை மாவு,
3/4 தேக்கரண்டி - வெல்லம்,
தேவையான உப்பு,
1 1/2 கப் - தண்ணீர்,
1/4 தேக்கரண்டி - மஞ்சள் தூள்,
1 தேக்கரண்டி - மிளகாய் தூள்,
2 தேக்கரண்டி - எண்ணெய்,
1 தேக்கரண்டி - கடுகு,
1 தேக்கரண்டி - உளுத்தம் பருப்பு,
1 தேக்கரண்டி - சீரகம்,
1/4 தேக்கரண்டி - வெந்தயம்,
1 - சிவப்பு மிளகாய்,
1 சிட்டிகை - பெருங்காயம் (கீரை),
1 - கறிவேப்பிலை இலைகள் சேர்க்கவும்.</t>
  </si>
  <si>
    <t>Heat 2 tbsp of oil and add mustard seeds followed by urad dal, cumin seeds, fenugreek seeds, red chilli and hing.
how to make bombay sambar
When mustard seeds start spluttering, add finely chopped pearl onions (shallots), ginger , green chillies, garlic and curry leaves.
Saute until onions turn transparent.
Once it turns transparent, add the chopped tomatoes, turmeric powder, salt and chilli powder.
bombay chutney
Cook until tomatoes turn mushy. If you feel the tomatoes are dry, you may add a tbsp of water.
Once the tomatoes are cooked well, add the gram flour mix.
instant tiffin sambar
Mix well. Once it starts boiling, reduce the heat and simmer for 4-5 minutes. Keep stirring in between.
how to make besan sambar
Once done, garnish with finely chopped coriander leaves.
Serve bombay sambar piping hot with idli, dosa or pongal.</t>
  </si>
  <si>
    <t>2 தேக்கரண்டி எண்ணெயை சூடாக்கி, கடுகு விதைகள், பின்னர் உளுத்தம் பருப்பு, சீரகம், வெந்தயம், சிவப்பு மிளகாய் மற்றும் கீரை சேர்க்கவும்.
பாம்பே சாம்பார் செய்வது எப்படி
கடுகு வெடிக்க ஆரம்பித்ததும், இறுதியாக நறுக்கிய வெங்காயம் (வெங்காயம்), இஞ்சி, பச்சை மிளகாய், பூண்டு மற்றும் கறிவேப்பிலை சேர்க்கவும்.
வெங்காயம் வெளிப்படையானதாக மாறும் வரை வதக்கவும்.
அது வெளிப்படையானதாக மாறியதும், நறுக்கிய தக்காளி, மஞ்சள் தூள், உப்பு மற்றும் மிளகாய் தூள் சேர்க்கவும்.
பாம்பே சட்னி
தக்காளி மென்மையாக மாறும் வரை சமைக்கவும். தக்காளி உலர்ந்ததாக உணர்ந்தால், ஒரு தேக்கரண்டி தண்ணீர் சேர்க்கலாம்.
தக்காளி நன்றாக வெந்ததும், கடலை மாவு கலவையை சேர்க்கவும்.
உடனடி டிபன் சாம்பார்
நன்றாக கலக்கவும். கொதிக்க ஆரம்பித்ததும், தீயை குறைத்து 4-5 நிமிடங்கள் கொதிக்க வைக்கவும். இடையில் தொடர்ந்து கிளறிக்கொண்டே இருங்கள்.
பெசன் சாம்பார் செய்வது எப்படி
வெந்தவுடன், இறுதியாக நறுக்கிய கொத்தமல்லி இலைகளால் அலங்கரிக்கவும்.
பாம்பே சாம்பாரை இட்லி, தோசை அல்லது பொங்கலுடன் சூடாக பரிமாறவும்.</t>
  </si>
  <si>
    <t>https://encrypted-tbn0.gstatic.com/images?q=tbn:ANd9GcTld8rKPq2zxTUI3gk8Y7e-fd95OvvY9Vi7pQ&amp;s</t>
  </si>
  <si>
    <t>https://youtu.be/W37VOH5AvzY</t>
  </si>
  <si>
    <t>Idli Manchurian</t>
  </si>
  <si>
    <t>இட்லி மஞ்சூரியன்</t>
  </si>
  <si>
    <t>3 -  Leftover idlis,
3/4 tsp - Rice flour,
1/2 tsp -  Red Chilli powder,
Butter as needed,
4 - cloves Garlic,
1 - Green chillies,
1 - Onion,
1 - Capsicum,
3/4 tsp - All purpose flour (maida),
Salt needed,
1 tbsp - Tomato sauce,
1 tbsp - Chilli sauce,
1 tbsp - Soya sauce,
1/4 cup - Spring Onion greens.</t>
  </si>
  <si>
    <t>3 - மீதமுள்ள இட்லிகள்,
3/4 தேக்கரண்டி - அரிசி மாவு,
1/2 தேக்கரண்டி - சிவப்பு மிளகாய் தூள்,
தேவைக்கேற்ப வெண்ணெய்,
4 - பூண்டு பல்,
1 - பச்சை மிளகாய்,
1 - வெங்காயம்,
1 - கேப்சிகம்,
3/4 தேக்கரண்டி - அனைத்து வகையான மாவு (மைதா),
உப்பு தேவை,
1 தேக்கரண்டி - தக்காளி சாஸ்,
1 தேக்கரண்டி - மிளகாய் சாஸ்,
1 தேக்கரண்டி - சோயா சாஸ்,
1/4 கப் - வெங்காய கீரைகள்.</t>
  </si>
  <si>
    <t>Heat 2 tbsp of butter.
Add garlic, green chillies and saute for a few seconds.
Add onions and saute until it turns transparent.
Once onions turns transparent, add the capsicums.
Saute for a few seconds. Do not overcook the capsicum. It should retain its crunchiness.
Add all the sauces mention under "sauces"
Add salt needed. Cook for a few seconds.
Mix all purpose flour (maida) with 2-3 tbsp of water and add to the above.
Once the gravy starts thickening, add the fried idli pieces.
Mix well so that it is well coated with the masala.
Turn off the heat and garnish with finely chopped spring onion greens.
Enjoy as a snack or as a breakfast.</t>
  </si>
  <si>
    <t>2 தேக்கரண்டி வெண்ணெய் சூடாக்கவும்.
பூண்டு, பச்சை மிளகாய் சேர்த்து சில நொடிகள் வதக்கவும்.
வெங்காயத்தைச் சேர்த்து அது வெளிப்படையானதாக மாறும் வரை வதக்கவும்.
வெங்காயம் வெளிப்படையானதாக மாறியதும், கேப்சிகம் சேர்க்கவும்.
சில நொடிகள் வதக்கவும். கேப்சிகத்தை அதிகமாக வேகவிடாதீர்கள். அது அதன் மொறுமொறுப்பைத் தக்க வைத்துக் கொள்ள வேண்டும்.
"சாஸ்கள்" என்பதன் கீழ் குறிப்பிடப்பட்டுள்ள அனைத்து சாஸ்களையும் சேர்க்கவும்
தேவைக்கேற்ப உப்பு சேர்க்கவும். சில நொடிகள் சமைக்கவும்.
மைதா மாவை 2-3 டேபிள்ஸ்பூன் தண்ணீரில் கலந்து மேலே உள்ளவற்றுடன் சேர்க்கவும்.
குழம்பு கெட்டியாக ஆரம்பித்ததும், வறுத்த இட்லி துண்டுகளைச் சேர்க்கவும்.
மசாலா நன்றாகப் பூசப்படும்படி நன்கு கலக்கவும்.
அடுப்பை அணைத்து, இறுதியாக நறுக்கிய வெங்காயக் கீரைகளால் அலங்கரிக்கவும்.
சிற்றுண்டியாகவோ அல்லது காலை உணவாகவோ அனுபவிக்கவும்.</t>
  </si>
  <si>
    <t>https://www.cookclickndevour.com/wp-content/uploads/2015/09/Idli-Manchurian-recipea.jpg</t>
  </si>
  <si>
    <t>https://youtu.be/teTBmnsI7-Y</t>
  </si>
  <si>
    <t>Dahi Puri</t>
  </si>
  <si>
    <t>தஹி பூரி</t>
  </si>
  <si>
    <t>12 - Puris,
1 1/2 cup - Thick Curd,
2-3 tsp - Sugar,
Salt,
1/4 cup - Whole green gram,
3 - Potatoes,
Chaat Chutneys,
Green chutney (as needed),
Sweet chutney (as needed),
Red Chutney (optional),
Spice Powder,
Red chilli powder,
Chaat masala powder,
Roasted cumin powder,
Onion finely chopped,
Tomato finely chopped,
Sev,
Kara Boondi,
Coriander leaves finely chopped.</t>
  </si>
  <si>
    <t>12 - பூரிகள்,
1 1/2 கப் - கெட்டியான தயிர்,
2-3 தேக்கரண்டி - சர்க்கரை,
உப்பு,
1/4 கப் - முழு பச்சைப்பயறு,
3 - உருளைக்கிழங்கு,
சாட் சட்னிகள்,
பச்சை சட்னி (தேவைக்கேற்ப),
இனிப்பு சட்னி (தேவைக்கேற்ப),
சிவப்பு சட்னி (விருப்பத்தேர்வு),
மசாலா பொடி,
சிவப்பு மிளகாய் தூள்,
சாட் மசாலா பொடி,
வறுத்த சீரகப் பொடி,
வெங்காயம் நன்றாக நறுக்கியது,
தக்காளி நன்றாக நறுக்கியது,
சேவ்,
காரா பூண்டி,
கொத்தமல்லி இலை நன்றாக நறுக்கியது.</t>
  </si>
  <si>
    <t>Mix together the prepared potatoes, sprouted-steamed moong and finely chopped onions. Keep aside some onions for garnishing.
With your thumb, make a hole in the center of the puri. (puri is available ready made in most super markets)
Fill the puris with the potato, onion and moong mix.
Drizzle green chutney, sweet chutney and red chutney on top of it.
Sprinkle chaat masala powder, red chilli powder and roasted cumin powder
Top it with 1-2 tbsp of sweetened and chilled curd.
Sprinkle red chilli powder and roasted cumin powder again.
Garnish it with finely chopped tomatoes, onion, sev, kara boondi and coriander leaves.
Top it with more curd and chutney, if required.
Serve immediately otherwise the puri with turn soggy.</t>
  </si>
  <si>
    <t>தயாரிக்கப்பட்ட உருளைக்கிழங்கு, முளைத்த-வேகவைத்த பாசிப்பருப்பு மற்றும் நன்றாக நறுக்கிய வெங்காயத்தை ஒன்றாக கலக்கவும். அலங்காரத்திற்காக சிறிது வெங்காயத்தை ஒதுக்கி வைக்கவும்.
உங்கள் கட்டைவிரலால், பூரியின் மையத்தில் ஒரு துளை செய்யுங்கள். (பெரும்பாலான சூப்பர் மார்க்கெட்டுகளில் பூரி தயாராக கிடைக்கும்)
உருளைக்கிழங்கு, வெங்காயம் மற்றும் பாசிப்பருப்பு கலவையுடன் பூரிகளை நிரப்பவும்.
அதன் மேல் பச்சை சட்னி, இனிப்பு சட்னி மற்றும் சிவப்பு சட்னியைத் தூவவும்.
சாட் மசாலாப் பொடி, சிவப்பு மிளகாய்ப் பொடி மற்றும் வறுத்த சீரகப் பொடியைத் தூவவும்
அதன் மேல் 1-2 தேக்கரண்டி இனிப்பு மற்றும் குளிர்ந்த தயிரைச் சேர்த்துத் தூவவும்.
சிவப்பு மிளகாய்ப் பொடி மற்றும் வறுத்த சீரகப் பொடியை மீண்டும் தூவவும்.
இறுதியாக நறுக்கிய தக்காளி, வெங்காயம், சேவ், கார பூண்டி மற்றும் கொத்தமல்லி இலைகளால் அலங்கரிக்கவும்.
தேவைப்பட்டால் அதன் மேல் அதிக தயிர் மற்றும் சட்னியைத் தூவவும்.
உடனடியாக பரிமாறவும், இல்லையெனில் பூரி ஈரமாக இருக்கும்.</t>
  </si>
  <si>
    <t>https://ministryofcurry.com/wp-content/uploads/2022/07/Dahi-Puri_-3.jpg</t>
  </si>
  <si>
    <t>https://youtu.be/Te1LaohkZwE</t>
  </si>
  <si>
    <t>Kootanchoru</t>
  </si>
  <si>
    <t>கூட்டஞ்சோறு</t>
  </si>
  <si>
    <t>Rice – 3/4 cup,
   Tur Dal – 1/3 cup,
   Tamarind – small lemon sized ball,
   Turmeric powder – 1/4 tsp,
   Salt needed,
   Carrot -2 medium size,
   Beans -5,
   Potato – 1 medium size,
   Drumstick – 4 pieces,
   Broad beans -3-4,
   Raw Banana – 1/2 ,
   Yellow pumpkin – 1/4 cup chopped,
   Brinjal – 1-2,
   Raw mango – 1/4 cup chopped,
   Fresh pigeon peas – 1/4 cup,
   Arai keerai – fistful,
   Drumstick leaves – fistful,
   Grated coconut – 1/4 cup,
   Pearl onion -3-4,
   Garlic – 4 cloves,
   Red chillies -5-6,
   Cumin seeds – 1 tsp,
   Oil – 2 tbsp,
   Mustard seeds – 1 tsp,
   Urad dal – 1 tsp,
   Hing – a generous pinch,
   Onion – 1 chopped,
   Curry leaves – a sprig,
   Ghee – 1 tsp.</t>
  </si>
  <si>
    <t>அரிசி - 3/4 கப்,
துவரம் பருப்பு - 1/3 கப்,
புளி - சிறிய எலுமிச்சை அளவு உருண்டை,
மஞ்சள் தூள் - 1/4 டீஸ்பூன்,
உப்பு தேவை,
கேரட் - 2 நடுத்தர அளவு,
பீன்ஸ் - 5,
உருளைக்கிழங்கு - 1 நடுத்தர அளவு,
முருங்கைக்காய் - 4 துண்டுகள்,
அகன்ற பீன்ஸ் - 3-4,
பச்சை வாழைப்பழம் - 1/2 ,
மஞ்சள் பூசணி - 1/4 கப் நறுக்கியது,
கத்திரிக்காய் - 1-2,
பச்சை மாம்பழம் - 1/4 கப் நறுக்கியது,
புதிய துவரம்பருப்பு - 1/4 கப்,
அரை கீரை - ஒரு கைப்பிடி,
முருங்கை இலைகள் - ஒரு கைப்பிடி,
தேங்காய் துருவல் - 1/4 கப்,
முத்து வெங்காயம் - 3-4,
பூண்டு - 4 பல்,
சிவப்பு மிளகாய் - 5-6,
சீரகம் - 1 டீஸ்பூன்,
எண்ணெய் - 2 டீஸ்பூன்,
கடுகு - 1 டீஸ்பூன்,
உளுத்தம் பருப்பு - 1 டீஸ்பூன்,
ஹிங் - ஒரு சிட்டிகை,
வெங்காயம் – 1 நறுக்கியது,
கறிவேப்பிலை – ஒரு துளிர்,
நெய் – 1 டீஸ்பூன்.</t>
  </si>
  <si>
    <t>Heat 2 tbsp of oil, add mustard seeds, urad dal, curry leaves and hing. When dal turns golden brown, add chopped onions.
Saute until onion turn transparent.
Easy Kootanchoru recipe
Add the ground paste and cook for a few minutes. Then add the tamarind extract and boil for 4-5 minutes. Keep this aside.
Tirunelveli kootanchoru recipe
In a pressure cooker, add tur dal, a cup of water, carrot, beans, potato, drumstick, cluster beans, turmeric powder, little salt and cook without whistle on medium heat.
Healthy One Pot Meal
When the dal is half cooked, add raw banana (vazhakkai), pumpkin, brinjal, raw mango, pigeon peas, drumstick leaves, arai keerai, needed salt, tamarind + masala mix, washed rice and 3 cups of hot water.  (these vegetables and greens gets cooked faster, that is the reason we are adding it after the dal is half cooked, otherwise these vegetable will become mushy). Check for salt by tasting the water. If it is slightly salty, it will be perfect once the rice is cooked.
Mix well and pressure cook for 2 whistles.
When the pressure subsides, open the cooker, add a tsp of ghee and mix well. Kootanchoru is ready.
Serve Kootanchoru with raita or appalam or chips or onion vadam. You can also fry 2-3 Vengaya vadagam and add to it.</t>
  </si>
  <si>
    <t>2 டேபிள்ஸ்பூன் எண்ணெயை சூடாக்கி, கடுகு, உளுத்தம்பருப்பு, கறிவேப்பிலை மற்றும் பெருங்காயம் சேர்க்கவும். பருப்பு பொன்னிறமாக மாறும் போது, ​​நறுக்கிய வெங்காயத்தைச் சேர்க்கவும்.
எளிதான கூத்தஞ்சோறு செய்முறை
அரைத்த விழுதைச் சேர்த்து சில நிமிடங்கள் சமைக்கவும். பின்னர் புளி சாற்றைச் சேர்த்து 4-5 நிமிடங்கள் கொதிக்க வைக்கவும். இதை ஒதுக்கி வைக்கவும்.
திருநெல்வேலி கூத்தஞ்சோறு செய்முறை
பிரஷர் குக்கரில், துவரம்பருப்பு, ஒரு கப் தண்ணீர், கேரட், பீன்ஸ், உருளைக்கிழங்கு, முருங்கைக்காய், கொத்தமல்லி, மஞ்சள் தூள், சிறிது உப்பு சேர்த்து, விசில் இல்லாமல் மிதமான தீயில் சமைக்கவும்.
ஆரோக்கியமான ஒரு பாத்திர உணவு
பருப்பு பாதி வெந்ததும், பச்சை வாழைப்பழம் (வழக்கை), பூசணிக்காய், கத்திரிக்காய், பச்சை மாங்காய், துவரம்பருப்பு, முருங்கை இலை, அரை கீரை, தேவையான உப்பு, புளி + மசாலா கலவை, கழுவிய அரிசி மற்றும் 3 கப் சூடான தண்ணீர் சேர்க்கவும். (இந்த காய்கறிகளும் கீரைகளும் சீக்கிரம் வெந்துவிடும், அதனால்தான் பருப்பு பாதி வெந்த பிறகு சேர்க்கிறோம், இல்லையெனில் இந்த காய்கறிகள் மென்மையாகிவிடும்). தண்ணீரை ருசித்துப் பார்த்து உப்பு இருக்கிறதா என்று பாருங்கள். கொஞ்சம் உப்பு இருந்தால், அரிசி வெந்தவுடன் அது சரியாக இருக்கும்.
நன்றாகக் கலந்து 2 விசில் வேக வைக்கவும்.
அழுத்தம் குறைந்தவுடன், குக்கரைத் திறந்து, ஒரு தேக்கரண்டி நெய்யைச் சேர்த்து நன்கு கலக்கவும். கூட்டஞ்சோறு தயார்.
கூட்டஞ்சோறுவை ரைத்தா அல்லது அப்பளம் அல்லது சிப்ஸ் அல்லது வெங்காய வடையுடன் பரிமாறவும். 2-3 வெங்கயா வடகத்தையும் வறுத்து அதனுடன் சேர்க்கலாம்.</t>
  </si>
  <si>
    <t>https://www.tirunelveli.today/wp-content/uploads/2021/10/kootanchoru.jpg</t>
  </si>
  <si>
    <t>https://youtu.be/LQRmukIUJys</t>
  </si>
  <si>
    <t>Vazhaikkai Podi</t>
  </si>
  <si>
    <t>வாழைக்காய் பொடி</t>
  </si>
  <si>
    <t>Raw Banana – 1 big,
   Oil – 1 tsp,
   Turmeric powder – 1/4 tsp,
   Salt needed,
   Bengal gram dal – 1 tbsp,
   Coriander seeds – 1 tbsp,
   Tur dal – 2 tsp,
   Red chillies -3-4,
   Ghee – 1 tsp,
   Mustard seeds – 1 tsp,
   Urad dal – 1 tsp,
   Hing – a pinch,
   Curry leaves – a sprig.</t>
  </si>
  <si>
    <t>வாழைக்காய் - 1 பெரியது,
எண்ணெய் - 1 தேக்கரண்டி,
மஞ்சள் தூள் - 1/4 தேக்கரண்டி,
உப்பு தேவை,
வங்காள பருப்பு - 1 தேக்கரண்டி,
கொத்தமல்லி விதைகள் - 1 தேக்கரண்டி,
துர் பருப்பு - 2 தேக்கரண்டி,
சிவப்பு மிளகாய் - 3-4,
நெய் - 1 தேக்கரண்டி,
கடுகு - 1 தேக்கரண்டி,
உப்பு பருப்பு - 1 தேக்கரண்டி,
ஹிங் - ஒரு சிட்டிகை,
கறிவேப்பிலை - ஒரு தளிர்.</t>
  </si>
  <si>
    <t>Heat a tsp of ghee, add mustard seeds, when it splutters, add urad dal, hing and curry leaves. When dal turns golden brown, pour the seasoning on the mashed raw banana.
Raw Banana Podi Recipe
Add the prepared spice powder, salt needed and mix everything well.
vazhaikkai podi recipe
Mix hot steaming rice with needed raw banana podi, top it with a tsp of ghee and enjoy.
As this vazhaikkai podi is a bit dry, pair it with some vegetable kootu. It goes well with any kootu.</t>
  </si>
  <si>
    <t>ஒரு தேக்கரண்டி நெய்யை சூடாக்கி, கடுகு சேர்த்து, அது வதங்கியதும், உளுத்தம் பருப்பு, பெருங்காயம் மற்றும் கறிவேப்பிலை சேர்க்கவும். பருப்பு பொன்னிறமாக மாறியதும், மசித்த பச்சை வாழைக்காய் மீது தாளிக்கவும். வாழைக்காய் பொடி செய்முறை:.
தயாரித்த மசாலா பொடி, தேவையான உப்பு சேர்த்து அனைத்தையும் நன்றாக கலக்கவும்.
வாழைக்காய் பொடி செய்முறை
தேவையான வாழைக்காய் பொடியுடன் சூடான வேகவைத்த அரிசியை கலந்து, அதன் மேல் ஒரு தேக்கரண்டி நெய் சேர்த்து மசிக்கவும்.
இந்த வாழைக்காய் பொடி கொஞ்சம் உலர்ந்திருப்பதால், இதை காய்கறி கூட்டுடன் சேர்த்து சாப்பிடுங்கள். எந்த கூட்டுடனும் இது நன்றாகப் பொருந்தும்.</t>
  </si>
  <si>
    <t>https://encrypted-tbn0.gstatic.com/images?q=tbn:ANd9GcTeAczEr7XZWfhkkftQKrdqsMVXMk4Cqo_Zlw&amp;s</t>
  </si>
  <si>
    <t>Tomato Poha</t>
  </si>
  <si>
    <t>தக்காளி போஹா</t>
  </si>
  <si>
    <t>Flattened rice/Poha/aval – 1 cup,
   Onion – 2 medium size or 1 big,
   Green Chilli – 1 finely chopped,
   Ginger-garlic paste – 1/2 tsp,
   Tomato – 3 big ripe ones,
   Salt to taste,
   Turmeric powder – 1/4 tsp,
   Chilli powder – 1/2 tsp,
   Coriander powder – 1 tsp,
   Oil – 2 tbsp,
   Mustard seeds – 1 tsp,
   Cumin seeds – 1 tsp,
   Hing -a generous pinch,
   Red chilli – 2,
   Curry leaves – a sprig,
   Coriander leaves.</t>
  </si>
  <si>
    <t>தட்டையான அரிசி/போஹா/அவல் – 1 கப்,
வெங்காயம் – 2 நடுத்தர அளவு அல்லது 1 பெரியது,
பச்சை மிளகாய் – 1 நன்றாக நறுக்கியது,
இஞ்சி-பூண்டு விழுது – 1/2 டீஸ்பூன்,
தக்காளி – 3 பெரிய பழுத்தவை,
சுவைக்கு உப்பு,
மஞ்சள் தூள் – 1/4 டீஸ்பூன்,
மிளகாய் தூள் – 1/2 டீஸ்பூன்,
கொத்தமல்லி தூள் – 1 டீஸ்பூன்,
எண்ணெய் – 2 டீஸ்பூன்,
கடுகு – 1 டீஸ்பூன்,
சீரகம் – 1 டீஸ்பூன்,
பெருங்காயம் – ஒரு சிட்டிகை,
சிவப்பு மிளகாய் – 2,
கறிவேப்பிலை – ஒரு தளிர்,
கொத்தமல்லி இலைகள்.</t>
  </si>
  <si>
    <t>Heat oil in a pan, add mustard seeds, cumin seeds, hing and red chillies.
how to prepare tomato poha
When mustard and cumin seeds sizzles, add chopped onions, green chilli and curry leaves.
easy poha recipe 
Saute until onions turn transparent. Add ginger-garlic paste and saute for a few more minutes.
how to make tomato poha
Add chopped tomatoes, turmeric powder, chilli powder, coriander powder and salt needed.
Cook until tomatoes become mushy and the rawness of the tomato goes.
Garnish with coriander leaves and enjoy hot tomato poha for breakfast or dinner or as a snack.</t>
  </si>
  <si>
    <t>ஒரு கடாயில் எண்ணெயை சூடாக்கி, கடுகு, சீரகம், பெருங்காயம் மற்றும் சிவப்பு மிளகாய் சேர்க்கவும்.
தக்காளி போஹாவை எப்படி செய்வது
கடுகு மற்றும் சீரகம் கொதிக்கும் போது, ​​நறுக்கிய வெங்காயம், பச்சை மிளகாய் மற்றும் கறிவேப்பிலை சேர்க்கவும்.
எளிதான போஹா செய்முறை
வெங்காயம் வெளிப்படையானதாக மாறும் வரை வதக்கவும். இஞ்சி-பூண்டு விழுது சேர்த்து இன்னும் சில நிமிடங்கள் வதக்கவும்.
தக்காளி போஹா செய்வது எப்படி
நறுக்கிய தக்காளி, மஞ்சள் தூள், மிளகாய் தூள், கொத்தமல்லி தூள் மற்றும் தேவையான அளவு உப்பு சேர்க்கவும்.
தக்காளி மென்மையாகி தக்காளியின் பச்சைத்தன்மை போகும் வரை சமைக்கவும்.
கொத்தமல்லி இலைகளால் அலங்கரித்து, காலை உணவு அல்லது இரவு உணவாக அல்லது சிற்றுண்டியாக சூடான தக்காளி போஹாவை அனுபவிக்கவும்.</t>
  </si>
  <si>
    <t>https://www.archanaskitchen.com/images/archanaskitchen/1-Author/nithya.anantham/Tomato_Poha_With_Peas_Recipe.jpg</t>
  </si>
  <si>
    <t>https://youtu.be/VuGrwqYVkKw</t>
  </si>
  <si>
    <t xml:space="preserve">  Fresh mint/pudina – fistful,
   Lemon – 2 juicy ones,
   Sugar or any sweetener – as needed,
   Salt – a pinch,
   Water – 2 1/4 cup,
   Fresh Mint Leaves – 3,
   Ice cubes – 3-4.</t>
  </si>
  <si>
    <t>புதினா/புதினா - கைப்பிடி அளவு,
எலுமிச்சை - 2 ஜூசி,
சர்க்கரை அல்லது வேறு ஏதேனும் இனிப்பு - தேவைக்கேற்ப,
உப்பு - ஒரு சிட்டிகை,
தண்ணீர் - 2 1/4 கப்,
புதினா இலைகள் - 3,
ஐஸ் கட்டிகள் - 3-4.</t>
  </si>
  <si>
    <t>https://www.whiskaffair.com/wp-content/uploads/2022/04/Mint-Cooler-2-1-1200x1800.jpg</t>
  </si>
  <si>
    <t>Dahi Aloo Sabzi</t>
  </si>
  <si>
    <t>தஹி ஆலு சப்ஸி</t>
  </si>
  <si>
    <t xml:space="preserve">  Potato – 3-4 medium size,
  Yogurt – 1 cup,
   Rice flour – 3/4 tsp,
   Salt needed,
   Turmeric Powder -1/4 tsp,
   Kashmiri Chilli Powder – 1 tsp,
   Coriander Powder – 1 tsp,
   Oil – 2 tbsp,
   Bay Leaf- 1,
   Cumin Seeds – 1 tsp,
   Asafoeida/hing – a generous pinch,
   Ginger – 1 inch piece finely chopped,
   Green chilli – 2 slit,
   Curry leaves – a sprig,
   Garam Masala Powder – 1/2 tsp,
   Coriander leaves – 2 tbsp finely chopped,
   Kasuri methi – 1 tsp.</t>
  </si>
  <si>
    <t>உருளைக்கிழங்கு - 3-4 நடுத்தர அளவு,
தயிர் - 1 கப்,
அரிசி மாவு - 3/4 தேக்கரண்டி,
உப்பு தேவை,
மஞ்சள் தூள் - 1/4 தேக்கரண்டி,
காஷ்மீரி மிளகாய் தூள் - 1 தேக்கரண்டி,
கொத்தமல்லி தூள் - 1 தேக்கரண்டி,
எண்ணெய் - 2 தேக்கரண்டி,
பிரி இலை - 1,
சீரக விதைகள் - 1 தேக்கரண்டி,
அசாஃபோய்டா/ஹிங் - ஒரு சிட்டிகை,
இஞ்சி - 1 அங்குல துண்டு நன்றாக நறுக்கியது,
பச்சை மிளகாய் - 2 துண்டுகள்,
கறிவேப்பிலை - ஒரு தளிர்,
கரம் மசாலா தூள் - 1/2 தேக்கரண்டி,
கொத்தமல்லி இலை - 2 தேக்கரண்டி நன்றாக நறுக்கியது,
கசூரி மேத்தி - 1 தேக்கரண்டி.</t>
  </si>
  <si>
    <t>Heat oil in a kadai, add bay leaf, cumin seeds and hing.
how to make dahi aloo
When cumin seeds splutters, add finely chopped ginger, green chillies, curry leaves and saute for a few seconds.
Reduce the heat, add chilli powder, coriander powder, turmeric powder and saute for 2 seconds.
Dahi wali aloo subzi  recipe 
Add the potatoes and mix well so that it is well coated with the masala.
Potato in Yogurt Gravy
Turn off the heat, add the whisked curd gradually and keep stirring continuously with your other hand. This will prevent the curd from splitting. Now turn on the heat and keep stirring until it starts to boil.
Add salt, garam masala powder, finely chopped coriander leaves and crushed kasuri methi. Simmer for 5 minutes.
Dahi Wale Aloo Recipe
Adjust the consistency to your liking by adding more or less water before simmering.
Dahi Wale Aloo
Enjoy Dahi aloo gravy with rice, chapati, puri and bhaturas.</t>
  </si>
  <si>
    <t>ஒரு கடாயில் எண்ணெயை சூடாக்கி, தஹி இலை, சீரகம் மற்றும் ஹிங் சேர்க்கவும்.
தஹி ஆலு செய்வது எப்படி
சீரக விதைகள் பிளந்ததும், இறுதியாக நறுக்கிய இஞ்சி, பச்சை மிளகாய், கறிவேப்பிலை சேர்த்து சில நொடிகள் வதக்கவும்.
தீயைக் குறைத்து, மிளகாய்த் தூள், கொத்தமல்லித் தூள், மஞ்சள் தூள் சேர்த்து 2 வினாடிகள் வதக்கவும்.
தஹி வாலி ஆலு சப்ஸி செய்முறை
உருளைக்கிழங்கைச் சேர்த்து, மசாலா நன்றாகப் பூசப்படும்படி நன்கு கலக்கவும்.
தயிர் கிரேவியில் உருளைக்கிழங்கு
தீயை அணைத்து, தயிர் படிப்படியாகச் சேர்த்து, உங்கள் மற்றொரு கையால் தொடர்ந்து கிளறவும். இது தயிர் பிளவுபடுவதைத் தடுக்கும். இப்போது தீயை இயக்கி, கொதிக்க ஆரம்பிக்கும் வரை கிளறவும்.
உப்பு, கரம் மசாலா தூள், இறுதியாக நறுக்கிய கொத்தமல்லி இலைகள் மற்றும் நொறுக்கப்பட்ட கசூரி மேத்தி ஆகியவற்றைச் சேர்க்கவும். 5 நிமிடங்கள் வேகவைக்கவும்.
தஹி வாலே ஆலு செய்முறை
கொதிப்பதற்கு முன் அதிகமாகவோ அல்லது குறைவாகவோ தண்ணீரைச் சேர்த்து உங்கள் விருப்பப்படி நிலைத்தன்மையை சரிசெய்யவும்.
தஹி வாலே ஆலு
அரிசி, சப்பாத்தி, பூரி மற்றும் பதுராக்களுடன் தஹி ஆலு கிரேவியை அனுபவிக்கவும்.</t>
  </si>
  <si>
    <t>https://encrypted-tbn0.gstatic.com/images?q=tbn:ANd9GcRnuj06iIhJ0o-5FcUa5e9qsXf92A5fY6yZ-g&amp;s</t>
  </si>
  <si>
    <t xml:space="preserve">   Potatoes – 3,
   Turmeric powder – 1/4 tsp,
   Chilli powder – 3/4 – 1 tsp,
   Salt to taste,
   Oil – 3 tbsp,
   Mustard seeds – 1 tsp,
   Hing – a pinch,
   Curry leaves – a sprig,
   Toasted Sesame seeds – 1-2 tsp (optional).</t>
  </si>
  <si>
    <t>உருளைக்கிழங்கு - 3,
மஞ்சள் தூள் - 1/4 தேக்கரண்டி,
மிளகாய் தூள் - 3/4 - 1 தேக்கரண்டி,
ருசிக்க உப்பு,
எண்ணெய் - 3 தேக்கரண்டி,
கடுகு விதைகள் - 1 தேக்கரண்டி,
பெருங்காயம் - ஒரு சிட்டிகை,
கறிவேப்பிலை - ஒரு தளிர்,
வறுத்த எள் - 1-2 தேக்கரண்டி (விரும்பினால்).</t>
  </si>
  <si>
    <t>Heat 3 tbsp of oil in a pan, add mustard seeds, when it splutters, add curry leaves and hing.
Add the cubed potatoes, turmeric powder and cook uncovered on medium heat until it slightly browns. Do not add or sprinkle water. Mix gently or toss from time to time.
Aloo Sukhi Bhaji-Sabzi
Once it is three fourth cooked, add salt and chilli powder and toss well to mix.
How to make Crispy Potato Fry- Crispy Potato Fry
Cook uncovered on medium low heat until it turns crispy and golden brown on the outside. Once it is done, do not cover it immediately. Let it cool a little, then you can transfer to another vessel and keep it covered. The potatoes will be crisp on the outside and soft on the inside.
Sprinkle toasted sesame seeds on the top. This is optional. 
I am sure kids and others in your family will love this delicious and crispy potato fry.</t>
  </si>
  <si>
    <t>ஒரு கடாயில் 3 தேக்கரண்டி எண்ணெயை சூடாக்கி, கடுகு விதைகளைச் சேர்த்து, அது வெடித்ததும், கறிவேப்பிலை மற்றும் பெருங்காயம் சேர்க்கவும்.
உருண்டைகளாக நறுக்கிய உருளைக்கிழங்கு, மஞ்சள் தூள் சேர்த்து, மூடி இல்லாமல் நடுத்தர வெப்பத்தில் சிறிது பழுப்பு நிறமாகும் வரை சமைக்கவும். தண்ணீர் சேர்க்கவோ அல்லது தெளிக்கவோ வேண்டாம். மெதுவாக கலக்கவும் அல்லது அவ்வப்போது கிளறவும்.
ஆலு சுகி பாஜி-சப்ஜி
அது மூன்று பங்கு வெந்தவுடன், உப்பு மற்றும் மிளகாய் தூள் சேர்த்து நன்கு கிளறவும்.
மொறுமொறுப்பான உருளைக்கிழங்கு வறுவல் - மொறுமொறுப்பான உருளைக்கிழங்கு வறுவல் செய்வது எப்படி
வெளிப்புறம் மொறுமொறுப்பாகவும், தங்க பழுப்பு நிறமாகவும் மாறும் வரை மூடி இல்லாமல் நடுத்தர குறைந்த வெப்பத்தில் சமைக்கவும். அது தயாரானதும், உடனடியாக அதை மூடி வைக்காதீர்கள். சிறிது ஆற விடவும், பின்னர் நீங்கள் வேறு பாத்திரத்தில் மாற்றி மூடி வைக்கலாம். உருளைக்கிழங்கு வெளியில் மொறுமொறுப்பாகவும், உள்ளே மென்மையாகவும் இருக்கும்.
மேலே வறுத்த எள்ளைத் தூவவும். இது விருப்பத்திற்குரியது.
குழந்தைகள் மற்றும் உங்கள் குடும்பத்தில் உள்ள மற்றவர்கள் இந்த சுவையான மற்றும் மொறுமொறுப்பான உருளைக்கிழங்கு வறுவலை விரும்புவார்கள் என்று நான் நம்புகிறேன்.</t>
  </si>
  <si>
    <t>https://encrypted-tbn0.gstatic.com/images?q=tbn:ANd9GcTJpkaSz7LpUwCjW2O1WVxZGSzyA0zChK6YVQ&amp;s</t>
  </si>
  <si>
    <t>Conchiglie Pasta with Tomato Sauce</t>
  </si>
  <si>
    <t>தக்காளி சாஸுடன் கூடிய காஞ்சிக்லி பாஸ்தா</t>
  </si>
  <si>
    <t xml:space="preserve">   Shell pasta or any pasta – 1 1/4 cup,
   Salt needed,
   Large Tomatoes – 6,
   Garlic – 2 tbsp minced,
   Onion – 1,
   Bell Pepper (all colors) – 1 cup,
   Tomato ketchup – 1 tbsp,
   Dry Oregano powder – 3/4 tsp,
   Dry Basil Powder – 1/2 – 3/4 tsp,
   Salt to taste,
   Pepper powder to taste,
   Grated cheese – 1/4 cup.</t>
  </si>
  <si>
    <t>ஷெல் பாஸ்தா அல்லது ஏதேனும் பாஸ்தா - 1 1/4 கப்,
உப்பு தேவை,
பெரிய தக்காளி - 6,
பூண்டு - 2 டேபிள்ஸ்பூன் நறுக்கியது,
வெங்காயம் - 1,
பெல் பெப்பர் (அனைத்து வண்ணங்களும்) - 1 கப்,
தக்காளி கெட்ச்அப் - 1 டேபிள்ஸ்பூன்,
உலர்ந்த ஆர்கனோ பவுடர் - 3/4 டேபிள்ஸ்பூன்,
உலர்ந்த துளசி பவுடர் - 1/2 - 3/4 டேபிள்ஸ்பூன்,
சுவைக்கு உப்பு,
சுவைக்கு மிளகு தூள்,
துருவிய சீஸ் - 1/4 கப்.</t>
  </si>
  <si>
    <t>Heat olive oil in a pan, add garlic and saute for a few seconds. Then add onions and saute until onions turn transparent.
Add chopped tomatoes and saute for 2 minutes.
how to make pasta in red sauce 
Add the chopped bell peppers. Cook for a few seconds.
Pasta with fresh tomato sauce and bell pepper
Add tomato puree, tomato ketchup, salt needed, pepper powder, dry oregano powder and dry basil powder.
pasta in red sauce with vegetables 
Cook on low heat stirring occasionally until the sauce thickens and changes color.
red pasta sauce-red sauce pasta
Now the sauce and the pasta is ready. Mix the pasta with the sauce. Top it with grated cheese (morzella or parmesan) You can even use amul cheese, if you cannot get parmesan cheese.</t>
  </si>
  <si>
    <t>ஒரு கடாயில் ஆலிவ் எண்ணெயை சூடாக்கி, பூண்டு சேர்த்து சில நொடிகள் வதக்கவும். பின்னர் வெங்காயத்தைச் சேர்த்து வெங்காயம் வெளிப்படையானதாக மாறும் வரை வதக்கவும்.
நறுக்கிய தக்காளியைச் சேர்த்து 2 நிமிடங்கள் வதக்கவும்.
சிவப்பு சாஸில் பாஸ்தா செய்வது எப்படி
நறுக்கிய பெல் பெப்பர்ஸைச் சேர்க்கவும். சில நொடிகள் சமைக்கவும்.
புதிய தக்காளி சாஸ் மற்றும் பெல் பெப்பருடன் பாஸ்தா
தக்காளி கூழ், தக்காளி கெட்ச்அப், தேவையான உப்பு, மிளகு தூள், உலர்ந்த ஆர்கனோ பவுடர் மற்றும் உலர்ந்த துளசி பவுடர் சேர்க்கவும்.
காய்கறிகளுடன் சிவப்பு சாஸில் பாஸ்தா
சாஸ் கெட்டியாகி நிறம் மாறும் வரை அவ்வப்போது கிளறி குறைந்த வெப்பத்தில் சமைக்கவும்.
சிவப்பு பாஸ்தா சாஸ்-சிவப்பு சாஸ் பாஸ்தா
இப்போது சாஸும் பாஸ்தாவும் தயார். சாஸுடன் பாஸ்தாவை கலக்கவும். அதன் மேல் துருவிய சீஸ் (மோர்செல்லா அல்லது பர்மேசன்) தடவவும். பார்மேசன் சீஸ் கிடைக்கவில்லை என்றால், நீங்கள் அமுல் சீஸையும் பயன்படுத்தலாம்.</t>
  </si>
  <si>
    <t>https://img-global.cpcdn.com/recipes/0a238938b641ae18/680x482cq70/conchiglie-pasta-with-tomato-sauce-recipe-main-photo.jpg</t>
  </si>
  <si>
    <t>Orzo Tomato Pasta with Bell Pepper</t>
  </si>
  <si>
    <t>ஓரோசோ தக்காளி பாஸ்தா, பெல் பெப்பர்</t>
  </si>
  <si>
    <t xml:space="preserve">   Orzo Pasta – 3/4 cup,
   Olive Oil – 1 1/2 tbsp,
   Onion – 1,
   Garlic – 3-4 cloves minced,
   Green Chilli – 1 slit,
   Carrot – 1,
   Tomato – 2 big,
   Red Bell pepper – 1/4 cup chopped,
   Yellow Bell pepper – 1/4 cup chopped,
   Green Bell pepper – 1/4 cup chopped,
   Cumin powder – 1/2 tsp,
   Coriander powder – 1 tsp,
   Chilli powder – 1/2 tsp,
   Turmeric powder – 1/4 tsp,
   Salt needed,
   Coriander Leaves.</t>
  </si>
  <si>
    <t>ஓரோசோ பாஸ்தா - 3/4 கப்,
ஆலிவ் எண்ணெய் - 1 1/2 டீஸ்பூன்,
வெங்காயம் - 1,
பூண்டு - 3-4 பல் நறுக்கியது,
பச்சை மிளகாய் - 1 துண்டு,
கேரட் - 1,
தக்காளி - 2 பெரியது,
சிவப்பு மிளகாய் - 1/4 கப் நறுக்கியது,
மஞ்சள் மிளகாய் - 1/4 கப் நறுக்கியது,
பச்சை மிளகாய் - 1/4 கப் நறுக்கியது,
சீரகத் தூள் - 1/2 டீஸ்பூன்,
மிளகாய்த் தூள் - 1/2 டீஸ்பூன்,
மஞ்சள் தூள் - 1/4 டீஸ்பூன்,
உப்பு தேவை,
கொத்தமல்லி இலைகள்.</t>
  </si>
  <si>
    <t>Heat oil in a pan, add finely chopped onion, green chilli and garlic. Saute until onions turn transparent.
Add chopped carrot and cook for a few minutes.
orzo pasta recipe 
Add chopped tomatoes, all the spice powders mentioned under ‘Spice Powder’ and salt needed.
One Pot Orzo tomatoes
Cook covered. Once the tomato becomes soft, add all the colored chopped bell peppers.
Healthy Orzo Pasta Recipe
Cook for few minutes (do not overcook the bell peppers) and then add the drained and cooked pasta.
orzo with vegetables 
Mix well, check for salt and garnish with finely chopped coriander leaves. Serve hot.
Healthy Orzo Pasta Recipe
It is very easy to prepare and makes a filling meal. You can have this for lunch or for dinner.</t>
  </si>
  <si>
    <t>ஒரு கடாயில் எண்ணெயைச் சூடாக்கி, இறுதியாக நறுக்கிய வெங்காயம், பச்சை மிளகாய் மற்றும் பூண்டு சேர்க்கவும். வெங்காயம் வெளிப்படையானதாக மாறும் வரை வதக்கவும்.
நறுக்கிய கேரட்டைச் சேர்த்து சில நிமிடங்கள் சமைக்கவும்.
ஓரோசோ பாஸ்தா செய்முறை
நறுக்கிய தக்காளி, 'மசாலாப் பொடி' என்பதன் கீழ் குறிப்பிடப்பட்டுள்ள அனைத்து மசாலாப் பொடிகள் மற்றும் தேவையான உப்பு சேர்க்கவும்.
ஒரு பானை ஓர்சோ தக்காளி
மூடி வைத்து சமைக்கவும். தக்காளி மென்மையாக மாறியதும், அனைத்து வண்ண நறுக்கிய குடை மிளகாய்களையும் சேர்க்கவும்.
ஆரோக்கியமான ஓர்சோ பாஸ்தா செய்முறை
சில நிமிடங்கள் சமைக்கவும் (குடை மிளகாயை அதிகமாக வேகவிடாதீர்கள்) பின்னர் வடிகட்டிய மற்றும் சமைத்த பாஸ்தாவை சேர்க்கவும்.
காய்கறிகளுடன் ஓர்சோ
நன்றாகக் கலந்து, உப்பு சரிபார்த்து, இறுதியாக நறுக்கிய கொத்தமல்லி இலைகளால் அலங்கரிக்கவும். சூடாக பரிமாறவும்.
ஆரோக்கியமான ஓர்சோ பாஸ்தா செய்முறை
இது தயாரிப்பது மிகவும் எளிதானது மற்றும் ஒரு நிரப்பு உணவை உருவாக்குகிறது. நீங்கள் இதை மதிய உணவாகவோ அல்லது இரவு உணவாகவோ சாப்பிடலாம்.</t>
  </si>
  <si>
    <t>https://encrypted-tbn0.gstatic.com/images?q=tbn:ANd9GcT88sh2c9HaQAy4IFFPyfDwYlx11DxKEcw-Og&amp;s</t>
  </si>
  <si>
    <t>Coconut Milk Vegetable Green Pulao</t>
  </si>
  <si>
    <t>தேங்காய் பால் காய்கறி பச்சை புலாவ்</t>
  </si>
  <si>
    <t>Healthy Foods</t>
  </si>
  <si>
    <t xml:space="preserve">  Basmati Rice – 1 cup,
   Onion – 2 thinly sliced,
   Ginger-Garlic paste – 1 tsp,
   Salt needed,
   Turmeric powder – 1/4 tsp,
   Beans – 5-6,
   Carrot – 1 medium size,
   Cauliflower – 6-7 florets,
   Peas – 1/3 cup,
   Coconut Milk – 1 cup,
   Water – 1 cup,
   Coriander leaves – fistful,
   Mint Leaves – fistful,
   Cashew nuts – 5,
   Green Chillies – 2,
   Lemon juice – 1/2 tsp,
   For the Seasoning,
   Oil – 1 tbsp,
   Ghee – 1 tbsp,
   Cinnamon – 1 inch piecec,
   Cloves – 2,
   Fennel seeds/sombu – 1/2 tsp,
   Bay Leaf – 1-2,
   For Garnishing,
   Ghee – 1/2 tsp,
   Cashew nuts – 5-6.</t>
  </si>
  <si>
    <t>பாஸ்மதி அரிசி - 1 கப்,
வெங்காயம் - 2 மெல்லியதாக நறுக்கியது,
இஞ்சி-பூண்டு விழுது - 1 டீஸ்பூன்,
உப்பு தேவை,
மஞ்சள் தூள் - 1/4 டீஸ்பூன்,
பீன்ஸ் - 5-6,
கேரட் - 1 நடுத்தர அளவு,
காலிஃபிளவர் - 6-7 பூக்கள்,
பட்டான் - 1/3 கப்,
தேங்காய் பால் - 1 கப்,
தண்ணீர் - 1 கப்,
கொத்தமல்லி இலைகள் - ஒரு கைப்பிடி,
புதினா இலைகள் - ஒரு கைப்பிடி,
முந்திரி பருப்பு - 5,
பச்சை மிளகாய் - 2,
எலுமிச்சை சாறு - 1/2 டீஸ்பூன்,
தாளிக்க,
எண்ணெய் - 1 டீஸ்பூன்,
நெய் - 1 டீஸ்பூன்,
இலவங்கப்பட்டை - 1 அங்குல துண்டு,
கிராம்பு - 2,
வெந்தய விதைகள்/சோம்பு - 1/2 டீஸ்பூன்,
பிரி இலை - 1-2,
அலங்கரிக்க,
நெய் - 1/2 டீஸ்பூன்,
முந்திரி பருப்பு - 5-6.</t>
  </si>
  <si>
    <t>Heat oil + ghee in a pan, add the ingredients mentioned under seasoning. (fennel seeds/sombu is optional but adding it gives a nice flavor).
coconut milk vegetable green pulao
Add thinly sliced onions and saute until onions turn transparent. Add a little salt to speed up the process.
Add ginger-garlic paste and saute for a few more minutes.
coconut milk vegetable green pulao recipe 
Add the ground paste/green masala and saute until the raw flavor goes.
veg pulao with green masala 
Add all the vegetables and mix well.
Add soaked and drained basmati rice. Mix well, so that the rice is evenly coated with the green masala.
Green veg pulao with coconut milk
Add coconut milk (coconut milk + water mixture), needed salt and mix well.
how to make green pulao 
When it starts boiling, reduce the heat to low and close the cooker. Place a small stainless steel cup (as shown in the picture below) instead of the whistle/weight to prevent the steam from escaping.
You can open the cooker  to check inbetween and stir gently.
hara pulao 
Once the rice is 90% cooked, turn off the heat. Heat a tawa, place the cooker on the tawa and cook on very low heat for 5-6 minutes. Turn off the heat. Let it sit for another 5 minutes. (If you do not prefer cooking on top of  tawa, cook the rice fully in the cooker itself and skip this step).
Then open the cooker and mix the rice gently. Fry cashew nuts in a little ghee and add it to the pulao along with the ghee.
green pulao recipe
Serve pulao with raita/pachadi or chips or papadams.</t>
  </si>
  <si>
    <t>ஒரு கடாயில் எண்ணெய் + நெய்யை சூடாக்கி, தாளிக்கக் குறிப்பிடப்பட்டுள்ள பொருட்களைச் சேர்க்கவும். (வெந்தய விதைகள்/சோம்பு சேர்க்க விருப்பமானது, ஆனால் அது ஒரு நல்ல சுவையைத் தரும்).
தேங்காய் பால் காய்கறி பச்சை புலாவ்
மெல்லியதாக நறுக்கிய வெங்காயத்தைச் சேர்த்து வெங்காயம் வெளிப்படையானதாக மாறும் வரை வதக்கவும். செயல்முறையை விரைவுபடுத்த சிறிது உப்பு சேர்க்கவும்.
இஞ்சி-பூண்டு விழுது சேர்த்து இன்னும் சில நிமிடங்கள் வதக்கவும்.
தேங்காய் பால் காய்கறி பச்சை புலாவ் செய்முறை
அரைத்த விழுது/பச்சை மசாலாவைச் சேர்த்து பச்சை சுவை போகும் வரை வதக்கவும்.
பச்சை மசாலாவுடன் காய்கறி புலாவ்
அனைத்து காய்கறிகளையும் சேர்த்து நன்கு கலக்கவும்.
ஊறவைத்து வடிகட்டிய பாஸ்மதி அரிசியைச் சேர்க்கவும். அரிசி பச்சை மசாலாவுடன் சமமாக பூசப்படும் வகையில் நன்கு கலக்கவும்.
தேங்காய் பாலுடன் பச்சை காய்கறி புலாவ்
தேங்காய் பால் (தேங்காய் பால் + தண்ணீர் கலவை), தேவையான உப்பு சேர்த்து நன்கு கலக்கவும்.
பச்சை புலாவ் செய்வது எப்படி
கொதிக்க ஆரம்பித்ததும், தீயைக் குறைத்து குக்கரை மூடவும். நீராவி வெளியேறாமல் இருக்க விசில்/வெயிட்டிற்கு பதிலாக ஒரு சிறிய ஸ்டெயின்லெஸ் ஸ்டீல் கப்பை (கீழே உள்ள படத்தில் காட்டப்பட்டுள்ளது போல்) வைக்கவும்.
குக்கரை இடையிடையே சரிபார்த்து மெதுவாக கிளறலாம்.
ஹர புலாவ்
அரிசி 90% வெந்தவுடன், தீயை அணைக்கவும். ஒரு தவாவை சூடாக்கி, குக்கரை தவாவில் வைத்து, மிகக் குறைந்த தீயில் 5-6 நிமிடங்கள் சமைக்கவும். தீயை அணைக்கவும். மேலும் 5 நிமிடங்கள் அப்படியே விடவும். (தவாவின் மேல் சமைக்க விரும்பவில்லை என்றால், அரிசியை குக்கரிலேயே முழுமையாக வேகவைத்து, இந்தப் படியைத் தவிர்க்கவும்).
பின்னர் குக்கரைத் திறந்து அரிசியை மெதுவாகக் கலக்கவும். முந்திரி பருப்பை சிறிது நெய்யில் வறுத்து, நெய்யுடன் சேர்த்து புலாவில் சேர்க்கவும்.
பச்சை புலாவ் செய்முறை
ரைத்தா/பச்சடி அல்லது சிப்ஸ் அல்லது பப்படாங்களுடன் புலாவை பரிமாறவும்.</t>
  </si>
  <si>
    <t>https://encrypted-tbn0.gstatic.com/images?q=tbn:ANd9GcTbY9WLOyYGYijywRmJLmINfRePk80ICmzQdA&amp;s</t>
  </si>
  <si>
    <t xml:space="preserve">   Ladies finger/Vendakkai -8-10,
   Pearl onion -10,
   Garlic – 10 cloves,
   Tomato -1,
   Sambar Podi – 2 tbsp,
   Salt needed,
   Tamarind – small lemon sized ball,
   Coconut – 3 tbsp,
   Sesame seed oil – 3 tbsp,
   Mustard seeds – 1 tsp,
   Fenugreek seeds – 1/4 tsp,
   Hing – a pinch,
   Red Chillies – 1-2,
   Curry leaves – a sprig.</t>
  </si>
  <si>
    <t>பெண் விரல்/வெண்டைக்காய் -8-10,
முத்து வெங்காயம் -10,
பூண்டு - 10 பல்,
தக்காளி -1,
சாம்பார் பொடி - 2 டேபிள்ஸ்பூன்,
உப்பு தேவை,
புளி - சிறிய எலுமிச்சை அளவு உருண்டை,
தேங்காய் - 3 டேபிள்ஸ்பூன்,
எள்ளு எண்ணெய் - 3 டேபிள்ஸ்பூன்,
கடுகு - 1 டேபிள்ஸ்பூன்,
வெந்தயம் - 1/4 டேபிள்ஸ்பூன்,
இங் - ஒரு சிட்டிகை,
சிவப்பு மிளகாய் - 1-2,
கறிவேப்பிலை - ஒரு தளிர்.</t>
  </si>
  <si>
    <t>Heat oil in a kadai (sesame seed oil/nallennai preferable), add mustard seeds, when it splutters, add fenugreek seeds, red chillies, hing and curry leaves.
how to make vendakkai kuzhambu 
Add pearl onion and garlic. Saute on medium heat until it turns transparent.
Heat another 2 tsp of oil and saute ladies finger separately for 4-5 minutes in another pan. You do not have to cook ladies finger fully as it will get cooked in the tamarind water.
vendakkai kuzhambu 
Once the onion becomes transparent, add the ladies finger.
Add the chopped tomato and mix well.
how to make vendakkai kulambu
Cook for 2-3 minutes. Add sambar podi (I used my homemade sambar podi which is not spicy) and salt needed.
Ladies Finger Kara Kuzhambu 
Mix well and cook for a minute. Add tamarind extract.
ladies finger kulambu 
Boil on medium heat.
Vendakkai Puli Kulambu Recipe
Once the kulambu starts to thicken, add the coconut paste, mix well and boil for another 2-3 minutes on low heat. Remove from heat. 
Serve with rice or even with idli dosa.</t>
  </si>
  <si>
    <t>ஒரு கடாயில் எண்ணெயை சூடாக்கவும் (எள் எண்ணெய் / நல்லெண்ணெய் விரும்பத்தக்கது), கடுகு சேர்க்கவும், அது வதங்கியதும், வெந்தயம், சிவப்பு மிளகாய், பெருங்காயம் மற்றும் கறிவேப்பிலை சேர்க்கவும்.
வெண்டைக்காய் குழம்பு செய்வது எப்படி
முத்து வெங்காயம் மற்றும் பூண்டு சேர்க்கவும். மிதமான தீயில் அது வெளிப்படையானதாக மாறும் வரை வதக்கவும்.
இன்னொரு 2 தேக்கரண்டி எண்ணெயை சூடாக்கி, மற்றொரு பாத்திரத்தில் லேடி ஃபிங்கரை தனித்தனியாக 4-5 நிமிடங்கள் வதக்கவும். லேடி ஃபிங்கரை புளி தண்ணீரில் வேகவிடுவதால், நீங்கள் லேடி ஃபிங்கரை முழுமையாக சமைக்க வேண்டியதில்லை.
வெந்தக்கை குழம்பு
வெங்காயம் வெளிப்படையானதாக மாறியதும், லேடி ஃபிங்கரை சேர்க்கவும்.
நறுக்கிய தக்காளியைச் சேர்த்து நன்கு கலக்கவும்.
வெந்தக்கை குழம்பு செய்வது எப்படி
2-3 நிமிடங்கள் சமைக்கவும். சாம்பார் பொடி (நான் வீட்டில் செய்த சாம்பார் பொடியைப் பயன்படுத்தினேன், இது காரமானது அல்ல) மற்றும் தேவையான அளவு உப்பு சேர்க்கவும்.
லேடி ஃபிங்கர் கார குழம்பு
நன்றாகக் கலந்து ஒரு நிமிடம் சமைக்கவும். புளி சாறு சேர்க்கவும்.
லேடி ஃபிங்கர் குழம்பு
நடுத்தர தீயில் கொதிக்க வைக்கவும்.
வெந்தக்கை புளி குழம்பு செய்முறை
குளம்பு கெட்டியாக ஆரம்பித்ததும், தேங்காய் விழுதைச் சேர்த்து, நன்கு கலந்து, குறைந்த தீயில் 2-3 நிமிடங்கள் கொதிக்க வைக்கவும். வெப்பத்திலிருந்து நீக்கவும்.
சாதத்துடன் அல்லது இட்லி தோசையுடன் கூட பரிமாறவும்.</t>
  </si>
  <si>
    <t>https://encrypted-tbn0.gstatic.com/images?q=tbn:ANd9GcTx0oE6iLdYXOgUrZPX8ld1lD9-_jWfJeBDUA&amp;s</t>
  </si>
  <si>
    <t>Potato Stew</t>
  </si>
  <si>
    <t>உருளைக்கிழங்கு குழம்பு</t>
  </si>
  <si>
    <t>3 - Potatoes (medium size),
1 - Onion (thinly sliced),
3 - Green Chilli slit,
1 cup - Thin diluted coconut milk,
1 1/4 cup - Thick coconut milk,
1/2 tsp - Coriander powder,
Salt to taste,
2 tsp - Coconut oil,
1 inch - Cinnamon,
2 - Cloves,
1 - Bay leaf,
1/2 tsp - Fennel seeds (sombu),
Curry leaves a sprig,
1 tsp - Coconut oil,
1 -  sprig Curry leaves.</t>
  </si>
  <si>
    <t>3 - உருளைக்கிழங்கு (நடுத்தர அளவு),
1 - வெங்காயம் (மெல்லியதாக நறுக்கியது),
3 - பச்சை மிளகாய் கீறி,
1 கப் - மெல்லிய நீர்த்த தேங்காய் பால்,
1 1/4 கப் - அடர்த்தியான தேங்காய் பால்,
1/2 தேக்கரண்டி - கொத்தமல்லி தூள்,
ருசிக்க உப்பு,
2 தேக்கரண்டி - தேங்காய் எண்ணெய்,
1 அங்குலம் - இலவங்கப்பட்டை,
2 - கிராம்பு,
1 - பிரியாணி இலை,
1/2 தேக்கரண்டி - பெருஞ்சீரகம் (சோம்பு),
கறிவேப்பிலை ஒரு துளிர்,
1 தேக்கரண்டி - தேங்காய் எண்ணெய்,
1 - பிரியாணி கறிவேப்பிலை.</t>
  </si>
  <si>
    <t>Heat a tsp of coconut oil in a pan, add cinnamon, cloves, bay leaf and fennel seeds.
When fennel seeds splutters, add onion and green chillies. Saute until onion turns transparent. (do not brown the onions).
Add the potato cubes, coriander powder, salt needed and thin coconut milk.
Cook until potatoes are soft. You can also pressure cook for 3 whistles.
Once cooked, slightly mash a few potato pieces.
Add thick coconut milk and simmer for a minute.
Add a sprig of curry leaves and drizzle a tsp of coconut oil. Stew should be thin.
Serve with appam or idiyappam or chapati.</t>
  </si>
  <si>
    <t>ஒரு கடாயில் ஒரு தேக்கரண்டி தேங்காய் எண்ணெயை சூடாக்கி, இலவங்கப்பட்டை, கிராம்பு, பிரியாணி இலை மற்றும் பெருஞ்சீரகம் சேர்க்கவும்.
பெருஞ்சீரகம் வதங்கியதும், வெங்காயம் மற்றும் பச்சை மிளகாய் சேர்க்கவும். வெங்காயம் வெளிப்படையானதாக மாறும் வரை வதக்கவும். (வெங்காயத்தை பழுப்பு நிறமாக்க வேண்டாம்).
உருளைக்கிழங்கு துண்டுகள், கொத்தமல்லி தூள், தேவையான உப்பு மற்றும் தேங்காய் பால் சேர்த்து மெல்லியதாக வதக்கவும்.
உருளைக்கிழங்கு மென்மையாகும் வரை சமைக்கவும். நீங்கள் 3 விசில் வரை அழுத்தி சமைக்கலாம்.
வெந்ததும், சில உருளைக்கிழங்கு துண்டுகளை லேசாக மசிக்கவும்.
கெட்டியான தேங்காய்ப் பால் சேர்த்து ஒரு நிமிடம் கொதிக்க விடவும்.
ஒரு துளிர் கறிவேப்பிலையைச் சேர்த்து, ஒரு தேக்கரண்டி தேங்காய் எண்ணெயைத் தூவவும். குழம்பு மெல்லியதாக இருக்க வேண்டும்.
ஆப்பம், இடியாப்பம் அல்லது சப்பாத்தியுடன் பரிமாறவும்.</t>
  </si>
  <si>
    <t>https://soupchick.s3.amazonaws.com/wp-content/uploads/2024/07/18071726/Potato-Stew-Recipe-8-1024x1024.webp</t>
  </si>
  <si>
    <t>Beetroot Couscous Pilaf</t>
  </si>
  <si>
    <t>பீட்ரூட் கூஸ்கஸ் பிலாஃப்</t>
  </si>
  <si>
    <t xml:space="preserve">   Instant Couscous – 1/2 cup,
   Water – 1 cup,
   Salt – 1/4 tsp,
   Onion – 1 thinly sliced,
   Ginger-garlic paste – 1/2 tsp,
   Grated beetroot – 1 cup,
   Turmeric powder – 1/4 tsp,
   Chilli powder – 1/2 tsp,
   Mint leaves – fistful,
   Salt to taste,
   Oil – 2 tbsp,
   Cumin Seeds – 1 tsp,
   Cinnamon – 1 inch piece,
   Clove – 1,
   Bay leaf – 1,
   Coriander Leaves – 2 tbsp finely chopped.</t>
  </si>
  <si>
    <t>இன்ஸ்டண்ட் கூஸ்கஸ் - 1/2 கப்,
தண்ணீர் - 1 கப்,
உப்பு - 1/4 டீஸ்பூன்,
வெங்காயம் - 1 மெல்லியதாக நறுக்கியது,
இஞ்சி-பூண்டு விழுது - 1/2 டீஸ்பூன்,
துருவிய பீட்ரூட் - 1 கப்,
மஞ்சள் தூள் - 1/4 டீஸ்பூன்,
மிளகாய் தூள் - 1/2 டீஸ்பூன்,
புதினா இலைகள் - ஒரு கைப்பிடி,
சுவைக்கு உப்பு,
எண்ணெய் - 2 டீஸ்பூன்,
சீரக விதைகள் - 1 டீஸ்பூன்,
இலவங்கப்பட்டை - 1 அங்குல துண்டு,
கிராம்பு - 1,
பிரி இலை - 1,
கொத்தமல்லி இலைகள் - 2 டீஸ்பூன் நன்றாக நறுக்கியது.</t>
  </si>
  <si>
    <t>Heat oil in a pan, add cumin seeds, when it splutters, add cinnamon, bay leaf and cloves.
how to make beetroot couscous
Then add thinly sliced onions. Saute until onions turn transparent.
Add ginger garlic paste and saute for a few more minutes.
beetroot couscous recipe 
Add grated beetroot (use the bigger/thicker hole for grating beetroot), mint leaves, salt needed, turmeric powder and chilli powder. (remember we have added a little salt when cooking couscous).
Indian style couscous recipe
Mix well and cook covered. Keep stirring from time to time for even cooking.
Beetroot Couscous Recipe
Then add the cooked couscous and mix everything well. Cook covered for another 2-3 seconds. Check for salt.
Beetroot Couscous Pilaf Recipe
Garnish with finely chopped coriander leaves and serve with any raita/pachadi or a simple salad.</t>
  </si>
  <si>
    <t>ஒரு கடாயில் எண்ணெயை சூடாக்கி, சீரகத்தை சேர்த்து, அது வதங்கியதும், இலவங்கப்பட்டை, பிரி இலை மற்றும் கிராம்பு சேர்க்கவும்.
பீட்ரூட் கூஸ்கஸ் செய்வது எப்படி
பிறகு மெல்லியதாக நறுக்கிய வெங்காயத்தை சேர்க்கவும். வெங்காயம் வெளிப்படையானதாக மாறும் வரை வதக்கவும்.
இஞ்சி பூண்டு விழுது சேர்த்து இன்னும் சில நிமிடங்கள் வதக்கவும்.
பீட்ரூட் கூஸ்கஸ் செய்முறை
துருவிய பீட்ரூட் (பீட்ரூட்டை துருவ பெரிய/தடிமனான துளையைப் பயன்படுத்தவும்), புதினா இலைகள், தேவையான உப்பு, மஞ்சள் தூள் மற்றும் மிளகாய் தூள் சேர்க்கவும். (கூஸ்கஸை சமைக்கும்போது சிறிது உப்பு சேர்த்துள்ளோம் என்பதை நினைவில் கொள்ளவும்).
இந்திய பாணி கூஸ்கஸ் செய்முறை
நன்றாகக் கலந்து மூடி வைத்து சமைக்கவும். சீரான சமையலுக்கு அவ்வப்போது கிளறிக்கொண்டே இருங்கள்.
பீட்ரூட் கூஸ்கஸ் செய்முறை
பின்னர் சமைத்த கூஸ்கஸைச் சேர்த்து எல்லாவற்றையும் நன்றாகக் கலக்கவும். மூடி வைத்து மேலும் 2-3 வினாடிகள் சமைக்கவும். உப்பு சரிபார்க்கவும்.
பீட்ரூட் கூஸ்கஸ் பிலாஃப் செய்முறை
நன்றாக நறுக்கிய கொத்தமல்லி இலைகளால் அலங்கரித்து, ஏதேனும் ரைத்தா/பச்சடி அல்லது ஒரு எளிய சாலட்டுடன் பரிமாறவும்.</t>
  </si>
  <si>
    <t>https://encrypted-tbn0.gstatic.com/images?q=tbn:ANd9GcR_JqlzV3fFxPMkz0qKN4IfWjm6sRElbEwCYw&amp;s</t>
  </si>
  <si>
    <t>chow chow poricha kottu</t>
  </si>
  <si>
    <t>சௌ சௌ பொரிச்சா கூட்டு</t>
  </si>
  <si>
    <t>Weight loss diet foods</t>
  </si>
  <si>
    <t xml:space="preserve">   Chow chow – 3 cups chopped,
   Moong dal – 1/3 cup,
   Turmeric powder – 1/4 tsp,
   Salt as needed,
   Oil – 1/2 tsp,
   Whole black pepper – 1 tsp,
   Cumin seeds – 1 tsp,
   Red Chillies – 2-3,
   Grated coconut – 1/4 cup,
   Coconut Oil – 1 tsp,
   Mustard seeds – 1 tsp,
   Urad dal – 1 tsp,
   Curry leaves – a sprig,
   Coriander leaves – 2 tbsp finely chopped.</t>
  </si>
  <si>
    <t>சௌ சௌ - 3 கப் நறுக்கியது,
பருப்பு பருப்பு - 1/3 கப்,
மஞ்சள் தூள் - 1/4 டீஸ்பூன்,
தேவைக்கேற்ப உப்பு,
எண்ணெய் - 1/2 டீஸ்பூன்,
முழு கருப்பு மிளகு - 1 டீஸ்பூன்,
சீரகம் - 1 டீஸ்பூன்,
சிவப்பு மிளகாய் - 2-3,
துருவிய தேங்காய் - 1/4 கப்,
தேங்காய் எண்ணெய் - 1 டீஸ்பூன்,
கடுகு - 1 டீஸ்பூன்,
உரத்த பருப்பு - 1 டீஸ்பூன்,
கறிவேப்பிலை - ஒரு தளிர்,
கொத்தமல்லி இலை - 2 டீஸ்பூன் நன்றாக நறுக்கியது.</t>
  </si>
  <si>
    <t>Peel the skin, discard the seed and chop chow chow into medium sized pieces.
Wash and soak moong dal (pasi paruppu) for 10 minutes. Soaking is optional.
how to make chow chow kootu 
Heat 1/2 tsp of oil and saute whole black peppercorns, cumin seeds and red chillies. Then add grated coconut and switch off the heat. Fry the coconut in the heat of the pan.
Once it cools, grind it to a fine paste. Keep it aside.
how to make poricha kootu
Pressure cook chow chow with little water (around 1/2 cup), moong dal, salt and turmeric powder for 2 or 3 whistles.
Bangalore Kathirikkai kootu
Once the pressure subsides, open the cooker, add the ground paste and 1/2 cup of water.
Chow Chow Poricha Kootu Recipe
Simmer for 5-6 minutes stirring from time to time and remove from heat. That’s it! Sounds easy isn’t it? Now we will do the seasoning. 
Heat a tsp of coconut oil (coconut oil gives a nice flavor to the poricha kootu), add mustard seeds, when it splutters, add urad dal and curry leaves.
When dal turns golden brown, pour the seasoning over the kootu. Garnish with coriander leaves.
Serve with rice and any vegetable curry of your choice.</t>
  </si>
  <si>
    <t>தோலை உரித்து, விதையை நீக்கி,சௌ சௌவை நடுத்தர அளவிலான துண்டுகளாக நறுக்கவும்.
பாசி பருப்பை (பாசி பருப்பு) கழுவி 10 நிமிடங்கள் ஊற வைக்கவும். ஊறவைப்பது விருப்பமானது.
சௌ சௌ கூட்டு எப்படி செய்வது
1/2 டீஸ்பூன் எண்ணெயை சூடாக்கி, முழு கருப்பு மிளகு, சீரகம் மற்றும் சிவப்பு மிளகாயை வதக்கவும். பிறகு துருவிய தேங்காயைச் சேர்த்து அடுப்பை அணைக்கவும். வாணலியின் சூட்டில் தேங்காயை வறுக்கவும்.
அது ஆறியதும், நன்றாக அரைத்து விழுதாக அரைக்கவும். ஒதுக்கி வைக்கவும்.
பொரிச்சா கூட்டு செய்வது எப்படி
சௌ சௌவை சிறிது தண்ணீர் (சுமார் 1/2 கப்), பாசிப்பருப்பு, உப்பு மற்றும் மஞ்சள் தூள் சேர்த்து 2 அல்லது 3 விசில் வரை சமைக்கவும்.
பெங்களூர் கத்திரிக்காய் கூட்டு
அழுத்தம் தணிந்தவுடன், குக்கரைத் திறந்து, அரைத்த விழுது மற்றும் 1/2 கப் தண்ணீர் சேர்க்கவும்.
சௌ சௌ பொரிச்சா கூட்டு செய்முறை
அவ்வப்போது கிளறி 5-6 நிமிடங்கள் வேகவைத்து, அடுப்பிலிருந்து இறக்கவும். அவ்வளவுதான்! எளிதாகத் தெரிகிறது இல்லையா? இப்போது நாம் தாளிக்கப் போகிறோம்.
ஒரு தேக்கரண்டி தேங்காய் எண்ணெயை (தேங்காய் எண்ணெய் பொரிச்சா கூட்டுக்கு ஒரு நல்ல சுவையைத் தரும்) சூடாக்கவும், கடுகு சேர்க்கவும், அது வதங்கியதும், உளுத்தம் பருப்பை மற்றும் கறிவேப்பிலை சேர்க்கவும்.
பருப்பு பொன்னிறமாக மாறியதும், தாளிக்கப் போட்டதை கூட்டின் மேல் ஊற்றவும். கொத்தமல்லி இலைகளால் அலங்கரிக்கவும்.
சாதம் மற்றும் உங்களுக்கு விருப்பமான எந்த காய்கறி கறியுடன் பரிமாறவும்.</t>
  </si>
  <si>
    <t>https://cdn.ibcstack.com/article/9435d169-47cd-4889-927f-13bcc736b0d7/23-64d15bd8793bc.webp</t>
  </si>
  <si>
    <t>Methi Khichdi</t>
  </si>
  <si>
    <t>மேத்தி கிச்சடி</t>
  </si>
  <si>
    <t xml:space="preserve">   Rice – 1/2 cup,
   Moong Dal – 1/3 cup,
   Fenugreek leaves – 2 cups lightly packed,
   Onion – 1,
   Tomato – 1 big,
   Ginger-garlic paste – 1 tsp,
   Salt needed,
   Spice Powder,
   Turmeric powder – 1/4 tsp,
   Chilli Powder – 1/2 tsp,
   Coriander Powder – 1 tsp,
   Oil – 1 tbsp,
   Ghee – 1 tbsp,
   Mustard seeds – 1 tsp,
   Cumin seeds – 1 tsp,
   Urad Dal – 1/2 tsp,
   Whole black peppercorns- 1/4 tsp,
   Red chillies – 2,
   Hing – a pinch,
   Ghee – 2 tsp,
   Cumin seeds/jeera – 1 tsp,
   Garlic – 4 cloves minced.</t>
  </si>
  <si>
    <t>அரிசி - 1/2 கப்,
பாசிப்பருப்பு - 1/3 கப்,
வெந்தய இலைகள் - 2 கப் லேசாக பொடித்தது,
வெங்காயம் - 1,
தக்காளி - 1 பெரியது,
இஞ்சி-பூண்டு விழுது - 1 டீஸ்பூன்,
உப்பு தேவை,
மசாலா பொடி,
மஞ்சள் பொடி - 1/4 டீஸ்பூன்,
மிளகாய் பொடி - 1/2 டீஸ்பூன்,
கொத்தமல்லி பொடி - 1 டீஸ்பூன்,
எண்ணெய் - 1 டீஸ்பூன்,
நெய் - 1 டீஸ்பூன்,
கடுகு - 1 டீஸ்பூன்,
சீரகம் - 1 டீஸ்பூன்,
உளுத்தம் பருப்பு - 1/2 டீஸ்பூன்,
முழு கருப்பு மிளகு - 1/4 டீஸ்பூன்,
சிவப்பு மிளகாய் - 2,
கீரை - ஒரு சிட்டிகை,
நெய் - 2 டீஸ்பூன்,
சீரகம்/ஜீரா - 1 டீஸ்பூன்,
பூண்டு - 4 பல் பொடியாக நறுக்கியது.</t>
  </si>
  <si>
    <t>Heat oil + ghee in a pan, add mustard seeds, cumin seeds, urad dal, whole black pepper, red chillies and hing.
When cumin seeds sizzles and dal turns golden brown, add finely chopped onions.
Saute until onions turn light brown.
sauteing onions
Add ginger garlic paste and saute for a few more minutes.
Add chopped tomatoes and all the spice powder mentioned under “spice powder”.
how to prepare methi khichdi 
Cook until tomatoes turn mushy and oozes out oil. Add the chopped fenugreek leaves.
how to make methi khichdi 
Cook until the fenugreek leaves wilt.
Add the mashed rice + dal, a cup of water and mix well.
Fenugreek Leaves Khichdi  
Cook on low heat for 5-6 minutes. Check for salt.
Heat ghee in a pan, add cumin seeds, when it sizzles, add finely chopped garlic and pour it over the khichdi.
Methi Khichdi Recipe
Your khichdi is done. Serve hot with any raita or papads or pickle.</t>
  </si>
  <si>
    <t>ஒரு கடாயில் எண்ணெய் + நெய்யை சூடாக்கி, கடுகு, சீரகம், உளுத்தம் பருப்பு, முழு கருப்பு மிளகு, சிவப்பு மிளகாய் மற்றும் கீரை சேர்க்கவும்.
சீரகம் வதங்கி, பருப்பு பொன்னிறமாக மாறும்போது, ​​இறுதியாக நறுக்கிய வெங்காயத்தைச் சேர்க்கவும்.
வெங்காயம் வெளிர் பழுப்பு நிறமாக மாறும் வரை வதக்கவும்.
வெங்காயம் வதக்கவும்
இஞ்சி பூண்டு விழுது சேர்த்து இன்னும் சில நிமிடங்கள் வதக்கவும்.
நறுக்கிய தக்காளி மற்றும் "மசாலா தூள்" என்பதன் கீழ் குறிப்பிடப்பட்டுள்ள அனைத்து மசாலாப் பொடிகளையும் சேர்க்கவும்.
மெத்தி கிச்சடி தயாரிப்பது எப்படி
தக்காளி மென்மையாகி எண்ணெய் வெளியேறும் வரை வதக்கவும். நறுக்கிய வெந்தய இலைகளைச் சேர்க்கவும்.
மெத்தி கிச்சடி செய்வது எப்படி
வெந்தய இலைகள் வாடும் வரை வதக்கவும்.
மசாலா அரிசி + பருப்பை ஒரு கப் தண்ணீர் சேர்த்து நன்கு கலக்கவும்.
வெந்தய இலைகள் கிச்சடி
குறைந்த தீயில் 5-6 நிமிடங்கள் சமைக்கவும். உப்பு சரிபார்க்கவும்.
ஒரு கடாயில் நெய்யை சூடாக்கி, சீரகத்தை சேர்த்து, அது வதங்கியதும், இறுதியாக நறுக்கிய பூண்டைச் சேர்த்து கிச்சடியின் மேல் ஊற்றவும்.
மெத்தி கிச்சடி செய்முறை
உங்கள் கிச்சடி தயார். ஏதேனும் ரைத்தா அல்லது பப்படம் அல்லது ஊறுகாயுடன் சூடாகப் பரிமாறவும்.</t>
  </si>
  <si>
    <t>https://img-global.cpcdn.com/recipes/cf32edf5d14840c7/680x482cq70/methi-millet-khichdi-recipe-main-photo.jpg</t>
  </si>
  <si>
    <t>Turnip Curry</t>
  </si>
  <si>
    <t>டர்னிப் கறி</t>
  </si>
  <si>
    <t xml:space="preserve">   Turnip – 2 cups cubed,
   Onion – 1 cup chopped,
   Tomato – 1 cup chopped,
   Ginger-garlic paste – 1 tsp,
   Salt needed,
   Turmeric powder – 1/4 tsp,
   Chilli Powder – 1 tsp or as needed,
   Coriander powder – 2 tsp,
   Garam masala powder – 1/2 tsp,
   Oil – 2 1/2 tbsp,
   Cumin seeds – 1 tsp,
   Curry leaves – a sprig,
   Hing – a pinch,
   Coriander leaves – 2 tbsp finely chopped.</t>
  </si>
  <si>
    <t>டர்னிப் - 2 கப் க்யூப்ஸ்,
வெங்காயம் - 1 கப் நறுக்கியது,
தக்காளி - 1 கப் நறுக்கியது,
இஞ்சி-பூண்டு விழுது - 1 டீஸ்பூன்,
உப்பு தேவை,
மஞ்சள் தூள் - 1/4 டீஸ்பூன்,
மிளகாய் தூள் - 1 டீஸ்பூன் அல்லது தேவைக்கேற்ப,
கொத்தமல்லி தூள் - 2 டீஸ்பூன்,
கரம் மசாலா தூள் - 1/2 டீஸ்பூன்,
எண்ணெய் - 2 1/2 டீஸ்பூன்,
சீரகம் - 1 டீஸ்பூன்,
கறிவேப்பிலை - ஒரு தளிர்,
ஹிங் - ஒரு சிட்டிகை,
கொத்தமல்லி இலை - 2 டீஸ்பூன் நன்றாக நறுக்கியது.</t>
  </si>
  <si>
    <t>Heat oil in a cooker or pressure pan, add cumin seeds, when it sizzles, add  hing, curry leaves and chopped onions.
How to make turnip curry 
Saute until onions turn light brown. Add salt to speed up the process.
Add ginger-garlic paste and saute for a few more minutes.
shalgam ki sabzi recipe 
Add chopped tomatoes and all the spice powders mentioned under “Spice Powder”.
Cook until tomatoes become mushy and oozes out oil.
turnip curry recipe 
Add turnip, salt needed and mix well.
turnip curry for chapati 
Add a cup of water and pressure cook for 2-3 whistles.
Once the pressure subsides, open the cooker and slightly mash few turnip pieces.
Simmer for 2 minutes and remove from heat.
Shalgam Ki Sabzi recipe
Garnish with finely chopped coriander leaves and serve hot with rotis, parathas or pooris.</t>
  </si>
  <si>
    <t>குக்கரில் அல்லது பிரஷர் பானில் எண்ணெயை சூடாக்கி, சீரகத்தை சேர்த்து, அது கொதித்ததும், ஹிங், கறிவேப்பிலை மற்றும் நறுக்கிய வெங்காயத்தைச் சேர்க்கவும்.
டர்னிப் கறி செய்வது எப்படி
வெங்காயம் வெளிர் பழுப்பு நிறமாக மாறும் வரை வதக்கவும். செயல்முறையை விரைவுபடுத்த உப்பு சேர்க்கவும்.
இஞ்சி-பூண்டு விழுது சேர்த்து இன்னும் சில நிமிடங்கள் வதக்கவும்.
ஷல்கம் கி சப்ஜி செய்முறை
நறுக்கிய தக்காளி மற்றும் “மசாலாப் பொடி” என்பதன் கீழ் குறிப்பிடப்பட்டுள்ள அனைத்து மசாலாப் பொடிகளையும் சேர்க்கவும்.
தக்காளி மென்மையாகி எண்ணெய் வெளியேறும் வரை சமைக்கவும்.
டர்னிப் கறி செய்முறை
டர்னிப், தேவையான உப்பு சேர்த்து நன்கு கலக்கவும்.
சப்பாத்திக்கு டர்னிப் கறி
ஒரு கப் தண்ணீர் சேர்த்து 2-3 விசில் வரை பிரஷர் சமைக்கவும்.
அழுத்தம் குறைந்தவுடன், குக்கரைத் திறந்து சில டர்னிப் துண்டுகளை லேசாக மசிக்கவும்.
2 நிமிடங்கள் கொதிக்க வைத்து அடுப்பிலிருந்து இறக்கவும்.
ஷல்கம் கி சப்ஜி செய்முறை
பொடியாக நறுக்கிய கொத்தமல்லி இலைகளால் அலங்கரித்து ரொட்டி, பரோட்டா அல்லது பூரிஸுடன் சூடாகப் பரிமாறவும்.</t>
  </si>
  <si>
    <t>https://healthiersteps.com/wp-content/uploads/2019/08/turnip-curry.jpg</t>
  </si>
  <si>
    <t>Creamy Spinach Pasta</t>
  </si>
  <si>
    <t>கிரீமி கீரை பாஸ்தா</t>
  </si>
  <si>
    <t xml:space="preserve">   Shell pasta or any pasta – 1 cup,
   Spinach – 1 cup finely chopped,
   Butter – 1 tbsp,
   Garlic – 2 tbsp minced,
   Flour – 1 tbsp,
   Milk – 1 cup,
   Cream – 4 tbsp,
   Basil – 1/2 tsp,
   Oregano – 1/2 tsp,
   Pepper powder as needed,
   Salt to taste,
   Mozerella cheese – 1/4 cup grated.</t>
  </si>
  <si>
    <t>ஷெல் பாஸ்தா அல்லது ஏதேனும் பாஸ்தா - 1 கப்,
கீரை - 1 கப் நன்றாக நறுக்கியது,
வெண்ணெய் - 1 டீஸ்பூன்,
பூண்டு - 2 டீஸ்பூன் நறுக்கியது,
மாவு - 1 டீஸ்பூன்,
பால் - 1 கப்,
கிரீம் - 4 டீஸ்பூன்,
துளசி - 1/2 டீஸ்பூன்,
ஆர்கனோ - 1/2 டீஸ்பூன்,
மிளகு தூள் தேவைக்கேற்ப,
சுவைக்கேற்ப உப்பு,
மொஸரெல்லா சீஸ் - 1/4 கப் துருவியது.</t>
  </si>
  <si>
    <t>Heat olive oil or butter, add finely chopped garlic and saute for a few minutes.
Add all purpose flour (maida) and cook on low heat stirring continuously for 1-2 minutes until the rawness of the flour goes. Do not brown it.
easy pasta recipe
Slowly add a cup of milk stirring continuously so that it does not form lumps. Once the milk starts to thicken slightly, add cream, finely chopped spinach, pepper powder, oregano powder, salt required and dry basil powder.
Creamy Spinach Pasta Recipe
Cook stirring on low heat until the sauce is smooth and a little thick.
how to make spinach pasta
Once the sauce it done, add hot pasta to it. If the sauce is too thick, you can add a little reserved pasta water and cook for a few more seconds.
Conchiglie-Shell Pasta in creamy spinach sauce
Add grated cheese and remove from heat. Enjoy it warm. I am sure your family will love this.</t>
  </si>
  <si>
    <t>ஆலிவ் எண்ணெய் அல்லது வெண்ணெயை சூடாக்கி, இறுதியாக நறுக்கிய பூண்டைச் சேர்த்து சில நிமிடங்கள் வதக்கவும்.
மைதா மாவைச் சேர்த்து, குறைந்த வெப்பத்தில் 1-2 நிமிடங்கள் தொடர்ந்து கிளறி, மாவின் பச்சைத்தன்மை போகும் வரை சமைக்கவும். அதை பழுப்பு நிறமாக்க வேண்டாம்.
எளிதான பாஸ்தா செய்முறை
மெதுவாக ஒரு கப் பால் சேர்த்து கட்டிகள் உருவாகாமல் தொடர்ந்து கிளறவும். பால் சிறிது கெட்டியாக ஆரம்பித்ததும், கிரீம், இறுதியாக நறுக்கிய கீரை, மிளகு தூள், ஆர்கனோ தூள், தேவையான உப்பு மற்றும் உலர்ந்த துளசி தூள் சேர்க்கவும்.
கிரீமி ஸ்பினாச் பாஸ்தா செய்முறை
சாஸ் மென்மையாகவும் சிறிது கெட்டியாகவும் ஆகும் வரை குறைந்த வெப்பத்தில் கிளறி சமைக்கவும்.
கீரை பாஸ்தா செய்வது எப்படி
சாஸ் தயாரானதும், அதில் சூடான பாஸ்தாவைச் சேர்க்கவும். சாஸ் மிகவும் கெட்டியாக இருந்தால், நீங்கள் சிறிது பாஸ்தா தண்ணீரைச் சேர்த்து இன்னும் சில வினாடிகள் சமைக்கலாம்.
கிரீமி ஸ்பினாச் சாஸில் காஞ்சிக்லி-ஷெல் பாஸ்தா
துருவிய சீஸைச் சேர்த்து அடுப்பிலிருந்து இறக்கவும். சூடாக மகிழுங்கள். உங்கள் குடும்பத்தினர் இதை விரும்புவார்கள் என்று நான் நம்புகிறேன்.</t>
  </si>
  <si>
    <t>https://encrypted-tbn0.gstatic.com/images?q=tbn:ANd9GcS4TDbLM5QLukLhXs4r1prMVal6k6JLU_nuPg&amp;s</t>
  </si>
  <si>
    <t>Vangi Bhath Powder</t>
  </si>
  <si>
    <t>வாங்கி பாத் பவுடர்</t>
  </si>
  <si>
    <t xml:space="preserve">   Bengal Gram/chana dal – 1/4 cup,
   Urad dal – 5 tsp,
   Coriander seeds – 1/4 cup,
   Dry red chillies (Byadgi chilli) – 10,
   Peppercorns – 1/4 tsp,
   Desiccated coconut powder – 1/4 cup,
   Khus khus – 1 tsp,
   Cinnamon – 1 inch piece,
   Cardamom – 1,
   Cloves – 4.
</t>
  </si>
  <si>
    <t>பெங்கல் பருப்பு/சனா பருப்பு - 1/4 கப்,
உரத் பருப்பு - 5 தேக்கரண்டி,
கொத்தமல்லி விதைகள் - 1/4 கப்,
காய்ந்த சிவப்பு மிளகாய் (பையாட்கி மிளகாய்) - 10,
மிளகு - 1/4 தேக்கரண்டி,
உலர்ந்த தேங்காய் தூள் - 1/4 கப்,
குஸ் குஸ் - 1 தேக்கரண்டி,
இலவங்கப்பட்டை - 1 அங்குல துண்டு,
ஏலக்காய் - 1,
கிராம்பு - 4.</t>
  </si>
  <si>
    <t>Dry roast khus khus (kasa kasa) on low heat for a few seconds stirring continuously. Remove it from pan and keep it aside.
Dry roast the rest of the ingredients (except dry coconut powder) on medium heat stirring continuously until the dal changes to light golden and you get a nice aroma of roasted dal.
Karnataka style vangi bath powder
Remove from pan and let it cool.
Dry roast coconut powder slightly until warm and turn off the heat. Let it cool.
brinjal rice masala powder
Dry grind all the ingredients together into a slightly coarse powder. Our homemade Vangi baath podi is ready.
Vangi Bath Masala Podi Recipe
This can be used for making vangi bath, any rice varieties like ivy gourd (dondekayi) rice, capsicum rice, Karnataka style cluster beans rice, masala bhath etc. Adding to curries gives a different taste to the curry.</t>
  </si>
  <si>
    <t>குஸ் குஸ் (கசா கசா) ஐ குறைந்த தீயில் சில நொடிகள் தொடர்ந்து கிளறி உலர வறுக்கவும். வாணலியில் இருந்து எடுத்து ஒதுக்கி வைக்கவும்.
மீதமுள்ள பொருட்களை (உலர்ந்த தேங்காய் தூள் தவிர) மிதமான தீயில் தொடர்ந்து கிளறி, பருப்பு லேசான பொன்னிறமாக மாறும் வரை வறுக்கவும், வறுத்த பருப்பின் நல்ல வாசனை கிடைக்கும்.
கர்நாடக பாணி வாங்கி குளியல் பவுடர்
வாணலியில் இருந்து இறக்கி ஆற விடவும்.
தேங்காய் பொடியை சிறிது சூடாகும் வரை வறுத்து, தீயை அணைத்து, ஆற விடவும்.
கத்திரிக்காய் அரிசி மசாலாப் பொடி
அனைத்து பொருட்களையும் ஒன்றாக சேர்த்து சிறிது கரடுமுரடான பொடியாக அரைக்கவும். எங்கள் வீட்டில் தயாரிக்கப்பட்ட வாங்கி பாத் பொடி தயார்.
வாங்கி பாத் மசாலா பொடி செய்முறை
இதை வாங்கி பாத், ஐவி பூசணி (தொண்டேகாய்) அரிசி, கேப்சிகம் அரிசி, கர்நாடக பாணி கிளஸ்டர் பீன்ஸ் அரிசி, மசாலா பாத் போன்ற எந்த அரிசி வகைகளுக்கும் பயன்படுத்தலாம். கறிகளில் சேர்ப்பது கறிக்கு வித்தியாசமான சுவையைத் தரும்.</t>
  </si>
  <si>
    <t>https://encrypted-tbn0.gstatic.com/images?q=tbn:ANd9GcRqskEVpUUituOzOZd_sCU6LVLJklNuLKlx8w&amp;s</t>
  </si>
  <si>
    <t>Kathirikkai Kadayal</t>
  </si>
  <si>
    <t>கத்திரிக்காய் கடையல்</t>
  </si>
  <si>
    <t xml:space="preserve">   Brinjal – 4-5 medium size or 1/4 kg,
   Moong dal/pasi paruppu – 1/4 cup,
   Pearl Onions – 6-7 or fistful,
   Tomato – 1 big,
   Garlic – 3 cloves,
   Green Chilli – 5-6 or as needed,
   Turmeric powder – 1/4 tsp,
   Salt needed,
   Tamarind – small gooseberry sized ball,
   Curry leaves – a sprig,
   Oil – 1 tsp,
   Onion – 1 small,
   Curry leaves – a sprig,
   Coriander leaves.</t>
  </si>
  <si>
    <t>கத்தரிக்காய் - 4-5 நடுத்தர அளவு அல்லது 1/4 கிலோ,
பருப்பு/பசி பருப்பு - 1/4 கப்,
முத்து வெங்காயம் - 6-7 அல்லது ஒரு கைப்பிடி,
தக்காளி - 1 பெரியது,
பூண்டு - 3 பல்,
பச்சை மிளகாய் - 5-6 அல்லது தேவைக்கேற்ப,
மஞ்சள் தூள் - 1/4 டீஸ்பூன்,
உப்பு தேவை,
புளி - சிறிய நெல்லிக்காய் அளவு பந்து,
கறிவேப்பிலை - ஒரு தளிர்,
எண்ணெய் - 1 டீஸ்பூன்,
வெங்காயம் - 1 சிறியது,
கறிவேப்பிலை - ஒரு தளிர்,
கொத்தமல்லி இலை.</t>
  </si>
  <si>
    <t xml:space="preserve">Take a cooker, add moong dal, chopped brinjals (after draining the water), tomato, chopped pearl onion,  green chillies, garlic, curry leaves, turmeric powder, salt needed and a cup of water.
brinjal side dish for idli dosa 
Pressure cook for 3 whistles. Once the pressure subsides, open the cooker.
easy brinjal side dish for idli dosa 
Strain the water if any and keep it aside. Mash the contents well with a potato masher or a mattu (woodon masher).
Add diluted tamarind water and the reserved strained water. Check for salt.
Brinjal Kadayal recipe 
This kadayal should be thin, so add water, if it is thick. Boil on low heat, stirring from time to time for a few minutes until the raw flavor of the tamarind goes.
Heat a tsp of oil, add mustard seeds, when it splutters, add the chopped onion and curry leaves.
Kathirikkai Kadayal
Saute until onion turns transparent. Pour it over the brinjal kadal. Garnish with finely chopped coriander leaves.
Serve piping hot with idli, dosa or pongal.
Kathirikkai Kadayal Recipe
Note – If you do not have pearl onions, you can also use regular onions but pearl onions recommended. Use local variety brinjals. Avoid using hybrid brinjals for this recipe. </t>
  </si>
  <si>
    <t>ஒரு குக்கரை எடுத்து, பாசிப்பருப்பு, நறுக்கிய கத்தரிக்காய் (தண்ணீரை வடிகட்டிய பிறகு), தக்காளி, நறுக்கிய முத்து வெங்காயம், பச்சை மிளகாய், பூண்டு, கறிவேப்பிலை, மஞ்சள் தூள், தேவையான உப்பு மற்றும் ஒரு கப் தண்ணீர் சேர்க்கவும்.
இட்லி தோசைக்கு கத்திரிக்காய் துணை உணவு
அழுத்தம் 3 விசில் வரை சமைக்கவும். அழுத்தம் குறைந்தவுடன், குக்கரைத் திறக்கவும்.
இட்லி தோசைக்கு எளிதான கத்திரிக்காய் துணை உணவு
தண்ணீர் இருந்தால் வடிகட்டி தனியாக வைக்கவும். உருளைக்கிழங்கு மஷர் அல்லது மட்டு (மர மஷர்) கொண்டு நன்றாக மசிக்கவும்.
நீர்த்த புளி தண்ணீர் மற்றும் ஒதுக்கப்பட்ட வடிகட்டிய தண்ணீரை சேர்க்கவும். உப்பு சரிபார்க்கவும்.
கத்தரிக்காய் கடயல் செய்முறை
இந்த கடயல் மெல்லியதாக இருக்க வேண்டும், எனவே அது கெட்டியாக இருந்தால் தண்ணீரை சேர்க்கவும். குறைந்த வெப்பத்தில் கொதிக்க வைத்து, அவ்வப்போது சில நிமிடங்கள் புளியின் பச்சை வாசனை போகும் வரை கிளறி விடுங்கள்.
ஒரு தேக்கரண்டி எண்ணெயை சூடாக்கி, கடுகு சேர்த்து, அது வதங்கியதும், நறுக்கிய வெங்காயம் மற்றும் கறிவேப்பிலை சேர்க்கவும்.
கத்தரிக்காய் கடயல்
வெங்காயம் வெளிப்படையானதாக மாறும் வரை வதக்கவும். அதை கத்திரிக்காய் கடலின் மேல் ஊற்றவும். இறுதியாக நறுக்கிய கொத்தமல்லி இலைகளால் அலங்கரிக்கவும்.
இட்லி, தோசை அல்லது பொங்கலுடன் சூடாக பரிமாறவும்.
கத்தரிக்காய் கடயல் செய்முறை
குறிப்பு - உங்களிடம் முத்து வெங்காயம் இல்லையென்றால், நீங்கள் வழக்கமான வெங்காயத்தையும் பயன்படுத்தலாம், ஆனால் முத்து வெங்காயம் பரிந்துரைக்கப்படுகிறது. உள்ளூர் வகை கத்திரிக்காயைப் பயன்படுத்தவும். இந்த செய்முறைக்கு கலப்பின கத்திரிக்காயைப் பயன்படுத்துவதைத் தவிர்க்கவும்.</t>
  </si>
  <si>
    <t>https://encrypted-tbn0.gstatic.com/images?q=tbn:ANd9GcSvQGWTpHHYHCefeBGbSm_qD4t_D32Wqc0lVw&amp;s</t>
  </si>
  <si>
    <t>Poondu Podi</t>
  </si>
  <si>
    <t>பூண்டு பொடி</t>
  </si>
  <si>
    <t xml:space="preserve">   Oil – 1 tsp,
   Garlic – 1/2 cup peeled,
   Red Chillies – 8-10,
   Channa dal/kadalai paruppu – 1/3 cup,
   Urad dal – 1/4 cup,
   Hing – 1/4 tsp flat,
   Salt needed.</t>
  </si>
  <si>
    <t>எண்ணெய் - 1 தேக்கரண்டி,
பூண்டு - 1/2 கப் உரித்தது,
சிவப்பு மிளகாய் - 8-10,
சன்னா பருப்பு/கடலை பருப்பு - 1/3 கப்,
உருண்டை பருப்பு - 1/4 கப்,
ஹிங் - 1/4 தேக்கரண்டி தட்டையானது,
உப்பு தேவை.</t>
  </si>
  <si>
    <t>In a pan, dry roast bengal gram dal/channa dal on medium heat stirring continuously until it turns golden brown. Remove from pan.
Garlic Powder Recipe
In the same pan, dry roast urad dal and red chillies, stirring continuously until dal turns light brown. Remove from pan.
Poondu Milagai podi
Heat a tsp of oil and fry the garlic on low medium heat stirring continuously until all the moisture evaporates and the garlic becomes golden brown and a little crispy. Leave it to cool.
poondu podi without coconut
Now grind everything together with hing and salt needed to a slightly coarse powder. Do not powder it finely.
Poondu Milagai podi for rice-idli-dosa
This poondu podi goes well with idli, dosa and rice. It tastes awesome when mixed with hot steamed rice topped with a tsp of ghee. I love it with rice than with idli and dosa. For idli and dosa, my sesame seed flavored idli milagai podi is my first choice.</t>
  </si>
  <si>
    <t>ஒரு கடாயில், வங்காளம் பருப்பு/சன்னா பருப்பை மிதமான தீயில் தொடர்ந்து கிளறி, அது பொன்னிறமாகும் வரை வறுக்கவும். வாணலியில் இருந்து எடுக்கவும்.
பூண்டு பொடி செய்முறை
அதே கடாயில், உளுந்தை பருப்பு மற்றும் சிவப்பு மிளகாயை உலர்த்தி வறுத்து, பருப்பு வெளிர் பழுப்பு நிறமாகும் வரை தொடர்ந்து கிளறவும். வாணலியில் இருந்து எடுக்கவும்.
பூண்டு மிளகாய் பொடி
ஒரு தேக்கரண்டி எண்ணெயை சூடாக்கி, பூண்டை குறைந்த மிதமான தீயில் தொடர்ந்து கிளறி, அனைத்து ஈரப்பதமும் ஆவியாகி, பூண்டு பொன்னிறமாகவும் சிறிது மொறுமொறுப்பாகவும் மாறும் வரை வறுக்கவும். அதை குளிர்விக்க விடவும்.
தேங்காய் இல்லாமல் பூண்டு பொடி
இப்போது எல்லாவற்றையும் கீல் மற்றும் உப்பு சேர்த்து சிறிது கரடுமுரடான பொடியாக அரைக்கவும். நன்றாக பொடிக்க வேண்டாம்.
இட்லி-தோசைக்கு பூண்டு மிளகாய் பொடி
இந்த பூண்டு பொடி இட்லி, தோசை மற்றும் சாதத்துடன் நன்றாகப் பொருந்தும். சூடான வேகவைத்த சாதத்துடன் ஒரு தேக்கரண்டி நெய் சேர்த்து கலக்கும்போது இது அருமையாக இருக்கும். இட்லி மற்றும் தோசையை விட சாதத்துடன் இதை நான் விரும்புகிறேன். இட்லி மற்றும் தோசைக்கு, எள் விதை சுவையூட்டப்பட்ட இட்லி மிளகாய் பொடிதான் எனது முதல் தேர்வு.</t>
  </si>
  <si>
    <t>https://i.ytimg.com/vi/xnDQsPSqV8c/maxresdefault.jpg</t>
  </si>
  <si>
    <t>Kalakand</t>
  </si>
  <si>
    <t>கலாகண்ட்</t>
  </si>
  <si>
    <t xml:space="preserve">  Milkmaid – 200 gms/ 1/2 tin,
   Milk powder (dairy whitener) – 1 tbsp heaped,
   Paneer – 200 grams,
   Cardamom powder – 1/4 tsp.
   Pistachio – 2 tbsp.</t>
  </si>
  <si>
    <t>மில்க்மெய்ட் - 200 கிராம்/ 1/2 டின்,
பால் பவுடர் (பால் வெண்மையாக்கி) - 1 டீஸ்பூன் குவித்து,
பனீர் - 200 கிராம்,
ஏலக்காய் பொடி - 1/4 டீஸ்பூன்.
பிஸ்தா - 2 டீஸ்பூன்.</t>
  </si>
  <si>
    <t>Grease a plate with few drops of ghee or you can use a baking tin lined with parchment paper.
Squeeze out water from the paneer if any. Grate or crumble paneer. You can use the mixie to crumble paneer using the whipper button just for a second.
In a pan (preferably non stick), mix together paneer, sweetened condensed milk/milkmaid and milk powder.
kalakand using condensed milk/milkmaid
Mix everything well and then switch on the heat. Mash well and cook on low heat.
How to make Kalakand
The mixture will start thickening. Add cardamom powder and mix well.
Easy and quick kalakand recipe-Diwali sweets
Cook further until the mixture leaves the sides of the pan.
Remove from heat and transfer the mixture into the greased tray or plate. Spread it evenly to 1 inch thickness and press it well.
Smoothen the top and decorate it with chopped pistachios. (I removed the skin of pistachios by soaking it in hot water for 10 minutes. Then chopped it finely and garnished it.)
Instant Kalakand Recipe
Let it cool completely. Once it cools, refrigerate for an hour and cut it into pieces.</t>
  </si>
  <si>
    <t>ஒரு தட்டில் சில துளிகள் நெய் தடவவும் அல்லது காகிதத்தோல் பூசப்பட்ட பேக்கிங் டின்னைப் பயன்படுத்தலாம்.
பனீரிலிருந்து தண்ணீர் இருந்தால் பிழிந்து எடுக்கவும். பனீரை தட்டி அல்லது நொறுக்கவும். விப்பர் பொத்தானைப் பயன்படுத்தி மிக்ஸியைப் பயன்படுத்தி பனீர் நொறுக்கலாம்.
ஒரு பாத்திரத்தில் (முன்னுரிமை குச்சி அல்லாதது), பனீர், இனிப்பு அமுக்கப்பட்ட அமுக்கப்பட்ட பால்/மில்க்மெய்ட் மற்றும் பால் பவுடரை ஒன்றாக கலக்கவும்.
கலாகண்ட் கண்டன்ஸ்ட் மில்க்/மில்க்மெய்டைப் பயன்படுத்தி
எல்லாவற்றையும் நன்றாகக் கலந்து, பின்னர் தீயை அணைக்கவும். நன்றாக மசித்து குறைந்த தீயில் சமைக்கவும்.
கலாகண்ட் செய்வது எப்படி
கலவை கெட்டியாகத் தொடங்கும். ஏலக்காய் பொடியைச் சேர்த்து நன்கு கலக்கவும்.
எளிதான மற்றும் விரைவான கலகண்ட் செய்முறை - தீபாவளி இனிப்புகள்
கலவை வாணலியின் பக்கவாட்டில் இருந்து வெளியேறும் வரை மேலும் சமைக்கவும்.
அடுப்பிலிருந்து நீக்கி, கலவையை நெய் தடவிய தட்டில் அல்லது தட்டில் மாற்றவும். அதை 1 அங்குல தடிமனாக சமமாக பரப்பி நன்றாக அழுத்தவும்.
மேற்புறத்தை மென்மையாக்கி, நறுக்கிய பிஸ்தாக்களால் அலங்கரிக்கவும். (பிஸ்தாவின் தோலை 10 நிமிடங்கள் வெந்நீரில் ஊறவைத்து நீக்கினேன். பின்னர் அதை நன்றாக நறுக்கி அலங்கரிக்கிறேன்.)
உடனடி கலகண்ட் செய்முறை
முழுமையாக ஆற விடவும். அது குளிர்ந்ததும், ஒரு மணி நேரம் குளிர்சாதன பெட்டியில் வைத்து துண்டுகளாக வெட்டவும்.</t>
  </si>
  <si>
    <t>https://upload.wikimedia.org/wikipedia/commons/4/40/Koderma_Kalakand.jpg</t>
  </si>
  <si>
    <t>Thayir Vadai</t>
  </si>
  <si>
    <t>தயிர் வடை</t>
  </si>
  <si>
    <t xml:space="preserve">   Whole Urad dal (skinned) – 1/2 cup,
   Raw Rice – 1 tbsp,
   Salt needed,
   Hing – a generous pinchFor the Curd Mixture,
   Curd – 2 cups,
   Grated coconut – 2 tbsp,
   Ginger – 1/2 inch piece,
   Green chilli -1,
   Salt needed,
   Oil – 1 tsp for each vada,
   Oil – 1 tsp,
   Mustard seeds – 1 tsp,
   Curry leaves – a sprig,
   Grated carrot as needed,
   Kara boondi as required,
   Red chilli powder,
   Coriander leaves – 2 tbsp finely chopped.</t>
  </si>
  <si>
    <t>முழு உளுத்தம் பருப்பு (தோல் நீக்கியது) - 1/2 கப்,
பச்சரிசி - 1 டேபிள் ஸ்பூன்,
உப்பு தேவை,
ஹிங் - தயிர் கலவைக்கு ஒரு சிட்டிகை,
தயிர் - 2 கப்,
துருவிய தேங்காய் - 2 டேபிள் ஸ்பூன்,
இஞ்சி - 1/2 அங்குல துண்டு,
பச்சை மிளகாய் - 1,
உப்பு தேவை,
எண்ணெய் - ஒவ்வொரு வடைக்கும் 1 டேபிள் ஸ்பூன்,
எண்ணெய் - 1 டேபிள் ஸ்பூன்,
கடுகு - 1 டேபிள் ஸ்பூன்,
கறிவேப்பிலை - ஒரு தளிர்,
துருவிய கேரட் தேவைக்கேற்ப,
கார பூண்டி தேவைக்கேற்ப,
சிவப்பு மிளகாய் தூள்,
கொத்தமல்லி இலை - 2 டேபிள் ஸ்பூன் நன்றாக நறுக்கியது.</t>
  </si>
  <si>
    <t>In a bowl, add whisked curd and little salt. Grind coconut, green chilli and ginger to a fine paste. Mix it with curd.
Heat a tsp of oil, add mustard seeds, when it splutters, add curry leaves, and pour it over the curd. Now the curd for the thayir vadai is ready.
Dahi Vada 
Heat a paniyaram pan, add a tsp of oil into each of the cavity/hole. Fill the cavity with the vada batter.
Cover and cook on low heat.
South Indian vada in paniyaram pan-low fat vada 
Once it starts leaving the sides, with a skewer, flip it over to the other side and cook. Cook both sides well flipping 2-3 times until all the sides are evenly browned and the vada is crisp.
South Indian Style Curd Vada
Soak vada in lukewarm water for 10 minutes. After 10 minutes, squeeze the water from the vada gently and let it cool. Then add to the seasoned curd mixture.
how to make thayir vada 
Garnish with grated carrot, finely chopped coriander leaves and karaboondi. Sprinkle little chilli powder (optional) and enjoy this guilt free, healthy thayir vada/dahi vadas.</t>
  </si>
  <si>
    <t>ஒரு பாத்திரத்தில், தயிர் மற்றும் சிறிது உப்பு சேர்க்கவும். தேங்காய், பச்சை மிளகாய் மற்றும் இஞ்சியை நன்றாக அரைக்கவும். தயிருடன் கலக்கவும்.
ஒரு டேபிள் ஸ்பூன் எண்ணெயை சூடாக்கி, கடுகு சேர்த்து, அது வதங்கியதும், கறிவேப்பிலை சேர்த்து, தயிரின் மேல் ஊற்றவும். இப்போது தயிர் வடைக்கான தயிர் தயார்.
தயிர் வடை
ஒரு பணியாரம் பாத்திரத்தை சூடாக்கி, ஒவ்வொரு குழியிலும்/துளையிலும் ஒரு தேக்கரண்டி எண்ணெய் சேர்க்கவும். அந்த குழியை வடை மாவால் நிரப்பவும்.
மூடி வைத்து குறைந்த தீயில் சமைக்கவும்.
பணியாரம் பாத்திரத்தில் குறைந்த கொழுப்புள்ள வடையில் தென்னிந்திய வடை
பக்கவாட்டுகளை விட்டு வெளியேற ஆரம்பித்ததும், ஒரு சூலத்தைப் பயன்படுத்தி, அதை மறுபுறம் திருப்பி சமைக்கவும். இரு பக்கங்களையும் 2-3 முறை நன்றாகப் புரட்டி, அனைத்து பக்கங்களும் சமமாக பழுப்பு நிறமாகி, வடை மொறுமொறுப்பாகும் வரை சமைக்கவும்.
தென்னிந்திய பாணி தயிர் வடை
வடையை வெதுவெதுப்பான நீரில் 10 நிமிடங்கள் ஊற வைக்கவும். 10 நிமிடங்களுக்குப் பிறகு, வடையிலிருந்து தண்ணீரை மெதுவாக பிழிந்து ஆற விடவும். பின்னர் சுவையூட்டப்பட்ட தயிர் கலவையில் சேர்க்கவும்.
தயிர் வடை செய்வது எப்படி
தயிர் வடை துருவிய கேரட், இறுதியாக நறுக்கிய கொத்தமல்லி இலைகள் மற்றும் கரபூண்டி ஆகியவற்றால் அலங்கரிக்கவும். சிறிது மிளகாய் தூள் (விரும்பினால்) தூவி, இந்த குற்ற உணர்ச்சியற்ற, ஆரோக்கியமான தைர் வடை/தஹி வடைகளை அனுபவிக்கவும்.</t>
  </si>
  <si>
    <t>https://www.bigbasket.com/media/uploads/recipe/w-l/4353_3_1.jpg</t>
  </si>
  <si>
    <t>https://youtu.be/6b5mCEcjgNY</t>
  </si>
  <si>
    <t>Dry Gulab Jamun</t>
  </si>
  <si>
    <t>உலர் குலாப் ஜாமுன்</t>
  </si>
  <si>
    <t xml:space="preserve">   Gulab Jamun Mix – 1 cupx,
   Sugar – 1 cup,
   Water – 1 cup,
   Lemon juice – 4 drops,
   Cardamom powder – 1/8 tsp,
   Saffron – 5-6 strands,
   Oil for frying jamuns,
 desiccated coconut powder – 1/4 cup,
   Powdered sugar – 2 tsp,
   Pistachio – 1 tbsp chopped.</t>
  </si>
  <si>
    <t>குலாப் ஜாமுன் கலவை - 1 கப்,
சர்க்கரை - 1 கப்,
தண்ணீர் - 1 கப்,
எலுமிச்சை சாறு - 4 சொட்டுகள்,
ஏலக்காய் தூள் - 1/8 தேக்கரண்டி,
குங்குமப்பூ - 5-6 இழைகள்,
ஜாமுன்களை வறுக்க எண்ணெய்,
உலர்ந்த தேங்காய் தூள் - 1/4 கப்,
பொடித்த சர்க்கரை - 2 தேக்கரண்டி,
பிஸ்தா - 1 தேக்கரண்டி நறுக்கியது.</t>
  </si>
  <si>
    <t>Heat oil (to know if the oil is hot, just drop a piece of dough into the oil, if it raises to the surface immediately, the oil is hot). Now reduce the heat to low and drop 3-4 balls depending on the amount of oil used.
After the first few seconds, keep stirring gently so that it cooks well and gets an even color all over.
how to make gulab jamuns 
Once the color changes to brown, remove the gulab jamuns from oil with a slotted ladle and drop it into the warm sugar syrup. Note – the sugar syrup should be warm and not hot or cold.
easy dry gulab jamun 
The gulab jamuns should soak fully in the sugar syrup. Let it remain in sugar syrup for 30 minutes.
After 30 mins – Mix dry coconut powder with powdered sugar. If you cannot get desiccated coconut powder, grate kopra  and use it.
Dry gulab jamun with mtr mix 
Remove the gulab jamuns from the sugar syrup and roll it in the mixture, so that it is well coated on all the sides.
Decorate it with chopped pistachios. You can arrange it in cupcake liners if preferred.</t>
  </si>
  <si>
    <t>எண்ணெய்யை சூடாக்கவும் (எண்ணெய் சூடாக இருக்கிறதா என்று அறிய, ஒரு துண்டு மாவை எண்ணெயில் விடவும், அது உடனடியாக மேற்பரப்புக்கு உயர்ந்தால், எண்ணெய் சூடாக இருக்கும்). இப்போது தீயை குறைத்து, பயன்படுத்தப்படும் எண்ணெயின் அளவைப் பொறுத்து 3-4 பந்துகளை விடவும்.
முதல் சில வினாடிகளுக்குப் பிறகு, மெதுவாக கிளறிக்கொண்டே இருங்கள், இதனால் அது நன்றாக சமைக்கப்பட்டு, முழுவதும் சீரான நிறத்தைப் பெறுகிறது.
குலாப் ஜாமுன்களை எப்படி செய்வது
நிறம் பழுப்பு நிறமாக மாறியதும், குலாப் ஜாமுன்களை எண்ணெயிலிருந்து ஒரு துளையிடப்பட்ட கரண்டியால் அகற்றி, சூடான சர்க்கரை பாகில் விடவும். குறிப்பு - சர்க்கரை பாகு சூடாகவோ அல்லது குளிராகவோ இல்லாமல் சூடாக இருக்க வேண்டும்.
எளிதில் உலர்த்தும் குலாப் ஜாமூன்
குலாப் ஜாமூன்கள் சர்க்கரை பாகில் முழுமையாக ஊற வேண்டும். சர்க்கரை பாகில் 30 நிமிடங்கள் அப்படியே இருக்கட்டும்.
30 நிமிடங்களுக்குப் பிறகு - உலர்ந்த தேங்காய்த் தூளை தூள் சர்க்கரையுடன் கலக்கவும். உலர்ந்த தேங்காய்த் தூள் கிடைக்கவில்லை என்றால், கொப்பரைத் தட்டி அதைப் பயன்படுத்தவும்.
எம்டிஆர் கலவையுடன் உலர் குலாப் ஜாமூன்
குலாப் ஜாமூனை சர்க்கரை பாகில் இருந்து அகற்றி, கலவையில் உருட்டவும், இதனால் அது அனைத்து பக்கங்களிலும் நன்றாக பூசப்படும்.
நறுக்கிய பிஸ்தாக்களால் அலங்கரிக்கவும். விரும்பினால் நீங்கள் அதை கப்கேக் லைனர்களில் அடுக்கி வைக்கலாம்.</t>
  </si>
  <si>
    <t>https://bombaysweets.in/cdn/shop/files/gulab-jamun.png?v=1697457593</t>
  </si>
  <si>
    <t>Bread Rasmalai</t>
  </si>
  <si>
    <t xml:space="preserve">
ரொட்டி ரஸ்மலாய்</t>
  </si>
  <si>
    <t xml:space="preserve">
   Bread slices – 5-6,
   Milk – 3 cups,
   Fresh cream – 1/2 cup,
  milkmaid – 5-6 tbsp,
   Saffron – 6-7 strands,
   Cardamom powder – 1/4 tsp,
   Almonds – 1 tbsp chopped,
   Pistashio – 2 tbsp chopped.</t>
  </si>
  <si>
    <t>ரொட்டி துண்டுகள் - 5-6,
பால் - 3 கப்,
புதிய கிரீம் - 1/2 கப்,
மில்க்மெய்ட் - 5-6 டீஸ்பூன்,
குங்குமப்பூ - 6-7 இழைகள்,
ஏலக்காய் தூள் - 1/4 டீஸ்பூன்,
பாதாம் - 1 டீஸ்பூன் நறுக்கியது,
பிஸ்தாஷியோ - 2 டீஸ்பூன் நறுக்கியது.</t>
  </si>
  <si>
    <t>Reduce the heat and add fresh cream (you can use amul cream) and condensed milk (I used milkmaid) to the milk. Mix well and cook for another 2 minutes on low heat.
easy bread dessert 
Add cardamom powder and saffron soaked milk. Leave it to cool.
easy bread rasmalai with milkmaid
Take 5-6 bread slices and using a cookie cutter or a lid or any cup, cut 2 round shapes (circle) from each slice. You will get 10-12 pieces.
Arrange all the bread pieces/rounds in a shallow bowl.
easy bread rasmalai recipe 
When the milk is completely cool, pour little milk on the bread pieces (just enough to soak the bread).
Then refrigerate the bread and the remaining milk separately for 30-40 minutes.
how to make Bread Rasmalai
After 40 minutes, pour the remaining milk as needed on the bread pieces, garnish with chopped almonds, chopped pistachio and sprinkle a pinch of cardamom powder (you can set aside just little milk to add at the time of serving).
Refrigerate for another 3 hours and serve chilled. Enjoy!!</t>
  </si>
  <si>
    <t>தீயை குறைத்து, பாலில் புதிய கிரீம் (நீங்கள் அமுல் கிரீம் பயன்படுத்தலாம்) மற்றும் கண்டன்ஸ்டு மில்க் (நான் மில்க்மெய்ட் பயன்படுத்தினேன்) சேர்க்கவும். நன்கு கலந்து, குறைந்த வெப்பத்தில் மேலும் 2 நிமிடங்கள் சமைக்கவும்.
எளிதான ரொட்டி இனிப்பு
ஏலக்காய் தூள் மற்றும் குங்குமப்பூ ஊறவைத்த பால் சேர்க்கவும். அதை குளிர்விக்க விடவும்.
மில்க்மெய்டுடன் எளிதான ரொட்டி ரஸ்மலாய்
5-6 ரொட்டி துண்டுகளை எடுத்து, குக்கீ கட்டர் அல்லது ஒரு மூடி அல்லது எந்த கோப்பையையும் பயன்படுத்தி, ஒவ்வொரு துண்டுகளிலிருந்தும் 2 வட்ட வடிவங்களை (வட்டம்) வெட்டுங்கள். உங்களுக்கு 10-12 துண்டுகள் கிடைக்கும்.
அனைத்து ரொட்டி துண்டுகளையும்/சுற்றுகளாக ஒரு ஆழமற்ற கிண்ணத்தில் அடுக்கி வைக்கவும்.
எளிதான ரொட்டி ரசமலாய் செய்முறை
பால் முழுவதுமாக குளிர்ந்ததும், ரொட்டித் துண்டுகளில் சிறிது பால் ஊற்றவும் (ரொட்டியை ஊற வைக்கும் அளவுக்கு).
பின்னர் ரொட்டியையும் மீதமுள்ள பாலையும் தனித்தனியாக 30-40 நிமிடங்கள் குளிர்சாதன பெட்டியில் வைக்கவும்.
பிரெட் ரசமலாய் செய்வது எப்படி
40 நிமிடங்களுக்குப் பிறகு, மீதமுள்ள பாலை ரொட்டித் துண்டுகளில் தேவைக்கேற்ப ஊற்றி, நறுக்கிய பாதாம், நறுக்கிய பிஸ்தா ஆகியவற்றால் அலங்கரித்து, ஒரு சிட்டிகை ஏலக்காய்த் தூள் தூவவும் (பரிமாறும் போது சிறிது பால் மட்டும் சேர்த்துக்கொள்ளலாம்).
குளிர்சாதன பெட்டியில் மேலும் 3 மணி நேரம் குளிர்சாதன பெட்டியில் வைத்து, குளிர்ந்து பரிமாறவும். மகிழுங்கள்!!</t>
  </si>
  <si>
    <t>https://encrypted-tbn0.gstatic.com/images?q=tbn:ANd9GcRGyXMz-x1syLUQWwi0bnJzGI8f2Apx1h6xYg&amp;s</t>
  </si>
  <si>
    <t>https://youtu.be/lk2jTeSoLC4</t>
  </si>
  <si>
    <t>Egg Paniyaram</t>
  </si>
  <si>
    <t>முட்டை பணியாரம்</t>
  </si>
  <si>
    <t>Eggs – 2,
   Dosa Batter – 1/2 cup,
   Onion – 1 medium size,
   Tomato – 1 small deseeded,
   Green Chillies – 1 finely chopped,
   Curry leaves (tender) – a sprig,
   Coriander leaves – 1 tbsp finely chopped,
   Turmeric powder – 1/8 tsp,
   Salt as needed,
   Pepper powder as needed,
   Oil – 5-6 tsp,
   Water – 2 tsp.</t>
  </si>
  <si>
    <t>முட்டை - 2,
தோசை மாவு - 1/2 கப்,
வெங்காயம் - 1 நடுத்தர அளவு,
தக்காளி - 1 சிறிய விதை நீக்கிய,
பச்சை மிளகாய் - 1 பொடியாக நறுக்கியது,
கறிவேப்பிலை (மென்மையானது) - ஒரு தளிர்,
கொத்தமல்லி இலை - 1 டீஸ்பூன் பொடியாக நறுக்கியது,
மஞ்சள் தூள் - 1/8 டீஸ்பூன்,
தேவைக்கேற்ப உப்பு,
மிளகு தூள் - 1/8 டீஸ்பூன்,
எண்ணெய் - 5-6 டீஸ்பூன்,
தண்ணீர் - 2 டீஸ்பூன்.</t>
  </si>
  <si>
    <t>Egg paniyaram batter is ready.  Heat paniyaram/appe pan, add 1/2 tsp of oil in each hole/cavity.
Muttai Paniyaram recipe
Fill each cavity with the egg paniyaram batter. Cook covered on low heat for few minutes.
How to make egg paniyaram 
Flip it over and cook uncovered on low heat for another 2-3 minutes. Flip over 2-3 times if required until both the sides are browned.
Chettinad egg paniyaram
Remove from pan and serve immediately with tomato chutney or spicy kara chutney.</t>
  </si>
  <si>
    <t>முட்டை பணியாரம் மாவு தயார். பணியாரம்/அப்பே பாத்திரத்தை சூடாக்கி, ஒவ்வொரு துளையிலும் / குழியிலும் 1/2 டீஸ்பூன் எண்ணெய் சேர்க்கவும்.
முட்டை பணியாரம் செய்முறை
ஒவ்வொரு குழியையும் முட்டை பணியாரம் மாவால் நிரப்பவும். குறைந்த வெப்பத்தில் சில நிமிடங்கள் மூடி வைத்து சமைக்கவும்.
முட்டை பணியாரம் செய்வது எப்படி
அதைத் திருப்பி, மூடி இல்லாமல் குறைந்த வெப்பத்தில் மேலும் 2-3 நிமிடங்கள் சமைக்கவும். தேவைப்பட்டால் இரு பக்கங்களும் பழுப்பு நிறமாக மாறும் வரை 2-3 முறை புரட்டவும்.
செட்டிநாடு முட்டை பணியாரம்
வாணலியிலிருந்து இறக்கி உடனடியாக தக்காளி சட்னி அல்லது காரமான காரா சட்னியுடன் பரிமாறவும்.</t>
  </si>
  <si>
    <t>https://static.toiimg.com/thumb/54015819.cms?imgsize=518425&amp;width=800&amp;height=800</t>
  </si>
  <si>
    <t>Broken Wheat Rava Pongal</t>
  </si>
  <si>
    <t>உடைத்த கோதுமை ரவை பொங்கல்</t>
  </si>
  <si>
    <t xml:space="preserve">   Oil – 4 tsp,
   Cracked wheat – 3/4 cup,
   Moong dal – 1/4 cup,
   Salt needed,
   Hing – a pinch,
   Water – 2 1/2 cup,
   Oil – 2 tsp,
   Ghee/clarified butter – 3 tsp,
   Whole black pepper – 1 tsp,
   Cumin seeds – 1 tsp,
   Hing – a pinch,
   Ginger – 1 inch piece,
   Curry leaves – a sprig,
   Cashew nuts – 5-6.</t>
  </si>
  <si>
    <t>எண்ணெய் - 4 தேக்கரண்டி,
உடைத்த கோதுமை - 3/4 கப்,
பாசிப்பருப்பு - 1/4 கப்,
உப்பு தேவை,
ஹிங் - ஒரு சிட்டிகை,
தண்ணீர் - 2 1/2 கப்,
எண்ணெய் - 2 தேக்கரண்டி,
நெய்/தெளிவுபடுத்திய வெண்ணெய் - 3 தேக்கரண்டி,
முழு கருப்பு மிளகு - 1 தேக்கரண்டி,
சீரகம் - 1 தேக்கரண்டி,
ஹிங் - ஒரு சிட்டிகை,
இஞ்சி - 1 அங்குல துண்டு,
கறிவேப்பிலை - ஒரு தளிர்,
முந்திரி பருப்பு - 5-6.</t>
  </si>
  <si>
    <t>Heat oil and fry the wheat rava on medium heat stirring continuously until you get a nice aroma.
godhumai rava pongal 
Now add the fried wheat rava to the cooked dal.
dalia pongal 
Add 2 1/2 cups of water, salt needed and hing. (Taste the water, if it is slightly salty, it will be perfect once it is cooked).
Close the cooker and pressure cook on medium heat for 2-3 whistles. While cooking directly in the cooker, take care not to burn the pongal. (Alternatively, you can transfer the contents to another vessel and pressure cook for 3 whistles to be on the safer side).
Once the pressure subsides, open the cooker and mash the contents when it is hot.
Samba Godhumai Rava Khara Pongal
Heat oil + ghee, add cumin seeds, whole black peppercorn, saute for a few seconds, then add finely chopped ginger, curry leaves and cashew nuts.
Saute for a few seconds and then add the broken wheat + dal mixture and mix well.
Cook on low heat for a few seconds and remove from heat.
broken wheat khara pongal
Hotel sambar, arachuvitta sambar and coconut chutney are great side dishes for wheat rava pongal. Do try this and I am sure you will love this healthy wheat rava pongal.</t>
  </si>
  <si>
    <t>எண்ணெயை சூடாக்கி, கோதுமை ரவையை மிதமான தீயில் வைத்து, நல்ல மணம் வரும் வரை தொடர்ந்து கிளறி விடுங்கள்.
கோதுமை ரவை பொங்கல்
இப்போது வறுத்த கோதுமை ரவையை சமைத்த பருப்பில் சேர்க்கவும்.
தாலியா பொங்கல்
2 1/2 கப் தண்ணீர், தேவையான உப்பு மற்றும் ஹிங் சேர்க்கவும். (தண்ணீரை ருசித்துப் பாருங்கள், அது சிறிது உப்பு இருந்தால், அது சமைத்தவுடன் சரியாக இருக்கும்).
குக்கரை மூடி, மிதமான சூட்டில் 2-3 விசில் வரும் வரை பிரஷர் குக் செய்யவும். குக்கரில் நேரடியாக சமைக்கும்போது, ​​பொங்கல் எரியாமல் பார்த்துக் கொள்ளுங்கள். (மாற்றாக, நீங்கள் உள்ளடக்கங்களை வேறொரு பாத்திரத்தில் மாற்றி 3 விசில் வரும் வரை பிரஷர் குக் செய்யலாம், இதனால் அது பாதுகாப்பானதாக இருக்கும்).
அழுத்தம் குறைந்தவுடன், குக்கரைத் திறந்து, சூடானதும் உள்ளடக்கங்களை மசிக்கவும்.
சம்பா கோதுமை ரவா காரா பொங்கல்
எண்ணெய் + நெய்யை சூடாக்கி, சீரகம், முழு கருப்பு மிளகு சேர்த்து, சில நொடிகள் வதக்கி, பின்னர் இறுதியாக நறுக்கிய இஞ்சி, கறிவேப்பிலை மற்றும் முந்திரி சேர்க்கவும்.
சில நொடிகள் வதக்கி, பின்னர் உடைத்த கோதுமை + பருப்பு கலவையைச் சேர்த்து நன்கு கலக்கவும்.
சில நொடிகள் குறைந்த சூட்டில் சமைத்து, அடுப்பிலிருந்து இறக்கவும்.
உடைந்த கோதுமை காரா பொங்கல்
ஹோட்டல் சாம்பார், அரச்சுவிட்ட சாம்பார் மற்றும் தேங்காய் சட்னி ஆகியவை கோதுமை ரவா பொங்கலுக்கு சிறந்த துணை உணவுகள். இதை முயற்சித்துப் பாருங்கள், இந்த ஆரோக்கியமான கோதுமை ரவா பொங்கலை நீங்கள் விரும்புவீர்கள் என்று நான் நம்புகிறேன்.</t>
  </si>
  <si>
    <t>https://encrypted-tbn0.gstatic.com/images?q=tbn:ANd9GcSJKnRr5X9lftFthDzmvoAfBZFkq2uagPQMHw&amp;s</t>
  </si>
  <si>
    <t>Eggless Whole Wheat Pancake</t>
  </si>
  <si>
    <t>முட்டை இல்லாத முழு கோதுமை பான்கேக்</t>
  </si>
  <si>
    <t xml:space="preserve">   Whole wheat flour – 1/2 cup,
   Baking Powder – 1 tsp,
   Salt – a pinch,
   Wet Ingredients,
   Milk – 1/2 cup + 1 tbsp,
   Melted butter – 1 tbsp,
   Oil – 1/2 tbsp,
   Maple syrup or powdered sugar – 2 tsp,
   Vanilla extract – 1/2 tsp,
   Water – 1 1/2 tbsp.</t>
  </si>
  <si>
    <t>முழு கோதுமை மாவு - 1/2 கப்,
பேக்கிங் பவுடர் - 1 டீஸ்பூன்,
உப்பு - ஒரு சிட்டிகை,
ஈரமான பொருட்கள்,
பால் - 1/2 கப் + 1 டீஸ்பூன்,
உருகிய வெண்ணெய் - 1 டீஸ்பூன்,
எண்ணெய் - 1/2 டீஸ்பூன்,
மேப்பிள் சிரப் அல்லது தூள் சர்க்கரை - 2 டீஸ்பூன்,
வெண்ணிலா சாறு - 1/2 டீஸ்பூன்,
தண்ணீர் - 1 1/2 டீஸ்பூன்.</t>
  </si>
  <si>
    <t>Heat a non stick pan over medium low heat. Grease it lightly with butter.
When the pan is hot, reduce the heat to low and pour a ladle of batter in the center of the tawa. It will spread itself otherwise spread it very lightly as the pancake has to be thick.
atta pancake recipe
Cook on low heat until bubbles form on the surface. Then flip it over to the other side and cook on low heat until done. Remove from heat. Repeat the same process for the rest of the batter.
easy pancake recipe-eggless
Serve hot with honey, butter or maple syrup.</t>
  </si>
  <si>
    <t>ஒரு நான்ஸ்டிக் பாத்திரத்தை மிதமான தீயில் சூடாக்கவும். வெண்ணெயுடன் லேசாக தடவவும்.
பான் சூடானதும், தீயைக் குறைத்து, தவாவின் மையத்தில் ஒரு கரண்டி மாவை ஊற்றவும். அது தானாகவே பரவும், இல்லையெனில் பான்கேக் கெட்டியாக இருக்க வேண்டும் என்பதால் அதை மிக லேசாக பரப்பவும்.
ஆட்டா பான்கேக் செய்முறை
மேற்பரப்பில் குமிழ்கள் உருவாகும் வரை குறைந்த தீயில் சமைக்கவும். பின்னர் அதை மறுபுறம் திருப்பி, குறைந்த தீயில் சமைக்கவும். வெப்பத்திலிருந்து அகற்றவும். மீதமுள்ள மாவுக்கும் அதே செயல்முறையை மீண்டும் செய்யவும்.
எளிதான பான்கேக் ரெசிபி-எக்லெஸ்
தேன், வெண்ணெய் அல்லது மேப்பிள் சிரப் உடன் சூடாகப் பரிமாறவும்.</t>
  </si>
  <si>
    <t>https://www.vegrecipesofindia.com/wp-content/uploads/2022/06/eggless-pancake-recipe-2-500x500.jpg</t>
  </si>
  <si>
    <t>Jeeraga Kuzhambu</t>
  </si>
  <si>
    <t>சீரகக் குழம்பு</t>
  </si>
  <si>
    <t xml:space="preserve">   Cumin Seeds – 2 tbsp,
   Sesame seed/gingelly oil – 5 tbsp,
   Garlic – 1/2 cup peeled,
   Sambar Powder – 4 tbsp,
   Turmeric powder – 1/4 tsp,
   Salt – 1 tbsp or needed,
   Tamarind – 35 grams.</t>
  </si>
  <si>
    <t>சீரகம் - 2 டீஸ்பூன்,
எள்/எண்ணெய் - 5 டீஸ்பூன்,
பூண்டு - 1/2 கப் தோல் நீக்கியது,
சாம்பார் பொடி - 4 டீஸ்பூன்,
மஞ்சள் பொடி - 1/4 டீஸ்பூன்,
உப்பு - 1 டீஸ்பூன் அல்லது தேவைக்கேற்ப,
புளி - 35 கிராம்.</t>
  </si>
  <si>
    <t>Heat oil in a kadai, add garlic and saute for 2-3 minutes.
Cumin Seeds Kulambu
Add tamarind extract, sambar powder, turmeric powder and salt needed. Mix well.
Jeeraga kuzhambu recipe 
Boil on medium heat until the kuzhambu thickens. Stir in between. (you can see the difference between both the pictures below – in the first picture – tamarind extract has just been added, in the second it has thickened).
how to make jeeraga kulambu 
Once the kuzhambu thickens, add cumin seed powder, mix well and boil for another 2-3 seconds. Add a tbsp of sesame seed oil and switch it off.
seeraga kuzhambu 
Enjoy it with hot rice topped with sesame seed oil.</t>
  </si>
  <si>
    <t>ஒரு கடாயில் எண்ணெயை சூடாக்கி, பூண்டு சேர்த்து 2-3 நிமிடங்கள் வதக்கவும்.
சீரகக் குழம்பு
புளி சாறு, சாம்பார் பொடி, மஞ்சள் பொடி மற்றும் தேவையான உப்பு சேர்க்கவும். நன்கு கலக்கவும்.
சீரகக் குழம்பு செய்முறை
குழம்பு கெட்டியாகும் வரை மிதமான தீயில் கொதிக்க வைக்கவும். இடையில் கிளறவும். (கீழே உள்ள இரண்டு படங்களுக்கும் உள்ள வித்தியாசத்தை நீங்கள் காணலாம் - முதல் படத்தில் - புளி சாறு இப்போதுதான் சேர்க்கப்பட்டுள்ளது, இரண்டாவது படத்தில் அது கெட்டியாகிவிட்டது).
சீரகக் குழம்பு செய்வது எப்படி
குழம்பு கெட்டியானதும், சீரகத் தூள் சேர்த்து, நன்கு கலந்து, மேலும் 2-3 வினாடிகள் கொதிக்க வைக்கவும். ஒரு தேக்கரண்டி எள் விதை எண்ணெயைச் சேர்த்து அதை அணைக்கவும்.
சீரகக் குழம்பு
சூடான சாதத்தில் எள் விதை எண்ணெயைச் சேர்த்து மகிழுங்கள்.</t>
  </si>
  <si>
    <t>https://www.ticklingpalates.com/wp-content/uploads/2012/12/seeraga-kulambu-recipe1.jpg</t>
  </si>
  <si>
    <t>Beetroot Kola Urundai</t>
  </si>
  <si>
    <t>பீட்ரூட் கோலா உருண்டை</t>
  </si>
  <si>
    <t xml:space="preserve">   Bengal gram dal  – 1/2 cup,
   Ginger-garlic paste – 1 tsp,
   Green chillies – 2,
   Fennel seeds  – 1 tsp,
   Salt needed,
   Pearl Onions – 6-7 finely chopped,
   Beetroot – 1/3 cup grated finely,
   Coriander leaves – 2 tbsp finely chopped,
   Curry leaves – a sprig.</t>
  </si>
  <si>
    <t>பெங்கால் பருப்பு - 1/2 கப்,
இஞ்சி-பூண்டு விழுது - 1 டீஸ்பூன்,
பச்சை மிளகாய் - 2,
வெந்தய விதைகள் - 1 டீஸ்பூன்,
உப்பு தேவை,
முத்து வெங்காயம் - 6-7 பொடியாக நறுக்கியது,
பீட்ரூட் - 1/3 கப் பொடியாக நறுக்கியது,
கொத்தமல்லி இலை - 2 டீஸ்பூன் பொடியாக நறுக்கியது,
கறிவேப்பிலை - ஒரு தளிர்.</t>
  </si>
  <si>
    <t>Heat a paniyaram pan, add 1/2 – 3/4 tsp of oil in each hole.
Place the balls and cook covered on low heat.
Beetroot Kola Urundai in paniyaram pan-healthy snacks
Then flip it over to the other side and cook on low heat.
Healthy Beetroot Kola Urundai
Once it is well cooked, remove from the pan. Enjoy it as a snack or as a side dish for sambar sadam or any variety rice.</t>
  </si>
  <si>
    <t>பனியாரம் பாத்திரத்தை சூடாக்கி, ஒவ்வொரு துளையிலும் 1/2 - 3/4 டீஸ்பூன் எண்ணெய் சேர்க்கவும்.
உருண்டைகளை வைத்து குறைந்த தீயில் மூடி வைக்கவும்.
பனியாரம் பாத்திரத்தில் பீட்ரூட் கோலா உருண்டை - ஆரோக்கியமான சிற்றுண்டிகள்
பின்னர் அதை மறுபுறம் திருப்பி குறைந்த தீயில் சமைக்கவும்.
ஆரோக்கியமான பீட்ரூட் கோலா உருண்டை
நன்கு வெந்தவுடன், வாணலியில் இருந்து அகற்றவும். சிற்றுண்டியாகவோ அல்லது சாம்பார் சாதம் அல்லது எந்த வகையான சாதத்திற்கும் ஒரு துணை உணவாகவோ அனுபவிக்கவும்.</t>
  </si>
  <si>
    <t>https://encrypted-tbn0.gstatic.com/images?q=tbn:ANd9GcSMl9qE2Z84P694rABPOkx3S9bU6vvgmNydYw&amp;s</t>
  </si>
  <si>
    <t>Mint Couscous</t>
  </si>
  <si>
    <t>புதினா கூஸ்கஸ்</t>
  </si>
  <si>
    <t xml:space="preserve">   Couscous – 1/2 cup,
   Water – 1 cup,
   Mint – 1 cup firmly packed,
   Garlic – 2 cloves,
   Green Chilli – 1,
   Ginger – 1/2 inch piece,
   Onion – 2 medium size (finely chopped),
   Oil – 2 tbsp,
   Cinnamon – 1 inch piece,
   Cloves – 2,
   Bay leaf – 1.</t>
  </si>
  <si>
    <t>கூஸ்கஸ் - 1/2 கப்,
தண்ணீர் - 1 கப்,
புதினா - 1 கப் உறுதியாகப் பொடித்தது,
பூண்டு - 2 பல்,
பச்சை மிளகாய் - 1,
இஞ்சி - 1/2 அங்குல துண்டு,
வெங்காயம் - 2 நடுத்தர அளவு (நன்றாக நறுக்கியது),
எண்ணெய் - 2 டீஸ்பூன்,
இலவங்கப்பட்டை - 1 அங்குல துண்டு,
கிராம்பு - 2,
பிரியாணி இலை - 1.</t>
  </si>
  <si>
    <t>Heat oil in a pan, add cinnamon, cloves and bay leaf. Saute for a few seconds and then add finely chopped onions.
Saute until onions turn light brown.
how to make mint couscous
Add the ground paste and salt needed (remember we have already added a little salt to couscous). Saute until it is cooked well and the raw smell of the mint goes.
Minty Couscous
Add couscous and mix well. Remove from heat. If you prefer, you can add cashew nuts roasted in ghee.
Mint Couscous Recipe
Enjoy minty couscous with papads or potato chips or french fries or potato curry or cauliflower 65 or any raita.</t>
  </si>
  <si>
    <t>ஒரு கடாயில் எண்ணெயை சூடாக்கி, இலவங்கப்பட்டை, கிராம்பு மற்றும் பிரியாணி இலை சேர்க்கவும். சில நொடிகள் வதக்கவும், பின்னர் இறுதியாக நறுக்கிய வெங்காயத்தைச் சேர்க்கவும்.
வெங்காயம் வெளிர் பழுப்பு நிறமாக மாறும் வரை வதக்கவும்.
புதினா கூஸ்கஸ் செய்வது எப்படி
அரைத்த விழுது மற்றும் தேவையான உப்பு சேர்க்கவும் (நாங்கள் ஏற்கனவே கூஸ்கஸில் சிறிது உப்பு சேர்த்துள்ளோம் என்பதை நினைவில் கொள்க). அது நன்றாக வேகும் வரை மற்றும் புதினாவின் பச்சை வாசனை போகும் வரை வதக்கவும்.
புதினா கூஸ்கஸ்
பிரியாணி சேர்த்து நன்கு கலக்கவும். வெப்பத்திலிருந்து இறக்கவும். நீங்கள் விரும்பினால், நெய்யில் வறுத்த முந்திரி பருப்புகளைச் சேர்க்கலாம்.
புதினா கூஸ்கஸ் செய்முறை
பப்பாளி அல்லது உருளைக்கிழங்கு சிப்ஸ் அல்லது பிரஞ்சு பொரியல் அல்லது உருளைக்கிழங்கு கறி அல்லது காலிஃபிளவர் 65 அல்லது ஏதேனும் ரைத்தாவுடன் புதினா கூஸ்கஸை அனுபவிக்கவும்.</t>
  </si>
  <si>
    <t>https://goodiegodmother.com/wp-content/uploads/2017/04/mint-pea-couscous-salad-735x1103.jpg</t>
  </si>
  <si>
    <t>Kollu Adai-Horse gram Vegetable Adai Dosa</t>
  </si>
  <si>
    <t>கொள்ளு அடை - குதிரைவாலி காய்கறி அடை தோசை</t>
  </si>
  <si>
    <t xml:space="preserve">   Horse gram  – 1/2 cup,
   Par boiled rice – 1/4 cup,
   Tur Dal – 1/4 cup,
   Bengal Gram dal  -1/4 cup,
   Green gram - 1/4 cup,
   Urad Dal – 1/4 cup,
   Red Chillies – 2-3,
   Cumin seeds – 1 tsp,
   Salt needed.
   Drumstick leaves – fistful,
   Onion -2 medium size,
   Cabbage – 1/3 cup,
   Carrot – 1 medium,
   Coriander leaves – 1/4 cup finely chopped,
   Coconut – 2 tbsp grated,
   Oil for making adais.</t>
  </si>
  <si>
    <t>கொள்ளு பருப்பு - 1/2 கப்,
புழுங்கல் அரிசி - 1/4 கப்,
துவரம் பருப்பு - 1/4 கப்,
வங்காள பருப்பு - 1/4 கப்,
பச்சை பயறு - 1/4 கப்,
உளுத்தம் பருப்பு - 1/4 கப்,
சிவப்பு மிளகாய் - 2-3,
சீரகம் - 1 டீஸ்பூன்,
உப்பு தேவை.
முருங்கை இலைகள் - ஒரு கைப்பிடி,
வெங்காயம் - 2 நடுத்தர அளவு,
முட்டைக்கோஸ் - 1/3 கப்,
கேரட் - 1 நடுத்தர அளவு,
கொத்தமல்லி இலை - 1/4 கப் நன்றாக நறுக்கியது,
தேங்காய் - 2 டேபிள்ஸ்பூன் துருவியது,
அடை செய்வதற்கு எண்ணெய்.</t>
  </si>
  <si>
    <t>Heat a tawa, pour a ladle of batter and spread it in a circular motion. Cook on medium heat. (Note- After adding the vegetables, the batter will become a little thick. So we will be making small and thin adais. If you have difficulty in spreading the batter, you can also spread the batter with your finger tips on the tawa and then heat it).
After spreading the batter, make 4-5 holes with the back of the ladle as seen in the picture below.
Drizzle a tsp of oil around the adai and a few drops inside each hole.
Once the sides starts lifting up, flip it over to the other side.
Horse gram Adai Recipe
Drizzle another 1/2 tsp of oil around the adai. Once it gets cooked well, remove from heat and serve hot with chutney or butter or powdered jaggery or even cream (malai).
Kulthi adai dosa
Adai tastes heavenly with butter and cream. If  you have not tried it, then I recommend you to try that combo.</t>
  </si>
  <si>
    <t>ஒரு தவாவை சூடாக்கி, ஒரு கரண்டி மாவை ஊற்றி வட்ட வடிவில் பரப்பவும். மிதமான தீயில் சமைக்கவும். (குறிப்பு- காய்கறிகளைச் சேர்த்த பிறகு, மாவு கொஞ்சம் கெட்டியாகிவிடும். எனவே நாங்கள் சிறியதாகவும் மெல்லியதாகவும் அடைகளை உருவாக்குவோம். மாவைப் பரப்புவதில் உங்களுக்கு சிரமம் இருந்தால், உங்கள் விரல் நுனியைப் பயன்படுத்தி தவாவில் மாவை பரப்பி, பின்னர் அதை சூடாக்கலாம்).
மாவைப் பரப்பிய பிறகு, கீழே உள்ள படத்தில் காட்டப்பட்டுள்ளபடி கரண்டியின் பின்புறத்தில் 4-5 துளைகளை உருவாக்கவும்.
அடையைச் சுற்றி ஒரு தேக்கரண்டி எண்ணெயையும், ஒவ்வொரு துளைக்குள்ளும் சில துளிகளையும் தெளிக்கவும்.
பக்கவாட்டுகள் மேலே எழத் தொடங்கியதும், அதை மறுபுறம் புரட்டவும்.
கொள்ளு அடை செய்முறை
அடையைச் சுற்றி மேலும் 1/2 தேக்கரண்டி எண்ணெயைத் தெளிக்கவும். அது நன்றாக வெந்ததும், அடுப்பிலிருந்து இறக்கி, சட்னி அல்லது வெண்ணெய் அல்லது பொடித்த வெல்லம் அல்லது கிரீம் (மலை) உடன் சூடாகப் பரிமாறவும்.
குல்தி அடை தோசை
அடை வெண்ணெய் மற்றும் கிரீம் உடன் அற்புதமான சுவை கொண்டது. நீங்கள் அதை முயற்சிக்கவில்லை என்றால், அந்த கலவையை முயற்சிக்க பரிந்துரைக்கிறேன்.</t>
  </si>
  <si>
    <t>https://encrypted-tbn0.gstatic.com/images?q=tbn:ANd9GcQMoDEQIrLNKty05EnlgVXwzZPKlma52aXdvQ&amp;s</t>
  </si>
  <si>
    <t>Roasted Bell Pepper Pasta</t>
  </si>
  <si>
    <t>வறுத்த பெல் பெப்பர் பாஸ்தா</t>
  </si>
  <si>
    <t xml:space="preserve">   Pasta – 2 cups,
   Red Bell Pepper – 1,
   Tomato – 1 big,
   Olive oil – 2 tsp,
   Garlic – 3 cloves minced,
   Onion – 1 small,
   Almonds – 6-7 blanched and peeled,
   Oregano – 1 tsp,
   Basil – 3/4 tsp,
   Chilli flakes – 3/4 tsp (optional),
   Pepper powder as needed,
   Salt to taste,
   Butter – 1 tbsp,
   Wheat flour – 2 tsp flat,
   Milk – 3/4 cup,
   Cheese as needed- grated.</t>
  </si>
  <si>
    <t>பாஸ்தா - 2 கப்,
சிவப்பு பெல் பெப்பர் - 1,
தக்காளி - 1 பெரியது,
ஆலிவ் எண்ணெய் - 2 டீஸ்பூன்,
பூண்டு - 3 பல் நறுக்கியது,
வெங்காயம் - 1 சிறியது,
பாதாம் - 6-7 வெளுத்து உரிக்கப்பட்டது,
ஆர்கனோ - 1 டீஸ்பூன்,
துளசி - 3/4 டீஸ்பூன்,
மிளகாய்த்தூள் - 3/4 டீஸ்பூன் (விரும்பினால்),
தேவைக்கேற்ப மிளகு தூள்,
சுவைக்க உப்பு,
வெண்ணெய் - 1 டீஸ்பூன்,
கோதுமை மாவு - 2 டீஸ்பூன் தட்டையானது,
பால் - 3/4 கப்,
தேவைக்கேற்ப சீஸ் - துருவியது.</t>
  </si>
  <si>
    <t>Heat olive oil in a pan, saute garlic and onions. When onions turn transparent, add the chopped bell pepper and tomato. Saute for a few seconds and add blanched and chopped almonds. Turn off the heat.
roasted bell pepper pasta recipe 
Once it cools, grind it to a  fine paste. This is our roasted red bell pepper sauce.
Bring plenty of water to boil in a pan. Add a little salt and 2 drops of oil.
When water starts boiling, add the pasta and keep stirring to prevent it from sticking with each other.
bell pepper pasta recipe 
Cook until al dente. It should not be mushy but perfectly cooked. Taste pasta to make sure it is well cooked.
Drain the water (reserve a little of the pasta water) and run cold water over the pasta.
cooking pasta 
Heat butter in a pan over low heat, add wheat flour (or maida) and cook on low heat until butter and flour are well combined. Cook for another 1 minute. Do not let it brown.
Reduce the heat to low and add milk (milk should be at room temperature) little at a time, stirring continuously to prevent lumps.
Cook stirring continuously until the sauce thickens.
how to prepare bell pepper pasta 
Turn off the heat and add the roasted red bell pepper sauce. Mix well.
how to make bell pepper pasta 
Add salt, pepper powder, chilli flakes, dry oregano and basil or you can add mixed Italian herbs powder also.
Roasted Bell Pepper Pasta sauce
Add the cooked pasta, 2-3 tbsp of reserved pasta water and just heat it.
Roasted Bell Pepper Penne Pasta
Grate cheese over the pasta and garnish with fresh parsley, if available.
Enjoy it warm. You can serve with few slices of garlic bread or salad, if preferred. Garlic bread is great with pasta.</t>
  </si>
  <si>
    <t>ஒரு பாத்திரத்தில் ஆலிவ் எண்ணெயை சூடாக்கி, பூண்டு மற்றும் வெங்காயத்தை வதக்கவும். வெங்காயம் வெளிப்படையானதாக மாறியதும், நறுக்கிய பெல் பெப்பர் மற்றும் தக்காளியைச் சேர்க்கவும். சில நொடிகள் வதக்கி, வெளுத்து நறுக்கிய பாதாம் சேர்க்கவும். தீயை அணைக்கவும்.
வறுத்த பெல் பெப்பர் பாஸ்தா செய்முறை
அது குளிர்ந்ததும், நன்றாக அரைக்கவும். இது எங்கள் வறுத்த ரெட் பெப்பர் சாஸ்.
ஒரு பாத்திரத்தில் நிறைய தண்ணீர் கொதிக்க வைக்கவும். சிறிது உப்பு மற்றும் 2 சொட்டு எண்ணெய் சேர்க்கவும்.
தண்ணீர் கொதிக்க ஆரம்பித்ததும், பாஸ்தாவைச் சேர்த்து, ஒன்றோடொன்று ஒட்டாமல் இருக்க தொடர்ந்து கிளறவும்.
பெல் பெப்பர் பாஸ்தா செய்முறை
அல் டென்டே வரை சமைக்கவும். அது மென்மையாக இருக்கக்கூடாது, ஆனால் சரியாக வேகும் வரை சமைக்கவும். பாஸ்தா நன்றாக வெந்திருப்பதை உறுதிசெய்ய சுவைக்கவும்.
தண்ணீரை வடிகட்டவும் (சிறிது பாஸ்தா தண்ணீரை ஒதுக்கி வைக்கவும்) மற்றும் பாஸ்தாவின் மீது குளிர்ந்த நீரை ஊற்றவும்.
பேஸ்தா சமைக்கவும்
ஒரு பாத்திரத்தில் வெண்ணெயை குறைந்த தீயில் சூடாக்கி, கோதுமை மாவு (அல்லது மைதா) சேர்த்து, வெண்ணெய் மற்றும் மாவு நன்கு கலக்கும் வரை குறைந்த தீயில் சமைக்கவும். மேலும் 1 நிமிடம் சமைக்கவும். பழுப்பு நிறமாக விட வேண்டாம்.
தீயை குறைத்து, பால் (பால் அறை வெப்பநிலையில் இருக்க வேண்டும்) சிறிது சிறிதாக சேர்த்து, கட்டிகள் ஏற்படாமல் இருக்க தொடர்ந்து கிளறவும்.
சாஸ் கெட்டியாகும் வரை தொடர்ந்து கிளறவும்.
பெல் பெப்பர் பாஸ்தாவை எப்படி தயாரிப்பது
தீயை அணைத்து, வறுத்த சிவப்பு பெல் பெப்பர் சாஸைச் சேர்க்கவும். நன்றாக கலக்கவும்.
பெல் பெப்பர் பாஸ்தா செய்வது எப்படி
உப்பு, மிளகு தூள், மிளகாய் தூள், உலர்ந்த ஆர்கனோ மற்றும் துளசி சேர்க்கவும் அல்லது இத்தாலிய மூலிகைகள் பொடியையும் சேர்க்கலாம்.
வறுத்த பெல் பெப்பர் பாஸ்தா சாஸ்
சமைத்த பாஸ்தாவை, 2-3 டேபிள்ஸ்பூன் பாஸ்தா தண்ணீரைச் சேர்த்து சூடாக்கவும்.
வறுத்த பெல் பெப்பர் பென்னே பாஸ்தா
பாஸ்தாவின் மேல் சீஸ் தட்டி, கிடைத்தால் புதிய வோக்கோசுடன் அலங்கரிக்கவும்.
சூடாக அனுபவிக்கவும். விரும்பினால், நீங்கள் சில பூண்டு ரொட்டி துண்டுகள் அல்லது சாலட்டுடன் பரிமாறலாம். பூண்டு ரொட்டி பாஸ்தாவுடன் சிறந்தது.</t>
  </si>
  <si>
    <t>https://encrypted-tbn0.gstatic.com/images?q=tbn:ANd9GcQ58uQbYM85Dbky64MiXKwfmQm2lVFxcSdZPw&amp;s</t>
  </si>
  <si>
    <t>Kohlrabi Stir Fry</t>
  </si>
  <si>
    <t>கோதுமை மாவு வறுவல்</t>
  </si>
  <si>
    <t xml:space="preserve">   Kohlrabi– 4 small ones,
   Turmeric powder – 1/4 tsp,
   Salt needed,
   Coconut – 1/4 cup grated (fresh or frozen),
   Oil – 2 tsp,
   Mustard seeds – 1 tsp,
   Urad dal – 1 tsp,
   Red Chilli – 1,
   Green Chilli – 1,
   Hing – a pinch,
   Curry leaves – a sprig.</t>
  </si>
  <si>
    <t>கோதுமை மாவு – 4 சிறியவை,
மஞ்சள் தூள் – 1/4 தேக்கரண்டி,
உப்பு தேவை,
தேங்காய் – 1/4 கப் துருவியது (புதிய அல்லது உறைந்த),
எண்ணெய் – 2 தேக்கரண்டி,
கடுகு விதைகள் – 1 தேக்கரண்டி,
உரத்த பருப்பு – 1 தேக்கரண்டி,
சிவப்பு மிளகாய் – 1,
பச்சை மிளகாய் – 1,
ஹிங் – ஒரு சிட்டிகை,
கறிவேப்பிலை – ஒரு தளிர்.</t>
  </si>
  <si>
    <t>Heat oil in  a pan, add mustard seeds, when it splutters, add urad dal, hing, red chilli, green chilli and curry leaves.
Kohlrabi Stir Fry recipe
When urad dal turns golden brown, add the grated kohlrabi and turmeric powder.
how to make noolkol poriyal
Sprinkle water and cook covered stirring in between. Add salt to taste.
Noolkol stir fry
Once the vegetable becomes tender, add grated coconut, mix well and remove from heat.
Noolkol Poriyal Recipe
Serve delicious kohlrabi stir fry/noolkol poriyal as an accompaniment for rice.</t>
  </si>
  <si>
    <t>ஒரு கடாயில் எண்ணெயை சூடாக்கி, கடுகு சேர்த்து, அது வதங்கியதும், உளுத்தம் பருப்பு, ஹிங்,சிவப்பு மிளகாய், பச்சை மிளகாய் மற்றும் கறிவேப்பிலை சேர்க்கவும்.
கோதுமை மாவு வறுவல் செய்முறை
உரத்த பருப்பு பொன்னிறமாக மாறியதும், துருவிய கோதுமை மாவு மற்றும் மஞ்சள் தூள் சேர்க்கவும்.
நூல் பொரியல் செய்வது எப்படி
தண்ணீர் தெளித்து, இடையில் கிளறி மூடி வைத்து சமைக்கவும். சுவைக்கேற்ப உப்பு சேர்க்கவும்.
நூல் மாவு வறுவல்
காய்கறி மென்மையாக மாறியதும், துருவிய தேங்காயைச் சேர்த்து, நன்கு கலந்து, அடுப்பிலிருந்து இறக்கவும்.
நூல்கோல் பொரியல் செய்முறை
ருசியான கோஹ்ராபி ஸ்டிர் ஃப்ரை/நூல்கோல் பொரியலை சாதத்திற்கு துணையாக பரிமாறவும்.</t>
  </si>
  <si>
    <t>https://encrypted-tbn0.gstatic.com/images?q=tbn:ANd9GcSmLB8nsx0a6c5o-ukDwOVHkZEu19jt0RPMAg&amp;s</t>
  </si>
  <si>
    <t>Eggless Rava Cake</t>
  </si>
  <si>
    <t>முட்டை இல்லாத ரவா கேக்</t>
  </si>
  <si>
    <t xml:space="preserve">   Semolina – 1 1/2 cup fine variety,
   Cardamom powder – 1/4 tsp,
   Salt – 1/4 tsp,
   Sugar – 1 cup powdered,
   Oil/Ghee – 1/2 cup,
   Curd/Plain – 3/4 cup,
   Milk – 1/2 cup,
   Baking powder – 1/2 tsp,
   Baking soda – 1/8 tsp,
   Tutti fruitti – 1/3 cup,
   Raisins – 1/4 cup,
   Cashew nut – 8-10 .
</t>
  </si>
  <si>
    <t>ரவை - 1 1/2 கப் நல்ல ரகம்,
ஏலக்காய் தூள் - 1/4 தேக்கரண்டி,
உப்பு - 1/4 தேக்கரண்டி,
சர்க்கரை - 1 கப் பொடித்தது,
எண்ணெய்/நெய் - 1/2 கப்,
தயிர்/வெற்று - 3/4 கப்,
பால் - 1/2 கப்,
பேக்கிங் பவுடர் - 1/2 தேக்கரண்டி,
பேக்கிங் சோடா - 1/8 தேக்கரண்டி,
துட்டி பழச்சாறு - 1/3 கப்,
திராட்சை - 1/4 கப்,
முந்திரி பருப்பு - 8-10.</t>
  </si>
  <si>
    <t>In a bowl, add rava, cardamom powder, powdered sugar, salt and mix well.
Sooji Cake
Add any flavorless oil or ghee and mix well.
how to make sooji cake 
Add beaten curd and mix well.
eggless rava cake 
Add milk, mix well and keep it covered. Let it sit for 30-40 minutes.
Semolina Cake Recipe 
After  40 minutes
The consistency of the batter should be that of idli batter consistency. If it is too tight, add a little more milk and mix well.
Add baking soda, baking powder and mix until well combined. Add cashew nuts, tutti frutti, raisins (I used black ones) and fold gently.
Eggless Sooji Cake
Grease a baking tin with oil or ghee. Scatter few nuts, raisins, tutti frutti into the baking tray and then pour the prepared batter. Tap the tin lightly for the batter to settle evenly. Sprinkle some tutti frutti, raisins and nuts on the top.</t>
  </si>
  <si>
    <t>ஒரு பாத்திரத்தில், ரவை, ஏலக்காய் தூள், தூள் சர்க்கரை, உப்பு சேர்த்து நன்கு கலக்கவும்.
சூஜி கேக்
சுவையற்ற எண்ணெய் அல்லது நெய் சேர்த்து நன்கு கலக்கவும்.
சூஜி கேக் செய்வது எப்படி
அடித்த தயிர் சேர்த்து நன்கு கலக்கவும்.
முட்டை இல்லாத ரவா கேக்
பால் சேர்த்து நன்கு கலந்து மூடி வைக்கவும். 30-40 நிமிடங்கள் அப்படியே வைக்கவும்.
ரவை கேக் செய்முறை
40 நிமிடங்களுக்குப் பிறகு
மாவின் நிலைத்தன்மை இட்லி மாவின் நிலைத்தன்மையைப் போலவே இருக்க வேண்டும். அது மிகவும் இறுக்கமாக இருந்தால், சிறிது பால் சேர்த்து நன்கு கலக்கவும்.
பேக்கிங் சோடா, பேக்கிங் பவுடர் சேர்த்து நன்கு கலக்கும் வரை கலக்கவும். முந்திரி, துட்டி ஃப்ருட்டி, திராட்சை (நான் கருப்பு நிறத்தைப் பயன்படுத்தினேன்) சேர்த்து மெதுவாக மடிக்கவும்.
முட்டை இல்லாத சூஜி கேக்
பேக்கிங் டின்னில் எண்ணெய் அல்லது நெய் தடவவும். பேக்கிங் ட்ரேயில் சில கொட்டைகள், திராட்சை, துட்டி ஃப்ருட்டியைத் தூவி, பின்னர் தயாரிக்கப்பட்ட மாவை ஊற்றவும். மாவு சமமாகப் படிய டின்னை லேசாகத் தட்டவும். மேலே சிறிது துட்டி ஃப்ருட்டி, திராட்சை மற்றும் கொட்டைகளைத் தூவவும்.</t>
  </si>
  <si>
    <t>https://encrypted-tbn0.gstatic.com/images?q=tbn:ANd9GcTLiNNL0cOo9frTSWeLfOdchFHkfldopm-oxg&amp;s</t>
  </si>
  <si>
    <t xml:space="preserve">   Bread slice- 2 ,
   Eggs – 2,
   Onion – 3 tbsp finely chopped,
   Green chilli – 1 finely chopped,
   Coriander leaves – 1 tbsp finely chopped,
   Salt to taste,
   Pepper powder to taste,
   Oil for greasing the tawa.</t>
  </si>
  <si>
    <t>ரொட்டி துண்டு- 2 ,
முட்டை – 2,
வெங்காயம் – 3 டேபிள் ஸ்பூன் நன்றாக நறுக்கியது,
பச்சை மிளகாய் – 1 நன்றாக நறுக்கியது,
கொத்தமல்லி இலை – 1 டேபிள் ஸ்பூன் நன்றாக நறுக்கியது,
சுவைக்கு உப்பு,
மிளகு தூள்,
தவாவை தடவ எண்ணெய்.</t>
  </si>
  <si>
    <t>Break 2 eggs into a bowl. Add finely chopped onions, green chilli , coriander leaves, salt and pepper powder.
bread omelet recipe 
Add a tsp of water and beat well with a fork until foamy. Apply butter and toast bread both the sides.
Bread Omelette Recipe
Grease a tawa and heat it. Pour the egg mixture on the tawa. Tilt the pan slightly to get thin, bigger omelet as we have to place 2 bread slices on the omelet.
omelet 
When it is half cooked, place both the bread slices on top of it (as seen in the picture below) to absorb the uncooked egg mixture.
Then turn the bread over to the other side.
how to make bread omelet
Now flip the omelette with the bread slices to the other side carefully or you can fold the omelet on the side of the bread, over the bread slices and then flip it over (to get a rectangular shape).
Once it is cooked, flip again, fold it and serve immediately with tomato ketchup or green chutney.</t>
  </si>
  <si>
    <t>ஒரு பாத்திரத்தில் 2 முட்டைகளை உடைக்கவும். இறுதியாக நறுக்கிய வெங்காயம், பச்சை மிளகாய், கொத்தமல்லி இலை, உப்பு மற்றும் மிளகு தூள் சேர்க்கவும்.
ரொட்டி ஆம்லெட் செய்முறை
ஒரு டீஸ்பூன் தண்ணீர் சேர்த்து ஒரு முட்கரண்டி கொண்டு நுரை வரும் வரை நன்றாக அடிக்கவும். வெண்ணெய் மற்றும் டோஸ்ட் பிரெட்டை இருபுறமும் தடவவும்.
ரொட்டி ஆம்லெட் செய்முறை
ஒரு தவாவை தடவி சூடாக்கவும். முட்டை கலவையை தவாவின் மீது ஊற்றவும். ஆம்லெட்டின் மீது 2 ரொட்டி துண்டுகளை வைக்க வேண்டியிருப்பதால், மெல்லிய, பெரிய ஆம்லெட்டைப் பெற வாணலியை சிறிது சாய்க்கவும்.
ஆம்லெட்
அது பாதி வெந்தவுடன், சமைக்கப்படாத முட்டை கலவையை உறிஞ்சுவதற்கு இரண்டு ரொட்டி துண்டுகளையும் அதன் மேல் வைக்கவும் (கீழே உள்ள படத்தில் காட்டப்பட்டுள்ளது).
பின்னர் ரொட்டியை மறுபுறம் திருப்பவும்.
ரொட்டி ஆம்லெட் செய்வது எப்படி
இப்போது ஆம்லெட்டை ரொட்டித் துண்டுகளுடன் கவனமாக மறுபுறம் புரட்டவும் அல்லது ஆம்லெட்டை ரொட்டியின் ஓரத்தில், ரொட்டித் துண்டுகளின் மேல் மடித்து, பின்னர் அதை புரட்டலாம் (ஒரு செவ்வக வடிவத்தைப் பெற).
அது வெந்தவுடன், மீண்டும் திருப்பி, மடித்து, தக்காளி கெட்ச்அப் அல்லது பச்சை சட்னியுடன் உடனடியாக பரிமாறவும்.</t>
  </si>
  <si>
    <t>https://encrypted-tbn0.gstatic.com/images?q=tbn:ANd9GcQspzz_fRhxR931e72wEzB4plr8GdFx3SV9HA&amp;s</t>
  </si>
  <si>
    <t>Easy Egg Omelette</t>
  </si>
  <si>
    <t>எளிதான முட்டை ஆம்லெட்</t>
  </si>
  <si>
    <t xml:space="preserve">   Egg – 1,
   Onion – 2-3 tbsp finely chopped,
   Green chilli – 1 finely chopped,
   Salt to taste,
   Pepper powder to taste,
   Oil for greasing the tawa.</t>
  </si>
  <si>
    <t>முட்டை – 1,
வெங்காயம் – 2-3 டேபிள்ஸ்பூன் பொடியாக நறுக்கியது,
பச்சை மிளகாய் – 1 பொடியாக நறுக்கியது,
ருசிக்க உப்பு,
ருசிக்க மிளகு தூள்,
தவாவை நெய் தடவ எண்ணெய்.</t>
  </si>
  <si>
    <t xml:space="preserve">
Crack an egg into a mixing bowl. Add finely chopped onion, green chilli and salt needed.
how to make South Indian omelette
Add a tsp of water and beat well with a fork until foamy. Grease a tawa with oil and heat it.
Once the tawa is hot, pour the egg mixture on the tawa and cook on medium heat.
omelette recipe 
Once slightly cooked, flip it over to the other side and cook for just 4-5 seconds.
Easy Egg Omelette Recipe
Remove the omelette onto a plate and sprinkle pepper powder if needed. Serve hot from the tawa with rice or with bread or as such.</t>
  </si>
  <si>
    <t>ஒரு மிக்ஸிங் கிண்ணத்தில் முட்டையை உடைக்கவும். பொடியாக நறுக்கிய வெங்காயம், பச்சை மிளகாய் மற்றும் தேவையான உப்பு சேர்க்கவும்.
தென்னிந்திய ஆம்லெட் செய்வது எப்படி
ஒரு டீஸ்பூன் தண்ணீர் சேர்த்து ஒரு முட்கரண்டி கொண்டு நுரை வரும் வரை நன்றாக அடிக்கவும். ஒரு தவாவை எண்ணெயுடன் தடவி சூடாக்கவும்.
தவா சூடானதும், முட்டை கலவையை தவாவில் ஊற்றி மிதமான தீயில் சமைக்கவும்.
ஆம்லெட் செய்முறை
சிறிது வெந்தவுடன், அதை மறுபுறம் திருப்பி 4-5 வினாடிகள் சமைக்கவும்.
எளிதான முட்டை ஆம்லெட் செய்முறை
ஆம்லெட்டை ஒரு தட்டில் எடுத்து, தேவைப்பட்டால் மிளகு தூளை தூவி பரிமாறவும். தவாவிலிருந்து அரிசி அல்லது ரொட்டியுடன் அல்லது இதுபோன்றவற்றுடன் சூடாக பரிமாறவும்.</t>
  </si>
  <si>
    <t>https://i2.wp.com/www.downshiftology.com/wp-content/uploads/2021/12/How-to-Make-an-Omelette-17.jpg</t>
  </si>
  <si>
    <t>Hotel Sambar</t>
  </si>
  <si>
    <t xml:space="preserve">
ஹோட்டல் சாம்பார்</t>
  </si>
  <si>
    <t xml:space="preserve">   Tur dal – 1/4 cup,
   Moong dal – 1/4 cup,
   Turmeric Powder – 1/4 tsp,
   Tamarind – small piece,
   Onion – 1,
   Tomato – 1,
   Salt needed,
   For the Masala Paste,
   Oil – 1 1/2 tsp,
   Coriander seeds – 1 1/2 tsp,
   Bengal gram – 1 tsp,
   Fenugreek seeds – 1/8 tsp ,
   Whole black peppercorns – 1/4 tsp,
   Cumin seeds – 1/2 tsp,
   Red Chillies – 3,
   Coconut – 2 tbsp,
   Onion – 1,
   Tomato – 1,
   Oil – 2 tsp,
   Mustard seeds – 1 tsp,
  asafoetida – a pinch,
   Curry leaves – a sprig,
   Coriander Leaves – 2 tbsp finely chopped.</t>
  </si>
  <si>
    <t>துரும்பு பருப்பு - 1/4 கப்,
பாலாடை பருப்பு - 1/4 கப்,
மஞ்சள் தூள் - 1/4 டீஸ்பூன்,
புளி - சிறிய துண்டு,
வெங்காயம் - 1,
தக்காளி - 1,
உப்பு தேவை,
மசாலா பேஸ்டுக்கு,
எண்ணெய் - 1 1/2 டீஸ்பூன்,
கொத்தமல்லி விதைகள் - 1 1/2 டீஸ்பூன்,
வங்கக்கடலை - 1 டீஸ்பூன்,
வெந்தயம் - 1/8 டீஸ்பூன்,
முழு கருப்பு மிளகு - 1/4 டீஸ்பூன்,
சீரகம் - 1/2 டீஸ்பூன்,
சிவப்பு மிளகாய் - 3,
தேங்காய் - 2 டேபிள்ஸ்பூன்,
வெங்காயம் - 1,
தக்காளி - 1,
எண்ணெய் - 2 டேபிள்ஸ்பூன்,
கடுகு - 1 டேபிள்ஸ்பூன்,
பெருங்காயம் - ஒரு சிட்டிகை,
கறிவேப்பிலை - ஒரு தளிர்,
கொத்தமல்லி இலைகள் - 2 டேபிள்ஸ்பூன் பொடியாக நறுக்கியது.</t>
  </si>
  <si>
    <t>Chopped onion and tomatoes, cooked dal, masala paste, tamarind extract are all kept ready below. Now we will proceed to make the hotel style sambar.
Heat 2 tsp of oil, add mustard seeds, when it splutters, add hing and curry leaves. Add onions and saute until it turns transparent.
how to make hotel style sambar
Add chopped tomatoes and saute until tomatoes become soft.
Add the masala paste, 2-3 tbsp of water and saute until it thickens and oil separates.
hotel idli sambar 
Then add tamarind extract, salt needed and cook until the raw flavor of the tamarind goes.
how to make hotel style tiffin sambar
Then add the cooked dal, needed water, mix well and boil it. The consistency of the sambar should be a little watery, so add water accordingly.
idli sambar recipe 
When it starts to boil, simmer and cook for a few minutes, stirring in between.
Garnish with finely chopped coriander leaves and serve hot with idli, dosa or ven pongal.</t>
  </si>
  <si>
    <t>நறுக்கிய வெங்காயம் மற்றும் தக்காளி, சமைத்த பருப்பு, மசாலா விழுது, புளி சாறு அனைத்தும் கீழே தயாராக வைக்கப்பட்டுள்ளன. இப்போது ஹோட்டல் பாணி சாம்பார் தயாரிப்போம்.
2 தேக்கரண்டி எண்ணெயை சூடாக்கி, கடுகு சேர்த்து, அது வதங்கியதும், பெருங்காயம் மற்றும் கறிவேப்பிலை சேர்க்கவும். வெங்காயத்தைச் சேர்த்து, அது வெளிப்படையானதாக மாறும் வரை வதக்கவும்.
ஹோட்டல் பாணி சாம்பார் செய்வது எப்படி
நறுக்கிய தக்காளியைச் சேர்த்து, தக்காளி மென்மையாகும் வரை வதக்கவும்.
மசாலா விழுது, 2-3 தேக்கரண்டி தண்ணீர் சேர்த்து, கெட்டியாகும் வரை மற்றும் எண்ணெய் பிரியும் வரை வதக்கவும்.
ஹோட்டல் இட்லி சாம்பார்
பின்னர் புளி சாறு, தேவையான உப்பு சேர்த்து, புளியின் பச்சை வாசனை போகும் வரை சமைக்கவும்.
ஹோட்டல் பாணி டிஃபின் சாம்பார் செய்வது எப்படி
பின்னர் சமைத்த பருப்பை, தேவையான தண்ணீர் சேர்த்து, நன்கு கலந்து கொதிக்க வைக்கவும். சாம்பாரின் நிலைத்தன்மை சிறிது தண்ணீர் போல் இருக்க வேண்டும், எனவே அதற்கேற்ப தண்ணீர் சேர்க்கவும்.
இட்லி சாம்பார் செய்முறை
கொதிக்க ஆரம்பித்ததும், கொதிக்க வைத்து, சில நிமிடங்கள், இடையில் கிளறி, சமைக்கவும்.
பொடியாக நறுக்கிய கொத்தமல்லி இலைகளால் அலங்கரித்து, இட்லி, தோசை அல்லது வெண் பொங்கலுடன் சூடாகப் பரிமாறவும்.</t>
  </si>
  <si>
    <t>https://encrypted-tbn0.gstatic.com/images?q=tbn:ANd9GcT6wB1kCpyUvi7qAN7MfXjbEU-G5OXH2t75qg&amp;s</t>
  </si>
  <si>
    <t>Egg Bhurji Sandwich</t>
  </si>
  <si>
    <t>முட்டை புர்ஜி சாண்ட்விச்</t>
  </si>
  <si>
    <t xml:space="preserve">
   Bread Slices – 6,
   Egg Bhurji,
   Butter as needed.</t>
  </si>
  <si>
    <t>ரொட்டி துண்டுகள் - 6,
முட்டை புர்ஜி,
தேவையான அளவு வெண்ணெய்.</t>
  </si>
  <si>
    <t>Take 2 bread slices and apply melted butter or ghee on both sides of the bread and toast it slightly.
How to make Egg Bhurji Sandwich
Place 2 heaped tbsp of egg bhurji on one bread slice and and close it with the other bread slice.
Press it well using a spatula and toast both sides of the sandwich until golden brown.
Cut it diagonally and enjoy it warm with tomato ketchup or green chutney.</t>
  </si>
  <si>
    <t>2 பிரட் துண்டுகளை எடுத்து, பிரட்டின் இருபுறமும் உருகிய வெண்ணெய் அல்லது நெய் தடவி லேசாக டோஸ்ட் செய்யவும்.
முட்டை புர்ஜி சாண்ட்விச் செய்வது எப்படி
ஒரு பிரட் துண்டில் 2 டேபிள்ஸ்பூன் முட்டை புர்ஜியை குவித்து, மற்றொரு பிரட் துண்டுடன் மூடி வைக்கவும்.
ஒரு ஸ்பேட்டூலாவைப் பயன்படுத்தி நன்றாக அழுத்தி, சாண்ட்விச்சின் இருபுறமும் பொன்னிறமாகும் வரை டோஸ்ட் செய்யவும்.
அதை குறுக்காக வெட்டி, தக்காளி கெட்ச்அப் அல்லது பச்சை சட்னியுடன் சூடாக மகிழுங்கள்.</t>
  </si>
  <si>
    <t>https://static.toiimg.com/thumb/91741738.cms?imgsize=78602&amp;width=800&amp;height=800</t>
  </si>
  <si>
    <t>Aval Cutlet-Poha Tikki</t>
  </si>
  <si>
    <t>அவல் கட்லெட்-போஹா டிக்கி</t>
  </si>
  <si>
    <t xml:space="preserve">   Poha – 1 cup,
   Potatoes – 1/2 cup boiled and grated,
   Carrot – 1 medium size,
   Green chilli – 1 finely chopped,
   Ginger garlic paste – 1/2 tsp,
   Coriander leaves – 2 tbsp finely chopped,
   Thick Curd – 1 tbsp,
   Salt needed,
   Turmeric powder – 1/4 tsp,
   Chilli powder – 1/4 tsp,
   Garam Masala Powder – 1/4 tsp,
   Oil for shallow frying.</t>
  </si>
  <si>
    <t>போஹா - 1 கப்,
உருளைக்கிழங்கு - 1/2 கப் வேகவைத்து துருவியது,
கேரட் - 1 நடுத்தர அளவு,
பச்சை மிளகாய் - 1 நன்றாக நறுக்கியது,
இஞ்சி பூண்டு விழுது - 1/2 டீஸ்பூன்,
கொத்தமல்லி இலைகள் - 2 டீஸ்பூன் நன்றாக நறுக்கியது,
தடித்த தயிர் - 1 டீஸ்பூன்,
உப்பு தேவை,
மஞ்சள் தூள் - 1/4 டீஸ்பூன்,
மிளகாய் தூள் - 1/4 டீஸ்பூன்,
கரம் மசாலா தூள் - 1/4 டீஸ்பூன்,
வறுக்க எண்ணெய்.</t>
  </si>
  <si>
    <t>In a bowl, combine together soaked poha, grated potato, grated carrot, chillies and coriander leaves.
poha tikki
Add all the spice powder, salt needed and thick curd/plain yogurt. Mix well.
easy cutlet recipe 
Divide the mixture equally and make smooth balls from it. Then flatten it to form patties.
aval vegetable cutlet
Heat a tawa, place the prepared patties and drizzle 1-2 tsp of oil around the patties. 
Cook both sides until golden brown on low heat. It will take time. If you prefer, you can even deep fry.
how to make poha cutlet 
Serve hot with green chutney or tomato ketchup.</t>
  </si>
  <si>
    <t>ஒரு பாத்திரத்தில், ஊறவைத்த போஹா, துருவிய உருளைக்கிழங்கு, துருவிய கேரட், மிளகாய் மற்றும் கொத்தமல்லி இலைகளை ஒன்றாக இணைக்கவும்.
போஹா டிக்கி
அனைத்து மசாலா தூள், தேவையான உப்பு மற்றும் கெட்டியான தயிர்/வெற்று தயிர் சேர்க்கவும். நன்றாக கலக்கவும்.
எளிதான கட்லெட் செய்முறை
கலவையை சமமாக பிரித்து அதிலிருந்து மென்மையான உருண்டைகளை உருவாக்கவும். பின்னர் அதை தட்டையாக்கி பஜ்ஜிகளை உருவாக்கவும்.
அவல் காய்கறி கட்லெட்
ஒரு தவாவை சூடாக்கி, தயாரிக்கப்பட்ட பஜ்ஜிகளை வைத்து, பஜ்ஜிகளைச் சுற்றி 1-2 தேக்கரண்டி எண்ணெயைத் தெளிக்கவும்.
குறைந்த தீயில் இருபுறமும் பொன்னிறமாகும் வரை சமைக்கவும். இதற்கு நேரம் எடுக்கும். நீங்கள் விரும்பினால், நீங்கள் ஆழமாக வறுக்கவும் செய்யலாம்.
போஹா கட்லெட் செய்வது எப்படி
பச்சை சட்னி அல்லது தக்காளி கெட்ச்அப்புடன் சூடாகப் பரிமாறவும்.</t>
  </si>
  <si>
    <t>https://www.archanaskitchen.com/images/archanaskitchen/1-Author/Reshu_Drolia/Vegetable_Poha_Cutlet_Evening_Snacks_Recipe_400.jpg</t>
  </si>
  <si>
    <t>Oats Khichdi</t>
  </si>
  <si>
    <t>ஓட்ஸ் கிச்சடி</t>
  </si>
  <si>
    <t xml:space="preserve">   Rolled Oats – 1/2 cup,
   Moong Dal – 3 tbsp,
   Turmeric powder – 1/4 tsp,
   Salt needed,
   Onion – 1 medium size,
   Ginger – 1 tsp finely chopped,
   Green Chilli – 1 slit,
   Garlic – 2 cloves finely chopped,
   Tomato – 1 small,
   Carrot – 1,
   Beans – 5-6,
   Oil – 2 tsp,
   Ghee – 2 tsp,
   Cumin seeds – 1 tsp,
   Whole black pepper – 1/2 tsp,
   Asafoetida/Hing – a pinch,
  Curry leaves – a sprig,
   Ghee – 1 tsp,
   Coriander leaves – 2 tbsp finely chopped.</t>
  </si>
  <si>
    <t>உருட்டப்பட்ட ஓட்ஸ் - 1/2 கப்,
பாசிப்பருப்பு - 3 டீஸ்பூன்,
மஞ்சள் தூள் - 1/4 டீஸ்பூன்,
உப்பு தேவை,
வெங்காயம் - 1 நடுத்தர அளவு,
இஞ்சி - 1 டீஸ்பூன் நன்றாக நறுக்கியது,
பச்சை மிளகாய் - 1 துண்டு,
பூண்டு - 2 பல் நன்றாக நறுக்கியது,
தக்காளி - 1 சிறியது,
கேரட் - 1,
பீன்ஸ் - 5-6,
எண்ணெய் - 2 டீஸ்பூன்,
நெய் - 2 டீஸ்பூன்,
சீரகம் - 1 டீஸ்பூன்,
முழு கருப்பு மிளகு - 1/2 டீஸ்பூன்,
பெருங்காயம் / கீரை - ஒரு சிட்டிகை,
கறிவேப்பிலை - ஒரு தளிர்,
நெய் - 1 டீஸ்பூன்,
கொத்தமல்லி இலை - 2 டீஸ்பூன் நன்றாக நறுக்கியது.</t>
  </si>
  <si>
    <t>Heat oil + ghee in a pressure cooker/pan, add cumin seeds, whole black pepper, hing and curry leaves.
When cumin seed sizzles, add finely chopped onions, ginger, garlic, green chilli and curry leaves.
Lunch recipes with oats-Oats khichdi
Saute until onions turn transparent.  Add chopped carrot, beans, tomato, soaked moong dal, turmeric powder and salt needed.
Oats vegetable khichdi
Add oats and 2 cups of water and mix well. Taste the water to check for salt. Add if needed.
Easy Oats Khichdi Recipe
Pressure cook for 3 whistles. Once the pressure subsides, open the cooker, add a tsp of ghee and mix well.
Oats Khichdi Recipe
Garnish with coriander leaves and serve hot with raita, pickle or papads.</t>
  </si>
  <si>
    <t>பிரஷர் குக்கர் / பாத்திரத்தில் எண்ணெய் + நெய்யை சூடாக்கி, சீரகம், முழு கருப்பு மிளகு, கீரை மற்றும் கறிவேப்பிலை சேர்க்கவும்.
சீரகம் கொதிக்கும் போது, ​​இறுதியாக நறுக்கிய வெங்காயம், இஞ்சி, பூண்டு, பச்சை மிளகாய் மற்றும் கறிவேப்பிலை சேர்க்கவும்.
ஓட்ஸ் உடன் மதிய உணவு ரெசிபிகள் - ஓட்ஸ் கிச்சடி
வெங்காயம் வெளிப்படையானதாக மாறும் வரை வதக்கவும். நறுக்கிய கேரட், பீன்ஸ், தக்காளி, ஊறவைத்த பாசிப்பருப்பு, மஞ்சள் தூள் மற்றும் தேவையான அளவு உப்பு சேர்க்கவும்.
ஓட்ஸ் காய்கறி கிச்சடி
ஓட்ஸ் மற்றும் 2 கப் தண்ணீர் சேர்த்து நன்கு கலக்கவும். உப்பு இருக்கிறதா என்று சோதிக்க தண்ணீரை சுவைக்கவும். தேவைப்பட்டால் சேர்க்கவும்.
எளிதான ஓட்ஸ் கிச்சடி செய்முறை
அழுத்தம் 3 விசில் வரை சமைக்கவும். அழுத்தம் குறைந்தவுடன், குக்கரைத் திறந்து, ஒரு தேக்கரண்டி நெய்யைச் சேர்த்து நன்கு கலக்கவும்.
ஓட்ஸ் கிச்சடி செய்முறை
கொத்தமல்லி இலைகளால் அலங்கரித்து, ரைத்தா, ஊறுகாய் அல்லது பப்படங்களுடன் சூடாகப் பரிமாறவும்.</t>
  </si>
  <si>
    <t>https://www.funfoodfrolic.com/wp-content/uploads/2022/01/Oats-Khichdi-Blog-480x270.jpg</t>
  </si>
  <si>
    <t>Mushroom Omelette</t>
  </si>
  <si>
    <t>காளான் ஆம்லெட்</t>
  </si>
  <si>
    <t xml:space="preserve">   Eggs -2,
   Water -2 tsp,
   Pepper powder as needed,
   Salt – a pinch,
   Button Mushrooms – 6-8 or (100 grams),
   Oil – 3 tsp,
   Onion – 1/3 cup finely chopped,
   Garlic cloves – 3 minced,
   Chilli powder – 1/2 tsp,
   Turmeric powder – 1/8 tsp,
   Salt as needed,
   Dill leaves – 1 tsp dry (optional).</t>
  </si>
  <si>
    <t>முட்டை -2,
தண்ணீர் -2 தேக்கரண்டி,
மிளகு தூள் தேவைக்கேற்ப,
உப்பு - ஒரு சிட்டிகை,
பட்டன் காளான்கள் - 6-8 அல்லது (100 கிராம்),
எண்ணெய் - 3 தேக்கரண்டி,
வெங்காயம் - 1/3 கப் நன்றாக நறுக்கியது,
பூண்டு பல் - 3 துண்டுகளாக நறுக்கியது,
மிளகாய் தூள் - 1/2 தேக்கரண்டி,
மஞ்சள் தூள் - 1/8 தேக்கரண்டி,
உப்பு தேவைக்கேற்ப,
வெந்தய இலைகள் - 1 தேக்கரண்டி உலர் (விரும்பினால்).</t>
  </si>
  <si>
    <t>Clean mushroom and chop it into thin slices (I did not do that but recommend you to do it as it will be easy when flipping the omelette). Check out how to clean mushrooms.
Heat oil in a pan, add finely chopped onions and garlic. Saute until onions turn transparent.
Add sliced mushroom, turmeric powder and chilli powder.
sauteing mushrooms 
Mushrooms will ooze out lot of water. Cook on medium heat until all the water evaporates and the mixture becomes dry.
mushroom preparation for mushroom omelette 
Add salt needed and dry dill leaves (If you could not get fresh dill leaves, you can add). You can add any herbs of your choice not necessarily dill.
How to make Mushroom Omelette Indian Style
To prepare Omelette
Crack 2 eggs in a bowl, add little salt, 2 tsp water and pepper powder. (Remember we have added salt to mushrooms also. Adding water gives you fluffier omelette).
Easy Mushroom Omelette
Beat with a fork until you get bubbles. Grease a tawa and heat it.
Once hot, pour the egg mixture and reduce the heat to low.
Indian style Mushroom Omelette
Once the omelette is cooked slightly, spread  the mushroom mixture all over the omelette and slightly press it. Cook for a few seconds.
If you want, you can flip it over to the other side or you can just fold it and cook for another few seconds.
How to make Mushroom Omelette
Slide the omelette on to a plate and serve hot with bread or rice.</t>
  </si>
  <si>
    <t>காளானை சுத்தம் செய்து மெல்லிய துண்டுகளாக நறுக்கவும் (நான் அப்படி செய்யவில்லை, ஆனால் ஆம்லெட்டை புரட்டும்போது எளிதாக இருக்கும் என்பதால் அதைச் செய்ய பரிந்துரைக்கிறேன்). காளான்களை எப்படி சுத்தம் செய்வது என்று பாருங்கள்.
ஒரு கடாயில் எண்ணெயை சூடாக்கி, இறுதியாக நறுக்கிய வெங்காயம் மற்றும் பூண்டு சேர்க்கவும். வெங்காயம் வெளிப்படையானதாக மாறும் வரை வதக்கவும்.
நறுக்கிய காளான், மஞ்சள் தூள் மற்றும் மிளகாய் தூள் சேர்க்கவும்.
வதக்க காளான்கள்
காளான்கள் நிறைய தண்ணீர் வெளியேறும். அனைத்து தண்ணீரும் ஆவியாகி கலவை காய்ந்து போகும் வரை மிதமான தீயில் சமைக்கவும்.
காளான் ஆம்லெட்டுக்கு காளான் தயாரிப்பு
தேவையான உப்பு மற்றும் உலர்ந்த வெந்தய இலைகளைச் சேர்க்கவும் (புதிய வெந்தய இலைகள் கிடைக்கவில்லை என்றால், நீங்கள் சேர்க்கலாம்). வெந்தயம் தவிர உங்களுக்கு விருப்பமான எந்த மூலிகைகளையும் சேர்க்கலாம்.
காளான் ஆம்லெட் இந்திய பாணியில் எப்படி செய்வது
ஆம்லெட் தயாரிக்க
ஒரு கிண்ணத்தில் 2 முட்டைகளை உடைத்து, சிறிது உப்பு, 2 தேக்கரண்டி தண்ணீர் மற்றும் மிளகு தூள் சேர்க்கவும். (காளான்களில் உப்பு சேர்த்துள்ளோம் என்பதை நினைவில் கொள்ளுங்கள். தண்ணீர் சேர்ப்பது உங்களுக்கு மென்மையான ஆம்லெட்டை வழங்கும்).
எளிதான காளான் ஆம்லெட்
குமிழ்கள் வரும் வரை ஒரு முட்கரண்டி கொண்டு அடிக்கவும். ஒரு தவாவை தடவி சூடாக்கவும்.
சூடான பிறகு, முட்டை கலவையை ஊற்றி தீயை குறைத்து வைக்கவும்.
இந்திய பாணி காளான் ஆம்லெட்
ஆம்லெட் சிறிது வெந்தவுடன், காளான் கலவையை ஆம்லெட் முழுவதும் பரப்பி லேசாக அழுத்தவும். சில வினாடிகள் சமைக்கவும்.
நீங்கள் விரும்பினால், அதை மறுபுறம் திருப்பிப் போடலாம் அல்லது மடித்து இன்னும் சில வினாடிகள் சமைக்கலாம்.
காளான் ஆம்லெட் செய்வது எப்படி
ஆம்லெட்டை ஒரு தட்டில் வைத்து ரொட்டி அல்லது அரிசியுடன் சூடாகப் பரிமாறவும்.</t>
  </si>
  <si>
    <t>https://encrypted-tbn0.gstatic.com/images?q=tbn:ANd9GcQ72nS6c1hgIxuizS_RLr42GfWql64T-shSVQ&amp;s</t>
  </si>
  <si>
    <t>Kadalai Maavu Rice Murukku</t>
  </si>
  <si>
    <t>கடலை மாவு அரிசி முருக்கு</t>
  </si>
  <si>
    <t xml:space="preserve">   Rice flour – 1 cup (sieved),
   Besan/kadalai mavu – 1/2 cup (sieved),
   Unsalted Butter – 1 tbsp,
   Sesame seeds – 1 tsp,
   Hing/asafoetida – a generous pinch,
   Salt – 1 tsp flat,
   Hot oil – 2 tbsp,
   Chilli powder – 1/2 tsp (optional),
   Oil for deep frying,
   Murukku press.</t>
  </si>
  <si>
    <t>அரிசி மாவு - 1 கப் (சலித்தது),
கடலை மாவு - 1/2 கப் (சலித்தது),
உப்பு சேர்க்காத வெண்ணெய் - 1 டீஸ்பூன்,
எள் - 1 டீஸ்பூன்,
பெருங்காயம் - ஒரு சிட்டிகை,
உப்பு - 1 டீஸ்பூன் தட்டையானது,
சூடான எண்ணெய் - 2 டீஸ்பூன்,
மிளகாய் தூள் - 1/2 டீஸ்பூன் (விரும்பினால்),
ஆழமாக வறுக்க எண்ணெய்,
முருக்கு அழுத்தவும்.</t>
  </si>
  <si>
    <t>Grease the murukku maker with a little butter or oil. Then fit the 3 hole disc or 5 hole disc into the murukku press. Take a portion of  the dough and place it inside the murukku press. Then press it in a concentric circle to make murukku as seen in the picture below.
You can press it on greased ladles or small plates or even directly into the hot oil.
Besan Flour Chakli Recipe
Heat oil in  a kadai. To check if the oil is hot, drop a small bit of dough into the oil, if it comes to the surface immediately, the oil is hot enough to fry the murukkus. Reduce the heat to medium.
Drop 3-4 murukkus into the hot oil (number of murukkus depends on the quantity of oil used). Do not disturb for the first few seconds.
Then flip over and fry both sides until golden brown and crisp. (Tips – Once the murukku is cooked the sizzling sound will reduce)
Once crisp, remove it from the oil using a slotted ladle and place it on a colander or paper towel to drain excess oil if any.
Besan Chakli 
Enjoy making these simple and easy besan rice murukku for Diwali this year.</t>
  </si>
  <si>
    <t>முருக்கு தயாரிப்பாளரை சிறிது வெண்ணெய் அல்லது எண்ணெயுடன் தடவவும். பின்னர் 3 துளை வட்டு அல்லது 5 துளை வட்டு முருக்கு அழுத்தியில் பொருத்தவும். மாவின் ஒரு பகுதியை எடுத்து முருக்கு அழுத்தியின் உள்ளே வைக்கவும். பின்னர் கீழே உள்ள படத்தில் காட்டப்பட்டுள்ளபடி முருக்கு செய்ய ஒரு செறிவான வட்டத்தில் அழுத்தவும்.
நீங்கள் அதை எண்ணெய் தடவிய கரண்டிகள் அல்லது சிறிய தட்டுகளில் அல்லது நேரடியாக சூடான எண்ணெயில் அழுத்தலாம்.
கடாய் எண்ணெயை சூடாக்கவும். எண்ணெய் சூடாகிவிட்டதா என்று சோதிக்க, சிறிது மாவை எண்ணெயில் விடுங்கள், அது உடனடியாக மேற்பரப்புக்கு வந்தால், எண்ணெய் முருக்குகளை வறுக்கும் அளவுக்கு சூடாக இருக்கும். தீயை நடுத்தரமாகக் குறைக்கவும்.
சூடான எண்ணெயில் 3-4 முருக்குகளை விடுங்கள் (முருக்குகளின் எண்ணிக்கை பயன்படுத்தப்படும் எண்ணெயின் அளவைப் பொறுத்தது). முதல் சில வினாடிகள் தொந்தரவு செய்ய வேண்டாம்.
பின்னர் புரட்டிப் போட்டு, இருபுறமும் பொன்னிறமாகவும் மொறுமொறுப்பாகவும் வறுக்கவும். (குறிப்புகள் - முருக்கு வெந்ததும், சிஸ்லிங் சத்தம் குறையும்)
மொறுமொறுப்பாகி, ஒரு துளையிடப்பட்ட கரண்டியைப் பயன்படுத்தி எண்ணெயிலிருந்து அகற்றி, அதிகப்படியான எண்ணெய் ஏதேனும் இருந்தால் அதை வடிகட்ட ஒரு வடிகட்டி அல்லது காகிதத் துண்டின் மீது வைக்கவும்.
பெசன் சக்லி
இந்த ஆண்டு தீபாவளிக்கு இந்த எளிய மற்றும் எளிதான பெசன் அரிசி முருக்குகளைச் செய்து மகிழுங்கள்.</t>
  </si>
  <si>
    <t>https://encrypted-tbn0.gstatic.com/images?q=tbn:ANd9GcQooRqEPiH_SIyBOGJQCB_D3QriUU5T49ezhg&amp;s</t>
  </si>
  <si>
    <t>Pesto Sandwich</t>
  </si>
  <si>
    <t xml:space="preserve">
பெஸ்டோ சாண்ட்விச்</t>
  </si>
  <si>
    <t xml:space="preserve">   Brown Bread – 8 slices,
   Pesto – as needed,
   Tomato – 1,
   Cucumber – 5 – 6 slices,
   Onion – 4 slices,
   Capsicum – 1 (small size),
   Cheese slice – 4.</t>
  </si>
  <si>
    <t>பிரவுன் பிரட் - 8 துண்டுகள்,
பெஸ்டோ - தேவைக்கேற்ப,
தக்காளி - 1,
வெள்ளரிக்காய் - 5 - 6 துண்டுகள்,
வெங்காயம் - 4 துண்டுகள்,
கேப்சிகம் - 1 (சிறிய அளவு),
சீஸ் துண்டு - 4.</t>
  </si>
  <si>
    <t>Take 4 bread slices, spread one side of 2 bread slices with generous amount of pesto. Top the pesto with 1 slice of onion, 1 tomato slice, one cucumber slice and some chopped roasted bell pepper.
pesto vegetable sandwich toast
Place a cheese slice on the other 2 bread slices (picture below). Now cover the pesto spread bread slice with cheese side facing down.
You can enjoy it without toasting the bread. I love my bread toasted. If you like toasted sandwich like me, then proceed to the next step.
how to make pesto sandwich
Heat a little butter in a griddle/tawa, place the sandwich and toast both sides until golden brown.If you have a toaster with you, you can toast it using that also.
Basil Pesto Sandwich Recipe
Repeat the same process for the other 4 bread slices.</t>
  </si>
  <si>
    <t>4 பிரட் துண்டுகளை எடுத்து, 2 பிரட் துண்டுகளின் ஒரு பக்கத்தில் தாராளமாக பெஸ்டோவை பரப்பவும். பெஸ்டோவின் மேல் 1 துண்டு வெங்காயம், 1 தக்காளி துண்டு, ஒரு வெள்ளரிக்காய் துண்டு மற்றும் சிறிது நறுக்கிய வறுத்த பெல் பெப்பர் ஆகியவற்றை வைக்கவும்.
பெஸ்டோ காய்கறி சாண்ட்விச் டோஸ்ட்
மற்ற 2 பிரட் துண்டுகளில் ஒரு சீஸ் துண்டை வைக்கவும் (கீழே உள்ள படம்). இப்போது பெஸ்டோ ஸ்ப்ரெட் பிரட் ஸ்லைஸை சீஸ் பக்கவாட்டில் கீழ்நோக்கி இருக்கும்படி மூடவும்.
ரொட்டியை டோஸ்ட் செய்யாமல் நீங்கள் அதை அனுபவிக்கலாம். எனக்கு டோஸ்ட் செய்யப்பட்ட என் ரொட்டி மிகவும் பிடிக்கும். நீங்கள் என்னைப் போலவே டோஸ்ட் செய்யப்பட்ட சாண்ட்விச் விரும்பினால், அடுத்த கட்டத்திற்குச் செல்லவும்.
பெஸ்டோ சாண்ட்விச் செய்வது எப்படி
ஒரு கிரிடில்/தவாவில் சிறிது வெண்ணெயை சூடாக்கி, சாண்ட்விச்சை வைத்து இருபுறமும் பொன்னிறமாகும் வரை டோஸ்ட் செய்யவும். உங்களிடம் ஒரு டோஸ்டர் இருந்தால், அதைப் பயன்படுத்தியும் டோஸ்ட் செய்யலாம்.
பாசில் பெஸ்டோ சாண்ட்விச் செய்முறை
மற்ற 4 பிரட் துண்டுகளுக்கும் இதே செயல்முறையை மீண்டும் செய்யவும்.</t>
  </si>
  <si>
    <t>https://thenessykitchen.com/wp-content/uploads/2023/01/turkey-pesto-sandwich-10.jpg</t>
  </si>
  <si>
    <t>Kadamba Sadam</t>
  </si>
  <si>
    <t>கதம்ப சாதம்</t>
  </si>
  <si>
    <t xml:space="preserve">   Rice – 1 cup,
   Tur Dal – 1/3 cup,
   Turmeric powder – 1/2 tsp,
   Tamarind – Gooseberry sized ball,
   Salt as needed,
   Chick peas  – 1 tbsp,
   Black eyed pea  – 1 tbsp,
   Dry peas - 1 tbsp,
   Oil – 1/2 tsp,
   Bengal gram  – 2 tsp,
   Urad dal  – 1 1/2 tsp,
   Coriander seeds  – 1 tbsp,
   Red Chillies – 5-6,
   Fenugreek  – 1/4 tsp,
   Whole black pepper  – 1/2 tsp,
   Brinjal – 2,
   Pumpkin  – 1/2 cup,
   Ash gourd  – 1/2 cup,
   Cluster beans  – 6-7,
   Broad beans  – 6-7,
   Colocasia – 2-3 (optional),
   Potato – 1 medium size,
   Chow Chow – 1/2 a chow chow,
   Sesame seed oil – 1 1/2 tbsp,
   Mustard seeds – 1 tsp,
   Hing/ asafoetida – a generous pinch,
   Green chilli – 1-2,
   Curry Leaves – a sprig,
   Oil – 1 tsp,
   Turkey berry vathal – 10,
   Sesame seed oil – 1 tsp,
   Ghee/clarified butter – 1 tsp,
   Coriander leaves – 2 tbsp finely chopped.</t>
  </si>
  <si>
    <t>அரிசி - 1 கப்,
துவரம் பருப்பு - 1/3 கப்,
மஞ்சள் தூள் - 1/2 தேக்கரண்டி,
புளி - நெல்லிக்காய் அளவு உருண்டை,
தேவைக்கேற்ப உப்பு,
கொண்டைக்கடலை - 1 தேக்கரண்டி,
கருப்பட்டி - 1 தேக்கரண்டி,
உலர்ந்த பட்டாணி - 1 தேக்கரண்டி,
எண்ணெய் - 1/2 தேக்கரண்டி,
கடலை பருப்பு - 2 தேக்கரண்டி,
உளுத்தம் பருப்பு - 1 1/2 தேக்கரண்டி,
கொத்தமல்லி விதைகள் - 1 தேக்கரண்டி,
சிவப்பு மிளகாய் - 5-6,
வெந்தயம் - 1/4 தேக்கரண்டி,
முழு கருப்பு மிளகு - 1/2 தேக்கரண்டி,
கத்திரிக்காய் - 2,
பூசணி - 1/2 கப்,
சாம்பல் பூசணி - 1/2 கப்,
கொத்தமல்லி - 6-7,
அகன்ற பீன்ஸ் - 6-7,
கொலோகாசியா - 2-3 (விருப்பத்தேர்வு),
உருளைக்கிழங்கு - 1 நடுத்தர அளவு,
சௌ சௌ - 1/2 ஒரு சௌ சௌ,
எள் விதை எண்ணெய் - 1 1/2 டீஸ்பூன்,
கடுகு - 1 டீஸ்பூன்,
பெருங்காயம் / பெருங்காயம் - ஒரு சிட்டிகை,
பச்சை மிளகாய் - 1-2,
கறிவேப்பிலை - ஒரு தளிர்,
எண்ணெய் - 1 டீஸ்பூன்,
துருக்கி பெர்ரி வத்தல் - 10,
எள் விதை எண்ணெய் - 1 டீஸ்பூன்,
நெய் / தெளித்த வெண்ணெய் - 1 டீஸ்பூன்,
கொத்தமல்லி இலை - 2 டீஸ்பூன் நன்றாக நறுக்கியது.</t>
  </si>
  <si>
    <t>Now in any heavy bottomed vessel, add all the vegetables (except colocasia),  1 1/4 cup of water and cook covered. Do not pressure cook as the vegetables will become mushy.
Once the vegetables are 3/4th cooked, switch off the heat.
cooked dal and vegetables
In a kadai or pan, heat 1 1/2 tbsp of sesame seed oil, add mustard seeds, when it splutters, add hing, slit green chilli and curry leaves.
Then add the vegetables (along with the water if any) and the tamarind extract.
No Onion-No Garlic Recipe
Add 1/4 tsp turmeric powder, salt needed and the cooked colocasia.  Boil for 5-6 minutes on medium heat.
Then add the sambar podi which we prepared and boil again on medium heat for another 5 minutes.
how to make kadamba sambar
Once the raw smell of the tamarind goes, add the cooked legumes and the mashed dal along with a cup of water.
how to make kadamba sadam
Boil for few more minutes on medium heat. Our rice is also cooked and kept ready.
kadamba sambar and rice
Mash the rice slightly when it is hot (not as you mash it for pongal). Then add to the kadamba sambar and mix well.
Cook on low heat, stirring from time to time until everything gets mixed well.
kovil kadamba sadam
Heat a tsp of sesame seed oil and fry turkey berry (sundakkai vathal) until crisp.
Add to the kadamba sadam. Then add a tsp of ghee and a tsp of sesame seed oil, mix well and switch off the heat.
Kadamba Sadam recipe 
Garnish with coriander leaves and enjoy hot kadamba sadam with papads, chips and raita.</t>
  </si>
  <si>
    <t>இப்போது அடிப்பகுதி கொண்ட எந்த ஒரு கனமான பாத்திரத்திலும், அனைத்து காய்கறிகளையும் (கொலோகாசியா தவிர), 1 1/4 கப் தண்ணீர் சேர்த்து மூடி வைத்து சமைக்கவும். காய்கறிகள் மென்மையாக மாறும் என்பதால் அழுத்தி சமைக்க வேண்டாம்.
காய்கறிகள் 3/4 பங்கு வெந்தவுடன், அடுப்பை அணைக்கவும்.
சமைத்த பருப்பு மற்றும் காய்கறிகள்
ஒரு கடாயில் அல்லது வாணலியில், 1 1/2 டீஸ்பூன் எள் விதை எண்ணெயை சூடாக்கி, கடுகு சேர்க்கவும், அது வதங்கியதும், பெருங்காயம், கீறி பச்சை மிளகாய் மற்றும் கறிவேப்பிலை சேர்க்கவும்.
பின்னர் காய்கறிகளை (ஏதேனும் இருந்தால் தண்ணீருடன் சேர்த்து) மற்றும் புளி சாறு சேர்க்கவும்.
வெங்காயம் இல்லை-பூண்டு இல்லை செய்முறை
1/4 தேக்கரண்டி மஞ்சள் தூள், தேவையான உப்பு மற்றும் சமைத்த கொலோகாசியாவைச் சேர்க்கவும். மிதமான தீயில் 5-6 நிமிடங்கள் கொதிக்க வைக்கவும்.
பின்னர் நாம் தயாரித்த சாம்பார் பொடியைச் சேர்த்து, மீண்டும் மிதமான தீயில் 5 நிமிடங்கள் கொதிக்க வைக்கவும்.
கடம்ப சாம்பார் செய்வது எப்படி
புளியின் பச்சை வாசனை போனதும், சமைத்த பருப்பு வகைகள் மற்றும் மசித்த பருப்பை ஒரு கப் தண்ணீருடன் சேர்க்கவும்.
கடம்ப சாதம் செய்வது எப்படி
நடுத்தர தீயில் இன்னும் சில நிமிடங்கள் கொதிக்க வைக்கவும். எங்கள் அரிசியும் வேகவைக்கப்பட்டு தயாராக உள்ளது.
கடம்ப சாம்பார் மற்றும் அரிசி
அரிசி சூடாக இருக்கும்போது சிறிது மசிக்கவும் (பொங்கலுக்கு மசிப்பது போல் அல்ல). பின்னர் கடம்ப சாம்பாரில் சேர்த்து நன்கு கலக்கவும்.
குறைந்த தீயில், அவ்வப்போது கிளறி, அனைத்தும் நன்றாக கலக்கும் வரை சமைக்கவும்.
கோவில் கதம்ப சாதம்
ஒரு தேக்கரண்டி எள் எண்ணெயை சூடாக்கி, வான்கோழி பெர்ரியை (சுண்டக்காய் வத்தல்) மொறுமொறுப்பாகும் வரை வறுக்கவும்.
கதம்ப சாதத்தில் சேர்க்கவும். பின்னர் ஒரு தேக்கரண்டி நெய் மற்றும் ஒரு தேக்கரண்டி எள் எண்ணெயைச் சேர்த்து, நன்கு கலந்து அடுப்பை அணைக்கவும்.
கதம்ப சாதம் செய்முறை
கொத்தமல்லி இலைகளால் அலங்கரித்து, பப்படம், சிப்ஸ் மற்றும் ரைத்தாவுடன் சூடான கதம்ப சாதத்தை அனுபவிக்கவும்.</t>
  </si>
  <si>
    <t>https://encrypted-tbn0.gstatic.com/images?q=tbn:ANd9GcRA5RZ5RdW30Jr6SEci9DyIesYWSLYRn1EZAQ&amp;s</t>
  </si>
  <si>
    <t>Avocado Salad</t>
  </si>
  <si>
    <t>அவகேடோ சாலட்</t>
  </si>
  <si>
    <t xml:space="preserve">   Avocado – 1 ripe,
   Onion – 1 medium size,
   Tomato – 1 large,
   Coriander leaves – 1 tbsp finely chopped,
   Lemon juice – juice of 1/2 a lemon,
   Salt to taste,
   Pepper powder to taste.</t>
  </si>
  <si>
    <t>அவகேடோ - 1 பழுத்த,
வெங்காயம் - 1 நடுத்தர அளவு,
தக்காளி - 1 பெரியது,
கொத்தமல்லி இலைகள் - 1 டீஸ்பூன் நன்றாக நறுக்கியது,
எலுமிச்சை சாறு - 1/2 எலுமிச்சை சாறு,
சுவைக்கு உப்பு,
சுவைக்கு மிளகு தூள்.</t>
  </si>
  <si>
    <t>In a bowl, combine together avocado, chopped onion, chopped tomatoes (remove the seeds), coriander leaves and lemon juice.
Add salt and pepper powder to taste. Mix well to combine and enjoy!</t>
  </si>
  <si>
    <t>ஒரு பாத்திரத்தில், அவகேடோ, நறுக்கிய வெங்காயம், நறுக்கிய தக்காளி (விதைகளை நீக்கி), கொத்தமல்லி இலைகள் மற்றும் எலுமிச்சை சாறு ஆகியவற்றை ஒன்றாக கலக்கவும்.
சுவைக்கு உப்பு மற்றும் மிளகு தூள் சேர்க்கவும். நன்றாக கலந்து மகிழுங்கள்!</t>
  </si>
  <si>
    <t>https://natashaskitchen.com/wp-content/uploads/2021/12/Tomato-Avocado-Salad-SQ.jpg</t>
  </si>
  <si>
    <t>Pudina Thokku</t>
  </si>
  <si>
    <t>புதினா தொக்கு</t>
  </si>
  <si>
    <t xml:space="preserve">   Mint Leaves – 3 cups firmly packed,
   Coriander leaves – 1 cup,
   Red Chillies – 6 or (9 grams),
   Tamarind – 15 grams or gooseberry sized ball,
   Salt as needed,
   Oil – 7 tbsp.</t>
  </si>
  <si>
    <t>புதினா இலைகள் - 3 கப் உறுதியாகப் பொதி செய்யப்பட்டது,
கொத்தமல்லி இலைகள் - 1 கப்,
சிவப்பு மிளகாய்கள் - 6 அல்லது (9 கிராம்),
புளி - 15 கிராம் அல்லது நெல்லிக்காய் அளவு உருண்டை,
தேவைக்கேற்ப உப்பு,
எண்ணெய் - 7 டீஸ்பூன்.</t>
  </si>
  <si>
    <t>Heat 1 tbsp of oil and saute the red chillies. Remove from heat.
In the same pan, saute the mint leaves until they wilt. Remove from heat.
Pudina Kothamalli Thokku Recipe
Grind red chillies, tamarind and salt (I used 1 tbsp rock salt) together coarsely.
Mint Thokku for rice,idli, dosa
Then add the sauteed mint leaves, coriander leaves (you do not have to saute coriander leaves) and grind everything together, adding little water (approximately 1/3-1/2 cup water)  to a very fine paste as shown below.
pudina thokku recipe
Heat oil in a kadai, add the paste gently into the oil and cook on medium heat stirring continuously until oil separates.
pudina kothamalli thokku recipe
Mint thokku is ready. Enjoy it with rice, idli, any dosa, adai, pesarattu or use as a spread for bread.</t>
  </si>
  <si>
    <t>1 டீஸ்பூன் எண்ணெயை சூடாக்கி, மிளகாயை வதக்கவும். அடுப்பிலிருந்து எடுக்கவும்.
அதே வாணலியில், புதினா இலைகளை அவை வாடும் வரை வதக்கவும். அடுப்பிலிருந்து எடுக்கவும்.
புதினா கொத்தமல்லி தொக்கு செய்முறை
சிவப்பு மிளகாய், புளி மற்றும் உப்பு (நான் 1 டீஸ்பூன் கல் உப்பு பயன்படுத்தினேன்) ஆகியவற்றை ஒன்றாக கரடுமுரடாக அரைக்கவும்.
சாதம், இட்லி, தோசைக்கு புதினா தொக்கு
பின்னர் வதக்கிய புதினா இலைகள், கொத்தமல்லி இலைகள் (நீங்கள் கொத்தமல்லி இலைகளை வதக்க வேண்டியதில்லை) சேர்த்து, கீழே காட்டப்பட்டுள்ளபடி சிறிது தண்ணீர் (தோராயமாக 1/3-1/2 கப் தண்ணீர்) சேர்த்து எல்லாவற்றையும் ஒன்றாக அரைக்கவும்.
புதினா தொக்கு செய்முறை
ஒரு கடாயில் எண்ணெயை சூடாக்கி, பேஸ்ட்டை எண்ணெயில் மெதுவாகச் சேர்த்து, எண்ணெய் பிரியும் வரை மிதமான தீயில் தொடர்ந்து கிளறி விடுங்கள்.
புதினா கொத்தமல்லி தொக்கு செய்முறை
புதினா தொக்கு தயார். இதை சாதம், இட்லி, எந்த தோசை, அடை, பெசரட்டு ஆகியவற்றுடன் சேர்த்து மகிழுங்கள் அல்லது ரொட்டிக்கு ஸ்ப்ரெட் ஆகப் பயன்படுத்தவும்.</t>
  </si>
  <si>
    <t>https://encrypted-tbn0.gstatic.com/images?q=tbn:ANd9GcTxpnf3YRmiVgevPxQjgAaNLVdQ7ioCtu2KTg&amp;s</t>
  </si>
  <si>
    <t>Pesto Pasta</t>
  </si>
  <si>
    <t>பெஸ்டோ பாஸ்தா</t>
  </si>
  <si>
    <t xml:space="preserve">   Penne Pasta – 2 cups,
   Olive oil – 2-3 tsp,
   Pesto – 2-3 tbsp,
   Parmesan cheese – as needed,
   Salt as needed.</t>
  </si>
  <si>
    <t>பென்னே பாஸ்தா – 2 கப்,
ஆலிவ் எண்ணெய் – 2-3 தேக்கரண்டி,
பெஸ்டோ – 2-3 தேக்கரண்டி,
பர்மேசன் சீஸ் – தேவைக்கேற்ப,
தேவைக்கேற்ப உப்பு.</t>
  </si>
  <si>
    <t>Heat olive oil in a pan over medium heat, add pesto and warm it a little. (refer recipe for Basil Walnut Pesto) 
pesto pasta recipe
Add the cooked pasta and 2 tbsp of the reserved pasta water. Mix well so that it is well coated with the pesto.
Top it with cheese and enjoy delicious pesto pasta warm. (you can use any cheese but parmesan is preferable).</t>
  </si>
  <si>
    <t>ஒரு கடாயில் ஆலிவ் எண்ணெயை மிதமான தீயில் சூடாக்கி, பெஸ்டோவைச் சேர்த்து சிறிது சூடாக்கவும். (பாசில் வால்நட் பெஸ்டோவிற்கான செய்முறையைப் பார்க்கவும்)
பெஸ்டோ பாஸ்தா செய்முறை
சமைத்த பாஸ்தாவையும் 2 தேக்கரண்டி பாஸ்தா தண்ணீரையும் சேர்க்கவும். பெஸ்டோவுடன் நன்கு பூசப்படும்படி நன்கு கலக்கவும்.
அதன் மேல் சீஸ் சேர்த்து சுவையான பெஸ்டோ பாஸ்தாவை சூடாக அனுபவிக்கவும். (நீங்கள் எந்த சீஸையும் பயன்படுத்தலாம், ஆனால் பர்மேசன் விரும்பத்தக்கது).</t>
  </si>
  <si>
    <t>https://encrypted-tbn0.gstatic.com/images?q=tbn:ANd9GcTY2C_OW4fV1dtxVeXV5oE0Qo3Yfjj_Fmyydg&amp;s</t>
  </si>
  <si>
    <t>Avocado Milkshake</t>
  </si>
  <si>
    <t>அவகேடோ மில்க் ஷேக்</t>
  </si>
  <si>
    <t xml:space="preserve">   Avocado -1.
   Milk – 1 1/4 cup (boiled and chilled),
   Sugar or powdered jaggery to taste.</t>
  </si>
  <si>
    <t>அவகேடோ -1.
பால் - 1 1/4 கப் (வேகவைத்து குளிரூட்டப்பட்டது),
சுவைக்கேற்ப சர்க்கரை அல்லது பொடித்த வெல்லம்.</t>
  </si>
  <si>
    <t>Blend the avocado flesh, milk and jaggery until smooth. The milkshake should be of pouring consistency. If it is too thick, add more milk and blend it again. Adjust sugar according to your taste. Pour into a tall glass and enjoy chilled avocado milkshake.</t>
  </si>
  <si>
    <t>அவகேடோ சதை, பால் மற்றும் வெல்லத்தை மென்மையாகும் வரை கலக்கவும். மில்க் ஷேக் ஊற்றும் நிலைத்தன்மையுடன் இருக்க வேண்டும். அது மிகவும் கெட்டியாக இருந்தால், அதிக பால் சேர்த்து மீண்டும் கலக்கவும். உங்கள் சுவைக்கேற்ப சர்க்கரையை சரிசெய்யவும். ஒரு உயரமான கிளாஸில் ஊற்றி குளிர்ந்த அவகேடோ மில்க் ஷேக்கை அனுபவிக்கவும்.</t>
  </si>
  <si>
    <t>https://encrypted-tbn0.gstatic.com/images?q=tbn:ANd9GcS7OfdKpStERGhP5ex2MVabMhiNBV56uHQ0gg&amp;s</t>
  </si>
  <si>
    <t>Beans Thoran</t>
  </si>
  <si>
    <t>பீன்ஸ் தோரன்</t>
  </si>
  <si>
    <t xml:space="preserve">   Beans – 3 cups chopped or 500 grams,
   Salt needed,
   Grated coconut – 1/2 cup,
   Green chilli – 1,
   Garlic – 2,
   Pearl onion – 3,
   Turmeric powder – 1/2 tsp,
   Cumin seeds – 1 tsp,
   Coconut oil – 2 tbsp,
   Mustard seeds – 1 tsp,
   Red Chilli – 1,
   Curry leaves – a sprig.
</t>
  </si>
  <si>
    <t>பீன்ஸ் - 3 கப் நறுக்கியது அல்லது 500 கிராம்,
உப்பு தேவை,
துருவிய தேங்காய் - 1/2 கப்,
பச்சை மிளகாய் - 1,
பூண்டு - 2,
வெங்காயம் - 3,
மஞ்சள் தூள் - 1/2 டீஸ்பூன்,
சீரகம் - 1 டீஸ்பூன்,
தேங்காய் எண்ணெய் - 2 டீஸ்பூன்,
கடுகு - 1 டீஸ்பூன்,
சிவப்பு மிளகாய் - 1,
கறிவேப்பிலை - ஒரு தளிர்.</t>
  </si>
  <si>
    <t>Heat oil in a pan, add mustard seeds, when it splutters, add red chilli and curry leaves.
Beans Thoran Recipe 
Add the coconut mixture and cook for 2-3 minutes on low heat.
Kerala Style French Beans Stir Fry Recipe
Add the chopped beans, salt needed and mix well.
  how to make beans thoran 
Sprinkle water and cook covered, stirring from time to time until the beans becomes tender. You may sprinkle more water if required, in between to prevent it from getting burnt.
French Beans thoran-Kerala style  
Enjoy delicious Beans thoran with steamed rice.</t>
  </si>
  <si>
    <t>ஒரு கடாயில் எண்ணெயை சூடாக்கி, கடுகு சேர்த்து, அது வதங்கியதும், மிளகாய் மற்றும் கறிவேப்பிலை சேர்க்கவும்.
பீன்ஸ் தோரன் செய்முறை
தேங்காய் கலவையைச் சேர்த்து குறைந்த வெப்பத்தில் 2-3 நிமிடங்கள் சமைக்கவும்.
கேரள பாணி பிரஞ்சு பீன்ஸ் வறுக்கவும் செய்முறை
நறுக்கிய பீன்ஸ், தேவையான உப்பு சேர்த்து நன்கு கலக்கவும்.
பீன்ஸ் தோரன் செய்வது எப்படி
தண்ணீர் தெளித்து மூடி வைத்து, பீன்ஸ் மென்மையாகும் வரை அவ்வப்போது கிளறி விடுங்கள். தேவைப்பட்டால், அது கருகாமல் இருக்க, இடையிடையே அதிக தண்ணீர் தெளிக்கலாம்.
பிரஞ்சு பீன்ஸ் தோரன்-கேரள பாணி
சுவையான பீன்ஸ் தோரனை வேகவைத்த சாதத்துடன் உண்டு மகிழுங்கள்.</t>
  </si>
  <si>
    <t>https://encrypted-tbn0.gstatic.com/images?q=tbn:ANd9GcQ-qQa3pbK-IVQZ6eqDcMPTPyJgyvckaHIZDw&amp;s</t>
  </si>
  <si>
    <t>Potato Podimas</t>
  </si>
  <si>
    <t>உருளைக்கிழங்கு பொடிமாஸ்</t>
  </si>
  <si>
    <t xml:space="preserve">   Potatoes – 4 medium size,
  Turmeric powder – 1/4 tsp,
   Lemon – 1,
   Salt needed,
   Oil – 2 tsp,
   Mustard seeds – 1 tsp,
   Urad dal – 2 tsp,
   Bengal gram  – 2 tsp,
   Hing – a pinch,
   Ginger – 1 tsp finely chopped,
   Green Chilli – 1-2 finely chopped,
   Curry Leaves – a sprig,
   Coriander leaves – 1 tbsp finely chopped.</t>
  </si>
  <si>
    <t>உருளைக்கிழங்கு - 4 நடுத்தர அளவு,
மஞ்சள் தூள் - 1/4 தேக்கரண்டி,
எலுமிச்சை - 1,
உப்பு தேவை,
எண்ணெய் - 2 தேக்கரண்டி,
கடுகு - 1 தேக்கரண்டி,
உளுத்தம் பருப்பு - 2 தேக்கரண்டி,
கடலை பருப்பு - 2 தேக்கரண்டி,
பெருங்காயம் - 2 தேக்கரண்டி,
பெருங்காயம் - ஒரு சிட்டிகை,
இஞ்சி - 1 தேக்கரண்டி நன்றாக நறுக்கியது,
பச்சை மிளகாய் - 1-2 நன்றாக நறுக்கியது,
கறிவேப்பிலை - ஒரு தளிர்,
கொத்தமல்லி இலை - 1 தேக்கரண்டி நன்றாக நறுக்கியது.</t>
  </si>
  <si>
    <t>Heat oil in a pan, add mustard seeds, when it splutters, add urad dal, bengal gram (chana dal) and saute until dal turns light golden brown.
Add ginger, green chilli, turmeric powder and curry leaves.
Potato Podimas Recipe
Saute for a few seconds, add crumbled potatoes and salt needed. Mix well and turn off the heat.
Squeeze juice of a fresh lemon and mix well. Garnish with finely chopped coriander leaves and enjoy.</t>
  </si>
  <si>
    <t>ஒரு கடாயில் எண்ணெயை சூடாக்கி, கடுகு சேர்த்து, அது வதங்கியதும், உளுத்தம் பருப்பு, கடலை பருப்பு (சனா பருப்பு) சேர்த்து, பருப்பு லேசான பொன்னிறமாகும் வரை வதக்கவும்.
இஞ்சி, பச்சை மிளகாய், மஞ்சள் தூள் மற்றும் கறிவேப்பிலை சேர்க்கவும்.
உருளைக்கிழங்கு பொடிமாஸ் செய்முறை
சில நொடிகள் வதக்கி, நொறுக்கப்பட்ட உருளைக்கிழங்கு மற்றும் தேவையான உப்பு சேர்க்கவும். நன்றாக கலந்து அடுப்பை அணைக்கவும்.
ஒரு புதிய எலுமிச்சையின் சாற்றை பிழிந்து நன்கு கலக்கவும். இறுதியாக நறுக்கிய கொத்தமல்லி இலைகளால் அலங்கரித்து மசிக்கவும்.</t>
  </si>
  <si>
    <t>https://encrypted-tbn0.gstatic.com/images?q=tbn:ANd9GcTJqVc-vv_kYuhsKrvxkN_IEhQcmeEn0vgQNA&amp;s</t>
  </si>
  <si>
    <t xml:space="preserve">    Poha -1/2 cup,
   Sugar – 1/2 cup,
   Ghee/clarified butter – 1/4 cup,
   Orange food color – a drop,
   Cardamom – 2 pods (powdered) or 1/8 tsp,
   Water – 1 cup,
   Cashewnuts – 5-6.</t>
  </si>
  <si>
    <t>போஹா - 1/2 கப்,
சர்க்கரை - 1/2 கப்,
நெய்/தெளிவுபடுத்தப்பட்ட வெண்ணெய் - 1/4 கப்,
ஆரஞ்சு உணவு நிறம் - ஒரு துளி,
ஏலக்காய் - 2 காய்கள் (பொடித்தது) அல்லது 1/8 தேக்கரண்டி,
தண்ணீர் - 1 கப்,
முந்திரி பருப்பு - 5-6.</t>
  </si>
  <si>
    <t>Boil a cup of water in a pan. When water starts boiling, reduce the heat to low and add the coarsely ground poha slowly with one hand and keep stirring with your other hand.
how to make aval kesari 
Add a drop of orange color or a pinch of kesari powder. Mix well and cook stirring on medium heat.
Beaten rice kesari 
When it thickens slightly, add sugar and a tbsp of ghee.
Avalakki Kesari Bath
Cook stirring for a few more minutes and add another tbsp of ghee.
Keep cooking on medium heat until it leaves the sides of the pan.
Poha Kesari Recipe
Add the rest of the ghee, cardamom powder and cashew nuts. Mix well and remove from heat.</t>
  </si>
  <si>
    <t>ஒரு கப் தண்ணீரை ஒரு பாத்திரத்தில் கொதிக்க வைக்கவும். தண்ணீர் கொதிக்க ஆரம்பித்ததும், தீயைக் குறைத்து, ஒரு கையால் மெதுவாக அரைத்த போஹாவைச் சேர்த்து, மற்றொரு கையால் தொடர்ந்து கிளறவும்.
அவல் கேசரி செய்வது எப்படி
ஒரு துளி ஆரஞ்சு நிறம் அல்லது ஒரு சிட்டிகை கேசரி பொடியைச் சேர்க்கவும். நன்கு கலந்து, மிதமான தீயில் கிளறி சமைக்கவும்.
வெப்பமடைந்த அரிசி கேசரி
சிறிது கெட்டியானதும், சர்க்கரை மற்றும் ஒரு தேக்கரண்டி நெய் சேர்க்கவும்.
அவல்க்கி கேசரி பாத்
சில நிமிடங்கள் கிளறி, மற்றொரு தேக்கரண்டி நெய் சேர்க்கவும்.
அது பாத்திரத்தின் ஓரங்களை விட்டு வெளியேறும் வரை மிதமான தீயில் சமைக்கவும்.
போஹா கேசரி செய்முறை
மீதமுள்ள நெய், ஏலக்காய் பொடி மற்றும் முந்திரி பருப்புகளைச் சேர்த்து நன்கு கலந்து, அடுப்பிலிருந்து இறக்கவும்.</t>
  </si>
  <si>
    <t>https://encrypted-tbn0.gstatic.com/images?q=tbn:ANd9GcTFRDKTi2fIU9LKzhY5xroP6DOFF8Ery_GuoQ&amp;s</t>
  </si>
  <si>
    <t>Coconut Mango Overnight Oats</t>
  </si>
  <si>
    <t>தேங்காய் மாம்பழம் ஓவர்நைட் ஓட்ஸ்</t>
  </si>
  <si>
    <t xml:space="preserve">   Rolled Oats – 1/3 cup,
   Milk – 1/3 cup,
   Ripe Mango – 1/2 cup chopped,
   Grated coconut – 2 tbsp,
   Honey – 1-2 tsp,
   Almonds – 5-6.</t>
  </si>
  <si>
    <t>உருட்டப்பட்ட ஓட்ஸ் - 1/3 கப்,
பால் - 1/3 கப்,
பழுத்த மாம்பழம் - 1/2 கப் நறுக்கியது,
துருவிய தேங்காய் - 2 டீஸ்பூன்,
தேன் - 1-2 டீஸ்பூன்,
பாதாம் - 5-6.</t>
  </si>
  <si>
    <t>Take a glass bowl or mason jar, layer it with rolled oats, top it with milk, chopped mangoes, grated coconut, slivered almonds and honey. Cover it and refrigerator overnight.
Take it out the next morning, mix well, top it with more mango pieces, almonds and grated coconut. Enjoy!</t>
  </si>
  <si>
    <t>ஒரு கண்ணாடி கிண்ணம் அல்லது மேசன் ஜாடியை எடுத்து, அதன் மேல் உருட்டப்பட்ட ஓட்ஸ் அடுக்கி, பால், நறுக்கிய மாம்பழம், துருவிய தேங்காய், துருவிய பாதாம் மற்றும் தேன் ஆகியவற்றை ஊற்றவும். அதை மூடி இரவு முழுவதும் குளிர்சாதன பெட்டியில் வைக்கவும்.
மறுநாள் காலையில் அதை வெளியே எடுத்து, நன்றாக கலந்து, அதன் மேல் மாம்பழ துண்டுகள், பாதாம் மற்றும் துருவிய தேங்காய் ஆகியவற்றைச் சேர்த்து மகிழுங்கள். மகிழுங்கள்!</t>
  </si>
  <si>
    <t>https://thecleaneatingcouple.com/wp-content/uploads/2022/05/mango-overnight-oats-1.jpg</t>
  </si>
  <si>
    <t>Bulgur Wheat Upma</t>
  </si>
  <si>
    <t>புல்கூர் கோதுமை உப்புமா</t>
  </si>
  <si>
    <t xml:space="preserve">   Onion – 1 big,
   Green Chillies – 1-2,
   Ginger – 1 inch piece,
   Beans – 4-5,
   Carrot – 1,
   Capsicum -1 small,
   Bulgur wheat – 1/2 cup,
   Salt to taste,
   Oil – 1 tbsp,
   Mustard seeds – 1 tsp,
   Urad dal – 1 tsp,
   Red Chillies – 2,
   Hing – a pinch,
   Curry leaves – a spring.</t>
  </si>
  <si>
    <t>வெங்காயம் – 1 பெரியது,
பச்சை மிளகாய் – 1-2,
இஞ்சி – 1 அங்குல துண்டு,
பீன்ஸ் – 4-5,
கேரட் – 1,
கேப்சிகம் – 1 சிறியது,
புல்கூர் கோதுமை – 1/2 கப்,
ருசிக்க உப்பு,
எண்ணெய் – 1 டீஸ்பூன்,
கடுகு – 1 டீஸ்பூன்,
உளுத்தம் பருப்பு – 1 டீஸ்பூன்,
சிவப்பு மிளகாய் – 2,
ஹிங் – ஒரு சிட்டிகை,
கறிவேப்பிலை – ஒரு ஸ்பிரிங்.</t>
  </si>
  <si>
    <t>Heat oil in a pan, add mustard seeds, when it splutter, add urad dal, red chillies, hing and curry leaves.
When dal turns golden brown, add finely chopped onions, green chilli and ginger.
sauteing onions
When onion turns transparent, add the vegetables (except capsicum), needed salt and cook covered on medium heat. Sprinkle water if required. Stir in between for even cooking.
Bulgur with mixed vegetables
Once the vegetables are cooked, add the capsicum and cook for a few more minutes.
Add the bulgur, mix well and cook covered for 3-4 minutes.
bulgur upma recipe
Garnish with coriander leaves and serve hot.
how to make bulgur upma 
I had this upma for lunch along with a glass of spiced buttermilk (masala chaas). Try this simple, healthy, nutritious and filling upma either breakfast, lunch or dinner and give me your feedback.</t>
  </si>
  <si>
    <t>ஒரு கடாயில் எண்ணெயை சூடாக்கி, கடுகு சேர்த்து, அது வதங்கியதும், உளுத்தம் பருப்பு, சிவப்பு மிளகாய், ஹிங் மற்றும் கறிவேப்பிலை சேர்க்கவும்.
பருப்பு பொன்னிறமாக மாறியதும், இறுதியாக நறுக்கிய வெங்காயம், பச்சை மிளகாய் மற்றும் இஞ்சி சேர்க்கவும்.
வெங்காயம் தெளிவாகத் தெரிந்ததும், காய்கறிகள் (கேப்சிகம் தவிர), தேவையான உப்பு சேர்த்து மூடி வைத்து மிதமான தீயில் சமைக்கவும். தேவைப்பட்டால் தண்ணீர் தெளிக்கவும். சமமாக சமைக்க இடையில் கிளறவும்.
பல்குர் கலந்த காய்கறிகள்
காய்கறிகள் வெந்தவுடன், கேப்சிகம் சேர்த்து இன்னும் சில நிமிடங்கள் சமைக்கவும்.
பல்குரைச் சேர்த்து, நன்றாகக் கலந்து, மூடி வைத்து 3-4 நிமிடங்கள் சமைக்கவும்.
புல்குர் உப்மா செய்முறை
கொத்தமல்லி இலைகளால் அலங்கரித்து சூடாகப் பரிமாறவும்.
புல்குர் உப்மா செய்வது எப்படி
நான் மதிய உணவாக இந்த உப்மாவை ஒரு கிளாஸ் மசாலா மோர் (மசாலா சாஸ்) உடன் சாப்பிட்டேன். இந்த எளிய, ஆரோக்கியமான, சத்தான மற்றும் நிரப்பு உப்மாவை காலை உணவு, மதிய உணவு அல்லது இரவு உணவாக முயற்சி செய்து உங்கள் கருத்தை எனக்குத் தெரிவிக்கவும்.</t>
  </si>
  <si>
    <t>https://encrypted-tbn0.gstatic.com/images?q=tbn:ANd9GcToWWXo__1FO2L5LbPvn6L8QBmOw_8MPnvy-Q&amp;s</t>
  </si>
  <si>
    <t>Fruit Salad with Ice Cream</t>
  </si>
  <si>
    <t>ஐஸ்கிரீமுடன் கூடிய பழ சாலட்</t>
  </si>
  <si>
    <t xml:space="preserve">   Mixed Fruits – 2 cups,
   Sugar syrup – 4 tsp ,
   Vanilla Ice Cream – 2 generous scoops,
   Assorted nuts – 2 tbsp toasted,
   Wafer biscuit for decoration,
   Cherries for decoration.</t>
  </si>
  <si>
    <t>கலவை பழங்கள் - 2 கப்,
சர்க்கரை சிரப் - 4 டீஸ்பூன்,
வெண்ணிலா ஐஸ்கிரீம் - 2 தாராளமான ஸ்கூப்கள்,
வகைப்படுத்தப்பட்ட கொட்டைகள் - 2 டேபிள்ஸ்பூன் வறுக்கப்பட்டவை,
அலங்காரத்திற்கு வேஃபர் பிஸ்கட்,
அலங்காரத்திற்கு செர்ரிகள்.</t>
  </si>
  <si>
    <t>In a glass bowl/cup, mix together fruits (1 cup), 2 tsp sugar syrup and nuts. Top it with a scoop of vanilla ice cream.
Place a cherry and a wafer biscuit and serve chilled. Repeat the same for another bowl of fruit salad.</t>
  </si>
  <si>
    <t>ஒரு கண்ணாடி கிண்ணம்/கப்பில், பழங்கள் (1 கப்), 2 டேபிள்ஸ்பூன் சர்க்கரை சிரப் மற்றும் கொட்டைகள் ஆகியவற்றை ஒன்றாக கலக்கவும். அதன் மேல் ஒரு ஸ்கூப் வெண்ணிலா ஐஸ்கிரீம் வைக்கவும்.
ஒரு செர்ரி மற்றும் ஒரு வேஃபர் பிஸ்கட்டை வைத்து குளிர்வித்து பரிமாறவும். மற்றொரு கிண்ண பழ சாலட்டிற்கும் இதையே செய்யவும்.</t>
  </si>
  <si>
    <t>https://static.toiimg.com/thumb/60019725.cms?imgsize=287198&amp;width=800&amp;height=800</t>
  </si>
  <si>
    <t>Couscous with Fruits and Nuts-Easy Fruity Couscous</t>
  </si>
  <si>
    <t>பழங்கள் மற்றும் கொட்டைகள் கொண்ட கூஸ்கஸ் - எளிதான பழ கூஸ்கஸ்</t>
  </si>
  <si>
    <t xml:space="preserve">  Couscous – 1/2 cup,
   Sugar – 2 tsp,
   Saffron – 4-5 strands,
   Milk – 1/2 cup,
   Water – 1/2 cup,
   Salt needed,
   Ghee/clarified butter – 2 tsp,
   Almonds -10-15 chopped,
   Pistachio – 10-15 chopped,
   Cashew nuts – 10-15 chopped,
   Raisins – 20,
   Apple – 1/2 cup chopped,
   Pineapple – 1/2 cup chopped,
   Pomegranates – 1/3 cup ,
   Paneer – 10 small cubes,
   Butter – 1 tbsp,
   Cloves – 2,
   Cardamon – 1,
   Cinnamon – 1 inch piece,
   Green Chilli -1 slit,
   Fried Onions – 1 tbsp (optional),
   Coriander leaves -1 tbsp finely chopped.</t>
  </si>
  <si>
    <t>கூஸ்கஸ் - 1/2 கப்,
சர்க்கரை - 2 தேக்கரண்டி,
குங்குமப்பூ - 4-5 இழைகள்,
பால் - 1/2 கப்,
தண்ணீர் - 1/2 கப்,
உப்பு தேவை,
நெய் / தெளித்த வெண்ணெய் - 2 தேக்கரண்டி,
பாதாம் - 10-15 நறுக்கியது,
பிஸ்தா - 10-15 நறுக்கியது,
முந்திரி பருப்பு - 10-15 நறுக்கியது,
திராட்சை - 20,
ஆப்பிள் - 1/2 கப் நறுக்கியது,
அன்னாசி - 1/2 கப் நறுக்கியது,
மாதுளை - 1/3 கப் ,
பனீர் - 10 சிறிய க்யூப்ஸ்,
வெண்ணெய் - 1 டீஸ்பூன்,
கிராம்பு - 2,
ஏலக்காய் - 1,
இலவங்கப்பட்டை - 1 அங்குல துண்டு,
பச்சை மிளகாய் - 1 துண்டு,
வறுத்த வெங்காயம் - 1 தேக்கரண்டி (விரும்பினால்),
கொத்தமல்லி இலை - 1 தேக்கரண்டி பொடியாக நறுக்கியது.</t>
  </si>
  <si>
    <t>Heat butter in a pan, add cloves, cinnamon, cardamom and green chilli. Saute for a few seconds and then add the couscous and needed salt.
Mix well so that the couscous is well coated with the butter. Switch off the heat.
Easy Fruity Couscous Recipe
Add the nuts, raisins and paneer.
easy couscous with fruits and nuts 
Add all the fruits and gently mix to combine.
how to make couscous with fruits and nuts 
Garnish with finely chopped coriander leaves and fried onions.
It can be had on its own or if preferred enjoy it with any onion tomato gravy.
You will love my other Couscous Recipes.</t>
  </si>
  <si>
    <t>ஒரு பாத்திரத்தில் வெண்ணெயை சூடாக்கி, கிராம்பு, இலவங்கப்பட்டை, ஏலக்காய் மற்றும் பச்சை மிளகாய் சேர்த்து, சில நொடிகள் வதக்கி, பின்னர் கூஸ்கஸையும் தேவையான உப்பையும் சேர்க்கவும்.
கூஸ்கஸ் வெண்ணெய் நன்றாகப் பூசும்படி நன்கு கலக்கவும். அடுப்பை அணைக்கவும்.
எளிதான பழ கூஸ்கஸ் செய்முறை
நட்ஸ், திராட்சை மற்றும் பனீர் சேர்க்கவும்.
பழங்கள் மற்றும் கொட்டைகளுடன் எளிதான கூஸ்கஸ்
அனைத்து பழங்களையும் சேர்த்து மெதுவாக கலக்கவும்.
பழங்கள் மற்றும் கொட்டைகளுடன் கூஸ்கஸ் செய்வது எப்படி
பொடியாக நறுக்கிய கொத்தமல்லி இலைகள் மற்றும் வறுத்த வெங்காயத்தால் அலங்கரிக்கவும்.
இதை தனியாக சாப்பிடலாம் அல்லது விரும்பினால் எந்த வெங்காய தக்காளி கிரேவியுடனும் அனுபவிக்கலாம்.
நீங்கள் எனது மற்ற கூஸ்கஸ் ரெசிபிகளை விரும்புவீர்கள்.</t>
  </si>
  <si>
    <t>https://encrypted-tbn0.gstatic.com/images?q=tbn:ANd9GcQW7VsHGxNR5Zm1c0G9vpWV0HPaZWHDoSy5Tw&amp;s</t>
  </si>
  <si>
    <t>Mango Falooda</t>
  </si>
  <si>
    <t>மாம்பழ பலூடா</t>
  </si>
  <si>
    <t xml:space="preserve">  Milk -1 1/2 cup,
   Falooda Sev – 1 cup cooked,
   Basil seeds– 1/2 tbsp,
   Chopped mangoes – 1 cup,
   Mango Puree – 1 cup,
   Sugar as needed,
   Almonds – 10-12,
   Pistachio – 10-12,
   Cashew nuts -10-12,
   Glazed cherry – 2 tbsp chopped,
   Vanilla Ice cream – 2 generous scoops.
</t>
  </si>
  <si>
    <t>பால் - 1 1/2 கப்,
பலூடா சேவ் - 1 கப் சமைத்த,
துளசி விதைகள் - 1/2 டீஸ்பூன்,
நறுக்கிய மாம்பழம் - 1 கப்,
மாம்பழ கூழ் - 1 கப்,
தேவைக்கேற்ப சர்க்கரை,
பாதாம் - 10-12,
பிஸ்தா - 10-12,
முந்திரி பருப்பு - 10-12,
மெருகூட்டப்பட்ட செர்ரி - 2 டீஸ்பூன் நறுக்கியது,</t>
  </si>
  <si>
    <t>Layer the bottom of the glass with sweetened mango puree.
On top of it spread a layer of sabja seeds.
layering mango falooda
On top of the sabja seeds layer, spread a layer of falooda sev followed by a layer of mango pieces.
how to prepare mango falooda
Then add chopped assorted nuts and cherries.
adding nuts and cherries to falooda
Now add the chilled sweetened milk.
easy mango falooda recipe 
Add a generous scoop of vanilla ice cream and tops it with nuts, cherries, and mango pieces.
how to make mango falooda
Decorate it with a whole cherry and serve chilled. Enjoy!! Repeat the same for another glass of mango falooda.</t>
  </si>
  <si>
    <t>வெண்ணிலா ஐஸ்கிரீம் - 2 தாராளமான ஸ்கூப்கள்.
இப்போது நாம் அடுக்கி வைக்கத் தொடங்குவோம்-
கண்ணாடியின் அடிப்பகுதியில் இனிப்பு கலந்த மாம்பழ கூழ் வைக்கவும்.
அதன் மேல் சப்ஜா விதைகளை அடுக்கி வைக்கவும்.
மாம்பழ பலூடாவை அடுக்கி வைக்கவும்
சப்ஜா விதைகளின் மேல், ஒரு அடுக்கு பலூடா சேவைத் தொடர்ந்து ஒரு அடுக்கு மாம்பழ துண்டுகளைப் பரப்பவும்.
மாம்பழ பலூடாவை எப்படி தயாரிப்பது
பின்னர் நறுக்கிய கொட்டைகள் மற்றும் செர்ரிகளைச் சேர்க்கவும்.
ஃபலூடாவுடன் கொட்டைகள் மற்றும் செர்ரிகளைச் சேர்க்கவும்
இப்போது குளிர்ந்த இனிப்புப் பாலை சேர்க்கவும்.
எளிதான மாம்பழ ஃபலூடா செய்முறை
ஒரு தாராளமான ஸ்கூப் வெண்ணிலா ஐஸ்கிரீமைச் சேர்த்து, அதன் மேல் கொட்டைகள், செர்ரிகள் மற்றும் மாம்பழத் துண்டுகளைச் சேர்க்கவும்.
மாம்பழ ஃபலூடா செய்வது எப்படி
முழு செர்ரி பழத்தால் அலங்கரித்து குளிர்ச்சியாகப் பரிமாறவும். மகிழுங்கள்!! மற்றொரு கிளாஸ் மாம்பழ ஃபலூடாவிற்கும் இதையே மீண்டும் செய்யவும்.</t>
  </si>
  <si>
    <t>https://encrypted-tbn0.gstatic.com/images?q=tbn:ANd9GcQRj6Rtoq5RPhDOp8EVQcUJWuNk6RQtLyLq0g&amp;s</t>
  </si>
  <si>
    <t>Mango Mastani</t>
  </si>
  <si>
    <t>மாம்பழ மஸ்தானி</t>
  </si>
  <si>
    <t xml:space="preserve">   Mango -1 1/2 cup chopped,
   Chilled Milk – 1/3 cup,
   Sugar – as needed,
   Vanilla Ice cream – 2 large scoops,
   Mangoes cubes -as needed,
   Almonds – 10-12,
   Pistachio – 10-12,
   Cashew nuts – 10-12,
   Glazed Cherry – 4-5.</t>
  </si>
  <si>
    <t>மாம்பழம் - 1 1/2 கப் நறுக்கியது,
குளிர்ந்த பால் - 1/3 கப்,
சர்க்கரை - தேவைக்கேற்ப,
வெண்ணிலா ஐஸ்கிரீம் - 2 பெரிய ஸ்கூப்கள்,
மாம்பழம் துண்டுகள் - தேவைக்கேற்ப,
பாதாம் - 10-12,
பிஸ்தா - 10-12,
முந்திரி பருப்பு - 10-12,
மெருகூட்டப்பட்ட செர்ரி - 4-5.</t>
  </si>
  <si>
    <t>Peel the skin and chop mangoes roughly. Blend it with 1/3 cup of chilled milk, needed sugar to make a thick puree. The mango puree should be thick and not runny.
Take a glass and fill up to 3/4 of the glass with thick milkshake.
Now top it with a generous scoop of ice cream. Then garnish with chopped mango cubes, chopped nuts and cherries.
Decorate it with a cherry and serve immediately.
Repeat the same process for another glass of mango mastani.
Mango Mastani makes a delicious treat for all mango lovers.</t>
  </si>
  <si>
    <t>தோலை உரித்து மாம்பழத்தை தோராயமாக நறுக்கவும். 1/3 கப் குளிர்ந்த பாலுடன் கலக்கவும், தடிமனான கூழ் தயாரிக்க சர்க்கரை தேவை. மாம்பழ கூழ் தடிமனாக இருக்க வேண்டும் மற்றும் நீர் வடியாமல் இருக்க வேண்டும்.
ஒரு கிளாஸை எடுத்து, கிளாஸின் 3/4 வரை அடர்த்தியான மில்க் ஷேக்கால் நிரப்பவும்.
இப்போது அதன் மேல் ஒரு தாராளமான ஸ்கூப் ஐஸ்கிரீம் ஊற்றவும். பின்னர் நறுக்கிய மாம்பழ க்யூப்ஸ், நறுக்கிய கொட்டைகள் மற்றும் செர்ரிகளால் அலங்கரிக்கவும்.
ஒரு செர்ரியால் அலங்கரித்து உடனடியாக பரிமாறவும்.
மற்றொரு கிளாஸ் மாம்பழ மஸ்தானிக்கு அதே செயல்முறையை மீண்டும் செய்யவும்.
மாம்பழ மஸ்தானி அனைத்து மாம்பழ பிரியர்களுக்கும் ஒரு சுவையான விருந்தாகும்.</t>
  </si>
  <si>
    <t>https://encrypted-tbn0.gstatic.com/images?q=tbn:ANd9GcStyTojjsqTSQiXFVbHBE-XI4Hoj4MtQfgEFw&amp;s</t>
  </si>
  <si>
    <t>வெள்ளரி பழம் மில்க் ஷேக்</t>
  </si>
  <si>
    <t xml:space="preserve">   Cucumber fruit – 1 cup chopped,
   Chilled Milk – 1 cup,
   Sugar to taste,
   Ice cubes – 2-3.</t>
  </si>
  <si>
    <t>வெள்ளரி பழம் - 1 கப் நறுக்கியது,
குளிர்ந்த பால் - 1 கப்,
சுவைக்கேற்ப சர்க்கரை,
ஐஸ் கட்டிகள் - 2-3.</t>
  </si>
  <si>
    <t>Wash, peel the skin and remove the seeds. Chop the vellari palam roughly.
Blend the cucumber fruit with 1/4 cup of milk to a smooth paste. Then add the rest of the milk, needed sugar, ice cubes and blend it smoothly.
Refrigerate it and enjoy chilled.
Beat the summer heat with a chilled glass of refreshing cucumber fruit milkshake.</t>
  </si>
  <si>
    <t>கழுவி, தோலை உரித்து, விதைகளை நீக்கவும். வெள்ளரி பழத்தை தோராயமாக நறுக்கவும்.
வெள்ளரி பழத்தை 1/4 கப் பாலுடன் ஒரு மென்மையான பேஸ்டாக கலக்கவும். பின்னர் மீதமுள்ள பால், தேவையான சர்க்கரை, ஐஸ் கட்டிகள் சேர்த்து நன்கு கலக்கவும்.
குளிர்சாதன பெட்டியில் வைத்து குளிர்ச்சியாக மகிழுங்கள்.
கோடை வெப்பத்தை ஒரு கிளாஸ் புத்துணர்ச்சியூட்டும் வெள்ளரி பழ மில்க் ஷேக்குடன் வெல்லுங்கள்.</t>
  </si>
  <si>
    <t>https://encrypted-tbn0.gstatic.com/images?q=tbn:ANd9GcSg3dKQcLXfdFktfpOEjvqxM2sztndghCcLag&amp;s</t>
  </si>
  <si>
    <t>Tomato Semiya</t>
  </si>
  <si>
    <t>தக்காளி சேமியா</t>
  </si>
  <si>
    <t xml:space="preserve">   Vermicelli – 150 grams,
   Oil – 1/2 tsp for cooking semiya,
   Onion – 1 cup chopped,
   Ginger garlic paste – 1 tsp,
   Green chilli – 2 slit,
   Tomato – 3-4 medium juicy tomatoes,
   Turmeric powder -1/4 tsp,
   Sambar powder – 2 tsp,
   Salt needed,
   Oil – 2 tbsp,
   Mustard seeds – 1 tsp,
   Curry leaves – a sprig,
   Cashew nuts – 4-5 (optional),
   Coriander leaves – 2 tbsp finely chopped.</t>
  </si>
  <si>
    <t>சேமியா - 150 கிராம்,
எண்ணெய் - 1/2 தேக்கரண்டி சேமியா சமைக்க,
வெங்காயம் - 1 கப் நறுக்கியது,
இஞ்சி பூண்டு விழுது - 1 தேக்கரண்டி,
பச்சை மிளகாய் - 2 துண்டுகள்,
தக்காளி - 3-4 நடுத்தர ஜூசி தக்காளி,
மஞ்சள் தூள் - 1/4 தேக்கரண்டி,
சாம்பார் பொடி - 2 தேக்கரண்டி,
உப்பு தேவை,
எண்ணெய் - 2 தேக்கரண்டி,
கடுகு - 1 தேக்கரண்டி,
கறிவேப்பிலை - ஒரு தளிர்,
முந்திரி பருப்பு - 4-5 (விருப்பப்பட்டால்),
கொத்தமல்லி இலை - 2 தேக்கரண்டி நன்றாக நறுக்கியது.</t>
  </si>
  <si>
    <t>Heat oil in a pan, add mustard seeds, when it splutters, add chopped onions and curry leaves.
When onion turns transparent, add ginger-garlic paste, green chillies and saute for a few more minutes.
sauteing onions 
Add tomato puree, turmeric powder, sambar powder, salt needed and cook on medium heat.
 how to prepare tomato vermicelli
Cook until the rawness of the tomato goes and it starts to leave oil.
how to make tomato semiya
Add the cooked semiya and mix well so that it is well coated with the tomato mixture.
Thakkali Semiya
Garnish with coriander leaves, cashew nuts and serve hot with onion raita or pickle.</t>
  </si>
  <si>
    <t>ஒரு கடாயில் எண்ணெயை சூடாக்கி, கடுகு சேர்த்து, அது வதங்கியதும், நறுக்கிய வெங்காயம் மற்றும் கறிவேப்பிலை சேர்க்கவும்.
வெங்காயம் தெளிவாகத் தெரிந்ததும், இஞ்சி-பூண்டு விழுது, பச்சை மிளகாய் சேர்த்து மேலும் சில நிமிடங்கள் வதக்கவும்.
வெங்காயம் வதக்கவும்
தக்காளி கூழ், மஞ்சள் தூள், சாம்பார் பொடி, தேவையான உப்பு சேர்த்து மிதமான தீயில் வதக்கவும்.
தக்காளி சேமியா தயாரிப்பது எப்படி
தக்காளியின் பச்சைத்தன்மை போய் எண்ணெய் வெளியேற ஆரம்பிக்கும் வரை சமைக்கவும்.
தக்காளி சேமியா செய்வது எப்படி
சமைத்த சேமியாவைச் சேர்த்து, தக்காளி கலவையுடன் நன்கு பூசப்படும் வரை நன்கு கலக்கவும்.
தக்கலி சேமியா
கொத்தமல்லி இலைகள், முந்திரி பருப்புகள் சேர்த்து அலங்கரித்து, வெங்காய ரைத்தா அல்லது ஊறுகாயுடன் சூடாகப் பரிமாறவும்.</t>
  </si>
  <si>
    <t>https://encrypted-tbn0.gstatic.com/images?q=tbn:ANd9GcQD2PT_holPkQ4rKqgyPe3RBvy21c5n9QPDYw&amp;s</t>
  </si>
  <si>
    <t>Rava Kara Kuzhi Paniyaram</t>
  </si>
  <si>
    <t>ரவா கர குழி பணியாரம்</t>
  </si>
  <si>
    <t>1/2 cup - Rava/somolina/sooji,
1/4 cup - Curd,
1- Onion,
1 inch - Ginger (grated or finely chopped),
1 - Green chilli,
1/4 cup - Grated carrot,
2 tbsp - Coriander leaves (finely chopped),
1/8 tsp - Cooking soda or baking soda,
Salt needed,
2 tsp Oil,
1 tsp - Mustard seeds,
2 tsp - Urad dal,
2 tsp - Bengal gram dal/chana dal,
Curry leaves (few tender ones).</t>
  </si>
  <si>
    <t>1/2 கப் - ரவா/சோமோலினா/சூஜி,
1/4 கப் - தயிர்,
1- வெங்காயம்,
1 அங்குலம் - இஞ்சி (துருவியது அல்லது இறுதியாக நறுக்கியது),
1 - பச்சை மிளகாய்,
1/4 கப் - துருவிய கேரட்,
2 டேபிள்ஸ்பூன் - கொத்தமல்லி இலைகள் (நன்றாக நறுக்கியது),
1/8 டேபிள்ஸ்பூன் - சமையல் சோடா அல்லது பேக்கிங் சோடா,
தேவையான உப்பு,
2 டேபிள்ஸ்பூன் எண்ணெய்,
1 டேபிள்ஸ்பூன் - கடுகு,
2 டேபிள்ஸ்பூன் - உளுத்தம் பருப்பு,
2 டேபிள்ஸ்பூன் - கடலை பருப்பு/சனா பருப்பு,
கறிவேப்பிலை (சில மென்மையானவை).</t>
  </si>
  <si>
    <t>In a bowl, mix rava and curd together with a little water. Let it stand for 1 hour.
Heat oil in a kadai/pan, add mustard seeds, when it splutters, add urad dal and bengal gram dal (channa dal). When dal turns golden brown, add finely chopped onions, green chillies, ginger and saute until onions turn transparent.
Add the onion mixture, grated carrot, coriander leaves, salt needed, cooking soda to the rava + curd mixture and mix well. Add needed water to get idli batter consistency.
Heat a paniyaram pan /appe pan, add 1/4 - 1/2 tsp of oil inside the holes.
Fill the cavities with the rava batter.
Cook covered on low heat.
When the sides starts leaving, flip it over to the other side using a spoon. Cook on low heat until it browns. You can flip 2-3 times and cook until it browns evenly on all the sides.
Repeat the same process for the rest of the batter.</t>
  </si>
  <si>
    <t>ஒரு பாத்திரத்தில், ரவா மற்றும் தயிரை சிறிது தண்ணீரில் கலக்கவும். 1 மணி நேரம் அப்படியே வைக்கவும்.
ஒரு கடாயில் எண்ணெயை சூடாக்கி, கடுகு சேர்த்து, அது வதங்கியதும், உளுத்தம் பருப்பு மற்றும் வங்காளம் பருப்பு (சன்னா பருப்பு) சேர்க்கவும். பருப்பு பொன்னிறமாக மாறியதும், இறுதியாக நறுக்கிய வெங்காயம், பச்சை மிளகாய், இஞ்சி சேர்த்து வெங்காயம் தெளிவாகும் வரை வதக்கவும்.
வெங்காய கலவை, துருவிய கேரட், கொத்தமல்லி இலைகள், தேவையான உப்பு, சமையல் சோடா ஆகியவற்றை ரவை + தயிர் கலவையில் சேர்த்து நன்கு கலக்கவும். இட்லி மாவு நிலைத்தன்மை பெற தேவையான தண்ணீர் சேர்க்கவும்.
பணியாரம் பாத்திரம் / அப்பே பாத்திரத்தை சூடாக்கி, துளைகளுக்குள் 1/4 - 1/2 தேக்கரண்டி எண்ணெயைச் சேர்க்கவும்.
ரவை மாவை குழிகளில் நிரப்பவும்.
மூடி வைத்து குறைந்த தீயில் சமைக்கவும்.
பக்கவாட்டுகள் வெளியேறத் தொடங்கியதும், ஒரு கரண்டியால் மறுபுறம் திருப்பி வைக்கவும். குறைந்த தீயில் அது பழுப்பு நிறமாகும் வரை சமைக்கவும். நீங்கள் 2-3 முறை திருப்பி, அனைத்து பக்கங்களிலும் சமமாக பழுப்பு நிறமாகும் வரை சமைக்கலாம்.
மீதமுள்ள மாவுக்கும் இதே செயல்முறையை மீண்டும் செய்யவும்.</t>
  </si>
  <si>
    <t>https://premasculinary.com/wp-content/uploads/2021/11/Oats-Paniyaram-recipe-How-to-make-Oats-Rava-Kuzhi-Paniyaram-and-Kara-Chutney-768x1024.jpg</t>
  </si>
  <si>
    <t>Mango Yogurt Popsicles</t>
  </si>
  <si>
    <t>மாம்பழ தயிர் பாப்சிகல்ஸ்</t>
  </si>
  <si>
    <t xml:space="preserve">   Mango Pulp – 1/2 cup,
   Greek Yogurt – 1 cup ,
   Powdered sugar as needed.</t>
  </si>
  <si>
    <t>மாம்பழ கூழ் - 1/2 கப்,
கிரேக்க தயிர் - 1 கப்,
தேவைக்கேற்ப பொடித்த சர்க்கரை.</t>
  </si>
  <si>
    <t>To make mango puree, blend mangoes without water. Mix needed sugar and keep it aside.
Mix greek yogurt until smooth using a spoon or fork. Add needed sugar and keep it aside (I added 2 1/2 tbsp of powdered sugar).
Now add 1/4 cup of greek yogurt to the mango puree and mix well.
Keep the above mango mixture and the greek yogurt inside the refrigerator for 40 minutes.
Mango Yogurt layered Popsicles 
Take it out of the refrigerator. Now we will layer it in popsicle molds 
Add a layer of mango mixture, then add a layer of greek yogurt. Then again a layer of mango mixture, followed by greek yogurt mixture. Continue to layer alternating between mango mixture and greek yogurt until you fill the molds.
how to make mango yogurt popsicles 
Insert the stick and freeze for 4-5 hours or until firm (I kept it overnight).</t>
  </si>
  <si>
    <t>மாம்பழ கூழ் தயாரிக்க, மாம்பழத்தை தண்ணீர் இல்லாமல் கலக்கவும். தேவையான சர்க்கரையை கலந்து தனியாக வைக்கவும்.
ஒரு கரண்டி அல்லது முட்கரண்டியைப் பயன்படுத்தி கிரேக்க தயிரை மென்மையாகும் வரை கலக்கவும். தேவையான சர்க்கரையைச் சேர்த்து தனியாக வைக்கவும் (நான் 2 1/2 டேபிள்ஸ்பூன் தூள் சர்க்கரையைச் சேர்த்தேன்).
இப்போது மாம்பழ கூழில் 1/4 கப் கிரேக்க தயிர் சேர்த்து நன்றாக கலக்கவும்.
மேற்கண்ட மாம்பழ கலவையையும் கிரேக்க தயிரையையும் குளிர்சாதன பெட்டியில் 40 நிமிடங்கள் வைக்கவும்.
மாம்பழ தயிர் அடுக்கு பாப்சிகல்ஸ்
அதை குளிர்சாதன பெட்டியில் இருந்து வெளியே எடுக்கவும். இப்போது நாம் அதை பாப்சிகல் அச்சுகளில் அடுக்குவோம்
மாம்பழ கலவையை ஒரு அடுக்கு சேர்த்து, பின்னர் கிரேக்க தயிர் ஒரு அடுக்கு சேர்க்கவும். பின்னர் மீண்டும் ஒரு அடுக்கு மாம்பழ கலவையை, அதைத் தொடர்ந்து கிரேக்க தயிர் கலவையை. அச்சுகள் நிரம்பும் வரை மாம்பழ கலவைக்கும் கிரேக்க தயிருக்கும் இடையில் மாறி மாறி அடுக்கி வைக்கவும்.
மாம்பழ தயிர் பாப்சிகல்ஸ் செய்வது எப்படி
குச்சியைச் செருகி 4-5 மணி நேரம் அல்லது உறுதியாகும் வரை உறைய வைக்கவும் (நான் அதை இரவு முழுவதும் வைத்திருந்தேன்).</t>
  </si>
  <si>
    <t>https://encrypted-tbn0.gstatic.com/images?q=tbn:ANd9GcTfD26oVgDtLYaCzZsxnsyhT_roYKSnn0Prug&amp;s</t>
  </si>
  <si>
    <t>Mango Rava Cake</t>
  </si>
  <si>
    <t xml:space="preserve">
மாம்பழ ரவை கேக்</t>
  </si>
  <si>
    <t xml:space="preserve">   Fine Semolina -1 cup,,
   Mango Pulp – 1 cup (thick)
   White Sugar – 3/4 – 1 cup,
   Oil – 1/4 cup any flavorless oil,
   Cardamom powder – 1/2 tsp,
   Baking powder – 3/4 tsp,
   Chopped nuts – 1/3 cup (optional).</t>
  </si>
  <si>
    <t>நன்றாக ரவை - 1 கப்,,
மாம்பழ கூழ் - 1 கப் (தடித்தது)
வெள்ளை சர்க்கரை - 3/4 - 1 கப்,
எண்ணெய் - 1/4 கப் மணமற்ற எண்ணெய்,
ஏலக்காய் தூள் - 1/2 தேக்கரண்டி,
பேக்கிங் பவுடர் - 3/4 தேக்கரண்டி,
நறுக்கிய கொட்டைகள் - 1/3 கப் (விரும்பினால்).</t>
  </si>
  <si>
    <t>Keep all the ingredients ready. Make sure to use fine rava. As I could not get fine rava in my place, I ground the upma rava to a fine texture (not powder) and used it to make this cake.
Powder sugar and keep it ready. If you prefer it too sweet, you may add 1 cup of sugar. It also depends on the sweetness of the mangoes. 
Sliver almonds and pistachio and keep it ready.
Grease and flour the baking tin as you usually do when baking cakes or line the pan with parchment paper.
I used 2 medium sized alphonso mangoes to get 1 cup of mango pulp. Do not add water while pureeing the mangoes as the mango pulp should be thick and not watery. It is preferable to use alphonso mangoes as it gives a nice color and taste to the cake.
Eggless Mango Semolina Cake
In a bowl, mix fine rava, powdered sugar, cardamom powder and baking powder well.
mango sooji cake
Add oil to the above and mix well.
mixing rava mixture with oil 
Add mango pulp and mix well.
how to prepare mango sooji cake 
Let it sit for 15 minutes.</t>
  </si>
  <si>
    <t>அனைத்து பொருட்களையும் தயாராக வைத்திருங்கள். நன்றாக ரவையைப் பயன்படுத்துவதை உறுதிப்படுத்திக் கொள்ளுங்கள். எனக்குப் பதிலாக நன்றாக ரவை கிடைக்காததால், நான் உப்புமா ரவையை நன்றாக அரைத்து (பொடி அல்ல) இந்த கேக்கைத் தயாரிக்கப் பயன்படுத்தினேன்.
சர்க்கரையைப் பொடி செய்து தயாராக வைத்திருங்கள். நீங்கள் மிகவும் இனிப்பாக விரும்பினால், நீங்கள் 1 கப் சர்க்கரையைச் சேர்க்கலாம். இது மாம்பழத்தின் இனிப்பைப் பொறுத்தது.
பாதாம் மற்றும் பிஸ்தாவைத் துருவிப் போட்டு தயாராக வைக்கவும்.
கேக்குகளை சுடும்போது அல்லது வாணலியை காகிதத்தோலால் வரிசைப்படுத்தும்போது பேக்கிங் டின்னில் கிரீஸ் செய்து மாவு தடவவும்.
1 கப் மாம்பழ கூழ் எடுக்க நான் 2 நடுத்தர அளவிலான அல்போன்சா மாம்பழங்களைப் பயன்படுத்தினேன். மாம்பழ கூழ் தடிமனாகவும், நீர்ச்சத்துள்ளதாகவும் இருக்கக்கூடாது என்பதால் மாம்பழத்தை கூழ் செய்யும் போது தண்ணீர் சேர்க்க வேண்டாம். அல்போன்சா மாம்பழங்களைப் பயன்படுத்துவது நல்லது, ஏனெனில் இது கேக்கிற்கு நல்ல நிறத்தையும் சுவையையும் தருகிறது.
முட்டை இல்லாத மாம்பழ ரவை கேக்
ஒரு பாத்திரத்தில், நன்றாக ரவை, தூள் சர்க்கரை, ஏலக்காய் தூள் மற்றும் பேக்கிங் பவுடரை நன்கு கலக்கவும்.
மாம்பழ சூஜி கேக்
மேலே உள்ளவற்றுடன் எண்ணெய் சேர்த்து நன்கு கலக்கவும்.
ரவை கலவையை எண்ணெயுடன் கலக்கவும்
மாம்பழ கூழ் சேர்த்து நன்கு கலக்கவும்.
மாம்பழ சூஜி கேக்கை எப்படி தயாரிப்பது
15 நிமிடங்கள் அப்படியே வைக்கவும்.</t>
  </si>
  <si>
    <t>https://i.ytimg.com/vi/9ZIol05luFw/maxresdefault.jpg</t>
  </si>
  <si>
    <t>Boondi Raita</t>
  </si>
  <si>
    <t>பூந்தி ரைத்தா</t>
  </si>
  <si>
    <t xml:space="preserve">
   Boondi – 1 cup,
   Thick Curd – 1 1/2 cup or as needed,
   Chilli powder- 1/2 tsp,
   Roasted cumin powder -3/4 tsp,
   Coriander leaves – 2 tbsp finely chopped,
   Salt to taste.</t>
  </si>
  <si>
    <t>பூந்தி - 1 கப்,
தடிமனான தயிர் - 1 1/2 கப் அல்லது தேவைக்கேற்ப,
மிளகாய் தூள் - 1/2 தேக்கரண்டி,
வறுத்த சீரகப் பொடி -3/4 தேக்கரண்டி,
கொத்தமல்லி இலைகள் - 2 தேக்கரண்டி நன்றாக நறுக்கியது,
ருசிக்கேற்ப உப்பு.</t>
  </si>
  <si>
    <t xml:space="preserve">Whisk curd until smooth.
Add half of the chilli powder, roasted cumin powder and mix well.
Add boondi (ready made boondi or homemade boondi), salt needed and mix well. Garnish with the remaining chilli powder, roasted cumin powder and finely chopped coriander leaves.
Serve chilled with any pulao, biryani or parathas.
You can prepare this 15-20 minutes before your meals and refrigerate it.
If you prefer crispy boondis, add boondi to the spiced yogurt before serving. </t>
  </si>
  <si>
    <t>தயிர் மென்மையாகும் வரை அடிக்கவும்.
மிளகாய்த் தூளில் பாதி, வறுத்த சீரகப் பொடி சேர்த்து நன்கு கலக்கவும்.
பூந்தி (ரெடிமேட் பூந்தி அல்லது வீட்டில் பூந்தி), தேவையான உப்பு சேர்த்து நன்கு கலக்கவும். மீதமுள்ள மிளகாய்த் தூள், வறுத்த சீரகப் பொடி மற்றும் இறுதியாக நறுக்கிய கொத்தமல்லி இலைகளால் அலங்கரிக்கவும்.
புலாவ், பிரியாணி அல்லது பராத்தாவுடன் குளிர்வித்து பரிமாறவும்.
நீங்கள் இதை உங்கள் உணவுக்கு 15-20 நிமிடங்களுக்கு முன்பு தயாரித்து குளிர்சாதன பெட்டியில் வைக்கலாம்.
நீங்கள் மொறுமொறுப்பான பூந்திகளை விரும்பினால், பரிமாறும் முன் மசாலா தயிரில் பூந்தியைச் சேர்க்கவும்.</t>
  </si>
  <si>
    <t>https://encrypted-tbn0.gstatic.com/images?q=tbn:ANd9GcQmnZls_Jm1VRY8_cO19HuD2RDsDrI-Py1bHw&amp;s</t>
  </si>
  <si>
    <t>Bottle Gourd Rice</t>
  </si>
  <si>
    <t>சுரைக்காய் சாதம்</t>
  </si>
  <si>
    <t xml:space="preserve">   Rice – 1 cup (basmati or regular rice),
   Bottle gourd – 3 cups chopped,
   Green peas – 1/3 cup fresh or frozen,
   Onion – 1 cup or 2 big onions,
   Green chillies – 2 slit,
   Ginger garlic paste – 1 tsp,
   Turmeric powder – 1/4 tsp,
   Coriander powder – 1 tsp,
   Salt to taste,
   Oil – 2 tbsp,
   Ghee – 2 tsp,
   Cumin seeds – 1 tsp,
   Whole black peppercorns – 3-4,
   Cinnamon – 1/2 inch stick,
   Cloves – 3,
   Curry leaves – a sprig,
   Coriander leaves – 2 tbsp finely chopped.</t>
  </si>
  <si>
    <t>அரிசி - 1 கப் (பாஸ்மதி அல்லது சாதாரண அரிசி),
சுரைக்காய் - 3 கப் நறுக்கியது,
பச்சை பட்டாணி - 1/3 கப் புதிய அல்லது உறைந்த,
வெங்காயம் - 1 கப் அல்லது 2 பெரிய வெங்காயம்,
பச்சை மிளகாய் - 2 துண்டுகள்,
இஞ்சி பூண்டு விழுது - 1 தேக்கரண்டி,
மஞ்சள் தூள் - 1/4 தேக்கரண்டி,
கொத்தமல்லி தூள் - 1 தேக்கரண்டி,
சுவைக்கு உப்பு,
எண்ணெய் - 2 தேக்கரண்டி,
நெய் - 2 தேக்கரண்டி,
சீரகம் - 1 தேக்கரண்டி,
முழு கருப்பு மிளகு - 3-4,
இலவங்கப்பட்டை - 1/2 அங்குல குச்சி,
கிராம்பு - 3,
கறிவேப்பிலை - ஒரு தளிர்,
கொத்தமல்லி இலை - 2 தேக்கரண்டி நன்றாக நறுக்கியது.</t>
  </si>
  <si>
    <t>Heat oil + ghee in a pan, add cumin seeds, when it sizzles, add cloves, cinnamon and whole black peppercorns.
Saute for a few seconds and then add onions, green chillies and curry leaves.
sauteing onions 
Saute until onions turn light brown. Add ginger garlic paste and saute for a few more seconds.
Add coriander powder, turmeric powder and salt needed.
lauki pulao recipe 
Add chopped bottle gourd, green peas and mix well. Add soaked and drained rice.
how to make bottle gourd rice 
Mix well and add 2 cups of water. Check for salt by tasting the water. If required add at this stage.
Bottle gourd rice recipe 
When water starts boiling, close the cooker and cook on low heat (without the whistle) until the rice is cooked. You can open the cooker in between, mix again and continue to cook until the rice is fully cooked. 
Garnish with finely chopped coriander leaves. Fluff it with a fork and serve hot.
Sorakkai Rice/sadam
Simple and delicious bottle gourd rice/lauki pulao is ready. You can serve it with raita or any spicy gravy. As the pulao is a bit plain, a spicy gravy goes well with it.</t>
  </si>
  <si>
    <t>ஒரு கடாயில் எண்ணெய் + நெய்யை சூடாக்கி, சீரக விதைகளைச் சேர்த்து, அது கொதிக்கும் போது, ​​கிராம்பு, இலவங்கப்பட்டை மற்றும் முழு கருப்பு மிளகு சேர்க்கவும்.
சில நொடிகள் வதக்கி, பின்னர் வெங்காயம், பச்சை மிளகாய் மற்றும் கறிவேப்பிலை சேர்க்கவும்.
வெங்காயம் வதக்குதல்
வெங்காயம் வெளிர் பழுப்பு நிறமாக மாறும் வரை வதக்கவும். இஞ்சி பூண்டு விழுது சேர்த்து இன்னும் சில வினாடிகள் வதக்கவும்.
கொத்தமல்லி தூள், மஞ்சள் தூள் மற்றும் தேவையான உப்பு சேர்க்கவும்.
லௌகி புலாவ் செய்முறை
நறுக்கிய சுரைக்காய், பச்சைப் பட்டாணி சேர்த்து நன்கு கலக்கவும். ஊறவைத்து வடிகட்டிய அரிசியைச் சேர்க்கவும்.
சுரைக்காய் சாதம் செய்வது எப்படி
நன்றாகக் கலந்து 2 கப் தண்ணீர் சேர்க்கவும். தண்ணீரை ருசித்துப் பார்த்து உப்பு இருக்கிறதா என்று சரிபார்க்கவும். தேவைப்பட்டால் இந்த கட்டத்தில் சேர்க்கவும்.
சுரைக்காய் சாதம் செய்முறை
தண்ணீர் கொதிக்க ஆரம்பித்ததும், குக்கரை மூடி, அரிசி வேகும் வரை குறைந்த தீயில் (விசில் இல்லாமல்) சமைக்கவும். இடையில் குக்கரைத் திறந்து, மீண்டும் கலந்து, அரிசி முழுமையாக வேகும் வரை தொடர்ந்து சமைக்கலாம்.
பொடியாக நறுக்கிய கொத்தமல்லி இலைகளால் அலங்கரித்து, ஒரு முட்கரண்டி கொண்டு பிசைந்து சூடாகப் பரிமாறவும்.
சொரக்காய் சாதம்/சாதம்
எளிமையான மற்றும் சுவையான சுரைக்காய் சாதம்/லௌகி புலாவ் தயார். நீங்கள் அதை ரைத்தா அல்லது வேறு எந்த காரமான கிரேவியுடனும் பரிமாறலாம். புலாவ் சற்று சாதாரணமாக இருப்பதால், காரமான கிரேவி அதனுடன் நன்றாகப் பொருந்தும்.</t>
  </si>
  <si>
    <t>https://encrypted-tbn0.gstatic.com/images?q=tbn:ANd9GcTeyy05PUMiPrsyBFso2rnWu_8KcbPf6yFX1w&amp;s</t>
  </si>
  <si>
    <t>Easy Savory French Toast</t>
  </si>
  <si>
    <t>எளிதான சுவையான பிரஞ்சு டோஸ்ட்</t>
  </si>
  <si>
    <t xml:space="preserve">   Bread slices – 4 (any bread),
   Egg – 2,
   Milk – 1 tbsp,
   Turmeric powder – a pinch,
   Green chillies – 1 finely chopped,
   Ginger garlic paste – 1/2 tsp,
   Coriander leaves – 1-2 tbsp finely chopped,
   Salt as needed,
   Pepper powder,
   Butter for toasting.</t>
  </si>
  <si>
    <t>பிரெட் துண்டுகள் – 4 (ஏதேனும் ஒரு ரொட்டி),
முட்டை – 2,
பால் – 1 டேபிள்ஸ்பூன்,
மஞ்சள் தூள் – ஒரு சிட்டிகை,
பச்சை மிளகாய் – 1 பொடியாக நறுக்கியது,
இஞ்சி பூண்டு விழுது – 1/2 டேபிள்ஸ்பூன்,
கொத்தமல்லி இலைகள் – 1-2 டேபிள்ஸ்பூன் பொடியாக நறுக்கியது,
தேவைக்கேற்ப உப்பு,
மிளகு தூள்,
வறுக்க வெண்ணெய்.</t>
  </si>
  <si>
    <t>In a bowl, whisk eggs, turmeric powder and milk together. Add ginger-garlic paste, very finely chopped green chillies (or green chilli paste), coriander leaves, salt, pepper powder and mix well.
how to make French toast Indian style 
Cut the corners of the bread slices and cut into triangles.
Heat a tbsp of butter in a tawa over medium heat. Dip the bread slice (one at a time) in the egg mixture and let it soak for 6-7 seconds on each side. Drain off excess.
Savory French Toast Recipe 
Place it on the heated tawa and fry both sides on medium heat with butter until golden brown. Repeat the same process for the rest of the bread.
Easy Savory French Toast
Serve hot immediately. It taste good as such but if preferred you have have it with tomato ketchup.</t>
  </si>
  <si>
    <t>ஒரு பாத்திரத்தில், முட்டை, மஞ்சள் தூள் மற்றும் பால் ஆகியவற்றை ஒன்றாக அடித்து அடிக்கவும். இஞ்சி-பூண்டு விழுது, மிக பொடியாக நறுக்கிய பச்சை மிளகாய் (அல்லது பச்சை மிளகாய் விழுது), கொத்தமல்லி இலைகள், உப்பு, மிளகு தூள் சேர்த்து நன்கு கலக்கவும்.
இந்திய பாணியில் பிரஞ்சு டோஸ்ட் செய்வது எப்படி
பிரெட் துண்டுகளின் மூலைகளை வெட்டி முக்கோணங்களாக வெட்டவும்.
ஒரு டேவாவில் ஒரு டேபிள்ஸ்பூன் வெண்ணெயை மிதமான தீயில் சூடாக்கவும். பிரட் துண்டை (ஒவ்வொன்றாக) முட்டை கலவையில் நனைத்து, ஒவ்வொரு பக்கத்திலும் 6-7 வினாடிகள் ஊற விடவும். அதிகப்படியானவற்றை வடிகட்டவும்.
சுவையான பிரஞ்சு டோஸ்ட் செய்முறை
சூடான தவாவில் வைத்து, இருபுறமும் மிதமான தீயில் வெண்ணெய் சேர்த்து பொன்னிறமாகும் வரை வறுக்கவும். மீதமுள்ள ரொட்டிக்கும் இதே செயல்முறையை மீண்டும் செய்யவும்.
எளிதான சுவையான பிரஞ்சு டோஸ்ட்
சூடாக உடனடியாக பரிமாறவும். இது அப்படியே சுவையாக இருக்கும், ஆனால் விரும்பினால் தக்காளி கெட்ச்அப்புடன் சாப்பிடலாம்.</t>
  </si>
  <si>
    <t>https://encrypted-tbn0.gstatic.com/images?q=tbn:ANd9GcRpGj5LKBW_fINMaxYDTE43kHCn_Mdyw51wig&amp;s</t>
  </si>
  <si>
    <t>Oats Cutlet</t>
  </si>
  <si>
    <t>ஓட்ஸ் கட்லெட்</t>
  </si>
  <si>
    <t xml:space="preserve">  Oats – 1/2 cup,
   Paneer – 1/4 cup,
   Carrot – 2 tbsp grated,
   Boiled potato – 1/2 cup mashed,
   Ginger green chilli paste – 1/2 tsp,
   Chilli powder – 1/4 – 1/2 tsp,
   Garam Masala powder – 1/4 tsp,
   Salt needed,
   Oil for shallow frying.</t>
  </si>
  <si>
    <t>ஓட்ஸ் - 1/2 கப்,
பனீர் - 1/4 கப்,
கேரட் - 2 டேபிள்ஸ்பூன் துருவியது,
வேகவைத்த உருளைக்கிழங்கு - 1/2 கப் மசித்தது,
இஞ்சி பச்சை மிளகாய் விழுது - 1/2 டேபிள்ஸ்பூன்,
மிளகாய் தூள் - 1/4 – 1/2 டேபிள்ஸ்பூன்,
கரம் மசாலா தூள் - 1/4 டேபிள்ஸ்பூன்,
உப்பு தேவை,
வறுக்க எண்ணெய் தேவை.</t>
  </si>
  <si>
    <t>In a bowl combine together oats, potato, ginger green chilli paste, grated carrot, grated paneer, salt, chilli powder and garam masala powder to form a dough.
how to make oats cutlet 
Divide the mixture into equal parts, make balls from it and then lightly flatten the balls with your palm to form patties as shown in the picture below.
Oats tikki 
Heat 3-4 tbsp of oil in a pan and shallow fry the oats cutlet on low heat. Keep flipping it over and cook both sides until golden brown. It will take time for the cutlets to brown.
Enjoy it hot with tomato ketchup or green chutney along with your evening cup of tea or coffee.</t>
  </si>
  <si>
    <t>ஒரு கிண்ணத்தில் ஓட்ஸ், உருளைக்கிழங்கு, இஞ்சி பச்சை மிளகாய் விழுது, துருவிய கேரட், துருவிய பனீர், உப்பு, மிளகாய் தூள் மற்றும் கரம் மசாலா தூள் ஆகியவற்றை ஒன்றாக சேர்த்து மாவை தயாரிக்கவும்.
ஓட்ஸ் கட்லெட் செய்வது எப்படி
கலவையை சம பாகங்களாக பிரித்து, அதிலிருந்து உருண்டைகளை உருவாக்கி, கீழே உள்ள படத்தில் காட்டப்பட்டுள்ளபடி உங்கள் உள்ளங்கையால் உருண்டைகளை லேசாக தட்டையாக்குங்கள்.
ஓட்ஸ் டிக்கி
ஒரு கடாயில் 3-4 டேபிள்ஸ்பூன் எண்ணெயை சூடாக்கி, ஓட்ஸ் கட்லெட்டை குறைந்த தீயில் வறுக்கவும். அதைத் திருப்பிப் போட்டு, இருபுறமும் பொன்னிறமாகும் வரை சமைக்கவும். கட்லெட்டுகள் பழுப்பு நிறமாக மாற சிறிது நேரம் எடுக்கும்.
மாலை வேளையில் தேநீர் அல்லது காபியுடன் தக்காளி கெட்ச்அப் அல்லது பச்சை சட்னியுடன் சூடாக மகிழுங்கள்.</t>
  </si>
  <si>
    <t>https://encrypted-tbn0.gstatic.com/images?q=tbn:ANd9GcT_S36b8gW6mMTSsDvfBHQvZpu4bOlQROquSA&amp;s</t>
  </si>
  <si>
    <t>Mushroom Pasta</t>
  </si>
  <si>
    <t>காளான் பாஸ்தா</t>
  </si>
  <si>
    <t xml:space="preserve">   Tagliatelle Pasta - 150 grams,
   Butter – 2 tbsp,
   Onion – 1 medium size,
   Garlic cloves – 5-6 minced,
   Mushroom – 200 grams,
   Whole wheat flour  – 2 tbsp,
   Milk – 1 cup,
   Mozzarella cheese – 1/4 cup grated,
   Dried basil – 1 tsp,
   Dried oregano – 1 tsp,
   Pepper powder to taste,
   Salt to taste,
   Mozzarella Cheese – grated.</t>
  </si>
  <si>
    <t>டேக்லியாடெல்லே பாஸ்தா - 150 கிராம்,
வெண்ணெய் - 2 டீஸ்பூன்,
வெங்காயம் - 1 நடுத்தர அளவு,
பூண்டு பல் - 5-6 நறுக்கியது,
காளான் - 200 கிராம்,
முழு கோதுமை மாவு - 2 டீஸ்பூன்,
பால் - 1 கப்,
மொஸரெல்லா சீஸ் - 1/4 கப் துருவியது,
உலர்ந்த துளசி - 1 டீஸ்பூன்,
உலர்ந்த ஆர்கனோ - 1 டீஸ்பூன்,
சுவைக்க மிளகு தூள்,
சுவைக்க உப்பு,
மொஸரெல்லா சீஸ் - துருவியது.</t>
  </si>
  <si>
    <t>In a large pot, bring plenty of water to boil with a little salt.
Add the pasta, stir and continue to boil.
how to cook pasta 
Cook for 7-9 minutes until just tender (al dente). Reserve 4-5 tbsp of water, drain the rest of the water and set the pasta aside.
Cooking Tagliatelle Pasta 
Heat butter in a saucepan, add onions, garlic and cook until it turns transparent.
sauteing garlic and onions 
Add chopped mushrooms and cook on medium heat until mushrooms are tender.
how to make mushroom pasta 
Add whole wheat flour and cook for another 2 minutes or until the rawness of the flour goes.
Lower the heat and gradually add milk, little at a time, stirring constantly until the sauce is smooth without lumps.
mushroom pasta recipe
Add grated cheese, pepper powder, dried basil, oregano and salt needed.
(Wow! Look at the creamy sauce below. My mouth is watering just typing this!)
creamy mushroom pasta in white sauce 
Add the cooked pasta along with needed reserved water and simmer for another 2 minutes.
Creamy Mushroom Tagliatelle Pasta in white sauce 
Serve hot immediately topped with additional cheese, if desired (strongly recommended).</t>
  </si>
  <si>
    <t>ஒரு பெரிய தொட்டியில், சிறிது உப்பு சேர்த்து கொதிக்க நிறைய தண்ணீர் கொண்டு வாருங்கள்.
பாஸ்தாவைச் சேர்த்து, கிளறி தொடர்ந்து கொதிக்க விடுங்கள்.
பாஸ்தாவை எப்படி சமைப்பது (அல் டென்டே) வரை 7-9 நிமிடங்கள் சமைக்கவும். 4-5 டீஸ்பூன் தண்ணீரை ஒதுக்கி வைத்து, மீதமுள்ள தண்ணீரை வடிகட்டி, பாஸ்தாவை ஒதுக்கி வைக்கவும்.
டேக்லியாடெல்லே பாஸ்தாவை சமைக்கவும்
ஒரு பாத்திரத்தில் வெண்ணெயை சூடாக்கி, வெங்காயம், பூண்டு சேர்த்து அது வெளிப்படையானதாக மாறும் வரை சமைக்கவும்.
வதக்கிய பூண்டு மற்றும் வெங்காயம்
நறுக்கிய காளான்களைச் சேர்த்து, காளான்கள் மென்மையாகும் வரை மிதமான தீயில் சமைக்கவும்.
காளான் பாஸ்தா செய்வது எப்படி
முழு கோதுமை மாவைச் சேர்த்து மேலும் 2 நிமிடங்கள் அல்லது மாவின் பச்சைத்தன்மை போகும் வரை சமைக்கவும்.
தீயைக் குறைத்து, படிப்படியாக பால் சேர்த்து, கட்டிகள் இல்லாமல் சாஸ் மென்மையாகும் வரை தொடர்ந்து கிளறி விடுங்கள்.
காளான் பாஸ்தா செய்முறை
துருவிய சீஸ், மிளகு தூள், உலர்ந்த துளசி, ஆர்கனோ மற்றும் தேவையான உப்பு சேர்க்கவும்.
(ஆஹா! கீழே உள்ள கிரீமி சாஸைப் பாருங்கள். இதை தட்டச்சு செய்வதன் மூலம் என் வாயில் நீர் ஊறுகிறது!)
வெள்ளை சாஸில் கிரீமி காளான் பாஸ்தா
சமைத்த பாஸ்தாவை தேவையான அளவு தண்ணீருடன் சேர்த்து மேலும் 2 நிமிடங்கள் கொதிக்க வைக்கவும்.
வெள்ளை சாஸில் கிரீமி காளான் டேக்லியாடெல் பாஸ்தா
தேவைப்பட்டால், கூடுதல் சீஸ் சேர்த்து உடனடியாக சூடாக பரிமாறவும் (மிகவும் பரிந்துரைக்கப்படுகிறது).</t>
  </si>
  <si>
    <t>https://encrypted-tbn0.gstatic.com/images?q=tbn:ANd9GcRRFpijgETmMa4DSaj6reOOGJjoYwoZ4fvOSw&amp;s</t>
  </si>
  <si>
    <t>Coconut Couscous with Raisins</t>
  </si>
  <si>
    <t>தேங்காய் கூஸ்கஸ் உடன் திராட்சை</t>
  </si>
  <si>
    <t xml:space="preserve">   Couscous – 1/2 cup,
   Thin coconut milk – 1 cup,
   Salt – 1/4 tsp,
   Raisins – 1/4 cup,
   Cashew nuts – 3 tbsp,
   Coconut oil – 1 1/2 tbsp,
   Mustard seeds – 1 tsp,
   Urad dal – 1 tsp,
   Red Chilli – 1,
   Green chilli – 1,
   Ginger – 1 tsp (peeled and finely chopped),
   Curry Leaves – a sprig,
   Grated coconut – 1/2 cup + 1 tbsp.</t>
  </si>
  <si>
    <t>கூஸ்கஸ் - 1/2 கப்,
மெல்லிய தேங்காய் பால் - 1 கப்,
உப்பு - 1/4 தேக்கரண்டி,
திராட்சை - 1/4 கப்,
முந்திரி பருப்பு - 3 தேக்கரண்டி,
தேங்காய் எண்ணெய் - 1 1/2 தேக்கரண்டி,
கடுகு - 1 தேக்கரண்டி,
உளுத்தம் பருப்பு - 1 தேக்கரண்டி,
சிவப்பு மிளகாய் - 1,
பச்சை மிளகாய் - 1,
இஞ்சி - 1 தேக்கரண்டி (தோல் நீக்கி பொடியாக நறுக்கியது),
கறிவேப்பிலை - ஒரு தளிர்,
தேங்காய் துருவல் - 1/2 கப் + 1 தேக்கரண்டி.</t>
  </si>
  <si>
    <t>Heat coconut oil in a pan/kadai and fry the raisins and cashew nuts separately. Remove from pan and keep it aside.
In the same pan, add mustard seeds, when it splutters, add urad dal, red chillies, green chillies, ginger, and curry leaves.
Saute for a few seconds and then add grated coconut.
how to make coconut couscous 
Saute on medium heat stirring continuously until the coconut changes color to a pale yellow as seen in the picture below. Add salt needed.
coconut couscous recipe
Add the fluffed couscous, cashew nuts, raisins (do not omit the raisins and cashew nuts) and mix well and remove from heat.
Indian Recipes with Couscous 
Delicious Indian style coconut couscous is ready. Enjoy it as such or with papads.</t>
  </si>
  <si>
    <t>ஒரு கடாயில்/கடாயில் தேங்காய் எண்ணெயை சூடாக்கி, திராட்சை மற்றும் முந்திரி பருப்பை தனித்தனியாக வறுக்கவும். வாணலியில் இருந்து எடுத்து தனியாக வைக்கவும்.
அதே வாணலியில், கடுகு சேர்த்து, அது வதங்கியதும், உளுத்தம் பருப்பு, சிவப்பு மிளகாய், பச்சை மிளகாய், இஞ்சி மற்றும் கறிவேப்பிலை சேர்க்கவும்.
சில நொடிகள் வதக்கி, பின்னர் துருவிய தேங்காய் சேர்க்கவும்.
தேங்காய் கூஸ்கஸ் செய்வது எப்படி
கீழே உள்ள படத்தில் காட்டப்பட்டுள்ளபடி தேங்காய் வெளிர் மஞ்சள் நிறமாக மாறும் வரை தொடர்ந்து மிதமான தீயில் வதக்கவும். தேவையான அளவு உப்பு சேர்க்கவும்.
தேங்காய் கூஸ்கஸ் செய்முறை
நறுக்கிய கூஸ்கஸ், முந்திரி, திராட்சை (திராட்சை மற்றும் முந்திரி பருப்புகளைத் தவிர்க்க வேண்டாம்) சேர்த்து நன்கு கலந்து அடுப்பிலிருந்து இறக்கவும்.
கூஸ்கஸுடன் இந்திய சமையல் குறிப்புகள்
சுவையான இந்திய பாணி தேங்காய் கூஸ்கஸ் தயார். அப்படியே அல்லது பப்படங்களுடன் சாப்பிடுங்கள்.</t>
  </si>
  <si>
    <t>https://encrypted-tbn0.gstatic.com/images?q=tbn:ANd9GcTw6eB1p67tgNm-oTZqA786yGKz2lfDoi14sQ&amp;s</t>
  </si>
  <si>
    <t>Quinoa Adai</t>
  </si>
  <si>
    <t>குயினோவா அடை</t>
  </si>
  <si>
    <t xml:space="preserve">   Quinoa – 1/2 cup,
   Bengal gram – 1/4 cup,
   Tur dal – 1/4 cup,
   Whole Green Gram – 1/4 cup,
   Urad Dal – 1/4 cup,
   Fenugreek – 1/4 tsp,
   Cumin seeds – 1/2 tsp,
   Red Chillies -2,
   Green Chillies – 1-2,
   Hing – a pinch,
   Salt as needed,
   Onion – 1 finely chopped,
   Coriander leaves – 2 tbsp finely chopped,
   Oil – as needed for making adai.</t>
  </si>
  <si>
    <t>குயினோவா - 1/2 கப்,
வங்காளப் பருப்பு - 1/4 கப்,
துவரம் பருப்பு - 1/4 கப்,
முழு பச்சைப்பயறு - 1/4 கப்,
உளுத்தம் பருப்பு - 1/4 கப்,
வெந்தயம் - 1/4 டீஸ்பூன்,
சீரகம் - 1/2 டீஸ்பூன்,
சிவப்பு மிளகாய் - 2,
பச்சை மிளகாய் - 1-2,
பெருங்காயம் - ஒரு சிட்டிகை,
உப்பு தேவைக்கேற்ப,
வெங்காயம் - 1 பொடியாக நறுக்கியது,
கொத்தமல்லி இலை - 2 டேபிள் ஸ்பூன் பொடியாக நறுக்கியது,
எண்ணெய் - அடை செய்ய தேவையான அளவு.</t>
  </si>
  <si>
    <t>Wash and saok  quinoa, bengal gram, tur dal, green gram (whole green moong dal/pachai payaru), urad dal and fenugreek seeds for 3 hours.
Grind it coarsely adding red chillies, green chillies, cumin seeds, hing and salt needed. The batter should neither be too thick nor thin. It should be of spreading consistency. You do not have to ferment the batter.
Add finely chopped onions and coriander leaves to the batter.
Heat a tawa, pour a ladle of batter in the center and spread it in a circular motion.
How to make quinoa adai-Indian recipes using quinoa 
Drizzle a tsp of oil around the adai and cook the adai on medium heat.
Once the corners starts lifting up, flip it over to the other side and drizzle another 1/2 tsp of oil.
Cook until done and enjoy soft and super tasty quinoa adai hot with any chutney of your choice. It tastes good even when cold.</t>
  </si>
  <si>
    <t>கழுவி குயினோவா, வங்காளப் பருப்பு, துவரம் பருப்பு, பச்சைப்பயறு (முழு பச்சைப் பயறு/பச்சைப் பயறு), உளுத்தம் பருப்பு மற்றும் வெந்தயத்தை 3 மணி நேரம் வதக்கவும்.
சிவப்பு மிளகாய், பச்சை மிளகாய், சீரகம், பெருங்காயம் மற்றும் தேவையான உப்பு சேர்த்து கரடுமுரடாக அரைக்கவும். மாவு மிகவும் கெட்டியாகவோ அல்லது மெல்லியதாகவோ இருக்கக்கூடாது. பரவும் நிலைத்தன்மையுடன் இருக்க வேண்டும். மாவை புளிக்க வைக்க வேண்டியதில்லை.
மாவுடன் இறுதியாக நறுக்கிய வெங்காயம் மற்றும் கொத்தமல்லி இலைகளைச் சேர்க்கவும்.
ஒரு தவாவை சூடாக்கி, ஒரு கரண்டி மாவை மையத்தில் ஊற்றி வட்ட இயக்கத்தில் பரப்பவும்.
குயினோவா அடை செய்வது எப்படி - குயினோவாவைப் பயன்படுத்தி இந்திய சமையல் குறிப்புகள்
அடாயைச் சுற்றி ஒரு தேக்கரண்டி எண்ணெயைத் தடவி, அடையை மிதமான தீயில் சமைக்கவும்.
மூலைகள் மேலே எழ ஆரம்பித்ததும், அதை மறுபுறம் திருப்பி, மற்றொரு 1/2 தேக்கரண்டி எண்ணெயைத் தெளிக்கவும்.
சமைக்கும் வரை சமைக்கவும், உங்களுக்கு விருப்பமான எந்த சட்னியுடன் மென்மையான மற்றும் மிகவும் சுவையான குயினோவா அடையை சூடாக அனுபவிக்கவும். குளிர்ந்தாலும் கூட இது நன்றாக இருக்கும்.</t>
  </si>
  <si>
    <t>https://encrypted-tbn0.gstatic.com/images?q=tbn:ANd9GcTyaMc-kg5a7SNBLLhhp59XokgAEINnjK8sYw&amp;s</t>
  </si>
  <si>
    <t>Mushroom Frittata</t>
  </si>
  <si>
    <t>காளான் ஃப்ரிட்டாட்டா</t>
  </si>
  <si>
    <t xml:space="preserve">   Butter – 1 tbsp,
   Onion – ¼ cup chopped,
   Garlic – 1 tbsp minced,
   Capsicum– ¼ cup chopped,
   Mushroom – 1 ¼ cup chopped,
   Eggs – 4,
   Milk – ¼ cup,
   Mozzarella Cheese – 2-3 tbsp grated,
   Spring onion greens – 1 tbsp,
   Pepper powder to taste,
   Salt – as needed.
</t>
  </si>
  <si>
    <t>வெண்ணெய் – 1 டேபிள் ஸ்பூன்,
வெங்காயம் – ¼ கப் நறுக்கியது,
பூண்டு – 1 டேபிள் ஸ்பூன் நறுக்கியது,
கேப்சிகம் – ¼ கப் நறுக்கியது,
காளான் – 1 ¼ கப் நறுக்கியது,
முட்டை – 4,
பால் – ¼ கப்,
மொஸரெல்லா சீஸ் – 2-3 டேபிள் ஸ்பூன் துருவியது,
வெங்காயக் கீரைகள் – 1 டேபிள் ஸ்பூன்,
சுவைக்கேற்ப மிளகுத் தூள்,
உப்பு – தேவைக்கேற்ப.</t>
  </si>
  <si>
    <t>Preheat oven to 180 degree C for 10 minutes.
Finely chop onions, garlic and capsicum. Wash and cut mushrooms.
ingredients for Mushroom Frittata
Break eggs into a bowl, add milk and beat vigorously.
beat eggs with milk 
Add salt needed, pepper powder, spring onion greens and cheese to the mixture.
Heat butter in a pan, add garlic and saute well for 2-3 minutes.
sauteing garlic 
Add finely chopped onions and saute until it turns transparent.
Add capsicum and saute for a few more minutes.
mushroom frittata recipe
Add mushrooms and cook until light brown.(do not add salt to mushrooms)
how to make mushroom frittata 
Remove from heat. When it is warm, add the egg mixture and stir well to combine. (You can prepare all this directly in an oven safe cast iron pan. As my cast iron pan is small, I sauteed the mushrooms in a bigger pan and then transferred it to the cast iron pan).
Oven Baked Mushroom Frittata Recipe
Bake in a preheat oven for 10-15 minutes or until until the eggs are completely set and well cooked. Do not over cook.
Oven Baked Mushroom Frittata
Add grated cheese and bake for another 2 minutes or until the cheese melts.
frittata in cast iron pan 
Cut into wedges and serve hot.</t>
  </si>
  <si>
    <t>அடுப்பை 180 டிகிரி செல்சியஸில் 10 நிமிடங்கள் சூடாக்கவும்.
வெங்காயம், பூண்டு மற்றும் கேப்சிகத்தை நன்றாக நறுக்கவும். காளான்களைக் கழுவி நறுக்கவும்.
காளான் ஃப்ரிட்டாட்டாவிற்கான பொருட்கள்
ஒரு பாத்திரத்தில் முட்டைகளை உடைத்து, பால் சேர்த்து நன்றாக அடிக்கவும்.
முட்டைகளை பாலுடன் அடிக்கவும்
தேவையான உப்பு, மிளகுத் தூள், வெங்காயக் கீரைகள் மற்றும் கலவையுடன் சீஸ் சேர்க்கவும்.
ஒரு பாத்திரத்தில் வெண்ணெயை சூடாக்கி, பூண்டு சேர்த்து 2-3 நிமிடங்கள் நன்கு வதக்கவும்.
பூண்டு வதக்கவும்
பொடியாக நறுக்கிய வெங்காயத்தைச் சேர்த்து அது வெளிப்படையானதாக மாறும் வரை வதக்கவும்.
கேப்சிகம் சேர்த்து இன்னும் சில நிமிடங்கள் வதக்கவும்.
காளான் ஃப்ரிட்டாட்டா செய்முறை
காளான்களைச் சேர்த்து வெளிர் பழுப்பு நிறமாக மாறும் வரை சமைக்கவும். (காளான்களில் உப்பு சேர்க்க வேண்டாம்)
காளான் ஃப்ரிட்டாட்டா செய்வது எப்படி
அடுப்பிலிருந்து நீக்கவும். அது சூடாகும்போது, ​​முட்டை கலவையைச் சேர்த்து நன்கு கிளறவும். (இதையெல்லாம் நீங்கள் நேரடியாக ஒரு அடுப்பில் பாதுகாப்பான வார்ப்பிரும்பு பாத்திரத்தில் தயாரிக்கலாம். எனது வார்ப்பிரும்பு பாத்திரம் சிறியதாக இருப்பதால், காளான்களை ஒரு பெரிய பாத்திரத்தில் வதக்கி, பின்னர் அதை வார்ப்பிரும்பு பாத்திரத்திற்கு மாற்றினேன்).
அடுப்பில் சுடப்பட்ட காளான் ஃப்ரிட்டாட்டா செய்முறை
முன் சூடாக்கப்பட்ட அடுப்பில் 10-15 நிமிடங்கள் அல்லது முட்டைகள் முழுவதுமாக செட் ஆகி நன்கு வேகும் வரை சுடவும். அதிகமாக சமைக்க வேண்டாம்.
அடுப்பில் சுடப்பட்ட காளான் ஃப்ரிட்டாட்டா
துருவிய சீஸ் சேர்த்து மேலும் 2 நிமிடங்கள் அல்லது சீஸ் உருகும் வரை சுடவும்.
வார்ப்பிரும்பு பாத்திரத்தில் ஃப்ரிட்டாட்டா
குடைமிளகாய்களாக வெட்டி சூடாக பரிமாறவும்.</t>
  </si>
  <si>
    <t>https://encrypted-tbn0.gstatic.com/images?q=tbn:ANd9GcSoT9xwk2ykz__uhY_huyfmVQ3Og68vUvevWQ&amp;s</t>
  </si>
  <si>
    <t>Lauki Kheer</t>
  </si>
  <si>
    <t xml:space="preserve">
லௌகி கீர்</t>
  </si>
  <si>
    <t xml:space="preserve">   Bottle gourd – 1 cup grated,
   Milk – 2 1/2 cup,
   Sugar – 1/4 cup or as needed,
   Cashew nuts – 6-7,
   Almonds – 8-10 toasted,
   Cardamom powder – 1/4 tsp,
   Saffron strands – 4-5,
   Ghee/clarified butter – 3 tsp.</t>
  </si>
  <si>
    <t>சுரைக்காய் - 1 கப் துருவியது,
பால் - 2 1/2 கப்,
சர்க்கரை - 1/4 கப் அல்லது தேவைக்கேற்ப,
முந்திரி பருப்பு - 6-7,
பாதாம் பருப்பு - 8-10 வறுக்கப்பட்ட,
ஏலக்காய் தூள் - 1/4 தேக்கரண்டி,
குங்குமப்பூ தண்டுகள் - 4-5,
நெய்/தெளிவுபடுத்திய வெண்ணெய் - 3 தேக்கரண்டி.</t>
  </si>
  <si>
    <t>Peel the skin of bottle gourd, discard the seeds and grate it using a grater with big holes. Let it sit for 15 minutes. Then squeeze out all the water from the bottle gourd and keep it aside.
Heat a tsp of ghee and roast cashew nuts until golden brown. Keep it aside.
Toast almonds and sliver (cut it thinly lengthwise) it.
Soak saffron strands in 2 tbsp warm milk.
Heat 2 tsp of ghee and saute the bottle gourd for 3-4 minutes on medium heat stirring continuously.
sorakaya payasam recipe 
Add milk and cook on medium heat, stirring from time to time until the milk reduces and thickens a little.
how to make Sorakkai Payasam 
Once the milk reduces, add saffron, cardamom powder and sugar.
Bottle Gourd Payasam recipe 
Stir until sugar dissolves. Then add cashew nuts and slivered almonds. Remove from heat.</t>
  </si>
  <si>
    <t>சுரைக்காயின் தோலை உரித்து, விதைகளை நீக்கி, பெரிய துளைகள் கொண்ட ஒரு துருவலைப் பயன்படுத்தி தட்டி எடுக்கவும். அதை 15 நிமிடங்கள் அப்படியே வைக்கவும். பின்னர் சுரைக்காயிலிருந்து அனைத்து தண்ணீரையும் பிழிந்து தனியாக வைக்கவும்.
ஒரு தேக்கரண்டி நெய்யை சூடாக்கி, முந்திரி பருப்புகளை பொன்னிறமாகும் வரை வறுக்கவும். அதை தனியாக வைக்கவும்.
பாதாம் மற்றும் துண்டுகளை நீளவாக்கில் மெல்லியதாக நறுக்கவும்.
குங்குமப்பூ தண்டுகளை 2 தேக்கரண்டி சூடான பாலில் ஊற வைக்கவும்.
2 தேக்கரண்டி நெய்யை சூடாக்கி, சுரைக்காயை 3-4 நிமிடங்கள் மிதமான தீயில் தொடர்ந்து கிளறி வதக்கவும்.
சொரக்காய பாயசம் செய்முறை
பால் சேர்த்து மிதமான தீயில் சமைக்கவும், அவ்வப்போது கிளறி, பால் குறைந்து சிறிது கெட்டியாகும் வரை சமைக்கவும்.
சொரக்காய பாயசம் செய்வது எப்படி
பால் வற்றியதும், குங்குமப்பூ, ஏலக்காய் தூள் மற்றும் சர்க்கரை சேர்க்கவும்.
சுரைக்காய் பாயசம் செய்முறை
சர்க்கரை கரையும் வரை கிளறவும். பின்னர் முந்திரி பருப்பு மற்றும் துருவிய பாதாம் பருப்புகளைச் சேர்க்கவும். அடுப்பிலிருந்து இறக்கவும்.</t>
  </si>
  <si>
    <t>https://encrypted-tbn0.gstatic.com/images?q=tbn:ANd9GcSS4Up2rQs85pBwR6zKLKS5eXTOp_eF0rpAtQ&amp;s</t>
  </si>
  <si>
    <t>Kothavarangai Kara Kulambu</t>
  </si>
  <si>
    <t>கொத்தவரங்கை கார குழம்பு</t>
  </si>
  <si>
    <t xml:space="preserve">   Tamarind – 25 grams,
   Pearl Onion – 10-12,
   Cluster beans – 70 grams ,
   Sambar powder – 2 tbsp,
   Sesame Oil – 3 tbsp,
   Mustard seeds – 1 tsp,
   Fenugreek seeds – 1/2 tsp,
   Hing – a generous pinch,
   Curry leaves – a sprig,
   Salt as needed.
</t>
  </si>
  <si>
    <t>புளி - 25 கிராம்,
முத்து வெங்காயம் - 10-12,
கொத்தவரங்காய் பீன்ஸ் - 70 கிராம்,
சாம்பார் பொடி - 2 டீஸ்பூன்,
எள் எண்ணெய் - 3 டீஸ்பூன்,
கடுகு - 1 டீஸ்பூன்,
வெந்தயம் - 1/2 டீஸ்பூன்,
கீன் - ஒரு சிட்டிகை,
கறிவேப்பிலை - ஒரு தளிர்,
தேவைக்கேற்ப உப்பு.</t>
  </si>
  <si>
    <t>Peel pearl onions and cut it into half. Sting cluster beans and cut it into 2 inch pieces.
Soak tamarind in a cup of hot water for 15-20 minutes. Extract juice, add more water and extract more juice. Discard the pulp. We need 2 cups of tamarind extract.
tamarind extract 
Heat oil in a kadai, add mustard seeds, when it splutters, add fenugreek seeds, hing and curry leaves.
Add pearl onion, cluster beans and saute until onions turn transparent.
how to make Kothavarangai kulambu 
Add sambar powder and salt needed (I usually add 1 tbsp flat rock salt for this measurement).
Kothavarangai kulambu 
Saute for 2-3 seconds and then add tamarind extract.
Kothavarangai Kara Kulambu recipe
Once it starts boiling, reduce the heat and cook on medium heat until the kulambu thickens to a saucy consistency.
Cluster Beans Puli Kuzhambu Recipe
Delicious and tasty cluster beans kuzhambu is ready to be served along with rice.</t>
  </si>
  <si>
    <t>முத்து வெங்காயத்தை உரித்து பாதியாக நறுக்கவும். கொத்தவரங்காய்களை குத்தி 2 அங்குல துண்டுகளாக வெட்டவும்.
புளியை ஒரு கப் வெந்நீரில் 15-20 நிமிடங்கள் ஊற வைக்கவும். சாறு எடுத்து, அதிக தண்ணீர் சேர்த்து, அதிக சாறு எடுக்கவும். கூழ் நீக்கவும். நமக்கு 2 கப் புளி சாறு தேவை.
புளி சாறு
ஒரு கடாயில் எண்ணெயை சூடாக்கி, கடுகு சேர்த்து, அது வதங்கியதும், வெந்தயம், கீரை மற்றும் கறிவேப்பிலை சேர்க்கவும்.
முத்து வெங்காயம், கொத்தவரங்காய் சேர்த்து வெங்காயம் வெளிப்படையானதாக மாறும் வரை வதக்கவும்.
கொத்தவரங்காய் குழம்பு செய்வது எப்படி
சாம்பார் பொடி மற்றும் தேவையான உப்பு சேர்க்கவும் (இந்த அளவிற்கு நான் வழக்கமாக 1 தேக்கரண்டி தட்டையான கல் உப்பு சேர்ப்பேன்).
கொத்தவரங்காய் குழம்பு
2-3 வினாடிகள் வதக்கி, பின்னர் புளி சாறு சேர்க்கவும்.
கொத்தவரங்காய் கார குழம்பு செய்முறை
கொதிக்க ஆரம்பித்ததும், தீயைக் குறைத்து, குழம்பு கெட்டியாகும் வரை மிதமான தீயில் சமைக்கவும்.
கொத்தவரங்காய் புளி குழம்பு செய்முறை
சுவையான மற்றும் சுவையான கொத்தவரங்காய் குழம்பு சாதத்துடன் பரிமாற தயாராக உள்ளது.</t>
  </si>
  <si>
    <t>https://images.boldsky.com/ta/img/2023/10/kothavangai-kara-kuzhambu-big-1696664645.jpg</t>
  </si>
  <si>
    <t>Stuffed Mushrooms</t>
  </si>
  <si>
    <t xml:space="preserve">
ஸ்டஃப்டு காளான்கள்</t>
  </si>
  <si>
    <t xml:space="preserve">
   Button Mushroom – 200 grams,
   Garlic cloves – 2 tbsp minced,
   Onions – 1/3 cup finely chopped,
   Capsicum – 2 tbsp finely chopped,
   Grated Mozzarella Cheese as needed,
   Butter – 2 tsp,
   Olive Oil as needed,
   Salt to taste,
   Coriander leaves – 1/2 tbsp finely chopped (optional),
   Turmeric powder – a pinch,
   Coriander powder – 1 tsp,
   Chilli powder – 1 tsp.</t>
  </si>
  <si>
    <t>பட்டன் காளான் - 200 கிராம்,
பூண்டு பற்கள் - 2 டேபிள் ஸ்பூன் நறுக்கியது,
வெங்காயம் - 1/3 கப் நன்றாக நறுக்கியது,
கேப்சிகம் - 2 டேபிள் ஸ்பூன் நன்றாக நறுக்கியது,
துருவிய மொஸரெல்லா சீஸ் தேவைக்கேற்ப,
வெண்ணெய் - 2 டேபிள் ஸ்பூன்,
தேவைக்கேற்ப ஆலிவ் எண்ணெய்,
சுவைக்கேற்ப உப்பு,
கொத்தமல்லி இலைகள் - 1/2 டேபிள் ஸ்பூன் நன்றாக நறுக்கியது (விரும்பினால்),
மஞ்சள் தூள் - ஒரு சிட்டிகை,
கொத்தமல்லி தூள் - 1 டேபிள் ஸ்பூன்,
மிளகாய் தூள் - 1 டேபிள் ஸ்பூன்.</t>
  </si>
  <si>
    <t xml:space="preserve">Melt butter in a pan, add finely chopped garlic, onions and saute until onions turn transparent.
Stuffed Mushroom Recipe
Add capsicum and cook for a few minutes. Then add the chopped mushroom stem, salt needed, coriander leaves and all the spice powder. Cook until all the moisture evaporates. Leave it to cool.
stuffed mushrooms recipe-Indian style
Brush the mushroom caps with olive oil. Using a small spoon, fill each mushroom cap with the stuffing, pressing slightly to fill the caps well.
stuffed mushroom with cheese 
Preheat the oven at 180 degree C for 10 minutes. Arrange the stuffed mushrooms on a greased baking tray and grill for 5 minutes.
Remove from oven, sprinkle a little grated cheese on top of the mushrooms and grill for another 2 minutes. Serve hot.
</t>
  </si>
  <si>
    <t>ஒரு கடாயில் வெண்ணெயை உருக்கி, இறுதியாக நறுக்கிய பூண்டு, வெங்காயம் சேர்த்து வெங்காயம் வெளிப்படையானதாக மாறும் வரை வதக்கவும்.
ஸ்டஃப்டு காளான் செய்முறை
கேப்சிகம் சேர்த்து சில நிமிடங்கள் சமைக்கவும். பின்னர் நறுக்கிய காளான் தண்டு, தேவையான உப்பு, கொத்தமல்லி இலைகள் மற்றும் அனைத்து மசாலாப் பொடிகளையும் சேர்க்கவும். அனைத்து ஈரப்பதமும் ஆவியாகும் வரை சமைக்கவும். அதை குளிர்விக்க விடவும்.
ஸ்டஃப்டு காளான்கள் செய்முறை-இந்திய பாணி
காளான் தொப்பிகளை ஆலிவ் எண்ணெயுடன் துலக்கவும். ஒரு சிறிய கரண்டியைப் பயன்படுத்தி, ஒவ்வொரு காளான் தொப்பியையும் ஸ்டஃபிங்கால் நிரப்பி, தொப்பிகளை நன்றாக நிரப்ப சிறிது அழுத்தவும்.
சீஸ் உடன் ஸ்டஃப்டு காளான்
அடுப்பை 180 டிகிரி செல்சியஸில் 10 நிமிடங்கள் முன்கூட்டியே சூடாக்கவும். ஸ்டஃப்டு காளான்களை நெய் தடவிய பேக்கிங் தட்டில் அடுக்கி 5 நிமிடங்கள் கிரில் செய்யவும்.
அடுப்பிலிருந்து இறக்கி, காளான்களின் மேல் சிறிது துருவிய சீஸைத் தூவி மேலும் 2 நிமிடங்கள் கிரில் செய்யவும். சூடாகப் பரிமாறவும்.</t>
  </si>
  <si>
    <t>https://cdn.loveandlemons.com/wp-content/uploads/2019/12/stuffed-mushrooms-2.jpg</t>
  </si>
  <si>
    <t>Kaima Idli</t>
  </si>
  <si>
    <t>கைமா இட்லி</t>
  </si>
  <si>
    <t xml:space="preserve">   Ginger – 1/2 inch piece,
   Green chilli – 1 finely chopped,
   Garlic -3 cloves finely chopped,
   Oil for frying the idlis,
   Salt needed,
   Turmeric powder – 1/4 tsp,
   Chilli Powder – 3/4 tsp,
   Coriander powder – 2 tsp,
   Garam masala powder – 1/2 tsp,
   Oil – 1  tbsp,
   Mustard seeds – 1 tsp,
   Curry leaves – a sprig,
   Coriander leaves – 1 tbsp finely chopped.</t>
  </si>
  <si>
    <t>இஞ்சி - 1/2 அங்குல துண்டு,
பச்சை மிளகாய் - 1 பொடியாக நறுக்கியது,
பூண்டு -3 பல் பொடியாக நறுக்கியது,
இட்லி பொரிப்பதற்கு எண்ணெய்,
உப்பு தேவை,
மஞ்சள் தூள் - 1/4 தேக்கரண்டி,
மிளகாய் தூள் - 3/4 தேக்கரண்டி,
கொத்தமல்லி தூள் - 2 தேக்கரண்டி,
கரம் மசாலா தூள் - 1/2 தேக்கரண்டி,
எண்ணெய் - 1 தேக்கரண்டி,
கடுகு - 1 தேக்கரண்டி,
கறிவேப்பிலை - ஒரு தளிர்,
கொத்தமல்லி இலை - 1 தேக்கரண்டி பொடியாக நறுக்கியது.</t>
  </si>
  <si>
    <t>Refrigerate the idlis for 2 hours to prevent it from sticking to the pan when frying. Then cut the idlis into medium sized pieces.
Cut onion lengthwise and chop tomatoes. Finely chop ginger, green chillies and garlic. Keep everything ready.
leftover idli recipe
Heat oil in a pan/kadai and fry the idlis on medium heat until golden brown. It is usually deep fried but I shallow fried the idlis.
Heat oil in a pan, add mustard seeds, when it splutters, add onion, ginger, garlic, green chillies and curry leaves.
Kaima idli recipe 
Saute until onions turn light brown. Add chopped tomatoes, salt needed and all the spice powder mentioned under “spice powder”.
how to make chilli idli 
Cook on medium heat until the tomatoes become mushy. You may add a tbsp of water, if the masala is too dry.
kaima idli 
Add the fried idlies and mix well so that the idlis are well coated with the masala.
how to make chilli idli
Garnish with coriander leaves and serve hot. Idlis are crispy on the outside and soft on the inside. It taste great with the masala. 
Enjoy making this healthy shallow fried Kaima idli for breakfast or dinner or even as a tea time snack.</t>
  </si>
  <si>
    <t>வறுக்கும்போது இட்லிகள் வாணலியில் ஒட்டாமல் இருக்க 2 மணி நேரம் குளிர்சாதன பெட்டியில் வைக்கவும். பின்னர் இட்லிகளை நடுத்தர அளவிலான துண்டுகளாக வெட்டவும்.
வெங்காயத்தை நீளவாக்கில் நறுக்கி, தக்காளியை நறுக்கவும். இஞ்சி, பச்சை மிளகாய் மற்றும் பூண்டை நன்றாக நறுக்கவும். அனைத்தையும் தயாராக வைக்கவும்.
மீதமுள்ள இட்லி செய்முறை
ஒரு பாத்திரத்தில்/கடாயில் எண்ணெயை சூடாக்கி, இட்லிகளை மிதமான தீயில் பொன்னிறமாகும் வரை வறுக்கவும். இது பொதுவாக ஆழமாக வறுத்தெடுக்கப்படும், ஆனால் நான் இட்லிகளை மேலோட்டமாக வறுத்தேன்.
ஒரு கடாயில் எண்ணெயை சூடாக்கி, கடுகு சேர்த்து, அது வதங்கியதும், வெங்காயம், இஞ்சி, பூண்டு, பச்சை மிளகாய் மற்றும் கறிவேப்பிலை சேர்க்கவும்.
கைமா இட்லி செய்முறை
வெங்காயம் வெளிர் பழுப்பு நிறமாக மாறும் வரை வதக்கவும். நறுக்கிய தக்காளி, தேவையான உப்பு மற்றும் "மசாலா தூள்" என்பதன் கீழ் குறிப்பிடப்பட்டுள்ள அனைத்து மசாலாப் பொடிகளையும் சேர்க்கவும்.
மிளகாய் இட்லி செய்வது எப்படி
தக்காளி மசியும் வரை மிதமான தீயில் சமைக்கவும். மசாலா மிகவும் வறண்டிருந்தால், நீங்கள் ஒரு தேக்கரண்டி தண்ணீர் சேர்க்கலாம்.
கைமா இட்லி
வறுத்த இட்லிகளைச் சேர்த்து நன்கு கலக்கவும், இதனால் இட்லிகள் மசாலாவுடன் நன்கு பூசப்படும்.
மிளகாய் இட்லி செய்வது எப்படி
கொத்தமல்லி இலைகளால் அலங்கரித்து சூடாகப் பரிமாறவும். இட்லிகள் வெளிப்புறத்தில் மொறுமொறுப்பாகவும், உள்ளே மென்மையாகவும் இருக்கும். மசாலாவுடன் இது மிகவும் சுவையாக இருக்கும்.
இந்த ஆரோக்கியமான மேலோட்டமான வறுத்த கைமா இட்லியை காலை உணவு அல்லது இரவு உணவிற்கு அல்லது தேநீர் நேர சிற்றுண்டியாக கூட செய்து மகிழுங்கள்.</t>
  </si>
  <si>
    <t>https://encrypted-tbn0.gstatic.com/images?q=tbn:ANd9GcRkWwVLhvXQtdnkxUDxUY5rNCVcBnHmEjIjQg&amp;s</t>
  </si>
  <si>
    <t>Blueberry Bran Muffins</t>
  </si>
  <si>
    <t>புளூபெர்ரி பிரான் மஃபின்கள்</t>
  </si>
  <si>
    <t xml:space="preserve">   Wheat Bran – 3/4 cup,
   Milk – 1/2 cup,
   Unsweetened apple sauce – 1/4 cup,
   Egg – 1 small,
  powdered jaggery – 1/3 cup + 2 tbsp,
   Vanilla extract – 1/2 tsp,
   Whole Wheat flour – 1/2 cup,
   Baking soda – 1/2 tsp,
   Baking powder – 1/2 tsp,
   Salt – 1/4 tsp,
   Blueberries – 1/2 cup.</t>
  </si>
  <si>
    <t>கோதுமை பிரான் - 3/4 கப்,
பால் - 1/2 கப்,
இனிப்பு சேர்க்காத ஆப்பிள் சாஸ் - 1/4 கப்,
முட்டை - 1 சிறியது,
பொடித்த வெல்லம் - 1/3 கப் + 2 டேபிள்ஸ்பூன்,
வெண்ணிலா சாறு - 1/2 டீஸ்பூன்,
முழு கோதுமை மாவு - 1/2 கப்,
பேக்கிங் சோடா - 1/2 டீஸ்பூன்,
பேக்கிங் பவுடர் - 1/2 டீஸ்பூன்,
உப்பு - 1/4 டீஸ்பூன்,
புளூபெர்ரி - 1/2 கப்.</t>
  </si>
  <si>
    <t>Pre heat oven at 180 degree C for 10 minutes.
Sieve together whole wheat flour, baking powder, baking soda and salt together. Keep the flour mixture aside.
All the ingredients should be at room temperature.
Beat egg lightly and keep it aside.
Grease muffin cups or line muffin cup with paper muffin liners.
Keep all the ingredients ready.
ingredients for wheat bran muffins
Add milk to wheat bran, mix well and let it sit for 10 minutes, so that the wheat bran will soften a little.
bran soaked in milk
In another bowl, mix together apple sauce, brown sugar (I used powdered jaggery), vanilla essence and egg. Mix well.
how to make wheat bran muffins
Add the above mixture to the wheat bran and mix well with a wire whisk.
whole wheat bran low fat moist blueberry muffins 
Add sifted flour mixture and mix until combined. Fold in blueberries.
healthy wheat bran blueberry muffins recipe 
Scoop batter into muffin cups.
healthy wheat bran blueberry muffins 
Bake in a preheated oven for 15-20 minutes or until a toothpick inserted in the center of a muffin comes out clean.</t>
  </si>
  <si>
    <t>180 டிகிரி செல்சியஸில் 10 நிமிடங்கள் அடுப்பை முன்கூட்டியே சூடாக்கவும்.
முழு கோதுமை மாவு, பேக்கிங் பவுடர், பேக்கிங் சோடா மற்றும் உப்பு ஆகியவற்றை ஒன்றாக சலிக்கவும். மாவு கலவையை ஒதுக்கி வைக்கவும்.
அனைத்து பொருட்களும் அறை வெப்பநிலையில் இருக்க வேண்டும்.
முட்டையை லேசாக அடித்து ஒதுக்கி வைக்கவும்.
மஃபின் கப்களை கிரீஸ் செய்யவும் அல்லது பேப்பர் மஃபின் லைனர்களால் மஃபின் கப்பை வரிசைப்படுத்தவும்.
அனைத்து பொருட்களையும் தயாராக வைத்திருங்கள்.
கோதுமை தவிடு மஃபின்களுக்கான பொருட்கள்
கோதுமை தவிடுடன் பால் சேர்த்து, நன்கு கலந்து, 10 நிமிடங்கள் அப்படியே வைக்கவும், இதனால் கோதுமை தவிடு சிறிது மென்மையாகும்.
பாலில் ஊறவைத்த தவிடு
மற்றொரு கிண்ணத்தில், ஆப்பிள் சாஸ், பழுப்பு சர்க்கரை (நான் பொடித்த வெல்லம் பயன்படுத்தினேன்), வெண்ணிலா எசன்ஸ் மற்றும் முட்டை ஆகியவற்றை ஒன்றாக கலக்கவும். நன்றாக கலக்கவும்.
கோதுமை தவிடு மஃபின்களை எப்படி செய்வது
மேற்கண்ட கலவையை கோதுமை தவிடுடன் சேர்த்து கம்பி துடைப்பத்தால் நன்றாக கலக்கவும்.
முழு கோதுமை தவிடு குறைந்த கொழுப்பு ஈரப்பதமான புளூபெர்ரி மஃபின்கள்
சலித்த மாவு கலவையைச் சேர்த்து கலக்கும் வரை கலக்கவும். புளூபெர்ரிகளை மடிக்கவும்.
ஆரோக்கியமான கோதுமை தவிடு புளூபெர்ரி மஃபின்கள் செய்முறை
மாவை மஃபின் கோப்பைகளில் ஸ்கூப் செய்யவும்.
ஆரோக்கியமான கோதுமை தவிடு புளூபெர்ரி மஃபின்கள்
முன் சூடேற்றப்பட்ட அடுப்பில் 15-20 நிமிடங்கள் அல்லது மஃபினின் மையத்தில் செருகப்பட்ட ஒரு டூத்பிக் சுத்தமாக வெளியே வரும் வரை சுடவும்.</t>
  </si>
  <si>
    <t>https://encrypted-tbn0.gstatic.com/images?q=tbn:ANd9GcRJz_67Uh_xwMUEDT6rolgHsHVNH7cTZGnggA&amp;s</t>
  </si>
  <si>
    <t>Upma Pesarattu</t>
  </si>
  <si>
    <t>உப்புமா பேசரட்டு</t>
  </si>
  <si>
    <t xml:space="preserve">   Uncooked Raw rice – 1 tbsp,
   Green chillies – 2-3,
   Ginger – 1 inch piece,
   Salt to taste,
   Onion – 1 finely chopped,
   Oil for making dosa,
   Rava Upma – as needed.</t>
  </si>
  <si>
    <t>முழு பச்சை பயறு - 1 கப்,
சமைக்காத பச்சரிசி - 1 டேபிள்ஸ்பூன்,
பச்சை மிளகாய் - 2-3,
இஞ்சி - 1 அங்குல துண்டு,
சுவைக்கு உப்பு,
வெங்காயம் - 1 பொடியாக நறுக்கியது,
தோசை செய்ய எண்ணெய்,
ரவா உப்புமா - தேவைக்கேற்ப.</t>
  </si>
  <si>
    <t xml:space="preserve">Wash and soak whole green moong dal and rice together for 4-5 hours.
Grind it with ginger, green chillies and salt needed to a slightly coarse paste. Let it sit for 15 minutes.
how to make mla pesarattu 
Add finely chopped onions to the batter and mix well.
pesarattu batter.
Heat a tawa, when it is hot, pour a ladle of batter and spread it in a circular motion.
Drizzle a tsp of oil around the dosa and cook on medium heat. When the corners start lifting up, flip it over to the other side.
upma pesarattu recipe 
Cook on medium heat. Once the dosa is cooked, remove from tawa, place a scoop of upma on the dosa and fold it. Serve hot with ginger chutney or coconut chutney. </t>
  </si>
  <si>
    <t>முழு பச்சை பருப்பையும் அரிசியையும் கழுவி 4-5 மணி நேரம் ஊற வைக்கவும்.
இஞ்சி, பச்சை மிளகாய் மற்றும் உப்பு சேர்த்து சிறிது கரண்டியாக அரைக்கவும். 15 நிமிடங்கள் அப்படியே வைக்கவும்.
மிலா பேசரட்டு செய்வது எப்படி
மாவில் இறுதியாக நறுக்கிய வெங்காயத்தைச் சேர்த்து நன்கு கலக்கவும்.
பெசரட்டு மாவு.
ஒரு தவாவை சூடாக்கி, அது சூடானதும், ஒரு கரண்டி மாவை ஊற்றி வட்ட வடிவில் பரப்பவும்.
தோசையைச் சுற்றி ஒரு தேக்கரண்டி எண்ணெயைத் தூவி, மிதமான தீயில் சமைக்கவும். மூலைகள் மேலே எழத் தொடங்கியதும், அதை மறுபுறம் திருப்பிப் போடவும்.
உப்புமா பேசரட்டு செய்முறை
நடுத்தர தீயில் சமைக்கவும். தோசை வெந்ததும், தவாவிலிருந்து எடுத்து, தோசையின் மீது ஒரு ஸ்கூப் உப்மாவை வைத்து மடித்து வைக்கவும். இஞ்சி சட்னி அல்லது தேங்காய் சட்னியுடன் சூடாகப் பரிமாறவும்.</t>
  </si>
  <si>
    <t>https://res.cloudinary.com/roundglass/image/upload/w_1400,f_auto/v1697469276/rg/collective/media/rg-food-in-upma-pesarattu-rakesh-raghunathan-may2022-001-16x9-1697469275094.jpg</t>
  </si>
  <si>
    <t>Sem Aloo Ki Sabzi</t>
  </si>
  <si>
    <t>செம் ஆலு கி சப்ஸி</t>
  </si>
  <si>
    <t xml:space="preserve">   Broad Beans – 3 cups ,
   Potato – 2 medium ,
   Onion – 2 medium size,
   Salt to taste,
   Chilli Powder – 3/4 tsp or as needed,
   Turmeric powder – 1/4 tsp,
   Coriander powder – 2 tsp,
   Cumin Powder – 1 tsp,
   Oil – 2 tbsp,
   Mustard seeds – 1 tsp,
   Cumin seeds – 1 tsp,
   Asafoetida – a pinch,
   Curry leaves – a sprig.</t>
  </si>
  <si>
    <t>அகன்ற பீன்ஸ் - 3 கப்,
உருளைக்கிழங்கு - 2 நடுத்தர,
வெங்காயம் - 2 நடுத்தர அளவு,
ருசிக்க உப்பு,
மிளகாய் தூள் - 3/4 தேக்கரண்டி அல்லது தேவைக்கேற்ப,
மஞ்சள் தூள் - 1/4 தேக்கரண்டி,
கொத்தமல்லி தூள் - 2 தேக்கரண்டி,
சீரக தூள் - 1 தேக்கரண்டி,
எண்ணெய் - 2 தேக்கரண்டி,
கடுகு - 1 தேக்கரண்டி,
சீரகம் - 1 தேக்கரண்டி,
பெருங்காயம் - ஒரு சிட்டிகை,
கறிவேப்பிலை - ஒரு தளிர்.</t>
  </si>
  <si>
    <t>Wash and string the broad beans. Chop it as shown in the picture below (2 cm length).
Wash, peel the skin and chop potatoes into medium sized cubes.
Chop onions and keep it aside. Keep all the seasoning ingredients and spice powder ready.
ingredients for avarakkai curry .
Heat oil in a heavy bottomed pan/kadai, add mustard seeds, when it sizzles, add cumin seeds, hing and curry leaves.
Add chopped onions and saute until it turns transparent.
sauteing onions 
Add cubed potatoes, turmeric powder, little salt (for potatoes alone) and saute for 2 minutes on medium heat.
Add 1/4 cup of water and cook covered on medium heat stirring in between for 3-4 minutes.
how to make avarakkai potato curry
Add the chopped broad beans and mix well.
sem aloo ki sukhi sabji 
Add another 1/4 cup of water and cook covered.
Avarakkai Urulai Kizhangu Curry
After a few minutes, add all the spice powder mentioned under “spice powder”, salt needed and mix well.
Sprinkle water and cook covered, stirring from time to time until the vegetables become tender.
Sem Aloo Ki Sabzi
Enjoy delicious broad beans potato curry with rice or with chapati.</t>
  </si>
  <si>
    <t>அகன்ற பீன்ஸை கழுவி, சரம் போட்டு வதக்கவும். கீழே உள்ள படத்தில் காட்டப்பட்டுள்ளபடி (2 செ.மீ நீளம்) நறுக்கவும்.
கழுவி, தோலை உரித்து, உருளைக்கிழங்கை நடுத்தர அளவிலான க்யூப்ஸாக நறுக்கவும்.
வெங்காயத்தை நறுக்கி ஒதுக்கி வைக்கவும். அனைத்து தாளிக்க தேவையான பொருட்களையும் மசாலாப் பொடியையும் தயாராக வைக்கவும்.
அவற்காய் கறிக்கான பொருட்கள்.
அடி கனமான பாத்திரம் / கடாயில் எண்ணெயை சூடாக்கி, கடுகு சேர்த்து, அது கொதிக்கும் போது, ​​சீரகம், கீரை மற்றும் கறிவேப்பிலை சேர்க்கவும்.
நறுக்கிய வெங்காயத்தைச் சேர்த்து, அது வெளிப்படையானதாக மாறும் வரை வதக்கவும்.
வெங்காயம் வதக்கவும்
குயூப்ஸ் செய்யப்பட்ட உருளைக்கிழங்கு, மஞ்சள் தூள், சிறிது உப்பு (உருளைக்கிழங்கு மட்டும்) சேர்த்து மிதமான தீயில் 2 நிமிடங்கள் வதக்கவும்.
1/4 கப் தண்ணீர் சேர்த்து, நடுத்தர தீயில் 3-4 நிமிடங்கள் மூடி வைத்து சமைக்கவும்.
அவரக்காய் உருளைக்கிழங்கு கறி செய்வது எப்படி
நறுக்கிய அகன்ற பீன்ஸைச் சேர்த்து நன்கு கலக்கவும்.
செம் ஆலு கி சுகி சப்ஜி
இன்னும் 1/4 கப் தண்ணீர் சேர்த்து மூடி வைத்து சமைக்கவும்.
அவரக்காய் உருளை கிழங்கு கறி
சில நிமிடங்களுக்குப் பிறகு, “மசாலா தூள்” என்பதன் கீழ் குறிப்பிடப்பட்டுள்ள அனைத்து மசாலாப் பொடிகளையும், தேவையான உப்புகளையும் சேர்த்து நன்கு கலக்கவும்.
தண்ணீர் தெளித்து மூடி வைத்து, அவ்வப்போது கிளறி, காய்கறிகள் மென்மையாகும் வரை சமைக்கவும்.
செம் ஆலு கி சப்ஜி
சுவையான அகன்ற பீன்ஸை உருளைக்கிழங்கு கறியை அரிசியுடன் அல்லது சப்பாத்தியுடன் அனுபவிக்கவும்.</t>
  </si>
  <si>
    <t>https://encrypted-tbn0.gstatic.com/images?q=tbn:ANd9GcRlMVwod5a4OgPbyLEEFizRoAdQ6jFgkKgbIA&amp;s</t>
  </si>
  <si>
    <t>Millet Arisi Upma</t>
  </si>
  <si>
    <t>தினை அரிசி உப்புமா</t>
  </si>
  <si>
    <t xml:space="preserve">  Thinai Rava – 1 cup,
   Coconut – 1/2 cup grated,
   Tur Dal – 1/4 cup,
   Ghee/clarified butter – 1 tsp,
   Salt to taste,
   Water  – 2 3/4 cup,
   Oil – 2 tbsp,
   Mustard seeds – 1 tsp,
   Urad dal – 1 tsp,
   Bengal gram dal – 1 tsp
   Red Dry Chillies – 3 ,
   Hing/asafoetida – 1/4 tsp,
   Curry leaves – a sprig.</t>
  </si>
  <si>
    <t>தினை ரவா - 1 கப்,
தேங்காய் - 1/2 கப் துருவியது,
துர் பருப்பு - 1/4 கப்,
நெய்/தெளிவுபடுத்திய வெண்ணெய் - 1 டீஸ்பூன்,
ருசிக்க உப்பு,
தண்ணீர் - 2 3/4 கப்,
எண்ணெய் - 2 டேபிள்ஸ்பூன்,
கடுகு - 1 டேபிள்ஸ்பூன்,
உப்பு பருப்பு - 1 டேபிள்ஸ்பூன்,
வங்கக்கடலை பருப்பு - 1 டேபிள்ஸ்பூன்
சிவப்பு காய்ந்த மிளகாய் - 3 ,
ஹிங்/அசாஃபோடிடா - 1/4 டேபிள்ஸ்பூன்,
கறிவேப்பிலை - ஒரு தளிர்.</t>
  </si>
  <si>
    <t>Soak tur dal in hot water for 15-20 minutes. Drain the water completely and grind it coarsely without adding water. Keep it aside.
Heat oil in a pan/kadai, add mustard seeds, when it splutters, add bengal gram, urad dal, hing, red chillies and curry leaves.
When dal turns golden brown, add the coarsely ground tur dal and saute for 2-3 minutes on low heat.
making millet arisi upma 
Add grated coconut and saute for 5-6 seconds. Add water and salt needed.
thinai ravai upma 
When water starts boiling, reduce the heat, add a tsp of ghee and the millet rava gradually with one hand and stir continuously with your other hand. This is done to prevent formation of lumps.
foxtail millet upma 
Mix well and cook on low heat until it thickens.
how to make Thinai Rava Upma 
Transfer it to another container and pressure cook for 3 whistles. Once the pressure subsides, open the cooker and serve hot with coconut chutney.
You can prepare it directly in the cooker also instead of making it in a kadai. In that case, cook on low heat without the whistle until done. Stir in between to prevent it from getting burnt.</t>
  </si>
  <si>
    <t>துர் பருப்பை வெந்நீரில் 15-20 நிமிடங்கள் ஊற வைக்கவும். தண்ணீரை முழுவதுமாக வடிகட்டி, தண்ணீர் சேர்க்காமல் கொரகொரப்பாக அரைக்கவும். ஒதுக்கி வைக்கவும்.
ஒரு கடாயில்/கடாயில் எண்ணெயை சூடாக்கி, கடுகு சேர்த்து, அது வதங்கியதும், பெங்கால் பருப்பு, உளுத்தம் பருப்பு, ஹிங், சிவப்பு மிளகாய் மற்றும் கறிவேப்பிலை சேர்க்கவும்.
பருப்பு பொன்னிறமாக மாறியதும், கரடுமுரடாக அரைத்த துவரம்பருப்பைச் சேர்த்து குறைந்த தீயில் 2-3 நிமிடங்கள் வதக்கவும்.
தினை அரிசி உப்மா தயாரிக்கவும்
துருவிய தேங்காய் சேர்த்து 5-6 வினாடிகள் வதக்கவும். தேவையான அளவு தண்ணீர் மற்றும் உப்பு சேர்க்கவும்.
தினை ரவை உப்மா
தண்ணீர் கொதிக்க ஆரம்பித்ததும், தீயைக் குறைத்து, ஒரு கையால் ஒரு தேக்கரண்டி நெய் மற்றும் தினை ரவையை படிப்படியாகச் சேர்த்து, மற்றொரு கையால் தொடர்ந்து கிளறவும். கட்டிகள் உருவாவதைத் தடுக்க இது செய்யப்படுகிறது.
ஃபாக்ஸ் டெயில் தினை உப்மா
நன்றாகக் கலந்து, கெட்டியாகும் வரை குறைந்த தீயில் சமைக்கவும்.
தினை ரவா உப்மா செய்வது எப்படி
இதை வேறொரு கொள்கலனில் மாற்றி 3 விசில்கள் வரும் வரை பிரஷர் குக் செய்யவும். அழுத்தம் குறைந்தவுடன், குக்கரைத் திறந்து தேங்காய் சட்னியுடன் சூடாகப் பரிமாறவும்.
கடாயில் செய்வதற்குப் பதிலாக நேரடியாக குக்கரிலும் தயார் செய்யலாம். அப்படியானால், விசில் இல்லாமல் குறைந்த தீயில் சமைக்கவும். எரியாமல் இருக்க இடையில் கிளறவும்.</t>
  </si>
  <si>
    <t>https://encrypted-tbn0.gstatic.com/images?q=tbn:ANd9GcRxNPIXA75G5MXPYHMRfkLRl2qGg0VYTNQKPQ&amp;s</t>
  </si>
  <si>
    <t>Cabbage Potato Curry</t>
  </si>
  <si>
    <t>முட்டைக்கோஸ் உருளைக்கிழங்கு கறி</t>
  </si>
  <si>
    <t xml:space="preserve">   Onion – 2 medium size,
   Potato – 1 1/2 cup ,
   Cabbage – 3 cups heaped,
   Turmeric powder – 1/4 tsp,
   Salt to taste,
   Red Chillies – 3-4,
   Bengal gram dal  – 1 tbsp,
   Coriander seeds – 2 tbsp,
   Oil – 1 1/2-2 tbsp,
   Mustard seeds – 1 tsp,
   Cumin seeds – 1 tsp,
   Hing – a pinch,
   Curry leaves – a sprig.</t>
  </si>
  <si>
    <t>வெங்காயம் - 2 நடுத்தர அளவு,
உருளைக்கிழங்கு - 1 1/2 கப்,
முட்டைக்கோஸ் - 3 கப் குவித்து,
மஞ்சள் தூள் - 1/4 தேக்கரண்டி,
சுவைக்கு உப்பு,
சிவப்பு மிளகாய் - 3-4,
வங்காள பருப்பு - 1 தேக்கரண்டி,
கொத்தமல்லி விதைகள் - 2 தேக்கரண்டி,
எண்ணெய் - 1 1/2-2 தேக்கரண்டி,
கடுகு விதைகள் - 1 தேக்கரண்டி,
சீரகம் - 1 தேக்கரண்டி,
ஹிங் - ஒரு சிட்டிகை,
கறிவேப்பிலை - ஒரு தளிர்.</t>
  </si>
  <si>
    <t>Heat oil in a pressure pan or any heavy bottomed vessel, add mustard seeds, when it sizzles, add cumin seeds, hing and curry leaves.
When cumin seeds sizzles, add chopped onion.
sauteing onions 
Saute until onions turn transparent. Add chopped potatoes and turmeric powder.
easy aloo cabbage sabzi
Sprinkle water and cook covered on low heat for 3-4 minutes. (Do not use weight/whistle if using pressure pan).
how to make cabbage potato curry in a pressure pan
Add the shredded cabbage, salt needed and 1/4 cup of water. Mix well and cook covered, stirring from time to time.
cabbage potato dry curry 
After a few minutes, open the pan, add 2 tbsp of spice powder (or as needed) and mix well, so that the potato and cabbage are well coated with the spice powder.
how to make Aloo Patta Gobhi Sabzi
Sprinkle more water and cook until the vegetables are tender. Stir in between for even cooking.
Aloo Patta Gobhi Sabzi Recipe
Garnish with coriander leaves and serve with roti or rasam, sambar, kuzhambu or curd rice.</t>
  </si>
  <si>
    <t>ஒரு பிரஷர் பாத்திரத்தில் அல்லது அடிப்பகுதி கொண்ட எந்த கனமான பாத்திரத்திலும் எண்ணெயை சூடாக்கி, கடுகு விதைகளைச் சேர்த்து, அது கொதிக்கும் போது, ​​சீரகம், ஹிங் மற்றும் கறிவேப்பிலை சேர்க்கவும்.
வெங்காயம் வதக்கவும்
வெங்காயம் வெளிப்படையானதாக மாறும் வரை வதக்கவும். நறுக்கிய உருளைக்கிழங்கு மற்றும் மஞ்சள் தூள் சேர்க்கவும்.
எளிதான ஆலு முட்டைக்கோஸ் சப்ஜி
தண்ணீர் தெளித்து, குறைந்த வெப்பத்தில் 3-4 நிமிடங்கள் மூடி வைக்கவும். (பிரஷர் பேனைப் பயன்படுத்தினால் வெயிட்/விசில் பயன்படுத்த வேண்டாம்).
பிரஷர் பேனில் முட்டைக்கோஸ் உருளைக்கிழங்கு கறி செய்வது எப்படி
துண்டாக்கிய முட்டைக்கோஸ், தேவையான அளவு உப்பு மற்றும் 1/4 கப் தண்ணீர் சேர்க்கவும். நன்கு கலந்து மூடி வைத்து, அவ்வப்போது கிளறி விடுங்கள்.
முட்டைக்கோஸ் உருளைக்கிழங்கு உலர் கறி
சில நிமிடங்களுக்குப் பிறகு, பாத்திரத்தைத் திறந்து, 2 டேபிள்ஸ்பூன் மசாலாப் பொடியை (அல்லது தேவைக்கேற்ப) சேர்த்து நன்கு கலக்கவும், இதனால் உருளைக்கிழங்கு மற்றும் முட்டைக்கோஸ் மசாலாப் பொடியால் நன்கு பூசப்படும்.
ஆலு பட்டா கோபி சப்ஸி செய்வது எப்படி
மேலும் தண்ணீர் தெளித்து காய்கறிகள் மென்மையாகும் வரை சமைக்கவும். சமமாக சமைக்க இடையில் கிளறவும்.
ஆலு பட்டா கோபி சப்ஸி செய்முறை
கொத்தமல்லி இலைகளால் அலங்கரித்து ரொட்டி அல்லது ரசம், சாம்பார், குழம்பு அல்லது தயிர் சாதத்துடன் பரிமாறவும்.</t>
  </si>
  <si>
    <t>https://www.indianveggiedelight.com/wp-content/uploads/2020/05/cabbage-potato-curry-instant-pot-featured-500x500.jpg</t>
  </si>
  <si>
    <t>Avarakkai Kootu</t>
  </si>
  <si>
    <t>ஆவரக்காய் கூட்டு</t>
  </si>
  <si>
    <t xml:space="preserve">   Broad Beans – 1/4 kg (3 cups),
   Mixed Dal – 1/3 cup,
   Sambar powder – 2 tsp,
   Turmeric powder – 1/4 tsp,
   Salt needed,
   Grated coconut – 1/4 cup,
   Cumin seeds – 1 tsp,
   Roasted gram dal  – 1 tbsp,
   Oil – 1 tsp,
   Mustard seeds – 1 tsp,
   Urad dal – 1 tsp,
   Curry leaves – a spig,
   Coriander leaves – 1 tbsp finely chopped.</t>
  </si>
  <si>
    <t>அகன்ற பீன்ஸ் - 1/4 கிலோ (3 கப்),
கலப்பு பருப்பு - 1/3 கப்,
சாம்பார் பொடி - 2 தேக்கரண்டி,
மஞ்சள் தூள் - 1/4 தேக்கரண்டி,
உப்பு தேவை,
தேங்காய் துருவல் - 1/4 கப்,
சீரகம் - 1 தேக்கரண்டி,
வறுத்த பருப்பு - 1 தேக்கரண்டி,
எண்ணெய் - 1 தேக்கரண்டி,
கடுகு - 1 தேக்கரண்டி,
உளுத்தம் பருப்பு - 1 தேக்கரண்டி,
கறிவேப்பிலை - ஒரு துளி,
கொத்தமல்லி இலை - 1 தேக்கரண்டி நன்றாக நறுக்கியது.</t>
  </si>
  <si>
    <t>In a pressure cooker or pan, add the chopped broad beans, dal, sambar powder, turmeric powder and salt needed.
easy broad beans kootu 
Add half cup of water and mix well.
How to make Broad Beans Kootu
Close the cooker and pressure cook for 3 whistles. If you do not have pressure cooker, you can make this is a kadai or any heavy bottomed pan but will take a longer time.
Broad Beans Kootu in pressure cooker 
Once the pressure subsides, open the cooker, add the ground coconut paste and another half cup of water. Boil on medium heat until the kootu thickens slightly. The consistency of the kootu should neither be too thick nor thin.
Avarakkai Kootu-Tamil Brahmin style 
Heat a tsp of oil, add mustard seeds, when it splutters, add urad dal and curry leaves. When dal turns golden brown, pour the seasoning over the kootu and mix well.</t>
  </si>
  <si>
    <t>ஒரு பிரஷர் குக்கர் அல்லது பாத்திரத்தில், நறுக்கிய அகன்ற பீன்ஸ், பருப்பு, சாம்பார் பொடி, மஞ்சள் தூள் மற்றும் தேவையான உப்பு சேர்க்கவும்.
எளிதான அகன்ற பீன்ஸ் கூட்டு
அரை கப் தண்ணீர் சேர்த்து நன்கு கலக்கவும்.
அகன்ற பீன்ஸ் கூட்டு செய்வது எப்படி
குக்கரை மூடி 3 விசில் வரும் வரை பிரஷர் குக்கர் செய்யவும். உங்களிடம் பிரஷர் குக்கர் இல்லையென்றால், இதை ஒரு கடாயாகவோ அல்லது அடிப்பகுதி கொண்ட எந்த பாத்திரமாகவோ செய்யலாம், ஆனால் அதிக நேரம் எடுக்கும்.
பிரஷர் குக்கரில் அகலமான பீன்ஸ் கூட்டு
பிரஷர் குறைந்தவுடன், குக்கரைத் திறந்து, அரைத்த தேங்காய் விழுது மற்றும் அரை கப் தண்ணீரைச் சேர்க்கவும். கூட்டு சிறிது கெட்டியாகும் வரை மிதமான தீயில் கொதிக்க வைக்கவும். கூத்தின் நிலைத்தன்மை மிகவும் கெட்டியாகவோ அல்லது மெல்லியதாகவோ இருக்கக்கூடாது.
அவரக்காய் கூட்டு-தமிழ் பிராமண பாணி
ஒரு தேக்கரண்டி எண்ணெயைச் சூடாக்கி, கடுகு சேர்த்து, அது வெடித்ததும், உளுத்தம் பருப்பு மற்றும் கறிவேப்பிலை சேர்க்கவும். பருப்பு பொன்னிறமாக மாறியதும், கூத்தின் மீது தாளிக்க வேண்டியவற்றை ஊற்றி நன்கு கலக்கவும்.</t>
  </si>
  <si>
    <t>https://www.cookclickndevour.com/wp-content/uploads/2019/01/Avarakkai-kootu-recipe.jpg</t>
  </si>
  <si>
    <t>Polenta Fingers</t>
  </si>
  <si>
    <t>பொலெண்டா ஃபிங்கர்ஸ்</t>
  </si>
  <si>
    <t xml:space="preserve">   Polenta – 1/2 cup,
   Water – 2 cups,
   Carrot – 1/4 cup finely grated,
   Ginger-green chilli paste – 1 tsp or as needed,
   Salt to taste,
   Butter – 1 tbsp,
   Oil as needed for tawa fry,
    5 inch square tray,
   Garlic – 4 cloves,
   Tomatoes – 4-5 big juicy ones,
   Chilli powder – 1/2 tsp,
   Salt needed,
   Oil – 2 tbsp.
</t>
  </si>
  <si>
    <t>பொலெண்டா - 1/2 கப்,
தண்ணீர் - 2 கப்,
கேரட் - 1/4 கப் நன்றாக துருவியது,
இஞ்சி-பச்சை மிளகாய் விழுது - 1 டீஸ்பூன் அல்லது தேவைக்கேற்ப,
ருசிக்க உப்பு,
வெண்ணெய் - 1 டீஸ்பூன்,
தவா வறுக்க தேவையான அளவு எண்ணெய்,
5 அங்குல சதுர தட்டில்,
பூண்டு - 4 பல்,
தக்காளி - 4-5 பெரிய ஜூசி,
மிளகாய் தூள் - 1/2 டீஸ்பூன்,
உப்பு தேவை,
எண்ணெய் - 2 டீஸ்பூன்.</t>
  </si>
  <si>
    <t>In a saucepan, bring 2 cups of water to rolling boil. Add ginger-green chilli paste (1/2 inch ginger piece + 1-2 green chilli ground to a paste), finely grated carrots and salt needed.
Reduce the heat to low, then add polenta gradually, with one hand and stir continuously with your other hand to prevent formation of lumps. Cook the mixture stirring continuously.
The polenta will start to thicken immediately. Add a tbsp of butter and mix well. Check for salt. If needed add now.
Spread the cooked polenta evenly in the prepared baking tray and leave it to cool. Then cover and refrigerate the mixture for 1 hour or until firm. You can do this a day ahead and refrigerate it overnight as I did.
After removing from the refrigerator ,
The polenta is well set now. Invert the tray onto a cutting board or plate.
Place it on a cutting board and cut polenta into strips and then into 1/2 inch x 3 inch sticks as shown below.
Grease tawa/skillet with oil (I used extra virgin coconut oil) and place the polenta sticks/fingers. Do not over crowd. Then drizzle a little of oil around each polenta sticks. Fry all sides on low heat flipping over the polenta fingers.
Fry until golden brown on all sides. Repeat the same process for the rest of the polenta fingers. Enjoy warm with any dip or chutney.</t>
  </si>
  <si>
    <t>ஒரு பாத்திரத்தில், 2 கப் தண்ணீர் கொதிக்க விடவும். இஞ்சி-பச்சை மிளகாய் விழுது (1/2 அங்குல இஞ்சி துண்டு + 1-2 பச்சை மிளகாய் அரைத்து பேஸ்ட் செய்யவும்), நன்றாக துருவிய கேரட் மற்றும் உப்பு சேர்க்கவும்.
தீயை குறைத்து, பின்னர் படிப்படியாக ஒரு கையால் பொலெண்டாவை சேர்த்து, கட்டிகள் உருவாகாமல் இருக்க உங்கள் மற்றொரு கையால் தொடர்ந்து கிளறவும். கலவையை தொடர்ந்து கிளறி சமைக்கவும்.
பொலெண்டா உடனடியாக கெட்டியாகத் தொடங்கும். ஒரு டீஸ்பூன் வெண்ணெய் சேர்த்து நன்கு கலக்கவும். உப்பு இருக்கிறதா என்று சரிபார்க்கவும். தேவைப்பட்டால் இப்போது சேர்க்கவும்.
சமைத்த பொலெண்டாவை தயாரிக்கப்பட்ட பேக்கிங் தட்டில் சமமாக பரப்பி குளிர்விக்க விடவும். பின்னர் கலவையை 1 மணி நேரம் அல்லது கெட்டியாகும் வரை மூடி, குளிர்சாதன பெட்டியில் வைக்கவும். நீங்கள் இதை ஒரு நாள் முன்னதாகவே செய்து, நான் செய்தது போல் இரவு முழுவதும் குளிர்சாதன பெட்டியில் வைக்கலாம்.
குளிர்சாதன பெட்டியில் இருந்து எடுத்த பிறகு,
பொலெண்டா இப்போது நன்றாக செட் ஆகிவிட்டது. தட்டை ஒரு கட்டிங் போர்டு அல்லது தட்டில் புரட்டவும்.
அதை ஒரு கட்டிங் போர்டில் வைத்து, பொலெண்டாவை கீற்றுகளாகவும், பின்னர் கீழே காட்டப்பட்டுள்ளபடி 1/2 அங்குல x 3 அங்குல குச்சிகளாகவும் வெட்டவும்.
தவா/வாணலியை எண்ணெயுடன் தடவவும் (நான் கூடுதல் கன்னி தேங்காய் எண்ணெயைப் பயன்படுத்தினேன்) பொலெண்டா குச்சிகள்/விரல்களில் வைக்கவும். அதிகமாகக் குவிய வேண்டாம். பின்னர் ஒவ்வொரு பொலெண்டா குச்சிகளையும் சுற்றி சிறிது எண்ணெய் தெளிக்கவும். குறைந்த வெப்பத்தில் பொலெண்டா விரல்களின் மீது புரட்டி அனைத்து பக்கங்களிலும் வறுக்கவும்.
அனைத்து பக்கங்களிலும் பொன்னிறமாகும் வரை வறுக்கவும். மீதமுள்ள பொலெண்டா விரல்களுக்கும் இதே செயல்முறையை மீண்டும் செய்யவும். எந்த டிப் அல்லது சட்னியுடன் சூடாக அனுபவிக்கவும்.</t>
  </si>
  <si>
    <t>https://encrypted-tbn0.gstatic.com/images?q=tbn:ANd9GcS9UA1zCPcVH-EPzhBI9x4CyYzLkIW9oL1Wzg&amp;s</t>
  </si>
  <si>
    <t>Egg Vegetable Omelette</t>
  </si>
  <si>
    <t>முட்டை காய்கறி ஆம்லெட்</t>
  </si>
  <si>
    <t xml:space="preserve">   Eggs – 4,
   Water – 1 tbsp,
   Onion – 1 small size,
   Tomato – 1/2 ,
   Capsicum – 2-3 tbsp finely chopped,
   Coriander leaves – 1 tbsp,
   Green chillies – 1 finely chopped,
   Salt to taste,
   Pepper powder to taste,
   Oil – 1 tsp.</t>
  </si>
  <si>
    <t>முட்டை – 4,
தண்ணீர் – 1 டேபிள் ஸ்பூன்,
வெங்காயம் – 1 சிறிய அளவு,
தக்காளி – 1/2,
கேப்சிகம் – 2-3 டேபிள் ஸ்பூன் நன்றாக நறுக்கியது,
கொத்தமல்லி இலை – 1 டேபிள் ஸ்பூன்,
பச்சை மிளகாய் – 1 நன்றாக நறுக்கியது,
சுவைக்கு உப்பு,
மிளகு தூள்,
எண்ணெய் – 1 டேபிள் ஸ்பூன்.</t>
  </si>
  <si>
    <t>Grease a pan with oil and heat it. When the pan/tawa is hot, pour half of the the egg mixture and cook on low heat.
Egg Vegetable Omelette Recipe
Once the egg sets, flip it over to the other side. Let it cook for another few seconds on low heat.
Remove from tawa, sprinkle pepper powder over the omelet and serve hot as such or with bread.
Repeat the same process for the remaining mixture.</t>
  </si>
  <si>
    <t>ஒரு பாத்திரத்தில் எண்ணெய் தடவி சூடாக்கவும். பான்/தவா சூடானதும், முட்டை கலவையில் பாதியை ஊற்றி குறைந்த தீயில் சமைக்கவும்.
முட்டை காய்கறி ஆம்லெட் செய்முறை
முட்டை செட் ஆனதும், அதை மறுபுறம் திருப்பி போடவும். குறைந்த தீயில் இன்னும் சில நொடிகள் சமைக்க விடவும்.
தவாவிலிருந்து எடுத்து, ஆம்லெட்டின் மீது மிளகு தூளை தூவி, அப்படியே அல்லது ரொட்டியுடன் சூடாக பரிமாறவும்.
மீதமுள்ள கலவைக்கும் அதே செயல்முறையை மீண்டும் செய்யவும்.</t>
  </si>
  <si>
    <t>https://www.mygorgeousrecipes.com/wp-content/uploads/2018/02/Worlds-Best-Vegetarian-Omelette-Quick-and-Easy.jpg</t>
  </si>
  <si>
    <t>Polenta with Lentils</t>
  </si>
  <si>
    <t>பொலெண்டாவுடன் பருப்பு</t>
  </si>
  <si>
    <t xml:space="preserve">   Polenta – 1/2 cup ,
   Water – 2 cups,
   Salt needed,
   Cheese – 3 tbsp ,
   Onion – 1/2 cup finely chopped,
   Garlic – 2-3 cloves ,
   Carrot – 1/3 cup,
   Tomatoes – 1/2 cup chopped,
   Tomatoes – 3 ripe ,
  capsicum – 1/3 cup,
   Red Lentils – 1/2 cup,
   Salt to taste,
   Chilli Powder,
 pepper powder ,
   Coriander leaves – 2 tbsp finely chopped.</t>
  </si>
  <si>
    <t>பொலெண்டா - 1/2 கப் ,
தண்ணீர் - 2 கப் ,
உப்பு தேவை,
சீஸ் - 3 டேபிள் ஸ்பூன் ,
வெங்காயம் - 1/2 கப் நன்றாக நறுக்கியது,
பூண்டு - 2-3 பல் ,
கேரட் - 1/3 கப் ,
தக்காளி - 1/2 கப் நறுக்கியது,
தக்காளி - 3 பழுத்த ,
கேப்சிகம் - 1/3 கப் ,
சிவப்பு பருப்பு - 1/2 கப் ,
சுவைக்கு உப்பு ,
மிளகாய் தூள் ,
மிளகு தூள் ,
கொத்தமல்லி இலைகள் - 2 டேபிள் ஸ்பூன் நன்றாக நறுக்கியது.</t>
  </si>
  <si>
    <t xml:space="preserve">Heat oil in a pan, add finely chopped garlic and onions. Saute until onions turn transparent.
Add chopped carrots and cook for a few minutes.
sauteing onions 
Add chopped tomatoes, chilli powder and salt needed. Cook until tomato softens.
sauteing tomatoes 
Add tomato puree and thinly sliced capsicum. Cook until the mixture thickens stirring from time to time.
Indian style Polenta recipe 
Add cooked red lentils/masoor dal, 3/4 cup of water and cook on low heat, stirring in between for 5-6 minutes. Garnish with finely chopped coriander leaves.
lentil gravy for polenta 
Now our lentil stew is ready. We will cook the polenta. Polenta will be ready in a jiffy as I have used the quick cooking polenta.
Preparing Polenta 
Bring 2 cups of water to boil. Add salt needed. As we will be adding cheese, add less salt.
Reduce the heat to low and stir in polenta gradually with one hand and stir continuously with a whisk with the other hand. This is done to prevent lumps.
Continue to stir. When it starts thickening, turn off the heat and add grated cheeses or a blob of butter or both. Mix well until smooth. Polenta is ready now.
Polenta will thicken as it cools. If you want a smooth consistency, you may add a little warm water to loosen it.
how to cook polenta 
Serve hot polenta topped with piping hot lentil stew. Enjoy!!     </t>
  </si>
  <si>
    <t>ஒரு கடாயில் எண்ணெயை சூடாக்கி, பொடியாக நறுக்கிய பூண்டு மற்றும் வெங்காயத்தை சேர்க்கவும். வெங்காயம் வெளிப்படையானதாக மாறும் வரை வதக்கவும்.
நறுக்கிய கேரட்டைச் சேர்த்து சில நிமிடங்கள் சமைக்கவும்.
வெங்காயம் வதக்கவும்
நறுக்கிய தக்காளி, மிளகாய் தூள் மற்றும் உப்பு சேர்க்கவும். தக்காளி மென்மையாகும் வரை சமைக்கவும்.
தக்காளி வதக்கவும்
தக்காளி கூழ் மற்றும் மெல்லியதாக நறுக்கிய கேப்சிகம் சேர்க்கவும். கலவை கெட்டியாகும் வரை அவ்வப்போது கிளறி சமைக்கவும்.
இந்திய பாணி பொலெண்டா செய்முறை
சமைத்த சிவப்பு பருப்பு/மசூர் பருப்பை 3/4 கப் தண்ணீர் சேர்த்து, குறைந்த தீயில் 5-6 நிமிடங்கள் கிளறி சமைக்கவும். இறுதியாக நறுக்கிய கொத்தமல்லி இலைகளால் அலங்கரிக்கவும்.
பொலெண்டாவிற்கு பருப்பு குழம்பு
இப்போது எங்கள் பருப்பு குழம்பு தயார். நாங்கள் பொலெண்டாவை சமைப்போம். நான் விரைவாக சமைக்கும் பொலெண்டாவைப் பயன்படுத்தியதால், பொலெண்டா ஒரு நொடியில் தயாராகிவிடும்.
பொலெண்டா தயார்
கொதிக்க 2 கப் தண்ணீர் கொண்டு வாருங்கள். தேவையான உப்பு சேர்க்கவும். நாங்கள் சீஸ் சேர்க்கப் போவதால், குறைந்த உப்பு சேர்க்கவும்.
தீயைக் குறைத்து, ஒரு கையால் பொலெண்டாவை படிப்படியாகக் கிளறி, மற்றொரு கையால் துடைப்பத்தால் தொடர்ந்து கிளறவும். கட்டிகளைத் தடுக்க இது செய்யப்படுகிறது.
தொடர்ந்து கிளறவும். அது கெட்டியாகத் தொடங்கியதும், தீயை அணைத்து, துருவிய சீஸ் அல்லது ஒரு துளி வெண்ணெய் அல்லது இரண்டையும் சேர்க்கவும். மென்மையான வரை நன்கு கலக்கவும். பொலெண்டா இப்போது தயாராக உள்ளது.
பொலெண்டா குளிர்ந்ததும் கெட்டியாகிவிடும். மென்மையான நிலைத்தன்மையை நீங்கள் விரும்பினால், அதை தளர்த்த சிறிது வெதுவெதுப்பான நீரைச் சேர்க்கலாம்.
பொலெண்டாவை எப்படி சமைப்பது
சூடான பொலெண்டாவை சூடான பருப்பு குழம்புடன் சேர்த்து பரிமாறவும். மகிழுங்கள்!!</t>
  </si>
  <si>
    <t>https://encrypted-tbn0.gstatic.com/images?q=tbn:ANd9GcQWoIGUTHauaist6kd8jodxQKgh4z9H5sy2Dw&amp;s</t>
  </si>
  <si>
    <t>Soya Keema Cutlets</t>
  </si>
  <si>
    <t>சோயா கீமா கட்லெட்டுகள்</t>
  </si>
  <si>
    <t xml:space="preserve">   Soya Chunks -1/2 cup,
   Potato – 1/2 cup boiled and mashed,
   Oil – 1 tbsp,
   Onion – 1 small size,
   Ginger garlic paste -1/2 tsp,
   Green chillies -1,
   Coriander leaves – 1 tbsp finely chopped,
   Bread crumbs – 2 tbsp,
   Salt needed,
   Chilli powder – 1/2 tsp,
   Coriander powder – 1 tsp,
   Turmeric powder – 1/4 tsp,
   Kitchen king masala – 1/2 tsp,
   Oil for shallow frying.
</t>
  </si>
  <si>
    <t>சோயா துண்டுகள் - 1/2 கப்,
உருளைக்கிழங்கு - 1/2 கப் வேகவைத்து மசித்தது,
எண்ணெய் - 1 டீஸ்பூன்,
வெங்காயம் - 1 சிறிய அளவு,
இஞ்சி பூண்டு விழுது - 1/2 டீஸ்பூன்,
பச்சை மிளகாய் - 1,
கொத்தமல்லி இலைகள் - 1 டீஸ்பூன் நன்றாக நறுக்கியது,
ரொட்டி துண்டுகள் - 2 டீஸ்பூன்,
உப்பு தேவை,
மிளகாய் தூள் - 1/2 டீஸ்பூன்,
கொத்தமல்லி தூள் - 1 டீஸ்பூன்,
மஞ்சள் தூள் - 1/4 டீஸ்பூன்,
கிச்சன் கிங் மசாலா - 1/2 டீஸ்பூன்,
ஆழமற்ற வறுக்க எண்ணெய்.</t>
  </si>
  <si>
    <t>Heat oil in a pan, add finely chopped onions. Saute until onions turn transparent.
soya chunks cutlet recipe 
Add ginger garlic paste and finely chopped green chillies. Saute until the raw flavor of the ginger garlic paste goes.
Add the ground soya chunks, all the spice powder mentioned under “Spice Powder” and salt needed. You may adjust spices according to your taste.
soya keema cutlet recipe 
Saute until all the water evaporates and the mixture becomes dry. Then add grated boiled potato and finely chopped coriander leaves.
How to prepare soya keema cutlet 
Mix well and cook for another 2-3 seconds. Add bread crumbs and mix well. Remove from heat and allow the mixture to cool down.
how to make meal maker/soya nuggets cutlet 
Divide the mixture into equal parts. Make balls out of the mixture and then flatten it to form patties. If you are unable to make balls, add more bread crumbs to the mixture.
how to make soya chunks cutlet 
Heat oil in a pan and shallow fry the patties on low heat, both sides until golden brown. You can deep fry it, if preferred.
You can also make balls from the mixture and deep fry it to make soya keema balls. 
Enjoy it hot from the pan with ginger cardamom tea or South Indian filter coffee or any coffee.</t>
  </si>
  <si>
    <t>ஒரு கடாயில் எண்ணெயை சூடாக்கி, இறுதியாக நறுக்கிய வெங்காயத்தைச் சேர்க்கவும். வெங்காயம் வெளிப்படையானதாக மாறும் வரை வதக்கவும்.
சோயா துண்டுகள் கட்லெட் செய்முறை
இஞ்சி பூண்டு விழுது மற்றும் இறுதியாக நறுக்கிய பச்சை மிளகாய் சேர்க்கவும். இஞ்சி பூண்டு விழுது பச்சை வாசனை போகும் வரை வதக்கவும்.
அரைத்த சோயா துண்டுகள், “மசாலா தூள்” என்பதன் கீழ் குறிப்பிடப்பட்டுள்ள அனைத்து மசாலாப் பொடிகளையும், தேவையான உப்பும் சேர்க்கவும். உங்கள் ரசனைக்கு ஏற்ப மசாலாப் பொருட்களை சரிசெய்யலாம்.
சோயா கீமா கட்லெட் செய்முறை
தண்ணீர் முழுவதும் ஆவியாகி கலவை வறண்டு போகும் வரை வதக்கவும். பின்னர் துருவிய வேகவைத்த உருளைக்கிழங்கு மற்றும் இறுதியாக நறுக்கிய கொத்தமல்லி இலைகளைச் சேர்க்கவும்.
சோயா கீமா கட்லெட்டை எப்படி தயாரிப்பது
நன்றாகக் கலந்து மற்றொரு 2-3 விநாடிகள் சமைக்கவும். ரொட்டித் துண்டுகளைச் சேர்த்து நன்கு கலக்கவும். வெப்பத்திலிருந்து நீக்கி, கலவையை குளிர்விக்க அனுமதிக்கவும்.
மீல் மேக்கர்/சோயா நகெட்ஸ் கட்லெட்டை எப்படி செய்வது
கலவையை சம பாகங்களாகப் பிரிக்கவும். கலவையிலிருந்து உருண்டைகளை உருவாக்கி, பின்னர் பஜ்ஜிகளை உருவாக்க தட்டையாக்குங்கள். உங்களால் பந்துகளை உருவாக்க முடியாவிட்டால், கலவையில் அதிக பிரட் துண்டுகளைச் சேர்க்கவும்.
சோயா சங்க்ஸ் கட்லெட்டை எப்படி செய்வது
ஒரு பாத்திரத்தில் எண்ணெயை சூடாக்கி, பஜ்ஜிகளை குறைந்த வெப்பத்தில் இருபுறமும் பொன்னிறமாகும் வரை ஆழமாக வறுக்கவும். விரும்பினால், நீங்கள் அதை ஆழமாக வறுக்கலாம்.
கலவையிலிருந்து உருண்டைகளை உருவாக்கி சோயா கீமா பந்துகளை உருவாக்க ஆழமாக வறுக்கவும்.
இஞ்சி ஏலக்காய் தேநீர் அல்லது தென்னிந்திய வடிகட்டி காபி அல்லது ஏதேனும் காபியுடன் வாணலியில் இருந்து சூடாக மகிழுங்கள்.</t>
  </si>
  <si>
    <t>https://encrypted-tbn0.gstatic.com/images?q=tbn:ANd9GcT7X6jpc-8J5fksdIzyqQpdeZOBXBEy1EwH1g&amp;s</t>
  </si>
  <si>
    <t>Payaru Kanji</t>
  </si>
  <si>
    <t>பாயாறு கஞ்சி</t>
  </si>
  <si>
    <t xml:space="preserve">   parboiled rice – 1/2 cup,
   Green gram – 1/4 cup,
   Grated fresh coconut -1/3 cup,
   Water – 4 cups,
   Turmeric – a pinch,
   Pearl Onions – 3-4 finely chopped,
   Salt needed,
   Oil – 1 tsp,
   Mustard seeds – 1 tsp,
   Dried Red chilli – 1,
   Curry leaves – a sprig,
   Coconut Oil – 1 tsp,
   Fresh grated coconut -1/2 cup,
   Dried red chillies – 2-3,
   Ginger – 1/2 inch piece peeled and chopped finely,
   Tamarind – a small piece or 1/4 tsp paste,
   Curry leaves – a sprig,
   Salt needed.</t>
  </si>
  <si>
    <t>புழுங்கல் அரிசி - 1/2 கப்,
பச்சைப்பயறு - 1/4 கப்,
துருவிய புதிய தேங்காய் - 1/3 கப்,
தண்ணீர் - 4 கப்,
மஞ்சள் - ஒரு சிட்டிகை,
முத்து வெங்காயம் - 3-4 பொடியாக நறுக்கியது,
உப்பு தேவை,
எண்ணெய் - 1 தேக்கரண்டி,
கடுகு - 1 தேக்கரண்டி,
காய்ந்த சிவப்பு மிளகாய் - 1,
கறிவேப்பிலை - ஒரு துளிர்,
தேங்காய் எண்ணெய் - 1 தேக்கரண்டி,
புதிய துருவிய தேங்காய் - 1/2 கப்,
காய்ந்த சிவப்பு மிளகாய் - 2-3,
இஞ்சி - 1/2 அங்குல துண்டு உரிக்கப்பட்டு நன்றாக நறுக்கியது,
புளி - ஒரு சிறிய துண்டு அல்லது 1/4 தேக்கரண்டி பேஸ்ட்,
கறிவேப்பிலை - ஒரு துளிர்,
உப்பு தேவை.</t>
  </si>
  <si>
    <t>Pressure cook rice and green gram with 4 cups of water, turmeric powder, pearl onions, salt needed for 4-5 whistles on medium heat.
cherupayaru kanji 
Once the pressure subsides, open the cooker, cook for another 5 minutes stirring frequently (if it is too thick, you may add more water and cook). Then mix in freshly grated coconut.
Heat a tsp of oil, add mustard seeds, when it splutters, add red chillies and curry leaves.
Pour the seasoning over the kanji. Enjoy it hot with thenga chammanthi or papadams or pickle.
how to make Kerala style payaru kanji 
Thenga Chammanthi Recipe
Heat a tsp of coconut oil and saute ginger and red chillies for a few seconds. Turn off the heat. Grind the red chillies, ginger with freshly grated coconut, salt, curry leaves and tamarind to a coarse paste adding very little water. Enjoy pairing it with payaru kanji.</t>
  </si>
  <si>
    <t>அரிசி மற்றும் பச்சைப்பயறையை 4 கப் தண்ணீர், மஞ்சள் தூள், முத்து வெங்காயம், தேவையான அளவு உப்பு சேர்த்து மிதமான தீயில் 4-5 விசில் வரும் வரை வேக வைக்கவும்.
செருபயாறு கஞ்சி
அழுத்தம் குறைந்தவுடன், குக்கரைத் திறந்து, அடிக்கடி கிளறி மேலும் 5 நிமிடங்கள் சமைக்கவும் (அது மிகவும் கெட்டியாக இருந்தால், நீங்கள் அதிக தண்ணீர் சேர்த்து சமைக்கலாம்). பின்னர் புதிதாக துருவிய தேங்காயைச் சேர்த்து கலக்கவும்.
ஒரு தேக்கரண்டி எண்ணெயைச் சூடாக்கி, கடுகு சேர்த்து, அது வதங்கியதும், சிவப்பு மிளகாய் மற்றும் கறிவேப்பிலை சேர்க்கவும்.
தாளிக்க வேண்டியவற்றை கஞ்சியின் மேல் ஊற்றவும். தெங்க சம்மந்தி அல்லது பப்படம் அல்லது ஊறுகாயுடன் சூடாகப் பருகவும்.
கேரள பாணி பயறு கஞ்சி செய்வது எப்படி
தேங்க சம்மந்தி செய்முறை
ஒரு தேக்கரண்டி தேங்காய் எண்ணெயைச் சூடாக்கி, இஞ்சி மற்றும் சிவப்பு மிளகாயை சில நொடிகள் வதக்கவும். தீயை அணைக்கவும். சிவப்பு மிளகாய், இஞ்சி, புதிதாகத் துருவிய தேங்காய், உப்பு, கறிவேப்பிலை மற்றும் புளி ஆகியவற்றை மிகக் குறைந்த தண்ணீர் சேர்த்து கரடுமுரடான பேஸ்டாக அரைக்கவும். பயறு கஞ்சியுடன் சேர்த்து மகிழுங்கள்.</t>
  </si>
  <si>
    <t>https://www.kauveryhospital.com/images/newsletters/2020/december/kerala-kanjiyum-payarum-1.jpg</t>
  </si>
  <si>
    <t>Garlic Bread</t>
  </si>
  <si>
    <t>பூண்டு ரொட்டி</t>
  </si>
  <si>
    <t xml:space="preserve">   Bread,
   Butter – 3 tbsp ,
   Garlic – 1 1/2 tsp minced,
   Salt needed,
   Grated Cheese – as needed ,
   Fresh coriander leaves or parsley – finely chopped.</t>
  </si>
  <si>
    <t>ரொட்டி,
வெண்ணெய் - 3 டேபிள்ஸ்பூன்,
பூண்டு - 1 1/2 டீஸ்பூன் நறுக்கியது,
உப்பு தேவை,
துருவிய சீஸ் - தேவைக்கேற்ப,
புதிய கொத்தமல்லி இலைகள் அல்லது வோக்கோசு - இறுதியாக நறுக்கியது.</t>
  </si>
  <si>
    <t>Spread garlic butter generously on the bread slices.
Top it with a generous amount of grated cheese and sprinkle finely chopped parsley.
how to make garlic bread 
Arrange the bread slices on the aluminium foil lined baking tray and bake for 10-15 minutes until crisp and the cheese melts.
easy and quick garlic bread 
Cut into slices and enjoy it hot from the oven.</t>
  </si>
  <si>
    <t>பிரெட் துண்டுகளின் மீது தாராளமாக பூண்டு வெண்ணெயைத் தடவவும்.
அதன் மேல் தாராளமாக துருவிய சீஸ் சேர்த்து, இறுதியாக நறுக்கிய வோக்கோசு தூவவும்.
பூண்டு ரொட்டி செய்வது எப்படி
அலுமினியத் தாளில் பூண்டு துண்டுகளை அடுக்கி, சீஸ் மொறுமொறுப்பாகவும் உருகும் வரை 10-15 நிமிடங்கள் சுடவும்.
எளிதான மற்றும் விரைவான பூண்டு ரொட்டி
துண்டுகளாக வெட்டி அடுப்பிலிருந்து சூடாக மகிழுங்கள்.</t>
  </si>
  <si>
    <t>https://encrypted-tbn0.gstatic.com/images?q=tbn:ANd9GcQIIg2UlcZYiB5ziR53sYriqSSYk_oAHtbMdw&amp;s</t>
  </si>
  <si>
    <t>Easy Pressure Cooker Biryani</t>
  </si>
  <si>
    <t>எளிதான பிரஷர் குக்கர் பிரியாணி</t>
  </si>
  <si>
    <t xml:space="preserve">   Basmati Rice – 1 1/2 cup,
   Water – 3 cups,
   Fresh lemon juice – 1 tbsp,
   Onion – 2 medium size,
   Green chilli – 2,
   Ginger garlic paste – 1 1/2  tsp,
   Tomato – 1,
   Salt to taste,
   Mint leaves – fistful,
   Coriander leaves – 2 tbsp chopped,
   Carrot – 1 big,
   Beans – 6-8,
   Cauliflower florets – 10-12,
  frozen peas – 1/3 cup,
   Capsicum – 1/3 cup chopped,
   Chilli Powder – 3/4 tsp,
   Coriander powder – 1 tsp,
   Biryani Masala powder- 2 tsp flat,
   Turmeric powder – 1/4 tsp,
   Oil – 2 tbsp,
   Ghee – 1 tbsp,
   Cloves – 4-5,
   Cinnamon – 2 (1 inch piece),
   Cardamom – 2,
   Bay leaf -1,
   Stone flower- 1-2 (optional),
   Fennel seeds  – 1 tsp,
   Coriander leaves – 1 tbsp finely chopped,
   Ghee/Clarified butter – 1-2 tsp,
   Cashew nuts – 6.</t>
  </si>
  <si>
    <t>பாஸ்மதி அரிசி - 1 1/2 கப்,
தண்ணீர் - 3 கப்,
புதிய எலுமிச்சை சாறு - 1 டீஸ்பூன்,
வெங்காயம் - 2 நடுத்தர அளவு,
பச்சை மிளகாய் - 2,
இஞ்சி பூண்டு விழுது - 1 1/2 டீஸ்பூன்,
தக்காளி - 1,
ருசிக்க உப்பு,
புதினா இலைகள் - ஒரு கைப்பிடி,
கொத்தமல்லி இலைகள் - 2 டீஸ்பூன் நறுக்கியது,
கேரட் - 1 பெரியது,
பீன்ஸ் - 6-8,
காலிஃப்ளவர் பூக்கள் - 10-12,
உறைந்த பட்டாணி - 1/3 கப்,
கேப்சிகம் - 1/3 கப் நறுக்கியது,
மிளகாய் தூள் - 3/4 டீஸ்பூன்,
கொத்தமல்லி தூள் - 1 டீஸ்பூன்,
பிரியாணி மசாலா தூள் - 2 டீஸ்பூன் தட்டையானது,
மஞ்சள் தூள் - 1/4 டீஸ்பூன்,
எண்ணெய் - 2 டீஸ்பூன்,
நெய் - 1 டீஸ்பூன்,
கிராம்பு - 4-5,
இலவங்கப்பட்டை - 2 (1 அங்குல துண்டு),
ஏலக்காய் - 2,
பிரிங்காய இலை -1,
கல் பூ- 1-2 (விரும்பினால்),
வெந்தயம் விதைகள் – 1 தேக்கரண்டி,
கொத்தமல்லி இலைகள் – 1 தேக்கரண்டி நன்றாக நறுக்கியது,
நெய்/தெளிவுபடுத்தப்பட்ட வெண்ணெய் – 1-2 தேக்கரண்டி,
முந்திரி பருப்புகள் – 6.</t>
  </si>
  <si>
    <t>In a pressure cooker or pressure pan, heat oil + ghee, add all the ingredients mentioned under seasoning. If you like fennel flavor, you can add otherwise add shahjeera (royal cumin seeds) instead of fennel seeds. Saute for a few seconds.
When it sizzles, add thinly sliced onions and green chilli.
Saute until onions turn translucent.
Add ginger garlic paste.
Saute until the raw flavor goes.
Add chopped tomatoes.
Saute the tomatoes for a few seconds.
Add turmeric powder, chilli powder, coriander powder, little salt and biryani masala.
Saute until the tomato becomes mushy and the raw smell of the spice powder goes.
Add half of the mint and all the coriander leaves.
Add all the vegetables.
Mix well and saute for 2-3 minutes.
Add soaked and drained basmati rice.
Mix well.
Add 3 cups of hot water. Add salt needed (remember we have already added a little salt).Taste the water and adjust spice powder and salt.
Add the rest of the mint leaves and squeeze juice of half a lemon.
Mix well and bring it to boil.
When water starts boiling, reduce the heat to low and close the cooker. Do not put the whistle/weight, instead I inverted a small cup on the vent to prevent steam from escaping.
Cook on very low heat for 5-6 minutes or until all the water has evaporated. Switch off the heat. Open the cooker after 5 minutes and fluff the rice with a fork.
Heat 1-2 tsp of ghee and saute the cashew nuts until golden brown. Add to the biryani and mix gently.
Garnish with finely chopped coriander leaves and enjoy it with onion raita or carrot raita or cucumber pachadi. It makes a perfect one pot meal. It can also be packed for lunch.</t>
  </si>
  <si>
    <t>ஒரு பிரஷர் குக்கர் அல்லது பிரஷர் பாத்திரத்தில், எண்ணெய் + நெய்யை சூடாக்கி, தாளிக்க குறிப்பிடப்பட்டுள்ள அனைத்து பொருட்களையும் சேர்க்கவும். பெருஞ்சீரக சுவை உங்களுக்குப் பிடித்திருந்தால், பெருஞ்சீரக விதைகளுக்குப் பதிலாக ஷாஜீரா (அரச சீரகம்) சேர்க்கவும். சில நொடிகள் வதக்கவும்.
அது கொதிக்கும் போது, ​​மெல்லியதாக நறுக்கிய வெங்காயம் மற்றும் பச்சை மிளகாய் சேர்க்கவும்.
வெங்காயம் ஒளிஊடுருவக்கூடியதாக மாறும் வரை வதக்கவும்.
இஞ்சி பூண்டு விழுது சேர்க்கவும்.
பச்சை சுவை போகும் வரை வதக்கவும்.
நறுக்கிய தக்காளி சேர்க்கவும்.
தக்காளியை சில நொடிகள் வதக்கவும்.
மஞ்சள் தூள், மிளகாய் தூள், கொத்தமல்லி தூள், சிறிது உப்பு மற்றும் பிரியாணி மசாலா சேர்க்கவும்.
தக்காளி மென்மையாக மாறும் வரை மற்றும் மசாலாப் பொடியின் பச்சை வாசனை போகும் வரை வதக்கவும்.
புதினாவில் பாதி மற்றும் அனைத்து கொத்தமல்லி இலைகளையும் சேர்க்கவும்.
அனைத்து காய்கறிகளையும் சேர்க்கவும்.
நன்றாகக் கலந்து 2-3 நிமிடங்கள் வதக்கவும்.
ஊறவைத்து வடிகட்டிய பாஸ்மதி அரிசியைச் சேர்க்கவும்.
நன்றாகக் கலக்கவும்.
3 கப் சூடான நீரைச் சேர்க்கவும். தேவையான அளவு உப்பு சேர்க்கவும் (ஏற்கனவே சிறிது உப்பு சேர்த்துள்ளோம் என்பதை நினைவில் கொள்ளவும்). தண்ணீரை ருசித்து மசாலாப் பொடி மற்றும் உப்பை சரிசெய்யவும்.
மீதமுள்ள புதினா இலைகளைச் சேர்த்து, அரை எலுமிச்சை சாற்றை பிழியவும்.
நன்றாகக் கலந்து கொதிக்க வைக்கவும்.
தண்ணீர் கொதிக்க ஆரம்பித்ததும், தீயைக் குறைத்து குக்கரை மூடவும். விசில்/வெயிட் வைக்க வேண்டாம், அதற்கு பதிலாக நீராவி வெளியேறாமல் இருக்க ஒரு சிறிய கப்பை வென்ட்டில் திருப்பினேன்.
மிகக் குறைந்த தீயில் 5-6 நிமிடங்கள் அல்லது தண்ணீர் அனைத்தும் ஆவியாகும் வரை சமைக்கவும். தீயை அணைக்கவும். 5 நிமிடங்களுக்குப் பிறகு குக்கரைத் திறந்து, அரிசியை ஒரு முட்கரண்டியால் பிசையவும்.
1-2 தேக்கரண்டி நெய்யைச் சூடாக்கி, முந்திரி பருப்புகளை பொன்னிறமாகும் வரை வதக்கவும். பிரியாணியில் சேர்த்து மெதுவாகக் கலக்கவும்.
பொடியாக நறுக்கிய கொத்தமல்லி இலைகளால் அலங்கரித்து, வெங்காய ரைத்தா அல்லது கேரட் ரைத்தா அல்லது வெள்ளரிக்காய் பச்சடியுடன் சேர்த்து சாப்பிடுங்கள். இது ஒரு சரியான ஒற்றைப் பாத்திர உணவாக அமைகிறது. மதிய உணவிற்கும் இதை பேக் செய்யலாம்.</t>
  </si>
  <si>
    <t>https://encrypted-tbn0.gstatic.com/images?q=tbn:ANd9GcT-YWXYqaf_6hoYpb83ee5FeFlBGxNgXxa0uw&amp;s</t>
  </si>
  <si>
    <t>Bruschetta</t>
  </si>
  <si>
    <t>புருஷெட்டா</t>
  </si>
  <si>
    <t xml:space="preserve">   Baguette – 6 slices cut diagonally,
   Garlic – 2 cloves peeled,
   Tomatoes – 2 big,
   Olive oil – 2  tbsp,
   Fresh Basil leaves – 1-2 tbsp finely chopped,
   Coriander– 1-2 tbsp finely chopped,
   Freshly ground Pepper powder as needed,
   Salt to taste.</t>
  </si>
  <si>
    <t>பக்கோடா – 6 துண்டுகள் குறுக்காக வெட்டப்பட்டது,
பூண்டு – 2 பல் உரிக்கப்பட்டது,
தக்காளி – 2 பெரியது,
ஆலிவ் எண்ணெய் – 2 டீஸ்பூன்,
புதிய துளசி இலைகள் – 1-2 டீஸ்பூன் நன்றாக நறுக்கியது,
கொத்தமல்லி – 1-2 டீஸ்பூன் நன்றாக நறுக்கியது,
புதிதாக அரைத்த மிளகு தூள் தேவைக்கேற்ப,
சுவைக்கேற்ப உப்பு.</t>
  </si>
  <si>
    <t>In a bowl, mix together chopped tomatoes, olive oil, fresh coriander leaves, fresh basil leaves, salt and pepper powder. Set aside for 15 minutes for the flavors to blend. (I used dried basil but fresh will be better. If using dried basil, use less). Adjust seasonings to your taste.
how to make bruschetta with tomato and basil
Toast bread slices in preheated oven until golden brown and crispy both sides. Keep an eye to prevent the bread slices from getting burnt.
Remove the bread slices from the oven and rub garlic cloves gently on it when hot.
easy bruschetta recipe
Spoon tomatoes mixture on top of the baguette slices and serve immediately. Enjoy!!</t>
  </si>
  <si>
    <t>ஒரு பாத்திரத்தில், நறுக்கிய தக்காளி, ஆலிவ் எண்ணெய், புதிய கொத்தமல்லி இலைகள், புதிய துளசி இலைகள், உப்பு மற்றும் மிளகு தூள் ஆகியவற்றை ஒன்றாக கலக்கவும். சுவைகள் கலக்க 15 நிமிடங்கள் ஒதுக்கி வைக்கவும். (நான் உலர்ந்த துளசியைப் பயன்படுத்தினேன், ஆனால் புதியது நன்றாக இருக்கும். உலர்ந்த துளசியைப் பயன்படுத்தினால், குறைவாகப் பயன்படுத்துங்கள்). உங்கள் சுவைக்கேற்ப மசாலாப் பொருட்களை சரிசெய்யவும்.
தக்காளி மற்றும் துளசியுடன் புருஷெட்டாவை எப்படி செய்வது
முன் சூடேற்றப்பட்ட அடுப்பில் தங்க பழுப்பு நிறமாகவும் இருபுறமும் மொறுமொறுப்பாகவும் இருக்கும் வரை ரொட்டி துண்டுகளை டோஸ்ட் செய்யவும். ரொட்டி துண்டுகள் எரியாமல் தடுக்க ஒரு கண் வைத்திருங்கள்.
ரொட்டி துண்டுகளை அடுப்பிலிருந்து அகற்றி, சூடானதும் பூண்டு பற்களை மெதுவாக அதன் மீது தேய்க்கவும்.
எளிதான புருஷெட்டா செய்முறை
பக்கோடா துண்டுகளின் மேல் தக்காளி கலவையை ஸ்பூன் செய்து உடனடியாக பரிமாறவும். மகிழுங்கள்!!</t>
  </si>
  <si>
    <t>https://cdn.apartmenttherapy.info/image/upload/f_jpg,q_auto:eco,c_fill,g_auto,w_1500,ar_1:1/k%2FPhoto%2FRecipes%2F2023-07-bruschetta%2FBruschetta_10000jpg</t>
  </si>
  <si>
    <t>Bulgur with Peas and Mint</t>
  </si>
  <si>
    <t>பட்டாணி மற்றும் புதினாவுடன் புல்கர்</t>
  </si>
  <si>
    <t xml:space="preserve">   Bulgur Wheat- 1/2 cup,
   Water – 1 cup,
   Onion – 1 medium size,
   Green chilli – 2 slit,
   Ginger garlic paste – 3/4 tsp,
   Fresh or frozen Peas – 1/3 cup,
   Fresh Mint leaves – fistful,
   Fresh Coriander leaves – fistful,
   Oil – 1 1/2 tbsp,
   Bay leaf – 1,
   Cloves – 2,
   Cinnamon – 1 inch piece,
   Pecans or mixed seeds.</t>
  </si>
  <si>
    <t>புல்கர் கோதுமை - 1/2 கப்,
தண்ணீர் - 1 கப்,
வெங்காயம் - 1 நடுத்தர அளவு,
பச்சை மிளகாய் - 2 துண்டுகள்,
இஞ்சி பூண்டு விழுது - 3/4 தேக்கரண்டி,
புதிய அல்லது உறைந்த பட்டாணி - 1/3 கப்,
புதிய புதினா இலைகள் - ஒரு கைப்பிடி,
புதிய கொத்தமல்லி இலைகள் - ஒரு கைப்பிடி,
எண்ணெய் - 1 1/2 தேக்கரண்டி,
பிரியாணி இலை - 1,
கிராம்பு - 2,
இலவங்கப்பட்டை - 1 அங்குல துண்டு,
பீக்கன்கள் அல்லது கலந்த விதைகள்.</t>
  </si>
  <si>
    <t>In a pan, heat oil, add bay leaf, cloves and cinnamon. Saute for a few seconds and add finely chopped onions.
saute onions 
Saute until onions turn transparent. Add green chillies, ginger garlic paste and saute until the raw flavor goes.
vegetarian bulgur recipe 
Add peas, coriander leaves, mint leaves, salt needed and cook for 3-4 minutes.
Add the cooked bulgur, mix well and cook for another 2 minutes. To make it more nutritious, I have topped it with chopped pecans. You can also top it with mixed seeds. That’s it. Filling, nutritious and delicious bulgur peas pilaf is ready.
Indian bulgur recipe 
Enjoy it with onion raitha or cucumber raita or carrot raita.</t>
  </si>
  <si>
    <t>ஒரு கடாயில், எண்ணெயை சூடாக்கி, பிரியாணி இலை, கிராம்பு மற்றும் இலவங்கப்பட்டை சேர்க்கவும். சில நொடிகள் வதக்கி, இறுதியாக நறுக்கிய வெங்காயத்தைச் சேர்க்கவும்.
வெங்காயத்தை வதக்கவும்
வெங்காயம் வெளிப்படையானதாக மாறும் வரை வதக்கவும். பச்சை மிளகாய், இஞ்சி பூண்டு விழுது சேர்த்து பச்சை சுவை போகும் வரை வதக்கவும்.
சைவ புல்கர் செய்முறை
பட்டாணி, கொத்தமல்லி இலைகள், புதினா இலைகள், தேவையான அளவு உப்பு சேர்த்து 3-4 நிமிடங்கள் சமைக்கவும்.
சமைத்த புல்கரை சேர்த்து, நன்றாகக் கலந்து, மேலும் 2 நிமிடங்கள் சமைக்கவும். இதை மேலும் சத்தானதாக மாற்ற, நான் அதன் மேல் நறுக்கிய பெக்கன்களைச் சேர்த்துள்ளேன். நீங்கள் அதன் மேல் கலப்பு விதைகளையும் சேர்க்கலாம். அவ்வளவுதான். நிறைவான, சத்தான மற்றும் சுவையான புல்கூர் பட்டாணி பிலாஃப் தயார்.
இந்திய புல்கூர் செய்முறை
வெங்காய ரைத்தா அல்லது வெள்ளரி ரைத்தா அல்லது கேரட் ரைத்தாவுடன் இதை அனுபவிக்கவும்.</t>
  </si>
  <si>
    <t>https://encrypted-tbn0.gstatic.com/images?q=tbn:ANd9GcS6sN8Hi0o8lTdMA0qpV6hBPobM0AyGK5YMfg&amp;s</t>
  </si>
  <si>
    <t>Onion Raita</t>
  </si>
  <si>
    <t>வெங்காய ரைத்தா</t>
  </si>
  <si>
    <t xml:space="preserve">  Onion – 1 1/2 cup sliced lengthwise,
   Curd/plain yogurt – 1 cup,
   Green chilli – 1 finely chopped,
   Coriander leaves – 1 tbsp finely chopped,
   Salt needed.</t>
  </si>
  <si>
    <t>வெங்காயம் - 1 1/2 கப் நீளவாக்கில் நறுக்கியது,
தயிர்/தயிர் - 1 கப்,
பச்சை மிளகாய் - 1 பொடியாக நறுக்கியது,
கொத்தமல்லி இலைகள் - 1 டீஸ்பூன் பொடியாக நறுக்கியது,
உப்பு தேவை.</t>
  </si>
  <si>
    <t xml:space="preserve">In a bowl, combine together onion, green chillies, curd and salt needed. Mix well and garnish with finely chopped coriander leaves. That’s it. No seasoning required.
</t>
  </si>
  <si>
    <t>ஒரு பாத்திரத்தில் வெங்காயம், பச்சை மிளகாய், தயிர் மற்றும் உப்பு சேர்த்து நன்கு கலக்கவும். நன்றாக கலந்து பொடியாக நறுக்கிய கொத்தமல்லி இலைகளால் அலங்கரிக்கவும். அவ்வளவுதான். மசாலா தேவையில்லை.</t>
  </si>
  <si>
    <t>https://encrypted-tbn0.gstatic.com/images?q=tbn:ANd9GcRaKChFvqZV7xPtwAHF8rwGEEfyJKuny3luVg&amp;s</t>
  </si>
  <si>
    <t>பிரட் பீட்சா</t>
  </si>
  <si>
    <t xml:space="preserve">   Bread slices – 6,
   Mozzarella cheese – grated as needed,
   Olive oil – 1 tbsp,
   Tomatoes – 3 bigc,
   Garlic – 2 tbsp,
   Chilli powder – 1/8 tsp,
   Chilli flakes – 1/8 tsp,
   Dried Basil – 1/8 tsp,
   Dried Oregano – 1/8 tsp,
   Salt to taste,
   Mushroom,
   Bell Pepper,
   Onion,
   Sweet Corn.</t>
  </si>
  <si>
    <t>பிரட் துண்டுகள் - 6,
மொஸரெல்லா சீஸ் - தேவைக்கேற்ப துருவியது,
ஆலிவ் எண்ணெய் - 1 டீஸ்பூன்,
தக்காளி - 3 பெரிய துண்டுகள்,
பூண்டு - 2 டீஸ்பூன்,
மிளகாய்த்தூள் - 1/8 டீஸ்பூன்,
மிளகாய்த்தூள் - 1/8 டீஸ்பூன்,
உலர்ந்த துளசி - 1/8 டீஸ்பூன்,
உலர்ந்த ஆர்கனோ - 1/8 டீஸ்பூன்,
சுவைக்கு உப்பு,
காளான்,
பெல் பெப்பர்,
வெங்காயம்,
ஸ்வீட் கார்ன்.</t>
  </si>
  <si>
    <t>Keep all the pizza toppings ready. I have used thinly sliced onions, thinly sliced bell peppers (red and yellow), sliced mushrooms and sweet corn. You can also use paneer, olives, tomatoes (seeds removed) etc.
Apply a little olive oil and toast the bread slices slightly.
pizza toppings 
Spread 1-2 tsp of the prepared sauce or tomato ketchup evenly on the bread slices. For one bread slice alone, I have used tomato ketchup as you can see in the picture below.
Arrange the toppings and sprinkle grated mozzarella cheese all over the toppings.
bread pizza recipe 
Grill in a preheated oven at 180 degree C until the cheese starts to melt. Serve immediately. Repeat the same procedure for the rest of the bread slices.
how to make bread pizza 
Bread Pizza on Tawa 
If you do not have an oven, you can make these bread pizza on tawa also. Heat a tawa, reduce the heat to low and  place the prepared bread slice with the toppings on the tawa. Close it with a lid and simmer until the cheese melts. Enjoy it hot!!</t>
  </si>
  <si>
    <t>பீட்சா டாப்பிங்ஸ் அனைத்தையும் தயாராக வைத்திருங்கள். நான் மெல்லியதாக நறுக்கிய வெங்காயம், மெல்லியதாக நறுக்கிய பெல் பெப்பர்ஸ் (சிவப்பு மற்றும் மஞ்சள்), துண்டுகளாக்கப்பட்ட காளான்கள் மற்றும் ஸ்வீட் கார்ன் ஆகியவற்றைப் பயன்படுத்தினேன். நீங்கள் பனீர், ஆலிவ்கள், தக்காளி (விதைகள் நீக்கப்பட்டது) போன்றவற்றையும் பயன்படுத்தலாம்.
சிறிது ஆலிவ் எண்ணெயைத் தடவி, பிரட் துண்டுகளை லேசாக வறுக்கவும்.
பீட்சா டாப்பிங்ஸ்
தயாரிக்கப்பட்ட சாஸ் அல்லது தக்காளி கெட்ச்அப்பை 1-2 டீஸ்பூன் பிரட் துண்டுகளில் சமமாகப் பரப்பவும். ஒரு பிரட் துண்டுக்கு மட்டும், கீழே உள்ள படத்தில் நீங்கள் காணக்கூடியது போல் தக்காளி கெட்ச்அப்பைப் பயன்படுத்தினேன்.
டாப்பிங்ஸை ஒழுங்கமைத்து, துருவிய மொஸரெல்லா சீஸை டாப்பிங்ஸ் முழுவதும் தெளிக்கவும்.
பிரெட் பீட்சா செய்முறை
சீஸ் உருக ஆரம்பிக்கும் வரை 180 டிகிரி செல்சியஸில் முன்கூட்டியே சூடாக்கப்பட்ட அடுப்பில் வறுக்கவும். உடனடியாக பரிமாறவும். மீதமுள்ள பிரட் துண்டுகளுக்கும் இதே நடைமுறையை மீண்டும் செய்யவும்.
பிரெட் பீட்சா செய்வது எப்படி
தவாவில் பிரட் பீட்சா
உங்களிடம் அடுப்பு இல்லையென்றால், இந்த பிரட் பீட்சாவை தவாவில் செய்யலாம். ஒரு தவாவை சூடாக்கி, தீயை குறைத்து, தயாரிக்கப்பட்ட பிரட் துண்டை டாப்பிங்ஸுடன் தவாவின் மீது வைக்கவும். அதை ஒரு மூடியால் மூடி, சீஸ் உருகும் வரை இளங்கொதிவாக்கவும். சூடாக மகிழுங்கள்!!</t>
  </si>
  <si>
    <t>https://www.sharmispassions.com/wp-content/uploads/2020/06/bread-pizza7-500x375.jpg</t>
  </si>
  <si>
    <t>Soya Keema Sandwich</t>
  </si>
  <si>
    <t>சோயா கீமா சாண்ட்விச்</t>
  </si>
  <si>
    <t xml:space="preserve">   Bread slices – 6,
   Butter for toasting bread,
   Soya Chunks – 1/2 cup,
   Onion – 1/2 cup chopped,
   Tomato – 1/2 cup chopped,
   Ginger – 1 inch piece,
   Garlic – 3-4 cloves,
   Green Chilli – 1 finely chopped,
   Curd/plain yogurt – 2 tsp,
   Salt to taste,
   Oil – 1 tbsp,
   Chilli Powder – 1/2 tsp,
   Turmeric powder – 1/4 tsp,
   Coriander powder – 2 tsp,
  garam masala powder – 3/4 tsp.</t>
  </si>
  <si>
    <t>பிரெட் துண்டுகள் - 6,
பிரெட் டோஸ்ட் செய்ய வெண்ணெய்,
சோயா துண்டுகள் - 1/2 கப்,
வெங்காயம் - 1/2 கப் நறுக்கியது,
தக்காளி - 1/2 கப் நறுக்கியது,
இஞ்சி - 1 அங்குல துண்டு,
பூண்டு - 3-4 பல்,
பச்சை மிளகாய் - 1 நன்றாக நறுக்கியது,
தயிர்/வெந்தய தயிர் - 2 டீஸ்பூன்,
ருசிக்க உப்பு,
எண்ணெய் - 1 டீஸ்பூன்,
மிளகாய் தூள் - 1/2 டீஸ்பூன்,
மஞ்சள் தூள் - 1/4 டீஸ்பூன்,
கொத்தமல்லி தூள் - 2 டீஸ்பூன்,
கரம் மசாலா தூள் - 3/4 டீஸ்பூன்.</t>
  </si>
  <si>
    <t>Heat oil in a pan, add finely chopped onions, green chillies, ginger and garlic. Saute until onions turn transparent.
Add finely chopped tomatoes, chilli powder, coriander powder, turmeric powder, kitchen king masala powder or garam masala powder and salt needed.
soya chunks sandwich toast 
Saute until tomatoes become mushy. Add thick curd/plain yogurt and saute for a few more minutes.
soya chunks masala sandwich 
Add coarsely ground soya chunks and cook on medium heat until all the moisture evaporates and the mixture becomes dry. Our soya keema filling/ stuffing is ready.
Soya Chunks Sandwich 
Grease the toaster with butter. Cut the corners of the bread slices, place 1-2 tbsp of soya keema masala on a bread slice, close it with another bread slice and toast until golden brown. You can apply butter on the outside of the bread slices also if desired. If you do not have a toaster, you can toast it on tawa also.
Soya Kheema Sandwich recipe 
Repeat the same process for the rest of the bread slices. You do not need any side dish for this. It tastes good as such. As this sandwich is rich in protein, it is good for growing children.
The stuffing is the same as I used for soya keema paratha. So in case, if you have leftover stuffing, you can make use of it by making this sandwich or paratha or soya keema rolls.</t>
  </si>
  <si>
    <t>ஒரு கடாயில் எண்ணெயை சூடாக்கி, பொடியாக நறுக்கிய வெங்காயம், பச்சை மிளகாய், இஞ்சி மற்றும் பூண்டு சேர்த்து வதக்கவும். வெங்காயம் வெளிப்படையானதாக மாறும் வரை வதக்கவும்.
பொடியாக நறுக்கிய தக்காளி, மிளகாய் தூள், கொத்தமல்லி தூள், மஞ்சள் தூள், கிச்சன் கிங் மசாலா பவுடர் அல்லது கரம் மசாலா பவுடர் மற்றும் தேவையான உப்பு சேர்க்கவும்.
சோயா துண்டுகள் சாண்ட்விச் டோஸ்ட்
தக்காளி மென்மையாக மாறும் வரை வதக்கவும். கெட்டியான தயிர்/வெற்று தயிர் சேர்த்து இன்னும் சில நிமிடங்கள் வதக்கவும்.
சோயா துகள்கள் மசாலா சாண்ட்விச்
கொழுப்பாக அரைத்த சோயா துகள்களைச் சேர்த்து, ஈரப்பதம் அனைத்தும் ஆவியாகி கலவை காயும் வரை மிதமான தீயில் சமைக்கவும். எங்கள் சோயா கீமா நிரப்புதல்/ஸ்டஃபிங் தயாராக உள்ளது.
சோயா துகள்கள் சாண்ட்விச்
டோஸ்டரை வெண்ணெய் தடவவும். ரொட்டித் துண்டுகளின் மூலைகளை வெட்டி, 1-2 தேக்கரண்டி சோயா கீமா மசாலாவை ஒரு ரொட்டித் துண்டில் வைத்து, அதை மற்றொரு ரொட்டித் துண்டால் மூடி, பொன்னிறமாகும் வரை டோஸ்ட் செய்யவும். விரும்பினால் ரொட்டித் துண்டுகளின் வெளிப்புறத்திலும் வெண்ணெய் தடவலாம். உங்களிடம் டோஸ்டர் இல்லையென்றால், அதை தவாவில் டோஸ்ட் செய்யலாம்.
சோயா கீமா சாண்ட்விச் செய்முறை
மீதமுள்ள ரொட்டித் துண்டுகளுக்கும் இதே செயல்முறையை மீண்டும் செய்யவும். இதற்கு உங்களுக்கு எந்த சைட் டிஷ் தேவையில்லை. இது அப்படியே சுவையாக இருக்கும். இந்த சாண்ட்விச்சில் புரதம் நிறைந்திருப்பதால், வளரும் குழந்தைகளுக்கு இது நல்லது.
சோயா கீமா பராத்தாவுக்கு நான் பயன்படுத்தியதைப் போலவே ஸ்டஃபிங் உள்ளது. எனவே, உங்களிடம் மீதியான ஸ்டஃபிங் இருந்தால், இந்த சாண்ட்விச் அல்லது பரோட்டா அல்லது சோயா கீமா ரோல்களைச் செய்து அதைப் பயன்படுத்திக் கொள்ளலாம்.</t>
  </si>
  <si>
    <t>https://encrypted-tbn0.gstatic.com/images?q=tbn:ANd9GcQWAuO1jHaz167uFbfQUTkHvbm9YYJIkf4OkA&amp;s</t>
  </si>
  <si>
    <t>Egg Kathi Rolls</t>
  </si>
  <si>
    <t>முட்டை கத்தி ரோல்ஸ்</t>
  </si>
  <si>
    <t xml:space="preserve">   Chapatis – 3,
   Egg – 1 per kathi roll,
   Pepper powder – 1/4 tsp,
   Oil – 1 1/2 tbsp,
   Onion – 1 big,
   Ginger – 1 inch piece,
   Garlic – 4 cloves,
   Green Chilli -1,
   Capsicum – 1/2 a medium size,
   Cabbage – 1/3 cup shredded,
   Tomato -1,
   Salt needed,
   Coriander leaves – 2 tbsp finely chopped,
   Tomato ketchup – 11/2 tsp,
   Chilli Powder – 1/2 tsp,
   Coriander powder – 2 tsp,
   Turmeric Powder – 1/4 tsp,
   Garam Masala Powder – 1/4 tsp,
   Thinly sliced Onions.</t>
  </si>
  <si>
    <t>சப்பாத்திகள் - 3,
முட்டை - கத்தி ரோலுக்கு 1,
மிளகு தூள் - 1/4 டீஸ்பூன்,
எண்ணெய் - 1 1/2 டீஸ்பூன்,
வெங்காயம் - 1 பெரியது,
இஞ்சி - 1 அங்குல துண்டு,
பூண்டு - 4 பல்,
பச்சை மிளகாய் -1,
கேப்சிகம் - 1/2 நடுத்தர அளவு,
முட்டைக்கோஸ் - 1/3 கப் துருவியது,
தக்காளி -1,
உப்பு தேவை,
கொத்தமல்லி இலைகள் - 2 டீஸ்பூன் நன்றாக நறுக்கியது,
தக்காளி கெட்ச்அப் - 11/2 டீஸ்பூன்,
மிளகாய் தூள் - 1/2 டீஸ்பூன்,
கொத்தமல்லி தூள் - 2 டீஸ்பூன்,
மஞ்சள் தூள் - 1/4 டீஸ்பூன்,
கரம் மசாலா தூள் - 1/4 டீஸ்பூன்,
மெல்லியதாக நறுக்கிய வெங்காயம்.</t>
  </si>
  <si>
    <t>Heat oil in a pan, add onions, ginger, garlic, green chillies and saute until onions turn translucent.
Add thinly sliced capsicum, cabbage and saute on high flame for a few minutes.
Add tomatoes, salt needed and all the spice powder.
how to make egg vegetable roll 
Saute on high flame. Add chopped coriander leaves, tomato ketchup, mix well and switch off the heat. The vegetables should retain it crunchiness, so avoid overcooking.
vegetable egg wraps 
Now our filling and the chapatis are ready.
egg frankie recipe
Heat a tawa, apply half a tsp of oil all over and pour the prepared egg mixture over it.
Then place the chapati on top of the egg mixture and press it well.
how to make egg kathi roll
Once the egg gets cooked, flip it over to the other side, cook for 2-3 seconds and remove from heat.
Now place 2-3 tbsp of the prepared filling as show in the picture below.
egg roll recipe
Then place thinly sliced onions on top of it.
Roll the chapati tightly, cut into half and enjoy it hot. Alternatively you can fold the chapati below, roll it and wrap it in an aluminium foil so that you can hold it and enjoy the egg vegetable kathi rolls hot.
egg frankie 
Repeat the same process for the rest of the chapatis.</t>
  </si>
  <si>
    <t>ஒரு கடாயில் எண்ணெயை சூடாக்கி, வெங்காயம், இஞ்சி, பூண்டு, பச்சை மிளகாய் சேர்த்து வெங்காயம் தெளிவாகும் வரை வதக்கவும்.
மெல்லியதாக நறுக்கிய கேப்சிகம், முட்டைக்கோஸ் சேர்த்து அதிக தீயில் சில நிமிடங்கள் வதக்கவும்.
தக்காளி, தேவையான உப்பு மற்றும் மசாலாப் பொடியைச் சேர்க்கவும்.
முட்டை காய்கறி ரோல் செய்வது எப்படி
அதிக தீயில் வதக்கவும். நறுக்கிய கொத்தமல்லி இலைகள், தக்காளி கெட்ச்அப் சேர்த்து நன்கு கலந்து தீயை அணைக்கவும். காய்கறிகள் மொறுமொறுப்பாக இருக்க வேண்டும், எனவே அதிகமாக வேகுவதைத் தவிர்க்கவும்.
காய்கறி முட்டை உறைகள்
இப்போது எங்கள் பூரணம் மற்றும் சப்பாத்திகள் தயாராக உள்ளன.
முட்டை பிராங்கி செய்முறை
ஒரு தவாவை சூடாக்கி, அரை தேக்கரண்டி எண்ணெயை முழுவதுமாக தடவி, தயாரிக்கப்பட்ட முட்டை கலவையை அதன் மேல் ஊற்றவும்.
பின்னர் சப்பாத்தியை முட்டை கலவையின் மேல் வைத்து நன்றாக அழுத்தவும்.
முட்டை கத்தி ரோல் செய்வது எப்படி
முட்டை வெந்தவுடன், அதை மறுபுறம் திருப்பி, 2-3 வினாடிகள் சமைக்கவும், வெப்பத்திலிருந்து அகற்றவும்.
இப்போது கீழே உள்ள படத்தில் காட்டப்பட்டுள்ளபடி தயாரிக்கப்பட்ட பூரணத்தில் 2-3 தேக்கரண்டி வைக்கவும்.
முட்டை ரோல் செய்முறை
பின்னர் அதன் மேல் மெல்லியதாக நறுக்கிய வெங்காயத்தை வைக்கவும்.
சப்பாத்தியை இறுக்கமாக உருட்டி, பாதியாக வெட்டி சூடாக மகிழுங்கள். மாற்றாக, கீழே உள்ள சப்பாத்தியை மடித்து, உருட்டி, அலுமினியப் படலத்தில் சுற்றி வைக்கவும், இதனால் நீங்கள் அதைப் பிடித்து, முட்டை காய்கறி கத்தி ரோல்களை சூடாக அனுபவிக்க முடியும்.
முட்டை பிரான்கி
மீதமுள்ள சப்பாத்திகளுக்கும் இதே செயல்முறையை மீண்டும் செய்யவும்.</t>
  </si>
  <si>
    <t>https://ministryofcurry.com/wp-content/uploads/2023/11/Kolkatta-Egg-Roll-4.jpg</t>
  </si>
  <si>
    <t>Egg Dosa</t>
  </si>
  <si>
    <t>முட்டை தோசை</t>
  </si>
  <si>
    <t xml:space="preserve">   Dosa Batter as needed,
   Egg – 1 per dosa,
   Salt needed,
   Pepper powder needed,
   Oil for making dosas.</t>
  </si>
  <si>
    <t>தேவைக்கேற்ப தோசை மாவு,
முட்டை - தோசைக்கு 1,
உப்பு தேவை,
மிளகு தூள் தேவை,
தோசை செய்ய எண்ணெய்.</t>
  </si>
  <si>
    <t>Grease a tawa with oil and heat it. Pour a ladle of dosa batter on the tawa and spread it in a circular motion (neither thin nor thick).
how to make egg dosa 
After a few seconds, pour the egg mixture on the dosa and spread it all over the dosa with a spoon. Drizzle a tsp of oil around the dosa.
When the corners start lifting up, flip it over to the other side and cook for a few seconds.
Once the egg is cooked, remove the dosa from the tawa and sprinkle pepper powder generously. Enjoy piping hot egg dosa with tomato chutney.</t>
  </si>
  <si>
    <t>ஒரு தவாவில் எண்ணெயை தடவி சூடாக்கவும். ஒரு கரண்டி தோசை மாவை தவாவில் ஊற்றி வட்ட இயக்கத்தில் பரப்பவும் (மெல்லியதாகவோ அல்லது தடிமனாகவோ இல்லாமல்).
முட்டை தோசை செய்வது எப்படி
சில வினாடிகளுக்குப் பிறகு, முட்டை கலவையை தோசையின் மீது ஊற்றி, ஒரு கரண்டியால் தோசை முழுவதும் பரப்பவும். தோசையைச் சுற்றி ஒரு தேக்கரண்டி எண்ணெயைத் தெளிக்கவும்.
மூலைகள் மேலே எழத் தொடங்கியதும், அதை மறுபுறம் திருப்பி சில வினாடிகள் சமைக்கவும்.
முட்டை வெந்தவுடன், தோசையை தவாவிலிருந்து அகற்றி, மிளகுத் தூளை தாராளமாகத் தூவி மகிழுங்கள். தக்காளி சட்னியுடன் சூடான முட்டை தோசையை பிசைந்து மகிழுங்கள்.</t>
  </si>
  <si>
    <t>https://encrypted-tbn0.gstatic.com/images?q=tbn:ANd9GcRht-2faC-igszEU3hHHH26u7fGmfmAuqgeKw&amp;s</t>
  </si>
  <si>
    <t>Lauki Gravy</t>
  </si>
  <si>
    <t>லாக்கி கிரேவி</t>
  </si>
  <si>
    <t xml:space="preserve">   Bottle Gourd – 4 cups chopped,
   Potato – 1 medium size peeled and chopped,
   Onion – 1 cup chopped,
   Tomato – 1 cup chopped,
   Ginger – 1 inch finely chopped,
   Green Chillies – 1-2 slit,
   Chilli powder – 1 tsp,
   Coriander powder – 2 tsp,
   Turmeric powder – 1/4 tsp,
   Salt needed,
   Oil – 2 tbsp,
   Cumin seeds – 1 tsp,
   Red Chilli – 1,
   Cloves – 2,
   Cinnamon – 1 inch piece,
   Whole black peppercorns – 1/4 tsp,
   Curry leaves – a sprig,
   Coriander leaves – 2 tbsp finely chopped.</t>
  </si>
  <si>
    <t>சுரைக்காய் - 4 கப் நறுக்கியது,
உருளைக்கிழங்கு - 1 நடுத்தர அளவு தோல் நீக்கி நறுக்கியது,
வெங்காயம் - 1 கப் நறுக்கியது,
தக்காளி - 1 கப் நறுக்கியது,
இஞ்சி - 1 அங்குலம் நன்றாக நறுக்கியது,
பச்சை மிளகாய் - 1-2 துண்டுகள்,
மிளகாய் தூள் - 1 தேக்கரண்டி,
கொத்தமல்லி தூள் - 2 தேக்கரண்டி,
மஞ்சள் தூள் - 1/4 தேக்கரண்டி,
உப்பு தேவை,
எண்ணெய் - 2 தேக்கரண்டி,
சீரகம் - 1 தேக்கரண்டி,
சிவப்பு மிளகாய் - 1,
கிராம்பு - 2,
இலவங்கப்பட்டை - 1 அங்குல துண்டு,
முழு கருப்பு மிளகு - 1/4 தேக்கரண்டி,
கறிவேப்பிலை - ஒரு தளிர்,
கொத்தமல்லி இலை - 2 தேக்கரண்டி நன்றாக நறுக்கியது.</t>
  </si>
  <si>
    <t>Heat oil in a pressure pan or cooker, add cumin seeds, red chilli, cloves, cinnamon and peppercorns.
When cumin seeds sizzles, add finely chopped onions, ginger, green chillies and curry leaves.
sauteing onions
Saute until onions turn golden brown. Add chopped tomatoes, turmeric powder, chilli powder and coriander powder.
sauteing tomatoes 
Cook until tomatoes become soft. Add chopped bottle gourd, cubed potatoes and mix well so that it is well coated with the masala.
dudhi gravy 
Add 2 cups of water, salt needed and pressure cook for 2 or 3 whistles.
quick bottlegourd gravy in pressure cooker 
Once the pressure subsides, open the cooker and cook for another 5 minutes on medium heat. You can adjust the consistency of the gravy by adding more or less water.
Garnish with coriander leaves and serve hot with roti or parathas.</t>
  </si>
  <si>
    <t>ஒரு பிரஷர் பானில் அல்லது குக்கரில் எண்ணெயை சூடாக்கி, சீரகம், சிவப்பு மிளகாய், கிராம்பு, இலவங்கப்பட்டை மற்றும் மிளகுத்தூள் சேர்க்கவும்.
சீரகம் கொதிக்கும் போது, ​​இறுதியாக நறுக்கிய வெங்காயம், இஞ்சி, பச்சை மிளகாய் மற்றும் கறிவேப்பிலை சேர்க்கவும்.
வெங்காயம் வதக்கவும்
வெங்காயம் பொன்னிறமாகும் வரை வதக்கவும். நறுக்கிய தக்காளி, மஞ்சள் தூள், மிளகாய் தூள் மற்றும் கொத்தமல்லி தூள் சேர்க்கவும்.
தக்காளி வதக்கவும்
தக்காளி மென்மையாகும் வரை சமைக்கவும். நறுக்கிய பாசிப்பருப்பு, க்யூப்ஸ் செய்யப்பட்ட உருளைக்கிழங்கு ஆகியவற்றைச் சேர்த்து, மசாலாவுடன் நன்கு பூசப்படும் வரை நன்கு கலக்கவும்.
துதி கிரேவி
2 கப் தண்ணீர், தேவையான அளவு உப்பு சேர்த்து 2 அல்லது 3 விசில் வரை பிரஷர் சமைக்கவும்.
பிரஷர் குக்கரில் விரைவு பாசிப்பருப்பு கிரேவி
அழுத்தம் குறைந்தவுடன், குக்கரைத் திறந்து மிதமான தீயில் மேலும் 5 நிமிடங்கள் சமைக்கவும். அதிகமாகவோ அல்லது குறைவாகவோ தண்ணீரைச் சேர்ப்பதன் மூலம் கிரேவியின் நிலைத்தன்மையை சரிசெய்யலாம்.
கொத்தமல்லி இலைகளால் அலங்கரித்து, ரொட்டி அல்லது பரோட்டாவுடன் சூடாகப் பரிமாறவும்.</t>
  </si>
  <si>
    <t>https://dinedelicious.in/wp-content/uploads/2020/09/Lauki-ki-Sabzi-6-480x270.jpg</t>
  </si>
  <si>
    <t>Broccoli Cutlet</t>
  </si>
  <si>
    <t>ப்ரோக்கோலி கட்லெட்</t>
  </si>
  <si>
    <t xml:space="preserve">   Broccoli – 1 cup shredded,
   Potato – 1/3 cup Boiled and mashed,
   Onion – 3 tbsp finely chopped,
   Ginger-garlic paste – 3/4 tsp,
   Green chilli – 1 finely chopped,
   Garam Masala powder – 1 tsp,
   Turmeric powder – 1/4 tsp,
   Bengal Gram flour – 3 tbsp,
   Coriander leaves – 1 tbsp finely chopped,
   Fresh lemon juice – 3-4 drops,
   Salt to taste,
   Oil for shallow frying cutlets.</t>
  </si>
  <si>
    <t>ப்ரோக்கோலி - 1 கப் துருவியது,
உருளைக்கிழங்கு - 1/3 கப் வேகவைத்து மசித்தது,
வெங்காயம் - 3 டேபிள்ஸ்பூன் நன்றாக நறுக்கியது,
இஞ்சி-பூண்டு விழுது - 3/4 டேபிள்ஸ்பூன்,
பச்சை மிளகாய் - 1 டேபிள்ஸ்பூன் நன்றாக நறுக்கியது,
கரம் மசாலா தூள் - 1 டேபிள்ஸ்பூன்,
மஞ்சள் தூள் - 1/4 டேபிள்ஸ்பூன்,
வங்காள பருப்பு மாவு - 3 டேபிள்ஸ்பூன்,
கொத்தமல்லி இலைகள் - 1 டேபிள்ஸ்பூன் நன்றாக நறுக்கியது,
புதிய எலுமிச்சை சாறு - 3-4 சொட்டுகள்,
சுவைக்கு உப்பு,
கட்லெட்டுகளை நன்றாக வறுக்க எண்ணெய்.</t>
  </si>
  <si>
    <t>In a bowl, mix together broccoli, boiled and mashed potato, finely chopped onions, ginger-garlic paste, finely chopped green chilli, turmeric powder, garam masala powder, finely chopped coriander leaves, salt needed, bengal gram flour or bread crumbs and lemon juice. Mix well.
Broccoli Potato Tikki Recipe
Divide the mixture into equal parts. Form patties from the mixture as shown below. If you are unable to form patties, add more bread crumbs or bengal gram flour.
Broccoli Cutlet recipe
Heat oil in a pan/tawa and shallow fry the cutlets on medium low heat until golden brown on both sides. It will take time. Have patience.
Enjoy hot with tomato ketchup or tomato chutney or green chutney and a cup of piping hot tea.</t>
  </si>
  <si>
    <t>ஒரு பாத்திரத்தில், ப்ரோக்கோலி, வேகவைத்து மசித்த உருளைக்கிழங்கு, ப்ரோக்கோலி, வேகவைத்து மசித்த வெங்காயம், ப்ரோக்கோலி விழுது, ப்ரோக்கோலி பொடித்த பச்சை மிளகாய், மஞ்சள் தூள், கரம் மசாலா தூள், ப்ரோக்கோலி தழை, தேவையான உப்பு, வங்காள பருப்பு மாவு அல்லது ரொட்டி துண்டுகள் மற்றும் எலுமிச்சை சாறு ஆகியவற்றை ஒன்றாக கலக்கவும். நன்றாக கலக்கவும்.
ப்ரோக்கோலி உருளைக்கிழங்கு டிக்கி செய்முறை
கலவையை சம பாகங்களாகப் பிரிக்கவும். கீழே காட்டப்பட்டுள்ளபடி கலவையிலிருந்து பஜ்ஜிகளை உருவாக்கவும். நீங்கள் பஜ்ஜிகளை உருவாக்க முடியாவிட்டால், அதிக ரொட்டி துண்டுகள் அல்லது வங்காள பருப்பு மாவு சேர்க்கவும்.
ப்ரோக்கோலி கட்லெட் செய்முறை
ஒரு பாத்திரத்தில்/தவாவில் எண்ணெயை சூடாக்கி, கட்லெட்டுகளை நடுத்தர குறைந்த தீயில் இருபுறமும் பொன்னிறமாகும் வரை வறுக்கவும். இதற்கு நேரம் எடுக்கும். பொறுமையாக இருங்கள்.
தக்காளி கெட்ச்அப் அல்லது தக்காளி சட்னி அல்லது பச்சை சட்னி மற்றும் ஒரு கப் சூடான தேநீருடன் சூடாக மகிழுங்கள்.</t>
  </si>
  <si>
    <t>https://encrypted-tbn0.gstatic.com/images?q=tbn:ANd9GcQDjIU5P84eGx0O0Wfp79u2vomd3eLnwgkS5A&amp;s</t>
  </si>
  <si>
    <t>Moru Curry</t>
  </si>
  <si>
    <t>மோரு கறி</t>
  </si>
  <si>
    <t xml:space="preserve">   Thick Curd – 2  3/4 cup,
   Water – 2 1/2 cup ,
   Salt needed,
   Grated coconut – 1 cup,
   Turmeric powder– 1/4 tsp,
   Cumin powder – 1/4 tsp,
   Fenugreek– 1/4 tsp,
   Shallots – 2-3,
   Green Chillies – 2,
   Coconut oil – 1 tbsp,
   Mustard seeds– 1 tsp,
   Red Chillies – 2,
   Shallots – 2-3 thinly sliced,
   Curry leaves – a sprig.</t>
  </si>
  <si>
    <t>கெட்டியான தயிர் - 2 3/4 கப்,
தண்ணீர் - 2 1/2 கப்,
உப்பு தேவை,
துருவிய தேங்காய் - 1 கப்,
மஞ்சள் தூள் - 1/4 தேக்கரண்டி,
சீரகத்தூள் - 1/4 தேக்கரண்டி,
வெந்தயம் - 1/4 தேக்கரண்டி,
வெங்காயம் - 2-3,
பச்சை மிளகாய் - 2,
தேங்காய் எண்ணெய் - 1 தேக்கரண்டி,
கடுகு - 1 தேக்கரண்டி,
சிவப்பு மிளகாய் - 2,
வெங்காயம் - 2-3 மெல்லியதாக நறுக்கியது,
கறிவேப்பிலை - ஒரு தளிர்.</t>
  </si>
  <si>
    <t>Heat coconut oil in a kadai/pan on medium heat, add mustard seeds, when it splutters, add red chillies, curry leaves and shallots.
Saute until shallots turn golden brown. Reduce the heat to the lowest point and add the prepared buttermilk.
Seasoned Buttermilk Kerala Style
Add needed salt and keep stirring it on medium low heat. Once it is warm and a little frothy, turn off the heat. Do not boil it.
Muru curry is ready to be served with rice. I had it with Kerala rosematta rice and a vegetable curry. It was a filling, delicious and a simple lunch.</t>
  </si>
  <si>
    <t>ஒரு கடாயில் தேங்காய் எண்ணெயை மிதமான தீயில் சூடாக்கி, கடுகு சேர்த்து, அது வதங்கியதும், சிவப்பு மிளகாய், கறிவேப்பிலை மற்றும் வெங்காயத்தைச் சேர்க்கவும்.
வெங்காயம் பொன்னிறமாகும் வரை வதக்கவும். தீயை குறைந்தபட்சமாகக் குறைத்து, தயாரிக்கப்பட்ட மோர் சேர்க்கவும்.
சுவையூட்டிய மோர் கேரள பாணி
தேவையான உப்பைச் சேர்த்து, மிதமான தீயில் கிளறவும். அது சூடாகவும், சிறிது நுரை வந்த பிறகும், அடுப்பை அணைக்கவும். கொதிக்க விடாதீர்கள்.
முரு கறி சாதத்துடன் பரிமாற தயாராக உள்ளது. நான் அதை கேரள ரோஸ்மட்டா சாதம் மற்றும் காய்கறி கறியுடன் சாப்பிட்டேன். இது ஒரு நிறைவான, சுவையான மற்றும் எளிமையான மதிய உணவாக இருந்தது.</t>
  </si>
  <si>
    <t>https://encrypted-tbn0.gstatic.com/images?q=tbn:ANd9GcT2W_j6yKrDhcWsvXEVh5H9r73IGgoKhhcoAw&amp;s</t>
  </si>
  <si>
    <t>Millet Cutlet</t>
  </si>
  <si>
    <t>தினை கட்லெட்</t>
  </si>
  <si>
    <t xml:space="preserve">   Millet – 1 cup cooked,
   Oil – 2 tbsp,
   Onion – 1/3 cup,
   Garlic – 2 tbsp minced,
   Green chilli – 1 finely chopped,
   Ginger – 1 tbsp finely chopped,
   Carrot – 1/2 cup grated,
   Turmeric powder – a pinch,
   Salt to taste,
   Pepper powder to taste,
   Harissa spice powder – 1/2 tsp,
   Coriander leaves – 2 tbsp finely chopped,
   Flaxseed powder – 1 1/2 tbsp,
   Curd/plain yogurt – 2 tbsp,
   Olive oil – 2 tbsp,
   Onion – 1 finely chopped,
   Garlic – 2 tbsp minced,
   Ginger – 1 tsp finely chopped,
   Ripe tomatoes – 3 big,
   Salt to taste,
   Pepper powder to taste,
   Herbs (basil and oregano).</t>
  </si>
  <si>
    <t>தினை - 1 கப் சமைத்த,
எண்ணெய் - 2 டேபிள்ஸ்பூன்,
வெங்காயம் - 1/3 கப்,
பூண்டு - 2 டேபிள்ஸ்பூன் பொடியாக நறுக்கியது,
பச்சை மிளகாய் - 1 நன்றாக நறுக்கியது,
இஞ்சி - 1 டேபிள்ஸ்பூன் பொடியாக நறுக்கியது,
கேரட் - 1/2 கப் துருவியது,
மஞ்சள் தூள் - ஒரு சிட்டிகை,
சுவைக்கு உப்பு,
சுவைக்கு மிளகு தூள்,
ஹரிசா மசாலா தூள் - 1/2 டேபிள்ஸ்பூன்,
கொத்தமல்லி இலைகள் - 2 டேபிள்ஸ்பூன் பொடியாக நறுக்கியது,
ஆலிவ் எண்ணெய் - 2 டேபிள்ஸ்பூன்,
வெங்காயம் - 1 நன்றாக நறுக்கியது,
பூண்டு - 2 டேபிள்ஸ்பூன் பொடியாக நறுக்கியது,
இஞ்சி - 1 டேபிள்ஸ்பூன் பொடியாக நறுக்கியது,
பழுத்த தக்காளி - 3 பெரியது,
சுவைக்கு உப்பு,
சுவைக்கு மிளகு தூள்,
மூலிகைகள் (துளசி மற்றும் ஆர்கனோ).</t>
  </si>
  <si>
    <t>Heat oil in a pan, add finely chopped onions, green chilli, garlic, ginger and saute until onions turn transparent.
sauteing onions 
Add grated carrot, salt, pepper powder, turmeric powder, harissa spice powder (optional) and cook covered. Sprinkle water in between and cook until carrots turn soft.
millet cutlet recipe 
Once the carrots are cooked, add cooked millets, finely chopped coriander leaves and mix well. Cook for a further few seconds.
Then add flaxeed + curd mixture and mix well.
how to make millet cutlets
Leave it to cool. Divide the mixture equally and shape into patties as show in the picture below. You can refrigerate the patties for 15 minutes, if required.
millet patties 
Heat oil in a pan and shallow fry the patties both sides until golden brown. Serve with quick homemade sauce and enjoy.
saamai tikki-little millet tikki
Quick Homemade Sauce for the millet cutlets
Before preparing the cutlets, prepare the sauce or make both side by side.
Blend the tomatoes and keep it ready.
Heat olive oil in a pan, add finely chopped onions, garlic and ginger. Saute until onions turn transparent.
Add blended tomato puree, salt and pepper powder to taste and cook until it thickens stirring from time to time.
instant homemade sauce
Add dry basil and oregano and mix well. Garnish with finely chopped coriander leaves and serve as a side dish for millet cutlets.
quick tomato sauce recipe
Enjoy Millet Cutlets hot with quick homemade sauce.</t>
  </si>
  <si>
    <t>ஒரு கடாயில் எண்ணெயை சூடாக்கி, இறுதியாக நறுக்கிய வெங்காயம், பச்சை மிளகாய், பூண்டு, இஞ்சி சேர்த்து வெங்காயம் வெளிப்படையானதாக மாறும் வரை வதக்கவும்.
வெங்காயம் வதக்கவும்
துருவிய கேரட், உப்பு, மிளகு தூள், மஞ்சள் தூள், ஹரிசா மசாலா தூள் (விரும்பினால்) சேர்த்து மூடி வைத்து சமைக்கவும். இடையில் தண்ணீர் தெளித்து கேரட் மென்மையாகும் வரை சமைக்கவும்.
தினை கட்லெட் செய்முறை
கேரட் வெந்தவுடன், சமைத்த தினை, இறுதியாக நறுக்கிய கொத்தமல்லி இலைகளைச் சேர்த்து நன்கு கலக்கவும். மேலும் சில வினாடிகள் சமைக்கவும்.
பின்னர் ஆளி விதை + தயிர் கலவையைச் சேர்த்து நன்கு கலக்கவும்.
தினை கட்லெட் செய்வது எப்படி
குளிர விடவும். கலவையை சமமாகப் பிரித்து கீழே உள்ள படத்தில் காட்டப்பட்டுள்ளபடி பஜ்ஜிகளாக வடிவமைக்கவும். தேவைப்பட்டால், பஜ்ஜிகளை 15 நிமிடங்கள் குளிர்சாதன பெட்டியில் வைக்கலாம்.
தினை பஜ்ஜிகள்
ஒரு பாத்திரத்தில் எண்ணெயை சூடாக்கி, பஜ்ஜிகளை இருபுறமும் பொன்னிறமாகும் வரை மேலோட்டமாக வறுக்கவும். விரைவான வீட்டில் தயாரிக்கப்பட்ட சாஸுடன் பரிமாறவும்.
சாமை டிக்கி-லிட்டில் தினை டிக்கி
தினை கட்லெட்டுகளுக்கான விரைவான வீட்டில் தயாரிக்கப்பட்ட சாஸ்
கட்லெட்டுகளைத் தயாரிப்பதற்கு முன், சாஸைத் தயாரிக்கவும் அல்லது இரண்டையும் அருகருகே செய்யவும்.
தக்காளியை அரைத்து தயாராக வைக்கவும்.
ஒரு பாத்திரத்தில் ஆலிவ் எண்ணெயை சூடாக்கி, இறுதியாக நறுக்கிய வெங்காயம், பூண்டு மற்றும் இஞ்சி சேர்க்கவும். வெங்காயம் தெளிவாகும் வரை வதக்கவும்.
தக்காளி கூழ், உப்பு மற்றும் மிளகு தூள் சேர்த்து அவ்வப்போது கிளறி கெட்டியாகும் வரை சமைக்கவும்.
உடனடி வீட்டில் தயாரிக்கப்பட்ட சாஸ்
உலர்ந்த துளசி மற்றும் ஆர்கனோ சேர்த்து நன்கு கலக்கவும். இறுதியாக நறுக்கிய கொத்தமல்லி இலைகளால் அலங்கரித்து தினை கட்லெட்டுகளுக்கு ஒரு பக்க உணவாகப் பரிமாறவும்.
விரைவான தக்காளி சாஸ் செய்முறை
தினை கட்லெட்டுகளை விரைவான வீட்டில் தயாரிக்கப்பட்ட சாஸுடன் சூடாக அனுபவிக்கவும்.</t>
  </si>
  <si>
    <t>https://encrypted-tbn0.gstatic.com/images?q=tbn:ANd9GcRrESSDN3jmq1i6nl1buiqz6XUcBNCswjiNmw&amp;s</t>
  </si>
  <si>
    <t>Couscous with Sweet Corn</t>
  </si>
  <si>
    <t>கூஸ்கஸ் உடன் ஸ்வீட் கார்ன்</t>
  </si>
  <si>
    <t xml:space="preserve">   Instant Couscous – 3/4 cup,
   Coconut milk – 3/4 cup,
   Water – 3/4 cup,
   Salt to taste,
   Onion – 1 finely chopped,
   Green Chilli – 1 finely chopped,
   Sweet corn – 1 cup heaped,
   Chilli Powder  – 1/4 tsp,
   Coconut oil – 1 1/2 tbsp,
   Cumin Seeds/jeera – 1 tsp,
   asafoetida – a pinch,
   Curry leaves – a sprig,
   Coriander Leaves .
</t>
  </si>
  <si>
    <t>உடனடி கூஸ்கஸ் - 3/4 கப்,
தேங்காய் பால் - 3/4 கப்,
தண்ணீர் - 3/4 கப்,
ருசிக்க உப்பு,
வெங்காயம் - 1 பொடியாக நறுக்கியது,
பச்சை மிளகாய் - 1 பொடியாக நறுக்கியது,
ஸ்வீட் கார்ன் - 1 கப் பொடியாக நறுக்கியது,
மிளகாய் தூள் - 1/4 டீஸ்பூன்,
தேங்காய் எண்ணெய் - 1 1/2 டீஸ்பூன்,
சீரகம்/ஜீரா - 1 டீஸ்பூன்,
அசாஃபோடிடா - ஒரு சிட்டிகை,
கறிவேப்பிலை - ஒரு தளிர்,
கொத்தமல்லி இலைகள்.</t>
  </si>
  <si>
    <t>Place couscous in a bowl and add salt to it. Mix 3/4 cup of coconut milk with 3/4 cup of water and bring it to boil. Pour the coconut milk + water mixture over the couscous.
Keep it covered. Let it sit until all liquid is absorbed.
coconut flavored couscous .
Fluff it with a fork and keep it aside. Heat coconut oil in a pan, add cumin seeds, when it splutters, add hing, curry leaves, finely chopped onions and green chillies.
coconut flavored couscous with sweet corn .
Saute until onions turn transparent. Add sweet corn, chilli powder and salt needed. Cook covered for a few minutes.
couscous recipe-vegetarian.
Then add couscous, mix well and cook for a few more seconds. Garnish with finely chopped coriander leaves and serve hot.
Couscous with Sweet Corn Recipe
Enjoy making this delicious coconut flavored couscous with sweet corn and give me your feedback.</t>
  </si>
  <si>
    <t xml:space="preserve">
ஒரு பாத்திரத்தில் கூஸ்கஸை வைத்து, அதில் உப்பு சேர்க்கவும். 3/4 கப் தேங்காய்ப் பாலுடன் 3/4 கப் தண்ணீரைக் கலந்து கொதிக்க வைக்கவும். தேங்காய் பால் + தண்ணீர் கலவையை கூஸ்கஸின் மேல் ஊற்றவும்.
மூடி வைக்கவும். அனைத்து திரவமும் உறிஞ்சப்படும் வரை அப்படியே வைக்கவும்.
தேங்காய் சுவை கொண்ட கூஸ்கஸ்.
அதை ஒரு முட்கரண்டி கொண்டு பிசைந்து தனியாக வைக்கவும். ஒரு கடாயில் தேங்காய் எண்ணெயை சூடாக்கி, சீரகத்தை சேர்த்து, அது வதங்கியதும், பெருங்காயம், கறிவேப்பிலை, பொடியாக நறுக்கிய வெங்காயம், பச்சை மிளகாய் சேர்த்து வதக்கவும்.
தேங்காய் சுவையூட்டப்பட்ட கூஸ்கஸ், இனிப்பு சோளத்துடன்.
வெங்காயம் தெளிவாகும் வரை வதக்கவும். தேவையான அளவு உப்பு, மிளகாய்த்தூள், இனிப்பு சோளம் சேர்க்கவும். மூடி வைத்து சில நிமிடங்கள் சமைக்கவும்.
கூஸ்கஸ் செய்முறை-சைவம்.
பின்னர் கூஸ்கஸைச் சேர்த்து, நன்கு கலந்து மேலும் சில வினாடிகள் சமைக்கவும். பொடியாக நறுக்கிய கொத்தமல்லி இலைகளால் அலங்கரித்து சூடாகப் பரிமாறவும்.
கூஸ்கஸ் வித் ஸ்வீட் கார்ன் ரெசிபி இந்த சுவையான தேங்காய் சுவை கொண்ட கூஸ்கஸை ஸ்வீட் கார்னுடன் செய்து மகிழுங்கள், உங்கள் கருத்தை எனக்குத் தெரிவிக்கவும்.</t>
  </si>
  <si>
    <t>https://encrypted-tbn0.gstatic.com/images?q=tbn:ANd9GcTRJV7XTq7dwig8R-1KkFZU5QQns9pRtTGWIw&amp;s</t>
  </si>
  <si>
    <t>Payaru Thoran Kerala Style</t>
  </si>
  <si>
    <t>பயாரு தோரன் கேரள பாணி</t>
  </si>
  <si>
    <t xml:space="preserve">   Green gram – 1/2 cup,
   Shallots – 1/4 cup finely chopped,
   Green Chillies – 2 slit,
   Garlic – 3 finely chopped or crushed,
   Turmeric powder – 1/4 tsp,
   Pepper powder – 1/4 tsp,
   Grated Coconut – 1/3 cup,
   Salt to taste,
   Coconut oil – 2 tsp,
   Mustard seeds – 1 tsp,
   Curry leaves – a sprig.
</t>
  </si>
  <si>
    <t>பச்சைப்பயறு - 1/2 கப்,
வெங்காயத்தாள் - 1/4 கப் நன்றாக நறுக்கியது,
பச்சை மிளகாய் - 2 துண்டுகள்,
பூண்டு - 3 நன்றாக நறுக்கியது அல்லது நசுக்கியது,
மஞ்சள் தூள் - 1/4 தேக்கரண்டி,
மிளகு தூள் - 1/4 தேக்கரண்டி,
துருவிய தேங்காய் - 1/3 கப்,
சுவைக்கு உப்பு,
தேங்காய் எண்ணெய் - 2 தேக்கரண்டி,
கடுகு - 1 தேக்கரண்டி,
கறிவேப்பிலை - ஒரு தளிர்.</t>
  </si>
  <si>
    <t>Heat coconut oil (for authentic Kerala taste) in a pan, add mustard seeds, when it splutters, add finely chopped onions, green chilli and curry leaves.
Saute until onions turn transparent. Add grated coconut, turmeric powder, salt needed and saute for a few seconds.
Green Gram Stir Fry
Add cooked green gram, pepper powder, mix well and cook for another 2 minutes.
Cherupayar Thoran Recipe
Enjoy it hot with rice kanji or as a side dish or as a tea time snack.</t>
  </si>
  <si>
    <t>ஒரு கடாயில் தேங்காய் எண்ணெயை (உண்மையான கேரள சுவைக்கு) சூடாக்கி, கடுகு சேர்த்து, அது வதங்கியதும், இறுதியாக நறுக்கிய வெங்காயம், பச்சை மிளகாய் மற்றும் கறிவேப்பிலை சேர்க்கவும்.
வெங்காயம் வெளிப்படையானதாக மாறும் வரை வதக்கவும். துருவிய தேங்காய், மஞ்சள் தூள், தேவையான உப்பு சேர்த்து சில நொடிகள் வதக்கவும்.
பச்சைப்பயறு வறுக்கவும்
சமைத்த பச்சைப்பயறு, மிளகு தூள் சேர்த்து நன்கு கலந்து மேலும் 2 நிமிடங்கள் சமைக்கவும்.
செருபயார் தோரன் செய்முறை
அரிசி கஞ்சியுடன் அல்லது ஒரு துணை உணவாக அல்லது தேநீர் சிற்றுண்டியாக சூடாக அனுபவிக்கவும்.</t>
  </si>
  <si>
    <t>https://encrypted-tbn0.gstatic.com/images?q=tbn:ANd9GcSbCX4ia-lIQjE6idGuViwQ53nQH9-AEa7wDg&amp;s</t>
  </si>
  <si>
    <t xml:space="preserve">   Almond Milk – 1 1/4 cup,
   Dates – 4,
   Figs – 2,
   Almonds – 3 blanched,
   Cashew nuts – 3,
   Cardamom powder – a pinch,
   Honey.</t>
  </si>
  <si>
    <t>பாதாம் பால் - 1 1/4 கப்,
பேரீச்சம்பழம் - 4,
அத்திப்பழம் - 2,
பாதாம் - 3 வெளுத்தது,
முந்திரி பருப்பு - 3,
ஏலக்காய் தூள் - ஒரு சிட்டிகை,
தேன்.</t>
  </si>
  <si>
    <t>Blend together 1/4 cup of milk, soaked dates, figs, cashew nuts and blanched almonds slightly coarse.
Add the rest of the milk, cardamom powder and blend again. You can garnish with 1-2 slivered almonds, if preferred.
Pour it into a glass and serve chilled.
Note – I have used almond milk to make this milkshake. You can use regular milk or soy milk to make this dry fruits milkshake.
I did not add any sweetener as the milkshake was sweet enough because of the dates and figs. If needed, you can add any sweetener of your choice.
You can add other dry fruits of your choice.</t>
  </si>
  <si>
    <t>1/4 கப் பால், ஊறவைத்த பேரீச்சம்பழம், அத்திப்பழம், முந்திரி பருப்பு மற்றும் வெளுத்தது பாதாம் ஆகியவற்றை சிறிது கரடுமுரடாக கலக்கவும்.
மீதமுள்ள பால், ஏலக்காய் தூள் சேர்த்து மீண்டும் கலக்கவும். விரும்பினால், 1-2 துண்டுகளாக்கப்பட்ட பாதாம் பருப்புகளால் அலங்கரிக்கலாம்.
ஒரு கிளாஸில் ஊற்றி குளிர்ச்சியாக பரிமாறவும்.
குறிப்பு - இந்த மில்க் ஷேக்கை தயாரிக்க நான் பாதாம் பால் பயன்படுத்தினேன். இந்த உலர் பழ மில்க் ஷேக்கை தயாரிக்க நீங்கள் வழக்கமான பால் அல்லது சோயா பால் பயன்படுத்தலாம்.
பேரீச்சம்பழம் மற்றும் அத்திப்பழங்கள் இருப்பதால் மில்க் ஷேக் போதுமான அளவு இனிப்பாக இருந்ததால் நான் எந்த இனிப்பும் சேர்க்கவில்லை. தேவைப்பட்டால், உங்கள் விருப்பப்படி எந்த இனிப்பும் சேர்க்கலாம்.
உங்கள் விருப்பப்படி மற்ற உலர் பழங்களையும் சேர்க்கலாம்.</t>
  </si>
  <si>
    <t>https://www.foodie-trail.com/wp-content/uploads/2022/11/PHOTO-2022-10-21-16-44-59.jpg</t>
  </si>
  <si>
    <t>Doodh Peda-Kesar Milk Peda</t>
  </si>
  <si>
    <t>தூத் பேடா-கேசர் பால் பேடா</t>
  </si>
  <si>
    <t xml:space="preserve">   Sweetened Condensed milk -1/2 tin,
   Milk Powder – 1 cup,
   Melted butter – 2 tbsp,
   Saffron strands – 4-5,
   Hot Milk – 2 tbsp,
   Pistachio – 1 1/2 tbsp,
   Cardamom powder – 1/4 tsp,
   Melted ghee – 1 tsp for greasing.</t>
  </si>
  <si>
    <t>இனிப்புடன் கூடிய அமுக்கப்பட்ட பால் - 1/2 டின்,
பால் பவுடர் - 1 கப்,
உருகிய வெண்ணெய் - 2 டீஸ்பூன்,
குங்குமப்பூ இழைகள் - 4-5,
சூடான பால் - 2 டீஸ்பூன்,
பிஸ்தா - 1 1/2 டீஸ்பூன்,
ஏலக்காய் தூள் - 1/4 டீஸ்பூன்,
உருகிய நெய் - 1 டீஸ்பூன் தடவுவதற்கு.</t>
  </si>
  <si>
    <t>In a non stick pan/heavy bottomed pan, melt butter.
how to make Doodh Peda at home 
Switch off the heat. Add condensed milk, milk powder and mix well making sure that there are no lumps.
Switch on the gas stove and cook on low heat stirring continuously.
Kesar Milk Peda
Add saffron milk and continue to cook on low heat stirring continuously. Cook until it leaves the sides of the pan as in the picture below.
Add cardamom powder and remove from heat. Keep stirring for a few seconds off heat. Transfer the mixture to a plate (to prevent it from cooking further in the heat of the pan).
Instant Paal Peda
When the mixture is warm, grease your fingers with ghee and make around 8 or 10 smooth balls.
Make a dent/impression with your thumb in the center and fill chopped pistachio or a mix of chopped almonds, cashew nuts and pistachio in it.
doodh peda recipe
Allow it to set. If you taste it immediately after preparing, it will be a bit chewy and sticky. So keep it aside for 5-6 hours. This instant doodh peda tastes best the next day.</t>
  </si>
  <si>
    <t>ஒரு குச்சி இல்லாத பாத்திரம்/அடித்தளமான பாத்திரத்தில், வெண்ணெய் உருக்கவும்.
வீட்டில் தூத் பேடா செய்வது எப்படி
தீயை அணைக்கவும். அமுக்கப்பட்ட பால், பால் பவுடர் சேர்த்து கட்டிகள் இல்லாமல் நன்கு கலக்கவும்.
கேஸ் அடுப்பை இயக்கி குறைந்த வெப்பத்தில் தொடர்ந்து கிளறி சமைக்கவும்.
கேசர் பால் பேடா
குங்குமப்பூ பாலை சேர்த்து குறைந்த வெப்பத்தில் தொடர்ந்து கிளறி சமைக்கவும். கீழே உள்ள படத்தில் உள்ளது போல் அது வாணலியின் பக்கங்களை விட்டு வெளியேறும் வரை சமைக்கவும்.
ஏலக்காய் தூளை சேர்த்து வெப்பத்திலிருந்து நீக்கவும். வெப்பத்திலிருந்து சில வினாடிகள் கிளறிக்கொண்டே இருங்கள். கலவையை ஒரு தட்டில் மாற்றவும் (கடாயின் வெப்பத்தில் மேலும் வேகாமல் இருக்க).
உடனடி பால் பேடா
கலவை சூடாகும்போது, ​​உங்கள் விரல்களில் நெய் தடவி சுமார் 8 அல்லது 10 மென்மையான உருண்டைகளை உருவாக்கவும்.
உங்கள் கட்டைவிரலை மையத்தில் வைத்து ஒரு பள்ளம்/தட்டுதல் செய்து, அதில் நறுக்கிய பிஸ்தா அல்லது நறுக்கிய பாதாம், முந்திரி மற்றும் பிஸ்தா கலவையை நிரப்பவும்.
தூத் பேடா செய்முறை
அதை செட் ஆக விடுங்கள். தயாரித்த உடனேயே நீங்கள் அதை ருசித்தால், அது சற்று மெல்லும் மற்றும் ஒட்டும் தன்மையுடன் இருக்கும். எனவே அதை 5-6 மணி நேரம் ஒதுக்கி வைக்கவும். இந்த உடனடி தூத் பேடா மறுநாள் மிகவும் சுவையாக இருக்கும்.</t>
  </si>
  <si>
    <t>https://encrypted-tbn0.gstatic.com/images?q=tbn:ANd9GcTTDj5YdTXzdP1DXpd6MQ-eHWv1Fijmg_4nQg&amp;s</t>
  </si>
  <si>
    <t>Chocolate Peda</t>
  </si>
  <si>
    <t>சாக்லேட் பேடா</t>
  </si>
  <si>
    <t xml:space="preserve">   Sweetened Condensed milk – 1/2 tin ,
   Milk Powder – 1 cup minus 1 tbsp,
   Cocoa powder – 1 tbsp,
   Melted butter (unsalted) – 2 tbsp,
   Pistachio – 2 tbsp ,
   Ghee.</t>
  </si>
  <si>
    <t>இனிப்புடன் கூடிய அமுக்கப்பட்ட பால் - 1/2 டின்,
பால் பவுடர் - 1 கப் கழித்தல் 1 டீஸ்பூன்,
கோகோ பவுடர் - 1 டீஸ்பூன்,
உருகிய வெண்ணெய் (உப்பு சேர்க்காதது) - 2 டீஸ்பூன்,
பிஸ்தா - 2 டீஸ்பூன்,
நெய்.</t>
  </si>
  <si>
    <t>In a non stick pan or heavy bottomed pan, melt butter over low heat.
Switch off the heat and add condensed milk, milk powder and cocoa powder.
how to make chocolate peda at home
Mix well so that there are no lumps. Then turn on the heat and cook stirring continuously.
easy chocolate peda
Once it starts leaving the sides of the pan as shown below, remove from heat and keep stirring for a few seconds.
When the mixture is warm, grease your fingers with ghee and make 10 or 12 equal smooth balls from the mixture.
Make a dent/impression with your thumb and fill pistachio in it. As it cools it will harden. That’s it. Chocolate peda is ready.</t>
  </si>
  <si>
    <t>ஒரு குச்சி இல்லாத பாத்திரத்தில் அல்லது அடிப்பகுதி கனமான பாத்திரத்தில், வெண்ணெயை குறைந்த தீயில் உருக்கவும்.
தீயை அணைத்துவிட்டு அமுக்கப்பட்ட பால், பால் பவுடர் மற்றும் கோகோ பவுடர் சேர்க்கவும்.
வீட்டில் சாக்லேட் பேடா செய்வது எப்படி
கட்டிகள் இல்லாதபடி நன்கு கலக்கவும். பின்னர் தீயை இயக்கி தொடர்ந்து கிளறி சமைக்கவும்.
எளிதான சாக்லேட் பேடா
கீழே காட்டப்பட்டுள்ளபடி வாணலியின் பக்கங்களை விட்டு வெளியேறத் தொடங்கியதும், வெப்பத்திலிருந்து நீக்கி சில வினாடிகள் கிளறிக்கொண்டே இருங்கள்.
கலவை சூடாகும்போது, ​​உங்கள் விரல்களில் நெய் தடவி, கலவையிலிருந்து 10 அல்லது 12 சமமான மென்மையான பந்துகளை உருவாக்கவும்.
உங்கள் கட்டைவிரலால் ஒரு பள்ளம்/அடையாளத்தை உருவாக்கி, அதில் பிஸ்தாவை நிரப்பவும். அது குளிர்ந்ததும் அது கெட்டியாகும். அவ்வளவுதான். சாக்லேட் பேடா தயார்.</t>
  </si>
  <si>
    <t>https://encrypted-tbn0.gstatic.com/images?q=tbn:ANd9GcTq2z4-MnNfL_z2gePQv8Q-n-eWj-SrFlU09A&amp;s</t>
  </si>
  <si>
    <t>Shahi Tukda</t>
  </si>
  <si>
    <t>ஷாஹி துக்டா</t>
  </si>
  <si>
    <t xml:space="preserve">   Bread – 4 slices,
   Ghee – as needed for toasting bread,
   Sugar – 1/3 cup,
   Milk – 3 cups,
   Sugar – 2 tsp,
   Almonds – 7,
   Pistachio  – 10,
   Cashew nuts – 6 ,
   Cardamom powder – 1/4 tsp,
   Saffron – 4  strands.</t>
  </si>
  <si>
    <t>ரொட்டி - 4 துண்டுகள்,
நெய் - ரொட்டியை வறுக்க தேவையான அளவு,
சர்க்கரை - 1/3 கப்,
பால் - 3 கப்,
சர்க்கரை - 2 தேக்கரண்டி,
பாதாம் - 7,
பிஸ்தா - 10,
முந்திரி பருப்பு - 6 ,
ஏலக்காய் தூள் - 1/4 தேக்கரண்டி,
குங்குமப்பூ - 4 இழைகள்.</t>
  </si>
  <si>
    <t>Boil milk on medium heat stirring continuously until it reduces to half. Add chopped nuts (keeping aside a few for garnishing) cardamom powder and saffron soaked milk. Boil for another 2-3 minutes and remove from heat. 
Cut the corners of the bread and cut it into triangles. So we have 8 triangular bread slices. Traditionally they are deep fried but I have pan fried the bread in ghee. (around 1 tsp ghee for each bread slice)
preparation of rabdi for shahi tukda
In a pan, add sugar and water (just enough water to cover the sugar) and boil on medium heat until the sugar syrup becomes slightly sticky.
When the sugar syrup is warm, dip the bread slices in sugar syrup for 2 minutes. See to it that it is well coated on both sides with the sugar syrup. Remove and keep it aside.
how to make shahi tukda
In a shallow bowl, arrange all the sugar syrup coated bread slices, pour rabdi on top and garnish with chopped nuts. Refrigerate and serve chilled.</t>
  </si>
  <si>
    <t>பாலை மிதமான தீயில் வைத்து, பாதியாகக் குறையும் வரை தொடர்ந்து கிளறி கொதிக்க விடவும். நறுக்கிய கொட்டைகள் (சிலவற்றை அலங்கரிக்க ஒதுக்கி வைக்கவும்) ஏலக்காய் தூள் மற்றும் குங்குமப்பூ ஊறவைத்த பால் சேர்க்கவும். மேலும் 2-3 நிமிடங்கள் கொதிக்க வைத்து, அடுப்பிலிருந்து இறக்கவும்.
ரொட்டியின் மூலைகளை வெட்டி முக்கோணங்களாக வெட்டவும். எனவே எங்களிடம் 8 முக்கோண ரொட்டி துண்டுகள் உள்ளன. பாரம்பரியமாக அவை ஆழமாக வறுக்கப்படுகின்றன, ஆனால் நான் ரொட்டியை நெய்யில் வறுக்கிறேன். (ஒவ்வொரு ரொட்டித் துண்டுக்கும் சுமார் 1 தேக்கரண்டி நெய்)
ஷாஹி துக்டாவிற்கு ரப்தி தயாரித்தல்
ஒரு பாத்திரத்தில், சர்க்கரை மற்றும் தண்ணீரைச் சேர்த்து (சர்க்கரையை மூடும் அளவுக்கு போதுமான தண்ணீர்) சர்க்கரை பாகு சிறிது ஒட்டும் வரை மிதமான தீயில் கொதிக்க வைக்கவும்.
சர்க்கரை பாகு சூடாகும்போது, ​​ரொட்டித் துண்டுகளை சர்க்கரை பாகில் 2 நிமிடங்கள் நனைக்கவும். இருபுறமும் சர்க்கரை பாகு நன்றாகப் பூசப்பட்டுள்ளதா என்பதை உறுதிப்படுத்திக் கொள்ளுங்கள். அதை அகற்றி ஒதுக்கி வைக்கவும்.
ஷாஹி துக்டா செய்வது எப்படி
ஒரு ஆழமற்ற கிண்ணத்தில், சர்க்கரை பாகு பூசப்பட்ட அனைத்து ரொட்டித் துண்டுகளையும் அடுக்கி, மேலே ரப்தியை ஊற்றி, நறுக்கிய கொட்டைகளால் அலங்கரிக்கவும். குளிர்சாதன பெட்டியில் வைத்து குளிர்வித்து பரிமாறவும்.</t>
  </si>
  <si>
    <t>https://encrypted-tbn0.gstatic.com/images?q=tbn:ANd9GcQ-A9FOb-pGPZZUZrYIVvyvJRzFLOb_4h_JVg&amp;s</t>
  </si>
  <si>
    <t>Corn Flour Halwa</t>
  </si>
  <si>
    <t>சோள மாவு ஹல்வா</t>
  </si>
  <si>
    <t xml:space="preserve">   Cornflour – 1/2 cup,
   Sugar – 1 cup,
   Fresh Lemon juice – 3 drops,
   Ghee – 1/4 cup melted,
   Cardamom powder – 1/4 tsp,
   Cashew nuts – 15 ,
   Food Color – 2 drops (any color).</t>
  </si>
  <si>
    <t>சோள மாவு - 1/2 கப்,
சர்க்கரை - 1 கப்,
புதிய எலுமிச்சை சாறு - 3 சொட்டுகள்,
நெய் - 1/4 கப் உருகியது,
ஏலக்காய் தூள் - 1/4 தேக்கரண்டி,
முந்திரி பருப்பு - 15 ,
உணவு நிறம் - 2 சொட்டுகள் (எந்த நிறத்திலும்).</t>
  </si>
  <si>
    <t>Mix cornflour with 1 cup of water without any lumps. Add food color and mix well.
Mix sugar and water well first. Then switch on the heat. Add lemon juice and boil on medium heat stirring from time to time.
bombay halwa preparation 
Let the sugar dissolve. When it starts bubbling, switch off the heat. Add the cornflour mixture gradually with one hand and keep stirring with your other hand.
Now switch on the heat/gas stove.
Karachi Halwa 
Cook stirring continuously on medium heat. When it starts thickening, add ghee, cardamom powder and cashew nuts.
Easy Halwa Recipe
Cook until the mixture becomes glossy and leaves the sides of the pan.
Pour the halwa into a greased tray and allow it to set.
Cornflour Halwa recipe
Once set, cut it into squares and enjoy!!</t>
  </si>
  <si>
    <t>சோள மாவை 1 கப் தண்ணீரில் கட்டிகள் இல்லாமல் கலக்கவும். உணவு வண்ணத்தைச் சேர்த்து நன்கு கலக்கவும்.
முதலில் சர்க்கரை மற்றும் தண்ணீரை நன்கு கலக்கவும். பின்னர் தீயை அணைக்கவும். எலுமிச்சை சாறு சேர்த்து அவ்வப்போது கிளறி மிதமான தீயில் கொதிக்க வைக்கவும்.
பாம்பே ஹல்வா தயாரிப்பு
சர்க்கரை கரைய விடவும். அது குமிழ ஆரம்பிக்கும் போது, ​​தீயை அணைக்கவும். ஒரு கையால் படிப்படியாக சோள மாவு கலவையைச் சேர்த்து, மற்றொரு கையால் தொடர்ந்து கிளறவும்.
இப்போது தீ/கேஸ் அடுப்பை இயக்கவும்.
கராச்சி ஹல்வா
நடுத்தர தீயில் தொடர்ந்து கிளறி சமைக்கவும். அது கெட்டியாகத் தொடங்கியதும், நெய், ஏலக்காய் தூள் மற்றும் முந்திரி பருப்புகளைச் சேர்க்கவும்.
எளிதான ஹல்வா செய்முறை
கலவை பளபளப்பாக மாறி, பாத்திரத்தின் பக்கவாட்டில் இருந்து வெளியேறும் வரை சமைக்கவும்.
ஹல்வாவை நெய் தடவிய தட்டில் ஊற்றி, அது கெட்டியாகட்டும்.
கார்ன்ஃப்ளார் ஹல்வா செய்முறை
அமைந்ததும், சதுரங்களாக வெட்டி மகிழுங்கள்!!</t>
  </si>
  <si>
    <t>https://encrypted-tbn0.gstatic.com/images?q=tbn:ANd9GcRsM80To0bD13iSifeU1FyUBPWNGnE0XxMOoA&amp;s</t>
  </si>
  <si>
    <t>Carrot Burfi</t>
  </si>
  <si>
    <t>கேரட் பர்ஃபி</t>
  </si>
  <si>
    <t xml:space="preserve">  Carrot – 2 1/4 cup grated,
   Coconut – 1 cup grated,
   Ghee – 3 tbsp,
   Milk – 1 cup,
   Sugar – 3/4 cup,
   Cardamom Powder -1/4 tsp,
   Cashew nuts – 10-12</t>
  </si>
  <si>
    <t>கேரட் - 2 1/4 கப் துருவியது,
தேங்காய் - 1 கப் துருவியது,
நெய் - 3 டேபிள்ஸ்பூன்,
பால் - 1 கப்,
சர்க்கரை - 3/4 கப்,
ஏலக்காய்த்தூள் - 1/4 டீஸ்பூன்,
முந்திரிபருப்பு - 10-12.</t>
  </si>
  <si>
    <t>Heat a tbsp of ghee and saute the carrots and grated coconut on medium heat until the carrot become s a little soft.
sauteing grated carrots 
Then add milk and cook on medium heat, stirring from time to time until all the milk evaporates.
Gajar Burfi
Once all the milk evaporates, add sugar. After you add sugar, the mixture becomes watery again.
Add cashew nuts, remaining ghee and cook on medium heat stirring until it leaves the sides of the pan. Add cardamom powder and mix well.
Transfer the mixture to the parchment paper lined tray/pan. Since I wanted thick burfis, I used only half the pan to spread the mixture.
Grease a spoon with ghee and smoothen the surface. Leave it to cool. Once it cools, grease a knife with a little ghee and make cuts but do not remove the pieces. Refrigerate for an hour for it to set and then remove the pieces carefully and serve.
You can decorate it with a cashew nut if preferred.</t>
  </si>
  <si>
    <t>ஒரு டேபிள்ஸ்பூன் நெய்யை சூடாக்கி, கேரட் மற்றும் துருவிய தேங்காயை மிதமான தீயில் கேரட் சிறிது மென்மையாகும் வரை வதக்கவும்.
கேரட் துருவியது
பின்னர் பால் சேர்த்து மிதமான தீயில் சமைக்கவும், அவ்வப்போது கிளறி, பால் முழுவதும் ஆவியாகும் வரை சமைக்கவும்.
கஜர் பர்ஃபி
பால் முழுவதும் ஆவியாகும் போது, ​​சர்க்கரை சேர்க்கவும். சர்க்கரை சேர்த்த பிறகு, கலவை மீண்டும் தண்ணீராக மாறும்.
முந்திரி பருப்பு, மீதமுள்ள நெய் சேர்த்து, நடுத்தர தீயில் அது வாணலியின் பக்கங்களை விட்டு வெளியேறும் வரை சமைக்கவும். ஏலக்காய்த்தூள் சேர்த்து நன்கு கலக்கவும்.
கலவையை காகிதத்தோல் மூடப்பட்ட தட்டு/பானுக்கு மாற்றவும். எனக்கு கெட்டியான பர்ஃபிகள் வேண்டும் என்பதால், கலவையை பரப்ப பாதி பாத்திரத்தை மட்டுமே பயன்படுத்தினேன்.
ஒரு கரண்டியால் நெய் தடவி மேற்பரப்பை மென்மையாக்குங்கள். குளிர்விக்க விடுங்கள். அது குளிர்ந்ததும், ஒரு கத்தியில் சிறிது நெய் தடவி, வெட்டுக்களைச் செய்யுங்கள், ஆனால் துண்டுகளை அகற்ற வேண்டாம். அது செட் ஆகும் வரை ஒரு மணி நேரம் குளிர்சாதன பெட்டியில் வைக்கவும், பின்னர் துண்டுகளை கவனமாக அகற்றி பரிமாறவும்.
விரும்பினால் முந்திரி கொட்டையால் அலங்கரிக்கலாம்.</t>
  </si>
  <si>
    <t>https://encrypted-tbn0.gstatic.com/images?q=tbn:ANd9GcQUOaGd8rAlc5B1CxGKnnRA5aaQ44zT6JmGXg&amp;s</t>
  </si>
  <si>
    <t>Pasi Paruppu Sundal</t>
  </si>
  <si>
    <t>பாசி பருப்பு சுண்டல்</t>
  </si>
  <si>
    <t xml:space="preserve"> moong dal – 1/2 cup,
  Grated coconut -1/4 cup,
  Turmeric powder – a pinch,
  Salt to taste,
   Oil – 2 tsp,
   Mustard seeds – 1 tsp,
   Red chillies – 1,
   Hing/asafoetida – a pinch,
   Green Chillies – 1 slit,
   Curry leaves – a sprig.</t>
  </si>
  <si>
    <t>பாசிப்பருப்பு - 1/2 கப்,
தேங்காய் துருவல் - 1/4 கப்,
மஞ்சள் தூள் - ஒரு சிட்டிகை,
ருசிக்க உப்பு,
எண்ணெய் - 2 தேக்கரண்டி,
கடுகு - 1 தேக்கரண்டி,
சிவப்பு மிளகாய் - 1,
பெருங்காயம் / அசபோடிடா - ஒரு சிட்டிகை,
பச்சை மிளகாய் - 1 துண்டு,
கறிவேப்பிலை - ஒரு தளிர்.</t>
  </si>
  <si>
    <t>Dry roast moong dal until hot to touch. It should not change color. Then wash and cook moong dal in 1 1/2 cup of water with a pinch of turmeric powder and little salt .
Cook on medium heat, stirring from time to time, until soft but not mushy. You can press it with your finger and check it or you can check it by tasting it.
Once soft, drain the water and keep it aside.
Heat oil in a pan, add mustard seeds, when it splutters, add red chillies, hing, green chillies and curry leaves.
Add dal, needed salt and cook for 2-3 minutes on medium heat. If there is little water, it will evaporate.
Add grated coconut, mix well and remove from heat. Pasi paruppu sundal is ready. If desired, you can squeeze a few drops of fresh lemon juice.</t>
  </si>
  <si>
    <t>பாசிப்பருப்பை தொடுவதற்கு சூடாகும் வரை வறுக்கவும். நிறம் மாறக்கூடாது. பின்னர் பாசிப்பருப்பை கழுவி 1 1/2 கப் தண்ணீரில் ஒரு சிட்டிகை மஞ்சள் தூள் மற்றும் சிறிது உப்பு சேர்த்து சமைக்கவும்.
மிதமான தீயில், அவ்வப்போது கிளறி, மென்மையாகும் வரை சமைக்கவும், ஆனால் மென்மையாக இருக்காது. நீங்கள் அதை உங்கள் விரலால் அழுத்தி சரிபார்க்கலாம் அல்லது அதை ருசித்துப் பார்க்கலாம்.
மென்மையாகியதும், தண்ணீரை வடிகட்டி ஒதுக்கி வைக்கவும்.
ஒரு கடாயில் எண்ணெயை சூடாக்கி, கடுகு சேர்த்து, அது வதங்கியதும், சிவப்பு மிளகாய், கீரை, பச்சை மிளகாய் மற்றும் கறிவேப்பிலை சேர்க்கவும்.
பருப்பு, தேவையான அளவு உப்பு சேர்த்து மிதமான தீயில் 2-3 நிமிடங்கள் சமைக்கவும். கொஞ்சம் தண்ணீர் இருந்தால் அது ஆவியாகிவிடும்.
துருவிய தேங்காயைச் சேர்த்து, நன்கு கலந்து, அடுப்பிலிருந்து இறக்கவும். பாசிப்பருப்பு சுண்டல் தயார். விரும்பினால், சில துளிகள் புதிய எலுமிச்சை சாற்றைப் பிழியலாம்.</t>
  </si>
  <si>
    <t>https://encrypted-tbn0.gstatic.com/images?q=tbn:ANd9GcTRLPRqksolosB2n0dfnmo9DYGa_3r3QadR5A&amp;s</t>
  </si>
  <si>
    <t>Sabudana Vada</t>
  </si>
  <si>
    <t>சபுதானா வடை</t>
  </si>
  <si>
    <t xml:space="preserve">   Sabudana – 1/2 cup,
   Boiled grated potato – 1/2 cup,
   Peanuts – 1/4 cup,
   Green chilli – 2,
   Ginger (grated) – 1 tsp,
  salt as needed,
   Coriander leaves – 2 tbsp finely chopped,
 lemon juice – 2-3 tsp,
  Oil for deep frying.</t>
  </si>
  <si>
    <t>சபுதானா - 1/2 கப்,
வேகவைத்த துருவிய உருளைக்கிழங்கு - 1/2 கப்,
வேர்க்கடலை - 1/4 கப்,
பச்சை மிளகாய் - 2,
இஞ்சி (துருவியது) - 1 தேக்கரண்டி,
தேவைக்கேற்ப உப்பு,
கொத்தமல்லி இலை - 2 தேக்கரண்டி நன்றாக நறுக்கியது,
எலுமிச்சை சாறு - 2-3 தேக்கரண்டி,
வறுக்க எண்ணெய்.</t>
  </si>
  <si>
    <t>In a bowl mix together, soaked and drained sago, grated potato, finely chopped coriander leaves, grated ginger, green chillies, peanuts, salt to taste and lemon juice.
Mix everything well and divide the mixture into 11 equal parts. Make smooth balls and then flatten it to form patties. Dust your hands with rice flour or amaranth flour  (if preparing for fast) to prevent it from sticking to your hands.
Heat oil in a pan, when it is hot, reduce the heat to medium low and gently drop the prepared vadas into the oil.
Deep fry both the sides until golden brown. Once done, remove the vadas with a slotted ladle and place it on a colander or paper towel to drain off excess oil.
Serve hot sabudana vadas with green chutney or tomato ketchup or just yogurt. It tastes good on it own also.</t>
  </si>
  <si>
    <t>ஒரு பாத்திரத்தில் ஊறவைத்து வடிகட்டிய சவ்வரிசி, துருவிய உருளைக்கிழங்கு, நன்றாக நறுக்கிய கொத்தமல்லி இலை, துருவிய இஞ்சி, பச்சை மிளகாய், வேர்க்கடலை, சுவைக்கேற்ப உப்பு மற்றும் எலுமிச்சை சாறு ஆகியவற்றை ஒன்றாக கலக்கவும்.
அனைத்தையும் நன்றாக கலந்து, கலவையை 11 சம பாகங்களாகப் பிரிக்கவும். மென்மையான உருண்டைகளாக உருட்டி, பின்னர் தட்டையாக்கி, பஜ்ஜிகளை உருவாக்குங்கள். உங்கள் கைகளில் ஒட்டாமல் இருக்க அரிசி மாவு அல்லது அமராந்த் மாவை (வேகமாகத் தயாரிக்கிறீர்கள் என்றால்) உங்கள் கைகளில் தூவவும்.
ஒரு கடாயில் எண்ணெயை சூடாக்கி, அது சூடானதும், தீயை மிதமாகக் குறைத்து, தயாரிக்கப்பட்ட வடைகளை எண்ணெயில் மெதுவாகப் போடவும்.
இருபுறமும் பொன்னிறமாகும் வரை ஆழமாக வறுக்கவும். தயாரானதும், துளையிட்ட கரண்டியால் வடைகளை அகற்றி, அதிகப்படியான எண்ணெயை வடிகட்ட ஒரு வடிகட்டி அல்லது காகிதத் துண்டின் மீது வைக்கவும்.
சூடான சபுதானா வடைகளை பச்சை சட்னி அல்லது தக்காளி கெட்ச்அப் அல்லது தயிருடன் பரிமாறவும். இது தானே சுவையாகவும் இருக்கும்.</t>
  </si>
  <si>
    <t>https://encrypted-tbn0.gstatic.com/images?q=tbn:ANd9GcQT5SICZAPlt_ylA8RR4OiBFgnc4jUWTBc0qw&amp;s</t>
  </si>
  <si>
    <t>Cabbage Poha</t>
  </si>
  <si>
    <t>முட்டைக்கோஸ் போஹா</t>
  </si>
  <si>
    <t xml:space="preserve">  Poha – 1 cup,
   Cabbage – 2 cups shredded,
   Capsicum – 1 cup thinly sliced,
   Sesame seeds – 2 tbsp,
   Turmeric powder – 1/4 tsp
   Salt to taste,
   Mustard seeds – 1 tsp,
   Cumin seeds – 1 tsp,
   Green chilli -2 finely chopped,
   Ginger – 1 inch piece,
   Curry leaves,
   Coriander leaves ,
   Lemon juice to taste.</t>
  </si>
  <si>
    <t>போஹா - 1 கப்,
முட்டைக்கோஸ் - 2 கப் துருவியது,
கேப்சிகம் - 1 கப் மெல்லியதாக நறுக்கியது,
எள் - 2 டீஸ்பூன்,
மஞ்சள் தூள் - 1/4 டீஸ்பூன்
ருசிக்க உப்பு,
கடுகு - 1 டீஸ்பூன்,
சீரகம் - 1 டீஸ்பூன்,
பச்சை மிளகாய் - 2 நன்றாக நறுக்கியது,
இஞ்சி - 1 அங்குல துண்டு,
கறிவேப்பிலை,
கொத்தமல்லி இலைகள்,
ருசிக்க எலுமிச்சை சாறு.</t>
  </si>
  <si>
    <t>Heat oil in a pan, when it is hot, add mustard seeds and cumin seeds. When mustard and cumin seeds splutters, add ginger, finely chopped green chilli and curry leaves.
Saute for a few seconds and then add cabbage and capsicum.
Cabbage Capsicum Aval
Add turmeric powder, salt and cook covered on medium heat. After few minutes of cooking, you may sprinkle water if needed and cook covered. When it is soft (do not overcook), fluff poha with a fork and add to the cabbage capsicum mixture.
Cook covered for 2-3 minutes. If you feel it is too dry, you may add a tbsp of water and then cook covered.
Squeeze juice of fresh lemon, sprinkle toasted sesame seeds or coarsely ground roasted peanuts and garnish with finely chopped coriander leaves. Mix well and serve hot.
Serve hot with a cup of tea or coffee, juice or buttermilk. Enjoy!!</t>
  </si>
  <si>
    <t>ஒரு கடாயில் எண்ணெய் சூடாக்கி, அது சூடானதும், கடுகு மற்றும் சீரகத்தை சேர்க்கவும். கடுகு மற்றும் சீரகம் வதங்கியதும், இஞ்சி, இறுதியாக நறுக்கிய பச்சை மிளகாய் மற்றும் கறிவேப்பிலை சேர்க்கவும்.
சில நொடிகள் வதக்கி, பின்னர் முட்டைக்கோஸ் மற்றும் கேப்சிகம் சேர்க்கவும்.
முட்டைக்கோஸ் கேப்சிகம் அவல்
மஞ்சள் தூள், உப்பு சேர்த்து மிதமான தீயில் மூடி வைக்கவும். சில நிமிடங்கள் சமைத்த பிறகு, தேவைப்பட்டால் தண்ணீர் தெளித்து மூடி வைத்து சமைக்கலாம். அது மென்மையாகும்போது (அதிகமாக வேகவிடாதீர்கள்), ஒரு முட்கரண்டி கொண்டு போஹாவை ஃப்ளஃப் செய்து முட்டைக்கோஸ் கேப்சிகம் கலவையில் சேர்க்கவும்.
மூடி வைத்து 2-3 நிமிடங்கள் சமைக்கவும். அது மிகவும் வறண்டதாக உணர்ந்தால், ஒரு தேக்கரண்டி தண்ணீர் சேர்த்து மூடி வைத்து சமைக்கலாம்.
புதிய எலுமிச்சை சாற்றை பிழிந்து, வறுத்த எள் அல்லது கரடுமுரடான வறுத்த வேர்க்கடலையைத் தூவி, இறுதியாக நறுக்கிய கொத்தமல்லி இலைகளால் அலங்கரிக்கவும். நன்றாகக் கலந்து சூடாகப் பரிமாறவும்.
ஒரு கப் தேநீர் அல்லது காபி, சாறு அல்லது மோருடன் சூடாகப் பரிமாறவும். மகிழுங்கள்!!</t>
  </si>
  <si>
    <t>https://mytastycurry.com/wp-content/uploads/2017/04/veg-poha-2.jpeg</t>
  </si>
  <si>
    <t>https://youtu.be/KQPmqQomRaY</t>
  </si>
  <si>
    <t>Kasayam for Fever</t>
  </si>
  <si>
    <t>காய்ச்சலுக்கு கசாயம்</t>
  </si>
  <si>
    <t>Whole black pepper – 1 tsp,
Cumin seeds – 1 tsp,
Holy basil leaves - 4-5.</t>
  </si>
  <si>
    <t>முழு கருப்பு மிளகு - 1 தேக்கரண்டி,
சீரக விதைகள் - 1 தேக்கரண்டி,
புனித துளசி இலைகள் - 4-5.</t>
  </si>
  <si>
    <t>Dry roast cumin and pepper on medium heat until it splutters. Add a cup of water and tulsi leaves. Let it boil on medium heat until it reduces to half. Drink it hot (bearable) 2 times a day until symptom subsides.</t>
  </si>
  <si>
    <t>சீரகம் மற்றும் மிளகை மிதமான தீயில் வைத்து, அது சிதறும் வரை வறுக்கவும். ஒரு கப் தண்ணீர் மற்றும் துளசி இலைகளைச் சேர்க்கவும். அது பாதியாகக் குறையும் வரை நடுத்தர தீயில் கொதிக்க விடவும். அறிகுறி குறையும் வரை ஒரு நாளைக்கு 2 முறை சூடாக (தாங்கக்கூடியதாக) குடிக்கவும்.</t>
  </si>
  <si>
    <t>https://encrypted-tbn0.gstatic.com/images?q=tbn:ANd9GcTNMMO_22p5NW9EgLCYTEZpnA25g_wGgms31A&amp;s</t>
  </si>
  <si>
    <t>Gawar Sabzi</t>
  </si>
  <si>
    <t xml:space="preserve">
கவார் சப்ஜி</t>
  </si>
  <si>
    <t xml:space="preserve">   Onion – 1,
   Potato – 3/4 cup ,
   Cluster Beans – 2 cups,
   Turmeric powder – 1/4 tsp,
   Chilli powder – 1/2-3/4 tsp,
   Coriander powder – 2 tsp,
   Salt to taste,
   Oil – 2 tbsp,
   Cumin seeds – 1 tsp,
   asafoetida – a pinch,
   Curry leaves – a sprig.</t>
  </si>
  <si>
    <t>வெங்காயம் - 1,
உருளைக்கிழங்கு - 3/4 கப்,
கொத்தமல்லி - 2 கப்,
மஞ்சள் தூள் - 1/4 தேக்கரண்டி,
மிளகாய் தூள் - 1/2-3/4 தேக்கரண்டி,
கொத்தமல்லி தூள் - 2 தேக்கரண்டி,
சுவைக்கு உப்பு,
எண்ணெய் - 2 தேக்கரண்டி,
சீரகம் - 1 தேக்கரண்டி,
பெருங்காயம் - ஒரு சிட்டிகை,
கறிவேப்பிலை - ஒரு தளிர்.</t>
  </si>
  <si>
    <t>Heat oil in a pan, add cumin seeds, when it sizzles, add curry leaves, hing and thinly sliced onions.
Saute until onions turn transparent. Then add potatoes, turmeric powder and cook covered on medium heat until potatoes are 3/4 cooked.
cluster beans potato curry 
Add cooked cluster beans, chilli powder, coriander powder and salt needed (remember we have added salt when cooking cluster beans, so add accordingly).
Sprinkle water and cook covered until the masala gets coated well with the cluster beans and potato.
Gavar Phalli Aloo Sabzi
Enjoy with rice or as a side dish for chapati.</t>
  </si>
  <si>
    <t>ஒரு கடாயில் எண்ணெயை சூடாக்கி, சீரகம் சேர்த்து, அது கொதித்ததும், கறிவேப்பிலை, கீல் மற்றும் மெல்லியதாக நறுக்கிய வெங்காயம் சேர்க்கவும்.
வெங்காயம் வெளிப்படையானதாக மாறும் வரை வதக்கவும். பின்னர் உருளைக்கிழங்கு, மஞ்சள் தூள் சேர்த்து, நடுத்தர வெப்பத்தில் உருளைக்கிழங்கு 3/4 வேகும் வரை சமைக்கவும்.
கொத்தமல்லி தூள், கொத்தமல்லி தூள் மற்றும் உப்பு தேவை (கொத்தமல்லி பீன்ஸை சமைக்கும்போது உப்பு சேர்த்துள்ளோம் என்பதை நினைவில் கொள்ளுங்கள், அதன்படி சேர்க்கவும்).
தண்ணீர் தெளித்து, மசாலா கொத்தமல்லி பீன்ஸ் மற்றும் உருளைக்கிழங்குடன் நன்கு பூசப்படும் வரை மூடி வைக்கவும்.
கவர் பல்லி ஆலு சப்ஸி
சாதத்துடன் அல்லது சப்பாத்திக்கு துணை உணவாக சாப்பிடுங்கள்.</t>
  </si>
  <si>
    <t>https://encrypted-tbn0.gstatic.com/images?q=tbn:ANd9GcQcGZcuWSk_CoUR2fniGvpebDlpKCki1iI7Pg&amp;s</t>
  </si>
  <si>
    <t>Paneer Cutlet</t>
  </si>
  <si>
    <t>பனீர் கட்லெட்</t>
  </si>
  <si>
    <t xml:space="preserve">   Brown bread or white bread – 3,
   Paneer – 1/2 cup,
   Green Chilli – 1 finely chopped,
   Ginger garlic paste – 1 tsp,
   Black Pepper powder – 1/4 tsp,
   Thick Curd – 1 tbsp,
   Salt to tastec,
   Cornflour – 1 tbsp,
   Bread Crumbs as needed,
   Oil for shallow frying.</t>
  </si>
  <si>
    <t>பிரவுன் பிரெட் அல்லது வெள்ளை பிரெட் - 3,
பனீர் - 1/2 கப்,
பச்சை மிளகாய் - 1 பொடியாக நறுக்கியது,
இஞ்சி பூண்டு விழுது - 1 டீஸ்பூன்,
கருப்பு மிளகு தூள் - 1/4 டீஸ்பூன்,
அடர்த்தியான தயிர் - 1 டீஸ்பூன்,
சுவைக்கு உப்பு,
சோள மாவு - 1 டீஸ்பூன்,
தேவைக்கேற்ப ரொட்டி துண்டுகள்,
ஆழமற்ற வறுக்க எண்ணெய்.</t>
  </si>
  <si>
    <t>In a bowl mix together paneer, bread (cut the brown edges of the bread and tear it into small pieces), ginger-garlic paste, green chilli, salt and pepper powder. Mix well with your hands.
Add thick curd and mix well to form a dough.
Divide the mixture into six equal parts, make smooth balls and then flatten it to make patties (disc). Mix cornflour with a little water to make a slightly thick paste. Keep bread crumbs ready.
how to make paneer cutlet 
Dip the patty in cornflour + water mix and then coat it with bread crumbs on all the sides. Repeat the same for the rest of the patties.
Now all the patties are coated with bread crumbs and kept ready. Heat 3 tsp of oil in a pan and place the patties. Drizzle a tsp of oil around all the patties.
Paneer bread cutlet recipe 
Shallow fry on low heat (you need a lot of patience for this) until golden brown.
Paneer bread cutlet 
Delicious paneer cutlet is ready. Serve hot with ketchup or green chutney. Enjoy with tea or coffee.</t>
  </si>
  <si>
    <t>ஒரு பாத்திரத்தில் பனீர், ரொட்டி (பிரெட்டின் பழுப்பு நிற விளிம்புகளை வெட்டி சிறிய துண்டுகளாக கிழிக்கவும்), இஞ்சி-பூண்டு விழுது, பச்சை மிளகாய், உப்பு மற்றும் மிளகு தூள் ஆகியவற்றை ஒன்றாக கலக்கவும். உங்கள் கைகளால் நன்றாக கலக்கவும்.
கெட்டியான தயிர் சேர்த்து மாவை உருவாக்க நன்கு கலக்கவும்.
கலவையை ஆறு சம பாகங்களாக பிரித்து, மென்மையான உருண்டைகளாக உருட்டி, பின்னர் தட்டையாக்கி (வட்டு) செய்யவும். சோள மாவை சிறிது தண்ணீரில் கலந்து சற்று கெட்டியான பேஸ்ட் தயாரிக்கவும். ரொட்டி துண்டுகளை தயாராக வைத்திருங்கள்.
பனீர் கட்லெட் செய்வது எப்படி
பாட்டியை கார்ன்ஃப்ளார் + தண்ணீர் கலவையில் நனைத்து, பின்னர் அனைத்து பக்கங்களிலும் ரொட்டி துண்டுகளால் பூசவும். மீதமுள்ள பஜ்ஜிகளுக்கும் இதையே செய்யவும்.
இப்போது அனைத்து பஜ்ஜிகளும் பிரட் துண்டுகளால் பூசப்பட்டு தயாராக உள்ளன. ஒரு பாத்திரத்தில் 3 தேக்கரண்டி எண்ணெயை சூடாக்கி பஜ்ஜிகளை வைக்கவும். அனைத்து பஜ்ஜிகளையும் சுற்றி ஒரு தேக்கரண்டி எண்ணெயைத் தெளிக்கவும்.
பனீர் பிரட் கட்லெட் செய்முறை
குறைந்த தீயில் (இதற்கு உங்களுக்கு நிறைய பொறுமை தேவை) பொன்னிறமாகும் வரை மெதுவான தீயில் வறுக்கவும்.
பனீர் பிரட் கட்லெட்
சுவையான பனீர் கட்லெட் தயார். கெட்ச்அப் அல்லது பச்சை சட்னியுடன் சூடாக பரிமாறவும். தேநீர் அல்லது காபியுடன் மகிழுங்கள்.</t>
  </si>
  <si>
    <t>https://aartimadan.com/wp-content/uploads/2023/02/Paneer-Cutlet.jpg</t>
  </si>
  <si>
    <t>Pina Colada Overnight Oats</t>
  </si>
  <si>
    <t>பினா கோலாடா ஓவர்நைட் ஓட்ஸ்</t>
  </si>
  <si>
    <t xml:space="preserve">   Rolled Oats – 1/3 cup,
   Pineapple pieces – 1/2 cup,
   Coconut milk – 1/2 cup,
   Honey or any sweetener to taste,
   Almonds – 6 blanched and slivered,
   Grated coconut – 2-3 tbsp.</t>
  </si>
  <si>
    <t>உருட்டப்பட்ட ஓட்ஸ் - 1/3 கப்,
அன்னாசி துண்டுகள் - 1/2 கப்,
தேங்காய் பால் - 1/2 கப்,
தேன் அல்லது சுவைக்க ஏதேனும் இனிப்பு,
பாதாம் - 6 வெளுத்து நறுக்கியது,
தேங்காய் துருவியது - 2-3 டேபிள் ஸ்பூன்.</t>
  </si>
  <si>
    <t>In a bowl or mason jar, add the oats (I used old fashioned oats).
Add the pineapple pieces. Add thick coconut milk and honey. Since the pineapple I used was very sweet, I added just a tsp of honey.
Top it with grated coconut and almonds. Refrigerate overnight or for 8 hours.
In the morning top it with more pineapple pieces and grated coconut. You can adjust the consistency to your liking by adding more coconut milk. Enjoy!!</t>
  </si>
  <si>
    <t>https://encrypted-tbn0.gstatic.com/images?q=tbn:ANd9GcRra9hP5iCq85x6ipWIkG8b9uMbjUmTrXTy4w&amp;s</t>
  </si>
  <si>
    <t>Easy Lemon Couscous</t>
  </si>
  <si>
    <t>எளிதான எலுமிச்சை கூஸ்கஸ்</t>
  </si>
  <si>
    <t xml:space="preserve">   Couscous – 1/2 cup,
   Water – 1 cup,
   Salt – 1/4 tsp,
   Oil – 1 tbsp,
   Mustard seeds – 1 tsp,
   Cumin seeds – 1 tsp,
   Curry leaves – a sprig,
   Ginger – 1 inch piece,
   Green chilli – 2 slit,
   Carrot – 1 big or 2 medium size,
   cashew nuts – 2 tbsp,
   Turmeric powder – 1/4 tsp,
   Salt to taste,
   Fresh lemon juice as needed,
   Fresh Coriander leaves – 1 tbsp finely chopped.</t>
  </si>
  <si>
    <t>கூஸ்கஸ் - 1/2 கப்,
தண்ணீர் - 1 கப்,
உப்பு - 1/4 டீஸ்பூன்,
எண்ணெய் - 1 டீஸ்பூன்,
கடுகு - 1 டீஸ்பூன்,
சீரகம் - 1 டீஸ்பூன்,
கறிவேப்பிலை - ஒரு தளிர்,
இஞ்சி - 1 அங்குல துண்டு,
பச்சை மிளகாய் - 2 துண்டு,
கேரட் - 1 பெரிய அல்லது 2 நடுத்தர அளவு,
முந்திரி பருப்பு - 2 டீஸ்பூன்,
மஞ்சள் தூள் - 1/4 டீஸ்பூன்,
சுவைக்கு உப்பு,
தேவைக்கேற்ப புதிய எலுமிச்சை சாறு,
புதிய கொத்தமல்லி இலைகள் - 1 டீஸ்பூன் நன்றாக நறுக்கியது.</t>
  </si>
  <si>
    <t>Heat oil in a pan, add mustard seeds, when it splutters, add cumin seeds and saute for a few seconds.
Then add curry leaves, finely chopped ginger, slit green chilli, finely chopped carrots, roasted peanuts and turmeric powder.
Cook for a few minutes until the carrots become tender.
Add lemon juice (juice of 1 small lemon or as needed), salt needed and switch off the heat. Fluff couscous with a fork and add to it. Mix well so that it is well coated with the seasoning. Taste and adjust salt and lemon juice to suit your preference.
Garnish with coriander leaves and serve hot. It taste good on its own. If desired, you can have it with any chutney of your choice.</t>
  </si>
  <si>
    <t>ஒரு கடாயில் எண்ணெயை சூடாக்கி, கடுகு சேர்த்து, அது வதங்கியதும், சீரகத்தை சேர்த்து சில நொடிகள் வதக்கவும்.
பின்னர் கறிவேப்பிலை, இறுதியாக நறுக்கிய இஞ்சி, பச்சை மிளகாய், இறுதியாக நறுக்கிய கேரட், வறுத்த வேர்க்கடலை மற்றும் மஞ்சள் தூள் சேர்க்கவும்.
கேரட் மென்மையாகும் வரை சில நிமிடங்கள் சமைக்கவும்.
எலுமிச்சை சாறு (1 சிறிய எலுமிச்சை சாறு அல்லது தேவைக்கேற்ப), தேவையான உப்பு சேர்த்து அடுப்பை அணைக்கவும். ஒரு முட்கரண்டி கொண்டு கூஸ்கஸை பிசைந்து அதனுடன் சேர்க்கவும். மசாலாப் பொருட்களுடன் நன்கு பூசப்படும்படி நன்கு கலக்கவும். உங்கள் விருப்பத்திற்கு ஏற்ப உப்பு மற்றும் எலுமிச்சை சாற்றை ருசித்து சரிசெய்யவும்.
கொத்தமல்லி இலைகளால் அலங்கரித்து சூடாகப் பரிமாறவும். இது தனியாகவே சுவையாக இருக்கும். விரும்பினால், நீங்கள் விரும்பும் எந்த சட்னியுடனும் இதை சாப்பிடலாம்.</t>
  </si>
  <si>
    <t>https://mydominicankitchen.com/wp-content/uploads/2018/01/Pina-Colada-Overnight-Oats-new-Smart-Little-Cookie-5.jpg</t>
  </si>
  <si>
    <t>Urad Dal Rice</t>
  </si>
  <si>
    <t>உளுத்தம் பருப்பு சாதம்</t>
  </si>
  <si>
    <t xml:space="preserve">   Rice – 1 cup ,
   Split black urad dal -1/2 cup,
   Garlic – 8-10 cloves,
   Fenugreek seeds – 1/4 tsp,
   Salt needed,
   Oil – 1 1/2 tbsp,
   Cumin seeds – 1 tsp,
   Asafoetida – 1/4 tsp,
   Curry leaves – a sprig,
   Grated coconut – 1/4 cup,
   Black Sesame seeds – 1/2 cup,
   Red chillies – 2-3,
   Tamarind – a small piece or 1/4 tsp paste,
   Salt needed.</t>
  </si>
  <si>
    <t>அரிசி - 1 கப் ,
கருப்பு உளுத்தம் பருப்பு - 1/2 கப் ,
பூண்டு - 8-10 பல்,
வெந்தயம் விதைகள் - 1/4 தேக்கரண்டி,
உப்பு தேவை,
எண்ணெய் - 1 1/2 தேக்கரண்டி,
சீரகம் - 1 தேக்கரண்டி,
பெருங்காயம் - 1/4 தேக்கரண்டி,
கறிவேப்பிலை - ஒரு தளிர்,
துருவிய தேங்காய் - 1/4 கப்,
கருப்பு எள் - 1/2 கப்,
சிவப்பு மிளகாய் - 2-3,
புளி - ஒரு சிறிய துண்டு அல்லது 1/4 தேக்கரண்டி விழுது,
உப்பு தேவை.</t>
  </si>
  <si>
    <t>Wash both dal and rice together. In a pressure cooker, add the washed rice and dal, fenugreek seeds, garlic, 3 1/2 cups of water and salt needed. (the quantity of water will vary according to the quality of rice used).
Pressure cook on low heat for 2 whistles or until rice is soft.
Open the cooker once the pressure subsides. Heat oil in a pan, add cumin seeds, hing and curry leaves. When cumin seeds sizzle, add grated coconut, saute for a few seconds and add it to the rice dal mixture.
Uluntham Paruppu Sadam
Mix well gently and serve hot with ellu thuvaiyal or even tomato chutney.</t>
  </si>
  <si>
    <t>பருப்பையும் அரிசியையும் ஒன்றாகக் கழுவவும். ஒரு பிரஷர் குக்கரில், கழுவிய அரிசி மற்றும் பருப்பைச் சேர்க்கவும், வெந்தயம், பூண்டு, 3 1/2 கப் தண்ணீர் மற்றும் உப்பு சேர்க்கவும். (பயன்படுத்தப்படும் அரிசியின் தரத்தைப் பொறுத்து தண்ணீரின் அளவு மாறுபடும்).
குறைந்த வெப்பத்தில் 2 விசில் அல்லது அரிசி மென்மையாகும் வரை பிரஷர் சமைக்கவும்.
பிரஷர் குறைந்தவுடன் குக்கரைத் திறக்கவும். ஒரு கடாயில் எண்ணெயை சூடாக்கி, சீரகம், பெருங்காயம் மற்றும் கறிவேப்பிலை சேர்க்கவும். சீரகம் கொதிக்கும் போது, ​​துருவிய தேங்காய் சேர்த்து, சில நொடிகள் வதக்கி, அரிசி பருப்பு கலவையில் சேர்க்கவும்.
உளுந்தம் பருப்பு சாதம்
மெதுவாகக் கலந்து, எல்லு துவையல் அல்லது தக்காளி சட்னியுடன் சூடாகப் பரிமாறவும்.</t>
  </si>
  <si>
    <t>https://encrypted-tbn0.gstatic.com/images?q=tbn:ANd9GcRQeKq20eFLqc2MJxDtCX7FG_FHjsa4w8a3xg&amp;s</t>
  </si>
  <si>
    <t>Oven Roasted Broccoli</t>
  </si>
  <si>
    <t>அடுப்பில் வறுத்த ப்ரோக்கோலி</t>
  </si>
  <si>
    <t xml:space="preserve">   Broccoli – 1 medium sized head,
   Olive oil – 2 tbsp,
   Salt to taste,
   Pepper powder to taste,
   Fresh lemon juice to taste,
   Dry Herbs .</t>
  </si>
  <si>
    <t>ப்ரோக்கோலி - 1 நடுத்தர அளவிலான தலை,
ஆலிவ் எண்ணெய் - 2 டீஸ்பூன்,
ருசிக்க உப்பு,
ருசிக்க மிளகு தூள்,
ருசிக்க புதிய எலுமிச்சை சாறு,
உலர்ந்த மூலிகைகள்.</t>
  </si>
  <si>
    <t>Cut broccoli into even sized florets (for even roasting). Wash, shake off excess water and pat it dry with a towel. I usually do this 30 minutes before, so that the broccoli will be completely dry, though not necessary. But make sure it is completely dry.
Pre-heat oven at 180 degree C for 10 minutes.
Line the baking tray with aluminium foil or parchment paper to prevent sticking.
In a bowl, add olive oil, salt, pepper powder and herbs of your choice (I used Italian seasoning) and mix well. Add broccoli florets and toss well so that it is well coated with the seasoning.
Spread it on a single layer in an aluminium foil lined baking tray and bake in a pre-heated oven (middle rack) at 180 degree C for 20-25 minutes or until the tips of the florets starts to brown slightly. (Stir it after the first 15 minutes of baking).
Once done, remove from oven, squeeze fresh lemon juice over it, mix well and enjoy it hot as a side dish or as a snack.</t>
  </si>
  <si>
    <t>ப்ரோக்கோலியை சம அளவிலான பூக்களாக வெட்டுங்கள் (சமமாக வறுக்க). கழுவி, அதிகப்படியான தண்ணீரை குலுக்கி, ஒரு துண்டுடன் தட்டவும். நான் வழக்கமாக இதை 30 நிமிடங்களுக்கு முன்பு செய்வேன், இதனால் ப்ரோக்கோலி முற்றிலும் வறண்டு போகும், அவசியமில்லை என்றாலும். ஆனால் அது முற்றிலும் உலர்ந்திருப்பதை உறுதிப்படுத்திக் கொள்ளுங்கள்.
180 டிகிரி செல்சியஸில் 10 நிமிடங்கள் அடுப்பை முன்கூட்டியே சூடாக்கவும்.
ஒட்டாமல் இருக்க பேக்கிங் தட்டில் அலுமினியத் தகடு அல்லது காகிதத்தோல் காகிதத்தால் வரிசைப்படுத்தவும்.
ஒரு கிண்ணத்தில், ஆலிவ் எண்ணெய், உப்பு, மிளகு தூள் மற்றும் உங்களுக்கு விருப்பமான மூலிகைகள் (நான் இத்தாலிய மசாலாப் பொருளைப் பயன்படுத்தினேன்) சேர்த்து நன்கு கலக்கவும். ப்ரோக்கோலி பூக்களைச் சேர்த்து, மசாலாப் பொருட்களால் நன்கு பூசப்படும் வகையில் நன்கு கிளறவும்.
அலுமினியத் தகடு பூசப்பட்ட பேக்கிங் தட்டில் ஒற்றை அடுக்கில் பரப்பி, முன் சூடாக்கப்பட்ட அடுப்பில் (நடுத்தர ரேக்) 180 டிகிரி செல்சியஸில் 20-25 நிமிடங்கள் அல்லது பூக்களின் நுனிகள் லேசாக பழுப்பு நிறமாகத் தொடங்கும் வரை சுடவும். (பேக்கிங் செய்த முதல் 15 நிமிடங்களுக்குப் பிறகு கிளறவும்).
முடிந்ததும், அடுப்பிலிருந்து இறக்கி, அதன் மேல் புதிய எலுமிச்சை சாற்றைப் பிழிந்து, நன்கு கலந்து, சூடாக ஒரு துணை உணவாகவோ அல்லது சிற்றுண்டியாகவோ அனுபவிக்கவும்.</t>
  </si>
  <si>
    <t>https://encrypted-tbn0.gstatic.com/images?q=tbn:ANd9GcRCZ91rdicimOWDYZMifJn8rJ8D3wpqIWW0yQ&amp;s</t>
  </si>
  <si>
    <t>Chilli Cheese Toast</t>
  </si>
  <si>
    <t>மிளகாய் சீஸ் டோஸ்ட்</t>
  </si>
  <si>
    <t xml:space="preserve">   Bread – 4 slices,
   Green Chillies – 1 finely chopped,
   Capsicum – 2 tbsp finely chopped,
   Tomato – 1 small deseeded and chopped,
   Pepper powder as needed,
   Salt as needed,
   Cheese (grated) as needed,
   Garlic – 2 cloves grated,
   Coriander leaves – 1 tbsp finely chopped,
   Olive oil – 1 tsp.</t>
  </si>
  <si>
    <t>ரொட்டி - 4 துண்டுகள்,
பச்சை மிளகாய் - 1 நன்றாக நறுக்கியது,
கேப்சிகம் - 2 டேபிள்ஸ்பூன் நன்றாக நறுக்கியது,
தக்காளி - 1 சிறிய விதை நீக்கி நறுக்கியது,
மிளகு தூள் தேவைக்கேற்ப,
உப்பு தேவைக்கேற்ப,
சீஸ் (துருவியது) தேவைக்கேற்ப,
பூண்டு - 2 பல் துருவியது,
கொத்தமல்லி இலைகள் - 1 டேபிள்ஸ்பூன் நன்றாக நறுக்கியது,
ஆலிவ் எண்ணெய் - 1 டேபிள்ஸ்பூன்.</t>
  </si>
  <si>
    <t>In a bowl mix together, finely chopped capsicum, tomato (remove seeds), green chilli, grated garlic, grated cheese (mozzarella, cheddar or Britannia cheese), coriander leaves, salt, pepper and olive oil.
Spread the mixture on the bread (if preferred cut into triangles ) and grill in a preheated oven until the cheese melts and turn light golden.
Chilli Cheese Toast Sandwich Recipe
Serve hot. You can experiment with toppings of your choice.</t>
  </si>
  <si>
    <t>ஒரு பாத்திரத்தில், மிளகாய் சீஸ், தக்காளி (விதைகளை நீக்கவும்), பச்சை மிளகாய், பூண்டு துருவியது, சீஸ் துருவியது (மொஸரெல்லா, செடார் அல்லது பிரிட்டானியா சீஸ்), கொத்தமல்லி இலைகள், உப்பு, மிளகு மற்றும் ஆலிவ் எண்ணெய் ஆகியவற்றை ஒன்றாக கலக்கவும்.
கலவையை ரொட்டியின் மீது தடவி (விரும்பினால் முக்கோணங்களாக வெட்டவும்) மற்றும் சீஸ் உருகி வெளிர் பொன்னிறமாக மாறும் வரை முன்கூட்டியே சூடாக்கப்பட்ட அடுப்பில் கிரில் செய்யவும்.
மிளகாய் சீஸ் டோஸ்ட் சாண்ட்விச் செய்முறை
சூடாக பரிமாறவும். உங்களுக்கு விருப்பமான டாப்பிங்ஸுடன் நீங்கள் பரிசோதனை செய்யலாம்.</t>
  </si>
  <si>
    <t>https://encrypted-tbn0.gstatic.com/images?q=tbn:ANd9GcTSyPvRFLDiLBX1nsECfyEfPIAzwWk3iFi5cg&amp;s</t>
  </si>
  <si>
    <t>Quinoa with Beans and Corn</t>
  </si>
  <si>
    <t>பீன்ஸ் மற்றும் சோளத்துடன் கூடிய குயினோவா</t>
  </si>
  <si>
    <t xml:space="preserve">   Quinoa – 1/2 cup,
   Kidney Beans – 1/3 cup cooked,
   Corn – 1/2 cup,
   Coconut milk – 3/4 cup,
   Water -1/4 cup,
   Onion – 1 chopped,
   Salt needed,
   Ginger – 1 inch piece,
   Garlic – 2 cloves,
   Green Chilli -1,
   Fresh mint leaves -fistful,
   Chilli powder – 1/4 tsp,
   Cumin powder – 1 tsp,
   Oil – 2 tbsp,
   Cinnamon – 1 inch piece,
   Cloves – 2,
   Coriander leaves – 2 tbsp chopped.</t>
  </si>
  <si>
    <t>குயினோவா - 1/2 கப்,
கிட்னி பீன்ஸ் - 1/3 கப் சமைத்த,
சோளம் - 1/2 கப்,
தேங்காய் பால் - 3/4 கப்,
தண்ணீர் - 1/4 கப்,
வெங்காயம் - 1 நறுக்கியது,
உப்பு தேவை,
இஞ்சி - 1 அங்குல துண்டு,
பூண்டு - 2 பல்,
பச்சை மிளகாய் - 1,
புதிய புதினா இலைகள் - கைப்பிடி அளவு,
மிளகாய் தூள் - 1/4 தேக்கரண்டி,
சீரக தூள் - 1 தேக்கரண்டி,
எண்ணெய் - 2 தேக்கரண்டி,
இலவங்கப்பட்டை - 1 அங்குல துண்டு,
கிராம்பு - 2,
கொத்தமல்லி இலைகள் - 2 தேக்கரண்டி நறுக்கியது.</t>
  </si>
  <si>
    <t>Heat oil in a pan, add cloves and cinnamon, saute for a few seconds and then add onions.
Saute until onions turn transparent. Then add the ground paste and saute until the raw flavor of the paste goes. 
Add chilli powder and cumin powder.
Add coconut milk + water, cooked beans, boiled corn and salt needed. When it starts boiling, add the quinoa and cook covered on low heat.
If you find the quinoa uncooked even after all the liquid has evaporated, you can sprinkle water and cook for a few more minutes until the quinoa is soft.
Garnish with coriander leaves and serve hot with a simple salad or roasted vegetables.</t>
  </si>
  <si>
    <t>ஒரு கடாயில் எண்ணெயை சூடாக்கி, கிராம்பு மற்றும் இலவங்கப்பட்டை சேர்த்து, சில நொடிகள் வதக்கி, பின்னர் வெங்காயத்தைச் சேர்க்கவும்.
வெங்காயம் வெளிப்படையானதாக மாறும் வரை வதக்கவும். பின்னர் அரைத்த விழுதைச் சேர்த்து, பேஸ்டின் பச்சை வாசனை போகும் வரை வதக்கவும்.
மிளகாய் தூள் மற்றும் சீரகத் தூள் சேர்க்கவும்.
தேங்காய் பால் + தண்ணீர், சமைத்த பீன்ஸ், வேகவைத்த சோளம் மற்றும் தேவையான அளவு உப்பு சேர்க்கவும். கொதிக்க ஆரம்பித்ததும், குயினோவாவைச் சேர்த்து, குறைந்த தீயில் மூடி வைத்து சமைக்கவும்.
திரவம் முழுவதும் ஆவியாகிவிட்ட பிறகும் குயினோவா வேகவில்லை என்றால், தண்ணீரைத் தெளித்து குயினோவா மென்மையாகும் வரை இன்னும் சில நிமிடங்கள் சமைக்கலாம்.
கொத்தமல்லி இலைகளால் அலங்கரித்து, ஒரு எளிய சாலட் அல்லது வறுத்த காய்கறிகளுடன் சூடாகப் பரிமாறவும்.</t>
  </si>
  <si>
    <t>https://encrypted-tbn0.gstatic.com/images?q=tbn:ANd9GcRucpLweR5T0NPnxfgnT1HR7YcRZIE7foGARg&amp;s</t>
  </si>
  <si>
    <t>Sweet Couscous with Nuts</t>
  </si>
  <si>
    <t>கொட்டைகளுடன் இனிப்பு கூஸ்கஸ்</t>
  </si>
  <si>
    <t xml:space="preserve">   Instant Couscous – 1/2 cup,
   Jaggery – 3/4 cup grated,
   Raisins – 3 tbsp,
   Cashew nuts – 6 -7,
   Almonds – 5 blanched and slivered,
   Cardamom powder - 1/2 tsp,
   Ghee/clarified butter – 2-3 tsp.</t>
  </si>
  <si>
    <t>உடனடி கூஸ்கஸ் - 1/2 கப்,
வெல்லம் - 3/4 கப் துருவியது,
திராட்சை - 3 டீஸ்பூன்,
முந்திரி பருப்பு - 6 -7,
பாதாம் - 5 வெளுத்து நறுக்கியது,
ஏலக்காய் தூள் - 1/2 டீஸ்பூன்,
நெய் / தெளித்த வெண்ணெய் - 2-3 டீஸ்பூன்.</t>
  </si>
  <si>
    <t>Bring jaggery water to boil with a tsp of ghee and cardamom powder. When it start bubbling and thickens slightly, add the couscous it it and mix well. Cook on low heat for 2-3 minutes so that the couscous get incorporated well with the jaggery syrup.
Heat a tsp of ghee and fry raisins till it slightly puffs up. Remove the raisins and in the same pan fry the cashew nuts until golden brown.  Then add both to the jaggery + couscous mixture.
Garnish with slivered almonds and serve warm.</t>
  </si>
  <si>
    <t>வெல்லம் தண்ணீரில் ஒரு டீஸ்பூன் நெய் மற்றும் ஏலக்காய் தூள் சேர்த்து கொதிக்க வைக்கவும். அது கொப்பளித்து சிறிது கெட்டியானதும், கூஸ்கஸை சேர்த்து நன்கு கலக்கவும். கூஸ்கஸ் வெல்ல சிரப்பில் நன்றாக சேரும் வகையில் 2-3 நிமிடங்கள் குறைந்த தீயில் சமைக்கவும்.
ஒரு டீஸ்பூன் நெய்யை சூடாக்கி, திராட்சையை சிறிது வீங்கும் வரை வறுக்கவும். திராட்சையை நீக்கி, அதே வாணலியில் முந்திரி பருப்புகளை பொன்னிறமாகும் வரை வறுக்கவும். பின்னர் இரண்டையும் வெல்லம் + கூஸ்கஸ் கலவையில் சேர்க்கவும்.
துருவிய பாதாம் பருப்புகளால் அலங்கரித்து சூடாக பரிமாறவும்.</t>
  </si>
  <si>
    <t>https://encrypted-tbn0.gstatic.com/images?q=tbn:ANd9GcRFpG46Z2fZc2MNBxLfPyyeyLfLLrds0FcxEg&amp;s</t>
  </si>
  <si>
    <t>Pancharatna Dal Adai</t>
  </si>
  <si>
    <t>பஞ்சரத்ன பருப்பு அடை</t>
  </si>
  <si>
    <t xml:space="preserve">   Pancharatna dal - 1/2 cup,
   Rice (any rice) – 1/2 cup,
   Green chilli -3,
   Ginger – 1 inch piece,
   Salt needed,
   Onion – 1-2 finely chopped,
   Grated coconut – 2 tbsp,
   Curry leaves – a sprig,
   Coriander leaves – 2 tbsp finely chopped,
   Oil for making adais.</t>
  </si>
  <si>
    <t>பஞ்சரத்ன பருப்பு - 1/2 கப்,
அரிசி (ஏதேனும் அரிசி) - 1/2 கப்,
பச்சை மிளகாய் - 3,
இஞ்சி - 1 அங்குல துண்டு,
உப்பு தேவை,
வெங்காயம் - 1-2 பொடியாக நறுக்கியது,
தேங்காய் துருவியது - 2 டீஸ்பூன்,
கறிவேப்பிலை - ஒரு தளிர்,
கொத்தமல்லி இலை - 2 டீஸ்பூன் பொடியாக நறுக்கியது,
அடை செய்வதற்கு எண்ணெய்.</t>
  </si>
  <si>
    <t>Wash and soak rice and pancharatna dal for 2-3 hours. Grind it with green chillies, ginger and salt adding needed water. The batter should not be too thick nor too watery. It should be of medium consistency.
Add finely chopped onions, tender curry leaves, grated coconut and finely chopped coriander leaves to the batter. No need to ferment the batter.
Heat a tawa, when the tawa is hot, spread a ladle of batter as shown above. Make 3-4 holes in the adai and drizzle a tsp of oil around the adai and a few drops in the holes.
When you find the corners lifting up, flip it over to the other side, drizzle another half tsp of oil and cook until golden brown on both sides.
Remove from heat and serve hot with any chutney or sambar or aviyal.</t>
  </si>
  <si>
    <t>அரிசியையும் பஞ்சரத்ன பருப்பையும் கழுவி 2-3 மணி நேரம் ஊற வைக்கவும். பச்சை மிளகாய், இஞ்சி மற்றும் உப்பு சேர்த்து தேவையான தண்ணீர் சேர்த்து அரைக்கவும். மாவு மிகவும் கெட்டியாகவோ அல்லது அதிக நீர்ச்சத்துடனோ இருக்கக்கூடாது. அது நடுத்தர நிலைத்தன்மையுடன் இருக்க வேண்டும்.
மாவில் இறுதியாக நறுக்கிய வெங்காயம், மென்மையான கறிவேப்பிலை, தேங்காய் துருவல் மற்றும் இறுதியாக நறுக்கிய கொத்தமல்லி இலைகளை சேர்க்கவும். மாவை புளிக்க தேவையில்லை.
ஒரு தவாவை சூடாக்கி, தவா சூடாகும்போது, ​​மேலே காட்டப்பட்டுள்ளபடி ஒரு கரண்டி மாவை பரப்பவும். அடையில் 3-4 துளைகள் செய்து அடையைச் சுற்றி ஒரு தேக்கரண்டி எண்ணெயையும், துளைகளில் சில துளிகளையும் தெளிக்கவும்.
மூலைகள் மேலே எழும்பியிருப்பதைக் கண்டதும், அதை மறுபுறம் திருப்பி, மற்றொரு அரை தேக்கரண்டி எண்ணெயைத் தூவி, இருபுறமும் பொன்னிறமாகும் வரை சமைக்கவும்.
அடுப்பிலிருந்து இறக்கி, சட்னி அல்லது சாம்பார் அல்லது அவியலுடன் சூடாகப் பரிமாறவும்.</t>
  </si>
  <si>
    <t>https://encrypted-tbn0.gstatic.com/images?q=tbn:ANd9GcS7U6VwifuhokFD0FalzGP7EUC-UD7oz2FuMQ&amp;s</t>
  </si>
  <si>
    <t>Bulgur Biryani</t>
  </si>
  <si>
    <t>புல்கூர் பிரியாணி</t>
  </si>
  <si>
    <t xml:space="preserve">   Bulgur – 1/2 cup,
   Water – 1 cup,
   Salt needed,
   Onion – 1/2 cup thinly sliced,
   Green Chilli – 1 slit,
   Ginger garlic paste – 3/4 tsp,
   Tomato puree – 1/4 cup,
   Carrot – 1/3 cup grated,
   Coriander leaves – 2 tbsp finely chopped,
   Mint leaves – fistful (chopped),
   Turmeric powder – 1/4 tsp,
   Coriander powder – 1 tsp,
   Chilli powder – 1/2 tsp,
   Biryani masala powder – 1 tsp,
   Oil – 1 -1 1/2 tbsp,
   Bay leaf – 1,
   Cloves – 2,
   Cinnamon – 1 inch piece,
   Coriander leaves – 1-2 tbsp finely chopped.</t>
  </si>
  <si>
    <t>புல்கூர் - 1/2 கப்,
தண்ணீர் - 1 கப்,
உப்பு தேவை,
வெங்காயம் - 1/2 கப் மெல்லியதாக நறுக்கியது,
பச்சை மிளகாய் - 1 கீறல்,
இஞ்சி பூண்டு விழுது - 3/4 டீஸ்பூன்,
தக்காளி கூழ் - 1/4 கப்,
கேரட் - 1/3 கப் துருவியது,
கொத்தமல்லி இலை - 2 டேபிள்ஸ்பூன் நன்றாக நறுக்கியது,
புதினா இலை - ஒரு கைப்பிடி (நறுக்கியது),
மஞ்சள் தூள் - 1/4 டீஸ்பூன்,
கொத்தமல்லி தூள் - 1 டீஸ்பூன்,
மிளகாய் தூள் - 1/2 டீஸ்பூன்,
பிரியாணி மசாலா தூள் - 1 டீஸ்பூன்,
எண்ணெய் - 1 -1 1/2 டேபிள்ஸ்பூன்,
பிரியாணி இலை - 1,
கிராம்பு - 2,
இலவங்கப்பட்டை - 1 அங்குல துண்டு,
கொத்தமல்லி இலை - 1-2 டேபிள்ஸ்பூன் நன்றாக நறுக்கியது.</t>
  </si>
  <si>
    <t>Heat oil in a pan, add bay leaf, cinnamon, cloves and saute for a few seconds.
Add thinly sliced onions, green chillies and saute until onions turn transparent. 
Add ginger garlic paste and saute for a few more minutes. Then add tomato puree.
sauteing onions and tomato puree 
Add grated carrot, turmeric powder, coriander powder, chilli powder, biryani masala powder and salt needed.i 
Cook for a few minutes until the raw flavor of the tomato and the spice powder goes.
Add coriander and mint leaves, mix well and cook for a further 2-3 minutes.
Add cooked bulgur, mix well to coat the masala and cook covered for another 2 minutes.
Remove from heat, garnish with finely chopped coriander leaves and serve hot with salad or any raitha of your choice.</t>
  </si>
  <si>
    <t>ஒரு கடாயில் எண்ணெயை சூடாக்கி, பிரியாணி இலை, இலவங்கப்பட்டை, கிராம்பு சேர்த்து சில நொடிகள் வதக்கவும்.
மெல்லியதாக நறுக்கிய வெங்காயம், பச்சை மிளகாய் சேர்த்து வெங்காயம் தெளிவாகும் வரை வதக்கவும்.
இஞ்சி பூண்டு விழுது சேர்த்து இன்னும் சில நிமிடங்கள் வதக்கவும். பின்னர் தக்காளி கூழ் சேர்க்கவும்.
வதக்கிய வெங்காயம் மற்றும் தக்காளி கூழ்
துருவிய கேரட், மஞ்சள் தூள், கொத்தமல்லி தூள், மிளகாய் தூள், பிரியாணி மசாலா தூள் மற்றும் தேவையான அளவு உப்பு சேர்க்கவும்.
தக்காளியின் பச்சை வாசனை போகும் வரை சில நிமிடங்கள் சமைக்கவும்.
கொத்தமல்லி மற்றும் புதினா இலைகளைச் சேர்த்து, நன்கு கலந்து மேலும் 2-3 நிமிடங்கள் சமைக்கவும்.
சமைத்த புல்கரை சேர்த்து, மசாலா பூச நன்கு கலந்து, மூடி வைத்து மேலும் 2 நிமிடங்கள் சமைக்கவும்.
வெப்பத்திலிருந்து நீக்கி, இறுதியாக நறுக்கிய கொத்தமல்லி இலைகளால் அலங்கரித்து, சாலட் அல்லது உங்களுக்கு விருப்பமான எந்த ரைத்தாவுடன் சூடாக பரிமாறவும்.</t>
  </si>
  <si>
    <t>https://encrypted-tbn0.gstatic.com/images?q=tbn:ANd9GcS1AILG_OKFyc0r32Y_uGSMwqJX2B3F_VLHoQ&amp;s</t>
  </si>
  <si>
    <t>Karuveppilai Sadam</t>
  </si>
  <si>
    <t>கருவேப்பிலை சாதம்</t>
  </si>
  <si>
    <t xml:space="preserve">   Cooked Rice – as needed,
   Turmeric powder – 1/4 tsp,
   Salt as needed,
   Oil – 2 tsp,
   Curry leaves – 1 cup loosely packed,
   Urad dal – 1 tbsp,
   Red chillies – 4-5,
   Tamarind – 1/4 tsp paste,
   Coconut – 3 tbsp grated,
   Sesame seed oil – 4 tsp,
   Bengal gram dal – 2 tsp,
   Asafoetida/Hing – 1/4 tsp,
   Roasted peanuts – 2 tbsp,
   Ghee – 1 tsp (optional).</t>
  </si>
  <si>
    <t>சமைத்த சாதம் - தேவைக்கேற்ப,
மஞ்சள் தூள் - 1/4 தேக்கரண்டி,
உப்பு தேவைக்கேற்ப,
எண்ணெய் - 2 தேக்கரண்டி,
கறிவேப்பிலை - 1 கப் தளர்வாக பேக் செய்யப்பட்டது,
உளுத்தம் பருப்பு - 1 தேக்கரண்டி,
சிவப்பு மிளகாய் - 4-5,
புளி - 1/4 தேக்கரண்டி பேஸ்ட்,
தேங்காய் - 3 தேக்கரண்டி துருவியது,
எள் எண்ணெய் - 4 தேக்கரண்டி,
கடலை பருப்பு - 2 தேக்கரண்டி,
பெருங்காயம் / கீரை - 1/4 தேக்கரண்டி,
வறுத்த வேர்க்கடலை - 2 தேக்கரண்டி,
நெய் - 1 தேக்கரண்டி (விரும்பினால்).</t>
  </si>
  <si>
    <t>Heat 2 tsp of oil in a pan, add urad dal, red chillies and tamarind. When dal turns golden brown, add the curry leaves and saute for a few minutes. Then add grated coconut and cook for a further 2-3 minutes. Remove from heat and leave it to cool.
Grind it to a paste without adding water. 
Heat 4-5 tsp of sesame seed oil in a pan, add bengal gram (kadalai paruppu), when dal turns golden brown, add hing, turmeric powder, roasted peanuts followed by the ground curry leaves mixture and salt.
Saute the curry leaves mixture/paste for a few seconds and then add needed rice.(check by tasting it)
Karuveppilai sadam recipe 
Mix well and serve with potato curry or chips or appalam. If preferred, (recommended) add a tsp of ghee in the end and mix well.</t>
  </si>
  <si>
    <t>ஒரு கடாயில் 2 தேக்கரண்டி எண்ணெயை சூடாக்கி, உளுத்தம் பருப்பு, சிவப்பு மிளகாய் மற்றும் புளி சேர்க்கவும். பருப்பு பொன்னிறமாக மாறியதும், கறிவேப்பிலை சேர்த்து சில நிமிடங்கள் வதக்கவும். பின்னர் துருவிய தேங்காய் சேர்த்து மேலும் 2-3 நிமிடங்கள் சமைக்கவும். வெப்பத்திலிருந்து நீக்கி ஆற விடவும்.
தண்ணீர் சேர்க்காமல் ஒரு பேஸ்டாக அரைக்கவும்.
ஒரு கடாயில் 4-5 தேக்கரண்டி எள் எண்ணெயை சூடாக்கி, கடலை பருப்பு சேர்க்கவும், பருப்பு பொன்னிறமாக வதங்கியதும், பெருங்காயம், மஞ்சள் தூள், வறுத்த வேர்க்கடலை சேர்க்கவும், பின்னர் அரைத்த கறிவேப்பிலை கலவை மற்றும் உப்பு சேர்க்கவும்.
கறிவேப்பிலை கலவையை சில நொடிகள் வதக்கி, பின்னர் தேவையான சாதத்தை சேர்க்கவும். (ருசித்துப் பாருங்கள்)
கருவேப்பிலை சாதம் செய்முறை
நன்றாகக் கலந்து உருளைக்கிழங்கு கறி அல்லது சிப்ஸ் அல்லது அப்பளத்துடன் பரிமாறவும். விரும்பினால், (பரிந்துரைக்கப்படுகிறது) இறுதியில் ஒரு தேக்கரண்டி நெய்யைச் சேர்த்து நன்கு கலக்கவும்.</t>
  </si>
  <si>
    <t>https://encrypted-tbn0.gstatic.com/images?q=tbn:ANd9GcS-8_Rc_ATqnfj7Xsr97k7ZDHmncvyW7hMZmA&amp;s</t>
  </si>
  <si>
    <t>Semolina Cake</t>
  </si>
  <si>
    <t xml:space="preserve">
ரவை கேக்</t>
  </si>
  <si>
    <t xml:space="preserve">   Semolina– 1 cup,
   Curd – 1 cup,
   Water – 1/4 cup,
   Onion – 1 ,
   Ginger – 1 inch piece grated,
   Green chilli – 1 finely chopped,
   Vegetables – 1 cup finely chopped,
   Coriander leaves – 1 tbsp finely chopped,
   Sesame seeds/til – 1 tbsp,
   Salt to taste,
   Baking powder -1/2 tsp,
   cooking soda – 1/2 tsp,
   Cumin powder -1/2 tsp,
   Garam masala – 1/2 tsp,
   Turmeric powder – 1/4 tsp,
   Chilli powder – 1/2 tsp,
   Oil – 2 tbsp,
   Cumin seeds – 1/2 tsp,
   Mustard seeds – 1 tsp.</t>
  </si>
  <si>
    <t>ரவை - 1 கப்,
தயிர் - 1 கப்,
தண்ணீர் - 1/4 கப்,
வெங்காயம் - 1 ,
இஞ்சி - 1 அங்குல துண்டு துருவியது,
பச்சை மிளகாய் - 1 நன்றாக நறுக்கியது,
காய்கறிகள் - 1 கப் நன்றாக நறுக்கியது,
கொத்தமல்லி இலைகள் - 1 டீஸ்பூன் நன்றாக நறுக்கியது,
எள் / வெந்தயம் - 1 டீஸ்பூன்,
சுவைக்கு உப்பு,
பேக்கிங் பவுடர் - 1/2 தேக்கரண்டி,
சமையல் சோடா - 1/2 தேக்கரண்டி,
சீரக தூள் - 1/2 தேக்கரண்டி,
கரம் மசாலா - 1/2 தேக்கரண்டி,
மஞ்சள் தூள் - 1/4 தேக்கரண்டி,
மிளகாய் தூள் - 1/2 தேக்கரண்டி,
எண்ணெய் - 2 தேக்கரண்டி,
சீரகம் - 1/2 தேக்கரண்டி,
கடுகு - 1 தேக்கரண்டி.</t>
  </si>
  <si>
    <t>In a bowl, add 1 cup of semolina. I used the regular rava used for making rava upma.
Add 1 cup of curd.
Mix well. Let it sit for 10 minutes. In the meantime, we will prepare the seasoning.
Vegetables chopped and kept ready.
Heat oil in a pan, add mustard seeds and cumin seeds, when it splutters, add onions, grated ginger and green chillies. Saute until onions turn transparent.
Add the rest of the vegetables and saute just for 3-4 seconds. (you do not have to cook the vegetables as we are going to bake the rava cake).
Add all the spice powder, salt needed, mix well and remove from heat. Let it cool.
Add to the rava + yogurt mixture. Taste the mixture and adjust salt and other spice powder.
Add water needed. The consistency should be a little thick. I added 1/4 cup + 1 tbsp of water. Then add 1 1/2 tbsp of sesame seeds, baking soda, baking powder and mix well.
Pour the mixture immediately into the prepared tin, after adding baking powder and soda.
Sprinkle little sesame seeds on the top and bake in a pre-heated oven for 30-35 minutes or until a toothpick inserted in the center of the cake comes out clean.
Once it cools, remove the cake from the tray, slice and enjoy savory semolina cake with hot coffee or ginger cardamom tea!! It taste delicious as such, but if preferred, you can have it with any chutney of your choice.
For reheating it, you can toast it in a tawa before serving or microwave it after sprinkling little water on top of it.
Storage and shelf life – Store it in any container. Will stay good for 2 days at room temperature.</t>
  </si>
  <si>
    <t>ஒரு பாத்திரத்தில், 1 கப் ரவை சேர்க்கவும். ரவை உப்மா செய்ய நான் வழக்கமாகப் பயன்படுத்தும் ரவையைப் பயன்படுத்தினேன்.
1 கப் தயிர் சேர்க்கவும்.
நன்றாக கலக்கவும். 10 நிமிடங்கள் அப்படியே வைக்கவும். இதற்கிடையில், நாங்கள் தாளிக்க தேவையான பொருட்களை தயார் செய்வோம்.
காய்கறிகளை நறுக்கி தயாராக வைத்திருங்கள்.
ஒரு கடாயில் எண்ணெயை சூடாக்கி, கடுகு மற்றும் சீரகத்தை சேர்த்து, அது வதங்கியதும், வெங்காயம், துருவிய இஞ்சி மற்றும் பச்சை மிளகாய் சேர்க்கவும். வெங்காயம் வெளிப்படையானதாக மாறும் வரை வதக்கவும்.
மீதமுள்ள காய்கறிகளைச் சேர்த்து 3-4 வினாடிகள் வதக்கவும். (நாம் ரவா கேக்கை சுடப் போவதால் காய்கறிகளை சமைக்க வேண்டியதில்லை).
தேவையான அளவு மசாலாப் பொடி, உப்பு சேர்த்து, நன்கு கலந்து, அடுப்பிலிருந்து நீக்கவும். அதை ஆற விடவும்.
ரவா + தயிர் கலவையில் சேர்க்கவும். கலவையை ருசித்து, உப்பு மற்றும் பிற மசாலாப் பொடிகளை சரிசெய்யவும்.
தேவையான தண்ணீரைச் சேர்க்கவும். நிலைத்தன்மை சிறிது கெட்டியாக இருக்க வேண்டும். நான் 1/4 கப் + 1 டேபிள்ஸ்பூன் தண்ணீர் சேர்த்தேன். பின்னர் 1 1/2 டேபிள்ஸ்பூன் எள், பேக்கிங் சோடா, பேக்கிங் பவுடர் சேர்த்து நன்கு கலக்கவும்.
பேக்கிங் பவுடர் மற்றும் சோடாவைச் சேர்த்த பிறகு, உடனடியாக தயாரிக்கப்பட்ட டின்னில் கலவையை ஊற்றவும்.
மேலே சிறிது எள்ளைத் தூவி, முன்கூட்டியே சூடாக்கப்பட்ட அடுப்பில் 30-35 நிமிடங்கள் அல்லது கேக்கின் மையத்தில் செருகப்பட்ட ஒரு டூத்பிக் சுத்தமாக வெளியே வரும் வரை சுடவும்.
அது குளிர்ந்ததும், தட்டில் இருந்து கேக்கை அகற்றி, துண்டுகளாக நறுக்கி, சூடான காபி அல்லது இஞ்சி ஏலக்காய் தேநீருடன் சுவையான ரவை கேக்கை அனுபவிக்கவும்!! இது சுவையாக இருக்கும், ஆனால் விரும்பினால், நீங்கள் விரும்பும் எந்த சட்னியுடனும் இதை சாப்பிடலாம்.
மீண்டும் சூடுபடுத்த, பரிமாறுவதற்கு முன்பு தவாவில் டோஸ்ட் செய்யலாம் அல்லது அதன் மேல் சிறிது தண்ணீர் தெளித்த பிறகு மைக்ரோவேவில் வைக்கலாம்.
சேமிப்பு மற்றும் அடுக்கு வாழ்க்கை - எந்த கொள்கலனிலும் சேமிக்கவும். அறை வெப்பநிலையில் 2 நாட்கள் நன்றாக இருக்கும்.</t>
  </si>
  <si>
    <t>https://encrypted-tbn0.gstatic.com/images?q=tbn:ANd9GcSKs1U-7zD8sQfzAjExJsRGKmx80ZDFxnEjog&amp;s</t>
  </si>
  <si>
    <t>Gujarati Kadhi</t>
  </si>
  <si>
    <t xml:space="preserve">
குஜராத்தி கதி</t>
  </si>
  <si>
    <t xml:space="preserve">   Curd – 1 1/2 cup,
   Gram flour – 2 1/2 tbsp,
   Turmeric powder – 1/4 tsp,
   Salt to taste,
   Ginger – 1 inch piece,
   Green chilli – 3,
   Sugar -1 tsp,
   Oil or ghee – 2 tsp,
   Mustard seeds – 1 tsp,
   Cumin seeds – 1 tsp,
   Hing – a pinch,
   Curry leaves – a sprig,
  coriander leaves .</t>
  </si>
  <si>
    <t>தயிர் - 1 1/2 கப்,
கடலை மாவு - 2 1/2 டீஸ்பூன்,
மஞ்சள் தூள் - 1/4 டீஸ்பூன்,
ருசிக்க உப்பு,
இஞ்சி - 1 அங்குல துண்டு,
பச்சை மிளகாய் - 3,
சர்க்கரை -1 டீஸ்பூன்,
எண்ணெய் அல்லது நெய் - 2 டீஸ்பூன்,
கடுகு விதைகள் - 1 டீஸ்பூன்,
சீரகம் - 1 டீஸ்பூன்,
இங் - ஒரு சிட்டிகை,
கறிவேப்பிலை - ஒரு தளிர்,
கொத்தமல்லி இலைகள்.</t>
  </si>
  <si>
    <t>In a bowl, mix together curd and gram flour/besan without lumps.(Curd should not be very sour for this dish). Then add water and mix well. The mixture should neither be too thick nor too thin, so add water accordingly. I added around 1 cup of water.
Add ginger green chilli paste, turmeric powder and sugar.
Heat oil/ ghee in a pan, add mustard seeds, cumin seeds, when it splutters, add hing and curry leaves.
Then reduce the heat and add the curd + besan mixture, salt needed and cook stirring on medium heat.
When the mixture starts boiling, reduce the heat and cook stirring now and then for 10-12 minutes, so that the raw smell of the besan/gram flour goes.
Garnish with finely chopped coriander leaves and serve hot with khichdi, plain rice or pulao.</t>
  </si>
  <si>
    <t>https://encrypted-tbn0.gstatic.com/images?q=tbn:ANd9GcRv_kksAXoBx3KSdokzsdo7Xbci51E4D6B9GA&amp;s</t>
  </si>
  <si>
    <t>Vazhakka Mezhukkupuratti</t>
  </si>
  <si>
    <t>வாழைப்பழம் மெழுகுபுரட்டி</t>
  </si>
  <si>
    <t xml:space="preserve">   Raw banana – 2 ,
   Turmeric powder – 1/4 tsp,
   Salt as needed,
   Pepper powder – 1/4 tsp,
   Shallots – 10 peeled,
   Garlic – 2 cloves peeled,
   Red Chilli – 1-2,
   Virgin Coconut oil – 2 tsp,
   Mustard seeds – 1 tsp,
   Curry leaves – a sprig.</t>
  </si>
  <si>
    <t>பச்சை வாழைப்பழம் - 2 ,
மஞ்சள் தூள் - 1/4 தேக்கரண்டி,
உப்பு தேவைக்கேற்ப,
மிளகு தூள் - 1/4 தேக்கரண்டி,
வெங்காயத்தாள் - 10 தோல் நீக்கப்பட்டது,
பூண்டு - 2 பல் உரிக்கப்பட்டது,
சிவப்பு மிளகாய் - 1-2,
கன்னி தேங்காய் எண்ணெய் - 2 தேக்கரண்டி,
கடுகு விதைகள் - 1 தேக்கரண்டி,
கறிவேப்பிலை - ஒரு தளிர்.</t>
  </si>
  <si>
    <t>Pulse shallots, garlic and red chilli in a mixer just for a second. Keep it aside.
Peel the skin of raw banana and cut it into cubes. Bring water to boil (just enough water to cover the raw banana), add turmeric powder, salt needed and the chopped raw banana. 
Cook the raw banana until soft but not mushy. Take care not to over cook the banana. Once cooked, strain the excess water and keep it aside.
Heat coconut oil, add mustard seeds, when it splutters, add curry leaves and the ground onion + garlic + red chilli mixture.
Saute until onions turn transparent.
Add the cooked raw banana, pepper powder and cook on medium heat for another few minutes. Check for salt. If preferred, you can drizzle a tsp of coconut oil over the stir fry.
Vazhakka Mezhukkupuratti is ready to be served with rice. Enjoy making this very easy and simple stir fry with raw banana.</t>
  </si>
  <si>
    <t>வெங்காயத்தாள், பூண்டு மற்றும் சிவப்பு மிளகாய் ஆகியவற்றை மிக்ஸியில் ஒரு நொடி மட்டும் அரைக்கவும். அதை ஒதுக்கி வைக்கவும்.
பச்சை வாழைப்பழத்தின் தோலை உரித்து க்யூப்ஸாக வெட்டவும். தண்ணீரை கொதிக்க வைக்கவும் (பச்சை வாழைப்பழத்தை மூடும் அளவுக்கு தண்ணீர்), மஞ்சள் தூள், தேவையான உப்பு மற்றும் நறுக்கிய பச்சை வாழைப்பழத்தை சேர்க்கவும்.
பச்சை வாழைப்பழத்தை மென்மையாகும் வரை சமைக்கவும், ஆனால் மென்மையாக இல்லாமல் சமைக்கவும். வாழைப்பழம் அதிகமாக வேகாமல் பார்த்துக் கொள்ளுங்கள். சமைத்தவுடன், அதிகப்படியான தண்ணீரை வடிகட்டி ஒதுக்கி வைக்கவும்.
தேங்காய் எண்ணெயை சூடாக்கி, கடுகு சேர்த்து, அது வதங்கியதும், கறிவேப்பிலை மற்றும் அரைத்த வெங்காயம் + பூண்டு + சிவப்பு மிளகாய் கலவையை சேர்க்கவும்.
வெங்காயம் தெளிவாகும் வரை வதக்கவும்.
சமைத்த பச்சை வாழைப்பழம், மிளகு தூள் சேர்த்து மிதமான தீயில் இன்னும் சில நிமிடங்கள் சமைக்கவும். உப்பு சரிபார்க்கவும். விரும்பினால், ஒரு தேக்கரண்டி தேங்காய் எண்ணெயை வறுக்கவும்.
வழக்கா மெழுகுபுரட்டி சாதத்துடன் பரிமாற தயாராக உள்ளது. பச்சை வாழைப்பழத்துடன் இதை மிகவும் எளிதாகவும் எளிமையாகவும் வறுக்கவும்.</t>
  </si>
  <si>
    <t>https://encrypted-tbn0.gstatic.com/images?q=tbn:ANd9GcS9tPfcTOYSHo1L-HXLPV_xbOCz7SY47_oykA&amp;s</t>
  </si>
  <si>
    <t>Parle-G Biscuit Cake</t>
  </si>
  <si>
    <t>பார்லே-ஜி பிஸ்கட் கேக்</t>
  </si>
  <si>
    <t xml:space="preserve">   Parle-G biscuits – 20 biscuits,
   Hide and Seek Biscuit – 20 biscuits,
   Powdered sugar – 3 tbsp,
   Milk – 1 cup,
   Vanilla essence – 3/4 tsp,
   Fruit Salt – 1 packed ,
   almonds – 3 tbsp chopped,
   Baking tin – 7 inches pan.</t>
  </si>
  <si>
    <t>பார்லே-ஜி பிஸ்கட்கள் - 20 பிஸ்கட்கள்,
ஹைட் அண்ட் சீக் பிஸ்கட் - 20 பிஸ்கட்கள்,
பொடித்த சர்க்கரை - 3 டேபிள்ஸ்பூன்,
பால் - 1 கப்,
வெண்ணிலா எசன்ஸ் - 3/4 டீஸ்பூன்,
பழ உப்பு - 1 பேக்,
பாதாம் - 3 டேபிள்ஸ்பூன் நறுக்கியது,
பேக்கிங் டின் - 7 இன்ச் பான்.</t>
  </si>
  <si>
    <t>Grease and dust a 7 inch baking pan/tin. Check Baking tips for beginners for more details.
Bring water to boil in a steamer or  pressure cooker or pan, if you have decided to steam the cake.
Powder the biscuits (hide and seek and parle-G) separately in a mixer. Then mix both well.
Add powdered sugar, cashew nuts (if using) and mix well.
Add vanilla essence, milk (little at a time) and mix without lumps to get a smooth batter. I added one cup of milk.
Before adding eno/fruit salt, bring water to boil in a steamer or cooker or any pan and keep it ready.
Add eno and mix well with a spatula.
how to make parle G biscuit cake
Transfer the batter to the greased baking tin, place it on the pan or cooker and steam cook covered. You should not allow the batter to rest after adding fruit salt. You should steam immediately after adding Eno/Fruit salt (keep a stand inside the pan  as shown in picture below and place the baking pan/tin over it)
biscuit cake 
Steam for the first 15 minutes on high flame. Picture below shows after 15 minutes of steaming.
Then keep the flame/heat low and steam for another 10-15 minutes. Insert a toothpick in the center of the cake to check if it is cooked. If it comes out clean, it is cooked.
Leave it to cool in the cake tin. After it is cooled, remove the cake from the tin. Run a knife around the edges and invert it on a plate. Cut the cake after it is completely cooled.
The cake was so spongy and soft that it just melted in our mouth.
You can decorate the cake with chocolate sauce and grated chocolate as I have done for my eggless ragi cake. You can top it with nuts, cherries, edible silver balls or even gems.</t>
  </si>
  <si>
    <t>7 இன்ச் பேக்கிங் பான்/டின்னில் கிரீஸ் தடவி தூவவும். மேலும் விவரங்களுக்கு ஆரம்பநிலையாளர்களுக்கான பேக்கிங் குறிப்புகளைப் பார்க்கவும்.
கேக்கை வேகவைக்க முடிவு செய்திருந்தால், ஸ்டீமர் அல்லது பிரஷர் குக்கர் அல்லது பாத்திரத்தில் தண்ணீரை கொதிக்க வைக்கவும்.
பிஸ்கட்களை (ஹைட் அண்ட் சீக் மற்றும் பார்லே-ஜி) தனித்தனியாக மிக்ஸியில் பொடி செய்யவும். பின்னர் இரண்டையும் நன்றாக கலக்கவும்.
பொடித்த சர்க்கரை, முந்திரி (பயன்படுத்தினால்) சேர்த்து நன்கு கலக்கவும்.
வெண்ணிலா எசன்ஸ், பால் (சிறிது சிறிதளவு) சேர்த்து கட்டிகள் இல்லாமல் கலக்கவும், மென்மையான மாவைப் பெறவும். நான் ஒரு கப் பால் சேர்த்தேன்.
ஈனோ/பழ உப்பைச் சேர்ப்பதற்கு முன், ஒரு ஸ்டீமர் அல்லது குக்கர் அல்லது வேறு எந்த பாத்திரத்திலும் தண்ணீரைக் கொதிக்க வைத்து, தயாராக வைக்கவும்.
ஈனோவைச் சேர்த்து ஒரு ஸ்பேட்டூலாவுடன் நன்கு கலக்கவும்.
பார்லே ஜி பிஸ்கட் கேக் செய்வது எப்படி
மாவை நெய் தடவிய பேக்கிங் டின்னுக்கு மாற்றி, பான் அல்லது குக்கரில் வைத்து, மூடி வைத்து வேகவைக்கவும். பழ உப்பைச் சேர்த்த பிறகு மாவை ஓய்வெடுக்க விடக்கூடாது. ஈனோ/பழ உப்பைச் சேர்த்தவுடன் உடனடியாக ஆவியில் வேகவைக்க வேண்டும் (கீழே உள்ள படத்தில் காட்டப்பட்டுள்ளபடி பேக்கிங் பான்/தட்டை உள்ளே வைத்து, அதன் மேல் பேக்கிங் பான்/தட்டை வைக்கவும்)
பிஸ்கட் கேக்
முதல் 15 நிமிடங்கள் அதிக தீயில் வேகவைக்க வேண்டும். 15 நிமிடங்கள் வேகவைத்த பிறகு கீழே உள்ள படம் காட்டுகிறது.
பின்னர் சுடர்/தட்டை குறைவாக வைத்து, மேலும் 10-15 நிமிடங்கள் ஆவியில் வேக வைக்கவும். கேக் வெந்ததா என்று சரிபார்க்க அதன் மையத்தில் ஒரு டூத்பிக் செருகவும். அது சுத்தமாக வெளியே வந்தால், அது வெந்துவிட்டது.
கேக் டின்னில் குளிர்விக்க விடவும். அது குளிர்ந்த பிறகு, கேக்கை டின்னில் இருந்து அகற்றவும். விளிம்புகளைச் சுற்றி ஒரு கத்தியை இயக்கி, ஒரு தட்டில் தலைகீழாக மாற்றவும். கேக் முழுவதுமாக குளிர்ந்த பிறகு அதை வெட்டுங்கள்.
கேக் மிகவும் பஞ்சுபோன்றதாகவும் மென்மையாகவும் இருந்ததால் அது எங்கள் வாயில் உருகியது.
எனது முட்டை இல்லாத ராகி கேக்கிற்கு நான் செய்தது போல், சாக்லேட் சாஸ் மற்றும் துருவிய சாக்லேட் கொண்டு கேக்கை அலங்கரிக்கலாம். அதன் மேல் கொட்டைகள், செர்ரிகள், உண்ணக்கூடிய வெள்ளி பந்துகள் அல்லது ரத்தினக் கற்களால் கூட அலங்கரிக்கலாம்.</t>
  </si>
  <si>
    <t>https://encrypted-tbn0.gstatic.com/images?q=tbn:ANd9GcSuv_DgGpG0MFEnLku5hkwF2FqkLUmMkla-oA&amp;s</t>
  </si>
  <si>
    <t>https://youtu.be/Paggazua5aU</t>
  </si>
  <si>
    <t>Peanut Powder</t>
  </si>
  <si>
    <t>வேர்க்கடலைப் பொடி</t>
  </si>
  <si>
    <t xml:space="preserve">   Peanuts – 1 cup,
   Coriander seeds – 2 tsp,
   Cumin Seeds – 1 tsp,
   Red Chillies – 4-5,
   Tamarind – small marble sized ball,
   Garlic cloves – 3,
   Salt to taste,
   Oil – 1/4 tsp.</t>
  </si>
  <si>
    <t>வேர்க்கடலை - 1 கப்,
கொத்தமல்லி விதைகள் - 2 தேக்கரண்டி,
சீரகம் - 1 தேக்கரண்டி,
சிவப்பு மிளகாய் - 4-5,
புளி - சிறிய பளிங்கு அளவு உருண்டை,
பூண்டு பற்கள் - 3,
சுவைக்கு உப்பு,
எண்ணெய் - 1/4 தேக்கரண்டி.</t>
  </si>
  <si>
    <t>Dry roast coriander seeds and cumin seeds separately in a pan/kadai. Keep it aside.
In the same pan, heat 1/4 tsp oil and roast the red chillies and tamarind. Switch off the heat and add the garlic cloves. Saute it in the heat of the pan itself.
First grind the red chillies, coriander seeds and cumin seeds to a coarse powder.
Then add the roasted peanuts, garlic, tamarind and salt  needed.
Grind everything together slightly coarse. There should be bits of peanuts in the podi as seen in the main picture above.
Andhra Phalli podi-Powder
Enjoy with hot steamed rice topped with a tsp of ghee. You can also have it as a side dish for idli and dosa though personally I love it with hot rice.</t>
  </si>
  <si>
    <t>கொத்தமல்லி விதைகள் மற்றும் சீரகத்தை தனித்தனியாக ஒரு கடாயில்/கடாயில் வறுக்கவும். அதை ஒதுக்கி வைக்கவும்.
அதே வாணலியில், 1/4 தேக்கரண்டி எண்ணெயை சூடாக்கி, சிவப்பு மிளகாய் மற்றும் புளியை வறுக்கவும். தீயை அணைத்து, பூண்டு பற்களைச் சேர்க்கவும். வாணலியின் வெப்பத்திலேயே வதக்கவும்.
முதலில் சிவப்பு மிளகாய், கொத்தமல்லி விதைகள் மற்றும் சீரகத்தை கரடுமுரடான பொடியாக அரைக்கவும்.
பின்னர் வறுத்த வேர்க்கடலை, பூண்டு, புளி மற்றும் தேவையான உப்பு சேர்க்கவும்.
அனைத்தையும் ஒன்றாக சிறிது கரடுமுரடாக அரைக்கவும். மேலே உள்ள பிரதான படத்தில் காட்டப்பட்டுள்ளபடி, பொடியில் வேர்க்கடலை துண்டுகள் இருக்க வேண்டும்.
ஆந்திரா பல்லி பொடி-பொடி
ஒரு தேக்கரண்டி நெய்யுடன் சூடான வேகவைத்த அரிசியுடன் மகிழுங்கள். நீங்கள் இதை இட்லி மற்றும் தோசைக்கு ஒரு பக்க உணவாகவும் சாப்பிடலாம், ஆனால் தனிப்பட்ட முறையில் எனக்கு இது சூடான சாதத்துடன் மிகவும் பிடிக்கும்.</t>
  </si>
  <si>
    <t>https://encrypted-tbn0.gstatic.com/images?q=tbn:ANd9GcSkeIixkDz5bCDn00iCAdB-LVsKgT9CWNQnjA&amp;s</t>
  </si>
  <si>
    <t>Aloo Sandwich</t>
  </si>
  <si>
    <t>ஆலு சாண்ட்விச்</t>
  </si>
  <si>
    <t xml:space="preserve">
   Bread slices – 4 (any bread),
   Boiled potato – 1 big (boiled and mashed),
   Green chillies – 1 finely chopped,
   Salt to taste,
   Chilli Powder – 1/2 tsp,
   Turmeric Powder – a pinch,
   Cumin Powder – 1/2 tsp,
   Garam Masala Powder – 1/2 tsp,
   Butter or Ghee for toasting.</t>
  </si>
  <si>
    <t>ரொட்டி துண்டுகள் - 4 (ஏதேனும் ஒரு ரொட்டி),
வேகவைத்த உருளைக்கிழங்கு - 1 பெரியது (வேகவைத்து மசித்தது),
பச்சை மிளகாய் - 1 நன்றாக நறுக்கியது,
சுவைக்கு உப்பு,
மிளகாய் தூள் - 1/2 தேக்கரண்டி,
மஞ்சள் தூள் - ஒரு சிட்டிகை,
சீரக தூள் - 1/2 தேக்கரண்டி,
கரம் மசாலா தூள் - 1/2 தேக்கரண்டி,
வெண்ணெய் அல்லது வறுத்தலுக்கு நெய்.</t>
  </si>
  <si>
    <t>Pressure cook potato until soft. If you already have boiled potatoes, then you can use that. Mash the potatoes well without lumps. Add 2 tsp of water and mash it again to a smooth paste to make spreading easier.
Add finely chopped green chillies and all the spice powder. Add salt to taste. Taste and adjust seasonings.
Butter one side of the bread. On the other side apply the prepared potato paste.
Heat a tawa, toast the buttered side first until golden brown. Drizzle or apply little melted butter or ghee (clarified butter) on top of the potato paste and then flip it over to the other side. Toast the potato side on medium heat until roasted and golden brown.
Enjoy hot with tea or even as a breakfast.</t>
  </si>
  <si>
    <t>உருளைக்கிழங்கை மென்மையாகும் வரை அழுத்தி சமைக்கவும். உங்களிடம் ஏற்கனவே வேகவைத்த உருளைக்கிழங்கு இருந்தால், நீங்கள் அதைப் பயன்படுத்தலாம். உருளைக்கிழங்கை கட்டிகள் இல்லாமல் நன்றாக மசிக்கவும். பரவுவதை எளிதாக்க 2 தேக்கரண்டி தண்ணீர் சேர்த்து மீண்டும் மென்மையான பேஸ்டாக மசிக்கவும்.
இறுதியாக நறுக்கிய பச்சை மிளகாய் மற்றும் அனைத்து மசாலா தூள்களையும் சேர்க்கவும். சுவைக்கு உப்பு சேர்க்கவும். சுவைத்து மசாலாப் பொருட்களை சரிசெய்யவும்.
ரொட்டியின் ஒரு பக்கத்தில் வெண்ணெய் தடவவும். மறுபுறம் தயாரிக்கப்பட்ட உருளைக்கிழங்கு பேஸ்ட்டை தடவவும்.
ஒரு தவாவை சூடாக்கி, வெண்ணெய் தடவிய பக்கத்தை முதலில் பொன்னிறமாகும் வரை வறுக்கவும். உருளைக்கிழங்கு பேஸ்ட்டின் மேல் சிறிது உருகிய வெண்ணெய் அல்லது நெய் (தெளிவுபடுத்தப்பட்ட வெண்ணெய்) தடவவும் அல்லது தடவவும், பின்னர் அதை மறுபுறம் திருப்பி விடவும். உருளைக்கிழங்கின் பக்கவாட்டை மிதமான தீயில் வறுத்து பொன்னிறமாகும் வரை வறுக்கவும்.
சூடாக தேநீருடன் அல்லது காலை உணவாக கூட சாப்பிடுங்கள்.</t>
  </si>
  <si>
    <t>https://encrypted-tbn0.gstatic.com/images?q=tbn:ANd9GcQjocAvN08lK_eDXE9NXtX53Qkv7FfKu8QV-g&amp;s</t>
  </si>
  <si>
    <t>Rava Uttapam</t>
  </si>
  <si>
    <t>ரவை உத்தப்பம்</t>
  </si>
  <si>
    <t xml:space="preserve">   Semolina – 1/3 cup,
   Curd -1/3 cup,
   Salt to taste,
   Baking soda – a pinch,
   Onion – 1 medium size finely chopped,
   Green chilli -1 finely chopped,
   Tomato – 1 seeded and finely chopped,
   Coriander leaves – 2 tbsp finely chopped,
   Oil for making uthappams.</t>
  </si>
  <si>
    <t>ரவை - 1/3 கப்,
தயிர் - 1/3 கப்,
உப்பு தேவைக்கேற்ப,
சமையல் சோடா - ஒரு சிட்டிகை,
வெங்காயம் - 1 நடுத்தர அளவு நன்றாக நறுக்கியது,
பச்சை மிளகாய் - 1 நன்றாக நறுக்கியது,
தக்காளி - 1 விதை மற்றும் நன்றாக நறுக்கியது,
கொத்தமல்லி இலை - 2 டேபிள் ஸ்பூன் நன்றாக நறுக்கியது,
உத்தப்பம் செய்ய எண்ணெய்.</t>
  </si>
  <si>
    <t>Finely chop onion, tomatoes (discard seeds), coriander leaves and green chillies. You can even add finely chopped bell peppers (any color) if preferred. For kids you can omit green chillies.
In a bowl, mix together rava, curd and salt. Add little water, mix well and let it sit for 20-30 minutes.
After 20-30 minutes, if the batter is too thick, you can add more water to bring it to uttapam batter consistency (neither too thick nor watery).
Add a pinch of baking soda or cooking soda and mix well. Mix all the topping together in a bowl and keep it ready.
rava uttapam batter
Method 
Heat a tawa/griddle, when it is hot, pour a ladle of batter and spread it lightly. Drizzle a tsp of oil around the uttapam. The pancake/uttapam should be thick.
Top the uttapam with the prepared toppings and cook covered on medium heat.
Once the bottom has turned golden brown (you can lift it with a spatula and check), drizzle half a tsp of oil over the toppings (to prevent it from sticking to the tawa) and flip the pancake to the other side.
When the other side is cooked, remove the oothapam from the tawa and serve hot with instant tomato chutney.</t>
  </si>
  <si>
    <t>வெங்காயம், தக்காளி (விதைகள் நீக்கி), கொத்தமல்லி இலை மற்றும் பச்சை மிளகாய் ஆகியவற்றை நன்றாக நறுக்கவும். விருப்பப்பட்டால், நீங்கள் இறுதியாக நறுக்கிய குடை மிளகாய் (எந்த நிறத்திலும்) சேர்க்கலாம். குழந்தைகளுக்கு பச்சை மிளகாய் தவிர்க்கலாம்.
ஒரு பாத்திரத்தில், ரவை, தயிர் மற்றும் உப்பு சேர்த்து கலக்கவும். சிறிது தண்ணீர் சேர்த்து, நன்கு கலந்து 20-30 நிமிடங்கள் அப்படியே வைக்கவும்.
20-30 நிமிடங்களுக்குப் பிறகு, மாவு மிகவும் கெட்டியாக இருந்தால், ஊத்தப்பம் மாவு நிலைத்தன்மைக்கு (அதிக கெட்டியாகவோ அல்லது தண்ணீராகவோ இல்லாமல்) அதிக தண்ணீர் சேர்க்கலாம்.
ஒரு சிட்டிகை பேக்கிங் சோடா அல்லது சமையல் சோடாவை சேர்த்து நன்கு கலக்கவும். ஒரு பாத்திரத்தில் அனைத்து டாப்பிங்குகளையும் ஒன்றாக கலந்து தயாராக வைக்கவும்.
ரவா ஊத்தப்பம் மாவு
முறை
ஒரு தவா/கிரிடிலை சூடாக்கி, அது சூடாகும்போது, ​​ஒரு கரண்டி மாவை ஊற்றி லேசாக பரப்பவும். ஊத்தப்பத்தைச் சுற்றி ஒரு தேக்கரண்டி எண்ணெயைத் தெளிக்கவும். பான்கேக்/உத்தப்பம் கெட்டியாக இருக்க வேண்டும்.
உத்தப்பத்தின் மேல் தயாரிக்கப்பட்ட டாப்பிங்ஸுடன் சேர்த்து மிதமான தீயில் மூடி வைக்கவும்.
அடிப்பகுதி தங்க பழுப்பு நிறமாக மாறியதும் (நீங்கள் அதை ஒரு ஸ்பேட்டூலாவால் தூக்கி சரிபார்க்கலாம்), டாப்பிங்ஸின் மீது அரை தேக்கரண்டி எண்ணெயைத் தூவி (தவாவில் ஒட்டாமல் இருக்க) பான்கேக்கை மறுபுறம் திருப்பி வைக்கவும்.
மறுபக்கம் வெந்ததும், ஊத்தப்பத்தை தவாவில் இருந்து அகற்றி, உடனடி தக்காளி சட்னியுடன் சூடாகப் பரிமாறவும்.</t>
  </si>
  <si>
    <t>https://encrypted-tbn0.gstatic.com/images?q=tbn:ANd9GcQESppwGiGeJQiAmXt8upOfyKCwN8coWMwi3g&amp;s</t>
  </si>
  <si>
    <t>Dal Fry</t>
  </si>
  <si>
    <t>பருப்பு வறுக்கவும்</t>
  </si>
  <si>
    <t xml:space="preserve">   Moong Dal – 1/2 cup,
   Onion – 1 ,
   Garlic – 4,
   Green chilli -1 ,
   Ginger – 1 inch piece ,
   Tomato – 1 ,
   Turmeric powder – 1/4 tsp,
   Chilli powder – 1/4 tsp,
   Salt to taste,
   Oil -1 1/2 tbsp,
   Mustard seeds – 1 tsp,
   Cumin seeds – 1 tsp,
   Fenugreek seeds – 1/4 tsp,
   Asafoetida – a pinch,
   Red Chilli -1,
   Curry leaves – a sprig,
   Coriander leaves .</t>
  </si>
  <si>
    <t>பாசிப்பருப்பு - 1/2 கப்,
வெங்காயம் - 1 ,
பூண்டு - 4,
பச்சை மிளகாய் - 1 ,
இஞ்சி - 1 அங்குல துண்டு ,
தக்காளி - 1 ,
மஞ்சள் தூள் - 1/4 தேக்கரண்டி,
மிளகாய் தூள் - 1/4 தேக்கரண்டி,
ருசிக்க உப்பு,
எண்ணெய் - 1 1/2 தேக்கரண்டி,
கடுகு - 1 தேக்கரண்டி,
சீரகம் - 1 தேக்கரண்டி,
வெந்தயம் - 1/4 தேக்கரண்டி,
பெருங்காயம் - ஒரு சிட்டிகை,
சிவப்பு மிளகாய் - 1,
கறிவேப்பிலை - ஒரு தளிர்,
கொத்தமல்லி இலைகள் .</t>
  </si>
  <si>
    <t>Wash and cook moong dal (pasi paruppu) with 1 1/2 cup of water and a pinch of turmeric powder until soft. Mash it well and keep it ready. You can either pressure cook or you can cook in a pan.
Finely chop onion, green chilli, ginger, garlic and tomatoes.
Heat oil, add mustard seeds, when it splutters, add cumin seeds, fenugreek seeds, red chillies, hing and curry leaves.
When jeera/cumin seeds sizzle, add finely chopped onion, green chilli and garlic.
Saute until onions turn transparent or very light brown.
Then add chopped tomatoes, turmeric powder, chilli powder, salt needed and cook until tomatoes become soft.
Then add the cooked dal, a cup of water and bring it to boil. When it starts boiling, reduce the heat and cook simmered for 5-6 minutes. Check for salt. You may adjust the thickness of the dal by adding more or less water according to your personal preferences. I personally prefer it neither too thick nor thin.
Garnish with coriander leaves and serve hot with roti, parathas or rice.</t>
  </si>
  <si>
    <t>பாசிப்பருப்பை 1 1/2 கப் தண்ணீர் மற்றும் ஒரு சிட்டிகை மஞ்சள் தூள் சேர்த்து மென்மையாகும் வரை கழுவி சமைக்கவும். நன்றாக மசித்து தயாராக வைக்கவும். நீங்கள் பிரஷர் குக்கரில் சமைக்கலாம் அல்லது ஒரு பாத்திரத்தில் சமைக்கலாம்.
வெங்காயம், பச்சை மிளகாய், இஞ்சி, பூண்டு மற்றும் தக்காளியை நன்றாக நறுக்கவும்.
எண்ணெயைச் சூடாக்கி, கடுகு சேர்த்து, அது வதங்கியதும், சீரகம், வெந்தயம், சிவப்பு மிளகாய், பெருங்காயம் மற்றும் கறிவேப்பிலை சேர்க்கவும்.
சீரகம்/சீரகம் வதங்கியதும், இறுதியாக நறுக்கிய வெங்காயம், பச்சை மிளகாய் மற்றும் பூண்டு சேர்க்கவும்.
வெங்காயம் வெளிப்படையானதாகவோ அல்லது மிகவும் வெளிர் பழுப்பு நிறமாகவோ மாறும் வரை வதக்கவும்.
பின்னர் நறுக்கிய தக்காளி, மஞ்சள் தூள், மிளகாய் தூள், தேவையான உப்பு சேர்த்து தக்காளி மென்மையாகும் வரை வதக்கவும்.
பின்னர் சமைத்த பருப்பை, ஒரு கப் தண்ணீர் சேர்த்து கொதிக்க வைக்கவும். அது கொதிக்க ஆரம்பித்ததும், தீயைக் குறைத்து 5-6 நிமிடங்கள் வேகவைக்கவும். உப்பு இருக்கிறதா என்று சரிபார்க்கவும். உங்கள் தனிப்பட்ட விருப்பங்களுக்கு ஏற்ப அதிகமாகவோ அல்லது குறைவாகவோ தண்ணீரைச் சேர்த்து பருப்பின் தடிமனை சரிசெய்யலாம். நான் தனிப்பட்ட முறையில் இது மிகவும் கெட்டியாகவோ அல்லது மெல்லியதாகவோ இருக்காது.
கொத்தமல்லி இலைகளால் அலங்கரித்து ரொட்டி, பரோட்டா அல்லது சாதத்துடன் சூடாகப் பரிமாறவும்.</t>
  </si>
  <si>
    <t>https://i0.wp.com/binjalsvegkitchen.com/wp-content/uploads/2016/01/Restaurant-Style-Dal-Fry-H1-1.jpg?fit=600%2C900&amp;ssl=1</t>
  </si>
  <si>
    <t>Guacamole Egg Salad Sandwich</t>
  </si>
  <si>
    <t>குவாக்காமோல் முட்டை சாலட் சாண்ட்விச்</t>
  </si>
  <si>
    <t xml:space="preserve">  Organic 100% Rye bread – 2 slices or any bread,
   Hard boiled Egg – 1,
   Guacamole – as needed,
   Pepper powder to taste,
   Salt to taste,
   Oil/Butter – 1 tsp .
</t>
  </si>
  <si>
    <t>ஆர்கானிக் 100% கம்பு ரொட்டி - 2 துண்டுகள் அல்லது ஏதேனும் ரொட்டி,
வேகவைத்த முட்டை - 1,
குவாக்காமோல் - தேவைக்கேற்ப,
மிளகு தூள் சுவைக்க,
உப்பு சுவைக்க,
எண்ணெய்/வெண்ணெய் - 1 தேக்கரண்டி.</t>
  </si>
  <si>
    <t>Mix the diced boiled egg with guacamole. Sprinkle salt and pepper powder if required.(This can be eaten as such as an egg salad or can be served on a toast or wrap or rotis or frankie).
Toast the bread slices with oil/butter on a tawa or toaster.
Spoon the guacamole egg mix on the toast and serve.
Serving suggestions (optional)– With roasted asparagus, tomatoes and mushroom seasoned with salt, pepper and oregano to make a filling breakfast.
Closed Guacamole Egg Salad Sandwich
You can also make closed sandwich instead of open faced sandwich.
For that, toast two slices of bread and spread guacamole on one bread slice. Place lettuce leaves, two slices of tomato, few slices of cucumber and 1 onion slice. Sprinkle little salt and pepper over the vegetables.
Spread a little guacamole on the other bread slice and close with the guacamole side facing down. Press to make them stick together as shown in the picture below. Cut into triangles and enjoy!!
Place egg in a pot, cover it with cold water. Add a little salt to the water to prevent the egg from cracking well as making it easier to peel. Bring it to rolling boil. Let it boil for 2 minutes. Then remove from heat and let it sit covered for 10-12 minutes. After that, drain the water and pour cold water over it to stop the cooking process. Repeat 2-3 times, then peel off the shell. Your hard boiled egg is ready.</t>
  </si>
  <si>
    <t>துண்டுகளாக்கப்பட்ட வேகவைத்த முட்டையை குவாக்காமோலுடன் கலக்கவும். தேவைப்பட்டால் உப்பு மற்றும் மிளகு தூள் தூவவும். (இதை முட்டை சாலட் போல சாப்பிடலாம் அல்லது டோஸ்ட் அல்லது ரேப் அல்லது ரோடிஸ் அல்லது பிரான்கியில் பரிமாறலாம்).
ரொட்டி துண்டுகளை எண்ணெய்/வெண்ணெய் சேர்த்து ஒரு தவா அல்லது டோஸ்டரில் வறுக்கவும்.
குவாக்காமோல் முட்டை கலவையை டோஸ்ட்டில் கரண்டியால் ஊற்றி பரிமாறவும்.
பரிமாறும் பரிந்துரைகள் (விரும்பினால்)– வறுத்த அஸ்பாரகஸ், தக்காளி மற்றும் காளான் உப்பு, மிளகு மற்றும் ஆர்கனோவுடன் சுவையூட்டப்பட்ட நிரப்பு காலை உணவை தயாரிக்கவும்.
மூடிய குவாக்காமோல் முட்டை சாலட் சாண்ட்விச்
திறந்த முகம் கொண்ட சாண்ட்விச்சிற்கு பதிலாக மூடிய சாண்ட்விச்சையும் செய்யலாம்.
அதற்காக, இரண்டு ரொட்டி துண்டுகளை டோஸ்ட் செய்து, ஒரு ரொட்டி துண்டில் குவாக்காமோலை பரப்பவும். கீரை இலைகள், தக்காளியின் இரண்டு துண்டுகள், சில வெள்ளரிக்காய் துண்டுகள் மற்றும் 1 வெங்காயத் துண்டு ஆகியவற்றை வைக்கவும். காய்கறிகளின் மீது சிறிது உப்பு மற்றும் மிளகுத்தூள் தூவவும்.
மற்ற ரொட்டித் துண்டில் சிறிது குவாக்காமோலைப் பரப்பி, குவாக்காமோல் பக்கம் கீழே இருக்கும்படி மூடவும். கீழே உள்ள படத்தில் காட்டப்பட்டுள்ளபடி அவற்றை ஒன்றாக ஒட்டுமாறு அழுத்தவும். முக்கோணங்களாக வெட்டி மகிழுங்கள்!!
ஒரு பாத்திரத்தில் முட்டையை வைத்து, குளிர்ந்த நீரில் மூடி வைக்கவும். முட்டை நன்றாக வெடிக்காமல் இருக்கவும், உரிக்க எளிதாகவும் இருக்க தண்ணீரில் சிறிது உப்பு சேர்க்கவும். அதை கொதிக்க விடவும். 2 நிமிடங்கள் கொதிக்க விடவும். பின்னர் வெப்பத்திலிருந்து நீக்கி 10-12 நிமிடங்கள் மூடி வைக்கவும். அதன் பிறகு, தண்ணீரை வடிகட்டி, அதன் மீது குளிர்ந்த நீரை ஊற்றி சமைக்கும் செயல்முறையை நிறுத்தவும். 2-3 முறை செய்யவும், பின்னர் ஓட்டை உரிக்கவும். உங்கள் கடின வேகவைத்த முட்டை தயாராக உள்ளது.</t>
  </si>
  <si>
    <t>https://encrypted-tbn0.gstatic.com/images?q=tbn:ANd9GcQM6lwqq2Bg9aD5ZKU34LUYvUDBE7sNNfs_kw&amp;s</t>
  </si>
  <si>
    <t>Easy Guacamole</t>
  </si>
  <si>
    <t>எளிதான குவாக்காமோல்</t>
  </si>
  <si>
    <t xml:space="preserve">  Avocado – 1 ripe,
   Tomato – 2 tbsp,
   Onion – ¼ cup,
   Green chilli – 1 ,
   Cilantro – 1 tbsp,
   Fresh Lemon juice to taste,
   Pepper powder to taste,
   Salt to taste.</t>
  </si>
  <si>
    <t>அவகேடோ - 1 பழுத்த,
தக்காளி - 2 டீஸ்பூன்,
வெங்காயம் - ¼ கப்,
பச்சை மிளகாய் - 1 ,
கொத்தமல்லி - 1 டீஸ்பூன்,
சுவைக்கு புதிய எலுமிச்சை சாறு,
சுவைக்கு மிளகு தூள்,
சுவைக்கு உப்பு.</t>
  </si>
  <si>
    <t>In a bowl, add avocado flesh and mash it roughly with a fork. Do not make it to a paste as the guacamole should be chunky.
Add lemon juice and salt to prevent the avocado from becoming brown.
mash avocado with a fork
Add finely chopped tomatoes, onion, green chilli and cilantro. Season it with pepper powder. Adjust seasoning (as well as onion and tomato) according to your personal preferences.
Serve immediately with tortilla chips or crackers or on toast. Guacamole taste best when served immediately.
 It can be stored for a day in the refrigerator. When storing, place the avocado seed in the guacamole (this helps to stop it from becoming brown), cover with cling film and refrigerate.</t>
  </si>
  <si>
    <t>ஒரு கிண்ணத்தில், அவகேடோ சதையைச் சேர்த்து, ஒரு முள் கரண்டியால் தோராயமாக பிசையவும். குவாக்காமோல் தடிமனாக இருக்க வேண்டும் என்பதால் அதை பேஸ்டாக மாற்ற வேண்டாம்.
அவகேடோ பழுப்பு நிறமாக மாறுவதைத் தடுக்க எலுமிச்சை சாறு மற்றும் உப்பு சேர்க்கவும்.
அவகேடோவை ஒரு முள் கரண்டியால் பிசையவும்
நறுக்கியதாக நறுக்கிய தக்காளி, வெங்காயம், பச்சை மிளகாய் மற்றும் கொத்தமல்லி சேர்க்கவும். மிளகு தூள் சேர்த்து சுவைக்கவும். உங்கள் தனிப்பட்ட விருப்பங்களுக்கு ஏற்ப மசாலாவை (அத்துடன் வெங்காயம் மற்றும் தக்காளி) சரிசெய்யவும்.
டார்ட்டில்லா சிப்ஸ் அல்லது பட்டாசுகளுடன் அல்லது டோஸ்ட்டில் உடனடியாக பரிமாறவும். உடனடியாக பரிமாறும்போது குவாக்காமோல் சுவையாக இருக்கும்.
இதை ஒரு நாள் குளிர்சாதன பெட்டியில் சேமிக்கலாம். சேமிக்கும் போது, ​​அவகேடோ விதையை குவாக்காமோலில் வைக்கவும் (இது பழுப்பு நிறமாக மாறுவதைத் தடுக்க உதவுகிறது), கிளிங் ஃபிலிம் மூலம் மூடி குளிர்சாதன பெட்டியில் வைக்கவும்.</t>
  </si>
  <si>
    <t>https://encrypted-tbn0.gstatic.com/images?q=tbn:ANd9GcRHgUj-Tv6mYPV4k5aoQ5wvozCSZZu0KNY25Q&amp;s</t>
  </si>
  <si>
    <t>Omelette Sandwich</t>
  </si>
  <si>
    <t>ஆம்லெட் சாண்ட்விச்</t>
  </si>
  <si>
    <t xml:space="preserve">   Brown Bread – 2,
   Egg – 1,
   Onion – 2 1/2 tbsp,
   Green Chilli – 1 finely chopped,
   Turmeric powder – a pinch,
   Pepper Powder to taste,
   Salt to taste,
   Cheese – 2 tbsp grated,
   Butter – 1/2-1 tsp.</t>
  </si>
  <si>
    <t>பிரவுன் பிரட் - 2,
முட்டை - 1,
வெங்காயம் - 2 1/2 டீஸ்பூன்,
பச்சை மிளகாய் - 1 பொடியாக நறுக்கியது,
மஞ்சள் தூள் - ஒரு சிட்டிகை,
மிளகு தூள் - ருசிக்க,
உப்பு - ருசிக்க,
சீஸ் - 2 டீஸ்பூன் துருவியது,
வெண்ணெய் - 1/2-1 டீஸ்பூன்.</t>
  </si>
  <si>
    <t>Cut onions and green chillies finely. Toast bread with butter and keep it ready.
Whisk together egg, 1 tbsp water, turmeric powder and salt.
Add chopped onions, green chilli and grated cheese (I used Britannia cheese) to the egg mixture.
Grease tawa with butter or oil and heat it. Once hot, add the egg mixture and cook on medium heat. When the egg begins to set, flip it over to the other side.
Cook for 2-3 seconds, sprinkle pepper powder and fold it in half. Cut the half and place it between 2 toasted breads. Enjoy with tomato ketchup.</t>
  </si>
  <si>
    <t>வெங்காயம் மற்றும் பச்சை மிளகாயை நன்றாக நறுக்கவும். ரொட்டியை வெண்ணெயுடன் டோஸ்ட் செய்து தயாராக வைக்கவும்.
முட்டை, 1 டீஸ்பூன் தண்ணீர், மஞ்சள் தூள் மற்றும் உப்பு ஆகியவற்றை ஒன்றாக அடிக்கவும்.
நறுக்கிய வெங்காயம், பச்சை மிளகாய் மற்றும் துருவிய சீஸ் (நான் பிரிட்டானியா சீஸ் பயன்படுத்தினேன்) ஆகியவற்றை முட்டை கலவையில் சேர்க்கவும்.
தவாவை வெண்ணெய் அல்லது எண்ணெயுடன் தடவி சூடாக்கவும். சூடானதும், முட்டை கலவையைச் சேர்த்து மிதமான தீயில் சமைக்கவும். முட்டை சுருங்கத் தொடங்கியதும், அதை மறுபுறம் திருப்பிப் போடவும்.
2-3 வினாடிகள் சமைக்கவும், மிளகுத் தூளைத் தூவி பாதியாக மடிக்கவும். பாதியை வெட்டி 2 டோஸ்ட் செய்யப்பட்ட ரொட்டிகளுக்கு இடையில் வைக்கவும். தக்காளி கெட்ச்அப்புடன் மசிக்கவும்.</t>
  </si>
  <si>
    <t>https://encrypted-tbn0.gstatic.com/images?q=tbn:ANd9GcSz4c5bay9NZbV7Sgoqo3Dc3arZFVYOnWeFhw&amp;s</t>
  </si>
  <si>
    <t>Baby Corn Finger Fry</t>
  </si>
  <si>
    <t>பேபி கார்ன் ஃபிங்கர் ஃப்ரை</t>
  </si>
  <si>
    <t xml:space="preserve"> Baby Corn – 8,
   Turmeric powder – a pinch,
   Bengal gram flour – 2 tbsp,
   Rice flour – 1 tbsp,
   Ginger-garlic paste -1/2 tsp,
   Coriander powder – 1 tsp,
   Chilli powder – 1/2 tsp,
   Tamarind water – 1-2 tbsp,
   Salt as needed,
   Oil for shallow frying,
   Chat masala – a pinch.</t>
  </si>
  <si>
    <t>பேபி கார்ன் – 8,
மஞ்சள் தூள் – ஒரு சிட்டிகை,
வங்காள கடலை மாவு – 2 டேபிள் ஸ்பூன்,
அரிசி மாவு – 1 டேபிள் ஸ்பூன்,
இஞ்சி-பூண்டு விழுது - 1/2 டேபிள் ஸ்பூன்,
கொத்தமல்லி தூள் – 1 டேபிள் ஸ்பூன்,
மிளகாய் தூள் – 1/2 டேபிள் ஸ்பூன்,
புளி தண்ணீர் – 1-2 டேபிள் ஸ்பூன்,
தேவைக்கேற்ப உப்பு,
ஆழமற்ற வறுக்க எண்ணெய்,
சாட் மசாலா – ஒரு சிட்டிகை.</t>
  </si>
  <si>
    <t>Bring water to rolling boil with a pinch of turmeric powder and little salt. Switch off the flame and then add the cleaned baby corns. Let it remain for 3 minutes in that water. Then drain the water completely.
In a shallow bowl, mix together bengal gram flour, rice flour, ginger-garlic paste, coriander powder, chilli powder, tamarind water and salt needed.
Add the baby corn to the above and mix well so that the baby corn is well coated with the mixture.
Heat 5-6 tsp of oil and shallow fry the baby corn on low flame turning over the sides. Brown them evenly on all sides. It needs patience but worth the effort.
Sprinkle chaat masala and enjoy it hot with a cup of tea or coffee. You do not need any side dish for this but if needed you can have it with tomato ketchup.</t>
  </si>
  <si>
    <t>ஒரு சிட்டிகை மஞ்சள் தூள் மற்றும் சிறிது உப்பு சேர்த்து கொதிக்கும் வரை தண்ணீர் ஊற்றவும். தீயை அணைத்துவிட்டு, சுத்தம் செய்த பேபி கார்ன்ஸை சேர்க்கவும். அந்த தண்ணீரில் 3 நிமிடங்கள் அப்படியே வைக்கவும். பின்னர் தண்ணீரை முழுவதுமாக வடிகட்டவும்.
ஒரு ஆழமற்ற கிண்ணத்தில், வங்காள கடலை மாவு, அரிசி மாவு, இஞ்சி-பூண்டு விழுது, கொத்தமல்லி தூள், மிளகாய் தூள், புளி தண்ணீர் மற்றும் தேவையான உப்பு ஆகியவற்றை ஒன்றாக கலக்கவும்.
மேலே உள்ளவற்றுடன் பேபி கார்னைச் சேர்த்து நன்கு கலக்கவும், இதனால் பேபி கார்ன் கலவையுடன் நன்கு பூசப்படும்.
5-6 டேபிள் ஸ்பூன் எண்ணெயை சூடாக்கி, பேபி கார்னை குறைந்த தீயில் பக்கவாட்டில் திருப்பி வறுக்கவும். எல்லா பக்கங்களிலும் சமமாக பழுப்பு நிறமாக வறுக்கவும். இதற்கு பொறுமை தேவை, ஆனால் முயற்சி மதிப்புக்குரியது.
சாட் மசாலாவைத் தூவி, ஒரு கப் தேநீர் அல்லது காபியுடன் சூடாக அனுபவிக்கவும். இதற்கு உங்களுக்கு எந்த துணை உணவும் தேவையில்லை, ஆனால் தேவைப்பட்டால் தக்காளி கெட்ச்அப்புடன் சாப்பிடலாம்.</t>
  </si>
  <si>
    <t>https://encrypted-tbn0.gstatic.com/images?q=tbn:ANd9GcSZska4_wv4q9KkvUA_6B_fiEjx5ajLDQMy_w&amp;s</t>
  </si>
  <si>
    <t>Vegetable Paneer Masala Toast Sandwich</t>
  </si>
  <si>
    <t>காய்கறி பனீர் மசாலா டோஸ்ட் சாண்ட்விச்</t>
  </si>
  <si>
    <t xml:space="preserve">   Whole Wheat Brown bread – 6 slices,
   Oil – 1 tbsp,
   Onion – 1/2 cup ,
   Green chillies – 1 ,
   Ginger garlic paste – 3/4 tspz,
   Tomato – 1,
   Carrot – 1 cup ,
   Cabbage – 1/3 cup ,
   Capsicum – 1/3 cup ,
   Sweet Corn kernels – 1/3 cup,
   Paneer- 1/4 cup ,
   Coriander Leaves – 2 tbsp ,
   Turmeric powder – a pinch,
   Chilli powder – 1/2 tsp,
   Garam Masala Powder – 1/2 tsp,
   Tomato Ketchup – 1 tbsp,
   Salt needed,
   Butter as needed for toasting bread.</t>
  </si>
  <si>
    <t>முழு கோதுமை பிரவுன் பிரட் - 6 துண்டுகள்,
எண்ணெய் - 1 டீஸ்பூன்,
வெங்காயம் - 1/2 கப்,
பச்சை மிளகாய் - 1 ,
இஞ்சி பூண்டு விழுது - 3/4 டீஸ்பூன்,
தக்காளி - 1,
கேரட் - 1 கப்,
முட்டைக்கோஸ் - 1/3 கப்,
கேப்சிகம் - 1/3 கப்,
இனிப்பு சோள முலாம் - 1/3 கப்,
பனீர் - 1/4 கப்,
கொத்தமல்லி இலைகள் - 2 டீஸ்பூன்,
மஞ்சள் தூள் - ஒரு சிட்டிகை,
மிளகாய் தூள் - 1/2 டீஸ்பூன்,
கரம் மசாலா தூள் - 1/2 டீஸ்பூன்,
தக்காளி கெட்ச்அப் - 1 டீஸ்பூன்,
உப்பு தேவை,
ரொட்டி டோஸ்ட் செய்ய தேவையான அளவு வெண்ணெய்.</t>
  </si>
  <si>
    <t>Cut all the vegetables finely. Grate carrot and crumble paneer and keep it ready. If using frozen sweet corn, rinse it well and use it. Look at the picture below. It looks so colorful.
Heat oil in a pan, add onion, green chilli and saute until onions turn transparent.
Add ginger garlic paste and saute for a few more seconds.
Add chopped tomatoes, chilli powder, garam masala powder, turmeric powder, tomato ketchup and cook until tomatoes become soft.
Add the rest of the vegetables (cabbage, carrot, corn, capsicum), salt needed and cook until the vegetables become soft but not mushy.
Add finely chopped coriander leaves, and crumbled paneer. Mix well and remove from heat.
Take 2 bread slices, apply butter on both sides of the bread slice.
Heat a tawa, toast both sides of the bread slice. Then spoon 2 tbsp of the vegetable paneer mixture on top of the bread slices and press it well with a spatula (picture below).
Serve hot as an open sandwich. Kids and adults will love this for sure.
Repeat the same process for the rest of the bread slices. Enjoy!!</t>
  </si>
  <si>
    <t>அனைத்து காய்கறிகளையும் நன்றாக நறுக்கவும். கேரட்டையும், பனீரையும் துருவவும், துருவவும் தயாராக வைக்கவும். உறைந்த இனிப்பு சோளத்தைப் பயன்படுத்தினால், அதை நன்றாக துவைத்து பயன்படுத்தவும். கீழே உள்ள படத்தைப் பாருங்கள். இது மிகவும் வண்ணமயமாகத் தெரிகிறது.
ஒரு கடாயில் எண்ணெயை சூடாக்கி, வெங்காயம், பச்சை மிளகாய் சேர்த்து வெங்காயம் தெளிவாகும் வரை வதக்கவும்.
இஞ்சி பூண்டு விழுது சேர்த்து இன்னும் சில வினாடிகள் வதக்கவும்.
நறுக்கிய தக்காளி, மிளகாய் தூள், கரம் மசாலா தூள், மஞ்சள் தூள், தக்காளி கெட்ச்அப் சேர்த்து தக்காளி மென்மையாகும் வரை சமைக்கவும்.
மீதமுள்ள காய்கறிகளை (முட்டைக்கோஸ், கேரட், சோளம், கேப்சிகம்), தேவையான உப்பு சேர்த்து, காய்கறிகள் மென்மையாகும் வரை ஆனால் மென்மையாக இல்லாத வரை சமைக்கவும்.
இறுதியாக நறுக்கிய கொத்தமல்லி இலைகள் மற்றும் நொறுக்கப்பட்ட பனீர் சேர்க்கவும். நன்கு கலந்து அடுப்பிலிருந்து இறக்கவும்.
2 பிரட் துண்டுகளை எடுத்து, பிரட் துண்டின் இருபுறமும் வெண்ணெய் தடவவும்.
ஒரு தவாவை சூடாக்கி, பிரட் துண்டின் இருபுறமும் டோஸ்ட் செய்யவும். பின்னர் 2 டேபிள் ஸ்பூன் வெஜிடபிள் பனீர் கலவையை பிரட் துண்டுகளின் மேல் ஸ்பூன் செய்து, ஒரு ஸ்பேட்டூலாவுடன் (கீழே உள்ள படம்) நன்றாக அழுத்தவும்.
திறந்த சாண்ட்விச்சாக சூடாக பரிமாறவும். குழந்தைகள் மற்றும் பெரியவர்கள் இதை நிச்சயமாக விரும்புவார்கள்.
மீதமுள்ள பிரட் துண்டுகளுக்கும் இதே செயல்முறையை மீண்டும் செய்யவும். மகிழுங்கள்!!</t>
  </si>
  <si>
    <t>https://encrypted-tbn0.gstatic.com/images?q=tbn:ANd9GcRsqIPBmduCOp2A6dFXb1I-AJ9HZBaPxddbAA&amp;s</t>
  </si>
  <si>
    <t>Bread Rava Toast</t>
  </si>
  <si>
    <t>பிரட் ரவா டோஸ்ட்</t>
  </si>
  <si>
    <t>4 -  Bread slices white or brown,
1/2 cup - semolina,
3/4 cup - Curd,
Salt as needed,
Oil or ghee For frying,
Vegetables,
1/2 cup - Onion,
1/2 tsp - Ginger garlic paste,
2 - Green chillie,
1/4 cup - Carrot Grated,
2 tbsp - Capsicum finely chopped,
Coriander leaves.</t>
  </si>
  <si>
    <t>4 - வெள்ளை அல்லது பழுப்பு நிற ரொட்டி துண்டுகள்,
1/2 கப் - ரவை,
3/4 கப் - தயிர்,
தேவைக்கேற்ப உப்பு,
பொரிப்பதற்கு எண்ணெய் அல்லது நெய்,
காய்கறிகள்,
1/2 கப் - வெங்காயம்,
1/2 தேக்கரண்டி - இஞ்சி பூண்டு விழுது,
2 - பச்சை மிளகாய்,
1/4 கப் - கேரட் துருவியது,
2 தேக்கரண்டி - கேப்சிகம் நன்றாக நறுக்கியது,
கொத்தமல்லி இலைகள்.</t>
  </si>
  <si>
    <t>Heat a tawa and place the bread slices on it. Drizzle a tsp of oil (or oil + ghee mix) around the bread slices and toast on low heat until deep golden brown on both sides.
Repeat the same process for the rest of the bread slices.
Serve hot from the tawa with mango thokku or sauce or any chutney.</t>
  </si>
  <si>
    <t>ஒரு தவாவை சூடாக்கி அதன் மீது பிரட் துண்டுகளை வைக்கவும். ஒரு தேக்கரண்டி எண்ணெய் (அல்லது எண்ணெய் + நெய் கலவை) பிரெட் துண்டுகளைச் சுற்றி தெளித்து, இருபுறமும் ஆழமான தங்க பழுப்பு வரை குறைந்த வெப்பத்தில் வறுக்கவும்.
மீதமுள்ள பிரட் துண்டுகளுக்கும் இதே செயல்முறையை மீண்டும் செய்யவும்.
மாம்பழ தோக்கு அல்லது சாஸ் அல்லது ஏதேனும் சட்னியுடன் தவாவிலிருந்து சூடாகப் பரிமாறவும்.</t>
  </si>
  <si>
    <t>https://encrypted-tbn0.gstatic.com/images?q=tbn:ANd9GcS4z7iJ3mwbgAeQp0AVM36LSaDRE0hTfyEx5g&amp;s</t>
  </si>
  <si>
    <t>https://youtu.be/HMPbxgy-gkU</t>
  </si>
  <si>
    <t>Simple French Toast</t>
  </si>
  <si>
    <t>எளிய பிரஞ்சு டோஸ்ட்</t>
  </si>
  <si>
    <t xml:space="preserve">   Bread Slices – 4 ,
   Egg – 1 large,
   Milk -1/4 cup,
   Sugar -1 1/2 tsp,
   Cinnamon powder -1/4 tsp,
   Vanilla Extract – 1 tsp,
   Butter as needed,
   Powdered sugar,
  maple syrup,
  honey,
fresh fruits,
whipped cream,
berries.</t>
  </si>
  <si>
    <t>ரொட்டி துண்டுகள் - 4 ,
முட்டை - 1 பெரியது,
பால் - 1/4 கப்,
சர்க்கரை - 1 1/2 தேக்கரண்டி,
இலவங்கப்பட்டை தூள் - 1/4 தேக்கரண்டி,
வெண்ணிலா சாறு - 1 தேக்கரண்டி,
தேவைக்கேற்ப வெண்ணெய்,
பொடித்த சர்க்கரை,
மேப்பிள் சிரப்,
தேன்,
புதிய பழங்கள்,
தட்டிவிட்டு கிரீம்,
பெர்ரி.</t>
  </si>
  <si>
    <t>Beat eggs well, then add milk, sugar, vanilla extract, cinnamon powder and whisk for a few more minutes until well blended.
Pour the mixture into a shallow pan. Dip bread slices in the egg mixture to coat both sides well.
Heat a non stick pan/skillet and grease with a little butter.
When the pan is hot, place the egg coated bread slices and cook both sides on medium heat until browned. Use more butter if needed to cook the bread.
Serve warm with toppings of your choice.</t>
  </si>
  <si>
    <t>முட்டைகளை நன்றாக அடித்து, பின்னர் பால், சர்க்கரை, வெண்ணிலா சாறு, இலவங்கப்பட்டை தூள் சேர்த்து நன்கு கலக்கும் வரை இன்னும் சில நிமிடங்கள் கிளறவும்.
கலவையை ஒரு ஆழமற்ற பாத்திரத்தில் ஊற்றவும். இருபுறமும் நன்றாக பூச, முட்டை கலவையில் ரொட்டி துண்டுகளை நனைக்கவும்.
ஒரு நான்ஸ்டிக் பான்/வாணலியை சூடாக்கி, சிறிது வெண்ணெய் தடவவும்.
பாத்திரம் சூடானதும், முட்டை பூசப்பட்ட ரொட்டி துண்டுகளை வைத்து, இருபுறமும் மிதமான தீயில் பழுப்பு நிறமாக மாறும் வரை சமைக்கவும். ரொட்டி சமைக்க தேவைப்பட்டால் அதிக வெண்ணெய் பயன்படுத்தவும்.
உங்களுக்கு விருப்பமான டாப்பிங்ஸுடன் சூடாக பரிமாறவும்.</t>
  </si>
  <si>
    <t>https://www.thespruceeats.com/thmb/MDioJIXM7Yaw5ZtJhzhG5wiO05Y=/1500x0/filters:no_upscale():max_bytes(150000):strip_icc()/SES-basic-french-toast-3056820-hero-01-6ed70ff7901a4e64995d890b03946ac0.jpg</t>
  </si>
  <si>
    <t>Tindora Rice</t>
  </si>
  <si>
    <t xml:space="preserve">
டிண்டோரா அரிசி</t>
  </si>
  <si>
    <t xml:space="preserve">   Basmati Rice – 1 cup,
   Onion – 1,
  Tindora – 250 grams,
   Turmeric powder – 1/4 tsp,
   Salt needed,
   Fresh Lemon juice – 2 tsp,
   Masala Paste – Fry and Grind,
   Oil – 3/4 tsp,
   Cumin seeds– 1 tsp,
   Red Chillies – 5,
   Garlic cloves – 5,
   Pearl onions – 10,
   Grated coconut – 2 tbsp,
   Oil – 3 tbsp,
   Mustard seeds – 1 tsp,
   Curry Leaves – a sprig,
   Fresh Coriander Leaves.</t>
  </si>
  <si>
    <t>பாஸ்மதி அரிசி - 1 கப்,
வெங்காயம் - 1,
டிண்டோரா - 250 கிராம்,
மஞ்சள் தூள் - 1/4 தேக்கரண்டி,
உப்பு தேவை,
புதிய எலுமிச்சை சாறு - 2 தேக்கரண்டி,
மசாலா பேஸ்ட் - வறுக்கவும், அரைக்கவும்,
எண்ணெய் - 3/4 தேக்கரண்டி,
சீரகம் - 1 தேக்கரண்டி,
சிவப்பு மிளகாய் - 5,
பூண்டு பல் - 5,
முத்து வெங்காயம் - 10,
துருவிய தேங்காய் - 2 தேக்கரண்டி,
எண்ணெய் - 3 தேக்கரண்டி,
கடுகு - 1 தேக்கரண்டி,
கறிவேப்பிலை - ஒரு தளிர்,
புதிய கொத்தமல்லி இலைகள்.</t>
  </si>
  <si>
    <t>Heat oil, add mustard seeds, when it splutter, add thinly sliced onions, curry leaves and saute until onions turn transparent.
masala preparation for kovakkai rice
Add thinly sliced ivy gourd, turmeric powder, salt needed and cook covered until ivy gourd becomes tender. Stir in between for even cooking.
Then add the masala paste and cook well for another 5 minutes stirring on medium heat.
Then add the cooked rice, lemon juice and mix gently. Garnish with coriander leaves.
Serve with any raitha, papads or any gravy of your choice. This dish can be packed for office and school lunchbox also.</t>
  </si>
  <si>
    <t>எண்ணெயை சூடாக்கி, கடுகு சேர்த்து, அது வதங்கியதும், மெல்லியதாக நறுக்கிய வெங்காயம், கறிவேப்பிலை சேர்த்து வெங்காயம் வெளிப்படையானதாக மாறும் வரை வதக்கவும்.
கோவைக்காய் அரிசிக்கு மசாலா தயாரிப்பு
மெல்லியதாக நறுக்கிய ஐவி பூசணி, மஞ்சள் தூள், தேவையான உப்பு சேர்த்து ஐவி பூசணி மென்மையாகும் வரை மூடி வைத்து சமைக்கவும். சமமாக சமைக்க இடையில் கிளறவும்.
பின்னர் மசாலா விழுதைச் சேர்த்து, மிதமான தீயில் கிளறி, மேலும் 5 நிமிடங்கள் நன்கு வதக்கவும்.
பின்னர் சமைத்த அரிசி, எலுமிச்சை சாறு சேர்த்து மெதுவாக கலக்கவும். கொத்தமல்லி இலைகளால் அலங்கரிக்கவும்.
ரைத்தா, பப்படம் அல்லது உங்களுக்கு விருப்பமான எந்த கிரேவியுடனும் பரிமாறவும். இந்த உணவை அலுவலகம் மற்றும் பள்ளி மதிய உணவுப் பெட்டியிலும் பேக் செய்யலாம்.</t>
  </si>
  <si>
    <t>https://encrypted-tbn0.gstatic.com/images?q=tbn:ANd9GcT3-HD1vli5s7odMq9HbVkhyKZHkW72iOMZjQ&amp;s</t>
  </si>
  <si>
    <t>Panchratna Dal Khichdi</t>
  </si>
  <si>
    <t>பஞ்சரத்னா பருப்பு கிச்சடி</t>
  </si>
  <si>
    <t xml:space="preserve">  Panchratna Dal – 1/4 cup,
   Brown Rice – 1/4 cup,
   White Rice – 1/4 cup,
   Salt needed,
   Turmeric powder – 1/4 tsp,
   Oil – 1 1/2 tbsp,
   Cumin seeds – 1 tsp,
   Cloves – 2,
   Cinnamon – 1 inch piece,
   Asafoetida – a pinch,
   Ginger – 1 inch piece,
   Green chilli -1 slit,
   Curry Leaves – a sprig,
  Ghee – 1-2 tsp.</t>
  </si>
  <si>
    <t>பஞ்சரத்னா பருப்பு - 1/4 கப்,
பழுப்பு அரிசி - 1/4 கப்,
வெள்ளை அரிசி - 1/4 கப்,
உப்பு தேவை,
மஞ்சள் தூள் - 1/4 தேக்கரண்டி,
எண்ணெய் - 1 1/2 தேக்கரண்டி,
சீரகம் - 1 தேக்கரண்டி,
கிராம்பு - 2,
இலவங்கப்பட்டை - 1 அங்குல துண்டு,
பெருங்காயம் - ஒரு சிட்டிகை,
இஞ்சி - 1 அங்குல துண்டு,
பச்சை மிளகாய் - 1 துண்டு,
கறிவேப்பிலை - ஒரு தளிர்,
நெய் - 1-2 தேக்கரண்டி.</t>
  </si>
  <si>
    <t>Heat oil (or even oil + butter if preferred) in a pan, add cumin seeds, when it splutters, add cloves and cinnamon.
Then add finely chopped ginger, slit green chilli and curry leaves.
Add the cooked dal + rice, salt needed and mix well, so that the rice is well coated with the seasoning. 
Drizzle a tsp of ghee and serve hot with any vegetable curry, papads, raitha or just plain curd and pickle.</t>
  </si>
  <si>
    <t>ஒரு பாத்திரத்தில் எண்ணெய் (அல்லது விரும்பினால் எண்ணெய் + வெண்ணெய் கூட) சூடாக்கி, சீரகம் சேர்த்து, அது வதங்கியதும், கிராம்பு மற்றும் இலவங்கப்பட்டை சேர்க்கவும்.
பின்னர் இறுதியாக நறுக்கிய இஞ்சி, பச்சை மிளகாய் மற்றும் கறிவேப்பிலை சேர்க்கவும்.
சமைத்த பருப்பு + அரிசி, தேவையான அளவு உப்பு சேர்த்து நன்கு கலக்கவும், இதனால் அரிசி நன்கு மசாலாப் பொருட்களால் மூடப்பட்டிருக்கும்.
ஒரு தேக்கரண்டி நெய்யைத் தடவி, காய்கறி கறி, பப்பாளி, ரைத்தா அல்லது வெறும் தயிர் மற்றும் ஊறுகாயுடன் சூடாகப் பரிமாறவும்.</t>
  </si>
  <si>
    <t>https://vaya.in/recipes/wp-content/uploads/2018/11/Panchratna-Dal-Khichdi.jpg</t>
  </si>
  <si>
    <t>Baba Ganoush</t>
  </si>
  <si>
    <t>பாபா கனுஷ்</t>
  </si>
  <si>
    <t xml:space="preserve">   Eggplant – 1 big,
   Tahini – 2 tbsp,
   Garlic – 2 cloves,
   Lemon – 1 small,
   Salt to taste,
   Olive Oil – 1 1/2 tbsp,
  mint -1 tbsp .</t>
  </si>
  <si>
    <t>கத்தரிக்காய் - 1 பெரியது,
தஹினி - 2 டேபிள்ஸ்பூன்,
பூண்டு - 2 பல்,
எலுமிச்சை - 1 சிறியது,
ருசிக்க உப்பு,
ஆலிவ் எண்ணெய் - 1 1/2 டேபிள்ஸ்பூன்,
புதினா - 1 டேபிள்ஸ்பூன்.</t>
  </si>
  <si>
    <t>Blend together the eggplant flesh, tahini (you can prepare tahini at home- check the Tahini recipe) garlic, lemon juice and salt. If needed you can add 1/4 tsp of cumin powder and chilli powder. Adjust salt and other seasoning as needed.
Garnish with finely chopped parsley or cilantro or mint leaves. Drizzle olive oil on top.
Serve with crackers, pita bread, chips, sliced carrots or cucumber, toasted bread or with baguette.</t>
  </si>
  <si>
    <t>கத்தரிக்காய் சதை, தஹினி (நீங்கள் வீட்டிலேயே தஹினி தயாரிக்கலாம் - தஹினி செய்முறையைப் பாருங்கள்) பூண்டு, எலுமிச்சை சாறு மற்றும் உப்பு ஆகியவற்றை ஒன்றாகக் கலக்கவும். தேவைப்பட்டால், நீங்கள் 1/4 டீஸ்பூன் சீரகப் பொடி மற்றும் மிளகாய்த் தூள் சேர்க்கலாம். தேவைக்கேற்ப உப்பு மற்றும் பிற மசாலாப் பொருட்களை சரிசெய்யவும்.
பொடியாக நறுக்கிய வோக்கோசு அல்லது கொத்தமல்லி அல்லது புதினா இலைகளால் அலங்கரிக்கவும். மேலே ஆலிவ் எண்ணெயைத் தூவவும்.
பட்டாசுகள், பிடா ரொட்டி, சிப்ஸ், துண்டுகளாக்கப்பட்ட கேரட் அல்லது வெள்ளரி, டோஸ்ட் செய்யப்பட்ட ரொட்டி அல்லது பக்கோடாவுடன் பரிமாறவும்.</t>
  </si>
  <si>
    <t>https://i2.wp.com/www.downshiftology.com/wp-content/uploads/2020/03/Baba-Ganoush-main.jpg</t>
  </si>
  <si>
    <t>Egg Poriyal</t>
  </si>
  <si>
    <t>முட்டை பொரியல்</t>
  </si>
  <si>
    <t xml:space="preserve">   Eggs – 3,
   Onion -1 big,
   Green chillies – 1-2,
   Turmeric powder – a pinch,
   Oil -1 tsp,
   Salt to taste,
   Oil -2 1/2 tsp
   Mustard seeds – 1 tsp,
   Curry leaves – a sprig.</t>
  </si>
  <si>
    <t>முட்டை – 3,
வெங்காயம் - 1 பெரியது,
பச்சை மிளகாய் – 1-2,
மஞ்சள் தூள் – ஒரு சிட்டிகை,
எண்ணெய் - 1 தேக்கரண்டி,
சுவைக்கேற்ப உப்பு,
எண்ணெய் - 2 1/2 தேக்கரண்டி
கடுகு – 1 தேக்கரண்டி,
கறிவேப்பிலை – ஒரு தளிர்.</t>
  </si>
  <si>
    <t>Finely chop onions and green chillies.
Break eggs in a bowl and beat it with a little salt. Heat a pan, add a tsp of oil, swirl to coat the pan and add the egg mixture.
Once it starts to set, mix it with a spatula, and cook until the egg mixture scrambles as shown in the picture below. Switch off the heat when the eggs are still soft. It will get cooked in the heat of the pan itself.  You can mince it into finer pieces with the spatula if preferred. 
Heat oil in a kadai/pan, add mustard seeds, when it splutters, add finely chopped onions, green chillies, salt, turmeric powder and curry leaves.
When onions turn light brown, add the scrambled eggs and mix well. Cook on low heat for few seconds and remove from heat.
Quick and delicious egg poriyal is ready to be served.
how to make egg poriyal
Serve hot with rice or chapathi or use it as a stuffing for bread toast or chapati rolls.</t>
  </si>
  <si>
    <t>வெங்காயம் மற்றும் பச்சை மிளகாயை நன்றாக நறுக்கவும்.
ஒரு பாத்திரத்தில் முட்டைகளை உடைத்து சிறிது உப்பு சேர்த்து அடிக்கவும். ஒரு பாத்திரத்தை சூடாக்கி, ஒரு தேக்கரண்டி எண்ணெயைச் சேர்த்து, வாணலியை சுழற்றி, முட்டை கலவையைச் சேர்க்கவும்.
அது வதங்கத் தொடங்கியதும், அதை ஒரு ஸ்பேட்டூலாவுடன் கலந்து, கீழே உள்ள படத்தில் காட்டப்பட்டுள்ளபடி முட்டை கலவை வதங்கும் வரை சமைக்கவும். முட்டைகள் இன்னும் மென்மையாக இருக்கும்போது அடுப்பை அணைக்கவும். அது வாணலியின் வெப்பத்திலேயே வேகும். விரும்பினால் ஸ்பேட்டூலாவுடன் அதை நன்றாக நறுக்கலாம்.
ஒரு கடாயில் எண்ணெயைச் சூடாக்கி, கடுகு சேர்த்து, அது வதங்கியதும், இறுதியாக நறுக்கிய வெங்காயம், பச்சை மிளகாய், உப்பு, மஞ்சள் தூள் மற்றும் கறிவேப்பிலை சேர்க்கவும்.
வெங்காயம் வெளிர் பழுப்பு நிறமாக மாறியதும், துருவிய முட்டைகளைச் சேர்த்து நன்கு கலக்கவும். குறைந்த வெப்பத்தில் சில நொடிகள் சமைத்து, அடுப்பிலிருந்து அகற்றவும்.
விரைவான மற்றும் சுவையான முட்டை பொரியல் பரிமாற தயாராக உள்ளது.
முட்டை பொரியல் செய்வது எப்படி
சாதம் அல்லது சப்பாத்தியுடன் சூடாக பரிமாறவும் அல்லது பிரட் டோஸ்ட் அல்லது சப்பாத்தி ரோல்களுக்கு ஸ்டஃபிங்காகப் பயன்படுத்தவும்.</t>
  </si>
  <si>
    <t>https://encrypted-tbn0.gstatic.com/images?q=tbn:ANd9GcSMtt9Z3DW6cFMqc7-QUDmAz2q2fOsRHlIrFQ&amp;s</t>
  </si>
  <si>
    <t>Couscous with Mushroom and Peas</t>
  </si>
  <si>
    <t>காளான் மற்றும் பட்டாணியுடன் கூடிய கூஸ்கஸ்</t>
  </si>
  <si>
    <t xml:space="preserve">  precooked couscous -1/2 cup,
   Mushroom – 2 cups,
   Onion – 1 1/2 cup thinly sliced,
   Green chillies – 2 slit,
   Ginger-garlic paste – 1 tsp,
    frozen peas – 1/2 cup,
   Mint leaves – 1/2 cup ,
    coriander leaves – 1/4 cup,
   Salt to taste,
   Turmeric powder -1/4 tsp,
   cayenne pepper -1/2 tsp,
   Oil – 2 tbsp,
   Cinnamon -1 inch piece,
   Cloves – 2.</t>
  </si>
  <si>
    <t>முன் சமைத்த கூஸ்கஸ் - 1/2 கப்,
காளான் - 2 கப்,
வெங்காயம் - 1 1/2 கப் மெல்லியதாக நறுக்கியது,
பச்சை மிளகாய் - 2 துண்டுகள்,
இஞ்சி-பூண்டு விழுது - 1 தேக்கரண்டி,
உறைந்த பட்டாணி - 1/2 கப்,
புதினா இலைகள் - 1/2 கப்,
கொத்தமல்லி இலைகள் - 1/4 கப்,
சுவைக்கு உப்பு,
மஞ்சள் தூள் - 1/4 தேக்கரண்டி,
குடை மிளகாய் - 1/2 தேக்கரண்டி,
எண்ணெய் - 2 தேக்கரண்டி,
இலவங்கப்பட்டை - 1 அங்குல துண்டு,
கிராம்பு - 2.</t>
  </si>
  <si>
    <t>Heat oil in a pan, add cinnamon and cloves. Saute for a few seconds and then add onions and green chillies.
Saute until onions turn transparent. Add ginger garlic paste and saute for a few more minutes.
Add mushrooms, salt needed and turmeric powder.
Cook mushrooms until tender.
Add par boiled peas and mix well.
Add mint, coriander leaves and cook until they wilt.
Add chilli powder and cook for a few more minutes.
Fluff couscous and add to the above mixture.
Mix well and serve hot with any salad or roasted vegetables. Enjoy!!</t>
  </si>
  <si>
    <t>ஒரு கடாயில் எண்ணெயை சூடாக்கி, இலவங்கப்பட்டை மற்றும் கிராம்பு சேர்க்கவும். சில நொடிகள் வதக்கி, பின்னர் வெங்காயம் மற்றும் பச்சை மிளகாய் சேர்க்கவும்.
வெங்காயம் வெளிப்படையானதாக மாறும் வரை வதக்கவும். இஞ்சி பூண்டு விழுது சேர்த்து மேலும் சில நிமிடங்கள் வதக்கவும்.
காளான்கள், தேவையான அளவு உப்பு மற்றும் மஞ்சள் தூள் சேர்க்கவும்.
காளான்களை மென்மையாகும் வரை சமைக்கவும்.
வேகவைத்த பட்டாணி சேர்த்து நன்கு கலக்கவும்.
புதினா, கொத்தமல்லி இலைகளைச் சேர்த்து அவை வாடிவிடும் வரை சமைக்கவும்.
மிளகாய் தூள் சேர்த்து இன்னும் சில நிமிடங்கள் சமைக்கவும்.
கூஸ்கஸை மென்மையாக்கி மேலே உள்ள கலவையுடன் சேர்க்கவும்.
நன்றாக கலந்து, எந்த சாலட் அல்லது வறுத்த காய்கறிகளுடனும் சூடாகப் பரிமாறவும். மகிழுங்கள்!!</t>
  </si>
  <si>
    <t>https://encrypted-tbn0.gstatic.com/images?q=tbn:ANd9GcRG5tFwUpUt9fKkrFPnzD5jVnjlUeMEH0aQvw&amp;s</t>
  </si>
  <si>
    <t>Oats Kozhukattai</t>
  </si>
  <si>
    <t>ஓட்ஸ் கொழுக்கட்டை</t>
  </si>
  <si>
    <t xml:space="preserve">   Quick Cooking Oats -1 cup,
   Onion -1/2 cup,
   Green chilli – 1,
   Grated carrot – 1/4 cup,
   Grated coconut – 1/4 cup,
   Salt as needed,
   Oil -1 tbsp,
   Mustard seeds -1 tsp,
   Urad dal -1 tsp,
   Hing – a pinch,
   Curry leaves – a sprig.</t>
  </si>
  <si>
    <t>விரைவாக சமைக்கும் ஓட்ஸ் - 1 கப்,
வெங்காயம் - 1/2 கப்,
பச்சை மிளகாய் - 1,
துருவிய கேரட் - 1/4 கப்,
துருவிய தேங்காய் - 1/4 கப்,
தேவைக்கேற்ப உப்பு,
எண்ணெய் - 1 டீஸ்பூன்,
கடுகு - 1 டீஸ்பூன்,
உளுத்தம் பருப்பு - 1 டீஸ்பூன்,
பெருங்காயம் - ஒரு சிட்டிகை,
கறிவேப்பிலை - ஒரு தளிர்.</t>
  </si>
  <si>
    <t>Heat oil in a pan, add mustard seeds, when it splutters, add urad dal, hing and curry leaves. When dal turns golden brown, add onions and saute until it turns transparent.
Add green chillies, grated carrot and saute for a few more minutes.
Then add grated coconut and saute for another 2-3 seconds.
Add oats, 1/2 cup of water, salt needed and cook for a few more seconds. Remove from heat and leave it to cool. When it is warm, make oval shaped dumplings/balls out of it. If you cannot make balls, sprinkle little water and try again.
Steam the Oats Kolukattais for 10 minutes in a steamer or idli cooker. I used tupperware steam it to steam the oats kozhukattai.</t>
  </si>
  <si>
    <t>ஒரு கடாயில் எண்ணெயை சூடாக்கி, கடுகு சேர்த்து, அது வதங்கியதும், உளுத்தம் பருப்பு, பெருங்காயம் மற்றும் கறிவேப்பிலை சேர்க்கவும். பருப்பு பொன்னிறமாக மாறியதும், வெங்காயத்தைச் சேர்த்து, அது வெளிப்படையானதாக மாறும் வரை வதக்கவும்.
பச்சை மிளகாய், துருவிய கேரட் சேர்த்து மேலும் சில நிமிடங்கள் வதக்கவும்.
பின்னர் துருவிய தேங்காய் சேர்த்து மேலும் 2-3 வினாடிகள் வதக்கவும்.
ஓட்ஸ், 1/2 கப் தண்ணீர், தேவையான அளவு உப்பு சேர்த்து மேலும் சில வினாடிகள் சமைக்கவும். அடுப்பிலிருந்து இறக்கி ஆற விடவும். அது சூடாகும்போது, ​​அதிலிருந்து ஓவல் வடிவ உருண்டைகள்/உருண்டைகளை உருவாக்கவும். உருண்டைகளாக உருட்ட முடியாவிட்டால், சிறிது தண்ணீர் தெளித்து மீண்டும் முயற்சிக்கவும்.
ஓட்ஸ் கொழுக்கட்டையாவை ஒரு ஸ்டீமர் அல்லது இட்லி குக்கரில் 10 நிமிடங்கள் வேகவைக்கவும். ஓட்ஸ் கொழுக்கட்டையாவை வேகவைக்க நான் டப்பர்வேரைப் பயன்படுத்தி வேகவைத்தேன்.</t>
  </si>
  <si>
    <t>https://encrypted-tbn0.gstatic.com/images?q=tbn:ANd9GcTGO2lQO0f-mcgUHz9rrDlrhaZpEdlOwc8s8w&amp;s</t>
  </si>
  <si>
    <t>Corn Spinach Sandwich</t>
  </si>
  <si>
    <t>சோளக் கீரை சாண்ட்விச்</t>
  </si>
  <si>
    <t xml:space="preserve">   Bread Slices- 8,
   Butter – 1 tbsp,
   Onion – 1/4 cup ,
   Garlic – 1 tbsp,
   Sweet Corn – 1/2 cup,
   Spinach – 1 cup,
   Cornflour or all purpose flour – 1 tbsp,
   Cold Milk – 2-3 tbsp,
   Salt to taste,
   Pepper powder as needed,
   Basil – 1/2 tsp,
   Oregano – 1/2 tsp,
   Chilli flakes – 1/2 tsp,
   Grated cheese – 2 tbsp ,
   Butter for toasting bread.</t>
  </si>
  <si>
    <t>ரொட்டித் துண்டுகள்- 8,
வெண்ணெய் – 1 டேபிள் ஸ்பூன்,
வெங்காயம் – 1/4 கப்,
பூண்டு – 1 டேபிள் ஸ்பூன்,
இனிப்புச் சோளம் – 1/2 கப்,
கீரை – 1 கப்,
சோள மாவு அல்லது அனைத்து வகையான மாவு – 1 டேபிள் ஸ்பூன்,
குளிர்ந்த பால் – 2-3 டேபிள் ஸ்பூன்,
சுவைக்கேற்ப உப்பு,
தேவைக்கேற்ப மிளகுத் தூள்,
துளசி – 1/2 டேபிள் ஸ்பூன்,
மிளகாய்த் துண்டுகள் – 1/2 டேபிள் ஸ்பூன்,
துருவிய சீஸ் – 2 டேபிள் ஸ்பூன்,
ரொட்டியை வறுக்க வெண்ணெய்.</t>
  </si>
  <si>
    <t>Heat butter in a pan, add finely chopped onion and garlic. Saute until onions turn transparent.
Add corn and saute for a few more seconds.
Add spinach and cook until they wilt. Add salt as needed.
Reduce the heat, add cornflour and mix well. Then add milk and cook stirring continuously. When it starts thickening, switch off the heat.
Add basil, oregano, pepper powder and chilli flakes (if using). Add grated cheese and mix well.
Spread the cheesy corn spinach mixture on the bread slices.
Cover it with another slice of bread. Butter the bread on the outside and toast on tawa or bread toaster until golden brown and serve hot.
Kids and adults alike will love this cheesy spinach corn sandwich. It does not need any side dish as it is very delicious as such.</t>
  </si>
  <si>
    <t>ஒரு கடாயில் வெண்ணெயைச் சூடாக்கி, இறுதியாக நறுக்கிய வெங்காயம் மற்றும் பூண்டைச் சேர்க்கவும். வெங்காயம் வெளிப்படையானதாக மாறும் வரை வதக்கவும்.
சோளத்தைச் சேர்த்து இன்னும் சில வினாடிகள் வதக்கவும்.
கீரையைச் சேர்த்து அவை வாடிவிடும் வரை சமைக்கவும். தேவைக்கேற்ப உப்பு சேர்க்கவும்.
தீயைக் குறைத்து, சோள மாவு சேர்த்து நன்கு கலக்கவும். பின்னர் பால் சேர்த்து தொடர்ந்து கிளறி சமைக்கவும். அது கெட்டியாகத் தொடங்கியதும், தீயை அணைக்கவும்.
துளசி, ஆர்கனோ, மிளகு தூள் மற்றும் மிளகாய் துண்டுகளை (பயன்படுத்தினால்) சேர்க்கவும். துருவிய சீஸ் சேர்த்து நன்கு கலக்கவும்.
பிரெட் துண்டுகளின் மீது சீஸி கார்ன் ஸ்பினாச் கலவையைப் பரப்பவும்.
இன்னொரு துண்டு பிரெட்டால் மூடி வைக்கவும். பிரெட்டின் வெளிப்புறத்தில் வெண்ணெய் தடவி, தவா அல்லது பிரட் டோஸ்டரில் பொன்னிறமாகும் வரை டோஸ்ட் செய்து சூடாகப் பரிமாறவும்.
குழந்தைகள் மற்றும் பெரியவர்கள் இருவரும் இந்த சீஸி ஸ்பினாச் கார்ன் சாண்ட்விச்சை விரும்புவார்கள். இது மிகவும் சுவையாக இருப்பதால் இதற்கு எந்த சைட் டிஷ் தேவையில்லை.</t>
  </si>
  <si>
    <t>https://encrypted-tbn0.gstatic.com/images?q=tbn:ANd9GcTErS9PFEg9hWO-p0ECsYncp8GuVToFVCfNPA&amp;s</t>
  </si>
  <si>
    <t>Dal Khichdi</t>
  </si>
  <si>
    <t>பருப்பு கிச்சடி</t>
  </si>
  <si>
    <t xml:space="preserve">   Rice – 1/2 cup,
   Moong Dal -1 1/2 tbsp,
   Tur dal -1 1/2 tbsp,
   Onion -1 big,
   Garlic – 3-4 cloves ,
   Ginger -1 inch piece,
   Green chilli -1 slit,
   Tomato – 1 big,
   Turmeric powder – 1/4 tsp,
   Chilli powder – 1/2 tsp,
   Salt needed,
   Oil + ghee – 1 tbsp,
   Cumin seeds – 1 tsp,
   Bay leaf – 1,
   Curry leaves – few.
</t>
  </si>
  <si>
    <t>அரிசி - 1/2 கப்,
பாசிப்பருப்பு - 1 1/2 டீஸ்பூன்,
துவரம் பருப்பு - 1 1/2 டீஸ்பூன்,
வெங்காயம் - 1 பெரியது,
பூண்டு - 3-4 பல்,
இஞ்சி - 1 அங்குல துண்டு,
பச்சை மிளகாய் - 1 கீறல்,
தக்காளி - 1 பெரியது,
மஞ்சள் தூள் - 1/4 டீஸ்பூன்,
மிளகாய் தூள் - 1/2 டீஸ்பூன்,
உப்பு தேவை,
எண்ணெய் + நெய் - 1 டீஸ்பூன்,
சீரகம் - 1 டீஸ்பூன்,
பிரியாணி இலை - 1,
கறிவேப்பிலை - சிறிதளவு.</t>
  </si>
  <si>
    <t>Heat oil + ghee in a pan, add cumin seeds, bay leaf and curry leaves. When cumin seeds sizzle, add chopped onion, garlic, ginger and green chilli. Saute until onion browns lightly.
sauteing onion,ginger and garlic 
Add chopped tomatoes, turmeric powder, chilli powder and salt needed.
Cook until tomatoes turn soft and mushy.
Add the cooked rice and dal mixture to the onion tomato mixture.
Add 1 1/2 cup of warm water and mix everything well. Cook on low heat for 3-4 minutes or until everything gets blended well. Check for salt by tasting the khichdi. Add if required.
Drizzle a tsp of ghee and serve piping hot.</t>
  </si>
  <si>
    <t>ஒரு கடாயில் எண்ணெய் + நெய்யை சூடாக்கி, சீரகம், பிரியாணி இலை மற்றும் கறிவேப்பிலை சேர்க்கவும். சீரகம் கொதிக்கும் போது, ​​நறுக்கிய வெங்காயம், பூண்டு, இஞ்சி மற்றும் பச்சை மிளகாய் சேர்க்கவும். வெங்காயம் லேசாக பழுப்பு நிறமாகும் வரை வதக்கவும்.
வெங்காயம், இஞ்சி மற்றும் பூண்டு வதக்கவும்
நறுக்கிய தக்காளி, மஞ்சள் தூள், மிளகாய் தூள் மற்றும் உப்பு சேர்க்கவும்.
தக்காளி மென்மையாகவும் மென்மையாகவும் மாறும் வரை சமைக்கவும்.
வெங்காய தக்காளி கலவையில் சமைத்த அரிசி மற்றும் பருப்பு கலவையை சேர்க்கவும்.
1 1/2 கப் வெதுவெதுப்பான நீரைச் சேர்த்து எல்லாவற்றையும் நன்றாகக் கலக்கவும். குறைந்த தீயில் 3-4 நிமிடங்கள் அல்லது அனைத்தும் நன்றாகக் கலக்கும் வரை சமைக்கவும். கிச்சடியை ருசித்துப் பார்த்து உப்பு இருக்கிறதா என்று பாருங்கள். தேவைப்பட்டால் சேர்க்கவும்.
ஒரு தேக்கரண்டி நெய்யைத் தூவி, சூடாகப் பரிமாறவும்.</t>
  </si>
  <si>
    <t>https://encrypted-tbn0.gstatic.com/images?q=tbn:ANd9GcTeVsuoOBYKATvuyDc2LImZ4zDl7zjCUnTkig&amp;s</t>
  </si>
  <si>
    <t>Pasi Paruppu Sambar</t>
  </si>
  <si>
    <t>பாசி பருப்பு சாம்பார்</t>
  </si>
  <si>
    <t xml:space="preserve">  Moong dal -1/4 cup,
   Onion – 1/2 cup,
   Green chillies – 4 slit,
   Potato -1/3 cup ,
   Tomato – 3/4 cup ,
   Turmeric Powder – 1/4 tsp,
   Tamarind – small ,
   Salt to taste,
   Oil – 1 tbsp,
   Mustard seeds -1 tsp,
   Urad dal – 1 tsp,
   Red Chillies – 3,
   Hing – a pinch,
   Curry leaves – a sprig,
   Coriander leaves .</t>
  </si>
  <si>
    <t>பாசிப்பருப்பு - 1/4 கப்,
வெங்காயம் - 1/2 கப்,
பச்சை மிளகாய் - 4 துண்டுகள்,
உருளைக்கிழங்கு - 1/3 கப்,
தக்காளி - 3/4 கப்,
மஞ்சள் தூள் - 1/4 தேக்கரண்டி,
புளி - சிறியது,
சுவைக்கு உப்பு,
எண்ணெய் - 1 தேக்கரண்டி,
கடுகு - 1 தேக்கரண்டி,
உளுத்தம் பருப்பு - 1 தேக்கரண்டி,
சிவப்பு மிளகாய் - 3,
பெருங்காயம் - ஒரு சிட்டிகை,
கறிவேப்பிலை - ஒரு தளிர்,
கொத்தமல்லி இலைகள்.</t>
  </si>
  <si>
    <t>Heat oil in a pan, add mustard seeds, when it splutters, add urad dal, hing, red chillies and curry leaves.
When dal turns golden brown, add finely chopped onions, slit green chilli and saute until onion turns transparent.
Add chopped potatoes, turmeric powder and cook covered for a few minutes until potatoes are 3/4th cooked. If needed sprinkle water and cook the potatoes.
pasi paruppu sambar recipe for idli, pongal
Add chopped tomatoes, salt needed and cook for a few more minutes until tomato becomes mushy.
Add the cooked dal along with a cup of water and tamarind water. When it starts boiling, reduce the heat and simmer for another 5-6 minutes.
The consistency of the sambar should be very thin, so add water accordingly.
Garnish with finely chopped coriander leaves and serve hot.
It goes well with most tiffin items, though it is usually prepared as a side dish for idli, dosa and pongal. I paired it with millet kozhukattai (recipe will be shared soon) and the combo was awesome.</t>
  </si>
  <si>
    <t>ஒரு கடாயில் எண்ணெயை சூடாக்கி, கடுகு சேர்த்து, அது வதங்கியதும், உளுத்தம் பருப்பு, பெருங்காயம், சிவப்பு மிளகாய் மற்றும் கறிவேப்பிலை சேர்க்கவும்.
பருப்பு பொன்னிறமாக மாறியதும், இறுதியாக நறுக்கிய வெங்காயம், பச்சை மிளகாய் சேர்த்து வெங்காயம் வெளிப்படையானதாக மாறும் வரை வதக்கவும்.
நறுக்கிய உருளைக்கிழங்கு, மஞ்சள் தூள் சேர்த்து, உருளைக்கிழங்கு 3/4 பங்கு வேகும் வரை சில நிமிடங்கள் மூடி வைத்து சமைக்கவும். தேவைப்பட்டால் தண்ணீர் தெளித்து உருளைக்கிழங்கை சமைக்கவும்.
இட்லி, பொங்கலுக்கான பாசிப்பருப்பு சாம்பார் செய்முறை
நறுக்கிய தக்காளி, தேவையான அளவு உப்பு சேர்த்து தக்காளி மசியும் வரை இன்னும் சில நிமிடங்கள் சமைக்கவும்.
சமைத்த பருப்பை ஒரு கப் தண்ணீர் மற்றும் புளி தண்ணீருடன் சேர்க்கவும். கொதிக்க ஆரம்பித்ததும், தீயைக் குறைத்து மேலும் 5-6 நிமிடங்கள் கொதிக்க வைக்கவும்.
சாம்பாரின் நிலைத்தன்மை மிகவும் மெல்லியதாக இருக்க வேண்டும், எனவே அதற்கேற்ப தண்ணீரைச் சேர்க்கவும்.
பொடியாக நறுக்கிய கொத்தமல்லி இலைகளால் அலங்கரித்து சூடாகப் பரிமாறவும்.
இது பெரும்பாலான டிஃபின் பொருட்களுடன் நன்றாகப் பொருந்தும், இருப்பினும் இது பொதுவாக இட்லி, தோசை மற்றும் பொங்கலுக்கு ஒரு துணை உணவாக தயாரிக்கப்படுகிறது. நான் இதை தினை கொழுக்கட்டையுடன் இணைத்தேன் (செய்முறை விரைவில் பகிரப்படும்) மற்றும் கலவை அருமையாக இருந்தது.</t>
  </si>
  <si>
    <t>https://i.ytimg.com/vi/talElQqmmTY/maxresdefault.jpg</t>
  </si>
  <si>
    <t>Gnocchi with Tomato Sauce</t>
  </si>
  <si>
    <t>தக்காளி சாஸுடன் கூடிய க்னோச்சி</t>
  </si>
  <si>
    <t xml:space="preserve">   Potato Gnocchi – 2 cups,
   Olive oil – 1 1/2 tbsp,
   Tomatoes – 7,
   Onion – 1,
   Garlic – 4 cloves,
   Cayenne pepper – 1/2 tsp,
   Oregano -3/4 tsp,
   Basil – 1 tsp,
   Salt to taste,
   Pepper powder to taste,
   Grated mozzarella .</t>
  </si>
  <si>
    <t>உருளைக்கிழங்கு க்னோச்சி – 2 கப்,
ஆலிவ் எண்ணெய் – 1 1/2 டீஸ்பூன்,
தக்காளி – 7,
வெங்காயம் – 1,
பூண்டு – 4 பல்,
கெய்ன் மிளகு – 1/2 டீஸ்பூன்,
ஆர்கனோ -3/4 டீஸ்பூன்,
துளசி – 1 டீஸ்பூன்,
சுவைக்கு உப்பு,
சுவைக்கு மிளகு தூள்,
துருவிய மொஸெரெல்லா.</t>
  </si>
  <si>
    <t>Heat olive oil in a pan, add finely chopped garlic and saute for a few minutes. Add finely chopped onions and saute until they turn transparent.
Add the chopped tomatoes and the tomato puree, cayenne pepper and salt needed. Once it starts boiling, lower the heat and cook until the sauce reduces and thickens slightly.
Add oregano, basil and pepper powder to taste. Now our fresh and easy tomato sauce is ready. Now we will cook the potato gnocchi.
quick tomato sauce 
Bring a pan of salted water to boil. Add the potato gnocchi and cook until it floats on the surface.
cooking potato gnocchi
Carefully remove the gnocchi with a slotted ladle and keep it aside. Reserve 2 tbsp of the liquid and discard the rest.
Now add the cooked gnocchi, reserved liquid to the sauce and toss well to combine.
If you can get fresh basil, add 3-4 chopped leaves, sprinkle freshly grated cheese and serve hot.
Potato gnocchi with tomato sauce is ready to be served.</t>
  </si>
  <si>
    <t>ஒரு கடாயில் ஆலிவ் எண்ணெயை சூடாக்கி, இறுதியாக நறுக்கிய பூண்டைச் சேர்த்து சில நிமிடங்கள் வதக்கவும். இறுதியாக நறுக்கிய வெங்காயத்தைச் சேர்த்து அவை வெளிப்படையானதாக மாறும் வரை வதக்கவும்.
நறுக்கிய தக்காளி மற்றும் தக்காளி கூழ், க்யோன் மிளகு மற்றும் தேவையான உப்பு சேர்க்கவும். அது கொதிக்க ஆரம்பித்ததும், தீயைக் குறைத்து, சாஸ் குறைந்து சிறிது கெட்டியாகும் வரை சமைக்கவும்.
சுவைக்கு ஏற்ப ஆர்கனோ, துளசி மற்றும் மிளகுத் தூள் சேர்க்கவும். இப்போது எங்கள் புதிய மற்றும் எளிதான தக்காளி சாஸ் தயாராக உள்ளது. இப்போது உருளைக்கிழங்கு க்னோச்சியை சமைப்போம்.
விரைவான தக்காளி சாஸ்
ஒரு பாத்திரத்தில் உப்பு தண்ணீர் கொதிக்க வைக்கவும். உருளைக்கிழங்கு க்னோச்சியைச் சேர்த்து, அது மேற்பரப்பில் மிதக்கும் வரை சமைக்கவும்.
உருளைக்கிழங்கு க்னோச்சியை சமைக்கவும்
துளையிட்ட கரண்டியால் க்னோச்சியை கவனமாக அகற்றி ஒதுக்கி வைக்கவும். 2 டீஸ்பூன் திரவத்தை ஒதுக்கி வைத்துவிட்டு, மீதமுள்ளவற்றை நிராகரிக்கவும்.
இப்போது சமைத்த க்னோச்சி, ஒதுக்கப்பட்ட திரவத்தை சாஸில் சேர்த்து நன்கு கலக்கவும்.
புதிய துளசி கிடைத்தால், 3-4 நறுக்கிய இலைகளைச் சேர்த்து, புதிதாக துருவிய சீஸைத் தூவி சூடாகப் பரிமாறவும்.
தக்காளி சாஸுடன் உருளைக்கிழங்கு க்னோச்சி பரிமாற தயாராக உள்ளது.</t>
  </si>
  <si>
    <t>https://www.saltandlavender.com/wp-content/uploads/2019/08/gnocchi-tomato-sauce-10.jpg</t>
  </si>
  <si>
    <t>Kodo Millet Carrot Rice</t>
  </si>
  <si>
    <t>கோடோ தினை கேரட் சாதம்</t>
  </si>
  <si>
    <t xml:space="preserve">   Millet – 1/2 cup,
   Grated carrot -1 cup,
   Onion – 1 cup ,
   Turmeric powder -1/4 tsp,
   Roasted Peanuts -2 tbsp,
   Coriander seeds – 2 tsp,
   Cumin seeds – 2 tsp,
   Red Chillies -3-4,
   Oil -2 tbsp,
   Mustard seeds -1 tsp,
   Urad dal -3/4 tsp,
   Curry leaves – a sprig,
   Coriander leaves .</t>
  </si>
  <si>
    <t>தினை - 1/2 கப்,
துருவிய கேரட் - 1 கப்,
வெங்காயம் - 1 கப்,
மஞ்சள் தூள் - 1/4 தேக்கரண்டி,
வறுத்த வேர்க்கடலை - 2 தேக்கரண்டி,
கொத்தமல்லி விதைகள் - 2 தேக்கரண்டி,
சீரகம் - 2 தேக்கரண்டி,
சிவப்பு மிளகாய் - 3-4,
எண்ணெய் - 2 தேக்கரண்டி,
கடுகு - 1 தேக்கரண்டி,
உளுத்தம் பருப்பு - 3/4 தேக்கரண்டி,
கறிவேப்பிலை - ஒரு தளிர்,
கொத்தமல்லி இலைகள்.</t>
  </si>
  <si>
    <t>Heat oil, add mustard seeds, when it splutters, add urad dal and curry leaves. When dal turns golden brown, add chopped onions and saute until it turns transparent.
When onions turn transparent, add grated carrots and mix well.
Add the spice powder, salt needed, turmeric powder, sprinkle water and cook covered.
As we have grated the carrots, it needs very less time to get cooked.
Once the carrot is soft, fluff the millets with a fork and add to the carrot mixture. Mix well.
Heat 1/2 tsp of oil, fry the peanuts and add to the rice. Since I did not have peanuts at home, I have used cashew nuts. This is optional. You can also add this at the time of seasoning.
Garnish with coriander leaves and serve hot with any vegetable curry or pachadi/raitha. I made cauliflower potato dry curry as a side dish for this.</t>
  </si>
  <si>
    <t>எண்ணெயை சூடாக்கி, கடுகு சேர்த்து, அது வதங்கியதும், உளுத்தம் பருப்பு மற்றும் கறிவேப்பிலை சேர்க்கவும். பருப்பு பொன்னிறமாக மாறியதும், நறுக்கிய வெங்காயத்தைச் சேர்த்து, அது வெளிப்படையானதாக மாறும் வரை வதக்கவும்.
வெங்காயம் வெளிப்படையானதாக மாறியதும், துருவிய கேரட்டைச் சேர்த்து நன்கு கலக்கவும்.
மசாலாப் பொடி, தேவையான அளவு உப்பு, மஞ்சள் தூள் சேர்த்து, தண்ணீர் தெளித்து மூடி வைத்து சமைக்கவும்.
கேரட்டை அரைத்துவிட்டதால், சமைக்க மிகக் குறைந்த நேரம் மட்டுமே ஆகும்.
கேரட் மென்மையாக ஆனதும், தினையை ஒரு முட்கரண்டி கொண்டு பிசைந்து, கேரட் கலவையில் சேர்க்கவும். நன்றாக கலக்கவும்.
1/2 தேக்கரண்டி எண்ணெயை சூடாக்கி, வேர்க்கடலையை வறுத்து, சாதத்தில் சேர்க்கவும். என் வீட்டில் வேர்க்கடலை இல்லாததால், நான் முந்திரி பருப்புகளைப் பயன்படுத்தினேன். இது விருப்பமானது. தாளிக்கும்போதும் இதைச் சேர்க்கலாம்.
கொத்தமல்லி இலைகளால் அலங்கரித்து, எந்த காய்கறி கறி அல்லது பச்சடி/ரைத்தாவுடன் சூடாகப் பரிமாறவும். இதற்கு ஒரு பக்க உணவாக காலிஃபிளவர் உருளைக்கிழங்கு உலர் கறியை நான் செய்தேன்.</t>
  </si>
  <si>
    <t>https://encrypted-tbn0.gstatic.com/images?q=tbn:ANd9GcRkf8DA2Pt8OagwRA7ImL2RDKWGwSeNzRCo3Q&amp;s</t>
  </si>
  <si>
    <t>Egg Biryani</t>
  </si>
  <si>
    <t xml:space="preserve">
முட்டை பிரியாணி</t>
  </si>
  <si>
    <t xml:space="preserve">   Turmeric powder – 1/4 tsp,
   Chilli Powder – 1 tsp,
   Biryani Masala Powder – 1 tbsp,
   Garam Masala Powder – 1 tsp,
   Eggs -3,
   Red chilli powder -1/2 tsp,
   Gram flour/besan -1 tsp,
   Salt needed,
   Oil – 2 tbsp,
   Ghee – 2 tsp,
   Cinnamon – 1 inch piece,
   Cardamom – 1,
   Cloves – 2,
   Shah jeera – 1 tsp,
   Sea Weed – little,
   Fried Onions – 1 tbsp,
   Coriander Leaves – 1 tbsp ,
   Mint leaves – 1 tbsp ,
   Ghee/clarified butter -1 tsp,
   Saffron – 3-4 strands,
   Milk – 1 tbsp.</t>
  </si>
  <si>
    <t>மஞ்சள் தூள் - 1/4 தேக்கரண்டி,
மிளகாய் தூள் - 1 தேக்கரண்டி,
பிரியாணி மசாலா தூள் - 1 தேக்கரண்டி,
கரம் மசாலா தூள் - 1 தேக்கரண்டி,
முட்டை -3,
சிவப்பு மிளகாய் தூள் - 1/2 தேக்கரண்டி,
கடலை மாவு/பெசன் - 1 தேக்கரண்டி,
உப்பு தேவை,
எண்ணெய் - 2 தேக்கரண்டி,
நெய் - 2 தேக்கரண்டி,
இலவங்கப்பட்டை - 1 அங்குல துண்டு,
ஏலக்காய் - 1,
கிராம்பு - 2,
ஷா ஜீரா - 1 தேக்கரண்டி,
கடலை மாவு - சிறிது,
வறுத்த வெங்காயம் - 1 தேக்கரண்டி,
கொத்தமல்லி இலைகள் - 1 தேக்கரண்டி,
புதினா இலைகள் - 1 தேக்கரண்டி,
நெய் / தெளித்த வெண்ணெய் - 1 தேக்கரண்டி,
குங்குமப்பூ - 3-4 இழைகள்,
பால் - 1 தேக்கரண்டி.</t>
  </si>
  <si>
    <t>Heat oil + ghee and add the ingredients mentioned under seasoning.
After cumin seeds sizzles, add thinly sliced onion and saute until it turns golden brown. Add salt to speed up the process.
sauteing onions
Add cashew nuts, slit green chillies and saute for a few more minutes.
Add ginger-garlic paste and saute until the raw flavor of the ginger goes.
Add mint and coriander leaves.
Add chilli powder, turmeric powder, biryani masala, garam masala powder and salt needed. Saute well on medium flame until the raw flavor of the spice powder goes.
Add yogurt/curd and cook for a further 3-4 minutes.
Add fried onions and mix well.
Add 1 1/2 – 1 3/4 cup of water. When water starts boiling, add basmati rice. Mix well and cook covered. Check for salt by tasting the water. If it is slightly salty, it will be perfect once rice is cooked.
egg biryani recipe
When rice is three fourth done, you will see holes appearing on the surface. Add a tbsp fried onions, coriander leaves, mint leaves kept for garnishing, saffron soaked in milk and a tsp of ghee.
Reduce the heat to low and cook covered for another 5 minutes or until all the water is absorbed and the rice is soft.</t>
  </si>
  <si>
    <t>எண்ணெய் + நெய்யை சூடாக்கி, தாளிக்க குறிப்பிடப்பட்டுள்ள பொருட்களைச் சேர்க்கவும்.
சீரகம் வதங்கிய பிறகு, மெல்லியதாக நறுக்கிய வெங்காயத்தைச் சேர்த்து பொன்னிறமாகும் வரை வதக்கவும். செயல்முறையை விரைவுபடுத்த உப்பு சேர்க்கவும்.
வெங்காயம் வதக்குதல்
முந்திரி பருப்பு, பச்சை மிளகாய் கீறி சேர்த்து இன்னும் சில நிமிடங்கள் வதக்கவும்.
இஞ்சி-பூண்டு விழுது சேர்த்து இஞ்சியின் பச்சை வாசனை போகும் வரை வதக்கவும்.
புதினா மற்றும் கொத்தமல்லி இலைகளை சேர்க்கவும்.
மிளகாய் தூள், மஞ்சள் தூள், பிரியாணி மசாலா, கரம் மசாலா தூள் மற்றும் தேவையான அளவு உப்பு சேர்க்கவும். மசாலா பொடியின் பச்சை வாசனை போகும் வரை மிதமான தீயில் நன்கு வதக்கவும்.
தயிர்/தயிர் சேர்த்து மேலும் 3-4 நிமிடங்கள் சமைக்கவும்.
பொரித்த வெங்காயத்தைச் சேர்த்து நன்கு கலக்கவும்.
1 1/2 – 1 3/4 கப் தண்ணீர் சேர்க்கவும். தண்ணீர் கொதிக்க ஆரம்பித்ததும், பாஸ்மதி அரிசியைச் சேர்க்கவும். நன்கு கலந்து மூடி வைத்து சமைக்கவும். தண்ணீரை ருசித்துப் பார்த்து உப்பு இருக்கிறதா என்று பாருங்கள். சிறிது உப்பு இருந்தால், அரிசி வெந்தவுடன் அது சரியானதாக இருக்கும்.
சாதம் மூன்றில் ஒரு பங்கு வெந்தவுடன், மேற்பரப்பில் துளைகள் தோன்றும். ஒரு டீஸ்பூன் வறுத்த வெங்காயம், கொத்தமல்லி இலைகள், அலங்கரிக்க வைத்திருக்கும் புதினா இலைகள், பாலில் ஊறவைத்த குங்குமப்பூ மற்றும் ஒரு டீஸ்பூன் நெய் சேர்க்கவும்.
தீயை குறைத்து, மூடி வைத்து மேலும் 5 நிமிடங்கள் அல்லது அனைத்து தண்ணீரும் உறிஞ்சப்பட்டு அரிசி மென்மையாகும் வரை சமைக்கவும்.</t>
  </si>
  <si>
    <t>https://spicecravings.com/wp-content/uploads/2020/10/Egg-Biryani-Featured-1.jpg</t>
  </si>
  <si>
    <t>Couscous with Cauliflower and Peas</t>
  </si>
  <si>
    <t>காலிஃபிளவர் மற்றும் பட்டாணியுடன் கூடிய கூஸ்கஸ்</t>
  </si>
  <si>
    <t xml:space="preserve">   Instant Couscous – 1/2 cup,
   Cauliflower florets – 1 cup,
   frozen peas – 1/3 cup,
   Onion – 1/2 cup chopped,
   Ginger – 1 inch piece,
   Garlic – 3 cloves,
   Ripe Tomatoes – 2,
   Turmeric powder – 1/4 tsp,
   Chilli Powder – 1/2 tsp,
   Salt needed,
   Oil -1 tbsp,
   Mix of toasted edible seeds – 2 tbsp,
   Coriander leaves .
</t>
  </si>
  <si>
    <t>உடனடி கூஸ்கஸ் - 1/2 கப்,
காலிஃபிளவர் பூக்கள் - 1 கப்,
உறைந்த பட்டாணி - 1/3 கப்,
வெங்காயம் - 1/2 கப் நறுக்கியது,
இஞ்சி - 1 அங்குல துண்டு,
பூண்டு - 3 பல்,
பழுத்த தக்காளி - 2,
மஞ்சள் தூள் - 1/4 தேக்கரண்டி,
மிளகாய் தூள் - 1/2 தேக்கரண்டி,
உப்பு தேவை,
எண்ணெய் -1 தேக்கரண்டி,
வறுத்த உண்ணக்கூடிய விதைகள் கலவை - 2 தேக்கரண்டி,
கொத்தமல்லி இலைகள்.</t>
  </si>
  <si>
    <t>Heat oil, add onion, ginger, garlic and saute until onions turn transparent.
Then add tomato puree, peas, chilli powder, turmeric powder and salt needed.
Cook until the raw flavor of the tomato goes. Add blanched cauliflower and cook for a few more minutes. Do not overcook the cauliflowers. It should retain its crunchiness.
Fluff couscous with a fork and add to the tomato + cauliflower + peas mixture. Mix well until the couscous is well coated with the gravy/sauce. Cook on low flame for another 2-3 minutes and remove from heat.
Garnish with toasted nuts and finely chopped coriander leaves. Serve hot with a simple raitha or salad.
Adults and kids alike will love this colorful, healthy and delicious couscous with cauliflower.</t>
  </si>
  <si>
    <t>எண்ணெயை சூடாக்கி, வெங்காயம், இஞ்சி, பூண்டு சேர்த்து வெங்காயம் வெளிப்படையானதாக மாறும் வரை வதக்கவும்.
பின்னர் தக்காளி கூழ், பட்டாணி, மிளகாய் தூள், மஞ்சள் தூள் மற்றும் தேவையான உப்பு சேர்க்கவும்.
தக்காளியின் பச்சை சுவை போகும் வரை சமைக்கவும். வெளுத்த காலிஃபிளவரைச் சேர்த்து இன்னும் சில நிமிடங்கள் சமைக்கவும். காலிஃபிளவரை அதிகமாக வேகவிடாதீர்கள். அது அதன் மொறுமொறுப்பைத் தக்க வைத்துக் கொள்ள வேண்டும்.
ஒரு முட்கரண்டி கொண்டு கூஸ்கஸை மென்மையாக்கி, தக்காளி + காலிஃபிளவர் + பட்டாணி கலவையில் சேர்க்கவும். கூஸ்கஸ், கிரேவி/சாஸுடன் நன்கு பூசும் வரை நன்கு கலக்கவும். குறைந்த தீயில் மற்றொரு 2-3 நிமிடங்கள் சமைக்கவும், பின்னர் அடுப்பிலிருந்து அகற்றவும்.
வறுத்த கொட்டைகள் மற்றும் இறுதியாக நறுக்கிய கொத்தமல்லி இலைகளால் அலங்கரிக்கவும். ஒரு எளிய ரைத்தா அல்லது சாலட்டுடன் சூடாக பரிமாறவும்.
பெரியவர்கள் மற்றும் குழந்தைகள் இருவரும் காலிஃபிளவருடன் இந்த வண்ணமயமான, ஆரோக்கியமான மற்றும் சுவையான கூஸ்கஸை விரும்புவார்கள்.</t>
  </si>
  <si>
    <t>https://encrypted-tbn0.gstatic.com/images?q=tbn:ANd9GcTP4Qhq2bcuHFT1UHPtC61Dkwopf4_KjPCAJw&amp;s</t>
  </si>
  <si>
    <t>Bulgur Khichdi</t>
  </si>
  <si>
    <t>புல்கூர் கிச்சடி</t>
  </si>
  <si>
    <t xml:space="preserve">   Bulgur -1/2 cup,
   Moong dal – 1/4 cup,
   Onion -1,
   Tomato -1,
   Green chilli -1,
   Ginger -1 inch piece,
   Turmeric powder -1/4 tsp,
   Sambar powder -1/2 tsp,
   Salt needed,
   Ghee/clarified butter -1 tsp,
   Oil – 1 1/2 – 2 tbsp,
   Mustard seeds -3/4 tsp,
   Cumin seeds -3/4 tsp,
   Hing – a pinch,
   Curry leaves – a sprig,
   Coriander leaves.</t>
  </si>
  <si>
    <t>புல்கூர் - 1/2 கப்,
பாசிப்பருப்பு - 1/4 கப்,
வெங்காயம் - 1,
தக்காளி - 1,
பச்சை மிளகாய் - 1,
இஞ்சி - 1 அங்குல துண்டு,
மஞ்சள் தூள் - 1/4 தேக்கரண்டி,
சாம்பார் பொடி - 1/2 தேக்கரண்டி,
உப்பு தேவை,
நெய்/தெளிவுபடுத்திய வெண்ணெய் - 1 தேக்கரண்டி,
எண்ணெய் - 1 1/2 தேக்கரண்டி,
சீரகம் - 3/4 தேக்கரண்டி,
பெருங்காயம் - ஒரு சிட்டிகை,
கறிவேப்பிலை - ஒரு தளிர்,
கொத்தமல்லி இலைகள்.</t>
  </si>
  <si>
    <t>Heat oil in a pan or small cooker, add mustard seeds, cumin seeds, when it sizzles, add hing, onion, green chilli, ginger and curry leaves.
Saute until onions turn transparent. Then add finely chopped tomatoes, turmeric powder, sambar powder.
Saute for 3-4 minutes and then add soaked dal, salt needed and a cup of water.
Pressure cook for 2-3 whistles or you can cook in a pan but will take a longer time. When pressure subisdes, open the cooker, mash the dal slightly and add the soaked bulgur along with the water if any.
Mix well and simmer for 3-4 minutes. Drizzle a tsp of ghee and garnish with finely chopped coriander leaves.</t>
  </si>
  <si>
    <t>ஒரு கடாயில் அல்லது சிறிய குக்கரில் எண்ணெயை சூடாக்கி, கடுகு, சீரகம் சேர்த்து, அது கொதித்ததும், பெருங்காயம், வெங்காயம், பச்சை மிளகாய், இஞ்சி மற்றும் கறிவேப்பிலை சேர்க்கவும்.
வெங்காயம் வெளிப்படையானதாக மாறும் வரை வதக்கவும். பின்னர் இறுதியாக நறுக்கிய தக்காளி, மஞ்சள் தூள், சாம்பார் பொடி சேர்க்கவும்.
3-4 நிமிடங்கள் வதக்கி, பின்னர் ஊறவைத்த பருப்பு, தேவையான உப்பு மற்றும் ஒரு கப் தண்ணீர் சேர்க்கவும்.
பிரஷர் குக் 2-3 விசில்கள் வரை அல்லது ஒரு பாத்திரத்தில் சமைக்கலாம், ஆனால் அதிக நேரம் எடுக்கும். பிரஷர் தணிந்ததும், குக்கரைத் திறந்து, பருப்பை லேசாக மசித்து, ஊறவைத்த புல்கரை தண்ணீருடன் சேர்த்து, ஏதேனும் இருந்தால் சேர்க்கவும்.
நன்றாகக் கலந்து 3-4 நிமிடங்கள் கொதிக்க விடவும். ஒரு தேக்கரண்டி நெய்யைத் தூவி, இறுதியாக நறுக்கிய கொத்தமல்லி இலைகளால் அலங்கரிக்கவும்.</t>
  </si>
  <si>
    <t>https://cinnamonsnail.com/wp-content/uploads/2024/04/Daliya-24.jpg</t>
  </si>
  <si>
    <t>Bulgur Wheat Pulao</t>
  </si>
  <si>
    <t>புல்கூர் கோதுமை புலாவ்</t>
  </si>
  <si>
    <t xml:space="preserve">   Bulgur -1/2 cup,
   Water – 3/4 cup,
   Onion -1 ,
   Ginger -1 inch piece,
   Green chilli -1 slit,
   Garlic -3 cloves ,
   Beans – 4-5,
   Carrot – 1,
   Bell Pepper -1/3 cup,
   Coriander leaves ,
   Fresh mint leaves,
   Chilli powder -1/4 tsp,
   Salt needed,
   Oil -1 tbsp,
   Cinnamon -1 inch piece,
   Cloves -2,
   Coriander leaves.</t>
  </si>
  <si>
    <t>புல்கூர் - 1/2 கப்,
தண்ணீர் - 3/4 கப்,
வெங்காயம் - 1 ,
இஞ்சி - 1 அங்குல துண்டு,
பச்சை மிளகாய் - 1 துண்டு,
பூண்டு - 3 பல் ,
பீன்ஸ் - 4-5,
கேரட் - 1,
பெல் பெப்பர் - 1/3 கப்,
கொத்தமல்லி இலைகள் ,
புதிய புதினா இலைகள்,
மிளகாய் தூள் - 1/4 தேக்கரண்டி,
உப்பு தேவை,
எண்ணெய் - 1 தேக்கரண்டி,
இலவங்கப்பட்டை - 1 அங்குல துண்டு,
கிராம்பு - 2,
கொத்தமல்லி இலைகள்.</t>
  </si>
  <si>
    <t>Heat oil, add cinnamon and cloves, saute for a few seconds and then add finely chopped onions, ginger, garlic and green chilli.
Saute until onions turn transparent.
Then add all the vegetables (except capsicum) chilli powder, salt needed and cooked covered until they are half done. You can sprinkle a little water if needed. Make sure that you do not over cook the vegetables.
Then add capsicum, mint leaves, coriander leaves and cook for a few more minutes.
Now fluff bulgur (if there is water, drain it completely) with a fork and add it to the vegetable mixture. Mix well and cook for another 2-3 seconds.
Garnish with coriander leaves and serve bulgur pulao piping hot with a simple salad or raitha.
This is such a quick and easy recipe that even teenagers can cook.</t>
  </si>
  <si>
    <t>எண்ணெயை சூடாக்கி, இலவங்கப்பட்டை மற்றும் கிராம்பு சேர்த்து, சில நொடிகள் வதக்கி, பின்னர் இறுதியாக நறுக்கிய வெங்காயம், இஞ்சி, பூண்டு மற்றும் பச்சை மிளகாய் சேர்க்கவும்.
வெங்காயம் வெளிப்படையானதாக மாறும் வரை வதக்கவும்.
பின்னர் அனைத்து காய்கறிகளையும் (கேப்சிகம் தவிர) மிளகாய் தூள், தேவையான உப்பு சேர்த்து, பாதி வேகும் வரை மூடி வைத்து சமைக்கவும். தேவைப்பட்டால் சிறிது தண்ணீர் தெளிக்கலாம். காய்கறிகளை அதிகமாக சமைக்க வேண்டாம்.
பின்னர் கேப்சிகம், புதினா இலைகள், கொத்தமல்லி இலைகள் சேர்த்து இன்னும் சில நிமிடங்கள் சமைக்கவும்.
இப்போது புல்கரை (தண்ணீர் இருந்தால், அதை முழுவதுமாக வடிகட்டவும்) ஒரு முட்கரண்டி கொண்டு பிசைந்து, காய்கறி கலவையில் சேர்க்கவும். நன்கு கலந்து மேலும் 2-3 வினாடிகள் சமைக்கவும்.
கொத்தமல்லி இலைகளால் அலங்கரித்து, புல்கூர் புலாவை ஒரு எளிய சாலட் அல்லது ரைத்தாவுடன் சூடாக பரிமாறவும்.
இது டீனேஜர்கள் கூட சமைக்கக்கூடிய விரைவான மற்றும் எளிதான செய்முறையாகும்.</t>
  </si>
  <si>
    <t>https://pipingpotcurry.com/wp-content/uploads/2017/02/Bulgur-Pulao.-Broken-Wheat-Pilaf.-Dalia-Pualo.jpg</t>
  </si>
  <si>
    <t xml:space="preserve">Breakfast Polenta with Dried Fruits, Nuts and Seeds
</t>
  </si>
  <si>
    <t xml:space="preserve">
காலை உணவு உலர்ந்த பழங்கள், கொட்டைகள் மற்றும் விதைகளுடன் பொலெண்டா</t>
  </si>
  <si>
    <t xml:space="preserve">   Quick-Cooking Polenta -1/2 cup,
   Water -2 cups,
   Honey or any sweetener of your choice,
   Milk -1/4 cup,
   Dates – 5 pitted,
   Raisins -10,
   Apricot -3,
   Mixed Seeds – 2 tsp,
   Almonds – 4 blanched.</t>
  </si>
  <si>
    <t>விரைவாக சமைக்கும் பொலெண்டா - 1/2 கப்,
தண்ணீர் - 2 கப்,
தேன் அல்லது உங்களுக்கு விருப்பமான ஏதேனும் இனிப்பு,
பால் - 1/4 கப்,
பேரீச்சம்பழம் - 5 குழிகள்,
திராட்சை - 10,
பாதாமி - 3,
கலப்பு விதைகள் - 2 தேக்கரண்டி,
பாதாம் - 4 வெளுக்கப்பட்டது.</t>
  </si>
  <si>
    <t>Bring water to boil, when it starts boiling, reduce the heat and slowly add the cornmeal coarse polenta stirring continuously to prevent lumps.
cook the polenta over low heat
Cook stirring until the mixture thickens and reaches a porridge consistency. Remove from heat and transfer it to a bowl. Add milk and mix it well.
Add honey, dry fruits and nut of your choice. You can add even fresh fruits.
Serve warm. It makes a filling breakfast and is a great option for anybody on a gluten-free diet.</t>
  </si>
  <si>
    <t>தண்ணீரை கொதிக்க வைக்கவும், அது கொதிக்க ஆரம்பிக்கும் போது, ​​தீயைக் குறைத்து, கட்டிகளைத் தடுக்க தொடர்ந்து கிளறி, சோள மாவை மெதுவாகச் சேர்க்கவும்.
குறைந்த தீயில் பொலெண்டாவை சமைக்கவும்
கலவை கெட்டியாகி கஞ்சி நிலைத்தன்மையை அடையும் வரை கிளறவும். வெப்பத்திலிருந்து நீக்கி ஒரு கிண்ணத்திற்கு மாற்றவும். பால் சேர்த்து நன்கு கலக்கவும்.
தேன், உலர் பழங்கள் மற்றும் உங்களுக்கு விருப்பமான கொட்டைகளைச் சேர்க்கவும். நீங்கள் புதிய பழங்களை கூட சேர்க்கலாம்.
சூடாக பரிமாறவும். இது ஒரு நிரப்பு காலை உணவாக அமைகிறது மற்றும் பசையம் இல்லாத உணவில் உள்ள எவருக்கும் இது ஒரு சிறந்த தேர்வாகும்.</t>
  </si>
  <si>
    <t>https://encrypted-tbn0.gstatic.com/images?q=tbn:ANd9GcRdDIKc1uqMZalIDnlzWqfHjBPxj2pfF_0axg&amp;s</t>
  </si>
  <si>
    <t>Bombay Masala Toast</t>
  </si>
  <si>
    <t>பாம்பே மசாலா டோஸ்ட்</t>
  </si>
  <si>
    <t xml:space="preserve">   Brown Bread or White bread – 8,
   Butter as needed,
   Green Chutney as needed,
   Potato – 2,
   Onion – 1 medium size,
   Green chillies – 1-2,
   Turmeric powder – 1/4 tsp,
   Salt needed,
   Oil – 3 tsp,
   Cumin seeds -1 tsp,
   Curry leaves – 1 sprig,
    coriander leaves,
   Onion slices,
   Tomato slices,
   Cucumber slices,
   Chaat Masala – as needed.</t>
  </si>
  <si>
    <t>பிரவுன் பிரெட் அல்லது வெள்ளை பிரெட் - 8,
வெண்ணெய் தேவைக்கேற்ப, பச்சை சட்னி தேவைக்கேற்ப,
உருளைக்கிழங்கு - 2,
வெங்காயம் - 1 நடுத்தர அளவு,
பச்சை மிளகாய் - 1-2,
மஞ்சள் தூள் - 1/4 தேக்கரண்டி,
உப்பு தேவைக்கேற்ப,
எண்ணெய் - 3 தேக்கரண்டி,
சீரகம் - 1 தேக்கரண்டி,
கறிவேப்பிலை - 1 துளிர்,
கொத்தமல்லி இலைகள்,
வெங்காய துண்டுகள்,
தக்காளி துண்டுகள்,
வெள்ளரிக்காய் துண்டுகள்,
சாட் மசாலா - தேவைக்கேற்ப.</t>
  </si>
  <si>
    <t>Now we have bread, potato masala, green chutney, butter (I used homemade butter) vegetables and chaat masala powder ready (available ready made).
Trim the corners of the bread if required. I did not trim it. Apply butter on one side of the bread.
Then apply green chutney on the bread. Then spread potato masala on top of the green chutney.
Place 1 or 2 slices of cucumber, tomato, onion on top of the potato masala and sprinkle chaat masala powder on top of it.
Close it with another bread. Apply butter on top of that bread and toast the prepared sandwich.
I used a stove top sandwich toaster. Grease a little butter on the toaster, place the prepared sandwich and toast both sides until golden brown. If you do not have a toaster, you can do this on a tawa also by pressing it well.
Repeat the same process for the rest of the bread.</t>
  </si>
  <si>
    <t>இப்போது எங்களிடம் ரொட்டி, உருளைக்கிழங்கு மசாலா, பச்சை சட்னி, வெண்ணெய் (நான் வீட்டில் வெண்ணெய் பயன்படுத்தினேன்) காய்கறிகள் மற்றும் சாட் மசாலா தூள் தயாராக உள்ளது (ரெடிமேட் கிடைக்கும்).
தேவைப்பட்டால் ரொட்டியின் மூலைகளை வெட்டுங்கள். நான் அதை வெட்டவில்லை. ரொட்டியின் ஒரு பக்கத்தில் வெண்ணெய் தடவவும்.
பின்னர் ரொட்டியில் பச்சை சட்னி தடவவும். பின்னர் பச்சை சட்னியின் மேல் உருளைக்கிழங்கு மசாலாவை பரப்பவும்.
உருளைக்கிழங்கு மசாலாவின் மேல் 1 அல்லது 2 துண்டுகள் வெள்ளரி, தக்காளி, வெங்காயம் ஆகியவற்றை வைத்து அதன் மேல் சாட் மசாலா பொடியைத் தூவவும்.
இன்னொரு ரொட்டியுடன் அதை மூடி வைக்கவும். அந்த ரொட்டியின் மேல் வெண்ணெய் தடவி, தயாரிக்கப்பட்ட சாண்ட்விச்சை டோஸ்ட் செய்யவும்.
நான் ஒரு ஸ்டவ் டாப் சாண்ட்விச் டோஸ்டரைப் பயன்படுத்தினேன். டோஸ்டரில் சிறிது வெண்ணெய் தடவி, தயாரிக்கப்பட்ட சாண்ட்விச்சை வைத்து இருபுறமும் பொன்னிறமாகும் வரை டோஸ்ட் செய்யவும். உங்களிடம் டோஸ்டர் இல்லையென்றால், அதை நன்றாக அழுத்துவதன் மூலம் இதை ஒரு தவாவில் செய்யலாம்.
மீதமுள்ள ரொட்டிக்கும் இதே செயல்முறையை மீண்டும் செய்யவும்.</t>
  </si>
  <si>
    <t>https://encrypted-tbn0.gstatic.com/images?q=tbn:ANd9GcRspgkYotogH29OfbhnyClxCqusNBbqt1GxuA&amp;s</t>
  </si>
  <si>
    <t>Steamed Vegetable Salad</t>
  </si>
  <si>
    <t>வேகவைத்த காய்கறி சாலட்</t>
  </si>
  <si>
    <t xml:space="preserve">   Beans -6-7,
   Carrot -2,
   Potato -1 small,
   Turnip -1,
   Broccoli florets -10,
   Cauliflower florets -10,
   Sweet Corn -1/2 ,
   Peas -1/4 cup,
   Lemon juice to taste,
   Pepper powder to taste,
   Salt as needed,
   Roasted Sesame seeds,
   Coriander leaves ,
   Dried Basil -1 tsp,
   Oregano -1/2 tsp.</t>
  </si>
  <si>
    <t>பீன்ஸ் -6-7,
கேரட் -2,
உருளைக்கிழங்கு -1 சிறியது,
டர்னிப் -1,
ப்ரோக்கோலி பூக்கள் -10,
காலிஃபிளவர் பூக்கள் -10,
இனிப்பு சோளம் -1/2,
பட்டாணி -1/4 கப்,
சுவைக்கு எலுமிச்சை சாறு,
சுவைக்கு மிளகு தூள்,
தேவைக்கு உப்பு,
வறுத்த எள்,
கொத்தமல்லி இலைகள்,
உலர்ந்த துளசி -1 தேக்கரண்டி,
ஆர்கனோ -1/2 தேக்கரண்டி.</t>
  </si>
  <si>
    <t>Boil water in a pan or wok, when it starts boiling, place the steamer (bamboo or stainless steel) or Tupperware Steam it . The steam from the boiling water cooks the vegetables.
I placed vegetables that need longer time to cook in the lower container and vegetables that need less time to get cooked in the upper container. I steamed all the vegetables in one go. It saved a lot of time and fuel. Steam the vegetable covered until tender but should retain its crunchiness.
So do not over cook the vegetables. Check in between to see if the vegetables are done. Except beans, the rest of the vegetables were ready in 6 minutes. Beans needed 2-3 minutes more than the rest of the vegetables.</t>
  </si>
  <si>
    <t>ஒரு பாத்திரத்தில் அல்லது வாணலியில் தண்ணீரை கொதிக்க வைக்கவும், அது கொதிக்க ஆரம்பித்ததும், ஸ்டீமர் (மூங்கில் அல்லது ஸ்டெயின்லெஸ் ஸ்டீல்) அல்லது டப்பர்வேரை வைக்கவும். கொதிக்கும் நீரிலிருந்து வரும் நீராவி காய்கறிகளை சமைக்கிறது.
சமைக்க அதிக நேரம் தேவைப்படும் காய்கறிகளை கீழ் கொள்கலனில் வைத்தேன், சமைக்க குறைந்த நேரம் தேவைப்படும் காய்கறிகளை மேல் கொள்கலனில் வைத்தேன். அனைத்து காய்கறிகளையும் ஒரே நேரத்தில் வேகவைத்தேன். இது நிறைய நேரத்தையும் எரிபொருளையும் மிச்சப்படுத்தியது. காய்கறியை மென்மையாகும் வரை மூடி வைத்து வேகவைக்கவும், ஆனால் அதன் மொறுமொறுப்பைத் தக்க வைத்துக் கொள்ளவும்.
எனவே காய்கறிகளை அதிகமாக சமைக்க வேண்டாம். காய்கறிகள் வெந்துவிட்டதா என்று இடையில் பாருங்கள். பீன்ஸ் தவிர, மீதமுள்ள காய்கறிகள் 6 நிமிடங்களில் தயாராகிவிட்டன. பீன்ஸ் மற்ற காய்கறிகளை விட 2-3 நிமிடங்கள் அதிகமாக வெந்தது.</t>
  </si>
  <si>
    <t>https://love.refreshmyhealth.com/wp-content/uploads/2022/08/steamed-vegetable-salad-lunch-box-healthy-delicious-lunch_764-img_8332-crop-lrcc.jpg</t>
  </si>
  <si>
    <t>Oats Bisibelabath</t>
  </si>
  <si>
    <t>ஓட்ஸ் பிசிபேலாபாத்</t>
  </si>
  <si>
    <t xml:space="preserve">   Onion – 1 medium size,
   Tomato – 2 medium size,
   Mixed Vegetables – 1 cup,
   Tamarind – Marble sized ball,
   Turmeric Powder – 1/4 tsp,
   Tur Dal – 1/4 cup,
   Quick cooking Oats - 3/4 cup,
   Bisi bela bath Powder -2 1/2 -3 tbsp,
   Salt needed,
   Oil – 1 1/2 tbsp,
   Mustard seeds -1 tsp,
   Fenugreek seeds -1/4 tsp,
   Red chilli -1,
   Asafoetida– a pinch,
   Curry Leaves -2 sprigs,
   Ghee/clarified butter -1-2 tsp,
   Coriander leaves.</t>
  </si>
  <si>
    <t>வெங்காயம் - 1 நடுத்தர அளவு,
தக்காளி - 2 நடுத்தர அளவு,
கலப்பு காய்கறிகள் - 1 கப்,
புளி - பளிங்கு அளவு பந்து,
மஞ்சள் தூள் - 1/4 தேக்கரண்டி,
துளசி பருப்பு - 1/4 கப்,
விரைவு சமையல் ஓட்ஸ் - 3/4 கப்,
பிசி பேலா பாத் பவுடர் -2 1/2 -3 தேக்கரண்டி,
உப்பு தேவை,
எண்ணெய் - 1 1/2 தேக்கரண்டி,
கடுகு -1 தேக்கரண்டி,
வெந்தயம் -1/4 தேக்கரண்டி,
சிவப்பு மிளகாய் -1,
பெருங்காயம் - ஒரு சிட்டிகை,
கறிவேப்பிலை -2 தளிர்கள்,
நெய்/தெளிவுபடுத்திய வெண்ணெய் -1-2 தேக்கரண்டி,
கொத்தமல்லி இலைகள்.</t>
  </si>
  <si>
    <t>Heat oil in a pan, add mustard seeds, when it splutters, add fenugreek seeds, red chilli, hing and curry leaves.
Then add chopped onions and saute until it turns transparent.
Then add chopped tomatoes, turmeric powder and saute until tomatoes turn soft.
Add tamarind extract, bisibelabath powder, salt needed and boil until the raw flavor of the tamarind goes.
Add the par boiled vegetables, cooked dal, oats and a cup of water. Mix well to prevent forming lumps.
Cover and cook on low flame for 4-5 minutes, stirring in between to prevent it from getting burnt.
You can add more water if the consistency is thick. The consistency of bisibelabath should be semi solid, so add water accordingly. Once done remove from heat, drizzle a tsp of ghee and garnish with finely chopped coriander leaves.
Serve hot with raita or papads or homemade potato chips.</t>
  </si>
  <si>
    <t>ஒரு கடாயில் எண்ணெயை சூடாக்கி, கடுகு சேர்த்து, அது வதங்கியதும், வெந்தயம், சிவப்பு மிளகாய், கீரை மற்றும் கறிவேப்பிலை சேர்க்கவும்.
பின்னர் நறுக்கிய வெங்காயத்தைச் சேர்த்து அது வெளிப்படையானதாக மாறும் வரை வதக்கவும்.
பின்னர் நறுக்கிய தக்காளி, மஞ்சள் தூள் சேர்த்து தக்காளி மென்மையாகும் வரை வதக்கவும்.
புளி சாறு, பிசிபெலாபாத் தூள், தேவையான அளவு உப்பு சேர்த்து புளியின் பச்சை சுவை போகும் வரை கொதிக்க வைக்கவும்.
வேகவைத்த காய்கறிகள், சமைத்த பருப்பு, ஓட்ஸ் மற்றும் ஒரு கப் தண்ணீர் சேர்க்கவும். கட்டிகள் உருவாகாமல் இருக்க நன்கு கலக்கவும்.
மூடி வைத்து குறைந்த தீயில் 4-5 நிமிடங்கள் சமைக்கவும், இடையில் கிளறி, அது எரியாமல் இருக்கவும்.
அடர்த்தியாக இருந்தால் நீங்கள் அதிக தண்ணீர் சேர்க்கலாம். பிசிபெலாபாத்தின் நிலைத்தன்மை அரை திடமாக இருக்க வேண்டும், எனவே அதற்கேற்ப தண்ணீரை சேர்க்கவும். தயாரானதும், ஒரு தேக்கரண்டி நெய்யைத் தூவி, இறுதியாக நறுக்கிய கொத்தமல்லி இலைகளால் அலங்கரிக்கவும்.
ரைத்தா அல்லது பப்படாஸ் அல்லது வீட்டில் தயாரிக்கப்பட்ட உருளைக்கிழங்கு சிப்ஸுடன் சூடாக பரிமாறவும்.</t>
  </si>
  <si>
    <t>https://telugu.cdn.zeenews.com/telugu/sites/default/files/styles/zm_700x400/public/2024/07/03/336013-untitled-design-1.jpg?itok=tNnJ7Mgp</t>
  </si>
  <si>
    <t>Refried Beans</t>
  </si>
  <si>
    <t xml:space="preserve">
வறுத்த பீன்ஸ்</t>
  </si>
  <si>
    <t xml:space="preserve">  Pinto Beans - 3/4 cup,
  Finely chopped onions – 1/2 cup,
   Garlic paste -1/2 tsp,
   Fresh Tomato puree -1 cup,
   Tomato Ketchup -2 tbsp,
   Chilli Powder – 1/2 – 3/4 tsp,
   Cumin Powder -1 tsp,
   Salt to taste,
   Oil -1 .</t>
  </si>
  <si>
    <t>பின்டோ பீன்ஸ் - 3/4 கப்,
இறுதியாக நறுக்கிய வெங்காயம் - 1/2 கப்,
பூண்டு விழுது - 1/2 டீஸ்பூன்,
புதிய தக்காளி கூழ் - 1 கப்,
தக்காளி கெட்ச்அப் - 2 டீஸ்பூன்,
மிளகாய் தூள் - 1/2 – 3/4 டீஸ்பூன்,
சீரகப் பொடி - 1 டீஸ்பூன்,
சுவைக்கு உப்பு,
எண்ணெய் - 1.</t>
  </si>
  <si>
    <t>Heat oil in a pan, add finely chopped onions and saute until it turns transparent.
Add garlic paste and saute for a few more seconds. Add tomato puree, chilli powder, cumin powder, tomato ketchup and salt needed.
how to make refried beans 
Cook for a few minutes, then add the cooked beans along with the water and cook on high flame.
When it starts boiling, simmer and cook until the sauce thickens. Homemade delicious and healthy refried beans is ready to be served.</t>
  </si>
  <si>
    <t>ஒரு கடாயில் எண்ணெயை சூடாக்கி, இறுதியாக நறுக்கிய வெங்காயத்தைச் சேர்த்து, அது வெளிப்படையானதாக மாறும் வரை வதக்கவும்.
பூண்டு விழுதைச் சேர்த்து இன்னும் சில வினாடிகள் வதக்கவும். தக்காளி கூழ், மிளகாய் தூள், சீரகப் பொடி, தக்காளி கெட்ச்அப் மற்றும் தேவையான உப்பு சேர்க்கவும்.
வறுத்த பீன்ஸ் செய்வது எப்படி
சில நிமிடங்கள் சமைத்து, பின்னர் சமைத்த பீன்ஸை தண்ணீருடன் சேர்த்து அதிக தீயில் சமைக்கவும்.
கொதிக்க ஆரம்பித்ததும், கொதிக்க வைத்து, சாஸ் கெட்டியாகும் வரை சமைக்கவும். வீட்டில் சுவையான மற்றும் ஆரோக்கியமான வறுத்த பீன்ஸ் பரிமாற தயாராக உள்ளது.</t>
  </si>
  <si>
    <t>https://encrypted-tbn0.gstatic.com/images?q=tbn:ANd9GcR3wkSFPiIUUqzEsaWWwO2e-klpgrkCG5hMKw&amp;s</t>
  </si>
  <si>
    <t>Aval Sakkarai Pongal</t>
  </si>
  <si>
    <t>அவல் சக்கரை பொங்கல்</t>
  </si>
  <si>
    <t xml:space="preserve">   Poha – 1/2 cup,
   Moong dal – 2 1/2 tbsp,
   Grated Jaggery – 1/3 cup,
   Milk – 2-3 tbsp,
   Cashew nuts -6-7,
   Cardamom powder – 1/4 tsp,
   Raisins – 10-15,
   Ghee - 1/2 tsp.</t>
  </si>
  <si>
    <t>போஹா - 1/2 கப்,
பாசிப்பருப்பு - 2 1/2 டீஸ்பூன்,
துருவிய வெல்லம் - 1/3 கப்,
பால் - 2-3 டீஸ்பூன்,
முந்திரி பருப்பு - 6-7,
ஏலக்காய் தூள் - 1/4 டீஸ்பூன்,
திராட்சை - 10-15,
நெய் - 1/2 டீஸ்பூன்.</t>
  </si>
  <si>
    <t>Boil jaggery with 1/2 tsp of ghee, when it starts boiling, add the cooked and mashed dal. Let it cook on medium flame until it slightly thickens.
Fluff the aval with a fork and add it to the jaggery+dal mixture.
Once it thickens slightly, add milk (milk is added to prevent dryness) and cook for a further 2-3 minutes.
Add cashew nuts, raisins, cardamom powder, remaining ghee, mix well and remove from heat.
This pongal tends to thicken as it cools, so remove from heat when it is semi thick in consistency.
Serve this healthy and delicious pongal hot drizzled with a little ghee if necessary.</t>
  </si>
  <si>
    <t>வெல்லத்தை 1/2 டீஸ்பூன் நெய்யுடன் சேர்த்து கொதிக்க விடவும், கொதிக்க ஆரம்பித்ததும், சமைத்த மற்றும் மசித்த பருப்பைச் சேர்க்கவும். அது சிறிது கெட்டியாகும் வரை மிதமான தீயில் சமைக்கவும்.
அவலை ஒரு முள் கரண்டியால் பிசைந்து, வெல்லம்+பருப்பு கலவையில் சேர்க்கவும்.
அது சிறிது கெட்டியானதும், பால் சேர்த்து (வறட்சியைத் தடுக்க பால் சேர்க்கப்படுகிறது) மேலும் 2-3 நிமிடங்கள் சமைக்கவும்.
முந்திரி பருப்பு, திராட்சை, ஏலக்காய் தூள், மீதமுள்ள நெய் சேர்த்து நன்கு கலந்து, அடுப்பிலிருந்து இறக்கவும்.
இந்தப் பொங்கல் ஆறும்போது கெட்டியாகிவிடும், எனவே பாதி கெட்டியாக இருக்கும்போது அடுப்பிலிருந்து இறக்கவும்.
தேவைப்பட்டால் சிறிது நெய்யுடன் தெளித்து சூடாகப் பரிமாறவும்.</t>
  </si>
  <si>
    <t>https://www.kamalascorner.com/wp-content/uploads/2025/02/aval-sarkarai-pongal.jpg</t>
  </si>
  <si>
    <t>Aval Ven Pongal</t>
  </si>
  <si>
    <t>அவல் வெண் பொங்கல்</t>
  </si>
  <si>
    <t xml:space="preserve">   Aval/Poha – 1 cup,
   Split green gram dal– 1/4 cup,
   Turmeric Powder – a pinch,
   Whole black pepper – 1 tbsp,
   Cumin seeds – 2 tsp,
   Cashew nuts – 6-8,
   Salt to taste,
   Oil – 2 tbsp,
   Ghee – 4 tsp,
   Hing – a generous pinch,
   Ginger – 1 inch piece ,
   Green chilli – 1 ,
   Curry leaves – 2 sprigs.</t>
  </si>
  <si>
    <t>அவல்/போஹா - 1 கப்,
பச்சைப் பயறு - 1/4 கப்,
மஞ்சள் தூள் - ஒரு சிட்டிகை,
முழு கருப்பு மிளகு - 1 டீஸ்பூன்,
சீரகம் - 2 டீஸ்பூன்,
முந்திரி பருப்பு - 6-8,
ருசிக்க உப்பு,
எண்ணெய் - 2 டீஸ்பூன்,
நெய் - 4 டீஸ்பூன்,
பெருங்காயம் - ஒரு சிட்டிகை,
இஞ்சி - 1 அங்குல துண்டு,
பச்சை மிளகாய் - 1 ,
கறிவேப்பிலை - 2 தண்டுகள்.</t>
  </si>
  <si>
    <t>Heat oil + ghee, add hing, finely chopped ginger, green chillies and curry leaves. Saute for a few seconds.
Then add the ground pepper + cumin powder and saute for a few more seconds.
Add the cooked dal and salt needed. Then add the aval and mix well.
Cook for a few seconds until everything gets blended well. Add cashew nuts and remove from heat.
l 
Serve aval ven pongal with chutney or sambar.</t>
  </si>
  <si>
    <t>எண்ணெய் + நெய்யை சூடாக்கி, அவல், இறுதியாக நறுக்கிய இஞ்சி, பச்சை மிளகாய் மற்றும் கறிவேப்பிலை சேர்க்கவும். சில நொடிகள் வதக்கவும்.
பின்னர் அரைத்த மிளகு + சீரகப் பொடியைச் சேர்த்து மேலும் சில நொடிகள் வதக்கவும்.
சமைத்த பருப்பைச் சேர்த்து தேவையான உப்பு சேர்க்கவும். பின்னர் அவலைச் சேர்த்து நன்கு கலக்கவும்.
அனைத்தும் நன்றாகக் கலக்கும் வரை சில நொடிகள் சமைக்கவும். முந்திரி பருப்புகளைச் சேர்த்து அடுப்பிலிருந்து இறக்கவும்.
சட்னி அல்லது சாம்பாருடன் அவல் வெண் பொங்கலைப் பரிமாறவும்.</t>
  </si>
  <si>
    <t>https://encrypted-tbn0.gstatic.com/images?q=tbn:ANd9GcQR_MuIdx2PAbRYJs8cEpHY3jU8jh95p5z93w&amp;s</t>
  </si>
  <si>
    <t xml:space="preserve">   Eggs -2,
   Onion finely chopped -1/2 cup,
   Tomato -1 big,
   Green chilli -1 ,
   Ginger Garlic paste -1/2 tsp,
   Salt to taste,
   Chilli powder -1/2 tsp,
   Coriander powder -1 tsp,
   Turmeric powder- 1/4 tsp.
  garam masala powder-1/2 tsp,
   Oil -1 tbsp,
   Cumin seeds - 1 tsp,
   Coriander leaves.</t>
  </si>
  <si>
    <t>முட்டை -2,
வெங்காயம் பொடியாக நறுக்கியது -1/2 கப்,
தக்காளி -1 பெரியது,
பச்சை மிளகாய் -1 ,
இஞ்சி பூண்டு விழுது -1/2 தேக்கரண்டி,
ருசிக்க உப்பு,
மிளகாய் தூள் -1/2 தேக்கரண்டி,
கொத்தமல்லி தூள் -1 தேக்கரண்டி,
மஞ்சள் தூள் - 1/4 தேக்கரண்டி.
கரம் மசாலா தூள் -1/2 தேக்கரண்டி,
எண்ணெய் -1 தேக்கரண்டி,
சீரகம் - 1 தேக்கரண்டி,
கொத்தமல்லி இலைகள்.</t>
  </si>
  <si>
    <t>Heat oil, add cumin seeds, when it sizzles, add finely chopped onion and green chillies.
Saute until onions turn slightly brown. Add ginger garlic paste and saute for a few more minutes.
Then add tomatoes, all the spice powder and salt needed.
Cook until tomatoes turn soft and the raw smell of the spice powder goes.
Add the beaten eggs and saute for 2-3 minutes on medium heat until the eggs are cooked and scrambled.
Garnish with coriander leaves and serve hot with bread toast, rice, parathas or chapatis.</t>
  </si>
  <si>
    <t>https://encrypted-tbn0.gstatic.com/images?q=tbn:ANd9GcRgpDPizX6nGLyzXnHWHrHm6J38ac1u0mGgYw&amp;s</t>
  </si>
  <si>
    <t>Kadappa</t>
  </si>
  <si>
    <t xml:space="preserve">
கடப்பா</t>
  </si>
  <si>
    <t xml:space="preserve">   Moong dal -1/4 cup,
   Turmeric powder -1/4 tsp,
   Onion -1,
   Garlic -2 cloves,
   Green chilli -1,
   Ginger Garlic paste -1 tsp,
   Potato -1 medium size,
   Salt to taste,
   Grated coconut – 3 tbsp,
   Fried Gram/pottu kadalai- 1 tbsp,
   Green chilli -2,
   kasa kasa -1/2 tsp ,
   Garlic -1 clove,
   Oil -1 1/2 tbsp,
   Cinnamon -1 inch piece,
   Cloves -2,
   Fennel seeds -1/2 tsp.</t>
  </si>
  <si>
    <t>பாசிப்பருப்பு - 1/4 கப்,
மஞ்சள் தூள் - 1/4 தேக்கரண்டி,
வெங்காயம் - 1,
பூண்டு - 2 பல்,
பச்சை மிளகாய் - 1,
இஞ்சி பூண்டு விழுது - 1 தேக்கரண்டி,
உருளைக்கிழங்கு - 1 நடுத்தர அளவு,
ருசிக்க உப்பு,
துருவிய தேங்காய் - 3 தேக்கரண்டி,
வறுத்த கடலை / பொட்டு கடலை - 1 தேக்கரண்டி,
பச்சை மிளகாய் - 2,
கசா கசா - 1/2 தேக்கரண்டி,
பூண்டு - 1 பல்,
எண்ணெய் - 1 1/2 தேக்கரண்டி,
இலவங்கப்பட்டை - 1 அங்குல துண்டு,
கிராம்பு - 2,
வெந்தயம் - 1/2 தேக்கரண்டி.</t>
  </si>
  <si>
    <t>Heat oil in a kadai, add cloves, cinnamon and fennel seeds. When it splutters, add thinly sliced onions, finely chopped garlic, green chilli and saute until onions turn transparent.
Add ginger garlic paste and saute for a few more minutes.
Add cooked dal and a cup of water.
When it starts boiling, add the boiled potatoes, salt needed and the ground paste.
Simmer for 5 minutes and remove from flame. Garnish with coriander leaves and serve hot with idli, dosa or poori.</t>
  </si>
  <si>
    <t>ஒரு கடாயில் எண்ணெயை சூடாக்கி, கிராம்பு, இலவங்கப்பட்டை மற்றும் பெருஞ்சீரகம் சேர்க்கவும். அது வதங்கியதும், மெல்லியதாக நறுக்கிய வெங்காயம், இறுதியாக நறுக்கிய பூண்டு, பச்சை மிளகாய் சேர்த்து வெங்காயம் வெளிப்படையானதாக மாறும் வரை வதக்கவும்.
இஞ்சி பூண்டு விழுது சேர்த்து இன்னும் சில நிமிடங்கள் வதக்கவும்.
சமைத்த பருப்பை சேர்த்து ஒரு கப் தண்ணீர் சேர்க்கவும்.
கொதிக்க ஆரம்பித்ததும், வேகவைத்த உருளைக்கிழங்கு, தேவையான உப்பு மற்றும் அரைத்த விழுது சேர்க்கவும்.
5 நிமிடங்கள் கொதிக்க வைத்து அடுப்பிலிருந்து இறக்கி, கொத்தமல்லி இலைகளால் அலங்கரித்து, இட்லி, தோசை அல்லது பூரியுடன் சூடாகப் பரிமாறவும்.</t>
  </si>
  <si>
    <t>https://encrypted-tbn0.gstatic.com/images?q=tbn:ANd9GcQFKB_vnIiaG0aJJQjFAlY2QGAJ8z7oCjYvXa6o6ZSn-3rZsn-pD95bnGZTqSdRpHqqNFY&amp;usqp=CAU</t>
  </si>
  <si>
    <t>Baby Corn Manchurian</t>
  </si>
  <si>
    <t xml:space="preserve">
பேபி கார்ன் மஞ்சூரியன்</t>
  </si>
  <si>
    <t xml:space="preserve">   Baby corn -12,
   maida -1 1/2 tbsp,
   Cornflour -2 tbsp,
   Chilli powder -3/4 tsp,
   Ginger garlic paste -1/2 tsp,
   Salt to taste,
   Oil -2 tbsp,
   Garlic – 4 cloves,
   Onion -3/4 cupx,
   Green chilli -1
   Capsicum -1 medium size,
   Spring onion greens -2 tbsp,
   Soya sauce -2-3 tsp,
   Chilli Garlic sauce -2 tsp,
   Cornflour -1 tbsp,
   Pepper powder to taste,
   Salt to taste,
   Spring onion greens.</t>
  </si>
  <si>
    <t>பேபி கார்ன் -12,
மைதா -1 1/2 டீஸ்பூன்,
கார்ன்ஃப்ளார் -2 டீஸ்பூன்,
மிளகாய்த்தூள் -3/4 டீஸ்பூன்,
இஞ்சி பூண்டு விழுது -1/2 டீஸ்பூன்,
ருசிக்க உப்பு,
எண்ணெய் -2 டீஸ்பூன்,
பூண்டு - 4 பல்,
வெங்காயம் -3/4 கப்,
பச்சை மிளகாய் -1
கேப்சிகம் -1 நடுத்தர அளவு,
வெங்காய கீரைகள் -2 டீஸ்பூன்,
சோயா சாஸ் -2-3 டீஸ்பூன்,
மிளகாய் பூண்டு சாஸ் -2 டீஸ்பூன்,
கார்ன்ஃப்ளார் -1 டீஸ்பூன்,
மிளகு தூள் - ருசிக்க,
உப்பு,
வெங்காய கீரைகள்.</t>
  </si>
  <si>
    <t>Clean and cut the baby corn into 3-4 pieces. Finely chop green chillies, garlic, capsicum and onions.
Bring water to rolling boil. Add baby corn, salt needed, switch off the flame and keep it covered for 10 minutes.
Drain the water completely, add cornflour, maida, salt, (remember we have added salt to baby corn while par boiling it, so add accordingly) chilli powder, ginger garlic paste to the baby corn and mix it well. Let it sit or marinate for 15 minutes. (personally I suggest marinating the baby corns as it tastes delicious otherwise it is tasteless in the gravy).
After 15-20 minutes, heat oil and deep fry the baby corns. Remove from oil with a slotted ladle and place it on a colander or paper towel to drain excess oil.</t>
  </si>
  <si>
    <t>பேபி கார்னை சுத்தம் செய்து 3-4 துண்டுகளாக நறுக்கவும். பச்சை மிளகாய், பூண்டு, கேப்சிகம் மற்றும் வெங்காயத்தை நன்றாக நறுக்கவும்.
தண்ணீரை கொதிக்க விடவும். பேபி கார்ன், தேவையான அளவு உப்பு சேர்த்து, தீயை அணைத்து, 10 நிமிடங்கள் மூடி வைக்கவும்.
தண்ணீரை முழுவதுமாக வடித்து, கார்ன்ஃப்ளார், மைதா, உப்பு, (பேபி கார்னை வேக வைக்கும்போது உப்பு சேர்த்துள்ளோம் என்பதை நினைவில் கொள்ளுங்கள், அதன்படி சேர்க்கவும்) மிளகாய் தூள், இஞ்சி பூண்டு விழுது ஆகியவற்றை பேபி கார்னுடன் சேர்த்து நன்கு கலக்கவும். அதை 15 நிமிடங்கள் ஊற வைக்கவும் அல்லது ஊற வைக்கவும். (தனிப்பட்ட முறையில் பேபி கார்ன்களை ஊற வைக்க பரிந்துரைக்கிறேன், ஏனெனில் அது சுவையாக இருக்கும், இல்லையெனில் கிரேவியில் சுவை இருக்காது).
15-20 நிமிடங்களுக்குப் பிறகு, எண்ணெயை சூடாக்கி, பேபி கார்னை ஆழமாக வறுக்கவும். ஒரு துளையிடப்பட்ட கரண்டியால் எண்ணெயிலிருந்து அகற்றி, அதிகப்படியான எண்ணெயை வடிகட்ட ஒரு வடிகட்டி அல்லது காகித துண்டு மீது வைக்கவும்.</t>
  </si>
  <si>
    <t>https://encrypted-tbn0.gstatic.com/images?q=tbn:ANd9GcQfYSImGFbGg6pMT-qx5G_QULPa7-bIgNMqdQ&amp;s</t>
  </si>
  <si>
    <t>Lauki Chana Dal ki Sabji</t>
  </si>
  <si>
    <t>லௌகி சனா தால் கி சப்ஜி</t>
  </si>
  <si>
    <t xml:space="preserve">   Bottle Gourd-Lauki - 3 cups,
   Bengal gram l- 1/3cup,
   Onion -1/2 cup,
   Green chillies -2 slit,
   Tomato -1 or 1/2 cup,
   Ginger-Garlic Paste,
   Salt needed,
   Turmeric powder -1/4 tsp,
   Chilli Powder -1 tsp,
   Garam masala powder - 3/4 tsp
   amchur powder -1/2 tsp,
   Oil -3 tbsp,
   Cumin seeds -1 tsp,
   Red Chilli -1,
   Asafoetida,
   Coriander leaves.</t>
  </si>
  <si>
    <t>சுரைக்காய் - லௌகி - 3 கப்,
வங்காள கிராம் - 1/3 கப்,
வெங்காயம் - 1/2 கப்,
பச்சை மிளகாய் - 2 துண்டுகள்,
தக்காளி - 1 அல்லது 1/2 கப்,
இஞ்சி-பூண்டு விழுது,
உப்பு தேவை,
மஞ்சள் தூள் - 1/4 தேக்கரண்டி,
மிளகாய் தூள் - 1 தேக்கரண்டி,
கரம் மசாலா தூள் - 3/4 தேக்கரண்டி
ஆம்சூர் தூள் - 1/2 தேக்கரண்டி,
எண்ணெய் - 3 தேக்கரண்டி,
சீரகம் - 1 தேக்கரண்டி,
சிவப்பு மிளகாய் - 1,
பெருங்காயம்,
கொத்தமல்லி இலைகள்.</t>
  </si>
  <si>
    <t>In a small cooker or pressure pan, heat oil, add cumin seeds, when it splutters, add hing and red chillies.
Then add chopped onions, green chillies and curry leaves.
Saute until onions turn transparent. Then add ginger garlic paste and saute for a few more minutes.
Add chopped tomatoes, turmeric powder, chilli powder, amchur powder, kitchen king masala and salt needed.
Saute for a few seconds, then add chopped bottle gourd, channa dal and mix well.
Add 3/4 cup of water and pressure cook for 3 whistles.
Once the pressure subsides, open the cooker, mix the contents and simmer for 5-6 minutes.You can adjust the consistency of the gravy as preferred.
Garnish with coriander leaves and serve hot with parathas or chapati.
This recipe is pretty simple with full of flavors and goodness.</t>
  </si>
  <si>
    <t>ஒரு சிறிய குக்கர் அல்லது பிரஷர் பானில், எண்ணெயை சூடாக்கி, சீரக விதைகளைச் சேர்த்து, அது வதங்கியதும், கீல் மற்றும் சிவப்பு மிளகாய்களைச் சேர்க்கவும்.
பின்னர் நறுக்கிய வெங்காயம், பச்சை மிளகாய் மற்றும் கறிவேப்பிலை சேர்க்கவும்.
வெங்காயம் வெளிப்படையானதாக மாறும் வரை வதக்கவும். பின்னர் இஞ்சி பூண்டு விழுது சேர்த்து மேலும் சில நிமிடங்கள் வதக்கவும்.
நறுக்கிய தக்காளி, மஞ்சள் தூள், மிளகாய் தூள், அம்சூர் பவுடர், கிச்சன் கிங் மசாலா மற்றும் தேவையான அளவு உப்பு சேர்க்கவும்.
சில நொடிகள் வதக்கி, பின்னர் நறுக்கிய சுரைக்காய், சன்னா பருப்பை சேர்த்து நன்கு கலக்கவும்.
3/4 கப் தண்ணீர் சேர்த்து 3 விசில் வரும் வரை பிரஷர் சமைக்கவும்.
பிரஷர் குறைந்தவுடன், குக்கரைத் திறந்து, உள்ளவற்றைக் கலந்து 5-6 நிமிடங்கள் கொதிக்க வைக்கவும். கிரேவியின் நிலைத்தன்மையை நீங்கள் விரும்பியபடி சரிசெய்யலாம்.
கொத்தமல்லி இலைகளால் அலங்கரித்து, பரோட்டாக்கள் அல்லது சப்பாத்தியுடன் சூடாகப் பரிமாறவும்.
இந்த செய்முறை மிகவும் எளிமையானது, சுவைகள் மற்றும் நன்மைகள் நிறைந்தது.</t>
  </si>
  <si>
    <t>https://bhojmasale.com/cdn/shop/articles/lauki-chana-dal-ki-sabji-553344_1024x1024.jpg?v=1739153119</t>
  </si>
  <si>
    <t>Baby Corn Pepper Fry</t>
  </si>
  <si>
    <t>பேபி கார்ன் மிளகு வறுவல்</t>
  </si>
  <si>
    <t xml:space="preserve">   Baby Corn- 10-12,
   Onion -1 cup,
   Garlic – 6 cloves,
   Chilli powder -1/2 tsp,
   Pepper Powder to taste,
   Salt to taste,
   Oil -3 tsp,
   Mustard seeds,
   Curry leaves.
</t>
  </si>
  <si>
    <t>பேபி கார்ன்- 10-12,
வெங்காயம் -1 கப்,
பூண்டு -6 பல்,
மிளகாய் தூள் -1/2 டீஸ்பூன்,
ருசிக்க மிளகு தூள்,
ருசிக்க உப்பு,
எண்ணெய் -3 டீஸ்பூன்,
கடுகு,
கறிவேப்பிலை.</t>
  </si>
  <si>
    <t>Heat oil in a kadai or pan, add mustard seeds, when it splutters, add curry leaves.
Then add chopped onions, garlic and saute until onions turn transparent.
Add par boiled baby corn, chilli powder, pepper powder and salt to taste.
Cook for a further 5-6 minutes on medium flame  until everything  gets blended well.
Serve with steamed rice or fried rice.</t>
  </si>
  <si>
    <t>ஒரு கடாயில் அல்லது வாணலியில் எண்ணெயை சூடாக்கி, கடுகு சேர்த்து, அது வதங்கியதும், கறிவேப்பிலை சேர்க்கவும்.
பின்னர் நறுக்கிய வெங்காயம், பூண்டு சேர்த்து வெங்காயம் வெளிப்படையானதாக மாறும் வரை வதக்கவும்.
வேகவைத்த பேபி கார்ன், மிளகாய் தூள், மிளகு தூள் மற்றும் சுவைக்க உப்பு சேர்க்கவும்.
எல்லாம் நன்றாகக் கலக்கும் வரை மிதமான தீயில் மேலும் 5-6 நிமிடங்கள் சமைக்கவும்.
வேகவைத்த அரிசி அல்லது வறுத்த அரிசியுடன் பரிமாறவும்.</t>
  </si>
  <si>
    <t>https://encrypted-tbn0.gstatic.com/images?q=tbn:ANd9GcTYWdZSqq9_IA160UnqcAuTW6ZkP_KzdcElFw&amp;s</t>
  </si>
  <si>
    <t xml:space="preserve">
அன்னாசி கேசரி</t>
  </si>
  <si>
    <t xml:space="preserve">   Rava-sooji -1/2 cup,
   Sugar -1 cup,
   Ghee  -1/2 cup,
   Water -1 1/2 cup,
   Pineapple -chopped -1/2 cup,
   Cashew nuts - 10,
   Cardamom powder -4-5 powdered,
   Yellow food color or kesari color – 2 drops or a pinch.</t>
  </si>
  <si>
    <t>ரவா-சூஜி - 1/2 கப்,
சர்க்கரை - 1 கப்,
நெய் - 1/2 கப்,
தண்ணீர் - 1 1/2 கப்,
அன்னாசி - நறுக்கியது - 1/2 கப்,
முந்திரி பருப்பு - 10,
ஏலக்காய் தூள் - 4-5 பொடி,
மஞ்சள் உணவு நிறம் அல்லது கேசரி நிறம் - 2 சொட்டுகள் அல்லது ஒரு சிட்டிகை.</t>
  </si>
  <si>
    <t>Heat the rest of the ghee and fry the rava in ghee for 2-3 minutes.
Let the rava get roasted slightly in ghee.
Now add the chopped pineapple and mix well.
Bring 1 1/2 cup of water to boil, add a pinch of food color or kesari powder in it.
Now add the boiling water to the rava, stirring continuously. Cook the rava on medium flame.
Once all the water has evaporated, add sugar. When you add sugar, the mixture will turn watery again.
Cook the rava well on medium or low flame.
When it starts leaving the sides of the pan (picture below) add fried cashew nuts,cardamom powder and switch off the heat.
As it cools it will thicken. This Kesari stays good at room temperature for 2 days and for nearly 4-5 days in the refrigerator. 
The second day it tastes even better with a nice pineapple flavor.
You can even make slices as shown below on the second day. Pack into a baking pan after preparing kesari, sprinkle or place cashew nuts on the top. Leave it to cool. Then  you can cut it into slices.</t>
  </si>
  <si>
    <t>மீதமுள்ள நெய்யை சூடாக்கி, ரவையை நெய்யில் 2-3 நிமிடங்கள் வறுக்கவும்.
ரவையை நெய்யில் சிறிது வறுக்கவும்.
இப்போது நறுக்கிய அன்னாசிப்பழத்தைச் சேர்த்து நன்கு கலக்கவும்.
1 1/2 கப் தண்ணீரை கொதிக்க விடவும், அதில் ஒரு சிட்டிகை உணவு நிறம் அல்லது கேசரி தூள் சேர்க்கவும்.
இப்போது ரவையில் கொதிக்கும் நீரைச் சேர்த்து, தொடர்ந்து கிளறவும். ரவையை மிதமான தீயில் சமைக்கவும்.
தண்ணீர் அனைத்தும் ஆவியாகியதும், சர்க்கரை சேர்க்கவும். சர்க்கரை சேர்க்கும்போது, ​​கலவை மீண்டும் தண்ணீராக மாறும்.
ரவையை நடுத்தர அல்லது குறைந்த தீயில் நன்கு சமைக்கவும்.
அது பாத்திரத்தின் ஓரங்களை விட்டு வெளியேறத் தொடங்கியதும் (கீழே உள்ள படம்) வறுத்த முந்திரி, ஏலக்காய் தூள் சேர்த்து அடுப்பை அணைக்கவும்.
அது குளிர்ந்ததும் கெட்டியாகும். இந்த கேசரி அறை வெப்பநிலையில் 2 நாட்கள் நன்றாக இருக்கும், குளிர்சாதன பெட்டியில் கிட்டத்தட்ட 4-5 நாட்கள் வரை நன்றாக இருக்கும்.
இரண்டாவது நாள் இது ஒரு நல்ல அன்னாசிப்பழ சுவையுடன் இன்னும் சுவையாக இருக்கும்.
இரண்டாவது நாள் கீழே காட்டப்பட்டுள்ளபடி துண்டுகளை கூட செய்யலாம். கேசரி தயாரித்த பிறகு பேக்கிங் பாத்திரத்தில் பேக் செய்யவும், மேலே முந்திரி கொட்டைகளை தூவவும் அல்லது வைக்கவும். அதை குளிர்விக்க விடவும். பின்னர் நீங்கள் அதை துண்டுகளாக வெட்டலாம்.</t>
  </si>
  <si>
    <t>https://static.toiimg.com/thumb/60032965.cms?imgsize=375248&amp;width=800&amp;height=800</t>
  </si>
  <si>
    <t>Gajar Ka Halwa</t>
  </si>
  <si>
    <t>கஜர் கா ஹல்வா</t>
  </si>
  <si>
    <t xml:space="preserve">   Grated carrots -2 cups,
   Milk -3/4 cup,
   Sugar -1/4 cup,
   Ghee – 2 1/2- 3 tbsp,
   Cashew nuts -10,
   Raisins -2 tbsp,
   Cardamom Powder – 1/4 tsp.</t>
  </si>
  <si>
    <t>துருவிய கேரட் -2 கப்,
பால் -3/4 கப்,
சர்க்கரை -1/4 கப்,
நெய் - 2 1/2- 3 டேபிள் ஸ்பூன்,
முந்திரி பருப்பு -10,
திராட்சை -2 டேபிள் ஸ்பூன்,
ஏலக்காய் பொடி - 1/4 டேபிள் ஸ்பூன்.</t>
  </si>
  <si>
    <t>Add milk to the carrots and pressure cook for 1 whistle.
frying grated carrot
Once the pressure subsides, open the cooker and cook on high flame stirring continuously until all the milk evaporates.
Once the milk dries up, add sugar and continue to cook on medium flame until the mixture is thick.
Add a tbsp of ghee and cook for a further 3-4 minutes stirring continuously until the mixture thickens.
If using, you can add little grated unsweetened khoya at this stage and cook for few more seconds. I did not add.
Add cashew nuts, raisins, cardamom powder, mix well and cook for another 2-3 seconds.
Serve this delicious gajar ka halwa hot or warm. I did the whole process in my small pressure cooker.</t>
  </si>
  <si>
    <t>கேரட்டில் பால் சேர்த்து 1 விசில் வரை பிரஷர் சமைக்கவும்.
துருவிய கேரட்டை வறுக்கவும்
அழுத்தம் குறைந்தவுடன், குக்கரைத் திறந்து அதிக தீயில் பால் முழுவதும் ஆவியாகும் வரை தொடர்ந்து கிளறி சமைக்கவும்.
பால் காய்ந்ததும், சர்க்கரையைச் சேர்த்து, கலவை கெட்டியாகும் வரை நடுத்தர தீயில் சமைக்கவும்.
ஒரு டேபிள் ஸ்பூன் நெய்யைச் சேர்த்து, கலவை கெட்டியாகும் வரை தொடர்ந்து கிளறி மேலும் 3-4 நிமிடங்கள் சமைக்கவும்.
பயன்படுத்தினால், இந்த கட்டத்தில் சிறிது துருவிய இனிப்பு சேர்க்காத கோயாவைச் சேர்த்து இன்னும் சில வினாடிகள் சமைக்கலாம். நான் சேர்க்கவில்லை.
முந்திரி பருப்பு, திராட்சை, ஏலக்காய் பொடி சேர்த்து, நன்றாக கலந்து மேலும் 2-3 வினாடிகள் சமைக்கவும்.
இந்த சுவையான கஜர் கா ஹல்வாவை சூடாகவோ அல்லது சூடாகவோ பரிமாறவும். நான் என் சிறிய பிரஷர் குக்கரில் முழு செயல்முறையையும் செய்தேன்.</t>
  </si>
  <si>
    <t>https://encrypted-tbn0.gstatic.com/images?q=tbn:ANd9GcTT58iIFR7f-N_jCLJF8XFxKgRx6kKWclkVJQ&amp;s</t>
  </si>
  <si>
    <t>Peerkangai Poriyal</t>
  </si>
  <si>
    <t>பீர்கங்கை பொரியல்</t>
  </si>
  <si>
    <t xml:space="preserve">   Peerkangai -1/2 kg ,
   Onion -1 big,
   Green chilli – 4 slit,
   Minced garlic – 3-4 cloves,
   Turmeric powder -1/4 tsp,
   Salt needed,
   Grated coconut -1/4 cup,
   Oil -3 tsp,
   Mustard seeds -1 tsp,
   Curry leaves- few.</t>
  </si>
  <si>
    <t>பீர்கங்கை - 1/2 கிலோ,
வெங்காயம் - 1 பெரியது,
பச்சை மிளகாய் - 4 கீறல்கள்,
நறுக்கிய பூண்டு - 3-4 பல்,
மஞ்சள் தூள் - 1/4 தேக்கரண்டி,
உப்பு தேவை,
தேங்காய் துருவல் - 1/4 கப்,
எண்ணெய் - 3 தேக்கரண்டி,
கடுகு - 1 தேக்கரண்டி,
கறிவேப்பிலை - சிறிதளவு</t>
  </si>
  <si>
    <t>Heat oil in a pan, add mustard seeds, when it splutters, add finely chopped onions, slit green chilli, minced garlic and curry leaves. Saute until onion turns transparent.
Then add the chopped ridge gourd, turmeric powder and salt needed.
Cook covered on low flame stirring in between. This vegetable will ooze out water, so sprinkle water only if required while cooking.
Once the ridge gourd becomes tender and all the water evaporates, add grated coconut, mix well and remove from heat.
Serve this simple peerkangai/ridge gourd curry with rice or roti.</t>
  </si>
  <si>
    <t>ஒரு கடாயில் எண்ணெயை சூடாக்கி, கடுகு சேர்த்து, அது வதங்கியதும், இறுதியாக நறுக்கிய வெங்காயம், பச்சை மிளகாய், நறுக்கிய பூண்டு மற்றும் கறிவேப்பிலை சேர்த்து வதக்கவும். வெங்காயம் தெளிவாகும் வரை வதக்கவும்.
பின்னர் நறுக்கிய பீர்கங்கா, மஞ்சள் தூள் மற்றும் தேவையான உப்பு சேர்க்கவும்.
குறைந்த தீயில் மூடி வைத்து சமைக்கவும். இந்த காய்கறி தண்ணீர் வெளியேறும், எனவே சமைக்கும் போது தேவைப்பட்டால் மட்டுமே தண்ணீர் தெளிக்கவும்.
பீர்கங்கா மென்மையாகி, தண்ணீர் அனைத்தும் ஆவியாகியதும், துருவிய தேங்காயைச் சேர்த்து நன்கு கலந்து, அடுப்பிலிருந்து இறக்கவும்.
இந்த எளிய பீர்கங்கா/பீர்கங்கா கறியை அரிசி அல்லது ரொட்டியுடன் பரிமாறவும்.</t>
  </si>
  <si>
    <t>https://encrypted-tbn0.gstatic.com/images?q=tbn:ANd9GcSZXoNcSxQDYHwOKGewM5ZMSwtZiPwsZxH1Dw&amp;s</t>
  </si>
  <si>
    <t>Jeera Aloo</t>
  </si>
  <si>
    <t>ஜீரா ஆலு</t>
  </si>
  <si>
    <t xml:space="preserve">   Potatoes - 2 cups,
   Green chillies -2 slit,
   Ginger -1 inch piece,
   Coriander seeds -1 tbsp,
   Cumin seeds – 1 1/2 tsp,
   Red Chilli powder -1 tsp,
   Turmeric powder -1/4 tsp,
   amchur powder -1/2 tsp,
   Salt needed,
   Oil -3 1/2 tbsp,
   Cumin seeds -1 tsp,
   Coriander leaves.</t>
  </si>
  <si>
    <t>உருளைக்கிழங்கு - 2 கப்,
பச்சை மிளகாய் - 2 துண்டுகள்,
இஞ்சி - 1 அங்குல துண்டு,
கொத்தமல்லி விதைகள் - 1 டீஸ்பூன்,
சீரகம் - 1 1/2 டீஸ்பூன்,
சிவப்பு மிளகாய் தூள் - 1 டீஸ்பூன்,
மஞ்சள் தூள் - 1/4 டீஸ்பூன்,
ஆம்சூர் தூள் - 1/2 டீஸ்பூன்,
உப்பு தேவை,
எண்ணெய் - 3 1/2 டீஸ்பூன்,
சீரகம் - 1 டீஸ்பூன்,
கொத்தமல்லி இலைகள்.</t>
  </si>
  <si>
    <t>Heat oil, add cumin seeds (1 tsp), when it splutters, add slit green chillies and thinly sliced ginger.
Saute for a few seconds, reduce the flame and then add freshly ground coriander and cumin powder, amchur powder, turmeric powder, chilli powder and salt.
Saute for a few seconds and then add the boiled and cubed potatoes. Mix well so that it is well coated with the seasoning.
Roast on low flame for 10 minutes stirring in between. Garnish with coriander leaves. Delicious aloo jeera can be served with rotis or rice.</t>
  </si>
  <si>
    <t>எண்ணெயை சூடாக்கி, சீரகம் (1 டீஸ்பூன்) சேர்க்கவும், அது வதங்கியதும், கீறிய பச்சை மிளகாய் மற்றும் மெல்லியதாக நறுக்கிய இஞ்சி சேர்க்கவும்.
சில நொடிகள் வதக்கி, தீயை குறைத்து, புதிதாக அரைத்த கொத்தமல்லி மற்றும் சீரக தூள், ஆம்சூர் தூள், மஞ்சள் தூள், மிளகாய் தூள் மற்றும் உப்பு சேர்க்கவும்.
சில நொடிகள் வதக்கி, பின்னர் வேகவைத்த மற்றும் துண்டுகளாக்கப்பட்ட உருளைக்கிழங்கைச் சேர்க்கவும். மசாலாப் பொருட்களுடன் நன்கு பூசப்படும் வரை நன்கு கலக்கவும்.
குறைந்த தீயில் 10 நிமிடங்கள் கிளறி, கொத்தமல்லி இலைகளால் அலங்கரிக்கவும். சுவையான ஆலு ஜீராவை ரொட்டி அல்லது சாதத்துடன் பரிமாறலாம்.</t>
  </si>
  <si>
    <t>https://encrypted-tbn0.gstatic.com/images?q=tbn:ANd9GcS63xbczb0d9FqzxSs3QDs3mKBCZCgDzSdK0w&amp;s</t>
  </si>
  <si>
    <t xml:space="preserve">   Rice flour -1 cup,
   Onion -2 medium size,
   Green chilli -2,
   Cumin seeds - 1 tsp,
   Grated coconut -3 tbsp,
   Coriander leaves ,
   Salt to taste,
   Oil for making akki roti.</t>
  </si>
  <si>
    <t>அரிசி மாவு - 1 கப்,
வெங்காயம் - 2 நடுத்தர அளவு,
பச்சை மிளகாய் - 2,
சீரகம் - 1 தேக்கரண்டி,
தேங்காய் துருவல் - 3 தேக்கரண்டி,
கொத்தமல்லி இலைகள்,
சுவைக்கு உப்பு,
அக்கி ரொட்டி செய்ய எண்ணெய்.</t>
  </si>
  <si>
    <t>In a plate or bowl, combine together, rice flour, finely chopped onions, green chillies, cumin seeds, coriander leaves, grated coconut and salt needed. Add needed water and prepare a soft dough.
Divide the dough into 3 equal parts. Grease a tawa or griddle or a kadai with oil (yes, you can prepare it in a kadai also) and keep it ready. Take a ball of dough and spread it evenly and as thinly as possible as shown in the picture below. You can grease your fingers with oil to make spreading easier. Make 5-6 holes on the roti as it will help in cooking it well.
Then heat the kadai, drizzle a tsp of oil around the rotti and inside the holes. Cook covered on medium heat.
Once it starts browning, flip it over to the other side and roast until golden brown.
If you have another tawa, you can repeat the same process for the rest of the dough, otherwise, cool the tawa by showing the back side of the tawa under running water and then spread the dough on the tawa.
Serve akki roti hot with tomato thokku, mango thokku or chutney or just plain curd.</t>
  </si>
  <si>
    <t>ஒரு தட்டில் அல்லது கிண்ணத்தில், அரிசி மாவு, இறுதியாக நறுக்கிய வெங்காயம், பச்சை மிளகாய், சீரகம், கொத்தமல்லி இலைகள், துருவிய தேங்காய் மற்றும் தேவையான உப்பு ஆகியவற்றை ஒன்றாக சேர்த்து கலக்கவும். தேவையான தண்ணீர் சேர்த்து மென்மையான மாவை தயார் செய்யவும்.
மாவை 3 சம பாகங்களாக பிரிக்கவும். ஒரு தவா அல்லது கிரில் அல்லது ஒரு கடாயில் எண்ணெயுடன் தடவவும் (ஆம், நீங்கள் அதை ஒரு கடாயிலும் தயாரிக்கலாம்) மற்றும் தயாராக வைக்கவும். ஒரு உருண்டை மாவை எடுத்து கீழே உள்ள படத்தில் காட்டப்பட்டுள்ளபடி சமமாகவும் மெல்லியதாகவும் பரப்பவும். பரவுவதை எளிதாக்க உங்கள் விரல்களில் எண்ணெயை தடவலாம். ரொட்டியில் 5-6 துளைகளை உருவாக்குங்கள், ஏனெனில் அது நன்றாக சமைக்க உதவும்.
பின்னர் கடாய் சூடாக்கி, ரொட்டியைச் சுற்றி மற்றும் துளைகளுக்குள் ஒரு தேக்கரண்டி எண்ணெயைத் தூவி. நடுத்தர வெப்பத்தில் மூடி வைக்கவும்.
அது பழுப்பு நிறமாக மாற ஆரம்பித்ததும், அதை மறுபுறம் திருப்பி பொன்னிறமாகும் வரை வறுக்கவும்.
உங்களிடம் மற்றொரு தவா இருந்தால், மீதமுள்ள மாவிற்கும் இதே செயல்முறையை மீண்டும் செய்யலாம், இல்லையெனில், தவாவின் பின்புறத்தை ஓடும் நீரின் கீழ் காட்டி தவாவை குளிர்வித்து, பின்னர் மாவை தவாவின் மீது பரப்பவும்.
அக்கி ரொட்டியை தக்காளி தோக்கு, மாம்பழ தோக்கு அல்லது சட்னி அல்லது வெறும் தயிருடன் சூடாக பரிமாறவும்.</t>
  </si>
  <si>
    <t>https://encrypted-tbn0.gstatic.com/images?q=tbn:ANd9GcS4GN1tiS5_j4Agx1ToDR3f0KdOFHpaZf1QDA&amp;s</t>
  </si>
  <si>
    <t>Sabudana Thalipeeth</t>
  </si>
  <si>
    <t>சபுதானா தாலிபீத்</t>
  </si>
  <si>
    <t xml:space="preserve">   Sabudana - 1/2 cup,
   Potato -2 ,
   Cumin seeds -1 tsp,
   Ginger -1 inch piece ,
   Green chillies – 4,
   Roasted peanuts -1/4 cup,
   Coriander leaves,
   Oil -2 tsp,
   Salt needed,
   Oil or  butter + oil mix for frying the thalipeeth.</t>
  </si>
  <si>
    <t>சபுதானா - 1/2 கப்,
உருளைக்கிழங்கு -2 ,
சீரகம் -1 தேக்கரண்டி,
இஞ்சி -1 அங்குல துண்டு,
பச்சை மிளகாய் - 4,
வறுத்த வேர்க்கடலை -1/4 கப்,
கொத்தமல்லி இலை,
எண்ணெய் -2 தேக்கரண்டி,
உப்பு தேவை,
தைலிபீத்தை வறுக்க எண்ணெய் அல்லது வெண்ணெய் + எண்ணெய் கலவை.</t>
  </si>
  <si>
    <t>In a bowl, mix together grated potato, cumin seeds, finely chopped coriander leaves, ginger, green chillies, coarsely ground peanuts and salt needed. Make sure that there are not lumps.
Add the soaked sabudana, 2 tsp oil  and mix everything together well to form a dough. You can add a tbsp of water if the mixture is too dry. Check for salt.
Wet your hands, take a ball of dough and spread it into a thin circle on a ziplock bag or any plastic sheet or even a banana leaf. I did it directly on the tawa and then heated it.
Grease tawa with oil and heat it. Now transfer the prepared thalipeeth gently to the tawa, make 4-5 holes and drizzle oil around the thalipeeth and on the holes.
Cook on low or meduim heat until it start browning. Flip it over to the other side and cook both sides well until golden brown.
Enjoy this very delicious dish hot with any raita, curd or any chutney of your choice.</t>
  </si>
  <si>
    <t>ஒரு பாத்திரத்தில், துருவிய உருளைக்கிழங்கு, சீரகம், இறுதியாக நறுக்கிய கொத்தமல்லி இலைகள், இஞ்சி, பச்சை மிளகாய், கரடுமுரடான வேர்க்கடலை மற்றும் தேவையான உப்பு ஆகியவற்றை ஒன்றாக கலக்கவும். கட்டிகள் இல்லாமல் பார்த்துக் கொள்ளுங்கள்.
ஊறவைத்த சபுதானா, 2 தேக்கரண்டி எண்ணெய் சேர்த்து எல்லாவற்றையும் நன்றாக கலந்து மாவை உருவாக்குங்கள். கலவை மிகவும் வறண்டிருந்தால் நீங்கள் ஒரு தேக்கரண்டி தண்ணீர் சேர்க்கலாம். உப்பு இருக்கிறதா என்று சரிபார்க்கவும்.
உங்கள் கைகளை நனைத்து, ஒரு உருண்டை மாவை எடுத்து ஒரு ஜிப்லாக் பையில் அல்லது எந்த பிளாஸ்டிக் தாளில் அல்லது ஒரு வாழை இலையில் கூட மெல்லிய வட்டமாக பரப்பவும். நான் அதை நேரடியாக தவாவில் செய்தேன், பின்னர் அதை சூடாக்கினேன்.
தவாவை எண்ணெயில் தடவி சூடாக்கவும். இப்போது தயாரிக்கப்பட்ட தாலிபீத்தை மெதுவாக தவாவில் மாற்றி, 4-5 துளைகளை ஏற்படுத்தி, தாலிபீத்தைச் சுற்றிலும் துளைகளிலும் எண்ணெயைத் தெளிக்கவும்.
குறைந்த அல்லது மிதமான வெப்பத்தில் அது பழுப்பு நிறமாகத் தொடங்கும் வரை சமைக்கவும். அதை மறுபுறம் திருப்பி, இருபுறமும் பொன்னிறமாகும் வரை நன்றாக சமைக்கவும்.
இந்த மிகவும் சுவையான உணவை எந்த ரைத்தா, தயிர் அல்லது உங்களுக்கு விருப்பமான சட்னியுடன் சூடாக அனுபவிக்கவும்.</t>
  </si>
  <si>
    <t>https://encrypted-tbn0.gstatic.com/images?q=tbn:ANd9GcTAFidQpQpgLthjqp6UF0Aztnvx9KQJpDbh2A&amp;s</t>
  </si>
  <si>
    <t>Vazhakkai Poriyal</t>
  </si>
  <si>
    <t>வாழைக்காய் பொரியல்</t>
  </si>
  <si>
    <t xml:space="preserve">   Vazhakkai-plantain - 3,
   Turmeric powder -1/4 tsp,
   Salt as required,
   Grated coconut – 1/4 cup,
   Oil – 3 tsp,
   Mustard seeds -1 tsp,
   Urad dal -1 tsp,
   Red chillies - 2,
   Hing/asafoetida – a pinch,
   Green chillies -3 slit,
   Ginger -1 inch piece finely chopped,
   Curry leaves – few.
</t>
  </si>
  <si>
    <t>வாழைக்காய் - 3,
மஞ்சள் தூள் - 1/4 தேக்கரண்டி,
உப்பு தேவைக்கேற்ப,
தேங்காய் துருவல் - 1/4 கப்,
எண்ணெய் - 3 தேக்கரண்டி,
கடுகு - 1 தேக்கரண்டி,
உளுத்தம் பருப்பு - 1 தேக்கரண்டி,
சிவப்பு மிளகாய் - 2,
பெருங்காயம் / பெருங்காயம் - ஒரு சிட்டிகை,
பச்சை மிளகாய் - 3 துண்டுகள்,
இஞ்சி - 1 அங்குல துண்டு நன்றாக நறுக்கியது,
கறிவேப்பிலை - சிறிதளவு.</t>
  </si>
  <si>
    <t>Heat oil in a kadai, add mustard seeds, when it splutters, add urad dal. When dal turns golden brown, add red chillies, hing, green chillies, ginger and curry leaves.
Saute for 2-3 seconds and then add the cooked plantain and mix well so that it is well coated with the seasoning. Check for salt. If required add and mix well.
Then add grated coconut, mix well and remove from heat.
Delicious, easy and healthy plantain stir fry is ready to be served with rice.</t>
  </si>
  <si>
    <t>ஒரு கடாயில் எண்ணெயை சூடாக்கி, கடுகு சேர்த்து, அது வதங்கியதும், உளுத்தம் பருப்பு சேர்க்கவும். பருப்பு பொன்னிறமாக மாறியதும், சிவப்பு மிளகாய், பெருங்காயம், பச்சை மிளகாய், இஞ்சி மற்றும் கறிவேப்பிலை சேர்க்கவும்.
2-3 வினாடிகள் வதக்கி, பின்னர் சமைத்த வாழைக்காய் சேர்த்து, தாளிக்க வேண்டிய மசாலாப் பொருட்களுடன் நன்கு பூசப்படும் வரை நன்கு கலக்கவும். உப்பு இருக்கிறதா என்று சரிபார்க்கவும். தேவைப்பட்டால் சேர்த்து நன்கு கலக்கவும்.
பின்னர் துருவிய தேங்காய் சேர்த்து, நன்கு கலந்து, வெப்பத்திலிருந்து இறக்கவும்.
சுவையான, எளிதான மற்றும் ஆரோக்கியமான வாழைப்பழ பொரியல் சாதத்துடன் பரிமாற தயாராக உள்ளது.</t>
  </si>
  <si>
    <t>https://images.boldsky.com/webp/ta/img/2024/01/vazhakkai-poriyal-small-1706689117.jpg</t>
  </si>
  <si>
    <t>Easy Rasam</t>
  </si>
  <si>
    <t>எளிதான ரசம்</t>
  </si>
  <si>
    <t xml:space="preserve">   Tur Dal -1/4 cup,
   Dried mango powder - 2 tsp,
   Tomatoes - 2,
   rasam powder -1 tsp,
   Turmeric powder -1/4 tsp,
   Hing -1/4 tsp,
   Curry leaves -few,
   Salt needed,
   Ghee -1 tsp,
   Mustard seeds -1 tsp,
   Cumin seeds – 1/2 tsp,
   Red chilli -1,
   Curry leaves -few,
   Coriander leaves.</t>
  </si>
  <si>
    <t>துவரம் பருப்பு - 1/4 கப்,
உலர்ந்த மாங்காய் தூள் - 2 தேக்கரண்டி,
தக்காளி - 2,
ரசம் தூள் - 1 தேக்கரண்டி,
மஞ்சள் தூள் - 1/4 தேக்கரண்டி,
பெருங்காயம் - 1/4 தேக்கரண்டி,
கறிவேப்பிலை - சில,
உப்பு தேவை,
நெய் - 1 தேக்கரண்டி,
கடுகு - 1 தேக்கரண்டி,
சீரகம் - 1/2 தேக்கரண்டி,
சிவப்பு மிளகாய் - 1,
கறிவேப்பிலை - சில,
கொத்தமல்லி இலைகள்.</t>
  </si>
  <si>
    <t>Take a cup of water and mix amchur powder with it. Add chopped tomatoes, sambar powder, turmeric powder, hing, curry leaves and salt needed.
Cook on low or medium flame until it reduces to half.
Add dal along with 1 1/2 cup of water.
When froth starts forming on the surface as in the picture below, turn off the heat. Whatever rasam you are preparing, keep in mind that you should never boil rasam as it will loose its flavor.
Heat a tsp of ghee, add mustard seeds and cumin seeds, when it splutters, add red chilli, curry leaves and pour it over the rasam.
Garnish with finely chopped coriander leaves and enjoy it with steamed rice and any vegetable curry. You can also have it as a soup.</t>
  </si>
  <si>
    <t>ஒரு கப் தண்ணீர் எடுத்து அதனுடன் ஆம்சூர் பொடியை கலக்கவும். நறுக்கிய தக்காளி, சாம்பார் பொடி, மஞ்சள் தூள், பெருங்காயம், கறிவேப்பிலை மற்றும் தேவையான உப்பு சேர்க்கவும்.
குறைந்த அல்லது நடுத்தர தீயில் பாதியாக குறையும் வரை சமைக்கவும்.
1 1/2 கப் தண்ணீருடன் பருப்பை சேர்க்கவும்.
கீழே உள்ள படத்தில் உள்ளபடி மேற்பரப்பில் நுரை வர ஆரம்பித்ததும், தீயை அணைக்கவும். நீங்கள் எந்த ரசம் தயாரித்தாலும், அதன் சுவையை இழக்கும் என்பதால், ரசம் ஒருபோதும் வேகவைக்கக்கூடாது என்பதை நினைவில் கொள்ளுங்கள்.
ஒரு தேக்கரண்டி நெய்யைச் சூடாக்கி, கடுகு மற்றும் சீரகத்தைச் சேர்த்து, அது வதங்கியதும், மிளகாய், கறிவேப்பிலை சேர்த்து, ரசத்தின் மேல் ஊற்றவும்.
பொடியாக நறுக்கிய கொத்தமல்லி இலைகளால் அலங்கரித்து, வேகவைத்த சாதம் மற்றும் எந்த காய்கறி கறியுடன் சேர்த்து மசிக்கவும். நீங்கள் இதை சூப்பாகவும் சாப்பிடலாம்.</t>
  </si>
  <si>
    <t>https://encrypted-tbn0.gstatic.com/images?q=tbn:ANd9GcQSAbcWqFxePS523_EICO9DvNWeG0P7GglORA&amp;s</t>
  </si>
  <si>
    <t>Quinoa Upma</t>
  </si>
  <si>
    <t xml:space="preserve">
குயினோவா உப்புமா</t>
  </si>
  <si>
    <t xml:space="preserve">   Quinoa -1/2 cup,
   Onion -1/3 cup or 1,
   Green chilli -2 slit,
   Peeled and chopped ginger -1 tbsp,
   Carrot + beans together -1/2 cup,
   Capsicum -1/2 ,
   Potato -1/4 cup or a small potato,
   Tomato – 1 small,
   Salt -1 tsp flat or as needed,
   Oil -2 tbsp,
   Mustard seeds -1 tsp,
   Urad dal -1/2 tsp,
   Bengal gram -1/2 tsp,
   Red chillies -1-2,
   Hing -1/4 tsp,
   Curry leaves – few.</t>
  </si>
  <si>
    <t>குயினோவா - 1/2 கப்,
வெங்காயம் - 1/3 கப் அல்லது 1,
பச்சை மிளகாய் - 2 கீறி,
தோல் நீக்கி நறுக்கிய இஞ்சி - 1 டீஸ்பூன்,
கேரட் + பீன்ஸ் ஒன்றாக - 1/2 கப்,
கேப்சிகம் - 1/2 ,
உருளைக்கிழங்கு - 1/4 கப் அல்லது ஒரு சிறிய உருளைக்கிழங்கு,
தக்காளி - 1 சிறியது,
உப்பு - 1 டீஸ்பூன் தட்டையாக அல்லது தேவைக்கேற்ப,
எண்ணெய் - 2 டீஸ்பூன்,
கடுகு - 1 டீஸ்பூன்,
உளுத்தம் பருப்பு - 1/2 டீஸ்பூன்,
வங்காள பருப்பு - 1/2 டீஸ்பூன்,
சிவப்பு மிளகாய் - 1-2,
ஹிங் - 1/4 டீஸ்பூன்,
கறிவேப்பிலை - சிறிதளவு.</t>
  </si>
  <si>
    <t>Heat oil in a pan, add mustard seeds, when it splutters, add urad dal and bengal gram dal. When dal turns golden brown, add red chillies, hing and curry leaves.
Add chopped onions, green chilli, ginger and saute until onions turn transparent.
Add all the vegetables (except capsicum and tomato) 1/3 cup of water and cook covered.
Once the vegetables are 3/4 th cooked, add the capsicum and tomatoes. Cook for 2-3 minutes.
Add 1 cup of water and needed salt. (taste the water to check for salt – the water should be slightly salty, once you add the quinoa, it will be perfect).
When water starts boiling, reduce the flame and add the washed quinoa. Cook covered on low flame. Stir once in between.
It will take around 15 minutes. Once all the water has evaporated, turn off the heat, mix well and enjoy!! Filling, and nutritious quinoa upma is ready and the great thing is you have just one utensil to wash!!
You do not need any side dish for this upma as we have added lot of vegetables. But if preferred, you can have it with chutney or sambar.</t>
  </si>
  <si>
    <t>ஒரு கடாயில் எண்ணெயை சூடாக்கி, கடுகு சேர்த்து, அது வதங்கியதும், உளுத்தம் பருப்பு மற்றும் வங்காள பருப்பு சேர்க்கவும். பருப்பு பொன்னிறமாக மாறியதும், சிவப்பு மிளகாய், ஹிங் மற்றும் கறிவேப்பிலை சேர்க்கவும்.
நறுக்கிய வெங்காயம், பச்சை மிளகாய், இஞ்சி சேர்த்து வெங்காயம் வெளிப்படையானதாக மாறும் வரை வதக்கவும்.
அனைத்து காய்கறிகளையும் (கேப்சிகம் மற்றும் தக்காளி தவிர) 1/3 கப் தண்ணீர் சேர்த்து மூடி வைத்து சமைக்கவும்.
காய்கறிகள் 3/4 பங்கு வெந்தவுடன், கேப்சிகம் மற்றும் தக்காளியைச் சேர்க்கவும். 2-3 நிமிடங்கள் சமைக்கவும்.
1 கப் தண்ணீர் மற்றும் தேவையான உப்பு சேர்க்கவும். (உப்பு இருக்கிறதா என்று சோதிக்க தண்ணீரை சுவைக்கவும் - தண்ணீர் சிறிது உப்பு இருக்க வேண்டும், நீங்கள் குயினோவாவைச் சேர்த்தவுடன், அது சரியாக இருக்கும்).
தண்ணீர் கொதிக்கத் தொடங்கியதும், தீயைக் குறைத்து, கழுவிய குயினோவாவைச் சேர்க்கவும். குறைந்த தீயில் மூடி வைத்து சமைக்கவும். இடையில் ஒரு முறை கிளறவும்.
இது சுமார் 15 நிமிடங்கள் எடுக்கும். அனைத்து தண்ணீரும் ஆவியாகிவிட்ட பிறகு, அடுப்பை அணைத்து, நன்றாகக் கலந்து மகிழுங்கள்!! நிரப்புதல், மற்றும் சத்தான குயினோவா உப்மா தயாராக உள்ளது, மேலும் உங்களிடம் கழுவ ஒரு பாத்திரம் மட்டுமே உள்ளது!!
இந்த உப்மாவிற்கு உங்களுக்கு எந்த துணை உணவும் தேவையில்லை, ஏனெனில் நாங்கள் நிறைய காய்கறிகளைச் சேர்த்துள்ளோம். ஆனால் விரும்பினால், நீங்கள் அதை சட்னி அல்லது சாம்பாருடன் சாப்பிடலாம்.</t>
  </si>
  <si>
    <t>https://encrypted-tbn0.gstatic.com/images?q=tbn:ANd9GcSWsRH0jgNnq5TvNwxxzPVvRgyae_025IoT-g&amp;s</t>
  </si>
  <si>
    <t>Cabbage Thoran</t>
  </si>
  <si>
    <t>முட்டைக்கோஸ் தோரன்</t>
  </si>
  <si>
    <t xml:space="preserve">   Cabbage – 3 cups ,
   Shallots - 4 ,
   Green chilli- 2-3 slit,
   Turmeric powder -1/4 tsp,
   Virgin Coconut oil -2 tsp,
   Salt needed,
   Curry leaves -few,
   Grated coconut -1/3 cup,
   Cumin seeds -1 tsp,
   Pure Coconut Oil -1 tbsp,
   Mustard seeds -1 tsp,
   Curry leaves- few.</t>
  </si>
  <si>
    <t>முட்டைக்கோஸ் - 3 கப்,
வெங்காயத்தாள் - 4,
பச்சை மிளகாய் - 2-3 துண்டுகள்,
மஞ்சள் தூள் - 1/4 தேக்கரண்டி,
கன்னி தேங்காய் எண்ணெய் - 2 தேக்கரண்டி,
உப்பு தேவை,
கறிவேப்பிலை - சில,
தேங்காய் துருவல் - 1/3 கப்,
சீரகம் - 1 தேக்கரண்டி,
தூய தேங்காய் எண்ணெய் - 1 தேக்கரண்டி,
கடுகு விதைகள் - 1 தேக்கரண்டி,
கறிவேப்பிலை - சிறிது.</t>
  </si>
  <si>
    <t>Finely chop cabbage.
Pound or blitz/grind grated coconut and cumin seeds in a blender just for a second.
Mix together cabbage, pearl onions, slit green chilli, turmeric powder, curry leaves, coconut + cumin seeds, 2 tsp oil and salt needed nicely with your fingers.
Heat coconut oil, add mustard seeds, when it splutters, add the mixed ingredients.
Sprinkle little water and cook covered on low flame stirring from time to time until soft.
Serve this delicious Kerala Style Cabbage thoran (curry) with rice.</t>
  </si>
  <si>
    <t>முட்டைக்கோஸை நன்றாக நறுக்கவும்.
துருவிய தேங்காய் மற்றும் சீரகத்தை ஒரு நொடி பிளெண்டரில் அரைக்கவும் அல்லது அரைக்கவும்.
முட்டைக்கோஸ், முத்து வெங்காயம், கீறிய பச்சை மிளகாய், மஞ்சள் தூள், கறிவேப்பிலை, தேங்காய் + சீரகம், 2 தேக்கரண்டி எண்ணெய் மற்றும் உப்பு ஆகியவற்றை உங்கள் விரல்களால் நன்றாக கலக்கவும்.
தேங்காய் எண்ணெயை சூடாக்கி, கடுகு சேர்த்து, அது வதங்கியதும், கலந்த பொருட்களைச் சேர்க்கவும்.
சிறிது தண்ணீர் தெளித்து, மூடி வைத்து, அவ்வப்போது குறைந்த தீயில் கிளறி மென்மையாகும் வரை சமைக்கவும்.
இந்த சுவையான கேரள பாணி முட்டைக்கோஸ் தோரனை (கறி) சாதத்துடன் பரிமாறவும்.</t>
  </si>
  <si>
    <t>https://priyakitchenette.com/wp-content/uploads/2018/02/cabbage-thoran-recipe.jpg</t>
  </si>
  <si>
    <t>Vella Aval</t>
  </si>
  <si>
    <t>வெல்ல அவல்</t>
  </si>
  <si>
    <t xml:space="preserve">   Aval -1 cup,
   Jaggery- 3/4 cup ,
   Grated coconut -1/3 cup,
   Cardamom powder -1/4 tsp,
   Cashew nuts - 5 ,
   Ghee for frying cashewnuts -1 tsp.</t>
  </si>
  <si>
    <t>அவல் - 1 கப்,
வெல்லம்- 3/4 கப்,
தேங்காய் துருவல் - 1/3 கப்,
ஏலக்காய் பொடி - 1/4 டீஸ்பூன்,
முந்திரி பருப்பு - 5 ,
முந்திரி வறுக்க நெய் - 1 டீஸ்பூன்.</t>
  </si>
  <si>
    <t>Heat 1/4 cup of water and dissolve the jaggery in it. Filter it to remove impurities.
Boil the filtered jaggery water until you get a one string consistency* (see notes). Once you get one string consistency, boil for a further 3-4 minutes until the jaggery water becomes thick. Switch off the flame.
Add cardamom powder, aval and mix well. Then add grated coconut and mix well.
Heat a tsp of ghee and fry the cashew nuts until golden brown. Add it to the aval mixture.
Serve as a dessert or snack.</t>
  </si>
  <si>
    <t>1/4 கப் தண்ணீரை சூடாக்கி, அதில் வெல்லத்தை கரைக்கவும். அசுத்தங்களை நீக்க அதை வடிகட்டவும்.
வடிகட்டிய வெல்ல தண்ணீரை ஒரு சரம் நிலைத்தன்மையைப் பெறும் வரை கொதிக்க வைக்கவும்* (குறிப்புகளைப் பார்க்கவும்). ஒரு சரம் நிலைத்தன்மையைப் பெற்றவுடன், வெல்லம் தண்ணீர் கெட்டியாகும் வரை மேலும் 3-4 நிமிடங்கள் கொதிக்க வைக்கவும். தீயை அணைக்கவும்.
ஏலக்காய் பொடி, அவல் சேர்த்து நன்கு கலக்கவும். பின்னர் துருவிய தேங்காய் சேர்த்து நன்கு கலக்கவும்.
ஒரு டீஸ்பூன் நெய்யை சூடாக்கி, முந்திரி பருப்பை பொன்னிறமாகும் வரை வறுக்கவும். அவல் கலவையில் சேர்க்கவும்.
இனிப்பு அல்லது சிற்றுண்டியாக பரிமாறவும்.</t>
  </si>
  <si>
    <t>https://rajjoskitchen.com/wp-content/uploads/2020/08/IMG_20211010_113431_725.jpg</t>
  </si>
  <si>
    <t>Bombay Vegetable Sandwich</t>
  </si>
  <si>
    <t>பாம்பே காய்கறி சாண்ட்விச்</t>
  </si>
  <si>
    <t xml:space="preserve">   Brown Bread/White bread- 8,
   Butter as needed ,
   Green chutney as needed,
   Tomato -1 ,
   Onion -1 ,
   Cucumber  -1,
   Boiled potato -1 ,
   Chaat masala as required,
   Black salt.
</t>
  </si>
  <si>
    <t>பழுப்பு ரொட்டி/வெள்ளை ரொட்டி- 8,
தேவைக்கேற்ப வெண்ணெய்,
தேவைக்கேற்ப பச்சை சட்னி,
தக்காளி -1,
வெள்ளரி -1,
வேகவைத்த உருளைக்கிழங்கு -1,
தேவைக்கேற்ப சாட் மசாலா,
கருப்பு உப்பு.</t>
  </si>
  <si>
    <t>Cut the brown corners of the bread if preferred. I skipped that.
Take 4 breads, apply butter on one side for all the 4 slices. Keep 2 buttered slices aside.
Now take the other 2 buttered slices. Apply green chutney on the 2 slices on top of the butter.
Then place 1 or 2 slices of all the vegetables (onion, cucumber, tomato, potato). Sprinkle salt and chat masala on the vegetables.
Cover it with the other buttered slice (which we kept aside), with the buttered side facing down.
Toast it in an electric toaster or stove top hand toaster (as in the picture below) or you can grill the sandwiches until both sides turn golden brown. If using stove top hand toaster, grease the toaster slightly with butter and then toast the sandwich.
Cut it diagonally and serve hot with green chutney or tomato ketchup. Repeat the same process for the rest of the bread slices.
Have it for breakfast or enjoy it with tea.</t>
  </si>
  <si>
    <t>விரும்பினால் பிரட்டின் பழுப்பு நிற மூலைகளை வெட்டுங்கள். நான் அதைத் தவிர்த்துவிட்டேன்.
4 ரொட்டிகளை எடுத்து, 4 துண்டுகளுக்கும் ஒரு பக்கத்தில் வெண்ணெய் தடவவும். வெண்ணெய் தடவிய 2 துண்டுகளை ஒதுக்கி வைக்கவும்.
இப்போது மற்ற 2 வெண்ணெய் தடவிய துண்டுகளை எடுத்து. வெண்ணெய் மேல் 2 துண்டுகளில் பச்சை சட்னியை தடவவும்.
பின்னர் அனைத்து காய்கறிகளிலும் (வெங்காயம், வெள்ளரி, தக்காளி, உருளைக்கிழங்கு) 1 அல்லது 2 துண்டுகளை வைக்கவும். உப்பு மற்றும் சாட் மசாலாவை காய்கறிகளின் மீது தூவி வைக்கவும்.
நாங்கள் ஒதுக்கி வைத்திருந்த மற்றொரு வெண்ணெய் துண்டால் (நாங்கள் ஒதுக்கி வைத்திருந்த) மூடி, வெண்ணெய் தடவிய பக்கம் கீழே இருக்கும்படி செய்யவும்.
எலக்ட்ரிக் டோஸ்டர் அல்லது ஸ்டவ் டாப் ஹேண்ட் டோஸ்டரில் (கீழே உள்ள படத்தில் உள்ளது போல) டோஸ்ட் செய்யவும் அல்லது சாண்ட்விச்களின் இருபுறமும் தங்க பழுப்பு நிறமாக மாறும் வரை கிரில் செய்யலாம். ஸ்டவ் டாப் ஹேண்ட் டோஸ்டரைப் பயன்படுத்தினால், டோஸ்டரில் சிறிது வெண்ணெய் தடவி, பின்னர் சாண்ட்விச்சை டோஸ்ட் செய்யவும்.
அதை குறுக்காக வெட்டி பச்சை சட்னி அல்லது தக்காளி கெட்ச்அப்புடன் சூடாகப் பரிமாறவும். மீதமுள்ள பிரட் துண்டுகளுக்கும் இதே செயல்முறையை மீண்டும் செய்யவும்.
காலை உணவாக சாப்பிடுங்கள் அல்லது தேநீருடன் அனுபவிக்கவும்.</t>
  </si>
  <si>
    <t>https://www.vegrecipesofindia.com/wp-content/uploads/2021/06/sandwich-recipe-1.jpg</t>
  </si>
  <si>
    <t>Asparagus Stir Fry</t>
  </si>
  <si>
    <t>அஸ்பாரகஸ் வறுக்கவும்</t>
  </si>
  <si>
    <t xml:space="preserve">   Onion - 1 ,
   Green Chilli - 1 ,
   Asparagus -15-18,
   Chilli Powder -1/2 tsp,
   Grated coconut -2 tbsp,
   Salt needed,
   Oil – 1 1/2 tsp,
   Mustard Seeds -1 tsp,
   Urad dal -3/4 tsp,
   Curry leaves – few.</t>
  </si>
  <si>
    <t>வெங்காயம் - 1 ,
பச்சை மிளகாய் - 1 ,
அஸ்பாரகஸ் - 15-18,
மிளகாய்த்தூள் - 1/2 தேக்கரண்டி,
தேங்காய் துருவல் - 2 தேக்கரண்டி,
உப்பு தேவை,
எண்ணெய் - 1 1/2 தேக்கரண்டி,
கடுகு - 1 தேக்கரண்டி,
உளுத்தம் பருப்பு - 3/4 தேக்கரண்டி,
கறிவேப்பிலை - சிறிதளவு.</t>
  </si>
  <si>
    <t>Heat oil in a pan, add mustard seeds, when it splutters, add urad dal. When dal turns golden brown, add curry leaves, chopped onions and green chilli.
When onion turns transparent, add the chopped asparagus, chilli powder and salt needed.
Sprinkle very less water and cook covered stirring in between. It takes very less time to get cooked. Take care not to over cook. The asparagus should retain its crunchiness. Once done, switch off the heat, add grated coconut and mix well.
Serve as a side dish for Sambar rice, rasam rice or curd rice.</t>
  </si>
  <si>
    <t>ஒரு கடாயில் எண்ணெயை சூடாக்கி, கடுகு சேர்த்து, அது வதங்கியதும், உளுத்தம் பருப்பு சேர்க்கவும். பருப்பு பொன்னிறமாக மாறியதும், கறிவேப்பிலை, நறுக்கிய வெங்காயம் மற்றும் பச்சை மிளகாய் சேர்க்கவும்.
வெங்காயம் தெளிவாகத் தெரிந்ததும், நறுக்கிய அஸ்பாரகஸ், மிளகாய் தூள் மற்றும் தேவையான உப்பு சேர்க்கவும்.
மிகக் குறைந்த தண்ணீரைத் தெளித்து, இடையில் கிளறி மூடி வைத்து சமைக்கவும். சமைக்க மிகக் குறைந்த நேரம் ஆகும். அதிகமாக வேகாமல் பார்த்துக் கொள்ளுங்கள். அஸ்பாரகஸ் அதன் மொறுமொறுப்பைத் தக்க வைத்துக் கொள்ள வேண்டும். தயாரானதும், தீயை அணைத்து, துருவிய தேங்காயைச் சேர்த்து நன்கு கலக்கவும்.
சாம்பார் சாதம், ரசம் சாதம் அல்லது தயிர் சாதத்திற்கு ஒரு பக்க உணவாகப் பரிமாறவும்.</t>
  </si>
  <si>
    <t>https://encrypted-tbn0.gstatic.com/images?q=tbn:ANd9GcQgW5W1TR2EQijzq3qoiHV3A6U4zkNFjQMCTw&amp;s</t>
  </si>
  <si>
    <t>Foxtail Millet Pesarattu</t>
  </si>
  <si>
    <t>ஃபாக்ஸ்டெயில் தினை பெசரட்டு</t>
  </si>
  <si>
    <t xml:space="preserve">  Foxtail millet -1 cup,
  Whole green gram -1 cup,
  Red chillies - 4,
  Green chillies - 2,
  Onion - 2-3,
  Ginger – 1/2 inch piece,
  Salt to taste,
  Coriander leaves.
</t>
  </si>
  <si>
    <t>ஃபாக்ஸ்டெயில் தினை - 1 கப்,
முழு பச்சை பயறு - 1 கப்,
சிவப்பு மிளகாய் - 4,
பச்சை மிளகாய் - 2,
வெங்காயம் - 2-3,
இஞ்சி - 1/2 அங்குல துண்டு,
ருசிக்க உப்பு,
கொத்தமல்லி இலை.</t>
  </si>
  <si>
    <t>Wash and soak foxtail millet and whole green gram together for 5-6 hours. Grind it coarsely just like adai with red chillies, green chillies, ginger, needed salt and little water. The batter should neither be too thick nor too thin.
Leave it to ferment for 5-6 hours. If you want to prepare it for dinner, soak it in the morning and grind it before noon.
Before making pesarattu, add finely chopped onions and coriander leaves to the batter.
Heat a tawa on medium flame, take a ladle of batter and pour it in the center. Spread it in a circular motion just as you do for dosa. Drizzle a tsp of oil around the pesarattu. Using the back of the ladle make holes in the pesarattu so that it will get cooked well. Drizzle a little oil in the holes also.
When the corners start lifting up, flip the pesarattu to the other side. Drizzle another half tsp of oil around the pessarattu.
Once cooked remove from tawa and serve hot with any chutney or sambar or idli podi.</t>
  </si>
  <si>
    <t>ஃபாக்ஸ்டெயில் தினை மற்றும் முழு பச்சை பயறு ஆகியவற்றை ஒன்றாகக் கழுவி 5-6 மணி நேரம் ஊற வைக்கவும். சிவப்பு மிளகாய், பச்சை மிளகாய், இஞ்சி, தேவையான உப்பு மற்றும் சிறிது தண்ணீர் சேர்த்து அடை போல கரகரப்பாக அரைக்கவும். மாவு மிகவும் கெட்டியாகவோ அல்லது மெல்லியதாகவோ இருக்கக்கூடாது.
5-6 மணி நேரம் புளிக்க விடவும். இரவு உணவிற்கு நீங்கள் இதை தயாரிக்க விரும்பினால், காலையில் ஊறவைத்து மதியத்திற்கு முன் அரைக்கவும்.
பெசரட்டு செய்வதற்கு முன், இறுதியாக நறுக்கிய வெங்காயம் மற்றும் கொத்தமல்லி இலைகளை மாவில் சேர்க்கவும்.
ஒரு தவாவை மிதமான தீயில் சூடாக்கி, ஒரு கரண்டி மாவை எடுத்து மையத்தில் ஊற்றவும். தோசைக்கு செய்வது போல வட்ட இயக்கத்தில் பரப்பவும். பெசரட்டைச் சுற்றி ஒரு தேக்கரண்டி எண்ணெயைத் தெளிக்கவும். பெசரட்டு நன்றாக வேகும் வகையில் கரண்டியின் பின்புறத்தைப் பயன்படுத்தி துளைகளை ஏற்படுத்தவும். துளைகளிலும் சிறிது எண்ணெயைத் தெளிக்கவும்.
மூலைகள் மேலே எழத் தொடங்கியதும், பெசரட்டை மறுபுறம் திருப்பிப் போடவும். பெசரட்டைச் சுற்றி மேலும் அரை டீஸ்பூன் எண்ணெயைத் தெளிக்கவும்.
வெந்த பிறகு, தவாவிலிருந்து எடுத்து, சட்னி அல்லது சாம்பார் அல்லது இட்லி பொடியுடன் சூடாகப் பரிமாறவும்.</t>
  </si>
  <si>
    <t>https://encrypted-tbn0.gstatic.com/images?q=tbn:ANd9GcQ86z1z4R7pkpJ7cJ-5hJ83efuGmy8mDZQRwg&amp;s</t>
  </si>
  <si>
    <t>Arisi Paruppu Sadam</t>
  </si>
  <si>
    <t>அரிசி பருப்பு சாதம்</t>
  </si>
  <si>
    <t xml:space="preserve">   Rice - 1/2 cup,
   Tur dal - 2 tbsp,
   Onion -1,
   Green chilli - 2 slit,
   Garlic - 4 cloves,
   Tomato - 1,
   Turmeric powder - a pinch,
   Sambar powder - 1 tsp,
   Salt needed,
   Oil - 3 tsp,
   Mustard seeds -1 tsp,
   Cumin seeds – 1 tsp,
   Hing – a pinch,
   Curry leaves – few,
   Ghee – 1/2 tspc,
   Coriander leaves .</t>
  </si>
  <si>
    <t>அரிசி - 1/2 கப்,
துவரம் பருப்பு - 2 டேபிள்ஸ்பூன்,
வெங்காயம் - 1,
பச்சை மிளகாய் - 2 கீறல்,
பூண்டு - 4 பல்,
தக்காளி - 1,
மஞ்சள் தூள் - ஒரு சிட்டிகை,
சாம்பார் பொடி - 1 டீஸ்பூன்,
உப்பு தேவை,
எண்ணெய் - 3 டீஸ்பூன்,
கடுகு - 1 டீஸ்பூன்,
சீரகம் - 1 டீஸ்பூன்,
பெருங்காயம் - ஒரு சிட்டிகை,
கறிவேப்பிலை - சிறிது,
நெய் - 1/2 டீஸ்பூன்,
கொத்தமல்லி இலைகள்.</t>
  </si>
  <si>
    <t>Heat oil, add mustard seeds, when it splutters, add cumin seeds, hing and curry leaves.
When jeera/cumin seeds sizzle, add onion, garlic and green chilli.
Saute until onions turn transparent. Then add tomatoes, turmeric powder and sambar powder.
Add rice and dal, 1 1/2 cup of water and needed salt.
Taste the water to check if the salt added is perfect. If it is slightly salty, it will be perfect once the rice is cooked.
Pressure cook rice for 3 whistles, once the pressure subsides, open the cooker, mix the contents, add a tsp of ghee and garnish with finely chopped coriander leaves (Rice should not be mushy).
Serve hot with chips or potato curry or even tomato chutney or appalam.</t>
  </si>
  <si>
    <t>எண்ணெயை சூடாக்கி, கடுகு சேர்த்து, அது வதங்கியதும், சீரகம், பெருங்காயம் மற்றும் கறிவேப்பிலை சேர்க்கவும்.
சீரகம்/சீரகம் வதங்கியதும், வெங்காயம், பூண்டு மற்றும் பச்சை மிளகாய் சேர்க்கவும்.
வெங்காயம் தெளிவாகும் வரை வதக்கவும். பின்னர் தக்காளி, மஞ்சள் தூள் மற்றும் சாம்பார் பொடி சேர்க்கவும்.
அரிசி மற்றும் பருப்பை சேர்க்கவும், 1 1/2 கப் தண்ணீர் மற்றும் தேவையான உப்பு சேர்க்கவும்.
சேர்க்கப்பட்ட உப்பு சரியாக இருக்கிறதா என்று சோதிக்க தண்ணீரை சுவைக்கவும். கொஞ்சம் உப்பு இருந்தால், அரிசி வெந்தவுடன் சரியாக இருக்கும்.
அரிசியை 3 விசில்களுக்கு பிரஷர் வேகவைக்கவும், பிரஷர் குறைந்தவுடன், குக்கரைத் திறந்து, உள்ளடக்கங்களை கலந்து, ஒரு தேக்கரண்டி நெய்யைச் சேர்த்து, இறுதியாக நறுக்கிய கொத்தமல்லி இலைகளால் அலங்கரிக்கவும் (அரிசி மெதுவானதாக இருக்கக்கூடாது).
சிப்ஸ் அல்லது உருளைக்கிழங்கு கறி அல்லது தக்காளி சட்னி அல்லது அப்பளத்துடன் சூடாகப் பரிமாறவும்.</t>
  </si>
  <si>
    <t>https://rakskitchen.net/wp-content/uploads/2023/02/arisi-paruppu-sadam-1.jpg</t>
  </si>
  <si>
    <t>Ragi Semiya Upma</t>
  </si>
  <si>
    <t>ராகி சேமியா உப்புமா</t>
  </si>
  <si>
    <t xml:space="preserve">   Ragi Semiya - 2 cups,
   Onion Chopped - 1 cup,
   Green chilli - 1,
   Ginger – 1 inch piece,
   Salt needed,
   Oil - 1 tbsp,
   Mustard seeds - 1 tsp,
   Urad dal - 1/2 tsp,
   Red chilli  - 1,
   Hing - 1/4 tsp,
   Curry leaves tsp.</t>
  </si>
  <si>
    <t>ராகி சேமியா - 2 கப்,
வெங்காயம் நறுக்கியது - 1 கப்,
பச்சை மிளகாய் - 1,
இஞ்சி - 1 அங்குல துண்டு,
உப்பு தேவை,
எண்ணெய் - 1 டீஸ்பூன்,
கடுகு - 1 டீஸ்பூன்,
உளுத்தம் பருப்பு - 1/2 டீஸ்பூன்,
சிவப்பு மிளகாய் - 1,
கீரை - 1/4 டீஸ்பூன்,
கறிவேப்பிலை தேக்கரண்டி.</t>
  </si>
  <si>
    <t>Take plenty of water, add needed salt and soak ragi semiya/vermicelli in the water. Let it remain in the water for 3 minutes.
Drain the water completely using a strainer.
Steam it in an idly pot or steamer for 5 minutes. Once cooked, spread it on a plate. Our steamed ragi vermicelli is ready. We will do the seasoning now.
Heat oil in a pan, add mustard seeds, when it splutters, add urad dad, red chilli and hing. When dal turns golden brown, add finely chopped onions, ginger, green chilli, salt needed and curry leaves.
Saute until onions turn transparent. Now add the steamed ragi semiya, mix well and cook for another 5 minutes on low flame.
Remove from heat, garnish with coriander leaves and serve hot with any chutney of your choice.</t>
  </si>
  <si>
    <t>நிறைய தண்ணீர் எடுத்து, தேவையான உப்பு சேர்த்து, ராகி சேமியா/வெங்காயத்தை தண்ணீரில் ஊற வைக்கவும். அதை 3 நிமிடங்கள் தண்ணீரில் விடவும்.
ஒரு வடிகட்டியைப் பயன்படுத்தி தண்ணீரை முழுவதுமாக வடிகட்டவும்.
ஒரு இட்லி பானை அல்லது ஸ்டீமரில் 5 நிமிடங்கள் வேகவைக்கவும். சமைத்த பிறகு, அதை ஒரு தட்டில் பரப்பவும். எங்கள் வேகவைத்த ராகி சேமியா தயாராக உள்ளது. இப்போது நாங்கள் தாளிக்கிறோம்.
ஒரு கடாயில் எண்ணெயை சூடாக்கி, கடுகு சேர்த்து, அது வதங்கியதும், உளுத்தம்பருப்பு, சிவப்பு மிளகாய் மற்றும் கீரை சேர்க்கவும். பருப்பு பொன்னிறமாக மாறியதும், பொடியாக நறுக்கிய வெங்காயம், இஞ்சி, பச்சை மிளகாய், தேவையான உப்பு மற்றும் கறிவேப்பிலை சேர்க்கவும்.
வெங்காயம் தெளிவாகும் வரை வதக்கவும். இப்போது வேகவைத்த ராகி சேமியாவைச் சேர்த்து, நன்கு கலந்து, குறைந்த தீயில் மேலும் 5 நிமிடங்கள் சமைக்கவும்.
அடுப்பிலிருந்து இறக்கி, கொத்தமல்லி இலைகளால் அலங்கரித்து, உங்களுக்கு விருப்பமான சட்னியுடன் சூடாகப் பரிமாறவும்.</t>
  </si>
  <si>
    <t>https://encrypted-tbn0.gstatic.com/images?q=tbn:ANd9GcTRy2xMSmGNtAtlNV7ashwz0xWthz914I_H4g&amp;s</t>
  </si>
  <si>
    <t xml:space="preserve">   Nutella - 3 tbps ,
   Milk – boiled and chilled - 1 cup,
   Banana -1 (any banana</t>
  </si>
  <si>
    <t>நுடெல்லா - 3 டேபிள்ஸ்பூன்,
பால் - வேகவைத்து குளிரூட்டப்பட்டது - 1 கப்,
வாழைப்பழம் -1 (ஏதேனும் வாழைப்பழம்).</t>
  </si>
  <si>
    <t>ஒரு பிளெண்டரில், வாழைப்பழம், நுடெல்லா மற்றும் குளிர்ந்த பால் ஆகியவற்றை ஒன்றாக கலக்கவும். நுடெல்லாவில் சர்க்கரை இருப்பதால் இதற்கு சர்க்கரை தேவையில்லை. நீங்கள் சிறிய வாழைப்பழங்களைப் பயன்படுத்துகிறீர்கள் என்றால், நீங்கள் 2 வாழைப்பழங்களைப் பயன்படுத்தலாம், இல்லையெனில் 1 வாழைப்பழம் போதும்.
ஒரு கிளாஸில் ஊற்றி குளிர்ச்சியாகப் பரிமாறவும். இது மிகவும் நிறைவாகவும் மிகவும் சுவையாகவும் இருக்கிறது. வாழைப்பழமும் சாக்லேட்டும் ஒன்றோடொன்று தயாரிக்கப்படுகின்றன.
சாக்லேட் டாப்பிங்குடன் கூடிய இந்த வாழைப்பழ கஸ்டர்டை நீங்கள் விரும்புவீர்கள்.</t>
  </si>
  <si>
    <t>https://mydominicankitchen.com/wp-content/uploads/2015/02/Banana-Nutella-Milkshake-3-500x375.jpg</t>
  </si>
  <si>
    <t>Easy Chocolate Ice Cream</t>
  </si>
  <si>
    <t>எளிதான சாக்லேட் ஐஸ்கிரீம்</t>
  </si>
  <si>
    <t xml:space="preserve">   Condensed milk – 4-5 tbsp, 
   Cocoa powder (sieved) - 3 tbsp,
   Heavy Cream -1 cup,
   Walnuts (chopped) -5-6 .</t>
  </si>
  <si>
    <t>அமுக்கப்பட்ட பால் - 4-5 டீஸ்பூன்,
கோகோ பவுடர் (சலித்த) - 3 டீஸ்பூன்,
ஹெவி க்ரீம் - 1 கப்,
வால்நட்ஸ் (நறுக்கியது) - 5-6.</t>
  </si>
  <si>
    <t>Mix all the 3 ingredients (condensed milk + cocoa powder + heavy cream) together using a wire whisk or wooden ladle, pour it into a container with lid (preferable air tight)or cover with plastic wrap and freeze.
Fold in chopped walnuts when it is half set and freeze until solid.
You can even fill ice cream in popsicle mold and freeze. Kids will love it.
Take it out 3-4 minutes before serving. Garnish with chopped walnuts and serve.</t>
  </si>
  <si>
    <t>3 பொருட்களையும் (அமுக்கப்பட்ட பால் + கோகோ பவுடர் + ஹெவி க்ரீம்) ஒரு கம்பி துடைப்பம் அல்லது மரக் கரண்டியால் ஒன்றாகக் கலந்து, மூடியுடன் கூடிய ஒரு கொள்கலனில் ஊற்றவும் (காற்றுப் புகாதது போல) அல்லது பிளாஸ்டிக் மடக்குடன் மூடி உறைய வைக்கவும்.
பாதி செட் ஆனதும் நறுக்கிய வால்நட்ஸை மடித்து கெட்டியாகும் வரை உறைய வைக்கவும்.
நீங்கள் ஐஸ்கிரீமை பாப்சிகல் மோல்டில் நிரப்பி உறைய வைக்கலாம். குழந்தைகள் இதை விரும்புவார்கள்.
பரிமாறுவதற்கு 3-4 நிமிடங்களுக்கு முன்பு அதை வெளியே எடுத்து வைக்கவும். நறுக்கிய வால்நட்ஸால் அலங்கரித்து பரிமாறவும்.</t>
  </si>
  <si>
    <t>https://www.chewoutloud.com/wp-content/uploads/2022/06/Chocolate-Ice-Cream-in-a-Dish-Square.jpg</t>
  </si>
  <si>
    <t>Cabbage Paruppu Vadai</t>
  </si>
  <si>
    <t>முட்டைக்கோஸ் பருப்பு வடை</t>
  </si>
  <si>
    <t xml:space="preserve">   kadalai paruppu - 1 cup,
   Urad dal -1 tbsp,
   Red chillies - 3,
   Green chillies - 2,
   Hing - 1/4 tsp,
   Ghee -1 tsp
   Cabbage finely chopped - 1 cup,
   Oil for deep frying,
   Salt needed.</t>
  </si>
  <si>
    <t>கடலை பருப்பு - 1 கப்,
உளுத்தம் பருப்பு - 1 டேபிள் ஸ்பூன்,
சிவப்பு மிளகாய் - 3,
பச்சை மிளகாய் - 2,
ஹிங் - 1/4 டேபிள் ஸ்பூன்,
நெய் - 1 டேபிள் ஸ்பூன்
முட்டைக்கோஸ் பொடியாக நறுக்கியது - 1 கப்,
ஆழமாக வறுக்க எண்ணெய்,
உப்பு தேவை.</t>
  </si>
  <si>
    <t>Wash and soak both dal together for 1 1/2 hours. Drain the water completely and keep it aside.
Grind red chillies, green chillies and salt first to a smooth paste. Then add the drained dal and grind it coarsely without adding water.
Finely chop cabbage. Add the chopped cabbage, hing and a tsp of ghee to the vada batter and mix well. Check for salt. Our cabbage channa dal vada batter is ready.
Heat oil in a kadai. To check if the oil is ready for frying the vadas, drop a piece of batter into the oil, if it raises to the surface immediatly, then the oil is ready for frying. Reduce the heat to medium.
Dip your hand in water (keep a bowl of water besides the batter) take a little batter, shape it into a ball and flatten it in the shape of a disc or form it into patties.
Gently drop the flattened disc into the oil and deep fry both sides until golden brown.
Remove from the kadai using a slotted ladle and drain excess oil on a paper towel or colander. Repeat the same process for the rest of the batter.
Serve hot and crispy vada with a cup of tea or coffee.</t>
  </si>
  <si>
    <t>இரண்டு பருப்பையும் கழுவி 1 1/2 மணி நேரம் ஊற வைக்கவும். தண்ணீரை முழுவதுமாக வடிகட்டி ஒதுக்கி வைக்கவும்.
முதலில் சிவப்பு மிளகாய், பச்சை மிளகாய் மற்றும் உப்பு ஆகியவற்றை மென்மையான பேஸ்டாக அரைக்கவும். பின்னர் வடிகட்டிய பருப்பைச் சேர்த்து தண்ணீர் சேர்க்காமல் கொரகொரப்பாக அரைக்கவும்.
முட்டைக்கோஸை நன்றாக நறுக்கவும். நறுக்கிய முட்டைக்கோஸ், ஹிங் மற்றும் ஒரு டீஸ்பூன் நெய்யை வடை மாவில் சேர்த்து நன்கு கலக்கவும். உப்பு இருக்கிறதா என்று பாருங்கள். எங்கள் முட்டைக்கோஸ் சன்னா தால் வடை மாவு தயார்.
ஒரு கடாயில் எண்ணெயை சூடாக்கவும். வடைகளை பொரிக்க எண்ணெய் தயாரா என்று பார்க்க, ஒரு துண்டு மாவை எண்ணெயில் போடவும், அது உடனடியாக மேற்பரப்புக்கு உயர்ந்தால், எண்ணெய் வறுக்க தயாராக உள்ளது. தீயை நடுத்தரமாகக் குறைக்கவும்.
உங்கள் கையை தண்ணீரில் நனைத்து (மாவின் அருகே ஒரு கிண்ணம் தண்ணீரை வைக்கவும்) சிறிது மாவை எடுத்து, அதை ஒரு உருண்டையாக வடிவமைத்து, அதை ஒரு வட்டு வடிவத்தில் தட்டையாக்குங்கள் அல்லது பஜ்ஜிகளாக உருவாக்குங்கள்.
தட்டையான வட்டை எண்ணெயில் மெதுவாக இறக்கி, இருபுறமும் பொன்னிறமாகும் வரை ஆழமாக வறுக்கவும்.
துளையிடப்பட்ட கரண்டியைப் பயன்படுத்தி கடாயிலிருந்து எடுத்து, அதிகப்படியான எண்ணெயை ஒரு காகித துண்டு அல்லது வடிகட்டியில் வடிகட்டவும். மீதமுள்ள மாவிற்கும் இதே செயல்முறையை மீண்டும் செய்யவும்.
சூடான மற்றும் மொறுமொறுப்பான வடையை ஒரு கப் தேநீர் அல்லது காபியுடன் பரிமாறவும்.</t>
  </si>
  <si>
    <t>https://encrypted-tbn0.gstatic.com/images?q=tbn:ANd9GcRKay0gRz3Co4SGof5JSi4GH_NrLVGj6prkow&amp;s</t>
  </si>
  <si>
    <t>Carrot Salad</t>
  </si>
  <si>
    <t>கேரட் சாலட்</t>
  </si>
  <si>
    <t xml:space="preserve">   Carrot grated – 1 1/4 cup,
   Lemon juice- 1 tbsp ,
   Salt needed,
  Oil - 1 tsp,
  Mustard seeds - 1 tsp,
  Green chilli finely chopped - 1,
  Curry leaves,
  Coriander leaves.</t>
  </si>
  <si>
    <t>கேரட் துருவல் - 1 1/4 கப்,
எலுமிச்சை சாறு - 1 டீஸ்பூன்,
உப்பு தேவை,
எண்ணெய் - 1 டீஸ்பூன்,
கடுகு - 1 டீஸ்பூன்,
பச்சை மிளகாய் நன்றாக நறுக்கியது - 1,
கறிவேப்பிலை,
கொத்தமல்லி இலைகள்.</t>
  </si>
  <si>
    <t>Wash, peel the skin and grate carrots finely.
Add salt and lemon juice to taste.
Heat a tsp of oil, add mustard seeds,when it splutters, add green chillies and curry leaves.
Saute for a second and add to the grated carrots.
Mix well, garnish with coriander leaves and serve with rice or sambar sadam or curd rice.</t>
  </si>
  <si>
    <t>ழுவி, தோல் உரித்து, கேரட்டை நன்றாக துருவிக் கொள்ளவும்.
சுவைக்கேற்ப உப்பு மற்றும் எலுமிச்சை சாறு சேர்க்கவும்.
ஒரு டீஸ்பூன் எண்ணெயை சூடாக்கி, கடுகு சேர்த்து, அது வதங்கியதும், பச்சை மிளகாய் மற்றும் கறிவேப்பிலை சேர்க்கவும்.
ஒரு நொடி வதக்கி, துருவிய கேரட்டுடன் சேர்க்கவும்.
நன்றாக கலந்து, கொத்தமல்லி இலைகளால் அலங்கரித்து, சாதம் அல்லது சாம்பார் சாதம் அல்லது தயிர் சாதத்துடன் பரிமாறவும்.</t>
  </si>
  <si>
    <t>https://cookieandkate.com/images/2018/05/french-carrot-salad-with-optional-chickpeas.jpg</t>
  </si>
  <si>
    <t>Coriander Leaves Podi</t>
  </si>
  <si>
    <t>கொத்தமல்லி இலை பொடி</t>
  </si>
  <si>
    <t xml:space="preserve">   Coriander Leaves - 1 big bunch,
   Bengal gram - 1/4 cup,
   Urad dal - 1/4 cup,
   Red Chillies -8-10,
   Asafoetida – a pinch,
   Oil - 1/2 tsp,
   Salt to taste.</t>
  </si>
  <si>
    <t>கொத்தமல்லி இலைகள் - 1 பெரிய கொத்து,
கடலை பருப்பு - 1/4 கப்,
உளுத்தம் பருப்பு - 1/4 கப்,
சிவப்பு மிளகாய் - 8-10,
பெருங்காயம் - ஒரு சிட்டிகை,
எண்ணெய் - 1/2 தேக்கரண்டி,
ருசிக்க உப்பு.</t>
  </si>
  <si>
    <t>Heat 1/2 tsp of oil and fry the red chillies and hing for a few seconds and remove it.
Then in the same pan, fry both the dals (channa dal + urad dal) together until dal turns golden brown.
Fry the coriander leaves on low flame until all the moisture from the leaves evaporates.
Grind everything together adding salt needed to a coarse powder. It will take time to get a coarse powder as shown in the picture above. So be patient and grind leaving a gap of 5-10 minutes in between to prevent the mixer from getting heated.
Store it in an airtight container at room temperature. If you feel that there is moisture in your podi, store it in the refrigerator. It will stay fresh for 15-20 days.
Enjoy with hot rice topped with a tsp of ghee or sesame seed oil.</t>
  </si>
  <si>
    <t>1/2 தேக்கரண்டி எண்ணெயை சூடாக்கி, சிவப்பு மிளகாய் மற்றும் பெருங்காயத்தை சில நொடிகள் வறுக்கவும், அதை அகற்றவும்.
பின்னர் அதே வாணலியில், இரண்டு பருப்புகளையும் (சன்னா பருப்பு + உளுத்தம் பருப்பு) ஒன்றாக பொன்னிறமாகும் வரை வறுக்கவும்.
கொத்தமல்லி இலைகளை இலைகளிலிருந்து ஈரப்பதம் அனைத்தும் ஆவியாகும் வரை குறைந்த தீயில் வறுக்கவும்.
தேவையான உப்பு சேர்த்து எல்லாவற்றையும் ஒன்றாக அரைக்கவும். மேலே உள்ள படத்தில் காட்டப்பட்டுள்ளபடி ஒரு கரடுமுரடான தூள் வர நேரம் எடுக்கும். எனவே பொறுமையாக இருங்கள், மிக்சர் சூடாவதைத் தடுக்க இடையில் 5-10 நிமிடங்கள் இடைவெளி விட்டு அரைக்கவும்.
அறை வெப்பநிலையில் காற்று புகாத கொள்கலனில் சேமிக்கவும். உங்கள் பொடியில் ஈரப்பதம் இருப்பதாக உணர்ந்தால், அதை குளிர்சாதன பெட்டியில் சேமிக்கவும். இது 15-20 நாட்கள் வரை புதியதாக இருக்கும்.
சூடான சாதத்தில் ஒரு தேக்கரண்டி நெய் அல்லது எள் விதை எண்ணெயுடன் சேர்த்து மகிழுங்கள்.</t>
  </si>
  <si>
    <t>https://encrypted-tbn0.gstatic.com/images?q=tbn:ANd9GcRRqf_PzgTEPnAlXQFtDCF_ikFs1HZ_CI0buQ&amp;s</t>
  </si>
  <si>
    <t>Eggless Whole Wheat Finger Millet Chocolate Cake</t>
  </si>
  <si>
    <t>முட்டை இல்லாத முழு கோதுமை ஃபிங்கர் மில்லட் சாக்லேட் கேக்</t>
  </si>
  <si>
    <t xml:space="preserve">   Whole Wheat Flou r- 1 cup,
   Finger millet - 1/2 cup
   Powdered Brown Sugar - 1 cup ,
   Baking Soda - 3/4 tsp,
   Cocoa powder - 2 tbsp,
   Salt -a pinch,
   Thick yogurt - 3/4 cup,
   Milk - 1/4 cup +2 tbsp,
   Any flavorless oil - 1/4 cup,
   Vanilla essence - 1 tsp,
   Honey - 2 tsp,
   Walnuts toasted and chopped- 1/2 cup,
   Milk - 2 cups,
   Sugar - 4-5 tbsp,
   Cocoa powder - 4 tbsp,
   Butter - 1 tbsp,
   Vanilla essence - 1/2 tsp,
  Dark chocolate - 1 bar.</t>
  </si>
  <si>
    <t>முழு கோதுமை மாவு - 1 கப்,
ஃபிங்கர் மில்லட் - 1/2 கப்
பொடித்த பிரவுன் சுகர் - 1 கப்,
பேக்கிங் சோடா - 3/4 டீஸ்பூன்,
கோகோ பவுடர் - 2 டீஸ்பூன்,
உப்பு - ஒரு சிட்டிகை,
அடர்த்தியான தயிர் - 3/4 கப்,
பால் - 1/4 கப் +2 டீஸ்பூன்,
சுவையற்ற எண்ணெய் - 1/4 கப்,
வெண்ணிலா எசன்ஸ் - 1 டீஸ்பூன்,
தேன் - 2 டீஸ்பூன்,
வறுத்து நறுக்கிய வால்நட்ஸ் - 1/2 கப்,
பால் - 2 கப்,
சர்க்கரை - 4-5 டீஸ்பூன்,
கோகோ பவுடர் - 4 டீஸ்பூன்,
வெண்ணெய் - 1 டீஸ்பூன்,
வெண்ணிலா எசன்ஸ் - 1/2 டீஸ்பூன்,
டார்க் சாக்லேட் - 1 பார்.</t>
  </si>
  <si>
    <t xml:space="preserve">
Dry ingredients -Sieved ragi flour+wheat flour+cocoa powder+baking soda+salt and powdered sugar.
Wet ingredients – Yogurt+honey, oil, milk and vanilla essence.
ingredients for eggless whole wheat chocolate cake 
Now mix the powder sugar with the flour.
Mix the milk, vanilla essence and oil to the yogurt+honey mixture.
Now mix the wet ingredient with the dry ingredients until well combined. Do not overmix. If using chopped walnuts, dust it with a little flour and mix it gently with the batter.
Pour it in a greased baking tin and tap the pan slightly so that the mixture settles evenly.
Bake in a pre-heat oven at 180 degrees for 35-40 minutes or until a tooth pick inserted in the center of the cake comes out clean.
Once done, let it remain in the oven for 5-6 minutes. Then remove the cake tin from the oven and transfer the cake to a wire rack to cool.</t>
  </si>
  <si>
    <t>உலர்ந்த பொருட்கள் - சலிக்கப்பட்ட ராகி மாவு+கோதுமை மாவு+கோகோ பவுடர்+பேக்கிங் சோடா+உப்பு மற்றும் தூள் சர்க்கரை.
ஈரமான பொருட்கள் - தயிர்+தேன், எண்ணெய், பால் மற்றும் வெண்ணிலா எசன்ஸ்.
முட்டை இல்லாத முழு கோதுமை சாக்லேட் கேக்கிற்கான பொருட்கள்
இப்போது தூள் சர்க்கரையை மாவுடன் கலக்கவும்.
தயிர்+தேன் கலவையில் பால், வெண்ணிலா எசன்ஸ் மற்றும் எண்ணெய் ஆகியவற்றை கலக்கவும்.
இப்போது ஈரமான மூலப்பொருளை உலர்ந்த பொருட்களுடன் நன்கு கலக்கும் வரை கலக்கவும். அதிகமாக கலக்க வேண்டாம். நறுக்கிய வால்நட்ஸைப் பயன்படுத்தினால், சிறிது மாவுடன் தூவி, மாவுடன் மெதுவாக கலக்கவும்.
நெய் தடவிய பேக்கிங் டின்னில் ஊற்றி, கலவை சமமாக படியும் வகையில் பாத்திரத்தை லேசாகத் தட்டவும்.
180 டிகிரிக்கு முன்னதாகவே சூடாக்கப்பட்ட அடுப்பில் 35-40 நிமிடங்கள் அல்லது கேக்கின் மையத்தில் செருகப்பட்ட டூத்பிக் சுத்தமாக வரும் வரை சுடவும்.
முடிந்ததும், அதை 5-6 நிமிடங்கள் அடுப்பில் வைக்கவும். பின்னர் கேக் டின்னை அடுப்பிலிருந்து அகற்றி, கேக்கை ஒரு கம்பி ரேக்கிற்கு மாற்றி குளிர்விக்க வைக்கவும்.</t>
  </si>
  <si>
    <t>https://encrypted-tbn0.gstatic.com/images?q=tbn:ANd9GcRw2TN95hyIj0tWL4LoZOTTf5O7z2QFDuHWDQ&amp;s</t>
  </si>
  <si>
    <t>Easy Chocolate Cake</t>
  </si>
  <si>
    <t>எளிதான சாக்லேட் கேக்</t>
  </si>
  <si>
    <t xml:space="preserve">   All Purpose flour - 1 3/4 cup,
   Baking soda - 1 1/2 tsp,
   Baking powder - 1 1/2 tsp,
   Sugar - 2 cups,
   Cocoa powder - 75 grams,
   Salt - 1/2 tsp,
   Eggs - 2,
   Warm water - 1 cup,
   Milk – 1 cup,
   Oil - 1/2 cup ,
   Vanilla essence - 1 1/2 tsp.</t>
  </si>
  <si>
    <t>அனைத்து உபயோக மாவு - 1 3/4 கப்,
பேக்கிங் சோடா - 1 1/2 தேக்கரண்டி,
பேக்கிங் பவுடர் - 1 1/2 தேக்கரண்டி,
சர்க்கரை - 2 கப்,
கோகோ பவுடர் - 75 கிராம்,
உப்பு - 1/2 தேக்கரண்டி,
முட்டை - 2,
வெதுவெதுப்பான நீர் - 1 கப்,
பால் - 1 கப்,
எண்ணெய் - 1/2 கப்,
வெண்ணிலா எசன்ஸ் - 1 1/2 தேக்கரண்டி.</t>
  </si>
  <si>
    <t>In a bowl, add powdered sugar.
Then add all purpose flour (mixed with baking powder, baking soda and salt)
Add cocoa powder and mix well with a wire whisk. Our dry ingredient is ready.
In another bowl, whisk eggs, then add warm water.
Add milk (should be lukewarm) and oil to the egg mixture.
Add vanilla essence and whisk everything together. Wet ingredient is ready.
Both the dry ingredients and wet ingredients are ready. Now add the wet ingredients to the dry ingredients.
Stir or mix until well combined. There should be no lumps.The batter will be watery.
Pour it into the prepared pan up to 3/4th and bake at 180 degree C for 25-30 minutes or until a toothpick inserted in the center of the cake comes out clean. Remove from oven and let it cool for 10 minutes. Then remove the cake from their pans and leave it to cool completely. Do not be in a hurry to cut the cake.</t>
  </si>
  <si>
    <t>ஒரு கிண்ணத்தில், தூள் சர்க்கரை சேர்க்கவும்.
பின்னர் அனைத்து உபயோக மாவு (பேக்கிங் பவுடர், பேக்கிங் சோடா மற்றும் உப்பு சேர்த்து) சேர்க்கவும்
கோகோ பவுடரைச் சேர்த்து ஒரு கம்பி துடைப்பத்தால் நன்கு கலக்கவும். எங்கள் உலர்ந்த மூலப்பொருள் தயாராக உள்ளது.
மற்றொரு கிண்ணத்தில், முட்டைகளை அடித்து, பின்னர் வெதுவெதுப்பான நீரைச் சேர்க்கவும்.
முட்டை கலவையில் பால் (வெதுவெதுப்பாக இருக்க வேண்டும்) மற்றும் எண்ணெயைச் சேர்க்கவும்.
வெண்ணிலா எசன்ஸைச் சேர்த்து எல்லாவற்றையும் ஒன்றாக அடிக்கவும். ஈரமான மூலப்பொருள் தயாராக உள்ளது.
உலர்ந்த பொருட்கள் மற்றும் ஈரமான பொருட்கள் இரண்டும் தயாராக உள்ளன. இப்போது ஈரமான பொருட்களை உலர்ந்த பொருட்களில் சேர்க்கவும்.
நன்கு கலக்கும் வரை கிளறவும் அல்லது கலக்கவும். கட்டிகள் இருக்கக்கூடாது. மாவு தண்ணீராக இருக்கும்.
தயாரிக்கப்பட்ட பாத்திரத்தில் 3/4 பங்கு வரை ஊற்றி 180 டிகிரி செல்சியஸ் வெப்பநிலையில் 25-30 நிமிடங்கள் அல்லது கேக்கின் மையத்தில் செருகப்பட்ட ஒரு டூத்பிக் சுத்தமாக வெளியே வரும் வரை சுடவும். அடுப்பிலிருந்து இறக்கி 10 நிமிடங்கள் ஆற விடவும். பின்னர் கேக்கை அவற்றின் பாத்திரங்களிலிருந்து எடுத்து முழுமையாக ஆற விடவும். கேக்கை வெட்ட அவசரப்பட வேண்டாம்.</t>
  </si>
  <si>
    <t>https://www.cookingclassy.com/wp-content/uploads/2022/04/easy-chocolate-cake-2-500x500.jpg</t>
  </si>
  <si>
    <t>Varagu Upma</t>
  </si>
  <si>
    <t>வரகு உப்புமா</t>
  </si>
  <si>
    <t xml:space="preserve">  Onion-1/2 cup ,
   Green chilli - 1 slit,
   Ginger - 1 inch piece,
   Mixed vegetables - 1 cup,
   Varagu/ kodo millet - 1/2 cup,
   Water - 1 1/2 cup,
   Salt needed,
   Oil - 2 tsp,
   Mustard seeds - 1 tsp,
   Urad dal - 1 tsp,
   Red chilli - 1,
   Hing - a pinch,
   Curry leaves.
</t>
  </si>
  <si>
    <t>வெங்காயம்-1/2 கப்,
பச்சை மிளகாய் - 1 துண்டு,
இஞ்சி - 1 அங்குல துண்டு,
கலவை காய்கறிகள் - 1 கப்,
வரகு/கோடோ தினை - 1/2 கப்,
தண்ணீர் - 1 1/2 கப்,
உப்பு தேவை,
எண்ணெய் - 2 தேக்கரண்டி,
கடுகு - 1 தேக்கரண்டி,
உரத்த பருப்பு - 1 தேக்கரண்டி,
சிவப்பு மிளகாய் - 1,
ஹிங் - ஒரு சிட்டிகை,
கறிவேப்பிலை.</t>
  </si>
  <si>
    <t>Heat oil in a pan, add mustard seeds, when it splutters, add urad dal, red chillies and hing.
When dal turns golden brown, add finely chopped onions, green chilli, ginger, curry leaves and saute until onions turn transparent.
Then add all the vegetables (carrot, beans, peas and potato) and saute for a few minutes.
Add 1 1/2 cup of water and salt needed. (taste the water and see if the salt added is enough. If the water is a bit salty, it will be perfect once you add millets.) 
When water starts boiling, lower the heat and add the millets stirring continuously. Cover and cook on low heat stirring from time to time.
Serve hot with any chutney of your choice.</t>
  </si>
  <si>
    <t>ஒரு கடாயில் எண்ணெயை சூடாக்கி, கடுகு சேர்த்து, அது வதங்கியதும், உளுத்தம் பருப்பு, சிவப்பு மிளகாய் மற்றும் ஹிங் சேர்க்கவும்.
பருப்பு பொன்னிறமாக மாறியதும், இறுதியாக நறுக்கிய வெங்காயம், பச்சை மிளகாய், இஞ்சி, கறிவேப்பிலை சேர்த்து வெங்காயம் வெளிப்படையானதாக மாறும் வரை வதக்கவும்.
பின்னர் அனைத்து காய்கறிகளையும் (கேரட், பீன்ஸ், பட்டாணி மற்றும் உருளைக்கிழங்கு) சேர்த்து சில நிமிடங்கள் வதக்கவும்.
1 1/2 கப் தண்ணீர் மற்றும் தேவையான உப்பு சேர்க்கவும். (தண்ணீரை ருசித்துப் பாருங்கள், உப்பு போதுமானதா என்று பாருங்கள். தண்ணீர் கொஞ்சம் உப்பாக இருந்தால், தினையைச் சேர்த்தவுடன் அது சரியாக இருக்கும்.)
தண்ணீர் கொதிக்க ஆரம்பித்ததும், தீயைக் குறைத்து, தினைகளைச் சேர்த்து தொடர்ந்து கிளறிக்கொண்டே இருங்கள். மூடி வைத்து, அவ்வப்போது கிளறி குறைந்த தீயில் சமைக்கவும்.
உங்களுக்கு விருப்பமான எந்த சட்னியுடன் சூடாகப் பரிமாறவும்.</t>
  </si>
  <si>
    <t>https://img-global.cpcdn.com/recipes/9fea1d54a8c3c4f6/680x482cq70/%E0%AE%B5%E0%AE%B0%E0%AE%95-%E0%AE%89%E0%AE%AA%E0%AE%AA%E0%AE%AEvaragu-upma-recipe-in-tamil-%E0%AE%9A%E0%AE%AF%E0%AE%AE%E0%AE%B1-%E0%AE%AE%E0%AE%95%E0%AE%95%E0%AE%AF-%E0%AE%AA%E0%AE%95%E0%AE%AA%E0%AE%AA%E0%AE%9F%E0%AE%AE.jpg</t>
  </si>
  <si>
    <t>Schezwan Fried Rice</t>
  </si>
  <si>
    <t>ஷெஸ்வான் ஃபிரைடு ரைஸ்</t>
  </si>
  <si>
    <t xml:space="preserve">   Cooked Rice – 3 cups,
   Oil – 2 tbsp,
   Onion - 1 ,
   Garlic minced – 2 tbsp,
   Mixed Vegetables – 1 1/2 cups (carrot,cabbage and bell pepper),
   Ching’s Secret Miracle Schezwan Fried Rice masala - 2 tsp flat,
   Spring onion greens – 2 tbsp,
   Pepper powder to taste,
   Salt to taste,
   Spring onion greens – 2 tbsp.</t>
  </si>
  <si>
    <t>சமைத்த அரிசி - 3 கப்,
எண்ணெய் - 2 டேபிள்ஸ்பூன்,
வெங்காயம் - 1 ,
பூண்டு நறுக்கியது - 2 டேபிள்ஸ்பூன்,
மிக்ஸ்டு வெஜிடபிள்ஸ் - 1 1/2 கப் (கேரட், முட்டைக்கோஸ் மற்றும் பெல் பெப்பர்),
சிங்ஸ் சீக்ரெட் மிராக்கிள் ஷெஸ்வான் ஃபிரைடு ரைஸ் மசாலா - 2 டேபிள்ஸ்பூன்,
வெங்காய கீரைகள் - 2 டேபிள்ஸ்பூன்,
மிளகு தூள் சுவைக்கேற்ப,
உப்பு சுவைக்கேற்ப,
வெங்காய கீரைகள் - 2 டேபிள்ஸ்பூன்.</t>
  </si>
  <si>
    <t>Heat oil in a pan, add chopped onions, garlic and saute until onions turn transparent.
Then add all the vegetables including spring onion greens and stir fry for 2 minutes on high flame. Add schezwan fried rice masala, salt needed and stir fry for another 2 minutes. Then add cooked rice and mix well.
Add pepper powder to taste. Garnish with spring onion greens and serve hot. If needed, you can make Vegetable manchurian gravy or cauliflower manchurian as a side dish for this.</t>
  </si>
  <si>
    <t>ஒரு கடாயில் எண்ணெயை சூடாக்கி, நறுக்கிய வெங்காயம், பூண்டு சேர்த்து வெங்காயம் வெளிப்படையானதாக மாறும் வரை வதக்கவும்.
பின்னர் வெங்காய கீரைகள் உட்பட அனைத்து காய்கறிகளையும் சேர்த்து அதிக தீயில் 2 நிமிடங்கள் வதக்கவும். ஷெஸ்வான் ஃபிரைடு ரைஸ் மசாலா, தேவையான உப்பு சேர்த்து மேலும் 2 நிமிடங்கள் வதக்கவும். பின்னர் சமைத்த அரிசியைச் சேர்த்து நன்கு கலக்கவும்.
மிளகுத் தூள் சுவைக்கேற்ப சேர்க்கவும். வெங்காய கீரைகளால் அலங்கரித்து சூடாகப் பரிமாறவும். தேவைப்பட்டால், நீங்கள் இதற்கு ஒரு பக்க உணவாக வெஜிடபிள் மஞ்சூரியன் கிரேவி அல்லது காலிஃபிளவர் மஞ்சூரியன் செய்யலாம்.</t>
  </si>
  <si>
    <t>https://encrypted-tbn0.gstatic.com/images?q=tbn:ANd9GcQfz0B6-nMwWc5R9ZVdPqULfE-YH_8qabiaYw&amp;s</t>
  </si>
  <si>
    <t>Garlic Rice</t>
  </si>
  <si>
    <t>பூண்டு சாதம்</t>
  </si>
  <si>
    <t xml:space="preserve">   Rice - 1 cup,
   Garlic – 12 cloves,
   shallots - 8-10,
   Ginger - 1/2 inch piece,
   Curry leaves,
   Tamarind – a small pea sized ball ,
   Urad dal – 1 tbsp,
   channa dal - 1 tsp,
   Red chillies - 4-5,
  asafoetida – a pinch,
   Sesame seed oil – 2 tbsp,
   Salt as neeeded,
   Oil – 1 tsp,
   Mustard seeds - 1/2 tsp,
   Curry leaves – few.</t>
  </si>
  <si>
    <t>அரிசி - 1 கப்,
பூண்டு - 12 பல்,
வெங்காயத்தாள் - 8-10,
இஞ்சி - 1/2 அங்குல துண்டு,
கறிவேப்பிலை,
புளி - ஒரு சிறிய பட்டாணி அளவு உருண்டை,
உளுத்தம்பருப்பு - 1 டீஸ்பூன்,
கடலை பருப்பு - 1 டீஸ்பூன்,
சிவப்பு மிளகாய் - 4-5,
பெருங்காயம் - ஒரு சிட்டிகை,
எள் விதை எண்ணெய் - 2 டீஸ்பூன்,
தேவையான அளவு உப்பு,
எண்ணெய் - 1 டீஸ்பூன்,
கடுகு - 1/2 டீஸ்பூன்,
கறிவேப்பிலை - சிறிது.</t>
  </si>
  <si>
    <t>Heat oil in a pan, add urad dal, channa dal and saute until it turns golden brown. Remove from pan. In the same pan, saute red chillies for a few seconds and remove it.
In the same pan, saute onion and garlic until onion turns translucent. Add ginger, curry leaves, hing, tamarind, salt needed and saute for a few more minutes. Leave it to cool.
Grind dal along with red chillies first to a smooth paste. Then add the onion garlic mixture and grind it slightly coarse.
Heat oil in a pan/kadai, add mustard seeds, when it splutters, add curry leaves, cooked rice, ground paste and mix it well gently. Remove from heat.
Delicious and healthy Garlic rice is ready. Serve it with papads, chips or potato fry.</t>
  </si>
  <si>
    <t>ஒரு கடாயில் எண்ணெயை சூடாக்கி, உளுத்தம்பருப்பு, கடலை பருப்பு சேர்த்து பொன்னிறமாகும் வரை வதக்கவும். கடாயில் இருந்து எடுக்கவும். அதே கடாயில், சிவப்பு மிளகாயை சில நொடிகள் வதக்கி எடுத்து எடுக்கவும்.
அதே கடாயில், வெங்காயம் மற்றும் பூண்டை வெங்காயம் தெளிவாகும் வரை வதக்கவும். இஞ்சி, கறிவேப்பிலை, கீரை, புளி, தேவையான அளவு உப்பு சேர்த்து இன்னும் சில நிமிடங்கள் வதக்கவும். ஆறவிடவும்.
முதலில் பருப்பை சிவப்பு மிளகாய் சேர்த்து மென்மையான பேஸ்ட் வரை அரைக்கவும். பின்னர் வெங்காய பூண்டு கலவையைச் சேர்த்து சிறிது கரகரப்பாக அரைக்கவும்.
ஒரு கடாயில் / கடாயில் எண்ணெயை சூடாக்கி, கடுகு சேர்த்து, அது வெடித்ததும், கறிவேப்பிலை, சமைத்த அரிசி, அரைத்த விழுது சேர்த்து மெதுவாக கலக்கவும். அடுப்பிலிருந்து இறக்கவும்.
சுவையான மற்றும் ஆரோக்கியமான பூண்டு சாதம் தயார். பப்பாளி, சிப்ஸ் அல்லது உருளைக்கிழங்கு வறுவலுடன் பரிமாறவும்.</t>
  </si>
  <si>
    <t>https://www.simplyrecipes.com/thmb/Xv-6vi7cwe12MvRXzYBelcq7Pyg=/1500x0/filters:no_upscale():max_bytes(150000):strip_icc()/Simply-Recipes-Garlic-Fried-Rice-LEAD-3-7869fdcded86485ebc13ceacd93d7796.jpg</t>
  </si>
  <si>
    <t>Puli Aval</t>
  </si>
  <si>
    <t>புளி அவல்</t>
  </si>
  <si>
    <t>Poha - 1 cup,
Turmeric powder - 1/4 tsp,
Tamarind paste - 1 tsp,
Salt as needed,
Oil – 2 tsp,
Mustard seeds – 1 tsp,
Asafoetida – a generous pinch,
Bengal gram dal – 2 tsp,
Red chillies - 2,
Green chillies - 1,
Roasted peanuts - 2-3 tbsp,
Curry leaves.</t>
  </si>
  <si>
    <t>போஹா - 1 கப்,
மஞ்சள் தூள் - 1/4 தேக்கரண்டி,
புளி விழுது - 1 தேக்கரண்டி,
தேவைக்கேற்ப உப்பு,
எண்ணெய் - 2 தேக்கரண்டி,
கடுகு விதைகள் - 1 தேக்கரண்டி,
அசாஃபோடிடா - ஒரு சிட்டிகை,
வங்காள பருப்பு - 2 தேக்கரண்டி,
சிவப்பு மிளகாய் - 2,
பச்சை மிளகாய் - 1,
வறுத்த வேர்க்கடலை - 2-3 தேக்கரண்டி,
கறிவேப்பிலை.</t>
  </si>
  <si>
    <t>Wash aval/poha twice and drain the water completely. Add turmeric powder, thick tamarind extract (very less) or tamarind paste, little salt and mix it well. Keep it aside. In the meantime we will prepare the seasoning.
Heat oil in a kadai, add mustard seeds, when it splutters, add hing, channa dal, red chillies, green chillies, peanuts, salt needed and curry leaves. 
When dal turns golden brown, fluff poha and add to it. Mix well, check for salt and cook for 2-3 minutes.
Switch off the flame and serve with potato chips or papads or vadams.</t>
  </si>
  <si>
    <t>அவல்/போஹாவை இரண்டு முறை கழுவி தண்ணீரை முழுவதுமாக வடிகட்டவும். மஞ்சள் தூள், கெட்டியான புளி சாறு (மிகக் குறைவாக) அல்லது புளி விழுது, சிறிது உப்பு சேர்த்து நன்கு கலக்கவும். அதை ஒதுக்கி வைக்கவும். இதற்கிடையில், நாங்கள் தாளிக்க தயார் செய்வோம்.
ஒரு கடாயில் எண்ணெயை சூடாக்கி, கடுகு சேர்த்து, அது வதங்கியதும், கீரை, சன்னா பருப்பு, சிவப்பு மிளகாய், பச்சை மிளகாய், வேர்க்கடலை, தேவையான உப்பு மற்றும் கறிவேப்பிலை சேர்க்கவும்.
பருப்பு பொன்னிறமாக மாறியதும், போஹாவை சேர்த்து நன்கு கலந்து, உப்பு சரிபார்த்து 2-3 நிமிடங்கள் சமைக்கவும்.
**தீயை அணைத்துவிட்டு உருளைக்கிழங்கு சிப்ஸ் அல்லது பப்படம் அல்லது வடாம் உடன் பரிமாறவும்.</t>
  </si>
  <si>
    <t>https://encrypted-tbn0.gstatic.com/images?q=tbn:ANd9GcTJBanI8PevTtvAqZ1jIK5BaW0MvXSOmQehnQ&amp;s</t>
  </si>
  <si>
    <t>Spinach Sandwich</t>
  </si>
  <si>
    <t>கீரை சாண்ட்விச்</t>
  </si>
  <si>
    <t xml:space="preserve">  Brown bread – 6,
  Butter as needed,
   Onion - 1,
   Potatoes – 1 ,
   Spinach - 1 cup chopped,
   Chilli powder – 1/2 tsp,
   Green chilli - 1 ,
   Salt needed,
   Oil - 2 tsp,
   Cumin seeds – 1/2 tsp.</t>
  </si>
  <si>
    <t>பிரவுன் பிரெட் – 6,
வெண்ணெய் தேவைக்கேற்ப,
வெங்காயம் - 1,
உருளைக்கிழங்கு – 1 ,
கீரை - 1 கப் நறுக்கியது,
மிளகாய் தூள் – 1/2 தேக்கரண்டி,
பச்சை மிளகாய் - 1 ,
உப்பு தேவை,
எண்ணெய் - 2 தேக்கரண்டி,
சீரகம் – 1/2 தேக்கரண்டி.</t>
  </si>
  <si>
    <t>Heat oil in a pan, add cumin seeds, when it sizzles, add finely chopped onion, green chilli and saute until onions turn transparent.
Add potatoes, salt, chilli powder and cook for 2-3 minutes.
Then add spinach leaves and cook until it wilts. Leave it to cool.
Apply butter on both sides of the bread, place 2 tbsp of spinach potato mixture, close it with another buttered bread and toast using a sandwich toaster. If you do not have a toaster, you can use a tawa.
Serve hot as such or with tomato ketchup.</t>
  </si>
  <si>
    <t>ஒரு கடாயில் எண்ணெயை சூடாக்கி, சீரகம் சேர்த்து, அது வதங்கியதும், இறுதியாக நறுக்கிய வெங்காயம், பச்சை மிளகாய் சேர்த்து வெங்காயம் வெளிப்படையானதாக மாறும் வரை வதக்கவும்.
உருளைக்கிழங்கு, உப்பு, மிளகாய் தூள் சேர்த்து 2-3 நிமிடங்கள் சமைக்கவும்.
பின்னர் கீரை இலைகளைச் சேர்த்து, அது வாடும் வரை சமைக்கவும். அதை குளிர்விக்க விடவும்.
ரொட்டியின் இருபுறமும் வெண்ணெய் தடவி, 2 தேக்கரண்டி கீரை உருளைக்கிழங்கு கலவையை வைத்து, வெண்ணெய் தடவிய மற்றொரு ரொட்டியுடன் மூடி, சாண்ட்விச் டோஸ்டரைப் பயன்படுத்தி டோஸ்ட் செய்யவும். உங்களிடம் டோஸ்டர் இல்லையென்றால், நீங்கள் ஒரு தவாவைப் பயன்படுத்தலாம்.
சூடாகவோ அல்லது தக்காளி கெட்ச்அப்போடு பரிமாறவும்.</t>
  </si>
  <si>
    <t>https://recipesblob.oetker.in/assets/92f19e14b3a44217946ca19ea164d936/1272x764/corn-and-spinach.jpg</t>
  </si>
  <si>
    <t>Rava Upma</t>
  </si>
  <si>
    <t>ரவா உப்புமா</t>
  </si>
  <si>
    <t xml:space="preserve">    semolina – 1 cup,
   Onion – 1,
   Green chilli - 1,
   Ginger – 1 inch piece ,
   Water – 2 cups,
   Ghee – 3/4 tsp ,
   Salt needed,
   Oil – 3 tsp,
   Mustard seeds - 1 tsp,
   Urad dal – 3/4 tsp,
   Red chillies - 1,
   Curry leaves.</t>
  </si>
  <si>
    <t>ரவை - 1 கப்,
வெங்காயம் - 1,
பச்சை மிளகாய் - 1,
இஞ்சி - 1 அங்குல துண்டு,
தண்ணீர் - 2 கப்,
நெய் - 3/4 தேக்கரண்டி,
உப்பு தேவை,
எண்ணெய் - 3 தேக்கரண்டி,
கடுகு - 1 தேக்கரண்டி,
உளுத்தம் பருப்பு - 3/4 தேக்கரண்டி,
சிவப்பு மிளகாய் - 1,
கறிவேப்பிலை.</t>
  </si>
  <si>
    <t>Heat 3 tsp of oil, add mustard seeds, when it splutters, add urad dal, red chillies and curry leaves.
When dal turns golden brown, add chopped onions, green chillies and ginger.
Saute until onions turn transparent.
sauteing onions for upma
Then add 2 cups of water, ghee and salt needed. Taste the water and check for salt.(if it is a bit salty, then it will become perfect after adding rava).
When the water starts boiling, reduce the flame to low, add rava gradually with one hand and keep stirring with your other hand.
ravai upma
Once the rava absorbs all the water, cover and cook on low flame for 6-7 minutes. Do not forget to stir in between.
Delicious rava upma is ready to be served. It can be paired with Tomato chutney, coconut chutney, sambar or any pickle.</t>
  </si>
  <si>
    <t>3 தேக்கரண்டி எண்ணெயை சூடாக்கி, கடுகு சேர்த்து, அது வதங்கியதும், உளுத்தம் பருப்பு, சிவப்பு மிளகாய் மற்றும் கறிவேப்பிலை சேர்க்கவும்.
பருப்பு பொன்னிறமாக மாறியதும், நறுக்கிய வெங்காயம், பச்சை மிளகாய் மற்றும் இஞ்சி சேர்க்கவும்.
வெங்காயம் வெளிப்படையானதாக மாறும் வரை வதக்கவும்.
உப்புமாவுக்கு வெங்காயம் வதக்கவும்
பின்னர் 2 கப் தண்ணீர், நெய் மற்றும் தேவையான அளவு உப்பு சேர்க்கவும். தண்ணீரை ருசித்து, உப்பு இருக்கிறதா என்று பாருங்கள். (கொஞ்சம் காரம் இருந்தால், ரவை சேர்த்த பிறகு அது சரியானதாக மாறும்).
தண்ணீர் கொதிக்க ஆரம்பித்ததும், தீயைக் குறைத்து, ஒரு கையால் படிப்படியாக ரவையைச் சேர்த்து, மற்றொரு கையால் கிளறவும்.
ரவாய் உப்மா
ரவை அனைத்து தண்ணீரையும் உறிஞ்சியதும், மூடி வைத்து குறைந்த தீயில் 6-7 நிமிடங்கள் சமைக்கவும். இடையில் கிளற மறக்காதீர்கள்.
சுவையான ரவா உப்மா பரிமாற தயாராக உள்ளது. இதை தக்காளி சட்னி, தேங்காய் சட்னி, சாம்பார் அல்லது வேறு எந்த ஊறுகாயுடனும் இணைக்கலாம்.</t>
  </si>
  <si>
    <t>https://static.toiimg.com/thumb/84709540.cms?imgsize=221435&amp;width=800&amp;height=800</t>
  </si>
  <si>
    <t>Chapati Rolls</t>
  </si>
  <si>
    <t xml:space="preserve">சப்பாத்தி ரோல்ஸ்
</t>
  </si>
  <si>
    <t>Chapati or phulka - 5,
Onion - 1 big,
Ginger-garlic paste - 1 tsp,
Green chillies - 1,
Tomato – 2 medium size,
Capsicum -1 medium size,
Paneer – 150 grams,
Turmeric powder – 1/4 tsp,
Cumin powder - 1 tsp,
Coriander powder - 2 tsp,
Chilli powder – 1/2 tsp,
Kitchen King Masala - 1 tsp,
Salt needed,
Oil – 1 tbsp,
Cumin seeds – 1 tsp.</t>
  </si>
  <si>
    <t>சப்பாத்தி அல்லது புல்கா - 5,
வெங்காயம் - 1 பெரியது,
இஞ்சி-பூண்டு விழுது - 1 தேக்கரண்டி,
பச்சை மிளகாய் - 1,
தக்காளி - 2 நடுத்தர அளவு,
கேப்சிகம் - 1 நடுத்தர அளவு,
பனீர் - 150 கிராம்,
மஞ்சள் தூள் - 1/4 தேக்கரண்டி,
சீரக தூள் - 1 தேக்கரண்டி,
கொத்தமல்லி தூள் - 2 தேக்கரண்டி,
மிளகாய் தூள் - 1/2 தேக்கரண்டி,
கிச்சன் கிங் மசாலா - 1 தேக்கரண்டி,
உப்பு தேவை,
எண்ணெய் - 1 தேக்கரண்டி,
சீரக விதைகள் - 1 தேக்கரண்டி.</t>
  </si>
  <si>
    <t>Heat oil, add cumin seeds, when it splutters, add finely chopped onions and green chillies. Saute until onions turn transparent.
Add ginger garlic paste and saute for a few more minutes.
Add tomatoes, all the spice powder and salt needed. Cook until tomatoes become mushy.
Add chopped capsicum and cook for a few more minutes.
Once the capsicum gets cooked a little, add the cubed paneer pieces. Mix well and cook for 2-3 minutes until the masala gets coated with the paneer pieces well.
Add finely chopped coriander leaves. Switch off the flame. Let it cool a little.
Take a chapati, keep 2 tbsp of stuffing vertically, fold  a little at the bottom as shown below and roll it from the side tightly.</t>
  </si>
  <si>
    <t>எண்ணெய் சூடாக்கி, சீரகம் சேர்த்து, அது வதங்கியதும், இறுதியாக நறுக்கிய வெங்காயம் மற்றும் பச்சை மிளகாய் சேர்க்கவும். வெங்காயம் வெளிப்படையானதாக மாறும் வரை வதக்கவும்.
இஞ்சி பூண்டு விழுது சேர்த்து இன்னும் சில நிமிடங்கள் வதக்கவும்.
தக்காளி, தேவையான அனைத்து மசாலா தூள் மற்றும் உப்பு சேர்த்து. தக்காளி மென்மையாகும் வரை சமைக்கவும்.
நறுக்கிய கேப்சிகம் சேர்த்து இன்னும் சில நிமிடங்கள் சமைக்கவும்.
கேப்சிகம் சிறிது வெந்தவுடன், துண்டுகளாக்கப்பட்ட பனீர் துண்டுகளைச் சேர்க்கவும். நன்கு கலந்து, பனீர் துண்டுகளுடன் மசாலா நன்றாகப் பூசும் வரை 2-3 நிமிடங்கள் சமைக்கவும்.
பொடியாக நறுக்கிய கொத்தமல்லி இலைகளைச் சேர்க்கவும். தீயை அணைத்து, சிறிது ஆற விடவும்.
ஒரு சப்பாத்தியை எடுத்து, 2 டேபிள்ஸ்பூன் ஸ்டஃபிங்கை செங்குத்தாக வைத்து, கீழே காட்டப்பட்டுள்ளபடி கீழே சிறிது மடித்து, பக்கவாட்டில் இறுக்கமாக உருட்டவும்.</t>
  </si>
  <si>
    <t>https://recipesblob.oetker.in/assets/b777acee3b1b47299ae7f47715e926fd/1272x764/roti-roll.webp</t>
  </si>
  <si>
    <t>Rajma Sandwich</t>
  </si>
  <si>
    <t>ராஜ்மா சாண்ட்விச்</t>
  </si>
  <si>
    <t xml:space="preserve">   Brown bread – 6,
   Onion – 1,
   Ginger – 1/2 inch piece ,
   Green chilli – 1 ,
   Rajma – 1/2 cup cooked,
   Pepper powder to taste,
   Salt needed,
   Butter for toasting the bread,
   For the seasoning,
   Oil – 2 tsp,
   Cumin seeds – 3/4 tsp.</t>
  </si>
  <si>
    <t>பிரவுன் பிரட் - 6,
வெங்காயம் - 1,
இஞ்சி - 1/2 அங்குல துண்டு,
பச்சை மிளகாய் - 1 ,
ராஜ்மா - 1/2 கப் சமைத்த,
மிளகு தூள் சுவைக்கு,
உப்பு தேவை,
ரொட்டியை வறுக்க வெண்ணெய்,
தாளிக்க,
எண்ணெய் - 2 தேக்கரண்டி,
சீரகம் - 3/4 தேக்கரண்டி.</t>
  </si>
  <si>
    <t>Heat 2 tsp of oil, add cumin seeds, when it splutters, add finely chopped onions, green chillies, ginger and saute until onions turn transparent. If it is for kids, you can add 1/2 tsp chilli powder instead of green chillies.
Add the ground rajma, needed salt, pepper powder and mix it well.
Butter both sides of the bread, place 1-2 tbsp of the rajma filling and cover it with another buttered bread.
Place it in a sandwich toaster and toast until golden brown. If you do not have a sandwich toaster, use a tawa to toast the bread.
Cut diagonally and serve hot with tomato ketchup or tomato chutney.</t>
  </si>
  <si>
    <t>2 தேக்கரண்டி எண்ணெயை சூடாக்கி, சீரகம் சேர்த்து, அது வதங்கியதும், இறுதியாக நறுக்கிய வெங்காயம், பச்சை மிளகாய், இஞ்சி சேர்த்து வெங்காயம் வெளிப்படையானதாக மாறும் வரை வதக்கவும். குழந்தைகளுக்கு என்றால், பச்சை மிளகாய்க்கு பதிலாக 1/2 தேக்கரண்டி மிளகாய் தூள் சேர்க்கலாம்.
அரைத்த ராஜ்மா, தேவையான உப்பு, மிளகு தூள் சேர்த்து நன்கு கலக்கவும்.
ரொட்டியின் இருபுறமும் வெண்ணெய் தடவி, 1-2 தேக்கரண்டி ராஜ்மா நிரப்புதலை வைத்து, வெண்ணெய் தடவிய மற்றொரு ரொட்டியால் மூடி வைக்கவும்.
ஒரு சாண்ட்விச் டோஸ்டரில் வைத்து பொன்னிறமாகும் வரை டோஸ்ட் செய்யவும். உங்களிடம் சாண்ட்விச் டோஸ்டர் இல்லையென்றால், ரொட்டியை டோஸ்ட் செய்ய ஒரு தவாவைப் பயன்படுத்தவும்.
சற்றுச் சாய்வாக வெட்டி, தக்காளி கெட்ச்அப் அல்லது தக்காளி சட்னியுடன் சூடாகப் பரிமாறவும்.</t>
  </si>
  <si>
    <t>https://www.archanaskitchen.com//images/archanaskitchen/1-Author/Pooja_Thakur/Grilled_Rajma_Masala_Sandwich.jpg</t>
  </si>
  <si>
    <t>Chapati Kurma</t>
  </si>
  <si>
    <t>சப்பாத்தி குருமா</t>
  </si>
  <si>
    <t>Onion – 1 ,
Tomato -1 ,
Ginger garlic paste – 1 1/2 tsp,
Green chilli -1-2,
Turmeric powder - 1/4 tsp,
Sambar powder – 2 tsp, 
Cauliflower florets -1 cup,
Green peas – 1/4 cup,
Carrot - 1,
Beans – 5-6c,
Potato - 1,
Grated coconut -1/2 cup,
Fennel seeds - 1 tsp,
Chutney kadalai – 1 tbsp,
Cashew nuts – 2-3,
Oil – 1 tbsp,
Cloves - 2,
Cinnamon – 1 inch piece,
Coriander leaves.</t>
  </si>
  <si>
    <t>வெங்காயம் – 1 ,
தக்காளி -1 ,
இஞ்சி பூண்டு விழுது – 1 1/2 தேக்கரண்டி,
பச்சை மிளகாய் -1-2,
மஞ்சள் தூள் - 1/4 தேக்கரண்டி,
சாம்பார் தூள் – 2 தேக்கரண்டி,
காலிஃபிளவர் பூக்கள் -1 கப்,
பச்சை பட்டாணி – 1/4 கப்,
கேரட் - 1,
பீன்ஸ் – 5-6 கே,
உருளைக்கிழங்கு - 1,
தேங்காய் துருவல் -1/2 கப்,
வெந்தய விதைகள் - 1 தேக்கரண்டி,
சட்னி கடலை – 1 தேக்கரண்டி,
முந்திரி பருப்பு – 2-3,
எண்ணெய் – 1 தேக்கரண்டி,
கிராம்பு - 2,
இலவங்கப்பட்டை – 1 அங்குல துண்டு,
கொத்தமல்லி இலைகள்.</t>
  </si>
  <si>
    <t>Heat oil in a kadai/pan, add cloves and cinnamon, saute for 2-3 seconds and add chopped onions. Saute until onions turn transparent.
Add ginger garlic chilli paste and saute for a few more minutes until the raw flavor of the ginger goes.
Add chopped tomatoes, turmeric powder, sambar powder and cook for a few minutes until the tomatoes become soft.
Add all the vegetables, 1/4 cup of water, salt needed and cook covered until the vegetables are soft. (Since I prepared it in a pressure pan, I pressure cooked for 1 whistle and opened it after 5 minutes.If the pressure has not subsided, you can pour 1/2 cup of water on top of the cooker to release the pressure and then open it. Take care, if cooking in the pressure cooker as the vegetables should not be mushy).
Once the vegetables are cooked, add the ground coconut paste, water needed and cook in medium flame for 5 minutes. The kurma should not be too thick nor too watery, so add water accordingly.
Garnish with coriander leaves and serve as a side dish for chapati or poori or parotta.</t>
  </si>
  <si>
    <t>ஒரு கடாயில் எண்ணெயை சூடாக்கி, கிராம்பு மற்றும் இலவங்கப்பட்டை சேர்த்து, 2-3 வினாடிகள் வதக்கி, நறுக்கிய வெங்காயத்தைச் சேர்க்கவும். வெங்காயம் வெளிப்படையானதாக மாறும் வரை வதக்கவும்.
இஞ்சி பூண்டு மிளகாய் விழுது சேர்த்து, இஞ்சியின் பச்சை வாசனை போகும் வரை இன்னும் சில நிமிடங்கள் வதக்கவும்.
நறுக்கிய தக்காளி, மஞ்சள் தூள், சாம்பார் பொடி சேர்த்து தக்காளி மென்மையாகும் வரை சில நிமிடங்கள் சமைக்கவும்.
அனைத்து காய்கறிகளையும் சேர்த்து, 1/4 கப் தண்ணீர், தேவையான அளவு உப்பு சேர்த்து, காய்கறிகள் மென்மையாகும் வரை மூடி வைத்து சமைக்கவும். (நான் பிரஷர் பேனில் சமைத்ததால், 1 விசில் வேக வைத்து 5 நிமிடங்களுக்குப் பிறகு திறக்கிறேன். பிரஷர் குறையவில்லை என்றால், பிரஷரை விடுவிக்க குக்கரின் மேல் 1/2 கப் தண்ணீரை ஊற்றி பின்னர் திறக்கலாம். பிரஷர் குக்கரில் சமைக்க வேண்டும், ஏனெனில் காய்கறிகள் மென்மையாக இருக்கக்கூடாது).
காய்கறிகள் வெந்தவுடன், தேவையான அளவு தண்ணீர் சேர்த்து, மிதமான தீயில் 5 நிமிடங்கள் சமைக்கவும். குருமா மிகவும் கெட்டியாகவோ அல்லது அதிக தண்ணீராகவோ இருக்கக்கூடாது, எனவே அதற்கேற்ப தண்ணீரை சேர்க்கவும்.
கொத்தமல்லி இலைகளால் அலங்கரித்து, சப்பாத்தி அல்லது பூரி அல்லது பரோட்டாவிற்கு ஒரு பக்க உணவாக பரிமாறவும்.</t>
  </si>
  <si>
    <t>https://www.kannammacooks.com/wp-content/uploads/2014/10/Vegetable_kurma_curry_for_roti_parotta_recipe-1.jpg</t>
  </si>
  <si>
    <t>Tea leaves or powder – 1 1/2 tsp,
Ginger - 1/2 inch piece,
Cardamom – 1,
Milk – 1/2 cup,
Water - 1/3 cup,
Sugar to taste,
Tea strainer.</t>
  </si>
  <si>
    <t>தேயிலை இலைகள் அல்லது தூள் - 1 1/2 தேக்கரண்டி,
இஞ்சி - 1/2 அங்குல துண்டு,
ஏலக்காய் - 1,
பால் - 1/2 கப்,
தண்ணீர் - 1/3 கப்,
சுவைக்கேற்ப சர்க்கரை,
தேநீர் வடிகட்டி.</t>
  </si>
  <si>
    <t>1/3 கப் தண்ணீரை கொதிக்க வைக்கவும். தேநீர் தூள், நொறுக்கப்பட்ட இஞ்சி, ஏலக்காய் சேர்த்து மிதமான தீயில் 2 நிமிடங்கள் கொதிக்க வைக்கவும். நீங்கள் அதை வலுவாக விரும்பினால் அதிக நேரம் காய்ச்சவும்.
பால் சேர்த்து கொதிக்க வைக்கவும். பால் கொதித்து மேலே எழும்பும்போது, ​​தீயைக் குறைத்து, பின்னர் தீயை மீண்டும் அதிகரிக்கவும், பால் மீண்டும் மேலே வரட்டும். தீயை அணைத்துவிட்டு தேநீரை ஒரு தேநீர் கோப்பையில் வடிகட்டவும்.
சுவைக்கேற்ப சர்க்கரை சேர்க்கவும். வெள்ளை சர்க்கரைக்கு பதிலாக நாட்டு சக்கரை (இயற்கை சுத்திகரிக்கப்படாத கரும்பு சர்க்கரை) சேர்க்கலாம். நான் நாட்டு சக்கரையுடன் தேநீர் குடிப்பேன், எனக்கு அதிக வித்தியாசம் தெரியவில்லை. நீங்களும் இதை முயற்சி செய்யலாம்.
சூடான இந்திய இஞ்சி ஏலக்காய் தேநீரை அனுபவியுங்கள்!</t>
  </si>
  <si>
    <t>Broccoli Rice</t>
  </si>
  <si>
    <t>ப்ரோக்கோலி சாதம்</t>
  </si>
  <si>
    <t xml:space="preserve">   Basmati rice – 1 cup,
   Broccoli florets - 1 cup,
   Onion – 1 big,
   Ginger garlic paste – 1 tsp,
   Green chilli – 2-3 slit,
   Mint leaves – fistful,
   Coriander leaves ,
   Fresh Lemon juice – 1 tbsp,
   Salt needed,
   Oil – 1 tbsp,
   Cloves – 2,
   Cinnamon – 1 inch piece,
   Cardamom – 1.</t>
  </si>
  <si>
    <t>பாஸ்மதி அரிசி - 1 கப்,
ப்ரோக்கோலி பூக்கள் - 1 கப்,
வெங்காயம் - 1 பெரியது,
இஞ்சி பூண்டு விழுது - 1 டீஸ்பூன்,
பச்சை மிளகாய் - 2-3 துண்டுகள்,
புதினா இலைகள் - ஒரு கைப்பிடி,
கொத்தமல்லி இலைகள் ,
புதிய எலுமிச்சை சாறு - 1 டீஸ்பூன்,
உப்பு தேவை,
எண்ணெய் - 1 டீஸ்பூன்,
கிராம்பு - 2,
இலவங்கப்பட்</t>
  </si>
  <si>
    <t>Heat oil, add cloves, cinnamon, cardamon, saute for 2-3 seconds and add finely chopped onions and green chillies.
Saute until onions turn pink and then add ginger garlic paste or finely chopped ginger and garlic (1 inch ginger and 1 tbsp of garlic minced).
Saute for a few more minutes, then add broccoli florets, finely chopped coriander, mint leaves and salt needed. Cover and cook until the broccoli  is fork-tender but still crunchy. (Broccoli gets cooked faster, so keep an eye on it. If overcooked, broccoli becomes soft and mushy and looses its nutrients and flavor. The broccoli should retain its crunchiness, so take care not to overcook the broccoli.)
Once the broccoli is slightly cooked, add the cooked rice and mix well. Serve hot with any tomato based gravy or raita.</t>
  </si>
  <si>
    <t>எண்ணெய் சூடாக்கி, கிராம்பு, இலவங்கப்பட்டை, ஏலக்காய் சேர்த்து, 2-3 விநாடிகள் வதக்கி, இறுதியாக நறுக்கிய வெங்காயம் மற்றும் பச்சை மிளகாய் சேர்க்கவும்.
வெங்காயம் இளஞ்சிவப்பு நிறமாக மாறும் வரை வதக்கி, பின்னர் இஞ்சி பூண்டு விழுது அல்லது இறுதியாக நறுக்கிய இஞ்சி மற்றும் பூண்டு (1 அங்குல இஞ்சி மற்றும் 1 தேக்கரண்டி பூண்டு பொடியாக நறுக்கியது) சேர்க்கவும்.
இன்னும் சில நிமிடங்கள் வதக்கி, பின்னர் ப்ரோக்கோலி பூக்கள், இறுதியாக நறுக்கிய கொத்தமல்லி, புதினா இலைகள் மற்றும் உப்பு சேர்க்கவும். ப்ரோக்கோலி மென்மையாகும் வரை மூடி வைத்து, மொறுமொறுப்பாக மாறும் வரை சமைக்கவும். (ப்ரோக்கோலி சீக்கிரம் வெந்துவிடும், அதனால் அதைக் கவனியுங்கள். அதிகமாக வெந்தால், ப்ரோக்கோலி மென்மையாகவும், மென்மையாகவும் மாறி, அதன் ஊட்டச்சத்துக்கள் மற்றும் சுவையை இழக்கும். ப்ரோக்கோலி அதன் மொறுமொறுப்பான தன்மையைத் தக்க வைத்துக் கொள்ள வேண்டும், எனவே ப்ரோக்கோலி அதிகமாக வேகாமல் பார்த்துக் கொள்ளுங்கள்.)
ப்ரோக்கோலி சிறிது வெந்தவுடன், சமைத்த அரிசியைச் சேர்த்து நன்கு கலக்கவும். தக்காளி சார்ந்த கிரேவி அல்லது ரைத்தாவுடன் சூடாகப் பரிமாறவும்.</t>
  </si>
  <si>
    <t>https://cdn.loveandlemons.com/wp-content/uploads/2020/04/broccoli-rice.jpg</t>
  </si>
  <si>
    <t>Onion – 1/4 cup sliced lengthwise,
Gram flour - 1/3 cup + 1 tsp,
Rice flour - 2 1/2 tbsp,
Chilli powder - 3/4 tsp,
Hot oil – 1 tsp,
Hing – a pinch,
Salt as needed,
Oil for deep frying pakoras.</t>
  </si>
  <si>
    <t>வெங்காயம் - 1/4 கப் நீளவாக்கில் நறுக்கியது,
கிராம் மாவு - 1/3 கப் + 1 டீஸ்பூன்,
அரிசி மாவு - 2 1/2 டீஸ்பூன்,
மிளகாய்த்தூள் - 3/4 டீஸ்பூன்,
சூடான எண்ணெய் - 1 டீஸ்பூன்,
ஹிங் - ஒரு சிட்டிகை,
தேவைக்கேற்ப உப்பு,
பக்கோடாக்களை ஆழமாக வறுக்க எண்ணெய்.</t>
  </si>
  <si>
    <t xml:space="preserve">Heat oil in a kadai. To check if the oil is hot enough to fry the pakodas, drop a little batter into the oil, if the batter raises to the surface immediately, the oil is ready for frying the pakodas.
Reduce the heat to medium, take a little prepared pakoda batter and drop it into the oil as shown in the picture below. Do not make balls or shape it, this pakoda should be shapeless.
Fry until golden brown, stirring in between. Remove it from the oil and drain excess oil on a colander or paper towel.
Serve onion pokoda with a hot cup of tea, coffee or South Indian Filter coffee. </t>
  </si>
  <si>
    <t>ஒரு கடாயில் எண்ணெயை சூடாக்கவும். பக்கோடாக்களை வறுக்க எண்ணெய் போதுமான அளவு சூடாக இருக்கிறதா என்று சோதிக்க, சிறிது மாவை எண்ணெயில் விடவும், மாவு உடனடியாக மேல்நோக்கி உயர்ந்தால், எண்ணெய் பக்கோடாக்களை வறுக்க தயாராக உள்ளது.
தீயை நடுத்தரமாகக் குறைத்து, சிறிது தயாரிக்கப்பட்ட பக்கோடா மாவை எடுத்து கீழே உள்ள படத்தில் காட்டப்பட்டுள்ளபடி எண்ணெயில் போடவும். உருண்டைகளாகவோ அல்லது வடிவமைக்கவோ வேண்டாம், இந்த பக்கோடா வடிவமற்றதாக இருக்க வேண்டும்.
இடையே கிளறி, பொன்னிறமாகும் வரை வறுக்கவும். எண்ணெயிலிருந்து அகற்றி, அதிகப்படியான எண்ணெயை ஒரு வடிகட்டி அல்லது காகிதத் துண்டில் வடிகட்டவும்.
வெங்காயப் போக்கோடாவை ஒரு சூடான தேநீர், காபி அல்லது தென்னிந்திய ஃபில்டர் காபியுடன் பரிமாறவும்.</t>
  </si>
  <si>
    <t>Aloo Bhindi Sabzi</t>
  </si>
  <si>
    <t>ஆலு பிந்தி சப்ஸி</t>
  </si>
  <si>
    <t xml:space="preserve">   Onion – 1 cup thinly sliced,
   Green chilli – 1 slit,
   Ginger garlic paste – 1 tsp,
   Potato – 3/4 cup medium sized pieces,
   Lady’s finger – 18-20 medium ones,
   Salt as needed,
   Turmeric powder -1/4 tsp,
   Coriander powder – 2 tsp,
   Chilli powder - 1 tsp,
   Garam masala powder - 1/2 tsp,
   Oil – 2 tbsp,
   Cumin seeds – 1 tsp.</t>
  </si>
  <si>
    <t>வெங்காயம் - 1 கப் மெல்லியதாக நறுக்கியது,
பச்சை மிளகாய் - 1 துண்டு,
இஞ்சி பூண்டு விழுது - 1 தேக்கரண்டி,
உருளைக்கிழங்கு - 3/4 கப் நடுத்தர அளவிலான துண்டுகள்,
வெண்டைக்காய் - 18-20 நடுத்தர துண்டுகள்,
தேவைக்கேற்ப உப்பு,
மஞ்சள் தூள் - 1/4 தேக்கரண்டி,
கொத்தமல்லி தூள் - 2 தேக்கரண்டி,
மிளகாய் தூள் - 1 தேக்கரண்டி,
கரம் மசாலா தூள் - 1/2 தேக்கரண்டி,
எண்ணெய் - 2 தேக்கரண்டி,
சீரகம் - 1 தேக்கரண்டி.</t>
  </si>
  <si>
    <t>Heat 1-1 1/2 tbsp of oil and saute lady’s finger adding a little salt (uncovered) until they brown slightly. Keep it aside.
In a separate pan, heat 1 tbsp of oil, add cumin seeds, when it sizzles, add sliced onions and green chilli.
Saute until onions turn golden brown, then add ginger garlic paste and saute for a few more minutes.
Add cubed potatoes, turmeric powder, chilli powder, coriander powder, salt needed and cook covered until potatoes are half done. Stir in between to prevent it from getting burnt.
Then add the sauteed lady’s finger, garam masala powder, mix well and cook covered on low flame stirring from time to time until it is well cooked. Check for salt.
Delicious aloo bhindi sabzi is ready to be served as a side dish for chapati or rice.</t>
  </si>
  <si>
    <t>1-1 1/2 தேக்கரண்டி எண்ணெயை சூடாக்கி, வெண்டைக்காயில் சிறிது உப்பு (மூடி வைக்காமல்) சேர்த்து சிறிது பழுப்பு நிறமாகும் வரை வதக்கவும். அதை ஒதுக்கி வைக்கவும்.
ஒரு தனி வாணலியில், 1 தேக்கரண்டி எண்ணெயை சூடாக்கி, சீரக விதைகளைச் சேர்த்து, அது கொதிக்கும் போது, ​​நறுக்கிய வெங்காயம் மற்றும் பச்சை மிளகாய் சேர்க்கவும்.
வெங்காயம் பொன்னிறமாகும் வரை வதக்கவும், பின்னர் இஞ்சி பூண்டு விழுது சேர்த்து இன்னும் சில நிமிடங்கள் வதக்கவும்.
துண்டுகளாக்கப்பட்ட உருளைக்கிழங்கு, மஞ்சள் தூள், மிளகாய் தூள், கொத்தமல்லி தூள், தேவையான அளவு உப்பு சேர்த்து, உருளைக்கிழங்கு பாதி வேகும் வரை மூடி வைத்து வதக்கவும். இடையில் கிளறவும், கருகாமல் இருக்க கிளறவும்.
பின்னர் வதக்கிய லேடிஸ் ஃபிங்கர், கரம் மசாலா தூள் சேர்த்து, நன்கு கலந்து, அவ்வப்போது கிளறி, நன்கு வேகும் வரை மூடி வைத்து குறைந்த தீயில் சமைக்கவும். உப்பு இருக்கிறதா என்று பாருங்கள்.
சப்பாத்தி அல்லது சாதத்திற்கு சைடு டிஷ்ஷாக பரிமாற சுவையான ஆலு பிந்தி சப்ஜி தயாராக உள்ளது.</t>
  </si>
  <si>
    <t>https://encrypted-tbn0.gstatic.com/images?q=tbn:ANd9GcSKmDExIiZQtoVTxTkq0vGPt9psxIWxo9culg&amp;s</t>
  </si>
  <si>
    <t>Oats Uttapam</t>
  </si>
  <si>
    <t>ஓட்ஸ் உத்தப்பம்</t>
  </si>
  <si>
    <t xml:space="preserve">   Oats - 1/2 cup,
   Rava - 1/2 cup,
   Curd - 1 cup,
   Cumin seeds– 1/2 tsp,
   Oil for making uthappams,
   Onion - 1 medium size,
   Green chilli  - 1,
   Carrot grated -2-3 tbsp,
   Cabbage grated – 2 -3 tbsp,
   Coriander leaves ,
   Salt to taste.</t>
  </si>
  <si>
    <t>ஓட்ஸ் - 1/2 கப்,
ரவா - 1/2 கப்,
தயிர் - 1 கப்,
சீரகம் - 1/2 டீஸ்பூன்,
உத்தப்பம் செய்ய எண்ணெய்,
வெங்காயம் - 1 நடுத்தர அளவு,
பச்சை மிளகாய் - 1,
கேரட் துருவியது - 2-3 டீஸ்பூன்,
முட்டைக்கோஸ் துருவியது - 2 -3 டீஸ்பூன்,
கொத்தமல்லி இலைகள்,
சுவைக்கு உப்பு.</t>
  </si>
  <si>
    <t xml:space="preserve"> a bowl, mix together powdered oats, rava, curd, cumin seeds and salt needed. Keep it aside for half an hour.
After half an hour– add finely chopped onions, green chilli, grated carrot, cabbage, coriander leaves and mix well.
Add enough water to get an adai batter consistency.(approximately little less or little more than 1/2 cup of water) See the picture of the batter above to get an idea.
Heat a non stick tawa, when it is hot enough, pour a ladle of batter and spread a little. The uttapam should be thick like regular uttapams. Now reduce the flame to medium.
Drizzle a tsp of oil around the dosa and close it with a lid if needed but not necessary.
Once it starts lifting around the corners, flip the uthappam to the other side and drizzle just 1/4 tsp of oil.
Once it is cooked, remove from the tawa and serve hot with chutney. Repeat the same process for the rest of the batter.</t>
  </si>
  <si>
    <t>ஒரு கிண்ணத்தில், பொடித்த ஓட்ஸ், ரவா, தயிர், சீரகம் மற்றும் தேவையான உப்பு ஆகியவற்றை ஒன்றாகக் கலக்கவும். அரை மணி நேரம் ஒதுக்கி வைக்கவும்.
அரை மணி நேரம் கழித்து - இறுதியாக நறுக்கிய வெங்காயம், பச்சை மிளகாய், துருவிய கேரட், முட்டைக்கோஸ், கொத்தமல்லி இலைகளைச் சேர்த்து நன்கு கலக்கவும்.
அடை மாவு நிலைத்தன்மையைப் பெற போதுமான தண்ணீர் சேர்க்கவும். (தோராயமாக 1/2 கப் தண்ணீருக்கு சற்று குறைவாக அல்லது சற்று அதிகமாக) மேலே உள்ள மாவின் படத்தைப் பார்த்து ஒரு யோசனையைப் பெறுங்கள்.
ஒரு குச்சி அல்லாத தவாவை சூடாக்கி, அது போதுமான அளவு சூடாகும்போது, ​​ஒரு கரண்டி மாவை ஊற்றி சிறிது பரப்பவும். உத்தப்பம் வழக்கமான உத்தப்பங்களைப் போல தடிமனாக இருக்க வேண்டும். இப்போது தீயை மிதமாகக் குறைக்கவும்.
தோசையைச் சுற்றி ஒரு தேக்கரண்டி எண்ணெயைத் தூவி, தேவைப்பட்டால் ஒரு மூடியால் மூடவும், ஆனால் தேவையில்லை.
அது மூலைகளைச் சுற்றி மேலே தூக்கத் தொடங்கியதும், உத்தப்பத்தை மறுபுறம் திருப்பி, 1/4 தேக்கரண்டி எண்ணெயைத் தூவவும்.
அது வெந்தவுடன், தவாவிலிருந்து அகற்றி, சட்னியுடன் சூடாகப் பரிமாறவும். மீதமுள்ள மாவுக்கும் இதே செயல்முறையை மீண்டும் செய்யவும்.</t>
  </si>
  <si>
    <t>https://encrypted-tbn0.gstatic.com/images?q=tbn:ANd9GcShNW0mw1UcOZKG2tMBGKTeo2juYB2cxoow-w&amp;s</t>
  </si>
  <si>
    <t>Schezwan Noodles</t>
  </si>
  <si>
    <t>ஷெஸ்வான் நூடுல்ஸ்</t>
  </si>
  <si>
    <t>Ching’s Secret Hakka Veg Noodles - 1 packet,
Onion – 1 ,
Garlic – 2 tbsp finely ,
Cabbage - 1 cup,
Capsicum (all colors) – 1 cup ,
Carrot – 1 ,
Spring onion greens - 2 tbsp,
Ching’s Secret Schezwan Chutney – 2 tsp,
Salt and pepper powder to taste,
Oil – 1 tbsp, 
Spring onion greens - 2 tbsp.</t>
  </si>
  <si>
    <t>சிங்ஸ் சீக்ரெட் ஹக்கா வெஜ் நூடுல்ஸ் - 1 பாக்கெட்,
வெங்காயம் – 1 ,
பூண்டு – 2 டேபிள்ஸ்பூன் நன்றாக ,
முட்டைக்கோஸ் - 1 கப்,
கேப்சிகம் (அனைத்து வண்ணங்களும்) – 1 கப் ,
கேரட் – 1 ,
ஸ்பிரிங் வெங்காய கீரைகள் - 2 டேபிள்ஸ்பூன்,
சிங்ஸ் சீக்ரெட் ஷெஸ்வான் சட்னி – 2 டேபிள்ஸ்பூன்,
சுவைக்கு உப்பு மற்றும் மிளகு தூள்,
எண்ணெய் – 1 டேபிள்ஸ்பூன்,
ஸ்பிரிங் வெங்காய கீரைகள் - 2 டேபிள்ஸ்பூன்.</t>
  </si>
  <si>
    <t>Heat oil, add finely chopped onions and garlic. Saute until onions turn pink.
Add carrots and saute on high heat of 4-5 seconds.
Add cabbage, spring onion greens, saute for 3-4 seconds and then add capsicum. The whole process has to be done on high flame. The vegetables should retain their crispiness, so take care not to overcook the vegetables.
Add 2 tsps of Ching’s Secret Schezwan Chutney, salt needed and saute for another 2 minutes.
Reduce the flame, add the cooked noodles and toss until it is well coated with the sauce. Add pepper powder to taste.
Garnish with spring onion greens and serve hot.</t>
  </si>
  <si>
    <t>எண்ணெய்யை சூடாக்கி, இறுதியாக நறுக்கிய வெங்காயம் மற்றும் பூண்டு சேர்க்கவும். வெங்காயம் இளஞ்சிவப்பு நிறமாக மாறும் வரை வதக்கவும்.
கேரட்டைச் சேர்த்து 4-5 வினாடிகள் அதிக வெப்பத்தில் வதக்கவும்.
முட்டைக்கோஸ், ஸ்பிரிங் வெங்காய கீரைகளைச் சேர்த்து 3-4 வினாடிகள் வதக்கவும், பின்னர் கேப்சிகம் சேர்க்கவும். முழு செயல்முறையும் அதிக தீயில் செய்யப்பட வேண்டும். காய்கறிகள் அவற்றின் மொறுமொறுப்பான தன்மையைத் தக்க வைத்துக் கொள்ள வேண்டும், எனவே காய்கறிகள் அதிகமாக வேகாமல் பார்த்துக் கொள்ளுங்கள்.
2 தேக்கரண்டி சிங்ஸ் சீக்ரெட் ஷெஸ்வான் சட்னி, தேவையான அளவு உப்பு சேர்த்து மேலும் 2 நிமிடங்கள் வதக்கவும்.
தீயைக் குறைத்து, சமைத்த நூடுல்ஸைச் சேர்த்து, சாஸுடன் நன்கு பூசப்படும் வரை வதக்கவும். சுவைக்கேற்ப மிளகுத் தூள் சேர்க்கவும்.
ஸ்பிரிங் ஆனியன் கீரைகளால் அலங்கரித்து சூடாகப் பரிமாறவும்.</t>
  </si>
  <si>
    <t>https://www.vegrecipesofindia.com/wp-content/uploads/2021/02/schezwan-noodles-recipe-2-1.jpg</t>
  </si>
  <si>
    <t>Tomatoes – 4,
Sambar powder – 1 tsp,
Tamarind ,
Salt as needed,
Oil – 1 tbsp,
Mustard seeds – 1 tsp,
Urad dal – 1/2 tsp,
Green chilli – 1 slit ,
Curry leaves .</t>
  </si>
  <si>
    <t>தக்காளி - 4,
சாம்பார் பொடி - 1 டீஸ்பூன்,
புளி,
தேவைக்கேற்ப உப்பு,
எண்ணெய் - 1 டீஸ்பூன்,
கடுகு விதைகள் - 1 டீஸ்பூன்,
உளுந்து - 1/2 டீஸ்பூன்,
பச்சை மிளகாய் - 1 கீறி,
கறிவேப்பிலை.</t>
  </si>
  <si>
    <t>Cut tomatoes, scoop out the seeds (if there are too many) and grind it along with sambar powder, salt and a small piece of tamarind.
Heat 1 tbsp of oil, add mustard seeds, when it splutters, add urad dal, green chilli and curry leaves. Saute for a few seconds and then add the ground tomato puree.
Cook on medium flame for 5-6 minutes or until the raw flavor goes and oil separates.
Serve as a side dish for  idli, dosa, adai, pongal, idiyappam, upma, sandwich, chapati, parathas etc. We had it with Brown Rice Upma .</t>
  </si>
  <si>
    <t>தக்காளியை நறுக்கி, விதைகளை (அதிகமாக இருந்தால்) எடுத்து, சாம்பார் பொடி, உப்பு மற்றும் ஒரு சிறிய துண்டு புளி சேர்த்து அரைக்கவும்.
1 டீஸ்பூன் எண்ணெயை சூடாக்கி, கடுகு சேர்த்து, அது வதங்கியதும், உளுந்து, பச்சை மிளகாய் மற்றும் கறிவேப்பிலை சேர்க்கவும். சில நொடிகள் வதக்கி, பின்னர் அரைத்த தக்காளி கூழ் சேர்க்கவும்.
5-6 நிமிடங்கள் அல்லது பச்சை வாசனை போய் எண்ணெய் பிரியும் வரை மிதமான தீயில் சமைக்கவும்.
இட்லி, தோசை, அடை, பொங்கல், இடியாப்பம், உப்புமா, சாண்ட்விச், சப்பாத்தி, பரோட்டா போன்றவற்றுக்கு சைடு டிஷ்ஷாகப் பரிமாறவும். நாங்கள் அதை பிரவுன் ரைஸ் உப்புமாவுடன் சாப்பிட்டோம்.</t>
  </si>
  <si>
    <t>https://i0.wp.com/kalimirchbysmita.com/wp-content/uploads/2015/07/Tomato-Chutney04.jpg</t>
  </si>
  <si>
    <t>Semolina - 1 cup,
Onion – 3/4 cup finely chopped,
Ginger – 1 tsp finely chopped,
Green chillies - 2 slit,
Vegetables – 3/4 cup ( mix of beans, carrot, peas and 1/2 a tomato),
Turmeric powder – 1/4 tsp,
Water – 3 cups,
For topping up – 1 tsp ghee,
For roasting – 1 tsp ghee,
Oil – 2 tbsp ,
Mustard seeds – 1 tsp,
Bengal gram - 2 tsp,
Urad dal - 1 tsp,
Curry leaves .</t>
  </si>
  <si>
    <t>ரவை - 1 கப்,
வெங்காயம் - 3/4 கப் நன்றாக நறுக்கியது,
இஞ்சி - 1 தேக்கரண்டி நன்றாக நறுக்கியது,
பச்சை மிளகாய் - 2 துண்டுகள்,
காய்கறிகள் - 3/4 கப் (பீன்ஸ், கேரட், பட்டாணி மற்றும் 1/2 தக்காளி கலவை),
மஞ்சள் தூள் - 1/4 தேக்கரண்டி,
தண்ணீர் - 3 கப்,
மேலே போடுவதற்கு - 1 தேக்கரண்டி நெய்,
வறுக்குவதற்கு - 1 தேக்கரண்டி நெய்,
எண்ணெய் - 2 தேக்கரண்டி,
கடுகு - 1 தேக்கரண்டி,
வங்காள பருப்பு - 2 தேக்கரண்டி,
உளுந்து - 1 தேக்கரண்டி,
கறிவேப்பிலை.</t>
  </si>
  <si>
    <t>Heat ghee+oil in a pan/kadai, add bengal gram, when it changes colour slightly, add mustard seeds, urad dal and curry leaves.
When urad dal turns golden brown, add finely chopped onions, slit chillies and ginger.
Saute until onions turn transparent. Then add all the finely chopped vegetables and turmeric powder. Look how colorful it is.
Saute and cook the vegetables for 2-3 minutes. Do not over cook the vegetables as it will get cooked along with the rava.
Now add 3 cups of hot water and salt needed. You can taste the water and check for salt. If it is slightly salty, it will be perfect after adding rava.
When water starts boiling, reduce the flame to low and add rava slowly with one hand, stirring continuously with the other hand to avoid formation of lumps.
Keep stirring gently, when it becomes semi solid, top it with another tsp of ghee (see pic below) and mix well.
When all the water is absorbed, mix well, close it with a lid and cook on low flame.
Cook on low flame for 6-7 minutes and switch off the flame. If preferred you can add cashew nuts fried in ghee. The kichadi will taste delicious and similar to the one we get in Hotel Saravana Bhavan if you be a little generous in adding ghee and oil as mentioned.</t>
  </si>
  <si>
    <t>ஒரு கடாயில்/கடாயில் நெய்+எண்ணெய்யை சூடாக்கி, வங்காளம் சேர்த்து, அது சிறிது நிறம் மாறியதும், கடுகு, உளுந்து, கறிவேப்பிலை சேர்க்கவும்.
உளுந்து பொன்னிறமாக மாறியதும், பொடியாக நறுக்கிய வெங்காயம், மிளகாய்த்தூள் மற்றும் இஞ்சி சேர்க்கவும்.
வெங்காயம் வெளிப்படையானதாக மாறும் வரை வதக்கவும். பிறகு நறுக்கிய காய்கறிகள் மற்றும் மஞ்சள் தூளைச் சேர்க்கவும். அது எவ்வளவு வண்ணமயமாக இருக்கிறது என்று பாருங்கள்.
காய்கறிகளை 2-3 நிமிடங்கள் வதக்கி சமைக்கவும். காய்கறிகளை அதிகமாக சமைக்க வேண்டாம், ஏனெனில் அது ரவையுடன் சேர்த்து வேகும்.
இப்போது 3 கப் சூடான தண்ணீர் மற்றும் தேவையான அளவு உப்பு சேர்க்கவும். நீங்கள் தண்ணீரை சுவைத்து உப்பு இருக்கிறதா என்று பார்க்கலாம். அது சிறிது உப்பு இருந்தால், ரவையைச் சேர்த்த பிறகு அது சரியாக இருக்கும்.
தண்ணீர் கொதிக்கத் தொடங்கியதும், தீயைக் குறைத்து, ஒரு கையால் ரவையை மெதுவாகச் சேர்த்து, கட்டிகள் உருவாகாமல் இருக்க மற்றொரு கையால் தொடர்ந்து கிளறவும்.
மெதுவாகக் கிளறிக்கொண்டே இருங்கள், அது அரை திடமாக மாறியதும், அதன் மேல் மற்றொரு தேக்கரண்டி நெய்யை (கீழே உள்ள படத்தைப் பார்க்கவும்) சேர்த்து நன்கு கலக்கவும்.
தண்ணீர் முழுவதும் உறிஞ்சப்பட்டதும், நன்றாகக் கலந்து, ஒரு மூடியால் மூடி, குறைந்த தீயில் சமைக்கவும்.
6-7 நிமிடங்கள் குறைந்த தீயில் சமைக்கவும், தீயை அணைக்கவும். விரும்பினால், நெய்யில் வறுத்த முந்திரியைச் சேர்க்கலாம். கிச்சடி சுவையாக இருக்கும், மேலும் குறிப்பிட்டபடி நெய் மற்றும் எண்ணெயைச் சேர்ப்பதில் நீங்கள் கொஞ்சம் தாராளமாக இருந்தால், ஹோட்டல் சரவண பவனில் நாம் வாங்கும் கிச்சடியைப் போலவே இருக்கும்.</t>
  </si>
  <si>
    <t>https://www.vegrecipesofindia.com/wp-content/uploads/2017/03/rava-kichadi-recipe-1a.jpg</t>
  </si>
  <si>
    <t>Vegetable Gravy</t>
  </si>
  <si>
    <t>காய்கறி கிரேவி</t>
  </si>
  <si>
    <t xml:space="preserve">Onion – 1 cup finely chopped,
Ginger Garlic paste – 1 tsp,
Tomato puree – 1 cup,
Cauliflower florets - 2 cups,
Mixed vegetables – 2 cups (mix of carrots, beans, potatoes),
Green peas – 1/4 cup (fresh or frozen),
Salt needed,
Turmeric powder – 1/4 tsp,
Chilli powder – 1 tsp,
Coriander powder – 2 tsp,
Cumin powder – 1 tsp,
Kitchen king masala - 3/4 tsp ,
Cashew nuts – 6-7,
 kasa kasa roasted - 1 tsp,
Oil – 1 1/2 tbsp,
Cumin seeds - 1 tsp,
Bay leaf - 1.
</t>
  </si>
  <si>
    <t>வெங்காயம் - 1 கப் நன்றாக நறுக்கியது,
இஞ்சி பூண்டு விழுது - 1 தேக்கரண்டி,
தக்காளி கூழ் - 1 கப்,
காலிஃபிளவர் பூக்கள் - 2 கப்,
கலப்பு காய்கறிகள் - 2 கப் (கேரட், பீன்ஸ், உருளைக்கிழங்கு கலவை),
பச்சைப் பட்டாணி - 1/4 கப் (புதிய அல்லது உறைந்த),
தேவையான உப்பு,
மஞ்சள் தூள் - 1/4 தேக்கரண்டி,
மிளகாய் தூள் - 1 தேக்கரண்டி,
கொத்தமல்லி தூள் - 2 தேக்கரண்டி,
சீரக தூள் - 1 தேக்கரண்டி,
சமையலறை ராஜா மசாலா - 3/4 தேக்கரண்டி,
முந்திரி பருப்பு - 6-7,
வறுத்த கசா காசா - 1 தேக்கரண்டி,
எண்ணெய் - 1 1/2 தேக்கரண்டி,
சீரக விதைகள் - 1 தேக்கரண்டி,
வளைகுடா இலை - 1.</t>
  </si>
  <si>
    <t>Heat oil in a pan, add cumin/jeera seeds and bay leaf, when jeera sizzles, add finely chopped onions and saute until it turns golden brown. Add a little salt to quicken the process. Continuous stirring is required for even browning.
Add ginger garlic paste and saute for a few more minutes.
Then add tomato puree, salt needed and all the spice powder mentioned under “spice powder”.
Cook tomatoes well stirring in between until the mixture oozes out oil. (Do not add water at this stage)
Add the ground cashew nut paste and cook for a few seconds.
Add all the cooked/steamed vegetables including peas and mix well so that the vegetables are well coated with the masala. 
vegetable gravy for roti
Now add 1 cup of water, mix well and check for salt at this stage. Add salt if required. Cook covered in low flame for 6-7 minutes.
Garnish with coriander leaves and serve hot with roti, chapati, poori or pulao.</t>
  </si>
  <si>
    <t>ஒரு கடாயில் எண்ணெயை சூடாக்கி, சீரகம்/ஜீரா விதைகள் மற்றும் பிரியாணி இலையைச் சேர்த்து, சீரகம் வதங்கியதும், இறுதியாக நறுக்கிய வெங்காயத்தைச் சேர்த்து பொன்னிறமாகும் வரை வதக்கவும். செயல்முறையை விரைவுபடுத்த சிறிது உப்பு சேர்க்கவும். தொடர்ந்து கிளறினால் சமமாக பழுப்பு நிறமாக மாறும்.
இஞ்சி பூண்டு விழுது சேர்த்து இன்னும் சில நிமிடங்கள் வதக்கவும்.
பின்னர் தக்காளி கூழ், தேவையான உப்பு மற்றும் "மசாலா தூள்" என்பதன் கீழ் குறிப்பிடப்பட்டுள்ள அனைத்து மசாலாப் பொடிகளையும் சேர்க்கவும்.
தக்காளியை இடையில் நன்கு கிளறி, கலவையிலிருந்து எண்ணெய் வெளியேறும் வரை சமைக்கவும். (இந்த கட்டத்தில் தண்ணீர் சேர்க்க வேண்டாம்)
அரைத்த முந்திரி விழுதைச் சேர்த்து சில நொடிகள் சமைக்கவும்.
பட்டாணி உட்பட அனைத்து சமைத்த/வேகவைத்த காய்கறிகளையும் சேர்த்து, காய்கறிகள் மசாலாவுடன் நன்கு பூசப்படும் வகையில் நன்கு கலக்கவும்.
ரோட்டிக்கு காய்கறி குழம்பு
இப்போது 1 கப் தண்ணீர் சேர்த்து, நன்றாகக் கலந்து, இந்த கட்டத்தில் உப்பு இருக்கிறதா என்று சரிபார்க்கவும். தேவைப்பட்டால் உப்பு சேர்க்கவும். குறைந்த தீயில் 6-7 நிமிடங்கள் மூடி வைக்கவும்.
கொத்தமல்லி இலைகளால் அலங்கரித்து, ரோட்டி, சப்பாத்தி, பூரி அல்லது புலாவ்வுடன் சூடாகப் பரிமாறவும்.</t>
  </si>
  <si>
    <t>https://encrypted-tbn0.gstatic.com/images?q=tbn:ANd9GcTi5NY-qZve6EYNr4XBKepz9o_ei8VRFwQp8g&amp;s</t>
  </si>
  <si>
    <t>Masala Poori</t>
  </si>
  <si>
    <t>மசாலா பூரி</t>
  </si>
  <si>
    <t xml:space="preserve">   Dried white peas – 3/4 cup,
   Onion – 1,
   Tomato -1,
   Green chillies - 2 ,
   Ginger – 1 inch piece,
   Garlic – 4 cloves,
   Salt needed,
   Oil – 1 tbsp,
   Turmeric powder - 1/4 tsp,
   Chilli powder – 1-2 tsp,
   Coriander powder - 2 tsp,
   Cumin powder – 1/2 tsp,
   Kitchen King masala - 1 1/2 tsp ,
   Oil – 1 tbsp,
   Cumin seeds – 3/4 tsp,
   Coriander leaves,
    Crush pooris – 7- 8 for a plate,
   Ragda as needed,
   Chaat masala,
   Chilli powder,
   Cumin powder,
   Green chutney – 2 tsp,
   Sweet chutney – 1 tsp,
   Very finely chopped onions,
   Grated carrot,
   Sev.</t>
  </si>
  <si>
    <t>உலர்ந்த வெள்ளை பட்டாணி - 3/4 கப்,
வெங்காயம் - 1,
தக்காளி - 1,
பச்சை மிளகாய் - 2 ,
இஞ்சி - 1 அங்குல துண்டு,
பூண்டு - 4 பல்,
உப்பு தேவை,
எண்ணெய் - 1 டீஸ்பூன்,
மஞ்சள் தூள் - 1/4 டீஸ்பூன்,
மிளகாய் தூள் - 1-2 டீஸ்பூன்,
கொத்தமல்லி தூள் - 2 டீஸ்பூன்,
சீரக தூள் - 1/2 டீஸ்பூன்,
கிச்சன் கிங் மசாலா - 1 1/2 டீஸ்பூன்,
எண்ணெய் - 1 டீஸ்பூன்,
சீரக விதைகள் - 3/4 டீஸ்பூன்,
கொத்தமல்லி இலைகள்,
பூரிஸை நசுக்கவும் - ஒரு தட்டிற்கு 7-8,
தேவைக்கேற்ப ரக்தா,
சாட் மசாலா,
மிளகாய் தூள்,
சீரக தூள்,
பச்சை சட்னி - 2 டீஸ்பூன்,
இனிப்பு சட்னி - 1 டீஸ்பூன்,
மிக நன்றாக நறுக்கிய வெங்காயம்,
துருவிய கேரட்,
சேவல்</t>
  </si>
  <si>
    <t>Wash and soak peas overnight or for 5-6 hours in enough water.
Pressure cook with a pinch of turmeric powder, salt needed, 1 crushed garlic and 1/2 tsp chilli powder until soft.
Leave it to cool. Grind half of the cooked peas to a coarse paste and keep it aside.
Heat 1 tbsp oil in a pan, add finely chopped onions, garlic and ginger.
Saute until onions turn light brown. This is a very important step. You can add a little salt to quicken up the process. Saute continuously for even browning.
Add green chillies and saute for a few more seconds.
Add tomatoes and cook until tomatoes become mushy. Switch off the flame and allow it to cool. Grind it to a fine paste and keep it ready.
Heat 1 tbsp of oil in a pan, add cumin seeds, when it splutters, add paste 2 (onion tomato mixture) and saute nicely for 2-3 minutes.
Add all the spice powder and saute for a few more minutes.
Add paste 1 (peas paste) and saute for a few seconds.
Then add the rest of the cooked peas along with water.You can add 1-1 1/2 more cup of water, salt needed and cook on low flame for 5 minutes. The ragda should be a little watery. Garnish with coriander leaves.</t>
  </si>
  <si>
    <t>பட்டாணியை இரவு முழுவதும் அல்லது போதுமான தண்ணீரில் 5-6 மணி நேரம் கழுவி ஊற வைக்கவும்.
ஒரு சிட்டிகை மஞ்சள் தூள், தேவையான அளவு உப்பு, 1 நசுக்கிய பூண்டு மற்றும் 1/2 தேக்கரண்டி மிளகாய் தூள் சேர்த்து மென்மையாகும் வரை பிரஷர் குக்கரில் சமைக்கவும்.
அதை குளிர்விக்க விடவும். சமைத்த பட்டாணியில் பாதியை கரடுமுரடான பேஸ்டாக அரைத்து ஒதுக்கி வைக்கவும்.
ஒரு கடாயில் 1 தேக்கரண்டி எண்ணெயை சூடாக்கி, இறுதியாக நறுக்கிய வெங்காயம், பூண்டு மற்றும் இஞ்சி சேர்க்கவும்.
வெங்காயம் வெளிர் பழுப்பு நிறமாக மாறும் வரை வதக்கவும். இது மிகவும் முக்கியமான படியாகும். செயல்முறையை விரைவுபடுத்த நீங்கள் சிறிது உப்பு சேர்க்கலாம். தொடர்ந்து பழுப்பு நிறமாக வதக்கவும்.
பச்சை மிளகாய் சேர்த்து இன்னும் சில வினாடிகள் வதக்கவும்.
தக்காளியைச் சேர்த்து தக்காளி மென்மையாகும் வரை சமைக்கவும். தீயை அணைத்து ஆற விடவும். அதை நன்றாக பேஸ்டாக அரைத்து தயாராக வைக்கவும்.
ஒரு கடாயில் 1 தேக்கரண்டி எண்ணெயை சூடாக்கி, சீரகம் சேர்த்து, அது வதங்கியதும், 2 தேக்கரண்டி வெங்காய தக்காளி கலவையைச் சேர்த்து 2-3 நிமிடங்கள் நன்றாக வதக்கவும்.
அனைத்து மசாலாப் பொடிகளையும் சேர்த்து மேலும் சில நிமிடங்கள் வதக்கவும்.
1 தேக்கரண்டி பேஸ்ட் (பட்டாணி பேஸ்ட்) சேர்த்து சில வினாடிகள் வதக்கவும்.
பிறகு மீதமுள்ள சமைத்த பட்டாணியை தண்ணீருடன் சேர்க்கவும். நீங்கள் 1-1 1/2 கப் தண்ணீர், தேவையான அளவு உப்பு சேர்த்து, குறைந்த தீயில் 5 நிமிடங்கள் சமைக்கலாம். ரக்தா கொஞ்சம் தண்ணீர் போல இருக்க வேண்டும். கொத்தமல்லி இலைகளால் அலங்கரிக்கவும்.</t>
  </si>
  <si>
    <t>https://www.kannammacooks.com/wp-content/uploads/masala-poori-homemade-chaat-street-side-recipe-5.jpg</t>
  </si>
  <si>
    <t>Red Bell Pepper Chutney</t>
  </si>
  <si>
    <t>சிவப்பு குடை மிளகாய் சட்னி</t>
  </si>
  <si>
    <t xml:space="preserve">   Onion – 1/3 cup,
   Green chilli - 1,
   Garlic cloves – 2-3,
   Ginger - 1/2 inch piece,
   Red Bell pepper – 1 cup chopped,
   Tomato - 3/4 cup chopped,
   Coriander leaves - 2 tbsp,
   Salt needed,
   Oil – 1 tbsp,
   Cumin seeds – 1 tsp,
   Bengal gram – 2 tsp,
   Urad dal - 1 tbsp,
   Red chillies - 2,
   Oil – 1 tsp,
   Urad dal - 1 tsp,
   Curry leaves.</t>
  </si>
  <si>
    <t>வெங்காயம் - 1/3 கப்,
பச்சை மிளகாய் - 1,
பூண்டு பல் - 2-3,
இஞ்சி - 1/2 அங்குல துண்டு,
சிவப்பு குடை மிளகாய் - 1 கப் நறுக்கியது,
தக்காளி - 3/4 கப் நறுக்கியது,
கொத்தமல்லி இலை - 2 டீஸ்பூன்,
உப்பு தேவை,
எண்ணெய் - 1 டீஸ்பூன்,
சீரகம் - 2 டீஸ்பூன்,
உப்பு பருப்பு - 1 டீஸ்பூன்,
சிவப்பு மிளகாய் - 2,
எண்ணெய் - 1 டீஸ்பூன்,
உப்பு பருப்பு - 1 டீஸ்பூன்,
கறிவேப்பிலை.</t>
  </si>
  <si>
    <t>Heat oil in a pan/kadai, add cumin seeds, when it splutters, add bengal gram, urad dal, red chillies and saute until dal turns golden brown. Remove from pan.
In the same pan, add onions, garlic, ginger, green chilli and saute until onions turn transparent.
Then add chopped tomatoes and cook for a few minutes.
Add bell pepper, salt needed and cook until it becomes soft.
Add coriander leaves and switch off the flame. Let it cool.
First grind the dal mixture to a smooth paste, then add the bell pepper + tomato mix and grind it to a smooth paste.
Heat a tsp of oil, add mustard seeds, when it splutters, add urad dal, curry leaves, saute for a few seconds and pour it over the chutney.
Delicious and tasty chutney is ready to be served with idly and dosa.
Find more side dish for idli dosa and enjoy preparing them.</t>
  </si>
  <si>
    <t>ஒரு கடாயில்/கடாயில் எண்ணெயை சூடாக்கி, சீரகம் சேர்த்து, அது வதங்கியதும், வங்காளம், உளுத்தம் பருப்பு, சிவப்பு மிளகாய் சேர்த்து, பருப்பை பொன்னிறமாகும் வரை வதக்கவும். வாணலியில் இருந்து இறக்கவும்.
அதே கடாயில், வெங்காயம், பூண்டு, இஞ்சி, பச்சை மிளகாய் சேர்த்து வெங்காயம் வெளிப்படையானதாக மாறும் வரை வதக்கவும்.
பின்னர் நறுக்கிய தக்காளியைச் சேர்த்து சில நிமிடங்கள் சமைக்கவும்.
மிளகுத்தூள், தேவையான அளவு உப்பு சேர்த்து மென்மையாகும் வரை வதக்கவும்.
கொத்தமல்லி இலைகளைச் சேர்த்து, தீயை அணைத்து, ஆற விடவும்.
முதலில் பருப்பை மிருதுவாக அரைத்து, பின்னர் மிருதுவாக அரைத்த மிளகு + தக்காளி கலவையைச் சேர்த்து, மிருதுவாக அரைக்கவும்.
ஒரு டீஸ்பூன் எண்ணெயைச் சூடாக்கி, கடுகு சேர்த்து, அது வெடித்ததும், உளுத்தம்பருப்பு, கறிவேப்பிலை சேர்த்து, சில நொடிகள் வதக்கி, சட்னியின் மேல் ஊற்றவும்.
சுவையான மற்றும் சுவையான சட்னி இட்லி மற்றும் தோசையுடன் பரிமாற தயாராக உள்ளது.
இட்லி தோசைக்கு இன்னும் சில துணை உணவுகளைக் கண்டுபிடித்து, அவற்றை தயாரித்து மகிழுங்கள்.</t>
  </si>
  <si>
    <t>https://encrypted-tbn0.gstatic.com/images?q=tbn:ANd9GcSauvV2JvMuKVs1VNvPHMKG9xhwIWc68tRyYg&amp;s</t>
  </si>
  <si>
    <t>பானி பூரி</t>
  </si>
  <si>
    <t xml:space="preserve">Ice cold water – 3 cups,
Green chutney – 3 tbsp,
Sweet chutney – 2 tbsp,
Chilli powder – 1 tsp,
Chaat masala powder - 1 1/2 tsp,
Roasted Cumin -1 tsp,
Boondi – fistful,
Potatoes – 3-4 ,
Green chilli – 1,
Red Chilli powder – 1 tsp,
Cumin - 1 tsp,
Chaat masala – a pinch,
Salt,
Green gram dal – 3/4 cup,
Sev,
Onion – 1 finely chopped,
Coriander leaves.
</t>
  </si>
  <si>
    <t>ஐஸ் குளிர்ந்த நீர் - 3 கப்,
பச்சை சட்னி - 3 டேபிள் ஸ்பூன்,
இனிப்பு சட்னி - 2 டேபிள் ஸ்பூன்,
மிளகாய் தூள் - 1 டேபிள் ஸ்பூன்,
சாட் மசாலா தூள் - 1 1/2 டேபிள் ஸ்பூன்,
வறுத்த சீரகம் - 1 டேபிள் ஸ்பூன்,
பூண்டி - ஒரு கைப்பிடி,
உருளைக்கிழங்கு - 3-4 ,
பச்சை மிளகாய் - 1,
சிவப்பு மிளகாய் தூள் - 1 டேபிள் ஸ்பூன்,
சீரகம் - 1 டேபிள் ஸ்பூன்,
சாட் மசாலா - ஒரு சிட்டிகை,
உப்பு,
பச்சை பயறு - 3/4 கப்,
சேவல்,
வெங்காயம் - 1 பொடியாக நறுக்கியது,
கொத்தமல்லி இலைகள்.</t>
  </si>
  <si>
    <t>ake ice cold water in a bowl and mix all the ingredients mentioned above from green chutney to jeera powder. There are no hard and fast rules regarding the measurement. You can taste the pani and add more or less of chutney or spice powder according to your personal preferences. Chill for an hour for the flavors to get blended well with the pani. Add a fistful of boondi to the pani.
So now our pani/spiced water for pani poori is ready.
Pooris – 15 pooris – These pooris are easily available in supermarkets, so you do not have to strain yourself making these pooris. After all, we are not going to have pani puri everyday. You can get it ready made. I got it ready made from Nilgiris. Anyway I will post the poori recipe later.
Pressure cook potatoes, peel the skin and mash it well. Add finely chopped green chillies, red chilli powder, cumin powder, chaat masala, salt needed and mix well. Keep it aside.
Soak green gram dal/ moong dal overnight and sprout it. Learn how to sprout moong dal. Steam the moong sprouts with salt needed and a pinch of turmeric powder. Instead of moong dal, you can use cooked chick peas also. 
If you have everything ready, making pani poori is a breeze.
Take a poori, make a hole in the center big enough to fill the stuffing.(see picture below – just tap the thin side of the puri with your index finger)
Now fill the poori with a little potato mix.
Top it with moong sprouts or cooked chickpeas.
Add finely chopped onions, sprinkle just a pinch of chilli powder, chaat masala and roasted jeera powder.
Garnish with finely chopped coriander leaves and sev.
Immerse it in chilled pani and eat the whole poori with the stuffing and pani right away.
Enjoy homemade pani puri!!</t>
  </si>
  <si>
    <t>ஒரு கிண்ணத்தில் ஐஸ் குளிர்ந்த நீரை எடுத்து பச்சை சட்னி முதல் சீரகப் பொடி வரை மேலே குறிப்பிடப்பட்டுள்ள அனைத்து பொருட்களையும் கலக்கவும். அளவீட்டில் கடுமையான மற்றும் வேகமான விதிகள் எதுவும் இல்லை. நீங்கள் பானியை ருசித்து, உங்கள் தனிப்பட்ட விருப்பங்களுக்கு ஏற்ப சட்னி அல்லது மசாலாப் பொடியை அதிகமாகவோ அல்லது குறைவாகவோ சேர்க்கலாம். பானியுடன் சுவைகள் நன்றாகக் கலக்க ஒரு மணி நேரம் குளிர வைக்கவும். பானியுடன் ஒரு கைப்பிடி பூண்டியைச் சேர்க்கவும்.
இப்போது பானி பூரிக்கான எங்கள் பானி/காரமான தண்ணீர் தயாராக உள்ளது.
பூரிஸ் – 15 பூரிஸ் – இந்த பூரிஸ்கள் சூப்பர் மார்க்கெட்டுகளில் எளிதாகக் கிடைக்கும், எனவே நீங்கள் இந்தப் பூரிகளை உருவாக்க உங்களை நீங்களே சிரமப்படுத்த வேண்டியதில்லை. எல்லாவற்றிற்கும் மேலாக, நாங்கள் தினமும் பானி பூரி சாப்பிடப் போவதில்லை. நீங்கள் அதை ரெடிமேட் செய்யலாம். நான் அதை நீலகிரியிலிருந்து ரெடிமேட் செய்தேன். எப்படியிருந்தாலும், பூரி செய்முறையை பின்னர் இடுகையிடுவேன்.
உருளைக்கிழங்கை அழுத்தி வேகவைத்து, தோலை உரித்து நன்றாக மசிக்கவும். இறுதியாக நறுக்கிய பச்சை மிளகாய், சிவப்பு மிளகாய் தூள், சீரகப் பொடி, சாட் மசாலா, தேவையான உப்பு சேர்த்து நன்கு கலக்கவும். அதை ஒதுக்கி வைக்கவும்.
பச்சைப் பருப்பை/பாசிப்பருப்பை இரவு முழுவதும் ஊறவைத்து முளைக்கச் செய்யவும். பாசிப்பருப்பை எப்படி முளைக்க வேண்டும் என்று அறிக. தேவையான உப்பு மற்றும் ஒரு சிட்டிகை மஞ்சள் தூள் சேர்த்து வேகவைக்கவும். பாசிப்பருப்புக்கு பதிலாக, நீங்கள் சமைத்த கொண்டைக்கடலையையும் பயன்படுத்தலாம்.
உங்களிடம் எல்லாம் தயாராக இருந்தால், பானி பூரி செய்வது ஒரு காற்று.
ஒரு பூரியை எடுத்து, மையத்தில் ஸ்டஃபிங்கை நிரப்பும் அளவுக்கு பெரிய துளையை உருவாக்கவும். (கீழே உள்ள படத்தைப் பார்க்கவும் - பூரியின் மெல்லிய பக்கத்தை உங்கள் ஆள்காட்டி விரலால் தட்டவும்)
இப்போது பூரியை சிறிது உருளைக்கிழங்கு கலவையால் நிரப்பவும்.
அதன் மேல் பாசிப்பருப்பு அல்லது சமைத்த கொண்டைக்கடலையைச் சேர்க்கவும்.
இறுதியாக நறுக்கிய வெங்காயத்தைச் சேர்த்து, ஒரு சிட்டிகை மிளகாய் தூள், சாட் மசாலா மற்றும் வறுத்த ஜீரா தூள் தூவவும்.
இறுதியாக நறுக்கிய கொத்தமல்லி இலைகள் மற்றும் சேவ் கொண்டு அலங்கரிக்கவும்.
குளிர்ந்த பானியில் அதை மூழ்கடித்து, முழு பூரியையும் ஸ்டஃபிங் மற்றும் பானியுடன் உடனடியாக சாப்பிடுங்கள்.
வீட்டில் தயாரிக்கப்பட்ட பானி பூரியை அனுபவிக்கவும்!!</t>
  </si>
  <si>
    <t>https://cdn1.foodviva.com/static-content/food-images/snacks-recipes/pani-puri/pani-puri.jpg</t>
  </si>
  <si>
    <t>Mushroom Fried Rice</t>
  </si>
  <si>
    <t>காளான் ஃபிரைடு ரைஸ்</t>
  </si>
  <si>
    <t xml:space="preserve">   Basmati rice – 1 cup,
   Button Mushrooms – 200 grams,
   Oil – 1 tbsp,
   Onion – 3/4 cup finely chopped,
   Garlic – 2 1/2 tbsp minced,
   Green chilli – 1 finely chopped,
   Ginger – 1 inch piece,
   Spring onion greens – 2 tbsp finely chopped,
   Soya sauce – 1 tbsp,
   Chilli sauce - 2-3 tsp,
   Salt and pepper powder to taste,
   Finely chopped spring onion greens – 2 tbsp.</t>
  </si>
  <si>
    <t>பாஸ்மதி அரிசி - 1 கப்,
பட்டன் காளான்கள் - 200 கிராம்,
எண்ணெய் - 1 டேபிள்ஸ்பூன்,
வெங்காயம் - 3/4 கப் பொடியாக நறுக்கியது,
பூண்டு - 2 1/2 டேபிள்ஸ்பூன் பொடியாக நறுக்கியது,
பச்சை மிளகாய் - 1 பொடியாக நறுக்கியது,
இஞ்சி - 1 அங்குல துண்டு,
வறுத்த வெங்காய கீரைகள் - 2 டேபிள்ஸ்பூன் பொடியாக நறுக்கியது,
சோயா சாஸ் - 1 டேபிள்ஸ்பூன்,
மிளகாய் சாஸ் - 2-3 டேபிள்ஸ்பூன்,
உப்பு மற்றும் மிளகு தூள் தேவைக்கேற்ப,
பொடியாக நறுக்கிய வெங்காய கீரைகள் - 2 டேபிள்ஸ்பூன்.</t>
  </si>
  <si>
    <t>Heat a tbsp of oil in a pan, add onions, garlic and saute until onions turn transparent.
Add finely chopped ginger, green chillies, spring onion greens and saute for a few more seconds.
Add mushrooms and cook until mushroom becomes soft.
Then add cooked rice, soya sauce, chilli sauce, salt, pepper powder and saute on high flame for 2 minutes.
Switch off the flame and garnish with spring onion greens. Serve hot with gobi manchurian or chilli paneer or vegetable manchurian.</t>
  </si>
  <si>
    <t>ஒரு கடாயில் ஒரு டேபிள்ஸ்பூன் எண்ணெயை சூடாக்கி, வெங்காயம், பூண்டு சேர்த்து வெங்காயம் தெளிவாகும் வரை வதக்கவும்.
பொடியாக நறுக்கிய இஞ்சி, பச்சை மிளகாய்,வறுத்த வெங்காய கீரைகள் சேர்த்து இன்னும் சில நொடிகள் வதக்கவும்.
காளான்களைச் சேர்த்து காளான் மென்மையாகும் வரை சமைக்கவும்.
பின்னர் சமைத்த அரிசி, சோயா சாஸ்,வறுத்த வெங்காய கீரைகள், உப்பு, மிளகு தூள் சேர்த்து அதிக தீயில் 2 நிமிடங்கள் வதக்கவும்.
சுவையை அணைத்துவிட்டு, பொடியாக நறுக்கிய வெங்காய கீரைகளால் அலங்கரிக்கவும். கோபி மஞ்சூரியன் அல்லது மிளகாய் பனீர் அல்லது காய்கறி மஞ்சூரியனுடன் சூடாகப் பரிமாறவும்.</t>
  </si>
  <si>
    <t>https://encrypted-tbn0.gstatic.com/images?q=tbn:ANd9GcTENaSsrelpMD1tByWPjp5hztcIM0Ku5IcnFA&amp;s</t>
  </si>
  <si>
    <t>Raw Mango Rice</t>
  </si>
  <si>
    <t>பச்சை மாங்காய் சாதம்</t>
  </si>
  <si>
    <t xml:space="preserve">   Cooked Rice – 3 cup,
   Grated mango - 1 cup,
   Turmeric powder – 1/4 tsp,
   Salt as needed,
   Oil – 2 tsp,
   Mustard seeds - 1 tsp,
   Bengal gram - 2 tsp,
   Urad dal - 1 1/2 tsp,
   Red chillies - 2 ,
   Hing - a pinch,
   Green chillies - 2 slit,
   Peanuts - 1/4 cup,
   Curry leaves .</t>
  </si>
  <si>
    <t>சமைத்த சாதம் - 3 கப்,
துருவிய மாங்காய் - 1 கப்,
மஞ்சள் தூள் - 1/4 டீஸ்பூன்,
தேவைக்கேற்ப உப்பு,
எண்ணெய் - 2 டீஸ்பூன்,
கடுகு - 1 டீஸ்பூன்,
வங்காள பருப்பு - 2 டீஸ்பூன்,
உளுத்தம் பருப்பு - 1 1/2 டீஸ்பூன்,
சிவப்பு மிளகாய் - 2 ,
கீரை - ஒரு சிட்டிகை,
பச்சை மிளகாய் - 2 துண்டுகள்,
வேர்க்கடலை - 1/4 கப்,
கறிவேப்பிலை .</t>
  </si>
  <si>
    <t>Heat oil in a pan, add mustard seeds, when it splutters, add bengal gram, urad dal, red chillies, green chillies and hing.
When dal turns golden brown, add peanuts, turmeric powder, salt needed and curry leaves.
Add grated mangoes and mix well to combine with the spices. Cook for just 2-3 seconds and switch off the flame.
Add cooked rice and mix gently using a fork taking care not to break the rice. Check for salt, add if required.
Enjoy mango rice with chips or papads as side dish.</t>
  </si>
  <si>
    <t>ஒரு கடாயில் எண்ணெயை சூடாக்கி, கடுகு சேர்த்து, அது வதங்கியதும், பெங்கால் பருப்பு, உளுத்தம் பருப்பு, சிவப்பு மிளகாய், பச்சை மிளகாய் மற்றும் கீரை சேர்க்கவும்.
பருப்பு பொன்னிறமாக மாறியதும், வேர்க்கடலை, மஞ்சள் தூள், தேவையான உப்பு மற்றும் கறிவேப்பிலை சேர்க்கவும்.
துருவிய மாங்காய்களை சேர்த்து மசாலாப் பொருட்களுடன் சேர்த்து நன்கு கலக்கவும். 2-3 வினாடிகள் சமைக்கவும், தீயை அணைக்கவும்.
சமைத்த அரிசியைச் சேர்த்து, அரிசி உடையாமல் பார்த்துக் கொண்டு ஒரு முட்கரண்டியைப் பயன்படுத்தி மெதுவாகக் கலக்கவும். உப்பு சரிபார்த்து, தேவைப்பட்டால் சேர்க்கவும்.
மாம்பழ சாதத்தை சிப்ஸ் அல்லது பப்படத்துடன் பக்க உணவாகச் சாப்பிடுங்கள்.</t>
  </si>
  <si>
    <t>https://encrypted-tbn0.gstatic.com/images?q=tbn:ANd9GcRrIo_lt61PVmVh__V7DUaFqHSGiKgTGg1N8Q&amp;s</t>
  </si>
  <si>
    <t>Peanut Chaat</t>
  </si>
  <si>
    <t>வேர்க்கடலை சாட்</t>
  </si>
  <si>
    <t>Raw peanuts – 1 cup,
Onion -1 ,
Tomatoes – 1 de-seeded,
Raw mango – 1/3 cup,
Carrot – 1/4 cup grated finely,
Green chillies -1 finely chopped,
Red chilli powder - 1/4,
Roasted cumin - 1/2 tsp,
Chaat masala – 1/4 -1/2 tsp,
Salt as needed,
Fresh lemon juice to taste,
Coriander leaves ,
Carrots grated finely – 1 tbsp.</t>
  </si>
  <si>
    <t>பச்சை வேர்க்கடலை - 1 கப்,
வெங்காயம் - 1 ,
தக்காளி - 1 விதை நீக்கியது,
பச்சை மாங்காய் - 1/3 கப்,
கேரட் - 1/4 கப் நன்றாக துருவியது,
பச்சை மிளகாய் - 1 நன்றாக நறுக்கியது,
சிவப்பு மிளகாய் தூள் - 1/4,
வறுத்த சீரகம் - 1/2 தேக்கரண்டி,
சாட் மசாலா - 1/4 -1/2 தேக்கரண்டி,
தேவைக்கேற்ப உப்பு,
சுவைக்கேற்ப புதிய எலுமிச்சை சாறு,
கொத்தமல்லி இலைகள்,
நன்றாக துருவிய கேரட் - 1 தேக்கரண்டி.</t>
  </si>
  <si>
    <t>In a bowl combine together boiled peanuts, finely chopped onions, tomatoes, green chillies, mangoes, grated carrot and little salt. Remember we have cooked peanuts with salt, so add less salt.
Add chilli powder, roasted jeera powder, chaat masala and fresh lemon juice to taste. Toss well. (You can increase or decrease it according to your preferences)
Garnish with finely chopped coriander leaves and grated carrot.
This is a great tea time snack and also very healthy and delicious.</t>
  </si>
  <si>
    <t>ஒரு பாத்திரத்தில் வேகவைத்த வேர்க்கடலை, இறுதியாக நறுக்கிய வெங்காயம், தக்காளி, பச்சை மிளகாய், மாங்காய், துருவிய கேரட் மற்றும் சிறிது உப்பு ஆகியவற்றை ஒன்றாக இணைக்கவும். சமைத்த வேர்க்கடலையை உப்புடன் சேர்த்து சமைத்துள்ளோம் என்பதை நினைவில் கொள்ளுங்கள், எனவே குறைந்த உப்பு சேர்க்கவும்.
மிளகாய் தூள், வறுத்த சீரக தூள், சாட் மசாலா மற்றும் புதிய எலுமிச்சை சாறு ஆகியவற்றை சுவைக்கேற்ப சேர்க்கவும். நன்றாக வதக்கவும். (உங்கள் விருப்பங்களுக்கு ஏற்ப அதை அதிகரிக்கவோ குறைக்கவோ முடியும்)
இறுதியாக நறுக்கிய கொத்தமல்லி இலைகள் மற்றும் துருவிய கேரட் ஆகியவற்றால் அலங்கரிக்கவும்.
இது ஒரு சிறந்த தேநீர் நேர சிற்றுண்டி, மேலும் மிகவும் ஆரோக்கியமானது மற்றும் சுவையானது.</t>
  </si>
  <si>
    <t>https://encrypted-tbn0.gstatic.com/images?q=tbn:ANd9GcQF178HJ3s7fY90PWxh7BPiAThuKxvpZzjZ_Q&amp;s</t>
  </si>
  <si>
    <t>Moong Dal Cucumber Salad</t>
  </si>
  <si>
    <t>மூங் தால் வெள்ளரிக்காய் சாலட்</t>
  </si>
  <si>
    <t>Moong dal – 1/2 cup,
Grated or finely chopped cucumber – 1/2 cup,
Grated coconut – 1/4 cup,
Fresh Lemon juice to taste,
Salt as needed,
Oil – 1 tsp,
Mustard seeds - 3/4 tsp,
Green chillies – 2 slit,
Hing – a pinch,
Curry leaves.</t>
  </si>
  <si>
    <t>மூங் தால் - 1/2 கப்,
துருவிய அல்லது பொடியாக நறுக்கிய வெள்ளரிக்காய் - 1/2 கப்,
துருவிய தேங்காய் - 1/4 கப்,
சுவைக்கு ஏற்ப புதிய எலுமிச்சை சாறு,
தேவைக்கேற்ப உப்பு,
எண்ணெய் - 1 டீஸ்பூன்,
கடுகு விதைகள் - 3/4 டீஸ்பூன்,
பச்சை மிளகாய் - 2 துண்டுகள்,
ஹிங் - ஒரு சிட்டிகை,
கறிவேப்பிலை.</t>
  </si>
  <si>
    <t>Heat a tsp of oil, add mustard seeds, when it splutters, add hing, green chillies and curry leaves.
Add the moong dal after draining all the water completely. Saute for 2-3 seconds and switch off the flame.
Add needed salt, grated coconut and grated cucumber after squeezing out all the water from the cucumber.
Add lemon juice to taste and mix everything well.
Serve this salad with rice, pulao, roti or just have it as an evening snack like me.
Since me and my kids love salads, you will find a long list of Indian Salad Recipes in my space.</t>
  </si>
  <si>
    <t>ஒரு டீஸ்பூன் எண்ணெயை சூடாக்கி, கடுகு சேர்த்து, அது வதங்கியதும், ஹிங், பச்சை மிளகாய் மற்றும் கறிவேப்பிலை சேர்க்கவும்.
தண்ணீர் முழுவதுமாக வடிந்த பிறகு, மூங் தால் சேர்க்கவும். 2-3 வினாடிகள் வதக்கி, தீயை அணைக்கவும்.
வெள்ளரிக்காயிலிருந்து தண்ணீர் முழுவதும் பிழிந்த பிறகு தேவையான உப்பு, தேங்காய் துருவல் மற்றும் துருவிய வெள்ளரிக்காயைச் சேர்க்கவும்.
சுவைக்கேற்ப எலுமிச்சை சாறு சேர்த்து எல்லாவற்றையும் நன்றாக கலக்கவும்.
இந்த சாலட்டை சாதம், புலாவ், ரொட்டியுடன் பரிமாறவும் அல்லது என்னைப் போலவே மாலை சிற்றுண்டியாக சாப்பிடவும்.
எனக்கும் என் குழந்தைகளுக்கும் சாலடுகள் மிகவும் பிடிக்கும் என்பதால், இந்திய சாலட் ரெசிபிகளின் நீண்ட பட்டியலை எனது தளத்தில் காணலாம்.</t>
  </si>
  <si>
    <t>https://www.vegrecipesofindia.com/wp-content/uploads/2017/04/kosambari-recipe-1-1.jpg</t>
  </si>
  <si>
    <t>Paneer Jalfrezi</t>
  </si>
  <si>
    <t>பனீர் ஜல்ஃப்ரெஸி</t>
  </si>
  <si>
    <t xml:space="preserve">   Paneer – 200 grams,
   Onion – 3/4 cup ,
   Ginger garlic paste – 2 tsp,
   Tomato puree – 1/3 cup,
   Kasuri methi – 1 tbsp,
   Tomato ketchup – 1 tbsp,
   Red Chilli powder – 1 1/2 tsp,
   Coriander powder – 2 tsp,
   Turmeric powder – 1/4 tsp,
   Garam masala – 1/2 tsp,
   Carrot - 1 julienned,
   Beans - 5-6,
   Tomato -1 deseed ,
   Capsicum - 1,
    Baby corn - 2-3 julienned,
   Oil – 2 1/2 tbsp,
   Cumin seeds – 1 tsp,
   Lemon wedges.
</t>
  </si>
  <si>
    <t>பனீர் - 200 கிராம்,
வெங்காயம் - 3/4 கப்,
இஞ்சி பூண்டு விழுது - 2 தேக்கரண்டி,
தக்காளி கூழ் - 1/3 கப்,
கசூரி மேத்தி - 1 தேக்கரண்டி,
தக்காளி கெட்ச்அப் - 1 தேக்கரண்டி,
சிவப்பு மிளகாய் தூள் - 1 1/2 தேக்கரண்டி,
கொத்தமல்லி தூள் - 2 தேக்கரண்டி,
மஞ்சள் தூள் - 1/4 தேக்கரண்டி,
கரம் மசாலா - 1/2 தேக்கரண்டி,
கேரட் - 1 சீமை சுரைக்காய் துருவல்,
பீன்ஸ் - 5-6,
தக்காளி - 1 விதை,
கேப்சிகம் - 1,
பேபி கார்ன் - 2-3 சீமை சுரைக்காய் துருவல்,
எண்ணெய் - 2 1/2 தேக்கரண்டி,
சீரகம் - 1 தேக்கரண்டி,
எலுமிச்சை துண்டுகள்.</t>
  </si>
  <si>
    <t>Heat oil in a pan, add cumin seeds, when it splutters, add onions and saute until onions turn transparent.
Add ginger garlic paste and saute for a few more minutes.
Add all the dry powder (chilli powder, coriander powder, turmeric powder, garam masala powder) tomato ketchup and tomato puree.
Cook the mixture until it starts leaving oil. (see pic below)
Now add carrots, par boiled beans and baby corn and saute for a few seconds.
Add 1/3 cup of water, simmer and close it with a lid. Let the vegetables get cooked.
Once the vegetables are 3/4 th done, add capsicum and tomatoes. Cook for a few minutes. Do not over cook the vegetables.
Now add paneer pieces and mix well gently so that the masala is well coated with the paneer. Cook on low flame for 2-3 minutes. Switch off. Crush kasuri methi (dry fenugreek leaves) between your palms and sprinkle all over the curry. Garnish with lemon wedges.
Serve paneer Vegetable Jalfrezi with roti, kulchas or parathas.</t>
  </si>
  <si>
    <t>ஒரு கடாயில் எண்ணெயை சூடாக்கி, சீரகம் சேர்த்து, அது வதங்கியதும், வெங்காயத்தைச் சேர்த்து, வெங்காயம் தெளிவடையும் வரை வதக்கவும்.
இஞ்சி பூண்டு விழுதைச் சேர்த்து மேலும் சில நிமிடங்கள் வதக்கவும்.
உலர்ந்த தூள் (மிளகாய் தூள், கொத்தமல்லி தூள், மஞ்சள் தூள், கரம் மசாலா தூள்) தக்காளி கெட்ச்அப் மற்றும் தக்காளி கூழ் ஆகியவற்றைச் சேர்க்கவும்.
கலவை எண்ணெய் வெளியேறத் தொடங்கும் வரை சமைக்கவும். (கீழே உள்ள படத்தைப் பார்க்கவும்)
இப்போது கேரட், வேகவைத்த பீன்ஸ் மற்றும் பேபி கார்ன் ஆகியவற்றைச் சேர்த்து சில நொடிகள் வதக்கவும்.
1/3 கப் தண்ணீர் சேர்த்து, கொதிக்க வைத்து மூடி வைக்கவும். காய்கறிகள் வேக விடவும்.
காய்கறிகள் 3/4 வதங்கியதும், கேப்சிகம் மற்றும் தக்காளியைச் சேர்க்கவும். சில நிமிடங்கள் சமைக்கவும். காய்கறிகளை அதிகமாக வேகவிடாதீர்கள்.
இப்போது பனீர் துண்டுகளைச் சேர்த்து, மசாலா பனீர் மீது நன்கு பூசப்படும் வகையில் மெதுவாக கலக்கவும். குறைந்த தீயில் 2-3 நிமிடங்கள் சமைக்கவும். அணைக்கவும். கசூரி மேத்தி (உலர்ந்த வெந்தய இலைகள்) உங்கள் உள்ளங்கைகளுக்கு இடையில் நசுக்கி, கறி முழுவதும் தெளிக்கவும். எலுமிச்சை துண்டுகளால் அலங்கரிக்கவும்.
ரொட்டி, குல்சாஸ் அல்லது பரோட்டாக்களுடன் பனீர் காய்கறி ஜல்ஃப்ரெஸியை பரிமாறவும்.</t>
  </si>
  <si>
    <t>https://www.indianhealthyrecipes.com/wp-content/uploads/2022/05/paneer-jalfrezi-recipe.jpg</t>
  </si>
  <si>
    <t>Moong Dal Gravy</t>
  </si>
  <si>
    <t xml:space="preserve">
பாசிப்பருப்பு கிரேவி</t>
  </si>
  <si>
    <t>Green gram – 1/2 cup,
Tomatoes – 3 medium size,
Turmeric powder - 1/4 tsp,
Chilli powder – 1 tsp flat,
Coriander powder – 2 tsp,
Cumin powder – 1/2 tsp,
Garam masala powder – 1/2 tsp,
Salt as needed,
Onion – 2 medium size,
Green chilli – 1-2,
Garlic cloves – 4,
Ginger – 1 inch piece,
Oil – 2 1/2 tbsp,
Cumin – 1 tsp,
Coriander leaves.</t>
  </si>
  <si>
    <t>பச்சைப்பயறு - 1/2 கப்,
தக்காளி - 3 நடுத்தர அளவு,
மஞ்சள் தூள் - 1/4 தேக்கரண்டி,
மிளகாய் தூள் - 1 தேக்கரண்டி,
கொத்தமல்லி தூள் - 2 தேக்கரண்டி,
சீரக தூள் - 1/2 தேக்கரண்டி,
கரம் மசாலா தூள் - 1/2 தேக்கரண்டி,
தேவைக்கேற்ப உப்பு,
வெங்காயம் - 2 நடுத்தர அளவு,
பச்சை மிளகாய் - 1-2,
பூண்டு கிராம்பு - 4,
இஞ்சி - 1 அங்குல துண்டு,
எண்ணெய் - 2 1/2 தேக்கரண்டி,
சீரகம் - 1 தேக்கரண்டி,
கொத்தமல்லி இலைகள்.</t>
  </si>
  <si>
    <t>Heat oil in a kadai or pressure pan, add cumin seeds, when it splutters, add the ground paste and saute nicely until it changes color and the raw flavor goes. (if you do not saute this paste well, then you will get raw onion smell in the gravy)
Sauteing ginger garlic paste .
Then add tomato puree, turmeric powder, salt, chilli powder, garam masala powder, coriander and cumin powder and saute well until the mixture oozes out oil. (see the difference between both the pictures below)
Add cooked green gram only after the tomatoes are well cooked. Saute for 2-3 seconds and then add 1 1/2 cup of water. Simmer and cook on low flame for 10 minutes.
Alternatively, you can pressure cook for 1 whistle. Once the pressure subsides, open the cooker, add another 1/2 cup of water and boil for 2-3 minutes. Switch off the flame and garnish with finely chopped coriander leaves. Check for salt. 
Comforting, filling, delicious, simple and healthy Moong dal gravy is ready to be served with roti, parathas or rice.</t>
  </si>
  <si>
    <t>ஒரு கடாயில் அல்லது பிரஷர் பாத்திரத்தில் எண்ணெயை சூடாக்கி, சீரகத்தை சேர்த்து, அது வதங்கியதும், அரைத்த விழுதைச் சேர்த்து, நிறம் மாறி பச்சை வாசனை போகும் வரை நன்றாக வதக்கவும். (இந்த விழுதை நன்றாக வதக்கவில்லை என்றால், குழம்பில் பச்சை வெங்காய வாசனை வரும்)
இஞ்சி பூண்டு விழுதை வதக்கவும்.
பின்னர் தக்காளி கூழ், மஞ்சள் தூள், உப்பு, மிளகாய் தூள், கரம் மசாலா தூள், கொத்தமல்லி மற்றும் சீரக தூள் சேர்த்து, கலவையிலிருந்து எண்ணெய் வெளியேறும் வரை நன்கு வதக்கவும். (கீழே உள்ள இரண்டு படங்களுக்கும் உள்ள வித்தியாசத்தைப் பார்க்கவும்)
தக்காளி நன்கு வெந்த பிறகு மட்டுமே சமைத்த பச்சை பயிரை சேர்க்கவும். 2-3 வினாடிகள் வதக்கி, பின்னர் 1 1/2 கப் தண்ணீர் சேர்க்கவும். கொதிக்க வைத்து, குறைந்த தீயில் 10 நிமிடங்கள் சமைக்கவும்.
மாற்றாக, நீங்கள் 1 விசில் வரை பிரஷர் குக்கிங் செய்யலாம். பிரஷர் குறைந்தவுடன், குக்கரைத் திறந்து, மேலும் 1/2 கப் தண்ணீர் சேர்த்து 2-3 நிமிடங்கள் கொதிக்க வைக்கவும். சுடரை அணைத்து, இறுதியாக நறுக்கிய கொத்தமல்லி இலைகளால் அலங்கரிக்கவும். உப்பு இருக்கிறதா என்று சரிபார்க்கவும்.
சுவையான, நிரப்பு, சுவையான, எளிமையான மற்றும் ஆரோக்கியமான பாசிப்பருப்பு குழம்பு ரொட்டி, பரோட்டா அல்லது சாதத்துடன் பரிமாற தயாராக உள்ளது.</t>
  </si>
  <si>
    <t>https://encrypted-tbn0.gstatic.com/images?q=tbn:ANd9GcRmlcSYtPm0x29nV2OyypOIPP-prYRZwOIXfQ&amp;s</t>
  </si>
  <si>
    <t>Cabbage Kootu</t>
  </si>
  <si>
    <t>முட்டைக்கோஸ் கூட்டு</t>
  </si>
  <si>
    <t xml:space="preserve">   Cabbage – 3 cups chopped,
   Moong dal – 1/4 cup,
   Sambar powder – 2 tsp,
   Turmeric powder - 1/4 tsp,
   Curry leaves - 3-4 leaves,
   Brown or white channa,
   Salt as needed,
   Grated coconut – 1/4 cup,
   Cumin seeds – 1 tsp,
   Fried gram– 1 1/2 tsp,
   Oil -1 tsp,
   Mustard seeds – 3/4 tsp,
   Urad dal – 1/2 tsp,
   Hing/asafoetida – a pinch,
   Curry leaves ,
   Coriander leaves.
</t>
  </si>
  <si>
    <t>முட்டைக்கோஸ் - 3 கப் நறுக்கியது,
பாசிப்பருப்பு - 1/4 கப்,
சாம்பார் பொடி - 2 தேக்கரண்டி,
மஞ்சள் தூள் - 1/4 தேக்கரண்டி,
கறிவேப்பிலை - 3-4 இலைகள்,
பழுப்பு அல்லது வெள்ளை சன்னா,
தேவைக்கேற்ப உப்பு,
துருவிய தேங்காய் - 1/4 கப்,
சீரகம் - 1 தேக்கரண்டி,
வறுத்த பருப்பு - 1 1/2 தேக்கரண்டி,
எண்ணெய் -1 தேக்கரண்டி,
கடுகு - 3/4 தேக்கரண்டி,
உளுத்தம் பருப்பு - 1/2 தேக்கரண்டி,
பெருங்காயம் - ஒரு சிட்டிகை,
கறிவேப்பிலை,
கொத்தமல்லி இலைகள்.</t>
  </si>
  <si>
    <t>Take a pressure pan or cooker, add chopped cabbage, turmeric powder, sambar powder, salt needed, dal, curry leaves and 1 cup of water.
Pressure cook for 3 whistles. Open after the pressure subsides. 
After opening the cooker, add cooked brown channa, ground paste, another 3/4 cup of water and boil well.
Season the kootu – Heat a tsp of oil, add mustard seeds, when it sputters, add urad dal. When dal turns golden brown, add  hing, red chillies, curry leaves and pour it over the kootu.
Garnish with finely chopped coriander leaves and serve hot with rice or chapati.</t>
  </si>
  <si>
    <t>ஒரு பிரஷர் பான் அல்லது குக்கரை எடுத்து, நறுக்கிய முட்டைக்கோஸ், மஞ்சள் தூள், சாம்பார் பொடி, தேவையான உப்பு, பருப்பு, கறிவேப்பிலை மற்றும் 1 கப் தண்ணீர் சேர்க்கவும்.
3 விசில் வரும் வரை பிரஷர் சமைக்கவும். பிரஷர் குறைந்த பிறகு திறக்கவும்.
குக்கரை திறந்த பிறகு, சமைத்த பிரவுன் சன்னா, அரைத்த விழுது, மேலும் 3/4 கப் தண்ணீர் சேர்த்து நன்கு கொதிக்க வைக்கவும்.
கூத்தை தாளிக்கவும் – ஒரு தேக்கரண்டி எண்ணெயை சூடாக்கி, கடுகு சேர்த்து, அது பொங்கி வரும்போது, ​​உளுத்தம்பருப்பு சேர்க்கவும். பருப்பு பொன்னிறமாக மாறியதும், பெருங்காயம், சிவப்பு மிளகாய், கறிவேப்பிலை சேர்த்து கூத்தின் மேல் ஊற்றவும்.
பொடியாக நறுக்கிய கொத்தமல்லி இலைகளால் அலங்கரித்து, சாதம் அல்லது சப்பாத்தியுடன் சூடாகப் பரிமாறவும்.</t>
  </si>
  <si>
    <t>https://encrypted-tbn0.gstatic.com/images?q=tbn:ANd9GcQky5KunSTsoUe8J__dNdk4TjzgAlpjqUsWbw&amp;s</t>
  </si>
  <si>
    <t>Easy Carrot Soup</t>
  </si>
  <si>
    <t>எளிதான கேரட் சூப்</t>
  </si>
  <si>
    <t>Carrots – 250 grams ,chopped)
Onion - 1 medium size,
Ginger – 1 inch piece,
Garlic – 2 cloves,
Olive oil – 1 tsp,
Salt and pepper powder to taste.</t>
  </si>
  <si>
    <t>கேரட் – 250 கிராம், நறுக்கியது)
வெங்காயம் - 1 நடுத்தர அளவு,
இஞ்சி – 1 அங்குல துண்டு,
பூண்டு – 2 பல்,
ஆலிவ் எண்ணெய் – 1 தேக்கரண்டி,
சுவைக்கேற்ப உப்பு மற்றும் மிளகு தூள்.</t>
  </si>
  <si>
    <t xml:space="preserve">In a pressure cooker or a pan, heat a tsp of oil, add chopped onions, garlic and ginger.
Cook onions until translucent. Then add chopped carrots and saute for 2-3 seconds.
Add 1 cup of water or vegetable stock, salt needed and cook covered in medium flame until the carrots are soft. Alternatively you can also pressure cook for 2 whistles.
Once cooked, cool it and blend it to a puree in a blender. Strain using a soup strainer.
Add another half cup of water and reheat the soup. Add salt (if required) and pepper powder to taste and enjoy it piping hot. </t>
  </si>
  <si>
    <t>ஒரு பிரஷர் குக்கர் அல்லது ஒரு பாத்திரத்தில், ஒரு தேக்கரண்டி எண்ணெயை சூடாக்கி, நறுக்கிய வெங்காயம், பூண்டு மற்றும் இஞ்சி சேர்க்கவும்.
வெங்காயம் தெளிவாகும் வரை வதக்கவும். பின்னர் நறுக்கிய கேரட் சேர்த்து 2-3 வினாடிகள் வதக்கவும்.
1 கப் தண்ணீர் அல்லது காய்கறி குழம்பு, தேவையான உப்பு சேர்த்து, கேரட் மென்மையாகும் வரை நடுத்தர தீயில் மூடி வைக்கவும். மாற்றாக, நீங்கள் 2 விசில் வரை பிரஷர் குக்கராகவும் செய்யலாம்.
சமைத்த பிறகு, அதை ஆறவைத்து, ஒரு பிளெண்டரில் ப்யூரியாக அரைக்கவும். ஒரு சூப் வடிகட்டியைப் பயன்படுத்தி வடிகட்டவும்.
இன்னும் அரை கப் தண்ணீரைச் சேர்த்து சூப்பை மீண்டும் சூடாக்கவும். ருசிக்க உப்பு (தேவைப்பட்டால்) மற்றும் மிளகு தூள் சேர்த்து சூடாக மசிக்கவும்.</t>
  </si>
  <si>
    <t>https://www.allrecipes.com/thmb/9_1D87q39_oirnZ9CXlmllrd9Fc=/1500x0/filters:no_upscale():max_bytes(150000):strip_icc()/Simple-Carrot-Soup-2000-d2312230d4454f53baef3fa78f22e7d7.jpg</t>
  </si>
  <si>
    <t xml:space="preserve">
லஸ்ஸி</t>
  </si>
  <si>
    <t>Yogurt – 1 1/4 cup,
Sugar – 2 tbsp,
Water – 1/4 cup,
Cardamom powder – a generous pinch.</t>
  </si>
  <si>
    <t>தயிர் - 1 1/4 கப்,
சர்க்கரை - 2 டேபிள்ஸ்பூன்,
தண்ணீர் - 1/4 கப்,
ஏலக்காய் பொடி - ஒரு சிட்டிகை தாராளமாக.</t>
  </si>
  <si>
    <t>தயிர், சர்க்கரை மற்றும் தண்ணீரை ஒரு பிளெண்டரில் ஒன்றாகக் கலக்கவும்.
ஏலக்காய் பொடியைத் தூவி குளிர்ச்சியாகப் பரிமாறவும். தேவைப்பட்டால் ஐஸ் கட்டிகளைச் சேர்க்கவும்.</t>
  </si>
  <si>
    <t>Instant Mor Kuzhambu</t>
  </si>
  <si>
    <t>உடனடி மோர் குழம்பு</t>
  </si>
  <si>
    <t>Curd – 3 cups whisked ,
 bengal gram flour – 1 tbsp,
Turmeric powder – 1/4 tsp,
Sambar powder – 1 tsp,
Ginger – 1 inch piece,
Green chilli – 1 finely chopped,
Curry leaves – a sprig,
Salt needed,
Oil – 2 tsp ,
Mustard seeds - 1 tsp,
Hing – a pinch,
Fenugreek seeds - 1/4 tsp,
Carom seeds – 2 pinches ,
Finely chopped Coriander leaves.</t>
  </si>
  <si>
    <t>தயிர் - 3 கப் அடித்து,
வங்காள மாவு - 1 டேபிள்ஸ்பூன்,
மஞ்சள் தூள் - 1/4 டீஸ்பூன்,
சாம்பார் பொடி - 1 டீஸ்பூன்,
இஞ்சி - 1 அங்குல துண்டு,
பச்சை மிளகாய் - 1 பொடியாக நறுக்கியது,
கறிவேப்பிலை - ஒரு துளிர்,
உப்பு தேவை,
எண்ணெய் - 2 டீஸ்பூன்,
கடுகு - 1 டீஸ்பூன்,
ஹிங் - ஒரு சிட்டிகை,
வெந்தயம் - 1/4 டீஸ்பூன்,
கேரம் விதைகள் - 2 சிட்டிகை,
நறுக்கியதாக நறுக்கிய கொத்தமல்லி இலைகள்.</t>
  </si>
  <si>
    <t>Heat oil, add mustard seeds, when it splutters, add hing, fenugreek seeds, carom seeds, ginger, green chillies and curry leaves. Saute for 2-3 seconds.
Now keep the flame on low, then add buttermilk and salt needed. Let it boil for 6-7 minutes.
Switch off and garnish with coriander leaves. Serve with rice.</t>
  </si>
  <si>
    <t>எண்ணெயை சூடாக்கி, கடுகு சேர்த்து, அது வதங்கியதும், ஹிங், வெந்தயம், கேரம் விதைகள், இஞ்சி, பச்சை மிளகாய் மற்றும் கறிவேப்பிலை சேர்க்கவும். 2-3 வினாடிகள் வதக்கவும்.
இப்போது தீயை குறைவாக வைத்து, பின்னர் மோர் மற்றும் தேவையான அளவு உப்பு சேர்க்கவும். 6-7 நிமிடங்கள் கொதிக்க விடவும்.
அணைத்துவிட்டு கொத்தமல்லி இலைகளால் அலங்கரிக்கவும். அரிசியுடன் பரிமாறவும்.</t>
  </si>
  <si>
    <t>https://c1.staticflickr.com/3/2938/32969083806_0d8c653c68_z.jpg</t>
  </si>
  <si>
    <t>https://youtu.be/JIlVpZM2U7A</t>
  </si>
  <si>
    <t>Godhuma Dosa</t>
  </si>
  <si>
    <t>கோதுமா தோசை</t>
  </si>
  <si>
    <t xml:space="preserve">   Wheat flour – 1 cup,
   Rice flour – 1 cup,
   Green chillies - 2 very finely chopped,
   Ginger – small bit finely chopped,
   Cumin seeds – 2 tsp,
   Curry leaves ,
   Salt – 2 1/2 tsp ,
   Water – 4 cups,
   Oil for making dosas,
   Oil – 1 tsp,
   Mustard seeds - 3/4 tsp,
   Hing – a pinch.</t>
  </si>
  <si>
    <t>கோதுமை மாவு - 1 கப்,
அரிசி மாவு - 1 கப்,
பச்சை மிளகாய் - 2 மிக நன்றாக நறுக்கியது,
இஞ்சி - சிறிதளவு பொடியாக நறுக்கியது,
சீரகம் - 2 தேக்கரண்டி,
கறிவேப்பிலை ,
உப்பு - 2 1/2 தேக்கரண்டி,
தண்ணீர் - 4 கப்,
தோசை செய்ய எண்ணெய்,
எண்ணெய் - 1 தேக்கரண்டி,
கடுகு - 3/4 தேக்கரண்டி,
ஹிங் - ஒரு சிட்டிகை.</t>
  </si>
  <si>
    <t>Now heat a tawa, once the tawa is heated, reduce the heat to medium, pour a ladle of batter from the outside of the tawa, then fill in bigger gaps if any.You cannot spread this batter like regular dosa but have to pour the dosa batter like rava dosa. There should be small holes in the dosa.
Now drizzle a tsp of oil around the dosa and 1/2 tsp of oil on the dosa.(be a little generous with oil for this dosa- sesame seed oil is considered very healthy)
This dosa will take a little longer time to get cooked than regular dosa. Using the tongs or handle, move the tawa in a circular motion once, so that the dosa will get cooked evenly on all the sides. 
Wait until the bottom starts browning and the corners start lifting up.
Now flip the dosa to the other side.Once the other side is cooked, remove the dosa from the tawa.
Before making the next dosa, mix the batter well to avoid sedimentation. You have to mix the batter every time before making every single dosa.</t>
  </si>
  <si>
    <t>இப்போது ஒரு தவாவை சூடாக்கி, தவா சூடாக்கியவுடன், தீயை நடுத்தரமாகக் குறைத்து, தவாவின் வெளிப்புறத்திலிருந்து ஒரு கரண்டி மாவை ஊற்றவும், பின்னர் பெரிய இடைவெளிகள் இருந்தால் நிரப்பவும். வழக்கமான தோசை போல இந்த மாவை பரப்ப முடியாது, ஆனால் ரவா தோசை போல தோசை மாவை ஊற்ற வேண்டும். தோசையில் சிறிய துளைகள் இருக்க வேண்டும்.
இப்போது தோசையைச் சுற்றி ஒரு தேக்கரண்டி எண்ணெயையும் தோசையின் மீது 1/2 தேக்கரண்டி எண்ணெயையும் தெளிக்கவும். (இந்த தோசைக்கு கொஞ்சம் தாராளமாக எண்ணெய் ஊற்றவும் - எள் விதை எண்ணெய் மிகவும் ஆரோக்கியமானதாகக் கருதப்படுகிறது)
இந்த தோசை வழக்கமான தோசையை விட சமைக்க சிறிது நேரம் எடுக்கும். இடுக்கி அல்லது கைப்பிடியைப் பயன்படுத்தி, தவாவை ஒரு முறை வட்ட இயக்கத்தில் நகர்த்தவும், இதனால் தோசை அனைத்து பக்கங்களிலும் சமமாக சமைக்கப்படும்.
அடிப்பகுதி பழுப்பு நிறமாகி மூலைகள் மேலே எழும்பத் தொடங்கும் வரை காத்திருக்கவும்.
இப்போது தோசையை மறுபுறம் புரட்டவும். மறுபக்கம் வெந்தவுடன், தவாவிலிருந்து தோசையை அகற்றவும்.
அடுத்த தோசை செய்வதற்கு முன், வண்டல் படிவதைத் தவிர்க்க மாவை நன்கு கலக்கவும். ஒவ்வொரு தோசை செய்வதற்கும் முன் ஒவ்வொரு முறையும் மாவை கலக்க வேண்டும்.</t>
  </si>
  <si>
    <t>https://www.vegrecipesofindia.com/wp-content/uploads/2016/08/atta-dosa-recipe-1-500x500.jpg</t>
  </si>
  <si>
    <t>Squeeze juice of fresh lemon, strain it and keep it aside.
In a pan, bring water and sugar to boil. Once sugar dissolves, switch off the flame and let it cool.Chill it after that.
Add lemon juice, salt and cold water. Keep it in the refrigerator.
Serve chilled with ice cubes.
Those who do not want to add sugar can use honey instead.</t>
  </si>
  <si>
    <t>புதிய எலுமிச்சை சாற்றை பிழிந்து, வடிகட்டி, தனியாக வைக்கவும்.
ஒரு பாத்திரத்தில், தண்ணீர் மற்றும் சர்க்கரையை கொதிக்க வைக்கவும். சர்க்கரை கரைந்ததும், அடுப்பை அணைத்து ஆற விடவும். அதன் பிறகு குளிர வைக்கவும்.
எலுமிச்சை சாறு, உப்பு மற்றும் குளிர்ந்த நீரைச் சேர்க்கவும். குளிர்சாதன பெட்டியில் வைக்கவும்.
ஐஸ் கட்டிகளுடன் குளிர்வித்து பரிமாறவும்.
சர்க்கரை சேர்க்க விரும்பாதவர்கள் அதற்கு பதிலாக தேனைப் பயன்படுத்தலாம்.</t>
  </si>
  <si>
    <t>https://encrypted-tbn0.gstatic.com/images?q=tbn:ANd9GcSjD_TMm1dRLL6s-Y3nQ5YbmJND2NnBulJKvQ&amp;s</t>
  </si>
  <si>
    <t>Lemon – 1,
Tea powder -1 tsp,
Ice cold water – 2 cups,
Ice cubes – 2-3,
Sugar or honey to taste,
Mint leaves – 3-4 leaves.</t>
  </si>
  <si>
    <t>எலுமிச்சை - 1,
தேநீர் தூள் - 1 டீஸ்பூன்,
ஐஸ் குளிர்ந்த நீர் - 2 கப்,
ஐஸ் கட்டிகள் - 2-3,
சுவைக்கு சர்க்கரை அல்லது தேன்,
புதினா இலைகள் - 3-4 இலைகள்.</t>
  </si>
  <si>
    <t>Potato Capsicum Curry</t>
  </si>
  <si>
    <t>உருளைக்கிழங்கு கேப்சிகம் கறி</t>
  </si>
  <si>
    <t>Onion - 3/4 cup ,
Potato - 1/2 cup,
Capsicum - 2 cups,
Turmeric Powder – a pinch,
Chilli powder – 1/2 – 3/4 tsp,
Salt as needed,
Coriander seeds - 1 1/2 tbsp,
Red chillies - 3,
Bengal gram - 1 tbsp,
Oil – 1 tbsp,
Cumin – 3/4 tsp.</t>
  </si>
  <si>
    <t>வெங்காயம் - 3/4 கப்,
உருளைக்கிழங்கு - 1/2 கப்,
கேப்சிகம் - 2 கப்,
மஞ்சள் தூள் - ஒரு சிட்டிகை,
மிளகாய் தூள் - 1/2 – 3/4 டீஸ்பூன்,
தேவைக்கேற்ப உப்பு,
கொத்தமல்லி விதைகள் - 1 1/2 டீஸ்பூன்,
சிவப்பு மிளகாய் - 3,
வங்கக்கடலை - 1 டீஸ்பூன்,
எண்ணெய் - 1 டீஸ்பூன்,
சீரகம் - 3/4 டீஸ்பூன்.</t>
  </si>
  <si>
    <t>Heat oil in a kadai or pan, add jeera seeds, when it sizzles, add onion and saute until onions turn golden brown.
Add potatoes, turmeric powder and cook covered until potatoes are half done. Sprinkle water if needed and stir in between.
Then add capsicum, chilli powder, 2 tbsp of curry podi, salt needed and cook covered on medium flame until capsicums are soft. You have to stir in between for even cooking. 
Capsicum potato curry is ready to be served with rice or chapati or plain parathas</t>
  </si>
  <si>
    <t>ஒரு கடாயில் அல்லது வாணலியில் எண்ணெயை சூடாக்கி, சீரக விதைகளைச் சேர்த்து, அது வதங்கியதும், வெங்காயத்தைச் சேர்த்து, வெங்காயம் பொன்னிறமாகும் வரை வதக்கவும்.
உருளைக்கிழங்கு, மஞ்சள் தூள் சேர்த்து, உருளைக்கிழங்கு பாதி வேகும் வரை மூடி வைத்து சமைக்கவும். தேவைப்பட்டால் தண்ணீர் தெளித்து இடையில் கிளறவும்.
பின் கேப்சிகம், மிளகாய் தூள், 2 டீஸ்பூன் கறிவேப்பிலை, தேவையான அளவு உப்பு சேர்த்து, கேப்சிகம் மென்மையாகும் வரை மிதமான தீயில் மூடி வைத்து சமைக்கவும். சமமாக சமைக்க நீங்கள் இடையில் கிளற வேண்டும்.
கேப்சிகம் உருளைக்கிழங்கு கறி சாதம் அல்லது சப்பாத்தி அல்லது சாதாரண பரோட்டாவுடன் பரிமாற தயாராக உள்ளது.</t>
  </si>
  <si>
    <t>https://encrypted-tbn0.gstatic.com/images?q=tbn:ANd9GcRfFoe6bqFkNnFInMy-mpCzlID9ENx6DdH0jg&amp;s</t>
  </si>
  <si>
    <t>Vegetable Rice</t>
  </si>
  <si>
    <t>காய்கறி சாதம்</t>
  </si>
  <si>
    <t xml:space="preserve">   Basmati rice – 1 cup,
   Onion – 2 medium size,
   Ginger finely chopped – 1 tsp,
   Green chilli – 2,
   Mixed vegetables – 1 cup ( you can use a mix of beans, carrot, peas and potato),
   Mint leaves – fistful,
   Coriander leaves ,
   Fresh lemon juice - 1 tbsp,
   Salt to taste,
   Oil – 1 tbsp,
   Cinnamon - 1 inch piece,
   Cloves – 2,
   Cardamom - 1.</t>
  </si>
  <si>
    <t>பாஸ்மதி அரிசி - 1 கப்,
வெங்காயம் - 2 நடுத்தர அளவு,
இஞ்சி பொடியாக நறுக்கியது - 1 தேக்கரண்டி,
பச்சை மிளகாய் - 2,
கலவை காய்கறிகள் - 1 கப் (பீன்ஸ், கேரட், பட்டாணி மற்றும் உருளைக்கிழங்கு கலவையைப் பயன்படுத்தலாம்),
புதினா இலைகள் - ஒரு கைப்பிடி,
கொத்தமல்லி இலைகள்,
புதிய எலுமிச்சை சாறு - 1 தேக்கரண்டி,
ருசிக்க உப்பு,
எண்ணெய் - 1 தேக்கரண்டி,
இலவங்கப்பட்டை - 1 அங்குல துண்டு,
கிராம்பு - 2,
ஏலக்காய் - 1.</t>
  </si>
  <si>
    <t xml:space="preserve">Heat oil in a pan, add the ingredients mentioned under seasoning. Saute for a few seconds and then add onion, green chilli and ginger.
Saute until onions turn pink, then add all the vegetables. (I will make one thing clear here – in case if you going to prepare this in a pressure cooker, you can add the vegetables raw. If you are going to cook in a pan with lid as I have done below, par boil the vegetables slightly and then add)
mixed vegetable rice recipe
Saute the vegetables for 2-3 seconds. Then add chopped mint and coriander leaves. Mix well.
Add drained rice, 2 cups of hot water, lemon juice, salt needed (approximately 2 tsp flat) and bring it to boil.
Once it starts boiling, reduce the flame, cover it with a lid and cook until the rice is done. Fluff it with a fork and serve hot.
You can have any raita / pachadi or chips or salad or any tomato based gravy like matar paneer, aloo gobhi, paneer butter masala or instant potato gravy or paneer capsicum gravy as a side dish. </t>
  </si>
  <si>
    <t>ஒரு கடாயில் எண்ணெயை சூடாக்கி, தாளிக்க வேண்டிய பொருட்களைச் சேர்க்கவும். சில நொடிகள் வதக்கி, பின்னர் வெங்காயம், பச்சை மிளகாய் மற்றும் இஞ்சி சேர்க்கவும்.
வெங்காயம் இளஞ்சிவப்பு நிறமாக மாறும் வரை வதக்கவும், பின்னர் அனைத்து காய்கறிகளையும் சேர்க்கவும். (இங்கே ஒரு விஷயத்தை நான் தெளிவுபடுத்துகிறேன் - நீங்கள் இதை பிரஷர் குக்கரில் சமைக்கப் போகிறீர்கள் என்றால், காய்கறிகளை பச்சையாகச் சேர்க்கலாம். நான் கீழே செய்தது போல் மூடியுடன் ஒரு பாத்திரத்தில் சமைக்கப் போகிறீர்கள் என்றால், காய்கறிகளை சிறிது வேகவைத்து பின்னர் சேர்க்கவும்)
கலவை காய்கறி அரிசி செய்முறை
காய்கறிகளை 2-3 வினாடிகள் வதக்கவும். பின்னர் நறுக்கிய புதினா மற்றும் கொத்தமல்லி இலைகளைச் சேர்க்கவும். நன்றாக கலக்கவும்.
வடிகட்டிய அரிசி, 2 கப் வெந்நீர், எலுமிச்சை சாறு, தேவையான உப்பு (தோராயமாக 2 தேக்கரண்டி தட்டையாக) சேர்த்து கொதிக்க வைக்கவும்.
கொதிக்க ஆரம்பித்ததும், தீயைக் குறைத்து, மூடியால் மூடி, அரிசி வேகும் வரை சமைக்கவும். ஒரு முட்கரண்டியால் பிசைந்து சூடாகப் பரிமாறவும்.
நீங்கள் ரைத்தா / பச்சடி அல்லது சிப்ஸ் அல்லது சாலட் அல்லது மாதர் பனீர், ஆலு கோபி, பனீர் பட்டர் மசாலா அல்லது உடனடி உருளைக்கிழங்கு கிரேவி அல்லது பனீர் கேப்சிகம் கிரேவி போன்ற தக்காளி சார்ந்த கிரேவியை ஒரு பக்க உணவாக சாப்பிடலாம்.</t>
  </si>
  <si>
    <t>https://www.joyousapron.com/wp-content/uploads/2019/01/Easy-Mixed-Vegetable-Rice-Sq-Pic.jpg</t>
  </si>
  <si>
    <t>Oats Pongal</t>
  </si>
  <si>
    <t>ஓட்ஸ் பொங்கல்</t>
  </si>
  <si>
    <t xml:space="preserve">   Oats – 1/2 cup,
   Split yellow moong dal – 1/4 cup,
   Cashew nuts – 3 ,
   Salt as needed,
   Ghee for frying cashew nuts and oats - 1 tsp,
   clarified butter – 2 tsp,
   Ginger finely chopped – 1 tsp,
   Whole black pepper - 1 tsp,
   Cumins seeds - 1 tsp,
   Curry leaves.</t>
  </si>
  <si>
    <t>ஓட்ஸ் - 1/2 கப்,
மஞ்சள் பாசிப்பருப்பு - 1/4 கப்,
முந்திரி பருப்பு - 3 ,
தேவைக்கேற்ப உப்பு,
முந்திரி பருப்பு மற்றும் ஓட்ஸ் வறுக்க நெய் - 1 தேக்கரண்டி,
தெளித்த வெண்ணெய் - 2 தேக்கரண்டி,
இஞ்சி இறுதியாக நறுக்கியது - 1 தேக்கரண்டி,
முழு கருப்பு மிளகு - 1 தேக்கரண்டி,
சீரகம் - 1 தேக்கரண்டி,
கறிவேப்பிலை.</t>
  </si>
  <si>
    <t>Cook oats in half a cup of water adding salt.
Then add cooked moong dal to oats and cook for some more time until well blended. Check for salt.
Heat 2 tsp of ghee, add pepper and jeera seeds, when jeera sizzles, add ginger, curry leaves, saute for a second and pour it over the cooked oats + dal mix. Mix well.
Garnish with cashew nuts and serve hot with coconut chutney or pongal sambar.</t>
  </si>
  <si>
    <t>ஓட்ஸை அரை கப் தண்ணீரில் உப்பு சேர்த்து சமைக்கவும்.
பின்னர் சமைத்த பாசிப்பருப்பை ஓட்ஸில் சேர்த்து நன்கு கலக்கும் வரை சிறிது நேரம் சமைக்கவும். உப்பு சரிபார்க்கவும்.
2 தேக்கரண்டி நெய்யை சூடாக்கி, மிளகு மற்றும் சீரகம் விதைகளைச் சேர்த்து, சீரகம் கொதிக்கும் போது, ​​இஞ்சி, கறிவேப்பிலை சேர்த்து, ஒரு நொடி வதக்கி, சமைத்த ஓட்ஸ் + பருப்பு கலவையின் மீது ஊற்றவும். நன்றாக கலக்கவும்.
முந்திரி பருப்புடன் அலங்கரித்து, தேங்காய் சட்னி அல்லது பொங்கல் சாம்பாருடன் சூடாகப் பரிமாறவும்.</t>
  </si>
  <si>
    <t>https://i.pinimg.com/736x/e6/ee/df/e6eedf555b5c3cd923f4e0d3d3d14a2b.jpg</t>
  </si>
  <si>
    <t>Potato Rice</t>
  </si>
  <si>
    <t>உருளைக்கிழங்கு சாதம்</t>
  </si>
  <si>
    <t>Basmati Rice – 1 cup,
Baby potatoes - 10-12,
Capsicum - 2 ,
Onion - 1,
Tomato puree – 1/2 cup,
Salt to taste,
Onion – 1,
Tomato – 1,
Ginger - 1 ,
Garlic - 3 cloves,
Red chillies – 5,
Coriander seeds - 1 tsp,
Grated coconut – 1 tbsp,
Turmeric powder - 1/4 tsp,
Garam masala powder - 1/2 tsp flat,
Oil – 2 tbsp,
Bay leaf – 1,
Cumin seeds – 1/2 tsp,
Cinnamon – 1 inch piece.</t>
  </si>
  <si>
    <t>பாஸ்மதி சாதம் - 1 கப்,
குழந்தை உருளைக்கிழங்கு - 10-12,
கேப்சிகம் - 2 ,
வெங்காயம் - 1,
தக்காளி கூழ் - 1/2 கப்,
ருசிக்க உப்பு,
வெங்காயம் - 1,
தக்காளி - 1,
இஞ்சி - 1 ,
பூண்டு - 3 பல்,
சிவப்பு மிளகாய் - 5,
கொத்தமல்லி விதைகள் - 1 தேக்கரண்டி,
துருவிய தேங்காய் - 1 தேக்கரண்டி,
மஞ்சள் தூள் - 1/4 தேக்கரண்டி,
கரம் மசாலா தூள் - 1/2 தேக்கரண்டி,
எண்ணெய் - 2 தேக்கரண்டி,
வளைகுடா இலை - 1,
சீரக விதைகள் - 1/2 தேக்கரண்டி,
இலவங்கப்பட்டை - 1 அங்குல துண்டு.</t>
  </si>
  <si>
    <t>Heat oil in a pan or pressure cooker/pan, add bay leaf, jeera seeds and cinnamon, when jeera sizzles, add thinly sliced onions and saute until onions turn translucent.
Add capsicum and saute for a few more seconds.
Then add the ground paste, cooked potatoes, turmeric powder, garam masala powder and saute until the raw smell goes.
Potato capsicum pulao 
Now add the tomato puree and saute until everything gets blended well.
Add 1 1/4 cup of water, salt needed and bring it to boil. (remember we have added 1/2 cup of tomato puree and masala paste, so you do not have to add 2 cups of water)
When water starts boiling, add the drained basmati rice, mix well and close the cooker without weight. Keep it in low flame. When it is half cooked, stir the contents and close it with the weight and keep it in very low flame for 4-5 minutes.
Open the cooker, fluff it gently with a fork, garnish with coriander leaves and serve hot with raita/pachadi.</t>
  </si>
  <si>
    <t>ஒரு பாத்திரத்தில் அல்லது பிரஷர் குக்கரில் எண்ணெயை சூடாக்கி, பிரியாணி இலை, சீரகம் மற்றும் இலவங்கப்பட்டை சேர்த்து, சீரகம் வதங்கியதும், மெல்லியதாக நறுக்கிய வெங்காயத்தைச் சேர்த்து வெங்காயம் கசியும் வரை வதக்கவும்.
கேப்சிகம் சேர்த்து இன்னும் சில நொடிகள் வதக்கவும்.
பின்னர் அரைத்த விழுது, சமைத்த உருளைக்கிழங்கு, மஞ்சள் தூள், கரம் மசாலா தூள் சேர்த்து பச்சை வாசனை போகும் வரை வதக்கவும்.
உருளைக்கிழங்கு கேப்சிகம் புலாவ்
இப்போது தக்காளி கூழ் சேர்த்து எல்லாம் நன்றாக கலக்கும் வரை வதக்கவும்.
1 1/4 கப் தண்ணீர், தேவையான அளவு உப்பு சேர்த்து கொதிக்க விடவும். (1/2 கப் தக்காளி கூழ் மற்றும் மசாலா பேஸ்ட் சேர்த்துள்ளோம் என்பதை நினைவில் கொள்க, எனவே நீங்கள் 2 கப் தண்ணீர் சேர்க்க வேண்டியதில்லை)
தண்ணீர் கொதிக்க ஆரம்பித்ததும், வடிகட்டிய பாஸ்மதி அரிசியைச் சேர்த்து, நன்றாகக் கலந்து, குக்கரை எடை இல்லாமல் மூடவும். குறைந்த தீயில் வைக்கவும். பாதி வெந்ததும், உள்ளடக்கங்களைக் கிளறி, வெயிட்டுடன் மூடி, மிகக் குறைந்த தீயில் 4-5 நிமிடங்கள் வைக்கவும்.
குக்கரைத் திறந்து, ஒரு முட்கரண்டியால் மெதுவாக பிசைந்து, கொத்தமல்லி இலைகளால் அலங்கரித்து, ரைத்தா/பச்சடியுடன் சூடாகப் பரிமாறவும்.</t>
  </si>
  <si>
    <t>https://vismaifood.com/storage/app/uploads/public/6cc/09c/fe5/thumb__700_0_0_0_auto.jpg</t>
  </si>
  <si>
    <t>Lauki Raita</t>
  </si>
  <si>
    <t xml:space="preserve">
லௌகி ரைத்தா</t>
  </si>
  <si>
    <t>Bottle gourd - 1 cup,
Curd – 1 cup,
cumin powder – 1 tsp ,
Oil - 1 tsp,
Mustard seeds - 1 tsp,
Green chilli - 1 ,
Curry leaves.</t>
  </si>
  <si>
    <t>பாற்காய் - 1 கப்,
தயிர் - 1 கப்,
சீரகத்தூள் - 1 தேக்கரண்டி,
எண்ணெய் - 1 தேக்கரண்டி,
கடுகு விதைகள் - 1 தேக்கரண்டி,
பச்சை மிளகாய் - 1 ,
கறிவேப்பிலை.</t>
  </si>
  <si>
    <t>Take the cooked lauki in a bowl, add curd and roasted jeera powder.
Heat a tsp of oil, add mustard seeds, when it splutters, add green chillies and curry leaves.
Saute for a second and pour it over the bottle gourd. Mix well, check for salt and refrigerate for half an hour.
This raita tastes great when served cold.</t>
  </si>
  <si>
    <t>சமைத்த லௌகியை ஒரு பாத்திரத்தில் எடுத்து, தயிர் மற்றும் வறுத்த சீரகப் பொடியைச் சேர்க்கவும்.
ஒரு தேக்கரண்டி எண்ணெயைச் சூடாக்கி, கடுகு சேர்த்து, அது வெடித்ததும், பச்சை மிளகாய் மற்றும் கறிவேப்பிலை சேர்க்கவும்.
ஒரு நொடி வதக்கி, பூசணிக்காயின் மேல் ஊற்றவும். நன்றாகக் கலந்து, உப்பு சரிபார்த்து, அரை மணி நேரம் குளிர்சாதன பெட்டியில் வைக்கவும்.
இந்த ரைத்தாவை குளிர்ந்ததும் பரிமாறும்போது மிகவும் சுவையாக இருக்கும்.</t>
  </si>
  <si>
    <t>https://encrypted-tbn0.gstatic.com/images?q=tbn:ANd9GcR-LLFCR6c4GhH3zVn1PFndEwKrYXL6MKKkAA&amp;s</t>
  </si>
  <si>
    <t>Mushroom Paneer Biryani</t>
  </si>
  <si>
    <t>காளான் பனீர் பிரியாணி</t>
  </si>
  <si>
    <t xml:space="preserve">   Basmati rice – 1 cup,
   Onion – 3/4 cup,
   Ginger garlic paste – 1 tsp,
   Green chilli - 1 slit,
   Tomato puree – 1/2 cup,
   Button Mushrooms – 1 cup ,
   Paneer cubes – 3/4 cup,
   Coriander leaves,
   Mint leaves,
   Thick curd – 1/4 cup,
   Salt to taste,
   Chilli powder – 3/4,
   Turmeric powder – 1/4 tsp,
   Biryani masala powder – 1 tsp,
   Coriander powder – 1 tsp,
   Oil/Ghee – 2 tbsp,
   Cloves - 2,
   Cinnamon – 1 inch piece,
   Cardamom - 1,
   Bay leaf – 1,
   Cloves - 1,
   Cinnamon - 1 inch piece,
   Ghee - 1 tspy.</t>
  </si>
  <si>
    <t>பாஸ்மதி அரிசி - 1 கப்,
வெங்காயம் - 3/4 கப்,
இஞ்சி பூண்டு விழுது - 1 டீஸ்பூன்,
பச்சை மிளகாய் - 1 துண்டு,
தக்காளி கூழ் - 1/2 கப்,
பட்டன் காளான்கள் - 1 கப்,
பனீர் துண்டுகள் - 3/4 கப்,
கொத்தமல்லி இலைகள்,
புதினா இலைகள்,
அடர்த்தியான தயிர் - 1/4 கப்,
ருசிக்க உப்பு,
மிளகாய் தூள் - 3/4,
மஞ்சள் தூள் - 1/4 டீஸ்பூன்,
பிரியாணி மசாலா தூள் - 1 டீஸ்பூன்,
கொத்தமல்லி தூள் - 1 டீஸ்பூன்,
எண்ணெய்/நெய் - 2 டீஸ்பூன்,
கிராம்பு - 2,
இலவங்கப்பட்டை - 1 அங்குல துண்டு,
ஏலக்காய் - 1,
பிரி இலை - 1,
கிராம்பு - 1,
இலவங்கப்பட்டை - 1 அங்குல துண்டு,
நெய் - 1 டீஸ்பூன்.</t>
  </si>
  <si>
    <t>Heat a tsp of ghee, add cloves, cinnamon and saute the rice for a few seconds. Then add 2 cups of water, little salt and cook the rice till 3/4 done. Drain the excess water (See picture below). Do not cook fully as we will be cooking again in the end. We do not want a mushy biryani.
Heat butter or oil in a kadai or pan, add the ingredients mentioned under seasoning, saute for a few seconds and add thinly sliced onions and slit green chillies. Saute until onions turn transparent.
Then add ginger garlic paste and saute for a few more seconds.
Now add the tomato puree, turmeric powder and the remaining spice powder (remember we added only half of it for marination) and cook till tomatoes become mushy.
See now the tomato is cooked nicely. At this stage add the marinated mushroom and paneer. Mix well.
Add the coriander, mint leaves, salt needed and cook until the mushrooms are three fourth cooked.(remember we have added salt while cooking rice, salt to the marination, so add salt accordingly).
In a pan with a lid, spread half of the gravy, then half of the rice on top.
Then spread the remaining gravy.
Then spread the rest of the rice on top and close it with a lid.
Keep it on very low flame for 5-6 minutes. Open and gently mix the biryani. Serve this aromatic biryani piping hot with raita or any side dish of your choice. I prepared my instant potato gravy as a side dish for this.
Beginners, do not get intimidated by looking at the ingredients list and steps. Actually I have made it very easier for you all. If you do not have time, you can avoid the layering and prepare it in a rice cooker or pressure cooker.You can check out my easy cooker vegetable biryani or mushroom biryani or Meal Maker Biryani recipes.</t>
  </si>
  <si>
    <t>ஒரு டீஸ்பூன் நெய்யை சூடாக்கி, கிராம்பு, இலவங்கப்பட்டை சேர்த்து அரிசியை சில நொடிகள் வதக்கவும். பிறகு 2 கப் தண்ணீர், சிறிது உப்பு சேர்த்து அரிசியை 3/4 பாகம் வேகும் வரை சமைக்கவும். அதிகப்படியான தண்ணீரை வடிகட்டவும் (கீழே உள்ள படத்தைப் பார்க்கவும்). கடைசியில் மீண்டும் சமைக்கப் போகிறோம் என்பதால் முழுமையாக சமைக்க வேண்டாம். நமக்கு ஒரு மிருதுவான பிரியாணி தேவையில்லை.
ஒரு கடாயில் அல்லது வாணலியில் வெண்ணெய் அல்லது எண்ணெயை சூடாக்கி, தாளிக்கக் கீழே குறிப்பிடப்பட்டுள்ள பொருட்களைச் சேர்த்து, சில வினாடிகள் வதக்கி, மெல்லியதாக நறுக்கிய வெங்காயம் மற்றும் பச்சை மிளகாயைச் சேர்த்து வதக்கவும். வெங்காயம் வெளிப்படையானதாக மாறும் வரை வதக்கவும்.
பின்னர் இஞ்சி பூண்டு விழுது சேர்த்து இன்னும் சில வினாடிகள் வதக்கவும்.
இப்போது தக்காளி கூழ், மஞ்சள் தூள் மற்றும் மீதமுள்ள மசாலாப் பொடியைச் சேர்த்து (அதில் பாதியை மட்டுமே மரினேஷனுக்குச் சேர்த்தோம் என்பதை நினைவில் கொள்க) தக்காளி மரினேஷனாகும் வரை சமைக்கவும்.
இப்போது தக்காளி நன்றாக வெந்துவிட்டது பாருங்கள். இந்த கட்டத்தில் மரினேட் செய்யப்பட்ட காளான் மற்றும் பனீர் சேர்க்கவும். நன்றாக கலக்கவும்.
கொத்தமல்லி, புதினா இலைகள், தேவையான அளவு உப்பு சேர்த்து காளான்கள் மூன்றில் ஒரு பங்கு வேகும் வரை சமைக்கவும். (சாதம் சமைக்கும் போது உப்பு, மரினேஷனில் உப்பு சேர்த்துள்ளோம் என்பதை நினைவில் கொள்க, எனவே அதற்கேற்ப உப்பு சேர்க்கவும்).
மூடியுடன் கூடிய ஒரு பாத்திரத்தில், கிரேவியின் பாதியையும், பின்னர் அரிசியின் பாதியையும் மேலே பரப்பவும்.
பின்னர் மீதமுள்ள கிரேவியைப் பரப்பவும்.
பின்னர் மீதமுள்ள அரிசியை மேலே பரப்பி ஒரு மூடியால் மூடவும்.
மிகக் குறைந்த தீயில் 5-6 நிமிடங்கள் வைக்கவும். பிரியாணியைத் திறந்து மெதுவாக கலக்கவும். இந்த நறுமணமுள்ள பிரியாணியை ரைத்தா அல்லது உங்களுக்கு விருப்பமான எந்த சைட் டிஷுடனும் சூடாகப் பரிமாறவும். இதற்கான சைட் டிஷ்ஷாக எனது உடனடி உருளைக்கிழங்கு கிரேவியை நான் தயார் செய்தேன்.
தொடக்கநிலையாளர்களே, பொருட்கள் பட்டியல் மற்றும் படிகளைப் பார்த்து பயப்பட வேண்டாம். உண்மையில் நான் அதை உங்கள் அனைவருக்கும் மிகவும் எளிதாக்கியுள்ளேன். உங்களுக்கு நேரம் இல்லையென்றால், நீங்கள் அடுக்கடுக்காகச் செய்வதைத் தவிர்த்து, ரைஸ் குக்கர் அல்லது பிரஷர் குக்கரில் தயாரிக்கலாம். எனது ஈஸி குக்கர் வெஜிடபிள் பிரியாணி அல்லது காளான் பிரியாணி அல்லது மீல் மேக்கர் பிரியாணி ரெசிபிகளை நீங்கள் பார்க்கலாம்.</t>
  </si>
  <si>
    <t>https://dainiksaveratimes.com/wp-content/uploads/2024/01/copy-3.jpg</t>
  </si>
  <si>
    <t>Vegetable Khichdi</t>
  </si>
  <si>
    <t>காய்கறி கிச்சடி</t>
  </si>
  <si>
    <t xml:space="preserve">   Raw Rice – 1/2 cup,
   Dal – 1/4 cup ,
   Water – 2 1/2 cups,
   Onion -1,
   Green chilli – 1 slit,
   Ginger-garlic paste - 1/2 tsp,
   Potato - 1,
   Green peas - 1/4 cup,
   Salt needed,
   Turmeric powder - 1/4 tsp,
   Chilli powder - 1 tsp,
   Coriander powder - 3/4 tsp,
   Garam masala powder – 1/4 tsp,
   Oil – 1 tbsp,
   Mustard seeds – 1 tsp,
   Cumin seeds - 3/4 tsp,
   Whole black pepper - 1/4 tsp,
   Hing – a generous pinch,
   Curry leaves,
   Ghee - 2-3 tsp,
   Cumin seeds – 1/2 tsp,
   Red chillies - 1,
   Garlic – 3-4 cloves .</t>
  </si>
  <si>
    <t>பச்சை அரிசி - 1/2 கப்,
பருப்பு - 1/4 கப்,
தண்ணீர் - 2 1/2 கப்,
வெங்காயம் -1,
பச்சை மிளகாய் - 1 கீறல்,
இஞ்சி-பூண்டு விழுது - 1/2 தேக்கரண்டி,
உருளைக்கிழங்கு - 1,
பச்சைப் பட்டாணி - 1/4 கப்,
தேவையான உப்பு,
மஞ்சள் தூள் - 1/4 தேக்கரண்டி,
மிளகாய் தூள் - 1 தேக்கரண்டி,
கொத்தமல்லி தூள் - 3/4 தேக்கரண்டி,
கரம் மசாலா தூள் - 1/4 தேக்கரண்டி,
எண்ணெய் - 1 தேக்கரண்டி,
கடுகு - 1 தேக்கரண்டி,
சீரக விதைகள் - 3/4 தேக்கரண்டி,
முழு கருப்பு மிளகு - 1/4 தேக்கரண்டி,
கீன் - ஒரு சிட்டிகை,
கறிவேப்பிலை,
நெய் - 2-3 தேக்கரண்டி,
சீரக விதைகள் - 1/2 தேக்கரண்டி,
சிவப்பு மிளகாய் - 1,
பூண்டு - 3-4 பல்.</t>
  </si>
  <si>
    <t>Heat oil in a pan (I used pressure pan), add mustard seeds, jeera seeds, when it sizzles, add whole black pepper, curry leaves and hing.
Then add chopped onions and saute until onions turn transparent.
Now add ginger garlic paste (if you do not have ginger garlic paste, you can add finely chopped ginger and garlic) and saute for a few more minutes.
Now add the chopped potatoes and peas.(you can also add 3-4 beans, 1/2 a carrot and 4-5 cauliflower florets to make it even more nutritious).
Add turmeric powder, chilli powder, coriander powder, garam masala powder and saute for 2-3 seconds.
Then add the soaked dal + rice (after draining the water- you can use this water to add to the rice after sauteing) and saute for a few more seconds.
Add 2 1/2 cups of water, salt needed and bring it to boil.(taste the water to check for salt, if it is slightly salty, it will be perfect once cooked).
Close the cooker and pressure cook for 3 whistles and simmer for another 3-4 minutes.
Once the pressure subsides, open the cooker and mix it gently. See how lovely it it!
Now we will do the top up seasoning – Heat 3 tsp of ghee, add cumin seeds, when it sizzles, add red chilli, finely chopped garlic, saute for a few seconds and pour it over the khichdi.
Serve Khichdi piping hot with any raita (pachadi) or papads or pickles. This is a very simple recipe which even beginners can try with confidence.</t>
  </si>
  <si>
    <t>ஒரு பாத்திரத்தில் (நான் பிரஷர் பான் பயன்படுத்தினேன்) எண்ணெயை சூடாக்கி, கடுகு, சீரக விதைகள் சேர்த்து, அது கொதிக்கும்போது, ​​முழு கருப்பு மிளகு, கறிவேப்பிலை மற்றும் பெருங்காயம் சேர்க்கவும்.
பின்னர் நறுக்கிய வெங்காயத்தைச் சேர்த்து வெங்காயம் தெளிவாகும் வரை வதக்கவும்.
இப்போது இஞ்சி பூண்டு விழுது (உங்களிடம் இஞ்சி பூண்டு விழுது இல்லையென்றால், இறுதியாக நறுக்கிய இஞ்சி மற்றும் பூண்டு சேர்க்கலாம்) சேர்த்து இன்னும் சில நிமிடங்கள் வதக்கவும்.
இப்போது நறுக்கிய உருளைக்கிழங்கு மற்றும் பட்டாணி சேர்க்கவும். (3-4 பீன்ஸ், 1/2 கேரட் மற்றும் 4-5 காலிஃபிளவர் பூக்களையும் சேர்த்து இன்னும் சத்தானதாக மாற்றலாம்).
மஞ்சள் தூள், மிளகாய் தூள், கொத்தமல்லி தூள், கரம் மசாலா தூள் சேர்த்து 2-3 விநாடிகள் வதக்கவும்.
பின்னர் ஊறவைத்த பருப்பை + அரிசியைச் சேர்த்து (தண்ணீரை வடிகட்டிய பிறகு - இந்த தண்ணீரை வதக்கிய பிறகு அரிசியுடன் சேர்க்கலாம்) மேலும் சில விநாடிகள் வதக்கவும்.
2 1/2 கப் தண்ணீர், தேவையான அளவு உப்பு சேர்த்து கொதிக்க விடவும். (தண்ணீரை உப்பு இருக்கிறதா என்று பார்த்து ருசித்துப் பாருங்கள், கொஞ்சம் உப்பு இருந்தால், வெந்ததும் சரியாகிவிடும்).
குக்கரை மூடி, 3 விசில் விட்டு, 3-4 நிமிடங்கள் பிரஷர் குக் செய்யவும்.
பிரஷர் குறைந்தவுடன், குக்கரைத் திறந்து மெதுவாக கலக்கவும். எவ்வளவு அருமையாக இருக்கும் என்று பாருங்கள்!
இப்போது நாம் டாப் அப் மசாலாவைச் செய்வோம் – 3 டீஸ்பூன் நெய்யைச் சூடாக்கி, சீரகம் சேர்த்து, அது கொதித்ததும், மிளகாய், இறுதியாக நறுக்கிய பூண்டு சேர்த்து, சில நொடிகள் வதக்கி, கிச்சடியின் மேல் ஊற்றவும்.
கிச்சடியை எந்த ரைத்தா (பச்சடி) அல்லது பப்பட் அல்லது ஊறுகாயுடன் சூடாகப் பரிமாறவும். இது மிகவும் எளிமையான செய்முறையாகும், இதை ஆரம்பநிலையாளர்கள் கூட நம்பிக்கையுடன் முயற்சி செய்யலாம்.</t>
  </si>
  <si>
    <t>https://holycowvegan.net/wp-content/uploads/2014/06/masala-khichdi-featured-image.jpg</t>
  </si>
  <si>
    <t>Lauki Sabzi</t>
  </si>
  <si>
    <t>லௌகி சப்ஸி</t>
  </si>
  <si>
    <t>Bottle gourd – 2 cups,
Onion – 3/4 cup,
Green chillies - 3-4 slit,
Turmeric powder - 1/4 tsp,
Chilli powder or  sambar powder - 1 tsp,
Coriander powder - 2 tsp,
Coconut grated – 1/4 cup,
Roasted sesame seeds – 1 tbsp,
Salt needed,
Oil – 1 tbsp,
cumin seeds - 3/4 tsp,
Curry leaves.</t>
  </si>
  <si>
    <t>பாற்காய் - 2 கப்,
வெங்காயம் - 3/4 கப்,
பச்சை மிளகாய் - 3-4 துண்டுகள்,
மஞ்சள் தூள் - 1/4 தேக்கரண்டி,
மிளகாய் தூள் அல்லது சாம்பார் தூள் - 1 தேக்கரண்டி,
கொத்தமல்லி தூள் - 2 தேக்கரண்டி,
தேங்காய் துருவல் - 1/4 கப்,
வறுத்த எள் - 1 தேக்கரண்டி,
உப்பு தேவை,
எண்ணெய் - 1 தேக்கரண்டி,
சீரக விதைகள் - 3/4 தேக்கரண்டி,
கறிவேப்பிலை.</t>
  </si>
  <si>
    <t>Heat oil, add jeera seeds, when it splutters, add onions, green chillies and curry leaves.
Saute until onions turn transparent. Then add chopped bottle gourd, turmeric powder, chilli powder, coriander powder, salt needed and saute for about 2-3 minutes.
Now add around 1/4 cup of water, close the lid and let it cook in medium flame. Do not forget to stir in between  to ensure even cooking.( if needed you can sprinkle more water)
See picture below – the bottle gourd is cooked and all the water has evaporated.
At this stage, add grated coconut + sesame seeds mix and saute for 2-3 minutes. Switch off the flame.
Sorakkai curry or poriyal  is ready. It is a fantastic side dish for chapati  and rice.</t>
  </si>
  <si>
    <t>எண்ணெய் சூடாக்கி, சீரகம் விதைகள் சேர்த்து, அது வதங்கியதும், வெங்காயம், பச்சை மிளகாய் மற்றும் கறிவேப்பிலை சேர்க்கவும்.
வெங்காயம் தெளிவாகும் வரை வதக்கவும். பின்னர் நறுக்கிய பாக்கு, மஞ்சள் தூள், மிளகாய் தூள், கொத்தமல்லி தூள், தேவையான உப்பு சேர்த்து சுமார் 2-3 நிமிடங்கள் வதக்கவும்.
இப்போது சுமார் 1/4 கப் தண்ணீர் சேர்த்து, மூடியை மூடி, மிதமான தீயில் சமைக்கவும். சமமாக சமைக்க இடையில் கிளற மறக்காதீர்கள். (தேவைப்பட்டால் நீங்கள் அதிக தண்ணீர் தெளிக்கலாம்)
கீழே உள்ள படத்தைப் பாருங்கள் - சுரைக்காய் வெந்துவிட்டது, தண்ணீர் அனைத்தும் ஆவியாகிவிட்டது.
இந்த கட்டத்தில், துருவிய தேங்காய் + எள் சேர்த்து 2-3 நிமிடங்கள் வதக்கவும். தீயை அணைக்கவும்.
சொரக்காய் கறி அல்லது பொரியல் தயார். இது சப்பாத்தி மற்றும் சாதத்திற்கு ஒரு அருமையான துணை உணவாகும்.</t>
  </si>
  <si>
    <t>https://dinedelicious.in/wp-content/uploads/2020/09/Lauki-ki-Sabzi-6-500x500.jpg</t>
  </si>
  <si>
    <t>Corn Masala</t>
  </si>
  <si>
    <t>சோள மசாலா</t>
  </si>
  <si>
    <t>Onion finely chopped – 1 cup,
Ginger garlic paste – 1 tsp,
Tomato chopped – 1 cup,
Capsicum – 1 cup,
Sweet Corn  – 3/4 cup,
Turmeric powder - 1/4 tsp,
Coriander powder – 1 tsp,
Chilli powder - 1 tsp,
Garam masala powder - 1/2 tsp,
Salt as needed,
Oil - 2 tbsp,
Cumin seeds - 1 tsp.</t>
  </si>
  <si>
    <t>வெங்காயம் பொடியாக நறுக்கியது - 1 கப்,
இஞ்சி பூண்டு விழுது - 1 டீஸ்பூன்,
தக்காளி பொடியாக நறுக்கியது - 1 கப்,
கேப்சிகம் - 1 கப்,
இனிப்பு சோளம் - 3/4 கப்,
மஞ்சள் தூள் - 1/4 டீஸ்பூன்,
கொத்தமல்லி தூள் - 1 டீஸ்பூன்,
மிளகாய் தூள் - 1 டீஸ்பூன்,
கரம் மசாலா தூள் - 1/2 டீஸ்பூன்,
தேவைக்கேற்ப உப்பு,
எண்ணெய் - 2 டீஸ்பூன்,
சீரகம் - 1 டீஸ்பூன்.</t>
  </si>
  <si>
    <t>Heat oil, add cumin seeds, when it splutters, add finely chopped onions. Saute continuously until onions turn light brown. Add a little salt to the onions to speed up the process.
Add ginger garlic paste and saute for few more minutes.(till the raw smell goes).
Add chopped tomatoes, all the spice powder (turmeric powder, coriander powder, chilli powder, garam masala powder) salt needed and saute until tomatoes becomes mushy. Do not add water now.
See how the tomatoes are cooked. I did not add water at all. Now add capsicum and cook for a few minutes. Capsicum needs very less time to get cooked. If needed you can sprinkle water at this stage.
After the capsicum is almost cooked, add the boiled corns and saute for 2-3 minutes, so that all the masala  gets incorporated well with the corn.
Now add 1 cup of water and boil until the desired consistency is reached. Check for salt. Garnish with coriander leaves.
Serve hot with roti, naan or as side dish for pulao.</t>
  </si>
  <si>
    <t>எண்ணெய் சூடாக்கி, சீரகம் சேர்த்து, அது வதங்கியதும், இறுதியாக நறுக்கிய வெங்காயத்தைச் சேர்க்கவும். வெங்காயம் வெளிர் பழுப்பு நிறமாக மாறும் வரை தொடர்ந்து வதக்கவும். செயல்முறையை விரைவுபடுத்த வெங்காயத்துடன் சிறிது உப்பு சேர்க்கவும்.
இஞ்சி பூண்டு விழுது சேர்த்து இன்னும் சில நிமிடங்கள் வதக்கவும். (பச்சை வாசனை போகும் வரை).
நறுக்கிய தக்காளி, தேவையான அனைத்து மசாலாப் பொடிகளையும் (மஞ்சள் தூள், கொத்தமல்லி தூள், மிளகாய் தூள், கரம் மசாலா தூள்) சேர்த்து தக்காளி மென்மையாகும் வரை வதக்கவும். இப்போது தண்ணீர் சேர்க்க வேண்டாம்.
தக்காளி எப்படி வேகுகிறது என்று பாருங்கள். நான் தண்ணீர் சேர்க்கவே இல்லை. இப்போது கேப்சிகம் சேர்த்து சில நிமிடங்கள் சமைக்கவும். கேப்சிகம் சமைக்க மிகக் குறைந்த நேரம் மட்டுமே ஆகும். தேவைப்பட்டால் இந்த கட்டத்தில் தண்ணீர் தெளிக்கலாம்.
கேப்சிகம் கிட்டத்தட்ட வெந்த பிறகு, வேகவைத்த சோளங்களைச் சேர்த்து 2-3 நிமிடங்கள் வதக்கவும், இதனால் அனைத்து மசாலாவும் சோளத்துடன் நன்றாகச் சேரும்.
இப்போது 1 கப் தண்ணீர் சேர்த்து விரும்பிய நிலைத்தன்மை அடையும் வரை கொதிக்க வைக்கவும். உப்பு சரிபார்க்கவும். கொத்தமல்லி இலைகளால் அலங்கரிக்கவும்.
ரொட்டி, நான் அல்லது புலாவுக்கு துணை உணவாக சூடாக பரிமாறவும்.</t>
  </si>
  <si>
    <t>https://encrypted-tbn0.gstatic.com/images?q=tbn:ANd9GcTEU7qmHRtU09SKdASM_o-A1rKH_dfrJ4RJwQ&amp;s</t>
  </si>
  <si>
    <t>Khara Pongal</t>
  </si>
  <si>
    <t>காரா பொங்கல்</t>
  </si>
  <si>
    <t>1/2 cup - Raw rice,
1/4 cup -  Split yellow moong dal ,
8 - Cashew nuts,
Salt needed,
1 1/2 tbsp -  Oil,
1 1/2 tbsp -  Ghee,
1 inch - Ginger,
1 tsp -  Cumin seeds,
1 tsp -  Whole black pepper,
Curry leaves few.</t>
  </si>
  <si>
    <t>1/2 கப் - பச்சரிசி,
1/4 கப் - மஞ்சள் நிறத்தில் நறுக்கிய பாசிப்பருப்பு,
8 - முந்திரி பருப்பு,
உப்பு தேவை,
1 1/2 டீஸ்பூன் - எண்ணெய்,
1 1/2 டீஸ்பூன் - நெய்,
1 அங்குலம் - இஞ்சி,
1 டீஸ்பூன் - சீரகம்,
1 டீஸ்பூன் - முழு கருப்பு மிளகு,
கறிவேப்பிலை சிறிது.</t>
  </si>
  <si>
    <t>Mix both rice and dal, wash and pressure cook adding salt, 2 1/2 - 3 cups of water for 4-5 whistles.(I used old rice, so added 3 cups of water). The rice has to be cooked in such a way that it should be mushy.
Open the cooker, once the pressure subsides. Mash the rice and dal well, when it is hot.
Heat oil + ghee, add pepper, cumin seeds, saute for a few seconds, then add finely chopped ginger, curry leaves, saute for 2-3 seconds and pour it over the rice + dal mix.
Add fried cashew nuts and mix everything well.
Alternatively you can add rice+dal mix to the seasoning as I have done and mix well on low flame for 2 minutes.
Turn off the heat and serve hot with sambar or gothsu or coconut chutney.</t>
  </si>
  <si>
    <t>அரிசி மற்றும் பருப்பை இரண்டையும் கலந்து, கழுவி, உப்பு சேர்த்து, 2 1/2 - 3 கப் தண்ணீர் சேர்த்து 4-5 விசில் வரும் வரை பிரஷர் சமைக்கவும். (நான் பழைய அரிசியைப் பயன்படுத்தினேன், அதனால் 3 கப் தண்ணீர் சேர்த்தேன்). அரிசியை மென்மையாக இருக்கும் வகையில் சமைக்க வேண்டும்.
பிரஷர் குறைந்தவுடன் குக்கரைத் திறக்கவும். சூடானதும் அரிசி மற்றும் பருப்பை நன்கு மசிக்கவும்.
எண்ணெய் + நெய்யை சூடாக்கி, மிளகு, சீரகம் சேர்த்து, சில நொடிகள் வதக்கி, பின்னர் இறுதியாக நறுக்கிய இஞ்சி, கறிவேப்பிலை சேர்த்து, 2-3 நொடிகள் வதக்கி, அரிசி + பருப்பு கலவையின் மீது ஊற்றவும்.
வறுத்த முந்திரி பருப்புகளைச் சேர்த்து எல்லாவற்றையும் நன்றாகக் கலக்கவும்.
மாற்றாக, நான் செய்தது போல் சாதம் + பருப்பு கலவையைச் சேர்த்து, குறைந்த தீயில் 2 நிமிடங்கள் நன்கு கலக்கவும்.
அடுப்பை அணைத்துவிட்டு, சாம்பார் அல்லது கோத்சு அல்லது தேங்காய் சட்னியுடன் சூடாகப் பரிமாறவும்.</t>
  </si>
  <si>
    <t>https://www.indianhealthyrecipes.com/wp-content/uploads/2021/01/pongal-ven-pongal-500x500.jpg</t>
  </si>
  <si>
    <t>https://youtu.be/bCMliOCajO0</t>
  </si>
  <si>
    <t>Peas Pulao</t>
  </si>
  <si>
    <t>பட்டாணி புலாவ்</t>
  </si>
  <si>
    <t>Basmati rice – 1 cup,
Onion – 3/4 cup,
Green chillies – 2 slit,
Ginger garlic paste - 1 tsp,
Green peas - 1 cup,
Fresh mint leaves – fistful,
Coriander leaves – fistful,
Salt as required,
Oil – 1 1/2 tbsp,
Cloves - 2,
Cardamom - 1,
Cinnamon - 2 inch piece.</t>
  </si>
  <si>
    <t>பாஸ்மதி அரிசி - 1 கப்,
வெங்காயம் - 3/4 கப்,
பச்சை மிளகாய் - 2 கீற்றுகள்,
இஞ்சி பூண்டு விழுது - 1 டீஸ்பூன்,
பச்சைப் பட்டாணி - 1 கப்,
புதிய புதினா இலைகள் - ஒரு கைப்பிடி,
கொத்தமல்லி இலைகள் - ஒரு கைப்பிடி,
தேவைக்கேற்ப உப்பு,
எண்ணெய் - 1 1/2 டீஸ்பூன்,
கிராம்பு - 2,
ஏலக்காய் - 1,
இலவங்கப்பட்டை - 2 அங்குல துண்டு.</t>
  </si>
  <si>
    <t>Heat oil in a pan/kadai and add the ingredients mentioned under seasoning. Saute for a few seconds, then  add  chopped onions, slit green chilli and saute until onions turn light brown.
Add ginger garlic paste and saute for a few more minutes.
Add peas, chopped coriander leaves and mint leaves.
Add rice and saute until the water (if any) evaporates.
Add 1 3/4 cup of hot water, salt needed (approximately 2 tsp salt) and bring it to boil.
Transfer it to another container and pressure cook for 3 whistles. Once the pressure subsides, open the cooker,  fluff the rice with a fork gently and serve hot.
If you are preparing directly in the pan, after adding water to the rice, wait for it to boil, then close the pan without weight. Keep it in medium flame. Once the rice is half cooked, stir the contents and close it with the weight. Keep it in very low flame for 5 minutes and switch off the flame. Open only after the pressure subsides. Watch the video of making pea pulao in pressure cooker directly .</t>
  </si>
  <si>
    <t>ஒரு கடாயில்/கடாயில் எண்ணெயை சூடாக்கி, தாளிக்கக் குறிப்பிடப்பட்டுள்ள பொருட்களைச் சேர்க்கவும். சில நொடிகள் வதக்கி, பின்னர் நறுக்கிய வெங்காயம், பச்சை மிளகாய் சேர்த்து வெங்காயம் வெளிர் பழுப்பு நிறமாக மாறும் வரை வதக்கவும்.
இஞ்சி பூண்டு விழுது சேர்த்து இன்னும் சில நிமிடங்கள் வதக்கவும்.
பட்டாணி, நறுக்கிய கொத்தமல்லி இலைகள் மற்றும் புதினா இலைகளைச் சேர்க்கவும்.
அரிசியைச் சேர்த்து தண்ணீர் (ஏதேனும் இருந்தால்) ஆவியாகும் வரை வதக்கவும்.
1 3/4 கப் வெந்நீர், தேவையான அளவு உப்பு (தோராயமாக 2 டீஸ்பூன் உப்பு) சேர்த்து கொதிக்க வைக்கவும்.
வேறொரு பாத்திரத்தில் மாற்றி 3 விசில் வரும் வரை பிரஷர் சமைக்கவும். பிரஷர் குறைந்தவுடன், குக்கரைத் திறந்து, அரிசியை ஒரு ஃபோர்க் கொண்டு மெதுவாக பிசைந்து சூடாகப் பரிமாறவும்.
நீங்கள் நேரடியாக வாணலியில் சமைத்தால், அரிசியில் தண்ணீர் சேர்த்த பிறகு, அது கொதிக்கும் வரை காத்திருந்து, பின்னர் எடை இல்லாமல் வாணலியை மூடவும். மிதமான தீயில் வைக்கவும். அரிசி பாதி வெந்ததும், உள்ளடக்கங்களைக் கிளறி, எடையுடன் மூடவும். மிகக் குறைந்த தீயில் 5 நிமிடங்கள் வைத்து, தீயை அணைக்கவும். பிரஷர் குறைந்த பிறகு மட்டுமே திறக்கவும். பிரஷர் குக்கரில் பட்டாணி புலாவ் செய்யும் வீடியோவை நேரடியாகப் பாருங்கள்.</t>
  </si>
  <si>
    <t>https://encrypted-tbn0.gstatic.com/images?q=tbn:ANd9GcQj6gT-huHrXewUEG9TiyhWDD-AY4nTLShewA&amp;s</t>
  </si>
  <si>
    <t>Soya Chunks Biryani</t>
  </si>
  <si>
    <t>சோயா துண்டுகள் பிரியாணி</t>
  </si>
  <si>
    <t xml:space="preserve">   Basmati Rice – 1 cup,
   Soya Chunks - 10-12,
   Onion – 3/4 cup thinly sliced,
   Green chilli - 1-2 slit,
   Fresh green peas – 1/4 cup,
   Thin coconut milk - 1 3/4 cup,
   Fresh lemon juice - 1 tbsp,
   Salt needed,
   Turmeric powder - 1/4 tsp,
   Chilli Powder – 1 tsp,
   Garam masala powder - 1 tsp,
   Onion – 1 medium size,
   Ginger – 1 inch piece,
   Garlic - 3-4 cloves,
   Green chilli – 1 small,
   Coriander leaves - fistful,
   Mint leaves – fistful,
   Oil – 2 tbsp,
   Cinnamon – 1 inch piece,
   Cloves – 2,
   Cardamom – 1,
   Bay leaf - 1.</t>
  </si>
  <si>
    <t>பாஸ்மதி அரிசி - 1 கப்,
சோயா துண்டுகள் - 10-12,
வெங்காயம் - 3/4 கப் மெல்லியதாக நறுக்கியது,
பச்சை மிளகாய் - 1-2 துண்டுகள்,
புதிய பச்சை பட்டாணி - 1/4 கப்,
மெல்லிய தேங்காய் பால் - 1 3/4 கப்,
புதிய எலுமிச்சை சாறு - 1 டீஸ்பூன்,
உப்பு தேவை,
மஞ்சள் தூள் - 1/4 டீஸ்பூன்,
மிளகாய் தூள் - 1 டீஸ்பூன்,
கரம் மசாலா தூள் - 1 டீஸ்பூன்,
வெங்காயம் - 1 நடுத்தர அளவு,
இஞ்சி - 1 அங்குல துண்டு,
பூண்டு - 3-4 பல்,
பச்சை மிளகாய் - 1 சிறியது,
கொத்தமல்லி இலை - ஒரு கைப்பிடி,
புதினா இலை - ஒரு கைப்பிடி,
எண்ணெய் - 2 டீஸ்பூன்,
இலவங்கப்பட்டை - 1 அங்குல துண்டு,
கிராம்பு - 2,
ஏலக்காய் - 1,
பிரி இலை - 1.</t>
  </si>
  <si>
    <t>Heat oil in a pressure pan, add the ingredients mentioned under seasoning.
Add thinly sliced onions, green chillies and saute until onions turn pink.
soya chunks biryani in pressure cooker
Now add the ground paste and saute until the raw flavor goes. Add peas, turmeric powder, chilli powder, garam masala powder and the soya chunks.
Saute for 2-3 minutes and then add the drained rice.Saute for a minute, add lemon juice, thin coconut milk and salt needed.(approximately 2 tsp salt for 1 cup of rice) Mix well and close the cooker without weight. Keep the flame in medium.
Once the rice is half cooked, stir the contents and close the cooker with weight. Keep it in very low flame for 4-6 minutes and switch off. Open the cooker once the pressure subsides, gently fluff the rice with a fork. Serve hot with pachadi/ raita or any tomato based gravy.
This biryani also makes a perfect lunch box recipe and is very good for growing children as it is rich in protein.</t>
  </si>
  <si>
    <t>ஒரு பிரஷர் பானில் எண்ணெயை சூடாக்கி, தாளிக்க வேண்டிய பொருட்களைச் சேர்க்கவும்.
வெங்காயம் இளஞ்சிவப்பு நிறமாக மாறும் வரை வதக்கவும்.
**பிரஷர் குக்கரில் சோயா துண்டுகள் பிரியாணி**
இப்போது அரைத்த விழுதைச் சேர்த்து, பச்சை வாசனை போகும் வரை வதக்கவும். பட்டாணி, மஞ்சள் தூள், மிளகாய் தூள், கரம் மசாலா தூள் மற்றும் சோயா துண்டுகள் சேர்க்கவும்.
2-3 நிமிடங்கள் வதக்கி, பின்னர் வடிகட்டிய அரிசியைச் சேர்க்கவும். ஒரு நிமிடம் வதக்கி, எலுமிச்சை சாறு, மெல்லிய தேங்காய் பால் மற்றும் தேவையான உப்பு சேர்க்கவும். (1 கப் அரிசிக்கு தோராயமாக 2 தேக்கரண்டி உப்பு) நன்கு கலந்து குக்கரை எடை இல்லாமல் மூடவும். சுடரை மிதமான அளவில் வைக்கவும்.
**சாதம் பாதி வெந்ததும், குக்கரை எடையுடன் மூடி வைக்கவும். 4-6 நிமிடங்கள் மிகக் குறைந்த தீயில் வைத்து அணைக்கவும். பிரஷர் குறைந்தவுடன் குக்கரைத் திறந்து, ஒரு ஃபோர்க் கொண்டு அரிசியை மெதுவாக பிசையவும். பச்சடி/ரைத்தா அல்லது தக்காளி சார்ந்த கிரேவியுடன் சூடாகப் பரிமாறவும்.
**இந்த பிரியாணி ஒரு சரியான மதிய உணவுப் பெட்டி செய்முறையாகும், மேலும் இதில் புரதம் நிறைந்திருப்பதால் வளரும் குழந்தைகளுக்கு இது மிகவும் நல்லது.</t>
  </si>
  <si>
    <t>https://encrypted-tbn0.gstatic.com/images?q=tbn:ANd9GcT_GrdozbHnpAfbO015f1c4WlD-Z5ysay8Vsg&amp;s</t>
  </si>
  <si>
    <t>Channa Pulao</t>
  </si>
  <si>
    <t>சன்னா புலாவ்</t>
  </si>
  <si>
    <t xml:space="preserve">
Basmati Rice – 1 cup,
Kala Channa - 1/2 cup,
Onion – 3/4 cup,
Green Chilli – 1-2 slit,
Ginger garlic paste - 1 tsp,
Mint leaves - fistful,
Coriander leaves - fistful,
Thin coconut milk – 1 3/4 cup,
Lemon juice – 1 tbsp,
Turmeric powder - 1/4 tsp,
Chilli powder - 1 tsp,
Garam masala powder - 1 tsp,
Salt as needed,
Oil – 1 1/2 tbsp ,
Cloves - 2,
Cinnamon – 2 inch piece,
Cardamom - 1.</t>
  </si>
  <si>
    <t>பாஸ்மதி அரிசி - 1 கப்,
கால சன்னா - 1/2 கப்,
வெங்காயம் - 3/4 கப்,
பச்சை மிளகாய் - 1-2 கீற்றுகள்,
இஞ்சி பூண்டு விழுது - 1 டீஸ்பூன்,
புதினா இலைகள் - ஒரு கைப்பிடி,
கொத்தமல்லி இலைகள் - ஒரு கைப்பிடி,
மெல்லிய தேங்காய் பால் - 1 3/4 கப்,
எலுமிச்சை சாறு - 1 டீஸ்பூன்,
மஞ்சள் தூள் - 1/4 டீஸ்பூன்,
மிளகாய் தூள் - 1 டீஸ்பூன்,
கரம் மசாலா தூள் - 1 டீஸ்பூன்,
தேவைக்கேற்ப உப்பு,
எண்ணெய் - 1 1/2 டீஸ்பூன்,
கிராம்பு - 2,
இலவங்கப்பட்டை - 2 அங்குல துண்டு,
ஏலக்காய் - 1.</t>
  </si>
  <si>
    <t>Rice is sauteed with a tsp of ghee and kept ready below.(see pic 1) This is done just to add flavor to the rice. (optional)
Now take a pressure pan, heat oil, add cloves, cinnamon, cardamom and saute for a few seconds.
Add onions, green chilli and saute until onions turn pink.
Add ginger garlic paste and saute for a few more seconds. Add cooked channa, turmeric powder, chilli powder, garam masala powder, mint leaves, coriander leaves and salt needed. Saute for 2-3 minutes.
Add thin coconut milk and lemon juice.When it starts boiling add the rice and mix well.
Check for salt at this stage. Taste the water and see.If you need salt, add now and mix well. Close the pan and pressure cook for 1 whistle and keep it in very low flame for 5 minutes and switch off. Open after the pressure subsides and gently fluff the rice with a fork.
Another method- If you do not want to pressure cook, close the pan without weight.Once the rice is half cooked, stir the contents and close the pan with weight and keep it in low flame for 4 minutes. Switch off and let it stand for 5-6 minutes. Then open the cooker and gently fluff the rice.
Serve hot with onion pachadi or mixed vegetable raita or any sides dishes like paneer butter masala, aloo gobhi or quick potato gravy etc.</t>
  </si>
  <si>
    <t>அரிசியை ஒரு டீஸ்பூன் நெய்யுடன் வதக்கி கீழே தயாராக வைக்க வேண்டும். (படம் 1 ஐப் பார்க்கவும்) இது அரிசிக்கு சுவை சேர்க்க மட்டுமே செய்யப்படுகிறது. (விருப்பத்தேர்வு)
இப்போது ஒரு பிரஷர் பானை எடுத்து, எண்ணெயை சூடாக்கி, கிராம்பு, இலவங்கப்பட்டை, ஏலக்காய் சேர்த்து சில வினாடிகள் வதக்கவும்.
வெங்காயம், பச்சை மிளகாய் சேர்த்து வெங்காயம் இளஞ்சிவப்பு நிறமாக மாறும் வரை வதக்கவும்.
இஞ்சி பூண்டு விழுது சேர்த்து இன்னும் சில வினாடிகள் வதக்கவும். சமைத்த சன்னா, மஞ்சள் தூள், மிளகாய் தூள், கரம் மசாலா தூள், புதினா இலைகள், கொத்தமல்லி இலைகள் மற்றும் தேவையான உப்பு சேர்க்கவும். 2-3 நிமிடங்கள் வதக்கவும்.
மெல்லிய தேங்காய் பால் மற்றும் எலுமிச்சை சாறு சேர்க்கவும். கொதிக்க ஆரம்பிக்கும் போது அரிசியைச் சேர்த்து நன்கு கலக்கவும்.
இந்த கட்டத்தில் உப்பு இருக்கிறதா என்று பாருங்கள். தண்ணீரை ருசித்துப் பாருங்கள். உங்களுக்கு உப்பு தேவைப்பட்டால், இப்போது சேர்த்து நன்கு கலக்கவும். வாணலியை மூடி 1 விசில் வரை பிரஷர் செய்து, மிகக் குறைந்த தீயில் 5 நிமிடங்கள் வைத்து அணைக்கவும். பிரஷர் குறைந்த பிறகு திறந்து, ஒரு ஃபோர்க் மூலம் அரிசியை மெதுவாக பிசையவும்.
மற்றொரு முறை- நீங்கள் பிரஷர் சமைக்க விரும்பவில்லை என்றால், எடை இல்லாமல் பாத்திரத்தை மூடவும். அரிசி பாதி வெந்தவுடன், உள்ளடக்கங்களைக் கிளறி, வெயிட்டுடன் பாத்திரத்தை மூடி, 4 நிமிடங்கள் குறைந்த தீயில் வைக்கவும். அணைத்து 5-6 நிமிடங்கள் அப்படியே வைக்கவும். பின்னர் குக்கரைத் திறந்து அரிசியை மெதுவாக பிசையவும்.
வெங்காய பச்சடி அல்லது மிக்ஸ்டு வெஜிடபிள் ரைத்தா அல்லது பனீர் பட்டர் மசாலா, ஆலு கோபி அல்லது விரைவான உருளைக்கிழங்கு கிரேவி போன்ற ஏதேனும் பக்க உணவுகளுடன் சூடாகப் பரிமாறவும்.</t>
  </si>
  <si>
    <t>https://fatimacooks.net/wp-content/uploads/2016/02/Chana-Pulao-or-Chana-Pilau-Recipe.jpg</t>
  </si>
  <si>
    <t>Curd Rice</t>
  </si>
  <si>
    <t>தயிர் சாதம்</t>
  </si>
  <si>
    <t xml:space="preserve">   Raw Rice – 1/2 cup,
   Milk - 1 cup,
   Curd – 1/3 cup,
   Salt as needed,
   Oil – 2 tsp,
   Mustard seeds – 1 tsp,
   Green chilli – 1-2 ,
   Ginger – 1 tbsp ,
   Curry leaves – 2 sprigs,
   Coriander leaves</t>
  </si>
  <si>
    <t>பச்சரிசி - 1/2 கப்,
பால் - 1 கப்,
தயிர் - 1/3 கப்,
தேவைக்கேற்ப உப்பு,
எண்ணெய் - 2 தேக்கரண்டி,
கடுகு - 1 தேக்கரண்டி,
பச்சை மிளகாய் - 1-2,
இஞ்சி - 1 தேக்கரண்டி,
கறிவேப்பிலை - 2 தண்டுகள்,
கொத்தமல்லி இலைகள்.</t>
  </si>
  <si>
    <t>When the rice is hot, mash it nicely with a potato masher, add warm milk and mix well.
When it has cooled a little, add curd and salt needed.
Heat 2 tsp of oil, add mustard seeds, when it splutters, add green chilli, ginger, curry leaves and saute for a few seconds. Pour it over the curd rice. Mix well.
Garnish with coriander leaves and serve with pickle.</t>
  </si>
  <si>
    <t>அரிசி சூடானதும், உருளைக்கிழங்கு மசிப்பான் கொண்டு நன்றாக மசித்து, சூடான பால் சேர்த்து நன்கு கலக்கவும்.
சிறிது ஆறியதும், தயிர் மற்றும் தேவையான உப்பு சேர்க்கவும்.
2 தேக்கரண்டி எண்ணெயை சூடாக்கி, கடுகு சேர்த்து, அது வதங்கியதும், பச்சை மிளகாய், இஞ்சி, கறிவேப்பிலை சேர்த்து சில நொடிகள் வதக்கவும். தயிர் சாதத்தின் மேல் ஊற்றவும். நன்றாக கலக்கவும்.
கொத்தமல்லி இலைகளால் அலங்கரித்து ஊறுகாயுடன் பரிமாறவும்.</t>
  </si>
  <si>
    <t>https://www.chefkunalkapur.com/wp-content/uploads/2023/05/DSC09411-1300x731.jpg?v=1684031938</t>
  </si>
  <si>
    <t xml:space="preserve">   Oil – 1 tbsp,
   Cooked and cooled rice – 2 cups ,
   Onion – 1,
   Garlic – 5 cloves,
   Beans - 10-12,
   Carrot – 1 medium,
   Soya sauce – 2-3 tsp,
   Pepper powder as required,
   Salt needed,
   Oil – 2 tsp,
   Eggs - 2,
   Salt to taste,
   Pepper powder to taste,
   Spring onion greens.</t>
  </si>
  <si>
    <t>எண்ணெய் – 1 டேபிள் ஸ்பூன்,
சமைத்து ஆறிய அரிசி – 2 கப்,
வெங்காயம் – 1,
பூண்டு – 5 பல்,
பீன்ஸ் - 10-12,
கேரட் – 1 நடுத்தர அளவு,
சோயா சாஸ் – 2-3 டீஸ்பூன்,
தேவைக்கேற்ப மிளகு தூள்,
உப்பு தேவைக்கேற்ப,
எண்ணெய் – 2 டேபிள் ஸ்பூன்,
முட்டை - 2,
ருசிக்கேற்ப உப்பு,
ருசிக்கேற்ப மிளகு தூள்,
ஸ்பிரிங் ஆனியன் கீரைகள்.</t>
  </si>
  <si>
    <t>Heat oil, add garlic and saute for a few minutes.
Then add finely chopped onions and fry until translucent. Now add the finely chopped beans, carrot and stir on high flame.The whole process has to be done on high flame stirring continuously. Do not over cook the vegetables. The vegetables should retain their crunchiness.
When the vegetables are done, add cooked and cooled rice, needed salt, pepper powder, soya sauce and toss to combine until well coated.
Add the prepared egg scramble and toss well. Garnish with spring onion greens. Serve piping hot with tomato sauce or any Indo Chinese dish like gobi manchurian or vegetable manchurian.
This egg fried rice is very simple, needs very less ingredients and can be prepared very quickly. It is healthy, filling and delicious. Super quick, yet delicous!!</t>
  </si>
  <si>
    <t>எண்ணெய்யை சூடாக்கி, பூண்டு சேர்த்து சில நிமிடங்கள் வதக்கவும்.
பின்னர் இறுதியாக நறுக்கிய வெங்காயத்தைச் சேர்த்து, வெளிப்படையான வரை வதக்கவும். இப்போது இறுதியாக நறுக்கிய பீன்ஸ், கேரட் சேர்த்து அதிக தீயில் கிளறவும். முழு செயல்முறையையும் தொடர்ந்து கிளறி அதிக தீயில் செய்ய வேண்டும். காய்கறிகளை அதிகமாக வேகவைக்க வேண்டாம். காய்கறிகள் அவற்றின் மொறுமொறுப்பைத் தக்க வைத்துக் கொள்ள வேண்டும்.
காய்கறிகள் தயாரானதும், சமைத்த மற்றும் ஆறிய அரிசி, தேவையான உப்பு, மிளகு தூள், சோயா சாஸ் சேர்த்து நன்கு பூசும் வரை கலக்கவும்.
தயாரித்த முட்டை ஸ்க்ராம்பிள் சேர்த்து நன்கு கிளறவும். ஸ்பிரிங் ஆனியன் கீரைகளால் அலங்கரிக்கவும். தக்காளி சாஸ் அல்லது கோபி மஞ்சூரியன் அல்லது காய்கறி மஞ்சூரியன் போன்ற எந்த இந்திய சீன உணவுடனும் சூடாகப் பரிமாறவும்.
இந்த முட்டை வறுத்த அரிசி மிகவும் எளிமையானது, மிகக் குறைந்த பொருட்கள் மட்டுமே தேவை, மிக விரைவாக தயாரிக்கலாம். இது ஆரோக்கியமானது, நிறைவானது மற்றும் சுவையானது. மிகவும் விரைவானது, ஆனால் சுவையானது!!</t>
  </si>
  <si>
    <t>https://savvybites.co.uk/wp-content/uploads/2024/02/Easy-Egg-fried-rice-2-500x500.jpg</t>
  </si>
  <si>
    <t>புதினா அரிசி</t>
  </si>
  <si>
    <t xml:space="preserve">   Basmati rice or raw rice – 1 cup,
   Onion – 2,
   Mint leaves – 1 medium sized bunch,
   Green chilli – 2,
   Ginger – 1 inch piece,
   Fresh peas – fistfu,
   Fresh lemon juice -1 tbsp,
   Salt needed,
   Oil – 2 tbsp,
   Cardamom - 1,
   Cinnamon – 1 inch piece,
   Cloves – 2.</t>
  </si>
  <si>
    <t>பாஸ்மதி அரிசி அல்லது பச்சரிசி - 1 கப்,
வெங்காயம் - 2,
புதினா இலைகள் - 1 நடுத்தர அளவிலான கொத்து,
பச்சை மிளகாய் - 2,
இஞ்சி - 1 அங்குல துண்டு,
புதிய பட்டாணி - ஃபிஸ்ட்ஃபு,
புதிய எலுமிச்சை சாறு - 1 டீஸ்பூன்,
உப்பு தேவை,
எண்ணெய் - 2 டீஸ்பூன்,
ஏலக்காய் - 1,
இலவங்கப்ப</t>
  </si>
  <si>
    <t>Heat oil in a pan, add the ingredients mentioned under seasoning, saute for a few seconds, then add thinly sliced onions and saute till onions turn pink.
Add the ground paste and saute till the raw flavor of the mint paste goes. If you have fresh peas with you, then you can add a handful of fresh peas now.
Add drained rice, salt needed (for 1 cup rice it is approximately 2 tsp flat salt), juice of half a lemon, and 1 3/4 cup of water. Transfer it to another vessel (in case if you have done it in kadai) and pressure cook for 3 whistles and switch off.</t>
  </si>
  <si>
    <t>ஒரு கடாயில் எண்ணெயை சூடாக்கி, தாளிக்க வேண்டிய பொருட்களைச் சேர்த்து, சில நொடிகள் வதக்கி, பின்னர் மெல்லியதாக நறுக்கிய வெங்காயத்தைச் சேர்த்து வெங்காயம் இளஞ்சிவப்பு நிறமாக மாறும் வரை வதக்கவும்.
புதினா விழுதைச் சேர்த்து, பச்சையான பட்டாணியின் பச்சை வாசனை போகும் வரை வதக்கவும். உங்களிடம் புதிய பட்டாணி இருந்தால், இப்போது ஒரு கைப்பிடி புதிய பட்டாணியைச் சேர்க்கலாம்.
வடிகட்டிய அரிசி, தேவையான உப்பு (1 கப் அரிசிக்கு தோராயமாக 2 டீஸ்பூன் உப்பு), அரை எலுமிச்சை சாறு மற்றும் 1 3/4 கப் தண்ணீர் சேர்க்கவும். (கடாயில் செய்திருந்தால்) வேறொரு பாத்திரத்தில் போட்டு 3 விசில் வரும் வரை பிரஷர் குக் செய்து, அணைக்கவும்.</t>
  </si>
  <si>
    <t>https://cookingfromheart.com/wp-content/uploads/2020/05/Pudina-Rice-6.jpg</t>
  </si>
  <si>
    <t>Pasta in White Sauce</t>
  </si>
  <si>
    <t xml:space="preserve">
வெள்ளை சாஸில் பாஸ்தா</t>
  </si>
  <si>
    <t>Penne Pasta – 125 grams,
Oil – 1/2 tsp + 1/2 tsp,
Salt – 1 tsp,
Olive oil – 1 tbsp,
Garlic finely chopped – 1 tbsp,
Red and yellow capsicum,
Sweet corn – 1/3 cup,
Pepper powder to taste,
Salt as required,
Oregano - 3/4 tsp or to taste,
Butter – 1 1/2 tbsp,
Cornflour – 2 tbsp,
Milk – 1 1/2 cup,
Cheese – 3-4 tbsp ,
Salt and pepper powder to taste,
Mixed Italian herbs .</t>
  </si>
  <si>
    <t>பென்னே பாஸ்தா – 125 கிராம்,
எண்ணெய் – 1/2 தேக்கரண்டி + 1/2 தேக்கரண்டி,
உப்பு – 1 தேக்கரண்டி,
ஆலிவ் எண்ணெய் – 1 தேக்கரண்டி,
பூண்டு பொடியாக நறுக்கியது – 1 தேக்கரண்டி,
சிவப்பு மற்றும் மஞ்சள் கேப்சிகம்,
இனிப்பு சோளம் – 1/3 கப்,
சுவைக்கு மிளகு தூள்,
தேவைக்கேற்ப உப்பு,
ஓரிகானோ - 3/4 தேக்கரண்டி அல்லது சுவைக்கேற்ப,
வெண்ணெய் – 1 1/2 தேக்கரண்டி,
சோள மாவு – 2 தேக்கரண்டி,
பால் – 1 1/2 கப்,
சீஸ் – 3-4 தேக்கரண்டி,
சுவைக்கு உப்பு மற்றும் மிளகு தூள்,
இத்தாலிய மூலிகைகள் கலக்கவும்.</t>
  </si>
  <si>
    <t xml:space="preserve">In a wide pan, bring plenty of water to boil, add salt and oil. Then slowly add the pasta and cook till the pasta is al dente.( it should be soft but firm) Stir in between to prevent the pasta from sticking together. After it is cooked, drain it in a colander and pour cold water on it. This is done to prevent it from getting cooked further. Mix another 1/2 tsp oil to it and keep it aside. (Reserve 1/4 cup of the water in which pasta was cooked as we might need it later).
Though I have used colored capsicum, sweet corn and cauliflower in this recipe, you can use mushrooms, carrots and broccoli too.Since I could not get broccoli that day, I have used cauliflower,but I recommend broccoli for best results. Do not omit sweet corn as it tastes great in this dish.
Heat oil in a pan, saute garlic for a few seconds, then add capsicum, corn and cauliflower.Cook uncovered till done. Do not overcook the vegetables. The vegetables should retain its crunchiness.
Add oregano, salt and pepper powder to taste. Keep it aside.
In a pan/ kadai, melt butter, simmer and add cornflour stirring continuously. Saute till it changes color slightly.
At this stage, add 1/2 cup of cold milk and stir continuously with a whisk to prevent formation of lumps.
When it starts thickening, add the remaining milk gradually stirring continuously with the whisk.
Bring it to boil, reduce the flame, add cheese, salt, pepper powder and herbs to taste.
Cook for another few minutes, till it thickens slightly and remove from flame. (If it is too thick, you can add the water reserved while cooking pasta and heat again).This sauce will thicken as it cools, so mix it in between or a layer will form on the top.
</t>
  </si>
  <si>
    <t>ஒரு அகலமான பாத்திரத்தில், நிறைய தண்ணீர் கொதிக்க வைத்து, உப்பு மற்றும் எண்ணெய் சேர்க்கவும். பின்னர் மெதுவாக பாஸ்தாவைச் சேர்த்து பாஸ்தா அல் டென்ட் ஆகும் வரை சமைக்கவும். (அது மென்மையாக ஆனால் உறுதியாக இருக்க வேண்டும்) பாஸ்தா ஒன்றாக ஒட்டாமல் இருக்க இடையில் கிளறவும். வெந்த பிறகு, அதை ஒரு வடிகட்டியில் வடிகட்டி, அதன் மீது குளிர்ந்த நீரை ஊற்றவும். இது மேலும் வேகாமல் இருக்க செய்யப்படுகிறது. அதனுடன் மேலும் 1/2 தேக்கரண்டி எண்ணெயைக் கலந்து தனியாக வைக்கவும். (பாஸ்தா சமைத்த தண்ணீரில் 1/4 கப் எடுத்து வைக்கவும், ஏனெனில் அது பின்னர் தேவைப்படலாம்).
இந்த செய்முறையில் நான் வண்ண கேப்சிகம், ஸ்வீட் கார்ன் மற்றும் காலிஃபிளவர் ஆகியவற்றைப் பயன்படுத்தியிருந்தாலும், நீங்கள் காளான்கள், கேரட் மற்றும் ப்ரோக்கோலியையும் பயன்படுத்தலாம். அன்று எனக்கு ப்ரோக்கோலி கிடைக்காததால், நான் காலிஃபிளவரைப் பயன்படுத்தினேன், ஆனால் சிறந்த முடிவுகளுக்கு ப்ரோக்கோலியை பரிந்துரைக்கிறேன். இந்த உணவில் இனிப்பு சோளம் சுவையாக இருப்பதால் அதை தவிர்க்க வேண்டாம்.
ஒரு பாத்திரத்தில் எண்ணெயை சூடாக்கி, பூண்டை சில நொடிகள் வதக்கி, பின்னர் கேப்சிகம், சோளம் மற்றும் காலிஃபிளவரை சேர்க்கவும். மூடாமல் சமைக்கும் வரை சமைக்கவும். காய்கறிகளை அதிகமாக வேகவிடாதீர்கள். காய்கறிகள் அதன் மொறுமொறுப்பைத் தக்க வைத்துக் கொள்ள வேண்டும்.
சுவைக்கேற்ப ஆர்கனோ, உப்பு மற்றும் மிளகுத் தூள் சேர்க்கவும். தனியாக வைக்கவும்.
ஒரு பாத்திரத்தில்/கடாயில், வெண்ணெய் உருக்கி, கொதிக்க வைத்து, தொடர்ந்து கிளறி சோள மாவு சேர்க்கவும். நிறம் மாறும் வரை சிறிது வதக்கவும்.
இந்த கட்டத்தில், 1/2 கப் குளிர்ந்த பாலை சேர்த்து, கட்டிகள் உருவாகாமல் தடுக்க ஒரு துடைப்பத்தால் தொடர்ந்து கிளறவும்.
அது கெட்டியாகத் தொடங்கியதும், மீதமுள்ள பாலை படிப்படியாக துடைப்பத்தால் தொடர்ந்து கிளறவும்.
அதை கொதிக்க வைத்து, தீயைக் குறைத்து, சீஸ், உப்பு, மிளகு தூள் மற்றும் சுவைக்க மூலிகைகள் சேர்க்கவும்.
அது சிறிது கெட்டியாகும் வரை இன்னும் சில நிமிடங்கள் சமைக்கவும், பின்னர் தீயிலிருந்து இறக்கவும். (இது மிகவும் கெட்டியாக இருந்தால், பாஸ்தாவை சமைக்கும் போது ஒதுக்கப்பட்ட தண்ணீரைச் சேர்த்து மீண்டும் சூடாக்கலாம்). இந்த சாஸ் குளிர்ந்ததும் கெட்டியாகிவிடும், எனவே இடையில் கலக்கவும் அல்லது மேலே ஒரு அடுக்கு உருவாகும்.</t>
  </si>
  <si>
    <t>https://www.whiskaffair.com/wp-content/uploads/2021/05/White-Sauce-Paste-2-3.jpg</t>
  </si>
  <si>
    <t>Poori Masala</t>
  </si>
  <si>
    <t>பூரி மசாலா</t>
  </si>
  <si>
    <t xml:space="preserve">   Potatoes – 5 medium size,
   Onion – 3/4 cup thinly sliced,
   Tomato – 1,
   Green chilli - 3 slit,
   Turmeric powder – 1/4 tsp,
   Salt to taste,
   Oil – 4 tsp,
   Mustard – 1 tsp,
   Urad dal – 3/4 tsp,
   Channa dal – 1/2 tsp,
   Curry leaves ,
   Coriander leaves.</t>
  </si>
  <si>
    <t>உருளைக்கிழங்கு - 5 நடுத்தர அளவு,
வெங்காயம் - 3/4 கப் மெல்லியதாக நறுக்கியது,
தக்காளி - 1,
பச்சை மிளகாய் - 3 துண்டுகள்,
மஞ்சள் தூள் - 1/4 தேக்கரண்டி,
ருசிக்க உப்பு,
எண்ணெய் - 4 தேக்கரண்டி,
கடுகு - 1 தேக்கரண்டி,
உளுத்தம் பருப்பு - 3/4 தேக்கரண்டி,
சன்னா பருப்பு - 1/2 தேக்கரண்டி,
கறிவேப்பிலை ,
கொத்தமல்லி இலைகள்.</t>
  </si>
  <si>
    <t>Heat oil in a pan/kadai, add mustard seeds, when it splutters, add channa dal and urad dal. When dal turns golden brown, add onion, green chillies and curry leaves.
When onion turns pink, add finely chopped tomatoes, turmeric powder and saute till tomato gets cooked well.(you can add a little salt while sauteing the onions).
Once the tomatoes are cooked, add 1 3/4 – 2 cups of water and salt needed.You can check for salt now by tasting the water. It should be slightly salty. Once we add potatoes, it will be perfect. Let the water boil. Then only you should add the mashed potatoes. If you add potatoes before adding water, the whole thing will become a mass when it cools. So the trick is to add water first and then add mashed potatoes to the boiling water.
After adding the potatoes, keep it in medium flame and cook for another 3-4 minutes. Switch off the stove and garnish with finely chopped coriander leaves. Serve with hot pooris. It will take your taste buds on a trip to heaven!!
This aloo/potato masala can also be had as a side dish for chapati, stuffing for bread toast or sandwich.</t>
  </si>
  <si>
    <t>ஒரு கடாயில்/கடாயில் எண்ணெயை சூடாக்கி, கடுகு சேர்த்து, அது வதங்கியதும், சன்னா பருப்பு மற்றும் உளுத்தம் பருப்பு சேர்க்கவும். பருப்பு பொன்னிறமாக மாறியதும், வெங்காயம், பச்சை மிளகாய் மற்றும் கறிவேப்பிலை சேர்க்கவும்.
வெங்காயம் இளஞ்சிவப்பு நிறமாக மாறியதும், இறுதியாக நறுக்கிய தக்காளி, மஞ்சள் தூள் சேர்த்து தக்காளி நன்றாக வேகும் வரை வதக்கவும். (வெங்காயம் வதக்கும்போது சிறிது உப்பு சேர்க்கலாம்).
தக்காளி வெந்தவுடன், 1 3/4 - 2 கப் தண்ணீர் மற்றும் தேவையான அளவு உப்பு சேர்க்கவும். இப்போது தண்ணீரை ருசித்துப் பார்த்து உப்பு இருக்கிறதா என்று பார்க்கலாம். இது சற்று உப்புத்தன்மையுடன் இருக்க வேண்டும். உருளைக்கிழங்கைச் சேர்த்தவுடன், அது சரியாக இருக்கும். தண்ணீர் கொதிக்க விடவும். பின்னர் நீங்கள் மசித்த உருளைக்கிழங்கைச் சேர்க்க வேண்டும். தண்ணீர் சேர்ப்பதற்கு முன் உருளைக்கிழங்கைச் சேர்த்தால், அது குளிர்ந்ததும் முழுதும் ஒரு மாஸாக மாறும். எனவே தந்திரம் என்னவென்றால், முதலில் தண்ணீரைச் சேர்த்து, பின்னர் மசித்த உருளைக்கிழங்கை கொதிக்கும் நீரில் சேர்ப்பது.
உருளைக்கிழங்கைச் சேர்த்த பிறகு, அதை நடுத்தர தீயில் வைத்து மேலும் 3-4 நிமிடங்கள் சமைக்கவும். அடுப்பை அணைத்து, இறுதியாக நறுக்கிய கொத்தமல்லி இலைகளால் அலங்கரிக்கவும். சூடான பூரிகளுடன் பரிமாறவும். இது உங்கள் சுவை மொட்டுகளை சொர்க்கத்திற்கு அழைத்துச் செல்லும்!!
இந்த ஆலு/உருளைக்கிழங்கு மசாலாவை சப்பாத்திக்கு ஒரு பக்க உணவாகவும், பிரட் டோஸ்டுக்கு ஸ்டஃபிங் அல்லது சாண்ட்விச்சிற்கும் சாப்பிடலாம்.</t>
  </si>
  <si>
    <t>https://www.indianhealthyrecipes.com/wp-content/uploads/2022/07/poori-masala-recipe.webp</t>
  </si>
  <si>
    <t xml:space="preserve">   Apple -1 peeled and chopped,
   Oats – 2 tbsp,
   Milk – 3/4 -1 cup (chilled),
   Dates – 3 ,
   Honey – 2 tsp if needed.</t>
  </si>
  <si>
    <t>ஆப்பிள் -1 தோல் நீக்கி நறுக்கியது,
ஓட்ஸ் - 2 டேபிள்ஸ்பூன்,
பால் - 3/4 -1 கப் (குளிரூட்டப்பட்டது),
பேரீச்சம்பழம் - 3 ,
தேன் - தேவைப்பட்டால் 2 டேபிள்ஸ்பூன்.</t>
  </si>
  <si>
    <t>https://yogaofcooking.co/wp-content/uploads/2019/09/apple-oat-breakfast-smoothie-2.jpg</t>
  </si>
  <si>
    <t>Instant Tomato Rasam</t>
  </si>
  <si>
    <t>உடனடி தக்காளி ரசம்</t>
  </si>
  <si>
    <t xml:space="preserve">   Ripe tomatoes - 2-3,
   Whole black pepper – 1 tsp,
   Cumin seeds – 1 tsp,
   Curry leaves,
   Ghee – 1 tsp,
   Mustard seeds - 1 tsp,
   Coriander leaves.</t>
  </si>
  <si>
    <t>பழுத்த தக்காளி - 2-3,
முழு கருப்பு மிளகு - 1 தேக்கரண்டி,
சீரகம் - 1 தேக்கரண்டி,
கறிவேப்பிலை,
நெய் - 1 தேக்கரண்டி,
கடுகு - 1 தேக்கரண்டி,
கொத்தமல்லி இலைகள்.</t>
  </si>
  <si>
    <t>Boil tomatoes in water for 3-4 minutes (just enough water to cover the tomatoes). Switch off the flame and keep it closed for 5 minutes.
After 5 minutes, remove the skin and mash the tomatoes well.
Add the ground rasam powder, few curry leaves, salt needed and let it boil for about 5 minutes.
Then add 1 1/2 cup of water and switch off the flame once froth starts forming at the top.
Heat a tsp of ghee, add mustard seeds, when it splutters, add curry leaves and pour it over the rasam.
Garnish with finely chopped coriander leaves.</t>
  </si>
  <si>
    <t>தக்காளியை 3-4 நிமிடங்கள் தண்ணீரில் வேகவைக்கவும் (தக்காளியை மூடும் அளவுக்கு தண்ணீர்). தீயை அணைத்து 5 நிமிடங்கள் மூடி வைக்கவும்.
5 நிமிடங்களுக்குப் பிறகு, தோலை நீக்கி தக்காளியை நன்றாக மசிக்கவும்.
அரைத்த ரசம் பொடி, சிறிது கறிவேப்பிலை, தேவையான உப்பு சேர்த்து சுமார் 5 நிமிடங்கள் கொதிக்க விடவும்.
பின்னர் 1 1/2 கப் தண்ணீர் சேர்த்து, மேலே நுரை வர ஆரம்பித்ததும், தீயை அணைக்கவும்.
ஒரு தேக்கரண்டி நெய்யை சூடாக்கி, கடுகு சேர்த்து, அது பிளந்ததும், கறிவேப்பிலை சேர்த்து, ரசத்தின் மேல் ஊற்றவும்.
இறுதியாக நறுக்கிய கொத்தமல்லி இலைகளால் அலங்கரிக்கவும்.</t>
  </si>
  <si>
    <t>https://www.mrishtanna.com/wp-content/uploads/2020/01/instant-pot-rasam-recipe.jpg</t>
  </si>
  <si>
    <t>Sweet Corn Sundal</t>
  </si>
  <si>
    <t>இனிப்பு சோள சுண்டல்</t>
  </si>
  <si>
    <t>Sweet corn kernels - 1 cup,
Grated coconut – 2 tbsp,
Salt needed,
Oil – 1 tsp,
Mustard seeds – 1/2 tsp,
Urad dal  - 1/2 tsp,
Red chilli – 1,
Hing – a pinch,
Green chilli – 1,
Curry leaves.</t>
  </si>
  <si>
    <t>இனிப்பு சோள முத்துக்கள் - 1 கப்,
தேங்காய் துருவியது - 2 டேபிள்ஸ்பூன்,
உப்பு தேவை,
எண்ணெய் - 1 டேபிள்ஸ்பூன்,
கடுகு விதைகள் - 1/2 டேபிள்ஸ்பூன்,
உரத்த பருப்பு - 1/2 டேபிள்ஸ்பூன்,
சிவப்பு மிளகாய் - 1,
ஹிங் - ஒரு சிட்டிகை,
பச்சை மிளகாய் - 1,
கறிவேப்பிலை.</t>
  </si>
  <si>
    <t>Heat oil in a pan, add mustard seeds, when it splutters, add urad dal, red chilli and hing.
When dal turns golden brown, add green chilli and curry leaves. Saute for a few seconds.
Add corn and mix well. Check for salt.
Add grated coconut, mix well and switch off the flame.
Sweet corn sundal is ready to be served.You can add a few drops of  lemon juice if preferred.</t>
  </si>
  <si>
    <t>ஒரு கடாயில் எண்ணெயை சூடாக்கி, கடுகு சேர்த்து, அது வதங்கியதும், உளுத்தம் பருப்பு, சிவப்பு மிளகாய் மற்றும் ஹிங் சேர்க்கவும்.
பருப்பு பொன்னிறமாக மாறியதும், பச்சை மிளகாய் மற்றும் கறிவேப்பிலை சேர்க்கவும். சில நொடிகள் வதக்கவும்.
சோளத்தை சேர்த்து நன்கு கலக்கவும். உப்பு இருக்கிறதா என்று பாருங்கள்.
தேங்காய் துருவல் சேர்த்து நன்கு கலந்து, தீயை அணைக்கவும்.
இனிப்பு சோள சுண்டல் பரிமாற தயாராக உள்ளது. விரும்பினால் சில துளிகள் எலுமிச்சை சாறு சேர்க்கலாம்.</t>
  </si>
  <si>
    <t>https://encrypted-tbn0.gstatic.com/images?q=tbn:ANd9GcS_yHw8rwoE6grJBY2vAXy_GjBKGxiyIpu0mw&amp;s</t>
  </si>
  <si>
    <t xml:space="preserve">
மாதுளை ஓட்ஸ் ஸ்மூத்தி</t>
  </si>
  <si>
    <t xml:space="preserve">  Pomegranates juice – 1/2 cup,
   Low Fat Milk – 1/2 cup (chilled),
   Oats – 2 tbsp,
   Honey or powdered jaggery – 2 tsp,
   Dates – 3.</t>
  </si>
  <si>
    <t>மாதுளை சாறு - 1/2 கப்,
குறைந்த கொழுப்புள்ள பால் - 1/2 கப் (குளிரூட்டப்பட்டது),
ஓட்ஸ் - 2 டீஸ்பூன்,
தேன் அல்லது பொடித்த வெல்லம் - 2 டீஸ்பூன்,
பேரிக்காய் - 3.</t>
  </si>
  <si>
    <t>Combine pomegranate juice, cooked oats, honey, dates, 1/4 cup of milk and blend until smooth.Then add the rest of the milk and blend it for a few more seconds.
Pour it into tall glass and serve chilled. If preferred you can add a few pomegranates pearls to the milkshake.</t>
  </si>
  <si>
    <t>மாதுளை சாறு, சமைத்த ஓட்ஸ், தேன், பேரிச்சை, 1/4 கப் பால் சேர்த்து மென்மையான வரை கலக்கவும். பின்னர் மீதமுள்ள பாலைச் சேர்த்து இன்னும் சில வினாடிகள் கலக்கவும்.
அதை உயரமான கிளாஸில் ஊற்றி குளிர்ச்சியாகப் பரிமாறவும். விரும்பினால், மில்க் ஷேக்கில் சில மாதுளை முத்துக்களைச் சேர்க்கலாம்.</t>
  </si>
  <si>
    <t>https://www.acouplecooks.com/wp-content/uploads/2020/12/Pomegranate-Smoothie-003.jpg</t>
  </si>
  <si>
    <t xml:space="preserve">   Oats – 2 tbsp,
   Milk – 3/4 cup,
   Yogurt – 1/4 cup,
   Banana – 1 ,
   Honey – 2 tsp,
   Walnuts chopped – 1 tbsp.</t>
  </si>
  <si>
    <t>ஓட்ஸ் - 2 டேபிள் ஸ்பூன்,
பால் - 3/4 கப்,
தயிர் - 1/4 கப்,
வாழைப்பழம் - 1 ,
தேன் - 2 டேபிள் ஸ்பூன்,
நறுக்கிய வால்நட்ஸ் - 1 டேபிள் ஸ்பூன்.</t>
  </si>
  <si>
    <t>Cook oats in 1/2 cup of water and allow it to cool. It will take only 2-3 minutes. You can prepare this even the previous night and refrigerate, so that it will be much easier for you in the morning. Alternatively you can even powder slightly dry roasted oats and add it to your smoothie but I personally prefer cooking oats.
In a blender, combine cooked oats, yogurt, chopped banana, honey, little milk and blend it until smooth.
Then add the rest of the milk and blend again.
Add chopped walnuts and serve chilled. (I loved biting into bits of walnuts in this smoothie)
It’s very simple yet really satisfying. Enjoy preparing this and leave your feedback.</t>
  </si>
  <si>
    <t>ஓட்ஸை 1/2 கப் தண்ணீரில் சமைத்து குளிர்விக்க விடுங்கள். இது 2-3 நிமிடங்கள் மட்டுமே ஆகும். இதை நீங்கள் முந்தைய இரவே தயாரித்து குளிர்சாதன பெட்டியில் வைக்கலாம், இதனால் காலையில் இது உங்களுக்கு மிகவும் எளிதாக இருக்கும். மாற்றாக, நீங்கள் சிறிது உலர்ந்த வறுத்த ஓட்ஸை கூட பொடி செய்து உங்கள் ஸ்மூத்தியில் சேர்க்கலாம், ஆனால் நான் தனிப்பட்ட முறையில் ஓட்ஸ் சமைக்க விரும்புகிறேன்.
ஒரு பிளெண்டரில், சமைத்த ஓட்ஸ், தயிர், நறுக்கிய வாழைப்பழம், தேன், சிறிது பால் ஆகியவற்றை சேர்த்து மென்மையான வரை கலக்கவும்.
பின்னர் மீதமுள்ள பால் சேர்த்து மீண்டும் கலக்கவும்.
நறுக்கிய வால்நட்ஸைச் சேர்த்து குளிர்வித்து பரிமாறவும். (இந்த ஸ்மூத்தியில் வால்நட் துண்டுகளை கடித்து சாப்பிடுவது எனக்கு மிகவும் பிடித்திருந்தது)
இது மிகவும் எளிமையானது, ஆனால் மிகவும் திருப்தி அளிக்கிறது. இதை சமைத்து மகிழுங்கள், உங்கள் கருத்தைத் தெரிவிக்கவும்.</t>
  </si>
  <si>
    <t>https://www.purelykaylie.com/wp-content/uploads/2021/06/peanut-butter-oatmeal-smoothie-3.jpg</t>
  </si>
  <si>
    <t>Navadhanya Sundal</t>
  </si>
  <si>
    <t>நவதானிய சுண்டல்</t>
  </si>
  <si>
    <t>Mix of 9 Legumes – 1 cup,
Grated coconut – 1/4 cup,
Finely chopped raw mango – 1/4 cup,
Oil – 1 tsp,
Mustard – 3/4 tsp,
Urad dal – 3/4 tsp,
Red chilli – 1-2,
Hing – a pinch,
Curry leaves – few.</t>
  </si>
  <si>
    <t>9 பருப்பு வகைகள் - 1 கப்,
தேங்காய் துருவியது - 1/4 கப்,
நறுக்கியதாக நறுக்கிய பச்சை மாங்காய் - 1/4 கப்,
எண்ணெய் - 1 டீஸ்பூன்,
கடுகு - 3/4 டீஸ்பூன்,
உரத்தப்பருப்பு - 3/4 டீஸ்பூன்,
சிவப்பு மிளகாய் - 1-2,
ஹிங் - ஒரு சிட்டிகை,
கறிவேப்பிலை - சிறிது.</t>
  </si>
  <si>
    <t>Heat oil in a pan, add mustard seeds, when it splutters, add hing, urad dal and red chillies.
When dal turns golden brown, add curry leaves and the cooked legumes. Saute for 2-3 minutes.
Add grated coconut, chopped mangoes, mix well and switch off the flame. Check for salt.
Navadhanya Sundal is ready to be served.</t>
  </si>
  <si>
    <t>ஒரு கடாயில் எண்ணெயை சூடாக்கி, கடுகு சேர்த்து, அது வதங்கியதும், ஹிங், உளுத்தம்பருப்பு மற்றும் சிவப்பு மிளகாய் சேர்க்கவும்.
பருப்பு பொன்னிறமாக மாறியதும், கறிவேப்பிலை மற்றும் சமைத்த பருப்பு வகைகளைச் சேர்க்கவும். 2-3 நிமிடங்கள் வதக்கவும்.
தேங்காய் துருவல், நறுக்கிய மாம்பழம் சேர்த்து நன்கு கலந்து, தீயை அணைக்கவும். உப்பு இருக்கிறதா என்று பாருங்கள்.
நவதானிய சுண்டல் பரிமாற தயாராக உள்ளது.</t>
  </si>
  <si>
    <t>https://www.kauveryhospital.com/wp-content/uploads/2023/12/29-5.jpg</t>
  </si>
  <si>
    <t xml:space="preserve">   Oats – 2 tbsp,
   Dates – 3,
   Almonds blanched – 3-4,
   Jaggery– 2 tsp,
   Milk - 3/4 cup.</t>
  </si>
  <si>
    <t>ஓட்ஸ் – 2 டேபிள் ஸ்பூன்,
பேரீச்சம்பழம் – 3,
பாதாம் பருப்பு வெளுத்தது – 3-4,
வெல்லம் – 2 டேபிள் ஸ்பூன்,
பால் - 3/4 கப்</t>
  </si>
  <si>
    <t>https://cdn.cdnparenting.com/articles/2020/04/28164013/Banana-Oats-Milkshake-Recipe.webp</t>
  </si>
  <si>
    <t xml:space="preserve">
காய்கறி அரிசி</t>
  </si>
  <si>
    <t>Brown rice – 1/2 cup,
Onion – 2 medium size,
Ginger –  1 inch piece,
Green chilli – 1- 2 slit,
Mint leaves – fistful,
Carrot – 1,
Beans – 5-6,
Peas – fistful,
Oil – 1 1/2 tbsp,
Cloves – 2,
Cardamom – 1,
Cinnamon – 1 inch piece.</t>
  </si>
  <si>
    <t>பழுப்பு அரிசி - 1/2 கப்,
வெங்காயம் - 2 நடுத்தர அளவு,
இஞ்சி - 1 அங்குல துண்டு,
பச்சை மிளகாய் - 1- 2 துண்டுகள்,
புதினா இலைகள் - ஒரு கைப்பிடி,
கேரட் - 1,
பீன்ஸ் - 5-6,
பட்டாணி - ஒரு கைப்பிடி,
எண்ணெய் - 1 1/2 டீஸ்பூன்,
கிராம்பு - 2,
ஏலக்காய் - 1,
இலவங்கப்பட்டை - ஒரு கைப்பிடி.</t>
  </si>
  <si>
    <t>Heat oil, add the ingredients mentioned under seasoning. Saute for a few minutes, then add thinly sliced onions, green chilli and ginger.
Saute for a few minutes or until onion turns pink.
How to make vegetable rice 
Then add the vegetables, mint leaves,1 tsp (flat) salt and saute for a few more seconds.
Now add the soaked brown rice along with the water.Mix well.
Transfer the contents to another vessel and pressure cook for 3 whistles.Once the pressure subsides, open and fluff it with a fork. Hot steaming Brown rice with vegetables is ready.</t>
  </si>
  <si>
    <t>எண்ணெயை சூடாக்கி, தாளிக்க குறிப்பிடப்பட்டுள்ள பொருட்களைச் சேர்க்கவும். சில நிமிடங்கள் வதக்கவும், பின்னர் மெல்லியதாக நறுக்கிய வெங்காயம், பச்சை மிளகாய் மற்றும் இஞ்சி சேர்க்கவும்.
சில நிமிடங்கள் அல்லது வெங்காயம் இளஞ்சிவப்பு நிறமாக மாறும் வரை வதக்கவும்.
காய்கறி அரிசி செய்வது எப்படி
பின்னர் காய்கறிகள், புதினா இலைகள், 1 தேக்கரண்டி (தட்டையான) உப்பு சேர்த்து இன்னும் சில வினாடிகள் வதக்கவும்.
இப்போது ஊறவைத்த பழுப்பு அரிசியை தண்ணீருடன் சேர்க்கவும்.நன்றாக கலக்கவும்.
வேறொரு பாத்திரத்தில் உள்ளடக்கங்களை மாற்றி 3 விசில் வரை பிரஷர் சமைக்கவும். பிரஷர் குறைந்தவுடன், திறந்து ஒரு முட்கரண்டி கொண்டு பிசையவும். சூடான வேகவைக்கும் காய்கறிகளுடன் பிரவுன் ரைஸ் தயார்.</t>
  </si>
  <si>
    <t>Peas Sundal</t>
  </si>
  <si>
    <t>பட்டாணி சுண்டல்</t>
  </si>
  <si>
    <t>Dry green peas -1/2 cup ,
Grated coconut – 1/4 cup,
Raw mango - 1/4 cup ,
Salt as required,
Oil – 1 tsp,
Mustard seeds – 1/2 tsp,
Split Urad dal – 1/2 tsp,
Red chilli – 1,
Hing – a pinch,
Curry leaves.</t>
  </si>
  <si>
    <t>உலர்ந்த பச்சை பட்டாணி - 1/2 கப்,
தேங்காய் துருவியது - 1/4 கப்,
பச்சை மாங்காய் - 1/4 கப்,
தேவைக்கேற்ப உப்பு,
எண்ணெய் - 1 டீஸ்பூன்,
கடுகு - 1/2 டீஸ்பூன்,
உரத்த பருப்பு - 1/2 டீஸ்பூன்,
சிவப்பு மிளகாய் - 1,
ஹிங் - ஒரு சிட்டிகை,
கறிவேப்பிலை.</t>
  </si>
  <si>
    <t>Heat a tsp of oil, add mustard seeds, when it splutters, add urad dal, red chilli, hing and curry leaves.
After dal turns golden brown, add cooked peas and saute for a few seconds.Check for salt.
Add grated coconut, mango pieces and switch off the flame. Mix well and serve.</t>
  </si>
  <si>
    <t>ஒரு டீஸ்பூன் எண்ணெயை சூடாக்கி, கடுகு சேர்த்து, அது வதங்கியதும், உளுத்தம் பருப்பு, சிவப்பு மிளகாய்,ஹிங் மற்றும் கறிவேப்பிலை சேர்க்கவும்.
பருப்பு பொன்னிறமாக மாறிய பிறகு, வேகவைத்த பட்டாணியைச் சேர்த்து சில நொடிகள் வதக்கவும். உப்பு சரிபார்க்கவும்.
தேங்காய் துருவல், மாம்பழத் துண்டுகளைச் சேர்த்து, தீயை அணைத்து, நன்றாகக் கலந்து பரிமாறவும்.</t>
  </si>
  <si>
    <t>https://www.archanaskitchen.com//images/archanaskitchen/1-Author/Nithya_Anantham/Pattani_Sundal_Green_Peas_Sundal_Recipe.jpg</t>
  </si>
  <si>
    <t>Aloo Baingan Sabzi</t>
  </si>
  <si>
    <t>ஆலு பைங்கன் சப்ஸி</t>
  </si>
  <si>
    <t xml:space="preserve">   Potatoes - 2,
   Brinjals – 5-6,
   Tomato - 2,
   Onion – 1 big,
   Green chilli - 2 slit,
   Ginger-Garlic paste - 1 tsp,
   Salt as required,
   Turmeric powder - 1/4 tsp,
   Coriander powder - 2 tsp,
   Cumin Powder - 1 tsp,
   Red chilli powder – 1 tsp,
   Kitchen king masala  – 1/2 tsp,
   Oil - 2 tbsp,
   Cumin seeds – 1 tsp,
   Coriander leaves .</t>
  </si>
  <si>
    <t>உருளைக்கிழங்கு - 2,
கத்திரிக்காய் - 5-6,
தக்காளி - 2,
வெங்காயம் - 1 பெரியது,
பச்சை மிளகாய் - 2 துண்டுகள்,
இஞ்சி-பூண்டு விழுது - 1 தேக்கரண்டி,
தேவைக்கேற்ப உப்பு,
மஞ்சள் தூள் - 1/4 தேக்கரண்டி,
கொத்தமல்லி தூள் - 2 தேக்கரண்டி,
சீரக தூள் - 1 தேக்கரண்டி,
சிவப்பு மிளகாய் தூள் - 1 தேக்கரண்டி,
சமையலறை ராஜா மசாலா - 1/2 தேக்கரண்டி,
எண்ணெய் - 2 தேக்கரண்டி,
சீரகம் - 1 தேக்கரண்டி,
கொத்தமல்லி இலைகள்.</t>
  </si>
  <si>
    <t>Heat oil in a kadai or pan, add jeera seeds, when it splutters, add onion, green chilli and saute till onions turn golden brown. Continuous stirring is required. You can add a little salt for the onions to brown faster.
Add ginger garlic paste and saute for a few more minutes.
Then add finely chopped tomatoes, turmeric powder, chilli powder, coriander powder, cumin powder and cook till tomatoes turn mushy.
After tomatoes become mushy, add potatoes and cook for 5-6 minutes.
After potatoes are cooked a little, add chopped brinjals, mix well and cook for a few seconds. Add 1 1/2 cups of water, needed salt, garam masala and cook covered on medium heat.
Keep stirring in between for even cooking. Check for salt. Once it is cooked, switch off the flame and garnish with coriander leaves.
how ti make aloo baingan sabzi
Enjoy it hot with roti, naan or any Indian flat bread.</t>
  </si>
  <si>
    <t>ஒரு கடாயில் அல்லது வாணலியில் எண்ணெயை சூடாக்கி, சீரக விதைகளைச் சேர்த்து, அது வதங்கியதும், வெங்காயம், பச்சை மிளகாய் சேர்த்து, வெங்காயம் பொன்னிறமாகும் வரை வதக்கவும். தொடர்ந்து கிளற வேண்டும். வெங்காயம் வேகமாக பழுப்பு நிறமாக மாற சிறிது உப்பு சேர்க்கலாம்.
இஞ்சி பூண்டு விழுது சேர்த்து இன்னும் சில நிமிடங்கள் வதக்கவும்.
பின்னர் இறுதியாக நறுக்கிய தக்காளி, மஞ்சள் தூள், மிளகாய் தூள், கொத்தமல்லி தூள், சீரக தூள் சேர்த்து தக்காளி மென்மையாகும் வரை வதக்கவும்.
தக்காளி மசிந்ததும், உருளைக்கிழங்கைச் சேர்த்து 5-6 நிமிடங்கள் சமைக்கவும்.
உருளைக்கிழங்கு சிறிது வெந்த பிறகு, நறுக்கிய கத்திரிக்காயைச் சேர்த்து, நன்கு கலந்து சில நொடிகள் சமைக்கவும். 1 1/2 கப் தண்ணீர், தேவையான உப்பு, கரம் மசாலா சேர்த்து, மிதமான தீயில் மூடி வைத்து சமைக்கவும்.
சமமாக சமைக்கும் வரை இடையில் கிளறிக்கொண்டே இருங்கள். உப்பு இருக்கிறதா என்று பாருங்கள். அது வெந்தவுடன், தீயை அணைத்து, கொத்தமல்லி இலைகளால் அலங்கரிக்கவும்.
ஆலு பைங்கன் சப்ஜி எப்படி செய்வது
ரோட்டி, நான் அல்லது எந்த இந்திய பிளாட் பிரட்டுடனும் சூடாக மகிழுங்கள்.</t>
  </si>
  <si>
    <t>https://sinfullyspicy.com/wp-content/uploads/2014/09/1200-by-1200-images.jpg</t>
  </si>
  <si>
    <t>Pepper Rasam</t>
  </si>
  <si>
    <t>மிளகு ரசம்</t>
  </si>
  <si>
    <t>2 -  Tomatoes medium,
Tamarind,
1/4 tsp - Turmeric powder,
1/2 tsp -  Sambar Powder,
Curry leaves a sprig,
Salt needed,
1 tsp -  Whole black pepper,
1 tsp - Cumin seeds,
2 - Garlic cloves,
1 tsp - Ghee,
1 tsp - Mustard seeds,
1 -  Red Chilli,
Curry leaves a sprig,
Coriander leaves.</t>
  </si>
  <si>
    <t>2 - தக்காளி நடுத்தர அளவு,
புளி,
1/4 தேக்கரண்டி - மஞ்சள் தூள்,
1/2 தேக்கரண்டி - சாம்பார் பொடி,
கறிவேப்பிலை ஒரு துளிர்,
தேவையான உப்பு,
1 தேக்கரண்டி - முழு கருப்பு மிளகு,
1 தேக்கரண்டி - சீரகம்,
2 - பூண்டு பல்,
1 தேக்கரண்டி - நெய்,
1 தேக்கரண்டி - கடுகு,
1 - சிவப்பு மிளகாய்,
ஒரு துளிர்,
கொத்தமல்லி இலைகள்.</t>
  </si>
  <si>
    <t>In a vessel, add a cup of tamarind extract, add chopped tomatoes, sambar powder, turmeric powder, crushed pepper + cumin + garlic mix, salt needed and curry leaves. Boil it.
Once it starts boiling, keep the flame on low and let is simmer for 10 minutes or until the raw smell of the tamarind goes. By this time, the rasam would have reduced a little. (see  the pic below)
Now add 1 3/4 cup of water, boil on medium flames until froth starts forming at the top. (see picture below)
Once froth starts forming on the top, switch off the gas.(do not boil the rasam as it will not taste good).Garnish with finely chopped coriander leaves.
Heat a tsp of ghee, add mustard seeds, when it splutters, add red chilli, curry leaves and pour it over the rasam.
Serve hot with steamed rice and any vegetable curry or kootu of your choice. You can also enjoy it piping hot as a soup.
It is very effective when taken hot when you have cold, running nose or fever.</t>
  </si>
  <si>
    <t>ஒரு பாத்திரத்தில், ஒரு கப் புளி சாறு சேர்த்து, நறுக்கிய தக்காளி, சாம்பார் பொடி, மஞ்சள் தூள், நொறுக்கப்பட்ட மிளகு + சீரகம் + பூண்டு கலவை, தேவையான உப்பு மற்றும் கறிவேப்பிலை சேர்த்து கொதிக்க விடவும்.
கொதிக்க ஆரம்பித்ததும், தீயை குறைத்து 10 நிமிடங்கள் அல்லது புளியின் பச்சை வாசனை போகும் வரை கொதிக்க விடவும். இந்த நேரத்தில், ரசம் சிறிது குறைந்திருக்கும். (கீழே உள்ள படத்தைப் பார்க்கவும்)
இப்போது 1 3/4 கப் தண்ணீர் சேர்த்து, மேலே நுரை உருவாகும் வரை மிதமான தீயில் கொதிக்க வைக்கவும். (கீழே உள்ள படத்தைப் பார்க்கவும்)
மேலே நுரை வர ஆரம்பித்ததும், வாயுவை அணைக்கவும். (ரசம் நன்றாக சுவைக்காது என்பதால் அதை வேகவைக்க வேண்டாம்). இறுதியாக நறுக்கிய கொத்தமல்லி இலைகளால் அலங்கரிக்கவும்.
ஒரு டீஸ்பூன் நெய்யை சூடாக்கி, கடுகு சேர்த்து, அது சிதறியதும், சிவப்பு மிளகாய், கறிவேப்பிலை சேர்த்து ரசத்தின் மேல் ஊற்றவும்.
வேகவைத்த சாதம் மற்றும் உங்களுக்கு விருப்பமான காய்கறி கறி அல்லது கூட்டுடன் சூடாக பரிமாறவும். சூப்பாகவும் இதை சூடாக சாப்பிடலாம்.
சளி, மூக்கு ஒழுகுதல் அல்லது காய்ச்சல் இருக்கும்போது சூடாக சாப்பிடுவது மிகவும் பயனுள்ளதாக இருக்கும்.</t>
  </si>
  <si>
    <t>https://static.toiimg.com/thumb/54408111.cms?imgsize=52692&amp;width=800&amp;height=800</t>
  </si>
  <si>
    <t>https://youtu.be/52JYCk4hcz4</t>
  </si>
  <si>
    <t>Maida Biscuits</t>
  </si>
  <si>
    <t xml:space="preserve">   Maida – 1 1/4 cup,
   Ghee or butter - 2 tbsp,
   Cooking soda – 1/3 tsp,
   Chilli powder – 1 tsp,
   Asafoetida -1/4 tsp,
   Salt as neededc,
   Oil for frying.</t>
  </si>
  <si>
    <t>மைதா - 1 1/4 கப்,
நெய் அல்லது வெண்ணெய் - 2 டேபிள்ஸ்பூன்,
சமையல் சோடா - 1/3 டேபிள்ஸ்பூன்,
மிளகாய் தூள் - 1 டேபிள்ஸ்பூன்,
பெருங்காயம் - 1/4 டேபிள்ஸ்பூன்,
தேவைக்கேற்ப உப்பு c,
வறுக்க எண்ணெய்.</t>
  </si>
  <si>
    <t>First mix (cream together vigorously) butter (or ghee) and cooking soda well with your hands as we do for badusha.
Then add maida, chilli powder, hing and salt.
Add water and knead into a stiff but smooth dough.(to make it easier, you can grease your hands with ghee)
Roll it out just as you do for chapati (neither too thin nor too thick)
Using a biscuit cutter/roller, cut the dough into diamond shapes or squares.(if you do not have a biscuit or pizza cutter, you can use a sharp knife).
Heat oil and deep fry it in batches until golden brown.
Allow it to cool. Then store it in an airtight container. It has a self life of a week.</t>
  </si>
  <si>
    <t>முதலில் வெண்ணெய் (அல்லது நெய்) மற்றும் சமையல் சோடாவை உங்கள் கைகளால் நன்றாக கலக்கவும் (நன்றாக ஒன்றாக கிரீமி செய்யவும்) பாதுஷாவிற்கு செய்வது போல.
பின்னர் மைதா, மிளகாய் தூள், ஹிங் மற்றும் உப்பு சேர்க்கவும்.
தண்ணீர் சேர்த்து கெட்டியான ஆனால் மென்மையான மாவாக பிசையவும். (இதை எளிதாக்க, உங்கள் கைகளில் நெய் தடவலாம்)
சப்பாத்தி செய்வது போல உருட்டவும் (மிக மெல்லியதாகவோ அல்லது மிகவும் அடர்த்தியாகவோ இல்லாமல்)
பிஸ்கட் கட்டர்/ரோலரைப் பயன்படுத்தி, மாவை வைர வடிவங்கள் அல்லது சதுரங்களாக வெட்டவும். (உங்களிடம் பிஸ்கட் அல்லது பீட்சா கட்டர் இல்லையென்றால், கூர்மையான கத்தியைப் பயன்படுத்தலாம்).
எண்ணெயை சூடாக்கி, பொன்னிறமாகும் வரை தொகுதிகளாக ஆழமாக வறுக்கவும்.
அதை குளிர்விக்க விடவும். பின்னர் காற்று புகாத கொள்கலனில் சேமிக்கவும். இது ஒரு வார சுய ஆயுளைக் கொண்டுள்ளது.</t>
  </si>
  <si>
    <t>https://static.toiimg.com/thumb/60193514.cms?imgsize=337890&amp;width=800&amp;height=800</t>
  </si>
  <si>
    <t>Beans Curry</t>
  </si>
  <si>
    <t>பீன்ஸ் கறி</t>
  </si>
  <si>
    <t xml:space="preserve">   Beans – 250 grams,
   Turmeric powder – a pinch,
   Grated coconut - 1/4 cup,
   Salt as required,
   Oil - 2 tsp,
   Mustard seeds - 3/4 tsp,
   Urad dal – 1/2 tsp,
   Red chilli – 1,
   Asafoetida – a pinch,
   Green chilli – 2 slit.</t>
  </si>
  <si>
    <t>பீன்ஸ் - 250 கிராம்,
மஞ்சள் தூள் - ஒரு சிட்டிகை,
தேங்காய் துருவல் - 1/4 கப்,
தேவைக்கேற்ப உப்பு,
எண்ணெய் - 2 தேக்கரண்டி,
கடுகு - 3/4 தேக்கரண்டி,
உளுத்தம் பருப்பு - 1/2 தேக்கரண்டி,
சிவப்பு மிளகாய் - 1,
பெருங்காயம் - ஒரு சிட்டிகை,
பச்சை மிளகாய் - 2 துண்டுகள்.</t>
  </si>
  <si>
    <t>Heat oil in a pan, add mustard seeds, when it splutters, add urad dal, red chilli, hing and green chillies.
Saute till urad dal turns golden brown, then add chopped beans, turmeric powder, salt needed and 1/4 cup of water.
Keep the flame low and let it cook covered till soft. Stir it now and then for even cooking. You can also sprinkle water if needed in between.
Once the beans becomes soft, add grated coconut, mix well and switch off the flame. Check for salt.
Serve it as an accompaniment with rice or chapati.</t>
  </si>
  <si>
    <t>ஒரு கடாயில் எண்ணெயை சூடாக்கி, கடுகு சேர்த்து, அது வதங்கியதும், உளுத்தம் பருப்பு, சிவப்பு மிளகாய், கீல் மற்றும் பச்சை மிளகாய் சேர்க்கவும்.
உளுத்தம் பருப்பு பொன்னிறமாகும் வரை வதக்கவும், பின்னர் நறுக்கிய பீன்ஸ், மஞ்சள் தூள், தேவையான உப்பு மற்றும் 1/4 கப் தண்ணீர் சேர்க்கவும்.
தீயை குறைத்து வைத்து மென்மையாகும் வரை மூடி வைக்கவும். அவ்வப்போது கிளறி சமமாக சமைக்கவும். தேவைப்பட்டால் இடையில் தண்ணீர் தெளிக்கலாம்.
பீன்ஸ் மென்மையாக ஆனதும், துருவிய தேங்காயைச் சேர்த்து, நன்றாகக் கலந்து, தீயை அணைக்கவும். உப்பு இருக்கிறதா என்று பாருங்கள்.
இதை சாதம் அல்லது சப்பாத்தியுடன் சேர்த்து பரிமாறவும்.</t>
  </si>
  <si>
    <t>https://i0.wp.com/thebellephant.com/wp-content/uploads/2018/05/Green-Bean-Curry-3-Low-Res.jpg?fit=1200%2C1800</t>
  </si>
  <si>
    <t>Paneer Tikka</t>
  </si>
  <si>
    <t xml:space="preserve">
பனீர் டிக்கா</t>
  </si>
  <si>
    <t xml:space="preserve">   Paneer - 200 grams,
   Hung curd – 1/2 cup,
   Cornflour – 2 tsp,
   Red chilli powder - 1 tsp,
   Ginger garlic paste – 1 tsp,
   Green Chilli paste – 1/2 tsp,
   Turmeric powder – a pinch,
   Garam masala - 1/2 tsp,
   Cumin seed powder -1/4 tsp,
   Carom seeds - 1/4 tsp ,
   Oil for brushing,
   Salt to taste,
   Onion - 1,
   Tomato – 1,
   Capsicum - 1.</t>
  </si>
  <si>
    <t>பனீர் - 200 கிராம்,
தொங்கவிட்ட தயிர் - 1/2 கப்,
சோள மாவு - 2 டீஸ்பூன்,
சிவப்பு மிளகாய் தூள் - 1 டீஸ்பூன்,
இஞ்சி பூண்டு விழுது - 1 டீஸ்பூன்,
பச்சை மிளகாய் விழுது - 1/2 டீஸ்பூன்,
மஞ்சள் தூள் - ஒரு சிட்டிகை,
கரம் மசாலா - 1/2 டீஸ்பூன்,
சீரகத் தூள் - 1/4 டீஸ்பூன்,
கேரம் விதைகள் - 1/4 டீஸ்பூன்,
துலக்குவதற்கு எண்ணெய்,
சுவைக்க உப்பு,
வெங்காயம் - 1,
தக்காளி - 1,
கேப்சிகம் - 1.</t>
  </si>
  <si>
    <t>Tie the curd in a muslin cloth  and hang it over the sink for 2-3 hours to drain out the excess water.
(I used 250 grams Hatson curd to get 1/2 cup of hung curd).
Cut paneer into cubes. Peel and cut onion into quarters. Remove the seeds of tomato and capsicum and cut it in the same way as onions.
Keep the bamboo skewers dipped in water for half an hour to prevent it from burning.
You can put holes in the paneer before marinating as it tends to break if it is done after marinating.
In a bowl mix together hung curd, cornflour, red chilli powder, ginger garlic paste, green chilli paste, turmeric powder, garam masala, ajwain seeds, cumin powder and salt needed.
Marinate the paneer and capsicum in it for 1-2 hours.
After 2 hours
Preheat the oven for 15 minutes at 180 degree C.
Arrange the marinated paneer and vegetables including tomatoes in the skewers alternatively. You can use any combination you prefer. Brush it with a little oil.
Now line the middle rack of the oven with aluminum foil, place the arranged skewers, turn the switch to grill mode and grill for 20 minutes (180 degree C) or until the edges of the paneer starts browning.
Remove from skewers, drizzle a few drop of lemon juice over it and serve with thinly sliced raw onions and   green chutney. I love it without any side dish as it taste great on its own.</t>
  </si>
  <si>
    <t>தயிரை ஒரு மஸ்லின் துணியில் கட்டி, அதிகப்படியான தண்ணீரை வெளியேற்ற 2-3 மணி நேரம் சிங்க் மீது தொங்க விடுங்கள்.
(நான் 250 கிராம் ஹாட்சன் தயிரை 1/2 கப் தொங்கவிட்ட தயிர் எடுத்தேன்).
பனீர் க்யூப்ஸாக வெட்டவும். வெங்காயத்தை உரித்து நான்காக வெட்டவும். தக்காளி மற்றும் கேப்சிகத்தின் விதைகளை அகற்றி வெங்காயத்தைப் போலவே வெட்டவும்.
மூங்கில் குச்சிகளை தண்ணீரில் ஊற வைத்து, அது எரியாமல் இருக்க அரை மணி நேரம் வைக்கவும்.
பனீரை மரைன் செய்த பிறகு உடைந்து விடும் என்பதால், பனீரில் துளைகளை வைக்கலாம்.
ஒரு பாத்திரத்தில் தயிர், சோள மாவு, சிவப்பு மிளகாய் தூள், இஞ்சி பூண்டு விழுது, பச்சை மிளகாய் விழுது, மஞ்சள் தூள், கரம் மசாலா, அஜ்வைன் விதைகள், சீரகப் பொடி மற்றும் தேவையான உப்பு ஆகியவற்றை ஒன்றாக கலக்கவும்.
பனீர் மற்றும் கேப்சிகத்தை 1-2 மணி நேரம் மரைன் செய்யவும்.
2 மணி நேரம் கழித்து
180 டிகிரி செல்சியஸில் 15 நிமிடங்கள் முன்கூட்டியே சூடாக்கவும்.
பனீரை மரைன் செய்த பனீர் மற்றும் தக்காளி உள்ளிட்ட காய்கறிகளை மரைன் செய்த ஸ்குவியர்களில் மாற்றாக வைக்கவும். நீங்கள் விரும்பும் எந்த கலவையையும் பயன்படுத்தலாம். சிறிது எண்ணெயைத் தடவவும்.
இப்போது அடுப்பின் நடுவில் உள்ள ரேக்கை அலுமினியத் தாளால் வரிசைப்படுத்தி, வரிசைப்படுத்தப்பட்ட ஸ்குவிர்களை வைத்து, கிரில் பயன்முறைக்கு சுவிட்சைத் திருப்பி 20 நிமிடங்கள் (180 டிகிரி செல்சியஸ்) அல்லது பனீரின் விளிம்புகள் பழுப்பு நிறமாகத் தொடங்கும் வரை கிரில் செய்யவும்.
குச்சியிலிருந்து எடுத்து, அதன் மேல் சில துளிகள் எலுமிச்சை சாற்றைத் தூவி, மெல்லியதாக நறுக்கிய பச்சை வெங்காயம் மற்றும் பச்சை சட்னியுடன் பரிமாறவும். இது தனியாக சுவையாக இருப்பதால், எந்த பக்க உணவும் இல்லாமல் எனக்கு இது மிகவும் பிடிக்கும்.</t>
  </si>
  <si>
    <t>https://encrypted-tbn0.gstatic.com/images?q=tbn:ANd9GcRJ2WY2YmIJtXrpmDToEHwJIOAcyBefjpFwXg&amp;s</t>
  </si>
  <si>
    <t>Oats with Vegetables</t>
  </si>
  <si>
    <t>காய்கறிகளுடன் ஓட்ஸ்</t>
  </si>
  <si>
    <t xml:space="preserve">   Oats – 2 1/2 tbsp ,
   Mixed vegetables – 1/2 cup (carrot, beans, cabbage),
   Salt to taste,
   Pepper Powder to taste.</t>
  </si>
  <si>
    <t>ஓட்ஸ் - 2 1/2 டீஸ்பூன்,
கலப்பு காய்கறிகள் - 1/2 கப் (கேரட், பீன்ஸ், முட்டைக்கோஸ்),
ருசிக்க உப்பு,
ருசிக்க மிளகு தூள்.</t>
  </si>
  <si>
    <t>Take a cup of water in a pan, add oats to it and bring it to boil.
Once it starts boiling, simmer and cook stirring from time to time so that it does not stick to the bottom of the pan. Cook on low flame until it thickens and the oats becomes soft.
In a another pan, cook the vegetables with less water adding needed salt. Once the vegetables are half cooked, add it to the cooked oats mixture. Do not over cook the vegetables.The vegetables should retain their crunchiness.
Cook both together for 2 minutes, add salt and pepper to taste and switch off the flame.(since we have added salt to the vegetables, add less salt).
Easy, simple, healthy and filling breakfast is ready in a few minutes time.</t>
  </si>
  <si>
    <t>ஒரு கப் பாத்திரத்தில் தண்ணீர் எடுத்து, அதில் ஓட்ஸ் சேர்த்து கொதிக்க விடவும்.
கொதிக்க ஆரம்பித்ததும், கொதிக்க வைத்து, அவ்வப்போது கிளறி, பாத்திரத்தின் அடிப்பகுதியில் ஒட்டாமல் இருக்க சமைக்கவும். அது கெட்டியாகும் வரை மற்றும் ஓட்ஸ் மென்மையாகும் வரை குறைந்த தீயில் சமைக்கவும்.
மற்றொரு பாத்திரத்தில், காய்கறிகளை குறைந்த தண்ணீரில் தேவையான உப்பு சேர்த்து சமைக்கவும். காய்கறிகள் பாதி வெந்தவுடன், சமைத்த ஓட்ஸ் கலவையில் சேர்க்கவும். காய்கறிகளை அதிகமாக சமைக்க வேண்டாம். காய்கறிகள் அவற்றின் மொறுமொறுப்பைத் தக்க வைத்துக் கொள்ள வேண்டும்.
இரண்டையும் ஒன்றாக 2 நிமிடங்கள் சமைக்கவும், சுவைக்க உப்பு மற்றும் மிளகு சேர்த்து, தீயை அணைக்கவும். (நாங்கள் காய்கறிகளில் உப்பு சேர்த்திருப்பதால், குறைந்த உப்பு சேர்க்கவும்).
எளிதான, எளிமையான, ஆரோக்கியமான மற்றும் திருப்திகரமான காலை உணவு சில நிமிடங்களில் தயாராகிவிடும்.</t>
  </si>
  <si>
    <t>https://rakskitchen.net/wp-content/uploads/2021/07/featured-masala-oats.jpg</t>
  </si>
  <si>
    <t>Chilli Dosa</t>
  </si>
  <si>
    <t>மிளகாய் தோசை</t>
  </si>
  <si>
    <t>Thick spongy dosas - 3,
Onion - 2,
Tomato - 2,
Green chilli – 1,
Ginger – a small bit ,
Capsicum – 1 medium,
Red chilli powder – 3/4 -1 tsp,
Turmeric powder - 1/4 tsp,
garam masala powder – 1/4 tsp,
Salt as required,
Oil – 1 1/2 tbsp.</t>
  </si>
  <si>
    <t>அடர்த்தியான பஞ்சுபோன்ற தோசைகள் - 3,
வெங்காயம் - 2,
தக்காளி - 2,
பச்சை மிளகாய் - 1,
இஞ்சி - சிறிதளவு,
கேப்சிகம் - 1 நடுத்தர அளவு,
சிவப்பு மிளகாய் தூள் - 3/4 -1 தேக்கரண்டி,
மஞ்சள் தூள் - 1/4 தேக்கரண்டி,
கரம் மசாலா தூள் - 1/4 தேக்கரண்டி,
தேவைக்கேற்ப உப்பு,
எண்ணெய் - 1 1/2 தேக்கரண்டி.</t>
  </si>
  <si>
    <t>Heat oil, add onions, green chilli, ginger and saute till onions turn translucent.
Then add tomatoes, chilli powder, turmeric powder and cook till tomatoes become mushy.
Now add capsicum, kitchen king masala and cook for a few more minutes.Do not overcook the capsicum. The capsicum should retain its crunchiness. Add salt needed.
Now add the dosa bits and mix well till the dosa gets coated with the masala.
Serve warm and your child is going to enjoy it for sure. You do not have to prepare any side dish for this.
Refer idli dosa batter recipe if required.</t>
  </si>
  <si>
    <t>எண்ணெய் சூடாக்கி, வெங்காயம், பச்சை மிளகாய், இஞ்சி சேர்த்து வெங்காயம் தெளிவாகும் வரை வதக்கவும்.
பின்னர் தக்காளி, மிளகாய் தூள், மஞ்சள் தூள் சேர்த்து தக்காளி மென்மையாகும் வரை வதக்கவும்.
இப்போது மிளகாய், கிச்சன் கிங் மசாலா சேர்த்து இன்னும் சில நிமிடங்கள் சமைக்கவும்.மிளகாய் அதிகமாக வேகவிடாதீர்கள். மிளகாய் அதன் மொறுமொறுப்பான தன்மையை தக்க வைத்துக் கொள்ள வேண்டும். தேவையான அளவு உப்பு சேர்க்கவும்.
இப்போது தோசை துண்டுகளைச் சேர்த்து, தோசை மசாலாவுடன் பூசப்படும் வரை நன்கு கலக்கவும்.
சூடாக பரிமாறினால், உங்கள் குழந்தை நிச்சயம் அதை ருசிக்கும். இதற்கு நீங்கள் எந்த துணை உணவையும் தயாரிக்க வேண்டியதில்லை.
தேவைப்பட்டால் இட்லி தோசை மாவு செய்முறையைப் பார்க்கவும்.</t>
  </si>
  <si>
    <t>https://www.bigbasket.com/media/uploads/recipe/w-l/599_1.jpg</t>
  </si>
  <si>
    <t>Spaghetti</t>
  </si>
  <si>
    <t>ஸ்பாகெட்டி</t>
  </si>
  <si>
    <t>Spaghetti - 200 gms,
Tomato – 4-5,
Onion – 1,
Garlic – 1 1/2 tbsp,
Olive Oil – 1 tbsp,
Salt and pepper powder  as required,
Oregano as needed,
Cheese - 15 grams.</t>
  </si>
  <si>
    <t>ஸ்பாகெட்டி - 200 கிராம்,
தக்காளி - 4-5,
வெங்காயம் - 1,
பூண்டு - 1 1/2 டீஸ்பூன்,
ஆலிவ் எண்ணெய் - 1 டீஸ்பூன்,
தேவைக்கேற்ப உப்பு மற்றும் மிளகு தூள்,
தேவைக்கேற்ப ஆர்கனோ,
சீஸ் - 15 கிராம்.</t>
  </si>
  <si>
    <t>Boil plenty of water in a pan. Then add the spaghetti with a tsp of salt.
Cook stirring inbetween to prevent the spaghetti from sticking to each other. Cook till tender (It should be firm but tender, so do not overcook.) Check it by tasting it.
Now drain the spaghetti  into a colander and pass cold water through it. Keep it aside.
In a pan, heat a tbsp of oil, add garlic, onion and saute till onions become translucent.
Then add tomato puree and salt needed.
Once it starts boiling, lower the heat and let it cook until the sauce thickens. Add the spaghetti to it and toss it well, so that the sauce gets coated evenly with the spaghetti. Add pepper powder to taste.
Sprinkle oregano and grated parmesan cheese and serve hot.</t>
  </si>
  <si>
    <t>ஒரு பாத்திரத்தில் நிறைய தண்ணீர் கொதிக்க வைக்கவும். பின்னர் ஸ்பாகெட்டியை ஒரு டீஸ்பூன் உப்புடன் சேர்க்கவும்.
ஸ்பாகெட்டி ஒன்றோடொன்று ஒட்டாமல் இருக்க இடையில் கிளறி சமைக்கவும். மென்மையாகும் வரை சமைக்கவும் (இது உறுதியாக இருக்க வேண்டும், ஆனால் மென்மையாக இருக்க வேண்டும், எனவே அதிகமாக வேகவிடாதீர்கள்.) அதை ருசித்துப் பாருங்கள்.
இப்போது ஸ்பாகெட்டியை ஒரு வடிகட்டியில் வடிகட்டி குளிர்ந்த நீரை அதன் வழியாக அனுப்பவும். அதை ஒதுக்கி வைக்கவும்.
ஒரு பாத்திரத்தில், ஒரு டீஸ்பூன் எண்ணெயை சூடாக்கி, பூண்டு, வெங்காயம் சேர்த்து வெங்காயம் கசியும் வரை வதக்கவும்.
பின்னர் தக்காளி கூழ் மற்றும் தேவையான அளவு உப்பு சேர்க்கவும்.
கொதிக்க ஆரம்பித்ததும், தீயைக் குறைத்து, சாஸ் கெட்டியாகும் வரை சமைக்கவும். அதனுடன் ஸ்பாகெட்டியைச் சேர்த்து நன்கு கிளறவும், இதனால் சாஸ் ஸ்பாகெட்டியுடன் சமமாகப் பூசப்படும். சுவைக்கேற்ப மிளகுத் தூள் சேர்க்கவும்.
ஓரிகனோ மற்றும் துருவிய பார்மேசன் சீஸ் தூவி சூடாகப் பரிமாறவும்.</t>
  </si>
  <si>
    <t>https://veganwithgusto.com/wp-content/uploads/2021/05/spicy-spaghetti-arrabbiata.jpg</t>
  </si>
  <si>
    <t xml:space="preserve">   Milk – 1 cup + 1/4 cup,
   Ripe banana – 1,
   jaggery ,
   Vanilla ice cream – a scoop.</t>
  </si>
  <si>
    <t>பால் - 1 கப் + 1/4 கப்,
பழுத்த வாழைப்பழம் - 1,
வெல்லம் ,
வெண்ணிலா ஐஸ்கிரீம் - ஒரு ஸ்கூப்.</t>
  </si>
  <si>
    <t>https://yoursmoothieguide.com/wp-content/uploads/2022/01/Banana-Milkshake-5-1.jpg</t>
  </si>
  <si>
    <t>Tomato Pulao</t>
  </si>
  <si>
    <t>தக்காளி புலாவ்</t>
  </si>
  <si>
    <t xml:space="preserve">   Basmati Rice – 1 cup,
   Onion – 2 medium size,
   Ginger-garlic paste – 1 tsp,
   Ripe juicy tomatoes – 4 ,
   Green chillies – 2 slit,
   Turmeric powder - 1/4 tsp,
   Chilli Powder – 3/4 tsp,
   Garam masala powder - 1/2 tsp ,
   Mint leaves,
   Coriander leaves ,
   Salt as needed,
   Oil – 3 tbsp,
   Bay leaf - 1,
   Cloves - 2,
   Cardamom - 1,
   Cinnamon – 1 inch piece.</t>
  </si>
  <si>
    <t>பாஸ்மதி அரிசி - 1 கப்,
வெங்காயம் - 2 நடுத்தர அளவு,
இஞ்சி-பூண்டு விழுது - 1 டீஸ்பூன்,
பழுத்த ஜூசி தக்காளி - 4 ,
பச்சை மிளகாய் - 2 துண்டுகள்,
மஞ்சள் தூள் - 1/4 டீஸ்பூன்,
மிளகாய் தூள் - 3/4 டீஸ்பூன்,
கரம் மசாலா தூள் - 1/2 டீஸ்பூன்,
புதினா இலைகள்,
கொத்தமல்லி இலைகள் ,
தேவைக்கேற்ப உப்பு,
எண்ணெய் - 3 டீஸ்பூன்,
பிரி இலை - 1,
கிராம்பு - 2,
ஏலக்காய் - 1,
இலவங்கப்பட்டை - 1 அங்குலம்.</t>
  </si>
  <si>
    <t>Heat oil in a pan, add bay leaf, cloves, cinnamon and cardamon. Fry for a few seconds and then add thinly sliced onions.
Saute till onions become slightly golden brown, add ginger garlic paste and saute for a few more minutes.
Then add chopped tomatoes, turmeric powder, chilli powder, green chillies, mint leaves, half of coriander leaves, salt (approximately 2 tsp and little more) needed and garam masala powder. Cook till tomatoes become mushy.
Add the drained rice, 2 cups of hot water,(check for salt now by tasting the water) and transfer it to a container and pressure cook for 3 whistles.When the pressure subsides, open it and fluff it with a fork. Garnish with the remaining coriander leaves.</t>
  </si>
  <si>
    <t>ஒரு கடாயில் எண்ணெயை சூடாக்கி, பிரி இலை, கிராம்பு, இலவங்கப்பட்டை மற்றும் ஏலக்காய் சேர்க்கவும். சில நொடிகள் வதக்கி, பின்னர் மெல்லியதாக நறுக்கிய வெங்காயத்தைச் சேர்க்கவும்.
வெங்காயம் சிறிது பொன்னிறமாகும் வரை வதக்கவும், இஞ்சி பூண்டு விழுது சேர்த்து மேலும் சில நிமிடங்கள் வதக்கவும்.
பின்னர் நறுக்கிய தக்காளி, மஞ்சள் தூள், மிளகாய் தூள், பச்சை மிளகாய், புதினா இலைகள், கொத்தமல்லி இலைகளில் பாதி, தேவையான அளவு உப்பு (தோராயமாக 2 தேக்கரண்டி மற்றும் இன்னும் கொஞ்சம்) மற்றும் கரம் மசாலா தூள் சேர்க்கவும். தக்காளி மென்மையாகும் வரை சமைக்கவும்.
வடிகட்டிய அரிசி, 2 கப் சூடான தண்ணீர் (தண்ணீரை ருசித்துப் பார்த்து உப்பு இருக்கிறதா என்று சரிபார்க்கவும்) சேர்த்து, ஒரு பாத்திரத்தில் போட்டு 3 விசில் வரும் வரை பிரஷர் சமைக்கவும். பிரஷர் குறைந்தவுடன், அதைத் திறந்து ஒரு ஃபோர்க் கொண்டு பிசைந்து கொள்ளவும். மீதமுள்ள கொத்தமல்லி இலைகளால் அலங்கரிக்கவும்.</t>
  </si>
  <si>
    <t>https://encrypted-tbn0.gstatic.com/images?q=tbn:ANd9GcQNEVJDjJSIVrOoZt2_tKhRXpRDBO-NWcz34Q&amp;s</t>
  </si>
  <si>
    <t>Vegetable Noodles</t>
  </si>
  <si>
    <t>காய்கறி நூடுல்ஸ்</t>
  </si>
  <si>
    <t xml:space="preserve">
   Chinese noodles – 1 packet,
   Finely chopped garlic - 1 1/2 – 2 tbsp,
   Onion - 1,
   Cabbage – 1/2 cup thinly sliced,
   Carrot – 1 medium size,
   Capsicum – 1 medium size,
   Oil -2 1/2 tbsp,
   Soya sauce – 2 tsp,
   Chilli sauce – 1/2 tsp,
   Pepper powder to taste,
   Salt to taste,
   Spring onion greens - 1/4 cup.</t>
  </si>
  <si>
    <t>சைனீஸ் நூடுல்ஸ் - 1 பாக்கெட்,
நன்றாக நறுக்கிய பூண்டு - 1 1/2 – 2 டேபிள்ஸ்பூன்,
வெங்காயம் - 1,
முட்டைக்கோஸ் - 1/2 கப் மெல்லியதாக நறுக்கியது,
கேரட் - 1 நடுத்தர அளவு,
கேப்சிகம் - 1 நடுத்தர அளவு,
எண்ணெய் -2 1/2 டேபிள்ஸ்பூன்,
சோயா சாஸ் - 2 டேபிள்ஸ்பூன்,
மிளகாய் சாஸ் - 1/2 டேபிள்ஸ்பூன்,
மிளகு தூள் - ருசிக்க,
உப்பு - ருசிக்க,
வெங்காய கீரைகள் - 1/4 கப்.</t>
  </si>
  <si>
    <t>Heat oil in a pan, add finely chopped garlic and saute for 2 seconds. Then add onions and saute for a few more seconds on high flame followed by carrot, cabbage and capsicum. Saute the vegetables on high flame.You should not over cook the vegetables ( it should retain the crunchiness).
(I did not add beans. If adding beans,cut it into fine strips diagonally and add it immediately after sauteing onions as beans will take a little longer time to get cooked. After the beans are partially cooked, you can add carrot, cabbage and capsicum)
Then add soya sauce, chilli sauce and mix well.
Add the cooked noodles, salt, pepper powder and toss everything together, so that the noodles get coated with the sauces well. Switch off the flame and garnish with spring onion greens.
Serve piping hot with tomato sauce.</t>
  </si>
  <si>
    <t>ஒரு கடாயில் எண்ணெயை சூடாக்கி, இறுதியாக நறுக்கிய பூண்டை சேர்த்து 2 வினாடிகள் வதக்கவும். பின்னர் வெங்காயத்தைச் சேர்த்து அதிக தீயில் சில வினாடிகள் வதக்கவும், பின்னர் கேரட், முட்டைக்கோஸ் மற்றும் கேப்சிகம் சேர்த்து வதக்கவும். காய்கறிகளை அதிக தீயில் வதக்கவும். காய்கறிகளை அதிகமாக சமைக்க வேண்டாம் (அது மொறுமொறுப்பாக இருக்க வேண்டும்).
(நான் பீன்ஸ் சேர்க்கவில்லை. பீன்ஸ் சேர்த்தால், அதை குறுக்காக மெல்லிய கீற்றுகளாக வெட்டி, வெங்காயம் வதக்கியவுடன் உடனடியாக சேர்க்கவும், ஏனெனில் பீன்ஸ் வேக சிறிது நேரம் எடுக்கும். பீன்ஸ் ஓரளவு வெந்த பிறகு, நீங்கள் கேரட், முட்டைக்கோஸ் மற்றும் கேப்சிகம் சேர்க்கலாம்)
பின்னர் சோயா சாஸ், மிளகாய் சாஸ் சேர்த்து நன்கு கலக்கவும்.
சமைத்த நூடுல்ஸ், உப்பு, மிளகு தூள் சேர்த்து, நூடுல்ஸ் சாஸுடன் நன்றாகப் பூச எல்லாவற்றையும் ஒன்றாகக் கலக்கவும். சுடரை அணைத்துவிட்டு, வெங்காய கீரைகளால் அலங்கரிக்கவும்.
தக்காளி சாஸுடன் சூடாகப் பரிமாறவும்.</t>
  </si>
  <si>
    <t>https://shwetainthekitchen.com/wp-content/uploads/2023/03/vegetable-noodles.jpg</t>
  </si>
  <si>
    <t>Idli Upma</t>
  </si>
  <si>
    <t>இட்லி உப்புமா</t>
  </si>
  <si>
    <t xml:space="preserve">   Crumbled idli – 3 cups,
   Onion – 1 cup finely chopped,
   Green chilli – 1,
   Ginger – 1 inch piece ,
   Turmeric powder – a pinch,
   Idli Podi – 1 1/2 tsp,
   Salt as required,
   Oil – 1 1/2 tbsp,
   Mustard seeds – 1 tsp,
   Urad dal – 3/4 tsp,
   Red chillies - 2,
   Hing – generous pinch,
   Curry leaves – a sprig,
   Coriander leaves,
   Fresh lemon juice - 1-2 tbsp.</t>
  </si>
  <si>
    <t>துருவிய இட்லி - 3 கப்,
வெங்காயம் - 1 கப் பொடியாக நறுக்கியது,
பச்சை மிளகாய் - 1,
இஞ்சி - 1 அங்குல துண்டு,
மஞ்சள் தூள் - ஒரு சிட்டிகை,
இட்லி பொடி - 1 1/2 தேக்கரண்டி,
தேவைக்கேற்ப உப்பு,
எண்ணெய் - 1 1/2 தேக்கரண்டி,
கடுகு - 1 தேக்கரண்டி,
உளுத்தம் பருப்பு - 3/4 தேக்கரண்டி,
சிவப்பு மிளகாய் - 2,
கீல் - தாராளமாக சிட்டிகை,
கறிவேப்பிலை - ஒரு தளிர்,
கொத்தமல்லி இலைகள்,
புதிய எலுமிச்சை சாறு - 1-2 தேக்கரண்டி.</t>
  </si>
  <si>
    <t>Heat oil in a pan, add mustard seeds, when it splutters, urad dal, red chillies, hing and curry leaves.
When dal turns golden brown, add finely chopped onions, green chillies, ginger, turmeric powder, salt needed and saute till onions turns transparent. Then add the crumbled idli, idli podi and mix well. Check for salt.
Garnish with coriander leaves, squeeze juice of fresh lemon and mix well. Serve with hot sambar or chutney. It tastes good as it is without any side dish.</t>
  </si>
  <si>
    <t>ஒரு கடாயில் எண்ணெயை சூடாக்கி, கடுகு, அது வதங்கியதும், உளுத்தம் பருப்பு, சிவப்பு மிளகாய், கீல் மற்றும் கறிவேப்பிலை சேர்க்கவும்.
பருப்பு பொன்னிறமாக மாறியதும், இறுதியாக நறுக்கிய வெங்காயம், பச்சை மிளகாய், இஞ்சி, மஞ்சள் தூள், தேவையான உப்பு சேர்த்து வெங்காயம் வெளிப்படையானதாக மாறும் வரை வதக்கவும். பின்னர் நொறுக்கப்பட்ட இட்லி, இட்லி பொடி சேர்த்து நன்கு கலக்கவும். உப்பு இருக்கிறதா என்று சரிபார்க்கவும்.
கொத்தமல்லி இலைகளால் அலங்கரித்து, புதிய எலுமிச்சை சாறு பிழிந்து நன்கு கலக்கவும். சூடான சாம்பார் அல்லது சட்னியுடன் பரிமாறவும். எந்த பக்க உணவும் இல்லாமல் சாப்பிடுவதால் இது நன்றாக இருக்கும்.</t>
  </si>
  <si>
    <t>https://rakskitchen.net/wp-content/uploads/2015/02/16294029408_c8fe1a1841_z-500x375.jpg</t>
  </si>
  <si>
    <t>Aval Upma</t>
  </si>
  <si>
    <t>அவல் உப்புமா</t>
  </si>
  <si>
    <t xml:space="preserve">   Aval - 1 cup,
   Onion – 1,
   Green chilli - 1,
   Ginger – 1/2 tsp,
   Turmeric powder – a pinch,
   Roasted peanuts – 2 tbsp,
   Lemon juice – 1/2 tsp,
   Oil - 1 tbsp,
   Mustard seeds – 1 tsp,
   Cumin seeds – 3/4 tsp,
   Hing – pinch,
   Red chilli - 1,
   Curry leaves – a sprig,
   Grated coconut – 1 tbsp ,
   coriander leaves.</t>
  </si>
  <si>
    <t>அவல் - 1 கப்,
வெங்காயம் - 1,
பச்சை மிளகாய் - 1,
இஞ்சி - 1/2 டீஸ்பூன்,
மஞ்சள் தூள் - ஒரு சிட்டிகை,
வறுத்த வேர்க்கடலை - 2 டீஸ்பூன்,
எலுமிச்சை சாறு - 1/2 டீஸ்பூன்,
எண்ணெய் - 1 டீஸ்பூன்,
கடுகு - 1 டீஸ்பூன்,
சீரகம் - 3/4 டீஸ்பூன்,
கீல் - சிட்டிகை,
சிவப்பு மிளகாய் - 1,
கறிவேப்பிலை - ஒரு தளிர்,
தேங்காய் துருவல் - 1 டீஸ்பூன்,
கொத்தமல்லி இலைகள்.</t>
  </si>
  <si>
    <t>Heat a tbsp of oil, add mustard seeds, when it splutters, add cumin seeds, hing, red chilli and curry leaves.
Then add finely chopped onions, ginger, green chillies, turmeric powder and salt. (you can add salt required for the aval also now)
Saute until onions turn pink.
Then add poha/aval, roasted peanuts and mix well. Cook for 2-3 seconds and remove from flame.
Squeeze a few drops of lemon juice and mix well.
Garnish with coriander leaves and grated coconut.</t>
  </si>
  <si>
    <t>ஒரு டீஸ்பூன் எண்ணெயை சூடாக்கி, கடுகு சேர்த்து, அது வதங்கியதும், சீரகம், கீல், சிவப்பு மிளகாய் மற்றும் கறிவேப்பிலை சேர்க்கவும்.
பின்னர் இறுதியாக நறுக்கிய வெங்காயம், இஞ்சி, பச்சை மிளகாய், மஞ்சள் தூள் மற்றும் உப்பு சேர்க்கவும். (இப்போது அவலுக்கு தேவையான உப்பு சேர்க்கலாம்)
வெங்காயம் இளஞ்சிவப்பு நிறமாக மாறும் வரை வதக்கவும்.
பின்னர் போஹா/அவல், வறுத்த வேர்க்கடலை சேர்த்து நன்கு கலக்கவும். 2-3 வினாடிகள் வதக்கி, தீயிலிருந்து இறக்கவும்.
சில துளிகள் எலுமிச்சை சாற்றை பிழிந்து நன்கு கலக்கவும்.
கொத்தமல்லி இலைகள் மற்றும் துருவிய தேங்காய் சேர்த்து அலங்கரிக்கவும்.</t>
  </si>
  <si>
    <t>https://www.indianhealthyrecipes.com/wp-content/uploads/2024/04/aval-upma-poha-upma-recipe.jpg</t>
  </si>
  <si>
    <t>Oats Savoury Porridge</t>
  </si>
  <si>
    <t xml:space="preserve">
ஓட்ஸ் சுவையூட்டும் கஞ்சி</t>
  </si>
  <si>
    <t xml:space="preserve">  Oats - 1/4 cup,
   Water - 1 cup,
   Thick Buttermilk – 1 cup,
   Salt as required,
   Oil – 1 tsp,
   Mustard seeds – ½ tsp,
   Cumin seeds – ½ tsp,
   Green chilli – 1 small ,
   Ginger – 1 inch piece,
   Tender curry leaves -1 sprig.</t>
  </si>
  <si>
    <t>ஓட்ஸ் - 1/4 கப்,
தண்ணீர் - 1 கப்,
கெட்டியான மோர் - 1 கப்,
தேவைக்கேற்ப உப்பு,
எண்ணெய் - 1 தேக்கரண்டி,
கடுகு - ½ தேக்கரண்டி,
சீரகம் - ½ தேக்கரண்டி,
பச்சை மிளகாய் - 1 சிறியது,
இஞ்சி - 1 அங்குல துண்டு,
இளஞ்சூடான கறிவேப்பிலை - 1 துளிர்.</t>
  </si>
  <si>
    <t>Add oats, water and salt in a saucepan.
Simmer and cook until thick stirring continuously.
Allow it to cool down completely. Add thick buttermilk and mix well.
Heat a tsp of oil, add mustard seeds, when it splutters, add jeera seeds, crushed ginger, green chillies and curry leaves. Add this seasoning to the prepared oats, mix well and enjoy.</t>
  </si>
  <si>
    <t>ஒரு பாத்திரத்தில் ஓட்ஸ், தண்ணீர் மற்றும் உப்பு சேர்க்கவும்.
தொடர்ந்து கிளறி கெட்டியாகும் வரை வேக வைக்கவும்.
முழுமையாக ஆற விடவும். கெட்டியான மோர் சேர்த்து நன்கு கலக்கவும்.
ஒரு தேக்கரண்டி எண்ணெயை சூடாக்கி, கடுகு சேர்த்து, அது வதங்கியதும், சீரகம், நொறுக்கப்பட்ட இஞ்சி, பச்சை மிளகாய் மற்றும் கறிவேப்பிலை சேர்க்கவும். தயாரிக்கப்பட்ட ஓட்ஸில் இந்த மசாலாவைச் சேர்த்து, நன்கு கலந்து மசிக்கவும்.</t>
  </si>
  <si>
    <t>https://encrypted-tbn0.gstatic.com/images?q=tbn:ANd9GcRUmQT67Y4e72VHFcAVcqhKERpvogVN7EkAoQ&amp;s</t>
  </si>
  <si>
    <t>Paneer Sandwich</t>
  </si>
  <si>
    <t>பனீர் சாண்ட்விச்</t>
  </si>
  <si>
    <t xml:space="preserve">
   Whole wheat brown bread – 4,
   Paneer – 75 grams,
   Green chutney - 2-3 tsp,
   Onion – 1,
   Green chillies - 2,
   Coriander leaves,
   Butter as needed.</t>
  </si>
  <si>
    <t>முழு கோதுமை பிரவுன் ரொட்டி - 4,
பனீர் - 75 கிராம்,
பச்சை சட்னி - 2-3 தேக்கரண்டி,
வெங்காயம் - 1,
பச்சை மிளகாய் - 2,
கொத்தமல்லி இலைகள்,
தேவையான அளவு வெண்ணெய்.</t>
  </si>
  <si>
    <t>In a bowl, mix paneer, finely chopped onions, green chillies, green chutney, finely chopped coriander leaves and salt together. Now the stuffing is ready.
Take 2 bread slices, apply butter on one side for both the breads, keep a tbsp of stuffing on the buttered side of 1 bread and close it with the other bread with the buttered side facing down.
Butter the outer surface of the bread slightly if required or just grease the bread toaster and toast on both sides till golden brown.
Cut it diagonally and enjoy as such or with tomato ketchup. Repeat the process for the rest of the bread.
This can also be had as a snack with evening tea. Enjoy!</t>
  </si>
  <si>
    <t>ஒரு பாத்திரத்தில், பனீர், இறுதியாக நறுக்கிய வெங்காயம், பச்சை மிளகாய், பச்சை சட்னி, இறுதியாக நறுக்கிய கொத்தமல்லி இலைகள் மற்றும் உப்பு ஆகியவற்றை ஒன்றாக கலக்கவும். இப்போது ஸ்டஃபிங் தயார்.
2 பிரட் துண்டுகளை எடுத்து, இரண்டு பிரட்டுகளுக்கும் ஒரு பக்கத்தில் வெண்ணெய் தடவி, 1 பிரட்டின் வெண்ணெய் தடவிய பக்கத்தில் ஒரு தேக்கரண்டி ஸ்டஃபிங்கை வைத்து, மற்றொரு பிரட்டை வெண்ணெய் தடவிய பக்கம் கீழ்நோக்கி இருக்கும்படி மூடி வைக்கவும்.
தேவைப்பட்டால் பிரட்டின் வெளிப்புறத்தில் சிறிது வெண்ணெய் தடவவும் அல்லது பிரட் டோஸ்டரில் கிரீஸ் தடவி இருபுறமும் பொன்னிறமாகும் வரை டோஸ்ட் செய்யவும்.
அதை குறுக்காக வெட்டி அப்படியே அல்லது தக்காளி கெட்ச்அப்புடன் மசிக்கவும். மீதமுள்ள பிரெட்டிற்கும் இந்த செயல்முறையை மீண்டும் செய்யவும்.
இதை மாலை தேநீருடன் சிற்றுண்டியாகவும் சாப்பிடலாம். மகிழுங்கள்!</t>
  </si>
  <si>
    <t>https://rakskitchen.net/wp-content/uploads/2017/03/paneer-sandwich-featured.jpg</t>
  </si>
  <si>
    <t>Instant Tomato Chutney</t>
  </si>
  <si>
    <t>உடனடி தக்காளி சட்னி</t>
  </si>
  <si>
    <t>Tomatoes – 4 ,
Sambar powder – 2 tsp,
Turmeric powder – a pinch,
Sesame seed oil – 2 tbsp ,
Mustard seeds – 1 tsp,
Asafoetida – a pinch,
Curry leaves.</t>
  </si>
  <si>
    <t>தக்காளி - 4,
சாம்பார் பொடி - 2 தேக்கரண்டி,
மஞ்சள் பொடி - ஒரு சிட்டிகை,
எள்ளு எண்ணெய் - 2 தேக்கரண்டி,
கடுகு - 1 தேக்கரண்டி,
அசாஃபோடிடா - ஒரு சிட்டிகை,
கறிவேப்பிலை.</t>
  </si>
  <si>
    <t>Blend tomatoes in a blender.
Heat oil in a pan, add mustard seeds when it splutters, add hing, curry leaves, tomato puree, turmeric powder, sambar powder and needed salt.
Cook till oil separates. You can store this chutney in the refrigerator for 3-4 days.</t>
  </si>
  <si>
    <t>ஒரு மிக்ஸியில் தக்காளியை அரைக்கவும்.
ஒரு கடாயில் எண்ணெயை சூடாக்கி, கடுகு, அது வெடித்ததும், கீல், கறிவேப்பிலை, தக்காளி கூழ், மஞ்சள் தூள், சாம்பார் பொடி மற்றும் தேவையான உப்பு சேர்க்கவும்.
எண்ணெய் பிரியும் வரை சமைக்கவும். இந்த சட்னியை குளிர்சாதன பெட்டியில் 3-4 நாட்கள் சேமிக்கலாம்.</t>
  </si>
  <si>
    <t>https://encrypted-tbn0.gstatic.com/images?q=tbn:ANd9GcTtNnEJ7biJ8X64nIKYMt2_5QDxcGP3ksnJ5g&amp;s</t>
  </si>
  <si>
    <t>Green Chutney Sandwich</t>
  </si>
  <si>
    <t>பச்சை சட்னி சாண்ட்விச்</t>
  </si>
  <si>
    <t xml:space="preserve">  Whole Wheat Bread - 2 ,
   Green Chutney – as needed,
   Cheese slice - 1 ,
   Butter – 1-2 tsp.</t>
  </si>
  <si>
    <t>முழு கோதுமை ரொட்டி - 2,
பச்சை சட்னி - தேவைக்கேற்ப,
சீஸ் துண்டு - 1,
வெண்ணெய் - 1-2 தேக்கரண்டி.</t>
  </si>
  <si>
    <t>Cut the outer brown crust for the bread.
Take a bread slice, spread green chutney on it, then place the cheese slice on top of it. Check green chutney recipe.
Take another bread, apply green chutney and place it on top of the cheese slice with the chutney side facing down.
Apply some butter on the outer surfaces of the sandwich or grease the sandwich toaster.
Place it on the toaster and toast over medium heat till both sides are golden brown. If you do not have a bread toaster, you can do it in tawa also.
Cut it diagonally and serve hot. Repeat the process for making more green chutney sandwiches.
You do not need any accompaniment for this. This can be had as a breakfast or just as a snack with evening tea.
Enjoy making this healthy and easy sandwich recipe and I am sure you will love it.</t>
  </si>
  <si>
    <t>ரொட்டியின் வெளிப்புற பழுப்பு நிற மேலோட்டத்தை வெட்டுங்கள்.
ஒரு ரொட்டி துண்டை எடுத்து, அதன் மீது பச்சை சட்னியை தடவி, அதன் மேல் சீஸ் துண்டுகளை வைக்கவும். பச்சை சட்னி செய்முறையைச் சரிபார்க்கவும்.
மற்றொரு ரொட்டியை எடுத்து, பச்சை சட்னியை தடவி, சீஸ் துண்டின் மேல் சட்னி பக்கம் கீழ்நோக்கி இருக்கும்படி வைக்கவும்.
சாண்ட்விச்சின் வெளிப்புறங்களில் சிறிது வெண்ணெய் தடவவும் அல்லது சாண்ட்விச் டோஸ்டரில் கிரீஸ் செய்யவும்.
அதை டோஸ்டரில் வைத்து, இருபுறமும் தங்க பழுப்பு நிறமாக மாறும் வரை மிதமான தீயில் டோஸ்ட் செய்யவும். உங்களிடம் ரொட்டி டோஸ்டர் இல்லையென்றால், அதை தவாவில் செய்யலாம்.
அதை குறுக்காக வெட்டி சூடாக பரிமாறவும். பச்சை சட்னி சாண்ட்விச்களை அதிகமாக்குவதற்கான செயல்முறையை மீண்டும் செய்யவும்.
இதற்கு உங்களுக்கு துணை எதுவும் தேவையில்லை. இதை காலை உணவாகவோ அல்லது மாலை தேநீருடன் சிற்றுண்டியாகவோ சாப்பிடலாம்.
இந்த ஆரோக்கியமான மற்றும் எளிதான சாண்ட்விச் ரெசிபியை செய்து மகிழுங்கள், நீங்கள் இதை விரும்புவீர்கள் என்று நான் நம்புகிறேன்.</t>
  </si>
  <si>
    <t>https://encrypted-tbn0.gstatic.com/images?q=tbn:ANd9GcTosUVAFTIPCOy0XmX_6Dc3UcGHuNTKlVIPgQ&amp;s</t>
  </si>
  <si>
    <t>Mango Rice</t>
  </si>
  <si>
    <t xml:space="preserve">
மாங்காய் சாதம்</t>
  </si>
  <si>
    <t>Raw Mango – 1 ,
Cooked rice - 3 cups,
Chilli powder – 2 tsp,
Turmeric powder - a generous pinch,
Salt as required,
Sesame seed oil - 2 tbsp,
Mustard seeds - 1 tsp,
Curry leaves .</t>
  </si>
  <si>
    <t>பச்சை மாங்காய் - 1,
சமைத்த அரிசி - 3 கப்,
மிளகாய் தூள் - 2 தேக்கரண்டி,
மஞ்சள் தூள் - ஒரு சிட்டிகை,
தேவைக்கேற்ப உப்பு,
எள் விதை எண்ணெய் - 2 தேக்கரண்டி,
கடுகு விதைகள் - 1 தேக்கரண்டி,
கறிவேப்பிலை .</t>
  </si>
  <si>
    <t>Heat oil in a pan, add mustard seed,curry leaves, when mustard splutters, add chopped mangoes, turmeric powder, chilli powder and salt needed.
Saute and cook mango for a few minutes till the raw flavor of the chilli powder goes.Do not over cook the mangoes.
Add cooked rice and mix well.Check for salt. Enjoy with any raita /pachadi,chips or papads.</t>
  </si>
  <si>
    <t>ஒரு கடாயில் எண்ணெயை சூடாக்கி, கடுகு, கறிவேப்பிலை சேர்த்து, கடுகு வதங்கியதும், நறுக்கிய மாங்காய், மஞ்சள் தூள், மிளகாய் தூள் மற்றும் தேவையான உப்பு சேர்க்கவும்.
மாங்காய் சாதத்தை சிறிது நேரம் வதக்கி, மிளகாய் தூளின் பச்சை வாசனை போகும் வரை சமைக்கவும். மாங்காய்களை அதிகமாக வேகவிடாதீர்கள்.
சமைத்த அரிசியைச் சேர்த்து நன்கு கலக்கவும். உப்பு இருக்கிறதா என்று சரிபார்க்கவும். ஏதேனும் ரைட்டா / பச்சடி, சிப்ஸ் அல்லது பப்பட்டுகளுடன் மகிழுங்கள்.</t>
  </si>
  <si>
    <t>https://naturallieplantbased.com/wp-content/uploads/2023/02/mango-fried-rice.jpg</t>
  </si>
  <si>
    <t>Cold milk – 1 1/2 cup,
Coffee decoction -1/2 cup,
Sugar to taste,
Vanilla ice cream – a scoop.</t>
  </si>
  <si>
    <t>குளிர்ந்த பால் - 1 1/2 கப்,
காபி டிகாஷன் - 1/2 கப்,
சுவைக்கு சர்க்கரை,
வெண்ணிலா ஐஸ்கிரீம் - ஒரு ஸ்கூப்.</t>
  </si>
  <si>
    <t>பால், காபி டிகாஷன், தூள் சர்க்கரை மற்றும் வெண்ணிலா ஐஸ்கிரீமை நுரை வரும் வரை கலக்கவும்.
ஒரு கிளாஸில் ஊற்றி, ஒரு ஸ்கூப் ஐஸ்கிரீமுடன் அலங்கரித்து, குளிர்ச்சியாகப் பரிமாறவும். (நான் அதை இன்னும் அழகாக மாற்ற ஒரு சிட்டிகை கோகோ பவுடரையும் தூவினேன்)
சுவையாக சாப்பிடுங்கள்!</t>
  </si>
  <si>
    <t>https://www.milkmaid.in/sites/default/files/2024-05/Cold-Coffee-335x300.jpg</t>
  </si>
  <si>
    <t>Semiya Biryani</t>
  </si>
  <si>
    <t>சேமியா பிரியாணி</t>
  </si>
  <si>
    <t xml:space="preserve"> Semiya –  1 cup heaped,
Water -1 ½ cup,
Onion – 1,
Ginger-garlic paste - 3/4 tsp,
Green chillies - 2 slited,
Mint leaves,
Coriander leaves ,
Mixed vegetables – 1 cup (mix of beans, carrot, peas, potato, cauliflower),
Chilli Powder – 1 tsp,
Biryani masala -1 tsp,
Salt  as required ,
Oil – 1 tbsp,
Whole Garam Masala ,
Cinnamon -1 inch piece,
Cloves -2, 
Cardamom -1,
 bay leaf - 1.</t>
  </si>
  <si>
    <t>சேமியா - 1 கப் குவித்து,
தண்ணீர் - 1 ½ கப்,
வெங்காயம் - 1,
இஞ்சி-பூண்டு விழுது - 3/4 டீஸ்பூன்,
பச்சை மிளகாய் - 2 கீறி,
புதினா இலைகள்,
கொத்தமல்லி இலைகள்,
கலவைத்த காய்கறிகள் - 1 கப் (பீன்ஸ், கேரட், பட்டாணி, உருளைக்கிழங்கு, காலிஃபிளவர் கலவை),
மிளகாய்த்தூள் - 1 டீஸ்பூன்,
பிரியாணி மசாலா - 1 டீஸ்பூன்,
தேவைக்கேற்ப உப்பு,
எண்ணெய் - 1 டீஸ்பூன்,
முழு கரம் மசாலா,
இலவங்கப்பட்டை - 1 அங்குல துண்டு,
கிராம்பு - 2,
ஏலக்காய் - 1,
பிரித்தூள் இலை - 1.</t>
  </si>
  <si>
    <t>Heat a tbsp of oil, add whole garam masala (the spices), when it splutters, add onion, green chillies and fry till onions turn translucent.
Then add ginger garlic paste and saute for a few more minutes.
Add mint leaves, coriander leaves, chilli powder, biryani masala and saute for a few seconds.
Add vegetables, water, salt needed.When water starts boiling, simmer, add roasted vermicelli  and cook covered in low flame till done.Keep stirring now and then to prevent it from sticking to the pan.
Serve hot with any pachadi (raita).</t>
  </si>
  <si>
    <t>ஒரு டீஸ்பூன் எண்ணெயை சூடாக்கி, முழு கரம் மசாலா (மசாலா) சேர்த்து, அது வதங்கியதும், வெங்காயம், பச்சை மிளகாய் சேர்த்து வெங்காயம் தெளிவாகும் வரை வதக்கவும்.
பின்னர் இஞ்சி பூண்டு விழுது சேர்த்து மேலும் சில நிமிடங்கள் வதக்கவும்.
புதினா இலைகள், கொத்தமல்லி இலைகள், மிளகாய் தூள், பிரியாணி மசாலா சேர்த்து சில நொடிகள் வதக்கவும்.
காய்கறிகள், தண்ணீர், தேவையான அளவு உப்பு சேர்க்கவும். தண்ணீர் கொதிக்க ஆரம்பித்ததும், கொதிக்க வைத்து, வறுத்த சேமியாவை சேர்த்து, குறைந்த தீயில் மூடி வைத்து வேக வைக்கவும். அவ்வப்போது கிளறிக்கொண்டே இருங்கள், அதனால் அது வாணலியில் ஒட்டாமல் இருக்கும்.
எந்த பச்சடி (ரைத்தா) உடன் சூடாக பரிமாறவும்.</t>
  </si>
  <si>
    <t>https://www.yummytummyaarthi.com/wp-content/uploads/2016/03/1-28.jpg</t>
  </si>
  <si>
    <t>Brown Rice Upma</t>
  </si>
  <si>
    <t>பிரவுன் ரைஸ் உப்புமா</t>
  </si>
  <si>
    <t xml:space="preserve">   Brown rice – 1/2 cup,
   Water – 1 1/2 cup,
   Tur dal – 2 tbsp,
   Fresh grated coconut – 1/3 cup,
   Salt as required,
   Oil – 1 1/2 tbsp,
   Mustard seeds - 3/4 tsp,
   Bengal gram – 1 tbsp,
   Split Urad dal – 3/4 tsp,
   Red chilles - 3,
   Curry leaves – a sprig.</t>
  </si>
  <si>
    <t>பிரவுன் ரைஸ் - 1/2 கப்,
தண்ணீர் - 1 1/2 கப்,
துவரம் பருப்பு - 2 டேபிள்ஸ்பூன்,
புதிதாக துருவிய தேங்காய் - 1/3 கப்,
தேவைக்கேற்ப உப்பு,
எண்ணெய் - 1 1/2 டேபிள்ஸ்பூன்,
கடுகு - 3/4 டேபிள்ஸ்பூன்,
கடலை பருப்பு - 1 டேபிள்ஸ்பூன்,
உளுத்தம் பருப்பு - 3/4 டேபிள்ஸ்பூன்,
சிவப்பு மிளகாய் - 3,
கறிவேப்பிலை - ஒரு தளிர்.</t>
  </si>
  <si>
    <t>Heat oil in a pan, add mustard seeds, when it splutters, add bengal gram, urad dal, broken red chilli, curry leaves in the same order.
After dal turns golden brown, add ground tur dal and saute nicely for 2-3 minutes.
Add grated coconut and saute for some more time.
Now add the soaked brown rice along with the water. Add required salt and bring it to boil.
Transfer the contents to another container and pressure cook for 3 whistles.
Once the pressure subsides, open the cooker, mix it well and serve hot with sambar or idli sambar or gothsu or chutney of your choice.</t>
  </si>
  <si>
    <t>ஒரு கடாயில் எண்ணெயை சூடாக்கி, கடுகு சேர்த்து, அது வதங்கியதும், அதே வரிசையில் பெங்கால் பருப்பு, உளுத்தம் பருப்பு, உடைத்த சிவப்பு மிளகாய், கறிவேப்பிலை சேர்க்கவும்.
பருப்பு பொன்னிறமாக மாறிய பிறகு, அரைத்த துவரம் பருப்பு சேர்த்து 2-3 நிமிடங்கள் நன்றாக வதக்கவும்.
துருவிய தேங்காயைச் சேர்த்து சிறிது நேரம் வதக்கவும்.
இப்போது ஊறவைத்த பிரவுன் ரைஸை தண்ணீருடன் சேர்க்கவும். தேவையான உப்பு சேர்த்து கொதிக்க விடவும்.
மற்றொரு கொள்கலனில் உள்ளவற்றை மாற்றி 3 விசில் வரும் வரை பிரஷர் சமைக்கவும்.
பிரஷர் குறைந்தவுடன், குக்கரைத் திறந்து, நன்றாகக் கலந்து, உங்களுக்குப் பிடித்த சாம்பார் அல்லது இட்லி சாம்பார் அல்லது கோத்சு அல்லது சட்னியுடன் சூடாகப் பரிமாறவும்.</t>
  </si>
  <si>
    <t>https://i.ytimg.com/vi/xKkQYcTwYKc/maxresdefault.jpg</t>
  </si>
  <si>
    <t>Dal Tadka</t>
  </si>
  <si>
    <t>பருப்பு தட்கா</t>
  </si>
  <si>
    <t>Tur dal – 1/2 cup,
Turmeric powder – a pinch,
Salt to taste.</t>
  </si>
  <si>
    <t>துர் பருப்பு - 1/2 கப்,
மஞ்சள் தூள் - ஒரு சிட்டிகை,
ருசிக்கேற்ப உப்பு.</t>
  </si>
  <si>
    <t>Wash dal well, add water in the ratio 1:3. For 1/2 cups of dal, add 1 1/2 cups of water.
Add turmeric powder and pressure cook for 3 whistles. Mash it well and add salt to taste.(Some varieties of dal do not get cooked to a mush, in that case, soak dal in hot water for 15-20 minutes).</t>
  </si>
  <si>
    <t>பருப்பை நன்கு கழுவி, 1:3 என்ற விகிதத்தில் தண்ணீர் சேர்க்கவும். 1/2 கப் பருப்பிற்கு, 1 1/2 கப் தண்ணீர் சேர்க்கவும்.
மஞ்சள் தூள் சேர்த்து 3 விசில் வரும் வரை பிரஷர் குக்கரில் வேக வைக்கவும். நன்றாக மசித்து, ருசிக்கேற்ப உப்பு சேர்க்கவும். (சில வகையான பருப்புகள் நன்றாக வேகாது, அப்படியானால், பருப்பை 15-20 நிமிடங்கள் வெந்நீரில் ஊற வைக்கவும்).</t>
  </si>
  <si>
    <t>https://www.mrishtanna.com/wp-content/uploads/2019/10/dal-tadka-instant-pot.jpg</t>
  </si>
  <si>
    <t>Chow Chow Chutney</t>
  </si>
  <si>
    <t>சௌ சௌ சட்னி</t>
  </si>
  <si>
    <t xml:space="preserve">  Chow Chow – chopped 1 cup,
   Tomato - 1,
   Oil – 1 tbsp,
   Tur dal – 1 tbsp,
   Channa dal – 1 tbsp,
   Red chilli - 4,
   Salt needed.</t>
  </si>
  <si>
    <t>சௌ சௌ - நறுக்கியது 1 கப்,
தக்காளி - 1,
எண்ணெய் - 1 டேபிள் ஸ்பூன்,
துர் பருப்பு - 1 டேபிள் ஸ்பூன்,
சன்னா பருப்பு - 1 டேபிள் ஸ்பூன்,
சிவப்பு மிளகாய் - 4,
உப்பு தேவை.</t>
  </si>
  <si>
    <t>Heat a tsp of oil, add tur dal, channa dal, red chillies and fry till dal turns golden brown. Remove and keep it aside.
In the same pan, heat the remaining oil, add chow chow, chopped tomato, salt needed and cook till chayote becomes soft. Allow it to cool.
Grind the dal first with little water, then add the chow chow+ tomato mix and grind everything together coarsely.
Serve with hot rice topped with ghee. Prepare any fried curry or kootu as a side dish for it.</t>
  </si>
  <si>
    <t>ஒரு டீஸ்பூன் எண்ணெயை சூடாக்கி, துர் பருப்பு, சன்னா பருப்பு, சிவப்பு மிளகாய் சேர்த்து, பருப்பை பொன்னிறமாகும் வரை வதக்கவும். அதை எடுத்து தனியாக வைக்கவும்.
அதே கடாயில், மீதமுள்ள எண்ணெயை சூடாக்கி, சௌ சௌ, நறுக்கிய தக்காளி, தேவையான உப்பு சேர்த்து, சயோட்டி மென்மையாகும் வரை சமைக்கவும். ஆற விடவும்.
முதலில் பருப்பை சிறிது தண்ணீர் சேர்த்து அரைத்து, பின்னர் சௌ சௌ + தக்காளி கலவையை சேர்த்து, அனைத்தையும் ஒன்றாக கரடுமுரடாக அரைக்கவும்.
நெய் தடவிய சூடான சாதத்துடன் பரிமாறவும். வறுத்த கறி அல்லது கூட்டுவை அதற்கு ஒரு பக்க உணவாக தயார் செய்யவும்.</t>
  </si>
  <si>
    <t>https://encrypted-tbn0.gstatic.com/images?q=tbn:ANd9GcSqDlTm7WBS25p2T4c2SwcCJK96HPj9h-_JFg&amp;s</t>
  </si>
  <si>
    <t>Spicy Puffed rice</t>
  </si>
  <si>
    <t>காரமான பஃப்டு அரிசி</t>
  </si>
  <si>
    <t>Puffed rice – 4 cups ,
Fried gram – 1 tbsp,
Peanuts – 50 grams,
Oil – 3-4 tsp,
Mor Milagai – 2,
Turmeric powder - 1/4 tsp,
Hing – a pinch,
Curry leaves – few,
Salt and chilli powder to taste.</t>
  </si>
  <si>
    <t>பஃப்டு அரிசி - 4 கப்,
வறுத்த பருப்பு - 1 டேபிள்ஸ்பூன்,
வேர்க்கடலை - 50 கிராம்,
எண்ணெய் - 3-4 டீஸ்பூன்,
மோர் மிளகாய் - 2,
மஞ்சள் தூள் - 1/4 டீஸ்பூன்,
ஹிங் - ஒரு சிட்டிகை,
கறிவேப்பிலை - சிறிது,
உப்பு மற்றும் மிளகாய் தூள் சுவைக்க.</t>
  </si>
  <si>
    <t>Heat oil in a pan, fry peanuts and fried gram separately. Keep it aside.
In the same pan, heat more oil, add mor milagai, hing, curry leaves and fry for a few seconds.
The add puffed rice, turmeric powder, salt needed, chilli powder and fry till pori becomes crisp.
Mix in peanuts, fried gram and store it in an air tight container. Enjoy this guilt free snack whenever you want. It tastes great with the mor milagai flavor.</t>
  </si>
  <si>
    <t>ஒரு கடாயில் எண்ணெயை சூடாக்கி, வேர்க்கடலை மற்றும் வறுத்த பருப்பை தனித்தனியாக வறுக்கவும். அதை ஒதுக்கி வைக்கவும்.
அதே கடாயில், அதிக எண்ணெயை சூடாக்கி, மோர் மிளகாய், ஹிங், கறிவேப்பிலை சேர்த்து சில நொடிகள் வதக்கவும்.
பஃப்டு அரிசி, மஞ்சள் தூள், தேவையான உப்பு, மிளகாய் தூள் சேர்த்து பொரி மொறுமொறுப்பாகும் வரை வதக்கவும்.
வேர்க்கடலை, வறுத்த பருப்பை சேர்த்து காற்று புகாத கொள்கலனில் சேமித்து வைக்கவும். நீங்கள் விரும்பும் போதெல்லாம் இந்த குற்ற உணர்ச்சியற்ற சிற்றுண்டியை அனுபவிக்கவும். மோர் மிளகாய் சுவையுடன் இது மிகவும் சுவையாக இருக்கும்.</t>
  </si>
  <si>
    <t>https://encrypted-tbn0.gstatic.com/images?q=tbn:ANd9GcQHMBAIXaXkCPfnKQHQJtuT49U51C1frJnJLw&amp;s</t>
  </si>
  <si>
    <t>Moong Dal Khichdi</t>
  </si>
  <si>
    <t>மூங் தால் கிச்சடி</t>
  </si>
  <si>
    <t xml:space="preserve">   Basmati Rice – 1 cup,
   Moong dal – 1/4 cup,
   Ginger-garlic paste – 1/2 tsp,
   Onion – 1 medium size,
   Tomato - 1,
   Green chilli – 1,
   Coriander leaves – handful,
   Mint leaves – handful,
   Oil – 2 tbsp,
   Cloves – 2,
   Cinnamon – 1 inch piece.</t>
  </si>
  <si>
    <t>பாஸ்மதி அரிசி - 1 கப்,
மூங் பருப்பு - 1/4 கப்,
இஞ்சி-பூண்டு விழுது - 1/2 டீஸ்பூன்,
வெங்காயம் - 1 நடுத்தர அளவு,
தக்காளி - 1,
பச்சை மிளகாய் - 1,
கொத்தமல்லி இலை - ஒரு கைப்பிடி,
புதினா இலை - ஒரு கைப்பிடி,
எண்ணெய் - 2 டீஸ்பூன்,
கிராம்பு - 2,
இலவங்கப்பட்டை - 1 அங்குல துண்டு.</t>
  </si>
  <si>
    <t xml:space="preserve">Heat oil, add the ingredients mentioned under seasoning. Add chopped onions and saute till onions turn transparent.
Add ginger garlic paste and saute for a few more minutes.
Then add the ground paste and cook for a few minutes. Add the drained rice, 2 cups of boiling water, salt required and pressure cook for 3 whistles.
After the pressure subsides, open it and fluff it with a fork. Serve piping hot with raita or tomato chutney or potato chips or the potato side dish given below.
</t>
  </si>
  <si>
    <t>எண்ணெயை சூடாக்கி, தாளிக்கக் குறிப்பிடப்பட்டுள்ள பொருட்களைச் சேர்க்கவும். நறுக்கிய வெங்காயத்தைச் சேர்த்து வெங்காயம் வெளிப்படையானதாக மாறும் வரை வதக்கவும்.
இஞ்சி பூண்டு விழுது சேர்த்து இன்னும் சில நிமிடங்கள் வதக்கவும்.
பின்னர் அரைத்த விழுதைச் சேர்த்து சில நிமிடங்கள் சமைக்கவும். வடிகட்டிய அரிசி, 2 கப் கொதிக்கும் நீர், தேவையான உப்பு சேர்த்து 3 விசில் வரை பிரஷர் சமைக்கவும்.
பிரஷர் குறைந்த பிறகு, அதைத் திறந்து ஒரு ஃபோர்க் கொண்டு பிசைந்து கொள்ளவும். ரைத்தா அல்லது தக்காளி சட்னி அல்லது உருளைக்கிழங்கு சிப்ஸ் அல்லது கீழே கொடுக்கப்பட்டுள்ள உருளைக்கிழங்கு சைட் டிஷ் உடன் சூடாகப் பரிமாறவும்.</t>
  </si>
  <si>
    <t>https://www.icampinmykitchen.com/wp-content/uploads/2023/06/IMG_4482-scaled.jpg</t>
  </si>
  <si>
    <t>Cracked Wheat Upma</t>
  </si>
  <si>
    <t>கோதுமை உப்புமா</t>
  </si>
  <si>
    <t xml:space="preserve">   Oil – 1 1/2 tbsp,
   Mustard seeds – 1 tsp,
   Urad dal – 1/2 tsp,
   Red chilli – 1,
   Hing/asafoedita – a pinch,
   Curry leaves – a sprig,
   Coriander leaves – 2 tbsp.</t>
  </si>
  <si>
    <t>எண்ணெய் - 1 1/2 டீஸ்பூன்,
கடுகு - 1 டீஸ்பூன்,
உளுத்தம் பருப்பு - 1/2 டீஸ்பூன்,
சிவப்பு மிளகாய் - 1,
பெருங்காயம் / அசஃபோடிட்டா - ஒரு சிட்டிகை,
கறிவேப்பிலை - ஒரு தளிர்,
கொத்தமல்லி இலை - 2 டீஸ்பூன்.</t>
  </si>
  <si>
    <t>Heat oil in a pan, add mustard seeds, when it splutters, add urad dal, red chilli, hing and curry leaves.
When urad dal turns golden brown, add finely chopped green chillies, ginger and onion.
Saute until onions turn transparent. Then add all the vegetables and saute for 2-3 minutes on low heat.
Then add 2 tbsp of water and cook covered.
Once the water evaporates, add 1 cup + another 2 tbsp of water (for the vegetables) and needed salt. Taste the water to check for salt. The water should be slightly salty, once we add the dalia, it will be perfect.
When water starts boiling, reduce the heat to low, add cracked wheat with one hand and stir with your other hand.
Mix well and cook covered on low heat.
Stir in between for even cooking. Once all the water has evaporated, cook covered for another 2 minutes.
Garnish with finely chopped coriander leaves.
gothumai rava upma with vegetables
Serve cracked wheat upma piping hot with sambar or chutney.</t>
  </si>
  <si>
    <t>ஒரு கடாயில் எண்ணெயை சூடாக்கி, கடுகு சேர்த்து, அது வதங்கியதும், உளுத்தம் பருப்பு, சிவப்பு மிளகாய், பெருங்காயம் மற்றும் கறிவேப்பிலை சேர்க்கவும்.
உளுத்தம் பருப்பு பொன்னிறமாக மாறியதும், இறுதியாக நறுக்கிய பச்சை மிளகாய், இஞ்சி மற்றும் வெங்காயம் சேர்க்கவும்.
வெங்காயம் வெளிப்படையானதாக மாறும் வரை வதக்கவும். பின்னர் அனைத்து காய்கறிகளையும் சேர்த்து குறைந்த தீயில் 2-3 நிமிடங்கள் வதக்கவும்.
பின்னர் 2 டீஸ்பூன் தண்ணீர் சேர்த்து மூடி வைக்கவும்.
தண்ணீர் ஆவியாகியதும், 1 கப் + மற்றொரு 2 டீஸ்பூன் தண்ணீர் (காய்கறிகளுக்கு) மற்றும் தேவையான அளவு உப்பு சேர்க்கவும். உப்பு இருக்கிறதா என்று சோதிக்க தண்ணீரை சுவைக்கவும். தண்ணீர் சிறிது உப்பு இருக்க வேண்டும், நாம் டேலியாவைச் சேர்த்தவுடன், அது சரியானதாக இருக்கும்.
தண்ணீர் கொதிக்க ஆரம்பித்ததும், தீயைக் குறைத்து, ஒரு கையால் வெடித்த கோதுமையைச் சேர்த்து, மற்றொரு கையால் கிளறவும்.
நன்றாகக் கலந்து, குறைந்த தீயில் மூடி வைத்து சமைக்கவும்.
சமமாக சமைக்கும் வரை இடையில் கிளறவும். தண்ணீர் முழுவதும் வற்றியதும், மூடி வைத்து மேலும் 2 நிமிடங்கள் சமைக்கவும்.
பொடியாக நறுக்கிய கொத்தமல்லி இலைகளால் அலங்கரிக்கவும்.
கோதுமை ரவா உப்மாவை காய்கறிகளுடன் சேர்த்து
வெப்பமாக வெடித்த கோதுமை உப்மாவை சாம்பார் அல்லது சட்னியுடன் பரிமாறவும்.</t>
  </si>
  <si>
    <t>https://x9s2d6a3.delivery.rocketcdn.me/wp-content/uploads/2013/08/Godhumai-rava-upma_1200x1200.jpg</t>
  </si>
  <si>
    <t>Tomato Chutney with garlic</t>
  </si>
  <si>
    <t>தக்காளி சட்னி, பூண்டு சேர்த்து வதக்கவும்</t>
  </si>
  <si>
    <t xml:space="preserve">   Chopped tomatoes – 1 cup,
   Garlic cloves - 3,
   Curry leaves – few,
   Red chilli – 3,
   Oil – 1 tbsp,
   Oil - 1 tsp,
   Mustard – 1 tsp,
   Hing – a pinch,
   Curry leaves – few.</t>
  </si>
  <si>
    <t>நறுக்கிய தக்காளி - 1 கப்,
பூண்டு பற்கள் - 3,
கறிவேப்பிலை - சிறிது,
சிவப்பு மிளகாய் - 3,
எண்ணெய் - 1 டீஸ்பூன்,
எண்ணெய் - 1 டீஸ்பூன்,
கடுகு - 1 டீஸ்பூன்,
கீல் - ஒரு சிட்டிகை,
கறிவேப்பிலை - சிறிது.</t>
  </si>
  <si>
    <t>Heat a tbsp of oil in a pan, add red chillies, garlic and saute for a few minutes.
Then add curry leaves, chopped tomatoes and cook till tomatoes become mushy. Add salt needed.
Allow it to cool. Then blend it in a mixie .(Do not make a very fine paste).
Heat a tsp of oil, add mustard seeds, when it splutters, add hing, curry leaves and pour it over the chutney.
This is a fantastic side dish for idli, dosa.</t>
  </si>
  <si>
    <t>ஒரு கடாயில் ஒரு டீஸ்பூன் எண்ணெயை சூடாக்கி, சிவப்பு மிளகாய், பூண்டு சேர்த்து சில நிமிடங்கள் வதக்கவும்.
பின்னர் கறிவேப்பிலை, நறுக்கிய தக்காளி சேர்த்து தக்காளி மசியும் வரை வதக்கவும். தேவையான அளவு உப்பு சேர்க்கவும்.
அதை ஆற விடவும். பின்னர் மிக்ஸியில் அரைக்கவும். (நன்றாக பேஸ்ட் செய்ய வேண்டாம்).
ஒரு டீஸ்பூன் எண்ணெயை சூடாக்கி, கடுகு சேர்த்து, அது வதங்கியதும், கீல், கறிவேப்பிலை சேர்த்து சட்னியின் மேல் ஊற்றவும்.
இது இட்லி, தோசைக்கு ஒரு அருமையான சைடு டிஷ்.</t>
  </si>
  <si>
    <t>https://encrypted-tbn0.gstatic.com/images?q=tbn:ANd9GcQVI-CJ2wTyD7roXTxzTY_po-jDXoNU0_CMeQ&amp;s</t>
  </si>
  <si>
    <t>Brinjal Masala</t>
  </si>
  <si>
    <t>கத்திரிக்காய் மசாலா</t>
  </si>
  <si>
    <t xml:space="preserve">   Brinjal – 4-5 ,
   small onion – 15,
   Garlic cloves – 10,
   Tomato – 1,
   Tamarind – small gooseberry sized ball,
   Chilli powder - 3/4 tsp,
   Turmeric powder – 1/4 tsp,
   Coriander powder – 2 tsp,
   Salt as required,
   Grated Coconut - 1/4 cup,
   Whole black pepper – 10,
   Cumin/jeera seeds – 1/4 tsp,
   Oil - 3 tbsp,
   Mustard seeds - 1 tsp,
   Fenugreek seeds – 1/2 tsp,
   Curry leaves – a sprig.
</t>
  </si>
  <si>
    <t>கத்தரிக்காய் – 4-5 ,
சிறிய வெங்காயம் – 15 ,
பூண்டு பற்கள் – 10 ,
தக்காளி – 1 ,
புளி – சிறிய நெல்லிக்காய் அளவு உருண்டை,
மிளகாய் தூள் - 3/4 தேக்கரண்டி ,
மஞ்சள் தூள் – 1/4 தேக்கரண்டி ,
கொத்தமல்லி தூள் – 2 தேக்கரண்டி ,
தேவைக்கேற்ப உப்பு,
தேங்காய் துருவல் - 1/4 கப் ,
முழு கருப்பு மிளகு – 10 ,
சீரகம்/ஜீரா விதைகள் – 1/4 தேக்கரண்டி ,
எண்ணெய் - 3 தேக்கரண்டி ,
கடுகு - 1 தேக்கரண்டி ,
வெந்தயம் – 1/2 தேக்கரண்டி ,
கறிவேப்பிலை – ஒரு தளிர்.</t>
  </si>
  <si>
    <t>Heat oil, add mustard seeds, when it splutters, add fenugreek seeds, curry leaves, small onions and garlic. Saute nicely till onions turn pink.
Then add chopped tomato and fry for a few more seconds.
Add brinjal, turmeric powder, chilli powder, coriander powder, salt needed and cook covered on medium heat stirring in between until the brinjals are three fourth cooked.
Add tamarind water and when it starts boiling, simmer and let it cook on low flames till it becomes slightly thick. By this time the brinjals will become tender.
Then add the ground paste and cook for a further 2-3 minutes. Garnish with coriander leaves.
This masala is a fantastic side dish for Coconut rice .You can try this brinjal masala for other mildly spiced pulao also which does not have tomato base.</t>
  </si>
  <si>
    <t>எண்ணெயை சூடாக்கி, கடுகு சேர்த்து, அது வதங்கியதும், வெந்தயம், கறிவேப்பிலை, சின்ன வெங்காயம் மற்றும் பூண்டு சேர்க்கவும். வெங்காயம் இளஞ்சிவப்பு நிறமாக மாறும் வரை நன்றாக வதக்கவும்.
பின்னர் நறுக்கிய தக்காளியைச் சேர்த்து இன்னும் சில நொடிகள் வதக்கவும்.
கத்திரிக்காய், மஞ்சள் தூள், மிளகாய் தூள், கொத்தமல்லி தூள், தேவையான உப்பு சேர்த்து, நடுத்தர வெப்பத்தில் மூன்று பங்கு வேகும் வரை மூடி வைத்து சமைக்கவும்.
புளி தண்ணீர் சேர்த்து கொதிக்க ஆரம்பித்ததும், கொதிக்க வைத்து, குறைந்த தீயில் சிறிது கெட்டியாகும் வரை சமைக்கவும். இந்த நேரத்தில் கத்திரிக்காய் மென்மையாக மாறும்.
பின்னர் அரைத்த விழுதைச் சேர்த்து மேலும் 2-3 நிமிடங்கள் சமைக்கவும். கொத்தமல்லி இலைகளால் அலங்கரிக்கவும்.
தேங்காய் சாதத்திற்கு இந்த மசாலா ஒரு அருமையான துணை உணவாகும். தக்காளி அடிப்பகுதி இல்லாத மற்ற லேசான மசாலா புலாவ்களுக்கும் இந்த கத்திரிக்காய் மசாலாவை நீங்கள் முயற்சி செய்யலாம்.</t>
  </si>
  <si>
    <t>https://encrypted-tbn0.gstatic.com/images?q=tbn:ANd9GcSwXk2B2CYbiM-zGcvxFSXyveXpkSXOy93iGw&amp;s</t>
  </si>
  <si>
    <t>Gobi 65</t>
  </si>
  <si>
    <t>கோபி 65</t>
  </si>
  <si>
    <t xml:space="preserve">   Cauliflower florets – 2 1/4 cup,
   Turmeric powder – 1/4 tsp,
   Chilli powder – 1 tsp,
   Rice flour – 1 tsp,
   Cornflour – 3 tbsp,
   Ginger-Garlic paste – 1 tsp,
   Garam masala – 1/2 tsp,
   Coriander powder – 1/2 tsp ,
   Thick curd – 1/4 cup,
   Salt as required,
   Oil for deep frying.</t>
  </si>
  <si>
    <t>காலிஃபிளவர் பூக்கள் - 2 1/4 கப்,
மஞ்சள் தூள் - 1/4 டீஸ்பூன்,
மிளகாய் தூள் - 1 டீஸ்பூன்,
அரிசி மாவு - 1 டீஸ்பூன்,
சோள மாவு - 3 டீஸ்பூன்,
இஞ்சி-பூண்டு விழுது - 1 டீஸ்பூன்,
கரம் மசாலா - 1/2 டீஸ்பூன்,
கொத்தமல்லி தூள் - 1/2 டீஸ்பூன்,
கெட்டியான தயிர் - 1/4 கப்,
தேவைக்கேற்ப உப்பு,
ஆழமாக வறுக்க எண்ணெய்.</t>
  </si>
  <si>
    <t>Heat oil in a kadai. To check if the oil is hot, drop of small bit of cauliflower, if it comes to the surface immediately, the oil is hot enough for frying.Keep the heat on medium.
Add 7-8 cauliflower florets (depending upon the size of your kadai and quantity of oil) into the hot oil.
Do not disturb for the first 2-3 seconds. Then stir gently and fry the cauliflower florets till golden brown and crisp. (Tips – when the bubbling noise reduces to minimum, it is an indication the the florets are fried. You can see the difference in the above picture – in the second picture, the bubbling has reduced).
Once the florets are golden brown and crisp, remove with a slotted ladle and drain on a colander or a paper napkin.
Enjoy with any variety rice or as a tea time snack or as an accompaniment for rice or enjoy it any time of the day.</t>
  </si>
  <si>
    <t>ஒரு கடாயில் எண்ணெயை சூடாக்கவும். எண்ணெய் சூடாக இருக்கிறதா என்று பார்க்க, ஒரு சிறிய துளி காலிஃபிளவர், அது உடனடியாக மேற்பரப்பில் வந்தால், எண்ணெய் வறுக்க போதுமான சூடாக இருக்கும். மிதமான வெப்பத்தில் வைக்கவும்.
7-8 காலிஃபிளவர் பூக்களை (உங்கள் கடாயின் அளவு மற்றும் எண்ணெயின் அளவைப் பொறுத்து) சூடான எண்ணெயில் சேர்க்கவும்.
முதல் 2-3 வினாடிகள் தொந்தரவு செய்ய வேண்டாம். பின்னர் மெதுவாக கிளறி காலிஃபிளவர் பூக்களை பொன்னிறமாகவும் மொறுமொறுப்பாகவும் வதக்கவும். (குறிப்புகள் - குமிழி சத்தம் குறைந்தபட்சமாகக் குறையும் போது, ​​அது பூக்கள் வறுத்ததற்கான அறிகுறியாகும். மேலே உள்ள படத்தில் வித்தியாசத்தைக் காணலாம் - இரண்டாவது படத்தில், குமிழி குறைந்துள்ளது).
பூக்கள் தங்க பழுப்பு நிறமாகவும், மொறுமொறுப்பாகவும் மாறியவுடன், ஒரு துளையிடப்பட்ட கரண்டியால் அகற்றி, ஒரு வடிகட்டி அல்லது காகித நாப்கினில் வடிகட்டவும்.
எந்த வகையான அரிசியுடனும் அல்லது தேநீர் நேர சிற்றுண்டியாகவும் அல்லது சாதத்திற்கு துணையாகவும் அல்லது நாளின் எந்த நேரத்திலும் அதை அனுபவிக்கவும்.</t>
  </si>
  <si>
    <t>https://www.vegrecipesofindia.com/wp-content/uploads/2021/05/gobi-65-recipe-4.jpg</t>
  </si>
  <si>
    <t xml:space="preserve">   Basmati rice - 1 cup,
   Onion – 1,
   Green chilli - 2,
   Ginger garlic paste – 1 tsp,
   Tomato – 1,
   Mint leaves – handful,
   Mixed Vegetables,
   Peas – 1/3 cup,
   Lemon juice - 2 tsp,
   Turmeric powder – a pinch,
   Chilli powder – 1 tsp,
   Salt as required,
   Oil - 2 tsp,
   Ghee – 1 tsp,
   Cinnamon - 1 inch piece,
   Cardamom - 1,
   Bay leaf - 1,
   Cloves - 2,
   Coriander leaves.</t>
  </si>
  <si>
    <t>பாஸ்மதி அரிசி - 1 கப்,
வெங்காயம் - 1,
பச்சை மிளகாய் - 2,
இஞ்சி பூண்டு விழுது - 1 டீஸ்பூன்,
தக்காளி - 1,
புதினா இலைகள் - ஒரு கைப்பிடி,
கலவை காய்கறிகள்,
பட்டாணி - 1/3 கப்,
எலுமிச்சை சாறு - 2 டீஸ்பூன்,
மஞ்சள் தூள் - ஒரு சிட்டிகை,
மிளகாய் தூள் - 1 டீஸ்பூன்,
தேவைக்கேற்ப உப்பு,
எண்ணெய் - 2 டீஸ்பூன்,
நெய் - 1 டீஸ்பூன்,
இலவங்கப்பட்டை - 1 அங்குல துண்டு,
ஏலக்காய் - 1,
பிரி இலை - 1,
கிராம்பு - 2,
கொத்தமல்லி இலைகள்.</t>
  </si>
  <si>
    <t>Take a pressure cooker or a pressure pan, heat ghee + oil, add the ingredients mentioned under ‘for the seasoning’.  After it splutters, add onions and saute till they turn transparent.
Add ginger garlic paste and saute for a few more minutes.
Add tomato puree, green chilli, mixed vegetables, peas, turmeric powder, chilli powder, salt, mint leaves, drained rice and saute for a few minutes.
Then add 2 cups of hot water, lemon juice and close the cooker without weight. Keep it on medium flame.
After it is half cooked, stir the contents and close the cooker with weight. Simmer for 4-5 minutes and switch it off.
Open the cooker, after the pressure subsides. Hot steaming pulao is ready to be served with side dish of your choice. Garnish with coriander leaves.</t>
  </si>
  <si>
    <t>ஒரு பிரஷர் குக்கர் அல்லது பிரஷர் பானையை எடுத்து, நெய் + எண்ணெயை சூடாக்கி, 'காரத்திற்காக' என்பதன் கீழ் குறிப்பிடப்பட்டுள்ள பொருட்களைச் சேர்க்கவும். அது வதங்கிய பிறகு, வெங்காயத்தைச் சேர்த்து, அவை வெளிப்படையானதாக மாறும் வரை வதக்கவும்.
இஞ்சி பூண்டு விழுதைச் சேர்த்து இன்னும் சில நிமிடங்கள் வதக்கவும்.
தக்காளி கூழ், பச்சை மிளகாய், காய்கறி கலவை, பட்டாணி, மஞ்சள் தூள், மிளகாய் தூள், உப்பு, புதினா இலைகள், வடிகட்டிய அரிசி ஆகியவற்றைச் சேர்த்து சில நிமிடங்கள் வதக்கவும்.
பின்னர் 2 கப் வெந்நீர், எலுமிச்சை சாறு சேர்த்து குக்கரை எடை இல்லாமல் மூடி வைக்கவும். மிதமான தீயில் வைக்கவும்.
பாதி வெந்த பிறகு, குக்கரை வெயிட்டுடன் மூடி வைக்கவும். 4-5 நிமிடங்கள் கொதிக்க வைத்து அணைக்கவும்.
அழுத்தம் குறைந்த பிறகு குக்கரைத் திறக்கவும். சூடான வேகவைக்கும் புலாவ் உங்களுக்கு விருப்பமான துணை டிஷ்ஷுடன் பரிமாற தயாராக உள்ளது. கொத்தமல்லி இலைகளால் அலங்கரிக்கவும்.</t>
  </si>
  <si>
    <t>https://www.indianveggiedelight.com/wp-content/uploads/2019/07/veg-pulao-featured.jpg</t>
  </si>
  <si>
    <t>Oats Upma</t>
  </si>
  <si>
    <t>ஓட்ஸ் உப்புமா</t>
  </si>
  <si>
    <t xml:space="preserve">   Oats – 1/2 cup,
   sooji – 1/4 cup,
   Onion – 1,
   Green chilli – 1 ,
   Ginger- 1 inch piece ,
   Mixed vegetables – 1 cup (mix of carrot, beans, peas, cauliflower, potato, capsicum),
   Water - 3/4 cup,
   Salt as required,
   Oil – 1 tbsp,
   Mustard seeds - 1 tsp,
   Urad dal - 1/2 tsp,
   Red chilli - 1,
   Hing -  a pinch,
   Curry leaves.</t>
  </si>
  <si>
    <t>ஓட்ஸ் - 1/2 கப்,
சூஜி - 1/4 கப்,
வெங்காயம் - 1,
பச்சை மிளகாய் - 1 ,
இஞ்சி - 1 அங்குல துண்டு ,
காய்கறிகள் - 1 கப் (கேரட், பீன்ஸ், பட்டாணி, காலிஃபிளவர், உருளைக்கிழங்கு, கேப்சிகம் கலவை),
தண்ணீர் - 3/4 கப்,
தேவைக்கேற்ப உப்பு,
எண்ணெய் - 1 டீஸ்பூன்,
கடுகு - 1 டீஸ்பூன்,
உளுத்தம் பருப்பு - 1/2 டீஸ்பூன்,
சிவப்பு மிளகாய் - 1,
கீரை - ஒரு சிட்டிகை,
கறிவேப்பிலை.</t>
  </si>
  <si>
    <t>Then add finely chopped onions, green chilli, ginger and saute until onions turn translucent.
Add all the vegetables, saute for a few more minutes, then add 3/4 cup of water and salt required.
When water come to boil, lower the flame, add rava stirring continuously and cook until it is half done.
Then add oats, cover and cook till done. (oats need less time and less water to get cooked, so you can add it, after rava is half cooked).
Serve delicious oats upma with any chutney varieties or sambar varieties.</t>
  </si>
  <si>
    <t>பின்னர் இறுதியாக நறுக்கிய வெங்காயம், பச்சை மிளகாய், இஞ்சி சேர்த்து வெங்காயம் தெளிவாகும் வரை வதக்கவும்.
அனைத்து காய்கறிகளையும் சேர்த்து, இன்னும் சில நிமிடங்கள் வதக்கி, பின்னர் 3/4 கப் தண்ணீர் மற்றும் தேவையான உப்பு சேர்க்கவும்.
தண்ணீர் கொதித்ததும், தீயைக் குறைத்து, ரவாவைச் சேர்த்து தொடர்ந்து கிளறி, பாதி வேகும் வரை சமைக்கவும்.
பின்னர் ஓட்ஸ் சேர்த்து, மூடி வைத்து, வேகவைக்கவும். (ஓட்ஸ் வேக குறைந்த நேரமும், தண்ணீரும் குறைவாக இருப்பதால், ரவை பாதி வெந்த பிறகு சேர்க்கலாம்).
சுவையான ஓட்ஸ் உப்புமாவை எந்த சட்னி வகைகளுடனோ அல்லது சாம்பார் வகைகளுடனோ பரிமாறவும்.</t>
  </si>
  <si>
    <t>https://www.vegrecipesofindia.com/wp-content/uploads/2015/04/oats-upma-recipe-1.jpg</t>
  </si>
  <si>
    <t>Jeera Pulao</t>
  </si>
  <si>
    <t>ஜீரா புலாவ்</t>
  </si>
  <si>
    <t xml:space="preserve">   Basmati Rice – 1 cup,
   Salt needed,
   Butter or Ghee – 1 1/2 tbsp,
   Cinnamon – 2 inch piece,
   Bay leaf – 1,
   Clove – 1,
   Star anise – 1,
   Cumin seeds – 2 tsp,
   Fried Onion – 1-2 tbsp.</t>
  </si>
  <si>
    <t>பாஸ்மதி அரிசி - 1 கப்,
உப்பு தேவை,
வெண்ணெய் அல்லது நெய் - 1 1/2 டேபிள்ஸ்பூன்,
இலவங்கப்பட்டை - 2 அங்குல துண்டு,
பிரி இலை - 1,
கிராம்பு - 1,
நட்சத்திர சோம்பு - 1,
சீரகம் - 2 டேபிள்ஸ்பூன்,
வறுத்த வெங்காயம் - 1-2 டேபிள்ஸ்பூன்.</t>
  </si>
  <si>
    <t>Heat butter or ghee in a pan, add cloves, cinnamon and bay leaf, saute for a few seconds and then add jeera seeds.
When jeera sizzles, add the drained rice and fry on medium heat until the rice is well coated with the ghee/butter.
Add 2 cups of water and needed salt. Taste the water to check for salt.
When water starts boiling, lower the heat and cook covered until the rice is soft. Fluff it with a fork and serve hot with any gravy side dish of your choice. Dal, paneer gravies, mushroom gravies, non veg gravies, all go well with jeera rice.
If preferred, you can garnish with fried onions.
Fried Onions (healthy way) – Slice onion thinly lengthwise. Dry it for 10 minutes in the sun or under the fan (optional). Heat 2 tsp of oil and fry the onions on very low heat until well browned. You need patience to do this otherwise you can deep fry the onions.
You can cook rice in a rice cooker or pressure cooker or in a pan with a lid. Check out more details on how to cook basmati rice.</t>
  </si>
  <si>
    <t>ஒரு கடாயில் வெண்ணெய் அல்லது நெய்யை சூடாக்கி, கிராம்பு, இலவங்கப்பட்டை மற்றும் பிரியாணி இலை சேர்த்து, சில நொடிகள் வதக்கி, பின்னர் ஜீரா விதைகளைச் சேர்க்கவும்.
ஜீரா கொதிக்கும் போது, ​​வடிகட்டிய அரிசியைச் சேர்த்து, அரிசியில் நெய்/வெண்ணெய் நன்றாகப் படரும் வரை மிதமான தீயில் வதக்கவும்.
2 கப் தண்ணீர் மற்றும் தேவையான உப்பு சேர்க்கவும். உப்பு இருக்கிறதா என்று சோதிக்க தண்ணீரை சுவைக்கவும்.
தண்ணீர் கொதிக்க ஆரம்பித்ததும், தீயைக் குறைத்து, அரிசி மென்மையாகும் வரை மூடி வைக்கவும். ஒரு ஃபோர்க் கொண்டு பிசைந்து, உங்களுக்கு விருப்பமான கிரேவி சைட் டிஷ்ஷுடன் சூடாகப் பரிமாறவும். பருப்பு, பனீர் கிரேவி, காளான் கிரேவி, அசைவ கிரேவி, அனைத்தும் ஜீரா அரிசியுடன் நன்றாகப் பொருந்தும்.
விருப்பப்பட்டால், வறுத்த வெங்காயத்தால் அலங்கரிக்கலாம்.
வறுத்த வெங்காயம் (ஆரோக்கியமான வழி) - வெங்காயத்தை நீளவாக்கில் மெல்லியதாக நறுக்கவும். வெயிலில் அல்லது மின்விசிறியின் கீழ் 10 நிமிடங்கள் உலர வைக்கவும் (விரும்பினால்). 2 தேக்கரண்டி எண்ணெயை சூடாக்கி, வெங்காயத்தை மிகக் குறைந்த தீயில் நன்கு பழுப்பு நிறமாக மாறும் வரை வதக்கவும். இதைச் செய்ய உங்களுக்கு பொறுமை தேவை, இல்லையெனில் வெங்காயத்தை ஆழமாக வறுக்கலாம்.
நீங்கள் ஒரு ரைஸ் குக்கர் அல்லது பிரஷர் குக்கரில் அல்லது ஒரு மூடியுடன் கூடிய பாத்திரத்தில் அரிசியை சமைக்கலாம். பாஸ்மதி அரிசியை எப்படி சமைப்பது என்பது பற்றிய கூடுதல் விவரங்களைப் பாருங்கள்.</t>
  </si>
  <si>
    <t>https://encrypted-tbn0.gstatic.com/images?q=tbn:ANd9GcSsVSyNS4VwcDckFA7cje8moojoHibOMQutsQ&amp;s</t>
  </si>
  <si>
    <t>Tomato Thokku</t>
  </si>
  <si>
    <t>தக்காளி தொக்கு</t>
  </si>
  <si>
    <t>Tomato – 1/2 kg,
Ginger-garlic paste – 1 tsp,
Oil – 3 tbsp,
Hing – a generous pinch,
Chilli powder – 2 tsp,
Turmeric powder – a pinch,
Salt as required.</t>
  </si>
  <si>
    <t>தக்காளி - 1/2 கிலோ,
இஞ்சி-பூண்டு விழுது - 1 டீஸ்பூன்,
எண்ணெய் - 3 டீஸ்பூன்,
கீன் - ஒரு சிட்டிகை,
மிளகாய் தூள் - 2 டீஸ்பூன்,
மஞ்சள் தூள் - ஒரு சிட்டிகை,
தேவைக்கேற்ப உப்பு.</t>
  </si>
  <si>
    <t>Heat oil in a kadai , add mustard seeds and hing. When mustard splutters, add tomato puree, ginger-garlic paste, turmeric powder, chilli powder and salt required.
Cook covered in medium flame, stirring in between, till the mixture oozes out oil.
Store it in a bottle or container and refrigerate it. Always use dry spoon to take the thokku.</t>
  </si>
  <si>
    <t>ஒரு கடாயில் எண்ணெயை சூடாக்கி, கடுகு மற்றும் கீல் சேர்க்கவும். கடுகு வெடித்ததும், தக்காளி கூழ், இஞ்சி-பூண்டு விழுது, மஞ்சள் தூள், மிளகாய் தூள் மற்றும் தேவையான உப்பு சேர்க்கவும்.
குழப்பத்திலிருந்து எண்ணெய் வெளியேறும் வரை, நடுத்தர தீயில் மூடி வைத்து, இடையில் கிளறி விடுங்கள்.
ஒரு பாட்டில் அல்லது கொள்கலனில் சேமித்து குளிர்சாதன பெட்டியில் வைக்கவும். தோக்கை எடுக்க எப்போதும் உலர்ந்த கரண்டியைப் பயன்படுத்தவும்.</t>
  </si>
  <si>
    <t>https://encrypted-tbn0.gstatic.com/images?q=tbn:ANd9GcRZbKn5o1PEnC42BE9k8C-F74TDPi1O8vGVwg&amp;s</t>
  </si>
  <si>
    <t>Carrot Poriyal</t>
  </si>
  <si>
    <t>கேரட் பொரியல்</t>
  </si>
  <si>
    <t xml:space="preserve">   Carrot – 500 grams,
   Grated coconut - 1/4 cup,
   Salt needed,
   Oil - 2 tsp,
   Mustard seeds - 1 tsp,
   Urad dal - 1/2 tsp,
   Red Chillies - 2,
   Hing - a pinch,
   Green chilli (slit) - 2,
   Curry leaves - a sprig,
   Coriander leaves.</t>
  </si>
  <si>
    <t>கேரட் - 500 கிராம்,
தேங்காய் துருவல் - 1/4 கப்,
உப்பு தேவை,
எண்ணெய் - 2 தேக்கரண்டி,
கடுகு - 1 தேக்கரண்டி,
உளுத்தம்பருப்பு - 1/2 தேக்கரண்டி,
சிவப்பு மிளகாய் - 2,
பெருங்காயம் - ஒரு சிட்டிகை,
பச்சை மிளகாய் (சிறிது) - 2,
கறிவேப்பிலை - ஒரு தளிர்,
கொத்தமல்லி இலைகள்.</t>
  </si>
  <si>
    <t>Heat 2 tsp of oil in a pan or kadai, add mustard seeds, when it splutters, add hing, urad dal, red chillies, green chilli and curry leaves.
When urad dal turns golden brown, add the chopped carrots and little water (around 1/4 cup). Cover it with a lid and cook on low heat stirring from time to time. If the water has evaporated, you can sprinkle more water and cook till carrots turn soft. Add needed salt.
Once the carrots become soft, add grated coconut, mix well and switch off the flame.</t>
  </si>
  <si>
    <t>ஒரு கடாயில் அல்லது கடாயில் 2 தேக்கரண்டி எண்ணெயை சூடாக்கி, கடுகு சேர்த்து, அது வதங்கியதும், பெருங்காயம், உளுத்தம்பருப்பு, சிவப்பு மிளகாய், பச்சை மிளகாய் மற்றும் கறிவேப்பிலை சேர்க்கவும்.
உளுத்தம்பருப்பு பொன்னிறமாக மாறியதும், நறுக்கிய கேரட் மற்றும் சிறிது தண்ணீர் (சுமார் 1/4 கப்) சேர்க்கவும். அதை ஒரு மூடியால் மூடி, குறைந்த தீயில் அவ்வப்போது கிளறி விடுங்கள். தண்ணீர் ஆவியாகிவிட்டால், நீங்கள் அதிக தண்ணீர் தெளித்து, கேரட் மென்மையாகும் வரை சமைக்கலாம். தேவையான உப்பு சேர்க்கவும்.
கேரட் மென்மையாக ஆனதும், துருவிய தேங்காயைச் சேர்த்து, நன்கு கலந்து, தீயை அணைக்கவும்.</t>
  </si>
  <si>
    <t>https://www.kannammacooks.com/wp-content/uploads/South-indian-style-tamil-carrot-poriyal-recipe.jpg</t>
  </si>
  <si>
    <t>Daliya Khichdi</t>
  </si>
  <si>
    <t>டாலியா கிச்சடி</t>
  </si>
  <si>
    <t xml:space="preserve">   Daliya – 1/2 cup,
   Onion - 1,
   Green chilli – 1 ,
   Ginger-garlic paste - 1/2 tsp,
   Carrot – 1,
   Beans – 5-6 ,
   Chilli powder – 1/2 tsp,
   Coriander powder – 1/2 tsp,
   Salt to taste,
   Oil – 1 tbsp,
   Mustard seeds - 1/2 tsp,
   Cumin seeds – 1/2 tsp,
   Curry leaves – a sprig,
   Coriander leaves,
   Ghee/clarified butter – 2 tsp.</t>
  </si>
  <si>
    <t>டாலியா - 1/2 கப்,
வெங்காயம் - 1,
பச்சை மிளகாய் - 1 ,
இஞ்சி-பூண்டு விழுது - 1/2 தேக்கரண்டி,
கேரட் - 1,
பீன்ஸ் - 5-6 ,
மிளகாய் தூள் - 1/2 தேக்கரண்டி,
கொத்தமல்லி தூள் - 1/2 தேக்கரண்டி,
ருசிக்க உப்பு,
எண்ணெய் - 1 தேக்கரண்டி,
கடுகு - 1/2 தேக்கரண்டி,
சீரகம் - 1/2 தேக்கரண்டி,
கறிவேப்பிலை - ஒரு தளிர்,
கொத்தமல்லி இலை,
நெய்/தெளித்த வெண்ணெய் - 2 தேக்கரண்டி.</t>
  </si>
  <si>
    <t>Heat oil in a pan, add cumin seeds and mustard seeds, when it splutters, add finely chopped onions, green chilli, curry leaves and saute till onions turn transparent.
Add ginger-garlic paste (or finely chopped ginger and garlic) and saute for a few more minutes. 
Add carrot, beans, chilli powder, coriander powder and salt needed. Mix well.
Add the soaked dalia along with the water. Taste the water to check for salt. If needed add at this stage.
Then pressure cook for 3 whistles keeping it in a vessel inside the cooker as shown in the picture below.
Once the pressure subsides, open the cooker, add 2 tsp of ghee, garnish with coriander leaves, mix well and serve hot.
This khichdi should not be like upma but should be mushy.</t>
  </si>
  <si>
    <t>ஒரு கடாயில் எண்ணெயை சூடாக்கி, சீரகம் மற்றும் கடுகு சேர்த்து, அது வதங்கியதும், இறுதியாக நறுக்கிய வெங்காயம், பச்சை மிளகாய், கறிவேப்பிலை சேர்த்து வெங்காயம் வெளிப்படையானதாக மாறும் வரை வதக்கவும்.
இஞ்சி-பூண்டு விழுது (அல்லது இறுதியாக நறுக்கிய இஞ்சி மற்றும் பூண்டு) சேர்த்து இன்னும் சில நிமிடங்கள் வதக்கவும்.
கேரட், பீன்ஸ், மிளகாய் தூள், கொத்தமல்லி தூள் மற்றும் தேவையான அளவு உப்பு சேர்த்து நன்கு கலக்கவும்.
ஊறவைத்த டாலியாவை தண்ணீருடன் சேர்க்கவும். உப்பு இருக்கிறதா என்று சோதிக்க தண்ணீரை சுவைக்கவும். தேவைப்பட்டால் இந்த கட்டத்தில் சேர்க்கவும்.
பின்னர் கீழே உள்ள படத்தில் காட்டப்பட்டுள்ளபடி குக்கரின் உள்ளே ஒரு பாத்திரத்தில் வைத்து 3 விசில் வரை பிரஷர் சமைக்கவும்.
பிரஷர் குறைந்தவுடன், குக்கரைத் திறந்து, 2 தேக்கரண்டி நெய்யைச் சேர்த்து, கொத்தமல்லி இலைகளால் அலங்கரித்து, நன்கு கலந்து சூடாகப் பரிமாறவும்.
இந்த கிச்சடி உப்புமா போல இருக்கக்கூடாது, ஆனால் மென்மையாக இருக்க வேண்டும்.</t>
  </si>
  <si>
    <t>https://encrypted-tbn0.gstatic.com/images?q=tbn:ANd9GcS1NtADmIZb3I-uTU3Gqi6VjxwQxo4-4Wc-Cg&amp;s</t>
  </si>
  <si>
    <t>Healthy Oats Breakfast</t>
  </si>
  <si>
    <t>ஆரோக்கியமான ஓட்ஸ் காலை உணவு</t>
  </si>
  <si>
    <t xml:space="preserve">   Quick Cooking Oats – 1/4 cup,
   Milk – 1 cup ,
   Banana – 1,
   Dates – 3 ,
   Powdered Jaggery or palm sugar – 1 tbsp.</t>
  </si>
  <si>
    <t>விரைவாக சமைக்கும் ஓட்ஸ் - 1/4 கப்,
பால் - 1 கப்,
வாழைப்பழம் - 1,
பேரீச்சம்பழம் - 3,
பொடித்த வெல்லம் அல்லது பனை சர்க்கரை - 1 டீஸ்பூன்.</t>
  </si>
  <si>
    <t>Combine oats with little water and cook stirring frequently until it thickens. Add jaggery to taste and leave it to cool.
Then add the remaining milk, banana + dates paste. Mix well and enjoy.
Believe me, it tastes great. I have added dates not only for additional health benefits but also to avoid adding sugar. A great breakfast for kids especially school going kids. My daughter loves this very much.</t>
  </si>
  <si>
    <t>ஓட்ஸை சிறிது தண்ணீருடன் சேர்த்து, அடிக்கடி கிளறி கெட்டியாகும் வரை சமைக்கவும். சுவைக்கு வெல்லம் சேர்த்து குளிர்விக்க விடவும்.
பின்னர் மீதமுள்ள பால், வாழைப்பழம் + பேரீச்சம்பழ விழுது சேர்த்து நன்கு கலந்து மகிழுங்கள்.
என்னை நம்புங்கள், இது மிகவும் சுவையாக இருக்கும். கூடுதல் ஆரோக்கிய நன்மைகளுக்காக மட்டுமல்லாமல், சர்க்கரை சேர்க்காமல் இருக்கவும் பேரீச்சம்பழங்களைச் சேர்த்துள்ளேன். குழந்தைகளுக்கு, குறிப்பாக பள்ளி செல்லும் குழந்தைகளுக்கு ஒரு சிறந்த காலை உணவு. என் மகளுக்கு இது மிகவும் பிடிக்கும்.</t>
  </si>
  <si>
    <t>https://fitfoodiefinds.com/wp-content/uploads/2015/10/classic-oatmeal.jpg</t>
  </si>
  <si>
    <t>Thayir Semiya</t>
  </si>
  <si>
    <t>தையிர் சேமியா</t>
  </si>
  <si>
    <t xml:space="preserve">   Vermicelli – 1/2 cup,
   Milk – 1/2 cup,
   Curd – 1 cup,
   Water - 1 1/2 cup,
   Salt needed,
   Oil – 1 1/2 tsp,
   Mustard seeds – 1 tsp,
   Asafoetida – a pinch,
   Ginger – 1 inch piece ,
   Green chilli – 1,
   Curry leaves – a sprig,
   Grated carrots,
   Pomegranates,
   Green seedless grapes,
   Cashew nuts.</t>
  </si>
  <si>
    <t>வெர்மிசெல்லி - 1/2 கப்,
பால் - 1/2 கப்,
தயிர் - 1 கப்,
தண்ணீர் - 1 1/2 கப்,
உப்பு தேவை,
எண்ணெய் - 1 1/2 தேக்கரண்டி,
கடுகு - 1 தேக்கரண்டி,
பெருங்காயம் - ஒரு சிட்டிகை,
இஞ்சி - 1 அங்குல துண்டு,
பச்சை மிளகாய் - 1,
கறிவேப்பிலை - ஒரு தளிர்,
துருவிய கேரட்,
மாதுளை,
விதையில்லாத பச்சை திராட்சை,
முந்திரி பருப்பு.</t>
  </si>
  <si>
    <t>Cook semiya in boiling water adding salt and a tsp of oil. Stir occasionally to prevent it from forming lumps.
After it is cooked, add milk stirring continuously. Remove from heat.
Leave it to cool. Then add curd and mix well.
Heat a tsp of oil, add mustard seeds, when it splutters, add hing, ginger, green chillies, curry leaves and saute for a few seconds. Add to the semiya and mix well.
Garnish with coriander leaves and any one of the above mentioned in garnishing.</t>
  </si>
  <si>
    <t>சேமியாவை கொதிக்கும் நீரில் உப்பு மற்றும் ஒரு தேக்கரண்டி எண்ணெய் சேர்த்து சமைக்கவும். கட்டிகள் உருவாகாமல் இருக்க அவ்வப்போது கிளறவும்.
அது சமைத்த பிறகு, பால் சேர்த்து தொடர்ந்து கிளறவும். வெப்பத்திலிருந்து நீக்கவும்.
அதை குளிர்விக்க விடவும். பின்னர் தயிர் சேர்த்து நன்கு கலக்கவும்.
ஒரு தேக்கரண்டி எண்ணெயை சூடாக்கி, கடுகு சேர்த்து, அது பிளந்ததும், கீரை, இஞ்சி, பச்சை மிளகாய், கறிவேப்பிலை சேர்த்து சில நொடிகள் வதக்கவும். சேமியாவுடன் சேர்த்து நன்கு கலக்கவும்.
கொத்தமல்லி இலைகள் மற்றும் அலங்காரத்தில் குறிப்பிடப்பட்டுள்ளவற்றில் ஏதேனும் ஒன்றைக் கொண்டு அலங்கரிக்கவும்.</t>
  </si>
  <si>
    <t>https://encrypted-tbn0.gstatic.com/images?q=tbn:ANd9GcQEsI9XH2NTF8BSwyqI-S4ebl06W-84jzt6WQ&amp;s</t>
  </si>
  <si>
    <t xml:space="preserve">  Basmati Rice – 1 cup,
   Button mushroom – 200 grams,
   Onion - 2,
   Green chilli – 2 slitted,
   Ginger-Garlic paste – 1 tsp,
   Tomato – 1,
   Curd – 1 tbsp,
   Coriander leaves – handful,
   Mint leaves – handful,
   Lemon juice – 1 tbsp,
   Salt needed,
   Chilli Powder – 1/2 tsp,
   Coriander powder – 2 tsp,
   Biryani Masala - 2 tsp.
   Oil – 2 tbsp,
   Cloves - 2,
   Cardamom - 1,
   Cinnamon .</t>
  </si>
  <si>
    <t>பாஸ்மதி அரிசி - 1 கப்,
பட்டன் காளான் - 200 கிராம்,
வெங்காயம் - 2,
பச்சை மிளகாய் - 2 கீறி,
இஞ்சி-பூண்டு விழுது - 1 டீஸ்பூன்,
தக்காளி - 1,
தயிர் - 1 டீஸ்பூன்,
கொத்தமல்லி இலை - ஒரு கைப்பிடி,
புதினா இலை - ஒரு கைப்பிடி,
எலுமிச்சை சாறு - 1 டீஸ்பூன்,
உப்பு தேவை,
மிளகாய் தூள் - 1/2 டீஸ்பூன்,
கொத்தமல்லி தூள் - 2 டீஸ்பூன்,
பிரியாணி மசாலா - 2 டீஸ்பூன்.
எண்ணெய் - 2 டீஸ்பூன்,
கிராம்பு - 2,
ஏலக்காய் - 1,
இலவங்கப்பட்டை.</t>
  </si>
  <si>
    <t>Heat a tsp of ghee/butter in a pan and saute the drained rice. This will make the biryani more flavourful.
Heat 2 tbsp oil, saute cinnamon, cloves and cardamom, then add onions and fry well until onion turns golden brown.
Add chillies and ginger-garlic paste and saute well.
Add chopped tomatoes, mushrooms, curd, chilli powder, coriander powder and biryani masala. Saute for a few minutes.
Add mint leaves, coriander leaves, sauteed rice, 2 cups of hot water, salt needed, lemon juice and pressure cook for 3 whistles.
Wait for the pressure to subside and enjoy delicious hot Mushroom biriyani.</t>
  </si>
  <si>
    <t>ஒரு கடாயில் ஒரு டீஸ்பூன் நெய்/வெண்ணெய்யை சூடாக்கி, வடிகட்டிய அரிசியை வதக்கவும். இது பிரியாணியை மேலும் சுவையாக மாற்றும்.
2 டீஸ்பூன் எண்ணெயை சூடாக்கி, இலவங்கப்பட்டை, கிராம்பு மற்றும் ஏலக்காய் சேர்த்து வதக்கி, பின்னர் வெங்காயம் சேர்த்து வெங்காயம் பொன்னிறமாகும் வரை நன்கு வதக்கவும்.
மிளகாய்த்தூள் மற்றும் இஞ்சி-பூண்டு விழுது சேர்த்து நன்கு வதக்கவும்.
நறுக்கிய தக்காளி, காளான்கள், தயிர், மிளகாய் தூள், கொத்தமல்லி தூள் மற்றும் பிரியாணி மசாலா சேர்த்து சில நிமிடங்கள் வதக்கவும்.
புதினா இலைகள், கொத்தமல்லி இலைகள், வதக்கிய அரிசி, 2 கப் வெந்நீர், தேவையான உப்பு, எலுமிச்சை சாறு சேர்த்து 3 விசில் வரை பிரஷர் குக் செய்யவும்.
பிரஷர் குறையும் வரை காத்திருந்து சுவையான சூடான காளான் பிரியாணியை அனுபவிக்கவும்.</t>
  </si>
  <si>
    <t>https://encrypted-tbn0.gstatic.com/images?q=tbn:ANd9GcS9LFGtlqHamPRRjoGL8iEaTebcPzOGpxXLUA&amp;s</t>
  </si>
  <si>
    <t>Oats Porridge</t>
  </si>
  <si>
    <t>ஓட்ஸ் கஞ்சி</t>
  </si>
  <si>
    <t xml:space="preserve"> Oats – 1/4 cup ,
   Milk - 3/4 cup,
   Powdered jaggery  - 1 tbsp,
   Dates – 2 ,
   Almonds - 2 blanched and slivere</t>
  </si>
  <si>
    <t>ஓட்ஸ் - 1/4 கப் ,
பால் - 3/4 கப் ,
பொடித்த வெல்லம் - 1 டீஸ்பூன் ,
பேரீச்சம்பழம் - 2 ,
பாதாம் - 2 வெளுத்து நறுக்கியது.</t>
  </si>
  <si>
    <t>Combine oats with water (around 1/2-3/4 cup) and cook till it thickens. Keep stirring it to prevent it from forming lumps and getting burnt.
Add hot milk, powdered jaggery, chopped dates and almonds. Mix it well.
A perfect way to start your day! .</t>
  </si>
  <si>
    <t>ஓட்ஸை தண்ணீரில் (சுமார் 1/2-3/4 கப்) சேர்த்து கெட்டியாகும் வரை சமைக்கவும். கட்டிகள் உருவாகாமல் தடுக்க தொடர்ந்து கிளறவும்.
சூடான பால், பொடித்த வெல்லம், நறுக்கிய பேரீச்சம்பழம் மற்றும் பாதாம் சேர்க்கவும். நன்றாக கலக்கவும்.
உங்கள் நாளைத் தொடங்க ஒரு சரியான வழி! .</t>
  </si>
  <si>
    <t>https://encrypted-tbn0.gstatic.com/images?q=tbn:ANd9GcSqyT-qEJvWmPk3VqyfzCOtnlDOd-2zXpR-Fg&amp;s</t>
  </si>
  <si>
    <t>Trifle Pudding</t>
  </si>
  <si>
    <t>ட்ரிபிள் புட்டிங்</t>
  </si>
  <si>
    <t xml:space="preserve">   Sponge cake,
   Jelly – 1 ,
   Any fruits of your choice,
   Sugar syrup or sugar water – 2-3 tbsp,
   Vanilla Custard powder – 2 tbsp,
   Milk – 2 1/2 cups,
   Warm Milk – 2 tbsp for mixing custard,
   Sugar – 4 tbsp.</t>
  </si>
  <si>
    <t>ஸ்பாஞ்ச் கேக்,
ஜெல்லி - 1 ,
உங்களுக்கு விருப்பமான ஏதேனும் பழங்கள்,
சர்க்கரை சிரப் அல்லது சர்க்கரை தண்ணீர் - 2-3 டேபிள் ஸ்பூன்,
வெண்ணிலா கஸ்டர்ட் பவுடர் - 2 டேபிள் ஸ்பூன்,
பால் - 2 1/2 கப்,
சூடான பால் - கஸ்டர்ட் கலக்க 2 டேபிள் ஸ்பூன்,
சர்க்கரை - 4 டேபிள் ஸ்பூன்.</t>
  </si>
  <si>
    <t>Boil milk, mix 2 tbsp of custard powder with 2-3 tbsp of warm milk and make a paste.
Once the milk boils, reduce the heat to low and add the custard paste to the milk slowly stirring continuously. After it becomes a little thick, remove from flame. Leave it to cool.
Pineapple, apple, mangoes (ripe but firm), strawberry, seedless grapes or any fruits of your choice but avoid using bananas and oranges as I personally feel that it makes the trifle soggy. Cut the fruits into small pieces and keep it aside.You can keep apples in a cup of water to which a few drops of lemon juice is added to prevent discoloration.
Choose Raspberry or strawberry flavor as it makes the trifle very attractive and colorful.
Prepare the jelly as per instructions on the pack. After it cools, pour it in a tray and refrigerate it for it to set. Do not keep it in the freezer.
ow take a wide glass bowl or a tall glass.
Cut the cake horizontally and arrange the bottom layer with pieces of cake and sprinkle sugar syrup on it. Press it well.
Now pour the cold custard on top of it and spread it evenly.
Then spread the chopped fruits.
Then slice jelly and cover the fruits layer.
Now sprinkle little custard and arrange the cake pieces.
Now again pour the cold custard on top of it.
Like this repeat the process for 3 layers.Then top it with cherries or whipped cream.
Keep it in the refrigerator for 5-6 hours to set (not in the freezer) and enjoy delicious and yummy Trifle.</t>
  </si>
  <si>
    <t>பாலை கொதிக்க வைத்து, 2 டேபிள் ஸ்பூன் கஸ்டர்ட் பவுடரை 2-3 டேபிள் ஸ்பூன் சூடான பாலுடன் கலந்து பேஸ்ட் செய்யவும்.
பால் கொதித்ததும், தீயை குறைத்து, கஸ்டர்ட் பேஸ்ட்டை பாலில் சேர்த்து மெதுவாக தொடர்ந்து கிளறவும். அது சிறிது கெட்டியான பிறகு, தீயிலிருந்து அகற்றவும். அதை குளிர்விக்க விடவும்.
அன்னாசி, ஆப்பிள், மாம்பழம் (பழுத்த ஆனால் உறுதியானது), ஸ்ட்ராபெரி, விதையற்ற திராட்சை அல்லது உங்களுக்கு விருப்பமான எந்த பழங்களும் ஆனால் வாழைப்பழம் மற்றும் ஆரஞ்சு ஆகியவற்றைப் பயன்படுத்துவதைத் தவிர்க்கவும், ஏனெனில் இது சிறியதை ஈரமாக்குகிறது என்று நான் தனிப்பட்ட முறையில் உணர்கிறேன். பழங்களை சிறிய துண்டுகளாக வெட்டி ஒதுக்கி வைக்கவும். ஒரு கப் தண்ணீரில் ஆப்பிள்களை வைக்கலாம், அதில் சில துளிகள் எலுமிச்சை சாறு சேர்க்கப்படும், இது நிறமாற்றத்தைத் தடுக்கும்.
ராஸ்பெர்ரி அல்லது ஸ்ட்ராபெரி சுவையைத் தேர்வு செய்யவும், ஏனெனில் இது டிரிஃபிளை மிகவும் கவர்ச்சிகரமானதாகவும் வண்ணமயமாகவும் மாற்றும்.
பேக்கில் உள்ள வழிமுறைகளின்படி ஜெல்லியைத் தயாரிக்கவும். அது குளிர்ந்த பிறகு, அதை ஒரு தட்டில் ஊற்றி, அது செட் ஆகும் வரை குளிர்சாதன பெட்டியில் வைக்கவும். அதை ஃப்ரீசரில் வைக்க வேண்டாம்.
ஒரு அகலமான கண்ணாடி கிண்ணம் அல்லது உயரமான கிளாஸை எடுத்துக் கொள்ளுங்கள்.
கேக்கை கிடைமட்டமாக வெட்டி, கீழ் அடுக்கை கேக் துண்டுகளால் அடுக்கி, அதன் மீது சர்க்கரை சிரப்பைத் தெளிக்கவும். அதை நன்றாக அழுத்தவும்.
இப்போது குளிர்ந்த கஸ்டர்டை அதன் மேல் ஊற்றி சமமாக பரப்பவும்.
பின்னர் நறுக்கிய பழங்களை பரப்பவும்.
பின்னர் ஜெல்லியை துண்டுகளாக நறுக்கி பழ அடுக்கை மூடவும்.
இப்போது சிறிது கஸ்டர்டைத் தூவி கேக் துண்டுகளை அடுக்கவும்.
இப்போது மீண்டும் குளிர்ந்த கஸ்டர்டை அதன் மேல் ஊற்றவும்.
இது போல 3 அடுக்குகளுக்கு செயல்முறையை மீண்டும் செய்யவும். பின்னர் அதன் மேல் செர்ரிகள் அல்லது விப் க்ரீம் தடவவும்.
குளிர்சாதன பெட்டியில் 5-6 மணி நேரம் (ஃப்ரீசரில் அல்ல) வைத்து, ருசியான மற்றும் சுவையான ட்ரிஃபிளை அனுபவிக்கவும்.</t>
  </si>
  <si>
    <t>https://encrypted-tbn0.gstatic.com/images?q=tbn:ANd9GcQ_vkoT4htxoLk4em_ryRqIESBBXu1lSWN2mA&amp;s</t>
  </si>
  <si>
    <t>Sweet Corn Rice</t>
  </si>
  <si>
    <t>ஸ்வீட் கார்ன் ரைஸ்</t>
  </si>
  <si>
    <t xml:space="preserve">   Basmati rice – 1 cup,
   Sweet corn – 1 cup,
   Onion – 2 medium size,
   Ginger-garlic paste – 1 tsp,
   Turmeric powder – a pinch,
   Salt to taste,
   Coriander powder - 2 tsp,
   Chilli Powder - 3/4,
   Garam masala - 1 tsp,
   Oil - 1 tbsp,
   Cloves – 2,
   Cinnamon – 1 inch piece.</t>
  </si>
  <si>
    <t>பாஸ்மதி அரிசி - 1 கப்,
ஸ்வீட் கார்ன் - 1 கப்,
வெங்காயம் - 2 நடுத்தர அளவு,
இஞ்சி-பூண்டு விழுது - 1 டீஸ்பூன்,
மஞ்சள் தூள் - ஒரு சிட்டிகை,
ருசிக்க உப்பு,
கொத்தமல்லி தூள் - 2 டீஸ்பூன்,
மிளகாய் தூள் - 3/4,
கரம் மசாலா - 1 டீஸ்பூன்,
எண்ணெய் - 1 டீஸ்பூன்,
கிராம்பு - 2,
இலவங்கப்பட்டை - 1 அங்குல துண்டு.</t>
  </si>
  <si>
    <t>Heat oil, add cinnamon and cloves, saute for 2-3 seconds and then add thinly sliced onions. Saute until onions turn golden brown.
Then add ginger-garlic paste, turmeric powder and saute for a few more minutes.
Add sweet corn, all the spice powder and cook for a few minutes until the raw flavor goes.
Then add rice, needed salt and mix it well.
Garnish with coriander leaves and serve hot with any raita of your choice or chips.</t>
  </si>
  <si>
    <t>எண்ணெய்யை சூடாக்கி, இலவங்கப்பட்டை மற்றும் கிராம்புகளை சேர்த்து, 2-3 வினாடிகள் வதக்கி, பின்னர் மெல்லியதாக நறுக்கிய வெங்காயத்தைச் சேர்க்கவும். வெங்காயம் பொன்னிறமாகும் வரை வதக்கவும்.
பின்னர் இஞ்சி-பூண்டு விழுது, மஞ்சள் தூள் சேர்த்து மேலும் சில நிமிடங்கள் வதக்கவும்.
ஸ்வீட் கார்ன், அனைத்து மசாலாப் பொடிகளையும் சேர்த்து, பச்சை வாசனை போகும் வரை சில நிமிடங்கள் சமைக்கவும்.
பின்னர் அரிசி, தேவையான உப்பு சேர்த்து நன்கு கலக்கவும்.
கொத்தமல்லி இலைகளால் அலங்கரித்து, உங்களுக்கு விருப்பமான ரைத்தா அல்லது சிப்ஸுடன் சூடாகப் பரிமாறவும்.</t>
  </si>
  <si>
    <t>https://encrypted-tbn0.gstatic.com/images?q=tbn:ANd9GcTAGJuPLZhtafQWt8QcwbyIqjQEQuwVixMc5g&amp;s</t>
  </si>
  <si>
    <t xml:space="preserve">   Rava - 1 cup,
   Curd – 1 cup,
   Salt as required,
   Coriander leaves – handful,
   Cashew nuts – 6-7,
   Carrot - 1,
   Baking soda – 1/4 tsp,
   Oil - 1 tbsp,
   Mustard – 1 tsp,
   Asafoetida – a pinch,
   Urad dal – 3/4 tsp,
   Green chilli – 2,
   Ginger – 1 inch piece,
   Curry leaves.</t>
  </si>
  <si>
    <t>ரவை- 1 கப்,
தயிர் - 1 கப்,
தேவைக்கேற்ப உப்பு,
கொத்தமல்லி இலைகள் - ஒரு கைப்பிடி,
முந்திரி பருப்பு - 6-7,
கேரட் - 1,
பேக்கிங் சோடா - 1/4 டீஸ்பூன்,
எண்ணெய் - 1 டீஸ்பூன்,
கடுகு - 1 டீஸ்பூன்,
பெருங்காயம் - ஒரு சிட்டிகை,
உளுத்தம் பருப்பு - 3/4 டீஸ்பூன்,
பச்சை மிளகாய் - 2,
இஞ்சி - 1 அங்குல துண்டு,
கறிவேப்பிலை.</t>
  </si>
  <si>
    <t>Heat oil in a kadai /pan, add mustard seeds, when mustard splutters, add hing and urad dal.
When dal changes colour, add cashew nuts, ginger, green chilli and curry leaves.
Then add rava and roast it nicely for a few minutes. Do not burn the rava.
Allow it to cool. After it cools, add curd, finely chopped coriander leaves, carrot, baking soda and needed salt. Add water little by little and mix it well without lumps. The consistency of the rava idli batter should be similar to idli batter.The batter should neither be thick nor thin, so adjust water accordingly.
Let the rava idli batter rest for 15-20 minutes.
Pour it on greased idli moulds and steam cook for 10-15 minutes just as you do for normal idlis.
Serve piping hot with tomato chutney or any chutney of your choice.</t>
  </si>
  <si>
    <t>ஒரு கடாயில் எண்ணெயை சூடாக்கி, கடுகு சேர்த்து, கடுகு வதங்கியதும், கீரை மற்றும் உளுத்தம் பருப்பு சேர்க்கவும்.
பருப்பின் நிறம் மாறியதும், முந்திரி, இஞ்சி, பச்சை மிளகாய் மற்றும் கறிவேப்பிலை சேர்க்கவும்.
பின்னர் ரவைச் சேர்த்து சில நிமிடங்கள் நன்றாக வறுக்கவும். 
அதை குளிர்விக்க விடவும். அது குளிர்ந்த பிறகு, தயிர், இறுதியாக நறுக்கிய கொத்தமல்லி இலைகள், கேரட், பேக்கிங் சோடா மற்றும் தேவையான உப்பு சேர்க்கவும். சிறிது சிறிதாக தண்ணீர் சேர்த்து கட்டிகள் இல்லாமல் நன்கு கலக்கவும். ரவா இட்லி மாவின் நிலைத்தன்மை இட்லி மாவைப் போலவே இருக்க வேண்டும். மாவு கெட்டியாகவோ அல்லது மெல்லியதாகவோ இருக்கக்கூடாது, எனவே அதற்கேற்ப தண்ணீரை சரிசெய்யவும்.
ரவா இட்லி மாவை 15-20 நிமிடங்கள் அப்படியே வைக்கவும்.
நெய் தடவிய இட்லி அச்சுகளில் ஊற்றி, வழக்கமான இட்லிகளைப் போலவே 10-15 நிமிடங்கள் ஆவியில் வேக வைக்கவும்.
உங்களுக்கு விருப்பமான எந்த சட்னியுடன் சூடாகப் பரிமாறவும்.</t>
  </si>
  <si>
    <t>https://www.sharmispassions.com/wp-content/uploads/2012/07/RavaIdli6-e1668478539613.jpg</t>
  </si>
  <si>
    <t>https://youtu.be/LsXZp5CvcgU?si=4M2VLzBqDYEwopnI</t>
  </si>
  <si>
    <t>White Pumpkin Raita</t>
  </si>
  <si>
    <t>வெள்ளை பூசணிக்காய் ரைத்தா</t>
  </si>
  <si>
    <t>Grated white pumpkin – 2 cups,
Thick curd – 2 cups,
Green chilli – 3,
Grated coconut – 1/3 cup,
Fresh coriander leaves – handful,
Mustard – 3/4 tsp,
asafoetida – pinch,
Curry leaves .</t>
  </si>
  <si>
    <t>வெள்ளை பூசணிக்காய் துருவல் - 2 கப்,
அடர்த்தியான தயிர் - 2 கப்,
பச்சை மிளகாய் - 3,
தேங்காய் துருவல் - 1/3 கப்,
புதிய கொத்தமல்லி இலைகள் - ஒரு கைப்பிடி,
கடுகு - 3/4 தேக்கரண்டி,
அசாஃபாடிடா - ஒரு சிட்டிகை,
கறிவேப்பிலை .</t>
  </si>
  <si>
    <t>Beat curd lightly, then add grated pumpkin and the grounded paste. Mix well.
Heat a tsp of oil, add mustard seeds, when it splutters, add hing, curry leaves and pour it over the raita.
Pumpkin raita is ready to be served with rice or parathas.</t>
  </si>
  <si>
    <t>தயிரை லேசாக அடித்து, பின்னர் துருவிய பூசணிக்காயையும், அரைத்த விழுதையும் சேர்க்கவும். நன்றாக கலக்கவும்.
ஒரு தேக்கரண்டி எண்ணெயை சூடாக்கி, கடுகு சேர்த்து, அது வெடித்ததும், கீல், கறிவேப்பிலை சேர்த்து ரைத்தா மீது ஊற்றவும்.
பூசணிக்காய் ரைத்தாவை சாதம் அல்லது பரோட்டாவுடன் பரிமாற தயாராக உள்ளது.</t>
  </si>
  <si>
    <t>https://static.toiimg.com/thumb/60074250.cms?imgsize=349606&amp;width=800&amp;height=800</t>
  </si>
  <si>
    <t>Rava Pongal</t>
  </si>
  <si>
    <t>ரவா பொங்கல்</t>
  </si>
  <si>
    <t>Rava – 1 cup,
Moong dal  – 1/3 cup,
Ginger finely chopped – 1 tsp,
Whole black pepper – 1 tsp,
Cumin seeds – 1 tsp,
Ghee – 1/4 cup,
Cashew nuts – 5-6,
Salt as required.</t>
  </si>
  <si>
    <t>ரவா - 1 கப்,
பாலாடைக்கட்டி - 1/3 கப்,
இஞ்சி நன்றாக நறுக்கியது - 1 தேக்கரண்டி,
முழு கருப்பு மிளகு - 1 தேக்கரண்டி,
சீரகம் - 1 தேக்கரண்டி,
நெய் - 1/4 கப்,
முந்திரி பருப்பு - 5-6,
தேவைக்கேற்ப உப்பு.</t>
  </si>
  <si>
    <t>Heat ghee in a pan, add finely chopped ginger, grounded pepper+ cumin seeds, cashew nuts and curry leaves.
Saute for a few seconds, then add 2 cups of boiling water. Add salt to taste.
Simmer the flames and then slowly add rava, stirring continuously.
 After the rava gets cooked, add the cooked moong dal and cook till all the water evaporates.
Serve hot rava pongal with coconut chutney or quick sambar
The easy sambar recipe that I have prepared for ven pongal also goes well with rava pongal.</t>
  </si>
  <si>
    <t>ஒரு கடாயில் நெய்யை சூடாக்கி, இறுதியாக நறுக்கிய இஞ்சி, அரைத்த மிளகு + சீரகம், முந்திரி பருப்பு மற்றும் கறிவேப்பிலை சேர்க்கவும்.
சில நொடிகள் வதக்கி, பின்னர் 2 கப் கொதிக்கும் நீரை சேர்க்கவும். சுவைக்கேற்ப உப்பு சேர்க்கவும்.
தீயை கொதித்த பிறகு, மெதுவாக ரவையைச் சேர்த்து, தொடர்ந்து கிளறவும்.
ரவை வெந்த பிறகு, சமைத்த பாசிப்பருப்பைச் சேர்த்து, தண்ணீர் அனைத்தும் ஆவியாகும் வரை சமைக்கவும்.
சூடான ரவா பொங்கலை தேங்காய் சட்னி அல்லது விரைவான சாம்பாருடன் பரிமாறவும்
வெண் பொங்கலுக்காக நான் தயாரித்த எளிதான சாம்பார் செய்முறையும் ரவை பொங்கலுடன் நன்றாகப் பொருந்தும்.</t>
  </si>
  <si>
    <t>https://encrypted-tbn0.gstatic.com/images?q=tbn:ANd9GcRWeROg29yb7axoOjGftmQBERPkGHKps0Yedg&amp;s</t>
  </si>
  <si>
    <t>Sambar Sadam</t>
  </si>
  <si>
    <t>சாம்பார் சாதம்</t>
  </si>
  <si>
    <t xml:space="preserve">   Pearl onions - 10,
   Carrot – 2 ,
   Beans – 10,
   Potato – 1 ,
   Channa dal - 2 tsp,
   Coriander seeds - 1 tbsp,
   Red chilli - 5,
   Whole black pepper - 4,
   Grated coconut - 1/4 cup flat,
   Oil – 4 tsp,
   Mustard seeds – 1 tsp,
   Fenugreek seeds – 1/2 tsp,
   Red chilli – 1,
  Asafoetida – a generous pinch,
   Curry leaves – 2 sprigs.</t>
  </si>
  <si>
    <t>முத்து வெங்காயம் - 10,
கேரட் - 2,
பீன்ஸ் - 10,
உருளைக்கிழங்கு - 1,
சன்னா பருப்பு - 2 தேக்கரண்டி,
கொத்தமல்லி விதைகள் - 1 தேக்கரண்டி,
சிவப்பு மிளகாய் - 5,
முழு கருப்பு மிளகு - 4,
துருவிய தேங்காய் - 1/4 கப் தட்டையானது,
எண்ணெய் - 4 தேக்கரண்டி,
கடுகு - 1 தேக்கரண்டி,
வெந்தயம் - 1/2 தேக்கரண்டி,
சிவப்பு மிளகாய் - 1,
பெருங்காயம் - ஒரு சிட்டிகை,
கறிவேப்பிலை - 2 தண்டுகள்.</t>
  </si>
  <si>
    <t>Heat oil, add mustard seeds, when mustard seeds splutter, add hing, fenugreek seeds, red chilli and curry leaves. Then add pearl onions and saute until it turns pink.
Add the chopped vegetables and saute for a few seconds. Add 1/2 cup of water and cook the vegetables. When the vegetables are half cooked, add tamarind water, turmeric powder, salt needed and cook covered  on medium heat until the raw smell of the tamarind goes (Alternatively, you can par boil or steam the vegetables and then add).
Now add the ground masala and cooked tur dal.
Add 1 1/4 cup of water and let it boil on low flame. Then add cooked rice and mix well. Simmer and cook for a few seconds so that it gets mixed well with the masala. Check for salt.
Tamil style sambar sadam recipe
Add ghee and mix well. Garnish with coriander leaves and serve piping hot with onion raita or homemade potato chips or vadam.</t>
  </si>
  <si>
    <t>எண்ணெயை சூடாக்கி, கடுகு சேர்த்து, கடுகு வதங்கியதும், கீரை, வெந்தயம், சிவப்பு மிளகாய் மற்றும் கறிவேப்பிலை சேர்க்கவும். பின்னர் முத்து வெங்காயத்தை சேர்த்து இளஞ்சிவப்பு நிறமாக மாறும் வரை வதக்கவும்.
நறுக்கிய காய்கறிகளைச் சேர்த்து சில நொடிகள் வதக்கவும். 1/2 கப் தண்ணீர் சேர்த்து காய்கறிகளை சமைக்கவும். காய்கறிகள் பாதி வெந்ததும், புளி தண்ணீர், மஞ்சள் தூள், தேவையான அளவு உப்பு சேர்த்து, புளியின் பச்சை வாசனை போகும் வரை மிதமான தீயில் மூடி வைத்து சமைக்கவும் (மாற்றாக, காய்கறிகளை வேகவைக்கலாம் அல்லது வேகவைத்து பின்னர் சேர்க்கலாம்).
இப்போது அரைத்த மசாலா மற்றும் சமைத்த துவரம் பருப்பைச் சேர்க்கவும்.
1 1/4 கப் தண்ணீர் சேர்த்து குறைந்த தீயில் கொதிக்க விடவும். பின்னர் சமைத்த அரிசியைச் சேர்த்து நன்கு கலக்கவும். கொதிக்க வைத்து, மசாலாவுடன் நன்றாகக் கலக்கும் வரை சில நொடிகள் சமைக்கவும். உப்பு இருக்கிறதா என்று பாருங்கள்.
தமிழ் பாணி சாம்பார் சாதம் செய்முறை
நெய் சேர்த்து நன்கு கலக்கவும். கொத்தமல்லி இலைகளால் அலங்கரித்து, வெங்காய ரைத்தா அல்லது வீட்டில் தயாரிக்கப்பட்ட உருளைக்கிழங்கு சிப்ஸ் அல்லது வடம் சேர்த்து சூடாகப் பரிமாறவும்.</t>
  </si>
  <si>
    <t>https://rakskitchen.net/wp-content/uploads/2011/03/sambar-sadam_thumb4-403x375.jpg</t>
  </si>
  <si>
    <t>Cucumber Raita</t>
  </si>
  <si>
    <t>வெள்ளரிக்காய் ரைத்தா</t>
  </si>
  <si>
    <t>Thick curd – 1 1/2 cup ,
Grated cucumber - 2 cups,
Roasted Cumin Powder – 1 tsp ,
Salt as required,
Oil – 1 tsp,
Mustard – 1 tsp,
Green chilli - 1 ,
Curry leaves .</t>
  </si>
  <si>
    <t>அடர்த்தியான தயிர் - 1 1/2 கப்,
துருவிய வெள்ளரிக்காய் - 2 கப்,
வறுத்த சீரகப் பொடி - 1 டீஸ்பூன்,
தேவைக்கேற்ப உப்பு,
எண்ணெய் - 1 டீஸ்பூன்,
கடுகு - 1 டீஸ்பூன்,
பச்சை மிளகாய் - 1 ,
கறிவேப்பிலை .</t>
  </si>
  <si>
    <t>Grate cucumber, add salt needed and keep it aside for 15 minutes. It will ooze out water. Squeeze out or strain the water. (You do not have to waste that water, use it to make buttermilk- cucumber buttermilk tastes great)
Mix curd with it.
Heat a tsp of oil , add mustard seeds, when mustard splutters, add finely chopped green chilli and curry leaves. Pour it over the cucumber+ curd mix.
Sprinkle roasted cumin powder on top and garnish with coriander leaves.
It is a fantastic side dish for Vegetable pulao ,Mint pulao ,Tomato rice, Peas pulao, Cauliflower pulao and most rice dishes and all biryanis.
You can enjoy it chilled as such without any accompaniment also.</t>
  </si>
  <si>
    <t>வெள்ளரிக்காயை துருவிப் போட்டு, தேவையான அளவு உப்பு சேர்த்து 15 நிமிடங்கள் தனியாக வைக்கவும். அது தண்ணீர் வெளியேறும். தண்ணீரை பிழிந்து எடுக்கவும் அல்லது வடிகட்டவும். (நீங்கள் அந்த தண்ணீரை வீணாக்க வேண்டியதில்லை, மோர் தயாரிக்க இதைப் பயன்படுத்தவும் - வெள்ளரி மோர் சுவையாக இருக்கும்)
அதனுடன் தயிரைக் கலக்கவும்.
ஒரு டீஸ்பூன் எண்ணெயைச் சூடாக்கி, கடுகு சேர்த்து, கடுகு வெடித்ததும், இறுதியாக நறுக்கிய பச்சை மிளகாய் மற்றும் கறிவேப்பிலை சேர்க்கவும். வெள்ளரி + தயிர் கலவையின் மீது ஊற்றவும்.
மேலே வறுத்த சீரகப் பொடியைத் தூவி, கொத்தமல்லி இலைகளால் அலங்கரிக்கவும்.
இது காய்கறி புலாவ், புதினா புலாவ், தக்காளி சாதம், பட்டாணி புலாவ், காலிஃபிளவர் புலாவ் மற்றும் பெரும்பாலான அரிசி உணவுகள் மற்றும் அனைத்து பிரியாணிகளுக்கும் ஒரு அருமையான துணை உணவாகும்.
நீங்கள் இதை குளிர்ச்சியாக எந்த துணையும் இல்லாமல் அனுபவிக்கலாம்.</t>
  </si>
  <si>
    <t>https://encrypted-tbn0.gstatic.com/images?q=tbn:ANd9GcTu6wiIgm8dtuxkgkGl_yI_HSPUA2Z_AYCI2g&amp;s</t>
  </si>
  <si>
    <t>Vermicelli Upma</t>
  </si>
  <si>
    <t>சேமியா உப்புமா</t>
  </si>
  <si>
    <t xml:space="preserve">   Vermicelli – 180 grams,
   Onion - 1 big or 2 medium,
   Ginger – 1 inch piece,
   Green chilli - 1-2,
   Beans - 4,
   Carrot - 1,
   Fresh or frozen Peas – handful,
   Potato – 1 small,
   Oil - 3-4 tsp,
   Mustard - 1 tsp,
   Urad dal – 1 tsp,
Asafoetida – a generous pinch,
   Red Chilli – 2,
   Curry leaves – little.</t>
  </si>
  <si>
    <t>சேமியா உப்புமா – 180 கிராம்,
வெங்காயம் - 1 பெரியது அல்லது 2 நடுத்தரமானது,
இஞ்சி – 1 அங்குல துண்டு,
பச்சை மிளகாய் - 1-2,
பீன்ஸ் - 4,
கேரட் - 1,
புதிய அல்லது உறைந்த பட்டாணி – கைப்பிடி அளவு,
உருளைக்கிழங்கு – 1 சிறியது,
எண்ணெய் - 3-4 தேக்கரண்டி,
கடுகு - 1 தேக்கரண்டி,
உளுத்தம் பருப்பு – 1 தேக்கரண்டி,
பெருங்காயம் – ஒரு சிட்டிகை,
சிவப்பு மிளகாய் – 2,
கறிவேப்பிலை – சிறிதளவு.</t>
  </si>
  <si>
    <t>Heat oil, add mustard seeds, when mustard splutters, add hing, urad dal , red chillies and curry leaves.
When urad dal turns golden brown, add onions, green chillies, ginger and saute until onions become transparent.
Then add finely chopped vegetables and saute until half cooked.
Add water and salt needed.
When water starts boiling, add the roasted vermicelli.
Cover and cook on low flames stirring occasionally until it is done.
Serve hot with any chutney or pickle.</t>
  </si>
  <si>
    <t>எண்ணெயை சூடாக்கி, கடுகு சேர்த்து, கடுகு வதங்கியதும், கீரை, உளுத்தம் பருப்பு, சிவப்பு மிளகாய் மற்றும் கறிவேப்பிலை சேர்க்கவும்.
சேமியா உப்புமா பொன்னிறமாக மாறியதும், வெங்காயம், பச்சை மிளகாய், இஞ்சி சேர்த்து வெங்காயம் தெளிவாகும் வரை வதக்கவும்.
பின்னர் இறுதியாக நறுக்கிய காய்கறிகளைச் சேர்த்து பாதி வேகும் வரை வதக்கவும்.
தண்ணீர் மற்றும் தேவையான அளவு உப்பு சேர்க்கவும்.
தண்ணீர் கொதிக்க ஆரம்பித்ததும், வறுத்த சேமியா சேர்க்கவும்.
மூடி வைத்து, குறைந்த தீயில் அவ்வப்போது கிளறி, வேகும் வரை சமைக்கவும்.
ஏதேனும் சட்னி அல்லது ஊறுகாயுடன் சூடாகப் பரிமாறவும்.</t>
  </si>
  <si>
    <t>https://encrypted-tbn0.gstatic.com/images?q=tbn:ANd9GcQIkYMBdNl2BOfdcxgGcmfxNb2-7IcsoOERDA&amp;s</t>
  </si>
  <si>
    <t>Mushroom Pulao</t>
  </si>
  <si>
    <t>காளான் புலாவ்</t>
  </si>
  <si>
    <t xml:space="preserve">   Basmati Rice - 1 cup,
   Button mushrooms - 150 grams,
   Onion - 2 ,
   Ginger-Garlic paste - 2 tsp,
   Green chilli - 2-3,
   Mint leaves- handful,
   Coriander leaves - handful,
   Thick Curd - 3 tbsp,
   Salt to taste,
   Oil - 1 tbsp,
   Cinnamon - 1 inch piece,
   Bay leaf - 1,
   Cloves - 3.</t>
  </si>
  <si>
    <t>பாஸ்மதி அரிசி - 1 கப்,
பட்டன் காளான்கள் - 150 கிராம்,
வெங்காயம் - 2 ,
இஞ்சி-பூண்டு விழுது - 2 தேக்கரண்டி,
பச்சை மிளகாய் - 2-3,
புதினா இலைகள் - கைப்பிடி,
கொத்தமல்லி இலைகள் - கைப்பிடி,
தடித்த தயிர் - 3 தேக்கரண்டி,
ருசிக்க உப்பு,
எண்ணெய் - 1 தேக்கரண்டி,
இலவங்கப்பட்டை - 1 அங்குல துண்டு,
பிரி இலை - 1,
கிராம்பு - 3.</t>
  </si>
  <si>
    <t>Heat oil and add all the ingredients mentioned under “for the seasoning”.
Add onions and saute until they turn transparent.
Add ginger-garlic paste, slit green chillies and saute for few more minutes.
Then add button mushrooms, chopped mint, coriander leaves and fry for a few seconds.
Add curd and saute for a few more seconds.
Now add 2 cups of water, needed salt, basmati rice and pressure cook for 3 whistles.(if using a separate vessel inside the cooker)
If cooking directly in the cooker, after adding everything, close the cooker without weight, when it is half cooked, stir the contents and close it with weight and cook on very low flame for 5 minutes. 
Switch off and open once the pressure subsides.
Once done, fluff the rice with a fork and serve hot.</t>
  </si>
  <si>
    <t>எண்ணெயை சூடாக்கி, "காரத்திற்காக" என்பதன் கீழ் குறிப்பிடப்பட்டுள்ள அனைத்து பொருட்களையும் சேர்க்கவும்.
வெங்காயத்தைச் சேர்த்து அவை வெளிப்படையானதாக மாறும் வரை வதக்கவும்.
இஞ்சி-பூண்டு விழுது, பச்சை மிளகாயை நறுக்கி, இன்னும் சில நிமிடங்கள் வதக்கவும்.
பின்னர் பட்டன் காளான்கள், நறுக்கிய புதினா, கொத்தமல்லி இலைகளைச் சேர்த்து சில வினாடிகள் வதக்கவும்.
தயிர் சேர்த்து இன்னும் சில வினாடிகள் வதக்கவும்.
இப்போது 2 கப் தண்ணீர், தேவையான உப்பு, பாஸ்மதி அரிசி சேர்த்து 3 விசில் வரை பிரஷர் சமைக்கவும். (குக்கருக்குள் ஒரு தனி பாத்திரத்தைப் பயன்படுத்தினால்)
குக்கரில் நேரடியாக சமைத்தால், எல்லாவற்றையும் சேர்த்த பிறகு, குக்கரை எடை இல்லாமல் மூடி, அது பாதி வெந்ததும், உள்ளடக்கங்களைக் கிளறி, வெயிட்டால் மூடி, மிகக் குறைந்த தீயில் 5 நிமிடங்கள் சமைக்கவும்.
அணைத்துவிட்டு, அழுத்தம் குறைந்தவுடன் திறக்கவும்.
வெப்பம் தணிந்த பிறகு, அரிசியை ஒரு முட்கரண்டி கொண்டு பிசைந்து சூடாகப் பரிமாறவும்.</t>
  </si>
  <si>
    <t>https://encrypted-tbn0.gstatic.com/images?q=tbn:ANd9GcQXf7FsvnHB2kleP8L0KyhCbt1MXe7rvbYh3Q&amp;s</t>
  </si>
  <si>
    <t>Moong Dal rice</t>
  </si>
  <si>
    <t>பாசிப்பருப்பு அரிசி</t>
  </si>
  <si>
    <t xml:space="preserve">   Raw Rice – 2 cups,
   Moong dal– 1 cup,
   Grated coconut – 1/4 cup,
   Pepper-Jeera powder – 1/4 tsp,
   Salt needed,
   Oil - 4 tbsp,
   Mustard - 1 tsp,
  Asafoetida – 1/4 tsp,
   Bengal gram – 1 tbsp,
   Urad dal - 2 tsp,
   Red chillies – 5,
   Green chilli - 1,
   Ginger – 1 inch piece ,
   Curry leaves – a sprig.</t>
  </si>
  <si>
    <t>பச்சை அரிசி - 2 கப்,
பாசிப்பருப்பு - 1 கப்,
தேங்காய் துருவியது - 1/4 கப்,
மிளகு-ஜீரா தூள் - 1/4 டீஸ்பூன்,
உப்பு தேவை,
எண்ணெய் - 4 டீஸ்பூன்,
கடுகு - 1 டீஸ்பூன்,
அசாஃபோடிடா - 1/4 டீஸ்பூன்,
வங்கக்கடலை - 1 டீஸ்பூன்,
உரத்த பருப்பு - 2 டீஸ்பூன்,
சிவப்பு மிளகாய் - 5,
பச்சை மிளகாய் - 1,
இஞ்சி - 1 அங்குல துண்டு,
கறிவேப்பிலை - ஒரு தளிர்.</t>
  </si>
  <si>
    <t>Dry roast Moong dal till golden brown.
Dry roast rice a little. Mix both together and keep it aside.
 Heat oil, add mustard seeds, when it splutters, add the other ingredients mentioned under seasoning in the same order.
 When dal turns golden brown, add the roasted rice + moong dal and fry for a few seconds till all the seasoning gets coated well with the rice and dal mixture.
Add 8 cups of boiling water, needed salt and pressure cook for 2 whistles. ( It can be cooked directly in the pressure cooker as I have done or transfer it to another vessel and pressure cook).
 After the steam is released, open the cooker, add graded coconut (optional) and mix it well with the back of the ladle. Arisi pasi paruppu sadam/ Moong dal rice is ready to be served.
We had it hot with tomato chutney. It was simply divine. Do try this easy breezy dish and enjoy!</t>
  </si>
  <si>
    <t>பாசிப்பருப்பை பொன்னிறமாகும் வரை வறுக்கவும்.
சாதத்தை சிறிது வறுக்கவும். இரண்டையும் ஒன்றாக கலந்து தனியாக வைக்கவும்.
எண்ணெயை சூடாக்கி, கடுகு சேர்த்து, அது வதங்கியதும், தாளிக்க வேண்டிய மற்ற பொருட்களை அதே வரிசையில் சேர்க்கவும்.
பாசிப்பருப்பு பொன்னிறமாக மாறியதும், வறுத்த அரிசி + பாசிப்பருப்பை சேர்த்து, அரிசி மற்றும் பருப்பின் கலவையுடன் அனைத்து காரமும் நன்றாகப் பூசும் வரை சில நொடிகள் வதக்கவும்.
8 கப் கொதிக்கும் நீர், தேவையான உப்பு மற்றும் பிரஷர் குக்கர் சேர்த்து 2 விசில் வரை சமைக்கவும். (நான் செய்தது போல் பிரஷர் குக்கரில் நேரடியாக சமைக்கலாம் அல்லது வேறு பாத்திரத்தில் போட்டு பிரஷர் குக் செய்யலாம்).
நீராவி வெளியேறிய பிறகு, குக்கரைத் திறந்து, துருவிய தேங்காய் (விரும்பினால்) சேர்த்து, கரண்டியின் பின்புறத்தில் நன்கு கலக்கவும். அரிசி பாசி பருப்பு சாதம்/ பாசி பருப்பு சாதம் பரிமாற தயாராக உள்ளது.
தக்காளி சட்னியுடன் சூடாக சாப்பிட்டோம். இது மிகவும் அருமையாக இருந்தது. இந்த எளிதான தென்றல் உணவை முயற்சி செய்து மகிழுங்கள்!</t>
  </si>
  <si>
    <t>https://encrypted-tbn0.gstatic.com/images?q=tbn:ANd9GcRB-DWfv6ONM6usX2U1Bk4yFX5FMniWV-j9tQ&amp;s</t>
  </si>
  <si>
    <t>https://youtu.be/oOGEpEaTC74</t>
  </si>
  <si>
    <t>Curry Leaves Thokku</t>
  </si>
  <si>
    <t>கறிவேப்பிலை தொக்கு</t>
  </si>
  <si>
    <t xml:space="preserve"> Curry leaves -  1 cup ,
   Chilli powder – 1 1/4 tsp ,
   Tamarind – Small gooseberry sized ball,
   Fenugreek powder - 1 tsp,
   Salt needed,
   Oil - 2 1/2 tbsp,
   Mustard - 1 tsp,
  Asafoetida – a generous pinch.</t>
  </si>
  <si>
    <t>கறிவேப்பிலை - 1 கப்,
மிளகாய்த்தூள் - 1 1/4 தேக்கரண்டி,
புளி - சிறிய நெல்லிக்காய் அளவு உருண்டை,
வெந்தயத்தூள் - 1 தேக்கரண்டி,
உப்பு தேவை,
எண்ணெய் - 2 1/2 தேக்கரண்டி,
கடுகு - 1 தேக்கரண்டி,
அசாஃபோடிடா - ஒரு சிட்டிகை உப்பு.</t>
  </si>
  <si>
    <t>Heat oil, add mustard, hing, when mustard splutters, add the ground paste and cook for a few minutes.
Then add tamarind water, needed salt, chilli powder and cook until oil separates.
Finally add a tsp of fenugreek powder, mix it well and switch off the flame.
After it cools, store in a clean bottle and use it when needed. It stays good for about 10-15 days in the refrigerator.</t>
  </si>
  <si>
    <t>எண்ணெயை சூடாக்கி, கடுகு, கீரை சேர்த்து, கடுகு வதங்கியதும், அரைத்த விழுதைச் சேர்த்து சில நிமிடங்கள் சமைக்கவும்.
பின்னர் புளி தண்ணீர், தேவையான உப்பு, மிளகாய்த்தூள் சேர்த்து எண்ணெய் பிரியும் வரை சமைக்கவும்.
கடைசியாக ஒரு தேக்கரண்டி வெந்தயத்தூள் சேர்த்து, நன்கு கலந்து, தீயை அணைக்கவும்.
ஆறிய பிறகு, சுத்தமான பாட்டிலில் சேமித்து, தேவைப்படும்போது பயன்படுத்தவும். குளிர்சாதன பெட்டியில் சுமார் 10-15 நாட்கள் நன்றாக இருக்கும்.</t>
  </si>
  <si>
    <t>https://encrypted-tbn0.gstatic.com/images?q=tbn:ANd9GcR0hwEwIfoXsKPIey9QmMkW3b4zceVsZv2y7g&amp;s</t>
  </si>
  <si>
    <t>Instant Mango Pickle</t>
  </si>
  <si>
    <t>உடனடி மாங்காய் ஊறுகாய்</t>
  </si>
  <si>
    <t xml:space="preserve">   Raw mango - 1 cup,
   Chilli Powder - 1/2 tsp,
   Salt as required,
   Oil - 2 tsp,
   Mustard seeds – 3/4 tsp,
   Asafoetida – a pinch,
   Curry leaves – a sprig.</t>
  </si>
  <si>
    <t>பச்சை மாங்காய் - 1 கப்,
மிளகாய் தூள் - 1/2 தேக்கரண்டி,
தேவைக்கேற்ப உப்பு,
எண்ணெய் - 2 தேக்கரண்டி,
கடுகு - 3/4 தேக்கரண்டி,
அசாஃபோடிடா - ஒரு சிட்டிகை,
கறிவேப்பிலை - ஒரு தளிர்.</t>
  </si>
  <si>
    <t>Chop mango into small pieces with the skin.
Add salt and chilli powder.
Heat oil, add mustard seeds, when they splutter, add asafoetida, curry leaves and pour it over the mangoes.
Mix well and serve with curd rice or sambar rice.</t>
  </si>
  <si>
    <t>மாங்காயை தோலுடன் சிறிய துண்டுகளாக நறுக்கவும்.
உப்பு மற்றும் மிளகாய் தூள் சேர்க்கவும்.
எண்ணெய் சூடாக்கி, கடுகு சேர்த்து, அவை வதங்கியதும், பெருங்காயம், கறிவேப்பிலை சேர்த்து மாங்காய் மீது ஊற்றவும்.
நன்றாக கலந்து தயிர் சாதம் அல்லது சாம்பார் சாதத்துடன் பரிமாறவும்.</t>
  </si>
  <si>
    <t>https://encrypted-tbn0.gstatic.com/images?q=tbn:ANd9GcTiGDqFfWWrtbNlZ_cOtQc5sV5YI4Ykw1hlbg&amp;s</t>
  </si>
  <si>
    <t>Cabbage Stir Fry</t>
  </si>
  <si>
    <t>முட்டைக்கோஸ் வறுக்கவும்</t>
  </si>
  <si>
    <t xml:space="preserve">   Cabbage – 4 cups,
   Fresh or frozen peas – handful,
   Grated coconut – 3 tbsp,
   Salt to taste,
   Oil - 2 tsp,
   Mustard seeds - 1 tsp,
   Urad dal  - 3/4 tsp,
   Asafoetida – a pinch,
   Green chilli – 2 ,
   Curry leaves – a sprig.</t>
  </si>
  <si>
    <t>முட்டைக்கோஸ் - 4 கப்,
புதிய அல்லது உறைந்த பட்டாணி - கைப்பிடி அளவு,
தேங்காய் துருவல் - 3 டேபிள்ஸ்பூன்,
உப்பு - சுவைக்கேற்ப,
எண்ணெய் - 2 டேபிள்ஸ்பூன்,
கடுகு - 1 டேபிள்ஸ்பூன்,
உளுத்தம் பருப்பு - 3/4 டேபிள்ஸ்பூன்,
பெருங்காயம் - ஒரு சிட்டிகை,
பச்சை மிளகாய் - 2 ,
கறிவேப்பிலை - ஒரு தளிர்.</t>
  </si>
  <si>
    <t>Heat oil in a pan, add mustard seeds, when it splutter, add urad dal, hing, green chilli and curry leaves.
When urad dal turns golden brown, add the shredded cabbage, peas, sprinkle water, cover and cook on low heat.
Stir and sprinkle water in between to prevent it from getting burnt. Add needed salt.
Once cooked, add grated coconut, mix well and remove from flame. Serve as an accompaniment with rice.</t>
  </si>
  <si>
    <t>ஒரு கடாயில் எண்ணெயை சூடாக்கி, கடுகு சேர்த்து, அது வதங்கியதும், உளுத்தம் பருப்பு, பெருங்காயம், பச்சை மிளகாய் மற்றும் கறிவேப்பிலை சேர்க்கவும்.
உளுத்தம் பருப்பு பொன்னிறமாக மாறியதும், துருவிய முட்டைக்கோஸ், பட்டாணி சேர்த்து, தண்ணீர் தெளித்து, மூடி வைத்து, குறைந்த தீயில் சமைக்கவும்.
கிளறி, இடையில் தண்ணீர் தெளித்து, அது எரியாமல் இருக்க. தேவையான உப்பு சேர்க்கவும்.
சமைத்தவுடன், துருவிய தேங்காயைச் சேர்த்து, நன்கு கலந்து, தீயிலிருந்து இறக்கவும். சாதத்துடன் ஒரு துணையாகப் பரிமாறவும்.</t>
  </si>
  <si>
    <t>https://www.allrecipes.com/thmb/sZYDK79iulyYe2PdFOveUXv9sTg=/1500x0/filters:no_upscale():max_bytes(150000):strip_icc()/174210-super-easy-stir-fried-cabbage-DDMFS-4x3-a02887785a6645a98f1f966dd3b59d55.jpg</t>
  </si>
  <si>
    <t>Coriander rice</t>
  </si>
  <si>
    <t xml:space="preserve">   Basmati rice – 1 cup,
   Coriander leaves – 1 cup,
   Onion - 1 cup chopped,
   Ginger – 1 inch piece,
   Green chilli – 2-3,
   Salt as required,
   Oil - 1 tbsp,
   Cumin seeds - 1 tsp.</t>
  </si>
  <si>
    <t>பாஸ்மதி அரிசி – 1 கப்,
கொத்தமல்லி இலை – 1 கப்,
வெங்காயம் - 1 கப் நறுக்கியது,
இஞ்சி – 1 அங்குல துண்டு,
பச்சை மிளகாய் – 2-3,
தேவைக்கேற்ப உப்பு,
எண்ணெய் - 1 டேபிள்ஸ்பூன்,
சீரகம் – 1 டேபிள்ஸ்பூன்.</t>
  </si>
  <si>
    <t>Heat oil in a pan, add cumin/jeera seeds, when it sizzles, add finely chopped onions and saute till it turns translucent.
Then add the ground paste, needed salt and saute until the raw smell goes and oil separates.
Mix rice and serve it with any raita. Voila! A tasty, quick and satisfying rice dish is ready.</t>
  </si>
  <si>
    <t>ஒரு கடாயில் எண்ணெயை சூடாக்கி, சீரகம்/ஜீரா விதைகளைச் சேர்த்து, அது கொதித்ததும், இறுதியாக நறுக்கிய வெங்காயத்தைச் சேர்த்து, அது தெளிவாகும் வரை வதக்கவும்.
பின்னர் அரைத்த விழுது, தேவையான உப்பு சேர்த்து, பச்சை வாசனை போகும் வரை வதக்கவும்.
சாதத்தை கலந்து எந்த ரைத்தாவுடன் பரிமாறவும். வோய்லா! ஒரு சுவையான, விரைவான மற்றும் திருப்திகரமான சாத உணவு தயார்.</t>
  </si>
  <si>
    <t>https://encrypted-tbn0.gstatic.com/images?q=tbn:ANd9GcTAM11PowsRZMK42vfwCSL0TsLhJzP43PEX1A&amp;s</t>
  </si>
  <si>
    <t>Aval Pulao</t>
  </si>
  <si>
    <t>அவல் புலாவ்</t>
  </si>
  <si>
    <t xml:space="preserve">   Aval – 1 cup,
   Onion – 1,
   Green chilli – 1,
   Ginger-garlic paste – 1/2 tsp,
   Salt needed,
   Carrot – 1 small,
   Potato – 1/2 ,
   Beans – 3-4,
   Cabbage – 1/4 cup,
   Peas – 1/4 cup,
   Cauliflower - 4 florets ,
   Oil – 2-3 tsp,
   Cinnamon - 1 small bit,
   Cloves - 2.</t>
  </si>
  <si>
    <t>அவல் - 1 கப்,
வெங்காயம் - 1,
பச்சை மிளகாய் - 1,
இஞ்சி-பூண்டு விழுது - 1/2 டீஸ்பூன்,
உப்பு தேவை,
கேரட் - 1 சிறியது,
உருளைக்கிழங்கு - 1/2,
பீன்ஸ் - 3-4,
முட்டைக்கோஸ் - 1/4 கப்,
பட்டாணி - 1/4 கப்,
காலிஃபிளவர் - 4 பூக்கள்,
எண்ணெய் - 2-3 டீஸ்பூன்,
இலவங்கப்பட்டை - 1 சிறியது,
கிராம்பு - 2.</t>
  </si>
  <si>
    <t>Heat 2 tsp of oil in a pan/kadai, add cinnamon and cloves.Then add finely chopped onions and saute until onions turn transparent.
Now add finely chopped green chillies and ginger-garlic paste (or chopped ginger and garlic).Saute for few more minutes.
Then add all the vegetables, salt needed and cook until soft. (alternatively you can par boil the vegetables or microwave the vegetables separately and then add. In that case, you can add poha immediately.
After the vegetables are cooked, add the poha/aval and mix gently.. If you have bought the thick variety poha, sprinkle a little water and cook covered for 2-3 minutes.
Now your Aval Pulao is ready to be served.</t>
  </si>
  <si>
    <t>ஒரு கடாயில் / கடாயில் 2 டீஸ்பூன் எண்ணெயை சூடாக்கி, இலவங்கப்பட்டை மற்றும் கிராம்பு சேர்க்கவும். பின்னர் இறுதியாக நறுக்கிய வெங்காயத்தைச் சேர்த்து வெங்காயம் வெளிப்படையானதாக மாறும் வரை வதக்கவும்.
இப்போது இறுதியாக நறுக்கிய பச்சை மிளகாய் மற்றும் இஞ்சி-பூண்டு விழுது (அல்லது நறுக்கிய இஞ்சி மற்றும் பூண்டு) சேர்க்கவும். இன்னும் சில நிமிடங்கள் வதக்கவும்.
பின்னர் தேவையான அனைத்து காய்கறிகளையும், உப்பு சேர்த்து மென்மையாகும் வரை சமைக்கவும். (மாற்றாக, காய்கறிகளை வேகவைக்கலாம் அல்லது மைக்ரோவேவில் காய்கறிகளைத் தனித்தனியாக வைத்து பின்னர் சேர்க்கலாம். அப்படியானால், நீங்கள் உடனடியாக போஹாவைச் சேர்க்கலாம்.
காய்கறிகள் வெந்த பிறகு, போஹா/அவலைச் சேர்த்து மெதுவாகக் கலக்கவும். நீங்கள் கெட்டியான வகை போஹாவை வாங்கியிருந்தால், சிறிது தண்ணீர் தெளித்து 2-3 நிமிடங்கள் மூடி வைத்து சமைக்கவும்.
இப்போது உங்கள் அவல் புலாவ் பரிமாறத் தயாராக உள்ளது.</t>
  </si>
  <si>
    <t>https://cdn3.foodviva.com/static-content/food-images/breakfast-recipes/aval-upma-recipe/aval-upma-recipe.jpg</t>
  </si>
  <si>
    <t>Clarified butter – 2 tbsp,
Cinnamon – 1 inch piece,
Cardamon – 2,
Cloves - 2-3,
Bay leaf - 1,
Star anise - 1,
Fennel seeds – 1 tsp,
Cumin seeds – 1 tsp,
Cashew nuts – 10,
Raisins - 15 .</t>
  </si>
  <si>
    <t>தெளிவுபடுத்திய வெண்ணெய் - 2 டேபிள் ஸ்பூன்,
இலவங்கப்பட்டை - 1 அங்குல துண்டு,
ஏலக்காய் - 2,
கிராம்பு - 2-3,
வளைகுடா இலை - 1,
நட்சத்திர சோம்பு - 1,
பெருஞ்சீரகம் விதைகள் - 1 டீஸ்பூன்,
சீரகம் - 10,
திராட்சை - 15.</t>
  </si>
  <si>
    <t>Heat ghee in a pan, add all the spices,(cinnamon, cardamom,cloves,bay leaf and star anise, fennel seeds, cumin seeds) then add onions and fry till they turn golden brown.
Now add the drained rice and fry for a few minutes, so that the rice is well coated with the ghee.
Add 2 cups of boiling water, needed salt and cook until rice is done.
When rice is done fluff it with a fork and serve hot with any spicy gravy or vegetable korma.</t>
  </si>
  <si>
    <t>ஒரு கடாயில் நெய்யை சூடாக்கி, அனைத்து மசாலாப் பொருட்களையும் (இலவங்கப்பட்டை, ஏலக்காய், கிராம்பு, வளைகுடா இலை மற்றும் நட்சத்திர சோம்பு, பெருஞ்சீரகம், சீரகம்) சேர்த்து, பின்னர் வெங்காயத்தைச் சேர்த்து பொன்னிறமாகும் வரை வதக்கவும்.
இப்போது வடிகட்டிய அரிசியைச் சேர்த்து, அரிசி நெய்யுடன் நன்கு பூசப்படும் வரை சில நிமிடங்கள் வதக்கவும்.
2 கப் கொதிக்கும் நீர், தேவையான உப்பு சேர்த்து, அரிசி வேகும் வரை சமைக்கவும்.
சாதம் தயாரானதும், ஒரு முட்கரண்டி கொண்டு பிசைந்து, காரமான குழம்பு அல்லது காய்கறி கோர்மாவுடன் சூடாகப் பரிமாறவும்.</t>
  </si>
  <si>
    <t>https://www.cookclickndevour.com/wp-content/uploads/2017/12/Ghee-rice-recipe-1.jpg</t>
  </si>
  <si>
    <t>https://youtu.be/Cmm5ANECF8M</t>
  </si>
  <si>
    <t>Capsicum Rice</t>
  </si>
  <si>
    <t>கேப்சிகம் அரிசி</t>
  </si>
  <si>
    <t>Basmati Rice – 1 cup,
Capsicums chopped – 1 1/4 cup,
Garam Masala Powder – 1 tsp,
Onion – 1 ,
Urad dal – 2 tsp,
Coriander seeds – 2 1/2 tsp,
cumin seeds – 1 tsp,
Red chillies - 4-5,
Oil - 1 tbsp,
Mustard seeds – 1 tsp.</t>
  </si>
  <si>
    <t>பாஸ்மதி அரிசி - 1 கப்,
நறுக்கிய கேப்சிகம் - 1 1/4 கப்,
கரம் மசாலா தூள் - 1 தேக்கரண்டி,
வெங்காயம் - 1 ,
உரத்த பருப்பு - 2 தேக்கரண்டி,
கொத்தமல்லி விதைகள் - 2 1/2 தேக்கரண்டி,
சீரக விதைகள் - 1 தேக்கரண்டி,
சிவப்பு மிளகாய் - 4-5,
எண்ணெய் - 1 தேக்கரண்டி,
கடுகு விதைகள் - 1 தேக்கரண்டி.</t>
  </si>
  <si>
    <t>Heat oil in a pan, add mustard seeds, when they splutter, add finely chopped onions and saute till it turns transparent .
Now add the chopped capsicums, prepared masala powder, garam masala powder and salt needed. Saute on high flames till the capsicums are slightly cooked. Do not overcook as the capsicums should be crispy and not soggy.
Mix cooked rice gently, garnish with coriander leaves and serve hot with raita or chips or any gravy.</t>
  </si>
  <si>
    <t>ஒரு கடாயில் எண்ணெயை சூடாக்கி, கடுகு சேர்த்து, அவை வதங்கியதும், இறுதியாக நறுக்கிய வெங்காயத்தைச் சேர்த்து, அது வெளிப்படையானதாக மாறும் வரை வதக்கவும்.
இப்போது நறுக்கிய கேப்சிகம், தயாரிக்கப்பட்ட மசாலா தூள், கரம் மசாலா தூள் மற்றும் தேவையான உப்பு சேர்க்கவும். கேப்சிகம் சிறிது வேகும் வரை அதிக தீயில் வதக்கவும். கேப்சிகம் மொறுமொறுப்பாகவும், ஈரமாகாமலும் இருக்க வேண்டும் என்பதால் அதிகமாக சமைக்க வேண்டாம்.
சமைத்த அரிசியை மெதுவாக கலந்து, கொத்தமல்லி இலைகளால் அலங்கரித்து, ரைத்தா அல்லது சிப்ஸ் அல்லது வேறு எந்த கிரேவியுடன் சூடாக பரிமாறவும்.</t>
  </si>
  <si>
    <t>https://encrypted-tbn0.gstatic.com/images?q=tbn:ANd9GcSwj_v_MNu-GDVdSic85AdxuGKUwh9lvSf_DQ&amp;s</t>
  </si>
  <si>
    <t xml:space="preserve">   Basmati rice - 1 cup,
   Water – 2 cups,
   Onion – 2,
   Green chillies – 2,
   Ginger-garlic paste - 1 tsp,
   Peas – 1/2 cup,
   Paneer cubes – 15-20,
   Mint leaves - handful,
   Coriander leaves – handful,
   Lemon juice - 1 tbsp,
   Salt as required,
   Oil - 1 1/2 tbsp,
   Cloves - 2,
   Cardamom - 1,
   Cinnamon - 1 inch piece.</t>
  </si>
  <si>
    <t>பாஸ்மதி அரிசி - 1 கப்,
தண்ணீர் - 2 கப்,
வெங்காயம் - 2,
பச்சை மிளகாய் - 2,
இஞ்சி-பூண்டு விழுது - 1 டீஸ்பூன்,
பட்டாணி - 1/2 கப்,
பனீர் துண்டுகள் - 15-20,
புதினா இலைகள் - ஒரு கைப்பிடி,
கொத்தமல்லி இலைகள் - ஒரு கைப்பிடி,
எலுமிச்சை சாறு - 1 டீஸ்பூன்,
தேவைக்கேற்ப உப்பு,
எண்ணெய் - 1 1/2 டீஸ்பூன்,
கிராம்பு - 2,
ஏலக்காய் - 1,
இலவங்கப்பட்டை - 1 அங்குல துண்டு.</t>
  </si>
  <si>
    <t>Heat oil, add cloves, cinnamon and cardamom, then add finely chopped onions, green chilli and saute till onion turns transparent.
Add ginger-garlic paste and saute for some more time.
Add peas, finely chopped coriander leaves, mint leaves, rice and saute for a few more seconds.
Add 2 cups of boiling water, lemon juice, salt required and pressure cook rice for 3 whistles.(I usually cook with a vessel inside the cooker. If you are cooking directly in the cooker, you do not have to cook for 3 whistles. Just close the cooker without the weight and cook on medium flame, once it is half cooked, stir the contents, close the cooker with weight and simmer for 4-5 minutes.)
Then add fried paneer cubes to the cooked rice, mix well and serve with raita or any gravy or just homemade potato chips.
If you have not tried my  Peas pulao or vegetable pulao, then do not miss those recipes. It is so simple yet so satisfying dish!</t>
  </si>
  <si>
    <t>எண்ணெய் சூடாக்கி, கிராம்பு, இலவங்கப்பட்டை மற்றும் ஏலக்காய் சேர்த்து, பின்னர் இறுதியாக நறுக்கிய வெங்காயம், பச்சை மிளகாய் சேர்த்து வெங்காயம் வெளிப்படையானதாக மாறும் வரை வதக்கவும்.
இஞ்சி-பூண்டு விழுது சேர்த்து சிறிது நேரம் வதக்கவும்.
பட்டாணி, இறுதியாக நறுக்கிய கொத்தமல்லி இலைகள், புதினா இலைகள், அரிசி சேர்த்து இன்னும் சில நொடிகள் வதக்கவும்.
2 கப் கொதிக்கும் நீர், எலுமிச்சை சாறு, தேவையான அளவு உப்பு சேர்த்து, அரிசியை 3 விசில் வரும் வரை வேக வைக்கவும். (நான் வழக்கமாக குக்கருக்குள் ஒரு பாத்திரத்தில் சமைப்பேன். நீங்கள் நேரடியாக குக்கரில் சமைத்தால், நீங்கள் 3 விசில் வரும் வரை சமைக்க வேண்டியதில்லை. குக்கரை வெயிட் இல்லாமல் மூடி, நடுத்தர தீயில் சமைக்கவும், அது பாதி வெந்ததும், உள்ளடக்கங்களைக் கிளறி, குக்கரை வெயிட் மூலம் மூடி 4-5 நிமிடங்கள் இளங்கொதிவாக்கவும்.)
பின்னர் சமைத்த அரிசியுடன் வறுத்த பனீர் க்யூப்ஸைச் சேர்த்து, நன்கு கலந்து ரைத்தா அல்லது வேறு எந்த கிரேவி அல்லது வீட்டில் தயாரிக்கப்பட்ட உருளைக்கிழங்கு சிப்ஸுடன் பரிமாறவும்.
நீங்கள் எனது பட்டாணி புலாவ் அல்லது காய்கறி புலாவ்வை முயற்சித்ததில்லை என்றால், அந்த ரெசிபிகளைத் தவறவிடாதீர்கள். இது மிகவும் எளிமையானது, ஆனால் மிகவும் திருப்திகரமான உணவு!</t>
  </si>
  <si>
    <t>https://www.whiskaffair.com/wp-content/uploads/2019/08/Paneer-Pulao-1-3.jpg</t>
  </si>
  <si>
    <t>Cauliflower Rice</t>
  </si>
  <si>
    <t>காலிஃபிளவர் சாதம்</t>
  </si>
  <si>
    <t xml:space="preserve">   Basmati rice – 1 cup,
   Cauliflower – 1,
   Onion – 1 big,
   Tomato – 3 big ,
   Peas – handful ,
   Ginger – 1 inch piece,
   Garlic – 3 cloves,
   Green chilli – 1 ,
   Salt as required,
   Turmeric powder – 1/4 tsp,
   Chilli powder – 1 tsp,
   Coriander powder – 2 tsp,
   Biryani masala powder - 3/4 tsp,
   Oil – 2 tbsp,
   Cinnamon – 1 inch piece,
   Cloves – 2,
   Cardamom – 1,
   Bay leaf – 1</t>
  </si>
  <si>
    <t>பாஸ்மதி அரிசி - 1 கப்,
காலிஃபிளவர் - 1,
வெங்காயம் - 1 பெரியது,
தக்காளி - 3 பெரியது,
பட்டான்பருப்பு - கைப்பிடி,
இஞ்சி - 1 அங்குல துண்டு,
பூண்டு - 3 பல்,
பச்சை மிளகாய் - 1 ,
தேவைக்கேற்ப உப்பு,
மஞ்சள் தூள் - 1/4 தேக்கரண்டி,
மிளகாய் தூள் - 1 தேக்கரண்டி,
கொத்தமல்லி தூள் - 2 தேக்கரண்டி,
பிரியாணி மசாலா தூள் - 3/4 தேக்கரண்டி,
எண்ணெய் - 2 தேக்கரண்டி,
இலவங்கப்பட்டை - 1 அங்குல துண்டு,
கிராம்பு - 2,
ஏலக்காய் - 1,
பிரித்தானி இலை - 1.</t>
  </si>
  <si>
    <t>Heat oil in a pan and add the ingredients mentioned under seasoning.
Then add finely chopped onions and saute until it turns golden brown.
Then add ginger, garlic, green chilli and saute for a few more minutes.
Then add tomato puree, peas, turmeric powder, salt needed, remaining chilli powder, coriander powder, biryani masala powder and cook until the raw flavor goes and oil separates.
Now add the cooked cauliflowers, cooked rice to the tomato gravy. Mix everything well and simmer for a few more seconds until everything gets blended well.
Garnish with finely chopped coriander leaves and serve with chips or mixed vegetable raita or papads.
Delicious and simple Cauliflower Pulao is ready.</t>
  </si>
  <si>
    <t>ஒரு கடாயில் எண்ணெயை சூடாக்கி, தாளிக்க வேண்டிய பொருட்களைச் சேர்க்கவும்.
பின்னர் இறுதியாக நறுக்கிய வெங்காயத்தைச் சேர்த்து பொன்னிறமாகும் வரை வதக்கவும்.
பின்னர் இஞ்சி, பூண்டு, பச்சை மிளகாய் சேர்த்து இன்னும் சில நிமிடங்கள் வதக்கவும்.
பின்னர் தக்காளி கூழ், பட்டாணி, மஞ்சள் தூள், தேவையான உப்பு, மீதமுள்ள மிளகாய் தூள், கொத்தமல்லி தூள், பிரியாணி மசாலா தூள் சேர்த்து பச்சை வாசனை போய் எண்ணெய் பிரியும் வரை வதக்கவும்.
இப்போது சமைத்த காலிஃபிளவர், சமைத்த அரிசி ஆகியவற்றை தக்காளி குழம்பில் சேர்க்கவும். எல்லாவற்றையும் நன்றாகக் கலந்து, எல்லாம் நன்றாகக் கலக்கும் வரை இன்னும் சில நொடிகள் வதக்கவும்.
பொடியாக நறுக்கிய கொத்தமல்லி இலைகளால் அலங்கரித்து சிப்ஸ் அல்லது மிக்ஸ்டு வெஜிடபிள் ரைத்தா அல்லது பப்படாஸுடன் பரிமாறவும்.
சுவையான மற்றும் எளிமையான காலிஃபிளவர் புலாவ் தயார்.</t>
  </si>
  <si>
    <t>https://i2.wp.com/www.downshiftology.com/wp-content/uploads/2019/12/Cauliflower-Rice-main.jpg</t>
  </si>
  <si>
    <t>Baby Potato Fry</t>
  </si>
  <si>
    <t>பேபி உருளைக்கிழங்கு வறுவல்</t>
  </si>
  <si>
    <t xml:space="preserve">   Baby Potatoes – 1/2 kg,
   Oil – 3 1/2 tbsp,
   Salt as required,
   Turmeric Powder – 1/4 tsp,
   Coriander powder – 2 tsp,
   Cumin/Jeera powder – 1 tsp,
   Chilli powder – 1 tsp,
   Mustard seeds - 1 tsp,
   Cumin seeds – 1/2 tsp.</t>
  </si>
  <si>
    <t>பேபி உருளைக்கிழங்கு - 1/2 கிலோ,
எண்ணெய் - 3 1/2 டீஸ்பூன்,
தேவைக்கேற்ப உப்பு,
மஞ்சள் தூள் - 1/4 டீஸ்பூன்,
கொத்தமல்லி தூள் - 2 டீஸ்பூன்,
சீரகம்/ஜீரா தூள் - 1 டீஸ்பூன்,
மிளகாய் தூள் - 1 டீஸ்பூன்,
கடுகு - 1 டீஸ்பூன்,
சீரகம் - 1/2 டீஸ்பூன்.</t>
  </si>
  <si>
    <t>Soak the baby potatoes in water for 10 minutes. This will help to loosen the dirt and mud. Then wash it well under running water for 2-3 times to remove the mud.
Pressure cook the baby potatoes with enough water for 2 whistles. It should be soft but not mushy and should retain its shape. This is very important. Let it cool naturally. (avoid pouring cold water on top of it).
Peel the skin. This is a bit difficult task but worth the effort.
In a bowl, add the peeled potatoes, drizzle a tbsp of oil over it, then sprinkle all the spice powder (mentioned under Spice powder) and salt over the potatoes. Mix it well so that the potatoes are evenly coated with the spices. Let it sit for 30 minutes.
Now heat the remaining oil in a pan or kadai , add mustard and cumin seeds, when they splutter, add the marinated potatoes.
Cook uncovered on low heat, stirring or tossing from time to time, till all the potatoes are evenly roasted.
Very Simple and tasty baby potato roast/baby aloo fry is ready.
It goes well as an accompaniment with rasam rice, sambar, kulambu and curd rice.</t>
  </si>
  <si>
    <t>பேபி உருளைக்கிழங்கை 10 நிமிடங்கள் தண்ணீரில் ஊற வைக்கவும். இது அழுக்கு மற்றும் சேற்றை தளர்த்த உதவும். பின்னர் சேற்றை அகற்ற ஓடும் நீரின் கீழ் 2-3 முறை நன்றாக கழுவவும்.
பேபி உருளைக்கிழங்கை 2 விசில் வரை போதுமான தண்ணீரில் வேகவைக்கவும். இது மென்மையாக இருக்க வேண்டும், ஆனால் மென்மையாக இருக்கக்கூடாது, அதன் வடிவத்தை தக்க வைத்துக் கொள்ள வேண்டும். இது மிகவும் முக்கியம். இயற்கையாகவே குளிர்விக்க விடுங்கள். (அதன் மேல் குளிர்ந்த நீரை ஊற்றுவதைத் தவிர்க்கவும்).
தோலை உரிக்கவும். இது கொஞ்சம் கடினமான பணி, ஆனால் முயற்சிக்கு மதிப்புள்ளது.
ஒரு பாத்திரத்தில், உரிக்கப்பட்ட உருளைக்கிழங்கைச் சேர்த்து, அதன் மேல் ஒரு தேக்கரண்டி எண்ணெயைத் தடவி, பின்னர் அனைத்து மசாலாப் பொடிகளையும் (மசாலாப் பொடி என்று குறிப்பிடப்பட்டுள்ளது) மற்றும் உருளைக்கிழங்கின் மேல் உப்பு தெளிக்கவும். உருளைக்கிழங்கு மசாலாப் பொருட்களால் சமமாகப் பூசப்படும் வகையில் நன்கு கலக்கவும். 30 நிமிடங்கள் அப்படியே வைக்கவும்.
இப்போது மீதமுள்ள எண்ணெயை ஒரு கடாயில் அல்லது கடாயில் சூடாக்கி, கடுகு மற்றும் சீரகத்தைச் சேர்த்து, அவை வதங்கியதும், ஊறவைத்த உருளைக்கிழங்கைச் சேர்க்கவும்.
மூடி இல்லாமல் குறைந்த தீயில், அவ்வப்போது கிளறி அல்லது கிளறி, அனைத்து உருளைக்கிழங்கும் சமமாக வறுத்தெடுக்கும் வரை சமைக்கவும்.
மிகவும் எளிமையான மற்றும் சுவையான பேபி உருளைக்கிழங்கு வறுவல்/பேபி ஆலு ஃப்ரை தயார்.
இது ரசம் சாதம், சாம்பார், குழம்பு மற்றும் தயிர் சாதத்துடன் சேர்த்து நன்றாகச் செல்லும்.</t>
  </si>
  <si>
    <t>https://www.archanaskitchen.com//images/archanaskitchen/1-Author/Shaheen_Ali/SPICY_BABY_POTATOES.jpg</t>
  </si>
  <si>
    <t xml:space="preserve">   Basmati rice – 1 cup,
   Onion – 1,
   Green chilli – 2 ,
   Ginger-garlic paste – 2 ½ tsp,
   Tomato - 1,
   Mixed Vegetables - 2 cups,
   Mint / pudina leaves – handful,
   Coriander leaves – handful,
   Lemon juice - 1 tbsp,
   Turmeric powder – a pinch,
   Red chilli powder -1 tsp,
   Coriander powder – 2 tsp,
   Biriyani masala – 2 tsp,
   Salt as required,
   Oil – 1 tbsp,
   Cloves - 3,
   Cardamom - 1,
   Cinnamon – 1 inch piece,
   Fried onions.</t>
  </si>
  <si>
    <t>பாஸ்மதி அரிசி - 1 கப்,
வெங்காயம் - 1,
பச்சை மிளகாய் - 2 ,
இஞ்சி-பூண்டு விழுது - 2 ½ தேக்கரண்டி,
தக்காளி - 1,
கலவை காய்கறிகள் - 2 கப்,
புதினா / புதினா இலைகள் - ஒரு கைப்பிடி,
கொத்தமல்லி இலைகள் - ஒரு கைப்பிடி,
எலுமிச்சை சாறு - 1 தேக்கரண்டி,
மஞ்சள் தூள் - ஒரு சிட்டிகை,
சிவப்பு மிளகாய் தூள் - 1 தேக்கரண்டி,
கொத்தமல்லி தூள் - 2 தேக்கரண்டி,
பிரியாணி மசாலா - 2 தேக்கரண்டி,
தேவைக்கேற்ப உப்பு,
எண்ணெய் - 1 தேக்கரண்டி,
கிராம்பு - 3,
ஏலக்காய் - 1,
இலவங்கப்பட்டை - 1 அங்குல துண்டு,
வறுத்த வெங்காயம்.</t>
  </si>
  <si>
    <t>Heat oil, add cloves, cardamom and cinnamon, saute for a 2-3 seconds, then add onions and sauté till it turns transparent.
Now add ginger-garlic paste and sauté for a few more minutes.
Add green chillies, all the vegetables, chopped tomatoes, turmeric powder, chilli powder, coriander powder, biryani masala, mint and coriander leaves, needed salt and sauté for a few more minutes. Then add 2 cups of boiling water, drained rice and lemon juice.( Check for salt by tasting the water).
Transfer all the contents to a rice cooker and switch on the cooking mode. After it comes to keep warm mode, switch off and mix well gently. Transfer the rice to a hot pack or any other vessel to prevent the bottom from getting burnt.
Garnish with fried onions and serve hot with raitha or papads.
Enjoy preparing this easy biryani recipe!!</t>
  </si>
  <si>
    <t>எண்ணெய்யை சூடாக்கி, கிராம்பு, ஏலக்காய் மற்றும் இலவங்கப்பட்டை சேர்த்து, 2-3 வினாடிகள் வதக்கி, பின்னர் வெங்காயத்தைச் சேர்த்து வெளிப்படையானதாக மாறும் வரை வதக்கவும்.
இப்போது இஞ்சி-பூண்டு விழுது சேர்த்து இன்னும் சில நிமிடங்கள் வதக்கவும்.
பச்சை மிளகாய், அனைத்து காய்கறிகள், நறுக்கிய தக்காளி, மஞ்சள் தூள், மிளகாய் தூள், கொத்தமல்லி தூள், பிரியாணி மசாலா, புதினா மற்றும் கொத்தமல்லி இலைகள், தேவையான உப்பு சேர்த்து இன்னும் சில நிமிடங்கள் வதக்கவும். பின்னர் 2 கப் கொதிக்கும் நீர், வடிகட்டிய அரிசி மற்றும் எலுமிச்சை சாறு சேர்க்கவும். (தண்ணீரை ருசித்துப் பார்த்து உப்பு இருக்கிறதா என்று சரிபார்க்கவும்).
அனைத்து பொருட்களையும் ஒரு ரைஸ் குக்கருக்கு மாற்றி, சமையல் முறையை இயக்கவும். அது சூடாக இருந்த பிறகு, அதை அணைத்து மெதுவாக கலக்கவும். அரிசியை ஒரு சூடான பேக் அல்லது வேறு எந்த பாத்திரத்திற்கும் மாற்றவும், இதனால் அடிப்பகுதி கருகாமல் தடுக்கவும்.
வறுத்த வெங்காயத்தால் அலங்கரித்து, ரைத்தா அல்லது பப்படாடுகளுடன் சூடாக பரிமாறவும்.
இந்த எளிதான பிரியாணி செய்முறையை தயாரித்து மகிழுங்கள்!!</t>
  </si>
  <si>
    <t>https://www.madhuseverydayindian.com/wp-content/uploads/2022/11/easy-vegetable-biryani.jpg</t>
  </si>
  <si>
    <t>Poha</t>
  </si>
  <si>
    <t>போஹா</t>
  </si>
  <si>
    <t xml:space="preserve"> Poha – 1 cup,
   Onion – 1,
   Ginger – 1 inch piece,
   Green chillies – 1,
   Potato - 1 ,
   Turmeric powder - 1/4 tsp,
   Salt to taste,
   Lemon juice to taste,
   Mustard seeds - 1 tsp,
   Urad dal – 1/2 tsp,
   Curry leaves – a sprig,
   Coriander Leaves.</t>
  </si>
  <si>
    <t>போஹா - 1 கப்,
வெங்காயம் - 1,
இஞ்சி - 1 அங்குல துண்டு,
பச்சை மிளகாய் - 1,
உருளைக்கிழங்கு - 1 ,
மஞ்சள் தூள் - 1/4 தேக்கரண்டி,
ருசிக்க உப்பு,
எலுமிச்சை சாறு ருசிக்க,
கடுகு - 1 தேக்கரண்டி,
உளுத்தம் பருப்பு - 1/2 தேக்கரண்டி,
கறிவேப்பிலை - ஒரு தளிர்,
கொத்தமல்லி இலைகள்.</t>
  </si>
  <si>
    <t>Heat a tsp of oil in a pan, add mustard seeds,when it splutters, add urad dal, when dal turns golden brown, add onions and saute until it turns transparent.
Then add ginger, green chillies, turmeric powder and saute for a few more seconds.
Add cubed potatoes, salt needed and cook until the potatoes are soft. Add little water and cook covered. (If using boiled potatoes, saute for just a few seconds).
By this time the poha would have become soft (check by pressing it with your finger or by tasting it). Fluff it gently with a fork . Once the potatoes are cooked, add the poha to the cooked potatoes. Mix well.
Squeeze juice of half a lemon and mix well. Garnish with coriander leaves and serve hot.
A bowl of steaming hot aloo poha and a glass of mosambi juice – Quick, healthy and filling breakfast is ready in just 10 minutes time.</t>
  </si>
  <si>
    <t>ஒரு கடாயில் ஒரு தேக்கரண்டி எண்ணெயை சூடாக்கி, கடுகு சேர்த்து, அது வதங்கியதும், உளுத்தம் பருப்பு சேர்த்து, பருப்பு பொன்னிறமாக மாறியதும், வெங்காயம் சேர்த்து, அது வெளிப்படையானதாக மாறும் வரை வதக்கவும்.
பின்னர் இஞ்சி, பச்சை மிளகாய், மஞ்சள் தூள் சேர்த்து இன்னும் சில வினாடிகள் வதக்கவும்.
துண்டுகளாக்கப்பட்ட உருளைக்கிழங்கு, தேவையான உப்பு சேர்த்து, உருளைக்கிழங்கு மென்மையாகும் வரை சமைக்கவும். சிறிது தண்ணீர் சேர்த்து மூடி வைத்து சமைக்கவும். (வேகவைத்த உருளைக்கிழங்கைப் பயன்படுத்தினால், சில வினாடிகள் வதக்கவும்).
இந்த நேரத்தில் போஹா மென்மையாகி இருக்கும் (உங்கள் விரலால் அழுத்தி அல்லது ருசித்துப் பாருங்கள்). ஒரு முட்கரண்டி கொண்டு மெதுவாக பிசையவும். உருளைக்கிழங்கு வெந்தவுடன், சமைத்த உருளைக்கிழங்கில் போஹாவை சேர்க்கவும். நன்றாக கலக்கவும்.
அரை எலுமிச்சை சாற்றை பிழிந்து நன்கு கலக்கவும். கொத்தமல்லி இலைகளால் அலங்கரித்து சூடாக பரிமாறவும்.
ஒரு கிண்ணம் வேகவைக்கும் சூடான ஆலு போஹா மற்றும் ஒரு கிளாஸ் மொசாம்பி சாறு - விரைவான, ஆரோக்கியமான மற்றும் திருப்திகரமான காலை உணவு வெறும் 10 நிமிடங்களில் தயாராகிவிடும்.</t>
  </si>
  <si>
    <t>https://www.ohmyveg.co.uk/wp-content/uploads/2021/03/Poha-3-scaled-735x980.jpg</t>
  </si>
  <si>
    <t>Potato Sandwich</t>
  </si>
  <si>
    <t>உருளைக்கிழங்கு சாண்ட்விச்</t>
  </si>
  <si>
    <t xml:space="preserve">   Potato - 3,
   Onion – 2,
   Green chilli  - 2,
   Ginger – 1 inch piece,
   Tomato - 1,
   Turmeric powder – a pinch,
   Chilli powder – 1/4 tsp,
   Salt as required,
   Oil – 1 tbsp,
   Mustard seeds - 1/2 tsp,
   Urad dal – 1/2 tsp,
   Bread slices – 4-6,
   Butter – as required.</t>
  </si>
  <si>
    <t>உருளைக்கிழங்கு - 3,
வெங்காயம் - 2,
பச்சை மிளகாய் - 2,
இஞ்சி - 1 அங்குல துண்டு,
தக்காளி - 1,
மஞ்சள் தூள் - ஒரு சிட்டிகை,
மிளகாய் தூள் - 1/4 தேக்கரண்டி,
தேவைக்கேற்ப உப்பு,
எண்ணெய் - 1 தேக்கரண்டி,
கடுகு - 1/2 தேக்கரண்டி,
உளுத்தம் பருப்பு - 1/2 தேக்கரண்டி,
ரொட்டி துண்டுகள் - 4-6,
வெண்ணெய் - தேவைக்கேற்ப.</t>
  </si>
  <si>
    <t>Heat oil in a pan, add mustard seeds, when it splutters, add urad dal. When dal turns golden brown, add onions, green chilli and ginger. Saute until onions turn transparent.
Add tomatoes and saute for a few more minutes.
Then add chopped potatoes, chilli powder, turmeric powder, salt needed and cook covered, stirring in between until potato are tender.
Now our potato stuffing is ready.
Apply butter on one side of both the bread.
Place 2 tbsp of stuffing on one bread and cover it with another bread with buttered side facing down.
Grease the toaster with a little butter and toast the sandwich both sides until golden brown. If you do not have a toaster, you can toast the bread on tawa, place the stuffing on the bread and cover it with another toasted bread and enjoy.
Your potato sandwich is ready. Serve it as such or with tomato chutney or tomato ketchup.</t>
  </si>
  <si>
    <t>ஒரு கடாயில் எண்ணெயை சூடாக்கி, கடுகு சேர்த்து, அது வதங்கியதும், உளுத்தம் பருப்பு சேர்க்கவும். பருப்பு பொன்னிறமாக மாறியதும், வெங்காயம், பச்சை மிளகாய் மற்றும் இஞ்சி சேர்க்கவும். வெங்காயம் வெளிப்படையானதாக மாறும் வரை வதக்கவும்.
தக்காளியைச் சேர்த்து இன்னும் சில நிமிடங்கள் வதக்கவும்.
பின்னர் நறுக்கிய உருளைக்கிழங்கு, மிளகாய் தூள், மஞ்சள் தூள், தேவையான உப்பு சேர்த்து மூடி வைத்து, உருளைக்கிழங்கு மென்மையாகும் வரை இடையில் கிளறவும்.
இப்போது எங்கள் உருளைக்கிழங்கு ஸ்டஃபிங் தயார்.
இரண்டு ரொட்டியின் ஒரு பக்கத்திலும் வெண்ணெய் தடவவும்.
ஒரு பிரட்டில் 2 டேபிள் ஸ்பூன் ஸ்டஃபிங்கை வைத்து, வெண்ணெய் தடவிய பக்கம் கீழ்நோக்கி இருக்கும்படி மற்றொரு பிரட்டால் மூடி வைக்கவும்.
டோஸ்டரில் சிறிது வெண்ணெய் தடவி, சாண்ட்விச்சை இருபுறமும் பொன்னிறமாகும் வரை டோஸ்ட் செய்யவும். உங்களிடம் டோஸ்டர் இல்லையென்றால், பிரெட்டை தவாவில் டோஸ்ட் செய்து, ஸ்டஃபிங்கை பிரட்டில் வைத்து, மற்றொரு டோஸ்ட் செய்யப்பட்ட பிரெட்டால் மூடி மகிழலாம்.
உங்கள் உருளைக்கிழங்கு சாண்ட்விச் தயார். அப்படியே பரிமாறவும் அல்லது தக்காளி சட்னி அல்லது தக்காளி கெட்ச்அப்புடன் பரிமாறவும்.</t>
  </si>
  <si>
    <t>https://i.ytimg.com/vi/wbc62-6Gq9I/hq720.jpg?sqp=-oaymwEhCK4FEIIDSFryq4qpAxMIARUAAAAAGAElAADIQj0AgKJD&amp;rs=AOn4CLDnYi1mbiEwGyXGeO22bi5HOW3a_g</t>
  </si>
  <si>
    <t>Aloo Matar</t>
  </si>
  <si>
    <t>ஆலு மட்டர்</t>
  </si>
  <si>
    <t xml:space="preserve">   Potato– 2 cups heaped,
   Fresh Green peas - 1/2 cup,
   Onion chopped – 1/2 cup,
   Salt as needed,
   Turmeric powder - 1/4 tsp,
   Coriander powder - 2 tsp,
   Chilli powder - 3/4-1 tsp,
   Garam Masala Powder - 3/4 tsp,
   Oil – 2 tbsp,
   Cumin Seeds - 1 tsp,
   Curry leaves – 2 sprigs.</t>
  </si>
  <si>
    <t>உருளைக்கிழங்கு - 2 கப் குவியல்,
புதிய பச்சை பட்டாணி - 1/2 கப்,
வெங்காயம் நறுக்கியது - 1/2 கப்,
தேவைக்கேற்ப உப்பு,
மஞ்சள் தூள் - 1/4 தேக்கரண்டி,
கொத்தமல்லி தூள் - 2 தேக்கரண்டி,
மிளகாய் தூள் - 3/4-1 தேக்கரண்டி,
கரம் மசாலா தூள் - 3/4 தேக்கரண்டி,
எண்ணெய் - 2 தேக்கரண்டி,
சீரக விதைகள் - 1 தேக்கரண்டி,
கறிவேப்பிலை - 2 தண்டுகள்.</t>
  </si>
  <si>
    <t>Heat oil , add cumin seeds, when it splutters, add chopped onions and curry leaves.
Saute onions until transparent. Then add cubed potatoes, turmeric powder and cook covered on medium flame stirring now and then. Sprinkle water in between.
Once the potatoes are half cooked, add salt needed, coriander powder, chilli powder, garam masala powder and cook covered until potatoes become tender.
Add peas and cook for another 5 minutes until everything gets blended well with the spice powder.
Remove from heat, garnish with coriander leaves and serve delicious dry aloo matar curry with hot rice, rotis or parathas. I personally love it with dal and hot rice topped with a tsp of ghee.</t>
  </si>
  <si>
    <t>எண்ணெய்யை சூடாக்கி, சீரகம் சேர்த்து, அது வதங்கியதும், நறுக்கிய வெங்காயம் மற்றும் கறிவேப்பிலை சேர்க்கவும்.
வெங்காயத்தை தெளிவாகும் வரை வதக்கவும். பின்னர் துண்டுகளாக்கப்பட்ட உருளைக்கிழங்கு, மஞ்சள் தூள் சேர்த்து அவ்வப்போது மிதமான தீயில் மூடி வைத்து சமைக்கவும். இடையில் தண்ணீர் தெளிக்கவும்.
உருளைக்கிழங்கு பாதி வெந்தவுடன், தேவையான உப்பு, கொத்தமல்லி தூள், மிளகாய் தூள், கரம் மசாலா தூள் சேர்த்து உருளைக்கிழங்கு மென்மையாகும் வரை மூடி வைத்து சமைக்கவும்.
பட்டாணி சேர்த்து, மசாலா தூளுடன் எல்லாம் நன்றாக கலக்கும் வரை மேலும் 5 நிமிடங்கள் சமைக்கவும்.
அடுப்பிலிருந்து இறக்கி, கொத்தமல்லி இலைகளால் அலங்கரித்து, சுவையான உலர் ஆலு மாதர் கறியை சூடான சாதம், ரொட்டி அல்லது பரோட்டாவுடன் பரிமாறவும். எனக்கு இது தனிப்பட்ட முறையில் பருப்பு மற்றும் சூடான சாதத்துடன் ஒரு தேக்கரண்டி நெய்யுடன் சேர்த்து சாப்பிட மிகவும் பிடிக்கும்.</t>
  </si>
  <si>
    <t>https://mygoodfoodworld.com/wp-content/uploads/2022/11/aloo-matar-recipe-served-with-salad.jpg</t>
  </si>
  <si>
    <t>Baby Corn Rice</t>
  </si>
  <si>
    <t>பேபி கார்ன் ரைஸ்</t>
  </si>
  <si>
    <t>Basmati Rice – 1 cup,
Onions - 1 cup chopped,
Baby corn – 5-6,
Capsicum - 3 medium sized ,
Garlic - 4 cloves,
Pepper powder – 3/4 tsp,
Chilles Powder – 1/4 tsp,
Coriander powder – 3/4 tsp,
Jeera/cumin powder – 1/2 tsp,
Salt as required,
Oil – 1 tbsp.</t>
  </si>
  <si>
    <t>பாஸ்மதி அரிசி - 1 கப்,
வெங்காயம் - 1 கப் நறுக்கியது,
பேபி கார்ன் - 5-6,
கேப்சிகம் - 3 நடுத்தர அளவு,
பூண்டு - 4 பல்,
மிளகு தூள் - 3/4 தேக்கரண்டி,
மிளகாய் தூள் - 1/4 தேக்கரண்டி,
கொத்தமல்லி தூள் - 3/4 தேக்கரண்டி,
ஜீரா/சீரக தூள் - 1/2 தேக்கரண்டி,
தேவைக்கேற்ப உப்பு,
எண்ணெய் - 1 தேக்கரண்டி.</t>
  </si>
  <si>
    <t>Heat oil in a pan, add baby corns, bell pepper and fry for a few minutes till it is slightly cooked. Do not overcook.The veggies should be crunchy. Keep aside.
In the same pan, add garlic followed by onions and saute till onions becomes transparent.
Add baby corn and bell pepper. Now throw in all the spice powder and add salt needed.
Mix cooked rice and serve with papads or chips.</t>
  </si>
  <si>
    <t>ஒரு பாத்திரத்தில் எண்ணெயை சூடாக்கி, பேபி கார்ன், பெல் பெப்பர் சேர்த்து சிறிது வேகும் வரை சில நிமிடங்கள் வதக்கவும். அதிகமாக வேக வேண்டாம்.காய்கறிகள் மொறுமொறுப்பாக இருக்க வேண்டும். ஒதுக்கி வைக்கவும்.
அதே பாத்திரத்தில், பூண்டைத் தொடர்ந்து வெங்காயத்தைச் சேர்த்து வெங்காயம் வெளிப்படையானதாக மாறும் வரை வதக்கவும்.
பேபி கார்ன் மற்றும் பெல் பெப்பரைச் சேர்க்கவும். இப்போது அனைத்து மசாலாப் பொடிகளையும் சேர்த்து தேவையான அளவு உப்பு சேர்க்கவும்.
சமைத்த அரிசியைக் கலந்து பப்பட் அல்லது சிப்ஸுடன் பரிமாறவும்.</t>
  </si>
  <si>
    <t>https://www.vegrecipesofindia.com/wp-content/uploads/2015/12/baby-corn-rice-recipe-1a.jpg</t>
  </si>
  <si>
    <t>Red Beans Rice</t>
  </si>
  <si>
    <t>சிவப்பு பீன்ஸ் அரிசி</t>
  </si>
  <si>
    <t xml:space="preserve">   Basmati rice - 1 cup,
   Small red beans - 1/4 cup,
   Onions – 1/2 cup chopped,
   Ginger-garlic paste – 1 tsp,
   Tomatoes – 1/2 cup chopped,
   Turmeric powder – 1/4 tsp,
   Coriander powder – 1 tsp,
   Chilli powder - 1/2 tsp,
   Garam masala powder – 1/2 tsp,
   Fresh Lemon juice - 1 tbsp,
   Oil – 1 tbsp,
   Cloves - 2,
   Cinnamon – 1 inch piece,
   Bay leaf - 1.</t>
  </si>
  <si>
    <t>பாஸ்மதி அரிசி - 1 கப்,
சிறிய சிவப்பு பீன்ஸ் - 1/4 கப்,
வெங்காயம் – 1/2 கப் நறுக்கியது,
இஞ்சி-பூண்டு விழுது – 1 டீஸ்பூன்,
தக்காளி – 1/2 கப் நறுக்கியது,
மஞ்சள் தூள் – 1/4 டீஸ்பூன்,
கொத்தமல்லி தூள் – 1 டீஸ்பூன்,
மிளகாய் தூள் - 1/2 டீஸ்பூன்,
கரம் மசாலா தூள் – 1/2 டீஸ்பூன்,
புதிய எலுமிச்சை சாறு - 1 டீஸ்பூன்,
எண்ணெய் – 1 டீஸ்பூன்,
கிராம்பு - 2,
இலவங்கப்பட்டை – 1 அங்குல துண்டு,
பிரி இலை - 1.</t>
  </si>
  <si>
    <t>Heat oil in a pan and add the ingredients mentioned under seasoning.
Add onions and saute until they become transparent.
Then add ginger-garlic paste and saute for a few more minutes.
Add tomatoes, turmeric powder, coriander powder, chilli powder, garam masala powder and cook for a further 3-4 minutes.
Add cooked red beans, rice, salt needed, 2 cups of hot water, lemon juice and pressure cook for 2 or 3 whistles. Once the pressure subsides, open the cooker and mix the contents well.
Alternatively, you can close the cooker without weight, once the rice is half cooked stir the contents, put the whistle/weight and simmer for 5 minutes.
Garnish with coriander leaves.
Serve Red beans rice with raitha or papads or chips.</t>
  </si>
  <si>
    <t>ஒரு கடாயில் எண்ணெயை சூடாக்கி, தாளிக்க வேண்டிய பொருட்களைச் சேர்க்கவும்.
வெங்காயத்தைச் சேர்த்து அவை வெளிப்படையானதாக மாறும் வரை வதக்கவும்.
பின்னர் இஞ்சி-பூண்டு விழுது சேர்த்து இன்னும் சில நிமிடங்கள் வதக்கவும்.
தக்காளி, மஞ்சள் தூள், கொத்தமல்லி தூள், மிளகாய் தூள், கரம் மசாலா தூள் சேர்த்து மேலும் 3-4 நிமிடங்கள் சமைக்கவும்.
வேகவைத்த சிவப்பு பீன்ஸ், அரிசி, தேவையான உப்பு, 2 கப் வெந்நீர், எலுமிச்சை சாறு சேர்த்து 2 அல்லது 3 விசில் வரை பிரஷர் குக் செய்யவும். பிரஷர் குறைந்தவுடன், குக்கரைத் திறந்து, சாதம் பாதி வெந்தவுடன், குக்கரை எடை இல்லாமல் மூடி, விசில்/வெயிட்டை வைத்து 5 நிமிடங்கள் கொதிக்க வைக்கவும்.
கொத்தமல்லி இலைகளால் அலங்கரிக்கவும்.
சிவப்பு பீன்ஸ் சாதத்தை ரைத்தா அல்லது பப்படம் அல்லது சிப்ஸுடன் பரிமாறவும்.</t>
  </si>
  <si>
    <t>https://www.chilipeppermadness.com/wp-content/uploads/2022/07/Red-Beans-and-Rice-SQ.jpg</t>
  </si>
  <si>
    <t>Sesame Seed Rice</t>
  </si>
  <si>
    <t>எள் விதை அரிசி</t>
  </si>
  <si>
    <t xml:space="preserve">
   White Sesame seeds  - 100 grams,
   Whole Urad dal - 1/4 cup,
   Cumin seeds/jeera seeds - 1 tbsp,
   Whole black pepper - 1/2 tbsp,
   Red chillies - 8-9,
   Salt as needed,
   Cooked rice – as needed,
   Sesame seed Oil – 1 tbsp,
   Mustard seeds – 1 tsp,
   Curry leaves – a sprig,
   Ghee – 1 tsp.</t>
  </si>
  <si>
    <t>வெள்ளை எள் விதைகள் - 100 கிராம்,
முழு உளுத்தம் பருப்பு - 1/4 கப்,
சீரகம்/ஜீரா விதைகள் - 1 டீஸ்பூன்,
முழு கருப்பு மிளகு - 1/2 டீஸ்பூன்,
சிவப்பு மிளகாய் - 8-9,
தேவைக்கேற்ப உப்பு,
சமைத்த அரிசி - தேவைக்கேற்ப,
எள் விதை எண்ணெய் - 1 டீஸ்பூன்,
கடுகு விதைகள் - 1 டீஸ்பூன்,
கறிவேப்பிலை - ஒரு தளிர்,
நெய் - 1 டீஸ்பூன்.</t>
  </si>
  <si>
    <t>Heat a pan and dry roast sesame seeds on medium heat stirring continuously until it splutters. Leave it to cool. Then grind it just for a few seconds.(operate the mixie at intervals and not at a stretch).If you grind it for a long time, the sesame seeds will ooze out oil.
In the same pan, dry roast urad dal until it turns golden brown. Then dry roast red chillies, cumin seeds and pepper separately. Powder everything together a little coarse with salt needed.
Then add roasted sesame seed powder to the above and dry grind it just for a second.
Our ellu podi/sesame seed powder is ready now. We will see how to prepare sesame seed rice/ellu sadam.
Cook rice until soft. When rice is warm, add a tsp of sesame seed oil and spread it on a plate to cool.
Mix needed amount of sesame seed powder with the cooked rice.
Heat 1 tbsp of sesame seed oil, add mustard seeds, when it splutters, add urad dal and curry leaves. When dal turns golden brown, add the seasoning to the rice and gently mix it. Top it with a tsp of ghee/clarified butter.
Sesame seed rice is ready to be serve with potato chips, papads or  potato curry.</t>
  </si>
  <si>
    <t>ஒரு கடாயை சூடாக்கி, எள் விதைகளை மிதமான தீயில் தொடர்ந்து கிளறி, அது சிதறும் வரை வறுக்கவும். அதை குளிர்விக்க விடவும். பின்னர் அதை சில நொடிகள் மட்டும் அரைக்கவும். (மிக்ஸியை இடைவெளியில் பயன்படுத்தாமல்). நீண்ட நேரம் அரைத்தால், எள் விதைகள் எண்ணெய் வெளியேறும்.
அதே கடாயில், உளுத்தம் பருப்பை பொன்னிறமாகும் வரை வறுக்கவும். பின்னர் சிவப்பு மிளகாய், சீரகம் மற்றும் மிளகாயை தனித்தனியாக வறுக்கவும். தேவையான அளவு உப்பு சேர்த்து அனைத்தையும் சிறிது கரடுமுரடாக பொடி செய்யவும்.
பின்னர் மேலே உள்ளவற்றுடன் வறுத்த எள்ளு விதைப் பொடியைச் சேர்த்து, ஒரு நொடி உலர வைக்கவும்.
எள்ளு பொடி/எள்ளு விதைப் பொடி இப்போது தயாராக உள்ளது. எள்ளு விதை சாதம்/எள்ளு சாதம் செய்வது எப்படி என்று பார்ப்போம்.
சாதம் மென்மையாகும் வரை சமைக்கவும். அரிசி சூடாகும்போது, ​​ஒரு தேக்கரண்டி எள்ளு விதை எண்ணெயைச் சேர்த்து, குளிர்விக்க ஒரு தட்டில் பரப்பவும்.
சமைத்த அரிசியுடன் தேவையான அளவு எள்ளு விதைப் பொடியைக் கலக்கவும்.
1 தேக்கரண்டி எள்ளு எண்ணெயைச் சூடாக்கி, கடுகு சேர்த்து, அது வதங்கியதும், உளுத்தம் பருப்பு மற்றும் கறிவேப்பிலையைச் சேர்க்கவும். பருப்பு பொன்னிறமாக மாறியதும், அரிசியுடன் தாளிக்க வேண்டியவற்றைச் சேர்த்து மெதுவாகக் கலக்கவும். அதன் மேல் ஒரு தேக்கரண்டி நெய்/தெளிந்த வெண்ணெய் ஊற்றவும்.
எள்ளு விதை சாதம் உருளைக்கிழங்கு சிப்ஸ், பப்படங்கள் அல்லது உருளைக்கிழங்கு கறியுடன் பரிமாற தயாராக உள்ளது.</t>
  </si>
  <si>
    <t>https://www.archanaskitchen.com/images/archanaskitchen/0-Archanas-Kitchen-Recipes/2017/26-april/Ellu_sadam_stir_fried_rice_with_sesame_seeds_and_coconut_recipe-2.jpg</t>
  </si>
  <si>
    <t>Simple Vegetable Pulav</t>
  </si>
  <si>
    <t>எளிய காய்கறி புலாவ்</t>
  </si>
  <si>
    <t>Basmati Rice -1 cup,
Carrot - 1 big,
Beans - 6,
Cauliflower – 4-5 florets,
Potato - 1,
Onion - 1,
Peas – handful,
Ginger – chopped 2 tsp,
Green chilli - 2,
mint leaves – handful,
Lemon - 1/2 a lemon,
Oil - 1 tbsp,
Salt as required,
Cinnamon - 1 inch piece,
Cloves - 4.</t>
  </si>
  <si>
    <t>பாஸ்மதி அரிசி - 1 கப்,
கேரட் - 1 பெரியது,
பீன்ஸ் - 6,
காலிஃபிளவர் - 4-5 பூக்கள்,
உருளைக்கிழங்கு - 1,
வெங்காயம் - 1,
பட்டாணி - ஒரு கைப்பிடி,
இஞ்சி - நறுக்கியது 2 தேக்கரண்டி,
பச்சை மிளகாய் - 2,
புதினா இலைகள் - ஒரு கைப்பிடி,
எலுமிச்சை - 1/2 எலுமிச்சை,
எண்ணெய் - 1 தேக்கரண்டி,
தேவைக்கேற்ப உப்பு,
இலவங்கப்பட்டை - 1 அங்குல துண்டு,
கிராம்பு - 4.</t>
  </si>
  <si>
    <t>Cut all the vegetables lengthwise and keep it aside.
Heat oil and add the ingredients for seasoning.
Sauté onion till they turn light pink, add ginger and all the vegetables including mint leaves, saute for a few minutes.
Then add rice, needed salt, 2 cups of boiling water and mix well.
Squeeze juice of half a lemon and pressure cook for 2 whistles.
After it is done, garnish with coriander leaves and serve hot with raita or papads or any gravy of your choice. Pulao can be done with raw rice also, though tastes great with basmati rice.</t>
  </si>
  <si>
    <t>அனைத்து காய்கறிகளையும் நீளவாக்கில் நறுக்கி தனியாக வைக்கவும்.
எண்ணெயை சூடாக்கி, தாளிக்க தேவையான பொருட்களை சேர்க்கவும்.
வெங்காயம் வெளிர் இளஞ்சிவப்பு நிறமாக மாறும் வரை வதக்கி, இஞ்சி மற்றும் புதினா இலைகள் உட்பட அனைத்து காய்கறிகளையும் சேர்த்து சில நிமிடங்கள் வதக்கவும்.
பின்னர் அரிசி, தேவையான உப்பு, 2 கப் கொதிக்கும் நீர் சேர்த்து நன்கு கலக்கவும்.
அரை எலுமிச்சையின் சாற்றை பிழிந்து 2 விசில் வரும் வரை பிரஷர் வதக்கவும்.
தயாரான பிறகு, கொத்தமல்லி இலைகளால் அலங்கரித்து, ரைத்தா அல்லது பப்பாளி அல்லது உங்களுக்கு விருப்பமான எந்த கிரேவியுடனும் சூடாகப் பரிமாறவும். புலாவை பச்சரிசியிலும் செய்யலாம், இருப்பினும் பாஸ்மதி அரிசியுடன் சுவையாக இருக்கும்.</t>
  </si>
  <si>
    <t>https://www.vegrecipesofindia.com/wp-content/uploads/2013/03/veg-pulao.jpg</t>
  </si>
  <si>
    <t>Special Curd Rice</t>
  </si>
  <si>
    <t>சிறப்பு தயிர் சாதம்</t>
  </si>
  <si>
    <t xml:space="preserve">   Rice – ½ cup,
   Curd -  ½ cup,
   Milk – ½ cup,
   Salt needed,
   Capsicum finely chopped – 2 tbsp,
   Tomato deseeded – 1 medium size,
   Carrots – ½ ,
  cucumber - 2 tbsp,
   Oil – 1 tsp,
   Mustard seeds – ¼ tsp,
   ginger – 1 tbsp,
   Green chillies – 1 deseeded .</t>
  </si>
  <si>
    <t>அரிசி - ½ கப்,
தயிர் - ½ கப்,
பால் - ½ கப்,
உப்பு தேவை,
கேப்சிகம் இறுதியாக நறுக்கியது - 2 டீஸ்பூன்,
விதை நீக்கிய தக்காளி - 1 நடுத்தர அளவு,
கேரட் - ½ ,
வெள்ளரிக்காய் - 2 டீஸ்பூன்,
எண்ணெய் - 1 டீஸ்பூன்,
கடுகு - ¼ டீஸ்பூன்,
இஞ்சி - 1 டீஸ்பூன்,
பச்சை மிளகாய் - 1 விதை நீக்கிய .</t>
  </si>
  <si>
    <t>Cook rice until soft. You can use pressure cooker also for cooking rice.
When done, mash it well with a masher when it is hot. Add milk and mix it well.
After it cools, add curd (plain yogurt) and needed salt. Add all the vegetables.
Heat a tsp of oil, add mustard seeds, when it splutters, add ginger, green chillies and sauté for a few seconds. Add to the curd rice and mix everything well.
Garnish with finely chopped coriander leaves. Yummy curd rice is ready. It can be had as such or with any pickle.</t>
  </si>
  <si>
    <t>அரிசி மென்மையாகும் வரை சமைக்கவும். நீங்கள் சாதத்தை சமைக்க பிரஷர் குக்கரையும் பயன்படுத்தலாம்.
தயிர் சாதம் சூடானதும், ஒரு மசிப்பான் கொண்டு நன்றாக மசிக்கவும். பால் சேர்த்து நன்கு கலக்கவும்.
அது குளிர்ந்த பிறகு, தயிர் (வெற்று தயிர்) மற்றும் தேவையான உப்பு சேர்க்கவும். அனைத்து காய்கறிகளையும் சேர்க்கவும்.
ஒரு டீஸ்பூன் எண்ணெயை சூடாக்கி, கடுகு சேர்த்து, அது வதங்கியதும், இஞ்சி, பச்சை மிளகாய் சேர்த்து சில நொடிகள் வதக்கவும். தயிர் சாதத்தில் சேர்த்து எல்லாவற்றையும் நன்றாக கலக்கவும்.
இறுதியாக நறுக்கிய கொத்தமல்லி இலைகளால் அலங்கரிக்கவும். சுவையான தயிர் சாதம் தயார். இதை அப்படியே அல்லது எந்த ஊறுகாயுடனும் சாப்பிடலாம்.</t>
  </si>
  <si>
    <t>https://palatesdesire.com/wp-content/uploads/2022/04/curd-rice-recipe-card@palates-desire.jpg</t>
  </si>
  <si>
    <t>Peas Pulav</t>
  </si>
  <si>
    <t xml:space="preserve">   Basmati Rice – 1 cup,
   Onion – 2,
   Green chillies – 2 slit,
   Ginger-Garlic paste – 1 ½ tsp,
   Peas – 1 cup,
  Mint leaves – 1 cup,
   Coriander leaves ,
   Salt to taste,
   Oil – 1 1/2 tbsp,
   Ghee – 1 tbsp,
   Cinnamon – 1 inch piece,
   Cloves – 2,
   Cardamon – 1.
</t>
  </si>
  <si>
    <t>பாஸ்மதி அரிசி - 1 கப்,
வெங்காயம் - 2,
பச்சை மிளகாய் - 2 கீற்றுகள்,
இஞ்சி-பூண்டு விழுது - 1 ½ தேக்கரண்டி,
பட்டான் - 1 கப்,
புதினா இலைகள் - 1 கப்,
கொத்தமல்லி இலைகள்,
ருசிக்க உப்பு,
எண்ணெய் - 1 1/2 தேக்கரண்டி,
நெய் - 1 தேக்கரண்டி,
இலவங்கப்பட்டை - 1 அங்குல துண்டு,
கிராம்பு - 2,
ஏலக்காய் - 1.</t>
  </si>
  <si>
    <t>Heat oil and ghee together, add cinnamon, cloves and cardamom.
Saute for few seconds and add finely chopped onions. Sauté till onions turns transparent, then add ginger- garlic paste and fry for a few more minutes.
Add slit green chillies, peas, mint leaves, coriander leaves and sauté for 2 minutes.
Add basmati rice, 2 cups of boiling water, needed salt and pressure cook.
Once the pressure subsides, open the cooker and gently fluff it with a fork. Your peas pulav is ready.
Serve it with potato chips, raita/pachadi of your choice, papads or any onion tomato based gravy like paneer butter masala, capsicum masala etc.</t>
  </si>
  <si>
    <t>எண்ணெய் மற்றும் நெய்யை ஒன்றாக சூடாக்கி, இலவங்கப்பட்டை, கிராம்பு மற்றும் ஏலக்காய் சேர்க்கவும்.
சில வினாடிகள் வதக்கி, இறுதியாக நறுக்கிய வெங்காயத்தைச் சேர்க்கவும். வெங்காயம் தெளிவாகும் வரை வதக்கவும், பின்னர் இஞ்சி-பூண்டு விழுது சேர்த்து மேலும் சில நிமிடங்கள் வதக்கவும்.
பொடியாக நறுக்கிய பச்சை மிளகாய், பட்டாணி, புதினா இலைகள், கொத்தமல்லி இலைகளைச் சேர்த்து 2 நிமிடங்கள் வதக்கவும்.
பாஸ்மதி அரிசி, 2 கப் கொதிக்கும் நீர், தேவையான உப்பு சேர்த்து பிரஷர் குக் செய்யவும்.
பிரஷர் குறைந்தவுடன், குக்கரைத் திறந்து, ஒரு முட்கரண்டியால் மெதுவாக பிசையவும். உங்கள் பட்டாணி புலாவ் தயார்.
உருளைக்கிழங்கு சிப்ஸ், உங்களுக்கு விருப்பமான ரைத்தா/பச்சடி, பப்படங்கள் அல்லது பனீர் பட்டர் மசாலா, கேப்சிகம் மசாலா போன்ற வெங்காய தக்காளி சார்ந்த கிரேவியுடன் பரிமாறவும்.</t>
  </si>
  <si>
    <t>https://encrypted-tbn0.gstatic.com/images?q=tbn:ANd9GcSqWEi5dn4xP9biePDNJoUm2K-ikUEGTzzkOA&amp;s</t>
  </si>
  <si>
    <t xml:space="preserve">   Rice - 1 cup,
   Sesame seed oil -1 tsp for rice,
   Lemon - 1-2.
   Cashewnuts -  5 ,
   Salt to taste,
   Oil-3 tsp,
   Mustard seeds - 1 tsp,
   Urad dal (split ones) - 1 tsp,
   Channa dal/kadalai paruppu - 1 tsp,
   Red Chillies - 1,
   Asafoetida - a pinch,
   Green chillies - 2,
   Finely chopped ginger - 1 tsp,
   Turmeric Powder - 1/4 tsp,
   Curry leaves ,
   Finely chopped carrot -2 tbsp .</t>
  </si>
  <si>
    <t>அரிசி - 1 கப்,
எள் எண்ணெய் - அரிசிக்கு 1 தேக்கரண்டி,
எலுமிச்சை - 1-2.
முந்திரி பருப்பு - 5 ,
உப்பு - சுவைக்கேற்ப,
எண்ணெய் - 3 தேக்கரண்டி,
கடுகு - 1 தேக்கரண்டி,
உளுத்தம் பருப்பு (பிரித்தது) - 1 தேக்கரண்டி,
சன்னா பருப்பு / கடலை பருப்பு - 1 தேக்கரண்டி,
சிவப்பு மிளகாய் - 1,
பெருங்காயம் - ஒரு சிட்டிகை,
பச்சை மிளகாய் - 2,
பொடியாக நறுக்கிய இஞ்சி - 1 தேக்கரண்டி,
மஞ்சள் தூள் - 1/4 தேக்கரண்டி,
கறிவேப்பிலை ,
பொடியாக நறுக்கிய கேரட் - 2 தேக்கரண்டி.</t>
  </si>
  <si>
    <t>Heat oil, add mustard seeds, when mustard splutters , add urad dal, channa dal, red chillies and asafoetida. When dal turns slightly brown, add green chillies, ginger, turmeric powder, curry leaves and finely chopped carrots (optional ).
Saute until the carrots are slightly cooked.
Squeeze lemon juice in a cup, add salt to it. Mix well and add it to the rice.
Add the seasoning and cashew nuts also to the rice and mix well. Taste and see. If required add more salt and lemon juice.</t>
  </si>
  <si>
    <t>எண்ணெயை சூடாக்கி, கடுகு சேர்த்து, கடுகு வதங்கியதும், உளுத்தம் பருப்பு, சன்னா பருப்பு, சிவப்பு மிளகாய் மற்றும் பெருங்காயம் சேர்க்கவும். பருப்பு சிறிது பழுப்பு நிறமாக மாறியதும், பச்சை மிளகாய், இஞ்சி, மஞ்சள் தூள், கறிவேப்பிலை மற்றும் பொடியாக நறுக்கிய கேரட் (விரும்பினால்) சேர்க்கவும்.
கேரட் சிறிது வேகும் வரை வதக்கவும்.
ஒரு கோப்பையில் எலுமிச்சை சாற்றை பிழிந்து, உப்பு சேர்த்து நன்கு கலக்கவும். சாதத்தில் சேர்க்கவும்.
சாதத்தில் மசாலா மற்றும் முந்திரி பருப்புகளை சேர்த்து நன்கு கலக்கவும். ருசித்துப் பாருங்கள். தேவைப்பட்டால் உப்பு மற்றும் எலுமிச்சை சாறு சேர்க்கவும்.</t>
  </si>
  <si>
    <t>https://www.vegrecipesofindia.com/wp-content/uploads/2020/12/lemon-rice-2-500x500.jpg</t>
  </si>
  <si>
    <t>Tomato Rice</t>
  </si>
  <si>
    <t>1 cup - Basmati Rice,
4-5 - Tomatoes,
2 - Onion ,
2 - Green chillies ,
1 tsp - Ginger garlic paste,
2 tsp - Sambar powder,
1/4 tsp - Turmeric powder,
Salt as needed,
3 tbsp - Oil,
1 tsp - Mustard seeds,
1 pinch - Asafoetida,
Curry leaves a sprig.</t>
  </si>
  <si>
    <t>1 கப் - பாஸ்மதி சாதம்,
4-5 - தக்காளி,
2 - வெங்காயம்,
2 - பச்சை மிளகாய்,
1 தேக்கரண்டி - இஞ்சி பூண்டு விழுது,
2 தேக்கரண்டி - சாம்பார் பொடி,
1/4 தேக்கரண்டி - மஞ்சள் தூள்,
தேவைக்கேற்ப உப்பு,
3 தேக்கரண்டி - எண்ணெய்,
1 தேக்கரண்டி - கடுகு,
1 சிட்டிகை - பெருங்காயம்,
கறிவேப்பிலை ஒரு துளிர் விட்டு.</t>
  </si>
  <si>
    <t>Heat 2-3 tbsp of oil in a kadai and add the ingredients mentioned under 'for the seasoning'.
Add onions and saute till it turns translucent.
Add green chillies and ginger-garlic paste. Saute for a few more minutes.
Then add tomato juice, turmeric powder, chilli powder or sambar powder and salt needed. Cook until oil separates.
Add needed cooked rice to the tomato gravy and mix well.
Garnish with coriander leaves. Serve hot with papads, potato chips or raita.</t>
  </si>
  <si>
    <t>ஒரு கடாயில் 2-3 தேக்கரண்டி எண்ணெயை சூடாக்கி, 'தாளிக்க' என்பதன் கீழ் குறிப்பிடப்பட்டுள்ள பொருட்களைச் சேர்க்கவும்.
வெங்காயத்தைச் சேர்த்து அது தெளிவாகும் வரை வதக்கவும்.
பச்சை மிளகாய் மற்றும் இஞ்சி-பூண்டு விழுது சேர்க்கவும். இன்னும் சில நிமிடங்கள் வதக்கவும்.
பின்னர் தக்காளி சாறு, மஞ்சள் தூள், மிளகாய் தூள் அல்லது சாம்பார் பொடி மற்றும் தேவையான உப்பு சேர்க்கவும். எண்ணெய் பிரியும் வரை சமைக்கவும்.
தேவைக்கேற்ப சமைத்த அரிசியை தக்காளி குழம்பில் சேர்த்து நன்கு கலக்கவும்.
கொத்தமல்லி இலைகளால் அலங்கரித்து, பப்பாளி, உருளைக்கிழங்கு சிப்ஸ் அல்லது ரைத்தாவுடன் சூடாக பரிமாறவும்.</t>
  </si>
  <si>
    <t>https://encrypted-tbn0.gstatic.com/images?q=tbn:ANd9GcSdnlE6sYkRjCKp9djOIhOR_FPE_7PO6qisBA&amp;s</t>
  </si>
  <si>
    <t>https://youtu.be/IJGeD9hRm1c</t>
  </si>
  <si>
    <t>Pudina rice with Paneer</t>
  </si>
  <si>
    <t>பனீர் சேர்த்து புதினா சாதம்</t>
  </si>
  <si>
    <t xml:space="preserve">   Basmati Rice – 1 cup,
   Onion - 2 ,
   Paneer cubes - 10 pieces ,
   Mint leaves - 1 bunch,
   Green chilli - 3 -4,
   Ginger – 1 inch piece,
   Garlic - 3 cloves,
   Oil - 1 tbsp,
   Cloves - 3,
   Cinnamon - 1 inch piece.</t>
  </si>
  <si>
    <t>பாஸ்மதி சாதம் - 1 கப்,
வெங்காயம் - 2,
பனீர் க்யூப்ஸ் - 10 துண்டுகள்,
புதினா இலைகள் - 1 கொத்து,
பச்சை மிளகாய் - 3 -4,
இஞ்சி - 1 அங்குல துண்டு,
பூண்டு - 3 பல்,
எண்ணெய் - 1 டீஸ்பூன்,
கிராம்பு - 3,
இலவங்கப்பட்டை - 1 அங்குல துண்டு.</t>
  </si>
  <si>
    <t>Heat oil and add the ingredients mentioned under “for the seasoning”.
Add onions and sauté till they turn pink.
Add the ground paste, salt required and fry till oil separates. It will take only a few minutes.
Add the cooked rice and paneer cubes and mix well.
Serve hot with any raita or just chips or appalam.</t>
  </si>
  <si>
    <t>எண்ணெயை சூடாக்கி, "தாவரத்திற்காக" என்பதன் கீழ் குறிப்பிடப்பட்டுள்ள பொருட்களைச் சேர்க்கவும்.
வெங்காயத்தைச் சேர்த்து, அவை இளஞ்சிவப்பு நிறமாக மாறும் வரை வதக்கவும்.
நறுக்கிய விழுது, தேவையான உப்பு சேர்த்து, எண்ணெய் பிரியும் வரை வதக்கவும். இது ஒரு சில நிமிடங்கள் மட்டுமே ஆகும்.
சமைத்த சாதம் மற்றும் பனீர் க்யூப்ஸ் சேர்த்து நன்கு கலக்கவும்.
எந்தவொரு ரைத்தா அல்லது சிப்ஸ் அல்லது அப்பளத்துடனும் சூடாகப் பரிமாறவும்.</t>
  </si>
  <si>
    <t>https://encrypted-tbn0.gstatic.com/images?q=tbn:ANd9GcTcPKkamQkacD0OyL-pQcemFn8OCu-F657QzQ&amp;s</t>
  </si>
  <si>
    <t>https://youtu.be/4hOepL7lPrI</t>
  </si>
  <si>
    <t xml:space="preserve">Aravanai 
</t>
  </si>
  <si>
    <t>அரவணை</t>
  </si>
  <si>
    <t>Prasadam</t>
  </si>
  <si>
    <t>Raw Rice - 110 gm ,
Jaggery  -  240 gm  ,
Cashew Nuts  - 15 gm ,
Cardamom Powder  -  1.4 gm ,
Ghee  - 16 gm .</t>
  </si>
  <si>
    <t>பச்சை அரிசி - 110 கிராம்,
வெல்லம் - 240 கிராம்,
முந்திரி பருப்பு - 15 கிராம்,
ஏலக்காய் தூள் - 1.4 கிராம்,
நெய் - 16 கிராம்.</t>
  </si>
  <si>
    <t xml:space="preserve">Cook the rice with required water and let it cool down. 
Add 5gm of ghee and spread it across the plate. (should not be mushy). 
In a pan, fry cashews and keep aside. 
In a heavy bottom pan, make jaggery syrup with 240gm of powdered jaggery and 50ml of water till it reaches soft ball stage. 
Add the cooked rice to it and cook on medium flame. Add 10gm of ghee while cooking. 
Add the fried cashews and cardamom powder 
When the mixture becomes thick, serve it warm. </t>
  </si>
  <si>
    <t>அரிசியை தேவையான தண்ணீரில் வேகவைத்து ஆற விடவும்.
5 கிராம் நெய் சேர்த்து தட்டில் பரப்பவும். (மெதுவாக இருக்கக்கூடாது).
ஒரு பாத்திரத்தில், முந்திரி பருப்பை வறுத்து ஒதுக்கி வைக்கவும்.
அடிப்படையிலான பாத்திரத்தில், 240 கிராம் பொடித்த வெல்லம் மற்றும் 50 மில்லி தண்ணீருடன் வெல்ல சிரப் செய்து, அது மென்மையான பந்து நிலைக்கு வரும் வரை சமைக்கவும்.
சமைத்த அரிசியை அதில் சேர்த்து மிதமான தீயில் சமைக்கவும். சமைக்கும் போது 10 கிராம் நெய் சேர்க்கவும்.
வறுத்த முந்திரி மற்றும் ஏலக்காய் தூள் சேர்க்கவும்
கலவை கெட்டியாக வந்ததும், சூடாக பரிமாறவும்.</t>
  </si>
  <si>
    <t>data:image/jpeg;base64,/9j/4AAQSkZJRgABAQAAAQABAAD/2wCEAAkGBxMTEhMTEhMWFhUXFxYWFhUYGBcXFRgYFRcXFxcVFxUYHSggGBolHRUVITEhJSkrLi4uGB8zODMtNygtLisBCgoKDg0OGxAQGy8lHyUvKy0tLSstLS0tLS0tLS0tLS0tLS0tLS0tLS0tLS0tLS0tLS0tLS0tLS0tLS0tLS0tLf/AABEIAL0BCwMBIgACEQEDEQH/xAAcAAACAgMBAQAAAAAAAAAAAAAEBQMGAQIHAAj/xAA7EAACAQIFAgQEBAUEAgIDAAABAhEAAwQFEiExQVEGEyJhMnGBkRRCodEjUrHB8AcVYuGC8TPiFpKy/8QAGgEAAwEBAQEAAAAAAAAAAAAAAQIDBAAFBv/EACsRAAICAgIBBAIBAwUAAAAAAAABAhEDIRIxBBMiQVEyYRQFkcFCcYGh8f/aAAwDAQACEQMRAD8Au+Cvh1kCpFtAnektnF+WNIqN8c3evDyf1OEai9v5N68GTba6D8xw5JGn9KzbwZIAipMJfkAmmCXRFS83wf5DjkT0dh8l4k4A9rLlUV5sKDRBk1A+KVeTXo4oRxY+6Mrc8kj34WtUwYHNSWsYp4NaYjHoo3Ip+HNXYluLoBxmXauNqBu5TA5mmgxykbGozi56U3p0NGcvgq17LbhPECi8Evlc0VjMWZIil94lq8nyPOWKfGKPVxeNzjcmNMNmSk0Q+OAqsGwVMzRH+4KRBNZ8v9RyNp4x4+DD5Hr50Y2pY3iS5aMgz7GltzFDoaUZjeJroeV5GSauRVeNhiqotdzxkziDtSvGY9WBJO9VUYiDW9+/Ir0fVyS1LZH0YR3HRNicWJ2NT4LxCyCKrV5jNaC9V4JpaJTab2Wm7nJfcnehL2YnvSVbs1h7lI8dux1KkMDjJNSLiaTeZXvPNUUaJykPUxBmm+Dx4Xk1UFxVaPjCaba6JNctMvN/MlbikmYXZNA4W8YrLvJq+JSbtmTyOKVIzXq1msTWgyG1erE16aBx6a9XqxXHFvvZhBJmoUzTfc1X3xk9aHfEe9fMrwr7PqfUVHRMuzxSIrOJzF5lWiuf4fGFaNObGKs/WhqPRneDG3bL5aztiIJFB4jHDqZqkf7k081N/uO1Zc3j5sj9z0WxqEekP2zJgdmitLl8tuWmq62NqN8y7VpxrNGKihZxg3bLzkxHWml/H20Fc+wuckCJqS9mk8mretmiqM38eDlfwWLEZmrN2qK/jgo2qn3caSdjWr4496yT8OWSXKTNcZqOkOcXmpO00AcR70tN+tTia0w8VRVJAeUbriY61BiccDSa7iDUXnVaPjJOyMswbcxFR/iqCuPUeutKxIhLMwy5emh3eoTcrUU6jRFzsIS7W7XKEY1lXouJymS6jNSBag1Vlr9c0DmG27BbisrhoO9a4XGhRW64jUZplBE3kYaogV6a1WvVdKkZJytm1erAr1EQzXprFemuOM16sVmuOFa3TUjXaEL1q1yayOB6yysYLia82JpdrrXzKX00N6zGPn1lb9AC7XvNrnjR3rB9y9UPnUN5las9FQA8wX58V5sUTQWuva6PBCeqwvzjW/mUFrqS0rN8KsfkCf6UeB3qkpu1r5tOD4QxelC1vTr+EHn69qzm3hDE2NIZdTNwqyT8hXcRfUEj3K010di8gxVuC9i4J49J/tQuGyy9cYKltiSYEggfc0/GhOdkLXKhZ6sL+C8YELtb0gGN+vypS2VXJgrvRSV0K5asEU1uHpvgfDN64RAqw4X/AE5vMNzFNwYjyxXyUevCulWf9Mz+Z6gxvgRbY+Ka5Y5AeaJQhXhZZvhBPyFdF8P+DLTNL7gdKuuGyLD2hsi/WmWJk3n+jhLZfcAllIHvRGEt1ePG2JtLsInsKpto0ePFgeRyQSDWK8oNbaT2okzWszXtJ7V7Sexrjj016ayEPY17ym7GuOMV6a28tux+1Z8pv5T9q44rZatdVXJ8uw46CohYsjoKiqNHqlUE9qz5bfyn7Vai1odqx+JtDtR0d6j+isLh3/lNSLgbh/KasIxiVuMcnY1zaO9SX0IUyu6elSLkd09qejMB/Kanwr3Lhi3aZjzAE0vKIHKYgXw6/VqkHh09Wpzdu3F2KRRmAyrE3kLoo0j/ADauU4voD5rsroyDpJJrr2HWzgcFatDQ1wrLQNx3J+veleX+HRhwt6+ZIEqvQmlOd48bgfE259h2rL5PkuDWOH5P/pGvxfHc/dPpBuJz93Ckt8PG3FTYLxSRdR7ukgbT/nFVaxhr15hbtKWJj9T1o7PfBeJw7Ivxho3GwBJiD7e9COPInyTNU5YvxZ1G940wGlSWDEjgLMVVr+eLeZtCBBMrA3+Zo3N/BtnD4BWC6rqw1x5nnmPYGKr1jGYZLN0MG8/bQIIA9yaHlvNNOHKtWT8eGFLkk38DFcdLKL9w+Wu5A5NL8/TDsxu2l0psBPJ96SLjTcYIxgnYE8VbU8HW0tasRdLDnSNh8ves3j4/IaTb38v5a+iud4Y6f9hbleb2rYkfKOv0q3f7gLdrzHWGiVtnk/PtVBsYqxYxQe2kqpOkHccRMdxVkJe4DcuAjUdgR+ta8/mzjGoK39/Rmx+FBy5S6+hPmGb3bs6nYey7AfatTnjPZKPGpRsY3amONS3YXU/H6mqjjMwS5dNxU0pwq/3NZsOXJTbbNuTHjnSSVEljMcTa3XetcTmuKu7FiB7TTbw7eRzDDb5VZkwVo8AGrR8vK1vR5Pk4I45e3o5qmWEmWBJ7mjLeU/8AE10FcHbHT2ox8sCKWZQoAmTtXLJkl0Z++jn1nJ/+Joy1kg7U0GcqLwtMmkEwGO0TwT7Ufmea2LTqqHWAPWw4n2oPJOrbLfxsl1QptZGv8tTjI07U+S6hAI4rJvrSepL7MrQmt5GnaiBkyfy0d+LUVMMWtDm/sFIVDJk7Vt/sydqYnGLXvxo7UOb+w0jjgyknlj96ycmp/B7VkD2rQ8jNYiXJ6kXK4p4K200ryM4TLgPapzgdJhlg9iIqxZRoDgsAe08TWfE1wF9Z+LYbcQOKR5V1ey8MEpx5IQWsGCQACSeABvVvwWR38HYOInTqgMsbgHjfvTnIVwmFwwvXCC5AMbFp/lAoLMs1uYy25dvKtcIoElz0HvV5Y/bTe2vj4ExJqXJrSK7jb9raY70z8P8Aie3ZtNbKHeYjjela+A8cyFyqA9F1S37UjtZfeJdeCkgj3mKz4PGyYFSe/wBnoZcmLKtlmzPOFvPh1ZjpmG6QCa3za3aa4uiyumQNC8neOe5qax4EVbPnX7zHYHSsCDyeedqa+DsuQXRcaWYS1tCN1QTFy52Y8AfWqTw5eS2v2Sjmx8W18D7I/DFuxLIjB3UnTMqhEEJq+fWlPifxDcQvh2CnUhZm5hO3aRBmrhmWMWykyNR3AJMnvt2qg/6htZYIyQbjw7wZCiNOmeZJB2rRnyRUXBMz4YOc05IrV3xZdawcMGHlz9SJmJ7VX7+Yes76vfrtS25aJfSpE7x0H3rXD6lcSs7gEd5qMcKlVu1RreRRTSQ1wcs4nYEjc9Perf4j8R2QvlWzrZREz6BA3Puar3iVDa/hrZVWEFmDa5kTE96W5dh7L27hdyHPpRR1Y8kzwBWikouMWZXLlJSkDWcwBuAk7Tz7mrraze4qfxGMDgH9K57isOE54npzNG5W9/FRYUEwfiJ6e9I8UZRpFPVaewzNs2uYu6TcaAuwHQV7Lbyg6SZoHyQjtbfkEiRwY96hxFsodq54lVIEchZM8zU2kHlafV1HI9iOhovwNi3fEiyxIB9TE9FA3Pz4qqPeZl+GZ6DerL4b8N37y/iLTaWEq4eR8gvfamhjjXRPLPkqb0dZzPE4W3YW5dgKN7a9WPQgda5znvjJ71xCw/howItj2PU9TV6XNsBiMOqX2UMAEIj1BuIFUTGZLbtYtBZFzyjuzXU1aVn4uOPc02bdb0L4/GN2tirNsccWxusIPA6bDj60Nl1q7eLom4QSzEgQB3muneI8LZXB+h1b4XhgF1KCNhHXcVynNncXmIUKDGyToA+dRyQSlTdmjHkco6VF88PMLllSOnpPzFNlwU1TPA2Z6b/lk+lxH/kNx9xNdG2rNwXyedmhxmxecvUVo9lQKZG3NaHCDrSvH9ExUqDtU4sjtTO1YQdql1J7U6xr5Eo5qLXtWwsU3XBVJ+EFR5myxN+ErIwRp2uGrYWNwOpruTekdYhbDMBPaoMWz3F/hoXYCY6QOTTXMMyt2jpfvpPttUvhXEHznAclApKJAIPWJ+vFWwYlLKnM1RnOGJpIr+GwD3Ha7ebSeDb06TwI+Qq0Za1tNKNfPAdYXZWH/wDXEVT8y8Qvev3G0BSu3ljdoBhuPqZ+lAjNZIdTMf5FVzPJDI+K0VwpThs6zl+NbzGueYV1D1Kw9MgcKOlNMCMPZVpVSrktMTueQ31rlmE8Queu1Mjm8rNY/wCTnj8JjvBBjrC49Ld/Rcb+G5I0j4d/hAB4ExVisJZwtq4357kagP5gJ0g9ht9645mWO31EmZB54ineG8T/AIkltQ+Q4H06UVly48Ndv7+rGnihOdr/ANLLmeNBh9RLmS5PA3IAH03qj5zmXmagCAF3O4k7gbDqd6LzzM9oUwPaq7YwlwhsQCuhQh3Ik62KgAdTtJHYg0PFwf6mLklWhl4Tyq/exCsqaLYnXcYelV/NJO0kGI53p7i8XZ8w3Es2t1KaIOmIgHn4h3rceLLuJjDWVUBwEKmCzEL6iWMAdW2AqvZvhLuHuMrLuvxaTqUbSdx269orZklJpcCcIJv3kGMxZVSpEjoaCv5LdQJcJUi6NShDJH/Ejv7VPcvq432FSYRoRSsh1hgTwR0In3Bo4UknaBlTtUW3w/8A6ai7hxfxjujMJt2hCkT8Jcn23joKRfgrmHuM2Huq3xJMSCOCd6s+ZeMMQuAt2n1C9c1TcYBSUBGygdwRuaT5Flr3MRbsXIUsvmQCCSsTGx2Y7bHiZq2RvSxkMcU03kBMNkSXbi/inFoMmoFSNzwAf5fkaU+IMr8p3Chwn5Nf5hxINXDNsatxVteWiG2IKqPUSo3Zp5mJk0vXHODbdtL+WGVAwBUagRwdjE7fSpR8iLbiP6MvyQR4VsWdBum0fLWyFdwPzz6iPv07Umv5ndVgVdo4ABiV6CBzTjCeJfLsG0LXpdyGuRtBA9AHCnbntW+XZwLU6RbIb+ZZKk9QRvSZfIXNJpr9j48ElFvsk8KWSrNiXtFoX+GCCJYnkbdI596P8SeJrkm2blvSyjUqbxBPpYnr3HtQ2LzUlA/nHzDtpVSoVYP5jsTxxVbOTtdt3MQ10IqvpA3Lu5AMDoBB59qMpc4cFoWMUpc5BeX2L2IYLbnSSRbDTpZ9pC9Pmaiu5VivxBw5IUsRbYgygB9Rk9tifpTPw3nbIFVbTXr6MVtAGAEZIIgdomaQZ1mLi4dYK3A3qBEEHnj60FjjDi0r/ZTlKVp0jOGwvkYq36lYC8q6lOx35HtXVDdrj2EttcGuYCkb/MxP+djV2y/xPaJFtpBG2rlSR70MkZdmPyI71stfnUPdxPvUPmg7itWC9ajbMLkb+eO9Y80d68qoK8Wt0BbJBhqz+Ho0pUd06QSeBvU+BtuwVrJ4USTwKFvW2tLcu3QEcKfLWQZPyFTr4iVShS04RvifSWJjotN8HmdjEWGuCyWVTDF1E8bma24MMO09lOMoba0cWzd2b1PvMkknkzuahy7NrlsHSzKOG08x7HpVp8aDAXQGw6slwCNgAhEnc9Z9651fbQSFaavDjH2ml8pLlVGt9tBJWRPWeR2rF/MgfhXT/MAYHbYVBexHRwd6g8lhBKmDwY5+XeqcV8k3P6CbeKI3QsO9MBnNwAbgjjUQR/7prh/B923aDecpZhLW0GrQIkarhhQ3sJ+dWPK8lw1oBr7+detRpQhWs+YZnnZlSBufib2G8JTwbtrQy9V9FCxDlh6rkTwehoTL0xCkvbS4y/mhWK/ImKtudYa1IIHEkxABq++B88tMBYYKjtpKseGYLGlmJ2bt0rseaE46XYZ48kHbOQ4/FXrgAW28dQFYn67VnLrOJcKqW3YTHBCqW6ajtO36V3N3uXMQiNbdbavyARrI+HftIBgdKrHiF0GIdxa1hTC221QY2ViOs/F7zQ5wiqr5o6KlJ9/sqOX2L1i65W6q3Usm4YYFgrkKQp4LdD2DUbbzIFIbc7zPJnuaV5x5zZi9vSRcIFkoAAQCNxA4AH2FYzXBFH0tqWIgspXkSNjxSZsXNL4KY5pNk13yy4fdSNzoAAJ6bA+n5j7VP4aNp8Qq3wbiKhS3bVgsy+rSzdB67h9zA2HCLFB12+XI5B4Pypn4Vvpauo1215oYweduNwo57b7eqr4rXZLNVaLrmtrCYprlxLPVVDm9cLMdgSAGgKAP1H03yHF2bDIqaVueoPcurqUDT8K6fVJI79aU5hmALeZat+XYb0WhGmQnJiOCSfse1Lr7TJBO9ZZZcscr3orDBCWNWWzM888wtY8q1o1KLly3q1Mobc6jvBFHeOMRbfDWlti15Rlg4bclIEIo6cg/2rm93M3B0A8iCf8AunvhXBjGOttmYATuqnSBBO7HYcHYdapDJlmmmu+hJ4oQpp9CQFIKksAdyOhjg1tcw+hQ8sB8ShgQrgCdIPvtHzp1jcLhcNiCXnEWVlCCQp1n0610mGAPQmic0zoXrQF0grbQqoIHsZPc7CpTywhT73WiqjKXWip4nGMXhQfUfSu5O52X3O8VccP4cuKqC4lx2fZUtxpDkCNbSQsnaR256VRsO+5Afbb1RG0gie24FdB8OeOv4RtX3fWssrmCH0gxbbbr7zz02rbGMI3ZkySySriVLDZvfwJvAbPcXSG2lQGMlGHyI+ntQGJxusTMk7kncknkk1LndzUimJM9P+RmP6/elgwbwpCgKxIBLbSDBmOOaklzSa+CuoPrsJTGlV0EfX25A2671nBE3XA6sdInYdvpUdhLgOnUvpJ3kETI3mONhUbo1toPIJkggifmNqrwTE50XDD59ctvpuXVuBtJ1sY0rvMwOdhtVgw2JW6qupkGuXm7I332NXT/AE9vBhcTnhgOgHFZc0dWZfIwxrkiyeRPWvfhacYeyO1Tm0P5ah6bMaiTMKGxiSjDuDRrCgcwvlbbECSBxRkqNkbbQs8LY667WLFu23lpJuPEgnf8x2UTVkxl63aOgPbUai7L+QljuCR86r3/AOSNpCFoEQAsAH32pFm2LDA+9GHnNNRgrX2/8HoS8W3ctf7A/j3D4UkXLDzc1fxEB9MdSOg+lPcpyrDXMMroiW7WmQp0C60SNT3CDG8/OKqGU5I2KvC2pjYn7fL6U1zw4a1YWxYcXG1KbtyCN7alQF7Dfit8HpzaM+RdQTdlZzjw8RqdTZuLPCvLD6ECfpQWW4EG4fNDkKjsg5hlEg/LberD4XzmxbuOb6K5CnywdxrkQI44nfpFQZ6iXZayPL66dRYSe08D2qHKvn/gpxbdP+47OExDYYPaUMrSCBOoaYksI2HHE8igD5NkliPN1Am2pjR1UNcAPMg+noDMzFaJnVy3bWyl3+G6qzIPiRpKshYiZIUHbbcfVVneNBU6BAG4nc++/vJJ96zxwY8bqK3/AJNUZyffQszG9xvzPH7VH+I0hWB9SkH6g7UFjFhmGrV2YdZA4HStMMNTFeg3noBzJ+VbFh0kRl5Fsv2Fza/dCabjsUBKwZK9TFWPLMHdt3bl7EKwVF1uzSZKAbKTud4+0dRVe8NfhksPdS/dVrcKxGkI+obqqMCW3J+wNV/FeI7l4FWLsBO3QT7Die9CWNJ72TjkUlS0YteJX/3DE4m36LjGEJhmVdQJ52JJRQduCw60wzDHHEprutquQATwYUbHYRVEvZbfQzctOpIW4CVYakJgspjiSN6NsLdg7NpaSnWV1EDf6HmOKOfFKfTBiyQT6GWLuEon/EQJ32HH96lwWHN68EkrbVA10gxKkg6T3k6AAesdqRfijwftVgyrMZsvJOp2BY7Rptrptr9Jb9KG4xYXTYfn2Yl+fhUBUUcKBsAPak+GxjElYYt1ABPAmdvarQPB1/zEZ4W0oDXXbi3J459TRBjuYrL5tbt6IT+IouBXM6VDGAbaz6TAElpM9oFT4KK9/Y6yPqHQgy69hwHfEIzkx5agkLsRq1MDxEiPlXjmrRpT0ifSizpHYQOf+zU2NxXmMWJknnigPMKnUh0tv6hsd9uR86KkpKgtU7Js4YxGsMBBEcfL/O1evBWtqFcgxDTxJpetwudzx9etTPYmPVEmIiOnMCu4paR3Iiwl4QSTydhHeN+1bYK6pJ3iZiePaa0xdxbIidv2pZYvwxMQCZHtVHtWTTpjs3JO535Hb3P9KExbaII+Hr8zWl7MAFGnZpJDDneBHy2P3oXEYpnWAu2wJrlH6OlImXMlGwrz5iSY5J2/tQcgwrALAO+5k9B7fP3rZLDbFVp1CtonyvTGmGtl2hVkngL79Kvv+np0i7IGr0/bfb7zVAy3GvbMglSO2xq7f6eX5a8zGR6QPuzH+tQzO00JnVQL8mIrY4wUOrg1t5dZbkYkOLw24n5UrzbEJbtkv6idvLmC0j+lNKSeJcA11JT/AORQdPYjqpq2S0rS2XxNc1y6OaXMaymDyPtUhzHV/f3pfmWJklXUqykzPIpTbxOl4nmlhj+T15SsuWVZ62HctaWXZCin+UsRvA+I7cVnE5BiWGq9psgy3qIDMT/wG8mqxczk4e4jofUpDDYGirviE3TqLkk7kk71q5VFKjJKPu0MvC+R2LxupeuslzcW+gJ6N/8AX3olvC+JVfjts8FvKDS8AwY2gx7GjPC2Js29N9wz3A2yjYIJI1k/nMcAf+mXi3MFvWLVyxKi2zKsyrtGnUAAOBIMzG/fgt43HfaJ3kUtdMqeK8PYsMv8NtPq9QVrg2naEkiY2kdqR5ot1WKNAIAkSPzAGDHB33HQ10PJfEWLFp8QbqkINIVwp1XG4gCDIAkftVWD3r7taCq7XTLFoBL7nVO0NufvxRlCOmkPDJNXZXly1go9W5HESfpHzo7I1RA157DXUB8tjqCKQykEKpUywmZ6SDzFP/D2TM7ObiA2rYm4TPJ2CCPzE8c+9D+JyVbUv/xqRptwCoH5VPcf1ppZYwaT7ZNY5Tv6EVq8CdNoEDoJmPmep96My3zrTFEmbjA+nclgNl4n3rfwRlgxFy5qYIVUt8JdjO3pQRMcydhtzNdBydrOEN7QAQgAa845YiSmoEwdx6VB43J6PCC/Inkm/wASr4jAYsghxrMEMpuozQYZgRqkLspM+1VFkVWkMbRIngkfKrtnHiQ30Xy8OLZ9QYqVJYSGAmBA9KyOsDtVUxOJBkNyOhA/rUpzV+3ZTHGVe5UIiQzFNvYj34/WKnyrEeWd+QZE7iQRyDseKxcwkkaNieB/3U+YYJ0UOywzbyrK6MBKkgDdTKnvNO1cTlKpD+/4muXQPOuFgCTBMSSZJIHJpFnGOL7zAAMfPvSoXveCO+1bYp38v4vTIMcidx1+ZqSw+7kyzyapGiYt+QTUn41zsTWuGWI1Qfqf8iirOGRtQYFWkn6do7VVxSEU7NrOI0iBUN3HPMj7nj51KEtWydcz0Bjgjt8/6R1pbbu6vSx9MzHQnigsa7Yssj+DD3S5BZtXsKL82RAUzW/kACdEx322HsKnTMwo9K6T+vfmKL1pAW9i2/qXofqOB3plkThiC3AO9a27nmSTxwR+9BWLxtMV6E7UklyjS7Gi97G2b4TWR5az3IG31qK5l+gLDkzEgSB/7plZxwCBRwd27motRYkwYP8AnNLGTqgyQLjMI9ojWCJAYTBlW3Bmr14AcraMiJaRVLx13UioB6hMkk777CDxANWLJMbpRedhS5UZszbjR0q1e7VMGNIMszRSKcLi1rPf2zKiwlBQ+Iw01tbcjvW/mnrV3Q6ZSvEPg63elpIbv+9c9zfwbdQ7HUPau43HB2+ntQ9/Kgw4FIuUfxLLLJKj50x+XXV06t42+lWbL/Dts2xcZ006gpUMFchlmRPEEgHoK6LmfhpWBEfcVWMf4cuWgzWhq2jTtx7fai8+qopjmm/cJm1WkRCWiIkgqJkyqmfUBPI2k1vYu3EtkEEIdLTEjcHTJ/LIYmOtLMxcqdJDCAPiGneNwPaaXJnTEhCCZI2B2J6EiuULtpGvkklsfDHbED6x7bSR15/Whkt3XuAWgdRMLHMj3+kz0oSxaYEseu//AFVuyfF27GHNyQb1wsqAR/DURLEnueB/x32JFVi67Ek/omyfG3rFi9ZZYLMq3DyQfURp6bgc+x+dJM6xOpYjqOaPTMWfXJ1FmLFu5g7noeTSnNTJVRyTWKXvyo1QXGB7KrgF60LdpWMFDuy6pM6pB2IMQfbinfiGzibFu0MSVKxCBIC8CTpgHVuJJEnvSjDYEEC4Cxtt6NSqdQfeFA67jnrB260DmObXLrS7EkHYHoe4XpwPtW6SuNGRL32Sfj14Ek9hUb2TcdWJCtGkDYccE/v7UrS8bZMbz1rC4gsQOp4pI4uL0PKdhmKsa2BWSwgyJ55j+0Cn97B21C+aplgGIA3CuurUBxPA36zyBuDl2JFlShQEPKsT7g/3g/8AiKHe2SwAYkfXYcD6ftVG69q7IVe30C4jKrM7A+0mT94pTjsvVTGuPY9KtqYdVIJ36A9PvQeMw9ouS1oCTOxMb8xXK49jJqXRWEwzADy3k88bA1N/uJj1J/EXYONuPam17LbRErK+4M1BZtxCQu20xIPufenWSxXCtkFq2nlywliZ1HmPY0KlkNtwszq5iP3NNMXbKQz7zsNu3aoFs2tJIaGn4I2Ig7yesnj50EnZzejRcMnAJP6T9KHxNohgF37zuNx78HbmmeHuhAREmIBPG9CLiAGuq43a2ApkCCGVh8xAO3vRXYG9AWFxADxwDzROPsaxIiQNulLrjamJI3+1bs7DaZrq+juQfktsMdJY9P0mZo27eVG0zsY6/X70owdkzOrTRtrAqTu00kqR3qInuqXeFnfk/wB6f4HCaVAqHLMOoG1WHA4It0NQnMhklbM5chFWFG2G1RYPAaYmKYC38qztkWW5UB4IPyNbHDT0otMKOqis3FB7/QkVs4/YRa2E3mt/Lijo9z9zULg9/wClDikdYKwNCX8Mrcj7bUbdYjoD+lCvfHWRSSr5Ciu5x4fS6CCA3sRXP828DKjalUrvIPSuuPB4M0LcXYzUuXDobk0cUxWBvIGMEqIkjgTsJ7VtlN8OGRvmJjk+/wBK6hj8jR5I9JgjbjfYgiqTjPCXlMxUsNvTG6876h8QHyneKpGakq+TRDN9ia9eNs7cH+1b4XQ5LXbmkEEbAs3TgcDruT/2pxV88GQRyDzWwaOadKvdWzS5aotFrN7dmRhZtLJJbY3COBLnjboPfkmaU4lFvlQg9cmWJ2IMbEnjrv70EoojDXgg2BnvO0fKhe7DSoW4yw9toI6kexjsajRwGDdjuKYYvGKSAYPXfigMbp1Lp/8AL7n9Iiqwn9kpxCf9wO2rjb7H/DVq8M5U+J3tqILQTPwgR6m9vUPfnaqKxADDvB+1NMgxty367TEMpBkfptwetO3WxK5Ki3ras2b963iX1aCFTRw5IMmZ2jb79YpDmOH9TOhMEk6SQdu20D9KCzLHO7FmMtMk/qYqJMbI5qE5ye10VjBIa28uPkm6oQ8yC4DCIHwTJ5pYbLAHbcAse0AEyfoKje/pg7+/aT2qF8VrMDjr7+3yp1J3YrWgzCZqwOmdiD/batbtpX4iT9t6GW0OtR4m7EaJPcfaKMnb0BaJDYYHQw6SD7c/0qRsKlwlnY6u/JPz71DF59ICwB7/AOd6Z4LI7rxqIQd+TXSnSEcortgGFwqvc06QSAZPQ/8AdOLWTr/KKbYHJhbEKQeu43P1o+3gG6Bf1qMslmaeS3oQ2srT+WmOFwCj4UHzp1Zy09h9KY2MERU3MnzYpwuBPUU5w+FgRRNvDHtU3k1NibZolmKmVfYV5bZrbyT/AJFBIJbL+MI4H6ftUYxQ6j7H961KyawyVubsNmxxAPX7is6vl9Kg8sV7yhQDZu1yoX3rPnHj/P1qM4o8ED+lK0FEV3Dqem/fg/eoblhhwZ9j+4o5N/atXWKRxQbFbgD4gR78j71G9gMOh/WmTihRhVnUNj7VJwCVvMfCtm6dRVdXuJ4/rVQzLwGykm3cn2NdXuJA6H6ftQrIG6V3OcemNGUl0ziWJyXE2vySPal12zdO2lp+UV3C9hFNL72V2z0oryPtFFnkcesZdd/kn60dgvDjuZc6R2G5rqP+y2u1E4bLLaxtNN/JvoWWV0VPLfB1qN1J9+tYzXwqyqfJ+ZEcn5j26+1X9bQA2rK26X1ZElOSdnIF8N4hp1ekfKoz4RuLwxntFdgvYcGo/wAEtD15Io80mcbxHh+/+bjuP2rFnw+x4cT8q7A+ATtQmJya03K/2pvXYHmkc1teGXPxP+kU2wfhgAd6uNrIrSkRq/8A2NGLgUA6/c/vQllYPVkyqWclK8CKLtZe/b/PtViu4ZACY3jmTW64MdCR9TU+bEf2KcNge9H2cLW9+wyiRcPyIB/WtsDdPWKNbJ1ZKtipFXpUrk+w+n/dBviyGAIB/T965qmFB6qK0Kg1uj+1bF/ai0FGiqKl8r5V7TRECnjE4//Z</t>
  </si>
  <si>
    <t xml:space="preserve">Chandrakala Sweet 
</t>
  </si>
  <si>
    <t>சந்திரகலா இனிப்பு</t>
  </si>
  <si>
    <t>Sugar - 510 gm ,
All Purpose Flour - 250 ,
Ghee - 75 gm ,
Sweetless Kova - 150gm ,
pista - 10gm,
Saffron - 2 gm ,
Almonds - 10 gm ,
Oil - 500 ml ,
Cashew Nuts - 10 gm ,
Cardamom Powder - 5 gm Pista ,
Raisins - 5 gm ,
Almonds - 10gm ,
Kesari Colour - 2 gm .</t>
  </si>
  <si>
    <t>சர்க்கரை - 510 கிராம்,
அனைத்து உபயோக மாவு - 250,
நெய் - 75 கிராம்,
இனிப்பு இல்லாத கோவா - 150 கிராம்,
பிஸ்தா - 10 கிராம்,
குங்குமப்பூ - 2 கிராம்,
பாதாம் - 10 கிராம்,
எண்ணெய் - 500 மிலி,
முந்திரி பருப்பு - 10 கிராம்,
ஏலக்காய் பொடி - 5 கிராம் பிஸ்தா,
திராட்சை - 5 கிராம்,
பாதாம் - 10 கிராம்,
கேசரி கலர் - 2 கிராம்.</t>
  </si>
  <si>
    <t xml:space="preserve">In a pan, add 500 gm sugar and 200 ml water and prepare a sugar syrup with one string consistency, add milk to remove any impurities from the syrup and remove at regular intervals. 
On a clean surface, add all purpose flour and ghee, and combine using rubbing method. Make sure not to over knead the dough. 
Add little water to combine everything to form a dough, and keep in the refrigerator. 
For the filling- Add kova, 10g of powdered sugar, cardamom powder, all chopped mixed nuts, saffron and combine everything and make small balls. Now take a small amount of dough, roll it and stuff with kova, and give it a crescent shape. In a kadai, heat oil and add chandrakala for deep frying, let it turn golden brown and turn at regular intervals. 
Soak the fried chandrakala in sugar syrup &amp; serve hot. </t>
  </si>
  <si>
    <t>ஒரு பாத்திரத்தில், 500 கிராம் சர்க்கரை மற்றும் 200 மிலி தண்ணீரைச் சேர்த்து, ஒரு சரம் நிலைத்தன்மையுடன் ஒரு சர்க்கரை பாகை தயார் செய்து, பானத்தில் உள்ள எந்த அசுத்தங்களையும் நீக்க பால் சேர்த்து, வழக்கமான இடைவெளியில் அகற்றவும்.
ஒரு சுத்தமான மேற்பரப்பில், அனைத்து உபயோக மாவு மற்றும் நெய்யைச் சேர்த்து, தேய்க்கும் முறையைப் பயன்படுத்தி இணைக்கவும். மாவை அதிகமாகப் பிசைய வேண்டாம்.
எல்லாவற்றையும் ஒன்றாகக் கலந்து, மாவாக பிசைந்து, சிறிது தண்ணீர் சேர்த்து குளிர்சாதன பெட்டியில் வைக்கவும்.
பூரணத்திற்கு - கோவா, 10 கிராம் தூள் சர்க்கரை, ஏலக்காய் தூள், நறுக்கிய அனைத்து கொட்டைகள், குங்குமப்பூ ஆகியவற்றைச் சேர்த்து, அனைத்தையும் சேர்த்து சிறிய உருண்டைகளாக உருட்டவும். இப்போது சிறிது மாவை எடுத்து, அதை உருட்டி, கோவாவுடன் நிரப்பி, பிறை வடிவில் வைக்கவும். ஒரு கடாயில், எண்ணெயை சூடாக்கி, ஆழமாக வறுக்க சந்திரகலாவைச் சேர்த்து, அது பொன்னிறமாக மாறி, வழக்கமான இடைவெளியில் திருப்பி விடுங்கள்.
பொரித்த சந்திரகலாவை சர்க்கரை பாகில் ஊறவைத்து சூடாகப் பரிமாறவும்.</t>
  </si>
  <si>
    <t>data:image/jpeg;base64,/9j/4AAQSkZJRgABAQAAAQABAAD/2wCEAAkGBxMTEhUSEhIWFhUXFxcaGRgYFxgXGhgYGBcWGBYVFxgYHSggGBolHRgVITEhJSktLi4uFx8zODMtNygtLisBCgoKDg0OGxAQGy8lICUtLS0vLS0tLS0tLS8tLS0tLS0tLS0tLS0tLS0tLS0tLS0tLS0tLS0tLS0tLS0tLS0tLf/AABEIAOEA4QMBEQACEQEDEQH/xAAcAAACAwEBAQEAAAAAAAAAAAAEBQIDBgEABwj/xABFEAABAgQEAwYDBQQIBQUAAAABAhEAAwQhBRIxQSJRYQYTMnGBkaGx8BRCUsHRByNy4RUWM2KSorLxU1SCk9IkQ7PCw//EABsBAAMBAQEBAQAAAAAAAAAAAAIDBAEABQYH/8QAOBEAAQMCBAMHBAICAgEFAQAAAQACEQMhBBIxQRNR8CJhcYGRobEUMsHRBeFC8SNSMzRDcpLCFf/aAAwDAQACEQMRAD8A2y0x+dOle4FOUI1krir0ohwagJVkMmFirUYAuWqBW0AXkIoVsmdBsqIS1Gy5sUtellqvTMihtRLLValcObUQEKeaGZ0MLwMZmXQpBUMDkMIGvkuIkrNT6ZSQ0piYhUBy4KdowGFsq4GNJCxVLnNAh7m6IolWyaoGLKVc7oHMUlpfSGufKECELOpTC+G7VEHBLzIL6mALDzRghXiSeZjuG7mtkK0SoPhGEMqJIEY1kLkVRVoG0ehRflCS9koo1hMG6tyQimu9/wA45r51XFvJe75HOGy1DDlxUuPki1Uyo5YyIXSuZrwOa62EQhLw0CUErndRuRbKrXLgXNWgqADQsCFqslzIY16whFIXD2uSyFchcOa5CQrkqhwclkKaTDWlCV0mCKxRWHhbroglddLiZwuntKWrJgSE0KUlJjguRBpwYc1oKHMVAUwEGGBdmKlmaNiF2qrnVgaD4ohZkSmdiABgMyMBWSqzNGFxWwr0rgm1CsIUJqAd4PVYjaOSgDWLqYbF0lxKLzJGkc7Ksuhp0vNpA5ZWzCj9gMFwiuzhHLTHzTgmBeCIwBdKj3MCWXWyrkCGtshKsCYYEKqmS4BzUQKq7qF5CUUrhkmONMg3XZlbLTDA0hCSiZaYcxsoCVeExQGJZKmkQ1oQldIgiFiiYAoghKkRO9Nalc9TbQomU4IVVVygACthWy5pMGJXQFXOC9oY1zl1lSoL3hlyukKgSzvCiCEUquZSgm8YCZXK6RKSN4paRuhMohYtDgGoZQK0KJggJRJjS0x5w4MKAuCJmSwBrHZIQzKGk1BzMI1pKxwTDMrnD+0k2R/dx89lTZXCiMLYXSqVqAgIujAJVstBJYatF2FwLq87Jb3hokqaKZQHER6RfT/ig37zKA1mn7VV3qCSM7NtGjD0QSAYhH2wB2ZVyKuUU8+oioCg5sRPelFlQO/CpXi0ocJv1gX1aMZXCUxuHqEyFdSVkspsRHUTRyw33Q1adQG6vlpSdDCvoaZJLCllzhqrBLML+kqBZnCgTExkGCjC8DHBcoqMYQtCpWIUWogUrrJcKLU5rkD3aYyEcq1M5IjFisVVBoY1ZCDVXh2aNzwiDVMMYHNK2ENVUx1EFC4FBIdJvG5UYV4qoa0Li1RNUp4a1LKOlTVkRRJQ2Q9VUK0gCSjACPwpAN4dTSKpTjuhDlOrxHzycvHrGxK5J6yrzKZCCpjc7CHUcNUcczAqmtDWy8wr5lSUDjQR1Bj2WvewdpvoVPka89lyzuK4oUqBlTlX1Cr3/SJalUsdmpnXUFW0qQc2HtHkkeKY6t3ISFbkWeJ6721DJbB7k+lTyCJQ0jtKRuR0hYc9h7OiIsa7VU1WPE6GOe5zkbWAK2mx5YYKDDnDO1kzQjFNpN00pe0pSSyi0KbXc2TMJVSgx+oWmwTtIVqZRt8usXUMW5x7RXn18G0DsrQfbZZUEEsTp1hz+C9+R2p0UfCqBuYaLs1WXWIKzHUTB9VjYchJlYInNVMDUJPxEDeFmqiDEmrsWHOAzow1JjiZKmEGwgoleiarc2hhhaAmFPMBFzAytU+6TqIBcrUKbSNsFuqqqqsgaRwcuhK1VRJg5WhXS5g3jhmJRnRXS6iWDFVMJJTFNYALCKg5LyoFU3Opo6JRkQE/wynYQ1rVK9ya5IdCSoT7CPnnNtZUsuUmxepKhlSsI89TDmtaRBIB71XRaG3IlZurmqUOKcZZAYBBYG+p6xTRrBojNCeWCZiVydjwMsgzeJOgVdxzeKTXa+nOa6SKOV9hZZmrxszCUhLnRwLxMXyLhVNpwmeC9jamp45hEtHNQcnyTG0cK6rfQJdfG06RgXKayv2bWVnmX2YfGGswbhOZJd/INMQFVX/s5MuUlSJqlzLZgQMv/Tv7wVXBxTkarqX8hmeWkWWexHB50psyXETVA4tyq1lVpKAXJ5WiOYsU6xRtDXqSrlGOkXCEt5rR1la8qXMzHMk6wDnEsDpuCsptAcW7FbHB8XRUSspPGzeraiPapYiniaRY/VeLiMM6jUluiXV0pSCxjw69F9J2VyNpBEhJ6p+cTGSmJVUS+cC03WpfOJQx0fR7P5c4qaDErDZcGKlrXhhDjqhlXSsUMMYwFYXK9NeomxguGAuzJtR1nMwpwRhGKnpI1jGrUorZoBtD2CVkwlc6pPOKmsEIS9WUS3N1QTQslaSQpOXWGQhJQ4UyrGCaEJctZg63SIaxTvTPPDpS4QGIzFBgnxO4B3G4jxaQIdbX5V1MNIk6JHitSC3eJAbUDXyeDr12uIDmqmjTIBylZnFK8FJ4LJ0LX94WHZxACoazKdVlESlTpjaCNADNUyV9O7L0QkSQhIHMlr3hjcWWNgKGu3O661FJNDOTp109Ivw9QPGYn3UNVhFgEvrsZmd5KRIQZwUplAFigfiU9so+ngaWKFc5WEyNkPDytJcITQqy2UoFT6J0SOr7xRmDTBMnkNlO2pJgqE6jQrxJB84MsadQnCo4aFY7tN2ZB45YuNQI83E4bcL08NitnLFzaUgsQbR5zmuavSDgVypqVBAS+kLY2SjiLrQ9lpVRwrRKUQ4Ylkg+WYhx1EPo035paFPWfTghxW7rqZSwCuxA2Gb5R6GLw76zQ51o5CV4zC0GGn1shJOGyH4yTf71k6XBALiJaWDoz2yT42HzKY7OBYKH2imlrCkyZfQsAQoC++h1BhhqUabpaxsfBH71B9bpgw9R7YJI/R/W6vn47KsF5SgllJUMyb3Sri0vY+YMP+sZYu03BuO7w5H1QjBPMxrsdPEd/MeipqaylmLR3lLKX4mdCCQRsOY8412KpucJZa/KbfPssGEqBph3z0EKMNw+oKU9z3KmsZTIBfYgBlX3IhNOvhq7gxzcp9p5LKmHrUgXAylGOdj50gZ5JM9G4SlpiRzKR4h/D7R2IwNRglhlLp12usbLJT69nDMRtofUR53DcT2k/Mh5eKquLw0U4Q5lVNxS+rxbSpyluep/bXGkPDChzIGdWrBcQxtNCXK+lxiZu8Fw1mdNqbE1co0U12dfRuzM/NLBMABBWOuE8YQxLSTFpqlrAQrLl1PLnHgFxc8FpghepRaGtuJlIqtMvMXXMmE6XZjvpDQaRcdXKkZ8osAk3ammCUhKCvMWLKDew3imo1rLNnzWUnF1zHkj+y2DEtNWA5ictdUOYrKlQNEBbXJLAAvoXb8hDXUqNgZ71GHPJlLps0tlaxOrX8oka9wbk0B33T8onNyUpc/uUlKFDOq6uY5B4OnVewFlIxOp39V5WKr53W0CX1JOZE0zCLDhc6pe523hjsNka2oXf2qMJTDmQ9slaXDcZTNASocWkevh8W2qADql1sMWXGiLnoSLFmMUODQktJKzuNYClfEhgfheIMRRAGYK/D4g6FIcP7LSkzQZ0xKwC/dsoAl7Ak6j0jzWMaXgT8j8bq99d+Q5R52WiqayUgqzTFAAFhwnw6ABhaHubRYTmJ8Lbd0BTNbVcBAHvukk7tApDFBd2uSEqt5m400hL8YGmWG/v13KsYVrhDh+ksGMTJhKktfxk6MSAl31awHmecMpOqV5B6/3+oTTTp04Holiqtazwuff3jzngDUqlrQi8PkTZ8xMpNsxLklgAA6j5sCWhmHpcaoGApdZ7aLC87KeO082RMEsEryhJCmILXYfCHYmmKFTLKVhniszPETsrcOxBQU6hlIBABB3+I3vAUz2p3A68PFbUp2hM6HH1y5llqa1iSRvtHUsVWpvs4+EkhJq4WnUZBA9Lpti0inxBJMxBQpJyImhnSpnIXfiR0I9jHqPxFPENJLSBMT37z3eXyvMOGfRIAM2mP0ktL2DQiWJlQslWYju0aKZeVIzi7KDGzEBWxhTsMKdPO65mAPNY2pnflGnNaOammmAUq5CTLEsAhKR+61DpIDpLpcEcn5RW2uww3LaL7whOGcG55vNu9YrEuyvcTMj5kkOhf4k+m40Ppzhk5TB9UoXEhBTsGRvDgAsgqqXh8sbQQC0UyUzoqeW+gghC40nLaYPLASwhVRl5QXGqZvC1yzuJy1TErMtrKJN7n9Y+efRdUpEs/xJnmvYpODHAO3VWGYcJa0rW5NiAbN1hmHHAe22vNbVfxGkNSTtRhVSZy56lJ7vMEo4rkFmSBtF1WlVcS+UNGrTDQwea1OCkIQEkaWPnDWAMHaCmqy4yFZUzQ5fkdNokqkZ5KNgMJZV1Js2u0SvJcITsgcCCkM6YpCiUE3FybnqzwoyyzTZKZgqMyQqU1h3MEK50KsyckZKrGuFGG8S0hDknVamRNmLljvDozAuCfOztFj61RzACR14XUfDY1xyjr4Vc6vUDdSbBwUvY7C7e8TOxFQmC/05+cJraLIsPVV0WKS5s3u5qicySlLm7m7OPgPnFWHxDar8jyTa0+9x7IK1F1OnmpiIMnr5S+r7PVapqnVL7tL5VrUQpSVDZKHIVsdA+jwb8E4kl5GXv61RsxtLKIBnkNvXZEdn+yIQla6xKVqzJUnOpwlIfVO6r3BcWGsFh8MKQMtG2v65peJxmchtInvj98l2ZhdA03NKVdaChMvMls4LEcVklWYFSmAdOjWeeDkgmJuLxeYt4e07SkVcZiKMb2jQHrb+1NNBKXLUkIAqJSsi2UkZlB2WqWCAoLTkmAAJcKZ9RC62Fouhzm3naLn8+Qn3RMxeIB17JHp592l0ww7s9lylctCj+IKUFJLFiFJSkDbRKdTruwYZjXAhnmCR16+KB2Me4EF3lAMqOMdmkrX3i053SAeNTuAwUGO52/mICvhMz87r2jrzTMPjC1uRpjyWHxSWsHi4WsAAlIAHRO9y+/PSPFrVKmbtfpexSyxZCUVWUquopdJSSAFcJBBYGOouyOmYBsbStqtkaTumOGYioImoUSPDMQzAFQdKxfxDKHbXgJGhiujJoOaZ5jrruU9QDiNI8D8jrvumtbjv7mWorIGdOfkzAZndwQQggjmd7kX1i5gbJnu7o/QMj51CnhwHusNLdeZF1V2crVCbMOa5Xe/I29GJ9IXhKzqdSJ1hHi6bXUxbRaCsld5LUhIunjSD0DlKRfUPbyj0X2YQwaXj5A8Rt4LzSLhzvD/ayeISVEWiejj5VDKTZushiU2fLNxbnHq0qrKmhXoUqFI6oelxeaCC4igthVHB0yFvezXaMKYE3hTzZeRiMDlNlrv6RTzifMoOAUuwVT5VbqSPiHjx8L2apV2Iu2ENj1aX10MBjKpLxPNNw1MBqymOV6lgC5yl9Sw6xjKj3TyT8jQnmB1pVL4sxUXY87akx6DDmZfVR1Gw62imqsckPteIHnMYlMDYCGqKrQu7c9PKFucAA4GYRAJVPqHhGYu1TIQpXGwtWu7KYakBNRMUlQYlKDsoKYFR3LOQI9HD0mUgHvcPA+ykr1HO7DQfFG4hiZSVErYlXNVm6WvpGOrljj2rk99uvhaykCBbbuWUxPFUMTd/OIizMdFY0EKnB8Km1SgpRUiUm5VvrojkXGu0NptDft29l1WqGDv5L6PSTJuUhGZQASCdS4G5N1HctzEW0q1d7XZb6Dr9BeTUbSa4ZoGqBXWFOZKiCQ3iYZW+8ejekTMrPYS03Nv146WGydwmmC208t0idcxKpywod8ykZgxMsJAlljq7Z22zgbRuIZVJh+vyfyJgeUhbSLSDl9jp5jTdN6WkWWWpCVLOVIPA6kgKZJyq4jxK8h6w9lN+QZhJBtp5ix8e9KYWUxka4ga7207vD8p1RYoVLyAm2lg7gOoOHcbaRXTxpdUyDqNRN/hIqYYNZmPXJMaWolrJye2jvq42MV0atOoTk9P6U9Sm9g7SUY/TSFpImIyqZ3Sz+2+usS4xlFwOYQe7VVYV9Vp7Jkd+iwWKYIqU5KCpPXhWAdFDrbruCI8z6d1My4W9/FeszENeIBWcnqUDcEs49Oo2vARNimxyVklC1IKZqsiCxAZ3Y3zXdPMWu0E3hZtbhcQ8aBF4ZX5JoQlylmfe249NjyhVSnNwiI7N1vsN7QyhlC08QOrC7aMdXi/DY1oAa8XHQXl1sG8yWmxU6yTLV+8lF0k3SQxQS5by1iLF0WtPFpHsk6bgn8JbC9vZfr8pXW4QladICliC1UsqwsNjfZxUslSAW5R7uGxodZy9ShiAbFIJE9SFZkkggxeQCFaWB7bp5/WWbyhHACn+havomHSlSpaEqUCoDXQ25x4NVvDIc0/0vHJDybJbjAe8edVdLpKop2C92foAvvgFcPduoNrq2vKPb/jspa4A2hSYt5aWmN0ipcQPdoRplGo3fcxJUxByBo2T+GMxKmJ/WISSjUJs6MaxdKHM2GZVko7s/hwqJ4Qo8IGZQGpSCBlHJ3+cUUKYc66Cq8sbIWznVBUpMtISVXATblZyq1gNDpFDanEeGgAu7/yeu5IDQxpcTA60STtDh6k3mCRKDEB/7ra5bAnz5w6phCLvLW+HWqKlXDvtl39pb2Vwx1KnTQCAGSnIlRcHxJKgUpZtWLvtrE9OqykSD7CT+vX+w6sSQA3r0v15LXZQkpCFOWTmSEkBNgUpAB8783No54axwLTykQYFpA7zz3m9ippLgZHgZ15lVGqWgFMscTp1JYk6OwdiFBtPO8DQsSIO3XpokYmjxQDmjXr2SqbiU+f+7nJlqQqwCQoWIZQJU4KSFFwXGhs0dxnPIb0PDqELMNUoAuaQbaddHRPKVawMzrVMNhxXYWCH0IsTsDBPfU/xJzc51nQeChfiC+AWx4c+aEpu10suiobuVau/CdQeYY+3pD8Nig48Gq2AddwD+p9EWeDIsealTzwhah3gs7KSAcws2nh3fqG6wp9JtNxa42+eurL1J4jAYU5dUxcsVEfe3fc8z1hWctdLhJPPfvTC0EQNEVMrj43uSdAfS7X8usWisfuPwk8IfagJ1R96+ZiDd3SopJSm4Iu1hs+hgg+DmOv7iw8/bvRZNtv116rLYpSJUXSwIAtoTo7XO76mIqoDvtVdNxGqUSpYJLm40s7nlraFsaDKcahVsqWlBSouC+we72DW10hrWjdCXkohNU+mj+3Qwkgh0rVs+ziFKlKXfKSAPNLv8/nB4pziy2n6UGIIDgN0dkjz4hLlDz6UKezw6m87JjakLHdo+zQIKkhjHqYXHZbE2XpYfFEWWc/q9U/8NXsf0j1uK1VfW0ua+wVOISFOqYgj5/OIalfDPvUavnGUqzLNKzdRUJUCPZ4+eqFokAeC9NoNkrRWzJSiqWtiQUnex1huHxD6RJbutqU2vEEJVOCU+HSN+5cqFVLQQpoSVQuqhgpoCVCTUhS0J4jmUkMm6i6gGQDqq9hzaHU6MkA6IHOgEr6wUyaWUJaEKlpfOUqyqmKNnKlOW0az2FoorVm0/wDjDYGoG589vLVS0WPqOzkz8D9qKl5kfu0ollSLFSSpStS2ViRfy3gmjO2GwJ7pP5670R7LpcSYPOB+Fn62hlVCErE096VZFgtlUof2hQAyktxEODZuG8bUo0uGamrtL7nw68ExlWo1+SOzr4DaevNaGSFSksh08CUgAbMN+TFmG46XnGekDl1gbet/Pbf3W7LUPa5lSkIGRTAlm0sUlTBQ5dHDPfrGMAFIho09p1/2Im+0rHEl4k/3GiCqasgFCmWGIAJ8G1lJ2sLaQp1Ytbw3w4fHgR4aJraYJzNt+fX5SpRULp10cW+I82ibORonkA6r1ZVTVAATlAAEWYP1JZyeusPFTNaVP9NSBnKkNTQFQyslDDWwDBg4B0Ja/rzaGUy5rybKerhGuMgwm1PmlypaEklCHD3sVEuwawJJbyEHXqOcBGk+n9KihSbTEb/KMlEFRAJKQznk2oc/QaFtogvIBsNfz1snF0BWTJxIB4raX2cWHMOQ/lDiJE3tohEAqoTGF2If3Yn5/lAi2t0RuqqyoSWfQCzAA/5W6wZqAmT16IQwhKFpTck9RYfrAS1MuhFyVEsl9i+gG4LmCZTcTZdmA1R2AYSmZOZcwS5VitRLO2qJb6nrsPQEuHT4ga9wA60XPqPDJa2T1qvpaKySMqJM6UlAHhABYDYcVvaPQNVhIbTqNA5QD+fwV5XCqXNRhJ67vyr1VdOtBKJyRzPCQD5H/aCPAqMIY4D0t5H/AElhlZju00n1QoxJKCCMkzKHUUqQFAbkJLDLzu/SAY5tM2hxA1EA+lh7phol/Ns8wY9efkiqOvkzEvKKCGJYhL+0Oo1KL2zTjwsD6JNSlUY6Hz+EQ4/CIqgckjtc1hZrgcRvHyTnEGCV9CO5Kq1bXhTqh3CMBI6yoULiNYwFaXEJLUV6hFjKLUsvKghM5YdMskQf/G2xKySURS4RMWeM5bOf0jS9sdlDB3Wv7NdmEy5sueo3QmYpIJd1hJyqYaM7+YENJIp5tLH1gkJLiCcvh8rQIkENMmuDcJBDfwtl4iogG3LWJcPSLBneDmiL2Htck+Se94JyM0652hA4tjUuUkpVLQVGwCuIsxDBNwnb9IdxyNWifgeGg6ssbRLjIcY7v3qerrI9nlH7Rm33O9zz+tImf9ogql+i+kyqVUwIL3UogO1kpF1N5gh/1h3BqPa2NXGPADf26lecajWk9w+dlNUlakTO7LS+JTn75Ty3uz8njm0qtVj8hhlz/wDKPe8T4rs7GObm+6w8JWfnL2O1j+keY4mQCrAvBfL8vZ4MTssQs43HI6ddnjQ0gg89FqjNnoCXZy4c2JbcB7DbSLw5rRMJQaSVXTVxQltSetrNy9fhCmYg0xAuUZp5iufbrufDqQN9bdfOAFZ7nSTbkEeQAWXJFU5AAJzHhDFySLANDqbpJ71jhAlPJPZepXLKgZeb8BUcw0s4GXN8L6w2nhnVWktI8FO7F02Ogg+K7K7JqKkpnzghSrsEhVtmUSP9O8EMND2sqGCfCOvJYcVLS5gkDrq6pR2Q4wlVQz5i4luBlJd1ZyAQ3h10gjhhniT42i3M8+7occScpcBy8b8hHugcU7ITbmVUIIDZkzP3diWcKRmSoOw21EEaYgy6I1mNPEWjznmibX0luvL+4IWfxCkqKchExIAW+TLMlqCmYEoAU4ZwLgawv6c1P/HBB5KplUROkc7Kj7RNS/Cvh8VjwuQNfMiEuwhGxBGqaHgx36d6jKxdQsAdG3jGgNuFhEqcrFVBWYFVtw4PrHWD8wXFsiFOkxcoWSlRG9rNGmGuzNQlsiCm/wDWab+I/XpDfqKv/ZJ+np8k6qFuI80nMZKwWSmuYiMqNBumNQdDg6p6i1kjVX5ecUUqZcJS3OATir7KU8tuEr0dRO/KG1mOpmAZCGm7OLhcVToSNCB8ImyDWCmyUFMqUCyTf39Gh1N7ft3WFp1KY9mZE9ahPKAmUMwzEsXZgUp5OwctFIouy5zZT1KjZyDVaBcrgLLyzFAElQzEgsUpSLW4i5caDXYQQWQXZT7kWiBbnfy8sntaSPjmT6W89Enn9naMKM2cozLXSFqBdvEkKGtjYqa8MacIwTPkJ/P7RGriHWaI8Y/H6WYwin7uozOCguA5TmYFrp1HL0id7IAdtJ9NFQ5023X0FSFoQLHwZRoUkKU7c0kjKOZIvFFRlRjbAi0bEXOnMTYLz2lrna7z32H4ullVVLAWCok6APZyXUSAep1HUdZHOqsY4PN9h37nbnuO8J4a0kEBJ1TIgF7lPXBPYekUEw1cBJQVRU/Jv0jC5xEIwAgFzzAxK1TpuNctJcJWpKSoDQFQCiDoWDn0htOkMwz2CxzoBjVbJPZ6llrUlZXNTmyu6zlFmDSQl1F2a+g0do9J2Gp03dm972J+Pj4Ugq1ajZ0t3D526uil0tPKKpskHTLlImIAsVAJzMrS5SDprZoyrSB7TfCILf0fLkuplxhrvWQf2PNdw2uqTMUJapa5KLlDFE1LuwceNIN3tZrkxTQJeIYft20/H5g7oK7KQ+4EE6HUf7UKrtApSFy5qQTtm1SrmCNQNQRrzIhFXEvINOq2etf18rWYZrXB7DH563+FGVjEyaDLzAaA5ku7hkqPrYqDXG2kYK9SoMk20uJ2tPnvzWmixhzx7/H6RcqSqYhEszmBKXSR3hUkqAzSyHYEhQBLMFXtFNNhIDC7yN5Hd3ctwDdKLwxxeG+ekGN9O6Y1IsqV4PTpmIE0ZilTIE5CVhKXdUt2sosS5B8J1uSHDp0ndkkaa6WmxjxOvujNepUaTA0vGs8+j6IWo/ZvSqKihRkJICguUt+JwWyqRZGuiulhF3D3mB4n/SSMa6IIk94HyLz5JWv9ns1Kz3k3gckKlh3D6nOoZS23F+cRHA9rtad0e8qn/wDogiW68j/X9Kur7IoZQlqUop0KiACwu1+Iv0HnAPwbIOU6deaNuMdIzb9eST1WAT0AAy3ChmdPEGdrtp+URuwlRpB+FUzFU3TfuulP2VfI/GFweSdLVsaia0QZwLKYBRw7DzOW5fINSN22hlBhcZOi57oCbpmyZaSgWDksCG6Q/i0wMsny9kPDeTMJXV4ujY+QcmO4gdoEwUyNU0pEy6imQUOJyFOpOmcZrhT9Lx6TBTFIE2cNuaieajah/wCp9k8XhNP+7WmVLK0EHOEMRZttfWHvqsgFgny0UgLySHH3Ua1LSygMNSQAzkl3PmYlxFQuYWk/34p1FozByW4jXha0kIbhSk3t6A7DT2iKviW1ajS1t4A6HIKmlRLGEE7ykmLTk5XD5gRu9tfSFnLY7hUMnySTC5pC5gcEqQ97uoOpn2LFfmWG4EVsILXMnVvvr13oaguDyK1MyqVLAllQIsTlcu72L2cA6BvW8LqVHURwyRGtpJ80gNDznhKp9a7nd9SfK2sRVKheSSLpzWwgJtU8AAZRwhJtVDAwnVdovSZcycrJKQpZAcgB211OiRbUnaHMpFC54bqn+BdnlJUFT5KlKU+VLBSENfMq5CjyBLBwS+zmsIIDRc7iIHr3eCU54IN7D1K16cVCQlMyUUAFioKSoNzKXfLzLHSK6VRgaBUEEakGfPXQ+amdQJJLHTyER78/RJKrtRlI7og87AhxuLaa9W+Ej8U8EcIkne3Ly0VLcK0jthK67GUTXUEiWslPGkkXB8ZS7FWge297wz6riDtNg8xbz671raJZaZHI/HglFJ2lnSJomuFkPYHxBWXMCBo7C45DlG06z2PDpn+9VtSi17S2Otkw7QdqETyg06WBDzAQxBOclKtrXNnBzvrF1d/FADDff31S8PhnNkP10CRLxJRPEFFWr663d+vxjyqjHB1yqQ2LQmWHYrxByxVZ9L3cHz+tDBNJaZCBwkQjpWLFEzxOhQUwJJ4gHKSXu5e+t4c2q4HNNr265oDTDhpdPMO7TgMkoQUkblQsTYP+bQ6jjC2BAjz+f6U9XCB15M+XXuneF4/LcygMjeEFViCxDeb2vp7RZRxVMO4URy7x3fj25KWthXkZ5nmmmeWvYJVsW0JYsRZ7gW6RXY+Kmhze8JbMwcgAZ1oLqIaySVFyCU3yk7PpCDRNoJGvhfwTxXF7A6e3juh/6IP/AC8v/uK/8ozK/wD6D1R8Yf8Ac+gWQVTlTXDGPlm4czdernTucUoGXRLAAc+b84rqZWzyIhZTBPik9VicsEJyul+JgAW3brA0qzGkNi26a6m6Jm65/VxEydnlLV3RD31BJ0BGzRTVyMM0t/ZTiq+IetzhNIiWkJCWDADS4/WKMKw6u391DXeXaFcXVZSpIRe4cnlo3OA+oFMuZkv4+i0Us0OmyEqJge4LHUvfoBt8IW97TsY3M37u72TWtMdR+/dJKpGseTXaQTKtYUirhs1tecFSrNywEyEIhbKCgSCNxZuo6wzikOBbqhLQRBV0ypUSSS5Ot9eUA+Xu7RusDQBZBTJ8FTprShlk84rbQgJZcrKGimTlZJQc2JOgSNHUdg/v1hgYNkLnQtvh1MadCQhIUm4ccSnL/vFC3EdmcDSFnMIcII9SJ7rIeybEkH08t7eijiFWUgnMQ4vcgm76GzOByhb5dMbo2gLK4hiihcrf+6qxI8wW+EAymQZP79U22yCwbEAalBUE5SoAu+5+hfmYsowx880FQEtIV3aDClyZ60Jzd3mdB6KGYJfmHI9I3FUhTdIFkFCrnYJ1VOG4DOnKyoQpR35Dd1E2SG5wFNj3uhg/Sa+qxgzOKZ0+FmRmdJCi8tlJ8Ns6lMd+EAHqY3KQ/K62577/ABv6IA/NcIeowzuzlVbOQUC1nd020csQDuo84ZUbnpd7fg/r4RCrKFmUdwNiWBJYD1OjRG0OnuO+yIuG6onFRYvuDcbj5fzgg8jVdlGyKpZh0JPvYiNaQdELgQiDXHvUsW2On3fve3yhhZmAPKyEWEJ5OxZTynNw4CjrsQCd99evWGGs8tGbUaFC2m0TG61uEYymakpmsQGBe7k8vXaPQw+KbVBa/wB151fDOpkOYi/sFN+Jf/cX+sN+lpcz/wDY/tL49bkPQLJdn6Z0mYoFrgHlz+MeMGQb6L0i7kjKqkCiFKnKRlL5gjMx2LCGcFphxcRF5ifZEKhALQ0GdphcxehlTlomoYlQZZCSkKUG4gDoefpDMU2nUIe25OttUqg99MFjttLzCZ0FMwyBgHHWFMoudLZ3CCpUH3JieFJJsUvuzPcPt6dYsyim0ncT73E7eXep5LnAc0JMUFXPI9TYRM6HkE/3onCW2CXVM0s6Q5fT01blEzy4MzN1n8J7QJgoHEZiUHJckanR7J0/zD0hOKbTaMmvty090dIuPaSiqSDYa+Wo5xN9PFgU8PQhp7O4+ucMbQdqSuzpbU1qE6Oo+TCHU6YBlCXIKditmEtjzf5ACKA0TIQSvUzzB4VKuBlTa5LJ8/hDmgOBJ2Qkwvo+EmVSJSjvEhhmUEZ1lcwsSTlB4UgFIBPtsym5tM5i4C2gv6xsL+cmyQ6m6oPt9YFu6efx7jVc2ZMJKlplh7nKnmoeFJuokG1/OJH0nVHkvcBfYD8b9SnDKwANE+Z+Tt1Cz1eZmay3uWJSQf4iCbQynh8rpknkYjzRZ7aLJd0VLZ8zGxbWMe4AIwtVhnZskAkfDTm72+cIcTqChNQaLZzsNMzKJoVPKQ5spKs3UpbZgUsPCkvF9RxqQ1zc0awCIPWo8LqJpDPtOX068/GysTJUjglzMjqK0gy/AcrWJBKrWeO7YORjom4Bbp++rLQWkZnCdjfX48UvrqBU0AqmZruJpYDNplYbMCN9/RP0xfDpnm4792vtfRPp1gwFseQ270Ni+Dyly8qqgKYfdScwOrhy7pLKcseDS4EVNYxgkP8AQdeaVTruzEZffrVJKWXOWlcuYFHuVlykEpLJH71mGV0kPZ/eEvok9lswLxGidnaCDzUsRoxl4Rtb0u/U7Ql7JRMelMobbdYkymbFUTZe+x5lDKogv1PU9QLQVOo8nLEriGxK7UzSyeebnyCmb3hhcIMIQIN0wpqzIhT3s/q4MbTZAPgt1ITFl/gP16QX0x5LOKOa0ExBlS8rWPwLvDse11K40PsVFhnB57wgJNSSSAffeIaNZxcQCrXsEImlrQogKUf5xUysH/cUh9PLoEyGJBIZ9ByfyhpxGRsKfg5jK4qoBQXu9+XJ4Saktg3lEGw6yEmVrnKAzv7uW8ks0LNcOOUCDfrwhMFOL9f7XMNr9gQWZ9HLn5O3tG4es+IaQhq0wblJK2Y6g6tMz7hhp57xM4B7xJ5p7bBCmpJJfU7m7BmaNFXPJOvNdEaISasvY+ULFQgwESX1kp/P5wzNGqxLZkmHByxGYDIX3gWj7lyTol+EE9XIAHMjQOQyOw5x0A69VrQ0m/8AvrUrVzKgEXUokpuAcrgEliBdQ39TyhTcwHZOo26v4o3NvMaFKqzES7AZQ2gceXlpGMpF7pI9FhKRzqibOWJY8rX8z1PWKnOcBBQADVbPs92bTLAUoOr3+UT3LrpT6nJaPYM9rC/rZ9NYwuNo268kqEyqEqnoKUlKUpN2cZuFyzezx60vrg5CAGnbeylblpGTclKsDVLSnuc6QMoCXLKDBgQpm5ed4hoYtrey/Q78iqMQ1whwGnogsUnzZKx3wSp0gES0qTLUPvBOawuSTqzwVeo8OzyIjaY8NNepXMaypTIbPjafHVTlYlSN4Qgmx4eWmguPlAMxFIjWFF9LWpmwnwUKSsQqpmDvQlAkSySDcpzrCyC2oHdu17x6dKsHMLibbpwDiwHLed1RUUGV0hlsxBcXHMNY66M9vdBpAGG3VDXzc2WaqaXKdAPq8RvpgKprpVZQ/wCn1vE7gmgqs0oIuWb6MY1mpJhHmQ6pViPa3xbcxmYggbSiaBqjfta+f+WK83ikwF9TqaNwUkODHu1KQe0tcLFfPsqFrg4LKYpg60F0AqT01HnHzWK/iqlJ2alce4XtUMayoIdYpKqaoG7htoh/5G67KqxV8ipGqlM3ubbdYZTdN3HRLd3BFz8RORPJTu3LYQx9SAEsNuhjVBRLlgdP5wq7iYR6BC/ail2Ou8EwFgkalcYKEE05tXjmNMrSRCuKm06fCCFNzbNQyCqJm506GNNKXSFkquYA0NNMIQVSKZ3s9vV9ABzJghSXFy0ww4U6UZ1ZQUpdRGYEpSQoG9mKmBNmUQN4N9PMwAm3LnG8HxhFTObTUdfhLjVFKVBM1QSS+uZ0g5pbB8qWJUWF3B0s+guawNEgHbe3xzRuAJkjTopJiE8kBDWUTfdt9yb21jScrYWASVo+wuC5jnNns/IM/r9dY6hSNZ0bJOJq5AtrUUmUZkcSG10Kf7xbX26dYbXw2UZmXbHgR39Du71IyrJh1j8oQqJLC5vrb3+t4jgvdlGqfYCV2lnBIWSeFUtWZ9DoNvNVoqwrmsa47Ft+vMpdRpJHMHr8JBWAApdiFX2521teJDRDMpdeVS10zCBmzFgZc6m1CcxYPyDsIUczPtPkiDW8l2lp8wVdKWDkq87N1OkcwAi6VWrNpiXJjSUhlKEwpSUjK51GUqDpPQxZQdw3QDbUjZL4zKrYaU0nV0nj7pRl6vLWMyVgaZFB2PIH0aLnV6dww5e46Hw68kttN9s4nvGo8UkrZH3izm+24fbTaEunU6qhp2SyYhoQ8QnNMqpa/wAuukTuedEwBCVS35CMqOnZMYIVHedPhA8NyPMF90l1CFhwQRzF4+tDwdF8kQQozKVKtIKy4EhJMWwHOLAQirh2v1CopYgsWPxDApyTwpiF+BHJXMxYO6Uzu+R4pZt9aQk4MjZNFYFDzK8DUEe8KOGLdkXEBXJGKS8wdiNw/RoHhBcXK2rrJbgob0jBShZmQ322NyLsyrVVjmGEFkXZl5NUDyMZkXZk57LSEzJwzeFAzeoICfiQfSMiNVhday0+MTUmymJ0Z2tZmvrYnqTAVHtJEiTpHx+/VHSBGmiwuJSAkjKsn+6Xt5bAQL4sqQSV6hSCtIWkEOMxALgP90DU8gxctaFN7bxM9arXHK0wAt1htR3UvKVplWAbVRYJJCSzZmLW+8AORj0GuLQQHBo079ifa084UD2B7vtn43160THEsUv3ctsoYZgeTcKdhyfoYDF40zwqWg3HwPz5pVGh/m/Xl+UNLUQoA6rKXuTwhXFbfNa/m0BRY5jhm1cR6Tfxm34RuIIMbfP9JdU1RUSAXCr/AIX5lhpd29IndVzOhu/lPWyc1kC6X1ZBYEAsCB5PoOQH5wurVmxRtbCpYsNtna1tRbzECMxEmy1SRMCQtJAVmAD8rv7H8hBupxv1sp61PigCV6hmFKVgKISGZBJINxz23g6NMEl51GiFlFtMAe6kt3sN21/KHVGSdE8FX5xlF7lzc7dINsABDuhZyHDhvT5xpEoxZLqgtEtYmE9qAnKvCdkwKHdmGcVq7KmNBhNdIOZE0oH8VvY2jBjQ37ZC8gsnVP5PbeZKIEwomcyLH9IsofydX/ISEp2HadFpsP7XyVi6ij+LT30i+n/J0XWJg96Q7DuGidSqmXMDhlDmCD8ovbUa4SCkFpGqjMoJSthB2XBxCXVXZyWr7g9oEsBRiq4JHV9h5Cv/AGx6QBotOyYK5Syb2HkAHhL9SfgRpCzQbyRisUlruwaSeBSh0KiYD6cIhWSyb2FUNDHcBFxAqE9kZqPCojyjOAFoqJ72VpZsiYrPdK0t5EEKT8iPURNiqEUy5u102nUlwBRmMVagXHo3wLx4TnPzar0mNELNT5hJfUw5gG6MlMezlO80LXtcEAgAA8WXW7OH/wBoa0AkDQa95jv+EmoTC2k6oTlUCSQGygm76ILPqLm1hDqtRpa7NoNB8d/PuUrWkER1z61S8VCU77ENfcFxta49ojZw2iRy68k0glCKrHY7ixPPr5wriOdr6ooAXlzhdi4t/t6QZIAOU2XDvQc6cYXJhEq5c/Z4OmdlxC6Zr/XU/wA4fKCFbJUAfr6tDqUA2WEKpc5nIDg6k6sdukE6xkbrgFemZZlCx5G7QVogrYV0ya993+mg3GVgCEqEZgSIU5ubRGDCUVAY6RI8ck9pUM8KhMlbDEv3qTLzgPpfaJCCwgkLywl0rsmN1jzaGHEuXWUplFIkBQM3iOx/SFuc+poF0IGRToK3lrWhWykkof21hzcRVpCywsBTz+mquQCSTMA2UHPuljFtH+UrAwSkOoMKlhv7T0G06QtHVBCx6ixHxj2WY4f5Kd2HOy1eGdq6Wf8A2c5BPInKr2U0VNxNN26SaTgmxyK2h4IKC6pmYek6R0LcxQU7CoyFoehF4cRHZUWdVGi6RhatzLNdpMIWkFaQ6LksPD59Ov0fnMZ/HOouL2Xb8dc17GFxTagyu1+euSyfd3+N/Wx9vjCKbo1VJT3A6pIUCpswQz/whgfPLv584M4iXTvH9JLmWhWrr3drB7RC917IwOaDVUdYyLLlV34094MAgQFhXDVco0grl4TLQYEhdKg+4g2U4utlXyybRQ1qAlXSperl/h6wQZcyuLlJSBrBnRCCppEYBC2VwiMRArqiGP16/XONJGUrRql9Ul+m/wBekKfJRtMILJ0H16wme4Jko+poaqSuWZk1MwzF5QPMO45NGVKlOu0nLBG6hC1EicZaQlS0nq7ekQMpl7srUB5oWdg8qYsqzkGxUAx8oYWvpkMdZaHWVv8ARkiWkqUTa97fAbwFWziFwJKqXjaSbSy3UgfVoWWFblRdDTSJrkS05hrwiz/XwjmkxEoXWSbtPSEMJaBlIuWf06ecOokAy4rolKaEVssvInTAwfKkkpOmqDw78tjF7MdksCgdSB1Wtp+0lbLQkzZSFlrgHKq3UOOe0UU/5gh0OuPRIOGB0Taj7cSTaamZJP8AfTmT/iQ59wI9Kl/J0X7pDsO4J/SYjKnB5akrHNBB9wNIubUa7QpJaRqrTKSdDDJWKpdHyjlsrOYr2TlTHKR3av7rZX6p09miCt/HUalwIPd+lZSxtRtjfx/azlR2VnINiFDci3qym9njz3fxTwdVW3GsKV1VIuXZQId77W2fQ+kTvwD2apzazXaIRQ6iAGFK3Oqlq2jjQ5LsyjmbeGNorJVqagNeGCkEOZcM8c43ItzK6VPEdELJRPeWjFymif7RpC5WonwMolJKxGLVb3gyKDX8nfRvrrHBwgrrygKpRPLp8veOfLgmNgKhhy+IhnCK3MjpdRnmKmmWoEFnylhYOfOPLcwgBsqPNZGSKALuCL89TCeC+CdgtzhMqfDxKIUpWm3PW3WFRBkrpnRTnzETBlWXBO4sC/OCfUzOLufssAIXZeESUs+54eLXQ252cxokHMuzEoeoqky/3UsHUZ1DUje+pL/B4xrhN0QBNyupxC7lICbDU2LHnrAlzDECFmVNZyyAGILsz+rfL4xhFkIWRqEzJiiVZt+EOzB7Bv5wYgaJlkTQ0U0EJKHQbMpwwD3D3FrgPvHEzfdAYXcTwJMxzLJlqcMsOkizliG5NYiGUcQ6k4EISAdVygmYpJFqmXNSCA05162AztmuWs7x61L+TdEwSBr3JLqLCnSO2y5Q/wDU05QzDNLUFJ/wrYjfnFlH+VY+xCS7DHZOcN7X0k8gIqJZUfuqPdr8glbE+jx6LK7HCxSHU3N1CaTZSFahobIKGSEqrOzMtbkKN+Sj+UAaYKY2s4LN1/YM3KFH4wh2FaU9uKWdrex9UnRQPoQYV9IRumjEgpNUYDVp2EZ9MUXGBQS6CoGoPoBG8BdxAqjTz+RgeCt4i4Jc4avGcHuXZ0XKXMZjmaN4LeS3OipK1dYE0GreIUXLmK5n235wBw45ohUVyFq+hC3YbkjFQK9Mxf4SfSFnDvCLiNUZgmG/dn2jhRqcludvNV/ZJ3/CPtHcCr/1W8VnNbZOG+m7DV2Dv6v8I8YiALf2psysTT5Bw5XfdwNnuHb2MCStEHVA4jPycS0kBvunPYakjKNBdgXLFgY5tLObG6NonRX06ZSwSmYFNYgDKoM7hQN0m2hAMC6mW6hCZCHn4WqbNSVOlKMvcpClBrHvJqspAKlAlAzOwSSAMxj0aWHdww0WnXn3D8+PgujdET5EoF1oVqxKfIsCBrbz3hbsAYmZPot7WyktMlCczP5gm/Ewvbc+9+URObksQh7RKDmYgpRskDSynL3fR/P6FhBkossIukqc3Qj4i1wRy3fnuYYGAiQdEt1lRiVQpLZczOSSmxA4tHBbVnu3TSDZ2HAnTu/Eiy1sFJBmOpUdHubDh/8AIe0DkJ0CYSAmdFPb+1QFZbjMClT3T7sN9jyMPpdm7myOUkfHJJffQoDF6MzFZ1JKQSoywXbLuxIubguLXEE9hBzNaWg6f7WscAISqZgaSLtpyJu1vY69PaDaXhcXAq+QqdTJAkVK0DYFTpDEggJU6DoNtz0ihmKqNMylmmHbJrRduKhFpsuXNbUoPdqa9z4gdNgNYup487pLsPyWhoO3lKts6zKJ2mpIG/3w6RodSNIsZi2O1skmi4LQyKqVNSFJKVpOikEKB8iLRSHg6JZBCjMw+WrRoJZJS+p7PpP3RHQEQeUtndnR+GMyhFxEGvs6PwxmQLeIq/6uj8Mdw1vFUk9nRyjOGu4quR2dHKO4a7ilFSsASNo3hhdxSikYMkbR2QIeKUQjChyEFlCziFWf0UOUdlCzOUg+2z2BVJQU2ulcwdTcy2+N4+KLacWJ9P7XpgKqbi8sFlCYlQ+73UxZPLKZaVBXoToYH6dx0IPmPeYKIFUiVPncdpaA2SVMHEtiOKaB4bsyb8yCWA0hjBAMnn+vzz2jfcwQi5KRUJK5eUAghR4bApBBUjhKXV4T5uN3YepltMjl/XPvTdWyCtC5YncEH9fnHqDRLOqhNAdR2LK9GIUPZ4JZeElm8Cil3BOh3FgCDsbRLiKAqN70wiRKrp6mWrnyN/J/ZvePM4MG6QXFXzasJfKC/S3K2p3BaOc4D2671oaTqqDXqfS1+pHW41/lpGsde4XFikmvd0sHCQWAI1I8ShZ22G4EUhojN1+0GVL6ue9gVJVydhldg253L29bkgXAt3n2TQ2FRLmqcHMpx5qKQBmtyGVz/wBJjWOdPP3XEBGlJIJ31N3Ll3GYC58VukG54O/XX9c0ACCmyVZrguSNn38NvMfGJYKbIU0yCQ7MbM9udrtoQB6iCDnAiFhhErwtMy2XzseZB02vz5bwZrEaIISyR2UmSlEyJypRD3SVJ0JAJKbHYX5ekPZj3DVCabStDT4nXyBxzpc9Id88vKoAO3Ggiwa5KTqDvFLP5Y6RySnYdpR1N+0OQC04KlnmkiajbdFxr+GPRpY9j9RCQ7DuGi0dBj8id/ZzZUzolaSfUO49YtbUa7QpJYRqje8QekGgXe6SdCI2Vy6JAjpXLvcRy5SEqOXKSZccuVc+ehGpvy+tIINJXIP+l09PeCyLcpSx0hg/tbfw+lo+IdSLYg6i8fC9OZUJYKiAnU9NfM8rR1Ok55ygSSscQLlVzlNY7OPM/oG+PlA1KLmuynUImm0pfUJAJUPJvXf/ACj3gBRJTM6qosQDsCCRs/sOm0elTeQIKbZ4lFLnWtfcDl+JJ9IpzIcqUYlUBISSN7DclgI4uBRAJXQqzFRloXmCmJ4QlgNEvqdL+fOEVjTptse0fYeHNTGS7uTaXKJsRvy5aXEecQ03RgwrBTAhn6a9E9G2THWAuV03UZ0sJl94opCApg6rlROiQRcuXh9Ok+ow1GxA5nr3QlwDsqqSvNtpf/7HXTT61ifPN0UKucMoI1Av8Dyb3+UdnC0XSz7Wq+g3FiWN+vn8Y1sbrYU01ay2ZnD2Og10JLk8QHkLxwjZYVd9sIBJSPV3NwA1tHs8AuC5IqFHxFRHLzfQdGN/OBd3IrBO5FVkDLOb26gvvo2hOuu0G2k52ylqYljUuxLFELTlyHXnb05fWkPGFiLqY447BJ/tSQfC2lw1m5A2HmIP6eN0P1rtwjlKp5nGUDKgKIQkMpDlyUKdwXNmU3SOAe0w03KYyu12qwX9eK6TMV3U6YJYJyy5x7whLnLnKru3JhH0VJzmtAcZPWiwgFaWg/a1NSwqJCFc1IVkP+FT/ODbVnZcaYWkwv8AarRKsqYuWf74Lf4haGByE01qKLtrTTP7OfKX5KDwUhDwnJmjHEkO4940Qh4ZSbEu3EtAVmUlIG7gQ8MbEoxQduvmnaX9pxU6aYOfxq080p384B9YD7U9lIBYz+t9d/zKvZP6QriPRwv0eiU2o9/00/2j40lMXVS3DHT/AG+vTrACRcLZVU2QDyfy+tvyjhI0WyluJ0xKSlJyqYhJci/ONzxZa1YmTgc9CyoKSSLm5LhnUNHVYadecPFZu6bmjRE43ic6XJAbTW7tcggEgEixDkaCHUqocYCLMDdZwYv30wAk2GodTDkDoNtLxVlAEusEp9XlqtvRVie7AuCOY3YgXD2fL6p848g0zOyFMZUtxYG+n8O318Yw6GD5dclytXJ0tZjfXXa0A4ghcEOvDUlQUwJGhIBI00PkD8owFwEA2RSl3aGlH2ea51QUjzUQmzb8Q82h2FtWaVhJUUU5CACTYDW/m5+tYS5wJWiVUmjS93CTbZ99jYDzPKCZEjNouJsrKqnSCUpTwgkuogkqeztwhnsP9oOpVpiBTB89VgDjqh1SxZgWuw9za/W++sJzgooRlLKQhIIDKI5ltwbHmIspMEZnrzsXiP8ABqor5v3U+sPdWawLzkv7nnrGCrmWoCoIDwc7lEAhZMwhXSMkEiNUULB4i65yyCSHPoALkegMe9TENEr1KVIugFDClOgGz+QZ78rXg03gGYjv8vxa6gZcdCAshXzZIUs5SADoWKRYOzXIO2pudWjkx1KXGN+u/wDPjC9InLsErXyASo36a+UahayXKC5qleJSj5knTSOXX3PQUUj687Ry0AjRWd11jYCZwzzX6r5ev5R8eElQ3McfuXDReX4fWBP2+a4apNiWh9P9RhQ1TQgMT/Mf/LGrmrF9udB/Gf8AUuLcF9/khf8AahuxmphuL1CBi2eE+CT5fkqJXalEtDt7/Iwir9xXNVKvD6n5QP8A7fn+Ee6grQ+Q+QjNliX9pP7D1l//AJxWf/U+X/5Qt065ritT5H/VHnDVNVM/8h+cOGixVVmqv4v1gHarWqO6frnDH/4+CzmuTfHFlbQL59/3FB7mJauoQhdXoYqoLQkU/Uwx+qYg17+RhtL7gibqFha3xK/i/OPebovZfoPJcX4T/EIMao3/AGHxC7Ua+3yjh9oW1/vPWy5L8UYELP8AyKvb0Eal/wCPkFMbRiYNlfTap8z+UGE6lt5/hQjEpf/Z</t>
  </si>
  <si>
    <t>Dry Fruit Laddu</t>
  </si>
  <si>
    <t xml:space="preserve">
உலர் பழ லட்டு</t>
  </si>
  <si>
    <t>Black dates (de-seeded) - 200gm ,
Dried Figs - 100gm ,
Almonds/Badam - 50gm ,
 Cashew - 50gm ,
Dried Coconut (optional) - 30gm ,
Dried Raisins - 50gm ,
Dried Melon Seeds - 15ml ,
Cardamom (optional) - 1.5gm .</t>
  </si>
  <si>
    <t>கருப்பு பேரீச்சம்பழம் (விதை நீக்கப்பட்டது) - 200 கிராம்,
உலர்ந்த அத்திப்பழம் - 100 கிராம்,
பாதாம்/பாதம் - 50 கிராம்,
முந்திரி - 50 கிராம்,
உலர்ந்த தேங்காய் (விரும்பினால்) - 30 கிராம்,
உலர்ந்த திராட்சை - 50 கிராம்,
உலர்ந்த முலாம்பழம் விதைகள் - 15 மிலி,
ஏலக்காய் (விரும்பினால்) - 1.5 கிராம்.</t>
  </si>
  <si>
    <t xml:space="preserve">Firstly begin to roast the almonds in a pan until they are amber in color. 
Keep stirring the almonds at regular intervals. You can also lightly roast the almonds. Set aside. 
First lightly crush the cardamom pods in a mortar-pestle. Then remove the peels and crush the seeds coarsely. Set aside. 
Roughly chop the dates and figs. 
In a spice grinder, blender or mixer-grinder add the chopped dates, figs, cashews, raisins, almonds, desicated coconut and the coarsely powdered cardamom powder and grind them until slightly coarse. 
Add the roasted almonds and dried melon seeds to the coarsely ground mixture. 
Make small balls in your hands and the dry fruits laddu are ready. </t>
  </si>
  <si>
    <t>முதலில் பாதாம் பருப்புகளை ஒரு வாணலியில் வறுக்கவும், அவை அம்பர் நிறமாக மாறும் வரை.
பாதாம் பருப்புகளை சீரான இடைவெளியில் கிளறிக்கொண்டே இருங்கள். நீங்கள் பாதாம் பருப்புகளையும் லேசாக வறுக்கலாம். ஒதுக்கி வைக்கவும்.
முதலில் ஏலக்காய் காய்களை ஒரு சாந்து பூச்சியில் லேசாக நசுக்கவும். பின்னர் தோல்களை அகற்றி விதைகளை கரடுமுரடாக நசுக்கவும். ஒதுக்கி வைக்கவும்.
பேரிச்சம்பழம் மற்றும் அத்திப்பழங்களை தோராயமாக நறுக்கவும்.
ஒரு மசாலா அரைப்பான், பிளெண்டர் அல்லது மிக்சர்-கிரைண்டரில் நறுக்கிய பேரீச்சம்பழம், அத்திப்பழம், முந்திரி, திராட்சை, பாதாம், உலர்ந்த தேங்காய் மற்றும் பொடித்த ஏலக்காய் பொடியைச் சேர்த்து சிறிது கரகரப்பாக அரைக்கவும்.
பொடியாக அரைத்த கலவையில் வறுத்த பாதாம் மற்றும் உலர்ந்த முலாம்பழம் விதைகளைச் சேர்க்கவும்.
உங்கள் கைகளில் சிறிய உருண்டைகளாக உருட்டினால், உலர் பழ லட்டு தயாராக இருக்கும்.</t>
  </si>
  <si>
    <t>data:image/jpeg;base64,/9j/4AAQSkZJRgABAQAAAQABAAD/2wCEAAkGBxMREhUSEhIVFRUWFhkYGBgWFRceGBgYHhgYGhoaHxgZHSsgGh0mIBcdJTEiJSkrMS4uGCAzODMtNygtLisBCgoKDg0OGxAQGy4mICYtLS8vLS0tLS0tLS0vLS0tLS0tLS0tLS0tLS8tLS0tLS0tLS0tLS0vLS0tLS0tLS0tLf/AABEIAKgBLAMBEQACEQEDEQH/xAAcAAACAwEBAQEAAAAAAAAAAAAABQEEBgcDAgj/xAA4EAACAQIEBAQEBQMFAQEBAAABAhEAAwQSITEFBkFREyJhcTKBkaEHFEKxwSNS0WJy4fDxQzMk/8QAGgEAAgMBAQAAAAAAAAAAAAAAAAMBAgQFBv/EADIRAAICAQQBAwEHBAMBAQEAAAABAgMRBBIhMUETIlFhMnGBkaGx8AUUwdEjQuHxUjP/2gAMAwEAAhEDEQA/AO31JUKACgAoAKACgAoAKACgAoICgAoAKACgBbxXj+Gw3/7XkU/2zLa7eUa0dEqLfRB41bicrx3gCfkTNQ5JBh5wIb/PdvP4du2xMxLbfbT71nlqPEVk1LRvGZPB48S5oxB8iW8hjVlGb6dP3pFmps6Sx+pdaWHe4s8A5m0YYq5lGmVmEe42p9F2ViTM9tW1+00uExtu6Jt3Fcf6SD/5WlNPoQ0WKkgigAoICgAoAiggKAIoAKkgKACggKAIoICgCDUkEUARUgFAFilmkKACgAoAKACgAoAKACgAoICgAoJIZgASTAGpJ6CgDmXMfPlx3NvCyqCfMo85jqT+hfvWd2t/Z6+TXChLmffwJeDRfvs+KvBirKwEyrEnrI1Ggqmc8tl7FtjiKNLxnizWBm8LNaJgzocsfpFVvt2xxHyLoq3Pnsq4fj+AEFrbqW7j67muc5R/7ZNbrta4aGNrmvAkhVJCkwXZGCKY6mn1xg+kJnVYuWVuZMRgb3hW7eIDuXiFMrsdTpAg+tNlGMOVyUjvSbaFXEbC4TKbTmT0k/vWSu+31OVhfP1FOKayM+AcyBVAuXWgH9bTE/6jrHprW2OqlLhPlFVDPg22H4krRDK0idCJ/wCa0q75FOD7LyOCJFPTTWUUJqSAoAiggKAIoICgAqQCggigAoICgCKkgg0AQakAoAsUs0hQAUAFABQAUAFABQAUAFABQAUAc+/ETjN108GySqSQzT8cQIga5ZrJqrVGOG8Z4NOlUd2WJ7eC/KYSA055MMRLE7yY2NJ5SXx8Dm902aLlXl+0xXFFAS1tCgOpXTfYATPypnnIu2bS2FT8TMy2UIABDhvYd6zaiyTSz32X0sUm2IUw2I4vbRw6sqM3maA2sSAAsHb2qaoaif8A/TAx2U1J48izjPBrtp7WFQuSzaWzoJH6gY19xWprakkVhYp5kzW4Tk/D2LatfzB23bNs0EwAo81Z7XDjIRslLKRnOPYkIXQEZVygSNSD10Oh02NKdeY/A+MFJo+LSZ8OcsNOhA3HUk1nqg1YitkNsiRwLEqbOQiWDEhRBSGifUa/aujGTlLkopJRNfyjx26xIvshcHKQvWNCe00v+4Vdn0KW6dOCaRuUcEAjY10001lHNawTUkBQBFBAUEEUAFSAUEBQBFBAUAFSBFBBFSBFBBYpZpCgAoJCgAoAKACgAoAKACgD5u3QoljAoAx/MHOJV3sWUOZWALkiDpMCKxanWxo8ZZqq0rsWW+Dn93HXbpdbmYMWbIioZcmPKu/vr0rnzjK9p2cY5SNKhGte38ynxHiT3UyuCCsKVfQhgY2pj77H0155wdI4bzraNkMASRAbSADHr00MVqnqoxjlGSWim5mJ/EDm+zjLTWlzs0iCphBE9f1bx2pdKnOW+SKyjs9qYz/BziCBWtkgMYOUsCTGhIHTpWqrO6SbF6he2LRteYsOfFsXrYUujEEMf0MPMRA30H1pGslGuGRdDy2hVx7G4gsCbQZCcqZAfKTA+pnfpWfc7cPwba4QUe+RGmAFzFeDdTIwENrrmjTzdRH1rQo7H2Xc/ZmJ5nA2sObtiWfQgpEE+oP8UpuELJZ8hL1LIxkivzp+ZsWgZXwWuAqI8ynLAUneCN96tCeY48EQ2uX1PrlDF2TeS2ytacrMH9TDfQjSRr60mWjjOSm2TddJQaR1DBQugPlPTsa36f2e1dHMseeWXa1iQoIIoAKAIoICpAKCAoAiggKAIqSAoAipAigCxSzQTQSFABQBFABQAUAFAE0AFAGa504j4CSe2g6kzGg6nak25GQjlnJcTduPe1aA5BaToDp166fcGsF9G5rk6NUmo9DLCt41/wAmRWdlFskkeGZHmLTEnbXvFLmpTbjDv5Y6EYwinPpDDHcMa5iGa4miH+oQPiIJXN9R9/Wk+lmx5684/IZG5Qr9r76MFxHjV5nYTCkMuUAar1BkH7d62UUYipy5Zmuty9sQwGFA/wD0HmI0Ekb7D/orfOMYLdIyVycntiM+F2jYuJcVskkgZTqGAEGTrBn7VkvlKMN678GiMU5ODOhcr8X8RXt37Ra6pbLdESZ1Ek/L/FZoaqNlTV0ev3/2FtCg1KD4fg+cecQfDt3MUqZmEk5VUGCZ1kjbfvS9PbuxBMu3UsySPNcObVyXbM1zUSZaTqDI1mict0trf1HLDhmK6KVzwxcYOWFzTTNr/qLMdV7/ACq+15z5IjJ4WOjNcwX7t7Qu7KrbMdtY2/zrToKMFhkKOXlI8+C8Rm4bl62L4S2LbKxM76FWHwkRp6TVoz2ySXKF21Jx+DY/h/xW4S/iODatlcod5YSToJ1YD+KvUpKzL6M16hsWPtHTa3nOIoICgAoAiggKACpAKCAoAiggKAIqSCKkCKALNLNIUAFABQAUARQBNABQAUAUeM8WtYW01260KNu7HoB3NVlJRWWWjFyeF2cgxHMb3sQmJ0BW4Z/UBrpv0ANYZXL1EzrU6Zem0ypxS8L7u7CWzFm0GWNyRAEdaY/c3gYlsike3A+HA22KsqER8UszHeABWdSTTa4JnmLS7yfHEeYrxtthmQK6+VWEhyNN/b0qrtSS3ITKnLzF8CfhfBSSr3FIUkE7ZiJmNdP+7VVa2ErlFPhfuWVGK38su4Wz4eKF97aXVVoZGiNZA30kdxseldC2e9GSFO02HNOOwt5ENrDxcBHxLEAjXbfQfastmU+OC9UJc5Zm/wA9eVgysSEiMpAkDee+gjeqvEpOL5HOCcRhjOJfmLdp8627yZ0dBbYu6SCrF2lZ099TTJenCPHtE11zz1lHrw9brL/Sw7ZkB1WWYnaT/bptEVgjfVOb9NNv5NjjOCXqPC+DzbzC4Xtut7xFkkkEIBBzJvv1/wCnTXNSX1XZRxw1h8Du3y9dxCqWQAdTEFhpuO8abUuyq6x5fRR6iuvhM+OYOG2bMpbsku1lwQqkmNIP160yeIyjt5M9c5zT3PgxODt3WRSoANtW+IDKQRmPm/v00FPhPtIa4LtnbuAYs3sPbuGJZegPt166VtrbcU2cqyKjJpDCrlCKCANAEUEBQAVIBQQFAEUEBQBFSQQakCKALNLNIUAFABQAUAFABQAUAFBJgPxdwdy7asrbIHmckExMLoPfelWwclwP081CTb+DlWFwj2VcXNJYACdT5dfltWC5LO3ydSieefAJjIUgyOmjaTsCdftTo/YwE3mWTcfh/gxdDkR5RM/LttWGMOl97I1Njj+IpxWHVcU/mDEIBsQc0Sw17VkvUlDjleX/AD6kueUhnfw8AExAgRrsOtcyl8Z+TSvgrHCJ+vqfpJB10I3O9d7SXb3tfSEWLasobcQ4VeYqzocltAEkhoXbeJIHr39KvqrG5LHQvTOtRfyxJzAbajxFZLRVZykxnI28Md4pkW5NpfH8wQ1s75z/ADk+uBk37QuC0ZIgGPiO06bExpWXXJWpJd9fia9K9ibfX+DVcpccvIfy3goXliRmhlg+YMInyyOh30JrTTF0QUYpMw6hRuk5yeP1/I+OYsYbN9bl1Vc5gSqgxA0j79e1cu22depcl9MmnTUwshsTx8G54bjUvW1uWzKsNPTuD2Ir0ULVZDdHycW2qVU3CXaK3GSyWnuW4Dqpidttj6VmdcoScolq5JtRl0YLh9+z+SxBZ18UtnA01MACPnNLrlHbLL5N1sJepHauOiz+H3Mr+L+TvEEMCbLeo1ZP5Hsa6NL9iMGprSk2jotNMoUARQQRQQFABUgFBAUARQQFAEVJBFABUgWKWagoICgAoAKACgAoAKCQoAyP4gcON0WGMZLblifWIGnaqyWUWhLDZzbjFrFJadWChLhDbCYWeu69D86xyljx2b4YbX0KGG5dW+9tbOIDE2g9zOhEODJt6a9pPY0Zioou5Sy2+MGj5fvPw66wvqqKwAADSNNmG5y9JPesdtbjia+ehkpeqsHy99LjtcSDmfeuNrJtzfhYL1xxhMZWVBnOTMSO00ij08NS/A1TWOYlaxw65eRipFsWhmZ5hdJ0Ynqf5rt6Btx3Jfz6mfUSinh+Szy1xe5cLWfiNxCBmmEBEEa76SflTnzzjH3ip1pL7vgSfidw2zZSyvilrjNGWRosHWBtBjSr182dgpuUXlcDPkzEo+GGvmtjLlG+Yagx2iNaXqqIp+p+3yPqsb9n8wOsDbdMQL7SuYm0WMSSxBjXWJG/tWWNtye6a4zjP3lrYVuGyPeM4+iI5vwPiQkkGRDdiDP3iPnSYTj/AHG2S7TyIrb27kV+V+M3MJ4i3gptqQZzAHXQkA/FtW2tT0v2VmPxnlfd8k6iEdTh5xL9Px+C1zvzIjWrao/kuHVh9h7/AOK2WXKUMowU0SjZ7l0IrGFtOxLvksyFjSZIJGvbT71nclOLa6RrcnDC7bMhwa3fOPsWlJztdRgRvlkE6jbRa6Gnk8JGW6KSln4P0TWo5wUEEUEBQBFBAVIBQQFAEUEBQBFBAVIEUAWKoaQoAKACgAoAKCQoAKACgDO87YnLaS2BLO8x/pUST7bfUUuyWIstBZkYzhPMObE3UZQqqnlmNQNDNc9yexM3KvMsIS8LxaWr5uXS9uwyFlZUlj1UDfSTE/tVI4nhTzgfZFpe3llFkxF4eLcKsCCoDESBBM5R+49KyTv2vL+7k01xSW1fee/DW8ABrpyppEwBI3+tZNTXK6ClFfQpNqMsIbW+LKBmAaCYBAO/b0MVgWluSyvz8DPUjLjI25NxviDwHUIAxuQSPMc3Ueg6e3aurBNVqKYq+Move0VLptW3usrEqLjlB0AHYjcfxXRrnFwy3n4QvbJ4WPHJ58+8dtNg7eFAV7zhGuNp5Ig/F0YxHtNWqe9psVskpNrrwYTg+GxNktftgRb+KdYBMAR1k6aDSQa0SrU1hlla4vg1PCOYGuXEZluEqwhWjKvXKGmNSp+9cXVVXQe5vKRujdW4NYxk2XGOGteRL9y6qrl+HprqRPU7Db96tVQ4JXSknn9jErFlwijJ8cwFy7cQ5WNrKA3o2oJga6TU2a+Enib4H0x2p/Irx3xWrAAgHZwJOoOg6bfOYplNkWm/BW5JcyZ73b161duBhDMwAUIDplmBOx1+9aKYKcJPrnH5GT1MNI2nJPCQbhxfhefLlGaJGwJEaDaPrXRojhGK+WXjJu6eICggiggKAIoICpAKACggKAIoICpIIoAipAsUs0hQAUAFABQAUEhQAUAFAGU5jukY7DKw8jWroH+6UJH0UfekXPCTGQWYv8DO868BIZcRaGojMI3HUetc+eN27HHwatPZj2v8xBzVdtulq2BkCgtIjKZjQDpEHtStZZjbtR0NDHc5bihgOJ2gYvFlUfBlXXfaJ2NZI1wmvf39DVapR+whhiLhxAujwwfDAudsqCMza7n09a2xp9OM9veOPyOZb2uRph8PduYMWkuZhbcPlgagTpr01rlxutcHX47x/r9ysJKNimuBJgb1s4lFxCjw84DDNljNIzZgf0yDv1rdpEsrJv1Dcq8xHvDeHrdtmxa8O49q42S7OXPbGkQeuvzitP8Abwi8wXOTJ68lzPOMGd4zbfx8zBZOWYiBAAHlHpv61GonJzUkP08YqDiMUS0tp3z+JdKHLkGXK4Agn/SANhrtWhSbW59iHF5wlhGfwt0oGLwweVEaGd9Afelxak8PlMZODwPOaOEYr8rhsQ7Nnzqq2gwmCCZ7Tp1JpP8Aawrra8MRTalbiJ68KOLFkXFw7KXIkvoP9xB1HyrmT0G99cLydCWqpfEizf5fu27yXLjLcuXWhFRToQJjX5mfSnW6SVajGJzJ2+q38I83xAsXini53mHOWVViRKzPxEV0tLW4rbJi5QzHKR1rD21VQEACxoANK6xz+z7oICggKAIoIIoICpAKCAoAKAIoICgCKkgipAsUs1BQAUAFABQAUAFABUAFAFDi/ClxAQk5WtsHRh0OxEdQRpVJwU1hlk2nwLsc4yGd1Oo9jrWBpxymWzyYPm/hea6TbEpocogAEjVvX2rn3Nzb2deTsaKxVr3vkzmFwg/MWUY+YsAfQa9O9L07luNmoktjfgqcSwN6w+IUt5lbKxH61J3gdNj/AOV0YKXLOe2pJMOE4+/gyqmVVpOZg3mGwGvtNEqqrGn+wrY+RvwxExuJyOQhYjzKSQdNRHfSsstHZF+2XDZphqFCGMdFbmEW7DWxYuEuA3iRMKdo+gM+1aFGeMrwUjYm8PyeSYu6Sp1AIIB066EidyPX6irStjlSlwXUHhpDFDhiuWLhvMPN5suv+09KvN17d3P5kRlZuxxj7i1xfBCy9t3wyqjgADMSpbTzBhsddQJiPnSppRe7ARsck4p5Nrg7LYi7YS+gCWrZuET/APWQi+kQWMa/FV/bNqMn9TA/+NOUfPA+xcRtoKdnwIMXz4b6Lau2LmQoXLEEAwVI0nfSfrVbIvhofpnFtqXk5rgbGa4BmJLMDv8AEZ3rLTNu3DOlalGs/RlhMqqOwA+1dw88fdBBFBAUARQQFAEUEBUgFBAUARQQFAEGpIIqQLFLNQVABUgFQAUAFAHzccKJYgAdTQBTTjNgrnFwZYLfIdY+dVU4vyXcWhff5wwqaFiT2A1+k1R3QSzkuqbH0ivh+cLdxyqp9TqR3ik2atQ8ZRb+3ljLPvGY23cDHKVJ0MazpodOtLlfXZyuynpyRj8fihopOpUgeuU/4Nc+mLc5wRsk/bGRgeIY9ku7wyGQY1ncfKpprw8SN857oceS1gubCb4vXkRpIJGo6R1n3+VbJVcNZ7MSl4+DVXuc7DsFxWHYWWXNbMeW4I3kgd/b1qkNJGMssrvk17XyTydw+1jHAtqbdtRnuFdCTmOVQeh0MsIrc3FJRwIm5ZcmenH+W7C41Bh3BAtsCtwlkDGdMx12Y9TGlZbprOyL8D6X7N0l5FeJ4Xes5AZyqQVjbMNtdutZpRbXRshODPHmfAh2GIDKzXAsi2ICxoSd4J7iiSm5ZX/n4kVyiva+vr3+B5cv3HcEYhn8GypZVZpGcxAE7bfb1pl7W1Z6KwXue1cmnbmVltWrxXPDhDB1Igydfbr2pEIytxL+MpbFRk4BxL8R7IEW1LN2MAD5ia2uaRlWmk+zGcy8Wv4iGuuoGXMqLMDU6a9YA70qUnJZbNFdcYvEQ/Dnhz4nHWwJy2yLjnoFB2n1Ogq2nqTsUl4DVW7a2vk/QNdQ454XMXbUwXUHtIn6VJB6eKsxIneKgD6mpIPksB1qSDxbGIP1j5a/tVHOK8l1XJ+D7tXQ2o/Y/wA1Kkn0Vaa7PurFQoICgCKCAoAipIIqQPbNVMD9wZqjAbgzUYDcGajAbgzUYDcK+J8w2LGbO/mX9I3J7CquSXbGRjKXSOaHit/iGLlSGUE5QdUSBrKkjXUa/vWeyZrrhsXI44nwHE33e3buoGtKpK6gMWEx6bf+Vldk+orkbB1xScs8mfw/CSt0rifEDKAGgdOms/cVm5cvczapLb7DacPu4Ek2reUERodCfad62wdUujm2q9cyPO4pS5oUa2YHXMCTEb1nnTteYPP3jIOMo4ksMz3M1izYv+e6yi8p8PysQjACdddzFS6Zx9z8lq7Yyjtx0Z7jHKhsBcXcaQ+ysA4YlZjKTrU1Saj71yXbUpYgzKMzlWXLltFwSSsqpnygORp7daakpdE4a77PDFY+44RLjlltrlQEyFXsB0HpRKbIjBLkt4PF5fLbd8jRnAMEgbiR110ojPHZM4ZRuuWccbgexeH9Bh/TLOA9sqseW56hdz196TZCUuXjghLbhorYvHG1ZFk2yTLFbj/qG4BjQmP+KRamkkaa4+5yFYxZuHIQ2ggAOAIIgHMBEa7elNgns7z+OP2Fzl7usFm9euWcOEuODn2UCSO5LdvT1rM7d8sS6ReMVnKPlXdMIMzrFwGFXVyNenSTUxzB8eQbjKWX4M1wa7b8dWvaqstlAJzEbLT7E9vBWTb6NpguOYa6z+JhH8R0h2bKVzbKFH6QBGu9V1FkIwiJpqs3NJl3lvil3Bo9q0iZ7hBLquqgLB1j5idtadpdW5x9kcfVitTQlLM5fgPuEYq5iATcxBKLv59+/wAq0vVPoyOpd4GODxmFL5LJV3Opyj7ltqq3u5yW2yS5Lt/Gpa1YBT6MJ+9C747K4bKuJxLYnKqXoLgxroPeDqfSqO6ecMZGtLlo9uH8CWy3nYu39zfwJgVZT8MrZLPXQ7s2R2oT5FNsp47GPauqFWVIGYRtLQDPfem+pKDSS48jK6YWRbk8PwNlM1tMQUEBQBFBAGpAg0EEUARNSXCaACaAAmgCpxLG+DbLxPQD1NUsmoRyXhDc8HK+L4NszXrpeWJJg6amSQP0jXauVZZLdz5OxVtaxEY4JTYM4dLlxsoDstuVUAkjp5iQdtaLG5RxHwQorub/AFEWJ5nvJic1i8xd/KzOBrtAIiBGw00qqjzlvx+I1KDjhroccbwWMdRib7gKpUOU3VCYJCwMxE7TURrzhyIhdGPtrEi4B7+IK4VmugmVdzDsAPMSJgazv2q9lSawnx+paN2FmXY0s4K/hXW9iLcKrQQWGukggjp/isyqlGW7wWdkLI7YvktOv5+7I1AXNbzfCdxsD76kTWiVlkliRkVca+ULuI8PtMoUO1y6jZTbOc5VG8AmAB6Vjipdp5eesGxP5WE/J82c9lVbIrYVmNp0Yqc8k5vL0Hb1FPlLLU4+fAtRynF99pmb5s5dFl1u2SXsOfK/Ud1M6yPvTa7IzFtyXEuyrxLjNtrYtG3bDIAq3EUDRepAEsx/mrWwcpZ/Ymqe38TovCsVgrdhLd+zckIs6i4slZ0ZNtO+1KlVGKy0yPUnJ8NfsMeG8MwF+1mtAOQcxQySB/ae1Y7IVQqc0/cvH+Cztu34fQg4xxJsNbv2baLF0wARMCMpgRvAEaxpVdBqFZGUX2TbW/bL4M9j8fmTLiCyvbWLSBRly9DKzMxvNap0vGCIzwyMJj7KkKltnkqHyk6ITLlW79INEHGvmb4/UVZN+ATg63MYxwiG1aJ8iv5iBA6/U70q7Uwk8Q/AiFskvcOMLw5srGcxRyOkev3rJY93DX6j3e0+B5yVxD/+m/auC3atrbUqSfM2pzeYnbv7iuzTfXtUa+DDZBv3PkOPXraW793CWDca4uUZUhFUDLMbEwCdN9KWlHLyhi3cJsx/Jb3VuNdRlACiQTE9J2PXf1NTOWMKI7YpLk3OGa3duAYi0LkeYOoJjXqANx+1RsUHys58ormSXtePoKeM4u1h2Yi2zKHm2w8uXYsP9ppKcJSaX6mmMZOKz+I14NzMtxvEzMIA0lmn5Hb5U+nEZPLMt1LawkbnBY5XQOCIIzT6VsraklJdMwTjKMseTA8w83m7cdLXwo6w+kErP1E/tWPU6mSfs6/0dHT6ZKPu7Y44FzM7FVuKYPxHKdDBOh7TWmrUzcluXD8/Bmt00NrcXyvHyaoYkV0lHJzg/MVOwgg36NgEePRsAg36nYQR49TsAsUouFABUgU+IcTt2VLOw06Dc+lVlJRWWXjCUnhGH4hfe8wvuzMARCDRVUkiT3Pm3rBK3emzYoKPtRdIV1IYSCIpE5II5TyhNb5iucNBw6oLgZiyRJYJpMjrHvsKKpzUWor8x84xse6RUwVzAC7fxWLHmIDC3HxGAQSo2JJqK7YSy5FnXPiMCjxU4nEIWyf0yVAEsAvXRSYmOppNdq92evk1zrjDCXZW4DgvCdDba6bxmMiknQSSMu/X5VZWO2aUURKtVwbl0MuIcYxeJti3dugo0SMqh942C02WccvkpCEE8pCyzw3E2bwXDZg2hiY6jWe0GrQplLh9lLbIpZ8DHBcQ/K4hzikLM4kso86nclTEdYMGNKViVbxJYZdYsj7HwWeO4e1dtE277N4nnKOhDyus5h5Z9ZrL7fU3Rl32Oi5RWJR6NFw3hCX8E9sGQyAD0bKNR2IkGmQi4ybMmonmSZxHi2G8Ivbu3CLqPkKeHoV/vz7TrtXSr2SjlCJOSf0G3JXG/wApd/puCH0NtvhY9DP6WpMp2QbaXBZLesSOpYXmLDKhuMgsE6OPLPvpqT8utcvWWRu4iuemNrrlHzky3OXP+EuIbaWs2kAxBPrNRDSXWWJxSil+f6F21Uvc8syHGuJWMc1rwML+XKiHKsSHAAA06HfWutfL0o5wjHFyb7NbwrgyIFCOGlQSY0B7etcPVSg13lvoZ0uVyObnFbNhGXDlfFghnbpv8I+VWp21Q3RTb+X/AIJqpdkvd0KuTeJhs9m6DL+a3PXuJ79frTr6msP5GWwX/XwJuZsWC6m0A+Rs2vcHbWr6Sh5yyfSlFZkdD5e5lsXlVCQtwj4W0b1Edx/itLscOJIRKp9o8uY+Xw/9W1bGcGZX9Q9YonJOPCyXpnteG+C/yLwtst43x53bTpAiNI2/4FM0yby5cZK6qSylHoVccAxLG2CCtuAxTUFh6kab7elZHb7u+jXTBRjn5+Tx4LyujklVNvQSDPn1106aa1eGLFh8EXWuv6l3mDlq9MWGyqdApJj01/4qkqpKW1dFKtRDGZdmZ4rxPwbfgXAEu2ygDJBD5dYaRMid/etFbfMEWcE/eun8jnCYrx8OHS5lJEHKdVYQdvpWrDcOTnySjPGBzwTifnFpmklZBG2bqPQ+lO0Utr2t8PwJvjlbsD8mumZT4k0AEmgCCTUgRJoAcTWYsJ+Lcx2bA1OZuwqkpxj2PronPoxnEudL10hLfkBMetY7NVL/AKnQr0UI8yNDwXDYe5aZLkMWBl2+Ke4PSl1zVq5Ym/MJccGaupbJayL5dPKsqCupaCCfQ6TS63HLjF5GShLiUljJ8YrHC1eNktmI0XKR2nzdjArPcpxm19OBtcIyhlDW1hrd5w/hhslvViSMpmdI3n16D1pc9QoR2xWZYF7ccP5EPDxbu4t7pKkhgAhA80GdJ9unaraGEp1y3Plmi6OxJI0XM11GyWmBtrddJfeBB0yjfWKf6bilGfGWUpfLlHnCMzy7wsXcRcCX3K2iQjaq0ggAqOh6VEY4cnFjbpe1ZXPwNeYMAtlbdp1Y3FVsjZobMTOc9/qKqove/U/9/IpB5jmIpw/EmHiMzW2uMMpuXmbOoBgEaTOgEjpTq7oKWG/vfkiyqe32r8PBnuHcXUYhfzCymbVh8cx67j/NOtrjOOYsVXZOL2yR0DFXbGOwtxrDeE1q0WCxEamQWjzZlHTb1rG4Qkva+hydkJe7lNmb4XxS7YuJkuOqBwACcwykifLMHQ6VlUtl+PHHBFyyuRHxLDXOI47UC6S4AjySkkgHopjTr866MrvTlFvopGtOtr4EHOPLV/B3vPh2sI3wDOHBjfzg7+hrbGUGuDGs/IsPE77W/BNxim+Ux09d6V6VaecDd8msZKfhM2upqymo9Ihx+Wa7l/hrSGVGVT8LNpJ6x6a1ytdNr3fI2ivdkeYw4xHCNZbw1BnKDDDvm7Vnemgoc9/OB0YqTzlBwjlrFXL1u4E8JJZka4dPJqdNSR8ta6NVcnhtBOyEE1n8hnzxgGslb0nzCPLpBBzECPhmKnULDbfkXp57ltMuqtimhVyXmJjXQiJkiNOmo+lJjimO58jnOT4fQ75R5UxOJuO+IItpabW44JZyNcgEgwR+qe0T03VSjdBt9GO2z03iJucbavWbZZHhIbMZLFAREA6bdCe9ZrK8c1l6pJvE+yi+KjCtcBLEa6OASexEg6/Ook4x9y6GOuUp4HHJWIW7YKFQCsSIH6hM6b6z9Kw72pfRkXQlBp5NBgLCptv3rRXheRFjcuzy45iAtpyTEKTPyqLZccBXH3I5FxPgShTcuYm2bhUEWwxdnlgC0kwu/TfWtMJpL6pfmaY5csLr5+Chy0uXEqrs2SGzKpOsDTQfzRfl15reGVtjjs2WNw8KLmGbKw+Htv1HvXC0euuq1Xpz6b884FSinDk1+Bxi3BuMw0Ydj1+9e5hNS6ObKEo8sskUwofMUABFAERUgZjmHmstK25Ve/U1zbLvETpU6ZLmRhcXiyxJJmsjWTcml0fFg5bb3TG+VSeh3J/73qYw4KTseUipheJs5hmuKW0GVjI0/tGhqsKtr4XBFjRoU5ZvOczILKeVgoDFvhAZspOh3PvPeku6p2e1feK3yxjOT4x3BvAuXVhnmCGBg6iQJjUiYgdqLGs4HVcrJ98AvXPEFvxSvisA07AH0010rL6Ck97HvGOV0azi3K7228S3dUq0BlKKI1BmevrWlt1rgRC1T4aPHmHhCXM3iXfO0Mtu2xAtwANNd4HpvVHLdPdJ9eF4HUtpYjHj5fkqYUpgbiPbtEjyK7EtoZGvbWaZF2JvK+CJRU1hv5FvPOKu3cWWI8oXy5SDCg777nfrvU2Rc7dzChqFW1Hpy3yu2Ly3LucDXMSVIbUkBViR6kknQ1aySXjszyuceh5xzkKwg8ZCRk1yn4d9PUVE5tQfOCldu6aysmPxx8KRAygwQCBInbXfSkQTXMeTfhS5bwLuYMRbAy2p8KQV0MwQNp1NInWnqPb0Iy2k5d+R9+E4zYhnjMqA+bsTAg+sTrTYKUrVKXhD9Vtjp8Lyzb8/w+DvAqD5DHoe/pFaJTllbTlVRW7k4JhcMjM0DXLoD961WSe3gZjDLVnA5ULxsNK5ll8nJQIly+De8B4e121ZuOxM2530EmBp02q+prduHLodCxQykapMeLGrnSOvWkyns5Yvbu4Qk4pjBiHtuAUCmUGY6dZ02rnaj+oWSl7OMD4V7Y4fkTczXAqwdddiOtJ0krLJZbb/ABGJqKKnDLqu9soEzBjqPijv6ztXclW32xTjh5Y8494uUQSBuQCRr02pN0nDCXQ/SRg28nlwjid62ct+49xCD5S0SexbU5famxlPGHyMtqhnMeD34ZiGvX0QBWBnKCoJ2nXWfr2qmyzelkmajGpyH1xr2DvKGKCxcJzFEJKkAnUDb313qVS1P3S4+7ozKcbYcLlfLK2I518FFdrFzXQxET03jSsk4Wbk0/zf/g5aaEsrIvvY9+IoCbotr1sga+gZ539Ij33qcOLw5c/zotGMK39nJm7nA2QkopKg9BqB/t7UW2Sa7ybqtn3FRlyONcqnrr23Pua006jdHAi+hLnBusHird3DoqXQWgIGEDU7H31rDqKH/cw298fv/g5EmlnjgS27tyzdaW8ysQSOpFejr3R+8E4zhg2nBeMC8MraN+9dGq3dw+zBdQ4crobRTzOQaAPmgg5Rj3rktHbTEd65vVOi2T6wzkJKkFmfIFPqAJjaDmj5UJZTWSHxJM6Rypy1bwr5iqveciGI2GkgST7k71yNVK+25VxfHH4i3JPnwRzxxNrd0W7d3zZSGIUwhbQCfYmmPTOE/tZ+S9EU1uaMnj+KP4yW87LAALddonvNRsn6mTfWoembJPyNyzbdshIAAWZZe89c09612JYUV2YVKxyb8Co+Nfvqlu9ltEEgOzGIgaAnXv8AKqypccNscrI4fBY4zgcQpslzaZbeniAQTJUf1Ne4n601Yi11hfr94QnFppZy/wCcCzmZwltLNh8+VgXua5WO/lG0D1/ipnZ8P/RNdbbzJf7Pnl7Am5ezXFJCLlKuD/aQN99CPtS4SS4+CbZLbx5N/wAo8WS6HtAZXssVIJ1I6N3iKmmx79rX/wAMWop2pTXT/cYccxaKAp69PQb1XX4lHCK6WDcslC5wnD4i0y3rKMLg18ozR0hhqPrXMpv9OPu7fgbY5b8J9GJTli0j3bgzeHbHkVmnXdjr07D1NbNK1ODvZa9yUlWvJY/DTDBVuNlIYkA+0SNO8k61FMliWHkf/UG/bEec64kW8HeZgCMsQdjJAH3NaIL3I567OK8HwgfEqpbRmgZdjJ1H0rfNYi2Q5Gu5l4QtsqgnKwJ+caCuI6lC7L8j9PJNEcEa/Yym6ZQW8qqoMwTPz9qvO1t7fgY4prgYcYxa3mTKZgGR1B0iR061l1s/bEilYbye9i2SUUDWPpXEk+2MlIS82WzleRqIP30rf/TvtJoH1wJ+W8UTcViToRpGgGv322rtWyUYbmO9OUltRquZMa7rbIUhJgn1nfTsI+hrI5+vJL/qMprVOfks8WWzbwhSzebM/mXzZizAaHv0H02rpxjtikmzF6k5zbkkL+ULgtDPd1Y6lpYwDP8Ac2/yGgrBqdXGDxjP8+82w0s5x778Gmbidprls3WlT/efK2hABB23j3qNPJSlvfP1fXnjBWVMowcUufoM+J8CXGWhbVgukiNY207/ADpsKd7Ta+uDGr3Vk9eW+ULWHRkuKLhZ8wJX4dPhB3jTvuTWiuPqScJx4ETufEovA8fg1g//ADUHuND9RTJ6Kr4KLUWLycx5z4daTEMqSECZmY/CGkjLIH79dKwz08U8w4wdfTamUoe/nIhHBbzYdbllGcBiQygzofXeB+1aqZSnFOSMtvpxm4oufm85zsCC4BM99j+1a6pZWWI27eENMDciGB2p/XJTPhm44bivFQHrsa21z3Ryc+2GyWCyRTBR8xQBw/imL1Otcls7SEl7FUqTLo2FjA+Fg8NeCZnzeJrtJ+EH6L9KhJp5Fb8ycTW8s8Sv4h7V0LlNoPnV/gLMIGWBIhf5pE9kZqUeWiXBJNPyU+McLD4hmxF3MHueJkQQshY1EzAqZ5abXbJrecfCFnMGItXoW1AVVJDaDU6HUjt9zNFMW5GuSxHk9/w9xFzCLcd7ZbDO2hIlp7jTzAgfaam+EU9/wZ5Zl7MmnxXC7eJYm3ZFpJnMR5jMaAfpE6/OqubsfXRRWOpd5ZYTlhDDSzZejMYPoaq454IjqJRYx4Dw4CZ+GZC9B/k+tTpk5vD6J1Fv5iPmvmC3hnusEhtLa6fEYGpPpqPlTHn1XhcdFIwbguTOcmm8b4vLoxkkssFwY310EzB6iKS3ma2dr+M2Swq2pdMdY/jlzLcLJlL6FiDCqDoJPf0qXZZKLSS5JrogmuejX8Mu5sMr5gwy6H7VilCca5Offj/P3mS1L1sI55zrgsSqWLiMfDa6pcZtFzMArEDcQYPvSaFinbLrGUvqdKNq9RpJZ6HvKOHKs7EgzA027mj+nPduf3Ef1VrEUhb+LWPCYXwzs7Afz+4Fb8yd0Yr7zmVpbWzkPBruXEWnbP4aXFZ8g8wSfMR7CupJqXHgV0jo3CuMWuI4l7KBmQBsruAPJIGaO+o0rK6cvnohZisjy+lnDAonnZR3ltNPkKyv06m15G++fPgV8NwhuuznQE61w9ddmzCHp7Yjh4tAx+qAO5PQVjjRbPj5KZ3MzvMhZUm5auZJA9CZ1Ej0H3rtafTSrrb5T6H1pbuxfyrfsLj2DWwiM3lUmQO2vyrVOqXt3+CZWvY1Hs6Vx/EYa7ktyDkBJCx1EAfM/tTZTrm1jpfuZqVYsv5MLd4QQCtseDcDKxAAgRqDqf51pemunnb5/nya7IRfPgU2MSqsLbHVj5o27AfbYelY7a225/Q7NL9vAwS5buXQhHXSf0gHU/8Ae1Zq26o72MthmB0HhnETbgyhRlGUwRmM9/011qtUuG+Pj6nnLtPy158/Q+sRzNeS54bW0BPwwxMjvPT6U13WZxlC46aLjnIv4nxnGucg/pqdJQDNJ/1H+AKXK24dXTQlntmNvYK6EKvdZkcSQ065Sx9xvPz1pMrMQ4fHwa64bp5S5GuGe/dtrhkcoqJ0MbR211JpdNtlvti+Cbqaqv8AknyZviqHDtbR/jKSwmYJY/wK62mi4wSl2YLJQlJ7OhtwS5KsekVsziIjGZGs5WxHmK9x96bppeBOshhJmlithzz5igDhnOnDmst4i622Oh7Hse1clnbM/wAHsC7dhmUKoLtmMZlXUqO7HYCqYyGTodo3r1pRbKoAykMSQMq7KBGlZoXPlMJwjFpmm5RsO9trRfLdlvMB1kQddwf5oVcm/qE5x7xlHPOb1u2r03NbhLqTJnywNI0jWr6atyypvLWUXslGOJQ6PflYHFlrYkCZO8SI6bf++lXti61x/PwJ/uIv3HTuG8OdQqtc/piDkgRIELHYDtWBKzOJy4+CkrYNNqPPyJubuNXbF23btrozeY6bdh7z9qLJZm0+EsE0VprJquH40AFmMaa1eub3ZYmyvHRUxnMSWlATzM5MAf8AFNjYl15LxolJ8+D7XluzfK3r4zKuqo8bkalu5p0XBJuTwhc7GvbHsr4iwCpNt4S0GAXKNNScubcjaP5rJbbGUcrhI008SxJcsq8Jwly8Sl1QFIhgRqR8+lc2Fs7puMcpfdz95u1Eq6YZjy/0HXFStiwLVoQICqo+lN1MksQhz19TBpou23fMpcRz+AyXUiBI7QI/xWfUO3ElNYZoqUHapQeStwa8uUFdiT9gv+a0/wBOj/xt/LKf1LduSkZT8XMcHwr2wbbRetKBANwNBYkHcCBBj+a7NSw3g56XCbOf8I4ilq1ezj+o6woA6R9q0LCz9Sk03go8Awxa6gJKy24JB/8AKVY19kZBo7Ny5wNFtudwfKCd4G+vWSTSaqIttlbrpcIpcGtOVv8AhqX8FyrKPinXp19x3rianQTdrlX15Xkc+Um/JmeD822zjHGNRltFciAjS20iS43+fStX9ko18dj4RwsJGl5iwZVFCXi1hzoJzAGJUh+o+tKnvhDCb7H1OLfXJjeL4d0YXIhss6jsQGGv3Hqa6UpTWH9DJKMctIscI4haS4t9lKlBFwLJVl1h46EE6+jelLU4yWMBGMvnsm7x67isQHtQBIhSJ0EgT0MzS/TjF7vJsimo4Kz4R8Kwe8kkktEhh6GB+1LnCTeEbab044PnCY8s7nMpOXKIB8pO5gfMmk2UZwn85Zq9RYyjY8r8cXKuGuTczkKpA1knp/mpqxGbrxmP7HP1lTf/ACp4fkb4lLeHvkYg5lZX80E+GJkRl17An9q1f8cJ7bPP6GJOU681+P1KYxDMqlC8EsVUsTppk+LUTv8AOKVba5tqD+f0NdNEYrM1yfGD4bculNJSTmJ2gMuneTFZq4znj4/QfdfXUn8mnXD27Y8oAO22vffrvXVprjX0jgXWys7ZyTm0Pf4i9tNfhjsFyiSfTU1rRape3A/tKLSBF1jc9z3pdlvhGuqnHLNHyWhZ2foB9z/01q0fPJi17wkjXkV0DlnzUgczTFqylXAZSIKkAgj1BrhRs8HpJ15RkeO8qeGfGw0unW2fjX2P6h96bviIdUvA44LxMA5QfKwByzqvpB2PpXKslKM9z6Y+cYyj9UNH4pcwlwXUf4oAkAgGP2P+K1SlKK3IzU7ZtwkK8Rf/ADJAxLrlzZzcbRhJ6HbWrxn/APnyMnDaujc8vYrBIuWyyQo1gj7mpk15MkozfLLt3jtt3FuyTcf+1IJ/xWeyDbTj4GQi0vcuCrzB4oUm5YIYxkbMhX1Ddfal21b8eohtDS+zIt8Y4daPDxcU5XAQhgx1aRKmDBmYrbDTVqtY7Fxvn6uH0LeCC20XGylrYhQO510X69O9Ukmvc+h05N+1DRcc918r3EtAjy5wfP3y9yP5rLKqdlm7csY8p9hiEI9Nv6Ga41euYf8AppcZouSVRJlCvxZp1Obp6+lKnU4Q25w/hLjrvk26ZwlLdJcY7fz8Djg2IZTnNzNIECTr/wB/iuaoWQnlPd8d8/gX1Hp2R2pYGGJweIvksvlYHyzp/wBFdGnSWWSbbwzErqqo7e0KON8SxCKbN6BccZVy6yx0nMREVaVE9zrn56/nwFbr+3DpGMGPe8bVu2xDqXJKkgQco0jfYk+1RpaHBOK+R2psjKWfGBFzKr2yllw2cuW84YN5hB+LuQPeK6WkWc5yjDqWl1j8D1wVh7YMWUuvliT0/wAVs9ObbwYd68i7g1h8Ri1U+Y6ggGI+Y7HX5Ui+ckkny2aKUllncLdnwrKomwWKIJxiIm90ssVcDUOnj4cxcVmW4p0lgSDPvuD60v0lOO6H2kOc3B4l0zDc0YR8TiXxBRQBoxUjcRmGu7Cf2pE9+1uS5N2nccpRZQ/MZYRLj+GCSAxOUOR2Gnfas8VuXu4Rrksfeet+/cuOQ2nlOw/UQJGu2wp9tu6eXx/8Oe0kuDwGFNt4IjSD2OkH99vWkWP05JotDlFzgiW7N027l1MjIyliCWtj9JEH49vcaU1TjYvd0/xwMe7GY9/ufWHyC25dPEeVhTnACEmXOVt9Y1Gk0yjYpbZ/ljgi9yxmBbbAWsNbttdwmZWcMzLdcMbf9hHrPWn2VQi/euBVeosfEJY/2fXA8dasMzLZzBWNxSHXxLaAmdc0NA6Aa0lwrfMRs52Ne5jVOZkxiXAUInyh2EeUkzA7gD71k1EXBpyw38/BamLbzHpG6wfDbSItwjsAemp0/cfatUNJXBbjNZq7J5iiyCi+UQOwG1NrrilhYMk5t8sx/HOMS+VdY69AdqW5+76GmrTykjOrlUsw+JjLHqfnSZ6lLhHTq0ySCwjXmCICSTU1brJYRNrjCOWdM4Lw4Ye0E67se5r0FNfpxweZvt9We4umnCSKAP/Z</t>
  </si>
  <si>
    <t>Kadhambam</t>
  </si>
  <si>
    <t>கதம்பம்</t>
  </si>
  <si>
    <t>Red chillies - 150 gms ,
Peppercorns - 50 gms ,
Fenugreek seeds - 30 gms ,
Coriander seeds - 150 gms ,
Black gram - 100 gms ,
Bengal gram - 100 gms,
 Peanuts - 200 gms ,
Urad dhal - 400 gms,
 Lobia - 200 gms ,
Lima Beans - 200 gms ,
Raw Rice - 1500 gm,
 Black Chana - 200 gms ,
Toor Dal - 1000gm,
 Country Vegetables- 5000gm ,
Tamarind - 200 gms,
 Ghee - 500gm ,
Asafoetida - 50 gms ,
Gingelly Oil - 500gm ,
Mustard seeds - 50 gms ,
Refined Sunflower Oil- 500gm ,
Turmeric powder - 20 gms ,
Salt - 5gm ,
(Sundakkai Vathal)- 20 gms ,
Midhuku Vathal - 20 gms .</t>
  </si>
  <si>
    <t>சிவப்பு மிளகாய் - 150 கிராம்,
மிளகு - 50 கிராம்,
வெந்தயம் - 30 கிராம்,
கொத்தமல்லி விதைகள் - 150 கிராம்,
கருப்பு - 100 கிராம்,
வங்காளப் பருப்பு - 100 கிராம்,
வேர்க்கடலை - 200 கிராம்,
உருளை பருப்பு - 400 கிராம்,
லோபியா - 200 கிராம்,
லிமா பீன்ஸ் - 200 கிராம்,
பச்சை அரிசி - 1500 கிராம்,
கருப்பு சன்னா - 200 கிராம்,
துவரம் பருப்பு - 1000 கிராம்,
நாட்டு காய்கறிகள் - 5000 கிராம்,
புளி - 200 கிராம்,
நெய் - 500 கிராம்,
அசாஃபோடிடா - 50 கிராம் ,
இஞ்சி எண்ணெய் - 500 கிராம் ,
கடுகு விதைகள் - 50 கிராம் ,
சுத்திகரிக்கப்பட்ட சூரியகாந்தி எண்ணெய் - 500 கிராம் ,
மஞ்சள் தூள் - 20 கிராம் ,
உப்பு - 5 கிராம் ,
(சுண்டக்காய் வத்தல்) - 20 கிராம் ,
மிதுகு வத்தல் - 20 கிராம் .</t>
  </si>
  <si>
    <t xml:space="preserve">Broil the ingredients for the powder, grind it and keep it aside. 
Cook the vegetables, pulses and rice separately. Make a pulp out of tamarind and keep it aside. In a saucepan, boil water and add toor dhal to it. Once the toor dal is cooked, add the tamarind pulp to the dal along with salt and turmeric and allow it to boil. Add the ground masala powder. 
In a kadai, heat oil and ghee and add mustard seeds, curry leaves and asafoetida for the tempering. Now add this tempering to the boiling dal mixture. Allow it to cook for 2 minutes and add the cooked vegetables, pulses and fried vathals. Mix well. Remove the mixture from heat. Combine the mixture with the required quantity of rice and serve hot. </t>
  </si>
  <si>
    <t>பொடிக்கான பொருட்களை வதக்கி, அரைத்து தனியாக வைக்கவும்.
காய்கறிகள், பருப்பு வகைகள் மற்றும் அரிசியை தனித்தனியாக சமைக்கவும். புளியை கூழ் போல செய்து தனியாக வைக்கவும். ஒரு பாத்திரத்தில் தண்ணீரை கொதிக்க வைத்து அதில் துவரம் பருப்பை சேர்க்கவும். துவரம் பருப்பு வெந்தவுடன், புளி கூழ் உப்பு மற்றும் மஞ்சள் சேர்த்து கொதிக்க விடவும். அரைத்த மசாலா பொடியை சேர்க்கவும்.
ஒரு கடாயில், எண்ணெய் மற்றும் நெய்யை சூடாக்கி, கடுகு, கறிவேப்பிலை மற்றும் பெருங்காயம் சேர்த்து தாளிக்கவும். இப்போது கொதிக்கும் பருப்பு கலவையில் இந்த தாளிக்கவும். 2 நிமிடங்கள் கொதிக்க விட்டு, சமைத்த காய்கறிகள், பருப்பு வகைகள் மற்றும் வறுத்த வத்தல்களைச் சேர்த்து நன்கு கலக்கவும். கலவையை அடுப்பிலிருந்து நீக்கி, தேவையான அளவு அரிசியுடன் சேர்த்து சூடாகப் பரிமாறவும்.</t>
  </si>
  <si>
    <t>https://southindianfoods.in/recipe_picture_enlarge/kadhambam_rice_enlarge.jpg</t>
  </si>
  <si>
    <t xml:space="preserve">Kanchipuram idli 
</t>
  </si>
  <si>
    <t>காஞ்சிபுரம் இட்லி</t>
  </si>
  <si>
    <t>Raw rice - 500g ,
Urad dal - 200g ,
 Fenugreek seeds - 20g ,
 Peppercorn - 15g ,
 Cumin seeds - 15g,
Dried ginger - 15g ,
Asafoetida  - 15g ,
Salt - 10g ,
Curry leaves,
 Ghee - 200g.</t>
  </si>
  <si>
    <t>பச்சை அரிசி - 500 கிராம்,
உளுந்து - 200 கிராம்,
வெந்தயம் - 20 கிராம்,
மிளகு - 15 கிராம்,
சீரகம் - 15 கிராம்,
உலர்ந்த இஞ்சி - 15 கிராம்,
உப்பு - 10 கிராம்,
கறிவேப்பிலை,
நெய் - 200 கிராம்.</t>
  </si>
  <si>
    <t xml:space="preserve">Make a batter using raw rice, urad dal and fenugreek; it should be coarsely grinded as rava idli batter. Mix peppercorns, cumin, dried ginger, asafoetida and salt. Let it ferment for 12 hours. 
After fermentation, add the curry leaves and ghee, mix it well. 
Pour the batter into the bamboo basket made from mantharai elai shaped like a tunnel closed at bottom. 
· 
Keep it in an appropriate vessel and steam cook it for around 3hrs. 
After it is completely cooked, cut into roundels. </t>
  </si>
  <si>
    <t>பச்சை அரிசி, உளுத்தம் பருப்பு மற்றும் வெந்தயத்தைப் பயன்படுத்தி ஒரு மாவை தயாரிக்கவும்; அதை ரவா இட்லி மாவாக கரகரப்பாக அரைக்க வேண்டும். மிளகு, சீரகம், உலர்ந்த இஞ்சி, பெருங்காயம் மற்றும் உப்பு ஆகியவற்றை கலக்கவும். 12 மணி நேரம் புளிக்க விடவும்.
நொதித்த பிறகு, கறிவேப்பிலை மற்றும் நெய்யைச் சேர்த்து நன்கு கலக்கவும்.
மந்தாரை ஏலாயில் இருந்து தயாரிக்கப்பட்ட மூங்கில் கூடையில் மாவை ஊற்றவும், அடிப்பகுதியில் ஒரு சுரங்கப்பாதை போன்ற வடிவத்தில்.
பொருத்தமான பாத்திரத்தில் வைத்து ஆவியில் சுமார் 3 மணி நேரம் சமைக்கவும்.
முழுமையாக வெந்த பிறகு, வட்ட வடிவமாக வெட்டவும்.</t>
  </si>
  <si>
    <t>https://encrypted-tbn0.gstatic.com/images?q=tbn:ANd9GcSVw55Sm3Uoj10ESqF2afb1DIi3fKqvKFFCgA&amp;s</t>
  </si>
  <si>
    <t xml:space="preserve">Kappu arisi 
</t>
  </si>
  <si>
    <t>கப்பு அரிசி</t>
  </si>
  <si>
    <t>Rice - 500g ,
Jaggery - 100g ,
Ghee - 300g ,
Cardamom powder - 5g ,
Cashew nuts - 2g .</t>
  </si>
  <si>
    <t>அரிசி - 500 கிராம்,
வெல்லம் - 100 கிராம்,
நெய் - 300 கிராம்,
ஏலக்காய் தூள் - 5 கிராம்,
முந்திரி பருப்பு - 2 கிராம்.</t>
  </si>
  <si>
    <t xml:space="preserve">Soak the raw rice in water. 
Drain the water, put the rice in the blender and powder it. 
Boil the jaggery with water and filter the impurities. 
Add the raw rice powder in the boiling jaggery. 
Stir continuously untill the water gets evaporated. 
Finally add ghee and cashew. 
Serve it hot. </t>
  </si>
  <si>
    <t>பச்சை அரிசியை தண்ணீரில் ஊற வைக்கவும்.
தண்ணீரை வடிகட்டி, அரிசியை மிக்ஸியில் போட்டு பொடி செய்யவும்.
வெல்லத்தை தண்ணீரில் கொதிக்க வைத்து, அசுத்தங்களை வடிகட்டி வைக்கவும்.
கொதிக்கும் வெல்லத்தில் பச்சரிசி தூளை சேர்க்கவும்.
தண்ணீர் ஆவியாகும் வரை தொடர்ந்து கிளறவும்.
இறுதியாக நெய் மற்றும் முந்திரி சேர்க்கவும்.
சூடாக பரிமாறவும்.</t>
  </si>
  <si>
    <t>data:image/jpeg;base64,/9j/4AAQSkZJRgABAQAAAQABAAD/2wCEAAkGBxITEhUSEhMVFhUXGBoYFhcYGBUWGBUWFxUXFhUYFRUYHSggGBolGxYVITEhJSkrLi4uFx8zODMtNygtLisBCgoKDg0OGhAQGy0lICUtLS0tMS0vLS0vLi8tLS0rLS0vMC0tLS8tLS0tLS0tKy0tLS0rLS0tLS0tLS0tLS0tLf/AABEIAOgA2QMBIgACEQEDEQH/xAAcAAABBQEBAQAAAAAAAAAAAAAEAQIDBQYABwj/xAA8EAACAQMDAgQEBAMHAwUAAAABAhEAAyEEEjEFQRMiUWEGMnGBQpGhsVJi8BQjcoLB0eEHFvEkM1Nzkv/EABoBAAIDAQEAAAAAAAAAAAAAAAABAgMEBQb/xAArEQACAgICAgEDAgcBAAAAAAAAAQIRAyESMQRBUQUTcTJhIoGRobHw8RT/2gAMAwEAAhEDEQA/APQ2WonSiDTdtMAJrNB6nRAirhkqM26QzHdQ6QDyKzPUOhkcV6fe081U6zQ+lRaGm0eR63p8cj71WXtIRXqnUejhu0Gsr1Do5XtUGjRjyUYprcU0mrrU6L2qtvacio2aU0+gaK6KXilU0xqmSoK5xXKaUnFQNSaoGuimI1EMtDstTRmyJp2F2HqdfagLTRRaXMfpUZIvw5E9MKS+DiMURbz6fr+n51XqZoi2/Ykx371Bo1Ryt9hSnJn+uP8AmoXMn3+v5mpF/T9/Sm7CT7VEvabSISe9OBxn059zn+vrSuAT+1JebAFMX6bYjsD/AF9v9KiK0xv6/wBKSTTooc7ZIVpI+tKrTTo9hQPvo+kHb0pwp54psVsPMnEV2ynqKcRSGDulBX7dWZFQXbdAFX4APagtZ0wEcVevbA5IH1xTWSo2uh9HnfVegclfyrK6/phEgg17JqNIDVH1LowYZFRcS2M6PHdToSOKAa0RXonUuhEZAms7rOnxyKiaI5U+zNoYp5ejL+hI4oG7aiii2M6WhrtURNKRSEU0iqU2zpqRLlRUopsIyaYYr0Qlw1XB6l8WoOJqjnoOBmlDYodH/r9akBqDRpjkslqNqUtXMMUEm7I93aoy1PVhNKBJpkKsW2Kn+x/Kn27GJn+vWk2/1A/3qNl6g0j6OANPVaWKWa1nmBt24FBZjAAkk9gOai0+utvIR1YjmCD+1BfEcmw4HcVg/hi5ct3lKqxEkH0KnnPsP2qjLm+21fQ1Fvo9NuXABJqo1XWBO1QSePTNV97rLM+2IE8ck/UiuubS4YCAMnuSf9q4Xn/U3NuGKVJLv5fwjo4fF47mth9tW3bn2n+XsD7+tWikMsiqvo90BiXYZ4ByfrPar1GDCQQfpV30VSUHJyTv1q/zff8AUr8urqugXZUNy1RuymsldwxFHqtCDWc6n0UHtW4e3Q1zTA806HZ5V1DoBHyiqDWdO7MIr2bU9OB7VRdQ6IrdqjxJKdHkV/QkUE9qK3/UegMuVH2qg1Wh7EQaVFyyJ9maIptWOp0RH0oM26CSXwRUs0kVxpkbHB6mtXyKGpRSonHI10WVvUA1IXHaqoGnrcqDiaYeS+mHOqkcgff+v6NOtmO9Ai5nFSrfNLiy6OaN2WC3h/Uccf61L/aG/g/Wqs36TxR6/v8A7VHgWryUj6jmo7l0DkigNXqju2gxiTQ07m9fWub5v1qOCbxwjbXfwcrF4jmuTdIZ1vXgWyYnHbv6RVH0u28CMQCY7AtzVp1wrtAkZI/f9qFv23VAB5STOO4Hv6e1cTP9QyeSrlpG/DhjjWisGrS1d8O6ADyrdmB/1ntRep1OxlZR5W9+YiQR2NDdc0JvojgDcq5A/wARmotHcKpDJu2+ae5TII94MGq+EWk137L+9ssH1SOdsMrRjIgk+/0qx6XrCh5cEThiCD9TEiszc+cXEWUeWUdxHzCO8envR6bGgqdp4gmMx2P51KLlialDRGcIyVM1ia24xgQPeMf80fOOZ9T61X9ItAKBy34s5n1icj3H/g/wq9V4SbxqTk23+9nGzfqpIRq7ZTtgqQLW4oBnt0Nd0wNWDLTWSmBQ6rpwPas/1HoKt2rdPboa7pge1Kgs8l6h0Fl4yKoNT04TxB+le06rpwPas91HoIbtSosjNo8g1WjKk4+9ClK9A6h0Nl4yPSs5q+mDtg+n9cUi1TT7M/tpIo69piORH+v0od0oJcSGKQipNlIVpDXRyrSmnRTWFBLoSaSupYoCz6La5JOMn+hVXeXdd8zQqieYH0pbesIcGCf+cYpuqt72aBAAE/U/+K8p9Q44szhD3uT9tv8A3Xo0+PbVv+Q3rGkBsPs7Rn1mpdQ7KtlgMCZn6ft/vQ2nvG4lwMYVcKvqwAAP1k1ZpeFy2qxkI35hQTFc6S4qn8/5NNspbZNu/ce24YSSy84OcD8Qp9vWiVO3IUqw7Q0RtJ+lLqOnh1W4mCPTseRP3kURpbKXEyZ3YM9m7j6yMf8ANWucasYLpbWFU+pZY/I/fipbmhkSp3A9sEH12+/tU+r6ewC3FOVzPofX70L4xDBlhWbDoflLfxD0JqKfLaYWWmitq21fMjcSJg/btWm0qMqwzbvQxBj3qs6VYPztI9ARBHr9ad1TqgtAHkyARiYM5/OK9F9NwfYxPLk7f56/HyczyJ/cnwiWxpy1571z/qNbt+VILe2f14+0feqDV/Emov2TeBuskwcQgOPckc9sc+hrqyzRRmWKTPWr+ttL81xB9WUfuagPVtP/APNb/wD0K8s0Ole7p/FuMqMWACubhMFoGd3fmIoe30O+biqbieGcsR+AScY5JER9faqX5kS1eK3/AMPXk6hZbi7bP0dZ/KanZfyrym70/wANHuM9sIigg+ZSQTksQPpHr7VS9N+LvCcTu4MEM0KTwTJ7VKHkqatIjLx+Lps9sdKFu6YHtWN6X8dMDtu7XjJPyn8xiPetj0zq1m+P7ts/wnB/5q+M4y6KZQlHsA1fTwe1Z/qXw8rdq3JtVDd0wNTI2eQ9S+H3XtuFZnU9MI+X8jXuWq0APas71P4eVsx+VKiccjR49dskGCKYErbdU+H2XtuH61nNT08jj8jUaL4ZEyqYUwiibls1CyUi1qyIililIpM0ET2e3qGt3NwE+x4rj1VmLLtA3nkE4Ef1mrTVaKqltJFxSeJz9O9c7yvDx5Lm43KgxZWqRYeGiX0X1XA+4OfejdhDJxKgmP5TM/p+1UOtLjUK9sSEwP5v4ifrTNd1K4b6FvKGOxh22n3+9cOX07NxjL9t/N+v7GtZ4tmj09lVUieVkDtg5ob+yot0j2Dx7cH9M/aohdWVt3G2XCGCyYnAmKH1GluPcRrbiUAVieCOI/KsWLDLJk4R99Fjmoq2ybTXnQXFyQCwB7gzkGec5FE9HKXCNyDco5++QD6d4PFKnTjvL7yNw84EQx+/FCdW6nasqYAk+UKObjcAH2nHvn0M9zxfps8WT7k2tGTJ5CmuMV2EfEfxVb064I9jzP8AhHf6nH1rP9E6o2oUm5aubcsXIJBIPlmORH61jPifQaxrq+KpZnI2kAwZEiJ7c8cRWt6Mb6oFYKu0AEHM+oAByeZ+lbvLyXFB48NspL3wPcNwM1wbG8zAfMJYnZPE7dufc4rYdA6XbRFto8Wn5t9lbvJbJPGe1QXtYu+bkqTkKoMsMAYIyPp+dAXPim0d1gBiw4Jhdk4M583AzNY5Ty5V+xpWKEPyWnULAE2PmG7BBI2tjccHjEwastPcREACBiynIUQQOJAzM4571m9EhBL+dixO8jPlEAHbMjBA95rQaFhDDyggHaTIJB49uJ47Gqm2mT4qih1bh7TJs3FgdwJPrKCBwsk5xWR+FumWxrLtnUW1Zth2W53DcxBgSJO2InmvRNRoRcUhNnmtFT3IO05EexXFQdLsG2lm3sCMudxHzCCCRPJIJP3q/FmcMbXyVZManNP4KrqfQA1pEtW1S40lGBhgu4bg5nKgEkegFWdnpSIqG0zLtBBGIYqMnPyyYnkYFWOmCq9yV8qCS+JILEgbe0/7VX9Q1TOx8IW2KBhsdsMYBAODDQBMYg1FZZ/JJwh1Rf8AR/iEhhY1I2vgTzkxCkgmTkfXsTMDSETxXhOu685usLybXHlKyH24HlkYIj963/wZ8V7iLN05PykmTPofU+h7/wCL5uvhyvqZzMmJdxNm1qhrumFHkiJqE1qM5S6rp4PIrM9Y+G1bIGa3+yh72mBoBHivUuhsnKyPWqO9oTXuOu6WGGRWT6r8NAyVEGotF0MrieW3LUUzwz6Vqdf0hl+ZfvVd/YqjRoWSL7Peblih7mhBq22Ui26lRjsp7WgHpQnUOjq5yK0myh7iUnFBZR3OjWiBuUGPWiMKIUAAcAURqRmgdUQATUeKQW2C9Q1otozEwAJb19AB/MeB9z2rCdPv37mr8U2y6KMxEWwcLCnnjtwP1K+LOoF2XTKQGJBM4BuEeVSe0CB9Z9auvh6y2nRUXazfNd2kNtJMS4PzD0PscYrD5OWjdgx6Jk1BvtbDLBWGlhAXBVVDcfxfpVTrCq3bqncrSAoJDrt2qIEYyc+4xUn9qtEN4bliIVEAZSADloJ8owxkckAYqHRXhfbcQVIYW/N5dhXkqvJYY5A59qwKLrZstLoDXqus3qjoHAwouAiVOFIMYzOM+9XzaNQhXwgVuGW2qFUPHAUcEbfv+lUettoLgbc7bW4KmYB/i+3pWmQ742kq/IZvKQYJg4gmSKMkr0hqKW2RW1AhQpW5xEZGMAkT+KB9qpurdavae+LY2FmBUq0/MDJIhuOftHFRWGQXxc3sQsLdQlhsafKwH4zOdxq/6x08PsuKskkMpEBWMiD6cnjgj7U0oxe9g7ZSaP4gv3Tm2S4BJKjyqs8yMACT781bazWgG2ysYUQO7dsrGCJ7j/eptBf/ALu+DbRXV0RVGwMbe6GZiMZEmfYUzS6RGhHC7gARL7cERuDDKt7RBBpTSb0OL9gJZha2GB4x2ux3YQkyN3AJ7fXHFHdG6B4O/dB84YMoUsv+E9jA+57URc6arDw7o2oRCsSANyk+Vh2x+dD9S1otWQNxMsom3uMmARzj8JH3qCcqob27RmOufCTMXu6fzFibjhvLtGJ+pnOAO8TR+g+F1tWvHN3cwUFmYhVWRlY5ORAOCJHvVzoL1sgXN5U/K6sRkqRIjkmTMUH0zqD3nuBd4tsCZK4Kp5dsfhbmcmMVojmySVP0UPFFN0a74Q6yL9sKW3MIIPBYGYP1wZ9weAVFXnhkGvPOg9EuaS4r2ZNoCSCQXCyZPYEYDR6qOa9NtOGUMO/78HPfM11sGVTiczNj4MhC1zjFSutMcVeUgjLQ17TTR5TIxSm3QBmNb0oN2mqv/t9fQflW1a1Ufg0DC6WuNNmgBGNDu9SXXqv1F6KTGQ6m7FUmv1Q75UAsw9VQFiD9Y2/5qJ12prO9QvMbbhfnY27SzgTcYt3/APpH51VOVKyyEbZitZt1GqRb9wIjtJJifXJ7FiI9pr0bQ27iIoQQSBtY7TEtO0fywuR71n7vTbIAW+qrcVtqqoO7fHzFwZgSYM+lWejtBkcBifJEmQQCwwJ9D6en2rk58vJJfB08WJq38lt0TShi3i+ZtxAj5cNukHsBiKyPTbSvrHZiwt+Ztu5hLAhd05IJmce/pRWg0utc3LRu7bf8TKPOnofMGHlAx796on0Wpt6hCLbEDA2kDd2LBf4M8HNRhCrVknJXZpND1E+M1tm2yTtaARMSwacjEmeCaur5LI4VCrQAs7QDgR83bv8Aes5ptI19wLsow3SyAkxESADxxJq20mmuWDsuO7ouTcETAhACmWn39qqlH4LLVkepltyhLS7CvmMNvJBUSY3AgCPrHYVfdN6bbu2SHmIIWG45wPpg/rVD1lRgqTG7DQPNERMc4NWPTibVsB5BDkblEiDJyOw9/aoOTdDcaWgYbUvvuBVwQN4BZSscGeBkH2g+tR9Uv6YqWDKLrbQzJMtLsIJEA/L3/wBRWe1fW0bUu1zeAcBgdqxJhmjk9uI/Or7pV9dTbayz7wwlRO0su8kqCue3JzUlBx3IL1oa/V/AW3dukMIguwYrtgKJMR6D8/rVZo+tW7wYsAqsB4QAOSAIMZg9/vVncswnhkhrYMqTHygKIKx2545Pek64rLtez4Z+UE7doAIg7lHJwM+1OLi9exNNOwddUt1vEtM7MqgNu2gypiCMCQTMD/arrprNuCiJk5yTuImInGf2qt6V0Tw7W+yd7PkwSQxnzlcCMA4pNVpnvKyI5QhgW2xOwYJDA4YR+tD3L9ha417LC51cLYLqjMQjM2wzmDk5x3n05itH8BdR8XTLPIA7zgARHttKfea866t0u6mlcnVqiWxOzJa6xny8zGec5+lXn/Sa/ACTkqZ9tpIgfXfb/Kul4dLafejB5O7XwemsKbtp9dXSMBFspdtSRXEUAQbKZ4dEbaXbSGDmonNSzUV40AC3mqq1T0fqWqp1h5qLGio6jc5rOda1627NpmUt/wCoJIEZFtLR7/8A2H86teo3Mms98U250qH0u3P1t6eP2NUy3oujrZLb67Y1N3cC9tRG4sNxhpGWGCYBA+1a7p+t07qTbIADbYyTtBAULP4iYJjOTWA+Cuii8t9g2QVxH4VBYkY5z69q0XRw5Z7QtlQFYh2kS8eUkMMAgjAnma52aMYtqJvxSlKKbNDprfzEFVG4QvyxmJKwIPbj1oXWASqhS1x967V52soDE9gAQMk96q+mpq7wdXZfL5TBUiOSwmeJBz60avVLSlUtHI8i3FQqQDBM3IIk8enes3GmXXZEulFpnhQlxMBRLMEeD7yMz9BQFjrLWri7nBbaYcAE+aBJPtnIq/s2HtXATmQOSCWJkkhqoNV0i0t0bm/FP2djs3e7EAUk07sfRquluHt+LaZCpnJctBH4STMzQ+rR7gvWPFCnkBfmOPkic5OfY1QaLpV1FupZuIUdvMJ27fRQfsakGqtC7ZZPEUcEswWHgRuP4lmfypqK7QvydqfhmQr3bbFwpDr2JnygDueRVR0bq1vTuR5kCyCwAMNgBc8ZnP1rc9I62q2HS4Zbd5Wzk4KkdyCRz71Tf9v22N1jtRGIdyfNudv4ie0k5/mpxmnakCtC2NSbhN0XQLcOQgE3Hx+GD5Z8uTQ3UPIy2AS5uKHdfMdgMg7j7f68VaKypATaAcECAY4kjiJ/0mpFRkl2YXAykRhTz5YHGJk/eqrT9Ft0JoLrXcJc2C3IhZzA2zIjBgjjNC6hrq34UKLZtB7jbcC5nJPdyJyfQCjNBrLVtC5JljmIYyogDbyTHYelAWPim3dulXtFLGQbjAruyV3Z+UD17U4xbTpEG/4gnrGlS7Z8BmMM25SvlK+XaULSQwkE/ehv+n/Tb2mvIl0AEkwQdwIlCYPb5Bgwau9BqLR3qN7bju3MoXKEztJHGB7ZxUHSGDa9Ns7dgYSZMboP1ywE94NbPFlJSUfVmXPFcWz0GK4Gk3UgrtHKJK40grqAFinU0V00hglQ3qlBqG7QBX6qqfXNzVtqmqm1h5qLGjN645obV2Q+ncESEu2njnB3qxI9P/bonXDNR2LW8Pa/+W21sf4iAyD6l0Rf81USVpo0RdUyy0tk2biJZRbVufSAWYcxzmAKBW9eVzae0xDEGQZKrgFhnzDkRzisfpOr3PEC3r7qu0LIBY+WSoPfkk/etL1Dr11BFsi4H/FtAVtg9ZM8TA5+9c6WCSe9m2GZUWOr6goS5Cj5xBiGVePc5HYmrP4Z1oW3mCCARiQTnB7ev9ZrJdB6W+oLoWVyVksxZSjGCMckgEiO1FdF8VWuWLjbCAUCiIZxBXkjEelUzgtpPZammtl51LUWrV8XXtkC4BbWAYDAE+WSAxI7fy017Vq2/iLZhkQGGJB+YgfQqpBB9GiptB1hM2riQVJJIKsF2gAKQBAJMkEffMUNevNc3petu4Pmgvt7/J2gY49xUP00PbDk1ytvvqq+WAxdch1DABQBDDzfMfWgr/T1YywVS2TmFUmcqZjPtGT+d58P9Mt+FtVcMGJBJPzSSCTVGdNetuq2nDJbJBVsvtPrPzbZb6x3NQWTk9DSSETS3VS41nw9zpDowmBbPk2n8JgmJ5jtio7V99MpXUKQzSVgTnaYJeIjvk9qPTU3wWe3Y35DbhmYmRtj0P71Dq3N8+GLZdhk/hCZ2t5SZMT+XEzUm+XY06B9fZfUXiELSLe8IwhGOT/7i+uMe5qX+xXQXCqRgFkbgI2T5wYzB4NL8RP4AHh3BaUtBIBENtgAKeMYj706z1EXArMxZrYj5ME8ruEEz3Hp98yfSFG30TdHss0BhbGJTAmGMplvmx+9Z7qPTmVnt7UUDeyBY4VgcT8pO4H860mh1t1gbxQrc2FAW4lZ2kHsDB5E0N07VPsRLkG4wcQ8Eo2A7lhiIExNEW0K92WfS7LEGAQkQd20RiGg+x9uKH+D7DHX35AC2lW2m0kiCTdUmfxQBP0FZj4g1R0YtXS5vM8QrEgFlEMY9MjtncK3H/T7Tv4L37gAe87XCB2BgKM+gX8jW7w8T5cvRj8qapqzWg04VEWqQV1TnD1p1NFOoA6kpaSkADUV5qlNDXjQMAv1Valat7q1XalaixozPUVoGSMgkEZBHIIyCPcGDVvr7dVDCq2XJme+J9DF/wAZBC3R4igcK0xcT/KwYfTae9V/Sn/9Si32OwkkSfKGIgGOPStmLIur4RjdO60fS5G3aT6OAF+qp2msRrNJda8EtKxuKZGMqVzJniCO/pVUldp9UTjra7PRugvaS45t+XbgkkkMFXIMA5MgenFR/FGia6hvJZUMYaZIYgjauBIM+nNSdKmA721LugaAQMgbjDRiMc80Xa1hueKQTG2UC8lslcgSY74rk9T5HQq0ZTovQGNvcFbxQWR4O2NkkeXseBnM0ZrtS1wXLTLvu7ZDKxRrRIUQR6z3GK0q2W8NkDiFglnkMSQZUmAWzOfpWf0SOl+6ohWlNzGDgGMEmMiMfSrXPk22RSfRZ6Prty1bYlSApgwGhRIHPPv70XprVprxu+LvYqAFYsgO4BgcZH39RHvV9Z6sLigmHIG0AKNrDdKkjj/zVno9eLyeI4RYgnkFZlRAHKkz6/L9Ko4Km0izaJOqdaaxaLo7QnIX5z2OewB7elZfRtfLHVgOWY+cLmVBBAnsI71pBpbRdVIV0bMEHJBMSG5zGPpQA0luyz6bxoyDbAneqQd2+DBAO7McgZqWOqFLT0U3xFqvGvKrFrltPORuBIiJmPT881ZdK6javkEKFDEJuG4QV4H2zzReo6Rp3/vVTapeGflmJBE7RwNzelZ7V6W7YulLcN+IASJyTPp9zjNWakqQo6NtqNSHdLK95QzONgndu/hxx7+9A6m21zTlrUG8p8m75d27G6ePKIP1qs1fW3bToVtuCGjcGAnkEEZ9+R2qq0HxDprcBy+4SWTax83bzDB+oqKxSe0rDnFKm6KvQ9F1Wo1ypqQ0yXaSSoSZOzMBTgQPave9Fp/DtqoEYz/t9hA+1UPwkniqLu3anKSAGMwR9BAU/lWmJrs4L4pyVHJzVypOxkVMtQk5qZavKR006aZTpoGLSxSE0tAAJNCXOaImoXpDBbooC+tWlxaCvW6TAodVaqk1VqtTfsVWavTVBonFlEqzg/0Kbrun/wBo8yki+OSJDXlAyQymfE2/N3YebndRT6eKgvAxIwRkEGCCMggjIPvUGrVFqfsO0al7PiWrTeGnCGSfJgqInGP1p/S9U6I1zMLxsAlhA2jbyBMzHHt2Cta0swdXNu8OYOy3e/xj5VY+vB/lPMVv4kFi8W1NnbtDSy7ybrN8qMh+WPNxjj61zpePKMma1mTiXi6xvF23bxZYlkYQw8s7YOeRg98VmR1hxfYBTshd4w0mZXPcyT+RorQdSs3LBuG4puXRHhsywjkiU8+TGADRHT7gdPDubAQygqoggKTEsM/xZHt6xVe1dosVdoB+LNfbGoQbI2oruoH8RwSy4HbJ9R7Uf8OGwUAxcLS1zezqiKpMEGNpGVxTLiaZbl65cAUt5XGZK4KlRGTGAR61FqINoKt0bEbxNjKD4hIEqR3+gxTuPQ1dGi6XpkG11dLgIlSwMWwQCYJ5ER+9R67Ro6kggXICo26GI3bozytV/R+uvcusb0KJ2qu0bcDH3EfrVjqNVaDyqkhRlgpYKd2RjO7/AJrK+SmWp2iu1CvbtFN4L7izIQAMyNgM5MEED2pmptsyI4TwyoaGcncQq/IUg4n85FG2NHauahmTY1zcGkzLBQBKSNuJiP5aquv9VuHULb0wFxcrcEs+WMEDaRtI+sZwOa0Y029FWSSQDY6yXsugFpmXc8qQu/GYQ5xx9qm+C/ghrri5fEjDZ/QkenMDv9Aasfhr4FVrnisMTMHKjPf+I+3Hr6V6Zp9MttdqjH6k+p966eHCls5+bLeiTT2lRQqiAP6/On1wFLWoyjIpxaKaTSmMUwJZpwNDo8YqdTQMdS7qbNJvoABWm3FqG5cJbYuDEs3O0EwIHqYaO3lP0oMagm6bW9xH4v7s7iACcbMc/pSGGtUFxJqO0jkmbjbcwSLe6VO1uFjbPGJ9+1O0rk71aCUbaTxI2qymPXawn3BoAgvW6r71irp1oS5bmkxlDf03tVZqNL7Vp71mhH09RaJKRjn05BiKcTuXw7ih0/hbtHG09vpke1aPUaGcxQy9P9qjxJJmP13Q7f4AIz5WIHP8xMR95qs1dm/atMm64skcrEgQAA/pjsa9AvdOnNQr070kfQkT9Y5qH2yX3DFaPq94WwtxA0DDklmaGkSScZ980L1XrDG5vsg25WGHPmMyVx9I+lb1+ho3In/Kn7hZ/Wl/7WtNkqp+oY/u1JYd3Qfd1VlV8B3CQji4pZEO/wDERuYkBgTgnaM+1E3vivyvat22uXAxWNoI+bzSVGVyYAPHNXOk+E7KzEiYkAIAY4ny5q20nRLKcWwfrkfkcVV/405NstflVFJGD6N8O6l74v7irAkqAQ+zcxZgCDsQSxwWkelej9K+HlVmuPG5yWYL3J/iPf7RVhp7cRR9sVrjiitmaWRsfbUAQMCOBgU8GmE05KsKiSkakBxTXPagYhps5pxFNYUCFK/vUyGoVqZaBizSRSikikBWNi5P8S7fupZo+4Zj/lNCa2yFdL4BJHlIHcMIGOJmB94ojqRPhOQdpAJUwDBXIMHniqrU6TaYdtTdwJIvOpOGJJS2FUAFf1FAy301vaknkjcx+sk/vSaW1gsRlzuP5AKD7hQo+1VtvS3Nyf3t0IzlWtuUuAqgcyH2hwSVAIJYRPrNXcUAQutQOtGMtQ3FoAAuioylGMtN2UgAxZmmnSxVilunbKBlUdNTG0dWptUnh0AV66Wp109FC1UgSmIgS1UttM/epSlOtLQIfbSplpgrmamIchzUy0PZ9aIFAC00U8CuigYhpu3NOg0s0gFK1yDmn0gFMDiK6PeuJp0UgKbU2t6ssxIInGJHMHmqzp+g1KCLzrqDJJuG5cs4JJAFlVZBAgYPaurqQyws6Q7lYkjbMKHdwSVK8tgYJwB96NArq6mAjVEwrq6gCN1pypXV1ADglO211dQMVVpDarq6gQi26kFuurqYhlwdqcp9q6uoEcDSkUtdQBIgqRRXV1AyRaUClrqAGtUYFdXUgJbZrjXV1ADTTt9dXUAf/9k=</t>
  </si>
  <si>
    <t>Kari kolambu</t>
  </si>
  <si>
    <t>கரி கொளம்பு</t>
  </si>
  <si>
    <t>Ghee - 75gm ,
Garlic - 5gm ,
Ginger - 15gm ,
Onions - 150 gms ,
Tomatoes -  100 gms ,
Curd - 50 ml ,
Black pepper - 30gm ,
Star anise -  3gm ,
Cloves - 20gms ,
Cinnamon - 5 gms ,
Cardamom - 5gm ,
Mutton - 250 gms ,
Salt - As req ,
Chilli powder - 20gm .</t>
  </si>
  <si>
    <t>நெய் - 75 கிராம் ,
பூண்டு - 5 கிராம் ,
இஞ்சி - 15 கிராம் ,
வெங்காயம் - 150 கிராம் ,
தக்காளி - 100 கிராம் ,
தயிர் - 50 மிலி ,
கருப்பு மிளகு - 30 கிராம் ,
நட்சத்திர சோம்பு - 3 கிராம் ,
கிராம்பு - 20 கிராம் ,
இலவங்கப்பட்டை - 5 கிராம் ,
ஏலக்காய் - 5 கிராம் ,
ஆட்டிறைச்சி - 250 கிராம் ,
உப்பு - தேவைக்கேற்ப ,
மிளகாய் தூள் - 20 கிராம் .</t>
  </si>
  <si>
    <t xml:space="preserve">Take a pan and add oil, cinnamon, cardamom, cloves,star anise, let the whole spice crackle. 
Add onion and ginger garlic paste let 
it cook till the raw smell goes. 
Add tomatoes cook it till it attains the loab stage and add curd and water little by little and add mutton to it. 
Check for seasoning. 
Let it simmer, once the meat is cooked, it is ready to serve. </t>
  </si>
  <si>
    <t>ஒரு பாத்திரத்தை எடுத்து எண்ணெய், இலவங்கப்பட்டை, ஏலக்காய், கிராம்பு, நட்சத்திர சோம்பு சேர்த்து, முழு மசாலாவையும் வெடிக்க விடவும்.
வெங்காயம் மற்றும் இஞ்சி பூண்டு விழுது சேர்த்து பச்சை வாசனை போகும் வரை வதக்கவும்.
தக்காளி சேர்த்து, அது வேகும் வரை வதக்கவும். பின்னர் தயிர் மற்றும் தண்ணீரை சிறிது சிறிதாக சேர்த்து, மட்டனை சேர்க்கவும்.
தாளிக்க ஏதேனும் இருக்கிறதா என்று பாருங்கள்.
இறைச்சி வெந்தவுடன், பரிமாற தயாராக இருக்கும். கொதிக்க விடவும்.</t>
  </si>
  <si>
    <t>https://encrypted-tbn0.gstatic.com/images?q=tbn:ANd9GcTTlWLYJ71my1uYZ86OJ8FCjMSzb4_eSLSOVg&amp;s</t>
  </si>
  <si>
    <t xml:space="preserve"> Kari soru 
</t>
  </si>
  <si>
    <t>கரி சோறு</t>
  </si>
  <si>
    <t>Ghee Garlic - 75gm ,
Ginger - 10gm ,
Onions - 150gm ,
Tomatoes - 100 gm ,
Curd - 50 gm ,
Black pepper - 20gm ,
Star anise - 5gm ,
Cloves - 20gm ,
Chilli powder -  20gm ,
Cinnamon  - 5 gms ,
Rice - 100 gms ,
Cardamom - 5gm ,
Water - As req ,
Mutton - 250 gms ,
Salt - As req ,
Oil - 50 gm ,
Bay leaf - 1gm .</t>
  </si>
  <si>
    <t>நெய் பூண்டு - 75 கிராம் ,
இஞ்சி - 10 கிராம் ,
வெங்காயம் - 150 கிராம் ,
தக்காளி - 100 கிராம் ,
தயிர் - 50 கிராம் ,
கருப்பு மிளகு - 20 கிராம் ,
நட்சத்திர சோம்பு - 5 கிராம் ,
கிராம்பு - 20 கிராம் ,
மிளகாய் தூள் - 20 கிராம் ,
இலவங்கப்பட்டை - 5 கிராம் ,
அரிசி - 100 கிராம் ,
ஏலக்காய் - 5 கிராம் ,
தண்ணீர் - தேவைக்கேற்ப ,
ஆட்டிறைச்சி - 250 கிராம் ,
உப்பு - தேவைக்கேற்ப ,
எண்ணெய் - 50 கிராம் ,
வளைகுடா இலை - 1 கிராம் .</t>
  </si>
  <si>
    <t>Wash rice and soak it 
Take a pan and add oil, cinnamon, cardamom, cloves,star anise, let the whole spice crackle 
Add onion and ginger garlic paste let it cook till the raw smell goes 
Add tomatoes and add curd and mutton, check for seasoning 
Add water to the pan and add the rice 
Cook it in dhum method 
Finish off with ghee, and it is ready to serve .</t>
  </si>
  <si>
    <t>அரிசியைக் கழுவி ஊற வைக்கவும்
ஒரு பாத்திரத்தை எடுத்து எண்ணெய், இலவங்கப்பட்டை, ஏலக்காய், கிராம்பு, நட்சத்திர சோம்பு சேர்த்து, மசாலா முழுவதும் வெடிக்க விடவும்
வெங்காயம் மற்றும் இஞ்சி பூண்டு விழுது சேர்த்து பச்சை வாசனை போகும் வரை வதக்கவும்
தக்காளி சேர்த்து தயிர் மற்றும் மட்டன் சேர்த்து, காரத்தை சரிபார்க்கவும்
வாணலியில் தண்ணீர் சேர்த்து அரிசியைச் சேர்க்கவும்
தூள் முறையில் சமைக்கவும்
நெய் சேர்த்து வதக்கவும், பரிமாற தயாராக உள்ளது.</t>
  </si>
  <si>
    <t>data:image/jpeg;base64,/9j/4AAQSkZJRgABAQAAAQABAAD/2wCEAAkGBxMTEhUTERMWFRUXGR4bGRgYFx4fHRohIhsbHx4fHh4dHiggIB4lGx0eITEjJSkrLi4uHx8zODMtNygtLisBCgoKDg0OGxAQGzUiICUwLTYrLS0rLTUyLS0tLTcvLzI1NS0vLS0vNS0tLy8vLy8tLS0tLS8vLS0tLS0tLS0tLf/AABEIAOEA4QMBIgACEQEDEQH/xAAbAAACAgMBAAAAAAAAAAAAAAAFBgMEAAIHAf/EAEsQAAEDAgQDBQUEBgcHAgcAAAECAxEAIQQFEjFBUWEGEyJxgTKRobHwI0LB0RQVUpLh8QcWM1NictI0VHOCk6KyNeIXJENFY5TC/8QAGgEAAwEBAQEAAAAAAAAAAAAAAgMEAQUABv/EADIRAAICAQMCBAMIAgMBAAAAAAECABEDEiExBEETIlFhMnGBFDORobHB0fBC4SNS8TT/2gAMAwEAAhEDEQA/AAraClesSUg2g1OypDmq2oiSATEnzrTs9rdZKNMG8lXuEetS4rLn0p0qRpAmCCLkb7GuOykGdhWDCDVoUFFLduECePXaepqnhMtSs6nVBsgmTczfkkHaiGD1rd0LOhKhJIidxTdicjQ2lREh4JAGopI1EA8RE9Z+NNxlrqIznGKLfSKmIYSynQ0dTaokRud99+AqpmOVFKgooCUkAlOqFe65Hr8aa8qQh5xIcknTJWSZSEp1K8zualW02swpWozcAwABFwoqJMgcdqAu4NxvhqwqAMbjXGWkNO4cpCkyhQjUBNlCbyCI4TfgaXe/JUStrSpd5FpPP+XWm3NQHXQElS4mwJcKUiBvxnz4VexTLDqUQFtlJAbS41pSQIEBZBGsm9yASdqoDBwZE2BVq+85+xkzq1+JCo3UQCY8yNqIO4AgQAriNiDt8uldBzB0IhhmYJCVCIJUQAZ4aptvw5CszjIHE6dBUolErJUIJtdJP3QTF77c4qRsjNZXgS1MarQbvOd5SyQvSlGon3mrgy3xqDiNAO19qOs5IEuBSnIVvCRP1w4VeQCtyNKlptbTbrqiCRvxqc57IAMeMVDiDcp7K94FLR4EftFUyRE777imPB5WhCigQuEydIk2TEj1IN+VU8zCYKWVHSkWG0DcERaCDNU8macSFPXKQYCgozfpMkRfpatZm1UeBzPBRpsHmV+1aVpfhpS1jTMR4hc7x1E0Cy7Ho70pxE3mBt7+VMhKUrW4tZ1HeDG/PnalvMcKHCDoMib8+VewFSNxMyahsDB+TNLS/CHCk7C5AdvZFuKthPGujHGpcmLpUPFyE7eu9ulI6HNRSDIKdo3tyo3gH31aii5B1qVbrc8OJp2VwwG0SqabJO0nxeRKLiWisoSrbVy35TeLb014LDMMoSWWCVK9kxqVA43MfKwoHjydCXXl6yYMJ+PDz2mrOJ7TG1ibQEpTwiIHoIip8mYVpA/Ado5cRbf95LiMEy6/9okp03Kib+Sbb0E7TPpWUNbmAETAATJG9ulDc4zx5txRjQTugcNrH63oJiM0U46HF3iABtblTcePy7CoLsA286U0wzhcNo1cASpIHiMmbzdI6WoA8rUQtkq0jgT4p6dKE4vHLxDie8PAReAeXSj2XBaXUtgQskXMQDzkUrNYazDx0V2hl7CoGtOrvDAA8Xl4jp25Ut564G2+7aSXXFGxTNztF+FNuHyhxGoh1PiN4JvVDHBkKDekTa6AReBxNxRNlohu3cRehWsCcazJlzDu/aI0qVcgERHpIneiThSWjIkxMzbz+uddLzjs825oKA0bjwKk3E3kz7qDdouySEoW4oti3hQmZHKIhO54j866WLqEyCxOdkxFDvOaaqymH+ri/wC4c/6iP9NZVfiD1iNJjXh8S0EqUAmUjwpCufOTJjp1qvisW42yVmUyqEwbRubecRWvZ3L0uuFxWqEgHwpB1SdiL/DgOdSds9SvCtCmwANABEQRY/LjXOdKIHM6SvqB7SXJ1B1xSQ2kNLsZVckHdCiJSSeAEVazRLWGUnuSC4ke1BNzEmCTfqANzahPZXAYxsaIgOA6TzA4iLxRvC5OHUqUpRQUkiSDB5QLXiZ40rK7K1XVfjGYUBTzbyHDd47pDLCwT7RCvbOkhSrgASCRyg++bKMoCnktvpUiAVKEGSLAQeptO29N2VYruWx3hTCUkBQ2JESY8jvS9mmbOKKihsxxPTh5XPxFBkzKCCN/aMRWNqBXvN3Eow6VJZTuZJ3MTYTyG3nNRYzMkpQjvCXLExJgSPO8fOvceycOAlSgVOI8Y3gEyL9I+dUsJhGinvXXFaAqIQkqUYj0G/HkaQuNvGIvf9I06PDvkfrBmbPYjvWlNqiVyEyQYGk3HI/nTDmKX0oaK1pV4TKUkyJM7dLJqZpkKdDpQCATJVEmFCI5bXvHCvMUG3EteMocQs6iBco9qAZsdQF4tJ3ojooL7RdsTdSthsP3au8dCoA8MH794J5CBWuXKedWotiSkglMRYCLmAOgHG9XcJjkOocS0kANjUCvUoGSBpkze/WxqszivEoMS2Dp1CJhUwB7+NtzWY0ulr5f7/CEzncymrArQCkIJ4E3m/Ph0oEw45JRqKb6bnbcgG88NxRXHdoVlWlxM8ynfyrfKskOJ711KtITYrXMauQA4gXPK3OsRdJJyDaed/LAGKwCiVanNjGkSSevT1ov2WbC3C26JCELIvuoJm/kI9aJYvKFMtklxslQ4WHC51CZJ2APPnVnsZgwFvpI8ambkX0yFFU9YAA5z0q/CVcgqNpzeqzaVK3vFpvI3FPK7kBQKgncQNWmIPQm/IRTz2fcZw7Smjcz4yTxFjHIb26161lmhbjjatLTujw6TIUAAogQRFpmOdU151hWe8JSVnVdwtBzUowYSRFwOd70OTDq+BqiMfVbaHFiGWcGziElKEgJEG5ieen+FWcI00larIGmCZAnewSIsJi954nalPE9pnmjodQASLRJVvaRtJsLUIxeNxBxAK0LTqAAsRxqcE4TS7+/aXqnijmvSR9p3kJecEzJMzxNLOHwmsybDYE7TyrpSOx0NrxK1FThBKNYGmOCiIMyPdvS+73im9K0ApHqfnbzTFFidcaAOaMMqXPl3gUJUhaVuKSQBAgU99lsOhTSnELOoKsbRtsOHupGVg0kkBQAEQCZBkwT5AXqNzOHmtbLKx3QUopO8gQCZiI4T0qjw9S6xvJ8j6W0cQ69n5S4onVAPiTMBXUXEfXGjuCxDKwl9ogpIVqSVSUzA3vx5iuZOYsuuQUTaAKt5Pgnm1J0lSULnU2SRquDtx24Uo4APMOZ5MrKwB4jL2secw0rCgoAbhVpN491J2XdoncRi2O9PgCx4RseU84qx2gxsqIMwowE3gDjvWZPkgeILaClXAjb4UXT4kxrxvD6h2yH2nXO8H7LfuTWUnfqTMP2j++PzrKd4rxGhZPlzYYd7xsKVGyZ/K8j6BokjBoxRPeSlMWGgAgi14tANp5cOFQKwC2xeRKPF4REz7O/K8241ZbfSkFCNwkFRKrWFyJ4yT9CpHzqOT9JdjxE7ie5YgNlfiOlAB0jYjY7cZI58agxOORpUQIvNp36jY0MxWYlKZSqZ5cpmguIzJJHtfGoqbIRLQgXcx4xeLTiCEmAkaZSAZ9m0QDYHh1qPBLjDuLd1JSmyQQQFKO3TSOIF/wG9kMxB1xAcUBCuiYBHSbX8xsaNYzGLdYKSgr31RfjvVDOEP8A2O9/3+iTaT8I2G0UcyzXWpSlKJKiVep5dPI1Bic3cDAS1qAQSTeNzM7b/kKvYvAA/wBknTYz94eZ3A9KINNIThe7UnxQqRNlyUwbckiIPM15VDAs3z37w2bTQEG5fmQfb75xzTCRJKZBUI18RckyT1rbtHiy2ElvwlJ8rcv433qDJMkLjZASQypUkj7qQQDNtyJgeprO1ZQJ0EkARJ91+dLcjxQPeex/CYXx/attWHSUgBbgOqdoiwERwk+e80tv5kFo1NyFTCuGrqY5GaUn3iQkXsIo/wBjXdLyCoahJtMTaBeRAkgzVboeWMSrAbKIx5J2fdxUEL0AbnSSoelviaI5t+llIZw7S22WxEr8P/MZ3JJmRJNMnZnEJAVHh06k6I2BSkgiP8Qj6Ewdocb9lIVdPiM/sj2uu3DpUbsNQHN/3eeDtrqIbOIfw6vtxq2MagfXjej3ZnM+6I+1Lmsr1klKbKH3io3gAAaSOPOhScSlxwrEKnZKiANvl+VVmMZ3alhCA66ZVqCoAH7KU6Z/5pnfhV2NmUWJJ1ONXG43jjg8UpZCUEKUsHu0pKSDAkq1ahbgRIvI4GFTHuvBag66WwHDCRYEwSZAtIImDztNWsv7ZoYJ1NKWoxZVhMKBghJMDVITxjeVGl3HPB4kgmColPAiTvExce63qemgK78/tJcGMgksKjfkuZoQjWhOt9I8SjeBP3RsDfh1q8nNlvK0SAbzq2Aib8rVZ7M9m2WAtaSYCUglX3ynUSRf2VApI/wlPGqTWBU6pwLCQpxdyLnSpRI3Nrct7TSs3QFqJP07Rw65UYioTw+MPcgJGpF0lQ21XsOkeVD2cvSkJSh4q5gjagPajMXmXNKUaWkk92DuoJ0p1WPMQLRABG9MfZ1tvF4ZB9h2/MEweP4HpUvUdK/wr+f7S3p86/ETzB/bLHoSkt6U6lCQsiDymw3+uNIuHwiUIcU7qPeBMRAsCSQDfw6t4udIrrTuUICmkPIhQUOEggEaoPKN+lTdqm2H4DoshQ1AWJHGJo8ORkQ6jRv+/KJz4/EIC8RJxOWNJZadb7pOoABSBq0mJ2jVqIBPpVXuFFAcbVrUhMlC1AK46o1ReeA+NGMd2awqkA4cFsBUwVmCQeAJ28qDtMLDiQtPhn2pUdtrao/CntlxtJUwZUbmX8N2YxOJSlzuENjcKdVBI/yiVbcwKIuv9w13akguzIUgiCJteBcXq5jO1K2kJCYUkWJ49fU1UczFLigUtgDrfrUmTqOyidHHiJ3aR/rBf7P/AHfxrKK/rn/8DX7qfyrKzxh7/hN8I+n5xZc7Xd2+WnFK03hxN4kQd5lJFWHmkFkFtOvjrBkHpHAR8Z6VWzHKcEpOvUoP7kGdJ4kQOEmNwbW60MV3TLSUNFRVH3dj8xTWRQoC8w8WXVuIOfdnwg7bVUeyk6iDvxg2uJ/Gt2cMskFVuMUVaTqUZN1bniT+dOXyDaGxLSHK0FlYM22mm9rOVMMmxKSSdU7TG9BMNgNSghQsTHr5edNDXZIpR41qXc+FBjTHM8b8tvmo42dtSfWCzooCvE5WY948SmxVYE2HvqA4l1Z8IJAtq+6Y6+VNLaG2tbRZTpNhqg34X9q29j5kXrXNcW02gpCQtMkiZhM7lN4E/wAOFBWLTd7+nvDt9VV9ZH2fxPdYZYkwXSdjA8KYA+NKvapYgkWk7UcxrJQwFYZepUS4EkQkEWsdyPWeHRHdWta9KtRUmZnztf1r2PAfE8QmLOQC1E2ydSZhUeRpgLyGkhSeBkxS8EqmbCJrHnVK2IgGLfPkaobGXN3tF6wsfcmzxZbCZgDYTzPHr+dB83zfU4UJUSkDSTwPMeXWhuBUF+AKt5b/AB4URYyZYElIVIM6VAQALHaZMcOfDekLgQOWJ37Qi5rYSiEp7wgjSAfux+N4N5jjRZvLw2oLC5tN7GxsDw25e6t8GwXiG1gACE6h93qfX62q9muKJaU2QnUmAdIIkCBqv0E+tNd7WoCrTWYIzvDtLAUIncjr9fjS822QQIMj3evwoxiUFClABQOm+oReZ2jlehr5gwlJUo8E8YEmm4bXbmDmRa1COGQ5rraASudBItcesG9rRG1M/Z/BlyFKbtqSbchJgEcCfdauJ5TjnmSY9kcCBYcxT5hu1r/6OClxKUhRBIb0kTpCYWCLklU9BwqvYGcfLhb4pdz3DpxOJHd+FCPsi6oeAFMylIAkxzvaOV4MbnymkpSydKGwLTIUQI5DfeqXZjMkrlCklST7SCTF+ib24b0z4jJMG8kJEoUJgNmVcSZBBtvc3qfIGfbj1j8XU48VAiCh22L8J0KCwREwUiDeONGse4l0JLnhUoA2sefqAeFB2cFh8MopKkOqIBBBBIhUmSLAwIsdp2oT2mz0KUkpXtMmePnvUObBR0g7zrYsisuobCEcY4QooccE7p0m3n8Nqo5j2h0NwtA0i1gYF7kySfeaBDHuOkSoyNjV1bbYSdXiMGQvbYzxP4UYwDYNPFyQak+B7ZtJlCkeDgSkEGiJzzDe2kgAX0g2PO1coa1CwAjlRBskWgibwR+Bq9+mQirnPXKwN1Opf1+wfJX7hrK5jqP7I/drKV9jT1/T+If2j2j9g8aG1pOmTBMz7NomI5Ufy/Dsrb752FKXKUNpEkf41QDERt5UnNBwaVFChq2nr0j4019nMoW4Y1hARB1C5MkSBsQffFTF/DPFx+HEFxbmpQzDLjOoNqCCfCSIn06717lmBKVTeZieVP8AnDTToKAopIAg8R6GhzzSA00ykgeISoDcjYx1t76UWsnzfL33lKZRQ8sH4LK1NYv7QFQbSpwkg30pm/Maoorj1uOsysp2ClJUbkiPdN6mx+IlCCFDVqIJuAq8aT4iYsNyaW8RjF96kOLASCJE/j0324GhzaRWNeCT+f8AE8mrIdZ5A/T+YPdxYCipMpWOfDjafyoQcEl1DjinQnSfY3UbG8TtMCep5VezxPf4lIaV7VlGZFrzAjzFrVXxTiEshKLrEhaxIMfslJ5WvajxYwo1cw3yk7cSpgsUhGHc0r8QUBEe0PFPlv6zS6xitbyvFokBPUj15QKmQY1aufvpfxrSiuQIg2IqvDjUsTJMwIoiXcUFhXivyjavA5wvHHpVZt9X3zJ4GaIfoRcCQiSFKHiNgPM7etUaaNRV7XJMvx6m3QUbcLceX4Udw2NUt1QUI1AxHGxiOd/xoZmGS93pAnVAMxbzSdyPKrWkIAUowVXHQW8/o0nJjUmxGo5Ah5GdmI0+I77gCLkHnHWjeHyALcDrjphaRKBvtz2uqReffsA7I4zxF6LAECbwTpBVpmJiw/hRHH5+tC9CIuYvwvbztUuQaTtuT+UaCSNtpS7YYII2KiN0KtKRxCupNvd1pRxeCIcSdYINrEzzmm3ENhxpRBKlzKhvO3L19KDqUkD2QogQFXBiIPkadhYrUXkFioHxLIskAKJMCN/ypvbyVKW0YMlQj7VxQNySZSB0A9/hpdyfu+8KxIg+Eq393TzP4A2GkuYpGkhQ0ypKlABemSAefkZ22NVi7qczM2s6RGXLsq0kBCEHqUiPUJ39Kvu4VawS4qUzAabhIUZ2WRcyfuz4R1oLmmavkFoENcFhF1bkRqmY8gK0Z7Y4fDIbaDS5ShWkJA0pUICRv6k+ZuTAwOt1cQ3S5QLqCO2bDxxKk6p0BKTFoMXCRwSCYgcvWlx3LSoQ4FdJG3vq9luOJ9tRJ4k3JNFm3UaklxGsDfmOo41O+TSdQE7GPF5QplTL8MMMkafG6ekhPkNjA5/wq29l7DkyVqMSb9Nz8d6LYHuxreSklIH2YIuTwt5+dgTQfCY90l5aGVL0n7UpR4U9TxiOU2vYUoaidUNqAqGMuy9tWHcSplOoDwuKR4gBtBjaetJuY4AumFnSR7I4dfU04dnu1zCR3LpBbUbH7o6HkOtH/wCqDDqVKafACvZBhWnyUOtGhe4two5nH/1Crl8ayuqf1Gc/vUf9351lH4uSBSSHLVoxLaAolISI1BOxG4nhcR6U45dlmnDjuzKo9qBczSzk+KfdZSlLalhQGxEJHAnlPI1bzDtCjAo7mIXPslRJPXaI62HrvNQogqY0hjQUwfmpxZcTDBWF+yRYK9TsfPfehWYP4vD6dbZQUmQoKBHPcWptyXOSrCBRXJBUBzSBsOvE+UDhQjF5nqEEXvJ3nz4VE5w4zsLMsxHI+1ChIMjxC3W1rcVpDawTzJsTAjl8SK1wmTF5SnXipLW2oDc/lbj0HEVXXidE6UpAO/hEcr8NqcW8UlllsGVynl8DJiOgE87zTMeTETrbah39ZmXxE2XvEU4FtlagmSozpWFQQIuCAIO+/u50FfXCiUyd5J4zaCI5Ux9pMQlTZSlCQoeIQAm/HbiRalrDvEgqJIk8Ui3u+fypuLJ4iXMZSp3lHNlJsW5APA/Lb0qPLMFrcAnfluPLrW+Ow6rkjUCeFWcCxABuCQQZO9/LlFvoUqdIgEatpRGWoUlduMgneL7AK3I8+XWjfYNs69Di+7bZSpU/t6iRE9bieMEc4hweEBcQla4QbAxZMC1vdf1qfP8AHjDeDDq+ycSdV/EYtc2HkANveWHIWG3PaTlKNS1jsV3zjikgLSPCkTBV5cYsSfShWGy4g6nDc7CZCRy67VdyxxZbStWkAgaRAsItfe/8aq47GQQlN1Tt60nxaOkcxvh/hC2WhtKQLaZkkbbW348dvhah+c41JfT3SYQgATueV543HvqbF4ghsajdUyI2kkiLcJ29aFKw0p3vMzx50QBczLCxgxeLUmEBKUJTIJTtz3JNuO9K65KZBF1SRxPp8assZgdUODfjbqNvP86ncbaaClSFg36i+wI+t68oKmjzMY3xxAuHfSF/aWAUT4ed+m3D1poweLLCNakkg3sQTtEEXtFLWb5pr7spSEJRqiep3vNrcfyr3C5pcawOkAD1tY1QwJX0kuJVVz3jyc5bUoLIEqGrVAG44/Kpkusu6krbQoKGyhcHgUqFx+PWkxrF6yRqmDIJ4g7/AB+dW2cQUCSTHP14VzR05DfEZ0iyleIeyXI0IUXnChRIKUibC8zcbxYchapcarSAWigAAiIgRHPc/jScjOTK5Ez8L71XXj1kCTA+Bqg4XY2xig6rxGrK84WyoBICrlII2vxp17P5clpt0NqUSpWpUnjAHKBYCuadn8G46dQWEhJ3G5PrXQctzgM4VYX4lCVDSBJ6edqTloAqTz/f4mN5twIO7P8AZ1l15aB4ACdQSkHUArgDaeppgz4Ns92022WRJMpEADmo2iTxrzs3mjbOGCjCVOeJxR5kz8Jits2z5DKgrVrQdrD4V45NlU/WBRLkgQX3Ln98v/q/xr2tv/iFh/7pX7qf9VZVXhYvT8ovXkgvs9nnctrZ+8YKettj5VJ2kjEttspa1KCtRI9q0zcc6AZUglScV3XeNCU7DUhcQCJI4Hcc6YeyWNKXyu0EBJQoeIX35c7UL2HFHaD0+2OzzNMBhS0w2BKLkqQZmJPO9ejAOOJC/ClBIgyJ35C9NudZF3xI70NLF5AJBHKJHW4NLDywyktOuiUcfZtuOPOo8yefVXtzLcOW12O80zjs+ptlbveJUEiYAOoiL2vtSWz2nUCELUSiBEbjfj61Ycz9SnFJLilJmAAbEekWoMQkL0IWZNhZWlE3va5MbbVQnT42sFYGTqSg8zWZezbNpBUOdr32G4rXK1pWRK9KYJVJi8WT6mB6k8KqKwwBWlxJUYBSQbA23gXtI4VawWFUEnQFdbfXCjKJjEzG7OLlxlAuCbgwLdeNT6BaOdV2n5UVLtNzAHy2HlVoEwBU7NRlIEixjJVcbje0edLuPwDh8h5fnTOkne1uXHjRJvs+hxvvSv2kE6NoVJAE8TxgD1FOwvuSO0TlFDeKeFxbrjaUAeJCQJTxSIAJ63Ao/l2SJQlLxXrJ9pJBkkzYR778jwoHicvcZXqaJBHHnRTLM+aJAfCgvjpIAMC8TtO/GvFtrxjmeANUxljFqb1JCQopGyCJ+P8ACqWOQY1kETwNvKiWNztgRoHqZk8rm9hwmgeZ5n3gJQIA4n69a9hsHaBk35lN9gGVTt5/X8qjZQpxOlBAi5JP1xiquH1OTKjB2r0OaSQn+fKapI9IscSVGXKXKfaO6iSOgkqJgDYSTxA4iqmMw6Up4SORnhwIkVYZfI5mSCb8p/Oirj3epA0ao5Dr0Fe1kT2i4rYTFFtYJPhNj5GiuIxSiNIMj5Tyqs5lkleyQJMKtadhbep2MntLRkmxgGB68/KaN9B80FCw8s3ZYH3jHuPyNTNIUtQSlQPQ2ECt8H2aeU5puec1azPLEYYw7IWRZIEH/mHL6vSjkF0DcLT6yHKcc73ioMJnZI9BFqZ8qwIeK5dU0gDjGqfXhS/gsYpC0LCNlBVXu1faBSylSZFjJm3l9c6WyAvdQTl0irljCZkEDS7CgBaDxoRnmYJKCCTJslIO3meNABiFq9kX5mrGV5apagpSS4ZgXG/lvHwpqYNJszDlvYSl3R+jXtP/APU3E/3bP7yayqNQ9IqaJx36I2GVqgqgqSASUg3PECTtHCKO9n+1bC3koDIkwEqUlMi8TF4MRtN65/mb0rKi+h9SidQQlWlPkomSOGw22p47AYNOguOtHSmdEiDJG+qJiLRN56VLndcdm694vBjyFR3Ec85x8KSQd5G3lXPe2SFKUFpSpYiDF4g8uV6aM3xbakJWneRMkkdR9cqSe0OOcD6kMOjYWEDTbgfj0rn4AcuQtzL8jjDjBqCXcCW0JXpusSDPCb/D51XYxWgm11RE2gjYgmBETYm/MVZbZcBJctYqJn0gxRfCZa08VIUO7CtKklKtXX7wgi4nj159UDSZxc2bUxYyJDH27S0faJVM3iSIMHYH6FNWIwq9EkoQAfZBEC88ORJ40ssZKwwoOIdcdCJBKyABIiAI6kyDTJlTeHdbTrUsqBve2wIj3j41H1BDsQDxLeizr8MrZjlzTR1K8QVHITPHz41o3lCihK1kJ4id45gb77bT6VYzzBtNlKkL1i40EgkcbT8a8wD6iQ5iSnSQS3qM87G8SeEjh5VMtC7F/oJ1QxrY/wAzR7FYcGAFkCw1cpO42Mkk78TU2H7QtEFCgBwuLEcB6VRxykKWSgaUq2MD1ExQXGI4EfH8K0KG31bz1DgiGM+WjRIJKeUz0EHfjXOsTJUSRuadEYFX6MpayYnwj9re/kCKA4TABwmVaYNrTT+l/wCMGzMzURQgQtkGQYPzrdLywIO31wo2/lcG1wDw8qsoyQlIKyEJPFU267belVeOuwMn8I8wXh1kImARt761Qj31IWdBgX/CiGCy1avFA0pjUdSQL8JJ3jhvWc/DN45kLWCBBJMHgI3veTNo8r1NhApJBRJkbAT769ZeRsd5IB5deXvo044whoeHUqfXqanZ6IBjO1wa8x3guZm5M7W2j3CaMZagBoEDwAwdIuOYKo+FDHn2ljSAUkbRePn8K9yvMHcOktgawozG55n5fOhKFhV1Paq7RpwPaJtnw6FATOpW8TvzNC+03aLD4nZCltonxls6lGNyTZA5Acrmg3avtExiFI7tJ7ywA9mOhG1ulSlIbAZKp12JG5nc+fAelMx6kW6kGRXbJz8oMOKcUiLAWi4kD5/y4VRxbLlu8bJSRIO/nEHpeb0w4ns5dJwtkGPbUQOHlfyq/jMvWw0CkklJkBUKg/4VJUI9xpnircnfp8gNxaTgViNCSoEDYTAgmelucA015ezhcMpopU5JE+IwmTxgCQAY50BxGMYfbHfocDyTJWVmSSQDBMJSmOFrxvTDlmHaSAG09+5e5XYJtEcNrm+/SizMQAbjulLuxUjtGL9YM/70n94flWUJ0uf7mn/9cf6ayl/aPn+H+5V4Lev9/CLOSZA20VayDBtO8DY+Z5UUxPaZxKO6SExe53PI71cyfKGlIKXlFTipJUokAdEgbHz60AxuU2UNUlJIBHHlvU4PitZNyjSEFVUr4rOilCkGdYGwmPMUrl9YUVGZJ2507YPsliXV6QkJI3KiNKR5gm+9hWdo+zCMMkK70uK2I0ADYyReqsWlOBUny+fY7xPONdMhKiEHkPgTzq6wpbSgoLN7H62qbKMnOIdCA4ElRm8wOduJimHE5DhsG8gvuLdDgVZSYhSYgmJ8NzbnVJVmXV2nOyNiQ6CN4rZnmBKQlJOkeQ+Vq1axRUAhtJn3mr2ZhK16kJSm+wAj4cKzDQhwLMpVyVsfJVI0gLsIfTZEU+khGI7pxKXQQmRqH8qZX84aKkNqVLYHAxfTsCJG/wAqpHJ14g6kLalUakqc07AweRI6025J2ZwbKNWKQlxXJaklI66UmPfNLKKQCdvWXeMObuL2WZ0lKiypOpJ2O5jf39aizROhxJjwKAg8/o291U80ZbQ+6vDgtjX9mkGRGkSd59qSAaBOKdKyUhRIEmeQ49aWOmBNgw/tG+06PiHg5h0MgRpSJkyDY3HnQfD5UmdeklPETx5/U1FkZcfToRqK42TMmOg+NWEF/DplSZBmAqx2v/KpzrVjZjxVUIQweHMJW2I1EAJiAR16SIjrNqvOdksTipKyGgNgqPhBNvOKK5BnGHawra1uoUuLiRKOOmNwUzE0odov6SVhRRhk8fbUPkOB8/dVSYVL2dz6SZ8zgbbD1grOsrOHWW3DLloKfZgjfnvaIHHpNMY0obIKyZ2EnpsOBi1vlNV048rWVPKUVK3kTbqT7h6el9DDRUlSJP4Hpa1N3XczQdQ2gthjUQSFCN4An57fGr2X4YFUrJAHOxPwphQ0gLChMGASQDB62q9nWASllTilghN5gW5crdKlObUaAjtNDeBltMAQiS4TbiT0jy51p+oMQTJQABwJgmmXBusdzOGHenfUAJkczzHWh2eZr3jZ0qKFbTy2m3S/rRIQDvvFsSRtEh3LVKxHeLgBHAHe0W68fSnDsthAVOuqb75IA0FSSDx1aZF1JIvpqr2d7Ny99o93jWgk6TBkkQFT75HL3vjbSO60CAhsHToI1cPZ2JHGYNPyMaq5OiebUYCzLEJ7sBSS0hMQdJ1WMyeAnnzNCDmocwziGxKnAQAZJEH2rCNrTamPF4PUmdQI4yPF5bX4/lQrLVNsHu0NIFzBAubzck3qZSoGrvK6vaBMF2Rc0kvuNoCj4pJkCCJ09N9uNFcgVg8INHeqUqTfYcbAcPfz8hRzwKVJkyTz/DlSzimlkGQSAd43nrRoz5eTNOJMe/edL/WbP94PcPzrK5Z+gr5H69aymfZz6/l/uB4i+/8AfpOxP5ehV2wZ+8Rxt1tvwpCbdcW+WEDSSYM2CYN1H0ophO0pYWpJlTM2HFP5jp/KimLwwS6p3TAWEm33rWn0qIacY1+sf5r0GGn8zS23oQUjSIkkeUnmaSc/xbK0lRKlqiTqNk+61Uc0xzp1HSUgG0iIoM85IIJJG8Wj8qPHiZ6JMwhMY2kmExyWHW3GVFazF9JKUBVjCTBWvSdrAEjc7Ge0Cg64VayrWISDEpIIMx1EiOE0P7HYdf6Y0NIJlUagQPYVJm2w47WpkzxphBWUgFwmVGQTOxO5jyroHPo/45yOowFmDDmKzTShYmOB/jRwLdSWm3m0hJuSAPGDt7uPy41RyNpK3RJsACflf3VVdz+X0FC1qZStJSHNOpIJSVAkbiaxltdovp1PiURxHdeRsKb1p0jjFwD7jQPNQENKUyhIIsZ1FUGNpVHw/Oi2NhLndyUp5D8OlLGe4ZxBiTG8C+3P8q56avEo8D5zqjGmm+/ym+RYMP4hlKo0k+IxYQCduO1dCznLMKgtq/RkK+6Tp8tjz+XSl7sZ2eJb/Si5o1hQQjeRMSbbmNht8KZMF3eIcDLizCUAkixKrCQJMeXlXszkNpUi/nMAF2eBzLOSZKywHMS2kIKhCUp+6m254lUaukxWyMehZhCUqVBkb9d9hV93CFpstySIgE8uR5Gk5jJcww6XHGu6Twh0yF9RpPhMc48uWZEyZGAO1c/+wceiiSflC62G8S+lK0pG+okCSLW22FGMxyjL9CO+CNDd06zCU25JIHoZpI7FM43FqfW48W0jwWQidW+jawTN+JkX3r3G9mlvJUlbhU4g+EnY+m4kU/CWw7HcnvByIr7XVdpQzrLcE/jUDBqSEQAtLTZCfvEmdv2RMUQd7IN6h3a1JQRYm4nrMb+dj7qiyTDuMhYSk9RxBHWvcN2s8RSpBOmbovG8yn3k34Glv1DZDSiNXEcY2m+LwSWj3ZWFwJAgXPpxid6sZbluHeR49UHcEGFjhHT191Vnc0ZchxBTJEgi3Q2Pr61Pj88S60lLZSFCCTa3O3Cpwas1vHEEgCaZjjEsJLbCQkJEaRsOpjrw6mkLEurW0rSFET4lAbSZknhRvOnFpHsriZUopPHiTHxq32cSVIcabKYNzPL0qnENAs7xTCS9iMMWUlJUqVeMHpCQb78OPKrmZ5sC5CBvdRvPUknnvyryPsAEwXEEosPa8zOwE0EzFl5A1PJWkK2IHhNuYtyrXXXuNwdzMQ1sYZwuJUZ0kTqIMquYEnfhWy8bq9tIEyAqBfn1HnQJK0qT3uxKuJEiwt5Vu/i5QAGgDqkKTMeRkn4RuaNmBGwmqpveG3stJCVQQInUQSNt0nbp9WFv4cXEahI6WHKDRLLcYsJvKJMwCfltx49edHk4ELbJflJSd4HhtaRG217c6WMeQm12qM1oBTbxC/Qk8vj/AO2spr/VI5p99e0P2h/WF4eOc6xDToUtARMKICyYm/vromR4113CpexGhRJUkgCJAMTv4biOHurbMciZcR9kbgQb2VIjzmfoUtdj+yeMLzxWotsgwpJUfGRBEAW4RPCeNNBGVCF2I/OILUQTD+JwqSU60jSqNUHcT5xwNVsVgsIw9qDIItAV4gCniASeY921eZriy24hmLqMb2G3S9UM7SohJI2+P1NQYWyA1wDKmUNVwng1MYjv9A0rU0QFJtElPDkSADzEjjSE5qC9LgKQnwkcfaJt0g10JnDtJgyUqKRITERa0bEzFulL3aNPiPhi2x4DhFXY8mhtJ3kT9OuRg42qCMLhWyrVqI3+9c22IHPzrfD5IXSTISgDc7QDsny5V61lhI1RsATa3E+thwtbjNEP01XinbhG/LYDh8qc7OvEJUBkOKzVTTyFau8KIkkb8/fU2JzY4hRVGkxGnzoO4ySdRBA4agRPlO/OinZ/Bq1pVEJBHDcTv50thS7xoAuFuzWNcQkJXOnVMT7wJ98jyroeVYrDuonw23AsU8rbi1ut6TO2jiB3aWBCyoJCTa5gR0pgbyFLaJL3iKYVZOk8rETb3mkKNVuAPT2MVlogA2LhpGMQorbJHhEjrfbrw8jHOtG81ae1slSSU2UAfcfrlSpmGXvtgOIULbR5RxJ50rdj8A5iMxTJUUhRcWr/AAi8H/MYT6nlTMZynysK/eYcOMDUDOtZYyWtaRqKYkE8tuV6SM4zssuqI9qYA2kdaa8zzsJcACokLtNiLfKkjMsCt5SnO7WReFQYABtt0pWR1OlV7EwsKHdnHMYsgxLjylu92ENrhIkzJ23Hxolhng0Fogap35k8See9Q4BHc4JsCAoJCj1MyfjI99BswxJSjWpUFSQecTwPv+dezMyMNHI/eYih7vj+IrZ1gS46hthCUrBISkWHiM+lyTT/AJX2Kw/d6XU6lkfaOSRfknkPozS12SfnELUPaMJFuopvzvMw03pSof4jz503G4x4dWQXMzBmyBE2gDtA8S4GAUnZOokHhxnpNvKl/NWhh1NtMKCbHxbSLXMfjVQ633pSfDMyf50EzXFlTwSSSG7TPQE/Gl4lZt/WPYBQB6Q3h2HUbrGlPiufa3JE7yfLjXuaITiEF3AlSTu4kzpIgWAP3vK16D5XjVkKKiruUkDVpJ3mwtE70ey/N0BnQw2UiSkFUAqUTxAVOmSPER6VUuKjbCTPk7Ayjl3Zt1wBZJKrR6edNuVZOFaUgJJJhSo33NgSACZibRHWmjJm0afEk+G/GALesbGoM2Yb9tLikpPtACBBBKVTI0m0bEkcOeICyDJY/wBTC/mKSROFbSod0mdImQPFPME3AgiAnh0FAs9eK3BoAAAOom8SYied/SvBm4QD3alaQZ1KnSSRxF4uOHCJ4ChubOLcQUmUmPak6VEnwzO28++mOwyL5TPY1KNvIdCf20/vGsr39RYD+/d9/wDCspH2AeolH2r2MJ5TkbqlytZQ2CDYg6gb2PA9eFFs9zpDCIETsAOP1zoXi86KFBAiFm6hwgcBQ/ALYdecS65JAsT94Rw/KlgAeRNvUwTbHW+/tA+Y4J0rRiVbEgi4tcR5C1H8ywC3wShIQhM6lK8IjhA3NuVVsry9RUS8VFmYQmPa3g7iUjmN6O43LdaCe8WY2SqAI6jjfjah52q6hlhq5lZzDfZAaFJTH3hbpFhMSYFvnSnnrnjv4uf8vKnfNsS7oIX4YiEq3iN7+lImJeJWSZImLTQli2ah2jMQHh2ZWDpIUUahEAW4dVCwgRvWiRoiZPUqsPhFWhZA1GJMwdyZufwtyqPHYmElCPZVvtz91UXvtAqUxiBqASkX3E8ec86NZbjikpKpASZgDYbTzoWxgDNgNRgREwYkD8POpU4BxSdSQRFpiwje/lQ5FJFQkqNvarEYRbTbiShSgoEaVbnjPG2/nQfNO0inLNlSldD+dJL2HVdQO5o52TAQvvFJJAInmOouJNb4C1udoseXjciMLLjy29EkRcyII4HeAYPKmbsnk6sK06VqEqI4REwCZPT8aT85xygELSonTtvFojf091Emc3eeYJKtKVXAHle+4/nSC647P0EJkZ1Hb1hfMSEtwrcHUNif4Wqw32nZWg92uVgQU7Hpw+NIWK7RqQ2tstqWsWCtW44TNxA86qdnMxDRUtaTC0iYElJBPD1+VYmFkQ19IB0nmdG/Wie5SkkbbcRci/wpGz3GEkpQo2vHAcb1Zwrodd1t2NvCrjHMdYpWx+OWXlykA6j7Owi0c6LFiZ31HsIZKqKWO/YzFd46iCEriZgzxnfpPuoh/SSlLWEJC/tNYF4BVJvHpKvQ0r9mMpeUrWHO6KfZIF7zMfHhVjM8kUsqUXCtQFyonV8riPkacEUbHfe4B3a7g/J8xhkqTIIG3A8/dQVKFOvKcCZCjJA8o5dJqxi0OMkhU6TYipcCAk6pUPDx+XrRpSksO8NlsS67hVwNKI5ymw4bHznzNFez+FJaXDgb0XnQCVTAIKpBA2tcX2tQV7EhMangVk+zPOfd60RwbxQiEJUtR3AGxNrkT7z1rFyZFazAfGhXbmNOVYtQmF6l+yrkrwm499vKr5ZIahbRC1TMnjG97/XSknMkPM92UKT4rHVskzzmYHM8Knd7ePNuLStKVEWiI9bg/RpK9OWB9Pb35mswFVCD3ZzUJaJ1SLA2930KEYnI3gFrKFqVMeFQBsLWO4/Kpne2q0p/sygGbkbTEwRbgPjQXFdrHFnUCIGyT9fU0xEyBaC/jPEjVZaQ/oWJ/u3PdXtQ/wBZ3v2ayi0ZfQTdS+sYe1S9KUqBuDvU/ZvEMDCh10JW6FklJEncgfCCLUHdbfxi0obQTFzAsOpP1NG8wwvcMBCDKkAAlSYJ/dImllwq0eTPBboek2/X7hUlThGhJNtN46/lRLO87DCO8QO8OyTJGqbjURvAEiuddmcc69jmmlkFKlgKBECEyTHoI611ftbhf/lFtqSNJMhVpCjcExxuBv5gi1E2HQRqP9/veLfIp2URBxHbRTshxISTxBO/WaGNZoptajukiPSZ4+QoLi2infY7Hga2wjhIJiY38rxTl6dACVHMBc5HlaGHs5DpAA0xwEAe6KmZwSlXBATvcgWmAb872HI0Q7O9l14hBdZUhSJ0nUSCFaUqOyTxMXvTQzlKkBBShKtE/dNxe8jaJtBkQKXlKYzRjVfVxATKtIkElfJO4sI6EdJm21Y42spcCDZIlQG0eXGJ+FNWD7Oo7wuYhQCNw2hR9QVWgdBVXP8AMmUy20hCQtOkhIAgSFD4pHvpPjYyaY+v/s0WT5REfUgEAJlRFz69fq9FMOEpv13+e9Dcvw5WsRYEwFHbr6CiGY4dUKAIUlJuQN4MTzItXsgYgCOGm5p2jfSUCI34eVSNY5CMOmCLDbmaD4zLZQFahKlQEg34fC9qvPYBppuFEKXvrG2mOAOxmduB6X94KlQGPeKyZCPhEA4fEkrUVC8yDymjuWBCgpJI3v0maDZViPGSoWVYdBy91G3MrSfE2oAr5eZ36cdqflYKa4isaluZWcxjbaSQ7pWmRCSNUjpUeWoR3AecIkzud4N/iK9a7NrWoglG4hUmVeVvn8akz7sp3KRo1bwQVTPLw8K3VioAHmepgY7/ANHakvtKdcAQgLhMG5IAnyF45+XEtmpbdUEYdIOi5geECDM9T039K5Ph1KYIJKwke0lJI9Y25b10jsfjmiwXVFKSuwBN7cSOEn8aHKdtIG3c95gWjrvfsICxzSVFSVbjhUTeABbEhNpvY7Daw+FZmLg1uLkRqIMcKI5VgLKcK5QoDTyJvuCPK48ucQ4waO+0vcihALuW4VyzjdzsQSDPpv60y5NgA1h0oGoAkySdzyB8oqHDdn1ufbIUkaVQE8SR5bCef5UawOX94ypRVpdSSEjhYCx9bVqtkPlU39YrJoG/EC9ocIl0NayfAPeOE8DAHSgWY5G26UrTZXi9mBYdDemJGPbLqe8QkiQCCTbmIm/lV7N8Rg1slKEtpdUBpgBKtU24TvVPTOz2S3fj1isy6KGkzlWOQpJIkkJO88uleMZowghRYBWCJJuNo2n6tRXOuybrRKmlBWrdGsT9edJmKYcSrxoUk7XHy3FdNADtchc1uI1frVn9lP7tZQ39Iwv+6uf9Yf6ayt8BZ7x2nZsViG8MgpbAG1oEEnc23PGTSVma1vEIRdSjA4CSTuRwv6Dyq7mJWbqM+IgQTEeta9ncpdeeSU2QkkqVy5AdfkPdXAQNrtp11Cpjv85cyv8Ao3YQttxLj3eNkKKho0rXubFMgcAAdvWiPa99QaLbwBQQRIVzk3tvB3poaZCUKCFQkC5JMk9JPxO1C0ZgyggFKSQPaUZI8p/ltT82QvWs1f8APt+8gxmiTVzk2d4B3uEwwsstyQstrASOJJEUrNv6Dtbib+/0rt/abtm0htVwo8Ejy8torhOPxIUsk+EKJO20nlyrqdMdWw3HrJsx2sijGfCZk5h1a2lkHZWk2V15Eca6dlfaJnENfZkJciFJO8x8puDXH8DjEd2EApJSbTxEDnfea9KVC6JBmxBiDvAPP+FDnwhrEDG9cztmfZE8439jidCzElSdQjiOBB4z6da5bmDTzTrjbqtRG6h94Hz2twrs2FxWjBtd6RrDadaj95WkA9bma5yyUqxSlLR3muBpiR5gVz8ZTG5TaXY2yFCYMwKilF5gTBG43JI2gauP5VG+pYETMxAueHHrTLmnZwHxNJLZI9nhx24cf50BK3CvR3S9ZBOnSSTH3hHAWuPxpxpt4aZAJHhMCVqSmT1gQfjUGd5eZgqWVz7J9OXOieHxugHu0lSxdUAnTvE8iSP+3rTBkalYnEoUWyCkEnULWuLcbxasUMrCxzPNkU2fSKKOzikpBcBSo7GfmIqXDpXA5U4dsXrgH2lG3QUJzNtDWHSQoJVAgWlV44eu/KkZGZmIG8ZjcBQT3kCWlRABke6h3aZx5IBUsK8vzq/g/wBILc6QUq2JHLlVPOsnddbClKgA7CxpeFSuQaoWRgV2gTFY6GlBZlRFr3J5c6HYZC206xsoXFOfZ7sSNCnliQJ0j0ub78qMdq8iSxg21JREFIUY8wT+8RV6uu4Av1khPG8WMgycvBKwoEG5ExP0ab80htAbSqwAnheL2NDewTDCG3i4sBUyEqMACLqE8z8utZnDC3E62ge7mCs/hz86j6hXJrsf0lWF1Js9v1lns/mly2LKUbEmx4elqNlp4SqQEkQRJkGYHv6dKQ8E04y/KftAmSSN4sCb+e1OeBzVeNRpaSTp3GmCCKnyYNHmAJvivWE7hm2r3uL2cZM6tLmjSpVyLkHna38+lIrWNeZeQ8slRke0ST8b11HNGy2lTqlhIgApM6p6UiYrBjEeFSYTMnh5RV/R5NK+YRGe34MOM5g28pS0FQKxIhMmd4vuLA24xVTG5cVDSQVEzI4zyvxvXmBzZtp0F4ToNlAwIiyVeX5VtnPag6j3MEEcJMe/jVV0woSfciBP1S5+yfh+dZVX9Pc/aPurKfr94nw/adFzPj/mX8hTP2J/2c+Q/wDNdZWVyX+9M6GX/wCcfOR517B8/wAqR8w4+tZWUI7RC94p55+dKeMrKyu10nwyLqOZG37Y8xT72N/2pj/it/8AmKyso8/aAs6f2r4enypTwn9snz/EVlZXzTffP8zO70/3Aj3mfs/XM1eyz+1V/wAP/wDqvayuji/z+f7Tlv2nP8r/APUcx/4n+qjvY7+1e81fjWVlV5PiX5TE+BoE/pE/2pr/ACn/AMqTc3/t/QVlZUa/FLB8InQf/tzH+ZX/AJCtMb7Df+asrKS33n0H6TF4+phb/wCiP8y/mqpe2X/pC/8AIn/yTWVlH0n3uT5D9ovLwvznMWNkfXKnp/8A2L/lrKygzfF9I5O3ziZg/a/5fzpx/oq3c/4n4VlZVI+FPn+8Vl/ylb+kz2m/X8aXsNsfT8ayspI5jB8Ai1jv7N31/GpsJ7I9PlWVlXf4xI5ktZWVlKhT/9k=</t>
  </si>
  <si>
    <t>Kathirikai gothsu</t>
  </si>
  <si>
    <t>கத்திரிக்காய் கோத்சு</t>
  </si>
  <si>
    <t>Brinjal - 50gm ,
Oil - 30gm ,
Curry leaves  -  2gm ,
Red chillies - 75gm ,
Tamarind -10gm ,
Water - 250ml,
Asafoetida - 10gm ,
 Salt - as req ,
 Red chillies - 75gm ,
Coriander seeds-45gm ,
Chana dal - 30gm .</t>
  </si>
  <si>
    <t>கத்தரிக்காய் - 50 கிராம் ,
எண்ணெய் - 30 கிராம் ,
கறிவேப்பிலை - 2 கிராம் ,
சிவப்பு மிளகாய் - 75 கிராம் ,
புளி - 10 கிராம் ,
தண்ணீர் - 250 மிலி ,
அசாஃபோடிடா - 10 கிராம் ,
உப்பு - தேவைக்கேற்ப ,
சிவப்பு மிளகாய் - 75 கிராம் ,
கொத்தமல்லி விதைகள் - 45 கிராம் ,
சானா பருப்பு - 30 கிராம் .</t>
  </si>
  <si>
    <t xml:space="preserve">Heat oil, add the quartered brinjals cook until it softens, set aside to cool. Once cool,mash to a coarse consistency. 
Heat oil, add mustard,red chillies, curry leaves, asafoetida &amp; add the coarse brinjal mixture &amp; saute it. Add salt. 
In a separate wok, heat oil &amp; fry the red chillies, coriander seeds &amp; chana dal until brown. Cool &amp; grind to powder (this is the gothsu powder). 
Extract tamarind juice with 250 ml water &amp; add this to the brinjal mash. 
Once cooked, notice the raw smell of tamarind fades, add Gothsu powder to the brinjal mash. This dish is done when you notice the oil on the side of the wok. Check for salt. Serve hot. </t>
  </si>
  <si>
    <t>எண்ணெயை சூடாக்கி, கால் பகுதி கத்திரிக்காயைச் சேர்த்து மென்மையாகும் வரை வதக்கி, ஆற வைக்கவும். ஆறியதும், கரடுமுரடான பதத்திற்கு மசிக்கவும்.
எண்ணெயை சூடாக்கி, கடுகு, சிவப்பு மிளகாய், கறிவேப்பிலை, பெருங்காயம் சேர்த்து, கரடுமுரடான கத்திரிக்காயைச் சேர்த்து வதக்கவும். உப்பு சேர்க்கவும்.
தனி ஒரு வாணலியில் எண்ணெயை சூடாக்கி, சிவப்பு மிளகாய், கொத்தமல்லி விதைகள் மற்றும் கடலைப்பருப்பு ஆகியவற்றை பொன்னிறமாகும் வரை வதக்கவும். ஆறவைத்து பொடியாக அரைக்கவும் (இது கோத்சு பொடி).
புளி சாற்றை 250 மில்லி தண்ணீரில் பிழிந்து கத்திரிக்காய் மசியுடன் சேர்க்கவும்.
சமைத்தவுடன், புளியின் பச்சை வாசனை மறைந்துவிடும் என்பதை கவனிக்கவும், கோத்சு பொடியை கத்திரிக்காய் மசியுடன் சேர்க்கவும். வாணலியின் ஓரத்தில் எண்ணெய் இருப்பதைக் கண்டதும் இந்த டிஷ் தயாராகிவிடும். உப்பு இருக்கிறதா என்று சரிபார்த்து சூடாக பரிமாறவும்.</t>
  </si>
  <si>
    <t>https://www.jinooskitchen.com/wp-content/uploads/2018/06/kathirikkai-gothsu-final-1-500x500.jpg</t>
  </si>
  <si>
    <t>Kozhukattai</t>
  </si>
  <si>
    <t>கொழுக்கட்டை</t>
  </si>
  <si>
    <t>Raw rice - 210 gm ,
Moong dal - 50 gm ,
Jaggery - 160 gm ,
Water ,
Coconut - 50 gm ,
Cardamom powder - 5 gm ,
Ghee - 15 gm .</t>
  </si>
  <si>
    <t>பச்சை அரிசி - 210 கிராம்,
பாலாடைக்கட்டி - 50 கிராம்,
வெல்லம் - 160 கிராம்,
தண்ணீர்,
தேங்காய் - 50 கிராம்,
ஏலக்காய் தூள் - 5 கிராம்,
நெய் - 15 கிராம்.</t>
  </si>
  <si>
    <t xml:space="preserve">Roast raw rice and moong dal for few mins. Take in a bowl and wash well. Drain it completely. Take it in a blender and powder coarsely 
Take jaggery in a kadai, add in water and mix well. If your jaggery has dirt, strain the mix. Bring it to a boil. Add in coconut and cardamom powder. 
Add in powdered rice and dal and mix well. 
It will get thick and leaves the side and come together as a mass. Add ghee to this and mix well. Let the mix cool down. Now shape it into ball. 
Steam this for 10 mins ready to serve. </t>
  </si>
  <si>
    <t>பச்சை அரிசி மற்றும் பாசிப்பருப்பை சில நிமிடங்கள் வறுக்கவும். ஒரு பாத்திரத்தில் எடுத்து நன்கு கழுவவும். அதை முழுவதுமாக வடிகட்டவும். ஒரு மிக்ஸியில் எடுத்து கரடுமுரடாக பொடி செய்யவும்.
ஒரு கடாயில் வெல்லத்தை எடுத்து, தண்ணீரில் சேர்த்து நன்கு கலக்கவும். உங்கள் வெல்லத்தில் அழுக்கு இருந்தால், கலவையை வடிகட்டி கொதிக்க வைக்கவும். தேங்காய் மற்றும் ஏலக்காய் தூள் சேர்க்கவும்.
பொடித்த அரிசி மற்றும் பருப்பை சேர்த்து நன்கு கலக்கவும்.
அது கெட்டியாகி, பக்கவாட்டில் விட்டு, ஒரு கட்டியாக வரும். இதனுடன் நெய் சேர்த்து நன்கு கலக்கவும். கலவையை ஆற விடவும். இப்போது அதை உருண்டையாக வடிவமைக்கவும்.
பரிமாற தயாராக 10 நிமிடங்கள் இதை ஆவியில் வேக வைக்கவும்.</t>
  </si>
  <si>
    <t>data:image/jpeg;base64,/9j/4AAQSkZJRgABAQAAAQABAAD/2wCEAAkGBxITEhUTEhMWFhUXFxgYGBgWGBoYFxYaFxUYFxgYFxcYHSggGBolHRcXITEhJSkrLi4uFx8zODMtNygtLisBCgoKDg0OGxAQGy0lICUtLS0tLS0tLS0tLy0tLS0tLS0tLS0tLS0tLS0tLS0tLS0tLS0tLS0tLS0tLS0tLS0tLf/AABEIAOEA4QMBIgACEQEDEQH/xAAcAAACAgMBAQAAAAAAAAAAAAAEBQMGAAECBwj/xABFEAABAwIDBQUFBQUHAwUBAAABAgMRACEEEjEFIkFRYQYTcYGRMqGxwfAjQlLR4RQzgpLxBxVTYnKiskNzwiVEVNLiJP/EABkBAAMBAQEAAAAAAAAAAAAAAAECAwAEBf/EACsRAAICAgICAgEBCQEAAAAAAAABAhEDIRIxBEETUWEiFDIzQlJxkdHwFf/aAAwDAQACEQMRAD8A8+axkiFevGtqObQiiW8IkfdHnW3AlP3QPWu/i62epxdbAF4Q8xUBwp50fnSZ/OtLZTzPxpaRNwXoByxWiakWz1qBVYk7RpRqJy9SpQTyqNxMUrEZGzhyuRPsjjyHCucsacdaP2IsBwlRGXIqZqLEuha8wEDlXPX6idGmWpqZy1bwyq29cH641boI02K5KSJ0PxpjakuwVe2PCnANAhPs6Imk+0Nlbqu6QmVEG+oj8PCDyptUeMeDaQpWiiQDzIAJ+IoSr2BWItkIKXQpwxmkQeMayPlVnxeAbdQAndUCCFDUEaRVW2q6yp5tSVqylKe83YKTJnLztxprg9p4fNHeqA4BQjjYE+GpFeX5OCcpqcHs7MOWKjxkgp3BYoI3nR3ZBTmi6r3E+PGjNi4EIZc0BAMeV7jTh8KWY3EB0JbQqUAkgjhNzcdTRW0MfDDsODvICTcZjOvDUioyeVzjGL3ovGSjBv0ycKkAjjWZYpdsBwllBPUeQMCmmevcR5RHNamuymuUgUTHClx9a1nfnSY6QfjWnBcePyrh5PHjQCHMY1QgGI8xHn8qI7ze1FwTI6agjgf1pSTN+Fch246f0/OjYKGvfmsob9uH4ffWU1oFAWFxKSIn9KncYQoaiqmHCK3+1K60yzfaPaWbVNB+IZ3iExH4ibempqZrIBClT1091Ke8WawtqOtJz+kT5+0hi6839CgXS3zoPEpIqFpPGkeRkZZLdUFpRJtJ8DVr2R2RWTmdGaL5Rp/EfkPWqgF8K9M7EdqlOJ7p2CpGWLwVX1mLDSbjnUcs5JaJspW1NkFL6kCBIKkzYKTqI6xw6Utirz2zyPHdjOmCmOIjeTOntSRVMLX1xqmKXONmRG0b13iVVHoa6RvEUzAMNgg5lHoKdTSnZajmI4Cj3MWlJAIkzpMa9TajFW6ITdMmOkgGJiYtPAU4jAv4dDbgUlSYlRBG8Ykp6X/2mhmMSjvEpghRmM4sLaihX8A8FTANwJB5njPCujyPB5JcWRhna9CPa2xmgofszneCJ1Sbi+k9PhSrE7LfBOZtc3+6eBIOg5g+hqxu7ELThWSIMkR7N7xehgtxWbuypOUH2SRwIOnQmuReHlS/6yvywZhw77OBaXlQQ4VBBA30feJURr4HSkLWFJuqZPE/nRi9qPxlzqgTaTa5J99H4ZOMWlNjlVxzBNjGtraCowhNvStjuSS2xmwAEpA0AjpU2aucA8W3ADqLEaijNqpAcMCAQDHiL13ywuMeTIcrdAwVWBU1oK51orqQxt1NCKdVxyjXWTp4RFFF2hQokwpJAGiiCQqZmMth5njQYSMLVwyq8JFvfUgmL1i0QN2D5Ec+vWpZ61kjEWU1ldzWUaABJwIqNeDA4UzVjEEeyJ5j86gU+g8x4VZxie44xF/cxXDgo9XdkWVHlUJZH4hSOP0Sa+hbi25FqE7o03Wz1FCvADiPWpSiQnFdsBLVTbPxS2XA4nUe8UXhsC67+7bJHPh6m1MW+zCgAp5wIE6JGY/ID1qE5RXbIuN9DRjDKeSHUaKv4X+VL9r7LUmViJ+8Ba/4kg6jmKd7L2Y2zOXvCE728qAoRvKCUkCBbnVjwJCv3bQEolLhG6fMX8iags3F2jKDPMGNmuuGzThHNKFEesRRqezuK0S0R1UpCfcTNeiYhlOVIddGYHNKTAkcxeR0rSncPZw5lQIzJSqI5GIEUX5L9DcSo7J7MPgEqKBzJUI9RU+N7HYhWimesqV6ezVhdxWGDZPcrLajchG6TPU86if2i1lQvK8lIkAgWM6g719PdS/tExfjiVpHZfFJUlSnW1ZTaVL00j2aZY/AvkDuikka70fEXoraGNR3c/bbxCknKALKBseMRxFAPYtvIjPP7wKUFIgqQYEgoi4E61fH52WOrFlggzbeGxN8zYUOQUP1qMPtsCFNOAQblCrHkSBHmKbYTEQY79uJ3d7URoQrjRKyuIkFVpIBKTfhExaqf+nk90I/EjI8lcuSedWzBsurYQAtKbAWEmOt7GrQ9gkrO80haYvIGaZ4hQnzoZnZjCI3VNFRgpzQJJtZRIHlzoeN5kYStmy+O2tFcxv/APOQ5cwAQDfOCcp+INYziXHAFOETwA4Dl1p3tTs6+57LqFoBkJUnKodM0kGesUsxOAdastBSOfD1Fq6snkxyai9EljlH95Edbriaw+NTMYTW0ukVwoVzFYxKtc1Ca2TWp51jHOasrrL1rdYxXspA1MHka2gGP1oxSkBMQZoVUxawNIW5P7IVuEaE1yHl86bbM2G49cDKkarOnlzNWjZuyWmoyDMoaqVdQHMD7oqGTMoFIqT9lXwWwX3IKz3aTxVqfBI+cVZMH2cZazAplxMQV70noBYe+n+Gw5JUGwSCfaPTTw8Kf7J7MZlAKIKomOMc4/OuV5ZzKcUuysIwylZIB3Yn8JPyHSmmF2Go5ipNl3OYbojkVaeVOtm7SwneONLSGlJBCHFKEAxG8DpehGO1O4GXErWnfQrKJEKuhYPGDU3SM5E+C2A21KnFhQGQEpuUhwSJMezFMcBs7CpzJACkh7ujOgzDdUPOfSqfhNsYgqU2Anu+7DajxOVRUhXiNPAUUHXTnBUftMua2pRoRGh/OpvLFOhHNDXYCWjhlhYQF946yqRoYgEevuoHY+OSdnBNvYebcMAnU5SORuPSoGsHCVjOd9ec9FSTblqaC/uwIZU0HJlRUCQREiCLTOgqkdi/JEkwe1f/AEhTRSkjfGY6i6VJj1rrEbUbRshptSZUpchUaQ6Y900jS0pGDcYWd8qJTFwZAF+VxQWPxWbBNs37xCrjhGbMINO1QVOJbu0WLaRsrCIP70qTw0CkLPzFVDaySG2VKNyUpvyifSBW+0mLDjWFDZKlJCc4ANiExW+1TmcshBJCQCqQUwcotfXjQoPJAOJSEhqfvESOmtCh5QWkDdJIuLECits4jvXWihJCECDMTwk63ofHrz4pASCEjQkQDRQbX2Ht7dxCFJAcKpOioIgCeItTNjtbCh3qEkKP3dbdDVecw2Z5SkEZUDLreSNQOUUIyr7VRH3AQPE0eKDyPRcHjmVlX7Ov7QwcjhKQYtabaVHjMc4HMmU3G6YlBM6KIkCBzqg4RWdalKuEiB4zeiNk4taXHC3GSMpBmDmBBsD76yVdh/sWhzBsOECMiiLLbH2ajxjgY8qA2lsN1q8Zk80/NOopj2f2zh1toQVhlSDGWAEE8TPCfHhTvEF5MqUnOid3JdRHmdfCqxzOLom8aZ5+a5VVsxmyWnZghKpueN9Myfnaq7jMEpswsW4KF0nwNdcMikQlBoDKq5CqmUgQLioygVQQ1mrK3krKNGEwI5T51adjdn4QHcSCEapR95Q5nkmieyuwEpAffEqP7pvmfxKFOnyt1Kyo5SFQZ1I6dOledmzvqJ1Qx+2Q4cyFEQlAISlUSlANoSj8XWmOytkkqVMoH3idFJHOPhWsDgkEhatxIIMCYnSY4k8qsLOKS8pbCjkTlOUmw3ReTpoCahpK2Ub9I5xjycIhtxKcyFEEmB7PJPKkz20nnXi/hlFoG1r25TzrTSn3CloqCmEAkTxzcOZPwpg03lASkQkWA5VyZvJcdLsm3QtVsttSs6pUevH0opxgAaUSkXE6TfnFOtrLwiGSGt5ROpzSn1qMISyJynLr7/0TcioMphSrHQm3FIvYcSLz08KLDZsQaDxSwIuDPu6g1juKS0Bve3cDy58Jq+GCybrYJbVhbqidaExChyoPG7SWnRGuhmR7q20+VgGdarNuPSJpAeN8KUujkKtDeACvaXHgJobEbAcBlBzjhlFx4jhTfHlato1UVxDuUzp60PiF5jMU1xOHCZClXmIi863GtcLwmSM6F3uJTqKKiwiVRND4nEKiCBVkXgUKTIB/hsfQ2NJsXgct/aHP5EcKotBTO9hvpCXAVASm02nw99QYbD9zhlOKutxRSkc4sT4T8Ki7i8xRiDuUXNV0MpULQkoahMlRuQJ486wO902APaPxNHd6ONRvpQSFHUfXnQUr7KKZAtYaZyRKlesn8qf7M7RO4XukuKC0FIBTF0joarZTCitdwNOXQ1phYK+8cmBePgKaiif0erMOYfEpKmVAqiJjfTysRQrjES24krBAklMIPD+FXGvOcBtV1lanGjknhwN9CONejYbHs41nKFfaQCoIJSoEcUzwn40KcQ6ZW9r7IySts5kcRqpH+rmOtKCurjgsOU3hZURcKieIIIFiPzpLtzZYRLjY3PvJ4tn/AOvwrsx5b0znnD2hR3prK4zVuuiyRfsK2AO9d1HswYsRYAa11g2VPuFaoCeA0FuJ6D30EkKdcyyQke5IpstQybkhSB5Ryj514vWz0DvAp/aXSydxDe9uxJ4De561JtNpoqymVxAlR5f6YpPsHakF1wwC5YJBvukg/EVMl/Mrrr0roxyT7WyUo09DVhpKAAnQcKKMGLVzhmZAv50Y20BXQ8WNrcV/ggQt4XN0PCdKTYxL4UUluI4kiD1EVY2/aHjTHa2FSWweIIj8qjLxcc/VAaKM1s90wbC3E6eUGhNo7FddUAYIAtBAirUWelZ3BIsKeHjQj0a2UVOFW3KSF21kEp8iBEUTh1QLVcE4ZXGoto7DDiFLQAlSb20VGtufWmljMVpDxm1Odn4gxypSlkim+FatSRTRT0NkYZK0FZSCpIMGLgH2o8qEUpCklKxajtmOEWoTbOze6IUn2FH+U8vCuiPRKS2JMZsttMFKiPSuE7LZWkgA5tMwv6jQ01ZwgVdWnKj2E2sIHIUOMb6BRRnOySyr20pT4Emt4nscQgw7B4ZhbwJBq3OMZlRJF6LXg+8SpJNtJHA0I44fRmUpnszhckHMVfimPQC0VA92PTlUW1FaxBAVCRHEePpTxvDxY6ij2LU3xRfaNZQXNjPoSSpoxxi/lFJcXsxcZwhWX/SbedevATbUVylkDQRSrxY3aZlkaPFCc19EjTr1ojZe0Fsud62BIECdI416jtLs7h3gQtsSfvJ3Veo1qmbe7IOtyWt9vj+MdIGo8PSlnga/JWOVMPwL6nm0uqCO9UClO8coSbkrSJk+nrRzLa0uqQA242QICfwwQpJn2vzHWqj2fxww7+YrUERCoE+7pV4dQISprLlKis6wc2pTfdJgX6VzPWiv5BP7gwnJz+at1r9tV+Mev/5rKHPJ/UHjD6GeBZyNlZspW8mYmAqwjj+lKtsOlSCpC4WTBTz4+lOduHLlaSACm6Y0ggc7k86q23VoWkaodHHhyHkajHbSKvpsRJxw75K4yrBhQ5zb68KvWyRpOpqgtIU48hLiQd4XHEC/yr0HYozLHKumKpoi3ot2CYtNSqbrpCwkAVoAq0rqbIHGz0fa30604xiQpPgaDaZ0pmy1KaETSFqGBUgZ6VP3dSJRTWABLFTYduKnWioc16FmKvtHABCyIsdPCa5bb4U8223ZPnShBikfY66D8CkBQpptdsFnTiI9aW7LEqpxthQDPiR+fyowemLLsri0xUzKRFaS2Tepm2P0pkBg4avTDDtHhpWgkUYHYQVRoJptWArOOY+0VHM/rQDqykxTV2/iaXvtcaDloKQwwDcptc1hFMNlNANCgFKkk1WD0TktnCk1CpPOiDXJFUEEO0ezrD4VKcijO8m1zxI0NKtiYorbUghMtnKCkmCL/CrjAvVDwCsmLcQTlEqSAbBRO8AB561x+XjqKkdGCVuhj3g6Vla7rpWq4DqJ9vrSrEODN99WU8NdKqq1LcWEOfapv0VABMW0NtfCrJtRQD7pyZm+8VI+8neOnOqljW0sPNvNqlGbNHgd5PQwffSQltpdjSTqwh/ZhYfw8kb4nKNUmNPC+vG9eibDw1hA5VRtrpnGsrBlC+7KDzBOlel7PhIFdGGTdNnPWgxbVxRbCeVRpGajsM1FdLFJGWqOWMqa3hmq4xCpMcqy0AgAqUJrmK7UoAUyACYpyBXGCZKrmoXnQpcC54CjXHe7bJ4ge80vbD6FG2Fys30sPrxpSU1Li8RCSdSATHE9KHwTueDETw5UrYyHexmqN24me7HUn4fnUmymLCo8erM70SI/P66Uy1EVu2QpZtXCkRRU1A8aZCsHUamxigGiOJgD1n5UPhrq8Knx4ukch8f6UfyAVluoi2CaKdNZhUSoVNjoYYFEIg0mWLnxNPXjAtSl1urw0ib2QgVyupKhJma6V0SZyq41qibYQG8aFKkp3VczJsT0AAq9G2tULauL7zGlSLqSUpSOG6ZJjxJE1zeV/D2VwfvD/uuqfU/lWVv9mH4vjWV5dHbog7RtqTiVKBCFKuJjK4k6dJi3Oqr2mS3klbKkuHQp9kxqfrnVl2+vvGmnjvJKQhY+8lSLSKqu1cOVkd2/mtGVWovUopKdseT/AE0BbJLiu7NyhtYgngMwJA6TXrOAUVEVStrJThm8M0lIK1wVGbpGYAJjqCfWr/sRqQK6IT5OzniPsG1amLLVc4NnSjsoAk11IRnWgmhAazEYsGyb8Sah72jdsB0tdAYvFGQlOprMXiwONKRtEIJVqrhyH60QDxhlLQJUd4i5PwFV7am3A4qEewPfFAP4l3FktsqNiM6oOVI4jNpm6a3p5s/s80gCZVA46elHb6N12V1WIUowAT0F6sGz9jkJzKOVWsR9Xpg4pDegHkIrbLpVQ4o1hOFcUkRaoXMOoaX+NdtzNEBNMAXuLI1BFROKJsLmnMWqMNijQALA4XKJNBYx2VGDPKmO0SoJMDxPIeFJQaSTrQUrO0omiWGIvRWz2hr9GsxpgW/pWS9hbIXVe6hlIqRE1tQqqFYE8ioVC1qLUmTSztBj28O0XHFQB6k8AOZqqf2TaEHarbBZbgEd4qyZ4cyeg/Kqr2Yw4KwUq45lLOqiDJAj+lLMfj04h7vHJVwS2mYAnTqeZqx7NbytrcI3kgBCBoMwIuedcHkZeTOrFDiNO+Ty+FZSHvlcqyuSy1Md7JSl5k4UkgoKlNLnMTF4PO80lGGT3zfeolOaCpHjrzFT7MxBEKJJcSbQbADQRFOMe2laQ8jcCrLtKQvjI4TzrncrWi84U9iraGzFP7QQ2iQkhBB1hKRJPy8a9d2VszIBavPez2LU04FOAFQGVJB9pJMxJ0M8OPDWrwjtSjRKZVxB3TYwaphzY4x/W+jjlFxY/wARiG2k5lqCRzNU3afacYnEtYdhUte04oAgrgEhInRIMTz08Qu1GOecC16JHsiRYacONBdgNmElT6ptKEjnoSfl61XF5Hyyaj0KXdCYFBYzF5RrUzyzpp1qr7exoBgac+ddfJIFWRY7Hk6kx+RobZDasY4pCF5UIgrUJlQJ9lB0Btrwm1V9zEHEPIYQbLUAojlxg+Enyr0vZ+z28MgJbSAOmpPMniaMd7A2ENMoZQlttISkWAH1r1qVbio61ynBlYCleIFTZqezUDjCFRlRpghqBW2k1MUVr+jUZh26mUKxsRWyqigG201hRXSBWKogNRSbG7PCVZhYHXoaad5BqLFLzCIkHh0686z32boonaLtw0yQwwoKcKglS7ZGwTBM8VATbQceVPcNie8SADp5zVX7X9kmEDvG05QTBA0STpAOg140p7O7cThFFK3c6DAAm6I/DeIg3HQcq5Xm4ZOMw+j0pCIFROVWMV29YA3Q4rolB+dJsb26/A04eqxlSOp1q/zw9MWmXXF41DSCpSkgASSTAHma8a7VdoRjHb51NoJyISInhmPGT7h51Djdp4rFKzLWhSATlSSEgdY5240Th2XhdTjaB/lE/IVHLmvSL48ftmtmYRVglAaSdSYznoBz8as+NRlShpIiBKpuSqOJ51mxMCG0l9YUogHKVi5nilPAa3ihHnc6VqSooUFan2lTxSOI5zXPbbKsi/ZjWUR/eH+RHoa3RFA8EooUpGbKk3UVaE8BTPZuPLZnVJsocCKrOyNojFICScrqdetOWn805sqMoAAgb0eGlckk4S2dianHQ82jgkKBcSN0gbzZiOF00pVtEMAQpTmUyM05h0B4jofKKJ2djSgkEZkK1SbT1/Wp8fgd0OMmUXkK1Qep1jx9aVxT2hJR9SO9m4prENrA3FKn2rG/Q8oq49mihDCGpAUkbwnU6qI5gm/nXmxL02U2hJImADmjT+ovRbW2m1ksrVeIzDQ/r6HxrYckscrW19HNlxNddFm7Wdo20HKFSRwTc+fLzrznaW0luneMJ/CD8edd7QaKSRIpcponQ13KfN2Qt9Ho39nOyk5O+IlSpg8kgx74NXw4eaB7JbODbCEjgkCedtaeKRFdUVUTeyMt7sUMlkzTAIrXd0XsKI2RFdA12G60WzWSoxysmu2xWqkbNqZCkiK4WqsDnCoH3eVMAjcrlArYNZNMgMX9oMCHcO4giZEgHmk5h7xXm4SgaJA8vkK9YUq1eX/2lthlaXROVyQQkarF/ePhXF5vjyyJSi+jJ7oXYraaUCAEkjr8YqpbX2q48SkIUUxBgSD4W0oTE4ha1ZXQptHIA/HjRDOHbRdD6pPIX9x1rmx4lj72y8Md7ZrZ2BaPtMug8faj9KsmzNmIjvSnKhF/xrVHASbaV3sfZzhOZ/P3YFs+6Vfwi/rTLHKzQy0QhSv3aUxeLkBNFtsuqFrePeeWoIclgSSJyqQnkbEnQc60yVLV3hQruTujLIUDFiSoXuPCpFsypSgnuyoQQmdRrIPXhXO3tvnCspSSC9l+zH4Z/wCq51/CPlrXH+vSJzdBf9yvfgPpWV5l/e+J/wDkOfzGsro+BfZH5ANtS2VyDBHEaGrxsvajeKTB3XBEjnVbeQFCIkQKCGGWhWZsmRe2o/OtmwKaGxZXB2ejN94HBmlSQNJNz40x2dtEpLjmYICbBJuVfpVU2B2tBAbeseB0nwPA0/eCVmDJTG6RqDqM1eVLFKD2ehHLGYzxWFbfShwpS0tZhKVaOdRlEiT0NK9otln7MMoCxxB19dRRTRIW2lYDrq90BIktg8zoY68qMQ+Cv9nWEv5ZO8BIAtqdPWs6YHGtlHxrj7crUsQo3RZQ8gdPKo9lY2XW/s530xlMTvDgatmM7MJcVmZgj/DWTb/SbyOlV57AOM4lKlthASoKg+yY/CRbhXXjlGjmnDdn0HsdP2afAfCiMRqBSnsftdrENAtqBgR1BHAjgafOIFdy3E5XpnDYrbqa6sNaru2+2WFY3SvMr8KL+p0HrSukthSb6H6VxXDr1eb43t4pf7sZBzlKifWlGL7TYhwmHFJHIED0E1B+VFaSY3Bnqb2LSNSBQbu2mk6uJHioV5QttSwVO4kwLmDJ84t76FSvAJO8taidTIPlGppV5LfSN8bPVH+1eGTq6n4/CgXO22DBjv0fXPlXkWP2i1mORtRSJgSAI4TFCKxqVK3G0tEDjvkk62IHU30qsckn2bge54ftIyu6HARxIMijMPtZtY3VJPgfyrwZeMcP2TjrkRa+VP8AIm0eM1Awksqum34kEgn+IcayzNBWKz6BxG0G0icwrzj+0ParbiUNZ4OYLkXKY0kcJn0mq8zg8Q9HcvvEH7rhXA65+XjTvDbBQn98pDhGu6Cf5jejPyLjQY4UnZXWkPnKlKkuTYAC5p/h9kNtZVuqzuC+RMBIPWLmKYLegZEAIHIQPhQjP2i1NtmVpTmvYR4m01x0WbNYrE5rrIAmBwHIUIpBzLS8hSVpILRGv8U38xU7OGLzYSpB7wKlShAQEi4N9COdJdvdrkMSjDK717RTx3kogRCJ9pXWmjjcxZT4hm3Nrt4NEGFvkSlB0T/mc+SePGvO8Ri1OqU44sqWoySeNQPOKWoqUSpRMkkySetaSmu/HjUFSOaUrJslbrnKedZVRBqGlZoAv7/qamVgFkBQSYOliOvHUX1qTFYRaFKSoEKSYUCCCCNZ5EVF+0KyxMg38I/Q0aCCv4HTOkiSR1trPLUa0Vszaz2HgT3jfIneA6K+RtXBAi9r8LxYX9YqMnwv7qnOEZKmhoyadouGy9rNrUVtKKXCIIiFjy+aaJAWkFTZhURI+fGvPwbzoRcHl1HKm+A286j2t8C0myh/H5cZrz5+FTuB2R8rVSL5hNooCW0KkrNieBPCL+NM86xKQoLA1SuDVMwu2mF+1uqH4rf7hanGAOUrUhQOcRvkkDwIt51CUZQ7RROMumPcPjAhUhstq/E3AP6+c03c7Rrywl4BUWKoHqSmPdVTYxTwbIUMys0gi6Y5a+F60vGy0klALt8ydAPA00cj6TFlBeyfH4fHYheZ17vGx/023LHxFgaQbQwr7qkpDLiUJOmRWnW1OcS1vNqbkiAXBBtzA51pjaBS86oFYbCIT3h0JM86znbtjL8FV2iuVhAAASRNr+dc4ttMiDERYReeutXjB4gpZZWcq1rMhajGYE2AhJMVIVlx7u8qC5EgFIV/uOlMpU6FaPPMfCXBHs2twIPOsx7ORwLQJRYggW8Jq7u41StUIIHNKbetbTjXY1gRwgRQ+RIHApq9kOuK7xltSkkSYFh62qZPZd9yFZO6I1LhgHyF6tLjrhG8bdTQ2MV3YzLO7zAzenOssrNwFTfZ9RMPuIIGhRM+po7FNsYdIWhouhsgqBWSEg8cuk+NGYptbS25QC2uCVTJKCJlN7HxoLEt77oaKsjgg6DMOGb64UXL7Akg1nFYxClOuKSlhwp7pa4IBUd2EmDBHpQWOfW6taWnVOOpGdagMoISRIAPAWmmGxtgK7vO8wFpSd1bysjSBzlZgxQW3NvbObdLi3e+c/w8KIR5vKgfyhVMlKS0ZuKZwsrfWlSWwlQIICAYkcYNTbYxbGHJXjHB3pv3LUFw/wCoCyPE1Vdpdt31pUhgJwzZt9md8jTedO8fKKqBUbk3J1JvJ61eGBvciEsi/lLJ2g7VPYgd2gBln/DQfa5Z1arPuqtqTFiK6ziOtduLmYGpn4/nXXGKS0RbbIkomu0prbYrtKaYB1nrK67usogHDgJJKlEkySSbk8ZJ1M1Hkm3w+dEIbTlVJ4WABnx6CNajSBGk/X601GBykioFJ58/HnRripI1t58dYqTFobEgyVTAI0IHG/DSKFBsXBFZNEMtEkjlMnUDnMaAVjqMyiYA5wmBIA4CwMg+tLRrIG/WfrjU7Ly0QUqKSeRI5a1GG9TPHwqVDdr24ibC5/OhVhuhthu07ybqyr8RB9UxTfCdrEH20KHMQlYF/wDNBqqLZ+9AAJgX68a5ebyzebx5D6+NRl42N+iiyyXs9AZ7QYRYG+lE80rR8iK00GVZodbcCjopxJP+6KoDboSBaSSfCIF4I5/PSuVjMZgAkxA61J+JH0x1nf0elY8lwsQhISzGUJII3TaYrWMZddcU4E5So/d+R8q87fayiyh7UHWJGbTgKiLhQbKOhFj+dqV+K/s3zfg9HwGBdbUVBKjmGUymbeHCpMJgnWw4Mkhce2YyxykgCvM1uqBkOKjqT9dKiUozcz1N+PWh+yv7D8/4PT2Wg22ttbjKUqMkuOokG+m8TQjm0MIhpDbmNbKE+yltK3SOgISB7681UKiWTNMvFXtg+dl/xPa7Ap9lvEPEaZillH/mfhS/Ef2hv/8At2WMP1SnvHB/G7MeSRVNArJqscEF6EeSTDdq7YxGIVOIecdP+dRVHgDYeVLiqujrWFPTrVVEnZwFnSuCm9TIRepCmRTUAGCKkSmtgV2E0TGBFTNiK7yCNZ4Rx/pXSen0KICOayiO6+orKNGDE6K8B8aJx33P+2j/AI1uspjAP17zWsR7P1yFZWUDBDf/AFP+18kVC57Xp/xTWVlAxCvU+PyFdo0PhWVlYIUv2G/L4ihsb8//ACNZWVmAHOg+uNds+0jxFZWUgTnEaD64Ct43VPgf+aqysoBB/r3msV86ysoGO3tB4fnUDvD64VuspjEStfOu8X93/SKysrGIKmVp5VlZRMcCpm9PrnW6ysgEXE1sVlZRASVgrKysjEtZWVlMY//Z</t>
  </si>
  <si>
    <t xml:space="preserve">Malida 
</t>
  </si>
  <si>
    <t>மாலிடா</t>
  </si>
  <si>
    <t>Rice flour - 200 gm ,
Jaggery - 100 gm ,
Cumin powder - 3 gm ,
Cardamom powder - 3 gm ,
Ghee - 50 gm ,
Water ,
Salt ,
Grated coconut - 25 gm .</t>
  </si>
  <si>
    <t>அரிசி மாவு - 200 கிராம்,
வெல்லம் - 100 கிராம்,
சீரகப் பொடி - 3 கிராம்,
ஏலக்காய் பொடி - 3 கிராம்,
நெய் - 50 கிராம்,
தண்ணீர்,
உப்பு,
தேங்காய் துருவியது - 25 கிராம்.</t>
  </si>
  <si>
    <t xml:space="preserve">Add rice flour in a wide bowl. 
Sprinkle some water and make sure the flour is well coated with the water. 
No lumps to be formed while mixing with water. 
Add 25gm of water step by step adding around 5gm at each step. 
Transfer this mixture in a double boiler for 15-20mins. 
Then transfer the mixture in a wide bowl. 
 Add powdered jaggery, then salt, ghee, and mix well. 
Then add cumin powder, cardamom powder to the mixture. Serve hot. </t>
  </si>
  <si>
    <t>ஒரு அகலமான கிண்ணத்தில் அரிசி மாவு சேர்க்கவும்.
சிறிது தண்ணீர் தெளித்து, மாவு தண்ணீரில் நன்கு பூசப்பட்டிருப்பதை உறுதி செய்யவும்.
தண்ணீருடன் கலக்கும்போது கட்டிகள் எதுவும் உருவாகக்கூடாது.
ஒவ்வொரு படியிலும் சுமார் 5 கிராம் சேர்த்து படிப்படியாக 25 கிராம் தண்ணீரை சேர்க்கவும்.
இந்த கலவையை 15-20 நிமிடங்கள் இரட்டை கொதிகலனில் மாற்றவும்.
பின்னர் கலவையை ஒரு அகலமான கிண்ணத்தில் மாற்றவும்.
பொடித்த வெல்லம், பின்னர் உப்பு, நெய் சேர்த்து நன்கு கலக்கவும்.
பின்னர் கலவையில் சீரகப் பொடி, ஏலக்காய் பொடி சேர்க்கவும். சூடாக பரிமாறவும்.</t>
  </si>
  <si>
    <t>https://images.slurrp.com/prod/recipe_images/better-butter/malida-1614314934_37FH0V68KZXBW0SOEAZC.webp</t>
  </si>
  <si>
    <t>Muligai Sadam</t>
  </si>
  <si>
    <t>முளிகை சாதம்</t>
  </si>
  <si>
    <t>Rice - 500 gm ,
Oil - 10 gm ,
Karpuravalli Leaves - 10 gm ,
Urad Dal - 5 gm ,
Channa Dal - 5 gm ,
Cumin Seeds - 5 gm ,
Mustard Seeds - 5 gm ,
Coriander leaves -  20 gm ,
Curry leaves - 15 gm ,
Tulsi - 10 gm ,
Neem leaves - 10 gm ,
Green Chillies - 10 gm ,
Salt .</t>
  </si>
  <si>
    <t>அரிசி - 500 கிராம் ,
எண்ணெய் - 10 கிராம் ,
கற்பூரவல்லி இலைகள் - 10 கிராம் ,
உப்பு - 5 கிராம் ,
சன்னா பருப்பு - 5 கிராம் ,
சீரக விதைகள் - 5 கிராம் ,
கடுகு விதைகள் - 5 கிராம் ,
கொத்தமல்லி இலைகள் - 20 கிராம் ,
கறிவேப்பிலை - 15 கிராம் ,
துளசி - 10 கிராம் ,
வேம்பு இலைகள் - 10 கிராம் ,
பச்சை மிளகாய் - 10 கிராம் ,
உப்பு .</t>
  </si>
  <si>
    <t xml:space="preserve">Wash and soak the rice for at least 20 mins and cook the rice in boiling water until 90% cooked. 
In a saute pan heat oil, add mustard seeds, jeera, urad dal, green chillies, chana dal and saute until golden brown. 
Now add mint leaves, curry leaves, coriander leaves, karpuravalli leaves, neem leaves, tulsi, salt and saute lightly. In a kadai, heat oil, add the paste and saute. 
Add the boiled rice into the kadai and mix well. </t>
  </si>
  <si>
    <t>அரிசியைக் கழுவி குறைந்தது 20 நிமிடங்கள் ஊறவைத்து, கொதிக்கும் நீரில் 90% வேகும் வரை அரிசியை சமைக்கவும்.
ஒரு வாணலியில் எண்ணெயை சூடாக்கி, கடுகு, சீரகம், உளுத்தம் பருப்பு, பச்சை மிளகாய், கடலை பருப்பு சேர்த்து பொன்னிறமாகும் வரை வதக்கவும்.
இப்போது புதினா இலைகள், கறிவேப்பிலை, கொத்தமல்லி இலைகள், கற்பூரவல்லி இலைகள், வேப்ப இலைகள், துளசி, உப்பு சேர்த்து லேசாக வதக்கவும். ஒரு கடாயில், எண்ணெயை சூடாக்கி, பேஸ்ட்டைச் சேர்த்து வதக்கவும்.
வேகவைத்த அரிசியை கடாயில் சேர்த்து நன்கு கலக்கவும்.</t>
  </si>
  <si>
    <t>data:image/jpeg;base64,/9j/4AAQSkZJRgABAQAAAQABAAD/2wCEAAkGBxMTEhUSExMWFhUXGBoaGBcYGBgaHRseHhoXHRcgGhkaHSggHRolGxcXITEiJSkrLi4uGB8zODMtNygtLisBCgoKDg0OGxAQGy0lHyUvLS0tNi4wLS0tLi0tLS0tLS0tLS8tLS0tNS0tLS0tLS0tLS0tLS8tLS0tLS0tLS0tLf/AABEIAOEA4QMBIgACEQEDEQH/xAAcAAACAgMBAQAAAAAAAAAAAAAFBgMEAAIHAQj/xABCEAACAQIEAwUFBgMHBAIDAAABAhEAAwQSITEFQVEGEyJhcTKBkaGxFEJSwdHwByPhFRZTcpKT8TNigrJj0iRUov/EABoBAAIDAQEAAAAAAAAAAAAAAAECAAMEBQb/xAAxEQACAgEDAgQEBQQDAAAAAAAAAQIRAxIhMRNBBCJRYYGRofAUMnGx4SPB0fFCUmL/2gAMAwEAAhEDEQA/AF29YNxi5OrGTWgwdEwmkAVJ3EDWr1AlglMMZqbufIfCrhyzAqxbs6UOnY8crigS9knkK0OEHNaNC1Wps+VTph6vdgb7MOlYcOKMPhNNKqvabaKnTI8q9CphcQlpbhIBlT8aAYfFFSD0IPwNOS9hsXfE5RaXfNcMfLerCdjsBhxmxWJa634LUKPeTrRjkWO7ZVLFLK/Kg5hUsYsDv0DaATz22HpQ3jH8KFYZ8Jd/8H/I15/fPDYdcmFw6qBsWlz8TQbH/wAQcU+1zKOi6fSszzfE0Lwr7uitZ/hzjwZIt24PtNcA+HOr+K7IuyhcRj8OoHSWNLOK4/eec1xjPUmqD4wnczSvJJ9h1hxrljni+A8PKgXMa7lREog/Oqo4Nwhd3xDe9RSkcSaxbx23pdUxtOL0HhbfCVEhbxPm/wDSpMRxDAPa7krdyTIAf+lJGKW5bIDoUJAIDAjQ7GoPtJoapvuMukuw0Hh/DPwXf9z+lXuHWeH22zK91fI5WH0pK+0mtlxRoXP1Cni/6o6OxwjaLcJ8ygP51Vu8Httrbv2h/mtikdcYamTHGluZf1INUM17s/dmUew3o2WfcRQrG8Lxqg/ydOqEH6Gq9viBnUmrlnizDZyKPVn3EeLDLcHYTjuLw2hzgdGUx86lxfHbeI0vWUn8aDKflRzD8cfnDDz1+tbYq5hrnt4dBpqQuUn/AE06z7U0VPwau1ITRw5GJyv6A1Vu8PuLrlkdRrTfe7P4ZzNt3t+8MP1qNuzd9NbTpcHQHKfgdPnRWVEfhPVfITu7f8LfA1lNn2PGf4LfL9aym6iE/Bv1+g6LhxWj2ugoytr0rUqK6fTMXVT7ANLUfdr156UW7sV6LHQ1NDFbiwRbTrU/2bpRvAcJe6fCJ6k7CjN25hsCuYw1zqeXp0pJ5IwW5IY5TdIC4LsuxGe83dp5+17hWuN7QYLBAiygd/xtqf6e6k/tT23uXSVDmOQGg+VJGJxbMZJmsE8858bI3Rwwx/m3Y1cV7Z3nLZWIkknUnf1pZxPEGbUmaoNcqNbmokSOlVqA0szJ2vk17kbLnynLMTGk1cw+EQQ3eKuoBHOD+dF8RxSEOGt2yEZSGZxvOxEUjyb0kVOT7iuWorwjs9iMSrPbQ5FnxHQEj7oPWi3ZLg+Q/aLttbsA93bMEExuR5DlTlf4jbXDZ7gNsXCpy4ZSDbaBoTttEwBNU5fEpbQ3ZNwVb/hzZSzmvYn+aUDBANAdCw6npWG1glIdcMFXvFh5bYATEneR86YcFgDeZLt4sLQWMpJ0aNSzjyiRGk0H452UvXGH2VCEUzkLzOb7y+VZVlnJ+aRE/Un41gcJfum/clmazFq1Om51nlAOgpcx3ZrDuh+zl+8lABOZQPvyYn/ituK8OdUYeLNb8JyjYnoBuvnWmD47dwKC3ctEXAZIOhM6iT0podRJaXYW0X14BhMIis83bxI0cDIOc5d41re5w2zctu6YLxuSqtqokic2QnQDlQTF4r7QtzEFmV0AJUnQztBotguMhcEiK5V4ZmfQmSdAOoimbyJW3uLW+ws8S7MYmwhe5bhQQMwIIM9I3oQjQZroHZ5b+ORsLdfLlEwQZIbbXYUy/wB0cLh1AWxbN8L4VuEtJ6gzv51Z+KcE+pz7DX6HIxiWHpvFX+F4e/iGKWULkCSByGvn510rG9nrZe331gXrzQSyg5AByIGkDbzo1gcFatd4uFQKckvly+Hf2jyMzA8qSXjFouK3G1Ucc4jbxGHYC6hQmDB59OdV7fF3HP8AcRTbw7HG+7peW3cVSdXE7TOuwO21J3GCnenJAnXKuw9PKrsORyemS3G1+gRTjRiDBq5heMxzPpSsGrdX86tcC2OZocf7bPX61lKPenrWUvTLOuzsJBjatrZX71WMpjbWvdNiNa9BR5xTfJrZe2BoNfParnBODm6xM+AHUx8hXvDuF96wGoG5PlRnj3EUwljw5RAgLz/fnWXNNY7p7l+DG8jKHaPj9vC2+7QhYH7/AOa4x2g7QPdYnMYrztLxxrrtqdTSveuGudvN2zqSccS0xClnheIuFctp4bZspiOpMbedTP2axWbILe8kPPggbnNt+dT8G7Q3lADMcug2ExNOOF4ohQX7OV8pclS0MoOkuD4W1k+HXyqieTJF8IocrOc4bVMgQszNAjU+UCidjsjigFfIpnQpmAYA7yDtHWmPBdm7VxnuW7oDAh0RdFk6lQSZgaa/Kj3H2FmyDYCu9sQ7gDdo0g7nfeqpeLV6Y9xWgDZ7G2bdhb4S5duA5DaYQGcnTUcgDyPKfKq3DsFmvdw4Fm8CEQCYZf8ANHibWJpk7RcewyoqFGN2UM3tYMDMPCdI10FWl4moslrVqAzrlbcKdyFnWNNpql5pNW7Co0R8A7JpYY2rym5ehiozDKq7SQw1bXSKIXsPgE//ABggBcZGeTp5j/umPhVxOKNetq15QGYtlCa+BSM+oO7EdeVCcNx3hyOTbthrh2z6wegkBVrPOUpttP5L7/ceKrkhscVFu4bFu4zBAVXNOXT2ieinp517jOIXZW4WJnxSA3hG3i0mDpHKgWI7U3u8uhiFElQUghQeQGmg6masYO84uXSJuIy+2fFOsSmk+7TlReBPdh1NEvHO1L2mtyq+LdgkyPuww0HpU2Iwq3szYiyMjAENMMp6nn7tqp4TtCqobYVVYMACRqCN9CI5VHYR0bvnbvQxzBZLEiZOckdZ8Ip3FpbbMXYrYvgtoKTaYE6BkJ67QOtDuI8MYW1yW2XxaOZHL2YH1ovgsGL125iL7vaXOMqKp2jkfLTYHemW4O+ay6I4s5xakOBmj8JOp1GpqxTlGrdkdWKnA1xCh0zBblxcwMkknZVEHQ1a7O2Lve3buNe4iWdCxnxHmoY+7ar/ABfCFWN1GHhc+FFJOnVvyFS2u1D92q4u0jBmVwBJkjUezz8j0pJyvdJb/NEXsT28XeDKLd1mVzA0A231OmnWmDieJt2LfdoAVuNDKTrLbsxO9ULvF8M+W4t3LkBhDpkLEEyBv76S8Z2lZsRKkHXUnXNygAiAKzaZSbjBfqMl3Y0N2fw927HeDIqwRa8IWNhO1X+yPDcJaLrazZrmhVspMDfxETrXO+K8bQXdLXdMm4WYaRqTrEzrW3CeO3EOhLECRA2112q948yitL/kPllyH+0WB4TLJh7Q77KVHjZVDbEkTqw3nyrnnE+HtYdkbxEfeXYjqPKmbiM4hhfLy6jxLtz5ED61dPAhcXvTdNkhTpAZSvUknc9K048zi93/AAK00jnneV5T9/YuA/8A2PkP/rXtaOvH0YLZ0g4UDUmK2bDgaiPWtbjE6/nW2EQvcS3yJkjyXU/HQe+u/OWmNs5cIapUg/wux3dqTuRJnl0Hw+prkH8QuPF3aDpsK6n2ux/dYdiDqdBrXzzx/El3NcfLJylTOxgjoxuXwQLuvJmpOGcMbEPkQifOPzIFV8pJgAk9BR7sfcW2t24w1kJIaGg6kDkNQJJBoTemNook7Y7dk7WBC/Zrdlnv3Vy3AwbWAQ4Vrminc6Hp5VNh7GEwRYW7Td6zEhrmVnt5dMu2moJmNZ8qTsLxg2shDmZME6nfb8qsvx7umzJFy8xLFmEkEz7J3G9c6UMkm1b+Y1JDfhsZ9pJN57YCsYbRnAyggKYI10n15TVbs22bFu7WHt2lTIOed9DnYnwyQNANvjSxwe1ktm7cVgwaUtNIQ+GCxmD9Kucc7XXL4RbeW0FiQIiRpAjSoseltLf+36k5CeJwyG7ibrLLIpCIF2ZpmVYyCF0E7TPSg5u93aN63ZuMijLcZmkAk6ZIjTWI15UOu9o2FzJcfOh8TsAQSxEawSYAAFWv7VthMuQd3cMd3LLmHqJI23o6JKlJWtvkFVRXS7eV0cyrAArB1HQwNtDRbtAtvLaxF0XixWJLaPBOzEToaqYvhuIe6rXReWyyELcUBiDGxkCRI6UK4pxm4xZHytbEKoyka8mE6g6HSrNDbVA1FPEYyWzLoOn6zRzhPa65YVSsDKMsHXTy+VecDvrfe3hhaLKgLsMoOgHiJ6b7+lEsV2RRwy4e3mcmQz3IAB2UA6abydaE5Y/y5FQ3a0SW+HjHLnsvbV+8GdWkFVaZeBuu+lEeO9j2AC28SEOWUV4GYRzK8/dzoBwrCvhGUMWF1mKi3uAdhPUb6g05P2ntMCUTNeUG2txwMygKczGNufpVErUvK9vmLuD7WHZMOmHv3G7wAtoeuuhjXlr0iteC2ksuM7sLS6rEkq2skjY6fU0L4rhLl6yb11sty2SoiACFHIzqRWdmsYLoWye8N2TN1oKQNeQmRpzNaU8U8bjJV+hQ4zTtOy5j8NcxBGVwqZmifCWA1LQevIVSx3Zy62RnvrbW4cy5vaA81Gx8jqascSxpIGWXCyBpBg+XTQVFfwn2nLLNrlXJ5yNNTof0qdHpx8vb7sZZbe4LxPBbVkm7dxIe2DpkkMx/IULbF2+/W4qlUzSJk5vMU9Hslg2vizccoFEZZ3O5kiNKOY3hFjEKLd9c5s6WioOiFdPCDqJ61UvEQpW759voWbiVwXhhxtq865QTeEljqdBAA/e9HG7MXcO/eYW5YHeWypDHQk75emo3JirXDsDas3M1uO6QT0LttGVeQ13obj8Dh3Y3LPeZdXa2SQAwJkAnZZ5b1X1dV09tg72bcN/h+x/6mJAB9oIQZ5kAg7bVAeyl273gbEpaw4Zlt6lmeDGgBECeZ+Fe8Hu/aYKl8O+VgGC5rbsDtJPhAA6b1PwLham4FbvGIBgNmCM3M5lOkfCpKWSNt18gqiL+6jf4+H/0mso7/c3FfjT/AFH9Kyqerl9foPUAxetRrJNXezBL37jH7iKo9WMn5AVYwmLVBqD6aGtOy9/PexT9XXT0ED6V6rxM3SjXcw+GgvNL0X90Cv4lYiEAO0E1wnHPLGu1fxOmB0g1xPGHUmub/wA2dOW2KJVw+IKvpvRXE3PCw7uGI1Owg849aqYTGiQhURB3j9zRZuJWygTVWAiBsetSfPBi3AVsco1+lNvZ6xctIXsEm4DJzQumn3ppTuwIEa660S7Mqbl9bbC61ombq2pzZPvGRsBNDKrjZBz4S1vI+IxF/wDmqphB7AnYGR4m0IO+jcqXEwVvEX7btaa3aMm8ybTuIGy6aHSKKdonsW1WxhVPdJJDSWALfiZuehgetV+zpxDMbdoZiQELaZfFuST0HKsUbSc13+GxZSa3LWK7L2xdF7CObgbwhLpDHMdBlKjX3jTzqDhXY293l5cUCjW1UqmeA5JnItwSASNIBmT5U4cI7K3LGYWsUGuezmEKcsAmEmT/AKhtUNqzhirB794XgF7s3PAVy8igOXUjnrB3pPxTiub9wabewD4Xhbi4h7RvOtgqYBK5gQRoTGsajTX51OvAbDAi/aAls6XLbatrqGGqiY28z1oVj7l65iUS0SzM4BA0GaJGp0EjU9Iq3c7PcVC3Zs5QATHeW9d5KQxJ0jTyo6JvzJpcewZaQtwjFYDDXAqoysyeJjto2oBjXcTPSqV3s9i2cdzcU25DIfFmIYkIh8MSddQY0rOz/DLL4cNi0ud5c8aAsVOhMQI0kjXc+m1R4rE3ltsLd0tbsySoJGWScoDDZhqeR0qq/wCq1y+98fAbiI5WeCYa2c1wC9iLUEt4iWOs+FTGUeYPWg2LTCWbZv2gqXZM6trmYfdOm1K93thdsqLlo/zC3jbygAA8ydDzq5wXCHFYZrtx7ZY3Z7tlbY7kshkekR8ajxSS1SdLgCo04zxbDdx3eVzccGGY3Nzr4Rose41T7N8MZ0chmWXCowgww9rMu+WNJFNOK7NIbTI2JRy4mzOVUDHUgZmlWjaNN5qW7gsKtlLF669nEWrYJVY18IJOQiSBpqKtWSKh5X9/BC96EvHY29hXFq8v+VjBB+HOof7alhPg1Esp6fnVvtdh0YDu7nfIBoxMtMCWEaEEyYojwvs3gTbVjirhJ3EJG2mm4HvrR+JXTWruL0vMG+F4rANDvcuXbxiQxEbQJCifiap8V7Uqq3BacBjvcEEneBPKBVi72Zwi2xZR2tuVB7xjmLEzAA2Anl5jnQzhP8OiTnv4tAAT7Ck7DQmYHu+fKsf9GW7lVFitdiO3xJRbm7byQFAhihIMakRB3ovwfhuFxBKjFO/hAW2IBBMzJG4HurftLwjB93Zs3bpAVQ5uIfaP3jzjTly0oX9qYd2uBtuLQzEXDBzKNwDEyd5MDzqSWpeX7+ILrdljjN1sK0eJUZRbDHQnJMECNRrvtRrs32nu3MOltbaBmlRl08yxA25mPKl3BYXG49WQRlte01yR4uSgRMxr086kwWCx9u/kw9olFSCwZQkE6SxPUbb84oOHlcbp/r2H1Ktxs/tFvxXv9Ir2lnNxX/DT/eT9K8rN0/ePzQ+pDvgoY+IZfIis7JYhVxeKtT94kdDqfyI+FTrjk2Cj3yPyoJYu9zxQNoBdC+yZGoy/UGvW+Le0X7mbwkb1x9V+xe/iLYlJidD+/nXBeIiCR5xX0p2nwme2dOR/Z+Xwr537U4YpdZSCOdYeMhqe+BP0BVsxoyjUaGI+dRBpNSLjGCFTqD15Ud7LcDtXCt2+ZtkwEB3MxrBkCfjTTmoLVIx1fBHg+zV64FfwkNMAOM30gfGj3BLjYMXSGIuZAIIjQkk7GdNNfhRa12Oa8Fa0yWbeY5mSBCjSSgIAOm/OdaHcV4Jcwbrdt4hGS5mUFvCcogFiFnQ/PesryLLFp8BTpgftBjluiU8P3mEeEvG46TG1WOzGMZbVyGIIGYKBvl1J94msS2htHDK4AvOjE6DMdNAZ5GY/zbU0YDiy4fvXW0smB3YgwFAHtayNT6xNV5aWOqsdPcT8b2hdb6XJHkSAd9+XpTLb4wl62+IuIc5dYfJnIiPYJBj2YGgOrVDOFts2ItqLlz2gp8wQ0DaNfZidaH8SS9YQWHUJbYm4ANBDmWQgbgBtBOkCq1pdKKaC+dxw7L4q0zXLyIzXGUZ58WUTC6GYnSQNfCalwnD7+Vb/AHy3GiXYjuyurMAoWFMA8zQrgNxxauFLQtWMqnOSAk5crnSWJyhZgHntm1mxnErdpltHEEqWOcABS28wQZToNT8ds2XHK+PmGPLotYcPiriM93OWF0ZApZgwkLJJiJ30EV7xnsslnDXmVnCsCXXNmb8Pl/m06VXv8Os2l73C3L7Mquyy4lDBO4XxaEiG0POaUF4hjbziyt0lrhA12jXUxsNZNPGDbTxtUueSfqWsHwjDi0Lea67XNRChQpB+82ogyI2PXlTFwCzhcCVW47BroXNcLTo2qqFiFK6SY1J8qQuIjEWsQMMstcIACrDF8x0iNwaK8Y7PYkZEY3GdgMwynIjHWM2aZERJUCtM4OSSlLZ/7AtN7jb2hNu0wNhu9YOdGyz65tPESBAPI+WsdpcS47y8Us3riBVGUzlGYrnIPhWYOu86CgeAsrbw+fFqXKOQtohgGy83aRmJI2BjTernG72IxC2WNtFLsMqIfGAZIPg1Gm68tJqlQio1s36ge7A/bUWrarh7MfyxJuQAXzRJMec+gFTcB4ZhcScNYt3GW5qbrmfZALNA2B0AA+M0zYHsjhVt3PtNrvboDS7O4QchlIInYHNy12oNw/sYbN5Ltu6WturZTPduPI6wwgg+HfXSn60Kavdb+zDTJMZwoW3N5nF3DrcyhWOpjcGDJ1jQCstcQbErdSwTbKFWCqREAnKDnMkE8hMRRTEYXCWkVFUlX1Ru8dg7jmDm0aYMbSa9TE4u/ZSWtLeykkSGdAIy95tAMbE8950qmGSMk3W/a9kSSewHuYfPY7zFNBJCNZIOhPMHcGDvVt+xzqwe3iRbs+GRBZwhAOjQOsD41U4ZxjEXSe8sB8jEZ8sqOviiB1qfH8eGHbu3uK2YzmExqBoCdx51H1F5Yr4coPPIewtm/hrd0YYq1mRCF9SIknMTJJmNelecV4hjMRZTucPkQkLmBXw/dkKdSZiCRSSeNszqlqSZiANGmdJ67c6KW+KYm2bb3CVS3d3CnJmA2kDKzQTz0ielB4p8tfuPSrYbP7ip/jYv42f/AL15VP8AvjZ6t+/fWU3W/wDBXon6jSbakEi3amPwxHvpV7TEr3d0bqSDAjfUbf8AlTQjiDD/AEofxVBcsvaiSRIMkwRqNfUCvU58WvG4ox+FzdPLGQ08KxQxGGS5+IQfXUH51yL+KfBsrd6VMA6x0P6H60e7BccFu4Lbk5GOk/dPKNdPOnXtXwdcRZYEA6H3gjWuXeuOpco60odObg+JcHzngOz2Ke33yWwyzp4kzHXSFJncUatKMNcNvEKrCB/0zop5zEahiDAifMVf4txd8JGEs2ssroozsTBIHtEsT5CpMF2NxF+33l0pZzCTnYlpGmqqDG3OqJ5NX5qSMTi4umA/7xXUL20ckHYgeQ9Ypqu4LOiXIzsFAe0zgIpynMxY9eXQzFVeBocC7oYdolmgZEXTmYJzRzEaRQbj+MuAtZOUDkohgRMgiOWtUOMZSSivj6jJsudocRaRrad0LYVSobcQQDLRpJ011O9a9neBtezq11klcy3EYMoliIfMJJgzAIOm40oPb4zcFuUMMQFaToCCYMbbEj30X4F2lVbXdunjGYudIbkC3OYj4U84ShjqPPzAnbKnEOE3MG0vcDKR4WQ5s0HXTcHnrWtjEHGXbaFjA9sn8A9qY5xoD1IolgcYuJ/lvYUoudVuEEwWjMTlmCAN4+lCeOcGfCvmUeCcrQTGs6AzqDBjXlTRV/m/MTVWwZ7R8bnLkRFS2oQaD7sxHxNJly6zHMWJJ3nrUmKY9IBGn76zUeBwodgtwlQeYq3HjUI2yN9kFOGYrEnQd6yCC4UEwOpIBgQDv0o+iJaz4q1cFwOo7syFZZbxBs0LqQACJ0mqKXblhPs4ufy39p1jxRlgGQdYnT/moOPXrEW7eFFxLwMOA7kNIkaOxUGSIiOc1U0pPTXJLrcIYntc9te7sgI7/wDUfKAxOkEkTMep2EUZ4biLty6rNfe5bM94oyiIU6hxGxy6H84oLguxeJ7xRNq4SIdpkLO8TDGOo6GpOGcJx9u+4XDtd7oENlkISFBAV48TQQQInXYcqZQxyVQabQyltuNDYuwbBy+F7RJDPLQxDZS8xmVWAIUiPCD0qC/xom2A9xbpMMCAohgRBMaHXkPSKQ2e/iWe4oRQu4LRvJ23O3u0qXs/hw/et3wS5b1NtlJVh5EN1jkRtO9I/DNK5SCpRvgc73DmvlTfuOFYSVMxHJY0EnUkch5gwTu4dMPgxcvMrKD/ACyAy5ULZVETA0MGImK57xvjl+4VLwiwBkTQabE/DateK8cuNaSy7K6Jljc7TGs8vSisEnS2r4BfuzoN3EYS6wtPaKgIhW4IIQgEf4mYAzGXnqZOtLllDae5eZGuASpcTAzxvrzKj4UsPxEiyVyqM5meehkRpIOtM/ZbtCtuxLhoDSQG5aR8DJqTxSjD249yX6B3tPgr6YW3ctvlAVctiMpJchWLBTt4pHPel3Edkrj3+/cqySC9uzOYSNQisB4p+769NWzCdq8PcDvJyn2gw3jaJ/KtuzHFcLicRks21DKCxKqBMDf/ALmzHfzqrHmnHZR/yvv9BXH1YCfsp3V1GBuZCwUgpDbifvQVEe0PntTPicVZeMNdtkW1IKKWJVCBImTqJ1M9aB8c7UlGuIwJa2xAiNvQ9JpOxXGmLd6BuI+O5OtLGObKt9i3ZcnVPsmB/wDh/wBofrWVzj+2E/xD8f6VlNoy/d/5Bph6nRcOqgeK5uP+0/CDVm3hxl326LM/CrFprZGt0iNPu/kK8yCYDmN9Ty9RXsU7ORLHpOd8YsGxiHXaDmT0bUfDb3V0jsT2gF+0Ldxh3g0AO7Ac/d1pW7f4IMi30fM1s5WGk5TtoOh/9qVOH45rbLcQwQeVcTKniyv0PQ4WvE4Enz/dHTu0fCSjm9bQFoPIc4JE9CQK5e3Fb7XGs3GuZ2JAthcqjN+HWS0+u+4rrfZztEmLt5W9uNfPzFLHbjsk7Mt6yQt1CCCdFInr90+YH5GqMuGD86XJTKMns/zL6oUe1eJu27aWHQqCFDAlSdNCC6k7+48j5rpYuuVEllYKjkxudFnmdwPSmLtHw5slwXkAuKsqysWQ+anTMdt9uYqHsn2WuEi5cWBBNoF08bK2p11CSDtBOs6VXhcI47l2Msn6CniLV1ZL23UDQkqQJiQJiJjWq9m9A90V0/tBca3Y7vFrltlyPaBUkMSCD4ttN9dOVI/HbK24s91kZAD4lysQdddBm05mrseXX2FLGG4qtm3lRjBClyu5/ENeokVpe4q14qgGmWTtED9BSy93QidKI8Iw19v+jbZw4yggeEnpmOk6daboRXmDrNMRmmTtvM8v1otwvgt++rZVUBBmljE76CJ10NEF7PtdNnOndqsLdExEHUTBGb9d6NnHgu1kSnhGVlOmgA9nl1nppFUZM+1R5DFNnP8AF3HWUcEEHUHrW3D8Heu5ntTKQc08+Wp9KMY7hZurcvEgqjwXUTmGsmRAkQBB5z6VtwPgOIur3trMLWUlsgLsYMRkXznU/hNXqa07VYHyNNzH3BcHdl0CW0zlhAI/l7RvoWM/HnVzgParuw2ZipuGWUhYkCCZOoOgETGkjcyscaxN1cy3AxVVUM8HLDexOnhJyn59KB2L4QrqDrPKOsVg/DWmXRkuGNvafBFwbtlVzXXl2U+ImAoB5RAnTmSa24LwtMPZNu8oZ75knfKNAQBG45k7SaKdkb9nEB0u24uySzAEAiFysI0mVG3/ABtxLG4GzmT7Tk7xocAqZ8ZzGQPCRMkt89qrWWS/pL+fYRruDF4dhhiVPdtctd2QSzIwz5pWAREGCNZ5edAO0WEVLxUJ4CJUjSRzBA2I/MUwY3gMzeXEO+GL57pEF1XTwqEUmYjlsDVDF2MLdvNdtu72AoAQkglidYO8AAHWNx0q3FJ2ndqvcOwnYxc2UA6Lp50Y4dw890ykyCJAESdNfd5VRt5GvFbYOSSJAzGATB+FEOHJ3VzMSWSfDBPwygzPlWvJJ1QqXcC4jPaGRwwB2nY+nWmjhHaDuQjWbYVgpUkkkkGNTr1EwI/TTiuS8/cm21pSBlz6tOvi3JHPQnlU+K4mluwcKiqpIE6bxEmes1XklqilXJI8gzj+OuXs10kZjEwN45+tBsJeB8OUH1NWsViQIHnvVNEBJc6D61dijUKDJ77BPuD+AfFf1rKF/ah0NZU6cvv/AGDUjumHtwwmeg2/fwq7YsJrM++P1qjlaJjz/elSWUWM5I/4rvmGrJMSiXFa2wkFSNATpt8a5di8O1m41tgZUwdI05H4a++uojDgEak89Gjf0NKPbLBSBfUHTR5IPod+unwrH43FqhqXY2+Ay9PJoff9wJw7HNaYXEOx5V1Hs7x23iUyt7UaySfqT8K5ChjbXqKu4LFNbIZD8P3vXJjNx/Q7c8ayLfk6H2k7Ml1m2YMGB90z1EeQ1Hz2rm9ziLYYPazsl1XnJrAXy11UxvXSuz3agXYV2A25Aa/5p/IVt2t7J2MaskQwHhdYDL+o8tjReKD3XHcw5cbvfn6M579ofiJRTly2nVrkndYgkDmR05xRLtThLGJZCpyraBWVgsYIOUzuSNJOx1mJpP4pwnE8PZhcBNthAuLIBnYH8J8j7iag4bde4Ci5tTmIUSekgfXnVPQlFpxey4/kySVOmtxtx+Kw1p7aWcNaBUZkJCznYBfGwnNpOonb4w4vtIqZlfDkNmBOYCM411MSdwfgatWcHw/Cot3EEu6L4EOg6mFES8kiGMaD1qjxTtjh7jeKwojfwDffYid/fVUfMtlJ/t+4tUyLhfaRmzW7itDAsvhMSeRk+IxEHnWcB4LeLHvLgBYEAmCx3jSYAMDcz5VDc4x9oW5ctqHyqMwOpPVlD/OIj0mhvBXZryi67AHVAc0ZhGSSNcsmdDrHnV3T2elUROh1fCe1axOIZrb21QFQiTE5gFJIAEjXfTyFEuHccso1rC2CGbKiDUBsiabwBGvpvSv2mvgIEDqZIYmGJXSCASeoPwG1BuBX7KOHA8ZDKSxJ9rL84BE+dZo4nkjc2/gNSTpIa+0lxbxODsoxLSQhOUFpzOZWCRMbztvSAnC7ysM1sgEkDUEnkIjX5UwDtYBcBEtlYqojXXTwnlLGao4bE3HxDm8HXX2DpH/iR51pwqcItUCW75KmF7+0x0OVeZJWJ6fGmvgX2THWDh7yKtzMct2AHG0EEDaTBmZ+VK+KuXLl10VbjsdYSX0EAmAJAmPjVfEtcttoCGA18JGnPMDy9adwct1sw7VQ68Z4a2DwxsJd+6cxGs+nPUbjzrn64wAFFkA76/IVqeI3jobjZYiJMAbaCvSLaiBqabDheO9W7ZJS1cHuHvG2cyNr0I/Zq/huJBIdtXBGUTA8yffVRA33Uk9BqaH3nnca1c4KfIt0dJw+PsXrTX3dVOWCGAh4khWJ2Ek6+fnSFjb7XGLkBdTCjkOlHsNcvXsOLK2zlESYgDaJPqRVHjOBFm4olykCCw22zAcisnSqMEVBtfL9CT9QThrDHlp51cGGZzlJUfOmYcGsjDrebxAhmkOQQB7ICxBnr5VBheAXGtfaHE218IKFeZAJM6nXTQb0XnTsKiBP7I/+RPnWVN9lTrc/0n9K9o9R+v0JSOwqvORPoT9akAWIJn0UfpVZOQCQPWfyivTc5ZlXXeR+Yrv2Y6os96o8MGQND1H6iqeMuIyFSJDAgiTVpz4dCDGoMA+mvOqV66SNRBPIafCh7DS38y5+9zn2Jtd25XWJ0PlyNaCRqKKcfljmMaae6hFt49K4mfFom0d7wubqQV8l3C3eanXmKcOz/axrfgueJfmKSMnMGrFq/wBdDyNUJuLtGqUVJVI64/c4pDBVgwggwZ8iDuK532h/h/csk3MC7WyQQUzEAg7hW5bbHT0qDCYy5bOZDB6Cm7hXa5WhL4jzA+tWKalzs/oZcnh9q5X1RxnAcKvnFC0ZS9MkP7XmQWBVvWTTvgf4bXO9tXCVa2CztBbOYgqCr6EzMnY10O7g0uRcQqSoOVoEiehPuqm5uWUILXrjTMs8n0GoBG3z61T4nJlirijE/Cv/AIu/3KIxwXN/MBAiFYDLzDaHSfMUucV47YZVHdW1uAbKokGBoGyiRP5USx/aOCbKW1Vo/CFEtvKjXSTp0BrnfG7V20AxIKyVzodM0bdQd9+lZvDxnkfmb9imUIx7bk2Lx4u2ctxfFmbx7ZSNtB1B2ofhXt6KVnMDJG+gOvl1ioihZYX2jqfzqfhnEFtBhAObcmNoP0OtdBR0xdCvcYewfF7GCui5dQnMCFcCcpnaDqJjemzjF3h2MP2q84F0QI7yAAp0zBWBJ1jlvzpBwHBr4ugX7ZRdWDMQZOgGgJ13OvSqa2GtszN4mAgkjnPL4aT0rPkwqU3JS3r7oMXtwdMTtRhbVlktd2qqSpCgKSJnXSWHn60OGMw91LmIgnvLfd5m0EScxAI5yBrppXOTic0iPUVevXbndKskKNBINL+GcXy79/QZNMF3ECswgxPhneJMVvdgKhA1ma9xyOTJIIjcfWrvCbIYyRBtgb6QfMVtcqVsSt6I8MbynvSpC7SdNDsf60ZC2sSJgZwNJ0184oHj+KNdlFnKPn6/pW3DsStlvHvvI1IHQ+flSShJrUtmRSV0w9wZcQhuFlJCCVU7M0aD02mq3EeIfani4ndgRmA2mNYB8/fRK/x5beHgGSwJXzJjX99KVu6ZoJaGY6z89aqxrU9TVDS9Dp3CBgTg7K3j3iIoBTNCiY9vVS3Ln6CoMbxm1ds5MAMlqyxLW19m4DmmJOupzaeW5rn/ABLD92qrmlWEwdY2/P6Vfw3aRzbVYysoyyBAIAjTy2kVS8EmtV3uRNJoJfarf/d/ut+tZQL7Yn4B+/dXtXaX6P5jbex1tUBJOsf5R+9da3tOAIAI189NOlQWXyzvEjeJ29PKtMUx9mZ8s6z7lM+deisxNEz3Jg+KI0/ZqhjrgAgLBjqY/rUxyxqsacv+P3NDcYenw1PL186DZEhf4y3hgxtt/wAGgeHxAaVO4ojxJic3h+RpZu3SrSNDNYM61mrBkeKQw2buX06VY0bWhmGxAZcw946VYtvGornyidqE01sXrd1l8xV206vtoelULV0NpselStaIqplyC+Dxt2yfC2nTlTLgu1auAt4co1pNs4wjRtR51ZGRxHPp/WjGbiLLHGQ6YnA2bwiAZHv9zDUe40ucQ7Hhiq3GdrEkm1Ma9Q6wf3vVO1du2vZYx0mjGE4/CgueXP6anapcXutmU5MCl+ZX+4iYjsXiXxD2rBCgnwd4WUFdPvAHWTEbwJofxHsbiMNdS3iFChiBmU5l18/y0Ndcw+PtXBMgelW2QNlDNMEFZ5RTvLkitqZiyeBreL+Yi4u3FgP3phCSqnd4kSxnTUzGusUu8XZSQyHwn2h1rqePwFu4T3ttWDDc9eXKfnXPeP8AZS4im4jKNJy6j3RtNZcLqVS2K5Y5QW6FC+oDAiRz+fKiFnEd4VUuMo1ynWdTPvFFuLLh7mCtsG8aqCI67Mp+fyoM3Zy+RKKXMTCSWX1gacq2RnGa32fBS7RtibQQKSZH3T1ijCvg3Qu2UE75XZcwk5Qyk7xp7qWhicki4CTBEHl+hqDDL3hAClj0AJ+lF4m1uya0FMVetuzW7NgGRoUXUDmQAJ99D7OGytDCPXQj3U38AwZtKrKIZ/amAFAB3G87x79qEC4UvsuJUS+qkAlW11y9OWlLHLVxj2+YHHuwPw3BNdujIpYzOUdB61fxGKtliYgppHmDrTZh7Ytad3kLexpuIE7bc9D0oBd4cuYhBnLEjKep29/rSrOpy3CoNLYFYSzcvtpq77ATsJJ2BMRVtsUbB7tySfQER0B511zsrwaxheHrbuqgusSzBYLkknKARqYBA8qSO3nC0JtPYsMEGZbjlgRmkZRlLZgfanQDbzideE56OwqT5FnOv+G/+2v6V7Xv2Z/L4mspthqZ1JICiDO+YiI8uX7monuawF6DbcDbpIjpXq6TpoYmJn6b7aTXjIZ5yOsfKCf3613bM+kgN8jQKYPMkx5/e8t6H32JJ098z8tZHpRK7d8wBvyPSdSCPfVO+WYjdvfM9NB7tdaVhQv8Twa5SfvSdgNvT3jlSnjrOtO3EbUKfAdYP3pPqY2939VDiQgnX61nyIfYH4e8yGR7x1FGrF4EZl25jp60BetsNiWQyPeORrNOGovwZ+m6fAyJcq7axR56ihOHuhhmTbmOYqe02sDnWWUTrQne6DCw3Ove7M6VQs3BsdDVpcRyOtVNF6ZatYsjQ6+v5Vu8PsY9agVg3OtjaFKMasrqeYq3Y4zcSJ1A61B3hWtS6tuPh+ho2CkMGG7TyMrEDziY/WiqcYsHbWPifcKQ3wk+yw9DpUYR160eRGh4ucPwmIMNh1JOklQCf/JYOlXMDwq1YUrZzJJ1IfN7tdY8ppGs8aurHi205VYtdo7vM+dBxTVFUsUJcoI8Q7CYe67M7uMxJJA1zHpoQB5a770D4V2NxWGuPkKXEIjMrBSekqx0586MWe0x5miNntAp3FS5adPYqfg8TdrkBXsNilUL9ncFSdcpYEHmCpqtgLzK4u4hGJtyELp7MxJEj2oG/nTkvGLbc4NWEx6/i+BpFFLgD8HaqxQ4djbmKd+7h1jQR8d+fLlQjGX2tXG/lloZSRM5Y1kLuDI9NPOuk/aV3/OonFo6lQfUA/WglFPgX8FLs/p/Ij8G49auXke7tmBJkggaDfyp37V4fDNazbKNRBMKdYPPSWMjzrLVm2NVtoP/AAX9KuDEToY+AquWNXcXRH4KXdnPO7t/iT/+v0rK6JKdB8BWVbbK/wAE/X6CricREZVMmNtpmCDIg1smI2GwPU679CIGw58pqvcvZtDGjaeJOn+aobYRvmSMx+gHzivRWcvknt3J3I+M/LLXl29G7RPUNBGmkaSNP3yiYIJ1CSZXeOp1MVguEAggkRo0pESAZHPffzoWHYocRaQZE7a6fQGOW80r8RTUiNfpTHjMQCNT1GpmfMR1oDjZ2LTvt8tuX9aqmw0BHWo4qzeXWoSKqIeWbrIZUwf3vRjDY5X38LdOR9DQY15FJKCkXYs0sb24GdTyYweR/WpLd7YGgOF4iy6N4l89x6Gidq6raoZ8jvWeeNrk6WLxEZ8BNQCZFWRfI31FB1uRVlcTyqlwZqUkE0xCnqPWpGAIoYSDXiFhsaWhky89kcq0IYbHSomxZEA61qMUPT51KDZKz6aqD8qjGU6ag1sH8wa8I8qhDdrMf1rzIZ61GYrz0qApG8kbV6cU45moyh/4ry5daoLRYHEbg+8a9HFrvNqom4eleZvKmoV36ha3xy8ugIr09oL/AOOhOfyr3vPKppXoS36hL+2734jWUP8AtJ6CsoafYN+4TBYgEGB6jfXyEe81vbbMSGKz1Meu2YTz0/ZsYPD2fF3twqwbTKoOmm8DQjUxz023qzcSwsFL12ZEyVHhmSZHMDSOpnauu5HDx4r5IVsRBXnMxMfIc9f6VG9vLpHIRMDzOuWfz16Cp4wh1a64IC6HxGTJOyQY06c/d7ct4SCQzzO0DSScn3CSIAnQxJ00AIUh5QggJjLa+c9Aeuu4aPl7qD3bI2+v9aclTBkAnvBpqDt7LagxtmAPKJiSNqdzDYMKWD3j4QROXU65gCLcRtrHxnRZWBKFiPiLdVStN74bB94+Zrht57ZXfMVAbvQcqQQTl2ykCSDIhqTYHAZC32i7OYrBgmMrFTl7uTqFnYAkgE+1SCSSvYWiK8imHF4TAKLgS9dZgXCTquinIxItAkFo26xqPHQ/Hph8iG01wvC5w3sgwc2XwzoQOZnMYiKglA01kkajQ1sRWsUQF7D8TOzjMOvOr9q6rey3u50DUVtVUsafBqx+Jmudw+t0ipUvecUDs49131Hn+tWrfEEO8iqnjZrh4mL7hY3Z03qNm8hUFsg6qQa3DHnVemjQp2SE1sHPWoxcFZnqUHUWEvkVt3/lVQtXmahpJrLgvxtNanEeZqrnFalhR0k6hZN0da870VUL+deG5R0iPIW+9FYtwVSa7WveUdAryl7vBWVR72so6BeqNmP9pff/AOxq3hvYH+cfVaysrczLi4NMV7A9R9DVFPYb3f8ArWVlFFM+WR3tj6r9WqpxP7/v/wDUVlZUYiBl/wDL9aHvWVlVshC1aV7WUAM8NamsrKIrMr2srKAyNTWtZWURWTYL/qCj5rKyqMvJv8H+VmjVqKysqo0nrV5WVlQhhrQ17WUyEZHWprKymFNGrWsrKJUzKysrKIh//9k=</t>
  </si>
  <si>
    <t>Nei Sadham Anubhava</t>
  </si>
  <si>
    <t>Ghee - 50 gm ,
 Cashews - 15 gm ,
Raisins  - 5 gm ,
Bay leaves - 5 gm ,
Cinnamon - 3 gm ,
Green chilli - 10gm ,
Cardamon - 3 gm ,
Rice - 250 gm ,
Cloves - 4 gm ,
Water ,
Pepper - 7.5 gm 
Lemon juice - 15 gm ,
Onion (sliced) - 250 gm ,
Salt - As req .</t>
  </si>
  <si>
    <t>நெய் - 50 கிராம் ,
முந்திரி - 15 கிராம் ,
திராட்சை - 5 கிராம் ,
வளைகுடா இலைகள் - 5 கிராம் ,
இலவங்கப்பட்டை - 3 கிராம் ,
பச்சை மிளகாய் - 10 கிராம் ,
ஏலக்காய் - 3 கிராம் ,
அரிசி - 250 கிராம் ,
கிராம்பு - 4 கிராம் ,
தண்ணீர் ,
மிளகு - 7.5 கிராம்
எலுமிச்சை சாறு - 15 கிராம் ,
வெங்காயம் (நறுக்கியது) - 250 கிராம் ,
உப்பு - தேவைக்கேற்ப .</t>
  </si>
  <si>
    <t xml:space="preserve">Firstly, in a large kadai, heat 1 tbsp ghee and roast 8 cashews and 2 tbsp raisins. 
Roast the cashews to golden brown and keep aside. 
Now in the same kadai, saute bay leaf, cinnamon, cardamom, cloves and pepper. 
Also, add 250gms onion, Green chilli and saute until the onions turn golden brown. Now, add 1 cup basmati rice (soaked for 20 minutes) and roast for 1 minute without breaking rice grains. 
Further, add 2 cups water, 15gm of lemon juice and salt. Stir well and get the 
water to a boil. Cover and simmer for 20 minutes or pressure cook for 2 whistles. 
After 20 minutes, fluff the rice gently without breaking rice grains. 
Add fried nuts and mix well and served. </t>
  </si>
  <si>
    <t>முதலில், ஒரு பெரிய கடாயில், 1 டீஸ்பூன் நெய்யை சூடாக்கி 8 முந்திரி மற்றும் 2 டீஸ்பூன் திராட்சையை வறுக்கவும்.
முந்திரி பருப்பை பொன்னிறமாக வறுத்து தனியாக வைக்கவும்.
இப்போது அதே கடாயில், பிரிஞ்சி இலை, இலவங்கப்பட்டை, ஏலக்காய், கிராம்பு மற்றும் மிளகு ஆகியவற்றை வதக்கவும்.
மேலும், 250 கிராம் வெங்காயம், பச்சை மிளகாய் சேர்த்து வெங்காயம் பொன்னிறமாகும் வரை வதக்கவும். இப்போது, ​​1 கப் பாஸ்மதி அரிசியை (20 நிமிடங்கள் ஊறவைத்து) சேர்த்து, அரிசி தானியங்கள் உடையாமல் 1 நிமிடம் வறுக்கவும்.
மேலும், 2 கப் தண்ணீர், 15 கிராம் எலுமிச்சை சாறு மற்றும் உப்பு சேர்க்கவும். நன்கு கிளறி, தண்ணீரை கொதிக்க வைக்கவும். மூடி வைத்து 20 நிமிடங்கள் கொதிக்க வைக்கவும் அல்லது 2 விசில் வேக வைக்கவும்.
20 நிமிடங்களுக்குப் பிறகு, அரிசி தானியங்கள் உடையாமல் மெதுவாக அரிசியை பிசையவும்.
வறுத்த கொட்டைகளைச் சேர்த்து நன்கு கலந்து பரிமாறவும்.</t>
  </si>
  <si>
    <t>data:image/jpeg;base64,/9j/4AAQSkZJRgABAQAAAQABAAD/2wCEAAkGBxMSEhUTExIWFRUXGBcbFxgYFxcYFxgXFxUYGBcaGBcYHSggGBolHRcWITEhJSkrLi4uFx8zODMtNygtLisBCgoKDg0OGxAQGyslICYtNS0wNy0tLS0vLS8tLS0tLS0tLS0tLS0tLS0tLS0tLS0tLS0tLS0tLS0tLS0tLS0tLf/AABEIAH4BkAMBIgACEQEDEQH/xAAbAAACAwEBAQAAAAAAAAAAAAAFBgIDBAEHAP/EADwQAAECBAUBBgUCBQMFAQEAAAECEQADBCEFEjFBUWEGEyJxgZEyobHB0SPwFEJicvEHUuEVJDNjspIW/8QAGQEAAwEBAQAAAAAAAAAAAAAAAgMEAQUA/8QALBEAAgICAgICAgIBAwUAAAAAAQIAEQMhEjEEIkFREzJhcYEUM7EFI0KRof/aAAwDAQACEQMRAD8Ab2iJTEo+ji1OxK8sfERa0fNA8ZtyibMCQSYAT52YlavhGkacSn94vu06D4jC7j2IAeAGydYdjShyMIbNQTj1YDmUT5Qu0Bcj+54z4jW96roI14PqPWKaIENSIWr5gLEcXgNNLF4Kz0fp5usasEwnv0kgPzCgu4p2FQ52CMxZziyfrHpNM53eF/s/h4lSQkBoYpKfDbURiY6OpHke5aFnR4+FQ2sDa3HESh4vi43hYxLHZk1WVNn0bWAfIuPdxmLxny/Go1VFalKnCoKUNYFBwY81o6zKr9S/Qwco8WQgjKddoVg8scvr+JRm8A8dbjTiVOD4haEjGa6UislioJErKSC3hzOGeGmTUmYNYVu32CzDK7xIzZdW1EWCiwcDUgogcSZKp7RypdQnupbpWAMyR+IeZKTlBfWE/sN2bCJSZsxRKlgeFrJHEOsnKCBB6JsxZOqEVe1+IrBTLSWB1IgCgyyQFqTm/q3HSHHtHgBnLSU2J32ELlb2O7taVTF50vsG+8QZ0yhya9RL/HfFwAvcuo5vdz0qlDKhRAUBp/xD6guYD4ZToSnKlLAmNVTiKJPxHxHRO5A36CKMJ4LbGT5fdqAl86QJiSG1gPIwiYFsdOYrPaKbfwAXtv8AP7xZTdpyFZJiL/06joRAHJicizPDFlUaENyqXIzXi4kRVJrETEulTj96xIywd4qBFesnIP8A5SbPEWJiUtDbvEVJJFzGG/maJwpfePhLSOsIOJYyuXXlImKyAgZdvhBP1hyo8qg7m8Z12IRGoQlkbRCdlVbWMqpJGhcfOOqXlEZZ+ZlD4l+YAM0DK2ubSLlT3SpjA6VIC1BJMJzZDVLHYsYu2m2UlgDe8a16R1Mu2UxNKOYYiEai3YGDTPIOsalz05b3i6dSJUNIDV2HTEkZC4JgKfH1ub6tM2K4HIqA5DK5Fj7wg47gi6Y3OZB0P5j1FWGKASxvvC72xplCSoEONj9INkJFkbjMOamoHU860uIZcBxMjwk2hYlreNNNMymJwxuxOlqqM9MoajKptUqgp5QoYLW5hlPpDLh8/N4TqPnFKsDIc+Ojc2JMfGKzHHg5NJE8x9EY6kRk9B4jsdaORJL52MOL1ndoPJ0jbC5UL76e38qI1V5Gpv8AMy1M7uJJUfiVCRis492tR3g32nrcy8o0ELWLKeWz7w8m3AhfqkGIpkBCXJznbpG7BC0wA6XgfMVv0tF2GqZQhzTyDUb6DDjVKKE/Ck3h0wSiRSDKBYwsf6eYmBNmIUwsPvDqtKScxUGgG0JExN0eoUlTpZTATEce7h0p8SjoOIx4vjiJKS11bQmJqlqWVqN1axNlzcRruUeN4wY23UJT5qpiiuYXJj6lQVTARYCJGUNyGjhnpcAKyhw6uL6xy2dmO51xQFCXVsxILkXjNh2ebOSlOj38obV9j+/SFpqElxqE2PsYJ4L2TEi+qty+vpFuHxHDgkSLL52MIQDuXUKSxSlPwiCSEiZLIO4aIYbJmJmLzgZSRlPRo1VKQCALPHSUcROMxszHTI7tABU7BosWPBmGusfVckEpiaSAkp6QAGyPiaT8zdTzMyAYpxCQJiQDzGGhxAAZYITJrANBq6ukEqVaU0iykZSNN9oSe1kyYisTNIOTKAni1zfzh0m1kAcZAmJKVB0xJ5DelBpV4+nsiBJWNS8pSoAPvq/FtvTmMZr+GdQygAOprsVHngQPxHCiD4Ljg2MD0080BxKWAehIiAO5E6a407jHh2MLRM/+hdv8x6TSZcoIU4IB9xHmOBdn504gqBQj/cQxPkmH+UoSwhADpDB+gi3xVZQWcf1IfM4EgKd/MJfxAimdUDaM84EKDaGB+ITylR4inJlKpZkaYwWqLtUqTKmTZ5Wys+6c3AYD0MEcKxAzXWnMA+hDbcQpdqMW7ppYlqV3i/FlYqcXDPvf5R9TVFcllSggIWtIOZQBS5I8VvmIYfbGOMMCm3HqbiTkDSCFLVZgyvQxj/6ckpRmAJDZm0Ja7dHiUxOVWXY6RKOa7aFaNoS2WixDtHEUJQQsEmMapa1rCUX56QbkIKAyy/WAwhcvx18wshKfM73j3iQWxjJOLEiFzFO05Se7lsSNVdekNy5RjFtAxYWyGljeJ/MXSpoMeVzsYmKs7qJ1fSOIxaahimYSpw4LuPzCsfmA9iUN/wBPau560oxirpKZgyqDg7RmwvFBOlBWj/XeNSlvFyZFcWJzmQqaMBYlhkhEuYru0jwl7cCPKkGPW8alBcpSToQXjySnlqUoISCVOzbxNn7FToeIdGzCWG1JSoQ6UNU4SsajWEepplyFhMwMWB9IP4LVXA2MCnqaMpanWxHkKCg8UqeKMKmXKTptBBcuKROa44mpQlUS8oipDRwR6DMjxwxyPojl0y4pP7uWpXtAGSe6p1LPxKjV2inZlolDc3jB2pVlQlA4huM0C0MLZAiXVLdRJgdXIzAA8wRnwHr5rNG4e5uU/EzVerCO0huIoC3eLZBYg8RQZ4Rw7B4eJk1ZUWaG+uklNgq0LnZctmUg6gPDDkUoQh96qStpp8hUpYIKQfOBGJYSUeNKWSfYQwU1ELBrwzS8KEySUkbbwJwcxU0Z/wAZueTrlrbmNWEYQqdMSlRYHUbsNYf8D7OZSFTAzaD7mC0ykSVjLL+H+Zm9jCcfinsxz+d8CV4fTS6dARKDAbRup55JubRcKdLXEZKelZPhU+uusWUQdTnWGsmaDP8AGA1uYqxRbLQev2i0EAjmPqg5mjW2pBMxdMILrpzs2ojNIrrkFyYOS5KUhi33MCa4JUokBtrdImZG7Bj1YHVTPTTEggD4iXbmDEiWs3Uw8jCuvDCZgWiaUkGx48oZKScohtSNTG4AbphPZvsS+dSpOpPoYyVeHhI+Gx9YvRIWsuV5U8AD6xcucXY69NDDnCVZWKUsDQMUJ9CpSwlAdy14YZOGyZWWx2fUueS0aZigL/v3hcxLtZJlKIDzJgswskXYuptjwDCERMZuPZnyaEOz6tJVlCSG3YgPwH1iMxLB3exhMm9sqj/dKQkhRHhfRv5Scx+IBrEk7ARiqO1E9IyKmrSVFxcFQfnKbA/7XYcQ1mBFn/iYuJgaE9Ao1nIkK1jNiShmaEyl7RrllJTOK0vcTLudLHUX6wxysSFSc6EGwLpsSCPKJGy88XEXcd+Eo9nqI/8AqCFGZI7sEqK9Buwb6QJpZM3vQhIWC/wnMw6ngCPV6Ps3mOeaw4G4/ESxHCCZiQFAIYAtq17dIbj/ACrj6gF8Zbua+ztTnkpMwgrAZTaOBdoL94nj5QCTIEksiySPh6jUvreL0VwBDi0NXIVUK3cQ2PkbWHENwIprJQIffaBc3FH+AX6lh8niheLzkyznQnMA549ORG/6hKqYML9wX2lxEy0EXBLDqx1b0hWUELR+kkZgxUjdt7mNvafvloK5qSnRvCQGfb3hTlvmAYknjUk7CITkttj/ANzrYMYCahOpy5v0Drc3LpvceXWLaed4gPCX1IF9Od4yYiJ0hAlLR3eYA5QzkPbMRfUaRrocOmAJWELVZ/CkmAzY2IIUR6uKsmPfY8forHCre0FwlW4jHgEtMuWkCxNy+rmN02qbrHQwIFxKCepxM7FshIEqXKdyYES8FlJnd8B4oIiqCgRAuWsoQcxc3g1YEweLCKnbetC5yUjVIufPaMuETbNuIC1dUVzpijuo+wtGqhmsoRPkayTOnhXioE9CoahwlQhklrCgCN4SsImap9YaMMmOkjjTyP7MUIbAMl8hKmxSYzrlxoz8x09YOSwKDHXiMQnFkk9IhnQgCSO8qidkwL7VTXmHpBns7LdS1wvY3daj1g3NYwI/GLc/xF+cgqOUb2jD2rw0SFIS7khzBGWn9RI6iLf9Q0f+M76fKKMC+tybyG9wInBN41yURQqSWCtjGyiS8GxlCAGMPZCqSJ2Um0ei07TDllh21I29YUOxfY9S/wBeYSlKvhA1bk9DHp9BIRLSEoSG/esaAZzMzi5gl906cuogoipUAN07x9/CJuyQmKAoosS4hbWsAUYTQsqAIFjzFilEbPGCVUEfCbRcKtXAMbyuDxm0izxmnJZsu8STNcecDcWqilI38X5jMjhVuaikmprmy1G+40gRUz6jPlslPIH5jXJxUZXIIi04giYMoBJ8rD1hb8Mg0aMYvJexBuIzcso+I5iwd7kkxGjCyAACs79BHK/DFLKcrkvqbJAhgwuUmUnKPXkwKY2Z96EJnCrrZg2nw4zFkG2XUjkizcxoxKuRSpAU/kAT6kwWDCwtEKkhmNwdRzFf4+INdyfnyIvqQlMUj3ijEJRZ0p9tYwz6gy0OXUkeVhz1jfSYilaQX9R+7RnJW9T3N4lfYQWqeWYJJ9I8qrypClpOoUQSQNXvrHslbWoFnLnRgduukIPaeizLKgAlfTcf1dba+XER51CgG7lvivs2Ih1AWS25O5u/lrvxFcqnm7JJ0OhGtxrcwxoUX/VSu38w1DXAJFil2sebNvw16B8KFPd/E7uCN3CdXsARzaBV0qVkkmDZc5SBlKNSCDlZQJFwDwQR8tHhpw7FLheRcqY4uElKSxcHRgdm3c83DUCpyye5lub6eJna2Ylh6mDuH9lJhTnnzCnXMkAEt/e7A+h/CiWOxMcoNNH6nqVzJSVJSCsi9zkB0NyHI6RDFZolSgSXIa/PJ+sV4NPZISAyE2G/t0jXXJSsNaxv+ItU8sdg7qctgA9Vq4OxFPfSMyDcDMkjcNcQCwzvJjAvffpzDJImplMg5Uu5SkcDW3qPeMyZgSs5RYn9tCcmNXIYn+47G5UEAf1InDhLuVX556NBfIkpFtx+YrqUd5KtqLiO4fNCkc2hyoiNSjsRTMzCz8S6ehCwQoAg6g3BhdkdkJUucJoWQAoKQgMw5BOrdNotQtYnEKWWBJT1EG6LKp92gUIyHY3CPLGPU6MzYhgNPPKVrQCoF33PQkXI6RXPVlQQhNgGAA022jorMiiknQ6RupTmBUzBV/O0O/IG0O4umAF9Rdwum71Tklk6DkwUXRqS6mAT1MbwtCAwEYKpCpzOopSLkc8QpUCLQ2YRcs19CC8WoVFJVL14EBpNbml310PnDLW16JAckkb7mO/wMqYCtCB476RqoCdTedDc8pxuiMucTsq4+8Z5Srx6Bi3ZNc1BKpgzJfIALdATCJVUipSyhQYp1ELzLTWOpd4+QMtXsRkwOf4kvuGhvw6YygOXHqL/AGhBwaYxBfQw7SVsQeCk+hN43CfUzfIW4cIjqS0Rdo6DFE5sCiPq+URJWrpBSkodzEceS1OvyiYYtWZX+UcgBFns9aVMPnCtXquTzDZgg/7dfrCnUouYTmOlnQwjbQM7LSeoi3/UAOiWfKK65DRp7YoemQroPtFvjn0kPkinEWJdb+nkUHG0baSkaX3h+E6GM2CYNNq193KAcBy5YAQfX2Qr0yu7yApd2zDWPNjJGpQPIVdN9Q9gPbJSUypHdpIsnNm28mh7/wCtJslKSVHQdYU+x+Doky2nSQmZqSWL+RgmmZlmhSALGz6QLOy/MgdUZvURmlrUr4hlMAMcxAy5oQnxOHPSDYrQRrFM1KVXygnlo9kXmtAxSHibIi4rEphPAjiMXmIcAPxcwRrUpCSopsOBA+lny5aws8H5xCUIaiZUCCOodwSfNKM00AE6eW0U4/VhDPuftFkmtCmbRnEBe1U51Sx0J+Yh7f7VAxS/7m5D+KMxm506wcleBN9d4VMHlqTNC1ghIJ+nEHcRClSzMFkC97FXl0hWP1BPzGPs18Rjw2eFIY6gxKdPA0EB8NkTiMyiE8AXcbExfNlzN1BukWh249SUqvLuFRUaRGdPcQMRMbU2A3imdVqUQEoUQf5mtp10Eacmp4Jua6lOZJBbLu+jC8DU1wYCWA3Swi6sK1JyMyTrcezcQBxGmVTsUqZJ9geP3xE+ViDYH9x+NQdGM9JWpWyCllEj/LxDE8GRMOZKsqutwfxCRNxBZWlea6fh2/bw0YfiU9SXISoeofyN41M6OOLC5j4WU8lMnSYPksVAKOvFns+8YJ9HKmKDIQTzlSSfOG+rowuWxATbzbp9oSKmb3Exg2ZJ0JGjOB6jeNzAYwBWpuFy5JvcLU1LlszccReEd4oIUDkSXVsFFvCH3G/pG/C5yZyAv/II1Bj6ppCkuDroP+Yw4RxteoP5faj3LpckJAbSLjSvcFubRXSySpNywv56/KNPcNpDFFjqKY0e4FxOSlSg9yl76EaRGkTqo+Q/MZ8UwyoC1LSQpCj6pHJHGukEKKnK0kJLMNdn6wpQedEVHWAvchh+IByHs5Zo3yZZCnTYcQLlYT3CmT4iblTNc6wxpkpIDBiNDp7weFXIpuxAyMo2vzFrE5GaYUp8S38IJAuzn0gjgVMtIJWwJ/lBfR7vvF9VTZ1JVl8aXY9DYh+NPaNshGUBxePY8P8A3OUx8npUiqmllTqSl+TGjKIB4jX/AKmUIUdBmbwudn9Y3GtSE3s0NTInJhFsjUJ2XQJD+Ix8gBAY3ij+NB0LiI/xiSkh4Lkg6nuLHuXkS/8AYn2ESSdW0aMUqYDoHMdVUBCfOBDfc8Vny1vfiPOO12U1Km4S/m34aHqoqgBHm+Mq/wC4mef2EBkPrUq8ZfYmSoFNDolXgf8Aof1EJNOWvDnIP6Y/sP0hOE7YS7MPUGMCV2eJBUVUqnQg/wBKfoI6RxFNzlHuFbQM7QD9Bfp9RG9cYMYvImD+k/K8E3U8n7CL3Z8PJWnqYVaseIiGfswt+8Tzf3hfxKWyzbeOfn/VZ2cH7NAOIJsYpxGvTNowlxnBYDcl7CNWIJJsA7xLA+yMyXUIqJgBS58PBIsYq8U+pkvm6IjV2JwNVLJDsZi7no+zxHtP2omUkwIMnO6XOUm14NyagJDxfVYfmGYs6gxfUCKA31Oc3dtA9KufUyDORLAOyCq7DUuIoxQzJcvZ2sz3PMG6MJlHukmzf5iuqwZS1BR+EMddRuG6xNkBYevcehCnfUz4TNmqkJUr/wAmW7Cx9IF//wBQhIurTzgXivaOaudMQgqlAHKmWoCWcrN55jqx51gWqUAfFZwPIG//ADDP9OSAbg/kAJBEMHtP3pIlr/f3jZhyM6nUp22YN5wlVuHsSRryC1wdQYoTjk5GhuN94FvHI/mEMgM9Xw/D5oWVBQKG+HQjyglIpEVEtYKfGglIJFwQAfaPOOy3beoKxLVLTMs75shAGp0Yx6nhdWV3KcpYFtTcb/KDVFGoh2buBcDwrvEpmzbJLsjkDdX4hhm0SJgY6edvaBs+WVEpB1JYfURdh4VLCgQRfcNsL9RALSiqhNbbudqJapdszja33BgdWVZAN29Itx+etcopl2WVICfVQBPs8DpmDrSAM5Wd1Hn7Dp0gGZj+sNQB+05KnqUXUxDWAG/NzGpaak/+NKEjYkkn2sPnAPDeztWhQV/EJZ3KWKhq+p09IYaWvKPCsDzTf5GCVSB7XNYg/rRmnCMPXMSe9WQoGzBgGbb+YRvn4WlYyTUhSD1ID7aRi/6ipN8p8iwNtGZxBeVUBQ6Q3HwIqJcsDcBTOx9OC6QLFxmSDf0aJTKWYgjLlIBBa+gLnSDv8SkWb5PHF1IjTiT41MGV/ncrnyzMTZZTqxYFi1iRvCxV4EJKFrmKzque8Ib3ueghnkTgdDFs9SQklSgE8ksAOrxj4lcWZ5cjIaEQ6CtMlWZGhZxsofveHWkrETUOCCN+R0I2MLlZKTMQZiA4Zxbbex0gXQVaCfCpj0s/SI0ythNdgyp8Yyi/mPtiGd/KI1FWJbZnudtvOAFNXKF7luPi9BvBI1gKCo+JLEm2wubM7xSMwYa0ZOcRU73CsuYlYsQRHwSEgtCpJrMrKSeNDYj7wxy5xKX1+8Fiy8/7mPj4y9c0Fn2ildYEkAnUsPMxj75/xAPEJExU5CswyoU7cgjXz1DQvLnZRaiGmIE7jimaNYpqVHKSDtAeXVPYxsp5zW22/fEGMoaCcfGB5eOJK+6IIV10PrFeIVBDdXjPjASiqGUAPlfp+No5iTpKQRq7fKIiWoqx6MqVVsEfMnJUbHY/WLJ9QAQAb7wInVq0lKQkNq73g1QS0Tfi19jGD29FhNrZmqjU4ce8ZsSJSpL6G4+8E6fDsgbMSOYoxvDlzUJEspJBe5a0WDGeFHuS/kHL+Iv4tXhCX6j6wk1cwKnLUlWYEu/oId53ZGdNDLmiWnfL4ifewgfinZGRTySoTlFVgkFmJ4YaxjY242RKMORA1XAMs2h2kN3KD/6yTCZLToNIcZvhlFtpf1DQjx+2Muz/AKgQ5RpaWj+1P0EXiL007ADgAewjhlxWBU5JNmXqMZ5qcwIO9veLldYzrVGmCImYCsy52U9U+qSR9oqxynaarrEsXSZVUSP5mWPor5j5wQxpGYImDcRFlHrX0Z2MbbDfYkOz2ABSe+JD3yp8rXgpNpjM8JdLG8LcnFZkguk5kHVB+qeIY8FxSTWJzBSgpJ8SXYjhxxFGBl48RIPKV+XJupccBSpnUph9YKfwSGAUSYhNW2hMYVTjmsSfOHml+JJRb5l0rDkJmZ9W2O0dViKUi4cuwAG8RnTWSw1jLLp1DxqLnbS3/MLuj6wqv9op9t8EVNOZMlAFyZgJzF9QoHZ9Pk0JM+kXILG6DunbTo4NtI9Zqj3gKTpCwvDl1KzLlSyW1LAJHmTaA/IyN6x4AZaaL8teaXdThKS3qbXgditGAXSSsHduW9rlof1dhZwUVonoGb40qKlOTqQWcF3L6XjFiHYuq7speUoPmAExTixsHSBewuRFnIEb1JiQDqef0ckqmoCSEEqSArgks5949m7PS5qWMyalZCcpyoyi2mqjf9tHlNJgM+bUGnKe7WkEqCrsLaN8Wo0tHrGF4Ymkp5clAcJDOzZlEkqPqSTCMn3CBHUn2gRN/S7lBUrM7gWDXcksBfmDFHWZ3RMSApITmD5keIPYsD7gesRSSABEpFIhGeYrVXiUSbWAA8gEge0YAeViCaqjJnDJZWFAn+17RkxVJKcgOS4NokirJcoHh4O4+0Z8SxWR4Zc2ZkWsjJYlRLjRgXuwaM5KQa1Npr3MdHLmhSguZmD+HwgEDq0dOGpQSoklz5C8Cq7EFS1p6uCL9G6iC+HVomoIPkr8iBVlbUYwYblc9Si+QZmazt8410i1JAfyLaNtHMNw5IB8ZLE26bP6NFOLVyJbJKmJ08uvEFx4jkZnLkeImisqCGIPSMUzECNU/O0CquqVMKCkslBv/UWb2F4L4dTCam5Y6HiFci7UsPiFFmUy6ok6QXl1YUkpWHBFwQCCDzzAGro50pYypCk7/wBPXqDGo1mRNzHkJUm5rKGGpqwJOUql2ZyUtw9xAnHaDulsEugsU2dn1HkPpGqhrEJUkpI9/SO9oamUpGbMrMLJABLv0Hr7QJ4tjr5E8LXJfwZjpVFwINKnMkgG7MPOAOBIPiJ2LAOCHNyxFt9o2CamYSH041HXqIDEOI18w8gszBTz0hOTdNiPK1oYcLrrJHQQr4nSBKnJ10OkToa5SAA7sflAoWxtCdQ6xyrJbjMhs3yMBZ1VmLXBjRQYlo/wn5GMHaSSULTOQgqcssJ52LdYdmPJeS/5isQ4txb/ABLqFDqI21f1gpLlhNhy53udYxUixlDb394tTUAH9/v/ABA4wqCa9kzPiGGzp4lmYhAyhWbISSQTYFwNG+ZgkugEyWJa9RoeCLAxq/i0tr5R8nMpSSbABTgHUlm9NT+7uCJet3Elmr6qLRolBQTkOa42a3WNfdrSzpIHNmHtGvHqRagFyyy0XI5HPmIokVxbxhm1O3ttAcApIjOZYXNtLUsMqi4iudX5Hvbrx5x8iVLUHcjyNo6aANYgnrDlDEUIolQdxHxzt2vvDLkBLBnWQTe7gA6jS/nAJNZMnzc8xZURo/XgaCGDtxQ+FJKGUFfEANGNid7wt0Ultd4nzFh2Z0PGVKsCFKSVmWA28NNQHUhH++ZLT6BQJ+QMBsBlOt72D+0HsMT3lXL/APWlaz5kZE//AEfaMwj1J+zHeQ1f4Ea44BEwmPmiypx5jVM2jPMVsY6pcZ5ingLjAIv9rZZKUzBqgsf7VWPzaJ4ZN72QUHVMb6pAWkoUHBBB8jC1gdSZc3IbsSg9bs8T5Bv+9S/xza19bldekjWKsIrUpdA8K3cEWPWC+O04GYcXhPdSJoKGc2u7NvCsOjUbn9lnoCcSzMM/zvFneCWSoOotzAfA7MosSu2mg6QUNAlE5ABISrLYaWU4/fEPoyA1Ns4mXL7xZv8AIdB8oorcTTlBBcbcmC9XTCYnKdB+xAujwVOZS1MpI0T13Jg8iMDS9RSstW0G97MKFFKL7E6PBPBKSYmRnCznUq6QAUsFZdw7tfWB+K4oBMMvKyQLtq/TpBLszPzS7WAJhCimq7jWNrdQtXkollQUxG9j7gwuScZqlnLLloWeVApHqoae0Ha0d4Qg6akctp+Yro5wdgGZvmYaz+1RSrSyylw0ZzMKUiYoJC1Aa5fhF9rmCAlApKDfj6iOlfi8x9Hjg1eKK+ImRlp3MVVyM6CCphuBvwPKI1FSxYRUr4cvo/1hTMCOMMKbudprIJPB9v8AELWFUBVPXVzBYeCQOEgMpfmo5m6HrB3EpzIYb29NYhTKzSgPP/6MD8hfqGLAJ+5iq5IAWtRuS/px9IShjeWYSgqA0bRT7v8Ag8Q51cx3GyWPnx6XeEiV2ZNbWzky5vdMEqUS5vlSCyQd3G43gmWyKjMfRuEpGJEKCwol9b3P4ME8Sw8zkBSCQRcW+INdN9PyI7T9jRSTkKE5UxChlIX8QLZnBFm8JDNZ9Yb6aiQlPhT9fvBDCTYMB8wFFYoYEgzB3aQ5vmLEBLnc862hukyJchBOwF1G5Pt9IhVTxKypb4iwAAAc3vFGJDNLUDoRt+Y1VGMH5MWzFz9CEjlWAbaWOoIMJdRLOdSXdiQ/kWg7QTMiQkaCw3+ZiGISEEFRzZjoQd2YWgHH5AISehMCypISPDcm5P70EZMVlCajIA7KBKtMrcdb/ONlccktRGwt1I5iiQGQ3Jb8/UxLmPDQlmMXuEEYdklZUAgNlUBcvoSPOBtThU4D4VW0Ul3HBtDDhtVmUzaj5s/2iis7zMyZpQCNAlB+of5wKU2jMYkbEVcQUe6AWoqNgA5JKjbfeJIwzugl5hJVsbjTbdo1zsOCp0tT3SoueQzj5t847i5aZL6BR92A+/vBhNEme5boSMur7t9w/wC/KD2DYiKmQFjqD0UksfmIXZi0r8JGuvo0EuzpCVzEJAAISqwa7qB+3tBIaNfEHILW/mG6Chv47Jew39eIKmmlKswtxqPX8wHplqmA3yh2LamNcqmKdFN6e8Nx9aXUQ/ezJVMgy1As6OeugBETkzr9I2U87MCCPPgxLuQkMkM7wwY7NqYsvqjKZkw6iAMyjV3J7yyiHPD6kDpBpKrtA3tDWdzLUsjMEpJy6Oep9YxgDszVsaEX8Lq0rHhWUk9WPtvBqRU5Q5mKLeRePOUVgmOoICHPwpdh5PFFXjM+QUqSrMl7pVC8epQ6XPTcaWiZRqWoEBSbBWxJASPN2hDEpi0MGLtPpZc0EpYhQGxzBmN7awLp0OofvpC/JayBKfCSlJhfC5eWXmIZy358oMdjpWbvp5Hxqyp/tlvf/wDRV7QGx+cZcpk7BvU7w34XSCTKRKH8iQH5O59S59YagohfqB5L+t/Z/wDgm8KaJRXmjoMUXOfP/9k=</t>
  </si>
  <si>
    <t>Paal Kolukattai</t>
  </si>
  <si>
    <t xml:space="preserve">Rice flour - 200 gm ,
Jaggery - 80 gm ,
Cardamom - 5 gm ,
Milk  - 2L.
</t>
  </si>
  <si>
    <t>அரிசி மாவு - 200 கிராம்,
வெல்லம் - 80 கிராம்,
ஏலக்காய் - 5 கிராம்,
பால் - 2 லிட்டர்.</t>
  </si>
  <si>
    <t xml:space="preserve">Take rice flour in bowl and add hot water to it and make a soft dough 
Make small balls with the dough and keep it aside. 
Take a pot add the milk and add the crushed cardamon to it. 
Now add the rice flour balls to it, and let the rice flour balls cook in the milk. Add the jaggery to it and let it melt. 
Serve hot. </t>
  </si>
  <si>
    <t>ஒரு பாத்திரத்தில் அரிசி மாவை எடுத்து, அதில் வெந்நீர் சேர்த்து மென்மையான மாவை பிசையவும்
மாவுடன் சிறிய உருண்டைகளாக உருட்டி, ஒதுக்கி வைக்கவும்.
ஒரு பாத்திரத்தில் பால் சேர்த்து, அதில் நொறுக்கப்பட்ட ஏலக்காயைச் சேர்க்கவும்.
இப்போது அரிசி மாவு உருண்டைகளைச் சேர்த்து, அரிசி மாவு உருண்டைகளைப் பாலில் வேக விடவும். வெல்லத்தைச் சேர்த்து உருக விடவும்.
சூடாகப் பரிமாறவும்.</t>
  </si>
  <si>
    <t>data:image/jpeg;base64,/9j/4AAQSkZJRgABAQAAAQABAAD/2wCEAAkGBxISEhUTExMWFhUXFRUXFhYXFhcYGBcXGBUWFhUXFRUYHSggGBolHRUVITEhJSkrLi4uFx8zODMtNygtLisBCgoKDg0OGhAQGy0lHyUtLS0tLS0tLS0tLS0tLS0tLS0tLS0tLS0tLS0tLS0tLS0tLS0tLS0tLS0tLS0tLS0tLf/AABEIALcBEwMBIgACEQEDEQH/xAAcAAACAwEBAQEAAAAAAAAAAAADBAABAgUGBwj/xAA+EAABAwIEAggEBQQABQUAAAABAAIRAyEEEjFBUWEFEyJxgZGhsQYywdEUQlLh8AdicvEzRJLC0iOCg5Oy/8QAGQEAAwEBAQAAAAAAAAAAAAAAAAECBAMF/8QAJhEAAgICAgICAQUBAAAAAAAAAAECEQMhEjEEQVFhMhMjUnGBIv/aAAwDAQACEQMRAD8A+WC9+C11dpV02Nbc3PBZdVLj9FyOZt7w1snXYcEq4lyLWog6uWWiBCegANN7o9GnKHUEo+GsEMGOGGsEazql5k3KLTBIMoVUwYCQkGbUabSh1ANNlqkwaDXir/DTqbbqRaF2VDEDRHp6XRnVGtENhKVK0lPsY0GttJQcQ8PPZsArAsqNC2qEJFinmIGwRmk7aITm5Rc6otGT3JMC61RrBeJQvxtQ8gtVcGHGS6VttDSBZPQxeo8/uphG9qSmcTTkgRoEvTpnNZHIRvFMtrCUosIJNl0qrC4Rl7yVmlgQBMoXQIF+GOUXWG4Ig3PcmyBqT4IFevaySsDJDW21KsN2CG1pN4Rg0tvPgh6ANh27fwpatXJMBa68uGsXQnU5NrcTzTK0FNxqsCkNUSWRfVU0kw0blKxATQdqdEWnhibbKVqbmkydCmDoLX3TtgV1QYImXFK52sN7nYIlUb3Qn4e02HegDLgTfiooKgUQMvJ2dN1im4C8f7TmDw5rS2bSg9IYdrHZWmY2CSe6GoOrFiwuN0ShQl2U2sjABol2pS1Q5jmVdiT2Gq4YSBKFUdBgI1JpNytuobmyVibVgKVSJRKlPMZ2AVGkAb6JhjCRyTvQAKbS7kitpCI2RXUg0Rx1W8Q0gAAbJJoVmTgmak+ASb6ABkI9K5jf1RiwAwYaf7rJjSZjC0+xfVDzck5hqboJkcgNTzPAd6MOjWPeIecou9wsAeDSdUm/kpYpP0ct4BHNDpUTufAJ6nRpte6D2ZIaXG5jUhOU8JTiJMk6gEnwER5lN6KWKXo59ClsE/hqY1J0WqgotDr5SBDWZgXl3F0WCEwMIALoO9wR7/VTQnikLYhsk5RI4oWbq106tCRDXDkLST3AmB3of4EgkEtdlEm9hyJO6Qnjn8HOdVLhc2Rs9gAgVmOdJ0E7IrawY28FNk76N0sPMyhPAHzeCcpg5M7hroFz6lbtS4dwQrJA4iqZEaKn15Hut1CDfRBxBmwTVFI1TaZBT76jYIO/uk6bvRYAGaTdHYBHCLrIeZtYi6HicRedgrz2JmNExhjRMZnO3Flt+IcfsEm6sXWK3RgfVFBQzSxGUcTwUNAuu4wFlthYX5odQvMT4qa+BB8zRZRDGG5qI/0AWEcWSQdQt4Z0EuPmUq1l+CK+wjZNobGa7w8i+iG+npA7kGmzNcmycfWkZRZL6EKGoeKco0nvgC54JN1UWton8Bi3D5bEpy10M3XwT2uhx2kxstUyY9humqTSRme65VMoE3iBxK52d4+M5bekLupuN3R3fdM16uZwhpMCAOJ4nkiBjdyT7IdWrwsFSNEfFggNXCOhmbsgHX8xJ4xoOUoxptDKkyXUyNzlI7igufMEyQDMcSNFprHOln56jpd/a0cVaY5Q49BMZQHWMFMNbmaSZEiyQxVSo4OLnZmscBlFmnyR8fVDqh+eGjKMvql3mABENBlrNXOdxcqXSOcntg6zRlqAWDXNLeU6gLeMwgbkaKr3FxHZzaBSqywp3Licz49gtfhiJysLOL3m47ggVCootbJG1UAHcjcKNpllRzWuYINg4CONpRsPh57RkU2Xkj5nIQ7TXE0y4vMg7AbXRYq+A9Qv/PWY0f2RPogOqueCKcljbmTdx4rDaTLmBla2HHi48FhoMgQ75BmDNeUoSQNtkZjw06fT7hP0cXQeJcwk+V/8j9FzcSD+nLbK1u99SVsBTJlQjbpnXeHVIAOmg2/2uXiKTmu7QI/my3SxLm6FMUcZns7yK582i5eNB/i6YkOJ0QXkzYLq1sD+nTgucahBMCDzVRlZjnjlB1JF4ck62CJSIn6lTDhxBExOqsX3mE2cwVazlZZmM6LVcOzARco1amWAAi59E2xiUGbJilTAbOp3OwV5BBK2whre0e8ceSQFMBgE6aKqlTn4qVSXXNhsOCCGweUppAbbTJvKiJ+LAtCpGwF6bZPgre610Br4P80VDtXRQB+sMRKnXHh4oDTCbo4dzrnThxQ9FRi5Okbw9LNeLcU/RZeGt8/qoxmbkBwRqT8mnjzXNvkehiwqG/YzhgB8wBI8leIqkkpTP2u9HeQpqmaFtAGlW2mTYarv9CfC1WvDj2G8xcjuXuOifhWhSvlzHiVpjhfb0ZZ+RGOls+Ys6Jrkw2m4+FvNdzDfBmJcLZaeb5jq5fT2YZo0CKGhXxgjPLNNquj5/hP6dMgdY8k8WyJXYwPwRhadwyTxJk+a9M58KhVCrkcaZyaXw1hm3FJvkiuwFFv5G+QTuJqQLJKhTzGSk8sgUEW3A0XCCxvdCWxPwthagh1Jvkuq2hCY6saprJIOKPEdIf09w74yS2NGj5Z5jdeO6V+AsTSLnNHW7y05XfYr7SWrLqaLi+0O5L2fnGpg30jD2Oa/fNr5rDl996U6Co1wQ9gPh9V8/wDiD4Ac2XUDP9h+hXOWJv8AE0QzR6ej584wtNFlvE4dzHlr2lpGxCoiFxa9He/YbCdIubYm3Hgm6rW1bzFtY/krkOTWExGSx09lLjW0NSUlxl0Bqsc10bceKJRqZbrrZhVbkMX0PA8iuNXw5Y4h2uyqMuRkzYOG10MUquYwNkN1Jz3m9lKWYX8JRnsNzMBUjPQEvGnBDYSTpzTDqLYAvJn9pQ6ctkRpZLXoDb6o7+Kw1oJO6GZJFrk6I+UNF9VSAK3CujZRKnEO4qJ2wFerDrC1rlbbSAsNOKquQwxrafNa6NYXuj8oufsk+ilFy0hqjgrBx+XYceZTdOkCYkqyQCLSmcoEEbri22ejjgoKgThlt4LE8VK5k+C7Pw50C7FPk2pg3PHkFcItvRWSajG2J9G9G1a5AptnnsO8r6F0D8I06UOqDO/W+g7gu30Z0bToMDWNAAR6leDA1WhRjAxTzSnrpDNKkBoipWlUO6abdF2cqokqwplWS5IZVVkrnYyuGaXJ0T7qoXNxtDMZCT60NGsMwvu4yn6eHjRL4FdB9Ro1KS6ApolaJWaThcrRVCKVFWSh1CgDFSsBqgOxDSgVGkm6Yo0whSCjznxH8M0sU3SHflcNQvlHTfRNXDPy1G9x2Pcvv7KAXM6e6Gp4imWPbIPmDsQqcVPvsccjhr0fn8CZP85Ks2y7XTvQ1TBvLHXaT2XcRwPNcdzN1xaadM7p2rR0ujcSZyzpcLoVcL1oJ/OLjnyXn6Ty1wcNQZXoaWJIOYb93fouE1xdo0wqcXFnHxFYkaGAY/2s5+zYXJ9E30rTJqSNHAEDS519fdCY2La+3guvLR5c1xbTLqOc3a8WnkhjKW54lw1B5780HFU6jjrI9ghA5TqhISNOry4HfisGoTqqe8HuVB86BUMIHqJc1FEUFExDpK6+CoZGxvueZXNw3zt758rru0/l71E36NXjR7ZVCnJlU8kQOCMwQ1ArG081CNbHcDgnV6gYwXOvIcV9Z6E6NbRptY0aBcT4K6H6ulnI7boJ5cAvXUmQFrjHgvswZsnOVei8qVfQvKdCtS9kIC0BEpKPeBc2Q24pp09kAMEoFd4GpWjUEWXE6Rc5zhwSbpWNKxz8QCYF01SASWBprsNo2RF2DOXjcUG2aO0s4Vk3cZPNVi8DDs2oPoiUHQpb3sfofp0eSj3EaolKqI9kCtiGjXXgLlXaFQsK7nHgjNLu9DpTMgQmQ7kkrAsMB2Q3QEdoQazJVCN06gKlRsobIG6Iao4qkI838V9CMxFJzSLxIO4OxXxOtQcx7mOsWktPgv0TXbIXx/8AqHgOrrh4FqmveP29k5q438DxunR5cMXawF6bZB3G2xsuXRbMFPYRpLbHc+6yZVo3YH/0V0vRBaDJkEiP53FJUMMTJJIBgCNe4BdLHNJb2rAEX9Fz6eJfcMAgnXl9Esd1Rl8tfuG61PL2dBwH/cUk9scO4o9VjjvA8yVTK1JurHE8SfYLojMhct/UI7kZlNp1EDVEqjrIytiOJ+6A6g/QkH1T0xhHdXKiyzDuIsop0Av0aJcf8D7hdKlNo8VyujnxU7wR6T9F2QLcCpydm7x/xC03GIKc6Kw3W16bSJBcJ7m3QX0+wHDxXY+CmTiQf7T9FWNXJF5HUWfUsHThoATKDS0RZWiXZgRqUHEVsokKPrAILzmUlHIFZ1R/a8tgu1hqS5nUZDrr5rp4R5EbLmu9lMdNCyVxOFDhJ2TFSvaZXHxmJNQhoPZGvMqm0JBsPVAsL9y6dKqDqYXPwtOF0GUrJRQNgcRiRoBKFTpzqFqtRgyPFXTxDRa57k7vsAPSFbK3s2SWDE6ro4loftqlKNEtNwokndlLo6eHpyjOphL03HZHY07271aZNFxZJY6sWgkBdBxCTxDQdUxHPoNJuU2zDBZpUOBT1IQERQ2xVtKF4H+p+GBoh+7XA+dvqvotUr5//Uur/wCgRxc0eq6x6ZF7R87wLJA5SjUTAnmbeKLhWZWE/wA5fzko1ohY8r1Rv8dbbJj3EU7WmPdckgtvseGh5wn+k6vZY2Ny490QB7pJ+K4jbhtySgtGbyneQv8AFmB2svcrOJMRM8zCA++kN79UF4HEmPD3V0ZgjiTqZ8VtmIcLNAHuli4axb38VoVMvefRMY2G8z5lRLD/ACjkolQUI0quVwPAgr07QIBnaR3LyZXc6CxIILDqNO7gjItWa/HlTo9DhGZqeUahdH4WOTEsB3BHj/AuXgntY6djY/dP0X5KrXbtIM8Rv6SpxyppmjJG00fV6JsihJ4CrmaCOCcC1yPOQF1LdIY/FdXpqdF03hcjH4QuMjZc31opG+j2Td1yV26dCy42DBFiuxSrWUxY2L4ynZcag2HEHivRupzqubisMCZ3Q4t7GmFwzk6KiSw+GPFOtocT5IVi0J4+rtxP+1jCsVdJMuCNlMO9T1LY/Q+Ka21shYp1rI1IK0xGS6NEuaplMPCwWqhGcyWqNJKZK5WP6Uax7WZXuLv0CYGkknTVJ17Gk30dKgxGJQaVSVt5VIkDiHL5h8fYjrKjKQ2OY+w917/pbFimwknQFfKcRiS9767vzGGDkNPurk+MQgnKWhfFssGja5+iV6vvtr3bptla43J90j0tjBdjYBPzf+KwcnOR6T44oWxLHVHlxIbA2EyQNv5zQQ4xc8yD6IbxGlrXWzDQQT2jy0H3XdI8tu3bM1a95gn09kJ9SdYCIBmESZ/myv8ADaSIB0PFLQgWYc/oi1DEEN21nRaZQbc6DiUPMBaB6oAyT/IVLZqKlQxJzlKNYscHA3Cj0FUUj2OCx7XsBtzE3B3ldHD4oPAabEfKf+0rw2CxjqTpFwbEbFd/C1w8SD/vmuEocXZux5FNU+z6p8GdJZmdW75mWjlsvVtK+N9FdMGk9rjqN+I4H7r6j0N0qyswOaVphJTX2ZMuNwd+jqwsOAV5lThKKIAmq3hK3Tqnayy3DwUQs5KaZRVTGZQZSbKxqHgOCH0nTcRZawFlLe6HWrOnRpkaI3WndUytZaDJT/oQoXlxW2UxuFo0oK3CEgLc9rRICH+IJV1WA2WadMhPYGm1diiSgucAtNqApiKqjmlRQunysooLA0qZCziasBXicSGgkmAF4H4i+LQ4mnRM7F23hxVWoq2EYym6QD4v6W6w9WD2R88b/wBo+q8rWeXGdBoBGg4LVR4klw5k5vquZjOk23bTnvkz4LLknLI6XRuxwhgjbexjF45tNpDYznfh3c1xs5IBdNtBxK3Sw5d2iRA1kx5yjuj9GYRDYNhfU96pJRRjy5XklsTbV3J39eJUmTb1v5cVKtIzy7x9EWnTAzS6DFoBvyJ271RzohAGtu4XVdaAIEzufo37oVWoNBMIObe6KFQZxB1J5D781BMQPvHNRtPc6HjC2Gt+a+XQDTMfeOaAABjuB8las1uQURsBVyCmKgv3eiC5WUQhboV3MMtMLB4KkDTPQYPpZroa7snjNv2Xc6N6SqYd803d41B8l4IJrC457NDI4H6cFzeOtxNEc9qpn3foH4qpVoa45H8Dof8AE6FelBX59wvSbHanKef3XpuhfiXE0AAypnb+l/aEcAdR5qll9SE8Ce4M+wBRxXkejvjqi6BVY6meI7bfS/ovQYTpehV/4dVjjwDhP/Sbq00+mcXCUe0MuZK0yiOC2FsJ0SbYAAtZkOVJSGR70u6uUYhZ6oIABSbLs1/O3kmChvr02Xc9re9wHuuZi/irB09azXcmS/8A/KOuxpN9DtRhlEp0yvJYv+odEf8ADpOdzcQ0eklcjEfGeKq2YW0wf0tv/wBTpUPJBHWOCb+j6RicSym3M9waBu4gDzK8h0x8eUWS2gDVdx+Vg8Tc+C8hjszr1aheTu5xJHdK5tfH0KYguk8BdQ80n0jrHxoLcmOdJ9NYjEntm36RZvlN/GVysTjG0/mif0jXx4JDF9NONmDKOP5vPZcwOk3/ANqVBvcgnnjBVAaxmNfV5DYbBLsgc/5sqL50EBV1gGy6JVpGOUnJ2xunTtJBPCHCfa6w9hmzS7hP7brdJ4jUA8L38VdZ5Ihrw3iJDfUXKEQL1qh31RGsAHaME7a+J5cgsBhboJ5/ZZzTExM7psZHQAbg7DbxWxiAG3udoER3ndYqZZ0vy0UDWjj32R2BqrWkzpsfa3ksVM5Me2nnuryhx1tueS0XtmASREHTibjwI8khpaB9Ty9QomAKX63jlLbeiiLFZjBYIOub8hr6JXEUsrjaNddY2laDywyCQeRj2VVHkkk3J8fdUrLtUL5VkhNtpcbDigOamIFCsKyCoGlMZmUzhsY9hlriP5wS5CpLsE6O9hunnD5mMf3iD5j7Lq0On8KfnoOH+JB94XjhIWhUUPGmdVmmvZ9KwXT2G/JiKtPlme32suvQ6YcfkxpP/wAjT7r5E162HHip4fDK/WvtI+xjH4g/8y7zb9AqfUrn/mavg+PZfIG1DxWxVPFLg/kr9WP8T6rUwtV2tev/APa/7par0S461ah73uPuV81GId+o+ZUOKd+o+ZUvG37KWeK9Hv39DUhd1QDvIS+JbhmC9dpPIT7BeGNY8VkuQsX2D8n4R6PF9LUW/LLv/aAPf6Ln1On6mjRl9VySeKzm4BdFBI5y8iTGcRjKlS7nE9/2S7nwraJ1B+i0aZs7Y6eFlWjg5NmA9abzM8gPqtdWDqPUKNgAwNN0WTZogW7tJv4qCsQeHKPuh9XzW6lM76x580UI2DLp0EHT90y9wboMvEzJ7gUmWiY5CYO+wRWm9yLd59FIjVTE5h278IkEeO/il3NbqNvPyRcSz5d5BMaGJi/fBWKY/uA4jf0VDLhpntQbEEzGkxOrfEQlzJJze4T3Vg3zxNpjX6hK1GmdQSN5keHFJMEzTo7IDtPfc/zgo7KDYG/cfYoRbyE8rInVmOE7z6BMCBrf1j1UWOpH6vdRAwr6cGI/m6w0qKIEZqEki/gsdUVFExlPpgc1ANZ22UUTQwbmrLWyVFEARyrKoogClsuIKpRMZYqLQrKKJUBrrlXXKKIoCuuKvOVFEUIsAnRM06ZH7qKKWJm6dXkjtd1pANyAeWnHioolQmhd1Jt4MkagaDaxI1nkqp0f5MKKJsDbMmgnz/ZXWEwBI4TE+hUUSYMvE4bLaQOA3J3PBR1GcoJIJEmOB38lFFN6JsFXrBzpEAaARNgIHsqpnfygR5QoorKDUtCTYAbCbeOuyE+m0xl9SfW3sqUR0gNkkf4i0nXyVGsDxPcPuVFEUgAmpyUUUToZ/9k=</t>
  </si>
  <si>
    <t xml:space="preserve">Payaru Kanji 
</t>
  </si>
  <si>
    <t xml:space="preserve">
பாயாறு கஞ்சி</t>
  </si>
  <si>
    <t>Rice - 100gm ,
Green grams - 200gm ,
Garlic cloves - 20gm ,
Fenugreek seeds - 5gm ,
Salt as required ,
Coconut milk - 50gm .</t>
  </si>
  <si>
    <t>அரிசி - 100 கிராம் ,
பச்சைப் பயறு - 200 கிராம் ,
பூண்டு கிராம்பு - 20 கிராம் ,
வெந்தயம் - 5 கிராம் ,
தேவைக்கேற்ப உப்பு ,
தேங்காய் பால் - 50 கிராம் .</t>
  </si>
  <si>
    <t xml:space="preserve">Soak the rice and green gram in water. 
Boil the green grams, till it is half done. 
Then add the pre-soaked rice, fenugreek seeds and garlic cloves to it. 
When the rice and green grams are cooked well, add the coconut milk and finish it off. 
Serve it with some green chillies. </t>
  </si>
  <si>
    <t>அரிசி மற்றும் பச்சைப் பயறு ஆகியவற்றை தண்ணீரில் ஊற வைக்கவும்.
பச்சைப் பயறு பாதி வேகும் வரை வேகவைக்கவும்.
பின்னர் அதில் முன் ஊறவைத்த அரிசி, வெந்தயம் மற்றும் பூண்டு பற்களை சேர்க்கவும்.
அரிசி மற்றும் பச்சைப் பயறு நன்கு வெந்ததும், தேங்காய்ப் பால் சேர்த்து வேகவைக்கவும்.
சிறிது பச்சை மிளகாயுடன் பரிமாறவும்.</t>
  </si>
  <si>
    <t>data:image/jpeg;base64,/9j/4AAQSkZJRgABAQAAAQABAAD/2wCEAAkGBxMTEhUTExQWFhUXFxcaGBcYGBoaGhkYGBgXGhkYHRoYHSggGholGxcYIjEhJSorLi4uFx8zODMtNygtLisBCgoKDg0OGhAQGy4lHyUtLS0tLS0tLS0wLS0tLS0tLS0tLS0tLS0tLS0tLS0tLS0tLS0tLS0tLS0tLS0tLS0tLf/AABEIAK0BIgMBIgACEQEDEQH/xAAcAAABBQEBAQAAAAAAAAAAAAAFAgMEBgcBAAj/xABAEAABAgMGAwYEBQEHBAMAAAABAhEAAyEEBRIxQVFhcYEGIpGhsfATMsHRB0JS4fEjFBVicoKSojPC0tMXU5P/xAAaAQADAQEBAQAAAAAAAAAAAAAAAQIDBAUG/8QAKREAAgICAgEEAQMFAAAAAAAAAAECEQMhEjFhBCJBUTITcZGBobHB8P/aAAwDAQACEQMRAD8AOIsilJUsVCSlxr3nZh08xDk+7JidAS4Aw1cqSVUbYJMNSLapKe6SDiBcaYQtLNyX5RIVe7o+EUBsKUmtSlIYaUdxoRAZjNosC0FL1xAFg5zyBcUNMuBhEqyqUCUAllAMHJcuXoMqHxEE5d6pWxWAnDhIqS7JWHdq5ihzd3oXHWW1YULQ1FsH2YHTXM+EACpVhWsOElgMyCxLgM7ZuRTgY9LsyykMhR1oDlrlE3+92UVlFSGdyzYgoBmzcCv1rHVXscIGFmUFfMWBBQcIpRLpFOMAaBqUR5YpSrjy384VjBJI3foWO2xis3z2ulSEkVUp6VDOk7pLqNMnI0JGUCi5dA2g6q0B2NAwLktk+j0y+8Ar27WSJI+cLVo1EtzzNNUgxnt99rJ88/MydBtyGQ51PGAClk1JcnUxtHGl2LbLlefb6asn4Yw5s3Ft3fIZNFctd9TphdSyepJ8S584HPHI0TrofFDi5yjmSeZhGKORx4OQ6FvHMUJePPBYULxR0GER6CwokImEZGJ9kvSagulah1MCgYUFRakQ4l3u3tpaE0UoLGyg/nn5xabu7aSlsFgo4/MPv6xksubEuTaOMNwhLtEbRudltKFjEhSVDUj3SHn90jGLDei5ZCkqKTuD7pFssPbRZACwl9VAZ8w7RhkwOKuO/wDI+f2XsLiu9se1P9kQyWVNIBAOSAclHckgsNWO0OSL9BQVEZAmmrVI5sP4jMO2FomTJyioUWorSdClglAByokDqoxz4skJP/Ra30DbxvaZPUVTVqWTufQZAcBEBRiRdtiXOmJly2xKdnLCgJ9BBVfZG0s4wHKgWHr5Q8nqIRdSkkbwwykrigBD8i2TEF0rUnkTD1vuqdJAMxDA5EEEdSkljwMMybMpTd0sQS/BPzEE0pFxmmrTFKLWmi13B22mpOGd3075Hxi6Wa8JdoQ8tT0y18PrGSTrKR8jqGu41yh277zmyFd0kMcjmDry5RpKK+ezGvou95yHo0FexN3KTJVMb5lmvBLAHhV/OINhtibTKCx82o+vrGifh/KQqxBJ0XMHLvEj1EKC3sTB023qCSK+/r7pF2sdhw2aUkfMEjqdc+MVm13MpU5IQHDv0BB+nn4WSyTAlbE/zvGhKIiptTU+Ueg449/xHodjM+w7U6ch9IQlBcFt+WX8Q4x61qARs2tY8FDOr13yYac2jkKETCdOuj+cLAHvnSOJXnlt11+kcK/XhAAsn6+/KG7Ta0y0qXMLAa+gDVJLs2cM2+8ESUFazTQaqOwfM+jbRlHajtNMtCmdkhwADQDYfVWvAUjSEL2+hfsFu1PbQzHlyqJqOJ3xNn/lFN8WUUmbNKi6iSdzCCY5Gt1pFKJ5488eifdV0TrQrBKQVHU/lSNycgIRRAAhSUOW30GcaLd/YmzSylFqWtU1Td1L4Q5LVSNePONGuXsxIkj+lLSk8gTzfMnnE84jpmEWPs1aplUSFtuRh9YMWf8AD62KZwhP+rLpG5osCdQ/WFTly5QdRAG5YRLypBxZi6fwztH/ANssdD9I7/8AGFoOUxB/0q+0bPItKVB0qBHCHUqEL9YfBmHL/DW1gslcs9SmvMiB9s7E21FPggtTuKBJ8/bR9BYgc6e/SEzkpbfg1IP1vAcGfMlqu6dKLTJS080kRGEfR6VyZqlIzIopJBp0IYiBd69hbJOH/TCTulknwy8YpZIslxaMFhYi/X1+GkxFZKsWfdOdOdCeoik3hd02QSFpKSPe0aqRISuu6Zi6q7qeOZ6adYtFissuWBhTXUkOTvWM+kWqYkuhakngTXnvExN92lTJExR2ol/SOLPDNk1y1/BDxs0FM3w5H7QLt9jlzAUlRKGqlCg6aviwZEgkuWdoAyrqVMZc6YpXAkn1yg3ZbFLAASgBjmAxBGRChV44PZHSf8CjPgyTYOzsiWULlgqVmlWInTOhaC6LLxbf9+ECkWtUtSVEsEZlLYcJJ7xCT3cyCw1fJ8M+8ZiynuEYtiaKHPdukednx5eXud+WfQeny45RVUh0IBVRmNFMGB5ivpvDNqs6hLUAE4UpYJGEEA0oDTX20PSLQwZAOGhL5hTbw9MP5qOdx5+UYqTi0bySoGSroAEpSicaRQv3sLKZBIAcDE/QQi8eztnnpclWOoCn727GjEc/GFIveckkLQ6XUErIYFjVt+kNjtFLKsILnC3B9ajh6R0J51LknszcINVqirWBUyyTsCgQ7sRkeT5uKNo9chGu/h3anlTE5gTSRyKUn3zjP74vGSlBolb1wqIJfgNDxi1/hQFLkq2x16JSG8Pe/wBB6PPLNG5Kmv7ni+pxLG9M027loDnEyz5DYRy02FR7wqdf26RDKMSgR+UjxH8QQ/vQAModRrHWc4KMmb+g+A+8ciWb1l8f9sdg2BUZZqA5cB+elR79YWohqMeHvrHs6P51IGcJCfRuLcd/3jlKOqbxPJ3pEa1T0oQVqLJAcn6c+W/KJKDRxqOO2TfSM67d9oMR+Gg90OKGhIcFXTIdTFwjyYm6Avau/wBU9ZAokOGfIbc9zrlkIrhMdMJMbtlJUcjqEEkAAkmgAqSdBCpMpS1BKQSSWAAcknIRsfYjsSmzoEyaxnKcFQY4KVSk6auocatnDdKygB2Y/D3EErtGJmrLyq+rEFgNHDmNNu65ZcpIQkAJAolKQlIPIa8TWJdnKUgIcFhTo1eMSDThGMsjfRSh9g20WdImJJR3gCHGgo/IGCcuG1iOYjGZoPqXSA8iyTFKV8WqXOHltTrBSTMOuf0jy1Oc25QgGLNYkywcKQHqQ/nEg65t0hOJtff0jhluGJpxDhuUKkNHQp2d+EdmIqM+X1hyWkNlHFny/mAZETZ8Kid8jDy3yEcUKu0JTAJg+feUtMz4anctm7cOEDb+u6XMQQpDHiKcDzgxa7ClZchyC4hm2WILFS7NQ7DSCM5RsUopmM352WwuqUxD5A06e/GB13fCRmrCoZ4gxjW7yuuWJRFQ5q3pV/rFEvXs2FAqSz5t9eEW5LKuEtMxnBpeALaL+QkNLTiO5oPufKGZHx7SXUspRlSgO4bXmYhKu5QVhIpvyz6xYLPRLUCR0AEYZYrFqPZk6j0MSbsQkhUslKxkTUenvaCki3TBLCUJSFA4SkmqSo0CXpgI+Su40EArZfoTSUAT+o5dB94iSb4mlX9RRmINFIUe6UnMD9J1BGRAMEcU8kffs0xSlF8mXC47YFKUMRKwPlOhyPd3FKHKCd6XiJYcu2dC38axXDbpSEonTAVrLhExDhS5YA70wAjvAkJLvUHnA+3z1WikqbLIGSCohX/JKQekcT9A55L+D1Y+uXH3dks9swVqJlBsgaKIT113isWy0BUxS0pCATQJowy0yjs6wrQWUwPP7Q7Iu8qrp4Dzj0sPpYY9xVHDk9RKapjd3WRUxaUpDlRCRzPt4+luz/ZhEizIlpqyQ+YxKapd4yr8O7kGMT6MkshxmdS22fhG2XbbiB/UAHEa9I7UqWjlbtkZEgopXPLiecD7ar93/b94tqpqJiTUHhFevK6XJKVNwP3iov7EwDXh5x6Jxuz/ABe/GPRVokFAHEDQjlXRi75Z6awlBBH0PHQ9X8YcQGAHRy58Tn1iPapQWCnvccJAagauYOx4RwmgI7TX18FCkgkFSWBGQ/UcncANnmRtGS2uaVKJP8DaLT23t+KapKWwpJSG4fMeqn6JEVFcdSXGNErbsaUYTClRZewvZ02qeCUuhDEj9R0T5F+AMI0suH4X9kWAtUxJKzVA/Qj9dfzFi2wrqI0G9LJiQpMsrTQd4Kao0YefOOSLOpgMeEA94BiVECieCcsthBEhqOKtTnTLxjmySvRpCNbA9gskwSyjEQaMo1IAI3zcQWlkji1HaI0qYQQ4qDpt/EPmZsG4RBoeIb35w0JoFHroIUFOa0EImWVLhWukMBYMLQkQ1LNWjqk7njs0IYu1JOAhJY70p0MRLHalii2fcZHoYlkZAmmphPwWSMiK86/byhE0PS9TSOk8M4SoUGZ+3OPZ5QFCpu/SGlx1cJlqbY7iGApnzhsSqU9+MdqMqiFYmYDwgEyNOsUtiS5DhwSKHhwOWvLcbbbrSrvECgbIMw4CJd4WdZcJUUg5kCoPD+IeMhSQxOJkhzrXUiI+boWujKu0FkUpailICk0SlhhLMMVMyQBFDtqpuIiY9DkaDwyjZ7R2dIU6VMHJbjrFb7W9lsacaQyh+/pGmLb2tmcoqLtGaNC0xKsl2rXM+GzEFlHb7wek3dJQmgClalQfyyEaZM8MWn2ZykiF2ctiUrCFh0lTpdmCyMLV0UGHMI2i1TFSykrThw6lm6F8iNQdoATrBLmBsISd0gA+WfIw1aJEwoGMMyjj2UoABMx+KUkHY1zVHLNLPL2uvAl7kcvW1pmqSEiiXqzO7ZDQUhucFHBLQHWshKRxJaHZFhUCykkcw3rB3sRd/wAW2lbd2Sl/9Ro/QP4x0Y8aVRRXSNc7OXBLlS5aMI7qQOrVPPjB43cnIEjzgNJmrQCQs5fmrV6Q7IvCYVddh5R10zMIWqyrQMQq21NPGBlovcpfEOv7eEGpNvxd1QZ9dDAq33WkuQSOHvIQ15BgZV5l8vKPRLEpIowpHoehAc1D702gXarclCJy0ZoxAu47wAYMdPlbnzgisj+dPfCKz2uIlylkZzZiSo0rhRvt3U+McsI8pJFSdJmc3hNdZ4U8M/N4gLMOTFQ0Y6JO2EVSPS0FRAGZjd+wNzCTZwG7zZ7lWY/2sPGMi7I2L4toSNBU+v0jcbmnzUqVLKQlKQCk0q49fCMckqRpFWwylKgFOBowGg+/7dVS0O6iGjiFGjtx+mUKTOzB02pTWOc3G1S0khvt/ER7NJUCorLuabAbRIQkFik/aFhTjvBs/dILAanAOA8NhBxAaNwiQqzgpo5MC12/4RwqBZVMj4wNoCYFB204QsnvU/eG1pGWZjsuXxgAiTypAUtyo1ZLpYClGp9dYaum9ZiyQuWAAaMXB8Yj35dxmF3INQGJDcadYfuWUoIAWSSKO4c55xLvkP4CkxzqC2Tj20dB2pziHaLWqXQJKsWoanN9KwJt/aESlgTkEJ3cbs7AvA2l2C2H7QtgWS5pkaVygcixNMK8Sq5pJp0ETpFodmNfpCgXOdeRPGsMDiVFi9Bpyjig4hm2IJScL12hNhlFKcLknQqNW2J1h+BEpbe6GOLCwXBJRUB61d89uEQF2NRmJWFEAZjfaJlpmqSKgtoQ9WD5a6wNCB00TfiO3d1+rccoi9oLZKkIxKUCSHCSKqOwB045V4xNu6+kTl/C+UsfmBb9ornbD4iJgUEJJDBykGmbA8/WMl9p2OV9FFttsMyYtbBOIkkCgGX2z4QMtF5ISD3sSthlrUq8Mnzi73mhK5Jws5SvElgAO7ShzLv5Rnl3WMJU6w5BIA0prDeNJcpnJwS2xR/tE3LuJI3anHU+kNSULkLxKS6DRTGhScw+h1D6gQXK3j06ahKXWabM78OMKGV3VaBT+kHbrtGKUQs4sNMTUWlnSr/aQ+xBiy9gbGZYVMlyyqXNmPjKgCGDMAQCRT+Yz/s9a0rxSkOlwcGIvno4HMtxVG/9nJFmXZ5aZJDIQlJ0UGDVG8b4Y8ZPf9CpL6Bt8W7Agjz4a+Zhd0zCpL8KnmaOIkXxdUtSwCSOft4OXbZUJQwYjbOOyyAbNLD2IHzr1UA2fHLlBS9LNhD6F2Oz8PCK1aZZKverP1NIpbAQZqv8fiftHoaD/pSeLprxrHooQyFZcfX9mMU3t1OOBIJBPfdtHwivFj5xbVr5u8Uvt0slv8v/AHCObD+f/fQ59FCmQkR1UeEaFF5/CqzBU8k7gRsolgqBLAtSnHzrGW/g5Jdajx9AY1aSkGgbgCdM2jDMaYxq02ghQBHdoMmfmc4ny5YNTV/TrEWbK004Z7RKkrZIGsYGooSUijQgys47MjmHrDAjrmGjDIVH1hgyUKcmvi/rEm0tTQ/SIFpngKbfX0goR0Mks9DQZgQ/OcBxR4aQMbgFmrHbVa8Ke8WYMTtxp7pCKRwoxZGsLly0hu8ePvaBNnvhEwsEkJaii1QGctpEi67dKnEhCnIYl6BsiWOY4iFyTHRKmSjXNjrkxhm0XSFqSopQspYpKkuRUbiv7RKStIOpbIFsjrnC5kxRJYkBtx9IYES8ZcxKCoM+mTk1bzisS71nyVFU3FgNCKF2q4CdBWJ1rRMTMK1gkCoAVnQ0b6wm7hKteJS0paWQ6SMSa5N4EdNoyk7fdMaD922wTEBQS4Ip/EShJAGIJyzxZa6a/wARGss0Af06DgdeWgELXMU4JLjd38o1QhMpGEls3qNPPLTKH1WpbMGplnT9o6Cg1chVdG/iI5nk0VUD06QxDMwlTEs42gVeDLcEgwbRYUAlSlrDj5cOWjv70gPed1iZ/Vlt/SbEpIZRAFXD1zfKrZxMm60JVeyl3vI+ECsg4TRPFZyEVBSKkuA/QVjSr7R8WWmYhmG4cYuXXKM0v9E6aUfE+YdzICiagsAz94wOPL50ZZI2J+MCcMvvH/iOZ+ghf92pVWY6jzIA5AQ7Y7LgSEgfudTEuUnevl1jncq1E57rohybCmWrHLKkkVpoQXBGoLjeNMWhMwlcw4FJOFeFjjWz486BQIUNS7882td5ykqAQxJIDO4G5J+kaPZ7MgWezzA7TpKZa6k4ZqAyVB8gcKktl8jNHVjjKcbn0XFv5CXZyWqYp0lSgP1Kf1yi1WdeA7bjhrAXsEJaUqTi7wUaE7qMWS8kA1bI1+lY64VVLoCYuUFo3B9vAGbdYCs34ezEiVeJQNwdPHVvfDWFPvBRVShDHJ83i0JhMWVP6R4D7RyBqbyW3zS/+P8A5x6GIps084qPbEPh/wAqvIgxa1qd221cEV2NWzit9p5bpTzI5BSX/wC2MsP5Ic+jPVCOgR2aKmFyhSNGUaR+D6u8RriJ8AY1VIqpqV68fLWMa/C6cUzFBwDmHjZbHNxVfSvP7RzZmuVGuMgXhfQkEJKStVScOx1PnE27LzRNqHBGYIYg7RFt9iTMU5AoxdnMS7NZ0pPdH78Y51y5eDXVD0yZ0rHhMIjhiNOm50Yj6fWLAdnWkKJarDvDbLbKIapiUqBbPPhxiHIs+GcuYCxUBTlvE4S6PDAhWS3hSzLFCmoIfXjyiauzEvQK3fVjDXwglyzPERF7pK8IBVvt1iG0gH/7slsaNwFCcWQfL+Yj2G7ZUrEUyzXUucnbkOFIkzLae8VNuHLO1c4HqWvEC3eKvlBcEFWzBg3hBJJbGcNtMsgKHdKjiUfyp0ds/wBoJ3fbAsFlJISGPV2Ye8xDkyWJhIDM7ZPTXPhSIirslySsygRqXqSzsK5AOfYiXd+B6onmzO7ih3HoREKZYWcVY5952fXYQFu+1WmY8xSlJQ7JRkCwqfGkWiTJUUuWdhX34Q4S5K6IbGLOhh3nDAaP0NeHlExcrEA2FKhxLjmY7ZgQa/KoF3bgR1d+kPfDDE91gcgDiyG2Yih2VKdf05VoTZ0SiVYu8tj8oLFROSUtXj6WxDJBcYhoDDInsSGNeESJKgWzrvDSoTIyVLUWwBzV2yb0hmzJJmkpYGtA7ZceUEJaFJLpSVZuHbyh21T0PhXQmr5ZZVGsJOxUU+/7FOQkIlpQWOIgaPnXbLyii9rLGCkmYQkkE1zcihpxaNnmT3ZgCD3cdHc1Y0o7RlPaW7pqpiysHCHKnYCmid+kOMqkl9kyVoyuVbpqflWrxf1hM+1zF/MokbPTwyhto9HV+lG7IFSw0Xe6L5nD4kjE8upSDXAQygU7d7TJzFISYssp0lw3fUxLswBPvpDyxuCS+yH+RpvZPDMAUSQaEEZgvuOLUMaPdSVsylY0tqAFDgWorwHWMv7IzgFlGlFp5HuqyyIUCd+9xi/yrcqXsaCho56PWmn0iIRVeRvsmWy70lQZ/f8AMQ5lypahPWtd9nhf96h6pL+3LVIHPaJsm2IXkeHXbOp6xrsmgIbom7oHDCo+dH8BHoPP79pj0FsKRmK+FaP706CAN+yXQs6pqDyLnyJ8YPTwSOlRz0eBlolj5QKAM2mHJuXvSMItppg+qMzvKWyzxr41+sNSTBK+7MRzSSk+oPUV8IFy465rZMXaLB2OtXw7SDoffvlG7SLQkpSaB60Zhm+W0fOlnmYFBWx/nyjbOy9tC5AGdHA4j9o58sL2awlRbFzAav0bz97R5U1gD484B2yfM+GpQIcJP5cjTLfMx3s3a1zZX9QZFnyeOZ90bLYVRNo8Ntifzjs1O2WkNAZZvAUcUiOIMLIhDV2gAROW5IcZVGtcqePhDdllpSaAZ1pEhaGygWZyxOZQGE5HlCbS7Al3rYZU5ScSAQliNn3aHwXpwjskA6sDwjqE7nLX6wwGPgMrFV2AADtnX3whxdrSkh6fl9vDgBKqVG8cVYioAZk776wUSx6XZwolRbhDi5JCSxcbatDCkFCqEs2XHSI1ttE0SjgSp0s9TX7QnoZLNqlBRTTGkOU05v8AxDFpveUhClO5puBR6+kDrlHxMa1EkAMqtMRDMHNS0S5N3y5pKVapKQliK8DoRwhLatA9M5cl/pmhRGIMpjQUBq+eu0etN6zhOMuVZypIIdWLN3Jz1YHNhlDl1XWLMSmWk4VEGYpZKqB9aAZnxicmUklUxBLqDAiqFbMd+EKPKt9j1ZMSpgHJA3ptxj2GXMThKsR3djQ6gQFudNpC1Gee43ysCXpVIFSM3eCc+WmSAupOFnGWQdRByLw1K9ioiKsyJeIy3DO6AXdRfvPUanwipdqpqF2aZOKmUAvJnoHPRhBa/wCYs1kYpZqFHd9gS2760ihds7XNFjaZhByAAYqxEjEa1JCT06RpileTiRNe0zOPCOvSEx2kDslLqA3MWEoJMsaFXqS1eogDYPnB2c+FYsE2YkKlJ0GEdWiZv2kVs06wXYJQs04KzmCWp2bDNYJNNBMCByUYt86SRTI0BelOmm7ZxWrIhFss39nTOwKJScXzHuLScgtwaBq6RfJliKpaQVFS0gAqyKi1TTIn7xmrUmP4K8mXnTXJmro4PdHB35VaEzAln83rpnXPg4y+WkEpkrAzhmc8uA+/CIVos4Jyp4b0endroRm1Y1EMCbM0C25n/wBceiKbPxA5oT/4R6GBXpjtm5Z3BLcNS9G1q3gPtBSPAeGp8W8YIKSd66nfi2WcQpwALts7Z0OXR36RygVu/rLV9F908CPlPlXkIqC0FJIOYjQbchKgZajUgkFquNa6iKbekgtj1FFjY6HkQ3lvHVjlyjX0ZvUv3IiTF8/D292/pE1yH0+3hGfpVEy7rWZawoGBq9FJ0fQS1j4SlgOQklt247PAfsZeSpqCVsDmUsBgOooIY7OXqmdLCnYtlx/esWCz2eVJSpSQEgmp3fWOOcaZ0QdkgkFikuGhtMzzhKVHah1HlxJ5QLnKWZjhwPJvvGUpJUaJBYFxsfGOpqYRZpQJqSX9tDjYSfHlFALCXiPPsoURwiSFvpHXhANYWGUcWgs0PYny9mGZq2NeABhgdsaC8SAWMR0WgO2v7Qqp5QAOy5eLnnyr4QsTM0tkPGGpk4BIOQMQ5lt0Dh9W8IQDd4W2XIGJVBmWrkdo9Yr8lTADKlqW5NTmlxhJbZmEQ7xsYmDCo4woHfQgg8nbKFWC6FoCAyZeFWIkVPzYtASduULd0hqg9KlDFhUhRJB7zulJYghwKFjlw4Qi57OiQCiWGSpRUSVOAo0oDy0iTNliYgKCsIckEUru2+lYZ/siA5ADElX3PiBBW7JJqLOD3gWIL6dRXSI1qtSkjCWKjlqOuerwypZR3kqxguFA5toKeMctaEzEgy31JJ0GYrwJPhDEDrTa8SsMwhIqTQZgHbMM+e8Yr+IV4ibaMKAyU5DyD8desad21t6LPKUpyVs1SDnm2vDrGGWicVqKjmS8dOGNK2ZSexkxyOkRwCNgCdx2YrWAAS5A6DvK8h5wRtSGnIzfEPWm0HOwt2dybOOg+GnmWKz5JD8DC7wswM1GXzDSJn9Eplv7PSiEijasyqDzIzDUFNYvd128gNUgUbM6AV18TnvSINxWCWqWAUgcuTAswD9IJqu0oJI1Z+JAaoPJn/gmhBV0qGhEBLyklG7aHzz0bpwI1fs08pNQ4JOQyPHq/iOcE8IUK1DQugKkQP0n/wDIHz+FXnHoPm5Zf+McA1PKPRXJAZqqWwYF+J+8Qp5Or5O/kRm7s8TSoPXVzqXZqjYZU4+MKdLBIJAJFAduXhHMANmzBjCaak1yH2gZe0gfO1GZY3T+rmPTlBiaARvizHNhkYhzwwJz3L75s7N9I0hJxdoTVqij2yzGWpswag7iGgqLBbbIkD4Z+U/Ir9Kv0ngdPDaAE6UUKKVBiI6XTVrolfTD/Zm+1SFhz3dY166LzRMSKuM4wNCosnZntGqQoJVVGvvaMpw5IuL4s3cpGCgzybTjEeTKCAxqo5cv3r4QIuu/QuWMLKGgds9yPWC0x1F3z8uPCOSSaOiOx9MspFWY/aPBKXiHb7WZUoqJdgTxoP4iHcF4GbLxLwviOReg46ZxHJJ0V5C1Ks/hA6+jNwf0s+UTl2lKMyBtHUsob5msOrFZBuacvD3wSd2Z21aF2lbF1EDIJrmS/nE+Qlhk1PWsBb5koUxKgliM2NSzUOppCdpaBbYQu+UEHE5IZiTvwiSlboxUZ2bZohWaUSGJ+3sRHv8AvT4QAFRlxyzD50ENtJWw8BSYy0hgKAjh9+cC58xaVMJYBzBLYXbfbeHbgmIQg7khw2qiS77aNBOfKBcHj79Ya6EcsVkSQCo4j5P9axInWfFq3KIdgsa5ZJxuk1w4R6+EEZHEVNOHPj+8IY3jQWkgspiz6713hMpS0nv1SSxSE75d7hrHrTNShy7qHJxUAsTzHlFfu3tDMVavgTB3FKVhIBCklIJwnQv9ITdAWRdkShDBm4155lyYCXnb1S/lYJr3RSlamnDzgretqQE99x3au1Mqc3bKMe7edsSp5EksMix9jTKNYQtkSkV3tnffx5pSmiUnTUxWVQtUIKY6+jIQYkWRP5tsuJ/bPpDUqWVFh/HHlBVMjDLKxQYThGrH8xG6vRtoHLirH4Lh2enqTZJYSpnBpxJfXWvn/ugWi1q+IkGtRp+0ELul4LLLH+BPoKwKnoeckcR9ogRtHZq85eEB2IDsc6U2HmItktQIzf3784zO6A8sVoAVF2IehCvzAM42iz2O2rRVJLE5EHmQM3zJJBIdw4htCC1usjd5Iz8uNNPe8M2S1YOKTtp05n24idZbUmYOOo96HOItvsP5k+HvSvrxgAmf2hH6vfhHoBmWNz/sln1r4x6DiBR5qaj370iIpIIffQ5+/vE5aG1ep9SfWIqkV4Ozbsl3jnAgql+dfp7EQpkjQ5Uz1Jf6t4QWmZ9PtEG0ffyb31hgB7TJdLKFGqKecBLbIB7i/wDQvn+VR96axY7cgAgkA1A6FngXaSCpSCAzV4jaNITcWJqyszEKSWIYwpC4JTJIKjKVUAOk6jg+sCFhlEbEiN2tcl0Cd6D1x37MkKBBcbHLptGmXF2mlzA4NT8wf2YxlBiRZ7SpBBSSDGbipdjTaNx/vVJXhNXoH30HLN4l3fYkyx3Bhc/LuTnGddn76Usd5LlJFXz6aRoN22vEliMqu/usc8oUaRnaPXrZE40qWWILDiT/ABEqyqAdqAAZl9Mve8RL5l40guxSpweIEU67bxmotiZZViSvFuGbLVoivlGi2aJLnKKmCSaVVkkA78aZQPvGdLVhC/yLChoMQZujtDdjtakhZzdTeteJ+8Ae1ts/6crCCFnV6ZjLfI9IltfJUfBdZSw3QEnSsQr0uyXOSy93cGo4w1YQSk5fMwpppmawRsgBXhIzSegDcINMREuy7kSx3a7EsW2hubaJiVpBT3VKqoaVLEvofKkEbIe4sbKPkG05RDVNehyxEebP9Wh0IIKUoFgCw2z84cQoqLsQAWfJhQ4sql6RGTPOOoBfED0B2iNbpysCFBSkl2DHIBs3zeAZPtk8PVGMuQxbhUEDhAq8lyJLrLfE1rUUGulIH9pL8XJK0oAGEMVan7Rkd8X/ADrQopUpkg5A58SY2hjsylKiwdr+2Bmf05KiRuSS2jB8zFCmrrudT71jsyZpDBjoqujM8THEpJLDOOEwQs1nDpT+pGJR1avdG2WcHllD922LFxSPmP6j+kf4RrvEy95f9NRYOwHQF/WJslAAAGWX1+kMXwn+kvl9Y5pT5MaLaEASpYGwHg4H1458YCTUNORwUPGvEesaOLAhUhDpHyjQaAD6RT7xsqQsqaoU3lHQzNMtl0lgHJ4FQLuNRjYsDRgovTqas/8AyHJ8stNwouPzZ7ArAWlpU1C1KZ90DIYSA7s2YEGkLwkDdJUNGZqUyqXcNlAMISVEEFNOIq9avXUOfNznBmwW4LofmG2XHbh4xX0VzDsnFXPNm2zO1dQ9YkrLEcvuHprT3V1QFhMtOwj0CkWuaw74y/T+8ehUB//Z</t>
  </si>
  <si>
    <t xml:space="preserve"> Thalicha Pachai Payaru 
</t>
  </si>
  <si>
    <t>தாளிச்சா பச்சை பயறு</t>
  </si>
  <si>
    <t xml:space="preserve">Green grams - 200gm ,
Onion - 40gm ,
Coconut oil - 10ml ,
Red chilli - 5gm ,
Urad dal - 5gm ,
Mustard seeds - 5gm ,
Salt as required .
</t>
  </si>
  <si>
    <t>பச்சை பயறு - 200 கிராம்,
வெங்காயம் - 40 கிராம்,
தேங்காய் எண்ணெய் - 10 மிலி,
சிவப்பு மிளகாய் - 5 கிராம்,
உப்பு பருப்பு - 5 கிராம்,
கடுகு விதைகள் - 5 கிராம்,
தேவைக்கேற்ப உப்பு.</t>
  </si>
  <si>
    <t xml:space="preserve">Soak the green gram and boil it. Keep it aside. 
Take a pan. Add coconut oil and let it heat. 
Add the urad dal and red chillies, let it cook. 
Add the chopped onions, saute it till the onions are translucent. 
Add the boiled green gram, mix well. Check for seasoning, and finish it off. 
</t>
  </si>
  <si>
    <t>பச்சை பயறை ஊறவைத்து கொதிக்க வைத்து, தனியாக வைக்கவும்.
ஒரு பாத்திரத்தை எடுத்து, தேங்காய் எண்ணெய் சேர்த்து சூடாக்கவும்.
உப்பு பருப்பு மற்றும் சிவப்பு மிளகாய் சேர்த்து, வேக விடவும்.
நறுக்கிய வெங்காயத்தைச் சேர்த்து, வெங்காயம் தெளிவாகும் வரை வதக்கவும்.
வேகவைத்த பச்சை பயறைச் சேர்த்து, நன்கு கலக்கவும். காரத்தைச் சரிபார்த்து, முடித்து விடவும்.</t>
  </si>
  <si>
    <t>data:image/jpeg;base64,/9j/4AAQSkZJRgABAQAAAQABAAD/2wCEAAkGBxQTEhUTEhMWFhUXGCAbGBgYFx8gIBsfHxoXHSAfIR4fICggIB0nHxogIjIjJSkrLi4uIB8zODMsNygtLisBCgoKDg0OGxAQGy0mICUrLS8tLS0tLS0tLS0tLS0tLS0tLS0tLS0tLS0tLS0tLS0tLS0tLS0tLS0tLS0tLS0tLf/AABEIAKgBKwMBIgACEQEDEQH/xAAcAAACAgMBAQAAAAAAAAAAAAAFBgMEAAIHAQj/xAA/EAABAwIFAgQEBAUCBQUBAQABAgMRACEEBRIxQVFhBhMicTKBkaGxwdHwBxRCUuEVIzNicoLxc5KistLCY//EABkBAAMBAQEAAAAAAAAAAAAAAAECAwQABf/EACgRAAICAgICAgEDBQAAAAAAAAABAhEDIRIxQVETInFCYfAEMjOBkf/aAAwDAQACEQMRAD8A462YqWAaiFbC1MA8UiKlaXW+9Rqb6UwCZCJMC5Ndn/h14SGGSHnhLyxYf2Dp70t/w18OgEYl9H/ppP8A9v0rqSswQkEm0fes2XJf1RWEPLLjqghOpUADc0uZtm2oGPSgfU+/6D50Jz3PtRlR0oGwH4Dqe/FJmbZ8V22HCen760tcfyG7Lmb+I1QQ36RtPJ9+ntVbKcM+Ua1JUNXwlQPq9id6CB0LKUgwFKANpiTvXRWcR/LJSwXCttI9OrmCT8t6lknxVsdK9I3yPJmkNoxD5UFqmEmwHExzM79628YqCG9LaSFOAyoA6bAnfqRzQrFZ8JQ4tZUZPpn/AId4tP7tVnNcaFoBKlPIMSJuJ6A/htyOaMIxmraMubPwfFMUsLgUrhK9STHptaZmJ5FzcbU05K2cMsw0FLIH+0LkEAwuTttJjedgKzM/FmGw6R5bJgoiCYJM9iSB1I6iKRM08U4hwH1FKDulNpA4MXI9zVouMNrszRwuXR1l3xSyhOrEPtyRPls3MwPiUCYBtseu9UMZ/EPCkQ2SmD6JTF+p4O9x965p4ZyR3G+cEr9DaNR1WKjwlMf1WP2pwT4ewuHQ357CpSQvUqbwZKf7VAjcUk87T2aseBsLjxKzimNL5CngDpUDZVxzfSQJIB7gXNVMu8JuONnznULMyIO4gbVdwb2FeUgow6G9a4ToSEqgmJMDneK0xGXYlhzQnT6ySmDEAHmdpJ43qWTLyXXReGPi6sk8KeHm2UvoXDuozcfACIEXkmZvW+IyHynEuYdekJSSsLMzYQr3BgQOPaqWSl5L7iXm1BazHUbcHY/rRTN8U4oJHl6iLEJFz79dtu9T+R1bWx3D7dgbM8e35hWlMuFIW6sIgCBpKUzeJE8zNFMNjVISFIKNYOpalExpN7fKKqvNgnCa1ABsSsGDO8NmQQQZk9OL1Ji8M2HUutjQkwhSJ9ITtKe8dftRnS35OXoJ47HecANBNidQIBNjAHJk9bUm+LcYXlp1MKZW2mFagATMQJEggXuDF6Y/EDgaWw0ysw4JEbwkj9bd6q59iGMSQEKgyEk7m3vyKbHk49iyjfQosYRbiglAUoxwCfwqXFYFxswtJT7810Hw4z5CVeUAsxfqRvJ7VDiEpedR5qPLXpJQjWDzwAeLbbTVflQvET8BljriSpOm3E3ofj1LaVpWCD0NMGZ5Q6y6EM6loInV/bJiJ5oDnDT7yhLaytJIgJm3uN9qSEpOVNFXxStM9Yx0XSTNOOU+IEOt+Ri0BxpXXjuDuD3FJ2W4f1FBEHYzwavP4TQLEGnbcHoXUjfxf4Vdw6fOw6y9hTybqbnhX/62pQDo6U++G/FSmVaFXQbKSbiD2O47VB4u8HpKf5rAJ1Nn42hctk9OSg/bat2LOp6fZmyYuIkETtWKFaKQUmFJKT0IirASAJWTbgC/z/f0qspKKtk4xb6K2k1shtJ3UPkJ++33rd1YA51WIvsTMCNuN6iAJEAEj6BRO5ntxvNZnnb6LrF7J04do7qWeyUg/wD9VKMIxy46D0LY/wD1VVD2gaUX5JH9R4+Xf/NYrFKJkrTPYE/epvJMfhEAipEmtUptRNrJHPLDqx5bZ2Uq2r2B3qpIqIFNXg7w4X1B1wHykn/3Hp7VX8IeGf5xwgFQbT8a4+w712BnLw2hLaU+lIgRapZclKkUxw3bKoe0JtsOP8VUxThjzHTCRYJHJ/tHfqauYdgLKlqMNouVHtufyFKHiHOy45OyEiEDoP1NShHirfY+SXJ0ugLn+NKlyfkBsB0FCXxqE81aeHmmt2cncWrSgjTN1HYC1/vXX7BXoq5HhnFODy0FVxI4N9ia6N5w87y3WgJ0p/3G5g/8p4N9x2qj4aAw2FV5gBVrMQfinaPl9Khx3jlwBbDjbSwshKIM2PKh2qTm3INUrCWX5JhHXnMU6pJbbUdTdplPphQJ2sT37jdU8W53h2HVJwYkKuREJQb2A6Rxtx2qJSFiQiZIvwPc9aYc4y3CvMBCGmy7ohKxYoVFlHkiQN9+aZSXkyY8fJW0c+ythWIe1OEmfpztwKYGspbec0BKQNBsByIAPvz9av8AgjImktOpegOlWkSqFJInZO0c8zVPEebhyXUaVp9ST2gxJjbaRQlbnpmnpBDIcUllAZn4bR3nf3qxm+ZJ0FpRT6v/AIzae3WlzB5et7Uo+lKPjUkEklRKrkWn6QI715ifD7y3ikEmUyCq1zwQYqDwVK2y0ZqhsynBNBDRD69QMSkXM8ge8+9F8uxJH8w1ibuqUQlZTdNoBA4BPqtG/NL+VeHn2dK3HUIWmFAbgwRuRcbU15ji2yyXlhtD8Apc51CI2N72ihKSul2dJaIcoyx5xSkuLWlIALa4lKt5G8i1Xc1V5bR8lWtYGlVryJMiNhH5UL/1dbqCXFEkQVGfsI3N6pv5o2wJTIXuVkyTuN9oBt0NFQg40gLleypk2XuqCISCQoKCXLJPUX3Bnb8KPO5U6TctwqCUBUH4th2B5oM1mzjqluhB0FIJUYgCBJmbRHuKPJxSCgq06feRIPzpZW3TWkHfZVRmrCFKC0DzEgptHpibX770tf6iwnEqWEBwOgQBslRGmYvqPP0pseLKmEuaUSm2nSNxIt79KDNeElPOJXKGSDICU3JMEWB9JB/8U0dabA/YTwudMsFTabTGoqUL+naeBFvehOCzkhxSimAVEp1CbXi54/zRzMvBZdVDgIEepSCB1sNV/tweopeOTvBwttlIbTZGqx26Qdo60JRdf7DFoLY3OXC0SgKIRJUU3EfvipMlzNWjzEJIhNz15v3oY0lbDay5Y6tBTvBHcfrFFfD+BbZUSyt03PmJcHpmbAC0RfrS8Wvs20c5KqoSPESlnErxKYCFEE6VTeACT0kisGLCt1TRnOfDrjinSlSWwo+hAuFAmwtASKqZD4KfcSvWNCkcK57CNzF+laFPmrsTSKmIwUJBBF/rRbwznzmGUCfgmDO3e3Q9Kt59kBwygtOtTRAgrIMGLj7dKEJAWq/6UXJphWw//FHFFWFbcYaSW1qhbsAqbPCdrA/3fKuV+bO5NgLAmT2/ya6plDwb1MOjVh3hpIJ27duoPWK57nuRKwuJLIBc1EeSYnUCbfPiOtak1KFk1p0DrqOpRAH7sOtrT+tbBtJ2g+4mPoRXVfCX8Nm0gO43/ddN/Ln0p7H+4/b33p2cypjTo8lGj+3SI+kUljnz03hZIHJsBFpJABjrHWb1I1oIB0J+aQT9Tc11zNfAWHXKmgW1cQZH0P5RXKcbhVMOKZVAU2dJ+XO2x3pWcEcnylvCtuOLbGIf2YCvS2k8qVf1ESITt3r3w9kqsY6o4srUvgHaOTawHYWrDiFJB5TM34HIV2O2rjnasw2Y6DKFlBFpA0kb9OgF534mmWSVA+OJ1TI8naw7YbZAAH3PU1LmKyYZSPWvfsnk/l/4pOyXx4AQ3ihzHmJTtePUB+I/zTSnE+Vh3MYsepZ0tg8Af4+5NGMd2wSdKkCPFmNCEjCtHa7hHXgfKk5vDpUqHBIJAEG9zFQ4nMipRJklRknejvh/PAh1TawJ41R0BHyqeWcls6MdELnhpsg/yyipxMkgkXA4tzXmS5WpTK5FybGSLnpF5HNHsx8oEvtDy1aZUkenUrrO1xSZj/EZcKPLV8Mk6FEwekQPrWduUkOi/muKQ0hISQpTZ9U82iKp+DXUO4hanEiQIQTuJmY7xb596I5ayV4f1tmFkwqOedvf8aFYjCjB4hLbi9AIKkqG3a+5FuaaMbOlJJUOOautNMyYtZOpNonYWuaG4pp1TZIaCVESCCNSeQVJBt844q3hPEjeN04cKSUidatMJJTMaUqJ9Nt6x/NkBshu5BKTB3HvtQyNQ0g402gE4ytpGsPBxw3WlUSYmACJV8qMZLhV7K0kqiCZII0+3f7VBjMiacwuvzVDEfGVwfRJugpKhYTYjkSO5jLWAWtAeKJSElVp0gC5JteK6TpHXYAyPNVsOOogaQvSGxtMm495+tRusuKxzuiwbupAuTIBOniR071fzTIWThw6DLiQVrUkxYXg9feh+RYkKdlonWTKy5N0kwYI3J60FHk7Z0p8VoZc8SnE4Rs4dISqQRI0za4ULEGRselLCMxV6PNGpAI1kpkDi9oop4leIeQWUwEqCnFBXwgWiJE7zHYVQxC3nELDQC2knSpybJJAMEbzBHzIoZI7VBxNNOwJjMchttSEqUCuRAk+xM02+E0JSwUOpSsrIIWpABAgCBN9MDY9TxWjvhvErbS6hKJSjVKjeN7SL2E0YYaWQlkBKzGpMHe2806jUdCOW6ZRyLEoQpxgxCFQiBYhQtfpHTvWmNxQSC2DIWYI6km1Bc7ZxLDi1KYVoBgqBBEcbb+/4VmU4ReJ/wB5CtKkGEoI+LaTJ7Ex3FRcJSaT6HtR2NOXOttt6FJTIuoC/q5Mxv34qxh86IcbbbsNQIk9jP2rnYxrnnFAbUlUmdRFiDF4t33P50QxuSYhwqeLsq+LSAU3jaZkdiJ+W9LGEk6bG00dNez4pUAsi+15JoBjsxIxJJcjWkEyIKegvbbnuaVshbX5fnuahBgFRkwDaBGqh2eYXFuYjWULS04qA4RaIkkiZHMTE/OquEnqxY8R5zDMkFkeQJSDMATBF5jffpNSZBh8U+2XfSlCwVoAVMnVcKEiOfpxtQ7LwhDCUt6UlRAsebfrNXcd4hGDIChpSTsgbnqPnc0sK8glfgzGtoRJK5UlQ1x8P/TBJnbsL1ey7xCggIR6VD4huI6zEAUn5njvN1OMGfM2bF1KM3ECY96DI8SPYVRQ82W1EzpKZ3vYix42poRlWkBpeezoPi3LHsQUpb9KRfqCrbr0/GkvP0sNuoQ2XACIVrBsoG4mAJjgVfR4zeI1lk6Y/pHqV996XM68RhReMJV5ykFMgynQReDsYEE8zaq4lyb9CtUFji0elDcnaZP4d6bcifSpTbjiQpbJIkiSARBI6GL/AF61zHLVEr1/MU35PmYDonkQf1qsHxdeASWjrRw4ItselQllSdjaoMhxYUjyzEp29v8AH6UT00ZRphTtFGKWc48OtOvKcUgEmJMdEgflTkW65x4m8UlrFONpEhJAnvpE/eRQCcwX4kSo3SdokWIHbpUrWJQ98Kkg8J0wqOkyEzXXMXkeGeEOMNq/7BPyMSKRfEn8NgApzBKMi/lKO/8A0q69j9RQi4jOwT4TypWIxrbZE6SCob7WAP2rpH8ScelJbww+BpI1Ack0O/gdlJQHsS6CCmfiFxE7zed6AeK8SX3Vn+taj9zatMnozrsEv41JWdCQPYUSwONZTA8tIWmTqsVGY5NxG0VU/wBF8gIW4pJC5gBUn0mCTawm3e9XmU4Z4utEepYSpKgLymbz8+vWs2SNxplFKpXQfxuHcLTaojzLATc/LvV0PM4Vk4hTMlAgqCRtt06mrfg5taAG3IUEpARJkgCZMkTBEC/Sg+fMpViPICVIYKQqypCyZB7iI2+dZnBQ+yHUuWmVsJjAtsvltUKukXATE2B+G9r8eqoHcxBSNaBJVskbkgD+okk7AX6jmmbK8Ej+VDY1rCUqShsrMJAkR9LXmBERS8MoAfCJUl1ASoJiATvY7ECDMGjKLfR0ZR8jUpvCMhC1YdtDi4MhAmUpgXAtY0jJUjArPmhAK1ShTfpTAO0GYI6T9aseIfFPlPBtxJKxuoEEXEjvtUjmTpzBmXnC0kepChAvBEkH32oNyclF9BVJWRZ5muHn/chSXUyAd0nYGeOx7UOdztbbWtzaBfcHpFQYPAILOlSSQCNRINgDBkdbi3yo2ptpotnCFIQbabaTbptMj34pZRi3TvsZXRLl+eaWkpIG0lJHBH12NDVMtI1NLUISTpHISQDYxI3Fq9abTjocU2lGk3IURP0vHvRhrBohKR5elsnT/UqSBIM/07X5+VUrjqxHvwKeRKcdcDSCQ2N1EGCBG/JMx+709rWkN/ywvqSkKOwHIO0GY/WhOYJ/ll+WspOolcDg6Yn2JO3aoMJmiPPGpQ9QAgnkbfa3ypMsmpVEaMbVsYsb4nU22WChaVJA9RTYXgwobCBF+tA3c5QHm1pML0lMg8GNxtNqZczfSvDOiVIKkFAKANRJsN7G9cnzLK8ayWg40fLCvStAkKNpkybwYAMcxTKDmr5CqUVqjpuOxiC1uCVczz35odhsCWcSG9U6xqBuI3tf+rt3oEcuxjSG8Q42f5cncHkG0iSQCeYow7mj2KTrS2nUk+lSrRpMmCATwRtxSRjJL7nTSfRb8UZfhmnm3UAyonVe39Nz/ir+F8oqSor8rVYAf3cH/p96W8b5jqFFJEAz6hzz2AoFlD77yw2ltap3KSOOlPKLk7rQ0GuNNnQ28QlEth1D0KjSIhJ5nmZPt9DEPiQEMqCEQV8cxaYHXoBuYpCxmX4xpxa9JV5iwAATrJIA26A88AdqcspdOFK14oF163+4PUEwPhHfczEnttTPHTt9E+XoTsLl+YYdKVlhSQnrEibTpPH72ojiVpUhP81JWq6BNkwDv3vRdnOnMU4tSdSkTCTBAgW295+9UsQUEeaoiErB06ZmAZm89/lUeac3oqrJcAw7h0NuBhKkbkmZSVcyPb8KG+LcWlxtGpJJS4AmQSbgzH2t/im7CZx5qVgKgERBAI3jnntVj/TFqCwQ2VJuAkRaN45J09d6KysRxERvGzpS1uBJFh+e1LCcgeS8UqAcIgqUiSkT1MCPY09Z/hkBAeQkax8cbq7x7A1Ww+eKbZ/3G1JDqgUkoMQLkyBEnaN6thl4S0CelYvoXp9MVZwawDPIMj9PnVR7GJcJITEmw6VMwk7VToB1Hw3mNkrF7X/P9+1ODeJB7VyjwhiSmW1e4+RpsxniNjDNy6v1DZAuox/jk2qstpMWPdBzxFniMKwp5RFrJE/Eo7D9e018/u5oFqK1klSiSokG5Jkm1t6n8VeI3ca4FKHpHwNi4QDyeqj1PahHkL5S5Ncl7D+D6C0+3yrVaoBPAEn5VJpqh4gMYdwjcpgf93p/OsyTZay1la/Jytbh+J4lX/uJP61yjHlaVhSUgmZ966p4tPl4LDtDbQD9h+prmubZkloX+EkBXsTetc9dGeKs0yovYlKE4hC0tNlWl0IABSVatMmASCr3j2r1OTHDva/OSpuITJjSVHniO/ermMz1C0AIvI6zPSPlVbC4ZBQC66tQcslsERY31LN78Rt1rHLJKbrwWWNRQ+YDxKgtAhKdYQEqPTiCfqaGeIMWghpaCIAIJ2nbafY0rrU2htTbZUm9v6pjaTM70mZy+omZJAJAN4MdK5JzdASS2PKfEoSvWJSoWv8AOUnrPvxQNzxKp7FCCQkqgaVRKjYXoVhcK641q0lKJgng+wp/yfIstbSlSUFbovrKiqDvMbAjrFNShtgbvohw3hFpCQp9KnFKVMlRse+mP8mTRnF4TDBAAQmQLWBKSBaJ571XxmYJCRpNj++aBZvjAXk6SYHxcAxzWKTyTd2USXkHN43FKC1Lw64JvpQQDECSDJAgc7e1O2VENtNgoQUISdKFCbHb1RE7iYvPWgic8SVBtAkTcbz+9qLjLktq0hwlBGqTYAG4EXPa9WeWa2tA+NPTFvA5cp7EPrTLKCokgEkAn4TFtyJ45qHxRgXGtPkJVq/qIN1aROriDa8dqu5rjy1iAcMmAoAKMTN++xEC4qQvqCS8VGElSIN7lNxG/NUhNOSbOcHEEZXgH30AvKJsNMkFRsZ9thvvQwFbDoKYWufUlaR6TBBi+8HemRWMHlNAqQ4kC6kG8jtxHeqWX4APvFbK2wlBhSVE6gDPqsDIkAR345dvb0TTdE2XIeXpWpJ9BkSsmO8fpTRhfHTbCQhS9RvAjqfwoYxmKUrKdaVJumSItMTE9qjznKcOFB1pMKtMSZkxsTa5FZfk2VUfYxZDi0PgJcUlYOwVdI+WwEWiovFmc4TCqQG0pkhQ0tlO9t0zsZNwPypZxmIWELWhMAHSSBMKva0C5tO1QryB1CGsU6Uysn0RcAgEH5x9OhqmO+L5dCSSvRQW8XkkD4VKEo1QDB5IE700eFQWyVa5AO8QYFtjzVjIsqwuI1gohwQbKKZ6mxvcffvS66p9lxbKW1KUhXrJmNH98nexmKDbkkohpXsd3M2bLnmHUom4TItAjgSD7/pQLNWMWS4sMqCFHV6lotzf1GImivh/M04dKNSSWybr5J6mN9/pXvivPWFkaidJG0ciCn/u/Ka6LtfZ7OenpCdk2YOYdTiUKT5izIKvhvGwTed63wWSuPE+Y+hWqSfLm53IuBE+1GcyxDbkJQhPWRe244q94daTKiRt2AE/hTTn6QYqlZ6zkLAlxsHUEghJJ9JANx77Gelb5ZmDqErKwSsRqSBOj5dOZ6Vq9iHQpTqAV8QhJkbi4FFMBhiGT5rRQtZ1FSYCrEaZIufadrHpUFUn9l15C7SELG4Zx1JWt25Vq0CAOvvFSL8V6iNAGkWWkHf67R2ot4mUls6W2klsnU6tdkjeQFDY8wPauZZtl7QeWcOs+ST6ASQra89pn5Vsx4rJcl5D+JxCXFEIiODAt1+V62fYLWk6kqSpOpJE+xBB2INjx3oHlOJSlJCyRA4E8k/nV5WaKehIBDbaChEj+46lH5mrRgkqA2/Aw5JiDrbXM3g/O1DP4ltacQhy/qRE+xP61XyN0pVpVR/+I2F14ZhwD+qD2mq4lSaEm9oQm2pEq26zbn77VuAv+kqjiVVeyzJ1urCUJWtRPpSL247D3NP2H/he4UguPBKjukJ1R85E1OU1ZVR1sep6iO9C/En/AAQAd3ED/wCY/Sh2Q+K0OAId/wBtw8KiFex2+9XvEKh5aD//AKo/GpQ/uQ0uiz/EselhIMen8K5Pn+HkdZ+/Fda/iYoAMqO2mkX/AFNtOklQhOw4PP1mq5snHxZGEWwHgclQyAQpwEoJWODIHw2kRe3NFGMKhSG0BXwGx5AJk++/2ormuap8senUtZ1ElJ9Pt3pNZzVLThHrCZtqTH2Nx86zT5MtEtY7Ll+W8jWgq3ETcduR0IrZvENu4XDIU3AbnVaxXsVd5vUeJHmgeUVSoGFDp7zf2ov4OSNK2FDzFAEJBHvM8WplJuNdCteT3KcBLC3kuQlC9KG1IMK22MiBfcDrUeKaW3qcFtQ0lIt+Bn5zVp7LcSfUkSiSkJAMCJE9YER+tCHWsSvEJw6gCVJ+JJtEd4MyIO9LTb+o2ktstpCVIQAIUG5UrUbqnaOIH1/EEMO9KwUBQJiSqL7xYG0c03ZhlJ8nXh21SmQrSDeLGbXM9J2q54f8OnEYJS9SSVyUxe+3q2O44oQX2pAb+opZKFlaHm2/LZ0kkFWoyRa5G0x39qJYXNVlelxaU31FarJMcRsPb5UHy/ONCPI3cCikpSNUkSDBG470ws5f6DqEqO4PUdqTJJ390dF8egpjce0AHW1NpVsZI9aogQdgDza29UM3ytx3TiGXEzupty41aYsEHSelh3kiagwmStrWGzbWRqtsBeflHtehua4tGCxDzbKvNVqsoiAiQCdviUD7CwnkUYKTfIE8kYrZiXlJCXNfrUqF9BeJIHAA44qvhwlgOK1pWparqTITxYCZN+KnW+MS20CIWgEKcg+uTInqRMDsdoFxeNw5UpDKIJJjbbvVZr9JhWaU5VHRmXYXzngVocLI+JSQYT79B7bfen/JsNhi8llYAK0WCrgRew68/wDigmAxJZQW4F7H5cdPeZpazXNAgnyhpWlU6huDIIji3FSjLm6Xg9DjS7Oo+KIRraaQiFoSFlIuIUISBBEmx4NvalZrJ8WplbinIZRq0J0yVRvv8InjefuZ/hlhnV4IvLeUXFFUa72k7zdUxMzQbxT4xKz5TAOtaEgBP9aiqLjgxsL1ocPZHm/AvZPjVrfaWVKQlCwSZKZAUJSCIkkWgcTTR49z3Sslv4lIhIAsQoKSqfaTHv2rbJ/DqfKV/NNkCCokwoRGxH93PO1IebKJWotqUsAW1klWmbChCK1QXJt7CGUYl54EC3A/88fT6U3ZYyVICHUakAghUGAoWBPB9jSUww4zHRW+4IJ4ItTNlGOLT4ClFSRdQCvit8JH5+1SlGKKp2Fs48QIcCE+Yy24lWlySkEaZvO4APHelVWfoW4AFwgLEkGAR87RTziW8M4oK8lsAnV8CRfqeCe5pfzXw1h3XFLZA1kyUmyT1NtjzsQZO1BTxzdNnU4robMs8QMaEhtQJkTpG1GMzWXWS62QVISSUkxIEn61ztpTaCWmWiHEb8BMgEbi4O9qL4bMXVNeQojWTHpsCPx+VCaS0+mKl5FfGYheNEBRbCbrBctYgQE8n9KgzHwgopSrCpccOxSBN+YULD2NWcGS1iSlxuFJmVKJHUyBYAfWbe9dJx+MS1hisFIhNpIA2+kTVk+LoWXs4ThWSJ9J79qPZehGi4A7UwN+EnFs/wAwpYS44pR0FMCCeoPPtzSirDOJUUwSoWIE8Uz2+wp6LCQA4CDyPpXUcJlaMXhkNuSEkpumJ+UyK5ZhkKC0haVJkiJG967J4XSA011kT9atDp/gSWmgxlOTMYZOllsJ6ncq91G5/CrunvUqk1pprOVPnh99JHp8wpkXUkQZJgjTB3FiOa1w+ZufzDIK1FJUAoarE3gxtWaPSQlYCL79+h2N79qFvK0uoUnYKkHre5J5JrVionks7r/EFoLwrCjto/JNccweFCF+cso0pWPSq+4VBjkBUe1q7PmP+/lTa9yiPwP6iuM55lylgxwea6VJix6GzKHm1uKcdVqXp3B9rx8qWvF2IQ5iEBZhEhJVvIJ/IH8aveHcEGGUeYD5puTN4JsACD/Tx70Rx/h/Crb1halKUQCLQZUJtFvlWNS+22VapHuOz1pEN60KG3oglMDbtambw7i2lYcaQE6gpQVte5k9SRSpmmHbTDaEwiwHpj7CtcsYeTI0hSAQUiRKk8jTtA+VK3zekLXFdjXgvEgUlQTGkbE7n5Un5nmw/m2kJAudZPIgL2PEmZ6gd6Gv5gAtaGQskGQnlI5B/Wh+BaKcSVOhJXFkzce/UDmlhjabt6KNqtHVcBmZgCRpjkiZtXuLzRBQtBSmCZvsTM3Num/5VzjG4h1pModgrSe4idoixt9K6Krw9hg35fmOKURyQT9gB9uT8o/FKL5JjXHyCssxOFS644y0ygkQtQ2lUT/07XqBrDrS8pC1By0hc2sbmPmK2fy3DYdK1BFtyFHtAAJuBN/me0A2ManXqW4YErUJMBPHvfpa1WU3KVdk8kVVrRS8RMPBSnHXEpQBbyyQpUntsY4nY+9L2G9StS5vcx96k8QZqrFPWSQmYQgXP0G6j29qJM5OpISVWSRJgHb5x9p+daWjBl5SWgrPltIEz6Z9pv8Aao/CuRuYp8vqdQhttwSD6lLiPSE7AEGNR54NBs+xpKgkC/T8LUW8LuKY9TiACq9xxx7RvHeo7jFzop/TY9fkd/EWUpWkeQhtpQM3NzbYgd+TQvIvB7JCl4gagpELAP8AVJnv0279arZh4iFzqsN+1a5T4iCW1qVKiTKEE2+fIP2qGPJk5cqN0oLjTJsqDuEfU3BWyf8AgpKrAbEkc+wMT0q3icwawixiEMJDgKgSEWIMkhZmd9twDSaxnAU4p1RVrUuAIMdZB7fYCmhDbmKbWltCnNSfVAncXmbX3jc8TVXPIpK/J3CFFvPPFScR5IZ1A7KEAAzp9MXnkfOgbPhfQqVAlQOoJBnmQDtJiODR7wNkKWMIXFAFZKjKh6kokgJk7CBMCN6rZ5mCkOFy2lQkW7R+4rpyadCpJrRVzFafUCi+m5O0fvik1zDPJcB1ETurf6nk3p2yPO1OBxBURr36xHXe4mhmZ5attAW2FONBVzyiD8PUpjmuhJK0dKLRmZOurQ2lpKiY9SgD+djTj4Pw6cO0HFKKi4JMjb/l6+9BMjzYAQRI7bg9ak8QLLjWht0pPxAgxBHBj9zBpLg16HfLoOY7OsOcSppYCdCBwL6r6bGRAE/93FLOIzDy1rcQlSkA+nSJImwJ5gGP8b0l4XDLS6bOOKUZ0pN1Hn1H6k085A6lSUJLMBRm5Oo3gSTxttbeqZIU+T6FXVIsY/AnFrQ6sONrQACCBEAyBESQe/WjudYvDnD6dMIVCFBJgpmLCKH4hRZHmFepNyoDdI94g1SzXwu643/MJWhIKUk3J5kAkSLC8/hvQhkk5OhXFasYWX0KRoKygJSSCq4AG9JaHQtbi0+pIVAURE8TEzVl3KXnUEnEepIPojcRcEj6SbUBweLLagJgc2owipK32c1QSx/qUzJtrNvkD+VdAwSYYb6k/kTST5wdcb0p6n8Aae0pjQnon9P1NasaqDZPuSJ8Pj3E7KMdDcVfGc9h9aFqSPnUOg96gaKsRcx8AuIJVh3R7KsfqLH5gUr5h4UxhMKbJj+0A/8A1NdmQSP3+/zrVaEntTRyNCuKfZ5/DxRdwTmGcELCYKTwQI/SkfNWtEpI6inHJHjh8aJsl0T8xAV9iD8qHfxMwPkrKwmQoz9d60P7Rsg/qzl+L8QrRKVpJIEA9v1o3kGfthAClIEj1JWQkzMyFGx9qD49tKjKk2qfKfCasQ35hWlCdkiJVa1wCIFrbzUZYYpHSm2hhYxLi30qT5aWtKhdQVEjf0kmeAB13qk1mmJlaWGlrVBBhBsNgewpUzjLDhz6hI/uQfpMxH1qPL8W7I8rEOIJsNKlA3twaWMPQjytdoaMNgsRCitp1sqPqWeTAFxPwjtVBGBhSluA6pidrn8ad8mylnDtNOYgKd1xr1KK4KgDbeQDbveqmceGfJfXiGx/sqjSnUToJiTpI9MmAACY2tMUspUmUjy0KbbDzmoiCEg2O4E732/zTbg8+b8sFKpBFzMyPeqWcZV5iAtQASUkWJH4HnobWoFlGUoQgr1qJQfUCfTckTpHS1TcY5I35KcnGVMaVY5GIw+IEErH/DTuSR8IF7iR/wCQL89zDHqICCCkj454/wCUdhAPvTonNS4uMOkIWhKlCLwAkkmT8h7+9IvkTc7m9UhS8Es746Og/wAPgw55z60J8wqgHeEgCInbvFzbpXniXFQTEaNQmNzFz8oBpVy19zDs6ik6SbGd+Pn0+VVsMw/iFF0AkTv0Ezt9/lQlFuVy6Oi4uNIJYVwYrGectCm2z6WxHwpSIAB2JkknuaZ88wf+0UIIJEwYBn35+lEvDOLK0LafTqSIAsAAABxvM3qPA4EtNlTi5dAJ1JMD79uD1NCeSqaYyhbOa4XCFSVJSNUH1KmQJt2v8hTZknhUqSFF2TFkxaePeOhMGqeaYlLRQrSCqSkym0i6RtYx6rG4iq6M+dbMNgFooAm8klIJPaCSI7DfemyNypxHiq0xtynw80Gi4tWp2f8A2/L8K8b8SvtNqR5rabnTKQFEkWud+nP4UFy7P1kKU2nSkDdUkTtvsSeleqwCXW/91s6zq0r1ekcyeU7xEHna9dHvYJF5WeqUSoiLRAJhUixPW/Haq+KxGJxDfkttyhNy4TEdoiT8qgRkClNBTRCSDMhSpjsDE7HpvRfBZ3/KpThXGHHytO7Q4MySTA+cz2E0uNW20wzdIVcsCydCAZPXn/FF28wcYcLRkri4SCb9OvHIqbw1iwtalJSVeowCLgcT7CmhWE0f75A1RpBjcb/v51ByTyNNa9lbajYpFtbh+IJTPQW54En5zQNOYOqfUw2gr0K3HI4MUw/6ctBWP5hOomQg/FpPMk35445q3kwTgnFKVqOowox06iYJHB9+tWqKeySlJrQGVk77AL6hqMylF0kb7SL24q5gsxUk6nElK+AbQD0/WpszzdTqAtxy2uAgRIFiflbnmmTKMaw7hiVQnT14ni4mg4c+wuXEW84U6CkOQlKzpvcmR02ir+Fx+IZwzmGCApKkK0r1QQZmSDPp9v8ANR5/4STiUh3CvaVIH9IUUqKbTpuQbcb9Kp5f4c8xA8x54mx9Q0mw/tMkQBtPzplBQVwDyb0yxlzykJF5V1gmY/c1WzFlPmGEi4kpjYkb/Peh+f444TEaEKKj8TatpB2JHyuKzCYwuEqWf9w7dD19q7HjrYJSsYfCTBU76h8MD8z+VNzijqUoC208fu9Bcga8touK3NMWESUpAO+59zc/c1qlqCROG5WVw7+9x+tZ5o/Zqy4ylW6R7itP5If3GoF7R4SCKgWjp969Q5bqK1U4DSgB+bpUEBQHqbOtI6xuPmJH0pgzBlOPwEpupKbHtEj7fnQyTztWvhbHfy2JLJ/4a5UjpBPqT/2quOxrRhf6SeRXs5uMsI3EqSr4TsYPPaiGcPeWdIlDief3xTR/ELKVMOea0PSq4tMHmuU5qXNanQskquqSTNJlxub/AHEg0i3m2M9BKvUfbmqeXYicU086iUpMrDSYMAGLTvP1E1mU6npKtAQlQCgTKjPITG1t6bkOpdQWkN6ERJUEgCY+pP1Hek/xqmGUU6ou5gQry3m3VKSFjTBBAji1ptBFaY/NfMeKNWpJMJFwkwCZgn4vfpSzledPYdSsOmFpUdSgQTBiLXG8C1EE4lTLrbhaDoVMA2KZIMgREjb86Th/wfkF8U/KC2sxYx9IilfA4BRSSCkJU5plRsDb86MZqylxpS9ekajbYiJlPWe29UMlQClOkafVcAzpjcA8k+1LBcFbDKpKkHMiylOGWCXFeZpOoqAFjciw+14pSxuBCXlobBKQSU+xmL9pAnrNHPF+dNhxKkLKhphdtiDa/M0Pw3mPK1MNh1SEzo69eRPtRTk5b6ZHPjTh+5RzdCylDaUiIgQLqOxJF4gbm1yrrW/hnMFYNxQWCvclA5JSdJudtW/abG1XfDaA20XHfjJ2O4gkR2iKGKzAofLikFWsEBI5/wAVoU+UmvCBHF8cbHrCeKGVsoJSsPEALTokg9Z2I53na1VU+K24XrZU4oAwNvnfYHtJoBlTzmsqSn1SNrXN4IP06xTSwwkqUtcJUSPSBz9rVmyNQdl4K0KX8ycWtJVCnBb07AG0dzsAegplwvh9biSlCR5gTOmQDIid/f70PzPw+4H/ADWUSFXUEmBOxP5xVr+dXg3EPJ1EhJSUq5mCRYnoO9dalTs5xYJyfJXA8pOIGlCZloq3X3gxYfr0lnXlkakypSLJCSfUdiOL8C+9U8ZjW9KH3H0KW6s6kJPwyOeQREExvHzjwniwtYwLcTLekDaSBf1AAXj6xbemVu7A1W0FcbrbQlASYFza8xzzU+LhGFSQCXFiARvcSR2EDegme+N/PUpKGyWz6RIhX/V0+W/saxrPnEMKS2FFRgGZ9KeSDx0+f0SEOEmGbtIrsZwnBohSSARERO/tW58VeYPUuUjb/wAWqrmWR4rEpSoBB1XsoGw26b/lQrG5e4yUtuMiVfCQE32Hxb9Lf5rvhTjsKmkxifzUPKQsoTqB9ItMQZE7xf71T8QgqbKkkhzVZtImbmfoP3eoFZQ6kJUj1Ktbb0kC/GxqRYcaeHm6SQATpNkydiogAH/FH4pJp9oXmnpG3gdovurYdUAhAJSFJuFHdJ+3070W8RxpKCFeayJOkE+gDn/li/QWpq/0BttQfCCVpTGpKjtvdIsd52NUcp8Spc1Bv1Tyr+38TI2HvRy05IONujXww+hLAcU5p1DV2g/qKJ5di8LiXFhWhUpCZ+W6eh7jpVLMfC2AQkKUypOq6UtqISD2E6RftStnGYfyS02OlYlu28bi1gQTzHBobTSWxbUmKfiBIVinA2tTiEKKEKVuQD+s3ph8K5cpSgVbR9f2aFZflBcUNBgrVcf2zJJ9gKf8hwQZRrUdrJnn9OvzrZBcnoSTpBdhgKWlsD0our5bD6x9DRaOhj3qhlsJT6rKVcz9v31Jq8F/SkyTTkPCDSN/etvlWiR0MVtftQsYX23wdj+/ati51+oqrpkbfOtkuHm/4/oahTXZTRbDnS9V8wY8xPpOlxJ1IVwFDv0Ox7GtkOA7fv5fpW6VdfqP3+lPFtbQrQbybFN47ClhyyriDulQ3Hy/CuUeI/D62HlIWn0g/Wm94qYc/mGj/wCqkbkDZQH9yfuPamrGYZrMmNQjzQJBHIrZF8lZnkuLOKYbBlCi4lAUNtPBH5HpTJnOYYdLCh5iErKZSkrAgxyLEmoMbh1YZRbWIg0kZphy64VRUZQ5PZyZv4PxhXiVLXClWMG3JmPbp33plezBLpKiiydiTuTvF5gWv1pd8O5WleISkiQmVK/D35pzGWoCVqgGdj0/x2qeZrpBh2DkYNI0lBBUqb2A9oPHc1WylDiG3VlI8sKsruYEQLwIF+/aohhDKyDt399h3q26wfKALiiYhKQTY+w3qaaZVRfgEs4cP4pKXnEoRf1HYAbDfnanFzw8xoJZUoTeQozbYgiDzxVD/R3ZbKwAUgFQFhPQj8TR/CZk0pJXOkJ3Soe6dhTT8UxVs5+3jdCQhLSiJhNwBRpnDJf9LqNJMJTHEkSQYF/8VUexTy1JeUEobSpQSOTPPsKvYTG63AHFEhNwBH0/GknJR6Kxi32WcQ4xhnksg3CbIJknm53JvN6zGtrbc1KSkgwoalKBTtwOfpVLxvlzLifPSvQsbneenf8AGrDWeIfS20oFatIuobenqbz+M0rfJckdFcdBvK8wJV6kwkTtJAHub1QzHNWcQtaNYLSROpPJSBYE9Tz7VWyYpSlRacUlYBUoWI6nef3zQLEsobbKkrSVQSb/AD4/d6XHjSGb9ikky4Ui0ncGuj+Eww4FIWE60JBkzKu9zBpMYyZenXHp3Cp+d+lW8lAK0lStMG+8/L3rVNpkktHSHfCzS1qcSrSCApMAQDeRAjsfnQXENuKZGhKYNiZEnbneLAx71sPESGWHEI1KcM7g88ztYGt8neW8hshEJkAFVgTO5nce3ArI3kbOpAbHeInWkttAafLSEk3lUD5QCLxRnJWRjk6XELASCUu7aZsdM2V15Fr7VZ8c4MF9p1baQrTpWUT2IvEgDvXmX4wwShegcCJ7dInvVZzUWGriW8hVBfw+IKVrZUAiLSISUrPeCJ70RzDFYbEIXhnGtZiNaQkFJv8ACTeR29qBZhq8lx9sjWUgKEb6TvO+qPwFB8mxiTdKwrYmZBM7j60JzcdxFhBS7OhZM+0ykIZlIH9KiTze5m9U/FzuGSy68hCW3W9tAAJUSDBAjUTPPUmqiHYSpQAMn1A8xSTm+JQlwtKWCdzeSLxB6i3H2rsf2QZLiHsBmzjrJU4UlAvpMTeBbp1od4h0PIbQFEqCpSBO2xJG02H1peax62ytCQkpV6QT/SDN/vTJ4ayFZWDOomPV+f6U8MUlI5zi0EPC+TKStRVYJkdu5+37mmZCfMWAPgR+wPc7ntHWvFwkBpuO56xuf+kfcwOaus4cJEJP1vPU+9aJtQXFdk4R5PkyRR6iR2rxsj+kkVsP3z/mo1N+x+/3H51mNBZbdPMEdRVgOChk9/371Mlw0yYGgYURtWhHUVlZXAI3Ex3/AB+teJxH72P+aysoNBRKl0G1VsJilYRzWifKmSB/R3H/ACHkce23tZTY5tME4qhqzTLGcyZ1JgOgfWuTZtky2FlCxB2BIrKytskZSg1hktA7km5g3I5v3FSsZsAFNJ1XUT6okzfi3yFZWVFwUtMKdbNmADrMgj4TB2VY/hUbOGcdJCFWT/VFgeBXtZWdxUZUVU3xscmMzJCS6hCkrTbTue8+/HG1KWe4TyVBR25H4V5WVCSrI1/NlIPSZJgcY04otuK0gIJkXv03O/YUtN44NOk30Emw3jgxWVlaYwjtBbZmZZuhxMAGVG8/23+hmPvU2WpiCLxv/msrKM4pKkLCTbCSczwiEQsueYokKCfhKeBa/Y0KGSre1upgAkkIBMDmOsAc1lZSzfBaGW+y7h8xfZhD4hIGkSBEe/X3oe875rxW0kBPTrH4fKsrKMOuQk/Rdy/HhJIKAo7GDz89xTx4Hx3pWF/0K0hJ4Bg2PtHytWVlTz6i2joKwxnaVFtSm2i6reBf7flXOcPmboHwEkmTWVlJwXCwpuy5iMUttsOapknUiLRHHX6Uuv50ou6ykD2EfWsrKpiipLYLaD+CzgAJKibG9xBFCM1bDmJW8ATrUTAEDbr0rKyqY4qPQJ77GPJ/DpfCSRpTNkC/33j92px1pbHksDUs2UR+E9Op4H0OVlXvjj5LsklcqCeEwegXPqO5i3sOgHT3O5qUtxx9KysrK/ZpPEq61uQDsf37/rWVlBHGiu4/fuK0hP7H6V5WUGFH/9k=</t>
  </si>
  <si>
    <t xml:space="preserve">Perumal koil vadai 
</t>
  </si>
  <si>
    <t>பெருமாள் கோயில் வடை</t>
  </si>
  <si>
    <t xml:space="preserve">
Black urad dhal - 210 gm ,
Black peppercorn - 15 gm ,
Cumin seeds - 8 gm ,
Salt ,
Oil To fry .</t>
  </si>
  <si>
    <t>கருப்பு உளுத்தம் பருப்பு - 210 கிராம் ,
கருப்பு மிளகு - 15 கிராம் ,
சீரகம் விதைகள் - 8 கிராம் ,
உப்பு ,
வறுக்க எண்ணெய் .</t>
  </si>
  <si>
    <t xml:space="preserve">Soak whole black urad dhal for 6 - 8 hours in water and grind coarsely without water. 
Grind black peppercorn, cumin seeds, salt to a coarser texture and add to batter. 
Flatten the thick batter in banana leaf or in parchment paper. 
Transfer it to hand and drop it in the frying pan with medium hot oil. 
Let it become golden brown in colour and crisp in texture. 
Ready to serve. </t>
  </si>
  <si>
    <t>முழு கருப்பு உளுத்தம் பருப்பையும் 6 - 8 மணி நேரம் தண்ணீரில் ஊறவைத்து தண்ணீர் இல்லாமல் கரடுமுரடாக அரைக்கவும்.
கருப்பு மிளகு, சீரகம், உப்பு ஆகியவற்றை கரடுமுரடான நிலைக்கு அரைத்து மாவுடன் சேர்க்கவும்.
கெட்டியான மாவை வாழை இலை அல்லது காகிதத்தோலில் தட்டையாக்குங்கள்.
அதை கையில் மாற்றி, மிதமான சூடான எண்ணெயுடன் வாணலியில் போடவும்.
அது தங்க பழுப்பு நிறமாகவும், மொறுமொறுப்பான அமைப்பாகவும் மாறட்டும்.
பரிமாறத் தயார்.</t>
  </si>
  <si>
    <t>data:image/jpeg;base64,/9j/4AAQSkZJRgABAQAAAQABAAD/2wCEAAkGBxITEhUTExMWFhUXFxgZGBgXGBoYGxgXGBcXGBcZFRgaHSggGh0lHhgYITIhJSktLi4vFx8zODMtNygtLi4BCgoKDg0OGxAQGy0mICUtLS0uMCsvLS8vLS0tLS8tLS0tLS8tLSsvLS0tLSsvLS0tLS0vLS0tLS0tLS0tLS0tLf/AABEIAOEA4QMBIgACEQEDEQH/xAAcAAABBQEBAQAAAAAAAAAAAAADAAIEBQYBBwj/xABHEAACAQMDAQYDBQUFBQYHAAABAhEAAyEEEjFBBQYTIlFhMnGBB0KRobEUI1LB0TNikuHwFRaC0vFDU2OTorIXRFRyc4PC/8QAGgEAAgMBAQAAAAAAAAAAAAAAAgMAAQQFBv/EADQRAAICAQMCBAMHAwUBAAAAAAABAhEDEiExBEETUWGRIoHwBRQyQnGh4bHB0SNSkrLxFf/aAAwDAQACEQMRAD8ApO5OptWtSPGYKNmCTAn/AKVF7/d49Pd1H7oqVQRuX7x6/QVj9bYbmSRUHwfasy6WCz+Om7qvQ0xz6fwot7nbpA8tRW7Yvni4y/Ix+lRk0x9KlWtJ61t8WXmXk6vLPZvYBtd/iZm+ZJ/WtP3T1JQPbZyAVJQHjd6e1V1m2BUjRtaVpuqzDoFMZ/EVSbTtPcQpNO0VHaGquOx3EgTxVx2T3buugKWnZzn0Ee5OKurnhNY8fT2U3Aw4YbmHv71Wt3s1YEC5tH90AVnzyyyXwc+pHPU7kXfZ3cS6YN64tsdcyR/Ko/bdjR20IsX2e4rQfMfrxis7c19y4Zd2b5sT+VcArJHBlctU5/JbIpyVUkTx2zqIjxXj0Jn9ak3u1LngrF47y2QMEDOcfT8aqK7WlQiuELL5e3UfTNZv297j4LmJHz960v2S9saewbq3WCs0QTgEAcT9TXngrVaDutOma8z7X5AOFCj1NBmxeJDTwROtzV/aP3Yu6lk1GmYOhwVnAn7w/nWI7x917+j2lxuRh8Y4B9D6UfsDvff0wCqZSfhOR7x6V6TZ769n37W28ywRlXH5Zrnas+CSjVx9PrYb8LXqeS9h9uXdK5uWo3ERnNXNrt7ta/8A2b3DP8KAD8SI/Ott2Zoeyl3mxdteYzDEHafQSZA9qr+3+89vTrFu6jv0W3ED5nMVMuVznUcdvzf+CRSrdlLb7b1ukJ/a2NxiPIp2x+IFA/25pdUY1dgITjxE6fz/AFrOdodp3r7brr7o49vlTE+VO8KktSSfpsEqfBptP3YKNu0muTaehMGPQwf5CvQbPaaALbd1DwOvPyrxhl9RIodxR0FK6npMPUpaluvIKLlF8mo+0vvFq7dzwIVUKyrKZJU4z6GsBa12oA2+NcgiI3k4+pqXqbcmTJPqTP60HwgK14MGHFDTCOwMm3yyEEqwsLimLbFHRa0imO20ttdpVYJyKVdpVCDSKF4QrR6HuzcfVLpi0bp2vEggCZFA7e7t6nSH96h2yYcZU/Xp9aHxYqWm9y9y47v91dNesrdbUEH764EH0yKmr3AS9nTalSPRoOfmKwTV6b3B7stpx+2Xm2jYTs4gcy1c7qJZMNz8T9FS9v5GRp7UYvvB3d1GjaLyQDw4yp+vQ+xqlY1sO2vtF1F9nRVtmzMKHUkkepz1qts9sae4Qt/SqF6ta8rD3A6/jXQwTyONzVMBuuCn7P1r2W3IY9QeCPQitX2bpNJq436a6jnl7QJQ/hgfh9au+7Wi7NS2zB0vDfuXeBvGBggj+VWmq75W1m1prF27d4CpbYAfMxxWTN1M5TeOEHfmFpVarHafuj2ZZTc9okD+OT+poN3XdiKNvh2fwWqnUd1u2O0G3XgtpOis0Af8Ikk/Orfs77Hx/wBtqSfa2oH5tNVDoMkleST9wXlXYxfb2q7PYN4SQ0+XZPHv0qu09pGtkLp7jM/lRzwG/T/pXs2i+zHs63k22c+ruT+QxWgtaTSWVVAtpFX4RjHyrbDp3jjSfu2wXLVwjxez2LZ0dvxL6m9fYeSzbBbb7mP1/Cqa9Y7Q1PNi/t6KLbgfpmvfb/beitNtNy2G9Bk/gKX+8enjBJ+Sn+lNUY+YSw5Wr0v2Z4Jb7p648aW7/hj9aKO5/aH/ANLc/Af1r3PV96bFtA5DFTiQJg+h9KBpe+Vm58Fu6R6hMD5mp8F1YxdNna1KLo8Rbuprxzpbv+GajXe72rX4tNeH/wCtv6V9FN21aHqQOYEx8xzTh2vahT0YwDGDV6EK0ZPI+an0dxfituvzUj9RXLbD1r6L/wB49ESQbiggwQwIyPmKTWuz7/IsP9FNKljjLhjHDLDmL9mfPQNNr3nVdw+zrnFlV90JX9DVHrvsnsH+yvXE9mhh+gP50l9NJcEWVHjd9c1GdK9E7U+y3WpJtm3dHsdp/A4/Osd2n2FqrBi7YuJ7lZH+ISPzq1CS5I5plWEroWp+n7IvvkWzHqcfrUq33c1BPCj5tReLBctCXOPmU8V2rXtHsK5ZTeSpHWDxVVRxkpK0RST4FNKuTSqyzd9gabVWkC37Nw2uVdT+8tH1EZj2/wClX+n7Z1tlil60NZpjjcqxcC/3kOG+lYQfaBrQeUI91/zqbpvtF1cj93b9JzXNlHPN/HBP9GMpLhmo7x9yNLqLLXtF5LoG7w/hnrGw/Cagd9u1NTc01nSWrbl3RfFYKQAOqzwJP5VI1mqY3Cd8N16ZjpUjTdualOquPcA/pWd5E9Le9dmIWddzz253eu2185QHACg7mM+gHNazuv8AZ494brtt1UjBc7P/AE/F+MVqtF3wVI36ZZ9Vx+RFWF/v7b2+S2xb0YgD8RNdTDnxuNyfyK8RSdJkbsb7LtFZIa7uvMM+Ywo/4Rz9ZrVDUaaz5FKKQMKsTA9AM1gtV3tuXRtuIwX/AMNyv6GaZ2bbtBt9qw7XOjOxMT1MmtEc0Zfgo34+jTjcpezTXve3sbRe9FtxNsFhu2ycQ3SeuTiomr7bulbeQhublMZKngEE+9ZJ7i2FKF5u3bikhfNsG4GYHWrPtvtWxadWJ3sB5bYxBI5c9Oanibbs1fc4KSUIt3dfJe3L59DL67tfUuxD3nMEjDEDBjgVa9la1bFm3cZd4e426cny/DBPuBXNBFwNcuae2lkAksQZPsp5JqJpSL1m5aTlGNxF6leCPc1lVp3f6HZlonHRppJq6qt/08tn6E3sKyLjtdYSWZiJ/ED+X0qw7J7QuFXZhLLcgoMBF+Q5z1qu7tWmdwx4QQAPb/OpqWrdq6WJZ7zsfKhgAkzGOabC0k0Z+oUXOUXu6VeldvRVyx99g3jnbFoo0g/xY2/WZo2i7SsnwtPa35UeZcBWjM9TQNX2tubwn0xJH3T/ANY+tT7Suiztt6dfWBNGnbtP9hE1UEprftuvKk+7YHTap/3ocy1mSG9QOVPzqy1FkAW1+FA3iEnhRO6s1ru0ljwrIaCQXcjLZ6Cru7s1Cw119ixiApY+8jNSORO1YvPDQ1OXwr+K4/W6RSubDXW8O2152YmSdq5P6V3tTQG4R4NkeUEMywAW9BPMVPZ7Kp4aobanBZG83zM0A3l8MWyJ2CEdSQccGOAaQ5QpptfIKX2hixtSUuPN386Tr5fMobequ2zAd0I6AkflWl7A7f1QJ8RyV2mC4+909yKhXdRuYttAYxJjJih3LlI8Zwfwsw9Z9tYssdMcavzf9jTjvewXKKW9QSB+dUfaveC7eG1oC/wgY/rVW9yo7tSpdTkkqbODPLKbHXHoRNdIpAe1ZqFCvWw6FGGCIrz/AFumNt2Q9D+XSvQ7Yn0FVnbnYLagqbZG/jOAZ961dLl0y0vuaMM0nRiK5Wk/3D7Q/wC4P+Jf60q6elmuzLKlWvd7sm9qLyJZQuQylo4VQcljwOtTu5/dO9r7kL5bSn95cIwvsvq3t05Pv7To9FptBZ8O0oVep+87epPJNFGF8lSl2Rg9dpG3MY6moW0j1FWOvkO0Hqf1qK2ofg5+deaVpmLYEL54OfnXVCHkEfKiG6h+Jfwrtm2hODz60yPPBYwKvRvyrqXCOG/OKa1hhxB+RoTT6VF6MDdBxdI9Pyrj3pMnmoxobPFWrL1y8ydd1ZIAYyBwCeKYmp2mVwR1FVt2/wC9SNNoHe0bgYGDG2QD880xJ82OxeLN6Yt+5P0vaN0Ei2xE8xHWuWrrrdDwdynJEEgetVmssXLciSCfKCI5JA45x70e8BJDEyQPhOcCDMcU5J7bnTxYpQXxSd993RZP2jd3eIDO0QGkTgzRL/bV5ss5YDnggVTq7gNiVJEEgDbx8R603Q3F3jdB+6W4mekVbUmuX7lzxRnzfuWq9oP0j8qf+2ufvVCuMBhRvEEAxBkfy96jWLLotwGC0mM5AjiKV4XqZZdFJ8SLUXDOTUy02KodPcchWjkxA9RzVrpNQDiYNHjjTpmGeDJDlBic1xnmm3hBriAkUtuthI00IpRiRXGYUnUQEBThbJ6VwvXTcJ60aZB/gRkkU+0wU9aEoroFA3TtBF9/vA3+jSqj2mlWn77l8w9TPQQun0Gl2ou21bXgCSfUnqSeSa8k7zay7qtTauh5teIuxZgCHAPP3vnWm1naZ1moVkursX4UkggA+YlImSMcxmsybBs3TNyz4ZubxbJY7TukQyrAPHqK6mWetUuD0fT9OsKt/i/p/JdanUjcfIOaAxU/dP0NWmt01sgMCcice+artgHJrzdHndLuiJc2+pHzptgwR1E9KdrbeJUg1C0inLtIXlcgboPmxz8q0Y02Mx4pTlQTUXImlprpJ+LMcSI+tN3ISWDtcDGMgwIHSP513TB5C20B9d0HqRIH9fStKxLua8XSxi7e4ruqLK0IfLMwvMDPXpTLdwlGMENEeaF569c8VKFl4AQ7JMOxmAMiDt6T1NR9bonGIGWAbbGcjgE4FHFR4Rr8OuxHTeDDoLjGIMjPAiKmNpm2SmxRHVtx3ETJUcAfyqHd0rrvKIRsO5QCpgnJleT9KF2b2gTuHmVjydsD5Z+ZMVNN7oOMUnwXGnbau5nFzcPbmNu/3+ppXyzKpVwQI3dOPQ+tQkHhwILL5QfLgsxgxHy49+aldsXHKKlggHpwp29TtJxVfmslUqIza1mJIJAIEzBg8ALHr6mrAabaouFQ5CnbiSs/DIj8+lZtrbkBUZAfvggxungHofethctqNx8+5gVGSCGBMwODiefSpPYkSmS4GIKkBm+IKeMGSPXj25mmt+8QyrzOfY8THBkH1p4t5cQwYlQYI3SCZj5zz8qdptcLY2LM72wcxAOSBicDgcmpXkSwNq5uaVYhFIBGJI9uvNPc3NpIckLBPlAnnAzB9Kj68XN/iLsAuRjEiBkcn0z7ijNftEkggMRO3iTiDHrB9qJoGyxTXLcWVBRgJIPmEfyNcstcImOfT5wcVB1rbWf9353IghgBwDPrETUjTqqmQXJXliZAwOfUT0pcoJip4IZPxIMbvrzXQ9U2sa9LPskdCvGP9cVI0GtLDOKRkxOJy8+B43twWSmnFh8qCrTTwKpGcOhFPBrlu360YQKGQSGba7T95pUIQA6dlXw0FrThjB8+529vVvlWc1vYtsX7lm7cJeBsIjJnMzyfbrmrnsy0NO7bdQpY/Gq2iwHyaQR9IqD3g0mkeX8Zkf0IJBPON3Fdpq1f9z17k4tpN0+6T59b3/dmn7P0zCwiHJVQCR7CKrdXpn9Knd2tQG0qbWLQCpJJMspIJk85oOv1JHUVxskan7/1PL5klkkn5sorgdjsAyeh9Bkyasbr2wm4AeYFY2kwVz5PSarEu77oQwA3J9hnp6xH1qw7Pt+a6Fb4SQkDyiYMSVEcjOTWrHFVZu6RLQ2jumNu3cC+XAz1mZOT6+1P8RwdyrC5mAPhMHyZwBIPXB9qdYuF7aE7CRuE9MYKmBA4mo+rub7izkAgQDtJO04A4z6UzmRq7bAjqQGChiEuys7TkcZ56k5qXpXIkJaLAQJLQd0cQcn0kcVWi5euAkbRBgFiFgg7sDjpk/rUTR3H8Qz+8UbuoxMndu495kcUbggVJo0PZ9sW2cDzTmJwrclS3IAIIz0qk1H7y2yNuUbzuYATAJgKT+UTirB9UGtu1syArRtkFwBndLcDExJzUPs/VMqlmXdCkgqxXaW8ueMZOfbihj5suxdm6fw4ljsGVYsWYNMrPsR64ofaWoJ81sON247wcETkH2J4I9KLcsbrJG5hLSXJLCRG0mMx1n0pWNNaKPa8YK8DexEgicc4OQce9E3FytkTdGb1WpNk+JBa05AVjxugYJPTnj0q9udrvqNt0kFlneQN0LkLCrkyY6TzUXtjRlrQ3IWttPX4NrABhxAhm61lfAuaV0LtILRgkFckZ/D6xRxipL1I3T9De27aly3hspaAJG0yZJOciec1X3G2G20jayvtU5wuRleDkZI9aborzOJZ/LcDFdrcbXCic4iZyR7TUjYy7bbbHAMndlgSAWAKjIOP86Uvhe4TV8E66w2zet2XUIpQbiY9mIEdSfoarbthDkYXysFmTwCQTE/nUrSII8MkMScbuJCz5CDOc9B1oV3TkIP3m1WO4wZYTMHIPTkGKFSrgtwRJu6kFoQhRtDNLBiRkEqSM+kUPUXGZQxxuEcw27kT6iMRURWMQoGwrI8o3YicAGOeTT9boyBbkjdnahVlnb0+ufxokkmC/QMUuEkQylQCCTgrxxnPNRl0bF/Kpk7iGABB9sVZ2jEQyq4UmZJztUx6g5EDrFMtW7kbWUIQGacDBzOOsziarVsVKCezHdnXZWD8Q5qdbzVDrGdQlzpCyRjn2/pVxp74IBFZ5wp7HG6jD4U67E5RXSRQBcrpeluIkLuHtSoG6lQ0WFTSvbd2QFfFBBgDcrfxWt2G9YwQOlQNdo9SFDXLyOssSHtknaqliQCAxOIgHqKq27N1ceHtcKfulwEkcfe2z6Dmidg6O9+22VuBwdxndJ8oBLAE4I6fWuypW6pnrckVGLepPb07G50PZiWLaoAFG3cR7tk4k/rVR2qqZya1HaduSvyrN9o2uhx+Fc7q41ka9Ty025St9zLWdH++DboUZyDmcZ9s+tWX7SV3sCNhVVO7iIKqZiZxxJrrX9lprLCFJZsZ3AACDA9l9etA1D23tgtbdrcgSZiPUbRGOI9qclR2MeNY46UC1mjfaTcIWYAIIhiBJA8MmRE5PqKfotWUlfD8o+EZIC4wARAYD1pt7VMSYjw0RfIQQxJJGRkMIGaLKbQH8MDGdhAJJJO0Y8vORnijk240y1zsR7w3FHBYIylWRkAJXI5IzmDPvUW3b8FwyKGW4wAWYyM8TkDHJ5PNT3tMX3qSGAJEyCAMSp5AOeffihXtSm1g1vxLgi3bKyDxgEjB6RPqTUUuxb8xa+7uXw2AG0gAJmJ5UmSZ9lx+VRtPsG+2YW4JCl9xgHkAHgkgn1xQdRrWcKdqhgCVBO7aQSDuI4/nR96+VRm4ACS/RoloaeM+0datJ1TBdBrOqePDQICVzgwRJggDho6n34plm1ZQhyxDt8O7CYkt8+PTOaCTtyz5kmGzJYRxHGIHPE1OsvaUrZncoG+AVlSAMgkiGEzzzyKm1NFAlJuXXhoXiFwhY4BEmYzx+XFZzvZp1LMMt5CxJ8pD8kAHA4wBk5+un02oUK/hwGDBhIhwVYzlYAJB5JI/Oq7tWyHQM5AHmyX2llcmSWJmCWOMcdBRRdSsvlUUn2b68I95ZAZlUgnjapO7GM+Yda1F69AuAklSsqUbceBtBJyAB1jqKwfdDRLcvtLQFUkAmJBIXMc8jHuK3CahCNjoAV5Kk5k7TEdIAk9JHpU6iK1ag8Leijv7Mbqm5cIChBxcPp0xwPSOJ+VQTbOwKSu1iGiCxkAmGVYgQeZFG09q2Lqm3viDIY4AzEH7o4weZGIqVbs22uMwBG2QSRy2SDxjHv8AKl3p/T+hbVkOyqhfi34IAWDmRjpA9PlR9Lcl0UjcIbjGVJnaMnMdeD86ZcXcA/7sIOWTcG80AKxztM5z6ij27g2KUeBBBDL5WPXYQMcR8z70T3QKCNZZX2yFBMqw29IbzHAnPHGaDe15ycgebIzJnpjqZwfSnahYJVlLQgwxkqjRhSCOGPHUCo93WKCUiApCiATnqS3AMfr7mhjG9wm6Q1NWLqODIhZUgHbHUHrP9akdjXfLFKzp7ZHlLMCMQwEjBJCyJ5GD8qiaHVMXYm3tBYwRgDPlEeuD16UM1addjD1mJyipGjtNRTmq+zcqfaNZpHLSO7fnXaNv9qVDsHsQHusEdn1FtmEFCoIY+q3F2gEEfXp1q17pXy7oxEAq2PRgFmPVSGkekRwRAdQLrWgwc7yCRtNsr6efxTjjhT9OlA7rpqBrEa8wYbHUQ6GJAbCqeu3oK7MXUkekzpSxS47/AFwjX9qlsR6GsV21qSMlSfx/UVre9bEacleZHHpXnVzWv6muf1kH47a9DzrdOy1tv4q7EKMxUC56oxXywMwGAn6E1H1iXNu3fCEFACN0NgNsMY5Oc/0i9la8C5DxtziSu4nHI4Pv+YqadVbciDEyNwXcoKuMl56gZxmOaJbuzs48iyQtDXvPcDWy6yACp2sSYggOTI+SiPnT9PfDKxYrIWGG1TtLYE44x+vrUj9jTdtRuZ8qR0zJiTPOOk1DV/FvHa26WKiF4kZEtkAZ/wBConfYZpoJbW4VBVSWMAKAcCc4BkAgdfQ4qC9xCZtjKgkgY3HlhmZMj6xRtTo1zbOQR8e8ldpaQAQAP7s+1OsWUFraVCgwoJYEAbRgbSYnPr60cdPIMrOi2Ftq4mXEknzRuAYTxiTIJGc1zRb7ZfaNwgiRtBQiBEAE5yZESB0odq6boIG4YDbiDCjELn72P9CiteVBbBgkgEpJgsAY3EZkknj1+dRrsV6gv2MEeJcZWYCImFJJHkVSRkT8I9Z5ye6ns8KjNtJLgruYgAtBUyQccGJg4NC/aWa4ilVMkMiqGJVtw+IITAPEtnmjtrR4rSirk7ZExc3QYjnGACRj60W7BqiIb2wFojyFFOACDySRA6x6YPzrMd7dZba2uy6CSY8NdxgKCsljAjrAn4z6Vf8AejVFLHhXAjCAcJCz6RuO1pB6kRnk15ytrc0T7Sf8qdhgn8RU3WwbsnUtbuBlMHrPBXqDHSvTdLrrXhod5UkgAiQSGjcDBHo1Y/sjsiPOYIIKw0AT78kev0q/t2yAMg4LruBJUCABu4I+Ij1npGazOMmFh1RJ7IJG0CH+E4HmHmEj3BAyR09aCmo8jBhBYAzJAK/dA6MJ9c0/su5+5JXbcIO6Qnvt4nEkHBHpRO3zcZLbotvYQu4KcSNu1SWxn06R7VnqpaR741DPGHh7j5d0qdqEliJMGcEccSB7RTLAy8pc4nyQVU5EleMgRxNKybbR5zgkZ4LON2+3/Cc7cCDHWn6qAFCMTc+FtoKAAjcSehEgjHX04q+9AUM1b29iuJOdrKT5gDEGBIInr6gU39mVAFcBjiVMgMCx2lmn+EjI9Io72wVD22G+QVcnAOZWAfkJ4x0zQ2Z2grAcSNo2iYBJJPX5dZ+dRS2oqgRtqtvBypx90oYJxOSDOSRTG0p2hoPxMJyIIPmNuZOeTPofWg7nZmBZRtI+IkyAJMY4gE/hUu5r1dhuuOJM+IY2CJnav8RyB6zRO0RU+QVq+VIEgz7/AOs1odDc4zWeuWZkxBXcSCYaBEMVzIgz6/hVj2TeJxiQaz5Yp7o5nVYNDtcF94g9/wAa5UfPr+lKs+lmWwGl01gWw878kKLgYLK7dxhQxgbh0XkZNE0LXRcW7GmhHGFDBvfZtBMxODn260AuizvBQOZK7d6EnBNoqwj6NHHoBUrUbLnnIUWmlbjEBAwkkkCeV5EEktBjmupFnq8itO+/1t/H/mx7UteJZYA8iQfzFeY6sOD5hPzGf61r+4HbHjWDaYzcs+UzyUPwH+X/AA+9D1miaT6ScHj86T11XHIu6PNZsbxzcH2MPcVTyCPlTtHeNqQrQrciI/1/OrvWaH+4D8v8qptTpl9GH50iEwITcXaKvXdoXmvhphSwBIIB2SMfwrMCY9K2FvZv+NSBgEoG4ClmJGOBxuMQTishqNLPUfWRUe3buKCqkhWwY82OuK0OpI3Yuq3+I2+ktBySIKssPtJILxtEgD0YmD6g4io2qsqiNcLwoILiSxB+EkqxJJiMgdCSao9Nf1Qa+FaFiWY4PwKy4ZxgyBj14NQNPZ1ZLKUbMtvbdyYDwzDJIPp1NXod8my4ml0mtBRTbZQu1QZG7EttmT5fX/U0l1gti4Wc7Tuk7hnE7QGyMx5gZG761krelvvCjEEMChLGRMExJbr16e1TP9haq4DcZ46xhfKI80/MA89PrRvHHe2Dr8kW3Z/bqOJWArFlBO1QAoLArncBA6xn8ag9q9uWgbfhEXLiEnySAZaQrGY6nIngTxl/Zndq0qkNbO4kQDyR6kNEc/1qxtdmW7aXICbhBUhuFChgSDgHGeRBqVBO0VbqjI6m3qNTcL3FMTP91NxwM4HpJrRabu4tpZMliMECQCORGN0SKvwwtMxuDybREgjaxECGVfi9oPJqPrLpvbSzKU4B+NpkkEBcCfQ+3JoHkk6SVIvSubsjG4WAURtVfNCgFs8r1BInBJ6czTe0LhtqDaR1tkDd4mREmEBO4CJEGIz+Buy7SB99203hIZJUEiRwQDIwflNSwVYg7GCXDu2woMYjcfQx9306VHs+CJldodcLQds+HtO/llUkggZHMdZPSu6e1MKXu+G7bz5ZUwQ6oyEyOUPXpwDVgbJ837SAioPhUQpBGW3hZ+8TM8D0ms92hqP2a0GJ8RVfbgblgGUhuCo4g+qkTFUkpPbn6/oMUqW/BNWw5LKonLMABG0HgjHPMH3NM1OgbzuSRGcEKWUnkjklpjkiaOLtq6pdHXliVVwMOFULJxiAZ9jjmu6rYrI6sCiqFiRg+G4M+vlOfpmonKy3FUM7PUi20ZneAkqSwgncoAaAI49+mKrlI8jKROZEcOJzn1Hp6+lWd7QmbZTd1gsYlyoBK9BJU5+XWZBAQjeoYkbmBAE8KFGSBJnPsatefmC1+wzbbIlid2YypDYECZGMESOD8jRRpFULvHlCrOdwHDCGHrg45MnFRXIL2wHIAJ+GSG5YifpGOP0Lu3ghV2lPNGTnkRkxPUZ4FW0yKgGotIj4O/cTB/iQbY4GG496d2Te/ekZHoD09jTdSluWuFTtIAKNHBUbts4BESMZINH7t6OfMT9TQza07mTrWlCvM0MGlRdg9aVZKRydyZ3w7FfS3DctSLNw5A4Vj91lOCPSflVKbVxk2g2VNxNzY2kW1Y+c4242k480dK9Z0Os03aOlF20RctXBDKeVPVXH3WBj8iOhrzTvd3bezC5KrPhueCpJbw3PCsCTBOGk8RFdTLi0vUuD03SdVrShP8S7+f1/JmOz+0U0t9bts3XIkNAVQ6nkbZJjgiSMgV6Q91L6JeQyjiZ4iOhHQ9I9Qa8+7PtHKFdgjLHLKZClmVhHIICxPIEkzUzur2neQG1cR/O4OU2KBHKkKBumJ3HI4yIKZx14nH5r9RH2hg13Jcr9y87RRQYkzE8dJI/karrlhjwQw9P8jVt2gq7uvAGPaT/OobWh0P5f0muSmcQo9XpF+8hU/hVM1lVcSZWRMyMTnj2rYvbboZ/16VA1OiRvit/UYNPx5aLi9waFLToq7uSwUts3iVAO2IVYiQx4GJqxtXbjliNz25gFd3k2/EdsSwz0U+9U6vcS5aQOCnwQ69GI5YEcZjH3jV8NCm+5eXUC5cJU7h5SwVduViOC0t/MU9yjydrHNZI3Eg6VEtsyINhUmWJHDY3dPvcD24rvanZ+VCLbaTClmGxjBHUTM8QMRz0qfqrakQSjmSCD5R8JYSY8sEevzp2iJuJI8OQZAQLEyC5B+7BJH/DHvRLJ+YjjWwMJD/vM+VizhAc4wqgZAj1mai2bwXcwQEdf3e5tgX70j1wFgT+h71ppSDuWCQu0SqtzER5uM8QPeg3dM1uz/ZhJLNNxi8gnJgMTnjmRiPe1RW6Gam6Etyu93LQeSWnBeJAAG6B+nFB0OhuqDCobSwJVB4hyclgRIzBJ4kR1Jdp7bKbYIa4cM0AAR8MwVMzjgAzOcVJ1GpIb/tNsEMUJAJLCYUNIyODmeKvjZdy/UheCHZ1QAhT4kM0mYkHqJBAgkY6nFSbN9AHG1ipEFw3lXAkLys4Ix/On6yysAwys+AF8pWRAHiSCRECAYx9ai6aza06bB5N4BaXK8qRIGIgCJjBj0NU2mi0nYDtfvBatHwpYoSPLhpUmNoYwAMzwCIIMTWA7a1jOz2rbDwQ8hVkKTyIB4AkgDjHXFaHt91uIyIgLIRMR7TuJPmM8MMnIg81RNpgCSwWBskyCQSDgx8jiK04oRjuLyTb2Ku1bvWnBWVb2+o/rRrGqugRMwQQWkwSQZz0xVno9IrEbw2wnO0GeJHlnjI9s1O0XZXiXEtBklsAseAVmdpODiY9+Rmmua7itJcdk9uC9Z2viB5lB+8GlNpPC/DxGTTr8XHUkgtABIwQFwIJEzGDiqr/YQZj4bEAyC0qFEMJYbSZAkYMEGMUrPY11RcZnfp5zgmSSCcFoODSNMVumP8RvlErtBySbssSpO0EEbS0hzAx1H41W2+3AGWJbyheMATM+u4YqXrbL20FsszMwDAmI2knpEgyKXZvYZYjECh1QS3EZup0PYDptK99wYJnk/j/Wtv2fogigCidn6JUAAFTZFZMmbU6OZkyvI7YLwvnXaJvFKgsA857md7NR2fe8S15kaBctH4bgH/tYdGHHuJFfQfYnbGl7S05uWTuU4uW2w9tvRx0PoRgxINfLc1O7F7Yv6W6t7T3DbuL1HBHVXHDKfQ/qAa750GrPZu8fd29Z3m0ZtlVg/eUr4nlcx8PnUiMeQg/EZ81BCufEuOjKwI9JBzu9OB6DGSMV633I+0jTa/bZvbbGqONp+C4f/CY9T/Ac+m6Jpd8u4du8rNbWHjABCjnoYMY6GRxxSJ4b3j7GvH1VbZPf/JV6ixMNIAIx+vSody2P4vyP9Kl6XR3BbVSrDaoU7gARtEZyR0nk81EvX7IYKb1oMcBfEWSfSAZrz0otSa8jkNO2Ca37g/iP1FMKsP8ALNBPaelmP2rTz6eKv9aOjI3w3LbfJ1P86Kn3X7E0vyA3bSt8Sg/MR+lVnanZpdVCXbibVKgAgjaSCRkbug61dbW45+Wf0odweo/lRxm4u0HGcocOjPaa/csW1S4guFWkXFA3EFtzF1aAWHzO6M+8O73zCXk+NkUlibgcHcVI2hQc8kz7D0mtLdtg/wCeardZ2SjgyAa0Qzx/Oh8esmuQOl7bsNsc3EUqSj7RJIztCBSYU4G7B/lZdtdr2E33Bd3K2BtnkqJO1gQeBicYrKanu+nQVAu9h1oXhyadjl1ifY2Y7cRbaO11S2WZQQSx+AL5RAAU9DEg1UajvOVV1QLlSvwQQd3KRyYnn1rOJ2QyNuXBH+ulHcXSxJAySYUxE8xij0QsYupjRMbvFcu7d6qxhtpI3N5oIUgQCSQDJxk4zUNbL3XYHLK4zJOMkqEOMZmf4T60G0GV/wCz2qWyQSW24xz6ialW72MsVb+LadskDJAEyJImI/WmbdiLIpbWJdE5CkKzCSJC4Ij1HJ8w9Yx7Ue3ol2As3sIUxgnaST6wckev1kd2daWUb2NsBgrR5cMxKkRlox0PNWh8HcpDmQSCZWJwYYACZIwecc8zUpO6DSTSaB6PRlLYNu4pbcAdpyN2Sp6cBYkiQPrTntadXKj7hYiZZjJHmypOODGc8miXO0bQC+GpfeAoCA7kVVKiY9NxjMSPwNrGvMzG1ZVQ3Jut6EEMIliTkZj+q1OvxMDJOEeWiTbRU2NKyQAckBi5PwBYO4dZPvVNeu3nu3FS4TuddxgnyqEwT6Ejj+6PnUy32Q7/ANtcxuD7bcqAQu0ZOeMVbabToghAAPakTzJP4dzLl6tVUCLZ7KWdzks3vED2AGAKtLKAcAU1WoquelZZNswu5O2FzTWNNzXdtCWkdlff8P8AOlXdnv8AnSoi6PGzSn/WKLcSgke1eiN52f8AWK9B7nfatqtKBa1IOpsDA3H96g/uufjHs2f7w4rzz6VyahD6Z0Wq7O7WtHwXV8eZD5LiT/EvxD58GOTWE7f+yi/bfxNLdVwJPh3VCmCCCAyLDAgxkDnmvJLF9kYOjMjqZV0Yqyn+6wgivRu7H2x6qzCatRqbf8QhLoHzA2v9QD70LhF8oFRp2jJdpd17gcqbbW7g5tnzYzkEZA92AHuarL3d66h8yEfMY/GvonQdvdkdrILYa27H/sbwC3Af7oOSfdCfnVH2z9kqSW0l1rR/heWX5Bx5h9d1KljkvwsbFY5ctx+Vr/J4enZbDIA+n9asdPq9VbMi9d/xsw/wsSPyra3e6vaOnJFyx4qYJYMrgR1DHzR6gjPSCARFuLYnzjaeDC3Bn2UKR+LdOKRJTfKXzCl0mX8jUl6MrtJ3lucXbYb3XyN+EQfyq10+utXPhbJ+6w2n6Dg/Qmup2TacAqHYnkhGRQPUlxAH1MetQ/2K2bnhhjvzI2kgRznk/MA1kyYX/tozS6XLv8LLFhPIn59P5iot2yPl+f8Ar86LftX0UbAGyMODEcGGxH4n5UZrSkea5aD9V8RT+BwevpQLp8tWl9foZ5YprsV/gCkNL6VKOmPQT8vN+YpJaP8A1/1NA5NbMXuR10dGTs6al2gfb8/61MtfOgc2DbKr/YymQVmnDsKzibamI5APHHNXISo97VW0+J1HzYD9TU8SXYtN9gdnRqohQAPYRUn9lx0/GoH+2bMwLqE4wp3HPGFBNCuduL5tlq/cKgkwhUCCAZNzb1YCACc0Sx5JcJjI4sk+IssxaAroC/OqP/aGqOTYWyPW6w3dfuc9D06USzob97m/OY8lskTBO0F3QFoHABo49NkfOxpj9n9Q1bjSLa5qFXmB8yBUa52vbHLiPy/GoGl7nNqmm1d1DqeP3YVQYzNxTAEz6mK1vdz7KBbO68bczII3XHETlXaNv4HpTodFfcdL7PWNf6k0n5b37UZV+8liRDzu42gtOYxFaHQ9g6y+JW1dRejXNtsH5AFm/ECt5Z7L7P7Pti4wtWgggXLhVYnJCkwFk9FAk1h+9X21ae2Cmhtm8/HiOClse4XDv/6R71rx9FijyrESww/LfzD/AO4mq/7wf4z/AMlKvO//AIs9qfx2v/K/zrlP8DB/tQPgmfP1oFxPnRqRFGmOIZArh/1mjvboLLRFjfrXDSNcqEOOnyrUdgfaJ2npIVL5uIP+zvfvV+hJ3gewYCsxTSPlUIe09kfbhbMDV6Rl9WssHHzKttI+hNanTd6exNfjxrJY4i8PCf5KXCk/8Jr5sIphWoVVO0fUl3uZp2L3bTOjusB1bdB27VZN0wQOIOJMVUXe4LhXUXFh23NAa3J9SATn8uYAJJr580Hal+x/YX7tr/8AHcZPyUitPoPtS7Wtf/M+IPS7bRvzADfnQuMXyhqzZY8SPSNd3L1AhFQlRPnTwgeuCWMkZiAv4DFV1zu3fV2JsXGTbADr4nnjLEBQCDLYmBuPMRVTovtx1i/2umsXPdS9v9S1XGk+3a0f7XQuv/2XVf8A9yrQvFFjY9ZlXKTILaNBO+zbRgx83gbYx1JCk5nK4yMjNCtwpuMHNxCQNoId1kMVggyueTsI4Hoa0tj7buzj8VnUr/wIf0uVLX7X+yG5a6PnZY/pNU8KfcP775w+vYwS3YI8S41tADjf+8Y7cAKSSssPvYAnJPJG1xYWktXWZyWByVJ3FdinzRuB35nqM4ref/FbsX/vG/8AIuf8tcP2s9jDi4/0sv8A8tL+6rz/AGGf/Qx8+Ev2r/r/AHMXpuxHuruvKzDcRADXOIyxyAM8wfhI5qfb7pJk29JckEgLHIEAOWAAYnJhSNu3MyJ0F37Z+y148dvla/5iKr7/ANuejHwabUN8/DX/APs0S6eK7gv7RyX8Ma+vkPHdfUNtVLDqgxNzYxiCCIuXYUeyj73zi70vc29EFwgnMNLfQ7dq8nCjI5NYzU/bu+fD0Kj0L3p/EC2P1qi1v20dpvOwWLQ6bULEfV2IP4USwwQqXW5pKtl9fM9a0HcC1bYsbrkHoAsxM5YgmfUiJqzv2+z9Gs3TYtDPmuFQSWADGWySQAPpXzhru+/amoMPrL0E8I3hjPqLe2R86z90FmJJLNPxEkk+hk5ooxjHZIXPJmyfFJtn0T2x9sXZlnFovqGGItJC/wCN4Ee6zXn/AG99tOvuyunS3plPUfvLn+JhtH+H615oK6KISookdo9o3tQ/iX7r3X/iuMWI9hPA9hUan7D6V0pUDcWgcUqJtpVASz3VzdXaX1/OgKFv+dMYU6u596KyEZlphqWRTGt1ZZGmmmjMlMK1ZAcUtvtT4rhqEGFPam7Pai1zbVEAlfaubfaj7aaVqFgdtc20fZ86RWoQBtrm2j7fauFR6VCAdtd20aBXY+dQgHbTktyQByTA+ZokD3ro9qhCRY0TgkE7WEYI5EgyPUYp6aN93l83G6BgAfxUxtW7Dazbh6NB+oPIp37ZciA0AdBAH5UhwyPy+vr+Ry6hrEoxjUl3t1/xG3LDCBAJ9v7pj094rotkydsYnj0+Xzrv7Sx6jr09TJ/OnJePr0jjpVqEq3FrqM1cobsbPkPX/X5UNhzjmpT3yZjgnj6z/Oh3WJ5NXCL7ov7xll+Ii7KVF2/KlTbFkilSpUBTGGuGlSqyI7TjSpVZBpphpUqssG1dFKlVkOPTKVKqIIVw0qVWQ4K6aVKqINoq0qVRloc1DNcpVERipUqVWUdFOpUqhBy06u0qhQ4U1qVKqZEDpUqVUQ//2Q==</t>
  </si>
  <si>
    <t xml:space="preserve">Puli Sadam 
</t>
  </si>
  <si>
    <t xml:space="preserve">
புளி சாதம்</t>
  </si>
  <si>
    <t>Rice - 500g ,
Tamarind - 100g,
Red chilli - 25gm ,
Peanut - 25gm,
Mustard seeds - 10gm,
Urad dal - 10gm,
Cumin - 10gm,
Peppercorn - 10gm,
Coriander seeds - 10gm,
Fenugreek seeds - 10gm,
Chana dal - 10gm,
Oil - 15gm,
Salt  As req.</t>
  </si>
  <si>
    <t>அரிசி - 500 கிராம்,
புளி - 100 கிராம்,
சிவப்பு மிளகாய் - 25 கிராம்,
வேர்க்கடலை - 25 கிராம்,
கடுகு விதைகள் - 10 கிராம்,
உளுந்து - 10 கிராம்,
சீரகம் - 10 கிராம்,
மிளகு - 10 கிராம்,
கொத்தமல்லி விதைகள் - 10 கிராம்,
வெந்தயம் - 10 கிராம்,
கடலைப்பருப்பு - 10 கிராம்,
எண்ணெய் - 15 கிராம்,
தேவைக்கேற்ப உப்பு</t>
  </si>
  <si>
    <t xml:space="preserve">Dry roast cumin seeds, peppercorns, coriander seeds and fenugreek seeds. Powder the dry roasted ingredients. 
Boil the rice separately. 
In a pan, add oil and add mustard seeds, red chilli, chana dal, urad dal and peanuts. 
Add salt and thick tamarind water to the pan. 
Add the powdered ingredients. 
Add the cooked rice to the mixture. </t>
  </si>
  <si>
    <t>சீரகம், மிளகு, கொத்தமல்லி விதைகள் மற்றும் வெந்தயத்தை உலர வறுக்கவும். உலர்ந்த வறுத்த பொருட்களை பொடி செய்யவும்.
அரிசியை தனித்தனியாக வேகவைக்கவும்.
ஒரு கடாயில், எண்ணெய் சேர்த்து கடுகு, சிவப்பு மிளகாய், கடலைப்பருப்பு, உளுத்தம்பருப்பு மற்றும் வேர்க்கடலை சேர்க்கவும்.
வாணலியில் உப்பு மற்றும் கெட்டியான புளி தண்ணீர் சேர்க்கவும்.
பொடி செய்த பொருட்களை சேர்க்கவும்.
சமைத்த அரிசியை கலவையில் சேர்க்கவும்.</t>
  </si>
  <si>
    <t>data:image/jpeg;base64,/9j/4AAQSkZJRgABAQAAAQABAAD/2wCEAAkGBxMTEhUUEhQWFhUWGB8aGBgYGB4eGBseGx4eGh4fGx0aHSgiHSAlIB4dITEhJSkrLi4uHh8zODMtNygtLisBCgoKDg0OGxAQGy0lICUtLTU1LS0tLS0wLS0tLS0vLy0tLS0tLS0tLS0tLS0tLS0tLS0tLS0tLS0tLS0tLS0tLf/AABEIALcBFAMBIgACEQEDEQH/xAAbAAADAAMBAQAAAAAAAAAAAAAEBQYAAgMBB//EADsQAAEDAgUCBAQFBAEEAgMAAAECAxEAIQQFEjFBUWEGEyJxgZGhsRQywdHwI0JS4fEVM2KSFnIHJLL/xAAZAQADAQEBAAAAAAAAAAAAAAABAgMEAAX/xAApEQACAgICAgIBBQADAQAAAAAAAQIRAyESMRNBIlFhBDJxgZGhseEj/9oADAMBAAIRAxEAPwBBj8Uh1SghJkEAKHJJiJpj5f4NMqcUFL41SPbb60GsJDoBIJn0cAK7/vXXxB4exDimlBYKVwNrInnvXgQjBVH0ek2zbD52Vam031CZv711x+AbGH1qRqc/tgbX6UW3kKGHQEJ1BSbgmTIsYnrvQruP0uBv1CNybWn60s0lK4dHRdnHMR5LSSQmD6hHBI570jXn5lIVGkm4p94kzvCpZLdlKi19R954qMysjQoSC4RKLC1x1HSTAvYd604cSkrFc6WyideUELCPyWJAgX78n2oRnGrKZSDO01pmGNKCNaRqFlxsY2UOoI5pilfmIBBSE6bfwUnja/ch/Iq0AZM6pSln+8GR7d4phnGOViGAgN6nAobHaLk/Kp5CS07+cBJme/8AuvpHhPL2/L8wH0rM7yTx8PauyLjK0Kpask8jWp5AShsqKbKgi0zwTFKXRiWXFN6FCTq0gSVe0TNfRsYrC4ZPlsNpClSTp/NO5Kjz8aUYJClLltwrMAHVEIHaO5v1pPIlJ0rQzbkrYJmr3msgqVogTMdRcEVmVZi62lBiEEaRq5iqTOcAVaEqSPUIOozPPwkUkzx9WH0NeUhaAJA4A7WqaSa4+wqRyzfHBxvUk6YJBI4P7GjckZQw35ziiSsTBPpSOw2+NRuHx4U8ErOhtR2HJnYVQYthc/0m/MQNjtHzp3BxVMDknpBv/WEqlKFRe19+flSrMMUnVodbPquDuD7GjGg8BdpA9zP6ClecY4qDYSJU2qTe0bRPe3ypYY/noLloAZxA84hIESIkWBF4qmQs7Otgj+6BYz25qMzR8lQUhBnm3NWOVvvYhABLaSEixmQYk72kDirZYaTFi7FeZ+GQ5LmDE2ktifoDt7GnjWDUyw2mNLoTChIjbtzTnKn9LRQpQ18xHsbjeofxFj3RiilgrUlAEqIkE7kfaprnkXH/ALO/ax3gcreUCFqkpEgnYH9aQPLUlYSsSSYHSaaZfmiilsFlanFq0rkqSEDrbeRf4U6VjmmjoKOJB0TaY3i3xpHcXtDKT9ADOBW0j1agFJlV7T+lA5diy7jEI1BIVzp4AJ+Z6mmv45x2C2kKb9x9QeKVY3BLacDgBOn1ejZIBuCKMd9gsf47GJQlxDkKBHp02PyjemGXqQlpudlJGoG+4nmgsoW3iELOoBcEE8j/ABPtvQL7q0wkiSDBE9BFTVpbDV6D0ZUwFKdCvUVf3GQOIAG1bfix5iW3EBXIgWmhMmwzaXEpck6rwTbtWucAsL9KiUKB0kn8p6fCg1ydhVdBOPZXrDiwAhBM/wCqEzBaVLC2UyoJ2FBNZ3rASoApT6VXsaQYbN063EpEHUdKgeO4NWx4nK/wLJ1Q3wviBwrBKikBVwO1fS8nzsPIBkz3r5ZismWs62yBquZPJ6U4ynK3WYUVAEc6v0qnLjuIsoqSPp6xevKSYPO5Te8WnrWVpX6nH9mV4pfR8/zTwkXFKLD8WBCSL+9qKyL8UFJZeVOm+oHeNgaVZYziFOKTqWnRAkDVb5i8VV45ZEFCrgQTpt9KySvjxZq96OGcq1uAJVBTseLcHkTUhjc/K3wpaItBI2rzxJqSlTiZ1CL7Eza/7UHlmYNpKfNE8gxMd4NUx4b39iuVKg1zImVNOreK0LCraYkbcH3qdxqghxKUGPJAEjcrTckH/wC1geIp25nyC4FLVCLknTckSUghItcAHjek2QqR5ul1suhYiy9KhHqKkm8mARfrWzBGaXyIZWvRyxCfUQsECxgmTHAmB9qrcleQ4yCIBFgI6cdqj8wxKiUzHpGlIAAIANgogDUY5Ik19IyZxssNqQlKVFACjaf5apfq9RTGwv0RWd4xtR0lBSoHYjmjMmz0taUidMyRJvR+e5e0Hy48pMBA0idze/2qYxDfmPITslSwPhNLFRyRoe3FlW0tzFrKmltMwD+dYSDweKHZxDmEc9agpJNym/PPtXfxEhprR+GBANtAudrRyaocLkTTqdT5UtagCZ9IkjoP1rPyjXWi96OmIzNDzZIc/In88yZ/Wk+KxAeCdSz5YsV+3T3NDZ74RdwzSnWXtTf9yTZSZsOfVe1LMrxHmohSgkDce1DxJfJOwKS6HeBewSNRaQFOJFlEzE2ETse9aPZo/AB9A4+95pa9mjTKpbQFSOD8K2ybEPurLqm9SNhcQDybmTTcG9v/AJBaQQhDjwUtSzovxExv8OK5eHcl8106vS0JJHJ6e001RjwEHSAlU31/pNaYbNJUSdKUgQY7zMUObpqKO4t7ZniJpISPJZnTJJA4T1NTzWYrChwZ2j71d4x4FKW2zvGnrO5ntSlLzeJ1IeQAsHTrAvPY/pSwnS2OnQCcy9RUnc7gbd45pdhFP4YlTgJQvZYvB334Nc88QvDL0LuFD0K4IH7WmrXJEuDCBbwGkj8u8g9uOtUdRVtaYs2nVHXI8YhQSoxCUjpcnk/KmOBxiVpWtIkExPYWn51ODJmVKlKi2DugzYX2E13dxqMKgtqWCNMovcnoR1rNS5adgfQLj8eGUhDISAok/M/y1DMPai4NY1FPMxe0wK28N4ZL7aw+klZH/rJn08ztephjK3kuktuAvDVpbJ9S0pBUbddInT8q1Y8XLV7QkpcRpkWHWwkibpmSDZST3pjjcan0aVGSLfpM81N4bPEmQ4NM2JG1aYpz069Utz6Rsqi8MnK5DKarRd4DDawCs+oCR78zTfM8MhbYSsBaFCJO6T+/eoDLs0UoBJd8sAE8wYAIBJ5n9aqMJi0PANqMhwR7Hr71DLhljewp2IMBlLaQtLiySDCQnZXcniuP/RGlH0o0kXkKg/U3qsXljLbbqSdXlkws2IIvuNx96lEYtK1Qkj42n5mgpzbbj6LxUH2d80wC4GhxSSIIG1dkt4qb+pMCSOPeismdT61mNSRafrXjeaOhC3BBKgSkcwOsV3JtVRNwpumNmWWkiFq9XNzWUpwWdqWgKU2ST/imRWUrVegbOeDzBaFmAUJVZKuT796btZ0lJ8uTBvPc8fOkOVBWJguzoOyU21E7X4Fa5nlK2FQpxOmZCd47TvTygvsCabFPivBQVKGq52n0ien+6mMViVLIMXgCwgbRxVriMK8+EDSoNEm5FjFpnpQebeHnEai2AoHe44962YcqgkpdkZxt6BMZlyFhDQsdMBXeJE9v3pZi0Q2ykJSCnXqUN1EqmD/9eN96Kw2GfTcpUEwQnt/qvcFhXHVqRp1WmTbjjgG1utWhPiqbJyjYC46VEKShKCBuCoknr6iYPtFfQclQlrBoSUnVMq63Mm29RzaGytLYQQqb6vlJv7n5VXuMlnSUKsm4JO5+vX71D9W+SSHwxpk14ie8x1CVCEoNiRcjv8qIbDIY1wS7q36Cdo6RVkMV54CX2QVcFSRHwJperwmgqLhXoA2SJV8bwIFSWRcVHqhmqeyc8P4pZxKQpelvYkmB2APU/vX0ZLC5AS4koF4I3+N9rVBZt4dWHE+WtK0yNR2UJtcci/FP/wAO5hsMlS3wViDog7SBYzU8yhKmikbH2NSXRoUEkAgwoSD27V81wmXvKU6PLCNK1CFGOdh1HeqxPiNS0xpAUbE3Ivba0micW4sohJQeSYum1zF5j3FLik8aaBKNkIpryjBT6+4prleZBLJGkeZKiJO3SONuKa4vJEOIsteoQBMb83qax7DmHISpA0zOrkg9etWjKOVa7Ori9nDEeZ+dZnVf4nrW2GWvUekXHWt2ccmW7W1AyffY1V5hk6nG/OToB1X07FJAEmeZvI4mmbrTQ3IUeHX0lxIJIKRNz+/au+GxY8xwCDK1R3vv/ukWIR5SlCNRm2knjpQqMwc1Wb0nkXmPpFd4eSbQjyb2W/hV9vE6zjNOphfoQYmIspXW3S0inWIzptawlsyE8j8s8V8wXiHQFEIOpRNz8vtTrws6rydCbuKUZ6/yLUmbF8bR0GrLRDqHDrcghNgIuY+sTNIc98N4ZYU42spUq8cDsAdqEz15TPlhIUP8iTcxQWYZ7rWgJ9iffepRhkTuI3xq2e4DMQ3fVcDSY62v2pXn2LQl1Lraz5iFhfxkHfmnWPyJDbaVlwpBPrHYkQB3H60vzRthKwhkCCACTdd9/etWLipckJN3GihYTl/mKacZaUsqJCimCpK4Wk2UYOlQF71yzjwxhVoAZKkETEqKhx/lf61Ls5kcO7K2z+QNJVBEhFpE9bTHQU0y/Mw+fSg9Tfb397/KlywyRlyi3QsOLVPsDwmVveYpnX6LBRiyhA2npaqvAhvDRJSokgJChckkCJ/nNKswzJIIbSIWrbTdQ+W9a4LAOJfQpadhO836WJqeSUp05aKxSSoqM6ZToUNRHmJJPb2qFyzKSsyCoK4gTPyp9nGIstS9gClN+Yj43rh4fWpFwJjqaWMnCDoZIWv4Vxl1QdBTIkTsr5d7V3xaShIUdKbGw5HeqdkYfFn/APYCtSPSDqIF7xYxSbMsmxDqi422GmZIQFH1R1A3APA3plNPb/sFtaOuX+LgltKQmwH82rK2wPhYpQNf5jewrKm1jv2AVDEHD4VBCvUQAkDfUdopqjFpSwkPDW8d1Kur2AFgKCdeZS6p11l1YR6tYSpTSCb3i0/aluZ478W8kYbUoR+VKSBPUz9zV+Dl6/NiJr2x1krq3wppB09SbaY6/Cnq2G22y0f6rirSRF+NI496R+GMM4Ao4gkAKA0m5MbSOlMM7wyG3EvtuGwhaSeCbaentWeaXKkyhPKwuIU+WkGyTKiuwQOZ/Yb8VR5hkSW0J0qIFipw7Hvp3+FdEYdL6w4FBJSncXknafjeuv8A8hSn+m6jWTsQAoHpvenlO3xQqT7QDgMhwa0FKFL1EyVgjVO4uenTvXUNNplSyS2JGnkhIvP2ikqsXD6pSW0m9x9PjW+OaLqi55sQLIndX2vf40r5Xtj8UVeW5ihTdmgmJhJ3AHMe1Isbm6Co6DA3vt7JFIs2WtlIBcUpSvzTsOwpIl/vTxwt7bOio2W+DxGHUAIfDu4I0FJgEm3pIHxNCKV5kalEp6EmLXF/nSXL3zqF9INiexsfpNG41xtCyG1FSTBBO9wJ+tdOH0WSj0U+XJCEymwPS/zoTPcw8kIiNJtCdhyTHvRigNLam1Rr3TNzaZHw3FH5PhkFayNKlC3qEpE8IH3NZ7V/Ij1tEWznCvIVBhUkjp1NE5ix5mFTN1QSSTcwJt0+NOc98MMFK4V5aySqExBBImAe1ENZa23pSpJWzpgAmZPUkRuOBVFOC3H7OeyHyXItbK3FzCdpMC1ybb1WZNnTSG1NOEwUkCxNo2t8q6ZthW2sG8GgUQlR0kknSRuZ5qf8FZYp3Q64ToEx/wCW4+XequfJObfTE10zu1lYDJUnhPpn5ipx3FKWZEahv/vpVlnqvKX6iG2zcAHfTG4g7z9qhm8QG8X5kShS5KYmR7fWq4FabYk2MmME8v1WSmNzt8OtUHhbA/hytxxQUTZJvYbn4zA+Fd3koUi0G9kja/QfKiRgFoRqWsJtISqLC0THO3Ss2TLKcaSKRio9nB7NUKK0OJmVGArm/epzMWkMrQWrkmyOZNgAeZ2rtnectOJCXEgqSR/VAJCenxjj70tyd7CgziVrPmFIQ82SHMOpKp1aYudvhtcW2YMLrfRCc6eux1mCmmi05jVDEByfSys6EBPMiNRSoaSNrxuLpG8cAfNcw7Om4SrQpOsxIOnXoFjYoAPvBgfxY8VYkg4n8ToAT52mNUD/AOxk8EyZitMrwDzyC2g+knUE/wCSgDAE7c9q1/GC/BJRcgbMM2ccSlKo0pmALCTYkxubb963yXAPuBX4dXrNtI3I3oR9hzWGik650hHMm8D3ma+p+FsjbwDZWuVPrA1R/bP9qf35qWfMoQsbHBt0QeHweJVKmELWpB9RAlQje257jin2GzcBOtStRjaOdqumfLSklCAlRvCfTJ3uR33NfN8Pjkl1S3UhC9SisAW1E3jtNYuflXXRoWjo7mKpAcSewF5rfCrddWPQpKfalis0BcUpQtx1o/C+JEpOkAnp0NGWOSWojKSKpGIDY0p9E3UYueLd6YqxqHEpCValHYTY1OYLE6klS5mfTyEz0P61RtaFtpQR603BH5uxkDY7Gsz+mFqgfEN4qRZsW6n9q9r15vEoOlI1AclQn7V5RoWwB7EMOAsoMA/mm6SBvIP2onL0stD+iAlH+QAE1BZpmhCiAAlMEW6GnisM8MKlSVgyANIsUiOvaq+JqP8AIXTZQOhta0rUFBlNyqYSpUmxIv370lzg4ZaHAhYQATCvYbHqKWM5niC0rDp0FJsSbR7Hb715kvhJa1guyGoJI1XVH6V0caj8m6ObfRLDGOCyVEHqDTnB4J4KDiNSii5kzNr1WvZBhEgr8rSpsSmXFXPGqOLcfWgMuQEqCSSFf3R+UjtIiO9Wl+pjJfBCrHL2MsblvntJ89KmyQCCSLdjv8j0rjhEJQnyy35gA/Np1W9wLUyOYocCWWhqKjpUFn0gQTM9fhRuGwbjKQhMLT7wb353vWeUnxClT2fO89CAoaVEp5J3F/almJaG6FBQq68Q5elwetpQUB/ibDselSmUNttKWpxvWkxoNrbyb/CtWKa4/lCSbsAy9tThAmATE1dYHw0gIClu6lHYbfK9JMK+2olWjSFbT24ot1txCUupMtpI1iZIHUE8doqeWUpOlorHrYMrGLbcnQdA2O29r0ZgMc4l0utyY/OBtHt1ojO8MXWUBMBSwCTpGw2Hvf71nhPClCFIcBk3B3kdRB+lRlxcOXv6CpNOhucYziNKlKGngg7fzatMGMQ4vSNKcOD6Qu6iBt3FDpydBWQn0qmbWkdLfGm6H2h6FCDHUz/O9Sior/05v6Bs8kqIBCipITGyYB5rmMWjDJ/qwgpACQAOmyQPlFc83wTQnStbS7ROxvyD+lcMdhVrS2h4JIKhMEz7zb+GjxT76B6B8VhzigX3EqCJhKZ3AMff9K5Lydotq8spQqI1XtPU9O01QnFMMeghABFp2nmhsWthJ1htE78EfL9YrvK0wqNomsvwzrbgABUofkA2vzPSuvifGeWIWrW4dgD6U8TGxj9qdteIZF4CQTcCwPa3t9KhPE+ZecsrCfQPSDFjHXiTvWnBeSe0TytxD/BWPLby0paU8hxolaUHVpgzqWgjSsJvKTb1b8Ukxi0an4CUyTpSgy2CFD8iuU2MdiKMXnqktS2hCHFp8tbqZ1FOmCkXhEg30AWpRhWir1EelMTXpvSMsVbG2RZJ+IvBABvVdgsMgPhCbaUwAkepRv8ApXXw3hHICgkJbIBT19644nChjEB1KlKJCioHg2v8uK83Lkc27NMEloX5th3G8R5jQ/qkFP8AUABgf4i0GOaIwWcqAAdlSo5VP/PvTBTinkPOgwqPTBEjTtc9ZikvhZzzcS4VgFSRHXc39qm/nDfoovixvl2OLiwADexv9fhW7+lh7UpsLC7bc8GDvXHMWEsrUWoCk3APPX7GuODz5pZCXrmbEj8t/nUowa6WhpNPYVneDZSUuOttpSqI9Pq2uBAqcw+XNFwlCFaOJBj94qgz7AKW35iCVhKTCeR3/nShPC7qVGVkiDp08iwI9p2qik4wtNiLs7NvNoICAVJI23E9iaNU75bReG9pE8TBB/nFeYp9lt7SYhavR7iAfa5oPxExMBCjoJuAeRz/AKpFG2m+guXo9ezxCzqC1iRtv9aygmMgcKQUtqI66TWUzjjGQ3zHwPh1thSFqSrebEHqAOPrS3DZa4GdWpS2RbTqhY0kg2jt716HncOny1zfgmfkRS1nxMpEpVISDIkWVVF5JKuydJDxeXYZaQWfSTc+onuJmetMjgXE6AHfQYTO8TbY8f6rTLM7w2JSPMSNW07K+e9dMyUtASlmXA4SE8lMcHbsfhUZRd7HUr0a5plKEKGgknVqJUreB7cdBSjGMPqsjRpURqAJkj3i1+1c85bxrQLylI0iBBNxeNiI+ppJ/wBVdJB1JFxJEiJMfCN5q0MTe1QnKtWVuVYNTRUp1CCTZJEK0/Egb+1dHcYlSzqJSBxMX6xU47nrtgPX6gADvvvMdKd4jCqU0FvFIE/lBM/E1KWN9yGUtncYjEOJCGyFIuCswPh3pC5l6GyUgAhJ3Kj8r8UzczUAaWoiLEbD96Q5gZH5io7n+Cmxp9AbQBmjiZAb3J2G1XrHh1SGWgpZUJSXkGIiZUAQONr9DXzPWSY/xHpFfU2MW4rDjzPSTpnqNtx+k1T9TcIqhYfJhWIdbW24656vLmIkW369Kl84zlRcbeZbPlJGkkiJ55uPc0/y9oaQlxOsbkAkDeIIG9qIx72DDKgEJSACDCVSODxNZYSj72Uap6J85kkhLzcJCQdYNuZPx3rZeLQ+6l1oeYtKSCEi4E7zUyxihqWgiUCb7ahxbvVX4WytxDKXcOlszMgGFmDEm0cbTVpYlFHWcsxadfJIROgSb3PwIikWIzhS4UVaQk7D9eZr6G0SCFKgEiFja/W9fN80y0/iX/SdGrUDx6vV+tNhjGS2I5tOil8MutuBTjiCtQMArAKAP/EdetukVmZoQHRyTJNuKR4LzysIwxKU2nTcdyZ6U8y3JFXedWSofHVx8Pb2pZRS2G6JbNcWUeknS2oWjf8A8oHehHMvQ/P4ZSCrcMlZBjogrJ1nmCoHsaceKsApCSSgFIAtIt/O1SuDaUCFJaJAvIB/Y1u/TtcLRHIuTPGkFSQ2LXK1EjYD0j9fmKpMK2y2EJ1A6/iPc+/3rZvCJeaKmkhJNiQJmOCOlJMZh1Nny3UwJmR07UJT8uuvwdGHAuxmhWghtQAFh06WrzMUpIQUKH9MEq79qVZRiWkLShB/tntc8V1dwIcxJUDCBBUOCen2rC48Wy6KLDujy1KIgOCY5gdu9K0Kw6H0rbASo+lcCBbaR1/1RLuLEL2hIEybHmB09/ao/NvEK3fyNwEqvz6RI6WHMmjixzlYsmkMPFuNUlwKRykAzsN71Mqf5SSOtMcXmKVoJJIMR3pZh8MtxXpEzsa3Yo8Y7Jt29FB4a8ROIOhUKT33inaS2klwKgqMm/8AOLVLteHndQSlSZmFEyAni9uKs8vyLDNIT5q0uFNwSAPcxNx0msubx3aZRcl2gJOJbWUpSExP5jvNdsvxyFBTRGhSDG3+JvRWMzFp7/tpCgk7ixt060jzNLaVB1rUJkLBJJ1b7m8GNjUuKehlst2cwWlKUpQSAN6yjsEQ4hKkwQR2rKCi67JOr6IDGYwqstNlAwTcgxtUY3jIMkax3O37mqbF4/8ApFW5PHNTuER/cBsdq2YI8YuwTZzxDzi1pDSVJJNgN7f6r6N4McWpgBalFyZM2IAI6bTHNSOVY1PmA83tVq1mLLLaUoIU67EJH5lKMDbjgUmd8ko0GF9gXjsl1DTbJhRlRE2OnYXEzJ+lRDmC/pyoeq5mbSP5tVqMO+FlTjSwqbemfgCLd6BzHDFaoiAuDEbEwDb40MOXiuLDOPtE1leKSCCbK4M7U0zxx1bRNyFgemJtzFE5t4Zbw60KSuUkiQrcTAtAuD32pnhsTDqVJIASnTbkkfb9hRllg6nE5RlVAXgTwkXEpecciZhpSTA3SCZN53iKes5IGQ8ShKVKmI2jj2/3ReBzUOuqQrUCm88K9jz3rfNMWpxRZAVoAkr6AjYdfeoZMzlJ3oMYVolsR4fRh1pWXApUEpSR/fbaNxc29qJeZW4hKfNjYkcdq44VpbilLWrUEShHzBJPfYT70JjHSpdidI2In47UJNyl30VgqQ8Xi/JR6ZLgMDmZ3+5oLFYxGkLcIAWqADO83+3wpK/m51JSkHSDuN/f4UwxOXjEMhRUdSZAJvvHHWisSVchXL6F+aYGVJKZ9VhHBPXtVX4XUcMzAUpRKipQtAO2ke8VGHDYlLehF4IgkXT2E7+xorK33Uu+WrYmFA2+JquWLcKTFi77RbrzNt4E2WRcQRPUDt8RUZmONcWVAAi9+vyqmx/h5iQpolK1X/OYHW3fek3/AEotat1OTMnY/D9anBxhuw0pDjwowGMPK48x0nuQOB9yf9UXj8UiS2TAT0MGTv8AH96XZ1mKGmUaSC4AABMkfsKSoUXllYPrJMjjrSNOdyYYpIf58rydK3YIMBEXMxee/ek6cctwEtiEnee9D50HFiHDdFkji/NG5JggpDalOEdht8aoo1BC6vYlw2VutuKDSgk8hRN9+BW7rThcSH0WPO6Tbr/DTbNvKb8xxF1hNiSZJTsN+f1rDjZbBdgg+kxeLc/vTeSTVg4pBeT4ZCVQ3pUiJI6UrcxSUrUkKKdS4E/23i56CmWTK8tZ9QKFbe9qT+I0o85ZEEmDA3JI+9LCNvYzdMdYrKQxpWrSufzKG3vB+9MCgONr8tOokeoWBII+8VL4HG4lLX9QSEzZQuI4itsm8RFp1SyIDkA6QTpiYJHxoPHJ3+A2gPH5clCSpV0hcFCtwTcX5v170Lh8wKV6kegyT6BAEyCABsIJFVniHAt4tsqaUPM3EGyo2B+Fp9qhMM5wRetEHyiCOmUysdACBBuoggybxMnkHj470ZgsQkOJlIJ2uLQQBYEfXmakPxMHtNOcM+6+5qEEpCRMWASAE/QCkyY9WUUr0GqwZQ6dCfTqsEmAJuLV3z1JUnQR+bSEi1z/ADmu2KwK0wVKEqTuJkXO9TCvNxLhDepZReZ6dPe1qSC5PlfROUqVFzl68Th20thKVACx1ccCsqYZxuYqAMKMWkpSDb3isqbwO+1/oea+hY7i9QCljb+0bdqHwbKlqWRYAV4HZbiRY37gGilvlBhAgKF631RnuwfBYdUpIiQTJ2gDcmq/LmmmtSiAtwXC+Ux/je1+bUnyIpShYWndQMnfsP51opjGpK1gJUEqEHTOkHa45jtyaz5pOTpeiuOKrZU5Xn7igPMSkjeQRJ+AmiszxaFp0qR6j+UGKn8NjAym/qJ5iI7fWm7LTL6W1mfN3F+Pbbmscv8AEUcadi90IfaUh2xH/skiCJofHYQ/hCWNJUiCNIvAHq9zuaPfwbaHCVJ1JVzJkRaLHjrXjeEQlw6FlCSASUxt0ggi9G+FfR3Yo8P40BOtRkxHuTf9KdZQ6pa/NWT0O0fAfIUpzuEiUeqP7QkDTHcfahXc08nDAp9RkKN+BE/ICnljc+vYU0kPMTgIdIRIQ6SqBEA7HbaT961fSUelLcgcj/dF5Lig765lKRb4waRKzlw4hwIICdUJnawAO3eaSCcnsVgr2WtuOGEFuBaBF95pbl5fStaElSjwkXmN/wDmqNWcLQlXmoTcRvKT9KzJcUgvqW2Ep9IBkXMwfkIq/kai7QvF3o0ZwynEq9K0aYCpGx3E9fcUEcMUuJSs+q9+tuPpVCjEq8xaFKACrpI+oNTviRtYUYBlKpCrDb6mpw+TrodtoY5pmPlFpKZsIJNwJIueaa4fBlyFFwauCBb71GsIWseYslS1EH5dB0ogPPkf01lvp0nrBqnBdC7oO8SeG3XCFNlJKTtMT9N68xbCWUpcAggiR25muGEzJ9LiUl5JAEuHSPkCOv8AN6LxOObC0AySoGeR14vzXStUgKxPisZ5ikuG6J/4P0ro4wEhK0elKzEd9/4K6Y1LKFy0UwoSUcT7cUDjHA4EahAQZCk7/L6VRLaroHoX5w6pKgFg6eCNvpVRnQT+DSpuEwUqkDqOfnSbMcQFskJSVRGlV473+ldMD5mJwhbICdGlN7SEwRM9RanltRf09ibTB/xbkJOiw5G57jpajMnf14lslJsoqk7WSY+RiuzLKnUTEEf2QAT7xTPLWGlMh2YWm5m0cbdx96nKap0h92ds5xYWXBpJ1ApgG/vSPB5UlEkoWZ+VOczaSClcgGDbg/vXFrGkiUlIPcW+F6jBy40ilIIw2DSRDadAIudvlF6S55lrPk6mklLgP9okKO3qJuO9+tHYgvIkuKSlP9uhX5veiMkIdaWgcSBHzFOuUXYrqiIXgFBSQo72gd7VeZA2lpBSBcfCSef50qQxGHdU4haCFhJBKdoi4Hf24qmRioaCt3FiyU3+17DmqZ25JbFj7OviR10tBTKEklBKp3jaQOsUt8Dv2htPq/uPA69zTJoKcbuvRaIFz/DWNsKY/wC22szadJgdSY78VHkuHFdhUdlI0w1EqMk3JmN+1ZUtisxYQopccJUN4Ex2Mc9qygoSro7X2Tz2E8vVqQD1EfWnmRZRhnE+a6SUgwEgkXtYxf4Wpbix5j4GuASAonoT/uvc0yj8MfMaXtcAn69+m1abb97EdIZ55j0x5bbSUjYQAAB1gULgM4GHQU+XKSfzAwT3UOelK2m3XCVunSTEkiJ9hNq9x60BBSCSY36VyhWmFtNaGz+KdeaU4huUDc9PhW3hnNdKSXDEfabUZ4XcTp8tJhJMmDvwQfvSrN8AfPWRaL+/v8qg+Mrgyi0Ocyxj1iELSCqZtBSfY/eicsYK9RbIQAr1HTfYWA+Rk9qTHxMp0pb8tepMQAJk8W96c4hnEPEK0lhEQSo6SrqSNxSSg12g3o3/AAyP+21aDK1G+/U9TXuKyxvQptEBSkkFUTZXJHNDsKUwnykKSSs2ISTEiBuRaifPRh25cXKuSrcntxXJfXYkhHjWDg0+UyuQoXUfzDqBHB+l6XNCE3+BB/nzod3OVqKztqMja3G8SbEj4muaVQL78VdwdfkrBqthaM+SW1NYhtRFwFJgz0kTIPek2Dxa4ABuDaLEfGjcNlLkgqKSL2o3CeH3PUpvTqmbki3a21WlKEUZo8rCMIhxSpXKoE9b94/l66uJC1oK0q9K0672KeY5Biad5Wt1tvSlOsXB0KAIPNiZNLctwiWQrzXDKiSQ4kk26T77+1Y+a20XpvTGmYMMKhLSAkRZW3yI3qR8X4xxJ/ptLSjbWUkA+wi3uaqMx8Q4dA1JVqUNxH2O1BozBzGDQ2ypTf8AcTAB7SbfWmwpxfKSv+RJ21SPnrWZLESZA9pp34dzZAWStJVPJN4HXsad5d4RRqc89AQFH0JJlQ9+PlPvSTNPDZbchpUf4za36+9bZZMU7XRGMZoOzEt4lY8kCU7kce9HIy+QltW+5+u5/wCKnMrxK2VlIsr+4cGPamjOOeccCFqCZ2gfw/WoZYyWk9ItCmU2a4RpvD6EQLQbzp671P8Ah/EAPqaJkL2tyP3Fb+Kg8yylvfWT6h0jbfv9DUtlqnEuBRnUkyOtHHiuDbEct0fQGyEuGObxQy8KdSlwdJgxN/8AilmMxDhBcQkgdqzC+IUkBtagmE7m312qHilVoq2kD5ziSgpWoEs7BP8AjPw+EUR4eSl9djpA3kUJi8c2tlaNxcJ7xtTbwM0G2Sp1v0LI0rtPcdYqs0o4r9iRb5DD8OpwQkNq0Kgi02O44r3JMvAW6sL0ybogQn971SYBOFj+mlIkySDAMzOx3+HNLc9y9MOLZUdUflmdhtHyqKfoZv0RuAw4IeWHABrMW4HPx3onwRi9LziyoqkaQN9rmP8AVJ8RlrqTKwJPCYtImCDG1NPD+FLflO+U6oJVchBMTIOw+NaJ1xdPsVd0yoQ4C+FrT6SCQP1HW3FOzjW/ylIKeCAIA/nSuOJwjTq0XhKZJA+x6VydwIJkKOjgf7rA030PyR5i14RKv6qsPJuPMjVB9+N6yh8UcJqhwJWockT8Jisp1DW2/wDTrJ3C+F1EKU6pKSRfkjt043oLNsKgDR5yiQNp/ek+X4rEOuJaL60e5Me0fuaJznJMSgajC0yJ0zzNz2/evQ41JJtGflYqViXFHSSVRYHrXdrBrLqQoFNrzyKbZTgEDy17kfmAPPIo7xGhxWlxCYQkfEe4rvKuXFHcXVsD/EeQpPlATOwptjPUCXxFrQPjvUphcYUmSCVA19AyjEIxDMqkHoY9Pb41DPGndf2UhLRMZQ7Lupog8/EdabteI3VOlD6UIbAuQCSelybDegMJljjLrikjSNfwg3t2v96JzMBakgphRG9CTg7QafYdi8W1qnkQN6mfFDqXBLatUXkmwjeP5xQ2MyoofS0glQWJH/jG9F+KcuShltKRBKgABtMGSe21PixxjJbFnK1om8LiSd6d4JTUnWL8dqHcyjS2V6hI3vvHSvcpw3nqsopi8xt0tNXycZK10dCTitjh9RBgelJ/LsLV2weKW0FEqJt25pQ+24pYSskhNiRwO1HpwCVlPlzA6yfj0rNKC6Y6lewjD495K0pgArVbme/ymmHiZakNAKiFm1touftSDBAtvBxSpAVF9wNuaaeN8SF+UhJ4JF5mYA29j9aCxx5o5yZLPjVpQBvzM/SqTDZ55GlCU7AADrtvHNI3ckcaaDhVC+nTp8aVNvrS4kklZrRLHHKqvSEU+L2fV3sItxoLU4mbWjaTFuZuKl/EznlnyXhEH/uHY+xPbimAxS2vLGpUqImPhYCm3iDDJdChYwmYI3HI+3FYcfxkmysrok8AMGm8JJPMTvzTDC5Yl/8AqNpISiUgkRqO5IA6bT3PSleb5TpCVBWltKhJBuAbD4TauuAzDEpBaTZufTYzc9fnWmSTVpk42nQXmvmqUE2VukGdgIkn42+FS2IxJC1NrTpUg7j+c1ZYVsRsokWkCw63ilmZZey48tKkjUUgzseQPfb7V2Ga6aBNbN8kx6SiDBSbf6qf8Q4MhQVHaAOOPjQpSph2L2P/ALCqx/ArOGS+tQkxI4SFbR361Tj4p8k9MDakqYoy3BhBbSogqJ/gqlzfHaG0JPJkADgUozXDFhSFgyPtXuYtOr0uFJ0AfHuYqEl5JKT6KRdaDc1y4tMB0qAUd09JP23vSnI8Q8pf9NRAsTe0E9KofEuH14YnkWB6jf7Uv/8Ax+QkOAp3i553t8N/jTQrxtiyk7D8YhC1SDt05Vbn+b07ZzpGGCRYjaRwQPtep1lr1lAJsT9SaT566fM2OlO0gx/JqKx8pUU17LHHZww8FaFaCvdabH37/KkDrzvpDq1aSqOyh7b36VO4pTjYQtQ/ObJmDbtxVGnNEuqRpR+W4B3Fo3qksbgr7OVXSGjuFbJJSNIPED9jWUaxdIO1ulZWTmxgDKvD7YdPngKULpUCQRtB+81xczJQW4ylClaBvI6cm1ZjcE5cF7UsRcem8bG8jpNcMnKSglYVqCiFgq+W1XTbXKTsnS6JnK0qS4oKJRqmB3m/xps/n8ILSxINidjHXvVBicuQ44hSQAAkggbcRtSt/LkHEf1ANCESrpckAfSat5YylbQvHVCNGXKWSpoHSYEnm/2qryLAFkKSUzqFzNj86DzV4JSEtyEHewig15ypIAQtSpAEmIrpcsiB0OG3CCoOGRJG88C3yo1bSIA7Skzt3H861MYPFqBPmKSdRBn+dvtRWZY4IYCgeYBne/H3+FQeOXKkU1VhbRSXVLP5vyz7GfhcmprOn1u4kg7JHoA2/n+qFSglUoVdRuo704cfaaTFyTzNye5rXGPD8sk9i/8AArchK5QBeNpopnBBsnSqD2/asczXzQrzBBiExx71tg1EIsU8TG9CTkFJI65UsyttW5uOtdHcehhkhJld7nuf06Uhxaz5kgkEdyPcVmYBOklU6oGkRa5EkmbQLAdTTLFckLz0PYbGFDiIUu2ozNzvPtXnhxmRqcj09drbVO5TjCklI/uI+ldczxZJ0j0pG6Rz70ZYn+06M9WNfEuIKwCJDYNvlU23qS6hR/yH3qlwuH87DqE7GfaL0lcbkEASQqATv2psVJcTpK3ZVLzVtJbOmCTc9LUS1i1qchtUgj1TH09qkXsEtSQpSrpsRwPaqXLk6GgEkEkWJVc3rLPHGKVdlYyb7PM+dH4cpVbzVc7gC4+w+dccszbUkNaRYQFTAgW5Fb45sKSA5dRPojYc+xpdjcIUt6kKvNiDtTRSceIvTsI/+UutuKRoSpItMkH9vhSrG4w6vNO5P06VthssdLanSkhIBJJtMdJua8cAW1JhKkz1lRMmeggWgQLTvWiEYJ6Fl0dHMSAnVE6hzVT4aSh5opcJjaJ2A2MfWpPDPEtp1RKT6T2HWnWUZlodE2mx6EdR7VLLHWkdFjXMGktIKHRqH9qt9X+JHT/VLXsVi3UEIa0wm8gj/wDq1Wj5BS24mCUm3xsRPxpZmmKWlaoQIIkmdrXn5VlU69WyqXIU5dmWvDllY0ugaVCOlp+VKkZsEOFg20jcckiTtt/zTTAuJKy6DYCCY3O9ugmozNMKs4ohfoK12PQE2PyrTjhGbaZOTceiww2KbLQII1Xkx6p96AxmIUW1AAWMEzf3HWvMxwqMO0QgyFD83M108M5YFafPURqkgfvNSSUE5FG+WgF3APOp8xSFlKRZWkwPjTLw0pLeoKuomYAv7H4iqRrN1spDaUazsm9unq7UoGXBsBRjWuYF7nmBXeZTjTBwoBzJzFoXCFKKSJSUCRB9wb15T3DPQhI2IFxNwe/espPKlriguLEzSnFlboIJm47HiuuUGXHDFiIg9RJmvKytUorgRbfIZYRZQPMK5SsSlMRE9+eeKXZtgnHEl1KklJExBkfOsrKyQ02yz6QFnAWllKyrg2pI9h1hlK1GxE9N9qysrVidRX8k57Z2ytkqJ1b9PpR+J0EoQRtI26G9ZWU09zYF+1G+NwDSW0rb1d5PPNBNYcCFOXk+kVlZXOTpAitnTFI0KKikKngWAFc8Yy6kJdSBpkKIBA+9ZWUIPoM0dFLDoCtjwY2pVmWIP5TdRA1EgT1AT0EEE9Se1eVlaMS7IzYIlw6gqBaLAQLe1FvAqUVmACRPxrKyqS7BF6GOWYhwSlJjUO38+Nc3W1tqUhQkxuI9/wBK9rKzPU2kXW0h14eiFAiZBv8APrXF1pAb1gmCYjuelZWVkv5f2X6C8JmGhuFoCk8Wv9TWZHgSsa3I8vUSE9j1rKyjN1HRMLx7ofJaTKU/epXOMAtuQj8kxBNwdz8LVlZRwScZJIM4ro4pQ0lEJKlHYg2A6/wVyAPlkhR5+FZWVsIoqfC76xpCl6k/Gdre9H+KMalC9KtQKkyI533rKysXFSy0yt0icyJxWxJJ1ao4tR3jZYIQFJAUIMje4rKyr1/9LEfVCbA4pSlBBuB/BTXEsF1GsLI0bDuOtZWUuXTtDQG/h7GqWzpUiSnczfrW+GfQp3VchHXe5ArKyss+2VQ1dy3X6iIkTv1vXlZWVrWCFGbmz//Z</t>
  </si>
  <si>
    <t>Puttu Amudhu</t>
  </si>
  <si>
    <t>புட்டு அமுது</t>
  </si>
  <si>
    <t>Rice Flour - 200gm,
 Jaggery - 250gm ,
Ghee - 25gm,
Cardamom Powder - 5gm .</t>
  </si>
  <si>
    <t>அரிசி மாவு - 200 கிராம்,
வெல்லம் - 250 கிராம்,
நெய் - 25 கிராம்,
ஏலக்காய் பொடி - 5 கிராம்.</t>
  </si>
  <si>
    <t xml:space="preserve">Take rice flour, sieve it and roast it. 
Then add finely powdered jaggery to it. 
After adding jaggery, add 25ml of ghee and start mixing it with hands or machine. 
It should be without any lumps and its texture should be like sand. 
Finally add little cardamom powder to it for the flavor. 
Serve it. 
</t>
  </si>
  <si>
    <t>அரிசி மாவை எடுத்து, சலித்துப் பொடித்து வறுக்கவும்.
பின்னர் அதில் நன்றாகப் பொடித்த வெல்லத்தைச் சேர்க்கவும்.
வெல்லம் சேர்த்த பிறகு, 25 மில்லி நெய்யைச் சேர்த்து, கைகள் அல்லது இயந்திரத்தைப் பயன்படுத்தி கலக்கத் தொடங்குங்கள்.
இது கட்டிகள் இல்லாமல் இருக்க வேண்டும், அதன் அமைப்பு மணல் போல இருக்க வேண்டும்.
இறுதியாக சுவைக்காக சிறிது ஏலக்காய் பொடியைச் சேர்க்கவும்.
பரிமாறவும்.</t>
  </si>
  <si>
    <t>data:image/jpeg;base64,/9j/4AAQSkZJRgABAQAAAQABAAD/2wCEAAkGBxMTEhUTExMWFhUXGBsYGRgXGB0YGhofGhkYGh0dGhgaHSggHRolHhcYITEhJSkrLi4uFx8zODMtNygtLisBCgoKDg0OGxAQGzUmICYtLS0tNS0tLS0tLS0tLS0tLS0tLS0tLS0tLS0tLS0tLS0tLS0tLS0tLS0tLS0tLS0tLf/AABEIAKgBKwMBIgACEQEDEQH/xAAbAAACAwEBAQAAAAAAAAAAAAAEBQIDBgABB//EADsQAAECBAUCBAUDBAEEAgMAAAECEQADBCEFEjFBUWFxEyKBkQYyocHwsdHhFCNC8VIVcoKSM6IWJEP/xAAZAQADAQEBAAAAAAAAAAAAAAABAgMABAX/xAAkEQACAgICAQUBAQEAAAAAAAAAAQIRITEDEkETIjJRYQRxgf/aAAwDAQACEQMRAD8AgiSItygRUFxBcyPROUuVMAipc6KiYjGMelcQXHKUBAtRXJTvACXoiUwgbwhnYu5ZAJMVf0tTN0BAicuWMdseMJS0hjU4ghNnv0h38LUxnFykgdYB+GvhYpVmnaRrZVR4asqQAnTSObk/pi8IrHhlsK/pwjo0T8RoH8VwcxiKZjNa20cDnnB0KIZm3iJD6xJKwxDXiUmmzJeDl6BogZoFniEudcvoIgqiUFFy4a0WSZYY5hc3eE91je2iKkBRduzRXUoWXyhmuDFqkaEFm+sEVE6xSkF2f6wVG7s11oz1KVKWozLAWZ3garmkhSmdIZg/2hvi1Gph4Yd/mA3harDVlgU6kb6ROMalR0KUWrMjVO9zcmPodLNIQlvMyUhu1oVD4XQ4UqZccaQ5pXQkAEEC2l2hoxp5E5uRSWCFQF3I9AYnMlMkOpgNYrnusgqJBSTbQdP0j1CQsKzbRnV4J+ARdIg3UXOgYt7wJhsoozII+W794OXPRLXly3bXYQVKyqD26xkk9hcmhV/RBd8xykX6wGMFWVEA5UPrGmpkoCMoAIeFGI1hSUhKSzhzDVFJGjOTeBbiXwzlAKVvp3ijFcPmIH9oBgB+kasLSRmLd4oyoId/eKxnGLuJOTlNVI+dJxNlZZiSDFzy5mhEbdeDylkrUgEwsT8Lywoli534jsX9KrKOZ8T8GSn0BGkAzqcbiNDi1NNp1gAZwfeDpWCmYgKKWJ2OsW7wa2TqSMFOoAdIBm0JEbWswNQNhCqfRKTqIz4wqZlVIIiLw/m0wO0UnDRCOLHUkfRUmPFQJMrkoFzCetx/ZMdNkaHc6oSnUwqq8bSNLxnqisUrUwFMntCOYyiNarGFHdoVVFWTu8UHMrYmL6fC5qyGQWO8RlyFFAdfCWIS0qZaXj6VhtShQsIQfDXw6JUvMtIJaNHSShl8to8/klcsHZD40dPnp30EL5OdS3QPL1imuw+cosNOsNsJlKCAFWAtEdlbUVgU45RzypCUFgosSNod0Uoy0BCiSRqeYKXKAHMLkT5omKSUujVJ/eC8E/kMZUtg8d41nvbURVKrUquNrHvHKn3Ci4Ci2h+vSBf0CvstTMKn46xbd7tA1WsAMDAC63zBCbnkmw4uIWUurGUew3MxnLO5APS8WFV+8JqhaknIslyQSUux0/DBlMkqdlAHjV4KlLVAcVsuWRmsb3sIrmzcozPY21ZrxE0YlJKs2dWw0bfXa8LJ1VlJSq4VcPrfYcnqIVtxeQpJ6DP6hwVB8v8AMVjOVZUny3vsBAUurDpAAcKYgEXB4HvDCctKhfypB2Lfm0C7C1RXUpWEhy7H3j3D0qmLcHKltByIroKuWQUhRIDgvvc36wRh9bLkAhRICiSkG5GluWfT1gxjFu28Gk2k0kFTpPmJZ7AfWIzZIIIskncRCqmCYQUmzW/c9IGqZRQkrStyL3FvSGm840JFfZVQLyBbg2MENmBZoClYnLUyFLAVvbX+YskzSlfyukvpCxpUPJPYROlslhpEkSMyQDr0i2UAEjnqRaBp4YWJzHTrDUlkS7wE/wBQlNifSJyJwUHB7QhxHCpt1JVmKjoP3jqFUyX/APICAN4ylJPQXCLWxpWFi5udognEEixjxNWFb2gTwpU1wDfkQ7b8CqK8lmIq8pWnzNqIVf1EtdljKeDDhFKiWPmfvHz34rxbPNYWy2ju/m5pfFnLzcS2jRzsEQu6YBV8PLhHh+PTZe7iNBL+MQwcXjvuLOWpIya5ql3LxUotBkrEfDQpASkgjeFRqrEMC43iLlRdKyM2dxFcsOQ8V5of4Hgy5gzBJaITnWWWhC3Ro8En0stABQ6iOHaH+ETJR+TK3G4gGV8MnwcwsoQV8N4MUFyddY4JOTZ1dIdR5LLdorUshVhaL6vy2btFFJiCHZRAbmEat1YFq6CfDJvpzA9XUNzBc5JHy73faFNVNUS+w1gTtYGguzLDWulhYxbT1WbUeaIyQFC2n1jly8ocFiLxlex3FaCqKUHIKWGr9YvmSlLBAGnWAKfEBNQFJVc2YRNpsuYClTg/MDDWmSplc+SpmUb5dzq0L0UstKkkzCFd+nP5rBmI4ilZ+VTjgOxOnvCermmYpCcvQX/y2JOx1hJKKeMlIdqyOFzkTxkWrIHsxZRI669WEeGWpJzJmWuOTbR4lOkoAShkhbAlVh6jhTiFGbzg5gRpmfXq+4/eNIEV9B6cUUvyKCSRuHEWoVdIWCCkuHuBbb0hBUVGScChy1329OkWTK1ar3FzZ9dPz0ibb8j9fooxmmImhaFFYVckIbKbNpz7+8XTqSYuy37ddT9TDLDZgcWc8DqdX2/1BFTM8TMlsqFHXQu3O2kHqnk3drAJJMtctCUjKZZJPU25110iNRhhnDOJmVSdj/kRf2aJ4BReGmYiYoFeYsGuAdFHc5vaxD2MMZsnNMzIVkdmAAIDO7d3h6VZEcqeASnq1SUsZZzPlN9uR+sNJc7Mk+UcsfZ2PePKkoQkKXlOUhszO/LndrxQqnTMX4qSygGD7vxBqsCNp5AKjCZLlTHONSHI9Y8/qUy38zdeYIm1BllkjKo2OhB/fa3WMxX0szxf8sj5efwwr/B452aShqCXmKHlLJfffb80i6ZVyy4e/PETw2kCEjJMdh/lr2EWJoJKlkls5AdIOl9QOv2jJOtgbjZDC6hN0ZiVcnU8RdXpBQUqOo9YmrC0o8yPKrm5HtFc0rtYA7nWKRTWGTbTdoV05CCEJST12ilOEstSkqLm7bCGiJGQPMJJU9xt3jxSAA6LnjmDoPbODP1eHzlEpM1n0IgGX8DpXczFZuTGrVVjQhjFSDNewB9YVTkviOop7Rkan4HWjRYMZ2dRKSogi4j60nMq1n7QKvCQS7A9xHRH+qa2SlwwemfH50yB1GLGiw0wzJGZ342jrbOdA0tBUQAHMfYfhOUuXTjy36wB8PfDElKEry5lavGh85sA0cnLyPUS0I/YRJrcySks72AiVMAna8LaKnyrKlmGaZ6ReIepJ5kVcUsIqxRSgDdxt0jL1dPMUoZQ8aKorMxZrdYlIlbhL9Yk6nLZSLcIlcgGXLSlReKJM9lFJsDpDGdKdnYxLDVlK1BaQBsdf9RRRt08C9qVi9E7IplW46x1TWjKcySQbW1vxB+KTZcxLTAlnYEG/vtHYbRhCCyhq4KrdhGp3SeBvUVW1kJkJQlFgEns0La1aQW8QJUbEm//ANdYLVPSVEEP1vqOIzvxIM86Q5ICl5bJux19rdrxpW3gSG8h3w/oszND/IPobQXOWgqCcpc3BAcBuesWVFL/AGwgXSgW3Nt31hVT181CswQopIZiNAHL/nEK8YG+TsOxKnIlLdAUGcg6v0P5vGYpKFS1pKgU5Eni50A7M8baVPB1ZxchxYHQtw8A4shUwnI2YDewU7bjSA8ZBGVYMriNWUgFIHmtpEKJS1EBnBdy0GYpgBKkJzqZnJA0Iv6D5fzQTBvFzeGUElJ1BcEORYsw7G8GmyikvBo8EkZwR50kb2Iax163G0Gf9HPiZ1TAQAQ1x1B1v26wFhdVMSUoKAlKlFk76OCriwdiX9oJxA1RmhAR5FA5VAi7By7kNuGa+ukdEIxcco5puXbDOTTpCEzspzr8pB1PGhI22P6wMPEJYWUXsbgEB2eI19FOZi5RYlmHuNiIy0zF5suYZaHKrXGuofTkNHLNpy0XhG1s3gkqAS4TMG4Nma7gEHeKpk4FJISwLkHfhg2mrRnafE5pUyworGiBYl+HIGx7QzpEzETMqkh1OWDOkP5Ulv8AyPpDOWMIXpTyRqMOmKKSkixAJJdhyBztD1UiW2VQD8ctvCtdYuXMyOA/mYXNwN4rqsRmFvDQTcuddrWhVNIzg2NTToDE6i7nb8eIf1ASzaEt9H0jPzsRmzGSBmUdG47D8tBmDzypCsrKW5SUi+VuYyk28ILhSyGT8Q82UC5G+3rFMyuBYEan9PtEptCX8S6lbpBZ/eM6utWJjlPlCmLvb7vD01lipJ4QZiS1BQJW4O3ENKFRygksNoDOHqmjMSyXsA1vSGMpAQALkQEvJpaolVU6VgA67GIpkZBa8erSlRF/rpEhI/xST35hqsCdI9lVVjcPFYxYb/oYsNABp9BAsylS/wAx9oRp/YV1PjBg/A5eackdd4vwDBVVK8rsNzH0PAfhKXTqzg5i2ivtHfOaRzJWOsPlKSwIDNtDGZMSBrA6JjWiqombxzx5KVFXCyhdItS3SzGJ1SPDGUaxfSz3DggRAOr5+bEQriqCm7ISZYSly5V9I6gqAQbEXuP2gXE6tSCAliSbwZLBSkFg+sTWyj0XVKh/hY7wPLpJhLkgtoNPeLaZOYKBXlJ1/iOWyQEBZc78+0O85YixhE6eTKB86Qlep/mCaqqQSGItw0A1U5GuUBW5UWcRRUhRsiX5XBJsw76WhvUpdUDpbtg9UVFRUB5QCbWJ7QIUzyMxBJScwBcnfQ6Ht1gteIKUrLleX039dhA2J1ayUy5SFEKYFWpHVtwzxEurJ4bVr82a4cZfV4ZFaFHKqYA+wUxLn3145gEy0oCnfMHF3Y8NCWStRWBLurVjfQ9Y0H1YskpWzRT6aWCEFlBLMVXUBtfizX16x4qek3cBixSNbmxbVv5hGnEJjkTZakKPIse3P1jqOeUzmSl8zX1be/1EO5XLQvX27H1XVSUpJSf7jbO579IHl4l4YCZqUpUrdiNR1fdveDE0YWk57OGt7x1StBUFEfKTlPBZifZobltfgvHTxsvoVpJd3IG+l/8AUTr8XKXQGzMCCDa/p83S+0UqYhwPbWF0xF34v6PG9WUY0kN6Kk7K62fOMpWylWD9d9bb68R5Qz1gKC0JzAM4Di40H1g+VMSrzLIttHldUBCDMylaDcpDW7A63u3JhPT6q0DtbqiqdhObKpKmWjTv22Fx7wQgEEEgFRDEi/ufTtaIYfUBnZWZdzmcs4DAAs1gHsLxeoiUMxUwJNms/oHAtvztpAtNYNm6ZVPw9SlXAYt5txYWboX949xioEiWGDklug6nftHqa9Kz5Qsq0cnKP/XjqYGxiRMmS8pISEh76ljp0fR29oOKwFXa7BlGf7YyhIBG1ie7c6vCqXUy0qmKlgEgtNCQNhbMsaEPoesV4bWJMsySTlUCCQWLHqL+sMKZUoKMpA8oSHsMhfp6QIyT8mkurKaXG/EBKcpI2HzAbabQox5bCyWSsu7jV721hpVzZVM+QJClasNeP1hPNAnZcwsNCCxHppBvw2ZLNpDGin/278RSjFVIXlOh3gcDIoA6HmC5k6SW8rn2b63ia2WaVDYy3DjXa0FSaY5fmGaElPJWVeRTjgn6Q3k1Y0Ooi8ZpPKOaUX4J10whmHcwKKBRu6bxZWnMksbkRnjisxHlJuLQvLyJO6H4uNtB2CyZUlASggjV+YOVVFJsHB3gLC8NRLA8TUcG0dXqImBSVBuDxDTebsWEfAYawEG94AqxOWcqbiKqNAmLIBGbvDanXkdOp6fzEP8AS2FoV4dJnpWc48o6xoZMwlOYMIVVFe3lJAMXy/KgEFydtoeMloWSbywzIlRdSQ8e1MvNZ26RRKrH1SxiAVmdZ7doNi9Werw4BWbxCOgH3ixEgXJueYhQqzA+YsDpF0ysQxCbN0gXFqw+7QlraCapXzeU3fpsL79YaoTmQErBcWyixLbuDpBlDTiYnMbB7DluYpqSEO75tL/aD06xsDnboVGmEuclV0i4GY252O33i+RUiavyFJUnU30drW+sTp6QS1qmKPzsW1v20vaPKtCE51JABN7N9fzeF0g7PMXKlSSHAcsLXfW1t+8D/DeF5XmqHnXZ9GHQbPY+0CnGmISbh9e5t6O0aaUPI/4bcRTjSlkjzNwVfYLVykzHQtNm37ajgi14x9JTL/qMqS3hEh+dAT1sXbtG5VPBa+zeohRiQlpIWXA1LPYgDcaDTvDuPknxzrAYaglAAu3v+fvC6XNzAe/59I8o8QJmFRR5U7n5hoQR/wCJuPrC0Tm0MT5p9kjp4I02NUV2UNuNIqFSHOba7P8AqftChVYPWBJlbZon2Z09A5dQVLIBCczsWcAtaz3D7PBMyROQASrOP/VRI3I049H7wmwucfFQTd1D9Y19RlmG4CRYakFy2jfXvBx1JcmJEaRlDxVWKbm9kkBzd9BzFSKgz1gIWnIddSDazMzPzF6Ph2WsFCSofLmJLuH022fs4hyvCpKWZASRYEWMUhwtqyMuRIzcqgQuakqJBSAW0G4Yvzew/wB14xNEsAGYS/lANzoSGfoIZy5ubOFHMAsgE7hgHB7vfl4zyKRcyYrM5CFlioX330f31ibXgpF3ljekoJGV0i7OH2cezQpxYGSgK8S/Rnu40J0gT4gxDwVCWgMNWvvqb76a8RXQKKySshZOxuQ+m1o1LQyT3YZ8O4eZyCqYoghTAEBizHV7jbTaHowkJco3227AQp+H0TkgIVKUEJJKWyi53UDfcxofHUl7MPqYaNCTcrFc+iK08NyGPsYX08jzMzw4njMrKSRzv123hZUT0yVgMSTt9zBUadsym2qDgGsksesUzJPhgqSvzG7KP6DWBquUsnOkMRuQ4uOHj2XSVQBP/wAgVqWH6a+saSt6AseTyXNKmykkHktCmtwKeVqIIIJfWG9NSzCoO6QDo33h4EAb/WEjEaXJ10IqbF1M65ILcfzEJFf/AFK8qU+GN1EfSCqlSQHjzCEheYaPdhaMsuh20o9kMvAlgfKkq3IDPFc1OZykX2A1guRTkA+WK5iFBmYF+0GcH5JxkIDQLWq/cvaHM6XkkkgaCx1vF0wEAmYcv/bcxfPmoKWezWhVFRQ0pttGPw6qUknRSlGH6KaaWcgP/je8Tl4TIzJVooaXa/beD01ACmcEjSGil5Zpz+kQpFykeRaCFc3LweaSWBZI8za7+8VTpIzAkOW1aBM6pZJBBST8qtu0W7Ri6aItOWUxyCAkBIAAsBCWskKnl0sCB5geR1AglQUxc3J/BAUqeZZKSbqJIIcQeXkjJUDji1k9qJLBphcsHIMK1U8tRtcgB+W5g2oqAonKrzByA7g9D7aQvxDBZRSJs5RcsSlNkubbX31eOardl7rYiqZxVMCUqJRmD2AZvr6dI+iSFMFAOwL/AG/fTiMAcKUs/wD67gJIc8jYa300ja4fMIyEs5BcdQCbddfaOjhOb+nNHTEqzKCWSzF2d32HZvrFNXWJQHU2YBizOdnb29o6etWZSnGUFkj0BLn34hRjkoFBWdXF/Uw0vwhF5VhErEUzArKCzf4t3tsbtGbTOLwfJpJsxBMlwVEOt2szF7uwYD0ilOCzkhIstRN7kl1Fy5bk6xzyTaO/iai6BKhQJf8AiAV69Iaow2assBdnudna3P8AMLZ0spLKBBvr045hToTR7TrIUkjUEERrcLqfHYmUtkLJWVMwIf5b+YEt6GMxSUcwzEgS1PqxDW5c7RsFUOQJKc//AGvbT3GkNHyS5WrRoKKqlsyW5YWaKa5TupZcAEZQHcHXWzHrCiXNmGY5SEg3vsw7X3gtCiVcp3vs3EOuZ6OZ8a2KMXq/BypAsR5U7hmsRwLQuosXnKDJAJL32DD89oeYpTIXllkAuNXZSdC77O3rYdky8NVT5lJJ8IX0uoMxdtP4v0Trm7KxarQknU6zebLKllWUPuo7P32jWYbRCSgAfMfmLXP8QBhyyVZyQEEkpdun56wwRVlXmNunEJKtFY2NKcKJ0tBaZRPbR8ogGTWljpft+seLxN7ZiPW307n3i6UEiMuzZGvoEpPiJTmJ1BNg41AP25hPiMp1SwgZVqNyAWZtFK32aD59UpbpQQSeTFSJCZYdazmN2Jb2ECT+tASovmS8qWDkj83sYMp5hCWcdXgOXXZthYa/tFkiQFeYu+2re0JGbvBnHGSKarMo5bh9Rp7vEhVI5+kXTKdIOYl31a3vFiKkAMGYaQz/AFi/8MzPmgjoBDfBabyObFV+vTtHisHkhCUXDM1yTbqdYOyAAXjJJaGcm0WeGxfMrttAyWUsKK3bQaNBKlZUkuA+8LELckpJHUNf3gSbdWZIaLS5uHiM6hd2Vr9IlTSj8yrniPJtSFFhrwIzqsmV+BdV+EnKlSXVYDe/MMkyEpOcJBUzB/tGfxLE0y5qUhJUoGzav+Wh7IJAddiRo7tGi60GSdZA6rFg7HUa7e0BVNUqYg5flN3Fz9IomSFTFKcABzlJGt4b1WIhACQzgM0I3atspSWEgKkXOUglYYOCl3LDqIOnVIUkpCgCbPYkW4MUTsSCZVjnU+j87WFoDpHUspSnW7nbR7wHfg1XliukzS5i1LY5WSCCGzKIZgPbo8aaow1ExLzPMUudWf226doLppCEJYAbEk7kd4ArMVynKlg5Afklm9Ya1FZFbc3gjhfhISpKHfV1OD6g6N2gZNdmz5XzSzmD3cbjtr/7RdUSM/8AiAo3Ozt13NwLwnq5VQk5glIAcOSbjrDxct+Cc4qX+j8TAtGZJcKD+vXrCXEqKdNQsCwTq+7OWDWPHrAeF10tJUJilygoFJB0Uo24s2r/AF51RqVJlgPm8qbkMFWFwxOveHlJbIx42me4bJQElILBtCWbTi/EVTJCRME3OciHUUklh5SAb8XLxbLz3I8xtbRgeX/3AlYpU50JOUuyujPq4+nV4RyeCqWQ1VWjxEyn80wn5bPl8xvy12gFeGPNUFJStIcAM5VmAJd2YggDU6bPalMlMlSQo5lISSgm5BsNeW4vaDJK1P4gIdRJU97iwdNssDsqyNTWi+pq/CbMgnKAANySNEsNdfaAaOuDAgA5nKUqLlJBs4G/8QfNWVKSwBckE/8AFhYkbv00eKKlKU//AMnmEjL4bE2a7lkpbdzoPSFbe0wxrTROtqgpISk+dwSG2BBOujjfrFM05vkUxIcNv/t4cUNKAklQGZXzft+cxRKw0JJUEpynZuv6Wh58cpJMWM4rBn5stbsrKkanMWJ7WhrQJJQ4URp+t/2i+uYsCHa/+oqVPdKmIdrDktvxCJKLC5NoAxqiAlEoQkEXYWcXsAA36frGQp8WPbvGlqqNa0rSteXMGS/I0Yd9YVVOFy5eSUU51qLlbtZ3LgFwG/TXguPbJSE+qplCMZ2KopVio6wyq6OT4JkS1jzKcKWPlfkt3A3ivD8ETkULlQ00L+hjdPA3qLZf8PVWYlQ2sIdVARMyFXmyqt3PI4eFeE0MwGyQBybQ9pwq4UAO0aKJTebJpSgl1JT5eRzxxFpLAsfSFNeqbK8yQSkdcxI6veLMLxhM4EixG3a1+O0G7dAp1YZMWW85HrvEHGxt0yxZOKFJdSh1H4YXTZqASPEbpb9oPRoXsiyrxNPHqY9RVIKbL2j59/1kTVNne2lx7Aw9wCbLmKKVZipnABLepEK4yTK+2g+vrb5L9OsH4egqHkOVtXuH7Rf/ANPl5CFJBfY7dI8pxJkg5U5Xva7mAopZZnK1SClTSghSlP8ARuwieUFJLEOXfn7tC+mWVK8RagQNAI4IqJigUpSEvYqOnoNY1moX4ThP99UyYSov5M2sNcTExXkDJD/MlyX62g1MpMoErUVE3JI36ACKJc0vfLyD9t7wXhUa7dkkysiEpK3I5uT+ekA1dEqYSU6E6n6xCukrUrzgj/iwdrh3I0hnROiWQshtu3XrGrts19coX0NCkLFszXLi0MBLDuC3DQvPiKUV5ilIJYDQ9TyYumVwKcruoM/MauqA22y6rmAJUGBe17nraK6VEoISkAbEk3vo7m7wnxvEQEkMb6q0a+jj9YsoaRfhBZWcoD6WYC/U6QIxcngLSSyM52HrdWUuJgIU7Ap/7Dze3beIVaJYSHIcnIHLktcj+Itw6bNKUoIOZnUeNWGrHbeGE6nllLKSLX7E7jrc+5h0mTbp5FOGpTKnEquoiwsGuCXffRtPrD2XVBQzHfts7ff3hJU0YTmUlJuLAG/XX0iVPRKCUlS2LeYG46D0eBbWDNJ5DZkxCVGYCTYggaG4b1105gROLy1A5VpuNiFG4szQNX1BMpYDEA9gw6nUuIhhtNIEtBShKWAUCEsSWs532N4zm6oKgti+so6mZPRk1SynLBI81n59No0MyaUjw1EFRYA6hzex99Ytw6tSsrBcEHbTlrdPvHqpUtYCyhSm2NrgtA62sBcs5OkIQHOYAkPc/wDGxGrRQaCcZmZMwBLcZlG7sXsA3+Qv03j2TJKkrzkp89gbhmYMd7faGKZ4DhuHf2+2kZJLYG34LKBOpUbjb79YErq4Jt3aLrKAL36bd/SAMWoioDJdWz6HkEta0WUk40iXX3WwGsqyu2a0Dz8LUtJEuZlPJe3qCOYUVtJVy80xZQEAjQvqWDWfrExNqCB4KgVakM4P1DQkeifuRanXtYxpMEnygp5iZgYZWex3N9Pu+zRVU0a0rStYK7FlWBST32t+btqClWZX91ag4uAWYkfbiKqhAWvLmGdKA5vcHcjm368wX18Cpu8mc/p5q1Epl5gBcu4e22pPSGQw0EErJAY5S7ZbM4MezKabIQpSEn5iSX0fduv3guVVmYjLMQFE7M7+g2iSqysm6wcisMuWgHLmIDsT9Hu0Wya9SywuzH32hJi05XlCwEkJseR0/aDMMnjw0ly5/LRm6sVRVWOJc5RIDNudxEJpQklTgFVjtfrEJczMMuZj9WhViFNNQzkEcn5m1814MfwV0AfE9QoEGWhQJ+ZSTYk8h7cvGUqMTnJURe3X+YdYiyZecLCg56MRprC2XjcsgZkKB3YhvrHTHjvwTc6wZiWGIOzxtvgaqT4qggAFuzXDxlVyn0i/CleEvxGdtopKN7FUj6RiGMBCmZ22H7wJhVSqdMNtA7QpppvjF0X3PMPcACgtQyZSANevba0cbg7yXUko4GmEUCsxmzLMLJcN3hl/XJSNPb94FqZidHAG7bwtxMqItqGZL3P2ELJtfEK92xgKnxSQf1iKJspJbKHSzNr3fSA8Eo5yZh8QAIKbsbvwd/aHiaeWBlCAAdbRkmaTSdIBTV5XCnUX2Fh0iFLXpmTFAOWt2Z9BDCbISEhKB/qEFMf76ky0NlABOg1d/R/WGSoyphuJTlJIQmXmC3cuwHe2heEsgKlLmqVLAQW06anoPSNAonMVKICdAOTa7wNjBQtLAhzwRa2rbkfaM5XgyweLopVQkBwlSgA24eHiaMS5SUhywADm57nmEaMNCR/kVBmV22MNZaMw8zl9nvpudYeE+qaoSausgk6qVLUly4S7tu5/PaAq3FioOHt0IMW1MtErOtSwEuCElnGz3ud9I9mSc8vMgjKRbMC3drOOsSak0Uj1BaWt8SYGOQ6Mq2c3LJO5toNh0hiuvD5VC4v3aFtLRzSyl+UA2Grj/lbSIV6wXYAk/noY2aC1GwqsPipKJgDK0yq4Or+0ASZEyRLGYhSUhn/45RoPSATVCW2cq6AXe9/zrFOIY5Nmp8oZLsXbzDQAAaDS/wBoNXsytaH/AMP1maWVlQCdnLsA/wAwGj/pD1NQkpJO2vYXMZKkwpYQozCZb2KAXdtzt/DQMMcMnyuVf4lPDOxfjp1g11wL17ZRq6hYUzEgOCbuXLgafloKnLJsAWJAJ2seIymG4sjMFOnOqxGjAbuzcRo6OqTMSleYHqIDA1ReopTsNra3iYqMwcEdm1Z7APHpQDzc7R0wBIFtNm1/mCkxG0DmoF8wb0MBABCjkSBmdRGw006H94tnVPlJ3vbvCSapU5KpYVkVpnuWY7abA+8FMKQxXiRJUnKogEBxcB7X6k6RdKKlJ84Iym2x+kWURRKQEA5iwBO6jyTyWj2Yp3Dh+v0hKzsN/gIK1QdCwyVWf2aJU8pblxpp+cx6iQlJSSonLYB3uRrF80p8xzNZiQWA+rA9YKT8mbXgCq8MRPUhZd0i4u38F9xAeLJEoApDAMMu2rW4hoiqQlJYqU1nAufeBcVkoXLOYfNYMWL6+8P17C9qA6SYoecEPwfr6xV8R4qEyleYOCGSNb350a0C4iBTynRMzH/gpQJD7g6+kY6qqCtRUouTF+HieifJNMliFZ4pDJCUjYcwMJcRmTAkdYEMwneO1RUVRC2wzSL0qeOjoXkiqDFjikxFVLLaWgKzFyS/HS0a7CqzxZaVlIQpQvyW68R0dHHyaLR2HpokqHmLto23WBKnCnU6VKVmAB8zN1t+kdHRzJItbGEjLLTdbuefo/7xcK5JOUKGjn/cex0JJ0xlG1YBUYlmWJaCT2jqmeqU4ly/EWtXN+rngDQd46OhoZVhkqdHslM1awcoCRYg7FvqYtrqZKQ6mBYgNzHR0brUbB2uVFFEuYpSRnJB1BuW1v62hvMJA46x0dDNe2wN5SF2J4amci5zJbTQe4vxBkyYlKSwJCU/KBsNgI6OhlpCvYCjGEEnKDYabjqeBCv4kkTEpBS4csAkbqj2OhY+5ZHkujVGVxZM2SpInAhwC+uvDb9NY0mHUAlALyF2uk39h/yt+seR0VlFQ0L3ckguvxDNqXJ+8A/9EK/7i/Kd0tsLXIOsdHRN5yNdKkQm/DoBPkLLDg6sWaw2/mGOFUy5csJQGybO+Y6u23MdHRuuRXN0OqesLkk3duj+nH2iFRUuVZfmTrfmOjoKdiPYiqsRLKCrk27RVQVq5pIKBo1hvo/6x0dAW6KUqskvGSnyaNuoH0On1gyRNADqJO762+0dHQi2NJUkFeHmdcpVmseeWhBX1KET1FTHygFILPy4Gr2jyOiziqslF+5oYyZyAgrZkliHOnS+8IP/AMnyhaSCpQ+Vbhj1bpp6R0dFeLjVk5ydGbqapUxRUouTAk+eBYax0dHfVLBzrLBNYk0dHQgx/9k=</t>
  </si>
  <si>
    <t xml:space="preserve"> Samba Sadam 
</t>
  </si>
  <si>
    <t>சம்பா சாதம்</t>
  </si>
  <si>
    <t>Rice (samba) - 500 gm ,
 Cumin - 100 gm ,
Peppercorn - 100gm ,
Ghee - 100ml ,
Salt ,
Curry leaves .</t>
  </si>
  <si>
    <t>அரிசி (சாம்பா) - 500 கிராம்,
சீரகம் - 100 கிராம்,
மிளகு - 100 கிராம்,
நெய் - 100 மிலி,
உப்பு,
கறிவேப்பிலை.</t>
  </si>
  <si>
    <t xml:space="preserve">In a pan, add ghee. 
Fry peppercorn and cumin in it. 
Let it cool and make it into a powder. 
Cook rice by boiling method. 
Mix the powdered pepper and cumin to rice. 
Add salt for taste. 
Garnish with curry leaves. </t>
  </si>
  <si>
    <t>ஒரு கடாயில், நெய் சேர்க்கவும்.
அதில் மிளகு மற்றும் சீரகத்தை வறுக்கவும்.
ஆறவிட்டு பொடியாக ஆக்குங்கள்.
அரிசியை கொதிக்க வைத்து சமைக்கவும்.
பொடித்த மிளகு மற்றும் சீரகத்தை அரிசியுடன் கலக்கவும்.
சுவைக்கு உப்பு சேர்க்கவும்.
கறிவேப்பிலை கொண்டு அலங்கரிக்கவும்.</t>
  </si>
  <si>
    <t>data:image/jpeg;base64,/9j/4AAQSkZJRgABAQAAAQABAAD/2wCEAAkGBxITEhUSEhIWFRUVGBUYFxUYGBgYGhgZGBgXFhsXHhgYHSggGRolHRgbIjEhJikrLi4uFx8zODMsNygtLisBCgoKDg0OGxAQGy0lICUtLS8vLS0tLS0tLS0tLS0tLS0tLS0tLS0tLS0tLS0tLS0vLS0tLS0tLS0tLS0tLS0tLf/AABEIAOEA4QMBIgACEQEDEQH/xAAcAAABBQEBAQAAAAAAAAAAAAAFAAIDBAYBBwj/xABDEAACAQIEBAQEBAUCAgkFAAABAhEAAwQSITEFIkFRBhNhcTKBkbEUQqHwByNSwdEW8WLhFSQzQ1NyotLTVIKSlKP/xAAbAQACAwEBAQAAAAAAAAAAAAAAAQIDBAYFB//EACoRAAICAgEDBAICAgMAAAAAAAABAhEDITEEEkETIlFhBXEy8FLRI5Gh/9oADAMBAAIRAxEAPwDO4VyrqxAA+EitHaJEEHbUUIv4Js5UAEnrsB1GvtRLhMssHddK5DqNpTR3edd0e49N4BjvNtK3XY+4ouKwvhjEm2+U/C33rcIa6HoOpWfCn5Wmcd1mH0sjS48Eoropop1bzIKlSpUwFXa5XaAFSpUqAOikaQpUAKlSpUCFSpUqAOMJprCBoNulPqD8RzZTp2PQ0mNEeFuXGksuUdB1+dDuK2sOnxIAzbGOvvRuapcSwttwPMEiRHvUJJ0Si9klkHII3jrTsOXjnAB9DpUiLAgU6pJEWNavLv4ocJxl+9bFpWa3AAA2Vp1Y16nTGQU2rGnRQ4TZKWkU7qoB9wKvgV0JXYoEcpV2lQB4aryuTuZOszGw+VWeHXMjaD3FVFKjrUgvr3muYcIvXg+hNKmvDNWjgqGWtZwTG+ZbB6jQ+9eaYPioBCjYmK2PhS9q49jT/HXg6ns8SOf/ACnT1C/jg16mpRVW21Tqa6ZHPElcpA12mI5Tq5SmgDtIVyaQoA7SpUqBCpUqVACqO+zAcok9pipKjv31QSxAHrQxo5YuMRzLlPaZp7LXLdwMJBkHrT6QFdEYNvKnoeh/xUty2GEESKdSp0M4BSIpH3qCzbYHW5mHYgfcUhCwdoqsHeT96VpmBIbXXSrFcilQWIUq7FcqQhUqVKgD5/vOApae/b5fv1qLDpr2jUyd52ruIMtlA03PSYrqmE6cx0ncDYVy/C/Z9D4j+yxgEzXF95+Qrf8AhRdXbvArD8Ht6sdo0+fWvQOA28tseup+dWdHDv6q/wDFHi/l8lQ7TSWmqyrVSsmrSmuhRzLRODTgaiBp4NSsjRIKUU2a7NMR2KVNLVhOB8U4h/0jctXgTYloMcoH5YNJuiSVm9rtMzjcmKpX+NYZJzX7YjQjMCfoKdiL9R2sQrEgEErvHShH+q8EQf569Rs3+KrWvFmBByo576I0faoOa+UNRZpaayg7igaeL8GdBcP/AOD/AOKsWvEeEYwL6fOR96ffF+QphUCKU1HZxCP8Dq3sQftUkVJCFSpUqABS4N2zM5KkkxlMQOgqxw2wyrzCPSZPzPertcVwdiNN6goUScrK9u4xdhEKIAPc9/arFdilU0RFSpUqBHKVdpUAfO15ZPWTAXsO4/X9KsYh4IEqQo+H26feo8CstrsoJIbaen79K64zTqDmYL6g9/v9a5h8n0N818BXhi5UHrr9a3/DDyr7CsIoiI6VuuGCFX2H2q/8W7yTZzn5V3T+wzaNWUNVLJq0hr3Dw2TqaeKhU1IDTIkgNdLRqdKAcZ8T2cOcs53/AKRsPc9K854/4ov35DPC9FGg+nX51XPPGBKONs9A4r43wtpiik3HXfL8I/8Au2Pyms/d8cXWBKqia6bkj/Nee2TqT3NXLV9RuQNOv6VlfUTbLvTiiXjXHL90w91mBYGJMb6aUrLQC5/KD9jQbFYlRmk9RH1o14ewDYnzAlwI9tVYKynmB2M7AVXUpEtJFWxc5QPQD1k1NbZldGjrv6HSqeN4ZiLV+zavoUF25bUOPhbMwBg+x2r1fxN4WsPZcWh5ThIUpCjl1AI2I0339amsbasHJJmMw7eZdVdUWVDtEhcxgT0AnSneIuEPhXAJzI3wt39COhqDhvBOJIrOtjP5lso6Z0MgjqM24Ooo5w7FXMZZ/DYpLtm7a6lIDAaKQzaEjrB6etJRtfZF8mes3DMLMwIgkH9K0WB4tfsiTeaBAOZsy/8AqrIDFm1ea07cyErI2MV2/wCZeaTcCr0G/wA/T3oUnHgaim9m44R/EUkn8Rb5CeVk+KO5UnWd9K2fCOMWcSpey+YAwdCCD6g14ncQqddu41Eehqfg/E7tpybVzKSNfarI9TKPOxPEm9HulVzhBnziQesbH3FedcC8cXLXJem6knmJ5x8+o9DW+4VxiziATaeSPiU6MvuK1wyxnwUSi4l8UqVKrCAqVKlQAqVKlQB89rIUtAYzAJPQQNv3vUmDs84BWCgg+pOx+lNuWiMq5B6AnU9T9x9KtcNjKWH5iY7wNBXK5JVFn0CUqi38hCyJZR6gVusJWN4Rbm6PTWthhTW78VCoSl8nNfk5XJRClk1ZU1StmpnvBVLMYABJJ6AV7B5LLLXAoLMQANSTsBWE8TeMi028OYXq/U+3YVQ8TeJTfORJFoHYbt6kf2rNXyNCJ6/uOlY8ue9RLI4/kfcxBiZ/fzofdu96jxeIUDWhF3FMdBMdqoUWy02fgfA4fE3it66qgTCZ8rMT27gehr0VeDcP8wIi2i/Ly8pPYaE/71gf4WcDt3He7eFxSuXJoACG0JkiZ2Gnc16kvDbCXReyAHcGTp7CYFaoJKPCKpN29lC54Swq4l8W9sFjlVVAlRtL5Y+OdJ6Ae5ov+IUg7CRGo0I7fvvUfE7rBtNWA26R7UAxPH8OSbV4MjZZLQcoGgksNBqetPuipURptFPxPwDC3Ws4h8VfUWbltQqQ6rcLLllcpI1IEnuNq0l4i67qW/l5QroUO7Q3xT/SYI9d6C+EOHeVhzaF3zbRuN5bxIgy+UFRoBrqTufYVQ4Pfa1exC3b7FrlwZVdvhkRlSTEaSBFDyJVY1CzVthGttbNlxbtIDnTLmzjSAGJlY1ofwvjFq5iLtmybjeVDO5AKHPMIDvPXTtVbi+Jvi4vlLmURnUTmIk7Ee3z26zQ/wARgLbLqbls3CqsFLqxJ2PKQR6xUXlSf6GoWEOP+G8FcS64wateYMQUhGLdCDIWZ6mvGHvXLZIfMrjQqQQR6Qa9ltG9msrZYXFk+Y1ycxG+kaAj17Ch/i7wraxQYnkuif5gAkmIAY9VA6Co/wAtja7TzaxxphvrIjf9xRfBYlIBIUvrlAnTSI9ax2Kwz2rrWW1ZWy8usnpHea9L8F+Bcxt33vAjKSygaqeysZBHrA60lDuY3KiimEygMRJO3/D8u9Kxfa2RctOVdZII+kfp170WlLVx2dbj4a2xDXQBrJ7/AJiCYMdjVzy+D3hK3MnSS5UydfzaUlD4YPXJpvCfikYhQl2Evax0DxuV9fStNNeR8U4PbtjzsPiFcJBgMuZQNiCDrrW08I+JxiFFq6YvAb7BwOo9fSteLK37Z8lM4eUailXJpVoKjtKuUqBnz7iVHMcuwAkHUE6ifqPpRTDW8qAegoTYTMygAhiSWBnbcafvajbdq5DqHxE7zM6SiFOB24zN8hWlw5rP8NWFAo1h2r3ukh2Yoo5Tq5d+RsJ2zWL8a8bLHyUPIPiI/Mw6ew+/tRjxFxTybUKed5C+g/M3y+5FedXWg1LqMle1GeEfJ1RNV8ZiQFIA1nT7Ur+Ky7CI+lEuGcQx3D7ojDi8MQAVVSWnKCxClR8QWTEbCs+OHcycpUZfinDb9t1W7bZGf4Q0a/Q16N4B/hzAvXMehBELbUOR0zM8qYO4A3Gh61ovDnFDjbavdwrWkuZiM2YEhSsFTAMEnQjsaM4jjFtP5Q/LpEzt0JPXTrV7cMe5P6IpSnqK2TcPwlu1YFlR/LtqBB1kAdSd9BVa/iyqgqoZVCkJsfb2jpVh7vwloGdIMGRmgNAPXrQXh2FtszW/Ma41tYeW110AIFLJbpRHCltglONYl79zFBQtmFAts2oy76RpJJM+1WeM+IbBtk3LAMrIU5ZIPXQ6fKsNjrOLxGOu4XDMWhiG6KijSWMco6T16VveC+G7NhkFy5mc5cwZgRyEkFJAKxnies69IzwWd6bW/o1T9CNOg34fyHC20W15AZF5cuXXKBOupOgMnXvWa8SeEvPui8NRmDZ1YypAAOgOo0nSt5eYkShDR69vWhvDm8/PlOUI2Vxy/ENSuh0j+/WtcoPiRjjKrktAbG8ZSxbaNciiQoLGdlnKDEkRJqfh2IOJsq5CsrLmy7kETprpIgbUTuWrKWrhshWYyxgiWIEgEj00E96x/hnEJDstlrEvnVCV2MHUCSuv5dIrPmzehDuk7JQxvJKlos+HeKXJceTcTM6lxdCothIaWzmPMJygaTGk1Nae+94wGNvOYOg5dYP6e+oonZDOQJ++lPv2fLLZCzaA5B36x7zNLBlWeNpNJE8kfTf7MZx/wgRi7WNSznVDmu21IZrjSAhCEgabkzPKNDWi4Nxdc2UgWiSVCaa6zOmmu9RcSWzeNk3w6m3czImZhLLzagbxE/70M8deTZ8vFZJBYK7D8pOqP6GRE+oq/u/xKteS/wATwvmYW7g0uZSxcr1jMxfKZ6GT7A0M4hwb8Nw1cKii7euOo01LOWkkTsAoPyFXuHHz8Pba4MrrBaCQfqusHeoV4nzJ5S3DaSZuMCs9onmYT12+tKLfDBq9oxFnhxVjmUAqxB1EhgYI+tFVxRSGV9VOncEetA7HFS928xhS1y5Aid2NWnK9SWJ9Tp3PrVb9rHyexeFPEaYpNQVuqBmUgiemYdwf0o9Xh3A+KtYuLdtK0TqY+IbEHWYr2rCYlbiLcU8rAEfOt2DJ3rZRONE012mzXavIHhmBUm4zFg2XlB7wTPv71dtrJg96g4fZy2x661dw29chGPq5kjs+qydqb+Arh6J4c0Ksmn8RxRt2XYGDEKf+JjlH6mukTpHMy2ZjxBxLzbpYGVHKvaBOvzMn6UJZ+/3p95Mvy0HWrPAOGLicQlhnyBp5subYFiN9NAdaw7lIODuA8K4jGgNae3kzZXljKECZKgag6bHrW+8DcLxNkWkxaoWtMfLdWzcuUqJ0kGCR7e9EcDZwWDC2ke2rEhQSVDO2wBAiT8qIBPMaAehlgYOnrWyEXEpk+7gJXiV21E7aaDsIrHcf4P8A9Y8+1qtxcrWlVSS4lg4I1LdNelHnvOzhFlioM6gAxA1+cVQxfm4bVbRuXXdnC2lbKJAXmdtJMH+n/KyVki01onicoS1yE+B4R1Q2n5lgEZtCJ6R0/tVLhnhy1YvXbiu5a8yk5jICLHIB2Ouu+tLhXDna9+JusyXmtMl0WmPlSGBRirTzqpIBiDzT0qn4o4g1uz5iSwUhX3zATlzQANR7dZoajjgqXAXKcn9l3HGDcIt+WFIJuQAXgTqB8SgER6j0q1ft2bd78QVzORlUnWBoYXtMSfas7Z4ldxISxYQnKmdmkQ5nTUnY7yTuantXWxVqASj2QVuL1W5BGWdjBB1Eg6VHu5a3/dh2vyXTxKzaZWLKt3FMveScq6EGIABUa/1etX8Lh8gdhrcLM+UEDNOwryyzxK21si8Lj3XgSZcidhGsD0FbTgd7IDZa+111EBmIJEbbACYI9dNzvVWPP6jdx44LcmH00t/sM2eJrJVlRSex3MnuB2+etAOLm3dvT53l5Roq5QWP5mk/EIgfKhXGbOIVXLXBPMbekh2glQdiJPSvLbYZEcsoDAkZZIIIOsH03qUl3xqaJYlFStSr/wBPUFxWLey1sI63LgIVvhI2GYEHlInQ0R4V4ae3ZOfG3DeulXZpXPI1jMfiHrEmN40qlwxxetgXr7LKQy6KTmBB230IgjUEUe4Pf80ABs3lAJmIgvAHNsPToNZqrp8ccdxXkM03J2lx/fJV4TfKs9q6SWzNzEfEep9j9O1Vcbjm8/8AD3sMHsXUALgArOoKMvbQa+oq26O97/siuRmlmJWIECI0eZJ7fPWh/GcNiFe5eDA2lylV/NoozR8+lXbitbKbTex/DcI9m2XV1a1rkM/93Jyzr0Gkz0msxxbxeLRyIpuSGVk7HoQRutajA4pcRba1f0t3AVObl30j3q+OHGzbfyETkXlBgTA2LAT84NNe7ZFqtHjmCwt748hUw1zXTQbkTrvRzyGKArrHxe+8D0Fb7jNq09gC4nmG4F5ezRmEsNhp3rG8Bw922zJdXL+YKYJIJMGRUJR2NMXBbRMswKxpHf1r0TwNxYMpsGZUkgxoB1BPTX71irmMAcKsZep7d6u8I4nbtYmy4b8xUx2fQk/oflU8Uu2Qpqz1WlXKVegZjyK8sGAIjQfanYapMWNSf32ptoVzP4yFyczpetn7Uvku2TVbjjaW16Zizeyj/JFWLVRY9JDmfhtHTf4mXX9P1r2Z/wATyGZa7dhtNNum4qnfxL2jnttldDKsIkHuP31qfIT1FUeII2UksI7R/wA/7VkXIjO8SxdxrjXnYm6SWZ+pPfSvf/DtgYbDW7alGvXsrHLAUZogmPyid+pmvnvEHrNe4fw/8Mfh8M7uwGJvW0LG4SQgWYA1+EZpJHf2rYl3RKm6ZqLCW0vBC4NyASc2UwSYMTsSCI96mxrO+Zbd7LmhZVVbKVYhoB/NoR1iNpqPFYrDWnR7iyxChbpXMOwl4hSZ0k9fWquDx1x3D+VkRySpgDXNEETqTMz1mpKo6QnsvWHs4cqrXSz4hoSdZMMwAjoFB+S1kvEtwWWcNdHkk5nUmYYQx1nQGZI6+1a7GYJWupcZZa2xKk9CUZJHbRiPma8y/iPeQYi2t9D5VwoXKsZITNplAmSDE+1VZFaSLMfNnqPBbttVKqvMuQOQsDX4QDsQJ6ba96z9/jVi8cThcKwF0+YHZV5VY8uadATP2NEWvK2GU2nJtZAFEnMwAEAsTI00M667ivMuL8de2z27YXDmMrmBMHUBSNNuvSTUJ5/esUVx5+BqCUHNk2B4YmEFlmvs1/zBCxvkGYqQJMab6U3GeJnbGhpDrBS4iCCsHRgXPMZOvpNZ/AYrnMS2ogkyc0gAAbgR3mrVrCOzXotlWWGJYgcxkyJAJP6QAJqDko7Zbj/5FxYVx3jC2ENq47vLlkkQygbLOxj1NCsRiUuXFNq3mdjMkbmI/LWr4P8Aw6sMSt9vNVhmW4QA2Y9B/wAPWKmxuFPD2tJbsls1yMyjQKCNSBGpUkgD+k1bJWrK1JJ0DeEm7gVW5cVmN1Tyk6IfiiD6aR6fQ1h+LMD5yI7mBmEEACDBGm/70rR8Rwdu8CjjMCB7gzofeheJteVZNtGhnbLmy9hzGB6KQJ6xUex3zoO9NbI04yXU3boCJpymZIOmkAliTssSZqXGYP8AE2+R3tEbKBGnYqw0NJoW0z2FBe2DIPMQYk6DUmCDA1IMVQ4XxdjbF65eRUIkGBJkTPp7AUbqmRryhcQ8I+ZYS2/OyEN8RUMw03G29CeIPixnDJlZhkC55AMmDG30qzY8UtibjLhSxhNGynQz8fNpHpGulHMBdF+3muLzHfMIJjSYjSs3UZYL2q7NGKMkrdGVwv462UwmIUWvNBZLqkOFAIzCDEProNd+wNF8X4XtKr3Fv3WuKG57jkxAzZcugy61LjmVL1u9iWlbci2pE5X15gQOonesr4s8Zec3kWToY8xhtH9APr1rTiyRnDuRnyRcZUUQ+n6nv7UjsSJMRJ7SYqW1ZGkGZ3GxHv8A5pmIlZAbRhBA6g6we1VoZo/9VXf/ABHpVnMy9qVW97CkafHNGg7/AL/frUVkUsUZaO3+9S2VrN+Ox9mFfezd1Urn+ixaFSYm1Nq7IMFI+YIaJ+tdtJVlHEFSJDaGOk6T7Qa3yWjEzD4jLpCxPWhWOWVMz2onjVhjMggxG/72qhdxCmRp9z+k1hGQeD/DBxmIVdkDc0egzHXptXu2Bt2mtfhpzqFNskmTCjLE7kkazXz/AIK+63BbFwojkhoIVgCNYJ1Br0L+GPGLCl8PbuCLQcnzGgnmHNMQR9tK3YpaKZo1GP4det4YqzrdkhchUKuWco+eWCRtofehPm4tmH4y4pwy5SoSAxIIjOQBI+m2s1o+MhCgU3MqpzGDpA6ZmG361hWxtjGXWw73CFVoIAbLcUbglSCo0ioTfbKiUV3cnozoSM9u55incafoRsR2oIeGK1wNdQF1Dc+hAB01G+0fOguHtYq2ws4WFtgqBccgqZaW1Ekmd+8eta27gXgqlxLlwKCWbl1Oo0UEhe396ozd2XG2o74L+xYWvct/AF4pi7dlFtrp+W2k6sd8o7sdTVQ+FLS3hcNg+YwOZHYXROhzAGZ3iREdqIjhK2bhvuDdcKRMGVJOnliIMwcxJ2jaiyY/zLa3FA8wAgie8afMgVDpsHYm3/Jiy5L44PNPEPAvJuJibNtsucBwgzAHo0D4dflVrhXCmxFq9cQlrnmAw7mQIB0PY6wPSrHAuNXgbgxUKLjOCsA+WxJBkjQr6frRrgGW1fu2FAKlEuAjYySCI6fU6RVrxRnp8BHLKDtcodwQu9psNiLTqrIVzyBysMpXMrSG10Nc8aWUvYV0uqX1UpGYaqZEsNQNwT60O4dbe0xFy/cILFRPLbX+lFJ1Y676yQdtqo8axhW6t23cz+TnLpnJXaIImM29WrUEip7lZR4D4kx2Hv5cTaa7ausYCoSyHqBEz1OXcwY7Vc47xe7exS2rF0CwcssgIYaEsA24236TRPwxjrd11YXJJzEggDf0j1j5VY47hLKXReykTKvlMQG/7zTUEHqO81B326Gmu7gscUxi4dbUoWa6wUxJhYJYmTtMD50Mu+HrbWSMOoMmFU6BROvN0UfauY/jNslNC401kQq6QTJ6k96sH8XH/VFtpmEMboJC+qqrAZtTPTah02G0d4Pwi1w/DFGuZ3A5nIiJOmmuUSdz2p+L4gFyv30JH79Kn4Nw26guHEZXa7GZgNCAMoEbjSfrWOueFWAlrzWwp5c0nrroTEH0rNnwd7taLcU0v5EXj/Hh8O6g9iPkQaw/BLXMNJo7w3idm4LgxDZREIzDcCZI9T0pvhi4qkjJbcMIlgzEDuuVhB+tSxQljx9rFkanK14DRwwCByxXSdPtVawpGpEjfUdPbv6URvILkEHlG4AP2/tTsZw+5aVfhZGOlxGDBiNSNDIO2hHWporH57P9TfrSpn4A9jSqVCJ8NdDsYYE9dZopZSvOPCPCr/4tXKlVGYsZ3kHT11r1Kzbq+EFFJItnPubO20qQ2yQQIkggSJGulTJbp+SrK0UtmM8ScJy3OaCxGv8AQP8AhC9veTpQd7YGk/SvQOOYPOFcRrMe6gaH3AH0PesfjMOJ6TrWHLGpE0zJ8WwsdNDRPwipFk5Lc+ZcyMwOqjKObXfX7UuIWAwI6AT+o/zTPDWPFm4LVxiqEkgxsYGh7T3qWOVKhtG8e8+LS/kc2ltnKSTmZnKhzlOmUAMPr0oV/DrhyplvXGCKhe3/AObXv2zAaVpPDfArbq+Yv5dw51bNrsBpA0EAe9CL/CDhreFxDOCtu4ytBEBjmQXANQVaD7Zx704RyKXe+BuUO3tXIc4Lh5u3b3m3ot3S1q0OQFWUCGA+ISCdfnM0YxfEbkhQFLGGyC4A5WcpIQ7xPXSaJ8EtJ5C5SDJJJkHUknUjqNqfiwtpXZEBaMx2DMQP6juYgCfStclUdme7kZPEviFuILnKXuBVtg55tqMxuFgBBHoInTsazfFeP4s41bOFGdFMsukkagyTqATtWt4pjLhRD5S/iXtsV6hCApy54nLmI94oP4WwWJsqfMwjCYYkNbZs20Tm5h1361kdqX0aVTjfkG+KuAtjcUtoI1vIMzOIi5sZB65eYa9SKOXOEYbC25XzC4Alw7Fzl6TPygCKo8X8TWLbXGznNazAqFaSfhygxGrepEA7UN4RxrF4v+aUt27I15g0jvBkT11qdqtkVGTCXi2+LnDyynyywOVFCuSdcsyDBETI2jesA9uytok57VwNkuO6vDZjmhmjmIMGTr9a9DTAHE2XdmQjmRYXmAJykhjMH27VdxGAsm2EYDy7ckzsYGpJO8a71K29ENIw/BOLrhC2e0923lhbyryBoIOvb19KLWvFmexAw6YlyQGTMIPcyQQBpPrNRcR4tewoV1yHDFgrKw1tqTAYFenpBiaH4bgCXcYxw+LVfMRndUK6EmAMq6FTJO89es03DtSpityewzdfhq5LllVDD4rdttG0jIROUESO2wG1ScP8SveveTbw7IuWQ7MAB0OwO3pJ9Iozwbhqfh2wOJRSgiCugI0IYNurD66deom74FNm+l21ddgGEZnMBSdR7x9ai9e4NcFvD4y+QHa5lIfy7lrQwZCyGABO4PTQ1Y/6RuNiDhcRhg9l1lbsypEEsrIREiN/Ud6o8T4hZw1/K4zBgNVGaGEnm94/c0Rbhq3rFo228lFGYNtAIkjcZRrvOkUk6sJLZm8d/DvDviA1u8VsTL2TJOnRXmQPQyR0qv4gxlm4Vw9pF8qxoCoA59jEdAPqT6azeJOOqGNjDAgugzOp2EkEyTq0bUMsYVVtwpEgSDtp/kVGc9UNR8kdlmUznJGkgyfo06R6zVzBDPeRT+blA+y6ab1QDTrtWv8AAuBz3DdIEJEadf3FQxpyaQ5PRpf9OJ/UfqaVGaVb/SiZ+9mEweGjpvRSzbpuHtVftWqikXykMS3XTbqwErpSp0VWUrtqQRJHqOh3De4/zWT49hnENIBnVQdAfTuDuK2rJQnjXDfMWRMgaqPzLMkDsw1IPuOtUZoWrROD8GBa2W0gQdfl0j7/ACFDMdw8sDoAR1mPnrWmxmDKEs532gfLL6R2ofewbMQWAgTCyO/X1Hb1rFTRdZH4N8UYi24w1wkqAxRuwGuX1Hai+C4E+IwN3CWXDEvmhm3bMGgGOUSNz3qu3h+3eslxmW6rCHUgaMpMH1kGgfhzCYwYxbSXPKuKQ2cbOn5jqIbT9a1wbdWVPR7bw3DW8Hhkw9s52tquY6szEjViBJE6wOwA6VUx125cskPy+YpAdNMgJOsPBkCOm9B/FOE/G3bDWrzotm6DdiQZChgN5zdOog9K1GEvhot5WJic5Ay7mesj6datnHu0mQi65Mvi+LqLnK4CIIUxMkSCJ+nbau3OO3WtlyP5MaysZhPT3H3oxxHGYe2xt3CrkAEqYgT0IJihD3rF1mv+c+SPL8hTKEqfiCgSxObpVDTV7LE/oz3GMVhrFiAgVr4U+VGytp00Gk9avPhkvraXD3lFsKMyAbHSAQI09KD+NM+Jtpbt2Xm1EKFJaTAGi+gq/wAKX8DYBa04BZfMutywIH9UEDoBUVsm3rQe4ALSIMIXUOc/Kp7ktmAJnqDr1rNcUa6/mYfUc0XNSC2XQajUCANo6UziuCt2mW/h7rLcVs8Mc+5BIzHmAaNRNG8EpeLjjmaCfmNqy9X1HpxSjyX9NhUm5S4KeDwYa15V0ZgIHN1AOkmqNnF4W7iGdLYTygMwGhOXMJ00IGmtaDidxbdprh/LWOx/BMLYey14lQy3DdAkgzrDRqBrHyo6bNLLH3f9hlxxi7iGcDxYKmdbgNpizB7mhgksFUAcwA/ZqniOOHE2ksJfIbzQujQ8KT0G2mutD/F157iW7dkr5bHXLqcscu2wn+1Lgn4SyyKAPNJJzHVpg9elakjO9BHC8Oe9i/KAVkDDzbtySwXLmBB0zydPmK3acPtWrYtaugAGRjmWCd4iOv2rI4biOKsWbuIuQ1vOxtoSJVOkRrLGNCetC8R4uxd4GFWysDQAl9dJzHTt0oSjC7Iu5cFXi961cxDvZtC0qnJCgDOykgty6en0qG3iipggQTr9I+VRWRAI6SO376U529N96rexli3ZLMB+YnQeleqcB4f5FpU67n3rL+B+FEgX7gmNEPtt9BW4WteDHW2VZJeB9KuUq0lIGsWqtpbp1m3VhUqCLGyEJSKVYy0itMVlNkqJkq6y1EyUhgDinC85LmW9O2kSB3gR9etY/E2spIkEE6H20mvSnt0E4zwbORcQDMPiB/OPfvWbLh8otjNcMB4RotBTEsxY7agAqD9S1UsXhh5YGgdWzLdBhreUaEe40I2Og7U++CG1GUqAMpAEDXQAdKR5gV1B2j9+1UudEqQV8E3Ue9ZRixug3XY82QjKV2/8sEA6Ss71tMBw/LdxBFwzcZfLWdLaqiyAOxeWI/tWJ8JY61hrty7fbKPLKrAJ1LKTooJmB1oTw3xU6cQuYu5mNlyQULaIvKqsATlDAKJjfWr4Zkoqytxbbob4sw62bj22KvfzZy7EwAxLdToekexrN4HxJcS+mZv5XXKBJPr3A9O9anHY3AfjLhRicNiEzuQrmLpJlYImCIOmxJ2qzgcXw+4xtWljKpJdrZAGsRLgTP8AaqUmpP8A2XzftQa8OXbzWUvXnt7nmWfgzHcnrtNFsdxa2EYQLg2K952B0gg/Ss5gWsCxewi3fMFwXYEjTzAeQR0BJNRYXA3raomVFRYBlzmHdvhIY+9XJtaRRSbtlBLdq6cQl7KhthWULsgMnQtvtTeH8buhc7W2ywNRzRpvA1/SqvH8LZzMbd4Fokt8Un+nTSIihljCcQw1pnN9FDD4NGidtfyn2rHPFjyupeDZCcoL6ZreIcWRrDMpViAHUToxUho+dWcBcXEYN71+xFy6hUWw0yCCFAJMSd/n6V49ZukmOaNeVdq3HC+KeRYFu2pYnmOeMoY67GYj26VLFiWJNWRy5FJ6NFZx5w+Gd8Qq2kWAoU5mI0AlQNDPYmsHxDiFzGNCqEQMDnkiY+W1WsSlzE3Ab7ZzOi7KAR0HU+8mpja5oSANvT5Ab1OWReClR+STz3AVC7OFAA10kaRl2p1nDkmDo0aKNAsd/X0qfDWmHwKfVjufYflq2So0KwTpIM++tQSb5JXXAJu2WAkN8jBo54b4C95810QqkGe5/wCf96m4L4ZNxs7NyA9twPff/lWywuJsgKqsADopg5WPYNGVj7E1ow4b2yE8jRbt2oIjQAEZemsa++n6mrSio1FSqK2ozM7FdpRXaBEKLUgWnKtOApEhkVwipIpRQIgK1Gy1ZIphWkMqslMKVaKU1koGBuKcKS8sEQ3RuorL47hV20ZbUDZhr9R/it6UpjW6qniUiamzzXGYpABHO20DSdOs7D1/2oRdwbOczFCw3UalYH5RtA7jXevSuJeH7N0fDkYbOuhH+ayuI8JYi0+a2RcA1HQ/TvWaeGUS5TTWjPXsIQ2/bf2GtP8AwOcqoJLHWIEAdyRttFEblq6DN2w2haWAJn6bfb2qiLwRSFac5JYjrBIA9IFUuNEvBLb4T5cOhUXATLgQRpG+/wDvUeJtNdaL9xrgYFQM7Rm3HLMDYjbqKga8CMs6Tv61G2E/NmgiIj6g0JsQ7EcKtoAvliNdJaNfnXRZDDIQTGigkn6Sd6T4+4WXzWGUanIg1Prmzae2tXGu27uUKTvquqkSDvEaf4oaHbZT8nUIqhfXaPeamOCIOpnT8sn5axBootywG255PfSd6V7Gg6r9qajYrKdlGWWFswsanU6j10/Sp2xhXKzINRM+g6++m1Ps2cRdEW0YySZA0003MDcd6NcN8LFgDiDEbIIJnuTqPlrVkcbfBFuuQRg7j3SBbUsCJBE9dR8q0/DvDuUhrjTpqo7+9GMHg0tqFtqFA7fvWrSpWqOFLkrlP4KuNsE2yqrOg5BAzKCMyCdBKyO2tVOIXlGe8bly7Z8xJt5riMjFh5NpsO8KFzhUUrEkiZBY0Qx2ELhQI0YMVaSjiCMrQQY1nTYqDqBBqXOEs6xy2xmR/wDtLl8s9o5rRZ7kHIjc2QbnWd5uKWMv4i7/ADh5jB7dq84yi35RuW8g8uGUu4DOFLSslWgCprNy41y0vnvN8FgFS1FuTdNuSwlkZU2AnlY5hoKk/BXSzkLaQXipuANcc6XPMJBYQAZbkAABcmTtTMNw2+otMDbL2kt21GZoISzdtZicsyTdLRHTemIDf6qP/wBfhP8A9fEf/JSq/wD6Ltf1f+n/AJ0qANMtOFNWnikM5FKKdSimIaRTStSAV3LRQEBWmlasZa5lp0MrFKYyVaK00pRQWUylNNurZSmlKVDsqFKHYnglhzLW1J70aKU3JUXBPkak1wZPF+C8MwMAqekHQfIUNv8AgQ6ZLxiNiP8AFb3JSyVB4Isn6kjz+14An4rzAdsoJ+uaP0q9hfA9tCD5rzsYA1HYzP2rY5KXl0ehAXqSM0vhDDAyc7HXUt0PTQbf5NEcNwiynw2lHyk/U60VCV3JUljiuEJzk/JWFunBKnyV0JU6I2RBKeoqTLTgtAhgWpAK6Fp4WgRxRQrxDxLEWMjWcOb6nNnCgllCZXMAbkoLgUdXyDrRgCnUwM55vFf/AA8L/wD0/wDfSrRxSoAjSnilSqJJnaQpUqYhwpV2lTEKmmlSpgNNcpUqAOGo67SoGNNcNKlQByuGlSoGcpUqVAjortKlQB2kKVKgDortdpUgHCnUqVAjopwpUqYhUqVKgD//2Q==</t>
  </si>
  <si>
    <t>Sambara Dosai</t>
  </si>
  <si>
    <t>சாம்பரா தோசை</t>
  </si>
  <si>
    <t>Raw rice - 260 gm ,
Black urad dal - 50 gm ,
Black peppercorn - 15 gm ,
Cumin seeds - 15 gm ,
Dry ginger powder - 10 gm ,
Salt - as required 
Ghee - 25 ml ,
Curry leaves – few sprigs .</t>
  </si>
  <si>
    <t>பச்சை அரிசி - 260 கிராம்,
கருப்பு உளுத்தம் பருப்பு - 50 கிராம்,
கருப்பு மிளகு - 15 கிராம்,
சீரக விதைகள் - 15 கிராம்,
உப்பு - தேவைக்கேற்ப
நெய் - 25 மிலி,
கறிவேப்பிலை - சில கிளைகள்.</t>
  </si>
  <si>
    <t xml:space="preserve">Soak raw rice and urad dal for more than 2 hours and make a thick batter out of it. 
Add powder of black peppercorn, cumin seeds, dry ginger and mix well add salt. 
Add curry leaves to batter. 
Pour a ladle of batter into hot tawa and add ghee and make a thicker dosa by flipping on each. Sides with good amount of ghee. 
Ready to serve. </t>
  </si>
  <si>
    <t>பச்சை அரிசி மற்றும் உளுத்தம் பருப்பை 2 மணி நேரத்திற்கும் மேலாக ஊறவைத்து, அதிலிருந்து ஒரு தடிமனான மாவை தயாரிக்கவும்.
கருப்பு மிளகு தூள், சீரகம், உலர்ந்த இஞ்சி சேர்த்து நன்கு கலக்கவும்.
கறிவேப்பிலையை மாவுடன் சேர்க்கவும்.
சூடான தாவாவில் ஒரு கரண்டி மாவை ஊற்றி நெய் சேர்த்து, ஒவ்வொன்றையும் புரட்டிப் போட்டு அடர்த்தியான தோசை தயாரிக்கவும். நல்ல அளவு நெய்யுடன் பக்கவாட்டில் பரிமாறவும்.
பரிமாறத் தயார்.</t>
  </si>
  <si>
    <t>data:image/jpeg;base64,/9j/4AAQSkZJRgABAQAAAQABAAD/2wCEAAkGBxITEhUTExMWFhUXGRgYGRgXGBodGBoYGxgeGBgdGhodHSogGBslGx0YITIiJSkrLy4uGB8zODMsNygtLisBCgoKDg0OGxAQGy0lICUtLS0vLS0tLS0tLS0tLS0tLS0tLS0tLS0tLS0tLS0tLS0tLS0tLS0tLS0tLS0tLS0tLf/AABEIAKgBKwMBIgACEQEDEQH/xAAcAAACAgMBAQAAAAAAAAAAAAAABAMFAQIGBwj/xAA7EAABAgQEAwUHAgYCAwEAAAABAhEAAyExBBJBUQVhcQYTIoGRMqGxwdHh8EJSBxQjYnLxM4IVotJD/8QAGQEAAwEBAQAAAAAAAAAAAAAAAAECAwQF/8QAIxEAAgICAwACAgMAAAAAAAAAAAECESExAxJBMlEiYQQjcf/aAAwDAQACEQMRAD8A9xggggAIIIIACCCCAAggjnO13bHD4FPjOeaR4ZST4jzP7U8z5PABe4vFIlIK5ikoQkOVKLAeZjy3tX/Fpnl4FIOnfTBT/onXqr0jiOO8dxnEpnjJyg+GWmktHXc8zWNZfZ3nmLilMo3cu5byjOU0jSMCvn/zeLUZsxS5h1Ws0HIcuSRFpwbA4dKylSnmJDqJSWGwGnnFrJlOUpdikM36SeXTaNuJf0JOYlVSwSwAJOtL8oxcmzVRSNlTTRhfXVhtsYylISavVve7a8/dCeHmLUgOcoqTmoz02DxPiBkQmYyll7JBd2YEtXlEFEHEZMieUd4kjIlgpKiCQDYxKJSQnIAQKEVL/eMcFw8yaScmQPQE1hSVxaaVKR3SgQT4mPkKivlABZYNRBZmB9Y1xcpExSVKlpVlDBSgNDUW84xLOZhUqLXp1/OsQcSmiQpKVEOQ+rB9OcGWGBmdOlDKkJA8VrJIt0v8ImxmBdJSSyrul2FaBql2islHMXoaEin45tWLVLkEqc6lNjsHhAVv8jOQkMSupI3a9RoYkw+Nmzpa5XdFKiWDpIdtj5XixMxK1BWYpIBIZ2NqON/rGf5j2gFMAGcUVr5bQwKrCAIGRRJIuzn37xcgoymYkGlBm9XB/NYoMSVE5kpUCRXWutIewk8oTkWkkEWOh9dm9YSY3Fi/ElqA9hM1JI8JAN7sTeEpHB8PM/QqUa+yt2rZiT+CH5S5aEanN6O7v0fWIylNHFzvsetdYVJicU9or8V2ZxCBmlkTUf2+03+OvkYr5cwuxBBFwbx1PC509M/u1MZTli49nRwDTaNuJ4lE1a0TZCjlolYBBa4OcUYiMOTiTWDGX8dPRSYcgKCgSlQ/Ug5VDmDHp/ZDtbNICJihPQKZxSan/NP6uo98cCrs0SHlTNiy6XrcfSK9Cp2HWHzS1ioP00IiePl5eH5ZRk1KOz6MlTAoOC4MbxwPYvtUJ6WJAmJopOih+5I2+Edxh8QFil9o9WHIpq0BNBBBFgEEEEABBBBAAQQQQAEEEEABBBHnn8R+2xkg4bDH+qaLWP8A8xsP7/h1sm6GlZJ2+/iCnDZpGGIXPspV0y//AKXy012jyXDYeZiZhXMUVOXUtRqo7PBhsAqY5emqjrv16xaqwpl5SmqKMNB7nMYzmawgWUkSwnIkDw6Nbbn6wJxGUssBI98RcYmHuM8tBUsGuV8wSA+lwflFYcUqemWplILMpx4i1ttBrGPhoXKuKSqLarkD4W6QniuIqmlu8ACW8IZ/znziEYQILoLvWtaasR8IhlzknvAtOVSkscoBNul4LHRZoQDKKnto2l36wxhCgGo0oCT6mKzh4EpLJKlNqo3+RrDuJxSSgpWGJsx35+kJNDaYkrHTu8OYAJdhUV5sKND2OQQMxUKbG/mYhwol5RlD3AYPa/lT3RDh5mRxNS7uE0FumkGxaLLhEhUwucoBu9SKUFd4r+N8PRMX/WRVKrpURTS142weKDEhVaFIBpv4osMElUxbhIdqgs2xtcM8NPFIGin/AJNpqVBRShKfYDvyq7sXtFnOxOUEkuPQljrFfxKahM4oNCKc2PPWNJ3eMkA+FT9SLFzcX84KYJocBQUhVWNQmzHlbWCVLcE5CnUve7jyiJCCoOkPlpR772rrDGHmkeFtGPx6E6RjJyRrFRaIJigG8LVrqLULelImUvKctTaunO8RkrNQAz8h6+XzjZeIBd0ZfFfnZqj4wm3spJGhwig+UeGqiNamhO28I4iaAc1b05C19mc+sX2GxiCgoJuMv9zafGOdTghLLFZUgmoWLj9oI33jVNUZZsscPOST4bAUOZw72D/lYZQZgScxqdWG9LcoqeHcBTLWSla1DQLIYB6WAq0WsmZUZqKZgwoWc36fCF6PwlwmPUx8OYAVLi3Lz0iwyCdLyTGWjc0IcUKSBTrCfdOCAz0ZR3oKs1W2ifh6Eoo9S5UHY6AHnp8IurIeSgx/DpmDmBQUWd5axem/P4+6PQuxnaX+ZSQaTUNmaxBsofMfWOZxeMw+IBl94SFBmYHKrRQqGrFHgO/4diAs1Bo4oladQdj8CNY54/0y7L4+nPKLg/0e9YXEBQ5wxHLcE4tLny0zZSqWI1SdUqGhjpMPOCg8enGSksEtEsEEEUIIIIIACCCCAAgghXieNTJlKmKskW3OgHUwAc/287SnCyu7lf8APMFP7E/u67faPIRglKJNyakn1qY6PiU8rUvETaqUfsABsIr8O6jYiouGB6b/AGjCczeMaNJCClNUDQONtekZC0iiiGFNGZ6F94c4hNVLR4UBYNFJBc1vT/cUqsL4XSWIahFMo0eMqLsnRiFBRyEgu1Lbn3RpgAtyzlqgKLi9bXsb7xjCzXJUpmDBI1MSzOJOUpAAKncgs/p+UiJSSZUYtmJmLSCqozapIp0BisnTTnFPaFD/AGizdIanSw6lgBS+bO1t2L/OJuHJBKSQygPZNcov5aRKdqkW1WTTD4fx+y/h8ILgE6uRakQzU5yoNlAf88vkYtVrCUuEAGpLNe5PP7RNKklRYXyuQ+g+MOvELt6ynzJAyPlYOwub6c9oixkpWYOp2Ipv0LdPWHUTUrIYh3Yh9ecLY/MtRSGDB6GpbQfWBxrIRlbNu4ykFi5NnNt4YTipgJyMlg9Q/wDscoc4QrRRClFJYUAoG83/AC0J4fEkTS4LEkEtRJDW3eBRXWwt3RjF4WVMUiatAK3bNXmfZsaiG5ktSyAo0Szu1Es9LfgjSXPCXSoug+L+5JvVrjSGZGKBNgQzU11Sehv5RNv0Vo3ThMrMSXNOmsRqw5BdYJG4f02a/kRGwVlIGYF/3aC7UDKb6PDScYlajLSylUzbgEOKHSsO0Fiq5KCxGYN7Tm7RtKkkjQJrdrPcndn9TG0/GgAhaSGBqKGm27v7ojwONQZb73BdwCSaivr8ITi9jU1oxNwWXxABn0J8i9raxtjMJmTlCh0evJn/AC0MSpyXUkVysWDgVdn39XpGuKwbl0BwT+6xFb8zTyio3Qm0U8iUpJJNKkN9t4YmpWAF0YWYakfD7wyZZKv2qG9/vCeJnJJ7tYFGINq3B3pT1MCdsNInwwSoh3TRzXUdb61hyXOCZniQ7Jvc32b3vFf3yQpBLF99C1j1G+8WEyUwCkskFq87NSNIkyNE4aUZvepQEFsxISzvvzibjQM2SpKw1fDyNw3r72gkSQzF7g1YvTVtX3iXHYLvZakBZSTY7KG/uimlRH+lR/DPGzE4pUquVSVZg9AU1f5f9o9Yw2Lyl9NY8Dmqm4ZcyWpwZgAJ3TRRAOodvSPUuxeP77CIcupHgP8A19n/ANWjL+PPq+hisYPRkl6xmEOD4jMjKbpp5Q/HeiQggggAIIIIACOJ7YY3vJolA+GXVXNX2HxMddj8SJctaz+kE+eg9Y81xM/KhS1Gpc+Z+8RN+FwXpznHppVMCU+xLcq5lqD83ELYTiJmg5TagowfkTGJc1KllKleIuTprp5w7xJpUoqygeJnJBGju1tY5ts30RYiez5TU3B0G7bxXcUxRysza2u2sMJnylpKw5BHiVuwra7Ry/G8WtZCkE19kDo3n0holyLvD4fMlJLEs3+iOkRhCZau8UxbMCc1QbgAPfyvDH/jhMwqUCYULcKcDTUHlCvEeEIEtKVqW5PtC5o3prGT2bRZPIWlfjqK7DybSGZWKzrGXwhINQkEljQ0vC65S5MlIk5VEXKlByC71LAaRiWhZNfDQWNOgcXiWopWNW3RdyMQ7hknapDE3B+MMJmVKhoGo4sK3vSKeRiNy4DM428r1MTT8YpIKgCSQzHVJU1yfdDUkJxZXTUSUqK5QCVq2J15FwPKGsEpKcoVQl8p3JrUxBLwYPiZiRRIsBodwHa0W2EKEpKZmULFE9WfXqYlScpFdesSKYopSVpo9iwiTgiPGFlTDXaz33tE0ub3kuZKUmrkoDCzNp84r8JhFZWDpAP572ivMMn9MspsplFQZi7uzmliNLRzGJxC0zxKSgpSplWJd6kjZnI8ouZYVW4JrVrgt1bzhzDzSAM6gSMraa/6pB2yLrg0lpKSaHKWNqgkB9WbX/UIcS4slBR3CkzDVyXdydKFwBo584Z4jju+QZZFHAcdeRjnzwIKVkQuprmdT82TZwaekawUTHk7eFzh8ce8zzAkpW+UlVC1iCKWo0OYqRnB7svR3KrGrjnSsVGE4IQjuSVFDlQVYuDRwQwsKF/r03CMNLohYUVAMSRpeumvW8CS7YH+VZFXnDJY0qlDEkA1cqtUClIlQtRIKcwqTSrG9okxfD8pJlKUKOKhyq48n+cL4eYMpMyqrKahBDi2vl6QSirKi3Rv37By7KoFEFwo1qOUJ4/BkkEljRmZ+YNGbWG0slkLIIYkmvXzLRDMWB4cygCC1qZblzz+MQ9lopeFoX3y0rBABZLuykguKWe9o6GTMqUsUglmJp1HWnrCqZgSUsFF6B9GIc/CJF4gKoaLDUbS2tN+dYpZJZZS54QLUar761jcT0mqCSnWnwivRLCAVEAPzJo1Kamvm0TpWmhJc2oKU1jRUQxbj8pKkgKS6dDq4rfp84W/h3xLu8QZJPhmBh/kmo9Q/qIl4hPCqA5gwBfQ6Hr9I5rAEy8VLIDeNCgRT9QP51jDkw+y8JmsWe5cPnZJg2NDHRxy81EdFg5uZCTyjuizORNBGIzFEhBBBABzfbTEshEv9xc9E/cj0jzjtLimyo0fMeg+8dn2vnviG0Ske+sed4yeFzlkjNQpAdqC/vjDkZvBYFeGYmUpZJUSXoW+HKLTEqSoKSWU4sWI5UiowODw9TLIKxzVToDpFnhZBKg5F/fGJoU+NxHdeCXKUwDMGSA92Z4qsMkqmjwlIQ6nJfoH/No6jHzTowALkmhdnp9Yq5CgxUH8ReoD35ARVUSM/wAwhLrJ8VGSOhFh1jGJWtQDl2GuoYW84gUmXMaaR4gGoaekYRNUlJFCTY1YV+kc02zogkYlqKncEFtHI5vpWsMZiGB10fQ63hSVNSlWd3KqFnal6bPEoxSlKdSBdtyztc0s8TTkVdE3GJc5pZw4SblVWPWtx0iY5iBnIcAAjTf8pGMCalS6Dmb3athpGuKUnOAGI9nq+35pFzT60yItdrQyACnObOGFQW6jR4gk4kLCnIyhT38T6tqztEY8RYUSND+oMzGJsPICiokC4ygM/hr8YlYGwwGIKJolhBUbZhdgDvoLQ2Qol3IAuC1eYPXfYxKMIkkfpIF/V3Y3jbMU+1VwzUHN6mml407KsEUQy8IQFBJoQ9anmOn0iPGYYzBkS5LUNxQ1cmw0jJUsnTKBQatrffSHVYgSpYKkkA7B6muln+JhxjbCUqRz+BwMxM4/1CUpBYXBV9vlDPC5Ss6ipOpZnpr4dotuE5Sh+ZVVqeJh0MU/DVFEwuf1EgaMSKG3v5wVd0JutnQhnukEsSXejGl7vSM4eblJB8SnoXpqw6iIMRNzllZSAX8BA8O5Dv6RtJcAA5SPEaBlbG59qkJCwClrM0OoAgcyToxowpVtYkVKSlQTmGZwbMz1PKkZlhmOjb6aX1+kE1cvL4gXLsakDrRopNaCgxAq1/20ptCUxAKRQlulCKvu1o379TDxCgFOZLbbfOF5ud8vOtbE3vpa0Dd6GlWwyqCQSCSNHDnVgNoq+0/ETKloW5AUVA2q1q6alo6OThCaKDW6dHip4yVd4ZapCZmHUxzlikEBi4VYuNGv1jRKiG7E+z/F5kxIb2AzjS0dJh25PoRsOXrFVKwktCAAAlNXAAA2owcfhiVZWlBILo/Roc1w5DUvCTyDHsaZSUvMYOwezk2tvHPYiW0+Ur9IWi+ziDB8bEwd3OS4W4y0YF711BEOycAF4iQkeyVIFLMKvvZLeYieXKolq4nrK0xZ8KPgbYn6wkoQ3ws+0OnzjqjsyloegggjQgzBBBAB5p2txDT55OlPRIjg8NMJIFrknV/neOj/AIi4ooXiP8vpFXw2TLUBnoNCBXS3r7o5eQ6IEUt0FwA5vQAn0gncWTKUgah3TZswu2p67xJiimXMAS5oHFBSjX6xBxPhsrEgFRKFppmQWJ2BcEH01iFhlMT4ni0FJVmJe3X3e/aIp2PlypaMwJBLBn0iv4tgFCT4AaO2YuaHWLHh815YoHAB0Z2ipZBYHMKEmrUIpQM5D12+8bdylRYKZVWFtPtf4wvhwSk+K7in5tDPCgtNSrMoa282iGkUmyLHygkDLfYByafWF8Rh15BlX48wLZTa5N61eJgp1lSgHGru2rct/OIMNjHUpJS9w5plSa0A3HnWItp2ikrVMn7vMkpBcmrklidA1qnaLKfgymX3rCwBNH5u9vvCGDAyUumtKNtz2iyw07MgoUMwIIL1fa3N4FJdvyG44wRYOZKIdKq7aRGqYy/AlXkHG2lIi4dg5KApKUlA3cm96kkw1Nn5AjL4QQQ9dwL2f6iHJxadEpSTJxLSDmuQn0e/nG6FAirMrQsbPbnCMpe1ya89G6QwqYJafEbXzfX5xijRolwimLeHK7mlTT429IlxOZZZTJRsz20/1G6Jgy+IAB3cM9vWMHEpW6Qm1DuTez9DFxk0iWk2GDw8pAU1HvcDpS3XnCuKwCTLJlABbeDMS3vBNomCETXSsHLdgCDuLMbxHhMUlUzKD7FGsUtSKUqJcbK7C4CYnKqaoZ6ksaHYO348PoWVlJLBtAbvcN6iJuKSUsFByEihSzhVhehuLxFh8bQuA49Nbf6jSWDOKolxUpQSFBQvUat5iojCpYUkkLICk1D0o9U8z0vAtJygAOC7EkEn3MaPCXC5yihjLXLILJCxVVaUFrxnVZNLsYIBDEUFjUa0+HviDBTCtRzByKW8JDVble8MZjlarEmhoRy5CIUTRmalfR/t8oaHRYKUsEAPlrSjB6uXiObOd0mvkGBemvSALDKKvZFdj+coXnFJNnsfCCeVQ9YtMhomkoqASwe3wfk2kMY7FSpWTMDlJoQLXciK7F45MqXMmlJdIJoDWrBgdifeYimJlcRkAEKlqSXBQagkcwxfYxQmbnCSVkF8xzOLh2BodB74vOzeDzY1JNMoUrLtTKPjFTwThIw6S6lKID5lXp0/KR0vYSQ86bNLOBlDbO5fY2grKsT0ds0N4BNz+flYgaG8IPD1J+kdEdmDJoIzGIskzBBBAB4p/F5BRMnncJX7h9IpMNiky0lnISHKnqHDCmz1jtP41YB0JWB7SFIPUVHuJ9I4Ps5iUrw4oCpQAU+pDJLjW0c3Kjo4yRHFUzGIAKypix/SBQ11AaLfAS0klzUh2PKxaFJGCSElkM2iWDUdhu8PYeS5lqspSSTmZ0hrEi2npGaKZrxTDoCCBUkVL0rbSp844vL3M4JVRJJ6P847BeMExmYqDJVkBNdaXasU/GODFYX4syhmboLmL3gRBLS4FBulzfy0hydnYbtUWbm+0VHB8YCcky4t0ZosZErKCkLKtyoOfxohjRPg0FrjKRUbnWvOJDlQ5bxHYCgtXXb8rEU+eAKA+V4zLkApQVG9CCfFYmFVlWMieyAlSgwqLO3x+cTIn0NS2+rk/V4Wx3DzLk94h1W8Id/L6CNcFNWtIVkKP7VUPM7xL41VjUxpMlJGXZ9X5H1EbYcUUkjV3NW0LvaF505Q/R4AkuBqb0N3+sW/BpqSDmS4uTqVfGzQQjTCUrRXzpKCAwcjVO4BMKoUpwCK6g7da8oszw8pUoooHOtRWl4r50pJWcx5F/i2zwTiEJDSZ4YuLb9TrG4npJJCrvQB2UHO9ejaRX4bDFTpJIA50AfcaRYrwKQkEVB1SWYtziIwbyXKSWDabMWEhb7MTyv1OsYnLk/8hCAtTg5QHUeY1YO8LTypgHzAnnQb2vo28AT3TzSo5EsQ7Ns3TpFKLvJLf0byZ0uYnLlAVmJIehD0ruWibDSioFwHNwWA+fP0isSlE1ZmSyfEXZwQCOopF139GCi6RUB2tvY9Ibr4iV7NDiFAJS4ADvWjNYUaEp8+270bYB4mKAQCBUvuBd/hrC2JlqBFAXBNK0+eghJBoXTOUhYUpihQe7F/1Mere+HsOtBBUAyiRavQOeQ90VWMwsuYUhctbJcJUlWW/iLgX+8TyZpSKJCRROXUaCvviqXgW3sshigQ5LC2gJ2r0iTApmZqlLElTAb1DEaV20iqEgGrCh3t56h4sMPMmBYIIyVcVenssG899Id0KiSasJmHxMr9rBudNTDuCkChOpbQHlbeKocOlTponqzAtQhSg7fuT1i5lrTlY2r68iP9xZLI+LzkBLA+I0p73jruxeDySQTdVTHnmFKp+JEoKKikjOdtcuz7x69gpWVCRyio5dkywqGRD0pLJAhSSlyB5n86w9G8UYMIIIIoQQQQQAc52/4X3+CmAB1I8af+t/8A1ePm7hGPOHmKQfYzW+fpH1mQ8fOf8SuyRw+JmFAZJ8aNig6dQaRnyK0acboYwU9RzkLdJs5+e0OSsS4ZiAGA5iOU7L8TH/Grfwk+8fOOmk4gDwqICzYGwf4xzVRuSTZyioMnuw3iUAKks7kXNAzRtOBAcEAOlLkgnVxUa8mtC3EMYiUAlR8V3LU2MRyJj+2QtJaw/wB390F+hRzXHuFzJU3vJaSUO9KtvF1wucJgzBQAavz5xeycCgy8oBCQDS162sf9xxnEcOrDTQtObI7naK2Tou85CkIyKUhQUyh7Pmd4ZwuFCWOgNAdCNtYilYkKAUCGp+ARmbMDZhmLqCRkre5PnE5KLDF8WRnTLyqcuLHK4ANTStbiN14csVFYSxcvZRNvfEC57VJB5M5fltEshJnVChlIYhqZuRNjAgK6dhi5UACSa7NzGrCN5PGUBRQ7fnujGEEzxCYCAN6l32GnPpFbxbsumZN71E5SUkZikJFD/k9B5FoMXkM1g6jATCol2L2POvOIeJo8bFKqEAlt9i1oMKsIShKQ4IoSRewbnEozTCCXSaAuNB9/lAngTWRHDoUgHKcqaeE7NXpUinSGVLUQCCCD6+fnEWMJKku4NtK1d+sazUKEwZdRfTRxZgbxLLQtMm1JJtv76fmkMTkpxEhcpSikKaqaqS1i3p684UmoYuwL0UKUo7ml7eUTDMVjKDkZ6Ufldzb8pCjuxy0KcP4anDeETFrZ7hgSbUFotStLhRAOz3BsX9TGhcAkg13DGzQTEAjwB7U1e/0iJ23ZUaSo3kzjmcHwhq7/ACMK8YxxUGJykGhD0APK4djERfKRRJD8xS35ygTICwXJCmuLsatt+CKhEUmM8KxaFoImBih3LsWt6XiPFgZ8qTS+revWJpmAlKyKKv6li1iHao1EaLlS6gsQlwaNzDbiLZmtkcqZcNUnUam/l9Yi4niv5aWCs+2Snlub8oj4/wB8O7OHAykHP4mZqWN4zh+JJH9KcXzlhR2YBvfrDSHZccFn94Jay3dsz00Ox8oO0nFEIRlQ2Y0A3VRuoFz0hHjPE0S0pKFZUByWDPy69IU7MyF43ECYoMlPsjYfUxW9Es7X+HXAjLT3i/aVUk7mpj0FEJYCQEpAEWWHlOeQv9I1ijGTGcKhg+/w0ieCCNjMIIIIACCCCAAjmu3nZ/8Am8Oco/qodSOe6fP4tHSwQAfJXEsEZcwkAgP5g/Ixa4KaJ+UTSxT+oFnA3j1P+JHY9JJxMtPhV/yJAsf3dDrHkXFsEqSp0E5eWkc04HRCR1GPw8iclJWAphdRKQw0NqcjD2GlSkpBoEtRrNyjiMNxQKTlmVFBQVP3jtcF3aggisshgxa4ZvKM2qLssMHMl5Lk/qDG3IbQtjuH99LWlRYbW82a34IqMHwNUmZnE7PL0SEkG9iXb68o60ThMICk0Is+rxUWSzyyUg4aZ3azmSCwc2rHScOOcOAKU8MMdqOFJUHAdQNS1K/gjlJeIm4cskmtTDaBMu53GpSZ3cksokJc+y5O0WM4hCCkFTaNp66RSSF4efMTMKB3oapNubWJG8WgzvcK02aJ6jsZXiywckctKaRBLyApAcB3HnoW/KRpiSUgp3qXGvz+8K8N4rLmKyiYAq7N6tCSHZZqU5YBgCwZgY2nlSVPmdLW1B3HNhDWGmozZinxVAfXeKrFcRQZvdL8C9A7UHxEOhWNylrUoKWXQbbv+U8oemKIACUgJAoOYb3N8IRRNCkOlktyBdqG4iJE7MSHIKTYuzHn+XhMZJPCaLS9LgUzCzF4X4vMVKwvfsSEq820eNZ84OnKXD/DbfpD0nFZkZQaEFvIc9YSwDyim4Zxr+YQlWVW1qBvz3RpxkKVKUmSvKokKBUSmgoUg+nVospiAkgeydtx/qF5MkGaQWMojMK3NlCugPxgbzY1qhfhomhATOKSoipQ5sAoBVb8wwiyM8KWHACgfc2j73ieYHogIcgUs1GtveMYXDperlrOCB9LwVYWVHayZOlz5fdy1qQoAgpST4rEEiLCXh1JQM1FF3rV73FvOLOZjkoT4i0IcQ43LQjwhzc7n7corZNsqcZjHlshnpRw4e96kdIqcXxLuU5lgFRDBI/OdTEHFOPsSmWASXFLAEvU69IS4dwtcxWZTlRuTDUPWDl9EnDsJNxMwZrPRNcqRyHzj2/sXwUSZYpWKPsTwAJDkV+MejYPD2AFdvywjRKzNsZkSyWAv+Vi1lSwkMI1w8gJHPU/mkSxslRk2EEEEMQQQQQAEEEEABBBBABqtIIIIcGhBjyrtx2N7kqmy05pJuLlB/8AnnHq8YUkEMagwmrGnR8qcY4JldaDTaF8Fjpkv9Wlt49t7X9hLzcMHF1StR/h9PSPLeJ8KBdgytmq/MRjKP2bRka4TtGSySAzvTwn0sYv+H8WQoi4IG9Y46bwlYFogE6aihfbn6xDiVZ6DxCWmcyiSlQo6TQ9Q1fKFpHDZb5TUEXce8NHO4PtGpLO/MtSt6C8W2G47KKSaOdBe/PSEFFdiuA5ioyxUEgb+TXiL/yGIkFlgqSNve9Yv5GMl5GCmU5OofZiYWWqWrxTApnav6SNQBcGGAmnj0ua2jAJblzf4xphOz8iXM76WsqJslX6XvaphDjXCWPeSQFWJQKdb6RtJQspQru1IU2h16WhiwdJ43DMA7ktUjblGk3DyZyu8ISVAMJjAltiRrFKni81BAzgGwf6ekEjjxl+2mrvahJ+ESM6FcksaBvzziNGGMxJQlXib5fY1iqHaKWqhYbNT1eNZHEwgHKt9mLdInCKN+HTlDwrQrM5AKtnJHlVnh/DzAFAK9KGvyiDB8RQUnNc3BqYg/8AIygTUHm20NiL5SQ5NMvX5xyfE5eJRjmQhfcKYA3RlNSc1hV6ROePJAPi/wB+cKYztOEhiXGn06w0JlpLkd2c4UrZiSYYHFGR4nDV/wBRyE3tUpVAknoIiXjp6wwGUHep9LQ+rFaOkxnGUpCipVLilY5TGY+ZPLJDDdqn6Q3hODKWXUSesdHw3hKU0AcxUY0DZVcB7N5mKqCPSOC8DQwATaDgnBjdVBHoHCeC0BIyp95+kWlZDdEPCsAzJSPoOsdHh5AQKX1MbypQSGSGEbxolRm3YQQQQxBBBBAAQQQQAEEEEABBBBAAQQQQAEUHaHspIxXiIyTNFpFT/kP1CCCCgPNuN9mZ+HJzodH701T5/t84pJmCSbiCCMZKmaxdieI4MhVg0V+I7PgwQRJQovgs1P8AxzFDkYhWnGIegVzEEEFDTIpPFcQlTrQT+dIlV2hmkMUs1vvSCCJBlfO4hMUXLH/tCs9cxWoHmIIIejOTZD/LE6++Mqw7XI9RBBDtmdGAnZR8iflE0rATVHwomHmxHvURBBFVRSiNSeCzdQlPUufQU98MDgKXdais+g9BBBAiuqQ7I4clNgAOUNycOBYQQQx2W+AwJOkdz2f7LTJjHKw/cqg+8EENK2JujvuHcHlygP1KGp06DSLKCCNDMIIIIACCCCAAggggAIIIIAP/2Q==</t>
  </si>
  <si>
    <t>Seeni Puttu</t>
  </si>
  <si>
    <t>சீனி புட்டு</t>
  </si>
  <si>
    <t>Rice flour - 100gm,
 Coconut (grated) - 200gm ,
Clove - 2 gm ,
Ghee - 25 gm ,
Cardamom - 2.5gm ,
Sugar - 150 gm .</t>
  </si>
  <si>
    <t>அரிசி மாவு - 100 கிராம்,
தேங்காய் (துருவியது) - 200 கிராம்,
பருப்பு - 2 கிராம்,
நெய் - 25 கிராம்,
ஏலக்காய் - 2.5 கிராம்,
சர்க்கரை - 150 கிராம்.</t>
  </si>
  <si>
    <t xml:space="preserve">Roast rice flour. 
Roast coconut and mix it well. 
Leave it for half an hour. 
Add cardamom and clove. 
At last add sugar. </t>
  </si>
  <si>
    <t>அரிசி மாவை வறுக்கவும்.
தேங்காயை வறுத்து நன்கு கலக்கவும்.
அரை மணி நேரம் அப்படியே வைக்கவும்.
ஏலக்காய் மற்றும் கிராம்பு சேர்க்கவும்.
கடைசியாக சர்க்கரை சேர்க்கவும்.</t>
  </si>
  <si>
    <t>data:image/jpeg;base64,/9j/4AAQSkZJRgABAQAAAQABAAD/2wCEAAkGBxMSEhUTExMWFhUXGBsaGRgYFxgaGBogGh0XGhgYHRodHyggGBslGxoXIjEhJSkrLi4uGh8zODMtNygtLisBCgoKDg0OGhAQGi0lHyUtLS0tLS0tLS0tLS0tLS0tLS0tLS0tLS0tLS0tLS0tLS0tLS0tLS0tLS0tLS0tLS0tLf/AABEIAMIBAwMBIgACEQEDEQH/xAAbAAACAgMBAAAAAAAAAAAAAAAFBgMEAAIHAf/EADwQAAECBAQDBQYFBAICAwAAAAECEQADITEEBRJBUWFxBhMigZEyobHB0fAUI0JS4QdicvGCkhUzFiTS/8QAGAEAAwEBAAAAAAAAAAAAAAAAAAECAwT/xAAgEQACAgMAAwEBAQAAAAAAAAAAAQIREiExA0FRE2Ei/9oADAMBAAIRAxEAPwCyrNj+mV6xBNzOYbqQn4wIxfZbNSgKVR/06gFB+I2gLmPZvFyWM1Kq7vq+cc68JTmOsiRMmAK7xxyi8qT4S9aQO7Eznw5SbpMHFRjNVKi4u0c0xmcLC1JSgBi0VF4+cblukGc6wgTOUGvWKqpQjpio0ZuwekqVdR9Yd/6YZIZk84gkhEpwOaiLdAC/UjnCgJqQY7z2XypOHwcmWK+DWo/3LZZ8g7eUaUI9xWHKg6tre6KHcmpSaNw+9qecGpiRUXLRUJYbfCMWjWLA+JkHQCA51B6cb1gbi8G5NaGnioabdIZ0BJ3r6QLxWHJBIDXo9vt6wkimxOzGUEuhrbvXcEcgD8ICY1wqoYuOnWHXMkCjM+7jlxhbxkpJfWCRqetzv5fzGj2ZrR0HsYhlUtor5sw+MNhmDiI4jP7UzELKEKUhJAtvwrGYfNJhOrUrqSYmJE427Oxf+ZkatHep1OzOIsTcWkBwQXs0cjTiBxD3eGjsuHQKuSSXiknYYIZu8JLk0gL2jxB7pVKUHvgiVFJIJHGAnaNQ7pbfthzeqLgtnmRE92Qk+yT5vtB6XhyAkzCdTOwPxhd7J6AFLNAkFTk3p6c42x2brngd1KWpJF3AUQX2IYDrtERdItq2HRjUkgABQL/QVtE8qTqAKqqA4UPl9Yo9npCkSEomABQoyQANvWCvcgCjuYm22FJA3FSEtqAru23OIRKWGYEHqD99IvzlBikX+9opy5vd6tQBNzWvpBYE8uVqBWoBLG73HG1N6RLlcwd4oAmqRQhrf7EUJmYufAlndxc8KxWznNBIXJW5I1Mr/FmU/Or+UCavRE4/5Y2lceaohTMcPxilmecScOnVMWBwFyegjY5KCZVHmuOcZp/UGaVaJEq9ipyfSA2Y59jVpeZMoKkIUlPqBV4ZagzrpxSRdQ9RGRxFOen9oPMuTHkIv8zrGISS+o0PCAGLSkmrnkbdYPzBqQUEWtzIgJjsFMSkqCkFtiCL83vHPm306sUgEAoKWUMlhwvHsjMHLEMeVoqKnuTqoRQiIpmISKgFxUDidhA1YjMxywzp6AKA+0eAhiweSYcIZMpK6e0avFbIMOw/NOqYouocHroHIQxTAEcLNp2HSNIK0Q9MAyOx0ibNdUsF2cBwkAGsPypjACiRYcOQHlArJg6gD5wSx2DC9AJoFhTdHjSO0TLptPk+R3aKWIwQdzsa1LPe3GCKkFnclRilmOMA8JqDsPr1hSSBNlJTMWo7mtYrTgUpJDlqU3c1+MSYmT40g7knmABueMa4iZoQXN1MkdbH6xMUUxbzSUVL0NQpd9hp+xAfGlwKGl+YDh/IesM2IlOS7gpFGqw0t8vOAedLBDWITVxTg/W0PgCnmMkTFI0qYWBNunTnF6VgZwYBldDEEyX4EgAjSkOL1t57wSy9ZYKBNAQPq3GE3QUZLwyktqIbg8MOQZopAA00B93GBcuV3lKaG4XixhcqKXKCQBxqISk7sbSoN5xila9QVQhhygNjMwOlUt3UU23Z6mB+PnTgDTWOVx5fSB2HxOrUBRWm/nztBLbHEdRgu8w+GkBwJh1Lb9qSX1HYFvO0NOCwqZYIRX6CwgRhMMrWn2BLEvST+os1Bs1/WC2CWwFWoGpQCwERJqylw3lrYhgakh25s9eHGLBnAB3cv9iNlrAFK/OAGbYtZSmVLOgrPtMToSxJND4SQCAeJ5QNC6UJQUrEKmz5hB1ES5SXdIp7bewCzkHjygrIw4KgSoF68adYglKloCQhA0W4Ps5O5gpLmDwkJp7hA3aodUVvwKEkHfrC729meCWAQ5U7PsAztweGHEkLJJFXa/3wjnvaLG99PUpDaU0HBhc+Z+AgSVibN8Z2wxJlplp8CUpCdY9pWkM78+ULGJxKlq8SzqV+434FzFTE44qWpJJBS4SAHrZuXWCWT4BSU6jJTr/dMUEpA2IarxujGqK3/kZyCBqNLPb3xGuaVuVrSCOQr6RYGVzVrYzEKFRqCqDlWwgnhsJhJTd5OluC/hdZ91PdDGASVcFHnpMZDKvPMM9FhtnQp/hGQhjxMWtyrUQPIfGB0zGzdelK3o9QNtoM5nhiosOrvTmfWBGbtIS80hKBUqDe/mdmjmRqDczlKnEUZdtQo/IwCVh5mtKlJOkGvJmdxDL3iDpUZiUhVUstPkQfpBo5GqYgMe5Yghw5PFw4bzilbdITaXQBgc1QmeouHKabdYYcErX+Y9TTkG+cVP8A4fL7xMwqUtV3U2ksbEAO0TzsGJalqQTqWXU5OknkmwjVRaRDkmwzk8vxkivh+cHJd3O8BuzS9Utyz6iKfd4IlR1tsBDjpEvbLKwweBsyWOF9oJLS6ecUMXPCABqGo7fdopolMqzpZ/VcVf4iKOOw6VooKOS/lFPEZ1LMzu1llGrDUaWoWYbGrO0eqxC1UDsR5vYnk5fpEstFTETFa1MLpdXCx+ULeMxQJLBnAYe4iv3WGyfLRh5SUkEsGdRcs253N6wEy3Dypq1rvRSgS9asoj/lSJkNAGVgFkElmHGgvAabmalflpYcSPKnuhxzDNZcoKMwAJCfEzADn60peETI0hatQBAJJD1o7gekQ2WkNWT4eoLGm7kivKGMIKSWJYwKwpAYgPSz0gwnEOlwKHjtxhIAXNA1eGziIMXkyZjqZlV8Q58RBGZOTLQSoMTQAb1vyjxU8BLuwYOkgj/cNMZfy/NRKkAzQVaWSoJAPIKqbc+cVcL2vmTSO4wy5iNTFQI0+RLCggPg8RNSsEIUUKLOA93HpseEFMAtMlGkJbxKUQLOouWaKajQkNU6evS4QxsxYvzNYpa1LKkrpz26fCB8jNkkFlPyiRGKSaa/Fd7A3jMZenoCEgM5oXe0b4RZCCRvUcopCcFAl2Ao5ZvOIk4vUyQwDXf1aDgFbtdmHdS9KT4l0cFuaj8oTps8eyKWHlG+e5iZ09RTVMsaEvu1SfvhAWaFzCUygVLUzkWAHEmgikJljC4kJ1lAAUtTha63PAWEe4sTNDqmuHIOlB9XNouZb2UmVMyclH+IKvV2aGORkcoJ7vvZrMXLjerkt7opzSJUWJ2V5EJgUTiAVVZOlxWruSzu9xFXFZViJayO6UoJUA4BYvUDwt7oapHZ5EqgWptWoFnVS1fqIKnFLw0oFOqYhLlRB8fpu0UpITTRz1apqSQpJSoEuNBpyvGR0DD9oxMSFhBY8Ul+EZFC2OqJadKiafuI5fzCJ2vkHFlKFPLQlTsmpVQgAm12MMuJxBXLUQGAppNH6xVweBUs6Ufq3IpxJ++Ecyt6Rq9dN+yPZWVKSmapCKf+pDamY+2Sbqd24QxY9ak8S/pY35vF2XJShIQA+kUvc3gZmOJAWEnwpJopjevrUR00oxMLyZDhFqH5hd7ENbyeB2cYi7e1Wz0PCkE8TjwAGDtQtu8L+YrGnvU1Bsdudoly1RaWzTKO0H4ZX5oPdrq4q1R4udL+UNqcySohaS6SHDbjYxzrMkd4nw1YWHy+caZBmU/DlId5b1SqrDdtwYzf8LpHVU4lvELHaBWIbxFRua7gDhC7L7f4dKfzAtBIJZtQ9RWtdohPaPC4hIVJmlbiqAySklvaBF+X+4LkGKC0zDIUEpQskvwNR+mp+6xthWQ5LpcUT1NOp+sV8DmkkEFa/EzWPXaLuC0TfEkEpNHUkhxxrWC37Cl6PATMCkqYlJZz8oSe1iUStS0EpKC9FMg/2kP4vrDzmypElKe8S72SGHskHiNyPWFDtD2aw2MQ8vETUqrRWkpCh+5BAU9eMNyFRyvtDm8zELCVncEpFuQb3w45DKT3YULMIRcdlUzDT+7mhyGIIfSobEE7beRhrwGLZHhtw+UOXAj0asDMADm0EsKlyC9GLj5wt5fiis2YNfrDTluGKpYSltSiz9GJ98ZlmmYYUBKZpULEkMaAP5GJssklQUoBIBvc25FwImXhlTNMpSdQSUli2nwnnDB3aZCQ6am7AOkfCh3i4wXSHJ8F/wDA3UCyX9lm4VA4RHOwKR4qHlY9ecGpmLSpI0lL7c+vKB0tAUoA3J4Bm6CkNtegp+wTjsPKJ8RUFbFIbp1gaqWtCnSoqH9waDWPw60EhPsjff8AiB3eLchVU7g1P35QskOiA5gRTSw3c0ilnfaJMqVoSQFKSQf7Qd4vzwG8KQ/DYjhp+kJ2e9nVSSZygVBRqVMSOApTTwhJXsG60aYOZ3lEnQgCpAqeXIc4Z8CnSwHo3vhTwmI0KSVBgaPt5w4ZVNSuoIL0e7NwO0EgQyoFCngA73bdosKleK5IOxt5wKy7By5fiSpSiValFaiVH12YACm0FFMv9Wnyp0rEtDTNVkEF002gdiC4owY73/iC80MU1Zgz7HyiUZehSCtjUOa1G9j5xUY2KToSzhwqpZ3+FIyC03K9RKglwd3P/wCYyNMGRkg4l9DG5Lk/zBbs2gqWu7AAWo5u3uhbOFWJqKqWEkMkU40PG4hqy2YmWm5Lq9/s6Rx+sZ+NJOy5vRZx0zSfE7cqk8mjSdKCzqSA4seHOtohxM4lvCa7b9eUQZjj+6Ck1JYeVD84qczOMWQT8M2olg7np9YUMbPGGmHvFg6lOAxq7gHgKs/WD5zEFtV2DDfqeJgD2jw8idMlomIWtSrEagitXUaOHAcMSLxnG2zXSLEmVML6ZZBIszg9K3aBuNy0katRQdwzMeYPC28HMWhRdpoSyDS5Boxfff3QAy7vlTdKlGYnUxOlwgF6qZvFSNPzkSpIXM3ymcBq0laeISXF7gO0AEYeYFgyH18BV9yCI7CJTqOs6UtYEg2sSb+gixlq5QcJlgCj6WrepPG8JNpje0LfZDB4gp14tAQR7KAanms2AtQE84azmykpJCUpA4k+lolnSxqo4BFA97uCOggRmBWH0jUAKmr8hwO8OUrJjGiDN8UZwSsgOkkByCk8UlrAjerQKm5WUeNEoJCnolmKlOGDmqnYu0G5ukSkjwvc3cmu+0U8ctcvTMEsqQT+YSQChyPEwrpr+mtOERviLTSF6Xl65yzg8WlSJgBMpa7gigD8CWrUGgvCwuVMkzVS5g0rQWUD7vkX5x3HDoGKkS5xSmXMUAEFi4cuQRxpW8cx/qskjEIUwcApJapsRXhdusF7oP6B5eZNeHbs1iFzJKf8lM24JqPlHMJAC3dTF+EdA7I5hplsG0pTpOret+opBV6Cx6n4dSXUSyTYbjclzff1iCfOmKUKgjTVibM/mfpFdWIRMfSXIZ/MD3ObwPTjFM4OnhT4/YhylugS9lrCSVAUetvewPCL2CxA1olrSSpTnW3h6aucW1n8tKiySUg6Qzh6k35iIcOANVXQBXxEbs3lDxxFdkkkyppV3a0ki4Fx9sRTgYGY3L3U6hS1Pg4iWQqVK/8AUlKagki53dSrvWIZuJBN1AA31b2ES2mNJorpypi6S9y70DX86sxj3MJImIKVaSGtFzKwZhKHKUguG+cSZlJCJZAaj9Y6PGrjoxm9nHM3wSwsgFtNulxB3smpegg+FKSW5uXJiLPlAzUqFARbmPa97wQyIFRALdYzl8LjyxhlzHuCeGzxckS1LHBjakSYPD/p3DEW42aDsjDhnVQgWBu1/KJ/NtDzQLVgzpqoEAvp53a8WJeImKRqAAFQQzpIA3fzrFhGHClFZSBLKKHcGtf7YqYpaZctYQX1Bi6STWg6h+UVFYik7K6cEtVQKHgSB6NGRMjMygBJlkMAKJLe6PIq4/SafwKZPJStKJ2oEKdm8wQTxpBeYUsANo5RkGbnBApEzUknUQoeF2rp/aT8oeuz2dpxSQtIAUG1J62UORrEXZeIQxmoBRqfCbXgBmOMSpISXBWKG9eBIs28Mq1kKrYi7Whb7U5UTIaWoJDghVuuo7ClTEtWwWjXLMKolSphExjuA42eNJkhBKgp/FYUoeIN3faFdPbFeGUUzCpjVlDYkhwpLkCm70I8m/IQnEIKwo6SajcbmsEk1opV1lbspla9KypRId+8VdTUZq0vV94mm4oSwpWkMPCGqSRz3DQyJlgAhmDgAcBv7m9IFdoMKnuwlAZthUMwc8GtFtPHTIVZCv8AiEzSSpJ4aRSw2aNculISsvMatASxtd+EWfw6khykvbr9/KIe5TMUl0hxxdnqz8rRin9NWl6D+XTEkFlOdnHrz4Rpigl30G1vm8D5LS1FT0J2NPTbb0i5LnkHUFeH7EDkTRrMkpKSP0u4cV51ipipmoCWr2SEj4UfjTeCGHmJUhSSoADiXpueXTpHuXSxMlklNHbr93gbCiiMyxMgISMN3ktADFKg+1k1LgHf33gB26KMSgzGULBQIYgkAgjlV4YszxE5C9IWNKgAlIHidPtEmwFrV2gb2ulhEhCOgby+FIFJFNHGpaimYUHjDt2dQiZKZS9GkuXoPswmZ5K0zULFjT0+/dDH2WGvUkbgP6sQfURq9KzOL3Q8dn8yYJEtlAaUkl206gFEi5OkUHKGPGYUWCAQ+p25V8oSsl8CywqksXvS8MU/MlKICCQSwZ91Fh8YnK0W1TLc2UtakgUd6tX/AE1ommK7tGn2g7fWJQpl0BYuOQoCX5NwjfFSRpZgCakjaM22MBmfYBFLk7AW6PWMxU8EAEeyXcUPoI9muTR293KjxXGFUsHgN/h84ErY3SDHZyYwJKSNSnBO+wr5PGnaTGJEs1/loHSu9QjUpRAA8Io3ox5cLwr53mqky9ayHHsp2rbzN/KO2DqNHJLbBmfTtU1KBcAk8iqw8gB6xZyWeRY1+cKuBnErJUSVHc7mGPArNQYwl2zaPBzwmP0lKyTqo5225czDJMxBUFp1U/d8RTk0KuWlk+K3G9q7Q1ZGiVMSFhepJDitObtAnKqQmknZP3qtHhUFJanlx4xRx2IV7RNKFVOjMeUX8wlqcaSBsaBgDsBwgdP3cEpIbgLe6CSaBNMj/Fnj6WjIDnFqFCEA8DqpyoWjIjZWhUmoQfaJ4s9P4ghlWMMhaJ8ovRi5oAbjpF7CdnPyxMnnuyQ4QCHI4kG1xSNjkhI8KShDHhubxKiyrHzJs4l4uXrlqcpLKTukjY/WCndukgU5RyCRgJ2EmiZIXpL9Qr+1QexjoXZ3tWjEDu1Du5w/SfZU37Vb9I2TT0ZtNFPP+zsia65x7tRYanADndjR94FdlCZeKEmSpSpCipibK8N6AWKQ3AGHTGYdM1JTMS6TsQ8LE+RjRMkhBlply5g8YHiUgEMlVXFKENWKUUtCtsdkgg8m+t4DZj3aUlSypizhyzMFM/AuBSDOJWFJFb1J4tt8IE5jhUzAUDYUFKcKcPoIl6BbAszFhbaAA/hYcBQDhF9GTI03ZfHb76RFl+VHUKUqSTYcPfBXu9CrkjiTTy9Iim9stv0gXi8GhI8bNubxWxMxKkeEOBctQirxJ2jxoCRL4mpZ/Ou9o87nwpArxOx+3+3iX8RSKfcpVqSnw6r7ff8AMGMnwzJ0PY1N+BcxUXL0JVR+Bp5mNziUoBUmZpLO1SCWonoTTziGgsA4jPEd5OlKWgLlodLqSHJKmAD1PhB6KHGPe2352GTNSKC5BvxPuhdzHI2xYUUN3qiVaQdIWatyev8A1gx2gWmXl5l6iCCkAG5BJdmoRU04CBIp/TlueI1Sn/aQfkfjBDsJjtMzSQTqGlhxJDHpSK+PT+UsAOTQAb1ijl2AxMtSZktPiBcBx6M8dPVRjx2dJxstUmamaPZWwvZQdwerQQwSzKmFg+shRJ2LMCARfaBX/khiJKQtJQsFJUk8QYOYKjeLgzXYj6RzVXTW7CkrFliAXcNSvW3CoiWd4pYCqUY+XD3QNw7BTOSkE0FjV4vDEAnxJYJO+4Ng3I36wwYFxElKVqmqUs6UsGXpRpF3oP8AZvEy8WsICUJ1JmgKBH7aFtOwpFLGzdS9RLFyNJoCSTT0ekYZ81KlTJk1gkME8PCBp57x0war+mMk7Isdiyvwg6QKFtxcivxjnvaeavEzWCgJaTTmePlYQbzzMyRoTdVCd2Jf1MUsDhASAzxUpEqIJk5U4YrUT0aCmCy6YCNE5T8FVHrtDJgMChRCVJ2224Vgr/46WqjkFrW+xEUy9IGZRmRQnRNSyf3gunz4ecM2VThKS0sjTwSGq1T0N+sL+PyxhqSqgDNxLs8JWJwOMw6090sgKNApQYHzsLU2gXxif1HbE5kNJBuoc6c/swFzfNQhLEsA9D91Mc7ySdj8RMUidOWhKD4gGST5irMeMOmGyCWPFTVsSSSeLbmgi6tEWCp+bTColKFNt4T9IyGpGVlQcGWB/mBalnjIKHYYzTB61FRBYlgLhgfdb3wOxMqYkOBpal3BHEBmMMc8JUh0lyAAP9+kCMdpWAC6VGqb6T14fzGUkkaJtgHHJSgJM3SdVUsKkkOmo8ooY/D6CywlY/SxqCGqFCsGfwYcIURrXV2oWqQD6W4RDicqSn/2s+zHfeMHJejWMbI8j7ZT5Ty50tc1GxDd4OVfa+MMCe1eGUspQTrN0LSUEHzFT5wrzZ8qWHFSSANxWj/GEDOcbOM1aQoUN0mp5OOEaR8jeiZQSO55VnEsr7kqFT4XNzUtX7rBVWHKvFpBLng96V2pHHv6WpmYmZiBNUWQhKEkUKSomr3ekdE7PZ+pazh550zkEjVQCaNjyXuRvfkLvezNp+hnVpAZIqQA7Haz86mKhw1TejWr5ekWJjMdT8QLf6imc6kkKSklJG+9mcdAItxT6Sm1wqY/AglyOXkRaBqpTKQkfpf/AE0HxPpbZwTvFSUApRCkg0d3+IuDEOJakeJw4ItS3nR6H7pvFYS5bkEVDB9iLCC82Z3fN+Pl9TCtice8xSAXJ2DUre/KFJUhRdslRg+9nhtWmUdTgsFGwfizmxhf/q1iJYMmUkfmKJUpuA8I95P/AFMOuWTEIBKgAwcvsBuTHJu0uO/EYlc81Ci0sO3hTbydz1MZQXs0kwJiqadosI8TFLuPvzjPw5UXIp1DQTRk+oB3CSbi/wBWjV0yQTiVTEjUC0NHZaYqfIdSh3qCwI3Sap1NdqiKpyPWkpHiA5XHKPZOTLl+x4VcUqUDtv5CBpNAnTGDDzZiSHGlXO1OHGJMZPUQxNh1dqwFnIxYRTEKH+QSsdSDC5M7V4lA0z5CVaD4il0qbi1QRzECgwchsxOKSGJUkClhw57m9oV877QalaEVPGwT5bmAk3tJKWFMleo2dm60MTZSgEureL4SmMeX5SmZKKiHPv6xUwmGMtYFTQq1Aagw3pVPC0F8rlNQE/6g7l0lMtRIlJCjUkAAncxk5Uy6AGHzHUwQEpAuouFH/Fj74ZZcyWEgD2qMXJJe9+Ma4zCS5rgpZ7EMDf0LecKqpqpc0pV7Sbc+BEVHy+iXAZJsrSg1Bq5B4E2GxihmWACkgXSSFg70ZxTk8VJWKWNRqWqX9/lBqXMCpGg7BweEXakS00L2HkH8Qo6tk6gOAADPzYe+D2DCZhearSmrE2S3CrvA5csSsRKCiCWcGtjsfMQ2YnJkzZaSGBJqWd3G/Hrxh7DRFJxgQkJMxAbjfjGQxYPK06E6jVqtQR5GlE2UhIKFEVAuLxXxstY00JJqEB7fuVSgjWVi0TZU1lrC0LUjUlRcFIDhL2rRuIirhe8kSRLUtUyYfZKiSUuPYJd2De+OJvR0ASfhcUqeZs1AdIaWg2Cf1KDPpUbk8ABBTH4gzZKDNQlM0CpcMWFT/ab0inOStila3c/p384qTMvJBZRKWNeLbPEdLSFPNpE2ZMJQoBFKMwfreB84aUhKUgqer7w3qwzCzn43gTmuXp0iYgFKv1DaKixSQV/pBhD+JxLgt3SHPMqLV8jDV2qy9E46kqKVp3vbiPnFb+kuH/JnTCaqWAzbIFOtVGGbP8t7xCjLYKcXdjV2cWdmi5p9IixT7J9slyVHD4yqQdKZhqU8Ao/qTau3wd14RK2UEsTUNY7+f3xjm2d5YZoUAjRNSdLEuLaqH9Q5mNuy/a+bhJgw+JPgBCTqrpDMClXC1LRUPJ6kTOHtHTsNKdCgouDag6NFXDSACSWJJpRmYH7tvEWJzOUCFd4Khw5p1SRSsejMEaXr+3SQKHlGraM0mQY3EqKWYPuelum0D8ryr8wzGrbo7fWJjMJZqJHtFV2Dkv19fWAuddsFS0lOFHirqWpII6pG55mnIxi7no0SUTztVmSvFIl+yKLVuVCukf2inm8LqcrV7QBUaBr9GgjhMEyJAW6lLSZiyTUmYdRfnWGuTlZ0haWCri1YlLdIrisWsvyZRDlkmtGqaOOsX8Jk0wjxIIBYsPl7vWG7BZeyiQaEVSGY7gvcdKRflIAIPny4R1x8KMH5GKRy9UtBmKSEgEBhfxFvpeNcThttFKh2rVi7Q15hKBBSQGVd+L0+EA8RglJWe7IU4qmrt0G9yIzmmnSHB3tgZMh0FKSyiXD25i1D9IB4rL0nxEBV3Au7e/6GGfGoRLSpQmJ0gHUSWa1XOwfrCujHIWkrBCk0Y2tTkW+cPi2F29HNO0WUCRNC0+wuvQ8PvnFzJUHUl/dBbtVK14clqhQIPX+NUUMomAX5NEtlJDll6kpIqAH3gz7ILqv5kvC9gyT4mdtoYMuxygGUPCzcxeMnTZogfNm6FlJHChHviDtHKCloLltJahodweG0HMVLSzjxbk3LdHDt6wppzQzlLZICAo6SoqCi2zMw++sTiNuzSRKIWhWspYGzFx03HGCcqaQhTD9RYP8AfGA4SoKSouGBuG9OMSrmAOp3sw2/28VHpEi5m04GZh1irEg23Yt7j7o6BlEtPdgJJYtTbn0pHJsRjtc1CWbu3B63vvT0h8yHNNCQXDbvHQmZNDmMSBRrcxGQBOCQrxOS9Y8h3L4FL6CeymGMuWrvCtXfKK6gkusuHZ2O3C0Fhh3KSyy7spmFBYm4V5QbyTAywk6a0o7M7Xi1NOgp8NhbZOx82evIxn+aeys3YtYqUVamDBLXuRZ35AxpiMIFSyQpXhOkg0bn03eDKsSkgvThs/lw/iKk+WVSlhKyHAL0pVyGpe0P81QZsUJ8ju/CRZ7n0iKdJeWSCAHuQ3UQzYvCAgawHAbU9w23E0+MKWapYKCXIA3rf3P9YzcMTVSyHvsOZQwcsig8Tkj+4wbnrSNxeFvshLfByQnYKCuuo/ODnculiACN4G70JL2RYzBpmJKgA/Fqk/bRz/tbkCJpKkkBaW1Cji9xwh2x2OThwpazpSkC36uTdecU8lxsmaCtICiv2ragwso9PKJwvYZUcnlZricMRKK1BKTQUIFXo44l4N5b2imEh5jgDkPOghj7X9lU4hBMjSmYC9WAIqTWEPH9nMRhg6qgtUF2J2dvtoa0HRrRmypxAWt0tagAO9AGfrAPMZgDpAZw5VyrAaTjyksRUfG0ZjMw1JLmsWpehYnRsInUnCKf2pKA/lDnLk6QnfwsGMc9yHMUzMFh5g/QO6VyMst7wx84f8JjAoMPaCQ3Sj/OM4v/AEynxF/CSWDAt/P0EWcQkJDsGsdrxBhcSgkNvEmNkBaRuxCr0o9+N47E/wDOjll0xYcDUARccesaKwSRqLeI/q5HZ41xeKCQXbr926xLhZ4WlxaKVWS7oFZngklJJSGF/LltHN8ywyUrZCUgVoKCuwjq2KSlKS55njxMc8zDC6iSySVK2A+PzjPyx+Gnjf0Us3XqlKFgNujiAeVSqO0Gc8TpKkWq3VyWHO0R5bK0sGjJxZpkG8ooaluFYJpQSq9GqQIEISNxBTL59Kc77xFPhVllAKSA5I52gfMlDvZq3SSwSZbadRIAclxV3rF3FTdnL2gfhctkosmt7k8W4xcY0LI3k6J47ohSFAEJVcEBmpt84XsWkySdYbS7+W/xgjmGaS5JBKkhzpHHYPTbrFbtg82R3iSNRCRpBd2LkjyeFixOQtZNiTMUZh/Uo/E0hzy6aAoBnG7+9oQpUtUlQXLGoEDUhixsb7ddoa8sztE1LFkLpQl+VC1YuiLHrDzk6QxpGQpqxJTQqDjnGQZDH+XmSpI0hbseRUORF2i8jNFGqiCKXraOU5D/AFBSopGKk6TbvUgqSf8Ajce/yhzwOe4eYAEzUKPBKg//AFuIlKS4U2mEswnpWtnbcMA3nw4RTTMUoM6jX/V4szJiD40qLjyaK2IzKSlQBYk7crO/GHJMSaI8TIUouK/GF7F7pJqHcb9INZtnPdAhJckMBwfeOcZ12iVLodJU9h7QpVR4VhLxpDfks6j2CxCThlgbTilXIskj1BhgTiNJFCY45/TPtkmSZ2HnskT1haZjsErACQDyIArHWMvxgUQmaaPU8eDGFOFtUEZa2ZnagsB2IPKkJuXSThZ6pg1qQAUugE+0Us7Darm0dIm4GWWLuwLAwFVIMtS7aWYV6V6/SK/KS2w/RcKk+YxUXZqlyzuNhxiRONBQNSKcKfCNMWUqqtSRyf3vxgXmudS5SHJQlhUk1LOzC8NeL6S/IVM2wGHnIsASpyQA9eHpC7mHZeWUEy1l0gkhncAerxRxnbldpctKv7lD5QBl4zFzllAmLJmP4QWTuW4AM9Il+P8Ao8xi/p9imm4rCEjSuX3ieS0lLt/wNR/bHSOzk8gJSv2m9Y4ErvMNOdCjLmJqCDUFrc+DWjsGWZt36JWJQ6SQNSeChQjmKAigiPJGnkX45Xo6BJloJDhkh72qz12q3rF04sMySCRS/vhdwGN7w+I+pYH6Vi7OmGSHKQzkkn1A5m0a+OWtETWzFrIUQqoNjzG1oJYbEgAkkfSlop4OYlRJIpt51PxivjVgy2Irz+7RtGPsyk70b5jmiA9QS1qPwhQxOOUmY4bSl69biu0SZjMAcOBxVy2AhC7T52e77uWq9H4NwhSY0vgudqMwVOnkBVEKLN+53PpZ4L5V2mAS05BJFlpZ+pEL2W4UEkE/UwZ/ABqGnD5RNgHZOfyC5UtX/U/KJF9pZSWCUrUDuAw98KP4ZnaN8VLCFaQrVa1BWCxjLi+1lGlyiOaiPSAWLzmbMUxWUp/amnruYqLWbmvPnFdRYvCbAJ4iWFIIIo335vArBTdNKsLVNH36xdGLBAdqBurcYEYmZ4lAUF9Nfh5mEMPSMZdyGO3SgpHkyexSEBlIJqmjvxPrAmXKZnVerbnoRSCGV4VThXsgm134O/CChE+JwMyaorK6q/1GRfOH+2j2HYYsqyMAQLNEyMECapesHPwqT8wLxpMlhIcJJbbeITNGihLTPSCZc5aeWpxyopxGk7MMeD4Fy1f8A8EZMtSkeINFLEYVQWyS44s3SkPInEWc1zLGqcLUoA30AAHqRWAQjoGYYBqg9R8YHHL0KuAX2NWirFiKQVDp2T7dzcMgSlgTJYoAosQNgDuOvGN8n7IypqZkxeoJBYAFtn+cbf8Aw2WX0qX5kH5Q7JoPYr+qTgBMtYPMgjp0gDmPbufMYJDe/wBBaKGM7MqT7K3ruKwLm5YtJYkfCCwomxWImTTqWsq3FfgIiWjiXpb1vwjz8JN/SH6NGk+WtL6kl+YMAFjDSgSAl6jfiL+UbLWpBdCiOJFOMUkTCDQRnekmsIZNipaVpCtXjuoG5c7dPnDF2ezNWHUlTuCwUh/CU19CHcGFKdMPpFmViyALQNBZ2jLcShaO8SSUkEtR0nnwI+kEsJmuuUoFyzC1epjieBzNctWtCilVqbjgRuIYcB2xSpQ778tTEa0PpV/kkW6iM4xcHo0bUls6Ce0aCWtpfiAWgNi+1Aq7q2A/iFPG48EFWpJ/aUkH4RpjMUg6XNRdtz57Rf6snBFvMcYqYpnIG4f4wp5hjO8PhDaXA5840zGfPXSgTwBZ+r3gcJahf5QqbdsRcwcxjBlcxgHcdYWNBe0HEBUwJ1KtQXJrQxQjf8WBYvERnaSCAGGxqObxZGWAXPo0WUYBJFn3+sFhQDmLO1OkRGQo7HzpDQnCpZkpAO0VjhQpuMAUCZCClnA4xYn4FBGpqkXez+6LMzDEbWiSSPAXegiWykgDhJbKY3f5wzYKW+8Ap8pilXkYasokEpdoLBIIIwyWFH9YyJkZYSHc+sewrKI8QWCWpXaLmHqK18W/nGRkZopm+JSGFI8mi3WMjI0IK4HtdDAUj24yMigQwdlR/wDVm/5n4JiqlR1Krx+MZGRMvQkW1JDDpCpniR3sZGRZJawiRpFNo3nDwxkZAIA6QxpxiqlI1WjIyAZTzQfnq/yg1gZCGHhTbgI9jIYj2dLANABXhEUtA1WHpGRkIZs1TGEU84yMiEWVMd8ooRkZFElZV4OYTaMjIACqY3wtzHsZCfSkezTHp26mMjIYFSeamNsL7C+kZGRMhlGaPCOoh0yFA4C5+cexkMQSUovHkZGQAf/Z</t>
  </si>
  <si>
    <t>Sundal</t>
  </si>
  <si>
    <t xml:space="preserve">
சுண்டல்</t>
  </si>
  <si>
    <t xml:space="preserve">White chickpeas - 150gm,
Mustard seeds - 5gm,
Urad dal - 5gm,
Oil - 2ml,
Red chillies - 10gm,
Curry leaves ,
Salt .
</t>
  </si>
  <si>
    <t>வெள்ளைக் கொண்டைக்கடலை - 150 கிராம்,
கடுகு விதைகள் - 5 கிராம்,
உரத்தப்பருப்பு - 5 கிராம்,
எண்ணெய் - 2 மிலி,
சிவப்பு மிளகாய் - 10 கிராம்,
கறிவேப்பிலை ,
உப்பு .</t>
  </si>
  <si>
    <t xml:space="preserve">Soak the white chickpeas in water for around 12hrs. 
Cook the white chickpeas. 
Add oil, mustard seeds, urad dal, redchillies and curry leaves. 
Add the cooked white chickpeas to the tempering season with salt. Serve hot. </t>
  </si>
  <si>
    <t>வெள்ளைக் கொண்டைக்கடலையை தண்ணீரில் சுமார் 12 மணி நேரம் ஊற வைக்கவும்.
வெள்ளைக் கொண்டைக்கடலையை சமைக்கவும்.
எண்ணெய், கடுகு, உளுத்தம்பருப்பு, செம்பருப்பு மற்றும் கறிவேப்பிலை சேர்க்கவும்.
சமைத்த வெள்ளை கொண்டைக்கடலையை உப்பு சேர்த்து தாளிக்கவும். சூடாக பரிமாறவும்.</t>
  </si>
  <si>
    <t>https://cdn.tarladalal.com/members/9306/big/big_sundal-(-pressure-cooker-)-2090.jpg</t>
  </si>
  <si>
    <t xml:space="preserve">Thengai sadam 
</t>
  </si>
  <si>
    <t>தேங்காய் சாதம்</t>
  </si>
  <si>
    <t xml:space="preserve">Rice Coconut - 250 gm ,
Coconut Oil - 80 gm ,
Mustard Seed - 50 gm ,
Channa Dal  - 20 gm,
Urad dal - 20gm,
 Dry Red Chillies  - 10gm,
Green Chilies - 10 gm,
Cashew Nut - 10gm,
 Curry Leaves,
 Salt .
</t>
  </si>
  <si>
    <t>அரிசி தேங்காய் - 250 கிராம்,
தேங்காய் எண்ணெய் - 80 கிராம்,
கடுகு விதை - 50 கிராம்,
சன்னா பருப்பு - 20 கிராம்,
உரத்த பருப்பு - 20 கிராம்,
உருளை பருப்பு - 20 கிராம்,
உப்பு .
உப்பு .
பச்சை மிளகாய் - 10 கிராம்,
முந்திரி பருப்பு - 10 கிராம்,
கறிவேப்பிலை,</t>
  </si>
  <si>
    <t xml:space="preserve">Soak the raw rice and urad dal and chana dal in hot water for 20 to 30 minutes. Take the soaked rice and 2 cups of water in a pan. Cover and continue to cook rice. Allow to cool grains completely. 
Heat coconut oil in a pan, add mustard seeds and let them crackle. Then add 
the strained chana dal and urad dal. Mix and fry for a minute on a low heat. 
Add chopped cashews. Stir and fry until the cashews turn golden. Add dry red chilies, curry leaves and chopped green chilies. 
Next add grated coconut. Mix very well with the rest of the fried spices and herbs. 
Saute the coconut. The coconut can be sauteed until it gets a cream color. Then mix the rice very well and switch off the heat. </t>
  </si>
  <si>
    <t>பச்சை அரிசி மற்றும் உளுத்தம் பருப்பு மற்றும் கடலை பருப்பை சூடான நீரில் 20 முதல் 30 நிமிடங்கள் ஊற வைக்கவும். ஊறவைத்த அரிசி மற்றும் 2 கப் தண்ணீரை ஒரு பாத்திரத்தில் எடுத்து மூடி வைத்து அரிசியை சமைக்கவும். தானியங்களை முழுவதுமாக குளிர்விக்க விடவும்.
ஒரு பாத்திரத்தில் தேங்காய் எண்ணெயை சூடாக்கி, கடுகு சேர்த்து வெடிக்க விடவும். பின்னர்
வடிகட்டிய கடலை பருப்பு மற்றும் உளுத்தம் பருப்பை சேர்க்கவும். கலந்து குறைந்த தீயில் ஒரு நிமிடம் வதக்கவும்.
நறுக்கிய முந்திரி சேர்த்து. முந்திரி பொன்னிறமாகும் வரை கிளறி வதக்கவும். காய்ந்த சிவப்பு மிளகாய், கறிவேப்பிலை மற்றும் நறுக்கிய பச்சை மிளகாய் சேர்க்கவும்.
அடுத்து துருவிய தேங்காயைச் சேர்க்கவும். மீதமுள்ள வறுத்த மசாலா மற்றும் மூலிகைகளுடன் நன்றாக கலக்கவும்.
தேங்காயை வதக்கவும். தேங்காய் கிரீம் நிறமாக மாறும் வரை வதக்கலாம். பின்னர் அரிசியை நன்றாகக் கலந்து, தீயை அணைக்கவும்.</t>
  </si>
  <si>
    <t>data:image/jpeg;base64,/9j/4AAQSkZJRgABAQAAAQABAAD/2wCEAAkGBxITEhUTExIVFhIWFxUVFxUYGBcWFxgXGBUXFxUVFRcYHSggGBolGxUVITEhJSkrLi4uFx8zODMtNygtLisBCgoKDg0OGhAQGy0lHyYtLS0tLS0tLS0tLS0tLS0tLS0tLS0tLS0tLS0tLS0tLS0tLS0tLS0tLS0tLS0tLS0tLf/AABEIALcBEwMBIgACEQEDEQH/xAAcAAABBQEBAQAAAAAAAAAAAAAEAAIDBQYHAQj/xAA/EAACAQIEBAQEBAUCBQQDAAABAhEAAwQSITEFBkFREyJhcTKBkaEHFEKxI1LB0fBi8TOCkrLhJGNyohU0Q//EABkBAAMBAQEAAAAAAAAAAAAAAAECAwQABf/EACMRAAICAgICAwEBAQAAAAAAAAABAhEDIRIxBEETIlFhcUL/2gAMAwEAAhEDEQA/ANSLI9qJRCBUbKH9KmNkxoa8116N57hLZLa7Ve2LI+VU2FsHrvV3gxG9Wx6ZGexHDCibVmlvRCLFaKXZGzy3aAohdKblp4FEUa7VDcepblQBJpJBQgx6UUo0qBFipQ9FHMhKUJiTViRUFywKVr8CmQWqV9yBtT1QCvLhJ6V16OKl8OSZoizcipltE16MBrM0K/BrCLL6U15r3JFes1MxSS2DXpqNLnepZG9HVAG3RQ7t0rzF4jtTUOlLdsahqiDUONtztUD3jMURaEiuWw9A6nLvRAxIPSmKgJg1JcwoG1SnGS3ErFr2QZNagv2161OVqDEAdayXs01oSoO1em3XiOOgNOLmgCiMoRUbA1MHPamMx7UGMhLbpVEc1KjYKACoBgVPYeGAmvHAmKJwGBlprRGL5aIuWthV62cykbVZ2wI0pC2Iip7CCtaTMzYrVE5ZqLLRFramEPGaKYXr3EChcSTGlJJhSJPF1pJc1oG1mJqyshR70kbYzpE2XSmqlOmnVWkINcVEZp5Bqu45xlMOmpGc/CP60raW3oJS85c02sFbk+e8fht/1Y9BS5U5yw+NQAeS91tnv/pPUVz3jfGcPedvEtuWJHmkHrVPdS0rB8MzrdVgVUawR1MdIpIyTtplK0d+tpUhWBXJsT+IV/Mk5EygZgSNTHrtWj4V+JODdf495LbfM/sK5TV0LxZr5pwUVQnnnhkf/uWvv/avbHNODu/8LFWm9M4B/wCk6010dxZeXyIoVRm0qTBtn16UabIFFfbYOiraxG9SWHB06VPfgiKrLbEGK7S6D2F4vBgiRVNbxpVihq2uYkgRVXewcnNQlvoMf6WGGSdaInQ1W4S+c0UVdvgGKm3RREcSTUd5BGtSEVHcGlZX2aEMtgdAaeQait31HepPzHpS0GyMo3amrm7VIbp7UjdPalaOtkWVqVON09qVAa2AX7BGtHcPxMACq+7fk5SferTA5ANNhW6NXoyS/oc13Sp7D+X1oVWmSNqIwZ01qvInRNaudKLSh8NBJoiINFCyE5oS6Z0FPvXBXuGb0pW7dBSo8w9uN6fl1p9+4ApPbc9u9D2rqXV0O40I7HqKrxVUJbCmuCJofBY3xVJUEQSNRG1RWbQsroSQO5J+s1muO8/2LCEWouXJiR/w1PdmHxew+orpOMO2GMZT6Rq+JYvwrL3GjyKW1IH3NcP49zOt1yzFrjSfh0UD+UE/vEetU3MnM2Jxj5rl0soJhQCqL/8AFNpjrqfWhmC21AJEkazr69KjNfJ30aIYlHsZiOLa+RAvqfO31Og+QoO/xO627tHYEgfMDT7VEFzNpsNz/anpZAmmhjSOlP0gcISJFMyntRkRtXhNU6EpsDpyiiMo/wDNMNs9qDHitlnwbmDF4Y/wMRcQfyzmX/oaR9q6Jwb8Wbo8uKsq4/nteVvmjGD8iK5UqaUUm2tRk2ujVjwwn2fQXBuZMJix/Bugt1Q+Vx/ynX5ij7oA96+bEcjVSQy6ggwR7Eaitty1z3eXKmJJdNg/619/5h9/ehzrslPxH/ydOxNynC/mWKAFxbqhkYMp6jWnYMRvTRbsztUPbQ5hvTWxatvRjYfNtTl4QoE0MkZNaDGSXY1GkaUmFJky6V4RWNpp0zSmmCoVBqYN2oZ4DbVMgPauOGuWrwk1IbZNeG2aVhRFrSp+Q0qUYq8GgBJbWatrIQiAaqcLZgAE0YluNQa0cjPxLZLcCOlJSRQtu+ahxN5jtpTfIq0BQZf4QHejC1VGAxELqalOKJaBWiEtEpx2EY0gKSY01J7CsgvOBvX1sYW21y2GAvXlEhQZ0HrVHzjxfG4rFNw7DLlkHMW8pcRJIJ2WDGlbTkzgT4PBrZbILupZl2JJ0M9apGO+TJyeqRe4ayFX370sgQaCor1y5mULk/1s06ARoqjcnXrp61BxLiSLpIMbgakaTqPpVG12T/hn+esS5shR8JIzj9JBnLmOkAED02rjXMy5bpUAraBBC76wMwB9CSK7dxDBNftsMpCOhEkRuCBodfWuM8wYRyoInTTtBWVaPTQfSssoPnbN2Ga+NoC5dw6X7nhM+R20tMfhzyIVj0BEie/vQWPfUW16bnrJ7+wjbtTeFYprN5LqqGKMGynYwQYP0plpYOgkn5mrJJIRybHroI7fv3o23wi+yhgoAOokgE+sGp+H4HXzAHXb13GvbWrX8rfDhijFAR3IipZJv0GKj7KvhnALjuAWVRMGZPX710nFcuC9a8NrQCKsBwmU5v5kg+UDt1r3lGwC5ZRmCguUgSTGgEmAZI3rXcBxty6CXteGOgJBI/0sO9Pjkkvv76J5G2/r6OE8S5XxdkM/g3GsqY8QL5d4nvHrtQGFUHcx+/sK+m8TYzKcuh+3zrEtwKyl/wAQ2VzKZiNAdNR0ppY/waHkfqOUY3g960qPdtOiv8JYRPy6H0NQ3rBZQBqRAAG+s6eu9dT5mwgx97D2WLIkuQRGsLJGvXT9655zVwe5gsT4QeRAdG20JMT6gipZMbW10a8Pkw6l2Ut/CtbuZLsrBAaBJHf51uMfyC481m5mtG2txHeEBzScuu5gdO9Y/JLfxJDSCQdc2snXrXRMbxMrbsJeFxB4aqAZgqv6iOuseWilGnyK8pWuDMnhb+LwF6JyHTMrGUYRsQD9xqK6NwjjNrErKkC5+pJ1Ht1IrnXHeIC/cHlHhq2gACsROzOO/wAgKh4hj0Z81hPBAjwwshhA3LTLayZPep2o9PQmTE8r62dswbECpsRiIG9ZbkrjF27hke6PPLKSNA2UxmjpP7zVxi7wJppTVGLg06ZKbweDT6FsMvSpprK22XRHeYA04XfSmXsu5r1XHQUtBHmaZlanGelNCtQaCmeealXvm7UqWg2CNbURB3oj8r2NQJZJp3hMNjVmRRIuFYGZpMGHSvVZlHevVxZmCKQohr3YExrRfB2VsrEwxkBT/mtB4vFAQIkmj+AWkZ3uSGZR4eWAShBkkHoTI+gq/jK5ks7+ofjHtWz4jBBcAyqxAzQegO9GXtEJO8TVPj+Bi7f8bOZKqkNJUAEnyiQASTvVxjPhrVLk+Rn+qS/Tm3NnG8XZZLSXMq3MzSBDBRoBm6EmTp0rF4TimItYpDmYg3kLqZOcgzBJ7gVofxBObEKJ2WVmQFAJk/cVStxNx4NhXkNetXNQYEPo2uqyenae9ZYyrVkpy+zO82XDoGGzAGD2InUVz3nflK05m03hgyXUCVnoRr5SeorfpchR7DesbzFcLh5Og19JrXkeiuNtPRiMVyCyItzK7owBldSJ1BIEkCiOCcv4YrfkS1rKWB3ysNDrG5zD5etdRAItKFgnKmhMSI6GspZwWHxWIxFvPeS8FCM1tQbZAhvM2XR1aR5iNtJiknFWrYfkZzri2D8PFJZshvOUgTJljEAn5bzW95m4xa4e9m0trMGUljmEgAgDcaknN22oB+VzZxti82I8ZbTgkuoV8uUx8Igw0dBVN+KmILYq226G1CnpIdi3/ctBOoNx7sWTtpM2PCOdMO9xFt4e7nuMFBCKd+phiYHt0q9x0WnW4dFkSoH/ANyBuNpqn/DjgIw9kX7oi666T+hN/kT1+VX/ABRrdzQONGTMoOpgyVI7RRmpOH27BB7G8PxrXLwYGEImO4o7HYa3eUqxytEToCP/ABQmEW2TlW151B8w0Cz0zdN69vYO1aUvdYADUmco+ZmTRTklS3+jVF9lJwrg2TEC4zZysqnZZMEr2kaTVpzRylhsWM15TnRWCupIKg6nQaNtsQarMPxKS2RxlkxO4E6VaYHGXHttd8Wf0LGXLoYJiN5kfKipric4uzLcn8Aw9tEF4g3lYka5gYMqQp2EUfxvlZMXcLuTIGVDmIIG+w0GtG4bgPhsWVAGaMzRBMbA/U0a+MWyssY/c+gp41x+yOuSf1ZynmDlO9hQM11DmJyqTLR1O2231FA4XhwLr4ywGOURrJ/oKL49xe/icUXuLkUDLbWZhQdNe53NHcNcsMra1iyKPK10boZ8nGr2bPhwVVAAAAGgG3ypt+8AZO1Z+zxIgZdRGmtS/mc25ozca0QSd7L6ziFO1Th6psPeXvRqXqiyqCrraSdhXtvGp0FDs8iK9slQKBzDPzvYV5+cafhqNbg7U/xfSusBP+YPalXgu+lKlv8AowCEYbGkHfvS/NH+Wn2MQCdop2Kh4xXQ063eB6V75TTlsilHA8biraSzfoUufYCTXOeS+ZL68RVlaFxN0LcUiZDNpA6EbTXTr3C8N4VxsRcC2nGRiWyaHcZp0nbShcDyNwi+ivhwfKfLdtXnkMvUNmIJBFb/AB8fFWzHmnbpG0SD0260y6sgr1qSzbKqBMkCJO59T61WcbUXFa1LKSvxKSCNiCCP8O1HNJQi2TirOW80X7J4jdts8qSqFg0ZclvzoN4PiBRHoe9Bf/jnfFW/y6i6bYQs2y7nLmJ2MftOsGmcf5TxYulijFWgkrL6hQGbTqYJ11q25Jwt3MQpIsqwZyROZhoqMeh6x6ajWsKlF0SknyOjYK+vhshHmUDTpqOn9qz/ABTAYi6RasoCXJLMxIRFBkkkDUyQABvPvV8LRUNd0yhWOXQQdzr1k/TSqx+Km09t7jAW2JDGcqoSmbpuNADM7itUmo0pGqEJStoK5ka4mGSzbdluO9nDh10IDMAxB/T5Z16TROJuW8LZW3ZtgxCqoIEnaWJ3Pc71zi5zAXxyX2Ja2txQA0DKkkBoXSVzFvlrXUBgs13M2y7e9Zc2V5JVHroOOKW2UPFMPddA7WWVu2/uJFZK6LN24ouCWtMSFMgg+oO42+1daxolf8/zrWM47wEOyuoGcbkbx7inS+KVJjpqa2htnGJe/hXLhVTGinLmH8s9vQa1ouHcPwtmGAAO0lid+mprGLwqLZAsu10AMGzHzf2ntHarTk8Yon/1FnIg1XMxZpO8AkwPXTerPKu5JNk+DrXRqsbj8ohVJPfoKzHF8cjkqwzMQRrsAdNK0eLugAzWE4jjst4+UMp6QJn0O/bSpPyG5Ux44tWg7kzhqq1zMAVGgBGknU/aPrVpfxloEIhCIrD4V0EHfKN/asxxfjTLYZLLIjldCxjfqB6661LyxwG8MKGuOqXMrwG1Vdypcg7R0q6VrjEm3u2bC7x62yOUk5N2IhYAksO4rA8X42t50VGzsxJzToI3BHfSrzknGm9gjdu5RmZkBgAERAEHfWRWIx3B3w94aHLLMpHb377UueTcUxYunouSbLLmdS26wIDHXaemoqt4dauIzZhAJOXrp01+lUdzit2zdHlUrBgdDPWehqx4fxV792WiAuijYaipyriWjJ8iDmGzeFzxkPkUeZf3onDYnOoYHQiakx6uy3FQSTOh00jpWb4FeuLmtMjSOkHT3oqPKP8Ag11I1OHu6zmq5tYr1rIohmZNXOGYwKRoomaK1iKVhR1aq6w1S2rMtJNLQbLu0696mF4CgLFtaNQrS8QWSjECvK88Ze1e0KDyPBdtnrFTrbBXQ6UOMKp2IqbwCNtKZixGthD3pXVYLA3ikouA15iL7yAOp1NLoe6Mj+ILi1hLa5iXuXBIP8qqWY/XIPnXn4Y8w4y9dtYRVQYa2jZ2ytIiSDmmA5JAg9ia8/Fex/Cw7b+a4JHqq/2q6/BW6xw9xTbyqrytzKQHzTMNs2XLHpIr0fHX0MOZ7OhYm7lHU/vQF1WMgA+/SKtGHt6+1VXH+NLhkDFGcs2QKurFoJAC9djU/Ixc1t0joT4j0tDrRjWlcaiR2rMYTGYnzMMONPMAzhS0gGFEGO3mjWm2+erTXrVlLTl3JFwdbY2zRs432M6bbAtjUYpI53J2X3FbYW20rNsqVcbmCImNKxWCw93FG3byfwrJVmYx54MgAfqmIPT56V0coCIOoP7Gh7g0ygQAB9OkUcmJT7Gx5XBOjIY/lqxcRkSxaDsDEIqn9q0XCs4trbukeMqrnKyQdIkEgbxQVi6487kFogHrEz007fQVmLPFLovvdLlnkqVOxQEkL6RuNP3rF5OWGNKRXFilktG+xDTtQObWgcFxxLmzQ3Y0RduT117aVF5OX2KLE4aYSXHTpSuYiq8XTO1R3Lxgx1BH965ybDwRHxXFab1jce8tV1xY6TMD3rJ4zGCcoMnr/auirZTpAxwvi4gO/wACAZR3Mk/Tapua+aGuL+WtE6mLhHX/ANsf1+neqrG38X5zatk21iWClisg6/Y9NNKn5U4IXcvcDAiCD6nXf+at0bqkYpJXZo8GrW8LatjMchnKupLzmaI9a0nELi3csK0AAmVYQT01G+lZy74lt1C3BAIADCdSY1INau9jxbQA3FLR/TeqxSaaYr10c7x+CIuuqZCp0IdcwGvQVYcu8rPnNxGBSCGGsjqI761E2Eul3O3mME7sO+tbfkEObFyUiGK5pnNG5j9MbfKs8OMpOJWaaipGduYWXURucpI3FLmi5ZwCFpPi3gQoidgBqfmKdN1MQ+/xkg9N5q35+4fnwvjBVPhAsVYbqQJg96rBabFb2kcpXFXNxVtgMaxAmqW1ilIkDTtR2DxKmptFkaPD4o0ScW8gAVU4fECj1vipjMucLfY7irKyao8NcmrK2hPWhQtliAPSvaDGHPelS0Gwi3gWBmZqd3uCosHdurPiMG7aRU/54dqUZHlrEt1FMtXy7lQugEzRIvqRJqKxiLbarPvFFAZR884dEt2Lt23ntpfXOkxKlHkfYaddqK4bz5Ya2VtW/Dyulm1b8uZywUWwqLoolo6gASSKl5qwxu4S6okkLnHunm0+QI+dYfkC3hUxXj4m4ts2l/h5jALk5SZ2LANAHXNP6a3eNK4UZM0d2dlshlyy0mIJPXTX71kX43cbiq4UN/ChlIAEhjaNwMTB2gQNvMZ6VccQ47aSz+YLjwQoYN/MCJXL3nSO9YL8MMXcvY+7faJKs1zbe4RAAO4AWPkPnXI9pIj12bu7duqrkWzegEjw1KOwEggKx0bfSdY+Vc+/D7lpsRiDdzX0tWnaW0RmYPItNpqYHnA2ncTXWBj0nKCPEMtkkZss/FHbbX1rxMRmfKvbMxGw23PU0rhbTsdSa6LGg8RcBJAOoAkdpmP60rvEUV1QsMzkgDqdCfpoaq+JM9gXLlpPEctmyFozSRIDHYhRp00A2pmzkF4fhcSztKkCF2A3kk9Z0+lCYngNp7iMbYygydPiEaA67TBqzw2Iz2g2VkZlkBozKexgkafOvPzkQDqdifXqYpHCHTQylLtFPjeX7GeQoWdwCVg91jY0TwzgwUMGuM4/TMAqPWNz6/arP1jSpGsAEsBBIgx+/vQ+KD7QfkklVmd4rw++gzWMr7yjHKY/0nYn3j3qt5fs4rE+a5bNi13b4mj+Vd49THzraNaEd6Hv3WzHbKBpvJb17Cpy8fGnY6zyqiC5gLdtfhBP8xAJ+tctxfCQrZvIQWJaJEHciO2/yrpPEr7EAVj7w0fuxafQ6j7VOcYuQ0JSSCuHYYJbhFhjrHqR/t9K94dgishxDkk9gTOsVDheIKWSGB6n9o+9azMuTMVJA1Eak9a1wqW16IStHOuYMWLdwW8pZ8puEAFvKJ1gdND9Kmt2XCq1tFLESQTEadK1mM4d/wCp8dbYjwwjP+rLJbbePNt6VDj+YLdg5LiFly5pEba9DvsaCik22wt2kkAHgbYlR/EyusggDuAdzV5ylhfy1jwGMuC5LE/FmYmdNt4j0qgw3Hbd284w5bIAuVtRJIkwGAIAOmvbtWjwWFLMHdyAB8Pr1k/SgqbtHO0qZneLQt5hGpIP94q140ExeFeyZyMsGDBkQQJ9xRXF3RgQiBiAYMD6TWTsX7mGFzMpaZfKIMn0+lCNRdBe9nMsGo82mUZiAszHpNWGGtAdar1lyzkZS7MxA0AJO0VPh8OQd6lPtl4dIurCjvVlZWetUdi03erOxbaImpNFC7wwPerSw5qiweHIjU1dYWlAF+K1KnCK9obOLYOhG4+dNOHQ9qDuWGmaZbtsDS8v4Ggy7ggRGtTYRRbULAIAiqjFM7PbWWCliWI7AaCre1Y7OT85o2gMMS6vVa4rx7h5s3rtmBCscp/0k5rbD1jKfka7MqetY/8AEPg8oMSvxJCOO6k+VvcMY/5vSr4JpSr9JZI2rOX8SxF5gqtcuNbSAqFmKpAy+QEwB00rpn4V8rXbIOKuwviouRNc2QnNmboJ0IGpjttWFXKGBcErIkDtsf6fSuw8vMj4WzlullVFHlbUQIAPWRpV9xl1ZNpSVlth+DWBdN/J/FIy5yWJC6SoBMKNBoO1F20QE5QJ6x/XvQDtnMFmAHQGPnI1n515dxVvD75vMRtrptO+1NKajt9CKDekNxGEwwvLdZP4wMgy09QCRMEb70RjLRKlrYzHcAnefU/tVNzJgr9whrF22oiDnJHtlYA96M5VdxYUXTF0ySp03JIgd4gGO1CLttUc1SsujbK24GpA37kVUYXiGe4bQBY7yBovWSdquLWgOpMknXX5D0qHh9hEz5IlmLMNtT/T+5oNXI70PW4F3noBprRNC4A3Tm8YJOc5Mk/B+nNP6t6KJqiFK/iNq6RltNlJ/VAYAddDp6V7hw0w0n/VGnzo1jAmq43rgQtoTqy6bjUgHX/NKTiosa7QFxq241QAr+oaz6EelY6/iJYn1+prYY7HnwpYZW0lRB16rJ6Vk8SwZto7/wDmoZVb0Vg9DuW7Zz3DcUZd80R7j20/yai4jzTetXrllAuVASrODIgdBOoJ2nuOlWWHx/gWTciVgMB2JgCe24rFc24C5cDYu3tckXFXpIyyO4OgPqfoXJxSih8Si5NyIeUeOX7l9LPjP4TuCULEqI80CdhvpsZ1rYc58Ge8VS1vl+2bY+9Y38O+GMMSjsCMoYidDOUiY6DWtzxjjHh3TliVAGs+/wDWqquOxcjudoB4PwZ8Gi+JHiNJbLr20BP+aT1oocUZnCicskQPToY3qfBPcxbBngInbqSO/tV2hsIRAVWGgMCfrvXcLWnSJct77G4PE22EiD0O+/Ws9xjISbttwwU6gEGRMEadZrQmzLlkAE/F0zesd/Xrp2rnPOHEEsYkIlsG5Ae50EEmJ7sdaXJF0qGx1ewfmvg6Nb/NWHWNM6giDJjMPWdxWSsF82+lTYi9LMwWASTlnaaamKg/DSt2WSoOtO9WuEvNVZavjtVrgrgNSZQPwTXT+oVe4RW6kVUWLomADVvhxPQ1NgLAWj6UqhCN60qFo6g4Yz2qZL4IkivDg1PQfKmHDxprFK7H0Rri1ZmAV/KYJjSfepkXtP7Uzh5NoFR5gWLEnfUzR6Y9DupH3rtCg/m7mvHwxuKyMxKMCGU9QRBFG/mLXf7V7Zu2m+Fga6n6OtHJeN8MbD3MjCUPwkx5htOlV/Db5RwNCMyxm0IE/FJHTcjYx0rsHFOEWcQmRxPUEfEp7qa5bzFwG9hW8wJtk+W4PhPaf5W9D8prbCayKpdkJR4O10dDGKweHQgAEyTr5rhnpJ1yidBMVCvG7V6WgiPTU9I9OtcqLNOZWy3ANCTAI7dh+1TcH4ziBfVD8TGIYRpEk6aGAJ17UmRN6fQY62jrJxzgDKhg6Dt8+1Z/lji73rt61eaLqNmUafBoCBGnlb/uFXmAwt29CC7lAguSFYwfhAXodzOw9dquOXOXbGEzi2zu7wXZ2DEkSRoAAPiJ2qmJXTXRGb9MzvBec7hvNavp4aIxttcIOXP+mH2giYnXzCtZw6/ausHXIzKNGEEgMNYI1AIA94HaprmCQhhcUMpDAqRIIO4I2rnfDeErhOIllTOjhvCaZa0YLMDO4hInfzD1p3cWrFWzqabU24arcBxVS/gu6+MVNwJIz5AQMzDoJYVV8W4/ay3Ua4ilW8M+bXMRmVYMHMRBgTvTc1Vo6maU3ABqRH96ouJ3nFz4pWAcv1HyrMcV4jcw1nxsjMFhjbDHcRIQaiT09a2V7DqQrMgzjYxJBPY/1obkvwPTAr+EFxJjXcD1/wAn60rtq1ZtAlYdgJMGZ38x6D+9EopUz07UuJ4S7cttlVQdQAW3B0k6addKLjq/YLMnxN7ZUpIKN6wOhMHsCKZhsCiWmQklD+kn01AO5mPtQOKwTSUYajQjptt96fyfwN7ZLXWYKBFq2WJAE/FBMDSNPWpceT2UukVbYhsNdc294IAYdCAZ+oqs4PddsYzkyb06HT4RKnT/AJvrXVr/AAO3ibWS4NQfKw3B6H29KwJ4E9nFeeUK/CP0mdM6nqCP80rljlB92hvkjJdbN3y5giFuC4pWT8IbSMvxCNjuJ0Ogrl/4uJkxNoLIHhb7E+dtyN9vvXQrd11dLhYwYQhZiJ3Kz5qwf4tXlbEW0yEN4QIaIOtxpUz0jWruqIrsznB+bcZZZclwso08N9VI7dx7itrzwLWLwdnH2lysp8O4OoB0ytHZ4j0f1rnFgZOknv8A2o+1j3yG2GcW2IZkBOUkbEjYmoyn6LxhWyJV9amSwp6iosk9KemDJ6VIqWmHwc1cYPA1U4fDvA3q3wqNpvU2xi1wuCIM1aWUcdKpjaLFQSwE9DHSrbDYdR+pvrSHMM8Rv5aVPUD+b70qGwEKSCJBFLiOJaAqMQWZEBHQTJP0Bo61ig24/rUL4u0X8PKxYAMYUkAGYkj2oJIZsNtYGP1lveDTjgj3oZLY6Mw+o/ep1dh//SfcCjQovybelOFpgNhTGuX/ANLWz7if6ipVvkaMFzdYmJ9KVpexkMBI6Gh8WqujJcTMhBBUjQ/4aN8QVDiMSqqWYmBHSfTYUK/AnNeM8p3LaC9al7cSy6+InuB8S+o27dazDWQw/SR/IYIIgHyn9J9K7ghVtR9wR+9UPHeUrN85li1c3zKo8x/1Cdf3rVDyPUyLxe4mM5Q5m/KSi2846KSFde6rp5hPSQa0PKnN9i1fYXXy+OxLeQgB+haBpppOvrpWa41yjiLSFiquqySyGSAOpU6/vFZ7xSRByuo08wmPnuPkauldOLtIk32pI7vxHjqMge22a3lY51kiBppG+s6+ntWA4tzLkZXtA5ofKW28wyZiOo1b5getDcn82ZWtYa4ESyZXMSQFGU5ZzHaco1PWtbxfkrB3oZV8Ju9nKqnfUpGU+4APrRnCUtommkc7weNxFrEDErczXtczN5g2YQQ3fTp6CNqEuW7l/E5nab126stH6mICgAesAbV0tOTbIChXYDrOVifmBWS49wy1gcRZZ2RwzhyGAGUIynzKTqpnf0NZ448kdS6Cp30dTwfDitlFcB2SD0gEGVy5uo2nSrOw5Kw6we0z9+9U/C+YEvICGXUaQwYH2I3r3iHEFA1YD3r0eJC2WOLxyWVL3D5QCe5+Q6n2rnXFPxQa/dSzhUNu0WytcfS40yAEA+DWDJk+gqr5n5jRpC3QxGgykNr77VhOH4q5aum5EyTKk6GTO4qMm26KpHZMJg/Lr9ffrXM+KcxYq1fyu757TnKsrC66bAZxBGp6H1o+7zvclctsACMwZpzDqBAEfeqXmDGrib/iqhVcqrGkyJ1Me8fL5UWkcrOt8jc528UkaLiFHnQ6SJjOnddp7SJ6Tl/xV4/is6I+H8FVuE2r6OX8QROQiBl7lTMldNJnGcLsX0dblrMjq0hhuDBO3XQHQ6ETXTsFzNhsTZ8HHWIkAk5S1sxEOCPNbPmU+k70HOL1YeD7MtyjzHisRibFq4U8IOXJjKxyW3ZVGuvmCnboab+IN4XcY2WCEVUkQdQSWEjsTHoQaA4tw1beIcYUu1oMMjaqwnpOh0YMoPXLQtvCXXlgGbXU7knc+561Cc70aIQS2CHDe9SJh6JOCuzs2m/0n56a0dh+Hv6+nWdQNI9WFSsowBLbDoKKtXHH6AfnVrZ4Ux6E+1F2eEHsaDbBoHwl3QSsHtVphrimvbfCT2P+Cf2oi1w4jTXWKm2OqJbjqqljJAEwN9KZZxQInI491qZ8GxBHSCPtRNlGUAFZgb+1K2c0RBvQ/SlRQvj+U/avKFgphP5SBoSPoajwVvw3d5zFyDrpEACB6afelSo9BDxjlHxKR9DThjbJ6/Y0qVcuxWOtG0/wmfkR+4r1sItKlTOKChj4f1NC3sKTHm2YN7wZg0qVK0ENGOjdB8qd+dtdVIpUqVyZ1ED8VwoMFoP/AMW/tUXEOCYPEqC9sNOziVb/AKhBpUqZSraFoyfEPwxtNJs4h19HUOPYMMpH3qkf8P8AH2yfCdYOhNu4UJHrIX6UqVXjnmhHiiVXFeDcRsiLr3YI1/jkggwCIzn0FUdvAdok/wBP9qVKtOObktkpQSHeGREKDInp/f0pYhWU5WVQSBGgO8RsaVKqXsStD7GGe4PKJM+gH3juKIXgd4tlCgmJkMAB6amlSqMsjUqKrGuNhtrlVx/xGA9F1+5/tRS8JCfDp86VKoym32UUUiWwHSYjWNT0IO/3I+dL8y4J8iatmjXaIK+0AfQUqVLY1D8LimiCo/UJnfMZn5GSPepbLKNAu0n6rlP96VKg2w0StiUUAkbQF0OhyhZ+w+lEWnQ/CI0A67Bg2nbUfelSoXoDWwgHWRG89exGv1qRHYCJOkRDEbadKVKuOoJw99lGhJmJkk/CuX9qKs4xs3TTb5f70qVCxqCkxXl+Ef76Gh8JduMWJK6O4jL0Okb17SpZHUEiyfT6UqVKkCf/2Q==</t>
  </si>
  <si>
    <t>Thirati Paal</t>
  </si>
  <si>
    <t>திரட்டி பால்</t>
  </si>
  <si>
    <t xml:space="preserve">
Milk  - 1000 gm ,
Cardamom - 5gm ,
Jaggery syrup - 100gm.</t>
  </si>
  <si>
    <t>பால் - 1000 கிராம்,
ஏலக்காய் - 5 கிராம்,
வெல்லம் சிரப் - 100 கிராம்.</t>
  </si>
  <si>
    <t xml:space="preserve">Boil the milk and reduce it to 1⁄4 quantity from the actual quantity. Add the crushed cardamon and jaggery syrup to it. 
Mix well until everything is nicely combined together, serve. </t>
  </si>
  <si>
    <t>பாலை கொதிக்க வைத்து, உண்மையான அளவிலிருந்து 1/4 ஆகக் குறைக்கவும். அதனுடன் நொறுக்கப்பட்ட ஏலக்காய் மற்றும் வெல்லம் சிரப்பைச் சேர்க்கவும்.
அனைத்தும் நன்றாகக் கலக்கும் வரை நன்கு கலந்து, பரிமாறவும்.</t>
  </si>
  <si>
    <t>data:image/jpeg;base64,/9j/4AAQSkZJRgABAQAAAQABAAD/2wCEAAkGBxMTEhUTExMVFhUXGBUVFxcYGBgXFxUXFRcXFxUXFhUYHSggGBolHRUVITEhJSkrLi4uFx8zODMtNygtLisBCgoKDg0OGxAQGy0lHyUtLS0tLS0tLS0tLS0tLS0tLS0tLS0tLS0tLS0tLS0tLS0tLS0tLS0tLS0tLS0tLS0tLf/AABEIAQAAxQMBEQACEQEDEQH/xAAbAAACAwEBAQAAAAAAAAAAAAADBAECBQYAB//EAEEQAAEEAAQDBgMFBwMBCQAAAAEAAgMRBBIhMQVBUQYTIjJhcYGRoRQVI0LBBzNSYrHR4XKy8IIWJENEU5LC0vH/xAAbAQADAQEBAQEAAAAAAAAAAAABAgMABAUGB//EADMRAAICAQMCBAQFBAIDAAAAAAABAhEDEiExBEETIlFhMnGR8AWBobHBFCPR4ULxFTNS/9oADAMBAAIRAxEAPwDCZupHtyDk60sQT3FnpqKmkyP8JdEODzuoe5iQM/ESL4hIGi6WxRXShrKu8qEkFMWDgBai+S0GBxZogpG9yrLOILdEQl8KaQ4HieO6xq3JJQGa2BNbZpFsRRsMIiFkxnGgFeJZiJF5QgO0BeDSYlRUvIooWJIZdrRVAFpRqFmFImRvhQaGBsGyyECSHZYJZydE5clw3VciO3JIu52qLRGG4CREpRrM/d/BdEODzs/Jj4RoMlJYVr3FjwexjsjgeXNXntuhk99w82MiI0KXXFoahaV7S2t9VKTKw3QGQE1eyT5l0GEelJkaSLtYa0QHRFapWN3KuGq1Ab3KxO1tBoye9hy5FbDN2DDdVmKemFLBbKOGiYRisx0QYslaD4dhfQaQmjLYjJO9hzGRlpF8kzdlEiDRbYQ7DMoAsJRaZtALUKwwanQjK2uSKOyVNFDunJQJdSzGs1ITcdeivj4ODPyZOGb+KlivOLEYxUIJXS1sMt2JSQNOlBI4oJDGgclJ0Xgek2QZVEh9UkG1UMwG1kURR3mW7m4KkDVEUBGNUpkMAojNlYzqhQLJxLUFyaQBxTiFC1BowIYejbSR7JdItIYAPMk+6agg3EsGh06IcCt0OOFgH0TgW5RkuzShqrYDROImdfh2RuQtpDjmKEeS8nsByKhJMo8LMZMe4e80R6KuNnJnoTjB71KtpC49x+ccl0WO1RnPGqz4MisjFJnQuNgRU5DoK9mgS2UlErhT4iLRW5k6DzM1R7hYIDdECAkJQHnPppWC2Tg5QSCUtgTDY7UABInbDK6FSFYQkBajHgsazwFFAx6dlhFisJhSctFGIlhMiNGssWIijWdSUUB5SjG67qipk9QzFgr3ITaDeJQ2+BrNRvzWqiU5ajEGIqYA7KblT3GxmlM5h/MF0a4UPyxWUt6oSywoEVuDkAUHNJnVCqF3RglDUiloNM2gktWUclQB2GNBwNFZy3Akqsu7EHYjVZSA5Lghsm6fUhLKOPohaC5EwsB0cjaF1bBMPG1rqsUhasVtdg0obyOiby3YVPbcBJBWtotoGtWVYwVqaWVAeRWeACFobxEUy81rQNaCvZY0RtMDkiYgGmnIKVCOUQoLTzTa4gtURnHVK5IZTRqGCM65gtcDnWLLxRQ4Nh/P9ULgHwMnoXbhWjXPp7p04g8HIQ+SMaZvqjrijPp5mfNHE46uCm3FjeBNOiW4aGvOhUTeHOw7YIK84RSgB48hd8UFecfNPWMTRl4IbFB/EPmtWMOjL6FnxQ3WYIVjG0ZQb4Yts4Q8hvDysOzDRH8wTLQxXDKi5wce1hNpgLWUqeGs2zBDTANZSJ+FtaLKPhx5Ec5J0xI4VjnVaXREKbYdjIW6Ep0oGeos4wXuj5BakFa2A8wjeM2mZc9z1C39sFTJLIeoRqBvMVzQjmEtQD5yPs8cmoIKDjGRt0rFpcCLpu6lLH6DJ2LPwGuppJpiuSmiT4Ql3fuhpR66IMZ6lLSM7ANsHco0TLlmqzQyIMaNCtHjEtQaKiMWs0DuTJEL2QSDLksYB0RSMSyFZxCifs4vZK4hvco+CjojpFkGjj56rVuMlaGMO03utVivg3pATBr0XXFeU8rqH/cMDhxJc4Hkpw3YvYLiItVp8loKwTY1MpSLhtbLUY9kRoFBO72RFaRUxpkK0hrgjDbiqRRDIzQgH4lhZrcbEZ/FbL15+dtyPXwxSiJCOt1TVZZRoqW6IoD4FeafkjZIGqxk9ySsYvSwwJ41QF7kkaoILW4WkUEYhg0tK2C6Ia3XXmlkGweIjpUTAzwHhW7jXsMQjoiuRJbG2W/gLqj8J5Gd/wBwweE+dylD4jWGxmhWmty+PdEtjGW71QpUG3YMBIh+xJTAJagBo87RFAY7wU6OKtHg5MvJOD4kA5+lqGXPodHZ0nT61YviZcxtQe+7PRXlVISLrTVQydlHHRbYPYXOiZEZIkFMKECBQmQIIzVA611RYIkkIJBkGjCzMh6FvhpSlyKxfEtIq00TX6HhJfJbuMUNUqG7BsK8WjHkTJvE3ifwl1r4Txs3xmBgGfiPpRXIwWcaaozR0Y3sBhCnwUZchABBWMS1YzIeihGaPDGVE4lXjwc2TkycG/xv915+f40ep0PwMbpMX5E2o7lFsDeVkjNlHNTE5ohiIi5CAaoFCHrIEihBRbAiQ3msjMJEdUGCzRjCkB+gScAtWJW0zKNj2WTss2T7poyHfBGHec1J0Re51LKMfwXbHg8fN8ZhYA/jOUY/EP2GOIspNkLYRKMKRdhEBSpCxiQsZsl7tFkhGamGb+ASF1R+E5Mj3Oew9h7l5+ZedHqdE/Ix8Is6RSPUIpjoq8UkbGJabB0TRFkUiFpyMS7hRWKPk9INUqRmyRqFmEgM0WTEZeCJCTE4GT0SmW4dptq1E57Mz3jWktUUTsHJINkY8jtkt0VEKjp8H+6+C7YfCeNn/wDYzDgbU5tSW0g9guMfdpshfChJiidD4DBYU8VjEhEVkPWFZq4Z34NBdEX5TmyLc56EfiFck92dnSmik2O5CWGJaEz3BFhnjMFF1ZZMV8p90UBl2HWqVLYgVzbKLA2AnJ2W7A5JjNkAJXwGx4wCktgYKOKjoi2I2HcEAJ0DmkDfkmrYz3FudpaMhZ7MzzSC5GYxG2hrujwG6Olwn7r4Lvx/CeN1HxmM5n43wSP4grgpPt8UJnThKRRJaHmw0YI5WgBsgtWo1nmhYDZBatQrH2WIV0L4TnycmIPOSuWXJ1dPsPs2SNHcnsBZl2JQbRJZkFJYBo5Lt3H8dCxdETq5YHjxCPcxo0NrOTs3ixrkgOYdcydSQryo9bNbKOpBWZItFHGdQ5FNMDzoPbT+ZB0jeMmWhkjB1cELQspJkyyx/wASDoVS9RbE5CPNqipIZzV8lW5Kq0djPIgcETQ+y7TkkbSYdaa5GPsrLvOCjaNq9zXw2IaAGggrrxT2o87qFcjIxsmWSykm6kCC2BumsEjlqtrTKK0WhltoJIB6JlONG1SCtlA1tbVH1DqZcTsPOltcTWyWys6oa4gtlfB/EipRBbGpZg2I1qn1KticlbMjAjvCa5Llu2dmFeWzUZh9Edjp1MB9zg80/gI83Wz33Mj4APEZX7jBQ8A3iFX8H6LPAHxAQ4XW5SvEbWT90kreCbxEVHB3HYoeCHWQ3gz+ZW8E2plmcFPVHwQawn3N6o+Cga2C+wG6Q8PsHUyp4YeqHhB1Mn7svS0fCNqGIOEVuUywpcgcmPjBtaANlVKAjUwkuFYRqQnqLF8y7Avu5g5hI4QCnNlPu9g6JNMCmnJ6EOwLANSENEDachIwsdbhGsZnDJ6Ho4YTsQn0wYjjNcnn4Fh2pLogGp+hcYcZasUmSigaZ+ghFwunFzXUOajLGm7srFzSpDMWHrd6ygguWQSOPeEmtnV4SI+8n9St4jA8URjB45zrs10WeWQY4Y9z2Dxz84BPNUjNk5YlVnuNzEOFLZGcsVueGLcwAeiybLqKYhLjZQfNog9RaEYi7sfLtmU3ZbTH0BtllvR5QcmDwo+gUTyXq4rRbfcbw4+hR2LlD7Dlm2FRV8FBin2fEUE2gOMWUGIcT5jYWbZlCJ6fiErapx0Q3NJJbpB2cXLqJJ9ULdjqUZKqDSOLh5j80yth0xIY140zGvdF2jKK9AwzEblFKwukJzSO2s/NK4bi6nWxLXnLVnVZwRlPYvFBSdRF2DAEcz81tIXVFyDl0JRaBFJi4e4HzGlLcpSLSNJ2J+aFMND7mArEwcrFkBgSNaToTkNg2+NoTw+InkflPcf8wTZDhhyBxTjQ9lux0w2FY5C4eyy3KplC1Ky0eAgPKknBQtPQFpIPcZ0hdjsxVLRNW3sS2Gjqg9w1QCFniKNCrknFNSsLFo21qloC23NBoNBwTpbDN2MxS9VmrDEPG5PHYMlaFpo+az3EqjzY9kaBQekaAzwFooFBGhZoKso6Lmk0jqRV4CFGHqUQA3ogYGtUbAwuE/eBUg9yWRbE8eGoVchwR2Zn41zg30pKlsXR7CxjJY5plwUjsDAU2dUFsSlYwDNm0O6Sw/EMmUZaA1S1b3HcklsDjG9qyRK7AQaE+9H+y1ComUhLJDJi8jNEppLYPh2mkVZojLEwyQYPoIWUrYG8prJUXYmMi8g0TMSyY/KsgshspQsHBV8xKDYyQN9pBqNdRACtMgMDI1EVkcPae9CrHkjLga41q6lTIcMfiM3ip8Neiy4LNk8NiuO7U9VbFYIo1mhQOqD7EUgyiQECnEpEHvYfC8Nnla58MMkjW+YtaTV+3smtLklOUYvdm7wrsTinyFszHQNy3nLRICdKaAx2p1110ooeLFLUtyTyx7c/Q+icR4YJYnRSNYQ8OcS1lZXVQkHV4zA73yK8/HjzY5puTb3+VelcWthFLHzHb/P+DiYP2ZPeNcUxrsx/Lmb3fJ12DmvlXxXT/VwctNdvb9uQ+JJb0clx/hL8LK+CQgkUWuF5XtIsObfLl7gqqkpK4l4y1RFMESdLTIMRxvRFlF6FzHYSMpWxIYCqIi0EbFStpEsidh5LMB57fCg1sG7FUlGbLAIBTJe1Boc1wpMQG4ImBrClsDH+IFaHJHJwH4wzxKmRHBF7mRxGDWhzCNJIshnC4RzWVak9joxqxd7SCUvJ1rY9yWGPQYZ8jhHG0ue66A3NCz9AhxuxXJLdn0nhuLOHwEQdmiIaQcwDXB9k6M23G51rWlwdQ0nu6Xrz9O3799iMI68jpX993yNHjEzYsz+5Dy4eEOLm0RYGYOppNXuueOadNKcbv02/fYZ4sblspVX5/tuc4zt09r2gtPdnUHzEjYknmOiDz5o79vT/AH3/ADOhdFikud/v6GkOIatlY+RzScxbmrLYOZuYa1Z2OyhllHSsru1vzx697VmhjdvG0l2uvocl23ikxPETHFG7vHBjQ0mg4hllzS6qZXP0J5r2cN+GnNJP2OWNRi6dhsd2BxWGjEhLJtLcIsxLBvdEAubVajr8UY5It13NjzR77GFHqqnSi4JpAY9DIqRIyYZ1qm4lF5BomfAqByHRI2NQAJQnnckrCghQRQ0VImGxeAljAL2FoOx5Ks8M4K5IRTi+BIhIGwmB/eKsOSGR7DXFAq5ODgXJmcUl8ILd1Juy8Ez2Fxvh1U5HZjlQ1h8DJiXFmHYXuDS4iwNB6nRBFZZFFWxrh/ZeYYhkeJjcxlOkcB4i5rCA5rSzYm+o0SZsyxwcqb+SvkCyKe0X9djro+HQYd3eQxd2PE17rcXNGRxGXvCaB0uuY5rzs+bK41krQ016Pi/2227hglLvbVNenNGbhc+KjzyRMkhFObbi5xyPc17SAACRv7UtgjLSls6WyfP+/wDopmlHHNpNp9+yFcZJHG9jBh3SRPaHMyseTEayuDjVAjVaFpaowtPld0/9CN6tpTpr6Mycb2amLgIQAbJaS7KwtO4AFlpBrQb1ohKktU1t+/39ArM+Im52Q7Ny4Zzu8lMrmucD4S4fyOaDr7ozxQlkUo7VXZcPexJdRKWPS+/3R0xGUtkd4pMhaHOAbbHOFgmjQ50FVZJWoyTp3d/zWxBxT4+iBYXHi3wYhrgCSwUfM14I8J6UuWGRYJPHJbWtP8Vf7HTkxeJFTxvtv/s+f47szPFiBCGuLXvLYnu2eKzCyOYG+nIr2NVxTewIZYtXfBktlBRLtgg7xUqHPe40SmQWXLtPVM2BLcFI7VTe4/CCQYe2lyVyoKV7lHBNdir0ItKmOdLheDPGIYxxblzauvTTr8l2/wBBOLUnuiHUQyY4W1sdD2x4a8wsbAwkOeS45rGmg3T5ISy+VP8Ag4ulhKU6RwePilhfklYWu6EfUdVwyg4upHVKVHuGSgyWU2PkhklsPcUlCpkZyQW5kzwkiwLU62OqLojC4QlnRRkzoxpdztf2d4Hum4iZw5BgdehoEuaBz3Z9Fz521CxsrTkood7V8ZEcRDZA15AI0DNG62BuR7fVcmVWlBNqq9vtD9OvNqatfUzZuPR5j3tNgGXUOsvOWho6ic13dckspNy1S3Sey5f6/X+QrHslF+Z/fYUw3axseIbEyB7GC8kbWO8XeVoG8ySRsL1SYvFjlWWUd12TL5MWOWLSpc937e5rYftFG805pj1cx7XAtew02gQfL5rF1uuqfUSW+mmcq6Tsnfoe4the7dHMGOMZLNWnOb10EbeR8PXZSeHXHW42lXFN7e3G/cbHl0t47p++36leMQtieyRheHZiXBos+GiWn5ih6o5oYZxVR818V97AwyybqT2r9+49wvtIyQOErNAHSHZzch6nkR/RTj1UpOpR23dLe09qd+g2XpVBaoy9t9t0U4bxkSwh4c14cXZD5coYRlzZiazCvXdaMnFW65pX2rj1vt+XcXJjSlStbL3u+a44NpmIe+Jrm5XPaW5gTTaGpc0nnRI9rTeJmyXutS5v4X3TQujHCW90+K5/M5vjHYyBwkxMcoYzK53dBltBa26abFA0fmu6GdOKb5e35irJKL0yXBwTcO1xsGlRzZdTx+ofuxS0Zy7hlLH6nsg6qilYviQ9SpaDon2FeWIfMQzKFJpWP4sa2Ax4ckbprBrj6ljCFqD4sfU+mYPBMb3mbK6wKJNEdaC+gyZZS01aL9TPLk0pfQbjxr+8ha3LkBt1n5BReKOmbd32Od9LUJyfPY92jZDI4ve0PcNGt0NJOmxulH9aEw4JzjGCW3NszcBHG2NzXwguebFAaDourLDVJaXsjtn0yck4tUlRicc4Nho4sxkcHbVYOp2oc15+bDijFt7ehw/0UI23fsYvC+GSS6RjTm4kNYPdx0XDHG5K1wcE7g6fJrYDgkDadLJ3u/gjJa34vIuvZU8KMV5uSeube2xt8SwRbCY4I2N/OAwuqtNy45nOIA16LyOtn4tRxrfn7Xr/AAel0dY5XN7ff6Hz3jWBxL2l0mHecpazvZXFtNBFNykjM2tNOuqSEZR+L9eTpnODfkf04NXgcGHMzMQ4tlc7wwsazwxZQ7M/IR4nCrFHT6gPK1airf3x7kpQk1vskbLGztxP2ouBjYchHhbQc3LR1JsHKTR1pCcZaJTvf+fTYylB1jr79RifiLJj+M2USRuzWwAFzDdAndzfRcvS5cii3kTb527fsdWfp4xa8Jqmq39SuN4s5wjdhtWsLmyMYOQPmDTrdZgdeSbXkyKUfR7bcp+3t8yaxQhLzd1zff0s1DxRoa173AjR2vm/LnFa1pXPmqYJLHBylK+/vt9as5543OelKu33wPfZIgx5a1rg5tOa1t2w6Gmeuo/uu9JRTcXe35/l7v8Ac5pOUqUtt/uzgRwXExulw8eUROkzxuc4ttr/ABd2QG3m8JHQUNbXFmqk+FKtn6/aO7BkV21bXpvsddwzD4xrmh/d5ACbbRzXQrkb9U0ceeFXLbnt7bffAk8nTyTpO/v8g/DcJJDhQxwY4tDY3ZSSTmIa8OB35/JBdPmx424Vd7VzzuvR/pTFnmx5c3mun68cbHM8e4DJ38rgzM0nMMg8rTsMg1FAV00XuY4RlFU9/wBTypNxZj/ZB1TeFHgNtlm8Oadii8KNqZ5nDx1RWFAcmFfw4AWUHhQNbBMwfQpViQ2thRhAm8OINUjrftGi93RufXeHuBkxotMsTopHC6KtxQOzfii8bXcLxNdzN49xSdoAhaGtsMLjyJ2Chmhkilopt+vb8jilk/u+FHeXq+EcbxrBT95Ty50mnroegXk5el6nJJtrV7rg5c+rXUnb9jtOy+IZiMP9kxMMjXwttro3UXtcTqW6gn5pXCcFpmqr7vY8nJpb8bG7T5Or4dgQxmSCWMNyms2smfe3NNUdvkuLqsWab1Y3yq+Xy+7Niywiqmu5n4bg8rHukke+d7mluSmNYDehdTrA0HOuoOlcK6TJCLdXJ/Lt6nfPrMc6SqKXz+7HeLObIzJNhmy2AXtIzNYALGUncj0Vc0cypxhb7/Ku233+ZHF4TbWul29/mZHZXgUOFEjMOJHmTV5mJolvJra8N3XOw0Kvhzb4290xZSjy5fRonC9mYXW5tkiTMcl00j8rSdL29uShHFByVL86r8ijzZK3fb1/Uw+1T5ocQJWRF7O7kAyakC7oNb7H66KU8DUqTvn6M6ceaLx1LbgpwPtphpwzPkMmofZLSbAGYZdSfCNf7qM1kxuLmuHu38q+/l7jrFCd+HLbskbOBjw7nl0VEgOa6MkODmuqy0u8vPqNUMPUJT+FXvfo1+fAmfDkUPM3W2/oxBvFpYp3RtsMYfA5jSRlOoBvpmrppapljO3pbS7UuPl7faGxrG4ebl82zM7X4iTETQlpcwiPM51hlgZifUkAN0rY2o4ISlhTzu3vz6IfHNYcjjj4tfqbjOLXFF43iazEWjxZ6BJPSxpfoVBJ5IuE1LZNKr4fC+f8DyioTtVpe+/b/Rrxw4vvgGFoY4WRROYBta5RQJsrrx48+OUd3brs6781t3OKWTBKL24991uM4rhLnvaXzGJwaW153DWwRRGXc/RezjwVFW9+/wDhP/R5k+qVukcF2qxUPeBkDnvLMzZJHADO4GtAOlHXnarO217FcSpNvuZUM7gNygm0M0mEwcpzaptTFklRvYpwEQ1tVd0czW5hxzO11XM7O7BGLW5Penqk8x1aIHVOcV9ekj6RJHu7tbVRtVDGDwrnXk8RHIdVPJlUfiOfqOojiVz2MnHYB9HDiZpded+vlJ1O+xXTDLCX9yUNuEeFjhmncrr5+4rhMbHn70uzGEGxVukAG4WyYMrkklSf0Oh58eOOz81FOznGe8xmcMcA/M0Hp+cX/wC1N+I9DGHTO61JHz9ed6eHvR3jImvIcQCHi2mtiNDR+C+XjBBnta9AM0smwOm2uqMoMmmhEySE1YOvNor6qSTTKbNdyTE+OpA1rfG0W0VZPh5AV5j1Tz1NCR03RpQ4kuaSc2Yc9f6ghBajUZr8bI0nK5186c7X5kptPsvob8ycFHETZwsZcTqe7iPx1butpUlTQPNHdS/f/Ju4drG+WBjfZkbfnTUPAj/8oDzTfMicfxCXIWsa1t+E8tHaaV7pJQaXAYvfkDh8bINN/cn9TZVo421uTdJjx4lLpWX6oeCgOb9S0kshAJedeQQWNCOYji5RFHLI78rHOJ9ht9E0YRiZXJqJ8gwpJ1duTZ+KieuNUjYCQxGjMtXqhQCCwLUEIIQnUUC2dHj8Y1zQQ9keoeIzZJ9dOS9uE4QlUnfue4snWxt44X2b7E4DivfMla2PXZ0gBLWt50eR/UhTzZcWJeJqtLt7myxz6oQlJRb7XuKYbiX2WSJjZMhldTZfMGB2gLhsT1BXm9T+KLLminFaWt16v59i+Tonl6efiuUmrrs9hnDcKjkxr4XSPeJCQ97crczuoBBqzfNW/wDOz1LHCCSXHJw5eglj6Lxr8yS2++51UH7OcG0FuSQg7kyOB+bSE0/xrqZu219D51yzOWr/AAF4f2CwsDg6KKqIdrI86j3Jvko5fxPNlVTk2Fz6h91+n+DFgeI3PiDj+DLpmNjIXA6ehB+qSG8UymSet6n3R0n2RtWaok17IOW9HHuZRjaJgNC2xZ0QaKqWxu47DQiI1lNUR4r8pBHPqFGMpXuaS9BXgmHEgeCKLb20VMvlqgx8xi8U4a0O1sH3+n/OiryrROM2aPCeHmtCPklctPI0tzSdg60Nn4ILKQfJ44NttJsC9b9AUJTk1Q8ORZ2Bp+gVFk8vIjlvuQ6I5qA2TKS07sVy9BwREOaK0DST76/4UdScWPw1Zl8WwbTBJG4Z+8IaRmyGh4rsXzDU+02uyDGTTtcnOjsvhqH4Tx/pnGmv8zUHij2ZZdRmCN7EROqm4j4Pid09v5krhFdzLqsnFC2I7DECxJI3TaSLTb+JhKKgnw19f+g/1bXxRM+XsliB5DHJ6NfRPwdSDxtFY9XjZj4vDyRvySscx3Qivl1SOzojNSVplaQphPoGH/Z1BQzTSP65R/TXRVWeu31Y+T8a6vItOvb2Rty4EtBibH3WEY2vC3V2mpI3odUj8OWPzO5P9Dz8eXP46nF8O9+/zs+SdscOYpcrcs0NB2dpFDNdOBB6EfVeU4uD09j73F1Xi4lNxafo/YxmcSmyDI94dRdmYadmaRl1Go9wmjvw9xc2fyVVrv8A4Po3Zz9q5eGtmibe2YPrMaqg02Sb5mlbWu+x46/CseVXjn9UdriuLvdH3kbTQ0c3chx2bpubK82fXSSc9LpX2/JNHj9T0k4y0p/7OQ7QYXu8Q2Q1lkb3ZPImrjd70K/6V6nQdXCUnhvdK17r1JrBOOLfsdfhn95hWEdPqN12Xpy2cUuDAmsOXQzR4NJmKDoy07EEfMJZY7EezLYCcCyRuNOW+qWUNSKaqEOISZj191VRpCajQ4W5wFAlJkiqF1+huxR3uT8yuKTorBOQrxRga33cB9Cq4fMwTjo3L4bD3qUs5ULCLkMMwgBtI8jaKrBvuRktx9FrpE9OqTOS41ii+Q0dG6D16ldkYNRNCkZjnvOnJK8bLajp+zsBOpJ0S5moRomvPOjpVxHYZOOw7ZMzSAK2cNCD7rqxzcKaODJvJmFiuDOlw7Ip2SvfnJD2gXGMxAFu/l9CqSlFzbTSQ+LXDdJmH/2Rib5pcQ09DGD9U2hv4af5lP6pr4l9/U+nArzy6a7GfxjjUGGaHTPyg3WhJNb1QWbS3Z09P0uXqHWNWfDu3fFMHK95wwfC6y5w/I8nchuzb9NDa5puH/Fn1PTYs2LHoyyult7e19/4OImxRzNc1zM2QNOY0AR0GtGun0QilycE5zhJpVuFwD3Bwfr4Rex81VZ3RujowWnsfR/2ccXkZI5t3nGZxJINt0bQJ9dl5f4o5xxrNGTTXZcO/Up1uGOWCcux3eJgE8T4SwHNWulijYIPIgrw+g6rq5ZV4EU3a3ft2t+t0/Y8rJGMd5PYd7M4N0Te7cQ5urXeh0ykeh1+K/Q8krim9mfPunJrsB41w8sN7jkq48imvck4uLoxWvo76K0WKzTa24WP50Wn/pJH6KcXu0zS5M9j7dW6rHcWSpHR8Iw9i1z9ROthILUzZhC45M7ccKMzitvljYNhbj9AP1XTg8sHIh1ErdI1Im0FzSdnRjhpRd5oIJDykooy+JYqm5GnU7np/ldOHHb1Pg5JTpaV+Zish9T9F2MmmGbggdiPiEmujORvYCBjGjL8Vw5ZSk9zowqC3vcbDr2U6LqSfAMQ1t1v4o6hPCS4CJSpj8T4sGuoEabrsw9PatnFmyW9jIikkhygud4tQ2rIF1sN10vRk7AnjrhjnGcIJosoiEzuRk0a0kVmAo3XQ6FcGSF80dv4f1McE71yV8139uf1PmfE+xcwbPNMImMY17yTWbwgkNYxugvYdFySxTpt0fTw/FulnOOLHcm6X/be5xvBOzmIxZeGZcsTC8eEUf4Wggal2tX0KGPHKfBupzQwteI9m6Xt7/IynQkE2K8RB0rLWlZFJvsWhja3Ot7HwBmKjL2NkZoQaoA8iKOtLaFJOM+GJ1OVxxNRdM+t54yLAIXK+l6WqSqvQ8SGbLe5L8U5hBZZ69D6Fer+Hxi7VtnJ1l7OqNnA44TMIewjl1C6J43jdxZyKakqkc3xzh2S3M1CspN7iKnsZvCuOMEb4XnUEuHrdA/I6/FKpJyHcHRTA4lpdoQrQmrJyjsdnwrFilHNBt2TxtwZoOxjaskaKHhs6PGvsZPC5+8kdITodB7Db9SrzVY0kQ/5WzalxLWNJJoALmjBydI6XmijBxPHA4+HQcvT/K7YdNp5OWcpTe4n9rb1V9AlE/ax1W0Boj7WBzW0Aof4dirduoZsdIy2NqbPQyZfja4o6b8x2y115C0biR4hR9EGlexoybXm59hHiU+QEudQo1r4nGtKCrCuaJzjJur2OIxfaN0VB89OIstiYKHvoT81WVPkeGN1sF4X2r8TWTBm4p+1H+Yba8yKXRPpu8Tsz9IlG4fQ6TF8VnhFuia9leZho/EELj0J8HFFxexgY/tJhJg5kjnszAgteA5pu9COYRWVRWmSKwxSi9UeRTAPwUZPcYiBljYMy+W6JFanUqkM2KKpKimSWafx2/nuJ4ns5hpSS/GtdbnvNkb0C47dK+VDZTlHHLn+B4dZmhtFGjwzhmGikBGIhcQQ2i9m5bmA5ctUfDg0Jk6rJJbnTs4eSNKIOuhtcv8ATY0IuplfB6TBP2AXR08YYkTz5XkY3hopGiqFfVNOUJMgoyXYS4+JcpHdMkB6Oyv+dFaGnsM2+58vxvCMQXmsLih60xw103zC+ijKLvY6IzVbhuH8FxQ1IkaNfNkFUQDu7kSmjGdmc4HS4HByN88+XcEWPy1ew9firLV3JunwjaikwzWkSS57Bu3cvSj01Qak+Ab+gSLjWAjFCaJtaeOSv6pWp9w6L7CuN7UYF4LX47Dhv8LHDl1JdqjB6Xdb/MWWNv5fIweIdqOGxURiRJZqmAOodSbqvirrP6/uL4MuwqO2vD//AFem5Z1o7E8tUf6lB8CYRvbLAHRr3OPo1x5+jenyK3j2bwH6jkPHIDq2KZw9G1eum5HLRL418DeA1yx+HtDl/d4R19XPA/paWScuWLoii3/aPHP8sUbB6lzj+iloguxS36mB2h7aSQAskxAMx2jjHlH8Tt69BeqzcUuAqDl8jj5+0k0n/iP13JNuPxSvIdEcUURh5NPXnr/dZNjtDuMkNGhZC9R51Dg6pZVHgW4f29xeGGQ1LFtkfy/0u3A9NVxSyJyto4cuOM3a2YWXtZhZxmLe6f8Awkivg46KOSMZcCx1QM3EcWw/MX8LHzGi5JY2i6yIysXj8KdvDyoaD5JUmZziznOJTMPleT7kn+qdWTbQ5wrtji4XCp3hvOst++o9FTXL1EpH0DhvbjFOaC3F3pzHpXJ3RTc5IoowfYeb2nxzr/72L5aO/wDuh4svuhvDj6GVi+O48mjiifa/1KZZpG8KPoIjGYw/+ZcOXlbtd8x1T+JJ9weGhtkc7/Pi5vWnZf8AbSKk33DpSC/cDT5pZXe8jj/Up0rJsI3sth+evubTqPqLY5FwHCNGuX6I0kKcx2vmw8bajq9tgp5JbUGKRzPDYW7uI+ikhzqcBJhG0Tlv1pVTRjocDxGAeRt/6Wk/0CdSQtD7u0zWDXwgfxEM/wB5C2pAoQm7dsGkbmvd0bbz82jL9VnlQNFnJ8X7cYyclrHmJmxyjxn3d+X4fNSeRsZQSMnCYYk2bJOpJ1JPUnmUu450nDcAa1HSk2lsOqjTiwTiNR9E1NG1D8zQNuatKRm75MDieEzEev6qTAc1xDCFpKADFxUSSTAxVoPVIgFynACcEgRvvwAKL2u57EH2S1uGy7eLyDmSFtKDqYX78fzJ/wCfFbSHWyfv13U/L/KKRtYVnaJw5u+Q/ujuDUXPaZ3J0nzaP0KKbBYJ3aSTq/4vP/xAR1M1ik3FpHb183H/AHEoWwCWd13aBggnf1+g/ssGyRiJOT3D2Nf0WAWLpHaFziPVxK1hoLBgTV16LGo2OExuY6wsNQ/FgCbdW5TJGNjh2C1Gg3TozNyCGq/5tzVKENDDihol1UYmLDE7gDc37f0T1YzdFcTw4OHqi4i2YvEuD5xt/hK0NRzWO7NO5C1JxDRmTdm5B+U//qGhgEpuEvH5Sg0ahV/D3/wlLQKJkgfQFIBoE7Cu6LAoj7E7otuGj32E9FgUEZw1x5IhouOFu6FajUXbwo9EaNQ1DwNx5I6AUX+4zqjoYS44ItoMHZwP0W0GH4OBUBY1P0TeGY0m8FYABR25/on0JAsawvCgBt8VtNGsb+xaVyQo1jsOGpuyALIijd8Pfqm0sw020dID/9k=</t>
  </si>
  <si>
    <t xml:space="preserve">Tricolor Boondi 
</t>
  </si>
  <si>
    <t xml:space="preserve">
மூவர்ண பூண்டி</t>
  </si>
  <si>
    <t>Gram flour - 500gm ,
Rice flour Water Food colour 
(green,red,yellow) - 4to5 drops ,
Oil ,
Salt 
Baking soda - 2 gm ,
Sugar -  750 gm ,
Water -  500 ml ,
Cardamom powder - 5 gms ,
NW meg powder - 2 gms ,
Ghee - 25 gms .</t>
  </si>
  <si>
    <t>கிராம மாவு - 500 கிராம் ,
அரிசி மாவு தண்ணீர் உணவு நிறம்
(பச்சை, சிவப்பு, மஞ்சள்) - 4 முதல் 5 சொட்டுகள் ,
எண்ணெய் ,
உப்பு
பேக்கிங் சோடா - 2 கிராம் ,
சர்க்கரை - 750 கிராம் ,
தண்ணீர் - 500 மிலி ,
ஏலக்காய் தூள் - 5 கிராம் ,
வடக்கு மெகா தூள் - 2 கிராம் ,
நெய் - 25 கிராம் .</t>
  </si>
  <si>
    <t xml:space="preserve">Prepare batter by mixing gram flour, rice flour, and salt. 
Divide batter into 3 parts. Add each of the food colour to it. 
Cover it with muslin cloth and let it set at room temperature for 10 minutes. Heat oil 
in a pan for deep frying. When oil becomes hot, hold perforated spoon a little above pan and pour 2-3 tablespoons batter on it. Tap its edge so that droplets of batter fall in the oil. Repeat the process and make as many droplets as possible in a pan. Stir them using spatula and fry till crisp. 
Take out using another perforated spoon, drain excess oil and transfer to plate. Make sugar syrup of one string consistency, add cardamom powder and nutmeg powder, strain and keep aside. Add fried boondhi to warm syrup and soak for 30 minutes, stirring occasionally. Drain syrup well, spread on a tray to cool and serve. </t>
  </si>
  <si>
    <t>கடலை மாவு, அரிசி மாவு மற்றும் உப்பு ஆகியவற்றை கலந்து மாவை தயார் செய்யவும்.
மாவை 3 பாகங்களாக பிரிக்கவும். அதில் ஒவ்வொரு உணவு நிறத்தையும் சேர்க்கவும்.
மஸ்லின் துணியால் மூடி, அறை வெப்பநிலையில் 10 நிமிடங்கள் வைக்கவும். எண்ணெயை
வறுக்க ஒரு பாத்திரத்தில் சூடாக்கவும். எண்ணெய் சூடானதும், துளையிடப்பட்ட கரண்டியை வாணலியின் மேலே சிறிது பிடித்து அதன் மீது 2-3 தேக்கரண்டி மாவை ஊற்றவும். மாவின் துளிகள் எண்ணெயில் விழும்படி அதன் விளிம்பில் தட்டவும். இந்த செயல்முறையை மீண்டும் செய்து, ஒரு பாத்திரத்தில் முடிந்தவரை பல துளிகளை உருவாக்குங்கள். அவற்றை ஸ்பேட்டூலாவைப் பயன்படுத்தி கிளறி, மொறுமொறுப்பாக வறுக்கவும்.
மற்றொரு துளையிடப்பட்ட கரண்டியால் வெளியே எடுத்து, அதிகப்படியான எண்ணெயை வடிகட்டி, தட்டில் மாற்றவும். ஒரு சரம் நிலைத்தன்மையுடன் சர்க்கரை பாகை தயாரித்து, ஏலக்காய் தூள் மற்றும் ஜாதிக்காய் தூள் சேர்த்து, வடிகட்டி, ஒதுக்கி வைக்கவும். வறுத்த பூந்தியை சூடான சிரப்பில் சேர்த்து 30 நிமிடங்கள் ஊறவைத்து, அவ்வப்போது கிளறி விடுங்கள். சிரப்பை நன்கு வடிகட்டி, ஒரு தட்டில் பரப்பி ஆறவைத்து பரிமாறவும்.</t>
  </si>
  <si>
    <t>data:image/jpeg;base64,/9j/4AAQSkZJRgABAQAAAQABAAD/2wCEAAkGBxMTEhUTExIWFhUXGBoaGBgYGB4aHRsYHR0YHR0aHR4gHSgiGholHRgaITEiJSkrLi4uFx8zODMtNygtLisBCgoKDg0OGxAQGy0lICYvMjAtMi0tLy0wLy8tLS0rLSstLy0tLSstLS0vLS0tLS8tLS0tLS0tLS0tLS0tLS0tLf/AABEIAL0BCwMBIgACEQEDEQH/xAAcAAACAwEBAQEAAAAAAAAAAAAFBgMEBwIBAAj/xAA/EAABAgQEAwYEBQMDBAIDAAABAhEAAwQhBRIxQQZRYRMicYGRoTKxwdEHI0JS8BRy4TNi8SRTgsKSshUWF//EABoBAAIDAQEAAAAAAAAAAAAAAAQFAQIDBgD/xAAyEQACAgEEAQMCBAUEAwAAAAABAgADEQQSITFBBRNRInEUYYHwI5GhweEyM7HxFSRC/9oADAMBAAIRAxEAPwChSYOJKWJBmHbknnAvHqxasqE3IsGtaLyK6ZMUsq7q+fTlEc2kKpqTuzcnjCY+eZxhkpShlI8XjRcCxOTW04o6pTL0lr0Liyb/ALtv9wseqZKmJlpNnPJrvEtFSdr8AUpbvlCSX9IkGVBwZbx3h5dKSJoOQO0waKH0PSBGDqMxJWCwJLDwjVeF6arVKMqslJVJZgJpzLI5K1zDxv1ixK4OpEMhIUlALiWFd1//ALeTxY4HZnjWSPpiThk3D0oCZ0qeuYbnLYPySAsOOphmwjA6RRCkUVQnqtRAbwMy48oa6aglo+CWkNuBf1ixF5daz5ivPwOilqSDLVmawC1WB/8AKCWEyJKLSpJTzUbnzJJMWV00vtc5IzMzW/jxXxmoUlkILZgXI18oXWX2V7rGI2g9Dk/l9oWlSNgKOfmXK6cBLWQdARbY/e8LFfPSUFO7Rak0NRkKSUpl6nNrzfnArE5BCXSRfQ6W5wh9Ttuvattu37/v7RjpKkVsbs8wfjKSkpLk90C/IfTeKtMoMSX0IDbnlEk2RMUzswDX5CLlHQJ1LFt/GBdh7eONypVtJg+TiKFykSVDLMlgpBADMCT5qOjbwTwnA5eTtF3X426RTnSJQU4QHBdwIJYUlc09mg63J5DnGjaprWCKM+OOyfEVfghVmzP+BKeIUIuLjm/lzjPKism58iUqJKiAAN3IZ43imwSUm6hnO5Vf2hMxfsZU+aEpAAUPIkAn3MGfh7NIm6zHPjM0o1e98J4HP5xBwypmSphlzQUEapPzff8AxBuXUggDKyjzN/BoFYlM7SrKiod1IAYAhg/u5J8zBGmASUzcmbKCMjPexzDd/mzRqrKceMxbq67WdmMmoaxUpamUpL2Lbjl6wQpcdUmZlKwST3T1gLNmKU60BvY2gGUzPi0AMQ6b+ILTqrFfnn7z9A4ZiCZqEqBAKg7PcHf3i7GJS585KBMWGSo2fUciRsGhgwLjBaFspeZAspJJJHVJPyhrRrcgBx+svagVuJpikghiHB1EZFx/w6aVfbSwexUf/gr9vhy9I1OixKVNcIWCQHI3ESVtIibLVLWkKSoMR0g8EMMiYOmeDPzjOqszZiUpDOBvBmVUyzLAS7ktr6eMc8a8JzKSawJKFF5ajuNwf9wiGgwfudoVAHl/NIqZhjEt1U9ZBl5bBna9xEcqiZlJWCpQcpGoiTByTMKcufch+XzixUT5ctXaSiEncfSKyJzT4hlnXQEDJlI+t948xKqlqUlIICU6qAA/5IivUzUFZKiVOH7vXaI5i0AMCA/gdYmekCsmdsxUATfR4l/qgLN7x9/ToUoZFMNHUwvvpHC6NaTlCwW3j093BsuqUksU5lK3hywThmbUpCkoUL/EbJ9Tc+UO+C8EUtMO0mDtVp7xUod1LXOVP3eGuUsFII0IBHhFts19vMT8M/D6Sm89RmHkO6n7n1hroqGXKSEy0JQOSQ3/ADFiPiYtgCaBQOp4rSA8wglQUrK2xs8F1TAA5MK3ElRnCso0GvOEvq4QhWJzjx8/n+kM0iF32/1kyeIwhge9yY3aOZnEsuYlYDoUm9zqBqLb9ISpVSUKBNwBvyinMqzmKoAXW2CvZnI6j5fSK2OfPz/iPiZiVSVEFzmBsbxPQzVZnUMxIcOXYPCfwxiqEzCF76PoekM0iqBKjz08toWvb7RG39/n8QXU6VqmKEQjUOXUs32GwhPxivOdSRolm8WgtiVWogXtClWEhR1AV7xSm5rGJY5hPp+mwcmXzVnK4U1mPnrEUmuWVGzncwNM2JaPETLe2Yk2B0vqW52Ty8YKCiw/VCdf/wCvQXUDPQnOLz5l0hbc2+8O/wCGMgpoytXxKWrySksB6gnzjOsRqzqTfePZnE87sZchKuzlJcHLbM5clR11JsIN0TCokgfaIRfbqaCh8GajxDxL2YKJTKmN5J6n7Rm9WFqBKy5KnJfzMUJmK3dACQLW1LP3/EghwN7x0uvzMxJ8ecV1LWO+W5jX06qn2zt78/MuUHDiSszO0JSdEkdLv0eGjDqZJOnwhm63gZQzAEsp9Nuf2i9higF5mzDqpr/4gFrXZsEz1lQGSJfmyQ2ntCjxNSJCSpDBnJGx8ORhqrKghwqEjirHAl5KA8xQawskH5kh2Hn4+0rWG7CwW+pGpJcfaR8N4kVpmIX3mIyk3bn46e8aTwxhmHNmSELmBisrcd7mEmwHJhGW4lhy6Ps5eZlqQFLH7VEnu+W/V4rqlmZMllSrAm/X7aw4R/asZscQNNP7lSqTzNqxqrHZq/pQkzQxSoMAGIcPvZw3WC2G4gJqRspgVJ5FrjreEfAaoBCUgdCG9N7wQVjhpsygl037p+cZ6b1c+/tfo8ceJNmhOML3GPiHCEVUlUpe7EHcKGhEZFjFEumnGXNDksyxpl6faNK4X4tRVrVLy5FgOA75hu3hBDH8ClVUpUuYm5+FQ+JJ5g/x46AEOMrFl1LKcMMGY3NC0BK0Myna92jqlmqQrOpL6vawPyeKmLYPNpZplTR/YrYjmOsSUVUsgpSSpIdxt4xEFxJcWrEzVOEBNmAGnjFA0Sg0wjuto+sSVAHdCEknL3n36wXwFMpOYzQhVgQPp0iJYRfQx0fXyiytYezt4waq50rvZe6MxVlsE6c97wNXMzHMEgAxMqZtPEiSqnWhPxLZA8VED6xZoqbIhKSXKQA78oXsbxZSJkrtlplpSDMISMxdmCbs+p9Igo8XWtK5w7SzMF91J8g0eZ1HJhoUxqqatCPiNzoIC1VSskrcgcnt6c4oDEFLX3wlrfCG/wCTEmITkn4HZvCOY9U9QNmVQ4A/rD6NPtxkdyCZVEnVoGz561k5dBvpFxdIsoJGrWBgRNrOxkmUtLqVvs7v6Qq06FzyYwNldSFvMrYgSoEBI+TNa0CVyVAjMDl6cukFcOrB2gCkkILXd/HwghiSUzS0tim/oNYMsJXnuFafXbq9q8ZHfxBeH4SiY4YEPqdrt6w1ijUlCQVAkDYNb6mK8uXLlISUgpAsX5xIqvcavAWptbdtxxBd1jgZOcfMHYhOygOCbs/LrFSuQFytQ4Nvv4RJiNYMpe0DQpawEjuovpr5mJ0yH4xNL9UulQM3cFLWNN4rTahiIOVGFoZyva6jz5eNoC0cpHakG4GkMVQDmVb1SnW1GplMhMpUxVh3ecS/0yzMQgBIO3ikPfmbeZh0p8JMuX2ikFIdg4Id9Cfa0LuNyLkhN3fr13/jRYOVYBhiC01hUK18xdxGQZZY6jW9nsdBobafaJ6GkWUk7HZzfl6G8VZxdkkM6gPAaQ9S8PlFISALNe5JbcnWNb7wgy030i7MmL+E1aiFJX8QLC+o8IaUpASgHYepO/WLY4ZkABWQZvEt5h2MDa2RMl93VIs+7Qre1LD9PEKFq2HAkuK1AKSkQq8PSErq5lRM+CRlIfeY3d8ksVeQghNq+1+E3hanomyJYlO6Zkwla9ybEA8naGGhTbnwZhqVBAUQ3iH/AFKzNU97C+g2+/nEdDQFLZkAgb6jzibC05wkbez2g9NISAnZtekQ9xlQm3gQQa8SlBSCw0L/AMtEWLYypaDlLjc9POPp1IlyWck2+7R7XUBSHyko5swbq2kURayQ015HMj4OqympRMS7JN/Qj6xr1PjSVapIHPWMioMkpPcsTfnDFQ4sCO9brGr6++k/w+pjfp0u5M0HE8NlVUspWHBFiNR1HWMoxPh2ow5SlFImyVEgLGgH+4fpV10jQuEsTSsKQFFV7MCQPOGObLCgUqAIIYg6Eco6PTWe9UHIwTEF1QVys/PQKnzga/LlHtCpIUXUR9Ya+MeDjTr7SlzZDcy1c/8AYdD/AG6woyV3ZScvl62jTEFIIhRVI+YTGRYFL7+kSSUJAYBxdi/WByc5UyDcXAiGfMUVElIBeIxIm50NGmY1RNlDtCLPcpTdh43J84mr0pUkoYMbGLqtIFVE8JB5wo9Z1jadAq+fMPqXcYrz6Hs1EhSrbE7RYwytSHdAWepsOrRziVRn3vAQyFpKl5uvWOapcsd5jwr/AAuRzH+ipwoB9IXeN8CCkOgMrUfbzi3gWJg9moksoX5An/MFOKB+QpW6SD7t9Ya0U12aNmQYdD+v/R5i3ay3BW6MxGlrylRQBmdxocwO0OuCSMmQTnFxre28AxKlyqkzSnUuej6t/N4NVdcCgMN7MXfkA0YX2bgMCM6dGa+D5mmolJKcrApbRrNAap4bQHVJGVWuV+75cvlC5w/xcpBEuYhRS19HR4X7ybi2t7cod6TEJUwOhaT5sfQx0SNp9VUA4APx5H2idhbp3IUn8/8AMy7iCa2Zx3gWIMVBjKUBIyvp0BSxub676Q88RYQhU7tQxzC+9xb3DekIvE+GDIpaUgEe7DT0jn9q0WmpvnuGX0/jFVgcYHUC45jeZ2DA2ABs23iep5RFwdWZ6mWmZcdoh7bZgC/rAKeCNbx3haj2ichIV0hiKwFkU6f2RjzP05PkhaSlQcEMR0jI8RkmVMXLJcpUR72PmI0/AMSFRIlzQblIzDkofEPX6Rn3FQSqqmKSofE1raAA38XjT1YI6I4/YlPTyVdlMTMUpyt8pbkeWl/aGvg7HkzkOQEzAGUCLgg7Hk48Yq1kxIRlAGUPeznXUjWAeH0ypas8uz5r6C+p68/SFhAsr2+R0f8AmN1rLjnqabUVgYAHxaAWPVLIKifDxgNLxCaksolTBtnd9XbSKs0LWQqYpwdBYsOVjrAo0zF9xkppxXB1PNVmcB4GcSYooSsoSQFKAJewa9utov0GIy+2WkOcr3awv7nWBOOtMmFOTuAi53LdPGGtKAWDcPzgzHP+kxg4Pqs6EnMLBWbMQLi+pg9WVWnUPCVh6+ySQlmsSNIlm40FhgL7E+loyu0+9jtHGZooycxkw6qBmgnYj0hzmSUzEkM4Oo2IMIPDdHnAVm3sObfIxoNNVAJyk6Qs1Q2tgGetyORAHEOGIMlGRBCpQy90fEi7OBqQd+sBZFRlDEFJfQhoeJ8piF5yGBBSGYu1zu4Yt/cYEY5QpKM4SM6b6ajkY0S/dgNKJ1gRq4FUnsClLABWgDQyxnPC2LJkXU9/iCR6HrDSniumJYKUS2gQq3jZo63S3oyAZ5iS+pgxOIbWgEMQ4OoNxCXxbwPLmpK5QIWL5R/6/Y+0M0iqUUhSQFvfK+Uj7xDMxxKFZJiFJV4gwSSDB9uZjdVQTJDLuzsFJFn5H9pfYwMnqJUSWeNrmdiqcwYpnJOZBGqhu3NtfAQKncC0ilEgAOdAYiUar4jTKxSVMDypiF+ChEGIUJmju91W/wBopzuHZVQCqdJTLUdOzLKH9xFifKIJfDEhA0WW1KZigfMZsp9vCArqDd/uH6fj+8JRthyvcG1FIqUSFZSTyLmIa2QRdjeJcWAQtKpWYoAu+rxal4gJ+ZMpDrIGZagwQNydo5yyirca1PXXmPFssCq+Pv4xKVLI/KBc7x3ieKqNP2ZGYhQvzSL+rtFSdNyTBLSoTHDkhwHfQc4E1FY6lglshI/zGdCXIx28ZGDKX2Vph355yJVxBIV3haOaaQr4gHLMHjxyxKXIex/xFSXXrlFxtpfprBArYdwqj1Gq0hRwfGZHjHm9rbH+XvElJjzJCFuSLAM7vp4mPJ9SJ4OVJdnVp6wv09KoTTOV3pQdI71830IGjcvGNUoWxcP4lNRU63e4nnsf3mjYFjaGvYgNlNmMWK9p3dG+vhGe9uHd8ynu+/m7wyYDWjsyQoA7wBqNNs+pTN/ZH+odwpidLS06UIUEsohABDkqO3U28oQ+IcH7Bfb06ili5TsPD7Q+LpRPZaS6hof2+ELlZRqBWmdKmFWZkEB0EdTq5fozdba6Kz6+/uD5glx2oc8mc8P8aKpxne6gyklyDyPlsYqrx6UsgZyVHmk3gz/+g1KqcTZeU50g5Aq7G93YOOTxn89KpU7IpLKSWKSGIPgfrzhmdMGGDn5EW0alvc5H3jHUpVMUlJJSkqBJFnAu3hBegIUQCHT0Ifw8/vH3AchNXVS5MxIMuWlcwjR2yi/MZin0h642wimRTqmJkpQtJTlKAEFyQGLa2J1j34UmrfnAEbNrFrsFWOT5EQK6YGOvJyGeBGMTmkqGdwEmwdnbb2Ed1U1iQT6x7S4GupISSQlTPuT/AIeB68KcnqHaggV/pPuBcOQqUC4BOa/Xk+wYCGJWGIWhSSkE7EjTw6xBKoU0ZCElwQ5vz18oL0cmZUSZk2SAtKHe7ZiA+UcyzesY2M9thKZMVLhEGTxMsrp35qkZtCx+UWVUicjp1ADxbXgypilTmSkqJLDT5X2impCpZKFQxDAgYmCWPu5lvhvEuxmd491WoOj7GNAo8RSRmDHe0YslSlTcr2zezxo+FhKJJVm71mT9fnAmv0oJDZ5h2ns93IxHCmqc1ydesVMdxAIkrWS3dID/ALtAB5wNl4ulipVvAQv8S4j260IIZAv1Jbf+bwu0+mYvg9S1gxyO4TwivCkOQYL01QnwMJ1NUMGG0EaSpPODH3KcrxIWvKZaajgkxHYlaPjSsA+ZFh0IMS8bUyzIK5aUkpuu3eyB9D01aK/BkkqTnUDlsRsCob8z8oZ5rZTmZmLvo279I6XSlnqBbuc9eAthAmMTcQJYhRcXB5HYiLKePapPdMpKiP1Oz9YYZHBCJgUpCymUVflghyUc32Du3Rom/wD59LG8w9cyR7ZY1AMpmGsGx9CkpCyym16xZq8RlELQ5diH68oE4/gZQVTpSXSbrR/7CE/F8QnykFcnv/uRMBUW5guCYFtJVdhhFVauciNE6alYSlBIJ+InYbmKGO1akSskkZUDXmrqYDcHVK6glWYEi7XAHNwSYYsRkmYhSiAGDEDeOYcPXkDvzj4jpAqWKDyPz/f8viLmAzVKe/g3OIV1csCapScylLU+bl5avf25xLhjS1lAsNR0gdXS1y2IUQFAlrF0kEWFhe+oeNtOfqZph6sDYRxCQxGWsiWBZdgS3dY2GliE23LsS8FEcLyZochQs3xPaE3hiSqdUNYAAqNtLhm/m0aRJUWyk2HzEYa65wwGYNpqdlefOYn4vwguShRkTFXBBCv1DUhw3LeM+qqsosXN9H38I26pBKWhH4mwVAJm5Q5N/HnFtHrfq2Wc/EaVszL3zEyjlzHfvF7vyv46QxYagdoAE6sGdndvv5RZwmnSEZgElTmyg8EaZSFVCSZeVtwe6FPrYWB0bpBl124ETyZQ88x1wanRLlZSRbn6xWqy75REtJJ7ReROp58ucVqmZkmrTLcgd0nmdD7vCQo7JvIwM4z8mDJ/uHnnuR8O8RzZU1UqalIpx8K75kHd9im/k2+kEePOFpFXJM7MiWtCX7ZnHZi5zNqlnL7QuYpMHZk7wk4DxFU0k1VOhZVJU6VSpjqQEnVg/dLciH6x0Xp+r9yrY/QHEF1OnK2Bq+yZoXAXBVVRVZmzVyZktUtSXQpWZyUEEgpAbunQ7iLPHdaJ0xNOklpffWQHOZrDwALna/SF/hzjyZQoTJqUmdITZM1PxoDsAoH4k9Xt1h1qqygrpTicjNlLKcBaejG7dDB9u2ynbWQPPMy/iV3B7RMaxmjJmFGZwQNTztcw08MhpYTM7xA13bZtwWtFFeEOpZUe0CXCSn9TH4vPVohmU3ZpCkEpfY+7+8JbDuTZnkQizWqz4OcQviq0B1qWkDW9gPMm2sOvDktMnDpeQZQtBm+S3XfqxA8oSqXDpU5ACylRL91QzWsxvbfxtFzGMQn/ANNMlIL/AJeVJdmDMB4AG3lE6WxagQez/KW1CGzAHiLc6u/LQmyUhL2N76v6P5wq46VOVJ0Nv86xHJlzC2ZZI6mOZqVkPy+hg6uva2SczJm44lXCaclQB1e2v8uYZ/6wix1FvSF2ViIl9922Nnfy3EVMXru0WFAt/bb5Rs9JubmWo1BpBC+Y1VeIhIbNe1hFWlUVqzE35bNAPCld5yCDb0O8HZXduNDpGD1e2NokpqA74MJVlOzKSQ27bPtFzCGBza5b30PQwM/qs1rkm1+UGcPoXSe8Un5wMzY7hXYxNewvGpK5aezCico7qUKtbR2YesXDKM1JE1ICT+l3Jb9zWbpeM84f4hm02VBl9qD3QEOFPtzBg3icyunKGenWmTuhC0pKv7lP9I6GmwMgIiC1CrEQ3W44kHs5Ce1mck/CPEiBJw/Eld4z0pf9L6dLBos0pq0pyyKSVJTzUvN52uT4xOcKrDc1jHcJRbyvGspD5hfr+GZa1KUAz6AFmMUeAeJO3R2E1YVPlgOf3J5+I0PrvDaoPaKuiuOZ6uwjlZnyqQSFLMqUDlDzFJBAPiOfhA6oxHtQAHSAC4BN35jpBXjqUqlT2stZCFDKtAPxN89YV5VaibLExBCVsyQOYd/COf1VJVj/AFj/ANPcWHnvxJlSpktTj9YvcGxuPaI6mQh84url18PpFajn1ClEJSVg90lgw5lzoeovBcYcyQWuGJGodzbqGb0hcSBgFowdV3/UMyphLonFSrPY+0MX9SwtASjA7bKRYkkDRjqAB4QXqQnVm2bl94F1armVuALDjxIjiJL79YDcQzSpBHUR7jVR2aCUljt4lvtArC5pmf6qtSQC3ptp9otp9PnDibJWqjdPqWiVYgWLtez6OfCGuloUy0pDE2dfNradb+8AFVJlLQArug76cifrB5M7KbEKcbPZ411BIx8TK5GGMeYf4e/LROnKBsGSDrzbzLRSo5kpCRnUc5JKlJuHOhfo+3KAWI44sS+y0TmzF9SQ1vC0CabHUnXMNm06Bixs5EbCxzWiovQ8/JOTADTgsztjP9o94fQS6hak/oG25ED8Q/CyQqYqdKnzELVsoBaRoLCx25wrjHplMoTu0CNNbhQ5D9w8ILUv4zyAwm083qqXlIf+1SgWhp6XXV7ZDjk9n+0F1bW1OCjceIIxzhuopQe1SFS7jtU3DNZJH6XPPnqYQqSracqUQWGh6dY2uT+JuGVCFJeYoEMpKpKt9jt7xl+LYZTpqiqkVMVKWzJmfElTl0gu5SLMTfx1ja6qqrIB/TzNatRZcAHHPzHnAqpCacBxydtb/X6wqYzWCYtZSkgHQ89tP5rBJNPlyjMUuLnk+hbzJeKNRh+VViFff7QkrVVctnuV/CWWsE4x8y7hMxQSMurMpxY/5vF41YIINjpHtJOTTpKVsXHwkF0r+oOhsD84FqVmVYv1i11YwDmOloDZwOuj8yFeGCZmZg3SxfwgTOwiaAUgDnc6+EMUkmWqzF+j8/vHSiCDuXeJXUFIvekExTlYGCGWhL3Nw/pAuZRy0kgCNu4XpZSKUz5iEqVMKgnMHZILNfmQX8ox7iGV2VbNSEgSySUdAbgeGsM6txXJP54gJZSxUDqUqXDyVlWxDMP5eCEqeQWULC0XKCZozdfT+escYvKSO+Htqws0U9ws2DKXVY5E47ZOcNpB6jrLABI1d4XqReYDMmx36k6CCeH09ag5k0vbSibEAqIHXKXB8oqaDY2AZuuoATcZrvBOHZZfarSApXw/28/OGZaXBB3jPsL40qUoCF0MwkBge8H9UxNX8Y1aUuKTsxzmBXzOUQ7pRa6woiqxi7FoxcKImplFE0fAtSU/2iL83FJCSUqnSwRqCtII94y7/wDIYlXKKZallGhKfy0DxIt5OYLSfwzUUgrqEhW4CHD+JIf0jTJ8SuIk0uaRMlzZJIWhTvz5pPMaiNuwTE01ElM1O4uOShqIyOokpSXLHwuIO/h7iplTzIJ/Lm/D0WNPUW8hFhBKzgx14qwj+pkKQ3eF0+MYxiWG1NL3VOBmNuUb/C7xhhImy8zXECauvK5EY6dyGAziAcIky0SwkktlcEbk3+sSVDbCAVJiRkjs1pJCbAjWPKniGTcdoH5G0cZqNPbv6j1PqO4mQYjLObMD3nsXvBAS52QZiCW1b+PACoxJKiACCpTADmTYQ3YbLeZJlqGcEgKZW3i+m8aCpyAp8mEW3gDI8ROrJCgsmZ3mclyw5MOdyLDr4x1LSAEsSUtbxb5/aNJxvguTOHdUuWf9pe/NjGR8QUtRQVIlzVBYUHSo6KS/sQX9eUNm0liDa2OPiY1epVNzzLlXOfe8c0WJEKyFTM1zs/0inUzyECY/dU48w3tcQGwmk7ScZiidSR1Vf2EUGmBB3yb/AFJGXbXzD2KIUQleruTe+p6cm9YioaiXMRlIBCcwY/FdzmBO3dDsHa1neGzBsHTVT/6dZWkBCjZswAYDUEfq0baA3Ff4dzqR5shfbobvJyssdQAWV5MehgqurC5HU5uxms7izPUFFKS7IsHcpSD6td9NYhTQJUn306W8re8FUYUVIlrKT3gbcm+fjBbD6ZMoMkMWud25OYxe8IMDub16GxzljBPDFGjtCMroBzKALOwD3/lgYI1NIUzHSCUhQPpvB+iwxK2WlABO7eHqesW5lLZmZh8oX267J4Ec1UhMAmCRNzgAqJLMB7XOwZm1ixUzMzGxIAA00HQb9YF41UiT3mJc6Bnty6QOXi6lpJQgptYqdyd2AB23iUrewAr1CcBOZZnTzNU4cwTwrC1qU5DAX8eghbwpawQNYZZOKBPxOPlEXhlOBzNvxLbNo4kmK0xN06i994Gire5udC+sSYnxJKCVBLqmNYX9ztCVTV0xJL3ckkHreL6fTO6HdxAnsAMbK3GZuVMoTCEJsByfUQocVLJCMt1b+HOLdTXlQsI6o6TO7uXb1vDGhShBPiCWbSCBB+F4skAZix3HtDDSYmieezFyQ+hY8yeuvSF6voBnYC/SJ8Bpyia5DDKfW0XtRCpYdzyoxI4jpRUyUS8uQAbDlytFrDZ01CXlzVSiSHKdm5je0VVVYUBYDkIK0koZPGFvusjZHc3NQK4MbZPDdUsAzMSmkG/5acnoXi9S8I0yTmWFTl/unKK/bT2ixwxPKqZBUdHDnkD9o4m4qucSikAI0VPUPy0/2/8AdV4WG52jqamDoG+YgdSrFfiT19emSEy5aM0xQ7kpNvM7JQOcLtTwxWTFFaqgZlXOWYtAHQJCbAadWeGjDcNTJBYlS1XXMVdSzzJ5cgLCLsa4lczIhIJkuSnoDrAyRYhSSykkEHqP8xLWVBy6jK9huftESFtcM2wiRAiZsWCYgJ8lE0bi/RQsR6xcmIBBB0MIX4cYiAuZIKwcwzJHIj4vZvSH+PEZhSNkZmacUYZkWS0IVejIS8tzfXSNs4ooc6H3EZ5V4e+0J7a9rERiHNiiLOAYSpdSh1JTlIXd2JDHLdmP8vGjSKVwGF+hu/PoN3hdkAnKAQDe5AGkFJNQCkKUQkl25FoSazLHJHUcLpwifQe4/wCGTM8lBzOWudb7xlf4q4dUzJqTMAKACJZSOer9be0HaDHzTqt3kn4g/u+xhnqZsiukKSlQNtD8ST4fWGdWoXUUgg4dR0fOPiLGpOntywyp8/EwOlryJZkrygPukO9v1agW0g1WYnKlygv4ABzdzyG5DN7xem8NCbMIUn4SQWtpHtb+HQmlAlqXnGyiSG6ue6B0gU6ql3CsSJuKPbBPGJSwXiSbImonodYTYp5oOqb6W05FodeIfxCpyg9hLmTVWZRSUpDlnL94sejHnCxi/Dkyml5e0C21ZIA8jrC3Np836spHW2sFJYB9J6gzaYY3JGumq1JQLhQVclhqbm7aW00vHlYkG766wuJqF06inMJiSxGU26jSytLbXi3Ir1TdEFPU6eGmsAW6d92c8Q6ixT2MGM+G8SSZaUyysIVoARrpvoImrsSBHxDr4eUKtHg4nTEu4IdyOUFF4YJabKJYvoPSBba6gRyYbVWN2Z4uj7Q51WA0Bu/URJOpkBItfbxiEVIN1HTbnEFTUgs2ggoAAYEOVTKCLKLRbm1Haa6/53cxAk3LWAicyCEKVt7W1/nWJMBuUAysilBULOf5aI8TwYEEgZVDyifDcUlpOYrQOZJFv8x3xDjqCj8s5iQzjTrfcxZfdDgAGCtiJciaoluesGpM8yw6g+YW/jRzhGG90zFJOVzp01v5j1iWeUhYcHI/L5Qe7gtgTNa9xxBcyY63ctrY3glIWP0hhaxOvWLNVhYPeSAHAIbr5x9JL/GoqV119TFXPGIfVWB5kyFixsltb7DeGbBqWoqLSZSlDdanQgDxN1eQMQcN4WJs5KglTDY7nmftGtUNMUgDSL1aNbeWEWazVbGwkEYXwwQgJqJpmgX7MdyU/VOsz/yLdIYpaAAAAABYAWAEegR7DitAowImZixyZ9H0V62tlyklcxYQkakloz6t/GSiQtSUpmLALZgmx8OkXLCVgOqkDsQpQyr1IOkD5SQLAEq8LXizUzkzEJzKKQlrPr0jkkFRWkuOTtcRMDA4n2EVIpqqUsliF97+02PsTG2gx+ea8qK82zxt3B9f21JJW7kJCVeKbe9j5xM2q+IVqJeZJEIOOSMqsrhLuXPTbxjQoVeLqNJTmO1wYW+ooSm4RnoWHuBTEOsQbALYBzofls8Qy6fNIM3OApKmyDUjdWvMjpBRSCJSiR8W58NIrUOGZ0uVeg26+do58EKOeZ0ZBAyGxANaT2Y755sNLxWp6upUCJAUcv6hYjzeNHw3hOQhLqSFqPO49NIISMMly0kJQlI1YBn9IHbXopwFz94rL/UeYD4SxUzZCVKLzR3ZhOucak+IaGiRicpLnQkM7e0ZpxBiX9NW5pYspI7RI31D+LXiSqxvtxkl5kpJ76stgOVvpErXZ7gtQcHnnxJFaWfSx5E84r4kExakJskHvEhnP2hf7YKfKm3z9N3v5RbxZCHPxFyS6tWvc9TrbnFPDa0JQqWwKc4IsDfKpO/92u0M0AbkwgV4HAnVHSZz4Eb6fxoPGgQhCS4uTuTl01Gmr77QESopUlNkuXHm3qLfOHGThwVLB11B6W+14GvcrLFMHuQYHSlE65BcDKRoQ435wQxWSwKm6+I+0CJQVJnS0qU6LhD7HVvNvNoLVc8rfO+jeHO0BWhSwYfpNKw28ZgWZT5sz2OraeX/ABFKopinbq0GpaUsp1JTpZQuTu3KKU1lXEEZwuYzrck48QeySQEu+/Ic/wDn2j3Fq0S5WUEOEkeIPPoxiKrlE/CWPSAtTLJdBHi+8EVqGOTF2q+ltogZZSQWS/UD6+URSJlwDe7Nv9veGijw99tBEOKUCEd+zi8Hrep4xAdnPcs4HWKYSgkkrOVKQHJJ5ci4Hz2hk4l4QnSJMuatSSSWKR+ks7P+rSC/4TYQJj1agCE9yU1xaylDrt6wY4txITZ4pZYzmWHWAHZShYW0ITf/AMo89KrUbW78TM3kXhE6HczKkqu6pJLN+5Xt7Qb4V4UnVSs57kpJbNuegfWHvhng2RLHbTJQMxRdl3yueUNyUgWAaCNPo9wDP/KV1Hqf/wA1/wA5QwjCJdOgJQNBqdTBCOVrABJIAGpNgBGc8W/i7SU2aXT/APUzR+w9xJ6q38nhkAFGBE7MScmaLOmpSCpRAA3JYRnfFn4s00jMin/PmCxY90eJjFeJ+PK2uURNmlKNpaO6nz3MCqCmFn08IgkmULQ/jvEdXXrKp0wlAYhCSyR0beOZdGGHdj6mQwYWeL0vK13ePYlOfMM1cjtSMu2o+sTyqASg4N2v5xAmWy2JY7kcvvF6ajJZY7rAu7uDuW36ReZQZUylZSVOzhjzjRfwlrPy5kpSrvnA5bH6QqTZssIdSfhFg/OLnCFd2VRKmqVlvlUGayreQFj5RMspwZsMCOJaEzZJA1FxBeOZiXDRjcgdCsMqsNbhh4mTVwmlgpLMwbYARLRdpmBJtyaHHEKAEm0AKiWEqINgxY+Vo5u6pa+W5nQrqDaMDiE6XEEsz3EVMTxFQSciXLWe0RyEkDM2gsOURFRU+rkanbwhD7ALyFqQNmJUqgMybmnDvKU5ffwh7pMOQJD5dBo1vSAtTSFJCje+sMtHVAywk7O/0gm92bAPibagbFBT5me/iARlQEWdTHnlY/49YWsLlgMSlTXunnt0h64iwlExWYB1AEa7Pt5kesBxhxGVCU3JYdSdPeGWlu2VBfMIrpDjJMDUMrtJpUs3cO1g7vo0OqsTCRlGnMn7bxpdDgsmXIEgISUBLFx8R3UeZJu8ZYvDEJXMExfcEyYlICg5yKKbjxgnXaV1wxMT/wDka2B+nzxK2K0IqUpeawlqzOlnKtteX1i1QLyqyqUogtqfvA9CAlfdNtCOnWPK6UJqFJBZYIIvYMzbPC7bnCE8Q2i33V3Acw1W/mWZiN/k/wDN4r0dAZk1MrNlzKCX2DwDoMXmBszKANwfrBidiwAR2Q/MBBB5MzHxcO3X18tTIfqm63uq7U/ZnPGGEGjSlbkh2U2x2PhC9JmIWQTmd2szaWJOuuvSNSxyYiro1LA1SMyd0LDH0cWO8ZSaGYZwRL3bSGWxc4SLhczqWs7hioWAP9r8394U+JalSk9mgfGoJJ/nlGsYVwL2iPzFKdtBoDzgVQcDzO3EpaHyqCn2LFwr1ETVp3qcEjPxNKnqtVgWAwI3cEqaglU0gZVypISpak91M1r2/Uczk7fKGPCcNRJQEpHeIBWo3UtTXUo7kmJMOoUSUBCRYe53JjjGMWk0spU6fMTLlp1UotfYDmTyF4eopCjd3EdrKXOzgS7CTxn+JdJQkywrtqj/ALSCO6f96tEeFz0jLuPfxdn1WaTRZpEg2K9Jqx4j/TSel+o0jNAlTZhe/wDDF8zAt8R64s4xq65+1mFMraSgsnwO6/OFmlw9aSXTqHgtRqSEoKxrHVVNdWYE2EexMsEwUmgS7kAQQkpTo1o7XJBTFWTTKUpkg2iMSwlxKukdpPhHpQdG3iU0BN735Jf6x4zxhRExRW40dz16RBi1SVEITpv1Mezp5AsOQ8otUEkLHeHnF5n1IJS5i1IRqzX5tdusG1BSRcd47HpHaZgTmASB2Ycef/ELcqoUuZmKjbSPSBzN/wCG8Q7emlzNyGV/cLH3D+cE4Q/wynqSZ0gkqACVgnmXB9WBh8iIQpyJSrpUBK+iCx4F4ZZqXEAqxeQKUzsCfSEPqaFVYDzD9M58Sj2QSXUCA30ilWS/26i4iwqtKiO6NHiKpT7xyyqzEEdiM69wb6oEqEqUe9z15faBuNT5zpRLUQN232HlDvQ4CmdLJKyCoWI2v76QvTwUlrEoLAtrc6jfzhmNO9YD2eYVXqUdio7EC4eVqmICydUi/It/HghUrEqYlaA5Sp2Je6SCxjqtA7q8oCiLtvfXxYRUnrKnJtcac21gkEAHHfYhY+sgnrGCP6R/XxjTCT2mbvN/p/qfk310jOplAmaozM5zLJUTtmJJIHrEdVKGYxFKnFCrfDuOd/YxOo1dl5C/EDHplNY4yc/P/EknUak/AW6tAKoE2meZlzpe92158veHdMoHzLRxXUCQDAKago2GGRINSAALxiZnQ16jNUoj4ySzaEl2hxwylcC1z/P54QHVRpROIGjuOj7Q2YYph5X6jl4WgvV2K2NvmUrJwZOuWyCEkjMwI10LwxcI8NAfnLHxfCOnOOeGcOTOWVLvluzWP+IdQIP9K0xYe4x48RdrrwDsXvzPEIADCPWj2Fn8ReI10FDMqJaApYYJzGwKiA55s7tD3qK8zjjvjmnw2VmmHPNV/pyknvKPM/tRzPo5j858VcTVGIzDNnzCW+CWPgQOQHO/xamPjmqpy51QtUyYoupSt+nQDYDSLC8NQgsND9xFc5mRaBaeR+r2aCdPJGXTxiZKGBHKPlFhYRaQISniWmSkDXW+oO8DlKGrx4Q6R4x8k3ZtImSJbp1A6ecWUVJlggAX3aKNHq0S1J7pO7RE9PlEk9dYmT/dFamWbF4JymYOPeIkT//Z</t>
  </si>
  <si>
    <t>Whole Wheat Jaggery Cake</t>
  </si>
  <si>
    <t>முழு கோதுமை வெல்லம் கேக்</t>
  </si>
  <si>
    <t xml:space="preserve">Cakes and Bakes
</t>
  </si>
  <si>
    <t xml:space="preserve">Whole wheat flour – 1 cup,
Baking powder – 1 tsp,
Baking soda – 1/2 tsp,
Cinnamon powder – 1/2 tsp,
Salt – 1/8 tsp,
Jaggery – 1 cup powdered,
Curd  – 1/2 cup whisked,
Oil – 1/2 cup,
Vanilla essence – 1 tsp.
</t>
  </si>
  <si>
    <t>முழு கோதுமை மாவு - 1 கப்,
பேக்கிங் பவுடர் - 1 டீஸ்பூன்,
பேக்கிங் சோடா - 1/2 டீஸ்பூன்,
இலவங்கப்பட்டை தூள் - 1/2 டீஸ்பூன்,
உப்பு - 1/8 டீஸ்பூன்,
வெல்லம் - 1 கப் பொடித்தது,
தயிர் - 1/2 கப் அடித்து,
எண்ணெய் - 1/2 கப்,
வெண்ணிலா எசன்ஸ் - 1 டீஸ்பூன்.</t>
  </si>
  <si>
    <t>In a bowl, add 1/2 cup whisked curd, 1 cup powdered jaggery or country sugar.
Add  1/2 cup of any flavorless oil and mix until well combined. Keep this aside.
Sieve together wheat flour, baking powder, baking soda and salt. Set aside.
Add a tsp of vanilla essence and cinnamon powder to the jaggery mixture and mix well.
Add the flour in two batches and mix until combined. Do not over mix.
Healthy whole wheat cake with jaggery
Add 4 tbsp of milk (milk should be at room temperature) and mix until combined.
You can add nuts and raisins after dusting it with flour to prevent them from sinking to the bottom of the pan.
Transfer the mixture to the greased tray. Gently tap the tin to remove air bubbles.
Bake in a preheated oven at 180 degree C for 30 minutes or until done. Keep it in the middle rack and on baking mode. Timings changes depending on the oven.
Insert a toothpick in the center of the cake to check if it is cook. If the toothpick comes out clean, the cake is cooked well.
Invert and remove the cake. Cool on a wire rack. Then slice it and enjoy healthy, guilt free whole wheat jaggery cake.</t>
  </si>
  <si>
    <t>ஒரு பாத்திரத்தில், 1/2 கப் பொடித்த தயிர், 1 கப் பொடித்த வெல்லம் அல்லது நாட்டு சர்க்கரை சேர்க்கவும்.
நறுமணமற்ற எண்ணெயில் 1/2 கப் சேர்த்து நன்கு கலக்கவும். இதை ஒதுக்கி வைக்கவும்.
கோதுமை மாவு, பேக்கிங் பவுடர், பேக்கிங் சோடா மற்றும் உப்பு ஆகியவற்றை ஒன்றாக சலிக்கவும். ஒதுக்கி வைக்கவும்.
வெல்லம் கலவையில் ஒரு டீஸ்பூன் வெண்ணிலா எசன்ஸ் மற்றும் இலவங்கப்பட்டை தூள் சேர்த்து நன்கு கலக்கவும்.
மாவை இரண்டு தொகுதிகளாகச் சேர்த்து, ஒன்றாகக் கலக்கும் வரை கலக்கவும். அதிகமாகக் கலக்க வேண்டாம்.
ஆரோக்கியமான முழு கோதுமை கேக்கை வெல்லத்துடன்
4 டேபிள்ஸ்பூன் பால் (பால் அறை வெப்பநிலையில் இருக்க வேண்டும்) சேர்த்து கலக்கவும்.
மாவுடன் தூவிய பிறகு கொட்டைகள் மற்றும் திராட்சையும் சேர்க்கலாம், இதனால் அவை வாணலியின் அடிப்பகுதியில் மூழ்காமல் தடுக்கலாம்.
கலவையை எண்ணெய் தடவிய தட்டில் மாற்றவும். காற்று குமிழ்களை அகற்ற டின்னை மெதுவாகத் தட்டவும்.
180 டிகிரி செல்சியஸில் முன்கூட்டியே சூடேற்றப்பட்ட அடுப்பில் 30 நிமிடங்கள் அல்லது முடியும் வரை சுடவும். நடுத்தர ரேக்கில் மற்றும் பேக்கிங் பயன்முறையில் வைக்கவும். அடுப்பைப் பொறுத்து நேரம் மாறுபடும்.
கேக் வெந்துவிட்டதா என்று சரிபார்க்க அதன் மையத்தில் ஒரு டூத்பிக் செருகவும். டூத்பிக் சுத்தமாக வெளியே வந்தால், கேக் நன்றாக வெந்துவிட்டதா.
கேக்கை தலைகீழாக மாற்றி அகற்றவும். ஒரு கம்பி ரேக்கில் குளிர்விக்கவும். பின்னர் அதை துண்டுகளாக வெட்டி ஆரோக்கியமான, குற்ற உணர்ச்சியற்ற முழு கோதுமை வெல்ல கேக்கை அனுபவிக்கவும்.</t>
  </si>
  <si>
    <t>https://encrypted-tbn0.gstatic.com/images?q=tbn:ANd9GcS1Hdl0EugTibWxcrkrJdxP1uDMdpHDbZXRCQ&amp;s</t>
  </si>
  <si>
    <t>https://youtu.be/e3s4cQ8qQFI</t>
  </si>
  <si>
    <t>Bhapa Doi</t>
  </si>
  <si>
    <t>பாபா டோய்</t>
  </si>
  <si>
    <t>Milk – 1 liter full fat milk,
Jaggery – 3/4 – 1 cup.</t>
  </si>
  <si>
    <t>பால் - 1 லிட்டர் முழு கொழுப்புள்ள பால்,
வெல்லம் - 3/4 - 1 கப்.</t>
  </si>
  <si>
    <t>Boil another 1/2 liter of full fat milk until it reduces to half its quantity. Keep stirring otherwise the milk will get burnt.
Once the milk has reduced, turn off the heat. Let it become lukewarm.
Transfer the hung curd to a bowl. Add the reduced milk to the hung curd and mix well.
Add powdered jaggery (3/4 - 1 cup depending on the sweetness preferred). You can also add powdered sugar or powdered palm jaggery. Sieve jaggery before adding, so that there are no lumps.
Mix well until jaggery dissolves completely.
Transfer it to another vessel for steaming. Slightly tap to remove air bubbles.
Sprinkle pistachio or any nuts of your choice.
Bring water to boil in a steamer, place a plate/stand, then place the prepared mixture, cover it with a plate and steam cook for 15-20 minutes.
Once done, remove from the steamer. Let it cool completely. Then refrigerate overnight.
Serve bhapa doi chilled topped with more nuts and jaggery powder. Enjoy!</t>
  </si>
  <si>
    <t>இன்னும் 1/2 லிட்டர் முழு கொழுப்புள்ள பாலை அதன் அளவு பாதியாகக் குறையும் வரை கொதிக்க வைக்கவும். தொடர்ந்து கிளறவும் இல்லையெனில் பால் எரிந்துவிடும்.
பால் குறைந்தவுடன், தீயை அணைக்கவும். அது வெதுவெதுப்பாக மாறட்டும்.
தண்ணீரை ஒரு கிண்ணத்திற்கு மாற்றவும். குறைக்கப்பட்ட பாலை தொங்கும் தயிரில் சேர்த்து நன்கு கலக்கவும்.
பொடித்த வெல்லம் (விரும்பப்படும் இனிப்புக்கு ஏற்ப 3/4 - 1 கப்) சேர்க்கவும். நீங்கள் பொடித்த சர்க்கரை அல்லது பொடித்த பனை வெல்லத்தையும் சேர்க்கலாம். சேர்க்கும் முன் வெல்லத்தை சலிக்கவும், இதனால் கட்டிகள் எதுவும் இருக்காது.
வெல்லம் முழுவதுமாக கரையும் வரை நன்கு கலக்கவும்.
வேகவைக்க மற்றொரு பாத்திரத்திற்கு மாற்றவும். காற்று குமிழ்களை அகற்ற லேசாக தட்டவும்.
பிஸ்தா அல்லது உங்களுக்கு விருப்பமான ஏதேனும் கொட்டைகளைத் தூவவும்.
ஒரு ஸ்டீமரில் தண்ணீரை கொதிக்க வைத்து, ஒரு தட்டு/ஸ்டாண்டை வைத்து, தயாரிக்கப்பட்ட கலவையை வைத்து, அதை ஒரு தட்டால் மூடி, 15-20 நிமிடங்கள் ஆவியில் வேக வைக்கவும்.
தயாரானதும், ஸ்டீமரில் இருந்து எடுத்து. முழுமையாக ஆற விடவும். பின்னர் இரவு முழுவதும் ஃப்ரிட்ஜில் வைக்கவும்.
பாபா டோய்யை குளிர்ந்ததும், கொட்டைகள் மற்றும் வெல்லப் பொடியுடன் சேர்த்து பரிமாறவும். மகிழுங்கள்!</t>
  </si>
  <si>
    <t>https://encrypted-tbn0.gstatic.com/images?q=tbn:ANd9GcQBOsCmcry4_bAw9BKUtWyxDBpdg7giLyx8dw&amp;s</t>
  </si>
  <si>
    <t>https://youtu.be/s0tlvGM6g_4</t>
  </si>
  <si>
    <t>Masala Buns</t>
  </si>
  <si>
    <t>மசாலா பன்கள்</t>
  </si>
  <si>
    <t xml:space="preserve">   All Purpose flour/maida – 300 grams,
   Salt – 3/4 tsp,
   Butter – 1 tbsp,
   Milk for brushing – 1-2 tsp,
   Yeast – 2 tsp,
   Sugar – 2 tsp,
   Boiled Potatoes – 3 medium sized,
   Onion – 1 ,
   Ginger – 1 inch piece,
   Green chillies – 1-2 ,
   Turmeric powder – 1/4 tsp,
   Salt as needed,
   Oil – 3 tsp,
   Mustard seeds – 1 tsp,
   Cumin seeds – 1 tsp,
   Curry leaves – a sprig,
   Coriander leaves.
</t>
  </si>
  <si>
    <t>அனைத்து உபயோக மாவு/மைதா - 300 கிராம்,
உப்பு - 3/4 தேக்கரண்டி,
வெண்ணெய் - 1 தேக்கரண்டி,
துலக்குவதற்கு பால் - 1-2 தேக்கரண்டி,
ஈஸ்ட் - 2 தேக்கரண்டி,
சர்க்கரை - 2 தேக்கரண்டி,
வேகவைத்த உருளைக்கிழங்கு - 3 நடுத்தர அளவு,
வெங்காயம் - 1 ,
இஞ்சி - 1 அங்குல துண்டு,
பச்சை மிளகாய் - 1-2 ,
மஞ்சள் தூள் - 1/4 தேக்கரண்டி,
தேவைக்கேற்ப உப்பு,
எண்ணெய் - 3 தேக்கரண்டி,
கடுகு - 1 தேக்கரண்டி,
சீரகம் - 1 தேக்கரண்டி,
கறிவேப்பிலை - ஒரு தளிர்,
கொத்தமல்லி இலைகள்.</t>
  </si>
  <si>
    <t>In a bowl mix together all purpose flour, salt, soft butter and the yeast + sugar mix.
Add more water, little at a time and make a slightly loose/soft dough but not sticky.
Grease your hands with oil and knead the dough until smooth.
Coat/smoothen the dough slightly with oil all over, cover it with a damp cloth and let it sit for one hour. In the meantime we will prepare the potato filling.
How to prepare potato stuffing 
Boil potatoes, peel the skin and mash it well. Do not make it to a paste.
Heat oil in a pan, add mustard seeds and cumin seeds, when it sizzles, add curry leaves, finely chopped onions, ginger and green chilli.
Saute until onions turn transparent.
Add mashed potatoes, turmeric powder and salt needed.
Mix well and turn off the heat. Garnish with finely chopped coriander leaves and leave it to cool.
Make golf sized balls from the potato mixture.
Line a baking tray with parchment paper or aluminium foil or grease the tray with oil.
By now the dough would have doubled. Punch the dough with your fist and knead it again slightly.
Divide the dough into 5 equal parts. Take one part, make a smooth ball out of it, flatten it slightly and place the potato filling.
Bring the edges together and pinch to seal it. Shape it into a bun, smoothen the top and place the buns with the sealed side down on the baking tray. Repeat the same for the rest of the dough balls and the potatoes.
Preheat the oven for 10 minutes at 180 degrees C.
When placing the buns on the baking tray, place it with enough space between them. Brush the buns slightly with warm milk.
Bake at 200 degree C for 20 minutes.
Reduce the temperature to 175 degree C and bake for another 10-15 minutes or until done. I used the top coil alone for 5 minutes to brown the top towards the end of baking.
Remove from oven and place it on a wire rack. Once warm, you can enjoy potato stuffed masala buns with ginger tea or coffee or even have it for breakfast.</t>
  </si>
  <si>
    <t>ஒரு பாத்திரத்தில் அனைத்து உபயோக மாவு, உப்பு, மென்மையான வெண்ணெய் மற்றும் ஈஸ்ட் + சர்க்கரை கலவையை ஒன்றாக கலக்கவும்.
சிறிது சிறிதாக தண்ணீர் சேர்த்து, சற்று தளர்வான/மென்மையான மாவை உருவாக்கவும், ஆனால் ஒட்டும் தன்மை இல்லாமல் செய்யவும்.
உங்கள் கைகளில் எண்ணெயை தடவி, மாவை மென்மையாகும் வரை பிசையவும்.
மாவை முழுவதும் எண்ணெய் தடவி, ஈரமான துணியால் மூடி, ஒரு மணி நேரம் அப்படியே வைக்கவும். இதற்கிடையில், உருளைக்கிழங்கு நிரப்புதலை தயார் செய்வோம்.
உருளைக்கிழங்கு நிரப்புதலை எப்படி தயாரிப்பது
உருளைக்கிழங்கை வேகவைத்து, தோலை உரித்து நன்றாக மசிக்கவும். அதை ஒரு பேஸ்டாக மாற்ற வேண்டாம்.
ஒரு கடாயில் எண்ணெயை சூடாக்கி, கடுகு மற்றும் சீரகத்தை சேர்த்து, அது கொதிக்கும்போது, ​​கறிவேப்பிலை, இறுதியாக நறுக்கிய வெங்காயம், இஞ்சி மற்றும் பச்சை மிளகாய் சேர்க்கவும்.
வெங்காயம் வெளிப்படையானதாக மாறும் வரை வதக்கவும்.
மசித்த உருளைக்கிழங்கு, மஞ்சள் தூள் மற்றும் தேவையான உப்பு சேர்க்கவும்.
நன்றாக கலந்து தீயை அணைக்கவும். இறுதியாக நறுக்கிய கொத்தமல்லி இலைகளால் அலங்கரித்து குளிர்விக்க விடவும்.
உருளைக்கிழங்கு கலவையிலிருந்து கோல்ஃப் அளவிலான பந்துகளை உருவாக்கவும்.
பேக்கிங் தட்டில் காகிதத்தோல் அல்லது அலுமினியத் தாளால் வரிசைப்படுத்தவும் அல்லது தட்டில் எண்ணெயை தடவவும்.
இப்போது மாவு இரட்டிப்பாக இருக்கும். உங்கள் கையால் மாவை குத்தி மீண்டும் சிறிது பிசையவும்.
மாவை 5 சம பாகங்களாகப் பிரிக்கவும். ஒரு பகுதியை எடுத்து, அதிலிருந்து ஒரு மென்மையான பந்தை உருவாக்கி, சிறிது தட்டையாக்கி, உருளைக்கிழங்கு நிரப்புதலை வைக்கவும்.
விளிம்புகளை ஒன்றாகக் கொண்டு வந்து இறுக்கமாக மூடவும். அதை ஒரு ரொட்டியாக வடிவமைத்து, மேற்புறத்தை மென்மையாக்கி, பேக்கிங் தட்டில் சீல் செய்யப்பட்ட பக்கத்துடன் பன்களை வைக்கவும். மீதமுள்ள மாவு உருண்டைகள் மற்றும் உருளைக்கிழங்கிற்கும் இதையே செய்யவும்.
180 டிகிரி செல்சியஸில் 10 நிமிடங்கள் அடுப்பை முன்கூட்டியே சூடாக்கவும்.
பேக்கிங் தட்டில் பன்களை வைக்கும்போது, ​​அவற்றுக்கிடையே போதுமான இடைவெளியுடன் வைக்கவும். சூடான பாலில் பன்களை சிறிது துலக்கவும்.
200 டிகிரி செல்சியஸில் 20 நிமிடங்கள் சுடவும்.
வெப்பநிலையை 175 டிகிரி செல்சியஸாகக் குறைத்து, மேலும் 10-15 நிமிடங்கள் அல்லது முடியும் வரை சுடவும். பேக்கிங்கின் முடிவில் மேல் பகுதியை பழுப்பு நிறமாக்க, மேல் சுருளை மட்டும் 5 நிமிடங்கள் பயன்படுத்தினேன்.
அடுப்பிலிருந்து இறக்கி ஒரு கம்பி ரேக்கில் வைக்கவும். சூடாக்கப்பட்ட பிறகு, நீங்கள் இஞ்சி டீ அல்லது காபியுடன் உருளைக்கிழங்கு ஸ்டஃப்டு மசாலா பன்களை அனுபவிக்கலாம் அல்லது காலை உணவாக கூட சாப்பிடலாம்.</t>
  </si>
  <si>
    <t>https://encrypted-tbn0.gstatic.com/images?q=tbn:ANd9GcT0YAifnyE_SewAsR5UHXTfOopfaoF6BcOWSA&amp;s</t>
  </si>
  <si>
    <t xml:space="preserve">   Semolina – 1 1/2 cup fine variety,
   Cardamom powder – 1/4 tsp,
   Salt – 1/4 tsp,
   Sugar – 1 cup powdered,
   Oil/Ghee – 1/2 cup,
   Curd/Plain – 3/4 cup,
   Milk – 1/2 cup,
   Baking powder – 1/2 tsp,
   Baking soda – 1/8 tsp,
   Tutti fruitti – 1/3 cup,
   Raisins – 1/4 cup,
   Cashew nut – 8-10 .</t>
  </si>
  <si>
    <t xml:space="preserve">In a bowl, add rava, cardamom powder, powdered sugar, salt and mix well.
Add any flavorless oil or ghee and mix well.
Add beaten curd and mix well.
Add milk, mix well and keep it covered. Let it sit for 30-40 minutes.
The consistency of the batter should be that of idli batter consistency. If it is too tight, add a little more milk and mix well.
Add baking soda, baking powder and mix until well combined. Add cashew nuts, tutti frutti, raisins (I used black ones) and fold gently.
Grease a baking tin with oil or ghee. Scatter few nuts, raisins, tutti frutti into the baking tray and then pour the prepared batter. Tap the tin lightly for the batter to settle evenly. Sprinkle some tutti frutti, raisins and nuts on the top.
Bake in a preheated oven at 180 degree C for 35 minutes or until a toothpick inserted in the center of the cake comes out clean.  I turned on the upper coil for last few minutes for browning the top of the cake.
Once done, remove it from the oven and leave it to cool. Then run a knife around the sides of the cake and invert it onto the plate. Cut the cake once it is completely cooled. </t>
  </si>
  <si>
    <t>ஒரு பாத்திரத்தில், ரவை, ஏலக்காய் தூள், தூள் சர்க்கரை, உப்பு சேர்த்து நன்கு கலக்கவும்.
சுவையற்ற எண்ணெய் அல்லது நெய் சேர்த்து நன்கு கலக்கவும்.
தயிர் சேர்த்து நன்கு கலக்கவும்.
பால் சேர்த்து நன்கு கலந்து மூடி வைக்கவும். 30-40 நிமிடங்கள் அப்படியே வைக்கவும்.
மாவின் நிலைத்தன்மை இட்லி மாவின் நிலைத்தன்மையாக இருக்க வேண்டும். மிகவும் இறுக்கமாக இருந்தால், இன்னும் கொஞ்சம் பால் சேர்த்து நன்கு கலக்கவும்.
பேக்கிங் சோடா, பேக்கிங் பவுடர் சேர்த்து நன்கு கலக்கவும். முந்திரி பருப்பு, டுட்டி ஃப்ருட்டி, திராட்சை (நான் கருப்பு நிறத்தில் பயன்படுத்தினேன்) சேர்த்து மெதுவாக மடிக்கவும்.
பேக்கிங் டின்னில் எண்ணெய் அல்லது நெய் தடவவும். பேக்கிங் ட்ரேயில் சில கொட்டைகள், திராட்சை, டுட்டி ஃப்ருட்டியைத் தூவி, பின்னர் தயாரிக்கப்பட்ட மாவை ஊற்றவும். மாவு சமமாக படிய டின்னை லேசாகத் தட்டவும். மேலே சிறிது டுட்டி ஃப்ருட்டி, திராட்சை மற்றும் கொட்டைகளைத் தூவவும்.
180 டிகிரி செல்சியஸில் முன்கூட்டியே சூடேற்றப்பட்ட அடுப்பில் 35 நிமிடங்கள் அல்லது கேக்கின் மையத்தில் செருகப்பட்ட ஒரு டூத்பிக் சுத்தமாக வெளியே வரும் வரை சுடவும். கேக்கின் மேற்பகுதி பழுப்பு நிறமாக மாறுவதற்கு கடைசி சில நிமிடங்கள் மேல் சுருளை இயக்கினேன்.
முடிந்ததும், அதை அடுப்பிலிருந்து அகற்றி குளிர்விக்க விடவும். பின்னர் கேக்கின் பக்கவாட்டில் ஒரு கத்தியை இயக்கி தட்டில் தலைகீழாக மாற்றவும். கேக் முழுமையாக குளிர்ந்ததும் அதை வெட்டுங்கள்.</t>
  </si>
  <si>
    <t>https://encrypted-tbn0.gstatic.com/images?q=tbn:ANd9GcTEaMWeRymRIR9HNRa3YGqrFWQwPNQxVBDD9g&amp;s</t>
  </si>
  <si>
    <t>Rainbow Cupcakes</t>
  </si>
  <si>
    <t>ரெயின்போ கப்கேக்குகள்</t>
  </si>
  <si>
    <t xml:space="preserve">   Granulated white sugar – 1/2 cup powdered,
   Unsalted Butter - 125 grams,
   Eggs – 2,
   All purpose flour/maida – 1 cup,
   Baking powder – 1 1/2 tsp,
   Salt – 1/4 tsp,
   Vanilla essence – 1 tsp,
   Milk – 3 tbsp,
   Food Colors,
   Icing Sugar – 280 grams sifted,
   Butter – 140 grams,
   Vanilla essence – 1/2 tsp,
   Milk – 1/2- 1 tbsp.</t>
  </si>
  <si>
    <t>வெள்ளை சர்க்கரை - 1/2 கப் தூள்,
உப்பு சேர்க்காத வெண்ணெய் - 125 கிராம்,
முட்டை - 2,
அனைத்து வகையான மாவு / மைதா - 1 கப்,
பேக்கிங் பவுடர் - 1 1/2 தேக்கரண்டி,
உப்பு - 1/4 தேக்கரண்டி,
வெண்ணிலா எசன்ஸ் - 1 தேக்கரண்டி,
பால் - 3 தேக்கரண்டி,
உணவு வண்ணங்கள்,
ஐசிங் சர்க்கரை - 280 கிராம் சலித்தது,
வெண்ணெய் - 140 கிராம்,
வெண்ணிலா எசன்ஸ் - 1/2 தேக்கரண்டி,
பால் - 1/2- 1 தேக்கரண்டி.</t>
  </si>
  <si>
    <t>Cream together sugar and butter until light and fluffy.
Add eggs one at a time and beat until well incorporated.
Add vanilla essence and mix well. Then add flour and milk alternatively, folding gently until combined. Begin and end with flour. 
Now our basic vanilla cake batter is ready.
Divide batter equally into 6  bowls. Add few drops of blue in bowl 1, green in bowl 2, yellow in bowl 3, orange in bowl 4, red in bowl 5 and purple in bowl 6. Mix the colors well as seen in the picture below.
Drop a tbsp of batter to the center of the muffin cup starting from purple followed by blue, green, yellow, red and orange.
Bake in the preheated oven at 175 degree C for 10-15 minutes or until a toothpick inserted in the center of the cake comes out clean.
Beat butter until soft.
Add icing sugar, little at a time and beat the mixture until smooth and creamy. Add milk only if required. If the mixture is too tight, add a little milk to loosen the mixture to get the right consistency. 
Using a piping bag and your favorite nozzle, pipe frosting on cupcakes and enjoy!!</t>
  </si>
  <si>
    <t>சர்க்கரை மற்றும் வெண்ணெயை லேசாகவும் பஞ்சுபோன்றதாகவும் ஆகும் வரை கிரீம் செய்யவும்.
முட்டைகளை ஒவ்வொன்றாகச் சேர்த்து நன்கு கலக்கும் வரை அடிக்கவும்.
வெண்ணிலா எசன்ஸ் சேர்த்து நன்கு கலக்கவும். பின்னர் மாவு மற்றும் பால் மாறி மாறி சேர்த்து, மெதுவாக இணைக்கும் வரை மடிக்கவும். மாவுடன் தொடங்கி முடிக்கவும்.
இப்போது எங்கள் அடிப்படை வெண்ணிலா கேக் மாவு தயாராக உள்ளது.
மாவை 6 கிண்ணங்களாக சமமாகப் பிரிக்கவும். கிண்ணம் 1 இல் சில துளிகள் நீலம், கிண்ணம் 2 இல் பச்சை, கிண்ணம் 3 இல் மஞ்சள், கிண்ணம் 4 இல் ஆரஞ்சு, கிண்ணம் 5 இல் சிவப்பு மற்றும் கிண்ணம் 6 இல் ஊதா ஆகியவற்றைச் சேர்க்கவும். கீழே உள்ள படத்தில் காட்டப்பட்டுள்ளபடி வண்ணங்களை நன்றாக கலக்கவும்.
ஒரு டீஸ்பூன் மாவை மஃபின் கப்பின் மையத்தில் ஊதா நிறத்தில் தொடங்கி பின்னர் நீலம், பச்சை, மஞ்சள், சிவப்பு மற்றும் ஆரஞ்சு நிறத்தில் விடவும்.
175 டிகிரி செல்சியஸில் முன்கூட்டியே சூடேற்றப்பட்ட அடுப்பில் 10-15 நிமிடங்கள் அல்லது கேக்கின் மையத்தில் செருகப்பட்ட ஒரு டூத்பிக் சுத்தமாக வரும் வரை சுடவும்.
வெண்ணெய் மென்மையாகும் வரை அடிக்கவும்.
ஐசிங் சர்க்கரையை சிறிது சிறிதாக சேர்த்து கலவையை மென்மையாகவும் கிரீமியாகவும் வரும் வரை அடிக்கவும். தேவைப்பட்டால் மட்டும் பால் சேர்க்கவும். கலவை மிகவும் இறுக்கமாக இருந்தால், கலவையை தளர்த்த சிறிது பால் சேர்க்கவும், சரியான நிலைத்தன்மையைப் பெற.
ஒரு பைப்பிங் பேக் மற்றும் உங்களுக்குப் பிடித்த முனையைப் பயன்படுத்தி, கப்கேக்குகளில் பைப் ஃப்ரோஸ்டிங் செய்து மகிழுங்கள்!!</t>
  </si>
  <si>
    <t>https://encrypted-tbn0.gstatic.com/images?q=tbn:ANd9GcRcbCNBRmMfaYiycISlFJWENaP8o2WTv0kSVw&amp;s</t>
  </si>
  <si>
    <t>Apple Cake</t>
  </si>
  <si>
    <t>ஆப்பிள் கேக்</t>
  </si>
  <si>
    <t xml:space="preserve">   All purpose flour/maida – 180 g,
   Apple – 1 medium size,
   Eggs – 5 eggs ,
   Sugar – 200 g,
   Butter – for greasing,
   Baking Powder – 1 1/2 tsp,
   Cinnamon powder – 1/8 tsp.</t>
  </si>
  <si>
    <t>அனைத்து உபயோக மாவு/மைதா - 180 கிராம்,
ஆப்பிள் - 1 நடுத்தர அளவு,
முட்டை - 5 முட்டைகள்,
சர்க்கரை - 200 கிராம்,
வெண்ணெய் - நெய் தடவுவதற்கு,
பேக்கிங் பவுடர் - 1 1/2 தேக்கரண்டி,
இலவங்கப்பட்டை தூள் - 1/8 தேக்கரண்டி.</t>
  </si>
  <si>
    <t>Sieve all purpose flour (maida) with baking powder, cinnamon powder and keep it aside.
Beat eggs and sugar well until light and foamy. This step is very important to get a spongy cake.
Fold in flour until well combined.
Cut apples into 1 cm cubes.  Put half of the batter into the greased bowl. Spread chopped apples on top.
Cover the apples with the rest of the dough.
I have used the Redmond pressure multicooker for baking this cake. Close the lid,  press the BAKE button and set the time of 40 minutes. Cook until the program finishes.
You can make this apple cake in regular oven or even in cooker.</t>
  </si>
  <si>
    <t>அனைத்து உபயோக மாவையும் (மைதா) பேக்கிங் பவுடர், இலவங்கப்பட்டை தூள் சேர்த்து சலிக்கவும், அதை தனியாக வைக்கவும்.
முட்டை மற்றும் சர்க்கரையை லேசாக நுரை வரும் வரை நன்றாக அடிக்கவும். பஞ்சுபோன்ற கேக்கைப் பெற இந்த படி மிகவும் முக்கியமானது.
மாவை நன்கு கலக்கும் வரை மடிக்கவும்.
ஆப்பிளை 1 செ.மீ க்யூப்ஸாக வெட்டுங்கள். மாவின் பாதியை எண்ணெய் தடவிய கிண்ணத்தில் வைக்கவும். நறுக்கிய ஆப்பிள்களை மேலே பரப்பவும்.
ஆப்பிளை மீதமுள்ள மாவுடன் மூடி வைக்கவும்.
இந்த கேக்கை சுடுவதற்கு நான் ரெட்மாண்ட் பிரஷர் மல்டிகூக்கரைப் பயன்படுத்தினேன். மூடியை மூடி, பேக் பட்டனை அழுத்தி 40 நிமிட நேரத்தை அமைக்கவும். நிரல் முடியும் வரை சமைக்கவும்.
இந்த ஆப்பிள் கேக்கை நீங்கள் வழக்கமான அடுப்பில் அல்லது குக்கரில் கூட செய்யலாம்.</t>
  </si>
  <si>
    <t>https://www.cookingclassy.com/wp-content/uploads/2016/10/warm-apple-cake-1.jpg</t>
  </si>
  <si>
    <t>Easy Nankhatai</t>
  </si>
  <si>
    <t>எளிதான நான்கடை</t>
  </si>
  <si>
    <t xml:space="preserve">   All purpose flour/maida – 200 grams,
  semolina – 50 grams,
   Gram flour – 50 grams,
   Cardamom powder – 5-6 pods powdered,
   Baking powder – 1 tsp,
   White sugar – 170 grams,
   clarified butter – 200 grams ,
   Pistachio – 10.</t>
  </si>
  <si>
    <t>அனைத்து உபயோக மாவு/மைதா - 200 கிராம்,
ரவை - 50 கிராம்,
கடலை மாவு - 50 கிராம்,
ஏலக்காய் தூள் - 5-6 காய்கள் பொடித்தது,
பேக்கிங் பவுடர் - 1 டீஸ்பூன்,
வெள்ளை சர்க்கரை - 170 கிராம்,
தெளித்த வெண்ணெய் - 200 கிராம்,
பிஸ்தா - 10.</t>
  </si>
  <si>
    <t>In a bowl, mix together ghee and powdered sugar. Ghee should be semi solid. (I used readymade 200 ml packet ghee).
Beat ghee and sugar together until it becomes light and smooth. (I mixed it vigorously with the ladle for 5-6 minutes).
In another bowl, mix together maida, gram flour, semolina, cardamom powder and baking powder.
Mix well.
Add the flour to the ghee + sugar mixture and mix until combined to form a smooth dough. Don’t over knead the dough.
Make small gooseberry sized smooth balls without cracks from the mixture. Press the ball slightly to flatten it.
Arrange it on the greased baking tray leaving enough space between the cookies as nankhatai tend to expand while baking.
Gently place a slivered pistashio in the center of each cookie.
Keep the baking tray with the unbaked cookies in the refrigerator for 10 minutes. This is done to retain the shape of the cookies.
Bake in a pre-heated oven at 200 degree C for 12 -15 minutes or until the bottom starts browning.
Remove the tray from the oven and transfer the cookies on a wire rack to cool completely.
Once taken out from the oven, the cookies will be very soft but will harden as it cools.</t>
  </si>
  <si>
    <t>ஒரு பாத்திரத்தில், நெய் மற்றும் பொடித்த சர்க்கரையை ஒன்றாக கலக்கவும். நெய் அரை திடமாக இருக்க வேண்டும். (நான் ரெடிமேட் 200 மில்லி பாக்கெட் நெய்யைப் பயன்படுத்தினேன்).
நெய் மற்றும் சர்க்கரையை ஒன்றாக சேர்த்து லேசாகவும் மென்மையாகவும் ஆகும் வரை அடிக்கவும். (நான் அதை கரண்டியுடன் 5-6 நிமிடங்கள் தீவிரமாக கலக்கினேன்).
மற்றொரு பாத்திரத்தில், மைதா, கடலை மாவு, ரவை, ஏலக்காய் தூள் மற்றும் பேக்கிங் பவுடர் ஆகியவற்றை ஒன்றாக கலக்கவும்.
நன்றாக கலக்கவும்.
நெய் + சர்க்கரை கலவையில் மாவைச் சேர்த்து, மென்மையான மாவை உருவாக்கும் வரை கலக்கவும். மாவை அதிகமாக பிசைய வேண்டாம்.
கலவையில் விரிசல் இல்லாமல் சிறிய நெல்லிக்காய் அளவிலான மென்மையான உருண்டைகளை உருவாக்கவும். பந்தை லேசாக அழுத்தி தட்டையாக்குங்கள்.
நங்கதை பேக்கிங் செய்யும் போது விரிவடையும் என்பதால், குக்கீகளுக்கு இடையில் போதுமான இடைவெளி விட்டு, நெய் தடவிய பேக்கிங் தட்டில் வைக்கவும்.
ஒவ்வொரு குக்கீயின் மையத்திலும் மெதுவாக ஒரு துண்டு பிஸ்தாஷியோவை வைக்கவும்.
சுடாத குக்கீகளுடன் பேக்கிங் தட்டையும் குளிர்சாதன பெட்டியில் 10 நிமிடங்கள் வைக்கவும். இது குக்கீகளின் வடிவத்தைத் தக்கவைக்க செய்யப்படுகிறது.
200 டிகிரி செல்சியஸில் முன்கூட்டியே சூடாக்கப்பட்ட அடுப்பில் 12 -15 நிமிடங்கள் அல்லது அடிப்பகுதி பழுப்பு நிறமாகத் தொடங்கும் வரை சுடவும்.
அடுப்பிலிருந்து தட்டை அகற்றி, குக்கீகளை ஒரு கம்பி ரேக்கில் மாற்றி முழுமையாக குளிர்விக்க வைக்கவும்.
அடுப்பிலிருந்து வெளியே எடுத்ததும், குக்கீகள் மிகவும் மென்மையாக இருக்கும், ஆனால் அது குளிர்ந்தவுடன் கெட்டியாகிவிடும்.</t>
  </si>
  <si>
    <t>https://cdn3.foodviva.com/static-content/food-images/diwali-recipes/nan-khatai/nan-khatai.jpg</t>
  </si>
  <si>
    <t>Cookies in Pressure Cooker</t>
  </si>
  <si>
    <t>பிரஷர் குக்கரில் குக்கீகள்</t>
  </si>
  <si>
    <t xml:space="preserve">   Whole wheat flour – 1/2 cup,
   Melted ghee or butter – 3 tbsp,
   Salt – a pinch,
   Sugar or powdered jaggery  – 2 tbsp,
   Vanilla essence – 1/2 tsp.</t>
  </si>
  <si>
    <t>முழு கோதுமை மாவு - 1/2 கப்,
உருகிய நெய் அல்லது வெண்ணெய் - 3 டேபிள்ஸ்பூன்,
உப்பு - ஒரு சிட்டிகை,
சர்க்கரை அல்லது பொடித்த வெல்லம் - 2 டேபிள்ஸ்பூன்,
வெண்ணிலா எசன்ஸ் - 1/2 டேபிள்ஸ்பூன்.</t>
  </si>
  <si>
    <t>Take melted ghee in a bowl, add powdered sugar or organic powdered jaggery, vanilla essence and salt. Mix well.
Add wheat flour and mix well to form a dough. You do not have to knead the dough. Keep it covered in the refrigerator for 10 minutes.
Divide the dough equally, form balls and flatten it. You can make a design with a fork, after flattening it as I have done. 
Grease an aluminium cooker container or any aluminium tin, place the cookies on it leaving enough space between the cookies.
Then place the tin inside the cooker (or heavy bottomed pan) using tongs as the cooker/pan will be very hot.
Reduce the heat to low and close the cooker without weight/whistle and gasket. If you are using heavy bottomed pan, cover the pan with a lid.
Bake for 15 minutes or until the cookies/biscuits starts to brown near the edges. Once the bottom starts browning, switch off the cooker and let the cookies be inside the cooker for 5 minutes. It took 20 minutes for me. The timings will vary depending on the size of the cooker, the amount of heat etc. 
Then remove the cookies gently and place it on a wire rack to cool completely. The cookies will be soft but once it cools it will become crisp.</t>
  </si>
  <si>
    <t>ஒரு பாத்திரத்தில் உருகிய நெய்யை எடுத்து, அதில் பொடித்த சர்க்கரை அல்லது ஆர்கானிக் பொடித்த வெல்லம், வெண்ணிலா எசன்ஸ் மற்றும் உப்பு சேர்க்கவும். நன்றாக கலக்கவும்.
கோதுமை மாவை சேர்த்து நன்கு கலக்கவும். மாவை பிசைய வேண்டியதில்லை. குளிர்சாதன பெட்டியில் 10 நிமிடங்கள் மூடி வைக்கவும்.
மாவை சமமாக பிரித்து, பந்துகளை உருவாக்கி தட்டையாக்குங்கள். நான் செய்தது போல் தட்டையாக்கிய பிறகு, ஒரு முட்கரண்டி கொண்டு ஒரு வடிவமைப்பை உருவாக்கலாம்.
ஒரு அலுமினிய குக்கர் கொள்கலன் அல்லது எந்த அலுமினிய டின்னையும் தடவி, குக்கீகளுக்கு இடையில் போதுமான இடைவெளி விட்டு அதன் மீது குக்கீகளை வைக்கவும்.
பின்னர் குக்கரின் உள்ளே (அல்லது அடிப்பகுதி கொண்ட பான்) இடுக்கியைப் பயன்படுத்தி டின்னை வைக்கவும், ஏனெனில் குக்கர்/பான் மிகவும் சூடாக இருக்கும்.
வெப்பத்தை குறைத்து, எடை/விசில் மற்றும் கேஸ்கெட் இல்லாமல் குக்கரை மூடவும். நீங்கள் அடிப்பகுதி தடிமனாக இருந்தால், பாத்திரத்தை ஒரு மூடியால் மூடி வைக்கவும்.
15 நிமிடங்கள் அல்லது குக்கீகள்/பிஸ்கட்கள் விளிம்புகளுக்கு அருகில் பழுப்பு நிறமாகத் தொடங்கும் வரை சுடவும். அடிப்பகுதி பழுப்பு நிறமாக மாறத் தொடங்கியதும், குக்கரை அணைத்துவிட்டு, குக்கீகளை 5 நிமிடங்கள் குக்கருக்குள் இருக்க விடவும். இது எனக்கு 20 நிமிடங்கள் எடுத்தது. குக்கரின் அளவு, வெப்பத்தின் அளவு போன்றவற்றைப் பொறுத்து நேரம் மாறுபடும்.
பின்னர் குக்கீகளை மெதுவாக அகற்றி, முழுமையாக குளிர்விக்க ஒரு கம்பி ரேக்கில் வைக்கவும். குக்கீகள் மென்மையாக இருக்கும், ஆனால் அது குளிர்ந்ததும் அது மொறுமொறுப்பாக மாறும்.</t>
  </si>
  <si>
    <t>https://encrypted-tbn0.gstatic.com/images?q=tbn:ANd9GcRp26DvBrpGr-6kg0nQPG8jLhMKs1DQLHSLzw&amp;s</t>
  </si>
  <si>
    <t>Oats Cranberry Cookies</t>
  </si>
  <si>
    <t>ஓட்ஸ் கிரான்பெர்ரி குக்கீகள்</t>
  </si>
  <si>
    <t xml:space="preserve">   Butter – 85 grams,
   Brown Sugar – 1/2 cup powdered,
   Egg – 1,
   Rolled Oats – 1/2 cup + 3 tbsp,
   Cranberries – 1 cup,
   Walnuts – 1/2 cup,
   Vanilla essence – 1/2 tbsp,
   Whole wheat flour – 1/2 cup ,
   Salt – 1/4 tsp,
   Baking powder – 1/4 tsp,
   Baking Soda – 1/4 tsp,
   Cinnamon powder – 1/2 tsp.</t>
  </si>
  <si>
    <t>வெண்ணெய் - 85 கிராம்,
பிரவுன் சுகர் - 1/2 கப் பொடித்தது,
முட்டை - 1,
உருட்டிய ஓட்ஸ் - 1/2 கப் + 3 டேபிள்ஸ்பூன்,
க்ரான்பெர்ரி - 1 கப்,
வால்நட்ஸ் - 1/2 கப்,
வெண்ணிலா எசன்ஸ் - 1/2 டேபிள்ஸ்பூன்,
முழு கோதுமை மாவு - 1/2 கப்,
உப்பு - 1/4 டேபிள்ஸ்பூன்,
பேக்கிங் பவுடர் - 1/4 டேபிள்ஸ்பூன்,
பேக்கிங் சோடா - 1/4 டேபிள்ஸ்பூன்,
இலவங்கப்பட்டை தூள் - 1/2 டேபிள்ஸ்பூன்.</t>
  </si>
  <si>
    <t>Beat together butter and sugar until smooth.
Oatmeal Cranberry Whole Wheat Walnut Cookies ingredients
Add egg and beat again. Add vanilla essence and mix to combine.
Oatmeal Cranberry Whole Wheat Walnut Cookies Recipe
Add rolled oats, cranberries and flour (mix of whole wheat flour + baking soda +baking powder + salt + cinnamon powder).
Add chopped walnuts and mix well to combine.
oatmeal cookies with cranberry and walnuts-oats cookies
Drop heaped tablespoon of dough on the parchment lined baking tray, leaving enough space in between. Then flatten it a little.
Bake in preheated oven for 15 minutes or until edges starts browning. (Reverse the tray after the initial 7 minutes of baking and continue to bake until edges starts to brown).
Remove from the oven and let the cookies cool on the pan. Then transfer to a wire rack to cool completely. Enjoy!!</t>
  </si>
  <si>
    <t>வெண்ணெய் மற்றும் சர்க்கரையை மென்மையாகும் வரை அடிக்கவும்.
ஓட்ஸ் கிரான்பெர்ரி முழு கோதுமை வால்நட் குக்கீகள்
முட்டையைச் சேர்த்து மீண்டும் அடிக்கவும். வெண்ணிலா எசன்ஸ் சேர்த்து கலக்கவும்.
ஓட்ஸ் கிரான்பெர்ரி முழு கோதுமை வால்நட் குக்கீகள் செய்முறை
உருட்டிய ஓட்ஸ், கிரான்பெர்ரி மற்றும் மாவு சேர்க்கவும் (முழு கோதுமை மாவு + பேக்கிங் சோடா +பேக்கிங் பவுடர் + உப்பு + இலவங்கப்பட்டை தூள் கலவை).
நறுக்கிய வால்நட்ஸைச் சேர்த்து நன்கு கலக்கவும்.
கிரான்பெர்ரி மற்றும் வால்நட்ஸ்-ஓட்ஸ் குக்கீகளுடன் ஓட்ஸ்மீல் குக்கீகள்
பேக்கிங் தட்டில் போதுமான இடைவெளி விட்டு, காகிதத்தோல் பூசப்பட்ட பேக்கிங் தட்டில் குவிந்த மேசைக்கரண்டி மாவை வைக்கவும். பின்னர் அதை சிறிது தட்டவும்.
15 நிமிடங்கள் அல்லது விளிம்புகள் பழுப்பு நிறமாகத் தொடங்கும் வரை முன்கூட்டியே சூடேற்றப்பட்ட அடுப்பில் சுடவும். (பேக்கிங் செய்த முதல் 7 நிமிடங்களுக்குப் பிறகு தட்டைத் திருப்பி, விளிம்புகள் பழுப்பு நிறமாகத் தொடங்கும் வரை தொடர்ந்து சுடவும்).
அடுப்பிலிருந்து இறக்கி, குக்கீகளை வாணலியில் குளிர்விக்க விடவும். பின்னர் முழுமையாக குளிர்விக்க ஒரு கம்பி ரேக்கிற்கு மாற்றவும். மகிழுங்கள்!!</t>
  </si>
  <si>
    <t>https://i0.wp.com/www.livewellbakeoften.com/wp-content/uploads/2015/11/White-Chocolate-Cranberry-Oatmeal-Cookies-1-3.jpg?resize=1360%2C2040&amp;ssl=1</t>
  </si>
  <si>
    <t>மாம்பழ ரவா கேக்</t>
  </si>
  <si>
    <t xml:space="preserve">   Semolina - 1 cup,
   Mango Pulp – 1 cup,
   White Sugar – 1 cup,
   Oil – 1/4 cup any flavorless oil,
   Cardamom powder – 1/2 tsp,
   Baking powder – 3/4 tsp,
   Chopped nuts – 1/3 cup.</t>
  </si>
  <si>
    <t>ரவை - 1 கப்,
மாம்பழ கூழ் - 1 கப்,
வெள்ளை சர்க்கரை - 1 கப்,
எண்ணெய் - 1/4 கப், மணமற்ற எண்ணெய்,
ஏலக்காய் தூள் - 1/2 தேக்கரண்டி,
பேக்கிங் பவுடர் - 3/4 தேக்கரண்டி,
நறுக்கிய கொட்டைகள் - 1/3 கப்.</t>
  </si>
  <si>
    <t>In a bowl, mix fine rava, powdered sugar, cardamom powder and baking powder well.
Add oil to the above and mix well.
Add mango pulp and mix well.
Let it sit for 15 minutes.
Pour it in a greased tray and garnish with thinly sliced almonds and pistachio.
Take a pressure cooker (preferable an old cooker), place the perforated plate/or any stand at the bottom of the pressure cooker. I placed 2 perforated plates at the bottom to give height.
Heat the cooker on high flame for 5 minutes.
Then reduce the heat to low and place the baking tray inside the cooker on the stand/perforated plate carefully with a tong (as the cooker will be very hot).
Close the cooker. Do not use gasket or weight. Keep it on low heat and let the cake bake. It will take 30-35 minutes for the cake to bake but keep an eye after 20 minutes. Bake until a toothpick inserted in the center of the cake comes out clean.
Allow the cake to cool completely. Then cut and enjoy any time of the day!!</t>
  </si>
  <si>
    <t>ஒரு பாத்திரத்தில், நன்றாக ரவை, பொடித்த சர்க்கரை, ஏலக்காய் தூள் மற்றும் பேக்கிங் பவுடரை நன்கு கலக்கவும்.
மேற்கண்டவற்றுடன் எண்ணெய் சேர்த்து நன்கு கலக்கவும்.
மாம்பழ கூழ் சேர்த்து நன்கு கலக்கவும்.
அதை 15 நிமிடங்கள் அப்படியே வைக்கவும்.
நெய் தடவிய தட்டில் ஊற்றி மெல்லியதாக நறுக்கிய பாதாம் மற்றும் பிஸ்தாவால் அலங்கரிக்கவும்.
ஒரு பிரஷர் குக்கரை (பழைய குக்கர் சிறந்தது) எடுத்து, துளையிடப்பட்ட தட்டு/அல்லது பிரஷர் குக்கரின் அடிப்பகுதியில் ஏதேனும் ஸ்டாண்டை வைக்கவும். உயரத்தை அதிகரிக்க கீழே 2 துளையிடப்பட்ட தட்டுகளை வைத்தேன்.
குக்கரை 5 நிமிடங்கள் அதிக தீயில் சூடாக்கவும்.
பின்னர் தீயை குறைத்து, குக்கரின் உள்ளே இருக்கும் பேக்கிங் ட்ரேயை ஸ்டாண்ட்/துளையிடப்பட்ட தட்டில் ஒரு டோங்கைப் பயன்படுத்தி கவனமாக வைக்கவும் (குக்கர் மிகவும் சூடாக இருக்கும்).
குக்கரை மூடு. கேஸ்கெட் அல்லது எடையைப் பயன்படுத்த வேண்டாம். குறைந்த தீயில் வைத்து கேக்கை சுட விடுங்கள். கேக் சுட 30-35 நிமிடங்கள் ஆகும், ஆனால் 20 நிமிடங்களுக்குப் பிறகு ஒரு கண் வைத்திருங்கள். கேக்கின் மையத்தில் செருகப்பட்ட ஒரு டூத்பிக் சுத்தமாக வெளியே வரும் வரை சுடவும்.
கேக்கை முழுமையாக குளிர்விக்க விடுங்கள். பின்னர் நாளின் எந்த நேரத்திலும் வெட்டி மகிழுங்கள்!!</t>
  </si>
  <si>
    <t>https://encrypted-tbn0.gstatic.com/images?q=tbn:ANd9GcRqF3GjkSsovXzBVcsSdfDtQIb1NOZRMHa8Qw&amp;s</t>
  </si>
  <si>
    <t>Blueberry Muffins</t>
  </si>
  <si>
    <t>புளூபெர்ரி மஃபின்கள்</t>
  </si>
  <si>
    <t xml:space="preserve">   All-purpose flour/maida- 1 1/2 cup,
   White sugar – 3/4 cup,
   Salt – 1/2 tsp,
   Baking Powder – 2 tsp,
   Vegetable Oil – 1/3 cup,
   Egg – 1,
   Milk – 1/3 cup,
   Vanilla essence – 1 tsp,
   Fresh Blueberries – 1 1/2 cup.</t>
  </si>
  <si>
    <t>அனைத்து வகையான மாவு/மைதா- 1 1/2 கப்,
வெள்ளை சர்க்கரை - 3/4 கப்,
உப்பு - 1/2 தேக்கரண்டி,
பேக்கிங் பவுடர் - 2 தேக்கரண்டி,
காய்கறி எண்ணெய் - 1/3 கப்,
முட்டை - 1,
பால் - 1/3 கப்,
வெண்ணிலா எசன்ஸ் - 1 தேக்கரண்டி,
புதிய புளூபெர்ரி - 1 1/2 கப்.</t>
  </si>
  <si>
    <t>Beat egg well. Add vegetable oil, vanilla essence, warm milk and mix well.
Mix flour mixture (flour + baking powder + salt mixture) with powdered sugar.
Now add the egg mixture to the dry ingredients and mix well. If the batter is too thick, you may add 1-2 tbsp of milk.
Fold in blueberries.
Fill muffin cups till the top with the batter (picture below).
Bake in a pre-heated oven at 200 degree C for 20-25 minutes or until a toothpick inserted in the center of the muffin comes out clean.
how to make Blueberry Muffins 
Remove from the oven and cool on a wire rack.
Enjoy as a light breakfast or as a snack any time of the day.</t>
  </si>
  <si>
    <t>முட்டையை நன்றாக அடிக்கவும். தாவர எண்ணெய், வெண்ணிலா எசன்ஸ், சூடான பால் சேர்த்து நன்கு கலக்கவும்.
மாவு கலவையை (மாவு + பேக்கிங் பவுடர் + உப்பு கலவை) தூள் சர்க்கரையுடன் கலக்கவும்.
இப்போது முட்டை கலவையை உலர்ந்த பொருட்களுடன் சேர்த்து நன்கு கலக்கவும். மாவு மிகவும் தடிமனாக இருந்தால், நீங்கள் 1-2 தேக்கரண்டி பால் சேர்க்கலாம்.
புளூபெர்ரிகளை மடிக்கவும்.
மஃபின் கப்களை மாவுடன் மேல் வரை நிரப்பவும் (கீழே உள்ள படம்).
200 டிகிரி செல்சியஸில் முன்கூட்டியே சூடாக்கப்பட்ட அடுப்பில் 20-25 நிமிடங்கள் அல்லது மஃபினின் மையத்தில் செருகப்பட்ட ஒரு டூத்பிக் சுத்தமாக வெளியே வரும் வரை சுடவும்.
புளூபெர்ரி மஃபின்களை எப்படி செய்வது
அடுப்பிலிருந்து இறக்கி கம்பி ரேக்கில் குளிர்விக்கவும்.
நாளின் எந்த நேரத்திலும் லேசான காலை உணவாகவோ அல்லது சிற்றுண்டியாகவோ அனுபவிக்கவும்.</t>
  </si>
  <si>
    <t>https://encrypted-tbn0.gstatic.com/images?q=tbn:ANd9GcQUzt_RD7uxGPxeR2sQVYnTKtQALj-IIMP5eA&amp;s</t>
  </si>
  <si>
    <t xml:space="preserve">   Wheat Bran – 3/4 cup,
   Milk – 1/2 cup,
   Unsweetened apple sauce – 1/4 cup,
   Egg – 1 small,
   powdered jaggery – 1/3 cup ,
   Vanilla extract – 1/2 tsp,
   Whole Wheat flour – 1/2 cup,
   Baking soda – 1/2 tsp,
   Baking powder – 1/2 tsp,
   Salt – 1/4 tsp,
   Blueberries – 1/2 cup.</t>
  </si>
  <si>
    <t>கோதுமை பிரான் - 3/4 கப்,
பால் - 1/2 கப்,
இனிப்பு சேர்க்காத ஆப்பிள் சாஸ் - 1/4 கப்,
முட்டை - 1 சிறியது,
பொடித்த வெல்லம் - 1/3 கப்,
வெண்ணிலா சாறு - 1/2 தேக்கரண்டி,
முழு கோதுமை மாவு - 1/2 கப்,
பேக்கிங் சோடா - 1/2 தேக்கரண்டி,
பேக்கிங் பவுடர் - 1/2 தேக்கரண்டி,
உப்பு - 1/4 தேக்கரண்டி,
புளூபெர்ரி - 1/2 கப்.</t>
  </si>
  <si>
    <t>Add milk to wheat bran, mix well and let it sit for 10 minutes, so that the wheat bran will soften a little.
bran soaked in milk
In another bowl, mix together apple sauce, brown sugar (I used powdered jaggery), vanilla essence and egg. Mix well.
Add the above mixture to the wheat bran and mix well with a wire whisk.
whole wheat bran low fat moist blueberry muffins 
Add sifted flour mixture and mix until combined. Fold in blueberries.
Scoop batter into muffin cups.
Bake in a preheated oven for 15-20 minutes or until a toothpick inserted in the center of a muffin comes out clean.</t>
  </si>
  <si>
    <t>கோதுமை தவிட்டில் பால் சேர்த்து, நன்கு கலந்து, கோதுமை தவிடு சிறிது மென்மையாகும் வரை 10 நிமிடங்கள் அப்படியே வைக்கவும்.
பாலில் ஊறவைத்த தவிடு
மற்றொரு கிண்ணத்தில், ஆப்பிள் சாஸ், பிரவுன் சர்க்கரை (நான் பொடித்த வெல்லம் பயன்படுத்தினேன்), வெண்ணிலா எசன்ஸ் மற்றும் முட்டை ஆகியவற்றை ஒன்றாக கலக்கவும். நன்றாக கலக்கவும்.
மேற்கண்ட கலவையை கோதுமை தவிட்டில் சேர்த்து, ஒரு கம்பி துடைப்பத்தால் நன்கு கலக்கவும்.
முழு கோதுமை தவிடு குறைந்த கொழுப்புள்ள ஈரமான புளூபெர்ரி மஃபின்கள்
சலித்த மாவு கலவையைச் சேர்த்து, கலக்கும் வரை கலக்கவும். ப்ளூபெர்ரிகளை மடித்து வைக்கவும்.
மாவை மஃபின் கோப்பைகளில் ஊற்றவும்.
முன்கூட்டியே சூடேற்றப்பட்ட அடுப்பில் 15-20 நிமிடங்கள் அல்லது மஃபினின் மையத்தில் செருகப்பட்ட டூத்பிக் சுத்தமாக வெளியே வரும் வரை சுடவும்.</t>
  </si>
  <si>
    <t xml:space="preserve">   Baguette – as needed,
   Eggs – 2,
   Brown sugar – 1/4 cup firmly packed,
   Vanilla extract – 1/2 tsp,
   Ground cinnamon – 1/4 tsp,
   Freshly grated nutmeg – a pinch,
   Salt – a pinch,
   Milk – 2 cups,
   Dried cranberries or raisins – 3-4 tbsp,
   Powdered sugar for dusting.</t>
  </si>
  <si>
    <t>பக்கோடா - தேவைக்கேற்ப,
முட்டை - 2,
பிரவுன் சர்க்கரை - 1/4 கப் உறுதியாக பேக் செய்யப்பட்டது,
வெண்ணிலா சாறு - 1/2 தேக்கரண்டி,
அரைத்த இலவங்கப்பட்டை - 1/4 தேக்கரண்டி,
புதிதாக துருவிய ஜாதிக்காய் - ஒரு சிட்டிகை,
உப்பு - ஒரு சிட்டிகை,
பால் - 2 கப்,
உலர்ந்த கிரான்பெர்ரி அல்லது திராட்சை - 3-4 தேக்கரண்டி,
தூவுவதற்கு பொடித்த சர்க்கரை.</t>
  </si>
  <si>
    <t>In a bowl, beat egg for a few seconds.
Then add powdered sugar, vanilla extract, cinnamon powder, nutmeg, salt and beat until well blended.
Add milk and beat until well combined.
Now pour the mixture over the bread slices/cubes.
Press down the bread with a spoon, now and then. Let it sit for 20 minutes. But the time the bread pieces will be evenly soaked. In the meantime preheat the oven at 175 degree C for 10-15 minutes.
Scatter cranberries and raisins evenly over the surface of the soaked bread and press the dry fruits slightly to submerge. As I did not have cranberries, I have used dried apricots and raisins.
This pudding should be baked in a water bath. Add very hot water to a pan and keep the baking tray in it. The water should come halfway up the sides of the baking tray. Water bath prevents it from curdling or getting burnt as it is a very delicate food.
Now place the tray along with the pan containing hot water in the middle rack inside the oven.
Bake the pudding in a preheated oven for 45-55 minutes or until a knife inserted in the center of the pudding comes out clean.
Remove the bread pudding from water bath. After it cools, you can cut it and serve dusted with powdered sugar.
Enjoy it warm, cold or at room temperature. You can also top it with vanilla ice cream or whipped cream.</t>
  </si>
  <si>
    <t>ஒரு கிண்ணத்தில், முட்டையை சில நொடிகள் அடிக்கவும்.
பின்னர் பொடித்த சர்க்கரை, வெண்ணிலா சாறு, இலவங்கப்பட்டை தூள், ஜாதிக்காய், உப்பு சேர்த்து நன்கு கலக்கும் வரை அடிக்கவும்.
பால் சேர்த்து நன்கு கலக்கும் வரை அடிக்கவும்.
இப்போது கலவையை ரொட்டி துண்டுகள்/க்யூப்ஸ் மீது ஊற்றவும்.
அவ்வப்போது ஒரு கரண்டியால் ரொட்டியை அழுத்தவும். 20 நிமிடங்கள் அப்படியே வைக்கவும். ஆனால் ரொட்டி துண்டுகள் சமமாக ஊறும்போது. இதற்கிடையில், அடுப்பை 175 டிகிரி செல்சியஸில் 10-15 நிமிடங்கள் சூடாக்கவும்.
ஊறவைத்த ரொட்டியின் மேற்பரப்பில் கிரான்பெர்ரி மற்றும் திராட்சையை சமமாக தூவி, உலர் பழங்களை சிறிது அழுத்தி மூழ்கடிக்கவும். என்கிட்ட கிரான்பெர்ரி இல்லாததால், நான் உலர்ந்த ஆப்ரிகாட் மற்றும் திராட்சையைப் பயன்படுத்தினேன்.
இந்த புட்டிங்கை தண்ணீர் குளியலில் சுட வேண்டும். ஒரு பாத்திரத்தில் மிகவும் சூடான நீரைச் சேர்த்து, பேக்கிங் தட்டில் வைக்கவும். தண்ணீர் பேக்கிங் தட்டின் பக்கவாட்டில் பாதியளவு வர வேண்டும். தண்ணீர் குளியல் அது தயிர் ஆவதையோ அல்லது எரிவதையோ தடுக்கிறது, ஏனெனில் இது மிகவும் மென்மையான உணவு.
இப்போது அடுப்பின் உள்ளே நடுத்தர ரேக்கில் சூடான நீரைக் கொண்ட தட்டுடன் தட்டையும் வைக்கவும்.
புட்டிங்கை 45-55 நிமிடங்கள் அல்லது புட்டின் மையத்தில் செருகப்பட்ட கத்தி சுத்தமாக வெளியே வரும் வரை முன்கூட்டியே சூடேற்றப்பட்ட அடுப்பில் சுடவும்.
பிரெட் புட்டிங்கை தண்ணீர் குளியலில் இருந்து அகற்றவும். அது குளிர்ந்த பிறகு, அதை வெட்டி தூள் சர்க்கரையுடன் தூவி பரிமாறலாம்.
சூடாக, குளிராக அல்லது அறை வெப்பநிலையில் இதை அனுபவிக்கவும். நீங்கள் அதன் மேல் வெண்ணிலா ஐஸ்கிரீம் அல்லது விப் க்ரீம் சேர்த்தும் பரிமாறலாம்.</t>
  </si>
  <si>
    <t>https://encrypted-tbn0.gstatic.com/images?q=tbn:ANd9GcS78sXjHSBPANKsjCxjLHfPJpG2u5fEDmvJ7A&amp;s</t>
  </si>
  <si>
    <t>Cake Pops</t>
  </si>
  <si>
    <t>கேக் பாப்ஸ்</t>
  </si>
  <si>
    <t xml:space="preserve">   Sifted all purpose flour – 1 1/2 cup,
   Baking powder – 1/2 tbsp,
   Salt – 1/4 tsp,
   Unsalted butter – 1/2 cup,
   Granulated white sugar – 150 grams,
   Eggs – 2 ,
   Vanilla extract – 1 tsp,
   Milk – 1/2 cup,
   Icing sugar – 1 cup,
   Butter – 1/4 cup unsalted,
   Vanilla essence – 1/4 tsp,
   Milk – 1/2 – 1 tbsp,
   Plastic wrap,
   Sprinkles,
   Styrofoam,
   Lollipop sticks,
   Candy coating,
   Mini oreos,
   Edible marker,
   Candy eyes.</t>
  </si>
  <si>
    <t>சலித்த மாவு - 1 1/2 கப்,
பேக்கிங் பவுடர் - 1/2 டீஸ்பூன்,
உப்பு - 1/4 டீஸ்பூன்,
உப்பு சேர்க்காத வெண்ணெய் - 1/2 கப்,
கிரானுலேட்டட் வெள்ளை சர்க்கரை - 150 கிராம்,
முட்டை - 2 ,
வெண்ணிலா சாறு - 1 டீஸ்பூன்,
பால் - 1/2 கப்,
ஐசிங் சர்க்கரை - 1 கப்,
வெண்ணெய் - 1/4 கப் உப்பு சேர்க்காதது,
வெண்ணிலா எசன்ஸ் - 1/4 டீஸ்பூன்,
பால் - 1/2 – 1 டீஸ்பூன்,
பிளாஸ்டிக் மடக்கு,
ஸ்பிரிங்க்ஸ்,
ஸ்டைரோஃபோம்,
லாலிபாப் குச்சிகள்,
மிட்டாய் பூச்சு,
மினி ஓரியோஸ்,
உண்ணக்கூடிய மார்க்கர்,
மிட்டாய் கண்கள்.</t>
  </si>
  <si>
    <t>Beat butter until soft and creamy.
Add sugar and beat until light and fluffy.
Add vanilla extract and beat until combined.
Add eggs, one at a time and beat well after each addition. Batter might look curdled but once you beat well, batter will be smooth.
Add flour mixture (3 additions) and milk (2 additions) alternatively, starting and ending it with flour.
Add flour (1 st addition) and beat on low speed until combined. You can also use a spatula and fold in the flour.
Now add half of the milk (1 st addition) and beat on low speed until combined.
Then add flour (2 nd addition) and beat until combined.
adding milk and flour alternatively
Add the rest of the milk (2 nd addition) and beat until combined.
Finally add the rest of the flour (3rd and final addition) and beat on low speed until well combined. Our vanilla cake batter is ready.
Pour the batter into a parchment lined baking tray. Tap the tray for the batter to settle evenly.
Bake in a preheat oven for 27-35 minutes or until a toothpick inserted in the center of the cake comes out clean. Do not over bake the cake. The cake should spring back when pressed slightly in the center.
cake pops from scratch 
Now our cake is baked well. Let it cool in the pan for 10 minutes. Then invert the cake on a wire rack to cool completely. Our vanilla cake is ready.
Once the cake is completely cooled, remove the parchment paper and crumble the cake in such a way that it looks like bread crumbs. You can do it with your hands or with a blender. (I did it in a blender, so I got uniform crumbs)
cake crumbs 
Beat butter until smooth and creamy. Add vanilla extract and mix until combined.
Add icing sugar, gradually, a spoonful at a time and beat on low speed after every addition.
Add 1/2 tbsp of milk and beat to combine. Now beat the frosting really well for 5 minutes or until light and fluffy. You may add more milk or icing sugar to get the right consistency.
how to make vanilla buttercream frosting 
We have our cake crumbs and the frosting ready. (see picture below)
Now add only needed frosting (approximately 1/3 cup -1/2 cup) just enough to hold the crumbs together. Note – too much frosting will make the cake balls soggy and too little frosting will make the cake balls crack or fall apart.
So the amount of frosting depends on the type and texture of your cake. Use your hands to mix the cake crumbs and frosting so that you will know when to stop adding frosting.
Now make even sized smooth balls out of the mixture. I made a few hearts also. Place the balls on a parchment paper lined baking tray.
Cover it with a cling wrap and refrigerate for about 2 hours or until firm. The good thing is that these cake balls can be refrigerated 3-4 days, before dipping in the candy. So you do not have to make everything on the same day.
I used candy melts from Wilton. If you cannot get candy melts, you can dip the cake pops in chocolate and decorate it with sprinkles.
These are the few things, I used for cake pop decoration but you don’t need all these. 
Melt candy melts/candy coating over a bowl of simmering water (double boil).
If the candy coating is too thick, you may add 1/2-1 tbsp of any flavorless oil to get the right consistency. Candy coating should be smooth and fluid.
Now the candy coating is ready.  Take the cake balls from the refrigerator. Dip the lollipop stick about 1 cm into the candy melt and insert it into the cake balls half way through. Do not insert it fully as the balls will crack or fall apart. After inserting the stick into the cake ball, insert the lollipop stick with the cake balls into the styrofoam for drying.
After it has dried, dip the cake balls one at a time into the candy coating, then lift it to let the excess coating fall off back into the candy mixture.
Gently turn the pops holding it with your hand to get even coating. Then you can sprinkle/place candy sprinkles on the still wet cake pops.
After sprinkling the candy sprinkles, insert it in the styrofoam for the cake pops to dry completely. 
You can use finely chopped nuts, sparkling sugar, edible glitters etc for decorating the cake pops.
Once they are dry, you can also use any edible decoration to decorate the cake pops.
With a toothpick, I slightly pull out the candy coating when it was wet to give a hairy effect and I have used candy eyes for these monster. They look lovely isn’t it .
You get different colored candy melts. You can use any colored candy melts and prepare it in the same method.</t>
  </si>
  <si>
    <t>வெண்ணெயை மென்மையாகவும் கிரீமியாகவும் அடிக்கவும்.
சர்க்கரையைச் சேர்த்து லேசாகவும் பஞ்சுபோன்றதாகவும் அடிக்கவும்.
வெண்ணிலா சாறு சேர்த்து ஒன்றாக கலக்கும் வரை அடிக்கவும்.
முட்டைகளை ஒவ்வொன்றாகச் சேர்த்து ஒவ்வொரு சேர்த்தலுக்குப் பிறகும் நன்றாக அடிக்கவும். மாவு தயிர் போல் தோன்றலாம், ஆனால் நீங்கள் நன்றாக அடித்தவுடன், மாவு மென்மையாக இருக்கும்.
மாவு கலவையை (3 சேர்த்தல்கள்) மற்றும் பால் (2 சேர்த்தல்கள்) மாறி மாறி சேர்க்கவும், தொடங்கி இறுதியில் மாவுடன் முடிக்கவும்.
மாவை (1 டேபிள் ஸ்பூன்) சேர்த்து குறைந்த வேகத்தில் கலக்கும் வரை அடிக்கவும். நீங்கள் ஒரு ஸ்பேட்டூலாவைப் பயன்படுத்தி மாவை மடிக்கலாம்.
இப்போது பாலில் பாதியை (1 டேபிள் ஸ்பூன்) சேர்த்து குறைந்த வேகத்தில் கலக்கும் வரை அடிக்கவும்.
பின்னர் மாவை (2 வது சேர்த்தல்கள்) சேர்த்து கலக்கும் வரை அடிக்கவும்.
பால் மற்றும் மாவை மாற்றாக சேர்க்கவும்
மீதமுள்ள பால் (2 வது சேர்த்தல்கள்) சேர்த்து கலக்கும் வரை அடிக்கவும்.
இறுதியாக மீதமுள்ள மாவை (3 வது மற்றும் இறுதி சேர்த்தல்கள்) சேர்த்து நன்கு கலக்கும் வரை குறைந்த வேகத்தில் கலக்கவும். எங்கள் வெண்ணிலா கேக் மாவு தயாராக உள்ளது.
பேக்கிங் தட்டில் மாவை ஊற்றவும். மாவு சமமாக சேர தட்டவும்.
முன்கூட்டியே சூடாக்கப்பட்ட அடுப்பில் 27-35 நிமிடங்கள் அல்லது கேக்கின் மையத்தில் செருகப்பட்ட ஒரு டூத்பிக் சுத்தமாக வரும் வரை சுடவும். கேக்கை அதிகமாக சுட வேண்டாம். மையத்தில் சிறிது அழுத்தும் போது கேக் மீண்டும் ஸ்பிரிங் ஆக வேண்டும்.
கேக் புதிதாக உறுமுகிறது
இப்போது எங்கள் கேக் நன்றாக சுடப்பட்டுள்ளது. 10 நிமிடங்கள் பாத்திரத்தில் வைத்து ஆற விடவும். பின்னர் கேக்கை ஒரு கம்பி ரேக்கில் திருப்பி முழுவதுமாக ஆற வைக்கவும். எங்கள் வெண்ணிலா கேக் தயாராக உள்ளது.
கேக் முழுவதுமாக ஆறியதும், காகிதத்தோலை அகற்றி, ரொட்டித் துண்டுகள் போல தோற்றமளிக்கும் வகையில் கேக்கை நொறுக்கவும். நீங்கள் அதை உங்கள் கைகளால் அல்லது பிளெண்டரைப் பயன்படுத்தி செய்யலாம். (நான் அதை ஒரு பிளெண்டரில் செய்தேன், அதனால் எனக்கு ஒரே மாதிரியான நொறுக்குத் தீனிகள் கிடைத்தன)
கேக் நொறுக்குத் தீனிகள்
வெண்ணெயை மென்மையாகவும் கிரீமியாகவும் அடிக்கவும். வெண்ணிலா சாற்றைச் சேர்த்து கலக்கவும்.
படிப்படியாக, ஒரு நேரத்தில் ஒரு ஸ்பூன் ஐசிங் சர்க்கரையைச் சேர்த்து, ஒவ்வொரு சேர்த்தலுக்குப் பிறகும் குறைந்த வேகத்தில் அடிக்கவும்.
1/2 டீஸ்பூன் பால் சேர்த்து கலக்க அடிக்கவும். இப்போது ஃப்ரோஸ்டிங்கை 5 நிமிடங்கள் அல்லது லேசாகவும் பஞ்சுபோன்றதாகவும் அடிக்கவும் நன்றாக அடிக்கவும். சரியான நிலைத்தன்மையைப் பெற நீங்கள் அதிக பால் அல்லது ஐசிங் சர்க்கரையைச் சேர்க்கலாம்.
வெண்ணிலா பட்டர்கிரீம் ஃப்ரோஸ்டிங்கை எப்படி செய்வது
எங்கள் கேக் நொறுக்குத் தீனிகள் மற்றும் ஃப்ரோஸ்டிங்கைத் தயார் செய்துள்ளோம். (கீழே உள்ள படத்தைப் பார்க்கவும்)
இப்போது தேவையான ஃப்ரோஸ்டிங்கை மட்டும் சேர்க்கவும் (தோராயமாக 1/3 கப் -1/2 கப்) நொறுக்குத் தீனிகளை ஒன்றாகப் பிடிக்கும் அளவுக்கு. குறிப்பு - அதிகப்படியான உறைபனி கேக் பந்துகளை ஈரமாக்கும், மிகக் குறைந்த உறைபனி கேக் பந்துகளை விரிசல் அல்லது உடைக்கச் செய்யும்.
எனவே உறைபனியின் அளவு உங்கள் கேக்கின் வகை மற்றும் அமைப்பைப் பொறுத்தது. கேக் துண்டுகள் மற்றும் உறைபனியை கலக்க உங்கள் கைகளைப் பயன்படுத்தவும், இதன் மூலம் உறைபனியைச் சேர்ப்பதை எப்போது நிறுத்த வேண்டும் என்பதை நீங்கள் அறிவீர்கள்.
இப்போது கலவையிலிருந்து சம அளவிலான மென்மையான பந்துகளை உருவாக்கவும். நான் சில இதயங்களையும் செய்தேன். ஒரு காகிதத்தோல் மூடப்பட்ட பேக்கிங் தட்டில் பந்துகளை வைக்கவும்.
அதை ஒரு கிளிங் ரேப்பால் மூடி, சுமார் 2 மணி நேரம் அல்லது உறுதியாகும் வரை குளிர்சாதன பெட்டியில் வைக்கவும். நல்ல விஷயம் என்னவென்றால், இந்த கேக் பந்துகளை மிட்டாய்களில் நனைப்பதற்கு முன் 3-4 நாட்கள் குளிர்சாதன பெட்டியில் வைக்கலாம். எனவே நீங்கள் அனைத்தையும் ஒரே நாளில் செய்ய வேண்டியதில்லை.
நான் வில்டனில் இருந்து மிட்டாய் உருகல்களைப் பயன்படுத்தினேன். உங்களுக்கு மிட்டாய் உருகல்கள் கிடைக்கவில்லை என்றால், நீங்கள் கேக் பாப்ஸை சாக்லேட்டில் நனைத்து தெளிப்புகளால் அலங்கரிக்கலாம்.
கேக் பாப் அலங்காரத்திற்கு நான் பயன்படுத்திய சில விஷயங்கள் இவைதான், ஆனால் இவை அனைத்தும் உங்களுக்குத் தேவையில்லை.
கொதிக்கும் நீரில் ஒரு கிண்ணத்தில் உருகிய மிட்டாய் உருகல்கள்/மிட்டாய் பூச்சு (இரட்டை கொதி).
மிட்டாய் பூச்சு மிகவும் தடிமனாக இருந்தால், சரியான நிலைத்தன்மையைப் பெற நீங்கள் 1/2-1 தேக்கரண்டி சுவையற்ற எண்ணெயைச் சேர்க்கலாம். மிட்டாய் பூச்சு மென்மையாகவும் திரவமாகவும் இருக்க வேண்டும்.
இப்போது மிட்டாய் பூச்சு தயாராக உள்ளது. குளிர்சாதன பெட்டியில் இருந்து கேக் பந்துகளை எடுக்கவும். லாலிபாப் குச்சியை மிட்டாய் உருகலில் சுமார் 1 செ.மீ. நனைத்து, கேக் பந்துகளில் பாதி தூரம் செருகவும். பந்துகள் விரிசல் அல்லது உடைந்து விடும் என்பதால் அதை முழுமையாக செருக வேண்டாம். கேக் பந்தில் குச்சியைச் செருகிய பிறகு, கேக் பந்துகளுடன் லாலிபாப் குச்சியை உலர்த்துவதற்காக ஸ்டைரோஃபோமில் செருகவும்.
அது காய்ந்த பிறகு, கேக் பந்துகளை ஒவ்வொன்றாக மிட்டாய் பூச்சுக்குள் நனைத்து, அதிகப்படியான பூச்சு மீண்டும் மிட்டாய் கலவையில் விழும்படி அதைத் தூக்கவும்.
சீரான பூச்சு பெற உங்கள் கையால் அதைப் பிடித்துக் கொண்ட பாப்ஸை மெதுவாகத் திருப்பவும். பின்னர் நீங்கள் இன்னும் ஈரமாக இருக்கும் கேக் பாப்ஸில் மிட்டாய் ஸ்பிரிங்க்களைத் தெளிக்கலாம்/வைக்கலாம்.
மிட்டாய் ஸ்பிரிங்க்களைத் தெளித்த பிறகு, கேக் பாப்ஸ் முழுமையாக உலர ஸ்டைரோஃபோமில் செருகவும்.
கேக் பாப்ஸை அலங்கரிக்க நீங்கள் நன்றாக நறுக்கிய கொட்டைகள், பளபளக்கும் சர்க்கரை, உண்ணக்கூடிய மினுமினுப்புகள் போன்றவற்றைப் பயன்படுத்தலாம்.
அவை உலர்ந்ததும், கேக் பாப்ஸை அலங்கரிக்க நீங்கள் எந்த உண்ணக்கூடிய அலங்காரத்தையும் பயன்படுத்தலாம்.
ஒரு டூத்பிக் மூலம், ஈரமாக இருக்கும்போது மிட்டாய் பூச்சு ஒரு ஹேரி விளைவைக் கொடுக்க நான் லேசாக வெளியே இழுக்கிறேன், இந்த மான்ஸ்டருக்கு நான் மிட்டாய் கண்களைப் பயன்படுத்தியிருக்கிறேன். அவை அழகாக இருக்கின்றன இல்லையா.
உங்களுக்கு வெவ்வேறு வண்ண மிட்டாய் உருகல்கள் கிடைக்கும். நீங்கள் எந்த வண்ண மிட்டாய் உருகல்களையும் பயன்படுத்தி அதே முறையில் தயாரிக்கலாம்.</t>
  </si>
  <si>
    <t>https://encrypted-tbn0.gstatic.com/images?q=tbn:ANd9GcQcvGGeXgsY9shbAI_ap41QC3AVQXiNvITWhA&amp;s</t>
  </si>
  <si>
    <t xml:space="preserve">   Cake Flour – 1/2 cup,)
   Unsweetend Cocoa powder – 1/3 cup ,
   Salt – 1/4 tsp,
   Egg – 4 large,
   Granulated white sugar – 2/3 cup,
   Vanilla extract – 1 tsp,
   Unsalted butter – 3 tbsp ,
   Whipped Cream powder – 3 packets,
   Cold water – 18 tbsp,
   Vanilla essence – 1 tsp,
   Cherries,
   Canned Cherries – 1 cup,
   Cherry syrup – 1/2 cup.</t>
  </si>
  <si>
    <t>கேக் மாவு - 1/2 கப்,)
இனிப்பு சேர்க்காத கோகோ பவுடர் - 1/3 கப்,
உப்பு - 1/4 டீஸ்பூன்,
முட்டை - 4 பெரியது,
கிரானுலேட்டட் வெள்ளை சர்க்கரை - 2/3 கப்,
வெண்ணிலா சாறு - 1 டீஸ்பூன்,
உப்பு சேர்க்காத வெண்ணெய் - 3 டீஸ்பூன்,
விப்ட் க்ரீம் பவுடர் - 3 பாக்கெட்டுகள்,
குளிர்ந்த நீர் - 18 டீஸ்பூன்,
வெண்ணிலா எசன்ஸ் - 1 டீஸ்பூன்,
செர்ரி பழங்கள்,
கேன் செய்யப்பட்ட செர்ரி பழங்கள் - 1 கப்,
செர்ரி சிரப் - 1/2 கப்.</t>
  </si>
  <si>
    <t>Grease and flour the baking pan. Line it with parchment paper or wax paper.
Keep all the ingredients ready.
Preheat the oven at 180 degree C (350 degree F).
Sift together cake flour, salt and cocoa powder and keep it aside.
Break eggs into a bowl, add granulated white sugar and whisk it well.
Bring water to boil in a vessel and then simmer. Double boil the egg + sugar mixture over the vessel of simmering water, whisking constantly. Continue until the egg + sugar mixture is lukewarm (about 3-5 minutes). If you do not stir continously, you will end up with scrambled eggs, so stir continuously. Make sure the egg mixture is lukewarm.
Remove from heat and transfer to a mixing bowl.
Beat on high speed using an electric beater for approximately 5 minutes until the mixture is thick.
The batter should fall back into the bowl in a ribbon-like pattern and should slowly mix with the rest of the batter. Add vanilla extract and mix well.
The egg mixture is now thick and soft. Now we are going to add the flour mixture in 3 additions.
Sift about 1/3 cup of the flour mixture into the above egg + sugar mixture. (1st addition)
Using a wire whisk or rubber spatula, mix the flour with the egg mixture gently using big strokes.
Sift another 1/3 cup of the flour into the egg mixture and fold in gently. (2nd addition)
Sift the rest of the flour into the egg mixture and fold in gently with a spatula. (3rd addition)
second and third addition of flour 
Melt butter. Butter should be lukewarm.
Butter and the batter are kept ready below.
melted butter and batter 
Add 1 cup of the batter to the butter (to lighten it) and mix well.
mixing a little batter with butter 
Now gently fold the above mixture with the rest of batter. Now our chocolate genoise batter is ready.
Pour it into the parchment lined baking pan and tap it for the batter to settle evenly.
Bake in a preheated oven at 180 degree C for 20-25 minutes or until a toothpick inserted into the center of the cake comes out clean or the cake just leaves the sides of the pan.
While the cake is baking, we will prepare the cherries. I have used Premium Dara Red cherries.
Drain the cherries. Reserve the liquid. This is the cherry syrup. Discard the seeds and the stalk of the cherries and chop it. Keep it aside. Reserve some cherries with the stalk for final decoration. Our cherries are also ready.
Let us check the cake now – The cake is done.
The cake has left the sides of the pan as you can see in the picture below. Cool on a wire rack before removing it from the pan.
Once it has cooled, invert it on a plate, remove the parchment paper gently, turn over the cake and set it aside.
I used three 50 gram packets of Blue Bird whipped cream powder. If you use any other brand, follow the instructions on the packet. Before preparing the whipping cream, chill the bowl and the whisk in the refrigerator for 10 mins.
Place the chilled bowl in which you are going to prepare the whipped cream over a bowl of ice cold water.
Add the whipped cream powder into the chilled bowl.
Add 18 tbsp of ice cold water and mix well.
adding cold water to whipped cream powder 
Beat the mixture with an electric hand mixer for 3 minutes at high speed just until stiff peaks. Do not over beat as it might turn into butter.
Fold in vanilla essence. Add 1 tbsp (or as per your taste) of powdered sugar to the whipped cream, if required. Now our whipped cream is ready. Refrigerate until use.
how to make whipped cream with whipped cream powder 
Using a sharp knife, cut the cake horizontally into 2 layers. Turn over the top layer and place it on a plate or a cake board or cake stand on which you are going to assemble the cake. Now, the top of the cake becomes the bottom.
Brush or spoon 1/4 cup of the cherry liquid (the liquid we reserved from the cherry tin) all over the cake.
Take 3/4 – 1 cup of the whipped cream and spread it on the moistened cake.
Spread the whipped cream evenly on top of the cake. Now place the chopped cherries evenly over the whipped cream.
Moisten the second layer of cake (cut part) using a brush or a spoon with 1/4 cup of the liquid reserved from the cherry container (cherry syrup).
Then place it over the cherries with the moistened side down. Gently press the cake for it to be compact. Now spoon or brush 2 tbsp of liquid (cherry syrup) on top of the cake.
pouring cherry syrup 
Spread the chilled whipped cream to cover the top and sides of the cake evenly as seen in the picture below.
Now place the rest of the chilled whipped cream into an icing bag or container and pipe .</t>
  </si>
  <si>
    <t>பேக்கிங் பாத்திரத்தில் கிரீஸ் தடவி மாவு தடவவும். அதை காகிதத்தோல் அல்லது மெழுகு காகிதத்தால் வரிசைப்படுத்தவும்.
அனைத்து பொருட்களையும் தயாராக வைக்கவும்.
அடுப்பை 180 டிகிரி செல்சியஸ் (350 டிகிரி எஃப்) க்கு முன்கூட்டியே சூடாக்கவும்.
கேக் மாவு, உப்பு மற்றும் கோகோ பவுடரை ஒன்றாக சலித்து ஒதுக்கி வைக்கவும்.
ஒரு பாத்திரத்தில் முட்டைகளை உடைத்து,கிரானுலேட்டட் வெள்ளை சர்க்கரையைச் சேர்த்து நன்கு கிளறவும்.
ஒரு பாத்திரத்தில் தண்ணீரை கொதிக்க வைத்து பின்னர் கொதிக்க வைக்கவும். முட்டை + சர்க்கரை கலவையை கொதிக்கும் நீரின் பாத்திரத்தில் வைத்து, தொடர்ந்து கிளறிக்கொண்டே இருமுறை கொதிக்க விடுங்கள். முட்டை + சர்க்கரை கலவை வெதுவெதுப்பானதாக ஆகும் வரை (சுமார் 3-5 நிமிடங்கள்) தொடர்ந்து கொதிக்க விடுங்கள். நீங்கள் தொடர்ந்து கிளறவில்லை என்றால், துருவல் முட்டைகள் கிடைக்கும், எனவே தொடர்ந்து கிளறவும். முட்டை கலவை வெதுவெதுப்பாக இருப்பதை உறுதிப்படுத்திக் கொள்ளுங்கள்.
அடுப்பிலிருந்து நீக்கி ஒரு கலவை கிண்ணத்திற்கு மாற்றவும்.
கலவை கெட்டியாகும் வரை மின்சார பீட்டரைப் பயன்படுத்தி சுமார் 5 நிமிடங்கள் அதிவேகத்தில் அடிக்கவும்.
மாவு மீண்டும் கிண்ணத்தில் ரிப்பன் போன்ற வடிவத்தில் விழ வேண்டும், மேலும் மீதமுள்ள மாவுடன் மெதுவாக கலக்க வேண்டும். வெண்ணிலா சாற்றைச் சேர்த்து நன்றாக கலக்கவும்.
முட்டை கலவை இப்போது கெட்டியாகவும் மென்மையாகவும் உள்ளது. இப்போது மாவு கலவையை 3 முறை சேர்க்கப் போகிறோம்.
மேலே உள்ள முட்டை + சர்க்கரை கலவையில் சுமார் 1/3 கப் மாவு கலவையை சலிக்கவும். (முதல் சேர்க்கை)
ஒரு கம்பி துடைப்பம் அல்லது ரப்பர் ஸ்பேட்டூலாவைப் பயன்படுத்தி, பெரிய அடிகளைப் பயன்படுத்தி மாவை முட்டை கலவையுடன் மெதுவாக கலக்கவும்.
இன்னும் 1/3 கப் மாவை முட்டை கலவையில் சலிக்கவும், மெதுவாக மடிக்கவும். (2வது சேர்க்கை)
மீதமுள்ள மாவை முட்டை கலவையில் சலிக்கவும், மெதுவாக ஒரு ஸ்பேட்டூலாவைப் பயன்படுத்தி மடிக்கவும். (3வது சேர்க்கை)
இரண்டாவது மற்றும் மூன்றாவது மாவு சேர்க்கவும்
வெண்ணெய் உருகவும். வெண்ணெய் வெதுவெதுப்பாக இருக்க வேண்டும்.
வெண்ணெய் மற்றும் மாவு கீழே தயாராக வைக்கப்பட்டுள்ளது.
உருகிய வெண்ணெய் மற்றும் மாவு சேர்க்கவும்
வெண்ணெயில் 1 கப் மாவைச் சேர்த்து (அதை லேசாக மாற்ற) நன்கு கலக்கவும்.
வெண்ணெயுடன் சிறிது மாவை கலக்கவும்
இப்போது மேற்கண்ட கலவையை மீதமுள்ள மாவுடன் மெதுவாக மடிக்கவும். இப்போது எங்கள் சாக்லேட் ஜெனோயிஸ் மாவு தயாராக உள்ளது.
பேக்கிங் பேக்கில் அதை ஊற்றி, மாவு சமமாக படியும் வரை தட்டவும்.
180 டிகிரி செல்சியஸில் முன்கூட்டியே சூடேற்றப்பட்ட அடுப்பில் 20-25 நிமிடங்கள் அல்லது கேக்கின் மையத்தில் செருகப்பட்ட ஒரு டூத்பிக் சுத்தமாக வெளியே வரும் வரை அல்லது கேக் பாத்திரத்தின் பக்கங்களை விட்டு வெளியேறும் வரை சுடவும்.
கேக் சுடும்போது, ​​நாங்கள் செர்ரிகளை தயார் செய்வோம். நான் பிரீமியம் தாரா ரெட் செர்ரிகளைப் பயன்படுத்தினேன்.
செர்ரிகளை வடிகட்டவும். திரவத்தை ஒதுக்கி வைக்கவும். இது செர்ரி சிரப். செர்ரிகளின் விதைகள் மற்றும் தண்டை நீக்கி நறுக்கவும். அதை ஒதுக்கி வைக்கவும். இறுதி அலங்காரத்திற்காக சில செர்ரிகளை தண்டுடன் ஒதுக்கி வைக்கவும். எங்கள் செர்ரிகளும் தயாராக உள்ளன.
இப்போது கேக்கை சரிபார்ப்போம் - கேக் தயாராக உள்ளது.
கேக் கீழே உள்ள படத்தில் நீங்கள் காணக்கூடியது போல், பாத்திரத்தின் பக்கங்களை விட்டு வெளியேறிவிட்டது. பாத்திரத்திலிருந்து அகற்றுவதற்கு முன் ஒரு கம்பி ரேக்கில் குளிர்விக்கவும்.
அது குளிர்ந்ததும், அதை ஒரு தட்டில் திருப்பி, காகிதத்தோலை மெதுவாக அகற்றி, கேக்கைத் திருப்பி ஒதுக்கி வைக்கவும்.
நான் ப்ளூ பேர்ட் விப் க்ரீம் பவுடரின் மூன்று 50 கிராம் பாக்கெட்டுகளைப் பயன்படுத்தினேன். நீங்கள் வேறு எந்த பிராண்டையும் பயன்படுத்தினால், பாக்கெட்டில் உள்ள வழிமுறைகளைப் பின்பற்றவும். விப்பிங் க்ரீம் தயாரிப்பதற்கு முன், கிண்ணத்தையும் விப் க்ரீமையும் 10 நிமிடங்கள் குளிர்விக்கவும்.
நீங்கள் விப் க்ரீம் தயாரிக்கப் போகும் குளிர்ந்த கிண்ணத்தை ஒரு கிண்ணம் ஐஸ் குளிர்ந்த நீரின் மீது வைக்கவும்.
குளிர்ந்த கிண்ணத்தில் விப் க்ரீம் பவுடரைச் சேர்க்கவும்.
18 தேக்கரண்டி ஐஸ் குளிர்ந்த நீரைச் சேர்த்து நன்கு கலக்கவும்.
விப் க்ரீம் பவுடரில் குளிர்ந்த நீரைச் சேர்க்கவும்
கலவையை மின்சார கை மிக்சியைப் பயன்படுத்தி 3 நிமிடங்கள் அதிவேகத்தில் கெட்டியாகும் வரை அடிக்கவும். அதிகமாக அடிக்க வேண்டாம், ஏனெனில் அது வெண்ணெயாக மாறக்கூடும்.
வெண்ணிலா எசென்ஸை மடிக்கவும். தேவைப்பட்டால், விப் க்ரீமில் 1 டீஸ்பூன் (அல்லது உங்கள் சுவைக்கு ஏற்ப) தூள் சர்க்கரையைச் சேர்க்கவும். இப்போது எங்கள் விப் க்ரீம் தயாராக உள்ளது. பயன்படுத்தும் வரை குளிர்சாதன பெட்டியில் வைக்கவும்.
விப் க்ரீம் பவுடருடன் விப் க்ரீம் செய்வது எப்படி
கூர்மையான கத்தியைப் பயன்படுத்தி, கேக்கை கிடைமட்டமாக 2 அடுக்குகளாக வெட்டுங்கள். மேல் அடுக்கைத் திருப்பி, நீங்கள் கேக்கை அசெம்பிள் செய்யப் போகும் ஒரு தட்டு அல்லது கேக் போர்டு அல்லது கேக் ஸ்டாண்டில் வைக்கவும். இப்போது, ​​கேக்கின் மேற்பகுதி அடிப்பகுதியாக மாறும்.
1/4 கப் செர்ரி திரவத்தை (செர்ரி டின்னில் இருந்து நாம் ஒதுக்கிய திரவம்) துலக்கவும் அல்லது ஸ்பூன் செய்யவும்.
3/4 - 1 கப் விப் க்ரீமை எடுத்து ஈரப்பதமான கேக்கில் பரப்பவும்.
கேக்கின் மேல் விப் க்ரீமை சமமாகப் பரப்பவும். இப்போது நறுக்கிய செர்ரிகளை விப் க்ரீமின் மேல் சமமாக வைக்கவும்.
கேக்கின் இரண்டாவது அடுக்கை (வெட்டிய பகுதி) ஒரு தூரிகை அல்லது கரண்டியால் செர்ரி கொள்கலனில் இருந்து (செர்ரி சிரப்) ஒதுக்கப்பட்ட 1/4 கப் திரவத்துடன் ஈரப்படுத்தவும்.
பின்னர் அதை செர்ரிகளின் மேல் ஈரப்படுத்தப்பட்ட பக்கவாட்டில் வைக்கவும். கேக் கச்சிதமாக இருக்க மெதுவாக அழுத்தவும். இப்போது கேக்கின் மேல் 2 தேக்கரண்டி திரவத்தை (செர்ரி சிரப்) கரண்டியால் அல்லது துலக்கவும்.
செர்ரி சிரப்பை ஊற்றவும்
கீழே உள்ள படத்தில் காட்டப்பட்டுள்ளபடி, கேக்கின் மேல் மற்றும் பக்கங்களை சமமாக மூடுவதற்கு குளிர்ந்த விப் க்ரீமை தெளிக்கவும்.
இப்போது மீதமுள்ள குளிர்ந்த விப் க்ரீமை ஒரு ஐசிங் பை அல்லது கொள்கலன் மற்றும் பைப்பில் வைக்கவும்.</t>
  </si>
  <si>
    <t>https://encrypted-tbn0.gstatic.com/images?q=tbn:ANd9GcTcxxb0E--d2bKmiQk4e-AlysSbQz9uY14x4g&amp;s</t>
  </si>
  <si>
    <t>Meringue Cookies</t>
  </si>
  <si>
    <t>மெரிங்க்யூ குக்கீகள்</t>
  </si>
  <si>
    <t xml:space="preserve">   Egg white – 2,
   Salt – a pinch,
   Granulated white Sugar – 1/2 cup,
   Green Food color – few drops,
   Piping bag,
   Sprinkles, 
   Silver balls.</t>
  </si>
  <si>
    <t>முட்டையின் வெள்ளைக்கரு - 2,
உப்பு - ஒரு சிட்டிகை,
கிரானுலேட்டட் வெள்ளை சர்க்கரை - 1/2 கப்,
பச்சை உணவு நிறம் - சில துளிகள்,
பைப்பிங் பை,
ஸ்பிரிங்க்ஸ்,
வெள்ளி பந்துகள்.</t>
  </si>
  <si>
    <t>Using an electric beater, beat the egg whites on medium speed until frothy.
Add salt and continue to beat the eggs until you get soft peaks.
beating eggs 
Once you get soft peaks, add sugar little at a time and continue to beat on medium high until you get stiff peaks.
Add vanilla extract and mix well.
beating eggs until stiff peaks 
Add green color to the batter and mix well. (as we are making Christmas tree, I have added green color). Our meringue batter is ready.
Before piping the cookies on the parchment paper, just stick the parchment paper by applying a little meringue mixture on the underside of each corner of the paper to prevent the paper from sliding.
Transfer the meringue mixture into an icing bag. Using a large star or round shaped nozzle, pipe the mixture directly on the parchment paper as shown below like Xmas tree.
Then place sprinkles or silver balls on the tree as you like.
Bake the meringues at 95 degrees C for approximately 1 1/2 to 1 3/4 hours or until fairly crisp.
Turn off the oven and leave the meringue cookies in the oven (with door slightly open) for several hours or overnight to dry completely.
Dust them with powdered sugar to create a snow effect. Place star sprinkles on top using a little frosting. Our Christmas Meringue Cookies are ready. They make great Christmas gifts.</t>
  </si>
  <si>
    <t>மின்சார பீட்டரைப் பயன்படுத்தி, முட்டையின் வெள்ளைக்கருவை நடுத்தர வேகத்தில் நுரை வரும் வரை அடிக்கவும்.
உப்பு சேர்த்து, மென்மையான சிகரங்களைப் பெறும் வரை முட்டைகளை அடிக்கவும்.
முட்டைகளை அடிக்கவும்
மென்மையான சிகரங்களைப் பெற்றவுடன், ஒரு நேரத்தில் சிறிது சர்க்கரையைச் சேர்த்து, கடினமான சிகரங்களைப் பெறும் வரை நடுத்தர உயரத்தில் அடிக்கவும்.
வெண்ணிலா சாற்றைச் சேர்த்து நன்கு கலக்கவும்.
முட்டைகளை கடினமான சிகரங்களைப் பெறும் வரை அடிக்கவும்
மாவில் பச்சை நிறத்தைச் சேர்த்து நன்கு கலக்கவும். (நாங்கள் கிறிஸ்துமஸ் மரத்தை உருவாக்குகிறோம், நான் பச்சை நிறத்தைச் சேர்த்துள்ளேன்). எங்கள் மெரிங்க்யூ மாவு தயாராக உள்ளது.
குக்கீகளை காகிதத்தோல் காகிதத்தில் பைப் செய்வதற்கு முன், காகிதம் நழுவுவதைத் தடுக்க காகிதத்தின் ஒவ்வொரு மூலையின் அடிப்பகுதியிலும் சிறிது மெரிங்க்யூ கலவையைப் பயன்படுத்துவதன் மூலம் காகிதத்தோல் காகிதத்தை ஒட்டவும்.
மெரிங்க்யூ கலவையை ஒரு ஐசிங் பையில் மாற்றவும். ஒரு பெரிய நட்சத்திரம் அல்லது வட்ட வடிவ முனையைப் பயன்படுத்தி, கீழே காட்டப்பட்டுள்ளபடி, கிறிஸ்துமஸ் மரம் போல, கலவையை நேரடியாக காகிதத்தோலில் வைக்கவும்.
பின்னர் நீங்கள் விரும்பியபடி மரத்தில் ஸ்பிரிங்க்ள்ஸ் அல்லது வெள்ளி பந்துகளை வைக்கவும்.
மெரிங்க்யூக்களை 95 டிகிரி செல்சியஸில் சுமார் 1 1/2 முதல் 1 3/4 மணி நேரம் அல்லது மிகவும் மொறுமொறுப்பாக இருக்கும் வரை சுடவும்.
அடுப்பை அணைத்து, மெரிங்க்யூ குக்கீகளை அடுப்பில் (கதவு சிறிது திறந்திருக்கும்) பல மணி நேரம் அல்லது இரவு முழுவதும் முழுமையாக உலர வைக்கவும்.
பனி விளைவை உருவாக்க அவற்றை தூள் சர்க்கரையுடன் தூவவும். சிறிது உறைபனியைப் பயன்படுத்தி மேலே ஸ்டார் ஸ்பிரிங்க்ள்களை வைக்கவும். எங்கள் கிறிஸ்துமஸ் மெரிங்க்யூ குக்கீகள் தயாராக உள்ளன. அவை சிறந்த கிறிஸ்துமஸ் பரிசுகளை வழங்குகின்றன.</t>
  </si>
  <si>
    <t>https://i0.wp.com/poshlittledesigns.com/wp-content/uploads/2012/04/Easter-Meringues-13.jpg?fit=800%2C1200&amp;ssl=1</t>
  </si>
  <si>
    <t>Chocolate Coconut Macaroons</t>
  </si>
  <si>
    <t>சாக்லேட் தேங்காய் மக்ரூன்கள்</t>
  </si>
  <si>
    <t xml:space="preserve">   Eggs – 2 ,
   Granulated white sugar – 1/2 cup,
   Salt – a pinch,
   Unsweetened desiccated coconut – 1 1/2 cup,
   Vanilla extract – 1/2 tsp,
   Semi sweet chocolate – 1/2 cup grated,
   Unsalted butter – 1/2 tsp.</t>
  </si>
  <si>
    <t>முட்டைகள் - 2,
தூளாக்கப்பட்ட வெள்ளை சர்க்கரை - 1/2 கப்,
உப்பு - ஒரு சிட்டிகை,
இனிப்பு சேர்க்காத உலர் தேங்காய் - 1 1/2 கப்,
வெண்ணிலா சாறு - 1/2 தேக்கரண்டி,
அரை இனிப்பு சாக்லேட் - 1/2 கப் துருவியது,
உப்பு சேர்க்காத வெண்ணெய் - 1/2 தேக்கரண்டி.</t>
  </si>
  <si>
    <t>In a bowl, beat eggs until foamy.
Add sugar, salt and vanilla extract and mix well. Add  dry coconut and mix until well combined.
Using a small ice cream scoop, place the mixture by 1/2 a tablespoonful, one inch apart on the parchment-lined baking sheet.
Bake in a preheated oven for 15-20 minutes or until slightly golden brown. After the first 10 minutes of baking, rotate the pan and then continue to bake.
Remove the macaroons from the oven and place it on a wire rack to cool.
Melt grated or chopped chocolate over a pot of simmering water, stirring until the chocolate is nice, smooth and melted.
When the chocolate is lukewarm, dip the bottom of each macaroons into the chocolate. Place the chocolate dipped macaroons with the chocolate side down on the parchment lined baking tray to dry.
Using a spoon, you can drizzle chocolate on top of the macaroons, if preferred. Let the macaroons sit until the chocolate has dried.
Remove from the parchment paper once the chocolate has dried and then enjoy!!</t>
  </si>
  <si>
    <t>ஒரு கிண்ணத்தில், முட்டைகளை நுரை வரும் வரை அடிக்கவும்.
சர்க்கரை, உப்பு மற்றும் வெண்ணிலா சாறு சேர்த்து நன்கு கலக்கவும். உலர்ந்த தேங்காயைச் சேர்த்து நன்கு கலக்கும் வரை கலக்கவும்.
ஒரு சிறிய ஐஸ்கிரீம் ஸ்கூப்பைப் பயன்படுத்தி, கலவையை 1/2 தேக்கரண்டி அளவு, காகிதத்தோல் வரிசையாக அமைக்கப்பட்ட பேக்கிங் தாளில் ஒரு அங்குல இடைவெளியில் வைக்கவும்.
முன்கூட்டியே சூடேற்றப்பட்ட அடுப்பில் 15-20 நிமிடங்கள் அல்லது சிறிது தங்க பழுப்பு வரை சுடவும். பேக்கிங் செய்த முதல் 10 நிமிடங்களுக்குப் பிறகு, பாத்திரத்தை சுழற்றி, பின்னர் தொடர்ந்து சுடவும்.
அடுப்பிலிருந்து மக்ரூன்களை அகற்றி, குளிர்விக்க ஒரு கம்பி ரேக்கில் வைக்கவும்.
ஒரு பாத்திரத்தில் துருவிய அல்லது நறுக்கிய சாக்லேட்டை கொதிக்கும் நீரில் உருக்கி, சாக்லேட் நன்றாக, மென்மையாகவும், உருகும் வரை கிளறவும்.
சாக்லேட் வெதுவெதுப்பான நிலையில் இருக்கும்போது, ​​ஒவ்வொரு மக்ரூன்களின் அடிப்பகுதியையும் சாக்லேட்டில் நனைக்கவும். சாக்லேட் நனைத்த மக்ரூன்களை, சாக்லேட் பக்கவாட்டில் கீழே வைத்து, உலர வைக்கவும்.
விரும்பினால், ஒரு கரண்டியைப் பயன்படுத்தி, மக்ரூன்களின் மேல் சாக்லேட்டைத் தூவலாம். மக்ரூன்களை சாக்லேட் காய்ந்த வரை அப்படியே வைக்கவும்.
சாக்லேட் காய்ந்தவுடன், அதை காகிதத்தோலில் இருந்து எடுத்து, பின்னர் மகிழுங்கள்!!</t>
  </si>
  <si>
    <t>https://encrypted-tbn0.gstatic.com/images?q=tbn:ANd9GcT5t80GBwALoCqC3bm-NFvd0yEd2xM0B5MSbg&amp;s</t>
  </si>
  <si>
    <t>Coconut Macaroons</t>
  </si>
  <si>
    <t>தேங்காய் மக்ரூன்கள்</t>
  </si>
  <si>
    <t xml:space="preserve">   Eggs – 2,
   Granulated white sugar – 1/2 cup,
   Salt – a pinch,
   Vanilla extract – 1/2 tsp,
   Unsweetened desiccated coconut – 1 1/2 cup.</t>
  </si>
  <si>
    <t>முட்டைகள் - 2,
தூள் வெள்ளை சர்க்கரை - 1/2 கப்,
உப்பு - ஒரு சிட்டிகை,
வெண்ணிலா சாறு - 1/2 தேக்கரண்டி,
இனிக்காத உலர் தேங்காய் - 1 1/2 கப்.</t>
  </si>
  <si>
    <t>In a large bowl, beat eggs until frothy.
Add powdered sugar and salt to the egg mixture.
adding sugar and salt 
Add vanilla extract and mix well until combined with a wire whisk or a fork.
Add desiccated coconut and mix well.
Drop the mixture by 1/2 a tablespoonful, one inch apart on the parchment-lined baking sheet.
Bake at 180 degree C (bottom coil – 15-20 mins and finally top coil for just 1 or 2 minutes to give a nice brown shade on the top) for 15-20 minutes or until golden brown. After 10 minutes of baking, rotate the tray and continue to bake until done. This is done so that the macaroons will get baked evenly.
Remove from the oven and cool for 10 minutes. Then place it on a wire rack to cool. They taste excellent when warm from the oven.</t>
  </si>
  <si>
    <t>ஒரு பெரிய கிண்ணத்தில், நுரை வரும் வரை முட்டைகளை அடிக்கவும்.
முட்டை கலவையில் பொடித்த சர்க்கரை மற்றும் உப்பு சேர்க்கவும்.
சர்க்கரை மற்றும் உப்பு சேர்க்கவும்
வெண்ணிலா சாறு சேர்த்து ஒரு கம்பி துடைப்பம் அல்லது முட்கரண்டி கொண்டு கலக்கும் வரை நன்கு கலக்கவும்.
உலர்ந்த தேங்காயைச் சேர்த்து நன்கு கலக்கவும்.
கலவையை காகிதத்தோல் பூசப்பட்ட பேக்கிங் தாளில் 1/2 தேக்கரண்டி அளவுக்கு ஒரு அங்குல இடைவெளியில் விடவும்.
180 டிகிரி செல்சியஸில் (கீழ் சுருள் - 15-20 நிமிடங்கள் மற்றும் இறுதியாக மேல் சுருள் 1 அல்லது 2 நிமிடங்கள் மேலே ஒரு நல்ல பழுப்பு நிற நிழலைப் பெற) 15-20 நிமிடங்கள் அல்லது தங்க பழுப்பு வரை சுடவும். 10 நிமிடங்கள் பேக்கிங் செய்த பிறகு, தட்டைச் சுழற்றி, முடியும் வரை தொடர்ந்து சுடவும். இதனால் மக்ரூன்கள் சமமாக சுடப்படும்.
அடுப்பிலிருந்து இறக்கி 10 நிமிடங்கள் குளிர வைக்கவும். பின்னர் அதை குளிர்விக்க ஒரு கம்பி ரேக்கில் வைக்கவும். அடுப்பிலிருந்து சூடாகும்போது அவை மிகவும் சுவையாக இருக்கும்.</t>
  </si>
  <si>
    <t>https://encrypted-tbn0.gstatic.com/images?q=tbn:ANd9GcQIAVGx2au7SQ2kjvArddWJN45CxrJXV3KexA&amp;s</t>
  </si>
  <si>
    <t>Eggless Tutti Frutti Cookies</t>
  </si>
  <si>
    <t>முட்டை இல்லாத டுட்டி ஃப்ருட்டி குக்கீகள்</t>
  </si>
  <si>
    <t xml:space="preserve">   Unsalted butter – 110 grams,
   Sugar - 1/3 cup ,
   All purpose flour - 150 grams,
   Salt – a pinch,
   Vanilla essence – 1/2 tsp,
   Orange zest - 1/2 tsp,
   Cashew nuts – 1/4 cup,
   Tutti Frutti – 1/2 cup.</t>
  </si>
  <si>
    <t>உப்பு சேர்க்காத வெண்ணெய் - 110 கிராம்,
சர்க்கரை - 1/3 கப்,
அனைத்து வகையான மாவு - 150 கிராம்,
உப்பு - ஒரு சிட்டிகை,
வெண்ணிலா எசன்ஸ் - 1/2 தேக்கரண்டி,
ஆரஞ்சு தோல் - 1/2 தேக்கரண்டி,
முந்திரி பருப்பு - 1/4 கப்,
டுட்டி ஃப்ருட்டி - 1/2 கப்.</t>
  </si>
  <si>
    <t>Cream together butter and sugar until fluffy.
Add chopped cashew nuts, vanilla essence, orange zest and tutti frutti. Mix well with a spatula.
Add flour and make a dough. Mold it into a cylinder or cuboid. The dough will be very soft. If you are unable to mold it, refrigerate for 10 minutes and then mold it. Suppose if the dough is crumbly, you can add a little milk.
Wrap it in a butter paper or cling wrap and refrigerate again for 1 1/2 – 2 hours.
Take the dough from the refrigerator and cut it into slices 3/4 cm thickness.
Arrange the slices in parchment paper lined tray leaving enough space between the cookies and bake in a pre-heated oven at 180 degree C for 20 minutes or until the edges starts to brown.
Cool it over a wire rack and enjoy. The cookies will be soft once you take out of the oven. As it cools it will be perfect.</t>
  </si>
  <si>
    <t>வெண்ணெய் மற்றும் சர்க்கரையை ஒன்றாக சேர்த்து பஞ்சுபோன்ற வரை க்ரீம் செய்யவும்.
நறுக்கிய முந்திரி, வெண்ணிலா எசன்ஸ், ஆரஞ்சு தோல் மற்றும் டுட்டி ஃப்ருட்டி ஆகியவற்றைச் சேர்க்கவும். ஒரு ஸ்பேட்டூலாவுடன் நன்றாக கலக்கவும்.
மாவைச் சேர்த்து ஒரு மாவை உருவாக்கவும். அதை ஒரு உருளை அல்லது கனசதுரமாக வார்க்கவும். மாவு மிகவும் மென்மையாக இருக்கும். உங்களால் அதை வடிவமைக்க முடியாவிட்டால், 10 நிமிடங்கள் குளிர்சாதன பெட்டியில் வைத்து பின்னர் வார்க்கவும். மாவு நொறுங்கியிருந்தால், சிறிது பால் சேர்க்கலாம் என்று வைத்துக்கொள்வோம்.
அதை ஒரு வெண்ணெய் காகிதத்தில் அல்லது கிளிங் ரேப்பில் சுற்றி மீண்டும் 1 1/2 - 2 மணி நேரம் குளிர்சாதன பெட்டியில் வைக்கவும்.
குளிர்சாதன பெட்டியில் இருந்து மாவை எடுத்து 3/4 செ.மீ தடிமன் கொண்ட துண்டுகளாக வெட்டவும்.
குக்கீகளுக்கு இடையில் போதுமான இடைவெளி விட்டு, காகிதத்தோல் மூடப்பட்ட தட்டில் துண்டுகளை அடுக்கி, 180 டிகிரி செல்சியஸில் முன்கூட்டியே சூடாக்கப்பட்ட அவனில் 20 நிமிடங்கள் அல்லது விளிம்புகள் பழுப்பு நிறமாகத் தொடங்கும் வரை சுடவும்.
ஒரு கம்பி ரேக்கில் குளிர்வித்து மகிழுங்கள். நீங்கள் அடுப்பிலிருந்து எடுத்தவுடன் குக்கீகள் மென்மையாக இருக்கும். அது குளிர்ந்ததும் அது சரியானதாக இருக்கும்.</t>
  </si>
  <si>
    <t>https://encrypted-tbn0.gstatic.com/images?q=tbn:ANd9GcSH28KQNrAgOmNYhaIbMiui4AYEHVSKC3v9gA&amp;s</t>
  </si>
  <si>
    <t>Eggless Cashew nut Biscuits</t>
  </si>
  <si>
    <t>முட்டை இல்லாத முந்திரி பிஸ்கட்கள்</t>
  </si>
  <si>
    <t xml:space="preserve">   All purpose flour – 1 1/4 cup,
   Granulated sugar – 1/2 cup,
   Unsalted butter – 100 grams,
   Coarsely ground cashew nuts – 1/2 cup,
   Chopped cashew nuts – 1/4 cup,
   Vanilla essence – 1/4 tsp,
   Baking powder – 1/2 tsp.</t>
  </si>
  <si>
    <t>அனைத்து வகையான மாவு - 1 1/4 கப்,
தூள் சர்க்கரை - 1/2 கப்,
உப்பு சேர்க்காத வெண்ணெய் - 100 கிராம்,
கரடுமுரடான அரைத்த முந்திரி பருப்பு - 1/2 கப்,
நறுக்கிய முந்திரி பருப்பு - 1/4 கப்,
வெண்ணிலா எசன்ஸ் - 1/4 டீஸ்பூன்,
பேக்கிங் பவுடர் - 1/2 டீஸ்பூன்.</t>
  </si>
  <si>
    <t>Cream together butter and sugar until fluffy. I used an electric beater for this.
Add vanilla essence, coarsely ground cashew nuts and mix well.
kaju cookies 
Add flour and make a soft dough.
Wrap it nicely with cling wrap and keep it in the refrigerator for an hour.
Take the dough out and roll it using a rolling pin, dusting flour. The rolled out dough should not be too thin nor too thick.
If you find the mixture to be too crumbly, you may add a little milk. If it is too soft, you can refrigerate for more time.
Spread the chopped cashew nut on the rolled out dough and roll it slightly with the rolling  pin, so that the chopped cashews get embedded in the dough.
Arrange it on a the parchment lined tray and bake in a pre-heat oven at 170 degree C for 10 minutes or until the edges starts to brown. I baked at 170 degree C for 8 minutes (bottom coil) and 3 minutes (both top and bottom coil) You have to keep an eye, if using both the coils as it might get burnt.
Remove cookies and place it on a wire rack to cool. The cookies will be a little soft once you remove from the oven but will be perfect once it cools.</t>
  </si>
  <si>
    <t>வெண்ணெய் மற்றும் சர்க்கரையை ஒன்றாக சேர்த்து மென்மையாகும் வரை க்ரீம் செய்யவும். இதற்காக நான் ஒரு எலக்ட்ரிக் பீட்டரைப் பயன்படுத்தினேன்.
வெண்ணிலா எசன்ஸ், கரடுமுரடான அரைத்த முந்திரி பருப்புகளைச் சேர்த்து நன்கு கலக்கவும்.
கஜு குக்கீகள்
மாவு சேர்த்து மென்மையான மாவை உருவாக்கவும்.
அதை கிளிங் ரேப்பில் நன்றாக சுற்றி ஒரு மணி நேரம் குளிர்சாதன பெட்டியில் வைக்கவும்.
மாவை வெளியே எடுத்து, ஒரு ரோலிங் பின் பயன்படுத்தி உருட்டவும், மாவைத் தூவவும். உருட்டப்பட்ட மாவு மிகவும் மெல்லியதாகவோ அல்லது மிகவும் அடர்த்தியாகவோ இருக்கக்கூடாது.
கலவை மிகவும் நொறுங்கியதாக நீங்கள் கண்டால், நீங்கள் சிறிது பால் சேர்க்கலாம். அது மிகவும் மென்மையாக இருந்தால், நீங்கள் அதிக நேரம் குளிர்சாதன பெட்டியில் வைக்கலாம்.
உருட்டிய மாவின் மீது நறுக்கிய முந்திரி கொட்டையை பரப்பி, நறுக்கிய முந்திரி மாவில் பதியும்படி ரோலிங் பின் மூலம் லேசாக உருட்டவும்.
அதை ஒரு காகிதத்தோல் பூசப்பட்ட தட்டில் அடுக்கி, 170 டிகிரி செல்சியஸில் முன்கூட்டியே சூடாக்கப்பட்ட அடுப்பில் 10 நிமிடங்கள் அல்லது விளிம்புகள் பழுப்பு நிறமாக மாறத் தொடங்கும் வரை சுடவும். நான் 170 டிகிரி செல்சியஸில் 8 நிமிடங்கள் (கீழ் சுருள்) மற்றும் 3 நிமிடங்கள் (மேல் மற்றும் கீழ் சுருள்) சுட்டேன். இரண்டு சுருள்களையும் எரிக்கக்கூடும் என்பதால், அவற்றைப் பயன்படுத்துகிறீர்களா என்பதை நீங்கள் கவனித்துக் கொள்ள வேண்டும்.
குக்கீகளை அகற்றி, குளிர்விக்க ஒரு கம்பி ரேக்கில் வைக்கவும். நீங்கள் அடுப்பிலிருந்து குக்கீகளை அகற்றியதும் சிறிது மென்மையாக இருக்கும், ஆனால் அது குளிர்ந்ததும் சரியானதாக இருக்கும்.</t>
  </si>
  <si>
    <t>https://encrypted-tbn0.gstatic.com/images?q=tbn:ANd9GcQ9pUgrFVl3l7C1f7bszeMTqeN3aRcyqT78GQ&amp;s</t>
  </si>
  <si>
    <t>Eggless Whole Wheat Oats Cake</t>
  </si>
  <si>
    <t>முட்டை இல்லாத முழு கோதுமை ஓட்ஸ் கேக்</t>
  </si>
  <si>
    <t xml:space="preserve">   Whole Wheat flour – 1 cup,
   Powdered Oats – 1/2 cup,
   Cocoa Powder – 2 tbsp,
   Baking Powder – 1 tsp,
   Baking soda – 1 tsp,
   Powdered Sugar – 1 cup,
   Oil – 1/2 cup any flavorless oil,
   Milk – 1 cup ,
   Vanilla essence – 1 tsp,
   Chocolate sauce as needed,
   Sprinkles as needed,
   Oil – 1 tsp for greasing cake tin,
   Wheat flour – 1 tsp for dusting,
    7 1/2 inch - Round cake tin.</t>
  </si>
  <si>
    <t>முழு கோதுமை மாவு - 1 கப்,
பொடித்த ஓட்ஸ் - 1/2 கப்,
கோகோ பவுடர் - 2 டேபிள்ஸ்பூன்,
பேக்கிங் பவுடர் - 1 டேபிள்ஸ்பூன்,
பேக்கிங் சோடா - 1 டேபிள்ஸ்பூன்,
பொடித்த சர்க்கரை - 1 கப்,
எண்ணெய் - 1/2 கப் எந்த மணமற்ற எண்ணெய்,
பால் - 1 கப்,
வெண்ணிலா எசன்ஸ் - 1 டேபிள்ஸ்பூன்,
தேவைக்கேற்ப சாக்லேட் சாஸ்,
தேவைக்கேற்ப தெளிக்கவும்,
எண்ணெய் - கேக் டின்னுக்கு தடவ 1 டேபிள்ஸ்பூன்,
கோதுமை மாவு - தூவ 1 டேபிள்ஸ்பூன்,
7 1/2 அங்குலம் - வட்ட கேக் டின்.</t>
  </si>
  <si>
    <t>In a bowl, add whole wheat flour and powdered oats.
whole wheat flour cake 
Add baking soda and baking powder.
Add cocoa powder and sieve everything together.
Our sieved cake flour is kept ready (ie) Our dry ingredients except sugar.
In a bowl, mix oil and powdered sugar without lumps.
mixing sugar with oil 
Add vanilla essence and milk (milk should be lukewarm) to the sugar + oil mixture.
mixing sugar, oil and milk 
Beat well until it is slightly foamy as seen in the picture below.
Add the dry ingredients kept aside, little at a time to the mixture and mix well without lumps.
Now our cake batter and the greased cake pan are kept ready.
Transfer the batter to the baking tin. I used a 7 1/2 inch round baking tin. You can use any baking tin but make sure that you leave enough space for the cake to raise. Do not fill the batter up to the brim.
Bake the cake in a pre-heated oven for 35-40 minutes or until a toothpick inserted in the center of the cake comes out clean.
Once the cake cools a little, invert it on a wire rack, then transfer to a plate.
Spread chocolate sauce evenly on top (I used ready made Hershey’s chocolate sauce) and decorate it with sprinkles. Enjoy it as a snack or dessert.
You can make your own chocolate sauce. Check my eggless whole wheat ragi cake for the recipe.
You can also top the cake with vanilla ice cream and enjoy!!</t>
  </si>
  <si>
    <t>ஒரு கிண்ணத்தில், முழு கோதுமை மாவு மற்றும் பொடித்த ஓட்ஸ் சேர்க்கவும்.
முழு கோதுமை மாவு கேக்
பேக்கிங் சோடா மற்றும் பேக்கிங் பவுடர் சேர்க்கவும்.
கோகோ பவுடர் சேர்த்து அனைத்தையும் ஒன்றாக சலிக்கவும்.
நமது சல்லடை செய்யப்பட்ட கேக் மாவு தயாராக உள்ளது (அதாவது) சர்க்கரை தவிர நமது உலர்ந்த பொருட்கள்.
ஒரு கிண்ணத்தில், எண்ணெய் மற்றும் பொடித்த சர்க்கரையை கட்டிகள் இல்லாமல் கலக்கவும்.
சர்க்கரையுடன் எண்ணெயைக் கலக்கவும்
சர்க்கரை + எண்ணெய் கலவையில் வெண்ணிலா எசன்ஸ் மற்றும் பால் (பால் வெதுவெதுப்பாக இருக்க வேண்டும்) சேர்க்கவும்.
சர்க்கரை, எண்ணெய் மற்றும் பால் கலக்கவும்
கீழே உள்ள படத்தில் காட்டப்பட்டுள்ளபடி சிறிது நுரை வரும் வரை நன்றாக அடிக்கவும்.
கலவையில் சிறிது சிறிதாக, ஒதுக்கி வைத்திருக்கும் உலர்ந்த பொருட்களைச் சேர்த்து, கட்டிகள் இல்லாமல் நன்கு கலக்கவும்.
இப்போது எங்கள் கேக் மாவும் நெய் தடவிய கேக் பானும் தயாராக உள்ளன.
மாவை பேக்கிங் டின்னுக்கு மாற்றவும். நான் 7 1/2 அங்குல வட்ட பேக்கிங் டின்னைப் பயன்படுத்தினேன். நீங்கள் எந்த பேக்கிங் டின்னையும் பயன்படுத்தலாம், ஆனால் கேக் உயர போதுமான இடத்தை விட்டுவிடுவதை உறுதிப்படுத்திக் கொள்ளுங்கள். மாவை விளிம்பு வரை நிரப்ப வேண்டாம்.
கேக்கை முன்கூட்டியே சூடாக்கப்பட்ட அடுப்பில் 35-40 நிமிடங்கள் அல்லது கேக்கின் மையத்தில் செருகப்பட்ட ஒரு டூத்பிக் சுத்தமாக வெளியே வரும் வரை சுடவும்.
கேக் சிறிது குளிர்ந்ததும், அதை ஒரு கம்பி ரேக்கில் திருப்பி, பின்னர் ஒரு தட்டில் மாற்றவும்.
சாக்லேட் சாஸை மேலே சமமாகப் பரப்பவும் (நான் ரெடிமேட் ஹெர்ஷேஸ் சாக்லேட் சாஸைப் பயன்படுத்தினேன்) மற்றும் அதை தெளிப்புகளால் அலங்கரிக்கவும். இதை ஒரு சிற்றுண்டியாகவோ அல்லது இனிப்பாகவோ அனுபவிக்கவும்.
நீங்களே சாக்லேட் சாஸ் தயாரிக்கலாம். என்னுடைய முட்டை இல்லாத முழு கோதுமை ராகி கேக்கை செய்முறைக்காகப் பாருங்கள்.
கேக்கின் மேல் வெண்ணிலா ஐஸ்கிரீமையும் தூவி மகிழலாம்!!</t>
  </si>
  <si>
    <t>https://encrypted-tbn0.gstatic.com/images?q=tbn:ANd9GcT0Zc5YAK3VDoqVb1ejczbqOL2mTpKOsPas1A&amp;s</t>
  </si>
  <si>
    <t>Bake Walnut Chocolate</t>
  </si>
  <si>
    <t>வால்நட் சாக்லேட்டை சுடவும்</t>
  </si>
  <si>
    <t xml:space="preserve">   Semi Sweet chocolate chips  – 2 1/4 cup,
   Walnuts – 2 cups,
   Ritz crackers – 20,
   Butter – 150 grams,
   Raisins – 3 tbsp.</t>
  </si>
  <si>
    <t>அரை இனிப்பு சாக்லேட் சிப்ஸ் - 2 1/4 கப்,
வால்நட்ஸ் - 2 கப்,
ரிட்ஸ் கிராக்கர்ஸ் - 20,
வெண்ணெய் - 150 கிராம்,
திராட்சை - 3 டேபிள்ஸ்பூன்.</t>
  </si>
  <si>
    <t>Melt chocolate chips in a bowl over a pan of boiling water on low heat. Cook, stirring until smooth.
Add butter to it. Cook stirring until the butter melts completely and gets incorporated with the chocolate well. Switch off the heat.
Now add the dry mixture to the chocolate and stir well to combine.
Spoon the mixture into a disposable aluminium mold/tray. Press and even the surface with a greased spoon.
Refrigerate for 2-3 hours or until set. Cut it into small pieces and enjoy!!</t>
  </si>
  <si>
    <t>ஒரு பாத்திரத்தில் கொதிக்கும் நீரில் ஒரு பாத்திரத்தில் சாக்லேட் சிப்ஸை உருக்கி, மென்மையான வரை சமைக்கவும்.
வெண்ணெய் சேர்க்கவும். வெண்ணெய் முழுவதுமாக உருகி சாக்லேட்டுடன் நன்றாகச் சேரும் வரை கிளறவும். தீயை அணைக்கவும்.
இப்போது உலர்ந்த கலவையை சாக்லேட்டில் சேர்த்து நன்கு கலக்கவும்.
கலவையை ஒரு டிஸ்போசபிள் அலுமினிய அச்சு/தட்டில் ஊற்றவும். எண்ணெய் தடவிய கரண்டியால் அழுத்தி மேற்பரப்பை சமன் செய்யவும்.
2-3 மணி நேரம் அல்லது செட் ஆகும் வரை குளிர்சாதன பெட்டியில் வைக்கவும். அதை சிறிய துண்டுகளாக வெட்டி மகிழுங்கள்!!</t>
  </si>
  <si>
    <t>https://encrypted-tbn0.gstatic.com/images?q=tbn:ANd9GcSOeuw6DEFtFXUrjTme1XiCzkIT0Lf2mI_yFA&amp;s</t>
  </si>
  <si>
    <t>Eggless Multigrain Cupcake</t>
  </si>
  <si>
    <t>முட்டை இல்லாத மல்டிகிரெய்ன் கப்கேக்</t>
  </si>
  <si>
    <t xml:space="preserve">   Whole wheat flour – 1/3 cup,
   Finger millet flour – 1/3 cup,
   All purpose flour/maida – 1/3 cup,
   Sugar – 3/4 cup,
   Salt – a pinch,
   Baking powder – 3/4 tsp,
   Baking soda – 1/2 tsp,
   Oil – 1/3 cup,
   Curd – 1/3 cup,
   Milk – 1/3 cup,
   Vanilla essence – 1/2 tsp.</t>
  </si>
  <si>
    <t>முழு கோதுமை மாவு - 1/3 கப்,
விரல் தினை மாவு - 1/3 கப்,
அனைத்து வகையான மாவு / மைதா - 1/3 கப்,
சர்க்கரை - 3/4 கப்,
உப்பு - ஒரு சிட்டிகை,
பேக்கிங் பவுடர் - 3/4 தேக்கரண்டி,
பேக்கிங் சோடா - 1/2 தேக்கரண்டி,
எண்ணெய் - 1/3 கப்,
தயிர் - 1/3 கப்,
பால் - 1/3 கப்,
வெண்ணிலா எசன்ஸ் - 1/2 தேக்கரண்டி.</t>
  </si>
  <si>
    <t>Beat milk, curd and sugar until frothy.
beating curd and sugar 
Add oil and beat until well combined.
eggless multigrain cupcake recipe
Add the dry ingredients, vanilla essence and mix/fold until well combined. You can use a wire whisk or spatula for this.
how to make multi grain cupcake 
Fill the muffin cup with the batter until 3/4 th full. Top it with chopped nuts if preferred.
Bake in a preheated oven at 180 degree C for 25-30 minute or until a toothpick inserted in the center of the cake comes out clean.
Enjoy it warm from the oven as such or you can frost it if you prefer.These multi grain cupcakes are very soft, spongy and delicious.We enjoyed it as such without any frosting.</t>
  </si>
  <si>
    <t>பால், தயிர் மற்றும் சர்க்கரை நுரை வரும் வரை அடிக்கவும்.
தயிர் மற்றும் சர்க்கரையை அடிக்கவும்
எண்ணெய் சேர்த்து நன்கு கலக்கும் வரை அடிக்கவும்.
முட்டை இல்லாத மல்டிகிரெய்ன் கப்கேக் செய்முறை
உலர்ந்த பொருட்கள், வெண்ணிலா எசன்ஸ் சேர்த்து நன்கு கலக்கும் வரை கலக்கவும்/மடிக்கவும். இதற்கு நீங்கள் ஒரு கம்பி துடைப்பம் அல்லது ஸ்பேட்டூலாவைப் பயன்படுத்தலாம்.
மல்டிகிரெய்ன் கப்கேக்கை எப்படி செய்வது
மஃபின் கோப்பையை மாவுடன் 3/4 பங்கு நிரம்பும் வரை நிரப்பவும். விருப்பப்பட்டால் அதன் மேல் நறுக்கிய கொட்டைகளை வைக்கவும்.
180 டிகிரி செல்சியஸில் முன்கூட்டியே சூடேற்றப்பட்ட அடுப்பில் 25-30 நிமிடங்கள் அல்லது கேக்கின் மையத்தில் செருகப்பட்ட ஒரு டூத்பிக் சுத்தமாக வெளியே வரும் வரை சுடவும்.
அடுப்பிலிருந்து சூடாக அனுபவிக்கவும் அல்லது நீங்கள் விரும்பினால் அதை உறைய வைக்கலாம். இந்த மல்டி கிரெய்ன் கப்கேக்குகள் மிகவும் மென்மையாகவும், பஞ்சுபோன்றதாகவும், சுவையாகவும் இருக்கும். எந்த உறைபனியும் இல்லாமல் நாங்கள் அதை அப்படியே ரசித்தோம்.</t>
  </si>
  <si>
    <t>https://encrypted-tbn0.gstatic.com/images?q=tbn:ANd9GcQdIc3Bk31L0ptqJcY9-KRD4IW1l06-xSUPyA&amp;s</t>
  </si>
  <si>
    <t>ரவை கேக்</t>
  </si>
  <si>
    <t xml:space="preserve">   Semolina – 1 cup,
   Curd – 1 cup,
   Water – 1/4 cup,
   Onion – 1 ,
   Ginger – 1 inch piece,
   Green chilli – 1,
   Vegetables – 1 cup,
   Coriander leaves – 1 tbsp,
   Sesame seeds – 1 tbsp,
   Salt to taste,
   Baking powder - 1/2 tsp,
   Baking soda – 1/2 tsp,
   Oil for greasing the cake tin,
   Cumin powder - 1/2 tsp,
   Garam masala – 1/2 tsp,
   Turmeric powder – 1/4 tsp,
   Chilli powder – 1/2 tsp,
   Oil – 2 tbsp,
   Cumin seeds – 1/2 tsp,
   Mustard seeds – 1 tsp.</t>
  </si>
  <si>
    <t>ரவை - 1 கப்,
தயிர் - 1 கப்,
தண்ணீர் - 1/4 கப்,
வெங்காயம் - 1 ,
இஞ்சி - 1 அங்குல துண்டு,
பச்சை மிளகாய் - 1,
காய்கறிகள் - 1 கப்,
கொத்தமல்லி இலை - 1 டீஸ்பூன்,
எள் - 1 டீஸ்பூன்,
சுவைக்கு உப்பு,
பேக்கிங் பவுடர் - 1/2 டீஸ்பூன்,
பேக்கிங் சோடா - 1/2 டீஸ்பூன்,
கேக் டின்னில் நெய் தடவ எண்ணெய்,
சீரகத் தூள் - 1/2 டீஸ்பூன்,
கரம் மசாலா - 1/2 டீஸ்பூன்,
மஞ்சள் தூள் - 1/4 டீஸ்பூன்,
மிளகாய்த் தூள் - 1/2 டீஸ்பூன்,
எண்ணெய் - 2 டீஸ்பூன்,
சீரகம் - 1/2 டீஸ்பூன்,
கடுகு - 1 டீஸ்பூன்.</t>
  </si>
  <si>
    <t>Mix well. Let it sit for 10 minutes. In the meantime, we will prepare the seasoning.
Vegetables chopped and kept ready.
Heat oil in a pan, add mustard seeds and cumin seeds, when it splutters, add onions, grated ginger and green chillies. Saute until onions turn transparent.
Add the rest of the vegetables and saute just for 3-4 seconds. (you do not have to cook the vegetables as we are going to bake the rava cake).
Add all the spice powder, salt needed, mix well and remove from heat. Let it cool.
Add to the rava + yogurt mixture. Taste the mixture and adjust salt and other spice powder.
Add water needed. The consistency should be a little thick. I added 1/4 cup + 1 tbsp of water. Then add 1 1/2 tbsp of sesame seeds, baking soda, baking powder and mix well.
Pour the mixture immediately into the prepared tin, after adding baking powder and soda.
Sprinkle little sesame seeds on the top and bake in a pre-heated oven for 30-35 minutes or until a toothpick inserted in the center of the cake comes out clean.
Once it cools, remove the cake from the tray, slice and enjoy savory semolina cake with hot coffee or ginger cardamom tea!! It taste delicious as such, but if preferred, you can have it with any chutney of your choice.</t>
  </si>
  <si>
    <t>ஒரு கிண்ணத்தில், 1 கப் ரவை சேர்க்கவும். ரவை உப்மா செய்யப் பயன்படுத்தும் வழக்கமான ரவையைப் பயன்படுத்தினேன்.
1 கப் தயிர் சேர்க்கவும்.
நன்றாக கலக்கவும். 10 நிமிடங்கள் அப்படியே வைக்கவும். இதற்கிடையில், நாங்கள் தாளிக்க தேவையான பொருட்களை தயார் செய்வோம்.
காய்கறிகளை நறுக்கி தயாராக வைத்திருங்கள்.
ஒரு கடாயில் எண்ணெயை சூடாக்கி, கடுகு மற்றும் சீரகத்தை சேர்த்து, அது வதங்கியதும், வெங்காயம், துருவிய இஞ்சி மற்றும் பச்சை மிளகாய் சேர்க்கவும். வெங்காயம் வெளிப்படையானதாக மாறும் வரை வதக்கவும்.
மீதமுள்ள காய்கறிகளைச் சேர்த்து 3-4 வினாடிகள் வதக்கவும். (நாம் ரவா கேக்கை சுடப் போவதால் காய்கறிகளை சமைக்க வேண்டியதில்லை).
தேவையான அளவு மசாலாப் பொடி, உப்பு சேர்த்து, நன்கு கலந்து, அடுப்பிலிருந்து நீக்கவும். அதை ஆற விடவும்.
ரவா + தயிர் கலவையில் சேர்க்கவும். கலவையை ருசித்து, உப்பு மற்றும் பிற மசாலாப் பொடிகளை சரிசெய்யவும்.
தேவையான தண்ணீரைச் சேர்க்கவும். நிலைத்தன்மை சிறிது கெட்டியாக இருக்க வேண்டும். நான் 1/4 கப் + 1 டேபிள்ஸ்பூன் தண்ணீர் சேர்த்தேன். பின்னர் 1 1/2 டேபிள்ஸ்பூன் எள், பேக்கிங் சோடா, பேக்கிங் பவுடர் சேர்த்து நன்கு கலக்கவும்.
பேக்கிங் பவுடர் மற்றும் சோடாவைச் சேர்த்த பிறகு, உடனடியாக தயாரிக்கப்பட்ட டின்னில் கலவையை ஊற்றவும்.
மேலே சிறிது எள்ளைத் தூவி, முன்கூட்டியே சூடாக்கப்பட்ட அடுப்பில் 30-35 நிமிடங்கள் அல்லது கேக்கின் மையத்தில் செருகப்பட்ட ஒரு டூத்பிக் சுத்தமாக வெளியே வரும் வரை சுடவும்.
அது குளிர்ந்ததும், தட்டில் இருந்து கேக்கை எடுத்து, துண்டுகளாக நறுக்கி, சூடான காபி அல்லது இஞ்சி ஏலக்காய் தேநீருடன் சுவையான ரவை கேக்கை அனுபவிக்கவும்!! இது மிகவும் சுவையாக இருக்கும், ஆனால் விரும்பினால், நீங்கள் விரும்பும் எந்த சட்னியுடனும் இதை சாப்பிடலாம்.</t>
  </si>
  <si>
    <t>https://encrypted-tbn0.gstatic.com/images?q=tbn:ANd9GcQcOakKWBVpkCPCAyE_9VAwYT65Fq7ltGoVOg&amp;s</t>
  </si>
  <si>
    <t xml:space="preserve">   Parle-G biscuits – 20 biscuits,
   Hide and Seek Biscuit – 20 biscuits,
   Powdered sugar – 3 tbsp,
   Milk – 1 cup,
   Vanilla essence – 3/4 tsp,
   Eno/Fruit Salt – 1 packed ,
   Cashew nuts or almonds – 3 tbsp chopped ,
   Baking tin – 7 inches pan.</t>
  </si>
  <si>
    <t>பார்லே-ஜி பிஸ்கட்கள் - 20 பிஸ்கட்கள்,
ஹைட் அண்ட் சீக் பிஸ்கட் - 20 பிஸ்கட்கள்,
பொடித்த சர்க்கரை - 3 டேபிள்ஸ்பூன்,
பால் - 1 கப்,
வெண்ணிலா எசன்ஸ் - 3/4 டீஸ்பூன்,
ஈனோ/பழ உப்பு - 1 பேக்,
முந்திரி அல்லது பாதாம் - 3 டேபிள்ஸ்பூன் நறுக்கியது,
பேக்கிங் டின் - 7 இன்ச் பான்.</t>
  </si>
  <si>
    <t>Powder the biscuits (hide and seek and parle-G) separately in a mixer. Then mix both well.
Add powdered sugar, cashew nuts (if using) and mix well.
Add vanilla essence, milk (little at a time) and mix without lumps to get a smooth batter. I added one cup of milk.
Before adding eno/fruit salt, bring water to boil in a steamer or cooker or any pan and keep it ready.
Add eno and mix well with a spatula.
Transfer the batter to the greased baking tin, place it on the pan or cooker and steam cook covered. You should not allow the batter to rest after adding fruit salt. You should steam immediately after adding Eno/Fruit salt (keep a stand inside the pan  as shown in picture below and place the baking pan/tin over it)
Steam for the first 15 minutes on high flame. Picture below shows after 15 minutes of steaming.
Then keep the flame/heat low and steam for another 10-15 minutes. Insert a toothpick in the center of the cake to check if it is cooked. If it comes out clean, it is cooked.
Leave it to cool in the cake tin. After it is cooled, remove the cake from the tin. Run a knife around the edges and invert it on a plate. Cut the cake after it is completely cooled.
The cake was so spongy and soft that it just melted in our mouth.
You can decorate the cake with chocolate sauce and grated chocolate as I have done for my eggless ragi cake. You can top it with nuts, cherries, edible silver balls or even gems.</t>
  </si>
  <si>
    <t>பிஸ்கட்களை (ஹைட் அண்ட் சீக் மற்றும் பார்லே-ஜி) தனித்தனியாக மிக்ஸியில் பொடி செய்யவும். பின்னர் இரண்டையும் நன்றாக கலக்கவும்.
பொடித்த சர்க்கரை, முந்திரி பருப்பு (பயன்படுத்தினால்) சேர்த்து நன்கு கலக்கவும்.
வெண்ணிலா எசன்ஸ், பால் (சிறிதளவு) சேர்த்து மென்மையான மாவைப் பெற கட்டிகள் இல்லாமல் கலக்கவும். நான் ஒரு கப் பால் சேர்த்தேன்.
எனோ/பழ உப்பைச் சேர்ப்பதற்கு முன், ஒரு ஸ்டீமர் அல்லது குக்கர் அல்லது எந்த பாத்திரத்திலும் தண்ணீரை கொதிக்க வைத்து தயாராக வைக்கவும்.
எனோவைச் சேர்த்து ஒரு ஸ்பேட்டூலாவுடன் நன்கு கலக்கவும்.
மாவை நெய் தடவிய பேக்கிங் டின்னுக்கு மாற்றி, அதை பான் அல்லது குக்கரில் வைத்து, மூடி வைத்து சமைக்கவும். பழ உப்பு சேர்த்த பிறகு மாவை அப்படியே விடக்கூடாது. ஈனோ/பழ உப்பு சேர்த்தவுடன் உடனடியாக ஆவியில் வேகவைக்க வேண்டும் (கீழே உள்ள படத்தில் காட்டப்பட்டுள்ளபடி பாத்திரத்தின் உள்ளே ஒரு ஸ்டாண்டை வைத்து, பேக்கிங் பான்/டின்னை அதன் மேல் வைக்கவும்)
முதல் 15 நிமிடங்கள் அதிக தீயில் வேகவைக்க வேண்டும். 15 நிமிடங்கள் வேகவைத்த பிறகு கீழே உள்ள படம் காட்டுகிறது.
பின்னர் சுடரை/சூட்டை குறைவாக வைத்து, மேலும் 10-15 நிமிடங்கள் ஆவியில் வேக வைக்கவும். கேக் வெந்துவிட்டதா என்று சரிபார்க்க அதன் மையத்தில் ஒரு டூத்பிக் செருகவும். அது சுத்தமாக வெளியே வந்தால், அது வெந்து விட்டது.
கேக் டின்னில் குளிர்விக்க விடவும். அது குளிர்ந்த பிறகு, கேக்கை டின்னில் இருந்து அகற்றவும். விளிம்புகளைச் சுற்றி ஒரு கத்தியை இயக்கி ஒரு தட்டில் தலைகீழாக மாற்றவும். அது முழுமையாக குளிர்ந்த பிறகு கேக்கை வெட்டவும்.
கேக் மிகவும் பஞ்சுபோன்றதாகவும் மென்மையாகவும் இருந்ததால் அது நம் வாயில் உருகும்.
நான் முட்டை இல்லாத ராகி கேக்கிற்கு செய்தது போல் சாக்லேட் சாஸ் மற்றும் துருவிய சாக்லேட்டுடன் கேக்கை அலங்கரிக்கலாம். நீங்கள் அதன் மேல் கொட்டைகள், செர்ரிகள், உண்ணக்கூடிய வெள்ளி பந்துகள் அல்லது ரத்தினக் கற்களால் அலங்கரிக்கலாம்.</t>
  </si>
  <si>
    <t>https://encrypted-tbn0.gstatic.com/images?q=tbn:ANd9GcR7hkTGI3XKqqKpg0SwokrWKKRLMeZkzwJd7w&amp;s</t>
  </si>
  <si>
    <t>Millet Cookies</t>
  </si>
  <si>
    <t>தினை குக்கீகள்</t>
  </si>
  <si>
    <t xml:space="preserve">   Millet flour - 1 cup,
   Cold unsalted butter – 1/2 cup,
    jaggery – 1/2 cup,
   Baking powder - 1 tsp,
   Cold Milk – 1-2 tbsp.</t>
  </si>
  <si>
    <t>தினை மாவு - 1 கப்,
குளிர்ந்த உப்பு சேர்க்காத வெண்ணெய் - 1/2 கப்,
வெல்லம் - 1/2 கப்,
பேக்கிங் பவுடர் - 1 டீஸ்பூன்,
குளிர்ந்த பால் - 1-2 டீஸ்பூன்.</t>
  </si>
  <si>
    <t>In a bowl, add the sieved millet flour and cold butter cubes. With you finger tips, crush/mix the butter with the flour until the mixture becomes crumbled or you get a crumbly texture.
Then add powdered jaggery (available in organic stores) and mix well.
Add needed milk little at a time and make a dough. Knead it to a smooth dough and refrigerate the dough for 15-20 minutes. (I needed less than 1 tbsp of milk to make dough).
Make small balls out of the dough and press it between your palms to give a round flat shape (just like cookies). Using a fork, press and make a striped design on the cookies.
Arrange the prepared dough on a greased tray and bake in a pre heated oven at 180 degree C for 15-20 minutes or until the cookies start browning slightly at the edges. Remove and cool on a wire rack.
Once it cools it will become crisp.</t>
  </si>
  <si>
    <t>ஒரு பாத்திரத்தில், சலிக்கப்பட்ட தினை மாவு மற்றும் குளிர்ந்த வெண்ணெய் க்யூப்களைச் சேர்க்கவும். உங்கள் விரல் நுனியில், கலவை நொறுங்கும் வரை அல்லது உங்களுக்கு ஒரு நொறுக்குத் தன்மை கிடைக்கும் வரை வெண்ணெயை மாவுடன் நசுக்கவும்/கலக்கவும்.
பின்னர் பொடித்த வெல்லத்தை (ஆர்கானிக் கடைகளில் கிடைக்கும்) சேர்த்து நன்கு கலக்கவும்.
தேவையான பாலை சிறிது சிறிதாகச் சேர்த்து மாவை உருவாக்கவும். மென்மையான மாவாக பிசைந்து, மாவை 15-20 நிமிடங்கள் குளிர்சாதன பெட்டியில் வைக்கவும். (மாவை தயாரிக்க எனக்கு 1 டீஸ்பூன் பால் குறைவாகவே தேவைப்பட்டது).
மாவிலிருந்து சிறிய உருண்டைகளை உருவாக்கி, உங்கள் உள்ளங்கைகளுக்கு இடையில் அழுத்தி வட்டமான தட்டையான வடிவத்தை (குக்கீகளைப் போலவே) கொடுக்கவும். ஒரு முட்கரண்டியைப் பயன்படுத்தி, அழுத்தி குக்கீகளில் ஒரு கோடிட்ட வடிவமைப்பை உருவாக்கவும்.
தயாரிக்கப்பட்ட மாவை நெய் தடவிய தட்டில் அடுக்கி, 180 டிகிரி செல்சியஸில் முன்கூட்டியே சூடாக்கப்பட்ட அடுப்பில் 15-20 நிமிடங்கள் அல்லது குக்கீகள் விளிம்புகளில் லேசாக பழுப்பு நிறமாகத் தொடங்கும் வரை சுடவும். அகற்றி ஒரு கம்பி ரேக்கில் குளிர்விக்கவும்.
அது குளிர்ந்ததும் அது மொறுமொறுப்பாக மாறும்.</t>
  </si>
  <si>
    <t>https://encrypted-tbn0.gstatic.com/images?q=tbn:ANd9GcQfZTYVmNMXVJFz4Pk6KhsbRfMcn0k34rOFUA&amp;s</t>
  </si>
  <si>
    <t>Savory Breakfast Muffins with Quinoa</t>
  </si>
  <si>
    <t>குயினோவாவுடன் சுவையான காலை உணவு மஃபின்கள்</t>
  </si>
  <si>
    <t xml:space="preserve">   Onion – 1/4 cup,
   Garlic – 4 cloves minced,
   Capsicum – 1/3 cup,
   Sweet Corn – 1/4 cup,
   Broccoli – 2 florets chopped,
   Black Olives – 6,
   Fresh Parsley – 2 tbsp,
   Eggs - 2,
   Grated cheese – 1/4 cup flat,
   Dried Basil – 1/2 tsp,
   Oregano – 1/2 tsp,
   Pepper powder as needed,
   Salt to taste.</t>
  </si>
  <si>
    <t>வெங்காயம் - 1/4 கப்,
பூண்டு - 4 பல் நறுக்கியது,
கேப்சிகம் - 1/3 கப்,
இனிப்பு சோளம் - 1/4 கப்,
ப்ரோக்கோலி - 2 பூக்கள் நறுக்கியது,
கருப்பு ஆலிவ் - 6,
புதிய வோக்கோசு - 2 டீஸ்பூன்,
முட்டை - 2,
துருவிய சீஸ் - 1/4 கப் தட்டையானது,
உலர்ந்த துளசி - 1/2 டீஸ்பூன்,
ஆர்கனோ - 1/2 டீஸ்பூன்,
மிளகு தூள் தேவைக்கேற்ப,
சுவைக்கேற்ப உப்பு.</t>
  </si>
  <si>
    <t>Heat oil, add finely chopped onions, garlic and saute until it turns transparent.
Then add all the vegetables and cook for a few minutes. Do not over cook the vegetables.
Add parsley, olives, dried basil, oregano, salt and pepper powder.
Add the cooked quinoa to the vegetable mixture.
Mix everything well.
In a bowl whisk eggs, add cheese and mix well.
Now add the quinoa + vegetable mixture to the egg + cheese mixture and mix well.
Fill muffin pan up to 3/4 or you can use a baking pan lined with parchment paper. In spite of greasing the pan well, I had great difficulty in removing the muffins from the pan. So I suggest using liners that are well sprayed or greased or you can use silicone cup cake molds.
Bake in a pre heated oven for 15-20 minutes or until a toothpick inserted in the center comes out clean.
Cool for 10 minutes, then remove from the pan and transfer them to a wire rack. Serve warm.</t>
  </si>
  <si>
    <t>எண்ணெயை சூடாக்கி, இறுதியாக நறுக்கிய வெங்காயம், பூண்டு சேர்த்து அது வெளிப்படையானதாக மாறும் வரை வதக்கவும்.
பின்னர் அனைத்து காய்கறிகளையும் சேர்த்து சில நிமிடங்கள் சமைக்கவும். காய்கறிகளை அதிகமாக சமைக்க வேண்டாம்.
வோக்கோசு, ஆலிவ், உலர்ந்த துளசி, ஆர்கனோ, உப்பு மற்றும் மிளகு தூள் சேர்க்கவும்.
சமைத்த குயினோவாவை காய்கறி கலவையில் சேர்க்கவும்.
அனைத்தையும் நன்றாக கலக்கவும்.
ஒரு பாத்திரத்தில் முட்டைகளை அடித்து, சீஸ் சேர்த்து நன்கு கலக்கவும்.
இப்போது முட்டை + சீஸ் கலவையுடன் குயினோவா + காய்கறி கலவையைச் சேர்த்து நன்கு கலக்கவும்.
மஃபின் பானை 3/4 ஆக நிரப்பவும் அல்லது நீங்கள் காகிதத்தோல் பூசப்பட்ட பேக்கிங் பானைப் பயன்படுத்தலாம். பானையை நன்றாக நெய் தடவியிருந்தாலும், பானையிலிருந்து மஃபின்களை அகற்றுவதில் எனக்கு மிகவும் சிரமமாக இருந்தது. எனவே நன்கு தெளிக்கப்பட்ட அல்லது எண்ணெய் தடவிய லைனர்களைப் பயன்படுத்த பரிந்துரைக்கிறேன் அல்லது நீங்கள் சிலிகான் கப் கேக் அச்சுகளைப் பயன்படுத்தலாம்.
முன் சூடாக்கப்பட்ட அடுப்பில் 15-20 நிமிடங்கள் அல்லது மையத்தில் செருகப்பட்ட ஒரு டூத்பிக் சுத்தமாக வெளியே வரும் வரை சுடவும்.
10 நிமிடங்கள் குளிர்ந்து, பின்னர் பானையிலிருந்து அகற்றி ஒரு கம்பி ரேக்கிற்கு மாற்றவும். சூடாக பரிமாறவும்.</t>
  </si>
  <si>
    <t>https://encrypted-tbn0.gstatic.com/images?q=tbn:ANd9GcSp2RoHM4bXQw-gaW4bbOWKkkEYMzYPP5Zzow&amp;s</t>
  </si>
  <si>
    <t>Custard Powder Cookies</t>
  </si>
  <si>
    <t>கஸ்டர்ட் பவுடர் குக்கீகள்</t>
  </si>
  <si>
    <t xml:space="preserve">   Butter – 125 grams,
   Powdered sugar – 1/4 cup,
   Vanilla Extract – 1 tsp,
   All purpose flour/maida – 1 cup,
   Vanilla flavored custard powder – 1/4 cup,
   Butter – 30 grams,
   Powdered sugar – 3/4 cup,
   Lemon juice – 1 tsp,
   Vanilla flavored custard powder – 2 tsp,
   Any Food color – 2 drops.</t>
  </si>
  <si>
    <t>வெண்ணெய் - 125 கிராம்,
பொடித்த சர்க்கரை - 1/4 கப்,
வெண்ணிலா சாறு - 1 டீஸ்பூன்,
அனைத்து வகையான மாவு/மைதா - 1 கப்,
வெண்ணிலா சுவையூட்டப்பட்ட கஸ்டர்ட் பவுடர் - 1/4 கப்,
வெண்ணெய் - 30 கிராம்,
பொடித்த சர்க்கரை - 3/4 கப்,
எலுமிச்சை சாறு - 1 டீஸ்பூன்,
வெண்ணிலா சுவையூட்டப்பட்ட கஸ்டர்ட் பவுடர் - 2 டீஸ்பூன்,
ஏதேனும் உணவு நிறம் - 2 சொட்டுகள்.</t>
  </si>
  <si>
    <t>In a bowl beat together butter, powdered sugar and vanilla extract until light and fluffy.
Add the custard powder + flour mix to the butter mixture and beat on low speed until the mixture forms a soft dough.
Refrigerate the dough for 30-45 minutes or until it is firm and can be shaped easily.
Divide the dough into 24-30 equal parts. Roll it into smooth balls and place them on the baking tray 3 cm apart. Dip the tines of the fork in flour and press down each ball slightly to create striped patterns as shown in the picture below. The thickness of the flattened dough should be approximately around 1 cm.
Place it again in the refrigerator for 15 minutes. In the meantime, preheat the oven at 180 degree C for 15 minutes.
Bake the biscuits at 180 degree C in the middle rack for 15 minutes or until the bottoms start to turn golden. If you over bake the biscuits, they will loose their melt in the mouth texture.
Remove from the oven and let it sit for 3 minutes. Then transfer the biscuits to a wire rack to cool completely. The cookies will be soft when taken out from the oven. It will become firm once cooled completely.
Beat all the ingredients mentioned under “buttercream filling” until smooth and creamy.
Sandwich the biscuits together with butter cream. Sandwich only when required as they get soggy if left joined up. The biscuits taste delicious plain also. I personally liked it plain without the buttercream filling.</t>
  </si>
  <si>
    <t>ஒரு கிண்ணத்தில் வெண்ணெய், பொடித்த சர்க்கரை மற்றும் வெண்ணிலா சாறு ஆகியவற்றை லேசாகவும் பஞ்சுபோன்றதாகவும் ஆகும் வரை அடிக்கவும்.
வெண்ணெய் கலவையில் கஸ்டர்ட் பவுடர் + மாவு கலவையைச் சேர்த்து, கலவை மென்மையான மாவை உருவாக்கும் வரை குறைந்த வேகத்தில் அடிக்கவும்.
மாவை 30-45 நிமிடங்கள் அல்லது அது உறுதியாகும் வரை குளிர்சாதன பெட்டியில் வைக்கவும், எளிதாக வடிவமைக்க முடியும் வரை.
மாவை 24-30 சம பாகங்களாகப் பிரிக்கவும். மென்மையான பந்துகளாக உருட்டி பேக்கிங் தட்டில் 3 செ.மீ இடைவெளியில் வைக்கவும். கீழே உள்ள படத்தில் காட்டப்பட்டுள்ளபடி, ஃபோர்க்கின் டைன்களை மாவில் நனைத்து, ஒவ்வொரு பந்தையும் லேசாக அழுத்தி, கோடு வடிவங்களை உருவாக்கவும். தட்டையான மாவின் தடிமன் தோராயமாக 1 செ.மீ. இருக்க வேண்டும்.
மீண்டும் 15 நிமிடங்கள் குளிர்சாதன பெட்டியில் வைக்கவும். இதற்கிடையில், அடுப்பை 180 டிகிரி செல்சியஸில் 15 நிமிடங்கள் முன்கூட்டியே சூடாக்கவும்.
பிஸ்கட்களை 180 டிகிரி செல்சியஸில் நடுத்தர ரேக்கில் 15 நிமிடங்கள் அல்லது அடிப்பகுதி பொன்னிறமாக மாறத் தொடங்கும் வரை சுடவும். நீங்கள் பிஸ்கட்களை அதிகமாக சுட்டால், அவை வாயில் உருகும் அமைப்பை இழக்கும்.
அடுப்பிலிருந்து இறக்கி 3 நிமிடங்கள் அப்படியே வைக்கவும். பின்னர் பிஸ்கட்களை ஒரு கம்பி ரேக்கிற்கு மாற்றி முழுமையாக குளிர்விக்க வேண்டும். குக்கீகள் அடுப்பிலிருந்து எடுக்கப்படும்போது மென்மையாக இருக்கும். முழுமையாக குளிர்ந்ததும் அது உறுதியாகிவிடும்.
“பட்டர்கிரீம் ஃபில்லிங்” என்பதன் கீழ் குறிப்பிடப்பட்டுள்ள அனைத்து பொருட்களையும் மென்மையாகவும் கிரீமியாகவும் அடிக்கவும்.
பிஸ்கட்களை வெண்ணெய் கிரீம் சேர்த்து சாண்ட்விச் செய்யவும். தேவைப்பட்டால் மட்டுமே சாண்ட்விச், அவை ஒன்றாக இருந்தால் ஈரமாகிவிடும். பிஸ்கட்களின் சுவையும் சுவையாக இருக்கும். பட்டர்கிரீம் ஃபில்லிங் இல்லாமல் நான் தனிப்பட்ட முறையில் இதை விரும்பினேன்.</t>
  </si>
  <si>
    <t>https://veenaazmanov.com/wp-content/uploads/2017/08/Easy-Custard-Cookies-Recipe1.jpg</t>
  </si>
  <si>
    <t>Apple Pie</t>
  </si>
  <si>
    <t>ஆப்பிள் பை</t>
  </si>
  <si>
    <t xml:space="preserve">   All Purpose flour/Maida – 1 cup sifted,
   Unsalted butter – 90 grams,
   Ice water – 2-3 tablespoons,
   Salt – 1/4 tsp,
   Sugar – 1 tsp,
   Apples – 2 1/2,
   Granulated white sugar – 1/4 cup,
   Brown Sugar – 1/4 cup,
   Cinnamon powder – 1 tsp,
   Nutmeg powder – 1/2 tsp,
   Salt – a pinch,
   All purpose flour - 1 tbsp,
   Butter – 1 tsp.</t>
  </si>
  <si>
    <t>ஆல் பர்ப்பஸ் மாவு/மைதா - 1 கப் சலித்தது,
உப்பு சேர்க்காத வெண்ணெய் - 90 கிராம்,
ஐஸ் வாட்டர் - 2-3 டேபிள்ஸ்பூன்,
உப்பு - 1/4 டீஸ்பூன்,
சர்க்கரை - 1 டீஸ்பூன்,
ஆப்பிள்கள் - 2 1/2,
கிரானுலேட்டட் வெள்ளை சர்க்கரை - 1/4 கப்,
பிரவுன் சர்க்கரை - 1/4 கப்,
இலவங்கப்பட்டை தூள் - 1 டீஸ்பூன்,
ஜாதிக்காய் தூள் - 1/2 டீஸ்பூன்,
உப்பு - ஒரு சிட்டிகை,
ஆல் பர்ப்பஸ் மாவு - 1 டீஸ்பூன்,
வெண்ணெய் - 1 டீஸ்பூன்.</t>
  </si>
  <si>
    <t>Chill the bowl in which you are going to prepare the pie crust. Cut butter into cubes and put it in the freezer for half an hour.
In a bowl, add all purpose flour, salt and sugar.
Mix until well combined.
Add chilled butter cubes to the flour. Using just your finger tips, rub or squash each cube of butter into the flour. Take a butter cube and a little flour and squash it. Repeat the same until all the butter is broken into fine pieces and the mixture resembles breadcrumbs. Use your finger tips only as it is the coldest part of your hands and will avoid melting the butter.
You can use a food processor to make your job easier. If using a food processor, place the flour, butter and process, using the pulse button, for 10-15 seconds until the mixture is crumbly or resembles breadcrumbs.
Make a well in the center, add 1 tbsp of ice cold water. Use your hand as a whisk (picture below) and mix the flour. Add another tbsp of cold water and mix well. Stop adding water if the dough clumps together. The dough should just hold together when clumped. Add little more ice water only if the dough does not clump together. For me, it required around 2 1/2 tbsp of cold water.
Dust the surface with a little flour and gently gather and press the dough as shown below. Knead the dough gently to make it smooth. Do not overwork on it.
Divide the dough into two (3/4 and 1/4), flatten it in the shape of a disc, wrap it in a cling film and refrigerate it for 30-60 minutes.
This is the Basic pie dough and can be used to make a variety of pies.
Peel the apples, cut, discard the seeds and chop it into cubes. Add 1/2 tsp of lemon juice and mix well to prevent the apples from getting discolored.
Add sugar, brown sugar, cinnamon, nutmeg, salt, flour to the chopped apples and mix until well combined. I used 1/2 cup of white sugar as I did not have brown sugar that day.
adding ground cinnamon to chopped apples
adding sugar 
adding all purpose flour to apples for making apple pie
Let it sit for 15 minutes.
After 15 minutes, you will find that the apples would have oozed out a lot of juice.
Strain and collect the juice in a cup. Heat a tsp of butter and add the juice you collected from the apples.
Stir on medium flame until it thickens and becomes lightly caramelized.
preparation for apple filling
Add it to the apple and mix it well. Our apple mixture is ready.
Grease a muffin pan or cupcake pan so that it is well coated with butter. This helps to remove the mini apple pies easily after baking.
preparation for mini apple pie
Take 3/4 of the dough from the refrigerator. Dust the surface and the rolling pin with flour. Using the rolling pin, roll out the pastry. Initially if the outside of the dough cracks, set it with your hands as shown below.
Turn it now and then and roll it to ensure even thickness and to prevent sticking. Roll it until it is fairly thin. Roll it back on the rolling pin and dust off excess flour with a pastry brush as shown in the picture below.
Using a cup larger than the size of the cupcake/muffin mould, cut out circles from the dough.
Place it in the muffin cup/mould and press it gently with your finger so that it sits well inside the cup. Remove any excess dough and tuck the edges neatly. Repeat it for all the 6 muffin cups.
Fill the apple mixture till the top.
Take the other remaining 1/4 of the dough from the refrigerator and roll it out thinly.
Cut rectangular strips, the size (diameter) of your cupcake/muffin cups. Use the strips to create a weave like pattern to cover the apple mixture. This weave like pattern is called Lattice top.
Tuck it neatly with the the bottom crust as show below. You can lightly moisten the edges of the bottom crust with water to make it stick well. Instead of the weaved pattern, you can also cover the pie with a smaller circle with a cross slit as shown in the picture below (The slit is for the steam to escape).
Repeat the same process for the remaining muffin cups. All the six muffin cups are completed in the picture below. I made 3 weaved patterns and 3 cross slit patterns.
You can brush the top with milk or egg wash (1 egg beaten with 1 tsp water/milk) if desired. Dust the top with little sugar if desired.
Pre-heat the oven at 180 degree C for 15 minutes while starting to prepare the lattice top itself. Place the muffin tray in the middle rack and bake at 180 degree C for 30-35 minutes or until the crust is light brown. Keep a watch after 20 minutes.
Once you remove the muffin pan from the oven, leave it to cool for 10-15 mins.
When cool, you can easily loose.</t>
  </si>
  <si>
    <t>நீங்கள் பை மேலோடு தயாரிக்கப் போகும் கிண்ணத்தை குளிர்விக்கவும். வெண்ணெயை க்யூப்ஸாக வெட்டி அரை மணி நேரம் ஃப்ரீசரில் வைக்கவும்.
ஒரு கிண்ணத்தில், ஆல் பர்ப்பஸ் மாவு, உப்பு மற்றும் சர்க்கரை சேர்க்கவும்.
நன்கு கலக்கும் வரை கலக்கவும்.
குளிர்ந்த வெண்ணெய் க்யூப்ஸை மாவுடன் சேர்க்கவும். உங்கள் விரல் நுனியை மட்டும் பயன்படுத்தி, ஒவ்வொரு க்யூப் வெண்ணெய் க்யூப்பையும் மாவில் தேய்க்கவும் அல்லது பிழியவும். ஒரு வெண்ணெய் க்யூப் மற்றும் சிறிது மாவை எடுத்து பிழியவும். வெண்ணெய் முழுவதும் நன்றாக உடைந்து, கலவை பிரட்தூள்களைப் போல இருக்கும் வரை இதையே மீண்டும் செய்யவும். உங்கள் விரல் நுனியை மட்டும் பயன்படுத்தவும், ஏனெனில் அது உங்கள் கைகளின் குளிர்ந்த பகுதியாகும், மேலும் வெண்ணெய் உருகுவதைத் தவிர்க்கும்.
உங்கள் வேலையை எளிதாக்க உணவு செயலியைப் பயன்படுத்தலாம். உணவு செயலியைப் பயன்படுத்தினால், மாவு, வெண்ணெய் ஆகியவற்றை வைத்து, துடிப்பு பொத்தானைப் பயன்படுத்தி, கலவை நொறுங்கி அல்லது பிரட்தூள்களைப் போல இருக்கும் வரை 10-15 வினாடிகள் பதப்படுத்தவும்.
மையத்தில் ஒரு கிணற்றை உருவாக்கி, 1 டீஸ்பூன் குளிர்ந்த நீரைச் சேர்க்கவும். உங்கள் கையை ஒரு துடைப்பமாகப் பயன்படுத்தவும் (கீழே உள்ள படம்) மாவை கலக்கவும். மற்றொரு டீஸ்பூன் குளிர்ந்த நீரைச் சேர்த்து நன்கு கலக்கவும். மாவு ஒன்றாகக் கட்டியாக இருந்தால் தண்ணீர் சேர்ப்பதை நிறுத்துங்கள். மாவு கட்டியாக இருக்கும்போது ஒன்றாகப் பிடிக்க வேண்டும். மாவு கட்டியாக இல்லாவிட்டால் மட்டும் இன்னும் கொஞ்சம் ஐஸ் தண்ணீரைச் சேர்க்கவும். எனக்கு, இது சுமார் 2 1/2 டீஸ்பூன் குளிர்ந்த நீரைத் தேவைப்பட்டது.
மேற்பரப்பில் சிறிது மாவைத் தூவி, கீழே காட்டப்பட்டுள்ளபடி மெதுவாக மாவைச் சேகரித்து அழுத்தவும். மாவை மென்மையாக்க மெதுவாக பிசையவும். அதில் அதிகமாக வேலை செய்ய வேண்டாம்.
மாவை இரண்டாகப் பிரித்து (3/4 மற்றும் 1/4), ஒரு வட்டு வடிவத்தில் தட்டையாக்கி, ஒரு கிளிங் ஃபிலிமில் சுற்றி 30-60 நிமிடங்கள் குளிர்சாதன பெட்டியில் வைக்கவும்.
இது அடிப்படை பை மாவு, இதை பல்வேறு பைகள் தயாரிக்கப் பயன்படுத்தலாம்.
ஆப்பிள்களை உரித்து, வெட்டி, விதைகளை நிராகரித்து, க்யூப்ஸாக நறுக்கவும். 1/2 தேக்கரண்டி எலுமிச்சை சாற்றைச் சேர்த்து, ஆப்பிள்கள் நிறமாற்றம் அடையாமல் இருக்க நன்கு கலக்கவும்.
நறுக்கிய ஆப்பிள்களுடன் சர்க்கரை, பழுப்பு சர்க்கரை, இலவங்கப்பட்டை, ஜாதிக்காய், உப்பு, மாவு ஆகியவற்றைச் சேர்த்து நன்கு கலக்கவும். அன்று என்னிடம் பழுப்பு சர்க்கரை இல்லாததால் 1/2 கப் வெள்ளை சர்க்கரையைப் பயன்படுத்தினேன்.
நறுக்கிய ஆப்பிள்களில் அரைத்த இலவங்கப்பட்டை சேர்த்தல்
சர்க்கரை சேர்த்தல்
ஆப்பிள் பை தயாரிப்பதற்கு ஆப்பிளில் அனைத்து வகையான மாவு சேர்த்தல்
15 நிமிடங்கள் அப்படியே வைக்கவும்.
15 நிமிடங்களுக்குப் பிறகு, ஆப்பிள்கள் நிறைய சாறு வெளியேறியிருப்பதைக் காண்பீர்கள்.
ஒரு கோப்பையில் சாற்றை வடிகட்டி சேகரிக்கவும். ஒரு தேக்கரண்டி வெண்ணெயை சூடாக்கி, ஆப்பிளிலிருந்து நீங்கள் சேகரித்த சாற்றைச் சேர்க்கவும்.
நடுத்தர தீயில் அது கெட்டியாகி லேசாக கேரமல் ஆகும் வரை கிளறவும்.
ஆப்பிள் ஃபில்லிங்கிற்கான தயாரிப்பு
ஆப்பிளில் சேர்த்து நன்கு கலக்கவும். எங்கள் ஆப்பிள் கலவை தயாராக உள்ளது.
மஃபின் பான் அல்லது கப்கேக் பான் மீது கிரீஸ் தடவவும், இதனால் அது வெண்ணெய் தடவப்படும். இது பேக்கிங் செய்த பிறகு மினி ஆப்பிள் துண்டுகளை எளிதாக அகற்ற உதவுகிறது.
மினி ஆப்பிள் பைக்கான தயாரிப்பு
குளிர்சாதன பெட்டியில் இருந்து மாவின் 3/4 பகுதியை எடுத்துக் கொள்ளுங்கள். மேற்பரப்பையும் ரோலிங் பின்னையும் மாவுடன் தூவவும். ரோலிங் பின்னைப் பயன்படுத்தி, பேஸ்ட்ரியை உருட்டவும். ஆரம்பத்தில் மாவின் வெளிப்புறம் விரிசல் அடைந்தால், கீழே காட்டப்பட்டுள்ளபடி உங்கள் கைகளால் அமைக்கவும்.
இப்போதெல்லாம் அதைத் திருப்பி, சமமான தடிமனை உறுதிசெய்யவும், ஒட்டாமல் இருக்கவும் உருட்டவும். அது மிகவும் மெல்லியதாக இருக்கும் வரை அதை உருட்டவும். அதை மீண்டும் ரோலிங் பின்னில் உருட்டி, கீழே உள்ள படத்தில் காட்டப்பட்டுள்ளபடி பேஸ்ட்ரி பிரஷ் மூலம் அதிகப்படியான மாவைத் தூவவும்.
கப்கேக்/மஃபின் அச்சு அளவை விட பெரிய கோப்பையைப் பயன்படுத்தி, மாவிலிருந்து வட்டங்களை வெட்டுங்கள்.
மஃபின் கப்/மோல்டில் வைத்து, கோப்பையின் உள்ளே நன்றாக இருக்கும்படி உங்கள் விரலால் மெதுவாக அழுத்தவும். அதிகப்படியான மாவை அகற்றி விளிம்புகளை நேர்த்தியாக மடிக்கவும். 6 மஃபின் கப்களுக்கும் இதையே செய்யவும்.
ஆப்பிள் கலவையை மேல் வரை நிரப்பவும்.
மீதமுள்ள 1/4 மாவை குளிர்சாதன பெட்டியிலிருந்து எடுத்து மெல்லியதாக உருட்டவும்.
உங்கள் கப்கேக்/மஃபின் கப்களின் அளவு (விட்டம்) செவ்வக வடிவ கீற்றுகளை வெட்டுங்கள். ஆப்பிள் கலவையை மூடுவதற்கு ஒரு நெசவு போன்ற வடிவத்தை உருவாக்க கீற்றுகளைப் பயன்படுத்தவும். இந்த நெசவு போன்ற வடிவம் லேட்டிஸ் டாப் என்று அழைக்கப்படுகிறது.
கீழே காட்டப்பட்டுள்ளபடி கீழ் மேலோடு அதை அழகாக வச்சிடுங்கள். கீழ் மேலோட்டத்தின் விளிம்புகளை தண்ணீரில் லேசாக ஈரப்படுத்தலாம், இதனால் அது நன்றாக ஒட்டிக்கொள்ளும். நெய்த வடிவத்திற்கு பதிலாக, கீழே உள்ள படத்தில் காட்டப்பட்டுள்ளபடி குறுக்கு பிளவுடன் ஒரு சிறிய வட்டத்துடன் பையை மூடலாம் (பிளவு நீராவி வெளியேறுவதற்கானது).
மீதமுள்ள மஃபின் கப்களுக்கும் இதே செயல்முறையை மீண்டும் செய்யவும். கீழே உள்ள படத்தில் ஆறு மஃபின் கப்களும் முடிக்கப்பட்டுள்ளன. நான் 3 நெசவு வடிவங்களையும் 3 குறுக்கு பிளவு வடிவங்களையும் செய்தேன்.
விரும்பினால், மேல் பகுதியை பால் அல்லது முட்டை கழுவி (1 முட்டையை 1 தேக்கரண்டி தண்ணீர்/பாலுடன் அடித்து) துலக்கலாம். தேவைப்பட்டால், மேலே சிறிது சர்க்கரையைத் தூவவும்.
லேட்டிஸ் டாப்பைத் தயாரிக்கத் தொடங்கும் போது, ​​அடுப்பை 180 டிகிரி செல்சியஸில் 15 நிமிடங்கள் முன்கூட்டியே சூடாக்கவும். மஃபின் ட்ரேயை நடுத்தர ரேக்கில் வைத்து 180 டிகிரி செல்சியஸில் 30-35 நிமிடங்கள் அல்லது மேலோடு வெளிர் பழுப்பு நிறமாக மாறும் வரை சுடவும். 20 நிமிடங்களுக்குப் பிறகு ஒரு கண் வைத்திருங்கள்.
மஃபின் பானை அடுப்பிலிருந்து எடுத்தவுடன், 10-15 நிமிடங்கள் குளிர்விக்க விடவும்.</t>
  </si>
  <si>
    <t>https://www.inspiredtaste.net/wp-content/uploads/2019/11/Homemade-Apple-Pie-From-Scratch-1200.jpg</t>
  </si>
  <si>
    <t>Gingerbread Cookies</t>
  </si>
  <si>
    <t>ஜிஞ்சர்பிரெட் குக்கீகள்</t>
  </si>
  <si>
    <t xml:space="preserve">   All Purpose flour/maida – 1 1/2 cup,
   Baking Soda - 1/2 tsp,
   Salt - 1/4 tsp,
   Dry Ginger Powder - 1 tsp,
   Cinnamon powder - 1/2 tsp,
   Cloves Powder - 1/8 tsp,
   Nutmeg grated - 1/8 tsp,
   Unsalted butter - 1/4 cup,
   Granulated white Sugar - 1/4 cup,
   Egg – 1 small egg,
   Molasses  -  80 ml 
   Gingerbread cookie cutter.</t>
  </si>
  <si>
    <t>அனைத்து உபயோக மாவு/மைதா - 1 1/2 கப்,
பேக்கிங் சோடா - 1/2 தேக்கரண்டி,
உப்பு - 1/4 தேக்கரண்டி,
உலர்ந்த இஞ்சி தூள் - 1 தேக்கரண்டி,
இலவங்கப்பட்டை தூள் - 1/2 தேக்கரண்டி,
கிராம்பு தூள் - 1/8 தேக்கரண்டி,
துருவிய ஜாதிக்காய் - 1/8 தேக்கரண்டி,
உப்பு சேர்க்காத வெண்ணெய் - 1/4 கப்,
துண்டாக்கப்பட்ட வெள்ளை சர்க்கரை - 1/4 கப்,
முட்டை - 1 சிறிய முட்டை,
வெல்லப்பாகு - 80 மில்லி
ஜிஞ்சர்பிரெட் குக்கீ கட்டர்.</t>
  </si>
  <si>
    <t>Beat butter until soft. Add powdered sugar and beat until light and fluffy.
beating butter and sugar 
Add eggs and beat until well combined.
Add molasses or brown sugar liquid and beat until well combined.
gingerbread cookies without molasses 
Add flour in two batches and beat on low speed until well incorporated. Gather and make a smooth dough.
Divide the dough into half and wrap it in a plastic sheet and refrigerate overnight or until firm.
After refrigeration
Pre heat oven at 180 degree C for 15 minutes.
In the meantime, roll out the dough evenly dusting flour to 1/4-inch thickness. Using a gingerbread man cookie cutter or any desired cookie cutter, cut out the cookies.
Line cookie tray with parchment paper and space the gingerbread cookies 1 1/2 inch apart. Use the middle rack for baking and bake in batches. Gather the remaining dough and repeat the same process.
Place the baking tray with the cookies in the refrigerator for about 10 minutes. This is done to prevent the cookies from losing their shape.
Then bake for 8-10 minutes or until the edges starts to brown.
Once baked, remove the tray from oven and allow it to cool. Once the cookies become slightly firm, remove from the tray and transfer to a wire rack to cool completely.
Afer it cools completely, you can decorate it the way you like.</t>
  </si>
  <si>
    <t>வெண்ணெயை மென்மையாகும் வரை அடிக்கவும். பொடித்த சர்க்கரையைச் சேர்த்து லேசாகவும் பஞ்சுபோன்றும் அடிக்கவும்.
வெண்ணெய் மற்றும் சர்க்கரையை அடிக்கவும்
முட்டைகளைச் சேர்த்து நன்கு கலக்கும் வரை அடிக்கவும்.
வெல்லப்பாகு அல்லது பழுப்பு சர்க்கரை திரவத்தைச் சேர்த்து நன்கு கலக்கும் வரை அடிக்கவும்.
வெல்லப்பாகு இல்லாத இஞ்சர்பிரெட் குக்கீகள்
மாவை இரண்டு தொகுதிகளாகச் சேர்த்து குறைந்த வேகத்தில் நன்கு கலக்கும் வரை அடிக்கவும். சேகரித்து மென்மையான மாவை உருவாக்கவும்.
மாவை பாதியாகப் பிரித்து ஒரு பிளாஸ்டிக் தாளில் சுற்றி இரவு முழுவதும் அல்லது உறுதியாகும் வரை குளிர்சாதன பெட்டியில் வைக்கவும்.
குளிர்சாதன பெட்டிக்குப் பிறகு
அடுப்பை 180 டிகிரி செல்சியஸில் 15 நிமிடங்கள் முன்கூட்டியே சூடாக்கவும்.
இதற்கிடையில், மாவை 1/4-அங்குல தடிமனாக தூவி சமமாக உருட்டவும். ஜிஞ்சர்பிரெட் மேன் குக்கீ கட்டர் அல்லது விரும்பிய குக்கீ கட்டரைப் பயன்படுத்தி, குக்கீகளை வெட்டுங்கள்.
குக்கீ தட்டில் காகிதத்தோல் கொண்டு வரிசையாக வைத்து, ஜிஞ்சர்பிரெட் குக்கீகளை 1 1/2 அங்குல இடைவெளியில் வைக்கவும். பேக்கிங்கிற்கு நடுத்தர ரேக்கைப் பயன்படுத்தி தொகுதிகளாக சுடவும். மீதமுள்ள மாவை சேகரித்து அதே செயல்முறையை மீண்டும் செய்யவும்.
குக்கீகளுடன் பேக்கிங் தட்டையும் குளிர்சாதன பெட்டியில் சுமார் 10 நிமிடங்கள் வைக்கவும். குக்கீகள் அவற்றின் வடிவத்தை இழப்பதைத் தடுக்க இது செய்யப்படுகிறது.
பின்னர் 8-10 நிமிடங்கள் அல்லது விளிம்புகள் பழுப்பு நிறமாகத் தொடங்கும் வரை சுடவும்.
சுட்ட பிறகு, தட்டை அடுப்பிலிருந்து அகற்றி குளிர்விக்க அனுமதிக்கவும். குக்கீகள் சற்று உறுதியாகிவிட்டால், தட்டில் இருந்து அகற்றி, கம்பி ரேக்கிற்கு மாற்றவும், முழுமையாக குளிர்விக்க.
அது முழுமையாக குளிர்ந்த பிறகு, நீங்கள் விரும்பும் வழியில் அலங்கரிக்கலாம்.</t>
  </si>
  <si>
    <t>https://encrypted-tbn0.gstatic.com/images?q=tbn:ANd9GcRs7l-iq1g67_LAAK7zgAQMbVQt8Qygpr7jjA&amp;s</t>
  </si>
  <si>
    <t>Custard Powder Cake</t>
  </si>
  <si>
    <t>கஸ்டர்ட் பவுடர் கேக்</t>
  </si>
  <si>
    <t xml:space="preserve">   All purpose flour  -  1 1/2 cup,
   Vanilla flavored custard powder - 3/4 cup,
   Baking powder – 2 1/4 tsp,
   Sugar - 3/4 cup,
   Vanilla extract - 1 1/2 tsp,
   Butter - 150 grams,
   Milk - 1 cup.</t>
  </si>
  <si>
    <t>அனைத்து வகையான மாவு - 1 1/2 கப்,
வெண்ணிலா சுவையூட்டப்பட்ட கஸ்டர்ட் பவுடர் - 3/4 கப்,
பேக்கிங் பவுடர் - 2 1/4 தேக்கரண்டி,
சர்க்கரை - 3/4 கப்,
வெண்ணிலா சாறு - 1 1/2 தேக்கரண்டி,
வெண்ணெய் - 150 கிராம்,
பால் - 1 கப்.</t>
  </si>
  <si>
    <t xml:space="preserve">Beat butter and sugar until soft.
Add the flour +baking powder +custard powder mixture and mix until well combined.
Add milk (room temperature),vanilla extract/essence and mix well until you get a creamy batter.
Bake for 35-40 minutes or until a toothpick inserted in the center of the cake comes out clean.
Cool it on a wire rack and then cut the cake. Enjoy!! </t>
  </si>
  <si>
    <t>வெண்ணெய் மற்றும் சர்க்கரை மென்மையாகும் வரை அடிக்கவும்.
மாவு + பேக்கிங் பவுடர் + கஸ்டர்ட் பவுடர் கலவையைச் சேர்த்து நன்கு கலக்கும் வரை கலக்கவும்.
பால் (அறை வெப்பநிலை), வெண்ணிலா சாறு/சாரம் சேர்த்து கிரீமி மாவு கிடைக்கும் வரை நன்கு கலக்கவும்.
35-40 நிமிடங்கள் அல்லது கேக்கின் மையத்தில் செருகப்பட்ட ஒரு டூத்பிக் சுத்தமாக வரும் வரை சுடவும்.
ஒரு கம்பி ரேக்கில் அதை குளிர்வித்து, பின்னர் கேக்கை வெட்டுங்கள். மகிழுங்கள்!!</t>
  </si>
  <si>
    <t>https://encrypted-tbn0.gstatic.com/images?q=tbn:ANd9GcR1ZrB2WDBPJ3pNW-8quv-PK-OyYlPK4HYsgw&amp;s</t>
  </si>
  <si>
    <t>Caramel Custard</t>
  </si>
  <si>
    <t>கேரமல் கஸ்டர்ட்</t>
  </si>
  <si>
    <t xml:space="preserve">   Eggs - 3,
   Milk - 1 1/2 cups,
   Vanilla essence - 1 tsp,
   Sugar - 45 grams,
   Sugar for caramelizing - 1/4 cup.</t>
  </si>
  <si>
    <t>முட்டைகள் - 3,
பால் - 1 1/2 கப்,
வெண்ணிலா எசன்ஸ் - 1 தேக்கரண்டி,
சர்க்கரை - 45 கிராம்,
கேரமலைஸ் செய்வதற்கு சர்க்கரை - 1/4 கப்.</t>
  </si>
  <si>
    <t>Break 3 small eggs into a bowl, add a tsp of vanilla essence and 45 grams of powdered sugar or castor sugar. Whisk until frothy using a wire whisk.
Heat milk (milk should not be very hot) and add to the egg mixture whisking continuously to prevent the eggs from getting cooked.
Strain the mixture and leave it to cool. Straining is done to give the custard a smooth texture and to remove undissolved egg white strands. Then pour the milk-egg mixture into the prepared ramekins.
Prepare a water bath -(ie) take a tray, add a cup of water and place the ramekins in it as shown in the picture below and bake in a pre-heated oven for 30 minutes or until a toothpick inserted in the center of the custard comes out clean.
Leave it to cool. Once it comes to room temperature, cover and refrigerate it for 5- 6 hours or overnight.
Remove from the refrigerator, carefully run a knife and loosen the sides of the ramekin. Place a plate over the mold or ramekin and holding it tightly, turn it upside down and loosen the custard from the ramekin. Serve chilled.</t>
  </si>
  <si>
    <t>ஒரு கிண்ணத்தில் 3 சிறிய முட்டைகளை உடைத்து, ஒரு தேக்கரண்டி வெண்ணிலா எசன்ஸ் மற்றும் 45 கிராம் தூள் சர்க்கரை அல்லது ஆமணக்கு சர்க்கரை சேர்க்கவும். கம்பி துடைப்பத்தால் நுரை வரும் வரை அடிக்கவும்.
பாலை சூடாக்கவும் (பால் மிகவும் சூடாக இருக்கக்கூடாது) மற்றும் முட்டை கலவையில் சேர்க்கவும், முட்டைகள் வேகாமல் இருக்க தொடர்ந்து கிளறிக்கொண்டே இருங்கள்.
கலவையை வடிகட்டி குளிர்விக்க விடவும். கஸ்டர்டுக்கு மென்மையான அமைப்பைக் கொடுக்கவும், கரையாத முட்டையின் வெள்ளைக்கரு இழைகளை அகற்றவும் வடிகட்டுதல் செய்யப்படுகிறது. பின்னர் பால்-முட்டை கலவையை தயாரிக்கப்பட்ட ரமேக்கின்களில் ஊற்றவும்.
ஒரு தண்ணீர் குளியல் தயார் - (அதாவது) ஒரு தட்டில் எடுத்து, ஒரு கப் தண்ணீரைச் சேர்த்து, கீழே உள்ள படத்தில் காட்டப்பட்டுள்ளபடி ரமேக்கின்களை அதில் வைக்கவும், முன் சூடாக்கப்பட்ட அடுப்பில் 30 நிமிடங்கள் அல்லது கஸ்டர்டின் மையத்தில் செருகப்பட்ட ஒரு டூத்பிக் சுத்தமாக வெளியே வரும் வரை சுடவும்.
அதை குளிர்விக்க விடவும். அறை வெப்பநிலைக்கு வந்தவுடன், மூடி 5-6 மணி நேரம் அல்லது இரவு முழுவதும் குளிர்சாதன பெட்டியில் வைக்கவும்.
குளிர்சாதன பெட்டியிலிருந்து எடுத்து, கத்தியை கவனமாக இயக்கி, ரமேக்கினின் பக்கங்களைத் தளர்த்தவும். அச்சு அல்லது ரமேக்கினின் மீது ஒரு தட்டை வைத்து, அதை இறுக்கமாகப் பிடித்து, தலைகீழாக மாற்றி, ரமேக்கினிலிருந்து கஸ்டர்டை தளர்த்தவும். குளிர்ந்து பரிமாறவும்.</t>
  </si>
  <si>
    <t>https://encrypted-tbn0.gstatic.com/images?q=tbn:ANd9GcRPhIKaEMp6jeEq89R2eAqAt4cqpmR6XB3whQ&amp;s</t>
  </si>
  <si>
    <t>Ragi Biscuits</t>
  </si>
  <si>
    <t>ராகி பிஸ்கட்</t>
  </si>
  <si>
    <t xml:space="preserve">    ragi flour - 1/2 cup,
   Wheat flour - 1/2 cup,
   powdered organic jaggery - 1/2 cup,
   Cold Butter-100 grams - 1/2 cup,
   Baking powder - 1 tsp,
   Vanilla essence   -1/2 tsp,
   Milk – 2 tbsp to knead the dough.
</t>
  </si>
  <si>
    <t>ராகி மாவு - 1/2 கப்,
கோதுமை மாவு - 1/2 கப்,
பொடித்த ஆர்கானிக் வெல்லம் - 1/2 கப்,
குளிர்ந்த வெண்ணெய் - 100 கிராம் - 1/2 கப்,
பேக்கிங் பவுடர் - 1 டீஸ்பூன்,
வெண்ணிலா எசன்ஸ் - 1/2 டீஸ்பூன்,
பால் - மாவை பிசைய 2 டீஸ்பூன்.</t>
  </si>
  <si>
    <t>Now all our ingredients are kept ready. Cut butter into small pieces and add to the sieved ragi + wheat flour.
Mix well with your fingers until the mixture become crumbled as shown in the picture below. 
Add powdered sugar or jaggery or brown sugar and mix it well.
Add needed milk little at a time and make a smooth dough. Refrigerate the dough for 15-20 minutes.
Dust wheat flour and roll out the dough. The rolled out dough should not be too thin nor too thick. Using a lid or cookie cutter, cut desired shapes. I have used a round bottle cap. Press it with a fork as shown in the picture below to give it a striped pattern. Alternatively, you can make small balls out of the dough, press it between your palms to give a round flat shape (just like cookies) and make striped design with a fork and then bake.
Place the biscuits on a greased tray and bake at 180 degree C for 15-20 minutes or until the biscuits start browning slightly. Remove and cool on a wire rack. Once it cools it will become crisp. Store it in an airtight container.</t>
  </si>
  <si>
    <t>இப்போது நமது அனைத்து பொருட்களும் தயாராக உள்ளன. வெண்ணெயை சிறிய துண்டுகளாக வெட்டி சல்லடை செய்த ராகி + கோதுமை மாவுடன் சேர்க்கவும்.
கீழே உள்ள படத்தில் காட்டப்பட்டுள்ளபடி கலவை நொறுங்கும் வரை உங்கள் விரல்களால் நன்கு கலக்கவும்.
பொடித்த சர்க்கரை அல்லது வெல்லம் அல்லது பழுப்பு சர்க்கரையைச் சேர்த்து நன்கு கலக்கவும்.
தேவையான பாலை சிறிது சிறிதாகச் சேர்த்து மென்மையான மாவை உருவாக்கவும். மாவை 15-20 நிமிடங்கள் குளிர்சாதன பெட்டியில் வைக்கவும்.
கோதுமை மாவைத் தூவி மாவை உருட்டவும். உருட்டப்பட்ட மாவு மிகவும் மெல்லியதாகவோ அல்லது மிகவும் அடர்த்தியாகவோ இருக்கக்கூடாது. ஒரு மூடி அல்லது குக்கீ கட்டரைப் பயன்படுத்தி, விரும்பிய வடிவங்களை வெட்டுங்கள். நான் ஒரு வட்ட பாட்டில் மூடியைப் பயன்படுத்தினேன். கீழே உள்ள படத்தில் காட்டப்பட்டுள்ளபடி, ஒரு ஃபோர்க் கொண்டு அழுத்தி, அதற்கு ஒரு கோடிட்ட வடிவத்தை கொடுக்கலாம். மாற்றாக, நீங்கள் மாவிலிருந்து சிறிய உருண்டைகளை உருவாக்கி, உங்கள் உள்ளங்கைகளுக்கு இடையில் அழுத்தி, ஒரு வட்டமான தட்டையான வடிவத்தை (குக்கீகளைப் போல) கொடுக்கலாம். பின்னர் ஒரு ஃபோர்க் கொண்டு கோடிட்ட வடிவமைப்பை உருவாக்கி, பின்னர் சுடலாம்.
பிஸ்கட்களை ஒரு நெய் தடவிய தட்டில் வைத்து, 180 டிகிரி செல்சியஸில் 15-20 நிமிடங்கள் அல்லது பிஸ்கட் சிறிது பழுப்பு நிறமாகத் தொடங்கும் வரை சுடவும். வெளியே எடுத்து ஒரு கம்பி ரேக்கில் குளிர்விக்கவும். அது குளிர்ந்ததும் அது மொறுமொறுப்பாக மாறும். காற்று புகாத கொள்கலனில் சேமிக்கவும்.</t>
  </si>
  <si>
    <t>https://nativespecial.com/in/wp-content/uploads/sites/3/2019/11/Ragi-Bicuit_DP.jpg</t>
  </si>
  <si>
    <t>Whole Wheat Biscuits</t>
  </si>
  <si>
    <t>முழு கோதுமை பிஸ்கட்கள்</t>
  </si>
  <si>
    <t xml:space="preserve">   Wheat flour - 1 cup,
   Baking powder - 1 tsp,
    Salt – a pinch,
   Cold unsalted butter - 100 grams,
   Pure organic Powdered Jaggery - 1/2 cup,
   Cardamom powder - 1/4 tsp,
   Milk – 2 tbsp.</t>
  </si>
  <si>
    <t>கோதுமை மாவு - 1 கப்,
பேக்கிங் பவுடர் - 1 டீஸ்பூன்,
உப்பு - ஒரு சிட்டிகை,
குளிர்ந்த உப்பு சேர்க்காத வெண்ணெய் - 100 கிராம்,
தூய ஆர்கானிக் பொடித்த வெல்லம் - 1/2 கப்,
ஏலக்காய் தூள் - 1/4 டீஸ்பூன்,
பால் - 2 டீஸ்பூன்.</t>
  </si>
  <si>
    <t>Cut the butter into small pieces and add to the wheat flour mix.
Mix well with your fingers until butter blends well with the flour and the mixture resembles coarse crumbs. This is a very important step. Add powdered sugar or jaggery, cardamom powder and mix well with your fingers.
Add cold milk (only as much as you need to make a dough) and make a smooth dough. Refrigerate the dough for 15 minutes.
Dust the rolling board with flour, then roll out the dough evenly (It should neither be too thin nor too thick). Using a biscuit cutter or cookie cutter or bottle lid, cut it into desired shapes. I have used a round lid. Arrange it on the greased baking tray.
Gather the remaining dough, roll it out using a rolling pin and repeat the same process as above until all the dough is used.
Bake in a preheat oven for 15 minutes or until the biscuits start browning on the edges. Remove from tray and leave it to cool.
Store it in an airtight container. Enjoy these healthy, guilt free biscuits any time of the day. It is also a perfect and healthy snack for kids.</t>
  </si>
  <si>
    <t>வெண்ணெயை சிறிய துண்டுகளாக வெட்டி கோதுமை மாவு கலவையில் சேர்க்கவும்.
வெண்ணெய் மாவுடன் நன்றாகக் கலக்கும் வரை உங்கள் விரல்களால் நன்றாகக் கலக்கவும், கலவை கரடுமுரடான துண்டுகளைப் போல இருக்கும். இது மிகவும் முக்கியமான படியாகும். தூள் சர்க்கரை அல்லது வெல்லம், ஏலக்காய் தூள் சேர்த்து உங்கள் விரல்களால் நன்றாகக் கலக்கவும்.
குளிர்ந்த பால் (மாவைத் தயாரிக்கத் தேவையான அளவு மட்டும்) சேர்த்து மென்மையான மாவை உருவாக்கவும். மாவை 15 நிமிடங்கள் குளிர்சாதன பெட்டியில் வைக்கவும்.
உருட்டல் பலகையில் மாவைத் தூவி, பின்னர் மாவை சமமாக உருட்டவும் (இது மிகவும் மெல்லியதாகவோ அல்லது மிகவும் அடர்த்தியாகவோ இருக்கக்கூடாது). பிஸ்கட் கட்டர் அல்லது குக்கீ கட்டர் அல்லது பாட்டில் மூடியைப் பயன்படுத்தி, விரும்பிய வடிவங்களில் வெட்டவும். நான் ஒரு வட்ட மூடியைப் பயன்படுத்தினேன். நெய் தடவிய பேக்கிங் தட்டில் வைக்கவும்.
மீதமுள்ள மாவைச் சேகரித்து, ஒரு ரோலிங் பின் பயன்படுத்தி உருட்டி, மேலே உள்ள அதே செயல்முறையை முழு மாவும் பயன்படுத்தப்படும் வரை மீண்டும் செய்யவும்.
முன்கூட்டியே சூடாக்கப்பட்ட அடுப்பில் 15 நிமிடங்கள் அல்லது பிஸ்கட்கள் விளிம்புகளில் பழுப்பு நிறமாகத் தொடங்கும் வரை சுடவும். தட்டில் இருந்து அகற்றி குளிர்விக்க விடவும்.
காற்று புகாத கொள்கலனில் சேமித்து வைக்கவும். இந்த ஆரோக்கியமான, குற்ற உணர்ச்சியற்ற பிஸ்கட்களை நாளின் எந்த நேரத்திலும் அனுபவிக்கவும். இது குழந்தைகளுக்கு ஒரு சரியான மற்றும் ஆரோக்கியமான சிற்றுண்டியாகும்.</t>
  </si>
  <si>
    <t>https://encrypted-tbn0.gstatic.com/images?q=tbn:ANd9GcROwiSC6xQKxbnYWqE2ZSTi3A-LD2noDSmhPg&amp;s</t>
  </si>
  <si>
    <t>Ragi Chocolate Cake</t>
  </si>
  <si>
    <t>ராகி சாக்லேட் கேக்</t>
  </si>
  <si>
    <t xml:space="preserve">   Whole Wheat Flour - 1 cup,
   ragi flour - 1/2 cup,
   Powdered Brown Sugar - 1 cup,
   Baking Soda - 3/4 tsp,
   Cocoa powder - 2 tbsp,
   Salt - a pinch,
   Thick yogurt - 3/4 cup,
   Milk - 1/4 cup +2 tbsp,
   Any flavorless oil - 1/4 cup,
   Vanilla essence - 1 tsp,
   Honey - 2 tsp,
   Walnuts toasted and chopped - 1/2 cup,
   Milk - 2 cups,
   Sugar-  4-5 tbsp,
   Cocoa powder - 4 tbsp,
   Butter - 1 tbsp,
   Vanilla essence - 1/2 tsp,
  Dark chocolate - 1 bar.</t>
  </si>
  <si>
    <t>முழு கோதுமை மாவு - 1 கப்,
ராகி மாவு - 1/2 கப்,
பொடித்த பிரவுன் சர்க்கரை - 1 கப்,
பேக்கிங் சோடா - 3/4 டீஸ்பூன்,
கோகோ பவுடர் - 2 டீஸ்பூன்,
உப்பு - ஒரு சிட்டிகை,
அடர்த்தியான தயிர் - 3/4 கப்,
பால் - 1/4 கப் +2 டீஸ்பூன்,
எந்த சுவையற்ற எண்ணெய் - 1/4 கப்,
வெண்ணிலா எசன்ஸ் - 1 டீஸ்பூன்,
தேன் - 2 டீஸ்பூன்,
வறுத்து நறுக்கிய வால்நட்ஸ் - 1/2 கப்,
பால் - 2 கப்,
சர்க்கரை- 4-5 டீஸ்பூன்,
கோகோ பவுடர் - 4 டீஸ்பூன்,
வெண்ணெய் - 1 டீஸ்பூன்,
வெண்ணிலா எசன்ஸ் - 1/2 டீஸ்பூன்,
டார்க் சாக்லேட் - 1 பார்.</t>
  </si>
  <si>
    <t>Keep the dry ingredients and the wet ingredients ready.
Dry ingredients -Sieved ragi flour+wheat flour+cocoa powder+baking soda+salt and powdered sugar.
Wet ingredients – Yogurt+honey, oil, milk and vanilla essence.
ingredients for eggless whole wheat chocolate cake 
Now mix the powder sugar with the flour.
Mix the milk, vanilla essence and oil to the yogurt+honey mixture.
Now mix the wet ingredient with the dry ingredients until well combined. Do not overmix. If using chopped walnuts, dust it with a little flour and mix it gently with the batter.
Pour it in a greased baking tin and tap the pan slightly so that the mixture settles evenly.
Bake in a pre-heat oven at 180 degrees for 35-40 minutes or until a tooth pick inserted in the center of the cake comes out clean.
Once done, let it remain in the oven for 5-6 minutes. Then remove the cake tin from the oven and transfer the cake to a wire rack to cool.
Mix together milk, 4 tbsp cocoa powder and sugar well. Make sure that there are no lumps.
Now cook the mixture on medium heat until it starts boiling. Once it starts boiling, reduce the heat and cook stirring the mixture continuously until it starts thickening and reaches a sauce like consistency.
Turn off the heat, add butter and vanilla essence to the mixture. Stir well and let it cool completely.
Once the cake cools completely, pour the chocolate sauce over the cake.
Keep the bar of dark chocolate outside the refrigerator.
After half an hour, using a vegetable peeler, peel out chocolate curls.
Then refrigerate the chocolate curls until it hardens.
Sprinkle over the cake and enjoy!!!</t>
  </si>
  <si>
    <t>உலர்ந்த பொருட்கள் மற்றும் ஈரமான பொருட்களை தயாராக வைத்திருங்கள்.
உலர்ந்த பொருட்கள் - சலிக்கப்பட்ட ராகி மாவு+கோதுமை மாவு+கோகோ பவுடர்+பேக்கிங் சோடா+உப்பு மற்றும் தூள் சர்க்கரை.
ஈரமான பொருட்கள் - தயிர்+தேன், எண்ணெய், பால் மற்றும் வெண்ணிலா எசன்ஸ்.
முட்டை இல்லாத முழு கோதுமை சாக்லேட் கேக்கிற்கான பொருட்கள்
இப்போது மாவுடன் தூள் சர்க்கரையை கலக்கவும்.
தயிர்+தேன் கலவையில் பால், வெண்ணிலா எசன்ஸ் மற்றும் எண்ணெய் ஆகியவற்றை கலக்கவும்.
இப்போது ஈரமான மூலப்பொருளை உலர்ந்த பொருட்களுடன் நன்கு கலக்கும் வரை கலக்கவும். அதிகமாக கலக்க வேண்டாம். நறுக்கிய வால்நட்ஸைப் பயன்படுத்தினால், சிறிது மாவுடன் தூவி, மாவுடன் மெதுவாக கலக்கவும்.
நெய் தடவிய பேக்கிங் டின்னில் ஊற்றி, கலவை சமமாக படியும் வகையில் பாத்திரத்தை லேசாகத் தட்டவும்.
180 டிகிரிக்கு முன்னதாகவே சூடாக்கப்பட்ட அடுப்பில் 35-40 நிமிடங்கள் அல்லது கேக்கின் மையத்தில் செருகப்பட்ட டூத்பிக் சுத்தமாக வரும் வரை சுடவும்.
வெட்டப்பட்டதும், அதை 5-6 நிமிடங்கள் அடுப்பில் வைக்கவும். பின்னர் கேக் டின்னை அடுப்பிலிருந்து அகற்றி, கேக்கை ஒரு கம்பி ரேக்கிற்கு மாற்றி குளிர்விக்க வைக்கவும்.
பால், 4 டேபிள்ஸ்பூன் கோகோ பவுடர் மற்றும் சர்க்கரை ஆகியவற்றை நன்கு கலக்கவும். கட்டிகள் எதுவும் இல்லை என்பதை உறுதிப்படுத்திக் கொள்ளுங்கள்.
இப்போது கலவையை கொதிக்க ஆரம்பிக்கும் வரை மிதமான வெப்பத்தில் சமைக்கவும். கொதிக்க ஆரம்பித்ததும், தீயைக் குறைத்து, கலவையை கெட்டியாக ஆரம்பித்து சாஸ் போன்ற நிலைத்தன்மை அடையும் வரை தொடர்ந்து கிளறவும்.
தீயை அணைத்து, வெண்ணெய் மற்றும் வெண்ணிலா எசன்ஸை கலவையில் சேர்க்கவும். நன்கு கிளறி முழுமையாக ஆற விடவும்.
கேக் முழுவதுமாக ஆறியதும், சாக்லேட் சாஸை கேக்கின் மீது ஊற்றவும்.
டார்க் சாக்லேட் பட்டையை குளிர்சாதன பெட்டியின் வெளியே வைக்கவும்.
அரை மணி நேரம் கழித்து, காய்கறி தோலுரிப்பான் மூலம், சாக்லேட் சுருட்டைகளை உரிக்கவும்.
பின்னர் சாக்லேட் சுருட்டை கெட்டியாகும் வரை குளிர்சாதன பெட்டியில் வைக்கவும்.
கேக்கின் மேல் தூவி மகிழுங்கள்!!!</t>
  </si>
  <si>
    <t>https://www.yummytummyaarthi.com/wp-content/uploads/2023/05/ragi-cake-1.jpeg</t>
  </si>
  <si>
    <t>Moist Chocolate Cake</t>
  </si>
  <si>
    <t>ஈரமான சாக்லேட் கேக்</t>
  </si>
  <si>
    <t>In a bowl, add powdered sugar.
Then add all purpose flour (mixed with baking powder, baking soda and salt)
Add cocoa powder and mix well with a wire whisk. Our dry ingredient is ready.
In another bowl, whisk eggs, then add warm water.
Add milk (should be lukewarm) and oil to the egg mixture.
Add vanilla essence and whisk everything together. Wet ingredient is ready.
Both the dry ingredients and wet ingredients are ready. Now add the wet ingredients to the dry ingredients.
Stir or mix until well combined. There should be no lumps.The batter will be watery.
Pour it into the prepared pan up to 3/4th and bake at 180 degree C for 25-30 minutes or until a toothpick inserted in the center of the cake comes out clean. Remove from oven and let it cool for 10 minutes. Then remove the cake from their pans and leave it to cool completely. Do not be in a hurry to cut the cake.</t>
  </si>
  <si>
    <t>ஒரு கிண்ணத்தில், தூள் சர்க்கரை சேர்க்கவும்.
பின்னர் அனைத்து உபயோக மாவு (பேக்கிங் பவுடர், பேக்கிங் சோடா மற்றும் உப்பு சேர்த்து கலக்கவும்)
கோகோ பவுடரைச் சேர்த்து ஒரு கம்பி துடைப்பத்தால் நன்கு கலக்கவும். எங்கள் உலர்ந்த மூலப்பொருள் தயாராக உள்ளது.
மற்றொரு கிண்ணத்தில், முட்டைகளை அடித்து, பின்னர் வெதுவெதுப்பான நீரைச் சேர்க்கவும்.
முட்டை கலவையில் பால் (வெதுவெதுப்பாக இருக்க வேண்டும்) மற்றும் எண்ணெயைச் சேர்க்கவும்.
வெண்ணிலா எசன்ஸைச் சேர்த்து எல்லாவற்றையும் ஒன்றாக அடிக்கவும். ஈரமான மூலப்பொருள் தயாராக உள்ளது.
உலர்ந்த பொருட்கள் மற்றும் ஈரமான பொருட்கள் இரண்டும் தயாராக உள்ளன. இப்போது ஈரமான பொருட்களை உலர்ந்த பொருட்களில் சேர்க்கவும்.
நன்கு கலக்கும் வரை கிளறவும் அல்லது கலக்கவும். கட்டிகள் இருக்கக்கூடாது. மாவு தண்ணீராக இருக்கும்.
தயாரிக்கப்பட்ட பாத்திரத்தில் 3/4 பங்கு வரை ஊற்றி 180 டிகிரி செல்சியஸ் வெப்பநிலையில் 25-30 நிமிடங்கள் அல்லது கேக்கின் மையத்தில் செருகப்பட்ட ஒரு டூத்பிக் சுத்தமாக வெளியே வரும் வரை சுடவும். அடுப்பிலிருந்து இறக்கி 10 நிமிடங்கள் ஆற விடவும். பின்னர் கேக்கை அவற்றின் பாத்திரங்களிலிருந்து எடுத்து முழுமையாக ஆற விடவும். கேக்கை வெட்ட அவசரப்பட வேண்டாம்.</t>
  </si>
  <si>
    <t>https://icecreambakery.in/wp-content/uploads/2023/12/Homemade-Moist-Chocolate-Cake-Eggless-Recipe.jpg</t>
  </si>
  <si>
    <t>Christmas Fruit Cake</t>
  </si>
  <si>
    <t>கிறிஸ்துமஸ் பழ கேக்</t>
  </si>
  <si>
    <t>Butter – 150 grams,
Sultanas - 125 grams,
Currants – 125 grams,
Cashew nuts – 100 grams,
Tutti frutti – 50 grams,
Brown sugar – 130 grams,
Dry ginger powder – 1 tsp,
Cinnamon powder - 1 tsp,
Baking soda – 1 tsp,
Water - 1 1/4 cup,
Eggs - 2,
All purpose flour/Maida – 300 grams,
Baking powder – 2 tsp.</t>
  </si>
  <si>
    <t>வெண்ணெய் - 150 கிராம்,
சுல்தானாக்கள் - 125 கிராம்,
திராட்சை வத்தல் - 125 கிராம்,
முந்திரி பருப்பு - 100 கிராம்,
துட்டி பழம் - 50 கிராம்,
பழுப்பு சர்க்கரை - 130 கிராம்,
உலர்ந்த இஞ்சி தூள் - 1 தேக்கரண்டி,
இலவங்கப்பட்டை தூள் - 1 தேக்கரண்டி,
பேக்கிங் சோடா - 1 தேக்கரண்டி,
தண்ணீர் - 1 1/4 கப்,
முட்டை - 2,
அனைத்து உபயோக மாவு / மைதா - 300 கிராம்,
பேக்கிங் பவுடர் - 2 தேக்கரண்டி.</t>
  </si>
  <si>
    <t>Mix all the dry fruits and nuts in a bowl. Dust it with a tsp of flour and keep it ready.
Add baking soda, sugar, water, butter, dry ginger powder, cinnamon powder and cook over medium flame until it boils.
Simmer for 2-3 minutes after it boils. Then remove from heat and let it cool completely. If you have used cinnamon stick instead of powder, remove the cinnamon pieces once it cools down completely.
Once the mixture has cooled, you can pre heat the oven at 180 degree C for 15 minutes.
Beat 2 eggs lightly with a fork and add to the cooled mixture. Beat egg into the mixture until well combined. I used the electric hand beater at low speed.
adding eggs to fruit cake mixture 
Fold in flour+baking powder mixture gently until well combined.
Pour mixture into the greased tin and spread it out evenly with a spatula. Alternatively you can tap the tin for the mixture to settle evenly.
Bake for 1 hour or until a skewer inserted in the center of the cake comes out clean.
Once baked, cool it and then invert the cake. Delicious, soft, moist and yummy Christmas Fruit Cake/Plum Cake without alcohol is ready.</t>
  </si>
  <si>
    <t>ஒரு பாத்திரத்தில் அனைத்து உலர் பழங்கள் மற்றும் கொட்டைகளையும் கலந்து வைக்கவும். அதனுடன் ஒரு தேக்கரண்டி மாவை தூவி தயாராக வைக்கவும்.
பேக்கிங் சோடா, சர்க்கரை, தண்ணீர், வெண்ணெய், உலர் இஞ்சி தூள், இலவங்கப்பட்டை தூள் சேர்த்து கொதிக்கும் வரை மிதமான தீயில் சமைக்கவும்.
கொதித்த பிறகு 2-3 நிமிடங்கள் கொதிக்க வைக்கவும். பின்னர் வெப்பத்திலிருந்து நீக்கி முழுமையாக ஆற விடவும். நீங்கள் பொடிக்குப் பதிலாக இலவங்கப்பட்டை குச்சியைப் பயன்படுத்தியிருந்தால், இலவங்கப்பட்டை துண்டுகள் முழுவதுமாக ஆறியதும் அதை அகற்றவும்.
கலவை குளிர்ந்ததும், அடுப்பை 180 டிகிரி செல்சியஸில் 15 நிமிடங்கள் முன்கூட்டியே சூடாக்கலாம்.
2 முட்டைகளை ஒரு முட்கரண்டியால் லேசாக அடித்து குளிர்ந்த கலவையில் சேர்க்கவும். முட்டையை கலவையில் நன்கு கலக்கும் வரை அடிக்கவும். நான் மின்சார கை பீட்டரை குறைந்த வேகத்தில் பயன்படுத்தினேன்.
பழ கேக் கலவையில் முட்டைகளைச் சேர்க்கவும்
மாவு + பேக்கிங் பவுடர் கலவையை நன்கு கலக்கும் வரை மெதுவாக மடிக்கவும்.
நெய் தடவிய டின்னில் கலவையை ஊற்றி, ஒரு ஸ்பேட்டூலாவுடன் சமமாக பரப்பவும். மாற்றாக, கலவை சமமாக குடியேற டின்னைத் தட்டலாம்.
1 மணி நேரம் அல்லது கேக்கின் மையத்தில் செருகப்பட்ட ஒரு ஸ்கேவர் சுத்தமாக வரும் வரை சுடவும்.
சுட்டவுடன், அதை குளிர்வித்து, பின்னர் கேக்கை தலைகீழாக மாற்றவும். ஆல்கஹால் இல்லாமல் சுவையான, மென்மையான, ஈரமான மற்றும் சுவையான கிறிஸ்துமஸ் பழ கேக்/பிளம் கேக் தயார்.</t>
  </si>
  <si>
    <t>https://bakewithshivesh.com/wp-content/uploads/2021/12/IMG_4449-scaled.jpg</t>
  </si>
  <si>
    <t>Owl Oreo Cupcakes</t>
  </si>
  <si>
    <t>ஆந்தை ஓரியோ கப்கேக்குகள்</t>
  </si>
  <si>
    <t>All purpose flour/maida – 2 1/4 cup,
Baking powder - 1 tsp,
Salt – 1/2 tsp,
Unsalted Butter – 8 tbsp,
Powdered white Sugar – 1 2/3 cup,
Egg white – 3,
Vanilla essence – 2 tsp,
Milk - 1 cup
Oreo Halves with cream  – 24,
Oreo - 20 coarsely chopped,
Butter – 25 grams,
Icing Sugar - 100 grams,
Cocoa powder - 10 grams,
Milk – 1-2 tbsp milk,
Vanilla essence - 1/4 tsp.</t>
  </si>
  <si>
    <t>அனைத்து உபயோக மாவு/மைதா - 2 1/4 கப்,
பேக்கிங் பவுடர் - 1 டீஸ்பூன்,
உப்பு - 1/2 டீஸ்பூன்,
உப்பு சேர்க்காத வெண்ணெய் - 8 டீஸ்பூன்,
பொடித்த வெள்ளை சர்க்கரை - 1 2/3 கப்,
முட்டை வெள்ளைக்கரு - 3,
வெண்ணிலா எசன்ஸ் - 2 டீஸ்பூன்,
பால் - 1 கப்
கிரீமுடன் அரைத்த ஓரியோ - 24,
ஓரியோ - 20 பொடியாக நறுக்கியது,
வெண்ணெய் - 25 கிராம்,
ஐசிங் சர்க்கரை - 100 கிராம்,
கோகோ பவுடர் - 10 கிராம்,
பால் - 1-2 டீஸ்பூன் பால்,
வெண்ணிலா எசன்ஸ் - 1/4 டீஸ்பூன்.</t>
  </si>
  <si>
    <t>Line cupcake pan or muffin pan with paper liners and place oreo half with cream side up as shown in the picture below.
Coarsely chop 20 oreos, dust it with a little flour and keep it ready.
In a bowl combine together butter and sugar until light and fluffy. (I used electric hand beater)
Add egg white, one at a time and beat well.
beating butter and sugar for cupcake
 Add vanilla extract and mix well. Add half of the flour and mix until well combined.
Add milk and mix until well incorporated. Fold in the remaining flour. (you can use the electric hand beater at low speed)
adding milk to the cupcake batter
Add the chopped oreo biscuits and mix gently until evenly incorporated. Do not over mix.
adding coarsely chopped oreos for oreo cupcake
Fill  the batter to 3/4 the paper liner and tap the pan gently, so that the batter will settle evenly.
Bake for 18-20 minutes (at 180 degree C) or until a toothpick inserted in the center of the cake comes out clean. After the first 10 minutes of baking, rotate the pan the other way and bake for another 10 minutes. Let the cake cool completely. You should frost the cake only after it cools completely.
Beat butter until fluffy. Add icing sugar and cocoa into the butter and mix well. Add vanilla essence and milk and beat for a few more seconds. It should be of spreading consistency, so add milk accordingly.  
To create Owl Cupcakes, separate the oreo biscuit into half and use the cream side for the eyes.You need 2 for the eyes. Apply a little frosting at the back side of the biscuit and stick it on the cupcake.
Break the other piece (without the cream) into half, apply a little frosting at the back side and stick the ears for the owl.
Stick cadbury gems using frosting for the nose and center of the eyes as shown in the picture below. That’s it. Kids could even decorate these cupcakes themselves.
Wow!! Look at the Cute, Delicious, Edible Owl Cupcakes. Perfect for any occasion.</t>
  </si>
  <si>
    <t>கப்கேக் பான் அல்லது மஃபின் பானை காகித லைனர்களால் வரிசைப்படுத்தி, கீழே உள்ள படத்தில் காட்டப்பட்டுள்ளபடி கிரீம் பக்கவாட்டில் ஓரியோ பாதியை வைக்கவும்.
20 ஓரியோக்களை கரடுமுரடாக நறுக்கி, சிறிது மாவுடன் தூவி தயாராக வைக்கவும்.
ஒரு பாத்திரத்தில் வெண்ணெய் மற்றும் சர்க்கரையை லேசாக, பஞ்சுபோன்று வரும் வரை கலக்கவும். (நான் எலக்ட்ரிக் ஹேண்ட் பீட்டரைப் பயன்படுத்தினேன்)
முட்டையின் வெள்ளைக்கருவை ஒவ்வொன்றாகச் சேர்த்து நன்றாக அடிக்கவும்.
கப்கேக்கிற்கு வெண்ணெய் மற்றும் சர்க்கரையை அடிக்கவும்
வெண்ணிலா சாறு சேர்த்து நன்றாக கலக்கவும். மாவில் பாதியைச் சேர்த்து நன்றாக கலக்கவும்.
பால் சேர்த்து நன்றாக கலக்கும் வரை கலக்கவும். மீதமுள்ள மாவை மடிக்கவும். (நீங்கள் குறைந்த வேகத்தில் எலக்ட்ரிக் ஹேண்ட் பீட்டரைப் பயன்படுத்தலாம்)
கப்கேக் மாவில் பால் சேர்க்கவும்
நறுக்கிய ஓரியோ பிஸ்கட்களைச் சேர்த்து சமமாக கலக்கும் வரை மெதுவாக கலக்கவும். அதிகமாக கலக்க வேண்டாம்.
ஓரியோ கப்கேக்கிற்கு கரடுமுரடாக நறுக்கிய ஓரியோக்களைச் சேர்க்கவும்
மாவை 3/4 பேப்பர் லைனரில் நிரப்பி, பாத்திரத்தை மெதுவாகத் தட்டவும், இதனால் மாவு சமமாக இருக்கும்.
18-20 நிமிடங்கள் (180 டிகிரி செல்சியஸில்) அல்லது கேக்கின் மையத்தில் செருகப்பட்ட டூத்பிக் சுத்தமாக வரும் வரை சுடவும். பேக்கிங் செய்த முதல் 10 நிமிடங்களுக்குப் பிறகு, பாத்திரத்தை மறுபுறம் சுழற்றி மேலும் 10 நிமிடங்கள் சுடவும். கேக்கை முழுமையாக ஆற விடவும். கேக் முழுவதுமாக ஆறிய பிறகுதான் அதை ஃப்ரோஸ்ட் செய்ய வேண்டும்.
வெண்ணெயை பஞ்சுபோன்ற வரை அடிக்கவும். வெண்ணெயில் ஐசிங் சர்க்கரை மற்றும் கோகோவை சேர்த்து நன்கு கலக்கவும். வெண்ணிலா எசன்ஸ் மற்றும் பால் சேர்த்து இன்னும் சில வினாடிகள் அடிக்கவும். அது பரவும் நிலைத்தன்மையுடன் இருக்க வேண்டும், எனவே அதற்கேற்ப பால் சேர்க்கவும்.
ஆந்தை கப்கேக்குகளை உருவாக்க, ஓரியோ பிஸ்கட்டை பாதியாகப் பிரித்து கண்களுக்கு கிரீம் பக்கத்தைப் பயன்படுத்தவும். கண்களுக்கு 2 தேவை. பிஸ்கட்டின் பின்புறத்தில் சிறிது ஃப்ரோஸ்டிங்கைப் பூசி கப்கேக்கில் ஒட்டவும்.
மறு துண்டை (கிரீம் இல்லாமல்) பாதியாக உடைத்து, பின்புறத்தில் சிறிது ஃப்ரோஸ்டிங்கைப் பூசி, ஆந்தைக்கு காதுகளை ஒட்டவும்.
கீழே உள்ள படத்தில் காட்டப்பட்டுள்ளபடி மூக்கு மற்றும் கண்களின் மையத்திற்கு ஃப்ரோஸ்டிங்கைப் பயன்படுத்தி கேட்பரி ரத்தினங்களை ஒட்டவும். அவ்வளவுதான். குழந்தைகள் இந்த கப்கேக்குகளை அவர்களே அலங்கரிக்கலாம்.
ஆஹா!! அழகான, சுவையான, உண்ணக்கூடிய ஆந்தை கப்கேக்குகளைப் பாருங்கள். எந்த சந்தர்ப்பத்திற்கும் ஏற்றது.</t>
  </si>
  <si>
    <t>https://onelittleproject.com/wp-content/uploads/2022/08/Owl-Oreo-Cupcakes-500x500.jpg</t>
  </si>
  <si>
    <t>Marie Biscuit Pudding</t>
  </si>
  <si>
    <t>மேரி பிஸ்கட் புட்டிங்</t>
  </si>
  <si>
    <t>Marie biscuits - 30 biscuits,
Unsalted Butter - 100 gms,
Icing sugar - 1 cup,
Cocoa powder - 3 tbsp,
Milk – 2 tbsp,
Vanilla extract - 1/2 tsp,
 Espresso powder - 1 1/2 tsp,
Water - 1 cup.</t>
  </si>
  <si>
    <t>மேரி பிஸ்கட் - 30 பிஸ்கட்கள்,
உப்பு சேர்க்காத வெண்ணெய் - 100 கிராம்,
ஐசிங் சர்க்கரை - 1 கப்,
கோகோ பவுடர் - 3 டேபிள் ஸ்பூன்,
பால் - 2 டேபிள் ஸ்பூன்,
வெண்ணிலா சாறு - 1/2 டேபிள் ஸ்பூன்,
எஸ்பிரெசோ பவுடர் - 1 1/2 டேபிள் ஸ்பூன்,
தண்ணீர் - 1 கப்.</t>
  </si>
  <si>
    <t>In a bowl, beat together butter and sugar until light and fluffy. You can use a wooden spatula or an electric hand mixer.
Add cocoa powder and continue beating until well mixed.
Add vanilla essence and mix well. Add milk little at a time and mix well. The consistency of the mixture should neither be stiff nor too watery. It should be easily spreadable, so adjust milk accordingly.
Now dip the biscuit one at a time in coffee decoction and arrange it in the pan as shown in the picture below. It doesn’t matter, if the biscuits overlap.
With a spatula, spread the butter + sugar +cocoa powder mixture over the biscuits evenly filling all the gaps and corners (see picture below). Repeat with another layer of biscuits dipped in coffee decoction and top it  with another layer of cream.
Continue layering biscuits and cream alternatively until all the cream is over and the cream layer is the top most layer. (I got 3 layers)
Decorate it with chopped nuts or silver ball or sprinkles, cover it that extra cling film, press it gently and keep it in the refrigerator to set. 
biscuit cake
When ready, lift the pudding out of the pan, unfold it and slice it into small pieces and serve immediately.</t>
  </si>
  <si>
    <t>ஒரு கிண்ணத்தில், வெண்ணெய் மற்றும் சர்க்கரையை லேசாகவும் பஞ்சுபோன்றதாகவும் அடிக்கவும். நீங்கள் ஒரு மர ஸ்பேட்டூலா அல்லது எலக்ட்ரிக் ஹேண்ட் மிக்சரைப் பயன்படுத்தலாம்.
கோகோ பவுடரைச் சேர்த்து நன்கு கலக்கும் வரை தொடர்ந்து அடிக்கவும்.
வெண்ணிலா எசென்ஸ் சேர்த்து நன்கு கலக்கவும். சிறிது சிறிதாக பால் சேர்த்து நன்கு கலக்கவும். கலவையின் நிலைத்தன்மை கடினமாகவோ அல்லது அதிக தண்ணீராகவோ இருக்கக்கூடாது. இது எளிதில் பரவக்கூடியதாக இருக்க வேண்டும், எனவே அதற்கேற்ப பாலை சரிசெய்யவும்.
இப்போது பிஸ்கட்டை ஒவ்வொன்றாக காபி டிகாக்ஷனில் நனைத்து, கீழே உள்ள படத்தில் காட்டப்பட்டுள்ளபடி பாத்திரத்தில் வைக்கவும். பிஸ்கட்கள் ஒன்றுடன் ஒன்று இணைந்தாலும் பரவாயில்லை.
ஒரு ஸ்பேட்டூலாவைப் பயன்படுத்தி, வெண்ணெய் + சர்க்கரை + கோகோ பவுடர் கலவையை பிஸ்கட்களின் மேல் சமமாகப் பரப்பி, அனைத்து இடைவெளிகளையும் மூலைகளையும் நிரப்பவும் (கீழே உள்ள படத்தைப் பார்க்கவும்). காபி டிகாக்ஷனில் நனைத்த பிஸ்கட்களின் மற்றொரு அடுக்கை மீண்டும் செய்து, அதன் மேல் மற்றொரு அடுக்கை கிரீம் தடவவும்.
கிரீம் முழுவதும் முடிந்து, கிரீம் லேயர் மேல் அடுக்காக இருக்கும் வரை பிஸ்கட் மற்றும் கிரீம் ஆகியவற்றை மாறி மாறி அடுக்கி வைக்கவும். (எனக்கு 3 லேயர்கள் கிடைத்தன)
நறுக்கிய நட்ஸ் அல்லது சில்வர் பால் அல்லது ஸ்பிரிங்க்ளால் அலங்கரித்து, அந்த கூடுதல் கிளிங் ஃபிலிமை மூடி, மெதுவாக அழுத்தி, குளிர்சாதன பெட்டியில் அமைக்க வைக்கவும்.
பிஸ்கட் கேக்
தயாரானதும், புட்டிங்கை பாத்திரத்திலிருந்து எடுத்து, விரித்து, சிறிய துண்டுகளாக வெட்டி உடனடியாக பரிமாறவும்.</t>
  </si>
  <si>
    <t>https://1.bp.blogspot.com/--Wr9XbKVJd0/Uc_NgExLyGI/AAAAAAAAHhk/GnsJuY6_quc/s664/marie-biscuit-pudding.jpg</t>
  </si>
  <si>
    <t>Pineapple Upside Down Cake</t>
  </si>
  <si>
    <t>அன்னாசிப்பழம் தலைகீழாக மாற்றும் கேக்</t>
  </si>
  <si>
    <t>All purpose flour/maida – 1 1/2 cup,
Baking powder – 2 tsp,
Salt – 1/4 tsp,
Butter – 1/2 cup unsalted butter,
Granulated white Sugar – 1 cup,
Vanilla essence – 1 tsp,
Eggs – 2 ,
Milk – 1/2 cup,
 Round baking pan 9 inch,
Butter – 4 tbsp unsalted butter,
Brown sugar – 3/4 cup,
Pineapple – fresh or canned,
Candied Cherries.</t>
  </si>
  <si>
    <t>அனைத்து உபயோக மாவு/மைதா - 1 1/2 கப்,
பேக்கிங் பவுடர் - 2 தேக்கரண்டி,
உப்பு - 1/4 தேக்கரண்டி,
வெண்ணெய் - 1/2 கப் உப்பு சேர்க்காத வெண்ணெய்,
கிரானுலேட்டட் வெள்ளை சர்க்கரை - 1 கப்,
வெண்ணிலா எசன்ஸ் - 1 தேக்கரண்டி,
முட்டை - 2 ,
பால் - 1/2 கப்,
வட்ட பேக்கிங் பான் 9 அங்குலம்,
வெண்ணெய் - 4 தேக்கரண்டி உப்பு சேர்க்காத வெண்ணெய்,
பழுப்பு சர்க்கரை - 3/4 கப்,
அன்னாசி - புதியது அல்லது பதிவு செய்யப்பட்ட,
மிட்டாய் செய்யப்பட்ட செர்ரிகள்.</t>
  </si>
  <si>
    <t>Preheat the oven at 180 degree C for 15 minutes.
If using fresh pineapple, peel and core the pineapple and cut it into quarters with 1/4 inch thickness. If using tinned pineapple, drain the syrup, pat it dry with a paper towel and napkin and keep it ready. 
Sieve maida, baking powder and salt together twice.
Grease and flour the baking pan and keep it ready.
In a pan, add butter, brown sugar and stir over medium heat until butter melts and sugar dissolves. After sugar dissolves, continue cooking without stirring for a few more minutes or until bubbles just start to appear around the outside edges of the mixture.
Switch off the flame and pour it into the prepared baking pan. Let it cool a little.
Then arrange the pineapple slices on top of the sugar mixture. Keep cut cherries in the center and corners or as you like in the space in between.
Beat butter and sugar in a bowl until light and fluffy with an electric mixer or with a hand mixer. Add vanilla essence.
Add egg yolks one at time and beat well after each addition.
Add flour mix (3 additions) and milk (2 additions) alternatively ending with flour. Use electric beater in low speed and stop once mixed well. Do not over beat as the cake will turn hard.
cake batter preparation 
In a dry bowl, whisk the egg whites until it forms a firm peak.
Using a spatula gently fold in the beaten egg white with the cake batter in two additions.
Now tap the baking tray for the batter to spread evenly and smooth the top.
Bake in a preheated oven at 180 degree C for 45-55 minutes or until the top of the cake has browned and starts to pull away from the sides of the pan. Insert a toothpick in the center of the cake and if it comes out clean, your cake is done. 
Remove from the oven and place on a wire rack to cool for about 10 minutes. Once the cake has cooled down, run a knife around the edges of the pan and then invert the cake.
Yummy pineapple upside down cake is ready. It can be served warm from the oven or cooled. If needed it can be topped with a dollop of softly whipped cream.</t>
  </si>
  <si>
    <t>அவுனை 180 டிகிரி செல்சியஸில் 15 நிமிடங்கள் முன்கூட்டியே சூடாக்கவும்.
புதிய அன்னாசிப்பழத்தைப் பயன்படுத்தினால், அன்னாசிப்பழத்தை உரித்து மையமாகக் கொண்டு 1/4 அங்குல தடிமன் கொண்ட காலாண்டுகளாக வெட்டவும். டின்னில் அடைக்கப்பட்ட அன்னாசிப்பழத்தைப் பயன்படுத்தினால், சிரப்பை வடிகட்டி, ஒரு காகித துண்டு மற்றும் துடைக்கும் கொண்டு உலர்த்தி தயாராக வைக்கவும்.
மைதா, பேக்கிங் பவுடர் மற்றும் உப்பு ஆகியவற்றை ஒன்றாக இரண்டு முறை சல்லடை செய்யவும்.
பேக்கிங் பாத்திரத்தில் எண்ணெய் தடவி மாவு தடவி தயாராக வைக்கவும்.
ஒரு பாத்திரத்தில், வெண்ணெய், பழுப்பு சர்க்கரை சேர்த்து, வெண்ணெய் உருகி சர்க்கரை கரையும் வரை மிதமான தீயில் கிளறவும். சர்க்கரை கரைந்த பிறகு, இன்னும் சில நிமிடங்கள் அல்லது கலவையின் வெளிப்புற விளிம்புகளைச் சுற்றி குமிழ்கள் தோன்றத் தொடங்கும் வரை கிளறாமல் சமைக்கவும்.
சுடரை அணைத்துவிட்டு, தயாரிக்கப்பட்ட பேக்கிங் பாத்திரத்தில் ஊற்றவும். சிறிது ஆற விடவும்.
பின்னர் அன்னாசி துண்டுகளை சர்க்கரை கலவையின் மேல் வைக்கவும். செர்ரிகளை மையத்திலும் மூலைகளிலும் அல்லது இடைப்பட்ட இடத்தில் நீங்கள் விரும்பியபடி வெட்டவும்.
ஒரு கிண்ணத்தில் வெண்ணெய் மற்றும் சர்க்கரையை எலக்ட்ரிக் மிக்சர் அல்லது ஹேண்ட் மிக்சர் மூலம் லேசாகவும் பஞ்சுபோன்றும் அடிக்கவும். வெண்ணிலா எசென்ஸ் சேர்க்கவும்.
முட்டையின் மஞ்சள் கருவை ஒவ்வொன்றாகச் சேர்த்து, ஒவ்வொரு சேர்த்தலுக்குப் பிறகும் நன்றாக அடிக்கவும்.
மாவு கலவையை (3 சேர்த்தல்கள்) மற்றும் பால் (2 சேர்த்தல்கள்) சேர்த்து, மாவுடன் முடிக்கவும். மின்சார பீட்டரை குறைந்த வேகத்தில் பயன்படுத்தி, நன்கு கலந்தவுடன் நிறுத்தவும். கேக் கெட்டியாக மாறும் என்பதால் அதிகமாக அடிக்க வேண்டாம்.
கேக் மாவு தயாரிப்பு
ஒரு உலர்ந்த கிண்ணத்தில், முட்டையின் வெள்ளைக்கருவை ஒரு உறுதியான பீக்காகும் வரை அடிக்கவும்.
ஒரு ஸ்பேட்டூலாவைப் பயன்படுத்தி, அடித்த முட்டையின் வெள்ளைக்கருவை கேக் மாவுடன் இரண்டு பகுதிகளாக மடிக்கவும்.
இப்போது பேக்கிங் தட்டைத் தட்டவும், இதனால் மாவு சமமாக பரவி மேற்புறம் மென்மையாக இருக்கும்.
180 டிகிரி செல்சியஸில் முன்கூட்டியே சூடேற்றப்பட்ட அடுப்பில் 45-55 நிமிடங்கள் அல்லது கேக்கின் மேற்பகுதி பழுப்பு நிறமாகி, வாணலியின் பக்கங்களிலிருந்து விலகிச் செல்லத் தொடங்கும் வரை சுடவும். கேக்கின் மையத்தில் ஒரு டூத்பிக் செருகவும், அது சுத்தமாக வெளியே வந்தால், உங்கள் கேக் முடிந்தது.
அடுப்பிலிருந்து இறக்கி, ஒரு கம்பி ரேக்கில் சுமார் 10 நிமிடங்கள் குளிர்விக்க வைக்கவும். கேக் குளிர்ந்ததும், வாணலியின் விளிம்புகளைச் சுற்றி ஒரு கத்தியை இயக்கி, பின்னர் கேக்கைத் தலைகீழாக மாற்றவும்.
சுவையான அன்னாசிப்பழம் தலைகீழாக மாற்றும் கேக் தயாராக உள்ளது. அதை அடுப்பிலிருந்து சூடாக பரிமாறலாம் அல்லது குளிர்விக்கலாம். தேவைப்பட்டால், அதன் மேல் ஒரு சிறிய அளவு மென்மையான விப் க்ரீம் சேர்த்து பரிமாறலாம்.</t>
  </si>
  <si>
    <t>https://www.allrecipes.com/thmb/TyPsqAqv-m7pHbErHdthWPkwdnA=/1500x0/filters:no_upscale():max_bytes(150000):strip_icc()/AR-273774-grandmas-skillet-pineapple-upside-down-cake-dmfs-4x3-95b098ac81a4473b8b44d1bbbb8f3447.jpg</t>
  </si>
  <si>
    <t>Eggless Garlic Rolls</t>
  </si>
  <si>
    <t>முட்டை இல்லாத பூண்டு ரோல்ஸ்</t>
  </si>
  <si>
    <t xml:space="preserve">   All purpose flour/ maida - 1 1/2 cups,
   Warm Water - 1/2 cup,
   Active Dry Yeast - 1/2 tbsp,
   Salt – 1/2 tsp,
   Sugar - 1 tbsp,
   Virgin Olive Oil -1 1/2 tbsp,
   Salted Butter - 50 grams,
   Garlic - 2-3 cloves grated,
   Coriander leaves .</t>
  </si>
  <si>
    <t>அனைத்து உபயோக மாவு / மைதா - 1 1/2 கப்,
வெதுவெதுப்பான நீர் - 1/2 கப்,
ஆக்டிவ் ட்ரை ஈஸ்ட் - 1/2 டீஸ்பூன்,
உப்பு - 1/2 டீஸ்பூன்,
சர்க்கரை - 1 டீஸ்பூன்,
கன்னி ஆலிவ் எண்ணெய் - 1 1/2 டீஸ்பூன்,
உப்பு சேர்க்கப்பட்ட வெண்ணெய் - 50 கிராம்,
பூண்டு - 2-3 பல் துருவியது,
கொத்தமல்லி இலைகள்.</t>
  </si>
  <si>
    <t>Mix together flour, sugar, salt, yeast with warm water and knead until you get a smooth dough.
Then add oil to the dough and knead well again. When you press with your finger, the dough should bounce back to its original shape. Kneading the dough is very important. You can check this video on how to knead bread dough. Apply oil on the dough and place it in a greased bowl. Cover it with a cling film or a kitchen towel and allow it to rise for 45-50 minutes undisturbed.
Meant time we will prepare the garlic spread. Mix salted butter, grated garlic and coriander leaves together to form a paste. Your garlic spread is ready.
After 50 minutes – The bread dough has doubled its initial size (pic below). Knock down the air in the dough with your fist. 
Now roll the dough (1/2 inch thick) using a rolling pin more like a rectangle. Dust flour to prevent it from sticking.
Apply around 1-1/2 tbsp garlic spread on it.
Now roll it with the garlic spread inside. Cut it into 2 equal halves, then further cut that 2 parts into 2 again. So you will be having 4 rolls.
Place the rolls in a greased baking pan with the cut side up as shown in the picture. Apply the remaining garlic spread on top. Brush the rolls with milk or egg if preferred. Sprinkle sesame seeds and leave it covered and undisturbed for another 20 minutes.
In the meantime, preheat the oven at 180 degree C for around 15 minutes.
Bake for 20-25 minutes or until the top starts browning and you get a nice aroma of roasted garlic and bread.
Soft and flavorful garlic bread is ready. Have it as such or with soup for dinner.</t>
  </si>
  <si>
    <t>மாவு, சர்க்கரை, உப்பு, ஈஸ்ட் ஆகியவற்றை வெதுவெதுப்பான நீரில் கலந்து மென்மையான மாவு கிடைக்கும் வரை பிசையவும்.
பின்னர் மாவில் எண்ணெய் சேர்த்து மீண்டும் நன்றாக பிசையவும். உங்கள் விரலால் அழுத்தும் போது, ​​மாவு அதன் அசல் வடிவத்திற்குத் திரும்ப வேண்டும். மாவை பிசைவது மிகவும் முக்கியம். ரொட்டி மாவை எப்படி பிசைவது என்பது குறித்த இந்த வீடியோவை நீங்கள் பார்க்கலாம். மாவில் எண்ணெய் தடவி, எண்ணெய் தடவிய கிண்ணத்தில் வைக்கவும். அதை ஒரு கிளிங் ஃபிலிம் அல்லது கிச்சன் டவலால் மூடி, 45-50 நிமிடங்கள் தொந்தரவு செய்யாமல் உயர விடவும்.
சிறிது நேரத்தில் நாங்கள் பூண்டு ஸ்ப்ரெட் தயார் செய்வோம். உப்பு வெண்ணெய், துருவிய பூண்டு மற்றும் கொத்தமல்லி இலைகளை ஒன்றாக கலந்து பேஸ்ட் செய்யவும். உங்கள் பூண்டு ஸ்ப்ரெட் தயாராக உள்ளது.
50 நிமிடங்களுக்குப் பிறகு - ரொட்டி மாவு அதன் ஆரம்ப அளவை இரட்டிப்பாக்கியுள்ளது (கீழே உள்ள படம்). உங்கள் கைமுட்டியால் மாவில் காற்றை அழுத்தவும்.
இப்போது மாவை (1/2 அங்குல தடிமன்) ஒரு செவ்வகம் போல உருட்டவும். அது ஒட்டாமல் இருக்க மாவைத் தூவவும்.
அதன் மீது சுமார் 1-1/2 தேக்கரண்டி பூண்டு தடவவும்.
இப்போது பூண்டை உள்ளே பரப்பி உருட்டவும். அதை 2 சம பாகங்களாக வெட்டி, பின்னர் அந்த 2 பகுதிகளையும் மீண்டும் 2 ஆக வெட்டவும். எனவே உங்களுக்கு 4 ரோல்கள் கிடைக்கும்.
படத்தில் காட்டப்பட்டுள்ளபடி வெட்டப்பட்ட பக்கவாட்டில் ரோல்களை நெய் தடவிய பேக்கிங் பாத்திரத்தில் வைக்கவும். மீதமுள்ள பூண்டை மேலே தடவவும். விரும்பினால் ரோல்களை பால் அல்லது முட்டையுடன் துலக்கவும். எள் விதைகளைத் தூவி, மூடி வைத்து மேலும் 20 நிமிடங்கள் தொந்தரவு செய்யாமல் வைக்கவும்.
இதற்கிடையில், அடுப்பை 180 டிகிரி செல்சியஸில் சுமார் 15 நிமிடங்கள் சூடாக்கவும்.
மேல் பகுதி பழுப்பு நிறமாக மாறி, வறுத்த பூண்டு மற்றும் ரொட்டியின் நல்ல நறுமணம் வரும் வரை 20-25 நிமிடங்கள் சுடவும்.
மென்மையான மற்றும் சுவையான பூண்டு ரொட்டி தயார். இதை அப்படியே சாப்பிடுங்கள் அல்லது இரவு உணவிற்கு சூப்புடன் சாப்பிடுங்கள்.</t>
  </si>
  <si>
    <t>https://encrypted-tbn0.gstatic.com/images?q=tbn:ANd9GcSmMUhpEtFCZK7-zZFeb5WEqvcMloLyA8AiIQ&amp;s</t>
  </si>
  <si>
    <t>Vanilla Cupcakes</t>
  </si>
  <si>
    <t>வெண்ணிலா கப்கேக்குகள்</t>
  </si>
  <si>
    <t>Butter - 1/2 cup,
Sugar – 2/3 cup,
Egg – 3,
Vanilla essence – 1 tsp,
Zest of 1 lemon,
All purpose flour /maida – 1 1/2 cup,
Baking powder – 1 1/2 tsp,
Salt – 1/4 tsp,
Milk – 1/4 cup,
Icing sugar – 2 cup,
Unsalted butter – 1/2 cup ,
Vanilla essence – 1 tsp,
Milk – 1-2 tbsp,
Food colors as desired.</t>
  </si>
  <si>
    <t>வெண்ணெய் - 1/2 கப்,
சர்க்கரை - 2/3 கப்,
முட்டை - 3,
வெண்ணிலா எசன்ஸ் - 1 டீஸ்பூன்,
1 எலுமிச்சைத் தோல்,
அனைத்து உபயோக மாவு / மைதா - 1 1/2 கப்,
பேக்கிங் பவுடர் - 1 1/2 டீஸ்பூன்,
உப்பு - 1/4 டீஸ்பூன்,
பால் - 1/4 கப்,
ஐசிங் சர்க்கரை - 2 கப்,
உப்பு சேர்க்காத வெண்ணெய் - 1/2 கப்,
வெண்ணிலா எசன்ஸ் - 1 டீஸ்பூன்,
பால் - 1-2 டீஸ்பூன்,
விரும்பினால் உணவு வண்ணங்கள்.</t>
  </si>
  <si>
    <t>In a bowl, beat together butter and sugar until light and fluffy with an electric or a hand mixer.
Then add eggs, one at a time and beat well. Add vanilla essence and mix well.
Now gently fold in flour mixture and milk alternatively in 3 additions beginning and ending with flour.
Fill muffin cup with the prepared batter only up to 3/4 th.
Bake in a preheated oven at 180 degree C for 15-20 minutes or until a toothpick inserted in the center of the cake comes out clean.
Once baked remove from the oven and leave it to cool.
Frost only after the cake has cooled down completely.
Cream butter until smooth with an electric or a hand mixer.
Add vanilla essence and sugar and beat until light and fluffy.
Add milk and beat again. You can reduce or increase the quantity of milk according to the consistency required.
Divide the frosting and add colors of your choice and pipe frosting on top of the cupcake as you like.
If you want a flat top, you can cut off the dome of the cupcake with a sharp knife.</t>
  </si>
  <si>
    <t>ஒரு கிண்ணத்தில், வெண்ணெய் மற்றும் சர்க்கரையை மின்சார அல்லது கை மிக்சியைப் பயன்படுத்தி லேசாகவும் பஞ்சுபோன்றதாகவும் அடிக்கவும்.
பின்னர் முட்டைகளை ஒவ்வொன்றாகச் சேர்த்து நன்றாக அடிக்கவும். வெண்ணிலா எசன்ஸ் சேர்த்து நன்றாக கலக்கவும்.
இப்போது மெதுவாக மாவு கலவை மற்றும் பாலில் மாவுடன் தொடங்கி முடிவடையும் 3 சேர்த்தல்களில் சேர்த்து மெதுவாக மடிக்கவும்.
தயாரிக்கப்பட்ட மாவை மஃபின் கப்பில் 3/4 பங்கு வரை மட்டுமே நிரப்பவும்.
180 டிகிரி செல்சியஸில் முன்கூட்டியே சூடேற்றப்பட்ட அடுப்பில் 15-20 நிமிடங்கள் அல்லது கேக்கின் மையத்தில் செருகப்பட்ட டூத்பிக் சுத்தமாக வெளியே வரும் வரை சுடவும்.
சுட்ட பிறகு, அடுப்பிலிருந்து இறக்கி குளிர்விக்க விடவும்.
கேக் முழுவதுமாக குளிர்ந்த பிறகு மட்டுமே உறைய வைக்கவும்.
மின்சார அல்லது கை மிக்சியைப் பயன்படுத்தி வெண்ணெய் மென்மையாகும் வரை கிரீம் செய்யவும்.
வெண்ணிலா எசன்ஸ் மற்றும் சர்க்கரையைச் சேர்த்து லேசாகவும் பஞ்சுபோன்றதாகவும் அடிக்கவும்.
பால் சேர்த்து மீண்டும் அடிக்கவும். தேவையான நிலைத்தன்மைக்கு ஏற்ப பாலின் அளவைக் குறைக்கலாம் அல்லது அதிகரிக்கலாம்.
ஃப்ரோஸ்டிங்கைப் பிரித்து, உங்களுக்கு விருப்பமான வண்ணங்களைச் சேர்த்து, கப்கேக்கின் மேல் நீங்கள் விரும்பியபடி ஃப்ரோஸ்டிங்கைச் சேர்க்கவும்.
நீங்கள் ஒரு தட்டையான மேற்புறத்தை விரும்பினால், கூர்மையான கத்தியால் கப்கேக்கின் குவிமாடத்தை வெட்டலாம்.</t>
  </si>
  <si>
    <t>https://natashaskitchen.com/wp-content/uploads/2020/05/Vanilla-Cupcakes-3.jpg</t>
  </si>
  <si>
    <t>Chocolate Mug Cake</t>
  </si>
  <si>
    <t>சாக்லேட் மக் கேக்</t>
  </si>
  <si>
    <t xml:space="preserve">   All purpose flour/ maida – 4 tbsp,
   Sugar – 4 tbsp,
   Cocoa powder - 2 tbsp,
   Baking powder – 1/4 tsp,
   Egg – 1,
   Milk – 3 tbsp,
   Oil or melted butter - 2 tbsp,
   Vanilla essence - 1/2 tsp,
   Chocolate chips – 1 tbsp,
   Microwave safe mug – 1 big .</t>
  </si>
  <si>
    <t>அனைத்து வகையான மாவு/ மைதா - 4 டீஸ்பூன்,
சர்க்கரை - 4 டீஸ்பூன்,
கோகோ பவுடர் - 2 டீஸ்பூன்,
பேக்கிங் பவுடர் - 1/4 டீஸ்பூன்,
முட்டை - 1,
பால் - 3 டீஸ்பூன்,
எண்ணெய் அல்லது உருகிய வெண்ணெய் - 2 டீஸ்பூன்,
வெண்ணிலா எசன்ஸ் - 1/2 டீஸ்பூன்,
சாக்லேட் சிப்ஸ் - 1 டீஸ்பூன்,
மைக்ரோவேவ் சேஃப் மக் - 1 பெரியது.</t>
  </si>
  <si>
    <t>Mix all the dry ingredients in a mug. (maida, sugar, baking powder and cocoa powder)
Then add egg and mix it well.
Add milk, melted butter and vanilla essence. Mix well.
Add chocolate chips (recommended) and mix it gently.
Microwave at 800 W for 1 minute.Check it after 1 minute. Then microwave for another minute or two.(each microwave is different, so adjust seeing your cake). Allow it to cool.
Run a knife around the edges and invert the cake onto a plate and cut it into round or hearts using a cookie cutter. Top it with vanilla ice cream and serve.
Serve as such with the mug, topped with vanilla ice cream. Tastes awesome!!
Just sprinkle powdered sugar on top and serve. Cut out a small cardboard heart, keep it on top of the cake and dust powder sugar on the rest of the area. Remove the heart and it will be as in the picture above.
minutes microwave chocolate mug cake
For eggless version, follow the same recipe omitting the egg. The cake will be more fudgy and will not be as soft as the ones with eggs. It tastes great if served with a scoop of ice cream.
I tried steaming the cake and the result was not bad but it took around 20 minutes for the cake to be done.</t>
  </si>
  <si>
    <t>ஒரு குவளையில் அனைத்து உலர்ந்த பொருட்களையும் கலக்கவும். (மைதா, சர்க்கரை, பேக்கிங் பவுடர் மற்றும் கோகோ பவுடர்)
பின்னர் முட்டையைச் சேர்த்து நன்கு கலக்கவும்.
பால், உருகிய வெண்ணெய் மற்றும் வெண்ணிலா எசன்ஸ் சேர்க்கவும். நன்றாக கலக்கவும்.
சாக்லேட் சிப்ஸ் (பரிந்துரைக்கப்பட்டது) சேர்த்து மெதுவாக கலக்கவும்.
800 W இல் 1 நிமிடம் மைக்ரோவேவ் செய்யவும். 1 நிமிடம் கழித்து சரிபார்க்கவும். பின்னர் மற்றொரு அல்லது இரண்டு நிமிடங்கள் மைக்ரோவேவ் செய்யவும். (ஒவ்வொரு மைக்ரோவேவும் வித்தியாசமாக இருக்கும், எனவே உங்கள் கேக்கைப் பார்த்து சரிசெய்யவும்). அதை குளிர்விக்க அனுமதிக்கவும்.
விளிம்புகளைச் சுற்றி ஒரு கத்தியை இயக்கி, கேக்கை ஒரு தட்டில் திருப்பி, குக்கீ கட்டரைப் பயன்படுத்தி வட்டமாக அல்லது இதயங்களாக வெட்டவும். அதன் மேல் வெண்ணிலா ஐஸ்க்ரீமை ஊற்றி பரிமாறவும்.
குவளையுடன் சேர்த்து அப்படியே பரிமாறவும், அதன் மேல் வெண்ணிலா ஐஸ்க்ரீமை ஊற்றவும். சுவை அருமை!!
மேலே பொடித்த சர்க்கரையைத் தூவி பரிமாறவும். ஒரு சிறிய அட்டைப் பலகையை வெட்டி, கேக்கின் மேல் வைத்து, மீதமுள்ள பகுதியில் சர்க்கரைப் பொடியைத் தூவவும். இதயத்தை அகற்றினால், அது மேலே உள்ள படத்தில் உள்ளது போல் இருக்கும்.
நிமிட மைக்ரோவேவ் சாக்லேட் மக் கேக்
முட்டை இல்லாத பதிப்பிற்கு, முட்டையைத் தவிர்த்து அதே செய்முறையைப் பின்பற்றவும். கேக் மிகவும் மங்கலாக இருக்கும், மேலும் முட்டைகளுடன் இருப்பதைப் போல மென்மையாக இருக்காது. ஒரு ஸ்கூப் ஐஸ்க்ரீமுடன் பரிமாறினால் இது மிகவும் சுவையாக இருக்கும்.
நான் கேக்கை வேகவைக்க முயற்சித்தேன், விளைவு மோசமாக இல்லை, ஆனால் கேக் செய்ய சுமார் 20 நிமிடங்கள் ஆனது.</t>
  </si>
  <si>
    <t>https://encrypted-tbn0.gstatic.com/images?q=tbn:ANd9GcTPAVsSBNsyUzNya7rQU6Cb3s88EhcNT97hhw&amp;s</t>
  </si>
  <si>
    <t>Chocolate Crinkle Cookies</t>
  </si>
  <si>
    <t>சாக்லேட் க்ரிங்கிள் குக்கீகள்</t>
  </si>
  <si>
    <t>Semisweet chocolate – 115 grams,
Unsalted butter – 2 tbsp,
Granulated white sugar – 1/4 cup,
Egg – 1,
Vanilla essence – 1 tsp,
All purpose flour/ maida – 3/4 cup,
Salt – a pinch,
Baking powder – 1/4 tsp,
Icing sugar for coating – 50 grams.</t>
  </si>
  <si>
    <t>செமிஸ்வீட் சாக்லேட் - 115 கிராம்,
உப்பு சேர்க்காத வெண்ணெய் - 2 டேபிள்ஸ்பூன்,
கிரானுலேட்டட் வெள்ளை சர்க்கரை - 1/4 கப்,
முட்டை - 1,
வெண்ணிலா எசன்ஸ் - 1 டேபிள்ஸ்பூன்,
அனைத்து உபயோக மாவு / மைதா - 3/4 கப்,
உப்பு - ஒரு சிட்டிகை,
பேக்கிங் பவுடர் - 1/4 டேபிள்ஸ்பூன்,
பூச்சுக்கு ஐசிங் சர்க்கரை - 50 கிராம்.</t>
  </si>
  <si>
    <t>Place the bowl with chocolate and butter over another bowl of simmering water and melt the chocolate and butter. Remove from heat and allow it to cool to room temperature.(pic 1 below)
Beat eggs and sugar until thick, pale and fluffy.
Look at the egg + sugar mixture below after beating. It is pale and thick. When you lift the hand mixer, the batter should fall back into the bowl in slow ribbons. That is the correct consistency.
Now add vanilla essence and the cooled chocolate mixture to egg mix and beat again until well blended.
Now add the dry ingredients to the above and mix until well combined. Do not over beat.
Cover the dough with a plastic wrap and refrigerate until firm. I refrigerated overnight.
Now make a small ball (1 inch) from the chilled dough and roll it in icing sugar until the ball is completely coated with sugar. Generously coat sugar so as to cover the chocolate completely.Repeat the same process for the rest of the dough.
Arrange the icing sugar coated balls in a parchment lined baking tray 2 inches apart.
Bake in a preheated oven for 10-15 minutes or until the edges are slightly firm.The center will be soft. Do not over bake them as they will become dry. Remove from oven and leave it to cool on a wire rack.
As the cookies bake, they spread making cracks in the white sugar which looked so lovely.
The cookies were very delicious and just melted in our mouth. It can be stored in an air tight container for 2 days.</t>
  </si>
  <si>
    <t>சாக்லேட் மற்றும் வெண்ணெய் உள்ள கிண்ணத்தை மற்றொரு கிண்ணத்தில் கொதிக்கும் நீரில் வைத்து சாக்லேட் மற்றும் வெண்ணெயை உருக்கவும். வெப்பத்திலிருந்து நீக்கி அறை வெப்பநிலையில் குளிர்விக்க அனுமதிக்கவும். (கீழே உள்ள படம் 1)
முட்டை மற்றும் சர்க்கரையை கெட்டியாகவும், வெளிர் நிறமாகவும், பஞ்சுபோன்றதாகவும் அடிக்கவும்.
அடித்த பிறகு கீழே உள்ள முட்டை + சர்க்கரை கலவையைப் பாருங்கள். அது வெளிர் நிறமாகவும், அடர்த்தியாகவும் இருக்கும். நீங்கள் கை மிக்சரை உயர்த்தும்போது, ​​மாவு மெதுவாக ரிப்பன்களில் கிண்ணத்தில் விழ வேண்டும். அதுதான் சரியான நிலைத்தன்மை.
இப்போது வெண்ணிலா எசன்ஸ் மற்றும் குளிர்ந்த சாக்லேட் கலவையை முட்டை கலவையில் சேர்த்து நன்கு கலக்கும் வரை மீண்டும் அடிக்கவும்.
இப்போது மேலே உள்ளவற்றுடன் உலர்ந்த பொருட்களைச் சேர்த்து நன்கு கலக்கும் வரை கலக்கவும். அதிகமாக அடிக்க வேண்டாம்.
மாவை ஒரு பிளாஸ்டிக் மடக்குடன் மூடி, கெட்டியாகும் வரை குளிர்சாதன பெட்டியில் வைக்கவும். நான் இரவு முழுவதும் குளிர்சாதன பெட்டியில் வைத்தேன்.
இப்போது குளிர்ந்த மாவிலிருந்து ஒரு சிறிய பந்தை (1 அங்குலம்) உருவாக்கி, பந்து முழுவதுமாக சர்க்கரையால் மூடப்பட்டிருக்கும் வரை ஐசிங் சர்க்கரையில் உருட்டவும். சாக்லேட்டை முழுவதுமாக மூடும் வகையில் தாராளமாக சர்க்கரையை பூசவும். மீதமுள்ள மாவிற்கும் இதே செயல்முறையை மீண்டும் செய்யவும்.
ஐசிங் சர்க்கரை பூசப்பட்ட பந்துகளை காகிதத்தோல் பூசப்பட்ட பேக்கிங் தட்டில் 2 அங்குல இடைவெளியில் வைக்கவும்.
முன்கூட்டியே சூடேற்றப்பட்ட அடுப்பில் 10-15 நிமிடங்கள் அல்லது விளிம்புகள் சற்று உறுதியாகும் வரை சுடவும். மையப்பகுதி மென்மையாக இருக்கும். அவை வறண்டு போகும் என்பதால் அவற்றை அதிகமாக சுட வேண்டாம். அடுப்பிலிருந்து இறக்கி ஒரு கம்பி ரேக்கில் குளிர்விக்க விடவும்.
குக்கீகள் சுடும்போது, ​​அவை வெள்ளை சர்க்கரையில் விரிசல்களை ஏற்படுத்துகின்றன, அது மிகவும் அழகாகத் தெரிந்தது.
குக்கீகள் மிகவும் சுவையாக இருந்தன, நம் வாயில் உருகின. இதை 2 நாட்களுக்கு காற்று புகாத கொள்கலனில் சேமிக்கலாம்.</t>
  </si>
  <si>
    <t>https://www.browneyedbaker.com/wp-content/uploads/2014/12/chocolate-crinkle-cookies-8-2-600.jpg</t>
  </si>
  <si>
    <t>Pinwheel Cookies</t>
  </si>
  <si>
    <t>பின்வீல் குக்கீகள்</t>
  </si>
  <si>
    <t>All purpose flour/ maida – 1 cup,
Baking powder - 1/4 tsp,
Salt - a pinch,
Unsalted butter – 115 grams,
Sugar - 1/2 cup,
Egg – 1 separated,
Vanilla essence – 1 tsp,
Orange zest – 1 tsp,
Semisweet chocolate – 30 grams,
Cocoa powder – 2 tsp.</t>
  </si>
  <si>
    <t>அனைத்து உபயோக மாவு/மைதா - 1 கப்,
பேக்கிங் பவுடர் - 1/4 டீஸ்பூன்,
உப்பு - ஒரு சிட்டிகை,
உப்பு சேர்க்காத வெண்ணெய் - 115 கிராம்,
சர்க்கரை - 1/2 கப்,
முட்டை - 1 பிரித்தெடுக்கப்பட்டது,
வெண்ணிலா எசன்ஸ் - 1 டீஸ்பூன்,
ஆரஞ்சு தோல் - 1 டீஸ்பூன்,
அரை இனிப்பு சாக்லேட் - 30 கிராம்,
கோகோ பவுடர் - 2 டீஸ்பூன்.</t>
  </si>
  <si>
    <t>In a bowl combine together butter and sugar until smooth.
Add vanilla essence, egg yolk and beat until well blended
Add the dry ingredients (maida + baking powder + salt) little at a time and mix well until you get a smooth dough.
Now divide the dough into 2 equal parts.
To one part add orange zest and mix well.(we will call this the orange dough)
To the other part add chocolate and cocoa powder and mix until well  blended.(I mixed cocoa powder with the chocolate first and then added the chocolate+cocoa mix to the dough and blended well)
Refrigerate both the dough separately in a plastic wrap until firm.
Now place the orange dough between 2 sheets of parchment paper and roll out into a 10 * 5 rectangle 1/2 inch thick. I did not roll out into a rectangle but later trimmed the sides of the dough.
Now place the chocolate dough between 2 sheets of waxed paper or parchment paper and roll out into a 10 * 5 rectangle 1/2 inch thick. I did not roll out into a rectangle but later trimmed the sides of the dough. But I suggest that you roll out into a rectangle to make things easy and less messy.
dough.Beat egg white until foamy and apply lightly over top surface of the chocolate dough. Then with the wax paper below flip the chocolate dough on top of the orange dough. Press it nicely and discard the wax paper on top.(see second pic below) I skipped the egg white and just pressed both the dough together.
Trim the edges neatly and roll both the dough together lightly and discard the other paper also.Seal the edges neatly.
Now wrap the roll in a plastic wrap or parchment paper and refrigerate until firm or overnight. I refrigerated overnight.
Preheat the oven at 180 degree C for 15 minutes before baking the cookies.
Unwrap the dough and using a sharp knife cut the dough crosswise into slices 1/4 inch thick.
Line baking tray with parchment paper or grease and flour the baking tray and arrange the cookies 1 inch apart.
Bake at 180 degree C until the edges turns golden brown. Do not over bake the cookies. Cool on a wire rack and then store it in an airtight container.</t>
  </si>
  <si>
    <t>ஒரு கிண்ணத்தில் வெண்ணெய் மற்றும் சர்க்கரையை மென்மையாகும் வரை கலக்கவும்.
வெண்ணிலா எசன்ஸ், முட்டையின் மஞ்சள் கருவைச் சேர்த்து நன்கு கலக்கும் வரை அடிக்கவும்
உலர்ந்த பொருட்களை (மைதா + பேக்கிங் பவுடர் + உப்பு) சிறிது சிறிதாகச் சேர்த்து, மென்மையான மாவைப் பெறும் வரை நன்கு கலக்கவும்.
இப்போது மாவை 2 சம பாகங்களாகப் பிரிக்கவும்.
ஒரு பகுதியில் ஆரஞ்சு தோலைச் சேர்த்து நன்றாகக் கலக்கவும். (இதை ஆரஞ்சு மாவு என்று அழைப்போம்)
மறு பகுதியில் சாக்லேட் மற்றும் கோகோ பவுடரைச் சேர்த்து நன்கு கலக்கும் வரை கலக்கவும். (நான் முதலில் சாக்லேட்டுடன் கோகோ பவுடரைக் கலந்து, பின்னர் சாக்லேட்+கோகோ கலவையை மாவில் சேர்த்து நன்கு கலக்கினேன்)
இரண்டு மாவையும் தனித்தனியாக ஒரு பிளாஸ்டிக் மடக்கில் குளிர்சாதன பெட்டியில் வைத்து, கெட்டியாகும் வரை குளிர்சாதன பெட்டியில் வைக்கவும்.
இப்போது ஆரஞ்சு மாவை 2 தாள்கள் காகிதத் தாள்களுக்கு இடையில் வைத்து, 10 * 5 செவ்வக 1/2 அங்குல தடிமன் கொண்டதாக உருட்டவும். நான் ஒரு செவ்வகமாக உருட்டவில்லை, ஆனால் பின்னர் மாவின் பக்கங்களை ஒழுங்கமைத்தேன்.
இப்போது சாக்லேட் மாவை 2 தாள்கள் மெழுகு காகிதம் அல்லது காகிதத் தாள்களுக்கு இடையில் வைத்து, 10 * 5 செவ்வக 1/2 அங்குல தடிமன் கொண்டதாக உருட்டவும். நான் ஒரு செவ்வகமாக உருட்டவில்லை, ஆனால் பின்னர் மாவின் பக்கங்களை ஒழுங்கமைத்தேன். ஆனால் விஷயங்களை எளிதாகவும், குழப்பம் குறைவாகவும் மாற்ற ஒரு செவ்வகமாக உருட்ட பரிந்துரைக்கிறேன்.
மாவை. முட்டையின் வெள்ளைக்கருவை நுரை வரும் வரை அடித்து, சாக்லேட் மாவின் மேல் மேற்பரப்பில் லேசாக தடவவும். பின்னர் கீழே உள்ள மெழுகு காகிதத்தைப் பயன்படுத்தி ஆரஞ்சு மாவின் மேல் சாக்லேட் மாவைத் திருப்பிப் போடுங்கள். அதை நன்றாக அழுத்தி மேலே உள்ள மெழுகு காகிதத்தை அப்புறப்படுத்துங்கள். (கீழே உள்ள இரண்டாவது படத்தைப் பார்க்கவும்) நான் முட்டையின் வெள்ளைக்கருவைத் தவிர்த்துவிட்டு, இரண்டு மாவையும் ஒன்றாக அழுத்தினேன்.
விளிம்புகளை நேர்த்தியாக வெட்டி, இரண்டு மாவையும் லேசாக உருட்டி, மற்ற காகிதத்தையும் அப்புறப்படுத்துங்கள். விளிம்புகளை நேர்த்தியாக மூடுங்கள்.
இப்போது ரோலை ஒரு பிளாஸ்டிக் மடக்கு அல்லது காகிதத்தோல் காகிதத்தில் போர்த்தி, உறுதியாக அல்லது இரவு முழுவதும் குளிர்சாதன பெட்டியில் வைக்கவும். நான் இரவு முழுவதும் குளிர்சாதன பெட்டியில் வைத்தேன்.
குக்கீகளை சுடுவதற்கு முன் அடுப்பை 180 டிகிரி செல்சியஸில் 15 நிமிடங்கள் சூடாக்கவும்.
மாவை அவிழ்த்து, கூர்மையான கத்தியைப் பயன்படுத்தி மாவை குறுக்காக 1/4 அங்குல தடிமன் கொண்ட துண்டுகளாக வெட்டவும்.
பேக்கிங் தட்டில் காகிதத்தோல் காகிதம் அல்லது கிரீஸ் கொண்டு வரிசைப்படுத்தி, பேக்கிங் தட்டில் மாவு சேர்த்து, குக்கீகளை 1 அங்குல இடைவெளியில் வைக்கவும்.
விளிம்புகள் தங்க பழுப்பு நிறமாக மாறும் வரை 180 டிகிரி செல்சியஸில் சுடவும். குக்கீகளை அதிகமாக சுட வேண்டாம். ஒரு கம்பி ரேக்கில் குளிர்வித்து, பின்னர் காற்று புகாத கொள்கலனில் சேமிக்கவும்.</t>
  </si>
  <si>
    <t>https://preppykitchen.com/wp-content/uploads/2021/12/Pinwheel-Cookies-Feature.jpg</t>
  </si>
  <si>
    <t>Tutti Frutti Cake</t>
  </si>
  <si>
    <t>டுட்டி ஃப்ருட்டி கேக்</t>
  </si>
  <si>
    <t>All purpose flour/Maida – 1 cup,
Baking powder – 1/2 tsp,
Baking soda - 1/2 tsp,
Butter - 100 grams,
Sugar - 1/2 cup ,
Eggs - 2,
Tutti frutti - 1/4 cup heaped,
Orange juice – 3 tbsp,
Vanilla essence.</t>
  </si>
  <si>
    <t>அனைத்து உபயோக மாவு/மைதா - 1 கப்,
பேக்கிங் பவுடர் - 1/2 டீஸ்பூன்,
பேக்கிங் சோடா - 1/2 டீஸ்பூன்,
வெண்ணெய் - 100 கிராம்,
சர்க்கரை - 1/2 கப்,
முட்டை - 2,
டுட்டி ஃப்ருட்டி - 1/4 கப் குவித்து,
ஆரஞ்சு சாறு - 3 டீஸ்பூன்,
வெண்ணிலா எசன்ஸ்.</t>
  </si>
  <si>
    <t>Beat butter and sugar until creamy. Then add eggs and beat nicely.
Now add half of maida and fold gently. Then add orange juice, rest of the maida, essence and the tutti frutti dusted with flour. Fold gently until well combined. Our cake batter is ready.
Pour the batter in a baking tray or cupcake moulds and tap the tray gently, so that the batter will spread evenly. Bake in a preheated oven for 25-30 minutes (180 degree C) or until a toothpick inserted in the center of the cake comes out clean.
 I got 6 cupcakes and a  small square cake which I baked in a 4 inch square baking tray for the measurement above.</t>
  </si>
  <si>
    <t>வெண்ணெய் மற்றும் சர்க்கரையை கிரீமி ஆகும் வரை அடிக்கவும். பின்னர் முட்டைகளைச் சேர்த்து நன்றாக அடிக்கவும்.
இப்போது மைதாவில் பாதியைச் சேர்த்து மெதுவாக மடிக்கவும். பின்னர் ஆரஞ்சு சாறு, மீதமுள்ள மைதா, எசன்ஸ் மற்றும் மாவுடன் தூவப்பட்ட டுட்டி ஃப்ருட்டியைச் சேர்க்கவும். நன்கு கலக்கும் வரை மெதுவாக மடிக்கவும். எங்கள் கேக் மாவு தயாராக உள்ளது.
பேக்கிங் டிரே அல்லது கப்கேக் அச்சுகளில் மாவை ஊற்றி, தட்டில் மெதுவாகத் தட்டவும், இதனால் மாவு சமமாக பரவும். முன்கூட்டியே சூடேற்றப்பட்ட அடுப்பில் 25-30 நிமிடங்கள் (180 டிகிரி செல்சியஸ்) அல்லது கேக்கின் மையத்தில் செருகப்பட்ட டூத்பிக் சுத்தமாக வெளியே வரும் வரை சுடவும்.
மேலே உள்ள அளவீட்டிற்கு ஏற்ப 4 அங்குல சதுர பேக்கிங் தட்டில் சுட்ட 6 கப்கேக்குகள் மற்றும் ஒரு சிறிய சதுர கேக்கைப் பெற்றேன்.</t>
  </si>
  <si>
    <t>https://aartimadan.com/wp-content/uploads/2020/07/eggless-tutti-frutti-cake-4-1.jpg</t>
  </si>
  <si>
    <t>Eggless Orange Cake</t>
  </si>
  <si>
    <t>முட்டை இல்லாத ஆரஞ்சு கேக்</t>
  </si>
  <si>
    <t>All purpose flour/Maida – 1 1/4 cup,
Baking powder - 1/2 tsp,
Baking soda - 1/2 tsp,
Butter (unsalted) - 113 grams,
Condensed milk – 1/2 cup,
Sugar – 3 tbsp,
Orange juice – 1/2 cup,
orange essence – 1 tsp,
Orange zest – 1 tsp,
Vinegar or lemon juice – 1 tsp.</t>
  </si>
  <si>
    <t>அனைத்து உபயோக மாவு/மைதா - 1 1/4 கப்,
பேக்கிங் பவுடர் - 1/2 டீஸ்பூன்,
பேக்கிங் சோடா - 1/2 டீஸ்பூன்,
வெண்ணெய் (உப்பு சேர்க்காதது) - 113 கிராம்,
அடர்த்தியான பால் - 1/2 கப்,
சர்க்கரை - 3 டீஸ்பூன்,
ஆரஞ்சு சாறு - 1/2 கப்,
ஆரஞ்சு எசன்ஸ் - 1 டீஸ்பூன்,
ஆரஞ்சு தோல் - 1 டீஸ்பூன்,
வினிகர் அல்லது எலுமிச்சை சாறு - 1 டீஸ்பூன்.</t>
  </si>
  <si>
    <t>Keep all the things needed ready as it will make baking much easier and saves a lot of time and mess. Bring everything to room temperature.
In a bowl, combine condensed milk, butter, sugar, vanilla essence and beat until well mixed.
Add half of the maida and fold gently using a wooden spatula. Add half of the orange juice and mix gently.
Add the remaining maida, orange juice, orange zest, lemon juice and fold gently until everything is well mixed. Pour the batter in a greased and floured baking tray and bake for 25-30 minutes (180 degree C) in a preheated oven or until a toothpick inserted in the center of the cake comes out clean.
If you want cupcakes, line cupcake moulds with cupcake liners or grease cupcake moulds and spoon the batter into it. Bake in a preheated oven until done.
Wow!! Look at our orange cake. It looks perfect. Let it cool completely before cutting. This cake tastes delicious without any frosting.</t>
  </si>
  <si>
    <t>தேவையான அனைத்து பொருட்களையும் தயாராக வைத்திருங்கள், ஏனெனில் இது பேக்கிங்கை மிகவும் எளிதாக்கும் மற்றும் நிறைய நேரத்தையும் குழப்பத்தையும் மிச்சப்படுத்தும். எல்லாவற்றையும் அறை வெப்பநிலைக்கு கொண்டு வாருங்கள்.
ஒரு கிண்ணத்தில், அமுக்கப்பட்ட பால், வெண்ணெய், சர்க்கரை, வெண்ணிலா எசன்ஸ் ஆகியவற்றை சேர்த்து நன்கு கலக்கும் வரை அடிக்கவும்.
மைதாவில் பாதியைச் சேர்த்து மரத்தாலான ஸ்பேட்டூலாவைப் பயன்படுத்தி மெதுவாக மடிக்கவும். ஆரஞ்சு சாற்றில் பாதியைச் சேர்த்து மெதுவாக கலக்கவும்.
மீதமுள்ள மைதா, ஆரஞ்சு சாறு, ஆரஞ்சு தோல், எலுமிச்சை சாறு ஆகியவற்றைச் சேர்த்து, அனைத்தும் நன்றாகக் கலக்கும் வரை மெதுவாக மடிக்கவும். மாவை நெய் தடவி மாவு தடவிய பேக்கிங் தட்டில் ஊற்றி, முன்கூட்டியே சூடேற்றப்பட்ட அடுப்பில் 25-30 நிமிடங்கள் (180 டிகிரி செல்சியஸ்) சுடவும் அல்லது கேக்கின் மையத்தில் செருகப்பட்ட டூத்பிக் சுத்தமாக வரும் வரை சுடவும்.
நீங்கள் கப்கேக்குகளை விரும்பினால், கப்கேக் அச்சுகளை கப்கேக் லைனர்கள் அல்லது கிரீஸ் கப்கேக் அச்சுகளால் வரிசைப்படுத்தி, மாவை அதில் ஸ்பூன் செய்யவும். முன்கூட்டியே சூடேற்றப்பட்ட அடுப்பில் சுடவும்.
வாவ்!! எங்கள் ஆரஞ்சு கேக்கைப் பாருங்கள். இது சரியானதாகத் தெரிகிறது. வெட்டுவதற்கு முன் முழுமையாக ஆற விடவும். இந்த கேக் எந்த உறைபனியும் இல்லாமல் சுவையாக இருக்கும்.</t>
  </si>
  <si>
    <t>https://i.ytimg.com/vi/JD4d2kpc6-k/hq720.jpg?sqp=-oaymwEhCK4FEIIDSFryq4qpAxMIARUAAAAAGAElAADIQj0AgKJD&amp;rs=AOn4CLC39JUoPNXUNxdaPqekjPPlfF1APA</t>
  </si>
  <si>
    <t>Eggless Sponge Cake</t>
  </si>
  <si>
    <t>முட்டை இல்லாத ஸ்பாஞ்ச் கேக்</t>
  </si>
  <si>
    <t>All purpose flour/maida – 1 1/4 cup,
Baking powder - 1 tsp,
Baking soda - 1/2 tsp,
Butter - 120 grams,
Sugar – 2 tbsp,
Condensed milk – 1/2 cup,
Milk - 1/2 cup,
Lemon juice – 1 tsp,
Vanilla essence – 1 tsp.</t>
  </si>
  <si>
    <t>அனைத்து உபயோக மாவு/மைதா - 1 1/4 கப்,
பேக்கிங் பவுடர் - 1 டீஸ்பூன்,
பேக்கிங் சோடா - 1/2 டீஸ்பூன்,
வெண்ணெய் - 120 கிராம்,
சர்க்கரை - 2 டீஸ்பூன்,
கன்டென்ஸ்டு பால் - 1/2 கப்,
பால் - 1/2 கப்,
எலுமிச்சை சாறு - 1 டீஸ்பூன்,
வெண்ணிலா எசன்ஸ் - 1 டீஸ்பூன்.</t>
  </si>
  <si>
    <t>Beat together condensed milk, butter, sugar and vanilla essence with a hand mixer or an electrical cake mixer.
Now add half of the dry ingredients and half of the milk and gently fold it. Then add the rest of the dry ingredients and the remaining milk, lemon juice and mix gently. Now the cake batter is ready.
Spoon the batter into cupcake moulds and bake in a preheated oven for 30 minutes (180 degree C) or until a toothpick inserted into the center of the cake comes out clean.If you do not want cupcakes, then bake in an ordinary cake pan.
Allow the cake to cool and then decorate it with butter icing if preferred.</t>
  </si>
  <si>
    <t>கன்டென்ஸ்டு பால், வெண்ணெய், சர்க்கரை மற்றும் வெண்ணிலா எசன்ஸ் ஆகியவற்றை ஹேண்ட் மிக்சர் அல்லது எலக்ட்ரிக்கல் கேக் மிக்சர் மூலம் ஒன்றாக அடிக்கவும்.
இப்போது பாதி உலர்ந்த பொருட்களையும் பாதி பாலையும் சேர்த்து மெதுவாக மடிக்கவும். பின்னர் மீதமுள்ள உலர்ந்த பொருட்களையும் மீதமுள்ள பால், எலுமிச்சை சாறு சேர்த்து மெதுவாக கலக்கவும். இப்போது கேக் மாவு தயாராக உள்ளது.
மாவை கப்கேக் அச்சுகளில் ஸ்பூன் செய்து, முன்கூட்டியே சூடாக்கப்பட்ட அடுப்பில் 30 நிமிடங்கள் (180 டிகிரி செல்சியஸ்) அல்லது கேக்கின் மையத்தில் செருகப்பட்ட டூத்பிக் சுத்தமாக வரும் வரை சுடவும். உங்களுக்கு கப்கேக்குகள் தேவையில்லை என்றால், ஒரு சாதாரண கேக் பாத்திரத்தில் சுடவும்.
கேக்கை குளிர்விக்க விடுங்கள், பின்னர் விரும்பினால் வெண்ணெய் ஐசிங்கால் அலங்கரிக்கவும்.</t>
  </si>
  <si>
    <t>https://i.ytimg.com/vi/r_SnUNdRJ0Y/hqdefault.jpg</t>
  </si>
  <si>
    <t>Zebra Cake</t>
  </si>
  <si>
    <t>ஜீப்ரா கேக்</t>
  </si>
  <si>
    <t>Sugar – 1 cup,
Eggs – 4,
Milk – 1 cup,
Oil – 1 cup,
Vanilla essence - 1/2 tsp,
All purpose flour/Maida - 2 cups,
Baking powder - 1 tbsp,
Cocoa powder - 2 tbsp,
9 inch round Cake pan.</t>
  </si>
  <si>
    <t>சர்க்கரை - 1 கப்,
முட்டை - 4,
பால் - 1 கப்,
எண்ணெய் - 1 கப்,
வெண்ணிலா எசன்ஸ் - 1/2 டீஸ்பூன்,
அனைத்து உபயோக மாவு/மைதா - 2 கப்,
பேக்கிங் பவுடர் - 1 டீஸ்பூன்,
கோகோ பவுடர் - 2 டீஸ்பூன்,
9 அங்குல வட்ட வடிவ கேக் பான்.</t>
  </si>
  <si>
    <t>Beat the eggs well with an electric hand mixer or wire whisk.
Add sugar and beat until the mixture is creamy.
Add milk + oil + Vanilla essence and mix well.
Fold in maida/ all purpose flour gently.
Now divide the batter into two equal parts. To one part mix cocoa powder and keep the other part plain. Now we have 2 batter – the vanilla (ie the plain batter) and the cocoa batter.( You can mix cocoa powder with a tbsp of milk and then add it to one half of the batter)
How to bring Zebra strip effect
Now pour 1/4 cup of plain batter in the center of the baking pan.
Then pour 1/4 cup of cocoa batter on top of the vanilla batter in the center.
Do not disturb or try to shake it or wait for it to spread or tilt the pan for it to spread. It will spread by itself. Keep on pouring both the batter alternatively until all the batter is over. 
Final picture of the cake batter before going into the oven. can do it better than me.
Bake in a pre heated oven for about 40 minutes or until a toothprick inserted in the center of the cake comes out clean.
Remove the cake from the oven, loosen the sides of the cake with a knife and invert it on a plate. Leave it to cool.Then you can cut it and enjoy your Zebra cake!
I packed it for my daughter’s friends and they enjoyed it a lot.</t>
  </si>
  <si>
    <t>எலக்ட்ரிக் ஹேண்ட் மிக்சர் அல்லது வயர் விஸ்க் மூலம் முட்டைகளை நன்றாக அடிக்கவும்.
சர்க்கரை சேர்த்து கலவை கிரீமி ஆகும் வரை அடிக்கவும்.
பால் + எண்ணெய் + வெண்ணிலா எசன்ஸ் சேர்த்து நன்றாக கலக்கவும்.
மைதா/அனைத்து உபயோக மாவை மெதுவாக மடிக்கவும்.
இப்போது மாவை இரண்டு சம பாகங்களாக பிரிக்கவும். ஒரு பகுதியில் கோகோ பவுடரை கலந்து, மற்ற பகுதியை வெற்று நிலையில் வைக்கவும். இப்போது நமக்கு 2 மாவு உள்ளது - வெண்ணிலா (அதாவது வெற்று மாவு) மற்றும் கோகோ மாவு. (நீங்கள் ஒரு டீஸ்பூன் பாலுடன் கோகோ பவுடரை கலந்து, பின்னர் மாவின் ஒரு பாதியில் சேர்க்கலாம்)
ஜீப்ரா ஸ்ட்ரிப் விளைவை எவ்வாறு கொண்டு வருவது
இப்போது பேக்கிங் பானின் மையத்தில் 1/4 கப் வெற்று மாவை ஊற்றவும்.
பின்னர் 1/4 கப் கோகோ மாவை மையத்தில் உள்ள வெண்ணிலா மாவின் மேல் ஊற்றவும்.
தொந்தரவு செய்யாதீர்கள் அல்லது அதை அசைக்க முயற்சிக்காதீர்கள் அல்லது அது பரவும் வரை காத்திருக்கவோ அல்லது அது பரவும் வரை பாத்திரத்தை சாய்க்கவோ வேண்டாம். அது தானாகவே பரவும். அனைத்து மாவும் முடியும் வரை இரண்டு மாவையும் மாறி மாறி ஊற்றிக் கொண்டே இருங்கள்.
அடுப்பிற்குள் செல்வதற்கு முன் கேக் மாவின் இறுதி படம். அதை என்னை விட சிறப்பாக செய்ய முடியும்.
முன் சூடாக்கப்பட்ட அடுப்பில் சுமார் 40 நிமிடங்கள் அல்லது கேக்கின் மையத்தில் செருகப்பட்ட ஒரு பல் துலக்கும் வரை சுடவும்.
கேக்கை அடுப்பிலிருந்து அகற்றி, கேக்கின் பக்கங்களை கத்தியால் தளர்த்தி ஒரு தட்டில் தலைகீழாக மாற்றவும். அதை குளிர்விக்க விடவும். பிறகு நீங்கள் அதை வெட்டி உங்கள் ஜீப்ரா கேக்கை அனுபவிக்கலாம்!
நான் அதை என் மகளின் நண்பர்களுக்காக பேக் செய்தேன், அவர்கள் அதை மிகவும் ரசித்தார்கள்.</t>
  </si>
  <si>
    <t>https://www.yummytummyaarthi.com/wp-content/uploads/2020/06/1.jpg</t>
  </si>
  <si>
    <t>Eggless Vanilla</t>
  </si>
  <si>
    <t>முட்டை இல்லாத வெண்ணிலா</t>
  </si>
  <si>
    <t>All purpose flour/Maida – 1 1/2 cup,
Thick curd – 1 cup,
Sugar - 3/4 cup,
Baking Powder – 1 tsp,
Baking soda – 1/2 tsp,
Cooking Oil – 1/2 cup,
Vanilla essence - 11/2 tsp.</t>
  </si>
  <si>
    <t>அனைத்து உபயோக மாவு/மைதா - 1 1/2 கப்,
அடர்த்தியான தயிர் - 1 கப்,
சர்க்கரை - 3/4 கப்,
பேக்கிங் பவுடர் - 1 டீஸ்பூன்,
பேக்கிங் சோடா - 1/2 டீஸ்பூன்,
சமையல் எண்ணெய் - 1/2 கப்,
வெண்ணிலா எசன்ஸ் - 11/2 டீஸ்பூன்.</t>
  </si>
  <si>
    <t>Mix sugar with curd until sugar dissolves.
Now add baking powder and baking soda to the above and mix well. Leave it for 5 minutes.You will see bubbles appearing. Now add oil, vanilla essence and mix well.
Then add maida little by little and combine well with the wet ingredients.Mix well until creamy.
Pour the mixture in the greased baking tray and bake in a preheated oven for 25-30 minutes (180 degree C )  or until a toothprick inserted in the center of the cake comes out clean.
Wait for the cake to cool completely before removing it from the pan, then cut it and enjoy!</t>
  </si>
  <si>
    <t>சர்க்கரை கரையும் வரை தயிருடன் சர்க்கரையை கலக்கவும்.
இப்போது மேலே உள்ளவற்றுடன் பேக்கிங் பவுடர் மற்றும் பேக்கிங் சோடாவை சேர்த்து நன்கு கலக்கவும். 5 நிமிடங்கள் அப்படியே வைக்கவும். குமிழ்கள் தோன்றுவதை நீங்கள் காண்பீர்கள். இப்போது எண்ணெய், வெண்ணிலா எசன்ஸ் சேர்த்து நன்கு கலக்கவும்.
பின்னர் மைதாவை சிறிது சிறிதாக சேர்த்து ஈரமான பொருட்களுடன் நன்றாக கலக்கவும். கிரீமி ஆகும் வரை நன்கு கலக்கவும்.
நன்கு சூடேற்றப்பட்ட அடுப்பில் 25-30 நிமிடங்கள் (180 டிகிரி செல்சியஸ்) அல்லது கேக்கின் மையத்தில் செருகப்பட்ட பல் துலக்கும் வரை சுடவும்.
கேக் முழுவதுமாக குளிர்ச்சியடையும் வரை காத்திருந்து, அதை பாத்திரத்தில் இருந்து அகற்றி, பின்னர் அதை வெட்டி மகிழுங்கள்!</t>
  </si>
  <si>
    <t>https://encrypted-tbn0.gstatic.com/images?q=tbn:ANd9GcQP1xAh-L9l37INNSfob0eTgZzeSJhSD-XzGg&amp;s</t>
  </si>
  <si>
    <t xml:space="preserve">All purpose flour – 1 1/4 cup,
Salt - 1/4 tsp,
Cocoa Powder – 1 tbsp,
Unsalted butter – 57 grams,
Sugar – 3/4 cup,
Egg - 1,
Vanilla essence - 1/2 tsp,
Red liquid food color - 1 tbsp,
Butter milk – 1/2 cup,
White vinegar – 1/2 tsp,
Baking soda -1/2 tsp,
Cream cheese – 220 grams,
Vanilla essence – 1/2 tsp,
Icing sugar – 1/2 cup sifted,
Cold heavy whipping cream - 160 ml.
</t>
  </si>
  <si>
    <t>அனைத்து உபயோக மாவு - 1 1/4 கப்,
உப்பு - 1/4 தேக்கரண்டி,
கோகோ தூள் - 1 தேக்கரண்டி,
உப்பில்லாத வெண்ணெய் - 57 கிராம்,
சர்க்கரை - 3/4 கப்,
முட்டை - 1,
வெண்ணிலா எசன்ஸ் - 1/2 தேக்கரண்டி,
சிவப்பு திரவ உணவு நிறம் - 1 தேக்கரண்டி,
வெண்ணெய் பால் - 1/2 கப்,
வெள்ளை வினிகர் - 1/2 தேக்கரண்டி,
பேக்கிங் சோடா - 1/2 தேக்கரண்டி,
கிரீம் சீஸ் - 220 கிராம்,
வெண்ணிலா எசன்ஸ் - 1/2 தேக்கரண்டி,
ஐசிங் சர்க்கரை - 1/2 கப் சலித்தது,
குளிர்ந்த கனமான விப்பிங் கிரீம் - 160 மில்லி.</t>
  </si>
  <si>
    <t>Beat butter until soft.
Add sugar and beat until light and fluffy.
Add eggs and beat until well combined. Mix in vanilla essence.
Then fold in flour and buttermilk alternatively to the above mixture,adding little by little beginning with flour and ending with flour.
Now mix vinegar with baking soda in a small cup. The mixture will start bubbling, quickly add it to the above prepared batter, mix well and pour it into the prepared baking pan.
Bake in a preheated oven, until a toothpick inserted in the center of the cake comes out clean.
Let it remain in the tray for a few minutes.Then invert it on a wire rack and leave it to cool.
Wrap it in a plastic sheet and refrigerate for an hour before frosting.
With a serrated knife, cut the cake into half horizontally. You will have 2 pieces now. Now the cake is ready for frosting.
Beat cream cheese until smooth.
Add vanilla essence, icing sugar and beat for a few more minutes until smooth.
Add heavy whipping cream and whip until the mixture is thick enough to spread.
You can increase or decrease the amount of sugar or whipping cream according to the consistency you need for frosting.
You will have 2 cake layers.
Spread frosting on the 1 st layer and keep the other half on top of it. 
The cake along with the creamy frosting tasted great.</t>
  </si>
  <si>
    <t>வெண்ணெய் மென்மையாகும் வரை அடிக்கவும்.
சர்க்கரை சேர்த்து லேசாக மற்றும் பஞ்சுபோன்ற வரை அடிக்கவும்.
முட்டைகளைச் சேர்த்து நன்கு கலக்கும் வரை அடிக்கவும். வெண்ணிலா எசன்ஸை கலக்கவும்.
பின்னர் மேலே உள்ள கலவையுடன் மாறி மாறி மாவு மற்றும் மோரை சேர்த்து மடித்து, மாவில் தொடங்கி மாவுடன் முடிவடையும் வரை சிறிது சிறிதாக சேர்க்கவும்.
இப்போது ஒரு சிறிய கோப்பையில் வினிகரை பேக்கிங் சோடாவுடன் கலக்கவும். கலவை குமிழ ஆரம்பிக்கும், விரைவாக மேலே தயாரிக்கப்பட்ட மாவில் சேர்த்து, நன்கு கலந்து, தயாரிக்கப்பட்ட பேக்கிங் பாத்திரத்தில் ஊற்றவும்.
கேக்கின் மையத்தில் செருகப்பட்ட ஒரு டூத்பிக் சுத்தமாக வெளியே வரும் வரை, முன்கூட்டியே சூடேற்றப்பட்ட அடுப்பில் சுடவும்.
அதை தட்டில் சில நிமிடங்கள் இருக்க விடவும். பின்னர் அதை ஒரு கம்பி ரேக்கில் திருப்பி குளிர்விக்க விடவும்.
அதை ஒரு பிளாஸ்டிக் தாளில் சுற்றி, உறைபனிக்கு முன் ஒரு மணி நேரம் குளிர்சாதன பெட்டியில் வைக்கவும்.
ஒரு ரம்பம் கொண்ட கத்தியால், கேக்கை கிடைமட்டமாக பாதியாக வெட்டுங்கள். இப்போது உங்களிடம் 2 துண்டுகள் இருக்கும். இப்போது கேக் உறைபனிக்கு தயாராக உள்ளது.
கிரீம் சீஸை மென்மையாகும் வரை அடிக்கவும்.
வெண்ணிலா எசன்ஸ், ஐசிங் சர்க்கரையைச் சேர்த்து மென்மையாகும் வரை இன்னும் சில நிமிடங்கள் அடிக்கவும்.
கனமான விப்பிங் க்ரீமைச் சேர்த்து, கலவை பரவும் அளவுக்கு கெட்டியாகும் வரை அடிக்கவும்.
ஃப்ரோஸ்டிங்கிற்குத் தேவையான நிலைத்தன்மைக்கு ஏற்ப சர்க்கரை அல்லது விப்பிங் க்ரீமின் அளவை அதிகரிக்கவோ குறைக்கவோ முடியும்.
உங்களுக்கு 2 கேக் அடுக்குகள் கிடைக்கும்.
உங்களுக்கு 2 கேக் அடுக்குகள் கிடைக்கும்.
முதல் அடுக்கில் ஃப்ரோஸ்டிங்கைப் பரப்பி, மீதிப் பாதியை அதன் மேல் வைக்கவும்.
கிரீமி ஃப்ரோஸ்டிங்குடன் சேர்த்து கேக் நன்றாக ருசித்தது.</t>
  </si>
  <si>
    <t>https://thescranline.com/wp-content/uploads/2023/06/RED-VELVET-CAKE-23-S-01.jpg</t>
  </si>
  <si>
    <t>Sugar Cookies</t>
  </si>
  <si>
    <t>சர்க்கரை குக்கீகள்</t>
  </si>
  <si>
    <t>All purpose flour - 1 1/2 cup,
Salt - 1/4 tsp,
Baking soda – 1/2 tsp,
Butter - 1/2 cup,
Granulated white sugar – 1/2 cup,
Egg – 1,
Vanilla essence – 1 tsp.</t>
  </si>
  <si>
    <t>அனைத்து உபயோக மாவு - 1 1/2 கப்,
உப்பு - 1/4 டீஸ்பூன்,
பேக்கிங் சோடா - 1/2 டீஸ்பூன்,
வெண்ணெய் - 1/2 கப்,
துருவிய வெள்ளை சர்க்கரை - 1/2 கப்,
முட்டை - 1,
வெண்ணிலா எசன்ஸ் - 1 டீஸ்பூன்.</t>
  </si>
  <si>
    <t>Beat butter and sugar until it becomes light and fluffy.
Add egg, vanilla essence and beat until well combined.
Mix in flour and make a smooth dough. ( I used the dough making attachment that comes with the hand mixer)
Now divide the dough into 2 half and wrap it in a plastic paper and keep it in the refrigerator until firm. ( I kept it for 2 hours)
Preheat the oven.Then take one half of the dough and roll it out dusting flour to 1/4 inch thickness. Dust the cookie cutter also and cut desired shapes.(I used the heart shaped cookie cutter as it is for Valentine’s day)
Now arrange all the unbaked cookies in a greased baking tray and keep it in the refrigerator again for another 15 minutes to chill the dough.This is done to prevent the cookies from expanding while baking and loosing their shape.
Bake till the edges starts to brown which will approximately take around 7-10 minutes depending on the thickness and size of the cookies. Let it remain in the tray for a few minutes.Then transfer the cookies to a plate or wire rack to cool. (I baked a few minutes more after the edges started browning as I wanted it crisp)
Repeat the process for the other batch also.
Let the cookies cool completely. Then you can store it in an airtight container.</t>
  </si>
  <si>
    <t>வெண்ணெய் மற்றும் சர்க்கரை லேசாகவும் பஞ்சுபோன்றதாகவும் மாறும் வரை அடிக்கவும்.
முட்டை, வெண்ணிலா எசன்ஸ் சேர்த்து நன்கு கலக்கும் வரை அடிக்கவும்.
மாவில் கலந்து மென்மையான மாவை உருவாக்கவும். (கை மிக்சருடன் வரும் மாவு தயாரிக்கும் இணைப்பை நான் பயன்படுத்தினேன்)
இப்போது மாவை 2 பாதியாகப் பிரித்து ஒரு பிளாஸ்டிக் பேப்பரில் சுற்றி குளிர்சாதன பெட்டியில் உறுதியாகும் வரை வைக்கவும். (நான் அதை 2 மணி நேரம் வைத்திருந்தேன்)
அடுப்பை முன்கூட்டியே சூடாக்கவும். பின்னர் மாவின் ஒரு பாதியை எடுத்து மாவை 1/4 அங்குல தடிமனாக உருட்டவும். குக்கீ கட்டரையும் தூவி, விரும்பிய வடிவங்களை வெட்டுங்கள். (காதலர் தினத்திற்காக நான் இதய வடிவ குக்கீ கட்டரைப் பயன்படுத்தினேன்)
இப்போது சுடாத அனைத்து குக்கீகளையும் நெய் தடவிய பேக்கிங் தட்டில் அடுக்கி, மாவை குளிர்விக்க மீண்டும் 15 நிமிடங்கள் குளிர்சாதன பெட்டியில் வைக்கவும். குக்கீகள் பேக்கிங் செய்யும் போது விரிவடைந்து அவற்றின் வடிவம் இழப்பதைத் தடுக்க இது செய்யப்படுகிறது.
விளிம்புகள் பழுப்பு நிறமாகத் தொடங்கும் வரை சுடவும், இது குக்கீகளின் தடிமன் மற்றும் அளவைப் பொறுத்து சுமார் 7-10 நிமிடங்கள் ஆகும். அதை தட்டில் சில நிமிடங்கள் வைத்திருக்கவும். பின்னர் குக்கீகளை குளிர்விக்க ஒரு தட்டு அல்லது கம்பி ரேக்கிற்கு மாற்றவும். (நான் மொறுமொறுப்பாக விரும்பியதால் விளிம்புகள் பழுப்பு நிறமாக மாறத் தொடங்கிய பிறகு இன்னும் சில நிமிடங்கள் சுட்டேன்)
மற்ற தொகுதிக்கும் இந்த செயல்முறையை மீண்டும் செய்யவும்.
குக்கீகளை முழுமையாக குளிர்விக்க விடவும். பின்னர் நீங்கள் அதை காற்று புகாத கொள்கலனில் சேமிக்கலாம்.</t>
  </si>
  <si>
    <t>https://www.melskitchencafe.com/wp-content/uploads/2024/02/sugar-cookies-updated15.jpg</t>
  </si>
  <si>
    <t>Eggless Chocolate Cupcakes</t>
  </si>
  <si>
    <t>முட்டை இல்லாத சாக்லேட் கப்கேக்குகள்</t>
  </si>
  <si>
    <t xml:space="preserve">   All purpose flour  - 1 1/2 cup,
   Cocoa Powder - 2 1/2 tbsp,
   Baking soda – 1 tsp,
   Salt – a pinch,
   Sugar – 1 cup,
   Oil -  5 tbsp,
   White vinegar - 1 tbsp,
   Milk - 1 cup,
   Chocolate essence - 1 tsp.</t>
  </si>
  <si>
    <t>அனைத்து வகையான மாவு - 1 1/2 கப்,
கோகோ பவுடர் - 2 1/2 டேபிள்ஸ்பூன்,
பேக்கிங் சோடா - 1 டீஸ்பூன்,
உப்பு - ஒரு சிட்டிகை,
சர்க்கரை - 1 கப்,
எண்ணெய் - 5 டேபிள்ஸ்பூன்,
வெள்ளை வினிகர் - 1 டேபிள்ஸ்பூன்,
பால் - 1 கப்,
சாக்லேட் எசன்ஸ் - 1 டீஸ்பூன்.</t>
  </si>
  <si>
    <t>In a bowl, add oil, vinegar, sugar, vanilla essence, lukewarm milk and mix with a wooden ladle until sugar dissolves.
Add the dry ingredients and fold it gently.
Spoon cupcake batter into cupcake moulds or paper liners until 2/3 full.
Bake at 180 degree C for 20-25 minutes or until a toothpick inserted in the center of the cake comes out clean.
Cool it well before frosting.
I have decorated it with chocolate sauce and sprinkles. You can use chocolate shavings or grated chocolate or even gems according to your preferences.</t>
  </si>
  <si>
    <t>ஒரு கிண்ணத்தில், எண்ணெய், வினிகர், சர்க்கரை, வெண்ணிலா எசன்ஸ், வெதுவெதுப்பான பால் சேர்த்து, ஒரு மர கரண்டியுடன் சர்க்கரை கரையும் வரை கலக்கவும்.
உலர்ந்த பொருட்களைச் சேர்த்து மெதுவாக மடிக்கவும்.
கப்கேக் மாவை கப்கேக் அச்சுகள் அல்லது காகித லைனர்களில் 2/3 நிரம்பும் வரை கரண்டியால் வைக்கவும்.
180 டிகிரி செல்சியஸில் 20-25 நிமிடங்கள் அல்லது கேக்கின் மையத்தில் செருகப்பட்ட ஒரு டூத்பிக் சுத்தமாக வரும் வரை சுடவும்.
உறைபனிக்கு முன் அதை நன்றாக குளிர்விக்கவும்.
நான் அதை சாக்லேட் சாஸால் அலங்கரித்து தெளித்துள்ளேன். உங்கள் விருப்பங்களுக்கு ஏற்ப சாக்லேட் ஷேவிங்ஸ் அல்லது துருவிய சாக்லேட் அல்லது ஜெம்ஸைப் பயன்படுத்தலாம்.</t>
  </si>
  <si>
    <t>https://encrypted-tbn0.gstatic.com/images?q=tbn:ANd9GcTVY8rlYY6boAw5QSWbVnW3EbkpR1t2vt6oaA&amp;s</t>
  </si>
  <si>
    <t>Pressure Cooker Vanilla Cake</t>
  </si>
  <si>
    <t>பிரஷர் குக்கர் வெண்ணிலா கேக்</t>
  </si>
  <si>
    <t>All purpose flour – 1 1/2 cup,
Sugar  - 1 cup,
Egg - 2,
Butter – 1/2 cup,
Baking powder – 1 1/2 tsp,
Salt – 1/4 tsp,
Vanilla essence – 1/2 tsp,
Milk – 1/2 cup.</t>
  </si>
  <si>
    <t>அனைத்து உபயோக மாவு - 1 1/2 கப்,
சர்க்கரை - 1 கப்,
முட்டை - 2,
வெண்ணெய் - 1/2 கப்,
பேக்கிங் பவுடர் - 1 1/2 டீஸ்பூன்,
உப்பு - 1/4 டீஸ்பூன்,
வெண்ணிலா எசன்ஸ் - 1/2 டீஸ்பூன்,
பால் - 1/2 கப்.</t>
  </si>
  <si>
    <t xml:space="preserve">Cream butter and sugar well .Use an electric beater or an wooden ladle but beat well untill light and fluffy.
Add eggs and beat again.
Add milk, vanilla essence and beat for a few more minutes.
Fold in flour until well incorporated.
Pour the prepared batter in the prepared cooker vessel.
Fill the cooker with sand till 1 1/2 inches and place the plate you get along with the cooker on top of it. (picture -1). If you cannot get sand, you can also spread salt all over the bottom/base of the cooker.
Preheat the cooker for 5 minutes on high flame with the sand.
(We are following the same principle as in the oven but here the sand is heated and the cake gets cooked in the heat produced by the sand.)
Now, keep the flame in low and place the vessel with the cake batter carefully inside the cooker.
Close the cooker, watch TV or relax as it will take 4o minutes to 1 hours for the cake to be done.
Check it after 40 minutes by inserting a wooden toothpick in the center of the cake, if it comes out clean, your cake is done, otherwise cook for some more time. </t>
  </si>
  <si>
    <t>வெண்ணெய் மற்றும் சர்க்கரையை நன்றாக க்ரீம் செய்யவும். எலக்ட்ரிக் பீட்டர் அல்லது மரக் கரண்டியைப் பயன்படுத்தி லேசாக மற்றும் பஞ்சுபோன்ற வரை நன்றாக அடிக்கவும்.
முட்டைகளைச் சேர்த்து மீண்டும் அடிக்கவும்.
பால், வெண்ணிலா எசன்ஸ் சேர்த்து இன்னும் சில நிமிடங்கள் அடிக்கவும்.
மாவு நன்கு கலக்கும் வரை மடிக்கவும்.
தயாரிக்கப்பட்ட மாவை தயாரிக்கப்பட்ட குக்கர் பாத்திரத்தில் ஊற்றவும்.
குக்கரை 1 1/2 அங்குலத்திற்கு மணலால் நிரப்பி, குக்கருடன் நீங்கள் பயன்படுத்தும் தட்டில் அதன் மேல் வைக்கவும். (படம் -1). மணல் கிடைக்கவில்லை என்றால், குக்கரின் அடிப்பகுதி/அடிப்பகுதி முழுவதும் உப்பைத் தூவலாம்.
மணலைப் பயன்படுத்தி அதிக தீயில் 5 நிமிடங்கள் குக்கரை முன்கூட்டியே சூடாக்கவும்.
(நாங்கள் அடுப்பில் உள்ள அதே கொள்கையைப் பின்பற்றுகிறோம், ஆனால் இங்கே மணல் சூடாகி, மணலால் உற்பத்தி செய்யப்படும் வெப்பத்தில் கேக் சமைக்கப்படுகிறது.)
இப்போது, ​​சுடரைக் குறைவாக வைத்து, கேக் மாவுடன் பாத்திரத்தை கவனமாக குக்கரின் உள்ளே வைக்கவும்.
குக்கரை மூடு, டிவி பார்க்கவும் அல்லது கேக் தயாராக 40 நிமிடங்கள் முதல் 1 மணி நேரம் வரை ஆகும் என்பதால் ஓய்வெடுக்கவும்.
40 நிமிடங்களுக்குப் பிறகு கேக்கின் மையத்தில் ஒரு மர டூத்பிக் செருகுவதன் மூலம் சரிபார்க்கவும், அது சுத்தமாக வெளியே வந்தால், உங்கள் கேக் தயாராக உள்ளது, இல்லையெனில் இன்னும் சிறிது நேரம் சமைக்கவும்.</t>
  </si>
  <si>
    <t>https://www.vegrecipesofindia.com/wp-content/uploads/2016/10/eggless-sponge-cake-in-pressure-cooker.jpg</t>
  </si>
  <si>
    <t>Eggless Marble Cake</t>
  </si>
  <si>
    <t>முட்டை இல்லாத மார்பிள் கேக்</t>
  </si>
  <si>
    <t>Condensed milk - 400 gms,
All purpose flour - 2 cups,
Unsalted butter – 125 gms,
Sugar – 2 tbsp,
Baking powder – 1 1/2 tsp,
Baking soda – 1 1/2 tsp,
Vanilla essence – 2 tsp,
Milk – 250 ml,
Cocoa powder – 1 tbsp.</t>
  </si>
  <si>
    <t>கன்டென்ஸ்டு பால் - 400 கிராம்,
அனைத்து உபயோக மாவு - 2 கப்,
உப்பு சேர்க்காத வெண்ணெய் - 125 கிராம்,
சர்க்கரை - 2 டேபிள்ஸ்பூன்,
பேக்கிங் பவுடர் - 1 1/2 டேபிள்ஸ்பூன்,
பேக்கிங் சோடா - 1 1/2 டேபிள்ஸ்பூன்,
வெண்ணிலா எசன்ஸ் - 2 டேபிள்ஸ்பூன்,
பால் - 250 மிலி,
கோகோ பவுடர் - 1 டேபிள்ஸ்பூன்.</t>
  </si>
  <si>
    <t>In a bowl, mix condensed milk, butter, sugar, vanilla essence and beat well .
Add milk and beat for a few more minutes.
Fold in flour gradually and mix well until it gets well incorporated.
You can even beat it for 2-3 minutes using an electric beater in slow speed
Now the basic batter is ready.
Now take 1/3 of the batter in another bowl and add cocoa powder to it and mix well.
Now we have the vanilla (white) batter and the cocoa (brown) batter.
First fill the tray with a layer of vanilla (white) batter.
Then top it with a layer of chocolate batter followed by vanilla batter.
Fill the tray alternatively ending it in vanilla batter.
Then take a knife and insert it deep in the tin and create a swirl- (ie) make or drag an 8 with the knife on all the 4 corners and in the middle.You will get an effect as you see in the above picture.
Bake at 180 degree C for 25-30 minutes or until a toothpick inserted into the center of the cake comes out clean.
Enjoy this Christmas baking this easy and very simple marble cake.</t>
  </si>
  <si>
    <t>ஒரு கிண்ணத்தில், கன்டென்ஸ்டு பால், வெண்ணெய், சர்க்கரை, வெண்ணிலா எசன்ஸ் ஆகியவற்றை கலந்து நன்றாக அடிக்கவும்.
பால் சேர்த்து இன்னும் சில நிமிடங்கள் அடிக்கவும்.
மாவை படிப்படியாக மடித்து, அது நன்றாக கலக்கும் வரை நன்றாக கலக்கவும்.
நீங்கள் அதை மெதுவான வேகத்தில் எலக்ட்ரிக் பீட்டரைப் பயன்படுத்தி 2-3 நிமிடங்கள் அடிக்கலாம்
இப்போது அடிப்படை மாவு தயாராக உள்ளது.
இப்போது மற்றொரு கிண்ணத்தில் 1/3 மாவை எடுத்து அதில் கோகோ பவுடரை சேர்த்து நன்றாக கலக்கவும்.
இப்போது வெண்ணிலா (வெள்ளை) மாவு மற்றும் கோகோ (பழுப்பு) மாவு எங்களிடம் உள்ளது.
முதலில் தட்டில் வெண்ணிலா (வெள்ளை) மாவை ஒரு அடுக்குடன் நிரப்பவும்.
பின்னர் அதன் மேல் சாக்லேட் மாவை ஒரு அடுக்குடன் நிரப்பி, அதைத் தொடர்ந்து வெண்ணிலா மாவை வைக்கவும்.
தட்டில் மாற்றாக வெண்ணிலா மாவை நிரப்பவும்.
பின்னர் ஒரு கத்தியை எடுத்து, அதை தகரத்தில் ஆழமாகச் செருகி, ஒரு சுழலை உருவாக்கவும் - (அதாவது) கத்தியால் 4 மூலைகளிலும் நடுவிலும் 8 ஐ உருவாக்கவும் அல்லது இழுக்கவும். மேலே உள்ள படத்தில் நீங்கள் பார்ப்பது போல் ஒரு விளைவைப் பெறுவீர்கள்.
180 டிகிரி செல்சியஸில் 25-30 நிமிடங்கள் அல்லது கேக்கின் மையத்தில் செருகப்பட்ட ஒரு டூத்பிக் சுத்தமாக வெளியே வரும் வரை சுடவும்.
இந்த கிறிஸ்துமஸ் எளிதான மற்றும் மிகவும் எளிமையான மார்பிள் கேக்கை சுடுவதை அனுபவிக்கவும்.</t>
  </si>
  <si>
    <t>https://encrypted-tbn0.gstatic.com/images?q=tbn:ANd9GcQJixbTwRtKfQ0lR-hARfBPhua8A176tF5AIQ&amp;s</t>
  </si>
  <si>
    <t>Carrot Cake</t>
  </si>
  <si>
    <t>கேரட் கேக்</t>
  </si>
  <si>
    <t xml:space="preserve">   All purpose flour -  260 grams,
   Baking soda – 1 tsp,
   Baking powder – 1 1/2 tsp,
   Salt - 1/2 tsp,
   Cinnamon powder - 1 1/2 tsp,
   Egg – 4,
   Granulated sugar – 1 1/2 cup,
   Vegetable oil – 1 cup,
   Vanilla extract – 2 tsp,
   Walnuts chopped – 100 grams,
   Finely grated carrot – 1/2 cup.</t>
  </si>
  <si>
    <t>அனைத்து வகையான மாவு - 260 கிராம்,
பேக்கிங் சோடா - 1 தேக்கரண்டி,
பேக்கிங் பவுடர் - 1 1/2 தேக்கரண்டி,
உப்பு - 1/2 தேக்கரண்டி,
இலவங்கப்பட்டை தூள் - 1 1/2 தேக்கரண்டி,
முட்டை - 4,
சர்க்கரை - 1 1/2 கப்,
காய்கறி எண்ணெய் - 1 கப்,
வெண்ணிலா சாறு - 2 தேக்கரண்டி,
நறுக்கிய வால்நட்ஸ் - 100 கிராம்,
நன்றாக துருவிய கேரட் - 1/2 கப்.</t>
  </si>
  <si>
    <t>Mix all the dry ingredients – Maida, baking soda, baking powder, salt and cinnamon together, sieve twice and keep it aside.
Beat eggs well until frothy.(I used electric beater)
Add sugar little by little and beat till sugar dissolves.
Add vanilla essence.
Then slowly add 1 cup of oil and beat it well.
Fold in flour gently until well incorporated.
Then mix in grated carrot and chopped walnuts.
Bake for 25-30 minutes at 180 degree C or until a toothpick inserted into the center of the cake comes out clean.</t>
  </si>
  <si>
    <t>மைதா, பேக்கிங் சோடா, பேக்கிங் பவுடர், உப்பு மற்றும் இலவங்கப்பட்டை ஆகிய அனைத்து உலர்ந்த பொருட்களையும் ஒன்றாக கலந்து, இரண்டு முறை சலிக்கவும், ஒதுக்கி வைக்கவும்.
முட்டைகளை நுரை வரும் வரை நன்றாக அடிக்கவும். (நான் எலக்ட்ரிக் பீட்டரைப் பயன்படுத்தினேன்)
சிறிது சிறிதாக சர்க்கரையைச் சேர்த்து சர்க்கரை கரையும் வரை அடிக்கவும்.
வெண்ணிலா எசென்ஸ் சேர்க்கவும்.
பின்னர் மெதுவாக 1 கப் எண்ணெயைச் சேர்த்து நன்றாக அடிக்கவும்.
மாவை நன்கு கலக்கும் வரை மெதுவாக மடிக்கவும்.
பின்னர் துருவிய கேரட் மற்றும் நறுக்கிய வால்நட்ஸை கலக்கவும்.
180 டிகிரி செல்சியஸில் 25-30 நிமிடங்கள் அல்லது கேக்கின் மையத்தில் செருகப்பட்ட ஒரு டூத்பிக் சுத்தமாக வெளியே வரும் வரை சுட்டுக்கொள்ளவும்.</t>
  </si>
  <si>
    <t>https://i0.wp.com/baketotheroots.de/wp-content/uploads/2024/03/SQ_240320_Baked-Carrot-Cake-Cheesecake.jpg?fit=1200%2C1200&amp;ssl=1</t>
  </si>
  <si>
    <t>Steamed Banana Cake</t>
  </si>
  <si>
    <t>வேகவைத்த வாழைப்பழ கேக்</t>
  </si>
  <si>
    <t>All purpose flour  - 100 g,
Icing sugar - 1/4 cup,
Ripe Banana – 1,
Milk – 1/4 cup,
Water – 2 tsp,
Oil – 1 tsp ,
Baking powder – 2 tsp,
Raisins or chocolate chips.</t>
  </si>
  <si>
    <t>அனைத்து உபயோக மாவு - 100 கிராம்,
ஐசிங் சர்க்கரை - 1/4 கப்,
பழுத்த வாழைப்பழம் - 1,
பால் - 1/4 கப்,
தண்ணீர் - 2 தேக்கரண்டி,
எண்ணெய் - 1 தேக்கரண்டி,
பேக்கிங் பவுடர் - 2 தேக்கரண்டி,
திராட்சை அல்லது சாக்லேட் சிப்ஸ்.</t>
  </si>
  <si>
    <t>Take a bowl and mix all the ingredients except flour and raisins until well combined.
Now add the flour and mix gently. Add raisins or chocolate chips.
Now pour the batter in a greased pan or bowl and steam for 15- 20 minutes or until a wooden pick inserted in the center of the cake comes out clean.
If you do not have a streamer, bring water to rolling boil in a pan, place a stand and then place the cake bowl, cover it with a lid. Do not open the lid while steaming.
I was so excited to see my cake raising inside, as this is the first time I am steaming a cake.
steaming cakeRemove from steamer, allow it to cool for a few minutes. Loosen the sides and then invert it on a plate. Serve warm.</t>
  </si>
  <si>
    <t>ஒரு கிண்ணத்தை எடுத்து, மாவு மற்றும் திராட்சை தவிர அனைத்து பொருட்களையும் நன்கு கலக்கும் வரை கலக்கவும்.
இப்போது மாவைச் சேர்த்து மெதுவாக கலக்கவும். திராட்சை அல்லது சாக்லேட் சிப்ஸ் சேர்க்கவும்.
இப்போது மாவை ஒரு நெய் தடவிய பாத்திரம் அல்லது கிண்ணத்தில் ஊற்றி 15-20 நிமிடங்கள் அல்லது கேக்கின் மையத்தில் செருகப்பட்ட ஒரு மரப் பொடி சுத்தமாக வரும் வரை ஆவியில் வேக வைக்கவும்.
உங்களிடம் ஸ்ட்ரீமர் இல்லையென்றால், ஒரு பாத்திரத்தில் தண்ணீரை கொதிக்க வைத்து, ஒரு ஸ்டாண்டை வைத்து, பின்னர் கேக் கிண்ணத்தை வைத்து, அதை ஒரு மூடியால் மூடி வைக்கவும். வேகவைக்கும்போது மூடியைத் திறக்க வேண்டாம்.
என் கேக் உள்ளே உயர்ந்து வருவதைக் கண்டு நான் மிகவும் உற்சாகமாக இருந்தேன், ஏனெனில் நான் ஒரு கேக்கை வேகவைப்பது இதுவே முதல் முறை.
வேகவைக்கும் கேக்கை ஸ்டீமரில் இருந்து எடுத்து, சில நிமிடங்கள் குளிர்விக்க விடுங்கள். பக்கவாட்டுகளைத் தளர்த்தி, பின்னர் ஒரு தட்டில் திருப்பிப் போட்டு, சூடாகப் பரிமாறவும்.</t>
  </si>
  <si>
    <t>https://encrypted-tbn0.gstatic.com/images?q=tbn:ANd9GcSPR_cMAQxiWLyuVJZg1_COmP7taqM2Kp9KmQ&amp;s</t>
  </si>
  <si>
    <t>Oats Cookies</t>
  </si>
  <si>
    <t>ஓட்ஸ் குக்கீகள்</t>
  </si>
  <si>
    <t xml:space="preserve">   Oats - 120 grams,
   All purpose flour – 120 grams,
   Margarine – 120 grams,
   Brown sugar – 200 grams,
   Milk - 2-3 tbsp,
   Vanilla essence – 2 tsp,
   Baking powder – 2 tsp,
   Raisin - 10,
   Chopped walnuts – 2 tbsp.</t>
  </si>
  <si>
    <t>ஓட்ஸ் - 120 கிராம்,
அனைத்து வகையான மாவு - 120 கிராம்,
வெண்ணெயை - 120 கிராம்,
பிரவுன் சர்க்கரை - 200 கிராம்,
பால் - 2-3 டேபிள் ஸ்பூன்,
வெண்ணிலா எசன்ஸ் - 2 டேபிள் ஸ்பூன்,
பேக்கிங் பவுடர் - 2 டேபிள் ஸ்பூன்,
திராட்சை - 10,
நறுக்கிய வால்நட்ஸ் - 2 டேபிள் ஸ்பூன்.</t>
  </si>
  <si>
    <t>In a bowl, cream together butter, sugar, milk and vanilla essence with a wooden ladle or an electric mixer until smooth.
Now add the flour and the oats to the creamed mixture and fold until well incorporated.
Add raisins and chopped walnuts (if you are using) and mix well.
Take a small ball of dough and flatten it with your hands. Arrange it on the baking tray 2 inches apart as they will expand while cooking.
Bake at 180 degree C until light golden brown at the edges and the bottom. The top will look soft and undercooked. Don’t panic. Let it remain inside the oven for 3 minutes.
Remove from oven after 3 minutes and let it cool. Transfer it to an air tight container.</t>
  </si>
  <si>
    <t>ஒரு கிண்ணத்தில், வெண்ணெய், சர்க்கரை, பால் மற்றும் வெண்ணிலா எசன்ஸ் ஆகியவற்றை ஒரு மர கரண்டி அல்லது எலக்ட்ரிக் மிக்சியைப் பயன்படுத்தி மென்மையாகும் வரை கலக்கவும்.
இப்போது மாவு மற்றும் ஓட்ஸை கிரீம் செய்யப்பட்ட கலவையில் சேர்த்து நன்கு கலக்கும் வரை மடிக்கவும்.
திராட்சை மற்றும் நறுக்கிய வால்நட்ஸை (நீங்கள் பயன்படுத்தினால்) சேர்த்து நன்கு கலக்கவும்.
ஒரு சிறிய உருண்டை மாவை எடுத்து உங்கள் கைகளால் தட்டையாக்குங்கள். சமைக்கும் போது அவை விரிவடையும் என்பதால், பேக்கிங் தட்டில் 2 அங்குல இடைவெளியில் வைக்கவும்.
விளிம்புகள் மற்றும் அடிப்பகுதியில் லேசான தங்க பழுப்பு நிறமாக 180 டிகிரி செல்சியஸில் சுடவும். மேல் பகுதி மென்மையாகவும், சமைக்கப்படாததாகவும் இருக்கும். பீதி அடைய வேண்டாம். அடுப்பில் 3 நிமிடங்கள் வைக்கவும்.
3 நிமிடங்களுக்குப் பிறகு அடுப்பிலிருந்து இறக்கி ஆற விடவும். காற்று புகாத கொள்கலனுக்கு மாற்றவும்.</t>
  </si>
  <si>
    <t>https://sugarspunrun.com/wp-content/uploads/2023/12/Oatmeal-cookies-1-of-1-2.jpg</t>
  </si>
  <si>
    <t>Chocolate Chip Cookies</t>
  </si>
  <si>
    <t>சாக்லேட் சிப் குக்கீகள்</t>
  </si>
  <si>
    <t>All purpose flour  - 180 grams,
Baking Powder - 1 tsp,
Brown Sugar - 90 grams,
Butter – 90 grams,
Cinnamon Powder - a pinch,
Milk - 4- 5 tbsp,
Chocolate chips - 40 grams,
Vanilla or Chocolate essence – 2 tsp.</t>
  </si>
  <si>
    <t>அனைத்து உபயோக மாவு - 180 கிராம்,
பேக்கிங் பவுடர் - 1 டீஸ்பூன்,
பழுப்பு சர்க்கரை - 90 கிராம்,
வெண்ணெய் - 90 கிராம்,
இலவங்கப்பட்டை தூள் - ஒரு சிட்டிகை,
பால் - 4- 5 டீஸ்பூன்,
சாக்லேட் சிப்ஸ் - 40 கிராம்,
வெண்ணிலா அல்லது சாக்லேட் எசன்ஸ் - 2 டீஸ்பூன்.</t>
  </si>
  <si>
    <t>Beat together butter and sugar well till sugar dissolves.
Add cinnamon powder, essence and hot milk. Mix well.
Melt chocolate chips a little by double boiling. Add it to the above mixture.
Add maida and mix well gently.
Shape the dough into small balls and press it flat slightly. Press chocolate chips on the top.
Place them on a greased baking tray 2 inches apart as dough spread while cooking and bake till golden brown. 
Remove from the oven and leave it to cool. Enjoy!</t>
  </si>
  <si>
    <t>வெண்ணெய் மற்றும் சர்க்கரையை சர்க்கரை கரையும் வரை நன்றாக அடிக்கவும்.
இலவங்கப்பட்டை தூள், எசன்ஸ் மற்றும் சூடான பால் சேர்க்கவும். நன்றாக கலக்கவும்.
சாக்லேட் சிப்ஸை இரண்டு முறை கொதிக்க வைத்து சிறிது உருக்கவும். மேலே உள்ள கலவையில் சேர்க்கவும்.
மைதாவைச் சேர்த்து மெதுவாக கலக்கவும்.
மாவை சிறிய உருண்டைகளாக உருக்கி சிறிது தட்டையாக அழுத்தவும். மேலே சாக்லேட் சிப்ஸை அழுத்தவும்.
மாவை சமைக்கும் போது பரவும் வகையில் நெய் தடவிய பேக்கிங் தட்டில் 2 அங்குல இடைவெளியில் வைத்து பொன்னிறமாகும் வரை சுடவும்.
அடுப்பிலிருந்து இறக்கி ஆற விடவும். மகிழுங்கள்!</t>
  </si>
  <si>
    <t>https://handletheheat.com/wp-content/uploads/2020/10/BAKERY-STYLE-CHOCOLATE-CHIP-COOKIES-9-637x637-1.jpg</t>
  </si>
  <si>
    <t>Granulated Sugar – 240 grams,
All purpose flour – 80 grams,
Butter or Margarine – 140 grams,
Eggs – 3,
Chocolate bars – 80 grams,
Cocoa Powder – 30 grams,
Baking Powder – 1 1/2 tsp,
Walnuts – 60 grams,
Vanilla essence – 2 tsp .</t>
  </si>
  <si>
    <t>துருவிய சர்க்கரை - 240 கிராம்,
அனைத்து உபயோக மாவு - 80 கிராம்,
வெண்ணெய் அல்லது வெண்ணெயை - 140 கிராம்,
முட்டை - 3,
சாக்லேட் பார்கள் - 80 கிராம்,
கோகோ பவுடர் - 30 கிராம்,
பேக்கிங் பவுடர் - 1 1/2 தேக்கரண்டி,
வால்நட்ஸ் - 60 கிராம்,
வெண்ணிலா எசன்ஸ் - 2 தேக்கரண்டி.</t>
  </si>
  <si>
    <t>Bring water to boil in a pan.Remove from heat.Break eggs in a bowl and keep it in the hot water and beat well.Add sugar little by little while beating the eggs and beat well until it becomes creamy and stiff .
Cut chocolate bar into small bits, add butter and double boil *. Beat a little .
Now mix chocolate + butter mix with egg + sugar mix . Add essence. Beat well till it becomes creamy and bubbles start appearing.
Now fold in maida /flour gently with a wooden spatula.The batter should be of dropping consistency. Pour the mixture into the greased tray.Add walnut pieces on the top and bake for 20 minutes or till done.
Insert a toothpick and if it comes out clean, then the cake is done.
Simple and easy chocolate brownies are ready.
Top it with chocolate sauce if you like.</t>
  </si>
  <si>
    <t>ஒரு பாத்திரத்தில் தண்ணீரை கொதிக்க வைக்கவும். அடுப்பிலிருந்து இறக்கவும். முட்டைகளை ஒரு பாத்திரத்தில் உடைத்து சூடான நீரில் வைத்து நன்றாக அடிக்கவும். முட்டைகளை அடிக்கும்போது சிறிது சிறிதாக சர்க்கரையைச் சேர்த்து, அது கிரீமியாகவும் கெட்டியாகவும் ஆகும் வரை நன்றாக அடிக்கவும்.
சாக்லேட் பட்டியை சிறிய துண்டுகளாக வெட்டி, வெண்ணெய் சேர்த்து இரண்டு முறை கொதிக்க விடவும் *. சிறிது அடிக்கவும்.
இப்போது சாக்லேட் + வெண்ணெய் கலவையை முட்டை + சர்க்கரை கலவையுடன் கலக்கவும். எசன்ஸ் சேர்க்கவும். அது கிரீமியாக மாறி குமிழிகள் தோன்றத் தொடங்கும் வரை நன்றாக அடிக்கவும்.
இப்போது மைதா / மாவை ஒரு மர ஸ்பேட்டூலாவால் மெதுவாக மடிக்கவும். மாவு சொட்டும் நிலைத்தன்மையுடன் இருக்க வேண்டும். கலவையை நெய் தடவிய தட்டில் ஊற்றவும். மேலே வால்நட் துண்டுகளைச் சேர்த்து 20 நிமிடங்கள் அல்லது வேகும் வரை சுடவும்.
ஒரு டூத்பிக் குச்சியைச் செருகவும், அது சுத்தமாக வெளியே வந்தால், கேக் தயாராக உள்ளது.
எளிமையான மற்றும் எளிதான சாக்லேட் பிரவுனிகள் தயார்.
நீங்கள் விரும்பினால் அதன் மேல் சாக்லேட் சாஸ் ஊற்றவும்.</t>
  </si>
  <si>
    <t>https://www.kingarthurbaking.com/sites/default/files/styles/featured_image/public/recipe_legacy/1228-3-large.jpg?itok=ADPr9QfO</t>
  </si>
  <si>
    <t>Fruit cake</t>
  </si>
  <si>
    <t>பழ கேக்</t>
  </si>
  <si>
    <t xml:space="preserve">   All purpose flour  – 250 grams,
   Powdered sugar – 250 grams,
   Margarine – 250 grams,
   Egg white – 4,
   Egg yolk – 5,
   Dry fruits – 250 grams,
   Almonds and cashew nuts - 50 grams,
   Tutti frutti - 1 tbsp,
   Sugar - 100 grams,
   Grape Wine – 1/4 cup,
   Orange juice- 1/4 cup,
   Baking Powder – 1 tsp,
   Baking soda – 1/4 tsp,
   Spice powder – 1 tsp,
   Vanilla essence – 1 1/2 tsp.</t>
  </si>
  <si>
    <t>அனைத்து வகையான மாவு - 250 கிராம்,
பொடித்த சர்க்கரை - 250 கிராம்,
வெண்ணெயை - 250 கிராம்,
முட்டையின் வெள்ளைக்கரு - 4,
முட்டையின் மஞ்சள் கரு - 5,
உலர் பழங்கள் - 250 கிராம்,
பாதாம் மற்றும் முந்திரி பருப்பு - 50 கிராம்,
துட்டி ஃப்ருட்டி - 1 டீஸ்பூன்,
சர்க்கரை - 100 கிராம்,
திராட்சை ஒயின் - 1/4 கப்,
ஆரஞ்சு சாறு - 1/4 கப்,
பேக்கிங் பவுடர் - 1 டீஸ்பூன்,
பேக்கிங் சோடா - 1/4 டீஸ்பூன்,
மசாலா தூள் - 1 டீஸ்பூன்,
வெண்ணிலா எசன்ஸ் - 1 1/2 டீஸ்பூன்.</t>
  </si>
  <si>
    <t>Beat margarine well with an electric blender. 
Add powdered sugar, little by little and beat well.
Then add egg yolk and beat well .
Now keep the electric blender aside .You don’t need it any more.
Then add a little dry fruits coated with maida and mix gently with a ladle .
Now fold in a little flour.
Now add a little caramel syrup and mix gently with a ladle.
Then mix in a little egg white.
Then add orange juice and mix gently.
Now again start folding dry fruits followed by a little maida, little caramel syrup, followed by egg white. Repeat the above procedure in the same order with the remaining fruits, flour, caramel syrup and egg white. Gently mix.
Now add vanilla essence. Mix gently.
The cake mixture is ready.
Preheat the oven for 10 minutes at 180 degree C. Grease the baking tray or line it with a butter paper. Pour the cake mixture into the tray. Avoid pouring too much in the center.
Bake for 45 minutes to 1 hours at 180 degree C. Timings might change depending on the oven type.
Insert a tooth prick in the middle to check if the cake is done. If it comes out clean,then it is done otherwise bake it for some more time.</t>
  </si>
  <si>
    <t>எலக்ட்ரிக் பிளெண்டரை நன்றாக அடிக்கவும்.
சிறிது சிறிதாக தூள் சர்க்கரையைச் சேர்த்து நன்றாக அடிக்கவும்.
பின்னர் முட்டையின் மஞ்சள் கருவைச் சேர்த்து நன்றாக அடிக்கவும்.
இப்போது எலக்ட்ரிக் பிளெண்டரை ஒதுக்கி வைக்கவும். உங்களுக்கு இனி அது தேவையில்லை.
பின்னர் மைதா பூசப்பட்ட சிறிது உலர் பழங்களைச் சேர்த்து ஒரு கரண்டியால் மெதுவாக கலக்கவும்.
இப்போது சிறிது மாவை மடித்து வைக்கவும்.
இப்போது சிறிது கேரமல் சிரப்பைச் சேர்த்து ஒரு கரண்டியால் மெதுவாக கலக்கவும்.
பின்னர் சிறிது முட்டையின் வெள்ளைக்கருவை கலக்கவும்.
பின்னர் ஆரஞ்சு சாறு சேர்த்து மெதுவாக கலக்கவும்.
இப்போது மீண்டும் உலர் பழங்களை மடிக்கத் தொடங்குங்கள், பின்னர் சிறிது மைதா, சிறிது கேரமல் சிரப், பின்னர் முட்டையின் வெள்ளைக்கரு. மீதமுள்ள பழங்கள், மாவு, கேரமல் சிரப் மற்றும் முட்டையின் வெள்ளைக்கருவுடன் மேற்கண்ட நடைமுறையை அதே வரிசையில் மீண்டும் செய்யவும். மெதுவாக கலக்கவும்.
இப்போது வெண்ணிலா எசன்ஸ் சேர்க்கவும். மெதுவாக கலக்கவும்.
கேக் கலவை தயாராக உள்ளது.
180 டிகிரி செல்சியஸில் 10 நிமிடங்கள் அடுப்பை முன்கூட்டியே சூடாக்கவும். பேக்கிங் ட்ரேயில் கிரீஸ் தடவவும் அல்லது வெண்ணெய் காகிதத்தால் வரிசைப்படுத்தவும். கேக் கலவையை தட்டில் ஊற்றவும். மையத்தில் அதிகமாக ஊற்றுவதைத் தவிர்க்கவும்.
180 டிகிரி செல்சியஸில் 45 நிமிடங்கள் முதல் 1 மணி நேரம் வரை சுடவும். அடுப்பு வகையைப் பொறுத்து நேரம் மாறுபடலாம்.
கேக் வெந்துவிட்டதா என்று சரிபார்க்க நடுவில் ஒரு பல் குத்தலைச் செருகவும். அது சுத்தமாக வெளியே வந்தால், அது முடிந்தது இல்லையெனில் இன்னும் சிறிது நேரம் சுடவும்.</t>
  </si>
  <si>
    <t>https://cookingfromheart.com/wp-content/uploads/2023/01/Eggless-Rum-Fruit-Cake-Recipe.jpg</t>
  </si>
  <si>
    <t>Banana Muffins</t>
  </si>
  <si>
    <t>வாழைப்பழ மஃபின்கள்</t>
  </si>
  <si>
    <t>Ripe Green Banana - 200 grams,
Eggs - 4,
All purpose flour/Maida - 200 grams,
Sugar – 200 grams,
Baking powder - 1 tsp,
Baking soda – a pinch,
Oil – 150 grams ,
Banana essence - 2 tsp.</t>
  </si>
  <si>
    <t>பழுத்த பச்சை வாழைப்பழம் - 200 கிராம்,
முட்டை - 4,
அனைத்து உபயோக மாவு/மைதா - 200 கிராம்,
சர்க்கரை - 200 கிராம்,
பேக்கிங் பவுடர் - 1 டீஸ்பூன்,
பேக்கிங் சோடா - ஒரு சிட்டிகை,
எண்ணெய் - 150 கிராம்,
வாழைப்பழ எசன்ஸ் - 2 டீஸ்பூன்.</t>
  </si>
  <si>
    <t>Mash banana well .
Add sugar to it and beat till sugar dissolves.
Add eggs one by one and beat well. ( I used electric hand blender)
Add banana essence and mix it .
Then add flour little by little and fold it gently.(Do not beat after adding flour)
Then add oil and mix it well.
Preheat the oven for 15 minutes.
Now spoon the batter and fill each muffin cups with the batter till 3/4
Top each muffin with slivered almonds.(optional)
Bake for 20 minutes or until the tops are browned.
Insert a toothpick and if it comes out clean, then the muffins are done.
Cool, remove from the cups and serve.
Decorate it with any kind of frosting or toppings if you want but it tasted awesome just like that.</t>
  </si>
  <si>
    <t>வாழைப்பழத்தை நன்றாக மசிக்கவும்.
அதனுடன் சர்க்கரையைச் சேர்த்து சர்க்கரை கரையும் வரை அடிக்கவும்.
முட்டைகளை ஒவ்வொன்றாகச் சேர்த்து நன்றாக அடிக்கவும். (நான் மின்சார ஹேண்ட் பிளெண்டரைப் பயன்படுத்தினேன்)
வாழைப்பழ எசன்ஸைச் சேர்த்து கலக்கவும்.
பின்னர் மாவை சிறிது சிறிதாகச் சேர்த்து மெதுவாக மடிக்கவும். (மாவு சேர்த்த பிறகு அடிக்க வேண்டாம்)
பின்னர் எண்ணெய் சேர்த்து நன்றாக கலக்கவும்.
அடுப்பை 15 நிமிடங்கள் முன்கூட்டியே சூடாக்கவும்.
இப்போது மாவை கரண்டியால் கரண்டியால் ஸ்லைவர் செய்து ஒவ்வொரு மஃபின் கப்களிலும் மாவை நிரப்பவும்.
ஒவ்வொரு மஃபினின் மேல் துருவிய பாதாம் பருப்புகளை நிரப்பவும். (விரும்பினால்)
20 நிமிடங்கள் அல்லது மேல் பகுதிகள் பழுப்பு நிறமாக இருக்கும் வரை சுடவும்.
ஒரு டூத்பிக் போடுங்கள், அது சுத்தமாக வெளியே வந்தால், மஃபின்கள் தயாராக இருக்கும்.
ஆறவிட்டு, கோப்பைகளிலிருந்து எடுத்து பரிமாறவும்.
நீங்கள் விரும்பினால் எந்த வகையான ஃப்ரோஸ்டிங் அல்லது டாப்பிங்ஸாலும் அலங்கரிக்கவும், ஆனால் அது அப்படியே அருமையாக இருந்தது.</t>
  </si>
  <si>
    <t>https://sugarspunrun.com/wp-content/uploads/2022/05/Banana-Muffins-Recipe-1-of-1.jpg</t>
  </si>
  <si>
    <t>Waffles</t>
  </si>
  <si>
    <t>வாஃபிள்ஸ்</t>
  </si>
  <si>
    <t>Butter – 125 grams,
Sugar – 150 grams,
Eggs – 2,
Wheat flour – 200 grams,
Baking powder – 1 tsp,
Milk – 1 ½ cups,
Vanilla essence – 1 tsp,
Fresh Lemon juice – ½ tsp,
A pinch of salt.</t>
  </si>
  <si>
    <t>வெண்ணெய் - 125 கிராம்,
சர்க்கரை - 150 கிராம்,
முட்டை - 2,
கோதுமை மாவு - 200 கிராம்,
பேக்கிங் பவுடர் - 1 டீஸ்பூன்,
பால் - 1 ½ கப்,
வெண்ணிலா எசன்ஸ் - 1 டீஸ்பூன்,
புதிய எலுமிச்சை சாறு - ½ டீஸ்பூன்,
ஒரு சிட்டிகை உப்பு.</t>
  </si>
  <si>
    <t>Beat the butter. Add powdered sugar and mix till the sugar dissolves.
Add egg mixture and mix well.
Then add wheat flour and milk little by little and mix well.
The batter should neither be thick nor thin.
Mix  a tsp of vanilla essence, a pinch of salt and ½ tsp lemon juice to the batter.
Preheat the waffle iron. Take a little batter and spread it on the hot waffle iron and close it.
Within 1 minute the waffles will be done. Remove it with a wooden spatula.
Repeat the process for the rest of the dough.</t>
  </si>
  <si>
    <t>வெண்ணெயை அடிக்கவும். பொடித்த சர்க்கரையைச் சேர்த்து சர்க்கரை கரையும் வரை கலக்கவும்.
முட்டை கலவையைச் சேர்த்து நன்கு கலக்கவும்.
பின்னர் கோதுமை மாவு மற்றும் பால் ஆகியவற்றை சிறிது சிறிதாக சேர்த்து நன்கு கலக்கவும்.
மாவு கெட்டியாகவோ அல்லது மெல்லியதாகவோ இருக்கக்கூடாது.
மாவுடன் ஒரு டீஸ்பூன் வெண்ணிலா எசன்ஸ், ஒரு சிட்டிகை உப்பு மற்றும் ½ டீஸ்பூன் எலுமிச்சை சாறு ஆகியவற்றை கலக்கவும்.
வாஃபிள் இரும்பை முன்கூட்டியே சூடாக்கவும். சிறிது மாவை எடுத்து சூடான வாஃபிள் இரும்பில் தடவி மூடவும்.
1 நிமிடத்திற்குள் வாஃபிள்ஸ் தயாராகிவிடும். ஒரு மர ஸ்பேட்டூலாவைப் பயன்படுத்தி அதை அகற்றவும்.
மீதமுள்ள மாவிற்கு இந்த செயல்முறையை மீண்டும் செய்யவும்.</t>
  </si>
  <si>
    <t>https://images.getrecipekit.com/20230327191314-Rise%2520Waffle_Chocolate%2520Waffles.jpg?aspect_ratio=4:3&amp;quality=90&amp;</t>
  </si>
  <si>
    <t>Simple Chocolate Cake</t>
  </si>
  <si>
    <t>சிம்பிள் சாக்லேட் கேக்</t>
  </si>
  <si>
    <t>Butter – 250 grams,
All purpose flour - 250 grams,
Sugar - 250 grams,
Eggs – 4,
Baking powder - 1 ¼ tsp,
Cocoa powder - 3 ½ tbsp,
Curd - 1 ½ tbsp,
Vanilla essence - 1 tsp.</t>
  </si>
  <si>
    <t>வெண்ணெய் - 250 கிராம்,
அனைத்து உபயோக மாவு - 250 கிராம்,
சர்க்கரை - 250 கிராம்,
முட்டை - 4,
பேக்கிங் பவுடர் - 1 ¼ தேக்கரண்டி,
கோகோ பவுடர் - 3 ½ தேக்கரண்டி,
தயிர் - 1 ½ தேக்கரண்டி,
வெண்ணிலா எசன்ஸ் - 1 தேக்கரண்டி.</t>
  </si>
  <si>
    <t>Sieve flour, baking powder and cocoa powder together twice.
Beat the butter till soft and fluffy with an electric hand mixer.
Add the powdered sugar and beat well.
Add eggs and beat for a few more minutes.
Then add flour little by little and fold it in the same direction with a ladle. (Do not use hand mixer for this)
Add Curd and 1 tsp vanilla essence and mix it.
Grease the baking tray with butter and dust little flour on it. Pour the batter in the tray evenly.
Preheat the oven for 10 minutes at 180 degree C and bake for 30 minutes or until a toothpick inserted in the center of the cake comes out clean.
Cool it for 10 -15 minutes and transfer it on a wire rack.
Decorate it as you wish. Enjoy.</t>
  </si>
  <si>
    <t>மாவு, பேக்கிங் பவுடர் மற்றும் கோகோ பவுடரை இரண்டு முறை சலிக்கவும்.
மின்சார கை மிக்சர் மூலம் வெண்ணெயை மென்மையாகவும் பஞ்சுபோன்றதாகவும் அடிக்கவும்.
பொடித்த சர்க்கரையைச் சேர்த்து நன்றாக அடிக்கவும்.
முட்டைகளைச் சேர்த்து இன்னும் சில நிமிடங்கள் அடிக்கவும்.
பின்னர் மாவை சிறிது சிறிதாகச் சேர்த்து, அதே திசையில் ஒரு கரண்டியால் மடிக்கவும். (இதற்கு கை மிக்சரைப் பயன்படுத்த வேண்டாம்)
தயிர் மற்றும் 1 தேக்கரண்டி வெண்ணிலா எசன்ஸைச் சேர்த்து கலக்கவும்.
பேக்கிங் தட்டில் வெண்ணெய் தடவி அதன் மீது சிறிது மாவு தூவவும். தட்டில் மாவை சமமாக ஊற்றவும்.
180 டிகிரி செல்சியஸில் 10 நிமிடங்கள் அடுப்பை முன்கூட்டியே சூடாக்கி, 30 நிமிடங்கள் அல்லது கேக்கின் மையத்தில் செருகப்பட்ட ஒரு டூத்பிக் சுத்தமாக வெளியே வரும் வரை சுடவும்.
10 -15 நிமிடங்கள் குளிர்ந்து, ஒரு கம்பி ரேக்கில் மாற்றவும்.
உங்கள் விருப்பப்படி அலங்கரிக்கவும். மகிழுங்கள்.</t>
  </si>
  <si>
    <t>https://encrypted-tbn0.gstatic.com/images?q=tbn:ANd9GcQb_4cZ6oX0NziBxgUPrlt4hxokwKXIhekw6Q&amp;s</t>
  </si>
  <si>
    <t>Pearl Onions – 10,
Tomato – 1,
Green chilli – 2,
Ginger – 1 inch piece,
Garlic – 5 cloves,
Gram flour - 1 heaped tbsp,
Jaggery – 3/4 tsp,
Water – 1 1/2 -1 3/4 cup,
Salt needed,
Turmeric Powder – 1/4 tsp,
Chilli Powder – 1 tsp,
Oil – 2 tbsp,
Mustard seeds – 1 tsp,
Urad dal – 1 tsp,
Fenugreek seeds – 1/4 tsp,
Cumin seeds – 1 tsp,
Asafoetida – a generous pinch,
Red Chilli – 1,
Curry leaves – a sprig,
Finely chopped coriander leaves.</t>
  </si>
  <si>
    <t>முத்து வெங்காயம் - 10,
தக்காளி - 1,
பச்சை மிளகாய் - 2,
இஞ்சி - 1 அங்குல துண்டு,
பூண்டு - 5 பல்,
கிராம் மாவு - 1 குவியலாக நறுக்கியது,
வெல்லம் - 3/4 தேக்கரண்டி,
தண்ணீர் - 1 1/2 -1 3/4 கப்,
உப்பு தேவை,
மஞ்சள் தூள் - 1/4 தேக்கரண்டி,
மிளகாய் தூள் - 1 தேக்கரண்டி,
எண்ணெய் - 2 தேக்கரண்டி,
கடுகு - 1 தேக்கரண்டி,
உருளை பருப்பு - 1 தேக்கரண்டி,
வெந்தயம் - 1/4 தேக்கரண்டி,
சீரகம் - 1 தேக்கரண்டி,
அசாஃபோடிடா - ஒரு சிட்டிகை,
சிவப்பு மிளகாய் - 1,
கறிவேப்பிலை - ஒரு தளிர்,
பொடியாக நறுக்கிய கொத்தமல்லி இலைகள்.</t>
  </si>
  <si>
    <t>Heat 2 tbsp of oil and add mustard seeds followed by urad dal, cumin seeds, fenugreek seeds, red chilli and hing.
When mustard seeds start spluttering, add finely chopped pearl onions (shallots), ginger , green chillies, garlic and curry leaves.
Saute until onions turn transparent.
Once it turns transparent, add the chopped tomatoes, turmeric powder, salt and chilli powder.
Cook until tomatoes turn mushy. If you feel the tomatoes are dry, you may add a tbsp of water.
Once the tomatoes are cooked well, add the gram flour mix.
Mix well. Once it starts boiling, reduce the heat and simmer for 4-5 minutes. Keep stirring in between.
Once done, garnish with finely chopped coriander leaves.
Serve bombay sambar piping hot with idli, dosa or pongal.</t>
  </si>
  <si>
    <t>2 டேபிள் ஸ்பூன் எண்ணெயை சூடாக்கி, கடுகு, பின்னர் உளுத்தம்பருப்பு, சீரகம், வெந்தயம், சிவப்பு மிளகாய் மற்றும் பெருங்காயம் சேர்க்கவும்.
கடுகு வெடிக்க ஆரம்பித்ததும், இறுதியாக நறுக்கிய முத்து வெங்காயம் (வெங்காயம்), இஞ்சி, பச்சை மிளகாய், பூண்டு மற்றும் கறிவேப்பிலை சேர்க்கவும்.
வெங்காயம் தெளிவாகும் வரை வதக்கவும்.
அது தெளிவாகும் வரை, நறுக்கிய தக்காளி, மஞ்சள் தூள், உப்பு மற்றும் மிளகாய் தூள் சேர்க்கவும்.
தக்காளி மென்மையாகும் வரை சமைக்கவும். தக்காளி காய்ந்ததும், ஒரு டீஸ்பூன் தண்ணீர் சேர்க்கலாம்.
தக்காளி நன்றாக வதங்கியதும், கடலை மாவு கலவையை சேர்க்கவும்.
நன்றாக கலக்கவும். கொதிக்க ஆரம்பித்ததும், தீயை குறைத்து 4-5 நிமிடங்கள் கொதிக்க வைக்கவும். இடையில் தொடர்ந்து கிளறவும்.
தயாரானதும், இறுதியாக நறுக்கிய கொத்தமல்லி இலைகளால் அலங்கரிக்கவும்.
பாம்பே சாம்பாரை இட்லி, தோசை அல்லது பொங்கலுடன் சூடாக பரிமாறவும்.</t>
  </si>
  <si>
    <t>https://encrypted-tbn0.gstatic.com/images?q=tbn:ANd9GcRpK8dm5y1tu87VBzxMQN5jLjnBHyS_HIniyQ&amp;s</t>
  </si>
  <si>
    <t>Green Tomato Chutney</t>
  </si>
  <si>
    <t>பச்சை தக்காளி சட்னி</t>
  </si>
  <si>
    <t>2 tbsp -  Oil,
2 tbsp -  Urad dal,
3 -  Red Chillies,
1 -  Green Chillies,
1 -  Onion chopped,
4 -  Green Tomato,
Coriander leaves,
1/4 cup -  Roasted Peanuts,
Salt needed,
Curry leaves,
1 tsp -  Oil,
1 tsp -  Mustard seeds.</t>
  </si>
  <si>
    <t>2 டீஸ்பூன் - எண்ணெய்,
2 டீஸ்பூன் - உளுத்தம்பருப்பு,
3 - சிவப்பு மிளகாய்,
1 - பச்சை மிளகாய்,
1 - வெங்காயம் நறுக்கியது,
4 - பச்சை தக்காளி,
கொத்தமல்லி இலைகள்,
1/4 கப் - வறுத்த வேர்க்கடலை,
உப்பு தேவை,
கறிவேப்பிலை,
1 டீஸ்பூன் - எண்ணெய்,
1 டீஸ்பூன் - கடுகு.</t>
  </si>
  <si>
    <t>Heat 2 tbsp of oil, add 2 tbsp of urad dal, 3 red chillies and 1 green chilli.
Saute until dal turns golden brown.
Once dal turns golden brown, remove from pan.
In the same pan, add chopped onions, curry leaves and saute until onions turns transparent.
When onions turn transparent, add the chopped green tomatoes.
Add salt needed and cook until tomatoes turn soft.
Once the green tomatoes are well cooked, add a fistful of coriander leaves and turn off the heat. Saute in the heat of the pan. Leave it to cool.
First dry grind the dal coarsely and keep it aside.
Then blend the cooked tomatoes, roasted peanuts and the powdered dal together to a coarse paste adding little water.
Our Green tomato chutney is ready.</t>
  </si>
  <si>
    <t>2 டீஸ்பூன் எண்ணெயை சூடாக்கி, 2 டீஸ்பூன் உளுத்தம்பருப்பு, 3 சிவப்பு மிளகாய் மற்றும் 1 பச்சை மிளகாய் சேர்க்கவும்.
பருப்பு பொன்னிறமாகும் வரை வதக்கவும்.
பருப்பு பொன்னிறமாகும் வரை வதக்கவும்.
பருப்பில் இருந்து எடுக்கவும்.
அதே வாணலியில், நறுக்கிய வெங்காயம், கறிவேப்பிலை சேர்த்து வெங்காயம் தெளிவடையும் வரை வதக்கவும்.
வெங்காயம் வெளிப்படையானது ஆனதும், நறுக்கிய பச்சை தக்காளியைச் சேர்க்கவும்.
தேவையான அளவு உப்பு சேர்த்து தக்காளி மென்மையாகும் வரை வதக்கவும்.
பச்சை தக்காளி நன்கு வதங்கியதும், ஒரு கைப்பிடி கொத்தமல்லி இலைகளைச் சேர்த்து, தீயை அணைக்கவும். கடாயின் தீயில் வதக்கவும். ஆறவிடவும்.
முதலில் பருப்பை நன்றாக அரைத்து தனியாக வைக்கவும்.
பின்னர் சமைத்த தக்காளி, வறுத்த வேர்க்கடலை மற்றும் பொடித்த பருப்பை ஒன்றாக சேர்த்து சிறிது தண்ணீர் சேர்த்து கரகரப்பான பேஸ்டாக அரைக்கவும்.
எங்கள் பச்சை தக்காளி சட்னி தயார்.</t>
  </si>
  <si>
    <t>https://encrypted-tbn0.gstatic.com/images?q=tbn:ANd9GcQGGLqwy3Rmo6BPEILjjs9wgZgFbpgoYIIJwg&amp;s</t>
  </si>
  <si>
    <t>https://youtu.be/FGnUyhfKOCU</t>
  </si>
  <si>
    <t>Vegetable Chutney</t>
  </si>
  <si>
    <t>காய்கறி சட்னி</t>
  </si>
  <si>
    <t>2 -  Onion chopped,
3 -  Tomatoes chopped,
1 -  inch Ginger piece,
3 -  Green chillies,
1/4 cup -  Coconut grated,
Coriander leaves fistful,
Curry leaves fistful,
Tamarind -  small marble size ball,
Salt needed,
1/3 cup - Carrot chopped,
4-5 -  Beans,
1/3 cup -  Cabbage,
1/3 cup -  Chayote,
1/3 cup -  Pumpkin,
1/3 cup -  Brinjal,
3-4 tbsp -  Oil sesame seed oil preferable,
1 tsp -  Mustard seeds,
2 tbsp -  Urad dal,
5 -  Red Chillies or as needed,
1/8 tsp -  Asafoetida.</t>
  </si>
  <si>
    <t>2 - வெங்காயம் நறுக்கியது,
3 - தக்காளி நறுக்கியது,
1 - அங்குல இஞ்சி துண்டு,
3 - பச்சை மிளகாய்,
1/4 கப் - தேங்காய் துருவியது,
கொத்தமல்லி இலை முஷ்டியளவு,
கறிவேப்பிலை முஷ்டியளவு,
புளி - சிறிய பளிங்கு அளவு உருண்டை,
உப்பு தேவை,
1/3 கப் - கேரட் நறுக்கியது,
4-5 - பீன்ஸ்,
1/3 கப் - முட்டைக்கோஸ்,
1/3 கப் - சயோட்,
1/3 கப் - பூசணி,
1/3 கப் - கத்திரிக்காய்,
3-4 டீஸ்பூன் - எண்ணெய் எள் விதை எண்ணெய் விரும்பத்தக்கது,
1 டீஸ்பூன் - கடுகு,
2 டீஸ்பூன் - உளுத்தம்பருப்பு,
5 - சிவப்பு மிளகாய் அல்லது தேவைக்கேற்ப,
1/8 டீஸ்பூன் - பெருங்காயம்.</t>
  </si>
  <si>
    <t>Heat oil. When oil is hot, add mustard seeds, urad dal, hing and red chillies.
Saute until dal turns golden brown.
When dal turns golden brown, remove from pan. Set aside.
In the same pan, add onions, ginger, green chillies and saute until it turns transparent.
Add all the vegetables, salt needed and cook covered.
Once the vegetables are cooked, add chopped tomatoes.
Cook until tomatoes are soft.
Add coriander leaves, curry leaves, hing, grated coconut, tamarind and cook for a few more minutes.
Turn off the heat and leave it to cool.
Once it cools, grind it coarsely along with red chillies and urad dal.
Enjoy vegetable chutney with rice, chapati, parathas or idli dosa.</t>
  </si>
  <si>
    <t>எண்ணெயை சூடாக்கவும். எண்ணெய் சூடானதும், கடுகு, உளுத்தம்பருப்பு, பெருங்காயம் மற்றும் சிவப்பு மிளகாய் சேர்க்கவும்.
பருப்பை பொன்னிறமாகும் வரை வதக்கவும்.
பருப்பை பொன்னிறமாக மாறும் வரை வதக்கவும்.
பருப்பை பொன்னிறமாக மாறும் போது, ​​வாணலியில் இருந்து அகற்றி ஒதுக்கி வைக்கவும்.
அதே வாணலியில், வெங்காயம், இஞ்சி, பச்சை மிளகாய் சேர்த்து, அது தெளிவாகும் வரை வதக்கவும்.
தேவையான அனைத்து காய்கறிகளையும் சேர்த்து, உப்பு சேர்த்து மூடி வைத்து சமைக்கவும்.
காய்கறிகள் வெந்தவுடன், நறுக்கிய தக்காளியைச் சேர்க்கவும்.
தக்காளி மென்மையாகும் வரை சமைக்கவும்.
கொத்தமல்லி இலை, கறிவேப்பிலை, கீரை, துருவிய தேங்காய், புளி சேர்த்து இன்னும் சில நிமிடங்கள் சமைக்கவும்.
அடுப்பை அணைத்து, ஆற விடவும்.
அது ஆறியதும், சிவப்பு மிளகாய் மற்றும் உளுத்தம்பருப்பு சேர்த்து கரடுமுரடாக அரைக்கவும்.
காய்கறி சட்னியை அரிசி, சப்பாத்தி, பரோட்டா அல்லது இட்லி தோசையுடன் மசித்து மசிக்கவும்.</t>
  </si>
  <si>
    <t>https://www.padhuskitchen.com/wp-content/uploads/2019/06/vegetable-chutney--500x500.jpg</t>
  </si>
  <si>
    <t>https://youtu.be/1Mpv_IQkTVs</t>
  </si>
  <si>
    <t>Tomato Chutney with Coconut</t>
  </si>
  <si>
    <t>தக்காளி சட்னி மற்றும் தேங்காயுடன்</t>
  </si>
  <si>
    <t xml:space="preserve">   Oil – 1 1/2 tbsp,
   Shallots – 8-10,
   Garlic – 6,
   Red Chillies – 4-5,
   Tomatoes – 6 ripe ones,
   Coconut – 1/2 cup grated,
   Curry leaves – fistful,
   Coriander leaves – fistful,
   Salt needed,
   Oil – 1 tsp,
   Mustard seeds – 1 tsp,
   Urad dal – 3/4 tsp,
   Red chillies – 1,
   Hing – a pinch,
   Curry leaves – a sprig.</t>
  </si>
  <si>
    <t>எண்ணெய் - 1 1/2 டீஸ்பூன்,
வெங்காயத்தாள் - 8-10,
பூண்டு - 6,
சிவப்பு மிளகாய் - 4-5,
தக்காளி - 6 பழுத்தவை,
தேங்காய் - 1/2 கப் துருவியது,
கறிவேப்பிலை - ஒரு கைப்பிடி,
கொத்தமல்லி இலை - ஒரு கைப்பிடி,
உப்பு தேவை,
எண்ணெய் - 1 டீஸ்பூன்,
கடுகு - 1 டீஸ்பூன்,
உளுத்தம்பருப்பு - 3/4 டீஸ்பூன்,
சிவப்பு மிளகாய் - 1,
கீல் - ஒரு சிட்டிகை,
கறிவேப்பிலை - ஒரு தளிர்.</t>
  </si>
  <si>
    <t>Heat 1 1/2-2 tbsp of oil, saute red chillies and remove it from the pan. Keep it aside.
In the same pan, add shallots and garlic and saute until onion turns transparent.
Add chopped tomatoes, salt needed and cook until tomatoes become mushy.
Then add grated coconut, coriander leaves and curry leaves.
Saute for 2-3 minutes and turn off the heat. Leave it too cool.
Then grind it a little coarse with red chillies adding little water.
tomato chutney with coconut, garlic and coriander leaves 
Heat a tsp of oil, add mustard seeds, urad dal, red chillies, hing and curry leaves. When dal turns golden, pour the seasoning over the chutney.
This chutney goes well with idli, dosa, paratha, chapati, bread, upma, pongal and many more tiffin items.</t>
  </si>
  <si>
    <t>1 1/2-2 டீஸ்பூன் எண்ணெயை சூடாக்கி, சிவப்பு மிளகாயை வதக்கி, வாணலியில் இருந்து எடுத்து வைக்கவும். அதை ஒதுக்கி வைக்கவும்.
அதே வாணலியில், வெங்காயத்தாள் மற்றும் பூண்டை சேர்த்து வெங்காயம் தெளிவாகும் வரை வதக்கவும்.
நறுக்கிய தக்காளி, தேவையான அளவு உப்பு சேர்த்து தக்காளி மென்மையாகும் வரை சமைக்கவும்.
பின்னர் துருவிய தேங்காய், கொத்தமல்லி இலை மற்றும் கறிவேப்பிலை சேர்க்கவும்.
2-3 நிமிடங்கள் வதக்கி, தீயை அணைக்கவும். மிகவும் குளிர வைக்கவும்.
பின்னர் சிவப்பு மிளகாயுடன் சிறிது தண்ணீர் சேர்த்து சிறிது கரடுமுரடாக அரைக்கவும்.
தேங்காய், பூண்டு மற்றும் கொத்தமல்லி இலைகளுடன் தக்காளி சட்னி
ஒரு தேக்கரண்டி எண்ணெயை சூடாக்கி, கடுகு, உளுத்தம்பருப்பு, சிவப்பு மிளகாய், பெருங்காயம் மற்றும் கறிவேப்பிலை சேர்க்கவும். பருப்பு பொன்னிறமாக மாறியதும், சட்னியின் மேல் தாளிக்க வைத்த பொருட்களை ஊற்றவும்.
இந்த சட்னி இட்லி, தோசை, பரோட்டா, சப்பாத்தி, ரொட்டி, உப்மா, பொங்கல் மற்றும் பல டிஃபின் பொருட்களுடன் நன்றாக செல்லும்.</t>
  </si>
  <si>
    <t>https://www.whiskaffair.com/wp-content/uploads/2024/06/Tomato-Coconut-Chutney-2-3.jpg</t>
  </si>
  <si>
    <t>Peanut Chutney without Coconut</t>
  </si>
  <si>
    <t>தேங்காய் சேர்க்காத வேர்க்கடலை சட்னி</t>
  </si>
  <si>
    <t xml:space="preserve">   Peanuts – 1/2 cup,
   Oil – 1/2 tsp,
   Garlic – 3 cloves,
   shallots – 3- 4,
   Dry red chillies – 4,
   Tamarind – a small piece,
   Salt to taste,
   Oil – 1 tsp,
   Mustard seeds – 1 tsp,
   Urad dal  – 1/4 tsp ,
   Red Chillies – 1,
   Curry leaves - a sprig.</t>
  </si>
  <si>
    <t>வேர்க்கடலை - 1/2 கப்,
எண்ணெய் - 1/2 தேக்கரண்டி,
பூண்டு - 3 பல்,
வெங்காயத்தாள் - 3- 4,
காய்ந்த மிளகாய் - 4,
புளி - ஒரு சிறிய துண்டு,
சுவைக்கு உப்பு,
எண்ணெய் - 1 தேக்கரண்டி,
கடுகு - 1 தேக்கரண்டி,
உளுத்தம் பருப்பு - 1/4 தேக்கரண்டி,
சிவப்பு மிளகாய் - 1,
கறிவேப்பிலை - ஒரு துளிர்.</t>
  </si>
  <si>
    <t>Heat 1/2 tsp of oil, roast onion and garlic until light golden brown and remove. Saute red chillies also in the same oil.
Grind roasted peanuts along with garlic, onion, red chillies, tamarind and salt needed. Add needed water and grind it to a smooth paste.
Heat a tsp of oil in a pan, add mustard seeds, when it splutters add red chilli, curry leaves and pour it over the chutney.
Enjoy it with idli, dosa, pongal or upma.</t>
  </si>
  <si>
    <t>1/2 தேக்கரண்டி எண்ணெயை சூடாக்கி, வெங்காயம் மற்றும் பூண்டை லேசான பொன்னிறமாகும் வரை வறுக்கவும். அதே எண்ணெயில் சிவப்பு மிளகாயையும் வதக்கவும்.
வறுத்த வேர்க்கடலையை பூண்டு, வெங்காயம், சிவப்பு மிளகாய், புளி மற்றும் தேவையான உப்பு சேர்த்து அரைக்கவும். தேவையான தண்ணீர் சேர்த்து மென்மையான பேஸ்டாக அரைக்கவும்.
ஒரு கடாயில் ஒரு தேக்கரண்டி எண்ணெயை சூடாக்கி, கடுகு சேர்த்து, அது வதங்கியதும் சிவப்பு மிளகாய், கறிவேப்பிலை சேர்த்து சட்னியின் மேல் ஊற்றவும்.
இட்லி, தோசை, பொங்கல் அல்லது உப்மாவுடன் இதை மகிழுங்கள்.</t>
  </si>
  <si>
    <t>https://encrypted-tbn0.gstatic.com/images?q=tbn:ANd9GcQYoiAHGPKqWiZIYtV5mNgu_NNXrEwP_yIf_w&amp;s</t>
  </si>
  <si>
    <t xml:space="preserve">   Mint Leaves – 3 cups,
   Coriander leaves – 1 cup,
   Red Chillies – 6 ,
   Tamarind – 15 grams,
   Salt as needed,
   Oil – 7 tbsp.</t>
  </si>
  <si>
    <t>புதினா இலைகள் - 3 கப்,
கொத்தமல்லி இலைகள் - 1 கப்,
சிவப்பு மிளகாய்கள் - 6,
புளி - 15 கிராம்,
தேவைக்கேற்ப உப்பு,
எண்ணெய் - 7 டேபிள்ஸ்பூன்.</t>
  </si>
  <si>
    <t>Heat 1 tbsp of oil and saute the red chillies. Remove from heat.
In the same pan, saute the mint leaves until they wilt. Remove from heat.
Pudina Kothamalli Thokku Recipe
Grind red chillies, tamarind and salt (I used 1 tbsp rock salt) together coarsely.
Then add the sauteed mint leaves, coriander leaves (you do not have to saute coriander leaves) and grind everything together, adding little water (approximately 1/3-1/2 cup water)  to a very fine paste as shown below.
Heat oil in a kadai, add the paste gently into the oil and cook on medium heat stirring continuously until oil separates.
Mint thokku is ready. Enjoy it with rice, idli, any dosa, adai, pesarattu or use as a spread for bread.</t>
  </si>
  <si>
    <t>1 டேபிள்ஸ்பூன் எண்ணெயை சூடாக்கி, மிளகாயை வதக்கவும்.
அதே வாணலியில், புதினா இலைகளை அவை வாடும் வரை வதக்கவும். வெப்பத்திலிருந்து நீக்கவும்.
புதினா கொத்தமல்லி தொக்கு செய்முறை
சிவப்பு மிளகாய், புளி மற்றும் உப்பு (நான் 1 டேபிள்ஸ்பூன் கல் உப்பு பயன்படுத்தினேன்) ஆகியவற்றை ஒன்றாக கரடுமுரடாக அரைக்கவும்.
பின்னர் வதக்கிய புதினா இலைகள், கொத்தமல்லி இலைகள் (நீங்கள் கொத்தமல்லி இலைகளை வதக்க வேண்டியதில்லை) சேர்த்து, கீழே காட்டப்பட்டுள்ளபடி சிறிது தண்ணீர் (தோராயமாக 1/3-1/2 கப் தண்ணீர்) சேர்த்து எல்லாவற்றையும் ஒன்றாக அரைக்கவும்.
ஒரு கடாயில் எண்ணெயை சூடாக்கி, பேஸ்டை எண்ணெயில் மெதுவாகச் சேர்த்து, எண்ணெய் பிரியும் வரை மிதமான தீயில் தொடர்ந்து கிளறவும்.
புதினா தொக்கு தயார். இதை சாதம், இட்லி, தோசை, அடை, பெசரட்டு ஆகியவற்றுடன் சேர்த்து சாப்பிடலாம் அல்லது ரொட்டிக்கு ஸ்ப்ரெட் ஆக பயன்படுத்தலாம்.</t>
  </si>
  <si>
    <t>https://youtu.be/7BmQ2CXqD-k</t>
  </si>
  <si>
    <t>Beetroot Chutney</t>
  </si>
  <si>
    <t>பீட்ரூட் சட்னி</t>
  </si>
  <si>
    <t xml:space="preserve">   Beetroot – 1 cup,
   Coconut – 1/2 cup,
   Oil – 1 – 1 1/2 tbsp,
   Urad dal – 1 tsp,
   Bengal gram – 2 tbsp,
   Red Chillies – 3,
   Hing/asafoetida – a pinch,
   Ginger – 1/2 inch piece peeled,
   Tamarind – a small piece,
   Curry leaves – a sprig,
   Salt to taste,
   Oil – 1-2 tsp,
   Mustard seeds – 1 tsp,
   Urad dal – 1/2 tsp,
   Curry leaves – a sprig.</t>
  </si>
  <si>
    <t>பீட்ரூட் - 1 கப்,
தேங்காய் - 1/2 கப்,
எண்ணெய் - 1 - 1 1/2 டேபிள்ஸ்பூன்,
உரத்த பருப்பு - 1 டேபிள்ஸ்பூன்,
வங்காள பருப்பு - 2 டேபிள்ஸ்பூன்,
சிவப்பு மிளகாய் - 3,
பெருங்காயம் / அசஃபோடிடா - ஒரு சிட்டிகை,
இஞ்சி - 1/2 அங்குல துண்டு,
புளி - ஒரு சிறிய துண்டு,
கறிவேப்பிலை - ஒரு துளிர்,
ருசிக்க உப்பு,
எண்ணெய் - 1-2 டேபிள்ஸ்பூன்,
கடுகு - 1 டேபிள்ஸ்பூன்,
உரத்த பருப்பு - 1/2 டேபிள்ஸ்பூன்,
கறிவேப்பிலை - ஒரு துளிர்.</t>
  </si>
  <si>
    <t>Heat oil in a pan, add urad dal, bengal gram dal, hing and red chillies.
When dal turns golden brown, add tamarind, ginger, saute for a few seconds and switch off the heat. Remove from pan and leave it to cool.
In the same pan, add grated beetroot, curry leaves and cook on medium heat, stirring from time to time until the rawness of the beetroot goes. Sprinkle water if required.
Add grated coconut, salt needed, saute for a few second and turn off the heat.
Grind the dal mixture first without adding water. Then add the beetroot + coconut and grind to a slightly coarse paste. If it is for idly-dosa, grind it adding water like you do for chutney. If it is for rice, add very less water and grind it like thogayal.
Heat 1-2 tsp of oil in a pan, add mustard seeds, when it splutters, add urad dal. When dal turns golden brown, add curry leaves and pour the seasoning over the chutney.
Enjoy it with rice or with idli, dosa and paratha.</t>
  </si>
  <si>
    <t>ஒரு கடாயில் எண்ணெயை சூடாக்கி, உளுத்தம் பருப்பு, வங்காள பருப்பு, பெருங்காயம் மற்றும் சிவப்பு மிளகாய் சேர்க்கவும்.
பருப்பு பொன்னிறமாக மாறியதும், புளி, இஞ்சி சேர்த்து சில நொடிகள் வதக்கி, அடுப்பை அணைக்கவும். வாணலியில் இருந்து இறக்கி ஆற விடவும்.
அதே வாணலியில், துருவிய பீட்ரூட், கறிவேப்பிலை சேர்த்து மிதமான தீயில், பீட்ரூட்டின் பச்சைத்தன்மை போகும் வரை அவ்வப்போது கிளறி, வேக வைக்கவும். தேவைப்பட்டால் தண்ணீர் தெளிக்கவும்.
தேவைப்பட்டால் துருவிய தேங்காய், தேவையான அளவு உப்பு சேர்த்து, சில நொடிகள் வதக்கி, அடுப்பை அணைக்கவும்.
முதலில் பருப்பை தண்ணீர் சேர்க்காமல் அரைக்கவும். பின்னர் பீட்ரூட் + தேங்காய் சேர்த்து சிறிது கரகரப்பாக அரைக்கவும். இட்லி-தோசை என்றால், சட்னி செய்வது போல் தண்ணீர் சேர்த்து அரைக்கவும். சாதம் என்றால், மிகக் குறைந்த தண்ணீர் சேர்த்து தோகையல் போல அரைக்கவும்.
ஒரு கடாயில் 1-2 தேக்கரண்டி எண்ணெயை சூடாக்கி, கடுகு சேர்த்து, அது வதங்கியதும், உளுத்தம்பருப்பு சேர்க்கவும். பருப்பு பொன்னிறமாக மாறியதும், கறிவேப்பிலை சேர்த்து, சட்னியின் மேல் தாளிக்க வேண்டியதை ஊற்றவும்.
சாதத்துடன் அல்லது இட்லி, தோசை மற்றும் பரோட்டாவுடன் இதை மசிக்கவும்.</t>
  </si>
  <si>
    <t>https://thewhiskaddict.com/wp-content/uploads/2024/01/IMG_9926-scaled.jpg</t>
  </si>
  <si>
    <t>https://www.youtube.com/watch?v=hNHii89T72c&amp;t=66s</t>
  </si>
  <si>
    <t>Vazhaipoo Thuvaiyal</t>
  </si>
  <si>
    <t>வாழைப்பூ துவையல்</t>
  </si>
  <si>
    <t xml:space="preserve">  Tender Banana Flower – 1,
   Turmeric powder – 1/4 tsp,
   Oil – 2 tsp,
   Mustard seeds – 1/2 tsp,
   Urad dal – 1 1/2 tbsp,
   Red Chillies – 3,
   asafoetida – a pinch,
   Tamarind – a small piece ,
   Grated coconut – 2 tbsp,
   Salt to taste.</t>
  </si>
  <si>
    <t>இளஞ்சூடான வாழைப்பூ - 1,
மஞ்சள் தூள் - 1/4 டீஸ்பூன்,
எண்ணெய் - 2 டீஸ்பூன்,
கடுகு - 1/2 டீஸ்பூன்,
உளுத்தம்பருப்பு - 1 1/2 டீஸ்பூன்,
சிவப்பு மிளகாய் - 3,
பெருங்காயம் - ஒரு சிட்டிகை,
புளி - ஒரு சிறிய துண்டு,
தேங்காய் துருவல் - 2 டீஸ்பூன்,
உப்பு தேவைக்கேற்ப.</t>
  </si>
  <si>
    <t>Heat oil in a pan/kadai, add mustard seeds, when it splutters, add urad dal, hing and red chillies.
When dal turns golden brown, add tamarind and saute for 2-3 seconds. Then add cooked banana flower and saute for another 2 minutes.
Add grated coconut and saute for another 4-5 seconds. Add salt needed and leave it to cool.
Grind it coarsely adding very less water. Enjoy it with hot rice topped with a tsp of ghee or sesame seed oil. My lunch on that day was just a simple vazhaipoo thogayal, sorakkai kootu, rice and curd.</t>
  </si>
  <si>
    <t>ஒரு கடாயில் / கடாய் போட்டு சூடாக்கி, கடுகு சேர்த்து, அது வதங்கியதும், உளுத்தம்பருப்பு, கீரை மற்றும் சிவப்பு மிளகாய் சேர்க்கவும்.
பருப்பு பொன்னிறமாக மாறியதும், புளி சேர்த்து 2-3 வினாடிகள் வதக்கவும். பின்னர் சமைத்த வாழைப்பூவை சேர்த்து மேலும் 2 நிமிடங்கள் வதக்கவும்.
துருவிய தேங்காய் சேர்த்து மேலும் 4-5 வினாடிகள் வதக்கவும். தேவையான அளவு உப்பு சேர்த்து ஆற விடவும்.
மிகக் குறைந்த தண்ணீர் சேர்த்து கரடுமுரடாக அரைக்கவும். சூடான சாதத்துடன் ஒரு தேக்கரண்டி நெய் அல்லது எள் விதை எண்ணெயுடன் சேர்த்து மசிக்கவும். அன்று என்னுடைய மதிய உணவு வெறும் வாழைப்பூ தோகை, சொரக்காய் கூட்டு, சாதம் மற்றும் தயிர் மட்டுமே.</t>
  </si>
  <si>
    <t>https://encrypted-tbn0.gstatic.com/images?q=tbn:ANd9GcTtX3D06ASrq2BSVhpl2kWvqcRZSI1Ouw5Jhg&amp;s</t>
  </si>
  <si>
    <t>Carrot Chutney</t>
  </si>
  <si>
    <t xml:space="preserve">
கேரட் சட்னி</t>
  </si>
  <si>
    <t xml:space="preserve">   Oil –  2 tbsp,
   Carrots – 1 cup grated firmly packed,
   Pearl Onions – 8,
   Garlic – 4 cloves,
   Green Chillies – 2-3,
   Ginger – 1 inch piece,
   Tamarind – a small piece,
   Salt needed,
   Oil – 1 tsp,
   Mustard seeds – 1 tsp,
   Urad dal – 1 tsp,
   Curry leaves – a sprig.</t>
  </si>
  <si>
    <t>எண்ணெய் – 2 டேபிள்ஸ்பூன்,
கேரட் – 1 கப் துருவியது,
முத்து வெங்காயம் – 8,
பூண்டு – 4 பல்,
பச்சை மிளகாய் – 2-3,
இஞ்சி – 1 அங்குல துண்டு,
புளி – ஒரு சிறிய துண்டு,
உப்பு தேவை,
எண்ணெய் – 1 டேபிள்ஸ்பூன்,
கடுகு – 1 டேபிள்ஸ்பூன்,
உரத்த பருப்பு – 1 டேபிள்ஸ்பூன்,
கறிவேப்பிலை – ஒரு சிறிய துண்டு.</t>
  </si>
  <si>
    <t>Heat oil in a pan, add onion, garlic, ginger, green chilli and saute until the rawness of the onion goes and it turns pink.
Add grated carrot, salt needed and saute for a few minutes.
carrot chutney recipe 
Then add tamarind and saute until the carrots are well cooked, stirring from time to time. If required you may add 1-2 tbsp of water. Avoid adding too much water.
Once the carrots are soft, switch off the heat and leave it to cool.
Then grind it to a slightly coarse paste (not too smooth) with little water. Heat a tsp of oil, add mustard seeds, when it splutters, add urad dal and curry leaves. When dal turns golden brown, pour the seasoning over the chutney. Mix well and enjoy!</t>
  </si>
  <si>
    <t>ஒரு கடாயில் எண்ணெயை சூடாக்கி, வெங்காயம், பூண்டு, இஞ்சி, பச்சை மிளகாய் சேர்த்து வெங்காயத்தின் பச்சை வாசனை போய் இளஞ்சிவப்பு நிறமாக மாறும் வரை வதக்கவும்.
கேரட் துருவல், உப்பு சேர்த்து சில நிமிடங்கள் வதக்கவும்.
கேரட் சட்னி செய்முறை
பின்னர் புளியைச் சேர்த்து, கேரட் நன்கு வேகும் வரை அவ்வப்போது கிளறி, வதக்கவும். தேவைப்பட்டால் 1-2 டேபிள்ஸ்பூன் தண்ணீர் சேர்க்கலாம். அதிகமாக தண்ணீர் சேர்க்க வேண்டாம்.
கேரட் மென்மையாக ஆனதும், தீயை அணைத்து ஆற விடவும்.
பின்னர் சிறிது தண்ணீர் சேர்த்து சற்று கரடுமுரடான பேஸ்டாக (மிகவும் மென்மையாக இல்லாமல்) அரைக்கவும். ஒரு தேக்கரண்டி எண்ணெயைச் சூடாக்கி, கடுகு சேர்த்து, அது வெடித்ததும், உளுத்தம்பருப்பு மற்றும் கறிவேப்பிலை சேர்க்கவும். பருப்பு பொன்னிறமாக மாறியதும், சட்னியின் மேல் தாளிக்கக் கொடுத்தவற்றை ஊற்றவும். நன்றாகக் கலந்து மகிழுங்கள்!</t>
  </si>
  <si>
    <t>https://www.sharmispassions.com/wp-content/uploads/2013/08/carrot-chutney4.jpg</t>
  </si>
  <si>
    <t>Pirandai Thuvaiyal</t>
  </si>
  <si>
    <t>பிரண்டை துவையல்</t>
  </si>
  <si>
    <t>3/4 cup - Pirandai,
2 tbsp -  Sesame seed oil,
3 tbsp -  Urad dal,
2 -  Red Chillies,
1/2 inch -  Ginger,
Tamarind ,
Curry leaves ,
3 tbsp -  Grated coconut,
Salt needed.</t>
  </si>
  <si>
    <t>3/4 கப் - பிரண்டை,
2 டேபிள் ஸ்பூன் - எள் எண்ணெய்,
3 டேபிள் ஸ்பூன் - உளுத்தம்பருப்பு,
2 - சிவப்பு மிளகாய்,
1/2 அங்குலம் - இஞ்சி,
புளி,
கறிவேப்பிலை,
3 டேபிள் ஸ்பூன் - துருவிய தேங்காய்,
உப்பு தேவை.</t>
  </si>
  <si>
    <t>Heat a tbsp of oil in a kadai, add urad dal, red chillies, tamarind, curry leaves and ginger. Saute until dal turns golden brown. Remove from kadai and keep it aside. If using tamarind paste, you can add it while grinding.
In the same kadai, add another tbsp of oil and saute the pirandai on medium heat until it turns pale green. Sauteing the pirandai well in oil is very important otherwise you will have itching in the throat after eating or even while eating.
Once the pirandai is sauteed well, add grated coconut and saute for another 2-3 seconds. Add salt needed and switch off the heat. Leave it to cool.
Once it cools, grind the pirandai with the dal to a slightly coarse paste.(if using tamarind paste, you can add at this stage and then grind).
Mix pirandai thuvaiyal/chutney with hot rice, top it with a tsp of sesame seed oil and enjoy it. You can have a vegetable stir fry with it to make a complete meal.
You can also have it as a side dish with idli dosa and enjoy it numerous health benefits.</t>
  </si>
  <si>
    <t>ஒரு கடாயில் ஒரு டேபிள் ஸ்பூன் எண்ணெயை சூடாக்கி, உளுத்தம்பருப்பு, சிவப்பு மிளகாய், புளி, கறிவேப்பிலை மற்றும் இஞ்சி சேர்க்கவும். பருப்பை பொன்னிறமாகும் வரை வதக்கவும். கடாயிலிருந்து எடுத்து தனியாக வைக்கவும். புளி விழுது பயன்படுத்தினால், அரைக்கும் போது சேர்க்கலாம்.
அதே கடாயில், மற்றொரு டேபிள் ஸ்பூன் எண்ணெயைச் சேர்த்து, பிரண்டையை மிதமான தீயில் வெளிர் பச்சை நிறமாக மாறும் வரை வதக்கவும். பிரண்டையை எண்ணெயில் நன்றாக வதக்குவது மிகவும் முக்கியம், இல்லையெனில் சாப்பிட்ட பிறகு அல்லது சாப்பிடும் போது கூட தொண்டையில் அரிப்பு ஏற்படும்.
பிரண்டை நன்றாக வதங்கியதும், துருவிய தேங்காயைச் சேர்த்து மேலும் 2-3 வினாடிகள் வதக்கவும். தேவையான அளவு உப்பு சேர்த்து அடுப்பை அணைத்து விடுங்கள். ஆற விடவும்.
அது ஆறியதும், பிரண்டையை பருப்புடன் சேர்த்து சிறிது கரடுமுரடான பேஸ்டாக அரைக்கவும். (புளி விழுதைப் பயன்படுத்தினால், இந்த நிலையிலேயே சேர்த்து பின்னர் அரைக்கலாம்).
பிரண்டை துவையல்/சட்னியை சூடான சாதத்துடன் கலந்து, அதன் மேல் ஒரு தேக்கரண்டி எள் எண்ணெயைச் சேர்த்து மசித்து மசிக்கவும். முழுமையான உணவை உருவாக்க அதனுடன் காய்கறி வறுக்கவும் சாப்பிடலாம்.
இட்லி தோசையுடன் ஒரு பக்க உணவாகவும் இதை நீங்கள் சாப்பிடலாம், மேலும் அதன் பல ஆரோக்கிய நன்மைகளை அனுபவிக்கலாம்.</t>
  </si>
  <si>
    <t>https://encrypted-tbn0.gstatic.com/images?q=tbn:ANd9GcRVyC8KFSj5QTOI5JZc-usAhNWYoEVegXenOw&amp;s</t>
  </si>
  <si>
    <t>https://youtu.be/A8zREfC9xZQ</t>
  </si>
  <si>
    <t>Vallarai Keerai Thuvaiyal</t>
  </si>
  <si>
    <t>வல்லாரை கீரை துவையல்</t>
  </si>
  <si>
    <t xml:space="preserve">   Vallarai Keerai – 1 cup firmly packed,
   Oil – 1 1/2 tbsp,
   Mustard seeds – 1 tsp,
   Urad dal – 2 tbsp,
   Red Chillies – 3,
   Pearl Onions – 10,
   Tamarind – peas sized ball,
   Grated coconut  – 2 tbsp,
   Salt to taste.</t>
  </si>
  <si>
    <t>வல்லாரை கீரை - 1 கப் கெட்டியாகப் பொரித்து,
எண்ணெய் - 1 1/2 டீஸ்பூன்,
கடுகு - 1 டீஸ்பூன்,
உளுத்தம்பருப்பு - 2 டீஸ்பூன்,
சிவப்பு மிளகாய் - 3,
முத்து வெங்காயம் - 10,
புளி - பட்டாணி அளவு உருண்டை,
தேங்காய் துருவல் - 2 டீஸ்பூன்,
உப்பு - ருசிக்க.</t>
  </si>
  <si>
    <t>Heat oil in a pan/kadai, add mustard seeds, when it splutters, add urad dal and red chillies.
When urad dal turns golden brown, remove the dal and chillies from the kadai and keep it aside.
In the same kadai, add the pearl onions and saute until it turns transparent.
Then add the brahmi leaves and saute on low heat until it wilts and the raw flavor goes.
Add coconut, salt, tamarind and saute for a few more minutes.
Now add the dal and red chillies back to the kadai and switch off the heat. Once it cools, grind it a little coarse with needed salt adding very less water.
It goes well with hot rice topped with a tsp of ghee or sesame seed oil. It can be had as a side dish for dosa and idli.
The great thing is, this herb grows easily at home and does not need much care. I have just used an old broken tub and few pots to grow this herb. I made this vallarai thogayal from home grown vallarai. You too can try growing this amazing herb at home.</t>
  </si>
  <si>
    <t>ஒரு கடாயில்/கடாயில் எண்ணெயைச் சூடாக்கி, கடுகு சேர்த்து, அது வதங்கியதும், உளுத்தம்பருப்பு மற்றும் சிவப்பு மிளகாய் சேர்க்கவும்.
உளுத்தம்பருப்பு பொன்னிறமாக மாறியதும், கடாய் அதிலிருந்து பருப்பை நீக்கி ஒதுக்கி வைக்கவும்.
அதே கடாய், முத்து வெங்காயத்தைச் சேர்த்து, அது வெளிப்படையானதாக மாறும் வரை வதக்கவும்.
பின்னர் பிராமி இலைகளைச் சேர்த்து, குறைந்த வெப்பத்தில் அது வாடி, பச்சை வாசனை போகும் வரை வதக்கவும்.
தேங்காய், உப்பு, புளி சேர்த்து இன்னும் சில நிமிடங்கள் வதக்கவும்.
இப்போது பருப்பை, மிளகாயை மீண்டும் கடாயில் சேர்த்து அடுப்பை அணைக்கவும். அது ஆறியதும், தேவையான உப்புடன், மிகக் குறைந்த தண்ணீர் சேர்த்து, சிறிது கரடுமுரடாக அரைக்கவும்.
சூடான சாதத்துடன் ஒரு தேக்கரண்டி நெய் அல்லது எள் விதை எண்ணெயுடன் சேர்த்து நன்றாகப் பொருந்தும். இதை தோசை மற்றும் இட்லிக்கு ஒரு துணை உணவாக சாப்பிடலாம்.
சிறப்பான விஷயம் என்னவென்றால், இந்த மூலிகை வீட்டிலேயே எளிதாக வளரும், அதிக பராமரிப்பு தேவையில்லை. இந்த மூலிகையை வளர்க்க நான் ஒரு பழைய உடைந்த தொட்டியையும் சில தொட்டிகளையும் பயன்படுத்தினேன். இந்த வல்லாரை தோகையை வீட்டில் வளர்க்கும் வல்லாரையிலிருந்து செய்தேன். நீங்களும் இந்த அற்புதமான மூலிகையை வீட்டிலேயே வளர்க்க முயற்சி செய்யலாம்.</t>
  </si>
  <si>
    <t>https://i.ytimg.com/vi/jy_6ljH3VV8/hq720.jpg?sqp=-oaymwEhCK4FEIIDSFryq4qpAxMIARUAAAAAGAElAADIQj0AgKJD&amp;rs=AOn4CLCOGR8MfbHHsaalp9bxwnoojoZyaA</t>
  </si>
  <si>
    <t>Peerkangai Chutney</t>
  </si>
  <si>
    <t>பீர்கங்கை சட்னி</t>
  </si>
  <si>
    <t>2 cups -  Ridge Gourd,
10-15 -  Pearl onion,
4 -  Green chillies,
1 -  Tomato,
1 tbsp -  Oil,
Salt needed,
3 tsp -  Oil,
1 tsp -  Mustard seeds,
1 tsp -  Urad dal,
Curry leaves a sprig.</t>
  </si>
  <si>
    <t>2 கப் - பீர்க்கங்காய்,
10-15 - முத்து வெங்காயம்,
4 - பச்சை மிளகாய்,
1 - தக்காளி,
1 டீஸ்பூன் - எண்ணெய்,
உப்பு தேவை,
3 டீஸ்பூன் - எண்ணெய்,
1 டீஸ்பூன் - கடுகு,
1 டீஸ்பூன் - உளுத்தம்பருப்பு,
கறிவேப்பிலை ஒரு துளிர் விட்டு.</t>
  </si>
  <si>
    <t>Heat oil, saute pearl onions until they turn transparent.
Add green chillies, ridge gourd, tomatoes, salt needed and cook covered until the ridge gourd turns soft. Stir in between.
Once the ridge gourd is cooked, turn off the heat. Leave it to cool.
Grind it to a slightly coarse paste without adding water.
Heat oil, add mustard seeds, when it splutters, add urad dal and curry leaves. When dal turns golden brown, add the seasoning to the chutney.
Serve with idli, dosa or chapati.</t>
  </si>
  <si>
    <t>எண்ணெயை சூடாக்கி, பீர்க்கங்காய், வெங்காயம் தெளிவாகும் வரை வதக்கவும்.
பச்சை மிளகாய், பீர்க்கங்காய், தக்காளி, உப்பு சேர்த்து பீர்க்கங்காய் மென்மையாகும் வரை மூடி வைத்து சமைக்கவும். இடையில் கிளறவும்.
பீர்க்கங்காய் வெந்தவுடன், அடுப்பை அணைத்து, ஆற விடவும்.
தண்ணீர் சேர்க்காமல் சிறிது கரடுமுரடான பேஸ்டாக அரைக்கவும்.
எண்ணெயை சூடாக்கி, கடுகு சேர்த்து, அது வதங்கியதும், உளுத்தம்பருப்பு மற்றும் கறிவேப்பிலை சேர்க்கவும். பீர்க்கங்காய் பொன்னிறமாக மாறியதும், தாளிக்க வேண்டியவற்றை சட்னியில் சேர்க்கவும்.
இட்லி, தோசை அல்லது சப்பாத்தியுடன் பரிமாறவும்.</t>
  </si>
  <si>
    <t>https://encrypted-tbn0.gstatic.com/images?q=tbn:ANd9GcS6eDVxUMfi7iiyysv69Mzqoq5RszUGIQj-rg&amp;s</t>
  </si>
  <si>
    <t>https://youtu.be/vF2tEAw8bhM</t>
  </si>
  <si>
    <t>Schezwan Chutney</t>
  </si>
  <si>
    <t>ஷெஸ்வான் சட்னி</t>
  </si>
  <si>
    <t xml:space="preserve">   Red Chillies - 1 cup seeded,
   Oil - 1/3 cup,
   Minced Garlic - 4 tbsp,
   Ginger - 3 tbsp,
   Soya Sauce - 1 tsp,
   Tomato Ketchup - 3 tsp,
   Sugar - 1/4 tsp,
   Salt to taste.</t>
  </si>
  <si>
    <t>சிவப்பு மிளகாய் - 1 கப் விதை,
எண்ணெய் - 1/3 கப்,
நறுக்கிய பூண்டு - 4 டீஸ்பூன்,
இஞ்சி - 3 டீஸ்பூன்,
சோயா சாஸ் - 1 டீஸ்பூன்,
தக்காளி கெட்ச்அப் - 3 டீஸ்பூன்,
சர்க்கரை - 1/4 டீஸ்பூன்,
ருசிக்க உப்பு.</t>
  </si>
  <si>
    <t>Heat oil, add garlic and saute for a few seconds.
Then add ginger and saute both ginger and garlic together until light brown.
Add chilli paste, soya sauce, tomato ketchup, sugar, salt needed and cook on medium flame until the sauce thickens and oozes out oil.
Cool and store it in an airtight container in the refrigerator. It stays good for 2 weeks.
Apart from preparing schezwan dishes, it can also be served as a side dish for momos, parathas and rotis. Try schezwan dosa using this chutney.
If you have leftover rice and this chutney, you can make Schezwan Fried rice within 10 minutes.</t>
  </si>
  <si>
    <t>எண்ணெய்யை சூடாக்கி, பூண்டு சேர்த்து சில நொடிகள் வதக்கவும்.
பின்னர் இஞ்சியைச் சேர்த்து, இஞ்சி மற்றும் பூண்டு இரண்டையும் ஒன்றாக லேசான பழுப்பு நிறமாகும் வரை வதக்கவும்.
மிளகாய் விழுது, சோயா சாஸ், தக்காளி கெட்ச்அப், சர்க்கரை, தேவையான உப்பு சேர்த்து, சாஸ் கெட்டியாகி எண்ணெய் வெளியேறும் வரை மிதமான தீயில் சமைக்கவும்.
குளிர வைத்து, குளிர்சாதன பெட்டியில் காற்று புகாத கொள்கலனில் சேமிக்கவும். இது 2 வாரங்கள் வரை நன்றாக இருக்கும்.
ஷெஸ்வான் உணவுகளை தயாரிப்பதைத் தவிர, இதை மோமோஸ், பராத்தாக்கள் மற்றும் ரொட்டிகளுக்கு ஒரு துணை உணவாகவும் பரிமாறலாம். இந்த சட்னியைப் பயன்படுத்தி ஷெஸ்வான் தோசையை முயற்சிக்கவும்.
உங்களிடம் மீதமுள்ள சாதமும் இந்த சட்னியும் இருந்தால், 10 நிமிடங்களுக்குள் ஷெஸ்வான் ஃபிரைடு ரைஸை நீங்கள் செய்யலாம்.</t>
  </si>
  <si>
    <t>https://encrypted-tbn0.gstatic.com/images?q=tbn:ANd9GcSZH9EBPKh_metraBtJ3hAYIf16yBM1kfl3Ag&amp;s</t>
  </si>
  <si>
    <t>Ginger Chutney</t>
  </si>
  <si>
    <t>இஞ்சி சட்னி</t>
  </si>
  <si>
    <t xml:space="preserve">   Ginger chopped - 1/3 cup,
   Oil - 1 tbsp,
   Mustard seeds - 1/2 tsp,
   Urad dal - 2 tbsp,
   Red chillies - 2,
   Tamarind – small pea sized ball,
   Salt as needed,
   Curry leaves – 2 sprigs.</t>
  </si>
  <si>
    <t>இஞ்சி நறுக்கியது - 1/3 கப்,
எண்ணெய் - 1 டேபிள் ஸ்பூன்,
கடுகு - 1/2 டேபிள் ஸ்பூன்,
உரத்த பருப்பு - 2 டேபிள் ஸ்பூன்,
சிவப்பு மிளகாய் - 2 டேபிள் ஸ்பூன்,
புளி - சிறிய பட்டாணி அளவு உருண்டை,
தேவைக்கேற்ப உப்பு,
கறிவேப்பிலை - 2 தண்டுகள்.</t>
  </si>
  <si>
    <t>Heat 2 tsp of oil and fry the ginger pieces for 5-6 minutes on medium flame. Remove from pan.
Heat another tsp of oil, add mustard seeds, when it splutters, add urad dal, red chillies and curry leaves. Saute until dal turns golden brown. Leave it to cool.
Grind dal along with ginger, salt and tamarind to a coarse paste. Do not add too much water.
You can mix this thuvaiyal with hot steamed rice topped with a tsp of sesame seed oil or ghee. It tastes awesome.</t>
  </si>
  <si>
    <t>2 டேபிள் ஸ்பூன் எண்ணெயை சூடாக்கி, இஞ்சி துண்டுகளை மிதமான தீயில் 5-6 நிமிடங்கள் வதக்கவும். வாணலியில் இருந்து எடுக்கவும்.
இன்னும் ஒரு டேபிள் ஸ்பூன் எண்ணெயை சூடாக்கி, கடுகு சேர்த்து, அது வெடித்ததும், உளுத்தம் பருப்பு, சிவப்பு மிளகாய் மற்றும் கறிவேப்பிலை சேர்க்கவும். பருப்பை பொன்னிறமாகும் வரை வதக்கவும். ஆற விடவும்.
பருப்பை இஞ்சி, உப்பு மற்றும் புளியுடன் சேர்த்து கரடுமுரடான பேஸ்டாக அரைக்கவும். அதிக தண்ணீர் சேர்க்க வேண்டாம்.
இந்த துவையலை சூடான வேகவைத்த அரிசியுடன் ஒரு டேபிள் ஸ்பூன் எள் விதை எண்ணெய் அல்லது நெய்யுடன் கலக்கலாம். இது அருமையாக இருக்கும்.</t>
  </si>
  <si>
    <t>https://aartimadan.com/wp-content/uploads/2020/09/ginger-chutney.jpg</t>
  </si>
  <si>
    <t>Mango Chutney</t>
  </si>
  <si>
    <t>மாங்காய் சட்னி</t>
  </si>
  <si>
    <t xml:space="preserve">   Raw mango - 1/2 cup,
   Grated fresh coconut - 3/4 cup,
   Oil - 1 tbsp,
   Cumin seeds - 1/2 tsp,
   Coriander seeds - 1 tsp,
   Urad dal - 2 tsp,
   Red Chillies – 3,
   Garlic cloves - 3,
   Green chillies - 2,
   Salt needed,
   Oil - 1 tsp,
   Urad dal - 1/2 tsp,
   Red chilli -1,
   Curry leave - few.</t>
  </si>
  <si>
    <t>பச்சை மாங்காய் - 1/2 கப்,
துருவிய தேங்காய் - 3/4 கப்,
எண்ணெய் - 1 டேபிள்ஸ்பூன்,
சீரகம் - 1/2 டேபிள்ஸ்பூன்,
கொத்தமல்லி விதைகள் - 1 டேபிள்ஸ்பூன்,
உரத்த பருப்பு - 2 டேபிள்ஸ்பூன்,
சிவப்பு மிளகாய் - 3,
பூண்டு பல் - 3,
பச்சை மிளகாய் - 2,
உப்பு தேவை,
எண்ணெய் - 1 டேபிள்ஸ்பூன்,
உரத்த பருப்பு - 1/2 டேபிள்ஸ்பூன்,
சிவப்பு மிளகாய் -1,
கறிவேப்பிலை - சிறிதளவு.</t>
  </si>
  <si>
    <t>In a pan, heat oil, add cumin seeds, when it sizzles, add coriander seeds, urad dal and red chillies.
When dal turns golden brown, add chopped garlic, green chillies, curry leaves and grated mango.
Saute for 2-3 minutes and switch off the flame. Add grated coconut, salt needed and mix well. Once it cools, grind it coarsely with little water.
Heat oil in a pan, add mustard seeds, when it splutters, add urad dal. When dal turns golden brown, add curry leaves and pour the seasoning over the chutney. Mix well and serve.
It goes well with rice,  idli and all dosa varieties.</t>
  </si>
  <si>
    <t>ஒரு கடாயில், எண்ணெயை சூடாக்கி, சீரகம் சேர்த்து, அது கொதித்ததும், கொத்தமல்லி விதைகள், உளுத்தம் பருப்பு மற்றும் சிவப்பு மிளகாய் சேர்க்கவும்.
பருப்பு பொன்னிறமாக மாறியதும், நறுக்கிய பூண்டு, பச்சை மிளகாய், கறிவேப்பிலை மற்றும் துருவிய மாங்காய் சேர்க்கவும்.
2-3 நிமிடங்கள் வதக்கி, தீயை அணைக்கவும். துருவிய தேங்காய், தேவையான அளவு உப்பு சேர்த்து நன்கு கலக்கவும். அது குளிர்ந்ததும், சிறிது தண்ணீர் சேர்த்து கரடுமுரடாக அரைக்கவும்.
ஒரு கடாயில் எண்ணெயை சூடாக்கி, கடுகு சேர்த்து, அது வெடித்ததும், உளுத்தம்பருப்பு சேர்க்கவும். பருப்பு பொன்னிறமாக மாறியதும், கறிவேப்பிலை சேர்த்து, சட்னியின் மேல் தாளிக்க கொடுத்துள்ள பொருட்களை ஊற்றவும். நன்கு கலந்து பரிமாறவும்.
இது சாதம், இட்லி மற்றும் அனைத்து தோசை வகைகளுக்கும் நன்றாகப் பொருந்தும்.</t>
  </si>
  <si>
    <t>https://encrypted-tbn0.gstatic.com/images?q=tbn:ANd9GcQfZb9qJDhSeOetpk9M9X-scFVPEKKsxbGC4g&amp;s</t>
  </si>
  <si>
    <t>https://youtu.be/I1G6gzfGuCU?si=ehIWZYf7MqXem8Eq</t>
  </si>
  <si>
    <t>Gooseberry Chutney</t>
  </si>
  <si>
    <t>நெல்லிக்காய் சட்னி</t>
  </si>
  <si>
    <t>Onion - 1,
Tomato - 1,
Gooseberries - 4,
Curry leaves,
Salt needed,
Oil - 3 tsp,
Mustard seeds - 1/2 tsp,
Tur dal - 1 tbsp,
Bengal gram – 2 tsp,
Urad dal - 1 tbsp,
Red Chillies - 4,
Hing - a pinch.</t>
  </si>
  <si>
    <t>வெங்காயம் - 1,
தக்காளி - 1,
நெல்லிக்காய் - 4,
கறிவேப்பிலை,
தேவையான உப்பு,
எண்ணெய் - 3 தேக்கரண்டி,
கடுகு விதைகள் - 1/2 தேக்கரண்டி,
துர்பருப்பு - 1 தேக்கரண்டி,
வங்காளப் பருப்பு - 2 தேக்கரண்டி,
உப்புப் பருப்பு - 1 தேக்கரண்டி,
சிவப்பு மிளகாய் - 4,
ஹிங் - ஒரு சிட்டிகை.</t>
  </si>
  <si>
    <t>Heat oil, add mustard seeds, when it splutters, add tur dal, bengal gram, urad dal, red chillies and hing.
When dal turns golden brown, remove from pan.
In the same pan, saute onions until it turns transparent, then add tomatoes, chopped gooseberries and curry leaves. Once tomatoes becomes mushy, switch off the flame and let it cool.
Grind the dal first, then add the onion tomato mixture and grind it to a coarse paste adding needed salt.
Vitamin C packed Gooseberry chutney is ready. It goes well with curd rice.</t>
  </si>
  <si>
    <t>எண்ணெயை சூடாக்கி, கடுகு சேர்த்து, அது வதங்கியதும், துர்பருப்பு, பெங்கால் பருப்பு, உளுத்தம் பருப்பு, சிவப்பு மிளகாய் மற்றும் ஹிங் சேர்க்கவும்.
அதே பாத்திரத்தில், வெங்காயத்தை பொன்னிறமாகும் வரை வதக்கவும், பின்னர் தக்காளி, நறுக்கிய நெல்லிக்காய் மற்றும் கறிவேப்பிலை சேர்க்கவும். தக்காளி மசிந்ததும், தீயை அணைத்து ஆறவிடவும்.
முதலில் பருப்பை அரைத்து, பின்னர் வெங்காய தக்காளி கலவையைச் சேர்த்து, தேவையான உப்பு சேர்த்து கரடுமுரடான பேஸ்டாக அரைக்கவும்.
வைட்டமின் சி நிரம்பிய நெல்லிக்காய் சட்னி தயார். இது தயிர் சாதத்துடன் நன்றாகப் பொருந்தும்.</t>
  </si>
  <si>
    <t>https://madscookhouse.com/wp-content/uploads/2022/09/Amla-Indian-Gooseberry-CHutney.jpg</t>
  </si>
  <si>
    <t>Curry leaves Thuvaiyal</t>
  </si>
  <si>
    <t>கறிவேப்பிலை துவையல்</t>
  </si>
  <si>
    <t xml:space="preserve">   Curry leaves – 1 cup,
   Oil – 2 tsp,
   Mustard seeds – 1/2 tsp,
   Urad dal - 2 1/2 tsp,
   Red chillies – 1,
   Hing – a pinch,
   Tamarind – a small bit ,
   Salt needed.</t>
  </si>
  <si>
    <t>கறிவேப்பிலை - 1 கப்,
எண்ணெய் - 2 தேக்கரண்டி,
கடுகு - 1/2 தேக்கரண்டி,
உளுத்தம் பருப்பு - 2 1/2 தேக்கரண்டி,
சிவப்பு மிளகாய் - 1,
பெருங்காயம் - ஒரு சிட்டிகை,
புளி - சிறிதளவு,
உப்பு தேவை.</t>
  </si>
  <si>
    <t>Heat 2 tsp of oil, add mustard seeds, when it splutters, add urad dal, red chillies and hing.
When dal turns golden brown, add the curry leaves, saute for 2-3 seconds and switch off the flame. Saute in the heat of the pan itself.
Once it cools, grind it along with needed salt and tamarind to a slightly coarse paste. Use less water for grinding. Flavorful curry leaves thogayal is ready.
Serve it with hot steamed rice, topped with a tsp of ghee or sesame seed oil. It just needs a vegetable curry or a simple kootu as a side dish.</t>
  </si>
  <si>
    <t>2 தேக்கரண்டி எண்ணெயை சூடாக்கி, கடுகு சேர்த்து, அது வதங்கியதும், உளுத்தம் பருப்பு, சிவப்பு மிளகாய் மற்றும் பெருங்காயம் சேர்க்கவும்.
பருப்பை பொன்னிறமாக மாற்றியதும், கறிவேப்பிலை சேர்த்து, 2-3 வினாடிகள் வதக்கி, அடுப்பை அணைக்கவும். வாணலியின் சூட்டில் வதக்கவும்.
அது ஆறியதும், தேவையான உப்பு மற்றும் புளி சேர்த்து சிறிது கரடுமுரடான பேஸ்டாக அரைக்கவும். அரைக்க குறைந்த தண்ணீரைப் பயன்படுத்துங்கள். சுவையான கறிவேப்பிலை தோகை தயார்.
சூடான வேகவைத்த சாதத்துடன், ஒரு தேக்கரண்டி நெய் அல்லது எள் விதை எண்ணெயுடன் பரிமாறவும். இதற்கு ஒரு பக்க உணவாக காய்கறி கறி அல்லது ஒரு எளிய கூட்டு மட்டுமே தேவை.</t>
  </si>
  <si>
    <t>https://encrypted-tbn0.gstatic.com/images?q=tbn:ANd9GcQvlAub_IIdcYsmDI-3QYf8VONJsPz827kcKQ&amp;s</t>
  </si>
  <si>
    <t>Kara Chutney</t>
  </si>
  <si>
    <t>காரா சட்னி</t>
  </si>
  <si>
    <t xml:space="preserve">   Shallots – 1 cup,
   Tomato - 1,
   Red chillies - 3-4,
   Garlic – 2 cloves,
   Tamarind – very less,
   Salt needed,
   Oil - 3 tbsp,
   Mustard seeds - 1 tsp,
   Urad dal - 3/4 tsp,
   Curry leaves.</t>
  </si>
  <si>
    <t>வெங்காயத்தாள் - 1 கப்,
தக்காளி - 1,
சிவப்பு மிளகாய் - 3-4,
பூண்டு - 2 பல்,
புளி - மிகக் குறைவு,
உப்பு தேவை,
எண்ணெய் - 3 டீஸ்பூன்,
கடுகு - 1 டீஸ்பூன்,
உளுத்தம்பருப்பு - 3/4 டீஸ்பூன்,
கறிவேப்பிலை.</t>
  </si>
  <si>
    <t>rind together onion, tomato, red chillies, garlic, tamarind and salt to a smooth paste.
Heat oil in a pan, add mustard seeds, when it splutters, add urad dal, curry leaves and the ground paste.
Cook on medium flame until the mixture oozes out oil.</t>
  </si>
  <si>
    <t>வெங்காயம், தக்காளி, சிவப்பு மிளகாய், பூண்டு, புளி மற்றும் உப்பு ஆகியவற்றை ஒன்றாக சேர்த்து மென்மையான பேஸ்ட் போல நறுக்கவும்.
ஒரு கடாயில் எண்ணெயை சூடாக்கி, கடுகு சேர்த்து, அது வதங்கியதும், உளுத்தம்பருப்பு, கறிவேப்பிலை மற்றும் அரைத்த விழுதை சேர்க்கவும்.
கலவையிலிருந்து எண்ணெய் வெளியேறும் வரை மிதமான தீயில் வதக்கவும்.</t>
  </si>
  <si>
    <t>https://www.sharmispassions.com/wp-content/uploads/2022/02/kara-chutney2.jpg</t>
  </si>
  <si>
    <t>Cabbage Chutney</t>
  </si>
  <si>
    <t>முட்டைக்கோஸ் சட்னி</t>
  </si>
  <si>
    <t xml:space="preserve">Cabbage shredded - 1 cup,
Onions - 1/2 cup chopped,
Ginger - 1/2 inch piece,
Green chilli - 2,
Tomato - 1/2 cup,
Curry leaves,
Tamarind – a small bit,
Grated coconut - 1 tbsp,
Oil - 2 tsp,
Mustard seeds - 1/2,
Urad dal - 2 tbsp,
Red chilli - 1,
asafoetida - a pinch,
Mustard seeds - 1/2 tsp,
Curry leaves.
</t>
  </si>
  <si>
    <t>முட்டைக்கோஸ் துருவியது - 1 கப்,
வெங்காயம் - 1/2 கப் நறுக்கியது,
இஞ்சி - 1/2 அங்குல துண்டு,
பச்சை மிளகாய் - 2,
தக்காளி - 1/2 கப்,
கறிவேப்பிலை,
புளி - சிறிதளவு,
தேங்காய் துருவியது - 1 டீஸ்பூன்,
எண்ணெய் - 2 டீஸ்பூன்,
கடுகு விதைகள் - 1/2,
உளுந்து - 2 டீஸ்பூன்,
சிவப்பு மிளகாய் - 1,
அசாஃபாடிடா(பெருங்காயம்) - ஒரு சிட்டிகை,
கடுகு விதைகள் - 1/2 டீஸ்பூன்,
கறிவேப்பிலை.</t>
  </si>
  <si>
    <t>Heat oil, add mustard seeds, when it splutters, add urad dal, red chillies and hing. Saute until dal turns golden brown and remove it from pan.
In the same pan/kadai, add chopped onions,ginger, green chilli, few curry leaves and saute until onions turn transparent. 
Then add cabbage and cook until the raw smell of the cabbage goes.
Add tomatoes and cook for a few more minutes.
Allow it to cool. Now grind the urad dal and red chilli first to a fine paste. You can add a little of this cabbage mixture and grind.
Then add rest of the cooked cabbage mixture, tamarind paste, grated coconut and grind it well adding salt to taste.
Heat another tsp of oil, add mustard seeds, when it splutters, add curry leaves and pour it over the cabbage chutney.
Delicious Cabbage chutney is ready to be served with dosa or idli or upma.</t>
  </si>
  <si>
    <t>எண்ணெயை சூடாக்கி, கடுகு சேர்த்து, அது வதங்கியதும், உளுந்து, சிவப்பு மிளகாய் மற்றும் பெருங்காயம் சேர்த்து, பருப்பு பொன்னிறமாகும் வரை வதக்கி, வாணலியில் இருந்து எடுக்கவும்.
அதே கடாயில்/கடாயில், நறுக்கிய வெங்காயம், இஞ்சி, பச்சை மிளகாய், சிறிது கறிவேப்பிலை சேர்த்து வெங்காயம் வெளிப்படையானதாக மாறும் வரை வதக்கவும்.
பின் முட்டைக்கோஸைச் சேர்த்து, முட்டைக்கோஸின் பச்சை வாசனை போகும் வரை வதக்கவும்.
தக்காளியைச் சேர்த்து இன்னும் சில நிமிடங்கள் சமைக்கவும்.
அதை குளிர்விக்க விடுங்கள். இப்போது முதலில் உளுத்தம்பருப்பு மற்றும் சிவப்பு மிளகாயை நன்றாக அரைக்கவும். இந்த முட்டைக்கோஸ் கலவையை சிறிது சேர்த்து அரைக்கலாம்.
பின்னர் மீதமுள்ள சமைத்த முட்டைக்கோஸ் கலவையை, புளி விழுது, தேங்காய் துருவல் சேர்த்து, சுவைக்கு உப்பு சேர்த்து நன்கு அரைக்கவும்.
மற்றொரு தேக்கரண்டி எண்ணெயை சூடாக்கி, கடுகு சேர்த்து, அது வெடித்ததும், கறிவேப்பிலை சேர்த்து, முட்டைக்கோஸ் சட்னியின் மேல் ஊற்றவும்.
சுவையான முட்டைக்கோஸ் சட்னி தோசை, இட்லி அல்லது உப்மாவுடன் பரிமாற தயாராக உள்ளது.</t>
  </si>
  <si>
    <t>https://thephotowali.wordpress.com/wp-content/uploads/2024/07/img_20240705_1217052341589398710691487.jpg</t>
  </si>
  <si>
    <t>https://youtu.be/cqwcgmuHXnw?si=7Bbvn5wpiIQd8cBG</t>
  </si>
  <si>
    <t>Curry Leaves Chutney</t>
  </si>
  <si>
    <t>கறிவேப்பிலை சட்னி</t>
  </si>
  <si>
    <t xml:space="preserve">   Curry leaves – 1 cup tightly packed,
   Oil – 2 tsp,
   Red chillies – 2,
   Urad dal – 1 tbsp,
   Hing – a pinch,
   Grated coconut – 2 tbsp,
   Tamarind -1/4 tsp paste ,
   Salt as needed,
   Oil – 1 tsp,
   Mustard seeds – 3/4 tsp.</t>
  </si>
  <si>
    <t>கறிவேப்பிலை – 1 கப் இறுக்கமாகப் பொதி செய்யப்பட்டது,
எண்ணெய் – 2 தேக்கரண்டி,
சிவப்பு மிளகாய் – 2,
உரத்தப்பருப்பு – 1 தேக்கரண்டி,
ஹிங் – ஒரு சிட்டிகை,
தேக்கரண்டி துருவியது – 2 தேக்கரண்டி,
புளி -1/4 தேக்கரண்டி விழுது,
தேவைக்கேற்ப உப்பு,
எண்ணெய் – 1 தேக்கரண்டி,
கடுகு – 3/4 தேக்கரண்டி.</t>
  </si>
  <si>
    <t>Heat oil in a kadai, add urad dal, red chillies and hing. Saute until dal turns golden brown.
Now add curry leaves and saute in low flame for 2-3 minutes. Add tamarind, grated coconut, salt needed and saute for a few more seconds. Remove from flame and leave it to cool.
Grind it to a smooth paste adding little water. The consistency should neither be thick nor thin, so adjust water accordingly.
Heat a tsp of oil, add mustard seeds, when it splutters, pour the seasoning on the chutney. Mix well and serve with idli, dosa or appam.</t>
  </si>
  <si>
    <t>ஒரு கடாயில் எண்ணெயை சூடாக்கி, உளுத்தம்பருப்பு, சிவப்பு மிளகாய் மற்றும் பெருங்காயம் சேர்க்கவும். பருப்பை பொன்னிறமாகும் வரை வதக்கவும்.
இப்போது கறிவேப்பிலையைச் சேர்த்து 2-3 நிமிடங்கள் குறைந்த தீயில் வதக்கவும். புளி, தேங்காய் துருவல், தேவையான உப்பு சேர்த்து இன்னும் சில நொடிகள் வதக்கவும். தீயிலிருந்து இறக்கி ஆற விடவும்.
சிறிது தண்ணீர் சேர்த்து மென்மையான பேஸ்டாக அரைக்கவும். நிலைத்தன்மை கெட்டியாகவோ அல்லது மெல்லியதாகவோ இருக்கக்கூடாது, எனவே அதற்கேற்ப தண்ணீரை சரிசெய்யவும்.
ஒரு தேக்கரண்டி எண்ணெயை சூடாக்கி, கடுகு சேர்க்கவும், அது வதங்கியதும், சட்னியின் மீது தாளிக்க வேண்டியதை ஊற்றவும். நன்றாகக் கலந்து இட்லி, தோசை அல்லது ஆப்பத்துடன் பரிமாறவும்.</t>
  </si>
  <si>
    <t>https://static.toiimg.com/thumb/58529117.cms?width=1200&amp;height=900</t>
  </si>
  <si>
    <t>Tomatoes – 4,
Sambar powder – 1 tsp,
Tamarind - small bit,
Salt as needed,
Oil – 1 tbsp,
Mustard seeds – 1 tsp,
Urad dal – 1/2 tsp,
Green chilli – 1 slit,
Curry leaves – few.</t>
  </si>
  <si>
    <t>தக்காளி – 4,
சாம்பார் பொடி – 1 டீஸ்பூன்,
புளி – சிறிதளவு,
தேவைக்கேற்ப உப்பு,
எண்ணெய் – 1 டீஸ்பூன்,
கடுகு விதைகள் – 1 டீஸ்பூன்,
உப்பு பருப்பு – 1/2 டீஸ்பூன்,
பச்சை மிளகாய் – 1 கீறி,
கறிவேப்பிலை – சிறிதளவு.</t>
  </si>
  <si>
    <t xml:space="preserve">Cut tomatoes, scoop out the seeds (if there are too many) and grind it along with sambar powder, salt and a small piece of tamarind.
Heat 1 tbsp of oil, add mustard seeds, when it splutters, add urad dal, green chilli and curry leaves. Saute for a few seconds and then add the ground tomato puree.
Cook on medium flame for 5-6 minutes or until the raw flavor goes and oil separates.
Serve as a side dish for  idli, dosa, adai, pongal, idiyappam, upma, sandwich, chapati, parathas etc. We had it with Brown Rice Upma </t>
  </si>
  <si>
    <t>தக்காளியை நறுக்கி, விதைகளை (அதிகமாக இருந்தால்) எடுத்து, சாம்பார் பொடி, உப்பு மற்றும் ஒரு சிறிய துண்டு புளி சேர்த்து அரைக்கவும்.
1 டீஸ்பூன் எண்ணெயை சூடாக்கி, கடுகு சேர்த்து, அது வதங்கியதும், உளுத்தம் பருப்பு, பச்சை மிளகாய் மற்றும் கறிவேப்பிலை சேர்க்கவும். சில நொடிகள் வதக்கி, பின்னர் அரைத்த தக்காளி கூழ் சேர்க்கவும்.
5-6 நிமிடங்கள் அல்லது பச்சை சுவை போய் எண்ணெய் பிரியும் வரை மிதமான தீயில் சமைக்கவும்.
இட்லி, தோசை, அடை, பொங்கல், இடியாப்பம், உப்புமா, சாண்ட்விச், சப்பாத்தி, பரோட்டா போன்றவற்றுக்கு சைடு டிஷ்ஷாகப் பரிமாறவும். நாங்கள் அதை பிரவுன் ரைஸ் உப்புமாவுடன் சாப்பிட்டோம்.</t>
  </si>
  <si>
    <t>Coriander Chutney</t>
  </si>
  <si>
    <t>கொத்தமல்லி சட்னி</t>
  </si>
  <si>
    <t xml:space="preserve">   Coriander leaves – 1 cup ,
   Green chilli – 2 ,
   Pearl onions - 10,
   Grated coconut – 3 tbsp,
   Tamarind – a small piece,
   Salt to taste,
   Oil – 2 tsp,
   Mustard seeds - 1 tsp,
   Urad dal – 3/4 tsp.</t>
  </si>
  <si>
    <t>கொத்தமல்லி இலைகள் - 1 கப்,
பச்சை மிளகாய் - 2,
முத்து வெங்காயம் - 10,
தேங்காய் துருவல் - 3 டேபிள்ஸ்பூன்,
புளி - ஒரு சிறிய துண்டு,
ருசிக்க உப்பு,
எண்ணெய் - 2 டேபிள்ஸ்பூன்,
கடுகு - 1 டேபிள்ஸ்பூன்,
உளுத்தம் பருப்பு - 3/4 டேபிள்ஸ்பூன்.</t>
  </si>
  <si>
    <t>Heat oil in a pan, add onions, green chillies and saute until onions turn pink.
Add coriander leaves, grated coconut, tamarind and switch off the flame. Saute in the heat of the pan itself.
Once it cools, grind it with salt and little water to a smooth paste.
Heat oil, add mustard seeds, when it splutter, add urad dal, when dal turns golden brown, add the seasoning to the chutney.
Serve with idli, dosa, adai, roti, upma or even bread.</t>
  </si>
  <si>
    <t>ஒரு கடாயில் எண்ணெயை சூடாக்கி, வெங்காயம், பச்சை மிளகாய் சேர்த்து வெங்காயம் இளஞ்சிவப்பு நிறமாக மாறும் வரை வதக்கவும்.
கொத்தமல்லி இலைகள், துருவிய தேங்காய், புளி சேர்த்து அடுப்பை அணைக்கவும். கடாயின் சூட்டிலேயே வதக்கவும்.
அது ஆறியதும், உப்பு மற்றும் சிறிது தண்ணீர் சேர்த்து மென்மையான பேஸ்ட் வரை அரைக்கவும்.
எண்ணெயை சூடாக்கி, கடுகு சேர்த்து, அது வதங்கியதும், உளுத்தம் பருப்பை சேர்க்கவும், பருப்பு பொன்னிறமாக மாறியதும், தாளிக்க தேவையான பொருட்களை சட்னியில் சேர்க்கவும்.
இட்லி, தோசை, அடை, ரொட்டி, உப்மா அல்லது ரொட்டியுடன் பரிமாறவும்.</t>
  </si>
  <si>
    <t>https://encrypted-tbn0.gstatic.com/images?q=tbn:ANd9GcSo2m9iF8mCmxN4_kl4yWo6MQnGyq3CPbESFQ&amp;s</t>
  </si>
  <si>
    <t xml:space="preserve">   Grated coconut - 3/4 cup,
   Garlic – 2 cloves,
   Green chillies – 3,
   Salt to taste,
   Oil - 1 tsp,
   Mustard – 1 tsp,
   Urad dal – 3/4 tsp,
   Curry leaves.</t>
  </si>
  <si>
    <t>துருவிய தேங்காய் - 3/4 கப்,
பூண்டு - 2 பல்,
பச்சை மிளகாய் - 3,
ருசிக்க உப்பு,
எண்ணெய் - 1 தேக்கரண்டி,
கடுகு - 1 தேக்கரண்டி,
உளுத்தம் பருப்பு - 3/4 தேக்கரண்டி,
கறிவேப்பிலை.</t>
  </si>
  <si>
    <t>First grind coconut, garlic, green chilli and salt adding very less water. Then add more water and grind the chutney a little coarse.
Rinse the mixie with little water and pour that also into the chutney. The chutney should not be too thick nor too thin, so adjust water accordingly.
Heat oil, add mustard seeds, when it splutters, add urad dal. When dal turns golden brown, add curry leaves and pour the seasoning over the chutney. Mix well and serve with idli, dosa, pongal, adai etc.</t>
  </si>
  <si>
    <t>முதலில் தேங்காய், பூண்டு, பச்சை மிளகாய் மற்றும் உப்பு ஆகியவற்றை மிகக் குறைந்த தண்ணீர் சேர்த்து அரைக்கவும். பின்னர் அதிக தண்ணீர் சேர்த்து சட்னியை சிறிது கரடுமுரடாக அரைக்கவும்.
மிக்ஸியை சிறிது தண்ணீரில் கழுவி, அதையும் சட்னியில் ஊற்றவும். சட்னி மிகவும் கெட்டியாகவோ அல்லது மெல்லியதாகவோ இருக்கக்கூடாது, எனவே அதற்கேற்ப தண்ணீரை சரிசெய்யவும்.
எண்ணெயை சூடாக்கி, கடுகு சேர்த்து, அது சிதறியதும், உளுத்தம் பருப்பைச் சேர்க்கவும். பருப்பு பொன்னிறமாக மாறியதும், கறிவேப்பிலையைச் சேர்த்து, சட்னியின் மேல் தாளிக்க வேண்டியதை ஊற்றவும். நன்றாகக் கலந்து இட்லி, தோசை, பொங்கல், அடை போன்றவற்றுடன் பரிமாறவும்.</t>
  </si>
  <si>
    <t>https://shwetainthekitchen.com/wp-content/uploads/2022/04/Coconut-Chutney.jpg</t>
  </si>
  <si>
    <t>Easy Onion Tomato Chutney</t>
  </si>
  <si>
    <t xml:space="preserve">   Tomatoes - 3,
   Onions - 2,
   Red chillies – 4,
   Coriander leaves,
   Oil – 2 tsp + 1 tbsp,
   Mustard seeds – 1 tsp,
   Urad dal – 1/2 tsp,
   Curry leaves.</t>
  </si>
  <si>
    <t>தக்காளி - 3,
வெங்காயம் - 2,
சிவப்பு மிளகாய் - 4,
கொத்தமல்லி இலைகள்,
எண்ணெய் - 2 தேக்கரண்டி + 1 தேக்கரண்டி,
கடுகு - 1 தேக்கரண்டி,
உளுத்தம் பருப்பு - 1/2 தேக்கரண்டி,
கறிவேப்பிலை.</t>
  </si>
  <si>
    <t>Heat 2 tsp of oil in a pan, saute red chillies for a few seconds (take care not to burn it) and remove it from the pan.
In the same pan, add onions and saute until onions turn transparent.
Then add tomatoes, coriander leaves and cook until tomatoes become slightly mushy.
Allow the mixture to cool. Once it cools, grind it along with red chillies and salt needed.
Heat 1 tbsp of oil, add mustard seeds, when it splutters, add urad dal and curry leaves.
When dal turns golden brown, add the ground chutney and cook until oil separates.
A fantastic, easy and delicious chutney that goes very well with idli, dosa, chapati, bread toast, sandwich, upma, adai, idiyappam etc.</t>
  </si>
  <si>
    <t>ஒரு கடாயில் 2 தேக்கரண்டி எண்ணெயை சூடாக்கி, சிவப்பு மிளகாயை சில நொடிகள் வதக்கி (அது எரியாமல் பார்த்துக் கொள்ளுங்கள்) வாணலியில் இருந்து எடுக்கவும்.
அதே கடாயில், வெங்காயத்தைச் சேர்த்து, வெங்காயம் தெளிவாகும் வரை வதக்கவும்.
பின்னர் தக்காளி, கொத்தமல்லி இலைகளைச் சேர்த்து, தக்காளி சிறிது மென்மையாகும் வரை வதக்கவும்.
கலவையை ஆற விடவும். அது ஆறியதும், சிவப்பு மிளகாய் மற்றும் தேவையான உப்பு சேர்த்து அரைக்கவும்.
1 தேக்கரண்டி எண்ணெயை சூடாக்கி, கடுகு சேர்த்து, அது வதங்கியதும், உளுத்தம் பருப்பு மற்றும் கறிவேப்பிலை சேர்க்கவும்.
பருப்பு பொன்னிறமாக மாறியதும், அரைத்த சட்னியைச் சேர்த்து, எண்ணெய் பிரியும் வரை வதக்கவும்.
இட்லி, தோசை, சப்பாத்தி, பிரட் டோஸ்ட், சாண்ட்விச், உப்மா, அடை, இடியாப்பம் போன்றவற்றுடன் மிகவும் பொருந்தக்கூடிய அருமையான, எளிதான மற்றும் சுவையான சட்னி.</t>
  </si>
  <si>
    <t>https://encrypted-tbn0.gstatic.com/images?q=tbn:ANd9GcTuX7iUmZo6cVDphOn5MwKYMb_cCH-efuJ2FA&amp;s</t>
  </si>
  <si>
    <t>Garlic Chutney</t>
  </si>
  <si>
    <t>பூண்டு சட்னி</t>
  </si>
  <si>
    <t xml:space="preserve">   Garlic – 1 cup peeled,
   Tomato – 1 medium size,
   Red chillies – 6,
   Tamarind - small pea sized ball,
   Curry leaves – 1/4 cup,
   Oil - 2 tbsp,
   Salt as required,
   Oil – 1 tsp,
   Mustard seeds - 1/2 tsp.</t>
  </si>
  <si>
    <t>பூண்டு - 1 கப் தோல் நீக்கப்பட்டது,
தக்காளி - 1 நடுத்தர அளவு,
சிவப்பு மிளகாய் - 6,
புளி - சிறிய பட்டாணி அளவு,
கறிவேப்பிலை - 1/4 கப்,
எண்ணெய் - 2 டீஸ்பூன்,
தேவைக்கேற்ப உப்பு,
எண்ணெய் - 1 டீஸ்பூன்,
கடுகு - 1/2 டீஸ்பூன்.</t>
  </si>
  <si>
    <t>Heat oil in a kadai/pan and fry the red chillies on low flame. Once done, remove it from the pan.
In the same pan, add garlic and saute until it turns slightly brown. Remove from pan.
Add curry leaves and tamarind and saute for a few seconds. Remove and keep it aside.
Now add 1 tomato fully (do not cut it) and cook on low flame on all the sides. The tomato will change color and the skin will slightly come apart. Switch off the flame. Leave it to cool.
Grind everything together adding salt to taste.
Heat a tsp of oil, add mustard seeds, when it splutters, add it to the chutney.</t>
  </si>
  <si>
    <t>ஒரு கடாயில்/கடாயில் எண்ணெயை சூடாக்கி, மிளகாயை குறைந்த தீயில் வதக்கவும். தயாரானதும், வாணலியில் இருந்து எடுக்கவும்.
அதே வாணலியில், பூண்டு சேர்த்து சிறிது பழுப்பு நிறமாக மாறும் வரை வதக்கவும். வாணலியில் இருந்து எடுக்கவும்.
கறிவேப்பிலை மற்றும் புளி சேர்த்து சில நொடிகள் வதக்கவும். எடுத்து தனியாக வைக்கவும்.
இப்போது 1 தக்காளியை முழுவதுமாக சேர்த்து (வெட்ட வேண்டாம்) அனைத்து பக்கங்களிலும் குறைந்த தீயில் வதக்கவும். தக்காளி நிறம் மாறி தோல் சிறிது சிறிதாக பிரிந்துவிடும். தீயை அணைத்து, ஆற விடவும்.
சுவைக்கேற்ப உப்பு சேர்த்து எல்லாவற்றையும் ஒன்றாக அரைக்கவும்.
ஒரு தேக்கரண்டி எண்ணெயைச் சூடாக்கி, கடுகு சேர்த்து, அது வெடித்ததும், சட்னியில் சேர்க்கவும்.</t>
  </si>
  <si>
    <t>https://www.whiskaffair.com/wp-content/uploads/2014/12/Garlic-Chutney-3.jpg</t>
  </si>
  <si>
    <t>Red Bell Pepper</t>
  </si>
  <si>
    <t>சிவப்பு குடை மிளகாய்</t>
  </si>
  <si>
    <t>வெங்காயம் - 1/3 கப்,
பச்சை மிளகாய் - 1,
பூண்டு பல் - 2-3,
இஞ்சி - 1/2 அங்குல துண்டு,
சிவப்பு குடை மிளகாய் - 1 கப் நறுக்கியது,
தக்காளி - 3/4 கப் நறுக்கியது,
கொத்தமல்லி இலை - 2 டீஸ்பூன்,
உப்பு தேவை,
எண்ணெய் - 1 டீஸ்பூன்,
சீரகம் - 1 டீஸ்பூன்,
கடலை - 2 டீஸ்பூன்,
உளுத்தம் பருப்பு - 1 டீஸ்பூன்,
சிவப்பு மிளகாய் - 2,
எண்ணெய் - 1 டீஸ்பூன்,
உளுத்தம் பருப்பு - 1 டீஸ்பூன்,
கறிவேப்பிலை.</t>
  </si>
  <si>
    <t>Heat oil in a pan/kadai, add cumin seeds, when it splutters, add bengal gram, urad dal, red chillies and saute until dal turns golden brown. Remove from pan.
In the same pan, add onions, garlic, ginger, green chilli and saute until onions turn transparent.
Then add chopped tomatoes and cook for a few minutes.
Add bell pepper, salt needed and cook until it becomes soft.
Add coriander leaves and switch off the flame. Let it cool.
First grind the dal mixture to a smooth paste, then add the bell pepper + tomato mix and grind it to a smooth paste.
Heat a tsp of oil, add mustard seeds, when it splutters, add urad dal, curry leaves, saute for a few seconds and pour it over the chutney.
Delicious and tasty chutney is ready to be served with idly and dosa.</t>
  </si>
  <si>
    <t>ஒரு கடாயில்/கடாயில் எண்ணெயை சூடாக்கி, சீரகம் சேர்த்து, அது வதங்கியதும், வங்காளம், உளுத்தம் பருப்பு, சிவப்பு மிளகாய் சேர்த்து, பருப்பை பொன்னிறமாகும் வரை வதக்கவும். வாணலியில் இருந்து இறக்கவும்.
அதே கடாயில், வெங்காயம், பூண்டு, இஞ்சி, பச்சை மிளகாய் சேர்த்து வெங்காயம் வெளிப்படையானதாக மாறும் வரை வதக்கவும்.
பின்னர் நறுக்கிய தக்காளியைச் சேர்த்து சில நிமிடங்கள் சமைக்கவும்.
மிளகுத்தூள், தேவையான அளவு உப்பு சேர்த்து மென்மையாகும் வரை வதக்கவும்.
கொத்தமல்லி இலைகளைச் சேர்த்து, தீயை அணைத்து, ஆற விடவும்.
முதலில் பருப்பை மிருதுவாக அரைத்து, பின்னர் மிருதுவாக அரைத்து, தக்காளி கலவையைச் சேர்த்து, மிருதுவாக அரைக்கவும்.
ஒரு டீஸ்பூன் எண்ணெயைச் சூடாக்கி, கடுகு சேர்த்து, அது வெடித்ததும், உளுத்தம்பருப்பு, கறிவேப்பிலை சேர்த்து, சில நொடிகள் வதக்கி, சட்னியின் மேல் ஊற்றவும்.
சுவையான மற்றும் சுவையான சட்னி இட்லி மற்றும் தோசையுடன் பரிமாற தயாராக உள்ளது.</t>
  </si>
  <si>
    <t>https://blogexplore.com/wp-content/uploads/2016/12/blogexplore.com-red-capsicum-bell-pepper-chutney.jpg</t>
  </si>
  <si>
    <t>Pudina Thogayal</t>
  </si>
  <si>
    <t xml:space="preserve">
புதினா தோகையல்</t>
  </si>
  <si>
    <t xml:space="preserve">   Mint leaves – 1 cup tightly packed,
   Urad dal – 2 tbsp,
 Channa dal - 1/2 tbsp,
   Toor dal – 1/2 tbsp,
   Whole black pepper – 1/4 tsp,
   Red chillies – 2,
   Hing – a pinch,
   Tamarind – 1/4 tsp tamarind paste,
   Salt needed,
   Grated coconut - 1 tbsp,
   Oil – 1 tbsp.</t>
  </si>
  <si>
    <t>புதினா இலைகள் - 1 கப் இறுக்கமாகப் பொதி செய்யப்பட்டது,
உளுத்தம் பருப்பு - 2 டீஸ்பூன்,
சன்னா பருப்பு - 1/2 டீஸ்பூன்,
துவரம் பருப்பு - 1/2 டீஸ்பூன்,
முழு கருப்பு மிளகு - 1/4 டீஸ்பூன்,
சிவப்பு மிளகாய் - 2,
பெருங்காயம் - ஒரு சிட்டிகை,
புளி - 1/4 டீஸ்பூன் புளி விழுது,
உப்பு தேவை,
தேங்காய் துருவல் - 1 டீஸ்பூன்,
எண்ணெய் - 1 டீஸ்பூன்.</t>
  </si>
  <si>
    <t>Heat oil in a kadai/pan, add mustard seeds (optional), when it splutters, add bengal gram dal (kadalai paruppu),  tur dal, urad dal, whole black pepper, hing and red chillies. 
Saute until dal turns golden brown. Add tamarind piece and saute for few seconds. 
Add the mint leaves and saute until it wilts. Turn off the heat. You can add grated coconut at this stage, if you are using. Saute it in the heat of the pan. 
After it cools, grind it a bit coarsely along with salt and little water.
This thuvaiyal is very flavorful and tastes great when mixed with hot rice topped with a tsp of ghee or sesame seed oil.</t>
  </si>
  <si>
    <t>ஒரு கடாயில் எண்ணெயை சூடாக்கி, கடுகு சேர்க்கவும் (விரும்பினால்), அது வெடித்ததும், கடலை பருப்பு (கடலை பருப்பு), துவரம் பருப்பு, உளுத்தம் பருப்பு, முழு கருப்பு மிளகு, பெருங்காயம் மற்றும் சிவப்பு மிளகாய் சேர்க்கவும்.
பருப்பை பொன்னிறமாகும் வரை வதக்கவும். புளி துண்டு சேர்த்து சில நொடிகள் வதக்கவும்.
புதினா இலைகளைச் சேர்த்து வாடி போகும் வரை வதக்கவும். தீயை அணைக்கவும். நீங்கள் பயன்படுத்துகிறீர்கள் என்றால், இந்த கட்டத்தில் துருவிய தேங்காயைச் சேர்க்கலாம். வாணலியின் சூட்டில் வதக்கவும்.
ஆறிய பிறகு, உப்பு மற்றும் சிறிது தண்ணீர் சேர்த்து சிறிது கரடுமுரடாக அரைக்கவும்.
இந்த துவையல் மிகவும் சுவையாக இருக்கும், மேலும் சூடான சாதத்துடன் ஒரு தேக்கரண்டி நெய் அல்லது எள் விதை எண்ணெயுடன் கலக்கும்போது மிகவும் சுவையாக இருக்கும்.</t>
  </si>
  <si>
    <t>https://i.pinimg.com/474x/e5/0c/ef/e50cef4aa5e79617d5262823c2938e00.jpg</t>
  </si>
  <si>
    <t>https://youtu.be/YDJmeAeNmUE</t>
  </si>
  <si>
    <t>Onion Chutney</t>
  </si>
  <si>
    <t>வெங்காய சட்னி</t>
  </si>
  <si>
    <t>shallots - 1 cup peeled,
Red chillies – 4 ,
Tamarind – small piece ,
Oil – 1 tbsp,
Salt as required,
Mustard seeds - 1 tsp,
Urad dal – 2 tsp,
Oil – 1 tsp,
Mustard seeds – 1/2 tsp,
Curry leaves – few.</t>
  </si>
  <si>
    <t>சல்லட்ஸ் - 1 கப் தோல் நீக்கியது,
சிவப்பு மிளகாய் - 4 ,
புளி - சிறிய துண்டு ,
எண்ணெய் - 1 டீஸ்பூன் ,
தேவைக்கேற்ப உப்பு ,
கடுகு விதைகள் - 1 டீஸ்பூன் ,
உளுந்து பருப்பு - 2 டீஸ்பூன் ,
எண்ணெய் - 1 டீஸ்பூன் ,
கடுகு விதைகள் - 1/2 டீஸ்பூன் ,
கறிவேப்பிலை - சிறிது .</t>
  </si>
  <si>
    <t>Heat a tbsp of oil, add mustard seeds, when it splutters, add urad dal and red chillies. Saute until dal turns light brown. Remove from oil. 
In the same oil, add pearl onions and saute until it turns pink. Switch off the flame, add the tamarind piece and saute in the heat of the pan itself for 2-3 seconds.
Leave it to cool. Then grind everything together to a smooth paste adding salt and a tbsp of water.
Remove from the blender, heat a tsp of oil, add mustard seeds, curry leaves, when mustard splutters, pour the seasoning over the chutney.</t>
  </si>
  <si>
    <t>ஒரு டீஸ்பூன் எண்ணெயை சூடாக்கி, கடுகு சேர்த்து, அது வதங்கியதும், உளுந்து பருப்பு மற்றும் சிவப்பு மிளகாய் சேர்க்கவும். பருப்பு லேசான பழுப்பு நிறமாக மாறும் வரை வதக்கவும். எண்ணெயிலிருந்து எடுக்கவும்.
அதே எண்ணெயில், முத்து வெங்காயத்தைச் சேர்த்து, இளஞ்சிவப்பு நிறமாக மாறும் வரை வதக்கவும். தீயை அணைத்து, புளித் துண்டைச் சேர்த்து, வாணலியின் தீயில் 2-3 விநாடிகள் வதக்கவும்.
ஆற விடவும். பின்னர் எல்லாவற்றையும் உப்பு மற்றும் ஒரு டீஸ்பூன் தண்ணீர் சேர்த்து மென்மையான பேஸ்டாக அரைக்கவும்.
மிக்ஸியிலிருந்து இறக்கி, ஒரு தேக்கரண்டி எண்ணெயைச் சூடாக்கி, கடுகு, கறிவேப்பிலை சேர்த்து, கடுகு வெடித்ததும், சட்னியின் மேல் தாளிக்கக் கொடுத்தவற்றை ஊற்றவும்.</t>
  </si>
  <si>
    <t>https://www.indianhealthyrecipes.com/wp-content/uploads/2021/08/onion-chutney-recipe.jpg</t>
  </si>
  <si>
    <t>Tindora Chutney</t>
  </si>
  <si>
    <t>டிண்டோரா சட்னி</t>
  </si>
  <si>
    <t xml:space="preserve">    Kovakkai – 10,
   Onion - 1,
   Garlic cloves – 5,
   Red chilli - 3,
   Green chilli – 2-3,
   Tamarind – a small piece,
   Grated coconut – 2 tbsp,
   Coriander leaves,
   Oil – 2 tbsp,
   Salt needed,
   Oil – 1 tsp,
   Mustard seeds – 1 tsp.</t>
  </si>
  <si>
    <t>கோவக்காய் – 10,
வெங்காயம் – 1,
பூண்டு பற்கள் – 5,
சிவப்பு மிளகாய் – 3,
பச்சை மிளகாய் – 2-3,
புளி – ஒரு சிறிய துண்டு,
துருவிய தேங்காய் – 2 டேபிள்ஸ்பூன்,
கொத்தமல்லி இலை,
எண்ணெய் – 2 டேபிள்ஸ்பூன்,
உப்பு தேவை,
எண்ணெய் – 1 டேபிள்ஸ்பூன்,
கடுகு – 1 டேபிள்ஸ்பூன்.</t>
  </si>
  <si>
    <t>Heat oil and fry the red chillies first. Remove it and keep it aside.
Now in the same pan fry chopped onions followed by garlic, green chilli and tindora.
Cook till tindora becomes soft.(do not add water). Add needed salt. Once the tindora becomes tender, switch off the flame.
Add grated coconut, coriander leaves and saute in the heat of the pan itself. Allow it to cool.
Grind it a little coarse along with red chillies and tamarind. Check for salt.
Heat a tsp of oil, add mustard seeds, when it splutters, pour it over the chutney.This step is optional.
Serve it with hot rice and any vegetable curry. It can also be had as a side dish for idli and dosa.</t>
  </si>
  <si>
    <t>எண்ணெயை சூடாக்கி முதலில் மிளகாயை வதக்கவும். அதை எடுத்து தனியாக வைக்கவும்.
இப்போது அதே வாணலியில் நறுக்கிய வெங்காயத்தை வறுக்கவும், பின்னர் பூண்டு, பச்சை மிளகாய் மற்றும் டிண்டோராவை வறுக்கவும்.
டிண்டோரா மென்மையாகும் வரை சமைக்கவும். (தண்ணீர் சேர்க்க வேண்டாம்). தேவையான உப்பு சேர்க்கவும். டிண்டோரா மென்மையாகும் வரை, தீயை அணைக்கவும்.
துருவிய தேங்காய், கொத்தமல்லி இலைகளை சேர்த்து வாணலியின் தீயிலேயே வதக்கவும். ஆற விடவும்.
சிவப்பு மிளகாய் மற்றும் புளியுடன் சிறிது கரடுமுரடாக அரைக்கவும். உப்பு இருக்கிறதா என்று சரிபார்க்கவும்.
ஒரு தேக்கரண்டி எண்ணெயை சூடாக்கி, கடுகு சேர்த்து, அது வெடித்ததும், சட்னியின் மேல் ஊற்றவும். இந்த படி விருப்பமானது.
சூடான சாதம் மற்றும் எந்த காய்கறி கறியுடன் பரிமாறவும். இதை இட்லி மற்றும் தோசைக்கு ஒரு துணை உணவாகவும் சாப்பிடலாம்.</t>
  </si>
  <si>
    <t>https://encrypted-tbn0.gstatic.com/images?q=tbn:ANd9GcSfZt4RI6o55l25dG1dyoc1UJpWF52HXZ5vFQ&amp;s</t>
  </si>
  <si>
    <t>Sweet Chutney</t>
  </si>
  <si>
    <t>இனிப்பு சட்னி</t>
  </si>
  <si>
    <t xml:space="preserve">Jaggery – 1/4 cup,
Tamarind – 1/3 cup ,
Dates – 10-12,
Red chilli powder - 1/2,
Roasted Cumin - 1/4 tsp,
Dry ginger powder - 1/4 tsp,
Salt to taste.
</t>
  </si>
  <si>
    <t>வெல்லம் - 1/4 கப்,
புளி - 1/3 கப்,
பேரிதாள் - 10-12,
சிவப்பு மிளகாய் தூள் - 1/2,
வறுத்த சீரகம் - 1/4 தேக்கரண்டி,
உலர்ந்த இஞ்சி தூள் - 1/4 தேக்கரண்டி,
சுவைக்கேற்ப உப்பு.</t>
  </si>
  <si>
    <t>In a pan boil together tamarind and dates with just enough water. When it starts boiling, add jaggery.
Add salt, chilli powder, jeera powder and dry ginger powder. Simmer and cook till it reaches a saucy consistency. Mash it well with a potato masher.
Allow it to cool, strain it  using a soup strainer, pressing it well with a ladle to extract as much pulp as you can. Store it in an airtight container in the refrigerator. This chutney can also be freezed for 15-20 days.</t>
  </si>
  <si>
    <t>ஒரு கடாயில் புளி மற்றும் பேரீச்சம்பழத்தை போதுமான அளவு தண்ணீரில் கொதிக்க வைக்கவும். கொதிக்க ஆரம்பித்ததும், வெல்லம் சேர்க்கவும்.
உப்பு, மிளகாய் தூள், சீரக தூள் மற்றும் உலர்ந்த இஞ்சி தூள் சேர்க்கவும். கொதிக்க வைத்து, அது ஒரு காரமான பதம் வரும் வரை சமைக்கவும். ஒரு உருளைக்கிழங்கு மசிப்பான் மூலம் நன்றாக மசிக்கவும்.
அதை குளிர்விக்க விடவும், ஒரு சூப் வடிகட்டியைப் பயன்படுத்தி வடிகட்டி, ஒரு கரண்டியால் நன்றாக அழுத்தி முடிந்தவரை கூழ் எடுக்கவும். குளிர்சாதன பெட்டியில் காற்று புகாத கொள்கலனில் சேமிக்கவும். இந்த சட்னியை 15-20 நாட்கள் வரை உறைவிக்கலாம்.</t>
  </si>
  <si>
    <t>https://www.cookclickndevour.com/wp-content/uploads/2021/02/tamarind-chutney-sweet-chutney-recipe.jpg</t>
  </si>
  <si>
    <t>https://youtu.be/YaLYloYPyBE</t>
  </si>
  <si>
    <t>Ridge Gourd Chutney</t>
  </si>
  <si>
    <t>பீர்க்கங்காய் சட்னி</t>
  </si>
  <si>
    <t>Mustard - 1/2 tsp ,
Hing – a generous pinch,
Urad dal – 2 tbsp ,
Red chillies – 3-4,
Grated coconut – 2 tbps,
Tamarind – small marble sized ball ,
Oil – 1 tbsp.</t>
  </si>
  <si>
    <t>கடுகு - 1/2 தேக்கரண்டி,
கீரை - ஒரு சிட்டிகை,
உரத்தப்பருப்பு - 2 தேக்கரண்டி,
சிவப்பு மிளகாய் - 3-4,
தேங்காய் துருவல் - 2 தேக்கரண்டி,
புளி - சிறிய பளிங்கு அளவு உருண்டை,
எண்ணெய் - 1 தேக்கரண்டி.</t>
  </si>
  <si>
    <t>Heat a tsp of oil, add mustard seeds, when it splutters, add hing, urad dal and red chillies. Fry till dal turns golden brown. Then add tamarind and fry for a few more seconds.Switch off the flame, add grated coconut and saute in the heat of the pan itself. Leave it to cool.
After it cools, grind it  first with a little cooked ridge gourd to a smooth paste, then add the remaining vegetable and grind it a bit coarsely. Add little water only if required. Check for salt.
Mix it with hot steaming rice topped with a tsp of ghee and enjoy! You can prepare any curry or just have papaps or potato chips  as side dish. It  can also be had as a side dish for idli and dosa .</t>
  </si>
  <si>
    <t>ஒரு தேக்கரண்டி எண்ணெயை சூடாக்கி, கடுகு சேர்த்து, அது வதங்கியதும், கீரை, உளுத்தம்பருப்பு மற்றும் சிவப்பு மிளகாய் சேர்க்கவும். பருப்பை பொன்னிறமாகும் வரை வதக்கவும். பின்னர் புளி சேர்த்து இன்னும் சில வினாடிகள் வதக்கவும். தீயை அணைத்து, துருவிய தேங்காயைச் சேர்த்து, வாணலியின் சூட்டிலேயே வதக்கவும். ஆற விடவும்.
ஆறிய பிறகு, முதலில் சிறிது வேகவைத்த பீர்க்கங்காய் சேர்த்து மென்மையான பேஸ்டாக அரைக்கவும், பின்னர் மீதமுள்ள காய்கறிகளைச் சேர்த்து சிறிது கரடுமுரடாக அரைக்கவும். தேவைப்பட்டால் மட்டும் சிறிது தண்ணீர் சேர்க்கவும். உப்பு இருக்கிறதா என்று சரிபார்க்கவும்.
சூடான வேகவைத்த அரிசியுடன் ஒரு தேக்கரண்டி நெய்யுடன் கலந்து மசிக்கவும்! நீங்கள் எந்த கறியையும் சமைக்கலாம் அல்லது பப்பாளி அல்லது உருளைக்கிழங்கு சிப்ஸை பக்க உணவாக சாப்பிடலாம். இட்லி மற்றும் தோசைக்கு பக்க உணவாகவும் சாப்பிடலாம்.</t>
  </si>
  <si>
    <t>https://www.indianveggiedelight.com/wp-content/uploads/2017/03/Ridge-gourd-chutney-featured.jpg</t>
  </si>
  <si>
    <t>Tomatoes – 4 medium size,
Sambar powder – 2 tsp,
Turmeric powder – a pinch,
Sesame seed oil – 2 tbsp ,
Mustard seeds – 1 tsp,
Asafoetida – a pinch,
Curry leaves.</t>
  </si>
  <si>
    <t>தக்காளி - 4 நடுத்தர அளவு,
சாம்பார் பொடி - 2 தேக்கரண்டி,
மஞ்சள் பொடி - ஒரு சிட்டிகை,
எள்ளு எண்ணெய் - 2 தேக்கரண்டி,
கடுகு - 1 தேக்கரண்டி,
அசாஃபோடிடா - ஒரு சிட்டிகை,
கறிவேப்பிலை.</t>
  </si>
  <si>
    <t>ஒரு மிக்ஸியில் தக்காளியை அரைக்கவும்.
ஒரு கடாயில் எண்ணெயை சூடாக்கி, அது வெடித்ததும் கடுகு சேர்த்து, கீல், கறிவேப்பிலை, தக்காளி கூழ், மஞ்சள் தூள், சாம்பார் பொடி மற்றும் தேவையான உப்பு சேர்க்கவும்.
எண்ணெய் பிரியும் வரை சமைக்கவும். இந்த சட்னியை குளிர்சாதன பெட்டியில் 3-4 நாட்கள் சேமிக்கலாம்.</t>
  </si>
  <si>
    <t>Green Chutney</t>
  </si>
  <si>
    <t>பச்சை சட்னி</t>
  </si>
  <si>
    <t>Coriander leaves – 2 cups,
Mint leaves – 1 cup,
Ginger – a small bit,
Green chillies - 2-3,
Lemons juice – Juice of half a lemon,
Sugar – 1/2 tsp,
Salt to taste.</t>
  </si>
  <si>
    <t>கொத்தமல்லி இலைகள் - 2 கப்,
புதினா இலைகள் - 1 கப்,
இஞ்சி - சிறிதளவு,
பச்சை மிளகாய் - 2-3,
எலுமிச்சை சாறு - அரை எலுமிச்சை சாறு,
சர்க்கரை - 1/2 டீஸ்பூன்,
சுவைக்கேற்ப உப்பு.</t>
  </si>
  <si>
    <t>Grind coriander leaves, mint leaves, ginger, green chillies, salt and sugar together adding very less water. Use chilled water for grinding. Add more water to adjust consistency you like.
Squeeze juice of half a lemon and mix well.This is added to retain the green color.
Enjoy this versatile chutney with parathas, bread, samosas etc.</t>
  </si>
  <si>
    <t>கொத்தமல்லி இலைகள், புதினா இலைகள், இஞ்சி, பச்சை மிளகாய், உப்பு மற்றும் சர்க்கரை ஆகியவற்றை ஒன்றாக மிகக் குறைந்த தண்ணீர் சேர்த்து அரைக்கவும். அரைக்க குளிர்ந்த நீரைப் பயன்படுத்தவும். உங்களுக்குப் பிடித்த நிலைத்தன்மையை சரிசெய்ய அதிக தண்ணீர் சேர்க்கவும்.
அரை எலுமிச்சை சாற்றை பிழிந்து நன்கு கலக்கவும். பச்சை நிறத்தைத் தக்கவைக்க இது சேர்க்கப்படுகிறது.
பரோட்டாக்கள், ரொட்டி, சமோசாக்கள் போன்றவற்றுடன் இந்த பல்துறை சட்னியை அனுபவிக்கவும்.</t>
  </si>
  <si>
    <t>https://spicecravings.com/wp-content/uploads/2018/09/Cilantro-Chutney-9.jpg</t>
  </si>
  <si>
    <t>Brinjal Chutney</t>
  </si>
  <si>
    <t>கத்தரிக்காய் சட்னி</t>
  </si>
  <si>
    <t xml:space="preserve">   Brinjal - 1 big ,
   Oil – 1 tbsp,
   Mustard seeds - 3/4 tsp,
   Urad dal – 2 tbsp,
   Red chilli – 3-4,
   Hing – a pinch,
   Tamarind – little ,
   Salt to taste.
</t>
  </si>
  <si>
    <t>கத்தரிக்காய் - 1 பெரியது,
எண்ணெய் - 1 டேபிள்ஸ்பூன்,
கடுகு - 3/4 டேபிள்ஸ்பூன்,
உரத்த பருப்பு - 2 டேபிள்ஸ்பூன்,
சிவப்பு மிளகாய் - 3-4,
ஹிங் - ஒரு சிட்டிகை,
புளி - சிறிது,
ருசிக்க உப்பு.</t>
  </si>
  <si>
    <t>Heat oil, add mustard seeds, when it splutters, add urad dal, hing, red chillies and saute till dal turns golden brown.
Grind the above with tamarind adding very less water to a smooth paste.
Then add the chopped roasted brinjal, salt needed and grind just for a few seconds. (It should not be a fine paste).
It tastes great when mixed with rice and ghee. It can also be had as a side dish for dosa and chapati.</t>
  </si>
  <si>
    <t>எண்ணெயை சூடாக்கி, கடுகு சேர்த்து, அது வதங்கியதும், உளுத்தம் பருப்பு,ஹிங்,சிவப்பு மிளகாய் சேர்த்து, பருப்பை பொன்னிறமாகும் வரை வதக்கவும்.
மேற்கண்டவற்றை புளியுடன் சேர்த்து, மிகக் குறைந்த தண்ணீர் சேர்த்து, மென்மையான பேஸ்டாக அரைக்கவும்.
பின்னர் நறுக்கிய வறுத்த கத்திரிக்காய், தேவையான அளவு உப்பு சேர்த்து, சில நொடிகள் மட்டும் அரைக்கவும். (இது நன்றாக பேஸ்டாக இருக்கக்கூடாது).
அரிசி மற்றும் நெய்யுடன் கலக்கும்போது இது மிகவும் சுவையாக இருக்கும். தோசை மற்றும் சப்பாத்திக்கு ஒரு துணை உணவாகவும் இதை சாப்பிடலாம்.</t>
  </si>
  <si>
    <t>https://cdn2.foodviva.com/static-content/food-images/chutney-raita-recipes/brinjal-chutney-recipe/brinjal-chutney-recipe.jpg</t>
  </si>
  <si>
    <t>Coconut Chutney with Red chillies</t>
  </si>
  <si>
    <t>தேங்காய் சட்னியுடன் சிவப்பு மிளகாய்</t>
  </si>
  <si>
    <t>Grated coconut – 3/4 cup,
Red chilli – 5,
Garlic – 1 – 2 cloves,
Fried gram  - 1 1/2 tbsp,
Tamarind – a small piece,
Oil – 2 tsp,
Mustard – 1 tsp,
Urad dal – 1 tsp,
Curry leaves .</t>
  </si>
  <si>
    <t>தேங்காய் துருவியது - 3/4 கப்,
சிவப்பு மிளகாய் - 5,
பூண்டு - 1 - 2 பல்,
பொரித்த பருப்பு - 1 1/2 டீஸ்பூன்,
புளி - ஒரு சிறிய துண்டு,
எண்ணெய் - 2 டீஸ்பூன்,
கடுகு - 1 டீஸ்பூன்,
உளுந்தம்பருப்பு - 1 டீஸ்பூன்,
கறிவேப்பிலை.</t>
  </si>
  <si>
    <t>Grind grated coconut, red chillies, garlic, fried gram, tamarind and salt together, adding little water. Do not grind it very finely. It should be a little coarse.
Then heat oil, add mustard seeds, when it splutters, add urad dal and curry leaves.When dal starts turning golden brown, pour it over the chutney.
Enjoy with idli, dosa , ven pongal, uthappam and even upma.</t>
  </si>
  <si>
    <t>தேங்காய் துருவல், மிளகாய், பூண்டு, வறுத்த பருப்பு, புளி மற்றும் உப்பு ஆகியவற்றை ஒன்றாக சேர்த்து சிறிது தண்ணீர் சேர்த்து அரைக்கவும். மிக நன்றாக அரைக்க வேண்டாம். அது கொஞ்சம் கரகரப்பாக இருக்க வேண்டும்.
பின்னர் எண்ணெயை சூடாக்கி, கடுகு சேர்த்து, அது வதங்கியதும், உளுத்தம்பருப்பு மற்றும் கறிவேப்பிலை சேர்க்கவும். பருப்பு பொன்னிறமாக மாறத் தொடங்கியதும், சட்னியின் மேல் ஊற்றவும்.
இட்லி, தோசை, வெண்பொங்கல், உப்பம் மற்றும் உப்புமாவுடன் கூட மசிக்கவும்.</t>
  </si>
  <si>
    <t>https://www.vegrecipesofindia.com/wp-content/uploads/2013/04/red-chili-coconut-chutney-11.jpg</t>
  </si>
  <si>
    <t xml:space="preserve">   Chow Chow –  1 cup,
   Tomato - 1,
   Oil – 1 tbsp,
   Tur dal – 1 tbsp,
   Channa dal – 1 tbsp,
   Red chilli - 4,
   Salt needed.</t>
  </si>
  <si>
    <t>சௌ சௌ - 1 கப்,
தக்காளி - 1,
எண்ணெய் - 1 டேபிள் ஸ்பூன்,
துர் பருப்பு - 1 டேபிள் ஸ்பூன்,
சன்னா பருப்பு - 1 டேபிள் ஸ்பூன்,
சிவப்பு மிளகாய் - 4,
உப்பு தேவை.</t>
  </si>
  <si>
    <t>https://www.kannammacooks.com/wp-content/uploads/merakai-bajji-chow-chow-mash-recipe-1-3.jpg</t>
  </si>
  <si>
    <t xml:space="preserve">   Chopped tomatoes – 1 cup,
   Garlic cloves - 3,
   Curry leaves – few,
   Red chilli – 3,
   Oil – 1 tbsp,
   Oil - 1 tsp,
   Mustard – 1 tsp,
   Hing – a pinch.</t>
  </si>
  <si>
    <t>நறுக்கிய தக்காளி - 1 கப்,
பூண்டு பற்கள் - 3,
கறிவேப்பிலை - சிறிது,
சிவப்பு மிளகாய் - 3,
எண்ணெய் - 1 டீஸ்பூன்,
எண்ணெய் - 1 டீஸ்பூன்,
கடுகு - 1 டீஸ்பூன்,
ஹிங் - ஒரு சிட்டிகை.</t>
  </si>
  <si>
    <t>Heat a tbsp of oil in a pan, add red chillies, garlic and saute for a few minutes.
Then add curry leaves, chopped tomatoes and cook till tomatoes become mushy. Add salt needed.
Allow it to cool. Then blend it in a mixie .
Heat a tsp of oil, add mustard seeds, when it splutters, add hing, curry leaves and pour it over the chutney.
This is a fantastic side dish for idli, dosa.</t>
  </si>
  <si>
    <t>ஒரு கடாயில் ஒரு டீஸ்பூன் எண்ணெயை சூடாக்கி, சிவப்பு மிளகாய், பூண்டு சேர்த்து சில நிமிடங்கள் வதக்கவும்.
பிறகு கறிவேப்பிலை, நறுக்கிய தக்காளி சேர்த்து தக்காளி மசியும் வரை வதக்கவும். தேவையான உப்பு சேர்க்கவும்.
ஆற விடவும். பிறகு மிக்ஸியில் அரைக்கவும்.
ஒரு டீஸ்பூன் எண்ணெயை சூடாக்கி, கடுகு சேர்த்து, அது வதங்கியதும், ஹிங், கறிவேப்பிலை சேர்த்து சட்னியின் மேல் ஊற்றவும்.
இது இட்லி, தோசைக்கு ஒரு அருமையான சைடு டிஷ்.</t>
  </si>
  <si>
    <t>https://www.ticklingpalates.com/wp-content/uploads/2021/05/chutney-made-with-garlic-and-smoked-tomato.jpg</t>
  </si>
  <si>
    <t>Mint Chutney</t>
  </si>
  <si>
    <t>புதினா சட்னி</t>
  </si>
  <si>
    <t>1 cup -  Mint leaves tightly packed,
8 -  Pearl onions,
2 -  Green chilli,
1/4 cup -  Grated coconut,
Tamarind,
Salt as required,
1 tsp -  Oil,
1 tsp -  Mustard seeds,
3/4 tsp -  Urad dal.</t>
  </si>
  <si>
    <t>1 கப் - புதினா இலைகளை இறுக்கமாகப் பொதி செய்தல்,
8 - முத்து வெங்காயம்,
2 - பச்சை மிளகாய்,
1/4 கப் - துருவிய தேங்காய்,
புளி,
தேவைக்கேற்ப உப்பு,
1 தேக்கரண்டி - எண்ணெய்,
1 தேக்கரண்டி - கடுகு,
3/4 தேக்கரண்டி - உளுத்தம்பருப்பு.</t>
  </si>
  <si>
    <t>Heat 2-3 tsp of oil , add pearl onions and saute till it turns transparent.
Then add green chillies and saute for a few more seconds.
Add mint leaves and saute until it wilts.
Turn off the heat and add grated coconut.
Saute the coconut for 2-3 minutes in the heat of the pan. Leave it to cool.
Add tamarind, needed salt and grind everything together with little water.
Heat a tsp of oil, add mustard seeds, when mustard splutters, add urad dal, when dal turns golden brown, pour the seasoning over the chutney.
Enjoy with idly, dosa, parathas, adai, upma, pongal, bread,roti etc.</t>
  </si>
  <si>
    <t>2-3 தேக்கரண்டி எண்ணெயைச் சூடாக்கி, முத்து வெங்காயத்தைச் சேர்த்து, அது வெளிப்படையானதாக மாறும் வரை வதக்கவும்.
பின்னர் பச்சை மிளகாய் சேர்த்து இன்னும் சில வினாடிகள் வதக்கவும்.
புதினா இலைகளைச் சேர்த்து, அது வாடி வரும் வரை வதக்கவும்.
தீயை அணைத்து, துருவிய தேங்காயைச் சேர்க்கவும்.
தேங்காயை 2-3 நிமிடங்கள் வாணலியின் சூட்டில் வதக்கவும். ஆற விடவும்.
புளி, தேவையான உப்பு சேர்த்து, அனைத்தையும் சிறிது தண்ணீர் சேர்த்து அரைக்கவும்.
ஒரு தேக்கரண்டி எண்ணெயைச் சூடாக்கி, கடுகு சேர்த்து, கடுகு வதங்கியதும், உளுத்தம்பருப்பு சேர்த்து, பருப்பு பொன்னிறமாக மாறியதும், தாளிக்க வேண்டியதை சட்னியின் மேல் ஊற்றவும்.
இட்லி, தோசை, பரோட்டா, அடை, உப்புமா, பொங்கல், ரொட்டி, ரொட்டி போன்றவற்றுடன் மகிழுங்கள்.</t>
  </si>
  <si>
    <t>https://encrypted-tbn0.gstatic.com/images?q=tbn:ANd9GcT4f-C-9L9nIUVu5lou5B9svJNdOznFmv1t1Q&amp;s</t>
  </si>
  <si>
    <t>https://youtu.be/v01QjSzdRhM</t>
  </si>
  <si>
    <t>Pumpkin Chutney</t>
  </si>
  <si>
    <t>பூசணிக்காய் சட்னி</t>
  </si>
  <si>
    <t>Chopped pumpkin – 2 cups,
Mustard - 1 tsp,
Urad dal – 2 tbsp,
Red chillies – 2-3,
Hing – a pinch,
Whole black pepper - 3-4,
Tamarind – small piece,
Curry leaves – little.</t>
  </si>
  <si>
    <t>நறுக்கிய பூசணிக்காய் - 2 கப்,
கடுகு - 1 டீஸ்பூன்,
உளுந்து - 2 டீஸ்பூன்,
சிவப்பு மிளகாய் - 2-3,
ஹிங் - ஒரு சிட்டிகை,
முழு கருப்பு மிளகு - 3-4,
புளி - சிறிய துண்டு,
கறிவேப்பிலை - சிறிது.</t>
  </si>
  <si>
    <t>Heat a tbsp of oil and saute pumpkin till soft. Keep aside.
Heat 2 tsp of oil in the same pan, add mustard seeds, when they sputter, add hing, urad dal, red chillies, black pepper and curry leaves.
Saute till dal turns golden brown. Grind it along with cooked pumpkin, salt and tamarind.
Serve it with hot rice topped with ghee or with chapati.</t>
  </si>
  <si>
    <t>ஒரு டீஸ்பூன் எண்ணெயை சூடாக்கி, பூசணிக்காயை மென்மையாகும் வரை வதக்கவும். ஒதுக்கி வைக்கவும்.
அதே வாணலியில் 2 டீஸ்பூன் எண்ணெயை சூடாக்கி, கடுகு சேர்த்து, அவை பொங்கி வரும்போது, ​​பெருங்காயம், உளுத்தம் பருப்பு, சிவப்பு மிளகாய், கருப்பு மிளகு மற்றும் கறிவேப்பிலை சேர்க்கவும்.
பருப்பு பொன்னிறமாகும் வரை வதக்கவும். சமைத்த பூசணிக்காய், உப்பு மற்றும் புளியுடன் சேர்த்து அரைக்கவும்.
நெய்யுடன் சூடான சாதத்துடன் அல்லது சப்பாத்தியுடன் பரிமாறவும்.</t>
  </si>
  <si>
    <t>https://encrypted-tbn0.gstatic.com/images?q=tbn:ANd9GcS-esH4tmY0UT4p9TCzC5KoZl9nDQRsJAILHA&amp;s</t>
  </si>
  <si>
    <t>Coconut thogayal</t>
  </si>
  <si>
    <t>தேங்காய் தோகை</t>
  </si>
  <si>
    <t xml:space="preserve">   Coconut - 1/2 cup,
   Oil – 2 tsp,
   Mustard seed - 1/2 tsp,
   Urad dal – 2 tbsp,
   Red chillies – 3,
   Whole black Pepper - 1/4 ts,
   Hing/ Asafoetida – a pinch,
   Tamarind – small pea sized ball,
   Curry leaves – 2 sprigs ,
   Salt to taste.</t>
  </si>
  <si>
    <t>தேங்காய் - 1/2 கப்,
எண்ணெய் - 2 தேக்கரண்டி,
கடுகு - 1/2 தேக்கரண்டி,
உளுத்தம் பருப்பு - 2 தேக்கரண்டி,
சிவப்பு மிளகாய் - 3,
முழு கருப்பு மிளகு - 1/4 தேக்கரண்டி,
பெருங்காயம் - ஒரு சிட்டிகை,
புளி - சிறிய பட்டாணி அளவு,
கறிவேப்பிலை - 2 கிளைகள்,
ருசிக்க உப்பு.</t>
  </si>
  <si>
    <t>eat 2 tsp of oil, add mustard seeds, when mustard splutters, add urad dal, pepper, red chilies and hing.
Saute until dal turns golden brown, then add curry leaves, grated coconut and switch off the flame.
Grind everything together along with tamarind and salt to a coarse paste. Do not add too much water. (see the picture) It should be thick.
Serve it with hot steamed rice topped with a tsp of ghee. You can pair it with a simple vegetable stir fry or vegetable curry.</t>
  </si>
  <si>
    <t>2 தேக்கரண்டி எண்ணெய் விட்டு, கடுகு சேர்த்து, கடுகு வதங்கியதும், உளுத்தம் பருப்பு, மிளகு, சிவப்பு மிளகாய் மற்றும் கீரை சேர்க்கவும்.
பருப்பை பொன்னிறமாகும் வரை வதக்கி, பின்னர் கறிவேப்பிலை, தேங்காய் துருவல் சேர்த்து, தீயை அணைக்கவும்.
புளி மற்றும் உப்பு சேர்த்து எல்லாவற்றையும் சேர்த்து ஒரு கரடுமுரடான பேஸ்டாக அரைக்கவும். அதிக தண்ணீர் சேர்க்க வேண்டாம். (படத்தைப் பார்க்கவும்) அது கெட்டியாக இருக்க வேண்டும்.
சூடான வேகவைத்த அரிசியுடன் ஒரு தேக்கரண்டி நெய்யுடன் பரிமாறவும். நீங்கள் இதை ஒரு எளிய காய்கறி வறுவல் அல்லது காய்கறி கறியுடன் இணைக்கலாம்.</t>
  </si>
  <si>
    <t>https://www.vidhyashomecooking.com/wp-content/uploads/2014/01/ThengaiThuvaiyal-1.jpg</t>
  </si>
  <si>
    <t>Gongura Chutney</t>
  </si>
  <si>
    <t>கோங்குரா சட்னி</t>
  </si>
  <si>
    <t xml:space="preserve">   Gongura – 2 big bunches,
   Red chillies – 4-5,
   Green chillies – 5-6,
   Fenugreek powder - 1/2 tsp,
   Asafoetida – a pinch,
   Turmeric Powder – a pinch,
   Sesame seed oil - 3-4 tbsp,
   Salt as required,
   Oil – 1 tbsp,
   Mustard seeds – 1 tsp.</t>
  </si>
  <si>
    <t>கோங்குரா - 2 பெரிய கொத்துகள்,
சிவப்பு மிளகாய் - 4-5,
பச்சை மிளகாய் - 5-6,
வெந்தயப் பொடி - 1/2 தேக்கரண்டி,
பெருங்காயம் - ஒரு சிட்டிகை,
மஞ்சள் பொடி - ஒரு சிட்டிகை,
எள் விதை எண்ணெய் - 3-4 தேக்கரண்டி,
தேவைக்கேற்ப உப்பு,
எண்ணெய் - 1 தேக்கரண்டி,
கடுகு - 1 தேக்கரண்டி.</t>
  </si>
  <si>
    <t>Separate gongura leaves from the stem, wash it, drain the water and pat it dry with a kitchen towel.
Dry roast fenugreek seeds (vendhayam) and powder it.
Heat a tsp of oil and fry red chillies and green chillies separately. Keep it aside.
Heat 3 tbsp of oil, add asafoetida, turmeric powder and gongura leaves. Cook the leaves well. Leave it to cool.
Then grind it along with red chillies, green chillies and salt (I used rock salt) to a fine paste. Picture below shows cooked gongura leaves.
Heat 1 tbsp of oil in a kadai/pan, add mustard seeds, when it splutters, add the ground gongura paste and fry on medium flame for another 10 minutes or until it leaves the sides of the pan. Add fenugreek powder, mix well and remove from flame.
Delicious gongura chutney/pachadi is ready. This chutney goes well with rice. I love it even with dosas.</t>
  </si>
  <si>
    <t>கோங்குரா இலைகளை தண்டிலிருந்து பிரித்து, கழுவி, தண்ணீரை வடிகட்டி, சமையலறை துண்டுடன் உலர வைக்கவும்.
வெந்தயத்தை (வெந்தயம்) உலர்த்தி வறுத்து பொடி செய்யவும்.
ஒரு தேக்கரண்டி எண்ணெயை சூடாக்கி, சிவப்பு மிளகாய் மற்றும் பச்சை மிளகாயை தனித்தனியாக வறுக்கவும். ஒதுக்கி வைக்கவும்.
3 தேக்கரண்டி எண்ணெயை சூடாக்கி, பெருங்காயம், மஞ்சள் தூள் மற்றும் கோங்குரா இலைகளைச் சேர்க்கவும். இலைகளை நன்கு சமைக்கவும். ஆற விடவும்.
பின்னர் சிவப்பு மிளகாய், பச்சை மிளகாய் மற்றும் உப்பு (நான் கல் உப்பு பயன்படுத்தினேன்) சேர்த்து நன்றாக அரைக்கவும். கீழே உள்ள படத்தில் சமைத்த கோங்குரா இலைகள் காட்டப்பட்டுள்ளன.
ஒரு கடாயில் 1 டீஸ்பூன் எண்ணெயை சூடாக்கி, கடுகு சேர்த்து, அது வெடித்ததும், அரைத்த கோங்குரா விழுதைச் சேர்த்து, மிதமான தீயில் மற்றொரு 10 நிமிடங்கள் அல்லது வாணலியின் பக்கவாட்டில் இருந்து வெளியேறும் வரை வதக்கவும். வெந்தயப் பொடியைச் சேர்த்து, நன்கு கலந்து, அடுப்பிலிருந்து இறக்கவும்.
சுவையான கோங்குரா சட்னி/பச்சடி தயார். இந்த சட்னி சாதத்துடன் நன்றாகச் செல்லும். தோசைகளுடன் கூட எனக்கு இது மிகவும் பிடிக்கும்.</t>
  </si>
  <si>
    <t>https://sangskitchen.b-cdn.net/wp-content/uploads/2020/06/Gongura-pachadi.jpg</t>
  </si>
  <si>
    <t>Ridge gourd Skin Tuvayal</t>
  </si>
  <si>
    <t>பீர்க்கங்காயின் தோல் துவயல்</t>
  </si>
  <si>
    <t xml:space="preserve">   Ridge gourd skin - 1 cup,
   Tamarind -small pea sized ball,
   Grated coconut - 2 tbsp,
   Oil - 3 tsp,
   Mustard seed – 1 tsp,
   Urad dal – 1 1/2 tbsp,
   Tur dal – 1 tsp,
   Whole black pepper - 1/4 tsp,
   Red chillies - 3.</t>
  </si>
  <si>
    <t>பீர்க்கங்காயின் தோல் - 1 கப்,
புளி - சிறிய பட்டாணி அளவு,
தேங்காய் துருவல் - 2 டீஸ்பூன்,
எண்ணெய் - 3 டீஸ்பூன்,
கடுகு விதை - 1 டீஸ்பூன்,
உரத்த பருப்பு - 1 1/2 டீஸ்பூன்,
துர் பருப்பு - 1 டீஸ்பூன்,
முழு கருப்பு மிளகு - 1/4 டீஸ்பூன்,
சிவப்பு மிளகாய் - 3.</t>
  </si>
  <si>
    <t>Heat a tsp of oil, add mustard seeds, when it splutters, add urad dal, pepper, tur dal, red chillies and fry until dal turns golden brown. Then add the tamarind piece and saute for just a few seconds. Keep it aside.
Heat 2 tsp of oil and fry the ridge gourd skin adding salt until tender.
Grind everything together along with coconut to a coarse paste.
Ridge gourd skin chutney-peerkangai thol thuvaiyal 
This thol thuvaiyal can be used as a side dish for roti, paratha also but best with hot rice. You can prepare this with the flesh of ridge gourd also. It stays food for 2-3 days in the refrigerator.</t>
  </si>
  <si>
    <t>ஒரு டீஸ்பூன் எண்ணெயை சூடாக்கி, கடுகு சேர்த்து, அது வெடித்ததும், பீர்க்கங்காயின் தாளிப்பு, மிளகு, துர் பருப்பு, சிவப்பு மிளகாய் சேர்த்து, பீர்க்கங்காயின் தாளிப்பு பொன்னிறமாகும் வரை வதக்கவும். பின்னர் புளி துண்டு சேர்த்து சில நொடிகள் வதக்கவும். அதை ஒதுக்கி வைக்கவும்.
2 டீஸ்பூன் எண்ணெயை சூடாக்கி பீர்க்கங்காயின் தோலை உப்பு சேர்த்து மென்மையாகும் வரை வறுக்கவும்.
தேங்காயுடன் சேர்த்து அனைத்தையும் ஒன்றாக அரைக்கவும்.
பீர்க்கங்கா தோல் சட்னி-பீர்க்கங்கா தோல் துவையல்
இந்த தோல் துவையலை ரொட்டி, பரோட்டாவிற்கும் ஒரு துணை உணவாகப் பயன்படுத்தலாம், ஆனால் சூடான சாதத்துடன் சிறந்தது. நீங்கள் இதை பீர்க்கங்காயின் சதையுடன் கூட தயாரிக்கலாம். இது குளிர்சாதன பெட்டியில் 2-3 நாட்கள் உணவாக இருக்கும்.</t>
  </si>
  <si>
    <t>https://www.kannammacooks.com/wp-content/uploads/peerkangai-thol-thogayal-for-rice-ridgegourd-peels-thogayal-8.jpg</t>
  </si>
  <si>
    <t>Thuthuvalai Rasam</t>
  </si>
  <si>
    <t xml:space="preserve">தூதுவளை ரசம் </t>
  </si>
  <si>
    <t>1 handful Fresh Thuthuvalai Leaves,
1 tsp Ghee,
3 inch Tamarind (small gooseberry sized ball),
1-2 Tomato finely chopped,
1 tsp Whole black pepper,
1 tsp Cumin seeds,
3 Garlic cloves,
3/4 tsp Sambar powder,
1/4 tsp Turmeric powder,
1 sprig Curry leaves,
Salt needed,
For the seasoning
1 tsp Mustard seeds,
1 tsp Cumin seeds,
1 tsp Ghee.</t>
  </si>
  <si>
    <t>1 கைப்பிடி புதிய துத்துவளை இலைகள்,
1 தேக்கரண்டி நெய்,
3 அங்குல புளி (சிறிய நெல்லிக்காய் அளவு பந்து),
1-2 தக்காளி நன்றாக நறுக்கியது,
1 தேக்கரண்டி முழு கருப்பு மிளகு,
1 தேக்கரண்டி சீரகம்,
3 பூண்டு பல்,
3/4 தேக்கரண்டி சாம்பார் பொடி,
1/4 தேக்கரண்டி மஞ்சள் தூள்,
1 தளிர் கறிவேப்பிலை,
தேவையான உப்பு,
தாளிக்க:,
1 தேக்கரண்டி கடுகு,
1 தேக்கரண்டி சீரகம்,
1 தேக்கரண்டி நெய்,</t>
  </si>
  <si>
    <t>Preparation:.
Thuthuvalai leaves have thorns, so handle it carefully. We need a fistful of thuthuvalai leaves. Wash and keep it ready.
Soak a small gooseberry sized tamarind in a cup of hot water. Extract the juice and discard the pulp.
Method:.
Heat a tsp of ghee and saute the leaves until they wilt. Turn off the heat and keep it aside.
In a blender, grind cumin seeds, pepper and garlic coarsely.
Then add the sauteed leaves and blitz again.
In a vessel, add 1 cup of tamarind extract. Then add finely chopped tomatoes, turmeric powder, salt, sambar powder, ground paste and curry leaves.
Once it starts to boil, reduce the heat and let it boil on low heat for 10 minutes. The raw smell of the tamarind will go, by this time.
Then add 1 1/2 cups of water. Once forth starts to form on the surface, turn off the heat.
Garnish with finely chopped coriander leaves.
Heat a tsp of ghee, add mustard seeds and cumin seeds. When it splutters, add the seasoning to the rasam.
Thuthuvalai rasam is ready.</t>
  </si>
  <si>
    <t>துத்துவலை இலைகளில் முட்கள் இருப்பதால், அதை கவனமாக கையாளவும். நமக்கு ஒரு கைப்பிடி துத்துவலை இலைகள் தேவை. கழுவி தயாராக வைக்கவும்.
ஒரு சிறிய நெல்லிக்காய் அளவு புளியை ஒரு கப் வெந்நீரில் ஊறவைத்து, சாற்றை பிரித்தெடுத்து, கூழை நிராகரிக்கவும்.
முறை:.
ஒரு தேக்கரண்டி நெய்யை சூடாக்கி, இலைகள் வாடும் வரை வதக்கவும். தீயை அணைத்து ஒதுக்கி வைக்கவும்.
ஒரு மிக்ஸியில், சீரகம், மிளகு மற்றும் பூண்டை கரடுமுரடாக அரைக்கவும்.
பின்னர் வதக்கிய இலைகளைச் சேர்த்து மீண்டும் பிசையவும்.
ஒரு பாத்திரத்தில், 1 கப் புளி சாறு சேர்க்கவும். பின்னர் இறுதியாக நறுக்கிய தக்காளி, மஞ்சள் தூள், உப்பு, சாம்பார் பொடி, அரைத்த விழுது மற்றும் கறிவேப்பிலை சேர்க்கவும்.
கொதிக்க ஆரம்பித்ததும், தீயைக் குறைத்து, குறைந்த தீயில் 10 நிமிடங்கள் கொதிக்க விடவும். புளியின் பச்சை வாசனை இந்த நேரத்தில் போய்விடும்.
பின்னர் 1 1/2 கப் தண்ணீர் சேர்க்கவும். வெளியே வந்ததும் மேற்பரப்பில் உருவாகத் தொடங்கியதும், தீயை அணைக்கவும்.
பொடியாக நறுக்கிய கொத்தமல்லி இலைகளால் அலங்கரிக்கவும்.
ஒரு தேக்கரண்டி நெய்யை சூடாக்கி, கடுகு மற்றும் சீரகத்தை சேர்க்கவும். அது கொதித்ததும், ரசத்தில் தாளிக்கக் கொடுத்தவற்றைச் சேர்க்கவும்.
துதுவளை ரசம் தயார்.</t>
  </si>
  <si>
    <t>https://images.news18.com/tamil/uploads/2023/05/solanum-trilobatum-Rasam-16849448184x3.jpg?impolicy=website&amp;width=415&amp;height=270</t>
  </si>
  <si>
    <t>https://youtu.be/EPDNaHvnZfo</t>
  </si>
  <si>
    <t>Mint Rasam</t>
  </si>
  <si>
    <t>புதினா ரசம்</t>
  </si>
  <si>
    <t xml:space="preserve"> Tomatoes – 2 ripe ones,
   Fresh mint leaves – fistful,
   Tamarind – small bit or 1/2 tsp paste,
   Ghee/oil – 1 tsp,
   Cumin seeds – 1 tsp,
   Whole black pepper corns – 1 tsp,
   Turmeric powder – 1/4 tsp,
   Salt to taste,
   Curry leaves – a sprig,
   For the Seasoning:,
   Ghee – 1 tsp,
   Mustards seeds – 1/2tsp,
   Cumin seeds – 1/2 tsp,
   Red Chilli – 1,
   For Garnishing:,
   Coriander leaves.</t>
  </si>
  <si>
    <t>தக்காளி - 2 பழுத்தவை,
புதினா இலைகள் - ஒரு கைப்பிடி,
புளி - சிறிதளவு அல்லது 1/2 தேக்கரண்டி விழுது,
நெய்/எண்ணெய் - 1 தேக்கரண்டி,
சீரக விதைகள் - 1 தேக்கரண்டி,
முழு கருப்பு மிளகு சோளம் - 1 தேக்கரண்டி,
மஞ்சள் தூள் - 1/4 தேக்கரண்டி,
ருசிக்க உப்பு,
கறிவேப்பிலை - ஒரு தளிர்,
தாளிக்க:,
நெய் - 1 தேக்கரண்டி,
கடுகு விதைகள் - 1/2 தேக்கரண்டி,
சீரக விதைகள் - 1/2 தேக்கரண்டி,
சிவப்பு மிளகாய் - 1,
அலங்காரத்திற்கு:,
கொத்தமல்லி இலைகள்,</t>
  </si>
  <si>
    <t>Preparation:.
Dry grind or powder whole black peppercorns and cumin seeds slightly coarse. Keep  it aside.
Grind fresh mint, tomato (1 tomato and another 1/2 of a tomato, the other half, we will chop and add it to the rasam) and tamarind to a fine paste.
Heat a tsp of ghee or oil and saute the paste until the rawness of the paste goes.
Method:.
In a vessel, add a cup of water, turmeric powder, 1/2 of a tomato (chopped), pepper-cumin powder, salt, curry leaves and the sauteed mint + tamarind + tomato paste.
(If you are using a kadai or any pan, you do not have to saute the mint + tomato paste separately and add. You can saute it directly in the pan/kadai you are making rasam, then add water, turmeric powder, chopped tomato, pepper-cumin powder, salt etc).
Boil for 5-6 minutes on medium heat.
Add 1 1/2 cups of water. When froth starts forming on the surface, switch off the rasam. Do not let it boil.
Add finely chopped coriander leaves. You can also use the tender stems of the coriander.
Now we will season the rasam:.
Heat a tsp of ghee, add mustard seeds, cumin seeds and red chilli, when it splutters, pour it on top of the rasam.
Garnish with finely chopped coriander leaves. Enjoy it piping hot with rice.</t>
  </si>
  <si>
    <t>தயாரிப்பு முறைகள்:.
முழு கருப்பு மிளகு மற்றும் சீரகத்தை சிறிது கரடுமுரடாக அரைக்கவும் அல்லது பொடி செய்யவும். ஒதுக்கி வைக்கவும்.
புதிதாக அரைக்கவும் புதினா, தக்காளி (1 தக்காளி மற்றும் ஒரு தக்காளியில் 1/2 பங்கு, மீதி பாதி, நாங்கள் நறுக்கி ரசத்தில் சேர்ப்போம்) மற்றும் புளி நன்றாக விழுதாக அரைக்கவும்.
ஒரு தேக்கரண்டி நெய் அல்லது எண்ணெயைச் சூடாக்கி, பேஸ்டின் பச்சைத்தன்மை போகும் வரை வதக்கவும்.
செய்முறை:.
ஒரு பாத்திரத்தில், ஒரு கப் தண்ணீர், மஞ்சள் தூள், 1/2 பங்கு தக்காளி (நறுக்கியது), மிளகு-சீரகத் தூள், உப்பு, கறிவேப்பிலை மற்றும் வதக்கிய புதினா + புளி + தக்காளி விழுது சேர்க்கவும்.
(நீங்கள் ஒரு கடாயை அல்லது வேறு எந்த பாத்திரத்தையும் பயன்படுத்துகிறீர்கள் என்றால், புதினா + தக்காளி விழுது ஆகியவற்றைத் தனித்தனியாக வதக்கிச் சேர்க்க வேண்டியதில்லை. நீங்கள் ரசம் செய்யும் பாத்திரத்தில்/கடாயில் நேரடியாக வதக்கலாம், பின்னர் தண்ணீர், மஞ்சள் தூள், நறுக்கிய தக்காளி, மிளகு-சீரகத் தூள், உப்பு போன்றவற்றைச் சேர்க்கவும்).
மிதமான தீயில் 5-6 நிமிடங்கள் கொதிக்க வைக்கவும்.
1 1/2 கப் தண்ணீர் சேர்க்கவும். மேற்பரப்பில் நுரை உருவாகத் தொடங்கியதும், ரசத்தை அணைக்கவும். கொதிக்க விடாதீர்கள்.
இறுதியாக நறுக்கிய கொத்தமல்லி இலைகளைச் சேர்க்கவும். கொத்தமல்லியின் மென்மையான தண்டுகளையும் பயன்படுத்தலாம்.
இப்போது ரசத்தைத் தாளிக்கப் போகிறோம்
ஒரு தேக்கரண்டி நெய்யைச் சூடாக்கி, கடுகு, சீரகம், மிளகாய் சேர்த்து, அது வதங்கியதும், ரசத்தின் மேல் ஊற்றவும்.
பொடியாக நறுக்கிய கொத்தமல்லி இலைகளால் அலங்கரிக்கவும். சாதத்துடன் சூடாகச் சாப்பிடவும்</t>
  </si>
  <si>
    <t>https://www.archanaskitchen.com/images/archanaskitchen/1-Author/swathynandhini/PUDINA_RASAM__MINT_LEAVES_RASAM_1600.jpg</t>
  </si>
  <si>
    <t>https://youtu.be/HA9dTyb84Js</t>
  </si>
  <si>
    <t>Kandathippili Rasam</t>
  </si>
  <si>
    <t>கண்டதிப்பிலி ரசம்</t>
  </si>
  <si>
    <t xml:space="preserve"> Tamarind – a small marble sized ball,
   Turmeric powder -1/4 tsp,
   Hing – a pinch,
   Curry leaves – a sprig,
   Diluted Dal water – 1 cup (optional),
   Salt as needed,
   Dry roast and grind:,
   Kandanthippili – 4,
   Whole black pepper – 1 tsp,
   Tur dal – 1 tbsp,
   Cumin seeds/jeera 1 tsp.
   For the seasoning:,
   Ghee -1 tsp,
   Cumin seeds – 1/2 tsp,
   Mustard seeds – 1/2 tsp,
   Dry Red Chilli -1,
   Curry leaves -a sprig,
   For Garnishing:,
   Coriander leaves- finely chopped.</t>
  </si>
  <si>
    <t>புளி - ஒரு சிறிய பளிங்கு அளவு உருண்டை,
மஞ்சள் தூள் - 1/4 தேக்கரண்டி,
கீன் - ஒரு சிட்டிகை,
கறிவேப்பிலை - ஒரு துளிர்,
நீர்த்த பருப்பு தண்ணீர் - 1 கப் (விரும்பினால்),
தேவைக்கேற்ப உப்பு,
வறட்சியாக வறுத்து அரைக்கவும்:,
கண்டதிப்பிலி - 4,
முழு கருப்பு மிளகு - 1 தேக்கரண்டி,
துத்தம் பருப்பு - 1 தேக்கரண்டி,
சீரகம்/ஜீரா 1 தேக்கரண்டி,
தாளிக்க:,
நெய் - 1 தேக்கரண்டி,
சீரகம் - 1/2 தேக்கரண்டி,
கடுகு - 1/2 தேக்கரண்டி,
உலர்ந்த சிவப்பு மிளகாய் - 1,
கறிவேப்பிலை - ஒரு துளிர்,
அலங்கரிக்க:,
கொத்தமல்லி இலைகள் - நன்றாக நறுக்கியது</t>
  </si>
  <si>
    <t>Preparation:.
Dry roast kandathippili, pepper and tur dal. on medium flame. When you get a nice aroma, turn off the heat and add cumin seeds. Fry the cumin seeds in the heat of the pan. Once it cools, powder it (not too fine) and keep it aside. This is the rasam powder for this rasam.
Soak tamarind in hot water for 15 minutes and extract its juice. Discard the pulp. If using tamarind paste, mix 1/2 tsp tamarind paste with a cup of water.
Dal water is not necessary but it enhances the taste of the rasam. So if you cook dal, you can keep 1 tbsp of cooked dal aside for this rasam and dilute it.
Method:.
In a pan, add a cup of tamarind extract, turmeric powder, hing, salt , ground powder and curry leaves.
Boil on low flame until it reduces a little and the raw smell of the tamarind goes.
Add diluted dal water and a cup of plain water. Once forth starts forming on the surface, switch off the rasam. If you do not have dal water, add 2 cups of plain water.
Kandathippili Rasam for cold, cough, fever
Heat a tsp of oil, add cumin seeds and mustard seeds, when it splutters, add red chilli and curry leaves
and pour it over the rasam.
Serve this delicious and flavorful rasam piping hot with rice.
Note -Kandathippili  is available in all nattu marundhu kadai or shops which sell siddha medicines.</t>
  </si>
  <si>
    <t>கண்டதிப்பிலி, மிளகு மற்றும் துத்தநாகத்தை மிதமான தீயில் வறுக்கவும். நல்ல மணம் வந்ததும், தீயை அணைத்து சீரகத்தைச் சேர்க்கவும். சீரகத்தை வாணலியின் தீயில் வறுக்கவும். ஆறியதும், (நன்றாக அல்ல) பொடி செய்து தனியாக வைக்கவும். இதுதான் இந்த ரசத்திற்கான ரசம் பொடி.
புளியை 15 நிமிடங்கள் வெந்நீரில் ஊறவைத்து அதன் சாற்றை எடுக்கவும். கூழை அகற்றவும். புளி விழுதைப் பயன்படுத்தினால், 1/2 தேக்கரண்டி புளி விழுதை ஒரு கப் தண்ணீரில் கலக்கவும்.
பருப்பு தண்ணீர் தேவையில்லை, ஆனால் அது ரசத்தின் சுவையை அதிகரிக்கும். எனவே நீங்கள் பருப்பை சமைத்தால், இந்த ரசத்திற்கு 1 தேக்கரண்டி சமைத்த பருப்பை ஒதுக்கி வைத்து நீர்த்துப்போகச் செய்யலாம்.
செய்முறை:.
ஒரு கடாயில், ஒரு கப் புளி சாறு, மஞ்சள் தூள், பெருங்காயம், உப்பு, அரைத்த பொடி மற்றும் கறிவேப்பிலை சேர்க்கவும்.
குறைந்த தீயில் அது குறைந்து புளியின் பச்சை வாசனை போகும் வரை கொதிக்க வைக்கவும்.
நீர்த்த பருப்பு தண்ணீர் மற்றும் ஒரு கப் வெற்று தண்ணீர் சேர்க்கவும். வெளியே வந்ததும், ரசத்தை அணைக்கவும். உங்களிடம் பருப்பு தண்ணீர் இல்லையென்றால், 2 கப் வெற்று தண்ணீர் சேர்க்கவும்.
சளி, இருமல், காய்ச்சலுக்கு கண்டதிப்பிலி ரசம்
ஒரு தேக்கரண்டி எண்ணெயை சூடாக்கி, சீரகம் மற்றும் கடுகு சேர்த்து, அது வெடித்ததும், மிளகாய் மற்றும் கறிவேப்பிலை சேர்த்து ரசத்தின் மேல் ஊற்றவும்.
இந்த சுவையான மற்றும் சுவையான ரசம் சூடான சாதத்துடன் பரிமாறவும்.
குறிப்பு - கண்டதிப்பிலி அனைத்து நாட்டு மருந்து கடைகளிலும் அல்லது சித்த மருந்துகளை விற்கும் கடைகளிலும் கிடைக்கும்</t>
  </si>
  <si>
    <t>https://cookandsee.in/wp-content/uploads/2020/10/thumbnail-5-750x563.jpg</t>
  </si>
  <si>
    <t>Kollu Rasam</t>
  </si>
  <si>
    <t>கொள்ளு ரசம்</t>
  </si>
  <si>
    <t>Horse gram/Kollu – 1/4 cup,
   Tamarind – small gooseberry sized ball,
   Turmeric powder -1/4 tsp,
   Tomato -2 medium,
   Curry leaves -2 sprigs,
   Salt needed.,
To be ground coarsely:,
   Whole black pepper/milagu -1 tsp,
   Cumin seeds/ jeera seeds -1 tsp,
   Garlic Cloves – 2-3.,
   For the seasoning:,
   Ghee -1 tsp,
   Mustard seeds- 3/4 tsp,
   Red Chilli -1,
   Curry leaves -few.,
For Garnishing:,
   Coriander leaves finely chopped -2 tbsp.</t>
  </si>
  <si>
    <t>கொள்ளு/கொள்ளு – 1/4 கப்,
புளி – சிறிய நெல்லிக்காய் அளவு உருண்டை,
மஞ்சள் தூள் - 1/4 தேக்கரண்டி,
தக்காளி - 2 நடுத்தர அளவு,
கறிவேப்பிலை - 2 கிளைகள்,
உப்பு தேவை,
கரகரப்பாக அரைக்க:,
முழு கருப்பு மிளகு/மிளகு - 1 தேக்கரண்டி,
சீரகம்/ சீரகம் - 1 தேக்கரண்டி,
பூண்டு பல் – 2-3,
தாளிக்க:,
நெய் - 1 தேக்கரண்டி,
கடுகு - 3/4 தேக்கரண்டி,
சிவப்பு மிளகாய் - 1,
கறிவேப்பிலை - சில,
அலங்கரிக்க:,
கொத்தமல்லி இலைகள் நன்றாக நறுக்கியது - 2 தேக்கரண்டி,</t>
  </si>
  <si>
    <t>Preparation:.
Soak tamarind in a cup of hot water for 15-20 minutes. Extract the juice and keep it aside.
Grind pepper, cumin and garlic coarsely or you can crush it using a mortar and pestle.
Wash and soak horse gram overnight or for 5-6 hours. Pressure cook with 1 cup of water for 3 whistles. Strain the cooked kollu/horse gram.
Take 1 tbsp of cooked horse gram and grind it to a smooth paste. Mix it with the strained liquid. We are going to use this liquid (water in which kollu was cooked) for making rasam. Keep this aside. You can use the rest of the kollu for making sundal.
Take a vessel, add tamarind extract, turmeric powder, chopped tomatoes, curry leaves, ground powder and salt needed.
Boil on medium flame until the raw smell of the tamarind goes.
Then add the liquid we had kept aside along with needed water (around 1/4-1/2 cup of water) and simmer the rasam.
When froth starts forming at the surface, switch off the rasam. (do not boil the rasam as it will loose its flavor)
Heat a tsp of ghee, add mustard seeds, when it splutters, add red chilli, curry leaves and pour it over the rasam.
Garnish with finely chopped coriander leaves and serve piping hot with rice.</t>
  </si>
  <si>
    <t>புளியை ஒரு கப் வெந்நீரில் 15-20 நிமிடங்கள் ஊற வைக்கவும். சாற்றை பிரித்தெடுத்து ஒதுக்கி வைக்கவும்.
மிளகு, சீரகம் மற்றும் பூண்டை கரகரப்பாக அரைக்கவும் அல்லது ஒரு சாந்து மற்றும் பூச்சியைப் பயன்படுத்தி நசுக்கலாம்.
கொள்ளுவை கழுவி இரவு முழுவதும் அல்லது 5-6 மணி நேரம் ஊற வைக்கவும். 1 கப் தண்ணீரில் 3 விசில் வரும் வரை பிரஷர் குக் செய்யவும். சமைத்த கொள்ளு/குதிரையை வடிகட்டவும்.
1 டேபிள் ஸ்பூன் சமைத்த கொள்ளுவை எடுத்து மென்மையான பேஸ்டாக அரைக்கவும். வடிகட்டிய திரவத்துடன் கலக்கவும். இந்த திரவத்தை (கொள்ளு சமைத்த தண்ணீர்) ரசம் செய்யப் பயன்படுத்தப் போகிறோம். இதை ஒதுக்கி வைக்கவும். மீதமுள்ள கொள்ளுவை சுண்டல் செய்ய பயன்படுத்தலாம்.
ஒரு பாத்திரத்தை எடுத்து, புளி சாறு, மஞ்சள் தூள், நறுக்கிய தக்காளி, கறிவேப்பிலை, அரைத்த பொடி மற்றும் தேவையான உப்பு சேர்க்கவும்.
புளியின் பச்சை வாசனை போகும் வரை மிதமான தீயில் கொதிக்க வைக்கவும்.
பின்னர் நாம் ஒதுக்கி வைத்திருந்த திரவத்தை தேவையான தண்ணீருடன் (சுமார் 1/4-1/2 கப் தண்ணீர்) சேர்த்து ரசத்தை கொதிக்க வைக்கவும்.
மேற்பரப்பில் நுரை வர ஆரம்பித்ததும், ரசத்தை அணைக்கவும். (ரசத்தை கொதிக்க விடாதீர்கள், ஏனெனில் அது அதன் சுவையை இழக்கும்)
ஒரு டீஸ்பூன் நெய்யை சூடாக்கி, கடுகு சேர்த்து, அது சிதறியதும், சிவப்பு மிளகாய், கறிவேப்பிலை சேர்த்து ரசத்தின் மேல் ஊற்றவும்.
பொடியாக நறுக்கிய கொத்தமல்லி இலைகளால் அலங்கரித்து, சாதத்துடன் சூடாகப் பரிமாறவும்.</t>
  </si>
  <si>
    <t>https://ca.pinterest.com/pin/kollu-rasam-recipe--360569513914527273/</t>
  </si>
  <si>
    <t>https://youtu.be/oapUmwku3rE</t>
  </si>
  <si>
    <t>Easy Rasam with Amchur powder</t>
  </si>
  <si>
    <t>அம்சூர் பொடியுடன் எளிதான ரசம்</t>
  </si>
  <si>
    <t>Tur Dal -1/4 cup,
   Dried mango powder (Amchur powder) -2 tsp,
   Tomatoes -2,
   Sambar powder or rasam powder -1 tsp,
   Turmeric powder -1/4 tsp,
   Hing -1/4 tsp,
   Curry leaves -few,
   Salt needed,
For the seasoning:,
   Ghee -1 tsp,
   Mustard seeds -1 tsp,
   Cumin seeds – 1/2 tsp,
   Red chilli -1,
   Curry leaves -few,
For garnishing:,
   Coriander leaves -1 tbsp finely chopped.</t>
  </si>
  <si>
    <t>துவரம் பருப்பு - 1/4 கப்,
காய்ந்த மாங்காய் பொடி (ஆம்சூர் பொடி) - 2 தேக்கரண்டி,
தக்காளி - 2,
சாம்பார் பொடி அல்லது ரசம் பொடி - 1 தேக்கரண்டி,
மஞ்சள் தூள் - 1/4 தேக்கரண்டி,
பெருங்காயம் - 1/4 தேக்கரண்டி,
கறிவேப்பிலை - சில,
உப்பு தேவை,
தாளிக்க:,
நெய் - 1 தேக்கரண்டி,
கடுகு - 1 தேக்கரண்டி,
சீரகம் - 1/2 தேக்கரண்டி,
சிவப்பு மிளகாய் - 1,
கறிவேப்பிலை - சில,
அலங்காரத்திற்கு:,
கொத்தமல்லி இலை - 1 தேக்கரண்டி நன்றாக நறுக்கியது,</t>
  </si>
  <si>
    <t>Preparation:.
Soak tur dal for 15-20 minutes in about 3/4 cup of hot water. Pressure cook for 3 whistles or until soft. Mash it well and keep it aside. Soaking dal is optional but I follow it as it saves a lot of time and energy. The dal also gets cooked well.
Method:.
Take a cup of water and mix amchur powder with it. Add chopped tomatoes, sambar powder, turmeric powder, hing, curry leaves and salt needed.
Cook on low or medium flame until it reduces to half.
Add dal along with 1 1/2 cup of water.
When froth starts forming on the surface as in the picture below, turn off the heat. Whatever rasam you are preparing, keep in mind that you should never boil rasam as it will loose its flavor.
Heat a tsp of ghee, add mustard seeds and cumin seeds, when it splutters, add red chilli, curry leaves and pour it over the rasam.
Garnish with finely chopped coriander leaves and enjoy it with steamed rice and any vegetable curry. You can also have it as a soup.</t>
  </si>
  <si>
    <t>துவரம் பருப்பை சுமார் 3/4 கப் சூடான நீரில் 15-20 நிமிடங்கள் ஊற வைக்கவும். 3 விசில் அல்லது மென்மையாகும் வரை அழுத்தி சமைக்கவும். நன்றாக மசித்து ஒதுக்கி வைக்கவும். பருப்பை ஊறவைப்பது விருப்பமானது, ஆனால் நான் அதைப் பின்பற்றுகிறேன், ஏனெனில் அது நிறைய நேரத்தையும் சக்தியையும் மிச்சப்படுத்துகிறது. பருப்பும் நன்றாக சமைக்கப்படும்.
செய்முறை
ஒரு கப் தண்ணீரை எடுத்து அதனுடன் ஆம்சூர் பொடியை கலக்கவும். நறுக்கிய தக்காளி, சாம்பார் பொடி, மஞ்சள் தூள், பெருங்காயம், கறிவேப்பிலை மற்றும் தேவையான உப்பு சேர்க்கவும்.
குறைந்த அல்லது நடுத்தர தீயில் பாதியாக குறையும் வரை சமைக்கவும்.
பருப்பை 1 1/2 கப் தண்ணீருடன் சேர்க்கவும்.
கீழே உள்ள படத்தில் உள்ளது போல் மேற்பரப்பில் நுரை வர ஆரம்பித்ததும், தீயை அணைக்கவும். நீங்கள் எந்த ரசம் தயாரித்தாலும், அதன் சுவையை இழக்கும் என்பதால், ஒருபோதும் ரசம் வேகவைக்கக்கூடாது என்பதை நினைவில் கொள்ளுங்கள்.
ஒரு தேக்கரண்டி நெய்யை சூடாக்கி, கடுகு மற்றும் சீரகத்தை சேர்த்து, அது சிதறியதும், சிவப்பு மிளகாய், கறிவேப்பிலை சேர்த்து ரசம் மீது ஊற்றவும்.
பொடியாக நறுக்கிய கொத்தமல்லி இலைகளால் அலங்கரித்து, வேகவைத்த சாதம் மற்றும் எந்த காய்கறி கறியுடன் சேர்த்து மகிழுங்கள். நீங்கள் அதை சூப்பாகவும் சாப்பிடலாம்.</t>
  </si>
  <si>
    <t>https://www.ndtv.com/cooks/images/amchoor%20ki%20launji-620.jpg</t>
  </si>
  <si>
    <t>Garlic Rasam</t>
  </si>
  <si>
    <t>பூண்டு ரசம்</t>
  </si>
  <si>
    <t xml:space="preserve">Tamarind- small gooseberry size ball (10 grams),
   Garlic -5-6 cloves peeled and 1 crushed,
   Tomato -1-2 chopped (medium size),
   Salt as required.,
   For grinding:,
   Whole black pepper -1 tsp,
   Cumin seeds -1 tsp,
   Tur dal -1 tsp,
   Garlic -1 clove (optional).,
   For the seasoning:,
   Ghee -1 tsp,
   Mustard -1/2 tsp,
   Cumin/jeera seeds – 1/2 tsp,
   Curry leaves – few.,
   For Garnishing:,
   Coriander leaves – finely chopped.
</t>
  </si>
  <si>
    <t>புளி - சிறிய நெல்லிக்காய் அளவு (10 கிராம்),
பூண்டு -5-6 பல் உரிக்கப்பட்டு 1 நசுக்கப்பட்டது,
தக்காளி -1-2 நறுக்கியது (நடுத்தர அளவு),
தேவைக்கேற்ப உப்பு.
அரைப்பதற்கு:,
முழு கருப்பு மிளகு -1 தேக்கரண்டி,
சீரக விதைகள் -1 தேக்கரண்டி,
துர் பருப்பு -1 தேக்கரண்டி,
பூண்டு -1 பல் (விருப்பத்தேர்வு),
தாவரத்திற்கு:,
நெய் -1 தேக்கரண்டி,
கடுகு -1/2 தேக்கரண்டி,
சீரகம்/ஜீரா விதைகள் - 1/2 தேக்கரண்டி,
கறிவேப்பிலை - சிறிதளவு,
அலங்கரிக்க:,
கொத்தமல்லி இலைகள் - இறுதியாக நறுக்கியது.</t>
  </si>
  <si>
    <t>Preparation:.
Soak tamarind in hot water for 15-20 minutes. Extract 1 cup of tamarind juice and discard the pulp.
Dry grind whole black pepper (milagu), cumin seeds, tur dal and 1 garlic clove (added just to give more flavor to the rasam) for a few seconds. It should be slightly coarse.
Method:.
Take tamarind extract (about 1 cup), add chopped tomatoes, salt, curry leaves, whole peeled garlic,1 crushed garlic and the coarsely ground powder.
Boil over low flame until it reduces a little and the raw smell of the tamarind goes.
Then add 1 1/2-1 3/4 cup of water. When you see froth forming on the surface, switch off the gas. Do not boil the rasam as it will not taste good.
Heat a tsp of ghee, add mustard seeds, jeera seeds, when it sizzles, add curry leaves and pour it over the rasam.
Garnish with finely chopped coriander leaves.
Serve hot with hot steamed rice or have it as a soup. This rasam is very comforting, has medicinal properties and gives relief from common cold.
Note– I have used old tamarind. Naatu poondu gives more flavor to the rasam, though you can use china poondu also.</t>
  </si>
  <si>
    <t>புளியை 15-20 நிமிடங்கள் சூடான நீரில் ஊற வைக்கவும். 1 கப் புளி சாற்றை எடுத்து கூழ் நீக்கவும்.
முழு கருப்பு மிளகு (மிலாகு), சீரகம், துர் பருப்பு மற்றும் 1 பூண்டு பல் (ரசத்திற்கு அதிக சுவை கொடுக்க சேர்க்கப்பட்டது) ஆகியவற்றை சில நொடிகள் உலர வைக்கவும். அது சற்று கரடுமுரடாக இருக்க வேண்டும்.
முறை
புளி சாறு (சுமார் 1 கப்) எடுத்து, நறுக்கிய தக்காளி, உப்பு, கறிவேப்பிலை, முழுதாக உரிக்கப்பட்ட பூண்டு, 1 நசுக்கிய பூண்டு மற்றும் கரடுமுரடான அரைத்த பொடியைச் சேர்க்கவும்.
குறைந்த தீயில் சிறிது சிறிதாக குறைந்து புளியின் பச்சை வாசனை போகும் வரை கொதிக்க வைக்கவும்.
பின்னர் 1 1/2-1 3/4 கப் தண்ணீர் சேர்க்கவும். மேற்பரப்பில் நுரை வருவதைக் கண்டால், வாயுவை அணைக்கவும். ரசம் நன்றாக சுவைக்காது என்பதால் கொதிக்க வேண்டாம்.
ஒரு தேக்கரண்டி நெய்யை சூடாக்கி, கடுகு, சீரகம் சேர்த்து, அது கொதித்ததும், கறிவேப்பிலை சேர்த்து ரசம் மீது ஊற்றவும்.
பொடியாக நறுக்கிய கொத்தமல்லி இலைகளால் அலங்கரிக்கவும்.
சூடான வேகவைத்த சாதத்துடன் சூடாக பரிமாறவும் அல்லது சூப்பாகவும் சாப்பிடவும். இந்த ரசம் மிகவும் ஆறுதலளிக்கிறது, மருத்துவ குணங்கள் கொண்டது மற்றும் ஜலதோஷத்திலிருந்து நிவாரணம் அளிக்கிறது.
குறிப்பு– நான் பழைய புளியைப் பயன்படுத்தினேன். நாட்டு பூண்டு ரசத்திற்கு அதிக சுவையைத் தருகிறது, இருப்பினும் நீங்கள் சீனா பூண்டுவையும் பயன்படுத்தலாம்.</t>
  </si>
  <si>
    <t>https://www.vegrecipesofindia.com/wp-content/uploads/2015/08/garlic-rasam-recipe.jpg</t>
  </si>
  <si>
    <t>Veppam Poo Rasam</t>
  </si>
  <si>
    <t>வேப்பம் பூ ரசம்</t>
  </si>
  <si>
    <t xml:space="preserve"> Tamarind – small gooseberry sized ball,
   Dried neem flowers -2 tsp,
   Red chillies – 4 (break the chillies into 2 pieces),
   Tur dal – 1 tsp,
   Hing – a pinch,
   Curry leaves – a sprig,
   Turmeric powder -1/4 tsp,
   Jaggery powder -1/2 tsp,
   Ghee or oil for frying neem flowers – 1 tsp,
   Salt needed,
   For the seasoning:,
   Ghee – 1 tsp,
   Mustard seeds – 3/4 tsp,
   Curry leaves – a sprig,
   For garnishing:,
    Finely chopped coriander leaves.</t>
  </si>
  <si>
    <t>புளி - சிறிய நெல்லிக்காய் அளவு உருண்டை,
காய்ந்த வேப்பம் பூக்கள் -2 தேக்கரண்டி,
சிவப்பு மிளகாய் - 4 (மிளகாயை 2 துண்டுகளாக உடைக்கவும்),
துவரம் பருப்பு - 1 தேக்கரண்டி,
ஹிங் - ஒரு சிட்டிகை,
கறிவேப்பிலை - ஒரு தளிர்,
மஞ்சள் தூள் -1/4 தேக்கரண்டி,
வெல்லம் தூள் -1/2 தேக்கரண்டி,
வேப்பம் பூக்களை வறுக்க நெய் அல்லது எண்ணெய் - 1 தேக்கரண்டி,
உப்பு தேவை,
தாளிக்க:,
நெய் - 1 தேக்கரண்டி,
கடுகு - 3/4 தேக்கரண்டி,
கறிவேப்பிலை - ஒரு தளிர்,
அலங்காரத்திற்கு:,
 நறுக்கிய கொத்தமல்லி இலைகள்,</t>
  </si>
  <si>
    <t>Preparation:.
Soak tamarind in 1 1/2 cup warm water and extract it juice. Discard the pulp.
Method:.
Take tamarind water in a vessel, add tur dal (uncooked), hing, turmeric powder, salt and curry leaves.
Heat 1/4 tsp of oil and fry the red chillies and add to the above.
Now boil the tamarind water with all the ingredients on low flame until the raw flavor of the tamarind goes.
Then add 1 3/4 – 2 cups of water or thin dal water, jaggery and heat until froth starts forming at the top. Do not boil the rasam. Switch off the flame.
Heat 1 tsp of ghee, add mustard seeds, when it splutters, add curry leaves and pour it over the rasam.
Heat another tsp of ghee and fry the neem flower on low flame until they turn reddish brown. (Do not burn the flowers). Now add the fried neem flowers to the rasam.
Garnish with finely chopped coriander leaves. Serve hot with steamed rice or just have it as a medicinal soup.</t>
  </si>
  <si>
    <t>புளியை 1 1/2 கப் வெதுவெதுப்பான நீரில் ஊறவைத்து சாறு எடுக்கவும். கூழ் நீக்கவும்.
முறை:,
ஒரு பாத்திரத்தில் புளி தண்ணீரை எடுத்து, துரும்பு பருப்பை (வேகாதது), ஹிங், மஞ்சள் தூள், உப்பு மற்றும் கறிவேப்பிலை சேர்க்கவும்.
1/4 தேக்கரண்டி எண்ணெயை சூடாக்கி, சிவப்பு மிளகாயை வதக்கி, மேலே உள்ளவற்றுடன் சேர்க்கவும்.
இப்போது புளி தண்ணீரை அனைத்து பொருட்களுடனும் சேர்த்து குறைந்த தீயில் புளியின் பச்சை வாசனை போகும் வரை கொதிக்க வைக்கவும்.
பின்னர் 1 3/4 – 2 கப் தண்ணீர் அல்லது மெல்லிய துவரம் பருப்பு தண்ணீர், வெல்லம் சேர்த்து மேலே நுரை வரும் வரை சூடாக்கவும். ரசத்தை கொதிக்க விடாதீர்கள். தீயை அணைக்கவும்.
1 தேக்கரண்டி நெய்யை சூடாக்கி, கடுகு சேர்த்து, அது சிதறியதும், கறிவேப்பிலையைச் சேர்த்து, ரசத்தின் மேல் ஊற்றவும்.
இன்னொரு தேக்கரண்டி நெய்யை சூடாக்கி, வேப்பம் பூவை குறைந்த தீயில் சிவப்பு நிறமாக மாறும் வரை வறுக்கவும். (பூக்களை எரிக்க வேண்டாம்). இப்போது வறுத்த வேப்பம் பூக்களை ரசத்துடன் சேர்க்கவும்.
இறுதியாக நறுக்கிய கொத்தமல்லி இலைகளால் அலங்கரிக்கவும். வேகவைத்த சாதத்துடன் சூடாக பரிமாறவும் அல்லது மருத்துவ சூப்பாகவும் சாப்பிடவும்.</t>
  </si>
  <si>
    <t>https://www.pinterest.com/pin/veppam-poo-rasam-neem-flower-rasam-recipe--250935010463999025/</t>
  </si>
  <si>
    <t xml:space="preserve"> உடனடி தக்காளி ரசம்</t>
  </si>
  <si>
    <t>Ripe tomatoes -2-3,
   Whole black pepper – 1 tsp,
   Cumin seeds/jeera – 1 tsp,
   Curry leaves – few.,
   For the seasoning:,
   Ghee – 1 tsp,
   Mustard seeds -1 tsp,
   Curry leaves – few,
   For garnishing:,
   Coriander leaves – finely chopped.</t>
  </si>
  <si>
    <t>பழுத்த தக்காளி - 2-3,
முழு கருப்பு மிளகு - 1 தேக்கரண்டி,
சீரகம் / ஜீரா - 1 தேக்கரண்டி,
கறிவேப்பிலை - சிறிது.,
தாளிக்க:,
நெய் - 1 தேக்கரண்டி,
கடுகு - 1 தேக்கரண்டி,
கறிவேப்பிலை - சிறிது.,
அலங்காரத்திற்கு:,
கொத்தமல்லி இலை - நன்றாக நறுக்கியது,</t>
  </si>
  <si>
    <t>Preparation:. 
Dry grind pepper and jeera coarsely and keep it aside.This is the rasam powder for this recipe.
Method :.
Boil tomatoes in water for 3-4 minutes (just enough water to cover the tomatoes). Switch off the flame and keep it closed for 5 minutes.
After 5 minutes, remove the skin and mash the tomatoes well.
Add the ground rasam powder, few curry leaves, salt needed and let it boil for about 5 minutes.
How to prepare Rasam-Quick rasam 
Then add 1 1/2 cup of water and switch off the flame once froth starts forming at the top.(see pic)
Heat a tsp of ghee, add mustard seeds, when it splutters, add curry leaves and pour it over the rasam.
Garnish with finely chopped coriander leaves.
Note:.
You can powder equal quantities of black pepper and jeera/cumin seeds in advance and store it in an airtight container. Use 1 tbsp (flat) of that powder to prepare this rasam.
You can add 2-3 crushed garlic for more flavor along with the rasam powder if preferred.
Always boil rasam on low flame.
Switch off, once rasam becomes frothy at the top. Do not boil after that as it will not taste good.
Adding curry leaves and coriander leaves makes it more flavorful.
Do not avoid seasoning.</t>
  </si>
  <si>
    <t>மிளகு மற்றும் ஜீராவை உலர்த்தி அரைத்து ஒதுக்கி வைக்கவும். இந்த செய்முறைக்கான ரசம் பொடி இது.
முறை:,
தக்காளியை 3-4 நிமிடங்கள் தண்ணீரில் கொதிக்க வைக்கவும் (தக்காளியை மூடும் அளவுக்கு தண்ணீர்). தீயை அணைத்து 5 நிமிடங்கள் மூடி வைக்கவும்.
5 நிமிடங்களுக்குப் பிறகு, தோலை நீக்கி தக்காளியை நன்றாக மசிக்கவும்.
அரைத்த ரசம் பொடி, சிறிது கறிவேப்பிலை, தேவையான அளவு உப்பு சேர்த்து சுமார் 5 நிமிடங்கள் கொதிக்க விடவும்.
ரசம் - விரைவு ரசம் தயாரிப்பது எப்படி
பின்னர் 1 1/2 கப் தண்ணீர் சேர்த்து, மேலே நுரை வர ஆரம்பித்ததும் அடுப்பை அணைக்கவும். (படத்தைப் பார்க்கவும்)
ஒரு தேக்கரண்டி நெய்யை சூடாக்கி, கடுகு சேர்த்து, அது சிதறியதும், கறிவேப்பிலை சேர்த்து ரசம் மீது ஊற்றவும்.
இறுதியாக நறுக்கிய கொத்தமல்லி இலைகளால் அலங்கரிக்கவும்.
குறிப்பு
முன்கூட்டியே சம அளவு கருப்பு மிளகு மற்றும் சீரகம் ஆகியவற்றைப் பொடி செய்து காற்று புகாத கொள்கலனில் சேமிக்கலாம். இந்த ரசம் தயாரிக்க அந்த பொடியில் 1 தேக்கரண்டி (தட்டையான) பயன்படுத்தவும்.
விரும்பினால், அதிக சுவைக்காக 2-3 நொறுக்கப்பட்ட பூண்டை ரசம் பொடியுடன் சேர்த்து சேர்க்கலாம்.
எப்போதும் குறைந்த தீயில் ரசம் கொதிக்க வைக்கவும்.
ரசம் மேலே நுரை வந்தவுடன் அணைக்கவும். அதன் பிறகு கொதிக்க வேண்டாம், ஏனெனில் அது நன்றாக இருக்காது.
கறிவேப்பிலை மற்றும் கொத்தமல்லி இலைகளைச் சேர்ப்பது மிகவும் சுவையாக இருக்கும்.
தாளிப்பதைத் தவிர்க்க வேண்டாம்.</t>
  </si>
  <si>
    <t>https://img-global.cpcdn.com/recipes/fbf909e906d16751/680x964cq70/instant-tomato-rasam-recipe-main-photo.webp</t>
  </si>
  <si>
    <t>2 Tomatoes medium,
Tamarind small gooseberry sized ball,
1/4 tsp Turmeric powder,
1/2 tsp Sambar Powder,
Curry leaves a sprig,
Salt needed.
For Rasam Paste:,
1 tsp Whole black pepper,
1 tsp Cumin seeds (jeera),
2 Garlic cloves.,
For the seasoning:,
1 tsp Ghee,
1 tsp Mustard seeds,
1 Red Chilli,
Curry leaves a sprig,
For Garnishing:,
Coriander leaves finely chopped.</t>
  </si>
  <si>
    <t>2 தக்காளி நடுத்தர அளவு,
புளி சிறிய நெல்லிக்காய் அளவு உருண்டை,
1/4 தேக்கரண்டி மஞ்சள் தூள்,
1/2 தேக்கரண்டி சாம்பார் பொடி,
கறிவேப்பிலை ஒரு துளிர்,
உப்பு தேவை.,
ரசம் பேஸ்டுக்கு:,
1 தேக்கரண்டி முழு கருப்பு மிளகு,
1 தேக்கரண்டி சீரகம் (ஜீரா),
2 பூண்டு பல்.,
தாளிக்க:,
1 தேக்கரண்டி நெய்,
1 தேக்கரண்டி கடுகு,
1 சிவப்பு மிளகாய்,
கறிவேப்பிலை ஒரு துளிர்.
அலங்கரிக்க:,
கொத்தமல்லி இலைகளை நன்றாக நறுக்கவும்,</t>
  </si>
  <si>
    <t>Soak tamarind in a cup of warm water and extract its juice.
Grind cumin seeds, pepper and garlic for a few seconds in a mixie or you can just pound it using mortar and pestle.
In a vessel, add a cup of tamarind extract, add chopped tomatoes, sambar powder, turmeric powder, crushed pepper + cumin + garlic mix, salt needed and curry leaves.
Boil on medium low heat.
Once it starts boiling, keep the flame on low and let is simmer for 10 minutes.
Now add 1 3/4 cup of water, boil on medium flames until froth starts forming at the top.
Once froth starts forming on the top, turn off the heat.
Season and garnish with finely chopped coriander leaves.
Serve hot with steamed rice and any vegetable curry or kootu of your choice.
Alternatively, you can have it as a soup.</t>
  </si>
  <si>
    <t>புளியை ஒரு கப் வெதுவெதுப்பான நீரில் ஊறவைத்து அதன் சாற்றை எடுக்கவும்.
சீரகம், மிளகு மற்றும் பூண்டை மிக்ஸியில் சில நொடிகள் அரைக்கவும் அல்லது நீங்கள் அதை சாந்து மற்றும் பூச்சியைப் பயன்படுத்தி அரைக்கலாம்.
ஒரு பாத்திரத்தில், ஒரு கப் புளி சாறு சேர்த்து, நறுக்கிய தக்காளி, சாம்பார் பொடி, மஞ்சள் தூள், நொறுக்கப்பட்ட மிளகு + சீரகம் + பூண்டு கலவை, தேவையான உப்பு மற்றும் கறிவேப்பிலை சேர்க்கவும்.
மிதமான தீயில் கொதிக்க வைக்கவும்.
கொதிக்க ஆரம்பித்ததும், தீயை குறைவாக வைத்து 10 நிமிடங்கள் கொதிக்க விடவும்.
இப்போது 1 3/4 கப் தண்ணீரைச் சேர்த்து, மேலே நுரை உருவாகத் தொடங்கும் வரை மிதமான தீயில் கொதிக்க வைக்கவும்.
மேலே நுரை உருவாகத் தொடங்கியதும், அடுப்பை அணைக்கவும்.
இறுதியாக நறுக்கிய கொத்தமல்லி இலைகளால் அலங்கரிக்கவும்.
வேகவைத்த சாதம் மற்றும் உங்களுக்கு விருப்பமான எந்த காய்கறி கறி அல்லது கூத்தூளுடன் சூடாகப் பரிமாறவும்.
மாற்றாக, நீங்கள் அதை ஒரு சூப்பாகவும் சாப்பிடலாம்</t>
  </si>
  <si>
    <t>https://images.saymedia-content.com/.image/c_limit%2Ccs_srgb%2Cq_auto:eco%2Cw_700/MTczODI3MTUyMjgwODIyOTE3/easy-pepper-rasam-recipe.webp</t>
  </si>
  <si>
    <t>https://youtu.be/jUn_yWCoRUw</t>
  </si>
  <si>
    <t>Tomato Rasam</t>
  </si>
  <si>
    <t>தக்காளி ரசம்</t>
  </si>
  <si>
    <t xml:space="preserve"> Tomatoes (ripe ones)-2-3,
   Tur dal – 1/4 cup,
   Tamarind – small gooseberry sized ball,
   Turmeric powder – a pinch,
   Rasam powder – 1 1/2 tsp (available ready made also).
   For the seasoning:,
   Ghee -2 tsp,
   Mustard -1/2 tsp,
   Cumin seeds /Jeera-3/4 tsp,
   Red chilli – 1,
   Hing – a generous pinch,
   Green chilli -1 slitted,
   Garlic -2 cloves finely chopped (optional),
   Ginger – 1 inch piece finely chopped,
   Curry leaves- few.,
   For Garnishing:,
   Coriander leaves.
</t>
  </si>
  <si>
    <t>பழுத்த தக்காளி - 2-3,
துர் பருப்பு - 1/4 கப்,
புளி - சிறிய நெல்லிக்காய் அளவு உருண்டை,
மஞ்சள் தூள் - ஒரு சிட்டிகை,
ரசம் தூள் - 1 1/2 தேக்கரண்டி (தயார் செய்யப்பட்டதாகவும் கிடைக்கும்).
தாளிக்க:,
நெய் - 2 தேக்கரண்டி,
கடுகு - 1/2 தேக்கரண்டி,
சீரகம் விதைகள் /ஜீரா - 3/4 தேக்கரண்டி,
சிவப்பு மிளகாய் - 1,
கீன் - ஒரு சிட்டிகை,
பச்சை மிளகாய் - 1 கீறி,
பூண்டு - 2 பல் நன்றாக நறுக்கியது (விரும்பினால்),
இஞ்சி - 1 அங்குல துண்டு நன்றாக நறுக்கியது,
கறிவேப்பிலை - சிறிதளவு.,
அலங்கரிக்க:,
கொத்தமல்லி இலைகள்,</t>
  </si>
  <si>
    <t>Preparation:.
Soak dal for 15 minutes (to reduce cooking time) and pressure cook for 3 whistles.Mash it well and keep it aside. Do not add too much water while cooking dal.
Soak tamarind in warm water and extract its juice (1 cup). Throw the pulp.
Method:.
Heat 2 tsp of ghee, add mustard seeds, when it splutters, add jeera seeds, red chilli (break it), hing, green chilli, garlic, ginger, curry leaves and tomatoes.
Saute for a few minutes, then add tamarind water, turmeric powder, salt needed and rasam powder.
Simmer and let it boil for 10 minutes until the raw smell of the tamarind goes. (pic -3)
Then add the cooked tur dal along with 1 1/2 cups of water. When froth starts forming on the top, switch off the flame. (picture-4). Do not boil the rasam as it will loose its flavor.
Garnish with coriander leaves and serve hot with steamed rice or have it as a soup.
Note– In case, if you run out of rasam powder, you can do this with sambar powder also.</t>
  </si>
  <si>
    <t>பருப்பை 15 நிமிடங்கள் (சமைக்கும் நேரத்தைக் குறைக்க) ஊறவைத்து 3 விசில் வரை வேக வைக்கவும்.நன்றாக மசித்து ஒதுக்கி வைக்கவும். பருப்பை சமைக்கும் போது அதிகமாக தண்ணீர் சேர்க்க வேண்டாம்.
புளியை வெதுவெதுப்பான நீரில் ஊறவைத்து அதன் சாற்றை (1 கப்) எடுக்கவும். கூழ் எறியவும்.
செய்முறை:,
2 தேக்கரண்டி நெய்யைச் சூடாக்கி, கடுகு சேர்த்து, அது வதங்கியதும், சீரகம், சிவப்பு மிளகாய் (உடைத்து), கீல், பச்சை மிளகாய், பூண்டு, இஞ்சி, கறிவேப்பிலை மற்றும் தக்காளி சேர்க்கவும்.
சில நிமிடங்கள் வதக்கி, பின்னர் புளி தண்ணீர், மஞ்சள் தூள், தேவையான உப்பு மற்றும் ரசம் பொடி சேர்க்கவும்.
கொதித்து, புளியின் பச்சை வாசனை போகும் வரை 10 நிமிடங்கள் கொதிக்க விடவும். 
பின்னர் சமைத்த துவரம்பருப்பை 1 1/2 கப் தண்ணீருடன் சேர்க்கவும். மேலே நுரை வர ஆரம்பித்ததும், தீயை அணைக்கவும். ரசம் அதன் சுவையை இழக்கும் என்பதால் அதை வேகவைக்க வேண்டாம்.
கொத்தமல்லி இலைகளால் அலங்கரித்து, வேகவைத்த சாதத்துடன் சூடாக பரிமாறவும் அல்லது சூப்பாகவும் சாப்பிடவும்.
குறிப்பு:– ரசம் பொடி தீர்ந்துவிட்டால், சாம்பார் பொடியுடன் இதைச் செய்யலாம்</t>
  </si>
  <si>
    <t>https://www.vegrecipesofindia.com/wp-content/uploads/2024/05/tomato-rasam-recipe-1-1024x1536.jpg</t>
  </si>
  <si>
    <t>Pineapple Rasam</t>
  </si>
  <si>
    <t>அன்னாசி ரசம்</t>
  </si>
  <si>
    <t>Tomato -1,
   Tur dal -1/4 cup,
   Green chilli -1 slitted,
   Rasam powder -1 tsp,
   Turmeric Powder – a pinch,
   Hing -a pinch,
   Pineapple (small pieces) – 1/3 cup,
   Pineapple juice -1/4 cup fresh juice.,
  For the seasoning:,
   Ghee -1 tsp,
   Mustard -1/2 tsp,
   Cumin/Jeera seeds -1/2 tsp,
   Curry leaves – little.</t>
  </si>
  <si>
    <t>தக்காளி - 1,
துவரம் பருப்பு - 1/4 கப்,
பச்சை மிளகாய் - 1 கீறி,
ரசம் பொடி - 1 டீஸ்பூன்,
மஞ்சள் தூள் - ஒரு சிட்டிகை,
ஹிங் - ஒரு சிட்டிகை,
அன்னாசி (சிறிய துண்டுகள்) - 1/3 கப்,
அன்னாசி பழச்சாறு - 1/4 கப் புதிய சாறு,
தாளிக்க:,
நெய் - 1 டீஸ்பூன்,
கடுகு - 1/2 டீஸ்பூன்,
சீரகம்/ஜீரா விதைகள் - 1/2 டீஸ்பூன்,
கறிவேப்பிலை - சிறிது,</t>
  </si>
  <si>
    <t>Preparation:.
Pressure cook tur dal with a pinch of turmeric powder and 3/4 cup of water until soft. Mash it and keep it aside.
Pineapple Rasam Recipe
Method:.
Take 3/4 cup of water, add chopped tomatoes, turmeric powder, rasam powder, salt needed, slitted green chilli, pineapple pieces, curry leaves and hing.
Boil for a few minutes on low flame until the raw smell of the rasam powder goes.
Then add cooked dal, pineapple juice and 3/4-1 cup of water. When you see froth forming on the top, remove it from flame. Do not boil the rasam as it will not taste good.
Now heat a tsp of ghee, add mustard seeds, jeera seeds,when it sizzles, pour it over the rasam.
Garnish with coriander leaves and serve hot with rice and potato curry or any fried curry. We had it with Kovakkai fry and it was simply divine.
Note – you can soak tur dal for 15 minutes in hot water, so that it will get cook well, moreover it saves a lot of time and fuel.
If you do not have rasam powder, you can use sambar powder also.</t>
  </si>
  <si>
    <t>துவரம் பருப்பை ஒரு சிட்டிகை மஞ்சள் தூள் மற்றும் 3/4 கப் தண்ணீரில் மென்மையாகும் வரை வேக வைக்கவும். அதை மசித்து ஒதுக்கி வைக்கவும்.
அன்னாசி ரசம் செய்முறை:,
3/4 கப் தண்ணீர் எடுத்து, நறுக்கிய தக்காளி, மஞ்சள் தூள், ரசம் பொடி, தேவையான உப்பு, நறுக்கிய பச்சை மிளகாய், அன்னாசி துண்டுகள், கறிவேப்பிலை மற்றும் இஞ்சி சேர்க்கவும்.
ரசம் பொடியின் பச்சை வாசனை போகும் வரை குறைந்த தீயில் சில நிமிடங்கள் கொதிக்க வைக்கவும்.
பிறகு வேகவைத்த பருப்பு, அன்னாசி பழச்சாறு மற்றும் 3/4-1 கப் தண்ணீர் சேர்க்கவும். மேலே நுரை வருவது தெரிந்ததும், அதை அடுப்பிலிருந்து அகற்றவும். ரசத்தை கொதிக்க விடாதீர்கள், ஏனெனில் அது சுவையாக இருக்காது.
இப்போது ஒரு தேக்கரண்டி நெய்யை சூடாக்கி, கடுகு, சீரகம் சேர்த்து, அது கொதிக்கும்போது, ​​ரசத்தின் மேல் ஊற்றவும்.
கொத்தமல்லி இலைகளால் அலங்கரித்து, அரிசி மற்றும் உருளைக்கிழங்கு கறி அல்லது வேறு எந்த வறுத்த கறியுடன் சூடாக பரிமாறவும். நாங்கள் அதை கோவக்காய் வறுவலுடன் சாப்பிட்டோம், அது மிகவும் அருமையாக இருந்தது.
குறிப்பு - நீங்கள் துவரம்பருப்பை 15 நிமிடங்கள் சூடான நீரில் ஊறவைக்கலாம், இதனால் அது நன்றாக வேகும், மேலும் இது நிறைய நேரத்தையும் எரிபொருளையும் மிச்சப்படுத்துகிறது.
உங்களிடம் ரசம் பொடி இல்லையென்றால், சாம்பார் பொடியையும் பயன்படுத்தலாம்.</t>
  </si>
  <si>
    <t>https://cooknbakekalyani.wordpress.com/wp-content/uploads/2020/01/img_6097.jpg?w=1568</t>
  </si>
  <si>
    <t>Jeera Rasam</t>
  </si>
  <si>
    <t>சீரக ரசம்</t>
  </si>
  <si>
    <t>Tamarind – very less ( just 7-8 grams),
   Tomato – 1 big or 2 small,
   Sambar powder – 1/2 tsp.,
   For grinding:,
   Jeeragam/cumin seeds – 1 tsp,
   Tur Dal – 1/2 tbsp,
   Red Chilli – 1,
   Curry leaves – 4-5.,
   For the seasoning:,
   Ghee – 1 tsp,
   Mustard – 1/2 tsp,
   Jeera seeds – 1/2 tsp,
   Curry leaves – little.,
   For Garnishing:,
   Coriander leaves – finely chopped 2 tbsp.</t>
  </si>
  <si>
    <t>புளி - மிகக் குறைவாக (7-8 கிராம் மட்டுமே),
தக்காளி - 1 பெரியது அல்லது 2 சிறியது,
சாம்பார் பொடி - 1/2 தேக்கரண்டி,
அரைப்பதற்கு:,
சீரகம்/சீரகம் - 1 தேக்கரண்டி,
துர் பருப்பு - 1/2 தேக்கரண்டி,
சிவப்பு மிளகாய் - 1,
கறிவேப்பிலை - 4-5,
தாளிக்க:,
நெய் - 1 தேக்கரண்டி,
கடுகு - 1/2 தேக்கரண்டி,
சீரக விதைகள் - 1/2 தேக்கரண்டி,
கறிவேப்பிலை - சிறிதளவு,
அலங்காரத்திற்கு:,
கொத்தமல்லி இலை - நன்றாக நறுக்கியது 2 தேக்கரண்டி,</t>
  </si>
  <si>
    <t>Preparation:.
Soak tamarind in 1 1/2 cup of warm water for 10 minutes and extract its juice. Discard the pulp.
Soak the ingredients given under “for grinding” in a little warm water for 15 minutes and grind it coarsely. Keep it aside.
Method:.
Take tamarind extract, add salt, chopped tomatoes, sambar powder and curry leaves.
Boil on low flame until it is reduced and the raw flavor of the tamarind goes. Always rasam should be boiled on low flame/heat.
Then add the ground paste along with appoximately 1 1/2 cup of water.
When froth starts forming on the surface, switch off the flame. Do not boil it.
Heat a tsp of ghee, add mustard, jeera seeds, when it sizzles, add curry leaves and pour the seasoning over the rasam.
Garnish with finely chopped coriander leaves.
Serve hot with hot steamed rice and any vegetable curry, it is simply divine.</t>
  </si>
  <si>
    <t>புளியை 1 1/2 கப் வெதுவெதுப்பான நீரில் 10 நிமிடங்கள் ஊறவைத்து அதன் சாற்றைப் பிழிந்து கொள்ளவும். கூழை அகற்றவும்.
“அரைப்பதற்கு” என்பதன் கீழ் கொடுக்கப்பட்டுள்ள பொருட்களை சிறிது வெதுவெதுப்பான நீரில் 15 நிமிடங்கள் ஊறவைத்து, கரடுமுரடாக அரைக்கவும். ஒதுக்கி வைக்கவும்.
செய்முறை:.
புளி சாறு எடுத்து, உப்பு, நறுக்கிய தக்காளி, சாம்பார் பொடி மற்றும் கறிவேப்பிலை சேர்க்கவும்.
குறைந்த தீயில், புளியின் பச்சை சுவை போகும் வரை கொதிக்க விடவும். எப்போதும் ரசம் குறைந்த தீயில்/சூட்டில் கொதிக்க வைக்க வேண்டும்.
பின்னர் அரைத்த விழுதை சுமார் 1 1/2 கப் தண்ணீருடன் சேர்க்கவும்.
மேற்பரப்பில் நுரை வர ஆரம்பித்ததும், தீயை அணைக்கவும். கொதிக்க விடாதீர்கள்.
ஒரு தேக்கரண்டி நெய்யை சூடாக்கி, கடுகு, சீரகம் சேர்த்து, அது கொதித்ததும், கறிவேப்பிலை சேர்த்து, ரசத்தின் மேல் மசாலாவை ஊற்றவும்.
பொடியாக நறுக்கிய கொத்தமல்லி இலைகளால் அலங்கரிக்கவும்.
சூடான வேகவைத்த சாதம் மற்றும் எந்த காய்கறி கறியுடன் சூடாக பரிமாறவும், இது மிகவும் அருமையாக இருக்கும்.</t>
  </si>
  <si>
    <t>https://www.icampinmykitchen.com/wp-content/uploads/2020/12/DSC_9840-1024x684.jpg</t>
  </si>
  <si>
    <t>https://youtu.be/DHKtQupnwO8</t>
  </si>
  <si>
    <t>Paruppu Rasam</t>
  </si>
  <si>
    <t>பருப்பு ரசம்</t>
  </si>
  <si>
    <t xml:space="preserve"> 1/4 cup Tur Dal,
10 grams Tamarind (small goooseberry sized ball),
2 Tomatoes (medium size),
1/4 tsp Turmeric powder,
1 1/4 tsp Sambar Powder or Rasam Powder,
1/8 tsp Asafoetida,
Curry leaves a sprig,
Salt needed.,
For the seasoning:,
1 tsp Ghee,
1 tsp Mustard seeds,
1 tsp Cumin seeds,
1 Red chilli (optional),
Curry leaves a sprig.</t>
  </si>
  <si>
    <t>1/4 கப் துவரம் பருப்பு,
10 கிராம் புளி (சிறிய நெல்லிக்காய் அளவு உருண்டை),
2 தக்காளி (நடுத்தர அளவு),
1/4 தேக்கரண்டி மஞ்சள் தூள்,
1 1/4 தேக்கரண்டி சாம்பார் பொடி அல்லது ரசம் பொடி,
1/8 தேக்கரண்டி பெருங்காயம்,
கறிவேப்பிலை ஒரு துளிர் விட்டு,
உப்பு தேவை,
தாளிக்க:,
1 தேக்கரண்டி நெய்,
1 தேக்கரண்டி கடுகு,
1 தேக்கரண்டி சீரகம்,
1 சிவப்பு மிளகாய் (விரும்பினால்),
கறிவேப்பிலை ஒரு துளிர் விட்டு,</t>
  </si>
  <si>
    <t>Preparation:.
Soak tur dal in 3/4 cup of warm water for 15 minutes. It helps to save a lot of time and energy. Moreover the dal also gets cooked well.
Pressure cook tur dal with a pinch of turmeric powder for 3 whistles, mash it well and keep it aside.
Soak tamarind in a cup of warm water. Extract tamarind juice and discard the pulp. If using tamarind paste, use 3/4 tsp.
Method:.
In a vessel, add tamarind extract, chopped tomatoes, rasam powder, turmeric powder, asafoetida, curry leaves and salt needed.
Boil on low flame until the raw flavor of the tamarind goes. It will take around 15-20 minutes.
Add mashed tur dal along with needed water.(appoximately 1- 1 ¼ cup of water).
Switch off when froth starts forming on the surface. Do not boil rasam as it will not taste good.
Heat a tsp of ghee, add mustard seeds, when it splutters, add cumin seeds, red chilli and curry leaves. When jeera sizzles, pour the seasoning over the rasam.
Garnish with finely chopped coriander leaves.
Recipe Notes:.
Note – It is very important to cook rasam on low flame.
If you want 4 cups of rasam, increase the rasam powder by 1/2 tsp and add a little more water. Preparing rasam is very easy, all you need is patience.</t>
  </si>
  <si>
    <t>3/4 கப் வெதுவெதுப்பான நீரில் துவரம் பருப்பை 15 நிமிடங்கள் ஊற வைக்கவும். இது நிறைய நேரத்தையும் சக்தியையும் மிச்சப்படுத்த உதவுகிறது. மேலும் பருப்பும் நன்றாக வேகும்.
துவரம் பருப்பை ஒரு சிட்டிகை மஞ்சள் தூளுடன் 3 விசில் வரை அழுத்தி வேகவைத்து, நன்றாக மசித்து ஒதுக்கி வைக்கவும்.
புளியை ஒரு கப் வெதுவெதுப்பான நீரில் ஊற வைக்கவும். புளி சாற்றை எடுத்து கூழ் நீக்கவும். புளி விழுதைப் பயன்படுத்தினால், 3/4 தேக்கரண்டி பயன்படுத்தவும்.
செய்முறை:.
ஒரு பாத்திரத்தில், புளி சாறு, நறுக்கிய தக்காளி, ரசம் பொடி, மஞ்சள் தூள், பெருங்காயம், கறிவேப்பிலை மற்றும் தேவையான அளவு உப்பு சேர்க்கவும்.
புளியின் பச்சை வாசனை போகும் வரை குறைந்த தீயில் கொதிக்க வைக்கவும். இது சுமார் 15-20 நிமிடங்கள் ஆகும்.
மசித்த துவரம்பருப்பை தேவையான தண்ணீருடன் சேர்க்கவும். (சுமார் 1- 1 ¼ கப் தண்ணீர்).
மேற்பரப்பில் நுரை வரத் தொடங்கும் போது அதை அணைக்கவும். ரசம் நன்றாக சுவைக்காது என்பதால் அதை வேகவைக்க வேண்டாம்.
ஒரு தேக்கரண்டி நெய்யை சூடாக்கி, கடுகு சேர்த்து, அது சிதறியதும், சீரகம், சிவப்பு மிளகாய் மற்றும் கறிவேப்பிலை சேர்க்கவும். சீரகம் கொதிக்கும் போது, ​​ரசத்தின் மீது தாளிக்க வேண்டியதை ஊற்றவும்.
இறுதியாக நறுக்கிய கொத்தமல்லி இலைகளால் அலங்கரிக்கவும்.
செய்முறை குறிப்புகள்:.
குறிப்பு - குறைந்த தீயில் ரசம் சமைப்பது மிகவும் முக்கியம்.
உங்களுக்கு 4 கப் ரசம் வேண்டுமென்றால், ரசம் பொடியை 1/2 டீஸ்பூன் அதிகரித்து, சிறிது தண்ணீர் சேர்க்கவும். ரசம் தயாரிப்பது மிகவும் எளிது, உங்களுக்குத் தேவையானது பொறுமை மட்டுமே.</t>
  </si>
  <si>
    <t>https://www.archanaskitchen.com/images/archanaskitchen/1-Author/Nithya_Anantham/Paruppu_Rasam_South_Indian_Dal_Rasam.jpg</t>
  </si>
  <si>
    <t>https://youtu.be/cv9Ev64lJmU</t>
  </si>
  <si>
    <t>Lemon Rasam</t>
  </si>
  <si>
    <t>எலுமிச்சை ரசம்</t>
  </si>
  <si>
    <t xml:space="preserve">Toor dal (arhar dal) -1/4 cup,
   Ripe Tomatoes-2,
   Rasam Powder -1 1/2 tsp,
   Ginger -small bit (crushed or finely chopped),
   Green chillies -1 (slit it ),
   Asafoetida -a pinch,
   Turmeric Powder -1/4 tsp,
   Curry Leaves – few,
   Salt as needed,
   Fresh Lemon juice -2 tbsp +1 tsp.,
   For the seasoning:,
   Ghee -1 tsp,
   Mustard seeds-1/4 tsp,
   Cumin seeds/Jeera seeds -1/4 tsp,
   Curry leaves – few.,
   For garnishing:,
   Coriander leaves – finely chopped.
</t>
  </si>
  <si>
    <t>துவரம் பருப்பு (அர்ஹார் பருப்பு) - 1/4 கப்,
பழுத்த தக்காளி - 2,
ரசம் பொடி - 1 1/2 தேக்கரண்டி,
இஞ்சி - சிறிதளவு (நசுக்கியது அல்லது இறுதியாக நறுக்கியது),
பச்சை மிளகாய் - 1 (அதை நறுக்கியது),
பெருங்காயம் - ஒரு சிட்டிகை,
மஞ்சள் தூள் - 1/4 தேக்கரண்டி,
கறிவேப்பிலை - சிறிதளவு,
தேவைக்கேற்ப உப்பு,
புதிய எலுமிச்சை சாறு - 2 தேக்கரண்டி +1 தேக்கரண்டி,
தாளிக்க:,
நெய் - 1 தேக்கரண்டி,
கடுகு - 1/4 தேக்கரண்டி,
சீரகம் / சீரகம் - 1/4 தேக்கரண்டி,
கறிவேப்பிலை - சிறிதளவு,
அலங்காரத்திற்கு:,
கொத்தமல்லி இலை - நன்றாக நறுக்கியது,</t>
  </si>
  <si>
    <t>Preparation:.
Soak tur dal in 3/4 cup of hot water for 15 minutes before cooking to save cooking time and energy. Pressure cook dal with a pinch of turmeric powder until soft. Mash it well and keep it aside.
Method
Take a cup of water, add chopped tomatoes, turmeric powder, rasam powder, slit green chilli, ginger, hing, salt needed and curry leaves.
Simmer and boil until the raw flavour goes.(it will take approximately 15 minutes)
After the raw flavor of the rasam powder goes, mix cooked tur dal with needed water (1- 1 1/4 cup of water ) and add it to the rasam.
When you see froth forming on the surface, turn off the heat/switch off the flame. You should never boil the rasam as it will loose its favor and will not taste good.
Add fresh lemon juice and mix well.
Heat a tsp of ghee, add mustard seeds, jeera seeds, when it splutters, add curry leaves and pour it over the rasam.
Garnish with finely chopped coriander leaves and enjoy!
Note – If you do not have rasam powder, you can use sambar powder also. Find more South Indian Rasam Recipes
Keep it mind that rasam should be boiled only on low flame for it to taste delicious.</t>
  </si>
  <si>
    <t>சமைப்பதற்கு முன் துவரம் பருப்பை 3/4 கப் சூடான நீரில் 15 நிமிடங்கள் ஊறவைத்து சமைக்கும் நேரத்தையும் சக்தியையும் மிச்சப்படுத்துங்கள். ஒரு சிட்டிகை மஞ்சள் தூள் சேர்த்து பருப்பை மென்மையாகும் வரை அழுத்தி சமைக்கவும். நன்றாக மசித்து ஒதுக்கி வைக்கவும்.
செய்முறை:.
ஒரு கப் தண்ணீர் எடுத்து, நறுக்கிய தக்காளி, மஞ்சள் தூள், ரசம் பொடி, கீறிய பச்சை மிளகாய், இஞ்சி, பெருங்காயம், தேவையான அளவு உப்பு மற்றும் கறிவேப்பிலை சேர்க்கவும்.
பச்சை வாசனை போகும் வரை கொதிக்க வைத்து கொதிக்க விடவும். (சுமார் 15 நிமிடங்கள் ஆகும்)
ரசம் பொடியின் பச்சை வாசனை போன பிறகு, சமைத்த துவரம்பருப்பை தேவையான தண்ணீருடன் (1- 1 1/4 கப் தண்ணீர்) கலந்து ரசத்தில் சேர்க்கவும்.
மேற்பரப்பில் நுரை வருவதை நீங்கள் கண்டதும், அடுப்பை அணைக்கவும்/சுடரை அணைக்கவும். ரசத்தை ஒருபோதும் வேகவைக்கக்கூடாது, ஏனெனில் அது அதன் சுவையை இழந்துவிடும், மேலும் சுவை நன்றாக இருக்காது.
புதிய எலுமிச்சை சாறு சேர்த்து நன்கு கலக்கவும்.
ஒரு தேக்கரண்டி நெய்யை சூடாக்கி, கடுகு, சீரகம் சேர்த்து, அது வதங்கியதும், கறிவேப்பிலை சேர்த்து ரசத்தின் மேல் ஊற்றவும்.
பொடியாக நறுக்கிய கொத்தமல்லி இலைகளால் அலங்கரித்து மசிக்கவும்!.
குறிப்பு:.  உங்களிடம் ரசம் பொடி இல்லையென்றால், சாம்பார் பொடியையும் பயன்படுத்தலாம். 
ரசம் சுவையாக இருக்க, அதை குறைந்த தீயில் மட்டுமே வேகவைக்க வேண்டும் என்பதை நினைவில் கொள்ளுங்கள்.</t>
  </si>
  <si>
    <t>https://www.seema.com/wp-content/uploads/2021/10/Lemon-Rasam-1024x768.jpg</t>
  </si>
  <si>
    <t>Mysore Rasam</t>
  </si>
  <si>
    <t>மைசூர் ரசம்</t>
  </si>
  <si>
    <t xml:space="preserve">2 Tomatoes ripe ones,
1/4 cup Tur dal,
Tamarind small gooseberry size,
1/4 tsp Turmeric Powder,
1 pinch Asafoetida,
Curry leaves a sprig,
Salt to taste.,
Roast and Grind:,
2 tsp Coriander seeds,
1 1/2 tsp Bengal gram Dal (kadalai paruppu),
1/2 tsp Whole black pepper,
1 Red chillies or as needed,
1 tbsp Grated Coconut.,
For the seasoning:,
1 tsp Ghee,
1/2 tsp Mustard seeds,
1/2 tsp Cumin seeds,
Curry leaves few.,
For Garnishing:,
Coriander leaves finely chopped.
</t>
  </si>
  <si>
    <t>2 தக்காளி பழுத்தவை,
1/4 கப் துவரம் பருப்பு,
சிறிய நெல்லிக்காய் அளவு புளி,
1/4 தேக்கரண்டி மஞ்சள் தூள்,
1 சிட்டிகை பெருங்காயம்,
கறிவேப்பிலை இலைகள் ஒரு தளிர்,
சுவைக்கேற்ப உப்பு.,
வறுத்து அரைக்கவும்:,
2 தேக்கரண்டி கொத்தமல்லி விதைகள்,
1 1/2 தேக்கரண்டி கடலை பருப்பு (கடலை பருப்பு),
1/2 தேக்கரண்டி முழு கருப்பு மிளகு,
1 சிவப்பு மிளகாய் அல்லது தேவைக்கேற்ப,
1 தேக்கரண்டி துருவிய தேங்காய்.,
தாளிக்க:,
1 தேக்கரண்டி நெய்,
1/2 தேக்கரண்டி கடுகு,
1/2 தேக்கரண்டி சீரகம்,
சில கறிவேப்பிலை.,
அலங்கரிக்க:,
கொத்தமல்லி இலைகளை நன்றாக நறுக்கவும்,</t>
  </si>
  <si>
    <t xml:space="preserve">Soak tamarind in a cup of hot water for 15 minutes, extract the juice and discard the pulp.
Soak dal in hot water (appoximately 3/4-1 cup) for 15-20 minutes before cooking. It saves a lot of time and fuel. Pressure cook dal until soft and mash it well.
Fry the ingredients mentioned under "roast and grind" in a little ghee, add grated coconut in the end and fry a little.
Grind everything together to a fine paste adding little water or you can even powder it without adding water.
Method to prepare Mysore Rasam
Take tamarind extract, add 2 chopped tomatoes, curry leaves, turmeric powder, a pinch of hing and salt needed.
Boil on low heat until it reduces and the raw flavor of the tamarind goes.
Then add the ground paste, cooked tur dal and needed water. Switch off when it becomes frothy. Do not boil the rasam as it will spoil the taste.
Heat a tsp of ghee, add mustard seeds, cumin seeds, when it splutters, add curry leaves and pour it over the rasam.
Garnish with finely chopped coriander leaves.
Serve hot with cooked rice and any vegetable curry or stir fry.
</t>
  </si>
  <si>
    <t>புளியை ஒரு கப் வெந்நீரில் 15 நிமிடங்கள் ஊறவைத்து, சாற்றைப் பிரித்தெடுத்து, கூழை அப்புறப்படுத்தவும்.
சமைப்பதற்கு முன் பருப்பை 15-20 நிமிடங்கள் சூடான நீரில் (தோராயமாக 3/4-1 கப்) ஊற வைக்கவும். இது நிறைய நேரத்தையும் எரிபொருளையும் மிச்சப்படுத்துகிறது. பருப்பை மென்மையாகும் வரை அழுத்தி வேகவைத்து நன்கு மசிக்கவும்.
"வறுத்து அரைக்கவும்" என்பதன் கீழ் குறிப்பிடப்பட்டுள்ள பொருட்களை சிறிது நெய்யில் வறுக்கவும், இறுதியில் துருவிய தேங்காய் சேர்த்து சிறிது வதக்கவும்.
எல்லாவற்றையும் ஒன்றாக சேர்த்து சிறிது தண்ணீர் சேர்த்து நன்றாக விழுதாக அரைக்கவும் அல்லது தண்ணீர் சேர்க்காமல் பொடி செய்யலாம்.
மைசூர் ரசம் தயாரிக்கும் முறை
புளி சாறு எடுத்து, 2 நறுக்கிய தக்காளி, கறிவேப்பிலை, மஞ்சள் தூள், ஒரு சிட்டிகை பெருங்காயம் மற்றும் தேவையான அளவு உப்பு சேர்க்கவும்.
குறைந்த தீயில் அது குறைந்து புளியின் பச்சை வாசனை போகும் வரை கொதிக்க விடவும்.
பின்னர் அரைத்த விழுது, வேகவைத்த துவரம் பருப்பு மற்றும் தேவையான தண்ணீர் சேர்க்கவும். நுரை வரும் வரை அணைக்கவும். ரசம் வேகவைக்க வேண்டாம், ஏனெனில் அது சுவையை கெடுத்துவிடும்.
ஒரு தேக்கரண்டி நெய்யை சூடாக்கி, கடுகு, சீரகம் சேர்த்து, அது சிதறியதும், கறிவேப்பிலை சேர்த்து ரசம் மீது ஊற்றவும்.
இறுதியாக நறுக்கிய கொத்தமல்லி இலைகளால் அலங்கரிக்கவும்.
சமைத்த சாதம் மற்றும் எந்த காய்கறி கறியுடன் அல்லது வறுக்கவும் சூடாக பரிமாறவும்.</t>
  </si>
  <si>
    <t>https://easyindiancookbook.com/wp-content/uploads/2022/12/mysore-rasam-instant-pot-7.jpg</t>
  </si>
  <si>
    <t>Ragi Masala Dosa</t>
  </si>
  <si>
    <t>ராகி மசாலா தோசை</t>
  </si>
  <si>
    <t>Breakfast</t>
  </si>
  <si>
    <t>Finger Millet - 1 cup,
Whole Urad dal - 1/3 cup,
Bengal gram dal – 1 tbsp,
Fenugreek seeds - 1/2 tsp,
Flattened rice  – 2 tbsp,
Rock Salt – 1 tsp ,
Potato – 1/2 kg,
Onion – 2 thinly sliced,
Ginger – 1 tbsp ,
Green Chillies – 2 or as needed,
Curry leaves – a sprig,
Turmeric powder – 1/4 tsp,
Salt needed,
2 Tbsp -  oil,
Mustard seeds – 1 tsp,
Urad dal -1 tsp,
Bengal gram dal – 1 tsp,
Asafoetida– a generous pinch,
Oil for making dosas.</t>
  </si>
  <si>
    <t>விரல் தினை - 1 கப்,
முழு உளுத்தம் பருப்பு - 1/3 கப்,
வங்காள பருப்பு - 1 டீஸ்பூன்,
வெந்தயம் - 1/2 டீஸ்பூன்,
தட்டையான அரிசி - 2 டீஸ்பூன்,
கல் உப்பு - 1 டீஸ்பூன்,
உருளைக்கிழங்கு - 1/2 கிலோ,
வெங்காயம் - 2 மெல்லியதாக நறுக்கியது,
இஞ்சி - 1 டீஸ்பூன்,
பச்சை மிளகாய் - 2 அல்லது தேவைக்கேற்ப,
கறிவேப்பிலை - ஒரு தளிர்,
மஞ்சள் தூள் - 1/4 டீஸ்பூன்,
உப்பு தேவைக்கேற்ப,
2 டீஸ்பூன் - எண்ணெய்,
கடுகு - 1 டீஸ்பூன்,
உருளை பருப்பு - 1 டீஸ்பூன்,
வங்காள பருப்பு - 1 டீஸ்பூன்,
அசாஃபோடிடா - ஒரு சிட்டிகை,
தோசை செய்வதற்கு எண்ணெய்.</t>
  </si>
  <si>
    <t>Wash and soak finger millet separately for 5-6 hours.
Wash and soak urad dal, bengal gram dal and fenugreek seeds separately for 5-6 hours.
Wash poha and soak separately for 15-20 mins before grinding.
Grind everything together to a smooth batter adding salt needed. You can use wet grinder or mixer grinder. I prefer the wet grinder.
Once the batter is ground well, ferment the batter for 5-6 hours or overnight.
Pressure cook potatoes until soft.
Once the pressure subsides, open the cooker, peel the skin of potatoes and mash it well without lumps. Keep this aside.
Heat 2 tbsp oil, add mustard seeds, urad dal, bengal gram dal, asafoetida. Saute until dal changes to golden brown.
Add finely chopped ginger, green chilli, curry leaves and saute for few seconds.
Add thinly sliced onions and saute until onions turn transparent. Add little salt for the onions.
When onions turn transparent, add turmeric powder  and saute for few more seconds.
Then add the mashed potatoes and mix well. Add salt needed.
Cook for few seconds mashing it well. Turn off heat.
Garnish with coriander leaves.
Potato masala is ready.
How to make Ragi Masala dosa
Mix the fermented batter well. Add water if needed to get dosa batter consistency (spreadable consistency).
Heat tawa, pour a ladle of batter and spread it in a circular motion.
Drizzle a tsp of oil around the dosa.
After the dosa is cooked a little, dip spatula in water and flatten the dosa as we will be cooking only one side.
Once cooked, place needed potato masala, fold it and remove from tawa.</t>
  </si>
  <si>
    <t>விரல் தினையை தனித்தனியாக கழுவி 5-6 மணி நேரம் ஊற வைக்கவும்.
உளுத்தம்பருப்பு, பெருங்காயம் மற்றும் வெந்தயத்தை தனித்தனியாக கழுவி 5-6 மணி நேரம் ஊற வைக்கவும்.
போஹாவை கழுவி, அரைப்பதற்கு முன் 15-20 நிமிடங்கள் தனித்தனியாக ஊற வைக்கவும்.
தேவையான அளவு உப்பு சேர்த்து அனைத்தையும் ஒன்றாக மென்மையான மாவாக அரைக்கவும். நீங்கள் ஈரமான கிரைண்டர் அல்லது மிக்சர் கிரைண்டரைப் பயன்படுத்தலாம். நான் ஈரமான கிரைண்டரை விரும்புகிறேன்.
மாவு நன்றாக அரைத்தவுடன், மாவை 5-6 மணி நேரம் அல்லது இரவு முழுவதும் புளிக்க வைக்கவும்.
உருளைக்கிழங்கை மென்மையாகும் வரை அழுத்தி சமைக்கவும்.
அழுத்தம் தணிந்தவுடன், குக்கரைத் திறந்து, உருளைக்கிழங்கின் தோலை உரித்து கட்டிகள் இல்லாமல் நன்றாக மசிக்கவும். இதை ஒதுக்கி வைக்கவும்.
2 தேக்கரண்டி எண்ணெயை சூடாக்கி, கடுகு, உளுத்தம்பருப்பு, பெருங்காயம், பெருங்காயம் சேர்க்கவும். பயறு பொன்னிறமாகும் வரை வதக்கவும்.
இறுதியாக நறுக்கிய இஞ்சி, பச்சை மிளகாய், கறிவேப்பிலை சேர்த்து சில நொடிகள் வதக்கவும்.
மெல்லியதாக நறுக்கிய வெங்காயத்தைச் சேர்த்து வெங்காயம் வெளிப்படையானதாக மாறும் வரை வதக்கவும். வெங்காயத்திற்கு சிறிது உப்பு சேர்க்கவும்.
வெங்காயம் தெளிவாகத் தெரிந்ததும், மஞ்சள் தூள் சேர்த்து இன்னும் சில நொடிகள் வதக்கவும்.
பின்னர் மசித்த உருளைக்கிழங்கைச் சேர்த்து நன்கு கலக்கவும். தேவையான அளவு உப்பு சேர்க்கவும்.
நன்றாக மசித்து சில நொடிகள் சமைக்கவும். தீயை அணைக்கவும்.
கொத்தமல்லி இலைகளால் அலங்கரிக்கவும்.
உருளைக்கிழங்கு மசாலா தயார்.
ராகி மசாலா தோசை செய்வது எப்படி
புளித்த மாவை நன்றாக கலக்கவும். தோசை மாவு நிலைத்தன்மையைப் பெற தேவைப்பட்டால் தண்ணீர் சேர்க்கவும் (பரக்கக்கூடிய நிலைத்தன்மை).
தவாவை சூடாக்கி, ஒரு கரண்டி மாவை ஊற்றி வட்ட இயக்கத்தில் பரப்பவும்.
தோசையைச் சுற்றி ஒரு தேக்கரண்டி எண்ணெயைத் தெளிக்கவும்.
தோசை சிறிது வெந்த பிறகு, தண்ணீரில் ஸ்பேட்டூலாவை நனைத்து, தோசையை தட்டையாக்குங்கள், ஏனெனில் நாம் ஒரு பக்கம் மட்டுமே சமைக்கிறோம்.
சமைத்தவுடன், தேவையான அளவு உருளைக்கிழங்கு மசாலாவை வைத்து, மடித்து, தவாவிலிருந்து அகற்றவும்.</t>
  </si>
  <si>
    <t>https://www.chefkunalkapur.com/wp-content/uploads/2021/05/Ragi-Dosa-Instant-scaled.jpg?v=1619848402</t>
  </si>
  <si>
    <t>https://youtu.be/JBPuhnxt8qw</t>
  </si>
  <si>
    <t xml:space="preserve">Jaggery – 1 cup,
Brown poha  – 3 cups,
Ghee -  2 tsp,
Roasted gram dal - 1/4 cup,
Black Sesame seeds – 1 tbsp,
Raisins – 1/4 cup black or brown,
Fresh Matured coconut – 1 cup heaped,
Cardamom Powder,
Dry Ginger Powder - 1/2 tsp,
Roasted Cumin Powder - 1/2 tsp.
</t>
  </si>
  <si>
    <t>வெல்லம் - 1 கப்,
பழுப்பு போஹா - 3 கப்,
நெய் - 2 தேக்கரண்டி,
வறுத்த பருப்பு - 1/4 கப்,
கருப்பு எள் - 1 தேக்கரண்டி,
திராட்சை - 1/4 கப் கருப்பு அல்லது பழுப்பு,
புதிதாக முதிர்ந்த தேங்காய் - 1 கப் குவித்து,
ஏலக்காய் தூள்,
உலர்ந்த இஞ்சி தூள் - 1/2 தேக்கரண்டி,
வறுத்த சீரக தூள் - 1/2 தேக்கரண்டி.</t>
  </si>
  <si>
    <t>ஒரு கடாயில், வடிகட்டிய வெல்லம் மற்றும் ஒரு தேக்கரண்டி நெய் சேர்க்கவும்.
வெல்லம் கெட்டியாகி குமிழியாகும் வரை கொதிக்க வைக்கவும்.
இந்த கட்டத்தில், தேங்காயைச் சேர்க்கவும். தேங்காயிலிருந்து மீதமுள்ள ஈரப்பதம் போகும் வரை தேங்காயை நன்கு சமைக்கவும்.
தீயைக் குறைத்து, வறுத்த அரிசி அல்லது போஹாவைச் சேர்க்கவும்.
மற்ற அனைத்து பொருட்களையும் (வறுத்த பருப்பு, எள், திராட்சை) சேர்க்கவும்.
1/2 தேக்கரண்டி ஏலக்காய் தூள் மற்றும் 1/2 தேக்கரண்டி உலர்ந்த இஞ்சி தூள் சேர்க்கவும்.
இப்போது மிதமான தீயில், எல்லாவற்றையும் நன்றாகக் கலக்கவும், இதனால் போஹா வெல்லத்துடன் நன்கு பூசப்படும்.
சிறிது காயும் வரை வதக்கவும். வெப்பத்தை அணைக்கவும்.
1/2 தேக்கரண்டி வறுத்த சீரகப் பொடியைச் சேர்த்து நன்கு கலக்கவும்.
முழுமையாக ஆற விடவும். அது குளிர்ந்ததும், அது காய்ந்துவிடும்.
இந்திய பாணி கிரானோலா தயார்.
ஒரு பாட்டில் அல்லது காற்று புகாத கொள்கலனில் சேமிக்கவும்.</t>
  </si>
  <si>
    <t>https://encrypted-tbn0.gstatic.com/images?q=tbn:ANd9GcSy6WjhWPEy71b01TfCONL9FWDIkbjNVX4lhA&amp;s</t>
  </si>
  <si>
    <t>Soft Poha Idli</t>
  </si>
  <si>
    <t>மென்மையான போஹா இட்லி</t>
  </si>
  <si>
    <t>Idli rice rava – 1 cup,
Thin Poha – 1 cup,
Thick Buttermilk – 1 cup,
Salt – 2 tsp,
Eno or baking soda – 1/2 tsp.</t>
  </si>
  <si>
    <t>இட்லி அரிசி ரவா - 1 கப்,
மெல்லிய போஹா - 1 கப்,
அடர்த்தியான மோர் - 1 கப்,
உப்பு - 2 தேக்கரண்டி,
ஈனோ அல்லது பேக்கிங் சோடா - 1/2 தேக்கரண்டி.</t>
  </si>
  <si>
    <t>Poha would have absorbed all the water. Add more water to get idli batter consistency. The batter should neither be watery nor too thick.
Before adding eno to the batter, bring water to boil in an idli steamer. Grease idli mold and keep it ready.
Once water starts boiling, add Eno to the batter and mix vigorously.
Pour just enough batter to fill the greased idli mould. Avoid filling too much batter.
Steam cook for 15 minutes or until idli is cooked.  Insert a wet spoon or knife and check if the idli is done. If it comes out clean, idli is cooked well.
Turn off the heat and remove the idli plate. Let it rest for 5 minutes. Then with the help of a spoon dipped in water, remove the idlis from the mould.
Enjoy super soft aval/poha idlies hot with any chutney or sambar of your choice.</t>
  </si>
  <si>
    <t>போஹா அனைத்து தண்ணீரையும் உறிஞ்சியிருக்கும். இட்லி மாவு நிலைத்தன்மையைப் பெற அதிக தண்ணீர் சேர்க்கவும். மாவு தண்ணீராகவோ அல்லது மிகவும் கெட்டியாகவோ இருக்கக்கூடாது.
மாவில் எனோவைச் சேர்ப்பதற்கு முன், ஒரு இட்லி ஸ்டீமரில் தண்ணீரை கொதிக்க வைக்கவும். இட்லி அச்சுக்கு எண்ணெய் தடவி தயாராக வைக்கவும்.
தண்ணீர் கொதிக்க ஆரம்பித்ததும், மாவில் ஈனோவைச் சேர்த்து நன்கு கலக்கவும்.
எண்ணெய் தடவிய இட்லி அச்சுக்கு போதுமான மாவை ஊற்றவும். அதிகமாக மாவை நிரப்புவதைத் தவிர்க்கவும்.
15 நிமிடங்கள் அல்லது இட்லி வேகும் வரை வேகவைக்கவும். ஈரமான கரண்டி அல்லது கத்தியை வைத்து இட்லி தயாராகிவிட்டதா என்று சரிபார்க்கவும். அது சுத்தமாக வெளியே வந்தால், இட்லி நன்றாக வெந்துவிட்டது.
தீயை அணைத்து இட்லி தட்டை அகற்றவும். 5 நிமிடங்கள் அப்படியே வைக்கவும். பின்னர் தண்ணீரில் நனைத்த ஒரு கரண்டியால் இட்லிகளை அச்சிலிருந்து அகற்றவும்.
மிகவும் மென்மையான அவல்/போஹா இட்லிகளை உங்களுக்கு விருப்பமான எந்த சட்னி அல்லது சாம்பாருடன் சூடாக அனுபவிக்கவும்.</t>
  </si>
  <si>
    <t>https://encrypted-tbn0.gstatic.com/images?q=tbn:ANd9GcRtQyZdBUp4NvrhJ5koJyqfOrqkn1TXRutNNw&amp;s</t>
  </si>
  <si>
    <t>https://youtu.be/HyPEU_AOFDM</t>
  </si>
  <si>
    <t>Green Gram – 1 cup,
Whole Urad dal – 1/2 cup,
Salt – 1/2 tbsp.</t>
  </si>
  <si>
    <t>பச்சைப்பயறு - 1 கப்,
முழு உளுத்தம்பருப்பு - 1/2 கப்,
உப்பு - 1/2 டீஸ்பூன்.</t>
  </si>
  <si>
    <t>Mix the fermented batter well. The consistency of the batter should neither be thick nor thin. The batter is ready to make either idli or dosa.
Bring water to boil in an idli steamer or kadai. This is a very important step.
Grease the idli mould with oil. Pour a ladle of batter in all the cavities.
Close it with a lid and steam cook for 15 minutes or until done.
Once cooked, leave it for 5 minutes. Then dip a spoon in water and remove the idlis. In this way, idli will not stick to the mould and there will be no wastage.
Soft and spongy idlis are ready. You can make dosas with the same batter.
Enjoy healthy and nutritious idli and dosa with any chutney of your choice.</t>
  </si>
  <si>
    <t>புளித்த மாவை நன்றாக கலக்கவும். மாவின் நிலைத்தன்மை கெட்டியாகவோ அல்லது மெல்லியதாகவோ இருக்கக்கூடாது. மாவு இட்லி அல்லது தோசை தயாரிக்க தயாராக உள்ளது.
இட்லி ஸ்டீமர் அல்லது கடாயில் தண்ணீரை கொதிக்க வைக்கவும். இது மிகவும் முக்கியமான படியாகும்.
இட்லி அச்சுக்குள் எண்ணெய் தடவவும். அனைத்து குழிகளிலும் ஒரு கரண்டி மாவை ஊற்றவும்.
அதை ஒரு மூடியால் மூடி 15 நிமிடங்கள் அல்லது முடியும் வரை வேகவைக்கவும்.
சமைத்த பிறகு, அதை 5 நிமிடங்கள் விடவும். பின்னர் ஒரு கரண்டி தண்ணீரில் நனைத்து இட்லிகளை அகற்றவும். இந்த வழியில், இட்லி அச்சுக்குள் ஒட்டாது, மேலும் வீணாகாது.
மென்மையான மற்றும் பஞ்சுபோன்ற இட்லிகள் தயாராக உள்ளன. அதே மாவுடன் தோசைகளை நீங்கள் செய்யலாம்.
உங்களுக்கு விருப்பமான எந்த சட்னியுடன் ஆரோக்கியமான மற்றும் சத்தான இட்லி மற்றும் தோசையை அனுபவிக்கவும்.</t>
  </si>
  <si>
    <t>https://i0.wp.com/salttheplate.com/wp-content/uploads/2021/03/IMG_2436-1.jpeg?w=300&amp;ssl=1</t>
  </si>
  <si>
    <t>Whole Urad dal – 1/2 cup,
Fenugreek seeds – 1 tsp,
Idli Rava - 1 1/2 cup,
Salt needed.</t>
  </si>
  <si>
    <t>முழு உளுத்தம் பருப்பு - 1/2 கப்,
வெந்தயம் - 1 தேக்கரண்டி,
இட்லி ரவா - 1 1/2 கப்,
உப்பு தேவை.</t>
  </si>
  <si>
    <t>Grind the urad dal with needed chilled water. Add water gradually and grind it to a fluffy batter.  Do not operate the mixie at a stretch. This is to prevent the mixie from getting heated up. Use the whipper button in the end for few seconds to get fluffy batter.
After grinding the urad dal, transfer it into a bowl. Squeeze out the water from the idli rava and add to the urad dal batter.
Add salt and mix both the batter well.
The consistency of the batter should neither be thick nor thin, so add needed water to get the right idli batter consistency.
Mix the batter well with your hands to incorporated air in the batter. This will also aid in fermentation.
Leave it to ferment overnight or for 6-7 hours.
Note -Fermentation time will differ according to the climatic conditions. If the weather is hot, it will take less time to ferment. If the weather is cold, it will take longer than 7 hours to ferment. Only if the batter is well fermented, you will get soft idlis.
Bring water to boil in an idli steamer. Grease the idli mould with oil and pour a ladle of the fermented batter in each of the cavities.
Steam cook for 15 minutes or until done. Wet your fingers and touch the idlis, if it sticks, cook for few more minutes. You can also check by inserting a toothpick in the center of the idli. If the toothpick comes out clean, the idli is cooked well.
Once cooked, turn off the heat and remove the idli mould. Wait for 5 minutes and then remove the idlis. Dip a spoon in water and remove the idlis, this will prevent the idlis from sticking to the mould.
Enjoy it with chutney or sambar of your choice.
Storage - The batter can be stored for a week in the refrigerator. You can also make dosas with it.</t>
  </si>
  <si>
    <t>உரத்தம் பருப்பை தேவையான அளவு குளிர்ந்த நீரில் அரைக்கவும். படிப்படியாக தண்ணீர் சேர்த்து, மிக்ஸியை மென்மையாக அரைக்கவும். மிக்ஸியை ஒரே நேரத்தில் பயன்படுத்த வேண்டாம். மிக்ஸி சூடாவதைத் தடுக்க இது செய்யப்படுகிறது. இறுதியில் சில நொடிகள் விப்பர் பொத்தானைப் பயன்படுத்தி, பஞ்சுபோன்ற மாவைப் பெறுங்கள்.
உரத்தம் பருப்பை அரைத்த பிறகு, அதை ஒரு கிண்ணத்தில் மாற்றவும். இட்லி ரவையிலிருந்து தண்ணீரை பிழிந்து, உளுத்தம் பருப்பில் சேர்க்கவும்.
உப்பு சேர்த்து, மாவை இரண்டையும் நன்றாக கலக்கவும்.
மாவின் நிலைத்தன்மை கெட்டியாகவோ அல்லது மெல்லியதாகவோ இருக்கக்கூடாது, எனவே தேவையான தண்ணீரைச் சேர்க்கவும், சரியான இட்லி மாவு நிலைத்தன்மையைப் பெற.
மாவில் காற்று சேரும் வரை மாவை உங்கள் கைகளால் நன்கு கலக்கவும். இது நொதித்தலுக்கும் உதவும்.
இரவு முழுவதும் அல்லது 6-7 மணி நேரம் புளிக்க விடவும்.
குறிப்பு - நொதித்தல் நேரம் தட்பவெப்ப நிலையைப் பொறுத்து மாறுபடும். வானிலை வெப்பமாக இருந்தால், புளிக்க குறைந்த நேரமே ஆகும். வானிலை குளிராக இருந்தால், புளிக்க 7 மணி நேரத்திற்கு மேல் ஆகும். மாவு நன்கு புளித்திருந்தால் மட்டுமே, மென்மையான இட்லிகள் கிடைக்கும்.
இட்லி ஸ்டீமரில் தண்ணீரை கொதிக்க வைக்கவும். இட்லி அச்சுக்குள் எண்ணெய் தடவி, புளித்த மாவிலிருந்து ஒரு கரண்டியை ஒவ்வொரு குழியிலும் ஊற்றவும்.
15 நிமிடங்கள் அல்லது முடியும் வரை வேகவைக்கவும். உங்கள் விரல்களை நனைத்து இட்லிகளைத் தொடவும், அது ஒட்டிக்கொண்டால், இன்னும் சில நிமிடங்கள் சமைக்கவும். இட்லியின் மையத்தில் ஒரு டூத்பிக் செருகுவதன் மூலமும் நீங்கள் சரிபார்க்கலாம். டூத்பிக் சுத்தமாக வெளியே வந்தால், இட்லி நன்றாக வெந்துவிட்டது.
சமைத்தவுடன், வெப்பத்தை அணைத்து இட்லி அச்சுகளை அகற்றவும். 5 நிமிடங்கள் காத்திருந்து பின்னர் இட்லிகளை அகற்றவும். ஒரு கரண்டியை தண்ணீரில் நனைத்து இட்லிகளை அகற்றவும், இது இட்லிகள் அச்சுக்குள் ஒட்டாமல் தடுக்கும்.
உங்களுக்குப் பிடித்த சட்னி அல்லது சாம்பாருடன் இதை அனுபவிக்கவும்.
சேமிப்பு - மாவை குளிர்சாதன பெட்டியில் ஒரு வாரம் சேமிக்கலாம். நீங்கள் அதைக் கொண்டு தோசைகளையும் செய்யலாம்.</t>
  </si>
  <si>
    <t>https://encrypted-tbn0.gstatic.com/images?q=tbn:ANd9GcQFACa8EtD6tSQSNMqKG_PivIV98f3ejb_9Ug&amp;s</t>
  </si>
  <si>
    <t xml:space="preserve">3 -  Leftover idlis,
3/4 tsp -  Rice flour,
1/2 tsp - Red Chilli powder,
Butter as needed,
4 - cloves Garlic,
1 - Green chillies,
1 - Onion,
1 - Capsicum,
3/4 tsp - All purpose flour (maida),
Salt needed,
1 tbsp - Tomato sauce,
1 tbsp - Chilli sauce,
1 tbsp - Soya sauce,
1/4 cup - Spring Onion greens.
</t>
  </si>
  <si>
    <t>2 தேக்கரண்டி வெண்ணெய் சூடாக்கவும்.
பூண்டு, பச்சை மிளகாய் சேர்த்து சில நொடிகள் வதக்கவும்.
வெங்காயத்தைச் சேர்த்து அது வெளிப்படையானதாக மாறும் வரை வதக்கவும்.
வெங்காயம் வெளிப்படையானதாக மாறியதும், கேப்சிகம் சேர்க்கவும்.
சில நொடிகள் வதக்கவும். கேப்சிகத்தை அதிகமாக வேகவிடாதீர்கள். அது அதன் மொறுமொறுப்பைத் தக்க வைத்துக் கொள்ள வேண்டும்.
"சாஸ்கள்" என்பதன் கீழ் குறிப்பிடப்பட்டுள்ள அனைத்து சாஸ்களையும் சேர்க்கவும்
தேவைக்கேற்ப உப்பு சேர்க்கவும். சில நொடிகள் சமைக்கவும்.
மைதா மாவை 2-3 டேபிள்ஸ்பூன் தண்ணீரில் கலந்து மேலே உள்ளவற்றுடன் சேர்க்கவும்.
குழம்பு கெட்டியாக ஆரம்பித்ததும், வறுத்த இட்லி துண்டுகளைச் சேர்க்கவும்.
மசாலா நன்றாகப் பூசப்படும்படி நன்கு கலக்கவும்.
அடுப்பை அணைத்து, இறுதியாக நறுக்கிய வெங்காயக் கீரைகளால் அலங்கரிக்கவும்.
சிற்றுண்டியாகவோ அல்லது காலை உணவாகவோ மகிழுங்கள்.</t>
  </si>
  <si>
    <t>https://encrypted-tbn0.gstatic.com/images?q=tbn:ANd9GcTfKXA2oAmuGo2AdcceMFtLufd781GW-8p12Q&amp;s</t>
  </si>
  <si>
    <t>Handvo</t>
  </si>
  <si>
    <t>ஹேண்ட்வோ</t>
  </si>
  <si>
    <t>1/2 cup -  Idli rice,
1/4 cup - Bengal gram dal,
1/4 cup - Tur dal,
2 tbsp - Urad dal,
1/3 cup - Grated bottle gourd,
1/3 cup - Grated carrot,
1/3 cup - Coriander leaves,
1 tsp - Ginger garlic green chilli paste,
1/4 tsp - Turmeric powder,
1 tsp - Roasted cumin powder,
3/4 tsp - Red chilli powder,
Salt needed,
1 tsp - Sugar,
2 tbsp - Curd,
1/2 tsp - Eno fruit salt,
1 tbsp - Oil,
1 tsp - Mustard seeds,
1 tsp - Cumin seeds,
2 - Red chillies,
1 - pinch Hing,
Curry leaves,
3 tbsp - Oil,
1 tsp - Mustard seeds,
1 tsp - Cumin seeds,
2 tsp - Sesame seeds,
Curry leaves few.</t>
  </si>
  <si>
    <t>1/2 கப் - இட்லி அரிசி,
1/4 கப் - வங்காள பருப்பு,
1/4 கப் - துவரம் பருப்பு,
2 டேபிள்ஸ்பூன் - உளுத்தம் பருப்பு,
1/3 கப் - துருவிய பாசிப்பருப்பு,
1/3 கப் - துருவிய கேரட்,
1/3 கப் - கொத்தமல்லி இலைகள்,
1 டீஸ்பூன் - இஞ்சி பூண்டு பச்சை மிளகாய் விழுது,
1/4 டீஸ்பூன் - மஞ்சள் தூள்,
1 டீஸ்பூன் - வறுத்த சீரகப் பொடி,
3/4 டீஸ்பூன் - சிவப்பு மிளகாய் தூள்,
தேவையான உப்பு,
1 டீஸ்பூன் - சர்க்கரை,
2 டீஸ்பூன் - தயிர்,
1/2 டீஸ்பூன் - ஈனோ பழ உப்பு,
1 டீஸ்பூன் - எண்ணெய்,
1 டீஸ்பூன் - கடுகு,
1 டீஸ்பூன் - சீரகம்,
2 - சிவப்பு மிளகாய்,
1 - சிட்டிகை ஹிங்,
கறிவேப்பிலை,
3 டீஸ்பூன் - எண்ணெய்,
1 டீஸ்பூன் - கடுகு,
1 டீஸ்பூன் - சீரகம்,
2 டீஸ்பூன் - எள்,
கறிவேப்பிலை சிறிது.</t>
  </si>
  <si>
    <t>Grind the dal and rice adding little water to a smooth batter.
Leave it to ferment for 6-7 hours or overnight.
After the batter has fermented well, add grated bottlegourd, grated carrot, coriander leaves, ginger garlic green chilli paste, turmeric powder, roasted cumin powder, chilli powder, salt needed, sugar and curd to the batter. Mix well.
Heat a tbsp of oil in a pan, add mustard seeds, cumin seeds, red chillies, hing. When mustard seeds splutters, add curry leaves and saute for a few seconds. Add the seasoning to the batter and mix well.
Add 1/2 tsp eno, a tbsp of water and mix well.
Heat 3 tbsp oil in a pan, add mustard seeds, when it splutters, add cumin seeds, sesame seeds, hing and curry leaves.
When the seeds splutters, add 5 ladles of handvo batter. Spread it a little and cook covered on low heat for 6-7 minutes
Once corners starts to lift up, flip it over to the other side and cook for another 6-7 minutes.
Once done, remove from pan. Once it cools, cut it into pieces and enjoy.</t>
  </si>
  <si>
    <t>பருப்பையும் அரிசியையும் சிறிது தண்ணீர் சேர்த்து மென்மையான மாவாக அரைக்கவும்.
6-7 மணி நேரம் அல்லது இரவு முழுவதும் புளிக்க விடவும்.
மாவு நன்கு புளித்த பிறகு, துருவிய பாசிப்பருப்பு, துருவிய கேரட், கொத்தமல்லி இலைகள், இஞ்சி பூண்டு பச்சை மிளகாய் விழுது, மஞ்சள் தூள், வறுத்த சீரகப் பொடி, மிளகாய் தூள், தேவையான உப்பு, சர்க்கரை மற்றும் தயிர் ஆகியவற்றை மாவுடன் சேர்க்கவும். நன்கு கலக்கவும்.
ஒரு கடாயில் ஒரு டீஸ்பூன் எண்ணெயை சூடாக்கி, கடுகு, சீரகம், சிவப்பு மிளகாய், ஹிங் சேர்க்கவும். கடுகு வெடித்ததும், கறிவேப்பிலை சேர்த்து சில நொடிகள் வதக்கவும். மாவில் தாளிக்கக் கொடுத்தவற்றைச் சேர்த்து நன்கு கலக்கவும்.
1/2 டீஸ்பூன் எனோ, ஒரு டீஸ்பூன் தண்ணீர் சேர்த்து நன்கு கலக்கவும்.
ஒரு பாத்திரத்தில் 3 டீஸ்பூன் எண்ணெயைச் சூடாக்கி, கடுகு சேர்த்து, அது வெடித்ததும், சீரகம், எள், ஹிங் மற்றும் கறிவேப்பிலை சேர்க்கவும்.
விதைகள் வெடித்ததும், 5 கரண்டி ஹேண்ட்வோ மாவைச் சேர்க்கவும். சிறிது பரப்பி, மூடி வைத்து குறைந்த தீயில் 6-7 நிமிடங்கள் சமைக்கவும்.
மூலைகள் மேலே எழ ஆரம்பித்ததும், அதை மறுபுறம் திருப்பி, மேலும் 6-7 நிமிடங்கள் சமைக்கவும்.
வெந்தவுடன், வாணலியில் இருந்து இறக்கவும். அது குளிர்ந்ததும், துண்டுகளாக வெட்டி மகிழவும்.</t>
  </si>
  <si>
    <t>https://i0.wp.com/binjalsvegkitchen.com/wp-content/uploads/2023/09/Gujarati-Handvo-H2.jpg?resize=600%2C904&amp;ssl=1</t>
  </si>
  <si>
    <t>https://youtu.be/KqlUq1TynuY</t>
  </si>
  <si>
    <t>Dibba Rott</t>
  </si>
  <si>
    <t xml:space="preserve">
திப்பா ரோட்</t>
  </si>
  <si>
    <t xml:space="preserve">1/2 cup - Urad dal,
1 1/4 cup - Rice Rava,
Salt needed,
1 -  inch Ginger,
2 - Green Chillies,
1 tsp - Cumin seeds,
4 tbsp -  Oil.
</t>
  </si>
  <si>
    <t>1/2 கப் - உளுத்தம் பருப்பு,
1 1/4 கப் - அரிசி ரவா,
தேவையான உப்பு,
1 அங்குல இஞ்சி,
2 - பச்சை மிளகாய்,
1 தேக்கரண்டி - சீரகம்,
4 தேக்கரண்டி - எண்ணெய்.</t>
  </si>
  <si>
    <t>Grind ginger, green chillies and cumin seed coarsely and mix it with the batter. You can make even plain dibba rotti without ginger, green chillies.
Heat 4 tbsp of oil in a kadai. When the oil is hot, reduce the heat to low and add a bowlful of batter.
Cook covered on low heat for 10 minutes.
Once it starts leaving the sides of the kadai, flip it over to the other side.
Cook for another 8-10 minutes.
Once done, remove from pan. Cut it into wedges and serve hot with any chutney or sambar.</t>
  </si>
  <si>
    <t>இஞ்சி, பச்சை மிளகாய் மற்றும் சீரகத்தை கரடுமுரடாக அரைத்து, மாவுடன் கலக்கவும். இஞ்சி, பச்சை மிளகாய் இல்லாமல் சாதாரண திப்பா ரோட்டியை கூட செய்யலாம்.
ஒரு கடாயில் 4 தேக்கரண்டி எண்ணெயை சூடாக்கவும். எண்ணெய் சூடானதும், தீயை குறைத்து ஒரு கிண்ணம் மாவை சேர்க்கவும்.
குறைந்த தீயில் 10 நிமிடங்கள் மூடி வைக்கவும்.
அது கடாயின் பக்கங்களை விட்டு வெளியேற ஆரம்பித்ததும், அதை மறுபுறம் திருப்பி வைக்கவும்.
மற்றொரு 8-10 நிமிடங்கள் சமைக்கவும்.
தயாரானதும், வாணலியில் இருந்து இறக்கி, துண்டுகளாக வெட்டி, எந்த சட்னி அல்லது சாம்பாருடன் சூடாக பரிமாறவும்.</t>
  </si>
  <si>
    <t>https://vismaifood.com/storage/app/uploads/public/6cc/4a9/f48/thumb__1200_0_0_0_auto.jpg</t>
  </si>
  <si>
    <t>https://youtu.be/eiSIuVLfuXI</t>
  </si>
  <si>
    <t xml:space="preserve">   Poha – 1 cup,
   Onion – 2 ,
   Green Chilli – 1,
   Ginger-garlic paste – 1/2 tsp,
   Tomato – 3 big ripe ones,
   Salt to taste,
   Turmeric powder – 1/4 tsp,
   Chilli powder – 1/2 tsp,
   Coriander powder – 1 tsp,
   Oil – 2 tbsp,
   Mustard seeds – 1 tsp,
   Cumin seeds – 1 tsp,
   Hing - a generous pinch,
   Red chilli – 2,
   Curry leaves – a sprig,
   Coriander leaves.</t>
  </si>
  <si>
    <t>போஹா – 1 கப்,
வெங்காயம் – 2 ,
பச்சை மிளகாய் – 1,
இஞ்சி-பூண்டு விழுது – 1/2 தேக்கரண்டி,
தக்காளி – 3 பெரிய பழுத்தவை,
ருசிக்க உப்பு,
மஞ்சள் தூள் – 1/4 தேக்கரண்டி,
மிளகாய் தூள் – 1/2 தேக்கரண்டி,
கொத்தமல்லி தூள் – 1 தேக்கரண்டி,
எண்ணெய் – 2 தேக்கரண்டி,
கடுகு – 1 தேக்கரண்டி,
சீரகம் – 1 தேக்கரண்டி,
பெருங்காயம் - ஒரு சிட்டிகை,
சிவப்பு மிளகாய் – 2,
கறிவேப்பிலை – ஒரு தளிர்,
கொத்தமல்லி இலைகள்.</t>
  </si>
  <si>
    <t>Heat oil in a pan, add mustard seeds, cumin seeds, hing and red chillies.
When mustard and cumin seeds sizzles, add chopped onions, green chilli and curry leaves.
Saute until onions turn transparent. Add ginger-garlic paste and saute for a few more minutes.
Add chopped tomatoes, turmeric powder, chilli powder, coriander powder and salt needed.
Cook until tomatoes become mushy and the rawness of the tomato goes.
Now add the drained poha and mix well. Check for salt. Add if needed.
Garnish with coriander leaves and enjoy hot tomato poha for breakfast or dinner or as a snack.</t>
  </si>
  <si>
    <t>ஒரு கடாயில் எண்ணெயை சூடாக்கி, கடுகு, சீரகம், கீரை மற்றும் சிவப்பு மிளகாய் சேர்க்கவும்.
கடுகு மற்றும் சீரகம் வதங்கியதும், நறுக்கிய வெங்காயம், பச்சை மிளகாய் மற்றும் கறிவேப்பிலை சேர்க்கவும்.
வெங்காயம் வெளிப்படையானதாக மாறும் வரை வதக்கவும். இஞ்சி-பூண்டு விழுது சேர்த்து மேலும் சில நிமிடங்கள் வதக்கவும்.
நறுக்கிய தக்காளி, மஞ்சள் தூள், மிளகாய் தூள், கொத்தமல்லி தூள் மற்றும் தேவையான உப்பு சேர்க்கவும்.
தக்காளி மென்மையாகி, தக்காளியின் பச்சைத்தன்மை போகும் வரை சமைக்கவும்.
இப்போது வடிகட்டிய போஹாவைச் சேர்த்து நன்கு கலக்கவும். உப்பு சரிபார்த்துக்கொள்ளவும். தேவைப்பட்டால் சேர்க்கவும்.
கொத்தமல்லி இலைகளால் அலங்கரித்து, சூடான தக்காளி போஹாவை காலை உணவு அல்லது இரவு உணவாகவோ அல்லது சிற்றுண்டியாகவோ அனுபவிக்கவும்.</t>
  </si>
  <si>
    <t>Set Dosa</t>
  </si>
  <si>
    <t>தோசை அமைக்கவும்</t>
  </si>
  <si>
    <t xml:space="preserve">   Idli Rice – 2 cups,
   Urad dal  – 1/2 cup,
   Fenugreek seeds – 1 tsp,
   Beaten rice - 1 cup,
   Salt – as needed,
   Oil for making dosas.</t>
  </si>
  <si>
    <t>இட்லி அரிசி - 2 கப்,
உளுத்தம் பருப்பு - 1/2 கப்,
வெந்தயம் - 1 டீஸ்பூன்,
துருவிய அரிசி - 1 கப்,
உப்பு - தேவைக்கேற்ப,
தோசை செய்வதற்கு எண்ணெய்.</t>
  </si>
  <si>
    <t>Mix the batter well. Take a ladle of batter and spread it to a medium sized circle. This dosa will be a little thick but soft and spongy like uthappam. (if the batter is too thick, add a little water and mix it well before making dosas).
Drizzle a tsp of oil around the dosa. Cover it with a lid.
Once you find the corners lifting up, flip the dosa to the other side and cook for few minutes.
Remove from the tawa and enjoy super soft and delicious set dosa with any chutney or sambar or vada curry or vegetable sagu. Repeat the same for the rest of the batter.</t>
  </si>
  <si>
    <t>மாவை நன்றாக கலக்கவும். ஒரு கரண்டி மாவை எடுத்து நடுத்தர அளவிலான வட்டத்தில் பரப்பவும். இந்த தோசை கொஞ்சம் தடிமனாக இருக்கும், ஆனால் ஊத்தப்பம் போல மென்மையாகவும் பஞ்சுபோன்றதாகவும் இருக்கும். (மாவு மிகவும் கெட்டியாக இருந்தால், சிறிது தண்ணீர் சேர்த்து தோசை செய்வதற்கு முன் நன்றாக கலக்கவும்).
தோசையைச் சுற்றி ஒரு தேக்கரண்டி எண்ணெயைத் தெளிக்கவும். அதை ஒரு மூடியால் மூடி வைக்கவும்.
மூலைகள் மேலே உயர்ந்ததைக் கண்டதும், தோசையை மறுபுறம் திருப்பி சில நிமிடங்கள் சமைக்கவும்.
தவாவிலிருந்து அகற்றி, சட்னி அல்லது சாம்பார் அல்லது வடை கறி அல்லது காய்கறி சாகுவுடன் மிகவும் மென்மையான மற்றும் சுவையான செட் தோசையை அனுபவிக்கவும். மீதமுள்ள மாவிற்கும் இதையே செய்யவும்.</t>
  </si>
  <si>
    <t>https://vanitascorner.com/wp-content/uploads/2021/10/Set-Dosa.jpg</t>
  </si>
  <si>
    <t>https://youtu.be/p450vUfha8g</t>
  </si>
  <si>
    <t>Misal Pav</t>
  </si>
  <si>
    <t xml:space="preserve">
மிசல் பாவ்</t>
  </si>
  <si>
    <t xml:space="preserve">   Dry Moth beans – 1/2 cup,
   Pav Buns – 4,
   Onions – 2 ,
   Dry coconut – 1/2 cup ,
   Garlic – 5 cloves,
   Ginger – 1 inch piece,
   Coriander seeds – 1 tbsp,
   Cumin seeds – 1/2 tbsp,
   Hing – a generous pinch,
   Turmeric Powder – 1/4 tsp,
   Tomato – 2 big,
   Chilli powder – 1 tsp,
   Kolapuri Misal pav masala powder – 2-3 tsp,
   Garam masala powder – 1/2 tsp,
   Oil – 3-4 tbsp,
   Mustard seeds – 1 tsp,
   Cumin Seeds – 3/4 tsp,
   Chivda/mixture,
   Coriander leaves,
   Onion finely chopped,
   Fresh Lemon Juice.</t>
  </si>
  <si>
    <t>உலர்ந்த மோத் பீன்ஸ் - 1/2 கப்,
பாவ் பன்கள் - 4,
வெங்காயம் - 2,
உலர்ந்த தேங்காய் - 1/2 கப்,
பூண்டு - 5 பல்,
இஞ்சி - 1 அங்குல துண்டு,
கொத்தமல்லி விதைகள் - 1 டீஸ்பூன்,
சீரகம் - 1/2 டீஸ்பூன்,
பெருங்காயம் - ஒரு சிட்டிகை,
மஞ்சள் தூள் - 1/4 டீஸ்பூன்,
தக்காளி - 2 பெரியது,
மிளகாய் தூள் - 1 டீஸ்பூன்,
கோலாபுரி மிசல் பாவ் மசாலா தூள் - 2-3 டீஸ்பூன்,
கரம் மசாலா தூள் - 1/2 டீஸ்பூன்,
எண்ணெய் - 3-4 டீஸ்பூன்,
கடுகு விதைகள் - 1 டீஸ்பூன்,
சீரகம் விதைகள் - 3/4 டீஸ்பூன்,
சிவ்டா/கலவை,
கொத்தமல்லி இலைகள்,
வெங்காயம் நன்றாக நறுக்கியது,
புதிய எலுமிச்சை சாறு.</t>
  </si>
  <si>
    <t>Wash and soak 1/2 cup moth beans overnight. Then wash again the next morning, drain the water completely and leave it to sprout. Check how to sprout beans.Wash and soak 1/2 cup moth beans overnight. Then wash again the next morning, drain the water completely and leave it to sprout. Check how to sprout beans.
Now add salt, turmeric powder, a cup of water and pressure cook the moth sprouts for 2 whistles.
Once the pressure subsides, open the cooker and strain the water from the cooked moth beans. Keep the water/stock and the cooked sprouted moth beans aside.
Heat 2 tsp of oil and saute the dry coconut until it turns golden brown. Remove from the pan and keep it aside.
Heat another 3 tsp of oil and saute onion, ginger, garlic until onions turn light brown. Then add coriander seeds and cumin seeds and saute until they get roasted.
Once the mixture cools, grind it to a smooth paste with little water along with chopped tomato, turmeric powder, hing and few coriander leaves.
Our masala paste is ready.
Heat 3-4 tbsp oil (yes, you need this much oil for making this gravy), add cumin seeds and mustard seeds, when it splutters, reduce the heat to low, add red chilli powder and misal pav masala powder (available ready made). Mix well and cook for a few seconds.
Add the ground masala paste.
Add salt and cook stirring until it leaves oil.
Add garam masala powder.
Now add the cooked moth sprouts and mix well so that it is well coated with the masala.
Add the reserved stock and another cup of plain water.
Boil well on medium heat for few minutes.
In a bowl, add the sprouts alone from the prepared gravy.
Top it with finely chopped onions and coriander leaves.
Top it with chivda/mixture.
Now add the spicy water of misal. Then top it again with more chopped onions and coriander leaves.
Squeeze juice of lemon as needed and enjoy it with pav buns. Dip the pav in that gravy and enjoy it. If preferred you can toast the pav with butter.</t>
  </si>
  <si>
    <t>1/2 கப் மோத் பீன்ஸை கழுவி இரவு முழுவதும் ஊற வைக்கவும். பின்னர் மறுநாள் காலையில் மீண்டும் கழுவி, தண்ணீரை முழுவதுமாக வடிகட்டி, முளைக்க விடவும். பீன்ஸ் எப்படி முளைக்கிறது என்று பாருங்கள்.
இப்போது உப்பு, மஞ்சள் தூள், ஒரு கப் தண்ணீர் சேர்த்து, அந்துப்பூச்சி முளைகளை 2 விசில் வரை வேக வைக்கவும்.
அழுத்தம் குறைந்தவுடன், குக்கரைத் திறந்து, சமைத்த அந்துப்பூச்சி பீன்ஸிலிருந்து தண்ணீரை வடிகட்டவும். தண்ணீர்/ஸ்டாக் மற்றும் சமைத்த அந்துப்பூச்சி பீன்ஸை ஒதுக்கி வைக்கவும்.
2 தேக்கரண்டி எண்ணெயை சூடாக்கி, உலர்ந்த தேங்காயை பொன்னிறமாகும் வரை வதக்கவும். வாணலியில் இருந்து எடுத்து ஒதுக்கி வைக்கவும்.
மேலும் 3 தேக்கரண்டி எண்ணெயை சூடாக்கி, வெங்காயம், இஞ்சி, பூண்டு ஆகியவற்றை வெங்காயம் வெளிர் பழுப்பு நிறமாகும் வரை வதக்கவும். பின்னர் கொத்தமல்லி விதைகள் மற்றும் சீரகத்தை சேர்த்து அவை வறுக்கப்படும் வரை வதக்கவும்.
கலவை குளிர்ந்ததும், சிறிது தண்ணீர் சேர்த்து நறுக்கிய தக்காளி, மஞ்சள் தூள், கீல் மற்றும் சில கொத்தமல்லி இலைகளுடன் மென்மையான பேஸ்டாக அரைக்கவும்.
எங்கள் மசாலா பேஸ்ட் தயார்.
3-4 தேக்கரண்டி எண்ணெயை சூடாக்கவும் (ஆம், இந்த கிரேவி செய்ய உங்களுக்கு இவ்வளவு எண்ணெய் தேவை), சீரகம் மற்றும் கடுகு விதைகளைச் சேர்த்து, அது வதங்கியதும், தீயைக் குறைத்து, சிவப்பு மிளகாய் தூள் மற்றும் மிசல் பாவ் மசாலா பவுடர் (ரெடிமேட் கிடைக்கும்) சேர்க்கவும். நன்றாகக் கலந்து சில நொடிகள் சமைக்கவும்.
அரைத்த மசாலா விழுதைச் சேர்க்கவும்.
உப்பு சேர்த்து எண்ணெய் போகும் வரை கிளறவும்.
கரம் மசாலாப் பொடியைச் சேர்க்கவும்.
இப்போது சமைத்த மொட்டு முளைகளைச் சேர்த்து மசாலாவுடன் நன்கு பூசவும்.
ஒதுக்கப்பட்ட குழம்பு மற்றும் மற்றொரு கப் வெற்று நீரைச் சேர்க்கவும்.
சில நிமிடங்கள் மிதமான தீயில் நன்கு கொதிக்க வைக்கவும்.
ஒரு பாத்திரத்தில், தயாரிக்கப்பட்ட குழம்பிலிருந்து முளைகளை மட்டும் சேர்க்கவும்.
அதன் மேல் இறுதியாக நறுக்கிய வெங்காயம் மற்றும் கொத்தமல்லி இலைகளைச் சேர்க்கவும்.
அதன் மேல் சிவ்டா/கலவையைச் சேர்க்கவும்.
இப்போது மிசால் காரமான தண்ணீரைச் சேர்க்கவும். பின்னர் மீண்டும் நறுக்கிய வெங்காயம் மற்றும் கொத்தமல்லி இலைகளைச் சேர்க்கவும்.
தேவைக்கேற்ப எலுமிச்சை சாற்றைப் பிழிந்து பாவ் பன்களுடன் சேர்த்து மகிழுங்கள். அந்த கிரேவியில் பாவை நனைத்து மகிழுங்கள். விரும்பினால் நீங்கள் பாவை வெண்ணெயுடன் டோஸ்ட் செய்யலாம்.</t>
  </si>
  <si>
    <t>https://www.ohmyveg.co.uk/wp-content/uploads/2023/12/Misal-Pav-2-2-e1722869218662-735x735.jpg</t>
  </si>
  <si>
    <t>Soft Idlis in Mixie</t>
  </si>
  <si>
    <t>மிக்ஸியில் மென்மையான இட்லிகள்</t>
  </si>
  <si>
    <t xml:space="preserve">   Idli Par boiled rice – 2 cups,
   Whole skinned urad dal – 1/2 cup,
   Fenugreek seeds – 1/2 tsp,
   Beaten rice – 1/3 cup,
   Sea Salt – 2 tsp or as required,
   Ice water for grinding.</t>
  </si>
  <si>
    <t>இட்லி பருப்பில் வேகவைத்த அரிசி - 2 கப்,
முழு தோல் நீக்கிய உளுத்தம் பருப்பு - 1/2 கப்,
வெந்தயம் விதைகள் - 1/2 தேக்கரண்டி,
அடிக்கப்பட்ட அரிசி - 1/3 கப்,
கடல் உப்பு - 2 தேக்கரண்டி அல்லது தேவைக்கேற்ப,
அரைப்பதற்கு ஐஸ் தண்ணீர்.</t>
  </si>
  <si>
    <t xml:space="preserve">Wash and soak whole urad dal (without skin) and fenugreek seeds in water for 6-7 hours. After an hour or two, keep the urad dal with the water in the refrigerator. We can use that water (needed water) for grinding. (do not use split urad dal for idlis).
Wash and soak rice for 6-7 hours.
Soak poha/aval for 1 hour before grinding.
Grind urad dal + fenugreeks seeds in the mixie until smooth. Keep these things in mind when grinding the urad dal batter in mixie. Grind urad dal adding ice water little at a time, with few seconds gap inbetween. Do not operate the mixie continuously. Finally add a little ice cold water and use the whipper mode to grind the urad dal. This will give you fluffy batter. Transfer it to a container.
Now let the mixie rest for 10 minutes as it would have been heated by now.
Grind rice in 2 batches. Grind rice along with beaten rice/poha until slightly grainy. (a little finer than rava/semolina). Again use ice water for grinding and do not operate the mixie continuously.
Now mix the rice batter with the urad dal batter. Add salt and mix it well with your hands. By mixing with our hands enough air will be incorporated into the mixture. This will also aid fermentation. 
how to make idli dosa batter in mixie
On the whole I have used just 1 cup and 3 tbsp of water for grinding both urad dal and rice. This is just an approximate measure for you to have an idea. This may vary.
The consistency of the batter should not be too thick nor too thin. When you dip the ladle into the batter, it should coat the back of the ladle and when you take a ladle of batter and drop it back into the container, the batter should fall back into the bowl in ribbons, which slowly disappears back into the mixture. So getting the right batter consistency is important for soft idlis, whether you grind it in the mixie or wet grinder.
Just as consistency of the batter is important, proper fermentation is also important. Fermentation time depends on the weather conditons.
I kept it covered overnight and see how beautifully the batter has fermented.
Now mix the fermented batter well and refrigerate it, if you are not going to make idlis immediately.
Boil water in a steamer, once water starts boiling, grease idli moulds and pour a small ladle of batter into the moulds. (As it is just 5 idlis, I used a kadai and an idli mould – lined the idli plate with a damp thin muslin cloth and poured the batter into the mold, this will give a nice texture to the idlis).
Steam for 10-12 minutes or until it is cooked.
Enjoy soft and spongy idlis with any side dish of your choice. </t>
  </si>
  <si>
    <t>முழு உளுத்தம் பருப்பையும் (தோல் இல்லாமல்) மற்றும் வெந்தய விதைகளையும் கழுவி 6-7 மணி நேரம் தண்ணீரில் ஊற வைக்கவும். ஒன்று அல்லது இரண்டு மணி நேரம் கழித்து, உளுத்தம் பருப்பை குளிர்சாதன பெட்டியில் தண்ணீருடன் வைக்கவும். அந்த தண்ணீரை (தேவையான தண்ணீர்) அரைக்க பயன்படுத்தலாம். (இட்லிக்கு பிளவுபட்ட உளுத்தம் பருப்பைப் பயன்படுத்த வேண்டாம்).
அரிசியைக் கழுவி 6-7 மணி நேரம் ஊற வைக்கவும்.
அரைப்பதற்கு முன் போஹா/அவலை 1 மணி நேரம் ஊற வைக்கவும்.
உளுத்தம் பருப்பை + வெந்தய விதைகளை மிக்ஸியில் மென்மையாக அரைக்கவும். உளுத்தம் பருப்பை மிக்ஸியில் அரைக்கும்போது இந்த விஷயங்களை மனதில் கொள்ளுங்கள். உளுத்தம்பருப்பை, ஐஸ் தண்ணீரை சிறிது சிறிதாக, இடையில் சில வினாடிகள் இடைவெளி விட்டு அரைக்கவும். மிக்ஸியை தொடர்ந்து பயன்படுத்த வேண்டாம். இறுதியாக சிறிது ஐஸ் குளிர்ந்த நீரைச் சேர்த்து, விப்பர் பயன்முறையைப் பயன்படுத்தி உளுத்தம்பருப்பை அரைக்கவும். இது உங்களுக்குப் பஞ்சுபோன்ற மாவைத் தரும். அதை ஒரு கொள்கலனுக்கு மாற்றவும்.
இப்போது மிக்ஸி 10 நிமிடங்கள் அப்படியே விடவும், ஏனெனில் அது ஏற்கனவே சூடாக்கப்பட்டிருக்கும்.
அரிசியை 2 துண்டுகளாக அரைக்கவும். அரிசியை அடித்த அரிசி/போஹாவுடன் சிறிது தானியமாக அரைக்கவும். (ரவா/ரவையை விட சற்று நன்றாக). மீண்டும் அரைக்க ஐஸ் தண்ணீரைப் பயன்படுத்தவும், மிக்ஸியை தொடர்ந்து பயன்படுத்த வேண்டாம்.
இப்போது அரிசி மாவை உளுத்தம்பருப்பு மாவுடன் கலக்கவும். உப்பு சேர்த்து உங்கள் கைகளால் நன்றாக கலக்கவும். நம் கைகளால் கலப்பதன் மூலம் கலவையில் போதுமான காற்று சேர்க்கப்படும். இது நொதித்தலுக்கும் உதவும்.
மிக்ஸியில் இட்லி தோசை மாவு செய்வது எப்படி
மொத்தத்தில், உளுத்தம்பருப்பு மற்றும் அரிசி இரண்டையும் அரைக்க நான் 1 கப் மற்றும் 3 டேபிள்ஸ்பூன் தண்ணீரை மட்டுமே பயன்படுத்தினேன். உங்களுக்கு ஒரு யோசனை வர இது ஒரு தோராயமான அளவீடு மட்டுமே. இது மாறுபடலாம்.
மாவின் நிலைத்தன்மை மிகவும் தடிமனாகவோ அல்லது மெல்லியதாகவோ இருக்கக்கூடாது. நீங்கள் மாவில் கரண்டியை நனைக்கும்போது, ​​அது கரண்டியின் பின்புறத்தை பூச வேண்டும், நீங்கள் ஒரு கரண்டி மாவை எடுத்து மீண்டும் கொள்கலனில் போடும்போது, ​​மாவு மீண்டும் கிண்ணத்தில் ரிப்பன்களாக விழ வேண்டும், அது மெதுவாக கலவையில் மறைந்துவிடும். எனவே மிக்ஸியில் அரைத்தாலும் சரி, ஈரமான கிரைண்டரில் அரைத்தாலும் சரி, மென்மையான இட்லிகளுக்கு சரியான மாவு நிலைத்தன்மையைப் பெறுவது முக்கியம்.
மாவின் நிலைத்தன்மை முக்கியமானது போலவே, சரியான நொதித்தலும் முக்கியம். நொதித்தல் நேரம் வானிலை நிலைமைகளைப் பொறுத்தது.
நான் அதை இரவு முழுவதும் மூடி வைத்திருந்தேன், மாவு எவ்வளவு அழகாக புளித்திருக்கிறது என்று பார்த்தேன்.
இப்போது புளித்த மாவை நன்கு கலந்து குளிர்சாதன பெட்டியில் வைக்கவும், நீங்கள் உடனடியாக இட்லிகளை செய்யப் போவதில்லை என்றால்.
நீராவியில் தண்ணீரை கொதிக்க விடவும், தண்ணீர் கொதிக்க ஆரம்பித்ததும், இட்லி அச்சுகளில் கிரீஸ் செய்து, அச்சுகளில் ஒரு சிறிய கரண்டி மாவை ஊற்றவும். (5 இட்லிகள் மட்டுமே என்பதால், நான் ஒரு கடாய் மற்றும் ஒரு இட்லி அச்சு பயன்படுத்தினேன் - இட்லி தட்டில் ஈரமான மெல்லிய மஸ்லின் துணியால் வரிசையாக வைத்து, மாவை அச்சுக்குள் ஊற்றினால், இட்லிக்கு ஒரு நல்ல அமைப்பு கிடைக்கும்).
10-12 நிமிடங்கள் அல்லது அது வேகும் வரை ஆவியில் வேகவைக்கவும்.
மென்மையான மற்றும் பஞ்சுபோன்ற இட்லிகளை உங்களுக்கு விருப்பமான எந்த சைட் டிஷுடனும் அனுபவிக்கவும்.</t>
  </si>
  <si>
    <t>https://www.kannammacooks.com/wp-content/uploads/soft-idli-batter-recipe-using-idli-rava-mixie-blender-method.jpg</t>
  </si>
  <si>
    <t>Ragi Kuzhi Paniyaram</t>
  </si>
  <si>
    <t>ராகி குழி பணியாரம்</t>
  </si>
  <si>
    <t xml:space="preserve">   Finger Millet – 1 cup,
   Raw Rice – 3/4 cup,
   Idli Rice – 3/4 cup,
   Urad dal – 1/4 cup,
   Salt to taste,
   Oil – 1 tbsp,
   Mustard seeds – 1 tsp,
   Bengal gram – 2 tbsp,
   Urad dal – 2 tbsp
   Whole black peppercorns – 1 tsp,
   Salt to taste,
   Shallots – 15,
   Green Chilli – 1-2,
   Ginger – 1/2 inch piece,
   Coriander Leaves – 2-3 tbsp finely chopped,
   Tender Curry leaves – a sprig,
   Oil for frying paniyarams.</t>
  </si>
  <si>
    <t>தினை - 1 கப்,
பச்சை அரிசி - 3/4 கப்,
இட்லி அரிசி - 3/4 கப்,
உரத்தப்பருப்பு - 1/4 கப்,
உரத்தப்பருப்பு - 1/4 கப்,
உரத்தப்பருப்பு - ருசிக்க உப்பு,
எண்ணெய் - 1 டீஸ்பூன்,
கடுகு - 1 டீஸ்பூன்,
பெங்கால் பருப்பு - 2 டீஸ்பூன்,
உரத்தப்பருப்பு - 2 டீஸ்பூன்
முழு கருப்பு மிளகு - 1 டீஸ்பூன்,
சுவைக்கு உப்பு,
வெங்காயம் - 15,
பச்சை மிளகாய் - 1-2,
இஞ்சி - 1/2 அங்குல துண்டு,
கொத்தமல்லி இலைகள் - 2-3 டீஸ்பூன் பொடியாக நறுக்கியது,
இளஞ்சி கறிவேப்பிலை - ஒரு தளிர்,
பணியாரம் வறுக்க எண்ணெய்.</t>
  </si>
  <si>
    <t>Heat oil in a pan, add mustard seeds, when it sizzles, add bengal gram, urad dal and whole black pepper corns. You can also add broken cashew nuts if preferred.
When dal turns golden brown, add finely chopped pearl onions, finely chopped ginger and green chillies and curry leaves.
When onion turns transparent, add finely chopped coriander leaves, salt needed and remove from heat.
Mix it with the batter.
Heat paniyaram pan, add 1/2 tsp oil inside the cavities/holes.
Fill the holes with the batter. Cook covered on low heat.
Once you find the corners lifting up, flip it over to the other side with a spoon or paniyaram stick.
Cook on low heat uncovered until done. Simply take a toothpick/paniyaram stick and insert it into the center of the paniyaram, if it comes out clean, it is done.
Serve paniyaram hot with any chutney of your choice.</t>
  </si>
  <si>
    <t xml:space="preserve">ஒரு கடாயில் எண்ணெயை சூடாக்கி, கடுகு சேர்த்து, அது கொதிக்கும் போது, ​​வங்காள பருப்பு, உளுத்தம்பருப்பு மற்றும் முழு கருப்பு மிளகு சேர்க்கவும். விரும்பினால் உடைத்த முந்திரி பருப்புகளையும் சேர்க்கலாம்.
பருப்பு பொன்னிறமாக மாறியதும், பொடியாக நறுக்கிய முத்து வெங்காயம், பொடியாக நறுக்கிய இஞ்சி, பச்சை மிளகாய், கறிவேப்பிலை ஆகியவற்றைச் சேர்க்கவும்.
வெங்காயம் தெளிவாக மாறியதும், பொடியாக நறுக்கிய கொத்தமல்லி இலைகள், தேவையான அளவு உப்பு சேர்த்து அடுப்பிலிருந்து இறக்கவும்.
மாவுடன் கலக்கவும்.
பணியாரம் வாணலியை சூடாக்கி, குழிகள்/துளைகளுக்குள் 1/2 தேக்கரண்டி எண்ணெய் சேர்க்கவும்.
மாவை நிரப்பவும். குறைந்த தீயில் மூடி வைக்கவும்.
மூலைகள் மேலே உயர்ந்ததைக் கண்டதும், அதை மறுபுறம் ஒரு கரண்டி அல்லது பணியாரம் குச்சியால் திருப்பி வைக்கவும்.
மூடி வைக்காமல் குறைந்த தீயில் சமைக்கவும். ஒரு டூத்பிக்/ பணியாரம் குச்சியை எடுத்து பணியாரத்தின் மையத்தில் செருகவும், அது சுத்தமாக வெளியே வந்தால், அது முடிந்தது.
பணியாரத்தை உங்களுக்கு விருப்பமான எந்த சட்னியுடன் சூடாக பரிமாறவும். </t>
  </si>
  <si>
    <t>https://encrypted-tbn0.gstatic.com/images?q=tbn:ANd9GcTZBIaPg4O1FghmCWys7yZTgh5Ha3ub7XnzLQ&amp;s</t>
  </si>
  <si>
    <t>Capsicum Cheese Paratha</t>
  </si>
  <si>
    <t>கேப்சிகம் சீஸ் பராத்தா</t>
  </si>
  <si>
    <t xml:space="preserve">   Wheat flour – 1 cup,
   Rice flour – 1 tbsp,
   Salt – 1/4 tsp,
   Oil – 1 tbsp,
   Carom seeds – 1/4 tsp,
   Garlic – 2 cloves,
   Onion – 1,
   Ginger-garlic paste – 1/2 tsp,
   Capsicum – 1 cup,
   Salt needed,
   Chilli powder – 1/2 tsp,
   Turmeric powder – 1/4 tsp,
   Coriander powder – 1 tsp,
   Roasted cumin powder – 1/2 tsp,
   Kitchen king masala – 1/2-3/4 tsp,
   Coriander Leaves – 2 tbsp,
   Cheese mozzarella – 1/3 cup,
   Oil for tawa frying parathas.</t>
  </si>
  <si>
    <t>கோதுமை மாவு - 1 கப்,
அரிசி மாவு - 1 டேபிள் ஸ்பூன்,
உப்பு - 1/4 டேபிள் ஸ்பூன்,
எண்ணெய் - 1 டேபிள் ஸ்பூன்,
கேரம் விதைகள் - 1/4 டேபிள் ஸ்பூன்,
பூண்டு - 2 பல்,
வெங்காயம் - 1,
இஞ்சி-பூண்டு விழுது - 1/2 டேபிள் ஸ்பூன்,
கேப்சிகம் - 1 கப்,
உப்பு தேவை,
மிளகாய் தூள் - 1/2 டேபிள் ஸ்பூன்,
மஞ்சள் தூள் - 1/4 டேபிள் ஸ்பூன்,
கொத்தமல்லி தூள் - 1 டேபிள் ஸ்பூன்,
வறுத்த சீரக தூள் - 1/2 டேபிள் ஸ்பூன்,
கிச்சன் கிங் மசாலா - 1/2-3/4 டேபிள் ஸ்பூன்,
கொத்தமல்லி இலைகள் - 2 டேபிள் ஸ்பூன்,
சீஸ் மொஸெரெல்லா - 1/3 கப்,
தவா வறுக்க பராத்தாக்களுக்கு எண்ணெய்.</t>
  </si>
  <si>
    <t>Grease your hands with oil and knead the dough well again.
Divide the dough into 8 equal parts. Make smooth balls from the dough. Take 2 balls and roll out each into a small circle (approximately 4-5 inches in diameter). You can dust rice or wheat flour to prevent the dough from sticking to the rolling pin or board.
Place a little stuffing on the top of a rolled out circle and spread the stuffing evenly leaving the corners. 
Then place another rolled out dough on top of it and seal the corners by pressing it lightly.
approximately 7 inches in diameter dusting wheat flour. Repeat the same for the rest of the dough.
Divide the dough into 4 equal parts and make smooth balls out of it.
Roll out a ball into a circle, place a little stuffing on the center. Bring the corners or edges together and seal it well with the capsicum cheese stuffing inside.
Now dust flour and roll it out into a circle approximately 7 inches in diameter.
Heat a tava and put the rolled out paratha on it. Wait for bubbles to appear, apply a tsp of oil (oil + ghee mixed) on the top and flip it over to the other side. Cook both sides well until brown spots appear.
Enjoy delicious capsicum cheese paratha warm with curd or any pickle.</t>
  </si>
  <si>
    <t>உங்கள் கைகளில் எண்ணெயை தடவி மீண்டும் மாவை நன்றாக பிசையவும்.
மாவை 8 சம பாகங்களாகப் பிரிக்கவும். மாவிலிருந்து மென்மையான பந்துகளை உருவாக்கவும். 2 பந்துகளை எடுத்து ஒவ்வொன்றையும் ஒரு சிறிய வட்டமாக (தோராயமாக 4-5 அங்குல விட்டம்) உருட்டவும். மாவு ரோலிங் பின் அல்லது பலகையில் ஒட்டாமல் இருக்க அரிசி அல்லது கோதுமை மாவைத் தூவலாம்.
உருட்டப்பட்ட வட்டத்தின் மேல் சிறிது ஸ்டஃபிங்கை வைத்து, மூலைகளை விட்டு ஸ்டஃபிங்கை சமமாகப் பரப்பவும்.
பின்னர் அதன் மேல் மற்றொரு உருட்டப்பட்ட மாவை வைத்து, அதை லேசாக அழுத்துவதன் மூலம் மூலைகளை மூடவும்.
தோராயமாக 7 அங்குல விட்டம் கொண்ட கோதுமை மாவைத் தூவவும். மீதமுள்ள மாவிற்கும் இதையே செய்யவும்.
மாவை 4 சம பாகங்களாகப் பிரித்து, அதிலிருந்து மென்மையான பந்துகளை உருவாக்கவும்.
ஒரு பந்தை ஒரு வட்டமாக உருட்டி, மையத்தில் சிறிது ஸ்டஃபிங்கை வைக்கவும். மூலைகள் அல்லது விளிம்புகளை ஒன்றாகக் கொண்டு வந்து உள்ளே கேப்சிகம் சீஸ் ஸ்டஃபிங்குடன் நன்றாக மூடவும்.
இப்போது மாவைத் தூவி, தோராயமாக 7 அங்குல விட்டம் கொண்ட வட்டமாக உருட்டவும்.
ஒரு தவாவை சூடாக்கி, அதன் மீது உருட்டப்பட்ட பரோட்டாவை வைக்கவும். குமிழ்கள் தோன்றும் வரை காத்திருந்து, மேலே ஒரு தேக்கரண்டி எண்ணெய் (எண்ணெய் + நெய் கலந்த) தடவி, மறுபுறம் புரட்டவும். பழுப்பு நிற புள்ளிகள் தோன்றும் வரை இருபுறமும் நன்றாக சமைக்கவும்.
சுவையான கேப்சிகம் சீஸ் பரோட்டாவை தயிர் அல்லது வேறு எந்த ஊறுகாயுடனும் சூடாகச் சாப்பிட்டு மகிழுங்கள்.</t>
  </si>
  <si>
    <t>https://encrypted-tbn0.gstatic.com/images?q=tbn:ANd9GcRORtTB07j1kcVrf3T5bl1d1wghweA53XAMJg&amp;s</t>
  </si>
  <si>
    <t>Kerala Appam</t>
  </si>
  <si>
    <t>கேரள ஆப்பம்</t>
  </si>
  <si>
    <t>1 cup - Rice ,
1 cup - Grated coconut ,
1/4 tsp - Instant yeast,
1 tbsp - Sugar,
1/4 tsp - Salt or as needed.</t>
  </si>
  <si>
    <t>1 கப் - அரிசி,
1 கப் - துருவிய தேங்காய்,
1/4 தேக்கரண்டி - உடனடி ஈஸ்ட்,
1 தேக்கரண்டி - சர்க்கரை,
1/4 தேக்கரண்டி - உப்பு அல்லது தேவைக்கேற்ப.</t>
  </si>
  <si>
    <t>Mix the fermented batter well.
Heat an appam pan. Sprinkle little water and check if it is hot enough. If it makes a sizzling sound, the pan is hot enough to make appams.
Pour a ladle of appam batter. Hold the handle with your hands and rotate the pan in a circular motion.
Then put it back on the stove. When you find holes forming on the corners/sides, reduce the heat to low and cook covered.
Once cooked remove the appams with the help of a spatula and serve hot with any stew or sweetened coconut milk.</t>
  </si>
  <si>
    <t>புளித்த மாவை நன்றாக கலக்கவும்.
ஆப்பம் பாத்திரத்தை சூடாக்கவும். சிறிது தண்ணீர் தெளித்து, அது போதுமான அளவு சூடாக இருக்கிறதா என்று சோதிக்கவும். அது ஒரு சத்தம் எழுப்பினால், பாத்திரம் ஆப்பம் தயாரிக்கும் அளவுக்கு சூடாக இருக்கும்.
ஒரு கரண்டி ஆப்பம் மாவை ஊற்றவும். உங்கள் கைகளால் கைப்பிடியைப் பிடித்து வட்ட இயக்கத்தில் வாணலியைச் சுழற்றுங்கள்.
பின்னர் அதை மீண்டும் அடுப்பில் வைக்கவும். மூலைகளிலும்/பக்கங்களிலும் துளைகள் உருவாகுவதைக் கண்டதும், தீயைக் குறைத்து மூடி வைத்து சமைக்கவும்.
சமைத்த பிறகு, ஒரு ஸ்பேட்டூலாவைப் பயன்படுத்தி ஆப்பங்களை அகற்றி, குழம்பு அல்லது இனிப்பு தேங்காய்ப் பாலுடன் சூடாகப் பரிமாறவும்.</t>
  </si>
  <si>
    <t>https://encrypted-tbn0.gstatic.com/images?q=tbn:ANd9GcTcAI3MebS4Bcg-mR3LG8niJ8lJa1iyYnrZxQ&amp;s</t>
  </si>
  <si>
    <t>https://youtu.be/QWUjzgSE_Sk</t>
  </si>
  <si>
    <t xml:space="preserve">   All Purpose flour/maida – 300 grams,
   Salt – 3/4 tsp,
   Butter – 1 tbsp,
   Milk for brushing – 1-2 tsp,
   Yeast – 2 tsp,
   Sugar – 2 tsp,
   Boiled Potatoes – 3 medium sized,
   Onion – 1 ,
   Ginger – 1 inch piece,
   Green chillies – 1-2 ,
   Turmeric powder – 1/4 tsp,
   Salt as needed,
   Oil – 3 tsp,
   Mustard seeds – 1 tsp,
   Cumin seeds – 1 tsp,
   Curry leaves – a sprig,
   Coriander leaves.</t>
  </si>
  <si>
    <t>In a bowl mix together all purpose flour, salt, soft butter and the yeast + sugar mix.
Add more water, little at a time and make a slightly loose/soft dough but not sticky.
Grease your hands with oil and knead the dough until smooth.
Coat/smoothen the dough slightly with oil all over, cover it with a damp cloth and let it sit for one hour. In the meantime we will 
Boil potatoes, peel the skin and mash it well. Do not make it to a paste.
Heat oil in a pan, add mustard seeds and cumin seeds, when it sizzles, add curry leaves, finely chopped onions, ginger and green chilli.
Saute until onions turn transparent.
Add mashed potatoes, turmeric powder and salt needed.
filling for masala buns
Mix well and turn off the heat. Garnish with finely chopped coriander leaves and leave it to cool.
Make golf sized balls from the potato mixture.
Line a baking tray with parchment paper or aluminium foil or grease the tray with oil.
By now the dough would have doubled. Punch the dough with your fist and knead it again slightly.
Divide the dough into 5 equal parts. Take one part, make a smooth ball out of it, flatten it slightly and place the potato filling.
Bring the edges together and pinch to seal it. Shape it into a bun, smoothen the top and place the buns with the sealed side down on the baking tray. Repeat the same for the rest of the dough balls and the potatoes.
Preheat the oven for 10 minutes at 180 degrees C.
When placing the buns on the baking tray, place it with enough space between them. Brush the buns slightly with warm milk.
Bake at 200 degree C for 20 minutes.
Reduce the temperature to 175 degree C and bake for another 10-15 minutes or until done. I used the top coil alone for 5 minutes to brown the top towards the end of baking.
Remove from oven and place it on a wire rack. Once warm, you can enjoy potato stuffed masala buns with ginger tea or coffee or even have it for breakfast.</t>
  </si>
  <si>
    <t>ஒரு பாத்திரத்தில் அனைத்து உபயோக மாவு, உப்பு, மென்மையான வெண்ணெய் மற்றும் ஈஸ்ட் + சர்க்கரை கலவையை ஒன்றாக கலக்கவும்.
ஒரு நேரத்தில் சிறிது சிறிதாக தண்ணீர் சேர்த்து, சற்று தளர்வான/மென்மையான மாவை உருவாக்கவும், ஆனால் ஒட்டும் தன்மை இல்லாமல் செய்யவும்.
கைகளில் எண்ணெயை தடவி, மாவை மென்மையாகும் வரை பிசையவும்.
மாவை முழுவதும் எண்ணெய் தடவி, ஈரமான துணியால் மூடி, ஒரு மணி நேரம் அப்படியே வைக்கவும். இதற்கிடையில்,
உருளைக்கிழங்கை வேகவைத்து, தோலை உரித்து நன்றாக மசித்து விடுவோம். அதை ஒரு பேஸ்டாக மாற்ற வேண்டாம்.
ஒரு கடாயில் எண்ணெயை சூடாக்கி, கடுகு மற்றும் சீரகத்தை சேர்த்து, அது வதங்கியதும், கறிவேப்பிலை, இறுதியாக நறுக்கிய வெங்காயம், இஞ்சி மற்றும் பச்சை மிளகாய் சேர்க்கவும்.
வெங்காயம் வெளிப்படையானதாக மாறும் வரை வதக்கவும்.
மசித்த உருளைக்கிழங்கு, மஞ்சள் தூள் மற்றும் தேவையான உப்பு சேர்க்கவும்.
மசாலா பன்களுக்கு நிரப்புதல்
நன்றாக கலந்து தீயை அணைக்கவும். இறுதியாக நறுக்கிய கொத்தமல்லி இலைகளால் அலங்கரித்து குளிர்விக்க விடவும்.
உருளைக்கிழங்கு கலவையிலிருந்து கோல்ஃப் அளவிலான பந்துகளை உருவாக்கவும்.
பேக்கிங் தட்டில் காகிதத்தோல் அல்லது அலுமினியத் தாளால் வரிசைப்படுத்தவும் அல்லது தட்டில் எண்ணெயை தடவவும்.
இப்போது மாவு இரட்டிப்பாகியிருக்கும். மாவை உங்கள் கையால் குத்தி மீண்டும் சிறிது பிசையவும்.
மாவை 5 சம பாகங்களாகப் பிரிக்கவும். ஒரு பகுதியை எடுத்து, அதிலிருந்து ஒரு மென்மையான பந்தை உருவாக்கி, சிறிது தட்டையாக்கி, உருளைக்கிழங்கு நிரப்பியை வைக்கவும்.
விளிம்புகளை ஒன்றாகக் கொண்டு வந்து அதை மூட கிள்ளவும். அதை ஒரு ரொட்டியாக வடிவமைத்து, மேற்புறத்தை மென்மையாக்கி, பேக்கிங் தட்டில் சீல் செய்யப்பட்ட பக்கத்தை கீழே வைத்து பன்களை வைக்கவும். மீதமுள்ள மாவு உருண்டைகள் மற்றும் உருளைக்கிழங்கிற்கும் இதையே செய்யவும்.
180 டிகிரி செல்சியஸில் 10 நிமிடங்கள் அடுப்பை முன்கூட்டியே சூடாக்கவும்.
பன்களை பேக்கிங் தட்டில் வைக்கும்போது, ​​அவற்றுக்கிடையே போதுமான இடைவெளியுடன் வைக்கவும். சூடான பாலில் பன்களை சிறிது துலக்கவும்.
200 டிகிரி செல்சியஸில் 20 நிமிடங்கள் சுடவும்.
வெப்பநிலையை 175 டிகிரி செல்சியஸாகக் குறைத்து, மேலும் 10-15 நிமிடங்கள் அல்லது முடியும் வரை சுடவும். பேக்கிங்கின் முடிவில் மேல் பகுதியை பழுப்பு நிறமாக்க, மேல் சுருளை மட்டும் 5 நிமிடங்கள் பயன்படுத்தினேன்.
அடுப்பிலிருந்து இறக்கி ஒரு கம்பி ரேக்கில் வைக்கவும். சூடாக்கப்பட்ட பிறகு, நீங்கள் இஞ்சி டீ அல்லது காபியுடன் உருளைக்கிழங்கு ஸ்டஃப்டு மசாலா பன்களை அனுபவிக்கலாம் அல்லது காலை உணவாக கூட சாப்பிடலாம்.</t>
  </si>
  <si>
    <t>https://sinfullyspicy.com/wp-content/uploads/2011/08/Masala-Buns-Featured-Image.jpg</t>
  </si>
  <si>
    <t>Samba Godhumai Rava Dosai</t>
  </si>
  <si>
    <t>சம்பா கோதுமை ரவா தோசை</t>
  </si>
  <si>
    <t xml:space="preserve">   Broken wheat rava – 1 cup,
   Rice – 1/2 cup,
   Whole urad dal  – 1/2 cup,
   Fenugreek seeds – 1/2 tsp,
   Salt as needed,
   Sesame seed oil for making dosas.</t>
  </si>
  <si>
    <t>உடைத்த கோதுமை ரவா - 1 கப்,
அரிசி - 1/2 கப்,
முழு உளுத்தம் பருப்பு - 1/2 கப்,
வெந்தயம் - 1/2 டீஸ்பூன்,
தேவைக்கேற்ப உப்பு,
தோசை செய்வதற்கு எள் விதை எண்ணெய்.</t>
  </si>
  <si>
    <t>Heat a tawa, once it is hot, pour a ladle of batter and spread it in a circular motion.
Drizzle a tsp of oil around the dosa.
Once the corners starts to lift up, flip over the dosa to the other side.
Drizzle another 1/4 tsp of oil. Once the dosa is cooked, remove from tawa and serve immediately.
Broken Wheat Dosa Recipe-Dalia Dosa
Repeat the same process for the rest of the batter.
Serve with sambar or any chutney of your choice.</t>
  </si>
  <si>
    <t>ஒரு தவாவை சூடாக்கி, அது சூடானதும், ஒரு கரண்டி மாவை ஊற்றி வட்ட இயக்கத்தில் பரப்பவும்.
தோசையைச் சுற்றி ஒரு டீஸ்பூன் எண்ணெயைத் தெளிக்கவும்.
மூலைகள் மேலே எழ ஆரம்பித்ததும், தோசையை மறுபுறம் புரட்டவும்.
மற்றொரு 1/4 டீஸ்பூன் எண்ணெயைத் தெளிக்கவும். தோசை வெந்தவுடன், தவாவிலிருந்து அகற்றி உடனடியாக பரிமாறவும்.
உடைந்த கோதுமை தோசை செய்முறை- டாலியா தோசை
மீதமுள்ள மாவுக்கும் இதே செயல்முறையை மீண்டும் செய்யவும்.
சாம்பார் அல்லது உங்களுக்கு விருப்பமான எந்த சட்னியுடன் பரிமாறவும்.</t>
  </si>
  <si>
    <t>https://i.ytimg.com/vi/7BAGYm5w4nE/maxresdefault.jpg</t>
  </si>
  <si>
    <t>Aval Dosai</t>
  </si>
  <si>
    <t>அவல் தோசை</t>
  </si>
  <si>
    <t xml:space="preserve">
   Rice - 1 cup,
   poha – 1/2 cup,
   Urad dal – 3 tbsp,
   Fenugreek seeds – 1/2 tsp,
   Buttermilk – 1/2 cup,
   Salt as needed,
   Oil for making dosas.</t>
  </si>
  <si>
    <t>அரிசி - 1 கப்,
போஹா - 1/2 கப்,
உளுத்தம் பருப்பு - 3 டேபிள் ஸ்பூன்,
வெந்தயம் - 1/2 டீஸ்பூன்,
மோர் - 1/2 கப்,
உப்பு தேவைக்கேற்ப,
தோசை செய்ய எண்ணெய்.</t>
  </si>
  <si>
    <t>Grease and heat a tawa and pour a ladle of batter in the center of the tawa. The batter will spread itself.  You do not have to spread it.
Drizzle a tsp of oil around the dosa. Cook covered on low heat.
Once almost cooked, flip it over it other to the other side. Cook for another few seconds and remove from tawa.
Repeat the same process for the rest of the batter. Avoid stacking the dosa one on top of another when hot to prevent sticking.
Serve hot aval dosa with sambar or chutney or any spicy gravy of your choice.</t>
  </si>
  <si>
    <t>ஒரு தவாவை தடவி சூடாக்கி, தவாவின் மையத்தில் ஒரு கரண்டி மாவை ஊற்றவும். மாவு தானாகவே பரவும். நீங்கள் அதைப் பரப்ப வேண்டியதில்லை.
தோசையைச் சுற்றி ஒரு தேக்கரண்டி எண்ணெயைத் தெளிக்கவும். குறைந்த தீயில் மூடி வைத்து சமைக்கவும்.
கிட்டத்தட்ட வெந்தவுடன், அதை மறுபுறம் திருப்பி வைக்கவும். இன்னும் சில வினாடிகள் சமைக்கவும், தவாவிலிருந்து அகற்றவும்.
மீதமுள்ள மாவுக்கும் இதே செயல்முறையை மீண்டும் செய்யவும். தோசை ஒட்டாமல் இருக்க, சூடாக இருக்கும்போது ஒன்றன் மேல் ஒன்றாக அடுக்கி வைப்பதைத் தவிர்க்கவும்.
சூடான அவல் தோசையை சாம்பார் அல்லது சட்னி அல்லது உங்களுக்கு விருப்பமான காரமான கிரேவியுடன் பரிமாறவும்.</t>
  </si>
  <si>
    <t>https://i0.wp.com/cookingfromheart.com/wp-content/uploads/2021/09/Instant-Aval-Dosa-7.jpg?resize=720%2C960&amp;ssl=1</t>
  </si>
  <si>
    <t xml:space="preserve">   Eggs – 2,
   Dosa Batter – 1/2 cup,
   Onion – 1 ,
   Tomato – 1,
   Green Chillies – 1,
   Curry leaves – a sprig,
   Coriander leaves – 1 tbsp ,
   Turmeric powder – 1/8 tsp,
   Salt as needed,
   Pepper powder as needed,
   Oil – 5-6 tsp,
   Water – 2 tsp.</t>
  </si>
  <si>
    <t>முட்டை - 2,
தோசை மாவு - 1/2 கப்,
வெங்காயம் - 1,
தக்காளி - 1,
பச்சை மிளகாய் - 1,
கறிவேப்பிலை - ஒரு தளிர்,
கொத்தமல்லி இலை - 1 டீஸ்பூன்,
மஞ்சள் தூள் - 1/8 டீஸ்பூன்,
தேவைக்கேற்ப உப்பு,
தேவைக்கேற்ப மிளகு தூள்,
எண்ணெய் - 5-6 டீஸ்பூன்,
தண்ணீர் - 2 டீஸ்பூன்.</t>
  </si>
  <si>
    <t>Egg paniyaram batter is ready.  Heat paniyaram/appe pan, add 1/2 tsp of oil in each hole/cavity.
Fill each cavity with the egg paniyaram batter. Cook covered on low heat for few minutes.
Flip it over and cook uncovered on low heat for another 2-3 minutes. Flip over 2-3 times if required until both the sides are browned.
Remove from pan and serve immediately with tomato chutney or spicy kara chutney.</t>
  </si>
  <si>
    <t>முட்டை பணியாரம் மாவு தயார். பணியாரம்/அப்பே பாத்திரத்தை சூடாக்கி, ஒவ்வொரு துளை/குழியிலும் 1/2 டீஸ்பூன் எண்ணெய் சேர்க்கவும்.
ஒவ்வொரு குழியிலும் முட்டை பணியாரம் மாவை நிரப்பவும். குறைந்த தீயில் சில நிமிடங்கள் மூடி வைக்கவும்.
அதைத் திருப்பிப் போட்டு, குறைந்த தீயில் மேலும் 2-3 நிமிடங்கள் மூடி வைக்காமல் சமைக்கவும். தேவைப்பட்டால் இருபுறமும் பழுப்பு நிறமாகும் வரை 2-3 முறை திருப்பிப் போடவும்.
வாணலியில் இருந்து இறக்கி, தக்காளி சட்னி அல்லது காரமான காரா சட்னியுடன் உடனடியாக பரிமாறவும்.</t>
  </si>
  <si>
    <t>https://encrypted-tbn0.gstatic.com/images?q=tbn:ANd9GcQR94L3OwTUD4cXUZvomi8aGdbtK4daG9ENrw&amp;s</t>
  </si>
  <si>
    <t xml:space="preserve">   Oil – 4 tsp,
   Cracked wheat – 3/4 cup,
   Moong dal – 1/4 cup,
   Salt needed,
   Hing – a pinch,
   Water – 2 1/2 cup,
   Oil – 2 tsp,
   clarified butter – 3 tsp,
   Whole black pepper – 1 tsp,
   Cumin seeds – 1 tsp,
   Hing – a pinch,
   Ginger – 1 inch piece,
   Curry leaves – a sprig,
   Cashew nuts – 5-6.</t>
  </si>
  <si>
    <t>எண்ணெய் - 4 தேக்கரண்டி,
உடைத்த கோதுமை - 3/4 கப்,
பாசிப்பருப்பு - 1/4 கப்,
உப்பு தேவை,
ஹிங் - ஒரு சிட்டிகை,
தண்ணீர் - 2 1/2 கப்,
எண்ணெய் - 2 தேக்கரண்டி,
தெளித்த வெண்ணெய் - 3 தேக்கரண்டி,
முழு கருப்பு மிளகு - 1 தேக்கரண்டி,
சீரகம் - 1 தேக்கரண்டி,
ஹிங் - ஒரு சிட்டிகை,
இஞ்சி - 1 அங்குல துண்டு,
கறிவேப்பிலை - ஒரு தளிர்,
முந்திரி பருப்பு - 5-6.</t>
  </si>
  <si>
    <t>Heat oil and fry the wheat rava on medium heat stirring continuously until you get a nice aroma.
Now add the fried wheat rava to the cooked dal.
Add 2 1/2 cups of water, salt needed and hing. (Taste the water, if it is slightly salty, it will be perfect once it is cooked).
Close the cooker and pressure cook on medium heat for 2-3 whistles. While cooking directly in the cooker, take care not to burn the pongal. (Alternatively, you can transfer the contents to another vessel and pressure cook for 3 whistles to be on the safer side).
Once the pressure subsides, open the cooker and mash the contents when it is hot.
Heat oil + ghee, add cumin seeds, whole black peppercorn, saute for a few seconds, then add finely chopped ginger, curry leaves and cashew nuts.
Saute for a few seconds and then add the broken wheat + dal mixture and mix well.
Cook on low heat for a few seconds and remove from heat.</t>
  </si>
  <si>
    <t>எண்ணெயை சூடாக்கி, கோதுமை ரவையை மிதமான தீயில் வைத்து, நல்ல மணம் வரும் வரை தொடர்ந்து கிளறி வறுக்கவும்.
இப்போது வறுத்த கோதுமை ரவையை சமைத்த பருப்பில் சேர்க்கவும்.
2 1/2 கப் தண்ணீர், தேவையான உப்பு மற்றும் ஹிங் சேர்க்கவும். (தண்ணீரை ருசித்துப் பாருங்கள், அது சிறிது உப்பு இருந்தால், அது வெந்ததும் சரியாக இருக்கும்).
குக்கரை மூடி, 2-3 விசில் வரும் வரை மிதமான தீயில் பிரஷர் சமைக்கவும். குக்கரில் நேரடியாக சமைக்கும்போது, ​​பொங்கல் எரியாமல் பார்த்துக் கொள்ளுங்கள். (மாற்றாக, நீங்கள் உள்ளடக்கங்களை வேறொரு பாத்திரத்தில் மாற்றி 3 விசில்கள் வரை பிரஷர் குக் செய்யலாம், இதனால் அது பாதுகாப்பானதாக இருக்கும்).
அழுத்தம் தணிந்ததும், குக்கரைத் திறந்து, சூடானதும் உள்ளடக்கங்களை மசிக்கவும்.
எண்ணெய் + நெய்யை சூடாக்கி, சீரகம், முழு கருப்பு மிளகு சேர்த்து, சில நொடிகள் வதக்கி, பின்னர் இறுதியாக நறுக்கிய இஞ்சி, கறிவேப்பிலை மற்றும் முந்திரி பருப்புகளைச் சேர்க்கவும்.
சில நொடிகள் வதக்கி, பின்னர் உடைத்த கோதுமை + பருப்பு கலவையைச் சேர்த்து நன்கு கலக்கவும்.
சில நொடிகள் குறைந்த தீயில் சமைக்கவும், வெப்பத்திலிருந்து அகற்றவும்.</t>
  </si>
  <si>
    <t>https://encrypted-tbn0.gstatic.com/images?q=tbn:ANd9GcQg3tqD8lU7yd5X-Ouqf8R53A-9SOhiKuBWxQ&amp;s</t>
  </si>
  <si>
    <t xml:space="preserve">   Whole wheat flour – 1/2 cup,
   Baking Powder – 1 tsp,
   Salt – a pinch,
  Milk – 1/2 cup,
   Melted butter – 1 tbsp,
   Oil – 1/2 tbsp,
   Maple syrup or powdered sugar – 2 tsp,
   Vanilla extract – 1/2 tsp,
   Water – 1 1/2 tbsp.</t>
  </si>
  <si>
    <t>முழு கோதுமை மாவு - 1/2 கப்,
பேக்கிங் பவுடர் - 1 தேக்கரண்டி,
உப்பு - ஒரு சிட்டிகை,
பால் - 1/2 கப்,
உருகிய வெண்ணெய் - 1 தேக்கரண்டி,
எண்ணெய் - 1/2 தேக்கரண்டி,
மேப்பிள் சிரப் அல்லது தூள் சர்க்கரை - 2 தேக்கரண்டி,
வெண்ணிலா சாறு - 1/2 தேக்கரண்டி,
தண்ணீர் - 1 1/2 தேக்கரண்டி.</t>
  </si>
  <si>
    <t>Heat a non stick pan over medium low heat. Grease it lightly with butter.
When the pan is hot, reduce the heat to low and pour a ladle of batter in the center of the tawa. It will spread itself otherwise spread it very lightly as the pancake has to be thick.
Cook on low heat until bubbles form on the surface. Then flip it over to the other side and cook on low heat until done. Remove from heat. Repeat the same process for the rest of the batter.
Serve hot with honey, butter or maple syrup.</t>
  </si>
  <si>
    <t>ஒரு நான்ஸ்டிக் பாத்திரத்தை மிதமான தீயில் சூடாக்கவும். வெண்ணெயுடன் லேசாக தடவவும்.
பான் சூடானதும், தீயைக் குறைத்து, தவாவின் மையத்தில் ஒரு கரண்டி மாவை ஊற்றவும். அது தானாகவே பரவும், இல்லையெனில் பான்கேக் கெட்டியாக இருக்க வேண்டும் என்பதால் அதை மிக லேசாக பரப்பவும்.
மேற்பரப்பில் குமிழிகள் உருவாகும் வரை குறைந்த தீயில் சமைக்கவும். பின்னர் அதை மறுபுறம் திருப்பி, குறைந்த தீயில் சமைக்கவும். வெப்பத்திலிருந்து நீக்கவும். மீதமுள்ள மாவுக்கும் இதே செயல்முறையை மீண்டும் செய்யவும்.
தேன், வெண்ணெய் அல்லது மேப்பிள் சிரப் சேர்த்து சூடாக பரிமாறவும்.</t>
  </si>
  <si>
    <t>Pizza Paratha</t>
  </si>
  <si>
    <t>பீட்சா பராத்தா</t>
  </si>
  <si>
    <t xml:space="preserve">   Aashirwaad Multigrain Atta – 1 cup,
   Salt – 1/4 tsp,
   Oil – 2 tsp,
   Yellow Bell pepper - 1 small ,
   Green Bell pepper - 1 small ,
   Red bell pepper – 1 small,
   Onion – 1 medium size,
   Sweet Corn – 1/4 cup,
   Pizza Sauce – 1-2 tbsp,
   Grated mozzarella cheese as needed,
   Dried Oregano – 1 tsp,
   Chilli flakes or paprika – 3/4 tsp,
   Salt to taste,
   Butter or Ghee to tawa cook parathas.</t>
  </si>
  <si>
    <t>ஆசீர்வாட் மல்டிகிரைன் ஆட்டா - 1 கப்,
உப்பு - 1/4 டீஸ்பூன்,
எண்ணெய் - 2 டீஸ்பூன்,
மஞ்சள் குடை மிளகாய் - 1 சிறியது,
பச்சை குடை மிளகாய் - 1 சிறியது,
சிவப்பு குடை மிளகாய் - 1 சிறியது,
வெங்காயம் - 1 நடுத்தர அளவு,
ஸ்வீட் கார்ன் - 1/4 கப்,
பீட்சா சாஸ் - 1-2 டீஸ்பூன்,
தேவைக்கேற்ப துருவிய மொஸரெல்லா சீஸ்,
உலர்ந்த ஆர்கனோ - 1 டீஸ்பூன்,
மிளகாய்த்தூள் அல்லது மிளகுத்தூள் - 3/4 டீஸ்பூன்,
ருசிக்கேற்ப உப்பு,
பராத்தாவை சமைக்க வெண்ணெய் அல்லது நெய்.</t>
  </si>
  <si>
    <t xml:space="preserve">In a bowl, take 1 cup of multigrain atta, add 1 tsp oil, salt and mix well. Add warm water and make a soft dough. Then grease your hands with a tsp of oil and knead the dough well. Let it rest for 15 minutes. Keep it covered.
Prepare pizza sauce at home or get it ready made. Check the recipe for homemade pizza sauce.
Discard the seeds and cut bell pepper into thin slices. Cut onion into thin slices. Cook sweet corn if it is not cooked and keep it ready.
In a bowl, mix together bell peppers (all colors), sweet corn, onion, grated cheese (use mozzarella or any local Indian cheese), dried oregano, chilli flakes or paprika and salt needed. Taste and adjust seasonings. Mix everything well.
Divide the dough into 4 equal parts. Make smooth balls.
Take a dough ball, flatten it, dust flour and roll it out gently into a circle (or roti) using a rolling pin to a diameter of approximately 7-8 inch. Roll another ball in the same way and keep it aside.
Spread pizza sauce all over one roti, leaving a small space around the corners.
Spread the required vegetable mixture on top of it. Top it with more grated cheese. You can also sprinkle more chilli flakes if you prefer it spicy.
Cover it with the other roti. Press it gently with your hand and seal the edges by pressing both the rotis together. Alternatively you can fold the corners and seal gently.
Heat a tawa, when it it is hot, gently place the pizza paratha.
Spread oil or ghee or butter all over and cook both sides on medium low heat until well cooked. </t>
  </si>
  <si>
    <t>ஒரு கிண்ணத்தில், 1 கப் மல்டிகிரைன் ஆட்டாவை எடுத்து, 1 டீஸ்பூன் எண்ணெய், உப்பு சேர்த்து நன்கு கலக்கவும். வெதுவெதுப்பான நீரைச் சேர்த்து மென்மையான மாவை தயாரிக்கவும். பின்னர் உங்கள் கைகளில் ஒரு டீஸ்பூன் எண்ணெயை தடவி மாவை நன்கு பிசையவும். 15 நிமிடங்கள் அப்படியே வைக்கவும். மூடி வைக்கவும்.
வீட்டில் பீட்சா சாஸை தயார் செய்யவும் அல்லது தயாராக வைக்கவும். வீட்டில் தயாரிக்கப்பட்ட பீட்சா சாஸிற்கான செய்முறையைச் சரிபார்க்கவும்.
விதைகளை நீக்கிவிட்டு, குடை மிளகாயை மெல்லிய துண்டுகளாக நறுக்கவும். வெங்காயத்தை மெல்லிய துண்டுகளாக நறுக்கவும். இனிப்பு சோளம் வேகவில்லை என்றால் அதை வேகவைத்து தயாராக வைக்கவும்.
ஒரு கிண்ணத்தில், குடை மிளகாய் (அனைத்து வண்ணங்கள்), இனிப்பு சோளம், வெங்காயம், துருவிய சீஸ் (மொஸெரெல்லா அல்லது எந்த உள்ளூர் இந்திய சீஸ் பயன்படுத்தவும்), உலர்ந்த ஆர்கனோ, மிளகாய் துண்டுகள் அல்லது மிளகுத்தூள் மற்றும் தேவையான உப்பு ஆகியவற்றை ஒன்றாக கலக்கவும். சுவைத்து, மசாலாப் பொருட்களை சரிசெய்யவும். அனைத்தையும் நன்றாக கலக்கவும்.
மாவை 4 சம பாகங்களாகப் பிரிக்கவும். மென்மையான பந்துகளை உருவாக்கவும்.
ஒரு மாவு உருண்டையை எடுத்து, அதைத் தட்டையாக்கி, மாவைத் தூவி, தோராயமாக 7-8 அங்குல விட்டம் கொண்ட ஒரு ரோலிங் பின்னைப் பயன்படுத்தி மெதுவாக ஒரு வட்டமாக (அல்லது ரோட்டி) உருட்டவும். அதே வழியில் மற்றொரு பந்தை உருட்டி ஒதுக்கி வைக்கவும்.
ஒரு ரொட்டியின் மீது பீட்சா சாஸைப் பரப்பி, மூலைகளைச் சுற்றி ஒரு சிறிய இடத்தை விட்டு விடுங்கள்.
தேவையான காய்கறி கலவையை அதன் மேல் பரப்பவும். அதன் மேல் அதிக துருவிய சீஸ் ஊற்றவும். காரமானதாக இருந்தால், நீங்கள் அதிக மிளகாய் துண்டுகளையும் தூவலாம்.
மற்றொரு ரொட்டியுடன் அதை மூடி வைக்கவும். உங்கள் கையால் மெதுவாக அழுத்தி, இரண்டு ரொட்டிகளையும் ஒன்றாக அழுத்துவதன் மூலம் விளிம்புகளை மூடவும். மாற்றாக, மூலைகளை மடித்து மெதுவாக மூடலாம்.
ஒரு தவாவை சூடாக்கி, அது சூடானதும், பீட்சா பரோட்டாவை மெதுவாக வைக்கவும்.
எண்ணெய் அல்லது நெய் அல்லது வெண்ணெய் தடவி, இருபுறமும் மிதமான தீயில் நன்கு வேகும் வரை சமைக்கவும்.</t>
  </si>
  <si>
    <t>https://www.foodfusion.com/wp-content/uploads/2017/05/ID-R00112-2.jpg</t>
  </si>
  <si>
    <t>Curd Sandwich</t>
  </si>
  <si>
    <t>தயிர் சாண்ட்விச்</t>
  </si>
  <si>
    <t xml:space="preserve">   Bread slices – 8,
   Hung curd – 1/2 cup heaped,
   Carrot – 1,
   Capsicum – 1/4 of a capsicum,
   Cabbage – 2-3 tbsp finely chopped,
   Tomato – 1 small,
   Salt as needed,
   Pepper powder,
   Italian seasonings,
   Butter/olive oil/Ghee to toast.</t>
  </si>
  <si>
    <t>ரொட்டி துண்டுகள் - 8,
தொங்கவிட்ட தயிர் - 1/2 கப் குவித்து,
கேரட் - 1,
கேப்சிகம் - 1/4 கேப்சிகம்,
முட்டைக்கோஸ் - 2-3 டேபிள்ஸ்பூன் நன்றாக நறுக்கியது,
தக்காளி - 1 சிறியது,
தேவைக்கேற்ப உப்பு,
மிளகு தூள்,
இத்தாலிய மசாலாப் பொருட்கள்,
வெண்ணெய்/ஆலிவ் எண்ணெய்/வறுக்க நெய்.</t>
  </si>
  <si>
    <t>In a bowl, add all the chopped vegetables.
Add hung curd, salt, pepper powder (or paprika or chilli powder or finely chopped green chillies), Italian seasonings and mix well. You can add some grated cheese to the mix, if you like it more creamy. Our hung curd sandwich spread is ready.
how to make curd sandwich-dahi sandwich
Spread it on one side of the bread. Cover it with the other bread and press it well.
Slightly apply ghee or butter on the outside of the bread. Heat a tawa and toast both the sides of the sandwich.
Cut diagonally and enjoy it with green chutney or tomato ketchup.</t>
  </si>
  <si>
    <t>ஒரு பாத்திரத்தில், நறுக்கிய அனைத்து காய்கறிகளையும் சேர்க்கவும்.
தயிர், உப்பு, மிளகு தூள் (அல்லது மிளகுத்தூள் அல்லது மிளகாய் தூள் அல்லது இறுதியாக நறுக்கிய பச்சை மிளகாய்), இத்தாலிய மசாலாப் பொருட்களைச் சேர்த்து நன்கு கலக்கவும். உங்களுக்கு இது மிகவும் கிரீமியாக இருந்தால், கலவையில் சிறிது துருவிய சீஸ் சேர்க்கலாம். எங்கள் தொங்கவிட்ட தயிர் சாண்ட்விச் ஸ்ப்ரெட் தயாராக உள்ளது.
தயிர் சாண்ட்விச்-தஹி சாண்ட்விச் செய்வது எப்படி
பிரெட்டின் ஒரு பக்கத்தில் அதைப் பரப்பவும். மற்ற ரொட்டியுடன் அதை மூடி நன்றாக அழுத்தவும்.
பிரெட்டின் வெளிப்புறத்தில் சிறிது நெய் அல்லது வெண்ணெய் தடவவும். ஒரு தவாவைச் சூடாக்கி, சாண்ட்விச்சின் இருபுறமும் டோஸ்ட் செய்யவும்.
குறுக்காக வெட்டி பச்சை சட்னி அல்லது தக்காளி கெட்ச்அப்புடன் மகிழுங்கள்.</t>
  </si>
  <si>
    <t>https://encrypted-tbn0.gstatic.com/images?q=tbn:ANd9GcRD1GvhUDvpY-ZSnkG-uQAEj4VWGTB1Fl9mxg&amp;s</t>
  </si>
  <si>
    <t>Ulundhu Kanji</t>
  </si>
  <si>
    <t>உளுந்து கஞ்சி</t>
  </si>
  <si>
    <t xml:space="preserve">   Urad dal – 1/4 cup,
   Rice – 2 tbsp flat,
   Garlic – 2-3 cloves,
   Fenugreek seeds – 1/4-1/2 tsp,
   Salt – a pinch,
   jaggery – 3-4 tbsp or as required,
   Coconut Milk – 1 cup,
   Dry ginger powder – a pinch.</t>
  </si>
  <si>
    <t>உளுந்து பருப்பு - 1/4 கப்,
அரிசி - 2 டேபிள்ஸ்பூன் தட்டையானது,
பூண்டு - 2-3 பல்,
வெந்தயம் - 1/4-1/2 டேபிள்ஸ்பூன்,
உப்பு - ஒரு சிட்டிகை,
வெல்லம் - 3-4 டேபிள்ஸ்பூன் அல்லது தேவைக்கேற்ப,
தேங்காய் பால் - 1 கப்,
உலர்ந்த இஞ்சி தூள் - ஒரு சிட்டிகை.</t>
  </si>
  <si>
    <t xml:space="preserve">Pressure cook urad dal + garlic mixture with 1 1/2 cups of water for 5-6 whistles. Keep a vessel inside the cooker and pressure cook .
Once the pressure subsides, open the cooker and mash it well when it is hot. 
Add jaggery water and mix well.
Urad Dal Sweet Porridge
Add coconut milk, dry ginger powder (if using) and enjoy the porridge warm. </t>
  </si>
  <si>
    <t>உளுந்து பருப்பு + பூண்டு கலவையை 1 1/2 கப் தண்ணீரில் 5-6 விசில் வரும் வரை பிரஷர் வேக வைக்கவும். குக்கருக்குள் ஒரு பாத்திரத்தை வைத்து பிரஷர் சமைக்கவும்.
பிரஷர் குறைந்தவுடன், குக்கரைத் திறந்து சூடாகும்போது நன்றாக மசிக்கவும்.
வெல்லம் தண்ணீர் சேர்த்து நன்கு கலக்கவும்.
உளுந்து பருப்பு இனிப்பு கஞ்சி
தேங்காய் பால், உலர்ந்த இஞ்சி தூள் (பயன்படுத்தினால்) சேர்த்து கஞ்சியை சூடாக அனுபவிக்கவும்.</t>
  </si>
  <si>
    <t>https://5.imimg.com/data5/SELLER/Default/2024/4/406710488/RK/BY/WZ/214460477/ulundhu-kanji-mix.jpg</t>
  </si>
  <si>
    <t>Samba Godhumai Rava Kozhukattai</t>
  </si>
  <si>
    <t>சம்பா கோதுமை ரவா கொழுக்கட்டை</t>
  </si>
  <si>
    <t xml:space="preserve">   Broken wheat – 1 1/4 cup,
   Tur dal – 3 tbsp,
   Coconut – 1/3 cup grated,
   Carrot – 1 small grated,
   Water – 3 3/4 cup,
   Salt needed,
   Oil – 2 tbsp,
   Mustard seeds – 1 tsp,
   Urad dal – 2 tsp,
   Bengal gram dal – 2 tsp,
   asafoetida – a generous pinch,
   Red Chillies – 2-3,
   Curry leaves – a sprig.
</t>
  </si>
  <si>
    <t>உடைத்த கோதுமை - 1 1/4 கப்,
துவரம் பருப்பு - 3 டேபிள்ஸ்பூன்,
தேங்காய் - 1/3 கப் துருவியது,
கேரட் - 1 சிறிய துருவியது,
தண்ணீர் - 3 3/4 கப்,
உப்பு தேவை,
எண்ணெய் - 2 டேபிள்ஸ்பூன்,
கடுகு - 1 டேபிள்ஸ்பூன்,
உளுத்தம் பருப்பு - 2 டேபிள்ஸ்பூன்,
கடலை பருப்பு - 2 டேபிள்ஸ்பூன்,
பெருங்காயம் - ஒரு சிட்டிகை,
சிவப்பு மிளகாய் - 2-3,
கறிவேப்பிலை - ஒரு தளிர்.</t>
  </si>
  <si>
    <t>Heat oil in a pan, add mustard seeds, when it splutters, add urad dal, chana dal (kadalai paruppu), hing, red chillies and curry leaves.
When dal turns golden brown, add the ground tur dal.
Saute for a 2-3 minutes on low heat and then add grated coconut and carrot.
Saute for few seconds, add water and salt needed. (taste the water to check for salt, if the water is slightly salt, it will be perfect once the upma is done).
When water starts boiling, reduce the heat and add cracked wheat rava gradually with one hand and stir continuously with your other hand to prevent formation of lumps.
Cook covered stirring at regular intervals until all the water evaporates.
Leave it to cool. Once it is warm, divide the mixture equally and make ball out of it. You can dip your hands slightly in water when shaping balls to prevent it from sticking to your hands.
Steam cook the balls for 10 minutes in a steamer or you can even use the pressure cooker for steaming but without weight.
Once done, remove from the steamer. Enjoy it with hotel sambar or kathirikkai gothsu or sutta kathirikkai gothsu .</t>
  </si>
  <si>
    <t>ஒரு கடாயில் எண்ணெயை சூடாக்கி, கடுகு சேர்த்து, அது வதங்கியதும், உளுத்தம் பருப்பு, கடலை பருப்பு (கடலை பருப்பு), கீரை, சிவப்பு மிளகாய் மற்றும் கறிவேப்பிலை சேர்க்கவும்.
பருப்பு பொன்னிறமாக மாறியதும், அரைத்த துவரம் பருப்பை சேர்க்கவும்.
குறைந்த தீயில் 2-3 நிமிடங்கள் வதக்கி, பின்னர் துருவிய தேங்காய் மற்றும் கேரட்டை சேர்க்கவும்.
சில நொடிகள் வதக்கி, தண்ணீர் மற்றும் தேவையான அளவு உப்பு சேர்க்கவும். (தண்ணீரை ருசித்துப் பாருங்கள், உப்பு இருக்கிறதா என்று பாருங்கள். தண்ணீர் சிறிது உப்பு இருந்தால், உப்புமா தயாரானதும் சரியாகிவிடும்).
தண்ணீர் கொதிக்க ஆரம்பித்ததும், தீயைக் குறைத்து, ஒரு கையால் படிப்படியாக வெடித்த கோதுமை ரவையைச் சேர்த்து, கட்டிகள் உருவாகாமல் இருக்க உங்கள் மற்றொரு கையால் தொடர்ந்து கிளறவும்.
மூடி வைத்து, தண்ணீர் முழுவதும் ஆவியாகும் வரை தொடர்ந்து கிளறவும்.
அதை குளிர்விக்க விடவும். அது சூடாக்கப்பட்டவுடன், கலவையை சமமாகப் பிரித்து, அதிலிருந்து ஒரு பந்தை உருவாக்கவும். பந்துகளை வடிவமைக்கும்போது, ​​உங்கள் கைகளில் ஒட்டாமல் இருக்க, உங்கள் கைகளை தண்ணீரில் சிறிது நனைக்கலாம்.
பந்துகளை ஒரு ஸ்டீமரில் 10 நிமிடங்கள் வேகவைக்கவும் அல்லது பிரஷர் குக்கரைப் பயன்படுத்தி வேகவைக்கலாம், ஆனால் எடை இல்லாமல்.
தயாரானதும், ஸ்டீமரில் இருந்து அகற்றவும். ஹோட்டல் சாம்பார் அல்லது கத்திரிக்காய் கோத்சு அல்லது சுத்த கத்திரிக்காய் கோத்சுவுடன் இதை அனுபவிக்கவும்.</t>
  </si>
  <si>
    <t>https://encrypted-tbn0.gstatic.com/images?q=tbn:ANd9GcS-s4EDBDj4P3kAEHp3auPSN5SBiz1N6OCVmQ&amp;s</t>
  </si>
  <si>
    <t>Pumpkin Pasta</t>
  </si>
  <si>
    <t>பூசணிக்காய் பாஸ்தா</t>
  </si>
  <si>
    <t xml:space="preserve">   Pasta – 150 grams,
   Oil – 2 drops,
   Salt needed,
   Olive oil – 2 tsp,
   Pumpkin – 2 cups chopped,
   Milk – 3/4 cup,
   Olive oil – 2 tsp,
   Garlic – 1 tbsp minced,
   Chilli flakes – 1/2 – 1 tsp,
   Dry Oregano – 1 tsp,
   Dry Basil – 1 tsp,
   Pepper powder as needed,
   Grated Parmesan cheese – as needed,
   Fresh Parsley – 1 tsp finely chopped.</t>
  </si>
  <si>
    <t>பாஸ்தா - 150 கிராம்,
எண்ணெய் - 2 சொட்டுகள்,
உப்பு தேவை,
ஆலிவ் எண்ணெய் - 2 தேக்கரண்டி,
பூசணிக்காய் - 2 கப் நறுக்கியது,
பால் - 3/4 கப்,
ஆலிவ் எண்ணெய் - 2 தேக்கரண்டி,
பூண்டு - 1 தேக்கரண்டி நறுக்கியது,
மிளகாய்த்தூள் - 1/2 - 1 தேக்கரண்டி,
உலர் ஓரிகானோ - 1 தேக்கரண்டி,
உலர் துளசி - 1 தேக்கரண்டி,
மிளகு தூள் தேவைக்கேற்ப,
துருவிய பார்மேசன் சீஸ் - தேவைக்கேற்ப,
புதிய பார்ஸ்லி - 1 தேக்கரண்டி இறுதியாக நறுக்கியது.</t>
  </si>
  <si>
    <t>Heat 2 tsp olive oil in a pan, add finely chopped garlic and saute for a few seconds. Reduce the heat to low and add the prepared sauce. Add needed salt, chilli flakes, dry oregano, dry basil, pepper powder and mix well .
Add the cooked pasta, needed pasta water (do not add all the reserved water), mix well and heat it slightly on low flame.
Top it with grated parmesan cheese and garnish with finely chopped fresh parsley or basil leaves.
Pumpkin Pasta Recipe
Enjoy it warm with garlic bread.</t>
  </si>
  <si>
    <t>ஒரு பாத்திரத்தில் 2 தேக்கரண்டி ஆலிவ் எண்ணெயை சூடாக்கி, இறுதியாக நறுக்கிய பூண்டைச் சேர்த்து சில நொடிகள் வதக்கவும். தீயை குறைத்து, தயாரிக்கப்பட்ட சாஸைச் சேர்க்கவும். தேவையான உப்பு, மிளகாய் துண்டுகள், உலர்ந்த ஆர்கனோ, உலர்ந்த துளசி, மிளகுத் தூள் சேர்த்து நன்கு கலக்கவும்.
சமைத்த பாஸ்தாவை, தேவையான பாஸ்தா தண்ணீரைச் சேர்க்கவும் (அனைத்து ஒதுக்கப்பட்ட தண்ணீரையும் சேர்க்க வேண்டாம்), நன்கு கலந்து, குறைந்த தீயில் சிறிது சூடாக்கவும்.
அதன் மேல் துருவிய பார்மேசன் சீஸ் சேர்த்து, இறுதியாக நறுக்கிய புதிய பார்ஸ்லி அல்லது துளசி இலைகளால் அலங்கரிக்கவும்.
பூசணிக்காய் பாஸ்தா செய்முறை
பூண்டு ரொட்டியுடன் சூடாக சாப்பிடுங்கள்.</t>
  </si>
  <si>
    <t>https://encrypted-tbn0.gstatic.com/images?q=tbn:ANd9GcSwrHkNz4zGrpltC5Pncdwamvb-AEvRqxR_pQ&amp;s</t>
  </si>
  <si>
    <t>Kollu Adai</t>
  </si>
  <si>
    <t>கொள்ளு அடை</t>
  </si>
  <si>
    <t xml:space="preserve">   Horse gram – 1/2 cup,
   Par boiled rice – 1/4 cup,
   Tur Dal – 1/4 cup,
   Bengal Gram dal  - 1/4 cup,
   Green gram - 1/4 cup,
   Urad Dal – 1/4 cup,
   Red Chillies – 2-3,
   Cumin seeds – 1 tsp,
   Salt needed,
   Drumstick leaves – fistful,
   Onion - 2 medium size,
   Cabbage – 1/3 cup,
   Carrot – 1 medium,
   Coriander leaves – 1/4 cup finely chopped,
   Coconut – 2 tbsp grated,
   Oil for making adais.</t>
  </si>
  <si>
    <t>கொள்ளு பருப்பு - 1/2 கப்,
புழுங்கல் அரிசி - 1/4 கப்,
துவரம் பருப்பு - 1/4 கப்,
வங்காள பருப்பு - 1/4 கப்,
பச்சைப்பயறு - 1/4 கப்,
உளுத்தம் பருப்பு - 1/4 கப்,
சிவப்பு மிளகாய் - 2-3,
சீரகம் - 1 டீஸ்பூன்,
உப்பு தேவை,
முருங்கை இலைகள் - ஒரு கைப்பிடி,
வெங்காயம் - 2 நடுத்தர அளவு,
முட்டைக்கோஸ் - 1/3 கப்,
கேரட் - 1 நடுத்தர அளவு,
கொத்தமல்லி இலை - 1/4 கப் நன்றாக நறுக்கியது,
தேங்காய் - 2 டீஸ்பூன் துருவியது,
அடை செய்வதற்கு எண்ணெய்.</t>
  </si>
  <si>
    <t xml:space="preserve">
Heat a tawa, pour a ladle of batter and spread it in a circular motion. Cook on medium heat. (Note- After adding the vegetables, the batter will become a little thick. So we will be making small and thin adais. If you have difficulty in spreading the batter, you can also spread the batter with your finger tips on the tawa and then heat it).
After spreading the batter, make 4-5 holes with the back of the ladle as seen in the picture below.
Drizzle a tsp of oil around the adai and a few drops inside each hole.
Once the sides starts lifting up, flip it over to the other side.
Drizzle another 1/2 tsp of oil around the adai. Once it gets cooked well, remove from heat and serve hot with chutney or butter or powdered jaggery or even cream (malai).
Adai tastes heavenly with butter and cream. If  you have not tried it, then I recommend you to try that combo.</t>
  </si>
  <si>
    <t>ஒரு தவாவை சூடாக்கி, ஒரு கரண்டி மாவை ஊற்றி வட்ட வடிவில் பரப்பவும். மிதமான தீயில் சமைக்கவும். (குறிப்பு- காய்கறிகளைச் சேர்த்த பிறகு, மாவு கொஞ்சம் கெட்டியாகிவிடும். எனவே நாங்கள் சிறிய மற்றும் மெல்லிய அடைகளை செய்வோம். மாவைப் பரப்புவதில் உங்களுக்கு சிரமம் இருந்தால், உங்கள் விரல் நுனியில் மாவை தவாவில் தடவி பின்னர் சூடாக்கலாம்).
மாவை பரப்பிய பிறகு, கீழே உள்ள படத்தில் காட்டப்பட்டுள்ளபடி, கரண்டியின் பின்புறத்தில் 4-5 துளைகளை உருவாக்கவும்.
அடையைச் சுற்றி ஒரு தேக்கரண்டி எண்ணெயையும், ஒவ்வொரு துளைக்குள்ளும் சில துளிகளையும் தெளிக்கவும்.
பக்கவாட்டுகள் மேலே எழ ஆரம்பித்ததும், அதை மறுபுறம் திருப்பிப் போடவும்.
அடையைச் சுற்றி மேலும் 1/2 தேக்கரண்டி எண்ணெயைத் தெளிக்கவும். அது நன்றாக வெந்ததும், அடுப்பிலிருந்து இறக்கி, சட்னி அல்லது வெண்ணெய் அல்லது பொடித்த வெல்லம் அல்லது கிரீம் (மலை) உடன் சூடாகப் பரிமாறவும்.
அடையை வெண்ணெய் மற்றும் கிரீம் உடன் சேர்த்து அருமையாக இருக்கும். நீங்கள் அதை முயற்சித்ததில்லை என்றால், அந்த கலவையை முயற்சிக்க பரிந்துரைக்கிறேன்.</t>
  </si>
  <si>
    <t>https://www.yummytummyaarthi.com/wp-content/uploads/2017/02/1-14.jpg</t>
  </si>
  <si>
    <t>Avocado Chapathi</t>
  </si>
  <si>
    <t>அவகேடோ சப்பாத்தி</t>
  </si>
  <si>
    <t xml:space="preserve">   Avocado Pulp – 3/4 cup,
   Whole wheat flour – 1 1/4 cup,
   Onion – 1/2 an onion,
   Green chillies - 1,
   Coriander leaves – 2 tbsp,
   Garlic – 2-3 grated,
   Lemon juice – 2 tsp,
   Salt as needed,
   Ghee/clarified butter .</t>
  </si>
  <si>
    <t>அவகேடோ கூழ் - 3/4 கப்,
முழு கோதுமை மாவு - 1 1/4 கப்,
வெங்காயம் - 1/2 வெங்காயம்,
பச்சை மிளகாய் - 1,
கொத்தமல்லி இலை - 2 டீஸ்பூன்,
பூண்டு - 2-3 துருவியது,
எலுமிச்சை சாறு - 2 டீஸ்பூன்,
தேவைக்கேற்ப உப்பு,
நெய்/தெளித்த வெண்ணெய்.</t>
  </si>
  <si>
    <t>Mash avocado well. Add lemon juice, salt needed and mix well.
Add grated onion, grated garlic, finely chopped green chillies, finely chopped coriander leaves and mix well.
How to prepare avocado roti
Add whole wheat flour and mix well with the avocado mixture. No need to add water. Knead it into a soft pliable dough. If needed, you may add a tsp of oil, though not necessary. Let the dough rest for 15 minutes. (If you feel the dough is too soft, you may add a little more flour).
Divide the dough into equal parts. Flatten it and dust wheat flour.
Roll it out into a circle of 5 or 6 inches in diameter, dusting wheat flour. Repeat the same of the rest of the balls.
how to make Avocado Paratha/chapati
Heat a tawa, place the rolled out dough on the tawa. When you find bubbles forming on the surface, press it gently with a kitchen towel or ladle and flip it over to the other side.
Cook the other side and remove from heat. Apply ghee (if preferred) and serve hot.</t>
  </si>
  <si>
    <t>அவகேடோவை நன்றாக மசிக்கவும். எலுமிச்சை சாறு, தேவையான உப்பு சேர்த்து நன்கு கலக்கவும்.
துருவிய வெங்காயம், துருவிய பூண்டு, இறுதியாக நறுக்கிய பச்சை மிளகாய், இறுதியாக நறுக்கிய கொத்தமல்லி இலை சேர்த்து நன்கு கலக்கவும்.
அவகேடோ ரொட்டி தயாரிப்பது எப்படி
முழு கோதுமை மாவை சேர்த்து அவகேடோ கலவையுடன் நன்கு கலக்கவும். தண்ணீர் சேர்க்க தேவையில்லை. மென்மையான நெகிழ்வான மாவாக பிசையவும். தேவைப்பட்டால், நீங்கள் ஒரு தேக்கரண்டி எண்ணெய் சேர்க்கலாம், தேவையில்லை என்றாலும். மாவை 15 நிமிடங்கள் அப்படியே விடவும். (மாவு மிகவும் மென்மையாக இருப்பதாக நீங்கள் உணர்ந்தால், நீங்கள் இன்னும் கொஞ்சம் மாவு சேர்க்கலாம்).
மாவை சம பாகங்களாகப் பிரித்து. தட்டையாக்கி கோதுமை மாவை தூவவும்.
கோதுமை மாவைத் தூவி, 5 அல்லது 6 அங்குல விட்டம் கொண்ட வட்டமாக உருட்டவும். மீதமுள்ள பந்துகளைப் போலவே செய்யவும்.
அவகேடோ பராத்தா/சப்பாத்தி செய்வது எப்படி
ஒரு தவாவை சூடாக்கி, உருட்டிய மாவை தவாவின் மீது வைக்கவும். மேற்பரப்பில் குமிழ்கள் உருவாகுவதைக் கண்டதும், அதை ஒரு சமையலறை துண்டு அல்லது கரண்டியால் மெதுவாக அழுத்தி மறுபுறம் திருப்பி விடுங்கள்.
மறுபுறமும் சமைத்து, அடுப்பிலிருந்து நீக்கவும். நெய்யை (விரும்பினால்) தடவி சூடாகப் பரிமாறவும்.</t>
  </si>
  <si>
    <t>https://encrypted-tbn0.gstatic.com/images?q=tbn:ANd9GcR6j8vMDs3u_b6-9gML8o_gEyMlNG0TWk6N-A&amp;s</t>
  </si>
  <si>
    <t xml:space="preserve">   Pasta – 2 cups,
   Red Bell Pepper – 1,
   Tomato – 1 big,
   Olive oil – 2 tsp,
   Garlic – 3 cloves minced,
   Onion – 1 small,
   Almonds – 6-7 ,
   Oregano – 1 tsp,
   Basil – 3/4 tsp,
   Chilli flakes – 3/4 tsp,
   Pepper powder as needed,
   Salt to taste,
   Butter – 1 tbsp,
   Wheat flour – 2 tsp flat,
   Milk – 3/4 cup,
   Cheese as needed.</t>
  </si>
  <si>
    <t>பாஸ்தா - 2 கப்,
சிவப்பு பெல் பெப்பர் - 1,
தக்காளி - 1 பெரியது,
ஆலிவ் எண்ணெய் - 2 டீஸ்பூன்,
பூண்டு - 3 பல் நறுக்கியது,
வெங்காயம் - 1 சிறியது,
பாதாம் - 6-7 ,
ஆர்கனோ - 1 டீஸ்பூன்,
துளசி - 3/4 டீஸ்பூன்,
மிளகாய்த்தூள் - 3/4 டீஸ்பூன்,
தேவைக்கேற்ப மிளகு தூள்,
சுவைக்கேற்ப உப்பு,
வெண்ணெய் - 1 டீஸ்பூன்,
கோதுமை மாவு - 2 டீஸ்பூன் தட்டையானது,
பால் - 3/4 கப்,
தேவைக்கேற்ப சீஸ்.</t>
  </si>
  <si>
    <t>Heat olive oil in a pan, saute garlic and onions. When onions turn transparent, add the chopped bell pepper and tomato. Saute for a few seconds and add blanched and chopped almonds. Turn off the heat.
Once it cools, grind it to a  fine paste. This is our roasted red bell pepper sauce.
Bring plenty of water to boil in a pan. Add a little salt and 2 drops of oil.
When water starts boiling, add the pasta and keep stirring to prevent it from sticking with each other.
Cook until al dente. It should not be mushy but perfectly cooked. Taste pasta to make sure it is well cooked.
Drain the water (reserve a little of the pasta water) and run cold water over the pasta.
Heat butter in a pan over low heat, add wheat flour (or maida) and cook on low heat until butter and flour are well combined. Cook for another 1 minute. Do not let it brown.
Reduce the heat to low and add milk (milk should be at room temperature) little at a time, stirring continuously to prevent lumps.
Cook stirring continuously until the sauce thickens.
how to prepare bell pepper pasta 
Turn off the heat and add the roasted red bell pepper sauce. Mix well.
Add salt, pepper powder, chilli flakes, dry oregano and basil or you can add mixed Italian herbs powder also.
Add the cooked pasta, 2-3 tbsp of reserved pasta water and just heat it.
Grate cheese over the pasta and garnish with fresh parsley, if available.
Enjoy it warm. You can serve with few slices of garlic bread or salad, if preferred. Garlic bread is great with pasta.</t>
  </si>
  <si>
    <t>ஒரு பாத்திரத்தில் ஆலிவ் எண்ணெயை சூடாக்கி, பூண்டு மற்றும் வெங்காயத்தை வதக்கவும். வெங்காயம் வெளிப்படையானதாக மாறியதும், நறுக்கிய பெல் பெப்பர் மற்றும் தக்காளியைச் சேர்க்கவும். சில நொடிகள் வதக்கி, வெளுத்து நறுக்கிய பாதாம் சேர்க்கவும். தீயை அணைக்கவும்.
அது குளிர்ந்ததும், நன்றாக அரைக்கவும். இது எங்கள் வறுத்த ரெட் பெப்பர் சாஸ்.
ஒரு பாத்திரத்தில் நிறைய தண்ணீர் கொதிக்க வைக்கவும். சிறிது உப்பு மற்றும் 2 சொட்டு எண்ணெய் சேர்க்கவும்.
தண்ணீர் கொதிக்க ஆரம்பித்ததும், பாஸ்தாவைச் சேர்த்து, ஒன்றோடொன்று ஒட்டாமல் இருக்க தொடர்ந்து கிளறவும்.
அல் டென்டே வரை சமைக்கவும். அது மென்மையாக இருக்கக்கூடாது, ஆனால் சரியாக வேக வேண்டும். பாஸ்தா நன்றாக வெந்திருப்பதை உறுதிசெய்ய சுவைக்கவும்.
தண்ணீரை வடித்து (சிறிது பாஸ்தா தண்ணீரை ஒதுக்கி வைக்கவும்) மற்றும் பாஸ்தாவின் மீது குளிர்ந்த நீரை ஊற்றவும்.
ஒரு பாத்திரத்தில் வெண்ணெயை குறைந்த தீயில் சூடாக்கி, கோதுமை மாவு (அல்லது மைதா) சேர்த்து, வெண்ணெய் மற்றும் மாவு நன்கு கலக்கும் வரை குறைந்த தீயில் சமைக்கவும். மேலும் 1 நிமிடம் சமைக்கவும். பழுப்பு நிறமாக விட வேண்டாம்.
தீயை குறைத்து, பால் (பால் அறை வெப்பநிலையில் இருக்க வேண்டும்) சிறிது சிறிதாக சேர்த்து, கட்டிகள் ஏற்படாமல் இருக்க தொடர்ந்து கிளறவும்.
சாஸ் கெட்டியாகும் வரை தொடர்ந்து கிளறவும்.
பெல் பெப்பர் பாஸ்தாவை எப்படி தயாரிப்பது
தீயை அணைத்து வறுத்த சிவப்பு பெல் பெப்பர் சாஸைச் சேர்க்கவும். நன்றாக கலக்கவும்.
உப்பு, மிளகு தூள், மிளகாய் தூள், உலர்ந்த ஆர்கனோ மற்றும் துளசி சேர்க்கவும் அல்லது நீங்கள் கலந்த இத்தாலிய மூலிகைப் பொடியையும் சேர்க்கலாம்.
சமைத்த பாஸ்தா, 2-3 தேக்கரண்டி ஒதுக்கப்பட்ட பாஸ்தா தண்ணீரைச் சேர்த்து சூடாக்கவும்.
பாஸ்தாவின் மேல் சீஸ் தட்டி, கிடைத்தால் புதிய வோக்கோசுடன் அலங்கரிக்கவும்.
சூடாக சாப்பிடுங்கள். விரும்பினால், சில பூண்டு ரொட்டி துண்டுகள் அல்லது சாலட்டுடன் பரிமாறலாம். பூண்டு ரொட்டி பாஸ்தாவுடன் நன்றாக இருக்கும்.</t>
  </si>
  <si>
    <t>https://s23209.pcdn.co/wp-content/uploads/2019/01/Creamy-Red-Pepper-ShellsIMG_8048-1.jpg</t>
  </si>
  <si>
    <t xml:space="preserve">   Bread slice - 2 ,
   Eggs – 2,
   Onion – 3 tbsp ,
   Green chilli – 1 ,
   Coriander leaves – 1 tbsp finely chopped,
   Salt to taste,
   Pepper powder to taste,
   Oil for greasing the tawa.</t>
  </si>
  <si>
    <t>ரொட்டி துண்டு - 2 ,
முட்டை - 2,
வெங்காயம் - 3 டேபிள் ஸ்பூன் ,
பச்சை மிளகாய் - 1 ,
கொத்தமல்லி இலை - 1 டேபிள் ஸ்பூன் நன்றாக நறுக்கியது,
ருசிக்க உப்பு,
ருசிக்க மிளகு தூள்,
தவாவை தடவ எண்ணெய்.</t>
  </si>
  <si>
    <t>Break 2 eggs into a bowl. Add finely chopped onions, green chilli , coriander leaves, salt and pepper powder.
bread omelet recipe 
Add a tsp of water and beat well with a fork until foamy. Apply butter and toast bread both the sides.
Grease a tawa and heat it. Pour the egg mixture on the tawa. Tilt the pan slightly to get thin, bigger omelet as we have to place 2 bread slices on the omelet.
When it is half cooked, place both the bread slices on top of it (as seen in the picture below) to absorb the uncooked egg mixture.
Then turn the bread over to the other side.
Now flip the omelette with the bread slices to the other side carefully or you can fold the omelet on the side of the bread, over the bread slices and then flip it over (to get a rectangular shape).
Once it is cooked, flip again, fold it and serve immediately with tomato ketchup or green chutney.</t>
  </si>
  <si>
    <t>ஒரு பாத்திரத்தில் 2 முட்டைகளை உடைக்கவும். இறுதியாக நறுக்கிய வெங்காயம், பச்சை மிளகாய், கொத்தமல்லி இலை, உப்பு மற்றும் மிளகு தூள் சேர்க்கவும்.
ரொட்டி ஆம்லெட் செய்முறை
ஒரு டீஸ்பூன் தண்ணீர் சேர்த்து ஒரு முட்கரண்டி கொண்டு நுரை வரும் வரை நன்றாக அடிக்கவும். வெண்ணெய் மற்றும் டோஸ்ட் பிரட்டை இருபுறமும் தடவவும்.
ஒரு தவாவை தடவி சூடாக்கவும். முட்டை கலவையை தவாவின் மீது ஊற்றவும். ஆம்லெட்டின் மீது 2 பிரட் துண்டுகளை வைக்க வேண்டியிருப்பதால், மெல்லிய, பெரிய ஆம்லெட்டைப் பெற வாணலியை சிறிது சாய்க்கவும்.
பாதி வெந்தவுடன், சமைக்கப்படாத முட்டை கலவையை உறிஞ்சுவதற்கு இரண்டு பிரட் துண்டுகளையும் அதன் மேல் வைக்கவும் (கீழே உள்ள படத்தில் காட்டப்பட்டுள்ளது).
பின்னர் ரொட்டியை மறுபுறம் திருப்பவும்.
இப்போது ஆம்லெட்டை ரொட்டித் துண்டுகளுடன் கவனமாக மறுபுறம் திருப்புங்கள் அல்லது ஆம்லெட்டை ரொட்டியின் ஓரத்தில், ரொட்டித் துண்டுகளின் மேல் மடித்து, பின்னர் அதை புரட்டலாம் (ஒரு செவ்வக வடிவத்தைப் பெற).
அது வெந்தவுடன், மீண்டும் திருப்பி, மடித்து, தக்காளி கெட்ச்அப் அல்லது பச்சை சட்னியுடன் உடனடியாக பரிமாறவும்.</t>
  </si>
  <si>
    <t>https://encrypted-tbn0.gstatic.com/images?q=tbn:ANd9GcRH0eqlKPn6jSnodXEb5AMbD2hFaSFnLoqxpA&amp;s</t>
  </si>
  <si>
    <t>Egg Omelette</t>
  </si>
  <si>
    <t>முட்டை ஆம்லெட்</t>
  </si>
  <si>
    <t>முட்டை – 1,
வெங்காயம் – 2-3 டேபிள்ஸ்பூன் பொடியாக நறுக்கியது,
பச்சை மிளகாய் – 1 பொடியாக நறுக்கியது,
ருசிக்க உப்பு,
மிளகு தூள் ருசிக்க,
தவாவை தடவ எண்ணெய்.</t>
  </si>
  <si>
    <t>Crack an egg into a mixing bowl. Add finely chopped onion, green chilli and salt needed.
Add a tsp of water and beat well with a fork until foamy. Grease a tawa with oil and heat it.
Once the tawa is hot, pour the egg mixture on the tawa and cook on medium heat.
Once slightly cooked, flip it over to the other side and cook for just 4-5 seconds.
Remove the omelette onto a plate and sprinkle pepper powder if needed. Serve hot from the tawa with rice or with bread or as such.</t>
  </si>
  <si>
    <t>ஒரு மிக்ஸிங் கிண்ணத்தில் முட்டையை உடைக்கவும். பொடியாக நறுக்கிய வெங்காயம், பச்சை மிளகாய் மற்றும் தேவையான உப்பு சேர்க்கவும்.
ஒரு டீஸ்பூன் தண்ணீர் சேர்த்து, ஒரு முட்கரண்டி கொண்டு நுரை வரும் வரை நன்றாக அடிக்கவும். ஒரு தவாவில் எண்ணெய் தடவி சூடாக்கவும்.
தவா சூடானதும், முட்டை கலவையை தவாவில் ஊற்றி மிதமான தீயில் சமைக்கவும்.
சிறிது வெந்தவுடன், அதை மறுபுறம் திருப்பி 4-5 வினாடிகள் சமைக்கவும்.
ஆம்லெட்டை ஒரு தட்டில் எடுத்து, தேவைப்பட்டால் மிளகு தூளை தூவி பரிமாறவும். தவாவிலிருந்து அரிசி அல்லது ரொட்டியுடன் அல்லது இதுபோன்றவற்றுடன் சூடாக பரிமாறவும்.</t>
  </si>
  <si>
    <t>https://www.sweetashoney.co/wp-content/uploads/Omelette-2.jpg</t>
  </si>
  <si>
    <t>Quinoa Idli</t>
  </si>
  <si>
    <t>குயினோவா இட்லி</t>
  </si>
  <si>
    <t xml:space="preserve">   Quinoa – 1 cup,
   Whole Skinned Urad dal – 1/2 cup,
   Rice – 1 cup,
   Fenugeek seeds – 1/2 tsp,
   Salt as needed.</t>
  </si>
  <si>
    <t>குயினோவா - 1 கப்,
முழு தோல் நீக்கிய உளுத்தம் பருப்பு - 1/2 கப்,
அரிசி - 1 கப்,
வெந்தயம் - 1/2 தேக்கரண்டி,
தேவைக்கேற்ப உப்பு.</t>
  </si>
  <si>
    <t>Wash and soak urad dal for 5-6 hours.
Wash and soak quinoa, rice and fenugreek seeds together for 5-6 hours. Rice* – You can use raw rice, par boiled rice, brown rice or traditional rice varieties. I have used traditional Khichli samba rice.
Grind urad dal adding water (chilled water), little at a time to a smooth batter. I added approximately 1/2 cup of water for grinding. Do not add all the water at one go. Add little at a time. Do not operate the mixer grinder/mixie at a stretch.  Once it is ground to a smooth paste, use the whip mode/whipper button and grind it for a few more minutes to get fluffy batter.  Remove the batter into a bowl and keep it aside.
Grind quinoa, rice and fenugreek to a slightly coarse paste (next stage to rava consistency) adding water little at a time. Grind it in two batches. Remove the batter into a bowl.
Mix both the batter together and add salt needed. Taste a little batter to check for salt. The consistency of the batter should not be too thick nor too thin. It should be similar to our regular idli batter.
Leave it overnight or for 6 hours to ferment.
Once the batter has fermented, you can make idlis from the batter.
quinoa idly recipe 
Quinoa Idli batter – Before and after fermentation 
To make idlis, you need a steamer or kadai or a pressure pan and an idli mould.
Grease the idli plates/moulds with a little oil and keep it ready.
Bring enough water to boil in a steamer/kadai/pressure pan. Once water starts boiling, place the idli mold on the steamer. (If using pressure pan, do not put the weight/whistle.)
Mix the batter well and pour a ladle of batter on each mould. Cook covered on medium heat for 10-15 minutes or until a toothpick inserted in the center of the idli comes out clean.
Once done, allow it to cool for 5 minutes and then remove the idlis. Repeat the same for the rest of the batter.
Enjoy soft and spongy quinoa idlis with any chutney or sambar. Check out more side dish for idli.</t>
  </si>
  <si>
    <t>உளுத்தம் பருப்பை 5-6 மணி நேரம் கழுவி ஊற வைக்கவும்.
குயினோவா, அரிசி மற்றும் வெந்தயத்தை ஒன்றாக கழுவி 5-6 மணி நேரம் ஊற வைக்கவும். அரிசி* - நீங்கள் பச்சரிசி, புழுங்கல் அரிசி, பழுப்பு அரிசி அல்லது பாரம்பரிய அரிசி வகைகளைப் பயன்படுத்தலாம். நான் பாரம்பரிய கிச்லி சம்பா அரிசியைப் பயன்படுத்தினேன்.
உளுத்தம் பருப்பை சிறிது சிறிதாக தண்ணீர் (குளிர்ந்த தண்ணீர்) சேர்த்து மென்மையான மாவாக அரைக்கவும். அரைப்பதற்கு சுமார் 1/2 கப் தண்ணீர் சேர்த்தேன். ஒரே நேரத்தில் அனைத்து தண்ணீரையும் சேர்க்க வேண்டாம். ஒரு நேரத்தில் சிறிது சிறிதாக சேர்க்கவும். மிக்சர் கிரைண்டர்/மிக்சியை ஒரே நேரத்தில் இயக்க வேண்டாம். அது மென்மையான பேஸ்டாக அரைத்தவுடன், விப் மோட்/விப்பர் பட்டனைப் பயன்படுத்தி, பஞ்சுபோன்ற மாவு கிடைக்கும் வரை இன்னும் சில நிமிடங்கள் அரைக்கவும். மாவை ஒரு பாத்திரத்தில் எடுத்து தனியாக வைக்கவும்.
குயினோவா, அரிசி மற்றும் வெந்தயத்தை சிறிது கரடுமுரடான பேஸ்டாக அரைக்கவும் (ரவா நிலைத்தன்மைக்கு அடுத்த கட்டம்) சிறிது தண்ணீர் சேர்த்து. இரண்டு கட்டங்களாக அரைக்கவும். மாவை ஒரு பாத்திரத்தில் அகற்றவும்.
மாவை இரண்டையும் ஒன்றாக கலந்து தேவையான உப்பு சேர்க்கவும். உப்பு இருக்கிறதா என்று பார்க்க சிறிது மாவை சுவைக்கவும். மாவின் நிலைத்தன்மை மிகவும் தடிமனாகவோ அல்லது மெல்லியதாகவோ இருக்கக்கூடாது. இது எங்கள் வழக்கமான இட்லி மாவைப் போலவே இருக்க வேண்டும்.
இட்லி புளிக்க இரவு முழுவதும் அல்லது 6 மணி நேரம் விடவும்.
மாவு புளித்தவுடன், நீங்கள் மாவிலிருந்து இட்லிகளை செய்யலாம்.
குயினோவா இட்லி மாவு செய்முறை
குயினோவா இட்லி மாவு - நொதித்தலுக்கு முன்னும் பின்னும்
இட்லிகளை தயாரிக்க, உங்களுக்கு ஒரு ஸ்டீமர் அல்லது கடாய் அல்லது ஒரு பிரஷர் பான் மற்றும் ஒரு இட்லி அச்சு தேவை.
இட்லி தட்டுகள் / அச்சுகளில் சிறிது எண்ணெய் தடவி தயாராக வைக்கவும்.
ஒரு ஸ்டீமர்/கடை/பிரஷர் பாத்திரத்தில் கொதிக்க போதுமான தண்ணீரை கொண்டு வாருங்கள். தண்ணீர் கொதிக்க ஆரம்பித்ததும், இட்லி அச்சுகளை ஸ்டீமரில் வைக்கவும். (பிரஷர் பான் பயன்படுத்தினால், வெயிட்/விசில் போட வேண்டாம்.)
மாவை நன்றாகக் கலந்து, ஒவ்வொரு அச்சுகளிலும் ஒரு கரண்டி மாவை ஊற்றவும். மூடி வைத்து மிதமான தீயில் 10-15 நிமிடங்கள் அல்லது இட்லியின் மையத்தில் செருகப்பட்ட ஒரு டூத்பிக் சுத்தமாக வெளியே வரும் வரை சமைக்கவும்.
தயாரானதும், அதை 5 நிமிடங்கள் ஆற வைத்து, பின்னர் இட்லியை அகற்றவும். மீதமுள்ள மாவிற்கும் இதையே செய்யவும்.
மென்மையான மற்றும் பஞ்சுபோன்ற குயினோவா இட்லிகளை எந்த சட்னி அல்லது சாம்பாருடன் சேர்த்து மகிழுங்கள். இட்லிக்கு வேறு சில சைடு டிஷ்களையும் பாருங்கள்.</t>
  </si>
  <si>
    <t>https://www.secondrecipe.com/wp-content/uploads/2024/03/quinoa-idli.jpg</t>
  </si>
  <si>
    <t>Samba Godhumai Rava Adai</t>
  </si>
  <si>
    <t>சம்பா கோதுமை ரவா அடை</t>
  </si>
  <si>
    <t xml:space="preserve">   Cracked wheat – 1 cup,
   Bengal gram – 1/4 cup,
   Tur dal – 1/4 cup,
   Urad dal – 1/4 cup,
   Cumin seeds – 1 tsp,
   Red Chillies – 2-3,
   Hing – generous pinch,
   Ginger – 1 inch piece,
   Salt needed,
   Carrot – 1,
   Cabbage – 1/3 – 1/2 cup,
   Onion – 1/2 cup,
   Coriander leaves – 2 tbsp finely chopped,
   Curry leaves – a sprig,
   Oil for making adais.</t>
  </si>
  <si>
    <t>வெடித்த கோதுமை - 1 கப்,
வங்காள பருப்பு - 1/4 கப்,
துவரம் பருப்பு - 1/4 கப்,
உளுத்தம் பருப்பு - 1/4 கப்,
சீரகம் - 1 டீஸ்பூன்,
சிவப்பு மிளகாய் - 2-3,
பெருங்காயம் - தாராளமாக சிட்டிகை,
இஞ்சி - 1 அங்குல துண்டு,
உப்பு தேவை,
கேரட் - 1,
முட்டைக்கோஸ் - 1/3 - 1/2 கப்,
வெங்காயம் - 1/2 கப்,
கொத்தமல்லி இலை - 2 டீஸ்பூன் நன்றாக நறுக்கியது,
கறிவேப்பிலை - ஒரு தளிர்,
அடை செய்வதற்கு எண்ணெய்.</t>
  </si>
  <si>
    <t>Finely chop onion, cabbage and coriander leaves. Wash, peel the skin and grate carrot. Keep it aside. Peel and finely chop ginger.
Soak cracked wheat for 5 hours in 1 1/2 cups of water.
Wash and soak all the dals (tur dal (tuvaram paruppu), chana dal (kadalai paruppu), urad dal (ulutham paurppu) together for 4 hours.
Grind the dal together with red chillies, cumin, ginger, hing and salt needed. Remove it in a bowl and keep it aside. Grind soaked dalia just for a few seconds.
Mix dalia and dal batter together to get adai batter consistency.
daliya adai batter-how to make samba godhumai rava adai 
The batter should neither be too thick nor thin. So you can adjust it by adding water accordingly. Add water only if necessary. No fermentation required.
Now add all the vegetables, curry leaves, coriander leaves to the batter and mix well. You can add even finely chopped capsicum, grated coconut, grated beetroot etc.
Heat a tawa and  pour a ladle of batter in the center of the tawa and spread it using the back of the ladle in a circle.
Make 3-4 holes in the adai using a spoon. Drizzle a tsp of oil around the adai and inside the holes.
Cook covered on medium heat. Once the corners start lifting up, flip it over to the other side, drizzle another 1/2 tsp of oil and cook until done.
Remove from heat and serve hot with any chutney of your choice. Even idli podi with sesame seed oil, butter, cream (malai) and jaggery goes well with adai.</t>
  </si>
  <si>
    <t>வெங்காயம், முட்டைக்கோஸ் மற்றும் கொத்தமல்லி இலைகளை நன்றாக நறுக்கவும். கழுவி, தோல் உரித்து, கேரட்டை துருவவும். அதை ஒதுக்கி வைக்கவும். இஞ்சியை உரித்து, இறுதியாக நறுக்கவும்.
வெடித்த கோதுமையை 1 1/2 கப் தண்ணீரில் 5 மணி நேரம் ஊற வைக்கவும்.
துவரம் பருப்பு (துவரம் பருப்பு), கடலை பருப்பு (கடலை பருப்பு), உளுத்தம் பருப்பு (உளுத்தம் பவுர்ப்பு) ஆகியவற்றை கழுவி 4 மணி நேரம் ஊற வைக்கவும்.
பருப்பை சிவப்பு மிளகாய், சீரகம், இஞ்சி, பெருங்காயம் மற்றும் தேவையான உப்பு சேர்த்து அரைக்கவும். ஒரு பாத்திரத்தில் எடுத்து தனியாக வைக்கவும். ஊறவைத்த தாலியாவை சில நொடிகள் மட்டும் அரைக்கவும்.
தாலியா மற்றும் தாலியா மாவை ஒன்றாக கலந்து அடை மாவு நிலைத்தன்மையைப் பெறுங்கள்.
தாலியா அடை மாவு - சம்பா கோதுமை ரவா அடை செய்வது எப்படி
மாவு மிகவும் கெட்டியாகவோ அல்லது மெல்லியதாகவோ இருக்கக்கூடாது. எனவே அதற்கேற்ப தண்ணீரைச் சேர்ப்பதன் மூலம் அதை சரிசெய்யலாம். தேவைப்பட்டால் மட்டுமே தண்ணீர் சேர்க்கவும். நொதித்தல் தேவையில்லை.
இப்போது அனைத்து காய்கறிகள், கறிவேப்பிலை, கொத்தமல்லி இலைகளை மாவில் சேர்த்து நன்கு கலக்கவும். நீங்கள் இறுதியாக நறுக்கிய கேப்சிகம், துருவிய தேங்காய், துருவிய பீட்ரூட் போன்றவற்றைச் சேர்க்கலாம்.
ஒரு தவாவை சூடாக்கி, தவாவின் மையத்தில் ஒரு கரண்டி மாவை ஊற்றி, கரண்டியின் பின்புறத்தைப் பயன்படுத்தி பரப்பவும். வட்டமிடுங்கள்.
அடையில் ஒரு கரண்டியால் 3-4 துளைகளை ஏற்படுத்துங்கள். அடையைச் சுற்றிலும் துளைகளுக்குள்ளும் ஒரு தேக்கரண்டி எண்ணெயைத் தெளிக்கவும்.
மிதமான தீயில் மூடி வைத்து சமைக்கவும். மூலைகள் மேலே எழ ஆரம்பித்ததும், அதை மறுபுறம் திருப்பி, மற்றொரு 1/2 தேக்கரண்டி எண்ணெயைத் தூவி, வேகும் வரை சமைக்கவும்.
அடுப்பிலிருந்து இறக்கி, உங்களுக்கு விருப்பமான எந்த சட்னியுடன் சூடாகப் பரிமாறவும். எள் எண்ணெய், வெண்ணெய், கிரீம் (மலை) மற்றும் வெல்லம் சேர்த்து இட்லி பொடி கூட அடையுடன் நன்றாகப் பொருந்தும்.</t>
  </si>
  <si>
    <t>https://encrypted-tbn0.gstatic.com/images?q=tbn:ANd9GcTYybDgWTNR9k7k3QR-NNZai0GKmavszDrIpw&amp;s</t>
  </si>
  <si>
    <t xml:space="preserve">    Eggs - 2,
   Water - 2 tsp,
   Pepper powder as needed,
   Salt – a pinch,
   Button Mushrooms – 6-8 ,
   Oil – 3 tsp,
   Onion – 1/3 cup finely chopped,
   Garlic cloves – 3 minced,
   Chilli powder – 1/2 tsp,
   Turmeric powder – 1/8 tsp,
   Salt as needed,
   Dill leaves – 1 tsp dry.</t>
  </si>
  <si>
    <t>முட்டை - 2,
தண்ணீர் - 2 தேக்கரண்டி,
மிளகு தூள் தேவைக்கேற்ப,
உப்பு - ஒரு சிட்டிகை,
பட்டன் காளான்கள் - 6-8,
எண்ணெய் - 3 தேக்கரண்டி,
வெங்காயம் - 1/3 கப் நன்றாக நறுக்கியது,
பூண்டு பற்கள் - 3 நறுக்கியது,
மிளகாய் தூள் - 1/2 தேக்கரண்டி,
மஞ்சள் தூள் - 1/8 தேக்கரண்டி,
உப்பு தேவைக்கேற்ப,
வெந்தய இலைகள் - 1 தேக்கரண்டி உலர்.</t>
  </si>
  <si>
    <t>Clean mushroom and chop it into thin slices (I did not do that but recommend you to do it as it will be easy when flipping the omelette). Check out how to clean mushrooms.
Heat oil in a pan, add finely chopped onions and garlic. Saute until onions turn transparent.
Add sliced mushroom, turmeric powder and chilli powder.
sauteing mushrooms 
Mushrooms will ooze out lot of water. Cook on medium heat until all the water evaporates and the mixture becomes dry.
mushroom preparation for mushroom omelette 
Add salt needed and dry dill leaves (If you could not get fresh dill leaves, you can add). You can add any herbs of your choice not necessarily dill.
Crack 2 eggs in a bowl, add little salt, 2 tsp water and pepper powder. (Remember we have added salt to mushrooms also. Adding water gives you fluffier omelette).
Beat with a fork until you get bubbles. Grease a tawa and heat it.
Once hot, pour the egg mixture and reduce the heat to low.
Once the omelette is cooked slightly, spread  the mushroom mixture all over the omelette and slightly press it. Cook for a few seconds.
If you want, you can flip it over to the other side or you can just fold it and cook for another few seconds.
Slide the omelette on to a plate and serve hot with bread or rice.</t>
  </si>
  <si>
    <t>காளானை சுத்தம் செய்து மெல்லிய துண்டுகளாக நறுக்கவும் (நான் அப்படி செய்யவில்லை, ஆனால் ஆம்லெட்டை புரட்டும்போது எளிதாக இருக்கும் என்பதால் அதைச் செய்ய பரிந்துரைக்கிறேன்). காளான்களை எப்படி சுத்தம் செய்வது என்று பாருங்கள்.
ஒரு கடாயில் எண்ணெயை சூடாக்கி, இறுதியாக நறுக்கிய வெங்காயம் மற்றும் பூண்டு சேர்க்கவும். வெங்காயம் வெளிப்படையானதாக மாறும் வரை வதக்கவும்.
நறுக்கிய காளான், மஞ்சள் தூள் மற்றும் மிளகாய் தூள் சேர்க்கவும்.
வதக்க காளான்கள்
காளான்கள் நிறைய தண்ணீர் வெளியேறும். அனைத்து தண்ணீரும் ஆவியாகி கலவை காய்ந்து போகும் வரை மிதமான தீயில் சமைக்கவும்.
காளான் ஆம்லெட்டுக்கு காளான் தயாரிப்பு
தேவையான உப்பு மற்றும் உலர்ந்த வெந்தய இலைகளைச் சேர்க்கவும் (புதிய வெந்தய இலைகள் கிடைக்கவில்லை என்றால், நீங்கள் சேர்க்கலாம்). வெந்தயம் தவிர உங்களுக்கு விருப்பமான எந்த மூலிகைகளையும் சேர்க்கலாம்.
ஒரு கிண்ணத்தில் 2 முட்டைகளை உடைத்து, சிறிது உப்பு, 2 தேக்கரண்டி தண்ணீர் மற்றும் மிளகு தூள் சேர்க்கவும். (காளானிலும் உப்பு சேர்த்துள்ளோம் என்பதை நினைவில் கொள்ளுங்கள். தண்ணீர் சேர்ப்பது உங்களுக்கு மென்மையான ஆம்லெட்டை வழங்கும்).
குமிழ்கள் வரும் வரை ஒரு முட்கரண்டி கொண்டு அடிக்கவும். ஒரு தவாவை தடவி சூடாக்கவும்.
சூடான பிறகு, முட்டை கலவையை ஊற்றி, தீயை குறைத்து வைக்கவும்.
ஆம்லெட் சிறிது வெந்தவுடன், காளான் கலவையை ஆம்லெட் முழுவதும் பரப்பி, சிறிது அழுத்தவும். சில வினாடிகள் சமைக்கவும்.
நீங்கள் விரும்பினால், அதை மறுபுறம் திருப்பிப் போடலாம் அல்லது மடித்து சில வினாடிகள் சமைக்கலாம்.
ஆம்லெட்டை ஒரு தட்டில் வைத்து, ரொட்டி அல்லது அரிசியுடன் சூடாகப் பரிமாறவும்.</t>
  </si>
  <si>
    <t>https://www.indianhealthyrecipes.com/wp-content/uploads/2021/06/mushroom-omelette-recipe.jpg</t>
  </si>
  <si>
    <t>Avocado Sandwich</t>
  </si>
  <si>
    <t>அவகேடோ சாண்ட்விச்</t>
  </si>
  <si>
    <t xml:space="preserve">   Bread slices – 4 ,
   Cheese Slice – 2,
   Butter or olive oil for toasting,
   Ripe Avocado – 1 ,
   Onion – 3 tbsp finely chopped,
   Green chilli – 1 finely chopped,
   Ginger-garlic paste – 1/2 tsp,
   Tomato – 1 small,
   Capsicum – 3 tbsp ,
   Coriander leaves – 2 tbsp,
   Mint leaves ,
   Lemon Juice – 1-2 tbsp,
   Roasted Cumin Powder – 1/2 tsp,
   Pepper Powder as needed,
   Salt to taste.</t>
  </si>
  <si>
    <t>ரொட்டி துண்டுகள் - 4 ,
சீஸ் துண்டு - 2,
டோஸ்ட் செய்ய வெண்ணெய் அல்லது ஆலிவ் எண்ணெய்,
பழுத்த அவகேடோ - 1 ,
வெங்காயம் - 3 டேபிள்ஸ்பூன் நன்றாக நறுக்கியது,
பச்சை மிளகாய் - 1 நன்றாக நறுக்கியது,
இஞ்சி-பூண்டு விழுது - 1/2 டேபிள்ஸ்பூன்,
தக்காளி - 1 சிறியது,
கேப்சிகம் - 3 டேபிள்ஸ்பூன்,
கொத்தமல்லி இலைகள் - 2 டேபிள்ஸ்பூன்,
புதினா இலைகள் ,
எலுமிச்சை சாறு - 1-2 டேபிள்ஸ்பூன்,
வறுத்த சீரகப் பொடி - 1/2 டேபிள்ஸ்பூன்,
மிளகு பொடி தேவைக்கேற்ப,
உப்பு.</t>
  </si>
  <si>
    <t>Mash avocado pulp with a fork or spoon until creamy.
mashed avocado
Add finely chopped onions, green chilli and ginger garlic paste.
Indian style avocado spread for bread
Add tomato, capsicum, finely chopped coriander and mint leaves. Squeeze fresh lemon juice.
Avocado Sandwich Recipe
Add salt, cumin powder, pepper powder and mix well. Our avocado spread for the sandwich is ready.
Vegetarian Avocado Sandwich-Indian Style
Take 4 bread slices. Spread avocado mixture lavishly on top of 2 bread slices.
Place a cheese slice on the other 2 bread slices. Cover the avocado spread bread with the other bread (with the cheese slice) with the cheese side facing down.
Heat butter/olive oil in a pan/tawa and toast both sides of the bread until golden brown. If you have a bread toaster, you can toast it in that also.
Repeat the same procedure to make more avocado sandwiches. Creamy, delicious avocado sandwich is ready to be devoured. It can be enjoyed as such.</t>
  </si>
  <si>
    <t>அவகேடோ கூழ் ஒரு முட்கரண்டி அல்லது கரண்டியால் கிரீமி ஆகும் வரை பிசையவும்.
மசித்த அவகேடோ
பொடியாக நறுக்கிய வெங்காயம், பச்சை மிளகாய் மற்றும் இஞ்சி பூண்டு விழுது சேர்க்கவும்.
ரொட்டிக்கு இந்திய பாணி அவகேடோ ஸ்ப்ரெட்
தக்காளி, கேப்சிகம், நன்றாக நறுக்கிய கொத்தமல்லி மற்றும் புதினா இலைகளைச் சேர்க்கவும். புதிய எலுமிச்சை சாற்றை பிழியவும்.
அவகேடோ சாண்ட்விச் செய்முறை
உப்பு, சீரகப் பொடி, மிளகு பொடி சேர்த்து நன்கு கலக்கவும். சாண்ட்விச்சிற்கான எங்கள் அவகேடோ ஸ்ப்ரெட் தயாராக உள்ளது.
சைவ அவகேடோ சாண்ட்விச்-இந்திய பாணி
4 பிரட் துண்டுகளை எடுத்துக் கொள்ளுங்கள். 2 பிரட் துண்டுகளின் மேல் அவகேடோ கலவையை தாராளமாகப் பரப்புங்கள்.
மற்ற 2 பிரட் துண்டுகளின் மீது ஒரு சீஸ் துண்டை வைக்கவும். அவகேடோ ஸ்ப்ரெட் பிரெட்டை மற்ற பிரட்டுடன் (சீஸ் துண்டுடன்) மூடி, சீஸ் பக்கம் கீழே இருக்கும்படி செய்யவும்.
வெண்ணெய்/ஆலிவ் எண்ணெயை ஒரு பாத்திரம்/தவாவில் சூடாக்கி, பிரெட்டின் இருபுறமும் பொன்னிறமாகும் வரை டோஸ்ட் செய்யவும். உங்களிடம் பிரட் டோஸ்டர் இருந்தால், அதையும் அதில் டோஸ்ட் செய்யலாம்.
மேலும் அவகேடோ சாண்ட்விச்களை தயாரிக்க அதே நடைமுறையை மீண்டும் செய்யவும். கிரீமி, சுவையான அவகேடோ சாண்ட்விச் சாப்பிட தயாராக உள்ளது. அதை அப்படியே அனுபவிக்கலாம்.</t>
  </si>
  <si>
    <t>https://static.toiimg.com/thumb/63842321.cms?imgsize=524668&amp;width=800&amp;height=800</t>
  </si>
  <si>
    <t>பெஸ்டோ சாண்ட்விச்</t>
  </si>
  <si>
    <t xml:space="preserve">   Brown Bread – 8 slices,
   Pesto – as needed,
   Tomato – 1,
   Cucumber – 5 – 6 slices,
   Onion – 4 slices,
   Capsicum – 1,
   Cheese slice – 4.</t>
  </si>
  <si>
    <t>பிரவுன் பிரட் - 8 துண்டுகள்,
பெஸ்டோ - தேவைக்கேற்ப,
தக்காளி - 1,
வெள்ளரிக்காய் - 5 - 6 துண்டுகள்,
வெங்காயம் - 4 துண்டுகள்,
கேப்சிகம் - 1,
சீஸ் துண்டு - 4.</t>
  </si>
  <si>
    <t>Take 4 bread slices, spread one side of 2 bread slices with generous amount of pesto. Top the pesto with 1 slice of onion, 1 tomato slice, one cucumber slice and some chopped roasted bell pepper.
Place a cheese slice on the other 2 bread slices (picture below). Now cover the pesto spread bread slice with cheese side facing down.
You can enjoy it without toasting the bread. I love my bread toasted. If you like toasted sandwich like me, then proceed to the next step.
Heat a little butter in a griddle/tawa, place the sandwich and toast both sides until golden brown.If you have a toaster with you, you can toast it using that also.
Repeat the same process for the other 4 bread slices.
Enjoy it for breakfast or for lunch or as a snack. It is incredibly satisfying!</t>
  </si>
  <si>
    <t>4 பிரட் துண்டுகளை எடுத்து, 2 பிரட் துண்டுகளின் ஒரு பக்கத்தில் தாராளமாக பெஸ்டோவை பரப்பவும். பெஸ்டோவின் மேல் 1 துண்டு வெங்காயம், 1 தக்காளி துண்டு, ஒரு வெள்ளரிக்காய் துண்டு மற்றும் சிறிது நறுக்கிய வறுத்த பெல் பெப்பர் ஆகியவற்றை வைக்கவும்.
மற்ற 2 பிரட் துண்டுகளின் மீது ஒரு சீஸ் துண்டு வைக்கவும் (கீழே உள்ள படம்). இப்போது பெஸ்டோ ஸ்ப்ரெட் பிரட் ஸ்லைஸை சீஸ் பக்கவாட்டில் கீழ்நோக்கி இருக்கும்படி மூடி வைக்கவும்.
ரொட்டியை டோஸ்ட் செய்யாமல் நீங்கள் அதை அனுபவிக்கலாம். எனக்கு என் டோஸ்ட் ரொட்டி மிகவும் பிடிக்கும். நீங்கள் என்னைப் போலவே டோஸ்ட் செய்யப்பட்ட சாண்ட்விச் விரும்பினால், அடுத்த கட்டத்திற்குச் செல்லவும்.
ஒரு கிரிடில்/தவாவில் சிறிது வெண்ணெயை சூடாக்கி, சாண்ட்விச்சை வைத்து இருபுறமும் பொன்னிறமாகும் வரை டோஸ்ட் செய்யவும். உங்களிடம் ஒரு டோஸ்டர் இருந்தால், அதைப் பயன்படுத்தி டோஸ்ட் செய்யலாம்.
மற்ற 4 பிரட் துண்டுகளுக்கும் இதே செயல்முறையை மீண்டும் செய்யவும்.
காலை உணவாகவோ, மதிய உணவாகவோ அல்லது சிற்றுண்டியாகவோ இதை உண்டு மகிழுங்கள். இது நம்பமுடியாத அளவிற்கு திருப்திகரமாக இருக்கிறது!</t>
  </si>
  <si>
    <t>https://encrypted-tbn0.gstatic.com/images?q=tbn:ANd9GcRo7zaETuEno19NzYDDjUAwslWFClEHus9miA&amp;s</t>
  </si>
  <si>
    <t>Sevai</t>
  </si>
  <si>
    <t>சேவை</t>
  </si>
  <si>
    <t xml:space="preserve">   Parboiled rice – 1 1/2 cup,
   Salt – 1 tsp,
   Oil – 1 tbsp,
   Steamer,
   Sevai maker or regular press.</t>
  </si>
  <si>
    <t>புழுங்கல் அரிசி - 1 1/2 கப்,
உப்பு - 1 தேக்கரண்டி,
எண்ணெய் - 1 தேக்கரண்டி,
நீராவி கொதிகலன்,
சேவை மேக்கர் அல்லது வழக்கமான அழுத்தி.</t>
  </si>
  <si>
    <t>Bring water to boil in a steamer or idli pan/kadai. Place the greased idli plates (you can also use damp cloth) and pour a ladle of batter into the idli moulds. Steam cook the idlis for 15 minutes or until cooked. These idlis will be very hard compared to our regular idlis.
Now put 1-2 hot idlis into the sevai maker and press to get hot rice noodles or sevai. Repeat the process for the remaining idlis. (If the idlis get cold, you will find it very difficult to press, so keep the rest of the idlis inside the steamer or idli pot to prevent it from getting cold, as you will be making it in batches).
Put the remaining idlis in batches into the sevai maker (sevai nazhi) and press it to get hot rice sevai/noodles.
Let the sevai cool. Then you can season the sevai as per your liking. You can make varieties of dishes using the sevai.
Prepare the batter as mentioned above.
Heat a tbsp of oil +2  tbsp of  water in a kadai or pan preferably nonstick for beginners.
When the water starts boiling, switch off the flame and add the batter gradually, stirring continuously with your other hand using a dosa ladle or spatula.
Switch on the heat and start cooking the batter stirring continuously until it comes together to form a dough.
Transfer the dough to a plate. Grease your hand with a little oil and knead the dough slightly to make it smooth.
Divide the dough into 8 balls. Bring water to boil in an idli cooker or steamer, place the greased idli plate on top of it and then place the balls on the idli plate, cover it and steam cook for 15 minutes.
Now add the warm steam cooked balls, one at a time into the sevai maker and press to get steaming hot sevai as seen in the picture below. Repeat the process for the rest of the balls before it gets cold.
Wow, look at the delicious sevai on the plate. In this method the sevai is more softer than the first method.
You can follow the first method when you run out of time. In that method the sevai is good but not as soft as in method 2 which involves double cooking.</t>
  </si>
  <si>
    <t>புழுங்கல் அரிசியை (சமையலுக்குப் பயன்படுத்தப்படுகிறது) கழுவி 3 மணி நேரம் ஊற வைக்கவும்.
3 மணி நேரத்திற்குப் பிறகு, தண்ணீரை வடிகட்டி, சிறிது தண்ணீர் சேர்த்து அரிசியை மிகவும் மென்மையான பேஸ்டாக அரைக்கவும். நிலைத்தன்மை இட்லி மாவின் நிலைத்தன்மையுடன் இருக்க வேண்டும். அரைக்கும் போது அதிகமாக தண்ணீர் சேர்க்க வேண்டாம். ஒரு தேக்கரண்டி உப்பு சேர்த்து நன்கு கலக்கவும். மென்மையான பேஸ்டாக அரைப்பது மிகவும் முக்கியம்.
இரண்டு முறைகளுக்கும் மாவு ஒன்றுதான்.
சேவை மேக்கரில் சில துளிகள் எண்ணெயை தடவி தயாராக வைக்கவும்.
மாவில் ஒரு தேக்கரண்டி எண்ணெயைச் சேர்த்து நன்கு கலக்கவும்.
ஒரு ஸ்டீமர் அல்லது இட்லி பான்/கடாயில் தண்ணீரை கொதிக்க வைக்கவும். எண்ணெய் தடவிய இட்லி தட்டுகளை (நீங்கள் ஈரமான துணியையும் பயன்படுத்தலாம்) வைத்து, இட்லி அச்சுகளில் ஒரு கரண்டி மாவை ஊற்றவும். இட்லிகளை 15 நிமிடங்கள் அல்லது வேகும் வரை வேக வைக்கவும். இந்த இட்லிகள் வழக்கமான இட்லிகளை விட மிகவும் கடினமாக இருக்கும்.
இப்போது சேவை தயாரிப்பாளரில் 1-2 சூடான இட்லிகளை போட்டு, சூடான அரிசி நூடுல்ஸ் அல்லது சேவையைப் பெற அழுத்தவும். மீதமுள்ள இட்லிகளுக்கும் இந்த செயல்முறையை மீண்டும் செய்யவும். (இட்லிகள் குளிர்ந்தால், அழுத்துவது மிகவும் கடினமாக இருக்கும், எனவே மீதமுள்ள இட்லிகளை ஸ்டீமர் அல்லது இட்லி பானைக்குள் வைக்கவும், அது குளிர்ச்சியடையாமல் இருக்க, நீங்கள் அதை தொகுதிகளாகச் செய்வீர்கள்).
மீதமுள்ள இட்லிகளை சேவை தயாரிப்பாளரில் (சேவை நாழி) போட்டு, சூடான அரிசி சேவை/நூடுல்ஸ் பெற அதை அழுத்தவும்.
சேவையை குளிர்விக்க விடவும். பின்னர் உங்கள் விருப்பப்படி சேவையை தாளிக்கலாம். சேவையைப் பயன்படுத்தி பல்வேறு உணவுகளை நீங்கள் செய்யலாம்.
மேலே குறிப்பிட்டுள்ளபடி மாவை தயார் செய்யவும்.
ஒரு கடாயில் அல்லது பாத்திரத்தில் ஒரு தேக்கரண்டி எண்ணெய் +2 தேக்கரண்டி தண்ணீரை சூடாக்கவும்.
தொடக்கநிலையாளர்களுக்கு நான்ஸ்டிக் செய்வது நல்லது.
தண்ணீர் கொதிக்க ஆரம்பித்ததும், தீயை அணைத்துவிட்டு, மாவை படிப்படியாகச் சேர்த்து, உங்கள் மற்றொரு கையால் தோசை கரண்டி அல்லது ஸ்பேட்டூலாவைப் பயன்படுத்தி தொடர்ந்து கிளறவும்.
தீயை இயக்கி, மாவு ஒன்றாக வரும் வரை தொடர்ந்து கிளறி சமைக்கத் தொடங்குங்கள்.
மாவை ஒரு தட்டிற்கு மாற்றவும். உங்கள் கையில் சிறிது எண்ணெய் தடவி, மாவை மென்மையாக்க சிறிது பிசையவும்.
மாவை 8 பந்துகளாகப் பிரிக்கவும். ஒரு இட்லி குக்கர் அல்லது ஸ்டீமரில் தண்ணீரை கொதிக்க வைக்கவும், எண்ணெய் தடவிய இட்லி தட்டில் வைத்து, பின்னர் உருண்டைகளை இட்லி தட்டில் வைத்து, அதை மூடி, 15 நிமிடங்கள் ஆவியில் வேகவைக்கவும்.
இப்போது சூடான நீராவி சமைத்த உருண்டைகளை ஒவ்வொன்றாக சேவை தயாரிப்பாளரில் சேர்த்து, கீழே உள்ள படத்தில் காட்டப்பட்டுள்ளபடி, வேகவைக்கும் சூடான சேவையைப் பெற அழுத்தவும். அது குளிர்ச்சியடையும் முன் மீதமுள்ள உருண்டைகளுக்கு இந்த செயல்முறையை மீண்டும் செய்யவும்.
ஆஹா, தட்டில் உள்ள சுவையான சேவையைப் பாருங்கள். இந்த முறையில் சேவை முதல் முறையை விட மென்மையானது.
நேரம் தீர்ந்து போகும்போது முதல் முறையைப் பின்பற்றலாம். அந்த முறையில் சேவை நன்றாக இருக்கும், ஆனால் முறை 2 இல் இருப்பது போல் மென்மையாக இருக்காது, இதில் இரட்டை சமையல் அடங்கும்.</t>
  </si>
  <si>
    <t>https://encrypted-tbn0.gstatic.com/images?q=tbn:ANd9GcTGjkn6f37qgNBZROQKLm_q_rkPCZDjwL2BUA&amp;s</t>
  </si>
  <si>
    <t xml:space="preserve">
தேங்காய் மாம்பழம் ஓவர்நைட் ஓட்ஸ்</t>
  </si>
  <si>
    <t>ஒரு கண்ணாடி கிண்ணம் அல்லது மேசன் ஜாடியை எடுத்து, அதன் மேல் உருட்டப்பட்ட ஓட்ஸை அடுக்கி, அதன் மேல் பால், நறுக்கிய மாம்பழம், துருவிய தேங்காய், துருவிய பாதாம் மற்றும் தேன் ஆகியவற்றை ஊற்றவும். அதை மூடி இரவு முழுவதும் குளிர்சாதன பெட்டியில் வைக்கவும்.
மறுநாள் காலையில் அதை வெளியே எடுத்து, நன்றாக கலந்து, அதன் மேல் மாம்பழ துண்டுகள், பாதாம் மற்றும் துருவிய தேங்காய் ஆகியவற்றைச் சேர்த்து மகிழுங்கள். மகிழுங்கள்!</t>
  </si>
  <si>
    <t>https://encrypted-tbn0.gstatic.com/images?q=tbn:ANd9GcS-QwNMZzeVeuvYEGpzsJ4I8i2asDx4DMePCQ&amp;s</t>
  </si>
  <si>
    <t>Couscous with Fruits and Nuts</t>
  </si>
  <si>
    <t>பழங்கள் மற்றும் கொட்டைகளுடன் கூடிய கூஸ்கஸ்</t>
  </si>
  <si>
    <t xml:space="preserve">   Couscous – 1/2 cup,
   Sugar – 2 tsp,
   Saffron – 4-5 strands,
   Milk – 1/2 cup,
   Water – 1/2 cup,
   Salt needed,
   Ghee/clarified butter – 2 tsp,
   Almonds - 10-15 chopped,
   Pistachio – 10-15 chopped,
   Cashew nuts – 10-15 chopped,
   Raisins – 20,
   Apple – 1/2 cup chopped,
   Pineapple – 1/2 cup chopped,
   Pomegranates – 1/3 cup ,
   Paneer – 10 small cubes,
   Butter – 1 tbsp,
   Cloves – 2,
   Cardamon – 1,
   Cinnamon – 1 inch piece,
   Green Chilli - 1 slit,
   Fried Onions – 1 tbsp,
   Coriander leaves -1 tbsp finely chopped.</t>
  </si>
  <si>
    <t>கூஸ்கஸ் - 1/2 கப்,
சர்க்கரை - 2 தேக்கரண்டி,
குங்குமப்பூ - 4-5 இழைகள்,
பால் - 1/2 கப்,
தண்ணீர் - 1/2 கப்,
உப்பு தேவை,
நெய்/தெளிவுபடுத்திய வெண்ணெய் - 2 தேக்கரண்டி,
பாதாம் - 10-15 நறுக்கியது,
பிஸ்தா - 10-15 நறுக்கியது,
முந்திரி பருப்பு - 10-15 நறுக்கியது,
திராட்சை - 20,
ஆப்பிள் - 1/2 கப் நறுக்கியது,
அன்னாசி - 1/2 கப் நறுக்கியது,
மாதுளை - 1/3 கப்,
பனீர் - 10 சிறிய க்யூப்ஸ்,
வெண்ணெய் - 1 தேக்கரண்டி,
கிராம்பு - 2,
ஏலக்காய் - 1,
இலவங்கப்பட்டை - 1 அங்குல துண்டு,
பச்சை மிளகாய் - 1 துண்டு,
வறுத்த வெங்காயம் - 1 தேக்கரண்டி,
கொத்தமல்லி இலை - 1 தேக்கரண்டி பொடியாக நறுக்கியது.</t>
  </si>
  <si>
    <t>Fry nuts (almonds, pistachio, cashew nuts) separately in a tsp of ghee stirring until lightly browned. Keep it aside.
Fry the raisins in 1/2 tsp of ghee until they puff up.
Clean and chop all the fruits and keep it ready.
Cut paneer into cubes and fry on low heat in 1/2 tsp of ghee until lightly browned.
ingredients to make fruity couscous 
Take couscous in a bowl, add sugar to it and mix well.
Soak saffron stands in a tbsp of warm milk. Mix 1/2 cup of milk with 1/2 cup of water and bring it to boil.
Pour the boiling milk + water mixture over the couscous, add the saffron milk, mix well and keep it covered for 10-15 minutes.
adding milk to couscous 
After 15 minutes, the couscous would have absorbed all the liquid. Fluff it with a fork and keep it aside.
Heat butter in a pan, add cloves, cinnamon, cardamom and green chilli. Saute for a few seconds and then add the couscous and needed salt.
Mix well so that the couscous is well coated with the butter. Switch off the heat.
Add the nuts, raisins and paneer.
easy couscous with fruits and nuts 
Add all the fruits and gently mix to combine.
Garnish with finely chopped coriander leaves and fried onions.
It can be had on its own or if preferred enjoy it with any onion tomato gravy.</t>
  </si>
  <si>
    <t>கொட்டைகள் (பாதாம், பிஸ்தா, முந்திரி) ஆகியவற்றை தனித்தனியாக ஒரு தேக்கரண்டி நெய்யில் லேசாக பழுப்பு நிறமாக மாறும் வரை வறுக்கவும். அதை ஒதுக்கி வைக்கவும்.
திராட்சையை 1/2 தேக்கரண்டி நெய்யில் அவை வீங்கும் வரை வறுக்கவும்.
அனைத்து பழங்களையும் சுத்தம் செய்து நறுக்கி தயாராக வைக்கவும்.
பனீரை க்யூப்ஸாக வெட்டி, 1/2 தேக்கரண்டி நெய்யில் லேசாக பழுப்பு நிறமாக மாறும் வரை குறைந்த வெப்பத்தில் வறுக்கவும்.
பழ கூஸ்கஸ் செய்ய தேவையான பொருட்கள்
ஒரு பாத்திரத்தில் கூஸ்கஸை எடுத்து, அதில் சர்க்கரை சேர்த்து நன்கு கலக்கவும்.
ஒரு தேக்கரண்டி சூடான பாலில் குங்குமப்பூவை ஊற வைக்கவும். 1/2 கப் பாலை 1/2 கப் தண்ணீரில் கலந்து கொதிக்க வைக்கவும்.
கொதிக்கும் பால் + தண்ணீர் கலவையை கூஸ்கஸ் மீது ஊற்றி, குங்குமப்பூ பாலை சேர்த்து, நன்கு கலந்து 10-15 நிமிடங்கள் மூடி வைக்கவும்.
கூஸ்கஸில் பால் சேர்க்கவும்
15 நிமிடங்களுக்குப் பிறகு, கூஸ்கஸ் அனைத்து திரவத்தையும் உறிஞ்சியிருக்கும். அதை ஒரு முட்கரண்டி கொண்டு பிசைந்து ஒதுக்கி வைக்கவும்.
ஒரு பாத்திரத்தில் வெண்ணெயைச் சூடாக்கி, கிராம்பு, இலவங்கப்பட்டை, ஏலக்காய் மற்றும் பச்சை மிளகாய் சேர்க்கவும். சில நொடிகள் வதக்கி, பின்னர் கூஸ்கஸையும் தேவையான உப்பையும் சேர்க்கவும்.
கூஸ்கஸ் வெண்ணெய் நன்றாகப் பூசப்படும் வகையில் நன்கு கலக்கவும். அடுப்பை அணைக்கவும்.
கொட்டைகள், திராட்சை மற்றும் பனீர் சேர்க்கவும்.
பழங்கள் மற்றும் கொட்டைகளுடன் எளிதான கூஸ்கஸ்
அனைத்து பழங்களையும் சேர்த்து மெதுவாக கலக்கவும்.
இறுதியாக நறுக்கிய கொத்தமல்லி இலைகள் மற்றும் வறுத்த வெங்காயத்தால் அலங்கரிக்கவும்.
இதை தனியாக சாப்பிடலாம் அல்லது விருப்பப்பட்டால் எந்த வெங்காய தக்காளி கிரேவியுடனும் அனுபவிக்கலாம்.</t>
  </si>
  <si>
    <t>https://www.allrecipes.com/thmb/lOSVpXh3Fdu63XUtsnnj0uZYczY=/1500x0/filters:no_upscale():max_bytes(150000):strip_icc()/37495-77b891f5537448809fe814064ae585bf.jpg</t>
  </si>
  <si>
    <t xml:space="preserve">   Vermicelli – 150 grams,
   Oil – 1/2 tsp ,
   Onion – 1 cup chopped,
   Ginger garlic paste – 1 tsp,
   Green chilli – 2 slit,
   Tomato – 3-4 ,
   Turmeric powder -1/4 tsp,
   Sambar powder – 2 tsp,
   Salt needed,
   Oil – 2 tbsp,
   Mustard seeds – 1 tsp,
   Curry leaves – a sprig,
   Cashew nuts – 4-5,
   Coriander leaves – 2 tbsp finely chopped.</t>
  </si>
  <si>
    <t>சேமியா - 150 கிராம்,
எண்ணெய் - 1/2 தேக்கரண்டி,
வெங்காயம் - 1 கப் நறுக்கியது,
இஞ்சி பூண்டு விழுது - 1 தேக்கரண்டி,
பச்சை மிளகாய் - 2 துண்டுகள்,
தக்காளி - 3-4,
மஞ்சள் தூள் - 1/4 தேக்கரண்டி,
சாம்பார் பொடி - 2 தேக்கரண்டி,
உப்பு தேவை,
எண்ணெய் - 2 தேக்கரண்டி,
கடுகு - 1 தேக்கரண்டி,
கறிவேப்பிலை - ஒரு தளிர்,
முந்திரி பருப்பு - 4-5,
கொத்தமல்லி இலை - 2 தேக்கரண்டி நன்றாக நறுக்கியது.</t>
  </si>
  <si>
    <t>Heat oil in a pan, add mustard seeds, when it splutters, add chopped onions and curry leaves.
When onion turns transparent, add ginger-garlic paste, green chillies and saute for a few more minutes.
sauteing onions 
Add tomato puree, turmeric powder, sambar powder, salt needed and cook on medium heat.
Cook until the rawness of the tomato goes and it starts to leave oil.
how to make tomato semiya
Add the cooked semiya and mix well so that it is well coated with the tomato mixture.
Garnish with coriander leaves, cashew nuts and serve hot with onion raita or pickle.</t>
  </si>
  <si>
    <t>ஒரு கடாயில் எண்ணெயை சூடாக்கி, கடுகு சேர்த்து, அது வதங்கியதும், நறுக்கிய வெங்காயம் மற்றும் கறிவேப்பிலை சேர்க்கவும்.
வெங்காயம் தெளிவாகத் தெரிந்ததும், இஞ்சி-பூண்டு விழுது, பச்சை மிளகாய் சேர்த்து மேலும் சில நிமிடங்கள் வதக்கவும்.
வெங்காயம் வதக்கவும்
தக்காளி கூழ், மஞ்சள் தூள், சாம்பார் பொடி, தேவையான உப்பு சேர்த்து மிதமான தீயில் வதக்கவும்.
தக்காளியின் பச்சை வாசனை போய் எண்ணெய் வெளியேறத் தொடங்கும் வரை வதக்கவும்.
தக்காளி சேமியா செய்வது எப்படி
சமைத்த சேமியாவைச் சேர்த்து, தக்காளி கலவை நன்றாகப் பூசும்படி நன்கு கலக்கவும்.
கொத்தமல்லி இலைகள், முந்திரி பருப்புகளால் அலங்கரித்து, வெங்காய ரைத்தா அல்லது ஊறுகாயுடன் சூடாகப் பரிமாறவும்.</t>
  </si>
  <si>
    <t>https://dukaan.b-cdn.net/700x700/webp/upload_file_service/306746d6-0cf0-49a4-a40f-1de31e433f77/1678020804698.jpeg</t>
  </si>
  <si>
    <t>1/2 cup -  Rava,
1/4 cup -  Curd,
1 -  Onion,
1 inch -  Ginger ,
1 -  Green chilli,
1/4 cup -  Grated carrot,
2 tbsp -  Coriander leaves,
1/8 tsp -  Cooking soda,
Salt needed,
2 tsp -  Oil,
1 tsp -  Mustard seeds,
2 tsp -  Urad dal,
2 tsp -  Bengal gram dal,
Curry leaves.</t>
  </si>
  <si>
    <t>1/2 கப் - ரவா,
1/4 கப் - தயிர்,
1 - வெங்காயம்,
1 அங்குலம் - இஞ்சி,
1 - பச்சை மிளகாய்,
1/4 கப் - துருவிய கேரட்,
2 டீஸ்பூன் - கொத்தமல்லி இலைகள்,
1/8 டீஸ்பூன் - சமையல் சோடா,
தேவையான உப்பு,
2 டீஸ்பூன் - எண்ணெய்,
1 டீஸ்பூன் - கடுகு,
2 டீஸ்பூன் - உளுத்தம் பருப்பு,
2 டீஸ்பூன் - கடலை பருப்பு,
கறிவேப்பிலை.</t>
  </si>
  <si>
    <t>Heat a paniyaram pan /appe pan, add 1/4 - 1/2 tsp of oil inside the holes.
Fill the cavities with the rava batter.
Cook covered on low heat.
When the sides starts leaving, flip it over to the other side using a spoon. Cook on low heat until it browns. You can flip 2-3 times and cook until it browns evenly on all the sides.
Repeat the same process for the rest of the batter.</t>
  </si>
  <si>
    <t>பணியாரம் பாத்திரம் / அப்பே பாத்திரத்தை சூடாக்கி, துளைகளுக்குள் 1/4 - 1/2 டீஸ்பூன் எண்ணெய் சேர்க்கவும்.
குழிகளில் ரவா மாவை நிரப்பவும்.
குறைந்த தீயில் மூடி வைக்கவும்.
பக்கவாட்டுகள் வெளியேறத் தொடங்கியதும், ஒரு கரண்டியால் மறுபுறம் திருப்பி வைக்கவும். குறைந்த தீயில் அது பழுப்பு நிறமாகும் வரை சமைக்கவும். நீங்கள் 2-3 முறை திருப்பி, அனைத்து பக்கங்களிலும் சமமாக பழுப்பு நிறமாகும் வரை சமைக்கலாம்.
மீதமுள்ள மாவுக்கும் இதே செயல்முறையை மீண்டும் செய்யவும்.</t>
  </si>
  <si>
    <t>https://cookingfromheart.com/wp-content/uploads/2021/04/Rava-Paniyaram-6.jpg</t>
  </si>
  <si>
    <t>https://youtu.be/8ud72sHuDm4</t>
  </si>
  <si>
    <t>Mushroom Bruschetta</t>
  </si>
  <si>
    <t xml:space="preserve">
காளான் புருஷெட்டா</t>
  </si>
  <si>
    <t xml:space="preserve">   Fresh Baguette – 6-7 ,
   Olive oil – 2 tbsp,
   Garlic cloves – 4,
   Button Mushrooms – 200 grams,
   Balsamic vinegar,
   Thyme (dry) – 3/4 tsp,
   Freshly grated pepper to taste,
   Salt to taste,
   Olive oil as needed.</t>
  </si>
  <si>
    <t>புதிய பக்கோடா - 6-7 ,
ஆலிவ் எண்ணெய் - 2 டேபிள்ஸ்பூன்,
பூண்டு பற்கள் - 4,
பட்டன் காளான்கள் - 200 கிராம்,
பால்சாமிக் வினிகர்,
தைம் (உலர்ந்த) - 3/4 டீஸ்பூன்,
புதிதாக துருவிய மிளகு சுவைக்கு,
உப்பு சுவைக்கு,
தேவைக்கேற்ப ஆலிவ் எண்ணெய்.</t>
  </si>
  <si>
    <t>Slice Baguette diagonally into 1″ slices.
Preheat oven at 180 degree C (broiler mode). Place the bread slices on a baking tray and toast until golden brown and crisp. Alternatively, you can also toast it in a toaster or skillet brushing a little olive oil.
Remove from oven and rub the bread slices slightly with a peeled garlic clove when hot.
toasting baguette
Heat olive oil in a pan, add minced garlic and chopped mushrooms.
sauteing garlic
Cook the mushroom for a few minutes on high heat stirring constantly.
Add few drops of balsamic vinegar and cook for a few more seconds.
Add thyme, salt and pepper powder to taste. Garnish with parsley (optional) and remove from heat.  
Spoon the mushroom mixture on top of the toasted baguette slices. Drizzle a little olive oil and enjoy mushroom bruschetta immediately.</t>
  </si>
  <si>
    <t>பக்கோடாவை 1″ துண்டுகளாக குறுக்காக நறுக்கவும்.
அடுப்பை 180 டிகிரி செல்சியஸில் (பிராய்லர் பயன்முறை) முன்கூட்டியே சூடாக்கவும். ரொட்டி துண்டுகளை ஒரு பேக்கிங் தட்டில் வைத்து பொன்னிறமாகவும் மிருதுவாகவும் டோஸ்ட் செய்யவும். மாற்றாக, நீங்கள் அதை ஒரு டோஸ்டர் அல்லது வாணலியில் சிறிது ஆலிவ் எண்ணெயைத் துலக்கி டோஸ்ட் செய்யலாம்.
அடுப்பிலிருந்து இறக்கி, ரொட்டி துண்டுகளை சூடானதும் உரிக்கப்பட்ட பூண்டு பல் கொண்டு சிறிது தேய்க்கவும்.
பக்கோடாவை வறுக்கவும்
ஒரு பாத்திரத்தில் ஆலிவ் எண்ணெயை சூடாக்கி, துண்டு துண்தாக வெட்டப்பட்ட பூண்டு மற்றும் நறுக்கிய காளான்களைச் சேர்க்கவும்.
பூண்டு வதக்கவும்
காளானை தொடர்ந்து கிளறி அதிக வெப்பத்தில் சில நிமிடங்கள் சமைக்கவும்.
சில துளிகள் பால்சாமிக் வினிகரைச் சேர்த்து மேலும் சில வினாடிகள் சமைக்கவும்.
சுவைக்கேற்ப தைம், உப்பு மற்றும் மிளகு தூள் சேர்க்கவும். வோக்கோசு (விரும்பினால்) கொண்டு அலங்கரித்து, அடுப்பிலிருந்து இறக்கவும்.
வறுக்கப்பட்ட பக்கோடா துண்டுகளின் மேல் காளான் கலவையை கரண்டியால் தடவவும். சிறிது ஆலிவ் எண்ணெயைத் தெளித்து, காளான் புருஷெட்டாவை உடனடியாக அனுபவிக்கவும்.</t>
  </si>
  <si>
    <t>https://loveandgoodstuff.com/wp-content/uploads/2020/11/mushroom-bruschetta-1200x1200-1.jpg</t>
  </si>
  <si>
    <t>Savory French Toast</t>
  </si>
  <si>
    <t>சுவையான பிரஞ்சு டோஸ்ட்</t>
  </si>
  <si>
    <t xml:space="preserve">   Bread slices – 4 ,
   Egg – 2,
   Milk – 1 tbsp,
   Turmeric powder – a pinch,
   Green chillies – 1 finely chopped,
   Ginger garlic paste – 1/2 tsp,
   Coriander leaves – 1-2 tbsp finely chopped,
   Salt as needed,
   Pepper powder,
   Butter for toasting.</t>
  </si>
  <si>
    <t>ரொட்டி துண்டுகள் - 4 ,
முட்டை - 2,
பால் - 1 டீஸ்பூன்,
மஞ்சள் தூள் - ஒரு சிட்டிகை,
பச்சை மிளகாய் - 1 பொடியாக நறுக்கியது,
இஞ்சி பூண்டு விழுது - 1/2 டீஸ்பூன்,
கொத்தமல்லி இலைகள் - 1-2 டீஸ்பூன் பொடியாக நறுக்கியது,
தேவைக்கேற்ப உப்பு,
மிளகு தூள்,
வறுக்க வெண்ணெய்.</t>
  </si>
  <si>
    <t>In a bowl, whisk eggs, turmeric powder and milk together. Add ginger-garlic paste, very finely chopped green chillies (or green chilli paste), coriander leaves, salt, pepper powder and mix well.
how to make French toast Indian style 
Cut the corners of the bread slices and cut into triangles.
Heat a tbsp of butter in a tawa over medium heat. Dip the bread slice (one at a time) in the egg mixture and let it soak for 6-7 seconds on each side. Drain off excess.
Place it on the heated tawa and fry both sides on medium heat with butter until golden brown. Repeat the same process for the rest of the bread.
Serve hot immediately. It taste good as such but if preferred you have have it with tomato ketchup.</t>
  </si>
  <si>
    <t>ஒரு பாத்திரத்தில், முட்டை, மஞ்சள் தூள் மற்றும் பால் ஆகியவற்றை ஒன்றாக அடித்து, இஞ்சி-பூண்டு விழுது, மிக பொடியாக நறுக்கிய பச்சை மிளகாய் (அல்லது பச்சை மிளகாய் விழுது), கொத்தமல்லி இலைகள், உப்பு, மிளகு தூள் சேர்த்து நன்கு கலக்கவும்.
பிரெஞ்சு டோஸ்ட் இந்திய பாணியில் செய்வது எப்படி
பிரெட் துண்டுகளின் மூலைகளை வெட்டி முக்கோணங்களாக வெட்டவும்.
ஒரு டேவாவில் ஒரு டேபிள் ஸ்பூன் வெண்ணெயை மிதமான தீயில் சூடாக்கவும். ரொட்டி துண்டை (ஒவ்வொன்றாக) முட்டை கலவையில் நனைத்து, ஒவ்வொரு பக்கத்திலும் 6-7 வினாடிகள் ஊற விடவும். அதிகப்படியானவற்றை வடிகட்டவும்.
சூடான தவாவில் வைத்து, இருபுறமும் நடுத்தர வெப்பத்தில் வெண்ணெயுடன் பொன்னிறமாகும் வரை வறுக்கவும். மீதமுள்ள ரொட்டிக்கும் இதே முறையை மீண்டும் செய்யவும்.
உடனடியாக சூடாகப் பரிமாறவும். இது சுவையாக இருக்கும், ஆனால் விரும்பினால் தக்காளி கெட்ச்அப்புடன் சாப்பிடலாம்.</t>
  </si>
  <si>
    <t>https://www.seriouseats.com/thmb/jdBfcEBTeUXcdrgEf4PK9VZ1Hdo=/1500x0/filters:no_upscale():max_bytes(150000):strip_icc()/__opt__aboutcom__coeus__resources__content_migration__serious_eats__seriouseats.com__recipes__images__2013__08__20130818-savory-french-toast-recipe-09-b538c3146e104152a330052779b6b362.jpg</t>
  </si>
  <si>
    <t xml:space="preserve">   Tagliatelle Pasta - 50 grams,
   Butter – 2 tbsp,
   Onion – 1 ,
   Garlic cloves – 5,
   Mushroom – 200 grams,
   Whole wheat flour – 2 tbsp,
   Milk – 1 cup,
   Mozzarella cheese – 1/4 cup grated,
   Dried basil – 1 tsp,
   Dried oregano – 1 tsp,
   Pepper powder to taste,
   Salt to taste,
   Mozzarella Cheese – grated.
</t>
  </si>
  <si>
    <t>டேக்லியாடெல் பாஸ்தா - 50 கிராம்,
வெண்ணெய் - 2 டேபிள்ஸ்பூன்,
வெங்காயம் - 1 ,
பூண்டு பல் - 5,
காளான் - 200 கிராம்,
முழு கோதுமை மாவு - 2 டேபிள்ஸ்பூன்,
பால் - 1 கப்,
மொஸரெல்லா சீஸ் - 1/4 கப் துருவியது,
உலர்ந்த துளசி - 1 டேபிள்ஸ்பூன்,
உலர்ந்த ஆர்கனோ - 1 டேபிள்ஸ்பூன்,
சுவைக்க மிளகு தூள்,
சுவைக்க உப்பு,
மொஸரெல்லா சீஸ் - துருவியது.</t>
  </si>
  <si>
    <t>Clean mushrooms and chop it. Check out how to clean mushroom here if you are new to cleaning mushrooms.
Finely chop onion and garlic.
Keep all the   ready.
In a large pot, bring plenty of water to boil with a little salt.
Add the pasta, stir and continue to boil.
Cook for 7-9 minutes until just tender (al dente). Reserve 4-5 tbsp of water, drain the rest of the water and set the pasta aside.
Heat butter in a saucepan, add onions, garlic and cook until it turns transparent. 
Add chopped mushrooms and cook on medium heat until mushrooms are tender.
Add whole wheat flour and cook for another 2 minutes or until the rawness of the flour goes.
Lower the heat and gradually add milk, little at a time, stirring constantly until the sauce is smooth without lumps.
Add grated cheese, pepper powder, dried basil, oregano and salt needed.
creamy mushroom pasta in white sauce 
Add the cooked pasta along with needed reserved water and simmer for another 2 minutes.
Creamy Mushroom Tagliatelle Pasta in white sauce 
Serve hot immediately topped with additional cheese, if desired .</t>
  </si>
  <si>
    <t>காளான்களை சுத்தம் செய்து நறுக்கவும். காளான்களை சுத்தம் செய்வதில் நீங்கள் புதியவராக இருந்தால் காளானை எப்படி சுத்தம் செய்வது என்பதை இங்கே பாருங்கள்.
வெங்காயம் மற்றும் பூண்டை நன்றாக நறுக்கவும்.
தேவையான அனைத்து பொருட்களையும் தயாராக வைத்திருங்கள்.
ஒரு பெரிய தொட்டியில், சிறிது உப்பு சேர்த்து கொதிக்க நிறைய தண்ணீர் கொண்டு வாருங்கள்.
பாஸ்தாவை சேர்த்து, கிளறி தொடர்ந்து கொதிக்க வைக்கவும்.
7-9 நிமிடங்கள் மென்மையாக (அல் டென்ட்) சமைக்கவும். 4-5 டேபிள்ஸ்பூன் தண்ணீரை ஒதுக்கி வைத்து, மீதமுள்ள தண்ணீரை வடிகட்டி, பாஸ்தாவை ஒதுக்கி வைக்கவும்.
ஒரு பாத்திரத்தில் வெண்ணெயை சூடாக்கி, வெங்காயம், பூண்டு சேர்த்து, அது வெளிப்படையானதாக மாறும் வரை சமைக்கவும்.
நறுக்கிய காளான்களைச் சேர்த்து, காளான்கள் மென்மையாகும் வரை மிதமான தீயில் சமைக்கவும்.
முழு கோதுமை மாவைச் சேர்த்து, மேலும் 2 நிமிடங்கள் அல்லது மாவின் பச்சைத்தன்மை போகும் வரை சமைக்கவும்.
தீயைக் குறைத்து, படிப்படியாக பால் சேர்த்து, கட்டிகள் இல்லாமல் சாஸ் மென்மையாகும் வரை தொடர்ந்து கிளறி, படிப்படியாக பால் சேர்க்கவும்.
துருவிய சீஸ், மிளகு தூள், உலர்ந்த துளசி, ஆர்கனோ மற்றும் தேவையான உப்பு சேர்க்கவும்.
வெள்ளை சாஸில் கிரீமி காளான் பாஸ்தா
சமைத்த பாஸ்தாவை தேவையான அளவு தண்ணீருடன் சேர்த்து மேலும் 2 நிமிடங்கள் கொதிக்க வைக்கவும்.
வெள்ளை சாஸில் கிரீமி காளான் டேக்லியாடெல் பாஸ்தா
தேவைப்பட்டால், கூடுதல் சீஸ் சேர்த்து உடனடியாக சூடாக பரிமாறவும்.</t>
  </si>
  <si>
    <t>https://cdn.loveandlemons.com/wp-content/uploads/2024/02/mushroom-pasta.jpg</t>
  </si>
  <si>
    <t xml:space="preserve">   Couscous – 1/2 cup,
   Thin coconut milk – 1 cup,
   Salt – 1/4 tsp,
   Raisins – 1/4 cup,
   Cashew nuts – 3 tbsp,
   Coconut oil – 1 1/2 tbsp,
   Mustard seeds – 1 tsp,
   Urad dal – 1 tsp,
   Red Chilli – 1,
   Green chilli – 1,
   Ginger – 1 tsp,
   Curry Leaves – a sprig,
   Grated coconut – 1/2 cup.</t>
  </si>
  <si>
    <t>கூஸ்கஸ் - 1/2 கப்,
மெல்லிய தேங்காய் பால் - 1 கப்,
உப்பு - 1/4 தேக்கரண்டி,
திராட்சை - 1/4 கப்,
முந்திரி பருப்பு - 3 தேக்கரண்டி,
தேங்காய் எண்ணெய் - 1 1/2 தேக்கரண்டி,
கடுகு - 1 தேக்கரண்டி,
உளுத்தம் பருப்பு - 1 தேக்கரண்டி,
சிவப்பு மிளகாய் - 1,
பச்சை மிளகாய் - 1,
இஞ்சி - 1 தேக்கரண்டி,
கறிவேப்பிலை - ஒரு தளிர்,
தேங்காய் துருவல் - 1/2 கப்.</t>
  </si>
  <si>
    <t>Heat coconut oil in a pan/kadai and fry the raisins and cashew nuts separately. Remove from pan and keep it aside.
In the same pan, add mustard seeds, when it splutters, add urad dal, red chillies, green chillies, ginger, and curry leaves.
Saute for a few seconds and then add grated coconut.
how to make coconut couscous 
Saute on medium heat stirring continuously until the coconut changes color to a pale yellow as seen in the picture below. Add salt needed.
Add the fluffed couscous, cashew nuts, raisins (do not omit the raisins and cashew nuts) and mix well and remove from heat.
Delicious Indian style coconut couscous is ready. Enjoy it as such or with papads.</t>
  </si>
  <si>
    <t>ஒரு கடாயில்/கடாயில் தேங்காய் எண்ணெயை சூடாக்கி, திராட்சை மற்றும் முந்திரி பருப்பை தனித்தனியாக வறுக்கவும். வாணலியில் இருந்து எடுத்து தனியாக வைக்கவும்.
அதே வாணலியில், கடுகு சேர்த்து, அது வதங்கியதும், உளுத்தம் பருப்பு, சிவப்பு மிளகாய், பச்சை மிளகாய், இஞ்சி மற்றும் கறிவேப்பிலை சேர்க்கவும்.
சில நொடிகள் வதக்கி, பின்னர் துருவிய தேங்காய் சேர்க்கவும்.
தேங்காய் கூஸ்கஸ் செய்வது எப்படி
கீழே உள்ள படத்தில் காட்டப்பட்டுள்ளபடி தேங்காய் வெளிர் மஞ்சள் நிறமாக மாறும் வரை தொடர்ந்து மிதமான தீயில் வதக்கவும். தேவையான அளவு உப்பு சேர்க்கவும்.
துருவிய கூஸ்கஸ், முந்திரி, திராட்சை (திராட்சை மற்றும் முந்திரி பருப்புகளைத் தவிர்க்க வேண்டாம்) சேர்த்து நன்கு கலந்து அடுப்பிலிருந்து இறக்கவும்.
சுவையான இந்திய பாணி தேங்காய் கூஸ்கஸ் தயார். அப்படியே அல்லது பப்படங்களுடன் சேர்த்து மசிக்கவும்.</t>
  </si>
  <si>
    <t>https://encrypted-tbn0.gstatic.com/images?q=tbn:ANd9GcTgfObODqGGASob6ZVNic12wf8s6lW7bkCZCA&amp;s</t>
  </si>
  <si>
    <t>Quinoa Adai-Quinoa</t>
  </si>
  <si>
    <t>குயினோவா அடை-குயினோவா</t>
  </si>
  <si>
    <t xml:space="preserve">   Quinoa – 1/2 cup,
   Bengal gram  – 1/4 cup,
   Tur dal – 1/4 cup,
   Whole Green Gram – 1/4 cup,
   Urad Dal – 1/4 cup,
   Fenugreek – 1/4 tsp,
   Cumin seeds – 1/2 tsp,
   Red Chillies - 2,
   Green Chillies – 1-2,
   Hing – a pinch,
   Salt as needed,
   Onion – 1.
   Coriander leaves ,
   Oil – as needed for making adai.</t>
  </si>
  <si>
    <t>குயினோவா - 1/2 கப்,
வங்காளப் பருப்பு - 1/4 கப்,
துவரம் பருப்பு - 1/4 கப்,
முழு பச்சைப்பயறு - 1/4 கப்,
உளுத்தம் பருப்பு - 1/4 கப்,
வெந்தயம் - 1/4 டீஸ்பூன்,
சீரகம் - 1/2 டீஸ்பூன்,
சிவப்பு மிளகாய் - 2,
பச்சை மிளகாய் - 1-2,
பெருங்காயம் - ஒரு சிட்டிகை,
உப்பு தேவைக்கேற்ப,
வெங்காயம் - 1.
கொத்தமல்லி இலைகள்,
அடை செய்ய எண்ணெய் - தேவைக்கேற்ப.</t>
  </si>
  <si>
    <t>Wash and saok  quinoa, bengal gram, tur dal, green gram (whole green moong dal/pachai payaru), urad dal and fenugreek seeds for 3 hours.
Grind it coarsely adding red chillies, green chillies, cumin seeds, hing and salt needed. The batter should neither be too thick nor thin. It should be of spreading consistency. You do not have to ferment the batter.
Add finely chopped onions and coriander leaves to the batter.
Heat a tawa, pour a ladle of batter in the center and spread it in a circular motion.
Drizzle a tsp of oil around the adai and cook the adai on medium heat.
Once the corners starts lifting up, flip it over to the other side and drizzle another 1/2 tsp of oil.
Cook until done and enjoy soft and super tasty quinoa adai hot with any chutney of your choice. It tastes good even when cold.</t>
  </si>
  <si>
    <t>கழுவி, குயினோவா, வங்காளப் பருப்பு, துவரம் பருப்பு, பச்சைப்பயறு (முழு பச்சைப் பயறு/பச்சைப் பயறு), உளுத்தம் பருப்பு மற்றும் வெந்தயத்தை 3 மணி நேரம் வதக்கவும்.
சிவப்பு மிளகாய், பச்சை மிளகாய், சீரகம், பெருங்காயம் மற்றும் தேவையான உப்பு சேர்த்து கரடுமுரடாக அரைக்கவும். மாவு மிகவும் கெட்டியாகவோ அல்லது மெல்லியதாகவோ இருக்கக்கூடாது. பரவும் நிலைத்தன்மையுடன் இருக்க வேண்டும். மாவை புளிக்க வைக்க வேண்டியதில்லை.
மாவுடன் பொடியாக நறுக்கிய வெங்காயம் மற்றும் கொத்தமல்லி இலைகளைச் சேர்க்கவும்.
ஒரு தவாவை சூடாக்கி, ஒரு கரண்டி மாவை மையத்தில் ஊற்றி வட்ட வடிவில் பரப்பவும்.
அடாயைச் சுற்றி ஒரு தேக்கரண்டி எண்ணெயைத் தடவி, அடையை மிதமான தீயில் சமைக்கவும்.
மூலைகள் மேலே எழ ஆரம்பித்ததும், அதை மறுபுறம் திருப்பி, மேலும் 1/2 தேக்கரண்டி எண்ணெயைத் தெளிக்கவும்.
வெதுவெதுப்பான வரை சமைத்து, உங்களுக்குப் பிடித்த சட்னியுடன் மென்மையான மற்றும் மிகவும் சுவையான குயினோவா அடையை சூடாக அனுபவிக்கவும். குளிர்ந்தாலும் கூட இது நன்றாக இருக்கும்.</t>
  </si>
  <si>
    <t>https://x9s2d6a3.delivery.rocketcdn.me/wp-content/uploads/2018/04/quinoa-brown-rice-adai-16-scaled.webp</t>
  </si>
  <si>
    <t xml:space="preserve">   Butter – 1 tbsp,
   Onion – ¼ cup chopped,
   Garlic – 1 tbsp minced,
   Capsicum– ¼ cup chopped,
   Mushroom – 1 ¼ cup chopped,
   Eggs – 4,
   Milk – ¼ cup,
   Mozzarella Cheese – 2-3 tbsp grated,
   Spring onion greens – 1 tbsp,
   Pepper powder to taste,
   Salt – as needed.</t>
  </si>
  <si>
    <t>Preheat oven to 180 degree C for 10 minutes.
Finely chop onions, garlic and capsicum. Wash and cut mushrooms.
Break eggs into a bowl, add milk and beat vigorously.
beat eggs with milk 
Add salt needed, pepper powder, spring onion greens and cheese to the mixture.
Heat butter in a pan, add garlic and saute well for 2-3 minutes.
sauteing garlic 
Add finely chopped onions and saute until it turns transparent.
Add capsicum and saute for a few more minutes.
Add mushrooms and cook until light brown.(do not add salt to mushrooms)
Remove from heat. When it is warm, add the egg mixture and stir well to combine. (You can prepare all this directly in an oven safe cast iron pan. As my cast iron pan is small, I sauteed the mushrooms in a bigger pan and then transferred it to the cast iron pan).
Bake in a preheat oven for 10-15 minutes or until until the eggs are completely set and well cooked. Do not over cook.
Add grated cheese and bake for another 2 minutes or until the cheese melts.
Cut into wedges and serve hot.</t>
  </si>
  <si>
    <t>அடுப்பை 180 டிகிரி செல்சியஸில் 10 நிமிடங்கள் சூடாக்கவும்.
வெங்காயம், பூண்டு மற்றும் கேப்சிகத்தை நன்றாக நறுக்கவும். காளான்களைக் கழுவி நறுக்கவும்.
ஒரு பாத்திரத்தில் முட்டைகளை உடைத்து, பால் சேர்த்து நன்றாக அடிக்கவும்.
முட்டைகளை பாலுடன் அடிக்கவும்
தேவையான உப்பு, மிளகுத் தூள், கேப்சிகனை கீரைகள் மற்றும் கலவையுடன் சீஸ் சேர்க்கவும்.
ஒரு பாத்திரத்தில் வெண்ணெயை சூடாக்கி, பூண்டு சேர்த்து 2-3 நிமிடங்கள் நன்கு வதக்கவும்.
பூண்டு வதக்கவும்
பொடியாக நறுக்கிய வெங்காயத்தைச் சேர்த்து அது வெளிப்படையானதாக மாறும் வரை வதக்கவும்.
கேப்சிகத்தைச் சேர்த்து இன்னும் சில நிமிடங்கள் வதக்கவும்.
காளான்களைச் சேர்த்து வெளிர் பழுப்பு நிறமாக மாறும் வரை சமைக்கவும். (காளான்களில் உப்பு சேர்க்க வேண்டாம்)
அடுப்பிலிருந்து இறக்கவும். அது சூடாகும்போது, ​​முட்டை கலவையைச் சேர்த்து நன்கு கிளறவும். (இதையெல்லாம் நீங்கள் நேரடியாக அடுப்பில் பாதுகாப்பான வார்ப்பிரும்பு பாத்திரத்தில் தயாரிக்கலாம். எனது வார்ப்பிரும்பு பாத்திரம் சிறியதாக இருப்பதால், காளான்களை ஒரு பெரிய பாத்திரத்தில் வதக்கி, பின்னர் வார்ப்பிரும்பு பாத்திரத்திற்கு மாற்றினேன்).
முன் சூடாக்கப்பட்ட அடுப்பில் 10-15 நிமிடங்கள் அல்லது முட்டைகள் முழுவதுமாக செட் ஆகி நன்கு வேகும் வரை சுடவும். அதிகமாக சமைக்க வேண்டாம்.
துருவிய சீஸைச் சேர்த்து மேலும் 2 நிமிடங்கள் அல்லது சீஸ் உருகும் வரை சுடவும்.
துண்டுகளாக வெட்டி சூடாகப் பரிமாறவும்.</t>
  </si>
  <si>
    <t>https://healthyrecipesblogs.com/wp-content/uploads/2019/05/mushroom-frittata-featured1-2022.jpg</t>
  </si>
  <si>
    <t xml:space="preserve">
   Leftover idli – 3,
   Onion – 1 big,
   Tomato – 2 ,
   Ginger – 1/2 inch piece,
   Green chilli – 1 ,
   Garlic - 3 cloves,
   Oil for frying the idlis,
   Salt needed,
   Turmeric powder – 1/4 tsp,
   Chilli Powder – 3/4 tsp,
   Coriander powder – 2 tsp,
   Garam masala powder – 1/2 tsp,
   Oil – 1  tbsp,
   Mustard seeds – 1 tsp,
   Curry leaves – a sprig,
   Coriander leaves.</t>
  </si>
  <si>
    <t>மீதமுள்ள இட்லி – 3,
வெங்காயம் – 1 பெரியது,
தக்காளி – 2,
இஞ்சி – 1/2 அங்குல துண்டு,
பச்சை மிளகாய் – 1,
பூண்டு – 3 பல்,
இட்லி பொரிக்க எண்ணெய்,
உப்பு தேவை,
மஞ்சள் தூள் – 1/4 தேக்கரண்டி,
மிளகாய் தூள் – 3/4 தேக்கரண்டி,
கொத்தமல்லி தூள் – 2 தேக்கரண்டி,
கரம் மசாலா தூள் – 1/2 தேக்கரண்டி,
எண்ணெய் – 1 தேக்கரண்டி,
கடுகு – 1 தேக்கரண்டி,
கறிவேப்பிலை – ஒரு தளிர்,
கொத்தமல்லி இலை.</t>
  </si>
  <si>
    <t>Heat oil in a pan/kadai and fry the idlis on medium heat until golden brown. It is usually deep fried but I shallow fried the idlis.
Heat oil in a pan, add mustard seeds, when it splutters, add onion, ginger, garlic, green chillies and curry leaves.
Saute until onions turn light brown. Add chopped tomatoes, salt needed and all the spice powder mentioned under “spice powder”.
Cook on medium heat until the tomatoes become mushy. You may add a tbsp of water, if the masala is too dry.
Add the fried idlies and mix well so that the idlis are well coated with the masala.
Garnish with coriander leaves and serve hot. Idlis are crispy on the outside and soft on the inside. It taste great with the masala. 
Enjoy making this healthy shallow fried Kaima idli for breakfast or dinner or even as a tea time snack.</t>
  </si>
  <si>
    <t>ஒரு கடாயில்/கடாயில் எண்ணெயை சூடாக்கி, மிதமான தீயில் இட்லிகளை பொன்னிறமாகும் வரை வறுக்கவும். இது பொதுவாக ஆழமாக வறுத்தெடுக்கப்படும், ஆனால் நான் இட்லிகளை ஆழமாக வறுத்தெடுக்கிறேன்.
ஒரு கடாயில் எண்ணெயை சூடாக்கி, கடுகு சேர்த்து, அது வதங்கியதும், வெங்காயம், இஞ்சி, பூண்டு, பச்சை மிளகாய் மற்றும் கறிவேப்பிலை சேர்க்கவும்.
வெங்காயம் லேசான பழுப்பு நிறமாக மாறும் வரை வதக்கவும். நறுக்கிய தக்காளி, தேவையான அளவு உப்பு மற்றும் "மசாலா தூள்" என்பதன் கீழ் குறிப்பிடப்பட்டுள்ள அனைத்து மசாலாப் பொடிகளையும் சேர்க்கவும்.
தக்காளி மென்மையாகும் வரை மிதமான தீயில் சமைக்கவும். மசாலா மிகவும் வறண்டிருந்தால், நீங்கள் ஒரு தேக்கரண்டி தண்ணீர் சேர்க்கலாம்.
வறுத்த இட்லிகளைச் சேர்த்து நன்கு கலக்கவும், இதனால் இட்லிகள் மசாலாவுடன் நன்கு பூசப்படும்.
கொத்தமல்லி இலைகளால் அலங்கரித்து சூடாகப் பரிமாறவும். இட்லிகள் வெளியில் மொறுமொறுப்பாகவும், உள்ளே மென்மையாகவும் இருக்கும். மசாலாவுடன் இது மிகவும் சுவையாக இருக்கும்.
இந்த ஆரோக்கியமான மேலோட்டமான வறுத்த கைமா இட்லியை காலை உணவு அல்லது இரவு உணவிற்கு அல்லது தேநீர் நேர சிற்றுண்டியாகச் செய்து மகிழுங்கள்.</t>
  </si>
  <si>
    <t>https://encrypted-tbn0.gstatic.com/images?q=tbn:ANd9GcTNQYQA3LxnrIg6ga6KIbBiPDpoocnA1X4YgA&amp;s</t>
  </si>
  <si>
    <t xml:space="preserve">
புளூபெர்ரி பிரான் மஃபின்கள்</t>
  </si>
  <si>
    <t xml:space="preserve">   Wheat Bran – 3/4 cup,
   Milk – 1/2 cup,
   Unsweetened apple sauce – 1/4 cup,
   Egg – 1,
   powdered jaggery – 1/3 cup ,
   Vanilla extract – 1/2 tsp,
   Whole Wheat flour – 1/2 cup,
   Baking soda – 1/2 tsp,
   Baking powder – 1/2 tsp,
   Salt – 1/4 tsp,
   Blueberries – 1/2 cup.</t>
  </si>
  <si>
    <t>கோதுமை பிரான் - 3/4 கப்,
பால் - 1/2 கப்,
இனிக்காத ஆப்பிள் சாஸ் - 1/4 கப்,
முட்டை - 1,
பொடித்த வெல்லம் - 1/3 கப்,
வெண்ணிலா சாறு - 1/2 தேக்கரண்டி,
முழு கோதுமை மாவு - 1/2 கப்,
பேக்கிங் சோடா - 1/2 தேக்கரண்டி,
பேக்கிங் பவுடர் - 1/2 தேக்கரண்டி,
உப்பு - 1/4 தேக்கரண்டி,
புளூபெர்ரி - 1/2 கப்.</t>
  </si>
  <si>
    <t>Keep all the ingredients ready.
Add milk to wheat bran, mix well and let it sit for 10 minutes, so that the wheat bran will soften a little.
bran soaked in milk
In another bowl, mix together apple sauce, brown sugar (I used powdered jaggery), vanilla essence and egg. Mix well.
Add the above mixture to the wheat bran and mix well with a wire whisk.
whole wheat bran low fat moist blueberry muffins 
Add sifted flour mixture and mix until combined. Fold in blueberries.
Scoop batter into muffin cups.
Bake in a preheated oven for 15-20 minutes or until a toothpick inserted in the center of a muffin comes out clean.</t>
  </si>
  <si>
    <t>அனைத்து பொருட்களையும் தயாராக வைத்திருங்கள்.
கோதுமை தவிட்டில் பால் சேர்த்து, நன்கு கலந்து, கோதுமை தவிடு சிறிது மென்மையாகும் வரை 10 நிமிடங்கள் அப்படியே வைக்கவும்.
பாலில் ஊறவைத்த தவிடு
இன்னொரு கிண்ணத்தில், ஆப்பிள் சாஸ், பிரவுன் சர்க்கரை (நான் பொடித்த வெல்லம் பயன்படுத்தினேன்), வெண்ணிலா எசன்ஸ் மற்றும் முட்டை ஆகியவற்றை ஒன்றாக கலக்கவும். நன்றாக கலக்கவும்.
மேற்கண்ட கலவையை கோதுமை தவிட்டில் சேர்த்து, கம்பி துடைப்பால் நன்கு கலக்கவும்.
முழு கோதுமை தவிடு, குறைந்த கொழுப்புள்ள ஈரமான புளூபெர்ரி மஃபின்கள்
சலித்த மாவு கலவையைச் சேர்த்து, கலக்கும் வரை கலக்கவும். புளூபெர்ரிகளை மடிக்கவும்.
மாவை மஃபின் கப்களில் ஊற்றவும்.
முன்கூட்டியே சூடேற்றப்பட்ட அடுப்பில் 15-20 நிமிடங்கள் அல்லது மஃபினின் மையத்தில் செருகப்பட்ட டூத்பிக் சுத்தமாக வரும் வரை சுடவும்.</t>
  </si>
  <si>
    <t>https://encrypted-tbn0.gstatic.com/images?q=tbn:ANd9GcRIQP-Iwo7BG4wuflo7QqUD6BwvqDF7J6WvWw&amp;s</t>
  </si>
  <si>
    <t xml:space="preserve">    millet rava – 1 cup,
   Coconut – 1/2 cup grated,
   Tur Dal – 1/4 cup,
   clarified butter – 1 tsp,
   Salt to taste,
   Water –  2 3/4 cup,
   Oil – 2 tbsp,
   Mustard seeds – 1 tsp,
   Urad dal – 1 tsp,
   Bengal gram dal – 1 tsp,
   Red Dry Chillies – 3 ,
   asafoetida – 1/4 tsp,
   Curry leaves – a sprig.</t>
  </si>
  <si>
    <t>தினை ரவை - 1 கப்,
தேங்காய் - 1/2 கப் துருவியது,
துவரம் பருப்பு - 1/4 கப்,
தெளித்த வெண்ணெய் - 1 டீஸ்பூன்,
ருசிக்க உப்பு,
தண்ணீர் - 2 3/4 கப்,
எண்ணெய் - 2 டீஸ்பூன்,
கடுகு - 1 டீஸ்பூன்,
உளுத்தம் பருப்பு - 1 டீஸ்பூன்,
வங்காள பருப்பு - 1 டீஸ்பூன்,
சிவப்பு காய்ந்த மிளகாய் - 3 ,
பெருங்காயம் - 1/4 டீஸ்பூன்,
கறிவேப்பிலை - ஒரு தளிர்.</t>
  </si>
  <si>
    <t>Heat oil in a pan/kadai, add mustard seeds, when it splutters, add bengal gram, urad dal, hing, red chillies and curry leaves.
When dal turns golden brown, add the coarsely ground tur dal and saute for 2-3 minutes on low heat.
Add grated coconut and saute for 5-6 seconds. Add water and salt needed.
When water starts boiling, reduce the heat, add a tsp of ghee and the millet rava gradually with one hand and stir continuously with your other hand. This is done to prevent formation of lumps.
Mix well and cook on low heat until it thickens.
Transfer it to another container and pressure cook for 3 whistles. Once the pressure subsides, open the cooker and serve hot with coconut chutney.
You can prepare it directly in the cooker also instead of making it in a kadai. In that case, cook on low heat without the whistle until done. Stir in between to prevent it from getting burnt.</t>
  </si>
  <si>
    <t>ஒரு கடாயில் / கடாய் எண்ணெயை சூடாக்கி, கடுகு சேர்த்து, அது வதங்கியதும், வங்காள பருப்பு, உளுத்தம் பருப்பு, பெருங்காயம், சிவப்பு மிளகாய் மற்றும் கறிவேப்பிலை சேர்க்கவும்.
பருப்பு பொன்னிறமாக மாறியதும், கரகரப்பாக அரைத்த துவரம் பருப்பை சேர்த்து குறைந்த தீயில் 2-3 நிமிடங்கள் வதக்கவும்.
துருவிய தேங்காய் சேர்த்து 5-6 வினாடிகள் வதக்கவும். தேவையான அளவு தண்ணீர் மற்றும் உப்பு சேர்க்கவும்.
தண்ணீர் கொதிக்க ஆரம்பித்ததும், தீயைக் குறைத்து, ஒரு கையால் ஒரு தேக்கரண்டி நெய் மற்றும் தினை ரவையை படிப்படியாகச் சேர்த்து, மற்றொரு கையால் தொடர்ந்து கிளறவும். கட்டிகள் உருவாகாமல் இருக்க இது செய்யப்படுகிறது.
நன்றாகக் கலந்து, கெட்டியாகும் வரை குறைந்த தீயில் சமைக்கவும்.
வேறு ஒரு பாத்திரத்தில் மாற்றி 3 விசில் வரும் வரை பிரஷர் குக் செய்யவும். பிரஷர் குறைந்தவுடன், குக்கரைத் திறந்து தேங்காய் சட்னியுடன் சூடாகப் பரிமாறவும்.
கடாயில் செய்வதற்குப் பதிலாக, குக்கரிலேயே நேரடியாகவும் சமைக்கலாம். அப்படியானால், விசில் இல்லாமல் குறைந்த தீயில் சமைக்கவும். எரியாமல் இருக்க இடையில் கிளறவும்.</t>
  </si>
  <si>
    <t xml:space="preserve">   Eggs – 4,
   Water – 1 tbsp,
   Onion – 1,
   Tomato – 1/2,
   Capsicum – 2-3 tbsp finely chopped,
   Coriander leaves ,
   Green chillies – 1,
   Salt to taste,
   Pepper powder to taste,
   Oil – 1 tsp.</t>
  </si>
  <si>
    <t>முட்டை – 4,
தண்ணீர் – 1 டேபிள் ஸ்பூன்,
வெங்காயம் – 1,
தக்காளி – 1/2,
கேப்சிகம் – 2-3 டேபிள் ஸ்பூன் பொடியாக நறுக்கியது,
கொத்தமல்லி இலை,
பச்சை மிளகாய் – 1,
சுவைக்கு உப்பு,
மிளகு தூள்,
எண்ணெய் – 1 டேபிள் ஸ்பூன்.</t>
  </si>
  <si>
    <t>Grease a pan with oil and heat it. When the pan/tawa is hot, pour half of the the egg mixture and cook on low heat.
Once the egg sets, flip it over to the other side. Let it cook for another few seconds on low heat.
Remove from tawa, sprinkle pepper powder over the omelet and serve hot as such or with bread.
Repeat the same process for the remaining mixture.</t>
  </si>
  <si>
    <t>ஒரு பாத்திரத்தில் எண்ணெய் தடவி சூடாக்கவும். பான்/தவா சூடானதும், முட்டை கலவையில் பாதியை ஊற்றி குறைந்த தீயில் சமைக்கவும்.
முட்டை செட் ஆனதும், அதை மறுபுறம் திருப்பி போடவும். குறைந்த தீயில் இன்னும் சில நொடிகள் சமைக்க விடவும்.
தவாவிலிருந்து எடுத்து, ஆம்லெட்டின் மீது மிளகு தூளை தூவி, அப்படியே அல்லது ரொட்டியுடன் சூடாக பரிமாறவும்.
மீதமுள்ள கலவைக்கும் இதே செயல்முறையை மீண்டும் செய்யவும்.</t>
  </si>
  <si>
    <t xml:space="preserve">   Fresh Baguette,
   Butter – 3 tbsp,
   Garlic – 1 1/2 tsp minced,
   Salt needed,
   Grated Cheese – as needed,
   Fresh coriander leaves.</t>
  </si>
  <si>
    <t>புதிய பக்கோடா,
வெண்ணெய் - 3 டேபிள்ஸ்பூன்,
பூண்டு - 1 1/2 டீஸ்பூன் நறுக்கியது,
உப்பு தேவை,
துருவிய சீஸ் - தேவைக்கேற்ப,
புதிய கொத்தமல்லி இலைகள்.</t>
  </si>
  <si>
    <t xml:space="preserve">Cut baguette into 3 pieces. Then cut the pieces lengthwise into half. I have taken just 2 halves to make this garlic bread.
Preheat oven at 180 degree C for 10 minutes.
Line a baking tray with aluminium foil or parchment paper.
Butter should be at room temperature. It should be soft and spreadable. In a bowl mix together butter, minced garlic, chopped parsley and salt needed. If using salted butter, avoid salt.
Spread garlic butter generously on the bread slices.
Top it with a generous amount of grated cheese and sprinkle finely chopped parsley.
Arrange the bread slices on the aluminium foil lined baking tray and bake for 10-15 minutes until crisp and the cheese melts.
Cut into slices and enjoy it hot from the oven.
</t>
  </si>
  <si>
    <t>பக்கோடாவை 3 துண்டுகளாக வெட்டுங்கள். பின்னர் துண்டுகளை நீளவாக்கில் பாதியாக வெட்டுங்கள். இந்த பூண்டு ரொட்டியை தயாரிக்க நான் 2 பகுதிகளை மட்டுமே எடுத்துள்ளேன்.
180 டிகிரி செல்சியஸில் 10 நிமிடங்கள் அடுப்பை முன்கூட்டியே சூடாக்கவும்.
ஒரு பேக்கிங் தட்டில் அலுமினிய ஃபாயில் அல்லது காகிதத்தோல் காகிதத்துடன் வரிசைப்படுத்தவும்.
வெண்ணெய் அறை வெப்பநிலையில் இருக்க வேண்டும். அது மென்மையாகவும் பரவக்கூடியதாகவும் இருக்க வேண்டும். ஒரு கிண்ணத்தில் வெண்ணெய், நறுக்கிய பூண்டு, நறுக்கிய வோக்கோசு மற்றும் தேவையான உப்பு ஆகியவற்றை ஒன்றாக கலக்கவும். உப்பு வெண்ணெய் பயன்படுத்தினால், உப்பைத் தவிர்க்கவும்.
ரொட்டி துண்டுகளில் தாராளமாக பூண்டு வெண்ணெய் தடவவும்.
அதன் மேல் தாராளமாக துருவிய சீஸ் சேர்த்து நன்றாக நறுக்கிய வோக்கோசு தூவவும்.
அலுமினிய ஃபாயில் வரிசையாக அமைக்கப்பட்ட பேக்கிங் தட்டில் ரொட்டி துண்டுகளை அடுக்கி, மொறுமொறுப்பாகவும் சீஸ் உருகும் வரை 10-15 நிமிடங்கள் சுடவும்.
துண்டுகளாக வெட்டி அடுப்பிலிருந்து சூடாக மகிழுங்கள்.</t>
  </si>
  <si>
    <t>https://encrypted-tbn0.gstatic.com/images?q=tbn:ANd9GcSPeOj1A1Z7h2fAZnF1b3NF4txwqEAI-aCQAA&amp;s</t>
  </si>
  <si>
    <t>Couscous Upma</t>
  </si>
  <si>
    <t>கூஸ்கஸ் உப்புமா</t>
  </si>
  <si>
    <t xml:space="preserve">   Instant Couscous – 3/4 cup,
   Salt - 1/4 tsp,
   Water - 1 1/2 cup,
   Onion – 2,
   Green chilli – 2 ,
   Ginger – 1 inch piece ,
   Salt as needed,
   Beans – 1/4 cup chopped,
   Carrot – 1/4 cup chopped,
   Potato – 1/4 cup chopped,
   Cauliflower florets - 1/3 cup,
   Green Peas – 1/3 cup,
   Capsicum – 1/3 cup chopped,
   Oil – 2 tbsp,
   Mustard seeds – 1 tsp,
   Urad dal – 1 tsp,
   Curry leaves,
   Coriander leaves.</t>
  </si>
  <si>
    <t>உடனடி கூஸ்கஸ் - 3/4 கப்,
உப்பு - 1/4 தேக்கரண்டி,
தண்ணீர் - 1 1/2 கப்,
வெங்காயம் - 2,
பச்சை மிளகாய் - 2 ,
இஞ்சி - 1 அங்குல துண்டு ,
தேவைக்கேற்ப உப்பு,
பீன்ஸ் - 1/4 கப் நறுக்கியது,
கேரட் - 1/4 கப் நறுக்கியது,
உருளைக்கிழங்கு - 1/4 கப் நறுக்கியது,
காலிஃபிளவர் பூக்கள் - 1/3 கப்,
பச்சை பட்டாணி - 1/3 கப்,
கேப்சிகம் - 1/3 கப் நறுக்கியது,
எண்ணெய் - 2 தேக்கரண்டி,
கடுகு - 1 தேக்கரண்டி,
உளுத்தம் பருப்பு - 1 தேக்கரண்டி,
கறிவேப்பிலை,
கொத்தமல்லி இலைகள்.</t>
  </si>
  <si>
    <t>Heat oil in a pan, add mustard seeds and urad dal, when dal turns golden brown, add onion, green chillies, ginger and curry leaves.
Saute on medium heat until onions turn transparent.
Add potatoes, carrots and beans. Mix well, sprinkle water and cook covered, stirring in between until the vegetables are soft but not mushy. 
Once the vegetables are soft, add the cauliflower florets, peas, capsicum and salt needed. Mix and cook for another 3-4 minutes. See to it that you do not overcook the capsicum.
couscous upma recipe 
Add the couscous and mix gently.
Garnish with coriander leaves and enjoy it hot. You can have any chutney or pickle as a side dish for this or enjoy it as such.</t>
  </si>
  <si>
    <t>ஒரு கடாயில் எண்ணெயை சூடாக்கி, கடுகு மற்றும் உளுத்தம் பருப்பு சேர்க்கவும், பருப்பு பொன்னிறமாக மாறியதும், வெங்காயம், பச்சை மிளகாய், இஞ்சி மற்றும் கறிவேப்பிலை சேர்க்கவும்.
வெங்காயம் வெளிப்படையானதாக மாறும் வரை மிதமான தீயில் வதக்கவும்.
உருளைக்கிழங்கு, கேரட் மற்றும் பீன்ஸ் சேர்க்கவும். நன்றாகக் கலந்து, தண்ணீர் தெளித்து, மூடி வைத்து சமைக்கவும், காய்கறிகள் மென்மையாகும் வரை ஆனால் மென்மையாக இல்லாத வரை இடையில் கிளறவும்.
காய்கறிகள் மென்மையாக ஆனவுடன், காலிஃபிளவர் பூக்கள், பட்டாணி, கேப்சிகம் மற்றும் தேவையான உப்பு சேர்த்து கிளறி, மேலும் 3-4 நிமிடங்கள் சமைக்கவும். கேப்சிகம் அதிகமாக வேகாமல் பார்த்துக் கொள்ளுங்கள்.
கூஸ்கஸ் உப்மா செய்முறை
கூஸ்கஸைச் சேர்த்து மெதுவாக கலக்கவும்.
கொத்தமல்லி இலைகளால் அலங்கரித்து சூடாக அனுபவிக்கவும். இதற்கு நீங்கள் எந்த சட்னி அல்லது ஊறுகாயையும் ஒரு பக்க உணவாக சாப்பிடலாம் அல்லது அப்படியே அனுபவிக்கலாம்.</t>
  </si>
  <si>
    <t>https://encrypted-tbn0.gstatic.com/images?q=tbn:ANd9GcSrrgpnEhI4I-8uWoEFT0DLA8UANaBlRCdksA&amp;s</t>
  </si>
  <si>
    <t>Methi Thepla</t>
  </si>
  <si>
    <t>மேத்தி தெப்லா</t>
  </si>
  <si>
    <t xml:space="preserve">  Wheat flour – 1 cup,
   Bajra Flour – 1/4 cup,
   Thick curd – 2 tbsp,
   Oil – 1 tbsp,
   Turmeric powder – 1/4 tsp,
   Chilli powder – 1 tsp,
   Coriander powder – 1 tsp,
   Ajwain/omam – 1/2 tsp,
   Fresh methi leaves – 1/2 cup chopped,
   Salt to taste,
   Ghee as needed.</t>
  </si>
  <si>
    <t>கோதுமை மாவு - 1 கப்,
பஜ்ரா மாவு - 1/4 கப்,
தடிமனான தயிர் - 2 டேபிள் ஸ்பூன்,
எண்ணெய் - 1 டேபிள் ஸ்பூன்,
மஞ்சள் தூள் - 1/4 டேபிள் ஸ்பூன்,
மிளகாய் தூள் - 1 டேபிள் ஸ்பூன்,
கொத்தமல்லி தூள் - 1 டேபிள் ஸ்பூன்,
அஜ்வைன்/ஓமம் - 1/2 டேபிள் ஸ்பூன்,
புதிய மேத்தி இலைகள் - 1/2 கப் நறுக்கியது,
ருசிக்க உப்பு,
தேவைக்கேற்ப நெய்.</t>
  </si>
  <si>
    <t>In a bowl, mix together wheat flour and bajra flour.
Add turmeric powder, chilli powder, coriander powder, oil and salt needed.
Add curd, finely chopped methi leaves and ajwain seeds. Mix everything well.
Add water little at a time and make a slightly stiff dough. Cover it and leave it to rest for 15 minutes.
Divide the dough into equal parts and make smooth balls.
Take a ball, flatten it, dust it with wheat flour and roll it out using the rolling pin just as you do for chapati. Do not roll it out too thin as the thepla will become hard after cooking. The rolled out dough should neither be too thick nor too thin.
Heat a tawa, place the rolled out dough on the tawa. When you find bubbles on the surface, flip it over to the other side. Cook both sides until golden speck appear.
Apply a tsp of ghee all over the thepla and remove from heat. This will help the theplas to remain soft even hours later.
Repeat the same process for the rest of the dough balls.
Delicious, healthy and super soft methi theplas are ready to be served.
Serve with pickle or plain yogurt or any vegetable of your choice.</t>
  </si>
  <si>
    <t>ஒரு பாத்திரத்தில், கோதுமை மாவு மற்றும் மேத்தி மாவை ஒன்றாக கலக்கவும்.
மஞ்சள் தூள், மிளகாய் தூள், கொத்தமல்லி தூள், எண்ணெய் மற்றும் தேவையான உப்பு சேர்க்கவும்.
தயிர், இறுதியாக நறுக்கிய மேத்தி இலைகள் மற்றும் ஓமம் விதைகள் சேர்க்கவும். அனைத்தையும் நன்றாக கலக்கவும்.
சிறிது நேரம் தண்ணீர் சேர்த்து சற்று கெட்டியான மாவை தயாரிக்கவும். அதை மூடி 15 நிமிடங்கள் அப்படியே வைக்கவும்.
மாவை சம பாகங்களாக பிரித்து மென்மையான உருண்டைகளை உருவாக்கவும்.
ஒரு உருண்டையை எடுத்து, அதை தட்டையாக்கி, கோதுமை மாவுடன் தூவி, சப்பாத்திக்கு செய்வது போல ரோலிங் பின்னைப் பயன்படுத்தி உருட்டவும். தெப்லா சமைத்த பிறகு கடினமாகிவிடும் என்பதால் அதை மிக மெல்லியதாக உருட்ட வேண்டாம். உருட்டிய மாவு மிகவும் கெட்டியாகவோ அல்லது மிக மெல்லியதாகவோ இருக்கக்கூடாது.
ஒரு தவாவை சூடாக்கி, உருட்டிய மாவை தவாவின் மீது வைக்கவும். மேற்பரப்பில் குமிழ்கள் இருப்பதைக் கண்டதும், அதை மறுபுறம் திருப்பி வைக்கவும். தங்க நிற புள்ளிகள் தோன்றும் வரை இருபுறமும் சமைக்கவும்.
தெப்லா முழுவதும் ஒரு தேக்கரண்டி நெய்யைத் தடவி, அடுப்பிலிருந்து அகற்றவும். இது தெப்லாக்கள் பல மணி நேரம் கழித்து மென்மையாக இருக்க உதவும்.
மீதமுள்ள மாவு உருண்டைகளுக்கும் இதே செயல்முறையை மீண்டும் செய்யவும்.
சுவையான, ஆரோக்கியமான மற்றும் மிகவும் மென்மையான மெத்தி தெப்லாக்கள் பரிமாற தயாராக உள்ளன.
ஊறுகாய் அல்லது வெற்று தயிர் அல்லது உங்களுக்கு விருப்பமான எந்த காய்கறியுடனும் பரிமாறவும்.</t>
  </si>
  <si>
    <t>https://encrypted-tbn0.gstatic.com/images?q=tbn:ANd9GcQBaXfuYWLveMJRuWflDM2eXqtsmXvQiR67wA&amp;s</t>
  </si>
  <si>
    <t xml:space="preserve">   Bread slices – 6,
   Mozzarella cheese,
   Olive oil – 1 tbsp,
   Tomatoes – 3 big,
   Garlic – 2 tbsp,
   Chilli powder – 1/8 tsp,
   Chilli flakes – 1/8 tsp,
   Dried Basil – 1/8 tsp,
   Dried Oregano – 1/8 tsp,
   Salt to taste,
   Mushroom,
   Bell Pepper,
   Onion,
   Sweet Corn.</t>
  </si>
  <si>
    <t>பிரட் துண்டுகள் - 6,
மொஸரெல்லா சீஸ்,
ஆலிவ் எண்ணெய் - 1 டீஸ்பூன்,
தக்காளி - 3 பெரியது,
பூண்டு - 2 டீஸ்பூன்,
மிளகாய்த்தூள் - 1/8 டீஸ்பூன்,
மிளகாய்த்தூள் - 1/8 டீஸ்பூன்,
உலர்ந்த துளசி - 1/8 டீஸ்பூன்,
உலர்ந்த ஆர்கனோ - 1/8 டீஸ்பூன்,
சுவைக்கு உப்பு,
காளான்,
பெல் பெப்பர்,
வெங்காயம்,
இனிப்பு சோளம்.</t>
  </si>
  <si>
    <t>Preheat the oven at 180 degree C for 10 minutes.
We will prepare a quick tomato sauce for the bread pizza. You can use ready made pizza sauce or tomato ketchup instead of this sauce for this bread pizza. But I love to make this quick sauce.
Blanch tomatoes ,peel the skin and grind it to a puree. Keep all the ingredients ready.
Heat olive oil in a pan.
Add finely chopped garlic and saute for a few minutes. Then add tomato puree.
quick sauce for bread pizza 
Add chilli powder, chilli flakes, basil, oregano and salt needed. Cook until the raw flavor of the tomato goes and the sauce thickens.
This is the sauce we are going to use for this bread pizza.
Keep all the pizza toppings ready. I have used thinly sliced onions, thinly sliced bell peppers (red and yellow), sliced mushrooms and sweet corn. You can also use paneer, olives, tomatoes (seeds removed) etc.
Apply a little olive oil and toast the bread slices slightly.
Spread 1-2 tsp of the prepared sauce or tomato ketchup evenly on the bread slices. For one bread slice alone, I have used tomato ketchup as you can see in the picture below.
Arrange the toppings and sprinkle grated mozzarella cheese all over the toppings.
Grill in a preheated oven at 180 degree C until the cheese starts to melt. Serve immediately. Repeat the same procedure for the rest of the bread slices.
If you do not have an oven, you can make these bread pizza on tawa also. Heat a tawa, reduce the heat to low and  place the prepared bread slice with the toppings on the tawa. Close it with a lid and simmer until the cheese melts. Enjoy it hot!!</t>
  </si>
  <si>
    <t>அடுப்பை 180 டிகிரி செல்சியஸில் 10 நிமிடங்கள் முன்கூட்டியே சூடாக்கவும்.
பிரட் பீட்சாவிற்கு ஒரு விரைவான தக்காளி சாஸை நாங்கள் தயாரிப்போம். இந்த பிரட் பீட்சாவிற்கு இந்த சாஸுக்கு பதிலாக நீங்கள் தயாராக தயாரிக்கப்பட்ட பீட்சா சாஸ் அல்லது தக்காளி கெட்ச்அப்பைப் பயன்படுத்தலாம். ஆனால் இந்த விரைவான சாஸை நான் செய்ய விரும்புகிறேன்.
தக்காளியை வெளுத்து, தோலை உரித்து, ப்யூரியாக அரைக்கவும். அனைத்து பொருட்களையும் தயாராக வைத்திருங்கள்.
ஒரு பாத்திரத்தில் ஆலிவ் எண்ணெயை சூடாக்கவும்.
இறுதியாக நறுக்கிய பூண்டைச் சேர்த்து சில நிமிடங்கள் வதக்கவும். பின்னர் தக்காளி கூழ் சேர்க்கவும்.
பிரட் பீட்சாவிற்கு விரைவு சாஸ்
மிளகாய் தூள், மிளகாய் துண்டுகள், துளசி, ஆர்கனோ மற்றும் தேவையான உப்பு சேர்க்கவும். தக்காளியின் பச்சை சுவை போய் சாஸ் கெட்டியாகும் வரை சமைக்கவும்.
இந்த பிரட் பீட்சாவிற்கு நாம் பயன்படுத்தப் போகும் சாஸ் இதுதான்.
அனைத்து பீட்சா டாப்பிங்ஸையும் தயாராக வைத்திருங்கள். நான் மெல்லியதாக நறுக்கிய வெங்காயம், மெல்லியதாக நறுக்கிய பெல் பெப்பர்ஸ் (சிவப்பு மற்றும் மஞ்சள்), வெட்டப்பட்ட காளான்கள் மற்றும் ஸ்வீட் கார்ன் ஆகியவற்றைப் பயன்படுத்தினேன். நீங்கள் பனீர், ஆலிவ்கள், தக்காளி (விதைகள் நீக்கப்பட்டது) போன்றவற்றையும் பயன்படுத்தலாம்.
சிறிது ஆலிவ் எண்ணெயைத் தடவி, பிரட் துண்டுகளை லேசாக வறுக்கவும்.
தயாரிக்கப்பட்ட சாஸ் அல்லது தக்காளி கெட்ச்அப்பை 1-2 தேக்கரண்டி பிரட் துண்டுகளில் சமமாக பரப்பவும். ஒரு பிரட் துண்டுக்கு மட்டும், கீழே உள்ள படத்தில் நீங்கள் காணக்கூடியது போல், நான் தக்காளி கெட்ச்அப்பைப் பயன்படுத்தினேன்.
டாப்பிங்ஸை ஒழுங்கமைத்து, துருவிய மொஸெரெல்லா சீஸை டாப்பிங்ஸ் முழுவதும் தெளிக்கவும்.
சீஸ் உருகத் தொடங்கும் வரை 180 டிகிரி செல்சியஸில் முன்கூட்டியே சூடேற்றப்பட்ட அடுப்பில் கிரில் செய்யவும். உடனடியாக பரிமாறவும். மீதமுள்ள பிரட் துண்டுகளுக்கும் இதே நடைமுறையை மீண்டும் செய்யவும்.
உங்களிடம் ஓவன் இல்லையென்றால், இந்த பிரட் பீட்சாவை தவாவில் செய்யலாம். ஒரு தவாவை சூடாக்கி, தீயைக் குறைத்து, தயாரிக்கப்பட்ட பிரட் துண்டை மேல்புறங்களுடன் தவாவின் மீது வைக்கவும். அதை ஒரு மூடியால் மூடி, சீஸ் உருகும் வரை வேக வைக்கவும். சூடாக மகிழுங்கள்!!</t>
  </si>
  <si>
    <t xml:space="preserve">   Bread slices – 6,
   Butter for toasting bread,
   Soya Chunks – 1/2 cup,
   Onion – 1/2 cup chopped,
   Tomato – 1/2 cup chopped,
   Ginger – 1 inch piece,
   Garlic – 3-4 cloves,
   Green Chilli – 1,
   Curd – 2 tsp,
   Salt to taste,
   Oil – 1 tbsp,
   Chilli Powder – 1/2 tsp,
   Turmeric powder – 1/4 tsp,
   Coriander powder – 2 tsp,
   garam masala powder – 3/4 tsp.</t>
  </si>
  <si>
    <t>ரொட்டி துண்டுகள் - 6,
ரொட்டியை வறுக்க வெண்ணெய்,
சோயா துண்டுகள் - 1/2 கப்,
வெங்காயம் - 1/2 கப் நறுக்கியது,
தக்காளி - 1/2 கப் நறுக்கியது,
இஞ்சி - 1 அங்குல துண்டு,
பூண்டு - 3-4 பல்,
பச்சை மிளகாய் - 1,
தயிர் - 2 டீஸ்பூன்,
ருசிக்க உப்பு,
எண்ணெய் - 1 டீஸ்பூன்,
மிளகாய் தூள் - 1/2 டீஸ்பூன்,
மஞ்சள் தூள் - 1/4 டீஸ்பூன்,
கொத்தமல்லி தூள் - 2 டீஸ்பூன்,
கரம் மசாலா தூள் - 3/4 டீஸ்பூன்.</t>
  </si>
  <si>
    <t>Heat oil in a pan, add finely chopped onions, green chillies, ginger and garlic. Saute until onions turn transparent.
Add finely chopped tomatoes, chilli powder, coriander powder, turmeric powder, kitchen king masala powder or garam masala powder and salt needed.
Saute until tomatoes become mushy. Add thick curd/plain yogurt and saute for a few more minutes.
Add coarsely ground soya chunks and cook on medium heat until all the moisture evaporates and the mixture becomes dry. Our soya keema filling/ stuffing is ready.
Grease the toaster with butter. Cut the corners of the bread slices, place 1-2 tbsp of soya keema masala on a bread slice, close it with another bread slice and toast until golden brown. You can apply butter on the outside of the bread slices also if desired. If you do not have a toaster, you can toast it on tawa also.
Repeat the same process for the rest of the bread slices. You do not need any side dish for this. It tastes good as such. As this sandwich is rich in protein, it is good for growing children.
The stuffing is the same as I used for soya keema paratha. So in case, if you have leftover stuffing, you can make use of it by making this sandwich or paratha or soya keema rolls.</t>
  </si>
  <si>
    <t>ஒரு கடாயில் எண்ணெயை சூடாக்கி, இறுதியாக நறுக்கிய வெங்காயம், பச்சை மிளகாய், இஞ்சி மற்றும் பூண்டு சேர்க்கவும். வெங்காயம் வெளிப்படையானதாக மாறும் வரை வதக்கவும்.
இறுதியாக நறுக்கிய தக்காளி, மிளகாய் தூள், கொத்தமல்லி தூள், மஞ்சள் தூள், கிச்சன் கிங் மசாலா தூள் அல்லது கரம் மசாலா தூள் மற்றும் தேவையான உப்பு சேர்க்கவும்.
தக்காளி மென்மையாகும் வரை வதக்கவும். கெட்டியான தயிர்/வெற்று தயிர் சேர்த்து இன்னும் சில நிமிடங்கள் வதக்கவும்.
அரைத்த சோயா துண்டுகளைச் சேர்த்து, ஈரப்பதம் முழுவதும் ஆவியாகி, கலவை வறண்டு போகும் வரை மிதமான தீயில் சமைக்கவும். எங்கள் சோயா கீமா நிரப்புதல்/ஸ்டஃபிங் தயாராக உள்ளது.
டோஸ்டரில் வெண்ணெய் தடவவும். ரொட்டித் துண்டுகளின் மூலைகளை வெட்டி, ஒரு ரொட்டித் துண்டில் 1-2 தேக்கரண்டி சோயா கீமா மசாலாவை வைத்து, அதை மற்றொரு ரொட்டித் துண்டால் மூடி, பொன்னிறமாகும் வரை டோஸ்ட் செய்யவும். விரும்பினால், ரொட்டித் துண்டுகளின் வெளிப்புறத்திலும் வெண்ணெய் தடவலாம். உங்களிடம் டோஸ்டர் இல்லையென்றால், அதை தவாவில் டோஸ்ட் செய்யலாம்.
மீதமுள்ள ரொட்டித் துண்டுகளுக்கும் இதே செயல்முறையை மீண்டும் செய்யவும். இதற்கு உங்களுக்கு எந்த சைட் டிஷ் தேவையில்லை. இது மிகவும் சுவையாக இருக்கும். இந்த சாண்ட்விச்சில் புரதம் நிறைந்திருப்பதால், வளரும் குழந்தைகளுக்கு இது நல்லது.
சோயா கீமா பரோட்டாவிற்கு நான் பயன்படுத்தியதைப் போலவே ஸ்டஃபிங் உள்ளது. எனவே, உங்களிடம் மீதமுள்ள ஸ்டஃபிங் இருந்தால், இந்த சாண்ட்விச் அல்லது பரோட்டா அல்லது சோயா கீமா ரோல்களைச் செய்வதன் மூலம் அதைப் பயன்படுத்தலாம்.</t>
  </si>
  <si>
    <t xml:space="preserve">   Chapatis – 3,
   Egg – 1 per kathi roll,
   Pepper powder – 1/4 tsp,
   Oil – 1 1/2 tbsp,
   Onion – 1 big,
   Ginger – 1 inch piece,
   Garlic – 4 cloves,
   Green Chilli - 1,
   Capsicum – 1/2,
   Cabbage – 1/3 cup shredded,
   Tomato - 1,
   Salt needed,
   Coriander leaves,
   Tomato ketchup – 11/2 tsp,
   Chilli Powder – 1/2 tsp,
   Coriander powder – 2 tsp,
   Turmeric Powder – 1/4 tsp,
   Garam Masala Powder – 1/4 tsp,
   Oil for making kathi rolls,
   Thinly sliced Onions.</t>
  </si>
  <si>
    <t>சப்பாத்திகள் – 3,
முட்டை – கத்தி ரோலுக்கு 1,
மிளகாய் தூள் – 1/4 டீஸ்பூன்,
எண்ணெய் – 1 1/2 டீஸ்பூன்,
வெங்காயம் – 1 பெரியது,
இஞ்சி – 1 அங்குல துண்டு,
பூண்டு – 4 பல்,
பச்சை மிளகாய் - 1,
மிளகாய் – 1/2,
முட்டைக்கோஸ் – 1/3 கப் துருவியது,
தக்காளி - 1,
உப்பு தேவை,
கொத்தமல்லி இலைகள்,
தக்காளி கெட்ச்அப் – 11/2 டீஸ்பூன்,
மிளகாய் தூள் – 1/2 டீஸ்பூன்,
கொத்தமல்லி தூள் – 2 டீஸ்பூன்,
மஞ்சள் தூள் – 1/4 டீஸ்பூன்,
கரம் மசாலா தூள் – 1/4 டீஸ்பூன்,
கத்தி ரோல்ஸ் செய்ய எண்ணெய்,
மெல்லியதாக நறுக்கிய வெங்காயம்.</t>
  </si>
  <si>
    <t>Heat oil in a pan, add onions, ginger, garlic, green chillies and saute until onions turn translucent.
Add thinly sliced capsicum, cabbage and saute on high flame for a few minutes.
Add tomatoes, salt needed and all the spice powder.
Saute on high flame. Add chopped coriander leaves, tomato ketchup, mix well and switch off the heat. The vegetables should retain it crunchiness, so avoid overcooking.
Now our filling and the chapatis are ready.
Heat a tawa, apply half a tsp of oil all over and pour the prepared egg mixture over it.
Then place the chapati on top of the egg mixture and press it well.
Once the egg gets cooked, flip it over to the other side, cook for 2-3 seconds and remove from heat.
Now place 2-3 tbsp of the prepared filling as show in the picture below.
Then place thinly sliced onions on top of it.
Roll the chapati tightly, cut into half and enjoy it hot. Alternatively you can fold the chapati below, roll it and wrap it in an aluminium foil so that you can hold it and enjoy the egg vegetable kathi rolls hot.
Repeat the same process for the rest of the chapatis.</t>
  </si>
  <si>
    <t>ஒரு கடாயில் எண்ணெயை சூடாக்கி, வெங்காயம், இஞ்சி, பூண்டு, பச்சை மிளகாய் சேர்த்து வெங்காயம் தெளிவாகும் வரை வதக்கவும்.
மெல்லியதாக நறுக்கிய கேப்சிகம், முட்டைக்கோஸ் சேர்த்து அதிக தீயில் சில நிமிடங்கள் வதக்கவும்.
தக்காளி, தேவையான அளவு உப்பு மற்றும் மசாலாப் பொடியைச் சேர்க்கவும்.
அதிக தீயில் வதக்கவும். நறுக்கிய கொத்தமல்லி இலை, தக்காளி கெட்ச்அப் சேர்த்து நன்கு கலந்து தீயை அணைக்கவும். காய்கறிகள் மொறுமொறுப்பாக இருக்க வேண்டும், எனவே அதிகமாக வேகுவதைத் தவிர்க்கவும்.
இப்போது எங்கள் பூரணம் தயாராக உள்ளது.
ஒரு தவாவை சூடாக்கி, அரை தேக்கரண்டி எண்ணெயை முழுவதுமாக தடவி, தயாரிக்கப்பட்ட முட்டை கலவையை அதன் மேல் ஊற்றவும்.
பின்னர் சப்பாத்தியை முட்டை கலவையின் மேல் வைத்து நன்றாக அழுத்தவும்.
முட்டை வெந்தவுடன், அதை மறுபுறம் திருப்பி, 2-3 வினாடிகள் சமைக்கவும், அடுப்பிலிருந்து அகற்றவும்.
இப்போது கீழே உள்ள படத்தில் காட்டப்பட்டுள்ளபடி தயாரிக்கப்பட்ட பூரணத்தில் 2-3 தேக்கரண்டி வைக்கவும்.
பின்னர் அதன் மேல் மெல்லியதாக நறுக்கிய வெங்காயத்தை வைக்கவும்.
சப்பாத்தியை இறுக்கமாக உருட்டி, பாதியாக வெட்டி சூடாக அனுபவிக்கவும். மாற்றாக, நீங்கள் கீழே உள்ள சப்பாத்தியை மடித்து, அதை உருட்டி, அலுமினியப் படலத்தில் சுற்றி வைக்கலாம், இதனால் நீங்கள் அதைப் பிடித்து முட்டை காய்கறி கத்தி ரோல்களை சூடாக அனுபவிக்க முடியும்.
மீதமுள்ள சப்பாத்திகளுக்கும் இதே செயல்முறையை மீண்டும் செய்யவும்.</t>
  </si>
  <si>
    <t xml:space="preserve">   Dosa Batter as needed,
   Egg – 1 per dosa,
   Salt needed,
   Pepper powder needed,
   Oil for making dosas.
</t>
  </si>
  <si>
    <t>Grease a tawa with oil and heat it. Pour a ladle of dosa batter on the tawa and spread it in a circular motion (neither thin nor thick).
After a few seconds, pour the egg mixture on the dosa and spread it all over the dosa with a spoon. Drizzle a tsp of oil around the dosa.
When the corners start lifting up, flip it over to the other side and cook for a few seconds.
Once the egg is cooked, remove the dosa from the tawa and sprinkle pepper powder generously. Enjoy piping hot egg dosa with tomato chutney.</t>
  </si>
  <si>
    <t>ஒரு தவாவில் எண்ணெயை தடவி சூடாக்கவும். ஒரு கரண்டி தோசை மாவை தவாவில் ஊற்றி வட்ட இயக்கத்தில் பரப்பவும் (மெல்லியதாகவோ அல்லது தடிமனாகவோ இல்லாமல்).
சில வினாடிகளுக்குப் பிறகு, முட்டை கலவையை தோசையின் மீது ஊற்றி, ஒரு கரண்டியால் தோசை முழுவதும் பரப்பவும். தோசையைச் சுற்றி ஒரு தேக்கரண்டி எண்ணெயைத் தெளிக்கவும்.
மூலைகள் மேலே எழத் தொடங்கியதும், அதை மறுபுறம் திருப்பி சில வினாடிகள் சமைக்கவும்.
முட்டை வெந்தவுடன், தோசையை தவாவிலிருந்து அகற்றி, மிளகுத் தூளை தாராளமாகத் தூவவும். தக்காளி சட்னியுடன் சூடான முட்டை தோசையை பிசைந்து மகிழுங்கள்.</t>
  </si>
  <si>
    <t>https://vismaifood.com/storage/app/uploads/public/a95/608/610/thumb__1200_0_0_0_auto.jpg</t>
  </si>
  <si>
    <t>https://youtu.be/mZBl1vpoxo4</t>
  </si>
  <si>
    <t xml:space="preserve">   Broccoli – 1 cup shredded,
   Potato – 1/3 cup Boiled and mashed,
   Onion – 3 tbsp finely chopped,
   Ginger-garlic paste – 3/4 tsp,
   Green chilli – 1 ,
   Garam Masala powder – 1 tsp,
   Turmeric powder – 1/4 tsp,
   Bengal Gram flour – 3 tbsp,
   Coriander leaves ,
   Fresh lemon juice – 3-4 drops,
   Salt to taste,
   Oil for shallow frying cutlets.
</t>
  </si>
  <si>
    <t>ப்ரோக்கோலி - 1 கப் துருவியது,
உருளைக்கிழங்கு - 1/3 கப் வேகவைத்து மசித்தது,
வெங்காயம் - 3 டேபிள்ஸ்பூன் நன்றாக நறுக்கியது,
இஞ்சி-பூண்டு விழுது - 3/4 டேபிள்ஸ்பூன்,
பச்சை மிளகாய் - 1 ,
கரம் மசாலா தூள் - 1 டேபிள்ஸ்பூன்,
மஞ்சள் தூள் - 1/4 டேபிள்ஸ்பூன்,
வங்காள பருப்பு மாவு - 3 டேபிள்ஸ்பூன்,
கொத்தமல்லி இலைகள் ,
புதிய எலுமிச்சை சாறு - 3-4 சொட்டுகள்,
சுவைக்கு உப்பு,
கட்லெட்டுகளை நன்றாக வறுக்க எண்ணெய்.</t>
  </si>
  <si>
    <t>In a bowl, mix together broccoli, boiled and mashed potato, finely chopped onions, ginger-garlic paste, finely chopped green chilli, turmeric powder, garam masala powder, finely chopped coriander leaves, salt needed, bengal gram flour or bread crumbs and lemon juice. Mix well.
Divide the mixture into equal parts. Form patties from the mixture as shown below. If you are unable to form patties, add more bread crumbs or bengal gram flour.
Heat oil in a pan/tawa and shallow fry the cutlets on medium low heat until golden brown on both sides. It will take time. Have patience.
Enjoy hot with tomato ketchup or tomato chutney or green chutney and a cup of piping hot tea.</t>
  </si>
  <si>
    <t>ஒரு பாத்திரத்தில், ப்ரோக்கோலி, வேகவைத்து மசித்த உருளைக்கிழங்கு, இறுதியாக நறுக்கிய வெங்காயம், இஞ்சி-பூண்டு விழுது, இறுதியாக நறுக்கிய பச்சை மிளகாய், மஞ்சள் தூள், கரம் மசாலா தூள், இறுதியாக நறுக்கிய கொத்தமல்லி இலைகள், தேவையான உப்பு, வங்காள பருப்பு மாவு அல்லது ரொட்டி துண்டுகள் மற்றும் எலுமிச்சை சாறு ஆகியவற்றை ஒன்றாக கலக்கவும். நன்றாக கலக்கவும்.
கலவையை சம பாகங்களாக பிரிக்கவும். கீழே காட்டப்பட்டுள்ளபடி கலவையிலிருந்து பஜ்ஜிகளை உருவாக்கவும். நீங்கள் பஜ்ஜிகளை உருவாக்க முடியாவிட்டால், அதிக ரொட்டி துண்டுகள் அல்லது பெங்கால் பருப்பு மாவு சேர்க்கவும்.
ஒரு பாத்திரத்தில்/தவாவில் எண்ணெயைச் சூடாக்கி, கட்லெட்டுகளை மிதமான தீயில் இருபுறமும் பொன்னிறமாகும் வரை வறுக்கவும். இதற்கு நேரம் எடுக்கும். பொறுமையாக இருங்கள்.
தக்காளி கெட்ச்அப் அல்லது தக்காளி சட்னி அல்லது பச்சை சட்னி மற்றும் ஒரு கப் சூடான தேநீருடன் சூடாக மகிழுங்கள்.</t>
  </si>
  <si>
    <t>https://gkfooddiary.com/wp-content/uploads/2016/04/26186085002_6b60d4ce72_z-471x375.jpg</t>
  </si>
  <si>
    <t>Broccoli Paratha</t>
  </si>
  <si>
    <t>ப்ரோக்கோலி பராத்தா</t>
  </si>
  <si>
    <t xml:space="preserve">   Whole Wheat flour – 1 1/2 cup,
   Oil – 2 tsp,
   Salt – 1/4 tsp,
   Warm water as needed,
   Onion – 3/4 cup chopped,
   Green Chilli – 2 ,
   Ginger-Garlic paste – 1/2 tsp,
   Coarsely ground Broccoli – 1 cup,
   Salt to taste,
   Chilli powder - 1/2 tsp,
   Turmeric Powder – 1/4 tsp,
   Cumin/jeera powder – 1 tsp,
   Garam masala powder - 1 tsp,
   Oil – 1 tbsp,
   Cumin seeds – 1 tsp,
   Oil/ghee/butter for tawa frying parathas.</t>
  </si>
  <si>
    <t>முழு கோதுமை மாவு - 1 1/2 கப்,
எண்ணெய் - 2 தேக்கரண்டி,
உப்பு - 1/4 தேக்கரண்டி,
தேவைக்கேற்ப வெதுவெதுப்பான நீர்,
வெங்காயம் - 3/4 கப் நறுக்கியது,
பச்சை மிளகாய் - 2 ,
இஞ்சி-பூண்டு விழுது - 1/2 தேக்கரண்டி,
பொடியாக அரைத்த ப்ரோக்கோலி - 1 கப்,
சுவைக்கேற்ப உப்பு,
மிளகாய் தூள் - 1/2 தேக்கரண்டி,
மஞ்சள் தூள் - 1/4 தேக்கரண்டி,
சீரகம்/ஜீரா தூள் - 1 தேக்கரண்டி,
கரம் மசாலா தூள் - 1 தேக்கரண்டி,
எண்ணெய் - 1 தேக்கரண்டி,
சீரகம் விதைகள் - 1 தேக்கரண்டி,
பராத்தாக்களை வறுக்க எண்ணெய்/நெய்/வெண்ணெய்.</t>
  </si>
  <si>
    <t>Bring water to boil with a pinch of turmeric powder and little salt. When it starts boiling, add the washed broccoli florets to it. Let it be in water for 1 minute. Then drain the water completely and pat the florets dry with a kitchen towel.
Blend it coarsely and keep it aside.
Heat oil in a pan, add cumin seeds, when it splutters, add finely chopped onions and green chillies.
Saute until onions turn transparent.
Add the coarsely ground broccoli and all the spice powder mentioned under “Spice Powder”. Add salt to taste and cook until all the moisture evaporates and the mixture becomes dry. Our broccoli stuffing is ready. Leave it to cool.
In a bowl or plate combine together, wheat flour, 2 tsp oil and salt. Add warm water little at a time and make a soft pliable dough. Grease your fingers with a little oil and knead the dough well. Keep it covered for 15-20 minutes.
Now pinch 2 golf ball sized pieces of dough and and make smooth balls.
Flatten the ball, dust wheat flour and roll it out into a small circle (approximately 4 inches in diameter) using a rolling pin. Repeat the same for the other ball.
Place 2 tbsp of stuffing on one of the rolled out dough, spread the stuffing evenly leaving a little space around the edges as shown below and cover it with the other rolled out dough.
Press the edges so that it sticks well. Now dust flour and roll it out into a circle of  6 inches in diameter with the stuffing.
Heat a tawa, place the rolled out paratha, when you see bubbles forming on the surface, spread a tsp of oil and flip it over to the other side.
Spread another tsp of oil and cook both the sides until brown specks appear. Repeat the same process above for the rest of the dough.
Serve with pickle or plain yogurt or raitha.
If not serving immediately, wrap it in an aluminium foil and keep it in a container for it to stay soft.
You can pack this nutritious and filling paratha for office or school lunch also. Use aluminium foil for packing the parathas.</t>
  </si>
  <si>
    <t>தண்ணீரை கொதிக்க வைத்து ஒரு சிட்டிகை மஞ்சள் தூள் மற்றும் சிறிது உப்பு சேர்க்கவும். கொதிக்க ஆரம்பித்ததும், கழுவிய ப்ரோக்கோலி பூக்களை அதில் சேர்க்கவும். 1 நிமிடம் தண்ணீரில் விடவும். பின்னர் தண்ணீரை முழுவதுமாக வடிகட்டி, ஒரு சமையலறை துண்டுடன் பூக்களை உலர வைக்கவும்.
அதை கரடுமுரடாக கலந்து ஒதுக்கி வைக்கவும்.
ஒரு கடாயில் எண்ணெயை சூடாக்கி, சீரகத்தை சேர்த்து, அது வதங்கியதும், இறுதியாக நறுக்கிய வெங்காயம் மற்றும் பச்சை மிளகாய் சேர்க்கவும்.
வெங்காயம் தெளிவாகும் வரை வதக்கவும்.
கரடுமுரடான ப்ரோக்கோலி மற்றும் "மசாலா தூள்" என்பதன் கீழ் குறிப்பிடப்பட்டுள்ள அனைத்து மசாலாப் பொடிகளையும் சேர்க்கவும். சுவைக்கு உப்பு சேர்த்து, ஈரப்பதம் அனைத்தும் ஆவியாகி கலவை காயும் வரை சமைக்கவும். எங்கள் ப்ரோக்கோலி ஸ்டஃபிங் தயாராக உள்ளது. அதை குளிர்விக்க விடவும்.
ஒரு கிண்ணத்தில் அல்லது தட்டில், கோதுமை மாவு, 2 தேக்கரண்டி எண்ணெய் மற்றும் உப்பு ஆகியவற்றை ஒன்றாக இணைக்கவும். வெதுவெதுப்பான நீரை சிறிது சிறிதாகச் சேர்த்து மென்மையான நெகிழ்வான மாவை உருவாக்கவும். உங்கள் விரல்களில் சிறிது எண்ணெயை தடவி மாவை நன்கு பிசையவும். அதை 15-20 நிமிடங்கள் மூடி வைக்கவும்.
இப்போது 2 கோல்ஃப் பந்து அளவிலான மாவை கிள்ளி, மென்மையான பந்துகளை உருவாக்கவும்.
பந்தை தட்டையாக்கி, கோதுமை மாவை தூவி, ஒரு ரோலிங் பின்னைப் பயன்படுத்தி ஒரு சிறிய வட்டமாக (தோராயமாக 4 அங்குல விட்டம்) உருட்டவும். மற்ற பந்திற்கும் இதையே செய்யவும்.
உருட்டிய மாவில் ஒன்றின் மீது 2 டேபிள்ஸ்பூன் ஸ்டஃபிங்கை வைத்து, கீழே காட்டப்பட்டுள்ளபடி விளிம்புகளைச் சுற்றி சிறிது இடைவெளி விட்டு, ஸ்டஃபிங்கை சமமாக பரப்பி, மற்றொன்றை உருட்டிய மாவால் மூடி வைக்கவும்.
விளிம்புகளை நன்றாக ஒட்டிக்கொள்ளும் வகையில் அழுத்தவும். இப்போது மாவைத் தூவி, ஸ்டஃபிங்குடன் 6 அங்குல விட்டம் கொண்ட வட்டமாக உருட்டவும்.
ஒரு தவாவை சூடாக்கி, உருட்டிய பரோட்டாவை வைத்து, மேற்பரப்பில் குமிழ்கள் உருவாகுவதைக் கண்டதும், ஒரு டேபிள்ஸ்பூன் எண்ணெயைத் தடவி, மறுபுறம் புரட்டவும்.
மற்றொரு டேபிள்ஸ்பூன் எண்ணெயைத் தடவி, இருபுறமும் பழுப்பு நிற புள்ளிகள் தோன்றும் வரை சமைக்கவும். மீதமுள்ள மாவுக்கு மேலே உள்ள அதே செயல்முறையை மீண்டும் செய்யவும்.
ஊறுகாய் அல்லது வெற்று தயிர் அல்லது ரைத்தாவுடன் பரிமாறவும்.
உடனடியாக பரிமாறவில்லை என்றால், அதை ஒரு அலுமினிய ஃபாயிலில் சுற்றி, மென்மையாக இருக்க ஒரு கொள்கலனில் வைக்கவும்.
இந்த சத்தான மற்றும் நிரப்பும் பரோட்டாவை அலுவலக அல்லது பள்ளி மதிய உணவிற்கும் பேக் செய்யலாம். பரோட்டாக்களை பேக் செய்ய அலுமினிய ஃபாயிலைப் பயன்படுத்தவும்.</t>
  </si>
  <si>
    <t>https://static.toiimg.com/thumb/59511431.cms?imgsize=264964&amp;width=800&amp;height=800</t>
  </si>
  <si>
    <t>Soya Kheema Rolls</t>
  </si>
  <si>
    <t>சோயா கீமா ரோல்ஸ்</t>
  </si>
  <si>
    <t xml:space="preserve">   Half cooked chapati – 4,
    soya granules – 1/2 cup,
   Onion – 1 cup finely chopped,
   Ginger Garlic paste – 2 tsp,
   Green chilli – 1,
   Tomato – 1/4 cup chopped,
    curd – 2 tsp,
   Fresh Green Peas – 1/3 cup ,
   Coriander leaves,
   Salt needed,
   Turmeric powder - 1/4 tsp,
   Chilli powder – 3/4 tsp,
   Coriander powder – 2 tsp,
   Kitchen King masala – 1 tsp,
   Oil – 2 tbsp,
   Cumin seeds – 1 tsp,
   Hing – a generous pinch,
   Butter as needed,
   Onion – Thinly sliced.</t>
  </si>
  <si>
    <t>பாதி வேகவைத்த சப்பாத்தி - 4,
சோயா துகள்கள் - 1/2 கப்,
வெங்காயம் - 1 கப் நன்றாக நறுக்கியது,
இஞ்சி பூண்டு விழுது - 2 தேக்கரண்டி,
பச்சை மிளகாய் - 1,
தக்காளி - 1/4 கப் நறுக்கியது,
தயிர் - 2 தேக்கரண்டி,
புதிய பச்சை பட்டாணி - 1/3 கப்,
கொத்தமல்லி இலைகள்,
உப்பு தேவை,
மஞ்சள் தூள் - 1/4 தேக்கரண்டி,
மிளகாய் தூள் - 3/4 தேக்கரண்டி,
கொத்தமல்லி தூள் - 2 தேக்கரண்டி,
கிச்சன் கிங் மசாலா - 1 தேக்கரண்டி,
எண்ணெய் - 2 தேக்கரண்டி,
சீரகம் - 1 தேக்கரண்டி,
ஹிங் - ஒரு சிட்டிகை,
தேவைக்கேற்ப வெண்ணெய்,
வெங்காயம் - மெல்லியதாக நறுக்கியது.</t>
  </si>
  <si>
    <t>Heat oil in a pan, add cumin seeds, when it splutters, add hing. Then add finely chopped onions and green chillies.
Saute until onions turn slightly brown. Add salt to speed up the process. Then add ginger garlic paste and saute for a few more minutes.
Add finely chopped tomato, turmeric powder, chilli powder, coriander powder and kitchen king masala powder. Cook on medium heat until tomato gets mushy.
Add curd and cooked peas and cook for a further 2-3 minutes.
preparation of soya stuffing for chapati roll
Add the ground soya chunks, salt needed and cook until all the moisture evaporates and the mixture becomes a little dry.
Add finely chopped coriander leaves and mix well. Remove from heat and leave it to cool.
Now take the half cooked roti, apply green chutney or tomato ketchup (anything you like), place the stuffing as shown in the picture.
If you like, place some sliced onions and roll or wrap the roti from all sides as shown in the picture below.
Heat a tawa, place the wrapped roti, apply butter and toast both sides. 
Cut and serve hot with tomato ketchup or green chutney.
Repeat the process for the rest of the chapati/rotis.</t>
  </si>
  <si>
    <t>ஒரு கடாயில் எண்ணெயை சூடாக்கி, சீரகம் சேர்த்து, அது வதங்கியதும், ஹிங் சேர்க்கவும். பின்னர் இறுதியாக நறுக்கிய வெங்காயம் மற்றும் பச்சை மிளகாய் சேர்க்கவும்.
வெங்காயம் சிறிது பழுப்பு நிறமாக மாறும் வரை வதக்கவும். செயல்முறையை விரைவுபடுத்த உப்பு சேர்க்கவும். பின்னர் இஞ்சி பூண்டு விழுது சேர்த்து மேலும் சில நிமிடங்கள் வதக்கவும்.
பொடியாக நறுக்கிய தக்காளி, மஞ்சள் தூள், மிளகாய் தூள், கொத்தமல்லி தூள் மற்றும் கிச்சன் கிங் மசாலா தூள் சேர்க்கவும். தக்காளி மென்மையாகும் வரை மிதமான தீயில் சமைக்கவும்.
தயிர் மற்றும் சமைத்த பட்டாணி சேர்த்து மேலும் 2-3 நிமிடங்கள் சமைக்கவும்.
சப்பாத்தி ரோலுக்கு சோயா ஸ்டஃபிங் தயாரித்தல்
அரைத்த சோயா துண்டுகள், தேவையான உப்பு சேர்த்து, ஈரப்பதம் அனைத்தும் ஆவியாகி கலவை சிறிது காயும் வரை சமைக்கவும்.
இறுதியாக நறுக்கிய கொத்தமல்லி இலைகளைச் சேர்த்து நன்கு கலக்கவும். அடுப்பிலிருந்து இறக்கி ஆற விடவும்.
இப்போது பாதி வேகவைத்த ரொட்டியை எடுத்து, பச்சை சட்னி அல்லது தக்காளி கெட்ச்அப் (உங்களுக்குப் பிடித்த எதையும்) தடவி, படத்தில் காட்டப்பட்டுள்ளபடி ஸ்டஃபிங்கை வைக்கவும்.
நீங்கள் விரும்பினால், சிறிது நறுக்கிய வெங்காயத்தை வைத்து, கீழே உள்ள படத்தில் காட்டப்பட்டுள்ளபடி ரோட்டியை அனைத்து பக்கங்களிலிருந்தும் உருட்டவும் அல்லது சுற்றி வைக்கவும்.
ஒரு தவாவை சூடாக்கி, சுற்றிய ரொட்டியை வைத்து, வெண்ணெய் தடவி, இருபுறமும் டோஸ்ட் செய்யவும்.
தக்காளி கெட்ச்அப் அல்லது பச்சை சட்னியுடன் வெட்டி சூடாக பரிமாறவும்.
மீதமுள்ள சப்பாத்தி/ரொட்டிகளுக்கும் இந்த செயல்முறையை மீண்டும் செய்யவும்.</t>
  </si>
  <si>
    <t>https://www.madewithdelmonte.in/uploads/1366_694_5e96dce359cef.jpg</t>
  </si>
  <si>
    <t xml:space="preserve">    Poha – 1 cup,
   Cabbage – 2 cups shredded,
   Capsicum – 1 cup thinly sliced,
   Sesame seeds – 2 tbsp,
   Turmeric powder – 1/4 tsp,
     Oil – 2 tbsp,
   Mustard seeds – 1 tsp,
   Cumin seeds – 1 tsp,
   Green chilli - 2 finely chopped,
   Ginger – 1 inch piece,
   Curry leaves – a sprig, 
    Coriander leaves,
   Fresh Lemon juice to taste.</t>
  </si>
  <si>
    <t>போஹா - 1 கப்,
முட்டைக்கோஸ் - 2 கப் துருவியது,
கேப்சிகம் - 1 கப் மெல்லியதாக நறுக்கியது,
எள் - 2 டீஸ்பூன்,
மஞ்சள் தூள் - 1/4 டீஸ்பூன்,
எண்ணெய் - 2 டீஸ்பூன்,
கடுகு - 1 டீஸ்பூன்,
சீரகம் - 1 டீஸ்பூன்,
பச்சை மிளகாய் - 2 நன்றாக நறுக்கியது,
இஞ்சி - 1 அங்குல துண்டு,
கறிவேப்பிலை - ஒரு தளிர்,
கொத்தமல்லி இலைகள்,
சுவைக்கேற்ப புதிய எலுமிச்சை சாறு.</t>
  </si>
  <si>
    <t>Heat oil in a pan, when it is hot, add mustard seeds and cumin seeds. When mustard and cumin seeds splutters, add ginger, finely chopped green chilli and curry leaves.
Saute for a few seconds and then add cabbage and capsicum.
Add turmeric powder, salt and cook covered on medium heat. After few minutes of cooking, you may sprinkle water if needed and cook covered. When it is soft (do not overcook), fluff poha with a fork and add to the cabbage capsicum mixture.
Cook covered for 2-3 minutes. If you feel it is too dry, you may add a tbsp of water and then cook covered.
Squeeze juice of fresh lemon, sprinkle toasted sesame seeds or coarsely ground roasted peanuts and garnish with finely chopped coriander leaves. Mix well and serve hot.
Serve hot with a cup of tea or coffee, juice or buttermilk. Enjoy!!</t>
  </si>
  <si>
    <t>ஒரு கடாயில் எண்ணெயை சூடாக்கி, அது சூடானதும், கடுகு மற்றும் சீரகத்தை சேர்க்கவும். கடுகு மற்றும் சீரகம் வதங்கியதும், இஞ்சி, இறுதியாக நறுக்கிய பச்சை மிளகாய் மற்றும் கறிவேப்பிலை சேர்க்கவும்.
சில நொடிகள் வதக்கி, பின்னர் முட்டைக்கோஸ் மற்றும் கேப்சிகம் சேர்க்கவும்.
மஞ்சள் தூள், உப்பு சேர்த்து மிதமான தீயில் மூடி வைக்கவும். சில நிமிடங்கள் சமைத்த பிறகு, தேவைப்பட்டால் தண்ணீர் தெளித்து மூடி வைத்து சமைக்கலாம். அது மென்மையாகும்போது (அதிகமாக வேகவிடாதீர்கள்), ஒரு முட்கரண்டி கொண்டு போஹாவை ஃப்ளஃப் செய்து, முட்டைக்கோஸ் கேப்சிகம் கலவையில் சேர்க்கவும்.
2-3 நிமிடங்கள் மூடி வைத்து சமைக்கவும். மிகவும் வறண்டதாக உணர்ந்தால், ஒரு தேக்கரண்டி தண்ணீர் சேர்த்து மூடி வைத்து சமைக்கலாம்.
புதிய எலுமிச்சை சாற்றை பிழிந்து, வறுத்த எள் அல்லது கரடுமுரடான வறுத்த வேர்க்கடலையைத் தூவி, இறுதியாக நறுக்கிய கொத்தமல்லி இலைகளால் அலங்கரிக்கவும். நன்றாகக் கலந்து சூடாகப் பரிமாறவும்.
ஒரு கப் தேநீர் அல்லது காபி, சாறு அல்லது மோருடன் சூடாகப் பரிமாறவும். மகிழுங்கள்!!</t>
  </si>
  <si>
    <t>Millet Kara Paniyaram</t>
  </si>
  <si>
    <t>தினை காரா பணியாரம்</t>
  </si>
  <si>
    <t xml:space="preserve">   Barnyard millet - 1/4 cup,
   Thinai – 1/4 cup,
   Kodo millet - 1/4 cup,
   Par boiled idli rice - 1/4 cup,
   Whole skinned urad dal - 1/4 cup,
   Fenugreek seeds -  1 tsp,
   Salt to taste,
   Pearl Onion – 1 cup heaped finely chopped,
   Green chilli –  1-2 finely chopped,
   Ginger – 1 inch piece finely chopped,
   Coriander leaves ,
   Curry Leaves ,
   Oil – 2 tbsp,
   Mustard seeds - 1 tsp,
   Urad dal – 2 tsp,
   Bengal gram dal – 1 tbsp,
   Peppercorns – 1 tsp,
   Hing – a generous pinch,
   Oil for making paniyarams.</t>
  </si>
  <si>
    <t>தினை - 1/4 கப்,
தினை - 1/4 கப்,
கோடோ தினை - 1/4 கப்,
வேகவைத்த இட்லி அரிசி - 1/4 கப்,
தோல் நீக்கிய முழு உளுத்தம் பருப்பு - 1/4 கப்,
வெந்தயம் - 1 தேக்கரண்டி,
ருசிக்க உப்பு,
முத்து வெங்காயம் - 1 கப் பொடியாக நறுக்கியது,
பச்சை மிளகாய் - 1-2 பொடியாக நறுக்கியது,
இஞ்சி - 1 அங்குல துண்டு பொடியாக நறுக்கியது,
கொத்தமல்லி இலைகள்,
கறிவேப்பிலை,
எண்ணெய் - 2 தேக்கரண்டி,
கடுகு - 1 தேக்கரண்டி,
உளுத்தம் பருப்பு - 2 தேக்கரண்டி,
வங்கக்கடலை பருப்பு - 1 தேக்கரண்டி,
மிளகு - 1 தேக்கரண்டி,
ஹிங் - ஒரு சிட்டிகை,
பணியாரம் செய்ய எண்ணெய்.</t>
  </si>
  <si>
    <t>Wash and soak all the millets, rice, urad dal and fenugreek together for 5-6 hours. Grind it to a smooth paste in a blender or a wet grinder adding little water. The consistency of the batter should be that of idli batter,  neither watery nor too thick.
Add salt to the batter, mix well and leave it to ferment for 7-8 hours. I left it overnight.
Now our fermented paniyaram batter is ready. We will do the seasoning.
Soak bengal gram (channa dal/kadalai paruppu) in hot water for 10 minutes. Drain the water completely, pat it dry and keep it ready.
Heat oil in a pan, add mustard seeds, when it splutters, add urad dal, bengal gram, hing, peppercorns and saute until dal turns golden.
Then add finely chopped onion, ginger, green chilli, coriander leaves, curry leaves and salt needed.
Saute on medium flame until the onion becomes transparent.
Mixed millet Thinai-Varagu-Kuthiraivaali Kara Kuzhi Paniyaram
Remove from heat and leave it to cool. When warm add the onion mixture to the batter and mix well. Add salt if needed.
Heat a paniyaram pan, add 1/2 tsp of oil in all the holes. Fill the holes with the seasoned paniyaram batter.
Cook covered on low heat. When the corners start lifting up, flip the paniyaram to the other side and cook uncovered on medium heat.
Once done, remove the paniyaram from the pan and serve hot with spicy kara chutney and a cup of hot ginger cardamon tea or filter coffee. (Tips – to check if it is cooked, prick a toothpick in the center of the paniyaram, if it comes out clean, it is cooked).</t>
  </si>
  <si>
    <t>அனைத்து தினைகளையும் கழுவி, அரிசி, உளுத்தம் பருப்பு மற்றும் வெந்தயத்தையும் ஒன்றாக 5-6 மணி நேரம் ஊற வைக்கவும். மிக்ஸியிலோ அல்லது ஈரமான கிரைண்டரிலோ சிறிது தண்ணீர் சேர்த்து மென்மையான பேஸ்டாக அரைக்கவும். மாவின் நிலைத்தன்மை இட்லி மாவைப் போல இருக்க வேண்டும், தண்ணீர் அல்லது மிகவும் கெட்டியாக இருக்கக்கூடாது.
மாவில் உப்பு சேர்த்து, நன்கு கலந்து 7-8 மணி நேரம் புளிக்க விடவும். நான் அதை இரவு முழுவதும் வைத்திருந்தேன்.
இப்போது எங்கள் புளித்த பணியாரம் மாவு தயார். நாங்கள் தாளிக்கிறோம்.
வங்காளம் (சன்னா பருப்பு/கடலை பருப்பு) வெந்நீரில் 10 நிமிடங்கள் ஊற வைக்கவும். தண்ணீரை முழுவதுமாக வடிகட்டி, அதை உலர்த்தி தயாராக வைக்கவும்.
ஒரு கடாயில் எண்ணெயை சூடாக்கி, கடுகு சேர்த்து, அது வதங்கியதும், உளுத்தம் பருப்பு, வங்காளம், பெருங்காயம், மிளகுத்தூள் சேர்த்து, பருப்பை பொன்னிறமாகும் வரை வதக்கவும்.
பின்னர் இறுதியாக நறுக்கிய வெங்காயம், இஞ்சி, பச்சை மிளகாய், கொத்தமல்லி இலைகள், கறிவேப்பிலை மற்றும் தேவையான அளவு உப்பு சேர்க்கவும்.
வெங்காயம் வெளிப்படையானதாக மாறும் வரை மிதமான தீயில் வதக்கவும்.
கலந்த தினை தினை-வரகு-குதிரைவாலி கர குழி பணியாரம்
அடுப்பிலிருந்து இறக்கி ஆற விடவும். சூடு ஆறியதும் வெங்காயக் கலவையை மாவில் சேர்த்து நன்கு கலக்கவும். தேவைப்பட்டால் உப்பு சேர்க்கவும்.
பணியாரம் பாத்திரத்தை சூடாக்கி, அனைத்து துளைகளிலும் 1/2 தேக்கரண்டி எண்ணெயைச் சேர்க்கவும். பதப்படுத்தப்பட்ட பணியாரம் மாவால் துளைகளை நிரப்பவும்.
குறைந்த தீயில் மூடி வைக்கவும். மூலைகள் மேலே தூக்கத் தொடங்கியதும், பணியாரத்தை மறுபுறம் திருப்பி, மூடி இல்லாமல் நடுத்தர தீயில் சமைக்கவும்.
முடிந்ததும், பணியாரத்தை வாணலியில் இருந்து அகற்றி, காரமான காரா சட்னி மற்றும் ஒரு கப் சூடான இஞ்சி ஏலக்காய் தேநீர் அல்லது வடிகட்டி காபியுடன் சூடாகப் பரிமாறவும். (குறிப்புகள் - அது வெந்ததா என்று சரிபார்க்க, பணியாரத்தின் மையத்தில் ஒரு டூத்பிக் குத்தவும், அது சுத்தமாக வெளியே வந்தால், அது வெந்துவிட்டது).</t>
  </si>
  <si>
    <t>https://encrypted-tbn0.gstatic.com/images?q=tbn:ANd9GcS5g0mpU83HDm7yhlEg2xKr6bXmQguTUf9rKA&amp;s</t>
  </si>
  <si>
    <t>Soya Keema Paratha</t>
  </si>
  <si>
    <t>சோயா கீமா பராத்தா</t>
  </si>
  <si>
    <t xml:space="preserve">    Multi grain flour – 1/2 cup,
   Salt – 1/4 tsp,
   Oil – 2 tsp,
   Soya chunks – 1/2 cup,
   Oil – 1 tbsp,
   Onion – 1/2 cup finely chopped,
   Green chilli – 1,
   Ginger garlic paste – 1 tsp,
   Garam masala powder – 1/2 tsp,
   Kitchen King Masala – 1/2 tsp,
   Coriander powder – 2 tsp,
   Coriander leaves,
   Salt to taste,
   Oil or butter for making parathas.
</t>
  </si>
  <si>
    <t>பல தானிய மாவு - 1/2 கப்,
உப்பு - 1/4 தேக்கரண்டி,
எண்ணெய் - 2 தேக்கரண்டி,
சோயா துண்டுகள் - 1/2 கப்,
எண்ணெய் - 1 தேக்கரண்டி,
வெங்காயம் - 1/2 கப் நன்றாக நறுக்கியது,
பச்சை மிளகாய் - 1,
இஞ்சி பூண்டு விழுது - 1 தேக்கரண்டி,
கரம் மசாலா தூள் - 1/2 தேக்கரண்டி,
கிச்சன் கிங் மசாலா - 1/2 தேக்கரண்டி,
கொத்தமல்லி தூள் - 2 தேக்கரண்டி,
கொத்தமல்லி இலைகள்,
சுவைக்கு உப்பு,
பராத்தாக்கள் செய்ய எண்ணெய் அல்லது வெண்ணெய்.</t>
  </si>
  <si>
    <t>Heat oil in a pan, add cumin seeds, when it splutters, add finely chopped onions and green chillies.
Saute until onions turn transparent. Add ginger-garlic paste and saute for a few more minutes. Then add ground soya chunks. 
Add all the spice powder, finely chopped coriander leaves and salt needed. If you do not have kitchen king masala, you can skip it but I recommend it for added taste.
Cook on medium heat until all the moisture evaporates and the mixture is dry. Leave it to cool.
In a bowl, mix together whole wheat flour or multigrain flour, salt and oil. Add warm water little at a time and make a smooth dough just as you prepare for chapati. You can check my how to make chapati for more details.
Divide the dough into 6 equal parts and make smooth balls. Take 1 ball and roll it out into a circle of 4 inch in diameter dusting wheat flour.
Take another ball and roll it out into a circle of 4 inch diameter dusting wheat flour. Now we have 2 small rolled out dough.
Spread 1 – 1 1/2 tbsp of  soya keema mixture on a rolled out dough. Cover it with another rolled out dough and press the edges so the both will stick together well as shown in the picture below.
Now dust flour and roll it out gently into a circle of 6 inches in diameter.
Heat a tawa, when it hot, place the rolled out keema stuffed paratha on it.
When you find bubbles on the surface, apply a tsp of butter or oil (or butter + oil mix) on the top and flip it over to the other side.
Apply another tsp of oil/butter on the other side also and cook both sides until golden spots appear.
Remove from tawa and serve hot. Repeat the same process for the rest of the dough.
As this is quite heavy, you can serve with a cup of curd or dahi and pickle.</t>
  </si>
  <si>
    <t>ஒரு கடாயில் எண்ணெயை சூடாக்கி, சீரகத்தை சேர்த்து, அது வதங்கியதும், இறுதியாக நறுக்கிய வெங்காயம் மற்றும் பச்சை மிளகாய் சேர்க்கவும்.
வெங்காயம் வெளிப்படையானதாக மாறும் வரை வதக்கவும். இஞ்சி-பூண்டு விழுது சேர்த்து இன்னும் சில நிமிடங்கள் வதக்கவும். பின்னர் அரைத்த சோயா துண்டுகள் சேர்க்கவும்.
தேவையான அனைத்து மசாலாப் பொடிகளையும், இறுதியாக நறுக்கிய கொத்தமல்லி இலைகளையும், உப்பு சேர்க்கவும். உங்களிடம் கிச்சன் கிங் மசாலா இல்லையென்றால், நீங்கள் அதைத் தவிர்க்கலாம், ஆனால் கூடுதல் சுவைக்கு நான் அதை பரிந்துரைக்கிறேன்.
மிதமான தீயில் ஈரப்பதம் முழுவதும் ஆவியாகி கலவை வறண்டு போகும் வரை சமைக்கவும். அதை குளிர்விக்க விடவும்.
ஒரு பாத்திரத்தில், முழு கோதுமை மாவு அல்லது பல தானிய மாவு, உப்பு மற்றும் எண்ணெய் ஆகியவற்றை ஒன்றாக கலக்கவும். வெதுவெதுப்பான தண்ணீரை சிறிது சிறிதாக சேர்த்து, சப்பாத்தி தயாரிப்பது போல மென்மையான மாவை உருவாக்கவும். மேலும் விவரங்களுக்கு சப்பாத்தி செய்வது எப்படி என்பதை நீங்கள் பார்க்கலாம்.
மாவை 6 சம பாகங்களாக பிரித்து மென்மையான பந்துகளை உருவாக்கவும். 1 பந்தை எடுத்து, கோதுமை மாவை தூவி 4 அங்குல விட்டம் கொண்ட வட்டமாக உருட்டவும்.
மற்றொரு பந்தை எடுத்து, கோதுமை மாவை தூவி 4 அங்குல விட்டம் கொண்ட வட்டமாக உருட்டவும். இப்போது எங்களிடம் 2 சிறிய உருண்டை மாவு உள்ளது.
உருட்டப்பட்ட மாவின் மீது 1 – 1 1/2 தேக்கரண்டி சோயா கீமா கலவையை பரப்பவும். கீழே உள்ள படத்தில் காட்டப்பட்டுள்ளபடி மற்றொரு உருட்டப்பட்ட மாவால் அதை மூடி, இரண்டும் ஒன்றாக ஒட்டிக்கொள்ளும் வகையில் விளிம்புகளை அழுத்தவும்.
இப்போது மாவை தூவி, 6 அங்குல விட்டம் கொண்ட வட்டமாக மெதுவாக உருட்டவும்.
ஒரு தவாவை சூடாக்கி, அது சூடாகும்போது, ​​உருட்டப்பட்ட கீமா ஸ்டஃப் செய்யப்பட்ட பரோட்டாவை அதன் மீது வைக்கவும்.
மேற்பரப்பில் குமிழ்கள் இருப்பதைக் கண்டால், மேலே ஒரு தேக்கரண்டி வெண்ணெய் அல்லது எண்ணெய் (அல்லது வெண்ணெய் + எண்ணெய் கலவை) தடவி, மறுபுறம் திருப்பிப் போடவும்.
மறுபுறத்திலும் மற்றொரு தேக்கரண்டி எண்ணெய்/வெண்ணெய் தடவி, இருபுறமும் பொன்னிற புள்ளிகள் தோன்றும் வரை சமைக்கவும்.
தவாவிலிருந்து எடுத்து சூடாகப் பரிமாறவும். மீதமுள்ள மாவிற்கும் இதே செயல்முறையை மீண்டும் செய்யவும்.
இது மிகவும் கனமாக இருப்பதால், ஒரு கப் தயிர் அல்லது தஹி மற்றும் ஊறுகாயுடன் பரிமாறலாம்.</t>
  </si>
  <si>
    <t>https://encrypted-tbn0.gstatic.com/images?q=tbn:ANd9GcSpKGeFMOH8jauljTCYis-xuC1vN3Utw3T9ww&amp;s</t>
  </si>
  <si>
    <t>ஒரு கிண்ணத்தில் அல்லது மேசன் ஜாடியில், ஓட்ஸைச் சேர்க்கவும் (நான் பழைய பாணியிலான ஓட்ஸைப் பயன்படுத்தினேன்).
அன்னாசி துண்டுகளைச் சேர்க்கவும். கெட்டியான தேங்காய் பால் மற்றும் தேன் சேர்க்கவும். நான் பயன்படுத்திய அன்னாசி மிகவும் இனிப்பாக இருந்ததால், ஒரு தேக்கரண்டி தேன் மட்டுமே சேர்த்தேன்.
அதன் மேல் துருவிய தேங்காய் மற்றும் பாதாம் சேர்த்து. இரவு முழுவதும் அல்லது 8 மணி நேரம் குளிர்சாதன பெட்டியில் வைக்கவும்.
காலையில் அதன் மேல் அதிக அன்னாசி துண்டுகள் மற்றும் துருவிய தேங்காயை வைக்கவும். அதிக தேங்காய் பால் சேர்த்து உங்கள் விருப்பப்படி நிலைத்தன்மையை சரிசெய்யலாம். மகிழுங்கள்!!</t>
  </si>
  <si>
    <t>https://www.thebewitchinkitchen.com/wp-content/uploads/2017/04/pina-colada-overnight-oats.jpg</t>
  </si>
  <si>
    <t xml:space="preserve">   Couscous – 1/2 cup,
   Water – 1 cup,
   Salt – 1/4 tsp,
   Oil – 1 tbsp,
   Mustard seeds – 1 tsp,
   Cumin seeds – 1 tsp,
   Curry leaves – a sprig,
   Ginger – 1 inch piece,
   Green chilli – 2 slit,
   Carrot – 1 big,
  cashew nuts – 2 tbsp,
   Turmeric powder – 1/4 tsp,
   Salt to taste,
   Fresh lemon juice as needed,
   Fresh Coriander leaves.
</t>
  </si>
  <si>
    <t>கூஸ்கஸ் - 1/2 கப்,
தண்ணீர் - 1 கப்,
உப்பு - 1/4 டீஸ்பூன்,
எண்ணெய் - 1 டீஸ்பூன்,
கடுகு - 1 டீஸ்பூன்,
சீரகம் - 1 டீஸ்பூன்,
கறிவேப்பிலை - ஒரு தளிர்,
இஞ்சி - 1 அங்குல துண்டு,
பச்சை மிளகாய் - 2 துண்டு,
கேரட் - 1 பெரியது,
முந்திரி பருப்பு - 2 டீஸ்பூன்,
மஞ்சள் தூள் - 1/4 டீஸ்பூன்,
சுவைக்கு உப்பு,
தேவைக்கேற்ப புதிய எலுமிச்சை சாறு,
புதிய கொத்தமல்லி இலைகள்.</t>
  </si>
  <si>
    <t>ஒரு கடாயில் எண்ணெயை சூடாக்கி, கடுகு சேர்த்து, அது வெடித்ததும், சீரகத்தை சேர்த்து சில நொடிகள் வதக்கவும்.
பின்னர் கறிவேப்பிலை, இறுதியாக நறுக்கிய இஞ்சி, பச்சை மிளகாய், இறுதியாக நறுக்கிய கேரட், வறுத்த வேர்க்கடலை மற்றும் மஞ்சள் தூள் சேர்க்கவும்.
கேரட் மென்மையாகும் வரை சில நிமிடங்கள் சமைக்கவும்.
எலுமிச்சை சாறு (1 சிறிய எலுமிச்சை சாறு அல்லது தேவைக்கேற்ப), தேவையான உப்பு சேர்த்து அடுப்பை அணைக்கவும். ஒரு முட்கரண்டி கொண்டு கூஸ்கஸை பிசைந்து அதனுடன் சேர்க்கவும். மசாலாப் பொருட்களுடன் நன்கு பூசப்படும்படி நன்கு கலக்கவும். உங்கள் விருப்பத்திற்கு ஏற்ப உப்பு மற்றும் எலுமிச்சை சாற்றை ருசித்து சரிசெய்யவும்.
கொத்தமல்லி இலைகளால் அலங்கரித்து சூடாகப் பரிமாறவும். இது தனியாகவே சுவையாக இருக்கும். விரும்பினால், நீங்கள் விரும்பும் எந்த சட்னியுடனும் இதை சாப்பிடலாம்.</t>
  </si>
  <si>
    <t>https://www.cookingclassy.com/wp-content/uploads/2021/01/lemon-couscous-recipe-3-480x270.jpg</t>
  </si>
  <si>
    <t xml:space="preserve">
மிளகாய் சீஸ் டோஸ்ட்</t>
  </si>
  <si>
    <t xml:space="preserve">   Bread – 4 slices,
   Green Chillies – 1 ,
   Capsicum – 2 tbsp finely chopped,
   Tomato – 1,
   Pepper powder as needed,
   Salt as needed,
   Cheese as needed,
   Garlic – 2 cloves grated,
   Coriander leaves ,
   Olive oil – 1 tsp.</t>
  </si>
  <si>
    <t>ரொட்டி - 4 துண்டுகள்,
பச்சை மிளகாய் - 1 ,
கேப்சிகம் - 2 டேபிள்ஸ்பூன் நன்றாக நறுக்கியது,
தக்காளி - 1,
மிளகு தூள் தேவைக்கேற்ப,
உப்பு தேவைக்கேற்ப,
சீஸ் தேவைக்கேற்ப,
பூண்டு - 2 பல் துருவியது,
கொத்தமல்லி இலைகள் ,
ஆலிவ் எண்ணெய் - 1 டேபிள்ஸ்பூன்.</t>
  </si>
  <si>
    <t>In a bowl mix together, finely chopped capsicum, tomato (remove seeds), green chilli, grated garlic, grated cheese (mozzarella, cheddar or Britannia cheese), coriander leaves, salt, pepper and olive oil.
Spread the mixture on the bread (if preferred cut into triangles ) and grill in a preheated oven until the cheese melts and turn light golden.
Serve hot. You can experiment with toppings of your choice.</t>
  </si>
  <si>
    <t>ஒரு பாத்திரத்தில், இறுதியாக நறுக்கிய கேப்சிகம், தக்காளி (விதைகளை நீக்கவும்), பச்சை மிளகாய், துருவிய பூண்டு, துருவிய சீஸ் (மொஸரெல்லா, செடார் அல்லது பிரிட்டானியா சீஸ்), கொத்தமல்லி இலைகள், உப்பு, மிளகு மற்றும் ஆலிவ் எண்ணெய் ஆகியவற்றை ஒன்றாக கலக்கவும்.
கலவையை ரொட்டியின் மீது தடவி (விரும்பினால் முக்கோணங்களாக வெட்டவும்) சீஸ் உருகி வெளிர் பொன்னிறமாக மாறும் வரை முன்கூட்டியே சூடாக்கப்பட்ட அடுப்பில் கிரில் செய்யவும்.
சூடாக பரிமாறவும். உங்களுக்கு விருப்பமான டாப்பிங்ஸுடன் நீங்கள் பரிசோதனை செய்யலாம்.</t>
  </si>
  <si>
    <t>Cabbage Paratha</t>
  </si>
  <si>
    <t>முட்டைக்கோஸ் பராத்தா</t>
  </si>
  <si>
    <t xml:space="preserve">   multigrain flour – 1 1/2 cup,
   Oil – 2 tsp,
   Salt – a generous pinch,
   Oil – 1 tbsp,
   Cumin seeds – 1 tsp,
   Onion – 3/4 cup finely chopped,
   Cabbage – 1 cup shredded,
   Salt needed,
   Turmeric powder – a pinch,
   Chilli powder – 1/2-3/4 tsp,
   Cumin powder – 1 tsp,
   garam masala powder – 3/4 tsp,
   Oil or butter for cooking parathas.</t>
  </si>
  <si>
    <t>பல தானிய மாவு - 1 1/2 கப்,
எண்ணெய் - 2 தேக்கரண்டி,
உப்பு - ஒரு சிட்டிகை,
எண்ணெய் - 1 தேக்கரண்டி,
சீரகம் - 1 தேக்கரண்டி,
வெங்காயம் - 3/4 கப் நன்றாக நறுக்கியது,
முட்டைக்கோஸ் - 1 கப் துருவியது,
உப்பு தேவை,
மஞ்சள் தூள் - ஒரு சிட்டிகை,
மிளகாய் தூள் - 1/2-3/4 தேக்கரண்டி,
சீரகம் தூள் - 1 தேக்கரண்டி,
கரம் மசாலா தூள் - 3/4 தேக்கரண்டி,
பராத்தா சமைக்க எண்ணெய் அல்லது வெண்ணெய்.</t>
  </si>
  <si>
    <t xml:space="preserve">In a plate or bowl, mix together whole wheat flour, a tsp of oil and salt. Add warm water little at a time and make a soft and smooth dough just like you make for chapati. Keep it covered. Let it rest for 15-20 minutes. In the meantime we will prepare the stuffing.
Heat oil in a pan, add cumin seeds, when it splutters, add very finely chopped onions and saute until onions turn light brown. Add a little salt to speed up the process.
sauteing onions until light brown
Then add finely shredded cabbage.
Add all the spice powder mentioned under ‘Spice Powder’ and salt needed. Cook on medium heat until the cabbage is cooked and the mixture becomes dry. Leave it to cool.
Divide the dough kept aside into 6 equal parts and make smooth balls.
Flatten it slightly, dust wheat flour and roll it out into a circle of 4 inches in diameter. Place 1-2 tbsp of the prepared stuffing, gather the edges together and seal it well as shown in the picture below.
Now roll out into a circle of 6 inches in diameter with the stuffing inside. Repeat the process for the rest of the dough.
Heat a tawa and place a rolled out dough on it. When you see bubbles forming on the surface, apply a tsp of oil and flip it over to the other side.
Apply a little oil on the other side and cook both sides until brown specks appear. Repeat the same process for the rest of the rolled out dough.
Enjoy it with chutney or pickle or thick curd.
It is perfect for both school and office lunch box. Pack it in an aluminium foil for the parathas to stay soft until lunch.
</t>
  </si>
  <si>
    <t>ஒரு தட்டில் அல்லது கிண்ணத்தில், முழு கோதுமை மாவு, ஒரு தேக்கரண்டி எண்ணெய் மற்றும் உப்பு ஆகியவற்றை ஒன்றாக கலக்கவும். வெதுவெதுப்பான நீரை சிறிது சிறிதாக சேர்த்து, சப்பாத்தி செய்வது போல மென்மையான மற்றும் மென்மையான மாவை தயாரிக்கவும். அதை மூடி வைக்கவும். 15-20 நிமிடங்கள் அப்படியே வைக்கவும். இதற்கிடையில், நாங்கள் ஸ்டஃபிங்கை தயார் செய்வோம்.
ஒரு கடாயில் எண்ணெயை சூடாக்கி, சீரகம் சேர்த்து, அது வதங்கியதும், மிக நன்றாக நறுக்கிய வெங்காயத்தைச் சேர்த்து, வெங்காயம் வெளிர் பழுப்பு நிறமாக மாறும் வரை வதக்கவும். செயல்முறையை விரைவுபடுத்த சிறிது உப்பு சேர்க்கவும்.
வெங்காயத்தை வெளிர் பழுப்பு நிறமாக வதக்கவும்
பின்னர் நன்றாக துண்டாக்கப்பட்ட முட்டைக்கோஸைச் சேர்க்கவும்.
‘மசாலாப் பொடி’ என்பதன் கீழ் குறிப்பிடப்பட்டுள்ள அனைத்து மசாலாப் பொடிகளையும் தேவையான உப்பும் சேர்க்கவும். முட்டைக்கோஸ் வேகும் வரை மற்றும் கலவை காயும் வரை மிதமான தீயில் சமைக்கவும். அதை குளிர்விக்க விடவும்.
ஒதுக்கி வைக்கப்பட்ட மாவை 6 சம பாகங்களாகப் பிரித்து மென்மையான பந்துகளை உருவாக்கவும்.
அதை சிறிது தட்டையாக்கி, கோதுமை மாவைத் தூவி, 4 அங்குல விட்டம் கொண்ட வட்டமாக உருட்டவும். தயாரிக்கப்பட்ட ஸ்டஃபிங்கை 1-2 தேக்கரண்டி வைத்து, விளிம்புகளை ஒன்றாகச் சேர்த்து, கீழே உள்ள படத்தில் காட்டப்பட்டுள்ளபடி நன்றாக மூடவும்.
இப்போது ஸ்டஃபிங்கை உள்ளே வைத்து 6 அங்குல விட்டம் கொண்ட வட்டமாக உருட்டவும். மீதமுள்ள மாவிற்கு இந்த செயல்முறையை மீண்டும் செய்யவும்.
ஒரு தவாவை சூடாக்கி, அதன் மீது உருட்டப்பட்ட மாவை வைக்கவும். மேற்பரப்பில் குமிழ்கள் உருவாகுவதை நீங்கள் கண்டதும், ஒரு தேக்கரண்டி எண்ணெயைத் தடவி, மறுபுறம் புரட்டவும்.
மறுபுறம் சிறிது எண்ணெயைத் தடவி, இருபுறமும் பழுப்பு நிற புள்ளிகள் தோன்றும் வரை சமைக்கவும். மீதமுள்ள உருட்டப்பட்ட மாவிற்கும் அதே செயல்முறையை மீண்டும் செய்யவும்.
சட்னி அல்லது ஊறுகாய் அல்லது கெட்டியான தயிருடன் இதை அனுபவிக்கவும்.
பள்ளி மற்றும் அலுவலக மதிய உணவுப் பெட்டிக்கு இது சரியானது. பரோட்டாக்கள் மதிய உணவு வரை மென்மையாக இருக்க அலுமினியத் தாளில் பேக் செய்யவும்.</t>
  </si>
  <si>
    <t>https://cdn3.foodviva.com/static-content/food-images/roti-paratha-recipes/cabbage-paratha/cabbage-paratha.jpg</t>
  </si>
  <si>
    <t>Healthy Homemade Granola</t>
  </si>
  <si>
    <t>ஆரோக்கியமான வீட்டில் தயாரிக்கப்பட்ட கிரானோலா</t>
  </si>
  <si>
    <t xml:space="preserve">
   Old fashioned Oats -  1 1/4 cup,
   Almonds – 1/2 cup chopped,
   Pecans – 2 tbsp chopped,
   Extra virgin coconut oil – 2 tbsp,
   Salt – a pinch,
   Cinnamon powder – a pinch,
   Maple syrup – 2 1/2 tbsp,
   Vanilla extract – 3/4 tsp,
   Raisins – 1/4 cup,
   Dried Cranberries – 1/3 cup.</t>
  </si>
  <si>
    <t>பழைய பாணியிலான ஓட்ஸ் - 1 1/4 கப்,
பாதாம் - 1/2 கப் நறுக்கியது,
பீக்கன் - 2 டேபிள் ஸ்பூன் நறுக்கியது,
கூடுதல் கன்னி தேங்காய் எண்ணெய் - 2 டேபிள் ஸ்பூன்,
உப்பு - ஒரு சிட்டிகை,
இலவங்கப்பட்டை தூள் - ஒரு சிட்டிகை,
மேப்பிள் சிரப் - 2 1/2 டேபிள் ஸ்பூன்,
வெண்ணிலா சாறு - 3/4 டேபிள் ஸ்பூன்,
திராட்சை - 1/4 கப்,
உலர்ந்த கிரான்பெர்ரி - 1/3 கப்.</t>
  </si>
  <si>
    <t>Spread it on a parchment paper lined baking tray and bake in a pre-heat oven at 180 degrees C for 20-30 minutes. Give it a mix after the first 10 minutes of baking so that the oats does not get burnt.
Bake until the oats slightly browns. Allow it to cool. Then add chopped cranberries, raisins and mix well. Enjoy it as such or with milk or yogurt or ice cream.
Store it in an air tight container. Stays fresh for 15-20 days at room temperature.</t>
  </si>
  <si>
    <t>காகிதத்தோல் பூசப்பட்ட பேக்கிங் தட்டில் பரப்பி, 180 டிகிரி செல்சியஸில் 20-30 நிமிடங்கள் முன்கூட்டியே சூடாக்கப்பட்ட அடுப்பில் சுடவும். பேக்கிங் செய்த முதல் 10 நிமிடங்களுக்குப் பிறகு ஓட்ஸ் எரியாமல் இருக்க அதை கலக்கவும்.
ஓட்ஸ் சிறிது பழுப்பு நிறமாக மாறும் வரை சுடவும். அதை குளிர்விக்க விடவும். பின்னர் நறுக்கிய கிரான்பெர்ரி, திராட்சை சேர்த்து நன்கு கலக்கவும். பால் அல்லது தயிர் அல்லது ஐஸ்கிரீமுடன் அப்படியே அனுபவிக்கவும்.
காற்று புகாத கொள்கலனில் சேமிக்கவும். அறை வெப்பநிலையில் 15-20 நாட்கள் புதியதாக இருக்கும்.</t>
  </si>
  <si>
    <t>https://cdn.loveandlemons.com/wp-content/uploads/2020/01/granola.jpg</t>
  </si>
  <si>
    <t>Sorghum Dosa</t>
  </si>
  <si>
    <t>சோளம் தோசை</t>
  </si>
  <si>
    <t xml:space="preserve">   Sorghum – 1 cup,
   Par boiled Idli Rice – 1/4 cup,
   Whole Urad dal - 1/4 cup,
   Fenugreek seeds – 1 tsp,
   Salt to taste,
   Oil for making dosas.</t>
  </si>
  <si>
    <t>சோளம் - 1 கப்,
வேகவைத்த இட்லி அரிசி - 1/4 கப்,
முழு உளுத்தம் பருப்பு - 1/4 கப்,
வெந்தயம் விதைகள் - 1 டீஸ்பூன்,
சுவைக்கு உப்பு,
தோசை செய்ய எண்ணெய்.</t>
  </si>
  <si>
    <t>Heat a tawa, when it is hot, pour a ladle of batter and spread it in a circular motion.
Drizzle a tsp of oil around the dosa, when the corners start lifting up, flip it to the other side, drizzle another 1/2 tsp of oil and cook until done.
Remove from tawa and serve hot with any chutney of your choice.
If you want to make cholam dosai using chola maavu – for 2 cups of cholam maavu, soak 1/4 cup of whole skinless urad dal for 2 hours. Grind it until fluffy in a wet grinder. Then mix the cholam flour, needed salt with the urad dal batter and leave it to ferment. This measurement is suited, if you are going to use the wet grinder for grinding urad dal.
Use more than 1/4 cup of urad dal, if you are going to use the mixie/blender for grinding.</t>
  </si>
  <si>
    <t>ஒரு தவாவை சூடாக்கி, அது சூடானதும், ஒரு கரண்டி மாவை ஊற்றி வட்ட இயக்கத்தில் பரப்பவும்.
தோசையைச் சுற்றி ஒரு டீஸ்பூன் எண்ணெயைத் தடவவும், மூலைகள் மேலே எழத் தொடங்கியதும், அதை மறுபுறம் திருப்பி, மற்றொரு 1/2 டீஸ்பூன் எண்ணெயைத் தூவி, சமைக்கும் வரை சமைக்கவும்.
தவாவிலிருந்து எடுத்து, உங்களுக்கு விருப்பமான எந்த சட்னியுடன் சூடாகப் பரிமாறவும்.
சோளம் மாவைப் பயன்படுத்தி சோளம் தோசை செய்ய விரும்பினால் - 2 கப் சோளம் மாவுக்கு, 1/4 கப் முழு தோல் நீக்கப்பட்ட உளுத்தம் பருப்பை 2 மணி நேரம் ஊறவைக்கவும். ஈரமான கிரைண்டரில் பஞ்சுபோன்ற வரை அரைக்கவும். பின்னர் சோளம் மாவு, தேவையான உப்பு ஆகியவற்றை உளுத்தம் பருப்பு மாவுடன் கலந்து புளிக்க விடவும். நீங்கள் உளுத்தம் பருப்பை அரைக்க ஈரமான கிரைண்டரைப் பயன்படுத்தப் போகிறீர்கள் என்றால், இந்த அளவீடு பொருத்தமானது.
அரைக்க மிக்ஸி/பிளெண்டரைப் பயன்படுத்தப் போகிறீர்கள் என்றால், 1/4 கப் உளுத்தம் பருப்பை விட அதிகமாகப் பயன்படுத்தவும்.</t>
  </si>
  <si>
    <t>https://encrypted-tbn0.gstatic.com/images?q=tbn:ANd9GcTRnYe_tldPL2iMlNQ7kCM9Ip93dPO2hOz_kQ&amp;s</t>
  </si>
  <si>
    <t>Granola Bars</t>
  </si>
  <si>
    <t>கிரானோலா பார்கள்</t>
  </si>
  <si>
    <t xml:space="preserve">   Rolled Oats-Old fashioned Rolled Oats – 2 1/2 cup,
   Almonds – 1/2 cup chopped,
   Honey – 1/3 cup,
   Butter – 1/4 cup,
   Brown Sugar – 1/4 cup,
   Salt – a pinch,
   Vanilla essence – 1 tsp,
   Dried Cranberries – 1/2 cup,
   Raisins – 3 tbsp,
   Mini chocolate chips – 1/4 cup .</t>
  </si>
  <si>
    <t>ஓட்ஸ் உருட்டப்பட்டது - பழைய பாணியில் உருட்டப்பட்டது - 2 1/2 கப்,
பாதாம் - 1/2 கப் நறுக்கியது,
தேன் - 1/3 கப்,
வெண்ணெய் - 1/4 கப்,
பிரவுன் சர்க்கரை - 1/4 கப்,
உப்பு - ஒரு சிட்டிகை,
வெண்ணிலா எசன்ஸ் - 1 தேக்கரண்டி,
உலர்ந்த கிரான்பெர்ரி - 1/2 கப்,
திராட்சை - 3 தேக்கரண்டி,
மினி சாக்லேட் சிப்ஸ் - 1/4 கப்.</t>
  </si>
  <si>
    <t>Chop almonds roughly into 3 or 4 pieces.
Coarsely chop dried cranberries and keep it ready.
Line bottom and sides of a 9 inch pan with parchment paper and keep it ready.
Dry roast oats until lightly toasted. Dry roast nuts also separately. You can also bake for 5 minutes at 180 degree C until lightly toasted.
toasting oats and nuts 
In a bowl combine oats and nuts together.
oats, nuts, dry fruit, chocolate chips 
In a pan, add butter, honey, brown sugar, salt, vanilla essence and cook on medium heat.
Once it starts to bubble, reduce the heat, cook for another 1 minute and switch off the heat.
Add the toasted nuts and oats to the above and mix well until well coated. Leave it to cool for 5 minutes.
Add cranberries, raisins, 1/4 cup chocolate chips and mix well. I had some leftover candied cherries, so I added that also. (As I told you this granola bar recipe is very flexible, you can add any nuts or dried fruits of your choice). If the chocolate chips melt, it doesn’t matter.
Transfer the mixture into the prepared pan and press it hard with a spatula or with your hands. If you do not press it well, the bars will not hold together and will fall apart. So this step is very important.
You can scatter the remaining 2 tbsp chocolate chips on top and refrigerate for 2-3 hours.
After 2 – 3 hours, lift the parchment paper, remove the block and cut it into bars and enjoy.</t>
  </si>
  <si>
    <t>பாதாமை தோராயமாக 3 அல்லது 4 துண்டுகளாக நறுக்கவும்.
உலர்ந்த கிரான்பெர்ரிகளை கரடுமுரடாக நறுக்கி தயாராக வைக்கவும்.
9 அங்குல பாத்திரத்தின் அடிப்பகுதி மற்றும் பக்கங்களை காகிதத்தோல் கொண்டு கோடு போட்டு தயாராக வைக்கவும்.
ஓட்ஸை லேசாக வறுக்கும் வரை உலர வைக்கவும். கொட்டைகளையும் தனித்தனியாக உலர வைக்கவும். 180 டிகிரி செல்சியஸில் லேசாக வறுக்கும் வரை 5 நிமிடங்கள் சுடலாம்.
ஓட்ஸ் மற்றும் கொட்டைகளை வறுக்கவும்
ஒரு கிண்ணத்தில் ஓட்ஸ் மற்றும் கொட்டைகளை ஒன்றாக இணைக்கவும்.
ஓட்ஸ், கொட்டைகள், உலர் பழங்கள், சாக்லேட் சிப்ஸ்
ஒரு பாத்திரத்தில், வெண்ணெய், தேன், பழுப்பு சர்க்கரை, உப்பு, வெண்ணிலா எசன்ஸ் சேர்த்து மிதமான தீயில் சமைக்கவும்.
அது குமிழ ஆரம்பித்ததும், தீயைக் குறைத்து, மேலும் 1 நிமிடம் சமைக்கவும், தீயை அணைக்கவும்.
மேலே உள்ளவற்றுடன் வறுத்த கொட்டைகள் மற்றும் ஓட்ஸைச் சேர்த்து நன்கு பூசும் வரை நன்கு கலக்கவும். 5 நிமிடங்கள் ஆற விடவும்.
கிரான்பெர்ரி, திராட்சை, 1/4 கப் சாக்லேட் சிப்ஸ் சேர்த்து நன்கு கலக்கவும். என்னிடம் கொஞ்சம் மிச்சம் இருந்ததால், அதையும் சேர்த்தேன். (இந்த கிரானோலா பார் ரெசிபி மிகவும் நெகிழ்வானது என்று நான் சொன்னது போல், நீங்கள் உங்களுக்கு விருப்பமான எந்த கொட்டைகள் அல்லது உலர்ந்த பழங்களையும் சேர்க்கலாம்). சாக்லேட் சிப்ஸ் உருகினால், அது ஒரு பொருட்டல்ல.
கலவையை தயாரிக்கப்பட்ட பாத்திரத்தில் மாற்றி, ஒரு ஸ்பேட்டூலா அல்லது உங்கள் கைகளால் கடினமாக அழுத்தவும். நீங்கள் அதை நன்றாக அழுத்தவில்லை என்றால், பார்கள் ஒன்றாகப் பிடிக்காது, உடைந்து விழும். எனவே இந்த படி மிகவும் முக்கியமானது.
மீதமுள்ள 2 டேபிள்ஸ்பூன் சாக்லேட் சிப்ஸை மேலே தூவி 2-3 மணி நேரம் குளிர்சாதன பெட்டியில் வைக்கலாம்.
2 – 3 மணி நேரத்திற்குப் பிறகு, காகிதத்தோலைத் தூக்கி, கட்டையை அகற்றி, அதைக் கம்பிகளாக வெட்டி மகிழுங்கள்.</t>
  </si>
  <si>
    <t>https://www.wellplated.com/wp-content/uploads/2014/02/Almond-Orange-Healthy-Granola-Bars-with-Coconut-and-Honey.jpg</t>
  </si>
  <si>
    <t xml:space="preserve">   Pancharatna dal - 1/2 cup,
   Rice – 1/2 cup,
   Green chilli - 3,
   Ginger – 1 inch piece,
   Salt needed,
   Onion – 1,
   Grated coconut – 2 tbsp,
   Curry leaves – a sprig,
   Coriander leaves,
   Oil for making adais.</t>
  </si>
  <si>
    <t>பஞ்சரத்ன பருப்பு - 1/2 கப்,
அரிசி - 1/2 கப்,
பச்சை மிளகாய் - 3,
இஞ்சி - 1 அங்குல துண்டு,
உப்பு தேவை,
வெங்காயம் - 1,
தேங்காய் துருவல் - 2 டீஸ்பூன்,
கறிவேப்பிலை - ஒரு தளிர்,
கொத்தமல்லி இலை,
அடை செய்ய எண்ணெய்.</t>
  </si>
  <si>
    <t>அரிசி மற்றும் பஞ்சரத்ன பருப்பை கழுவி 2-3 மணி நேரம் ஊற வைக்கவும். பச்சை மிளகாய், இஞ்சி மற்றும் உப்பு சேர்த்து தேவையான தண்ணீர் சேர்த்து அரைக்கவும். மாவு மிகவும் கெட்டியாகவோ அல்லது அதிக நீர்த்தவோ கூடாது. அது நடுத்தர நிலைத்தன்மையுடன் இருக்க வேண்டும்.
மாவுடன் இறுதியாக நறுக்கிய வெங்காயம், மென்மையான கறிவேப்பிலை, துருவிய தேங்காய் மற்றும் இறுதியாக நறுக்கிய கொத்தமல்லி இலைகளைச் சேர்க்கவும். மாவை புளிக்க தேவையில்லை.
ஒரு தவாவை சூடாக்கி, தவா சூடானதும், மேலே காட்டப்பட்டுள்ளபடி ஒரு கரண்டி மாவை பரப்பவும். அடையில் 3-4 துளைகளை ஏற்படுத்தி, அடையைச் சுற்றி ஒரு தேக்கரண்டி எண்ணெயையும், துளைகளில் சில துளிகளையும் தெளிக்கவும்.
மூலைகள் மேலே எழும்பியிருப்பதைக் கண்டதும், அதை மறுபுறம் திருப்பிப் போட்டு, அரை டீஸ்பூன் எண்ணெயைத் தடவி, இருபுறமும் பொன்னிறமாகும் வரை சமைக்கவும்.
அடுப்பிலிருந்து இறக்கி, சட்னி, சாம்பார் அல்லது அவியலுடன் சூடாகப் பரிமாறவும்.</t>
  </si>
  <si>
    <t>https://img-global.cpcdn.com/recipes/98a5573fa6ba9ffe/240x320cq70/photo.jpg</t>
  </si>
  <si>
    <t xml:space="preserve">   Semolina – 1 cup,
   Curd – 1 cup,
   Water – 1/4 cup,
   Onion – 1,
   Ginger – 1 inch piece,
   Green chilli – 1,
   Vegetables – 1 cup finely chopped,
   Coriander leaves ,
   Sesame seeds – 1 tbsp,
   Salt to taste,
   Baking powder - 1/2 tsp,
   Baking soda – 1/2 tsp,
   Oil for greasing the cake tin,
   Cumin powder - 1/2 tsp,
   Garam masala – 1/2 tsp,
   Turmeric powder – 1/4 tsp,
   Chilli powder – 1/2 tsp,
   Oil – 2 tbsp,
   Cumin seeds – 1/2 tsp,
   Mustard seeds – 1 tsp.</t>
  </si>
  <si>
    <t>ரவை - 1 கப்,
தயிர் - 1 கப்,
தண்ணீர் - 1/4 கப்,
வெங்காயம் - 1,
இஞ்சி - 1 அங்குல துண்டு,
பச்சை மிளகாய் - 1,
காய்கறிகள் - 1 கப் பொடியாக நறுக்கியது,
கொத்தமல்லி இலைகள்,
எள் - 1 டீஸ்பூன்,
சுவைக்கு உப்பு,
பேக்கிங் பவுடர் - 1/2 டீஸ்பூன்,
பேக்கிங் சோடா - 1/2 டீஸ்பூன்,
கேக் டின்னில் நெய் தடவ எண்ணெய்,
சீரகப் பொடி - 1/2 டீஸ்பூன்,
கரம் மசாலா - 1/2 டீஸ்பூன்,
மஞ்சள் தூள் - 1/4 டீஸ்பூன்,
மிளகாய் பொடி - 1/2 டீஸ்பூன்,
எண்ணெய் - 2 டீஸ்பூன்,
சீரகம் - 1/2 டீஸ்பூன்,
கடுகு - 1 டீஸ்பூன்.</t>
  </si>
  <si>
    <t>In a bowl, add 1 cup of semolina. I used the regular rava used for making rava upma.
Add 1 cup of curd.
Mix well. Let it sit for 10 minutes. In the meantime, we will prepare the seasoning.
Vegetables chopped and kept ready.
Heat oil in a pan, add mustard seeds and cumin seeds, when it splutters, add onions, grated ginger and green chillies. Saute until onions turn transparent.
Add the rest of the vegetables and saute just for 3-4 seconds. (you do not have to cook the vegetables as we are going to bake the rava cake).
Add all the spice powder, salt needed, mix well and remove from heat. Let it cool.
Add to the rava + yogurt mixture. Taste the mixture and adjust salt and other spice powder.
Add water needed. The consistency should be a little thick. I added 1/4 cup + 1 tbsp of water. Then add 1 1/2 tbsp of sesame seeds, baking soda, baking powder and mix well.
Pour the mixture immediately into the prepared tin, after adding baking powder and soda.
Sprinkle little sesame seeds on the top and bake in a pre-heated oven for 30-35 minutes or until a toothpick inserted in the center of the cake comes out clean.
Once it cools, remove the cake from the tray, slice and enjoy savory semolina cake with hot coffee or ginger cardamom tea!! It taste delicious as such, but if preferred, you can have it with any chutney of your choice.
For reheating it, you can toast it in a tawa before serving or microwave it after sprinkling little water on top of it.</t>
  </si>
  <si>
    <t>ஒரு கிண்ணத்தில், 1 கப் ரவை சேர்க்கவும். ரவை உப்மா செய்ய நான் வழக்கமாகப் பயன்படுத்தும் ரவையைப் பயன்படுத்தினேன்.
1 கப் தயிர் சேர்க்கவும்.
நன்றாக கலக்கவும். 10 நிமிடங்கள் அப்படியே வைக்கவும். இதற்கிடையில், நாங்கள் தாளிக்க தேவையான பொருட்களை தயார் செய்வோம்.
காய்கறிகளை நறுக்கி தயாராக வைத்திருங்கள்.
ஒரு கடாயில் எண்ணெயை சூடாக்கி, கடுகு மற்றும் சீரகத்தை சேர்த்து, அது வதங்கியதும், வெங்காயம், துருவிய இஞ்சி மற்றும் பச்சை மிளகாய் சேர்க்கவும். வெங்காயம் வெளிப்படையானதாக மாறும் வரை வதக்கவும்.
மீதமுள்ள காய்கறிகளைச் சேர்த்து 3-4 வினாடிகள் வதக்கவும். (நாம் ரவா கேக்கை சுடப் போவதால் காய்கறிகளை சமைக்க வேண்டியதில்லை).
தேவையான அளவு மசாலாப் பொடி, உப்பு சேர்த்து, நன்கு கலந்து, அடுப்பிலிருந்து நீக்கவும். அதை ஆற விடவும்.
ரவா + தயிர் கலவையில் சேர்க்கவும். கலவையை ருசித்து, உப்பு மற்றும் பிற மசாலாப் பொடிகளை சரிசெய்யவும்.
தேவையான தண்ணீரைச் சேர்க்கவும். நிலைத்தன்மை சிறிது கெட்டியாக இருக்க வேண்டும். நான் 1/4 கப் + 1 டேபிள்ஸ்பூன் தண்ணீர் சேர்த்தேன். பின்னர் 1 1/2 டேபிள்ஸ்பூன் எள், பேக்கிங் சோடா, பேக்கிங் பவுடர் சேர்த்து நன்கு கலக்கவும்.
பேக்கிங் பவுடர் மற்றும் சோடாவைச் சேர்த்த பிறகு, உடனடியாக தயாரிக்கப்பட்ட டின்னில் கலவையை ஊற்றவும்.
மேலே சிறிது எள்ளைத் தூவி, முன்கூட்டியே சூடாக்கப்பட்ட அடுப்பில் 30-35 நிமிடங்கள் அல்லது கேக்கின் மையத்தில் செருகப்பட்ட ஒரு டூத்பிக் சுத்தமாக வெளியே வரும் வரை சுடவும்.
அது குளிர்ந்ததும், தட்டில் இருந்து கேக்கை அகற்றி, துண்டுகளாக நறுக்கி, சூடான காபி அல்லது இஞ்சி ஏலக்காய் தேநீருடன் சுவையான ரவை கேக்கை அனுபவிக்கவும்!! இது சுவையாக இருக்கும், ஆனால் விரும்பினால், நீங்கள் விரும்பும் எந்த சட்னியுடனும் இதை சாப்பிடலாம்.
மீண்டும் சூடுபடுத்த, பரிமாறுவதற்கு முன் தவாவில் டோஸ்ட் செய்யலாம் அல்லது அதன் மேல் சிறிது தண்ணீர் தெளித்த பிறகு மைக்ரோவேவில் வைக்கலாம்.</t>
  </si>
  <si>
    <t xml:space="preserve">   Bread slices – 4,
   Boiled potato – 1 big,
   Green chillies – 1 ,
   Salt to taste,
   Chilli Powder – 1/2 tsp,
   Turmeric Powder – a pinch,
   Cumin Powder – 1/2 tsp,
   Garam Masala Powder – 1/2 tsp,
   Butter or Ghee for toasting.</t>
  </si>
  <si>
    <t>ரொட்டி துண்டுகள் - 4,
வேகவைத்த உருளைக்கிழங்கு - 1 பெரியது,
பச்சை மிளகாய் - 1 ,
ருசிக்க உப்பு,
மிளகாய் தூள் - 1/2 தேக்கரண்டி,
மஞ்சள் தூள் - ஒரு சிட்டிகை,
சீரக தூள் - 1/2 தேக்கரண்டி,
கரம் மசாலா தூள் - 1/2 தேக்கரண்டி,
டோஸ்ட் செய்வதற்கு வெண்ணெய் அல்லது நெய்.</t>
  </si>
  <si>
    <t>Butter one side of the bread. On the other side apply the prepared potato paste.
Heat a tawa, toast the buttered side first until golden brown. Drizzle or apply little melted butter or ghee (clarified butter) on top of the potato paste and then flip it over to the other side. Toast the potato side on medium heat until roasted and golden brown.
Enjoy hot with tea or even as a breakfast.</t>
  </si>
  <si>
    <t>ரொட்டியின் ஒரு பக்கத்தில் வெண்ணெய் தடவவும். மறுபுறம் தயாரிக்கப்பட்ட உருளைக்கிழங்கு விழுதை தடவவும்.
ஒரு தவாவை சூடாக்கி, வெண்ணெய் தடவிய பக்கத்தை முதலில் பொன்னிறமாகும் வரை வறுக்கவும். உருளைக்கிழங்கு விழுதின் மேல் சிறிது உருகிய வெண்ணெய் அல்லது நெய் (தெளிவுபடுத்தப்பட்ட வெண்ணெய்) தடவவும் அல்லது தடவி, பின்னர் அதை மறுபுறம் திருப்பி வைக்கவும். உருளைக்கிழங்கு பக்கத்தை மிதமான தீயில் வறுத்து பொன்னிறமாகும் வரை வறுக்கவும்.
தேநீருடன் அல்லது காலை உணவாக கூட சூடாக அனுபவிக்கவும்.</t>
  </si>
  <si>
    <t>https://www.vegrecipesofindia.com/wp-content/uploads/2014/03/aloo-masala-grilled-sandwich-1-500x375.jpg</t>
  </si>
  <si>
    <t>ரவா உத்தப்பம்</t>
  </si>
  <si>
    <t xml:space="preserve">   Semolina – 1/3 cup,
   Curd - 1/3 cup,
   Salt to taste,
   Baking soda – a pinch,
   Onion – 1,
   Green chilli - 1,
   Tomato – 1 ,
   Coriander leaves ,
   Oil for making uthappams.</t>
  </si>
  <si>
    <t>ரவை - 1/3 கப்,
தயிர் - 1/3 கப்,
ருசிக்க உப்பு,
பேக்கிங் சோடா - ஒரு சிட்டிகை,
வெங்காயம் - 1,
பச்சை மிளகாய் - 1,
தக்காளி - 1 ,
கொத்தமல்லி இலை ,
உத்தப்பம் செய்ய எண்ணெய்.</t>
  </si>
  <si>
    <t>Heat a tawa/griddle, when it is hot, pour a ladle of batter and spread it lightly. Drizzle a tsp of oil around the uttapam. The pancake/uttapam should be thick.
Top the uttapam with the prepared toppings and cook covered on medium heat.
Once the bottom has turned golden brown (you can lift it with a spatula and check), drizzle half a tsp of oil over the toppings (to prevent it from sticking to the tawa) and flip the pancake to the other side.
When the other side is cooked, remove the oothapam from the tawa and serve hot with instant tomato chutney.</t>
  </si>
  <si>
    <t>ஒரு தவா/கிரிடிலை சூடாக்கி, அது சூடானதும், ஒரு கரண்டி மாவை ஊற்றி லேசாக பரப்பவும். உத்தப்பத்தைச் சுற்றி ஒரு தேக்கரண்டி எண்ணெயைத் தெளிக்கவும். பான்கேக்/உத்தப்பம் கெட்டியாக இருக்க வேண்டும்.
உத்தப்பத்தின் மேல் தயாரிக்கப்பட்ட டாப்பிங்ஸுடன் சேர்த்து மிதமான தீயில் மூடி வைக்கவும்.
அடிப்பகுதி பொன்னிறமாக மாறியதும் (நீங்கள் அதை ஒரு ஸ்பேட்டூலாவால் தூக்கி சரிபார்க்கலாம்), டாப்பிங்ஸின் மீது அரை தேக்கரண்டி எண்ணெயைத் தூவி (அது தவாவில் ஒட்டாமல் இருக்க) பான்கேக்கை மறுபுறம் திருப்பி வைக்கவும்.
மறுபக்கம் வெந்ததும், ஊத்தப்பத்தை தவாவில் இருந்து அகற்றி, உடனடி தக்காளி சட்னியுடன் சூடாகப் பரிமாறவும்.</t>
  </si>
  <si>
    <t>Polenta with Vegetables</t>
  </si>
  <si>
    <t>காய்கறிகளுடன் பொலெண்டா</t>
  </si>
  <si>
    <t xml:space="preserve">   Polenta - 1/4 cup,
   Butter – 1 tsp,
   Salt to taste,
   Onion – 1/2 cup chopped,
   Ginger – 1 inch piece ,
   Carrot - 1/2 cup chopped,
   Capsicum – 1/3 cup chopped,
   Sweet Corn - 1/4 cup,
   Beans – 5-6,
   Tomato - 1,
   Salt to taste,
   Oil – 2 tbsp,
   Mustard seeds – 1 tsp,
   Urad dal – 1/2 tsp,
   Red Chilli - 1,
   Hing – a pinch,
   Green Chillies – 2 ,
   Curry Leaves – a sprig,
   Coriander Leaves.</t>
  </si>
  <si>
    <t>பொலெண்டா - 1/4 கப்,
வெண்ணெய் - 1 தேக்கரண்டி,
ருசிக்க உப்பு,
வெங்காயம் - 1/2 கப் நறுக்கியது,
இஞ்சி - 1 அங்குல துண்டு,
கேரட் - 1/2 கப் நறுக்கியது,
கேப்சிகம் - 1/3 கப் நறுக்கியது,
இனிப்பு சோளம் - 1/4 கப்,
பீன்ஸ் - 5-6,
தக்காளி - 1,
ருசிக்க உப்பு,
எண்ணெய் - 2 தேக்கரண்டி,
கடுகு - 1 தேக்கரண்டி,
உளுத்தம் பருப்பு - 1/2 தேக்கரண்டி,
சிவப்பு மிளகாய் - 1,
கீல் - ஒரு சிட்டிகை,
பச்சை மிளகாய் - 2 ,
கறிவேப்பிலை - ஒரு தளிர்,
கொத்தமல்லி இலைகள்.</t>
  </si>
  <si>
    <t>Chop all the vegetables finely.
Bring 1 cup of water to boil in a pan. When water starts boiling, add salt needed, lower the heat and add polenta steadily, stirring constantly. Cook stirring continuously until polenta is thickened. Add a tsp of butter and mix well. You can also add little dried herbs if preferred.
Now pour it into a greased baking tin and smooth out evenly with a spoon or spatula. As it cools, polenta will set. After it cools completely, you can refrigerate it for an hour or until firm.
Invert and remove the set polenta on a tray and cut the polenta into small squares/cubes as shown below. Keep it aside.
Heat oil in a pan, add mustard seeds, when it splutters, add urad dal, hing, red chillies, green chillies and curry leaves.
When dal turns golden brown, add finely chopped onion and ginger. Saute until onion turns transparent.
Then add beans, carrot, sweet corn and cook covered until tender. Sprinkle water if needed.
Add chopped tomatoes, capsicum and salt needed. Cook for a few more minutes until tomatoes become mushy.
Add the polenta squares and mix until well combined.
Garnish with coriander leaves and serve hot. You do not need any side dish for this. If needed you can have it with tomato chutney or sauce.</t>
  </si>
  <si>
    <t>அனைத்து காய்கறிகளையும் நன்றாக நறுக்கவும்.
ஒரு பாத்திரத்தில் 1 கப் தண்ணீரை கொதிக்க வைக்கவும். தண்ணீர் கொதிக்க ஆரம்பித்ததும், தேவையான உப்பு சேர்த்து, தீயை குறைத்து, பொலெண்டாவை தொடர்ந்து சேர்த்து, தொடர்ந்து கிளறி விடுங்கள். பொலெண்டா கெட்டியாகும் வரை தொடர்ந்து கிளறி சமைக்கவும். ஒரு தேக்கரண்டி வெண்ணெய் சேர்த்து நன்கு கலக்கவும். விரும்பினால் சிறிது உலர்ந்த மூலிகைகளையும் சேர்க்கலாம்.
இப்போது அதை நெய் தடவிய பேக்கிங் டின்னில் ஊற்றி, ஒரு ஸ்பூன் அல்லது ஸ்பேட்டூலாவைப் பயன்படுத்தி சமமாக மென்மையாக்குங்கள். அது குளிர்ந்ததும், பொலெண்டா உறுதியாகிவிடும். அது முழுமையாக குளிர்ந்த பிறகு, ஒரு மணி நேரம் அல்லது கெட்டியாகும் வரை குளிர்சாதன பெட்டியில் வைக்கலாம்.
ஒரு தட்டில் செட் பொலெண்டாவை தலைகீழாக மாற்றி எடுத்து, கீழே காட்டப்பட்டுள்ளபடி பொலெண்டாவை சிறிய சதுரங்கள்/க்யூப்களாக வெட்டவும். அதை ஒதுக்கி வைக்கவும்.
ஒரு கடாயில் எண்ணெயை சூடாக்கி, கடுகு சேர்த்து, அது வதங்கியதும், உளுத்தம் பருப்பு, பெருங்காயம், சிவப்பு மிளகாய், பச்சை மிளகாய் மற்றும் கறிவேப்பிலை சேர்க்கவும்.
பருப்பு பொன்னிறமாக மாறியதும், இறுதியாக நறுக்கிய வெங்காயம் மற்றும் இஞ்சி சேர்க்கவும். வெங்காயம் வெளிப்படையானதாக மாறும் வரை வதக்கவும்.
பின்னர் பீன்ஸ், கேரட், ஸ்வீட் கார்ன் சேர்த்து மென்மையாகும் வரை மூடி வைக்கவும். தேவைப்பட்டால் தண்ணீர் தெளிக்கவும்.
நறுக்கிய தக்காளி, கேப்சிகம் மற்றும் உப்பு சேர்க்கவும். தக்காளி மென்மையாகும் வரை இன்னும் சில நிமிடங்கள் சமைக்கவும்.
பொலெண்டா சதுரங்களைச் சேர்த்து நன்கு கலக்கும் வரை கலக்கவும்.
கொத்தமல்லி இலைகளால் அலங்கரித்து சூடாகப் பரிமாறவும். இதற்கு உங்களுக்கு எந்த சைடு டிஷ்ஷும் தேவையில்லை. தேவைப்பட்டால் தக்காளி சட்னி அல்லது சாஸுடன் சேர்த்து சாப்பிடலாம்.</t>
  </si>
  <si>
    <t>https://encrypted-tbn0.gstatic.com/images?q=tbn:ANd9GcRoSHUchGbMGRkOX1cGT8LE6HJSvwhXxbrsZw&amp;s</t>
  </si>
  <si>
    <t>Lacha Paratha</t>
  </si>
  <si>
    <t>லச்சா பராத்தா</t>
  </si>
  <si>
    <t xml:space="preserve">   Whole Wheat flour - 1 1/2 cup,
   Oil - 1 1/2 tbsp,
   Salt – 1/2 tsp flat,
   Warm water to knead the dough,
   Ghee/clarified – 1-2 tbsp,
   Oil/ghee for cooking parathas,
   Wheat flour for dusting.</t>
  </si>
  <si>
    <t>முழு கோதுமை மாவு - 1 1/2 கப்,
எண்ணெய் - 1 1/2 டீஸ்பூன்,
உப்பு - 1/2 டீஸ்பூன் தட்டையானது,
மாவை பிசைய வெதுவெதுப்பான நீர்,
நெய்/தெளிவுபடுத்தப்பட்டது – 1-2 டீஸ்பூன்,
பராத்தாக்களை சமைக்க எண்ணெய்/நெய்,
தூவுவதற்கு கோதுமை மாவு.</t>
  </si>
  <si>
    <t>In a large bowl or big plate, mix together whole wheat flour, oil and salt.
Add warm water little at a time and make a medium soft dough. Knead well with the heel of your hands and keep it covered with a damp cloth for 30 minutes.
Knead again to a smooth dough. Divide the dough into 6 equal parts and make smooth balls out of it.
Slightly flatten the ball, dust wheat flour and roll it out into a large roti of medium thickness (around 6 inches in diameter).
Apply a little ghee on the surface of the roti and spread it all over the roti with your fingers or a pastry brush.
Sprinkle flour all over on top of the ghee layer and spread it evenly.
Fold the dough just as you fold a paper fan starting from one end to the other end as shown in the picture below. If there are more folds, you will get more layers.
Once you finish folding the dough like a paper fan, hold the ends (A and B-marked in the picture below) and stretch the dough by pulling it slightly with your hands. 
After pulling the dough, it looks like a long folded rope. Now roll the folded and stretched dough from one end to the other as shown in the picture below. Seal the end on the top.
Heat a tawa/griddle on medium and place the rolled out paratha dough.
When you find bubbles forming on the surface, apply a little ghee/oil all over the surface and flip it over to the other side.
Apply a little ghee/oil on the other side and cook both sides until golden brown specks appear.
Remove from the tawa and crush the paratha from the sides gently with both your hands. You can now see the layers well as in the main first picture.
Repeat the same process for the rest of the dough.
Lacha Paratha tastes best when served hot from the tawa. Enjoy with any gravy of your choice.</t>
  </si>
  <si>
    <t>ஒரு பெரிய கிண்ணம் அல்லது பெரிய தட்டில், முழு கோதுமை மாவு, எண்ணெய் மற்றும் உப்பு ஆகியவற்றை ஒன்றாக கலக்கவும்.
வெதுவெதுப்பான நீரை சிறிது சிறிதாக சேர்த்து நடுத்தர மென்மையான மாவை உருவாக்கவும். உங்கள் கைகளின் குதிகாலால் நன்றாக பிசைந்து, ஈரமான துணியால் 30 நிமிடங்கள் மூடி வைக்கவும்.
மீண்டும் மென்மையான மாவாக பிசையவும். மாவை 6 சம பாகங்களாக பிரித்து அதிலிருந்து மென்மையான பந்துகளை உருவாக்கவும்.
பந்தை சிறிது தட்டையாக்கி, கோதுமை மாவை தூவி, நடுத்தர தடிமன் கொண்ட ஒரு பெரிய ரொட்டியாக (சுமார் 6 அங்குல விட்டம்) உருட்டவும்.
ரொட்டியின் மேற்பரப்பில் சிறிது நெய் தடவி, உங்கள் விரல்கள் அல்லது பேஸ்ட்ரி பிரஷ் மூலம் ரொட்டி முழுவதும் பரப்பவும்.
நெய் அடுக்கின் மேல் முழுவதும் மாவைத் தூவி சமமாகப் பரப்பவும்.
கீழே உள்ள படத்தில் காட்டப்பட்டுள்ளபடி, ஒரு காகித விசிறியை ஒரு முனையிலிருந்து மறுமுனை வரை மடிப்பது போல் மாவை மடிக்கவும். அதிக மடிப்புகள் இருந்தால், உங்களுக்கு அதிக அடுக்குகள் கிடைக்கும்.
காகித விசிறியைப் போல மாவை மடித்து முடித்ததும், முனைகளைப் பிடித்து (கீழே உள்ள படத்தில் A மற்றும் B-குறியிடப்பட்டுள்ளது) உங்கள் கைகளால் சிறிது இழுத்து மாவை நீட்டவும்.
மாவை இழுத்த பிறகு, அது ஒரு நீண்ட மடிந்த கயிறு போல் தெரிகிறது. இப்போது கீழே உள்ள படத்தில் காட்டப்பட்டுள்ளபடி மடித்து நீட்டப்பட்ட மாவை ஒரு முனையிலிருந்து மறுமுனைக்கு உருட்டவும். முனையை மேலே மூடவும்.
ஒரு தவா/கிரிடிலை நடுத்தர அளவில் சூடாக்கி, உருட்டப்பட்ட பரோட்டா மாவை வைக்கவும்.
மேற்பரப்பில் குமிழ்கள் உருவாகுவதைக் கண்டதும், மேற்பரப்பு முழுவதும் சிறிது நெய்/எண்ணெய் தடவி மறுபுறம் புரட்டவும்.
மறுபுறம் சிறிது நெய்/எண்ணெய் தடவி, இருபுறமும் தங்க பழுப்பு நிற புள்ளிகள் தோன்றும் வரை சமைக்கவும்.
தவாவில் இருந்து அகற்றி, பக்கங்களிலிருந்து பரோட்டாவை உங்கள் இரு கைகளாலும் மெதுவாக நசுக்கவும். இப்போது நீங்கள் முதல் படத்தில் உள்ளதைப் போலவே அடுக்குகளை நன்றாகப் பார்க்கலாம்.
மீதமுள்ள மாவிற்கும் இதே செயல்முறையை மீண்டும் செய்யவும்.
தவாவிலிருந்து சூடாகப் பரிமாறும்போது லச்சா பராத்தா சுவையாக இருக்கும். உங்களுக்குப் பிடித்த எந்த கிரேவியுடனும் மகிழுங்கள்.</t>
  </si>
  <si>
    <t>https://encrypted-tbn0.gstatic.com/images?q=tbn:ANd9GcSmUWspwJ6z9m6FPNVPMONoMk-rV-YBZNgt_A&amp;s</t>
  </si>
  <si>
    <t xml:space="preserve">   Organic 100% Rye bread – 2 slices,
   Hard boiled Egg – 1,
   Guacamole – as needed,
   Pepper powder to taste,
   Salt to taste,
   Oil/Butter – 1 tsp for toasting bread slice.</t>
  </si>
  <si>
    <t>ஆர்கானிக் 100% கம்பு ரொட்டி - 2 துண்டுகள்,
வேகவைத்த முட்டை - 1,
குவாக்காமோல் - தேவைக்கேற்ப,
சுவைக்கேற்ப மிளகு தூள்,
சுவைக்கேற்ப உப்பு,
எண்ணெய்/வெண்ணெய் - ரொட்டித் துண்டை டோஸ்ட் செய்ய 1 டீஸ்பூன்.</t>
  </si>
  <si>
    <t>Mix the diced boiled egg with guacamole. Sprinkle salt and pepper powder if required.(This can be eaten as such as an egg salad or can be served on a toast or wrap or rotis or frankie).
Toast the bread slices with oil/butter on a tawa or toaster.
Spoon the guacamole egg mix on the toast and serve.</t>
  </si>
  <si>
    <t>துண்டுகளாக்கப்பட்ட வேகவைத்த முட்டையை குவாக்காமோலுடன் கலக்கவும். தேவைப்பட்டால் உப்பு மற்றும் மிளகுத் தூள் தூவவும். (இதை முட்டை சாலட் போல சாப்பிடலாம் அல்லது டோஸ்ட் அல்லது ரேப் அல்லது ரொட்டி அல்லது பிரான்கியில் பரிமாறலாம்).
ரொட்டித் துண்டுகளை எண்ணெய்/வெண்ணெய் சேர்த்து ஒரு தவா அல்லது டோஸ்டரில் டோஸ்ட் செய்யவும்.
குவாக்காமோல் முட்டை கலவையை டோஸ்ட்டில் கரண்டியால் தடவி பரிமாறவும்.</t>
  </si>
  <si>
    <t>https://encrypted-tbn0.gstatic.com/images?q=tbn:ANd9GcSoENllTa2-ogmnpaSJ22wlcfR7qu-vcV3ngQ&amp;s</t>
  </si>
  <si>
    <t>Bread Uttapam</t>
  </si>
  <si>
    <t>ரொட்டி உத்தப்பம்</t>
  </si>
  <si>
    <t xml:space="preserve">   Bread – 4 slices ,
   Semolina – 1/2 cup,
   Curd – 1/2 cup,
   All purpose flour/maida – 1 tbsp,
   Rice flour – 1 tbsp,
   Water – 1/2 cup,
   Salt as needed,
   Ginger – 3/4 tsp grated ,
   Onion – 3 tbsp chopped,
   Carrot – 2 tbsp grated,
   Green chilli – 1 ,
   Tomato – 1 tbsp,
   Coriander leaves,
   Oil for making dosas.</t>
  </si>
  <si>
    <t>ரொட்டி - 4 துண்டுகள்,
ரவை - 1/2 கப்,
தயிர் - 1/2 கப்,
அனைத்து வகையான மாவு/மைதா - 1 டீஸ்பூன்,
அரிசி மாவு - 1 டீஸ்பூன்,
தண்ணீர் - 1/2 கப்,
தேவைக்கேற்ப உப்பு,
இஞ்சி - 3/4 டீஸ்பூன் துருவியது,
வெங்காயம் - 3 டீஸ்பூன் நறுக்கியது,
கேரட் - 2 டீஸ்பூன் துருவியது,
பச்சை மிளகாய் - 1 ,
தக்காளி - 1 டீஸ்பூன்,
கொத்தமல்லி இலை,
தோசை செய்ய எண்ணெய்.</t>
  </si>
  <si>
    <t>Finely chop onion and green chillies. (you can omit green chillies for small kids). Grate carrot and keep it ready.
Tear up the bread slices into small or medium pieces.
In a blender, add the bread pieces, curd, somolina (ravai/sooji), ginger paste, rice flour, all purpose flour/maida, water and salt needed.
Blend to a fine paste. Pour the batter in a shallow bowl. The consistency of the batter should neither be too thick nor thin. Add onion, green chilli, carrot, coriander leaves, tomato and mix well.
Heat a tawa and pour a ladle of batter. You cannot spread this batter like the regular dosa. For kids, make small dosas like I have made. If it is for adults, you can spread a little and make it slightly bigger.
Drizzle 1/2 tsp of oil around the dosas. Once cooked, flip it over to the other side, add another 1/2 tsp of oil and cook until golden brown.
Serve hot with tomato chutney. You can decorate the dosas as you like and surprise your little ones.</t>
  </si>
  <si>
    <t>வெங்காயம் மற்றும் பச்சை மிளகாயை நன்றாக நறுக்கவும். (சிறிய குழந்தைகளுக்கு பச்சை மிளகாயைத் தவிர்க்கலாம்). கேரட்டை தட்டி தயாராக வைக்கவும்.
ரொட்டி துண்டுகளை சிறிய அல்லது நடுத்தர துண்டுகளாக கிழிக்கவும்.
ஒரு பிளெண்டரில், ரொட்டி துண்டுகள், தயிர், சோமோலினா (ரவாய்/சூஜி), இஞ்சி விழுது, அரிசி மாவு, அனைத்து வகையான மாவு/மைதா, தண்ணீர் மற்றும் தேவையான உப்பு சேர்க்கவும்.
நன்றாக பேஸ்டாக கலக்கவும். ஒரு ஆழமற்ற கிண்ணத்தில் மாவை ஊற்றவும். மாவின் நிலைத்தன்மை மிகவும் கெட்டியாகவோ அல்லது மெல்லியதாகவோ இருக்கக்கூடாது. வெங்காயம், பச்சை மிளகாய், கேரட், கொத்தமல்லி இலைகள், தக்காளி ஆகியவற்றைச் சேர்த்து நன்கு கலக்கவும்.
ஒரு தவாவை சூடாக்கி, ஒரு கரண்டி மாவை ஊற்றவும். வழக்கமான தோசையைப் போல இந்த மாவை நீங்கள் பரப்ப முடியாது. குழந்தைகளுக்கு, நான் செய்தது போல் சிறிய தோசைகளைச் செய்யுங்கள். பெரியவர்களுக்கு என்றால், நீங்கள் சிறிது பரப்பி சற்று பெரிதாக்கலாம்.
தோசைகளைச் சுற்றி 1/2 தேக்கரண்டி எண்ணெயைத் தெளிக்கவும். வெந்த பிறகு, அதை மறுபுறம் திருப்பி, மற்றொரு 1/2 தேக்கரண்டி எண்ணெயைச் சேர்த்து பொன்னிறமாகும் வரை சமைக்கவும்.
தக்காளி சட்னியுடன் சூடாகப் பரிமாறவும். தோசைகளை நீங்கள் விரும்பியபடி அலங்கரித்து, உங்கள் குழந்தைகளை ஆச்சரியப்படுத்தலாம்.</t>
  </si>
  <si>
    <t>https://encrypted-tbn0.gstatic.com/images?q=tbn:ANd9GcQI7E7TZ-N4BChcnL_i9fQZ_HlBO1gNywnuzQ&amp;s</t>
  </si>
  <si>
    <t>https://youtu.be/R-fCPil2NRY</t>
  </si>
  <si>
    <t>https://encrypted-tbn0.gstatic.com/images?q=tbn:ANd9GcQ2tyC4xPP7mTVk2t-Xuag8X3ksQWgqpJrgxw&amp;s</t>
  </si>
  <si>
    <t xml:space="preserve">   Whole Wheat Brown bread – 6 slices,
   Oil – 1 tbsp,
   Onion – 1/2 cup chopped,
   Green chillies – 1 finely chopped,
   Ginger garlic paste – 3/4 tsp,
   Tomato – 1,
   Carrot – 1 cup grated,
   Cabbage – 1/3 cup finely chopped,
   Capsicum – 1/3 cup finely chopped,
   Sweet Corn kernels – 1/3 cup,
   Paneer - 1/4 cup crumbled,
   Coriander Leaves,
   Turmeric powder – a pinch,
   Chilli powder – 1/2 tsp,
   Garam Masala Powder – 1/2 tsp,
   Tomato Ketchup – 1 tbsp,
   Salt needed,
   Butter as needed for toasting bread.</t>
  </si>
  <si>
    <t>முழு கோதுமை பிரவுன் பிரட் - 6 துண்டுகள்,
எண்ணெய் - 1 டீஸ்பூன்,
வெங்காயம் - 1/2 கப் நறுக்கியது,
பச்சை மிளகாய் - 1 நன்றாக நறுக்கியது,
இஞ்சி பூண்டு விழுது - 3/4 டீஸ்பூன்,
தக்காளி - 1,
கேரட் - 1 கப் துருவியது,
முட்டைக்கோஸ் - 1/3 கப் நன்றாக நறுக்கியது,
கேப்சிகம் - 1/3 கப் நன்றாக நறுக்கியது,
ஸ்வீட் கார்ன் கர்னல்ஸ் - 1/3 கப்,
பனீர் - 1/4 கப் நொறுக்கியது,
கொத்தமல்லி இலைகள்,
மஞ்சள் தூள் - ஒரு சிட்டிகை,
மிளகாய் தூள் - 1/2 டீஸ்பூன்,
கரம் மசாலா தூள் - 1/2 டீஸ்பூன்,
தக்காளி கெட்ச்அப் - 1 டீஸ்பூன்,
உப்பு தேவை,
ரொட்டியை டோஸ்ட் செய்ய தேவையான அளவு வெண்ணெய்.</t>
  </si>
  <si>
    <t>Heat oil in a pan, add onion, green chilli and saute until onions turn transparent.
Add ginger garlic paste and saute for a few more seconds.
Add chopped tomatoes, chilli powder, garam masala powder, turmeric powder, tomato ketchup and cook until tomatoes become soft.
Add the rest of the vegetables (cabbage, carrot, corn, capsicum), salt needed and cook until the vegetables become soft but not mushy.
Add finely chopped coriander leaves, and crumbled paneer. Mix well and remove from heat.
Take 2 bread slices, apply butter on both sides of the bread slice.
Heat a tawa, toast both sides of the bread slice. Then spoon 2 tbsp of the vegetable paneer mixture on top of the bread slices and press it well with a spatula.
Serve hot as an open sandwich. Kids and adults will love this for sure.
Repeat the same process for the rest of the bread slices. Enjoy!!</t>
  </si>
  <si>
    <t>ஒரு கடாயில் எண்ணெயை சூடாக்கி, வெங்காயம், பச்சை மிளகாய் சேர்த்து வெங்காயம் வெளிப்படையானதாக மாறும் வரை வதக்கவும்.
இஞ்சி பூண்டு விழுது சேர்த்து இன்னும் சில நொடிகள் வதக்கவும்.
நறுக்கிய தக்காளி, மிளகாய் தூள், கரம் மசாலா தூள், மஞ்சள் தூள், தக்காளி கெட்ச்அப் சேர்த்து தக்காளி மென்மையாகும் வரை வதக்கவும்.
மீதமுள்ள காய்கறிகள் (முட்டைக்கோஸ், கேரட், சோளம், கேப்சிகம்), தேவையான உப்பு சேர்த்து காய்கறிகள் மென்மையாகும் வரை ஆனால் மென்மையாகும் வரை சமைக்கவும்.
இறுதியாக நறுக்கிய கொத்தமல்லி இலைகள் மற்றும் நொறுக்கப்பட்ட பனீர் சேர்க்கவும். நன்கு கலந்து அடுப்பிலிருந்து இறக்கவும்.
2 பிரட் துண்டுகளை எடுத்து, பிரட் துண்டின் இருபுறமும் வெண்ணெய் தடவவும்.
ஒரு தவாவை சூடாக்கி, பிரட் துண்டின் இருபுறமும் டோஸ்ட் செய்யவும். பின்னர் 2 டேபிள் ஸ்பூன் வெஜிடபிள் பனீர் கலவையை பிரட் துண்டுகளின் மேல் ஸ்பூன் செய்து ஒரு ஸ்பேட்டூலாவுடன் நன்றாக அழுத்தவும்.
திறந்த சாண்ட்விச்சாக சூடாக பரிமாறவும். குழந்தைகள் மற்றும் பெரியவர்கள் இதை நிச்சயமாக விரும்புவார்கள்.
மீதமுள்ள பிரட் துண்டுகளுக்கும் இதே செயல்முறையை மீண்டும் செய்யவும். மகிழுங்கள்!!</t>
  </si>
  <si>
    <t>https://encrypted-tbn0.gstatic.com/images?q=tbn:ANd9GcTDK0seyhdRIM7OTId69ziBdmau1ANlwLW6Og&amp;s</t>
  </si>
  <si>
    <t>4 -  Bread slices white ,
1/2 cup -  Rava,
3/4 cup -  Curd,
Salt as needed,
Oil or ghee For frying,
1/2 cup -  Onion finely chopped,
1/2 tsp -  Ginger garlic paste,
2 -  Green chillies finely chopped,
1/4 cup -  Carrot Grated,
2 tbsp -  Capsicum finely chopped,
Coriander leaves.</t>
  </si>
  <si>
    <t>4 - வெள்ளை ரொட்டி துண்டுகள்,
1/2 கப் - ரவா,
3/4 கப் - தயிர்,
தேவைக்கேற்ப உப்பு,
பொரிப்பதற்கு எண்ணெய் அல்லது நெய்,
1/2 கப் - வெங்காயம் பொடியாக நறுக்கியது,
1/2 தேக்கரண்டி - இஞ்சி பூண்டு விழுது,
2 - பச்சை மிளகாய் பொடியாக நறுக்கியது,
1/4 கப் - கேரட் துருவியது,
2 தேக்கரண்டி - கேப்சிகம் பொடியாக நறுக்கியது,
கொத்தமல்லி இலைகள்.</t>
  </si>
  <si>
    <t>ஒரு தவாவை சூடாக்கி அதன் மீது பிரட் துண்டுகளை வைக்கவும். ஒரு தேக்கரண்டி எண்ணெய் (அல்லது எண்ணெய் + நெய் கலவை) பிரெட் துண்டுகளைச் சுற்றி ஊற்றி, இருபுறமும் ஆழமான தங்க பழுப்பு வரை குறைந்த வெப்பத்தில் வறுக்கவும்.
மீதமுள்ள பிரட் துண்டுகளுக்கும் இதே செயல்முறையை மீண்டும் செய்யவும்.
மாம்பழ தோக்கு அல்லது சாஸ் அல்லது ஏதேனும் சட்னியுடன் தவாவிலிருந்து சூடாகப் பரிமாறவும்.</t>
  </si>
  <si>
    <t>https://encrypted-tbn0.gstatic.com/images?q=tbn:ANd9GcRy_dPwe5ACalgjRkIjZZo4X-euo1BrxaiuWQ&amp;s</t>
  </si>
  <si>
    <t>French Toast</t>
  </si>
  <si>
    <t>பிரஞ்சு டோஸ்ட்</t>
  </si>
  <si>
    <t xml:space="preserve">   Bread Slices – 4,
   Egg – 1 large,
   Milk - 1/4 cup,
   Sugar - 1 1/2 tsp,
   Cinnamon powder - 1/4 tsp,
   Vanilla Extract – 1 tsp,
   Butter as needed,
   Powdered sugar,
  maple syruphoney,
 fresh fruits,
 whipped cream,
 berries.</t>
  </si>
  <si>
    <t>பிரெட் துண்டுகள் – 4,
முட்டை – 1 பெரியது,
பால் - 1/4 கப்,
சர்க்கரை - 1 1/2 தேக்கரண்டி,
இலவங்கப்பட்டை தூள் - 1/4 தேக்கரண்டி,
வெண்ணிலா சாறு – 1 தேக்கரண்டி,
தேவைக்கேற்ப வெண்ணெய்,
பொடித்த சர்க்கரை,
மேப்பிள் சிரப்தேன்,
புதிய பழங்கள்,
விப்பிட் க்ரீம்,
பெர்ரிகள்.</t>
  </si>
  <si>
    <t>Heat a non stick pan/skillet and grease with a little butter.
When the pan is hot, place the egg coated bread slices and cook both sides on medium heat until browned. Use more butter if needed to cook the bread.
Serve warm with toppings of your choice.</t>
  </si>
  <si>
    <t>நான்ஸ்டிக் பான்/ஸ்கில்லெட்டை சூடாக்கி, சிறிது வெண்ணெய் தடவவும்.
பான் சூடானதும், முட்டை பூசப்பட்ட பிரட் துண்டுகளை வைத்து, இருபுறமும் மிதமான தீயில் பொன்னிறமாகும் வரை சமைக்கவும். ரொட்டி சமைக்க தேவைப்பட்டால் அதிக வெண்ணெய் பயன்படுத்தவும்.
உங்களுக்கு விருப்பமான டாப்பிங்ஸுடன் சூடாக பரிமாறவும்.</t>
  </si>
  <si>
    <t>https://encrypted-tbn0.gstatic.com/images?q=tbn:ANd9GcT7slWMTPjJqbVL2p-ZTJQin0UFwvD2GgYEpw&amp;s</t>
  </si>
  <si>
    <t>Ragi Sweet Adai</t>
  </si>
  <si>
    <t>ராகி இனிப்பு அடை</t>
  </si>
  <si>
    <t xml:space="preserve">   Finger millet flour - 1/2 cup,
   Jaggery - 1/4 cup,
   Grated coconut – 1/3 cup,
   Cardamom – 2,
   Ghee for cooking adai.</t>
  </si>
  <si>
    <t>தினை மாவு - 1/2 கப்,
வெல்லம் - 1/4 கப்,
துருவிய தேங்காய் - 1/3 கப்,
ஏலக்காய் - 2,
சமைக்க நெய்.</t>
  </si>
  <si>
    <t>In a plate, mix together ragi flour, crushed cardamom and grated coconut.
Heat 2-3 tbsp of water, add jaggery to it and switch off the flame. Dissolve jaggery and filter it to remove impurities.
Add the jaggery water to the ragi + coconut + cardamom mixture.
Mix it well.
If needed add more warm water to form a soft and smooth dough. Divide it into 2 equal sized balls.
Grease a plantain leaf or a ziplog bag with a drop of ghee and flatten the ragi ball with your fingers. Spread it into thin (not too thin) adai.
Grease a tawa with ghee and heat it. Transfer the flattened ragi  adai to your hand and then place it on the hot tawa. If you had flattened it on plantain leaf, you can place the adai on the tawa (adai facing down) with the leaf and then slowly remove the leaf.
Drizzle a tsp of ghee around the adai and cook both sides of the adai until done. (the color of the adai will change from light brown to dark brown once it is cooked). Repeat the same process for the rest of the dough.
Enjoy it hot. You do not need any side dish for this.</t>
  </si>
  <si>
    <t>ஒரு தட்டில், ராகி மாவு, நொறுக்கப்பட்ட ஏலக்காய் மற்றும் துருவிய தேங்காய் ஆகியவற்றை ஒன்றாக கலக்கவும்.
2-3 டேபிள்ஸ்பூன் தண்ணீரை சூடாக்கி, அதில் வெல்லம் சேர்த்து, தீயை அணைக்கவும். வெல்லத்தை கரைத்து வடிகட்டி அசுத்தங்களை நீக்கவும்.
ராகி + தேங்காய் + ஏலக்காய் கலவையில் வெல்லம் தண்ணீரைச் சேர்க்கவும்.
நன்றாக கலக்கவும்.
தேவைப்பட்டால், மென்மையான மற்றும் மென்மையான மாவை உருவாக்க அதிக வெதுவெதுப்பான நீரைச் சேர்க்கவும். அதை 2 சம அளவிலான உருண்டைகளாகப் பிரிக்கவும்.
ஒரு வாழை இலை அல்லது ஒரு ஜிப்லாக் பையில் ஒரு துளி நெய்யை தடவி, ராகி உருண்டையை உங்கள் விரல்களால் தட்டையாக்குங்கள். அதை மெல்லிய (மிகவும் மெல்லியதாக இல்லாத) அடையாகப் பரப்பவும்.
ஒரு தவாவை நெய்யுடன் தடவி சூடாக்கவும். தட்டையான ராகி அடையை உங்கள் கையில் மாற்றி, சூடான தவாவின் மீது வைக்கவும். வாழை இலையில் தட்டியிருந்தால், அடையை இலையுடன் சேர்த்து தவாவின் மீது (அடை கீழ்நோக்கி) வைத்து, பின்னர் மெதுவாக இலையை அகற்றலாம்.
அடையைச் சுற்றி ஒரு தேக்கரண்டி நெய்யைத் தடவி, அடையின் இருபுறமும் வேகும் வரை சமைக்கவும். (அடை வெந்தவுடன் அதன் நிறம் வெளிர் பழுப்பு நிறத்தில் இருந்து அடர் பழுப்பு நிறமாக மாறும்). மீதமுள்ள மாவிற்கும் இதே செயல்முறையை மீண்டும் செய்யவும்.
சூடாக மகிழுங்கள். இதற்கு உங்களுக்கு எந்த துணை உணவும் தேவையில்லை.</t>
  </si>
  <si>
    <t>https://encrypted-tbn0.gstatic.com/images?q=tbn:ANd9GcQk-cmmgaGoUn2Q_RiPONBAqXRVjJnZhgW40g&amp;s</t>
  </si>
  <si>
    <t>Cracked Wheat Oats Idli</t>
  </si>
  <si>
    <t>கோதுமை ஓட்ஸ் இட்லி வெடித்தது</t>
  </si>
  <si>
    <t xml:space="preserve">   Oats - 1/2 cup ,
   Samba Ravai - 1/2 cup,
   Sour Curd - 1/2 cup,
   Coriander leaves,
   Baking soda – 1/4 tsp,
   Salt needed,
   Water as needed,
   Mustard seeds – 1 tsp,
   Bengal gram – 3/4 tsp,
   Urad dal – 1 tsp,
   Curry leaves – a sprig ,
   Green chillies – 1-2,
   Ginger – 1 inch piece,
   Carrot – 1/4 cup grated.</t>
  </si>
  <si>
    <t>ஓட்ஸ் - 1/2 கப்,
சம்பா ரவை - 1/2 கப்,
புளிப்பு தயிர் - 1/2 கப்,
கொத்தமல்லி இலைகள்,
பேக்கிங் சோடா - 1/4 டீஸ்பூன்,
உப்பு தேவை,
தேவைக்கேற்ப தண்ணீர்,
கடுகு - 1 டீஸ்பூன்,
வங்கக்கடலை - 3/4 டீஸ்பூன்,
உப்பு பருப்பு - 1 டீஸ்பூன்,
கறிவேப்பிலை - ஒரு தளிர்,
பச்சை மிளகாய் - 1-2,
இஞ்சி - 1 அங்குல துண்டு,
கேரட் - 1/4 கப் துருவியது.</t>
  </si>
  <si>
    <t>In a bowl, mix together, powdered oats, cracked wheat, chopped coriander leaves and the seasoning with the carrots.
Add plain yogurt or curd and salt needed. Mix everything together.
Instant Samba Godhumai Rava oats Idli 
Add water to get an idly batter consistency (neither too thick not too thin). Let it sit for 20-30 minutes. If needed add more water after 30 minutes to get the idly batter consistency.
Add baking soda and mix well. This is optional.
Bring water to boil in an idli pan and pour a small ladle of batter in the greased idli moulds. Steam cook for 25 minutes or until the idli is cooked. This idly will take longer time to get cooked than the regular idlis.
Once done, remove the idlis from the mould and serve hot with any chutney of your choice.</t>
  </si>
  <si>
    <t>ஒரு பாத்திரத்தில், பொடித்த ஓட்ஸ், வெடித்த கோதுமை, நறுக்கிய கொத்தமல்லி இலைகள் மற்றும் கேரட்டுடன் மசாலாப் பொருட்களை ஒன்றாகக் கலக்கவும்.
வெற்று தயிர் அல்லது தயிர் மற்றும் தேவையான உப்பு சேர்க்கவும். அனைத்தையும் ஒன்றாக கலக்கவும்.
உடனடி சம்பா கோதுமை ரவா ஓட்ஸ் இட்லி
இட்லி மாவு நிலைத்தன்மையைப் பெற தண்ணீர் சேர்க்கவும் (மிகவும் கெட்டியாகவோ அல்லது மிக மெல்லியதாகவோ இல்லை). 20-30 நிமிடங்கள் அப்படியே வைக்கவும். தேவைப்பட்டால் 30 நிமிடங்களுக்குப் பிறகு அதிக தண்ணீர் சேர்த்து இட்லி மாவு பதத்தைப் பெறலாம்.
பேக்கிங் சோடாவைச் சேர்த்து நன்கு கலக்கவும். இது உங்கள் விருப்பத்திற்குரியது.
ஒரு இட்லி பாத்திரத்தில் தண்ணீரை கொதிக்க வைத்து, நெய் தடவிய இட்லி அச்சுகளில் ஒரு சிறிய கரண்டி மாவை ஊற்றவும். 25 நிமிடங்கள் அல்லது இட்லி வேகும் வரை ஆவியில் வேக வைக்கவும். இந்த இட்லி வழக்கமான இட்லிகளை விட வேக அதிக நேரம் எடுக்கும்.
வெந்தவுடன், இட்லிகளை அச்சிலிருந்து அகற்றி, உங்களுக்கு விருப்பமான சட்னியுடன் சூடாகப் பரிமாறவும்.</t>
  </si>
  <si>
    <t>https://encrypted-tbn0.gstatic.com/images?q=tbn:ANd9GcRJAxyxrVqNkTHIJw6Zk3YcQTKmRJXQuCb5eg&amp;s</t>
  </si>
  <si>
    <t>Millet Upma Kozhukattai</t>
  </si>
  <si>
    <t>தினை உப்புமா கொழுக்கட்டை</t>
  </si>
  <si>
    <t xml:space="preserve">   Millet Rava - 1 cup,
   Tur Dal - 2 tbsp,
   Grated coconut - 1/4 cup,
   Water – 2 1/2 cup,
   Salt to taste,
   Oil – 1 1/2 tbsp,
   Mustard seeds – 1 tsp,
   Urad Dal – 1 tsp,
   Red Chillies – 2,
   Green Chillies – 2,
   Curry Leaves – a sprig.</t>
  </si>
  <si>
    <t>தினை ரவா - 1 கப்,
துவரம் பருப்பு - 2 டேபிள்ஸ்பூன்,
தேங்காய் துருவல் - 1/4 கப்,
தண்ணீர் - 2 1/2 கப்,
ருசிக்க உப்பு,
எண்ணெய் - 1 1/2 டேபிள்ஸ்பூன்,
கடுகு - 1 டேபிள்ஸ்பூன்,
உளுத்தம் பருப்பு - 1 டேபிள்ஸ்பூன்,
சிவப்பு மிளகாய் - 2,
பச்சை மிளகாய் - 2,
கறிவேப்பிலை - ஒரு தளிர்.</t>
  </si>
  <si>
    <t>Heat oil, add mustard seeds, when it splutters, add urad dal, red chillies, green chillies and curry leaves.
When urad dal turns golden brown, add ground tur dal and cook for 2-3 minutes stirring continuously.
how to make millet upma kozhukattai 
Add grated coconut and cook for another 2 minutes. Add 2 1/2 cup of water and salt needed. Taste the water to check for salt. If it is slightly salty, it will be perfect once you add the thinai rava.
When water starts boiling, reduce the heat to low and then add add foxtail millet rava slowly with one hand and keep stirring continuously with the other hand to prevent formation of lumps.
Cook covered on medium heat until all the water evaporates. Leave it to cool. When it is warm, divide the mixture into equal parts and make oval shaped dumpling. Grease your hands with a little oil to prevent the mixture from sticking to your hands.
Arrange the prepared dumplings/ kozhukattai and steam cook for 15-20 minutes. You can use your idli cooker or steamer.
Serve hot millet kozhukattai with chutney, gothsu or sambar or your choice.</t>
  </si>
  <si>
    <t>எண்ணெயை சூடாக்கி, கடுகு சேர்த்து, அது வதங்கியதும், உளுத்தம் பருப்பு, சிவப்பு மிளகாய், பச்சை மிளகாய் மற்றும் கறிவேப்பிலை சேர்க்கவும்.
உளுத்தம் பருப்பு பொன்னிறமாக மாறியதும், அரைத்த துவரம் பருப்பு சேர்த்து 2-3 நிமிடங்கள் தொடர்ந்து கிளறி விடவும்.
தினை உப்புமா கொழுக்கட்டை செய்வது எப்படி
தேங்காய் துருவல் சேர்த்து மேலும் 2 நிமிடங்கள் சமைக்கவும். 2 1/2 கப் தண்ணீர் மற்றும் தேவையான அளவு உப்பு சேர்க்கவும். உப்பு இருக்கிறதா என்று சோதிக்க தண்ணீரை சுவைக்கவும். கொஞ்சம் உப்பு இருந்தால், தினை ரவையைச் சேர்த்தவுடன் அது சரியாக இருக்கும்.
தண்ணீர் கொதிக்க ஆரம்பித்ததும், தீயைக் குறைத்து, ஒரு கையால் ஃபாக்ஸ் டெயில் தினை ரவையைச் சேர்த்து மெதுவாகக் கிளறி, கட்டிகள் உருவாகாமல் இருக்க மற்றொரு கையால் தொடர்ந்து கிளறவும்.
தண்ணீர் முழுவதும் ஆவியாகும் வரை மூடி வைத்து மிதமான தீயில் சமைக்கவும். ஆற விடவும். அது சூடாகும்போது, ​​கலவையை சம பாகங்களாகப் பிரித்து, ஓவல் வடிவ உருண்டை தயாரிக்கவும். கலவை உங்கள் கைகளில் ஒட்டாமல் இருக்க உங்கள் கைகளில் சிறிது எண்ணெய் தடவவும்.
தயாரிக்கப்பட்ட உருண்டைகள்/கொழுகட்டைகளை அடுக்கி, 15-20 நிமிடங்கள் ஆவியில் வேகவைக்கவும். நீங்கள் உங்கள் இட்லி குக்கர் அல்லது ஸ்டீமரை பயன்படுத்தலாம்.
சூடான தினை கொழுகட்டையை சட்னி, கோத்சு அல்லது சாம்பார் அல்லது உங்கள் விருப்பப்படி பரிமாறவும்.</t>
  </si>
  <si>
    <t>https://encrypted-tbn0.gstatic.com/images?q=tbn:ANd9GcQbPtYtJoRswopNcZaAYCR1xQpvJxND5lrW2g&amp;s</t>
  </si>
  <si>
    <t xml:space="preserve">   Quick Cooking Oats - 1 cup,
   Onion - 1/2 cup finely chopped,
   Green chilli – 1 finely chopped,
   Grated carrot – 1/4 cup,
   Grated coconut – 1/4 cup,
   Salt as needed,
   Oil - 1 tbsp,
   Mustard seeds - 1 tsp,
   Urad dal - 1 tsp,
   Hing – a pinch,
   Curry leaves – a sprig.</t>
  </si>
  <si>
    <t>விரைவாக சமைக்கும் ஓட்ஸ் - 1 கப்,
வெங்காயம் - 1/2 கப் பொடியாக நறுக்கியது,
பச்சை மிளகாய் - 1 பொடியாக நறுக்கியது,
துருவிய கேரட் - 1/4 கப்,
துருவிய தேங்காய் - 1/4 கப்,
தேவைக்கேற்ப உப்பு,
எண்ணெய் - 1 டீஸ்பூன்,
கடுகு - 1 டீஸ்பூன்,
உளுத்தம் பருப்பு - 1 டீஸ்பூன்,
பெருங்காயம் - ஒரு சிட்டிகை,
கறிவேப்பிலை - ஒரு தளிர்.</t>
  </si>
  <si>
    <t>ஒரு கடாயில் எண்ணெயை சூடாக்கி, கடுகு சேர்த்து, அது வதங்கியதும், உளுத்தம் பருப்பு, பெருங்காயம் மற்றும் கறிவேப்பிலை சேர்க்கவும். பருப்பு பொன்னிறமாக மாறியதும், வெங்காயத்தைச் சேர்த்து வெளிப்படையானதாக மாறும் வரை வதக்கவும்.
பச்சை மிளகாய், துருவிய கேரட் சேர்த்து இன்னும் சில நிமிடங்கள் வதக்கவும்.
பின்னர் துருவிய தேங்காய் சேர்த்து மேலும் 2-3 வினாடிகள் வதக்கவும்.
ஓட்ஸ், 1/2 கப் தண்ணீர், தேவையான அளவு உப்பு சேர்த்து இன்னும் சில வினாடிகள் சமைக்கவும். அடுப்பிலிருந்து இறக்கி ஆறவிடவும். அது சூடாக இருக்கும்போது, ​​அதிலிருந்து ஓவல் வடிவ உருண்டைகள்/உருண்டைகள் செய்யவும். உருண்டைகள் செய்ய முடியாவிட்டால், சிறிது தண்ணீர் தெளித்து மீண்டும் முயற்சிக்கவும்.
ஓட்ஸ் கொழுக்கட்டையாவை ஒரு ஸ்டீமர் அல்லது இட்லி குக்கரில் 10 நிமிடங்கள் வேகவைக்கவும். ஓட்ஸ் கொழுக்கட்டையாவை வேகவைக்க நான் டப்பர்வேரைப் பயன்படுத்தி வேகவைக்கவும்.</t>
  </si>
  <si>
    <t>https://encrypted-tbn0.gstatic.com/images?q=tbn:ANd9GcSlE54Ll-YQ9OOZKUor3-3dUmDKnLDm8P1a0A&amp;s</t>
  </si>
  <si>
    <t xml:space="preserve">   Bread Slices - 8,
   Butter – 1 tbsp,
   Onion – 1/4 cup chopped,
   Garlic – 1 tbsp,
   Sweet Corn – 1/2 cup,
   Spinach – 1 cup finely chopped,
   Cornflour  – 1 tbsp,
   Cold Milk – 2-3 tbsp,
   Salt to taste,
   Pepper powder as needed,
   Basil – 1/2 tsp,
   Oregano – 1/2 tsp,
   Chilli flakes – 1/2 tbsp,
   Grated cheese – 2 tbsp ,
   Butter for toasting bread.</t>
  </si>
  <si>
    <t>ரொட்டித் துண்டுகள் - 8,
வெண்ணெய் – 1 டீஸ்பூன்,
வெங்காயம் – 1/4 கப் நறுக்கியது,
பூண்டு – 1 டீஸ்பூன்,
இனிப்புச் சோளம் – 1/2 கப்,
கீரை – 1 கப் நன்றாக நறுக்கியது,
சோள மாவு – 1 டீஸ்பூன்,
குளிர்ந்த பால் – 2-3 டீஸ்பூன்,
சுவைக்கேற்ப உப்பு,
தேவைக்கேற்ப மிளகுத் தூள்,
துளசி – 1/2 டீஸ்பூன்,
ஆர்கனோ – 1/2 டீஸ்பூன்,
மிளகாய்த் துண்டுகள் – 1/2 டீஸ்பூன்,
துருவிய சீஸ் – 2 டீஸ்பூன்,
ரொட்டியை வறுக்க வெண்ணெய்.</t>
  </si>
  <si>
    <t>Heat butter in a pan, add finely chopped onion and garlic. Saute until onions turn transparent.
Add corn and saute for a few more seconds.
sauteing corn
Add spinach and cook until they wilt. Add salt as needed.
Reduce the heat, add cornflour and mix well. Then add milk and cook stirring continuously. When it starts thickening, switch off the heat.
Add basil, oregano, pepper powder and chilli flakes (if using). Add grated cheese and mix well.
Spread the cheesy corn spinach mixture on the bread slices.
Cover it with another slice of bread. Butter the bread on the outside and toast on tawa or bread toaster until golden brown and serve hot.
Kids and adults alike will love this cheesy spinach corn sandwich. It does not need any side dish as it is very delicious as such.</t>
  </si>
  <si>
    <t>ஒரு பாத்திரத்தில் வெண்ணெயைச் சூடாக்கி, இறுதியாக நறுக்கிய வெங்காயம் மற்றும் பூண்டைச் சேர்க்கவும். வெங்காயம் வெளிப்படையானதாக மாறும் வரை வதக்கவும்.
சோளத்தைச் சேர்த்து இன்னும் சில வினாடிகள் வதக்கவும்.
சோளத்தை வதக்குதல்
கீரையைச் சேர்த்து அவை வாடிவிடும் வரை சமைக்கவும். தேவைக்கேற்ப உப்பு சேர்க்கவும்.
தீயைக் குறைத்து, சோள மாவு சேர்த்து நன்கு கலக்கவும். பின்னர் பால் சேர்த்து தொடர்ந்து கிளறி சமைக்கவும். அது கெட்டியாகத் தொடங்கியதும், தீயை அணைக்கவும்.
துளசி, ஆர்கனோ, மிளகு தூள் மற்றும் மிளகாய் துண்டுகளை (பயன்படுத்தினால்) சேர்க்கவும். துருவிய சீஸ் சேர்த்து நன்கு கலக்கவும்.
பிரெட் துண்டுகளின் மீது சீஸி கார்ன் ஸ்பினாச் கலவையைப் பரப்பவும்.
இன்னொரு துண்டு பிரெட்டால் மூடி வைக்கவும். பிரெட்டின் வெளிப்புறத்தில் வெண்ணெய் தடவி, தவா அல்லது பிரட் டோஸ்டரில் பொன்னிறமாகும் வரை டோஸ்ட் செய்து சூடாகப் பரிமாறவும்.
குழந்தைகள் மற்றும் பெரியவர்கள் இருவரும் இந்த சீஸி ஸ்பினாச் கார்ன் சாண்ட்விச்சை விரும்புவார்கள். இது மிகவும் சுவையாக இருப்பதால் இதற்கு எந்த சைட் டிஷ் தேவையில்லை.</t>
  </si>
  <si>
    <t>https://encrypted-tbn0.gstatic.com/images?q=tbn:ANd9GcRUETLGUPkM7TeMRmxTYyUvX10kXF4GYYmw9w&amp;s</t>
  </si>
  <si>
    <t>Red Rice Dosa</t>
  </si>
  <si>
    <t>சிவப்பு அரிசி தோசை</t>
  </si>
  <si>
    <t xml:space="preserve">   Red Rice  - 2 cups,
   Whole Urad dal  - 1/2 cup,
   Salt as needed,
   Oil for making dosas.</t>
  </si>
  <si>
    <t>சிவப்பு அரிசி - 2 கப்,
முழு உளுத்தம் பருப்பு - 1/2 கப்,
தேவையான அளவு உப்பு,
தோசை செய்ய எண்ணெய்.</t>
  </si>
  <si>
    <t>Heat a tawa, when it is hot, pour a ladle of batter in the center of the tawa. Spread it in a circular motion.
Drizzle a tsp of oil around the dosa. When the corners start lifting up, flip it over to the other side. Drizzle another half tsp of oil and cook until done.
Once cooked, remove the dosa from the tawa and serve hot with any chutney or sambar of your choice.</t>
  </si>
  <si>
    <t>ஒரு தவாவை சூடாக்கி, அது சூடானதும், தவாவின் மையத்தில் ஒரு கரண்டி மாவை ஊற்றவும். அதை வட்ட இயக்கத்தில் பரப்பவும்.
தோசையைச் சுற்றி ஒரு தேக்கரண்டி எண்ணெயைத் தெளிக்கவும். மூலைகள் மேலே எழத் தொடங்கியதும், அதை மறுபுறம் திருப்பி வைக்கவும். மற்றொரு அரை தேக்கரண்டி எண்ணெயைத் தெளித்து, சமைக்கும் வரை சமைக்கவும்.
வெந்தவுடன், தோசையை தவாவில் இருந்து அகற்றி, உங்களுக்கு விருப்பமான சட்னி அல்லது சாம்பாருடன் சூடாகப் பரிமாறவும்.</t>
  </si>
  <si>
    <t>https://www.archanaskitchen.com//images/archanaskitchen/1-Author/Jyothi_Rajesh/Red_Rice_Dosa_Recipe_Archanas_Kitchen-1.jpg</t>
  </si>
  <si>
    <t>Apple Cinnamon Quinoa Bites</t>
  </si>
  <si>
    <t>ஆப்பிள் இலவங்கப்பட்டை குயினோவா பைட்ஸ்</t>
  </si>
  <si>
    <t xml:space="preserve">   Cooked Quinoa – 1/2 cup,
   Oats – 1/2 cup,
   Cinnamon powder – 1/4 tsp,
   Nutmeg – 1/4 tsp,
    powdered jaggery – 1 1/2 tbsp,
   Granualted white sugar – 1/2 tbsp,
   maple syrup – 1 1/2 tsp,
   Apples - 1/2 cup peeled and chopped,
   Egg - 1 lightly beaten.</t>
  </si>
  <si>
    <t>சமைத்த குயினோவா - 1/2 கப்,
ஓட்ஸ் - 1/2 கப்,
இலவங்கப்பட்டை தூள் - 1/4 தேக்கரண்டி,
ஜாதிக்காய் - 1/4 தேக்கரண்டி,
பொடித்த வெல்லம் - 1 1/2 தேக்கரண்டி,
தூள் வெள்ளை சர்க்கரை - 1/2 தேக்கரண்டி,
மேப்பிள் சிரப் - 1 1/2 தேக்கரண்டி,
ஆப்பிள் - 1/2 கப் தோலுரித்து நறுக்கியது,
முட்டை - 1 லேசாக அடித்தது.</t>
  </si>
  <si>
    <t>Cook quinoa. You can cook even ahead of time or use leftover quinoa.  We need just half cup of cooked quinoa. Once cooked, leave it to cool.
Grease muffin cups or line the muffin pan with cupcake liners.
Pre heat the oven for 15 minutes at 180 degree C.
In a large bowl combine together, cooked quinoa, oats, brown sugar, white sugar, cinnamon powder and nutmeg.
preparation for quinoa breakfast bites 
Add peeled and chopped apples, lightly beaten egg, honey and mix until combined.
Fill each muffin cup to the top with the mixture. Bake for 15-20 minutes at 180 degree C or until a toothpick inserted in the center comes our clean.
When the muffins are done, remove from the oven and leave it to cool. When warm, just peel off the paper and dig in!! I loved it warm. Try these bites and enjoy!</t>
  </si>
  <si>
    <t>குயினோவாவை சமைக்கவும். நீங்கள் முன்கூட்டியே சமைக்கலாம் அல்லது மீதமுள்ள குயினோவாவைப் பயன்படுத்தலாம். நமக்கு அரை கப் சமைத்த குயினோவா மட்டுமே தேவை. சமைத்த பிறகு, அதை குளிர்விக்க விடவும்.
மஃபின் கப்களை தடவவும் அல்லது மஃபின் பானை கப்கேக் லைனர்களால் வரிசைப்படுத்தவும்.
180 டிகிரி செல்சியஸில் 15 நிமிடங்கள் அடுப்பை முன்கூட்டியே சூடாக்கவும்.
ஒரு பெரிய கிண்ணத்தில், சமைத்த குயினோவா, ஓட்ஸ், பழுப்பு சர்க்கரை, வெள்ளை சர்க்கரை, இலவங்கப்பட்டை தூள் மற்றும் ஜாதிக்காய் ஆகியவற்றை ஒன்றாக இணைக்கவும்.
குயினோவா காலை உணவுக்கான தயாரிப்பு
தோல் நீக்கி நறுக்கிய ஆப்பிள்கள், லேசாக அடித்த முட்டை, தேன் சேர்த்து கலக்கவும்.
ஒவ்வொரு மஃபின் கோப்பையையும் மேலே கலவையால் நிரப்பவும். 180 டிகிரி செல்சியஸில் 15-20 நிமிடங்கள் அல்லது மையத்தில் செருகப்பட்ட ஒரு டூத்பிக் சுத்தமாக வரும் வரை சுடவும்.
மஃபின்கள் தயாரானதும், அடுப்பிலிருந்து இறக்கி குளிர்விக்க விடவும். சூடாகும்போது, ​​காகிதத்தை உரித்து தோண்டி எடுக்கவும்!! எனக்கு இது சூடாக மிகவும் பிடித்திருந்தது. இந்த துண்டுகளை முயற்சி செய்து மகிழுங்கள்!</t>
  </si>
  <si>
    <t>https://encrypted-tbn0.gstatic.com/images?q=tbn:ANd9GcQnUddkxwkmTPa73zb9tzyqUtOyUT0-SW40oQ&amp;s</t>
  </si>
  <si>
    <t>Vendhaya Dosai</t>
  </si>
  <si>
    <t>வெந்தய தோசை</t>
  </si>
  <si>
    <t>2 cups - Idli Rice,
2 tbsp -  Whole Urad dal,
2 1/2 tbsp -  Fenugreek seeds,
Salt needed,
Oil for making dosas.</t>
  </si>
  <si>
    <t>2 கப் - இட்லி அரிசி,
2 டேபிள் ஸ்பூன் - முழு உளுத்தம் பருப்பு,
2 1/2 டேபிள் ஸ்பூன் - வெந்தயம்,
தேவையான உப்பு,
தோசை செய்ய எண்ணெய்.</t>
  </si>
  <si>
    <t>Heat a tawa, grease it with a little oil. Mix the batter well and pour a ladle of batter in the center of the tawa and spread it in a circular motion. Do not spread too much. The dosa should be a little thick.
Drizzle a tsp of sesame seed oil around the dosa. Cook covered on medium heat.
You do not have to flip this dosa. If you want you can flip it over.
Once cooked (tips for beginners - touch the dosa with wet fingers and check, if the batter sticks to your finger, cook for a few more minutes) remove from tawa and serve hot.
Super soft, spongy and healthy fenugreek dosa is ready.
Serve hot with any chutney of your choice.</t>
  </si>
  <si>
    <t>ஒரு தவாவை சூடாக்கி, சிறிது எண்ணெய் தடவவும். மாவை நன்றாக கலந்து, தவாவின் மையத்தில் ஒரு கரண்டி மாவை ஊற்றி வட்ட இயக்கத்தில் பரப்பவும். அதிகமாக பரப்ப வேண்டாம். தோசை சிறிது கெட்டியாக இருக்க வேண்டும்.
தோசையைச் சுற்றி ஒரு டீஸ்பூன் எள் விதை எண்ணெயைத் தெளிக்கவும். மிதமான தீயில் மூடி வைத்து சமைக்கவும்.
இந்த தோசையை நீங்கள் புரட்ட வேண்டியதில்லை. நீங்கள் விரும்பினால் அதைப் புரட்டலாம்.
சமைத்தவுடன் (தொடக்கநிலையாளர்களுக்கான குறிப்புகள் - ஈரமான விரல்களால் தோசையைத் தொட்டு, மாவு உங்கள் விரலில் ஒட்டிக்கொண்டிருக்கிறதா என்று சரிபார்க்கவும், இன்னும் சில நிமிடங்கள் சமைக்கவும்) தவாவிலிருந்து அகற்றி சூடாகப் பரிமாறவும்.
மிகவும் மென்மையான, பஞ்சுபோன்ற மற்றும் ஆரோக்கியமான வெந்தய தோசை தயார்.
உங்களுக்கு விருப்பமான எந்த சட்னியுடன் சூடாகப் பரிமாறவும்.</t>
  </si>
  <si>
    <t>https://encrypted-tbn0.gstatic.com/images?q=tbn:ANd9GcSVgogAKppdNdTHAOVUwIHYTsyBIyikuyYNyw&amp;s</t>
  </si>
  <si>
    <t>https://youtu.be/29OksjJ3zkU</t>
  </si>
  <si>
    <t>Banana Flower Adai</t>
  </si>
  <si>
    <t>வாழைப்பூ அடை</t>
  </si>
  <si>
    <t xml:space="preserve">   Raw Rice – 1/2 cup,
   Parboiled rice - 1/2 cup,
   Tur Dal - 1/2 cup,
   Bengal gram - 1/4 cup,
   Urad dal - 1 tbsp,
   Whole Green gram - 1 tbsp,
   Green chilli - 1,
   Red Chilli - 2,
   Hing – a pinch,
   Salt needed,
   Onion – 3 ,
   Plantain flower florets – 1/2 cup chopped,
   Grated coconut – 1/3 cup,
   Coriander leaves – 3 tbsp finely chopped,
   Oil for making adais .</t>
  </si>
  <si>
    <t>பச்சை அரிசி - 1/2 கப்,
வேகவைத்த அரிசி - 1/2 கப்,
துர் பருப்பு - 1/2 கப்,
வங்கக்கடலை - 1/4 கப்,
உரத்த பருப்பு - 1 டீஸ்பூன்,
முழு பச்சை பயறு - 1 டீஸ்பூன்,
பச்சை மிளகாய் - 1,
சிவப்பு மிளகாய் - 2,
ஹிங் - ஒரு சிட்டிகை,
உப்பு தேவை,
வெங்காயம் - 3 ,
வாழைப்பூ பூக்கள் - 1/2 கப் நறுக்கியது,
தேங்காய் துருவியது - 1/3 கப்,
கொத்தமல்லி இலை - 3 டீஸ்பூன் நன்றாக நறுக்கியது,
அடைஸ் செய்ய எண்ணெய்.</t>
  </si>
  <si>
    <t>Wash and soak all the dal and rice together for 2-3 hours.
Grind it a little coarse with red chillies, green chillies, hing and salt needed. The consistency of the adai batter should neither be thick nor watery, so add water accordingly.  Let is sit for 2-3 hours. Our adai batter is ready.
Finely chop onion, plantain flower (use only tender florets) and coriander leaves.
Before making adai, add the chopped onions, coriander leaves, plantain flower, grated coconut to the batter and mix well. Check for salt.
Heat a tawa or an iron griddle, then pour a ladle of batter and spread it in a circular motion. Make 4-5 holes on the adai with the back of the ladle.
Drizzle a tsp of oil around the adai and little oil inside the holes.
Let it cook on medium heat. Once the edges starts browning, flip it over to the other side. Drizzle another tsp of oil. Cook both sides until golden brown.
Remove from tawa and serve hot banana flower adai (vazhaipoo adai) with any side dish of your choice. Repeat the same process for the remaining batter.</t>
  </si>
  <si>
    <t>பருப்பு மற்றும் அரிசியை கழுவி 2-3 மணி நேரம் ஊற வைக்கவும்.
சிவப்பு மிளகாய், பச்சை மிளகாய்,ஹிங் மற்றும் உப்பு சேர்த்து சிறிது கரடுமுரடாக அரைக்கவும். அடை மாவின் நிலைத்தன்மை கெட்டியாகவோ அல்லது தண்ணீராகவோ இருக்கக்கூடாது, எனவே அதற்கேற்ப தண்ணீர் சேர்க்கவும். 2-3 மணி நேரம் அப்படியே வைக்கவும். எங்கள் அடை மாவு தயாராக உள்ளது.
வெங்காயம், வாழைப்பூ (இளஞ்சிவப்பு பூக்கள் மட்டும் பயன்படுத்தவும்) மற்றும் கொத்தமல்லி இலைகளை நன்றாக நறுக்கவும்.
அடை செய்வதற்கு முன், நறுக்கிய வெங்காயம், கொத்தமல்லி இலை, வாழைப்பூ, துருவிய தேங்காய் ஆகியவற்றை மாவில் சேர்த்து நன்கு கலக்கவும். உப்பு சரிபார்க்கவும்.
ஒரு தவா அல்லது இரும்பு கிரில்லை சூடாக்கி, பின்னர் ஒரு கரண்டி மாவை ஊற்றி வட்ட இயக்கத்தில் பரப்பவும். அடையின் பின்புறம் 4-5 துளைகளை உருவாக்கவும்.
அடையைச் சுற்றி ஒரு தேக்கரண்டி எண்ணெயையும் துளைகளுக்குள் சிறிது எண்ணெயையும் தெளிக்கவும்.
மிதமான தீயில் சமைக்க விடவும். விளிம்புகள் பழுப்பு நிறமாக மாறத் தொடங்கியதும், அதை மறுபுறம் திருப்பி வைக்கவும். மற்றொரு தேக்கரண்டி எண்ணெயைத் தெளிக்கவும். இருபுறமும் பொன்னிறமாகும் வரை சமைக்கவும்.
தவாவில் இருந்து எடுத்து, உங்களுக்கு விருப்பமான எந்த துணை டிஷுடனும் சூடான வாழைப்பூ அடையை (வாழைப்பூ அடை) பரிமாறவும். மீதமுள்ள மாவுக்கும் இதே செயல்முறையை மீண்டும் செய்யவும்.</t>
  </si>
  <si>
    <t>https://encrypted-tbn0.gstatic.com/images?q=tbn:ANd9GcSJkwQECAVnSVL9yHGCMRY2SL1wuUSu6Ucb1Q&amp;s</t>
  </si>
  <si>
    <t>Breakfast Polenta with Dried Fruits, Nuts and Seeds</t>
  </si>
  <si>
    <t>காலை உணவு உலர்ந்த பழங்கள், கொட்டைகள் மற்றும் விதைகளுடன் பொலெண்டா</t>
  </si>
  <si>
    <t xml:space="preserve">   Quick-Cooking Polenta - 1/2 cup,
   Water - 2 cups,
   Honey,
   Milk - 1/4 cup,
   Dates – 5 pitted and chopped,
   Raisins - 10,
   Apricot - 3 chopped,
   Mixed Seeds – 2 tsp,
   Almonds – 4 blanched and chopped.</t>
  </si>
  <si>
    <t>விரைவாக சமைக்கும் பொலெண்டா - 1/2 கப்,
தண்ணீர் - 2 கப்,
தேன்,
பால் - 1/4 கப்,
பேரீச்சம்பழம் - 5 குழி நீக்கி நறுக்கியது,
திராட்சை - 10,
பாதாமி - 3 நறுக்கியது,
கலப்பு விதைகள் - 2 தேக்கரண்டி,
பாதாம் - 4 வெளுத்து நறுக்கியது.</t>
  </si>
  <si>
    <t>Bring water to boil, when it starts boiling, reduce the heat and slowly add the cornmeal coarse polenta stirring continuously to prevent lumps.
Cook stirring until the mixture thickens and reaches a porridge consistency. Remove from heat and transfer it to a bowl. Add milk and mix it well.
Add honey, dry fruits and nut of your choice. You can add even fresh fruits.
Serve warm. It makes a filling breakfast and is a great option for anybody on a gluten-free diet.</t>
  </si>
  <si>
    <t>தண்ணீரை கொதிக்க வைக்கவும், அது கொதிக்க ஆரம்பிக்கும் போது, ​​தீயைக் குறைத்து, கட்டிகளைத் தடுக்க தொடர்ந்து கிளறி, சோள மாவை மெதுவாகச் சேர்க்கவும்.
கலவை கெட்டியாகி கஞ்சி நிலைத்தன்மையை அடையும் வரை கிளறவும். வெப்பத்திலிருந்து நீக்கி ஒரு கிண்ணத்திற்கு மாற்றவும். பால் சேர்த்து நன்கு கலக்கவும்.
தேன், உலர் பழங்கள் மற்றும் உங்களுக்கு விருப்பமான கொட்டைகளைச் சேர்க்கவும். நீங்கள் புதிய பழங்களை கூட சேர்க்கலாம்.
சூடாக பரிமாறவும். இது ஒரு நிரப்பு காலை உணவாக அமைகிறது மற்றும் பசையம் இல்லாத உணவில் உள்ள எவருக்கும் இது ஒரு சிறந்த தேர்வாகும்.</t>
  </si>
  <si>
    <t xml:space="preserve">   Quinoa - 1/2 cup cooked,
   Olive oil - 2-3 tsp,
   Onion – 1/4 cup,
   Garlic – 4 cloves minced,
   Capsicum – 1/3 cup,
   Sweet Corn – 1/4 cup,
   Broccoli – 2 florets chopped,
   Black Olives – 6,
   Fresh Parsley – 2 tbsp finely chopped,
   Eggs - 2,
   Grated cheese – 1/4 cup flat,
   Dried Basil – 1/2 tsp,
   Oregano – 1/2 tsp,
   Pepper powder as needed,
   Salt to taste.</t>
  </si>
  <si>
    <t>குயினோவா - 1/2 கப் சமைத்த,
ஆலிவ் எண்ணெய் - 2-3 தேக்கரண்டி,
வெங்காயம் - 1/4 கப்,
பூண்டு - 4 பல் நறுக்கியது,
கேப்சிகம் - 1/3 கப்,
இனிப்பு சோளம் - 1/4 கப்,
ப்ரோக்கோலி - 2 பூக்கள் நறுக்கியது,
கருப்பு ஆலிவ் - 6,
புதிய வோக்கோசு - 2 தேக்கரண்டி நன்றாக நறுக்கியது,
முட்டை - 2,
துருவிய சீஸ் - 1/4 கப் தட்டையானது,
உலர்ந்த துளசி - 1/2 தேக்கரண்டி,
ஆர்கனோ - 1/2 தேக்கரண்டி,
தேவைக்கேற்ப மிளகு தூள்,
சுவைக்கேற்ப உப்பு.</t>
  </si>
  <si>
    <t xml:space="preserve">Heat oil, add finely chopped onions, garlic and saute until it turns transparent.
Then add all the vegetables and cook for a few minutes. Do not over cook the vegetables.
Add parsley, olives, dried basil, oregano, salt and pepper powder.
Add the cooked quinoa to the vegetable mixture.
Mix everything well.
In a bowl whisk eggs, add cheese and mix well.
Now add the quinoa + vegetable mixture to the egg + cheese mixture and mix well.
Fill muffin pan up to 3/4 or you can use a baking pan lined with parchment paper. In spite of greasing the pan well, I had great difficulty in removing the muffins from the pan. So I suggest using liners that are well sprayed or greased or you can use silicone cup cake molds.
Bake in a pre heated oven for 15-20 minutes or until a toothpick inserted in the center comes out clean.
Cool for 10 minutes, then remove from the pan and transfer them to a wire rack. Serve warm.
 </t>
  </si>
  <si>
    <t>எண்ணெயை சூடாக்கி, இறுதியாக நறுக்கிய வெங்காயம், பூண்டு சேர்த்து அது வெளிப்படையானதாக மாறும் வரை வதக்கவும்.
பின்னர் அனைத்து காய்கறிகளையும் சேர்த்து சில நிமிடங்கள் சமைக்கவும். காய்கறிகளை அதிகமாக சமைக்க வேண்டாம்.
வோக்கோசு, ஆலிவ், உலர்ந்த துளசி, ஆர்கனோ, உப்பு மற்றும் மிளகு தூள் சேர்க்கவும்.
சமைத்த குயினோவாவை காய்கறி கலவையில் சேர்க்கவும்.
அனைத்தையும் நன்றாக கலக்கவும்.
ஒரு பாத்திரத்தில் முட்டைகளை அடித்து, சீஸ் சேர்த்து நன்கு கலக்கவும்.
இப்போது முட்டை + சீஸ் கலவையுடன் குயினோவா + காய்கறி கலவையைச் சேர்த்து நன்கு கலக்கவும்.
மஃபின் பானை 3/4 ஆக நிரப்பவும் அல்லது காகிதத்தோல் பூசப்பட்ட பேக்கிங் பானைப் பயன்படுத்தலாம். வாணலியை நன்றாக நெய் தடவியிருந்தாலும், வாணலியில் இருந்து மஃபின்களை அகற்றுவதில் எனக்கு மிகவும் சிரமமாக இருந்தது. எனவே நன்கு தெளிக்கப்பட்ட அல்லது எண்ணெய் தடவிய லைனர்களைப் பயன்படுத்த பரிந்துரைக்கிறேன் அல்லது சிலிகான் கப் கேக் அச்சுகளைப் பயன்படுத்தலாம்.
முன் சூடாக்கப்பட்ட அடுப்பில் 15-20 நிமிடங்கள் அல்லது மையத்தில் செருகப்பட்ட ஒரு டூத்பிக் சுத்தமாக வெளியே வரும் வரை சுடவும்.
10 நிமிடங்கள் குளிர்ந்து, பின்னர் வாணலியில் இருந்து அகற்றி ஒரு கம்பி ரேக்கிற்கு மாற்றவும். சூடாக பரிமாறவும்.</t>
  </si>
  <si>
    <t>https://farm4.staticflickr.com/3797/14099340208_7e5ed5ff03_o.jpg</t>
  </si>
  <si>
    <t xml:space="preserve">   Potato – 2,
   Onion – 1,
   Green chillies – 1,
   Turmeric powder – 1/4 tsp,
   Salt needed,
   Oil – 3 tsp,
   Cumin seeds - 1 tsp,
   Curry leaves – 1 sprig,
   coriander leaves,
   Onion slices,
   Tomato slices,
   Cucumber slices,
   Chaat Masala – as needed.</t>
  </si>
  <si>
    <t>உருளைக்கிழங்கு - 2,
வெங்காயம் - 1,
பச்சை மிளகாய் - 1,
மஞ்சள் தூள் - 1/4 டீஸ்பூன்,
உப்பு தேவை,
எண்ணெய் - 3 டீஸ்பூன்,
சீரகம் - 1 டீஸ்பூன்,
கறிவேப்பிலை - 1 துளிர்,
கொத்தமல்லி இலைகள்,
வெங்காய துண்டுகள்,
தக்காளி துண்டுகள்,
வெள்ளரிக்காய் துண்டுகள்,
சாட் மசாலா - தேவைக்கேற்ப.</t>
  </si>
  <si>
    <t>Now we have bread, potato masala, green chutney, butter (I used homemade butter) vegetables and chaat masala powder ready (available ready made).
Trim the corners of the bread if required. I did not trim it. Apply butter on one side of the bread.
Then apply green chutney on the bread. Then spread potato masala on top of the green chutney.
Place 1 or 2 slices of cucumber, tomato, onion on top of the potato masala and sprinkle chaat masala powder on top of it.
Close it with another bread. Apply butter on top of that bread and toast the prepared sandwich.
I used a stove top sandwich toaster. Grease a little butter on the toaster, place the prepared sandwich and toast both sides until golden brown. If you do not have a toaster, you can do this on a tawa also by pressing it well.</t>
  </si>
  <si>
    <t>இப்போது நம்மிடம் ரொட்டி, உருளைக்கிழங்கு மசாலா, பச்சை சட்னி, வெண்ணெய் (நான் வீட்டில் வெண்ணெய் பயன்படுத்தினேன்) காய்கறிகள் மற்றும் சாட் மசாலா தூள் தயாராக உள்ளது (ரெடிமேட் கிடைக்கும்).
தேவைப்பட்டால் ரொட்டியின் மூலைகளை வெட்டுங்கள். நான் அதை வெட்டவில்லை. ரொட்டியின் ஒரு பக்கத்தில் வெண்ணெய் தடவவும்.
பின்னர் ரொட்டியில் பச்சை சட்னி தடவவும். பின்னர் பச்சை சட்னியின் மேல் உருளைக்கிழங்கு மசாலாவை பரப்பவும்.
உருளைக்கிழங்கு மசாலாவின் மேல் 1 அல்லது 2 துண்டுகள் வெள்ளரி, தக்காளி, வெங்காயம் ஆகியவற்றை வைத்து அதன் மேல் சாட் மசாலா பொடியைத் தூவவும்.
மற்றொரு ரொட்டியுடன் அதை மூடி வைக்கவும். அந்த ரொட்டியின் மேல் வெண்ணெய் தடவி, தயாரிக்கப்பட்ட சாண்ட்விச்சை டோஸ்ட் செய்யவும்.
நான் ஸ்டவ் டாப் சாண்ட்விச் டோஸ்டரைப் பயன்படுத்தினேன். டோஸ்டரில் சிறிது வெண்ணெய் தடவி, தயாரிக்கப்பட்ட சாண்ட்விச்சை வைத்து இருபுறமும் பொன்னிறமாகும் வரை வறுக்கவும். உங்களிடம் டோஸ்டர் இல்லையென்றால், அதை நன்றாக அழுத்தி தவாவில் செய்யலாம்.</t>
  </si>
  <si>
    <t>https://www.vegrecipesofindia.com/wp-content/uploads/2010/04/bombay-masala-toast-sandwich-recipe-1a.jpg</t>
  </si>
  <si>
    <t>https://youtu.be/8hdYiz-Q6H8</t>
  </si>
  <si>
    <t>Ragi Idli</t>
  </si>
  <si>
    <t>ராகி இட்லி</t>
  </si>
  <si>
    <t>1 cup -  Idli Rice,
2 cups -  Ragi flour,
1 cup -  Whole Urad dal ,
1/2 tsp -  Fenugreek seeds ,
Salt as needed.</t>
  </si>
  <si>
    <t>1 கப் - இட்லி அரிசி,
2 கப் - ராகி மாவு,
1 கப் - முழு உளுத்தம் பருப்பு,
1/2 தேக்கரண்டி - வெந்தயம்,
தேவைக்கேற்ப உப்பு.</t>
  </si>
  <si>
    <t>Heat water in an idli vessel or steamer. Mix the fermented ragi idli batter well and pour a ladle of batter into the greased idli molds and place it inside the steamer or idli cooker.
Steam cook for 10-15 minutes or until a toothpick inserted in the center of the idli comes out clean.
Remove from the mold after 2-3 minutes using a spoon dipped in water.
Serve Ragi Idli hot with sambar or chutney of your choice.</t>
  </si>
  <si>
    <t>ஒரு இட்லி பாத்திரத்தில் அல்லது ஸ்டீமரில் தண்ணீரை சூடாக்கவும். புளித்த ராகி இட்லி மாவை நன்கு கலந்து, எண்ணெய் தடவிய இட்லி அச்சுகளில் ஒரு கரண்டி மாவை ஊற்றி, ஸ்டீமர் அல்லது இட்லி குக்கரில் வைக்கவும்.
10-15 நிமிடங்கள் அல்லது இட்லியின் மையத்தில் செருகப்பட்ட ஒரு டூத்பிக் சுத்தமாக வெளியே வரும் வரை வேகவைக்கவும்.
2-3 நிமிடங்களுக்குப் பிறகு தண்ணீரில் நனைத்த ஒரு கரண்டியைப் பயன்படுத்தி அச்சிலிருந்து அகற்றவும்.
ராகி இட்லியை உங்களுக்கு விருப்பமான சாம்பார் அல்லது சட்னியுடன் சூடாக பரிமாறவும்.</t>
  </si>
  <si>
    <t>https://www.indianhealthyrecipes.com/wp-content/uploads/2020/01/soft-ragi-idli.jpg</t>
  </si>
  <si>
    <t>https://youtu.be/P9dYzaYdDfk</t>
  </si>
  <si>
    <t xml:space="preserve">   Poha – 1 cup,
   Split green gram dal – 1/4 cup,
   Turmeric Powder – a pinch,
   Whole black pepper – 1 tbsp flat,
   Cumin seeds – 2 tsp,
   Cashew nuts – 6-8,
   Salt to taste,
   Oil – 2 tbsp,
   Ghee – 4 tsp,
   Hing – a generous pinch,
   Ginger – 1 inch piece,
   Green chilli – 1 ,
   Curry leaves – 2 sprigs.</t>
  </si>
  <si>
    <t>போஹா - 1 கப்,
பச்சைப் பயறு - 1/4 கப்,
மஞ்சள் தூள் - ஒரு சிட்டிகை,
முழு கருப்பு மிளகு - 1 டீஸ்பூன் தட்டையானது,
சீரகம் - 2 டீஸ்பூன்,
முந்திரி பருப்பு - 6-8,
ருசிக்க உப்பு,
எண்ணெய் - 2 டீஸ்பூன்,
நெய் - 4 டீஸ்பூன்,
பெருங்காயம் - ஒரு சிட்டிகை,
இஞ்சி - 1 அங்குல துண்டு,
பச்சை மிளகாய் - 1 ,
கறிவேப்பிலை - 2 தண்டுகள்.</t>
  </si>
  <si>
    <t>Heat oil + ghee, add hing, finely chopped ginger, green chillies and curry leaves. Saute for a few seconds.
Then add the ground pepper + cumin powder and saute for a few more seconds.
Add the cooked dal and salt needed. Then add the aval and mix well.
Cook for a few seconds until everything gets blended well. Add cashew nuts and remove from heat.
Serve aval ven pongal with chutney or sambar.</t>
  </si>
  <si>
    <t>எண்ணெய் + நெய்யை சூடாக்கி, அவல், இறுதியாக நறுக்கிய இஞ்சி, பச்சை மிளகாய் மற்றும் கறிவேப்பிலை சேர்க்கவும். சில நொடிகள் வதக்கவும்.
பின்னர் அரைத்த மிளகு + சீரகப் பொடியைச் சேர்த்து இன்னும் சில நொடிகள் வதக்கவும்.
சமைத்த பருப்பைச் சேர்த்து தேவையான உப்பு சேர்க்கவும். பின்னர் அவல் சேர்த்து நன்கு கலக்கவும்.
எல்லாம் நன்றாகக் கலக்கும் வரை சில நொடிகள் சமைக்கவும். முந்திரி பருப்புகளைச் சேர்த்து அடுப்பிலிருந்து இறக்கவும்.
சட்னி அல்லது சாம்பாருடன் அவல் வெண் பொங்கலைப் பரிமாறவும்.</t>
  </si>
  <si>
    <t>https://encrypted-tbn0.gstatic.com/images?q=tbn:ANd9GcSc2AUlJwsoYze1oG4Mhz8dul9FMrN_pV-y0g&amp;s</t>
  </si>
  <si>
    <t>Vegetable Idli</t>
  </si>
  <si>
    <t>காய்கறி இட்லி</t>
  </si>
  <si>
    <t xml:space="preserve">   Idli Batter – 3 cups,
   Vegetables – 2 cups,
   Green Chilli – 1 ,
   Oil - 2 tsp,
   Cumin seeds – 1 tsp,
   Salt to taste,
   Coriander leaves.</t>
  </si>
  <si>
    <t>இட்லி மாவு - 3 கப்,
காய்கறிகள் - 2 கப்,
பச்சை மிளகாய் - 1 ,
எண்ணெய் - 2 தேக்கரண்டி,
சீரகம் - 1 தேக்கரண்டி,
சுவைக்கு உப்பு,
கொத்தமல்லி இலைகள்.</t>
  </si>
  <si>
    <t>Heat oil in a pan, add cumin seeds, when it splutters, add all the vegetables, salt needed and cook on medium flame for a few minutes stirring frequently. You do not have to cook it fully as we are going to steam it. Add coriander leaves and remove from heat.
After it cools, mix it with the idli batter. Take a ladle of batter and pour it in the idli molds.
Steam for 15 minutes or until a toothpick inserted in the center comes out clean.
Serve with Idli Milagai Podi or mint chutney or coriander chutney.</t>
  </si>
  <si>
    <t>ஒரு கடாயில் எண்ணெயை சூடாக்கி, சீரகம் சேர்த்து, அது வதங்கியதும், தேவையான அனைத்து காய்கறிகளையும், உப்பு சேர்த்து, அடிக்கடி கிளறி, மிதமான தீயில் சில நிமிடங்கள் சமைக்கவும். நாம் அதை வேகவைக்கப் போகிறோம் என்பதால், நீங்கள் அதை முழுமையாக சமைக்க வேண்டியதில்லை. கொத்தமல்லி இலைகளைச் சேர்த்து அடுப்பிலிருந்து அகற்றவும்.
அது குளிர்ந்த பிறகு, இட்லி மாவுடன் கலக்கவும். ஒரு கரண்டி மாவை எடுத்து இட்லி அச்சுகளில் ஊற்றவும்.
15 நிமிடங்கள் அல்லது நடுவில் செருகப்பட்ட ஒரு பல் துலக்கி சுத்தமாக வெளியே வரும் வரை ஆவியில் வேகவைக்கவும்.
இட்லி மிலகை பொடி அல்லது புதினா சட்னி அல்லது கொத்தமல்லி சட்னியுடன் பரிமாறவும்.</t>
  </si>
  <si>
    <t>https://www.cookshideout.com/wp-content/uploads/2018/12/Vegetable-Idli_New_FI.jpg</t>
  </si>
  <si>
    <t xml:space="preserve">   Eggs - 2,
   Onion finely chopped - 1/2 cup,
   Tomato - 1 big,
   Green chilli - 1 ,
   Ginger Garlic paste - 1/2 tsp,
   Salt to taste,
   Chilli powder - 1/2 tsp,
   Coriander powder - 1 tsp,
   Turmeric powder - 1/4 tsp,
   garam masala powder - 1/2 tsp,
   Oil - 1 tbsp,
   Cumin seeds - 1 tsp,
   Coriander leaves.</t>
  </si>
  <si>
    <t>முட்டை - 2,
வெங்காயம் பொடியாக நறுக்கியது - 1/2 கப்,
தக்காளி - 1 பெரியது,
பச்சை மிளகாய் - 1 ,
இஞ்சி பூண்டு விழுது - 1/2 டீஸ்பூன்,
ருசிக்க உப்பு,
மிளகாய் தூள் - 1/2 டீஸ்பூன்,
கொத்தமல்லி தூள் - 1 டீஸ்பூன்,
மஞ்சள் தூள் - 1/4 டீஸ்பூன்,
கரம் மசாலா தூள் - 1/2 டீஸ்பூன்,
எண்ணெய் - 1 டீஸ்பூன்,
சீரகம் - 1 டீஸ்பூன்,
கொத்தமல்லி இலைகள்.</t>
  </si>
  <si>
    <t>எண்ணெயை சூடாக்கி, சீரகம் சேர்த்து, அது வதங்கியதும், இறுதியாக நறுக்கிய வெங்காயம் மற்றும் பச்சை மிளகாய் சேர்க்கவும்.
வெங்காயம் சிறிது பழுப்பு நிறமாக மாறும் வரை வதக்கவும். இஞ்சி பூண்டு விழுது சேர்த்து மேலும் சில நிமிடங்கள் வதக்கவும்.
பின்னர் தக்காளி, தேவையான அனைத்து மசாலா தூள் மற்றும் உப்பு சேர்க்கவும்.
தக்காளி மென்மையாக மாறும் வரை மற்றும் மசாலா பொடியின் பச்சை வாசனை போகும் வரை சமைக்கவும்.
அடித்த முட்டைகளைச் சேர்த்து, முட்டைகள் வேகவைத்து துருவல் ஆகும் வரை மிதமான தீயில் 2-3 நிமிடங்கள் வதக்கவும்.
கொத்தமல்லி இலைகளால் அலங்கரித்து, பிரெட் டோஸ்ட், சாதம், பரோட்டா அல்லது சப்பாத்தியுடன் சூடாகப் பரிமாறவும்.</t>
  </si>
  <si>
    <t>Health Mix Powder</t>
  </si>
  <si>
    <t>சுகாதார கலவை தூள்</t>
  </si>
  <si>
    <t xml:space="preserve">   Finger millet - 1 kg,
   Pearl Millet - 1 kg,
   Green gram - 1/2 kg,
   Red Rice - 1/4 kg,
   Roasted gram - 1/4 kg,
   Foxtail millet - 1/2 cup,
   Horse Gram – 100 grams,
   Barley - 100 grams,
   Almonds - 25 ,
   Cashew nuts - 10,
   Peanuts - 100 grams,
   Cardamom - 6,
   Dry ginger - 1 inch piece.</t>
  </si>
  <si>
    <t>கேழ்வரகு - 1 கிலோ,
முத்து தினை - 1 கிலோ,
பச்சை பயறு - 1/2 கிலோ,
சிவப்பு அரிசி - 1/4 கிலோ,
வறுத்த பயறு - 1/4 கிலோ,
ஃபாக்ஸ்டெயில் தினை - 1/2 கப்,
குதிரைவாலி - 100 கிராம்,
பார்லி - 100 கிராம்,
பாதாம் - 25 ,
முந்திரி பருப்பு - 10,
வேர்க்கடலை - 100 கிராம்,
ஏலக்காய் - 6,
உலர்ந்த இஞ்சி - 1 அங்குல துண்டு.</t>
  </si>
  <si>
    <t>Clean all the ingredients. If you buy branded organic ingredients, you can skip this step as mostly it is clean and can be used as such.
Dry roast all the ingredients (except cardamom) separately until you get a nice aroma of roasted ingredients. Spread the roasted ingredients on a plate to cool. Then mix everything together.
Get it ground in a flour mill to a fine powder. Spread it on a plate to cool and then store it in an air tight container or stainless steel container. Those who are staying abroad, can prepare less quantity and dry grind it in a mixie.
This powder has a self life of 3-4 months at room temperature. If  kept in the freezer, it can be kept for more than 6 months.
Porridge prepared from this health mix can be given to babies above 1 year and to people of all age groups. When giving to babies, start with 1 tsp and then increase gradually to 2 or 2 1/2 tsp. Consult your pediatrician before starting any new food for babies.</t>
  </si>
  <si>
    <t>அனைத்து பொருட்களையும் சுத்தம் செய்யவும். நீங்கள் பிராண்டட் ஆர்கானிக் பொருட்களை வாங்கினால், பெரும்பாலும் இது சுத்தமானது மற்றும் அப்படியே பயன்படுத்தப்படலாம் என்பதால் இந்த படிநிலையை நீங்கள் தவிர்க்கலாம்.
வறுத்த பொருட்களின் நல்ல நறுமணம் கிடைக்கும் வரை அனைத்து பொருட்களையும் (ஏலக்காய் தவிர) தனித்தனியாக உலர வறுக்கவும். வறுத்த பொருட்களை குளிர்விக்க ஒரு தட்டில் பரப்பவும். பின்னர் அனைத்தையும் ஒன்றாக கலக்கவும்.
ஒரு மாவு ஆலையில் நன்றாக தூள் செய்து, குளிர்விக்க ஒரு தட்டில் பரப்பி, பின்னர் காற்று புகாத கொள்கலன் அல்லது ஸ்டெயின்லெஸ் ஸ்டீல் கொள்கலனில் சேமிக்கவும். வெளிநாட்டில் இருப்பவர்கள், குறைந்த அளவு தயாரித்து, மிக்ஸியில் அரைத்து உலர்த்தலாம்.
இந்தப் பொடி அறை வெப்பநிலையில் 3-4 மாதங்கள் வரை நீடிக்கும். ஃப்ரீசரில் வைத்திருந்தால், 6 மாதங்களுக்கும் மேலாக வைத்திருக்கலாம்.
இந்த ஆரோக்கியமான கலவையிலிருந்து தயாரிக்கப்பட்ட கஞ்சியை 1 வயதுக்கு மேற்பட்ட குழந்தைகளுக்கும், அனைத்து வயதினருக்கும் கொடுக்கலாம். குழந்தைகளுக்குக் கொடுக்கும்போது, ​​1 டீஸ்பூன் தொடங்கி, படிப்படியாக 2 அல்லது 2 1/2 டீஸ்பூன் வரை அதிகரிக்கவும். குழந்தைகளுக்கு எந்த புதிய உணவையும் தொடங்குவதற்கு முன் உங்கள் குழந்தை மருத்துவரை அணுகவும்.</t>
  </si>
  <si>
    <t>https://images.jdmagicbox.com/quickquotes/images_main/harasu-millet-health-mix-floor-375688996-5rz5u.jpg</t>
  </si>
  <si>
    <t>Thinai Idli</t>
  </si>
  <si>
    <t>திணை இட்லி</t>
  </si>
  <si>
    <t xml:space="preserve">   Foxtail millet - 3 cups,
   Whole Urad dal - 1 cup,
   Fenugreek seeds – 2 tsp,
   Salt to taste.</t>
  </si>
  <si>
    <t>ஃபாக்ஸ்டெயில் தினை - 3 கப்,
முழு உளுத்தம் பருப்பு - 1 கப்,
வெந்தயம் விதைகள் - 2 தேக்கரண்டி,
ருசிக்க உப்பு.</t>
  </si>
  <si>
    <t>You can use a steamer or idli cooker to make idlis.
Bring water to boil first. Then grease the idli mold with oil and pour a ladle of fermented batter into the moulds. Steam for 15 minutes or until a toothpick inserted in the center of the idli comes out clean.
After it cools a little, remove the idlis from the mould and serve hot with sambar or chutney of your choice.</t>
  </si>
  <si>
    <t>இட்லி தயாரிக்க நீங்கள் ஒரு ஸ்டீமர் அல்லது இட்லி குக்கரைப் பயன்படுத்தலாம்.
முதலில் தண்ணீரை கொதிக்க வைக்கவும். பின்னர் இட்லி அச்சுக்குள் எண்ணெய் தடவி, ஒரு கரண்டி புளித்த மாவை அச்சுகளில் ஊற்றவும். 15 நிமிடங்கள் அல்லது இட்லியின் மையத்தில் செருகப்பட்ட ஒரு டூத்பிக் சுத்தமாக வெளியே வரும் வரை ஆவியில் வேகவைக்கவும்.
சிறிது ஆறிய பிறகு, இட்லிகளை அச்சுகளிலிருந்து அகற்றி, உங்களுக்கு விருப்பமான சாம்பார் அல்லது சட்னியுடன் சூடாகப் பரிமாறவும்.</t>
  </si>
  <si>
    <t>https://i.ytimg.com/vi/dlHUrsjqWbA/hqdefault.jpg</t>
  </si>
  <si>
    <t>Mudakathan Keerai Dosai</t>
  </si>
  <si>
    <t>முடக்காத்தான் கீரை தோசை</t>
  </si>
  <si>
    <t xml:space="preserve">   Mudakathan Keerai - 1 cup firmly packed,
   Raw rice – 3/4 cup,
   Par Boiled rice  – 3/4 cup,
   Whole Urad dal – 1/2 cup,
   Fenugreek seeds - 3/4 tsp,
   Salt needed,
   Oil for making dosas.</t>
  </si>
  <si>
    <t>முடக்காத்தான் கீரை - 1 கப் உறுதியாகப் பொதி செய்யப்பட்டது,
பச்சரிசி - 3/4 கப்,
வேகவைத்த அரிசி - 3/4 கப்,
முழு உளுத்தம் பருப்பு - 1/2 கப்,
வெந்தயம் - 3/4 டீஸ்பூன்,
உப்பு தேவை,
தோசை செய்ய எண்ணெய்.</t>
  </si>
  <si>
    <t>Heat a tawa, pour a ladle of batter in the center and spread it in a circular motion. You can make thick dosas like uthapam or thin dosa with this batter.
Drizzle a tsp of oil around the dosa, once the edges starts lifting up, flip it over to the other side and drizzle another 1/2 tsp of oil.
Once cooked, remove from tawa and serve hot with any chutney of your choice.</t>
  </si>
  <si>
    <t>ஒரு தவாவை சூடாக்கி, மையத்தில் ஒரு கரண்டி மாவை ஊற்றி வட்ட வடிவில் பரப்பவும். இந்த மாவுடன் உதப்பம் அல்லது மெல்லிய தோசை போன்ற தடிமனான தோசைகளை நீங்கள் செய்யலாம்.
தோசையைச் சுற்றி ஒரு டீஸ்பூன் எண்ணெயைத் தடவவும், விளிம்புகள் மேலே எழத் தொடங்கியதும், அதை மறுபுறம் திருப்பி, மற்றொரு 1/2 டீஸ்பூன் எண்ணெயைத் தெளிக்கவும்.
சமைத்த பிறகு, தவாவிலிருந்து இறக்கி, உங்களுக்கு விருப்பமான எந்த சட்னியுடன் சூடாகப் பரிமாறவும்.</t>
  </si>
  <si>
    <t>https://rakskitchen.net/wp-content/uploads/2017/03/mudakathan-dosai-recipe-500x375.jpg</t>
  </si>
  <si>
    <t xml:space="preserve">   Rice flour - 1 cup,
   Onion - 2 medium size,
   Green chilli - 2,
   Cumin seeds - 1 tsp,
   Grated coconut - 3 tbsp,
   Coriander leaves,
   Salt to taste,
   Oil for making akki roti.</t>
  </si>
  <si>
    <t>அரிசி மாவு - 1 கப்,
வெங்காயம் - 2 நடுத்தர அளவு,
பச்சை மிளகாய் - 2,
சீரகம் - 1 தேக்கரண்டி,
தேங்காய் துருவல் - 3 தேக்கரண்டி,
கொத்தமல்லி இலைகள்,
சுவைக்கேற்ப உப்பு,
அக்கி ரொட்டி செய்ய எண்ணெய்.</t>
  </si>
  <si>
    <t>ஒரு தட்டில் அல்லது கிண்ணத்தில், அரிசி மாவு, இறுதியாக நறுக்கிய வெங்காயம், பச்சை மிளகாய், சீரகம், கொத்தமல்லி இலைகள், துருவிய தேங்காய் மற்றும் தேவையான உப்பு ஆகியவற்றை ஒன்றாக சேர்த்து கலக்கவும். தேவையான தண்ணீர் சேர்த்து மென்மையான மாவை தயார் செய்யவும்.
மாவை 3 சம பாகங்களாக பிரிக்கவும். ஒரு தவா அல்லது கிரில் அல்லது ஒரு கடாயில் எண்ணெயுடன் தடவவும் (ஆம், நீங்கள் அதை ஒரு கடாயிலும் தயாரிக்கலாம்) மற்றும் தயாராக வைக்கவும். ஒரு உருண்டை மாவை எடுத்து கீழே உள்ள படத்தில் காட்டப்பட்டுள்ளபடி சமமாகவும் மெல்லியதாகவும் பரப்பவும். பரவுவதை எளிதாக்க உங்கள் விரல்களில் எண்ணெயை தடவலாம். ரொட்டியில் 5-6 துளைகளை உருவாக்குங்கள், ஏனெனில் அது நன்றாக சமைக்க உதவும்.
பின்னர் கடாயை சூடாக்கி, ரொட்டியைச் சுற்றி மற்றும் துளைகளுக்குள் ஒரு தேக்கரண்டி எண்ணெயைத் தூவவும். மிதமான தீயில் மூடி வைக்கவும்.
அது பழுப்பு நிறமாக மாறத் தொடங்கியதும், அதை மறுபுறம் திருப்பி பொன்னிறமாகும் வரை வறுக்கவும்.
உங்களிடம் மற்றொரு தவா இருந்தால், மீதமுள்ள மாவிற்கும் இதே செயல்முறையை மீண்டும் செய்யலாம், இல்லையெனில், ஓடும் நீரின் கீழ் தவாவின் பின்புறத்தைக் காட்டி தவாவை குளிர்வித்து, பின்னர் மாவை தவாவின் மீது பரப்பவும்.
தக்காளி தொக்கு, மாம்பழ தொக்கு அல்லது சட்னி அல்லது வெறும் தயிருடன் அக்கி ரொட்டியை சூடாகப் பரிமாறவும்.</t>
  </si>
  <si>
    <t>https://encrypted-tbn0.gstatic.com/images?q=tbn:ANd9GcRU7WRZT30KWsd_kxgteDVXS-MQACLvf82atg&amp;s</t>
  </si>
  <si>
    <t xml:space="preserve">   Sabudana - 1/2 cup,
   Potato - 2 ,
   Cumin seeds -1 tsp,
   Ginger - 1 inch piece ,
   Green chillies – 4,
   Roasted peanuts - 1/4 cup,
   Coriander leaves finely chopped - 1/4 cup,
   Oil - 2 tsp,
   Salt needed,
   Oil .</t>
  </si>
  <si>
    <t>சபுதானா - 1/2 கப்,
உருளைக்கிழங்கு - 2 ,
சீரகம் - 1 தேக்கரண்டி,
இஞ்சி - 1 அங்குல துண்டு,
பச்சை மிளகாய் - 4,
வறுத்த வேர்க்கடலை - 1/4 கப்,
கொத்தமல்லி இலைகள் நன்றாக நறுக்கியது - 1/4 கப்,
எண்ணெய் - 2 தேக்கரண்டி,
உப்பு தேவை,
எண்ணெய் .</t>
  </si>
  <si>
    <t>ஒரு பாத்திரத்தில், துருவிய உருளைக்கிழங்கு, சீரகம், இறுதியாக நறுக்கிய கொத்தமல்லி இலைகள், இஞ்சி, பச்சை மிளகாய், கரடுமுரடான வேர்க்கடலை மற்றும் உப்பு ஆகியவற்றை ஒன்றாக கலக்கவும். கட்டிகள் இல்லாமல் பார்த்துக் கொள்ளுங்கள்.
ஊறவைத்த சபுதானா, 2 தேக்கரண்டி எண்ணெய் சேர்த்து எல்லாவற்றையும் நன்றாக கலந்து மாவை உருவாக்குங்கள். கலவை மிகவும் வறண்டிருந்தால் நீங்கள் ஒரு தேக்கரண்டி தண்ணீர் சேர்க்கலாம். உப்பு இருக்கிறதா என்று சரிபார்க்கவும்.
உங்கள் கைகளை நனைத்து, ஒரு உருண்டை மாவை எடுத்து ஒரு ஜிப்லாக் பையில் அல்லது எந்த பிளாஸ்டிக் தாளில் அல்லது வாழை இலையில் கூட மெல்லிய வட்டமாக பரப்பவும். நான் அதை நேரடியாக தவாவில் செய்தேன், பின்னர் அதை சூடாக்கினேன்.
தவாவை எண்ணெய் தடவி சூடாக்கவும். இப்போது தயாரிக்கப்பட்ட தாலிபீத்தை மெதுவாக தவாவிற்கு மாற்றி, 4-5 துளைகளை உருவாக்கி, தாலிபீத்தைச் சுற்றிலும் துளைகளிலும் எண்ணெயைத் தெளிக்கவும்.
குறைந்த அல்லது மிதமான வெப்பத்தில் அது பழுப்பு நிறமாகத் தொடங்கும் வரை சமைக்கவும். அதை மறுபுறம் திருப்பி, இருபுறமும் பொன்னிறமாகும் வரை நன்றாக சமைக்கவும்.
இந்த மிகவும் சுவையான உணவை எந்த ரைத்தா, தயிர் அல்லது உங்களுக்கு விருப்பமான சட்னியுடன் சூடாக அனுபவிக்கவும்.</t>
  </si>
  <si>
    <t>https://encrypted-tbn0.gstatic.com/images?q=tbn:ANd9GcRMKR0vmc92gSnZ2JAN2ehKNICyxHTC9ZGfsA&amp;s</t>
  </si>
  <si>
    <t>குயினோவா உப்புமா</t>
  </si>
  <si>
    <t xml:space="preserve">   Quinoa - 1/2 cup,
   Onion - 1/3 cup,
   Green chilli - 2 slit,
   Peeled and chopped ginger - 1 tbsp,
   Carrot + beans together - 1/2 cup,
   Capsicum - 1/2 a capsicum,
   Potato - 1/4 cup,
   Tomato – 1,
   Salt - 1 tsp ,
   Oil - 2 tbsp,
   Mustard seeds - 1 tsp,
   Urad dal - 1/2 tsp,
   Bengal gram - 1/2 tsp,
   Red chillies - 1-2,
   Hing - 1/4 tsp,
   Curry leaves.</t>
  </si>
  <si>
    <t>குயினோவா - 1/2 கப்,
வெங்காயம் - 1/3 கப்,
பச்சை மிளகாய் - 2 துண்டுகள்,
தோல் நீக்கி நறுக்கிய இஞ்சி - 1 டீஸ்பூன்,
கேரட் + பீன்ஸ் ஒன்றாக - 1/2 கப்,
கேப்சிகம் - 1/2 ஒரு கேப்சிகம்,
உருளைக்கிழங்கு - 1/4 கப்,
தக்காளி - 1,
உப்பு - 1 டீஸ்பூன்,
எண்ணெய் - 2 டீஸ்பூன்,
கடுகு - 1 டீஸ்பூன்,
உளுத்தம் பருப்பு - 1/2 டீஸ்பூன்,
வங்காள பருப்பு - 1/2 டீஸ்பூன்,
சிவப்பு மிளகாய் - 1-2,
ஹிங் - 1/4 டீஸ்பூன்,
கறிவேப்பிலை.</t>
  </si>
  <si>
    <t>Chana Dal Paratha</t>
  </si>
  <si>
    <t>சன்னா தால் பராத்தா</t>
  </si>
  <si>
    <t xml:space="preserve">   multi grain atta - 1 1/4 cup,
   Salt - 1/4 tsp,
   Oil - 2 tsp,
   Channa dal-bengal gram - 1/4 cup,
   Onion - 1 ,
   Green chilli -1 ,
   Ginger grated - 1/4 tsp,
   Garam masala powder  - 3/4 tsp,
   Cumin powder - 1/2 tsp,
   Coriander powder - 1/2 tsp,
   Hing - a pinch,
   Coriander leaves - 2 tbsp,
   Salt neededc,
   Oil for making parathas.
</t>
  </si>
  <si>
    <t>பல தானிய ஆட்டா - 1 1/4 கப்,
உப்பு - 1/4 தேக்கரண்டி,
எண்ணெய் - 2 தேக்கரண்டி,
சன்னா பருப்பு-பெங்கல் - 1/4 கப்,
வெங்காயம் - 1 ,
பச்சை மிளகாய் - 1 ,
இஞ்சி துருவியது - 1/4 தேக்கரண்டி,
கரம் மசாலா தூள் - 3/4 தேக்கரண்டி,
சீரக தூள் - 1/2 தேக்கரண்டி,
கொத்தமல்லி தூள் - 1/2 தேக்கரண்டி,
ஹிங் - ஒரு சிட்டிகை,
கொத்தமல்லி இலை - 2 தேக்கரண்டி,
உப்பு தேவைc,
பராத்தாக்கள் செய்ய எண்ணெய்.</t>
  </si>
  <si>
    <t>Now take the paratha dough, make equal lemon sized balls out of it. Dusting flour, roll out a ball into a small circle about 4-5 inches in diameter, keep a tbsp of stuffing on it. 
Bring the edges or corners together and seal it. Press it and roll out the dough with the stuffing into a circle of  approximately 6-7″ diameter dusting wheat flour.
Heat a tawa well, place the rolled out dough on it, when you see bubbles forming on the top, apply a tsp of oil and flip it over to the other side. Spread another tsp of oil on the other side of  the paratha and cook both sides well until golden brown spots appear.
Repeat the same process for the rest of the dough.
I prefer this method for dal paratha as it is much easier for me. In this method, you will get only 3 or 4 parathas depending on the size of the paratha.
Take 2 lemon sized balls of the dough, roll out each ball into a circle of 5″ diameter. Spread the stuffing on a rolled out dough leaving a cm gap around (see picture below). Close it with the other rolled out dough. Press lightly and seal the edges well.
Roll out the dough again into a circle of approximately 6 or 7 inches in diameter, dusting a little flour.
Heat a tawa and place the rolled out dough on it. When you see bubbles forming on the top, apply a tsp of oil and flip it over to the other side.
Apply another tsp of oil on the other side and cook both the sides of the parathas well until golden brown spots appear. Repeat the same process for the rest of the dough and stuffing.
Remove from tawa and serve hot with pickle or curd or any side dish of your choice. Even a simple chutney goes well with this.
Follow any method which you find it easier .
Enjoy preparing this extremely nutritious, protein packed parathas for breakfast or lunch or dinner.</t>
  </si>
  <si>
    <t>இப்போது பராத்தா மாவை எடுத்து, அதிலிருந்து சமமான எலுமிச்சை அளவு உருண்டைகளை உருவாக்கவும். மாவைத் தூவி, சுமார் 4-5 அங்குல விட்டம் கொண்ட ஒரு சிறிய வட்டத்தில் ஒரு உருண்டையை உருட்டி, அதன் மீது ஒரு தேக்கரண்டி ஸ்டஃபிங்கை வைக்கவும்.
விளிம்புகள் அல்லது மூலைகளை ஒன்றாகக் கொண்டு வந்து மூடவும். அதை அழுத்தி, ஸ்டஃபிங்குடன் மாவை தோராயமாக 6-7″ விட்டம் கொண்ட வட்டத்தில் கோதுமை மாவைத் தூவி உருட்டவும்.
ஒரு தவாவை நன்கு சூடாக்கி, உருட்டிய மாவை அதன் மீது வைக்கவும், மேலே குமிழ்கள் உருவாகுவதைக் கண்டதும், ஒரு தேக்கரண்டி எண்ணெயைத் தடவி மறுபுறம் திருப்பிப் போடவும். பரோட்டாவின் மறுபுறத்தில் மற்றொரு தேக்கரண்டி எண்ணெயைத் தடவி, இருபுறமும் தங்கப் புள்ளிகள் தோன்றும் வரை நன்கு சமைக்கவும்.
மீதமுள்ள மாவிற்கும் இதே செயல்முறையை மீண்டும் செய்யவும்.
பருப்பு பரோட்டாவிற்கு இந்த முறையை நான் விரும்புகிறேன், ஏனெனில் இது எனக்கு மிகவும் எளிதானது. இந்த முறையில், பரோட்டாவின் அளவைப் பொறுத்து உங்களுக்கு 3 அல்லது 4 பரோட்டாக்கள் மட்டுமே கிடைக்கும்.
மாவிலிருந்து 2 எலுமிச்சை அளவு உருண்டைகளை எடுத்து, ஒவ்வொரு பந்தையும் 5″ விட்டம் கொண்ட வட்டமாக உருட்டவும். உருட்டிய மாவில் ஒரு செ.மீ இடைவெளி விட்டு ஸ்டஃபிங்கை பரப்பவும் (கீழே உள்ள படத்தைப் பார்க்கவும்). உருட்டிய மாவுடன் அதை மூடவும். லேசாக அழுத்தி விளிம்புகளை நன்றாக மூடவும்.
மாவை மீண்டும் தோராயமாக 6 அல்லது 7 அங்குல விட்டம் கொண்ட வட்டமாக உருட்டி, சிறிது மாவைத் தூவவும்.
ஒரு தவாவை சூடாக்கி, உருட்டிய மாவை அதன் மீது வைக்கவும். மேலே குமிழ்கள் உருவாவதை நீங்கள் கண்டதும், ஒரு தேக்கரண்டி எண்ணெயைத் தடவி மறுபுறம் திருப்பிப் போடுங்கள்.
மறுபுறம் மற்றொரு தேக்கரண்டி எண்ணெயைத் தடவி, பரோட்டாவின் இருபுறமும் தங்க பழுப்பு நிற புள்ளிகள் தோன்றும் வரை நன்கு சமைக்கவும். மீதமுள்ள மாவு மற்றும் ஸ்டஃபிங்கிற்கும் இதே செயல்முறையை மீண்டும் செய்யவும்.
தவாவிலிருந்து எடுத்து ஊறுகாய் அல்லது தயிர் அல்லது உங்களுக்கு விருப்பமான எந்த சைட் டிஷுடனும் சூடாகப் பரிமாறவும். ஒரு எளிய சட்னி கூட இதனுடன் நன்றாகப் பொருந்தும்.
உங்களுக்கு எளிதாக இருக்கும் எந்த முறையைப் பின்பற்றவும்.
காலை உணவு அல்லது மதிய உணவு அல்லது இரவு உணவிற்கு இந்த மிகவும் சத்தான, புரதம் நிறைந்த பரோட்டாவை தயாரித்து மகிழுங்கள்.</t>
  </si>
  <si>
    <t>https://www.vegrecipesofindia.com/wp-content/uploads/2014/01/dal-paratha-1a.jpg</t>
  </si>
  <si>
    <t>Pidi Kozhukattai</t>
  </si>
  <si>
    <t>பிடி கொழுக்கட்டை</t>
  </si>
  <si>
    <t xml:space="preserve">   Rice flour - 1 cup,
   Salt needed,
   Oil - 2 1/2 tbsp,
   Mustard seeds - 1 tsp,
   Split Urad dal - 1 tsp,
   Bengal gram - 1 tbsp,
   Red Chillies - 4,
   Hing/asafoetida - a pinch,
   Curry leaves ,
   Grated coconut - 3/4 cup.</t>
  </si>
  <si>
    <t>அரிசி மாவு - 1 கப்,
உப்பு தேவை,
எண்ணெய் - 2 1/2 டீஸ்பூன்,
கடுகு - 1 டீஸ்பூன்,
உளுத்தம்பருப்பு - 1 டீஸ்பூன்,
வங்காளப் பருப்பு - 1 டீஸ்பூன்,
சிவப்பு மிளகாய் - 4,
பெருங்காயம் - ஒரு சிட்டிகை,
கறிவேப்பிலை ,
தேங்காய் துருவல் - 3/4 கப்.</t>
  </si>
  <si>
    <t>Heat oil, add mustard seeds, when it splutters, add urad dal and bengal gram dal, when dal turns golden brown, add red chillies, hing and curry leaves.
Then add grated coconut and saute for a few minutes.
Add 1 1/4 cup of water and salt needed (the quantity of water will vary from 1 cup to 1 1/2 cup for 1 cup of rice flour, depending on the quality of rice). Note – taste the water to check for salt.
When water starts boiling, lower the flame, add the rice flour with one hand and keep stirring continously with the other hand to prevent formation of lumps.
Cook covered for 5-6 minutes on low flame. Remove from heat and transfer to a plate.
When it is warm, make oval shapes, keep it in your palm, close and press it to give the shape as seen in the picture. This is the reason, it is called pidi Kozhukattai.  Pidi in Tamil language means “to hold”.
Now arrange all the prepared pidi kozhukattais in a greased idli mold and steam cook for 15 minutes or until done.
Serve hot with tomato chutney or kaara chutney.</t>
  </si>
  <si>
    <t>எண்ணெயை சூடாக்கி, கடுகு சேர்த்து, அது வதங்கியதும், உளுத்தம்பருப்பு மற்றும் வங்காளப் பருப்பு சேர்க்கவும், பருப்பு பொன்னிறமாக மாறியதும், சிவப்பு மிளகாய், பெருங்காயம் மற்றும் கறிவேப்பிலை சேர்க்கவும்.
பின்னர் துருவிய தேங்காய் சேர்த்து சில நிமிடங்கள் வதக்கவும்.
தேவையான அளவு தண்ணீர் மற்றும் உப்பு சேர்க்கவும் (1 கப் அரிசி மாவுக்கு 1 கப் முதல் 1 1/2 கப் வரை தண்ணீர் அளவு அரிசியின் தரத்தைப் பொறுத்து மாறுபடும்). குறிப்பு - உப்பு இருக்கிறதா என்று சோதிக்க தண்ணீரை சுவைக்கவும்.
தண்ணீர் கொதிக்க ஆரம்பித்ததும், தீயைக் குறைத்து, ஒரு கையால் அரிசி மாவைச் சேர்த்து, கட்டிகள் உருவாகாமல் இருக்க மறுபுறம் தொடர்ந்து கிளறிக்கொண்டே இருங்கள்.
குறைந்த தீயில் 5-6 நிமிடங்கள் மூடி வைத்து சமைக்கவும். அடுப்பிலிருந்து இறக்கி ஒரு தட்டில் மாற்றவும்.
அது சூடாகும்போது, ​​ஓவல் வடிவங்களை உருவாக்கி, அதை உங்கள் உள்ளங்கையில் வைத்து, மூடி, படத்தில் காட்டப்பட்டுள்ளபடி வடிவம் கொடுக்க அழுத்தவும். அதனால்தான், இது பிடி கொழுக்கட்டை என்று அழைக்கப்படுகிறது. பிடி தமிழ் மொழியில் "பிடிப்பது" என்று பொருள்.
இப்போது தயாரிக்கப்பட்ட அனைத்து பிடி கொழுக்கட்டைகளையும் நெய் தடவிய இட்லி அச்சில் அடுக்கி, 15 நிமிடங்கள் அல்லது முடியும் வரை வேகவைக்கவும்.
தக்காளி சட்னி அல்லது காரா சட்னியுடன் சூடாகப் பரிமாறவும்.</t>
  </si>
  <si>
    <t>https://encrypted-tbn0.gstatic.com/images?q=tbn:ANd9GcSoJJPBLUHrryV6hLSBGchQ1Pnqog1MAB4cTA&amp;s</t>
  </si>
  <si>
    <t>Pacharisi Idli</t>
  </si>
  <si>
    <t>பச்சரிசி இட்லி</t>
  </si>
  <si>
    <t xml:space="preserve">   Raw rice - 2 cups,
   Whole skinned urad dal – 1 cup,
   Fenugreek seeds - 1 tsp,
   Salt as needed.</t>
  </si>
  <si>
    <t>பச்சரிசி இட்லி - 2 கப்,
தோல் நீக்கிய முழு உளுத்தம் பருப்பு - 1 கப்,
வெந்தயம் - 1 டீஸ்பூன்,
தேவைக்கேற்ப உப்பு.</t>
  </si>
  <si>
    <t>Wash and soak raw rice in hot water for 5-6 hours.
Soak urad dal with fenugreek seeds for 4-5 hours.
Drain the water and then grind urad dal along with fenugreek seeds adding little water from time to time until smooth and fluffy. Remove it from the grinder. Though I personally prefer a wet grinder for grinding idli batter but you can grind using a mixie also.
Drain the water and grind rice adding little water from time to time to a coarse batter. Then mix urad dal batter and rice batter together. Add salt needed and mix it well with your hands.
Leave it to ferment for 10-14 hours. Now our fermented idli batter is ready.
Grease idli molds and pour a ladle of batter into the moulds. Steam for 15 minutes or until done.
Once done, remove the idlis from the mould and serve warm with chutney or sambar.</t>
  </si>
  <si>
    <t>பச்சரிசியை 5-6 மணி நேரம் வெந்நீரில் கழுவி ஊற வைக்கவும்.
உளுத்தம் பருப்பை வெந்தயத்துடன் 4-5 மணி நேரம் ஊற வைக்கவும்.
தண்ணீரை வடித்துவிட்டு, வெந்தயத்துடன் அவ்வப்போது சிறிது தண்ணீர் சேர்த்து, மிருதுவாகவும் பஞ்சுபோன்றும் அரைக்கவும். கிரைண்டரிலிருந்து அகற்றவும். இட்லி மாவை அரைக்க எனக்கு ஈரமான கிரைண்டர் பிடிக்கும் என்றாலும், நீங்கள் மிக்சியையும் பயன்படுத்தி அரைக்கலாம்.
தண்ணீரை வடிகட்டி, அவ்வப்போது சிறிது தண்ணீர் சேர்த்து அரிசியை கரடுமுரடான மாவாக அரைக்கவும். பின்னர் உளுத்தம் பருப்பு மாவு மற்றும் அரிசி மாவை ஒன்றாக கலக்கவும். தேவையான அளவு உப்பு சேர்த்து உங்கள் கைகளால் நன்றாக கலக்கவும்.
10-14 மணி நேரம் புளிக்க விடவும். இப்போது எங்கள் புளித்த இட்லி மாவு தயாராக உள்ளது.
இட்லி அச்சுகளில் தடவி, ஒரு கரண்டி மாவை அச்சுகளில் ஊற்றவும். 15 நிமிடங்கள் அல்லது முடியும் வரை ஆவியில் வேக வைக்கவும்.
தயாரானதும், இட்லிகளை அச்சிலிருந்து எடுத்து, சட்னி அல்லது சாம்பாருடன் சூடாகப் பரிமாறவும்.</t>
  </si>
  <si>
    <t>https://encrypted-tbn0.gstatic.com/images?q=tbn:ANd9GcRoeOZCin14M6YzuK0VqzipGzYMDfuHkSaoUA&amp;s</t>
  </si>
  <si>
    <t>Mixed Berry Yogurt Parfait</t>
  </si>
  <si>
    <t>மிக்ஸ்டு பெர்ரி தயிர் பர்ஃபைட்</t>
  </si>
  <si>
    <t xml:space="preserve">   Low fat Greek yogurt - 4 tbsp,
  Assorted Fresh – 1/2 cup  ,
   Sugar - 1 tsp,
   Honey - 2 tbsp,
   Museli or granola - 1/2 cup.</t>
  </si>
  <si>
    <t>குறைந்த கொழுப்புள்ள கிரேக்க தயிர் - 4 டீஸ்பூன்,
பகுத்தறிவற்ற புதியது - 1/2 கப்,
சர்க்கரை - 1 டீஸ்பூன்,
தேன் - 2 டீஸ்பூன்,
முசெலி அல்லது கிரானோலா - 1/2 கப்.</t>
  </si>
  <si>
    <t>Take a tall glass, layer with 1/4 cup of museli.
Then spoon 2 tbsp of yogurt on top of it.
Drizzle a little honey and place 1/4 cup of berries.
Repeat the above layers with the remaining museli, yogurt, honey and berries.
Refrigerate for 15-20 minutes and serve.</t>
  </si>
  <si>
    <t>ஒரு உயரமான கிளாஸை எடுத்து, 1/4 கப் முசெலியை அடுக்கி வைக்கவும்.
பின்னர் அதன் மேல் 2 டீஸ்பூன் தயிர் கரண்டியால் தடவவும்.
சிறிது தேனைத் தூவி, 1/4 கப் பெர்ரிகளை வைக்கவும்.
மீதமுள்ள முசெலி, தயிர், தேன் மற்றும் பெர்ரிகளுடன் மேற்கண்ட அடுக்குகளை மீண்டும் செய்யவும்.
15-20 நிமிடங்கள் குளிர்சாதன பெட்டியில் வைத்து பரிமாறவும்.</t>
  </si>
  <si>
    <t>https://static.toiimg.com/thumb/60143646.cms?imgsize=333176&amp;width=800&amp;height=800</t>
  </si>
  <si>
    <t>Vella Dosai</t>
  </si>
  <si>
    <t>வெல்ல தோசை</t>
  </si>
  <si>
    <t xml:space="preserve">Wheat flour - 1/2 cup,
Rice flour - 1/2 cup,
Jaggery - 3/4 cup shaved,
Grated coconut - 2-3 tbsp,
Cardamom powder - 1/4 tsp,
Ghee/clarified butter for making dosas.
</t>
  </si>
  <si>
    <t>கோதுமை மாவு - 1/2 கப்,
அரிசி மாவு - 1/2 கப்,
வெல்லம் - 3/4 கப் துருவியது,
தேங்காய் துருவியது - 2-3 டேபிள் ஸ்பூன்,
ஏலக்காய் தூள் - 1/4 டேபிள் ஸ்பூன்,
தோசை செய்வதற்கு நெய்/தெளிவுபடுத்திய வெண்ணெய்.</t>
  </si>
  <si>
    <t>Grease a tawa with a little ghee in the center and heat it. Once the tawa is hot, reduce the heat to low.
Take a ladle of batter and pour it in the center of the tawa and spread it in a circular motion.Do not spread too much. Make small dosas.
Drizzle a tsp of ghee around the dosa. Once the corners starts lifting up, flip the dosa to the other side and drizzle another half tsp of ghee. The whole process has to be done on low heat.
Once cooked, remove from the tawa and serve hot.</t>
  </si>
  <si>
    <t>ஒரு தவாவை மையத்தில் சிறிது நெய் தடவி சூடாக்கவும். தவா சூடானதும், தீயை குறைத்து வைக்கவும்.
ஒரு கரண்டி மாவை எடுத்து தவாவின் மையத்தில் ஊற்றி வட்ட வடிவில் பரப்பவும். அதிகமாக பரப்ப வேண்டாம். சிறிய தோசைகள் செய்யவும்.
தோசையைச் சுற்றி ஒரு டீஸ்பூன் நெய்யைத் தூவவும். மூலைகள் மேலே எழ ஆரம்பித்ததும், தோசையை மறுபுறம் திருப்பி, அரை டீஸ்பூன் நெய்யைத் தூவவும். முழு செயல்முறையும் குறைந்த தீயில் செய்யப்பட வேண்டும்.
சமைத்தவுடன், தவாவில் இருந்து எடுத்து சூடாகப் பரிமாறவும்.</t>
  </si>
  <si>
    <t>https://rakskitchen.net/wp-content/uploads/2022/08/vella-dosa-sweet.jpg</t>
  </si>
  <si>
    <t>https://youtu.be/Xio7IijagJI</t>
  </si>
  <si>
    <t>Millet Vegetable Sevai</t>
  </si>
  <si>
    <t>தினை காய்கறி சேவை</t>
  </si>
  <si>
    <t xml:space="preserve">   Millet Sevai - 150 grams,
   Onion - 1,
   Ginger - 1 inch piece,
   Green chilli - 2,
   Carrot - 1 ,
   Beans - 5-6,
   Potato - 1 ,
   Capsicum – 1 ,
   Cabbage - 1/4 cup chopped,
   Sambar Powder - 1 tsp,
   Salt needed,
   Oil - 1 1/2 tbsp,
   Mustard seeds - 1 tsp,
   Urad dal - 3/4 tspc,
   Red chillies - 1,
   Curry leaves,
   Coriander leaves .
</t>
  </si>
  <si>
    <t>தினை சேவை - 150 கிராம்,
வெங்காயம் - 1,
இஞ்சி - 1 அங்குல துண்டு,
பச்சை மிளகாய் - 2,
கேரட் - 1,
பீன்ஸ் - 5-6,
உருளைக்கிழங்கு - 1,
கேப்சிகம் - 1,
முட்டைக்கோஸ் - 1/4 கப் நறுக்கியது,
சாம்பார் பொடி - 1 தேக்கரண்டி,
உப்பு தேவை,
எண்ணெய் - 1 1/2 தேக்கரண்டி,
கடுகு - 1 தேக்கரண்டி,
உளுத்தம் பருப்பு - 3/4 தேக்கரண்டி,
சிவப்பு மிளகாய் - 1,
கறிவேப்பிலை,
கொத்தமல்லி இலைகள்.</t>
  </si>
  <si>
    <t>Heat oil in a pan, add mustard seeds, when it splutters, add urad dal and red chillies. When dal turns golden brown, add curry leaves, finely chopped onion, ginger and green chillies.
Saute until onions turn transparent. Then add all the vegetables (except capsicum), sambar powder and salt needed. Sprinkle water and cook covered stirring from time to time until the vegetables are tender.
Once the vegetables are cooked, add capsicum and cook for a few more minutes. Make sure that you do not overcook the capsicum.
Then add the steamed millet sevai, mix well and remove from heat. 
Garnish with coriander leaves and serve hot with tomato chutney or sambar.</t>
  </si>
  <si>
    <t>ஒரு கடாயில் எண்ணெயை சூடாக்கி, கடுகு சேர்த்து, அது வதங்கியதும், உளுத்தம் பருப்பு மற்றும் சிவப்பு மிளகாய் சேர்க்கவும். பருப்பு பொன்னிறமாக மாறியதும், கறிவேப்பிலை, இறுதியாக நறுக்கிய வெங்காயம், இஞ்சி மற்றும் பச்சை மிளகாய் சேர்க்கவும்.
வெங்காயம் வெளிப்படையானதாக மாறும் வரை வதக்கவும். பின்னர் அனைத்து காய்கறிகளையும் (கேப்சிகம் தவிர), சாம்பார் பொடி மற்றும் தேவையான உப்பு சேர்க்கவும். தண்ணீர் தெளித்து, அவ்வப்போது மூடி வைத்து, காய்கறிகள் மென்மையாகும் வரை கிளறிக்கொண்டே சமைக்கவும்.
காய்கறிகள் வெந்தவுடன், கேப்சிகம் சேர்த்து இன்னும் சில நிமிடங்கள் சமைக்கவும். கேப்சிகம் அதிகமாக வேகாமல் பார்த்துக் கொள்ளுங்கள்.
பின்னர் வேகவைத்த தினை சேவையைச் சேர்த்து, நன்கு கலந்து, அடுப்பிலிருந்து இறக்கவும்.
கொத்தமல்லி இலைகளால் அலங்கரித்து, தக்காளி சட்னி அல்லது சாம்பாருடன் சூடாகப் பரிமாறவும்.</t>
  </si>
  <si>
    <t>https://encrypted-tbn0.gstatic.com/images?q=tbn:ANd9GcTwJPQpg47F0-UkWrecMESSmfByhguCnSQBIQ&amp;s</t>
  </si>
  <si>
    <t xml:space="preserve">   Brown Bread/White bread - 8,
   Butter as needed,
   Green chutney as needed,
   Tomato - 1,
   Onion- 1,
   Cucumber - 1
   Boiled potato - 1,
   Chaat masala as required,
   Black salt.</t>
  </si>
  <si>
    <t>பழுப்பு ரொட்டி/வெள்ளை ரொட்டி - 8,
தேவைக்கேற்ப வெண்ணெய்,
தேவைக்கேற்ப பச்சை சட்னி,
தக்காளி - 1,
வெள்ளரிக்காய் - 1,
வேகவைத்த உருளைக்கிழங்கு - 1,
தேவைக்கேற்ப சாட் மசாலா,
கருப்பு உப்பு.</t>
  </si>
  <si>
    <t>Cut the brown corners of the bread if preferred. I skipped that.
Take 4 breads, apply butter on one side for all the 4 slices. Keep 2 buttered slices aside.
Now take the other 2 buttered slices. Apply green chutney on the 2 slices on top of the butter.
Then place 1 or 2 slices of all the vegetables (onion, cucumber, tomato, potato). Sprinkle salt and chat masala on the vegetables.
how to make vegetable sandwich toast with green chutney
Cover it with the other buttered slice (which we kept aside), with the buttered side facing down.
Toast it in an electric toaster or stove top hand toaster (as in the picture below) or you can grill the sandwiches until both sides turn golden brown. If using stove top hand toaster, grease the toaster slightly with butter and then toast the sandwich.
Cut it diagonally and serve hot with green chutney or tomato ketchup. Repeat the same process for the rest of the bread slices.
Mumbai style vegetable sandwich recipe
Have it for breakfast or enjoy it with tea.</t>
  </si>
  <si>
    <t>விரும்பினால் ரொட்டியின் பழுப்பு நிற மூலைகளை வெட்டுங்கள். நான் அதைத் தவிர்த்துவிட்டேன்.
4 ரொட்டிகளை எடுத்து, 4 துண்டுகளுக்கும் ஒரு பக்கத்தில் வெண்ணெய் தடவவும். வெண்ணெய் தடவிய 2 துண்டுகளை ஒதுக்கி வைக்கவும்.
இப்போது மற்ற 2 வெண்ணெய் தடவிய துண்டுகளை எடுத்துக் கொள்ளுங்கள். வெண்ணெய் மேல் 2 துண்டுகளில் பச்சை சட்னியைத் தடவவும்.
பின்னர் அனைத்து காய்கறிகளிலும் (வெங்காயம், வெள்ளரி, தக்காளி, உருளைக்கிழங்கு) 1 அல்லது 2 துண்டுகளை வைக்கவும். உப்பு மற்றும் சாட் மசாலாவை காய்கறிகளின் மீது தூவி பரிமாறவும்.
பச்சை சட்னியுடன் காய்கறி சாண்ட்விச் டோஸ்ட் செய்வது எப்படி
வெண்ணெய் தடவிய மற்றொரு துண்டுடன் (நாங்கள் ஒதுக்கி வைத்திருந்த) மூடி, வெண்ணெய் தடவிய பக்கம் கீழே இருக்கும்படி வைக்கவும்.
எலக்ட்ரிக் டோஸ்டர் அல்லது ஸ்டவ் டாப் ஹேண்ட் டோஸ்டரில் (கீழே உள்ள படத்தில் உள்ளது போல) டோஸ்ட் செய்யவும் அல்லது சாண்ட்விச்களின் இருபுறமும் தங்க பழுப்பு நிறமாக மாறும் வரை கிரில் செய்யலாம். ஸ்டவ் டாப் ஹேண்ட் டோஸ்டரைப் பயன்படுத்தினால், டோஸ்டரில் சிறிது வெண்ணெய் தடவி, பின்னர் சாண்ட்விச்சை டோஸ்ட் செய்யவும்.
அதை குறுக்காக வெட்டி பச்சை சட்னி அல்லது தக்காளி கெட்ச்அப்புடன் சூடாகப் பரிமாறவும். மீதமுள்ள பிரட் துண்டுகளுக்கும் இதே செயல்முறையை மீண்டும் செய்யவும்.
மும்பை ஸ்டைல் ​​வெஜிடபிள் சாண்ட்விச் செய்முறை
காலை உணவாக சாப்பிடுங்கள் அல்லது தேநீருடன் அனுபவிக்கவும்.</t>
  </si>
  <si>
    <t>Quinoa Breakfast Porridge</t>
  </si>
  <si>
    <t>குயினோவா காலை உணவு கஞ்சி</t>
  </si>
  <si>
    <t xml:space="preserve">   Quinoa - 1/4 cup,
   Low fat Milk - 3/4 cup – Almond milk,
   Organic palm jaggery - 1-2 tbsp,
   Dates – 4,
   Raisins/currants - 2 tbsp,
   Toasted almonds thinly sliced  -  4,
   Walnuts - 4 chopped,
   Hazelnuts - 3 chopped,
   Cinnamon powder - 1/4 tsp.</t>
  </si>
  <si>
    <t>குயினோவா - 1/4 கப்,
குறைந்த கொழுப்புள்ள பால் - 3/4 கப் - பாதாம் பால்,
ஆர்கானிக் பனை வெல்லம் - 1-2 டீஸ்பூன்,
பேரீச்சம்பழம் - 4,
திராட்சை/திராட்சை வத்தல் - 2 டீஸ்பூன்,
வறுக்கப்பட்ட பாதாம் மெல்லியதாக நறுக்கியது - 4,
வால்நட்ஸ் - 4 நறுக்கியது,
ஹேசல்நட்ஸ் - 3 நறுக்கியது,
இலவங்கப்பட்டை தூள் - 1/4 டீஸ்பூன்.</t>
  </si>
  <si>
    <t>Add milk to the cooked quinoa and cook for another 4-5 minutes until creamy. 
Add palm sugar, chopped dates, raisins and chopped nuts. Mix in cinnamon powder if you like the flavor. Serve warm.</t>
  </si>
  <si>
    <t>சமைத்த குயினோவாவுடன் பால் சேர்த்து மேலும் 4-5 நிமிடங்கள் கிரீமி ஆகும் வரை சமைக்கவும்.
பனை சர்க்கரை, நறுக்கிய பேரீச்சம்பழம், திராட்சை மற்றும் நறுக்கிய கொட்டைகள் சேர்க்கவும். சுவை பிடித்திருந்தால் இலவங்கப்பட்டை தூளில் கலக்கவும். சூடாக பரிமாறவும்.</t>
  </si>
  <si>
    <t>https://encrypted-tbn0.gstatic.com/images?q=tbn:ANd9GcTM9cYivm7wjwdIYxdIhX2yGF0ug_F-_ZwN6Q&amp;s</t>
  </si>
  <si>
    <t xml:space="preserve">  Foxtail millet - 1 cup,
  Whole green gram - 1 cup,
  Red chillies - 4,
  Green chillies - 2,
  Onion - 2-3,
  Ginger – 1/2 inch piece,
  Salt to taste,
  Coriander leaves chopped – 2 tbsp.</t>
  </si>
  <si>
    <t>ஃபாக்ஸ்டெயில் தினை - 1 கப்,
முழு பச்சை பயறு - 1 கப்,
சிவப்பு மிளகாய் - 4,
பச்சை மிளகாய் - 2,
வெங்காயம் - 2-3,
இஞ்சி - 1/2 அங்குல துண்டு,
ருசிக்க உப்பு,
நறுக்கிய கொத்தமல்லி இலைகள் - 2 டீஸ்பூன்.</t>
  </si>
  <si>
    <t>Before making pesarattu, add finely chopped onions and coriander leaves to the batter.
Heat a tawa on medium flame, take a ladle of batter and pour it in the center. Spread it in a circular motion just as you do for dosa. Drizzle a tsp of oil around the pesarattu. Using the back of the ladle make holes in the pesarattu so that it will get cooked well. Drizzle a little oil in the holes also.
When the corners start lifting up, flip the pesarattu to the other side. Drizzle another half tsp of oil around the pessarattu.
Once cooked remove from tawa and serve hot with any chutney or sambar or idli podi.</t>
  </si>
  <si>
    <t>பெசரட்டு செய்வதற்கு முன், இறுதியாக நறுக்கிய வெங்காயம் மற்றும் கொத்தமல்லி இலைகளை மாவில் சேர்க்கவும்.
மிதமான தீயில் ஒரு தவாவை சூடாக்கி, ஒரு கரண்டி மாவை எடுத்து நடுவில் ஊற்றவும். தோசைக்கு செய்வது போல் வட்ட இயக்கத்தில் பரப்பவும். பெசரட்டுவைச் சுற்றி ஒரு தேக்கரண்டி எண்ணெயைத் தெளிக்கவும். பெசரட்டின் பின்புறத்தைப் பயன்படுத்தி பெசரட்டில் துளைகளை உருவாக்குங்கள், இதனால் அது நன்றாக வேகும். துளைகளிலும் சிறிது எண்ணெயைத் தெளிக்கவும்.
மூலைகள் மேலே எழத் தொடங்கியதும், பெசரட்டை மறுபுறம் திருப்பிப் போடவும். பெசரட்டைச் சுற்றி மற்றொரு அரை தேக்கரண்டி எண்ணெயைத் தெளிக்கவும்.
வெந்ததும் தவாவிலிருந்து எடுத்து, சட்னி அல்லது சாம்பார் அல்லது இட்லி பொடியுடன் சூடாகப் பரிமாறவும்.</t>
  </si>
  <si>
    <t>https://www.jeyashriskitchen.com/wp-content/uploads/2022/04/15212711072_98d17172ea_z.jpg</t>
  </si>
  <si>
    <t>Kanchipuram Idli</t>
  </si>
  <si>
    <t xml:space="preserve">   Idli par boiled rice - 1/2 cup,
   Raw rice – 1/2 cup,
   Urad dal (whole) - 1/2 cup,
   Salt needed,
   Sesame seed Oil – 1 1/2 tbsp,
   Ghee - 3 tsp,
   Mustard seeds - 1 tsp,
   Urad dal – 1 1/2 tsp,
   Bengal gram - 1 tsp,
   Whole black Pepper - 2 tsp slightly crushed,
   Cumin seeds – 1 tsp,
   Ginger – 1 inch piece grated,
   Dry Ginger powder – 1/4 tsp,
   Green chillies – 1-2 finely chopped,
   Hing/asafoetida – 1/4 tsp,
   Cashew nuts – 10 ,
   Curry leaves,
   Turmeric powder - a pinch
   Coriander leaves .</t>
  </si>
  <si>
    <t>இட்லி வேகவைத்த அரிசி - 1/2 கப்,
பச்சரிசி - 1/2 கப்,
உளுத்தம் பருப்பு (முழு) - 1/2 கப்,
உப்பு தேவை,
எள் விதை எண்ணெய் - 1 1/2 டீஸ்பூன்,
நெய் - 3 டீஸ்பூன்,
கடுகு - 1 டீஸ்பூன்,
உளுத்தம் பருப்பு - 1 1/2 டீஸ்பூன்,
கடலை பருப்பு - 1 டீஸ்பூன்,
முழு கருப்பு மிளகு - 2 டீஸ்பூன் சிறிது நசுக்கியது,
சீரகம் - 1 டீஸ்பூன்,
இஞ்சி - 1 அங்குல துண்டு துருவியது,
உலர்ந்த இஞ்சி தூள் - 1/4 டீஸ்பூன்,
பச்சை மிளகாய் - 1-2 நன்றாக நறுக்கியது,
பெருங்காயம் / பெருங்காயம் - 1/4 டீஸ்பூன்,
முந்திரி பருப்பு - 10 ,
கறிவேப்பிலை,
மஞ்சள் தூள் - ஒரு சிட்டிகை
கொத்தமல்லி இலைகள்.</t>
  </si>
  <si>
    <t>Now our batter is ready. Before making idli, mix dry ginger powder, turmeric powder and coriander leaves with the batter. Then heat oil + ghee, add mustard seeds, when it splutters, add all the ingredients (mentioned under seasoning) one after the other. When dal turns golden brown, add the seasoning to the batter and mix well.
Pour the batter in idly molds and steam for 10-15 minutes or until well cooked. You can steam the idlis in steel cups or tumblers or even in cooker separator or any shallow vessel (as shown below).Cut it into pieces and serve.
Serve hot with coconut chutney, sambar and idli podi.</t>
  </si>
  <si>
    <t>இப்போது எங்கள் மாவு தயார். இட்லி செய்வதற்கு முன், உலர்ந்த இஞ்சி தூள், மஞ்சள் தூள் மற்றும் கொத்தமல்லி இலைகளை மாவுடன் கலக்கவும். பிறகு எண்ணெய் + நெய்யைச் சூடாக்கி, கடுகு சேர்த்து, அது வதங்கியதும், அனைத்து பொருட்களையும் (தாவல் பிரிவில் குறிப்பிடப்பட்டுள்ளது) ஒன்றன் பின் ஒன்றாகச் சேர்க்கவும். பருப்பு பொன்னிறமாக மாறியதும், தாளிக்கக் கொடுத்துள்ளவற்றை மாவில் சேர்த்து நன்கு கலக்கவும்.
மாவை இட்லி அச்சுகளில் ஊற்றி 10-15 நிமிடங்கள் அல்லது நன்கு வேகும் வரை ஆவியில் வேக வைக்கவும். நீங்கள் இட்லிகளை ஸ்டீல் கப் அல்லது டம்ளர்களில் அல்லது குக்கர் செப்பரேட்டரில் அல்லது வேறு ஆழமற்ற பாத்திரத்தில் (கீழே காட்டப்பட்டுள்ளபடி) வேகவைக்கலாம். துண்டுகளாக வெட்டி பரிமாறவும்.
தேங்காய் சட்னி, சாம்பார் மற்றும் இட்லி பொடியுடன் சூடாகப் பரிமாறவும்.</t>
  </si>
  <si>
    <t>https://encrypted-tbn0.gstatic.com/images?q=tbn:ANd9GcR0qaDR1HPhs5gxaGogTuS_1KGK_JYYZh9DAA&amp;s</t>
  </si>
  <si>
    <t>Brown Rice Idli</t>
  </si>
  <si>
    <t>பிரவுன் ரைஸ் இட்லி</t>
  </si>
  <si>
    <t xml:space="preserve">   Brown Rice – 2 or 3 cups,
   Par boiled Idly Rice – 1 cup,
   Whole Urad dal  – 1 cup,
   Fenugreek seeds – 1 tsp,
   Salt needed.</t>
  </si>
  <si>
    <t>பிரவுன் ரைஸ் - 2 அல்லது 3 கப்,
வேகவைத்த இட்லி ரைஸ் - 1 கப்,
முழு உளுத்தம் பருப்பு - 1 கப்,
வெந்தயம் விதைகள் - 1 தேக்கரண்டி,
உப்பு தேவை.</t>
  </si>
  <si>
    <t>Wash and soak brown rice and idly rice together for 4-5 hours.
Wash and soak urad dal and fenugreek seeds together for 4-5 hours.
Grind urad dal until light and fluffy adding water now and then. Add water little at a time every 10 minutes. I usually grind urad dal for 35-40 minutes. Remove it  from the grinder/mixie and keep it aside. Check out my detailed post on idli batter recipe.
Grind brown rice + idly rice to a slightly coarse paste adding water from time to time.
Mix both the urad dal batter and rice batter together with your hands adding salt. The batter should not be thick nor runny. Leave it to ferment for 7-8 hours. Our brown rice idli batter is ready.
Mix the batter well, pour the brown rice idli batter into idli molds and steam cook for 15 minutes.Once cooked remove from mold. Repeat the same process for the rest of the batter. Check out more details in my soft idli recipe post.
Delicious, healthy and soft idlis can be served with sambar or chutney of your choice.</t>
  </si>
  <si>
    <t>பிரவுன் ரைஸ் மற்றும் இட்லி ரைஸை ஒன்றாக கழுவி 4-5 மணி நேரம் ஊற வைக்கவும்.
உளுத்தம் பருப்பை கழுவி 4-5 மணி நேரம் ஊற வைக்கவும்.
உளுத்தம் பருப்பை அவ்வப்போது தண்ணீர் சேர்த்து லேசாக மற்றும் பஞ்சுபோன்ற வரை அரைக்கவும். ஒவ்வொரு 10 நிமிடங்களுக்கும் சிறிது தண்ணீர் சேர்க்கவும். நான் வழக்கமாக உளுத்தம் பருப்பை 35-40 நிமிடங்கள் அரைப்பேன். அதை மிக்ஸியில் இருந்து எடுத்து ஒதுக்கி வைக்கவும். இட்லி மாவு செய்முறை பற்றிய எனது விரிவான இடுகையைப் பாருங்கள்.
பிரவுன் ரைஸ் + இட்லி ரைஸ் இரண்டையும் அவ்வப்போது தண்ணீர் சேர்த்து சற்று கரடுமுரடான பேஸ்டாக அரைக்கவும்.
உளுத்தம் பருப்பு மாவு மற்றும் அரிசி மாவு இரண்டையும் உங்கள் கைகளால் உப்பு சேர்த்து கலக்கவும். மாவு கெட்டியாகவோ அல்லது சளியாகவோ இருக்கக்கூடாது. 7-8 மணி நேரம் புளிக்க விடவும். எங்கள் பழுப்பு அரிசி இட்லி மாவு தயாராக உள்ளது.
மாவை நன்கு கலந்து, பழுப்பு அரிசி இட்லி மாவை இட்லி அச்சுகளில் ஊற்றி 15 நிமிடங்கள் ஆவியில் வேகவைக்கவும். சமைத்த பிறகு அச்சிலிருந்து அகற்றவும். மீதமுள்ள மாவிற்கும் இதே செயல்முறையை மீண்டும் செய்யவும். எனது மென்மையான இட்லி செய்முறை இடுகையில் மேலும் விவரங்களைப் பாருங்கள்.
சுவையான, ஆரோக்கியமான மற்றும் மென்மையான இட்லிகளை உங்களுக்கு விருப்பமான சாம்பார் அல்லது சட்னியுடன் பரிமாறலாம்.</t>
  </si>
  <si>
    <t>https://encrypted-tbn0.gstatic.com/images?q=tbn:ANd9GcSDvbHCzMaWhpGIh_VRvwPK--BGkrjnf8S8-Q&amp;s</t>
  </si>
  <si>
    <t xml:space="preserve">   Ragi Semiya - 2 cups,
   Onion Chopped - 1 cup,
   Green chilli - 1,
   Ginger – 1 inch piece ,
   Salt needed,
   Oil - 1 tbsp,
   Mustard seeds - 1 tsp,
   Urad dal - 1/2 tsp,
   Red chilli - 1,
   Hing - 1/4 tsp,
   Curry leaves.</t>
  </si>
  <si>
    <t>ராகி சேமியா - 2 கப்,
வெங்காயம் நறுக்கியது - 1 கப்,
பச்சை மிளகாய் - 1,
இஞ்சி - 1 அங்குல துண்டு,
உப்பு தேவை,
எண்ணெய் - 1 டீஸ்பூன்,
கடுகு - 1 டீஸ்பூன்,
உளுத்தம் பருப்பு - 1/2 டீஸ்பூன்,
சிவப்பு மிளகாய் - 1,
கீரை - 1/4 டீஸ்பூன்,
கறிவேப்பிலை.</t>
  </si>
  <si>
    <t>நிறைய தண்ணீர் எடுத்து, தேவையான உப்பு சேர்த்து, ராகி சேமியா/வெங்காயத்தை தண்ணீரில் ஊற வைக்கவும். அதை 3 நிமிடங்கள் தண்ணீரில் விடவும்.
ஒரு வடிகட்டியைப் பயன்படுத்தி தண்ணீரை முழுவதுமாக வடிகட்டவும்.
ஒரு இட்லி பானை அல்லது ஸ்டீமரில் 5 நிமிடங்கள் வேகவைக்கவும். சமைத்த பிறகு, அதை ஒரு தட்டில் பரப்பவும். வேகவைத்த ராகி சேமியா தயாராக உள்ளது. இப்போது தாளிக்கிறோம்.
ஒரு கடாயில் எண்ணெயை சூடாக்கி, கடுகு சேர்த்து, அது வதங்கியதும், உளுத்தம்பருப்பு, சிவப்பு மிளகாய் மற்றும் கீரை சேர்க்கவும். பருப்பு பொன்னிறமாக மாறியதும், பொடியாக நறுக்கிய வெங்காயம், இஞ்சி, பச்சை மிளகாய், தேவையான உப்பு மற்றும் கறிவேப்பிலை சேர்க்கவும்.
வெங்காயம் தெளிவாகும் வரை வதக்கவும். இப்போது வேகவைத்த ராகி சேமியாவைச் சேர்த்து, நன்கு கலந்து, குறைந்த தீயில் மேலும் 5 நிமிடங்கள் சமைக்கவும்.
அடுப்பிலிருந்து இறக்கி, கொத்தமல்லி இலைகளால் அலங்கரித்து, உங்களுக்கு விருப்பமான சட்னியுடன் சூடாகப் பரிமாறவும்.</t>
  </si>
  <si>
    <t xml:space="preserve">   Chinese Noodles - 1 packet ,
   Onion - 1,
   Beans - 7-8,
   Carrot - 1,
   Tomatoes - 3,
   Spring onion greens - 1/4 cup chopped,
   Tomato sauce - 2 tbsp,
   Eggs - 2,
   Oil - 4 tsp,
   Salt as needed,
   Pepper powder to taste,
   Ginger – inch piece,
   Garlic cloves - 5,
   Red Chillies - 5,
   Onion - 1/2 an onion.</t>
  </si>
  <si>
    <t>சைனீஸ் நூடுல்ஸ் - 1 பாக்கெட்,
வெங்காயம் - 1,
பீன்ஸ் - 7-8,
கேரட் - 1,
தக்காளி - 3,
வெங்காய கீரைகள் - 1/4 கப் நறுக்கியது,
தக்காளி சாஸ் - 2 டீஸ்பூன்,
முட்டை - 2,
எண்ணெய் - 4 டீஸ்பூன்,
தேவைக்கேற்ப உப்பு,
சுவைக்கேற்ப மிளகு தூள்,
இஞ்சி - அங்குல துண்டு,
பூண்டு பல் - 5,
சிவப்பு மிளகாய் - 5,
வெங்காயம் - 1/2 வெங்காயம்.</t>
  </si>
  <si>
    <t>In a pan, heat 4 tsp of oil, add chopped onions and saute until onions turn transparent. Add a little salt while sauteing onions.
Then add chopped tomatoes, salt needed and cook until tomatoes become mushy. Add the ground paste and cook until the raw flavor of the masala goes.
Cooking the masala well is important otherwise you will get the raw flavor of the onion.
cooking tomatoes 
Once the masala is well cooked add spring onion greens, par boiled vegetables, cooked noodles and tomato sauce. Mix everything well.
Move the noodles to the side of the pan. Heat a tsp of oil and add the egg mixture as shown in the picture below. When the egg starts to get cooked, stir it with a spatula and prepare egg scramble. 
Add pepper powder to taste.Take two large forks and toss the noodles, so that everything gets mixed well. You can also prepare egg scramble in a separate pan and add to the noodles.
Check for seasoning and serve hot with tomato ketchup or any side dish like gobi manchurian.</t>
  </si>
  <si>
    <t>ஒரு கடாயில், 4 டீஸ்பூன் எண்ணெயை சூடாக்கி, நறுக்கிய வெங்காயத்தைச் சேர்த்து, வெங்காயம் வெளிப்படையானதாக மாறும் வரை வதக்கவும். வெங்காயத்தை வதக்கும்போது சிறிது உப்பு சேர்க்கவும்.
பின்னர் நறுக்கிய தக்காளி, தேவையான அளவு உப்பு சேர்த்து, தக்காளி மென்மையாகும் வரை வதக்கவும். அரைத்த விழுதைச் சேர்த்து, மசாலாவின் பச்சை வாசனை போகும் வரை வதக்கவும்.
மசாலாவை நன்கு சமைப்பது முக்கியம், இல்லையெனில் வெங்காயத்தின் பச்சை சுவை கிடைக்கும்.
தக்காளி சமைத்தல்
மசாலா நன்கு வெந்தவுடன், வெங்காய கீரைகள், வேகவைத்த காய்கறிகள், சமைத்த நூடுல்ஸ் மற்றும் தக்காளி சாஸ் சேர்க்கவும். எல்லாவற்றையும் நன்றாக கலக்கவும்.
நூடுல்ஸை வாணலியின் ஓரத்தில் வைக்கவும். ஒரு தேக்கரண்டி எண்ணெயை சூடாக்கி, கீழே உள்ள படத்தில் காட்டப்பட்டுள்ளபடி முட்டை கலவையைச் சேர்க்கவும். முட்டை வேக ஆரம்பித்ததும், அதை ஒரு ஸ்பேட்டூலாவால் கிளறி, முட்டை ஸ்க்ராம்பிள் தயார் செய்யவும்.
சுவைக்கேற்ப மிளகு தூள் சேர்க்கவும். இரண்டு பெரிய முட்கரண்டிகளை எடுத்து நூடுல்ஸைக் கிளறவும், இதனால் எல்லாம் நன்றாக கலக்கும். நீங்கள் ஒரு தனி வாணலியில் முட்டை ஸ்க்ராம்பிள் தயார் செய்து நூடுல்ஸில் சேர்க்கலாம்.
மசாலாப் பொருட்களை சரிபார்த்து, தக்காளி கெட்ச்அப் அல்லது கோபி மஞ்சூரியன் போன்ற எந்த சைட் டிஷுடனும் சூடாகப் பரிமாறவும்.</t>
  </si>
  <si>
    <t>https://www.justspices.co.uk/media/recipe/Egg-Fried-Noodles_Just-Spices.webp</t>
  </si>
  <si>
    <t>Brown Rice Dosa</t>
  </si>
  <si>
    <t>பிரவுன் ரைஸ் தோசை</t>
  </si>
  <si>
    <t xml:space="preserve">   Brown Rice - 2 cups,
   Idly Par boiled rice - 1 cup,
   Whole Urad dal - 1 cup,
   Fenugreek seeds - 1 tsp,
   Salt as needed.</t>
  </si>
  <si>
    <t>பிரவுன் ரைஸ் - 2 கப்,
இட்லி பார் புழுங்கல் அரிசி - 1 கப்,
முழு உளுத்தம் பருப்பு - 1 கப்,
வெந்தயம் - 1 டீஸ்பூன்,
தேவைக்கேற்ப உப்பு.</t>
  </si>
  <si>
    <t>Heat a tawa, add a ladle of the brown rice batter in the center and spread it in a circular motion.
Drizzle a tsp of oil around the dosa, when the corners start lifting up, flip it over to the other side and drizzle another 1/2 tsp of oil.
Once the other side is cooked, remove from tava and serve hot with sambar or chutney of your choice.</t>
  </si>
  <si>
    <t>ஒரு தவாவை சூடாக்கி, மையத்தில் ஒரு கரண்டி பழுப்பு அரிசி மாவைச் சேர்த்து வட்ட இயக்கத்தில் பரப்பவும்.
தோசையைச் சுற்றி ஒரு டீஸ்பூன் எண்ணெயைத் தடவவும், மூலைகள் மேலே எழும்பத் தொடங்கும் போது, ​​அதை மறுபுறம் திருப்பி, மற்றொரு 1/2 டீஸ்பூன் எண்ணெயைத் தெளிக்கவும்.
மறுபக்கம் வெந்தவுடன், தவாவிலிருந்து இறக்கி, உங்களுக்கு விருப்பமான சாம்பார் அல்லது சட்னியுடன் சூடாகப் பரிமாறவும்.</t>
  </si>
  <si>
    <t>https://www.ticklingpalates.com/wp-content/uploads/2017/02/brown-rice-dosa-recipe-1-500x500.jpg</t>
  </si>
  <si>
    <t>அப்பம்</t>
  </si>
  <si>
    <t xml:space="preserve">   Par boiled Idli rice - 2 cups,
   Raw rice – 1 cup,
   Whole Urad dal - 1/2 cup,
   Fenugreek seeds - 1 tbsp,
   Oil for making dosas.</t>
  </si>
  <si>
    <t>வேகவைத்த இட்லி அரிசி - 2 கப்,
பச்சரிசி - 1 கப்,
முழு உளுத்தம் பருப்பு - 1/2 கப்,
வெந்தயம் - 1 டீஸ்பூன்,
தோசை செய்ய எண்ணெய்.</t>
  </si>
  <si>
    <t>Wash and soak both rice together for 5-6 hours. Wash and soak dal and fenugreek seeds together for 4-5 hours.
Grind urad dal + fenugreek seeds until light and fluffy. I used the wet grinder for grinding the dal.  It took 20 minutes for me to grind urad dal. Do not add water at a time. Add little water 3-4 times in between grinding. Remove it and keep it aside.
Grind both rice together until smooth adding water from time to time. Remove it and add it to the urad dal batter. Using your hands, mix both rice and dal batter together adding salt needed.
Leave it to ferment over night or for 6-7 hours. It will take a longer time if the weather is cold and lesser time if the weather is hot.
Mix well and take batter needed for appam in a separate container. Add little water to it, mix well and make appams. Check out my detailed post on how to make appam.</t>
  </si>
  <si>
    <t>இரண்டு அரிசியையும் ஒன்றாகக் கழுவி 5-6 மணி நேரம் ஊற வைக்கவும். பருப்பையும் வெந்தயத்தையும் ஒன்றாகக் கழுவி 4-5 மணி நேரம் ஊற வைக்கவும்.
உளுத்தம் பருப்பு + வெந்தயத்தை லேசாகவும் பஞ்சுபோன்றும் அரைக்கவும். நான் பருப்பை அரைக்க ஈரமான கிரைண்டரைப் பயன்படுத்தினேன். உளுத்தம் பருப்பை அரைக்க 20 நிமிடங்கள் ஆனது. ஒரு நேரத்தில் தண்ணீர் சேர்க்க வேண்டாம். அரைக்கும் இடையில் 3-4 முறை சிறிது தண்ணீர் சேர்க்கவும். அதை எடுத்து ஒதுக்கி வைக்கவும்.
இரண்டு அரிசியையும் ஒன்றாக மென்மையாக அரைக்கவும், அவ்வப்போது தண்ணீர் சேர்க்கவும். அதை எடுத்து உளுத்தம் பருப்பு மாவில் சேர்க்கவும். உங்கள் கைகளைப் பயன்படுத்தி, அரிசி மற்றும் பருப்பு மாவு இரண்டையும் ஒன்றாகக் கலக்கவும், தேவையான அளவு உப்பு சேர்க்கவும்.
இரவு முழுவதும் அல்லது 6-7 மணி நேரம் புளிக்க விடவும். வானிலை குளிராக இருந்தால் அதிக நேரமும், வானிலை வெப்பமாக இருந்தால் குறைந்த நேரமும் எடுக்கும்.
நன்றாகக் கலந்து, ஆப்பத்திற்குத் தேவையான மாவை ஒரு தனி கொள்கலனில் எடுத்துக் கொள்ளுங்கள். அதில் சிறிது தண்ணீர் சேர்த்து, நன்கு கலந்து, ஆப்பம் தயாரிக்கவும். ஆப்பம் செய்வது எப்படி என்பது குறித்த எனது விரிவான பதிவைப் பாருங்கள்.</t>
  </si>
  <si>
    <t>https://static.toiimg.com/thumb/54016582.cms?width=1200&amp;height=900</t>
  </si>
  <si>
    <t>Onion Paratha</t>
  </si>
  <si>
    <t>வெங்காய பராத்தா</t>
  </si>
  <si>
    <t xml:space="preserve">   Whole wheat flour - 1 cup,
   Onion - 3,
   Red chilli powder - 1 tsp,
   Coriander powder - 1 tsp,
   Cumin powder - 1/2 tsp,
   Garam masala powder - 3/4 tsp,
   Coriander leaves,
   Salt needed,
   Oil - 1 tbsp for dough,
   Oil for making parathas.</t>
  </si>
  <si>
    <t>முழு கோதுமை மாவு - 1 கப்,
வெங்காயம் - 3,
சிவப்பு மிளகாய் தூள் - 1 தேக்கரண்டி,
கொத்தமல்லி தூள் - 1 தேக்கரண்டி,
சீரகப் பொடி - 1/2 தேக்கரண்டி,
கரம் மசாலா பொடி - 3/4 தேக்கரண்டி,
கொத்தமல்லி இலைகள்,
உப்பு தேவை,
எண்ணெய் - மாவுக்கு 1 தேக்கரண்டி,
பராத்தா செய்ய எண்ணெய்.</t>
  </si>
  <si>
    <t>Combine together wheat flour, a pinch of salt and a tsp of oil in a large bowl. Add water little at a time (use that onion water also) and make a soft pliable dough just like you make phulka dough. Add 2 more tsp of oil and knead the dough well. Apply a little oil on the surface of the dough and keep it covered for 15 minutes.
Divide the dough into 5 equal parts, shape it into a ball and flatten it. Have some wheat flour ready for dusting.
Take 1 flattened dough, dust it with a little wheat flour and roll it out into a small thick circle.
how to make onion paratha
Place a ball of onion stuffing, gather all the corners and close it. Seal it well and press it flat. 
Dusting flour, roll out the sealed dough into a circle of approximately 6 inches in diameter just as you roll out chapati.
Heat a tawa and place the rolled out dough on it. When you see bubbles forming on the top, spread 1/2 tsp of oil on the surface of the paratha and flip it over to the other side. Apply another 1/2 tsp of oil on the other side and press it well with a spatula for the dough to get cooked well. Cook both sides well until brown spots appear.
Serve hot with pickle or dahi/curd or chutney.
Finely chop onions, add salt, red chilli powder, coriander powder, cumin powder, garam masala powder, coriander leaves and mix well. This is our onion mixture.
Combine together wheat flour, onion mixture, 2 tsp oil and prepare a soft pliable dough adding water little at a time. Then roll it out and prepare just like chapati.</t>
  </si>
  <si>
    <t>ஒரு பெரிய கிண்ணத்தில் கோதுமை மாவு, ஒரு சிட்டிகை உப்பு மற்றும் ஒரு தேக்கரண்டி எண்ணெய் ஆகியவற்றை ஒன்றாகச் சேர்த்து. சிறிது சிறிதாக தண்ணீர் சேர்த்து (அந்த வெங்காயத் தண்ணீரையும் பயன்படுத்தவும்) புல்கா மாவை செய்வது போல மென்மையான நெகிழ்வான மாவை உருவாக்கவும். மேலும் 2 தேக்கரண்டி எண்ணெயைச் சேர்த்து மாவை நன்கு பிசையவும். மாவின் மேற்பரப்பில் சிறிது எண்ணெய் தடவி 15 நிமிடங்கள் மூடி வைக்கவும்.
மாவை 5 சம பாகங்களாகப் பிரித்து, ஒரு உருண்டையாக வடிவமைத்து தட்டையாக்குங்கள். சிறிது கோதுமை மாவை தூவுவதற்கு தயாராக வைக்கவும்.
1 தட்டையான மாவை எடுத்து, சிறிது கோதுமை மாவுடன் தூவி, ஒரு சிறிய தடிமனான வட்டமாக உருட்டவும்.
வெங்காய பரோட்டா செய்வது எப்படி
வெங்காயத் திணிப்பை ஒரு உருண்டையாக வைத்து, அனைத்து மூலைகளையும் சேகரித்து மூடவும். அதை நன்றாக மூடி தட்டையாக அழுத்தவும்.
மாவைத் தூவி, சீல் செய்யப்பட்ட மாவை சப்பாத்தியை உருட்டுவது போல் தோராயமாக 6 அங்குல விட்டம் கொண்ட வட்டமாக உருட்டவும்.
ஒரு தவாவை சூடாக்கி, அதன் மீது உருட்டிய மாவை வைக்கவும். மேலே குமிழ்கள் உருவாகுவதைக் கண்டதும், பரோட்டாவின் மேற்பரப்பில் 1/2 தேக்கரண்டி எண்ணெயைத் தடவி, மறுபுறம் புரட்டவும். மறுபுறம் 1/2 தேக்கரண்டி எண்ணெயைத் தடவி, மாவு நன்றாக வேக, ஒரு ஸ்பேட்டூலாவால் நன்றாக அழுத்தவும். இருபுறமும் பழுப்பு நிற புள்ளிகள் தோன்றும் வரை நன்றாக சமைக்கவும்.
ஊறுகாய் அல்லது தயிர்/தயிர் அல்லது சட்னியுடன் சூடாகப் பரிமாறவும்.
வெங்காயத்தை நன்றாக நறுக்கி, உப்பு, சிவப்பு மிளகாய் தூள், கொத்தமல்லி தூள், சீரகத் தூள், கரம் மசாலாத் தூள், கொத்தமல்லி இலைகள் சேர்த்து நன்கு கலக்கவும். இது எங்கள் வெங்காயக் கலவை.
கோதுமை மாவு, வெங்காயக் கலவை, 2 தேக்கரண்டி எண்ணெய் ஆகியவற்றை ஒன்றாகச் சேர்த்து, சிறிது சிறிதாக தண்ணீர் சேர்த்து மென்மையான நெகிழ்வான மாவைத் தயாரிக்கவும். பின்னர் அதை உருட்டி சப்பாத்தி போல தயார் செய்யவும்.</t>
  </si>
  <si>
    <t>https://encrypted-tbn0.gstatic.com/images?q=tbn:ANd9GcQcvJmaP_kq_xe0uPHsKn6vzOngAGDzrNJ1JA&amp;s</t>
  </si>
  <si>
    <t>Chole Bhature</t>
  </si>
  <si>
    <t>சோள பத்தூரே</t>
  </si>
  <si>
    <t xml:space="preserve">   All Purpose flour/maida - 2 cups,
   Sugar - 1 tsp,
   semolina - 2 tsp,
   Salt to taste,
   Baking soda or powder - a pinch,
   Oil for deep frying,
   channa - 1 cup,
   Onion - 1 cup,
   Tomato - 1 1/2 cup,
   Green chilli minced - 1 tbsp,
   Ginger minced - 1/2 tbsp,
   Garlic minced - 2 tbsp,
   Ginger garlic paste - 2 tsp,
   Cashew nuts - 7-10,
   Tomato sauce or ketchup - 1 tbsp,
   Turmeric powder – 1/4 tsp,
   Chilli powder - 1/2 tsp,
   Channa masala powder – 1/2 tbsp,
   Chaat masala - 1/2 tbsp,
   Salt to taste,
   Oil - 4 tbsp,
   Cinnamon - 1 ,
   Cloves - 3-4,
   Cardamom - 3,
   Cumin seeds - 1 tsp,
   black cumin seeds - 3/4 tsp,
   sombu - 1/2 tsp ,
   Coriander leaves ,
   Fried onions ,
   Cream or butter.</t>
  </si>
  <si>
    <t>அனைத்து உபயோக மாவு/மைதா - 2 கப்,
சர்க்கரை - 1 தேக்கரண்டி,
ரவை - 2 தேக்கரண்டி,
உப்பு தேவைக்கேற்ப,
பேக்கிங் சோடா அல்லது தூள் - ஒரு சிட்டிகை,
ஆழமாக வறுக்க எண்ணெய்,
சன்னா - 1 கப்,
வெங்காயம் - 1 கப்,
தக்காளி - 1 1/2 கப்,
பச்சை மிளகாய் நறுக்கியது - 1 தேக்கரண்டி,
இஞ்சி நறுக்கியது - 1/2 தேக்கரண்டி,
பூண்டு நறுக்கியது - 2 தேக்கரண்டி,
இஞ்சி பூண்டு விழுது - 2 தேக்கரண்டி,
முந்திரி பருப்பு - 7-10,
தக்காளி சாஸ் அல்லது கெட்ச்அப் - 1 தேக்கரண்டி,
மஞ்சள் தூள் - 1/4 தேக்கரண்டி,
மிளகாய் தூள் - 1/2 தேக்கரண்டி,
சன்னா மசாலா தூள் - 1/2 தேக்கரண்டி,
சாட் மசாலா - 1/2 தேக்கரண்டி,
உப்பு தேவைக்கேற்ப,
எண்ணெய் - 4 தேக்கரண்டி,
இலவங்கப்பட்டை - 1 ,
கிராம்பு - 3-4,
ஏலக்காய் - 3,
சீரகம் - 1 தேக்கரண்டி,
கருஞ்சீரகம் - 3/4 தேக்கரண்டி,
சோம்பு - 1/2 தேக்கரண்டி,
கொத்தமல்லி இலைகள்,
வறுத்த வெங்காயம்,
கிரீம் அல்லது வெண்ணெய்.</t>
  </si>
  <si>
    <t>In a bowl mix together maida, rava, salt, sugar and baking powder.
Add warm water and make a slightly stiff dough just as you make for poori. Grease your hands with oil and knead the dough well. Cover it and keep it aside for 2 hours.
After 2 hours- Your bhatura dough is ready. Knead the dough again and make small lemon sized balls out of it.
bhatura dough
Dust the ball with maida (all purpose flour) and roll it out into thin pooris (it should not be too thin)
Heat oil in a kadai, (to check if the oil is hot enough, drop a small piece of dough into the oil, if it raises to the surface immediately, then the oil is ready for frying. Keep the heat in medium and gently slide the rolled out dough into the hot oil. After a few seconds, press it with a slotted ladle so that it will puff up nicely. Make sure that you have enough oil, otherwise the bhatura will not puff up.
how to make Bhature
Fry both sides until golden brown. Then remove it from the oil with a slotted ladle and serve hot with chole. Repeat the same process for the rest of the dough.
Wash and soak chick peas overnight. Pressure cook for 5-6 whistles or until soft with just enough water to cover the chickpeas.
Soak cashew nuts in hot water and grind it to a paste. Keep it aside.
First keep all the things ready. It saves you a lot of time and also you will not forget anything.
Heat oil in a kadai, add all the ingredients mentioned under seasoning.
Then add the minced ginger and garlic and saute for a few seconds.
Then add finely chopped onions, minced green chillies and saute until the onions become golden brown. You need lot of patience for this. Add a little salt to speed up the process.
Once the onion becomes golden brown, add ginger garlic paste and saute until the raw flavor goes.
Then add finely chopped tomatoes.
Cook until the tomatoes become mushy and oil separates. Compare the picture above and below to see how the tomatoes are cooked.
Add turmeric powder, chilli powder, cashew nut paste, salt needed and cook for a few more minutes until the raw smell goes.
Now add cooked chickpeas along with the water. If required add more water according to the consistency required. Add tomato ketchup, channa masala and cook simmered for 15 minutes. 
Add chaat masala and cook for another few minutes. Garnish with fried onions (optional), coriander leaves and fresh cream.
Serve Chole with hot bhatura. Prepare chole first and then bhatura.</t>
  </si>
  <si>
    <t>ஒரு பாத்திரத்தில் மைதா, ரவா, உப்பு, சர்க்கரை மற்றும் பேக்கிங் பவுடர் ஆகியவற்றை ஒன்றாக கலக்கவும்.
வெதுவெதுப்பான நீரைச் சேர்த்து, பூரி செய்வது போல சற்று கெட்டியான மாவை உருவாக்கவும். உங்கள் கைகளில் எண்ணெய் தடவி மாவை நன்கு பிசையவும். அதை மூடி 2 மணி நேரம் ஒதுக்கி வைக்கவும்.
2 மணி நேரம் கழித்து - உங்கள் பதுரா மாவு தயாராக உள்ளது. மாவை மீண்டும் பிசைந்து, அதிலிருந்து சிறிய எலுமிச்சை அளவு உருண்டைகளை உருவாக்கவும்.
பதுரா மாவு
மைதா மாவுடன் உருண்டையை (அனைத்து உபயோக மாவு) தூவி மெல்லிய பூரிகளாக உருட்டவும் (அது மிகவும் மெல்லியதாக இருக்கக்கூடாது)
ஒரு கடாயில் எண்ணெயை சூடாக்கவும், (எண்ணெய் போதுமான அளவு சூடாக இருக்கிறதா என்று சோதிக்க, ஒரு சிறிய துண்டு மாவை எண்ணெயில் விடவும், அது உடனடியாக மேற்பரப்புக்கு உயர்ந்தால், எண்ணெய் வறுக்க தயாராக உள்ளது. மிதமான வெப்பத்தில் வைத்து, உருட்டிய மாவை சூடான எண்ணெயில் மெதுவாக சறுக்கவும். சில வினாடிகளுக்குப் பிறகு, ஒரு துளையிடப்பட்ட கரண்டியால் அதை அழுத்தவும், இதனால் அது நன்றாக வீங்கும். உங்களிடம் போதுமான எண்ணெய் இருப்பதை உறுதிப்படுத்திக் கொள்ளுங்கள், இல்லையெனில் பதுரா வீங்காது.
பதுராவை எப்படி செய்வது
இரண்டு பக்கமும் பொன்னிறமாகும் வரை வறுக்கவும். பின்னர் துளையிடப்பட்ட கரண்டியால் எண்ணெயிலிருந்து அகற்றி, சோளத்துடன் சூடாக பரிமாறவும். மீதமுள்ள மாவுக்கும் இதே செயல்முறையை மீண்டும் செய்யவும்.
கொண்டைக்கடலையை கழுவி இரவு முழுவதும் ஊற வைக்கவும். கொண்டைக்கடலையை 5-6 விசில்கள் அல்லது கொண்டைக்கடலை மூடும் அளவுக்கு தண்ணீர் சேர்த்து மென்மையாகும் வரை அழுத்தி சமைக்கவும்.
முந்திரி பருப்பை வெந்நீரில் ஊறவைத்து பேஸ்டாக அரைக்கவும். அதை வைத்துக் கொள்ளுங்கள். ஒதுக்கி வைக்கவும்.
முதலில் அனைத்து பொருட்களையும் தயாராக வைத்திருங்கள். இது உங்களுக்கு நிறைய நேரத்தை மிச்சப்படுத்துகிறது, மேலும் நீங்கள் எதையும் மறக்க மாட்டீர்கள்.
ஒரு கடாயில் எண்ணெயை சூடாக்கி, தாளிக்க வேண்டிய அனைத்து பொருட்களையும் சேர்க்கவும்.
பின்னர் நறுக்கிய இஞ்சி மற்றும் பூண்டைச் சேர்த்து சில நொடிகள் வதக்கவும்.
பின்னர் இறுதியாக நறுக்கிய வெங்காயம், நறுக்கிய பச்சை மிளகாய் சேர்த்து வெங்காயம் பொன்னிறமாகும் வரை வதக்கவும். இதற்கு உங்களுக்கு நிறைய பொறுமை தேவை. செயல்முறையை விரைவுபடுத்த சிறிது உப்பு சேர்க்கவும்.
வெங்காயம் பொன்னிறமாக மாறியதும், இஞ்சி பூண்டு விழுது சேர்த்து பச்சை வாசனை போகும் வரை வதக்கவும்.
பின்னர் இறுதியாக நறுக்கிய தக்காளியைச் சேர்க்கவும்.
தக்காளி மென்மையாகி எண்ணெய் பிரியும் வரை வதக்கவும். தக்காளி எப்படி சமைக்கப்படுகிறது என்பதைப் பார்க்க மேலே உள்ள படத்தையும் கீழே உள்ள படத்தையும் ஒப்பிட்டுப் பாருங்கள்.
மஞ்சள் தூள், மிளகாய் தூள், முந்திரி விழுது, தேவையான உப்பு சேர்த்து பச்சை வாசனை போகும் வரை இன்னும் சில நிமிடங்கள் சமைக்கவும்.
இப்போது வேகவைத்த கொண்டைக்கடலையை தண்ணீருடன் சேர்க்கவும். தேவைப்பட்டால் தேவையான நிலைத்தன்மைக்கு ஏற்ப அதிக தண்ணீர் சேர்க்கவும். தக்காளி கெட்ச்அப், சன்னா மசாலா சேர்த்து 15 நிமிடங்கள் கொதிக்க வைக்கவும்.
சாட் மசாலாவைச் சேர்த்து மேலும் சில நிமிடங்கள் சமைக்கவும். வறுத்த வெங்காயம் (விரும்பினால்), கொத்தமல்லி இலைகள் மற்றும் புதிய கிரீம் கொண்டு அலங்கரிக்கவும்.
சூடான பதுராவுடன் சோலை பரிமாறவும். முதலில் சோலை தயார் செய்து பின்னர் பதுராவை தயார் செய்யவும்.</t>
  </si>
  <si>
    <t>https://encrypted-tbn0.gstatic.com/images?q=tbn:ANd9GcQLV7xAZVR-Kq2eFVM7H5HDiaHRESqwCeu40w&amp;s</t>
  </si>
  <si>
    <t>Kambu Dosa</t>
  </si>
  <si>
    <t>கம்பு தோசை</t>
  </si>
  <si>
    <t xml:space="preserve">   Kambu - 1 cup,
   Par boiled Idli Rice - 1/4 cup,
   Whole Urad dal - 1/4 cup,
   Fenugreek - 1 tsp,
   Salt to taste.</t>
  </si>
  <si>
    <t>கம்பு - 1 கப்,
வேகவைத்த இட்லி அரிசி - 1/4 கப்,
முழு உளுத்தம் பருப்பு - 1/4 கப்,
வெந்தயம் - 1 டீஸ்பூன்,
ருசிக்க உப்பு.</t>
  </si>
  <si>
    <t>Wash and soak all the ingredients together for 6-7 hours or overnight.
Grind it to a smooth batter adding water needed. Add salt needed and mix well.
Allow it to ferment for 5-6 hours.
Prepare just as you make regular dosas.
Heat a tawa, when it is hot, pour a ladle of batter and spread it in a circular motion. Drizzle a tsp of oil around the dosa.
When the corners start lifting up, flip it over to the other side. Let the other side also get cooked.
Then remove the dosa from the tawa and serve hot with any Chutney or Sambar of your choice.</t>
  </si>
  <si>
    <t>அனைத்து பொருட்களையும் கழுவி 6-7 மணி நேரம் அல்லது இரவு முழுவதும் ஊற வைக்கவும்.
தேவையான அளவு தண்ணீர் சேர்த்து மென்மையான மாவாக அரைக்கவும். தேவையான அளவு உப்பு சேர்த்து நன்கு கலக்கவும்.
5-6 மணி நேரம் புளிக்க விடவும்.
வழக்கமான தோசை செய்வது போல தயார் செய்யவும்.
ஒரு தவாவை சூடாக்கி, அது சூடாகும்போது, ​​ஒரு கரண்டி மாவை ஊற்றி வட்ட இயக்கத்தில் பரப்பவும். தோசையைச் சுற்றி ஒரு தேக்கரண்டி எண்ணெயைத் தெளிக்கவும்.
மூலைகள் மேலே எழத் தொடங்கியதும், அதை மறுபுறம் திருப்பி வைக்கவும். மறு பக்கமும் வேகட்டும்.
பின்னர் தோசையை தவாவிலிருந்து அகற்றி, உங்களுக்கு விருப்பமான சட்னி அல்லது சாம்பாருடன் சூடாகப் பரிமாறவும்.</t>
  </si>
  <si>
    <t>https://encrypted-tbn0.gstatic.com/images?q=tbn:ANd9GcRxPZkPYP1SPjp54F7h3H0assQzK_Qj18vXZg&amp;s</t>
  </si>
  <si>
    <t xml:space="preserve">
   Onion - 1/2 cup chopped,
   Green chilli - 1 slit,
   Ginger - 1 inch piece,
   Mixed vegetables - 1 cup,
   Varagu - 1/2 cup,
   Water - 1 1/2 cup,
   Salt needed,
   Oil - 2 tsp,
   Mustard seeds - 1 tsp,
   Urad dal - 1 tsp,
   Red chilli - 1,
   Hing - a pinch,
   Curry leaves.</t>
  </si>
  <si>
    <t>வெங்காயம் - 1/2 கப் நறுக்கியது,
பச்சை மிளகாய் - 1 கீறல்,
இஞ்சி - 1 அங்குல துண்டு,
கலப்பு காய்கறிகள் - 1 கப்,
வரகு - 1/2 கப்,
தண்ணீர் - 1 1/2 கப்,
உப்பு தேவை,
எண்ணெய் - 2 தேக்கரண்டி,
கடுகு - 1 தேக்கரண்டி,
உளுத்தம் பருப்பு - 1 தேக்கரண்டி,
சிவப்பு மிளகாய் - 1,
கீரை - ஒரு சிட்டிகை,
கறிவேப்பிலை.</t>
  </si>
  <si>
    <t>ஒரு கடாயில் எண்ணெயை சூடாக்கி, கடுகு சேர்த்து, அது வதங்கியதும், உளுத்தம் பருப்பு, சிவப்பு மிளகாய் மற்றும் கீரை சேர்க்கவும்.
பருப்பு பொன்னிறமாக மாறியதும், இறுதியாக நறுக்கிய வெங்காயம், பச்சை மிளகாய், இஞ்சி, கறிவேப்பிலை சேர்த்து வெங்காயம் வெளிப்படையானதாக மாறும் வரை வதக்கவும்.
பின்னர் அனைத்து காய்கறிகளையும் (கேரட், பீன்ஸ், பட்டாணி மற்றும் உருளைக்கிழங்கு) சேர்த்து சில நிமிடங்கள் வதக்கவும்.
1 1/2 கப் தண்ணீர் மற்றும் தேவையான உப்பு சேர்க்கவும். (தண்ணீரை ருசித்துப் பாருங்கள், உப்பு போதுமானதா என்று பாருங்கள். தண்ணீர் கொஞ்சம் உப்பாக இருந்தால், தினையைச் சேர்த்தவுடன் அது சரியாக இருக்கும்.)
தண்ணீர் கொதிக்க ஆரம்பித்ததும், தீயைக் குறைத்து, தினைகளைச் சேர்த்து தொடர்ந்து கிளறிக்கொண்டே இருங்கள். மூடி வைத்து, அவ்வப்போது கிளறி குறைந்த தீயில் சமைக்கவும்.
உங்களுக்கு விருப்பமான எந்த சட்னியுடன் சூடாகப் பரிமாறவும்.</t>
  </si>
  <si>
    <t>https://blogger.googleusercontent.com/img/b/R29vZ2xl/AVvXsEg14RB5g94ECEBsS_MCXpIiEjGrRdYKeVMz370AQcifhOIU2W19GcRMWlN36bCW_Xye1Zy-8whPuBI0L2nf2m2qNK0e5n4ZGQEqUqq4L9OvtQpbXq8QMhyG8UwOuD0DkeJFD5NffjvG-ZvX/s1600/millet+upma.jpg</t>
  </si>
  <si>
    <t>Puttu</t>
  </si>
  <si>
    <t>புட்டு</t>
  </si>
  <si>
    <t xml:space="preserve">   Puttu flour - 2 cups,
   Grated coconut - as needed,
   Water - appoximately 1 cup,
   Salt needed.</t>
  </si>
  <si>
    <t>புட்டு மாவு - 2 கப்,
தேங்காய் துருவல் - தேவைக்கேற்ப,
தண்ணீர் - சுமார் 1 கப்,
உப்பு தேவை.</t>
  </si>
  <si>
    <t>Take 2 cups of puttu flour in a bowl. Add a little salt.
Add water little at the time and mix well with your finger tips.When you take a handful of flour and press it between your fist, it should hold its shape, when you press it again a little harder, it should crumble. That is the right consistency.
The flour should be crumbly and moist. There should be no lumps.You can blend it in a mixer for 2-3 seconds using the whipper blade. Keep it aside for 15 minutes.
Layer the puttu kutty (cylindrical tube) first with a little grated coconut, then add 2 fistful of puttu flour.Then again add grated coconut followed by puttu flour.Repeat the same process until the mould/puttu kutty is full ending it with grated coconut.
Now fill the puttu pot with water, cover the cylindrical tube with lid and fix it on the pot. Keep it on high flame. Once the water start boiling in the pot, you will see steam escaping from the holes on top of  the cylindrical tube, reduce the flame and cook for another 5-6 minutes.
When you get a nice flavor of steamed puttu, switch off, remove the cylindrical tube/puttu kutty from the pot, open it and gently push the puttu using a wooden ladle.
Serve hot with kadala curry or payaru and pappadam or small yellow banana and sugar.</t>
  </si>
  <si>
    <t>ஒரு பாத்திரத்தில் 2 கப் புட்டு மாவை எடுத்துக் கொள்ளுங்கள். சிறிது உப்பு சேர்க்கவும்.
சிறிது தண்ணீர் சேர்த்து உங்கள் விரல் நுனியால் நன்றாக கலக்கவும். ஒரு கைப்பிடி மாவை எடுத்து உங்கள் கைமுட்டிகளுக்கு இடையில் அழுத்தும் போது, ​​அது அதன் வடிவத்தை தக்க வைத்துக் கொள்ள வேண்டும், மீண்டும் சிறிது கடினமாக அழுத்தும் போது, ​​அது நொறுங்க வேண்டும். அதுதான் சரியான நிலைத்தன்மை.
மாவு நொறுங்கி, ஈரப்பதமாக இருக்க வேண்டும். கட்டிகள் எதுவும் இருக்கக்கூடாது. விப்பர் பிளேடைப் பயன்படுத்தி 2-3 வினாடிகள் மிக்ஸியில் கலக்கலாம். 15 நிமிடங்கள் ஒதுக்கி வைக்கவும்.
புட்டு குட்டியை (உருளை குழாய்) முதலில் சிறிது துருவிய தேங்காயுடன் அடுக்கி, பின்னர் 2 கைமுட்டி புட்டு மாவை சேர்க்கவும். பின்னர் மீண்டும் துருவிய தேங்காயைச் சேர்த்து, பின்னர் புட்டு மாவைச் சேர்க்கவும். அச்சு/புட்டு குட்டி நிரம்பும் வரை அதே செயல்முறையை மீண்டும் செய்யவும்.
இப்போது புட்டுப் பானையில் தண்ணீரை நிரப்பி, உருளை வடிவக் குழாயை மூடி, பானையின் மீது பொருத்தவும். அதிக தீயில் வைக்கவும். பானையில் தண்ணீர் கொதிக்க ஆரம்பித்ததும், உருளை வடிவக் குழாயின் மேல் உள்ள துளைகளிலிருந்து நீராவி வெளியேறுவதைக் காண்பீர்கள், சுடரைக் குறைத்து மேலும் 5-6 நிமிடங்கள் சமைக்கவும்.
வேகவைத்த புட்டு நல்ல சுவையைப் பெற்றதும், அதை அணைத்து, உருளை வடிவக் குழாய்/புட்டு குட்டியை பாத்திரத்திலிருந்து அகற்றி, அதைத் திறந்து, மரக் கரண்டியைப் பயன்படுத்தி புட்டுவை மெதுவாகத் தள்ளுங்கள்.
கடலா கறி அல்லது பாயாறு மற்றும் பப்படம் அல்லது சிறிய மஞ்சள் வாழைப்பழம் மற்றும் சர்க்கரையுடன் சூடாகப் பரிமாறவும்.</t>
  </si>
  <si>
    <t>https://www.vegrecipesofindia.com/wp-content/uploads/2017/11/puttu-recipe-1a.jpg</t>
  </si>
  <si>
    <t>Kadala Curry</t>
  </si>
  <si>
    <t>கடலை கறி</t>
  </si>
  <si>
    <t xml:space="preserve">   Brown Kondaikadalai - 2 cups,
   Ginger garlic paste – 1 tbsp,
   Onion – 2 ,
   Green chilli - 1 slit,
   Tomato - 1,
   Grated coconut – 3/4 cup,
   Turmeric powder - 1/4 tsp,
   Chilli powder -1 tbsp,
   Coriander powder  - 4 tsp,
   Kerala Garam Masala Powder - 1 tsp,
   Salt needed,
   Oil – 2 tbsp,
   Mustard seeds - 1 tsp,
   Hing - a pinch,
   Oil - 1 tsp,
   Red Chillies - 2,
   Curry leaves.</t>
  </si>
  <si>
    <t>பழுப்பு நிற கொண்டைக்கடலை - 2 கப்,
இஞ்சி பூண்டு விழுது - 1 டீஸ்பூன்,
வெங்காயம் - 2 ,
பச்சை மிளகாய் - 1 கீறல்,
தக்காளி - 1,
துருவிய தேங்காய் - 3/4 கப்,
மஞ்சள் தூள் - 1/4 டீஸ்பூன்,
மிளகாய் தூள் - 1 டீஸ்பூன்,
கொத்தமல்லி தூள் - 4 டீஸ்பூன்,
கேரள கரம் மசாலா தூள் - 1 டீஸ்பூன்,
உப்பு தேவை,
எண்ணெய் - 2 டீஸ்பூன்,
கடுகு - 1 டீஸ்பூன்,
ஹிங் - ஒரு சிட்டிகை,
எண்ணெய் - 1 டீஸ்பூன்,
சிவப்பு மிளகாய் - 2,
கறிவேப்பிலை.</t>
  </si>
  <si>
    <t>Heat oil in a pan, add mustard seeds, hing, when mustard splutters, add ginger garlic paste and saute until the raw flavor goes.
Then add onions, green chilli and saute until onions turn light brown. Add a little salt to the onions to speed up the process.
Add tomatoes and cook until tomatoes become mushy.
Once the tomato is cooked, add turmeric powder, chilli powder, coriander powder, salt needed and saute until the raw flavor of the masala powder goes. If it becomes too dry, add a tbsp of water and cook.
Then add the cooked kadala along with the water. Add the ground coconut paste and cook for a few minutes. 
Take a ladle of cooked channa, grind it to a coarse paste and add it to the gravy along with Kerala Garam masala powder. Add more water and cook on medium flame until everything gets blended well.
Heat 2 tsp of oil, saute red chillies and curry leaves and add to the gravy. Garnish with coriander leaves and serve hot with puttu or appam or even with chapati or dosa.
The gravy has to be a little watery so that it will make a perfect pair with puttu.</t>
  </si>
  <si>
    <t>ஒரு கடாயில் எண்ணெயை சூடாக்கி, கடுகு, ஹிங் சேர்த்து, கடுகு வெடித்ததும், இஞ்சி பூண்டு விழுது சேர்த்து பச்சை வாசனை போகும் வரை வதக்கவும்.
பின்னர் வெங்காயம், பச்சை மிளகாய் சேர்த்து வெங்காயம் வெளிர் பழுப்பு நிறமாக மாறும் வரை வதக்கவும். வெங்காயத்துடன் சிறிது உப்பு சேர்த்து வேகவைக்கவும்.
தக்காளியைச் சேர்த்து தக்காளி மென்மையாகும் வரை வதக்கவும்.
தக்காளி வதங்கியதும், மஞ்சள் தூள், மிளகாய் தூள், கொத்தமல்லி தூள், தேவையான அளவு உப்பு சேர்த்து மசாலாப் பொடியின் பச்சை வாசனை போகும் வரை வதக்கவும். அது மிகவும் வறண்டு போனால், ஒரு டீஸ்பூன் தண்ணீர் சேர்த்து சமைக்கவும்.
பின்னர் சமைத்த கடலையை தண்ணீருடன் சேர்க்கவும். அரைத்த தேங்காய் விழுதைச் சேர்த்து சில நிமிடங்கள் சமைக்கவும்.
ஒரு கரண்டி சமைத்த சன்னாவை எடுத்து, அதை ஒரு கரண்டி கரம் மசாலாப் பொடியாக அரைத்து, குழம்பில் சேர்த்து, கேரள கரம் மசாலாப் பொடியுடன் சேர்க்கவும். மேலும் தண்ணீர் சேர்த்து, எல்லாம் நன்றாகக் கலக்கும் வரை மிதமான தீயில் சமைக்கவும்.
2 டீஸ்பூன் எண்ணெயைச் சூடாக்கி, சிவப்பு மிளகாய் மற்றும் கறிவேப்பிலையை வதக்கி, குழம்பில் சேர்க்கவும். கொத்தமல்லி இலைகளால் அலங்கரித்து, புட்டு அல்லது ஆப்பத்துடன் அல்லது சப்பாத்தி அல்லது தோசையுடன் கூட சூடாகப் பரிமாறவும்.
குழம்பு சிறிது தண்ணீராக இருக்க வேண்டும், இதனால் புட்டுவுடன் சரியான ஜோடியாக இருக்கும்.</t>
  </si>
  <si>
    <t>https://www.sharmispassions.com/wp-content/uploads/2023/03/kadala-curry2.jpg</t>
  </si>
  <si>
    <t>Ragi Adai</t>
  </si>
  <si>
    <t>ராகி அடை</t>
  </si>
  <si>
    <t xml:space="preserve">   Ragi flour – 1 cup,
   Carrot - 1/2 a carrot,
   Cabbage – a small bit,
   Onion – 1 ,
   Green chillies - 2,
   Coriander leaves,
   Oil – 1 tsp,
   Oil for cooking the adai.</t>
  </si>
  <si>
    <t>ராகி மாவு - 1 கப்,
கேரட் - 1/2 கேரட்,
முட்டைக்கோஸ் - சிறிதளவு,
வெங்காயம் - 1 ,
பச்சை மிளகாய் - 2,
கொத்தமல்லி இலை,
எண்ணெய் - 1 தேக்கரண்டி,
அடை சமைக்க எண்ணெய்.</t>
  </si>
  <si>
    <t>Heat 1 tsp of oil, add finely chopped onions, green chillies and saute until onions turn transparent.
Then add carrot, cabbage, salt needed and cook for a few minutes covered. Since we have chopped the vegetable finely, it will not take more than 5 minutes to get cooked. Leave it to cool.
Once it cools, add ragi flour to the vegetables and mix well. Add little salt as we have already added salt to the vegetables. Add water little at a time and make a dough.
Divide the dough into 6 equal sized balls. Grease a plantain leaf or a ziplock bag with oil and flatten the ragi dough ball with your fingers.
Grease the tawa and heat it. Transfer the flattened dough to the tawa. If you have used plastic sheet, transfer to your hands first and then place it on the tawa. You can flatten the dough directly on the tawa also. If you are flattening the adai directly on the tawa, switch off the flame, flatten it and switch on again to prevent your hands from getting scorched.
The dough will start changing color. Drizzle oil around the adai and cook both sides well on medium heat.
Repeat the same process for the rest of the dough.</t>
  </si>
  <si>
    <t>1 தேக்கரண்டி எண்ணெயை சூடாக்கி, இறுதியாக நறுக்கிய வெங்காயம், பச்சை மிளகாய் சேர்த்து வெங்காயம் தெளிவாகும் வரை வதக்கவும்.
பின்னர் கேரட், முட்டைக்கோஸ், தேவையான உப்பு சேர்த்து மூடி வைத்து சில நிமிடங்கள் சமைக்கவும். காய்கறியை நன்றாக நறுக்கியதால், அது வேக 5 நிமிடங்களுக்கு மேல் ஆகாது. அதை ஆற விடவும்.
அது குளிர்ந்ததும், காய்கறிகளுடன் ராகி மாவை சேர்த்து நன்கு கலக்கவும். காய்கறிகளில் ஏற்கனவே உப்பு சேர்த்தது போல் சிறிது உப்பு சேர்க்கவும். சிறிது சிறிதாக தண்ணீர் சேர்த்து மாவை தயாரிக்கவும்.
மாவை 6 சம அளவிலான உருண்டைகளாகப் பிரிக்கவும். ஒரு வாழை இலை அல்லது ஒரு ஜிப்லாக் பையில் எண்ணெயில் தடவி, ராகி மாவு உருண்டையை உங்கள் விரல்களால் தட்டையாக்குங்கள்.
தவாவை தடவி சூடாக்கவும். தட்டையான மாவை தவாவிற்கு மாற்றவும். நீங்கள் பிளாஸ்டிக் தாளைப் பயன்படுத்தியிருந்தால், முதலில் உங்கள் கைகளுக்கு மாற்றி, பின்னர் தவாவில் வைக்கவும். நீங்கள் மாவை நேரடியாக தவாவின் மீது தட்டையாக்கலாம். நீங்கள் அடையை நேரடியாக தவாவில் தட்டையாக்கினால், சுடரை அணைத்து, தட்டையாக்கி, உங்கள் கைகள் கருகாமல் இருக்க மீண்டும் இயக்கவும்.
மாவின் நிறம் மாறத் தொடங்கும். அடையைச் சுற்றி எண்ணெய் தடவி, மிதமான தீயில் இருபுறமும் நன்றாக சமைக்கவும்.
மீதமுள்ள மாவிற்கும் இதே செயல்முறையை மீண்டும் செய்யவும்.</t>
  </si>
  <si>
    <t>https://www.indianhealthyrecipes.com/wp-content/uploads/2024/04/ragi-roti-ragi-rotti-recipe.webp</t>
  </si>
  <si>
    <t>Varagarisi Pongal</t>
  </si>
  <si>
    <t>வரகரிசி பொங்கல்</t>
  </si>
  <si>
    <t xml:space="preserve">   Varagarisi - 1/2 cup,
   Split green gram dal  - 2 tbsp,
   Water – 2 1/4 cup,
   Salt to taste,
   Oil – 1 tbsp,
   Ghee – 1-2 tsp,
   Cumin seeds – 1 tsp,
   Whole black pepper – 1 tsp ,
   Cashew nuts – 4-5,
   Ginger finely chopped – 1 tbsp,
   Curry leaves – a sprig.</t>
  </si>
  <si>
    <t>வரகரிசி - 1/2 கப்,
பச்சைப்பயறு - 2 டேபிள்ஸ்பூன்,
தண்ணீர் - 2 1/4 கப்,
ருசிக்க உப்பு,
எண்ணெய் - 1 டேபிள்ஸ்பூன்,
நெய் - 1-2 டேபிள்ஸ்பூன்,
சீரகம் - 1 டேபிள்ஸ்பூன்,
முழு கருப்பு மிளகு - 1 டேபிள்ஸ்பூன்,
முந்திரி பருப்பு - 4-5,
இஞ்சி நன்றாக நறுக்கியது - 1 டேபிள்ஸ்பூன்,
கறிவேப்பிலை - ஒரு தளிர்.</t>
  </si>
  <si>
    <t>Wash and pressure cook both dal and millets with 2 1/4 cup of water, salt needed for 4 whistles.
Once the pressure subsides, open the cooker and mix the content well.
Heat oil in a kadai/pan, add cumin/jeera seeds, pepper and cashew nuts, when jeera sizzles, add finely chopped ginger, curry leaves and pour it over the cooked millet + dal.
Cook the pongal on low heat for 3-4 minutes, add ghee and switch it off.
Delicious and healthy Kodo Millet Pongal is ready. Serve it hot with sambar or coconut chutney or coconut chutney with garlic.</t>
  </si>
  <si>
    <t>துவரம்பருப்பு மற்றும் தினை இரண்டையும் கழுவி, 2 1/4 கப் தண்ணீரில், தேவையான உப்புடன் 4 விசில் வரும் வரை வேக வைக்கவும்.
அழுத்தம் தணிந்ததும், குக்கரைத் திறந்து, உள்ளடக்கங்களை நன்கு கலக்கவும்.
ஒரு கடாயில் எண்ணெயைச் சூடாக்கி, சீரகம் / ஜீரா விதைகள், மிளகு மற்றும் முந்திரி பருப்புகளைச் சேர்த்து, ஜீரா கொதித்ததும், இறுதியாக நறுக்கிய இஞ்சி, கறிவேப்பிலை சேர்த்து, சமைத்த தினை + பருப்பின் மீது ஊற்றவும்.
பொங்கலை 3-4 நிமிடங்கள் குறைந்த வெப்பத்தில் சமைக்கவும், நெய் சேர்த்து அணைக்கவும்.
சுவையான மற்றும் ஆரோக்கியமான கோடோ தினை பொங்கல் தயார். இதை சாம்பார் அல்லது தேங்காய் சட்னி அல்லது பூண்டுடன் தேங்காய் சட்னியுடன் சூடாகப் பரிமாறவும்.</t>
  </si>
  <si>
    <t>https://www.sharmispassions.com/wp-content/uploads/2020/12/15019148190_b40cef930f_o-435x500.jpg</t>
  </si>
  <si>
    <t>Corn Capsicum Sandwich</t>
  </si>
  <si>
    <t>கார்ன் கேப்சிகம் சாண்ட்விச்</t>
  </si>
  <si>
    <t xml:space="preserve">   Brown bread - 6,
   Butter,
   Oil - 2 tsp,
   Onion – 1/2 cup finely chopped,
   Tomato – 1/3 cup finely chopped,
   Capsicum – 1/2 cup chopped,
   Boiled Sweet corn kernels - 1 cup,
   Chilli Powder - 1 tsp,
   Salt to taste,
   Pepper Powder to taste,
   Tomato sauce – 1.</t>
  </si>
  <si>
    <t>பிரவுன் பிரெட் - 6,
வெண்ணெய்,
எண்ணெய் - 2 டீஸ்பூன்,
வெங்காயம் - 1/2 கப் நன்றாக நறுக்கியது,
தக்காளி - 1/3 கப் நன்றாக நறுக்கியது,
கேப்சிகம் - 1/2 கப் நறுக்கியது,
வேகவைத்த இனிப்பு சோள முலாம் - 1 கப்,
மிளகாய் தூள் - 1 டீஸ்பூன்,
சுவைக்கு உப்பு,
மிளகு தூள்,
தக்காளி சாஸ் - 1.</t>
  </si>
  <si>
    <t>Heat oil in a pan, add finely chopped onions and saute until onions turn transparent.
Add tomatoes and cook for another 5 minutes.
Add chopped capsicum, cooked corn, chilli powder, salt, pepper powder and cook covered. Capsicum should retain its crunchiness, so see to it that you do not over cook it. Allow it to cool.
Apply butter on both sides of the bread, place 1-2 tbsp of this corn filling and close it with another buttered bread. You can have it as such or you can toast it.
Toast it in a sandwich toaster or in a tawa until golden brown. Cut it diagonally and serve hot. Repeat the same procedure for the rest of the bread slices.</t>
  </si>
  <si>
    <t>ஒரு கடாயில் எண்ணெயை சூடாக்கி, இறுதியாக நறுக்கிய வெங்காயத்தைச் சேர்த்து வெங்காயம் வெளிப்படையானதாக மாறும் வரை வதக்கவும்.
தக்காளியைச் சேர்த்து மேலும் 5 நிமிடங்கள் சமைக்கவும்.
நறுக்கிய கேப்சிகம், சமைத்த சோளம், மிளகாய் தூள், உப்பு, மிளகு தூள் சேர்த்து மூடி வைத்து சமைக்கவும். கேப்சிகம் அதன் மொறுமொறுப்பைத் தக்க வைத்துக் கொள்ள வேண்டும், எனவே நீங்கள் அதை அதிகமாக வேகவிடாமல் பார்த்துக் கொள்ளுங்கள். அதை குளிர்விக்க விடுங்கள்.
ரொட்டியின் இருபுறமும் வெண்ணெய் தடவி, இந்த சோள நிரப்புதலில் 1-2 டீஸ்பூன் வைத்து வெண்ணெய் தடவிய மற்றொரு ரொட்டியுடன் மூடி வைக்கவும். நீங்கள் அதை அப்படியே சாப்பிடலாம் அல்லது டோஸ்ட் செய்யலாம்.
ஒரு சாண்ட்விச் டோஸ்டரிலோ அல்லது தவாவിലോ பொன்னிறமாகும் வரை வறுக்கவும். அதை குறுக்காக வெட்டி சூடாகப் பரிமாறவும். மீதமுள்ள ரொட்டித் துண்டுகளுக்கும் இதே முறையை மீண்டும் செய்யவும்.</t>
  </si>
  <si>
    <t>https://www.flavourstreat.com/wp-content/uploads/2024/03/corn-capsicum-sandwich-recipe-001.jpg</t>
  </si>
  <si>
    <t xml:space="preserve">
புளி அவல்</t>
  </si>
  <si>
    <t>aval - 1 cup,
Turmeric powder - 1/4 tsp,
Tamarind paste - 1 tsp,
Salt as needed,
Oil – 2 tsp,
Mustard seeds – 1 tsp,
Asafoetida – a generous pinch,
Bengal gram dal – 2 tsp,
Red chillies - 2,
Green chillies - 1,
Roasted peanuts - 2-3 tbsp,
Curry leaves .</t>
  </si>
  <si>
    <t>அவல் - 1 கப்,
மஞ்சள் தூள் - 1/4 தேக்கரண்டி,
புளி விழுது - 1 தேக்கரண்டி,
தேவைக்கேற்ப உப்பு,
எண்ணெய் - 2 தேக்கரண்டி,
கடுகு விதைகள் - 1 தேக்கரண்டி,
அசாஃபோடிடா - ஒரு சிட்டிகை,
வங்காள பருப்பு - 2 தேக்கரண்டி,
சிவப்பு மிளகாய் - 2,
பச்சை மிளகாய் - 1,
வறுத்த வேர்க்கடலை - 2-3 தேக்கரண்டி,
கறிவேப்பிலை.</t>
  </si>
  <si>
    <t>https://encrypted-tbn0.gstatic.com/images?q=tbn:ANd9GcTeNO_zeJMM4Gw3qmIdkLUeLcey57d_2ctveQ&amp;s</t>
  </si>
  <si>
    <t xml:space="preserve">   Brown bread – 6,
   Butter as needed,
   Onion - 1,
   Potatoes – 1 ,
   Spinach - 1 cup chopped,
   Chilli powder – 1/2 tsp,
   Green chilli - 1,
   Salt needed,
   Oil - 2 tsp,
   Cumin seeds – 1/2 tsp.</t>
  </si>
  <si>
    <t>பிரவுன் பிரெட் – 6,
வெண்ணெய் தேவைக்கேற்ப,
வெங்காயம் - 1,
உருளைக்கிழங்கு – 1 ,
கீரை - 1 கப் நறுக்கியது,
மிளகாய் தூள் – 1/2 தேக்கரண்டி,
பச்சை மிளகாய் - 1,
உப்பு தேவை,
எண்ணெய் - 2 தேக்கரண்டி,
சீரகம் – 1/2 தேக்கரண்டி.</t>
  </si>
  <si>
    <t>ஒரு கடாயில் எண்ணெயை சூடாக்கி, சீரகம் சேர்த்து, அது வதங்கியதும், இறுதியாக நறுக்கிய வெங்காயம், பச்சை மிளகாய் சேர்த்து வெங்காயம் வெளிப்படையானதாக மாறும் வரை வதக்கவும்.
உருளைக்கிழங்கு, உப்பு, மிளகாய் தூள் சேர்த்து 2-3 நிமிடங்கள் சமைக்கவும்.
பின்னர் கீரை இலைகளைச் சேர்த்து, அது வாடும் வரை சமைக்கவும். அதை குளிர்விக்க விடவும்.
ரொட்டியின் இருபுறமும் வெண்ணெய் தடவி, 2 தேக்கரண்டி கீரை உருளைக்கிழங்கு கலவையை வைத்து, வெண்ணெய் தடவிய மற்றொரு பிரெட்டுடன் மூடி, சாண்ட்விச் டோஸ்டரைப் பயன்படுத்தி டோஸ்ட் செய்யவும். உங்களிடம் டோஸ்டர் இல்லையென்றால், நீங்கள் ஒரு தவாவைப் பயன்படுத்தலாம்.
சூடாகவோ அல்லது தக்காளி கெட்ச்அப்போடு பரிமாறவும்.</t>
  </si>
  <si>
    <t>https://encrypted-tbn0.gstatic.com/images?q=tbn:ANd9GcTA91Le0FaoVyp1kTqOsMkHZ3ZgrNteHUG4dw&amp;s</t>
  </si>
  <si>
    <t>Rava Dhokla</t>
  </si>
  <si>
    <t>ரவா தோக்லா</t>
  </si>
  <si>
    <t xml:space="preserve"> semolina – 1 cup,
Curd – 1 cup,
Ginger-green chilli paste – 1-1 1/4 tsp,
Lemon Juice - 2 tsp,
Grated carrot - 1/4 cup,
Turmeric – a pinch,
Water - 1/4 cup,
Sugar – 1/2 tsp,
Salt needed,
Oil – 1 tsp,
Mustard seeds - 1/2 tsp,
asafoetida – a pinch,
Water - 1 tbsp,
Eno fruit salt – 1 1/4 tsp,
White sesame seeds - 2 tsp,
Curry leaves,
Water - 2 tbsp,
Fresh grated coconut,
Finely chopped coriander leaves.</t>
  </si>
  <si>
    <t>ரவை - 1 கப்,
தயிர் - 1 கப்,
இஞ்சி-பச்சை மிளகாய் விழுது - 1-1 1/4 தேக்கரண்டி,
எலுமிச்சை சாறு - 2 தேக்கரண்டி,
துருவிய கேரட் - 1/4 கப்,
மஞ்சள் - ஒரு சிட்டிகை,
தண்ணீர் - 1/4 கப்,
சர்க்கரை - 1/2 தேக்கரண்டி,
உப்பு தேவை,
எண்ணெய் - 1 தேக்கரண்டி,
கடுகு - 1/2 தேக்கரண்டி,
அசாஃபாடிடா - ஒரு சிட்டிகை,
தண்ணீர் - 1 தேக்கரண்டி,
ஈனோ பழ உப்பு - 1 1/4 தேக்கரண்டி,
வெள்ளை எள் - 2 தேக்கரண்டி,
கறிவேப்பிலை,
தண்ணீர் - 2 தேக்கரண்டி,
புதிய தேங்காய் துருவல்,
நறுக்கிய கொத்தமல்லி இலைகள்.</t>
  </si>
  <si>
    <t>In a bowl, mix together  rava, curd, ginger green chilli paste, turmeric powder, lemon juice, grated carrot, salt, sugar and water to make a smooth and slightly thick batter.
Heat 1 tbsp of oil in a kadai, add mustard seeds, hing, when mustard splutters, switch off the flame, add 1 tbsp of water and then pour the seasoning over the batter and mix well. The reason for adding water to the tempering is to get soft dhoklas.
Heat water in a steamer, when water starts boiling, add Eno to the dhokla batter, mix gently, transfer the batter to the greased plate immediately and steam for 15 minutes or until it is cooked. Let it cool a little. 
Run a knife around the corners of the plate/pan and invert the dhokla (see picture below). Then invert it back again and cut it into equal sized pieces. Cut only after it cools a little.
Heat oil in a kadai/pan, add mustard seeds, sesame seeds, when it splutters, add curry leaves and switch off the flame. Add 2 tbsp of water and pour seasoning evenly all over the dhokla.
Garnish with finely chopped coriander leaves and freshly grated coconut.
Serve hot with green chutney or coriander chutney or any chutney of your choice.</t>
  </si>
  <si>
    <t>ஒரு பாத்திரத்தில், ரவா, தயிர், இஞ்சி பச்சை மிளகாய் விழுது, மஞ்சள் தூள், எலுமிச்சை சாறு, துருவிய கேரட், உப்பு, சர்க்கரை மற்றும் தண்ணீர் சேர்த்து மென்மையான மற்றும் சற்று அடர்த்தியான மாவை தயாரிக்கவும்.
ஒரு கடாயில் 1 டேபிள் ஸ்பூன் எண்ணெயை சூடாக்கி, கடுகு, கீல் சேர்த்து, கடுகு வதங்கியதும், தீயை அணைத்து, 1 டேபிள் ஸ்பூன் தண்ணீர் சேர்த்து, பின்னர் மாவின் மேல் தாளிக்க வேண்டியதை ஊற்றி நன்கு கலக்கவும். மென்மையான தோக்லாஸ் பெறுவதற்காகவே, தாளிக்க தண்ணீரைச் சேர்க்க வேண்டும்.
நீராவியில் தண்ணீரை சூடாக்கி, தண்ணீர் கொதிக்க ஆரம்பித்ததும், தோக்லா மாவில் ஈனோவைச் சேர்த்து, மெதுவாகக் கலந்து, மாவை உடனடியாக எண்ணெய் தடவிய தட்டில் மாற்றி, 15 நிமிடங்கள் அல்லது அது வேகும் வரை ஆவியில் வேக வைக்கவும். சிறிது ஆற விடவும்.
தட்டு/பானின் மூலைகளைச் சுற்றி ஒரு கத்தியை இயக்கி, தோக்லாவைத் தலைகீழாக மாற்றவும் (கீழே உள்ள படத்தைப் பார்க்கவும்). பின்னர் அதை மீண்டும் தலைகீழாக மாற்றி, சம அளவிலான துண்டுகளாக வெட்டவும். சிறிது ஆறிய பிறகு மட்டும் வெட்டவும்.
ஒரு கடாயில் எண்ணெயை சூடாக்கி, கடுகு, எள் சேர்த்து, அது வதங்கியதும், கறிவேப்பிலையைச் சேர்த்து, தீயை அணைக்கவும். 2 டேபிள் ஸ்பூன் தண்ணீரைச் சேர்த்து, தோக்லா முழுவதும் சமமாக தாளிக்க வேண்டியதை ஊற்றவும்.
இறுதியாக நறுக்கிய கொத்தமல்லி இலைகள் மற்றும் புதிதாக துருவிய தேங்காயுடன் அலங்கரிக்கவும்.
பச்சை சட்னி அல்லது கொத்தமல்லி சட்னி அல்லது உங்களுக்கு விருப்பமான எந்த சட்னியுடன் சூடாக பரிமாறவும்.</t>
  </si>
  <si>
    <t>https://cdn2.foodviva.com/static-content/food-images/snacks-recipes/rava-dhokla-recipe/rava-dhokla-recipe.jpg</t>
  </si>
  <si>
    <t>Ragi Sweet Porridge</t>
  </si>
  <si>
    <t>ராகி இனிப்பு கஞ்சி</t>
  </si>
  <si>
    <t xml:space="preserve">Finger millet flour – 1/4 cup,
Milk – 3/4 -1 cup (boiled),
Palm jaggery  – 1 tbsp,
Dates - 3-4,
Walnuts - 2 tbsp,
Almonds – 4.
</t>
  </si>
  <si>
    <t>விரல் தினை மாவு - 1/4 கப்,
பால் - 3/4 -1 கப் (வேகவைத்தது),
பழ வெல்லம் - 1 டீஸ்பூன்,
பேரிதழ் - 3-4,
வால்நட்ஸ் - 2 டீஸ்பூன்,
பாதாம் - 4.</t>
  </si>
  <si>
    <t>Cook ragi on medium flame stirring continuously.
When it starts thickening, add a cup of milk, palm jaggery and bring it to boil stirring it continuously.
Switch off, add walnuts, dates, almonds and drink warm.
I assure you that you will love this porridge and make it a part of your diet. Even those who are not fond of porridge will love this finger millet porridge with nuts and dry fruits.</t>
  </si>
  <si>
    <t>ராகியை மிதமான தீயில் தொடர்ந்து கிளறி சமைக்கவும்.
அது கெட்டியாகத் தொடங்கியதும், ஒரு கப் பால், பனை வெல்லம் சேர்த்து, தொடர்ந்து கிளறி கொதிக்க வைக்கவும்.
அணைத்துவிட்டு, வால்நட்ஸ், பேரீச்சம்பழம், பாதாம் சேர்த்து சூடாக குடிக்கவும்.
இந்த கஞ்சியை நீங்கள் விரும்புவீர்கள், இதை உங்கள் உணவில் ஒரு பகுதியாக ஆக்குவீர்கள் என்று நான் உங்களுக்கு உறுதியளிக்கிறேன். கஞ்சி பிடிக்காதவர்கள் கூட கொட்டைகள் மற்றும் உலர் பழங்களுடன் கூடிய இந்த விரல் தினை கஞ்சியை விரும்புவார்கள்.</t>
  </si>
  <si>
    <t>https://www.sharmispassions.com/wp-content/uploads/2017/06/ragi-malt3.webp</t>
  </si>
  <si>
    <t xml:space="preserve">   Finger millet - 1/4 kg,
   Pear millet - 1/4 kg,
   Green gram – 1/4 kg,
   Wheat – 1/4 kg,
   Par boiled rice  – 1/4 kg,
   Fried gram  - 100 grams,
   Barley – 100 grams,
    jevarisi – 50 grams,
   Dry ginger - 2 inch piece,
   Almonds - 25 grams.</t>
  </si>
  <si>
    <t>கேழ்வரகு - 1/4 கிலோ,
பேரிக்காய் - 1/4 கிலோ,
பச்சைப்பயறு - 1/4 கிலோ,
கோதுமை - 1/4 கிலோ,
புழுங்கல் அரிசி - 1/4 கிலோ,
வறுத்த பருப்பு - 100 கிராம்,
பார்லி - 100 கிராம்,
ஜெவரிசி - 50 கிராம்,
உலர்ந்த இஞ்சி - 2 அங்குல துண்டு,
பாதாம் - 25 கிராம்.</t>
  </si>
  <si>
    <t>Wash finger millet/ragi well and soak it in water overnight.
Next day, rinse well , drain the water, tie it in a muslin cloth and hang it.
Leave it for sprouting. Rinse once in between.
After it has sprouted, rinse it again gently, drain the water and spread it on a cloth for drying. Dry it well either in the sun or in shade inside the house.
After it has dried well, dry roast it, till you get a nice aroma.
Repeat the same process as above for Pearl millet, Green gram and Wheat.
Dry roast boiled rice, fried gram, barley, sago, dry ginger and almonds separately.
Now combine all the 10 ingredients and get it ground in the flour mill/rice mill.
Your porridge powder is ready.</t>
  </si>
  <si>
    <t>கேழ்வரகு/கேழ்வரகு ஆகியவற்றை நன்கு கழுவி, இரவு முழுவதும் தண்ணீரில் ஊற வைக்கவும்.
மறுநாள், நன்கு துவைத்து, தண்ணீரை வடித்து, ஒரு மஸ்லின் துணியில் கட்டி தொங்க விடவும்.
முளைக்க விடவும். இடையில் ஒரு முறை துவைக்கவும்.
அது முளைத்த பிறகு, மீண்டும் மெதுவாக துவைக்கவும், தண்ணீரை வடித்து, உலர்த்த ஒரு துணியில் பரப்பவும். வெயிலில் அல்லது வீட்டின் உள்ளே நிழலில் நன்கு உலர வைக்கவும்.
அது நன்கு காய்ந்த பிறகு, நல்ல வாசனை வரும் வரை உலர வறுக்கவும்.
மேலே உள்ள அதே செயல்முறையை முத்து தினை, பச்சை பயறு மற்றும் கோதுமைக்கும் செய்யவும்.
வேகவைத்த அரிசி, வறுத்த பயறு, பார்லி, சவ்வரிசி, உலர்ந்த இஞ்சி மற்றும் பாதாம் ஆகியவற்றை தனித்தனியாக வறுத்துக்கொள்ளவும்.
இப்போது 10 பொருட்களையும் சேர்த்து மாவு ஆலை/அரிசி ஆலையில் அரைக்கவும்.
உங்கள் கஞ்சி பொடி தயாராக உள்ளது.</t>
  </si>
  <si>
    <t>https://www.cookingclassy.com/wp-content/uploads/2022/02/porridge-1.jpg</t>
  </si>
  <si>
    <t>Foxtail Millet Dosa</t>
  </si>
  <si>
    <t>ஃபாக்ஸ்டெயில் தினை தோசை</t>
  </si>
  <si>
    <t>Foxtail Millet - 3 cups,
Urad dal - 1 cup,
Fenugreek seeds - 1 tbsp.</t>
  </si>
  <si>
    <t>ஃபாக்ஸ்டெயில் தினை - 3 கப்,
உரத்தப்பருப்பு - 1 கப்,
வெந்தயம் - 1 டீஸ்பூன்.</t>
  </si>
  <si>
    <t>Wash and soak foxtail millet and urad dal  (urad dal + fenugreek seeds) separately for 5-6 hours.
Grind both separately to a smooth batter.  Then mix both the batter well adding salt.
Leave it to ferment for another 5-6 hours. Now your thinai/foxtail millet dosa batter is ready.
Heat a tawa, pour a ladle of dosa batter and spread it in a circular motion. Drizzle 1/2-1 tsp of oil around the dosa. Keep the flame in medium.
When the corners start lifting up, flip it over to the other side and drizzle another half tsp of oil around the dosa.
Once the dosa gets cooked, remove it from tawa and serve hot with any chutney of your choice.</t>
  </si>
  <si>
    <t>ஃபாக்ஸ்டெயில் தினை மற்றும் உளுத்தம்பருப்பு (உரத்தப்பருப்பு + வெந்தயம்) ஆகியவற்றை தனித்தனியாக கழுவி 5-6 மணி நேரம் ஊற வைக்கவும்.
இரண்டையும் தனித்தனியாக மென்மையான மாவாக அரைக்கவும். பின்னர் இரண்டையும் உப்பு சேர்த்து நன்கு கலக்கவும்.
மேலும் 5-6 மணி நேரம் புளிக்க விடவும். இப்போது உங்கள் தினை/ஃபாக்ஸ்டெயில் தினை தோசை மாவு தயாராக உள்ளது.
ஒரு தவாவை சூடாக்கி, ஒரு கரண்டி தோசை மாவை ஊற்றி வட்ட இயக்கத்தில் பரப்பவும். தோசையைச் சுற்றி 1/2-1 தேக்கரண்டி எண்ணெயைத் தெளிக்கவும். சுடரை நடுத்தர அளவில் வைக்கவும்.
மூலைகள் மேலே தூக்கத் தொடங்கியதும், அதை மறுபுறம் திருப்பி, தோசையைச் சுற்றி மற்றொரு அரை தேக்கரண்டி எண்ணெயைத் தெளிக்கவும்.
தோசை வெந்தவுடன், அதை தவாவிலிருந்து அகற்றி, உங்களுக்கு விருப்பமான எந்த சட்னியுடன் சூடாகப் பரிமாறவும்.</t>
  </si>
  <si>
    <t>https://encrypted-tbn0.gstatic.com/images?q=tbn:ANd9GcSQ5GAJyQVpL2mx5UK8V9FL1fbLIbbhrt1GgQ&amp;s</t>
  </si>
  <si>
    <t xml:space="preserve">    semolina– 1 cup,
   Onion – 1,
   Green chilli - 1,
   Ginger – 1 inch piece,
   Water – 2 cups,
   Ghee – 3/4 tsp ,
   Salt needed,
   Oil – 3 tsp,
   Mustard seeds - 1 tsp,
   Urad dal – 3/4 tsp,
   Red chillies - 1,
   Curry leaves – few.
</t>
  </si>
  <si>
    <t>ரவை - 1 கப்,
வெங்காயம் - 1,
பச்சை மிளகாய் - 1,
இஞ்சி - 1 அங்குல துண்டு,
தண்ணீர் - 2 கப்,
நெய் - 3/4 தேக்கரண்டி,
உப்பு தேவை,
எண்ணெய் - 3 தேக்கரண்டி,
கடுகு - 1 தேக்கரண்டி,
உளுத்தம் பருப்பு - 3/4 தேக்கரண்டி,
சிவப்பு மிளகாய் - 1,
கறிவேப்பிலை - சிறிதளவு.</t>
  </si>
  <si>
    <t>Heat 3 tsp of oil, add mustard seeds, when it splutters, add urad dal, red chillies and curry leaves.
When dal turns golden brown, add chopped onions, green chillies and ginger.
Saute until onions turn transparent.
Then add 2 cups of water, ghee and salt needed. Taste the water and check for salt.(if it is a bit salty, then it will become perfect after adding rava).
When the water starts boiling, reduce the flame to low, add rava gradually with one hand and keep stirring with your other hand.
Once the rava absorbs all the water, cover and cook on low flame for 6-7 minutes. Do not forget to stir in between.
Delicious rava upma is ready to be served. It can be paired with Tomato chutney, coconut chutney, sambar or any pickle.</t>
  </si>
  <si>
    <t>3 தேக்கரண்டி எண்ணெயை சூடாக்கி, கடுகு சேர்த்து, அது வதங்கியதும், உளுத்தம் பருப்பு, சிவப்பு மிளகாய் மற்றும் கறிவேப்பிலை சேர்க்கவும்.
பருப்பு பொன்னிறமாக மாறியதும், நறுக்கிய வெங்காயம், பச்சை மிளகாய் மற்றும் இஞ்சி சேர்க்கவும்.
வெங்காயம் தெளிவாகும் வரை வதக்கவும்.
பின்னர் 2 கப் தண்ணீர், நெய் மற்றும் தேவையான உப்பு சேர்க்கவும். தண்ணீரை ருசித்து, உப்பு இருக்கிறதா என்று பாருங்கள். (கொஞ்சம் காரம் இருந்தால், ரவை சேர்த்த பிறகு அது சரியானதாக மாறும்).
தண்ணீர் கொதிக்க ஆரம்பித்ததும், தீயைக் குறைத்து, ஒரு கையால் படிப்படியாக ரவையைச் சேர்த்து, மற்றொரு கையால் கிளறிக்கொண்டே இருங்கள்.
ரவா தண்ணீர் முழுவதுமாக உறிஞ்சியதும், மூடி வைத்து 6-7 நிமிடங்கள் குறைந்த தீயில் சமைக்கவும். இடையில் கிளற மறக்காதீர்கள்.
சுவையான ரவா உப்மா பரிமாற தயாராக உள்ளது. இதை தக்காளி சட்னி, தேங்காய் சட்னி, சாம்பார் அல்லது வேறு எந்த ஊறுகாயுடனும் இணைக்கலாம்.</t>
  </si>
  <si>
    <t>https://encrypted-tbn0.gstatic.com/images?q=tbn:ANd9GcRnSv1CYkjYhAGIaPKYISJ43SpqYiaoPKuJCQ&amp;s</t>
  </si>
  <si>
    <t>சப்பாத்தி ரோல்ஸ்</t>
  </si>
  <si>
    <t>Chapati  - 5,
Onion - 1 big,
Ginger-garlic paste - 1 tsp,
Green chillies - 1,
Tomato – 2 ,
Capsicum - 1 ,
Paneer – 150 grams,
Turmeric powder – 1/4 tsp,
Cumin powder - 1 tsp,
Coriander powder - 2 tsp,
Chilli powder – 1/2 tsp,
Kitchen King Masala - 1 tsp,
Salt needed,
Oil – 1 tbsp,
Cumin seeds – 1 tsp.</t>
  </si>
  <si>
    <t>சப்பாத்தி - 5,
வெங்காயம் - 1 பெரியது,
இஞ்சி-பூண்டு விழுது - 1 தேக்கரண்டி,
பச்சை மிளகாய் - 1,
தக்காளி - 2,
கேப்சிகம் - 1,
பனீர் - 150 கிராம்,
மஞ்சள் தூள் - 1/4 தேக்கரண்டி,
சீரக தூள் - 1 தேக்கரண்டி,
கொத்தமல்லி தூள் - 2 தேக்கரண்டி,
மிளகாய் தூள் - 1/2 தேக்கரண்டி,
கிச்சன் கிங் மசாலா - 1 தேக்கரண்டி,
உப்பு தேவை,
எண்ணெய் - 1 தேக்கரண்டி,
சீரக விதைகள் - 1 தேக்கரண்டி.</t>
  </si>
  <si>
    <t xml:space="preserve">Heat oil, add cumin seeds, when it splutters, add finely chopped onions and green chillies. Saute until onions turn transparent.
Add ginger garlic paste and saute for a few more minutes.
Add tomatoes, all the spice powder and salt needed. Cook until tomatoes become mushy.
Add chopped capsicum and cook for a few more minutes.
Once the capsicum gets cooked a little, add the cubed paneer pieces. Mix well and cook for 2-3 minutes until the masala gets coated with the paneer pieces well.
Add finely chopped coriander leaves. Switch off the flame. Let it cool a little.
Take a chapati, keep 2 tbsp of stuffing vertically, fold  a little at the bottom as shown below and roll it from the side tightly.
Pack it for lunch. The roti will not get soggy as it is a dry sabji. You can prepare the same recipe with other dry sabjis. </t>
  </si>
  <si>
    <t>எண்ணெய் சூடாக்கி, சீரகம் சேர்த்து, அது வதங்கியதும், இறுதியாக நறுக்கிய வெங்காயம் மற்றும் பச்சை மிளகாய் சேர்க்கவும். வெங்காயம் வெளிப்படையானதாக மாறும் வரை வதக்கவும்.
இஞ்சி பூண்டு விழுது சேர்த்து இன்னும் சில நிமிடங்கள் வதக்கவும்.
தக்காளி, தேவையான அனைத்து மசாலா தூள் மற்றும் உப்பு சேர்த்து. தக்காளி மென்மையாகும் வரை வதக்கவும்.
நறுக்கிய கேப்சிகம் சேர்த்து இன்னும் சில நிமிடங்கள் சமைக்கவும்.
கேப்சிகம் சிறிது வெந்ததும், துண்டுகளாக்கப்பட்ட பனீர் துண்டுகளைச் சேர்க்கவும். நன்கு கலந்து, மசாலா பனீர் துண்டுகளுடன் நன்றாகப் பூசும் வரை 2-3 நிமிடங்கள் சமைக்கவும்.
பொடியாக நறுக்கிய கொத்தமல்லி இலைகளைச் சேர்க்கவும். தீயை அணைத்து சிறிது ஆற விடவும்.
ஒரு சப்பாத்தியை எடுத்து, 2 டேபிள்ஸ்பூன் ஸ்டஃபிங்கை செங்குத்தாக வைத்து, கீழே காட்டப்பட்டுள்ளபடி கீழே சிறிது மடித்து, பக்கவாட்டில் இறுக்கமாக உருட்டவும்.
மதிய உணவிற்கு பேக் செய்யவும். ரொட்டி உலர்ந்த சப்ஜி என்பதால் ஈரமாக இருக்காது. மற்ற உலர்ந்த சப்ஜிகளுடன் இதே செய்முறையை நீங்கள் தயாரிக்கலாம்.</t>
  </si>
  <si>
    <t xml:space="preserve">   Brown bread – 6,
   Onion – 1,
   Ginger – 1/2 inch piece ,
   Green chilli – 1 ,
   Rajma  – 1/2 cup cooked,
   Pepper powder to taste,
   Salt needed,
   Butter for toasting the bread,
   Oil – 2 tsp,
   Cumin seeds – 3/4 tsp.</t>
  </si>
  <si>
    <t>பிரவுன் பிரட் - 6,
வெங்காயம் - 1,
இஞ்சி - 1/2 அங்குல துண்டு,
பச்சை மிளகாய் - 1 ,
ராஜ்மா - 1/2 கப் சமைத்த,
மிளகு தூள் சுவைக்கு,
உப்பு தேவை,
ரொட்டியை வறுக்க வெண்ணெய்,
எண்ணெய் - 2 தேக்கரண்டி,
சீரகம் - 3/4 தேக்கரண்டி.</t>
  </si>
  <si>
    <t>2 தேக்கரண்டி எண்ணெயை சூடாக்கி, சீரகம் சேர்த்து, அது வதங்கியதும், இறுதியாக நறுக்கிய வெங்காயம், பச்சை மிளகாய், இஞ்சி சேர்த்து வெங்காயம் வெளிப்படையானதாக மாறும் வரை வதக்கவும். குழந்தைகளுக்கு என்றால், பச்சை மிளகாய்க்கு பதிலாக 1/2 தேக்கரண்டி மிளகாய் தூள் சேர்க்கலாம்.
அரைத்த ராஜ்மா, தேவையான உப்பு, மிளகு தூள் சேர்த்து நன்கு கலக்கவும்.
ரொட்டியின் இருபுறமும் வெண்ணெய் தடவி, 1-2 தேக்கரண்டி ராஜ்மா நிரப்புதலை வைத்து, வெண்ணெய் தடவிய மற்றொரு ரொட்டியால் மூடி வைக்கவும்.
ஒரு சாண்ட்விச் டோஸ்டரில் வைத்து பொன்னிறமாகும் வரை டோஸ்ட் செய்யவும். உங்களிடம் சாண்ட்விச் டோஸ்டர் இல்லையென்றால், ரொட்டியை டோஸ்ட் செய்ய ஒரு தவாவைப் பயன்படுத்தவும்.
குறுக்காக வெட்டி, தக்காளி கெட்ச்அப் அல்லது தக்காளி சட்னியுடன் சூடாகப் பரிமாறவும்.</t>
  </si>
  <si>
    <t>https://www.archanaskitchen.com/images/archanaskitchen/1-Author/Pooja_Thakur/Grilled_Rajma_Masala_Sandwich_400.jpg</t>
  </si>
  <si>
    <t>Vegetable Paratha</t>
  </si>
  <si>
    <t>காய்கறி பராத்தா</t>
  </si>
  <si>
    <t xml:space="preserve">Wheat flour – 11/2 cup,
Salt – 1/4 tsp,
Oil – 2 tsp,
Cumin seeds - 1 tsp,
Onion - 1 ,
Ginger garlic paste – 1/2 tsp,
Potato – 2,
Peas - 1/4 cup,
Carrot and cabbage together -  3/4 cup,
Coriander leaves,
Red chilli powder - 1 tsp,
Turmeric powder - 1/4 tsp,
 garam masala - 1 tsp,
Coriander powder - 1 1/2 tsp,
Cumin powder - 1/2 tsp,
Salt needed,
Wheat flour for dusting,
Oil for frying parathas.
</t>
  </si>
  <si>
    <t>கோதுமை மாவு - 1 1/2 கப்,
உப்பு - 1/4 தேக்கரண்டி,
எண்ணெய் - 2 தேக்கரண்டி,
சீரக விதைகள் - 1 தேக்கரண்டி,
வெங்காயம் - 1 ,
இஞ்சி பூண்டு விழுது - 1/2 தேக்கரண்டி,
உருளைக்கிழங்கு - 2,
பட்டாணி - 1/4 கப்,
கேரட் மற்றும் முட்டைக்கோஸ் ஒன்றாக - 3/4 கப்,
கொத்தமல்லி இலைகள்,
சிவப்பு மிளகாய் தூள் - 1 தேக்கரண்டி,
மஞ்சள் தூள் - 1/4 தேக்கரண்டி,
கரம் மசாலா - 1 தேக்கரண்டி,
கொத்தமல்லி தூள் - 1 1/2 தேக்கரண்டி,
சீரக தூள் - 1/2 தேக்கரண்டி,
தேவையான உப்பு,
தூள் தூவுவதற்கு கோதுமை மாவு,
பராத்தாவை வறுக்க எண்ணெய்.</t>
  </si>
  <si>
    <t>Heat oil in a kadai, add cumins seeds, when it splutters, add finely chopped onions and saute until onions turn transparent.
Add ginger garlic paste and saute for a few more minutes.
Add all the vegetables, coriander leaves and cook covered. Do not add water. Since we have chopped the vegetables finely, it will get cooked soon.
Then add potato and peas mixture, all the spice powder, salt needed and cook covered in medium low flame until everything gets blended well as shown in the picture below. Remove from flame and leave it to cool.
Once cooled, make balls out of the mixture. You will get one or two balls extra. Do not worry.You can keep leftover stuffing  in the refrigerator and use it the next day.
Now make even sized ball out of the paratha dough. Roll out the ball into a small circle dusting wheat flour.
how to make vegetable paratha
Keep a ball of stuffing in the center and gather all the corners, seal it well and press it lightly.
Dust wheat flour and roll out the sealed dough (with the sealed side on the top) into a circle just as you do for chapati but without applying too much pressure. Repeat the same process for the rest of the dough.
Heat a tawa and put the rolled out paratha on it. When you see bubbles forming on the top, spread a tsp of oil all over the paratha and flip it over to the other side. Spread another 1/2 tsp of oil on the other side and cook well until  brown spots appear on both the sides.
Repeat the process for the rest of the rolled out dough. Serve paratha with curd or pickle or raita.</t>
  </si>
  <si>
    <t>ஒரு கடாயில் எண்ணெயை சூடாக்கி, சீரக விதைகளைச் சேர்த்து, அது வதங்கியதும், இறுதியாக நறுக்கிய வெங்காயத்தைச் சேர்த்து வெங்காயம் வெளிப்படையானதாக மாறும் வரை வதக்கவும்.
இஞ்சி பூண்டு விழுதைச் சேர்த்து மேலும் சில நிமிடங்கள் வதக்கவும்.
அனைத்து காய்கறிகளையும், கொத்தமல்லி இலைகளையும் சேர்த்து மூடி வைத்து சமைக்கவும். தண்ணீர் சேர்க்க வேண்டாம். காய்கறிகளை நன்றாக நறுக்கியதால், அது விரைவில் வேகும்.
பின்னர் உருளைக்கிழங்கு மற்றும் பட்டாணி கலவையை, தேவையான அனைத்து மசாலாப் பொடிகளையும், உப்பு சேர்த்து, கீழே உள்ள படத்தில் காட்டப்பட்டுள்ளபடி எல்லாம் நன்றாக கலக்கும் வரை மிதமான தீயில் மூடி வைக்கவும். சுடரிலிருந்து எடுத்து ஆற விடவும்.
குளிர்ந்ததும், கலவையிலிருந்து உருண்டைகளை உருவாக்கவும். உங்களுக்கு ஒன்று அல்லது இரண்டு பந்துகள் கூடுதலாக கிடைக்கும். கவலைப்பட வேண்டாம். மீதமுள்ள ஸ்டஃபிங்கை குளிர்சாதன பெட்டியில் வைத்து மறுநாள் பயன்படுத்தலாம்.
இப்போது பரோட்டா மாவிலிருந்து சம அளவிலான பந்தை உருவாக்கவும். கோதுமை மாவைத் தூவி ஒரு சிறிய வட்டமாக உருட்டவும்.
காய்கறி பரோட்டா செய்வது எப்படி
மையத்தில் ஸ்டஃபிங் பந்தை வைத்து அனைத்து மூலைகளையும் சேகரித்து, நன்றாக மூடி லேசாக அழுத்தவும்.
கோதுமை மாவைத் தூவி, சீல் செய்யப்பட்ட மாவை (மேலே சீல் செய்யப்பட்ட பக்கத்துடன்) சப்பாத்திக்கு செய்வது போல ஒரு வட்டத்தில் உருட்டவும், ஆனால் அதிக அழுத்தம் கொடுக்காமல். மீதமுள்ள மாவிற்கும் அதே செயல்முறையை மீண்டும் செய்யவும்.
ஒரு தவாவை சூடாக்கி, அதன் மீது உருட்டிய பரோட்டாவை வைக்கவும். மேலே குமிழ்கள் உருவாகுவதை நீங்கள் கண்டதும், ஒரு தேக்கரண்டி எண்ணெயை பரோட்டா முழுவதும் தடவி, மறுபுறம் திருப்பிப் போடவும். மறுபுறம் 1/2 தேக்கரண்டி எண்ணெயைத் தடவி, இருபுறமும் பழுப்பு நிற புள்ளிகள் தோன்றும் வரை நன்றாக சமைக்கவும்.
மீதமுள்ள உருட்டப்பட்ட மாவிற்கும் இந்த செயல்முறையை மீண்டும் செய்யவும். பரோட்டாவை தயிர் அல்லது ஊறுகாய் அல்லது ரைத்தாவுடன் பரிமாறவும்.</t>
  </si>
  <si>
    <t>https://static.toiimg.com/thumb/53721534.cms?imgsize=315238&amp;width=800&amp;height=800</t>
  </si>
  <si>
    <t>Couscous</t>
  </si>
  <si>
    <t>கூஸ்கஸ்</t>
  </si>
  <si>
    <t>Instant couscous – 1 cup,
Water – 1 1/4 cup,
Salt - 1/2 tsp,
Butter – 11/2 tsp.
Butter or oil – 1 tbsp,
Onions - 1/2 cup chopped ,
Garlic – 1 ,
Beans and carrot - 1/3 cup,
Potato - 1/2 cup ,
Cooked Chickpeas - 1/2 cup,
Tomato puree - 2 cups,
Chilli powder - 1/2 tsp,
Pepper powder as needed,
Oregano – 3/4 tsp,
Salt as needed.</t>
  </si>
  <si>
    <t>உடனடி கூஸ்கஸ் - 1 கப்,
தண்ணீர் - 1 1/4 கப்,
உப்பு - 1/2 தேக்கரண்டி,
வெண்ணெய் - 11/2 தேக்கரண்டி.
வெண்ணெய் அல்லது எண்ணெய் - 1 தேக்கரண்டி,
வெங்காயம் - 1/2 கப் நறுக்கியது,
பூண்டு - 1 ,
பீன்ஸ் மற்றும் கேரட் - 1/3 கப்,
உருளைக்கிழங்கு - 1/2 கப்,
சமைத்த கொண்டைக்கடலை - 1/2 கப்,
தக்காளி கூழ் - 2 கப்,
மிளகாய் தூள் - 1/2 தேக்கரண்டி,
தேவைக்கேற்ப மிளகு தூள்,
ஒரிகானோ - 3/4 தேக்கரண்டி,
தேவைக்கேற்ப உப்பு.</t>
  </si>
  <si>
    <t>Heat butter or oil in a pan/kadai, add chopped onions and garlic. Saute until onions turn transparent.
Add the steamed beans and carrot.
Add the cooked potatoes,cooked chickpeas, chilli powder, salt needed, pepper powder, oregano and mix well.
Add the tomato puree, 1/2 cup of water and cook simmered for 15 minutes. Sauce should be watery.
Vegetarian couscous sauce is ready. Serve couscous with hot sauce.
We had this for dinner and it was very delicious and filling.</t>
  </si>
  <si>
    <t>ஒரு கடாயில்/கடாயில் வெண்ணெய் அல்லது எண்ணெயை சூடாக்கி, நறுக்கிய வெங்காயம் மற்றும் பூண்டு சேர்க்கவும். வெங்காயம் வெளிப்படையானதாக மாறும் வரை வதக்கவும்.
வேகவைத்த பீன்ஸ் மற்றும் கேரட்டை சேர்க்கவும்.
சமைத்த உருளைக்கிழங்கு, சமைத்த கொண்டைக்கடலை, மிளகாய் தூள், தேவையான உப்பு, மிளகு தூள், ஆர்கனோ ஆகியவற்றைச் சேர்த்து நன்கு கலக்கவும்.
தக்காளி கூழ், 1/2 கப் தண்ணீர் சேர்த்து 15 நிமிடங்கள் கொதிக்க விடவும். சாஸ் தண்ணீராக இருக்க வேண்டும்.
சைவ கூஸ்கஸ் சாஸ் தயார். சூடான சாஸுடன் கூஸ்கஸை பரிமாறவும்.
நாங்கள் இதை இரவு உணவிற்கு சாப்பிட்டோம், அது மிகவும் சுவையாகவும், நிறைவாகவும் இருந்தது.</t>
  </si>
  <si>
    <t>https://encrypted-tbn0.gstatic.com/images?q=tbn:ANd9GcS6qYF_KOQE0gvDMpzeN15VN0E3z7OM3N712w&amp;s</t>
  </si>
  <si>
    <t>Schezwan Dosa</t>
  </si>
  <si>
    <t>ஷெஸ்வான் தோசை</t>
  </si>
  <si>
    <t>Onion – 1,
Garlic – 2 tbsp,
Beans – 3-4 ,
Carrot - 1 julienned,
Cabbage – 1 cup shredded,
Capsicum - 1 ,
Ching’s Secret Schezwan Chutney – 2 tsp,
Salt and pepper powder to taste,
Oil – 1 1/2 tbsp.</t>
  </si>
  <si>
    <t>வெங்காயம் – 1,
பூண்டு – 2 டேபிள்ஸ்பூன்,
பீன்ஸ் – 3-4,
கேரட் - 1 ஜூலியன்,
முட்டைக்கோஸ் – 1 கப் துருவியது,
கேப்சிகம் – 1,
சிங்ஸ் சீக்ரெட் ஷெஸ்வான் சட்னி – 2 டேபிள்ஸ்பூன்,
சுவைக்கு உப்பு மற்றும் மிளகு தூள்,
எண்ணெய் – 1 1/2 டேபிள்ஸ்பூன்.</t>
  </si>
  <si>
    <t>Heat oil in a wok or kadai, add onions, finely minced garlic and saute on high flame until onions change transparent. Continuous stirring is required.
Add beans, carrot and saute on medium flame until it is half cooked. Then add cabbage and saute for a few more minutes.
Finally add capsicum, salt needed, schezwan chutney, pepper powder and cook for 2-3 minutes stirring continuously. Do not over cook the vegetables. The vegetables should retain their crunchiness.
Garnish with spring onion greens. Keep this aside. This is the filling for our schezwan dosa. If preferred, you can add a tbsp of grated cheese.
Heat a tawa, when it is hot, reduce the flame to medium, pour a ladle of dosa batter and spread it in a circular motion.
Drizzle a tsp of oil around the dosa and cook covered.
Once the dosa is cooked and the corners start lifting up, flip the dosa to the other side and cook for another 3-4 seconds.
Then flip the dosa again, place needed stuffing on the dosa as shown in the picture above and roll it.
If preferred, you can spread a tsp of ching’s secret schezwan sauce on the dosa and then place the stuffing.
Cut the rolled dosa and serve hot immediately. You do not need any side dish for this dosa.</t>
  </si>
  <si>
    <t>ஒரு கடாயில் அல்லது கடாயில் எண்ணெயை சூடாக்கி, வெங்காயம், இறுதியாக நறுக்கிய பூண்டு சேர்த்து வெங்காயம் தெளிவாகும் வரை அதிக தீயில் வதக்கவும். தொடர்ந்து கிளற வேண்டும்.
பீன்ஸ், கேரட் சேர்த்து, பாதி வேகும் வரை மிதமான தீயில் வதக்கவும். பின்னர் முட்டைக்கோஸ் சேர்த்து இன்னும் சில நிமிடங்கள் வதக்கவும்.
கடைசியாக கேப்சிகம், தேவையான உப்பு, ஷெஸ்வான் சட்னி, மிளகு தூள் சேர்த்து 2-3 நிமிடங்கள் தொடர்ந்து கிளறி விடுங்கள். காய்கறிகளை அதிகமாக சமைக்க வேண்டாம். காய்கறிகள் மொறுமொறுப்பாக இருக்க வேண்டும்.
ஸ்பிரிங் ஆனியன் கீரைகளால் அலங்கரிக்கவும். இதை ஒதுக்கி வைக்கவும். இது நம்ம ஷெஸ்வான் தோசைக்கான ஃபில்லிங். விருப்பப்பட்டால், ஒரு டேபிள்ஸ்பூன் துருவிய சீஸ் சேர்க்கலாம்.
ஒரு தவாவை சூடாக்கி, அது சூடாகும்போது, ​​தீயை நடுத்தரமாகக் குறைத்து, ஒரு கரண்டி தோசை மாவை ஊற்றி வட்ட இயக்கத்தில் பரப்பவும்.
தோசையைச் சுற்றி ஒரு டீஸ்பூன் எண்ணெயைத் தடவி மூடி வைத்து சமைக்கவும்.
தோசை வெந்து, மூலைகள் மேலே எழ ஆரம்பித்ததும், தோசையை மறுபுறம் திருப்பி, மேலும் 3-4 வினாடிகள் சமைக்கவும்.
பின்னர் தோசையை மீண்டும் திருப்பி, மேலே உள்ள படத்தில் காட்டப்பட்டுள்ளபடி தோசையின் மீது தேவையான ஸ்டஃபிங்கை வைத்து உருட்டவும்.
விரும்பினால், தோசையின் மீது ஒரு டீஸ்பூன் சிங்கின் சீக்ரெட் ஷெஸ்வான் சாஸைத் தடவி, பின்னர் ஸ்டஃபிங்கை வைக்கலாம்.
உருட்டிய தோசையை வெட்டி உடனடியாக சூடாகப் பரிமாறவும். இந்த தோசைக்கு உங்களுக்கு எந்த சைட் டிஷ்ஷும் தேவையில்லை.</t>
  </si>
  <si>
    <t>https://www.vegrecipesofindia.com/wp-content/uploads/2017/04/schezwan-dosa-recipe-1-500x500.jpg</t>
  </si>
  <si>
    <t>Foxtail Millet Adai</t>
  </si>
  <si>
    <t>ஃபாக்ஸ்டெயில் தினை அடை</t>
  </si>
  <si>
    <t xml:space="preserve">   Foxtail Millet – 1 cup,
   Tur dal – 1/2 cup,
   Bengal gram – 1/2 cup,
   Urad dal  - 1 tbsp,
   Red chillies - 3-4,
   Hing – a pinch,
   Salt as needed,
   Grated coconut - 3 tbsp ,
   Oil for making adai.</t>
  </si>
  <si>
    <t>ஃபாக்ஸ்டெயில் தினை – 1 கப்,
துவரம் பருப்பு – 1/2 கப்,
வங்காள பருப்பு – 1/2 கப்,
உளுத்தம் பருப்பு – 1 டீஸ்பூன்,
சிவப்பு மிளகாய் - 3-4,
கீல் – ஒரு சிட்டிகை,
தேவைக்கேற்ப உப்பு,
தேங்காய் துருவல் - 3 டீஸ்பூன்,
அடை செய்வதற்கு எண்ணெய்.</t>
  </si>
  <si>
    <t>Heat a tawa, (check by sprinkling water to see if the tawa is hot enough to pour the batter) pour a ladle of adai batter and spread it in a circular motion just as you do for regular adai.
Drizzle a tsp of oil around the adai. Once it is cooked, the corners will start lifting up. Flip it over to the other side. Drizzle another 1/2 tsp of oil and cook well.
Remove from tawa and serve hot with any chutney of your choice. This adai tasted so delicious that it has become a regular feature in my house.</t>
  </si>
  <si>
    <t>ஒரு தவாவை சூடாக்கி, (தவா மாவை ஊற்றும் அளவுக்கு சூடாக இருக்கிறதா என்று பார்க்க தண்ணீர் தெளித்து சரிபார்க்கவும்) ஒரு கரண்டி அடை மாவை ஊற்றி, வழக்கமான அடையைப் போலவே வட்ட இயக்கத்தில் பரப்பவும்.
அடையைச் சுற்றி ஒரு டீஸ்பூன் எண்ணெயைத் தெளிக்கவும். அது வெந்தவுடன், மூலைகள் மேலே எழும்பத் தொடங்கும். அதை மறுபுறம் திருப்பிப் போடவும். மேலும் 1/2 டீஸ்பூன் எண்ணெயைத் தெளித்து நன்றாக சமைக்கவும்.
தவாவில் இருந்து எடுத்து, உங்களுக்கு விருப்பமான எந்த சட்னியுடன் சூடாகப் பரிமாறவும். இந்த அடை மிகவும் சுவையாக இருந்ததால், இது என் வீட்டில் ஒரு வழக்கமான உணவாகிவிட்டது.</t>
  </si>
  <si>
    <t>https://www.archanaskitchen.com/images/archanaskitchen/1-Author/nithya.anantham/Foxtail_Millet_Paruppu_Adai_With_Keerai_Recipe_Foxtail_Millet_and_Lentil_Crepes_with_Spinach.jpg</t>
  </si>
  <si>
    <t>Besan Ka Chilla</t>
  </si>
  <si>
    <t>பெசன் கா சில்லா</t>
  </si>
  <si>
    <t>besan - 1 cup,
Onion - 1 finely chopped,
Green chilli - 1,
Coriander leaves ,
Turmeric powder – a pinch,
Cumin seeds - 1/2 tsp,
Salt as needed,
Cooking soda – 1/2 tsp,
Oil for preparing dosas.</t>
  </si>
  <si>
    <t>பெசன் - 1 கப்,
வெங்காயம் - 1 பொடியாக நறுக்கியது,
பச்சை மிளகாய் - 1,
கொத்தமல்லி இலைகள்,
மஞ்சள் தூள் - ஒரு சிட்டிகை,
சீரகம் - 1/2 தேக்கரண்டி,
தேவைக்கேற்ப உப்பு,
சமையல் சோடா - 1/2 தேக்கரண்டி,
தோசை தயாரிக்க எண்ணெய்.</t>
  </si>
  <si>
    <t>In a bowl, mix together, besan, onion, green chillies, coriander leaves, turmeric powder, jeera seeds, salt, cooking soda and needed water to make a batter. I added a little more than 1/2 cup of water. The batter should not be too thin nor too thick, so adjust water accordingly. Taste the batter to check for salt.
Heat a non stick tawa, when the tawa is well heated (check it by sprinkling water on the tawa), reduce the flame to medium and pour a ladle of batter and spread it in a circular motion. Drizzle a tsp of oil around the dosa.
When it is cooked, flip it over to the other side. Once the other side is cooked, remove from tawa and serve hot with any chutney of your choice. Find a long list of Chutney Recipes.</t>
  </si>
  <si>
    <t>ஒரு பாத்திரத்தில், பெசன், வெங்காயம், பச்சை மிளகாய், கொத்தமல்லி இலைகள், மஞ்சள் தூள், சீரக விதைகள், உப்பு, சமையல் சோடா மற்றும் மாவு தயாரிக்க தேவையான தண்ணீரை ஒன்றாக கலக்கவும். நான் 1/2 கப் தண்ணீரை விட சற்று அதிகமாக சேர்த்தேன். மாவு மிகவும் மெல்லியதாகவோ அல்லது மிகவும் கெட்டியாகவோ இருக்கக்கூடாது, எனவே அதற்கேற்ப தண்ணீரை சரிசெய்யவும். உப்பு இருக்கிறதா என்று சோதிக்க மாவை சுவைக்கவும்.
தவா நன்கு சூடாகும்போது (தவாவில் தண்ணீர் தெளிப்பதன் மூலம் சரிபார்க்கவும்), தீயை நடுத்தரமாகக் குறைத்து, ஒரு கரண்டி மாவை ஊற்றி வட்ட இயக்கத்தில் பரப்பவும். தோசையைச் சுற்றி ஒரு தேக்கரண்டி எண்ணெயைத் தெளிக்கவும்.
வெந்ததும், மறுபுறம் திருப்பிப் போடவும். மறுபக்கம் வெந்ததும், தவாவிலிருந்து எடுத்து, உங்களுக்குப் பிடித்த சட்னியுடன் சூடாகப் பரிமாறவும். சட்னி ரெசிபிகளின் நீண்ட பட்டியலைக் காண்க.</t>
  </si>
  <si>
    <t>https://www.indianveggiedelight.com/wp-content/uploads/2022/12/besan-chilla-recipe-featured.jpg</t>
  </si>
  <si>
    <t xml:space="preserve">   Oats - 1/2 cup,
   Rava - 1/2 cup,
   Curd - 1 cup,
   Cumin seeds – 1/2 tsp,
   Oil for making uthappams,
   Onion - 1 ,
   Green chilli - 1,
   Carrot grated - 2-3 tbsp,
   Cabbage grated – 2 -3 tbsp,
   Coriander leaves ,
   Salt to taste.</t>
  </si>
  <si>
    <t>ஓட்ஸ் - 1/2 கப்,
ரவா - 1/2 கப்,
தயிர் - 1 கப்,
சீரகம் - 1/2 டீஸ்பூன்,
உத்தப்பம் செய்ய எண்ணெய்,
வெங்காயம் - 1 ,
பச்சை மிளகாய் - 1,
கேரட் துருவியது - 2-3 டீஸ்பூன்,
முட்டைக்கோஸ் துருவியது - 2-3 டீஸ்பூன்,
கொத்தமல்லி இலைகள் ,
சுவைக்கேற்ப உப்பு.</t>
  </si>
  <si>
    <t>Oats are a great source of phosphorus, selenium and manganese. 
In a bowl, mix together powdered oats, rava, curd, cumin seeds and salt needed. Keep it aside for half an hour.
After half an hour– add finely chopped onions, green chilli, grated carrot, cabbage, coriander leaves and mix well.
Add enough water to get an adai batter consistency.(approximately little less or little more than 1/2 cup of water) See the picture of the batter above to get an idea.
Heat a non stick tawa, when it is hot enough, pour a ladle of batter and spread a little. The uttapam should be thick like regular uttapams. Now reduce the flame to medium.
Drizzle a tsp of oil around the dosa and close it with a lid if needed but not necessary.
Once it starts lifting around the corners, flip the uthappam to the other side and drizzle just 1/4 tsp of oil.
Once it is cooked, remove from the tawa and serve hot with chutney. Repeat the same process for the rest of the batter.</t>
  </si>
  <si>
    <t>ஓட்ஸ் பாஸ்பரஸ், செலினியம் மற்றும் மாங்கனீசு ஆகியவற்றின் சிறந்த மூலமாகும்.
ஒரு கிண்ணத்தில், பொடித்த ஓட்ஸ், ரவா, தயிர், சீரகம் மற்றும் தேவையான உப்பு ஆகியவற்றை ஒன்றாக கலக்கவும். அரை மணி நேரம் ஒதுக்கி வைக்கவும்.
அரை மணி நேரம் கழித்து - இறுதியாக நறுக்கிய வெங்காயம், பச்சை மிளகாய், துருவிய கேரட், முட்டைக்கோஸ், கொத்தமல்லி இலைகளைச் சேர்த்து நன்கு கலக்கவும்.
அடை மாவு நிலைத்தன்மையைப் பெற போதுமான தண்ணீர் சேர்க்கவும். (தோராயமாக 1/2 கப் தண்ணீருக்கு சற்று குறைவாகவோ அல்லது சற்று அதிகமாகவோ) மேலே உள்ள மாவின் படத்தைப் பார்த்து ஒரு யோசனையைப் பெறுங்கள்.
ஒரு குச்சி இல்லாத தவாவை சூடாக்கி, அது போதுமான அளவு சூடாகும்போது, ​​ஒரு கரண்டி மாவை ஊற்றி சிறிது பரப்பவும். உத்தப்பம் வழக்கமான உத்தப்பங்களைப் போல கெட்டியாக இருக்க வேண்டும். இப்போது தீயை நடுத்தரமாகக் குறைக்கவும்.
தோசையைச் சுற்றி ஒரு தேக்கரண்டி எண்ணெயைத் தூவி, தேவைப்பட்டால் ஒரு மூடியால் மூடவும், ஆனால் தேவையில்லை.
அது மூலைகளைச் சுற்றி உயரத் தொடங்கியதும், உத்தப்பத்தை மறுபுறம் திருப்பி, 1/4 தேக்கரண்டி எண்ணெயைத் தூவவும்.
அது வெந்தவுடன், தவாவிலிருந்து அகற்றி, சட்னியுடன் சூடாகப் பரிமாறவும். மீதமுள்ள மாவுக்கும் இதே செயல்முறையை மீண்டும் செய்யவும்.</t>
  </si>
  <si>
    <t>https://www.vegrecipesofindia.com/wp-content/uploads/2016/06/oats-uttapam-veg-recipe-21-500x500.jpg</t>
  </si>
  <si>
    <t>Ragi Puttu</t>
  </si>
  <si>
    <t>ராகி புட்டு</t>
  </si>
  <si>
    <t xml:space="preserve">   Finger millet flour – 1/2 cup,
   Water – 4 tbsp,
   Salt – a generous pinch,
   Palm jaggery – 1/4 cup ,
   Ghee - 1/2 tsp,
   Fresh grated coconut.</t>
  </si>
  <si>
    <t>தினை மாவு - 1/2 கப்,
தண்ணீர் - 4 டேபிள் ஸ்பூன்,
உப்பு - ஒரு சிட்டிகை,
பனை வெல்லம் - 1/4 கப்,
நெய் - 1/2 டேபிள் ஸ்பூன்,
புதிதாக துருவிய தேங்காய்.</t>
  </si>
  <si>
    <t>Take ragi flour in a soft cotton cloth, fold it with the flour inside and steam covered for 10-12 minutes or until you get a nice aroma of steamed ragi flour.
Look at the steamed flour below. In a plate, spread the steamed ragi flour, add salt and mix well.
Add water, 1 tbsp at a time and mix well or rub the flour well with your fingers. The flour should have a slightly crumbled texture as shown below. Do not add too much water. I added only 4 tbsp of water for 1/2 cup of ragi flour.(See to it that there are no lumps). If required, you can put it in the mixie and blend for just 2 seconds.
Heat water in a steamer or idli cooker/pan and steam the crumbled flour again for 15 minutes. Look at the second picture below, the flour is well cooked.
Transfer it to a plate. Add grated jaggery (or palm jaggery or sugar), ghee, grated coconut and mix well. Delicious ragi puttu is ready. It is very delicious, nutritious and also very filling. This dish can be had as a breakfast or as a snack. (as we are having it for its health benefits, it is advisable to avoid refined sugar which is not good for our health). Do try it and give me your feedback.
Go ahead and buy a packet of organic ragi flour (available in all health and organic stores) and enjoys its numerous health benefits. Live a happy and healthy life! This can also be given to children as snacks after they return from school. While giving to kids, start with very less quantity and if it suits her/him, increase gradually.</t>
  </si>
  <si>
    <t>ராகி மாவை மென்மையான பருத்தி துணியில் எடுத்து, மாவை உள்ளே வைத்து மடித்து, 10-12 நிமிடங்கள் அல்லது வேகவைத்த ராகி மாவின் நல்ல வாசனை வரும் வரை ஆவியில் மூடி வைக்கவும்.
கீழே வேகவைத்த மாவைப் பாருங்கள். ஒரு தட்டில், வேகவைத்த ராகி மாவைப் பரப்பி, உப்பு சேர்த்து நன்கு கலக்கவும்.
ஒரு நேரத்தில் 1 டேபிள் ஸ்பூன் தண்ணீர் சேர்த்து நன்றாக கலக்கவும் அல்லது உங்கள் விரல்களால் மாவை நன்றாக தேய்க்கவும். கீழே காட்டப்பட்டுள்ளபடி மாவு சற்று நொறுங்கிய அமைப்பைக் கொண்டிருக்க வேண்டும். அதிகமாக தண்ணீர் சேர்க்க வேண்டாம். 1/2 கப் ராகி மாவுக்கு 4 டேபிள் ஸ்பூன் தண்ணீர் மட்டுமே சேர்த்தேன். (கட்டிகள் இல்லாமல் பார்த்துக் கொள்ளுங்கள்). தேவைப்பட்டால், நீங்கள் அதை மிக்ஸியில் போட்டு 2 வினாடிகள் மட்டுமே கலக்கலாம்.
ஒரு ஸ்டீமர் அல்லது இட்லி குக்கர்/பாத்திரத்தில் தண்ணீரை சூடாக்கி, நொறுக்கப்பட்ட மாவை மீண்டும் 15 நிமிடங்கள் ஆவியில் வேக வைக்கவும். கீழே உள்ள இரண்டாவது படத்தைப் பாருங்கள், மாவு நன்றாக வெந்துவிட்டது.
அதை ஒரு தட்டில் மாற்றவும். துருவிய வெல்லம் (அல்லது பனை வெல்லம் அல்லது சர்க்கரை), நெய், துருவிய தேங்காய் சேர்த்து நன்கு கலக்கவும். சுவையான ராகி புட்டு தயார். இது மிகவும் சுவையாகவும், சத்தானதாகவும், மிகவும் நிறைவாகவும் இருக்கும். இந்த உணவை காலை உணவாகவோ அல்லது சிற்றுண்டியாகவோ சாப்பிடலாம். (நாங்கள் இதை அதன் ஆரோக்கிய நன்மைகளுக்காக சாப்பிடுவதால், சுத்திகரிக்கப்பட்ட சர்க்கரையைத் தவிர்ப்பது நல்லது, இது நம் ஆரோக்கியத்திற்கு நல்லதல்ல). இதை முயற்சி செய்து உங்கள் கருத்தை எனக்குத் தெரிவிக்கவும்.
ஒரு பாக்கெட் ஆர்கானிக் ராகி மாவை வாங்கவும் (அனைத்து சுகாதார மற்றும் ஆர்கானிக் கடைகளிலும் கிடைக்கும்) மற்றும் அதன் ஏராளமான ஆரோக்கிய நன்மைகளை அனுபவிக்கவும். மகிழ்ச்சியான மற்றும் ஆரோக்கியமான வாழ்க்கையை வாழுங்கள்! குழந்தைகள் பள்ளியிலிருந்து திரும்பியதும் இதை சிற்றுண்டியாகவும் கொடுக்கலாம். குழந்தைகளுக்குக் கொடுக்கும் போது, ​​மிகக் குறைந்த அளவிலிருந்து தொடங்கி, அது அவர்களுக்கு/அவருக்குப் பொருத்தமாக இருந்தால், படிப்படியாக அதிகரிக்கவும்.</t>
  </si>
  <si>
    <t>https://www.archanaskitchen.com//images/archanaskitchen/Indian_Breakfast_Tiffins/Kerala_Style_Puttu_Recipe_Steamed_Rice_Cakes_with_Coconut-1.jpg</t>
  </si>
  <si>
    <t>Kande Pohe</t>
  </si>
  <si>
    <t>கண்டே போஹே</t>
  </si>
  <si>
    <t>Poha - 1 cup,
Onion - 1,
Green chilli - 1 ,
Turmeric powder – a pinch,
Fresh Lemon juice to taste,
Oil – 1 tbsp,
Mustard seeds – 1 tsp,
Cumin seeds – 1/2 tsp,
Roasted peanuts – 2-3 tbsp,
Asafoetida/hing – a pinch,
Curry leaves – few,
Fresh grated coconut,
Finely chopped coriander leaves.</t>
  </si>
  <si>
    <t>போஹா - 1 கப்,
வெங்காயம் - 1,
பச்சை மிளகாய் - 1 ,
மஞ்சள் தூள் - ஒரு சிட்டிகை,
சுவைக்கு ஏற்ப புதிய எலுமிச்சை சாறு,
எண்ணெய் - 1 டீஸ்பூன்,
கடுகு விதைகள் - 1 டீஸ்பூன்,
சீரகம் - 1/2 டீஸ்பூன்,
வறுத்த வேர்க்கடலை - 2-3 டீஸ்பூன்,
அசாஃபோடிடா/கீன் - ஒரு சிட்டிகை,
கறிவேப்பிலை - சிறிது,
புதிய தேங்காய் துருவல்,
நறுக்கிய கொத்தமல்லி இலைகள்.</t>
  </si>
  <si>
    <t>Heat oil in a kadai, add mustard seeds, when it splutters, add cumin seeds, roasted peanuts, hing and curry leaves. Saute for 2-3 seconds.
Then add onions, green chilli and saute until onions turn transparent. Add turmeric powder and salt needed.
Add poha, sprinkle a little water and cook for 2-3 minutes covered.
Remove from heat and add lemon juice to taste. Garnish with coriander leaves, fresh grated coconut and serve hot.</t>
  </si>
  <si>
    <t>ஒரு கடாயில் எண்ணெயை சூடாக்கி, கடுகு சேர்த்து, அது வதங்கியதும், சீரகம், வறுத்த வேர்க்கடலை, கீல் மற்றும் கறிவேப்பிலை சேர்க்கவும். 2-3 வினாடிகள் வதக்கவும்.
பின்னர் வெங்காயம், பச்சை மிளகாய் சேர்த்து வெங்காயம் தெளிவாகும் வரை வதக்கவும். மஞ்சள் தூள் மற்றும் தேவையான உப்பு சேர்க்கவும்.
போஹாவை சேர்த்து, சிறிது தண்ணீர் தெளித்து 2-3 நிமிடங்கள் மூடி வைத்து சமைக்கவும்.
அடுப்பிலிருந்து இறக்கி, சுவைக்கு ஏற்ப எலுமிச்சை சாறு சேர்க்கவும். கொத்தமல்லி இலைகள், புதிய துருவிய தேங்காய் சேர்த்து அலங்கரித்து சூடாகப் பரிமாறவும்.</t>
  </si>
  <si>
    <t>https://www.theloveofspice.com/wp-content/uploads/2019/01/kanda-poha-recipe.jpg</t>
  </si>
  <si>
    <t>Phulka</t>
  </si>
  <si>
    <t>புல்கா</t>
  </si>
  <si>
    <t>Whole Wheat flour  - 1 cup,
Oil – 1 tsp,
Salt – a pinch,
Tongs specially sold for making phulkas,
Rolling pin and board.</t>
  </si>
  <si>
    <t>முழு கோதுமை மாவு - 1 கப்,
எண்ணெய் - 1 தேக்கரண்டி,
உப்பு - ஒரு சிட்டிகை,
புல்காக்கள் செய்வதற்கு பிரத்யேகமாக விற்கப்படும் இடுக்கி,
ரோலிங் பின் மற்றும் பலகை.</t>
  </si>
  <si>
    <t>Kneading the dough well is very important to get soft phulkas. Let us see how to make phulka dough.
In a bowl, mix together flour, salt and oil using your finger tips. Add lukewarm water little by little and gather the dough with your fingers. Once it comes together, grease your palm with 3-4 drops of oil and knead well. Use your knuckles or heel of your hand for kneading.(If you feel that the dough is sticky, you can add a little more atta and if you feel that the dough is dry and hard, you can add little water)
Once you finish kneading, the dough will not stick to your hands.The dough should be soft and pliable with a smooth texture. Leave it covered for 15-20 minutes.
You need approximately little less or a little more than 1/2 cup of water for 1 cup of flour depending upon the quality and brand of wheat flour used.
Rolling out the dough is equally important as kneading.
Divide the dough into equal sized smooth balls. Keep some wheat flour or rice flour for dusting. Take a dough ball, flatten it with your finger tips, dust flour and using a rolling pin, roll out the dough to form a circle of 2 mm-3 mm thickness. It should not be thicker on one side and thinner on the other side. It should be uniform on all the sides. There should be no holes or puncture in the rolled out dough. The roti will not puff up, if there is a hole.
As far as possible try to use minimum flour for dusting. Beginners might need more flour for rolling out the dough but once you practice, you can overcome that. The rotis will become dry, if you use too much flour for dusting.
Heat a tava or skillet on medium high heat, once heated, put the rolled out dough on it. Cook for few seconds, until small bubbles start to appear. You do not have to cook the first side for more than few seconds as we will be putting it on direct flame.
Flip it over to the other side and cook the other side for a little longer time than the first side and then transfer it to direct high flame with the first side down. (hope I have made it clear)
The roti will puff up like a balloon.(see first picture) Once it puffs, remove it from flame immediately using the tongs or else it will get burnt.
Apply a little melted ghee and keep it wrapped in a soft cloth in a bowl with lid. This will prevent the roti from drying or becoming soggy.
Repeat the same process for the rest of the dough. Beginners can roll out 3-4 rotis and keep it ready before heating the tava.</t>
  </si>
  <si>
    <t>ஒரு கிண்ணத்தில், உங்கள் விரல் நுனியைப் பயன்படுத்தி மாவு, உப்பு மற்றும் எண்ணெயை ஒன்றாகக் கலக்கவும். சிறிது சிறிதாக வெதுவெதுப்பான நீரைச் சேர்த்து, உங்கள் விரல்களால் மாவை சேகரிக்கவும். அது ஒன்றாக வந்ததும், உங்கள் உள்ளங்கையில் 3-4 சொட்டு எண்ணெய் தடவி நன்கு பிசையவும். பிசைவதற்கு உங்கள் முழங்கால்கள் அல்லது உங்கள் கையின் குதிகால் பயன்படுத்தவும். (மாவு ஒட்டும் என்று நீங்கள் உணர்ந்தால், நீங்கள் இன்னும் கொஞ்சம் ஆட்டாவைச் சேர்க்கலாம், மாவு உலர்ந்ததாகவும் கடினமாகவும் இருப்பதாக நீங்கள் உணர்ந்தால், நீங்கள் சிறிது தண்ணீர் சேர்க்கலாம்)
நீங்கள் பிசைந்து முடித்ததும், மாவு உங்கள் கைகளில் ஒட்டாது. மாவு மென்மையாகவும் நெகிழ்வாகவும் இருக்க வேண்டும், மென்மையான அமைப்புடன் இருக்க வேண்டும். அதை 15-20 நிமிடங்கள் மூடி வைக்கவும்.
கோதுமை மாவின் தரம் மற்றும் பிராண்டைப் பொறுத்து 1 கப் மாவுக்கு தோராயமாக 1/2 கப் தண்ணீர் தேவை.
மாவை உருட்டுவது பிசைவது போலவே சமமாக முக்கியமானது.
மாவை சம அளவிலான மென்மையான பந்துகளாகப் பிரிக்கவும். சிறிது கோதுமை மாவு அல்லது அரிசி மாவை தூவவும். ஒரு மாவு உருண்டையை எடுத்து, அதை உங்கள் விரல் நுனியால் தட்டையாக்கி, மாவைத் தூவி, ஒரு ரோலிங் பின்னைப் பயன்படுத்தி, 2 மிமீ-3 மிமீ தடிமன் கொண்ட வட்டத்தை உருவாக்க மாவை உருட்டவும். இது ஒரு பக்கத்தில் தடிமனாகவும், மறுபுறம் மெல்லியதாகவும் இருக்கக்கூடாது. இது அனைத்து பக்கங்களிலும் ஒரே மாதிரியாக இருக்க வேண்டும். உருட்டப்பட்ட மாவில் துளைகள் அல்லது துளைகள் இருக்கக்கூடாது. ஒரு துளை இருந்தால், ரொட்டி வீங்காது.
முடிந்தவரை தூவுவதற்கு குறைந்தபட்ச மாவைப் பயன்படுத்த முயற்சிக்கவும். தொடக்கநிலையாளர்களுக்கு மாவை உருட்டுவதற்கு அதிக மாவு தேவைப்படலாம், ஆனால் நீங்கள் பயிற்சி செய்தவுடன், நீங்கள் அதை சமாளிக்க முடியும். தூவுவதற்கு அதிக மாவைப் பயன்படுத்தினால் ரொட்டி வறண்டுவிடும்.
ஒரு தவா அல்லது வாணலியை நடுத்தர உயர் வெப்பத்தில் சூடாக்கி, சூடாக்கியதும், உருட்டப்பட்ட மாவை அதன் மீது வைக்கவும். சிறிய குமிழ்கள் தோன்ற ஆரம்பிக்கும் வரை சில வினாடிகள் சமைக்கவும். முதல் பக்கத்தை சில வினாடிகளுக்கு மேல் சமைக்க வேண்டியதில்லை, ஏனெனில் நாங்கள் அதை நேரடி தீயில் வைப்போம்.
மறுபுறம் திருப்பி, மறுபக்கத்தை முதல் பக்கத்தை விட சிறிது நேரம் சமைக்கவும், பின்னர் முதல் பக்கம் கீழே இருக்கும்படி நேரடி உயர் தீயில் மாற்றவும். (நான் தெளிவுபடுத்தியிருக்கிறேன் என்று நம்புகிறேன்)
ரொட்டி பலூன் போல வீங்கும். (முதல் படத்தைப் பார்க்கவும்) அது கொப்பளித்தவுடன், அதை உடனடியாக இடுக்கியைப் பயன்படுத்தி சுடரிலிருந்து அகற்றவும், இல்லையெனில் அது எரிந்துவிடும்.
சிறிது உருகிய நெய்யை தடவி, மூடியுடன் கூடிய ஒரு பாத்திரத்தில் மென்மையான துணியில் சுற்றி வைக்கவும். இது ரொட்டி உலராமல் அல்லது ஈரமாகாமல் தடுக்கும்.
மீதமுள்ள மாவிற்கும் இதே செயல்முறையை மீண்டும் செய்யவும். ஆரம்பநிலையாளர்கள் 3-4 ரொட்டிகளை உருட்டி, தவாவை சூடாக்கும் முன் தயாராக வைத்திருக்கலாம்.</t>
  </si>
  <si>
    <t>https://foodsandflavorsbyshilpi.com/wp-content/uploads/2016/06/FB-Thumnails-website-old-9.jpg</t>
  </si>
  <si>
    <t>Carrot Uttapam</t>
  </si>
  <si>
    <t>கேரட் உத்தப்பம்</t>
  </si>
  <si>
    <t>1 - Onions finely chopped,
1 - Carrot finely grated,
1 - Green chillies - finely chopped ,
Coriander leaves finely chopped ,
Oil for making uttapam .</t>
  </si>
  <si>
    <t>1 - வெங்காயம் நன்றாக நறுக்கியது,
1 - கேரட் நன்றாக அரைத்தது,
1 - பச்சை மிளகாய் - நன்றாக நறுக்கியது,
கொத்தமல்லி இலை நன்றாக நறுக்கியது,
உத்தப்பம் செய்ய எண்ணெய்.</t>
  </si>
  <si>
    <t xml:space="preserve">Heat a non stick or a cast iron tawa, when it is hot enough, reduce the flame to medium.
Pour a ladleful of batter and spread it in a circular motion. Uthappam should be thick and spongy, so do not spread too much.
Drizzle a tsp of oil around the dosa. When holes start appearing on the top, sprinkle the onion+carrot +green chilli mix on the top of the uthappam. Keep the flame low and cover the uttapam if required.
Once the corners start lifting up, flip it over to the other side. Drizzle 1/2 tsp of oil around the uthappam. </t>
  </si>
  <si>
    <t>ஒரு குச்சி அல்லது வார்ப்பிரும்பு தவாவை சூடாக்கி, அது போதுமான அளவு சூடாகும்போது, ​​தீயை நடுத்தரமாகக் குறைக்கவும்.
ஒரு கரண்டி மாவை ஊற்றி வட்ட இயக்கத்தில் பரப்பவும். ஊத்தப்பம் தடிமனாகவும் பஞ்சுபோன்றதாகவும் இருக்க வேண்டும், எனவே அதிகமாக பரவ வேண்டாம்.
தோசையைச் சுற்றி ஒரு தேக்கரண்டி எண்ணெயைத் தெளிக்கவும். மேலே துளைகள் தோன்றத் தொடங்கியதும், உத்தப்பத்தின் மேல் வெங்காயம் + கேரட் + பச்சை மிளகாய் கலவையைத் தூவவும். தீயை குறைவாக வைத்து, தேவைப்பட்டால் ஊத்தப்பத்தை மூடவும்.
மூலைகள் மேலே தூக்கத் தொடங்கியதும், அதை மறுபுறம் திருப்பி வைக்கவும். ஊத்தப்பத்தைச் சுற்றி 1/2 தேக்கரண்டி எண்ணெயைத் தெளிக்கவும்.</t>
  </si>
  <si>
    <t>https://encrypted-tbn0.gstatic.com/images?q=tbn:ANd9GcQbm9BnaGbaaTyoO0PVIBZu79zDFGCbDZ1TkA&amp;s</t>
  </si>
  <si>
    <t xml:space="preserve"> Semolina - 1 cup,
Onion – 3/4 cup finely chopped,
Ginger – 1 tsp finely chopped,
Green chillies - 2 slit,
Vegetables – 3/4 cup ,
Turmeric powder – 1/4 tsp,
Water – 3 cups,
For topping up – 1 tsp ghee,
For roasting – 1 tsp gheec,
Oil – 2 tbsp + Ghee – 1 tbsp,
Mustard seeds – 1 tsp,
Bengal gram -  2 tsp,
Urad dal - 1 tsp,
Curry leaves – few.</t>
  </si>
  <si>
    <t>ரவை - 1 கப்,
வெங்காயம் - 3/4 கப் நன்றாக நறுக்கியது,
இஞ்சி - 1 தேக்கரண்டி நன்றாக நறுக்கியது,
பச்சை மிளகாய் - 2 துண்டுகள்,
காய்கறிகள் - 3/4 கப்,
மஞ்சள் தூள் - 1/4 தேக்கரண்டி,
தண்ணீர் - 3 கப்,
மேலே போடுவதற்கு - 1 தேக்கரண்டி நெய்,
வறுக்குவதற்கு - 1 தேக்கரண்டி நெய்,
எண்ணெய் - 2 தேக்கரண்டி + நெய் - 1 தேக்கரண்டி,
கடுகு - 1 தேக்கரண்டி,
வங்காள பருப்பு - 2 தேக்கரண்டி,
உளுந்து - 1 தேக்கரண்டி,
கறிவேப்பிலை - சிறிதளவு.</t>
  </si>
  <si>
    <t>ஒரு கடாயில்/கடாயில் நெய்+எண்ணெய் சேர்த்து சூடாக்கி, வங்காளம், உளுந்து, கறிவேப்பிலை சேர்க்கவும்.
உளுந்து பொன்னிறமாக மாறியதும், பொடியாக நறுக்கிய வெங்காயம், மிளகாய்த்தூள் மற்றும் இஞ்சி சேர்க்கவும்.
வெங்காயம் தெளிவாகும் வரை வதக்கவும். பின்னர் பொடியாக நறுக்கிய அனைத்து காய்கறிகளையும் மஞ்சள் தூளையும் சேர்க்கவும். எவ்வளவு கலர்ஃபுல்லா இருக்கு பாருங்க.
காய்கறிகளை 2-3 நிமிடங்கள் வதக்கி வேகவிடுங்கள். காய்கறிகள் ரவையுடன் சேர்த்து வேகும் என்பதால் அதிகமாக சமைக்க வேண்டாம்.
இப்போது 3 கப் வெந்நீர் மற்றும் தேவையான அளவு உப்பு சேர்க்கவும். தண்ணீரை ருசித்து உப்பு இருக்கிறதா என்று பார்க்கலாம். கொஞ்சம் உப்பு இருந்தால், ரவை சேர்த்த பிறகு சரியாக இருக்கும்.
தண்ணீர் கொதிக்க ஆரம்பித்ததும், தீயை குறைத்து, ஒரு கையால் ரவையை மெதுவாக சேர்த்து, கட்டிகள் உருவாகாமல் இருக்க மற்றொரு கையால் தொடர்ந்து கிளறவும்.
மெதுவாக கிளறிக்கொண்டே இருங்கள், அது அரை திடமாக மாறும்போது, ​​அதன் மேல் மற்றொரு தேக்கரண்டி நெய்யை (கீழே உள்ள படத்தைப் பார்க்கவும்) சேர்த்து நன்கு கலக்கவும்.
தண்ணீர் முழுவதும் உறிஞ்சப்பட்டதும், நன்றாகக் கலந்து, மூடி வைத்து, குறைந்த தீயில் சமைக்கவும்.
6-7 நிமிடங்கள் குறைந்த தீயில் சமைக்கவும், தீயை அணைக்கவும். விரும்பினால், நெய்யில் வறுத்த முந்திரியைச் சேர்க்கலாம். கிச்சடி சுவையாக இருக்கும், மேலும் குறிப்பிட்டபடி நெய் மற்றும் எண்ணெயைச் சேர்ப்பதில் நீங்கள் கொஞ்சம் தாராளமாக இருந்தால், ஹோட்டல் சரவண பவனில் நாம் வாங்கும் கிச்சடியைப் போலவே இருக்கும்.</t>
  </si>
  <si>
    <t>Dried white peas – 3/4 cup ,
   Onion – 1 ,
   Tomato - 1 ,
   Green chillies - 2 ,
   Ginger – 1 inch piece,
   Garlic – 4 cloves,
   Salt needed,
   Oil – 1 tbsp,
   Turmeric powder - 1/4 tsp,
   Chilli powder – 1-2 tsp,
   Coriander powder - 2 tsp,
   Cumin powder – 1/2 tsp,
   Kitchen King masala - 1 1/2 tsp,
   Oil – 1 tbsp,
   Cumin seeds – 3/4 tsp,
   Coriander leaves,
   Crush pooris – 7- 8 for a plate,
   Ragda as needed,
   Chaat masala,
   Chilli powder,
   Cumin powder,
   Green chutney – 2 tsp,
   Sweet chutney – 1 tsp,
   Very finely chopped onions,
   Coriander leaves finely chopped,
   Grated carrot,
   Sev.</t>
  </si>
  <si>
    <t>உலர்ந்த வெள்ளை பட்டாணி - 3/4 கப் ,
வெங்காயம் - 1 ,
தக்காளி - 1 ,
பச்சை மிளகாய் - 2 ,
இஞ்சி - 1 அங்குல துண்டு ,
பூண்டு - 4 பல் ,
உப்பு தேவை,
எண்ணெய் - 1 டீஸ்பூன் ,
மஞ்சள் தூள் - 1/4 டீஸ்பூன் ,
மிளகாய் தூள் - 1-2 டீஸ்பூன் ,
கொத்தமல்லி தூள் - 2 டீஸ்பூன் ,
சீரக தூள் - 1/2 டீஸ்பூன் ,
கிச்சன் கிங் மசாலா - 1 1/2 டீஸ்பூன் ,
எண்ணெய் - 1 டீஸ்பூன் ,
சீரக விதைகள் - 3/4 டீஸ்பூன் ,
கொத்தமல்லி இலைகள் ,
பூரிஸை நசுக்கவும் - ஒரு தட்டிற்கு 7- 8 ,
தேவைக்கேற்ப ரக்தா ,
சாட் மசாலா ,
மிளகாய் தூள் ,
சீரக தூள் ,
பச்சை சட்னி - 2 டீஸ்பூன் ,
இனிப்பு சட்னி - 1 டீஸ்பூன் ,
மிக நன்றாக நறுக்கிய வெங்காயம் ,
கொத்தமல்லி இலைகள் நன்றாக நறுக்கியது ,
துருவிய கேரட் ,
சேவல் .</t>
  </si>
  <si>
    <t>பட்டாணியைக் கழுவி இரவு முழுவதும் அல்லது போதுமான தண்ணீரில் 5-6 மணி நேரம் ஊற வைக்கவும்.
ஒரு சிட்டிகை மஞ்சள் தூள், தேவையான அளவு உப்பு, 1 நசுக்கிய பூண்டு மற்றும் 1/2 தேக்கரண்டி மிளகாய்த்தூள் சேர்த்து மென்மையாகும் வரை அழுத்தி சமைக்கவும்.
ஆற விடவும். சமைத்த பட்டாணியில் பாதியை கரடுமுரடான பேஸ்டாக அரைத்து ஒதுக்கி வைக்கவும்.
ஒரு வாணலியில் 1 தேக்கரண்டி எண்ணெயை சூடாக்கி, இறுதியாக நறுக்கிய வெங்காயம், பூண்டு மற்றும் இஞ்சி சேர்க்கவும்.
வெங்காயம் வெளிர் பழுப்பு நிறமாக மாறும் வரை வதக்கவும். இது மிகவும் முக்கியமான படியாகும். செயல்முறையை விரைவுபடுத்த நீங்கள் சிறிது உப்பு சேர்க்கலாம். தொடர்ந்து பழுப்பு நிறமாக வதக்கவும்.
பச்சை மிளகாய் சேர்த்து இன்னும் சில வினாடிகள் வதக்கவும்.
தக்காளியைச் சேர்த்து தக்காளி மென்மையாகும் வரை சமைக்கவும். தீயை அணைத்து ஆற விடவும். நன்றாக பேஸ்டாக அரைத்து தயாராக வைக்கவும்.
ஒரு கடாயில் 1 தேக்கரண்டி எண்ணெயை சூடாக்கி, சீரகம் சேர்த்து, அது வதங்கியதும், 2 விழுது (வெங்காய தக்காளி கலவை) சேர்த்து 2-3 நிமிடங்கள் நன்றாக வதக்கவும்.
மசாலாப் பொடிகள் அனைத்தையும் சேர்த்து இன்னும் சில நிமிடங்கள் வதக்கவும்.
பட்டாணி விழுது 1 சேர்த்து சில நொடிகள் வதக்கவும்.
பின்னர் மீதமுள்ள சமைத்த பட்டாணியை தண்ணீருடன் சேர்க்கவும். நீங்கள் 1-1 1/2 கப் தண்ணீர், தேவையான அளவு உப்பு சேர்த்து 5 நிமிடங்கள் குறைந்த தீயில் சமைக்கலாம். ரக்தா கொஞ்சம் தண்ணீர் போல இருக்க வேண்டும். கொத்தமல்லி இலைகளால் அலங்கரிக்கவும்.</t>
  </si>
  <si>
    <t>Keppai Koozh</t>
  </si>
  <si>
    <t>கேப்பை கூழ்</t>
  </si>
  <si>
    <t xml:space="preserve">   Ragi flour – 1/2 cup,
   Cooked rice – 1/4 cup,
   Salt to taste,
   Buttermilk as needed.</t>
  </si>
  <si>
    <t>ராகி மாவு - 1/2 கப்,
சமைத்த அரிசி - 1/4 கப்,
ருசிக்க உப்பு,
தேவைக்கேற்ப மோர்.</t>
  </si>
  <si>
    <t>Heat 1 1/2 cup of water (quantity of water should be equal to the ragi mixture) in a pan with a little salt. When water starts boiling, reduce the heat to low and pour the ragi mix gradually stirring continuously with a ladle. This is done to prevent formation of lumps. Add cooked rice also to the mixture. 
Keep it on medium heat and cook stirring continuously for 15-20 minutes or until the ragi thickens. Wet your fingers and touch the ragi + rice mix, if it sticks, you have to cook for some more time. When the mixture does not stick, it indicates that it is cooked.
Allow it to cool a little. Dip your hands in cold water and make balls out of it.</t>
  </si>
  <si>
    <t>ஒரு பாத்திரத்தில் 1 1/2 கப் தண்ணீரை (ராகி கலவையின் அளவு தண்ணீருக்கு சமமாக இருக்க வேண்டும்) சிறிது உப்பு சேர்த்து சூடாக்கவும். தண்ணீர் கொதிக்க ஆரம்பித்ததும், தீயைக் குறைத்து, ராகி கலவையை படிப்படியாக ஒரு கரண்டியால் தொடர்ந்து கிளறவும். கட்டிகள் உருவாவதைத் தடுக்க இது செய்யப்படுகிறது. சமைத்த அரிசியையும் கலவையில் சேர்க்கவும்.
நடுத்தர தீயில் வைத்து, 15-20 நிமிடங்கள் அல்லது ராகி கெட்டியாகும் வரை தொடர்ந்து கிளறி சமைக்கவும். உங்கள் விரல்களை நனைத்து ராகி + அரிசி கலவையைத் தொடவும், அது ஒட்டிக்கொண்டால், நீங்கள் இன்னும் சிறிது நேரம் சமைக்க வேண்டும். கலவை ஒட்டவில்லை என்றால், அது வெந்துவிட்டது என்பதைக் குறிக்கிறது.
சிறிது ஆற விடவும். குளிர்ந்த நீரில் உங்கள் கைகளை நனைத்து, அதிலிருந்து பந்துகளை உருவாக்கவும்.</t>
  </si>
  <si>
    <t>https://i.ytimg.com/vi/RJt65eQLCX8/maxresdefault.jpg</t>
  </si>
  <si>
    <t xml:space="preserve">   Wheat flour – 1 cup,
   Rice flour – 1 cup,
   Green chillies - 2 ,
   Ginger – small bit,
   Cumin seeds – 2 tsp,
   Curry leaves,
   Salt – 2 1/2 tsp,
   Water – 4 cups,
   Oil for making dosas,
   Oil – 1 tsp,
   Mustard seeds - 3/4 tsp,
   Hing – a pinch.</t>
  </si>
  <si>
    <t>கோதுமை மாவு - 1 கப்,
அரிசி மாவு - 1 கப்,
பச்சை மிளகாய் - 2 ,
இஞ்சி - சிறிதளவு,
சீரகம் - 2 தேக்கரண்டி,
கறிவேப்பிலை,
உப்பு - 2 1/2 தேக்கரண்டி,
தண்ணீர் - 4 கப்,
தோசை செய்ய எண்ணெய்,
எண்ணெய் - 1 தேக்கரண்டி,
கடுகு விதைகள் - 3/4 தேக்கரண்டி,
ஹிங் - ஒரு சிட்டிகை.</t>
  </si>
  <si>
    <t>Now heat a tawa, once the tawa is heated, reduce the heat to medium, pour a ladle of batter from the outside of the tawa, then fill in bigger gaps if any.You cannot spread this batter like regular dosa but have to pour the dosa batter like rava dosa. There should be small holes in the dosa.
Now drizzle a tsp of oil around the dosa and 1/2 tsp of oil on the dosa.
This dosa will take a little longer time to get cooked than regular dosa. Using the tongs or handle, move the tawa in a circular motion once, so that the dosa will get cooked evenly on all the sides. 
Wait until the bottom starts browning and the corners start lifting up. 
Now flip the dosa to the other side.Once the other side is cooked, remove the dosa from the tawa.
Before making the next dosa, mix the batter well to avoid sedimentation. You have to mix the batter every time before making every single dosa.</t>
  </si>
  <si>
    <t>இப்போது ஒரு தவாவை சூடாக்கி, தவா சூடாக்கியவுடன், தீயை நடுத்தரமாகக் குறைத்து, தவாவின் வெளிப்புறத்திலிருந்து ஒரு கரண்டி மாவை ஊற்றவும், பின்னர் பெரிய இடைவெளிகள் இருந்தால் நிரப்பவும். இந்த மாவை வழக்கமான தோசை போல பரப்ப முடியாது, ஆனால் தோசை மாவை ரவா தோசை போல ஊற்ற வேண்டும். தோசையில் சிறிய துளைகள் இருக்க வேண்டும்.
இப்போது தோசையைச் சுற்றி ஒரு தேக்கரண்டி எண்ணெயையும் தோசையின் மீது 1/2 தேக்கரண்டி எண்ணெயையும் தெளிக்கவும்.
இந்த தோசை வழக்கமான தோசையை விட சமைக்க சிறிது நேரம் எடுக்கும். தோசை அனைத்து பக்கங்களிலும் சமமாக சமைக்க, இடுக்கி அல்லது கைப்பிடியைப் பயன்படுத்தி, தவாவை ஒரு முறை வட்ட இயக்கத்தில் நகர்த்தவும்.
தோசையின் அடிப்பகுதி பழுப்பு நிறமாக மாறி மூலைகள் மேலே எழும்பும் வரை காத்திருக்கவும்.
இப்போது தோசையை மறுபுறம் புரட்டவும். மறுபக்கம் வெந்தவுடன், தோசையை தவாவிலிருந்து அகற்றவும்.
அடுத்த தோசை செய்வதற்கு முன், வண்டல் படிவதைத் தவிர்க்க மாவை நன்கு கலக்கவும். ஒவ்வொரு தோசை செய்வதற்கு முன்பும் ஒவ்வொரு முறையும் மாவை கலக்க வேண்டும்.</t>
  </si>
  <si>
    <t>https://shwetainthekitchen.com/wp-content/uploads/2023/10/Wheat-dosa.jpg</t>
  </si>
  <si>
    <t>Ragi Dosa</t>
  </si>
  <si>
    <t>ராகி தோசை</t>
  </si>
  <si>
    <t xml:space="preserve">  Whole Urad dal – 1/2 cup,
   Ragi flour - 4 cups,
   Salt as needed,
   Oil for making dosas.</t>
  </si>
  <si>
    <t>முழு உளுத்தம் பருப்பு - 1/2 கப்,
ராகி மாவு - 4 கப்,
தேவைக்கேற்ப உப்பு,
தோசை செய்வதற்கு எண்ணெய்.</t>
  </si>
  <si>
    <t xml:space="preserve">Wash and soak urad dal for 2-3 hours. Grind well until smooth and fluffy. I used the wet grinder for grinding urad dal.
Then add ragi flour, salt needed and mix well so that there are no lumps. Add water if required to get dosa batter consistency. Keep aside for 4-5 hours to ferment.
In case, if you want to make dosa on the same day without fermenting, you can add a little sour buttermilk to needed batter and use for that day.
Heat a dosa tawa, take a ladle of ragi dosa batter and spread it in circular motion. Drizzle a tsp of oil around the dosa. Do not spread too thin like paper dosa.
Once it gets cooked, flip it over to the other side. Let the other side get cooked. Once cooked remove and serve hot with coconut  chutney or sambar. This dosa will be very soft and delicious.
Add finely chopped onions and green chillies to the dosa batter to make the dosa  more delicious.
</t>
  </si>
  <si>
    <t>உளுத்தம் பருப்பை கழுவி 2-3 மணி நேரம் ஊற வைக்கவும். மென்மையாகவும் பஞ்சுபோன்றும் அரைக்கவும். நான் ஈரமான கிரைண்டரைப் பயன்படுத்தி உளுத்தம் பருப்பை அரைத்தேன்.
பின்னர் ராகி மாவு, தேவையான அளவு உப்பு சேர்த்து நன்கு கலக்கவும், இதனால் கட்டிகள் எதுவும் இருக்காது. தோசை மாவு நிலைத்தன்மை பெற தேவைப்பட்டால் தண்ணீர் சேர்க்கவும். புளிக்க 4-5 மணி நேரம் ஒதுக்கி வைக்கவும்.
தோசையை புளிக்காமல் அதே நாளில் செய்ய விரும்பினால், தேவையான மாவில் சிறிது புளிப்பு மோர் சேர்த்து அந்த நாளுக்கு பயன்படுத்தலாம்.
ஒரு தோசை தவாவை சூடாக்கி, ஒரு கரண்டி ராகி தோசை மாவை எடுத்து வட்ட இயக்கத்தில் பரப்பவும். தோசையைச் சுற்றி ஒரு தேக்கரண்டி எண்ணெயைத் தெளிக்கவும். காகித தோசை போல மிக மெல்லியதாகப் பரப்ப வேண்டாம்.
அது வெந்தவுடன், அதை மறுபுறம் திருப்பி வைக்கவும். மறுபக்கம் வேக விடவும். வெந்ததும் எடுத்து தேங்காய் சட்னி அல்லது சாம்பாருடன் சூடாகப் பரிமாறவும். இந்த தோசை மிகவும் மென்மையாகவும் சுவையாகவும் இருக்கும்.
தோசை மாவில் பொடியாக நறுக்கிய வெங்காயம் மற்றும் பச்சை மிளகாய் சேர்க்கவும், இதனால் தோசை இன்னும் சுவையாக இருக்கும்.</t>
  </si>
  <si>
    <t>https://www.sizzlingtastebuds.com/wp-content/uploads/2022/05/Ragi-Oats-Dosa1.png</t>
  </si>
  <si>
    <t>Onion Rava Dosa</t>
  </si>
  <si>
    <t>வெங்காய ரவா தோசை</t>
  </si>
  <si>
    <t xml:space="preserve">   Rice flour – 1 1/2 cup,
   Rava – 1/2 cup,
   Maida – 2 tbsp,
   cumin seeds – 1 1/2- 2 tsp,
   Whole black pepper – 1 tsp,
   Green chilli - 1,
   Thick Buttermilk – 1/4 cup,
   Onion - 1,
   Water - 2 3/4 cup,
   Oil for making dosas,
   Salt as needed.</t>
  </si>
  <si>
    <t>அரிசி மாவு - 1 1/2 கப்,
ரவா - 1/2 கப்,
மைதா - 2 டேபிள்ஸ்பூன்,
சீரகம் - 1 1/2- 2 டேபிள்ஸ்பூன்,
முழு கருப்பு மிளகு - 1 டீஸ்பூன்,
பச்சை மிளகாய் - 1,
கெட்டியான மோர் - 1/4 கப்,
வெங்காயம் - 1,
தண்ணீர் - 2 3/4 கப்,
தோசை செய்ய எண்ணெய்,
தேவைக்கேற்ப உப்பு.</t>
  </si>
  <si>
    <t>In a bowl, mix together rice flour, all purpose flour, cumin seeds, whole black pepper, green chillies and salt needed. Add the rava + butter milk mix to it. Then add approximately 2 3/4 cup of water to it little at a time and mix it well so that there are no lumps.Check for salt. Add if required.
I photographed the rava dosa batter to show you the consistency of the batter. See how thin it is (picture below).It should be like that. Now the batter is ready.
First heat a non stick tawa or a cast iron tawa, sprinkle little onions on top of it. Do not add too much onions as you will have difficulty in removing the dosa from the tawa.
When the tawa is heated well, reduce the flame to medium.
Remember for every dosa, you have to mix the batter well, so that the rava will not settle at the bottom. You cannot spread the rava dosa batter like normal dosa.
After mixing it, take a ladle or a small cupful of batter and fill the outer corners of the tawa. 
Then the inside of the tawa.
Then fill in big gaps if any . See how lacy and beautiful it is. To make it easier to understand, I have explained it in 3 easy steps but you can pour the batter at one go following the same method.
Let the dosa get cooked. Rava dosa will take longer time to get cooked than normal dosa, so do not be in a hurry to flip over the dosa. Drizzle a tsp of oil around the dosa.
Let the dosa get cooked evenly on all sides.
Wait until the bottom turns nice golden brown and the corners start lifting up slightly.
Once the bottom turns golden brown, flip over to the other side. Drizzle another 1/2 tsp of oil around the dosa. Let the other side also get cooked.
Once cooked, remove from flame and serve hot with coconut chutney, sambar or idli podi.</t>
  </si>
  <si>
    <t>ஒரு பாத்திரத்தில், அரிசி மாவு, அனைத்து வகையான மாவு, சீரகம், முழு கருப்பு மிளகு, பச்சை மிளகாய் மற்றும் தேவையான உப்பு ஆகியவற்றை ஒன்றாக கலக்கவும். ரவா + வெண்ணெய் பால் கலவையை அதில் சேர்க்கவும். பின்னர் தோராயமாக 2 3/4 கப் தண்ணீரை சிறிது சிறிதாக சேர்த்து, கட்டிகள் இல்லாதபடி நன்கு கலக்கவும். உப்பு இருக்கிறதா என்று பாருங்கள். தேவைப்பட்டால் சேர்க்கவும்.
மாவின் நிலைத்தன்மையைக் காட்ட ரவா தோசை மாவை புகைப்படம் எடுத்தேன். அது எவ்வளவு மெல்லியதாக இருக்கிறது என்று பாருங்கள் (கீழே உள்ள படம்). அது அப்படியே இருக்க வேண்டும். இப்போது மாவு தயாராக உள்ளது.
முதலில் ஒரு நான்ஸ்டிக் தவா அல்லது வார்ப்பிரும்பு தவாவை சூடாக்கி, அதன் மேல் சிறிது வெங்காயத்தைத் தூவவும். அதிகமாக வெங்காயத்தைச் சேர்க்க வேண்டாம், ஏனெனில் தோசையை தவாவிலிருந்து அகற்றுவதில் உங்களுக்கு சிரமம் இருக்கும்.
தவா நன்றாக சூடாந்ததும், தீயை நடுத்தரமாகக் குறைக்கவும்.
ஒவ்வொரு தோசைக்கும், ரவா கீழே படிந்துவிடாமல் இருக்க, மாவை நன்றாகக் கலக்க வேண்டும் என்பதை நினைவில் கொள்ளுங்கள். சாதாரண தோசையைப் போல ரவா தோசை மாவை பரப்ப முடியாது.
அதைக் கலந்த பிறகு, ஒரு கரண்டி அல்லது ஒரு சிறிய கப் மாவை எடுத்து தவாவின் வெளிப்புற மூலைகளை நிரப்பவும்.
பின்னர் தவாவின் உட்புறம்.
பின்னர் பெரிய இடைவெளிகள் ஏதேனும் இருந்தால் நிரப்பவும். அது எவ்வளவு லேசியாகவும் அழகாகவும் இருக்கிறது என்று பாருங்கள். புரிந்துகொள்வதை எளிதாக்க, நான் அதை 3 எளிய படிகளில் விளக்கியுள்ளேன், ஆனால் அதே முறையைப் பின்பற்றி ஒரே நேரத்தில் மாவை ஊற்றலாம்.
தோசை சமைக்கட்டும். ரவா தோசை சாதாரண தோசையை விட சமைக்க அதிக நேரம் எடுக்கும், எனவே தோசையைப் புரட்ட அவசரப்பட வேண்டாம். தோசையைச் சுற்றி ஒரு தேக்கரண்டி எண்ணெயைத் தடவவும்.
தோசை எல்லா பக்கங்களிலும் சமமாக வேகட்டும்.
அடிப்பகுதி நல்ல தங்கப் பழுப்பு நிறமாக மாறி, மூலைகள் சற்று மேலே எழும்பும் வரை காத்திருக்கவும்.
அடிப்பகுதி பொன்னிறமாக மாறியதும், மறுபுறம் திருப்பிப் போடவும். தோசையைச் சுற்றி மேலும் 1/2 தேக்கரண்டி எண்ணெயைத் தடவவும். மறுபக்கமும் வேகட்டும்.
வெந்தவுடன், அடுப்பிலிருந்து இறக்கி, தேங்காய் சட்னி, சாம்பார் அல்லது இட்லி பொடியுடன் சூடாகப் பரிமாறவும்.</t>
  </si>
  <si>
    <t>https://moonrice.net/wp-content/uploads/2021/05/IMG_0938-2.jpg</t>
  </si>
  <si>
    <t>Sweet Paniyaram</t>
  </si>
  <si>
    <t>இனிப்பு பணியாரம்</t>
  </si>
  <si>
    <t>Idli batter – 11/2 cup,
Jaggery – 5 tbsp,
Grated coconut – 3 tbsp,
Cardamom powder – a pinch,
Salt – a pinch,
Ghee .</t>
  </si>
  <si>
    <t>இட்லி மாவு - 1 1/2 கப்,
வெல்லம் - 5 டேபிள் ஸ்பூன்,
தேங்காய் துருவியது - 3 டேபிள் ஸ்பூன்,
ஏலக்காய் தூள் - ஒரு சிட்டிகை,
உப்பு - ஒரு சிட்டிகை,
நெய் .</t>
  </si>
  <si>
    <t>Mix together idli batter, jaggery, grated coconut, a pinch of salt and cardamom powder. The batter should be thick as once the jaggery dissolves, the batter will become slightly thin.
Heat the paniyaram pan and then add 1/2 a tsp of oil in each hole (kuzhi) of the pan.
Then fill in the holes with the prepared batter.(fill only up to 3/4)
Cover and cook on medium flame. Once the bottom starts browning, using a skewer or spoon, flip it over gently to the other side. 
Cook the other side uncovered until golden brown. Keep an eye on it as it will turn brown very quickly.
Remove from the pan and serve hot. You do not need any side dish for this.</t>
  </si>
  <si>
    <t>இட்லி மாவு, வெல்லம், துருவிய தேங்காய், ஒரு சிட்டிகை உப்பு மற்றும் ஏலக்காய் தூள் ஆகியவற்றை ஒன்றாக கலக்கவும். வெல்லம் கரைந்ததும், மாவு சற்று மெல்லியதாக மாறும் என்பதால், மாவு கெட்டியாக இருக்க வேண்டும்.
பணியாரம் பாத்திரத்தை சூடாக்கி, பின்னர் பாத்திரத்தின் ஒவ்வொரு துளையிலும் (குழி) 1/2 தேக்கரண்டி எண்ணெய் சேர்க்கவும்.
பின்னர் தயாரிக்கப்பட்ட மாவை துளைகளில் நிரப்பவும். (3/4 வரை மட்டுமே நிரப்பவும்)
மூடி, நடுத்தர தீயில் சமைக்கவும். அடிப்பகுதி பழுப்பு நிறமாக ஆரம்பித்ததும், ஒரு ஸ்கூவர் அல்லது கரண்டியால், அதை மெதுவாக மறுபுறம் புரட்டவும்.
மறுபக்கம் பொன்னிறமாகும் வரை மூடாமல் சமைக்கவும். அது மிக விரைவாக பழுப்பு நிறமாக மாறும் என்பதால் அதைக் கவனியுங்கள்.
பதாட்டத்திலிருந்து எடுத்து சூடாகப் பரிமாறவும். இதற்கு உங்களுக்கு எந்த சைட் டிஷ்ஷும் தேவையில்லை.</t>
  </si>
  <si>
    <t>https://static.toiimg.com/thumb/66554591.cms?width=1200&amp;height=900</t>
  </si>
  <si>
    <t>Paneer Dosa</t>
  </si>
  <si>
    <t>பனீர் தோசை</t>
  </si>
  <si>
    <t>Paneer - 200 grams,
Onion – 2,
Green chilli – 2,
Ginger – 1/2 inch piece,
Coriander leaves,
Oil – 1 tbsp,
Salt to taste.</t>
  </si>
  <si>
    <t>பனீர் - 200 கிராம்,
வெங்காயம் - 2,
பச்சை மிளகாய் - 2,
இஞ்சி - 1/2 அங்குல துண்டு,
கொத்தமல்லி இலை,
எண்ணெய் - 1 டீஸ்பூன்,
ருசிக்கேற்ப உப்பு.</t>
  </si>
  <si>
    <t>Heat oil in a pan, add finely chopped onions, green chillies, ginger and saute until onions turn transparent.
Then add paneer, need salt and coriander leaves. Saute for 2-3 minutes until everything gets blended well and switch off the flame. Now the filling for the dosa is ready.
Since this is a dry filling/sabji, the dosa should not be too thin like masala dosa. It should be thicker than the normal dosa and a little thinner than uthappam.</t>
  </si>
  <si>
    <t>ஒரு கடாயில் எண்ணெயை சூடாக்கி, இறுதியாக நறுக்கிய வெங்காயம், பச்சை மிளகாய், இஞ்சி சேர்த்து வெங்காயம் தெளிவாகும் வரை வதக்கவும்.
பின் பனீர் சேர்த்து, உப்பு மற்றும் கொத்தமல்லி இலைகளை சேர்க்கவும். எல்லாம் நன்றாகக் கலக்கும் வரை 2-3 நிமிடங்கள் வதக்கி, தீயை அணைக்கவும். இப்போது தோசைக்கான பூரணம் தயாராக உள்ளது.
இது உலர்ந்த பூரணம்/சப்ஜி என்பதால், தோசை மசாலா தோசை போல மிக மெல்லியதாக இருக்கக்கூடாது. இது சாதாரண தோசையை விட தடிமனாகவும், உத்தப்பத்தை விட சற்று மெல்லியதாகவும் இருக்க வேண்டும்.</t>
  </si>
  <si>
    <t>https://revi.b-cdn.net/wp-content/uploads/2015/09/paneer-masala-dosa-3.jpg</t>
  </si>
  <si>
    <t>Bread Upma</t>
  </si>
  <si>
    <t>பிரட் உப்புமா</t>
  </si>
  <si>
    <t xml:space="preserve">   Bread – 5 slices,
   Onion - 1,
   Tomato – 2,
   Green chilli – 2 slit,
   Ginger - 1/2 tsp finely chopped,
   Turmeric powder – a pinch,
   Sambar powder – 1 tsp,
   Ghee or oil – 2 tsp for frying bread,
   Salt to taste,
   Oil – 2 1/2 tsp,
   Mustard seeds – 1/2 tsp,
   Curry leaves – few.</t>
  </si>
  <si>
    <t>பிரட் - 5 துண்டுகள்,
வெங்காயம் - 1,
தக்காளி - 2,
பச்சை மிளகாய் - 2 துண்டுகள்,
இஞ்சி - 1/2 தேக்கரண்டி பொடியாக நறுக்கியது,
மஞ்சள் தூள் - ஒரு சிட்டிகை,
சாம்பார் பொடி - 1 தேக்கரண்டி,
நெய் அல்லது எண்ணெய் - ரொட்டி வறுக்க 2 தேக்கரண்டி,
சுவைக்கு உப்பு,
எண்ணெய் - 2 1/2 தேக்கரண்டி,
கடுகு - 1/2 தேக்கரண்டி,
கறிவேப்பிலை - சிறிதளவு.</t>
  </si>
  <si>
    <t>Heat oil in a pan, add mustard seeds, when it splutters, add onions, ginger, green chillies, curry leaves and saute until onions turn transparent.
Then add chopped tomatoes, turmeric powder, sambar powder, salt needed and cook until tomatoes are soft. Add 2 tbsp of water, if your tomato is not very juicy.
Then add bread pieces and toss until bread is well coated with the masala.
Serve hot.You do not need any side dish for this upma. You can have this even as a tea time snack.</t>
  </si>
  <si>
    <t>ஒரு கடாயில் எண்ணெயை சூடாக்கி, கடுகு சேர்த்து, அது வதங்கியதும், வெங்காயம், இஞ்சி, பச்சை மிளகாய், கறிவேப்பிலை சேர்த்து வெங்காயம் தெளிவடையும் வரை வதக்கவும்.
பின்னர் நறுக்கிய தக்காளி, மஞ்சள் தூள், சாம்பார் பொடி, தேவையான உப்பு சேர்த்து தக்காளி மென்மையாகும் வரை வதக்கவும். உங்கள் தக்காளி மிகவும் ஜூசியாக இல்லாவிட்டால் 2 தேக்கரண்டி தண்ணீர் சேர்க்கவும்.
பின்னர் பிரட் துண்டுகளைச் சேர்த்து, ரொட்டி மசாலாவுடன் நன்கு பூசப்படும் வரை கிளறவும்.
சூடாக பரிமாறவும். இந்த உப்மாவிற்கு உங்களுக்கு எந்த துணை உணவும் தேவையில்லை. இதை நீங்கள் தேநீர் நேரத்தில் சிற்றுண்டியாகவும் சாப்பிடலாம்.</t>
  </si>
  <si>
    <t>https://www.indianveggiedelight.com/wp-content/uploads/2018/10/bread-upma-featured.jpg</t>
  </si>
  <si>
    <t xml:space="preserve">   Oats – 1/2 cup,
   pasi paruppu – 1/4 cup,
   Cashew nuts – 3,
   Salt as needed,
   Ghee for frying cashew nuts and oats - 1 tsp,
   Ghee – 2 tsp,
   Ginger finely chopped – 1 tsp,
   Whole black pepper - 1 tsp,
   Cumins seeds - 1 tsp,
   Curry leaves -few.</t>
  </si>
  <si>
    <t>ஓட்ஸ் - 1/2 கப்,
பசி பருப்பு - 1/4 கப்,
முந்திரி பருப்பு - 3,
தேவைக்கேற்ப உப்பு,
முந்திரி பருப்பு மற்றும் ஓட்ஸ் வறுக்க நெய் - 1 டீஸ்பூன்,
நெய் - 2 டீஸ்பூன்,
இஞ்சி நன்றாக நறுக்கியது - 1 டீஸ்பூன்,
முழு கருப்பு மிளகு - 1 டீஸ்பூன்,
சீரகம் - 1 டீஸ்பூன்,
கறிவேப்பிலை - சில.
ஓட்ஸை அரை கப் தண்ணீரில் உப்பு சேர்த்து சமைக்கவும்.</t>
  </si>
  <si>
    <t>Cook oats in half a cup of water adding salt.
Then add cooked moong dal to oats and cook for some more time until well blended. Check for salt.
Heat 2 tsp of ghee, add pepper and jeera seeds, when jeera sizzles, add ginger, curry leaves, saute for a second and pour it over the cooked oats + dal mix. Mix well.
Garnish with cashew nuts and serve hot with coconut chutney or pongal sambar.</t>
  </si>
  <si>
    <t>ஓட்ஸை அரை கப் தண்ணீரில் உப்பு சேர்த்து சமைக்கவும்.
பின்னர் சமைத்த பாசிப்பருப்பை ஓட்ஸில் சேர்த்து நன்கு கலக்கும் வரை சிறிது நேரம் சமைக்கவும். உப்பு இருக்கிறதா என்று பாருங்கள்.
2 டீஸ்பூன் நெய்யை சூடாக்கி, மிளகு மற்றும் சீரக விதைகளைச் சேர்த்து, சீரகம் கொதிக்கும் போது, ​​இஞ்சி, கறிவேப்பிலை சேர்த்து, ஒரு நொடி வதக்கி, சமைத்த ஓட்ஸ் + பருப்பு கலவையின் மீது ஊற்றவும். நன்றாக கலக்கவும்.
முந்திரி பருப்புடன் அலங்கரித்து, தேங்காய் சட்னி அல்லது பொங்கல் சாம்பாருடன் சூடாகப் பரிமாறவும்.</t>
  </si>
  <si>
    <t>https://www.madhuseverydayindian.com/wp-content/uploads/2021/01/oats-pongal-instant-pot.jpg</t>
  </si>
  <si>
    <t>Oats Soup</t>
  </si>
  <si>
    <t>ஓட்ஸ் சூப்</t>
  </si>
  <si>
    <t xml:space="preserve">   Oats – 2 tbsp,
   Skimmed milk - 3/4 cup,
   Pearl Onion – 2 tbsp finely chopped,
   Garlic - 2 cloves minced,
   Pepper powder to taste,
   Salt to taste,
   Oil – 1 tsp.
</t>
  </si>
  <si>
    <t>ஓட்ஸ் – 2 டேபிள் ஸ்பூன்,
கொழுப்பு நீக்கிய பால் - 3/4 கப்,
முத்து வெங்காயம் – 2 டேபிள் ஸ்பூன் நன்றாக நறுக்கியது,
பூண்டு - 2 பல் நறுக்கியது,
சுவைக்கு ஏற்ப மிளகு தூள்,
ருசிக்கு ஏற்ப உப்பு,
எண்ணெய் – 1 டேபிள் ஸ்பூன்.</t>
  </si>
  <si>
    <t>Heat oil in a pan, saute onion and garlic until onion turns translucent. Keep it aside.
Cook oats in 1/2 – 3/4 cup of water stirring continuously until it thickens.(This will take only 3-4 minutes)
Then add milk and bring it to boil. Switch off the flame. Add onion+garlic mix, salt and pepper powder to taste.
Serve piping hot with toasted whole wheat bread.</t>
  </si>
  <si>
    <t>ஒரு கடாயில் எண்ணெயை சூடாக்கி, வெங்காயம் மற்றும் பூண்டை வெங்காயம் கசியும் வரை வதக்கவும். அதை ஒதுக்கி வைக்கவும்.
ஓட்ஸை 1/2 – 3/4 கப் தண்ணீரில் தொடர்ந்து கிளறி, கெட்டியாகும் வரை சமைக்கவும். (இதற்கு 3-4 நிமிடங்கள் மட்டுமே ஆகும்)
பின்னர் பால் சேர்த்து கொதிக்க விடவும். தீயை அணைக்கவும். வெங்காயம்+பூண்டு கலவை, சுவைக்கு ஏற்ப உப்பு மற்றும் மிளகு தூள் சேர்க்கவும்.
வறுக்கப்பட்ட முழு கோதுமை ரொட்டியுடன் சூடாக பரிமாறவும்.</t>
  </si>
  <si>
    <t>https://encrypted-tbn0.gstatic.com/images?q=tbn:ANd9GcRPhgtkcFO92fEUevFS4ARMZf8rS0YS0g4fOQ&amp;s</t>
  </si>
  <si>
    <t>Appam without yeast</t>
  </si>
  <si>
    <t>ஈஸ்ட் இல்லாத ஆப்பம்</t>
  </si>
  <si>
    <t>Raw rice – 1 cup,
Par boiled rice – 1 cup,
Fenugreek seeds – 1 tsp,
Urad dal – 2 1/2 tbsp ,
Coconut milk - 3 tbsp,
Cooking soda – 1/2 tsp.</t>
  </si>
  <si>
    <t>பச்சை அரிசி - 1 கப்,
வேகவைத்த அரிசி - 1 கப்,
வெந்தயம் - 1 டீஸ்பூன்,
உரத்த பருப்பு - 2 1/2 டீஸ்பூன்,
தேங்காய் பால் - 3 டீஸ்பூன்,
சமையல் சோடா - 1/2 டீஸ்பூன்.</t>
  </si>
  <si>
    <t xml:space="preserve">Traditionally appams are made in iron skillet called appa chatti. I have used the Prestige non stick appam pan. If you do not have appa chatti or appam pan, you can make it in any other non stick pan with lid.
First coat the appam pan with oil using a cloth. 
Heat the appam pan, then reduce the heat to low. Now add a ladle of batter in the center of the pan.(pan should be hot but not too hot)
Holding both the handles of the pan, rotate the pan in such a way that the batter spreads all around in a circle. The remaining batter will come to the center (that is why the appam is thick in the center and lacy on the outside)My maid was kind enough to do the rotating for me so that I could take pictures to show you all.
After that close the pan with the lid. The flame should be kept in low. Once the appam is cooked and the edges start turning brown, remove the appam from the pan. (the appam will come off easily if you lift it with your hands)
</t>
  </si>
  <si>
    <t>பாரம்பரியமாக ஆப்பங்கள் அப்ப சட்டி எனப்படும் இரும்பு வாணலியில் தயாரிக்கப்படுகின்றன. நான் பிரெஸ்டீஜ் நான்ஸ்டிக் ஆப்பம் பாத்திரத்தைப் பயன்படுத்துகிறேன். உங்களிடம் அப்ப சட்டி அல்லது ஆப்பம் பாத்திரம் இல்லையென்றால், மூடியுடன் கூடிய வேறு எந்த நான்ஸ்டிக் பாத்திரத்திலும் செய்யலாம்.
முதலில் ஆப்பம் பாத்திரத்தில் ஒரு துணியைப் பயன்படுத்தி எண்ணெயைத் தடவவும்.
ஆப்பம் பாத்திரத்தை சூடாக்கி, பின்னர் தீயை குறைந்தபட்சமாகக் குறைக்கவும். இப்போது வாணலியின் மையத்தில் ஒரு கரண்டி மாவைச் சேர்க்கவும். (வாணலி சூடாக இருக்க வேண்டும் ஆனால் மிகவும் சூடாக இருக்கக்கூடாது)
வாணலியின் இரண்டு கைப்பிடிகளையும் பிடித்து, மாவு ஒரு வட்டத்தில் பரவும் வகையில் வாணலியைச் சுழற்றுங்கள். மீதமுள்ள மாவு நடுப்பகுதிக்கு வரும் (அதனால்தான் ஆப்பம் நடுவில் தடிமனாகவும், வெளியே சரிகை போலவும் இருக்கும்). என் வேலைக்காரி எனக்காக சுழற்றுவதைச் செய்து கொடுத்தார், அதனால் நான் படங்களை எடுத்து உங்கள் அனைவருக்கும் காட்ட முடிந்தது.
அதன் பிறகு, பாத்திரத்தை மூடியுடன் மூடவும். சுடரை குறைவாக வைத்திருக்க வேண்டும். ஆப்பம் வெந்து, விளிம்புகள் பழுப்பு நிறமாக மாறத் தொடங்கியதும், பாத்திரத்திலிருந்து ஆப்பத்தை எடுக்கவும். (நீங்கள் அதை உங்கள் கைகளால் தூக்கினால் ஆப்பம் எளிதாக உரிந்துவிடும்)</t>
  </si>
  <si>
    <t>https://encrypted-tbn0.gstatic.com/images?q=tbn:ANd9GcQtCkcNVRSRreXb_TK2KVs4wPN3KuMjC4K6sg&amp;s</t>
  </si>
  <si>
    <t>Tomato Dosa</t>
  </si>
  <si>
    <t>தக்காளி தோசை</t>
  </si>
  <si>
    <t>Tomatoes - 2,
Green chillies – 1-2,
  cumin seeds – 1 tsp,
Ginger – 1 inch piece,
Par boiled rice – 1/2 cup,
Raw rice – 1 1/2 cup,
Urad dal – 1/4 cup,
 beaten rice – 1/2 cup,
Tur dal – 2 tsp,
Fenugreek seeds – 1 tsp.</t>
  </si>
  <si>
    <t>தக்காளி - 2,
பச்சை மிளகாய் - 1-2,
சீரகம் - 1 தேக்கரண்டி,
இஞ்சி - 1 அங்குல துண்டு,
வேகவைத்த அரிசி - 1/2 கப்,
பச்சை அரிசி - 1 1/2 கப்,
உளுந்தம் பருப்பு - 1/4 கப்,
வெந்தயம் - 1 தேக்கரண்டி,
பருப்பு தவிர மேலே உள்ள அனைத்து பொருட்களையும் 3-4 மணி நேரம் ஊற வைக்கவும். போஹாவை அரைப்பதற்கு முன் 15 நிமிடங்கள் ஊறவைக்கவும்.</t>
  </si>
  <si>
    <t>Soak all the above ingredients for 3-4 hours except poha. You can soak poha 15 minutes before grinding.
Grind separately tomato, green chilli, cumin/jeera seeds and pearl onions to a fine paste. Keep it aside.
After soaking, grind 1 along with poha to a smooth paste. Then add 2 to the ground batter and grind both together for a few minutes. Add salt needed.
Let the batter ferment for 5 hours. Then you can use the batter to make tomato dosa as explained above.
I have tried this method many times. The dosa is very tasty and soft but should be taken hot.</t>
  </si>
  <si>
    <t>பருப்பு தவிர மேலே உள்ள அனைத்து பொருட்களையும் 3-4 மணி நேரம் ஊற வைக்கவும். போஹாவை அரைப்பதற்கு முன் 15 நிமிடங்கள் ஊறவைக்கவும்.
தக்காளி, பச்சை மிளகாய், சீரகம்/ஜீரா விதைகள் மற்றும் முத்து வெங்காயத்தை தனித்தனியாக நன்றாக விழுதாக அரைக்கவும். அதை ஒதுக்கி வைக்கவும்.
ஊறவைத்த பிறகு, போஹாவுடன் 1 ஐ மென்மையான பேஸ்டாக அரைக்கவும். பின்னர் அரைத்த மாவில் 2 ஐ சேர்த்து இரண்டையும் ஒன்றாக சில நிமிடங்கள் அரைக்கவும். தேவையான அளவு உப்பு சேர்க்கவும்.
மாவை 5 மணி நேரம் புளிக்க விடவும். பின்னர் மேலே விளக்கப்பட்டுள்ளபடி தக்காளி தோசை தயாரிக்க மாவைப் பயன்படுத்தலாம்.
இந்த முறையை நான் பலமுறை முயற்சித்திருக்கிறேன். தோசை மிகவும் சுவையாகவும் மென்மையாகவும் இருக்கும், ஆனால் சூடாகவே எடுத்துக்கொள்ள வேண்டும்.</t>
  </si>
  <si>
    <t>https://encrypted-tbn0.gstatic.com/images?q=tbn:ANd9GcRLDfbW5MPf4rtIhV8FZQYmopRCtWB-FSyXIQ&amp;s</t>
  </si>
  <si>
    <t>Cauliflower Dosa</t>
  </si>
  <si>
    <t>காலிஃபிளவர் தோசை</t>
  </si>
  <si>
    <t>Cauliflower – 2 cups minced,
Onion – 2 ,
Tomato – 1,
Ginger - 1 inch piece,
Green chilli – 1 ,
Curry leaves ,
Coriander leaves,
Oil – 1 tbsp,
Turmeric powder – a pinch,
Chilli powder – 1 tsp,
Coriander powder – 1 tsp,
Kitchen king masala  - 1/2 tsp,
Salt as needed,
cumin seeds  – 1 tsp.</t>
  </si>
  <si>
    <t>காலிஃபிளவர் - 2 கப் நறுக்கியது,
வெங்காயம் - 2,
தக்காளி - 1,
இஞ்சி - 1 அங்குல துண்டு,
பச்சை மிளகாய் - 1,
கறிவேப்பிலை,
கொத்தமல்லி இலைகள்,
எண்ணெய் - 1 டீஸ்பூன்,
மஞ்சள் தூள் - ஒரு சிட்டிகை,
மிளகாய் தூள் - 1 டீஸ்பூன்,
கொத்தமல்லி தூள் - 1 டீஸ்பூன்,
சமையலறை ராஜா மசாலா - 1/2 டீஸ்பூன்,
தேவைக்கேற்ப உப்பு,
சீரக விதைகள் - 1 டீஸ்பூன்.</t>
  </si>
  <si>
    <t>Heat oil in a pan/kadai, add jeera seeds, when it splutters, add finely chopped onions, green chilli, curry leaves and ginger.
Saute for a few minutes, until onions turn translucent.
Then add chopped tomatoes, turmeric powder, chilli powder, coriander powder, kitchen king masala (if using) and salt needed.
Saute till tomatoes turn mushy.
Add minced cauliflower and cook until cauliflower becomes tender. Check for salt and keep it aside. The stuffing should be dry. Now the gobi masala for dosa is ready.
Heat a tawa, grease it with a tsp of oil using half an onion, pour a ladle of dosa batter onto the center of the tawa and start spreading the batter in circular motion as seen in the picture below
Drizzle a tsp of oil around the dosa. Close it with a lid. Once the dosa is cooked, simmer and  place 2-3 tbsp of the masala, fold the dosa and remove from tawa. Serve hot with any chutney of your choice. (Keep it for a longer in if you want more browning).
Repeat the process for the rest of the dosa batter.</t>
  </si>
  <si>
    <t>ஒரு கடாயில்/கடாயில் எண்ணெயை சூடாக்கி, சீரகம் விதைகளைச் சேர்த்து, அது வதங்கியதும், இறுதியாக நறுக்கிய வெங்காயம், பச்சை மிளகாய், கறிவேப்பிலை மற்றும் இஞ்சியைச் சேர்க்கவும்.
வெங்காயம் தெளிவாகும் வரை சில நிமிடங்கள் வதக்கவும்.
பின்னர் நறுக்கிய தக்காளி, மஞ்சள் தூள், மிளகாய் தூள், கொத்தமல்லி தூள், கிச்சன் ராஜா மசாலா (பயன்படுத்தினால்) மற்றும் தேவையான உப்பு சேர்க்கவும்.
தக்காளி மென்மையாகும் வரை வதக்கவும்.
நறுக்கிய காலிஃபிளவரைச் சேர்த்து காலிஃபிளவரை மென்மையாகும் வரை சமைக்கவும். உப்பு இருக்கிறதா என்று சரிபார்த்து ஒதுக்கி வைக்கவும். ஸ்டஃபிங் உலர்ந்திருக்க வேண்டும். இப்போது தோசைக்கான கோபி மசாலா தயாராக உள்ளது.
ஒரு தவாவை சூடாக்கி, அரை வெங்காயத்தைப் பயன்படுத்தி ஒரு தேக்கரண்டி எண்ணெயை தடவி, ஒரு கரண்டி தோசை மாவை தவாவின் மையத்தில் ஊற்றி, கீழே உள்ள படத்தில் காட்டப்பட்டுள்ளபடி வட்ட இயக்கத்தில் மாவை பரப்பத் தொடங்குங்கள்.
தோசையைச் சுற்றி ஒரு தேக்கரண்டி எண்ணெயைத் தெளிக்கவும். அதை ஒரு மூடியால் மூடி வைக்கவும். தோசை வெந்தவுடன், கொதிக்க வைத்து 2-3 தேக்கரண்டி மசாலாவை வைத்து, தோசையை மடித்து தவாவிலிருந்து எடுக்கவும். உங்களுக்கு விருப்பமான எந்த சட்னியுடன் சூடாக பரிமாறவும். (நீங்கள் இன்னும் பழுப்பு நிறமாக விரும்பினால் அதை சிறிது நேரம் வைக்கவும்).
மீதமுள்ள தோசை மாவுக்கும் இந்த செயல்முறையை மீண்டும் செய்யவும்.</t>
  </si>
  <si>
    <t>https://encrypted-tbn0.gstatic.com/images?q=tbn:ANd9GcRfV_grxlEnHnBAzOWDSzuysYsdKlzIMORnaQ&amp;s</t>
  </si>
  <si>
    <t>1/2 cup -  Raw rice,
1/4 cup -  Split yellow moong dal,
8 -  Cashew nuts,
Salt needed,
1 1/2 tbsp -  Oil,
1 1/2 tbsp -  Ghee,
1 inch -  Ginger 
1 tsp -  Cumin seeds,
1 tsp -  Whole black pepper,
Curry leaves few.</t>
  </si>
  <si>
    <t>1/2 கப் - பச்சரிசி,
1/4 கப் - மஞ்சள் நிறத்தில் நறுக்கிய பாசிப்பருப்பு,
8 - முந்திரி பருப்பு,
உப்பு தேவை,
1 1/2 டீஸ்பூன் - எண்ணெய்,
1 1/2 டீஸ்பூன் - நெய்,
1 அங்குலம் - இஞ்சி
1 டீஸ்பூன் - சீரகம்,
1 டீஸ்பூன் - முழு கருப்பு மிளகு,
கறிவேப்பிலை சிறிது.</t>
  </si>
  <si>
    <t>அரிசி மற்றும் பருப்பை இரண்டையும் கலந்து, கழுவி, உப்பு, 2 1/2 - 3 கப் தண்ணீர் சேர்த்து 4-5 விசில் வரும் வரை பிரஷர் வேக வைக்கவும். (நான் பழைய அரிசியைப் பயன்படுத்தினேன், அதனால் 3 கப் தண்ணீர் சேர்த்தேன்). அரிசியை மென்மையாக இருக்கும் வகையில் சமைக்க வேண்டும்.
பிரஷர் குறைந்தவுடன் குக்கரைத் திறக்கவும். சூடானதும் அரிசி மற்றும் பருப்பை நன்கு மசிக்கவும்.
எண்ணெய் + நெய்யை சூடாக்கி, மிளகு, சீரகம் சேர்த்து, சில நொடிகள் வதக்கி, பின்னர் இறுதியாக நறுக்கிய இஞ்சி, கறிவேப்பிலை சேர்த்து, 2-3 நொடிகள் வதக்கி, அரிசி + பருப்பு கலவையின் மீது ஊற்றவும்.
வறுத்த முந்திரி பருப்புகளைச் சேர்த்து எல்லாவற்றையும் நன்றாகக் கலக்கவும்.
மாற்றாக, நான் செய்தது போல் சாதம் + பருப்பு கலவையைச் சேர்த்து, குறைந்த தீயில் 2 நிமிடங்கள் நன்கு கலக்கவும்.
அடுப்பை அணைத்துவிட்டு, சாம்பார் அல்லது கோத்சு அல்லது தேங்காய் சட்னியுடன் சூடாகப் பரிமாறவும்.</t>
  </si>
  <si>
    <t>https://www.vegrecipesofindia.com/wp-content/uploads/2019/01/ven-pongal-recipe-1a.jpg</t>
  </si>
  <si>
    <t>Onion Uthappam</t>
  </si>
  <si>
    <t>வெங்காய ஊத்தப்பம்</t>
  </si>
  <si>
    <t xml:space="preserve">   Onion – 1/2 cup finely chopped,
   Idli batter – 1/2 cup,
   Green chilli – 1,
   Ginger – 1 inch piece ,
   Oil for making uttappams.</t>
  </si>
  <si>
    <t>வெங்காயம் - 1/2 கப் பொடியாக நறுக்கியது,
இட்லி மாவு - 1/2 கப்,
பச்சை மிளகாய் - 1,
இஞ்சி - 1 அங்குல துண்டு,
உத்தப்பம் செய்ய எண்ணெய்.</t>
  </si>
  <si>
    <t>Heat a tawa, add a drop of oil and rub it with half an onion. This will help you to take the dosa from the tawa easily.
Once the tawa is heated well, reduce the heat to medium, pour a ladle of batter and spread it in a circular motion to form a thick dosa as shown in the picture. Do not spread it thin. Uthappams should be thick.
After a minute, sprinkle the onion mixture all over the dosa. Be generous in adding onions for the uthappam to taste great. Gently press it with the dosa ladle or spatula.
Drizzle a tsp of oil around the dosa. Once the the base is golden brown and you see lot of holes on the top, flip the dosa to the other side.
Drizzle a little oil on the other side also. Let it cook the other side. Once it is cooked, remove the dosa from the tawa and serve hot with chutney or sambar.</t>
  </si>
  <si>
    <t>ஒரு தவாவை சூடாக்கி, ஒரு துளி எண்ணெய் சேர்த்து, அதில் அரை வெங்காயத்தை தேய்க்கவும். இது தோசையை எளிதில் தவாவிலிருந்து எடுக்க உதவும்.
தவா நன்றாக சூடாக்கிய பிறகு, தீயை நடுத்தரமாகக் குறைத்து, ஒரு கரண்டி மாவை ஊற்றி, படத்தில் காட்டப்பட்டுள்ளபடி ஒரு தடிமனான தோசையை உருவாக்க வட்ட இயக்கத்தில் பரப்பவும். அதை மெல்லியதாக பரப்ப வேண்டாம். ஊத்தப்பம் கெட்டியாக இருக்க வேண்டும்.
ஒரு நிமிடம் கழித்து, தோசை முழுவதும் வெங்காயக் கலவையைத் தூவவும். உத்தப்பம் நன்றாக ருசிக்க வெங்காயத்தைச் சேர்ப்பதில் தாராளமாக இருங்கள். தோசை கரண்டி அல்லது ஸ்பேட்டூலாவுடன் மெதுவாக அழுத்தவும்.
தோசையைச் சுற்றி ஒரு தேக்கரண்டி எண்ணெயைத் தெளிக்கவும். அடிப்பகுதி பொன்னிறமாகி, மேலே நிறைய துளைகள் தெரிந்ததும், தோசையை மறுபுறம் புரட்டவும்.
மறுபக்கமும் சிறிது எண்ணெய் தடவி, மறுபக்கம் வேக விடவும். வெந்ததும், தோசையை தவாவிலிருந்து எடுத்து, சட்னி அல்லது சாம்பாருடன் சூடாகப் பரிமாறவும்.</t>
  </si>
  <si>
    <t>https://encrypted-tbn0.gstatic.com/images?q=tbn:ANd9GcRR25bExlo45LjjwUU9y9e4y82HGJyFbOGd8A&amp;s</t>
  </si>
  <si>
    <t>Masala Dosa</t>
  </si>
  <si>
    <t>மசாலா தோசை</t>
  </si>
  <si>
    <t xml:space="preserve">   Par boiled Rice - 1 1/2 cup,
   Raw rice – 1/2 cup,
   Whole urad dal - 1/2 cup,
   Fenugreek seeds - 1/2 tsp,
   Channa dal – 2 tbsp,
   Tur dal – 1 1/2 tbsp,
   Salt needed,
   Potatoes – 500 gms,
   Onion - 2,
   Ginger – 1 inch piece,
   Green chilli – 2,
   Tomato - 1,
   Turmeric powder – 1/4 tsp,
   Curry leaves,
   Salt needed,
   Oil - 2 tbsp,
   Mustard – 1 tsp,
   Urad dal - 3/4 tsp,
   Bengal gram – 3/4 tsp,
   Asafoetida – a pinch,
   Oil for making dosa.</t>
  </si>
  <si>
    <t>புழுங்கல் அரிசி - 1 1/2 கப்,
பச்சரிசி - 1/2 கப்,
முழு உளுத்தம் பருப்பு - 1/2 கப்,
வெந்தயம் - 1/2 தேக்கரண்டி,
சன்னா பருப்பு - 2 தேக்கரண்டி,
துவரம் பருப்பு - 1 1/2 தேக்கரண்டி,
உப்பு தேவை,
உருளைக்கிழங்கு - 500 கிராம்,
வெங்காயம் - 2,
இஞ்சி - 1 அங்குல துண்டு,
பச்சை மிளகாய் - 2,
தக்காளி - 1,
மஞ்சள் தூள் - 1/4 தேக்கரண்டி,
கறிவேப்பிலை,
உப்பு தேவை,
எண்ணெய் - 2 தேக்கரண்டி,
கடுகு - 1 தேக்கரண்டி,
உளுத்தம் பருப்பு - 3/4 தேக்கரண்டி,
பெருங்காயம் - ஒரு சிட்டிகை,
தோசை செய்வதற்கு எண்ணெய்.</t>
  </si>
  <si>
    <t>Soak par boiled rice, raw rice, urad dal, fenugreek seeds, bengal gram, tur dal in enough water for 4-5 hours.
Wash and grind everything together to a smooth texture adding water, little at a time. I used the wet grinder for grinding. Add needed salt and leave it overnight to ferment. The fermenting time differs according to the climatic conditions.
Before making dosa, add a tsp of sugar, little water and mix well to get the dosa batter consistency. The batter is ready to make masala dosa. Now we will see how to make filling for masala dosa .
Wash and cut potatoes into half and pressure cook  for 3 whistles. After it cools, peel the skin and mash it well.( not to a fine paste) Keep it aside.
Cut onions lengthwise, finely chop green chillies and ginger.
Heat oil, add mustard seeds, when it splutters, add hing, urad dal and channa dal.
When dal turns golden brown, add thinly sliced onions, green chilli, ginger and curry leaves. Saute for a few minutes until onion turns pink. 
Add turmeric powder, chopped tomatoes and salt needed.
Add 1/2- 3/4 cup of hot water, when water starts boiling, add the mashed potatoes. Mix well and cook for few minutes (around 5-6 mins) until everything gets blended well. Do not add too much water, then the dosa will become soggy.
Switch off the flame. Our filling for the masala dosa is ready.
Now we will prepare the masala dosa. Heat a non stick or iron tawa, add a drop of oil and rub half an onion on it. Once the tawa is heated, bring the flame to medium and pour a ladle of batter in the center.
Using the back of the ladle, spread the batter in a circular motion as seen in the picture below. Drizzle a tsp of oil around the dosa and close it with a lid.
Once the edges starts browning and the dosa is cooked, reduce the heat, add 2-3 tbsp of potato masala, a little butter (optional ) and fold the dosa. Remove from tawa and serve hot.</t>
  </si>
  <si>
    <t>புழுங்கல் அரிசி, பச்சரிசி, உளுத்தம் பருப்பு, வெந்தயம், வங்காளப் பருப்பு, துவரம் பருப்பு ஆகியவற்றை போதுமான தண்ணீரில் 4-5 மணி நேரம் ஊற வைக்கவும்.
எல்லாவற்றையும் கழுவி, சிறிது சிறிதாக தண்ணீர் சேர்த்து மென்மையாக அரைக்கவும். நான் அரைக்க ஈரமான கிரைண்டரைப் பயன்படுத்தினேன். தேவையான உப்பு சேர்த்து இரவு முழுவதும் புளிக்க விடவும். புளிக்கவைக்கும் நேரம் தட்பவெப்ப நிலையைப் பொறுத்து மாறுபடும்.
தோசை செய்வதற்கு முன், ஒரு தேக்கரண்டி சர்க்கரை, சிறிது தண்ணீர் சேர்த்து, தோசை மாவு பதம் வரும் வரை நன்கு கலக்கவும். மாவு மசாலா தோசை செய்ய தயாராக உள்ளது. இப்போது மசாலா தோசைக்கு நிரப்புதல் செய்வது எப்படி என்று பார்ப்போம்.
உருளைக்கிழங்கைக் கழுவி பாதியாக வெட்டி 3 விசில் வரை வேக வைக்கவும். அது குளிர்ந்த பிறகு, தோலை உரித்து நன்றாக மசிக்கவும். (நன்றாக பேஸ்ட் ஆக அல்ல) அதை ஒதுக்கி வைக்கவும்.
வெங்காயத்தை நீளவாக்கில் நறுக்கி, பச்சை மிளகாய் மற்றும் இஞ்சியை நன்றாக நறுக்கவும்.
எண்ணெயை சூடாக்கி, கடுகு சேர்த்து, அது வதங்கியதும், கீரை, உளுத்தம்பருப்பு மற்றும் சன்னா பருப்பைச் சேர்க்கவும்.
பருப்பு பொன்னிறமாக மாறியதும், மெல்லியதாக நறுக்கிய வெங்காயம், பச்சை மிளகாய், இஞ்சி மற்றும் கறிவேப்பிலை சேர்க்கவும். வெங்காயம் இளஞ்சிவப்பு நிறமாக மாறும் வரை சில நிமிடங்கள் வதக்கவும்.
மஞ்சள் தூள், நறுக்கிய தக்காளி மற்றும் தேவையான அளவு உப்பு சேர்க்கவும்.
தண்ணீர் கொதிக்க ஆரம்பித்ததும் 1/2-3/4 கப் சூடான நீரைச் சேர்க்கவும், மசித்த உருளைக்கிழங்கைச் சேர்க்கவும். நன்றாகக் கலந்து, எல்லாம் நன்றாகக் கலக்கும் வரை சில நிமிடங்கள் (சுமார் 5-6 நிமிடங்கள்) சமைக்கவும். அதிகமாகத் தண்ணீர் சேர்க்க வேண்டாம், பின்னர் தோசை ஈரமாகிவிடும்.
சுழற்சியை அணைக்கவும். மசாலா தோசைக்கான எங்கள் நிரப்புதல் தயாராக உள்ளது.
இப்போது மசாலா தோசை தயார் செய்வோம். ஒரு குச்சி அல்லது இரும்பு தவாவை சூடாக்கி, ஒரு துளி எண்ணெய் சேர்த்து, அதன் மீது அரை வெங்காயத்தை தேய்க்கவும். தவா சூடாக்கியதும், சுடரை நடுத்தரத்திற்குக் கொண்டு வந்து, மையத்தில் ஒரு கரண்டி மாவை ஊற்றவும்.
கரண்டியின் பின்புறத்தைப் பயன்படுத்தி, கீழே உள்ள படத்தில் காட்டப்பட்டுள்ளபடி, மாவை வட்ட இயக்கத்தில் பரப்பவும். தோசையைச் சுற்றி ஒரு தேக்கரண்டி எண்ணெயைத் தூவி, ஒரு மூடியால் மூடவும்.
விளிம்புகள் பழுப்பு நிறமாகி, தோசை வெந்தவுடன், தீயைக் குறைத்து, 2-3 தேக்கரண்டி உருளைக்கிழங்கு மசாலா, சிறிது வெண்ணெய் (விரும்பினால்) சேர்த்து தோசையை மடித்து வைக்கவும். தவாவில் இருந்து எடுத்து சூடாகப் பரிமாறவும்.</t>
  </si>
  <si>
    <t>https://encrypted-tbn0.gstatic.com/images?q=tbn:ANd9GcTKGuH0Z2U9bDKyJKNFKEStBjMy2uI19Jhgfg&amp;s</t>
  </si>
  <si>
    <t>Kuzhi Paniyaram</t>
  </si>
  <si>
    <t>குழி பணியாரம்</t>
  </si>
  <si>
    <t xml:space="preserve">   Idli Batter – 2 cups,
   Oil - 3 tsp,
   Mustard seeds - 1 tsp,
   Bengal gram dal  – 1 tbsp,
   Urad dal - 2 tsp,
   Whole black pepper – 1 tsp,
   Onion – 1,
   Green chilli - 1,
   Ginger - 1 inch piece ,
   Curry leaves ,
   Salt to taste,
   Coriander leaves ,
   Grated carrot – 2.</t>
  </si>
  <si>
    <t>இட்லி மாவு - 2 கப்,
எண்ணெய் - 3 தேக்கரண்டி,
கடுகு - 1 தேக்கரண்டி,
கடலை பருப்பு - 1 தேக்கரண்டி,
உளுத்தம் பருப்பு - 2 தேக்கரண்டி,
முழு கருப்பு மிளகு - 1 தேக்கரண்டி,
வெங்காயம் - 1,
பச்சை மிளகாய் - 1,
இஞ்சி - 1 அங்குல துண்டு,
கறிவேப்பிலை ,
சுவைக்கு உப்பு,
கொத்தமல்லி இலை ,
துருவிய கேரட் - 2.</t>
  </si>
  <si>
    <t>Heat 2 tsp of oil in a pan, add mustard seeds, when it splutters, add bengal gram dal, urad dal and whole black peppercorns. When dal turns golden brown, add finely chopped onions, ginger, green chilli and curry leaves.
Saute until onions turn pink. Add needed salt. Let it cool a little.
Now mix the above with the idly batter. Add finely chopped coriander leaves and grated carrot (optional). Our paniyaram batter is ready now.
Heat a paniyaram pan, add 1/2 tsp of oil in each hole and pour a tbsp of batter in each hole.
Keep the heat on low heat and close the pan. Once the edges turn golden brown, flip over the paniyaram to the other side using a stainless steel rod or spoon.
Cook the other side also until golden brown. Remove from pan using a paniyaram stainless steel rod or spoon and serve hot with tomato chutney or kara chutney or sambar.</t>
  </si>
  <si>
    <t>ஒரு கடாயில் 2 தேக்கரண்டி எண்ணெயை சூடாக்கி, கடுகு சேர்த்து, அது வதங்கியதும், கடலை பருப்பு, உளுத்தம் பருப்பு மற்றும் முழு கருப்பு மிளகு சேர்க்கவும். பருப்பு பொன்னிறமாக மாறியதும், இறுதியாக நறுக்கிய வெங்காயம், இஞ்சி, பச்சை மிளகாய் மற்றும் கறிவேப்பிலை சேர்க்கவும்.
வெங்காயம் இளஞ்சிவப்பு நிறமாக மாறும் வரை வதக்கவும். தேவையான உப்பு சேர்க்கவும். சிறிது ஆற விடவும்.
இப்போது மேலே உள்ளவற்றை இட்லி மாவுடன் கலக்கவும். இறுதியாக நறுக்கிய கொத்தமல்லி இலைகள் மற்றும் துருவிய கேரட் (விரும்பினால்) சேர்க்கவும். எங்கள் பணியாரம் மாவு இப்போது தயாராக உள்ளது.
ஒரு பணியாரம் பாத்திரத்தை சூடாக்கி, ஒவ்வொரு துளையிலும் 1/2 தேக்கரண்டி எண்ணெய் ஊற்றி, ஒவ்வொரு துளையிலும் ஒரு தேக்கரண்டி மாவை ஊற்றவும்.
குறைந்த தீயில் வைத்து, வாணலியை மூடவும். விளிம்புகள் பொன்னிறமாக மாறியதும், பணியாரத்தை ஒரு ஸ்டெயின்லெஸ் ஸ்டீல் கம்பி அல்லது கரண்டியால் மறுபுறம் புரட்டவும்.
மறுபுறமும் பொன்னிறமாகும் வரை சமைக்கவும். பணியாரம் எஃகு கம்பி அல்லது கரண்டியால் பாத்திரத்திலிருந்து எடுத்து தக்காளி சட்னி அல்லது காரா சட்னி அல்லது சாம்பாருடன் சூடாகப் பரிமாறவும்.</t>
  </si>
  <si>
    <t>https://www.indianhealthyrecipes.com/wp-content/uploads/2016/04/paniyaram-recipe-1-500x500.jpg</t>
  </si>
  <si>
    <t>வெள்ளை சாஸில் பாஸ்தா</t>
  </si>
  <si>
    <t>Penne Pasta – 125 grams,
Oil – 1/2 tsp + 1/2 tsp,
Salt – 1 tsp,
Olive oil – 1 tbsp,
Garlic finely chopped – 1 tbsp,
Red and yellow capsicum,
Cauliflower or broccoli florets - 1 cup,
Pepper powder to taste,
Salt as required,
Oregano - 3/4 tsp,
Butter – 1 1/2 tbsp,
Cornflour – 2 tbsp,
Milk – 1 1/2 cup,
Cheese – 3-4 tbsp,
Salt and pepper powder to taste,
Mixed Italian herbs.</t>
  </si>
  <si>
    <t>பென்னே பாஸ்தா – 125 கிராம்,
எண்ணெய் – 1/2 தேக்கரண்டி + 1/2 தேக்கரண்டி,
உப்பு – 1 தேக்கரண்டி,
ஆலிவ் எண்ணெய் – 1 தேக்கரண்டி,
பூண்டு நன்றாக நறுக்கியது – 1 தேக்கரண்டி,
சிவப்பு மற்றும் மஞ்சள் கேப்சிகம்,
காலிஃபிளவர் அல்லது ப்ரோக்கோலி பூக்கள் - 1 கப்,
சுவைக்கு மிளகு தூள்,
தேவைக்கேற்ப உப்பு,
ஓரிகானோ - 3/4 தேக்கரண்டி,
வெண்ணெய் – 1 1/2 தேக்கரண்டி,
சோள மாவு – 2 தேக்கரண்டி,
பால் – 1 1/2 கப்,
சீஸ் – 3-4 தேக்கரண்டி,
சுவைக்கு உப்பு மற்றும் மிளகு தூள்,
இத்தாலிய மூலிகைகள் கலக்கவும்.</t>
  </si>
  <si>
    <t>In a wide pan, bring plenty of water to boil, add salt and oil. Then slowly add the pasta and cook till the pasta is al dente.( it should be soft but firm) Stir in between to prevent the pasta from sticking together. After it is cooked, drain it in a colander and pour cold water on it. This is done to prevent it from getting cooked further. Mix another 1/2 tsp oil to it and keep it aside. 
Heat oil in a pan, saute garlic for a few seconds, then add capsicum, corn and cauliflower.Cook uncovered till done. Do not overcook the vegetables. The vegetables should retain its crunchiness.
Add oregano, salt and pepper powder to taste. Keep it aside.
In a pan/ kadai, melt butter, simmer and add cornflour stirring continuously. Saute till it changes color slightly.
At this stage, add 1/2 cup of cold milk and stir continuously with a whisk to prevent formation of lumps.
When it starts thickening, add the remaining milk gradually stirring continuously with the whisk.
Bring it to boil, reduce the flame, add cheese, salt, pepper powder and herbs to taste.
Cook for another few minutes, till it thickens slightly and remove from flame. (If it is too thick, you can add the water reserved while cooking pasta and heat again).This sauce will thicken as it cools, so mix it in between or a layer will form on the top.
Grated cheese for garnishing.
Mix all the three together. Transfer to a baking pan, top it with grated cheese and bake in a preheated (180 degree C) for 10-15 minutes or until the cheese has slightly browned. If you do not have an oven, mix all the three in a pan, heat it, top it with grated cheese and serve hot.</t>
  </si>
  <si>
    <t>ஒரு அகலமான பாத்திரத்தில், நிறைய தண்ணீர் கொதிக்க வைத்து, உப்பு மற்றும் எண்ணெய் சேர்க்கவும். பின்னர் மெதுவாக பாஸ்தாவைச் சேர்த்து பாஸ்தா அல் டென்ட் ஆகும் வரை சமைக்கவும். (அது மென்மையாக ஆனால் உறுதியாக இருக்க வேண்டும்) பாஸ்தா ஒன்றாக ஒட்டாமல் இருக்க இடையில் கிளறவும். வெந்த பிறகு, அதை ஒரு வடிகட்டியில் வடிகட்டி, அதன் மீது குளிர்ந்த நீரை ஊற்றவும். இது மேலும் வேகாமல் இருக்க செய்யப்படுகிறது. அதில் மேலும் 1/2 தேக்கரண்டி எண்ணெயைக் கலந்து தனியாக வைக்கவும்.
ஒரு கடாயில் எண்ணெயை சூடாக்கி, பூண்டை சில நொடிகள் வதக்கி, பின்னர் கேப்சிகம், சோளம் மற்றும் காலிஃபிளவர் சேர்க்கவும். சமைக்கும் வரை மூடி இல்லாமல் சமைக்கவும். காய்கறிகளை அதிகமாக வேகவிடாதீர்கள். காய்கறிகள் அவற்றின் மொறுமொறுப்பைத் தக்க வைத்துக் கொள்ள வேண்டும்.
சுவைக்கேற்ப ஆர்கனோ, உப்பு மற்றும் மிளகுத் தூள் சேர்க்கவும். அதை தனியாக வைக்கவும்.
ஒரு கடாயில் / கடாயில், வெண்ணெய் உருக்கி, கொதிக்க வைத்து, தொடர்ந்து கிளறி, சோள மாவைச் சேர்க்கவும். நிறம் மாறும் வரை சிறிது வதக்கவும்.
இந்த கட்டத்தில், 1/2 கப் குளிர்ந்த பாலைச் சேர்த்து, கட்டிகள் உருவாகாமல் தடுக்க ஒரு துடைப்பத்தால் தொடர்ந்து கிளறவும்.
அது கெட்டியாகத் தொடங்கியதும், மீதமுள்ள பாலை படிப்படியாக துடைப்பத்தால் தொடர்ந்து கிளறவும்.
அதை கொதிக்க வைத்து, தீயைக் குறைத்து, சீஸ், உப்பு, மிளகுத் தூள் மற்றும் சுவைக்கேற்ப மூலிகைகள் சேர்க்கவும்.
சிறிது கெட்டியாகும் வரை இன்னும் சில நிமிடங்கள் சமைக்கவும், பின்னர் சுடரிலிருந்து அகற்றவும். (இது மிகவும் கெட்டியாக இருந்தால், பாஸ்தா சமைக்கும் போது ஒதுக்கப்பட்ட தண்ணீரைச் சேர்த்து மீண்டும் சூடாக்கலாம்). இந்த சாஸ் ஆறியதும் கெட்டியாகிவிடும், எனவே இடையில் கலக்கவும் அல்லது மேலே ஒரு அடுக்கு உருவாகும்.
அலங்கரிக்க துருவிய சீஸ்.
மூன்றையும் ஒன்றாக கலக்கவும். ஒரு பேக்கிங் பாத்திரத்திற்கு மாற்றி, அதன் மேல் துருவிய சீஸ் சேர்த்து, முன்கூட்டியே சூடாக்கப்பட்ட (180 டிகிரி செல்சியஸ்) இடத்தில் 10-15 நிமிடங்கள் அல்லது சீஸ் சிறிது பழுப்பு நிறமாகும் வரை சுடவும். உங்களிடம் அடுப்பு இல்லையென்றால், மூன்றையும் ஒரு பாத்திரத்தில் கலந்து, சூடாக்கி, துருவிய சீஸ் சேர்த்து சூடாகப் பரிமாறவும்.</t>
  </si>
  <si>
    <t>Poori</t>
  </si>
  <si>
    <t>Whole wheat flour – 1 cup,
Salt – 1/2 tsp flat,
Ghee – 1 tsp ,
Oil for deep frying pooris.</t>
  </si>
  <si>
    <t>முழு கோதுமை மாவு - 1 கப்,
உப்பு - 1/2 தேக்கரண்டி தட்டையானது,
நெய் - 1 தேக்கரண்டி,
பூரிகளை ஆழமாக வறுக்க எண்ணெய்.</t>
  </si>
  <si>
    <t>Mix flour, salt and ghee in a bowl.Then add water little at a time and make a slightly stiff and smooth dough. Dough should not be too stiff nor too soft.(a little stiffer than chapati dough). Do not allow the dough to sit as it will soak up lot of oil. So start making pooris as soon as the dough is ready.
Make equal sized smooth balls from the dough. Flatten it slightly.
Roll it out into circles with a help of a rolling pin dusting a little flour.The rolled out puris should not be too thin nor too thick. It should be of medium thickness and smaller in size (diameter) than chapati. Another point to note is that as far as possible avoid dusting too much flour as the excess flour will leave a burnt residue in the oil. Alternatively you can apply a little oil on the rolling surface and then roll out pooris, so that the dough does not stick to the board.
Spread all the rolled out puris in a plate and start heating the oil in a kadai.
To check if the oil is hot for frying the pooris, drop a small piece of dough into the hot oil, if it sizzles and comes up to the surface immediately, then it is the right temperature for frying pooris. If the dough becomes dark brown, then the oil is too hot, so you should reduce the heat a little.The point to be noted is that-the oil should be hot but not too hot till smoking point.
Now we will start frying the puris one at a time. 
When the oil is hot enough, take one rolled out dough and gently slide it from the side of the pan into the hot oil. After a few seconds, slightly press the poori with the slotted ladle and flicker hot oil on top of it.This will help the puri to puff up nicely. Flip to the other side and fry till golden brown. Remove with a slotted ladle and place it in a colander to drain excess oil.
Repeat the process for the rest of the dough.
Serve hot with pototo masala or any side dish of your choice.</t>
  </si>
  <si>
    <t>ஒரு பாத்திரத்தில் மாவு, உப்பு மற்றும் நெய் ஆகியவற்றைக் கலக்கவும். பின்னர் சிறிது சிறிதாக தண்ணீர் சேர்த்து சற்று கெட்டியான மற்றும் மென்மையான மாவை உருவாக்கவும். மாவு மிகவும் கெட்டியாகவோ அல்லது மென்மையாகவோ இருக்கக்கூடாது. (சப்பாத்தி மாவை விட சற்று கெட்டியாக இருக்கும்). மாவு நிறைய எண்ணெயை உறிஞ்சிவிடும் என்பதால் அதை உட்கார விடாதீர்கள். எனவே மாவு தயாரானவுடன் பூரிகளை தயாரிக்கத் தொடங்குங்கள்.
மாவிலிருந்து சம அளவிலான மென்மையான உருண்டைகளை உருவாக்கவும். சிறிது தட்டையாக்கவும்.
ஒரு உருளை முள் உதவியுடன் சிறிது மாவைத் தூவி வட்டங்களாக உருட்டவும். உருட்டப்பட்ட பூரிகள் மிகவும் மெல்லியதாகவோ அல்லது அடர்த்தியாகவோ இருக்கக்கூடாது. இது சப்பாத்தியை விட நடுத்தர தடிமனாகவும் அளவு (விட்டம்) சிறியதாகவும் இருக்க வேண்டும். கவனிக்க வேண்டிய மற்றொரு விஷயம் என்னவென்றால், முடிந்தவரை அதிக மாவைத் தூவுவதைத் தவிர்க்கவும், ஏனெனில் அதிகப்படியான மாவு எண்ணெயில் எரிந்த எச்சத்தை விட்டுவிடும். மாற்றாக, உருட்டும் மேற்பரப்பில் சிறிது எண்ணெயைத் தடவி, பின்னர் பூரிகளை உருட்டலாம், இதனால் மாவு பலகையில் ஒட்டாது.
உருட்டப்பட்ட பூரிகள் அனைத்தையும் ஒரு தட்டில் பரப்பி, ஒரு கடாயில் எண்ணெயை சூடாக்கவும்.
பூரிகளை வறுக்க எண்ணெய் சூடாக இருக்கிறதா என்று சோதிக்க, ஒரு சிறிய துண்டு மாவை சூடான எண்ணெயில் போடவும், அது கொதித்து உடனடியாக மேற்பரப்புக்கு வந்தால், அது பூரிகளை வறுக்க சரியான வெப்பநிலையாகும். மாவு அடர் பழுப்பு நிறமாக மாறினால், எண்ணெய் மிகவும் சூடாக இருக்கும், எனவே நீங்கள் தீயை சிறிது குறைக்க வேண்டும். கவனிக்க வேண்டிய விஷயம் என்னவென்றால் - எண்ணெய் சூடாக இருக்க வேண்டும், ஆனால் புகைபிடிக்கும் வரை மிகவும் சூடாக இருக்கக்கூடாது.
இப்போது பூரிகளை ஒவ்வொன்றாக வறுக்கத் தொடங்குவோம்.
எண்ணெய் போதுமான அளவு சூடாகும்போது, ​​உருட்டப்பட்ட ஒரு மாவை எடுத்து, அதை வாணலியின் பக்கவாட்டில் இருந்து மெதுவாக சூடான எண்ணெயில் சறுக்குங்கள். சில வினாடிகளுக்குப் பிறகு, துளையிடப்பட்ட கரண்டியால் பூரியை லேசாக அழுத்தி, அதன் மேல் சூடான எண்ணெயை மினுமினுக்கவும். இது பூரி நன்றாக வீங்க உதவும். மறுபுறம் திருப்பி பொன்னிறமாகும் வரை வறுக்கவும். துளையிட்ட கரண்டியால் அதை எடுத்து, அதிகப்படியான எண்ணெயை வடிகட்ட ஒரு வடிகட்டியில் வைக்கவும்.
மீதமுள்ள மாவிற்கும் இந்த செயல்முறையை மீண்டும் செய்யவும்.
போடோட்டோ மசாலா அல்லது உங்களுக்கு விருப்பமான எந்த சைட் டிஷுடனும் சூடாக பரிமாறவும்.</t>
  </si>
  <si>
    <t>https://www.vegrecipesofindia.com/wp-content/uploads/2020/11/puri-2.jpg</t>
  </si>
  <si>
    <t>Sponge Dosa</t>
  </si>
  <si>
    <t>கடற்பாசி தோசை</t>
  </si>
  <si>
    <t>Par boiled rice – 1 1/2 cup,
pachaarisi - 1/4 cup,
Whole urad dal -  1/4 cup + 1 1/2 tbsp,
Fenugreek seeds – 1 tsp,
Salt needed,
Oil for making dosa.</t>
  </si>
  <si>
    <t>வேகவைத்த அரிசி - 1 1/2 கப்,
பச்சரிசி - 1/4 கப்,
முழு உளுத்தம் பருப்பு - 1/4 கப் + 1 1/2 டீஸ்பூன்,
வெந்தயம் - 1 டீஸ்பூன்,
உப்பு தேவை,
தோசை செய்ய எண்ணெய்.</t>
  </si>
  <si>
    <t>Add needed water to the dosa batter as the consistency of the batter should be thinner than the regular dosa batter. Mix well. 
Heat a tawa or dosai kal on high flame, once it is heated, pour a ladle of batter. Do not spread much as the batter will spread itself.
When you find holes appearing on the surface  reduce the flame to low and cover it with a lid.
Once the top gets cooked, remove from flame. You do not have to flip over the dosa. Repeat the process for the rest of the batter.
Serve it with coconut chutney and arachu vitta sambar or any chutney of your choice.</t>
  </si>
  <si>
    <t>தோசை மாவின் நிலைத்தன்மை வழக்கமான தோசை மாவை விட மெல்லியதாக இருக்க வேண்டும் என்பதால், தேவையான அளவு தண்ணீரைச் சேர்க்கவும். நன்றாக கலக்கவும்.
ஒரு தவா அல்லது தோசைக்கல்லை அதிக தீயில் சூடாக்கி, அது சூடாக்கப்பட்டவுடன், ஒரு கரண்டி மாவை ஊற்றவும். மாவு தானே பரவும் என்பதால் அதிகமாக பரப்ப வேண்டாம்.
மேற்பரப்பில் துளைகள் தோன்றுவதைக் கண்டதும், தீயை குறைத்து மூடியால் மூடவும்.
மேற்பரப்பு வெந்தவுடன், சுடரிலிருந்து எடுக்கவும். தோசையை புரட்ட வேண்டியதில்லை. மீதமுள்ள மாவுக்கு இந்த செயல்முறையை மீண்டும் செய்யவும்.
தேங்காய் சட்னி மற்றும் அரச்சு விட்டா சாம்பார் அல்லது உங்களுக்கு விருப்பமான எந்த சட்னியுடன் பரிமாறவும்.</t>
  </si>
  <si>
    <t>https://i.ytimg.com/vi/sHN-lKeJfzg/sddefault.jpg</t>
  </si>
  <si>
    <t>மாதுளை சாறு, சமைத்த ஓட்ஸ், தேன், பேரிச்சை, 1/4 கப் பால் சேர்த்து மென்மையான வரை கலக்கவும். பின்னர் மீதமுள்ள பாலை சேர்த்து இன்னும் சில வினாடிகள் கலக்கவும்.
அதை உயரமான கிளாஸில் ஊற்றி குளிர்ச்சியாக பரிமாறவும். விரும்பினால், மில்க் ஷேக்கில் சில மாதுளை முத்துக்களைச் சேர்க்கலாம்.</t>
  </si>
  <si>
    <t xml:space="preserve">   Oats – 2 1/2 tbsp,
   Mixed vegetables – 1/2 cup (carrot, beans, cabbage),
   Salt to taste,
   Pepper Powder to taste.</t>
  </si>
  <si>
    <t>Take a cup of water in a pan, add oats to it and bring it to boil.
Once it starts boiling, simmer and cook stirring from time to time so that it does not stick to the bottom of the pan. Cook on low flame until it thickens and the oats becomes soft.
In a another pan, cook the vegetables with less water adding needed salt. Once the vegetables are half cooked, add it to the cooked oats mixture. Do not over cook the vegetables.The vegetables should retain their crunchiness.
Cook both together for 2 minutes, add salt and pepper to taste and switch off the flame.(since we have added salt to the vegetables, add less salt)
Easy, simple, healthy and filling breakfast is ready in a few minutes time.</t>
  </si>
  <si>
    <t>ஒரு கப் பாத்திரத்தில் தண்ணீர் எடுத்து, அதில் ஓட்ஸ் சேர்த்து கொதிக்க விடவும்.
கொதிக்க ஆரம்பித்ததும், கொதிக்க வைத்து, அவ்வப்போது கிளறி, பாத்திரத்தின் அடிப்பகுதியில் ஒட்டாமல் இருக்க சமைக்கவும். அது கெட்டியாகும் வரை மற்றும் ஓட்ஸ் மென்மையாகும் வரை குறைந்த தீயில் சமைக்கவும்.
மற்றொரு பாத்திரத்தில், காய்கறிகளை குறைந்த தண்ணீரில் தேவையான உப்பு சேர்த்து சமைக்கவும். காய்கறிகள் பாதி வெந்தவுடன், சமைத்த ஓட்ஸ் கலவையில் சேர்க்கவும். காய்கறிகளை அதிகமாக சமைக்க வேண்டாம். காய்கறிகள் அவற்றின் மொறுமொறுப்பைத் தக்க வைத்துக் கொள்ள வேண்டும்.
இரண்டையும் ஒன்றாக 2 நிமிடங்கள் சமைக்கவும், சுவைக்க உப்பு மற்றும் மிளகு சேர்த்து, தீயை அணைக்கவும். (காய்கறிகளில் உப்பு சேர்த்திருப்பதால், குறைந்த உப்பு சேர்க்கவும்)
எளிதான, எளிமையான, ஆரோக்கியமான மற்றும் திருப்திகரமான காலை உணவு சில நிமிடங்களில் தயாராகிவிடும்.</t>
  </si>
  <si>
    <t>Tomato Chutney Cheese Sandwich</t>
  </si>
  <si>
    <t>தக்காளி சட்னி சீஸ் சாண்ட்விச்</t>
  </si>
  <si>
    <t xml:space="preserve">   Instant tomato chutney – 1 tsp,
   Cheese slice - 1,
   Brown bread - 2,
   Butter as required.</t>
  </si>
  <si>
    <t>உடனடி தக்காளி சட்னி - 1 தேக்கரண்டி,
சீஸ் துண்டு - 1,
பழுப்பு ரொட்டி - 2,
தேவைக்கேற்ப வெண்ணெய்.</t>
  </si>
  <si>
    <t>Take 2 bread slices, spread chutney on one side of both the bread slices. Check the recipe for instant tomato chutney.
Place a cheese slice on top of 1 bread and close it with another bread with the chutney side facing down.
Place the sandwich in the toaster and toast it on low flame until golden brown.
Repeat the same process for the rest of the bread.</t>
  </si>
  <si>
    <t>2 ரொட்டி துண்டுகளை எடுத்து, இரண்டு ரொட்டி துண்டுகளின் ஒரு பக்கத்திலும் சட்னியைத் தடவவும். உடனடி தக்காளி சட்னிக்கான செய்முறையைச் சரிபார்க்கவும்.
1 ரொட்டியின் மேல் ஒரு சீஸ் துண்டை வைத்து, சட்னி பக்கம் கீழே இருக்கும்படி மற்றொரு ரொட்டியுடன் மூடவும்.
சாண்ட்விச்சை டோஸ்டரில் வைத்து, குறைந்த தீயில் பொன்னிறமாகும் வரை வறுக்கவும்.
மீதமுள்ள ரொட்டிக்கும் இதே செயல்முறையை மீண்டும் செய்யவும்.</t>
  </si>
  <si>
    <t>https://encrypted-tbn0.gstatic.com/images?q=tbn:ANd9GcSTZiyk_6P2SFvuRYjgUKghKFawzLvr3UCWiQ&amp;s</t>
  </si>
  <si>
    <t>Thick spongy dosas - 3,
Onion - 2,
Tomato - 2,
Green chilli – 1 ,
Ginger – a small bit,
Capsicum – 1 ,
Red chilli powder – 3/4 -1 tsp,
Turmeric powder - 1/4 tsp,
 garam masala powder – 1/4 tsp,
Salt as required,
Oil – 1 1/2 tbsp.</t>
  </si>
  <si>
    <t>அடர்த்தியான பஞ்சுபோன்ற தோசைகள் - 3,
வெங்காயம் - 2,
தக்காளி - 2,
பச்சை மிளகாய் - 1,
இஞ்சி - சிறிதளவு,
கேப்சிகம் - 1,
சிவப்பு மிளகாய் தூள் - 3/4 -1 தேக்கரண்டி,
மஞ்சள் தூள் - 1/4 தேக்கரண்டி,
கரம் மசாலா தூள் - 1/4 தேக்கரண்டி,
தேவைக்கேற்ப உப்பு,
எண்ணெய் - 1 1/2 தேக்கரண்டி.</t>
  </si>
  <si>
    <t>https://encrypted-tbn0.gstatic.com/images?q=tbn:ANd9GcQ6ynmZQqQaT5K4HkytgujCJfB0jrnvW5e7HA&amp;s</t>
  </si>
  <si>
    <t>Arisi Upma</t>
  </si>
  <si>
    <t>அரிசி உப்புமா</t>
  </si>
  <si>
    <t>Rice rava – 1 cup,
Water – 2 1/2 cups,
Salt as required,
Ghee – 1 tsp,
Tur dal – 1/4 cup,
Coconut (grated) – 1/3 cup,
Oil - 3 tbsp,
Mustard – 1 tsp,
Urad dal (split) – 1 tsp,
Hing – a generous pinch,
Red chillies – 2,
Ginger – 1/2 inch piece,
Curry leaves – few.</t>
  </si>
  <si>
    <t>அரிசி ரவை - 1 கப்,
தண்ணீர் - 2 1/2 கப்,
தேவைக்கேற்ப உப்பு,
நெய் - 1 டீஸ்பூன்,
துர் பருப்பு - 1/4 கப்,
தேங்காய் (துருவியது) - 1/3 கப்,
எண்ணெய் - 3 டீஸ்பூன்,
கடுகு - 1 டீஸ்பூன்,
உருண்டை பருப்பு (பிரித்து) - 1 டீஸ்பூன்,
ஹிங் - ஒரு சிட்டிகை,
சிவப்பு மிளகாய் - 2,
இஞ்சி - 1/2 அங்குல துண்டு,
கறிவேப்பிலை - சிறிதளவு.</t>
  </si>
  <si>
    <t>Heat oil in a pan, add mustard seeds, when it splutters, add urad dal, hing, red chillies, ginger and curry leaves. Fry till dal turns golden brown.
Then add the ground tur dal and fry nicely for a few minutes in low flame.
Add grated coconut and saute for a few more minutes.
Now add 2 1/2 cups of water, salt required and a tsp of ghee. When water starts boiling, keep the flame low and add rice rava stirring continuously.
Transfer the contents to another vessel and pressure cook for 3 whistles.(experienced persons can prepare it in pressure pan directly)
Once the pressure subsides, open it and mix it well. Serve hot steaming arisi upma with brinjal gothsu or sambar or chutney.</t>
  </si>
  <si>
    <t>ஒரு கடாயில் எண்ணெயை சூடாக்கி, கடுகு சேர்த்து, அது வதங்கியதும், உளுந்து பருப்பு, ஹிங், சிவப்பு மிளகாய், இஞ்சி மற்றும் கறிவேப்பிலை சேர்க்கவும். பருப்பை பொன்னிறமாகும் வரை வதக்கவும்.
பின்னர் அரைத்த துவரம்பருப்பை சேர்த்து குறைந்த தீயில் சில நிமிடங்கள் நன்றாக வதக்கவும்.
தேங்காய் துருவலை சேர்த்து மேலும் சில நிமிடங்கள் வதக்கவும்.
இப்போது 2 1/2 கப் தண்ணீர், தேவையான அளவு உப்பு மற்றும் ஒரு தேக்கரண்டி நெய் சேர்க்கவும். தண்ணீர் கொதிக்க ஆரம்பித்ததும், தீயை குறைவாக வைத்து, அரிசி ரவையைச் சேர்த்து தொடர்ந்து கிளறவும்.
வேறொரு பாத்திரத்தில் போட்டு 3 விசில் வரும் வரை பிரஷர் சமைக்கவும். (அனுபவம் உள்ளவர்கள் நேரடியாக பிரஷர் பேனில் சமைக்கலாம்)
அழுத்தம் குறைந்தவுடன், அதைத் திறந்து நன்கு கலக்கவும். சூடான வேகவைக்கும் அரிசி உப்மாவை கத்திரிக்காய் கோத்சு அல்லது சாம்பார் அல்லது சட்னியுடன் பரிமாறவும்.</t>
  </si>
  <si>
    <t>https://encrypted-tbn0.gstatic.com/images?q=tbn:ANd9GcQZNvQgLH0B6EADqL8dkgplEJioBl5Y7Ayttw&amp;s</t>
  </si>
  <si>
    <t>Spaghetti - 200 gms,
Tomato – 4,
Onion – 1,
Garlic – 1 1/2 tbsp,
Olive Oil – 1 tbsp,
Salt and pepper powder  as required,
Oregano as needed,
Cheese - 15 grams.</t>
  </si>
  <si>
    <t>ஸ்பாகெட்டி - 200 கிராம்,
தக்காளி - 4,
வெங்காயம் - 1,
பூண்டு - 1 1/2 டீஸ்பூன்,
ஆலிவ் எண்ணெய் - 1 டீஸ்பூன்,
தேவைக்கேற்ப உப்பு மற்றும் மிளகு தூள்,
தேவைக்கேற்ப ஆர்கனோ,
சீஸ் - 15 கிராம்.</t>
  </si>
  <si>
    <t>Boil plenty of water in a pan. Then add the spaghetti with a tsp of salt.
Cook stirring inbetween to prevent the spaghetti from sticking to each other. Cook till tender (It should be firm but tender, so do not overcook.) Check it by tasting it.
Now drain the spaghetti  into a colander and pass cold water through it. Keep it aside.
In a pan, heat a tbsp of oil, add garlic, onion and saute till onions become translucent.
Then add tomato puree and salt needed.
Once it starts boiling, lower the heat and let it cook until the sauce thickens. Add the spaghetti to it and toss it well, so that the sauce gets coated evenly with the spaghetti. Add pepper powder to taste.
Sprinkle oregano and grated parmesan cheese and serve hot.</t>
  </si>
  <si>
    <t xml:space="preserve">   Chinese noodles – 1 packet,
   Finely chopped garlic - 1 1/2 – 2 tbsp,
   Onion - 1,
   Cabbage – 1/2 cup thinly sliced,
   Carrot – 1 ,
   Capsicum – 1,
   Oil - 2 1/2 tbsp,
   Soya sauce – 2 tsp,
   Chilli sauce – 1/2 tsp,
   Pepper powder to taste,
   Salt to taste,
   Spring onion greens - 1/4 cup.</t>
  </si>
  <si>
    <t>சைனீஸ் நூடுல்ஸ் - 1 பாக்கெட்,
நன்றாக நறுக்கிய பூண்டு - 1 1/2 – 2 டேபிள்ஸ்பூன்,
வெங்காயம் - 1,
முட்டைக்கோஸ் - 1/2 கப் மெல்லியதாக நறுக்கியது,
கேரட் - 1 ,
கேப்சிகம் - 1,
எண்ணெய் - 2 1/2 டேபிள்ஸ்பூன்,
சோயா சாஸ் - 2 டேபிள்ஸ்பூன்,
மிளகாய் சாஸ் - 1/2 டேபிள்ஸ்பூன்,
மிளகு தூள் - ருசிக்க,
உப்பு - ருசிக்க,
வெங்காய கீரைகள் - 1/4 கப்.</t>
  </si>
  <si>
    <t xml:space="preserve">   Crumbled idli – 3 cups,
   Onion – 1 cup finely chopped,
   Green chilli – 1,
   Ginger – 1 inch piece,
   Turmeric powder – a pinch,
   Idli Podi – 1 1/2 tsp,
   Salt as required,
   Oil – 1 1/2 tbsp,
   Mustard seeds – 1 tsp,
   Urad dal – 3/4 tsp,
   Red chillies - 2,
   Hing – generous pinch,
   Curry leaves – a sprig,
   Coriander leaves,
   Fresh lemon juice -1-2 tbsp.</t>
  </si>
  <si>
    <t>ஒரு கடாயில் எண்ணெயை சூடாக்கி, கடுகு, அது வதங்கியதும், உளுத்தம் பருப்பு, சிவப்பு மிளகாய், கீல் மற்றும் கறிவேப்பிலை சேர்க்கவும்.
பருப்பு பொன்னிறமாக மாறியதும், இறுதியாக நறுக்கிய வெங்காயம், பச்சை மிளகாய், இஞ்சி, மஞ்சள் தூள், தேவையான அளவு உப்பு சேர்த்து வெங்காயம் தெளிவாகும் வரை வதக்கவும். பின்னர் நொறுக்கப்பட்ட இட்லி, இட்லி பொடி சேர்த்து நன்கு கலக்கவும். உப்பு இருக்கிறதா என்று சரிபார்க்கவும்.
கொத்தமல்லி இலைகளால் அலங்கரித்து, புதிய எலுமிச்சை சாறு பிழிந்து நன்கு கலக்கவும். சூடான சாம்பார் அல்லது சட்னியுடன் பரிமாறவும். எந்த பக்க உணவும் இல்லாமல் சாப்பிடுவதால் இது நன்றாக இருக்கும்.</t>
  </si>
  <si>
    <t>https://www.indianhealthyrecipes.com/wp-content/uploads/2021/05/idli-upma-recipe.jpg</t>
  </si>
  <si>
    <t>https://youtu.be/-lx9alMgjUI</t>
  </si>
  <si>
    <t xml:space="preserve">   Aval - 1 cup,
   Onion – 1,
   Green chilli - 1 ,
   Ginger – 1/2 tsp finely chopped,
   Turmeric powder – a pinch,
   Roasted peanuts – 2 tbsp,
   Lemon juice – 1/2 tsp,
   Oil - 1 tbsp,
   Mustard seeds – 1 tsp,
   Cumin seeds – 3/4 tsp,
   Hing – pinch,
   Red chilli - 1,
   Curry leaves – a sprig,
   Grated coconut – 1 tbsp,
   Finely chopped coriander leaves.</t>
  </si>
  <si>
    <t>அவல் - 1 கப்,
வெங்காயம் - 1,
பச்சை மிளகாய் - 1 ,
இஞ்சி - 1/2 தேக்கரண்டி பொடியாக நறுக்கியது,
மஞ்சள் தூள் - ஒரு சிட்டிகை,
வறுத்த வேர்க்கடலை - 2 தேக்கரண்டி,
எலுமிச்சை சாறு - 1/2 தேக்கரண்டி,
எண்ணெய் - 1 தேக்கரண்டி,
கடுகு - 1 தேக்கரண்டி,
சீரகம் - 3/4 தேக்கரண்டி,
கீல் - சிட்டிகை,
சிவப்பு மிளகாய் - 1,
கறிவேப்பிலை - ஒரு தளிர்,
தேங்காய் துருவல் - 1 தேக்கரண்டி,
பொடியாக நறுக்கிய கொத்தமல்லி இலைகள்.</t>
  </si>
  <si>
    <t>ஒரு தேக்கரண்டி எண்ணெயை சூடாக்கி, கடுகு சேர்த்து, அது வதங்கியதும், சீரகம், கீல், சிவப்பு மிளகாய் மற்றும் கறிவேப்பிலை சேர்க்கவும்.
பின்னர் பொடியாக நறுக்கிய வெங்காயம், இஞ்சி, பச்சை மிளகாய், மஞ்சள் தூள் மற்றும் உப்பு சேர்க்கவும். (இப்போது அவலுக்கு தேவையான உப்பு சேர்க்கலாம்)
வெங்காயம் இளஞ்சிவப்பு நிறமாக மாறும் வரை வதக்கவும்.
பின்னர் போஹா/அவல், வறுத்த வேர்க்கடலை சேர்த்து நன்கு கலக்கவும். 2-3 வினாடிகள் வதக்கி, தீயிலிருந்து இறக்கவும்.
சில துளிகள் எலுமிச்சை சாற்றை பிழிந்து நன்கு கலக்கவும்.
கொத்தமல்லி இலைகள் மற்றும் துருவிய தேங்காய் சேர்த்து அலங்கரிக்கவும்.</t>
  </si>
  <si>
    <t>https://www.vegrecipesofindia.com/wp-content/uploads/2015/05/poha-upma-recipe-11-500x500.jpg</t>
  </si>
  <si>
    <t>ஓட்ஸ் சுவையூட்டும் கஞ்சி</t>
  </si>
  <si>
    <t xml:space="preserve">   Oats - 1/4 cup,
   Water - 1 cup,
   Thick Buttermilk – 1 cup,
   Salt as required,
   Oil – 1 tsp,
   Mustard seeds – ½ tsp,
   Jeera/Cumin seeds – ½ tsp,
   Green chilli – 1 ,
   Ginger – 1 inch piece,
   Tender curry leaves .</t>
  </si>
  <si>
    <t>ஓட்ஸ் - 1/4 கப்,
தண்ணீர் - 1 கப்,
கெட்டியான மோர் - 1 கப்,
தேவைக்கேற்ப உப்பு,
எண்ணெய் - 1 தேக்கரண்டி,
கடுகு - ½ தேக்கரண்டி,
சீரகம்/சீரகம் - ½ தேக்கரண்டி,
பச்சை மிளகாய் - 1 ,
இஞ்சி - 1 அங்குல துண்டு,
இளஞ்சூடான கறிவேப்பிலை.</t>
  </si>
  <si>
    <t>Add oats, water and salt in a saucepan.
Simmer and cook until thick stirring continuously.
Allow it to cool down completely. Add thick buttermilk and mix well.
Heat a tsp of oil, add mustard seeds, when it splutters, add jeera seeds, crushed ginger, green chillies and curry leaves. Add this seasoning to the prepared oats, mix well and enjoy.</t>
  </si>
  <si>
    <t>ஒரு பாத்திரத்தில் ஓட்ஸ், தண்ணீர் மற்றும் உப்பு சேர்க்கவும்.
தொடர்ந்து கிளறி கெட்டியாகும் வரை வேக வைக்கவும்.
முழுமையாக ஆற விடவும். கெட்டியான மோர் சேர்த்து நன்கு கலக்கவும்.
ஒரு தேக்கரண்டி எண்ணெயை சூடாக்கி, கடுகு சேர்த்து, அது வதங்கியதும், சீரகம், நொறுக்கப்பட்ட இஞ்சி, பச்சை மிளகாய் மற்றும் கறிவேப்பிலை சேர்க்கவும். தயாரிக்கப்பட்ட ஓட்ஸில் இந்த தாளிப்பைச் சேர்த்து, நன்கு கலந்து மசிக்கவும்.</t>
  </si>
  <si>
    <t>https://encrypted-tbn0.gstatic.com/images?q=tbn:ANd9GcQshW4VJ2lhU0hZJXNo26yL4RMnKhEfhZqk2g&amp;s</t>
  </si>
  <si>
    <t>Pasta in Tomato Sauce</t>
  </si>
  <si>
    <t>தக்காளி சாஸில் பாஸ்தா</t>
  </si>
  <si>
    <t>Ripe tomatoes – 4-5,
Onion – 1,
Garlic – 2 tbsp minced,
Olive oil - 1 1/2 tbsp,
Salt and black pepper powder to taste,
Tomato Ketchup – 2 tbsp,
Oregano powder - 1/2 tsp,
Garlic – 1 tbsp,
Broccoli – 10-12 bite size florets,
Capsicum  – 1 ,
Salt and pepper powder to taste,
Oregano powder,
Olive oil – 1 1/2 tbsp.</t>
  </si>
  <si>
    <t>பழுத்த தக்காளி – 4-5,
வெங்காயம் – 1,
பூண்டு – 2 டேபிள்ஸ்பூன் நறுக்கியது,
ஆலிவ் எண்ணெய் - 1 1/2 டேபிள்ஸ்பூன்,
உப்பு மற்றும் கருப்பு மிளகு தூள் சுவைக்கு,
தக்காளி கெட்ச்அப் – 2 டேபிள்ஸ்பூன்,
ஒரிகனோ தூள் - 1/2 டேபிள்ஸ்பூன்,
பூண்டு – 1 டேபிள்ஸ்பூன்,
ப்ரோக்கோலி – 10-12 கடி அளவு பூக்கள்,
கேப்சிகம் – 1 ,
உப்பு மற்றும் மிளகு தூள் சுவைக்கு,
ஒரிகனோ தூள்,
ஆலிவ் எண்ணெய் – 1 1/2 டேபிள்ஸ்பூன்.</t>
  </si>
  <si>
    <t xml:space="preserve">Take plenty of water in a pot and bring it to rolling boil .
Add pasta to the boiling water with a little salt.Keep stirring it to prevent it from sticking to the bottom of the pan.
Cook pasta till tender.You can check if it is correctly cooked by tasting it. It should be tender yet firm.
Now drain the cooked pasta into a colander and run cold water through the pasta for about 10 secs. Keep it aside.
Put tomatoes in boiling water and keep it closed for 5 minutes. Remove the skin and puree it in a blender.
Heat oil, fry garlic and onion till they become soft.
Add tomato puree, tomato ketchup and cook until the sauce is boiling, then reduce heat and simmer for another 10 minutes.
Add oregano, salt and pepper powder.
Put broccoli  in boiling water for 3-4 minutes.Drain the water and keep it aside.
Heat olive oil, add finely chopped onion and garlic and saute till onions become light pink.
Add broccoli, capsicum and cook for a few minutes in high flame.Keep stirring it continuously. Do not over cook.The vegetables should be crisp.
Then sprinkle a little oregano, add salt and pepper powder to taste.
Add sauteed vegetables and cooked pasta to the prepared sauce, toss it well, garnish with grated parmesan cheese and serve. 
Top pasta with sauce, garnish with parmesan cheese and serve with sauteed vegetables.
</t>
  </si>
  <si>
    <t>ஒரு பாத்திரத்தில் நிறைய தண்ணீர் எடுத்து கொதிக்க விடவும்.
கொதிக்கும் நீரில் சிறிது உப்பு சேர்த்து பாஸ்தாவை சேர்க்கவும். பாத்திரத்தின் அடிப்பகுதியில் ஒட்டாமல் இருக்க தொடர்ந்து கிளறவும்.
பாஸ்தாவை மென்மையாகும் வரை சமைக்கவும். அது சரியாக சமைக்கப்பட்டுள்ளதா என்பதை ருசித்துப் பார்த்து சரிபார்க்கலாம். அது மென்மையாக இருந்தாலும் உறுதியாக இருக்க வேண்டும்.
இப்போது சமைத்த பாஸ்தாவை ஒரு வடிகட்டியில் வடித்து, பாஸ்தா வழியாக குளிர்ந்த நீரை சுமார் 10 வினாடிகள் ஊற்றவும். அதை ஒதுக்கி வைக்கவும்.
தக்காளியை கொதிக்கும் நீரில் போட்டு 5 நிமிடங்கள் மூடி வைக்கவும். தோலை நீக்கி ஒரு பிளெண்டரில் அரைக்கவும்.
எண்ணெயை சூடாக்கி, பூண்டு மற்றும் வெங்காயம் மென்மையாகும் வரை வதக்கவும்.
தக்காளி கூழ், தக்காளி கெட்ச்அப் சேர்த்து சாஸ் கொதிக்கும் வரை சமைக்கவும், பின்னர் தீயை குறைத்து மேலும் 10 நிமிடங்கள் இளங்கொதிவாக்கவும்.
ஆர்கனோ, உப்பு மற்றும் மிளகு தூள் சேர்க்கவும்.
ப்ரோக்கோலியை 3-4 நிமிடங்கள் கொதிக்கும் நீரில் வைக்கவும். தண்ணீரை வடிகட்டி ஒதுக்கி வைக்கவும்.
ஆலிவ் எண்ணெயை சூடாக்கி, இறுதியாக நறுக்கிய வெங்காயம் மற்றும் பூண்டு சேர்த்து வெங்காயம் வெளிர் இளஞ்சிவப்பு நிறமாக மாறும் வரை வதக்கவும்.
ப்ரோக்கோலி, கேப்சிகம் சேர்த்து அதிக தீயில் சில நிமிடங்கள் சமைக்கவும். தொடர்ந்து கிளறிக்கொண்டே இருங்கள். அதிகமாக சமைக்க வேண்டாம். காய்கறிகள் மொறுமொறுப்பாக இருக்க வேண்டும்.
பின்னர் சிறிது ஆர்கனோ தூவி, சுவைக்கேற்ப உப்பு மற்றும் மிளகு தூள் சேர்க்கவும்.
தயாரிக்கப்பட்ட சாஸில் வதக்கிய காய்கறிகள் மற்றும் சமைத்த பாஸ்தாவைச் சேர்த்து, நன்கு கிளறி, துருவிய பார்மேசன் சீஸ் கொண்டு அலங்கரித்து பரிமாறவும்.
பாஸ்தாவை சாஸுடன் மேலே தூவி, பார்மேசன் சீஸால் அலங்கரித்து, வதக்கிய காய்கறிகளுடன் பரிமாறவும்.</t>
  </si>
  <si>
    <t>https://www.giallozafferano.com/images/228-22832/spaghetti-with-tomato-sauce_1200x800.jpg</t>
  </si>
  <si>
    <t xml:space="preserve">   Whole wheat brown bread – 4,
   Paneer – 75 grams,
   Green chutney - 2-3 tsp,
   Onion – 1 ,
   Green chillies - 2,
   Coriander leaves,
   Butter as needed.</t>
  </si>
  <si>
    <t>முழு கோதுமை பழுப்பு ரொட்டி - 4,
பனீர் - 75 கிராம்,
பச்சை சட்னி - 2-3 தேக்கரண்டி,
வெங்காயம் - 1,
பச்சை மிளகாய் - 2,
கொத்தமல்லி இலைகள்,
தேவையான அளவு வெண்ணெய்.</t>
  </si>
  <si>
    <t>https://greenbowl2soul.com/wp-content/uploads/2022/06/paneer-sandwich.jpg</t>
  </si>
  <si>
    <t xml:space="preserve">   Whole Wheat Bread - 2 ,
   Green Chutney – as needed,
   Cheese slice - 1,
   Butter – 1-2 tsp.
</t>
  </si>
  <si>
    <t>Cut the outer brown crust for the bread.
Take a bread slice, spread green chutney on it, then place the cheese slice on top of it. Check green chutney recipe.
Take another bread, apply green chutney and place it on top of the cheese slice with the chutney side facing down.
Apply some butter on the outer surfaces of the sandwich or grease the sandwich toaster.
Place it on the toaster and toast over medium heat till both sides are golden brown. If you do not have a bread toaster, you can do it in tawa also.
Cut it diagonally and serve hot. Repeat the process for making more green chutney sandwiches.
You do not need any accompaniment for this. This can be had as a breakfast or just as a snack with evening tea.</t>
  </si>
  <si>
    <t>ரொட்டியின் வெளிப்புற பழுப்பு நிற மேலோட்டத்தை வெட்டுங்கள்.
ஒரு ரொட்டி துண்டை எடுத்து, அதன் மீது பச்சை சட்னியை தடவி, அதன் மேல் சீஸ் துண்டுகளை வைக்கவும். பச்சை சட்னி செய்முறையைச் சரிபார்க்கவும்.
மற்றொரு ரொட்டியை எடுத்து, பச்சை சட்னியை தடவி, சீஸ் துண்டின் மேல் சட்னி பக்கம் கீழ்நோக்கி இருக்கும்படி வைக்கவும்.
சாண்ட்விச்சின் வெளிப்புறங்களில் சிறிது வெண்ணெய் தடவவும் அல்லது சாண்ட்விச் டோஸ்டரில் கிரீஸ் செய்யவும்.
அதை டோஸ்டரில் வைத்து, இருபுறமும் தங்க பழுப்பு நிறமாக மாறும் வரை மிதமான தீயில் டோஸ்ட் செய்யவும். உங்களிடம் ரொட்டி டோஸ்டர் இல்லையென்றால், அதை தவாவில் செய்யலாம்.
அதை குறுக்காக வெட்டி சூடாக பரிமாறவும். பச்சை சட்னி சாண்ட்விச்களை அதிகமாக்குவதற்கான செயல்முறையை மீண்டும் செய்யவும்.
இதற்கு உங்களுக்கு துணை எதுவும் தேவையில்லை. இதை காலை உணவாகவோ அல்லது மாலை தேநீருடன் சிற்றுண்டியாகவோ சாப்பிடலாம்.</t>
  </si>
  <si>
    <t>https://static.toiimg.com/thumb/60099504.cms?imgsize=465681&amp;width=800&amp;height=800</t>
  </si>
  <si>
    <t>வெடித்த கோதுமை உப்புமா</t>
  </si>
  <si>
    <t xml:space="preserve">   Cracked wheat – 1/2 cup,
   Onion – 1,
   Green chilli - 1,
   Ginger – 1 inch piece ,
   Mixed vegetables – 1 cup (mix of carrot, french beans, capsicum),
   Fresh Peas – handful,
   Oil – 1 1/2 tbsp,
   Mustard seeds – 1 tsp,
   Urad dal – 1/2 tsp,
   Red chilli – 1,
   Hing/asafoedita – a pinch,
   Curry leaves – a sprig,
   Coriander leaves.</t>
  </si>
  <si>
    <t>வெடித்த கோதுமை - 1/2 கப்,
வெங்காயம் - 1,
பச்சை மிளகாய் - 1,
இஞ்சி - 1 அங்குல துண்டு,
கலப்பு காய்கறிகள் - 1 கப் (கேரட், பிரஞ்சு பீன்ஸ், கேப்சிகம் கலவை),
புதிய பட்டாணி - கைப்பிடி அளவு,
எண்ணெய் - 1 1/2 டீஸ்பூன்,
கடுகு - 1 டீஸ்பூன்,
உளுத்தம் பருப்பு - 1/2 டீஸ்பூன்,
சிவப்பு மிளகாய் - 1,
பெருங்காயம் / அசபோடிட்டா - ஒரு சிட்டிகை,
கறிவேப்பிலை - ஒரு தளிர்,
கொத்தமல்லி இலைகள்.</t>
  </si>
  <si>
    <t>Heat oil in a pan, add mustard seeds, when it splutters, add urad dal, red chilli, hing and curry leaves.
When urad dal turns golden brown, add finely chopped green chillies, ginger and onion.
Saute until onions turn transparent. Then add all the vegetables and saute for 2-3 minutes on low heat.
Then add 2 tbsp of water and cook covered.
Once the water evaporates, add 1 cup + another 2 tbsp of water (for the vegetables) and needed salt. Taste the water to check for salt. The water should be slightly salty, once we add the dalia, it will be perfect.
When water starts boiling, reduce the heat to low, add cracked wheat with one hand and stir with your other hand.
Mix well and cook covered on low heat.
Stir in between for even cooking. Once all the water has evaporated, cook covered for another 2 minutes.
Garnish with finely chopped coriander leaves.
gothumai rava upma with vegetables
Serve cracked wheat upma piping hot with sambar or chutney.</t>
  </si>
  <si>
    <t>ஒரு கடாயில் எண்ணெயை சூடாக்கி, கடுகு சேர்த்து, அது வதங்கியதும், உளுத்தம் பருப்பு, சிவப்பு மிளகாய், பெருங்காயம் மற்றும் கறிவேப்பிலை சேர்க்கவும்.
உளுத்தம் பருப்பு பொன்னிறமாக மாறியதும், இறுதியாக நறுக்கிய பச்சை மிளகாய், இஞ்சி மற்றும் வெங்காயம் சேர்க்கவும்.
வெங்காயம் வெளிப்படையானதாக மாறும் வரை வதக்கவும். பின்னர் அனைத்து காய்கறிகளையும் சேர்த்து குறைந்த வெப்பத்தில் 2-3 நிமிடங்கள் வதக்கவும்.
பின்னர் 2 டீஸ்பூன் தண்ணீர் சேர்த்து மூடி வைக்கவும்.
தண்ணீர் ஆவியாகியதும், 1 கப் + காய்கறிகளுக்கு 2 டேபிள்ஸ்பூன் தண்ணீர் சேர்த்து தேவையான அளவு உப்பு சேர்க்கவும். உப்பு இருக்கிறதா என்று சோதிக்க தண்ணீரை சுவைக்கவும். தண்ணீர் சிறிது உப்பு இருக்க வேண்டும், நாம் டாலியாவைச் சேர்த்தவுடன், அது சரியாக இருக்கும்.
தண்ணீர் கொதிக்க ஆரம்பித்ததும், தீயைக் குறைத்து, ஒரு கையால் வெடித்த கோதுமையைச் சேர்த்து, மற்றொரு கையால் கிளறவும்.
நன்றாகக் கலந்து, குறைந்த தீயில் மூடி வைத்து சமைக்கவும்.
சமமாக சமைக்க இடையில் கிளறவும். தண்ணீர் அனைத்தும் ஆவியாகியதும், மூடி வைத்து மேலும் 2 நிமிடங்கள் சமைக்கவும்.
இறுதியாக நறுக்கிய கொத்தமல்லி இலைகளால் அலங்கரிக்கவும்.
காய்கறிகளுடன் கோதுமை ரவா உப்மா
சாம்பார் அல்லது சட்னியுடன் பிசைந்த கோதுமை உப்மாவை பைப்பிங் சூடாக பரிமாறவும்.</t>
  </si>
  <si>
    <t>Peas Paratha</t>
  </si>
  <si>
    <t>பட்டாணி பரோட்டா</t>
  </si>
  <si>
    <t xml:space="preserve">   Whole wheat flour - 1 cup,
   Oil – 2 tsp,
   Salt - a generous pinch,
   Fresh Peas – 1/2 cup,
   Onion – 1/2 cup ,
   Green chilli – 1,
   Ginger garlic paste – 1 tsp,
   Oil – 3 tsp,
   Salt as required,
   Coriander powder – 1 tsp,
   Cumin seeds powder - 1/2 tsp,
   garam masala – 1 tsp,
   Oil for cooking parathas.</t>
  </si>
  <si>
    <t>முழு கோதுமை மாவு - 1 கப்,
எண்ணெய் - 2 தேக்கரண்டி,
உப்பு - ஒரு சிட்டிகை,
புதிய பட்டாணி - 1/2 கப்,
வெங்காயம் - 1/2 கப்,
பச்சை மிளகாய் - 1,
இஞ்சி பூண்டு விழுது - 1 தேக்கரண்டி,
எண்ணெய் - 3 தேக்கரண்டி,
தேவைக்கேற்ப உப்பு,
கொத்தமல்லி தூள் - 1 தேக்கரண்டி,
சீரகத் தூள் - 1/2 தேக்கரண்டி,
கரம் மசாலா - 1 தேக்கரண்டி,
பரோட்டா சமைக்க எண்ணெய்.</t>
  </si>
  <si>
    <t>Cook peas in little water, adding salt till soft. Drain the water and grind it to a coarse paste. Keep it aside.
Combine wheat flour, a pinch of salt, 1 tsp of oil, mix well and knead it into a soft dough adding warm water just as you prepare for chapati.  Let it sit for 15-20 minutes.
Meantime we will prepare the stuffing for the peas paratha.
Heat 3 tsp of oil, add jeera seeds, when it sizzles, add finely chopped onions, green chillies and saute till it turns golden brown.
Add ginger garlic paste and saute for a few more minutes.
Add all the spice powder and needed salt.
Add the ground peas paste and saute till all the water evaporates. Keep it aside.
Now both the paratha dough and the peas stuffing are kept ready.
Divide the dough into equal pieces and make smooth balls. Take a ball, flatten it and roll it out into a medium circle dusting wheat flour.
how to make peas paratha 
Keep 1-2 tbsp of stuffing in the center, gather all the sides and seal it completely as shown in the picture below.
Then roll it out again with the stuffing (with sealed part on the top) dusting wheat flour.
Heat a griddle or tawa, put the rolled out paratha on it, when bubbles appear on the surface, apply a tsp of oil and flip it over to the other side.
Drizzle another tsp of oil on the other side and cook both sides well till golden specs appear. Remove from heat. Repeat the same process for the rest of the dough.
Serve hot with chutney or pickle or curd/dahi. Enjoy!!</t>
  </si>
  <si>
    <t>பட்டாணியை சிறிது தண்ணீரில் மென்மையாகும் வரை வேகவைத்து, உப்பு சேர்த்து வேகவைக்கவும். தண்ணீரை வடிகட்டி, கரடுமுரடான பேஸ்டாக அரைக்கவும். ஒதுக்கி வைக்கவும்.
கோதுமை மாவு, ஒரு சிட்டிகை உப்பு, 1 தேக்கரண்டி எண்ணெய் சேர்த்து நன்கு கலந்து, சப்பாத்திக்கு தயார் செய்வது போல் வெதுவெதுப்பான நீரைச் சேர்த்து மென்மையான மாவாகப் பிசையவும். 15-20 நிமிடங்கள் அப்படியே வைக்கவும்.
இதற்கிடையில் பட்டாணி பரோட்டாவிற்கு தேவையான பொருட்களை தயார் செய்வோம்.
3 தேக்கரண்டி எண்ணெயை சூடாக்கி, சீரக விதைகளைச் சேர்த்து, அது கொதிக்கும்போது, ​​இறுதியாக நறுக்கிய வெங்காயம், பச்சை மிளகாய் சேர்த்து பொன்னிறமாகும் வரை வதக்கவும்.
இஞ்சி பூண்டு விழுது சேர்த்து இன்னும் சில நிமிடங்கள் வதக்கவும்.
அனைத்து மசாலாப் பொடிகளையும் தேவையான உப்பும் சேர்க்கவும்.
அரைத்த பட்டாணி விழுது சேர்த்து, தண்ணீர் முழுவதும் ஆவியாகும் வரை வதக்கவும். அதை ஒதுக்கி வைக்கவும்.
இப்போது பரோட்டா மாவும் பட்டாணி ஸ்டஃபிங் ரெடியாக வைக்கப்பட்டுள்ளது.
மாவை சம துண்டுகளாகப் பிரித்து மென்மையான உருண்டைகளை உருவாக்கவும். ஒரு உருண்டையை எடுத்து, அதைத் தட்டையாக்கி, கோதுமை மாவைத் தூவி நடுத்தர வட்டமாக உருட்டவும்.
பட்டாணி பரோட்டா செய்வது எப்படி
1-2 தேக்கரண்டி ஸ்டஃபிங்கை மையத்தில் வைத்து, அனைத்து பக்கங்களையும் சேகரித்து, கீழே உள்ள படத்தில் காட்டப்பட்டுள்ளபடி முழுமையாக மூடவும்.
பின்னர் கோதுமை மாவைத் தூவி ஸ்டஃபிங் (மேலே சீல் செய்யப்பட்ட பகுதியுடன்) மீண்டும் உருட்டவும்.
ஒரு கிரிடில் அல்லது தவாவை சூடாக்கி, அதன் மீது உருட்டிய பரோட்டாவை வைத்து, மேற்பரப்பில் குமிழ்கள் தோன்றும்போது, ​​ஒரு தேக்கரண்டி எண்ணெய் தடவி, மறுபுறம் திருப்பி வைக்கவும்.
மறுபுறம் இன்னொரு தேக்கரண்டி எண்ணெயைத் தடவி, இருபுறமும் பொன்னிறமாகத் தெரியும் வரை நன்கு வதக்கவும். அடுப்பிலிருந்து இறக்கவும். மீதமுள்ள மாவிற்கும் இதே செயல்முறையை மீண்டும் செய்யவும்.
சட்னி அல்லது ஊறுகாய் அல்லது தயிர்/தஹியுடன் சூடாகப் பரிமாறவும். மகிழுங்கள்!!</t>
  </si>
  <si>
    <t>https://cdn1.foodviva.com/static-content/food-images/healthy-recipes/peas-paratha/peas-paratha.jpg</t>
  </si>
  <si>
    <t xml:space="preserve">   Oats – 1/2 cup,
    sooji – 1/4 cup,
   Onion – 1,
   Green chilli – 1,
   Ginger- 1 inch piece ,
   Mixed vegetables – 1 cup (mix of carrot, beans, peas, cauliflower, potato, capsicum),
   Water - 3/4 cup,
   Salt as required,
   Oil – 1 tbsp,
   Mustard seeds - 1 tsp,
   Urad dal - 1/2 tsp,
   Red chilli - 1,
   Hing - a pinch,
   Curry leaves-few.</t>
  </si>
  <si>
    <t>ஓட்ஸ் - 1/2 கப்,
சூஜி - 1/4 கப்,
வெங்காயம் - 1,
பச்சை மிளகாய் - 1,
இஞ்சி - 1 அங்குல துண்டு,
காய்கறிகள் - 1 கப் (கேரட், பீன்ஸ், பட்டாணி, காலிஃபிளவர், உருளைக்கிழங்கு, கேப்சிகம் கலவை),
தண்ணீர் - 3/4 கப்,
தேவைக்கேற்ப உப்பு,
எண்ணெய் - 1 டீஸ்பூன்,
கடுகு - 1 டீஸ்பூன்,
உளுத்தம் பருப்பு - 1/2 டீஸ்பூன்,
சிவப்பு மிளகாய் - 1,
கீரை - ஒரு சிட்டிகை,
கறிவேப்பிலை - சில.</t>
  </si>
  <si>
    <t xml:space="preserve">Heat oil in a pan, add mustard seeds, when it splutters, add the rest of the ingredients mentioned under seasoning.
Then add finely chopped onions, green chilli, ginger and saute until onions turn translucent.
Add all the vegetables, saute for a few more minutes, then add 3/4 cup of water and salt required.
When water come to boil, lower the flame, add rava stirring continuously and cook until it is half done.
Then add oats, cover and cook till done. (oats need less time and less water to get cooked, so you can add it, after rava is half cooked).
Serve delicious oats upma with any chutney varieties or sambar varieties.
</t>
  </si>
  <si>
    <t>ஒரு கடாயில் எண்ணெயை சூடாக்கி, கடுகு சேர்த்து, அது வதங்கியதும், தாளிக்க வேண்டிய மீதமுள்ள பொருட்களைச் சேர்க்கவும்.
பின்னர் இறுதியாக நறுக்கிய வெங்காயம், பச்சை மிளகாய், இஞ்சி சேர்த்து வெங்காயம் தெளிவாகும் வரை வதக்கவும்.
அனைத்து காய்கறிகளையும் சேர்த்து, இன்னும் சில நிமிடங்கள் வதக்கி, பின்னர் 3/4 கப் தண்ணீர் மற்றும் தேவையான உப்பு சேர்க்கவும்.
தண்ணீர் கொதித்ததும், தீயைக் குறைத்து, ரவையைச் சேர்த்து தொடர்ந்து கிளறி, பாதி வேகும் வரை சமைக்கவும்.
பின்னர் ஓட்ஸ் சேர்த்து, மூடி வைத்து, வேகும் வரை சமைக்கவும். (ஓட்ஸ் வேகுவதற்கு குறைந்த நேரமும், குறைந்த தண்ணீரும் தேவைப்படும், எனவே ரவை பாதி வேகும் பிறகு நீங்கள் அதைச் சேர்க்கலாம்).
சுவையான ஓட்ஸ் உப்புமாவை எந்த சட்னி வகைகளுடனோ அல்லது சாம்பார் வகைகளுடனோ பரிமாறவும்.</t>
  </si>
  <si>
    <t>https://www.indianhealthyrecipes.com/wp-content/uploads/2014/08/oats-upma.jpg</t>
  </si>
  <si>
    <t>Oats Dosa</t>
  </si>
  <si>
    <t>ஓட்ஸ் தோசை</t>
  </si>
  <si>
    <t>Oats – 100 grams,
Rice flour – 1/4 cup,
Sooji – 1/4 cup,
Buttermilk – 1/4 cup,
Green Chilli – 1 ,
Coriander leaves,
Cumin – 1 tsp,
Pepper powder – 1/4 tsp,
Salt as required,
Sesame seed oil for making dosa.</t>
  </si>
  <si>
    <t>ஓட்ஸ் - 100 கிராம்,
அரிசி மாவு - 1/4 கப்,
சூஜி - 1/4 கப்,
மோர் - 1/4 கப்,
பச்சை மிளகாய் - 1 ,
கொத்தமல்லி இலைகள்,
சீரகம் - 1 டீஸ்பூன்,
மிளகு தூள் - 1/4 டீஸ்பூன்,
தேவைக்கேற்ப உப்பு,
தோசை செய்வதற்கு எள் விதை எண்ணெய்.</t>
  </si>
  <si>
    <t>Mix all the above ingredients (powdered oats, rice flour, rava, buttermilk, green chilli, coriander leaves, cumin seeds pepper powder and salt needed) except oil, to a dosa batter consistency adding needed water. Let it sit for 15 minutes.
After 15 minutes, the batter will be thick, so add needed water to get dosa batter consistency. Mix the batter well every time before making dosas
Heat a non stick tawa, pour a ladle of batter and spread it slightly in a circular motion as you do for normal dosa.
Drizzle a tsp of oil around the dosa. Make small dosas otherwise, you will not be able to flip over the dosa. Keep it on medium flame and cook the dosa. Do not be in a hurry to flip over the dosa. Let it get cooked well.
When it is cooked, flip it over to the other side. Do it carefully as this dosa will be very soft. After the other side is cooked, remove from heat and serve hot with any chutney or sambar.
Repeat the process for the rest of the batter.</t>
  </si>
  <si>
    <t>மேற்கண்ட அனைத்து பொருட்களையும் (பொடித்த ஓட்ஸ், அரிசி மாவு, ரவா, மோர், பச்சை மிளகாய், கொத்தமல்லி இலைகள், சீரகம் மிளகு தூள் மற்றும் உப்பு) எண்ணெய் தவிர, தேவையான தண்ணீர் சேர்த்து தோசை மாவு பதத்திற்கு கலக்கவும். 15 நிமிடங்கள் அப்படியே வைக்கவும்.
15 நிமிடங்களுக்குப் பிறகு, மாவு கெட்டியாக இருக்கும், எனவே தோசை மாவு பதத்திற்கு தேவையான தண்ணீரை சேர்க்கவும். தோசை செய்வதற்கு முன் ஒவ்வொரு முறையும் மாவை நன்றாக கலக்கவும்
ஒரு குச்சி இல்லாத தவாவை சூடாக்கி, ஒரு கரண்டி மாவை ஊற்றி, சாதாரண தோசைக்கு செய்வது போல் வட்ட இயக்கத்தில் சிறிது பரப்பவும்.
தோசையைச் சுற்றி ஒரு தேக்கரண்டி எண்ணெயைத் தடவவும். சிறிய தோசைகளைச் செய்யுங்கள், இல்லையெனில் தோசையைத் திருப்பிப் போட முடியாது. மிதமான தீயில் வைத்து தோசையை சமைக்கவும். தோசையைத் திருப்பிப் போட அவசரப்பட வேண்டாம். நன்றாக வேக விடவும்.
வெந்ததும், மறுபுறம் திருப்பிப் போடவும். இந்த தோசை மிகவும் மென்மையாக இருக்கும் என்பதால் கவனமாகச் செய்யுங்கள். மறுபக்கம் வெந்த பிறகு, அடுப்பிலிருந்து இறக்கி, சட்னி அல்லது சாம்பாருடன் சூடாகப் பரிமாறவும்.
மீதமுள்ள மாவுக்கும் இதே செயல்முறையை மீண்டும் செய்யவும்.</t>
  </si>
  <si>
    <t>https://www.vegrecipesofindia.com/wp-content/uploads/2021/05/oats-dosa-2.jpg</t>
  </si>
  <si>
    <t xml:space="preserve">   Daliya – 1/2 cup,
   Onion - 1 ,
   Green chilli – 1,
   Ginger-garlic paste - 1/2 tsp,
   Carrot – 1,
   Beans – 5-6,
   Chilli powder – 1/2 tsp ,
   Coriander powder – 1/2 tsp,
   Salt to taste,
   Oil – 1 tbsp,
   Mustard seeds - 1/2 tsp,
   Cumin seeds – 1/2 tsp,
   Curry leaves – a sprig,
   Coriander leaves,
   Ghee/clarified butter – 2 tsp.</t>
  </si>
  <si>
    <t>டாலியா - 1/2 கப்,
வெங்காயம் - 1 ,
பச்சை மிளகாய் - 1,
இஞ்சி-பூண்டு விழுது - 1/2 தேக்கரண்டி,
கேரட் - 1,
பீன்ஸ் - 5-6,
மிளகாய்த்தூள் - 1/2 தேக்கரண்டி,
கொத்தமல்லி தூள் - 1/2 தேக்கரண்டி,
ருசிக்க உப்பு,
எண்ணெய் - 1 தேக்கரண்டி,
கடுகு - 1/2 தேக்கரண்டி,
சீரகம் - 1/2 தேக்கரண்டி,
கறிவேப்பிலை - ஒரு தளிர்,
கொத்தமல்லி இலை,
நெய்/தெளித்த வெண்ணெய் - 2 தேக்கரண்டி.</t>
  </si>
  <si>
    <t>Heat oil in a pan, add cumin seeds and mustard seeds, when it splutters, add finely chopped onions, green chilli, curry leaves and saute till onions turn transparent.
Add ginger-garlic paste (or finely chopped ginger and garlic) and saute for a few more minutes.
Add carrot, beans, chilli powder, coriander powder and salt needed. Mix well.
Add the soaked dalia along with the water. Taste the water to check for salt. If needed add at this stage.
Then pressure cook for 3 whistles keeping it in a vessel inside the cooker .
Once the pressure subsides, open the cooker, add 2 tsp of ghee, garnish with coriander leaves, mix well and serve hot.
This khichdi should not be like upma but should be mushy.</t>
  </si>
  <si>
    <t>ஒரு கடாயில் எண்ணெயை சூடாக்கி, சீரகம் மற்றும் கடுகு சேர்த்து, அது வதங்கியதும், இறுதியாக நறுக்கிய வெங்காயம், பச்சை மிளகாய், கறிவேப்பிலை சேர்த்து வெங்காயம் வெளிப்படையானதாக மாறும் வரை வதக்கவும்.
இஞ்சி-பூண்டு விழுது (அல்லது இறுதியாக நறுக்கிய இஞ்சி மற்றும் பூண்டு) சேர்த்து இன்னும் சில நிமிடங்கள் வதக்கவும்.
கேரட், பீன்ஸ், மிளகாய்த்தூள், கொத்தமல்லி தூள் மற்றும் தேவையான அளவு உப்பு சேர்த்து நன்கு கலக்கவும்.
ஊறவைத்த டாலியாவை தண்ணீருடன் சேர்க்கவும். உப்பு இருக்கிறதா என்று சோதிக்க தண்ணீரை சுவைக்கவும். தேவைப்பட்டால் இந்த கட்டத்தில் சேர்க்கவும்.
பின்னர் குக்கரின் உள்ளே ஒரு பாத்திரத்தில் வைத்து 3 விசில் வரை பிரஷர் சமைக்கவும்.
அழுத்தம் குறைந்தவுடன், குக்கரைத் திறந்து, 2 தேக்கரண்டி நெய்யைச் சேர்த்து, கொத்தமல்லி இலைகளால் அலங்கரித்து, நன்கு கலந்து சூடாகப் பரிமாறவும்.
இந்த கிச்சடி உப்புமா போல இருக்கக்கூடாது, ஆனால் மென்மையாக இருக்க வேண்டும்.</t>
  </si>
  <si>
    <t>https://encrypted-tbn0.gstatic.com/images?q=tbn:ANd9GcQwIu3MiRc41D6kJ8zhIlA3FVl__YUXahMq4Q&amp;s</t>
  </si>
  <si>
    <t xml:space="preserve">   Quick Cooking Oats – 1/4 cup,
   Milk – 1 cup,
   Banana – 1 ,
   Dates – 3,
   Powdered Jaggery – 1 tbsp.
</t>
  </si>
  <si>
    <t>விரைவாக சமைக்கும் ஓட்ஸ் - 1/4 கப்,
பால் - 1 கப்,
வாழைப்பழம் - 1 ,
பேரீச்சம்பழம் - 3,
பொடித்த வெல்லம் - 1 டீஸ்பூன்.</t>
  </si>
  <si>
    <t>ஓட்ஸை சிறிது தண்ணீரில் சேர்த்து, கெட்டியாகும் வரை அடிக்கடி கிளறி சமைக்கவும். சுவைக்கு வெல்லம் சேர்த்து குளிர்விக்க விடவும்.
பின்னர் மீதமுள்ள பால், வாழைப்பழம் + பேரீச்சம்பழ விழுது சேர்த்து நன்கு கலந்து மகிழுங்கள்.
என்னை நம்புங்கள், இது மிகவும் சுவையாக இருக்கும். கூடுதல் ஆரோக்கிய நன்மைகளுக்காக மட்டுமல்லாமல், சர்க்கரை சேர்க்காமல் இருக்கவும் பேரீச்சம்பழங்களைச் சேர்த்துள்ளேன். குழந்தைகளுக்கு, குறிப்பாக பள்ளி செல்லும் குழந்தைகளுக்கு ஒரு சிறந்த காலை உணவு. என் மகளுக்கு இது மிகவும் பிடிக்கும்.</t>
  </si>
  <si>
    <t>https://encrypted-tbn0.gstatic.com/images?q=tbn:ANd9GcT7VRWLVHxKP1_3hMS7u_fVfnKdyV2pPF3Xfg&amp;s</t>
  </si>
  <si>
    <t xml:space="preserve">   Oats – 1/4 cup,
   Milk - 3/4 cup,
   Powdered jaggery - 1 tbsp,
   Dates – 2 ,
   Almonds - 2 .</t>
  </si>
  <si>
    <t>ஓட்ஸ் - 1/4 கப்,
பால் - 3/4 கப்,
பொடித்த வெல்லம் - 1 டீஸ்பூன்,
பேரீச்சம்பழம் - 2 ,
பாதாம் - 2 .</t>
  </si>
  <si>
    <t>Combine oats with water (around 1/2-3/4 cup) and cook till it thickens. Keep stirring it to prevent it from forming lumps and getting burnt.
Add hot milk, powdered jaggery, chopped dates and almonds. Mix it well.
A perfect way to start your day! ( It will keep you full for 2-3 hours)</t>
  </si>
  <si>
    <t>ஓட்ஸை தண்ணீரில் (சுமார் 1/2-3/4 கப்) சேர்த்து கெட்டியாகும் வரை சமைக்கவும். கட்டிகள் உருவாகாமல் தடுக்க தொடர்ந்து கிளறவும்.
சூடான பால், பொடித்த வெல்லம், நறுக்கிய பேரீச்சம்பழம் மற்றும் பாதாம் ஆகியவற்றைச் சேர்க்கவும். நன்றாக கலக்கவும்.
உங்கள் நாளைத் தொடங்க ஒரு சரியான வழி! (இது உங்களை 2-3 மணி நேரம் முழுதாக வைத்திருக்கும்)</t>
  </si>
  <si>
    <t>https://www.sharmispassions.com/wp-content/uploads/2017/02/oatmeal-porridge1-500x500.jpg</t>
  </si>
  <si>
    <t xml:space="preserve">   Rava - 1 cup,
   Curd – 1 cup,
   Salt as required,
   Coriander leaves – handful,
   Cashew nuts – 6-7 ,
   Carrot - 1,
   Baking soda – 1/4 tsp,
   Oil - 1 tbsp,
   Mustard – 1 tsp,
   Asafoetida – a pinch,
   Urad dal – 3/4 tsp,
   Green chilli – 2 finely chopped,
   Ginger – 1 inch piece,
   Curry leaves – few.</t>
  </si>
  <si>
    <t>ரவை - 1 கப்,
தயிர் - 1 கப்,
தேவைக்கேற்ப உப்பு,
கொத்தமல்லி இலைகள் - ஒரு கைப்பிடி,
முந்திரி பருப்பு - 6-7 ,
கேரட் - 1,
பேக்கிங் சோடா - 1/4 டீஸ்பூன்,
எண்ணெய் - 1 டீஸ்பூன்,
கடுகு - 1 டீஸ்பூன்,
பெருங்காயம் - ஒரு சிட்டிகை,
உளுத்தம் பருப்பு - 3/4 டீஸ்பூன்,
பச்சை மிளகாய் - 2 பொடியாக நறுக்கியது,
இஞ்சி - 1 அங்குல துண்டு,
கறிவேப்பிலை - சிறிதளவு.</t>
  </si>
  <si>
    <t>ஒரு கடாயில் எண்ணெயை சூடாக்கி, கடுகு சேர்த்து, கடுகு வதங்கியதும், கீரை மற்றும் உளுத்தம் பருப்பு சேர்க்கவும்.
பருப்பு நிறம் மாறியதும், முந்திரி, இஞ்சி, பச்சை மிளகாய் மற்றும் கறிவேப்பிலை சேர்க்கவும்.
பின்னர் ரவையைச் சேர்த்து சில நிமிடங்கள் நன்றாக வறுக்கவும். ரவையை எரிக்க வேண்டாம்.
அதை குளிர்விக்க விடவும். அது குளிர்ந்த பிறகு, தயிர், இறுதியாக நறுக்கிய கொத்தமல்லி இலைகள், கேரட், பேக்கிங் சோடா மற்றும் தேவையான உப்பு சேர்க்கவும். தண்ணீரை கொஞ்சம் கொஞ்சமாகச் சேர்த்து, கட்டிகள் இல்லாமல் நன்றாகக் கலக்கவும். ரவா இட்லி மாவின் நிலைத்தன்மை இட்லி மாவைப் போலவே இருக்க வேண்டும். மாவு கெட்டியாகவோ அல்லது மெல்லியதாகவோ இருக்கக்கூடாது, எனவே அதற்கேற்ப தண்ணீரை சரிசெய்யவும்.
ரவா இட்லி மாவை 15-20 நிமிடங்கள் அப்படியே வைக்கவும்.
நெய் தடவிய இட்லி அச்சுகளில் ஊற்றி, வழக்கமான இட்லிகளைப் போலவே 10-15 நிமிடங்கள் ஆவியில் வேகவைக்கவும்.
தக்காளி சட்னி அல்லது உங்களுக்கு விருப்பமான எந்த சட்னியுடன் சூடாகப் பரிமாறவும்.</t>
  </si>
  <si>
    <t>Heat ghee in a pan, add finely chopped ginger, grounded pepper+ cumin seeds, cashew nuts and curry leaves.
Saute for a few seconds, then add 2 cups of boiling water. Add salt to taste.
 Simmer the flames and then slowly add rava, stirring continuously.
After the rava gets cooked, add the cooked moong dal and cook till all the water evaporates.
Serve hot rava pongal with coconut chutney or quick sambar
The easy sambar recipe that I have prepared for ven pongal also goes well with rava pongal.</t>
  </si>
  <si>
    <t>https://www.sharmispassions.com/wp-content/uploads/2017/07/RavaPongal4-475x500.jpg</t>
  </si>
  <si>
    <t xml:space="preserve">   Vermicelli – 180 grams,
   Onion - 1 ,
   Ginger – 1 inch piece,
   Green chilli - 1-2 ,
   Beans - 4,
   Carrot - 1,
   Fresh or frozen Peas – handfulc,
   Potato – 1,
   Oil - 3-4 tsp,
   Mustard - 1 tsp,
   Urad dal – 1 tsp,
   Asafoetida – a generous pinch,
   Red Chilli – 2,
   Curry leaves – little.</t>
  </si>
  <si>
    <t>சேமியா உப்புமா – 180 கிராம்,
வெங்காயம் - 1 ,
இஞ்சி – 1 அங்குல துண்டு,
பச்சை மிளகாய் - 1-2 ,
பீன்ஸ் - 4,
கேரட் - 1,
புதிய அல்லது உறைந்த பட்டாணி – ஒரு கைப்பிடி c,
உருளைக்கிழங்கு – 1,
எண்ணெய் - 3-4 தேக்கரண்டி,
கடுகு - 1 தேக்கரண்டி,
உளுத்தம் பருப்பு – 1 தேக்கரண்டி,
பெருங்காயம் – ஒரு சிட்டிகை,
சிவப்பு மிளகாய் – 2,
கறிவேப்பிலை – சிறிது.</t>
  </si>
  <si>
    <t>https://shwetainthekitchen.com/wp-content/uploads/2021/05/Vermicelli-upma.jpg</t>
  </si>
  <si>
    <t>Sabudana Khichdi</t>
  </si>
  <si>
    <t>சபுதானா கிச்சடி</t>
  </si>
  <si>
    <t xml:space="preserve">   Sabudana - 1 cup,
   Roasted Peanuts – 1/2 cup,
   Potato – 1,
   Turmeric powder – a pinch,
   Salt as required,
   Oil/Ghee – 3 tsp,
   Cumin seeds – 1 tsp,
   Green chilli – 2-3,
   Curry leaves ,
   Lemon juice to taste.</t>
  </si>
  <si>
    <t>சபுதானா - 1 கப்,
வறுத்த வேர்க்கடலை - 1/2 கப்,
உருளைக்கிழங்கு - 1,
மஞ்சள் தூள் - ஒரு சிட்டிகை,
தேவைக்கேற்ப உப்பு,
எண்ணெய்/நெய் - 3 தேக்கரண்டி,
சீரகம் - 1 தேக்கரண்டி,
பச்சை மிளகாய் - 2-3,
கறிவேப்பிலை ,
சுவைக்கேற்ப எலுமிச்சை சாறு.</t>
  </si>
  <si>
    <t>Heat oil in a pan, add cumin seeds, when it sizzles, add green chillies and curry leaves.
Then add boiled potatoes, turmeric powder and saute for 3-4 minutes.
Now fluff sabudana with a fork so that there are no lumps and add it to the above.
Add peanut powder and salt required. Mix well gently.
Cook on an open pan until sago turns translucent. Keep tossing it so that the sago does not form lumps.
Garnish it with coriander leaves, few drops of lemon juice and mix it well.
Serve hot with chutney or pickle or curd.</t>
  </si>
  <si>
    <t>ஒரு கடாயில் எண்ணெயை சூடாக்கி, சீரகம் சேர்த்து, அது கொதிக்கும்போது, ​​பச்சை மிளகாய் மற்றும் கறிவேப்பிலை சேர்க்கவும்.
பின்னர் வேகவைத்த உருளைக்கிழங்கு, மஞ்சள் தூள் சேர்த்து 3-4 நிமிடங்கள் வதக்கவும்.
இப்போது சபுதானாவை ஒரு முட்கரண்டி கொண்டு பிசைந்து, கட்டிகள் இல்லாதபடி மேலே உள்ளவற்றுடன் சேர்க்கவும்.
தேவையான அளவு வேர்க்கடலை தூள் மற்றும் உப்பு சேர்க்கவும். மெதுவாக கலக்கவும்.
ஜவ்வரிசி கசியும் வரை திறந்த வாணலியில் சமைக்கவும். சவ்வரிசி கட்டிகள் உருவாகாமல் இருக்க தொடர்ந்து கிளறவும்.
கொத்தமல்லி இலைகள், சில துளிகள் எலுமிச்சை சாறு சேர்த்து அலங்கரித்து நன்கு கலக்கவும்.
சட்னி அல்லது ஊறுகாய் அல்லது தயிருடன் சூடாக பரிமாறவும்.</t>
  </si>
  <si>
    <t>https://madhurasrecipe.com/wp-content/uploads/2023/10/Sabudana-khichadi-Featured-Image.jpg</t>
  </si>
  <si>
    <t xml:space="preserve">   Onion – 2,
   Tomato – 3,
   Potato – 3
   Carrot and beans together - 1 cup,
   Peas – 1/3 cup,
   Capsicum – 1,
   Salt as required,
   Ginger – 1 inch piece,
   Garlic – 4-5 cloves,
   Green Chilli – 2,
   Chilli powder – 1 tsp,
   Pav Bhaji Masala – 2 tsp,
   Turmeric powder – 1/4 tsp,
   Butter – 2 tbsp,
   Oil – 1 tbsp,
   Cumin seeds – 1/2 tsp,
   Coriander leaves – 2 tbsp ,
   Onion – 2-3 tbsp,
   Lemon wedges – 2-3,
   Butter - 2 tsp.</t>
  </si>
  <si>
    <t>வெங்காயம் – 2,
தக்காளி – 3,
உருளைக்கிழங்கு – 3
கேரட் மற்றும் பீன்ஸ் சேர்த்து - 1 கப்,
பட்டாணி – 1/3 கப்,
கேப்சிகம் – 1,
தேவைக்கேற்ப உப்பு,
இஞ்சி – 1 அங்குல துண்டு,
பூண்டு – 4-5 பல்,
பச்சை மிளகாய் – 2,
மிளகாய் தூள் – 1 தேக்கரண்டி,
பாவ் பாஜி மசாலா – 2 தேக்கரண்டி,
மஞ்சள் தூள் – 1/4 தேக்கரண்டி,
வெண்ணெய் – 2 தேக்கரண்டி,
எண்ணெய் – 1 தேக்கரண்டி,
சீரகம் – 1/2 தேக்கரண்டி,
கொத்தமல்லி இலை – 2 தேக்கரண்டி,
வெங்காயம் – 2-3 தேக்கரண்டி,
எலுமிச்சை துண்டு – 2-3,
வெண்ணெய் - 2 தேக்கரண்டி.</t>
  </si>
  <si>
    <t>Heat oil + butter in a pan, add finely chopped onions and saute stirring continuously till golden brown. Add a little salt to speed up the process. (you can season 1/2 tsp of cumin seeds if you prefer).
Now add ginger + garlic+ green chilli paste and saute for a few minutes.
Add tomatoes and cook till tomatoes become mushy.
how to make pav bhaji masala 
Add carrot, beans, peas and capsicum.
Add chilli powder, turmeric powder and pav bhaji masala and mix well.
Add potatoes, needed salt, water needed and mix well. Cook covered on low heat for 10-15 minutes.
Then mash the bhaji well with a masher. Bhaji should neither be thick nor thin, so add water accordingly.
Cook for another 2-3 minutes on low heat. Garnish with finely chopped coriander leaves and add 2 tsp of butter on top.
Delicious Bhaji is now ready to be served.
Slice pav horizontally. Apply butter on both sides and toast pav until brown on both sides. Serve with hot bhaji topped with finely chopped raw onions and few drops of lemon juice.</t>
  </si>
  <si>
    <t>ஒரு பாத்திரத்தில் எண்ணெய் + வெண்ணெயை சூடாக்கி, இறுதியாக நறுக்கிய வெங்காயத்தைச் சேர்த்து, பொன்னிறமாகும் வரை தொடர்ந்து கிளறவும். செயல்முறையை விரைவுபடுத்த சிறிது உப்பு சேர்க்கவும். (நீங்கள் விரும்பினால் 1/2 தேக்கரண்டி சீரகம் தாளிக்கலாம்).
இப்போது இஞ்சி + பூண்டு + பச்சை மிளகாய் விழுது சேர்த்து சில நிமிடங்கள் வதக்கவும்.
தக்காளியைச் சேர்த்து தக்காளி மசியும் வரை வதக்கவும்.
பாவ் பாஜி மசாலா செய்வது எப்படி
கேரட், பீன்ஸ், பட்டாணி மற்றும் கேப்சிகம் சேர்க்கவும்.
மிளகாய் தூள், மஞ்சள் தூள் மற்றும் பாவ் பாஜி மசாலா சேர்த்து நன்கு கலக்கவும்.
தேவையான அளவு உப்பு, தேவையான அளவு தண்ணீர் சேர்த்து நன்கு கலக்கவும். குறைந்த தீயில் 10-15 நிமிடங்கள் மூடி வைக்கவும்.
பின்னர் பாஜியை ஒரு மசிப்பான் மூலம் நன்றாக மசிக்கவும். பாஜி கெட்டியாகவோ அல்லது மெல்லியதாகவோ இருக்கக்கூடாது, எனவே அதற்கேற்ப தண்ணீர் சேர்க்கவும்.
குறைந்த தீயில் மேலும் 2-3 நிமிடங்கள் சமைக்கவும். இறுதியாக நறுக்கிய கொத்தமல்லி இலைகளால் அலங்கரித்து மேலே 2 தேக்கரண்டி வெண்ணெய் சேர்க்கவும்.
சுவையான பாஜி இப்போது பரிமாற தயாராக உள்ளது.
பாவை கிடைமட்டமாக நறுக்கவும். இருபுறமும் வெண்ணெய் தடவி, இருபுறமும் பாவை பழுப்பு நிறமாக மாறும் வரை வறுக்கவும். இறுதியாக நறுக்கிய பச்சை வெங்காயம் மற்றும் சில துளிகள் எலுமிச்சை சாறுடன் சூடான பாஜியுடன் பரிமாறவும்.</t>
  </si>
  <si>
    <t>https://encrypted-tbn0.gstatic.com/images?q=tbn:ANd9GcRi4FeveUgU8z8YTEzlDFUU8b58zKGm6R7ziw&amp;s</t>
  </si>
  <si>
    <t>Radish Paratha</t>
  </si>
  <si>
    <t>முள்ளங்கி பராத்தா</t>
  </si>
  <si>
    <t xml:space="preserve">Whole wheat flour - 1 cup,
Oil – 2-3 tsp,
Salt – a pinch,
Grated Radish – 1 cup heaped ,
Cumin – 3/4 tsp,
Coriander powder - 1 tsp,
Red chilli Powder - 1/2 tsp,
Garam Masala - 1/4 tsp,
Coriander leaves – little.
</t>
  </si>
  <si>
    <t>முழு கோதுமை மாவு - 1 கப்,
எண்ணெய் - 2-3 தேக்கரண்டி,
உப்பு - ஒரு சிட்டிகை,
துருவிய முள்ளங்கி - 1 கப் குவித்து,
சீரகம் - 3/4 தேக்கரண்டி,
கொத்தமல்லி தூள் - 1 தேக்கரண்டி,
சிவப்பு மிளகாய் தூள் - 1/2 தேக்கரண்டி,
கரம் மசாலா - 1/4 தேக்கரண்டி,
கொத்தமல்லி இலை - சிறிது.</t>
  </si>
  <si>
    <t xml:space="preserve">Make equal sized balls from the dough and the stuffing.
Roll out the dough into a small circle, keep the stuffing inside, gather the ends and close it with the stuffing inside.
Press it slightly, dust wheat flour and roll out gently into a circle with sealed side on the top.
Heat a tawa, put the rolled out dough on it, wait for bubbles to appear,when you see bubbles appearing, spread oil on the surface and flip it over to the other side.
Now again apply a tsp of oil on the other side and cook both the sides well till brown specks appear. Press the corners of the paratha for it to get cooked well.
Mooli Paratha is ready to be served with pickle or chutney or curd.
</t>
  </si>
  <si>
    <t>மாவு மற்றும் ஸ்டஃபிங்கிலிருந்து சம அளவிலான உருண்டைகளை உருவாக்கவும்.
மாவை ஒரு சிறிய வட்டமாக உருட்டி, ஸ்டஃபிங்கை உள்ளே வைத்து, முனைகளைச் சேகரித்து, உள்ளே ஸ்டஃபிங்குடன் மூடவும்.
சிறிது அழுத்தி, கோதுமை மாவைத் தூவி, மேலே ஒரு மூடிய பக்கத்துடன் மெதுவாக வட்டமாக உருட்டவும்.
ஒரு தவாவை சூடாக்கி, அதன் மீது உருட்டிய மாவை வைத்து, குமிழ்கள் தோன்றும் வரை காத்திருந்து, குமிழ்கள் தோன்றுவதைக் கண்டதும், மேற்பரப்பில் எண்ணெய் தடவி, மறுபுறம் திருப்பிப் போடவும்.
இப்போது மீண்டும் ஒரு தேக்கரண்டி எண்ணெயை மறுபுறம் தடவி, இருபுறமும் பழுப்பு நிற புள்ளிகள் தோன்றும் வரை நன்கு சமைக்கவும். பரோட்டா நன்றாக வேக, அதன் மூலைகளை அழுத்தவும்.
மூலி பரோட்டா ஊறுகாய், சட்னி அல்லது தயிருடன் பரிமாற தயாராக உள்ளது.</t>
  </si>
  <si>
    <t>https://www.cubesnjuliennes.com/wp-content/uploads/2019/07/Punjabi-Mooli-Ka-Paratha-Recipe-500x500.jpg</t>
  </si>
  <si>
    <t>Lemon Sevai</t>
  </si>
  <si>
    <t>எலுமிச்சை சேவை</t>
  </si>
  <si>
    <t xml:space="preserve">   Idiyappam ,
   Juice of 1 lemon or as needed,
   Salt as required,
   Oil – 3 tsp,
   Mustard seeds – 1 tsp,
   Red Chilli – 1,
   Green Chilli – 1,
   asafoetida – a generous pinch,
   Bengal gram – 1 tsp,
   Turmeric powder – 1/4 tsp,
   Curry leaves – a sprig,
   Roasted Cashew nuts.</t>
  </si>
  <si>
    <t>இடியாப்பம்,
1 எலுமிச்சை சாறு அல்லது தேவைக்கேற்ப,
உப்பு தேவைக்கேற்ப,
எண்ணெய் - 3 தேக்கரண்டி,
கடுகு விதைகள் - 1 தேக்கரண்டி,
சிவப்பு மிளகாய் - 1,
பச்சை மிளகாய் - 1,
பெருங்காயம் - ஒரு சிட்டிகை,
வங்காள கிராம் - 1 தேக்கரண்டி,
மஞ்சள் தூள் - 1/4 தேக்கரண்டி,
கறிவேப்பிலை - ஒரு தளிர்,
வறுத்த முந்திரி பருப்பு.</t>
  </si>
  <si>
    <t>In a broad vessel, add lemon juice and salt. Keep it aside.
Heat a tsp of oil in a pan, fry cashew nuts until golden brown. Remove and keep it aside.
In the same pan, add the remaining oil and heat it. Add mustard seeds, when it splutters, add hing, red chillies, bengal gram, turmeric powder, curry leaves and green chillies.
Saute on low heat until dal turns golden brown.
Add the seasoning to the lemon juice mix. Add fried cashew nuts or roasted peanuts.
Add plain idiyappam to the above and mix well. Adjust salt and lemon juice according to your taste.
Serve it with chips or papads or appalam.</t>
  </si>
  <si>
    <t>ஒரு அகலமான பாத்திரத்தில், எலுமிச்சை சாறு மற்றும் உப்பு சேர்க்கவும். அதை ஒதுக்கி வைக்கவும்.
ஒரு கடாயில் ஒரு தேக்கரண்டி எண்ணெயை சூடாக்கி, முந்திரி பருப்புகளை பொன்னிறமாகும் வரை வறுக்கவும். அதை எடுத்து ஒதுக்கி வைக்கவும்.
அதே பாத்திரத்தில், மீதமுள்ள எண்ணெயைச் சேர்த்து சூடாக்கவும். கடுகு, அது வதங்கியதும், கீரை, சிவப்பு மிளகாய், வங்காள கிராம், மஞ்சள் தூள், கறிவேப்பிலை மற்றும் பச்சை மிளகாய் சேர்க்கவும்.
பருப்பு பொன்னிறமாகும் வரை குறைந்த வெப்பத்தில் வதக்கவும்.
எலுமிச்சை சாறு கலவையில் தாளிக்க வேண்டியவற்றைச் சேர்க்கவும். வறுத்த முந்திரி அல்லது வறுத்த வேர்க்கடலையைச் சேர்க்கவும்.
மேலே உள்ளவற்றுடன் சாதாரண இடியாப்பத்தைச் சேர்த்து நன்கு கலக்கவும். உங்கள் ருசிக்கேற்ப உப்பு மற்றும் எலுமிச்சை சாற்றை சரிசெய்யவும்.
சிப்ஸ் அல்லது பப்படம் அல்லது அப்பளத்துடன் பரிமாறவும்.</t>
  </si>
  <si>
    <t>https://rakskitchen.net/wp-content/uploads/2017/11/lemon-idiyappam-recipe-500x500.jpg</t>
  </si>
  <si>
    <t>Coconut Sevai</t>
  </si>
  <si>
    <t>தேங்காய் சேவை</t>
  </si>
  <si>
    <t xml:space="preserve">   Plain idiyappam,
   Salt needed,
   Oil – 3 tsp,
   Mustard seeds - 1 tsp,
   Urad dal – 1/2 tsp,
   Red chillies – 2,
   Hing – a pinch,
   Green chilli – 1 slit,
   Curry leaves – a sprig,
   Fresh coconut – 1/2 cup heaped grated,
   Fried Cashewnuts – 4-5.</t>
  </si>
  <si>
    <t>சாதாரண இடியாப்பம்,
உப்பு தேவை,
எண்ணெய் - 3 தேக்கரண்டி,
கடுகு விதைகள் - 1 தேக்கரண்டி,
உளுத்தம் பருப்பு - 1/2 தேக்கரண்டி,
சிவப்பு மிளகாய் - 2,
பெருங்காயம் - ஒரு சிட்டிகை,
பச்சை மிளகாய் - 1 துண்டு,
கறிவேப்பிலை - ஒரு தளிர்,
புதிய தேங்காய் - 1/2 கப் துருவியது,
வறுத்த முந்திரி பருப்பு - 4-5.</t>
  </si>
  <si>
    <t>Heat oil, add mustard seeds, when it splutters, add urad dal, red chillies, hing, green chilli and curry leaves.
When dal turns golden brown, add grated coconut and fry well on medium heat till the raw flavor goes. Add salt needed and mix well.
Add the plain idiyappam or sevai and mix well, so that is is well coated with the seasoning.
Garnish it with fried cashew nuts.
Serve with crushed papads or chips. Enjoy!!</t>
  </si>
  <si>
    <t>எண்ணெயை சூடாக்கி, கடுகு சேர்த்து, அது வதங்கியதும், உளுத்தம் பருப்பு, சிவப்பு மிளகாய், பெருங்காயம், பச்சை மிளகாய் மற்றும் கறிவேப்பிலை சேர்க்கவும்.
பருப்பு பொன்னிறமாக மாறியதும், துருவிய தேங்காய் சேர்த்து, பச்சை சுவை போகும் வரை மிதமான தீயில் நன்கு வதக்கவும். தேவையான உப்பு சேர்த்து நன்கு கலக்கவும்.
சாதாரண இடியாப்பம் அல்லது சேவையை சேர்த்து நன்கு கலக்கவும், அதனால் அது மசாலாவுடன் நன்கு பூசப்படும்.
வறுத்த முந்திரி பருப்புகளால் அலங்கரிக்கவும்.
நொறுக்கப்பட்ட பப்பாளி அல்லது சிப்ஸுடன் பரிமாறவும். மகிழுங்கள்!!</t>
  </si>
  <si>
    <t>https://www.archanaskitchen.com/images/archanaskitchen/Indian_Breakfast_Tiffins/Homemade_Thengai_Sevai_Recipe_-_Coconut_Idiyappam_Recipe-1.jpg</t>
  </si>
  <si>
    <t>Medhu Vadai</t>
  </si>
  <si>
    <t xml:space="preserve">Whole urad dal – 1 cup,
Green chilies – 2,
Raw rice – 1/2 -1 tsp,
Fried gram- 1/2 tsp ,
Salt -1 tsp flat,
Plastic sheet or banana leaf for making vadas,
Oil for deep frying.
</t>
  </si>
  <si>
    <t>முழு உளுத்தம் பருப்பு - 1 கப்,
பச்சை மிளகாய் - 2,
பச்சை அரிசி - 1/2 -1 தேக்கரண்டி,
பொரித்த பருப்பு - 1/2 தேக்கரண்டி,
உப்பு - 1 தேக்கரண்டி தட்டையானது,
வடை செய்வதற்கு பிளாஸ்டிக் தாள் அல்லது வாழை இலை,
ஆழமாக வறுக்க எண்ணெய்.</t>
  </si>
  <si>
    <t>Heat oil in a deep bottomed kadai. Once the oil is heated, reduce the flame to medium. To check if the oil is hot, drop a little batter, if it comes to the surface immediately, the oil is hot enough to fry the vadas.
Now take a bowl of water, wet your fingers and take a lemon sized vada batter, flatten it slightly on a plastic sheet or back of the banana leaf. Make a hole in the middle.and slowly transfer the shaped dough to your hands and slip it into the hot oil very gently. (be very careful while doing this)
Fry until it turns golden brown on both sides. Remove it from oil and place it on a colander or paper towel to drain excess oil.
Repeat the same process for the rest of the dough. You can fry 3-4 vadas at a time depending on the size of your kadai and the quantity of oil used.</t>
  </si>
  <si>
    <t>அடிப்படையிலான ஒரு கடாயில் எண்ணெயை சூடாக்கவும். எண்ணெய் சூடாக்கப்பட்டவுடன், தீயை நடுத்தரமாகக் குறைக்கவும். எண்ணெய் சூடாக இருக்கிறதா என்று சோதிக்க, சிறிது மாவை விடுங்கள், அது உடனடியாக மேற்பரப்புக்கு வந்தால், எண்ணெய் வடைகளை வறுக்கும் அளவுக்கு சூடாக இருக்கும்.
இப்போது ஒரு கிண்ணத்தில் தண்ணீர் எடுத்து, உங்கள் விரல்களை நனைத்து, எலுமிச்சை அளவு வடை மாவை எடுத்து, ஒரு பிளாஸ்டிக் தாளில் அல்லது வாழை இலையின் பின்புறத்தில் சிறிது தட்டையாக்குங்கள். நடுவில் ஒரு துளை செய்து, வடிவ மாவை மெதுவாக உங்கள் கைகளுக்கு மாற்றி, சூடான எண்ணெயில் மெதுவாக நனைக்கவும். (இதைச் செய்யும்போது மிகவும் கவனமாக இருங்கள்)
இருபுறமும் தங்க பழுப்பு நிறமாக மாறும் வரை வறுக்கவும். எண்ணெயிலிருந்து அதை எடுத்து, அதிகப்படியான எண்ணெயை வடிகட்ட ஒரு வடிகட்டி அல்லது காகிதத் துண்டின் மீது வைக்கவும்.
மீதமுள்ள மாவிற்கும் இதே செயல்முறையை மீண்டும் செய்யவும். உங்கள் கடாய் அளவு மற்றும் பயன்படுத்தப்படும் எண்ணெயின் அளவைப் பொறுத்து ஒரு நேரத்தில் 3-4 வடைகளை வறுக்கலாம்.</t>
  </si>
  <si>
    <t>https://www.sharmispassions.com/wp-content/uploads/2011/01/MeduVadai3.jpg</t>
  </si>
  <si>
    <t>https://youtu.be/GjnKrANjyqo</t>
  </si>
  <si>
    <t xml:space="preserve">   Potato - 3,
   Onion – 2 ,
   Green chilli - 2,
   Ginger – 1,
   Tomato - 1,
   Turmeric powder – a pinch,
   Chilli powder – 1/4 tsp or as required,
   Salt as required,
   Oil – 1 tbsp,
   Mustard seeds - 1/2 tsp,
   Urad dal – 1/2 tsp,
   Bread slices – 4-6,
   Butter – as required.
</t>
  </si>
  <si>
    <t>உருளைக்கிழங்கு - 3,
வெங்காயம் - 2,
பச்சை மிளகாய் - 2,
இஞ்சி - 1,
தக்காளி - 1,
மஞ்சள் தூள் - ஒரு சிட்டிகை,
மிளகாய் தூள் - 1/4 தேக்கரண்டி அல்லது தேவைக்கேற்ப,
தேவைக்கேற்ப உப்பு,
எண்ணெய் - 1 டீஸ்பூன்,
கடுகு - 1/2 தேக்கரண்டி,
உளுத்தம் பருப்பு - 1/2 தேக்கரண்டி,
ரொட்டி துண்டுகள் - 4-6,
வெண்ணெய் - தேவைக்கேற்ப.</t>
  </si>
  <si>
    <t>Heat oil in a pan, add mustard seeds, when it splutters, add urad dal. When dal turns golden brown, add onions, green chilli and ginger. Saute until onions turn transparent.
Add tomatoes and saute for a few more minutes.
Then add chopped potatoes, chilli powder, turmeric powder, salt needed and cook covered, stirring in between until potato are tender.
Now our potato stuffing is ready.</t>
  </si>
  <si>
    <t>ஒரு கடாயில் எண்ணெயை சூடாக்கி, கடுகு சேர்த்து, அது வதங்கியதும், உளுத்தம் பருப்பு சேர்க்கவும். பருப்பு பொன்னிறமாக மாறியதும், வெங்காயம், பச்சை மிளகாய் மற்றும் இஞ்சி சேர்க்கவும். வெங்காயம் வெளிப்படையானதாக மாறும் வரை வதக்கவும்.
தக்காளியைச் சேர்த்து இன்னும் சில நிமிடங்கள் வதக்கவும்.
பின்னர் நறுக்கிய உருளைக்கிழங்கு, மிளகாய் தூள், மஞ்சள் தூள், தேவையான அளவு உப்பு சேர்த்து மூடி வைத்து, உருளைக்கிழங்கு மென்மையாகும் வரை இடையில் கிளறவும்.
இப்போது எங்கள் உருளைக்கிழங்கு ஸ்டஃபிங் தயார்.</t>
  </si>
  <si>
    <t>Dessert</t>
  </si>
  <si>
    <t>Whole wheat flour – 1 cup,
Baking powder – 1 tsp,
Baking soda – 1/2 tspz,
Cinnamon powder – 1/2 tsp,
Salt – 1/8 tsp,
Jaggery – 1 cup powdered,
Curd  – 1/2 cup whisked,
Oil – 1/2 cup ,
Vanilla essence – 1 tsp.</t>
  </si>
  <si>
    <t>https://palatesdesire.com/wp-content/uploads/2022/09/bhapa-doi-recipe@palates-desire-4.jpg</t>
  </si>
  <si>
    <t>Elaneer Payasam</t>
  </si>
  <si>
    <t>இளநீர் பாயசம்</t>
  </si>
  <si>
    <t>Milk – 2 cups,
Sugar – 1/4 cup,
Tender coconut flesh – 3/4 cup,
Tender coconut water – 1/2 cup,
Coconut milk – 3/4 cup,
Cardamon powder – 1/4 tsp.</t>
  </si>
  <si>
    <t>பால் - 2 கப்,
சர்க்கரை - 1/4 கப்,
இளநீர் தேங்காய் சதை - 3/4 கப்,
இளநீர் தேங்காய் தண்ணீர் - 1/2 கப்,
தேங்காய் பால் - 3/4 கப்,
ஏலக்காய் தூள் - 1/4 டீஸ்பூன்.</t>
  </si>
  <si>
    <t>Boil 2 cups of milk until it reduces to 1 1/2 cup.
Add 1/4 cup of sugar and boil until sugar dissolves. Turn off the heat and let it cool completely.
Blend 3/4 cup of tender coconut flesh with 1/2 cup of tender coconut water.
Extract coconut milk - Blend 1 cup of grated coconut with 1 cup of lukewarm water and strain it using a muslin cloth or strainer. Homemade Coconut milk is ready.
Mix together the reduced milk, 1/4 tsp cardamom powder, coarsely ground tender coconut mixture and 3/4 cup of coconut milk.
Refrigerate for 4-5 hours.
Tender coconut payasam or Elaneer Payasam is ready. Serve chilled.</t>
  </si>
  <si>
    <t>2 கப் பால் 1 1/2 கப் ஆக குறையும் வரை கொதிக்க வைக்கவும்.
1/4 கப் சர்க்கரை சேர்த்து சர்க்கரை கரையும் வரை கொதிக்க வைக்கவும். தீயை அணைத்து முழுமையாக ஆற விடவும்.
3/4 கப் இளநீர் தேங்காய் துருவலை 1/2 கப் இளநீர் உடன் கலக்கவும்.
தேங்காய் பால் எடுக்கவும் - 1 கப் துருவிய தேங்காயை 1 கப் வெதுவெதுப்பான நீரில் கலந்து மஸ்லின் துணி அல்லது வடிகட்டியைப் பயன்படுத்தி வடிகட்டவும். வீட்டில் தயாரிக்கப்பட்ட தேங்காய் பால் தயாராக உள்ளது.
குறைந்த பால், 1/4 டீஸ்பூன் ஏலக்காய் தூள், கரடுமுரடான தேங்காய் கலவை மற்றும் 3/4 கப் தேங்காய் பால் ஆகியவற்றை ஒன்றாக கலக்கவும்.
4-5 மணி நேரம் குளிர்சாதன பெட்டியில் வைக்கவும்.
தேங்காய் பாயசம் அல்லது இளநீர் பாயசம் தயார். குளிரவைத்து பரிமாறவும்.</t>
  </si>
  <si>
    <t>https://encrypted-tbn0.gstatic.com/images?q=tbn:ANd9GcTScklkMQRojrEdipbpI9vnA1w2-3-UBcamfg&amp;s</t>
  </si>
  <si>
    <t>https://youtu.be/Ue7fXGoyLgc</t>
  </si>
  <si>
    <t>Peanut Ladoo</t>
  </si>
  <si>
    <t>வேர்க்கடலை லட்டு</t>
  </si>
  <si>
    <t xml:space="preserve">   Peanuts – 1 cup,
   Dry Coconut – 1 cups,
   Sesame seeds – 1/2 cup,
   Ghee/clarified butter – 6 tbsp,
   Jaggery – 1 cup grated,
   Dry ginger powder – 1 tbsp,
   Ganthola powder – 2 tsp .</t>
  </si>
  <si>
    <t>வேர்க்கடலை - 1 கப்,
உலர்ந்த தேங்காய் - 1 கப்,
எள் - 1/2 கப்,
நெய் / தெளித்த வெண்ணெய் - 6 டீஸ்பூன்,
வெல்லம் - 1 கப் துருவியது,
உலர்ந்த இஞ்சி தூள் - 1 டீஸ்பூன்,
கண்டோலா தூள் - 2 டீஸ்பூன்.</t>
  </si>
  <si>
    <t xml:space="preserve">In a bowl, mix together powdered sesame seeds and powdered ground nut/peanut powder.
Add dry coconut powder, dry ginger powder and ganthola powder. Mix everything well.
groundnut laddu recipes 
Heat 2-3 tbsp of water and dissolve jaggery in it. Filter it to remove any impurities.
Now add ghee to the filtered jaggery and heat it again. Boil until it bubbles and starts thickening.
Groundnut Sesame Seed Coconut Laddu with Jaggery
Add the jaggery syrup to the peanut, coconut and sesame seed mix.
Mix well until there is no dry flour.
Once the mixture is warm, make even sized smooth balls from the mixture.
After it cools completely, store it in an airtight container. It stays at room temperature for 1 month and for a longer period, if refrigerated. </t>
  </si>
  <si>
    <t>ஒரு பாத்திரத்தில், பொடித்த எள் விதைகள் மற்றும் பொடித்த வேர்க்கடலை / வேர்க்கடலை தூள் ஆகியவற்றை ஒன்றாக கலக்கவும்.
உலர்ந்த தேங்காய் தூள், உலர்ந்த இஞ்சி தூள் மற்றும் கண்டோலா தூள் சேர்க்கவும். அனைத்தையும் நன்றாக கலக்கவும்.
வேர்க்கடலை லட்டு செய்முறைகள்
2-3 டீஸ்பூன் தண்ணீரை சூடாக்கி, அதில் வெல்லத்தை கரைக்கவும். ஏதேனும் அசுத்தங்கள் நீக்க அதை வடிகட்டி வைக்கவும்.
இப்போது வடிகட்டிய வெல்லத்தில் நெய்யைச் சேர்த்து மீண்டும் சூடாக்கவும். அது குமிழியாகி கெட்டியாகும் வரை கொதிக்க வைக்கவும்.
வெல்லத்துடன் நிலக்கடலை எள் விதை தேங்காய் லட்டு
வேர்க்கடலை, தேங்காய் மற்றும் எள் விதை கலவையில் வெல்லம் சிரப்பைச் சேர்க்கவும்.
உலர்ந்த மாவு இல்லாத வரை நன்கு கலக்கவும்.
கலவை சூடாக்கப்பட்டவுடன், கலவையிலிருந்து சம அளவிலான மென்மையான பந்துகளை உருவாக்கவும்.
முழுமையாக குளிர்ந்த பிறகு, காற்று புகாத கொள்கலனில் சேமிக்கவும். இது அறை வெப்பநிலையில் 1 மாதம் வரை நீடிக்கும், குளிர்சாதன பெட்டியில் வைத்தால் நீண்ட காலம் நீடிக்கும்.</t>
  </si>
  <si>
    <t>https://encrypted-tbn0.gstatic.com/images?q=tbn:ANd9GcRNlP0A3wUJlkK0xvatS7iNR3vANURd5glJiA&amp;s</t>
  </si>
  <si>
    <t xml:space="preserve">   Milkmaid – 200 gms,
   Milk powder – 1 tbsp heaped,
   Paneer – 200 grams,
   Cardamom powder – 1/4 tsp,
   Pistachio – 2 tbsp.</t>
  </si>
  <si>
    <t>மில்க்மெய்ட் - 200 கிராம்,
பால் பவுடர் - 1 டேபிள் ஸ்பூன் குவித்து,
பனீர் - 200 கிராம்,
ஏலக்காய் பொடி - 1/4 டேபிள் ஸ்பூன்,
பிஸ்தா - 2 டேபிள் ஸ்பூன்.</t>
  </si>
  <si>
    <t xml:space="preserve">Grease a plate with few drops of ghee or you can use a baking tin lined with parchment paper.
Squeeze out water from the paneer if any. Grate or crumble paneer. You can use the mixie to crumble paneer using the whipper button just for a second.
In a pan (preferably non stick), mix together paneer, sweetened condensed milk/milkmaid and milk powder.
kalakand using condensed milk/milkmaid
Mix everything well and then switch on the heat. Mash well and cook on low heat.
The mixture will start thickening. Add cardamom powder and mix well.
Cook further until the mixture leaves the sides of the pan.
Remove from heat and transfer the mixture into the greased tray or plate. Spread it evenly to 1 inch thickness and press it well.
Smoothen the top and decorate it with chopped pistachios. (I removed the skin of pistachios by soaking it in hot water for 10 minutes. Then chopped it finely and garnished it.)
Let it cool completely. Once it cools, refrigerate for an hour and cut it into pieces. </t>
  </si>
  <si>
    <t>ஒரு தட்டில் சில துளிகள் நெய் தடவவும் அல்லது காகிதத்தோல் பூசப்பட்ட பேக்கிங் டின்னைப் பயன்படுத்தலாம்.
பனீரிலிருந்து ஏதேனும் இருந்தால் தண்ணீரை பிழிந்து எடுக்கவும். பனீரை தட்டி அல்லது நொறுக்கவும். விப்பர் பொத்தானைப் பயன்படுத்தி மிக்ஸியைப் பயன்படுத்தி பனீர் நொறுக்கலாம்.
ஒரு பாத்திரத்தில் (முன்னுரிமை குச்சி அல்லாதது), பனீர், இனிப்பு அமுக்கப்பட்ட பால்/மில்க்மெய்ட் மற்றும் பால் பவுடரை ஒன்றாக கலக்கவும்.
கன்டென்ஸ்டு மில்க்மெய்டைப் பயன்படுத்தி கலாகண்ட்
எல்லாவற்றையும் நன்றாகக் கலந்து, பின்னர் தீயை இயக்கவும். நன்றாக மசித்து குறைந்த தீயில் சமைக்கவும்.
கலவை கெட்டியாகத் தொடங்கும். ஏலக்காய் பொடியைச் சேர்த்து நன்கு கலக்கவும்.
கலவை பாத்திரத்தின் பக்கங்களை விட்டு வெளியேறும் வரை மேலும் சமைக்கவும்.
அடுப்பிலிருந்து இறக்கி, நெய் தடவிய தட்டு அல்லது தட்டில் கலவையை மாற்றவும். 1 அங்குல தடிமனாக சமமாக பரப்பி நன்றாக அழுத்தவும்.
மேற்புறத்தை மென்மையாக்கி, நறுக்கிய பிஸ்தாக்களால் அலங்கரிக்கவும். (பிஸ்தாவின் தோலை 10 நிமிடங்கள் வெந்நீரில் ஊறவைத்து நீக்கினேன். பின்னர் அதை நன்றாக நறுக்கி அலங்கரிக்கிறேன்.)
முழுமையாக ஆற விடவும். அது ஆறியதும், ஒரு மணி நேரம் குளிர்சாதன பெட்டியில் வைத்து துண்டுகளாக வெட்டவும்.</t>
  </si>
  <si>
    <t>https://someindiangirl.com/wp-content/uploads/2023/08/Kalakand-Recipe-Paneer-08631.jpg</t>
  </si>
  <si>
    <t xml:space="preserve">   Full fat Milk – 5 cups,
   Sugar – 1/3 cup,
   Saffron – 6-7 strands,
   Pistachios – 3 tbsp,
   Cardamom powder – 1/8 tsp,
   Edible camphor – a pinch.</t>
  </si>
  <si>
    <t>முழு கொழுப்புள்ள பால் - 5 கப்,
சர்க்கரை - 1/3 கப்,
குங்குமப்பூ - 6-7 இழைகள்,
பிஸ்தா - 3 டீஸ்பூன்,
ஏலக்காய் தூள் - 1/8 டீஸ்பூன்,
உண்ணக்கூடிய கற்பூரம் - ஒரு சிட்டிகை.</t>
  </si>
  <si>
    <t>As the milk cooks, you will find a layer of cream/malai (palada) forming at the top. Collect the cream in a bowl. Once you collect the cream, stir the milk. Then again after few minutes, a layer of cream forms on the surface/top of the milk.
Keep collecting the cream (palada) until the milk reduces to half its original quantity. I have collected all the cream in a small bowl as you can see in the picture (right) below.
After the milk reduces to half, add sugar and stir for the sugar to dissolve. Add cardamom powder, edible camphor and the saffron soaked milk and turn off the heat. Let the milk cool completely.
Once the milk is completely cool, add the collected malai/palada back into the milk. Scrap the cream stuck on the sides of the pan and put it back into the milk.
Garnish with finely chopped pistachios. Refrigerate and serve chilled. 
It is the cream which gives texture to the basundi. The flavor and texture of the basundi is simply mind blowing. Yes, it does take time to make basundi but it is worth the effort.</t>
  </si>
  <si>
    <t>பால் கொதிக்கும் போது, ​​மேலே கிரீம்/மலாய் (பலாடா) ஒரு அடுக்கு உருவாகும். ஒரு கிண்ணத்தில் கிரீம் சேகரிக்கவும். நீங்கள் கிரீம் சேகரித்தவுடன், பாலை கிளறவும். பின்னர் சில நிமிடங்களுக்குப் பிறகு, பாலின் மேற்பரப்பில்/மேல் பகுதியில் கிரீம் ஒரு அடுக்கு உருவாகும்.
பால் அதன் அசல் அளவு பாதியாகக் குறையும் வரை கிரீம் (பலாடா) ஒரு அடுக்கு தொடர்ந்து சேகரிக்கவும். கீழே உள்ள படத்தில் (வலது) நீங்கள் காணக்கூடியது போல, ஒரு சிறிய கிண்ணத்தில் அனைத்து கிரீமையும் சேகரித்துள்ளேன்.
பால் பாதியாகக் குறைந்த பிறகு, சர்க்கரையைச் சேர்த்து சர்க்கரை கரையும் வரை கிளறவும். ஏலக்காய் தூள், உண்ணக்கூடிய கற்பூரம் மற்றும் குங்குமப்பூ ஊறவைத்த பால் சேர்த்து வெப்பத்தை அணைக்கவும். பாலை முழுமையாக ஆற விடவும்.
பால் முழுவதுமாக குளிர்ந்ததும், சேகரிக்கப்பட்ட மலாய்/பலாடாவை மீண்டும் பாலில் சேர்க்கவும். பாத்திரத்தின் ஓரங்களில் ஒட்டியிருக்கும் கிரீமைத் துடைத்து மீண்டும் பாலில் போடவும்.
இறுதியாக நறுக்கிய பிஸ்தாக்களால் அலங்கரித்து குளிர்சாதன பெட்டியில் வைத்து குளிர்வித்து பரிமாறவும்.
பாசுந்திக்கு மென்மையான தன்மையைக் கொடுப்பது கிரீம் தான். பாசுந்தியின் சுவை மற்றும் அமைப்பு வெறுமனே பிரமிக்க வைக்கிறது. ஆம், பாசுந்தி செய்ய நேரம் எடுக்கும், ஆனால் அது முயற்சிக்கு மதிப்புள்ளது.</t>
  </si>
  <si>
    <t>https://www.sharmispassions.com/wp-content/uploads/2014/12/basundi4.jpg</t>
  </si>
  <si>
    <t xml:space="preserve">   Gulab Jamun Mix – 1 cup,
   Sugar – 1 cup,
   Water – 1 cup,
   Lemon juice – 4 drops,
   Cardamom powder – 1/8 tsp,
   Saffron – 5-6 strands,
   Oil for frying jamuns,
   desiccated coconut powder – 1/4 cup,
   Powdered sugar – 2 tsp,
   Pistachio – 1 tbsp chopped.</t>
  </si>
  <si>
    <t>குலாப் ஜாமுன் கலவை - 1 கப்,
சர்க்கரை - 1 கப்,
தண்ணீர் - 1 கப்,
எலுமிச்சை சாறு - 4 சொட்டுகள்,
ஏலக்காய் தூள் - 1/8 தேக்கரண்டி,
குங்குமப்பூ - 5-6 இழைகள்,
ஜாமுன்களை வறுக்க எண்ணெய்,
தேங்காய் தூள் - 1/4 கப்,
பொடித்த சர்க்கரை - 2 தேக்கரண்டி,
பிஸ்தா - 1 தேக்கரண்டி நறுக்கியது.</t>
  </si>
  <si>
    <t xml:space="preserve">You can use any gulab jamun mix. I used MTR gulab mix. First sieve the gulab jamun mix to prevent lumps.
Mix sugar and water, stir for the sugar to dissolve slightly. Then switch on the heat and boil it. Add lemon juice and boil for 8-10 minutes or until slightly sticky consistency. Turn off the heat and add saffron strands and cardamom powder. 
Now we will make the dough. Add water little at a time and make a soft and smooth dough. I added approximately 1/4 cup of water for 1 cup gulab mix. It is an approximate measure. You may need less or more. Do not knead the dough. Cover and let the dough rest for 5 minutes.
Divide the dough into equal parts. Grease your hands with ghee and make smooth balls out of it. Make sure that there are no cracks.
Heat oil (to know if the oil is hot, just drop a piece of dough into the oil, if it raises to the surface immediately, the oil is hot). Now reduce the heat to low and drop 3-4 balls depending on the amount of oil used.
After the first few seconds, keep stirring gently so that it cooks well and gets an even color all over.
Once the color changes to brown, remove the gulab jamuns from oil with a slotted ladle and drop it into the warm sugar syrup. </t>
  </si>
  <si>
    <t>நீங்கள் எந்த குலாப் ஜாமுன் கலவையையும் பயன்படுத்தலாம். நான் MTR குலாப் கலவையைப் பயன்படுத்தினேன். கட்டிகள் வராமல் இருக்க முதலில் குலாப் ஜாமுன் கலவையை சலிக்கவும்.
சர்க்கரை மற்றும் தண்ணீரை கலந்து, சர்க்கரை சிறிது கரையும் வரை கிளறவும். பின்னர் தீயை இயக்கி கொதிக்க வைக்கவும். எலுமிச்சை சாற்றைச் சேர்த்து 8-10 நிமிடங்கள் அல்லது சிறிது ஒட்டும் நிலைத்தன்மை வரை கொதிக்க வைக்கவும். தீயை அணைத்து குங்குமப்பூ இழைகள் மற்றும் ஏலக்காய் தூள் சேர்க்கவும்.
இப்போது மாவை செய்வோம். சிறிது சிறிதாக தண்ணீர் சேர்த்து மென்மையான மற்றும் மென்மையான மாவை உருவாக்கவும். 1 கப் குலாப் கலவைக்கு சுமார் 1/4 கப் தண்ணீர் சேர்த்தேன். இது ஒரு தோராயமான அளவு. உங்களுக்கு குறைவாகவோ அல்லது அதிகமாகவோ தேவைப்படலாம். மாவை பிசைய வேண்டாம். மாவை மூடி 5 நிமிடங்கள் அப்படியே வைக்கவும்.
மாவை சம பாகங்களாகப் பிரிக்கவும். உங்கள் கைகளில் நெய் தடவி, மென்மையான பந்துகளை உருவாக்கவும். விரிசல்கள் இல்லாமல் பார்த்துக் கொள்ளுங்கள்.
எண்ணெயை சூடாக்கவும் (எண்ணெய் சூடாக இருக்கிறதா என்று அறிய, மாவின் ஒரு பகுதியை எண்ணெயில் விடுங்கள், அது உடனடியாக மேற்பரப்புக்கு உயர்ந்தால், எண்ணெய் சூடாக இருக்கும்). இப்போது தீயைக் குறைத்து, பயன்படுத்தப்படும் எண்ணெயின் அளவைப் பொறுத்து 3-4 பந்துகளை விடுங்கள்.
முதல் சில வினாடிகளுக்குப் பிறகு, மெதுவாகக் கிளறவும், இதனால் அது நன்றாக வேகும் மற்றும் முழுவதும் சீரான நிறத்தைப் பெறும்.
நிறம் பழுப்பு நிறமாக மாறியதும், குலாப் ஜாமூன்களை எண்ணெயிலிருந்து ஒரு துளையிடப்பட்ட கரண்டியால் அகற்றி, சூடான சர்க்கரை பாகில் போடவும்.</t>
  </si>
  <si>
    <t>https://encrypted-tbn0.gstatic.com/images?q=tbn:ANd9GcS_8EAdAv5Xf3XF81mmvUtw29ba7ETL-QCCHw&amp;s</t>
  </si>
  <si>
    <t>Wheat Badusha</t>
  </si>
  <si>
    <t>கோதுமை பாதுஷா</t>
  </si>
  <si>
    <t xml:space="preserve">   Wheat flour – 3/4 cup,
   Cornflour – 1 tbsp,
    thick ghee – 1/4 cup,
   Powdered sugar – 1 tsp,
   Thick curd – 1 tbsp,
   Cooking soda – 1/8 tsp,
   Sugar – 1/2 cup,
   Water – 1/4 cup.</t>
  </si>
  <si>
    <t>கோதுமை மாவு - 3/4 கப்,
சோள மாவு - 1 டீஸ்பூன்,
கெட்டியான நெய் - 1/4 கப்,
பொடித்த சர்க்கரை - 1 டீஸ்பூன்,
கெட்டியான தயிர் - 1 டீஸ்பூன்,
சமையல் சோடா - 1/8 டீஸ்பூன்,
சர்க்கரை - 1/2 கப்,
தண்ணீர் - 1/4 கப்.</t>
  </si>
  <si>
    <t>In a wide bowl, mix together, wheat flour, cornflour and thick ghee or dalda.
Mix with your finger tips until the mixture becomes like bread crumbs in texture. Add powdered sugar to it and mix with your finger tips.
Beat together or mix vigorously curd and soda together with your fingers until foamy. Mix at least for 6-10 minutes.
Add the wheat flour mixture to the curd mixture and make a soft dough using very less water (a spoonful at a time). Knead it well and cover it. Let the dough rest for 30 minutes.
Mix sugar in 1/4 cup of warm water and stir to let the sugar dissolve to some extent. Then switch on the flame/heat and boil the sugar syrup, stirring until you get a sticky consistency. It is known as “pisuku padam” in Tamil. Switch off the syrup.
Now divide the dough equally and make small smooth balls from each piece. There should be no cracks. Then press it slightly and make a dent in the middle.
Heat oil, drop a small bit of dough into the oil, if it raises to the surface immediatly, the oil is hot.
Now reduce the heat to low and fry 3-4 badushas depending on the quantity of oil used. Do not disturb for the first few seconds. Then gently stir, flip it over and cook the badushas until golden brown on both sides.
Once it turns golden brown, remove it with a slotted ladle and drop it into the warm sugar syrup. (sugar syrup should not be very hot).
Let is remain soaked in sugar syrup for 15-20 minutes.
Then remove the badushas from the sugar syrup. Once the sugar syrup dries a little, decorate it with colored coconut or chopped nuts.</t>
  </si>
  <si>
    <t>ஒரு அகலமான கிண்ணத்தில், கோதுமை மாவு, சோள மாவு மற்றும் கெட்டியான நெய் அல்லது டால்டா ஆகியவற்றை ஒன்றாகக் கலக்கவும்.
கலவை ரொட்டித் துண்டுகள் போல மாறும் வரை உங்கள் விரல் நுனியில் கலக்கவும். அதில் பொடித்த சர்க்கரையைச் சேர்த்து உங்கள் விரல் நுனியில் கலக்கவும்.
ஒன்றாக அடிக்கவும் அல்லது தயிர் மற்றும் சோடாவை உங்கள் விரல்களால் நுரை வரும் வரை நன்கு கலக்கவும். குறைந்தது 6-10 நிமிடங்கள் கலக்கவும்.
கோதுமை மாவு கலவையை தயிர் கலவையில் சேர்த்து, மிகக் குறைந்த தண்ணீரைப் பயன்படுத்தி (ஒரு நேரத்தில் ஒரு ஸ்பூன்) மென்மையான மாவை உருவாக்கவும். அதை நன்றாகப் பிசைந்து மூடி வைக்கவும். மாவை 30 நிமிடங்கள் அப்படியே விடவும்.
1/4 கப் வெதுவெதுப்பான நீரில் சர்க்கரையை கலந்து, சர்க்கரை சிறிது கரையும் வரை கிளறவும். பின்னர் சுடரை/சூடாக்கி, சர்க்கரை பாகை கொதிக்க வைத்து, ஒட்டும் தன்மை வரும் வரை கிளறவும். இது தமிழில் “பிசுக்கு பதம்” என்று அழைக்கப்படுகிறது. சிரப்பை அணைக்கவும்.
இப்போது மாவை சமமாகப் பிரித்து ஒவ்வொரு துண்டிலிருந்தும் சிறிய மென்மையான பந்துகளை உருவாக்கவும். எந்த விரிசல்களும் இருக்கக்கூடாது. பின்னர் அதை சிறிது அழுத்தி நடுவில் ஒரு பள்ளத்தை உருவாக்கவும்.
எண்ணெயை சூடாக்கி, சிறிது மாவை எண்ணெயில் விடவும், அது உடனடியாக மேற்பரப்புக்கு உயர்ந்தால், எண்ணெய் சூடாக இருக்கும்.
இப்போது தீயை குறைத்து, பயன்படுத்தப்படும் எண்ணெயின் அளவைப் பொறுத்து 3-4 பாதுஷாக்களை வறுக்கவும். முதல் சில வினாடிகள் தொந்தரவு செய்ய வேண்டாம். பின்னர் மெதுவாக கிளறி, அதை புரட்டி, பாதுஷாக்களை இருபுறமும் பொன்னிறமாகும் வரை சமைக்கவும்.
அது பொன்னிறமாக மாறியதும், துளையிடப்பட்ட கரண்டியால் அதை அகற்றி சூடான சர்க்கரை பாகைக்குள் விடவும். (சர்க்கரை பாகு மிகவும் சூடாக இருக்கக்கூடாது).
சர்க்கரை பாகுவில் 15-20 நிமிடங்கள் ஊற வைக்கவும்.
பின்னர் பாதுஷாக்களை சர்க்கரை பாகிலிருந்து அகற்றவும். சர்க்கரை பாகு சிறிது காய்ந்ததும், அதை வண்ண தேங்காய் அல்லது நறுக்கிய கொட்டைகளால் அலங்கரிக்கவும்.</t>
  </si>
  <si>
    <t>https://encrypted-tbn0.gstatic.com/images?q=tbn:ANd9GcQdYeUbZ-mx__vhsg677O7tE1jVj-p6163FPQ&amp;s</t>
  </si>
  <si>
    <t>ரொட்டி ரஸ்மலாய்</t>
  </si>
  <si>
    <t xml:space="preserve">   Bread slices – 5-6,
   Milk – 3 cups,
   Fresh cream – 1/2 cup,
   Condensed milk – 5-6 tbsp,
   Saffron – 6-7 strands,
   Cardamom powder – 1/4 tsp,
   Almonds – 1 tbsp chopped,
   Pistashio – 2 tbsp chopped.</t>
  </si>
  <si>
    <t>ரொட்டி துண்டுகள் - 5-6,
பால் - 3 கப்,
புதிய கிரீம் - 1/2 கப்,
அமுக்கப்பட்ட பால் - 5-6 டீஸ்பூன்,
குங்குமப்பூ - 6-7 இழைகள்,
ஏலக்காய் தூள் - 1/4 டீஸ்பூன்,
பாதாம் - 1 டீஸ்பூன் நறுக்கியது,
பிஸ்தாஷியோ - 2 டீஸ்பூன் நறுக்கியது.</t>
  </si>
  <si>
    <t>Boil 3 cups of milk. When it starts boiling, reduce the heat and cook stirring in between for 10 minutes.
Soak 6-7 strands of saffron in 2 tbsp of hot milk. Crush the strands slightly to release the color and flavor.
Reduce the heat and add fresh cream (you can use amul cream) and condensed milk (I used milkmaid) to the milk. Mix well and cook for another 2 minutes on low heat.
Add cardamom powder and saffron soaked milk. Leave it to cool.
Take 5-6 bread slices and using a cookie cutter or a lid or any cup, cut 2 round shapes (circle) from each slice. You will get 10-12 pieces.
Arrange all the bread pieces/rounds in a shallow bowl.
When the milk is completely cool, pour little milk on the bread pieces (just enough to soak the bread).
Then refrigerate the bread and the remaining milk separately for 30-40 minutes.
After 40 minutes, pour the remaining milk as needed on the bread pieces, garnish with chopped almonds, chopped pistachio and sprinkle a pinch of cardamom powder (you can set aside just little milk to add at the time of serving).
Refrigerate for another 3 hours and serve chilled. Enjoy!!</t>
  </si>
  <si>
    <t>3 கப் பாலை கொதிக்க வைக்கவும். அது கொதிக்க ஆரம்பித்ததும், தீயைக் குறைத்து, இடையில் கிளறி 10 நிமிடங்கள் சமைக்கவும்.
2 டீஸ்பூன் சூடான பாலில் 6-7 இழைகள் குங்குமப்பூவை ஊற வைக்கவும். நிறம் மற்றும் சுவையை வெளியிட இழைகளை சிறிது நசுக்கவும்.
தீயைக் குறைத்து, பாலில் புதிய கிரீம் (நீங்கள் அமுல் கிரீம் பயன்படுத்தலாம்) மற்றும் கண்டன்ஸ்டு மில்க்மெய்ட் (நான் மில்க்மெய்ட் பயன்படுத்தினேன்) சேர்க்கவும். நன்கு கலந்து குறைந்த வெப்பத்தில் மேலும் 2 நிமிடங்கள் சமைக்கவும்.
ஏலக்காய் தூள் மற்றும் குங்குமப்பூ ஊறவைத்த பால் சேர்க்கவும். அதை குளிர்விக்க விடவும்.
5-6 பிரட் துண்டுகளை எடுத்து, ஒரு குக்கீ கட்டர் அல்லது ஒரு மூடி அல்லது ஏதேனும் ஒரு கோப்பையைப் பயன்படுத்தி, ஒவ்வொரு துண்டுகளிலிருந்தும் 2 வட்ட வடிவங்களை (வட்டம்) வெட்டுங்கள். உங்களுக்கு 10-12 துண்டுகள் கிடைக்கும்.
அனைத்து பிரட் துண்டுகளையும்/வட்டங்களை ஒரு ஆழமற்ற கிண்ணத்தில் அடுக்கி வைக்கவும்.
பால் முழுவதுமாக குளிர்ந்ததும், பிரட் துண்டுகளில் சிறிது பால் ஊற்றவும் (ரொட்டியை ஊற வைக்கும் அளவுக்கு).
பின்னர் பிரட்டையும் மீதமுள்ள பாலையும் தனித்தனியாக 30-40 நிமிடங்கள் குளிர்சாதன பெட்டியில் வைக்கவும்.
40 நிமிடங்களுக்குப் பிறகு, மீதமுள்ள பாலை ரொட்டி துண்டுகளில் தேவைக்கேற்ப ஊற்றி, நறுக்கிய பாதாம், நறுக்கிய பிஸ்தாவால் அலங்கரித்து, ஒரு சிட்டிகை ஏலக்காய் தூள் தூவி (பரிமாறும் போது சேர்க்க சிறிது பால் மட்டும் ஒதுக்கி வைக்கலாம்).
மேலும் 3 மணி நேரம் குளிர்சாதன பெட்டியில் வைத்து, குளிர்ந்து பரிமாறவும். மகிழுங்கள்!!</t>
  </si>
  <si>
    <t>https://www.potsandpans.in/cdn/shop/articles/Bread_Rasmalai.jpg?v=1673867993</t>
  </si>
  <si>
    <t>Atta Ladoo with Jaggery</t>
  </si>
  <si>
    <t>வெல்லத்துடன் ஆட்டா லட்டு</t>
  </si>
  <si>
    <t xml:space="preserve">    Wheat Flour – 1 cup,
   Ghee  – 1/2 cup,
   Powdered Jaggery – 1/2 cup,
   Nuts – 1/2 cup flat,
   Cardamom powder – 1/4 tsp.
</t>
  </si>
  <si>
    <t>கோதுமை மாவு - 1 கப்,
நெய் - 1/2 கப்,
பொடித்த வெல்லம் - 1/2 கப்,
கொட்டைகள் - 1/2 கப் தட்டையானது,
ஏலக்காய் தூள் - 1/4 தேக்கரண்டி.</t>
  </si>
  <si>
    <t xml:space="preserve">Dry roast the nuts and chop it finely or grind it coarsely once it cools.
Dry roast the wheat flour on low heat stirring continuously for 7-8 minutes or until it changes color slightly and you get a nice aroma of roasted flour.
Add melted ghee and roast for another 3-4 minutes on low heat.
Add the roasted and coarsely powdered nuts. Mix well.
Once it is warm, add the jaggery powder and mix well (do not add powdered jaggery/powdered sugar when it is hot).
Mix well and make even sized balls from the mixture. The balls will be a bit loose or too soft but will become firm after few hours.
Store it in an air tight container. Stays good for 10-15 days at room temperature.
</t>
  </si>
  <si>
    <t>கொட்டைகளை உலர்த்தி வறுத்து நன்றாக நறுக்கவும் அல்லது அது ஆறியதும் கரடுமுரடாக அரைக்கவும்.
கோதுமை மாவை குறைந்த வெப்பத்தில் 7-8 நிமிடங்கள் அல்லது சிறிது நிறம் மாறி வறுத்த மாவின் நல்ல வாசனை வரும் வரை உலர்த்தி வறுக்கவும்.
உருக்கிய நெய்யைச் சேர்த்து, குறைந்த வெப்பத்தில் மேலும் 3-4 நிமிடங்கள் வறுக்கவும்.
வறுத்த மற்றும் கரடுமுரடான பொடித்த கொட்டைகளைச் சேர்க்கவும். நன்றாக கலக்கவும்.
அது சூடாக்கப்பட்டவுடன், வெல்லப் பொடியைச் சேர்த்து நன்கு கலக்கவும் (சூடான போது பொடித்த வெல்லம்/பொடித்த சர்க்கரையைச் சேர்க்க வேண்டாம்).
நன்றாகக் கலந்து, கலவையிலிருந்து சம அளவிலான உருண்டைகளை உருவாக்கவும். உருண்டைகள் சற்று தளர்வாகவோ அல்லது மிகவும் மென்மையாகவோ இருக்கும், ஆனால் சில மணி நேரம் கழித்து உறுதியாகிவிடும்.
காற்று புகாத கொள்கலனில் சேமிக்கவும். அறை வெப்பநிலையில் 10-15 நாட்கள் நன்றாக இருக்கும்.</t>
  </si>
  <si>
    <t>https://encrypted-tbn0.gstatic.com/images?q=tbn:ANd9GcQHLSHn-8AZydWNkJGAGuIJ82M6OVLsJ1LxNw&amp;s</t>
  </si>
  <si>
    <t>Apple Kheer</t>
  </si>
  <si>
    <t>ஆப்பிள் கீர்</t>
  </si>
  <si>
    <t xml:space="preserve">   Apple – 1 cup grated,
   Milk – 4 cups + 1/4 cup,
   Sugar – 1/4 -1/3 cup,
   Ghee – 1 tsp,
   Cashew nuts – 15,
   Almonds – 5,
   Cardamom powder – 2 powdered,
   Saffron strands – 4-5.</t>
  </si>
  <si>
    <t>ஆப்பிள் - 1 கப் துருவியது,
பால் - 4 கப் + 1/4 கப்,
சர்க்கரை - 1/4 -1/3 கப்,
நெய் - 1 டீஸ்பூன்,
முந்திரி பருப்பு - 15,
பாதாம் - 5,
ஏலக்காய் தூள் - 2 பொடித்தது,
குங்குமப்பூ - 4-5.</t>
  </si>
  <si>
    <t>Boil milk on medium heat until it  reduces to 3/4 its original quantity. Keep stirring, so the it does not get burnt.
Add the ground cashew nut and almond paste and cook for a few minutes stirring continuously.
Add sugar and let it dissolve completely. You can also add 2-3 tbsp of condensed milk. In that case, you can reduce the sugar or omit it. Remove from heat.
Wash, peel and core an apple and grate it. Heat a tsp of ghee and saute the grated apple for a few minutes or until it is cooked but not too mushy. Leave it to cool completely.
Add the sauteed apple, saffron milk, cardamom powder and mix well.
Cook on low heat for a few seconds and remove from heat. Leave it to cool completely.
Then add the soaked and chopped cashew nuts and refrigerate for 2 hours.
This apple payasam should be served chilled.</t>
  </si>
  <si>
    <t>பால் அதன் அசல் அளவு 3/4 ஆகக் குறையும் வரை மிதமான தீயில் கொதிக்க வைக்கவும். தொடர்ந்து கிளறவும், அதனால் அது எரியாமல் இருக்கும்.
அரைத்த முந்திரி மற்றும் பாதாம் விழுதைச் சேர்த்து, தொடர்ந்து கிளறி சில நிமிடங்கள் சமைக்கவும்.
சர்க்கரையைச் சேர்த்து முழுமையாகக் கரைய விடவும். நீங்கள் 2-3 தேக்கரண்டி அமுக்கப்பட்ட பாலையும் சேர்க்கலாம். அப்படியானால், நீங்கள் சர்க்கரையைக் குறைக்கலாம் அல்லது அதை விட்டுவிடலாம். அடுப்பிலிருந்து அகற்றவும்.
ஒரு ஆப்பிளை கழுவி, தோலுரித்து, மையமாக வைத்து, துருவவும். ஒரு தேக்கரண்டி நெய்யை சூடாக்கி, துருவிய ஆப்பிளை சில நிமிடங்கள் அல்லது அது வேகும் வரை வதக்கவும், ஆனால் மிகவும் மென்மையாக இருக்கக்கூடாது. முழுமையாக ஆற விடவும்.
வதக்கிய ஆப்பிள், குங்குமப்பூ பால், ஏலக்காய் தூள் சேர்த்து நன்கு கலக்கவும்.
சில நொடிகள் குறைந்த தீயில் சமைக்கவும், பின்னர் அடுப்பிலிருந்து நீக்கவும். முழுமையாக ஆற விடவும்.
பின்னர் ஊறவைத்து நறுக்கிய முந்திரி பருப்பைச் சேர்த்து 2 மணி நேரம் குளிர்சாதன பெட்டியில் வைக்கவும்.
இந்த ஆப்பிள் பாயசத்தை குளிர்ச்சியாக பரிமாற வேண்டும்.</t>
  </si>
  <si>
    <t>https://encrypted-tbn0.gstatic.com/images?q=tbn:ANd9GcQH8zItMeNhAuNkMzntd60In6_GKunmvAN1eg&amp;s</t>
  </si>
  <si>
    <t>Kasi Halwa</t>
  </si>
  <si>
    <t>காசி அல்வா</t>
  </si>
  <si>
    <t xml:space="preserve">   Grated Ash gourd – 1 cup,
   Sugar – 1/2 cup,
   Lemon juice – 3 drops,
   Ghee – 2 tbsp,
   Saffron – 6-7 strands,
   Cardamom – 3-4 pods,
   Cashew nuts – 5-6.
</t>
  </si>
  <si>
    <t>துருவிய சாம்பல் பூசணி - 1 கப்,
சர்க்கரை - 1/2 கப்,
எலுமிச்சை சாறு - 3 சொட்டுகள்,
நெய் - 2 டீஸ்பூன்,
குங்குமப்பூ - 6-7 இழைகள்,
ஏலக்காய் - 3-4 காய்கள்,
முந்திரி பருப்பு - 5-6.</t>
  </si>
  <si>
    <t>Soak saffron strands in a tsp of hot water and crush it slightly. Peel the cardamom pods and powder cardamom.
Peel the skin, discard the seeds and grate ash gourd (white pumpkin).
Squeeze out the water from the grated ash gourd using a soft cotton cloth. (I got 1 cup of squeezed out grated ash gourd). Discard the water or use it to make buttermilk.
Heat a tsp of ghee in a pan and fry cashew nuts until golden brown. Remove from pan.
In the same pan, add 2 more tsp of ghee and saute the grated ash gourd and cook on low heat stirring continuously until it changes color to pale yellow and the vegetable becomes tender.
Once the vegetable is well cooked (you can also check by tasting it), add saffron, sugar and lemon juice.
Once sugar is added, the mixture will become watery. Cook for a few minutes on low heat.
Then add the rest of the ghee and continue to cook until the halwa thickens and starts to leaves the sides of the pan.
Add cardamom powder, cashew nuts and mix well.
Kasi halwa is ready. Enjoy making this easy halwa for Diwali.</t>
  </si>
  <si>
    <t>ஒரு டீஸ்பூன் வெந்நீரில் குங்குமப்பூ இழைகளை ஊறவைத்து சிறிது நசுக்கவும். ஏலக்காய் காய்களை உரித்து ஏலக்காயை பொடி செய்யவும்.
தோலை உரித்து, விதைகளை நீக்கி, சாம்பல் பூசணி (வெள்ளை பூசணி) துருவவும்.
மென்மையான பருத்தி துணியைப் பயன்படுத்தி துருவிய சாம்பல் பூசணியிலிருந்து தண்ணீரை பிழிந்து எடுக்கவும். (எனக்கு 1 கப் பிழிந்த சாம்பல் பூசணி கிடைத்தது). தண்ணீரை வடிக்கவும் அல்லது மோர் தயாரிக்கவும் பயன்படுத்தவும்.
ஒரு பாத்திரத்தில் ஒரு டீஸ்பூன் நெய்யை சூடாக்கி, முந்திரி பருப்புகளை பொன்னிறமாகும் வரை வறுக்கவும். வாணலியில் இருந்து எடுக்கவும்.
அதே பாத்திரத்தில், மேலும் 2 டீஸ்பூன் நெய் சேர்த்து, துருவிய சாம்பல் பூசணிக்காயை வதக்கி, குறைந்த வெப்பத்தில் அது வெளிர் மஞ்சள் நிறமாக மாறி காய்கறி மென்மையாகும் வரை தொடர்ந்து கிளறவும்.
காய்கறி நன்கு வெந்தவுடன் (ருசித்துப் பார்த்தும் பார்க்கலாம்), குங்குமப்பூ, சர்க்கரை மற்றும் எலுமிச்சை சாறு சேர்க்கவும்.
சர்க்கரை சேர்த்தவுடன், கலவை நீர்த்துப்போகும். குறைந்த தீயில் சில நிமிடங்கள் சமைக்கவும்.
பின்னர் மீதமுள்ள நெய்யைச் சேர்த்து, ஹல்வா கெட்டியாகி வாணலியின் ஓரங்களில் இருந்து வெளியேறத் தொடங்கும் வரை தொடர்ந்து சமைக்கவும்.
ஏலக்காய்த் தூள், முந்திரி பருப்புகளைச் சேர்த்து நன்கு கலக்கவும்.
காசி ஹல்வா தயார். தீபாவளிக்கு இந்த எளிதான ஹல்வாவைச் செய்து மகிழுங்கள்.</t>
  </si>
  <si>
    <t>https://www.sharmispassions.com/wp-content/uploads/2013/02/KasiHalwa1-500x500.jpg</t>
  </si>
  <si>
    <t xml:space="preserve">   Moong Dal – 1/2 cup,
   Wheat flour – 1/4 cup,
   Ghee/Clarified butter – 4 tbsp,
   Sugar – 1 1/2 cup,
   Cardamom powder – 1/4 tsp,
   Any food color or kesari powder – a pinch,
   Cashew nuts – 6-7.</t>
  </si>
  <si>
    <t>பாசிப்பருப்பு - 1/2 கப்,
கோதுமை மாவு - 1/4 கப்,
நெய்/தெளிவுபடுத்தப்பட்ட வெண்ணெய் - 4 டேபிள்ஸ்பூன்,
சர்க்கரை - 1 1/2 கப்,
ஏலக்காய் தூள் - 1/4 டேபிள்ஸ்பூன்,
எந்தவொரு உணவு வண்ணம் அல்லது கேசரி பொடி - ஒரு சிட்டிகை,
முந்திரி பருப்பு - 6-7.</t>
  </si>
  <si>
    <t>Heat 1 1/2 tbsp of ghee and roast cashew nuts until golden brown. Remove from pan.
In the same pan, fry the wheat flour on low heat until it turns light brown and you get the aroma of roasted wheat flour.
Once the raw smell of the wheat flour goes, add the cooked and mashed (or blended) moong dal.
Add sugar, mash everything well and cook on medium low heat. Once you add sugar, the mixture will become watery.
Add a tbsp of ghee and continue to cook, stirring continuously.  Add another tbsp of ghee after a few minutes of cooking.
Add food color or kesari powder and mix well.
Once it starts thickening, add the rest of the ghee, cardamom powder and cashew nuts.
Cook stirring continuously until the halwa starts to leave the sides of the pan. Tips -The halwa should not stick to your hands once it is done.
Ashoka halwa is ready.</t>
  </si>
  <si>
    <t>எந்தவொரு உணவு வண்ணம் அல்லது கேசரி பொடி - ஒரு சிட்டிகை,
முந்திரி பருப்பு - 6-7.
1 1/2 டேபிள்ஸ்பூன் நெய்யை சூடாக்கி, முந்திரி பருப்புகளை பொன்னிறமாகும் வரை வறுக்கவும். வாணலியில் இருந்து எடுக்கவும்.
அதே பேனில், கோதுமை மாவை லேசான பழுப்பு நிறமாக மாறும் வரை குறைந்த தீயில் வறுக்கவும், வறுத்த கோதுமை மாவின் வாசனை வரும் வரை வறுக்கவும்.
கோதுமை மாவின் பச்சை வாசனை போனதும், சமைத்த மற்றும் மசித்த (அல்லது கலந்த) பாசிப்பருப்பைச் சேர்க்கவும்.
சர்க்கரையைச் சேர்த்து, எல்லாவற்றையும் நன்றாக மசித்து, மிதமான குறைந்த தீயில் சமைக்கவும். சர்க்கரையைச் சேர்த்தவுடன், கலவை நீர்த்துப்போகும்.
ஒரு டேபிள்ஸ்பூன் நெய்யைச் சேர்த்து, தொடர்ந்து கிளறி, தொடர்ந்து சமைக்கவும். சமைத்த சில நிமிடங்களுக்குப் பிறகு மற்றொரு டேபிள்ஸ்பூன் நெய்யைச் சேர்க்கவும்.
உணவு வண்ணம் அல்லது கேசரி பொடியைச் சேர்த்து நன்கு கலக்கவும்.
அது கெட்டியாக ஆரம்பித்ததும், மீதமுள்ள நெய், ஏலக்காய் பொடி மற்றும் முந்திரி பருப்புகளைச் சேர்க்கவும்.
ஹல்வா வாணலியின் பக்கவாட்டில் இருந்து வெளியேறத் தொடங்கும் வரை தொடர்ந்து கிளறி சமைக்கவும். குறிப்புகள் - ஹல்வா தயாரானதும் உங்கள் கைகளில் ஒட்டக்கூடாது.
அசோக ஹல்வா தயார்.</t>
  </si>
  <si>
    <t>https://encrypted-tbn0.gstatic.com/images?q=tbn:ANd9GcQ9me1ZYdt65spAWuW_5hcWuQLFe0-vX0xH-w&amp;s</t>
  </si>
  <si>
    <t>Moong Dal Halwa</t>
  </si>
  <si>
    <t>பாசிப்பருப்பு ஹல்வா</t>
  </si>
  <si>
    <t xml:space="preserve">   Split yellow moong dal – 1/2 cup,
   Ghee – 6 tbsp,
   Sugar – 3/4 cup,
   Water – 1 1/2 cup,
   Cardamom powder – 1/4 tsp,
   Saffron – 4-5 strands,
   Pistachios – 6-7,
   Almonds – 5-6.
</t>
  </si>
  <si>
    <t>மஞ்சள் பாசிப்பருப்பு - 1/2 கப்,
நெய் - 6 டேபிள்ஸ்பூன்,
சர்க்கரை - 3/4 கப்,
தண்ணீர் - 1 1/2 கப்,
ஏலக்காய் தூள் - 1/4 டீஸ்பூன்,
குங்குமப்பூ - 4-5 தழைகள்,
பிஸ்தா - 6-7,
பாதாம் - 5-6.</t>
  </si>
  <si>
    <t>Wash and soak split yellow moong dal for 3 hours.
Drain the water completely and grind it to a slightly coarse paste without water. If your blender does not budge, add just around 1 tbsp of water.
Heat 1 1/2 cups of water in a pan. Add sugar and stir. Once sugar dissolves, turn off the heat. You do not have to make any sugar syrup. Add cardamom powder and saffron strands to the sugar water. Keep it aside.
In a non stick pan, warm 5 tbsp of ghee, turn off the heat. Add the moong dal paste and mix well.
Then turn on the heat and cook the moong dal paste on medium heat stirring continuously.
Break lumps if any and cook the moong dal paste on medium low heat stirring continuously until it turn crumbly and light brown. It will take around 20 minutes. You need lot of patience for this as you have to keep stirring it all the time.
Then add the sugar water, mix well and cook covered stirring from time to time.
Once it thickens, add another tbsp of ghee and cook further on low heat, stirring in between.
Cook until it starts to leave the sides of the pan (right picture below).
Garnish with slivered almonds and pistashios. Serve warm.</t>
  </si>
  <si>
    <t>பாசிப்பருப்பை கழுவி 3 மணி நேரம் ஊற வைக்கவும்.
தண்ணீரை முழுவதுமாக வடிகட்டி, தண்ணீர் இல்லாமல் சிறிது கரடுமுரடான பேஸ்டாக அரைக்கவும். உங்கள் பிளெண்டர் அசையவில்லை என்றால், சுமார் 1 டேபிள்ஸ்பூன் தண்ணீர் சேர்க்கவும்.
ஒரு பாத்திரத்தில் 1 1/2 கப் தண்ணீரை சூடாக்கவும். சர்க்கரை சேர்த்து கிளறவும். சர்க்கரை கரைந்ததும், அடுப்பை அணைக்கவும். நீங்கள் சர்க்கரை பாகு எதுவும் செய்ய வேண்டியதில்லை. சர்க்கரை நீரில் ஏலக்காய் தூள் மற்றும் குங்குமப்பூ தழைகளை சேர்க்கவும். அதை ஒதுக்கி வைக்கவும்.
ஒரு குச்சி இல்லாத பாத்திரத்தில், 5 டேபிள்ஸ்பூன் நெய்யை சூடாக்கி, தீயை அணைக்கவும். பாசிப்பருப்பு விழுதை சேர்த்து நன்கு கலக்கவும்.
பின்னர் தீயை அணைத்து, பாசிப்பருப்பு விழுதை மிதமான தீயில் தொடர்ந்து கிளறிக்கொண்டே சமைக்கவும்.
ஏதேனும் கட்டிகள் இருந்தால் உடைத்து, பாசிப்பருப்பு விழுதை மிதமான தீயில் வைத்து, அது நொறுங்கி, வெளிர் பழுப்பு நிறமாக மாறும் வரை தொடர்ந்து கிளறவும். இது சுமார் 20 நிமிடங்கள் எடுக்கும். நீங்கள் எப்போதும் கிளறிக்கொண்டே இருக்க வேண்டியிருப்பதால், இதற்கு உங்களுக்கு நிறைய பொறுமை தேவை.
பிறகு சர்க்கரை தண்ணீரைச் சேர்த்து, நன்கு கலந்து, அவ்வப்போது மூடி வைத்து கிளறிக்கொண்டே சமைக்கவும்.
அது கெட்டியானதும், மற்றொரு தேக்கரண்டி நெய்யைச் சேர்த்து, குறைந்த தீயில், இடையில் கிளறிக்கொண்டே சமைக்கவும்.
அது வாணலியின் ஓரங்களை விட்டு வெளியேறத் தொடங்கும் வரை சமைக்கவும் (கீழே வலது படம்).
துருவிய பாதாம் மற்றும் பிஸ்தா துண்டுகளால் அலங்கரித்து சூடாகப் பரிமாறவும்.</t>
  </si>
  <si>
    <t>https://www.mygingergarlickitchen.com/wp-content/rich-markup-images/1x1/1x1-rajasthani-moong-dal-halwa.jpg</t>
  </si>
  <si>
    <t>Arisi Thengai Payasam</t>
  </si>
  <si>
    <t>அரிசி தேங்காய் பாயசம்</t>
  </si>
  <si>
    <t xml:space="preserve">   Fresh coconut – 1/2 cup grated,
   Raw Rice – 2 tsp,
   Cardamom – 2 pods,
   Jaggery – 1/2 cup heaped,
   Almonds – 6,
   Cashew nuts – 6,
   Milk – 2 1/2 cup,
   Ghee/clarified butter – 1/2 tsp,
   Raisins – 6-7,
   Cashew nuts – 5-6.</t>
  </si>
  <si>
    <t>புதிய தேங்காய் - 1/2 கப் துருவியது,
பச்சை அரிசி - 2 தேக்கரண்டி,
ஏலக்காய் - 2 காய்கள்,
வெல்லம் - 1/2 கப் குவித்து,
பாதாம் - 6,
முந்திரி பருப்பு - 6,
பால் - 2 1/2 கப்,
நெய்/தெளிவுபடுத்திய வெண்ணெய் - 1/2 தேக்கரண்டி,
திராட்சை - 6-7,
முந்திரி பருப்பு - 5-6.</t>
  </si>
  <si>
    <t>Soak almonds and 6 cashew nuts separately in hot water for 20 minutes. Then grind it coarsely and keep it aside.
Wash and soak rice in hot water for an hour.
Grind grated coconut, soaked rice and cardamom (after discarding its skin) with water coarsely. (I used 1/2 cup of water to grind but added little at a time).
Heat 1/2 cup of water, add jaggery and let it dissolve. Then filter it to remove any impurities. Then boil the jaggery water for a few minutes on medium heat and switch off the heat. It is not necessary to make any syrup.
Boil milk stirring continuously on medium heat. Reduce it a little (from 2 1/2 cups to 2 cups). Leave it to cool. Then chill the milk in the refrigerator.
Now add 1/2 cup of water to the ground coconut-rice mixture and pressure cook for 3 whistles (cook keeping it in a vessel). Do not pressure cook directly.
All the 4 things needed for the payasam is ready – Chilled milk, jaggery, cooked coconut rice mix and almond + cashew nut paste.
Once the pressure subsides, open the cooker and add the cooked coconut + rice mix to the jaggery.
Add the almond and cashew nut paste and mix well. Boil for 2 minutes on medium heat. Switch off the heat. Let it cool a little.
Add the chilled milk (make sure the milk is cold. If you add hot milk, the payasam will curdle). Mix well.
Heat 1/2 tsp of ghee and saute the raisins and cashew nuts separately. Add to the payasam. Serve warm or chilled. This payasam tastes amazing when chilled. So I suggest that you refrigerate the payasam for 2 hours and enjoy it cold.
The consistency of this payasam is thin, so its best served in a glass.</t>
  </si>
  <si>
    <t>பாதாம் மற்றும் 6 முந்திரி பருப்புகளை தனித்தனியாக வெந்நீரில் 20 நிமிடங்கள் ஊற வைக்கவும். பின்னர் அதை கொரகொரப்பாக அரைத்து ஒதுக்கி வைக்கவும்.
அரிசியைக் கழுவி வெந்நீரில் ஒரு மணி நேரம் ஊற வைக்கவும்.
துருவிய தேங்காய், ஊறவைத்த அரிசி மற்றும் ஏலக்காயை (தோலை நீக்கிய பின்) தண்ணீரில் கரடுமுரடாக அரைக்கவும். (நான் அரைக்க 1/2 கப் தண்ணீர் பயன்படுத்தினேன், ஆனால் சிறிது சிறிதாக சேர்த்தேன்).
1/2 கப் தண்ணீரை சூடாக்கி, வெல்லம் சேர்த்து கரைய விடவும். பின்னர் அசுத்தங்களை நீக்க வடிகட்டி வைக்கவும். பின்னர் வெல்லத் தண்ணீரை மிதமான தீயில் சில நிமிடங்கள் கொதிக்க வைத்து, அடுப்பை அணைக்கவும். பாகு எதுவும் செய்ய வேண்டிய அவசியமில்லை.
பாலை மிதமான தீயில் தொடர்ந்து கிளறி கொதிக்க விடவும். சிறிது சிறிதாக (2 1/2 கப் முதல் 2 கப் வரை) குறைக்கவும். ஆற விடவும். பின்னர் பாலை குளிர்சாதன பெட்டியில் குளிர வைக்கவும்.
இப்போது அரைத்த தேங்காய்-அரிசி கலவையில் 1/2 கப் தண்ணீரைச் சேர்த்து 3 விசில் வரை சமைக்கவும் (ஒரு பாத்திரத்தில் வைத்து சமைக்கவும்). நேரடியாக பிரஷர் குக்க வேண்டாம்.
பாயாசத்திற்குத் தேவையான 4 பொருட்களும் தயார் - குளிர்ந்த பால், வெல்லம், சமைத்த தேங்காய் அரிசி கலவை மற்றும் பாதாம் + முந்திரி விழுது.
பிரஷர் தணிந்தவுடன், குக்கரைத் திறந்து சமைத்த தேங்காய் + அரிசி கலவையை வெல்லத்தில் சேர்க்கவும்.
பாதாம் மற்றும் முந்திரி விழுது சேர்த்து நன்கு கலக்கவும். மிதமான தீயில் 2 நிமிடங்கள் கொதிக்க விடவும். தீயை அணைக்கவும். சிறிது ஆற விடவும்.
குளிர்ந்த பாலை சேர்க்கவும் (பால் குளிர்ச்சியாக இருப்பதை உறுதிசெய்து கொள்ளுங்கள். சூடான பால் சேர்த்தால், பாயாசம் கெட்டியாகும்). நன்றாக கலக்கவும்.
1/2 தேக்கரண்டி நெய்யை சூடாக்கி, திராட்சை மற்றும் முந்திரி பருப்பை தனித்தனியாக வதக்கவும். பாயாசத்துடன் சேர்க்கவும். சூடாகவோ அல்லது குளிரவைத்தோ பரிமாறவும். இந்த பாயாசம் குளிர்ந்ததும் அற்புதமாக இருக்கும். எனவே பாயாசத்தை 2 மணி நேரம் குளிர்சாதன பெட்டியில் வைத்து குளிர்ச்சியாக சாப்பிட பரிந்துரைக்கிறேன்.
இந்த பாயாசத்தின் நிலைத்தன்மை மெல்லியதாக இருப்பதால், ஒரு கிளாஸில் பரிமாறுவது நல்லது.</t>
  </si>
  <si>
    <t>https://www.kamalascorner.com/wp-content/uploads/2024/03/Rice-coconut-payasam-800x530.jpg</t>
  </si>
  <si>
    <t>Semiya Payasam with Condensed Milk</t>
  </si>
  <si>
    <t>அமுக்கப்பட்ட பாலுடன் சேமியா பாயசம்</t>
  </si>
  <si>
    <t xml:space="preserve">    semiya – 1/3 cup,
   Milk – 3 cups,
   Condensed milk – 100 grams,
   Cashew nuts - 6-7,
   Raisins – 10-12c,
   Ghee/clarified butter – 1 tsp,
   Cardamom – 3 pods .</t>
  </si>
  <si>
    <t>சேமியா - 1/3 கப்,
பால் - 3 கப்,
அமுக்கப்பட்ட பால் - 100 கிராம்,
முந்திரி பருப்பு - 6-7,
திராட்சை - 10-12 கே,
நெய் / தெளித்த வெண்ணெய் - 1 டீஸ்பூன்,
ஏலக்காய் - 3 காய்கள்.</t>
  </si>
  <si>
    <t xml:space="preserve">Heat a tsp of ghee, saute the cashew nuts until golden brown. Remove from pan. Saute raisins until they puff up. Remove from pan.
In the same pan, saute the vermicelli on low heat until golden. Keep it aside.
Keep all the things ready. You can use milkmaid or amul mithai mate for this recipe. (I used only 1/2 a tin of 200 grams amul mithai mate)
Boil milk in a pan, add the roasted vermicelli and cook stirring until soft and tender.
Once the vermicelli is cooked, add the condensed milk, mix well and cook for 2-3 minutes.
Add cashew nuts, raisins, and cardamom powder. Your payasam/kheer is ready. Enjoy it hot or cold!
</t>
  </si>
  <si>
    <t>ஒரு டீஸ்பூன் நெய்யை சூடாக்கி, முந்திரி பருப்புகளை பொன்னிறமாகும் வரை வதக்கவும். வாணலியில் இருந்து எடுக்கவும். திராட்சை கொப்பளிக்கும் வரை வதக்கவும். வாணலியில் இருந்து எடுக்கவும்.
அதே வாணலியில், வெர்மிசெல்லியை குறைந்த தீயில் பொன்னிறமாகும் வரை வதக்கவும். ஒதுக்கி வைக்கவும்.
எல்லாவற்றையும் தயாராக வைத்திருங்கள். இந்த ரெசிபிக்கு நீங்கள் மில்க்மெய்ட் அல்லது அமுல் மித்தாய் மேட்டைப் பயன்படுத்தலாம். (நான் 200 கிராம் அமுல் மித்தாய் மேட்டின் 1/2 டின் மட்டுமே பயன்படுத்தினேன்)
ஒரு பாத்திரத்தில் பாலை கொதிக்க வைத்து, வறுத்த வெர்மிசெல்லியைச் சேர்த்து மென்மையாகவும் மென்மையாகவும் ஆகும் வரை கிளறவும்.
சேமியா வெந்ததும், அமுக்கப்பட்ட பாலைச் சேர்த்து, நன்கு கலந்து 2-3 நிமிடங்கள் சமைக்கவும்.
முந்திரி, திராட்சை, ஏலக்காய் பொடி சேர்க்கவும். உங்கள் பாயசம்/கீர் தயார். சூடாகவோ அல்லது குளிராகவோ சாப்பிடுங்கள்!</t>
  </si>
  <si>
    <t>https://i0.wp.com/parveenskitchen.com/wp-content/uploads/2020/05/2B9F6D39-647B-401D-82BA-6A2348070077.jpg?fit=2226%2C2000&amp;ssl=1</t>
  </si>
  <si>
    <t>Sweet Appam</t>
  </si>
  <si>
    <t>இனிப்பு அப்பம்</t>
  </si>
  <si>
    <t>1/4 cup -  Rice flour,
1/4 cup -  Wheat flour,
1/4 cup -  Semolin,
1/2 cup -  Jaggery ,
1/3 cup -  Coconut bits,
1/8 tsp -  Cardamom powder,
Ghee/clarified butter .</t>
  </si>
  <si>
    <t>1/4 கப் - அரிசி மாவு,
1/4 கப் - கோதுமை மாவு,
1/4 கப் - செமோலின்,
1/2 கப் - வெல்லம்,
1/3 கப் - தேங்காய் துண்டுகள்,
1/8 தேக்கரண்டி - ஏலக்காய் தூள்,
நெய்/தெளித்த வெண்ணெய்.</t>
  </si>
  <si>
    <t>In a bowl mix together, semolina (ravai), rice flour, wheat flour, coconut bits, cardamom powder and filtered jaggery water.
Mix well and let it sit for 30 minutes. After 30 minutes, add needed warm water to get a dosa batter consistency.
Heat paniyaram/appam pan , add 1/2 tsp of ghee to each cavity/mould. Fill it with the prepared batter.
Cook covered on low heat. Once it starts to leave the sides, flip it over to the other side.
Cook uncovered until done. Insert a toothpick in the center of an appam to check if it is cook. If it comes out clean, the appam is cooked.
Repeat the same process for the rest of the batter.
Enjoy making these sweet appams/appe for Krishna Jayanthi or any day for that matter.</t>
  </si>
  <si>
    <t>ஒரு பாத்திரத்தில் ரவை (ரவை), அரிசி மாவு, கோதுமை மாவு, தேங்காய் துண்டுகள், ஏலக்காய் தூள் மற்றும் வடிகட்டிய வெல்லம் தண்ணீர் ஆகியவற்றை ஒன்றாக கலக்கவும்.
நன்றாக கலந்து 30 நிமிடங்கள் அப்படியே வைக்கவும். 30 நிமிடங்களுக்குப் பிறகு, தோசை மாவு நிலைத்தன்மையைப் பெற தேவையான வெதுவெதுப்பான நீரைச் சேர்க்கவும்.
பணியாரம்/ஆப்பம் பாத்திரத்தை சூடாக்கி, ஒவ்வொரு குழி/அச்சுகளிலும் 1/2 தேக்கரண்டி நெய்யைச் சேர்க்கவும். தயாரிக்கப்பட்ட மாவை அதில் நிரப்பவும்.
குறைந்த தீயில் மூடி வைக்கவும். அது பக்கவாட்டில் இருந்து வெளியேற ஆரம்பித்ததும், அதை மறுபுறம் திருப்பி வைக்கவும்.
மூடாமல் சமைக்கும் வரை சமைக்கவும். ஆப்பத்தின் நடுவில் ஒரு டூத்பிக் செருகி அது வெந்ததா என்று சரிபார்க்கவும். அது சுத்தமாக வெளியே வந்தால், ஆப்பம் வெந்துவிட்டது.
மீதமுள்ள மாவிற்கும் இதே செயல்முறையை மீண்டும் செய்யவும்.
கிருஷ்ண ஜெயந்தி அல்லது வேறு எந்த நாளிலும் இந்த இனிப்பு அப்பங்களை செய்து மகிழுங்கள்.</t>
  </si>
  <si>
    <t>https://encrypted-tbn0.gstatic.com/images?q=tbn:ANd9GcRO3l0NUvtGNWYj6IlozJ7mhyEfgNYjSxJK-g&amp;s</t>
  </si>
  <si>
    <t>https://youtu.be/dl3NnZt44QQ</t>
  </si>
  <si>
    <t xml:space="preserve">   Aval - 1/2 cup,
   Sugar – 1/2 cup,
   Ghee/clarified butter – 1/4 cup,
   Orange food color – a drop,
   Cardamom – 2 pods ,
   Water – 1 cup,
   Cashewnuts – 5-6.</t>
  </si>
  <si>
    <t>அவல் - 1/2 கப்,
சர்க்கரை - 1/2 கப்,
நெய்/தெளிவுபடுத்தப்பட்ட வெண்ணெய் - 1/4 கப்,
ஆரஞ்சு உணவு நிறம் - ஒரு துளி,
ஏலக்காய் - 2 கப்,
தண்ணீர் - 1 கப்,
முந்திரி பருப்பு - 5-6.</t>
  </si>
  <si>
    <t>Heat a tsp of ghee and fry cashew nuts until golden brown. Remove it and keep it aside.
In the same pan, fry the poha/aval on medium heat, stirring continuously, until it changes color slightly.
frying cashew nuts and aval 
Once it cools, grind it coarsely in a mixie or blender.
Boil a cup of water in a pan. When water starts boiling, reduce the heat to low and add the coarsely ground poha slowly with one hand and keep stirring with your other hand.
Add a drop of orange color or a pinch of kesari powder. Mix well and cook stirring on medium heat.
When it thickens slightly, add sugar and a tbsp of ghee.
Cook stirring for a few more minutes and add another tbsp of ghee.
Keep cooking on medium heat until it leaves the sides of the pan.
Add the rest of the ghee, cardamom powder and cashew nuts. Mix well and remove from heat.</t>
  </si>
  <si>
    <t>ஒரு தேக்கரண்டி நெய்யை சூடாக்கி, முந்திரி பருப்புகளை பொன்னிறமாகும் வரை வறுக்கவும். அதை எடுத்து தனியாக வைக்கவும்.
அதே வாணலியில், போஹா/அவலை மிதமான தீயில், தொடர்ந்து கிளறி, சிறிது நிறம் மாறும் வரை வறுக்கவும்.
முந்திரி பருப்பு மற்றும் அவலை வறுக்கவும்
அது குளிர்ந்ததும், மிக்ஸி அல்லது பிளெண்டரில் கரடுமுரடாக அரைக்கவும்.
ஒரு கப் தண்ணீரை ஒரு பாத்திரத்தில் கொதிக்க வைக்கவும். தண்ணீர் கொதிக்க ஆரம்பித்ததும், தீயை குறைத்து, ஒரு கையால் கரடுமுரடான போஹாவை மெதுவாக ஒரு கையால் சேர்த்து, மற்றொரு கையால் கிளறிக்கொண்டே இருங்கள்.
ஒரு துளி ஆரஞ்சு நிறம் அல்லது ஒரு சிட்டிகை கேசரி பொடியைச் சேர்க்கவும். நன்றாக கலந்து, மிதமான தீயில் கிளறி சமைக்கவும்.
அது சிறிது கெட்டியானதும், சர்க்கரை மற்றும் ஒரு தேக்கரண்டி நெய் சேர்க்கவும்.
இன்னும் சில நிமிடங்கள் கிளறிவிட்டு, மற்றொரு தேக்கரண்டி நெய் சேர்க்கவும்.
வாணலியின் ஓரங்களில் இருந்து அது நீங்கும் வரை மிதமான தீயில் சமைக்கவும்.
மீதமுள்ள நெய், ஏலக்காய் தூள் மற்றும் முந்திரி பருப்புகளைச் சேர்க்கவும். நன்கு கலந்து அடுப்பிலிருந்து இறக்கவும்.</t>
  </si>
  <si>
    <t>https://blogexplore.com/wp-content/uploads/2015/05/blogexplore.com-aval-kesari.jpg</t>
  </si>
  <si>
    <t>ஐஸ்கிரீமுடன் பழ சாலட்</t>
  </si>
  <si>
    <t>Mixed Fruits – 2 cups,
   Sugar syrup – 4 tsp ,
   Vanilla Ice Cream – 2 generous scoops,
   Assorted nuts – 2 tbsp toasted,
   Wafer biscuit for decoration,
   Cherries for decoration.</t>
  </si>
  <si>
    <t>கலவை பழங்கள் - 2 கப்,
சர்க்கரை சிரப் - 4 டீஸ்பூன்,
வெண்ணிலா ஐஸ்கிரீம் - 2 தாராளமான ஸ்கூப்கள்,
வகைப்படுத்தப்பட்ட கொட்டைகள் - 2 டீஸ்பூன் வறுக்கப்பட்டவை,
அலங்காரத்திற்கு வேஃபர் பிஸ்கட்,
அலங்காரத்திற்கு செர்ரிகள்.</t>
  </si>
  <si>
    <t>You can use almonds and cashew nuts if preferred. Toast the nuts separately and chop it finely. (I have not used nuts)
You can use any fruits of your choice. I have used papaya, pineapple, pomegranates, mangoes, apple, banana and few grapes (use seedless grapes). Wash and cut all the fruits into small pieces.
 In a pan, mix 3 tbsp of sugar and 3 tbsp of water. Heat to dissolve the sugar. Then simmer for 2-3 minutes. Remove from the heat, add 2-3 drops of lemon juice and leave it to cool.  After it cools, refrigerate the sugar syrup.
In a glass bowl/cup, mix together fruits (1 cup), 2 tsp sugar syrup and nuts. Top it with a scoop of vanilla ice cream.
Place a cherry and a wafer biscuit and serve chilled. Repeat the same for another bowl of fruit salad.</t>
  </si>
  <si>
    <t>நீங்கள் விரும்பினால் பாதாம் மற்றும் முந்திரி பருப்புகளைப் பயன்படுத்தலாம். கொட்டைகளைத் தனித்தனியாக வறுத்து நன்றாக நறுக்கவும். (நான் கொட்டைகளைப் பயன்படுத்தவில்லை)
உங்களுக்கு விருப்பமான எந்தப் பழங்களையும் பயன்படுத்தலாம். நான் பப்பாளி, அன்னாசி, மாதுளை, மாம்பழம், ஆப்பிள், வாழைப்பழம் மற்றும் சில திராட்சைகளைப் பயன்படுத்தியுள்ளேன் (விதை இல்லாத திராட்சையைப் பயன்படுத்தவும்). அனைத்து பழங்களையும் கழுவி சிறிய துண்டுகளாக வெட்டவும்.
ஒரு பாத்திரத்தில், 3 டீஸ்பூன் சர்க்கரை மற்றும் 3 டீஸ்பூன் தண்ணீரை கலக்கவும். சர்க்கரை கரையும் வரை சூடாக்கவும். பின்னர் 2-3 நிமிடங்கள் கொதிக்க வைக்கவும். அடுப்பிலிருந்து இறக்கி, 2-3 சொட்டு எலுமிச்சை சாறு சேர்த்து குளிர்விக்க விடவும். அது குளிர்ந்த பிறகு, சர்க்கரை சிரப்பை குளிர்சாதன பெட்டியில் வைக்கவும்.
ஒரு கண்ணாடி கிண்ணம்/கப்பில், பழங்கள் (1 கப்), 2 டீஸ்பூன் சர்க்கரை சிரப் மற்றும் கொட்டைகள் ஆகியவற்றை ஒன்றாக கலக்கவும். அதன் மேல் ஒரு ஸ்கூப் வெண்ணிலா ஐஸ்கிரீமை வைக்கவும்.
ஒரு செர்ரி மற்றும் ஒரு வேஃபர் பிஸ்கட்டை வைத்து குளிர்வித்து பரிமாறவும். மற்றொரு கிண்ண பழ சாலட்டிற்கும் இதையே செய்யவும்.</t>
  </si>
  <si>
    <t xml:space="preserve">   Milk - 1 1/2 cup,
   Falooda Sev – 1 cup cooked,
   Basil seeds – 1/2 tbsp,
   Chopped mangoes – 1 cup,
   Mango Puree – 1 cup,
   Sugar as needed,
   Almonds – 10-12,
   Pistachio – 10-12,
   Cashew nuts - 10-12,
   Glazed cherry – 2 tbsp chopped,
   Vanilla Ice cream – 2 generous scoops.</t>
  </si>
  <si>
    <t>பால் - 1 1/2 கப்,
பலூடா சேவ் - 1 கப் சமைத்த,
துளசி விதைகள் - 1/2 டீஸ்பூன்,
நறுக்கிய மாம்பழம் - 1 கப்,
மாம்பழ கூழ் - 1 கப்,
தேவைக்கேற்ப சர்க்கரை,
பாதாம் - 10-12,
பிஸ்தா - 10-12,
முந்திரி பருப்பு - 10-12,
மெருகூட்டப்பட்ட செர்ரி - 2 டீஸ்பூன் நறுக்கியது,
வெண்ணிலா ஐஸ்கிரீம் - 2 தாராளமான ஸ்கூப்கள்.</t>
  </si>
  <si>
    <t>Boil 1 1/2 cup milk on medium heat until it reduces to 1 cup. Add 3 tbsp sugar, cool and refrigerate. We need chilled milk.
Soak sabja seeds in 1/2 cup of water for 20 minutes. Strain water if any and keep it aside.
Chop mangoes into cubes.
We need 1 cup of mango puree also. Mix sugar with mango puree and refrigerate.
Prepare falooda sev as given in the Falooda Sev Recipe and keep it ready.
Dry roast almonds, pistachio and cashew nuts separately. Chop it and keep it aside.
Chop cherries. Set aside 2-3 whole cherries for garnishing.
Before layering, chill the glass in which you are going to serve mango falooda for 5 minutes in the refrigerator.
The preparations are done and everything is kept ready in the picture below.
Now we will start layering-
Layer the bottom of the glass with sweetened mango puree.
On top of it spread a layer of sabja seeds.
On top of the sabja seeds layer, spread a layer of falooda sev followed by a layer of mango pieces.
Then add chopped assorted nuts and cherries.
adding nuts and cherries to falooda
Now add the chilled sweetened milk.
Add a generous scoop of vanilla ice cream and tops it with nuts, cherries, and mango pieces.
Decorate it with a whole cherry and serve chilled. Enjoy!! Repeat the same for another glass of mango falooda.</t>
  </si>
  <si>
    <t>1 1/2 கப் பாலை மிதமான தீயில் 1 கப்பாகக் குறையும் வரை கொதிக்க வைக்கவும். 3 டீஸ்பூன் சர்க்கரையைச் சேர்த்து, ஆறவைத்து குளிர்விக்கவும். குளிர்ந்த பால் தேவை.
சப்ஜா விதைகளை 1/2 கப் தண்ணீரில் 20 நிமிடங்கள் ஊற வைக்கவும். தண்ணீர் இருந்தால் வடிகட்டி ஒதுக்கி வைக்கவும்.
மாம்பழத்தை க்யூப்ஸாக நறுக்கவும்.
நமக்கு 1 கப் மாம்பழ கூழ் தேவை. மாம்பழ கூழ் உடன் சர்க்கரை கலந்து குளிர்விக்கவும்.
ஃபலூடா சேவ் ரெசிபியில் கொடுக்கப்பட்டுள்ளபடி ஃபலூடா சேவ் தயார் செய்து தயாராக வைக்கவும்.
பாதாம், பிஸ்தா மற்றும் முந்திரி பருப்புகளை தனித்தனியாக வறுத்து, நறுக்கி தனியாக வைக்கவும்.
செர்ரிகளை நறுக்கவும். அலங்காரத்திற்காக 2-3 முழு செர்ரிகளை ஒதுக்கி வைக்கவும்.
அடுக்கி வைப்பதற்கு முன், நீங்கள் மாம்பழ பலூடா பரிமாறப் போகும் கிளாஸை குளிர்சாதன பெட்டியில் 5 நிமிடங்கள் குளிர வைக்கவும்.
தயாரிப்புகள் முடிந்தது, கீழே உள்ள படத்தில் எல்லாம் தயாராக வைக்கப்பட்டுள்ளது.
இப்போது நாம் அடுக்கி வைப்போம்-
கண்ணாடியின் அடிப்பகுதியில் இனிப்பு மாம்பழ கூழ் அடுக்கவும்.
அதன் மேல் சப்ஜா விதைகளின் ஒரு அடுக்கைப் பரப்பவும்.
சப்ஜா விதைகளின் ஒரு அடுக்கின் மேல், ஃபலூடா சேவின் ஒரு அடுக்கைப் பரப்பவும், அதைத் தொடர்ந்து மாம்பழத் துண்டுகளின் ஒரு அடுக்கைப் பரப்பவும்.
பின்னர் நறுக்கிய பல்வேறு வகையான கொட்டைகள் மற்றும் செர்ரிகளைச் சேர்க்கவும்.
ஃபலூடாவில் கொட்டைகள் மற்றும் செர்ரிகளைச் சேர்க்கவும்
இப்போது குளிர்ந்த இனிப்புப் பாலை சேர்க்கவும்.
வெண்ணிலா ஐஸ்கிரீமின் ஒரு தாராளமான ஸ்கூப்பைச் சேர்த்து, அதன் மேல் கொட்டைகள், செர்ரிகள் மற்றும் மாம்பழத் துண்டுகளைச் சேர்க்கவும்.
முழு செர்ரி பழத்தை அலங்கரித்து குளிர்ச்சியாகப் பரிமாறவும். மகிழுங்கள்!! இன்னொரு கிளாஸ் மாம்பழ பலூடாவுக்கும் இதையே செய்யவும்.</t>
  </si>
  <si>
    <t xml:space="preserve">   Mango - 1 1/2 cup chopped,
   Chilled Milk – 1/3 cup,
   Sugar – as needed,
   Vanilla Ice cream – 2 large scoops,
   Mangoes cubes - as needed,
   Almonds – 10-12,
   Pistachio – 10-12,
   Cashew nuts – 10-12,
   Glazed Cherry – 4-5.</t>
  </si>
  <si>
    <t>Peel the skin and chop mangoes roughly. Blend it with 1/3 cup of chilled milk, needed sugar to make a thick puree. The mango puree should be thick and not runny.
Take a glass and fill up to 3/4 of the glass with thick milkshake.
Now top it with a generous scoop of ice cream. Then garnish with chopped mango cubes, chopped nuts and cherries.
Decorate it with a cherry and serve immediately.</t>
  </si>
  <si>
    <t>தோலை உரித்து மாம்பழத்தை தோலுரித்து நறுக்கவும். 1/3 கப் குளிர்ந்த பாலுடன் கலக்கவும், தடிமனான கூழ் தயாரிக்க சர்க்கரை தேவை. மாம்பழ கூழ் கெட்டியாகவும், நீர் வடியாமல் இருக்கவும் வேண்டும்.
ஒரு கிளாஸை எடுத்து, கிளாஸின் 3/4 வரை தடிமனான மில்க் ஷேக்கால் நிரப்பவும்.
இப்போது அதன் மேல் ஒரு தாராளமான ஸ்கூப் ஐஸ்கிரீம் ஊற்றவும். பின்னர் நறுக்கிய மாம்பழ துண்டுகள், நறுக்கிய கொட்டைகள் மற்றும் செர்ரிகளால் அலங்கரிக்கவும்.
ஒரு செர்ரி கொண்டு அலங்கரித்து உடனடியாக பரிமாறவும்.</t>
  </si>
  <si>
    <t>https://encrypted-tbn0.gstatic.com/images?q=tbn:ANd9GcQiBBPDgQyJB8EPrklEkro8E-Lp0-1V6godvw&amp;s</t>
  </si>
  <si>
    <t>லௌகி கீர்</t>
  </si>
  <si>
    <t xml:space="preserve">   Bottle gourd – 1 cup grated,
   Milk – 2 1/2 cup,
   Sugar – 1/4 cup,
   Cashew nuts – 6-7,
   Almonds – 8-10 toasted,
   Cardamom powder – 1/4 tsp,
   Saffron strands – 4-5,
   Ghee/clarified butter – 3 tsp.
</t>
  </si>
  <si>
    <t>சுரைக்காய் - 1 கப் துருவியது,
பால் - 2 1/2 கப்,
சர்க்கரை - 1/4 கப்,
முந்திரி பருப்பு - 6-7,
பாதாம் பருப்பு - 8-10 வறுக்கப்பட்டது,
ஏலக்காய் தூள் - 1/4 தேக்கரண்டி,
குங்குமப்பூ தண்டுகள் - 4-5,
நெய்/தெளிவுபடுத்திய வெண்ணெய் - 3 தேக்கரண்டி.</t>
  </si>
  <si>
    <t>Peel the skin of bottle gourd, discard the seeds and grate it using a grater with big holes. Let it sit for 15 minutes. Then squeeze out all the water from the bottle gourd and keep it aside.
Heat a tsp of ghee and roast cashew nuts until golden brown. Keep it aside.
Toast almonds and sliver (cut it thinly lengthwise) it.
Soak saffron strands in 2 tbsp warm milk.
Heat 2 tsp of ghee and saute the bottle gourd for 3-4 minutes on medium heat stirring continuously.
Add milk and cook on medium heat, stirring from time to time until the milk reduces and thickens a little.
Once the milk reduces, add saffron, cardamom powder and sugar.
Stir until sugar dissolves. Then add cashew nuts and slivered almonds. Remove from heat.</t>
  </si>
  <si>
    <t>சுரைக்காயின் தோலை உரித்து, விதைகளை நீக்கி, பெரிய துளைகள் கொண்ட ஒரு துருவலைப் பயன்படுத்தி தட்டி எடுக்கவும். 15 நிமிடங்கள் அப்படியே வைக்கவும். பின்னர் சுரைக்காயிலிருந்து அனைத்து தண்ணீரையும் பிழிந்து தனியாக வைக்கவும்.
ஒரு தேக்கரண்டி நெய்யை சூடாக்கி, முந்திரி பருப்புகளை பொன்னிறமாகும் வரை வறுக்கவும். அதை தனியாக வைக்கவும்.
பாதாம் மற்றும் துண்டுகளை நீளவாக்கில் மெல்லியதாக நறுக்கவும்.
குங்குமப்பூ தண்டுகளை 2 தேக்கரண்டி சூடான பாலில் ஊற வைக்கவும்.
2 தேக்கரண்டி நெய்யை சூடாக்கி, சுரைக்காயை 3-4 நிமிடங்கள் மிதமான தீயில் தொடர்ந்து கிளறி வதக்கவும்.
பால் சேர்த்து மிதமான தீயில் சமைக்கவும், அவ்வப்போது கிளறி, பால் குறைந்து சிறிது கெட்டியாகும் வரை சமைக்கவும்.
பால் குறைந்து வந்ததும், குங்குமப்பூ, ஏலக்காய் தூள் மற்றும் சர்க்கரை சேர்க்கவும்.
சர்க்கரை கரையும் வரை கிளறவும். பின்னர் முந்திரி பருப்பு மற்றும் துருவிய பாதாம் பருப்புகளைச் சேர்க்கவும். அடுப்பிலிருந்து இறக்கவும்.</t>
  </si>
  <si>
    <t>https://encrypted-tbn0.gstatic.com/images?q=tbn:ANd9GcReCMkhNA9Df9t2dUHTiTlBccHwx4riLZC-KQ&amp;s</t>
  </si>
  <si>
    <t>Pottukadalai Urundai with Jaggery</t>
  </si>
  <si>
    <t>பொட்டுகடலை உருண்டை வெல்லத்துடன்</t>
  </si>
  <si>
    <t xml:space="preserve">
   Roasted gram dal – 1 cup,
   Jaggery – 3/4 cup grated,
   Dry Ginger powder – 1/8 tsp,
   Cardamom powder – 1/8 tsp,
   Ghee – 1 tsp,
   Ghee or rice flour – as needed.</t>
  </si>
  <si>
    <t>வறுத்த கடலை பருப்பு - 1 கப்,
வெல்லம் - 3/4 கப் துருவியது,
உலர்ந்த இஞ்சி தூள் - 1/8 தேக்கரண்டி,
ஏலக்காய் தூள் - 1/8 தேக்கரண்டி,
நெய் - 1 தேக்கரண்டி,
நெய் அல்லது அரிசி மாவு - தேவைக்கேற்ப.</t>
  </si>
  <si>
    <t>Roasted gram (also known as pottukadalai or chutney kadalai) should be crisp. Avoid using old stock. If required dry roast it slightly until hot to touch.
Heat 1/3 cup of water, add jaggery and stir it to dissolve. Remove from heat and strain it to remove impurities.
Take a kadai, add the filtered jaggery water and boil it. When it starts boiling, add a tsp of ghee, cardamom powder and dry ginger powder. Boil until the jaggery syrup thickens and reaches soft ball consistency.
To find out the soft ball consistency – take a small bowl of water, add a tsp of jaggery syrup to it. The jaggery syrup should not dissolve. If you are able to collect it and make a soft ball, it is the right consistency. Switch off the heat and add the pottukadalai or roasted gram dal.
Mix it well so that it is well coated with the jaggery syrup.
Once the mixture cools slightly, grease your hands with ghee or dust your hands with rice flour and make balls out of the mixture when it is warm. If the mixture cools, it will harden, so make balls when the mixture is warm. In case, if it hardens, you can reheat it slightly.</t>
  </si>
  <si>
    <t>வறுத்த கடலை (பொட்டுகடலை அல்லது சட்னி கடலை என்றும் அழைக்கப்படுகிறது) மொறுமொறுப்பாக இருக்க வேண்டும். பழைய குழம்பைப் பயன்படுத்துவதைத் தவிர்க்கவும். தேவைப்பட்டால், தொடுவதற்கு சூடாகும் வரை சிறிது உலர்வாக வறுக்கவும்.
1/3 கப் தண்ணீரை சூடாக்கி, வெல்லம் சேர்த்து கரைய கிளறவும். அடுப்பிலிருந்து இறக்கி, அசுத்தங்களை நீக்க வடிகட்டி வைக்கவும்.
ஒரு கடாயை எடுத்து, வடிகட்டிய வெல்லத் தண்ணீரைச் சேர்த்து கொதிக்க வைக்கவும். அது கொதிக்க ஆரம்பித்ததும், ஒரு தேக்கரண்டி நெய், ஏலக்காய்த் தூள் மற்றும் உலர்ந்த இஞ்சித் தூள் சேர்க்கவும். வெல்லப் பாகு கெட்டியாகி மென்மையான பந்து நிலைத்தன்மையை அடையும் வரை கொதிக்க வைக்கவும்.
மென்மையான பந்து நிலைத்தன்மையைக் கண்டறிய - ஒரு சிறிய கிண்ணம் தண்ணீரை எடுத்து, அதில் ஒரு தேக்கரண்டி வெல்லப் பாகு சேர்க்கவும். வெல்லம் கரையக்கூடாது. நீங்கள் அதை சேகரித்து மென்மையான உருண்டையாக உருவாக்க முடிந்தால், அது சரியான நிலைத்தன்மையுடன் இருக்கும். அடுப்பை அணைத்துவிட்டு பொட்டுக்கடலை அல்லது வறுத்த பருப்பைச் சேர்க்கவும்.
வெல்லம் சிரப் நன்றாகப் பூசப்படும் வகையில் நன்கு கலக்கவும்.
கலவை சிறிது ஆறியதும், உங்கள் கைகளில் நெய் தடவவும் அல்லது அரிசி மாவைத் தூவி, சூடாக இருக்கும் போது கலவையிலிருந்து உருண்டைகளை உருவாக்கவும். கலவை குளிர்ந்தால், அது கெட்டியாகும், எனவே கலவை சூடாக இருக்கும் போது உருண்டைகளை உருவாக்கவும். அது கெட்டியானால், நீங்கள் அதை சிறிது மீண்டும் சூடாக்கலாம்.</t>
  </si>
  <si>
    <t>https://rakskitchen.net/wp-content/uploads/2016/11/pottukadalai-urundai-recipe-500x500.jpg</t>
  </si>
  <si>
    <t>Bajra Atta Ladoo</t>
  </si>
  <si>
    <t>பஜ்ரா ஆட்டா லட்டு</t>
  </si>
  <si>
    <t xml:space="preserve">   Pearl Millet flour – 1 1/2 cup,
   Almonds – 15,
   Cashew nuts – 15,
   Dates – 25,
   Jaggery – 1/4 cup powdered,
   Sesame seeds – 3 tbsp,
   Cardamom – 2-3,
   Ghee/clarified butter – 4 tbsp melted.</t>
  </si>
  <si>
    <t>முத்து தினை மாவு - 1 1/2 கப்,
பாதாம் - 15,
முந்திரி பருப்பு - 15,
பேரீச்சம்பழம் - 25,
வெல்லம் - 1/4 கப் பொடித்தது,
எள் - 3 டீஸ்பூன்,
ஏலக்காய் - 2-3,
நெய்/தெளிவுபடுத்திய வெண்ணெய் - 4 டீஸ்பூன் உருகியது.</t>
  </si>
  <si>
    <t>Heat 2 tbsp of ghee in a kadai, and roast pearl millet flour on medium heat until you get a nice aroma of roasted flour.
roasting bajra flour 
Once the flour is well roasted, switch off the heat and add jaggery powder.
Add coarsely ground almonds + cashew nut powder, cardamom powder and coarsely ground sesame seeds. Mix everything well and dry grind it with chopped dates.
Transfer to a wide vessel or plate. Add whole sesame seeds (remember we kept 1 tbsp sesame seeds aside) and mix it well.
As we have added dates, we do not need much ghee for making this laddu. I have used just 2 tbsp of warm melted ghee.
Mix warm ghee little at a time and make laddus batch by batch. Do not add all the ghee to the prepared bajra laddu mixture. You may need less than 2 tbsp of ghee as the mixture will bind well because of the dates.</t>
  </si>
  <si>
    <t>ஒரு கடாயில் 2 டீஸ்பூன் நெய்யை சூடாக்கி, வறுத்த மாவின் நல்ல வாசனை வரும் வரை முத்து தினை மாவை மிதமான தீயில் வறுக்கவும்.
வறுக்கவும் பஜ்ரா மாவு
மாவு நன்கு வறுத்ததும், அடுப்பை அணைத்து வெல்லப் பொடி சேர்க்கவும்.
கரகரப்பாக அரைத்த பாதாம் + முந்திரி பருப்பு தூள், ஏலக்காய் பொடி மற்றும் கரகரப்பாக அரைத்த எள் சேர்க்கவும். அனைத்தையும் நன்றாகக் கலந்து, நறுக்கிய பேரீச்சம்பழத்துடன் அரைக்கவும்.
ஒரு அகலமான பாத்திரம் அல்லது தட்டில் மாற்றவும். முழு எள்ளையும் சேர்த்து (1 டீஸ்பூன் எள் ஒதுக்கி வைத்திருந்தோம் என்பதை நினைவில் கொள்ளவும்) நன்கு கலக்கவும்.
பேரீச்சம்பழம் சேர்த்துள்ளதால், இந்த லட்டு தயாரிக்க அதிக நெய் தேவையில்லை. நான் 2 டேபிள்ஸ்பூன் சூடான உருகிய நெய்யை மட்டுமே பயன்படுத்தினேன்.
சூடான நெய்யை சிறிது சிறிதாக கலந்து, ஒவ்வொரு தொகுதியாக லட்டு தயாரிக்கவும். தயாரிக்கப்பட்ட பஜ்ரா லட்டு கலவையில் அனைத்து நெய்யையும் சேர்க்க வேண்டாம். பேரீச்சம்பழம் காரணமாக கலவை நன்றாக பிணைக்கப்படுவதால், உங்களுக்கு 2 டேபிள்ஸ்பூன் நெய்க்கும் குறைவாகவே தேவைப்படலாம்.</t>
  </si>
  <si>
    <t>https://4.imimg.com/data4/BW/MV/MY-2359848/bajra-atta-ladoo-500x500.jpg</t>
  </si>
  <si>
    <t>Easy Bread Pudding</t>
  </si>
  <si>
    <t xml:space="preserve">
எளிதான பிரட் புட்டிங்</t>
  </si>
  <si>
    <t xml:space="preserve">   Baguette – as needed,
   Eggs – 2,
   Brown sugar – 1/4 cup firmly packed,
   Vanilla extract – 1/2 tsp,
   Ground cinnamon – 1/4 tsp,
   Freshly grated nutmeg – a pinch,
   Salt – a pinch,
   Milk – 2 cups ,
   Dried cranberries or raisins – 3-4 tbsp,
   Powdered sugar for dusting.</t>
  </si>
  <si>
    <t>பக்கோடா - தேவைக்கேற்ப,
முட்டை - 2,
பிரவுன் சர்க்கரை - 1/4 கப் உறுதியாக பேக் செய்யப்பட்டது,
வெண்ணிலா சாறு - 1/2 தேக்கரண்டி,
அரைத்த இலவங்கப்பட்டை - 1/4 தேக்கரண்டி,
புதிதாக துருவிய ஜாதிக்காய் - ஒரு சிட்டிகை,
உப்பு - ஒரு சிட்டிகை,
பால் - 2 கப்,
உலர்ந்த கிரான்பெர்ரி அல்லது திராட்சை - 3-4 தேக்கரண்டி,
தூவுவதற்கு தூள் சர்க்கரை.</t>
  </si>
  <si>
    <t>In a bowl, beat egg for a few seconds.
Then add powdered sugar, vanilla extract, cinnamon powder, nutmeg, salt and beat until well blended.
Add milk and beat until well combined.
adding milk 
Now pour the mixture over the bread slices/cubes.
Press down the bread with a spoon, now and then. Let it sit for 20 minutes. But the time the bread pieces will be evenly soaked. In the meantime preheat the oven at 175 degree C for 10-15 minutes.
Scatter cranberries and raisins evenly over the surface of the soaked bread and press the dry fruits slightly to submerge. As I did not have cranberries, I have used dried apricots and raisins.
This pudding should be baked in a water bath. Add very hot water to a pan and keep the baking tray in it. The water should come halfway up the sides of the baking tray. Water bath prevents it from curdling or getting burnt as it is a very delicate food.
Now place the tray along with the pan containing hot water in the middle rack inside the oven.
Bake the pudding in a preheated oven for 45-55 minutes or until a knife inserted in the center of the pudding comes out clean.
Remove the bread pudding from water bath. After it cools, you can cut it and serve dusted with powdered sugar.
Bread Pudding with dry fruits 
Enjoy it warm, cold or at room temperature. You can also top it with vanilla ice cream or whipped cream.</t>
  </si>
  <si>
    <t>ஒரு கிண்ணத்தில், முட்டையை சில நொடிகள் அடிக்கவும்.
பின்னர் தூள் சர்க்கரை, வெண்ணிலா சாறு, இலவங்கப்பட்டை தூள், ஜாதிக்காய், உப்பு சேர்த்து நன்கு கலக்கும் வரை அடிக்கவும்.
பால் சேர்த்து நன்கு கலக்கும் வரை அடிக்கவும்.
பால் சேர்க்கவும்
இப்போது கலவையை ரொட்டி துண்டுகள்/க்யூப்ஸ் மீது ஊற்றவும்.
ரொட்டியை அவ்வப்போது ஒரு கரண்டியால் அழுத்தவும். 20 நிமிடங்கள் அப்படியே வைக்கவும். ஆனால் ரொட்டி துண்டுகள் சமமாக ஊறும்போது. இதற்கிடையில், அடுப்பை 175 டிகிரி செல்சியஸில் 10-15 நிமிடங்கள் சூடாக்கவும்.
ஊறவைத்த ரொட்டியின் மேற்பரப்பில் கிரான்பெர்ரி மற்றும் திராட்சையை சமமாக தூவி, உலர் பழங்களை சிறிது அழுத்தி மூழ்கடிக்கவும். என்கிட்ட கிரான்பெர்ரி இல்லாததால், நான் உலர்ந்த ஆப்ரிகாட் மற்றும் திராட்சையைப் பயன்படுத்தினேன்.
இந்த புட்டிங்கை தண்ணீர் குளியலில் சுட வேண்டும். ஒரு பாத்திரத்தில் மிகவும் சூடான நீரைச் சேர்த்து, பேக்கிங் தட்டில் வைக்கவும். தண்ணீர் பேக்கிங் தட்டின் பக்கவாட்டில் பாதியளவு வர வேண்டும். தண்ணீர் குளியல் அது தயிர் ஆவதையோ அல்லது எரிவதையோ தடுக்கிறது, ஏனெனில் இது மிகவும் மென்மையான உணவு.
இப்போது அடுப்பின் உள்ளே நடுத்தர ரேக்கில் சூடான நீரைக் கொண்ட தட்டுடன் தட்டையும் வைக்கவும்.
புட்டிங்கை 45-55 நிமிடங்கள் அல்லது புட்டின் மையத்தில் செருகப்பட்ட கத்தி சுத்தமாக வெளியே வரும் வரை முன்கூட்டியே சூடேற்றப்பட்ட அடுப்பில் சுடவும்.
தண்ணீர் குளியலில் இருந்து ரொட்டி புட்டிங்கை அகற்றவும். அது குளிர்ந்த பிறகு, அதை வெட்டி தூள் சர்க்கரையுடன் தூவி பரிமாறலாம்.
உலர் பழங்களுடன் ரொட்டி புட்டிங்
சூடாக, குளிர்ச்சியாக அல்லது அறை வெப்பநிலையில் இதை அனுபவிக்கவும். நீங்கள் அதன் மேல் வெண்ணிலா ஐஸ்கிரீம் அல்லது விப் க்ரீம் சேர்த்தும் பரிமாறலாம்.</t>
  </si>
  <si>
    <t>https://www.howtocook.recipes/wp-content/uploads/2021/04/Bread-pudding-recipe-500x500.jpg</t>
  </si>
  <si>
    <t>Kalkandu Pongal</t>
  </si>
  <si>
    <t>கல்கண்டு பொங்கல்</t>
  </si>
  <si>
    <t xml:space="preserve">   Raw Rice – 1/2 cup,
   Moong dal – 1 1/2 tbsp,
   Milk – 1 1/2 cup,
   Rock sugar candy – 3/4 cup,
   Ghee – 3 1/2 tbsp,
   Cashew nuts – 8-10,
   Raisins – 15-20,
   Cardamom Powder – 1/4 tsp,
   Saffron – 2-3 strands.</t>
  </si>
  <si>
    <t>பச்சை அரிசி - 1/2 கப்,
பாசிப்பருப்பு - 1 1/2 டீஸ்பூன்,
பால் - 1 1/2 கப்,
பாற்கூரை மிட்டாய் - 3/4 கப்,
நெய் - 3 1/2 டீஸ்பூன்,
முந்திரி பருப்பு - 8-10,
திராட்சை - 15-20,
ஏலக்காய் பொடி - 1/4 டீஸ்பூன்,
குங்குமப்பூ - 2-3 இழைகள்.</t>
  </si>
  <si>
    <t>Dry roast rice and dal separately until hot to touch. Do not over roast it. It just needs to be slightly hot.
Wash rice and dal together and cook with 1 cup of milk and 1 cup of water. I pressure cooked keeping it in a separate vessel for 3 whistles. You can cook directly in the cooker.
Once the pressure subsides, open the cooker and mash the dal and rice when it is hot.
Add the remaining 1/2 cup of milk and mash it well.
Heat a tbsp of ghee and fry cashew nuts until light golden brown. Add raisins and fry until it puffs up.
Then add the mashed rice and dal mixture.
Add kalkandu or rock sugar candy (I used diamond kalkandu) and cook on medium heat until the sugar candy dissolves.
Add remaining ghee, cardamom powder and mix well.
Finally add saffron strands, mix the pongal well and remove from heat.
Creamy and delicious Kalkandu pongal is ready. It tastes heavenly!! You can enjoy it warm or chilled.</t>
  </si>
  <si>
    <t>அரிசியையும் பருப்பையும் தனித்தனியாக சூடாகும் வரை வறுக்கவும். அதிகமாக வறுக்க வேண்டாம். சற்று சூடாக இருந்தால் போதும்.
அரிசியையும் பருப்பையும் ஒன்றாகக் கழுவி, 1 கப் பால் மற்றும் 1 கப் தண்ணீரில் சமைக்கவும். நான் அதை ஒரு தனி பாத்திரத்தில் 3 விசில் வரை வைத்து பிரஷர் சமைத்தேன். நீங்கள் நேரடியாக குக்கரில் சமைக்கலாம்.
பிரஷர் குறைந்தவுடன், குக்கரைத் திறந்து, சூடானதும் பருப்பையும் அரிசியையும் மசிக்கவும்.
மீதமுள்ள 1/2 கப் பாலை சேர்த்து நன்றாக மசிக்கவும்.
ஒரு தேக்கரண்டி நெய்யை சூடாக்கி, முந்திரி பருப்புகளை லேசான பொன்னிறமாகும் வரை வறுக்கவும். திராட்சையைச் சேர்த்து, அது கொப்பளிக்கும் வரை வதக்கவும்.
பின்னர் மசித்த அரிசி மற்றும் பருப்பு கலவையைச் சேர்க்கவும்.
கல்கண்டு அல்லது ராக் சர்க்கரை மிட்டாய் (நான் வைர கல்கண்டு பயன்படுத்தினேன்) சேர்த்து, சர்க்கரை மிட்டாய் கரையும் வரை மிதமான தீயில் சமைக்கவும்.
மீதமுள்ள நெய், ஏலக்காய் தூள் சேர்த்து நன்கு கலக்கவும்.
இறுதியாக குங்குமப்பூ இழைகளைச் சேர்த்து, பொங்கலை நன்கு கலந்து, அடுப்பிலிருந்து இறக்கவும்.
கிரீமி மற்றும் சுவையான கல்கண்டு பொங்கல் தயார். இது அற்புதமான சுவையுடன் இருக்கும்!! நீங்கள் இதை சூடாகவோ அல்லது குளிரூட்டவோ சாப்பிடலாம்.</t>
  </si>
  <si>
    <t>https://encrypted-tbn0.gstatic.com/images?q=tbn:ANd9GcRkSRd70_8h6_y1YM7RFKBESNfE1jQXjws0uw&amp;s</t>
  </si>
  <si>
    <t xml:space="preserve">   Egg white – 2,
   Salt – a pinch,
   Granulated white Sugar – 1/2 cup ,
   Green Food color – few drops,
   Piping bag,
   Sprinkles, 
  Silver balls for decoration.</t>
  </si>
  <si>
    <t>முட்டையின் வெள்ளைக்கரு - 2,
உப்பு - ஒரு சிட்டிகை,
கிரானுலேட்டட் வெள்ளை சர்க்கரை - 1/2 கப்,
பச்சை உணவு நிறம் - சில துளிகள்,
பைப்பிங் பை,
தெளிப்புகள்,
அலங்காரத்திற்கான வெள்ளி பந்துகள்.</t>
  </si>
  <si>
    <t xml:space="preserve">Using an electric beater, beat the egg whites on medium speed until frothy.
Add salt and continue to beat the eggs until you get soft peaks.
Once you get soft peaks, add sugar little at a time and continue to beat on medium high until you get stiff peaks.
Add vanilla extract and mix well.
beating eggs until stiff peaks 
Add green color to the batter and mix well. (as we are making Christmas tree, I have added green color). Our meringue batter is ready.
Before piping the cookies on the parchment paper, just stick the parchment paper by applying a little meringue mixture on the underside of each corner of the paper to prevent the paper from sliding.
Transfer the meringue mixture into an icing bag. Using a large star or round shaped nozzle, pipe the mixture directly on the parchment paper as shown below like Xmas tree.
Then place sprinkles or silver balls on the tree as you like.
Bake the meringues at 95 degrees C for approximately 1 1/2 to 1 3/4 hours or until fairly crisp.
how to make Christmas Meringue Cookies 
Turn off the oven and leave the meringue cookies in the oven (with door slightly open) for several hours or overnight to dry completely.
Dust them with powdered sugar to create a snow effect. Place star sprinkles on top using a little frosting. Our Christmas Meringue Cookies are ready. </t>
  </si>
  <si>
    <t>மின்சார பீட்டரைப் பயன்படுத்தி, முட்டையின் வெள்ளைக்கருவை நுரை வரும் வரை நடுத்தர வேகத்தில் அடிக்கவும்.
உப்பு சேர்த்து, மென்மையான சிகரங்கள் கிடைக்கும் வரை முட்டைகளை அடிக்கவும்.
மென்மையான சிகரங்கள் கிடைக்கும் வரை, சிறிது சிறிதாக சர்க்கரையைச் சேர்த்து, கடினமான சிகரங்கள் கிடைக்கும் வரை நடுத்தர உயரத்தில் அடிக்கவும்.
வெண்ணிலா சாற்றைச் சேர்த்து நன்கு கலக்கவும்.
முட்டைகளை கடினமான சிகரங்கள் வரும் வரை அடிக்கவும்
மாவில் பச்சை நிறத்தைச் சேர்த்து நன்கு கலக்கவும். (நாங்கள் கிறிஸ்துமஸ் மரத்தை உருவாக்குகிறோம், நான் பச்சை நிறத்தைச் சேர்த்துள்ளேன்). எங்கள் மெரிங்க்யூ மாவு தயாராக உள்ளது.
குக்கீகளை காகிதத்தோல் காகிதத்தில் பைப் செய்வதற்கு முன், காகிதம் நழுவுவதைத் தடுக்க காகிதத்தின் ஒவ்வொரு மூலையின் அடிப்பகுதியிலும் சிறிது மெரிங்க்யூ கலவையைப் பயன்படுத்துவதன் மூலம் காகிதத்தோல் காகிதத்தை ஒட்டவும்.
மெரிங்க்யூ கலவையை ஒரு ஐசிங் பையில் மாற்றவும். ஒரு பெரிய நட்சத்திரம் அல்லது வட்ட வடிவ முனையைப் பயன்படுத்தி, கீழே காட்டப்பட்டுள்ளபடி, கிறிஸ்துமஸ் மரம் போல, கலவையை நேரடியாக காகிதத்தோலில் வைக்கவும்.
பின்னர் நீங்கள் விரும்பியபடி மரத்தில் ஸ்பிரிங்க்ள்ஸ் அல்லது வெள்ளி பந்துகளை வைக்கவும்.
மெரிங்க்யூக்களை 95 டிகிரி செல்சியஸில் சுமார் 1 1/2 முதல் 1 3/4 மணி நேரம் அல்லது மிகவும் மொறுமொறுப்பாக இருக்கும் வரை சுடவும்.
கிறிஸ்துமஸ் மெரிங்க்யூ குக்கீகளை எப்படி செய்வது
அடுப்பை அணைத்து, மெரிங்க்யூ குக்கீகளை அடுப்பில் (கதவு சிறிது திறந்திருக்கும்) பல மணி நேரம் அல்லது இரவு முழுவதும் முழுமையாக உலர வைக்கவும்.
பனி விளைவை உருவாக்க அவற்றை தூள் சர்க்கரையுடன் தூவவும். சிறிது ஃப்ரோஸ்டிங்கைப் பயன்படுத்தி மேலே ஸ்டார் ஸ்பிரிங்க்ள்களை வைக்கவும். எங்கள் கிறிஸ்துமஸ் மெரிங்க்யூ குக்கீகள் தயாராக உள்ளன.</t>
  </si>
  <si>
    <t>https://preppykitchen.com/wp-content/uploads/2019/12/meringue-cookies-recipe.jpg</t>
  </si>
  <si>
    <t xml:space="preserve">   Eggs – 2 small,
   Granulated white sugar – 1/2 cup,
   Salt – a pinch,
   Unsweetened desiccated coconut – 1 1/2 cup,
   Vanilla extract – 1/2 tsp,
   Semi sweet chocolate – 1/2 cup grated,
   Unsalted butter – 1/2 tsp.
</t>
  </si>
  <si>
    <t>முட்டைகள் - 2 சிறியவை,
வெள்ளை சர்க்கரை - 1/2 கப்,
உப்பு - ஒரு சிட்டிகை,
இனிக்காத உலர் தேங்காய் - 1 1/2 கப்,
வெண்ணிலா சாறு - 1/2 தேக்கரண்டி,
அரை இனிப்பு சாக்லேட் - 1/2 கப் துருவியது,
உப்பு சேர்க்காத வெண்ணெய் - 1/2 தேக்கரண்டி.</t>
  </si>
  <si>
    <t xml:space="preserve">   Eggs – 2 ,
   Granulated white sugar – 1/2 cup,
   Salt – a pinch,
   Vanilla extract – 1/2 tsp,
   Unsweetened desiccated coconut – 1 1/2 cup.</t>
  </si>
  <si>
    <t>In a large bowl, beat eggs until frothy.
beating  eggs for Coconut Macaroons 
Add powdered sugar and salt to the egg mixture.
adding sugar and salt 
Add vanilla extract and mix well until combined with a wire whisk or a fork.
how to make coconut macaroons 
Add desiccated coconut and mix well.
Drop the mixture by 1/2 a tablespoonful, one inch apart on the parchment-lined baking sheet.
Bake at 180 degree C (bottom coil – 15-20 mins and finally top coil for just 1 or 2 minutes to give a nice brown shade on the top) for 15-20 minutes or until golden brown. After 10 minutes of baking, rotate the tray and continue to bake until done. This is done so that the macaroons will get baked evenly.
Remove from the oven and cool for 10 minutes. Then place it on a wire rack to cool. They taste excellent when warm from the oven.</t>
  </si>
  <si>
    <t>ஒரு பெரிய கிண்ணத்தில், முட்டைகளை நுரை வரும் வரை அடிக்கவும்.
தேங்காய் மக்ரூன்களுக்கு முட்டைகளை அடிக்கவும்
முட்டை கலவையில் பொடித்த சர்க்கரை மற்றும் உப்பு சேர்க்கவும்.
சர்க்கரை மற்றும் உப்பு சேர்க்கவும்
வெண்ணிலா சாறு சேர்த்து ஒரு கம்பி துடைப்பம் அல்லது முட்கரண்டி கொண்டு நன்கு கலக்கவும்.
தேங்காய் மக்ரூன்களை எப்படி செய்வது
உலர்ந்த தேங்காயைச் சேர்த்து நன்கு கலக்கவும்.
கலவையை ஒரு தேக்கரண்டி அளவு, ஒரு அங்குல இடைவெளியில், காகிதத்தோல் பூசப்பட்ட பேக்கிங் தாளில் இறக்கவும்.
180 டிகிரி செல்சியஸில் (கீழ் சுருள் - 15-20 நிமிடங்கள் மற்றும் இறுதியாக மேல் சுருள் 1 அல்லது 2 நிமிடங்கள் மேலே ஒரு நல்ல பழுப்பு நிற நிழலைப் பெற) 15-20 நிமிடங்கள் அல்லது தங்க பழுப்பு வரை சுடவும். 10 நிமிடங்கள் பேக்கிங் செய்த பிறகு, தட்டைச் சுழற்றி, முடியும் வரை தொடர்ந்து பேக் செய்யவும். மெக்கரூன்கள் சமமாக சுடப்படும் வகையில் இது செய்யப்படுகிறது.
அடுப்பிலிருந்து இறக்கி 10 நிமிடங்கள் குளிர வைக்கவும். பின்னர் அதை குளிர்விக்க ஒரு கம்பி ரேக்கில் வைக்கவும். அடுப்பிலிருந்து சூடாகும்போது அவை நன்றாக ருசிக்கும்.</t>
  </si>
  <si>
    <t>https://encrypted-tbn0.gstatic.com/images?q=tbn:ANd9GcSzfNsUnUN3XKMHOjjbQx-IiQ4ZFoQHFxKz7Q&amp;s</t>
  </si>
  <si>
    <t>Chocolate Burfi</t>
  </si>
  <si>
    <t>சாக்லேட் பர்ஃபி</t>
  </si>
  <si>
    <t xml:space="preserve">   Crumbled unsweetened Khoya -1 1/2 cup,
   Powdered Sugar – 1/2 cup,
   Cardamom Powder – 1/4 tsp,
   Ghee – 1 tsp melted,
   Crumbled unsweetened Khoya - 1 cup ,
   Powdered Sugar – 1/3 cup ,
   Cocoa powder – 2 tbsp,
   Ghee – 1 tsp,
   Ghee – 1 tsp melted for greasing,
   Pistashio – 1-2 tbsp finely chopped .</t>
  </si>
  <si>
    <t>நொறுக்கப்பட்ட இனிப்பு சேர்க்காத கோயா - 1 1/2 கப்,
பொடித்த சர்க்கரை - 1/2 கப்,
ஏலக்காய் பொடி - 1/4 டீஸ்பூன்,
நெய் - 1 டீஸ்பூன் உருகியது,
நொறுக்கப்பட்ட இனிப்பு சேர்க்காத கோயா - 1 கப்,
பொடித்த சர்க்கரை - 1/3 கப்,
கோகோ பவுடர் - 2 டீஸ்பூன்,
நெய் - 1 டீஸ்பூன்,
நெய் - 1 டீஸ்பூன் தடவுவதற்கு உருகியது,
பிஸ்தாஷியோ - 1-2 டீஸ்பூன் நன்றாக நறுக்கியது.</t>
  </si>
  <si>
    <t>Bring khoya or mawa to room temperature. I have used ready made store bought khoya. Crumble the khoya with your fingers or grate it. If you crumble 300 grams of mawa and measure it in a cup, it will be approximately 1 1/2 cup. If you crumble 200 grams of mawa and measure it in a cup, it will be approximately 1 cup.
Powder sugar, measure it and keep it ready.
Grease the plate or tray with ghee and keep it ready.
Keep the ingredients ready for both the burfis separately.
First we will make the white colored burfi.
Melt a tsp of ghee in a pan preferably, a non stick pan, keep the heat very low and add crumbled mawa (1 1/2 cup), powdered sugar and cardamom powder.
Keep stirring continuously throughout and cook on low heat. If you do not stir, the mixture will get burnt. The mixture will melt and become thin as seen in the picture below.
Cook for another 5-6 minutes on medium heat, stirring continuously. By now, the mixture will start to leave the sides of the pan.  If you overcook, the burfi will become dry.
Transfer the mixture into the greased plate, tap the plate or spread the mixture evenly. Grease a spoon with ghee and even/smoothen the surface of the burfi. Leave it to set for 1 hour. We will prepare the chocolate burfi after 1 hour.
By now, the white colored burfi would have set. Heat a tsp of ghee in a pan, add crumbled mawa, powdered sugar and cocoa powder.
Mix well and cook on low heat stirring continuously. The mixture will start to become thin.
Continue to cook on low heat stirring continuously for 4-5 minutes or until the mixture starts to leave the sides of the pan.
Now transfer the chocolate mixture on top of the white mixture and spread it evenly all over. Grease a spoon with ghee and smoothen the surface.
Top it with chopped pistaschio, if preferred. Leave it to set for 3 hours.
After it is set, cut the burfi as desired and enjoy. You can also keep it in the refrigerator for it to set.</t>
  </si>
  <si>
    <t>கோயா அல்லது மாவாவை அறை வெப்பநிலைக்கு கொண்டு வாருங்கள். நான் கடையில் வாங்கிய ரெடிமேட் கோயாவைப் பயன்படுத்தினேன். கோயாவை உங்கள் விரல்களால் நசுக்கவும் அல்லது தட்டி எடுக்கவும். நீங்கள் 300 கிராம் மாவாவை நொறுக்கி ஒரு கோப்பையில் அளந்தால், அது தோராயமாக 1 1/2 கப் ஆகும். நீங்கள் 200 கிராம் மாவாவை நொறுக்கி ஒரு கோப்பையில் அளந்தால், அது தோராயமாக 1 கப் ஆகும்.
பொடித்த சர்க்கரை, அதை அளந்து தயாராக வைத்திருங்கள்.
தட்டு அல்லது தட்டில் நெய் தடவி தயாராக வைக்கவும்.
இரண்டு பர்ஃபிகளுக்கும் தேவையான பொருட்களை தனித்தனியாக தயார் நிலையில் வைக்கவும்.
முதலில் வெள்ளை நிற பர்ஃபியை செய்வோம்.
ஒரு பாத்திரத்தில், ஒரு ஒட்டாத பாத்திரத்தில் ஒரு தேக்கரண்டி நெய்யை உருக்கி, தீயை மிகக் குறைவாக வைத்து, நொறுக்கப்பட்ட மாவா (1 1/2 கப்), தூள் சர்க்கரை மற்றும் ஏலக்காய் தூள் சேர்க்கவும்.
தொடர்ந்து கிளறிக்கொண்டே இருங்கள், குறைந்த தீயில் சமைக்கவும். நீங்கள் கிளறவில்லை என்றால், கலவை எரிந்துவிடும். கீழே உள்ள படத்தில் காட்டப்பட்டுள்ளபடி கலவை உருகி மெல்லியதாகிவிடும்.
மீதமுள்ள தீயில் மேலும் 5-6 நிமிடங்கள் தொடர்ந்து கிளறி சமைக்கவும். இப்போதைக்கு, கலவை பாத்திரத்தின் பக்கங்களை விட்டு வெளியேறத் தொடங்கும். அதிகமாக வெந்தால், பர்ஃபி வறண்டு போகும்.
கலவையை எண்ணெய் தடவிய தட்டில் மாற்றி, தட்டில் தட்டவும் அல்லது கலவையை சமமாக பரப்பவும். ஒரு கரண்டியால் நெய் தடவி, பர்ஃபியின் மேற்பரப்பை சமமாக/மென்மையாக்கவும். 1 மணி நேரம் செட் செய்ய விடவும். 1 மணி நேரத்திற்குப் பிறகு நாங்கள் சாக்லேட் பர்ஃபியை தயார் செய்வோம்.
இப்போதைக்கு, வெள்ளை நிற பர்ஃபி கெட்டியாகியிருக்கும். ஒரு பாத்திரத்தில் ஒரு தேக்கரண்டி நெய்யை சூடாக்கி, நொறுக்கப்பட்ட மாவா, பொடித்த சர்க்கரை மற்றும் கோகோ பவுடர் சேர்க்கவும்.
நன்றாகக் கலந்து, தொடர்ந்து கிளறி, குறைந்த தீயில் சமைக்கவும். கலவை மெல்லியதாக மாறத் தொடங்கும்.
4-5 நிமிடங்கள் அல்லது கலவை பாத்திரத்தின் பக்கவாட்டில் இருந்து வெளியேறத் தொடங்கும் வரை தொடர்ந்து கிளறி, குறைந்த தீயில் சமைக்கவும்.
இப்போது சாக்லேட் கலவையை வெள்ளை கலவையின் மேல் மாற்றி, மேற்பரப்பு முழுவதும் சமமாகப் பரப்பவும். ஒரு கரண்டியால் நெய் தடவி, மேற்பரப்பை மென்மையாக்கவும்.
விரும்பினால், அதன் மேல் நறுக்கிய பிஸ்தாஷியோவை ஊற்றவும். 3 மணி நேரம் செட் ஆக விடவும்.
செட் ஆன பிறகு, பர்ஃபியை விரும்பியபடி வெட்டி மகிழுங்கள். அது செட் ஆக குளிர்சாதன பெட்டியிலும் வைக்கலாம்.</t>
  </si>
  <si>
    <t>https://i0.wp.com/binjalsvegkitchen.com/wp-content/uploads/2015/11/Chocolate-Burfi-H1-1.jpg?fit=600%2C900&amp;ssl=1</t>
  </si>
  <si>
    <t>Doodh Peda</t>
  </si>
  <si>
    <t>தூத் பேடா</t>
  </si>
  <si>
    <t xml:space="preserve">   Sweetened Condensed milk - 1/2 tin,
   Milk Powder – 1 cup,
   Melted butter – 2 tbsp,
   Saffron strands – 4-5,
   Hot Milk – 2 tbsp,
   Pistachio – 1 1/2 tbsp,
   Cardamom powder – 1/4 tsp,
   clarified butter – 1 tsp for greasing.</t>
  </si>
  <si>
    <t>இனிப்புடன் கூடிய அமுக்கப்பட்ட பால் - 1/2 டின்,
பால் பவுடர் - 1 கப்,
உருகிய வெண்ணெய் - 2 டேபிள்ஸ்பூன்,
குங்குமப்பூ இழைகள் - 4-5,
சூடான பால் - 2 டேபிள்ஸ்பூன்,
பிஸ்தா - 1 1/2 டேபிள்ஸ்பூன்,
ஏலக்காய் தூள் - 1/4 டேபிள்ஸ்பூன்,
தெளித்த வெண்ணெய் - நெய் தடவுவதற்கு 1 டேபிள்ஸ்பூன்.</t>
  </si>
  <si>
    <t>In a non stick pan/heavy bottomed pan, melt butter.
Switch off the heat. Add condensed milk, milk powder and mix well making sure that there are no lumps.
Switch on the gas stove and cook on low heat stirring continuously.
Add saffron milk and continue to cook on low heat stirring continuously. Cook until it leaves the sides of the pan .
Add cardamom powder and remove from heat. Keep stirring for a few seconds off heat. Transfer the mixture to a plate (to prevent it from cooking further in the heat of the pan).
When the mixture is warm, grease your fingers with ghee and make around 8 or 10 smooth balls.
Make a dent/impression with your thumb in the center and fill chopped pistachio or a mix of chopped almonds, cashew nuts and pistachio in it.
Allow it to set. If you taste it immediately after preparing, it will be a bit chewy and sticky. So keep it aside for 5-6 hours. This instant doodh peda tastes best the next day.</t>
  </si>
  <si>
    <t>ஒரு குச்சி இல்லாத பாத்திரம்/அடித்தளமான பாத்திரத்தில், வெண்ணெய் உருக்கவும்.
தீயை அணைக்கவும். அமுக்கப்பட்ட பால், பால் பவுடர் சேர்த்து கட்டிகள் இல்லாதபடி நன்கு கலக்கவும்.
கேஸ் அடுப்பை இயக்கி, குறைந்த தீயில் தொடர்ந்து கிளறி சமைக்கவும்.
குங்குமப்பூ பாலை சேர்த்து, குறைந்த தீயில் தொடர்ந்து கிளறி சமைக்கவும். அது வாணலியின் பக்கங்களை விட்டு வெளியேறும் வரை சமைக்கவும்.
ஏலக்காய் தூள் சேர்த்து, அமுக்காமல் சில நொடிகள் கிளறிக்கொண்டே இருங்கள். கலவையை ஒரு தட்டில் மாற்றவும் (அது கடாயின் வெப்பத்தில் மேலும் சமைக்காமல் இருக்க).
கலவை சூடாகும்போது, ​​உங்கள் விரல்களில் நெய் தடவி 8 அல்லது 10 மென்மையான உருண்டைகளை உருவாக்குங்கள்.
உங்கள் கட்டைவிரலை மையத்தில் வைத்து ஒரு பள்ளம்/அடையாளத்தை உருவாக்கி, அதில் நறுக்கிய பிஸ்தா அல்லது நறுக்கிய பாதாம், முந்திரி மற்றும் பிஸ்தா கலவையை நிரப்பவும்.
அதை அப்படியே வைக்கவும். சமைத்த உடனேயே ருசித்தால், அது கொஞ்சம் மெல்லும் மற்றும் ஒட்டும் தன்மையுடன் இருக்கும். எனவே 5-6 மணி நேரம் ஒதுக்கி வைக்கவும். இந்த உடனடி தூத் பேடா மறுநாள் மிகவும் சுவையாக இருக்கும்.</t>
  </si>
  <si>
    <t>https://www.cookclickndevour.com/wp-content/uploads/2018/05/peda-recipe.jpg</t>
  </si>
  <si>
    <t>Custard Powder Halwa</t>
  </si>
  <si>
    <t>கஸ்டர்ட் பவுடர் ஹல்வா</t>
  </si>
  <si>
    <t xml:space="preserve">   Vanilla flavored custard powder – 1/2 cup,
   Sugar – 1 1/2 cup,
   Water – 2 cups,
   Ghee – 2 tbsp,
   Cashew nuts – 12 -15.</t>
  </si>
  <si>
    <t>வெண்ணிலா சுவையூட்டப்பட்ட கஸ்டர்ட் பவுடர் - 1/2 கப்,
சர்க்கரை - 1 1/2 கப்,
தண்ணீர் - 2 கப்,
நெய் - 2 டேபிள்ஸ்பூன்,
முந்திரி பருப்பு - 12 -15.</t>
  </si>
  <si>
    <t>Mix together custard powder and sugar.
Add water and mix well without lumps. 
Then switch on the heat and cook on low heat stirring continuously. After few minutes, add ghee.
Once it starts to thicken, add chopped cashew nuts and cook on medium heat stirring continuously.
Cook stirring continuously until it leaves the sides of the pan (see picture below). Then pour it in the greased tray and allow it to set. Once set, cut it into squares and serve.</t>
  </si>
  <si>
    <t>கஸ்டர்ட் பவுடர் மற்றும் சர்க்கரையை ஒன்றாக கலக்கவும்.
தண்ணீர் சேர்த்து கட்டிகள் இல்லாமல் நன்கு கலக்கவும்.
பின்னர் தீயை அணைத்து, குறைந்த தீயில் தொடர்ந்து கிளறி சமைக்கவும். சில நிமிடங்களுக்குப் பிறகு, நெய் சேர்க்கவும்.
அது கெட்டியாக ஆரம்பித்ததும், நறுக்கிய முந்திரி பருப்புகளைச் சேர்த்து, நடுத்தர தீயில் தொடர்ந்து கிளறி சமைக்கவும்.
வாணலியின் பக்கங்களை விட்டு வெளியேறும் வரை தொடர்ந்து கிளறி சமைக்கவும் (கீழே உள்ள படத்தைப் பார்க்கவும்). பின்னர் அதை எண்ணெய் தடவிய தட்டில் ஊற்றி, செட் ஆக விடவும். செட் ஆனதும், சதுரங்களாக வெட்டி பரிமாறவும்.</t>
  </si>
  <si>
    <t>https://encrypted-tbn0.gstatic.com/images?q=tbn:ANd9GcTx0vUILwhZKbCgd8UxH5ZTs6nLI1ABE67KvA&amp;s</t>
  </si>
  <si>
    <t xml:space="preserve">  Bread – 4 slices,
   Ghee – as needed for toasting bread,
   Sugar – 1/3 cup,
   Milk – 3 cups,
   Sugar – 2 tsp,
   Almonds – 6 – 7,
   Pistachio – 8 – 10,
   Cashew nuts – 6 – 7,
   Cardamom powder – 1/4 tsp,
   Saffron – 4 – 5 strands.</t>
  </si>
  <si>
    <t>ரொட்டி - 4 துண்டுகள்,
நெய் - ரொட்டியை வறுக்க தேவையான அளவு,
சர்க்கரை - 1/3 கப்,
பால் - 3 கப்,
சர்க்கரை - 2 தேக்கரண்டி,
பாதாம் - 6 - 7,
பிஸ்தா - 8 - 10,
முந்திரி பருப்பு - 6 - 7,
ஏலக்காய் தூள் - 1/4 தேக்கரண்டி,
குங்குமப்பூ - 4 - 5 இழைகள்.</t>
  </si>
  <si>
    <t>Boil milk on medium heat stirring continuously until it reduces to half. Add chopped nuts (keeping aside a few for garnishing) cardamom powder and saffron soaked milk. Boil for another 2-3 minutes and remove from heat.
Cut the corners of the bread and cut it into triangles. So we have 8 triangular bread slices. Traditionally they are deep fried but I have pan fried the bread in ghee. (around 1 tsp ghee for each bread slice)
preparation of rabdi for shahi tukda
In a pan, add sugar and water (just enough water to cover the sugar) and boil on medium heat until the sugar syrup becomes slightly sticky.
When the sugar syrup is warm, dip the bread slices in sugar syrup for 2 minutes. See to it that it is well coated on both sides with the sugar syrup. Remove and keep it aside.
how to make shahi tukda
In a shallow bowl, arrange all the sugar syrup coated bread slices, pour rabdi on top and garnish with chopped nuts. Refrigerate and serve chilled.</t>
  </si>
  <si>
    <t>https://encrypted-tbn0.gstatic.com/images?q=tbn:ANd9GcQhM78NeS1N1qYzjjc82Ia0_31NwCi4nFs2Rw&amp;s</t>
  </si>
  <si>
    <t xml:space="preserve">   Carrot – 2 1/4 cup grated,
   Coconut – 1 cup grated,
   Ghee – 3 tbsp,
   Milk – 1 cup,
   Sugar – 3/4 cup,
   Cardamom Powder - 1/4 tsp,
   Cashew nuts – 10-12.
</t>
  </si>
  <si>
    <t>Heat a tbsp of ghee and saute the carrots and grated coconut on medium heat until the carrot become s a little soft.
sauteing grated carrots 
Then add milk and cook on medium heat, stirring from time to time until all the milk evaporates.
Once all the milk evaporates, add sugar. After you add sugar, the mixture becomes watery again.
Add cashew nuts, remaining ghee and cook on medium heat stirring until it leaves the sides of the pan. Add cardamom powder and mix well.
Transfer the mixture to the parchment paper lined tray/pan. Since I wanted thick burfis, I used only half the pan to spread the mixture.
Grease a spoon with ghee and smoothen the surface. Leave it to cool. Once it cools, grease a knife with a little ghee and make cuts but do not remove the pieces. Refrigerate for an hour for it to set and then remove the pieces carefully and serve.
You can decorate it with a cashew nut if preferred.</t>
  </si>
  <si>
    <t>ஒரு டேபிள்ஸ்பூன் நெய்யை சூடாக்கி, கேரட் மற்றும் துருவிய தேங்காயை மிதமான தீயில் கேரட் சிறிது மென்மையாகும் வரை வதக்கவும்.
கேரட் துருவியது
பின்னர் பால் சேர்த்து மிதமான தீயில் சமைக்கவும், அவ்வப்போது கிளறி, பால் முழுவதும் ஆவியாகும் வரை சமைக்கவும்.
பால் முழுவதும் ஆவியாகும் போது, ​​சர்க்கரை சேர்க்கவும். சர்க்கரை சேர்த்த பிறகு, கலவை மீண்டும் தண்ணீராக மாறும்.
முந்திரி பருப்பு, மீதமுள்ள நெய் சேர்த்து, நடுத்தர தீயில் அது வாணலியின் பக்கங்களை விட்டு வெளியேறும் வரை சமைக்கவும். ஏலக்காய்த்தூள் சேர்த்து நன்கு கலக்கவும்.
கலவையை காகிதத்தோல் மூடப்பட்ட தட்டு/பானுக்கு மாற்றவும். எனக்கு கெட்டியான பர்ஃபிகள் வேண்டும் என்பதால், கலவையை பரப்ப பாதி பாத்திரத்தை மட்டுமே பயன்படுத்தினேன்.
ஒரு கரண்டியால் நெய் தடவி மேற்பரப்பை மென்மையாக்குங்கள். குளிர்விக்க விடுங்கள். அது குளிர்ந்ததும், ஒரு கத்தியில் சிறிது நெய் தடவி, வெட்டுக்களைச் செய்யுங்கள், ஆனால் துண்டுகளை அகற்ற வேண்டாம். அது செட் ஆகும் வரை ஒரு மணி நேரம் குளிர்சாதன பெட்டியில் வைக்கவும், பின்னர் துண்டுகளை கவனமாக அகற்றி பரிமாறவும்.
விரும்பினால் முந்திரி கொட்டையால் அலங்கரிக்கலாம்.</t>
  </si>
  <si>
    <t>https://encrypted-tbn0.gstatic.com/images?q=tbn:ANd9GcRf6FLSjaW9_Uep8w2WiJj0gsszvYRLKUqJEw&amp;s</t>
  </si>
  <si>
    <t>Maaladu</t>
  </si>
  <si>
    <t>மாலாடு</t>
  </si>
  <si>
    <t xml:space="preserve">   Roasted gram dal – 1/2 cup,
   Powdered sugar – 1/4 cup,
   Ghee/clarified butter – 2 tbsp,
   Cardamom powder – 1/4 tsp,
   Cashew nuts – 12-15,
   Raisins – 20-25.</t>
  </si>
  <si>
    <t>வறுத்த கடலை பருப்பு - 1/2 கப்,
பொடித்த சர்க்கரை - 1/4 கப்,
நெய்/தெளிவுபடுத்திய வெண்ணெய் - 2 டீஸ்பூன்,
ஏலக்காய் பொடி - 1/4 டீஸ்பூன்,
முந்திரி பருப்பு - 12-15,
திராட்சை - 20-25.</t>
  </si>
  <si>
    <t>In a large plate, add the sieved flour, sieved sugar and cardamom powder.
Mix well. I added lot of cashew nuts and raisins to give the maaladu some texture.
maladu preparation 
Heat a tsp of ghee and fry the cashew nuts (break it into 2-3 pieces) on low heat until golden. Add to the flour-sugar mixture.
In the same pan, fry the raisin on low flame until they puff up. Add to the flour + sugar mixture and mix well.
Heat the rest of the ghee and add to the above mixture. Mix well with a spoon and make balls out of the mixture when it is warm. If you are unable to make balls, add more ghee (little at a time) and make balls. When you are able to make balls, stop adding ghee.
Enjoy making delicious maaladu for this festive season. This also makes a perfect festive gift.</t>
  </si>
  <si>
    <t>ஒரு பெரிய தட்டில், சல்லடை செய்த மாவு, சல்லடை செய்த சர்க்கரை மற்றும் ஏலக்காய் பொடி சேர்க்கவும்.
நன்றாக கலக்கவும். மாலாடுவுக்கு சிறிது பதம் கொடுக்க நான் நிறைய முந்திரி மற்றும் திராட்சையும் சேர்த்தேன்.
மலாடு தயாரிப்பு
ஒரு டீஸ்பூன் நெய்யை சூடாக்கி, முந்திரி பருப்பை (2-3 துண்டுகளாக உடைத்து) குறைந்த தீயில் பொன்னிறமாகும் வரை வறுக்கவும். மாவு-சர்க்கரை கலவையில் சேர்க்கவும்.
அதே வாணலியில், திராட்சையை குறைந்த தீயில் அவை வீங்கும் வரை வறுக்கவும். மாவு + சர்க்கரை கலவையில் சேர்த்து நன்கு கலக்கவும்.
மீதமுள்ள நெய்யை சூடாக்கி, மேலே உள்ள கலவையில் சேர்க்கவும். ஒரு கரண்டியால் நன்றாக கலந்து, கலவை சூடாகும்போது உருண்டைகளாக உருட்டவும். உங்களால் உருண்டைகள் செய்ய முடியாவிட்டால், சிறிது சிறிதாக நெய் சேர்த்து உருண்டைகள் செய்யுங்கள். உருண்டைகள் செய்ய முடிந்தவுடன், நெய் சேர்ப்பதை நிறுத்துங்கள்.
இந்த பண்டிகை காலத்திற்கு சுவையான மாலாடு செய்து மகிழுங்கள். இது ஒரு சரியான பண்டிகை பரிசாகவும் அமைகிறது.</t>
  </si>
  <si>
    <t>https://www.shutterstock.com/image-photo/pottukadalai-laddu-besan-ladoo-indian-260nw-1582366246.jpg</t>
  </si>
  <si>
    <t>Instant Wheat Flour Appam</t>
  </si>
  <si>
    <t>உடனடி கோதுமை மாவு அப்பம்</t>
  </si>
  <si>
    <t xml:space="preserve">   Wheat flour – 1/2 cup,
   Banana – 1 small size,
   Jaggery – 1/3 cup,
   Rice flour – 2 tsp,
   Cooking soda – a pinch,
   Cardamom powder – ¼ tsp,
   Grated coconut – 2 tbsp,
   Salt – a pinch,
   Ghee/clarified butter - 2 tbsp.</t>
  </si>
  <si>
    <t>கோதுமை மாவு - 1/2 கப்,
வாழைப்பழம் - 1 சிறிய அளவு,
வெல்லம் - 1/3 கப்,
அரிசி மாவு - 2 தேக்கரண்டி,
சமையல் சோடா - ஒரு சிட்டிகை,
ஏலக்காய் தூள் - ¼ தேக்கரண்டி,
துருவிய தேங்காய் - 2 தேக்கரண்டி,
உப்பு - ஒரு சிட்டிகை,
நெய்/தெளித்த வெண்ணெய் - 2 தேக்கரண்டி.</t>
  </si>
  <si>
    <t>In a bowl, mix together wheat flour, mashed banana, rice flour, cooking soda, cardamom powder, salt and grated coconut.
Add jaggery water and mix well.
Add more water and mix well to form a lump free batter. The consistency of the batter should be that of idli batter consistency.
Heat a paniyaram pan, add 1/2 tsp ghee in all the holes. 
Then fill the holes with the prepared batter. Reduce the heat and cook covered.
When the corners start to loosen, flip it over to the other side with a skewer.
Cook uncovered until golden brown. Insert a toothpick in the center of the appam, if it comes out clean, the appam is cooked.
Enjoy making these delicious soft and spongy appams for Krishna Jayanthi or even Vinayagar Chaturthi.</t>
  </si>
  <si>
    <t>ஒரு பாத்திரத்தில், கோதுமை மாவு, மசித்த வாழைப்பழம், அரிசி மாவு, சமையல் சோடா, ஏலக்காய் தூள், உப்பு மற்றும் துருவிய தேங்காய் ஆகியவற்றை ஒன்றாக கலக்கவும்.
வெல்லம் தண்ணீர் சேர்த்து நன்கு கலக்கவும்.
மேலும் தண்ணீர் சேர்த்து கட்டி இல்லாத மாவை உருவாக்க நன்கு கலக்கவும். மாவின் நிலைத்தன்மை இட்லி மாவின் நிலைத்தன்மையைப் போலவே இருக்க வேண்டும்.
ஒரு பணியாரம் பாத்திரத்தை சூடாக்கி, அனைத்து துளைகளிலும் 1/2 தேக்கரண்டி நெய்யைச் சேர்க்கவும்.
பின்னர் தயாரிக்கப்பட்ட மாவுடன் துளைகளை நிரப்பவும். தீயைக் குறைத்து மூடி வைக்கவும்.
மூலைகள் தளரத் தொடங்கியதும், அதை ஒரு சூடுபடுத்தி மறுபுறம் திருப்பி வைக்கவும்.
பொன்னிறமாகும் வரை மூடி இல்லாமல் சமைக்கவும். ஆப்பத்தின் நடுவில் ஒரு டூத்பிக் குச்சியைச் செருகவும், அது சுத்தமாக வெளியே வந்தால், ஆப்பம் வெந்துவிட்டது என்று அர்த்தம்.
கிருஷ்ண ஜெயந்தி அல்லது விநாயகர் சதுர்த்திக்கு கூட இந்த சுவையான மென்மையான மற்றும் பஞ்சுபோன்ற ஆப்பங்களைச் செய்து மகிழுங்கள்.</t>
  </si>
  <si>
    <t>https://encrypted-tbn0.gstatic.com/images?q=tbn:ANd9GcT4griEfQeHWwvaBldChBseMfGsZna7OvzamQ&amp;s</t>
  </si>
  <si>
    <t>வெல்லம் தண்ணீரில் ஒரு டீஸ்பூன் நெய் மற்றும் ஏலக்காய் தூள் சேர்த்து கொதிக்க வைக்கவும். அது கொப்பளித்து சிறிது கெட்டியானதும், கூஸ்கஸை சேர்த்து நன்கு கலக்கவும். கூஸ்கஸ் வெல்ல சிரப்புடன் நன்றாக கலக்க 2-3 நிமிடங்கள் குறைந்த தீயில் சமைக்கவும்.
ஒரு டீஸ்பூன் நெய்யை சூடாக்கி, திராட்சையை சிறிது வீங்கும் வரை வறுக்கவும். திராட்சையை நீக்கி, அதே வாணலியில் முந்திரி பருப்புகளை பொன்னிறமாகும் வரை வறுக்கவும். பின்னர் இரண்டையும் வெல்லம் + கூஸ்கஸ் கலவையில் சேர்க்கவும்.
துருவிய பாதாம் பருப்புகளால் அலங்கரித்து சூடாக பரிமாறவும்.</t>
  </si>
  <si>
    <t>https://encrypted-tbn0.gstatic.com/images?q=tbn:ANd9GcQ7jAjz2mF5JcvZjyTas71r3anVTUd8c6JSBg&amp;s</t>
  </si>
  <si>
    <t>Cracked Wheat Payasam</t>
  </si>
  <si>
    <t>உடைத்த கோதுமை பாயாசம்</t>
  </si>
  <si>
    <t xml:space="preserve">   Cracked Wheat – 1/3 cup,
   Moong Dal  – 2 tbsp,
   Milk – 2 cups,
   Jaggery – 1/2 cup powdered,
   Cardamom  – 2 pods ,
   Grated coconut – 2 tbsp,
   Cashewnuts – 5-6,
   Ghee – 1 tsp.</t>
  </si>
  <si>
    <t>உடைத்த கோதுமை - 1/3 கப்,
பாசிப்பருப்பு - 2 டீஸ்பூன்,
பால் - 2 கப்,
வெல்லம் - 1/2 கப் பொடித்தது,
ஏலக்காய் - 2 கப்,
துருவிய தேங்காய் - 2 டீஸ்பூன்,
முந்திரி பருப்பு - 5-6,
நெய் - 1 டீஸ்பூன்.</t>
  </si>
  <si>
    <t>Boil jaggery water on medium heat, when it starts thickening, add the cooked dal + cracked wheat mixture (it does not matter if it is mushy), grated coconut and cardamom (powder or crushed pods).
preparing dalia kheer 
Cook on medium heat, stirring until it gets incorporated with the jaggery syrup. Leave it to cool.
Then add milk (should at room temperature) and mix well. When both the jaggery mixture and the milk are hot, there are chances of the milk curdling, so make sure that either one is at room temperature.
Bring the payasam to boil on medium heat stirring continuously, add cashew nuts and remove from heat. Do not boil the kheer too much after adding milk.
You can serve this kheer or payasam (pudding) either warm or chilled. Both tastes good though I prefer it chilled.</t>
  </si>
  <si>
    <t>வெல்லம் தண்ணீரை மிதமான தீயில் கொதிக்க வைக்கவும், அது கெட்டியாகத் தொடங்கியதும், சமைத்த பருப்பை + வெடித்த கோதுமை கலவையை (அது மெதுவானதா இல்லையா என்பது முக்கியமல்ல), துருவிய தேங்காய் மற்றும் ஏலக்காய் (பொடி அல்லது நொறுக்கப்பட்ட காய்கள்) சேர்க்கவும்.
டாலியா கீர் தயார்
நடுத்தர தீயில் சமைக்கவும், வெல்லம் சிரப்பில் சேரும் வரை கிளறவும். அதை குளிர்விக்க விடவும்.
பின்னர் பால் (அறை வெப்பநிலையில் இருக்க வேண்டும்) சேர்த்து நன்கு கலக்கவும். வெல்ல கலவை மற்றும் பால் இரண்டும் சூடாகும்போது, ​​பால் தயிர் ஆக வாய்ப்புள்ளது, எனவே ஒன்று அறை வெப்பநிலையில் இருப்பதை உறுதிப்படுத்திக் கொள்ளுங்கள்.
தொடர்ந்து கிளறி மிதமான தீயில் பாயசத்தை கொதிக்க விடவும், முந்திரி பருப்புகளைச் சேர்த்து அடுப்பிலிருந்து இறக்கவும். பால் சேர்த்த பிறகு கீரை அதிகமாக கொதிக்க விடாதீர்கள்.
இந்த கீரை அல்லது பாயசத்தை (புட்டிங்) சூடாகவோ அல்லது குளிரவைத்தோ பரிமாறலாம். இரண்டும் நன்றாக ருசித்தாலும், எனக்கு அது குளிரூட்டப்பட்டே பிடிக்கும்.</t>
  </si>
  <si>
    <t>https://www.archanaskitchen.com/images/archanaskitchen/1-Author/Madhuli_Ajay/Wheat_Kheer_traditional_Maharashtrian_sweet_400.jpg</t>
  </si>
  <si>
    <t>Grease a plantain leaf or a ziplog bag with a drop of ghee and flatten the ragi ball with your fingers. Spread it into thin (not too thin) adai.
Grease a tawa with ghee and heat it. Transfer the flattened ragi  adai to your hand and then place it on the hot tawa. If you had flattened it on plantain leaf, you can place the adai on the tawa (adai facing down) with the leaf and then slowly remove the leaf.
Drizzle a tsp of ghee around the adai and cook both sides of the adai until done. (the color of the adai will change from light brown to dark brown once it is cooked). Repeat the same process for the rest of the dough.
Enjoy it hot. You do not need any side dish for this.</t>
  </si>
  <si>
    <t>வாழை இலை அல்லது ஜிப்லாக் பையில் ஒரு துளி நெய் தடவி, ராகி உருண்டையை உங்கள் விரல்களால் தட்டையாக்குங்கள். அதை மெல்லிய (மிகவும் மெல்லியதாக இல்லாத) அடையாகப் பரப்பவும்.
ஒரு தவாவில் நெய் தடவி சூடாக்கவும். தட்டையான ராகி அடையை உங்கள் கையில் மாற்றி, சூடான தவாவில் வைக்கவும். வாழை இலையில் தட்டையாக்கியிருந்தால், அடையை இலையுடன் தவாவில் (அடை கீழ்நோக்கி) வைத்து, பின்னர் மெதுவாக இலையை அகற்றலாம்.
அடையைச் சுற்றி ஒரு தேக்கரண்டி நெய்யைத் தூவி, அடையின் இருபுறமும் சமைக்கும் வரை சமைக்கவும். (அடையின் நிறம் வெந்தவுடன் வெளிர் பழுப்பு நிறத்தில் இருந்து அடர் பழுப்பு நிறமாக மாறும்). மீதமுள்ள மாவிற்கும் இதே செயல்முறையை மீண்டும் செய்யவும்.
சூடாக மகிழுங்கள். இதற்கு உங்களுக்கு எந்த துணை உணவும் தேவையில்லை.</t>
  </si>
  <si>
    <t>https://rakskitchen.net/wp-content/uploads/2018/09/sweet-ragi-adai-recipe-480x270.jpg</t>
  </si>
  <si>
    <t xml:space="preserve">   Aval – 1/2 cup,
   Moong dal – 2 1/2 tbsp,
   Grated Jaggery – 1/3 cup,
   Milk – 2-3 tbsp,
   Cashew nuts -6-7,
   Cardamom powder – 1/4 tsp,
   Raisins – 10-15,
   Ghee -1 1/2 tbsp .</t>
  </si>
  <si>
    <t>அவல் - 1/2 கப்,
பாசிப்பருப்பு - 2 1/2 டீஸ்பூன்,
துருவிய வெல்லம் - 1/3 கப்,
பால் - 2-3 டீஸ்பூன்,
முந்திரி பருப்பு - 6-7,
ஏலக்காய் பொடி - 1/4 டீஸ்பூன்,
திராட்சை - 10-15,
நெய் - 1 1/2 டீஸ்பூன்.</t>
  </si>
  <si>
    <t>Dry roast moong dal until you get a nice aroma of roasted dal. Cook with little water until soft. Mash it well and keep it aside. You can also pressure cook dal for 2-3 whistles.
Rinse aval/poha 2-3 times, drain the water completely and let is sit for 15 minutes. If using thick aval, sprinkle little water and let it sit for 20-25 minutes. Make sure the aval is soft by tasting it.
Fry cashew nuts until golden brown and keep it aside. Fry raisins until it puffs up and keep it aside.
Melt jaggery in 2-3 tbsp of water, filter it to remove any impurities.
Boil jaggery with 1/2 tsp of ghee, when it starts boiling, add the cooked and mashed dal. Let it cook on medium flame until it slightly thickens.
Fluff the aval with a fork and add it to the jaggery+dal mixture.
Once it thickens slightly, add milk (milk is added to prevent dryness) and cook for a further 2-3 minutes.
Add cashew nuts, raisins, cardamom powder, remaining ghee, mix well and remove from heat.
This pongal tends to thicken as it cools, so remove from heat when it is semi thick in consistency.
Serve this healthy and delicious pongal hot drizzled with a little ghee if necessary.</t>
  </si>
  <si>
    <t>பாசிப்பருப்பை வறுத்த பருப்பின் நல்ல வாசனை வரும் வரை வறுக்கவும். சிறிது தண்ணீரில் மென்மையாகும் வரை சமைக்கவும். நன்றாக மசித்து தனியாக வைக்கவும். பருப்பை 2-3 விசில் வரும் வரை வேகவைக்கவும்.
அவல்/போஹாவை 2-3 முறை துவைத்து, தண்ணீரை முழுவதுமாக வடிகட்டி 15 நிமிடங்கள் அப்படியே வைக்கவும். கெட்டியான அவலைப் பயன்படுத்தினால், சிறிது தண்ணீர் தெளித்து 20-25 நிமிடங்கள் அப்படியே வைக்கவும். அவலை ருசித்து மென்மையாக இருப்பதை உறுதி செய்து கொள்ளுங்கள்.
முந்திரி பருப்புகளை பொன்னிறமாகும் வரை வறுத்து தனியாக வைக்கவும். திராட்சை வீங்கும் வரை வறுத்து தனியாக வைக்கவும்.
வெல்லத்தை 2-3 டேபிள்ஸ்பூன் தண்ணீரில் கரைத்து, அதில் உள்ள அழுக்குகளை நீக்க வடிகட்டிக் கொள்ளவும்.
வெல்லத்தை 1/2 டேபிள்ஸ்பூன் நெய்யுடன் கொதிக்க விடவும், கொதிக்க ஆரம்பித்ததும், சமைத்த மற்றும் மசித்த பருப்பைச் சேர்க்கவும். அது சிறிது கெட்டியாகும் வரை மிதமான தீயில் சமைக்க விடவும்.
அவலை ஒரு முள் கரண்டியால் பிசைந்து, வெல்லம்+பருப்பு கலவையில் சேர்க்கவும்.
அது சிறிது கெட்டியானதும், பால் (வறட்சியைத் தடுக்க பால் சேர்க்கப்படுகிறது) சேர்த்து மேலும் 2-3 நிமிடங்கள் சமைக்கவும்.
முந்திரி, திராட்சை, ஏலக்காய் தூள், மீதமுள்ள நெய் சேர்த்து நன்கு கலந்து, அடுப்பிலிருந்து இறக்கவும்.
இந்தப் பொங்கல் குளிர்ந்ததும் கெட்டியாகிவிடும், எனவே பாதி கெட்டியாகும்போது அடுப்பிலிருந்து இறக்கவும்.
இந்த ஆரோக்கியமான மற்றும் சுவையான பொங்கலை, தேவைப்பட்டால் சிறிது நெய்யுடன் ஊற்றி சூடாகப் பரிமாறவும்.</t>
  </si>
  <si>
    <t>https://encrypted-tbn0.gstatic.com/images?q=tbn:ANd9GcT8UfhT1MA3quv-BmFTn-2VSAWuFkOT4qebLQ&amp;s</t>
  </si>
  <si>
    <t xml:space="preserve">   Eggs - 3 small,
   Milk - 1 1/2 cups,
   Vanilla essence - 1 tsp,
   Sugar - 45 grams,
   Sugar for caramelizing - 1/4 cup,</t>
  </si>
  <si>
    <t>முட்டைகள் - 3 சிறியவை,
பால் - 1 1/2 கப்,
வெண்ணிலா எசன்ஸ் - 1 தேக்கரண்டி,
சர்க்கரை - 45 கிராம்,
கேரமலைஸ் செய்வதற்கு சர்க்கரை - 1/4 கப்,</t>
  </si>
  <si>
    <t>Take 1/4 of granulated sugar or castor sugar in a pan, add a tbsp of water and heat on medium flame. Stir only until the sugar dissolves and then wait for the sugar to caramelize or turn pale golden color. Once it starts changing color, you can gently swirl the pan for even coloring but do not stir.
Keep a watch because if it turns too dark, it will taste bitter and have a burnt smell. Our caramel is ready below. Pour the prepared caramel evenly into individual ramekins. Make sure that the base of the ramekin is well coated. Allow it to set for 15 minutes.
Break 3 small eggs into a bowl, add a tsp of vanilla essence and 45 grams of powdered sugar or castor sugar. Whisk until frothy using a wire whisk.
Heat milk (milk should not be very hot) and add to the egg mixture whisking continuously to prevent the eggs from getting cooked.
Strain the mixture and leave it to cool. Straining is done to give the custard a smooth texture and to remove undissolved egg white strands. Then pour the milk-egg mixture into the prepared ramekins.
Prepare a water bath -(ie) take a tray, add a cup of water and place the ramekins in it as shown in the picture below and bake in a pre-heated oven for 30 minutes or until a toothpick inserted in the center of the custard comes out clean.
Leave it to cool. Once it comes to room temperature, cover and refrigerate it for 5- 6 hours or overnight.
Remove from the refrigerator, carefully run a knife and loosen the sides of the ramekin. Place a plate over the mold or ramekin and holding it tightly, turn it upside down and loosen the custard from the ramekin. Serve chilled.</t>
  </si>
  <si>
    <t>ஒரு பாத்திரத்தில் 1/4 அளவு கிரானுலேட்டட் சர்க்கரை அல்லது ஆமணக்கு சர்க்கரையை எடுத்து, ஒரு தேக்கரண்டி தண்ணீர் சேர்த்து மிதமான தீயில் சூடாக்கவும். சர்க்கரை கரையும் வரை மட்டும் கிளறி, பின்னர் சர்க்கரை கேரமலாக மாறும் வரை அல்லது வெளிர் தங்க நிறமாக மாறும் வரை காத்திருக்கவும். அது நிறம் மாறத் தொடங்கியதும், சீரான வண்ணம் தீட்ட நீங்கள் மெதுவாக பாத்திரத்தை சுழற்றலாம், ஆனால் கிளற வேண்டாம்.
ஒரு கண் வைத்திருங்கள், ஏனெனில் அது மிகவும் கருமையாக மாறினால், அது கசப்பாகவும், எரிந்த வாசனையாகவும் இருக்கும். எங்கள் கேரமல் கீழே தயாராக உள்ளது. தயாரிக்கப்பட்ட கேரமலை தனிப்பட்ட ரமேக்கின்களில் சமமாக ஊற்றவும். ரமேக்கின் அடிப்பகுதி நன்கு பூசப்பட்டிருப்பதை உறுதிசெய்து கொள்ளுங்கள். 15 நிமிடங்கள் அப்படியே வைக்கவும்.
ஒரு பாத்திரத்தில் 3 சிறிய முட்டைகளை உடைத்து, ஒரு தேக்கரண்டி வெண்ணிலா எசன்ஸ் மற்றும் 45 கிராம் தூள் சர்க்கரை அல்லது ஆமணக்கு சர்க்கரையைச் சேர்க்கவும். கம்பி துடைப்பம் பயன்படுத்தி நுரை வரும் வரை அடிக்கவும்.
பாலை சூடாக்கி (பால் மிகவும் சூடாக இருக்கக்கூடாது) முட்டை கலவையில் சேர்த்து முட்டைகள் வேகாமல் இருக்க தொடர்ந்து கிளறிக்கொண்டே இருங்கள்.
கலவையை வடிகட்டி குளிர்விக்க விடவும். கஸ்டர்டுக்கு மென்மையான அமைப்பைக் கொடுக்கவும், கரையாத முட்டையின் வெள்ளைக்கரு இழைகளை அகற்றவும் வடிகட்டுதல் செய்யப்படுகிறது. பின்னர் பால்-முட்டை கலவையை தயாரிக்கப்பட்ட ரமேக்கின்களில் ஊற்றவும்.
ஒரு தண்ணீர் குளியல் தயார் செய்யவும் - (அதாவது) ஒரு தட்டில் எடுத்து, ஒரு கப் தண்ணீரைச் சேர்த்து, கீழே உள்ள படத்தில் காட்டப்பட்டுள்ளபடி ரமேக்கின்களை அதில் வைக்கவும், முன்கூட்டியே சூடாக்கப்பட்ட அடுப்பில் 30 நிமிடங்கள் அல்லது கஸ்டர்டின் மையத்தில் செருகப்பட்ட ஒரு டூத்பிக் சுத்தமாக வெளியே வரும் வரை சுடவும்.
அதை குளிர்விக்க விடவும். அறை வெப்பநிலைக்கு வந்ததும், அதை மூடி 5-6 மணி நேரம் அல்லது இரவு முழுவதும் குளிர்சாதன பெட்டியில் வைக்கவும்.
குளிர்சாதன பெட்டியில் இருந்து எடுத்து, ஒரு கத்தியை கவனமாக இயக்கி, ரமேக்கின் பக்கங்களைத் தளர்த்தவும். அச்சு அல்லது ரமேக்கின் மீது ஒரு தட்டை வைத்து, அதை இறுக்கமாகப் பிடித்து, தலைகீழாக மாற்றி, ரமேக்கின் இருந்து கஸ்டர்டை தளர்த்தவும். குளிர்ந்து பரிமாறவும்.</t>
  </si>
  <si>
    <t>https://myfoodstory.com/wp-content/uploads/2023/02/caramel-custard-square-2.jpg</t>
  </si>
  <si>
    <t>Maida Burfi</t>
  </si>
  <si>
    <t>மைதா பர்ஃபி</t>
  </si>
  <si>
    <t xml:space="preserve">   Ghee - 1/2 cup,
   Cashew nuts - 10-15,
   All purpose flour/maida - 3/4 cup,
   Sugar - 1 cup,
   Food color – a pinch,
   Vanilla essence - 1/2 tsp.</t>
  </si>
  <si>
    <t>நெய் - 1/2 கப்,
முந்திரி பருப்பு - 10-15,
அனைத்து வகையான மாவு/மைதா - 3/4 கப்,
சர்க்கரை - 1 கப்,
உணவு நிறம் - ஒரு சிட்டிகை,
வெண்ணிலா எசன்ஸ் - 1/2 தேக்கரண்டி.</t>
  </si>
  <si>
    <t>In a heavy bottomed tawa or non stick pan, heat ghee and fry the cashew nuts until golden brown.
In the same ghee, fry maida on low flame for 5 minutes or until the rawness of the maida goes.
Add food color, mix well and switch off the heat.
In another pan/kadai dissolve sugar in 1/2 cup of water. Add vanilla essence. Boil sugar water until you get a one string consistency.
Then pour the sugar syrup to the maida mixture, stirring continuously. You can keep the pan on the kitchen counter and stir.
It will start thickening. When it leaves the sides of the pan, pour the maida mixture into the prepared greased tray. Grease the bottom of a flat cup and press it evenly.
When it is warm, make cuts with a knife across the burfi. Remove the pieces after it cools completely. Easy maida burfi is ready.</t>
  </si>
  <si>
    <t>ஒரு அடி கனமான தவா அல்லது நான்ஸ்டிக் பாத்திரத்தில், நெய்யை சூடாக்கி, முந்திரி பருப்புகளை பொன்னிறமாகும் வரை வறுக்கவும்.
அதே நெய்யில், மைதாவை குறைந்த தீயில் 5 நிமிடங்கள் அல்லது மைதாவின் பச்சைத்தன்மை போகும் வரை வறுக்கவும்.
உணவு வண்ணத்தைச் சேர்த்து, நன்கு கலந்து, தீயை அணைக்கவும்.
மற்றொரு பாத்திரத்தில்/கடாயில் சர்க்கரையை 1/2 கப் தண்ணீரில் கரைக்கவும். வெண்ணிலா எசன்ஸ் சேர்க்கவும். சர்க்கரை தண்ணீரை ஒரு நார் நிலைத்தன்மை வரும் வரை கொதிக்க வைக்கவும்.
பின்னர் சர்க்கரை பாகை மைதா கலவையில் ஊற்றி தொடர்ந்து கிளறவும். நீங்கள் பாத்திரத்தை சமையலறை கவுண்டரில் வைத்து கிளறலாம்.
அது கெட்டியாகத் தொடங்கும். அது பாத்திரத்தின் பக்கவாட்டில் இருந்து வெளியேறியதும், தயாரிக்கப்பட்ட எண்ணெய் தடவிய தட்டில் மைதா கலவையை ஊற்றவும். ஒரு தட்டையான கோப்பையின் அடிப்பகுதியில் நெய் தடவி சமமாக அழுத்தவும்.
பர்ஃபி சூடாகும்போது, ​​கத்தியால் அதன் குறுக்கே வெட்டுக்களைச் செய்யுங்கள். அது முழுமையாக ஆறிய பிறகு துண்டுகளை அகற்றவும். எளிதான மைதா பர்ஃபி தயார்.</t>
  </si>
  <si>
    <t>https://encrypted-tbn0.gstatic.com/images?q=tbn:ANd9GcTu64vZN7pQm5Lj-gjOiKSl4tMw15TNjMUQ3w&amp;s</t>
  </si>
  <si>
    <t>Payaru Ulundu Urundai</t>
  </si>
  <si>
    <t>பயறு உளுந்து உருண்டை</t>
  </si>
  <si>
    <t xml:space="preserve">   Whole skinned urad dal - 1/2 kg,
   Whole green gram- 1/2 kg,
   Payaru ulundu mavu - 1 1/4 cup,
   Natural unrefined cane sugar - 1/2 cup,
   Ghee/clarified butter - 1/3 cup melted,
   Assorted nuts - 1/2 cup,
   Raisins - 1/4 cup,
   Cardamom - 4 powdered,
   Roasted Sesame seeds - 2 tbsp.</t>
  </si>
  <si>
    <t>தோல் நீக்கிய முழு உளுந்து பருப்பு - 1/2 கிலோ,
முழு பச்சை பயறு - 1/2 கிலோ,
பயறு உளுந்து மாவு - 1 1/4 கப்,
இயற்கை சுத்திகரிக்கப்படாத கரும்பு சர்க்கரை - 1/2 கப்,
நெய்/தெளிவுபடுத்தப்பட்ட வெண்ணெய் - 1/3 கப் உருகியது,
வகைப்படுத்தப்பட்ட கொட்டைகள் - 1/2 கப்,
திராட்சை - 1/4 கப்,
ஏலக்காய் - 4 பொடித்தது,
வறுத்த எள் - 2 டீஸ்பூன்.</t>
  </si>
  <si>
    <t>Roast urad dal on medium flame until brown. You need lot of patience for this but is worth the effort.
You have to roast urad dal to the color in the picture below. Transfer it to a plate to cool.
Dry roast green gram until you get a nice flavor of roasted green gram. Transfer it to a plate and cool.
Once it cools, mix both and give it to the mill for grinding it to a fine powder. I usually have this ground in the flour mill, and store it. I just take 1 -1 1/4 cup of flour to make laddus as and when required. This laddu flour or laddu mavu can be stored for a month.
Those who do not have a flour mill in their place can prepare in less quantity using the mixie or food processor.
Now the flour for making healthy payaru laddu is ready.
Powder nattu sakkarai finely and keep it aside. You can use white sugar also for this. To make it healthy, I have used natural unrefined cane sugar. You can also use palm sugar. Whatever you use powder it finely and keep it ready.
Chop all the nuts into small pieces. Dry roast all the nuts. I have used cashew nuts, almonds and few walnuts.
In a big plate or bowl, mix together, all the nuts, flour and nattu sakkarai (unrefined cane sugar).
how to make ulundu urundai (laddu)
Heat a tsp of ghee, fry the raisins until they puff up and add to the flour + nuts + nattu sakkarai mix.
Add cardamom powder, roasted sesame seeds and mix everything well. Melt ghee and add little to a small portion of flour and make balls. Prepare it batch by batch. Do not  pour the ghee to the whole mixture. The ghee has to be warm, so keep it inside a bowl of hot water, add to the mix little at a time and make balls.
Add just enough ghee to make balls. If you feel you can make balls, stop adding ghee. I needed 1/3 cup of ghee. If you would make balls with lesser quantity of ghee, then it is fine.
These payaru ulundu urundai has a self life of 7-10 days.
Prepare healthy snacks like this often at home and enjoy a healthy life!!</t>
  </si>
  <si>
    <t>உளுந்தை மிதமான தீயில் பழுப்பு நிறமாக வறுக்கவும். இதற்கு உங்களுக்கு நிறைய பொறுமை தேவை, ஆனால் முயற்சிக்கு மதிப்புள்ளது.
கீழே உள்ள படத்தில் உள்ள நிறத்திற்கு உளுந்தை வறுக்க வேண்டும். குளிர்விக்க ஒரு தட்டில் மாற்றவும்.
வறுத்த பச்சை பயறு நல்ல சுவை கிடைக்கும் வரை உலர் வறுக்கவும். அதை ஒரு தட்டில் மாற்றி ஆற வைக்கவும்.
அது குளிர்ந்ததும், இரண்டையும் கலந்து, நன்றாக அரைக்க ஆலைக்கு கொடுங்கள். நான் வழக்கமாக இதை மாவு ஆலையில் அரைத்து சேமித்து வைப்பேன். தேவைப்படும்போது லட்டு தயாரிக்க 1 -1 1/4 கப் மாவை எடுத்துக்கொள்கிறேன். இந்த லட்டு மாவு அல்லது லட்டு மாவை ஒரு மாதம் வரை சேமித்து வைக்கலாம்.
மாவு ஆலை இல்லாதவர்கள் மிக்சி அல்லது உணவு செயலியைப் பயன்படுத்தி குறைந்த அளவில் தயாரிக்கலாம்.
இப்போது ஆரோக்கியமான பயறு லட்டு தயாரிக்க மாவு தயாராக உள்ளது.
நாட்டுச் சக்கரையை நன்றாகப் பொடி செய்து ஒதுக்கி வைக்கவும். இதற்கு வெள்ளைச் சர்க்கரையையும் பயன்படுத்தலாம். அதை ஆரோக்கியமாக்க, நான் இயற்கையான சுத்திகரிக்கப்படாத கரும்புச் சர்க்கரையைப் பயன்படுத்தியுள்ளேன். நீங்கள் பனைச் சர்க்கரையையும் பயன்படுத்தலாம். நீங்கள் எதைப் பயன்படுத்தினாலும் அதை நன்றாகப் பொடி செய்து தயாராக வைத்திருங்கள்.
அனைத்து கொட்டைகளையும் சிறிய துண்டுகளாக நறுக்கவும். அனைத்து கொட்டைகளையும் உலர வைக்கவும். நான் முந்திரி, பாதாம் மற்றும் சில வால்நட்ஸைப் பயன்படுத்தினேன்.
ஒரு பெரிய தட்டில் அல்லது கிண்ணத்தில், அனைத்து கொட்டைகள், மாவு மற்றும் நாட்டுச் சக்கரை (சுத்திகரிக்கப்படாத கரும்புச் சர்க்கரை) ஆகியவற்றை ஒன்றாகக் கலக்கவும்.
உளுந்து உருண்டை (லட்டு) செய்வது எப்படி
ஒரு தேக்கரண்டி நெய்யை சூடாக்கி, திராட்சையை கொப்பளிக்கும் வரை வறுக்கவும், மாவு + கொட்டைகள் + நாட்டுச் சக்கரை கலவையில் சேர்க்கவும்.
ஏலக்காய்த் தூள், வறுத்த எள் சேர்த்து எல்லாவற்றையும் நன்றாகக் கலக்கவும். நெய்யை உருக்கி, சிறிது சிறிதாக மாவில் சேர்த்து உருண்டைகளாக உருட்டவும். ஒவ்வொரு கட்டமாகத் தயாரிக்கவும். முழு கலவையிலும் நெய்யை ஊற்ற வேண்டாம். நெய் சூடாக இருக்க வேண்டும், எனவே அதை ஒரு கிண்ணத்தில் சூடான நீரில் வைத்து, கலவையில் சிறிது சிறிதாகச் சேர்த்து உருண்டைகளாக உருட்டவும்.
உருண்டைகளாக உருட்ட போதுமான நெய்யைச் சேர்க்கவும். நீங்கள் உருண்டைகளைச் செய்ய முடியும் என்று நினைத்தால், நெய் சேர்ப்பதை நிறுத்துங்கள். எனக்கு 1/3 கப் நெய் தேவைப்பட்டது. குறைந்த அளவு நெய்யுடன் உருண்டைகளைச் செய்தால், பரவாயில்லை.
இந்த பயறு உளுந்து உருண்டை 7-10 நாட்கள் நீடிக்கும்.
இது போன்ற ஆரோக்கியமான சிற்றுண்டிகளை வீட்டிலேயே அடிக்கடி தயாரித்து ஆரோக்கியமான வாழ்க்கையை அனுபவிக்கவும்!!</t>
  </si>
  <si>
    <t>https://i.ytimg.com/vi/FWwzzJ_Q5O4/sddefault.jpg</t>
  </si>
  <si>
    <t xml:space="preserve">   Rava-sooji - 1/2 cup,
   Sugar - 1 cup,
   Ghee-clarified butter - 1/2 cup,
   Water - 1 1/2 cup,
   Pineapple -chopped - 1/2 cup,
   Cashew nuts - 10,
   Cardamom powder - 4-5 powdered,
   Yellow food color or kesari color – 2 drops or a pinch.</t>
  </si>
  <si>
    <t>ரவா-சூஜி - 1/2 கப்,
சர்க்கரை - 1 கப்,
நெய் தெளித்த வெண்ணெய் - 1/2 கப்,
தண்ணீர் - 1 1/2 கப்,
அன்னாசி - நறுக்கியது - 1/2 கப்,
முந்திரி பருப்பு - 10,
ஏலக்காய் தூள் - 4-5 பொடித்தது,
மஞ்சள் உணவு நிறம் அல்லது கேசரி நிறம் - 2 சொட்டுகள் அல்லது ஒரு சிட்டிகை.</t>
  </si>
  <si>
    <t xml:space="preserve">Heat the rest of the ghee and fry the rava in ghee for 2-3 minutes.
preparation for Pineapple Kesari
Let the rava get roasted slightly in ghee.
Now add the chopped pineapple and mix well.
Bring 1 1/2 cup of water to boil, add a pinch of food color or kesari powder in it.
Now add the boiling water to the rava, stirring continuously. Cook the rava on medium flame.
Once all the water has evaporated, add sugar. When you add sugar, the mixture will turn watery again.
Cook the rava well on medium or low flame.
When it starts leaving the sides of the pan (picture below) add fried cashew nuts,cardamom powder and switch off the heat.
As it cools it will thicken. This Kesari stays good at room temperature for 2 days and for nearly 4-5 days in the refrigerator. The second day it tastes even better with a nice pineapple flavor.
You can even make slices as shown below on the second day. Pack into a baking pan after preparing kesari, sprinkle or place cashew nuts on the top. Leave it to cool. Then  you can cut it into slices.
</t>
  </si>
  <si>
    <t>மஞ்சள் உணவு நிறம் அல்லது கேசரி நிறம் - 2 சொட்டுகள் அல்லது ஒரு சிட்டிகை.
மீதமுள்ள நெய்யை சூடாக்கி, ரவையை நெய்யில் 2-3 நிமிடங்கள் வறுக்கவும்.
அன்னாசி கேசரிக்கான தயாரிப்பு
ரவையை நெய்யில் சிறிது வறுக்கவும்.
இப்போது நறுக்கிய அன்னாசிப்பழத்தைச் சேர்த்து நன்கு கலக்கவும்.
1 1/2 கப் தண்ணீரை கொதிக்க விடவும், அதில் ஒரு சிட்டிகை உணவு நிறம் அல்லது கேசரி தூள் சேர்க்கவும்.
இப்போது ரவையில் கொதிக்கும் நீரைச் சேர்த்து, தொடர்ந்து கிளறவும். ரவையை மிதமான தீயில் சமைக்கவும்.
அனைத்து தண்ணீரும் ஆவியாகியதும், சர்க்கரை சேர்க்கவும். நீங்கள் சர்க்கரை சேர்க்கும்போது, ​​கலவை மீண்டும் தண்ணீராக மாறும்.
ரவாவை மிதமான அல்லது குறைந்த தீயில் நன்றாக சமைக்கவும்.
அது வாணலியின் பக்கவாட்டில் இருந்து வெளியேறத் தொடங்கியதும் (கீழே உள்ள படம்) வறுத்த முந்திரி, ஏலக்காய் தூள் சேர்த்து அடுப்பை அணைக்கவும்.
அது குளிர்ந்ததும் கெட்டியாகும். இந்த கேசரி அறை வெப்பநிலையில் 2 நாட்கள் மற்றும் குளிர்சாதன பெட்டியில் கிட்டத்தட்ட 4-5 நாட்கள் நன்றாக இருக்கும். இரண்டாவது நாள் இது ஒரு நல்ல அன்னாசிப்பழ சுவையுடன் இன்னும் சுவையாக இருக்கும்.
இரண்டாவது நாளில் கீழே காட்டப்பட்டுள்ளபடி துண்டுகளை கூட செய்யலாம். கேசரி தயாரித்த பிறகு பேக்கிங் பாத்திரத்தில் பேக் செய்யவும், மேலே முந்திரி கொட்டைகளை தூவவும் அல்லது வைக்கவும். அதை குளிர்விக்க விடவும். பின்னர் நீங்கள் அதை துண்டுகளாக வெட்டலாம்.</t>
  </si>
  <si>
    <t xml:space="preserve">   Grated carrots - 2 cups,
   Milk - 3/4 cup,
   Sugar - 1/4 cup,
   Ghee – 2 1/2- 3 tbsp,
   Cashew nuts - 10,
   Raisins - 2 tbsp,
   Cardamom Powder – 1/4 tsp.</t>
  </si>
  <si>
    <t>துருவிய கேரட் - 2 கப்,
பால் - 3/4 கப்,
சர்க்கரை - 1/4 கப்,
நெய் - 2 1/2- 3 டேபிள் ஸ்பூன்,
முந்திரி பருப்பு - 10,
திராட்சை - 2 டேபிள் ஸ்பூன்,
ஏலக்காய் பொடி - 1/4 டேபிள் ஸ்பூன்.</t>
  </si>
  <si>
    <t>Add milk to the carrots and pressure cook for 1 whistle.
frying grated carrot
Once the pressure subsides, open the cooker and cook on high flame stirring continuously until all the milk evaporates.
gajar ka halwa in pressure cooker
Once the milk dries up, add sugar and continue to cook on medium flame until the mixture is thick.
Add a tbsp of ghee and cook for a further 3-4 minutes stirring continuously until the mixture thickens.
If using, you can add little grated unsweetened khoya at this stage and cook for few more seconds. I did not add.
Add cashew nuts, raisins, cardamom powder, mix well and cook for another 2-3 seconds.
Serve this delicious gajar ka halwa hot or warm. I did the whole process in my small pressure cooker.</t>
  </si>
  <si>
    <t>கேரட்டில் பால் சேர்த்து 1 விசில் வேக வைக்கவும்.
துருவிய கேரட்டை வறுக்கவும்
அழுத்தம் தணிந்தவுடன், குக்கரைத் திறந்து அதிக தீயில் பால் முழுவதும் ஆவியாகும் வரை தொடர்ந்து கிளறி சமைக்கவும்.
கஜர் கா ஹல்வா பிரஷர் குக்கரில்
பால் காய்ந்ததும், சர்க்கரையைச் சேர்த்து, கலவை கெட்டியாகும் வரை மிதமான தீயில் சமைக்கவும்.
ஒரு டேபிள் ஸ்பூன் நெய்யைச் சேர்த்து, கலவை கெட்டியாகும் வரை மேலும் 3-4 நிமிடங்கள் தொடர்ந்து கிளறி சமைக்கவும்.
பயன்படுத்தினால், இந்த கட்டத்தில் சிறிது துருவிய இனிக்காத கோயாவைச் சேர்த்து இன்னும் சில வினாடிகள் சமைக்கலாம். நான் சேர்க்கவில்லை.
முந்திரி பருப்பு, திராட்சை, ஏலக்காய் தூள் சேர்த்து நன்கு கலந்து 2-3 வினாடிகள் சமைக்கவும்.
இந்த சுவையான கஜர் கா ஹல்வாவை சூடாகவோ அல்லது சூடாகவோ பரிமாறவும். நான் என்னுடைய சிறிய பிரஷர் குக்கரில் முழு செயல்முறையையும் செய்தேன்.</t>
  </si>
  <si>
    <t>https://i0.wp.com/kalimirchbysmita.com/wp-content/uploads/2016/01/Gajar-ka-Halwa-03-1024x683.jpg?resize=1024%2C683</t>
  </si>
  <si>
    <t>Arisi Vella Puttu</t>
  </si>
  <si>
    <t>அரிசி வெல்ல புட்டு</t>
  </si>
  <si>
    <t xml:space="preserve">   Rice flour - 1/2 cup,
   Jaggery –  1/2 cup,
   Ghee - 2-3 tsp,
   Cashew nuts - 10,
   Grated coconut - 1/4 cup,
   Cardamom powder - 1/4 tsp.</t>
  </si>
  <si>
    <t>அரிசி மாவு - 1/2 கப்,
வெல்லம் - 1/2 கப்,
நெய் - 2-3 தேக்கரண்டி,
முந்திரி பருப்பு - 10,
துருவிய தேங்காய் - 1/4 கப்,
ஏலக்காய் தூள் - 1/4 தேக்கரண்டி.</t>
  </si>
  <si>
    <t>Add boiling water little at a time to the rice flour. The flour should be slightly moist. That’s all. If you take a little flour and press it, it should hold its shape (picture below) and when pressed again slightly it should easily crumble. That is the right consistency.
Now steam the flour for 15 minutes loosely tied in a cloth or just press it between your fist and steam as I have done it. You can use the steamer or an idli cooker.
Once steamed, transfer the flour to a plate. Let it cool a little. Using your fingers break all the lumps. An easier method is to grind it in a mixie just for a second to crumble the dough evenly. Make sure that there are no lumps.
Now we will prepare the jaggery syrup – Add just enough water to the jaggery and boil it. Filter it to remove the impurities. Then boil again until it reaches a hard ball consistency. What is hard ball consistency? When you drop a tsp of jaggery syrup in a cup of water, it should not dissolve. You should be able to collect it and make a slightly hard ball from it. At this stage, remove the jaggery syrup from heat.
Add the jaggery syrup to the steamed puttu little at a time and mix it well.
Heat 2 tsp of ghee and fry cashew nuts and grated coconut separately and add to the puttu. Add cardamom powder and mix it well.
Delicious Arisi vella puttu is ready for Neivedhyam.</t>
  </si>
  <si>
    <t>அரிசி மாவுடன் சிறிது சிறிதாக கொதிக்கும் நீரைச் சேர்க்கவும். மாவு சற்று ஈரப்பதமாக இருக்க வேண்டும். அவ்வளவுதான். சிறிது மாவை எடுத்து அழுத்தினால், அது அதன் வடிவத்தைத் தக்க வைத்துக் கொள்ள வேண்டும் (கீழே உள்ள படம்) மீண்டும் சிறிது அழுத்தும்போது அது எளிதில் நொறுங்கும். அதுதான் சரியான நிலைத்தன்மை.
இப்போது மாவை ஒரு துணியில் தளர்வாகக் கட்டி 15 நிமிடங்கள் வேகவைக்கவும் அல்லது உங்கள் கைமுட்டிக்கு இடையில் அழுத்தி நான் செய்தது போல் வேகவைக்கவும். நீங்கள் ஸ்டீமர் அல்லது இட்லி குக்கரைப் பயன்படுத்தலாம்.
வேகவைத்த பிறகு, மாவை ஒரு தட்டில் மாற்றவும். சிறிது ஆற விடவும். உங்கள் விரல்களைப் பயன்படுத்தி அனைத்து கட்டிகளையும் உடைக்கவும். மாவை சமமாக நொறுக்க ஒரு நொடி மிக்ஸியில் அரைப்பது ஒரு எளிதான முறை. கட்டிகள் எதுவும் இல்லை என்பதை உறுதிப்படுத்திக் கொள்ளுங்கள்.
இப்போது வெல்லம் சிரப் தயார் செய்வோம் - வெல்லத்தில் போதுமான அளவு தண்ணீர் சேர்த்து கொதிக்க வைக்கவும். அசுத்தங்களை நீக்க அதை வடிகட்டி வைக்கவும். பின்னர் அது ஒரு கடினமான பந்து நிலைத்தன்மையை அடையும் வரை மீண்டும் கொதிக்க வைக்கவும். கடினமான பந்து நிலைத்தன்மை என்றால் என்ன? ஒரு கப் தண்ணீரில் ஒரு தேக்கரண்டி வெல்லம் சிரப்பை விடும்போது, ​​அது கரையக்கூடாது. நீங்கள் அதை சேகரித்து அதிலிருந்து சற்று கடினமான பந்தை உருவாக்க முடியும். இந்த கட்டத்தில், வெல்லம் சிரப்பை வெப்பத்திலிருந்து அகற்றவும்.
வேகவைத்த புட்டுவில் வெல்லம் சிரப்பை சிறிது சிறிதாக சேர்த்து நன்கு கலக்கவும்.
2 தேக்கரண்டி நெய்யை சூடாக்கி, முந்திரி மற்றும் துருவிய தேங்காய் ஆகியவற்றை தனித்தனியாக வறுத்து புட்டுவில் சேர்க்கவும். ஏலக்காய் பொடி சேர்த்து நன்கு கலக்கவும்.
நைவேத்தியத்திற்கு சுவையான அரிசி வெல்ல புட்டு தயார்.</t>
  </si>
  <si>
    <t>https://encrypted-tbn0.gstatic.com/images?q=tbn:ANd9GcSJSgVDZZ1oYo2c0SnjEPDgt9QNRIVyIj52Hg&amp;s</t>
  </si>
  <si>
    <t>Sweet Pidi Kozhukattai</t>
  </si>
  <si>
    <t>இனிப்பு பிடி கொழுக்கட்டை</t>
  </si>
  <si>
    <t xml:space="preserve">   Rice flour - 1/2 cup,
   Jaggery - 1/2 cup shaved,
   Grated coconut - 1/4 cup,
   Cardamom powder - 1/4 tsp,
   Ghee/clarified butter - 1 tsp.
</t>
  </si>
  <si>
    <t>அரிசி மாவு - 1/2 கப்,
வெல்லம் - 1/2 கப் துருவியது,
துருவிய தேங்காய் - 1/4 கப்,
ஏலக்காய் பொடி - 1/4 டீஸ்பூன்,
நெய்/தெளித்த வெண்ணெய் - 1 டீஸ்பூன்.</t>
  </si>
  <si>
    <t>Heat the jaggery water, when it starts boiling, add grated coconut and cardamom powder.
Then lower the heat and add rice flour with one hand and stir continuously with your other hand to prevent formation of lumps.
Once all the water has evaporated, add a tsp of ghee and cook stirring now and then over low flame for 5-6 minutes.
Transfer it to a plate. When it is warm, grease your fingers with a little ghee and make oval shapes out of the mixture. Keep it on your palm and press it to give the shape as seen in the picture below. Repeat the same process for the rest of the dough.
Steam cook for 10-15 minutes or until done.</t>
  </si>
  <si>
    <t>வெல்லத் தண்ணீரை சூடாக்கி, அது கொதிக்க ஆரம்பித்ததும், துருவிய தேங்காய் மற்றும் ஏலக்காய் பொடியைச் சேர்க்கவும்.
பின்னர் தீயைக் குறைத்து, ஒரு கையால் அரிசி மாவைச் சேர்த்து, கட்டிகள் உருவாகாமல் இருக்க உங்கள் மற்றொரு கையால் தொடர்ந்து கிளறவும்.
அனைத்து தண்ணீரும் ஆவியாகியதும், ஒரு தேக்கரண்டி நெய்யைச் சேர்த்து, அவ்வப்போது கிளறி, பின்னர் 5-6 நிமிடங்கள் குறைந்த தீயில் சமைக்கவும்.
அதை ஒரு தட்டில் மாற்றவும். அது சூடாகும்போது, ​​உங்கள் விரல்களில் சிறிது நெய் தடவி, கலவையிலிருந்து நீள்வட்ட வடிவங்களை உருவாக்கவும். அதை உங்கள் உள்ளங்கையில் வைத்து, கீழே உள்ள படத்தில் காட்டப்பட்டுள்ளபடி வடிவத்தை கொடுக்க அதை அழுத்தவும். மீதமுள்ள மாவுக்கும் இதே செயல்முறையை மீண்டும் செய்யவும்.
10-15 நிமிடங்கள் அல்லது முடியும் வரை ஆவியில் சமைக்கவும்.</t>
  </si>
  <si>
    <t>https://www.yummytummyaarthi.com/wp-content/uploads/2014/10/1.jpg</t>
  </si>
  <si>
    <t xml:space="preserve">     Beaten rice - 1 cup,
   Jaggery - 3/4 cup shaved,
   Grated coconut - 1/3 cup,
   Cardamom powder - 1/4 tsp,
   Cashew nuts - 4-5 ,
   Ghee for frying cashewnuts - 1 tsp.</t>
  </si>
  <si>
    <t>அடித்த அரிசி - 1 கப்,
வெல்லம் - 3/4 கப் துருவியது,
தேங்காய் துருவல் - 1/3 கப்,
ஏலக்காய் பொடி - 1/4 டீஸ்பூன்,
முந்திரி பருப்பு - 4-5 ,
முந்திரி பருப்பு வறுக்க நெய் - 1 டீஸ்பூன்</t>
  </si>
  <si>
    <t>1/4 கப் தண்ணீரை சூடாக்கி, அதில் வெல்லத்தை கரைக்கவும். அசுத்தங்களை நீக்க அதை வடிகட்டவும்.
வடிகட்டிய வெல்ல தண்ணீரை ஒரு சரம் நிலைத்தன்மை* கிடைக்கும் வரை கொதிக்க வைக்கவும் (குறிப்புகளைப் பார்க்கவும்). ஒரு சரம் நிலைத்தன்மை* கிடைக்கும் வரை, வெல்லம் தண்ணீர் கெட்டியாகும் வரை மேலும் 3-4 நிமிடங்கள் கொதிக்க வைக்கவும். தீயை அணைக்கவும்.
ஏலக்காய் பொடி, அவல் சேர்த்து நன்கு கலக்கவும். பின்னர் துருவிய தேங்காய் சேர்த்து நன்கு கலக்கவும்.
ஒரு டீஸ்பூன் நெய்யை சூடாக்கி, முந்திரி பருப்புகளை பொன்னிறமாகும் வரை வறுக்கவும். அவல் கலவையில் சேர்க்கவும்.
இனிப்பு அல்லது சிற்றுண்டியாக பரிமாறவும்.</t>
  </si>
  <si>
    <t>https://encrypted-tbn0.gstatic.com/images?q=tbn:ANd9GcQDDGeH2RtfFYq6fxFKr5RmqiRcRVZ5h_lMdQ&amp;s</t>
  </si>
  <si>
    <t xml:space="preserve">   Low fat Greek yogurt - 4 tbsp,
  Assorted Fresh – 1/2 cup    (Blackberries,Blueberries,Raspberries,Strawberries),
   Sugar -1 tsp,
   Honey - 2 tbsp,
   granola - 1/2 cup.</t>
  </si>
  <si>
    <t>குறைந்த கொழுப்புள்ள கிரேக்க தயிர் - 4 டீஸ்பூன்,
வகைப்படுத்தப்பட்ட புதியது - 1/2 கப் (பிளாக்பெர்ரி, ப்ளூபெர்ரி, ராஸ்பெர்ரி, ஸ்ட்ராபெர்ரி),
சர்க்கரை -1 டீஸ்பூன்,
தேன் - 2 டீஸ்பூன்,
கிரானோலா - 1/2 கப்.</t>
  </si>
  <si>
    <t>Wheat flour - 1/2 cup,
Rice flour - 1/2 cup,
Jaggery - 3/4 cup shaved,
Grated coconut - 2-3 tbsp,
Cardamom powder - 1/4 tsp,
clarified butter for making dosas.</t>
  </si>
  <si>
    <t>கோதுமை மாவு - 1/2 கப்,
அரிசி மாவு - 1/2 கப்,
வெல்லம் - 3/4 கப் துருவியது,
தேங்காய் துருவியது - 2-3 டேபிள்ஸ்பூன்,
ஏலக்காய் தூள் - 1/4 டேபிள்ஸ்பூன்,
தோசை செய்வதற்கு வெண்ணெய்.</t>
  </si>
  <si>
    <t>Add 1/2 cup of water to jaggery and melt it over low heat. Filter it to remove impurities. Allow it to cool.
In a bowl, mix together rice flour, wheat flour, cardamom powder, coconut and jaggery water (should be at room temperature or lukewarm). Alternatively you can pound grated coconut and cardamom powder together and add to make it more flavorful.
Add more water to get a dosa batter consistency. The batter should neither be thick nor too thin.
Method
Grease a tawa with a little ghee and heat it. Once the tawa is hot, reduce the heat to low.
Take a ladle of batter and pour it in the center of the tawa and spread it in a circular motion. Do not spread too much. Make small dosas.
Drizzle a tsp of ghee around the dosa. Once the corners starts lifting up, flip the dosa to the other side and drizzle another half tsp of ghee. The whole process has to be done on low heat.
Once cooked, remove from the tawa and serve hot. You do not need any side dish for this dosa as it tastes good on its own. But if preferred, you can serve with a dollop of butter or cream.</t>
  </si>
  <si>
    <t>வெல்லத்தில் 1/2 கப் தண்ணீர் சேர்த்து குறைந்த தீயில் உருக்கவும். அசுத்தங்களை நீக்க அதை வடிகட்டி குளிர்விக்க விடவும்.
ஒரு கிண்ணத்தில், அரிசி மாவு, கோதுமை மாவு, ஏலக்காய் தூள், தேங்காய் மற்றும் வெல்லம் தண்ணீர் (அறை வெப்பநிலையில் அல்லது வெதுவெதுப்பாக இருக்க வேண்டும்) ஆகியவற்றை ஒன்றாகக் கலக்கவும். மாற்றாக, நீங்கள் துருவிய தேங்காய் மற்றும் ஏலக்காய் தூளை ஒன்றாக அரைத்து, மேலும் சுவையாக மாற்ற சேர்க்கலாம்.
தோசை மாவு நிலைத்தன்மையைப் பெற அதிக தண்ணீர் சேர்க்கவும். மாவு கெட்டியாகவோ அல்லது மிகவும் மெல்லியதாகவோ இருக்கக்கூடாது.
முறை
ஒரு தவாவை சிறிது நெய்யுடன் தடவி சூடாக்கவும். தவா சூடானதும், தீயை குறைத்து வைக்கவும்.
ஒரு கரண்டி மாவை எடுத்து தவாவின் மையத்தில் ஊற்றி வட்ட இயக்கத்தில் பரப்பவும். அதிகமாக பரப்ப வேண்டாம். சிறிய தோசைகள் செய்யுங்கள்.
தோசையைச் சுற்றி ஒரு தேக்கரண்டி நெய்யைத் தெளிக்கவும். மூலைகள் மேலே எழ ஆரம்பித்ததும், தோசையை மறுபுறம் திருப்பி, மற்றொரு அரை தேக்கரண்டி நெய்யைத் தெளிக்கவும். முழு செயல்முறையும் குறைந்த தீயில் செய்யப்பட வேண்டும்.
வெந்தவுடன், தவாவில் இருந்து எடுத்து சூடாகப் பரிமாறவும். இந்த தோசைக்கு உங்களுக்கு எந்த துணை உணவும் தேவையில்லை, ஏனெனில் அது தானே சுவையாக இருக்கும். ஆனால் விரும்பினால், நீங்கள் ஒரு சிட்டிகை வெண்ணெய் அல்லது கிரீம் உடன் பரிமாறலாம்.</t>
  </si>
  <si>
    <t>Sheer Khurma</t>
  </si>
  <si>
    <t>ஷீர் குர்மா</t>
  </si>
  <si>
    <t xml:space="preserve">   Whole milk – 4 cups,
   Cardamom - 1 crushed,
   Sugar - 1/3 cup,
   sevaiyon - 1 cup,
   Ghee/clarified butter - 2 tbsp,
   Pistachios – 2 tbsp,
   Almonds – 2 tbsp,
   Cashew nuts – 2 tbsp,
   Raisins – 2-3 tbsp,
   Dates – 4,
   Cardamom powder - 1/4 tsp,
   Saffron - 5-6 strands,
    rose water - 1/4 tsp.</t>
  </si>
  <si>
    <t>முழு பால் - 4 கப்,
ஏலக்காய் - 1 நொறுக்கியது,
சர்க்கரை - 1/3 கப்,
சேவையோன் - 1 கப்,
நெய்/தெளிவுபடுத்திய வெண்ணெய் - 2 டீஸ்பூன்,
பிஸ்தா - 2 டீஸ்பூன்,
பாதாம் - 2 டீஸ்பூன்,
முந்திரி பருப்பு - 2 டீஸ்பூன்,
திராட்சை - 2-3 டீஸ்பூன்,
பேரிக்காய் - 4,
ஏலக்காய் தூள் - 1/4 டீஸ்பூன்,
குங்குமப்பூ - 5-6 தண்டுகள்,
ரோஸ் வாட்டர் - 1/4 டீஸ்பூன்.</t>
  </si>
  <si>
    <t xml:space="preserve">Soak saffron strands in 2 tbsp of warm milk.
Chop dates and soak it in half cup of  hot milk (you can take from the 4 cups of milk mentioned).
Soak almonds and pistachio in hot water for 15-20 minutes. Remove the skin and cut it thinly or into small pieces. Pat it dry.
Heat a tbsp of ghee and fry the nuts including cashew nuts for a few minutes on low flame. This is to give a nice flavor to the sheer khurma. Remove the nuts and fry the raisins (I used some dried black currants also) in the same pan until it puffs up. Remove from heat and keep it aside.
Heat 1 tbsp of ghee and fry the fine vermicelli on low flame until it becomes golden brown in color. Remove from heat.
Boil milk in a pan on medium flame until it reduces a little. You can add a crushed cardamom to the milk if preferred. Keep stirring in between to prevent it from getting burnt. Discard the cardamom pod once the milk reduces.
Add sugar to the milk and cook until sugar dissolves. Add the vermicelli and cook until it becomes soft. As it is very fine, it will take just a few minutes to get cooked.
Once the vermicelli is cooked, add the dates along with the milk in which it was soaked, cardamom powder and saffron.
Then add all the nuts and raisins, cook for 2 minutes and remove from heat. Add essence and mix well.
Serve this exotic dessert hot, warm or cold. </t>
  </si>
  <si>
    <t>குங்குமப்பூ இழைகளை 2 டீஸ்பூன் சூடான பாலில் ஊற வைக்கவும்.
பேரிக்காய்களை நறுக்கி அரை கப் சூடான பாலில் ஊற வைக்கவும் (நீங்கள் குறிப்பிடப்பட்டுள்ள 4 கப் பாலில் இருந்து எடுக்கலாம்).
பாதாம் மற்றும் பிஸ்தாவை வெதுவெதுப்பான நீரில் 15-20 நிமிடங்கள் ஊற வைக்கவும். தோலை நீக்கி மெல்லியதாகவோ அல்லது சிறிய துண்டுகளாகவோ வெட்டவும். அதை உலர வைக்கவும்.
ஒரு டீஸ்பூன் நெய்யை சூடாக்கி, முந்திரி உட்பட கொட்டைகளை குறைந்த தீயில் சில நிமிடங்கள் வறுக்கவும். இது மெல்லிய குர்மாவுக்கு ஒரு நல்ல சுவையைத் தருவதற்காக. கொட்டைகளை நீக்கி, அதே வாணலியில் திராட்சையை (நான் சில உலர்ந்த கருப்பட்டிகளையும் பயன்படுத்தினேன்) பொங்கி வரும் வரை வறுக்கவும். அடுப்பிலிருந்து நீக்கி ஒதுக்கி வைக்கவும்.
1 டீஸ்பூன் நெய்யை சூடாக்கி, மெல்லிய சேமியாவை குறைந்த தீயில் தங்க பழுப்பு நிறமாக மாறும் வரை வறுக்கவும். அடுப்பிலிருந்து அகற்றவும்.
ஒரு பாத்திரத்தில் பால் சிறிது குறையும் வரை மிதமான தீயில் கொதிக்க வைக்கவும். விருப்பப்பட்டால், பாலில் நொறுக்கப்பட்ட ஏலக்காயைச் சேர்க்கலாம். பால் கருகாமல் இருக்க இடையில் தொடர்ந்து கிளறிக்கொண்டே இருங்கள். பால் குறைந்து வந்தவுடன் ஏலக்காய் காய்களை கழற்றவும்.
பாலில் சர்க்கரையைச் சேர்த்து, சர்க்கரை கரையும் வரை சமைக்கவும். சேமியாவைச் சேர்த்து, மென்மையாகும் வரை சமைக்கவும். இது மிகவும் நன்றாக இருப்பதால், வேக சில நிமிடங்கள் ஆகும்.
சேமியா வெந்தவுடன், பேரீச்சம்பழங்களை அது ஊறவைத்த பாலுடன் சேர்த்து, ஏலக்காய் தூள் மற்றும் குங்குமப்பூவைச் சேர்க்கவும்.
பின்னர் அனைத்து கொட்டைகள் மற்றும் சேமியாவையும் சேர்த்து, 2 நிமிடங்கள் சமைக்கவும், அடுப்பிலிருந்து நீக்கவும். எசன்ஸ் சேர்த்து நன்கு கலக்கவும்.
இந்த கவர்ச்சியான இனிப்பை சூடாகவோ, சூடாகவோ அல்லது குளிராகவோ பரிமாறவும்.</t>
  </si>
  <si>
    <t>https://cdn3.foodviva.com/static-content/food-images/dessert-recipes/sheer-khurma/sheer-khurma.jpg</t>
  </si>
  <si>
    <t>Thinai Payasam</t>
  </si>
  <si>
    <t>திணை பாயசம்</t>
  </si>
  <si>
    <t xml:space="preserve">     Thinai - 1/2 cup,
   Jaggery - 1 cup,
   Milk -  2 cups,
   Cashew nuts – 10-12,
   Raisins - 15-20,
   Cardamom powder - 1/4 tsp,
   Ghee - 1 tsp.</t>
  </si>
  <si>
    <t>தினை - 1/2 கப்,
வெல்லம் - 1 கப்,
பால் - 2 கப்,
முந்திரி பருப்பு - 10-12,
திராட்சை - 15-20,
ஏலக்காய் பொடி - 1/4 டீஸ்பூன்,
நெய் - 1 டீஸ்பூன்.</t>
  </si>
  <si>
    <t>Heat a tsp of ghee and fry the cashew nuts and raisins separately. Remove it and in the same pan, fry thinai until it is slightly hot to touch. If required add another 1/2 tsp of ghee to fry thinai/foxtail millet.
Pressure cook foxtail millet with 1 1/2 cup of water for 3 whistles or you can cook in a pan with lid. Check out my detailed post on How to cook millet.
Dissolve jaggery in 1/4 cup of water and filter it to remove the impurities.
Boil the filtered jaggery, when it becomes slightly thick, add the cooked foxtail millet.
Cook on medium flame until it gets blended well with the jaggery.
Then add cashew nuts, raisins and cardamom powder.
millet kheer
Simmer and add milk, heat it on low flames for a few seconds and switch it off. Do not boil too much after adding milk. I would like to make one thing clear here. Whenever you make any payasam with jaggery and milk, either the jaggery syrup should be at room temperature or the milk should be at room temperature. If both are hot, there are chances of the milk getting curdled as some variety of jaggery available in shops have a little salt in them.
Enjoy this healthy and delicious Payasam hot or cold.</t>
  </si>
  <si>
    <t>ஒரு டீஸ்பூன் நெய்யை சூடாக்கி, முந்திரி பருப்பு மற்றும் திராட்சையை தனித்தனியாக வறுக்கவும். அதை எடுத்து, அதே வாணலியில், திணை சற்று சூடாகும் வரை வறுக்கவும். தேவைப்பட்டால், திணை/ஃபாக்ஸ்டெயில் தினையை வறுக்க 1/2 டீஸ்பூன் நெய் சேர்க்கவும்.
ஃபாக்ஸ்டெயில் தினையை 1 1/2 கப் தண்ணீரில் 3 விசில் வரை அழுத்தமாக வேகவைக்கவும் அல்லது மூடியுடன் ஒரு பாத்திரத்தில் சமைக்கலாம். தினை எப்படி சமைப்பது என்பது குறித்த எனது விரிவான இடுகையைப் பாருங்கள்.
வெல்லத்தை 1/4 கப் தண்ணீரில் கரைத்து, அசுத்தங்களை நீக்க வடிகட்டி வைக்கவும்.
வடிகட்டிய வெல்லத்தை வேகவைத்து, அது சற்று கெட்டியானதும், சமைத்த ஃபாக்ஸ்டெயில் தினையைச் சேர்க்கவும்.
வெல்லத்துடன் நன்றாகக் கலக்கும் வரை மிதமான தீயில் சமைக்கவும்.
பின்னர் முந்திரி, திராட்சை மற்றும் ஏலக்காய்த் தூள் சேர்க்கவும்.
தினை கீர்
கொதிக்க வைத்து பால் சேர்த்து, குறைந்த தீயில் சில நொடிகள் சூடாக்கி, அதை அணைக்கவும். பால் சேர்த்த பிறகு அதிகமாக கொதிக்க விடாதீர்கள். இங்கே ஒரு விஷயத்தை நான் தெளிவுபடுத்த விரும்புகிறேன். நீங்கள் வெல்லம் மற்றும் பாலுடன் எந்த பாயாசத்தையும் தயாரிக்கும் போதெல்லாம், வெல்லம் சிரப் அறை வெப்பநிலையில் இருக்க வேண்டும் அல்லது பால் அறை வெப்பநிலையில் இருக்க வேண்டும். இரண்டும் சூடாக இருந்தால், கடைகளில் கிடைக்கும் சில வகையான வெல்லத்தில் சிறிது உப்பு இருப்பதால் பால் தயிர் ஆக வாய்ப்புள்ளது.
இந்த ஆரோக்கியமான மற்றும் சுவையான பாயாசத்தை சூடாகவோ அல்லது குளிராகவோ அனுபவிக்கவும்.</t>
  </si>
  <si>
    <t>https://encrypted-tbn0.gstatic.com/images?q=tbn:ANd9GcQoYWsrm0i_w7ADrj63W8MptFWqwklCpdnxHQ&amp;s</t>
  </si>
  <si>
    <t>Sweet Potato Kheer</t>
  </si>
  <si>
    <t>சர்க்கரைவள்ளிக் கிழங்கு கீர்</t>
  </si>
  <si>
    <t>Sweet Potato  – 3/4 cup,
Milk – 3 cups,
Dates – 8,
Almonds – 10,
Cardamom powder - 1/4 tsp,
Cashew nuts - 5-6,
Raisins - 10.</t>
  </si>
  <si>
    <t>சர்க்கரைவள்ளிக் கிழங்கு - 3/4 கப்,
பால் - 3 கப்,
பேரிதழ் - 8,
பாதாம் - 10,
ஏலக்காய் தூள் - 1/4 தேக்கரண்டி,
முந்திரி பருப்பு - 5-6,
திராட்சை - 10.</t>
  </si>
  <si>
    <t>Bring milk to boil, add grated sweet potato and cook stirring from time to time to prevent the sweet potato from sticking to the bottom of the pan.
Let the milk reduce to 2 1/2 cups. By that time the sweet potato will also get cooked well. If not, cook until it becomes soft.
Add ground almond paste and cook for a few more minutes.
Add cardamom powder, ground dates, cashew nuts, raisins,  mix well and remove from heat.
Once it cools, refrigerate and serve chilled. Enjoy this guilt free dessert and satisfy your sweet tooth.</t>
  </si>
  <si>
    <t>பாலை கொதிக்க வைத்து, துருவிய சர்க்கரைவள்ளிக் கிழங்கைச் சேர்த்து, அவ்வப்போது கிளறி, சர்க்கரைவள்ளிக் கிழங்கு வாணலியின் அடிப்பகுதியில் ஒட்டாமல் இருக்க சமைக்கவும்.
பால் 2 1/2 கப்பாகக் குறையட்டும். அந்த நேரத்தில் சர்க்கரைவள்ளிக் கிழங்கும் நன்றாக வேகும். இல்லையென்றால், அது மென்மையாகும் வரை சமைக்கவும்.
பாதாம் விழுதைச் சேர்த்து இன்னும் சில நிமிடங்கள் சமைக்கவும்.
ஏலக்காய்த் தூள், அரைத்த பேரீச்சம்பழம், முந்திரி, திராட்சை ஆகியவற்றைச் சேர்த்து நன்கு கலந்து, வெப்பத்திலிருந்து நீக்கவும்.
ஆறியதும், குளிர்சாதன பெட்டியில் வைத்து, குளிர்ந்து பரிமாறவும். இந்த குற்ற உணர்ச்சியற்ற இனிப்பை அனுபவித்து, உங்கள் இனிப்பைத் திருப்திப்படுத்துங்கள்.</t>
  </si>
  <si>
    <t>https://www.sharmispassions.com/wp-content/uploads/2020/03/SweetPotatoKheer4-500x500.jpg</t>
  </si>
  <si>
    <t>Foxtail Millet Sweet Pongal</t>
  </si>
  <si>
    <t>ஃபாக்ஸ்டெயில் தினை இனிப்புப் பொங்கல்</t>
  </si>
  <si>
    <t>Foxtail millet – 1/2 cup,
Moong dal  – 1 1/2 tbsp,
Jaggery – 3/4 cup,
Ghee – 1 1/2 tbsp,
Cashew nuts – 5-6,
Raisins – 6-7,
Cardamom powder – 1/4 tsp.</t>
  </si>
  <si>
    <t>ஃபாக்ஸ்டெயில் தினை - 1/2 கப்,
பாலாடை - 1 1/2 டீஸ்பூன்,
வெல்லம் - 3/4 கப்,
நெய் - 1 1/2 டீஸ்பூன்,
முந்திரி பருப்பு - 5-6,
திராட்சை - 6-7,
ஏலக்காய்த் தூள் - 1/4 டீஸ்பூன்.</t>
  </si>
  <si>
    <t>Pressure cook moong dal and foxtail millet with 2 cups of water for 4 whistles.
Boil jaggery water for 3-4 minutes on medium flame. Add the cooked millet + moong dal to the jaggery syrup and cook for few more minutes until it is well incorporated with the jaggery syrup. Add cardamon powder and mix well.
Heat ghee in a pan, fry raisins and cashew nuts separately. Add the cashewnuts and raisins along with the ghee and cook for another 2 minutes and remove from heat.
Delicious and healthy tinai sakkarai pongal/ foxtail millet sweet pongal is ready to be served. Celebrate this Pongal the healthy way!!</t>
  </si>
  <si>
    <t>பச்சை பருப்பையும், பாக்ஸ்டெயில் தினையையும் 2 கப் தண்ணீரில் 4 விசில் வரும் வரை பிரஷர் வேகவைக்கவும்.
வெல்லம் தண்ணீரை 3-4 நிமிடங்கள் மிதமான தீயில் கொதிக்க வைக்கவும். சமைத்த தினை + பாசிப்பருப்பை வெல்லம் சிரப்பில் சேர்த்து, வெல்லம் சிரப்பில் நன்கு கலக்கும் வரை இன்னும் சில நிமிடங்கள் சமைக்கவும். ஏலக்காய்த் தூளைச் சேர்த்து நன்கு கலக்கவும்.
ஒரு கடாயில் நெய்யை சூடாக்கி, திராட்சை மற்றும் முந்திரி பருப்புகளைத் தனித்தனியாக வறுக்கவும். நெய்யுடன் முந்திரி பருப்பு மற்றும் திராட்சையைச் சேர்த்து மேலும் 2 நிமிடங்கள் சமைக்கவும், வெப்பத்திலிருந்து நீக்கவும்.
சுவையான மற்றும் ஆரோக்கியமான தினை சக்கரைப் பொங்கல்/ ஃபாக்ஸ்டெயில் தினை இனிப்புப் பொங்கல் பரிமாறத் தயாராக உள்ளது. இந்தப் பொங்கலை ஆரோக்கியமான முறையில் கொண்டாடுங்கள்!!</t>
  </si>
  <si>
    <t>https://encrypted-tbn0.gstatic.com/images?q=tbn:ANd9GcSZUxCzYCN_F90DOYu-0cPsMXkmPPUVT2dNkg&amp;s</t>
  </si>
  <si>
    <t xml:space="preserve">   Peanuts – 1 cup,
   Jaggery - 3/4 cup,
   Cardamom powder – a pinch,
   Dry ginger powder – a pinch,
   Ghee or rice flour.</t>
  </si>
  <si>
    <t>வேர்க்கடலை - 1 கப்,
வெல்லம் - 3/4 கப்,
ஏலக்காய் தூள் - ஒரு சிட்டிகை,
உலர் இஞ்சி தூள் - ஒரு சிட்டிகை,
நெய் அல்லது அரிசி மாவு.</t>
  </si>
  <si>
    <t>Preparation:. of jaggery syrup is the most important part of this recipe. Dissolve jaggery in 3 tbsp of water on low flame. Filter it to remove impurities.
Boil the jaggery syrup until it reaches the soft ball stage. If you are adding cardamom powder or sukku powder, add it to the jaggery syrup.
Keep a cup of water ready besides you. Drop a tsp of jaggery syrup in the water. It should not dissolve and you should be able to collect it and make a ball out of it as shown in the picture below. When the jaggery syrup reaches this stage, switch off the flame.
Keep the peanuts ready on a plate. Pour the prepared hot jaggery syrup on the peanuts and mix it well with the back of the ladle. When it is warm, either grease your fingers with ghee or dust your fingers with rice flour and make even sized balls out of the mixture.
As it cools,the balls will harden. Delicious Peanut chikki is ready.</t>
  </si>
  <si>
    <t>வெல்லம் சிரப் தயாரிப்பது இந்த செய்முறையின் மிக முக்கியமான பகுதியாகும். வெல்லத்தை 3 டேபிள்ஸ்பூன் தண்ணீரில் குறைந்த தீயில் கரைத்து, அசுத்தங்களை நீக்க அதை வடிகட்டவும்.
வெல்லம் சிரப்பை மென்மையான பந்து நிலையை அடையும் வரை கொதிக்க வைக்கவும். நீங்கள் ஏலக்காய் தூள் அல்லது சுக்கு பொடியைச் சேர்க்கிறீர்கள் என்றால், அதை வெல்லம் சிரப்பில் சேர்க்கவும்.
ஒரு கப் தண்ணீரை உங்கள் அருகில் தயாராக வைத்திருங்கள். தண்ணீரில் ஒரு டீஸ்பூன் வெல்லம் சிரப்பை விடுங்கள். அது கரையக்கூடாது, கீழே உள்ள படத்தில் காட்டப்பட்டுள்ளபடி அதை சேகரித்து ஒரு உருண்டையை உருவாக்க முடியும். வெல்லம் சிரப் இந்த நிலையை அடைந்ததும், சுடரை அணைக்கவும்.
வேர்க்கடலையை ஒரு தட்டில் தயாராக வைக்கவும். தயாரிக்கப்பட்ட சூடான வெல்லம் சிரப்பை வேர்க்கடலையில் ஊற்றி, கரண்டியின் பின்புறத்துடன் நன்கு கலக்கவும். சூடாகும்போது, ​​உங்கள் விரல்களில் நெய் தடவவும் அல்லது அரிசி மாவைத் தூவி, கலவையிலிருந்து சம அளவிலான உருண்டைகளை உருவாக்கவும்.
அது குளிர்ந்ததும், உருண்டைகள் கெட்டியாகும். சுவையான வேர்க்கடலை சிக்கி தயார்.</t>
  </si>
  <si>
    <t>https://bgnaidusweets.com/cdn/shop/files/purchase-Kadalai-Urundai-online-BG-Naidu-Sweets.jpg?v=1695898577</t>
  </si>
  <si>
    <t>Aval Laddu</t>
  </si>
  <si>
    <t>அவல் லட்டு</t>
  </si>
  <si>
    <t xml:space="preserve">   Aval – 1 cup,
   Nattu sakkarai - 1/2 cup,
   Cardamom powder - 1/4 tsp,
   Cashew nuts - 3-4,
   Raisins – 10,
   Hot melted ghee – 3-4 tbsp.</t>
  </si>
  <si>
    <t>அவல் - 1 கப்,
நாட்டுச் சக்கரை - 1/2 கப்,
ஏலக்காய்த் தூள் - 1/4 தேக்கரண்டி,
முந்திரி பருப்பு - 3-4,
திராட்சை - 10,
சூடான உருகிய நெய் - 3-4 தேக்கரண்டி.</t>
  </si>
  <si>
    <t xml:space="preserve">Dry roast poha a little or until it is hot to touch. Do not over roast or brown it. After it cools a little, grind it to a fine powder and keep it aside.
Heat a tbsp of ghee and fry cashew nuts first. When it starts changing color, add raisins and fry a little. When it puffs up switch off the flame. Alternatively you can fry cashew nuts and raisins separately.
Grind nattu sakkarai to a fine powder. When you add nattu sakkarai, you do not need much ghee as there is some moisture in nattu sakkarai itself. (If you are particular about the color of the laddu, you can add sugar, but if you are conscious of your health and your kid’s health, it is advisable to use natural unrefined cane sugar.)
Now keep everything ready – Ground poha, hot ghee (I have kept it in a bowl of hot water), natural unrefined sugar, cardamom powder, cashew nuts and raisins fried in ghee.
In a bowl, mix together, ground poha, nattu sakkarai, cardamom powder, cashew nuts and raisins along with that 1 tbsp of ghee.
Mix everything first. Then add more ghee little at a time. When you are able to make laddus out of the mixture, stop adding ghee. Grease you hands if required with ghee and make laddus from the mixture.
Delicious and healthy Aval laddu is ready. You can prepare this for festivals, pack it in your kid’s snack box or give them when they come back tired from school.
I have been getting request for healthy snacks recipes for kids.All sundals are very healthy and can be given to kids as snacks in the evening. I have just listed a few healthy and traditional snacks which are not deep fried, does not contain white sugar, all purpose flour, preservatives or any artificial coloring agents. Perfect and healthy snacks for kids and adults. </t>
  </si>
  <si>
    <t>போஹாவை சிறிது அல்லது தொடுவதற்கு சூடாகும் வரை வறுக்கவும். அதிகமாக வறுக்கவோ அல்லது பழுப்பு நிறமாகவோ செய்ய வேண்டாம். சிறிது ஆறிய பிறகு, அதை நன்றாகப் பொடியாக அரைத்து தனியாக வைக்கவும்.
ஒரு தேக்கரண்டி நெய்யை சூடாக்கி, முதலில் முந்திரி பருப்பை வறுக்கவும். அது நிறம் மாறத் தொடங்கும் போது, ​​திராட்சையைச் சேர்த்து சிறிது வறுக்கவும். அது கொப்பளிக்கும் போது, ​​தீயை அணைக்கவும். மாற்றாக, முந்திரி மற்றும் திராட்சையைத் தனித்தனியாக வறுக்கவும்.
நாட்டுச் சக்கரையை நன்றாகப் பொடியாக அரைக்கவும். நீங்கள் நாட்டுச் சக்கரையைச் சேர்க்கும்போது, ​​நாட்டுச் சக்கரையிலேயே சிறிது ஈரப்பதம் இருப்பதால் அதிக நெய் தேவையில்லை. (லட்டுவின் நிறம் உங்களுக்குப் பிடித்திருந்தால், சர்க்கரையைச் சேர்க்கலாம், ஆனால் உங்கள் உடல்நலம் மற்றும் உங்கள் குழந்தையின் ஆரோக்கியம் குறித்து நீங்கள் அக்கறை கொண்டிருந்தால், இயற்கையான சுத்திகரிக்கப்படாத கரும்புச் சர்க்கரையைப் பயன்படுத்துவது நல்லது.)
இப்போது எல்லாவற்றையும் தயாராக வைத்திருங்கள் - அரைத்த போஹா, சூடான நெய் (நான் அதை ஒரு கிண்ணத்தில் வெந்நீரில் வைத்திருந்தேன்), இயற்கை சுத்திகரிக்கப்படாத சர்க்கரை, ஏலக்காய்த் தூள், முந்திரி பருப்பு மற்றும் நெய்யில் வறுத்த திராட்சை.
ஒரு கிண்ணத்தில், அரைத்த போஹா, நாட்டுச் சக்கரை, ஏலக்காய்த் தூள், முந்திரி பருப்பு மற்றும் திராட்சை ஆகியவற்றை அந்த 1 டீஸ்பூன் நெய்யுடன் ஒன்றாகக் கலக்கவும்.
முதலில் அனைத்தையும் கலக்கவும். பின்னர் சிறிது சிறிதாக நெய் சேர்க்கவும். கலவையிலிருந்து லட்டு செய்ய முடிந்தவுடன், நெய் சேர்ப்பதை நிறுத்துங்கள். தேவைப்பட்டால் உங்கள் கைகளில் நெய் தடவி, கலவையிலிருந்து லட்டுகளைச் செய்யுங்கள்.
சுவையான மற்றும் ஆரோக்கியமான அவல் லட்டு தயாராக உள்ளது. இதை நீங்கள் பண்டிகைகளுக்குத் தயாரிக்கலாம், உங்கள் குழந்தையின் சிற்றுண்டிப் பெட்டியில் பேக் செய்யலாம் அல்லது அவர்கள் பள்ளியிலிருந்து சோர்வாக வரும்போது கொடுக்கலாம்.
குழந்தைகளுக்கான ஆரோக்கியமான சிற்றுண்டி ரெசிபிகளுக்கான கோரிக்கைகள் எனக்கு வந்து கொண்டிருக்கின்றன. அனைத்து சுண்டல்களும் மிகவும் ஆரோக்கியமானவை, மேலும் குழந்தைகளுக்கு மாலையில் சிற்றுண்டியாக கொடுக்கலாம். நான் சில ஆரோக்கியமான மற்றும் பாரம்பரிய சிற்றுண்டிகளை பட்டியலிட்டுள்ளேன், அவை ஆழமாக வறுக்கப்படாதவை, வெள்ளை சர்க்கரை, அனைத்து வகையான மாவு, பாதுகாப்புகள் அல்லது எந்த செயற்கை வண்ணமயமாக்கல் பொருட்களும் இல்லை. குழந்தைகள் மற்றும் பெரியவர்களுக்கு ஏற்ற மற்றும் ஆரோக்கியமான சிற்றுண்டிகள்.</t>
  </si>
  <si>
    <t>https://www.vegrecipesofindia.com/wp-content/uploads/2016/07/poha-ladoo.jpg</t>
  </si>
  <si>
    <t>Khoya - 1 cup,
maida – 1/3 cup,
Cooking soda – a generous pinch,
Oil for deep frying,
Sugar – 1 1/2 cup,
Water – 2  cups,
Cardamom powder - 1/4 tsp,
Rose essence – 1/4 tsp.</t>
  </si>
  <si>
    <t>கோயா - 1 கப்,
மைதா - 1/3 கப்,
சமையல் சோடா - ஒரு சிட்டிகை,
வறுக்க எண்ணெய்,
சர்க்கரை - 1 1/2 கப்,
தண்ணீர் - 2 கப்,
ஏலக்காய் தூள் - 1/4 தேக்கரண்டி,
ரோஸ் எசன்ஸ் - 1/4 தேக்கரண்டி.</t>
  </si>
  <si>
    <t>In a bowl mix together khoya, maida and cooking soda. Then add little water to make a soft pliable dough. Since the khoya itself has moisture, you do not need much water. You will need approximately 1 -1 1/2 tbsp of water. Let the dough sit for 5 minutes.
See the picture below, the dough is ready. You do not have to knead the dough as you do for chapati. The dough should be smooth, that’s all. Now divide the dough into equal parts and make smooth balls without any cracks. While making balls ensure that you do not give much pressure.Keep the dough covered to prevent it from drying.
Now heat oil in a kadai, when the oil is hot, reduce the temperature to low and fry the gulab jamuns. Keep stirring it gently for even browning. When the heat is high, the gulab jamuns will turn brown immediately and the inside will remain uncooked.That is the reason for frying the gulab jamuns in very low flame.
First they will turn golden brown, then they will change to a shade next to golden brown- light brown color. At this stage, remove the gulab jamuns from the oil with a slotted ladle and drop it into the sugar syrup. The sugar syrup should be warm and not very hot or cold when you drop the gulab jamuns in it. So ensure that the sugar syrup is warm when dropping the gulab jamuns in it.</t>
  </si>
  <si>
    <t>ஒரு பாத்திரத்தில் கோயா, மைதா மற்றும் சமையல் சோடாவை ஒன்றாக கலக்கவும். பின்னர் சிறிது தண்ணீர் சேர்த்து மென்மையான நெகிழ்வான மாவை உருவாக்கவும். கோயாவில் ஈரப்பதம் இருப்பதால், உங்களுக்கு அதிக தண்ணீர் தேவையில்லை. உங்களுக்கு தோராயமாக 1 -1 1/2 தேக்கரண்டி தண்ணீர் தேவைப்படும். மாவை 5 நிமிடங்கள் அப்படியே வைக்கவும்.
கீழே உள்ள படத்தைப் பாருங்கள், மாவு தயாராக உள்ளது. சப்பாத்திக்கு செய்வது போல் மாவை பிசைய வேண்டியதில்லை. மாவு மென்மையாக இருக்க வேண்டும், அவ்வளவுதான். இப்போது மாவை சம பாகங்களாகப் பிரித்து, விரிசல் இல்லாமல் மென்மையான பந்துகளை உருவாக்குங்கள். பந்துகளை உருவாக்கும் போது நீங்கள் அதிக அழுத்தம் கொடுக்காமல் பார்த்துக் கொள்ளுங்கள். மாவை உலராமல் இருக்க மூடி வைக்கவும்.
இப்போது ஒரு கடாயில் எண்ணெயை சூடாக்கி, எண்ணெய் சூடானதும், வெப்பநிலையைக் குறைத்து, குலாப் ஜாமுன்களை வறுக்கவும். சமமாக பழுப்பு நிறமாக மாற மெதுவாகக் கிளறிக்கொண்டே இருங்கள். வெப்பம் அதிகமாக இருக்கும்போது, ​​குலாப் ஜாமுன்கள் உடனடியாக பழுப்பு நிறமாக மாறும், உட்புறம் சமைக்கப்படாமல் இருக்கும். அதனால்தான் குலாப் ஜாமுன்களை மிகக் குறைந்த தீயில் வறுக்க வேண்டும்.
முதலில் அவை தங்க பழுப்பு நிறமாக மாறும், பின்னர் அவை தங்க பழுப்பு-வெளிர் பழுப்பு நிறத்திற்கு அடுத்த நிழலுக்கு மாறும். இந்த கட்டத்தில், துளையிடப்பட்ட கரண்டியால் எண்ணெயிலிருந்து குலாப் ஜாமுன்களை அகற்றி சர்க்கரை பாகில் விடவும். சர்க்கரை பாகில் குலாப் ஜாமுன்களை அதில் போடும்போது அது சூடாகவோ அல்லது குளிராகவோ இருக்கக்கூடாது. எனவே குலாப் ஜாமுன்களை அதில் போடும்போது சர்க்கரை பாகில் சூடாக இருப்பதை உறுதிசெய்து கொள்ளுங்கள்.</t>
  </si>
  <si>
    <t>https://www.vegrecipesofindia.com/wp-content/uploads/2022/10/gulab-jamun-recipe-01.jpg</t>
  </si>
  <si>
    <t>Kesar Kaju Katli</t>
  </si>
  <si>
    <t>கேசர் கஜு கட்லி</t>
  </si>
  <si>
    <t xml:space="preserve">   Cashew nuts – 1 cup,
   Milk - 1/4 cup,
   Sugar - 3/4 cup,
   Water - 1/2 cup,
   Saffron strands – 10,
   Ghee - 1 tsp,
   2 -  tbsp of milk .</t>
  </si>
  <si>
    <t>முந்திரி பருப்பு - 1 கப்,
பால் - 1/4 கப்,
சர்க்கரை - 3/4 கப்,
தண்ணீர் - 1/2 கப்,
குங்குமப்பூ இழைகள் - 10,
நெய் - 1 டீஸ்பூன்,
2 - டீஸ்பூன் பால்.</t>
  </si>
  <si>
    <t>Mix sugar and water over low flame. Once the sugar dissolves and the water starts boiling, add 2 tbsp of milk and boil for a few more seconds. The scum or dirt will come to the surface. Remove that and filter the sugar syrup. Now the sugar syrup is pure without any impurities.
Now boil the sugar syrup until you get a one string consistency (kambi padam in tamil).Then add the cashew nut paste and the saffron strands. To know more about one string consistency check out my Boondi Laddu recipe.
Keep the flame on medium low and cook the cashew nut paste stirring continuously.
It will thicken and start to leave the sides of the pan or kadai as shown in the picture below. Now place the dough in the prepared greased plate. Grease a rolling pin or bottom of a flat cup with a little ghee and spread the kaju katli dough evenly.
Once it cools slightly, make cuts with a sharp knife as desired. Remove the pieces only after it cools completely. Our Kesar Kaju Katli is ready.</t>
  </si>
  <si>
    <t>சர்க்கரை மற்றும் தண்ணீரை குறைந்த தீயில் கலக்கவும். சர்க்கரை கரைந்து தண்ணீர் கொதிக்க ஆரம்பித்ததும், 2 டீஸ்பூன் பால் சேர்த்து இன்னும் சில வினாடிகள் கொதிக்க வைக்கவும். கசடு அல்லது அழுக்கு மேற்பரப்பில் வரும். அதை அகற்றி சர்க்கரை பாகை வடிகட்டவும். இப்போது சர்க்கரை பாகை எந்த அசுத்தங்களும் இல்லாமல் சுத்தமாக இருக்கும்.
இப்போது சர்க்கரை பாகை ஒரு சரம் நிலைத்தன்மை (தமிழில் கம்பி பதம்) கிடைக்கும் வரை கொதிக்க வைக்கவும். பின்னர் முந்திரி பருப்பு விழுது மற்றும் குங்குமப்பூ இழைகளைச் சேர்க்கவும். ஒரு சரம் நிலைத்தன்மை பற்றி மேலும் அறிய எனது பூண்டி லட்டு செய்முறையைப் பாருங்கள்.
சுடரை மிதமான அளவில் வைத்து முந்திரி பருப்பு விழுதை தொடர்ந்து கிளறி சமைக்கவும்.
அது கெட்டியாகி, கீழே உள்ள படத்தில் காட்டப்பட்டுள்ளபடி பான் அல்லது கடாயின் பக்கங்களை விட்டு வெளியேறத் தொடங்கும். இப்போது மாவை நெய் தடவிய தட்டில் வைக்கவும். ஒரு உருட்டல் முள் அல்லது ஒரு தட்டையான கோப்பையின் அடிப்பகுதியில் சிறிது நெய் தடவி, கஜு கட்லி மாவை சமமாகப் பரப்பவும்.
அது சிறிது ஆறியதும், கூர்மையான கத்தியால் விருப்பப்படி வெட்டுங்கள். அது முழுமையாக ஆறிய பின்னரே துண்டுகளை அகற்றவும். எங்கள் கேசர் கஜு கட்லி தயாராக உள்ளது.</t>
  </si>
  <si>
    <t>https://encrypted-tbn0.gstatic.com/images?q=tbn:ANd9GcQjw2dMYjOkYec80afaQvw_w8xeQLB5v_4GEw&amp;s</t>
  </si>
  <si>
    <t>Coconut Laddu</t>
  </si>
  <si>
    <t>தேங்காய் லட்டு</t>
  </si>
  <si>
    <t xml:space="preserve">  Fresh Coconut grated - 1 cup,
   Milk – 1 1/4 cup,
   Sugar - 1/4 cup,
   Cardamom powder - 1/4 tsp,
   Ghee - 1 tsp.</t>
  </si>
  <si>
    <t>புதிய தேங்காய் துருவல் - 1 கப்,
பால் - 1 1/4 கப்,
சர்க்கரை - 1/4 கப்,
சர்க்கரை - 1/4 கப்,
ஏலக்காய்த்தூள் - 1/4 டீஸ்பூன்,
நெய் - 1 டீஸ்பூன்.</t>
  </si>
  <si>
    <t>Heat a tsp of ghee and fry the grated coconut slightly.
Then add milk and cook on medium low until all the milk is absorbed. Keep stirring frequently to avoid the milk from getting burnt. You can use condensed milk also instead of milk. 
When all the milk is absorbed, add sugar. The mixture gets a little diluted once you add sugar.
Keep cooking on low flame for some more time until the mixture becomes sticky and you are able to make balls out of it. The mixture will also leave the sides of the pan.
Once it cools slightly, grease your hands with a little ghee and make even sized balls out of it. Delicious Coconut laddu is ready. You can engage your kids also in making these balls. Ensure that the mixture is warm before allowing them to shape laddus.
Prepare this easy and quick Diwali sweet and enjoy with your family and friends.</t>
  </si>
  <si>
    <t>ஒரு டீஸ்பூன் நெய்யை சூடாக்கி, துருவிய தேங்காயை லேசாக வறுக்கவும்.
பின்னர் பால் சேர்த்து, பால் முழுவதும் உறிஞ்சப்படும் வரை மிதமான தீயில் சமைக்கவும். பால் கருகாமல் இருக்க அடிக்கடி கிளறிக்கொண்டே இருங்கள். பாலுக்கு பதிலாக அமுக்கப்பட்ட பாலையும் பயன்படுத்தலாம்.
பால் முழுவதும் உறிஞ்சப்பட்டதும், சர்க்கரை சேர்க்கவும். சர்க்கரை சேர்த்தவுடன் கலவை சிறிது நீர்த்துப்போகும்.
கலவை ஒட்டும் தன்மையாக மாறி, அதிலிருந்து நீங்கள் உருண்டைகளை உருவாக்கும் வரை குறைந்த தீயில் சிறிது நேரம் சமைக்கவும். கலவை பாத்திரத்தின் பக்கங்களிலும் இருந்து வெளியேறும்.
சிறிது ஆறியதும், உங்கள் கைகளில் சிறிது நெய் தடவி, அதிலிருந்து சம அளவிலான உருண்டைகளை உருவாக்குங்கள். சுவையான தேங்காய் லட்டு தயார். இந்த உருண்டைகளை செய்வதில் உங்கள் குழந்தைகளையும் ஈடுபடுத்தலாம். லட்டுகளை வடிவமைக்கும் முன் கலவை சூடாக இருப்பதை உறுதிசெய்து கொள்ளுங்கள்.
இந்த எளிதான மற்றும் விரைவான தீபாவளி இனிப்பைத் தயாரித்து, உங்கள் குடும்பத்தினருடனும் நண்பர்களுடனும் மகிழுங்கள்.</t>
  </si>
  <si>
    <t>https://www.indianveggiedelight.com/wp-content/uploads/2020/11/instant-coconut-ladoo-featured-1.jpg</t>
  </si>
  <si>
    <t>Homemade paneer – 110 grams,
Semolina – 1 tsp,
Cardamom – 1/4 tsp,
Sugar – 2 tsp,
All purpose flour  - 1 tbsp,
Water – 2 1/2 cup,
Sugar - 1 cup,
Milk – 2 1/2 cups ,
Sugar – 1/3 cup,
Cardamom powder - 1/4 tsp,
Saffron - 7-8 strands,
Pistachio -chopped – 2-3 tbspz,
Almonds  - 2-3 tbsp.</t>
  </si>
  <si>
    <t>வீட்டில் பனீர் - 110 கிராம்,
ரவை - 1 தேக்கரண்டி,
ஏலக்காய் - 1/4 தேக்கரண்டி,
சர்க்கரை - 2 தேக்கரண்டி,
அனைத்து உபயோக மாவு - 1 தேக்கரண்டி,
தண்ணீர் - 2 1/2 கப்,
சர்க்கரை - 1 கப்,
பால் - 2 1/2 கப்,
சர்க்கரை - 1/3 கப்,
ஏலக்காய் தூள் - 1/4 தேக்கரண்டி,
குங்குமப்பூ - 7-8 இழைகள்,
பிஸ்தா - நறுக்கியது - 2-3 தேக்கரண்டி,
பாதாம் - 2-3 தேக்கரண்டி.</t>
  </si>
  <si>
    <t xml:space="preserve">Knead paneer well into a pliable paste or until your hands become oily.Knead using the heel of your hands. Then add a tsp of rava, cardamom powder,sugar and knead lightly. 
Then divide the paneer into equal pieces and make smooth balls. Ensure that there are no cracks. Then flatten it in the shape of a disc and place it on a maida dusted plate.
Heat sugar and water over low flame. Once the sugar dissolves, increase the flame. When the sugar water comes to rolling boil, reduce the temperature to medium and gently drop the prepared discs. See to it that the paneer discs do not touch each other.
 Close it and let it cook for 15 minutes. Check in between. After 15-20 minutes, the rasgullas would have doubled its original size. Switch off the flame and let it cool. This is rasgulla. Let the rasgulla remain soaked in sugar syrup for 1-2 hours. We will prepare the saffron flavored milk for rasmalai.
Boil 2 1/2 cups of milk until it reduces to 1 1/4 cup. Keep the flame in medium low and keep stirring from time to time to prevent the milk from getting burnt.
Add sugar, cardamom powder and mix until the sugar dissolves.Switch off the flame. Add almonds, pistachio and saffron soaked in a tbsp of milk. Mix well.
Now take the rasgulla from the sugar syrup, squeeze out the excess sugar syrup gently .
Then drop it into the creamy milk and let it cool. Once it cools, refrigerated it and serve chilled garnished with more almonds and pistachio.
The rasmalai was very soft and we all enjoyed it a lot. It was more delicious than what we get in shops. Just with 110 grams of paneer, you get 6 rasmalais. This is a perfect dessert for parties and get togethers. You can prepare it a day before and keep it in the refrigerator. </t>
  </si>
  <si>
    <t>பனீரை நன்கு பேஸ்டாக பிசைந்து கொள்ளவும் அல்லது உங்கள் கைகள் எண்ணெய் பசையாக மாறும் வரை பிசையவும். உங்கள் கைகளின் குதிகாலைப் பயன்படுத்தி பிசையவும். பின்னர் ஒரு தேக்கரண்டி ரவை, ஏலக்காய் தூள், சர்க்கரை சேர்த்து லேசாக பிசையவும்.
பின்னர் பனீரை சம துண்டுகளாகப் பிரித்து மென்மையான பந்துகளை உருவாக்குங்கள். விரிசல்கள் இல்லாமல் பார்த்துக் கொள்ளுங்கள். பின்னர் அதை ஒரு வட்டு வடிவில் தட்டையாக்கி மைதா தூவிய தட்டில் வைக்கவும்.
சர்க்கரை மற்றும் தண்ணீரை குறைந்த தீயில் சூடாக்கவும். சர்க்கரை கரைந்ததும், தீயை அதிகரிக்கவும். சர்க்கரை தண்ணீர் கொதிக்கும் போது, ​​வெப்பநிலையை நடுத்தரமாகக் குறைத்து, தயாரிக்கப்பட்ட தட்டுகளை மெதுவாக இறக்கவும். பனீர் தட்டுகள் ஒன்றையொன்று தொடாதபடி பார்த்துக் கொள்ளுங்கள்.
அதை மூடி 15 நிமிடங்கள் சமைக்க விடவும். இடையில் சரிபார்க்கவும். 15-20 நிமிடங்களுக்குப் பிறகு, ரஸ்குல்லாக்கள் அதன் அசல் அளவை இரட்டிப்பாக்கியிருக்கும். சுடரை அணைத்து ஆற விடவும். இது ரஸ்குல்லா. ரஸ்குல்லாவை சர்க்கரை பாகில் 1-2 மணி நேரம் ஊற வைக்கவும். நாங்கள் குங்குமப்பூ சுவையுள்ள பாலை ரஸ்மலாய்க்கு தயார் செய்வோம்.
2 1/2 கப் பாலை 1 1/4 கப் ஆகக் குறையும் வரை கொதிக்க வைக்கவும். தீயை மிதமான தீயில் வைத்து, பால் எரியாமல் இருக்க அவ்வப்போது கிளறிக்கொண்டே இருங்கள்.
சர்க்கரை, ஏலக்காய்த் தூள் சேர்த்து சர்க்கரை கரையும் வரை கலக்கவும். சுடரை அணைக்கவும். ஒரு டீஸ்பூன் பாலில் ஊறவைத்த பாதாம், பிஸ்தா மற்றும் குங்குமப்பூவைச் சேர்க்கவும். நன்றாக கலக்கவும்.
இப்போது சர்க்கரை பாகில் இருந்து ரசகுல்லாவை எடுத்து, அதிகப்படியான சர்க்கரை பாகை மெதுவாக பிழிந்து எடுக்கவும்.
பின்னர் அதை கிரீமி பாலில் போட்டு ஆற விடவும். அது ஆறியதும், குளிர்சாதன பெட்டியில் வைத்து, மேலும் பாதாம் மற்றும் பிஸ்தாவுடன் அலங்கரித்து, குளிர்வித்து பரிமாறவும்.
ரசமலாய் மிகவும் மென்மையாக இருந்தது, நாங்கள் அனைவரும் அதை மிகவும் ரசித்தோம். கடைகளில் வாங்குவதை விட இது மிகவும் சுவையாக இருந்தது. 110 கிராம் பனீருடன், உங்களுக்கு 6 ரசமலாய்கள் கிடைக்கும். இது விருந்துகள் மற்றும் ஒன்றுகூடல்களுக்கு ஏற்ற இனிப்பு. நீங்கள் இதை ஒரு நாள் முன்பு தயாரித்து குளிர்சாதன பெட்டியில் வைக்கலாம்.</t>
  </si>
  <si>
    <t>https://www.archanaskitchen.com/images/archanaskitchen/1-Author/moumita.malla-gmail.com/traditional_rasmalai_recipe_400.jpg</t>
  </si>
  <si>
    <t>Thiratipal</t>
  </si>
  <si>
    <t>திராட்டிப்பால்</t>
  </si>
  <si>
    <t>Milk – 4 cups,
Sugar - 1/4 cup,
Ghee - 2 tsp,
Cardamom powder - 1/4 tsp.</t>
  </si>
  <si>
    <t>பால் - 4 கப்,
சர்க்கரை - 1/4 கப்,
நெய் - 2 தேக்கரண்டி,
ஏலக்காய்த்தூள் - 1/4 தேக்கரண்டி.</t>
  </si>
  <si>
    <t>Take a heavy bottomed vessel, add melted ghee and 4 cups of milk.
Boil the milk in medium low flame.Keep stirring the milk from time to time. As the milk starts thickening, reduce the flame to low and stir continuously. Scrap the milk sticking to the sides of the pan with a ladle as you stir.The milk will become condensed (thick).
This will take a long time. If you do not stir it, there are chances of the milk getting burnt and your whole effort will go waste.
When it becomes a solid mass, add sugar and cardamom powder. Once you add sugar, it will become a little watery. Keep stirring for some more time until it becomes thick. Switch off the flame.Once it cools it will thicken further.
Delicious and authentic thiratipal is ready.</t>
  </si>
  <si>
    <t>அடித்தளம் கொண்ட ஒரு கனமான பாத்திரத்தை எடுத்து, உருக்கிய நெய் மற்றும் 4 கப் பால் சேர்க்கவும்.
பாலை மிதமான தீயில் கொதிக்க வைக்கவும். அவ்வப்போது பாலை கிளறிக்கொண்டே இருங்கள். பால் கெட்டியாகத் தொடங்கும் போது, ​​தீயைக் குறைத்து தொடர்ந்து கிளறவும். நீங்கள் கிளறும்போது ஒரு கரண்டியால் பாலை வாணலியின் பக்கங்களில் ஒட்டிக்கொண்டிருக்கும். பால் கெட்டியாகிவிடும் (தடிமனாக)
இது நீண்ட நேரம் எடுக்கும். நீங்கள் அதைக் கிளறவில்லை என்றால், பால் எரிந்து உங்கள் முழு முயற்சியும் வீணாகிவிடும்.
அது ஒரு திடமான கட்டியாக மாறியதும், சர்க்கரை மற்றும் ஏலக்காய்த்தூள் சேர்க்கவும். நீங்கள் சர்க்கரையைச் சேர்த்தவுடன், அது சிறிது நீர்த்துப்போகும். அது கெட்டியாகும் வரை இன்னும் சிறிது நேரம் கிளறிக்கொண்டே இருங்கள். தீயை அணைக்கவும். அது குளிர்ந்ததும் அது மேலும் கெட்டியாகும்.
சுவையான மற்றும் உண்மையான திராட்டிப்பால் தயாராக உள்ளது.</t>
  </si>
  <si>
    <t>https://encrypted-tbn0.gstatic.com/images?q=tbn:ANd9GcQZOVoYais42eNAtE2sl9BDKKPlv3Z0xRaMgg&amp;s</t>
  </si>
  <si>
    <t>Ada Pradhaman</t>
  </si>
  <si>
    <t>அட பிரதமன்</t>
  </si>
  <si>
    <t>Rice ada - 1/2 cup,
Jaggery – 1 1/4 cup,
Thin coconut milk – 1 1/4 cup,
Thick coconut milk – 1/2 cup,
Coconut bits  – 2 tbsp,
Cashew nuts - 2 tbsp,
Raisins - 2-3 tbsp,
Cardamom powder - 1/4 tsp,
Ghee – 1-2 tbsp +2 tsp.</t>
  </si>
  <si>
    <t>அரிசி அட - 1/2 கப்,
வெல்லம் - 1 1/4 கப்,
மெல்லிய தேங்காய் பால் - 1 1/4 கப்,
அடர்த்தியான தேங்காய் பால் - 1/2 கப்,
தேங்காய் துண்டுகள் - 2 டீஸ்பூன்,
முந்திரி பருப்பு - 2 டீஸ்பூன்,
திராட்சை - 2-3 டீஸ்பூன்,
ஏலக்காய் தூள் - 1/4 டீஸ்பூன்,
நெய் - 1-2 டீஸ்பூன் +2 டீஸ்பூன்.</t>
  </si>
  <si>
    <t>ring water to rolling boil, switch off and add the ada. Let it soak for 30 minutes. After 30 minutes, drain the water completely and rinse the ada 2-3 times in cold water. This is done to prevent the ada from sticking to each other. Drain the water completely. Keep it aside for some time. 
Dissolve jaggery in half cup of water and strain it to remove impurities if any.
Heat 2 tsp of ghee and fry the cashew nuts, raisins and coconut pieces separately. Remove from pan.
In the same pan, heat more ghee and fry the ada in medium or low flame for 4-5 minutes.
Now add jaggery water to the ada and cook in medium flame until it thickens.
Once it thickens, add the thin coconut milk (1 1/4 cup). Cook on medium flame until it thickens again.
Once it thickens, add the thick coconut milk, fried cashew nuts, raisins, cardamom powder and coconut bits. Mix well and switch off the flame. Do not cook after adding the thick coconut milk. 
Delicious Ada Pradhaman is ready. Serve hot or chilled.</t>
  </si>
  <si>
    <t>தண்ணீரை கொதிக்கும் வரை கிளறி, அணைத்துவிட்டு அடாவடியைச் சேர்க்கவும். 30 நிமிடங்கள் ஊற விடவும். 30 நிமிடங்களுக்குப் பிறகு, தண்ணீரை முழுவதுமாக வடிகட்டி, அடாவடியை 2-3 முறை குளிர்ந்த நீரில் கழுவவும். அடாவடி ஒன்றோடொன்று ஒட்டாமல் இருக்க இது செய்யப்படுகிறது. தண்ணீரை முழுவதுமாக வடிகட்டவும். சிறிது நேரம் ஒதுக்கி வைக்கவும்.
அரை கப் தண்ணீரில் வெல்லத்தைக் கரைத்து, ஏதேனும் அழுக்குகள் இருந்தால் அதை வடிகட்டி அகற்றவும்.
2 டீஸ்பூன் நெய்யை சூடாக்கி, முந்திரி, திராட்சை மற்றும் தேங்காய் துண்டுகளை தனித்தனியாக வறுக்கவும். வாணலியில் இருந்து அகற்றவும்.
அதே கடாயில், அதிக நெய்யை சூடாக்கி, அடாவடியை நடுத்தர அல்லது குறைந்த தீயில் 4-5 நிமிடங்கள் வறுக்கவும்.
இப்போது அடாவடியில் வெல்லம் தண்ணீர் சேர்த்து, நடுத்தர தீயில் கெட்டியாகும் வரை சமைக்கவும்.
கெட்டியானதும், மெல்லிய தேங்காய் பால் (1 1/4 கப்) சேர்க்கவும். மீண்டும் கெட்டியாகும் வரை நடுத்தர தீயில் சமைக்கவும்.
கெட்டியானதும், கெட்டியான தேங்காய் பால், வறுத்த முந்திரி, திராட்சை, ஏலக்காய் தூள் மற்றும் தேங்காய் துண்டுகளை சேர்க்கவும். நன்றாக கலந்து, தீயை அணைக்கவும். கெட்டியான தேங்காய் பால் சேர்த்த பிறகு சமைக்க வேண்டாம்.
சுவையான அடாவடி தயார். சூடாகவோ அல்லது குளிரூட்டப்பட்டதாகவோ பரிமாறவும்.</t>
  </si>
  <si>
    <t>https://encrypted-tbn0.gstatic.com/images?q=tbn:ANd9GcTqvf1DZvjbl_aYK4PhcFB-_C1HAiVGhIrB4w&amp;s</t>
  </si>
  <si>
    <t>Palada Pradhaman Payasam</t>
  </si>
  <si>
    <t>பலாடா பிரதமன் பாயசம்</t>
  </si>
  <si>
    <t>Rice Ada - 1/3 cup,
Milk - 3 cups,
Sugar - 1/2 cup,
Cardamom powder - 1/4 tsp,
Cashew nuts – 4,
Raisins – 5-6,
Butter - 1/2 tsp.</t>
  </si>
  <si>
    <t>அரிசி அட - 1/3 கப்,
பால் - 3 கப்,
சர்க்கரை - 1/2 கப்,
ஏலக்காய் பொடி - 1/4 டீஸ்பூன்,
முந்திரி பருப்பு - 4,
திராட்சை - 5-6,
வெண்ணெய் - 1/2 டீஸ்பூன்.</t>
  </si>
  <si>
    <t>Boil 3 cups of milk until it reduces to 2 1/2 cups. Then add the washed ada and cook stirring in low flame until ada becomes soft.
Add sugar and cook for some more time. The payasam changes to pale cream color. Mix cardamom powder and switch off the flame.
Heat a tsp of ghee, fry cashew nuts and raisins separately. Add it to the payasam. This is optional. You can add if you prefer as it is not added traditionally.
After 10-15 mins, add 1/2 tsp of butter and stir.
Delicious Palada Payasam is ready. Serve hot or chilled.</t>
  </si>
  <si>
    <t>3 கப் பால் 2 1/2 கப் ஆக குறையும் வரை கொதிக்க வைக்கவும். பின்னர் கழுவிய அடாவைச் சேர்த்து, அடாவைச் சேர்த்து, குறைந்த தீயில் அடாவைச் சேர்த்து மென்மையாகும் வரை சமைக்கவும்.
சர்க்கரை சேர்த்து சிறிது நேரம் சமைக்கவும். பாயசம் வெளிர் கிரீம் நிறமாக மாறும். ஏலக்காய் பொடியைக் கலந்து, தீயை அணைக்கவும்.
ஒரு டீஸ்பூன் நெய்யை சூடாக்கி, முந்திரி மற்றும் திராட்சையைத் தனித்தனியாக வறுக்கவும். பாயசத்தில் சேர்க்கவும். இது விருப்பமானது. நீங்கள் விரும்பினால் சேர்க்கலாம், ஏனெனில் இது பாரம்பரியமாக சேர்க்கப்படுவதில்லை.
10-15 நிமிடங்களுக்குப் பிறகு, 1/2 டீஸ்பூன் வெண்ணெய் சேர்த்து கிளறவும்.
சுவையான பலாடா பாயசம் தயார். சூடாகவோ அல்லது குளிரவைத்தோ பரிமாறவும்.</t>
  </si>
  <si>
    <t>https://www.yummytummyaarthi.com/wp-content/uploads/2022/08/palada-payasam-1.jpeg</t>
  </si>
  <si>
    <t>Pal Kozhukattai</t>
  </si>
  <si>
    <t>Parboiled rice – 1/2 cup,
Salt a pinch,
Ghee – 2 tsp,
Jaggery – 3/4 cup,
Thin coconut milk – 1 cup,
Thick coconut milk – 1/2 cup,
Cardamom powder – 1/4 tsp,
Edible camphor – a pinch.</t>
  </si>
  <si>
    <t>வேகவைத்த அரிசி - 1/2 கப்,
ஒரு சிட்டிகை உப்பு,
நெய் - 2 தேக்கரண்டி,
வெல்லம் - 3/4 கப்,
மெல்லிய தேங்காய் பால் - 1 கப்,
அடர்த்தியான தேங்காய் பால் - 1/2 கப்,
ஏலக்காய் தூள் - 1/4 தேக்கரண்டி,
சாப்பிடக்கூடிய கற்பூரம் - ஒரு சிட்டிகை.</t>
  </si>
  <si>
    <t>Wash and soak rice for 2 hours. Grind it to a fine paste adding little water and a pinch of salt. Rinse the mixie with little water and add to it.
Melt jaggery adding 2-3 tbsp of water in low heat.Once it melts, switch off the flame and filter it to remove any impurities.
Take a kadai or pan (preferably non stick) pour the batter, melted ghee and switch on the flame. In medium heat, keep stirring the rice batter continuously to prevent formation of lumps until it starts to leave the sides of the pan. Switch off the flame.
When it is warm, grease your hands with a little ghee and knead it to soft pliable dough.(keep the dough covered with a damp cloth to prevent it from drying. The dough will not stick to your hands, if it is cooked well.
Make small balls like seedai out of it and keep it ready.(that’s a close up shot of the ball, so it appears big).If the ball are big, they will take more time to get cooked and they will taste bland in the dish. So make small sized balls.
Boil 1 cup of thin coconut milk, when it starts boiling, reduce the flame and add the balls gently.The balls should be immersed in the thin coconut milk. If not, add more thin coconut milk. Do not stir it for the first few minutes. Then stir gently and cook in medium low flame for 5-6 minutes or until done.
Now add the thick jaggery water, cardamom powder, edible camphor and cook for a few more minutes until it becomes slightly thick and saucy.
Then add thick coconut milk, stir and turn off the heat. Do not boil or cook after adding the thick coconut milk. It will thicken a little as it cools down.
Enjoy pal kozhukattai warm or cold!!</t>
  </si>
  <si>
    <t>அரிசியைக் கழுவி 2 மணி நேரம் ஊற வைக்கவும். சிறிது தண்ணீர் மற்றும் ஒரு சிட்டிகை உப்பு சேர்த்து நன்றாக அரைக்கவும். மிக்ஸியை சிறிது தண்ணீரில் கழுவி அதில் சேர்க்கவும்.
வெல்லத்தை 2-3 தேக்கரண்டி தண்ணீர் சேர்த்து குறைந்த தீயில் உருக்கவும். அது உருகியதும், தீயை அணைத்து வடிகட்டி, அசுத்தங்களை நீக்கவும்.
ஒரு கடாயை அல்லது பாத்திரத்தை (முன்னுரிமை குச்சி அல்லாதது) எடுத்து, மாவை ஊற்றி, உருக்கிய நெய்யை ஊற்றி, தீயை அணைக்கவும். மிதமான தீயில், அரிசி மாவை தொடர்ந்து கிளறி, அது பாத்திரத்தின் பக்கவாட்டில் இருந்து வெளியேறத் தொடங்கும் வரை கட்டிகள் உருவாகாமல் தடுக்கவும். தீயை அணைக்கவும்.
அது சூடாகும்போது, ​​உங்கள் கைகளில் சிறிது நெய் தடவி, மென்மையான நெகிழ்வான மாவாகப் பிசையவும். (மாவை உலரவிடாமல் இருக்க ஈரமான துணியால் மூடி வைக்கவும். மாவு நன்றாக வெந்திருந்தால், அது உங்கள் கைகளில் ஒட்டாது.
சீதை போன்ற சிறிய உருண்டைகளை அதிலிருந்து எடுத்து தயாராக வைக்கவும். (அது பந்தின் நெருக்கமான ஷாட், அதனால் அது பெரியதாகத் தோன்றும்). உருண்டை பெரியதாக இருந்தால், அவை வேக அதிக நேரம் எடுக்கும், மேலும் அவை பாத்திரத்தில் மென்மையாக இருக்கும். எனவே சிறிய அளவிலான உருண்டைகளை உருவாக்கவும்.
1 கப் மெல்லிய தேங்காய்ப் பாலை வேகவைத்து, அது கொதிக்கத் தொடங்கியதும், தீயைக் குறைத்து, உருண்டைகளை மெதுவாகச் சேர்க்கவும். உருண்டைகளை மெல்லிய தேங்காய்ப் பாலில் மூழ்கடிக்க வேண்டும். இல்லையென்றால், மேலும் மெல்லிய தேங்காய்ப் பாலை சேர்க்கவும். முதல் சில நிமிடங்கள் கிளற வேண்டாம். பின்னர் மெதுவாகக் கிளறி, நடுத்தர குறைந்த தீயில் 5-6 நிமிடங்கள் அல்லது முடியும் வரை சமைக்கவும்.
இப்போது கெட்டியான வெல்லம் தண்ணீர், ஏலக்காய்த் தூள், உண்ணக்கூடிய கற்பூரம் ஆகியவற்றைச் சேர்த்து, அது சற்று கெட்டியாகவும் காரமாகவும் மாறும் வரை இன்னும் சில நிமிடங்கள் சமைக்கவும்.
பின்னர் கெட்டியான தேங்காய்ப் பால் சேர்த்து, கிளறி, அடுப்பை அணைத்து விடுங்கள். கெட்டியான தேங்காய்ப் பால் சேர்த்த பிறகு கொதிக்கவோ அல்லது சமைக்கவோ வேண்டாம். அது குளிர்ந்ததும் கொஞ்சம் கெட்டியாகிவிடும்.
பால் கொழுக்கட்டையை சூடாகவோ அல்லது குளிராகவோ சாப்பிடுங்கள்!!</t>
  </si>
  <si>
    <t>https://encrypted-tbn0.gstatic.com/images?q=tbn:ANd9GcQC-zjCncLsQieiwTyoxGzDIlvkF0_73oriAw&amp;s</t>
  </si>
  <si>
    <t>Bake Biscuit Pudding</t>
  </si>
  <si>
    <t>பிஸ்கட் புட்டிங் சுடவும்</t>
  </si>
  <si>
    <t>Tea biscuits -  30 biscuits,
Unsalted Butter - 100 gms,
Icing sugar - 1 cup,
Cocoa powder - 3 tbsp,
Milk – 2 tbsp,
Vanilla extract - 1/2 tsp,
Coffee/ Espresso powder - 1 1/2 tsp,
Water - 1 cup.</t>
  </si>
  <si>
    <t>தேநீர் பிஸ்கட் - 30 பிஸ்கட்கள்,
உப்பு சேர்க்காத வெண்ணெய் - 100 கிராம்,
ஐசிங் சர்க்கரை - 1 கப்,
கோகோ பவுடர் - 3 டேபிள் ஸ்பூன்,
பால் - 2 டேபிள் ஸ்பூன்,
வெண்ணிலா சாறு - 1/2 டேபிள் ஸ்பூன்,
காபி/எஸ்பிரெசோ பவுடர் - 1 1/2 டேபிள் ஸ்பூன்,
தண்ணீர் - 1 கப்.</t>
  </si>
  <si>
    <t>Prepare coffee decoction in 1 cup of boiling water. Filter it and leave it to cool.
Sift the cocoa powder and keep it aside.
Line a 7 inch square cake tin with cling film leaving a little extra on one side to fold over the top. Alternatively you can layer the whole thing in a square pan or glass dish without the cling film, if you plan to serve it directly from the tin. But with the cling film lining, it is easier to take the whole biscuit cake out from the pan and slice it as preferred. 
In a bowl, beat together butter and sugar until light and fluffy. You can use a wooden spatula or an electric hand mixer.
Add cocoa powder and continue beating until well mixed.
Add vanilla essence and mix well. Add milk little at a time and mix well. The consistency of the mixture should neither be stiff nor too watery. It should be easily spreadable, so adjust milk accordingly.
Now dip the biscuit one at a time in coffee decoction and arrange it in the pan as shown in the picture below. It doesn’t matter, if the biscuits overlap.
With a spatula, spread the butter + sugar +cocoa powder mixture over the biscuits evenly filling all the gaps and corners (see picture below). Repeat with another layer of biscuits dipped in coffee decoction and top it  with another layer of cream.
Continue layering biscuits and cream alternatively until all the cream is over and the cream layer is the top most layer. (I got 3 layers)
Decorate it with chopped nuts or silver ball or sprinkles, cover it that extra cling film, press it gently and keep it in the refrigerator to set. 
When ready, lift the pudding out of the pan, unfold it and slice it into small pieces and serve immediately.</t>
  </si>
  <si>
    <t>கோகோ பவுடரை சலித்து ஒதுக்கி வைக்கவும்.
7 அங்குல சதுர கேக் டின்னில், ஒரு பக்கத்தில் சிறிது கூடுதலாக மடித்து வைக்கவும். மாற்றாக, நீங்கள் டின்னில் இருந்து நேரடியாக பரிமாற திட்டமிட்டால், கிளிங் ஃபிலிம் இல்லாமல் ஒரு சதுர பான் அல்லது கண்ணாடி டிஷ்ஷில் முழுவதையும் அடுக்கி வைக்கலாம். ஆனால் கிளிங் ஃபிலிம் லைனிங் மூலம், முழு பிஸ்கட் கேக்கையும் பாத்திரத்தில் இருந்து எடுத்து விருப்பப்படி வெட்டுவது எளிது.
ஒரு கிண்ணத்தில், வெண்ணெய் மற்றும் சர்க்கரையை லேசாக மற்றும் பஞ்சுபோன்ற வரை அடிக்கவும். நீங்கள் ஒரு மர ஸ்பேட்டூலா அல்லது எலக்ட்ரிக் ஹேண்ட் மிக்சரைப் பயன்படுத்தலாம்.
கோகோ பவுடரைச் சேர்த்து நன்கு கலக்கும் வரை தொடர்ந்து அடிக்கவும்.
வெண்ணிலா எசென்ஸைச் சேர்த்து நன்கு கலக்கவும். சிறிது சிறிதாக பால் சேர்த்து நன்கு கலக்கவும். கலவையின் நிலைத்தன்மை கடினமாகவோ அல்லது அதிக நீர்த்தன்மை கொண்டதாகவோ இருக்கக்கூடாது. இது எளிதில் பரவக்கூடியதாக இருக்க வேண்டும், எனவே அதற்கேற்ப பாலை சரிசெய்யவும்.
இப்போது பிஸ்கட்டை ஒவ்வொன்றாக காபி டிகாஷனில் நனைத்து, கீழே உள்ள படத்தில் காட்டப்பட்டுள்ளபடி பாத்திரத்தில் வைக்கவும். பிஸ்கட்கள் ஒன்றுடன் ஒன்று இணைந்தாலும் பரவாயில்லை.
ஒரு ஸ்பேட்டூலாவைப் பயன்படுத்தி, வெண்ணெய் + சர்க்கரை + கோகோ பவுடர் கலவையை பிஸ்கட்களின் மீது சமமாக அனைத்து இடைவெளிகளையும் மூலைகளையும் நிரப்பவும் (கீழே உள்ள படத்தைப் பார்க்கவும்). காபி டிகாஷனில் நனைத்த பிஸ்கட்களின் மற்றொரு அடுக்கை மீண்டும் செய்யவும், அதன் மேல் மற்றொரு அடுக்கை கிரீம் தடவவும்.
அனைத்து கிரீம் முடிந்து கிரீம் லேயர் மேல் அடுக்காக இருக்கும் வரை பிஸ்கட் மற்றும் க்ரீமை மாறி மாறி அடுக்கி வைக்கவும். (எனக்கு 3 அடுக்குகள் கிடைத்தன)
நறுக்கப்பட்ட நட்ஸ் அல்லது சில்வர் பால் அல்லது ஸ்பிரிங்க்ளால் அதை அலங்கரித்து, அந்த கூடுதல் கிளிங் ஃபிலிமை மூடி, மெதுவாக அழுத்தி குளிர்சாதன பெட்டியில் வைக்கவும்.
தயாரானதும், புட்டிங்கை பாத்திரத்திலிருந்து எடுத்து, விரித்து, சிறிய துண்டுகளாக நறுக்கி உடனடியாகப் பரிமாறவும்.</t>
  </si>
  <si>
    <t>https://encrypted-tbn0.gstatic.com/images?q=tbn:ANd9GcRziOtE_Kee4GaS7qCY9zcHZ-AzL72rxQgPwA&amp;s</t>
  </si>
  <si>
    <t>Mango Phirni</t>
  </si>
  <si>
    <t>மாம்பழ பிர்னி</t>
  </si>
  <si>
    <t>Raw Rice – 3 1/2 tbsp ,
Milk – 4 cups,
Condensed milk – 3/4 cup,
Pistachio – 10-12,
Almonds – 10-12,
Cardamom powder – 1/2 tsp,
Saffron – 3-4 strands soaked in 2 tbsp milk,
Mango puree – 1/2 cup,
Ripe mangoes chopped – 1/2 – 3/4 cup.</t>
  </si>
  <si>
    <t>பச்சை அரிசி - 3 1/2 தேக்கரண்டி,
பால் - 4 கப்,
அடர்த்தியான பால் - 3/4 கப்,
பிஸ்தா - 10-12,
பாதாம் - 10-12,
ஏலக்காய் தூள் - 1/2 தேக்கரண்டி,
குங்குமப்பூ - 2 தேக்கரண்டி பாலில் ஊறவைத்த 3-4 இழைகள்,
மாம்பழ கூழ் - 1/2 கப்,
பழுத்த மாம்பழங்களை நறுக்கியது - 1/2 - 3/4 கப்.</t>
  </si>
  <si>
    <t>Soak rice for 30 minutes. Drain the water completely and grind it to a coarse paste. Dilute the paste with 1/4 cup of water and keep it ready.
Blanch nuts – Soak almonds and pistachio in hot water for 15 minutes and peel the skin. Slice it into thin strips.
Boil milk first. Once milk starts boiling, reduce the flame to low and add the ground rice paste.
Cook stirring continuously in low or medium flame until the milk thickens like a porridge. (see picture below)
Add condensed milk, cardamom powder and cook for a few seconds until everything gets blended well. Switch off the flame. Allow it to cool. Refrigerate for an hour. 
Remove from the refrigerator, add chopped nuts, mango puree,saffron, chopped mangoes and put it back into the refrigerator to chill further.
Garnish with few chopped mangoes, nuts and serve chilled. It tastes so heavenly.
Do prepare this exotic mango dessert and send your taste buds on a trip to heaven.</t>
  </si>
  <si>
    <t>அரிசியை 30 நிமிடங்கள் ஊற வைக்கவும். தண்ணீரை முழுவதுமாக வடிகட்டி, கரடுமுரடான பேஸ்டாக அரைக்கவும். பேஸ்ட்டை 1/4 கப் தண்ணீரில் நீர்த்துப்போகச் செய்து தயாராக வைக்கவும்.
பருப்புகளை வெளுக்கவும் - பாதாம் மற்றும் பிஸ்தாவை வெந்நீரில் 15 நிமிடங்கள் ஊறவைத்து தோலை உரித்து எடுக்கவும். மெல்லிய துண்டுகளாக நறுக்கவும்.
முதலில் பாலை கொதிக்க வைக்கவும். பால் கொதிக்க ஆரம்பித்ததும், தீயை குறைத்து, அரைத்த அரிசி பேஸ்ட்டை சேர்க்கவும்.
பால் கஞ்சி போல கெட்டியாகும் வரை குறைந்த அல்லது நடுத்தர தீயில் தொடர்ந்து கிளறிக்கொண்டே இருங்கள். (கீழே உள்ள படத்தைப் பார்க்கவும்)
அடர்த்தியான பால், ஏலக்காய் தூள் சேர்த்து, எல்லாம் நன்றாகக் கலக்கும் வரை சில நொடிகள் சமைக்கவும். சுடரை அணைத்து விடுங்கள். குளிர்சாதன பெட்டியில் வைத்து குளிர்விக்க விடுங்கள். ஒரு மணி நேரம் குளிர்சாதன பெட்டியில் வைக்கவும்.
குளிர்சாதன பெட்டியில் இருந்து எடுத்து, நறுக்கிய கொட்டைகள், மாம்பழ கூழ், குங்குமப்பூ, நறுக்கிய மாம்பழம் ஆகியவற்றைச் சேர்த்து மீண்டும் குளிர்விக்க குளிர்சாதன பெட்டியில் வைக்கவும்.
சிறிது நறுக்கிய மாம்பழங்கள், கொட்டைகளால் அலங்கரித்து குளிர்சாதன பெட்டியில் பரிமாறவும். இது மிகவும் அருமையான சுவை கொண்டது.
இந்த கவர்ச்சியான மாம்பழ இனிப்பைத் தயாரித்து, உங்கள் சுவை மொட்டுகளை சொர்க்கத்திற்கு அனுப்புங்கள்.</t>
  </si>
  <si>
    <t>https://encrypted-tbn0.gstatic.com/images?q=tbn:ANd9GcQsBO06pLI0yZnstuxkhiO7DSwHHPUQ5Pz50g&amp;s</t>
  </si>
  <si>
    <t>Vanilla Ice Cream</t>
  </si>
  <si>
    <t>வெண்ணிலா ஐஸ்க்ரீம்</t>
  </si>
  <si>
    <t>Milk – 2 1/2 cup,
Granulated white Sugar – 3/4 cup,
Vanilla essence – 1 tsp,
Cornflour – 1 tbsp,
Gelatin – 1 tsp,
Dairy cream – 1 cup.</t>
  </si>
  <si>
    <t>பால் - 2 1/2 கப்,
கிரானுலேட்டட் வெள்ளை சர்க்கரை - 3/4 கப்,
வெண்ணிலா எசன்ஸ் - 1 டீஸ்பூன்,
சோள மாவு - 1 டீஸ்பூன்,
ஜெலட்டின் - 1 டீஸ்பூன்,
பால் கிரீம் - 1 கப்.</t>
  </si>
  <si>
    <t xml:space="preserve">Boil milk until it reduces a little.This is done to prevent ice crystal formation.
Add sugar and stir until sugar dissolves.
Reduce the flame and mix cornflour gradually stirring continuously. When the milk starts thickening, switch off the flame. 
When the milk is lukewarm, add gelatin and mix well. Chill it in the freezer for 2 hours.
Then add fresh cream, vanilla essence and beat with a wooden ladle. If you are using electric beater, then beat it in low speed for a few minutes, keeping the vessel over a bowl of ice cubes.
Pour it in an aluminium tray or box with a lid and keep it in the freezer. Once half set, remove from the freezer, beat it for a few minutes and pour it back into the pan and freeze again.
You can beat 2-3 times. This is done to get creamier ice cream.
Your homemade ice cream is ready once it sets. Allow it to thaw for 5 minutes before serving.
You can jazz up ice cream with tutti frutti, toasted nuts,chopped fruits or crumbled cookies and enjoy!!
</t>
  </si>
  <si>
    <t>பால் சிறிது குறையும் வரை கொதிக்க வைக்கவும். இது பனி படிகங்கள் உருவாவதைத் தடுக்க செய்யப்படுகிறது.
சர்க்கரையைச் சேர்த்து சர்க்கரை கரையும் வரை கிளறவும்.
தீயைக் குறைத்து, சோள மாவை படிப்படியாகக் கலந்து தொடர்ந்து கிளறவும். பால் கெட்டியாகத் தொடங்கியதும், தீயை அணைக்கவும்.
பால் வெதுவெதுப்பானதும், ஜெலட்டின் சேர்த்து நன்கு கலக்கவும். ஃப்ரீசரில் 2 மணி நேரம் குளிர வைக்கவும்.
பின்னர் புதிய கிரீம், வெண்ணிலா எசன்ஸ் சேர்த்து ஒரு மரக் கரண்டியால் அடிக்கவும். நீங்கள் எலக்ட்ரிக் பீட்டரைப் பயன்படுத்துகிறீர்கள் என்றால், அதை குறைந்த வேகத்தில் சில நிமிடங்கள் அடித்து, பாத்திரத்தை ஒரு கிண்ண ஐஸ் கட்டிகளின் மேல் வைக்கவும்.
அலுமினிய தட்டில் அல்லது பெட்டியில் மூடியுடன் ஊற்றி ஃப்ரீசரில் வைக்கவும். பாதி செட் ஆனதும், ஃப்ரீசரில் இருந்து எடுத்து, சில நிமிடங்கள் அடித்து, மீண்டும் பாத்திரத்தில் ஊற்றி மீண்டும் உறைய வைக்கவும்.
நீங்கள் 2-3 முறை அடிக்கலாம். இது கிரீமி ஐஸ்கிரீமைப் பெற செய்யப்படுகிறது.
உங்கள் வீட்டில் தயாரிக்கப்பட்ட ஐஸ்கிரீம் செட் ஆனதும் தயாராக உள்ளது. பரிமாறுவதற்கு முன் 5 நிமிடங்கள் கரைய விடவும்.
நீங்கள் டுட்டி ஃப்ருட்டி, டோஸ்ட் செய்யப்பட்ட கொட்டைகள், நறுக்கிய பழங்கள் அல்லது நொறுக்கப்பட்ட குக்கீகளுடன் ஐஸ்கிரீமை ஜாஸ் செய்து மகிழலாம்!!</t>
  </si>
  <si>
    <t>https://www.theroastedroot.net/wp-content/uploads/2023/06/dairy-free-vanilla-ice-cream-8-500x500.jpg</t>
  </si>
  <si>
    <t>Dry Fruit Laddus</t>
  </si>
  <si>
    <t>உலர் பழ லட்டு</t>
  </si>
  <si>
    <t xml:space="preserve">   Dates – 500 grams,
   Raisins – 1/4 cup,
   Honey – 2 tsp,
   Ghee – 2-3 tsp,
   Almonds – 1/4 cup,
   Pistachio - 1/4 cup,
   Walnuts – 1/4 cup,
   Cashew nuts – 1/4 cup,
   Roasted sesame seeds.</t>
  </si>
  <si>
    <t>பேரீச்சம்பழம் - 500 கிராம்,
திராட்சை - 1/4 கப்,
தேன் - 2 டீஸ்பூன்,
நெய் - 2-3 டீஸ்பூன்,
பாதாம் - 1/4 கப்,
பிஸ்தா - 1/4 கப்,
வால்நட்ஸ் - 1/4 கப்,
முந்திரி பருப்பு - 1/4 கப்,
வறுத்த எள்.</t>
  </si>
  <si>
    <t>Roast sesame seed on low flame until it splutters. Switch off and leave it to cool.This is for rolling the laddus.
Roast all the nuts separately on low or medium flame. Allow it to cool. Then powder it slightly coarse.(dry grind it in a mixie for 2-3 seconds and then smash it using a rolling pin. In the way the laddus are more delicious as you get to bite small bits of nuts while eating the laddus).
Heat a tsp of ghee and saute the raisins until they slightly puff up.
Buy dates which are soft and a bit sticky. I used Lion Dessert King. Remove the seeds from the dates and grind it coarsely. Keep it aside.
Heat 2 tsp of ghee and saute the dates on low heat. Add honey, mix well and saute until the dates become soft .
Add the ground nuts, raisins and mix well.
Grease your hands with ghee and make small balls when the mixture is warm.
Roll the balls in roasted sesame seeds or dedicated coconut. (I prefer roasted sesame seeds).</t>
  </si>
  <si>
    <t>எள்ளு விதைகள் குறைந்த தீயில், அது சிதறும் வரை வறுக்கவும். அதை அணைத்து, குளிர்விக்க விடவும். இது லட்டுகளை உருட்டுவதற்கு.
அனைத்து கொட்டைகளையும் தனித்தனியாக குறைந்த அல்லது நடுத்தர தீயில் வறுக்கவும். அதை குளிர்விக்க விடவும். பின்னர் அதை சிறிது கரகரப்பாக பொடி செய்யவும். (மிக்ஸியில் 2-3 வினாடிகள் உலர வைத்து, பின்னர் ஒரு ரோலிங் பின் பயன்படுத்தி நசுக்கவும். லட்டுகளை சாப்பிடும்போது சிறிய கொட்டைகளை கடிக்கும் போது லட்டுக்கள் மிகவும் சுவையாக இருக்கும்).
ஒரு டீஸ்பூன் நெய்யை சூடாக்கி, திராட்சையை சிறிது வீங்கும் வரை வதக்கவும்.
மென்மையாகவும், சற்று ஒட்டும் தன்மையுடனும் இருக்கும் பேரீச்சம்பழங்களை வாங்கவும். நான் லயன் டெசர்ட் கிங்கைப் பயன்படுத்தினேன். பேரீச்சம்பழத்திலிருந்து விதைகளை நீக்கி, கரடுமுரடாக அரைக்கவும். அதை ஒதுக்கி வைக்கவும்.
2 தேக்கரண்டி நெய்யை சூடாக்கி, பேரீச்சம்பழத்தை குறைந்த தீயில் வதக்கவும். தேன் சேர்த்து, நன்கு கலந்து பேரீச்சம்பழம் மென்மையாகும் வரை வதக்கவும்.
நிலக்கடலை, திராட்சை சேர்த்து நன்கு கலக்கவும்.
உங்கள் கைகளில் நெய் தடவி, கலவை சூடாகும்போது சிறிய உருண்டைகளை உருவாக்கவும்.
வறுத்த எள் அல்லது தேங்காயில் உருண்டைகளை உருட்டவும். (எனக்கு வறுத்த எள் பிடிக்கும்).</t>
  </si>
  <si>
    <t>Mango Shrikhand</t>
  </si>
  <si>
    <t>மாம்பழ ஸ்ரீகண்ட்</t>
  </si>
  <si>
    <t>Yogurt – 3 cups,
Powdered sugar – 1/4 -1/2 cup ,
Pistachio - 2 tbsp ,
Almonds – 4,
Cardamom powder – 1/4 tsp ,
Saffron - 10 strands,
Warm milk - 1 tbsp ,
Mango Puree – 1 cup ,
Few mango bits,
Pistachio and almonds.</t>
  </si>
  <si>
    <t>தயிர் - 3 கப்,
பொடித்த சர்க்கரை - 1/4 -1/2 கப்,
பிஸ்தா - 2 டேபிள்ஸ்பூன்,
பாதாம் - 4,
ஏலக்காய் பொடி - 1/4 டேபிள்ஸ்பூன்,
குங்குமப்பூ - 10 இழைகள்,
சூடான பால் - 1 டேபிள்ஸ்பூன்,
மாம்பழ கூழ் - 1 கப்,
சில மாம்பழ துண்டுகள்,
பிஸ்தா மற்றும் பாதாம்.</t>
  </si>
  <si>
    <t xml:space="preserve">Place yogurt in a muslin cloth and hang it overnight or for 6-7 hours to drain out the whey from the yogurt.
Tie it and place it inside the refrigerator otherwise the yogurt will become sour.
Soak pistachio and almonds in hot water for 10 minutes. Remove the skin and chop it into small pieces.
Soak saffron in warm milk.
After 6 hours, I took the yogurt from the refrigerator. See how creamy the hung yogurt is in the picture below. 
Using a wire whisk or a spatula, mix the hung yogurt with powdered sugar nicely for 5-6 minutes or until the sugar dissolves. Shrikhand is all about texture, so mixing well is very important.
Now add the saffron soaked in milk, half of the chopped pistachio and almonds, mango puree, cardamom powder and mix well.
Keep it in the fridge for an hour. Garnish with chopped pistachio, almonds and mango pieces.This dessert should be served chilled.
</t>
  </si>
  <si>
    <t>தயிரை ஒரு மஸ்லின் துணியில் போட்டு இரவு முழுவதும் அல்லது 6-7 மணி நேரம் தொங்கவிடவும், இதனால் தயிரில் உள்ள மோர் வடிந்துவிடும்.
கட்டப்பட்டு குளிர்சாதன பெட்டியில் வைக்கவும், இல்லையெனில் தயிர் புளிப்பாக மாறும்.
பிஸ்தா மற்றும் பாதாம் பருப்பை வெதுவெதுப்பான நீரில் 10 நிமிடங்கள் ஊற வைக்கவும். தோலை நீக்கி சிறிய துண்டுகளாக நறுக்கவும்.
குங்குமப்பூவை வெதுவெதுப்பான பாலில் ஊற வைக்கவும்.
6 மணி நேரம் கழித்து, நான் குளிர்சாதன பெட்டியில் இருந்து தயிரை எடுத்தேன். தொங்கவிடப்பட்ட தயிர் எவ்வளவு கிரீமியாக இருக்கிறது என்பதை கீழே உள்ள படத்தில் பாருங்கள்.
ஒரு கம்பி துடைப்பம் அல்லது ஸ்பேட்டூலாவைப் பயன்படுத்தி, தயிரைத் தூள் சர்க்கரையுடன் 5-6 நிமிடங்கள் அல்லது சர்க்கரை கரையும் வரை நன்றாகக் கலக்கவும். ஸ்ரீகண்ட் என்பது ஒரு மென்மையான கலவை, எனவே நன்றாகக் கலப்பது மிகவும் முக்கியம்.
இப்போது பாலில் ஊறவைத்த குங்குமப்பூ, நறுக்கிய பிஸ்தா மற்றும் பாதாமில் பாதி, மாம்பழ கூழ், ஏலக்காய்த் தூள் சேர்த்து நன்கு கலக்கவும்.
ஒரு மணி நேரம் குளிர்சாதன பெட்டியில் வைக்கவும். நறுக்கிய பிஸ்தா, பாதாம் மற்றும் மாம்பழத் துண்டுகளால் அலங்கரிக்கவும். இந்த இனிப்பை குளிர்ச்சியாக பரிமாற வேண்டும்.</t>
  </si>
  <si>
    <t>https://ministryofcurry.com/wp-content/uploads/2019/04/mango-shrikhand-4.jpg</t>
  </si>
  <si>
    <t>Pasi Paruppu Payasam</t>
  </si>
  <si>
    <t>பாசி பருப்பு பாயசம்</t>
  </si>
  <si>
    <t>Milk – 2 1/4 cup,
Pasi paruppu – 1/3 cup,
Kadalai paruppu – 1 1/2 -2 tbsp,
Jaggery – 3/4 cup,
Grated coconut - 1/4 cup,
Rice flour – 2 tsp,
Cardamom powder – 1/4 tsp,
Cashew nuts – 6.</t>
  </si>
  <si>
    <t>பால் - 2 1/4 கப்,
பாசி பருப்பு - 1/3 கப்,
கடலை பருப்பு - 1 1/2 -2 டேபிள்ஸ்பூன்,
வெல்லம் - 3/4 கப்,
தேங்காய் துருவல் - 1/4 கப்,
அரிசி மாவு - 2 டேபிள்ஸ்பூன்,
ஏலக்காய் பொடி - 1/4 டேபிள்ஸ்பூன்,
முந்திரி பருப்பு - 6.</t>
  </si>
  <si>
    <t>Dissolve jaggery in very less water and filter it to remove any impurities.
Heat a tsp of ghee and fry cashew nuts.
In the same pan roast pasi paruppu and kadalai paruppu (if using) separately until you get a nice aroma of roasted dal. Immediately add water to the dal. Wash and drain that water.
Grind grated coconut and rice flour just for a second. (Do not make it a paste)
Pressure cook dal with enough water, keeping the coconut + rice flour mixture in a cup for 3-4 whistles.
Once the pressure subsides, open the cooker and mash the dal nicely with a potato masher.
Now the mashed dal, coconut and the fried cashew nuts are ready.
Now add the mashed up dal, coconut + rice flour mixture, cardamom powder to the jaggery and mix it well.
Keep it in low flame and let it cook until everything gets blended well.
In a heavy bottomed vessel or kadai, boil milk in medium flame until it reduces a little. Keep stirring now and then to prevent the milk from getting burnt.
Both jaggery dal mixture and the milk is ready. Now is the most important step. When preparing any jaggery based payasam, keep in mind both the jaggery and the milk should not be hot as there are chances of the milk curdling. Either one should be at room temperature. 
Either you add milk (at room temperature) to hot jaggery syrup or hot milk to jaggery syrup(at room temperature). In this way, there are hardly any chances of the milk getting curdled. 
Now after adding the milk, add the fried cashew nuts, simmer for 2-3 minutes and switch off the flame.
Delicious, healthy (no sugar, no coconut milk) and filling payasam is ready to be served.</t>
  </si>
  <si>
    <t>வெல்லத்தை மிகக் குறைந்த தண்ணீரில் கரைத்து, அசுத்தங்களை நீக்க வடிகட்டி வைக்கவும்.
ஒரு டேபிள்ஸ்பூன் நெய்யை சூடாக்கி, முந்திரி பருப்பை வறுக்கவும்.
பசி பருப்பு மற்றும் கடலை பருப்பு (பயன்படுத்தினால்) ஆகியவற்றை வறுத்த பருப்பின் நல்ல வாசனை வரும் வரை தனித்தனியாக வறுக்கவும். உடனடியாக பருப்பில் தண்ணீர் சேர்க்கவும். கழுவி அந்த தண்ணீரை வடிகட்டவும்.
துருவிய தேங்காய் மற்றும் அரிசி மாவை ஒரு நொடி மட்டும் அரைக்கவும். (பேஸ்ட் போல செய்ய வேண்டாம்)
பருப்பை போதுமான அளவு தண்ணீரில் வேகவைத்து, தேங்காய் + அரிசி மாவு கலவையை ஒரு கோப்பையில் 3-4 விசில் வரை வைக்கவும்.
அழுத்தம் குறைந்தவுடன், குக்கரைத் திறந்து உருளைக்கிழங்கு மசிப்பான் மூலம் பருப்பை நன்றாக மசிக்கவும்.
இப்போது மசித்த பருப்பு, தேங்காய் மற்றும் வறுத்த முந்திரி பருப்பு தயார்.
இப்போது மசித்த பருப்பு, தேங்காய் + அரிசி மாவு கலவை, ஏலக்காய் தூள் ஆகியவற்றை வெல்லத்துடன் சேர்த்து நன்கு கலக்கவும்.
குறைந்த தீயில் வைத்து, அனைத்தும் நன்றாகக் கலக்கும் வரை சமைக்கவும்.
ஒரு கனமான பாத்திரத்தில் அல்லது கடாயில், பால் சிறிது குறையும் வரை மிதமான தீயில் கொதிக்க வைக்கவும். பால் எரியாமல் இருக்க அவ்வப்போது கிளறிக்கொண்டே இருங்கள்.
வெல்லம் பருப்பு கலவை மற்றும் பால் இரண்டும் தயாராக உள்ளது. இப்போதுதான் மிக முக்கியமான படி. வெல்லம் சார்ந்த பாயாசம் தயாரிக்கும் போது, ​​வெல்லம் மற்றும் பால் இரண்டும் சூடாக இருக்கக்கூடாது என்பதை நினைவில் கொள்ளுங்கள், ஏனெனில் பால் கெட்டியாகும் வாய்ப்புகள் உள்ளன. இரண்டுமே அறை வெப்பநிலையில் இருக்க வேண்டும்.
சூடான வெல்லம் சிரப்பில் பால் (அறை வெப்பநிலையில்) சேர்க்கவும் அல்லது வெல்லம் சிரப்பில் (அறை வெப்பநிலையில்) சூடான பாலை சேர்க்கவும். இந்த வழியில், பால் தயிர் ஆக வாய்ப்பில்லை.
இப்போது பால் சேர்த்த பிறகு, வறுத்த முந்திரி பருப்புகளைச் சேர்த்து, 2-3 நிமிடங்கள் கொதிக்க வைத்து, அடுப்பை அணைக்கவும்.
சுவையான, ஆரோக்கியமான (சர்க்கரை இல்லை, தேங்காய் பால் இல்லை) மற்றும் நிரப்பப்பட்ட பாயசம் பரிமாற தயாராக உள்ளது.</t>
  </si>
  <si>
    <t>https://encrypted-tbn0.gstatic.com/images?q=tbn:ANd9GcR61ex_pc_sLMhC9COZ76IlIG53YOSMz41CZA&amp;s</t>
  </si>
  <si>
    <t>Unniappam</t>
  </si>
  <si>
    <t>உன்னியப்பம்</t>
  </si>
  <si>
    <t>Raw Rice – 1 cup,
Jaggery - 1 cup + 2 tbsp,
Banana – 1,
Cardamom powder – a generous pinch,
Coconut bits - 3 tbsp,
Roasted Sesame seeds – 1/2 tsp,
Cooking soda – a pinch,
Oil and ghee for cooking appams.</t>
  </si>
  <si>
    <t>பச்சை அரிசி - 1 கப்,
வெல்லம் - 1 கப் + 2 டேபிள்ஸ்பூன்,
வாழைப்பழம் - 1,
ஏலக்காய் தூள் - ஒரு சிட்டிகை,
தேங்காய் துண்டுகள் - 3 டேபிள்ஸ்பூன்,
வறுத்த எள் - 1/2 டேபிள்ஸ்பூன்,
சமையல் சோடா - ஒரு சிட்டிகை,
ஆப்பம் சமைக்க எண்ணெய் மற்றும் நெய்.</t>
  </si>
  <si>
    <t>Wash and soak rice overnight or for 5-6 hours.
Drain the water and grind it to a smooth paste. Leave it for another 4-5 hours.(what I did was, I soaked rice overnight, ground it in the morning and prepared unniappams in the evening.)
Fry coconut bits in a little ghee and keep it aside.
Add grated jaggery, chopped banana to the ground rice and grind it again.(if jaggery has impurities,dissolve it in little water, strain it and then grind it with rice)
Add cardamom powder, sesame seeds, fried coconut bits, cooking soda and mix well. The consistency of the batter should not be too thin nor too thick, so adjust accordingly.
Heat a paniyaram pan, add a tsp of oil + 1/2 tsp of ghee in each hole of the appa chatti or paniyaram pan.
When the oil + ghee becomes hot, reduce the flame to low and fill the holes with the batter. (fill only up to 3/4 th of the hole). Now cook covered in medium flame.
When the bottom starts  browning, flip it over to the other side with a spoon or a skewer.
Let the other side get cooked uncovered until golden brown. Once cooked, remove and drain on a kitchen towel.
Repeat the same process for the rest of the batter.</t>
  </si>
  <si>
    <t>அரிசியைக் கழுவி இரவு முழுவதும் அல்லது 5-6 மணி நேரம் ஊற வைக்கவும்.
தண்ணீரை வடிகட்டி, மென்மையான பேஸ்டாக அரைக்கவும். மேலும் 4-5 மணி நேரம் அப்படியே வைக்கவும். (நான் செய்தது என்னவென்றால், அரிசியை இரவு முழுவதும் ஊறவைத்து, காலையில் அரைத்து, மாலையில் உன்னியப்பம் தயார் செய்தேன்.)
தேங்காய் துண்டுகளை சிறிது நெய்யில் வறுத்து தனியாக வைக்கவும்.
அரைத்த அரிசியுடன் துருவிய வெல்லம், நறுக்கிய வாழைப்பழம் ஆகியவற்றைச் சேர்த்து மீண்டும் அரைக்கவும். (வெல்லத்தில் மாசு இருந்தால், சிறிது தண்ணீரில் கரைத்து, வடிகட்டி, பின்னர் அரிசியுடன் அரைக்கவும்)
ஏலக்காய்த் தூள், எள், வறுத்த தேங்காய்த் துண்டுகள், சமையல் சோடா ஆகியவற்றைச் சேர்த்து நன்கு கலக்கவும். மாவின் நிலைத்தன்மை மிகவும் மெல்லியதாகவோ அல்லது மிகவும் கெட்டியாகவோ இருக்கக்கூடாது, எனவே அதற்கேற்ப சரிசெய்யவும்.
பனியாரம் பாத்திரத்தை சூடாக்கி, அப்ப சட்டி அல்லது பணியாரம் பாத்திரத்தின் ஒவ்வொரு துளையிலும் ஒரு தேக்கரண்டி எண்ணெய் + 1/2 தேக்கரண்டி நெய் சேர்க்கவும்.
எண்ணெய் + நெய் சூடாகும்போது, ​​தீயைக் குறைத்து, துளைகளை மாவால் நிரப்பவும். (துளையின் 3/4 பங்கு வரை மட்டுமே நிரப்பவும்). இப்போது மிதமான தீயில் மூடி வைக்கவும்.
அடிப்பகுதி பழுப்பு நிறமாக மாறத் தொடங்கியதும், ஒரு கரண்டியால் அல்லது ஒரு ஸ்கூவரைப் பயன்படுத்தி மறுபுறம் திருப்பிப் போடவும்.
மறுபக்கம் பொன்னிறமாகும் வரை மூடாமல் சமைக்கட்டும். சமைத்தவுடன், அதை அகற்றி ஒரு சமையலறை துண்டில் வடிகட்டவும்.
மீதமுள்ள மாவிற்கும் இதே செயல்முறையை மீண்டும் செய்யவும்.</t>
  </si>
  <si>
    <t>https://www.vegrecipesofindia.com/wp-content/uploads/2017/10/unniyappam-recipe-1-500x500.jpg</t>
  </si>
  <si>
    <t>Idli batter – 11/2 cup,
Jaggery – 5 tbsp,
Grated coconut – 3 tbsp,
Cardamom powder – a pinch,
Salt – a pinch,
Ghee or a mix of ghee and oil for cooking paniyarams.</t>
  </si>
  <si>
    <t>இட்லி மாவு - 1 1/2 கப்,
வெல்லம் - 5 டேபிள்ஸ்பூன்,
தேங்காய் துருவியது - 3 டேபிள்ஸ்பூன்,
ஏலக்காய் பொடி - ஒரு சிட்டிகை,
உப்பு - ஒரு சிட்டிகை,
பணியாரம் சமைக்க நெய் அல்லது நெய் மற்றும் எண்ணெய் கலக்கவும்.</t>
  </si>
  <si>
    <t>இட்லி மாவு, வெல்லம், துருவிய தேங்காய், ஒரு சிட்டிகை உப்பு மற்றும் ஏலக்காய் பொடி ஆகியவற்றை ஒன்றாக கலக்கவும். வெல்லம் கரைந்ததும், மாவு சற்று மெல்லியதாகிவிடும் என்பதால், மாவு கெட்டியாக இருக்க வேண்டும்.
பணியாரம் பாத்திரத்தை சூடாக்கி, பின்னர் வாணலியின் ஒவ்வொரு துளையிலும் (குழி) 1/2 தேக்கரண்டி எண்ணெயைச் சேர்க்கவும்.
பின்னர் தயாரிக்கப்பட்ட மாவால் துளைகளை நிரப்பவும். (3/4 வரை மட்டுமே நிரப்பவும்)
மூடி, நடுத்தர தீயில் சமைக்கவும். அடிப்பகுதி பழுப்பு நிறமாக மாறத் தொடங்கியதும், ஒரு ஸ்கூவர் அல்லது கரண்டியால், அதை மெதுவாக மறுபுறம் புரட்டவும்.
மறுபக்கம் பொன்னிறமாகும் வரை மூடி இல்லாமல் சமைக்கவும். அது மிக விரைவாக பழுப்பு நிறமாக மாறும் என்பதால் அதைக் கவனியுங்கள்.
வாணலியில் இருந்து இறக்கி சூடாகப் பரிமாறவும். இதற்கு எந்தப் பக்க உணவும் தேவையில்லை.</t>
  </si>
  <si>
    <t>https://encrypted-tbn0.gstatic.com/images?q=tbn:ANd9GcRgMBWlJt_XVaiaCO3cPjqc15ZwK0yh0uOE-g&amp;s</t>
  </si>
  <si>
    <t>Paneer Kheer</t>
  </si>
  <si>
    <t>பனீர் கீர்</t>
  </si>
  <si>
    <t xml:space="preserve">   Milk - 2 1/4 cup,
   Condensed milk – 1/4 cup,
   Paneer grated – 3/4 cup,
   Saffron – 4-5 strands ,
   Cardamom powder - 1/4 tsp,
   Almonds – 5-6,
   Pistachios - 6-7,
   Cashew nuts – 4-5.</t>
  </si>
  <si>
    <t>பால் - 2 1/4 கப்,
அமுக்கப்பட்ட பால் - 1/4 கப்,
பனீர் துருவியது - 3/4 கப்,
குங்குமப்பூ - 4-5 இழைகள்,
ஏலக்காய் தூள் - 1/4 தேக்கரண்டி,
பாதாம் - 5-6,
பிஸ்தா - 6-7,
முந்திரி பருப்பு - 4-5.</t>
  </si>
  <si>
    <t>Boil milk in a pan until it reduces a little and becomes slightly thick.
Add condensed milk, saffron, cardamom powder and grated paneer and cook for another 2-3 minutes.
Switch it off and garnish with nuts. Allow it to cool.
Refrigerator and serve chilled. Get ready to “wow” your guests with this exotic dessert that hardly took more than 15 mins to prepare.</t>
  </si>
  <si>
    <t>ஒரு பாத்திரத்தில் பால் சிறிது சிறிதாக சுருண்டு சிறிது கெட்டியாகும் வரை கொதிக்க வைக்கவும்.
அமுக்கப்பட்ட பால், குங்குமப்பூ, ஏலக்காய் தூள் மற்றும் துருவிய பனீர் சேர்த்து மேலும் 2-3 நிமிடங்கள் சமைக்கவும்.
அதை அணைத்துவிட்டு கொட்டைகளால் அலங்கரிக்கவும். குளிர்விக்க அனுமதிக்கவும்.
குளிர்சாதன பெட்டியில் குளிர்ச்சியாக பரிமாறவும். 15 நிமிடங்களுக்கு மேல் எடுக்காத இந்த கவர்ச்சியான இனிப்புடன் உங்கள் விருந்தினர்களை "அற்புதப்படுத்த" தயாராகுங்கள்.</t>
  </si>
  <si>
    <t>https://www.whiskaffair.com/wp-content/uploads/2018/08/Paneer-Kheer-2-3-480x270.jpg</t>
  </si>
  <si>
    <t>Pal Payasam</t>
  </si>
  <si>
    <t>Milk – 4 cups ,
Basmati rice – 2 tbsp,
Ghee – 1 tsp ,
Sugar – 1/4 cup,
Saffron – few strands,
Cardamom powder.</t>
  </si>
  <si>
    <t>பால் - 4 கப்,
பாஸ்மதி அரிசி - 2 டேபிள்ஸ்பூன்,
நெய் - 1 டீஸ்பூன்,
சர்க்கரை - 1/4 கப்,
குங்குமப்பூ - சிறிது,
ஏலக்காய் தூள்.</t>
  </si>
  <si>
    <t>Take a pressure cooker, grease the bottom with 1/2 tsp ghee. This is done to prevent the milk from getting burnt. Add 4 cups of boiled milk and ground rice to the boiled milk.
Put a small plate or a spoon or a small vessel to prevent the milk from boiling over and spilling. I dropped a small plate inside the milk.
Close the pressure cooker and keep the flame in low. Once steam starts coming, put the weight and keep it in very low flame. After the 1st whistle switch off. Open and see after the pressure subsides. If the milk has not thickened, boil for some more time in low flame.
After 30 minutes (total time), my payasam looked thick and creamy as shown in the picture below.
Now add sugar, mix well and boil for a few seconds until sugar dissolves. I added 1/4 cup of sugar as I do not like very sweet payasam. You can add sugar according to your taste.
Then add saffron, cardamom powder and mix well. Serve hot or cold. It’s delicious either cold or hot.</t>
  </si>
  <si>
    <t>ஒரு பிரஷர் குக்கரை எடுத்து, அடிப்பகுதியில் 1/2 டீஸ்பூன் நெய் தடவவும். பால் எரிவதைத் தடுக்க இது செய்யப்படுகிறது. வேகவைத்த பாலில் 4 கப் வேகவைத்த பால் மற்றும் அரைத்த அரிசியைச் சேர்க்கவும்.
பால் கொதிக்காமல் இருக்க ஒரு சிறிய தட்டு அல்லது ஒரு ஸ்பூன் அல்லது ஒரு சிறிய பாத்திரத்தை வைக்கவும். நான் ஒரு சிறிய தட்டை பாலுக்குள் வைத்தேன்.
பிரஷர் குக்கரை மூடி, தீயை குறைவாக வைக்கவும். நீராவி வர ஆரம்பித்ததும், வெயிட்டை வைத்து மிகக் குறைந்த தீயில் வைக்கவும். முதல் விசில் வந்த பிறகு, அதை அணைக்கவும். திறந்து அழுத்தம் குறைந்த பிறகு பாருங்கள். பால் கெட்டியாகவில்லை என்றால், குறைந்த தீயில் சிறிது நேரம் கொதிக்க வைக்கவும்.
30 நிமிடங்களுக்குப் பிறகு (மொத்த நேரம்), கீழே உள்ள படத்தில் காட்டப்பட்டுள்ளபடி எனது பாயசம் தடிமனாகவும் கிரீமியாகவும் இருந்தது.
இப்போது சர்க்கரையைச் சேர்த்து, நன்கு கலந்து, சர்க்கரை கரையும் வரை சில நொடிகள் கொதிக்க விடவும். எனக்கு மிகவும் இனிமையான பாயசம் பிடிக்காததால், 1/4 கப் சர்க்கரை சேர்த்தேன். உங்கள் சுவைக்கேற்ப சர்க்கரை சேர்க்கலாம்.
பின்னர் குங்குமப்பூ, ஏலக்காய் தூள் சேர்த்து நன்கு கலக்கவும். சூடாகவோ அல்லது குளிராகவோ பரிமாறவும். இது குளிர்ந்தாலும் அல்லது சூடாக இருந்தாலும் சுவையாக இருக்கும்.</t>
  </si>
  <si>
    <t>https://www.archanaskitchen.com//images/archanaskitchen/Indian_Sweets_Mithai/Paal_Payasam_Recipe_Rice_Kheer-1.jpg</t>
  </si>
  <si>
    <t>Jangiri</t>
  </si>
  <si>
    <t>ஜாங்கிரி</t>
  </si>
  <si>
    <t>Whole Urad dal – 150 grams,
Rice flour – 50 grams,
Cornflour - 150 grams,
Red orange color – a drop or a pinch,
Sugar – 3/4 kg,
Milk - 1/2 cup,
Rose essence – 1/4 tsp.</t>
  </si>
  <si>
    <t>முழு உளுத்தம் பருப்பு - 150 கிராம்,
அரிசி மாவு - 50 கிராம்,
சோள மாவு - 150 கிராம்,
சிவப்பு ஆரஞ்சு நிறம் - ஒரு துளி அல்லது ஒரு சிட்டிகை,
சர்க்கரை - 3/4 கிலோ,
பால் - 1/2 கப்,
ரோஸ் எசன்ஸ் - 1/4 டீஸ்பூன்.</t>
  </si>
  <si>
    <t>Soak urad dal for 45 minutes. Then drain the water completely and grind nicely in a wet grinder. Add little water from time to time and grind it to a smooth paste.The batter should be soft and fluffy. (I ground for nearly 1 hour.)   
Now remove the batter from the grinder. Keep it aside. Do not add cornflour or rice flour now.
You have to prepare the sugar syrup first, then only start making jangiris.
Add just enough water to soak the sugar, then add 1/2 cup of milk and bring it to boil. The impurities in sugar will come to the surface. Remove and discard it. I used top class branded sugar, in spite of that, see how much impurities are there.(pictures 2-3 below) .
Now add rose essence and boil sugar syrup till you get one string consistency. This step is very important. To know what is one string consistency refer my boondi laddu recipe or mysore pak recipe.Then switch off the flame. We will prepare the batter and make jangiris now.
Before learning how to prepare jangiris, we will have a look at the traditional jangiri making cloth. It is made of thick cotton cloth with double piece in the center to give it more thickness. Then there is a hole with button hole stitch for piping jangiri. If you do not have this cloth, you can try using piping bags but I found it easier with this cloth as the hole was perfect. You can get it stitched from a tailor if needed.
Mix cornflour with little water and make a paste. Add rice flour, cornflour + water mix and the red orange color to the batter. Beat the batter nicely with your hands. Beating the batter is very important. The batter should be fluffy. Now the jangiri batter is ready.
Heat oil in a large shallow flat bottomed plate as shown in the picture. We call it tambalam. Now dampen the cloth a little so that the batter will not stick to the cloth. Place a ladle of batter in it. Fold it diagonally, gather all the corners, twist the cloth and hold it tightly. Now you are ready to pipe jangiris.
Once the oil is heated, reduce the heat and then start piping out jangiris.(you will find it difficult to pipe if the oil is too hot, that is why I am asking you to reduce the flame) Once you finish, turn the heat to medium flame. Be very careful and do it patiently. First pipe 2 circles, then on the top of it make smaller rounds without stopping as you see in the picture below. Got it. With practice, you will master it.
Now cook the jangiris in medium heat. Cook the other side also by flipping it over gently using a stainless steel rod.
Touch the jangiri with the rod, if it soft, then it has to be cooked for some more time.
Once cooked, remove it from oil and drop it into the prepared sugar syrup. Press it gently with a ladle inside the sugar syrup. Let is soak, meantime we will prepare the second batch.
Now prepare the second batch in the same manner as mentioned above.
Remove the first batch from the sugar syrup and keep it on a plate to dry. Then drop the second batch of jangiris into the sugar syrup. In this way repeat the process for the rest of the batter.
Yummy and delicious jangiris are ready. I throughly enjoyed making jangiris and writing this post. Hope you also enjoyed it.</t>
  </si>
  <si>
    <t>உளுத்தம் பருப்பை 45 நிமிடங்கள் ஊற வைக்கவும். பின்னர் தண்ணீரை முழுவதுமாக வடிகட்டி, ஈரமான கிரைண்டரில் நன்றாக அரைக்கவும். அவ்வப்போது சிறிது தண்ணீர் சேர்த்து மென்மையான பேஸ்டாக அரைக்கவும். மாவு மென்மையாகவும் பஞ்சுபோன்றதாகவும் இருக்க வேண்டும். (நான் கிட்டத்தட்ட 1 மணி நேரம் அரைத்தேன்.)
இப்போது மாவை கிரைண்டரிலிருந்து அகற்றவும். அதை ஒதுக்கி வைக்கவும். இப்போது சோள மாவு அல்லது அரிசி மாவு சேர்க்க வேண்டாம்.
நீங்கள் முதலில் சர்க்கரை பாகை தயார் செய்ய வேண்டும், பின்னர் ஜாங்கிரிகளை தயாரிக்கத் தொடங்குங்கள்.
சர்க்கரையை ஊற வைக்கும் அளவுக்கு தண்ணீர் சேர்த்து, பின்னர் 1/2 கப் பால் சேர்த்து கொதிக்க வைக்கவும். சர்க்கரையில் உள்ள அசுத்தங்கள் மேல்பகுதிக்கு வரும். அதை அகற்றி அப்புறப்படுத்துங்கள். நான் உயர்ரக பிராண்டட் சர்க்கரையைப் பயன்படுத்தினேன், இருப்பினும், எவ்வளவு அசுத்தங்கள் உள்ளன என்பதைப் பாருங்கள். (கீழே உள்ள படங்கள் 2-3).
இப்போது ரோஸ் எசென்ஸைச் சேர்த்து, ஒரு சரம் நிலைத்தன்மை கிடைக்கும் வரை சர்க்கரை பாகை வேகவைக்கவும். இந்தப் படி மிகவும் முக்கியமானது. ஒரு சரம் நிலைத்தன்மை என்ன என்பதை அறிய எனது பூண்டி லட்டு செய்முறை அல்லது மைசூர் பாக் செய்முறையைப் பாருங்கள். பின்னர் சுடரை அணைக்கவும். மாவைத் தயாரித்து ஜாங்கிரிகளை இப்போது செய்வோம்.
ஜாங்கிரிகளை எப்படித் தயாரிப்பது என்பதைக் கற்றுக்கொள்வதற்கு முன், பாரம்பரிய ஜாங்கிரி தயாரிக்கும் துணியைப் பார்ப்போம். இது தடிமனான பருத்தி துணியால் ஆனது, மையத்தில் இரட்டை துண்டுடன் அதிக தடிமன் கொடுக்கப்படுகிறது. பின்னர் ஜாங்கிரி பைப்பிங் செய்வதற்கு பொத்தான் துளை தையல் கொண்ட ஒரு துளை உள்ளது. உங்களிடம் இந்த துணி இல்லையென்றால், நீங்கள் பைப்பிங் பைகளைப் பயன்படுத்தி முயற்சி செய்யலாம், ஆனால் துளை சரியாக இருந்ததால் இந்த துணியுடன் எளிதாக இருந்தது. தேவைப்பட்டால் நீங்கள் அதை ஒரு தையல்காரரிடமிருந்து தைக்கலாம்.
சோள மாவை சிறிது தண்ணீரில் கலந்து பேஸ்ட் செய்யவும். அரிசி மாவு, சோள மாவு + தண்ணீர் கலவை மற்றும் சிவப்பு ஆரஞ்சு நிறத்தை மாவில் சேர்க்கவும். மாவை உங்கள் கைகளால் நன்றாக அடிக்கவும். மாவை அடிப்பது மிகவும் முக்கியம். மாவு பஞ்சுபோன்றதாக இருக்க வேண்டும். இப்போது ஜாங்கிரி மாவு தயாராக உள்ளது.
படத்தில் காட்டப்பட்டுள்ளபடி, ஒரு பெரிய, ஆழமற்ற, தட்டையான அடிப்பகுதி கொண்ட தட்டில் எண்ணெயை சூடாக்கவும். இதை நாங்கள் தாம்பலம் என்று அழைக்கிறோம். இப்போது மாவு துணியில் ஒட்டாமல் இருக்க துணியை சிறிது நனைக்கவும். அதில் ஒரு கரண்டி மாவை வைக்கவும். அதை குறுக்காக மடித்து, அனைத்து மூலைகளையும் சேகரித்து, துணியை முறுக்கி இறுக்கமாகப் பிடிக்கவும். இப்போது நீங்கள் ஜாங்கிரிகளை பைப் செய்யத் தயாராக உள்ளீர்கள்.
எண்ணெய் சூடாக்கப்பட்டவுடன், தீயைக் குறைத்து, பின்னர் ஜாங்கிரிகளை பைப் செய்யத் தொடங்குங்கள். (எண்ணெய் மிகவும் சூடாக இருந்தால் பைப் செய்வது உங்களுக்கு கடினமாக இருக்கும், அதனால்தான் நான் சுடரைக் குறைக்கச் சொல்கிறேன்) நீங்கள் முடித்ததும், தீயை நடுத்தர தீயில் திருப்பவும். மிகவும் கவனமாக இருங்கள், பொறுமையாகச் செய்யுங்கள். முதலில் 2 வட்டங்களை குழாய்களாக வட்டமிடுங்கள், பின்னர் அதன் மேல் கீழே உள்ள படத்தில் நீங்கள் பார்க்கிறபடி நிறுத்தாமல் சிறிய வட்டங்களைச் செய்யுங்கள். புரிகிறது. பயிற்சியுடன், நீங்கள் அதில் தேர்ச்சி பெறுவீர்கள்.
இப்போது ஜாங்கிரிகளை நடுத்தர வெப்பத்தில் சமைக்கவும். ஸ்டெயின்லெஸ் ஸ்டீல் கம்பியைப் பயன்படுத்தி மெதுவாகப் புரட்டி மறுபக்கத்தையும் சமைக்கவும்.
ஜாங்கிரியை கம்பியால் தொடவும், அது மென்மையாக இருந்தால், அது இன்னும் சிறிது நேரம் வேக வேண்டும்.
வெந்தவுடன், எண்ணெயிலிருந்து அகற்றி, தயாரிக்கப்பட்ட சர்க்கரை பாகில் போடவும். சர்க்கரை பாகின் உள்ளே ஒரு கரண்டியால் மெதுவாக அழுத்தவும். ஊற விடவும், இதற்கிடையில் இரண்டாவது பாகத்தை தயார் செய்வோம்.
இப்போது மேலே குறிப்பிட்ட அதே முறையில் இரண்டாவது பாகத்தை தயார் செய்யவும்.
முதல் பாகத்தை சர்க்கரை பாகிலிருந்து எடுத்து உலர ஒரு தட்டில் வைக்கவும். பின்னர் இரண்டாவது பாகத்தை சர்க்கரை பாகில் போடவும். இந்த வழியில் மீதமுள்ள மாவுக்கு செயல்முறையை மீண்டும் செய்யவும்.
சுவையான மற்றும் சுவையான ஜாங்கிரிகள் தயாராக உள்ளன. ஜாங்கிரிகளை செய்து இந்த பதிவை எழுதுவதை நான் மிகவும் ரசித்தேன். நீங்களும் அதை ரசித்தீர்கள் என்று நம்புகிறேன்.</t>
  </si>
  <si>
    <t>https://vaya.in/recipes/wp-content/uploads/2018/03/Jangiri.jpg</t>
  </si>
  <si>
    <t xml:space="preserve">1/2 cup -  Almonds,
1/2 cup -  Sugar,
1/2 cup -  Milk,
1/4 cup -  Ghee ,
4 - strands Saffron,
1 -  pinch Kesari color,
2 tsp - Ghee.
</t>
  </si>
  <si>
    <t>1/2 கப் - பாதாம்,
1/2 கப் - சர்க்கரை,
1/2 கப் - பால்,
1/4 கப் - நெய்,
4 - குங்குமப்பூ,
1 - சிட்டிகை கேசரி கலர்,
2 தேக்கரண்டி - நெய்.</t>
  </si>
  <si>
    <t>Melt ghee in a kadai and keep the ghee aside. In the same kadai (as it is coated with ghee, it will prevent the halwa from sticking to the bottom of the pan) bring 1/4 cup of water to boil, switch off the flame, add sugar and let the sugar dissolve completely.
Now add the badam paste, remaining milk, kesari color, saffron and cook on medium flame stirring continuously.
Once it starts thickening and the sides start getting a little dry and flaky, add all the ghee except 2 tsp and cook stirring continuously on low flame.
The ghee will be completely absorbed and the halwa will start leaving the sides of the pan.
Now switch off the flame, add the remaining 2 tsp of ghee and stir for about 3-4 minutes.(this makes the halwa softer when it sets)
Soft and silky badam halwa is ready to be served.</t>
  </si>
  <si>
    <t>ஒரு கடாயில் நெய்யை உருக்கி, நெய்யை தனியாக வைக்கவும். அதே கடாயில் (நெய் தடவப்பட்டிருப்பதால், ஹல்வா பாத்திரத்தின் அடிப்பகுதியில் ஒட்டாமல் தடுக்கும்) 1/4 கப் தண்ணீரை கொதிக்க வைத்து, தீயை அணைத்து, சர்க்கரை சேர்த்து, சர்க்கரை முழுவதுமாக கரைய விடவும்.
இப்போது பாதாம் விழுது, மீதமுள்ள பால், கேசரி கலர், குங்குமப்பூ ஆகியவற்றைச் சேர்த்து, மிதமான தீயில் தொடர்ந்து கிளறவும்.
அது கெட்டியாக ஆரம்பித்து, பக்கவாட்டுகள் சிறிது உலர்ந்து, செதில்களாக மாறத் தொடங்கியதும், 2 தேக்கரண்டி நெய்யைத் தவிர மற்ற அனைத்தையும் சேர்த்து, குறைந்த தீயில் தொடர்ந்து கிளறவும்.
நெய் முழுமையாக உறிஞ்சப்பட்டு, ஹல்வா பாத்திரத்தின் பக்கவாட்டில் இருந்து வெளியேறத் தொடங்கும்.
இப்போது தீயை அணைத்துவிட்டு, மீதமுள்ள 2 தேக்கரண்டி நெய்யைச் சேர்த்து சுமார் 3-4 நிமிடங்கள் கிளறவும். (இது ஹல்வா வதங்கியதும் மென்மையாக மாறும்)
மென்மையான மற்றும் மென்மையான பாதாம் ஹல்வா பரிமாற தயாராக உள்ளது.</t>
  </si>
  <si>
    <t>https://www.indianhealthyrecipes.com/wp-content/uploads/2020/02/badam-halwa-recipe-500x500.jpg</t>
  </si>
  <si>
    <t>https://youtu.be/z-XkC98MN2Y</t>
  </si>
  <si>
    <t>Aval Payasam</t>
  </si>
  <si>
    <t>அவல் பாயசம்</t>
  </si>
  <si>
    <t>Aval  – 1/4 cup,
Jaggery - 1/4 cup,
Milk – 2 1/2 cups,
Ghee – 2 1/2 tsp,
Cashew nuts - 5-6,
Cardamom powder - 1/4 tsp,
Saffron - 2-3 strands,
Raisins – 8-10.</t>
  </si>
  <si>
    <t>அவல் - 1/4 கப்,
வெல்லம் - 1/4 கப்,
பால் - 2 1/2 கப்,
நெய் - 2 1/2 தேக்கரண்டி,
முந்திரி பருப்பு - 5-6,
ஏலக்காய் தூள் - 1/4 தேக்கரண்டி,
குங்குமப்பூ - 2-3 இழைகள்,
திராட்சை - 8-10.</t>
  </si>
  <si>
    <t>Heat ghee in a pan, add aval and fry till it changes color.
Add boiled milk to the aval, simmer and cook till milk reduces a little. Simultaneously aval will also become soft.
Then add jaggery, cardamom powder, saffron, mix well and switch off the flame immediately.
Garnish with cashew nuts and raisin and serve hot or cold.</t>
  </si>
  <si>
    <t>ஒரு கடாயில் நெய்யை சூடாக்கி, அவல் சேர்த்து நிறம் மாறும் வரை வதக்கவும்.
அவலுடன் வேகவைத்த பாலை சேர்த்து, கொதிக்க வைத்து, பால் சிறிது சிறிதாக குறையும் வரை சமைக்கவும். அதே நேரத்தில் அவலும் மென்மையாகும்.
பின்னர் வெல்லம், ஏலக்காய் தூள், குங்குமப்பூ சேர்த்து நன்கு கலந்து, உடனடியாக தீயை அணைக்கவும்.
முந்திரி பருப்பு மற்றும் திராட்சையுடன் அலங்கரித்து சூடாகவோ அல்லது குளிராகவோ பரிமாறவும்.</t>
  </si>
  <si>
    <t>https://encrypted-tbn0.gstatic.com/images?q=tbn:ANd9GcQ-Ha-PDGkWBcCH7UZOHrtVjRqZWY57uAq4hw&amp;s</t>
  </si>
  <si>
    <t>Brown Rice Kheer</t>
  </si>
  <si>
    <t>பிரவுன் ரைஸ் கீர்</t>
  </si>
  <si>
    <t>Brown rice - 2 1/2 tbsp,
Jaggery – 4-5 tbsp,
Milk – 2 cups,
Cashew nuts,
 pistachio, 
almonds  ,
A pinch of ground cardamom powder.</t>
  </si>
  <si>
    <t>பழுப்பு அரிசி - 2 1/2 டீஸ்பூன்,
வெல்லம் - 4-5 டீஸ்பூன்,
பால் - 2 கப்,
முந்திரி பருப்பு,
பிஸ்தா,
பாதாம்,
ஒரு சிட்டிகை ஏலக்காய் தூள்.</t>
  </si>
  <si>
    <t>Ground brown rice coarsely like rava and soak in 1/4 cup of water for 1 hour. Cook brown rice till soft.You can pressure cook also.
Dissolve jaggery in a little water and filter it to remove impurities.
Chop the nuts and keep it aside.
Combine milk and rice in a pan and cook on low flame till milk reduces a little, stirring from time to time.
Add jaggery, cardamom powder and mix well. Switch off the flame and garnish with roasted chopped nuts.
It can be served either warm or cold.</t>
  </si>
  <si>
    <t>பழுப்பு அரிசியை ரவை போல கரடுமுரடாக அரைத்து, 1/4 கப் தண்ணீரில் 1 மணி நேரம் ஊற வைக்கவும். பிரவுன் ரைஸை மென்மையாகும் வரை சமைக்கவும். நீங்கள் பிரஷர் குக்கரையும் சமைக்கலாம்.
வெல்லத்தை சிறிது தண்ணீரில் கரைத்து, அசுத்தங்களை நீக்க வடிகட்டி வைக்கவும்.
பருப்புகளை நறுக்கி ஒதுக்கி வைக்கவும்.
ஒரு பாத்திரத்தில் பால் மற்றும் அரிசியை சேர்த்து, பால் சிறிது சிறிதாக குறையும் வரை அவ்வப்போது கிளறி, குறைந்த தீயில் சமைக்கவும்.
வெல்லம், ஏலக்காய் தூள் சேர்த்து நன்கு கலக்கவும். தீயை அணைத்துவிட்டு, வறுத்த நறுக்கிய கொட்டைகளால் அலங்கரிக்கவும்.
இதை சூடாகவோ அல்லது குளிராகவோ பரிமாறலாம்.</t>
  </si>
  <si>
    <t>https://recipes.wellcurve.in/wp-content/uploads/2021/09/Brown-rice-kheer.jpg</t>
  </si>
  <si>
    <t xml:space="preserve">   Beetroot grated – 2 cups heaped,
   Sugar - 3/4 cup,
   Milk – 2 cups,
   Cardamom powder - 1/4 tsp,
   Almonds – 10,
   Cashew nuts – few,
   Ghee – 1/4 cup,
   Unsweetened Khoa – 100 grams.</t>
  </si>
  <si>
    <t>பீட்ரூட் துருவல் - 2 கப் குவித்து,
சர்க்கரை - 3/4 கப்,
பால் - 2 கப்,
ஏலக்காய் தூள் - 1/4 தேக்கரண்டி,
பாதாம் - 10,
முந்திரி பருப்பு - சிறிதளவு,
நெய் - 1/4 கப்,
இனிப்பு சேர்க்காத கோவா - 100 கிராம்.</t>
  </si>
  <si>
    <t>Wash, peel the skin and grate beetroot.
Put almonds in boiling water(blanch almonds), remove the skin and pat it dry. Cut it into thin strips.
Heat a tsp of ghee, fry cashew nuts and keep it aside.
In the same pan, heat a tbsp of ghee, add grated beetroot and fry on low heat until the raw smell goes.
Then add 2 cups of milk and cook the beetroot on low flame, stirring in between. Cook till the beetroot becomes soft and all the milk evaporates.
Then add sugar, khoa and cook till sugar dissolves and gets mixed well with the beetroot.
Add cardamom powder, remaining ghee and cook stirring for a few more seconds on low heat.
Garnish with cashew nuts, almonds and mix well. Serve hot or warm.</t>
  </si>
  <si>
    <t>பீட்ரூட்டை கழுவி, தோல் உரித்து தட்டி வைக்கவும்.
பாதாம் பருப்பை கொதிக்கும் நீரில் (வெள்ளை பாதாம்) போட்டு, தோலை நீக்கி உலர வைக்கவும். மெல்லிய கீற்றுகளாக வெட்டவும்.
ஒரு தேக்கரண்டி நெய்யை சூடாக்கி, முந்திரி பருப்பை வறுத்து தனியாக வைக்கவும்.
அதே பாத்திரத்தில், ஒரு தேக்கரண்டி நெய்யை சூடாக்கி, துருவிய பீட்ரூட்டை சேர்த்து, பச்சை வாசனை போகும் வரை குறைந்த தீயில் வதக்கவும்.
பின்னர் 2 கப் பால் சேர்த்து, பீட்ரூட்டை குறைந்த தீயில், இடையில் கிளறி, வேக வைக்கவும். பீட்ரூட் மென்மையாகி, பால் முழுவதும் ஆவியாகும் வரை சமைக்கவும்.
பின்னர் சர்க்கரை, கோவா சேர்த்து சர்க்கரை கரைந்து பீட்ரூட்டுடன் நன்கு கலக்கும் வரை சமைக்கவும்.
ஏலக்காய் தூள், மீதமுள்ள நெய் சேர்த்து, குறைந்த தீயில் இன்னும் சில நொடிகள் கிளறி சமைக்கவும்.
முந்திரி, பாதாம் பருப்புகளால் அலங்கரித்து நன்கு கலக்கவும். சூடாகவோ அல்லது சூடாகவோ பரிமாறவும்.</t>
  </si>
  <si>
    <t>https://www.sharmispassions.com/wp-content/uploads/2015/08/BeetrootHalwa1.jpg</t>
  </si>
  <si>
    <t>All purpose flour (maida) - 1 1/2 cup,
Salt - 1/4 tsp,
Baking soda – 1/2 tsp,
Butter - 1/2 cup,
Granulated white sugar – 1/2 cup,
Egg – 1,
Vanilla essence – 1 tsp.</t>
  </si>
  <si>
    <t>அனைத்து உபயோக மாவு (மைதா) - 1 1/2 கப்,
உப்பு - 1/4 டீஸ்பூன்,
பேக்கிங் சோடா - 1/2 டீஸ்பூன்,
வெண்ணெய் - 1/2 கப்,
துருவிய வெள்ளை சர்க்கரை - 1/2 கப்,
முட்டை - 1,
வெண்ணிலா எசன்ஸ் - 1 டீஸ்பூன்.</t>
  </si>
  <si>
    <t>Beat butter and sugar until it becomes light and fluffy.
Add egg, vanilla essence and beat until well combined.
Mix in flour and make a smooth dough. ( I used the dough making attachment that comes with the hand mixer)
Now divide the dough into 2 half and wrap it in a plastic paper and keep it in the refrigerator until firm. 
Preheat the oven.Then take one half of the dough and roll it out dusting flour to 1/4 inch thickness. Dust the cookie cutter also and cut desired shapes.
Now arrange all the unbaked cookies in a greased baking tray and keep it in the refrigerator again for another 15 minutes to chill the dough.This is done to prevent the cookies from expanding while baking and loosing their shape.
Bake till the edges starts to brown which will approximately take around 7-10 minutes depending on the thickness and size of the cookies. Let it remain in the tray for a few minutes.Then transfer the cookies to a plate or wire rack to cool. (I baked a few minutes more after the edges started browning as I wanted it crisp)
Repeat the process for the other batch also.
Let the cookies cool completely. Then you can store it in an airtight container.</t>
  </si>
  <si>
    <t>வெண்ணெய் மற்றும் சர்க்கரை லேசாகவும் பஞ்சுபோன்றதாகவும் மாறும் வரை அடிக்கவும்.
முட்டை, வெண்ணிலா எசன்ஸ் சேர்த்து நன்கு கலக்கும் வரை அடிக்கவும்.
மாவில் கலந்து மென்மையான மாவை உருவாக்கவும். (கை மிக்சருடன் வரும் மாவை தயாரிக்கும் இணைப்பை நான் பயன்படுத்தினேன்)
இப்போது மாவை 2 பாதியாகப் பிரித்து ஒரு பிளாஸ்டிக் பேப்பரில் சுற்றி குளிர்சாதன பெட்டியில் உறுதியாகும் வரை வைக்கவும்.
அடுப்பை முன்கூட்டியே சூடாக்கவும். பின்னர் மாவின் ஒரு பாதியை எடுத்து மாவை 1/4 அங்குல தடிமனாக உருட்டவும். குக்கீ கட்டரையும் தூவி, விரும்பிய வடிவங்களை வெட்டவும்.
இப்போது சுடாத அனைத்து குக்கீகளையும் நெய் தடவிய பேக்கிங் தட்டில் அடுக்கி, மாவை குளிர்விக்க மீண்டும் 15 நிமிடங்கள் குளிர்சாதன பெட்டியில் வைக்கவும். குக்கீகள் பேக்கிங் செய்யும் போது விரிவடைந்து அவற்றின் வடிவம் இழப்பதைத் தடுக்க இது செய்யப்படுகிறது.
விளிம்புகள் பழுப்பு நிறமாகத் தொடங்கும் வரை சுடவும், இது குக்கீகளின் தடிமன் மற்றும் அளவைப் பொறுத்து சுமார் 7-10 நிமிடங்கள் ஆகும். அதை தட்டில் சில நிமிடங்கள் வைத்திருக்கவும். பின்னர் குக்கீகளை குளிர்விக்க ஒரு தட்டு அல்லது கம்பி ரேக்கிற்கு மாற்றவும். (நான் மொறுமொறுப்பாக விரும்பியதால் விளிம்புகள் பழுப்பு நிறமாக மாறத் தொடங்கிய பிறகு இன்னும் சில நிமிடங்கள் சுட்டேன்)
மற்ற தொகுதிக்கும் இந்த செயல்முறையை மீண்டும் செய்யவும்.
குக்கீகளை முழுமையாக குளிர்விக்க விடவும். பின்னர் நீங்கள் அதை காற்று புகாத கொள்கலனில் சேமிக்கலாம்.</t>
  </si>
  <si>
    <t>https://lifemadesweeter.com/wp-content/uploads/Soft-Lofthouse-Style-Frosted-Sugar-Cookies-are-the-perfect-sweet-treat-with-a-tall-glass-of-milk-e1449928951316-1.jpg</t>
  </si>
  <si>
    <t>Akkaravadisal</t>
  </si>
  <si>
    <t>அக்கரவடிசல்</t>
  </si>
  <si>
    <t>Raw rice – 1/2 cup,
Split yellow moong dal – 2 tbsp,
Milk – 4 cups,
Jaggery – 1 cup heaped,
Ghee – 1/4 cup,
Cardamom - 3,
Cashew nuts – 6-7,
Raisins – 25 grams,
Saffron – 4-5 strands,
Pachai Kalpooram – a pinch.</t>
  </si>
  <si>
    <t>பச்சை அரிசி - 1/2 கப்,
மஞ்சள் துண்டாக்கப்பட்ட பாசிப்பருப்பு - 2 டேபிள்ஸ்பூன்,
பால் - 4 கப்,
வெல்லம் - 1 கப்,
நெய் - 1/4 கப்,
ஏலக்காய் - 3,
முந்திரி பருப்பு - 6-7,
திராட்சை - 25 கிராம்,
குங்குமப்பூ - 4-5 இழைகள்,
பச்சாய் கல்பூரம் - ஒரு சிட்டிகை.</t>
  </si>
  <si>
    <t>Heat a little ghee and fry the cashew nuts until golden brown. Remove from pan.
Soak saffron in 1/4 cup of warm milk and keep it aside.
Heat 1/2 cup of water, add jaggery, stir on low heat for a few minutes until it dissolves. Remove from heat, strain it to remove impurities and keep it aside.
Heat 2 tsp of ghee and fry the rice and dal until a little hot to touch.
In a heavy bottomed vessel, add 2 1/2 cups of boiled milk and 3/4 cup of water, add the rice + dal mix and cook on medium heat, stirring frequently, until rice and dal becomes mushy. Mash it well with a masher when it is hot.
Bring jaggery water to boil. Then add the mashed rice + dal mixture to the jaggery water and mix well.
Add the remaining milk, remaining ghee, mix well and cook for 3-4 minutes, stirring continuously on medium low heat.
Add the saffron milk, cardamom powder, cashew nuts, edible camphor (I did not add) and cook for few more minutes on medium low heat stirring continuously until everything comes together.
Akkaravadisal will be a little runny, as it cools, it will thicken slightly.
If you are not serving immediately, you can re-heat it by adding a little warm milk, if it has thickened.</t>
  </si>
  <si>
    <t>சிறிது நெய்யை சூடாக்கி, முந்திரி பருப்புகளை பொன்னிறமாகும் வரை வறுக்கவும். வாணலியில் இருந்து எடுக்கவும்.
குங்குமப்பூவை 1/4 கப் சூடான பாலில் ஊறவைத்து ஒதுக்கி வைக்கவும்.
1/2 கப் தண்ணீரில் சூடாக்கி, வெல்லம் சேர்த்து, குறைந்த வெப்பத்தில் சில நிமிடங்கள் கரையும் வரை கிளறவும். அடுப்பிலிருந்து இறக்கி, அசுத்தங்கள் நீங்க வடிகட்டி, தனியாக வைக்கவும்.
2 டேபிள்ஸ்பூன் நெய்யை சூடாக்கி, அரிசி மற்றும் பருப்பை தொடுவதற்கு சிறிது சூடாகும் வரை வறுக்கவும்.
அடி கனமான பாத்திரத்தில், 2 1/2 கப் வேகவைத்த பால் மற்றும் 3/4 கப் தண்ணீர் சேர்த்து, அரிசி + பருப்பை சேர்த்து மிதமான தீயில், அடிக்கடி கிளறி, அரிசி மற்றும் பருப்பை மென்மையாகும் வரை சமைக்கவும். அது சூடாகும்போது ஒரு மஷரில் நன்றாக மசிக்கவும்.
வெல்லம் தண்ணீர் கொதிக்க வைக்கவும். பின்னர் மசித்த அரிசி + பருப்பை சேர்த்து நன்கு கலக்கவும்.
மீதமுள்ள பால், மீதமுள்ள நெய் சேர்த்து, நன்கு கலந்து, 3-4 நிமிடங்கள், மிதமான தீயில் தொடர்ந்து கிளறி, குங்குமப்பூ பால், ஏலக்காய் தூள், முந்திரி பருப்பு, உண்ணக்கூடிய கற்பூரம் (நான் சேர்க்கவில்லை) சேர்த்து, மிதமான தீயில் இன்னும் சில நிமிடங்கள், அனைத்தும் ஒன்றாக வரும் வரை தொடர்ந்து கிளறி விடுங்கள்.
அக்கரவடிசல் கொஞ்சம் சளியாக இருக்கும், அது குளிர்ந்ததும், சிறிது கெட்டியாகிவிடும்.
நீங்கள் உடனடியாக பரிமாறவில்லை என்றால், அது கெட்டியாகிவிட்டால், சிறிது சூடான பால் சேர்த்து மீண்டும் சூடாக்கலாம்.</t>
  </si>
  <si>
    <t>https://www.awesomecuisine.com/wp-content/uploads/2008/05/Akkaravadisal-1.jpg</t>
  </si>
  <si>
    <t>Kaju Katli</t>
  </si>
  <si>
    <t>கஜு கட்லி</t>
  </si>
  <si>
    <t>Cashew nuts – 1 cup,
Sugar - 1/2 cup,
Cardamom powder - 1/4 tsp,
Saffron stands – 4-5 ,
Water – 1/4 cup,
Ghee - 2 tsp.</t>
  </si>
  <si>
    <t>முந்திரி பருப்பு - 1 கப்,
சர்க்கரை - 1/2 கப்,
ஏலக்காய் தூள் - 1/4 தேக்கரண்டி,
குங்குமப்பூ - 4-5,
தண்ணீர் - 1/4 கப்,
நெய் - 2 தேக்கரண்டி.</t>
  </si>
  <si>
    <t>In a non stick pan, add water and sugar. Boil until the sugar dissolves. When it starts boiling, add saffron strands, cardamon powder and cashew nut powder.
Mix well and cook on low flames. Add 2 tsp ghee and cook till the mixture leaves the sides of the pan.
The mixture should not stick to your hands.
You should be able to make a soft ball out of it
That is the correct stage to switch off the flame. Then put the mixture on a greased plate and flatten it with a spatula. I greased the flat surface of a cup and used it to smooth out the mixture or you can roll out thinly with a rolling pin.
Cut into diamond shapes after it cools a little. Do not cut when it is hot. Also use a sharp knife for cutting.
Enjoy this Diwali by preparing this easy Kaju Katli/Cashew Katli at home.</t>
  </si>
  <si>
    <t>ஒரு குச்சி அல்லாத பாத்திரத்தில், தண்ணீர் மற்றும் சர்க்கரை சேர்க்கவும். சர்க்கரை கரையும் வரை கொதிக்க வைக்கவும். அது கொதிக்க ஆரம்பித்ததும், குங்குமப்பூ இழைகள், ஏலக்காய் தூள் மற்றும் முந்திரி பருப்பு தூள் சேர்க்கவும்.
நன்றாக கலந்து குறைந்த தீயில் சமைக்கவும். 2 தேக்கரண்டி நெய் சேர்த்து, கலவை பாத்திரத்தின் பக்கவாட்டில் இருந்து வெளியேறும் வரை சமைக்கவும்.
கலவை உங்கள் கைகளில் ஒட்டக்கூடாது.
அதிலிருந்து நீங்கள் ஒரு மென்மையான பந்தை உருவாக்க முடியும்
சுடரை அணைக்க இதுவே சரியான நிலை. பின்னர் கலவையை ஒரு எண்ணெய் தடவிய தட்டில் வைத்து ஒரு ஸ்பேட்டூலாவால் தட்டையாக்கினேன். நான் ஒரு கோப்பையின் தட்டையான மேற்பரப்பில் எண்ணெய் தடவி, கலவையை மென்மையாக்க அதைப் பயன்படுத்தினேன் அல்லது நீங்கள் ஒரு ரோலிங் பின் மூலம் மெல்லியதாக உருட்டலாம்.
சிறிது ஆறிய பிறகு வைர வடிவங்களாக வெட்டவும். சூடாகும்போது வெட்ட வேண்டாம். வெட்டுவதற்கு கூர்மையான கத்தியையும் பயன்படுத்தவும்.
இந்த தீபாவளியை வீட்டிலேயே இந்த எளிதான கஜு கட்லி/முந்திரி கட்லியை சமைத்து மகிழுங்கள்.</t>
  </si>
  <si>
    <t>https://encrypted-tbn0.gstatic.com/images?q=tbn:ANd9GcTARm7xpy7yyXAuWihGsV5n7-kvMKK3jlC1jg&amp;s</t>
  </si>
  <si>
    <t xml:space="preserve">   Grated coconut – 1 cup,
   Sugar – 3/4 cup + 1 tbsp,
   Ghee – 2 tsp,
   Cardamom powder – 1/4 tsp.</t>
  </si>
  <si>
    <t>துருவிய தேங்காய் - 1 கப்,
சர்க்கரை - 3/4 கப் + 1 டேபிள் ஸ்பூன்,
நெய் - 2 டேபிள் ஸ்பூன்,
ஏலக்காய் தூள் - 1/4 டேபிள் ஸ்பூன்.</t>
  </si>
  <si>
    <t>Take a kadai/pan (non stick preferable) add sugar and just enough water (approximately 1/2 cup) to cover the sugar and boil it.
When the sugar water starts boiling, add cardamom powder, ghee and the grated coconut.
Simmer and cook stirring often, till the coconut mixture starts foaming and leaves the sides of the pan. Take a small mixture and if you are able to make a ball out of it, switch off the flames.
Pour it on the greased tray or plate. After it cools a little, cut it into desired shapes.
Leave it to cool completely. After that take the pieces gently and store it in an air tight container.</t>
  </si>
  <si>
    <t>ஒரு கடாயை/பானை (குச்சியாக இல்லாமல்) எடுத்து, சர்க்கரை மற்றும் சர்க்கரையை மூடும் அளவுக்கு போதுமான தண்ணீர் (தோராயமாக 1/2 கப்) சேர்த்து கொதிக்க வைக்கவும்.
சர்க்கரை தண்ணீர் கொதிக்க ஆரம்பித்ததும், ஏலக்காய் தூள், நெய் மற்றும் துருவிய தேங்காயைச் சேர்க்கவும்.
தங்காய் கலவை நுரை வர ஆரம்பித்து வாணலியின் பக்கவாட்டில் இருந்து வெளியேறும் வரை, அடிக்கடி கிளறி, கொதிக்க விடவும். ஒரு சிறிய கலவையை எடுத்து, அதிலிருந்து ஒரு உருண்டையை உருவாக்க முடிந்தால், தீயை அணைக்கவும்.
நெய் தடவிய தட்டு அல்லது தட்டில் ஊற்றவும். சிறிது ஆறிய பிறகு, விரும்பிய வடிவங்களில் வெட்டவும்.
முழுமையாக ஆற விடவும். அதன் பிறகு துண்டுகளை மெதுவாக எடுத்து காற்று புகாத கொள்கலனில் சேமிக்கவும்.</t>
  </si>
  <si>
    <t>https://www.sharmispassions.com/wp-content/uploads/2012/10/coconut-burfi5.jpg</t>
  </si>
  <si>
    <t>Ila Ada</t>
  </si>
  <si>
    <t>இலா அட</t>
  </si>
  <si>
    <t xml:space="preserve">Raw rice - 1/2 cup,
Water - 1 cup,
Salt – a pinch,
Oil - 1 tsp,
Grated coconut – 1 cup,
Jaggery - 1 cup,
Cardamom powder - 1/4 tsp,
Water – 1/2 cup,
Ghee – 1 tsp.
</t>
  </si>
  <si>
    <t>பச்சை அரிசி - 1/2 கப்,
தண்ணீர் - 1 கப்,
உப்பு - ஒரு சிட்டிகை,
எண்ணெய் - 1 டீஸ்பூன்,
தேங்காய் துருவியது - 1 கப்,
வெல்லம் - 1 கப்,
ஏலக்காய் தூள் - 1/4 டீஸ்பூன்,
தண்ணீர் - 1/2 கப்,
நெய் - 1 டீஸ்பூன்.</t>
  </si>
  <si>
    <t xml:space="preserve">Soak rice for 5-6 hours .
Drain the water and and grind it to a fine paste using very little water from that 1 cup of water.
Now heat the remaining water in a pan, add a tsp of oil and a pinch of salt, then add the grounded rice paste and stir continuously. See to it that there are no lumps. Cook till all the water has evaporated.
After it cools a little, grease you hands and knead it well. Cover it with a damp cloth till we prepare the stuffing.
Heat 1/2 cup water, add jaggery, after it dissolves, filter it to remove any impurities.
Boil the jaggery syrup, when it starts boiling, add cardamom powder, a tsp of ghee and grated coconut. Cook till it leaves the sides of the pan. Leave it to cool.
Now the rice flour dough and the stuffing/filling is ready. 
Banana leaf ( cut it into medium squares, grease it with oil and keep it ready.)
Knead the rice flour dough and make equal sized balls.
Make balls from the stuffing also.
Now take a greased banana leaf ( square), keep a ball of rice flour dough and press it with another greased banana leaf with the greased side facing down to flatten it evenly. (picture -3)
Now slowly remove the leaf .
Keep a ball of stuffing on it. 
Fold the banana leaf. 
Now arrange all the adas in an idly plate and steam cook in a pressure pan or you can use steamer or idly pot. Do not put the weight/whistle for the pressure pan. 
Yummy and delicious ila ada is ready to be served. </t>
  </si>
  <si>
    <t>அரிசியை 5-6 மணி நேரம் ஊற வைக்கவும்.
தண்ணீரை வடிகட்டி, அந்த 1 கப் தண்ணீரில் இருந்து மிகக் குறைந்த தண்ணீரைப் பயன்படுத்தி நன்றாக விழுதாக அரைக்கவும்.
இப்போது மீதமுள்ள தண்ணீரை ஒரு பாத்திரத்தில் சூடாக்கி, ஒரு டீஸ்பூன் எண்ணெய் மற்றும் ஒரு சிட்டிகை உப்பு சேர்த்து, அரைத்த அரிசி விழுதைச் சேர்த்து தொடர்ந்து கிளறவும். கட்டிகள் எதுவும் இல்லாமல் பார்த்துக் கொள்ளுங்கள். தண்ணீர் முழுவதும் ஆவியாகும் வரை சமைக்கவும்.
சிறிது ஆறிய பிறகு, உங்கள் கைகளில் நெய் தடவி நன்கு பிசையவும். ஸ்டஃபிங் தயார் செய்யும் வரை ஈரமான துணியால் மூடி வைக்கவும்.
1/2 கப் தண்ணீரை சூடாக்கி, வெல்லம் சேர்த்து, அது கரைந்த பிறகு, அசுத்தங்களை நீக்க வடிகட்டி வைக்கவும்.
வெல்லம் சிரப்பை கொதிக்க விடவும், அது கொதிக்க ஆரம்பித்ததும், ஏலக்காய் தூள், ஒரு தேக்கரண்டி நெய் மற்றும் துருவிய தேங்காய் சேர்க்கவும். அது வாணலியின் பக்கவாட்டில் இருந்து வெளியேறும் வரை சமைக்கவும். அதை குளிர்விக்க விடவும்.
இப்போது அரிசி மாவு மாவும், நிரப்பும் பொருளும் தயாராக உள்ளது.
வாழை இலை (அதை நடுத்தர சதுரங்களாக வெட்டி, எண்ணெய் தடவி தயாராக வைக்கவும்.)
அரிசி மாவு மாவை பிசைந்து சம அளவிலான உருண்டைகளை உருவாக்கவும்.
திணிப்பிலிருந்து உருண்டைகளை உருவாக்கவும்.
இப்போது ஒரு நெய் தடவிய வாழை இலையை (சதுரமாக) எடுத்து, அரிசி மாவு மாவின் ஒரு உருண்டையை வைத்து, மற்றொரு நெய் தடவிய வாழை இலையுடன் நெய் தடவிய பக்கம் கீழே எதிர்கொள்ளும் வகையில் அழுத்தவும். (படம் -3)
இப்போது மெதுவாக இலையை அகற்றவும்.
அதன் மீது ஒரு ஸ்டஃபிங் பந்தை வைக்கவும்.
வாழை இலையை மடிக்கவும்.
இப்போது அனைத்து அடஸையும் ஒரு இட்லி தட்டில் அடுக்கி, ஒரு பிரஷர் பாத்திரத்தில் ஆவியில் வேகவைக்கவும் அல்லது நீங்கள் ஸ்டீமர் அல்லது இட்லி பாத்திரத்தைப் பயன்படுத்தலாம். பிரஷர் பாத்திரத்திற்கான எடை/விசில் வைக்க வேண்டாம்.
சுவையான இலா அடா பரிமாற தயாராக உள்ளது.</t>
  </si>
  <si>
    <t>https://encrypted-tbn0.gstatic.com/images?q=tbn:ANd9GcTh1xv4gCR7bLu0CkLHFNrOrv7hAvCTHywg1Q&amp;s</t>
  </si>
  <si>
    <t>சர்க்கரை -- 2 1/2 கப்,
தண்ணீர் -- 3 கப்,
ஏலக்காய் காய்கள் - 3 உரிக்கப்பட்டது.</t>
  </si>
  <si>
    <t>Sugar -- 2 1/2 cups,
Water – 3 cups,
Cardamom pods - 3 peeled.</t>
  </si>
  <si>
    <t>In a big pan, mix sugar, water and 2-3 crushed cardamoms.
Bring it to boil and stir until the sugar dissolves completely and syrup becomes slightly sticky. Do not boil too much. Keep it aside.
First mix the gulab jamun flour well with your hands to remove all lumps.
Then add water (according to the instructions on the pack) and make a soft pliable dough. Let it sit for a few minutes.
Divide the dough equally and make small smooth balls without any creases. This is very important.
 Heat oil and fry the gulab jamuns on low medium heat so that the inside of the gulab jamun will also get cooked well. Keep stirring it gently for even cooking and browning. Remove with a slotted ladle when it becomes slightly dark brown in color.
 Allow the gulab jamuns to cool a little, before dropping them in warm sugar syrup.
Let all the Gulab jamuns remain soaked in the sugar syrup for 1 hour. It can be served hot or cold.
If preferred, you can top it with vanilla ice cream and enjoy. Personally I love it hot.</t>
  </si>
  <si>
    <t>ஒரு பெரிய பாத்திரத்தில், சர்க்கரை, தண்ணீர் மற்றும் 2-3 நொறுக்கப்பட்ட ஏலக்காய்களை கலக்கவும்.
சர்க்கரை முழுவதுமாக கரைந்து, சிரப் சிறிது ஒட்டும் வரை கொதிக்க வைத்து கிளறவும். அதிகமாக கொதிக்க வேண்டாம். ஒதுக்கி வைக்கவும்.
முதலில் குலாப் ஜாமுன் மாவை உங்கள் கைகளால் நன்கு கலக்கவும், இதனால் கட்டிகள் அனைத்தும் நீங்கும்.
பின்னர் (பேக்கில் உள்ள வழிமுறைகளின்படி) தண்ணீரைச் சேர்த்து, மென்மையான நெகிழ்வான மாவை உருவாக்கவும். சில நிமிடங்கள் அப்படியே விடவும்.
மாவை சமமாகப் பிரித்து, மடிப்புகள் இல்லாமல் சிறிய மென்மையான உருண்டைகளை உருவாக்குங்கள். இது மிகவும் முக்கியம்.
எண்ணெயை சூடாக்கி, குலாப் ஜாமுன்களை குறைந்த நடுத்தர வெப்பத்தில் வறுக்கவும், இதனால் குலாப் ஜாமுன்களின் உட்புறமும் நன்றாக வேகும். சமமாக சமைக்கவும், பிரவுன் நிறமாக மாறவும் மெதுவாகக் கிளறிக்கொண்டே இருங்கள். அது சற்று அடர் பழுப்பு நிறமாக மாறும்போது ஒரு துளையிடப்பட்ட கரண்டியால் அகற்றவும்.
குலாப் ஜாமுன்களை சிறிது ஆற வைத்து, பின்னர் சூடான சர்க்கரை பாகில் போடவும்.
குலாப் ஜாமுன்கள் அனைத்தையும் சர்க்கரை பாகில் 1 மணி நேரம் ஊற வைக்கவும். இதை சூடாகவோ அல்லது குளிராகவோ பரிமாறலாம்.
விரும்பினால், நீங்கள் அதன் மேல் வெண்ணிலா ஐஸ்கிரீமைச் சேர்த்து மகிழலாம். தனிப்பட்ட முறையில், எனக்கு இது மிகவும் பிடிக்கும்.</t>
  </si>
  <si>
    <t xml:space="preserve">   Sponge cake,
   Jelly – 1 ,
   Any fruits of your choice,
   Sugar syrup  – 2-3 tbsp,
   A glass container ,
   Vanilla Custard powder – 2 tbsp,
   Milk – 2 1/2 cups,
   Warm Milk – 2 tbsp for mixing custard,
   Sugar – 4 tbsp.</t>
  </si>
  <si>
    <t>ஸ்பாஞ்ச் கேக்,
ஜெல்லி – 1 ,
உங்களுக்கு விருப்பமான ஏதேனும் பழங்கள்,
சர்க்கரை சிரப் – 2-3 டேபிள்ஸ்பூன்,
ஒரு கண்ணாடி கொள்கலன்,
வெண்ணிலா கஸ்டர்ட் பவுடர் – 2 டேபிள்ஸ்பூன்,
பால் – 2 1/2 கப்,
சூடான பால் – கஸ்டர்டை கலக்க 2 டேபிள்ஸ்பூன்,
சர்க்கரை – 4 டேபிள்ஸ்பூன்.</t>
  </si>
  <si>
    <t>Boil 1/4 cup of water with 2 tbsp of sugar for a few minutes. Leave it to cool. This is the sugar water.
Boil milk, mix 2 tbsp of custard powder with 2-3 tbsp of warm milk and make a paste.
Once the milk boils, reduce the heat to low and add the custard paste to the milk slowly stirring continuously. After it becomes a little thick, remove from flame. Leave it to cool.
Then keep it in the refrigerator. Refer my fruit custard recipe for more details.
Pineapple, apple, mangoes (ripe but firm), strawberry, seedless grapes or any fruits of your choice but avoid using bananas and oranges as I personally feel that it makes the trifle soggy. Cut the fruits into small pieces and keep it aside.You can keep apples in a cup of water to which a few drops of lemon juice is added to prevent discoloration.
Choose Raspberry or strawberry flavor as it makes the trifle very attractive and colorful.
Prepare the jelly as per instructions on the pack. After it cools, pour it in a tray and refrigerate it for it to set. Do not keep it in the freezer.
How to arrange or serve Trifle
Now take a wide glass bowl or a tall glass.
Cut the cake horizontally and arrange the bottom layer with pieces of cake and sprinkle sugar syrup on it. Press it well.
Now pour the cold custard on top of it and spread it evenly.
Then spread the chopped fruits.
Then slice jelly and cover the fruits layer.
Now sprinkle little custard and arrange the cake pieces.
Now again pour the cold custard on top of it.
Like this repeat the process for 3 layers.Then top it with cherries or whipped cream.
Keep it in the refrigerator for 5-6 hours to set (not in the freezer) and enjoy delicious and yummy Trifle.</t>
  </si>
  <si>
    <t>1/4 கப் தண்ணீரை 2 டேபிள்ஸ்பூன் சர்க்கரையுடன் சில நிமிடங்கள் கொதிக்க வைக்கவும். அதை குளிர்விக்க விடவும். இது சர்க்கரை தண்ணீர்.
பாலை கொதிக்க வைத்து, 2 டேபிள்ஸ்பூன் கஸ்டர்ட் பவுடரை 2-3 டேபிள்ஸ்பூன் சூடான பாலுடன் கலந்து பேஸ்ட் செய்யவும்.
பால் கொதித்ததும், தீயை குறைத்து, கஸ்டர்ட் பேஸ்ட்டை பாலில் சேர்த்து மெதுவாக தொடர்ந்து கிளறவும். அது சிறிது கெட்டியான பிறகு, தீயிலிருந்து இறக்கி, ஆற விடவும்.
பின்னர் அதை குளிர்சாதன பெட்டியில் வைக்கவும். மேலும் விவரங்களுக்கு எனது பழ கஸ்டர்ட் செய்முறையைப் பார்க்கவும்.
அன்னாசி, ஆப்பிள், மாம்பழம் (பழுத்த ஆனால் உறுதியானது), ஸ்ட்ராபெரி, விதையற்ற திராட்சை அல்லது உங்களுக்கு விருப்பமான எந்த பழங்களையும் சாப்பிடுங்கள். ஆனால் வாழைப்பழம் மற்றும் ஆரஞ்சு பழங்களைப் பயன்படுத்துவதைத் தவிர்க்கவும், ஏனெனில் அது சிறியதை ஈரமாக்கும் என்று நான் தனிப்பட்ட முறையில் நினைக்கிறேன். பழங்களை சிறிய துண்டுகளாக வெட்டி ஒதுக்கி வைக்கவும். ஆப்பிள்களை ஒரு கப் தண்ணீரில் வைக்கலாம், அதில் சில துளிகள் எலுமிச்சை சாறு சேர்க்கப்படும், இது நிறமாற்றத்தைத் தடுக்கும்.
ராஸ்பெர்ரி அல்லது ஸ்ட்ராபெரி சுவையைத் தேர்வுசெய்க, ஏனெனில் இது சிறியதை மிகவும் கவர்ச்சிகரமானதாகவும் வண்ணமயமாகவும் ஆக்குகிறது.
பேக்கில் உள்ள அறிவுறுத்தல்களின்படி ஜெல்லியை தயார் செய்யவும். அது குளிர்ந்த பிறகு, அதை ஒரு தட்டில் ஊற்றி, அது செட் ஆகும் வரை குளிர்சாதன பெட்டியில் வைக்கவும். அதை ஃப்ரீசரில் வைக்க வேண்டாம்.
ட்ரிஃபிளை எவ்வாறு ஏற்பாடு செய்வது அல்லது பரிமாறுவது
இப்போது ஒரு அகலமான கண்ணாடி கிண்ணம் அல்லது உயரமான கிளாஸை எடுத்துக் கொள்ளுங்கள்.
கேக்கை கிடைமட்டமாக வெட்டி, கீழ் அடுக்கில் கேக் துண்டுகளை அடுக்கி, அதன் மீது சர்க்கரை பாகை தெளிக்கவும். அதை நன்றாக அழுத்தவும்.
இப்போது குளிர்ந்த கஸ்டர்டை அதன் மேல் ஊற்றி சமமாக பரப்பவும்.
பின்னர் நறுக்கிய பழங்களை பரப்பவும்.
பின்னர் ஜெல்லியை துண்டுகளாக நறுக்கி பழங்களின் அடுக்கை மூடவும்.
இப்போது சிறிய கஸ்டர்டைத் தூவி கேக் துண்டுகளை அடுக்கவும்.
இப்போது மீண்டும் அதன் மேல் குளிர்ந்த கஸ்டர்டை ஊற்றவும்.
இது போல 3 அடுக்குகளுக்கு இந்த செயல்முறையை மீண்டும் செய்யவும். பின்னர் அதன் மேல் செர்ரி அல்லது கிரீம் தடவவும்.
குளிர்சாதன பெட்டியில் 5-6 மணி நேரம் (ஃப்ரீசரில் அல்ல) வைத்து, ருசியான மற்றும் சுவையான ட்ரிஃபிளை அனுபவிக்கவும்.</t>
  </si>
  <si>
    <t>https://sondralynathome.com/wp-content/uploads/2020/05/Trifle-Dessert-SondraLynAtHome.com7_.jpg</t>
  </si>
  <si>
    <t>Double ka meetha</t>
  </si>
  <si>
    <t>டபுள் கா மீத்தா</t>
  </si>
  <si>
    <t xml:space="preserve">   Bread – 9 slices,
   Milk – 2 1/2 cups,
   Sugar – 1 cup ,
   Kesari color – a pinch,
   Cardamom powder – 1/4 tsp,
   Oil for frying,
   Ghee – 1 tbsp for frying nuts,
   Raisins – 10,
   Cashew nuts – few,
   Pistachio – few,
   Toasted almonds – few.</t>
  </si>
  <si>
    <t>ரொட்டி - 9 துண்டுகள்,
பால் - 2 1/2 கப்,
சர்க்கரை - 1 கப்,
கேசரி கலர் - ஒரு சிட்டிகை,
ஏலக்காய் பொடி - 1/4 டீஸ்பூன்,
வறுக்க எண்ணெய்,
நெய் - கொட்டைகள் வறுக்க 1 டீஸ்பூன்,
திராட்சை - 10,
முந்திரி பருப்பு - சிறிது,
பிஸ்தா பருப்பு - சிறிது,
வறுத்த பாதாம் பருப்பு - சிறிது.</t>
  </si>
  <si>
    <t>Remove the edges of the bread, cut it diagonally and sun dry it or air dry it (under the fan) so that it does not absorb much oil.
Deep fry the bread in oil until brown on low flames to prevent the bread from getting burnt. Keep it aside. Traditionally it is deep fried in ghee but I have used oil.
Fry raisins, cashew nuts in ghee separately. Keep it aside.
Boil milk and add kesari color to it.
Take just enough water to soak the sugar. Add cardamom powder and boil the sugar water. Prepare sugar syrup. The sugar syrup should neither be thin nor thick.
Add the fried bread to the sugar syrup and cook for a few minutes.
Then add milk, simmer and cook uncovered till it reaches a semi solid state. It should not be dry.
Garnish with cashew nuts, pistachio, raisins and toasted almonds.
Enjoy it warm or cold as it tastes great both ways. I prefer to have it warm.</t>
  </si>
  <si>
    <t>ரொட்டியின் ஓரங்களை நீக்கி, அதை குறுக்காக வெட்டி வெயிலில் உலர வைக்கவும் அல்லது காற்றில் (ஃபேனின் கீழ்) உலர வைக்கவும், இதனால் அது அதிக எண்ணெயை உறிஞ்சாது.
ரொட்டி எரிவதைத் தடுக்க குறைந்த தீயில் எண்ணெயில் பழுப்பு நிறமாக மாறும் வரை பிரட்டை ஆழமாக வறுக்கவும். அதை ஒதுக்கி வைக்கவும். பாரம்பரியமாக இது நெய்யில் ஆழமாக வறுக்கப்படுகிறது, ஆனால் நான் எண்ணெயைப் பயன்படுத்தினேன்.
திராட்சை, முந்திரி பருப்புகளை நெய்யில் தனித்தனியாக வறுக்கவும். அதை ஒதுக்கி வைக்கவும்.
பால் கொதிக்க வைத்து, அதில் கேசரி கலர் சேர்க்கவும்.
சர்க்கரை ஊற போதுமான அளவு தண்ணீர் எடுத்துக் கொள்ளுங்கள். ஏலக்காய் பொடியைச் சேர்த்து சர்க்கரை தண்ணீரை கொதிக்க வைக்கவும். சர்க்கரை சிரப் தயாரிக்கவும். சர்க்கரை பாகு மெல்லியதாகவோ அல்லது கெட்டியாகவோ இருக்கக்கூடாது.
வறுத்த ரொட்டியை சர்க்கரை பாகில் சேர்த்து சில நிமிடங்கள் சமைக்கவும்.
பின்னர் பால் சேர்த்து, கொதிக்க வைத்து, அரை திட நிலையை அடையும் வரை மூடி இல்லாமல் சமைக்கவும். அது உலரக்கூடாது.
முந்திரி, பிஸ்தா, திராட்சை மற்றும் வறுத்த பாதாம் பருப்புகளால் அலங்கரிக்கவும்.
இரண்டு வழிகளிலும் இது மிகவும் சுவையாக இருப்பதால், சூடாகவோ அல்லது குளிராகவோ சாப்பிடுங்கள். நான் அதை சூடாக சாப்பிட விரும்புகிறேன்.</t>
  </si>
  <si>
    <t>https://www.whiskaffair.com/wp-content/uploads/2018/08/Double-ka-Meetha-2-1.jpg</t>
  </si>
  <si>
    <t>Kulfi Ice Cream</t>
  </si>
  <si>
    <t>குல்ஃபி ஐஸ்கிரீம்</t>
  </si>
  <si>
    <t xml:space="preserve">   Milk – 5 cups,
   Sugar - 1 cup,
   Fresh cream – 3/4 cup,
   Almonds – 2 tbsp,
   Pistachio – 2 tbsp,
   Cashew nuts – 2 tbsp,
   Cardamom - 1/4 tsp flat,
   Saffron- few strands.</t>
  </si>
  <si>
    <t>பால் - 5 கப்,
சர்க்கரை - 1 கப்,
புதிய கிரீம் - 3/4 கப்,
பாதாம் - 2 டீஸ்பூன்,
பிஸ்தா - 2 டீஸ்பூன்,
முந்திரி பருப்பு - 2 டீஸ்பூன்,
ஏலக்காய் - 1/4 டீஸ்பூன் தட்டையானது,
குங்குமப்பூ - சிறிது துருவல்.</t>
  </si>
  <si>
    <t>Boil milk until it reduces to half the quantity. Keep stirring so that it does not get burnt.
Add sugar and let it dissolve.
 Then add all the nuts, cardamom powder and cook for 3-4 minutes.
After it cools, add fresh cream and saffron. Mix well.
 Pour it into kulfi moulds and freeze. It will take 6-7 hours to set.
If you do not have kulfi moulds, freeze it in an aluminium box.
If you do not want to use cream, then follow this method
Mix 2 1/2 tsp of corn flour in a little water. Add this after adding nuts ( step -3) and cook for a few minutes or until it starts thickening. Remove from flame, cool and pour it into kulfi moulds and freeze.
Run water (room temperature) around the outside of the mold for a few seconds to remove kulfi from kulfi moulds. Enjoy!!</t>
  </si>
  <si>
    <t>பால் பாதியாகக் குறையும் வரை கொதிக்க வைக்கவும். அது எரியாமல் இருக்க தொடர்ந்து கிளறவும்.
சர்க்கரை சேர்த்து கரைய விடவும்.
பின்னர் அனைத்து கொட்டைகள், ஏலக்காய் தூள் சேர்த்து 3-4 நிமிடங்கள் சமைக்கவும்.
அது குளிர்ந்த பிறகு, புதிய கிரீம் மற்றும் குங்குமப்பூவைச் சேர்க்கவும். நன்றாக கலக்கவும்.
குல்ஃபி அச்சுகளில் ஊற்றி உறைய வைக்கவும். இது 6-7 மணி நேரம் ஆகும்.
உங்களிடம் குல்ஃபி அச்சுகள் இல்லையென்றால், அதை ஒரு அலுமினிய பெட்டியில் உறைய வைக்கவும்.
நீங்கள் கிரீம் பயன்படுத்த விரும்பவில்லை என்றால், இந்த முறையைப் பின்பற்றவும்
2 1/2 டீஸ்பூன் சோள மாவை சிறிது தண்ணீரில் கலக்கவும். கொட்டைகளைச் சேர்த்த பிறகு (படி -3) இதைச் சேர்த்து, சில நிமிடங்கள் அல்லது அது கெட்டியாகத் தொடங்கும் வரை சமைக்கவும். சுடரிலிருந்து இறக்கி, ஆறவைத்து, குல்ஃபி அச்சுகளில் ஊற்றி உறைய வைக்கவும்.
குல்ஃபி அச்சுகளிலிருந்து குல்ஃபியை அகற்ற, அச்சுக்கு வெளியே சில நொடிகள் தண்ணீரை (அறை வெப்பநிலையில்) ஊற்றவும். மகிழுங்கள்!!</t>
  </si>
  <si>
    <t>https://thebigmansworld.com/wp-content/uploads/2022/07/kulfi-ice-cream-recipe.jpg</t>
  </si>
  <si>
    <t>Mango Rabri</t>
  </si>
  <si>
    <t>மாம்பழ ரப்ரி</t>
  </si>
  <si>
    <t xml:space="preserve">
Whole milk – 2 1/2 cups,
Juicy ripe mango pieces – 1 cup,
Sugar – 1/4 cup,
Pistachio – 5-6,
Almonds – 4,
Cardamom Powder – 1/4 tsp,
Saffron – 4 small strands.</t>
  </si>
  <si>
    <t>முழு பால் - 2 1/2 கப்,
சாறு நிறைந்த பழுத்த மாம்பழ துண்டுகள் - 1 கப்,
சர்க்கரை - 1/4 கப்,
பிஸ்தா - 5-6,
பாதாம் - 4,
ஏலக்காய் பொடி - 1/4 தேக்கரண்டி,
குங்குமப்பூ - 4 சிறிய இழைகள்.</t>
  </si>
  <si>
    <t>Soak almonds in hot water for 20 minutes. Remove the skin and cut it into thin slices. Keep slivered almonds aside. Chop pistachio into small pieces.
Soak saffron is a little warm milk.
Puree the mango pieces in a blender with a little milk.
Boil milk till it reduces to half the quantity.
Add sugar and let it dissolve. Remove from flame and let it cool.
After it cools, add mango puree, powdered cardamom, chopped pistachio, almonds and saffron. Refrigerate it and serve chilled.</t>
  </si>
  <si>
    <t>பாதாமை வெந்நீரில் 20 நிமிடங்கள் ஊற வைக்கவும். தோலை நீக்கி மெல்லிய துண்டுகளாக வெட்டவும். பாதாமை துண்டுகளை தனியாக வைக்கவும். பிஸ்தாவை சிறிய துண்டுகளாக நறுக்கவும்.
குங்குமப்பூவை சிறிது சூடான பால் ஊற வைக்கவும்.
மாம்பழ துண்டுகளை சிறிது பாலுடன் ஒரு பிளெண்டரில் அரைக்கவும்.
பாலை பாதியாகக் குறையும் வரை கொதிக்க வைக்கவும்.
சர்க்கரை சேர்த்து கரைய விடவும். தீயிலிருந்து இறக்கி ஆற விடவும்.
ஆறிய பிறகு, மாம்பழ கூழ், பொடித்த ஏலக்காய், நறுக்கிய பிஸ்தா, பாதாம் மற்றும் குங்குமப்பூ சேர்த்து குளிர்சாதன பெட்டியில் வைத்து குளிர்விக்கவும்.</t>
  </si>
  <si>
    <t>https://www.foodie-trail.com/wp-content/uploads/2021/05/PHOTO-2021-05-11-09-41-27_1.jpg</t>
  </si>
  <si>
    <t>Banana Custard</t>
  </si>
  <si>
    <t>வாழைப்பழ கஸ்டர்ட்</t>
  </si>
  <si>
    <t>Ripe Green Banana - 2,
Milk – 1 1/4 cup,
Vanilla Custard Powder - 1 tbsp heaped,
Sugar - 2 tbsp,
Chocolate - 2 small bars.</t>
  </si>
  <si>
    <t>பழுத்த பச்சை வாழைப்பழம் - 2,
பால் - 1 1/4 கப்,
வெண்ணிலா கஸ்டர்ட் பவுடர் - 1 டீஸ்பூன் குவித்து,
சர்க்கரை - 2 டீஸ்பூன்,
சாக்லேட் - 2 சிறிய பார்கள்.</t>
  </si>
  <si>
    <t>Bring milk to boil. Add sugar and mix well.
Simmer and add the custard powder mixed with warm milk stirring continuously.
Keep stirring until the mixture becomes slightly thick. It will thicken further when it cools down. Cool and refrigerate.
Melt chocolate by double boiling. Add a little milk (1-2 tbsp) to it and boil for some more time. Keep it aside.
(Double boiling is melting chocolate using heat from boiling water and not on direct heat)
Put the sliced banana pieces in a bowl. Pour cold custard over it and top it with hot or cold chocolate sauce and enjoy.
If preferred you can garnish it with nuts.</t>
  </si>
  <si>
    <t>பாலை கொதிக்க வைக்கவும். சர்க்கரை சேர்த்து நன்கு கலக்கவும்.
கொதித்த பிறகு, சூடான பாலுடன் கலந்த கஸ்டர்ட் பவுடரைச் சேர்த்து தொடர்ந்து கிளறவும்.
கலவை சிறிது கெட்டியாகும் வரை கிளறிக்கொண்டே இருங்கள். அது ஆறியதும் மேலும் கெட்டியாகும். ஆறவைத்து குளிர்விக்கவும்.
இரட்டை கொதிநிலையில் சாக்லேட்டை உருக்கவும். அதில் சிறிது பால் (1-2 டீஸ்பூன்) சேர்த்து மேலும் கொதிக்க வைக்கவும். அதை ஒதுக்கி வைக்கவும்.
(இரட்டை கொதிநிலை என்பது கொதிக்கும் நீரில் இருந்து வரும் வெப்பத்தைப் பயன்படுத்தி உருகும் சாக்லேட்டை நேரடி வெப்பத்தில் அல்ல)
துண்டுகளாக்கப்பட்ட வாழைப்பழத் துண்டுகளை ஒரு பாத்திரத்தில் போட்டு வைக்கவும். அதன் மேல் குளிர்ந்த கஸ்டர்டை ஊற்றி, அதன் மேல் சூடான அல்லது குளிர்ந்த சாக்லேட் சாஸை ஊற்றி மகிழுங்கள்.
விரும்பினால், நீங்கள் அதை கொட்டைகளால் அலங்கரிக்கலாம்.</t>
  </si>
  <si>
    <t>https://easycheaprecipes.com/wp-content/uploads/2024/04/banana-custard-1.jpg</t>
  </si>
  <si>
    <t>Fruit Custard</t>
  </si>
  <si>
    <t xml:space="preserve">   Vanilla flavored Custard powder – 2 tbsp,
   Milk – 3 tbsp ,
   Milk – 500 ml,
   Sugar – 50 grams,
   Mixed fruits – anything of your choice.</t>
  </si>
  <si>
    <t>வெண்ணிலா சுவை கொண்ட கஸ்டர்ட் பவுடர் - 2 டேபிள் ஸ்பூன்,
பால் - 3 டேபிள் ஸ்பூன்,
பால் - 500 மிலி,
சர்க்கரை - 50 கிராம்,</t>
  </si>
  <si>
    <t>Mix 2 tbsp of Vanilla custard powder with 3 tbsp of warm milk and make a smooth paste without any lumps. Your custard paste is ready.
Boil 2 1/2 cups of milk , add sugar to it.
Add the custard paste to the milk and cook stirring continuously until it becomes thick.
After it comes to room temperature, refrigerate it. Once it cools, it will become a little thick.
Cut fruits of your choice. You can use any seasonal fruits or mixed fruits.
Before serving, arrange the fruits in a bowl or cup and pour cold custard on top of it.
Serve Chilled.</t>
  </si>
  <si>
    <t>மிக்ஸ்டு ஃப்ரூட்ஸ் - உங்களுக்கு விருப்பமான எதையும்.
2 டேபிள் ஸ்பூன் வெண்ணிலா கஸ்டர்ட் பவுடரை 3 டேபிள் ஸ்பூன் சூடான பாலுடன் கலந்து, கட்டிகள் இல்லாமல் மென்மையான பேஸ்ட் தயாரிக்கவும். உங்கள் கஸ்டர்ட் பேஸ்ட் தயார்.
2 1/2 கப் பாலை கொதிக்க வைத்து, அதில் சர்க்கரை சேர்க்கவும்.
கஸ்டர்ட் பேஸ்ட்டை பாலில் சேர்த்து, கெட்டியாகும் வரை தொடர்ந்து கிளறி சமைக்கவும்.
அறை வெப்பநிலைக்கு வந்த பிறகு, அதை குளிர்சாதன பெட்டியில் வைக்கவும். அது குளிர்ந்ததும், அது சிறிது கெட்டியாக மாறும்.
உங்களுக்கு விருப்பமான பழங்களை வெட்டி எடுக்கவும். நீங்கள் எந்த பருவகால பழங்களையும் அல்லது மிக்ஸ்டு பழங்களையும் பயன்படுத்தலாம்.
பரிமாறுவதற்கு முன், பழங்களை ஒரு கிண்ணம் அல்லது கோப்பையில் அடுக்கி, அதன் மேல் குளிர்ந்த கஸ்டர்டை ஊற்றவும்.
குளிர்ந்ததும் பரிமாறவும்.</t>
  </si>
  <si>
    <t>https://delishbite.in/wp-content/uploads/2023/03/Blog_1-2.jpg</t>
  </si>
  <si>
    <t xml:space="preserve">   Raw Rice – 1/2 cup,
   Moong dal – 1/4 cup,
   Jaggery – 1 cup grated,
   Cashew nuts - 2 tbsp,
   Raisins - 2-3 tbsp,
   Cardamom – 4 pods,
   Ghee - 1/4 cup.</t>
  </si>
  <si>
    <t>பச்சை அரிசி - 1/2 கப்,
பாலாடைக்கட்டி - 1/4 கப்,
வெல்லம் - 1 கப் துருவியது,
முந்திரி பருப்பு - 2 டீஸ்பூன்,
திராட்சை - 2-3 டீஸ்பூன்,
ஏலக்காய் - 4 கப்,
நெய் - 1/4 கப்.</t>
  </si>
  <si>
    <t>Heat 1/4 cup of water in a pan and add jaggery to it. When it dissolves, filter it to remove impurities. Boil jaggery water with a tsp of ghee on medium heat. Take a cup of water, add a tsp of jaggery syrup to it, if it does not dissolve, then it is the right stage to add mashed rice and dal. (I make it very clear – you do not have to boil the jaggery water until it reaches sticky consistency or string consistency) 
Add mashed rice, dal mixture and cook for a few minutes until everything gets blended well as in the picture below. Add cardamom powder at this stage.
Fry cashew nuts in a tsp of ghee. Remove from pan and add to the rice dal mixture.
Add the rest of the ghee and fry raisins until they puff up and add it to the rice dal mixture along with ghee.
Cook for a few minutes on low heat until everything gets blended well. Serve hot.</t>
  </si>
  <si>
    <t>ஒரு பாத்திரத்தில் 1/4 கப் தண்ணீரை சூடாக்கி, அதில் வெல்லம் சேர்க்கவும். அது கரைந்ததும், அசுத்தங்களை நீக்க வடிகட்டி வைக்கவும். வெல்லம் தண்ணீரை ஒரு தேக்கரண்டி நெய்யுடன் மிதமான தீயில் கொதிக்க வைக்கவும். ஒரு கப் தண்ணீரை எடுத்து, அதில் ஒரு தேக்கரண்டி வெல்லம் சிரப் சேர்க்கவும், அது கரையவில்லை என்றால், மசித்த அரிசி மற்றும் பருப்பைச் சேர்க்க இதுவே சரியான நிலை. (நான் மிகத் தெளிவாகச் சொல்கிறேன் - வெல்லம் தண்ணீர் ஒட்டும் நிலைத்தன்மையை அடையும் வரை அல்லது சரம் நிலைத்தன்மையை அடையும் வரை நீங்கள் கொதிக்க வேண்டியதில்லை)
மசித்த அரிசி, பருப்பு கலவையைச் சேர்த்து, கீழே உள்ள படத்தில் உள்ளதைப் போல அனைத்தும் நன்றாகக் கலக்கும் வரை சில நிமிடங்கள் சமைக்கவும். இந்த கட்டத்தில் ஏலக்காய்ப் பொடியைச் சேர்க்கவும்.
ஒரு தேக்கரண்டி நெய்யில் முந்திரி பருப்பை வறுக்கவும். வாணலியில் இருந்து இறக்கி அரிசி பருப்பு கலவையில் சேர்க்கவும்.
மீதமுள்ள நெய்யைச் சேர்த்து, திராட்சையை கொப்பளிக்கும் வரை வதக்கி, அரிசி பருப்பு கலவையில் நெய்யுடன் சேர்க்கவும்.
குறைந்த வெப்பத்தில் எல்லாம் நன்றாகக் கலக்கும் வரை சில நிமிடங்கள் சமைக்கவும். சூடாகப் பரிமாறவும்.</t>
  </si>
  <si>
    <t>https://rakskitchen.net/wp-content/uploads/2012/10/sakkarai-pongal-feat-480x270.jpg</t>
  </si>
  <si>
    <t>https://youtu.be/e2rOh6xKr7s</t>
  </si>
  <si>
    <t xml:space="preserve">Milk - 1 liter,
Lemon juice – 2 tbsp,
Sugar – 2 cups,
Water – 4 cups,
All purpose flour – 1 tsp,
Cardamom powder – a pinch,
Mix a 2 tsp of maida in 3/4 cup of  warm water and keep it aside.
</t>
  </si>
  <si>
    <t>பால் - 1 லிட்டர்,
எலுமிச்சை சாறு - 2 டேபிள்ஸ்பூன்,
சர்க்கரை - 2 கப்,
தண்ணீர் - 4 கப்,
அனைத்து உபயோக மாவு - 1 டீஸ்பூன்,
ஏலக்காய் பொடி - ஒரு சிட்டிகை,
2 டேபிள்ஸ்பூன் மைதாவை 3/4 கப் வெதுவெதுப்பான நீரில் கலந்து தனியாக வைக்கவும்.</t>
  </si>
  <si>
    <t>You need soft paneer to make rasgullas.
Check out my detailed post on how to make paneer .
Boil milk in a heavy bottomed pan.When it comes to boil, simmer and add lemon juice stirring continuously.
The milk will start curdling. Stir until the milk solids separates from the whey.
Strain it using a muslin cloth.
Wash paneer well under cold running water to remove the lemon smell. Gather the four sides of the cloth, twist and squeeze out all water from the paneer.
Hang the muslin cloth with paneer for 40 minutes to drain all the excess water completely.
You will get soft crumbled paneer.
Knead the panner well, adding maida and 1/2 tsp of sugar to make a soft, pliable dough. The more you knead, the more softer your rasgullas will be. Your palms will become greasy and the paneer will leave the sides of the dish.
Divide the dough into equal portions and make smooth balls, ensure that there are no cracks.
Mix water, sugar and cardamom powder in a cooker/big vessel and boil. Let the sugar dissolve first.
When the sugar syrup is boiling, drop the balls gently into the hot sugar syrup. See to it that they do not touch each other.Cook on high flames for 7-8 minutes with lid closed. 
After that, open the lid, add 2-3 tbsp of the maida water and continue cooking for another 5 minutes. Now again add 2 tbsp of plain hot water to the boiling syrup. Adding a little hot water from time to time prevents the sugar syrup from getting thicker. 
Cook for another 3-4 minutes or till the balls are cooked. When you press the rasgullas slightly, it must return to its original shape, then it is an indication that it is cooked.
Let it be in the cooker until it cools down.
Refrigerate for 3 hours and serve cold. If needed garnish with slivered almonds and finely chopped pistachio.
Enjoy this New Year with Delicious Rasgollas.
You will get approximately 14-15 rasgullas for this measurement. This may vary depending upon the size of the balls.</t>
  </si>
  <si>
    <t>ரசகுல்லாஸ் செய்ய மென்மையான பனீர் தேவை.
பனீர் செய்வது எப்படி என்பது குறித்த எனது விரிவான பதிவைப் பாருங்கள்.
பாலை அடி கனமான பாத்திரத்தில் கொதிக்க வைக்கவும். கொதி வந்ததும், கொதிக்க வைத்து எலுமிச்சை சாறு சேர்த்து தொடர்ந்து கிளறவும்.
பால் கெட்டியாக ஆரம்பிக்கும். பால் கெட்டியாக மோரில் இருந்து பிரியும் வரை கிளறவும்.
மஸ்லின் துணியைப் பயன்படுத்தி வடிகட்டவும்.
எலுமிச்சை வாசனையை நீக்க குளிர்ந்த ஓடும் நீரின் கீழ் பனீரை நன்கு கழுவவும். துணியின் நான்கு பக்கங்களையும் சேகரித்து, முறுக்கி, பனீரிலிருந்து அனைத்து தண்ணீரையும் பிழிந்து எடுக்கவும்.
மஸ்லின் துணியை 40 நிமிடங்கள் பனீருடன் தொங்க விடவும், இதனால் அதிகப்படியான தண்ணீர் முழுவதுமாக வடிகட்டப்படும்.
மென்மையான, நொறுக்கப்பட்ட பனீர் கிடைக்கும்.
மைதா மற்றும் 1/2 தேக்கரண்டி சர்க்கரை சேர்த்து மென்மையான, நெகிழ்வான மாவை உருவாக்க பன்னரை நன்கு பிசையவும். நீங்கள் எவ்வளவு அதிகமாக பிசைகிறீர்களோ, அவ்வளவு மென்மையாக உங்கள் ரஸ்குல்லாக்கள் இருக்கும். உங்கள் உள்ளங்கைகள் எண்ணெய் மிக்கதாக மாறும், மேலும் பனீர் பாத்திரத்தின் பக்கவாட்டில் இருந்து வெளியேறும்.
மாவை சம பாகங்களாகப் பிரித்து மென்மையான பந்துகளை உருவாக்குங்கள், விரிசல்கள் இல்லாமல் பார்த்துக் கொள்ளுங்கள்.
ஒரு குக்கர்/பெரிய பாத்திரத்தில் தண்ணீர், சர்க்கரை மற்றும் ஏலக்காய் தூள் ஆகியவற்றை கலந்து கொதிக்க வைக்கவும். முதலில் சர்க்கரை கரைய விடவும்.
சர்க்கரை பாகு கொதித்ததும், உருண்டைகளை சூடான சர்க்கரை பாகில் மெதுவாக விடவும். அவை ஒன்றையொன்று தொடாமல் பார்த்துக் கொள்ளுங்கள். மூடியை மூடி 7-8 நிமிடங்கள் அதிக தீயில் சமைக்கவும்.
அதன் பிறகு, மூடியைத் திறந்து, 2-3 தேக்கரண்டி மைதா தண்ணீரைச் சேர்த்து மேலும் 5 நிமிடங்கள் சமைக்கவும். இப்போது மீண்டும் கொதிக்கும் சிரப்பில் 2 தேக்கரண்டி வெதுவெதுப்பான நீரைச் சேர்க்கவும். அவ்வப்போது சிறிது சூடான நீரைச் சேர்ப்பது சர்க்கரை பாகு கெட்டியாகாமல் தடுக்கிறது.
இன்னும் 3-4 நிமிடங்கள் அல்லது உருண்டைகள் வேகும் வரை சமைக்கவும். நீங்கள் ரஸ்குல்லாக்களை லேசாக அழுத்தும்போது, ​​அது அதன் அசல் வடிவத்திற்குத் திரும்ப வேண்டும், அது வெந்துவிட்டது என்பதற்கான அறிகுறியாகும்.
குக்கரில் ஆறிவிடும் வரை வைக்கவும்.
3 மணி நேரம் குளிர்சாதன பெட்டியில் வைத்து குளிர்ச்சியாக பரிமாறவும். தேவைப்பட்டால் பாதாம் மற்றும் இறுதியாக நறுக்கிய பிஸ்தா பருப்புகளால் அலங்கரிக்கவும்.
இந்த புத்தாண்டை சுவையான ரஸ்குல்லாக்களுடன் அனுபவிக்கவும்.
இந்த அளவீட்டிற்கு தோராயமாக 14-15 ரஸ்குல்லாக்கள் கிடைக்கும். இது உருண்டைகளின் அளவைப் பொறுத்து மாறுபடலாம்.</t>
  </si>
  <si>
    <t>https://cdn.uengage.io/uploads/28289/image-BSL8WN-1704795356.jpg</t>
  </si>
  <si>
    <t>Puffed rice balls</t>
  </si>
  <si>
    <t>பொரித்த அரிசி உருண்டைகள்</t>
  </si>
  <si>
    <t xml:space="preserve">     Pori – 4 1/2 cups heaped,
   Jaggery – 1 cup,
   Water – 1/2 cup,
   Cardamom powder – a generous pinch,
   Ghee – 1 tsp.</t>
  </si>
  <si>
    <t>பொரி - 4 1/2 கப் குவித்து,
வெல்லம் - 1 கப்,
தண்ணீர் - 1/2 கப்,
ஏலக்காய் தூள் - ஒரு சிட்டிகை,
நெய் - 1 டீஸ்பூன்.</t>
  </si>
  <si>
    <t>Heat 1/2 cup of water, add jaggery to it, after it melts, filter it to remove any impurities.
In a heavy bottomed pan, add the filtered jaggery water, cardamom powder, a tsp of ghee and boil the jaggery water, until it reaches a hard ball consistency. (ie)when you pour a tsp of jaggery syrup into a cup of water, it should not dissolve, you must be able to make a hard ball out of it. This is the right consistency. It is called paagu padham in tamil.
At this stage, switch off the flame, add the puffed rice to it and mix well.
Grease your hands with ghee and quickly make balls out of it, when the heat is bearable. Initially you can make roughly shaped balls. Then you can shape it nicely.</t>
  </si>
  <si>
    <t>1/2 கப் தண்ணீரை சூடாக்கி, வெல்லம் சேர்த்து, அது உருகிய பிறகு, அசுத்தங்களை நீக்க வடிகட்டி வைக்கவும்.
அடித்தளமான ஒரு பாத்திரத்தில், வடிகட்டிய வெல்ல நீர், ஏலக்காய் தூள், ஒரு டீஸ்பூன் நெய் சேர்த்து, வெல்லத் தண்ணீரை ஒரு கடினமான உருண்டை நிலைத்தன்மை அடையும் வரை கொதிக்க வைக்கவும். (அதாவது) ஒரு டீஸ்பூன் வெல்ல சிரப்பை ஒரு கப் தண்ணீரில் ஊற்றும்போது, ​​அது கரையக்கூடாது, அதிலிருந்து ஒரு கடினமான உருண்டையை உருவாக்க முடியும். இது சரியான நிலைத்தன்மை. இது தமிழில் பாகு பதம் என்று அழைக்கப்படுகிறது.
இந்த கட்டத்தில், சுடரை அணைத்து, பொரித்த அரிசியைச் சேர்த்து நன்கு கலக்கவும்.
உங்கள் கைகளில் நெய் தடவி, வெப்பம் தாங்கும் அளவுக்கு வந்ததும், அதிலிருந்து விரைவாக உருண்டைகளை உருவாக்கவும். ஆரம்பத்தில் தோராயமான வடிவ பந்துகளை உருவாக்கலாம். பின்னர் அதை அழகாக வடிவமைக்கலாம்.</t>
  </si>
  <si>
    <t>https://m.media-amazon.com/images/I/51XQ1QraKkL._AC_UF1000,1000_QL80_.jpg</t>
  </si>
  <si>
    <t>Chana Dal payasam</t>
  </si>
  <si>
    <t>சன்னா பருப்பு பாயசம்</t>
  </si>
  <si>
    <t>Bengal gram – 1/4 cup,
Jaggery – 1/3 cup heaped,
Milk - 2 1/4 cups,
Cashew nuts - 10,
Cardamom powder – 1/4 tsp,
Coconut bits – 1 tbsp,
Graded coconut – 1 tbsp.</t>
  </si>
  <si>
    <t>வங்காள பருப்பு - 1/4 கப்,
வெல்லம் - 1/3 கப் குவித்து,
பால் - 2 1/4 கப்,
முந்திரி பருப்பு - 10,
ஏலக்காய் தூள் - 1/4 தேக்கரண்டி,
தேங்காய் துண்டுகள் - 1 தேக்கரண்டி,
துருவிய தேங்காய் - 1 தேக்கரண்டி.</t>
  </si>
  <si>
    <t>Keep 1 tsp of cooked channa dal aside and grind the remaining channa dal with cashew nuts to a slightly coarse paste.
Bring jaggery to boil and add the grounded channa+cashew nut paste to it. Mix well so that there are no lumps. Switch off the flame.(No need to prepare jaggery syrup)
Add 2 1/4 cups of hot milk, cardamom powder, 1 tsp cooked channa dal and fried grated coconut.
Garnish with fried coconut bits. Delicious, simple, quick, easy payasam/Kheer is ready in no time.
This recipe serves 2 -3 persons.</t>
  </si>
  <si>
    <t>1 தேக்கரண்டி சமைத்த சன்னா பருப்பை ஒதுக்கி வைத்துவிட்டு, மீதமுள்ள சன்னா பருப்பை முந்திரி பருப்புடன் சிறிது கரடுமுரடான விழுதாக அரைக்கவும்.
வெல்லத்தை கொதிக்க வைத்து, அதில் அரைத்த சன்னா + முந்திரி விழுதை சேர்க்கவும். கட்டிகள் இல்லாதபடி நன்கு கலக்கவும். தீயை அணைக்கவும். (வெல்லம் சிரப் தயாரிக்க தேவையில்லை)
2 1/4 கப் சூடான பால், ஏலக்காய் தூள், 1 தேக்கரண்டி சமைத்த சன்னா பருப்பு மற்றும் வறுத்த துருவிய தேங்காய் சேர்க்கவும்.
வறுத்த தேங்காய் துண்டுகளால் அலங்கரிக்கவும். சுவையான, எளிமையான, விரைவான, எளிதான பாயசம்/கீர் சிறிது நேரத்தில் தயாராகிவிடும்.
இந்த செய்முறை 2-3 பேருக்குப் பயன்படும்.</t>
  </si>
  <si>
    <t>https://encrypted-tbn0.gstatic.com/images?q=tbn:ANd9GcTyRDd1Kg4ZK6T_mlDHmTAie7JcGyLcSmhcrA&amp;s</t>
  </si>
  <si>
    <t xml:space="preserve">   Rice flour - 1 cup,
   Oil - 1 tsp,
   Jaggery – 1 cup,
   Coconut - 1 cup grated,
   Cardamom powder – 1/4 tsp,
   Ghee - 1 tsp.</t>
  </si>
  <si>
    <t>அரிசி மாவு - 1 கப்,
எண்ணெய் - 1 டீஸ்பூன்,
வெல்லம் - 1 கப்,
தேங்காய் - 1 கப் துருவியது,
ஏலக்காய் பொடி - 1/4 டீஸ்பூன்,
நெய் - 1 டீஸ்பூன்.</t>
  </si>
  <si>
    <t>Heat 1 1/4 cup of water, add a tsp of oil to it and then add the prepared rice flour stirring continuously with the back of the ladle. Mix the rice flour well with the back of the ladle and so that there are no lumps.
Cook on low flame for 5 minutes stirring frequently. (Note -the quantity of water will differ from 1 cup -1 1/2 cup for 1 cup of rice flour depending upon the quality of rice)
Transfer the dough to a plate and let it cool. Keep a small bowl of warm water mixed with 1-2 tsp of oil besides you. Once the dough is warm, dip your finger in the water+oil mix and knead it to a smooth dough. If you feel that the dough is too dry, then sprinkle a little of that water+oil mixture and then knead the dough nicely. Cover it with a damp cloth, close it with a lid and keep it aside.
In the meantime, we will prepare the stuffing.
how to prepare kozhukattai for ganesh chaturthi
Melt the jaggery on low flame in half a cup of water and filter to remove impurities.
Heat jaggery water and when it starts boiling, add grated coconut and mix well.
preparation -jaggery syrup for kolukattai stuffing 
Add  a tsp of ghee and  cook until it starts to thicken.
Add cardamom powder and mix well. As the stuffing cools, it will thicken further. So you can switch it off a stage before that. See it it that you can make balls out of it. If not cook for a few more minutes. Now the stuffing  for kozhukattai is ready. When it cools a little, make small balls out of it and keep it aside.
vella kozhukattai stuffing 
Now our stuffing and the rice flour dough for making the kozhukattais are ready.
Make even sized balls from the stuffing.
Now take the rice flour dough and make small balls from it. Work batch by batch as the rice flour will dry very quickly. (always keep the dough covered with a damp cloth to prevent drying)
Grease your palms with oil, place a ball of dough on your palm and flatten it into a small circle as shown in the picture below. You can dip your fingers in the water+ oil mix, if needed to make it easier.
Now place a ball of the prepared jaggery stuffing.
Bring all the corners together and close it. Give it a nice kolukattai shape  as seen in the picture below.
Repeat the process for all the rice flour balls. If you have excess jaggery balls/stuffings, do not worry, you can eat it as such. I love it. 
Arrange all the prepared Kozhukattais on a greased idli plate and steam cook for 10-15 minutes or until done.Wait for 10 minutes to cool down and then remove it from the idly pan and enjoy!!
Delicious Kozhukattais are ready.</t>
  </si>
  <si>
    <t>1 1/4 கப் தண்ணீரை சூடாக்கி, அதில் ஒரு டீஸ்பூன் எண்ணெயைச் சேர்த்து, தயாரிக்கப்பட்ட அரிசி மாவை கரண்டியின் பின்புறத்துடன் தொடர்ந்து கிளறவும். அரிசி மாவை கரண்டியின் பின்புறத்துடன் நன்கு கலக்கவும், கட்டிகள் இல்லாதபடி கலக்கவும்.
அடிக்கடி கிளறி 5 நிமிடங்கள் குறைந்த தீயில் சமைக்கவும். (குறிப்பு -அரிசியின் தரத்தைப் பொறுத்து 1 கப் அரிசி மாவுக்கு 1 கப் -1 1/2 கப் தண்ணீரின் அளவு மாறுபடும்)
மாவை ஒரு தட்டில் மாற்றி ஆற விடவும். ஒரு சிறிய கிண்ணத்தில் 1-2 டீஸ்பூன் எண்ணெயுடன் கலந்து, உங்கள் அருகில் வெதுவெதுப்பான நீரை வைக்கவும். மாவு சூடாந்ததும், உங்கள் விரலை தண்ணீர்+எண்ணெய் கலவையில் நனைத்து, மென்மையான மாவாகப் பிசையவும். மாவு மிகவும் வறண்டதாக நீங்கள் உணர்ந்தால், அந்தத் தண்ணீர் + எண்ணெய் கலவையை சிறிது தெளித்து, பின்னர் மாவை நன்றாகப் பிசையவும். அதை ஈரமான துணியால் மூடி, ஒரு மூடியால் மூடி தனியாக வைக்கவும்.
இதற்கிடையில், நாங்கள் ஸ்டஃபிங் தயார் செய்வோம்.
கணேஷ் சதுர்த்திக்கு கொழுக்கட்டை தயாரிப்பது எப்படி
அரை கப் தண்ணீரில் வெல்லத்தை குறைந்த தீயில் உருக்கி, அசுத்தங்களை நீக்க வடிகட்டி வைக்கவும்.
வெல்லம் தண்ணீரை சூடாக்கி, கொதிக்க ஆரம்பித்ததும், துருவிய தேங்காயைச் சேர்த்து நன்கு கலக்கவும்.
கொலுக்கட்டை ஸ்டஃபிங்கிற்கான தயாரிப்பு - வெல்லம் சிரப்
ஒரு தேக்கரண்டி நெய்யைச் சேர்த்து கெட்டியாகும் வரை சமைக்கவும்.
ஏலக்காய்த் தூள் சேர்த்து நன்கு கலக்கவும். ஸ்டஃபிங் ஆறியதும், அது மேலும் கெட்டியாகும். எனவே அதற்கு முன் நீங்கள் அதை ஒரு கட்டத்தை அணைக்கலாம். அதிலிருந்து உருண்டைகள் செய்ய முடியும் என்பதை உறுதிப்படுத்திக் கொள்ளுங்கள். இல்லையென்றால் இன்னும் சில நிமிடங்கள் சமைக்கவும். இப்போது கொழுக்கட்டைக்கான ஸ்டஃபிங் தயாராக உள்ளது. அது சிறிது ஆறியதும், அதிலிருந்து சிறிய உருண்டைகளாக வெட்டி தனியாக வைக்கவும்.
வெல்லக் கொழுக்கட்டை ஸ்டஃபிங்
இப்போது எங்கள் ஸ்டஃபிங் மற்றும் கொழுக்கட்டை செய்வதற்கு அரிசி மாவு மாவு தயாராக உள்ளன.
ஸ்டஃபிங்கிலிருந்து சம அளவிலான பந்துகளை உருவாக்குங்கள்.
இப்போது அரிசி மாவு மாவை எடுத்து அதிலிருந்து சிறிய பந்துகளை உருவாக்குங்கள். அரிசி மாவு மிக விரைவாக காய்ந்துவிடும் என்பதால், தொகுதி வாரியாக வேலை செய்யுங்கள். (மாவை உலர்த்தாமல் இருக்க எப்போதும் ஈரமான துணியால் மூடி வைக்கவும்)
உங்கள் உள்ளங்கைகளில் எண்ணெயை தடவி, உங்கள் உள்ளங்கையில் ஒரு உருண்டை மாவை வைத்து, கீழே உள்ள படத்தில் காட்டப்பட்டுள்ளபடி ஒரு சிறிய வட்டமாக தட்டவும். தேவைப்பட்டால், அதை எளிதாக்க, உங்கள் விரல்களை தண்ணீர் + எண்ணெய் கலவையில் நனைக்கலாம்.
இப்போது தயாரிக்கப்பட்ட வெல்லக் கட்டியின் ஒரு உருண்டையை வைக்கவும்.
அனைத்து மூலைகளையும் ஒன்றாகக் கொண்டு அதை மூடவும். கீழே உள்ள படத்தில் காட்டப்பட்டுள்ளபடி ஒரு நல்ல கொழுக்கட்டை வடிவத்தைக் கொடுங்கள்.
அனைத்து அரிசி மாவு பந்துகளுக்கும் இந்த செயல்முறையை மீண்டும் செய்யவும். உங்களிடம் அதிகப்படியான வெல்லக் கட்டிகள்/ஸ்டஃபிங் இருந்தால், கவலைப்பட வேண்டாம், நீங்கள் அதை அப்படியே சாப்பிடலாம். எனக்கு அது மிகவும் பிடிக்கும்.
தயாரிக்கப்பட்ட அனைத்து கொழுக்கட்டையும் நெய் தடவிய இட்லி தட்டில் அடுக்கி, 10-15 நிமிடங்கள் அல்லது வேகவைத்து வேகவைக்கவும். 10 நிமிடங்கள் ஆறவிடவும், பின்னர் இட்லி பாத்திரத்திலிருந்து எடுத்து மகிழுங்கள்!!
சுவையான கொழுக்கட்டைகள் தயார்.</t>
  </si>
  <si>
    <t>https://www.vegrecipesofindia.com/wp-content/uploads/2018/09/kozhukattai.jpg</t>
  </si>
  <si>
    <t>Parupu Payasam with coconut milk</t>
  </si>
  <si>
    <t>தேங்காய்ப் பாலுடன் பருப்பு பாயாசம்</t>
  </si>
  <si>
    <t xml:space="preserve">   Moong dal-Pasi paruppu - 100 grams,
   Jaggery – 200 grams,
   Coconut – 1 big grated,
   Cashew nuts - 6-7,
   Coconut bits - 2 tbsp,
   Ghee - 2 tsp,
   Cardamom – 1/4 tsp.</t>
  </si>
  <si>
    <t>பாசிப்பருப்பு - 100 கிராம்,
வெல்லம் - 200 கிராம்,
தேங்காய் - 1 பெரிய துருவல்,
முந்திரி பருப்பு - 6-7,
தேங்காய் துண்டுகள் - 2 டீஸ்பூன்,
நெய் - 2 டீஸ்பூன்,
ஏலக்காய் - 1/4 டீஸ்பூன்.</t>
  </si>
  <si>
    <t>Take a heavy bottomed pan, add the cooked dal, filtered jaggery water and the second thin coconut milk.
Bring it to boil and then simmer until it reduces to half the quantity. Keep stirring all the time to prevent the dal from sticking to the bottom of the pan.
Then add the 1st coconut milk, a pinch of salt and remove from flame. Do not boil after adding the 1st coconut milk. Remove from heat when it is about to boil or just heat it.
Add cardamom powder, fried cashew nuts and coconut bits to the payasam.
Delicious Cherupayau Parippu payasam is ready to be served.</t>
  </si>
  <si>
    <t>ஒரு அடி கனமான பாத்திரத்தை எடுத்து, சமைத்த பருப்பை, வடிகட்டிய வெல்லம் தண்ணீர் மற்றும் இரண்டாவது மெல்லிய தேங்காய்ப் பாலைச் சேர்க்கவும்.
அதை கொதிக்க வைத்து, அதன் அளவு பாதியாகக் குறையும் வரை கொதிக்க வைக்கவும். பருப்பை பாத்திரத்தின் அடிப்பகுதியில் ஒட்டாமல் இருக்க எப்போதும் கிளறிக்கொண்டே இருங்கள்.
பின்னர் முதல் தேங்காய்ப் பால், ஒரு சிட்டிகை உப்பு சேர்த்து, தீயிலிருந்து இறக்கவும். முதல் தேங்காய்ப் பாலை சேர்த்த பிறகு கொதிக்க விடாதீர்கள். கொதிக்கும் போது அடுப்பிலிருந்து இறக்கவும் அல்லது சூடாக்கவும்.
பாயாசத்தில் ஏலக்காய் தூள், வறுத்த முந்திரி பருப்பு மற்றும் தேங்காய் துண்டுகளைச் சேர்க்கவும்.
சுவையான செருப்பாயாவு பரிப்பு பாயாசம் பரிமாற தயார்.</t>
  </si>
  <si>
    <t>https://encrypted-tbn0.gstatic.com/images?q=tbn:ANd9GcQm1EqqFQMZSmmfZoNuhPgOV2esQ1pj5NUvnQ&amp;s</t>
  </si>
  <si>
    <t>Rice Kheer</t>
  </si>
  <si>
    <t>அரிசி கீர்</t>
  </si>
  <si>
    <t xml:space="preserve">Milk - 4 cups,
Rice - 1/4 cup,
Sugar - 1/4 cup,
Cardamom powder - 1/4 tsp,
Raisins - 5-6,
Cashew nuts – 5-6.
</t>
  </si>
  <si>
    <t>பால் - 4 கப்,
அரிசி - 1/4 கப்,
சர்க்கரை - 1/4 கப்,
ஏலக்காய் தூள் - 1/4 தேக்கரண்டி,
திராட்சை - 5-6,
முந்திரி பருப்பு - 5-6.</t>
  </si>
  <si>
    <t>Boil milk and add the soaked rice (drain the water) to the milk.
Cook rice in the milk on low flames stirring it frequently so that it doesn’t get burnt.
When rice is cooked, mash it slightly with the ladle, then add sugar.
When sugar dissolves, add cardamom powder, cashew nuts, raisins and almonds.
Rice kheer is ready to be served hot or cold. Sounds so easy isn’t it?
In my house everybody prefers it cold, so I usually refrigerate it when it cools down.</t>
  </si>
  <si>
    <t>பாலை கொதிக்க வைத்து, ஊறவைத்த அரிசியை பாலில் சேர்க்கவும் (தண்ணீரை வடித்து விடவும்).
சாதம் கருகாமல் இருக்க அடிக்கடி கிளறி, பாலில் குறைந்த தீயில் சமைக்கவும்.
சாதம் வெந்ததும், கரண்டியால் லேசாக மசித்து, சர்க்கரை சேர்க்கவும்.
சர்க்கரை கரைந்ததும், ஏலக்காய் தூள், முந்திரி, திராட்சை மற்றும் பாதாம் சேர்க்கவும்.
சாதம் கீர் சூடாகவோ அல்லது குளிராகவோ பரிமாற தயாராக உள்ளது. இது மிகவும் எளிதாகத் தெரிகிறது, இல்லையா?
என் வீட்டில் எல்லோரும் அதை குளிர்சாதன பெட்டியில் வைப்பார்கள், அதனால் அது குளிர்ந்ததும் குளிர்சாதன பெட்டியில் வைப்பது வழக்கம்.</t>
  </si>
  <si>
    <t>https://encrypted-tbn0.gstatic.com/images?q=tbn:ANd9GcQi8JXq-bgYyvzhwFyJfZwXT-_B_d72R2ECSg&amp;s</t>
  </si>
  <si>
    <t xml:space="preserve">   Semolina – 1 cup,
   Ghee – 1 cup,
   Sugar – 2 cups,
   Water – 3 cups,
   Cashew nuts – 10,
   Raisins - 10,
   Cardamom - 3-4 powdered,
   Kesari Powder – a pinch.</t>
  </si>
  <si>
    <t>ரவை - 1 கப்,
நெய் - 1 கப்,
சர்க்கரை - 2 கப்,
தண்ணீர் - 3 கப்,
முந்திரி பருப்பு - 10,
திராட்சை - 10,
ஏலக்காய் - 3-4 பொடித்தது,
கேசரி பொடி - ஒரு சிட்டிகை.</t>
  </si>
  <si>
    <t xml:space="preserve">Dry roast rava (semolina) for a few seconds till it gets slightly heated. 
Heat a little ghee, fry cashew nuts and raisins separately and keep it aside.
Add the remaining ghee, add rava and fry for a few minutes.
Boil 3 cups of water, add a pinch of kesari powder to it. Then add the boiling water to the rava, simmer and cook.
After all the water evaporates, add sugar, mix well and cook on low flame until the kesari starts to leave the sides of the pan.
Add cardamom powder, cashew nuts, raisins and serve hot or warm.
</t>
  </si>
  <si>
    <t>ரவையை (ரவை) சிறிது சூடாக்கும் வரை சில நொடிகள் உலர வறுக்கவும்.
சிறிது நெய்யை சூடாக்கி, முந்திரி பருப்பு மற்றும் திராட்சையை தனித்தனியாக வறுத்து ஒதுக்கி வைக்கவும்.
மீதமுள்ள நெய்யைச் சேர்த்து, ரவையைச் சேர்த்து சில நிமிடங்கள் வதக்கவும்.
3 கப் தண்ணீரை கொதிக்க வைத்து, அதில் ஒரு சிட்டிகை கேசரி பொடியைச் சேர்க்கவும். பின்னர் கொதிக்கும் நீரை ரவையில் சேர்த்து, கொதிக்க வைத்து சமைக்கவும்.
தண்ணீர் அனைத்தும் ஆவியாகிய பிறகு, சர்க்கரையைச் சேர்த்து, நன்கு கலந்து, கேசரி வாணலியின் ஓரங்களில் இருந்து வெளியேறத் தொடங்கும் வரை குறைந்த தீயில் சமைக்கவும்.
ஏலக்காய் பொடி, முந்திரி பருப்பு, திராட்சை ஆகியவற்றைச் சேர்த்து சூடாகவோ அல்லது சூடாகவோ பரிமாறவும்.</t>
  </si>
  <si>
    <t>https://www.vegrecipesofindia.com/wp-content/uploads/2021/06/kesari-recipe-1-500x500.jpg</t>
  </si>
  <si>
    <t>https://youtu.be/-jZwbCk5Y80</t>
  </si>
  <si>
    <t>Vermicelli kheer</t>
  </si>
  <si>
    <t>சேமியா கீர்</t>
  </si>
  <si>
    <t xml:space="preserve">   Milk – 5 cups,
   Vermicelli – 75 grams,
   Sugar - 1/2 cup,
   Cashew nuts – 8 – 10,
   Cardamom – 3-4,
   Raisins - 10 -15,
   Ghee  – 1 tbsp.</t>
  </si>
  <si>
    <t>பால் - 5 கப்,
சேமியா - 75 கிராம்,
சர்க்கரை - 1/2 கப்,
முந்திரி பருப்பு - 8 - 10,
ஏலக்காய் - 3-4,
திராட்சை - 10 -15,
நெய் - 1 டீஸ்பூன்.</t>
  </si>
  <si>
    <t>Heat 2 tsp of ghee in a pan and roast Vermicelli/semiya until light golden brown. Remove and keep it aside.
In the same pan, heat some more ghee and fry cashew nuts and raisins separately. Keep it aside.
Powder cardamom with a tsp of sugar and keep it ready.
Boil milk in a heavy bottomed pan, then add the roasted vermicelli to it and cook on medium heat until it becomes soft. Keep stirring it to prevent it from getting burnt. (I used 3.5% fat milk)
Then add sugar and stir until it dissolves.
Then add cardamom powder, cashew nuts and raisins.
Vermicelli kheer is ready to be served. It can be served hot or chilled according to individual preferences.
As it cools the kheer will become thick. You can add hot or cold milk to adjust the consistency of the kheer before serving.</t>
  </si>
  <si>
    <t>ஒரு கடாயில் 2 தேக்கரண்டி நெய்யை சூடாக்கி, சேமியா/சேமியாவை லேசான பொன்னிறமாகும் வரை வறுக்கவும். அதை எடுத்து தனியாக வைக்கவும்.
அதே கடாயில், இன்னும் சிறிது நெய்யை சூடாக்கி, முந்திரி பருப்பு மற்றும் திராட்சையை தனித்தனியாக வறுக்கவும். அதை தனியாக வைக்கவும்.
ஏலக்காயை ஒரு தேக்கரண்டி சர்க்கரையுடன் பொடி செய்து தயாராக வைக்கவும்.
அடி கனமான பாத்திரத்தில் பாலை கொதிக்க வைத்து, அதில் வறுத்த சேமியாவை சேர்த்து, மிதமான தீயில் மென்மையாகும் வரை சமைக்கவும். அது எரியாமல் இருக்க தொடர்ந்து கிளறவும். (நான் 3.5% கொழுப்புள்ள பாலைப் பயன்படுத்தினேன்)
பின்னர் சர்க்கரை சேர்த்து கரையும் வரை கிளறவும்.
பின்னர் ஏலக்காய் தூள், முந்திரி பருப்பு மற்றும் திராட்சை சேர்க்கவும்.
சேமியா கீர் பரிமாற தயாராக உள்ளது. இதை சூடாகவோ அல்லது குளிரவைத்தோ பரிமாறலாம்.
குளிர்ந்ததும் கீர் கெட்டியாகிவிடும். பரிமாறும் முன் கீரின் நிலைத்தன்மையை சரிசெய்ய சூடான அல்லது குளிர்ந்த பால் சேர்க்கலாம்.</t>
  </si>
  <si>
    <t>https://www.whiskaffair.com/wp-content/uploads/2020/08/Seviyan-Kheer-2-3.jpg</t>
  </si>
  <si>
    <t>Beat the butter. Add powdered sugar and mix till the sugar dissolves.
Add egg mixture and mix well.
Then add wheat flour and milk little by little and mix well.
The batter should neither be thick nor thin.
Mix  a tsp of vanilla essence, a pinch of salt and ½ tsp lemon juice to the batter.
Preheat the waffle iron. Take a little batter and spread it on the hot waffle iron and close it.
Within 1 minute the waffles will be done. Remove it with a wooden spatula.
Repeat the process for the rest of the dough.
You will get 9 waffles using this measurement.</t>
  </si>
  <si>
    <t>வெண்ணெயை அடிக்கவும். பொடித்த சர்க்கரையைச் சேர்த்து சர்க்கரை கரையும் வரை கலக்கவும்.
முட்டை கலவையைச் சேர்த்து நன்கு கலக்கவும்.
பின்னர் கோதுமை மாவு மற்றும் பால் ஆகியவற்றை சிறிது சிறிதாக சேர்த்து நன்கு கலக்கவும்.
மாவு கெட்டியாகவோ அல்லது மெல்லியதாகவோ இருக்கக்கூடாது.
ஒரு ஸ்பூன் வெண்ணிலா எசன்ஸ், ஒரு சிட்டிகை உப்பு மற்றும் ½ டீஸ்பூன் எலுமிச்சை சாறு ஆகியவற்றை மாவில் கலக்கவும்.
வாஃபிள் இரும்பை முன்கூட்டியே சூடாக்கவும். சிறிது மாவை எடுத்து சூடான வாஃபிள் இரும்பில் தடவி மூடவும்.
1 நிமிடத்திற்குள் வாஃபிள்ஸ் தயாராகிவிடும். ஒரு மர ஸ்பேட்டூலாவைப் பயன்படுத்தி அதை அகற்றவும்.
மீதமுள்ள மாவுக்கு இந்த செயல்முறையை மீண்டும் செய்யவும்.
இந்த அளவீட்டைப் பயன்படுத்தி உங்களுக்கு 9 வாஃபிள்கள் கிடைக்கும்.</t>
  </si>
  <si>
    <t>https://cravinghomecooked.com/wp-content/uploads/2019/02/easy-waffle-recipe-1-16.jpg</t>
  </si>
  <si>
    <t>Puran Poli</t>
  </si>
  <si>
    <t>பூரான் பொலி</t>
  </si>
  <si>
    <t>All purpose flour/Maida - 1 cup,
Oil – 2 tbsp,
Turmeric powder - a pinch,
Bengal gram - 1/2 cup,
Jaggery – 3/4 cup,
Coconut  -  1/3 cup,
Ghee – 1 tsp,
Cardamom powder - 1/3 tsp,
Plantain leaf/ziplock sheet.</t>
  </si>
  <si>
    <t>அனைத்து உபயோக மாவு/மைதா - 1 கப்,
எண்ணெய் - 2 டேபிள்ஸ்பூன்,
மஞ்சள் தூள் - ஒரு சிட்டிகை,
வங்காளப் பருப்பு - 1/2 கப்,
வெல்லம் - 3/4 கப்,
தேங்காய் - 1/3 கப்,
நெய் - 1 டேபிள்ஸ்பூன்,
ஏலக்காய் தூள் - 1/3 டேபிள்ஸ்பூன்,
வாழை இலை/ஜிப்லாக் தாள்.</t>
  </si>
  <si>
    <t>Made a soft dough by mixing flour, turmeric powder and needed water. Knead it, add 2 tbsp oil and keep it covered for 3-4 hours. Let it remain soaked in oil. The more it remains soaked in oil the more softer the boli will be. It must be soaked in oil atleast for a minimum of 1 hour, if 3-4 hours is not possible.
Wash and soak bengal gram (kadalai paruppu) for half an hour.
Pressure cook bengal gram dal with water (add enough water to cover the dal) for 2 whistles or until soft but not mushy. You can also cook in a pan.
In a bowl, add grated jaggery and just enough water to soak the jaggery. Cook on low heat until the jaggery dissolves. Once it dissolves, filter it to remove dust and impurities if any.
Drain off excess water from the bengal gram dal (channa dal). In a pan, add the filtered jaggery water, cooked bengal gram dal, grated coconut and a tsp of ghee.
Cook on medium heat stirring continuously until it leaves the sides of the pan.
Leave it to cool. Then grind it to a slightly smooth paste adding cardamom powder. Now our stuffing for poli is ready. (see picture below)
puran poli stuffing- coconut, jaggery and dal stuffing 
After 3 – 4 hours – Take the maida dough which we kept aside and knead it well again.
Now both the dough and the stuffing for poli are ready, we will start making poli.
Making Poli
Divide the stuffing into gooseberry sized balls. Grease a plantain leaf with oil. Take a small ball of dough and place it on the plantain leaf.
obbattu recipe 
Grease your fingers with oil and flatten the dough with your fingers to form a small circle as shown below.
Place a small ball of poli stuffing at the center and seal it on all sides forming a small ball.
Now flatten the ball with the stuffing inside to form a thin small circle.
Grease the tawa slightly with ghee and heat it. Now invert the plantain leaf with the poli over the tawa as seen in the picture below.
After a few seconds, gently remove the plantain leaf.
Now cook the poli both the sides until golden brown on very low heat.
Once cooked, apply ghee all over the surface and remove from heat. Now puran poli is ready to be served. Enjoy it warm.</t>
  </si>
  <si>
    <t>மாவு, மஞ்சள் தூள் மற்றும் தேவையான தண்ணீரை கலந்து மென்மையான மாவை தயாரிக்கவும். பிசைந்து, 2 டேபிள்ஸ்பூன் எண்ணெய் சேர்த்து 3-4 மணி நேரம் மூடி வைக்கவும். எண்ணெயில் ஊற விடவும். எண்ணெயில் எவ்வளவு அதிகமாக ஊறுகிறதோ, அவ்வளவு மென்மையாக இருக்கும். 3-4 மணி நேரம் முடியாவிட்டால், குறைந்தபட்சம் 1 மணிநேரம் எண்ணெயில் ஊற வைக்க வேண்டும்.
வங்கப் பருப்பை (கடலை பருப்பு) கழுவி அரை மணி நேரம் ஊற வைக்கவும்.
பெங்கால் பருப்பை தண்ணீரில் (பருப்பை மூடும் அளவுக்கு தண்ணீர் சேர்த்து) 2 விசில் வரை அல்லது மென்மையாகும் வரை ஆனால் மென்மையாக இல்லாமல் வேக வைக்கவும். நீங்கள் ஒரு பாத்திரத்திலும் சமைக்கலாம்.
ஒரு பாத்திரத்தில், துருவிய வெல்லம் மற்றும் வெல்லத்தை ஊற வைக்கும் அளவுக்கு தண்ணீர் சேர்க்கவும். வெல்லம் கரையும் வரை குறைந்த தீயில் சமைக்கவும். அது கரைந்ததும், தூசி மற்றும் அசுத்தங்கள் இருந்தால் அதை அகற்ற வடிகட்டி வைக்கவும்.
பெங்கால் பருப்பில் (சன்னா பருப்பில்) இருந்து அதிகப்படியான தண்ணீரை வடிகட்டவும். ஒரு பாத்திரத்தில், வடிகட்டிய வெல்லம் தண்ணீர், சமைத்த பெங்கால் பருப்பு, துருவிய தேங்காய் மற்றும் ஒரு தேக்கரண்டி நெய் சேர்க்கவும்.
பாசியின் பக்கவாட்டில் இருந்து வெளியேறும் வரை தொடர்ந்து கிளறி மிதமான தீயில் சமைக்கவும்.
அதை ஆற விடவும். பின்னர் ஏலக்காய் தூள் சேர்த்து சிறிது மென்மையான பேஸ்டாக அரைக்கவும். இப்போது பாலிக்கான எங்கள் ஸ்டஃபிங் தயாராக உள்ளது. (கீழே உள்ள படத்தைப் பார்க்கவும்)
பூரன் பாலி ஸ்டஃபிங்- தேங்காய், வெல்லம் மற்றும் பருப்பை ஸ்டஃபிங்
3 - 4 மணி நேரத்திற்குப் பிறகு - நாம் ஒதுக்கி வைத்திருந்த மைதா மாவை எடுத்து மீண்டும் நன்றாகப் பிசையவும்.
இப்போது மாவு மற்றும் போலிக்கான ஸ்டஃபிங் இரண்டும் தயாராக உள்ளன, நாம் போலி செய்யத் தொடங்குவோம்.
போலி தயாரிக்கவும்
ஸ்டஃபிங்கை நெல்லிக்காய் அளவு உருண்டைகளாகப் பிரிக்கவும். வாழை இலையில் எண்ணெயுடன் தடவவும். ஒரு சிறிய உருண்டை மாவை எடுத்து வாழை இலையில் வைக்கவும்.
ஒப்பட்டு செய்முறை
உங்கள் விரல்களில் எண்ணெயுடன் தடவி, கீழே காட்டப்பட்டுள்ளபடி ஒரு சிறிய வட்டத்தை உருவாக்க உங்கள் விரல்களால் மாவை தட்டையாக்குங்கள்.
போலி ஸ்டஃபிங்கின் ஒரு சிறிய உருண்டையை மையத்தில் வைத்து, அனைத்து பக்கங்களிலும் ஒரு சிறிய உருண்டையை உருவாக்குங்கள்.
இப்போது பந்தை உள்ளே ஸ்டஃபிங்குடன் தட்டையாக்குங்கள், இதனால் ஒரு மெல்லிய சிறிய வட்டம் உருவாகும்.
தவாவை சிறிது நெய்யுடன் தடவி சூடாக்கவும். இப்போது கீழே உள்ள படத்தில் காட்டப்பட்டுள்ளபடி, போலியுடன் வாழை இலையை தலைகீழாக மாற்றவும்.
சில வினாடிகளுக்குப் பிறகு, வாழை இலையை மெதுவாக அகற்றவும்.
இப்போது பாலியை இருபுறமும் மிகக் குறைந்த தீயில் பொன்னிறமாகும் வரை சமைக்கவும்.
சமைத்தவுடன், மேற்பரப்பு முழுவதும் நெய் தடவி, வெப்பத்திலிருந்து அகற்றவும். இப்போது பூரான் பாலி பரிமாற தயாராக உள்ளது. சூடாக மகிழுங்கள்.</t>
  </si>
  <si>
    <t>https://static.toiimg.com/thumb/55045560.cms?imgsize=252832&amp;width=800&amp;height=800</t>
  </si>
  <si>
    <t>https://youtu.be/bvvmVVvYhYY</t>
  </si>
  <si>
    <t>கேரட் அல்வா</t>
  </si>
  <si>
    <t xml:space="preserve">   Carrots - 250 grams,
   Milk - 3/4 cup,
   Sugar – 1/4 cup,
   Cashew nuts - 5-6,
   Raisins -  6-8,
   Cardamom - 3,
   Ghee - 2 tbsp.</t>
  </si>
  <si>
    <t>கேரட் - 250 கிராம்,
பால் - 3/4 கப்,
சர்க்கரை - 1/4 கப்,
முந்திரி பருப்பு - 5-6,
திராட்சை - 6-8,
ஏலக்காய் - 3,
நெய் - 2 டேபிள்ஸ்பூன்.</t>
  </si>
  <si>
    <t>Heat a tsp of ghee and fry the carrots a little.
Add milk to it and cook on medium flame until all the milk evaporates.
Add sugar, remaining ghee and cook on low heat until it leaves the sides of the pan.
Mix cardamom powder and garnish with cashew nuts and raisins.
It can be taken either hot,cold or at room temperature.
Enjoy your holidays. Meet you all again in 2010 with a sweet dish.</t>
  </si>
  <si>
    <t>ஒரு டீஸ்பூன் நெய்யை சூடாக்கி, கேரட்டை சிறிது வதக்கவும்.
அதனுடன் பால் சேர்த்து, பால் முழுவதும் ஆவியாகும் வரை மிதமான தீயில் சமைக்கவும்.
சர்க்கரை, மீதமுள்ள நெய் சேர்த்து, வாணலியின் ஓரங்களில் இருந்து வெளியேறும் வரை குறைந்த தீயில் சமைக்கவும்.
ஏலக்காய் தூள் கலந்து, முந்திரி பருப்பு மற்றும் திராட்சையால் அலங்கரிக்கவும்.
இதை சூடாகவோ, குளிராகவோ அல்லது அறை வெப்பநிலையிலோ எடுத்துக்கொள்ளலாம்.
உங்கள் விடுமுறையை அனுபவியுங்கள். 2010 இல் ஒரு இனிப்பு உணவுடன் உங்கள் அனைவரையும் மீண்டும் சந்திக்கவும்.</t>
  </si>
  <si>
    <t>https://greedyeats.com/wp-content/uploads/2023/08/Carrot-Halwa.jpg</t>
  </si>
  <si>
    <t>Almond Kheer</t>
  </si>
  <si>
    <t>பாதாம் கீர்</t>
  </si>
  <si>
    <t xml:space="preserve">
   Milk – 6 cups boiled milk,
   Almonds - 50 grams,
   Cashew nuts  - 25 grams,
   Sugar – 3/4 cup,
   Cardamom – 2-3 powdered,
   Saffron – 2-3 strands,
   saara parupu - 10 grams,
   Kesari colour – a pinch .</t>
  </si>
  <si>
    <t>பால் - 6 கப் வேகவைத்த பால்,
பாதாம் - 50 கிராம்,
முந்திரி பருப்பு - 25 கிராம்,
சர்க்கரை - 3/4 கப்,
ஏலக்காய் - 2-3 பொடி,
குங்குமப்பூ - 2-3 இழைகள்,
சாரா பருப்பு - 10 கிராம்,
கேசரி நிறம் - ஒரு சிட்டிகை.</t>
  </si>
  <si>
    <t>Soak almonds and cashew nuts in warm water for 2 hours.
Take 4 1/2 cups of milk and simmer it till it reduces to 2 1/2 cups.
Peel the skin of almonds and grind it with a little milk along with cashew nuts to a coarse paste.
Mix this paste with the remaining 1 1/2 cups of milk and cook till the raw flavour goes.
Now mix both the milk together, add sugar and simmer till sugar dissolves. Remove from flame.
Add cardamom powder, saffron and kesari powder.
Fry chironji in a tsp of ghee and add to the Kheer to give a rich and royal taste.
Celebrate your New Year with this yummy and rich Badam/almond kheer.</t>
  </si>
  <si>
    <t>பாதாம் மற்றும் முந்திரி பருப்பை வெதுவெதுப்பான நீரில் 2 மணி நேரம் ஊற வைக்கவும்.
4 1/2 கப் பால் எடுத்து, அது 2 1/2 கப் ஆகும் வரை கொதிக்க வைக்கவும்.
பாதாமின் தோலை உரித்து, சிறிது பாலுடன் முந்திரி பருப்புடன் சேர்த்து கரடுமுரடான பேஸ்டாக அரைக்கவும்.
இந்த பேஸ்ட்டை மீதமுள்ள 1 1/2 கப் பாலுடன் கலந்து, பச்சை வாசனை போகும் வரை சமைக்கவும்.
இப்போது இரண்டு பாலையும் ஒன்றாக கலந்து, சர்க்கரை சேர்த்து, சர்க்கரை கரையும் வரை கொதிக்க வைக்கவும். தீயிலிருந்து இறக்கவும்.
ஏலக்காய் தூள், குங்குமப்பூ மற்றும் கேசரி தூள் சேர்க்கவும்.
ஒரு டீஸ்பூன் நெய்யில் சிரோஞ்சியை வறுத்து, கீருடன் சேர்க்கவும், இது ஒரு அருமையான மற்றும் அரச சுவையைக் கொடுக்கும்.
இந்த சுவையான மற்றும் பணக்கார பாதாம்/பாதாம் கீருடன் உங்கள் புத்தாண்டைக் கொண்டாடுங்கள்.</t>
  </si>
  <si>
    <t>https://www.whiskaffair.com/wp-content/uploads/2022/01/Badam-Kheer-2-3.jpg</t>
  </si>
  <si>
    <t>https://bakewithzoha.com/wp-content/uploads/2023/03/easy-chocolate-cake-slice-scaled.jpg</t>
  </si>
  <si>
    <t>Carrot Kheer</t>
  </si>
  <si>
    <t>கேரட் கீர்</t>
  </si>
  <si>
    <t xml:space="preserve">   Carrots – 2 ,
   Milk - 1/2 liter,
   Sugar – 3-4 tbsp,
   Ghee - 1 tsp,
   Cashews – 6-7,
   Almonds – 6-7,
   Cardamom powder – a generous pinch,
   Saffron – 5-6 strands.</t>
  </si>
  <si>
    <t>கேரட் - 2 ,
பால் - 1/2 லிட்டர்,
சர்க்கரை - 3-4 டீஸ்பூன்,
நெய் - 1 டீஸ்பூன்,
முந்திரி - 6-7,
பாதாம் - 6-7,
ஏலக்காய் தூள் - ஒரு சிட்டிகை,
குங்குமப்பூ - 5-6 தழைகள்.</t>
  </si>
  <si>
    <t>Heat a tsp of ghee and fry the carrots until the raw smell goes.
Boil milk and keep stirring until it reduces a little in volume.
Then add carrots and the cashew nut-almond paste.
Cook for a few more minutes stirring in between.
Add sugar and let it dissolve. Remove from flame.
Add cardamom powder, saffron and serve it hot or cold.</t>
  </si>
  <si>
    <t>ஒரு டீஸ்பூன் நெய்யை சூடாக்கி, கேரட்டை பச்சை வாசனை போகும் வரை வறுக்கவும்.
பாலை கொதிக்க வைத்து, அதன் அளவு சிறிது குறையும் வரை கிளறவும்.
பின்னர் கேரட் மற்றும் முந்திரி-பாதாம் விழுதை சேர்க்கவும்.
இடையில் கிளறி இன்னும் சில நிமிடங்கள் சமைக்கவும்.
சர்க்கரை சேர்த்து கரைய விடவும். தீயிலிருந்து இறக்கவும்.
ஏலக்காய் தூள், குங்குமப்பூ சேர்த்து சூடாகவோ அல்லது குளிராகவோ பரிமாறவும்.</t>
  </si>
  <si>
    <t>https://pipingpotcurry.com/wp-content/uploads/2017/08/Carrot-Kheer-Piping-Pot-Curry.jpg</t>
  </si>
  <si>
    <t>Potato Bonda</t>
  </si>
  <si>
    <t>உருளைக்கிழங்கு போண்டா</t>
  </si>
  <si>
    <t xml:space="preserve">   Potato – 4,
   Onion – 1 big,
   Green chilli – 1,
   Turmeric powder – 1/4 tsp,
   Salt to taste,
   Oil – 2 tsp,
   Cashew nuts - 5,
   Mustard seeds – 1 tsp,
    Asafoetida – a pinch,
   Curry leaves – a sprig,
   Coriander leaves – 2 tbsp,
   Lemon juice – few drops,
   Gram flour – 3/4 cup,
   Rice flour – 1/4 cup,
   Red chilli powder – 1 tsp,
   Cooking soda – a pinch,
   Hot oil – 1 tsp,
   Salt as needed,
   Water as needed,
   Oil for frying.</t>
  </si>
  <si>
    <t>உருளைக்கிழங்கு - 4,
வெங்காயம் - 1 பெரியது,
பச்சை மிளகாய் - 1,
மஞ்சள் தூள் - 1/4 டீஸ்பூன்,
ருசிக்க உப்பு,
எண்ணெய் - 2 டீஸ்பூன்,
முந்திரி பருப்பு - 5,
கடுகு - 1 டீஸ்பூன்,
பெருங்காயம் - ஒரு சிட்டிகை,
கறிவேப்பிலை - ஒரு தளிர்,
கொத்தமல்லி இலை - 2 டீஸ்பூன்,
எலுமிச்சை சாறு - சில துளிகள்,
கடலை மாவு - 3/4 கப்,
அரிசி மாவு - 1/4 கப்,
சிவப்பு மிளகாய் தூள் - 1 டீஸ்பூன்,
சமையல் சோடா - ஒரு சிட்டிகை,
சூடான எண்ணெய் - 1 டீஸ்பூன்,
தேவைக்கேற்ப உப்பு,
தேவைக்கேற்ப தண்ணீர்,
வறுக்க எண்ணெய்.</t>
  </si>
  <si>
    <t xml:space="preserve">Pressure cook potatoes for 3 whistles. Once the pressure subsides, open the cooker. Peel the skin of the potatoes and mash it without any lumps when it is slightly hot.  Don’ t make it to a paste.
Finely chop onion and green chillies. 
Heat oil in a pan, saute cashew nuts until golden brown and remove it from pan.
In the same pan, add mustard seeds, when it splutters, add hing, curry leaves, onion, green chilli and saute until onions turn transparent.
Add turmeric powder and salt to taste.
Add the mashed potatoes, cashew nuts, mix well and switch off the heat.
Garnish with finely chopped coriander leaves and keep it aside to cool. Once it cools, add 3-4 drops of lemon juice and mix well.
In a bowl, mix together gram flour, rice flour, chilli powder, salt and baking soda.
Add water little at a time so that the batter is neither thin nor too thick. It should be of coating consistency. Add a tsp of hot oil to it and mix well. This is the bonda batter.
Divide the potato mixture equally and make balls out of it. (I made some smaller balls to be fried in paniyaram pan).
Now dip 3-4 potato balls in the prepared batter in such a way it is well coated on all the sides.
Heat oil in a kadai, drop a small drop of batter into the oil, if it raises to the surface immediately, the oil is ready for frying.
Reduce the heat to medium and drop 3-4 of the batter coated potato balls into the oil. 
Do not disturb for the first few seconds, then stir, flip it over and fry until it turns golden brown.
Remove from heat and place it on a colander or paper towel to drain excess oil. Repeat the same process for the rest of the potato balls.
Aloo bondas can be served with coconut chutney, green chutney or ketchup.
</t>
  </si>
  <si>
    <t>உருளைக்கிழங்கை 3 விசில் வரை வேக வைக்கவும். அழுத்தம் குறைந்தவுடன், குக்கரைத் திறக்கவும். உருளைக்கிழங்கின் தோலை உரித்து, சிறிது சூடாகும்போது கட்டிகள் இல்லாமல் மசிக்கவும். அதை ஒரு பேஸ்டாக மாற்ற வேண்டாம்.
வெங்காயம் மற்றும் பச்சை மிளகாயை நன்றாக நறுக்கவும்.
ஒரு பாத்திரத்தில் எண்ணெயை சூடாக்கி, முந்திரி பருப்பை பொன்னிறமாகும் வரை வதக்கி, வாணலியில் இருந்து எடுக்கவும்.
அதே பாத்திரத்தில், கடுகு சேர்த்து, அது வதங்கியதும், பெருங்காயம், கறிவேப்பிலை, வெங்காயம், பச்சை மிளகாய் சேர்த்து வெங்காயம் தெளிவாகும் வரை வதக்கவும்.
மஞ்சள் தூள் மற்றும் சுவைக்கு உப்பு சேர்க்கவும்.
மசித்த உருளைக்கிழங்கு, முந்திரி பருப்பை சேர்த்து நன்கு கலந்து, அடுப்பை அணைக்கவும்.
பொடியாக நறுக்கிய கொத்தமல்லி இலைகளால் அலங்கரித்து, குளிர்விக்க ஒதுக்கி வைக்கவும். அது ஆறியதும், 3-4 சொட்டு எலுமிச்சை சாறு சேர்த்து நன்கு கலக்கவும்.
ஒரு பாத்திரத்தில், கடலை மாவு, அரிசி மாவு, மிளகாய் தூள், உப்பு மற்றும் பேக்கிங் சோடா ஆகியவற்றை ஒன்றாக கலக்கவும்.
மாவு மெல்லியதாகவோ அல்லது மிகவும் கெட்டியாகவோ இல்லாமல் இருக்க, சிறிது சிறிதாக தண்ணீர் சேர்க்கவும். அது பூச்சு நிலைத்தன்மையுடன் இருக்க வேண்டும். அதில் ஒரு தேக்கரண்டி சூடான எண்ணெயைச் சேர்த்து நன்கு கலக்கவும். இது போண்டா மாவு.
உருளைக்கிழங்கு கலவையை சமமாகப் பிரித்து, அதிலிருந்து உருண்டைகளை உருவாக்கவும். (பனியாரம் வாணலியில் வறுக்க சில சிறிய உருண்டைகளை நான் செய்தேன்).
இப்போது தயாரிக்கப்பட்ட மாவில் 3-4 உருளைக்கிழங்கு உருண்டைகளை நனைக்கவும், இதனால் அது அனைத்து பக்கங்களிலும் நன்றாக பூசப்படும்.
ஒரு கடாயில் எண்ணெயை சூடாக்கி, ஒரு சிறிய துளி மாவை எண்ணெயில் விடவும், அது உடனடியாக மேற்பரப்புக்கு உயர்ந்தால், எண்ணெய் வறுக்க தயாராக உள்ளது.
தீயை நடுத்தரமாகக் குறைத்து, மாவை பூசப்பட்ட உருளைக்கிழங்கு உருண்டைகளில் 3-4 எண்ணெயில் விடவும்.
முதல் சில வினாடிகள் தொந்தரவு செய்ய வேண்டாம், பின்னர் கிளறி, அதை புரட்டி, பொன்னிறமாகும் வரை வறுக்கவும்.
அடுப்பிலிருந்து இறக்கி, அதிகப்படியான எண்ணெயை வடிகட்ட ஒரு வடிகட்டி அல்லது காகித துண்டு மீது வைக்கவும். மீதமுள்ள உருளைக்கிழங்கு உருண்டைகளுக்கும் இதே செயல்முறையை மீண்டும் செய்யவும்.
ஆலு போண்டாக்களை தேங்காய் சட்னி, பச்சை சட்னி அல்லது கெட்ச்அப் உடன் பரிமாறலாம்.</t>
  </si>
  <si>
    <t>https://static.toiimg.com/thumb/55051496.cms?imgsize=192868&amp;width=800&amp;height=800</t>
  </si>
  <si>
    <t>Mullu Murukku</t>
  </si>
  <si>
    <t>முள்ளு முருக்கு</t>
  </si>
  <si>
    <t xml:space="preserve">   Raw Rice – 3 cups,
   Bengal gram dal - 1/2 cup,
   Pasi paruppu – 1/2 cup,
    asafoetida – 1/2 tsp,
   Sesame seeds – 1 tsp,
   Butter – 20 grams,
   Salt – 1 1/2 tsp,
   Water as needed,
   Oil for deep frying.
</t>
  </si>
  <si>
    <t>பச்சை அரிசி - 3 கப்,
வங்காள பருப்பு - 1/2 கப்,
பசி பருப்பு - 1/2 கப்,
பாசி பருப்பு - 1/2 கப்,
எள் - 1 தேக்கரண்டி,
வெண்ணெய் - 20 கிராம்,
உப்பு - 1 1/2 தேக்கரண்டி,
தேவைக்கேற்ப தண்ணீர்,
வறுக்க எண்ணெய்.</t>
  </si>
  <si>
    <t xml:space="preserve">Dry roast bengal gram dal and moong dal separately until the raw smell of the dal goes. Do not brown it or over roast it.
Wipe raw rice well with a kitchen towel and add the roasted dal to the rice. Mix well and get it powdered finely in a flour mill.
Spread it to cool, sieve the flour and keep it ready. I took 4 cups of flour from this to make  murukku. Check my measuring cups and spoons.
In a wide plate, add 4 cups of flour, soft butter and sesame seeds (you can use white or black sesame seeds). Mix well with your finger tips.
Mix salt and hing in a small cup of water.
Add the salted water and more water (little at a time) to the flour and make a soft and smooth dough.
</t>
  </si>
  <si>
    <t>பெங்கால் பருப்பு மற்றும் பாசிப்பருப்பை தனித்தனியாக பருப்பின் பச்சை வாசனை போகும் வரை வறுக்கவும். அதை பழுப்பு நிறமாகவோ அல்லது அதிகமாக வறுக்கவோ வேண்டாம்.
பச்சை அரிசியை ஒரு சமையலறை துண்டுடன் நன்றாக துடைத்து, வறுத்த பருப்பை அரிசியுடன் சேர்க்கவும். நன்கு கலந்து ஒரு மாவு ஆலையில் நன்றாக பொடி செய்யவும்.
அதை குளிர்விக்க பரப்பி, மாவை சலிக்கவும், தயாராக வைக்கவும். முருக்கு செய்ய இதிலிருந்து 4 கப் மாவு எடுத்தேன். எனது அளவிடும் கோப்பைகள் மற்றும் கரண்டிகளை சரிபார்க்கவும்.
ஒரு அகலமான தட்டில், 4 கப் மாவு, மென்மையான வெண்ணெய் மற்றும் எள் (நீங்கள் வெள்ளை அல்லது கருப்பு எள் பயன்படுத்தலாம்) சேர்க்கவும். உங்கள் விரல் நுனியால் நன்றாகக் கலக்கவும்.
ஒரு சிறிய கப் தண்ணீரில் உப்பு மற்றும் ஹிங்கைக் கலக்கவும்.
மாவில் உப்புத் தண்ணீரையும் அதிக தண்ணீரையும் (சிறிது சிறிதாக) சேர்த்து மென்மையான மற்றும் மென்மையான மாவை உருவாக்கவும்.</t>
  </si>
  <si>
    <t>https://encrypted-tbn0.gstatic.com/images?q=tbn:ANd9GcQR6Mk0ucUjC_7bzlB0fPq2dpSujztFY5qOig&amp;s</t>
  </si>
  <si>
    <t>தையிர் வடை</t>
  </si>
  <si>
    <t xml:space="preserve">   Whole Urad dal – 1/2 cup,
   Raw Rice – 1 tbsp,
   Salt needed,
   Hing – a generous pinch,
   Curd – 2 cups,
   Grated coconut – 2 tbsp,
   Ginger – 1/2 inch piece,
   Green chilli - 1,
   Salt needed,
   Oil – 1 tsp for each vada,
   Mustard seeds – 1 tsp,
   Curry leaves – a sprig,
   Grated carrot as needed,
   Kara boondi as required,
   Red chilli powder,
   Coriander leaves.</t>
  </si>
  <si>
    <t>முழு உளுத்தம் பருப்பு - 1/2 கப்,
பச்சரிசி - 1 டேபிள்ஸ்பூன்,
உப்பு தேவை,
பெருங்காயம் - ஒரு சிட்டிகை,
தயிர் - 2 கப்,
தேங்காய் துருவல் - 2 டேபிள்ஸ்பூன்,
இஞ்சி - 1/2 அங்குல துண்டு,
பச்சை மிளகாய் - 1,
உப்பு தேவை,
எண்ணெய் - ஒவ்வொரு வடைக்கும் 1 டேபிள்ஸ்பூன்,
கடுகு - 1 டேபிள்ஸ்பூன்,
கறிவேப்பிலை - ஒரு தளிர்,
தேவைக்கேற்ப தயிர் துருவல்,
தேவைக்கேற்ப கார பூண்டி,
சிவப்பு மிளகாய் தூள்,
கொத்தமல்லி இலைகள்.</t>
  </si>
  <si>
    <t xml:space="preserve">In a bowl, add whisked curd and little salt. Grind coconut, green chilli and ginger to a fine paste. Mix it with curd.
Heat a tsp of oil, add mustard seeds, when it splutters, add curry leaves, and pour it over the curd. Now the curd for the thayir vadai is ready.
Heat a paniyaram pan, add a tsp of oil into each of the cavity/hole. Fill the cavity with the vada batter.
Cover and cook on low heat.
South Indian vada in paniyaram pan-low fat vada 
Once it starts leaving the sides, with a skewer, flip it over to the other side and cook. Cook both sides well flipping 2-3 times until all the sides are evenly browned and the vada is crisp.
Soak vada in lukewarm water for 10 minutes. After 10 minutes, squeeze the water from the vada gently and let it cool. Then add to the seasoned curd mixture.
Garnish with grated carrot, finely chopped coriander leaves and karaboondi. Sprinkle little chilli powder (optional) and enjoy this guilt free, healthy thayir vada/dahi vadas.
Enjoy making these for Diwali or any time you crave for these delicacies. </t>
  </si>
  <si>
    <t>ஒரு பாத்திரத்தில், தயிர் மற்றும் சிறிது உப்பு சேர்த்து நன்கு அரைக்கவும். தேங்காய், பச்சை மிளகாய் மற்றும் இஞ்சியை நன்றாக விழுதாக அரைக்கவும். தயிருடன் கலக்கவும்.
ஒரு டேபிள்ஸ்பூன் எண்ணெயை சூடாக்கி, கடுகு சேர்த்து, அது வதங்கியதும், கறிவேப்பிலை சேர்த்து, தயிர் மீது ஊற்றவும். இப்போது தயிர் வடைக்கான தயிர் தயார்.
பனியாரம் பாத்திரத்தை சூடாக்கி, ஒவ்வொரு குழியிலும்/துளையிலும் ஒரு டேபிள்ஸ்பூன் எண்ணெய் சேர்க்கவும். குழியை வடை மாவால் நிரப்பவும்.
மூடி வைத்து குறைந்த தீயில் சமைக்கவும்.
பணியாரம் குறைந்த கொழுப்புள்ள வடையில் தென்னிந்திய வடை
பக்கவாட்டுகளை விட்டு வெளியேறத் தொடங்கியதும், ஒரு சூலைப் பயன்படுத்தி, மறுபுறம் திருப்பி சமைக்கவும். இரு பக்கங்களையும் 2-3 முறை நன்றாகப் புரட்டி, அனைத்து பக்கங்களும் சமமாக பழுப்பு நிறமாகி, வடை மொறுமொறுப்பாகும் வரை சமைக்கவும்.
வடையை வெதுவெதுப்பான நீரில் 10 நிமிடங்கள் ஊற வைக்கவும். 10 நிமிடங்களுக்குப் பிறகு, வடையிலிருந்து தண்ணீரை மெதுவாக பிழிந்து ஆற விடவும். பின்னர் பதப்படுத்தப்பட்ட தயிர் கலவையில் சேர்க்கவும்.
துருவிய கேரட், இறுதியாக நறுக்கிய கொத்தமல்லி இலைகள் மற்றும் கரபூண்டியால் அலங்கரிக்கவும். சிறிது மிளகாய் தூள் (விரும்பினால்) தூவி, இந்த குற்ற உணர்ச்சியற்ற, ஆரோக்கியமான தாய் வடை/தஹி வடைகளை அனுபவிக்கவும்.
தீபாவளிக்கு அல்லது இந்த சுவையான உணவுகளை நீங்கள் விரும்பும் எந்த நேரத்திலும் இதைச் செய்து மகிழுங்கள்.</t>
  </si>
  <si>
    <t>https://i0.wp.com/cookingfromheart.com/wp-content/uploads/2017/04/Thayir-Vadai-1.jpg?resize=683%2C1024&amp;ssl=1</t>
  </si>
  <si>
    <t xml:space="preserve">   Rice flour – 1 cup,
   kadalai mavu – 1/2 cup,
   Unsalted Butter – 1 tbsp,
   Sesame seeds – 1 tsp,
   asafoetida – a generous pinch,
   Salt – 1 tsp flat,
   Hot oil – 2 tbsp,
   Chilli powder – 1/2 tsp,
   Oil for deep frying,
   Murukku press.</t>
  </si>
  <si>
    <t>அரிசி மாவு - 1 கப்,
கடலை மாவு - 1/2 கப்,
உப்பு சேர்க்காத வெண்ணெய் - 1 டீஸ்பூன்,
எள் - 1 டீஸ்பூன்,
பெருங்காயம் - ஒரு சிட்டிகை,
உப்பு - 1 டீஸ்பூன் தட்டையான,
சூடான எண்ணெய் - 2 டீஸ்பூன்,
மிளகாய் தூள் - 1/2 டீஸ்பூன்,
ஆழமாக வறுக்க எண்ணெய்,
முருக்கு பிசைந்து கொள்ளவும்.</t>
  </si>
  <si>
    <t xml:space="preserve">I used homemade rice flour for making this murukku. You can use store bought rice flour also. 
In a wide bowl, mix together rice flour and gram flour/besan.
Add sesame seeds and butter.
Heat 2 tbsp of oil and add to the flour. Oil should be very hot.
Add hing, salt and mix everything well with your fingers.
Then add water little at a time and make a soft pliable dough.( I added 1/2 cup + 1 tbsp of water). The quantity of water will change according to the quality of rice flour. Our murukku dough/maavu is ready.
Grease the murukku maker with a little butter or oil. Then fit the 3 hole disc or 5 hole disc into the murukku press. Take a portion of  the dough and place it inside the murukku press. Then press it in a concentric circle to make murukku as seen in the picture below.
You can press it on greased ladles or small plates or even directly into the hot oil.
Heat oil in  a kadai. To check if the oil is hot, drop a small bit of dough into the oil, if it comes to the surface immediately, the oil is hot enough to fry the murukkus. Reduce the heat to medium.
Drop 3-4 murukkus into the hot oil (number of murukkus depends on the quantity of oil used). Do not disturb for the first few seconds.
Then flip over and fry both sides until golden brown and crisp. (Tips – Once the murukku is cooked the sizzling sound will reduce)
Once crisp, remove it from the oil using a slotted ladle and place it on a colander or paper towel to drain excess oil if any.
Enjoy making these simple and easy besan rice murukku for Diwali this year.
</t>
  </si>
  <si>
    <t>இந்த முருக்கு செய்ய நான் வீட்டில் அரிசி மாவைப் பயன்படுத்தினேன். கடையில் வாங்கிய அரிசி மாவையும் பயன்படுத்தலாம்.
ஒரு அகலமான கிண்ணத்தில், அரிசி மாவு மற்றும் கடலை மாவு/பெசான் ஆகியவற்றை ஒன்றாக கலக்கவும்.
எள் மற்றும் வெண்ணெய் சேர்க்கவும்.
2 டீஸ்பூன் எண்ணெயை சூடாக்கி மாவில் சேர்க்கவும். எண்ணெய் மிகவும் சூடாக இருக்க வேண்டும்.
கீல், உப்பு சேர்த்து எல்லாவற்றையும் உங்கள் விரல்களால் நன்றாக கலக்கவும்.
பின்னர் சிறிது சிறிதாக தண்ணீர் சேர்த்து மென்மையான நெகிழ்வான மாவை உருவாக்கவும். (நான் 1/2 கப் + 1 டீஸ்பூன் தண்ணீர் சேர்த்தேன்). அரிசி மாவின் தரத்தைப் பொறுத்து தண்ணீரின் அளவு மாறும். நமது முருக்கு மாவு/மாவு தயாராக உள்ளது.
முருக்கு தயாரிப்பாளரில் சிறிது வெண்ணெய் அல்லது எண்ணெய் தடவவும். பின்னர் 3 துளைகள் கொண்ட வட்டம் அல்லது 5 துளைகள் கொண்ட வட்டத்தை முருக்கு அச்சகத்தில் பொருத்தவும். மாவின் ஒரு பகுதியை எடுத்து முருக்கு அச்சகத்திற்குள் வைக்கவும். பின்னர் அதை ஒரு செறிவான வட்டத்தில் அழுத்தி கீழே உள்ள படத்தில் காட்டப்பட்டுள்ளபடி முருக்கு செய்யலாம்.
நீங்கள் அதை எண்ணெய் தடவிய கரண்டிகள் அல்லது சிறிய தட்டுகளில் அல்லது நேரடியாக சூடான எண்ணெயில் அழுத்தலாம்.
ஒரு கடாயில் எண்ணெயை சூடாக்கவும். எண்ணெய் சூடாக இருக்கிறதா என்று சரிபார்க்க, ஒரு சிறிய அளவு மாவை எண்ணெயில் விடவும், அது உடனடியாக மேற்பரப்புக்கு வந்தால், எண்ணெய் முருக்குகளை வறுக்கும் அளவுக்கு சூடாக இருக்கும். தீயை நடுத்தரமாகக் குறைக்கவும்.
சூடான எண்ணெயில் 3-4 முருக்குகளை விடுங்கள் (முருக்குகளின் எண்ணிக்கை பயன்படுத்தப்படும் எண்ணெயின் அளவைப் பொறுத்தது). முதல் சில வினாடிகள் தொந்தரவு செய்ய வேண்டாம்.
பின்னர் திருப்பி போட்டு இருபுறமும் பொன்னிறமாகவும் மொறுமொறுப்பாகவும் வறுக்கவும். (குறிப்புகள் - முருக்கு வெந்ததும், சிஸ்லிங் சத்தம் குறையும்)
மொறுமொறுப்பாக மாறியதும், அதை எண்ணெயிலிருந்து ஒரு துளையிடப்பட்ட கரண்டியால் எடுத்து, அதிகப்படியான எண்ணெய் ஏதேனும் இருந்தால் அதை வடிகட்ட ஒரு வடிகட்டி அல்லது காகிதத் துண்டின் மீது வைக்கவும்.
இந்த ஆண்டு தீபாவளிக்கு இந்த எளிய மற்றும் எளிதான கடலை அரிசி முருக்குகளைச் செய்து மகிழுங்கள்.</t>
  </si>
  <si>
    <t>https://verygoodrecipes.com/images/blogs/padhuskitchen/kadalai-maavu-rice-murukku-besan-flour-chakli-recipe-easy-diwali-snacks.640x480.jpg</t>
  </si>
  <si>
    <t>Chegodilu</t>
  </si>
  <si>
    <t>சேகோடிலு</t>
  </si>
  <si>
    <t xml:space="preserve">   Rice flour – 1 cup,
   Moong dal - 1 tbsp,
   Water – 1 cup,
   Ghee/oil – 1 1/2 tbsp,
   Chilli powder – 1/2 tsp,
   Cumin seeds – 1/2 tsp,
   Carom seeds – 1/2 tsp flat,
   Asafoetida – a g nerous pinch,
   Salt – 3/4 tsp,
   Oil – 1 tbsp for dough,
   Oil for deep frying.</t>
  </si>
  <si>
    <t>அரிசி மாவு - 1 கப்,
பாசிப்பருப்பு - 1 டேபிள் ஸ்பூன்,
தண்ணீர் - 1 கப்,
நெய்/எண்ணெய் - 1 1/2 டேபிள் ஸ்பூன்,
மிளகாய்த்தூள் - 1/2 டேபிள் ஸ்பூன்,
சீரகம் - 1/2 டேபிள் ஸ்பூன்,
கேரமல் விதைகள் - 1/2 டேபிள் ஸ்பூன்,
பெருங்காயம் - ஒரு கிராம் நெரோஸ் சிட்டிகை,
உப்பு - 3/4 டேபிள் ஸ்பூன்,
எண்ணெய் - மாவுக்கு 1 டேபிள் ஸ்பூன்,
ஆழமாக வறுக்க எண்ணெய்.</t>
  </si>
  <si>
    <t xml:space="preserve">Heat 1 cup of water, add the soaked moong dal.
Add chilli powder, salt, cumin seeds, carom seeds, hing and ghee (ghee preferable) to the water and mix well.
When water starts boiling, reduce the heat to low. Add rice flour with one hand and keep stirring with your other hand.
Turn off the heat and mix well. Keep it covered for 10 minutes.
After 10 minutes, add 1 – 1 1/2 tbsp of hot oil to the dough and knead well until smooth and soft. Grease your hands with a little oil, if required.
Make small gooseberry sized balls from the mixture.
Roll the ball into a slightly thick rope (not too thick) without applying much pressure. Then join the ends together, press the joint and form a ring. While you are doing this, the remaining dough should be kept covered to prevent drying. If you are unable to make rings or if it cracks, add little hot water (a tsp at a time) and knead the dough again.
Heat oil in a kadai (to check if the oil is hot, drop a small piece of dough into the oil, if it raises to the surface immediately, the oil is hot enough to fry the ring murukkus/chegodilu).
Drop the rings gently in batches into the hot oil. For frying the rings, initially the flame has to be high, once they come to the surface, reduce the heat to medium and fry on medium heat until brown (a shade next to golden brown) and crisp. Drain on a paper towel or place it on a colander to drain excess oil if any.
Repeat the same process for the rest of the dough.
Enjoy chegodilus with tea/coffee or any time of the day.
</t>
  </si>
  <si>
    <t>1 கப் தண்ணீரை சூடாக்கி, ஊறவைத்த பாசிப்பருப்பை சேர்க்கவும்.
மிளகாய்த்தூள், உப்பு, சீரகம், கேரமல் விதைகள், கீரை மற்றும் நெய் (நெய் விரும்பத்தக்கது) ஆகியவற்றை தண்ணீரில் சேர்த்து நன்கு கலக்கவும்.
தண்ணீர் கொதிக்க ஆரம்பித்ததும், தீயை குறைத்து வைக்கவும். ஒரு கையால் அரிசி மாவை சேர்த்து மற்றொரு கையால் தொடர்ந்து கிளறவும்.
தீயை அணைத்து நன்கு கலக்கவும். 10 நிமிடங்கள் மூடி வைக்கவும்.
10 நிமிடங்களுக்குப் பிறகு, மாவில் 1 – 1 1/2 தேக்கரண்டி சூடான எண்ணெயைச் சேர்த்து, மென்மையாகவும் மென்மையாகவும் பிசையவும். தேவைப்பட்டால், உங்கள் கைகளில் சிறிது எண்ணெய் தடவவும்.
கலவையிலிருந்து சிறிய நெல்லிக்காய் அளவிலான பந்துகளை உருவாக்கவும்.
அதிக அழுத்தம் கொடுக்காமல் பந்தை சற்று தடிமனான கயிற்றில் (அதிக தடிமனாக இல்லாமல்) உருட்டவும். பின்னர் முனைகளை ஒன்றாக இணைத்து, மூட்டை அழுத்தி ஒரு வளையத்தை உருவாக்கவும். இதைச் செய்யும்போது, ​​மீதமுள்ள மாவை உலர்த்துவதைத் தடுக்க மூடி வைக்க வேண்டும். உங்களால் வளையங்களை உருவாக்க முடியாவிட்டால் அல்லது அது விரிசல் அடைந்தால், சிறிது சூடான நீரை (ஒரு நேரத்தில் ஒரு தேக்கரண்டி) சேர்த்து மீண்டும் மாவை பிசையவும்.
ஒரு கடாயில் எண்ணெயைச் சூடாக்கவும் (எண்ணெய் சூடாக இருக்கிறதா என்று சோதிக்க, ஒரு சிறிய துண்டு மாவை எண்ணெயில் விடவும், அது உடனடியாக மேற்பரப்பில் உயர்ந்தால், எண்ணெய் மோதிர முருக்குஸ்/செகோடிலுவை வறுக்கும் அளவுக்கு சூடாக இருக்கும்).
மோதிரங்களை மெதுவாக தொகுதிகளாக சூடான எண்ணெயில் விடவும். வளையங்களை வறுக்க, ஆரம்பத்தில் தீ அதிகமாக இருக்க வேண்டும், அவை மேற்பரப்புக்கு வந்தவுடன், தீயை நடுத்தரமாகக் குறைத்து, நடுத்தர வெப்பத்தில் பழுப்பு நிறமாகவும் (தங்க பழுப்பு நிறத்திற்கு அடுத்த நிழல்) மொறுமொறுப்பாகவும் வறுக்கவும். ஒரு காகிதத் துண்டில் வடிகட்டவும் அல்லது அதிகப்படியான எண்ணெய் ஏதேனும் இருந்தால் அதை வடிகட்ட ஒரு வடிகட்டியில் வைக்கவும்.
மீதமுள்ள மாவிற்கும் இதே செயல்முறையை மீண்டும் செய்யவும்.
தேநீர்/காபியுடன் அல்லது நாளின் எந்த நேரத்திலும் செகோடிலஸை அனுபவிக்கவும்.</t>
  </si>
  <si>
    <t>https://encrypted-tbn0.gstatic.com/images?q=tbn:ANd9GcQSh2S5La86jtLsOWKeF4c6UB7MK-ZiUTxiiA&amp;s</t>
  </si>
  <si>
    <t>Ragi Murukku</t>
  </si>
  <si>
    <t>ராகி முருக்கு</t>
  </si>
  <si>
    <t xml:space="preserve">   Ragi flour – 1 cup,
   Rice flour – 1/2 cup,
   Roasted gram dal flour – 1/4 cup,
   Butter – 1 tbsp,
   Chilli powder - 1/4 tsp flat,
   Salt – 3/4 tsp,
   Hing – a generous pinch,
   Sesame seeds – 1 tsp,
   Hot oil – 1 tsp,
   Oil for deep frying.</t>
  </si>
  <si>
    <t>ராகி மாவு - 1 கப்,
அரிசி மாவு - 1/2 கப்,
வறுத்த கடலை மாவு - 1/4 கப்,
வெண்ணெய் - 1 டீஸ்பூன்,
மிளகாய் தூள் - 1/4 டீஸ்பூன்,
உப்பு - 3/4 டீஸ்பூன்,
ஹிங் - ஒரு சிட்டிகை,
எள் - 1 டீஸ்பூன்,
சூடான எண்ணெய் - 1 டீஸ்பூன்,
ஆழமாக வறுக்க எண்ணெய்.</t>
  </si>
  <si>
    <t>In a large bowl, mix together ragi flour, rice flour, roasted gram flour, butter, hing, chilli powder, sesame seeds and salt together.
Mix well with your finger tips without adding water.
Then add water little at a time and make a soft and pliable dough. (to give you an idea – I added 1 cup minus 3 tbsps of water). The quantity of water will change according to the quality of flour. Taste the dough to check for salt.
Add 1 tsp of hot oil to the dough and mix well. Grease the murukku maker with oil or a little butter. You can use the disc with 3 holes or the single star disc. I have used the single star disc.
Take a portion of murukku dough, form it into a log shape, then place it inside the murukku press and press it in a circular motion to form murukkus as seen in the picture below. You can directly press into the oil or you can press it on greased ladle or small plate as shown below. (Tips – if the murukku dough breaks while pressing through the murukku maker, the dough is a little dry. You may add few tsp of water, mix the dough well and continue).
Heat oil in a kadai, once the oil is hot, reduce the heat to medium. To check if the oil is hot, add a small bit of dough into the hot oil, if it raises to the surface immediately, the oil is hot enough to fry the murukkus.
Gently drop 3-4 murukkus into the hot oil (number of murukkus added depends upon the quantity of oil used).
Let it cook for some time, then flip it over to the other side for uniform cooking.
Once the sizzling sound stops, remove the murukku from the pan and place it in a colander or kitchen towel to drain excess oil.
Repeat the same process for the remaining dough.</t>
  </si>
  <si>
    <t>ஒரு பெரிய கிண்ணத்தில், ராகி மாவு, அரிசி மாவு, வறுத்த கடலை மாவு, வெண்ணெய், ஹிங், மிளகாய் தூள், எள் மற்றும் உப்பு ஆகியவற்றை ஒன்றாக கலக்கவும்.
தண்ணீர் சேர்க்காமல் உங்கள் விரல் நுனியில் நன்றாக கலக்கவும்.
பின்னர் சிறிது சிறிதாக தண்ணீர் சேர்த்து மென்மையான மற்றும் நெகிழ்வான மாவை உருவாக்கவும். (உங்களுக்கு ஒரு யோசனை சொல்ல - நான் 1 கப் 3 டேபிள்ஸ்பூன் தண்ணீர் கழித்து சேர்த்தேன்). மாவின் தரத்தைப் பொறுத்து தண்ணீரின் அளவு மாறும். உப்பு இருக்கிறதா என்று சோதிக்க மாவை சுவைக்கவும்.
மாவில் 1 டீஸ்பூன் சூடான எண்ணெயைச் சேர்த்து நன்கு கலக்கவும். முருக்கு தயாரிப்பாளரை எண்ணெய் அல்லது சிறிது வெண்ணெய் தடவவும். 3 துளைகள் உள்ள வட்டு அல்லது ஒற்றை நட்சத்திர வட்டு ஆகியவற்றை நீங்கள் பயன்படுத்தலாம். நான் ஒற்றை நட்சத்திர வட்டு பயன்படுத்தினேன்.
முருக்கு மாவின் ஒரு பகுதியை எடுத்து, அதை ஒரு மரக்கட்டை வடிவமாக உருவாக்கி, பின்னர் அதை முருக்கு அழுத்தியின் உள்ளே வைத்து, கீழே உள்ள படத்தில் காட்டப்பட்டுள்ளபடி முருக்குகளை உருவாக்க வட்ட இயக்கத்தில் அழுத்தவும். நீங்கள் நேரடியாக எண்ணெயில் அழுத்தலாம் அல்லது கீழே காட்டப்பட்டுள்ளபடி எண்ணெய் தடவிய கரண்டி அல்லது சிறிய தட்டில் அழுத்தலாம். (குறிப்புகள் - முருக்கு தயாரிப்பாளரை அழுத்தும்போது முருக்கு மாவு உடைந்தால், மாவு சிறிது உலர்ந்திருக்கும். நீங்கள் சில தேக்கரண்டி தண்ணீர் சேர்த்து, மாவை நன்கு கலந்து, தொடரலாம்).
ஒரு கடாயில் எண்ணெயை சூடாக்கவும், எண்ணெய் சூடானதும், தீயை நடுத்தரமாகக் குறைக்கவும். எண்ணெய் சூடாக இருக்கிறதா என்று சரிபார்க்க, சூடான எண்ணெயில் சிறிது மாவைச் சேர்க்கவும், அது உடனடியாக மேற்பரப்புக்கு உயர்ந்தால், எண்ணெய் முருக்குகளை வறுக்கும் அளவுக்கு சூடாக இருக்கும்.
சூடான எண்ணெயில் 3-4 முறுக்குகளை மெதுவாக விடுங்கள் (சேர்க்கப்படும் முறுக்குகளின் எண்ணிக்கை பயன்படுத்தப்படும் எண்ணெயின் அளவைப் பொறுத்தது).
சிறிது நேரம் சமைக்க விட்டு, பின்னர் சீரான சமையலுக்கு மறுபுறம் திருப்பி வைக்கவும்.
சிஸ்லிங் சத்தம் நின்றதும், முறுக்கை வாணலியில் இருந்து அகற்றி, அதிகப்படியான எண்ணெயை வடிகட்ட ஒரு வடிகட்டி அல்லது சமையலறை துண்டில் வைக்கவும்.
மீதமுள்ள மாவிற்கும் இதே செயல்முறையை மீண்டும் செய்யவும்.</t>
  </si>
  <si>
    <t>https://www.kannammacooks.com/wp-content/uploads/ragi-murukku-recipe-1-8-scaled.jpg</t>
  </si>
  <si>
    <t>Fried Chana Dal</t>
  </si>
  <si>
    <t>வறுத்த கடலை பருப்பு</t>
  </si>
  <si>
    <t xml:space="preserve">    kadalai paruppu – 2 cups,
   Salt as needed,
   Chilli powder as required,
   Hing – a pinch,
   Oil for frying.
</t>
  </si>
  <si>
    <t>கடலை பருப்பு - 2 கப்,
தேவைக்கேற்ப உப்பு,
தேவைக்கேற்ப மிளகாய் தூள்,
இங் - ஒரு சிட்டிகை,
வறுக்க எண்ணெய்.</t>
  </si>
  <si>
    <t xml:space="preserve">Wash and soak bengal gram dal for 4 hours. Drain the water completely and spread it on a cloth to air dry for an hour. Do not dry it completely.
In a bowl, mix together salt, chilli powder, hing and keep it ready. If you like, you can also add a little chaat masala.
Heat oil in a pan (to check if the oil is hot, drop a dal inside the oil, if it comes to the surface immediately, the oil is hot enough to fry). Once the oil is hot, reduce the heat to medium.
Now add a batch of dal into the oil using a stainless steel strainer. Stir once you add, to prevent it from sticking together.
Fry on medium heat until the bubbling noise stops and the dal comes to the surface.
Remove from oil and place it in a colander or paper towels to absorb excess oil if any. When it is warm, sprinkle the salt + chilli powder mixture and mix well. Repeat the same for the rest of the dal.
Once it cools, store it in an airtight jar or container at room temperature and enjoy it any time of the day. It stays good for more than a week. </t>
  </si>
  <si>
    <t>வங்காள பருப்பை கழுவி 4 மணி நேரம் ஊற வைக்கவும். தண்ணீரை முழுவதுமாக வடிகட்டி, ஒரு துணியில் பரப்பி ஒரு மணி நேரம் காற்றில் உலர வைக்கவும். முழுமையாக உலர வேண்டாம்.
ஒரு பாத்திரத்தில், உப்பு, மிளகாய் தூள், இங் ஆகியவற்றை ஒன்றாக கலந்து தயாராக வைக்கவும். நீங்கள் விரும்பினால், சிறிது சாட் மசாலாவையும் சேர்க்கலாம்.
ஒரு கடாயில் எண்ணெயை சூடாக்கவும் (எண்ணெய் சூடாக இருக்கிறதா என்று பார்க்க, எண்ணெயின் உள்ளே ஒரு பருப்பை விடுங்கள், அது உடனடியாக மேற்பரப்புக்கு வந்தால், எண்ணெய் வறுக்க போதுமான சூடாக இருக்கும்). எண்ணெய் சூடானதும், தீயை நடுத்தரமாகக் குறைக்கவும்.
இப்போது ஒரு துகள் துருப்பிடிக்காத எஃகு வடிகட்டியைப் பயன்படுத்தி எண்ணெயில் சேர்க்கவும். சேர்த்தவுடன், அது ஒன்றாக ஒட்டாமல் இருக்க கிளறவும்.
குமிழி சத்தம் நின்று, பருப்பு மேற்பரப்புக்கு வரும் வரை மிதமான வெப்பத்தில் வறுக்கவும்.
எண்ணெயிலிருந்து எடுத்து, அதிகப்படியான எண்ணெய் ஏதேனும் இருந்தால் அதை உறிஞ்சும் வகையில் ஒரு வடிகட்டி அல்லது காகித துண்டுகளில் வைக்கவும். அது சூடாகும்போது, ​​உப்பு + மிளகாய் தூள் கலவையைத் தூவி நன்கு கலக்கவும். மீதமுள்ள பருப்பிற்கும் இதையே செய்யவும்.
அது குளிர்ந்ததும், காற்று புகாத ஜாடி அல்லது கொள்கலனில் அறை வெப்பநிலையில் சேமித்து, நாளின் எந்த நேரத்திலும் இதை அனுபவிக்கவும். இது ஒரு வாரத்திற்கும் மேலாக நன்றாக இருக்கும்.</t>
  </si>
  <si>
    <t>https://loveisinmytummy.com/wp-content/uploads/2016/06/Roasted-Chana-Dal-1.jpg</t>
  </si>
  <si>
    <t>தேங்காய் பால் முருக்கு</t>
  </si>
  <si>
    <t xml:space="preserve">   Homemade Rice Flour - 1 cup,
   Urad Dal Flour – 1/4 cup,
   Black or white sesame seeds – 1 tsp,
   Butter – 1 1/2 tsp,
   Salt as needed,
   Hing – a pinch,
   Thick coconut milk – 1/2 cup + 1 tbsp,
   Oil for deep frying.</t>
  </si>
  <si>
    <t>வீட்டில் செய்த அரிசி மாவு - 1 கப்,
உளுத்தம் பருப்பு மாவு - 1/4 கப்,
கருப்பு அல்லது வெள்ளை எள் - 1 டீஸ்பூன்,
வெண்ணெய் - 1 1/2 டீஸ்பூன்,
தேவைக்கேற்ப உப்பு,
ஹிங் - ஒரு சிட்டிகை,
கெட்டியான தேங்காய் பால் - 1/2 கப் + 1 டீஸ்பூன்,
ஆழமாக வறுக்க எண்ணெய்.</t>
  </si>
  <si>
    <t xml:space="preserve">First mix together rice flour, urad dal flour, sesame seeds and butter well with your finger tips.
Add coconut milk little at a time and make a soft and smooth dough. The quantity of coconut milk may vary according to the quality of rice flour. I added approximately 1/2 cup + 1 tbsp of coconut milk. So add coconut milk little at a time. 
Heat oil in a kadai. When the oil is hot, reduce the heat to medium. To check if the oil is hot, drop a piece of dough into the oil, if it raises to the surface immediately, the oil is hot enough to fry the murukkus.
Take a small portion of dough and put it inside the murukku maker (picture below). I used the 3 hole disc to make this murukku. Press it in a circular motion to make murukku as seen in the main picture. You can grease 2 or 3 ladles or a small plate, squeeze murukku on it and then gently drop it into the hot oil. Alternatively you can directly squeeze the murruku into the hot oil, which ever is comfortable for you.
You will hear a sizzling/bubbling sound when the murukku is getting cooked.
Once it is cooked the sizzling sound stops and you see the oil clear as in the picture below.
Fry the murukku both sides until very light golden color. Thengai murukku should be pale white in color and not brown.
Once cooked remove from the oil with a slotted ladle and place it in a colander or paper towel to drain excess oil.
Repeat the same process for the rest of the dough.
</t>
  </si>
  <si>
    <t>முதலில் அரிசி மாவு, உளுத்தம் பருப்பு மாவு, எள் மற்றும் வெண்ணெய் ஆகியவற்றை உங்கள் விரல் நுனியால் நன்கு கலக்கவும்.
தேங்காய் பால் சிறிது சிறிதாக சேர்த்து மென்மையான மற்றும் மென்மையான மாவை தயாரிக்கவும். அரிசி மாவின் தரத்தைப் பொறுத்து தேங்காய் பாலின் அளவு மாறுபடலாம். நான் தோராயமாக 1/2 கப் + 1 டீஸ்பூன் தேங்காய் பால் சேர்த்தேன். எனவே தேங்காய் பால் சிறிது சிறிதாக சேர்க்கவும்.
ஒரு கடாயில் எண்ணெயை சூடாக்கவும். எண்ணெய் சூடானதும், தீயை நடுத்தரமாகக் குறைக்கவும். எண்ணெய் சூடாக இருக்கிறதா என்று சோதிக்க, ஒரு துண்டு மாவை எண்ணெயில் விடவும், அது உடனடியாக மேற்பரப்புக்கு உயர்ந்தால், எண்ணெய் முருக்குகளை வறுக்கும் அளவுக்கு சூடாக இருக்கும்.
மாவின் ஒரு சிறிய பகுதியை எடுத்து முருக்கு தயாரிப்பாளரின் உள்ளே வைக்கவும் (கீழே உள்ள படம்). இந்த முருக்கு செய்ய நான் 3 துளைகள் கொண்ட வட்டு பயன்படுத்தினேன். பிரதான படத்தில் காட்டப்பட்டுள்ளபடி முருக்கு செய்ய அதை வட்ட இயக்கத்தில் அழுத்தவும். நீங்கள் 2 அல்லது 3 கரண்டிகள் அல்லது ஒரு சிறிய தட்டில் கிரீஸ் தடவி, அதன் மீது முருக்குவை பிழிந்து, பின்னர் மெதுவாக சூடான எண்ணெயில் விடவும். மாற்றாக, நீங்கள் நேரடியாக முருக்குவை சூடான எண்ணெயில் பிழியலாம், எது உங்களுக்கு வசதியாக இருக்கிறதோ அது.
முருக்கு வேகும்போது ஒரு சிரிக்கும்/குமிழிக்கும் சத்தம் கேட்கும்.
அது வெந்தவுடன் சிரிக்கும் சத்தம் நின்று, கீழே உள்ள படத்தில் உள்ளது போல் எண்ணெய் தெளிவாகத் தெரியும்.
முருக்குவை இருபுறமும் மிகவும் வெளிர் தங்க நிறமாக வறுக்கவும். தேங்காய் முருக்கு பழுப்பு நிறமாக இல்லாமல் வெளிர் வெள்ளை நிறத்தில் இருக்க வேண்டும்.
சமைத்த பிறகு, ஒரு துளையிடப்பட்ட கரண்டியால் எண்ணெயிலிருந்து அகற்றி, அதிகப்படியான எண்ணெயை வடிகட்ட ஒரு வடிகட்டி அல்லது காகிதத் துண்டில் வைக்கவும்.
மீதமுள்ள மாவிற்கும் இதே செயல்முறையை மீண்டும் செய்யவும்.</t>
  </si>
  <si>
    <t>https://cdn.dotpe.in/longtail/store-items/1103444/UkRepkiF.jpeg</t>
  </si>
  <si>
    <t>Oats Laddu</t>
  </si>
  <si>
    <t>ஓட்ஸ் லட்டு</t>
  </si>
  <si>
    <t xml:space="preserve">   Quick cooking Oats – 1 cup,
   Powdered jaggery  – 1/2 cup,
   Ghee/clarified butter as needed,
   Cashew nuts - 10,
   Raisins - 18-20,
   Almonds – 5,
   Cardamom powder – a pinch.</t>
  </si>
  <si>
    <t>விரைவாக சமைக்கும் ஓட்ஸ் - 1 கப்,
பொடித்த வெல்லம் - 1/2 கப்,
தேவைக்கேற்ப நெய்/தெளிவுபடுத்திய வெண்ணெய்,
முந்திரி பருப்பு - 10,
திராட்சை - 18-20,
பாதாம் - 5,
ஏலக்காய் தூள் - ஒரு சிட்டிகை.</t>
  </si>
  <si>
    <t>In a bowl, mix together, oats, jaggery, cardamom powder and nuts.
Heat a tsp of ghee, saute the raisins until they puff up and add to the oats mixture.
Melt needed ghee and add to the mixture little at a time. Mix well and make balls. Make sure that the ghee is warm.</t>
  </si>
  <si>
    <t>ஒரு பாத்திரத்தில், ஓட்ஸ், வெல்லம், ஏலக்காய் தூள் மற்றும் கொட்டைகளை ஒன்றாக கலக்கவும்.
ஒரு தேக்கரண்டி நெய்யை சூடாக்கி, திராட்சையை கொப்பளிக்கும் வரை வதக்கி, ஓட்ஸ் கலவையில் சேர்க்கவும்.
தேவையான நெய்யை உருக்கி, கலவையில் சிறிது சிறிதாக சேர்க்கவும். நன்றாக கலந்து உருண்டைகளாக உருட்டவும். நெய் சூடாக இருப்பதை உறுதிசெய்து கொள்ளவும்.</t>
  </si>
  <si>
    <t>https://vaya.in/recipes/wp-content/uploads/2018/10/Oats-Sesame-Ladoo-Recipe.jpg</t>
  </si>
  <si>
    <t>Sathu Maavu Laddu</t>
  </si>
  <si>
    <t>சாத்து மாவு லட்டு</t>
  </si>
  <si>
    <t xml:space="preserve">   Sathu Maavu – 1 cup,
   Powdered Jaggery  - 1/2 cup,
   Cashew nuts  - 10,
   Almonds - 10-12,
   Raisins - 1/4 cup,
   Melted Ghee as needed.</t>
  </si>
  <si>
    <t>சாத்து மாவு - 1 கப்,
பொடித்த வெல்லம் - 1/2 கப்,
முந்திரி பருப்பு - 10,
பாதாம் பருப்பு - 10-12,
திராட்சை - 1/4 கப்,
தேவைக்கேற்ப உருக்கிய நெய்.</t>
  </si>
  <si>
    <t>Take a cup of sathu maavu, add powdered jaggery, nuts and mix well.
Heat a tsp of ghee and fry raisin until they puff up. Add to the health mix + nuts + jaggery mixture and mix everything well.
Heat needed ghee and add the to mixture. If you are able to make laddus, you can stop adding ghee. (You can add ghee little at a time to a portion of the mixture and make balls. Then repeat for the other portions).
Healthy and tasty Health mix laddus are ready in just 15 minutes.
This can be had as a snack by adults, pregnant women and kids. It can be given to kids as after school snacks or can be packed in their snack box.</t>
  </si>
  <si>
    <t>ஒரு கப் சாத்து மாவை எடுத்து, பொடித்த வெல்லம், கொட்டைகள் சேர்த்து நன்கு கலக்கவும்.
ஒரு தேக்கரண்டி நெய்யை சூடாக்கி, திராட்சையை அவை கொப்பளிக்கும் வரை வறுக்கவும். ஆரோக்கிய கலவை + கொட்டைகள் + வெல்லம் கலவையில் சேர்த்து எல்லாவற்றையும் நன்றாக கலக்கவும்.
தேவையான நெய்யை சூடாக்கி, கலவையில் சேர்க்கவும். லட்டு செய்ய முடிந்தால், நெய் சேர்ப்பதை நிறுத்தலாம். (கலவையின் ஒரு பகுதியில் சிறிது சிறிதாக நெய் சேர்த்து உருண்டைகளாக செய்யலாம். பின்னர் மற்ற பகுதிகளுக்கும் மீண்டும் செய்யவும்).
ஆரோக்கியமான மற்றும் சுவையான சுகாதார கலவை லட்டு வெறும் 15 நிமிடங்களில் தயாராகிவிடும்.
இதை பெரியவர்கள், கர்ப்பிணிப் பெண்கள் மற்றும் குழந்தைகள் சிற்றுண்டியாக சாப்பிடலாம். இதை பள்ளிக்குப் பிறகு சிற்றுண்டியாகக் கொடுக்கலாம் அல்லது அவர்களின் சிற்றுண்டிப் பெட்டியில் அடைத்து வைக்கலாம்.</t>
  </si>
  <si>
    <t>https://momuninterrupted.com/wp-content/uploads/2020/09/img_6296-1-scaled-1.jpg</t>
  </si>
  <si>
    <t>Figs Dates Burfi</t>
  </si>
  <si>
    <t>அத்திப்பழம் பேரீச்சம்பழம் பர்ஃபி</t>
  </si>
  <si>
    <t xml:space="preserve">   Dates - 1 cup,
   Assorted Nuts - 1 cup,
   Figs - 1 cup,
   Ghee - 1 1/2 tbsp,
   poppy seeds - 1 -2 tbsp .</t>
  </si>
  <si>
    <t>பேரீச்சம்பழம் - 1 கப்,
வகைவகையான கொட்டைகள் - 1 கப்,
அத்திப்பழம் - 1 கப்,
நெய் - 1 1/2 டீஸ்பூன்,
பாப்பி விதைகள் - 1 -2 டீஸ்பூன்.</t>
  </si>
  <si>
    <t>Heat ghee, add the dates+figs paste and cook on low flame stirring well for 10 minutes.
Then add the chopped nuts and powdered (2 tbsp) nuts.
Mix everything well and cook for a few more minutes. Remove from flame and leave it to cool. Then divide the mixture into 2 equal parts and shape it into cylinders as shown below. 
You can roll it on roasted khus khus if preferred. I did 2 batches. I rolled one batch on khus khus and for the other batch, I skipped that. (what you see in the main picture above is without khus khus).
Refrigerate the cylinder shaped mixture for 2 hours or until it hardens. I sometimes leave it overnight due to laziness.
After it hardens, cut it into rounds and store it in a container in the refrigerator.</t>
  </si>
  <si>
    <t>நெய்யை சூடாக்கி, பேரீச்சம்பழம் + அத்தி விழுது சேர்த்து குறைந்த தீயில் 10 நிமிடங்கள் நன்கு கிளறி சமைக்கவும்.
பின்னர் நறுக்கிய கொட்டைகள் மற்றும் பொடித்த (2 டீஸ்பூன்) கொட்டைகளைச் சேர்க்கவும்.
அனைத்தையும் நன்றாகக் கலந்து இன்னும் சில நிமிடங்கள் சமைக்கவும். சுடரிலிருந்து இறக்கி குளிர்விக்க விடவும். பின்னர் கலவையை 2 சம பாகங்களாகப் பிரித்து கீழே காட்டப்பட்டுள்ளபடி சிலிண்டர்களாக வடிவமைக்கவும்.
நீங்கள் விரும்பினால் வறுத்த குஸ் குஸில் உருட்டலாம். நான் 2 தொகுதிகள் செய்தேன். ஒரு தொகுதியை குஸ் குஸில் உருட்டினேன், மற்ற தொகுதிக்கு, நான் அதைத் தவிர்த்துவிட்டேன். (மேலே உள்ள பிரதான படத்தில் நீங்கள் பார்ப்பது குஸ் குஸ் இல்லாமல் உள்ளது).
உருளை வடிவ கலவையை 2 மணி நேரம் அல்லது அது கெட்டியாகும் வரை குளிர்சாதன பெட்டியில் வைக்கவும். சோம்பேறித்தனம் காரணமாக சில நேரங்களில் இரவு முழுவதும் அதை விட்டுவிடுவேன்.
அது கெட்டியான பிறகு, அதை வட்டங்களாக வெட்டி, குளிர்சாதன பெட்டியில் ஒரு கொள்கலனில் சேமிக்கவும்.</t>
  </si>
  <si>
    <t>https://encrypted-tbn0.gstatic.com/images?q=tbn:ANd9GcSGrhw0UPpRXviRd873_0G8PaPeIuMFItTxiQ&amp;s</t>
  </si>
  <si>
    <t>Sweet Somas</t>
  </si>
  <si>
    <t>இனிப்பு சோமாஸ்</t>
  </si>
  <si>
    <t xml:space="preserve">   maida - 1 1/2 cup,
   semolina - 1/4 cup,
   Oil/ghee - 1 1/2 tbsp,
   Salt - a generous pinch,
   Fried Gram - 1/2 cup,
   Grated coconut - 1/2 cup,
   Powdered sugar - 3/4 cup,
   Cashew nuts – 1/4 cup,
   Cardamom - 4,
   Oil for deep frying.</t>
  </si>
  <si>
    <t>மைதா - 1 1/2 கப்,
ரவை - 1/4 கப்,
எண்ணெய்/நெய் - 1 1/2 டேபிள்ஸ்பூன்,
உப்பு - ஒரு சிட்டிகை,
வறுத்த பருப்பு - 1/2 கப்,
துருவிய தேங்காய் - 1/2 கப்,
பொடித்த சர்க்கரை - 3/4 கப்,
முந்திரி பருப்பு - 1/4 கப்,
ஏலக்காய் - 4,
ஆழமாக வறுக்க எண்ணெய்.</t>
  </si>
  <si>
    <t>In a bowl or big plate, mix together maida, oil, rava and salt together. Add water little at a time and make a smooth and stiff dough as you make for poori. Cover it with a damp cloth and keep it aside for 1- 1 1/2 hours.
Dry roast fried gram slightly or until it is hot to touch. Once it cools, powder it coarsely.
Heat 1/2 tsp of ghee and fry the coconut until the moisture goes and you get a nice aroma of fried coconut. You do not have to brown it.
Fry cashew nuts in 1/2 tsp of ghee.
Powder sugar finely along with cardamom.
Now mix together coarsely ground fried gram, coconut, powdered sugar and cashew nuts well. Now the stuffing for the somas is ready.
Now take the dough, knead it well and divide it into equal balls. Dusting flour, roll out a ball into a small poori. Using a lid, press on the rolled out dough and remove the excess dough. You will get a perfect circle. I used a lid  4 inch in diameter. In this method all the somas will be of the same size.
Place 2-2 1/2 tsp of stuffing in the middle of the circle. Now dip your finger in water and apply it on the edges of half a circle, so that the somas will stick well and the stuffing will not come out while frying.
Now close it and seal the edges well by pressing it with your fingers. Using a fork, give a nice design to the somas.
Repeat the same process for the rest of the dough. Now our prepared somas are all waiting to be fried .
Heat oil in a heavy bottomed kadai, when oil is hot, reduce the heat to medium (to check if the oil is hot, drop a small piece of dough into the oil, if it comes to the surface immediately, then the oil is hot enough to fry the somas). Drop 2-3 somas (depending on the capacity of the kadai and quantity of oil used) and fry both sides until golden brown.
Place it in a colander or a paper towel to drain excess oil.
Repeat the same process for the rest of the prepared somas dough with stuffing.
Enjoy preparing this crispy and delicious sweet somas or karchikai or karanji for Diwali this year.</t>
  </si>
  <si>
    <t>ஒரு கிண்ணத்தில் அல்லது பெரிய தட்டில், மைதா, எண்ணெய், ரவை மற்றும் உப்பு ஆகியவற்றை ஒன்றாகக் கலக்கவும். சிறிது சிறிதாக தண்ணீர் சேர்த்து, பூரி செய்வது போல் மென்மையான மற்றும் கெட்டியான மாவை உருவாக்கவும். ஈரமான துணியால் மூடி 1- 1 1/2 மணி நேரம் ஒதுக்கி வைக்கவும்.
வறுத்த பருப்புகளை சிறிது அல்லது தொடுவதற்கு சூடாக இருக்கும் வரை வறுக்கவும். அது ஆறியதும், கரகரப்பாக பொடி செய்யவும்.
1/2 டேபிள்ஸ்பூன் நெய்யை சூடாக்கி, தேங்காயை ஈரப்பதம் போய், வறுத்த தேங்காயின் நல்ல மணம் வரும் வரை வறுக்கவும். நீங்கள் அதை பழுப்பு நிறமாக்க வேண்டியதில்லை.
முந்திரி பருப்பை 1/2 தேக்கரண்டி நெய்யில் வறுக்கவும்.
சர்க்கரையை ஏலக்காயுடன் சேர்த்து நன்றாக பொடிக்கவும்.
இப்போது பொடியாக அரைத்த பருப்பு, தேங்காய், பொடித்த சர்க்கரை மற்றும் முந்திரி பருப்பை நன்றாக கலக்கவும். இப்போது சோமாஸுக்கான ஸ்டஃபிங் தயாராக உள்ளது.
இப்போது மாவை எடுத்து, நன்றாக பிசைந்து, சமமான உருண்டைகளாகப் பிரிக்கவும். மாவைத் தூவி, ஒரு பந்தை ஒரு சிறிய பூரியாக உருட்டவும். ஒரு மூடியைப் பயன்படுத்தி, உருட்டிய மாவை அழுத்தி, அதிகப்படியான மாவை அகற்றவும். உங்களுக்கு ஒரு சரியான வட்டம் கிடைக்கும். நான் 4 அங்குல விட்டம் கொண்ட ஒரு மூடியைப் பயன்படுத்தினேன். இந்த முறையில் அனைத்து சோமாக்களும் ஒரே அளவில் இருக்கும்.
வட்டத்தின் நடுவில் 2-2 1/2 தேக்கரண்டி ஸ்டஃபிங்கை வைக்கவும். இப்போது உங்கள் விரலை தண்ணீரில் நனைத்து, அரை வட்டத்தின் விளிம்புகளில் தடவவும், இதனால் சோமாக்கள் நன்றாக ஒட்டிக்கொள்ளும், மேலும் வறுக்கும்போது ஸ்டஃபிங் வெளியே வராது.
இப்போது அதை மூடி, உங்கள் விரல்களால் அழுத்தி விளிம்புகளை நன்றாக மூடவும். ஒரு முட்கரண்டியைப் பயன்படுத்தி, சோமாஸுக்கு ஒரு நல்ல வடிவமைப்பைக் கொடுங்கள்.
மீதமுள்ள மாவிற்கும் அதே செயல்முறையை மீண்டும் செய்யவும். இப்போது நாம் தயாரித்த சோமாக்கள் அனைத்தும் பொரிக்கக் காத்திருக்கின்றன.
அடித்தளம் கொண்ட ஒரு கடாயில் எண்ணெயைச் சூடாக்கவும், எண்ணெய் சூடானதும், தீயை நடுத்தரமாகக் குறைக்கவும் (எண்ணெய் சூடாக இருக்கிறதா என்று சோதிக்க, ஒரு சிறிய துண்டு மாவை எண்ணெயில் விடவும், அது உடனடியாக மேற்பரப்புக்கு வந்தால், எண்ணெய் சோமாக்களை வறுக்கும் அளவுக்கு சூடாக இருக்கும்). 2-3 சோமாக்களை (கடாயின் கொள்ளளவு மற்றும் பயன்படுத்தப்படும் எண்ணெயின் அளவைப் பொறுத்து) போட்டு, இருபுறமும் பொன்னிறமாகும் வரை வறுக்கவும்.
ஒரு வடிகட்டி அல்லது காகிதத் துண்டில் வைத்து அதிகப்படியான எண்ணெயை வடிகட்டவும்.
தயாரிக்கப்பட்ட சோமாஸ் மாவின் மீதமுள்ள பகுதிக்கும் இதே செயல்முறையை ஸ்டஃபிங்குடன் மீண்டும் செய்யவும்.
இந்த ஆண்டு தீபாவளிக்கு இந்த மொறுமொறுப்பான மற்றும் சுவையான இனிப்பு சோமாக்கள் அல்லது கர்ஜிக்காய் அல்லது கரஞ்சியை தயாரித்து மகிழுங்கள்.</t>
  </si>
  <si>
    <t>https://rakskitchen.net/wp-content/uploads/2012/11/somas-feat.jpg</t>
  </si>
  <si>
    <t>Maida Sweet Biscuit</t>
  </si>
  <si>
    <t>மைதா இனிப்பு பிஸ்கட்</t>
  </si>
  <si>
    <t xml:space="preserve">   Maida-all purpose flour - 1 cup,
   Ghee or butter - 1 tbsp,
   Sugar - 1/3 cup,
   Baking soda  - a generous pinch,
   Oil for deep frying,
   Powdered sugar for dusting.</t>
  </si>
  <si>
    <t>மைதா மாவு - 1 கப்,
நெய் அல்லது வெண்ணெய் - 1 டேபிள்ஸ்பூன்,
சர்க்கரை - 1/3 கப்,
பேக்கிங் சோடா - ஒரு சிட்டிகை,
ஆழமாக வறுக்க எண்ணெய்,
தூவுவதற்கு பொடித்த சர்க்கரை.</t>
  </si>
  <si>
    <t>First mix together ghee and cooking soda well with your hands (cream together vigorously).
Add maida and powder sugar to the ghee + cooking soda and mix well.
Add needed water and make a slightly stiff and smooth dough. Dusting flour, roll out the dough into a circle (it should neither be thick nor thin).
Using a biscuit cutter or a sharp knife, cut it in the shape of diamond or squares. Transfer the cut dough to a plate and keep it ready for deep frying.
Heat oil in a kadai. (to check if the oil is hot enough, drop a small piece of dough into the oil, if it raises to the surface immediately, then the oil is ready for frying) Turn the heat to medium and deep fry the cut dough in batches until both sides turn golden brown.
How to find out if it is cooked – once it is cooked the bubbling noise or bubbles stop and the biscuits will come to the surface. As we have added sugar, these biscuits will be a shade darker (slightly brown) than their savory counterpart (Maida salt biscuits).
Once cooked remove from oil with a slotted ladle and drain it on a colander. Dust powdered sugar over the biscuits and mix well.
Once it cools, store it in an air tight container. It has a self life of 6-7 days.</t>
  </si>
  <si>
    <t>முதலில் நெய் மற்றும் சமையல் சோடாவை கைகளால் நன்றாக கலக்கவும் (நெயில் + சமையல் சோடாவுடன் மைதா மற்றும் பொடித்த சர்க்கரையைச் சேர்த்து நன்கு கலக்கவும்.
தேவையான தண்ணீரை நெய்யுடன் சேர்த்து சற்று கெட்டியான மற்றும் மென்மையான மாவை உருவாக்கவும். மாவைத் தூவி, மாவை ஒரு வட்டமாக உருட்டவும் (அது கெட்டியாகவோ அல்லது மெல்லியதாகவோ இருக்கக்கூடாது).
பிஸ்கட் கட்டர் அல்லது கூர்மையான கத்தியைப் பயன்படுத்தி, வைர வடிவில் அல்லது சதுர வடிவத்தில் வெட்டவும். வெட்டப்பட்ட மாவை ஒரு தட்டில் மாற்றி ஆழமாக வறுக்க தயாராக வைக்கவும்.
ஒரு கடாயில் எண்ணெயை சூடாக்கவும். (எண்ணெய் போதுமான அளவு சூடாக இருக்கிறதா என்று சோதிக்க, ஒரு சிறிய துண்டு மாவை எண்ணெயில் விடவும், அது உடனடியாக மேற்பரப்புக்கு உயர்ந்தால், எண்ணெய் வறுக்கத் தயாராக உள்ளது) வெப்பத்தை நடுத்தரமாக மாற்றி, வெட்டப்பட்ட மாவை இருபுறமும் பொன்னிறமாக மாறும் வரை தொகுதிகளாக ஆழமாக வறுக்கவும்.
சமைத்ததா என்பதை எப்படிக் கண்டுபிடிப்பது - சமைத்தவுடன் குமிழ் சத்தம் அல்லது குமிழ்கள் நின்றுவிடும், பிஸ்கட்கள் மேற்பரப்புக்கு வரும். சர்க்கரையைச் சேர்த்திருப்பதால், இந்த பிஸ்கட்டுகள் அவற்றின் சுவையான சகாவை விட (மைதா உப்பு பிஸ்கட்கள்) ஒரு நிழல் அடர் நிறத்தில் (சற்று பழுப்பு) இருக்கும்.
சமைத்தவுடன், ஒரு துளையிடப்பட்ட கரண்டியால் எண்ணெயிலிருந்து அகற்றி, ஒரு வடிகட்டியில் வடிகட்டவும். பிஸ்கட்களின் மீது தூவி நன்கு கலக்கவும்.
அது குளிர்ந்ததும், காற்று புகாத கொள்கலனில் சேமிக்கவும். இது 6-7 நாட்கள் சுய ஆயுளைக் கொண்டுள்ளது.</t>
  </si>
  <si>
    <t>https://i0.wp.com/cookingfromheart.com/wp-content/uploads/2019/10/Shankarpali-1.jpg?resize=720%2C960&amp;ssl=1</t>
  </si>
  <si>
    <t>Aval Mixture</t>
  </si>
  <si>
    <t>அவல் கலவை</t>
  </si>
  <si>
    <t xml:space="preserve">     Aval - 2 cups,
   Potato - 1 big,
   Cashew nuts - 1/2 cup,
   Roasted Peanuts - 1 cup,
   Curry leaves- few,
   Asafoetida - 1/2 tsp,
   Chilli powder as needed,
   Salt needed,
   Oil for deep frying.</t>
  </si>
  <si>
    <t>அவல் - 2 கப்,
உருளைக்கிழங்கு - 1 பெரியது,
முந்திரி பருப்பு - 1/2 கப்,
வறுத்த வேர்க்கடலை - 1 கப்,
கறிவேப்பிலை - சிறிது,
பெருங்காயம் - 1/2 தேக்கரண்டி,
தேவைக்கேற்ப மிளகாய் தூள்,
உப்பு தேவை,
வறுக்க எண்ணெய்.</t>
  </si>
  <si>
    <t>Heat oil, add the aval and fry it. Remove it with a slotted ladle and keep it aside.
In the same oil, add grated potato and fry until golden brown, remove it and place it in a colander.
In the same oil, fry cashew nuts and curry leaves separately. Now mix the fried potato, aval/poha, cashew nuts, roasted peanuts (you do not have to fry peanuts, just add roasted peanuts) and curry leaves.
Add hing, salt needed and chilli powder. Mix everything until it is well coated with the spices.
Store it in a bottle or airtight container and enjoy. This stays good for 10-12 days.
Do not miss my collection of Diwali Sweets and Snacks</t>
  </si>
  <si>
    <t>எண்ணெயை சூடாக்கி, அவல் சேர்த்து வறுக்கவும். ஒரு துளையிட்ட கரண்டியால் அதை எடுத்து தனியாக வைக்கவும்.
அதே எண்ணெயில், துருவிய உருளைக்கிழங்கைச் சேர்த்து பொன்னிறமாகும் வரை வறுக்கவும், அதை எடுத்து ஒரு வடிகட்டியில் வைக்கவும்.
அதே எண்ணெயில், முந்திரி மற்றும் கறிவேப்பிலையை தனித்தனியாக வறுக்கவும். இப்போது வறுத்த உருளைக்கிழங்கு, அவல்/போஹா, முந்திரி பருப்பு, வறுத்த வேர்க்கடலை (நீங்கள் வேர்க்கடலையை வறுக்க வேண்டியதில்லை, வறுத்த வேர்க்கடலையைச் சேர்க்கவும்) மற்றும் கறிவேப்பிலை ஆகியவற்றை கலக்கவும்.
கீல், தேவையான உப்பு மற்றும் மிளகாய் தூள் சேர்க்கவும். மசாலாப் பொருட்களுடன் நன்கு பூசப்படும் வரை அனைத்தையும் கலக்கவும்.
ஒரு பாட்டில் அல்லது காற்று புகாத கொள்கலனில் சேமித்து மகிழுங்கள். இது 10-12 நாட்கள் நன்றாக இருக்கும்.
தீபாவளி இனிப்புகள் மற்றும் சிற்றுண்டிகளின் எனது தொகுப்பைத் தவறவிடாதீர்கள்.</t>
  </si>
  <si>
    <t>https://encrypted-tbn0.gstatic.com/images?q=tbn:ANd9GcTGKJgekSL1Wzywu7XTK3HNqLlN5lCkrfR_-A&amp;s</t>
  </si>
  <si>
    <t>Keerai Vadai</t>
  </si>
  <si>
    <t>கீரை வடை</t>
  </si>
  <si>
    <t xml:space="preserve">   Whole Urad dal without skin – 1/2 cup,
   pottukadalai - 1 tsp,
   Raw rice - 1 tsp,
   Green chilli - 3,
   Arai keerai – 1/3 cup finely chopped,
   Salt to taste,
   Oil for deep frying.</t>
  </si>
  <si>
    <t>தோல் நீக்கிய முழு உளுத்தம் பருப்பு - 1/2 கப்,
பொட்டுக்கடலை - 1 தேக்கரண்டி,
பச்சரிசி - 1 தேக்கரண்டி,
பச்சை மிளகாய் - 3,
அரை கீரை - 1/3 கப் நன்றாக நறுக்கியது,
சுவைக்கேற்ப உப்பு,
ஆழமாக வறுக்க எண்ணெய்.</t>
  </si>
  <si>
    <t>Soak urad dal + chutney kadalai (dalia)+ rice together for 2 hours. After 1 hour, you can keep it in the refrigerator. Rice and dalia are added to give crispiness to the vada.
Clean and wash the greens. Drain the water, chop it finely and keep it ready. You can use arai keerai or siru keerai.I have used arai keerai for making this vada.
Drain the water completely from the dal and grind it either in a mixie or wet grinder adding green chillies and salt to a smooth paste. You should not add water while grinding. If needed just sprinkle water once or twice.
Dip your hand in water and take a small ball of batter. The batter should not stick to your hand. If it sticks, then grind for some more time.
 If you drop a little batter in a cup of water, the batter should float and not dissolve.
Once the batter is ready, add the chopped keerai and mix well.
Take a plantain leaf or a Ziploc bag (if using plantain leaf, use the back side of the leaf), wipe it with a little water. Dip your fingers in water, take a small lemon sized ball of batter, flatten it with your hands keeping it on the banana leaf  and make a hole in the center as shown in the picture below.
Heat oil in a kadai (to check if the oil is hot enough, drop a little batter into the oil, if it comes to the surface immediately, the oil is hot enough to fry the vadas). Reduce the heat to medium. Then transfer the flattened batter to your hand from the leaf/ziploc bag and drop it into the hot oil carefully.
Once it is slightly cooked, flip it over to the other side and cook both sides until golden brown. 
Then remove the vada with a slotted ladle and place it in a colander or paper towel to remove excess oil, if any. You can fry 3-4 vadas at a time depending on the quantity of oil used.
frying keerai vadai 
Repeat the same process for the rest of the batter. Coconut Chutney is a great side dish for keerai vadai.
Enjoy hot keerai vadai with tea or coffee or even for breakfast along with idli and chutney.</t>
  </si>
  <si>
    <t>உளுத்தம் பருப்பு + சட்னி கடலை (தாலியா) + அரிசியை ஒன்றாக 2 மணி நேரம் ஊற வைக்கவும். 1 மணி நேரம் கழித்து, குளிர்சாதன பெட்டியில் வைக்கலாம். வடை மொறுமொறுப்பாக இருக்க அரிசி மற்றும் தாலியா சேர்க்கப்படும்.
கீரைகளை சுத்தம் செய்து கழுவவும். தண்ணீரை வடித்து, நன்றாக நறுக்கி தயாராக வைக்கவும். நீங்கள் அரை கீரை அல்லது சிறு கீரை பயன்படுத்தலாம். இந்த வடை செய்வதற்கு நான் அரை கீரையைப் பயன்படுத்தினேன்.
பருப்பிலிருந்து தண்ணீரை முழுவதுமாக வடிகட்டி, மிக்ஸியிலோ அல்லது ஈரமான கிரைண்டரிலோ பச்சை மிளகாய் மற்றும் உப்பு சேர்த்து மென்மையான பேஸ்டாக அரைக்கவும். அரைக்கும் போது தண்ணீர் சேர்க்கக்கூடாது. தேவைப்பட்டால் ஒன்று அல்லது இரண்டு முறை தண்ணீர் தெளிக்கவும்.
உங்கள் கையை தண்ணீரில் நனைத்து, ஒரு சிறிய மாவு உருண்டையை எடுத்துக் கொள்ளுங்கள். மாவு உங்கள் கையில் ஒட்டக்கூடாது. அது ஒட்டிக்கொண்டால், சிறிது நேரம் அரைக்கவும்.
ஒரு கப் தண்ணீரில் சிறிது மாவை போட்டால், மாவு மிதக்க வேண்டும், கரையக்கூடாது.
மாவு தயாரானதும், நறுக்கிய கீரையைச் சேர்த்து நன்கு கலக்கவும்.
ஒரு வாழை இலை அல்லது ஜிப்லாக் பையை (வாழை இலையைப் பயன்படுத்தினால், இலையின் பின்புறத்தைப் பயன்படுத்தவும்) எடுத்து, சிறிது தண்ணீரில் துடைக்கவும். உங்கள் விரல்களை தண்ணீரில் நனைத்து, ஒரு சிறிய எலுமிச்சை அளவு மாவு உருண்டையை எடுத்து, அதை உங்கள் கைகளால் வாழை இலையில் வைத்து தட்டையாக்கி, கீழே உள்ள படத்தில் காட்டப்பட்டுள்ளபடி மையத்தில் ஒரு துளை செய்யுங்கள்.
ஒரு கடாயில் எண்ணெயை சூடாக்கவும் (எண்ணெய் போதுமான அளவு சூடாக இருக்கிறதா என்று சோதிக்க, சிறிது மாவை எண்ணெயில் விடுங்கள், அது உடனடியாக மேற்பரப்புக்கு வந்தால், எண்ணெய் வடைகளை வறுக்கும் அளவுக்கு சூடாக இருக்கும்). தீயை நடுத்தரமாகக் குறைக்கவும். பின்னர் இலை/ஜிப்லாக் பையில் இருந்து தட்டையான மாவை உங்கள் கைக்கு மாற்றி, கவனமாக சூடான எண்ணெயில் விடவும்.
சிறிது வெந்ததும், மறுபுறம் திருப்பிப் போட்டு, இருபுறமும் பொன்னிறமாகும் வரை சமைக்கவும்.
பின்னர், ஒரு துளையிட்ட கரண்டியால் வடையை எடுத்து, அதிகப்படியான எண்ணெய் இருந்தால் அதை அகற்ற ஒரு வடிகட்டி அல்லது காகிதத் துண்டில் வைக்கவும். பயன்படுத்தப்படும் எண்ணெயின் அளவைப் பொறுத்து ஒரே நேரத்தில் 3-4 வடைகளை வறுக்கலாம்.
கீரை வடை வறுக்கவும்
மீதமுள்ள மாவுக்கும் இதே செயல்முறையை மீண்டும் செய்யவும். தேங்காய் சட்னி கீரை வடைக்கு ஒரு சிறந்த துணை உணவாகும்.
தேநீர் அல்லது காபியுடன் அல்லது காலை உணவாக இட்லி மற்றும் சட்னியுடன் கூட சூடான கீரை வடையை அனுபவிக்கவும்.</t>
  </si>
  <si>
    <t>https://i.ytimg.com/vi/ak612rqKalY/maxresdefault.jpg</t>
  </si>
  <si>
    <t>Vazhaipoo Vadai</t>
  </si>
  <si>
    <t>வாழைப்பூ வடை</t>
  </si>
  <si>
    <t xml:space="preserve">   Bengal gram - 1/4 cup,
   Tur dal - 1/4 cup,
   Green chillies - 3,
   Fennel seeds - 1 tsp,
   Hing - 1/4 tsp,
   Chutney kadalai - 2 tsp,
   Salt needed,
   Onion - 1 medium size,
   Coriander leaves - 2 tbsp finely chopped,
   Banana flower– 1/2 cup finely chopped,
   Tender Curry leaves -few.</t>
  </si>
  <si>
    <t>பெங்கல் பருப்பு - 1/4 கப்,
துரும்பு பருப்பு - 1/4 கப்,
பச்சை மிளகாய் - 3,
வெந்தய விதைகள் - 1 தேக்கரண்டி,
ஹிங் - 1/4 தேக்கரண்டி,
சட்னி கடலை - 2 தேக்கரண்டி,
உப்பு தேவை,
வெங்காயம் - 1 நடுத்தர அளவு,
கொத்தமல்லி இலைகள் - 2 தேக்கரண்டி நன்றாக நறுக்கியது,
வாழைப்பூ - 1/2 கப் நன்றாக நறுக்கியது,
மென்மையான கறிவேப்பிலை - சில.</t>
  </si>
  <si>
    <t>Wash and soak bengal gram dal (channa dal) and tur dal together for 2 hours.
Take tender banana flowers alone, chop it and keep in diluted buttermilk until use to prevent discoloration. Check out how to clean vazhaipoo.
After 2 hours, drain the water completely from the dal, add green chillies, fennel seeds, chutney kadalai (pottukadalai), salt needed and grind it for 2-3 seconds.
Then add the tender chopped banana flowers (drain all the buttermilk and then add), and grind it coarsely. Do not operate the mixie at a stretch. Grind it for 3-4 seconds, leave a gap of 3 seconds and then grind again. If you grind it at a stretch, it will become a smooth paste which we do not want. The vazhaipoo vada batter should be slightly coarse. Taste the batter to check for salt.
Now add finely chopped onions, 2 tbsp of finely chopped coriander leaves and few tender curry leaves. Mix everything well.
Take a lemon sized ball of the batter, flatten it with your hands and form into a disc.
Heat oil in a kadai (to check if the oil is hot enough, add a little batter, if it raises to the surface immediately, the oil is ready for frying). Once the oil is hot, reduce the temperature to medium. Drop the prepared discs/patties into the oil gently. Fry both sides until brown. Remove from oil  with a slotted ladle and place on a paper towel or colander to drain excess oil. You can fry 4-5 patties depending on the quantity of oil used.
Repeat the same process for the rest of the batter.
Enjoy delicious vazhaipoo vadai with tea or coffee!!</t>
  </si>
  <si>
    <t>பெங்கல் பருப்பு (சன்னா பருப்பு) மற்றும் துவரம்பருப்பை கழுவி 2 மணி நேரம் ஊற வைக்கவும்.
மென்மையான வாழைப்பூக்களை தனியாக எடுத்து, நறுக்கி, நீர்த்த மோரில் போட்டு, நிறம் மாறாமல் இருக்க பயன்படுத்தவும். வாழைப்பூவை எப்படி சுத்தம் செய்வது என்று பாருங்கள்.
2 மணி நேரம் கழித்து, பருப்பிலிருந்து தண்ணீரை முழுவதுமாக வடிகட்டி, பச்சை மிளகாய், பெருஞ்சீரகம் விதைகள், சட்னி கடலை (பொட்டுக்கடலை), தேவையான உப்பு சேர்த்து 2-3 வினாடிகள் அரைக்கவும்.
பின்னர் நறுக்கிய வாழைப்பூக்களை (மோர் முழுவதையும் வடிகட்டி பின்னர் சேர்க்கவும்) சேர்த்து, கரடுமுரடாக அரைக்கவும். மிக்ஸியை சிறிது சிறிதாகப் பயன்படுத்த வேண்டாம். 3-4 வினாடிகள் அரைத்து, 3 வினாடிகள் இடைவெளி விட்டு மீண்டும் அரைக்கவும். சிறிது சிறிதாக அரைத்தால், அது நமக்குத் தேவையில்லாத மென்மையான பேஸ்டாக மாறும். வாழைப்பூ வடை மாவு சற்று கரகரப்பாக இருக்க வேண்டும். உப்பு இருக்கிறதா என்று சோதிக்க மாவை ருசிக்கவும்.
இப்போது இறுதியாக நறுக்கிய வெங்காயம், 2 டேபிள்ஸ்பூன் இறுதியாக நறுக்கிய கொத்தமல்லி இலைகள் மற்றும் சில மென்மையான கறிவேப்பிலை சேர்க்கவும். அனைத்தையும் நன்றாக கலக்கவும்.
எலுமிச்சை அளவு மாவை எடுத்து, உங்கள் கைகளால் தட்டையாக்கி ஒரு தட்டில் வைக்கவும்.
ஒரு கடாயில் எண்ணெயை சூடாக்கவும் (எண்ணெய் போதுமான அளவு சூடாக இருக்கிறதா என்று சரிபார்க்க, சிறிது மாவைச் சேர்க்கவும், அது உடனடியாக மேற்பரப்புக்கு உயர்ந்தால், எண்ணெய் வறுக்கத் தயாராக உள்ளது). எண்ணெய் சூடானதும், வெப்பநிலையை நடுத்தரமாகக் குறைக்கவும். தயாரிக்கப்பட்ட டிஸ்க்குகள்/பட்டீஸ்களை எண்ணெயில் மெதுவாக விடவும். இருபுறமும் பழுப்பு நிறமாக வறுக்கவும். ஒரு துளையிடப்பட்ட கரண்டியால் எண்ணெயிலிருந்து அகற்றி, அதிகப்படியான எண்ணெயை வடிகட்ட ஒரு காகித துண்டு அல்லது வடிகட்டியில் வைக்கவும். பயன்படுத்தப்படும் எண்ணெயின் அளவைப் பொறுத்து 4-5 பஜ்ஜிகளை வறுக்கலாம்.
மீதமுள்ள மாவிற்கும் இதே செயல்முறையை மீண்டும் செய்யவும்.
தேநீர் அல்லது காபியுடன் சுவையான வாழைப்பூ வடையை அனுபவிக்கவும்!!</t>
  </si>
  <si>
    <t>https://www.kannammacooks.com/wp-content/uploads/vazhaipoo-vadai-banana-blossom-vadai-5.jpg</t>
  </si>
  <si>
    <t>முட்டைக்கோஸ்</t>
  </si>
  <si>
    <t xml:space="preserve">
   Channa dal - 1 cup,
   Urad dal - 1 tbsp,
   Red chillies - 3,
   Green chillies - 2,
   Hing - 1/4 tsp,
   Ghee - 1 tsp,
   Cabbage,
   Oil for deep frying,
   Salt needed.</t>
  </si>
  <si>
    <t>சன்னா பருப்பு - 1 கப்,
உளுத்தம் பருப்பு - 1 டீஸ்பூன்,
சிவப்பு மிளகாய் - 3,
பச்சை மிளகாய் - 2,
ஹிங் - 1/4 டீஸ்பூன்,
நெய் - 1 டீஸ்பூன்,
முட்டைக்கோஸ்,
ஆழமாக வறுக்க எண்ணெய்,
உப்பு தேவை.</t>
  </si>
  <si>
    <t>Wash and soak both dal together for 1 1/2 hours. Drain the water completely and keep it aside.
Grind red chillies, green chillies and salt first to a smooth paste. Then add the drained dal and grind it coarsely without adding water.
Finely chop cabbage. Add the chopped cabbage, hing and a tsp of ghee to the vada batter and mix well. Check for salt. Our cabbage channa dal vada batter is ready.
Heat oil in a kadai. To check if the oil is ready for frying the vadas, drop a piece of batter into the oil, if it raises to the surface immediatly, then the oil is ready for frying. Reduce the heat to medium.
Dip your hand in water (keep a bowl of water besides the batter) take a little batter, shape it into a ball and flatten it in the shape of a disc or form it into patties.
Gently drop the flattened disc into the oil and deep fry both sides until golden brown.
Remove from the kadai using a slotted ladle and drain excess oil on a paper towel or colander. Repeat the same process for the rest of the batter.
Serve hot and crispy vada with a cup of tea or coffee.</t>
  </si>
  <si>
    <t>இரண்டு பருப்பையும் கழுவி 1 1/2 மணி நேரம் ஊற வைக்கவும். தண்ணீரை முழுவதுமாக வடிகட்டி ஒதுக்கி வைக்கவும்.
முதலில் சிவப்பு மிளகாய், பச்சை மிளகாய் மற்றும் உப்பு ஆகியவற்றை மென்மையான பேஸ்டாக அரைக்கவும். பின்னர் வடிகட்டிய பருப்பைச் சேர்த்து தண்ணீர் சேர்க்காமல் கரடுமுரடாக அரைக்கவும்.
முட்டைக்கோஸை நன்றாக நறுக்கவும். நறுக்கிய முட்டைக்கோஸ், ஹிங் மற்றும் ஒரு தேக்கரண்டி நெய்யை வடை மாவில் சேர்த்து நன்கு கலக்கவும். உப்பு இருக்கிறதா என்று சரிபார்க்கவும். எங்கள் முட்டைக்கோஸ் சன்னா பருப்பு வடை மாவு தயார்.
ஒரு கடாயில் எண்ணெயை சூடாக்கவும். வடைகளை வறுக்க எண்ணெய் தயாரா என்று சரிபார்க்க, ஒரு துண்டு மாவை எண்ணெயில் விடவும், அது உடனடியாக மேல்நோக்கி உயர்ந்தால், எண்ணெய் வறுக்க தயாராக உள்ளது. தீயை மிதமாகக் குறைக்கவும்.
உங்கள் கையை தண்ணீரில் நனைத்து (மாவுடன் சேர்த்து ஒரு கிண்ணத்தில் தண்ணீர் வைக்கவும்) சிறிது மாவை எடுத்து, அதை ஒரு உருண்டையாக வடிவமைத்து, அதை ஒரு வட்டு வடிவத்தில் தட்டையாக்குங்கள் அல்லது பஜ்ஜிகளாக ஆக்குங்கள்.
தட்டையான வட்டை எண்ணெயில் மெதுவாக இறக்கி, இருபுறமும் பொன்னிறமாகும் வரை ஆழமாக வறுக்கவும்.
கடாயிலிருந்து துளையிடப்பட்ட கரண்டியைப் பயன்படுத்தி எடுத்து, அதிகப்படியான எண்ணெயை ஒரு காகித துண்டு அல்லது வடிகட்டியில் வடிகட்டவும். மீதமுள்ள மாவிற்கும் இதே செயல்முறையை மீண்டும் செய்யவும்.
சூடான மற்றும் மொறுமொறுப்பான வடையை ஒரு கப் தேநீர் அல்லது காபியுடன் பரிமாறவும்.</t>
  </si>
  <si>
    <t>https://www.vegrecipesofindia.com/wp-content/uploads/2013/12/cabbage-vada-recipe-2-1.jpg</t>
  </si>
  <si>
    <t xml:space="preserve">   Aval – 1 cup,
   Nattu sakkarai -  1/2 cup,
   Cardamom powder - 1/4 tsp,
   Cashew nuts - 3,
   Hot melted ghee – 3-4 tbsp.</t>
  </si>
  <si>
    <t>அவல் - 1 கப்,
நாட்டுச் சக்கரை - 1/2 கப்,
ஏலக்காய்த் தூள் - 1/4 தேக்கரண்டி,
முந்திரி பருப்பு - 3,
சூடான உருகிய நெய் - 3-4 தேக்கரண்டி.</t>
  </si>
  <si>
    <t xml:space="preserve">Now keep everything ready – Ground poha, hot ghee (I have kept it in a bowl of hot water), natural unrefined sugar, cardamom powder, cashew nuts and raisins fried in ghee.
In a bowl, mix together, ground poha, nattu sakkarai, cardamom powder, cashew nuts and raisins along with that 1 tbsp of ghee.
Mix everything first. Then add more ghee little at a time. When you are able to make laddus out of the mixture, stop adding ghee. Grease you hands if required with ghee and make laddus from the mixture.
Delicious and healthy Aval laddu is ready. You can prepare this for festivals, pack it in your kid’s snack box or give them when they come back tired from school.
I have been getting request for healthy snacks recipes for kids.All sundals are very healthy and can be given to kids as snacks in the evening. I have just listed a few healthy and traditional snacks which are not deep fried, does not contain white sugar, all purpose flour, preservatives or any artificial coloring agents. Perfect and healthy snacks for kids and adults. </t>
  </si>
  <si>
    <t>இப்போது எல்லாவற்றையும் தயாராக வைத்திருங்கள் - அரைத்த போஹா, சூடான நெய் (நான் அதை ஒரு கிண்ணத்தில் வெந்நீரில் வைத்திருந்தேன்), இயற்கையான சுத்திகரிக்கப்படாத சர்க்கரை, ஏலக்காய்த் தூள், முந்திரி பருப்பு மற்றும் நெய்யில் வறுத்த திராட்சை.
ஒரு கிண்ணத்தில், அரைத்த போஹா, நாட்டுச் சக்கரை, ஏலக்காய்த் தூள், முந்திரி பருப்பு மற்றும் திராட்சை ஆகியவற்றை அந்த 1 தேக்கரண்டி நெய்யுடன் ஒன்றாகக் கலக்கவும்.
முதலில் அனைத்தையும் கலக்கவும். பின்னர் சிறிது சிறிதாக நெய் சேர்க்கவும். கலவையிலிருந்து லட்டு செய்ய முடிந்தவுடன், நெய் சேர்ப்பதை நிறுத்துங்கள். தேவைப்பட்டால் உங்கள் கைகளில் நெய் தடவி, கலவையிலிருந்து லட்டுகளை உருவாக்கவும்.
சுவையான மற்றும் ஆரோக்கியமான அவல் லட்டு தயாராக உள்ளது. இதை நீங்கள் பண்டிகைகளுக்குத் தயாரிக்கலாம், உங்கள் குழந்தையின் சிற்றுண்டிப் பெட்டியில் பேக் செய்யலாம் அல்லது அவர்கள் பள்ளியிலிருந்து சோர்வாக வரும்போது கொடுக்கலாம்.
குழந்தைகளுக்கான ஆரோக்கியமான சிற்றுண்டி ரெசிபிகளுக்கான கோரிக்கைகள் எனக்கு வந்து கொண்டிருக்கின்றன. அனைத்து சுண்டல்களும் மிகவும் ஆரோக்கியமானவை, மேலும் குழந்தைகளுக்கு மாலையில் சிற்றுண்டியாகக் கொடுக்கலாம். நான் சில ஆரோக்கியமான மற்றும் பாரம்பரிய சிற்றுண்டிகளை பட்டியலிட்டுள்ளேன், அவை ஆழமாக வறுக்கப்படாதவை, வெள்ளை சர்க்கரை, அனைத்து வகையான மாவு, பாதுகாப்புகள் அல்லது எந்த செயற்கை வண்ணமயமாக்கல் பொருட்களும் இல்லை. குழந்தைகள் மற்றும் பெரியவர்களுக்கு ஏற்ற மற்றும் ஆரோக்கியமான சிற்றுண்டிகள்.</t>
  </si>
  <si>
    <t>Pasi Paruppu Laddu</t>
  </si>
  <si>
    <t>பாசி பருப்பு லட்டு</t>
  </si>
  <si>
    <t xml:space="preserve">
   Pasi paruppu – 1/2 cup,
   nattu sakkarai - 1/2 cup,
   Melted Ghee – 2,
   Cardamom powder - 1/4 tsp.</t>
  </si>
  <si>
    <t>பாசி பருப்பு - 1/2 கப்,
நாட்டு சக்கரை - 1/2 கப்,
உருக்கிய நெய் - 2,
ஏலக்காய் தூள் - 1/4 டீஸ்பூன்.</t>
  </si>
  <si>
    <t>In a bowl mix together, moong dal flour, unrefined cane sugar and cardamom powder. Keep melted ghee in a bowl of hot water.
Add hot melted ghee little by little (I added less than 3 tbsp of ghee) to the mixture until you are able to make balls from the mixture. Make equal sized balls. Delicious and healthy moong dal laddu is ready.
This can be stored in an airtight container for 5-6 days. It will stay good if handled properly.</t>
  </si>
  <si>
    <t>ஒரு பாத்திரத்தில், பாசி பருப்பு மாவு, சுத்திகரிக்கப்படாத கரும்பு சர்க்கரை மற்றும் ஏலக்காய் தூள் ஆகியவற்றை ஒன்றாக கலக்கவும். உருக்கிய நெய்யை ஒரு பாத்திரத்தில் சூடான நீரில் வைக்கவும்.
சூடான நெய்யை சிறிது சிறிதாக (நான் 3 டேபிள்ஸ்பூன் நெய்யை விட குறைவாகவே சேர்த்தேன்) கலவையிலிருந்து உருண்டைகள் உருவாகும் வரை கலவையில் சேர்க்கவும். சம அளவிலான உருண்டைகளை உருவாக்கவும். சுவையான மற்றும் ஆரோக்கியமான பாசி பருப்பு லட்டு தயாராக உள்ளது.
இதை 5-6 நாட்கள் காற்று புகாத கொள்கலனில் சேமிக்கலாம். சரியாகக் கையாளப்பட்டால் நன்றாக இருக்கும்.</t>
  </si>
  <si>
    <t>https://blogexplore.com/wp-content/uploads/2015/11/blogexplore.com_moong-dal-pasi-paruppu-ladoo.jpg</t>
  </si>
  <si>
    <t>Karasev</t>
  </si>
  <si>
    <t>கரசேவ்</t>
  </si>
  <si>
    <t xml:space="preserve">Melted ghee – 3 tsp,
Cooking soda – a pinch,
Pepper powder – 1 tsp,
 kadalai mavi– 1 cup ,
Rice flour – 1/4 cup,
asafoetida – 1/4 tsp,
Cumin seeds - 1 tsp,
Salt as needed.
</t>
  </si>
  <si>
    <t>உருகிய நெய் - 3 தேக்கரண்டி,
சமையல் சோடா - ஒரு சிட்டிகை,
மிளகு தூள் - 1 தேக்கரண்டி,
கடலை மாவி - 1 கப்,
அரிசி மாவு - 1/4 கப்,
அசாஃபோடிடா - 1/4 தேக்கரண்டி,
சீரக விதைகள் - 1 தேக்கரண்டி,
தேவைக்கேற்ப உப்பு.</t>
  </si>
  <si>
    <t>Traditionally a big ladle with perforated holes was used to prepare karasev (my mother used only that as you can see in the picture) but you can use murukku maker (using the disc which has 5 holes) to make karasev which is much easier. Put the dough into the murukku maker and press it directly into the hot oil.
I will share with you how my mother prepared it-
Heat oil in a kadai. To check if the oil is hot enough to fry the karasev, drop a small piece of dough into the oil, if it raises to the surface immediately, the oil is hot enough to fry the karasev. Now turn the heat to medium. Keep a little dough or a ball of dough on the ladle and rub it through the holes. (look at the picture below).The dough falls through the holes into the hot oil in the shape of small sticks or thick noodles.
Fry until it turns golden brown. Stir in between for even frying. On the picture above you can see lot of bubbles while frying. In the picture below there are no bubbles. This is one indication that the karasev is fried. The sizzling sound will also stop. 
Remove from oil and drain it on a colander or a kitchen towel.
Easy and delicious karasev is ready in just 15 minutes. Try it for this Diwali and enjoy!</t>
  </si>
  <si>
    <t>பாரம்பரியமாக கரசேவ் தயாரிக்க துளையிடப்பட்ட துளைகளைக் கொண்ட ஒரு பெரிய கரண்டி பயன்படுத்தப்பட்டது (என் அம்மா படத்தில் நீங்கள் காணக்கூடியதை மட்டுமே பயன்படுத்தினார்) ஆனால் நீங்கள் கரசேவ் செய்ய முருக்கு மேக்கரை (5 துளைகளைக் கொண்ட வட்டைப் பயன்படுத்தி) பயன்படுத்தலாம், இது மிகவும் எளிதானது. முருக்கு மேக்கரில் மாவை வைத்து நேரடியாக சூடான எண்ணெயில் அழுத்தவும்.
என் அம்மா அதை எப்படி தயாரித்தார் என்பதை உங்களுடன் பகிர்ந்து கொள்கிறேன்-
ஒரு கடாயில் எண்ணெயை சூடாக்கவும். கரசேவ் வறுக்க எண்ணெய் போதுமான அளவு சூடாக இருக்கிறதா என்று சரிபார்க்க, ஒரு சிறிய துண்டு மாவை எண்ணெயில் விடவும், அது உடனடியாக மேற்பரப்புக்கு உயர்ந்தால், எண்ணெய் கரசேவ் வறுக்க போதுமான அளவு சூடாக இருக்கும். இப்போது தீயை மிதமாக வைக்கவும். கரண்டியில் சிறிது மாவை அல்லது ஒரு உருண்டை மாவை வைத்து துளைகள் வழியாக தேய்க்கவும். (கீழே உள்ள படத்தைப் பாருங்கள்). மாவு சிறிய குச்சிகள் அல்லது அடர்த்தியான நூடுல்ஸ் வடிவத்தில் துளைகள் வழியாக சூடான எண்ணெயில் விழுகிறது.
தங்க பழுப்பு நிறமாக மாறும் வரை வறுக்கவும். சமமாக வறுக்க இடையில் கிளறவும். மேலே உள்ள படத்தில் வறுக்கும்போது நிறைய குமிழ்களைக் காணலாம். கீழே உள்ள படத்தில் குமிழ்கள் இல்லை. இது கரசேவ் வறுத்ததற்கான ஒரு அறிகுறியாகும். சிஸ்லிங் சத்தமும் நின்றுவிடும்.
எண்ணெயிலிருந்து அகற்றி ஒரு வடிகட்டி அல்லது சமையலறை துண்டில் வடிகட்டவும்.
எளிதான மற்றும் சுவையான கரசேவ் வெறும் 15 நிமிடங்களில் தயாராகிவிடும். இந்த தீபாவளிக்கு இதை முயற்சி செய்து மகிழுங்கள்!</t>
  </si>
  <si>
    <t>https://encrypted-tbn0.gstatic.com/images?q=tbn:ANd9GcT6OF7Bnbq3uEoxUNcWaIb0yDsoTgR3WJ7_uw&amp;s</t>
  </si>
  <si>
    <t>Vegetable Bonda</t>
  </si>
  <si>
    <t>காய்கறி போண்டா</t>
  </si>
  <si>
    <t>Onion – 1,
Green chilli – 2 ,
Potato – 2,
Carrot – 1,
Peas – 2-3 tbsp,
Beans – 3-4,
Chilli powder - 1/2 tsp,
Turmeric powder – a pinch,
Salt as needed,
Oil – 2 tsp,
Mustard seeds – 1 tsp,
kadalai mavu – 1/2 cup,
Rice flour – 1/4 cup,
Red chilli powder – 1 tsp,
Cooking soda -  a pinch,
Salt to taste,
Oil for deep frying the bondas.</t>
  </si>
  <si>
    <t>வெங்காயம் – 1,
பச்சை மிளகாய் – 2,
உருளைக்கிழங்கு – 2,
கேரட் – 1,
பட்டாணி – 2-3 டேபிள்ஸ்பூன்,
பீன்ஸ் – 3-4,
மிளகாய்த்தூள் – 1/2 டேபிள்ஸ்பூன்,
மஞ்சள் தூள் – ஒரு சிட்டிகை,
தேவைக்கேற்ப உப்பு,
எண்ணெய் – 2 டேபிள்ஸ்பூன்,
கடுகு – 1 டேபிள்ஸ்பூன்,
கடலை மாவு – 1/2 கப்,
அரிசி மாவு – 1/4 கப்,
சிவப்பு மிளகாய்த்தூள் – 1 டேபிள்ஸ்பூன்,
சமையல் சோடா – ஒரு சிட்டிகை,
சுவைக்கேற்ப உப்பு,
போண்டாக்களை ஆழமாக வறுக்க எண்ணெய்.</t>
  </si>
  <si>
    <t>Heat oil in a pan, add mustard seeds, when it splutters, add finely chopped onions, green chillies and saute for a few minutes until onion turns transparent.
Add the steamed vegetables, turmeric powder, chilli powder, salt need and saute for a few minutes.
Then add mashed potato, mix well and switch off the flame. After it cools a little, make even sized balls out of it and keep it ready.
Mix besan, rice flour, red chilli powder, salt and cooking soda well first. Add water to make a slightly thick batter. The batter should not be too thick nor too thin.
Heat oil in a kadai. To check if the oil is hot enough to fry the bondas, drop 1/2 tsp of batter into the oil, if it raises to the surface immediately, then the oil is ready to fry the bondas. Now reduce the flame to medium.
Dip the vegetable balls in the batter, so that it is well coated on all the sides. Carefully drop the balls into the hot oil and fry the bondas until they turn light golden color. Remove from oil and drain on a colander or kitchen paper.
Serve hot with coconut chutney or coconut chutney with garlic or green chutney or just tomato ketchup and a cup of hot tea or South Indian filter coffee.</t>
  </si>
  <si>
    <t>ஒரு கடாயில் எண்ணெயை சூடாக்கி, கடுகு சேர்த்து, அது வதங்கியதும், இறுதியாக நறுக்கிய வெங்காயம், பச்சை மிளகாய் சேர்த்து, வெங்காயம் வெளிப்படையானதாக மாறும் வரை சில நிமிடங்கள் வதக்கவும்.
வேகவைத்த காய்கறிகள், மஞ்சள் தூள், மிளகாய்த்தூள், உப்பு சேர்த்து சில நிமிடங்கள் வதக்கவும்.
பின்னர் மசித்த உருளைக்கிழங்கைச் சேர்த்து, நன்கு கலந்து, தீயை அணைக்கவும். அது சிறிது ஆறிய பிறகு, அதிலிருந்து சம அளவிலான உருண்டைகளை உருவாக்கி தயாராக வைக்கவும்.
கடலை மாவு, அரிசி மாவு, சிவப்பு மிளகாய் தூள், உப்பு மற்றும் சமையல் சோடாவை முதலில் நன்கு கலக்கவும். சிறிது தடிமனான மாவை தயாரிக்க தண்ணீர் சேர்க்கவும். மாவு மிகவும் கெட்டியாகவோ அல்லது மெல்லியதாகவோ இருக்கக்கூடாது.
ஒரு கடாயில் எண்ணெயை சூடாக்கவும். எண்ணெய் போண்டாக்களை வறுக்கும் அளவுக்கு சூடாக இருக்கிறதா என்று சோதிக்க, 1/2 தேக்கரண்டி மாவை எண்ணெயில் விடவும், அது உடனடியாக மேற்பரப்புக்கு உயர்ந்தால், எண்ணெய் போண்டாக்களை வறுக்க தயாராக உள்ளது. இப்போது தீயை நடுத்தரமாகக் குறைக்கவும்.
காய்கறி உருண்டைகளை மாவில் நனைக்கவும், இதனால் அது அனைத்து பக்கங்களிலும் நன்றாக பூசப்படும். உருண்டைகளை சூடான எண்ணெயில் கவனமாக இறக்கி, போண்டாக்கள் லேசான தங்க நிறமாக மாறும் வரை வறுக்கவும். எண்ணெயிலிருந்து அகற்றி ஒரு வடிகட்டி அல்லது சமையலறை காகிதத்தில் வடிகட்டவும்.
தேங்காய் சட்னி அல்லது பூண்டு அல்லது பச்சை சட்னியுடன் தேங்காய் சட்னி அல்லது தக்காளி கெட்ச்அப் மற்றும் ஒரு கப் சூடான தேநீர் அல்லது தென்னிந்திய வடிகட்டி காபியுடன் சூடாக பரிமாறவும்.</t>
  </si>
  <si>
    <t>https://i.ytimg.com/vi/TwXTtZs6DGA/maxresdefault.jpg</t>
  </si>
  <si>
    <t>Paruppu Vadai</t>
  </si>
  <si>
    <t>பருப்பு வடை</t>
  </si>
  <si>
    <t xml:space="preserve">    kadalai paruppu – 3/4 cup,
   Tur dal – 1/4 cup,
   Green chillies – 2,
   Red chillies – 3
   Hing – a generous pinch,
   Curry leaves,
   Salt to taste.</t>
  </si>
  <si>
    <t>கடலை பருப்பு - 3/4 கப்,
துவரம் பருப்பு - 1/4 கப்,
பச்சை மிளகாய் - 2,
சிவப்பு மிளகாய் - 3
ஹிங் - ஒரு சிட்டிகை,
கறிவேப்பிலை,
ருசிக்க உப்பு.</t>
  </si>
  <si>
    <t>Soak both channa dal and tur dal for 1 hour. After 1 hour, drain the water completely.
Take 1/4 cup of the soaked dal and keep it aside.
Grind the rest of the dal together with red chillies, green chillies, hing and salt coarsely.
Now add the 1/4 cup of dal we kept aside. Mix everything well.
Make equal sized balls out of the mix and flatten it with you fingers as shown below.
Heat oil in a kadai. To check if the oil is hot enough, drop a little batter into the oil, if it raises to the surface immediately, the oil is hot enough to fry the vadas.
Now reduce the flame to medium, add 3 flattened patties into the oil. Let it cook for some time. Then flip it over to the other side. Once it turns golden brown, remove from the oil and place it in a kitchen towel or colander to drain off the excess oil. Paruppu vadai is ready.
Enjoy making these easy, quick and delicious paruppu vadas for this festive season.</t>
  </si>
  <si>
    <t>சன்னா பருப்பு மற்றும் துவரம் பருப்பு இரண்டையும் 1 மணி நேரம் ஊற வைக்கவும். 1 மணி நேரம் கழித்து, தண்ணீரை முழுவதுமாக வடிகட்டவும்.
ஊறவைத்த பருப்பில் 1/4 கப் எடுத்து தனியாக வைக்கவும்.
மீதமுள்ள பருப்பை சிவப்பு மிளகாய், பச்சை மிளகாய், ஹிங் மற்றும் உப்பு சேர்த்து நன்றாக அரைக்கவும்.
இப்போது நாம் ஒதுக்கி வைத்திருந்த 1/4 கப் பருப்பைச் சேர்க்கவும். அனைத்தையும் நன்றாக கலக்கவும்.
கலவையிலிருந்து சம அளவிலான உருண்டைகளை உருவாக்கி, கீழே காட்டப்பட்டுள்ளபடி உங்கள் விரல்களால் தட்டவும்.
ஒரு கடாயில் எண்ணெயை சூடாக்கவும். எண்ணெய் போதுமான அளவு சூடாக இருக்கிறதா என்று சரிபார்க்க, எண்ணெயில் சிறிது மாவை விடவும், அது உடனடியாக மேல்நோக்கி உயர்ந்தால், வடைகளை வறுக்கும் அளவுக்கு எண்ணெய் சூடாக இருக்கும்.
இப்போது தீயை மிதமாகக் குறைத்து, எண்ணெயில் 3 தட்டையான பஜ்ஜிகளைச் சேர்க்கவும். சிறிது நேரம் சமைக்க விடவும். பின்னர் அதை மறுபுறம் திருப்பிப் போடவும். அது தங்க பழுப்பு நிறமாக மாறியதும், எண்ணெயிலிருந்து எடுத்து, அதிகப்படியான எண்ணெயை வடிகட்ட ஒரு சமையலறை துண்டு அல்லது வடிகட்டியில் வைக்கவும். பருப்பு வடை தயார்.
இந்த பண்டிகைக் காலத்திற்கு இந்த எளிதான, விரைவான மற்றும் சுவையான பருப்பு வடைகளைச் செய்து மகிழுங்கள்.</t>
  </si>
  <si>
    <t>https://girijapaati.com/cdn/shop/articles/GPF_Paruppu_Vadai_Jan_24_3.jpg?v=1704532645</t>
  </si>
  <si>
    <t>Rice flour – 1 cup,
Fried gram flour - 2 1/2 tbsp ,
Red Chilli powder – 1/2 tsp flat,
Unsalted butter - 1 1/2 tsp,
Hing – 1/4 tsp,
Salt as needed,
Oil for deep frying.</t>
  </si>
  <si>
    <t>அரிசி மாவு - 1 கப்,
வறுத்த கடலை மாவு - 2 1/2 டீஸ்பூன்,
சிவப்பு மிளகாய் தூள் - 1/2 டீஸ்பூன் தட்டையானது,
உப்பு சேர்க்காத வெண்ணெய் - 1 1/2 டீஸ்பூன்,
ஹிங் - 1/4 டீஸ்பூன்,
தேவைக்கேற்ப உப்பு,
ஆழமாக வறுக்க எண்ணெய்.</t>
  </si>
  <si>
    <t>In a bowl, mix together rice flour, fried gram flour, chilli powder and butter using your finger tips.
Add dalia or soaked bengal gram dal, salt + hing mix, needed water and make a slightly stiff dough.
Now the dough for the thattai is ready. (you can taste the dough to check for salt)
Make equal sized balls out of it.
Grease a zip lock bag or plastic sheet, place a ball of dough and flatten it as thinly as possible with your finger tips. This will give you crispy thattais.Prick few holes with a fork to prevent it from puffing while frying. Let it sit for 10 minutes.
Heat oil in a heavy bottomed kadai.  Check the oil temperature by dropping a small piece of dough into the oil, if it rises to the surface immediately, then the oil is ready for frying.
Now reduce the temperature to medium, gently transfer the flattened dough on to your hands and slide it into the oil. Deep fry 3-4 thattais both sides until golden brown.
Remove and drain the excess oil on a paper towel.
Repeat the same process for the rest of the dough.
After it cools, store it in an air tight container.</t>
  </si>
  <si>
    <t>ஒரு பாத்திரத்தில், அரிசி மாவு, வறுத்த கடலை மாவு, மிளகாய் தூள் மற்றும் வெண்ணெய் ஆகியவற்றை உங்கள் விரல் நுனியைப் பயன்படுத்தி கலக்கவும்.
டேலியா அல்லது ஊறவைத்த வங்காள கடலை பருப்பு, உப்பு + ஹிங் மிக்ஸ், தேவையான தண்ணீர் சேர்த்து சற்று கெட்டியான மாவை தயாரிக்கவும்.
இப்போது தட்டாய்க்கான மாவு தயாராக உள்ளது. (உப்பு இருக்கிறதா என்று சோதிக்க மாவை ருசிக்கலாம்)
அதிலிருந்து சம அளவிலான உருண்டைகளை உருவாக்குங்கள்.
ஒரு ஜிப் லாக் பை அல்லது பிளாஸ்டிக் தாளில் தடவி, மாவை ஒரு உருண்டையாக வைத்து, உங்கள் விரல் நுனியைப் பயன்படுத்தி முடிந்தவரை மெல்லியதாக தட்டையாக்குங்கள். இது உங்களுக்கு மொறுமொறுப்பான தட்டாய்களைத் தரும். வறுக்கும்போது அது வீங்குவதைத் தடுக்க ஒரு முட்கரண்டியால் சில துளைகளை குத்துங்கள். 10 நிமிடங்கள் அப்படியே வைக்கவும்.
அடி கனமான கடாயில் எண்ணெயைச் சூடாக்கவும். ஒரு சிறிய துண்டு மாவை எண்ணெயில் விடுவதன் மூலம் எண்ணெயின் வெப்பநிலையைச் சரிபார்க்கவும், அது உடனடியாக மேற்பரப்புக்கு உயர்ந்தால், எண்ணெய் வறுக்கத் தயாராக உள்ளது.
இப்போது வெப்பநிலையை நடுத்தரமாகக் குறைத்து, தட்டையான மாவை மெதுவாக உங்கள் கைகளில் மாற்றி எண்ணெயில் சறுக்குங்கள். இருபுறமும் 3-4 தட்டை பொன்னிறமாகும் வரை ஆழமாக வறுக்கவும்.
ஒரு காகிதத் துண்டில் அதிகப்படியான எண்ணெயை அகற்றி வடிகட்டவும்.
மீதமுள்ள மாவிற்கும் இதே செயல்முறையை மீண்டும் செய்யவும்.
அது குளிர்ந்த பிறகு, காற்று புகாத கொள்கலனில் சேமிக்கவும்.</t>
  </si>
  <si>
    <t>https://www.sharmispassions.com/wp-content/uploads/2011/10/Thattai3-500x500.jpg</t>
  </si>
  <si>
    <t>பேரீச்சம்பழம் – 500 கிராம்,
திராட்சை – 1/4 கப்,
தேன் – 2 டீஸ்பூன்,
நெய் – 2-3 டீஸ்பூன்,
பாதாம் – 1/4 கப்,
பிஸ்தா – 1/4 கப்,
வால்நட்ஸ் – 1/4 கப்,
முந்திரி பருப்பு – 1/4 கப்,
வறுத்த எள்.</t>
  </si>
  <si>
    <t>Heat 2 tsp of ghee and saute the dates on low heat. Add honey, mix well and saute until the dates become soft.
Add the ground nuts, raisins and mix well.
Grease your hands with ghee and make small balls when the mixture is warm.
Roll the balls in roasted sesame seeds or dedicated coconut. (I prefer roasted sesame seeds).</t>
  </si>
  <si>
    <t>2 டீஸ்பூன் நெய்யை சூடாக்கி, பேரீச்சம்பழத்தை குறைந்த தீயில் வதக்கவும். தேன் சேர்த்து, நன்கு கலந்து பேரீச்சம்பழம் மென்மையாகும் வரை வதக்கவும்.
நிலக்கடலை, திராட்சை சேர்த்து நன்கு கலக்கவும்.
உங்கள் கைகளில் நெய் தடவி, கலவை சூடாகும்போது சிறிய உருண்டைகளை உருவாக்கவும்.
வறுத்த எள் அல்லது தேங்காயில் உருண்டைகளை உருட்டவும். (எனக்கு வறுத்த எள் பிடிக்கும்).</t>
  </si>
  <si>
    <t>https://aartiatmaram.com/wp-content/uploads/2023/12/Dry-Fruits-Laddu-6.jpg</t>
  </si>
  <si>
    <t>Rice flour – 1 cup,
Fried gram flour – 1/2 cup,
Melted ghee – 3 tsp,
Salt needed,
asafoetida –  a generous pinch,
Oil for deep frying.</t>
  </si>
  <si>
    <t>அரிசி மாவு - 1 கப்,
வறுத்த கடலை மாவு - 1/2 கப்,
உருகிய நெய் - 3 தேக்கரண்டி,
உப்பு தேவை,
அசாஃபாடிடா - ஒரு சிட்டிகை,
வறுக்க எண்ணெய்.</t>
  </si>
  <si>
    <t>In a bowl, mix together rice flour, fried gram flour, melted ghee, salt needed and hing.
Sprinkle water and make a soft but stiff dough. (It should not be too soft nor too hard). Check for salt by tasting the dough.
Heat oil in a kadai, add a small bit of dough, if it raises to the surface immediately, then the oil is hot enough for frying the murukkus. You can reduce the flame to medium now.
Using a single star disc, squeeze murukkus as shown in the picture above either on a plastic sheet or on the back of a slotted ladle or on a small plate (seal the end of the murukku after squeezing)  and then gently slide  2-3 murukkus into the hot oil. (see picture below)
Fry both sides until golden brown and remove from oil. Drain the excess oil on a paper towel.
Repeat the same procedure for the rest of the dough. Store it in an air tight container once it cools down.
This is a very easy murukku recipe which does not need any prior preparation. Do try it and give me your feedback.</t>
  </si>
  <si>
    <t>https://www.indianhealthyrecipes.com/wp-content/uploads/2015/11/butter-murukku-480x270.jpg</t>
  </si>
  <si>
    <t>Whole Urad dal – 100 grams,
Green chilli – 1,
Rice flour – 50 grams,
Whole black pepper – 1 tsp,
Thinly sliced coconut bits – 1 tbsp,
Hing – 1/4 tsp,
Curry leaves ,
Coriander leaves ,
Salt as required.</t>
  </si>
  <si>
    <t>முழு உளுத்தம் பருப்பு - 100 கிராம்,
பச்சை மிளகாய் - 1,
அரிசி மாவு - 50 கிராம்,
முழு கருப்பு மிளகு - 1 டீஸ்பூன்,
மெல்லியதாக நறுக்கிய தேங்காய் துண்டுகள் - 1 டீஸ்பூன்,
ஹிங் - 1/4 டீஸ்பூன்,
கறிவேப்பிலை,
கொத்தமல்லி இலை,
தேவைக்கேற்ப உப்பு.</t>
  </si>
  <si>
    <t>Heat oil in a kadai, when it is hot, keep it in medium flame. Keep a bowl of water ready. Wet your fingers in the water, take a little batter, shape it into a ball and gently drop it into the oil.
Fry both sides till golden brown and remove it in a colander or a kitchen towel to drain off excess oil.
Serve hot with coconut chutney and a cup of tea. Heaven!!</t>
  </si>
  <si>
    <t>ஒரு கடாயில் எண்ணெயை சூடாக்கி, அது சூடானதும், மிதமான தீயில் வைக்கவும். ஒரு கிண்ணத்தில் தண்ணீர் தயாராக வைக்கவும். உங்கள் விரல்களை தண்ணீரில் நனைத்து, சிறிது மாவை எடுத்து, அதை ஒரு உருண்டையாக வடிவமைத்து, மெதுவாக எண்ணெயில் விடவும்.
இரண்டு பக்கங்களையும் பொன்னிறமாகும் வரை வறுக்கவும், அதிகப்படியான எண்ணெயை வடிகட்ட ஒரு வடிகட்டி அல்லது சமையலறை துண்டில் அகற்றவும்.
தேங்காய் சட்னி மற்றும் ஒரு கப் தேநீருடன் சூடாக பரிமாறவும். சொர்க்கம்!!</t>
  </si>
  <si>
    <t>https://i0.wp.com/kalimirchbysmita.com/wp-content/uploads/2016/07/Mysore-Bonda-02-1024x730.jpg?resize=1024%2C730</t>
  </si>
  <si>
    <t>Cornflakes Mixture</t>
  </si>
  <si>
    <t>கார்ன்ஃப்ளேக்ஸ் கலவை</t>
  </si>
  <si>
    <t xml:space="preserve">   Cornflakes – 4 cups,
   Peanuts - 1/4 cup,
   Cashew nuts – 1/3 cup,
   Raisins – 1/4 cup,
   Fried gram – 2 tbsp,
   Curry leaves,
   Salt and Chilli powder to taste,
   Sugar - 1 tsp,
   Oil for deep frying.</t>
  </si>
  <si>
    <t>கார்ன்ஃப்ளேக்ஸ் - 4 கப்,
வேர்க்கடலை - 1/4 கப்,
முந்திரி பருப்பு - 1/3 கப்,
திராட்சை - 1/4 கப்,
வறுத்த பருப்பு - 2 டீஸ்பூன்,
கறிவேப்பிலை,
சுவைக்கேற்ப உப்பு மற்றும் மிளகாய் தூள்,
சர்க்கரை - 1 டீஸ்பூன்,
ஆழமாக வறுக்க எண்ணெய்.</t>
  </si>
  <si>
    <t>Heat oil in a kadai and fry cornflakes in batches. Remove from the kadai and drain excess oil on a paper towel. Alternatively you can take some cornflakes in a metal strainer and immerse it gently into the hot oil and fry it.
Fry peanuts, raisins, cashew nuts and curry leaves separately.
Now add everything including the roasted fried gram to the cornflakes. Add salt and chilli powder to taste.
If you like, you can also add a tsp of sugar to it. Mix everything well nicely. Your cornflakes mixture is ready in a few minutes time. I am sure you will love this recipe.</t>
  </si>
  <si>
    <t>ஒரு கடாயில் எண்ணெயை சூடாக்கி, கார்ன்ஃப்ளேக்ஸை தொகுதிகளாக வறுக்கவும். கடாயிலிருந்து எடுத்து, அதிகப்படியான எண்ணெயை ஒரு காகிதத் துண்டில் வடிகட்டவும். மாற்றாக, நீங்கள் ஒரு உலோக வடிகட்டியில் சிறிது கார்ன்ஃப்ளேக்ஸை எடுத்து சூடான எண்ணெயில் மெதுவாக மூழ்கடித்து வறுக்கவும்.
வேர்க்கடலை, திராட்சை, முந்திரி மற்றும் கறிவேப்பிலை ஆகியவற்றை தனித்தனியாக வறுக்கவும்.
இப்போது வறுத்த பருப்பு உட்பட அனைத்தையும் கார்ன்ஃப்ளேக்ஸில் சேர்க்கவும். சுவைக்கேற்ப உப்பு மற்றும் மிளகாய் தூள் சேர்க்கவும்.
நீங்கள் விரும்பினால், அதில் ஒரு தேக்கரண்டி சர்க்கரையும் சேர்க்கலாம். எல்லாவற்றையும் நன்றாக கலக்கவும். உங்கள் கார்ன்ஃப்ளேக்ஸ் கலவை சில நிமிடங்களில் தயாராகிவிடும். இந்த செய்முறையை நீங்கள் விரும்புவீர்கள் என்று நான் நம்புகிறேன்.</t>
  </si>
  <si>
    <t>https://moonrice.net/wp-content/uploads/2022/09/SouthIndianMixture.jpg</t>
  </si>
  <si>
    <t xml:space="preserve">   All purpose flour – 1 1/4 cup,
   Ghee or butter - 2 tbsp,
   Cooking soda – 1/3 tsp,
   Chilli powder – 1 tsp,
    Asafoetida - 1/4 tsp,
   Salt as needed,
   Oil for frying.</t>
  </si>
  <si>
    <t>அனைத்து வகையான மாவு - 1 1/4 கப்,
நெய் அல்லது வெண்ணெய் - 2 டேபிள்ஸ்பூன்,
சமையல் சோடா - 1/3 டேபிள்ஸ்பூன்,
மிளகாய் தூள் - 1 டேபிள்ஸ்பூன்,
பெருங்காயம் - 1/4 டேபிள்ஸ்பூன்,
தேவைக்கேற்ப உப்பு,
வறுக்க எண்ணெய்.</t>
  </si>
  <si>
    <t>முதலில் வெண்ணெய் (அல்லது நெய்) மற்றும் சமையல் சோடாவை பாதுஷாவிற்கு செய்வது போல உங்கள் கைகளால் நன்கு கலக்கவும் (நன்றாக ஒன்றாக கலக்கவும்).
பின்னர் மைதா, மிளகாய் தூள், ஹிங் மற்றும் உப்பு சேர்க்கவும்.
தண்ணீர் சேர்த்து கெட்டியான ஆனால் மென்மையான மாவாக பிசையவும். (இதை எளிதாக்க, உங்கள் கைகளில் நெய் தடவலாம்)
சப்பாத்தி செய்வது போல உருட்டவும் (மிகவும் மெல்லியதாகவோ அல்லது மிகவும் அடர்த்தியாகவோ இல்லாமல்)
பிஸ்கட் கட்டர்/ரோலரைப் பயன்படுத்தி, மாவை வைர வடிவங்கள் அல்லது சதுரங்களாக வெட்டவும். (உங்களிடம் பிஸ்கட் அல்லது பீட்சா கட்டர் இல்லையென்றால், கூர்மையான கத்தியைப் பயன்படுத்தலாம்).
எண்ணெயை சூடாக்கி, பொன்னிறமாகும் வரை தொகுதிகளாக ஆழமாக வறுக்கவும்.
அதை குளிர்விக்க விடவும். பின்னர் காற்று புகாத கொள்கலனில் சேமிக்கவும். இது ஒரு வார சுய ஆயுளைக் கொண்டுள்ளது.</t>
  </si>
  <si>
    <t>Masala Vada</t>
  </si>
  <si>
    <t>Kadalai paruppu - 1/2 cup,
Red Chillies – 2,
 fennel seeds – 1 tsp,
Onion - 1 very,
Green chillies - 1,
Curry leaves,
Coriander leaves,
Salt to taste,
Oil for deep frying.</t>
  </si>
  <si>
    <t>கடலை பருப்பு - 1/2 கப்,
சிவப்பு மிளகாய் - 2,
பெருஞ்சீரகம் விதைகள் - 1 தேக்கரண்டி,
வெங்காயம் - 1 மிக,
பச்சை மிளகாய் - 1,
கறிவேப்பிலை,
கொத்தமல்லி இலைகள்,
ருசிக்க உப்பு,
வறுக்க எண்ணெய்.</t>
  </si>
  <si>
    <t>Soak Channa dal (kadalai paruppu) in water for 4 hours.
Drain the water completely in a colander. Keep 1 tbsp of channa dal aside.
Grind 2 red chillies and fennel seeds first and then add the rest of the channa dal and grind without adding water coarsely.
Then add finely chopped onions, soaked and drained channa dal (1 tbsp which we kept aside), finely chopped green chillies, finely chopped coriander leaves and few curry leaves to the above mix.
Heat oil (to check if the oil is hot enough to drop the vadas, add a small pinch of batter, if it raises to the surface immediately , then that is the right stage to fry the vadas). Take a small lemon sized ball of the mix, flatten it with your hands and gently slip it into the oil.
Keep in medium heat and fry the vadas both sides till golden brown and crisp. Repeat the same procedure for the rest of the mix. (The number of vada you add to the oil depends on the quantity of oil you heat)</t>
  </si>
  <si>
    <t>கடலை பருப்பு (கடலை பருப்பு) தண்ணீரில் 4 மணி நேரம் ஊற வைக்கவும்.
ஒரு வடிகட்டியில் தண்ணீரை முழுவதுமாக வடிகட்டவும். 1 தேக்கரண்டி சன்னா பருப்பை தனியாக வைக்கவும்.
முதலில் 2 சிவப்பு மிளகாய் மற்றும் பெருஞ்சீரகம் விதைகளை அரைத்து, பின்னர் மீதமுள்ள சன்னா பருப்பை சேர்த்து தண்ணீர் சேர்க்காமல் கரடுமுரடாக அரைக்கவும்.
பின்னர் மேலே உள்ள கலவையில் இறுதியாக நறுக்கிய வெங்காயம், ஊறவைத்து வடிகட்டிய சன்னா பருப்பு (நாம் ஒதுக்கி வைத்திருந்த 1 தேக்கரண்டி), இறுதியாக நறுக்கிய பச்சை மிளகாய், இறுதியாக நறுக்கிய கொத்தமல்லி இலைகள் மற்றும் சில கறிவேப்பிலை சேர்க்கவும்.
எண்ணெயைச் சூடாக்கவும் (எண்ணெய் வடைகளை கீழே போடும் அளவுக்கு சூடாக இருக்கிறதா என்று பார்க்க, ஒரு சிட்டிகை மாவைச் சேர்க்கவும், அது உடனடியாக மேல்நோக்கி உயர்ந்தால், வடைகளை வறுக்க இதுவே சரியான நிலை). கலவையிலிருந்து ஒரு சிறிய எலுமிச்சை அளவு உருண்டையை எடுத்து, அதை உங்கள் கைகளால் தட்டையாக்கி, மெதுவாக எண்ணெயில் போடவும்.
நடுத்தர வெப்பத்தில் வைத்து, வடைகளை இருபுறமும் பொன்னிறமாகவும் மொறுமொறுப்பாகவும் வறுக்கவும். மீதமுள்ள கலவையிலும் இதே முறையை மீண்டும் செய்யவும். (எண்ணெயில் எத்தனை வடைகளைச் சேர்க்கிறீர்கள் என்பது நீங்கள் சூடாக்கும் எண்ணெயின் அளவைப் பொறுத்தது)</t>
  </si>
  <si>
    <t>https://encrypted-tbn0.gstatic.com/images?q=tbn:ANd9GcR_qaAl3Ja5McfLzF3CtKM3yXtWrDBt0aCUrg&amp;s</t>
  </si>
  <si>
    <t>Ribbon Pakoda</t>
  </si>
  <si>
    <t>2 cups -  Par boiled rice,
10 -  Red chillies,
2 -  pods Garlic,
500 grams -  Bengal gram flour,
1/4 tsp -  Asafoetida,
3 tbsp -  Hot oil,
Salt needed,
Oil for frying murukku,
2 cups -  Bengal gram flour,
2 cups -  Rice flour,
1 pinch -  Asafoetida,
Chilli powder as needed,
Butter less than -  50 grams,
Salt as required.</t>
  </si>
  <si>
    <t>2 கப் - புழுங்கல் அரிசி,
10 - சிவப்பு மிளகாய்,
2 - பூண்டு காய்கள்,
500 கிராம் - கடலை மாவு,
1/4 தேக்கரண்டி - பெருங்காயம்,
3 தேக்கரண்டி - சூடான எண்ணெய்,
உப்பு தேவை,
முருக்கு வறுக்க எண்ணெய்,
2 கப் - கடலை மாவு,
2 கப் - அரிசி மாவு,
1 சிட்டிகை - பெருங்காயம்,
தேவைக்கேற்ப மிளகாய் தூள்,
50 கிராமுக்கு குறைவாக வெண்ணெய்,
தேவைக்கேற்ப உப்பு.</t>
  </si>
  <si>
    <t>Mix the ground rice batter + bengal gram flour + asafoetida + 3 tbsp hot oil + needed water to make a soft dough. Knead well. (You can taste the dough to check for salt)
Take a murukku maker and fix the ribbon pakoda making plate/disc.
Heat oil (to test if the oil is hot, drop a small ball of dough into the oil, if it raises to the surface immediately, then the oil is hot enough to fry the murukkus)
Put the prepared dough inside the murukku maker and press it directly into the hot oil in a circular motion.
You will get a sizzling sound when the murukku is getting cooked.
Flip it over to the other side and fry both sides well till golden brown.
When the "shh sound/sizzling sound" ceases, the murukku is done.
Use a slotted ladle to remove the murukku and drain it on a paper towel or colander.
Repeat the process for the rest of the dough.</t>
  </si>
  <si>
    <t>அரைத்த அரிசி மாவு + கடலை மாவு + பெருங்காயம் + 3 தேக்கரண்டி சூடான எண்ணெய் + தேவையான அளவு தண்ணீர் சேர்த்து மென்மையான மாவை பிசையவும். நன்றாக பிசையவும். (உப்பு இருக்கிறதா என்று சோதிக்க மாவை ருசிக்கலாம்)
முருக்கு மேக்கரை எடுத்து, பக்கோடா தயாரிக்கும் ரிப்பன் தட்டு/வட்டை சரிசெய்யவும்.
எண்ணெயைச் சூடாக்கவும் (எண்ணெய் சூடாக இருக்கிறதா என்று சோதிக்க, ஒரு சிறிய உருண்டை மாவை எண்ணெயில் விடவும், அது உடனடியாக மேற்பரப்புக்கு உயர்ந்தால், எண்ணெய் முருக்குகளைப் பொரிக்கும் அளவுக்கு சூடாக இருக்கும்)
தயாரிக்கப்பட்ட மாவை முருக்கு தயாரிப்பாளரின் உள்ளே வைத்து, சூடான எண்ணெயில் வட்ட இயக்கத்தில் நேரடியாக அழுத்தவும்.
முருக்கு வேகும்போது ஒரு சிஸ்லிங் சத்தம் வரும்.
அதை மறுபுறம் திருப்பி, இருபுறமும் பொன்னிறமாகும் வரை நன்கு வறுக்கவும்.
"ஷ்ஷ்" சத்தம் நின்றதும், சிஸ்லிங் சத்தம் முடிந்தது.
துளையிடப்பட்ட கரண்டியைப் பயன்படுத்தி முருக்குவை அகற்றி, ஒரு காகிதத் துண்டு அல்லது வடிகட்டியில் வடிகட்டவும்.
மீதமுள்ள மாவுக்கு இந்த செயல்முறையை மீண்டும் செய்யவும்.</t>
  </si>
  <si>
    <t>https://priyakitchenette.com/wp-content/uploads/2014/06/ribbon-pakoda-1-500x500.jpg</t>
  </si>
  <si>
    <t>https://youtu.be/RvGHwWX8Qbk</t>
  </si>
  <si>
    <t>Thenkuzhal Murukku</t>
  </si>
  <si>
    <t>தென்குழல் முருக்கு</t>
  </si>
  <si>
    <t>4 cups -  Raw Rice,
1 cup -  Urad dal,
Murukku flour,
7 tbsp -  Butter,
2 tsp -  White sesame seeds ,
1/2 tsp -  Asafoetida,
Salt needed,
Oil for deep frying.</t>
  </si>
  <si>
    <t>4 கப் - பச்சரிசி,
1 கப் - உளுத்தம் பருப்பு,
முருக்கு மாவு,
7 டேபிள் ஸ்பூன் - வெண்ணெய்,
2 டேபிள் ஸ்பூன் - வெள்ளை எள்,
1/2 டேபிள் ஸ்பூன் - பெருங்காயம்,
உப்பு தேவை,
வறுக்க எண்ணெய்.</t>
  </si>
  <si>
    <t>Heat oil in a kadai for deep frying.
To check if the oil is hot, just drop a small piece of murukku dough into the oil, if it raises to the surface immediately, it is an indication that the oil is hot enough to fry the murukkus.
Reduce the heat to medium.
Gently slide 3-4 squeezed out murukkus into the oil. You can also squeeze the murukku directly into the oil, if you have experience.
Do not disturb for the first few seconds. Then flip it over and fry the murukkus both sides until golden brown. You will hear a sizzling sound which indicates the murukku is getting cooked.
Once the bubbling or the sizzling sound stops, the murukku is done.
Remove it with a slotted ladle and drain on a paper towel or colander.
Repeat the process for the rest of the dough.</t>
  </si>
  <si>
    <t>வறுக்க ஒரு கடாயில் எண்ணெயை சூடாக்கவும்.
எண்ணெய் சூடாக இருக்கிறதா என்று சோதிக்க, ஒரு சிறிய துண்டு முருக்கு மாவை எண்ணெயில் போடவும், அது உடனடியாக மேல்நோக்கி உயர்ந்தால், எண்ணெய் முருக்குகளை வறுக்கும் அளவுக்கு சூடாக உள்ளது என்பதற்கான அறிகுறியாகும்.
தீயை நடுத்தரமாகக் குறைக்கவும்.
3-4 பிழிந்த முருக்குகளை எண்ணெயில் மெதுவாக சறுக்கவும். உங்களுக்கு அனுபவம் இருந்தால், முருக்குவை நேரடியாக எண்ணெயில் பிழியவும் செய்யலாம்.
முதல் சில வினாடிகள் தொந்தரவு செய்யாதீர்கள். பின்னர் அதை திருப்பி, முருக்குகளை இருபுறமும் பொன்னிறமாகும் வரை வறுக்கவும். முருக்கு வெந்து கொண்டிருப்பதைக் குறிக்கும் ஒரு சத்தம் கேட்கும்.
குமிழிதல் அல்லது சிஸ்லிங் சத்தம் நின்றவுடன், முருக்கு முடிந்தது.
துளையிடப்பட்ட கரண்டியால் அதை அகற்றி, ஒரு காகித துண்டு அல்லது வடிகட்டியில் வடிகட்டவும்.
மீதமுள்ள மாவிற்கும் இந்த செயல்முறையை மீண்டும் செய்யவும்.</t>
  </si>
  <si>
    <t>https://www.kannammacooks.com/wp-content/uploads/2015/09/thenkuzhal-murukku.jpg</t>
  </si>
  <si>
    <t>https://youtu.be/ne4MYHJMaY0</t>
  </si>
  <si>
    <t>South Indian Mixture</t>
  </si>
  <si>
    <t>தென்னிந்திய கலவை</t>
  </si>
  <si>
    <t xml:space="preserve">   Omapodi – 2 cups,
   Kara boondi - 2 cups,
   Beaten rice  – 1 cup,
   Fried gram  – 1/2 cup,
   Peanuts – handful,
   Cashew nuts – handful,
   Curry leaves -  fistful,
   Oil for deep frying,
   Salt and chilli powder for taste.</t>
  </si>
  <si>
    <t>ஓமப்பொடி - 2 கப்,
காரா பூண்டி - 2 கப்,
அடித்த அரிசி - 1 கப்,
பொரித்த பருப்பு - 1/2 கப்,
வேர்க்கடலை - ஒரு கைப்பிடி,
முந்திரி பருப்பு - ஒரு கைப்பிடி,
கறிவேப்பிலை - ஒரு கைப்பிடி,
வறுக்க எண்ணெய்,
சுவைக்கு உப்பு மற்றும் மிளகாய் தூள்.</t>
  </si>
  <si>
    <t>Prepare Omapodi (sev), crush it and keep it aside. Kindly refer my detailed post with pictures on how to make Omapodi.
Prepare kara boondis.
Heat oil and fry pottu kadalai ( fried gram) and keep it aside.
Then fry aval and drain it on a paper towel to remove excess oil.
Then fry peanuts, cashew nuts and curry leaves separately.
Now mix everything together and sprinkle a little salt and chilli powder on it. Mix well again. There are no hard and fast rules regarding measurements though I have given it approximately. If you like boondi more, you can add more of that. Likewise if you like omapodi (sev),then you can add that more.
Enjoy it as such or with a hot cup of tea or coffee.</t>
  </si>
  <si>
    <t>ஓமப்பொடி (சேவ்) தயார் செய்து, நசுக்கி தனியாக வைக்கவும். ஓமப்பொடி செய்வது எப்படி என்பது குறித்த எனது விரிவான இடுகையைப் படங்களுடன் பார்க்கவும்.
காரா பூண்டிஸ் தயார் செய்யவும்.
எண்ணெயை சூடாக்கி பொட்டு கடலை (வறுத்த பருப்பு) வறுக்கவும், தனியாக வைக்கவும்.
பின்னர் அவலை வறுத்து, அதிகப்படியான எண்ணெயை நீக்க ஒரு காகிதத் துண்டில் வடிகட்டவும்.
பின்னர் வேர்க்கடலை, முந்திரி மற்றும் கறிவேப்பிலையை தனித்தனியாக வறுக்கவும்.
இப்போது எல்லாவற்றையும் ஒன்றாகக் கலந்து அதன் மீது சிறிது உப்பு மற்றும் மிளகாய் தூள் தூவவும். மீண்டும் நன்றாக கலக்கவும். அளவீடுகள் குறித்து கடுமையான மற்றும் வேகமான விதிகள் எதுவும் இல்லை, இருப்பினும் நான் அதை தோராயமாக கொடுத்துள்ளேன். உங்களுக்கு பூண்டி அதிகமாகப் பிடித்திருந்தால், நீங்கள் அதை அதிகமாகச் சேர்க்கலாம். அதேபோல், உங்களுக்கு ஓமப்பொடி (சேவ்) பிடித்திருந்தால், அதை அதிகமாகச் சேர்க்கலாம்.
அப்படியே அல்லது சூடான தேநீர் அல்லது காபியுடன் சேர்த்து மகிழுங்கள்.</t>
  </si>
  <si>
    <t>https://www.sharmispassions.com/wp-content/uploads/2020/12/8156734061_8ec28b003c_o-460x500.jpg</t>
  </si>
  <si>
    <t>Boondi</t>
  </si>
  <si>
    <t>பூண்டி</t>
  </si>
  <si>
    <t>Bengal Gram flour  - 1 cup,
clarified butter - 2 tsp,
Oil for deep frying boondis,
Salt and chilli powder to taste.</t>
  </si>
  <si>
    <t>வங்காள கடலை மாவு - 1 கப்,
தெளிவுபடுத்திய வெண்ணெய் - 2 தேக்கரண்டி,
பூண்டிஸ் வறுக்க எண்ணெய்,
சுவைக்கு உப்பு மற்றும் மிளகாய் தூள்.</t>
  </si>
  <si>
    <t xml:space="preserve">Take besan/chick pea flour in a bowl, add 2 tsp ghee, needed salt and chilli powder.
First add little water and mix it well without lumps.Then add more water little by little and make a slightly thin batter.The batter should neither be very thin nor thick.The consistency should be that of dosa batter. 
Heat oil, then take the boondi ladle and pour a little batter on the ladle. The batter will fall through the holes into the hot oil.
Fry the balls till golden brown and drain it on a paper towel.
</t>
  </si>
  <si>
    <t>ஒரு பாத்திரத்தில் கடலை மாவு/கடலை மாவை எடுத்து, 2 தேக்கரண்டி நெய், தேவையான உப்பு மற்றும் மிளகாய் தூள் சேர்க்கவும்.
முதலில் சிறிது தண்ணீர் சேர்த்து கட்டிகள் இல்லாமல் நன்கு கலக்கவும். பின்னர் சிறிது சிறிதாக தண்ணீர் சேர்த்து சற்று மெல்லிய மாவை தயாரிக்கவும். மாவு மிகவும் மெல்லியதாகவோ அல்லது கெட்டியாகவோ இருக்கக்கூடாது. தோசை மாவின் நிலைத்தன்மை இருக்க வேண்டும்.
எண்ணெய் சூடாக்கி, பூண்டி கரண்டியை எடுத்து கரண்டியின் மீது சிறிது மாவை ஊற்றவும். மாவு துளைகள் வழியாக சூடான எண்ணெயில் விழும்.
உருண்டைகளை பொன்னிறமாகும் வரை வறுக்கவும், ஒரு காகிதத் துண்டில் வடிகட்டவும்.</t>
  </si>
  <si>
    <t>https://www.sharmispassions.com/wp-content/uploads/2012/11/kara-boondi4.jpg</t>
  </si>
  <si>
    <t xml:space="preserve">    kadala mavu – 1 cup,
   Clarified butter - 1 tsp,
   Red chilli - 2,
   Asafoetida – a generous pinch,
   Omam - 1/2 tsp,
   Salt to taste,
   Oil for deep frying.</t>
  </si>
  <si>
    <t>கடலை மாவு – 1 கப்,
தெளித்த வெண்ணெய் - 1 தேக்கரண்டி,
சிவப்பு மிளகாய் - 2,
பெருங்காயம் – ஒரு சிட்டிகை,
ஓமம் - 1/2 தேக்கரண்டி,
சுவைக்கேற்ப உப்பு,
ஆழமாக வறுக்க எண்ணெய்.</t>
  </si>
  <si>
    <t>Take besan in a bowl, add the ground filtered paste water, a tsp of ghee, salt needed and make a soft dough by adding water little by little.
Make a small cylinder with the dough and put it inside the muruku maker. Heat oil, when the oil is hot, reduce the heat to medium, then press the muruku maker in a circular motion over the hot oil.(To check if the oil is hot, just drop a small piece of dough and if it comes to the surface immediately, then the oil is hot enough to make muruku/omapodi)
Once you have squeezed enough dough as in picture 3, stop pressing the muruku maker. Fry both sides until golden brown. Can you see bubbles.
Once it is done, the bubbling noise stops. Omapodi is done. Remove it with a slotted ladle and strain it in a colander.
Repeat the same process for the rest of the dough.
After it cools, store it in an airtight container and enjoy.It has a self life of 10-12 days.</t>
  </si>
  <si>
    <t>ஒரு பாத்திரத்தில் கடலை மாவை எடுத்து, அரைத்த வடிகட்டிய பேஸ்ட் தண்ணீர், ஒரு தேக்கரண்டி நெய், தேவையான உப்பு சேர்த்து, சிறிது சிறிதாக தண்ணீர் சேர்த்து மென்மையான மாவை தயாரிக்கவும்.
மாவை ஒரு சிறிய உருளையாக உருட்டி, முருக்கு தயாரிப்பாளரின் உள்ளே வைக்கவும். எண்ணெயை சூடாக்கவும், எண்ணெய் சூடானதும், தீயை நடுத்தரமாகக் குறைத்து, பின்னர் முருக்கு தயாரிப்பாளரை சூடான எண்ணெயின் மீது வட்ட இயக்கத்தில் அழுத்தவும். (எண்ணெய் சூடாக இருக்கிறதா என்று சரிபார்க்க, ஒரு சிறிய துண்டு மாவை விடுங்கள், அது உடனடியாக மேற்பரப்புக்கு வந்தால், எண்ணெய் முருகு/ஓமபோடி தயாரிக்கும் அளவுக்கு சூடாக இருக்கும்)
படம் 3 இல் உள்ளதைப் போல போதுமான அளவு மாவை பிழிந்தவுடன், முருக்கு தயாரிப்பாளரை அழுத்துவதை நிறுத்துங்கள். இருபுறமும் பொன்னிறமாகும் வரை வறுக்கவும். குமிழ்கள் தெரிகிறதா.
அது முடிந்ததும், குமிழி சத்தம் நின்றுவிடும். ஓமப்பொடி முடிந்தது. துளையிடப்பட்ட கரண்டியால் அதை அகற்றி, ஒரு வடிகட்டியில் வடிகட்டவும்.
மீதமுள்ள மாவிற்கும் இதே செயல்முறையை மீண்டும் செய்யவும்.
அது குளிர்ந்த பிறகு, காற்று புகாத கொள்கலனில் சேமித்து மகிழுங்கள். இது 10-12 நாட்கள் சுய ஆயுளைக் கொண்டுள்ளது.</t>
  </si>
  <si>
    <t>https://www.sharmispassions.com/wp-content/uploads/2022/10/Omapodi5.jpg</t>
  </si>
  <si>
    <t>Murukku</t>
  </si>
  <si>
    <t>முருக்கு</t>
  </si>
  <si>
    <t xml:space="preserve">   Par boiled rice - 2 1/2 cup,
   Fried gram – 1 1/4 cup,
   Oil – 1/3 cup,
    cumin seeds – 1 tsp,
   Green chillies – 6,
   Salt to taste,
   Oil for deep frying murukku.</t>
  </si>
  <si>
    <t>புழுங்கல் அரிசி - 2 1/2 கப்,
வறுத்த பருப்பு - 1 1/4 கப்,
எண்ணெய் - 1/3 கப்,
சீரகம் - 1 தேக்கரண்டி,
பச்சை மிளகாய் - 6,
ருசிக்க உப்பு,
முருக்கு வறுக்க எண்ணெய்.</t>
  </si>
  <si>
    <t xml:space="preserve">Soak par boiled rice in water for 2 hours, grind it to a fine paste, adding green chillies and little water. Do not add too much water, then you will not be able to prepare the dough.
Dry grind fried gram to a fine powder and sieve it. Keep it aside.
Mix ground rice + fried gram powder + salt + cumin seeds together. Bring 1/3 cup of oil to boiling point and add it to the mix.
Make a slightly stiff dough by adding warm water.
First let me tell you about the murukku maker.The murukku maker comes with 2 moulds and different plates. I have used the 3 star plate to make this murukku. 
Take a small amount of dough and put it inside the murukku maker, then press it with the other mould (you have 2 moulds) and you will find dough coming out of the 3 star shaped holes.
Move it in a circular motion to make murukku as shown in the picture on the back side of a small plate or the back of a flat ladle.Grease the back of the small plate or flat ladle with little oil and then press on it. We are doing this as the murukku will easily slip into the hot oil when you turn the plate or ladle. I greased it only once to make all the murukkus.
Heat oil in a kadai and when it is hot, drop the murukku inside the oil gently. It starts bubbling with a sound.Let it get cooked. After sometime, flip it over to the other side and fry until it becomes golden brown.,
Once golden brown, remove murukku from the oil using a slotted ladle and drain on a paper towel to remove excess oil. You can fry 3-4 murukkus at a time depending on the quantity of oil used. Delicious Murukku is ready. 
Repeat the same process for the rest of the dough.
Store the murukkus in an air tight container. It has a self life of 10-12 days. Enjoy making this yummy and simple murukku this Diwali.
</t>
  </si>
  <si>
    <t>புழுங்கல் அரிசியை 2 மணி நேரம் தண்ணீரில் ஊற வைத்து, பச்சை மிளகாய் மற்றும் சிறிது தண்ணீர் சேர்த்து நன்றாக விழுதாக அரைக்கவும். அதிகமாக தண்ணீர் சேர்க்க வேண்டாம், பின்னர் மாவை தயாரிக்க முடியாது.
வறுத்த பருப்புகளை நன்றாக பொடியாக அரைத்து சலிக்கவும். ஒதுக்கி வைக்கவும்.
அரைத்த அரிசி + வறுத்த பருப்பு தூள் + உப்பு + சீரகம் ஆகியவற்றை ஒன்றாக கலக்கவும். 1/3 கப் எண்ணெயை கொதிக்கும் இடத்திற்கு கொண்டு வந்து கலவையில் சேர்க்கவும்.
வெதுவெதுப்பான நீரைச் சேர்த்து சற்று கெட்டியான மாவை உருவாக்கவும்.
முதலில் முருக்கு தயாரிப்பாளரைப் பற்றி நான் உங்களுக்குச் சொல்கிறேன். முருக்கு தயாரிப்பாளரில் 2 அச்சுகள் மற்றும் வெவ்வேறு தட்டுகள் உள்ளன. இந்த முருக்கு தயாரிக்க நான் 3 நட்சத்திரத் தட்டைப் பயன்படுத்தினேன்.
சிறிது மாவை எடுத்து முறுக்கு தயாரிப்பாளரின் உள்ளே வைத்து, பின்னர் அதை மற்ற அச்சுடன் அழுத்தவும் (உங்களிடம் 2 அச்சுகள் உள்ளன), 3 நட்சத்திர வடிவ துளைகளிலிருந்து மாவு வெளியே வருவதைக் காண்பீர்கள்.
ஒரு சிறிய தட்டின் பின்புறம் அல்லது ஒரு தட்டையான கரண்டியின் பின்புறத்தில் படத்தில் காட்டப்பட்டுள்ளபடி முறுக்கு தயாரிக்க அதை வட்ட இயக்கத்தில் நகர்த்தவும். சிறிய தட்டு அல்லது தட்டையான கரண்டியின் பின்புறத்தில் சிறிது எண்ணெயுடன் தடவி, பின்னர் அதன் மீது அழுத்தவும். நீங்கள் தட்டு அல்லது கரண்டியைத் திருப்பும்போது முறுக்கு எளிதாக சூடான எண்ணெயில் நழுவும் என்பதால் இதைச் செய்கிறோம். நான் அதை ஒரு முறை மட்டுமே தடவி அனைத்து முறுக்குகளையும் செய்தேன்.
ஒரு கடாயில் எண்ணெயை சூடாக்கி, அது சூடானதும், முறுக்கை எண்ணெயுக்குள் மெதுவாக விடுங்கள். அது ஒரு சத்தத்துடன் குமிழ ஆரம்பிக்கும். அதை வேக விடவும். சிறிது நேரம் கழித்து, அதை மறுபுறம் திருப்பி, அது தங்க பழுப்பு நிறமாக மாறும் வரை வறுக்கவும்.,
பொன்னிற பழுப்பு நிறமானதும், ஒரு துளையிடப்பட்ட கரண்டியைப் பயன்படுத்தி எண்ணெயிலிருந்து முறுக்கை அகற்றி, அதிகப்படியான எண்ணெயை அகற்ற ஒரு காகிதத் துண்டில் வடிகட்டவும். பயன்படுத்தப்படும் எண்ணெயின் அளவைப் பொறுத்து ஒரே நேரத்தில் 3-4 முறுக்குகளை வறுக்கலாம். சுவையான முறுக்கு தயார்.
மீதமுள்ள மாவிற்கும் இதே செயல்முறையை மீண்டும் செய்யவும்.
முறுக்குகளை காற்று புகாத கொள்கலனில் சேமிக்கவும். இது 10-12 நாட்கள் ஆயுட்காலம் கொண்டது. இந்த தீபாவளிக்கு இந்த சுவையான மற்றும் எளிமையான முறுக்கைச் செய்து மகிழுங்கள்.</t>
  </si>
  <si>
    <t>https://www.sharmispassions.com/wp-content/uploads/2011/10/thenkuzhal-murukku3-500x500.jpg</t>
  </si>
  <si>
    <t>Urad Dhal Vada</t>
  </si>
  <si>
    <t>உளுத்தம் பருப்பு வடை</t>
  </si>
  <si>
    <t>Whole urad dal – 1 cup,
Green chilies – 2,
Raw rice – 1/2  tsp,
Fried gram - 1/2 tsp,
Salt - 1 tsp flat ,
Plastic sheet ,
Oil for deep frying.</t>
  </si>
  <si>
    <t>முழு உளுத்தம் பருப்பு - 1 கப்,
பச்சை மிளகாய் - 2,
பச்சை அரிசி - 1/2 தேக்கரண்டி,
பொரித்த பருப்பு - 1/2 தேக்கரண்டி,
உப்பு - 1 தேக்கரண்டி தட்டையானது,
பிளாஸ்டிக் தாள்,
ஆழமாக வறுக்க எண்ணெய்.</t>
  </si>
  <si>
    <t>அடிப்படையில் ஆழமான கடாயில் எண்ணெயை சூடாக்கவும். எண்ணெய் சூடாக்கியவுடன், தீயை நடுத்தரமாகக் குறைக்கவும். எண்ணெய் சூடாக இருக்கிறதா என்று சோதிக்க, சிறிது மாவை விடவும், அது உடனடியாக மேற்பரப்புக்கு வந்தால், எண்ணெய் வடைகளை வறுக்கும் அளவுக்கு சூடாக இருக்கும்.
இப்போது ஒரு கிண்ணத்தில் தண்ணீர் எடுத்து, உங்கள் விரல்களை நனைத்து, எலுமிச்சை அளவு வடை மாவை எடுத்து, ஒரு பிளாஸ்டிக் தாளில் அல்லது வாழை இலையின் பின்புறத்தில் சிறிது தட்டையாக்குங்கள். நடுவில் ஒரு துளை செய்து, வடிவ மாவை மெதுவாக உங்கள் கைகளுக்கு மாற்றி, சூடான எண்ணெயில் மெதுவாக வைக்கவும். (இதைச் செய்யும்போது மிகவும் கவனமாக இருங்கள்)
இருபுறமும் தங்க பழுப்பு நிறமாக மாறும் வரை வறுக்கவும். எண்ணெயிலிருந்து அதை அகற்றி, அதிகப்படியான எண்ணெயை வடிகட்ட ஒரு வடிகட்டி அல்லது காகிதத் துண்டில் வைக்கவும்.
மீதமுள்ள மாவிற்கும் இதே செயல்முறையை மீண்டும் செய்யவும். உங்கள் கடாய் அளவு மற்றும் பயன்படுத்தப்படும் எண்ணெயின் அளவைப் பொறுத்து ஒரு நேரத்தில் 3-4 வடைகளை வறுக்கலாம்.</t>
  </si>
  <si>
    <t>https://static.toiimg.com/thumb/60005006.cms?width=1200&amp;height=900</t>
  </si>
  <si>
    <t>Adi Perukku Special</t>
  </si>
  <si>
    <t>Cooked Rice -  as needed,
1 tsp -  Sesame seed oil For Rice,
30 gms -  Tamarind,
4 -  Red Chilli,
1 tsp -  Rock Salt ,
1 tsp -  Sesame seeds,
1/2 tsp -  Fenugreek seeds,
1/2 tsp -  Coriander seeds,
50 ml -  Gingelly Oil,
1 tsp -  Mustard seeds,
1 pinch -  Asafoetida,
1 -  sprig Curry leaves,
1/2 tsp -  Turmeric powder,
3 tbsp -  Roasted Peanuts.</t>
  </si>
  <si>
    <t>சமைத்த சாதம் - தேவைக்கேற்ப,
1 தேக்கரண்டி - அரிசிக்கு எள் விதை எண்ணெய்,
30 கிராம் - புளி,
4 - சிவப்பு மிளகாய்,
1 தேக்கரண்டி - கல் உப்பு,
1 தேக்கரண்டி - எள் விதைகள்,
1/2 தேக்கரண்டி - வெந்தயம்,
1/2 தேக்கரண்டி - கொத்தமல்லி விதைகள்,
50 மில்லி - எள் எண்ணெய்,
1 தேக்கரண்டி - கடுகு,
1 சிட்டிகை - பெருங்காயம்,
1 - தளிர் கறிவேப்பிலை,
1/2 தேக்கரண்டி - மஞ்சள் தூள்,
3 தேக்கரண்டி - வறுத்த வேர்க்கடலை.</t>
  </si>
  <si>
    <t>Heat 1/4 cup of sesame seed oil (nallennai), add a tsp of mustard seeds, asafoetida, 1/4 tsp turmeric powder and curry leaves.
When mustard seeds splutters, add the roasted peanuts and saute for a few seconds.
Pour the seasoning on the tamarind paste.
Add the prepared powder to it and mix well. Pulikachal is ready.
Now add needed paste to the rice and mix well.
Our tamarind rice is ready. Enjoy with appalams or papads or paruppu vadai.</t>
  </si>
  <si>
    <t>1/4 கப் எள் விதை எண்ணெயை (நல்லெண்ணெய்) சூடாக்கி, ஒரு தேக்கரண்டி கடுகு, பெருங்காயம், 1/4 தேக்கரண்டி மஞ்சள் தூள் மற்றும் கறிவேப்பிலை சேர்க்கவும்.
கடுகு வதங்கியதும், வறுத்த வேர்க்கடலையைச் சேர்த்து சில நொடிகள் வதக்கவும்.
புளி விழுதில் தாளிக்க வேண்டியவற்றை ஊற்றவும்.
அதில் தயாரிக்கப்பட்ட பொடியைச் சேர்த்து நன்கு கலக்கவும். புளிகச்சல் தயார்.
இப்போது சாதத்தில் தேவையான விழுதைச் சேர்த்து நன்கு கலக்கவும்.
எங்கள் புளி சாதம் தயார். அப்பளம் அல்லது பப்படம் அல்லது பருப்பு வடையுடன் மகிழுங்கள்.</t>
  </si>
  <si>
    <t>https://encrypted-tbn0.gstatic.com/images?q=tbn:ANd9GcRx1ZDWcbC4g--wCXzYPWgZ3RbkX7vE6oUWyQ&amp;s</t>
  </si>
  <si>
    <t xml:space="preserve">   Raw Rice – 1/2 cup,
   Pasi paruppu – 1 1/2 tbsp,
   Milk – 1 1/2 cup,
   Kalkandu – 3/4 cup,
   Ghee – 3 1/2 tbsp,
   Cashew nuts – 8-10,
   Raisins – 15-20,
   Cardamom Powder – 1/4 tsp,
   Saffron – 2-3 strands.</t>
  </si>
  <si>
    <t>பச்சை அரிசி - 1/2 கப்,
பசி பருப்பு - 1 1/2 டீஸ்பூன்,
பால் - 1 1/2 கப்,
கல்கண்டு - 3/4 கப்,
நெய் - 3 1/2 டீஸ்பூன்,
முந்திரி பருப்பு - 8-10,
திராட்சை - 15-20,
ஏலக்காய் பொடி - 1/4 டீஸ்பூன்,
குங்குமப்பூ - 2-3 தண்டுகள்.</t>
  </si>
  <si>
    <t>Heat a tbsp of ghee and fry cashew nuts until light golden brown. Add raisins and fry until it puffs up.
Then add the mashed rice and dal mixture.
Add kalkandu or rock sugar candy (I used diamond kalkandu) and cook on medium heat until the sugar candy dissolves.
Add remaining ghee, cardamom powder and mix well.
Finally add saffron strands, mix the pongal well and remove from heat.
Creamy and delicious Kalkandu pongal is ready. It tastes heavenly!! You can enjoy it warm or chilled.</t>
  </si>
  <si>
    <t>ஒரு தேக்கரண்டி நெய்யை சூடாக்கி, முந்திரி பருப்புகளை லேசான பொன்னிறமாகும் வரை வறுக்கவும். திராட்சை சேர்த்து, அது கொப்பளிக்கும் வரை வறுக்கவும்.
பின்னர் மசித்த அரிசி மற்றும் பருப்பு கலவையை சேர்க்கவும்.
கல்கண்டு அல்லது கல் சர்க்கரை மிட்டாய் (நான் வைர கல்கண்டு பயன்படுத்தினேன்) சேர்த்து, சர்க்கரை மிட்டாய் கரையும் வரை மிதமான தீயில் சமைக்கவும்.
மீதமுள்ள நெய், ஏலக்காய் பொடி சேர்த்து நன்கு கலக்கவும்.
கடைசியாக குங்குமப்பூ இழைகளைச் சேர்த்து, பொங்கலை நன்கு கலந்து, அடுப்பிலிருந்து இறக்கவும்.
கிரீமி மற்றும் சுவையான கல்கண்டு பொங்கல் தயார். இது அற்புதமான சுவை!! நீங்கள் இதை சூடாகவோ அல்லது குளிரூட்டவோ அனுபவிக்கலாம்.</t>
  </si>
  <si>
    <t>https://encrypted-tbn0.gstatic.com/images?q=tbn:ANd9GcSfFtqf_9mCr8HiYG1i-gG2doS96EXnQx-RLw&amp;s</t>
  </si>
  <si>
    <t>புளி அரிசி</t>
  </si>
  <si>
    <t xml:space="preserve">   Raw Rice – 1 1/2 cup,
   Tamarind – 70 grams,
   Sesame seed Oil – 50 ml,
   Salt needed,
   Fenugreek seeds – 1 tsp,
   White sesame seeds – 1 tsp,
   Coriander seeds – 2 tbsp,
   Red chillies – 5,
   Mustard – 1 tsp,
   Urad dal – 4 tsp,
   Channa dal  – 4 tsp,
   Red chillies – 4 ,
   Asafoetida – 1/2 tsp,
   Turmeric powder – 1 tsp,
   Roasted peanuts - 100 grams,
   Curry leaves – little,
   Turmeric powder – 1/2 tsp,
   Sesame seed oil - 2 tsp.</t>
  </si>
  <si>
    <t>பச்சை அரிசி - 1 1/2 கப்,
புளி - 70 கிராம்,
எள் விதை எண்ணெய் - 50 மிலி,
உப்பு தேவை,
வெந்தயம் - 1 தேக்கரண்டி,
வெள்ளை எள் - 1 தேக்கரண்டி,
கொத்தமல்லி விதைகள் - 2 தேக்கரண்டி,
சிவப்பு மிளகாய் - 5,
கடுகு - 1 தேக்கரண்டி,
உரத்த பருப்பு - 4 தேக்கரண்டி,
சன்னா பருப்பு - 4 தேக்கரண்டி,
சிவப்பு மிளகாய் - 4 ,
அசாஃபோடிடா - 1/2 தேக்கரண்டி,
மஞ்சள் தூள் - 1 தேக்கரண்டி,
வறுத்த வேர்க்கடலை - 100 கிராம்,
கறிவேப்பிலை - சிறிதளவு,
மஞ்சள் தூள் - 1/2 தேக்கரண்டி,
எள் விதை எண்ணெய் - 2 தேக்கரண்டி.</t>
  </si>
  <si>
    <t>Heat oil and add the ingredients mentioned under seasoning. You can remove red chilli and then add back to the oil to prevent it from getting burnt.
When dal turns golden brown, add the thick tamarind extract, salt and let it boil on medium flame.
Switch off when it thickens and oil oozes out.
Now the tamarind paste or pulikachal (see Picture below) is ready. Let us see how to mix it with rice.
Spread the rice on a plate to cool. When it is warm, add 2 tsp sesame seed oil and 1/2 tsp turmeric powder and mix it gently without breaking the rice.
Once it cools, add needed spice powder, tamarind paste and mix the rice gently. Adjust spice powder and tamarind paste according to your taste.
Delicious Tamarind rice or Puliyodarai is ready to be served. We enjoyed Puliyodarai with vadams and appalam.</t>
  </si>
  <si>
    <t>எண்ணெயை சூடாக்கி, தாளிக்க குறிப்பிடப்பட்டுள்ள பொருட்களைச் சேர்க்கவும். சிவப்பு மிளகாயை நீக்கி, பின்னர் எண்ணெயில் மீண்டும் சேர்க்கலாம், இதனால் அது எரியாமல் தடுக்கலாம்.
பருப்பு பொன்னிறமாக மாறியதும், கெட்டியான புளி சாறு, உப்பு சேர்த்து மிதமான தீயில் கொதிக்க விடவும்.
அது கெட்டியாகி எண்ணெய் வெளியேறும்போது அணைக்கவும்.
இப்போது புளி விழுது அல்லது புளிகச்சல் (கீழே உள்ள படத்தைப் பார்க்கவும்) தயாராக உள்ளது. அதை அரிசியுடன் எப்படி கலப்பது என்று பார்ப்போம்.
அரிசியை ஒரு தட்டில் பரப்பி ஆற வைக்கவும். அது சூடாகும்போது, ​​2 தேக்கரண்டி எள் விதை எண்ணெய் மற்றும் 1/2 தேக்கரண்டி மஞ்சள் தூள் சேர்த்து, அரிசி உடையாமல் மெதுவாக கலக்கவும்.
அது குளிர்ந்ததும், தேவையான மசாலாப் பொடி, புளி விழுது சேர்த்து, அரிசியை மெதுவாக கலக்கவும். உங்கள் சுவைக்கேற்ப மசாலாப் பொடி மற்றும் புளி விழுதை சரிசெய்யவும்.
சுவையான புளி சாதம் அல்லது புளியோதரை பரிமாற தயாராக உள்ளது. வடாம் மற்றும் அப்பளத்துடன் புளியோதரையை நாங்கள் ரசித்தோம்.</t>
  </si>
  <si>
    <t>https://encrypted-tbn0.gstatic.com/images?q=tbn:ANd9GcQerITCU4WbABvrqgLMWuzjEqpm6RNRjpbuHg&amp;s</t>
  </si>
  <si>
    <t>https://youtu.be/Pg2-s6Z-pnc</t>
  </si>
  <si>
    <t xml:space="preserve">   Whole Urad dal without skin – 1/2 cup,
   Fried gram - 1 tsp,
   Raw rice - 1 tsp,
   Green chilli - 3,
   Arai keerai – 1/3 cup,
   Salt to taste,
   Oil for deep frying.</t>
  </si>
  <si>
    <t>தோல் நீக்கிய முழு உளுத்தம் பருப்பு - 1/2 கப்,
வறுத்த பருப்பு - 1 தேக்கரண்டி,
பச்சரிசி - 1 தேக்கரண்டி,
பச்சை மிளகாய் - 3,
அரை கீரை - 1/3 கப்,
உப்பு - சுவைக்கேற்ப,
ஆழமாக வறுக்க எண்ணெய்.</t>
  </si>
  <si>
    <t>Take a plantain leaf or a Ziploc bag (if using plantain leaf, use the back side of the leaf), wipe it with a little water. Dip your fingers in water, take a small lemon sized ball of batter, flatten it with your hands keeping it on the banana leaf  and make a hole in the center as shown in the picture below.
Heat oil in a kadai (to check if the oil is hot enough, drop a little batter into the oil, if it comes to the surface immediately, the oil is hot enough to fry the vadas). Reduce the heat to medium. Then transfer the flattened batter to your hand from the leaf/ziploc bag and drop it into the hot oil carefully.
Once it is slightly cooked, flip it over to the other side and cook both sides until golden brown. 
Then remove the vada with a slotted ladle and place it in a colander or paper towel to remove excess oil, if any. You can fry 3-4 vadas at a time depending on the quantity of oil used.
Repeat the same process for the rest of the batter. Coconut Chutney is a great side dish for keerai vadai.
Enjoy hot keerai vadai with tea or coffee or even for breakfast along with idli and chutney.</t>
  </si>
  <si>
    <t>ஒரு வாழை இலை அல்லது ஜிப்லாக் பையை (வாழை இலையைப் பயன்படுத்தினால், இலையின் பின்புறத்தைப் பயன்படுத்தவும்) எடுத்து, சிறிது தண்ணீரில் துடைக்கவும். உங்கள் விரல்களை தண்ணீரில் நனைத்து, ஒரு சிறிய எலுமிச்சை அளவு மாவை எடுத்து, அதை உங்கள் கைகளால் வாழை இலையில் வைத்து தட்டையாக்கி, கீழே உள்ள படத்தில் காட்டப்பட்டுள்ளபடி மையத்தில் ஒரு துளை செய்யுங்கள்.
ஒரு கடாயில் எண்ணெயை சூடாக்கவும் (எண்ணெய் போதுமான அளவு சூடாக இருக்கிறதா என்று சோதிக்க, சிறிது மாவை எண்ணெயில் விடவும், அது உடனடியாக மேற்பரப்புக்கு வந்தால், எண்ணெய் வடைகளை வறுக்க போதுமான அளவு சூடாக இருக்கும்). தீயை நடுத்தரமாகக் குறைக்கவும். பின்னர் இலை/ஜிப்லாக் பையில் இருந்து தட்டையான மாவை உங்கள் கைக்கு மாற்றி, கவனமாக சூடான எண்ணெயில் விடவும்.
சிறிது வெந்ததும், மறுபுறம் திருப்பிப் போட்டு, இருபுறமும் பொன்னிறமாகும் வரை சமைக்கவும்.
பின்னர், ஒரு துளையிட்ட கரண்டியால் வடையை எடுத்து, அதிகப்படியான எண்ணெய் இருந்தால் அதை அகற்ற ஒரு வடிகட்டி அல்லது காகிதத் துண்டில் வைக்கவும். பயன்படுத்தப்படும் எண்ணெயின் அளவைப் பொறுத்து ஒரே நேரத்தில் 3-4 வடைகளை வறுக்கலாம்.
மீதமுள்ள மாவுக்கும் இதே செயல்முறையை மீண்டும் செய்யவும். தேங்காய் சட்னி கீரை வடைக்கு ஒரு சிறந்த துணை உணவாகும்.
தேநீர் அல்லது காபியுடன் அல்லது காலை உணவாக இட்லி மற்றும் சட்னியுடன் கூட சூடான கீரை வடையை அனுபவிக்கவும்.</t>
  </si>
  <si>
    <t>https://satyamskitchen.com/wp-content/uploads/2021/01/keerai_vadai_raw_picture_1_20-e1611837738885.jpg</t>
  </si>
  <si>
    <t xml:space="preserve">   kadalai paruppu - 1 cup,
   Urad dal - 1 tbsp,
   Red chillies - 3,
   Green chillies - 2,
   Hing - 1/4 tsp,
   Ghee - 1 tsp,
   Cabbage finely chopped - 1 cup,
   Oil for deep frying,
   Salt needed.</t>
  </si>
  <si>
    <t>கடலை பருப்பு - 1 கப்,
உளுத்தம் பருப்பு - 1 டீஸ்பூன்,
சிவப்பு மிளகாய் - 3,
பச்சை மிளகாய் - 2,
கீல் - 1/4 டீஸ்பூன்,
நெய் - 1 டீஸ்பூன்,
முட்டைக்கோஸ் நன்றாக நறுக்கியது - 1 கப்,
ஆழமாக வறுக்க எண்ணெய்,
உப்பு தேவை.</t>
  </si>
  <si>
    <t>Wash and soak both dal together for 1 1/2 hours. Drain the water completely and keep it aside.
Grind red chillies, green chillies and salt first to a smooth paste. Then add the drained dal and grind it coarsely without adding water.
Finely chop cabbage. Add the chopped cabbage, hing and a tsp of ghee to the vada batter and mix well. Check for salt. Our cabbage channa dal vada batter is ready.
Heat oil in a kadai. To check if the oil is ready for frying the vadas, drop a piece of batter into the oil, if it raises to the surface immediatly, then the oil is ready for frying. Reduce the heat to medium.
Dip your hand in water (keep a bowl of water besides the batter) take a little batter, shape it into a ball and flatten it in the shape of a disc or form it into patties.
Gently drop the flattened disc into the oil and deep fry both sides until golden brown.
Remove from the kadai using a slotted ladle and drain excess oil on a paper towel or colander. Repeat the same process for the rest of the batter.
Serve hot and crispy vada with a cup of tea or coffee.</t>
  </si>
  <si>
    <t>இரண்டு பருப்பையும் கழுவி 1 1/2 மணி நேரம் ஊற வைக்கவும். தண்ணீரை முழுவதுமாக வடிகட்டி ஒதுக்கி வைக்கவும்.
முதலில் சிவப்பு மிளகாய், பச்சை மிளகாய் மற்றும் உப்பு ஆகியவற்றை மென்மையான பேஸ்டாக அரைக்கவும். பின்னர் வடிகட்டிய பருப்பைச் சேர்த்து தண்ணீர் சேர்க்காமல் கொரகொரப்பாக அரைக்கவும்.
முட்டைக்கோஸை நன்றாக நறுக்கவும். நறுக்கிய முட்டைக்கோஸ், கீல் மற்றும் ஒரு தேக்கரண்டி நெய்யை வடை மாவில் சேர்த்து நன்கு கலக்கவும். உப்பு இருக்கிறதா என்று பாருங்கள். எங்கள் முட்டைக்கோஸ் சன்னா தால் வடை மாவு தயார்.
ஒரு கடாயில் எண்ணெயை சூடாக்கவும். வடைகளை பொரிக்க எண்ணெய் தயாரா என்று பார்க்க, ஒரு துண்டு மாவை எண்ணெயில் போடவும், அது உடனடியாக மேற்பரப்புக்கு உயர்ந்தால், எண்ணெய் வறுக்க தயாராக உள்ளது. தீயை நடுத்தரமாகக் குறைக்கவும்.
உங்கள் கையை தண்ணீரில் நனைத்து (மாவின் அருகே ஒரு கிண்ணம் தண்ணீரை வைக்கவும்) சிறிது மாவை எடுத்து, அதை ஒரு உருண்டையாக வடிவமைத்து, அதை ஒரு வட்டு வடிவத்தில் தட்டையாக்குங்கள் அல்லது பஜ்ஜிகளாக உருவாக்குங்கள்.
தட்டையான வட்டை எண்ணெயில் மெதுவாக இறக்கி, இருபுறமும் பொன்னிறமாகும் வரை ஆழமாக வறுக்கவும்.
துளையிடப்பட்ட கரண்டியைப் பயன்படுத்தி கடாயிலிருந்து எடுத்து, அதிகப்படியான எண்ணெயை ஒரு காகித துண்டு அல்லது வடிகட்டியில் வடிகட்டவும். மீதமுள்ள மாவிற்கும் இதே செயல்முறையை மீண்டும் செய்யவும்.
சூடான மற்றும் மொறுமொறுப்பான வடையை ஒரு கப் தேநீர் அல்லது காபியுடன் பரிமாறவும்.</t>
  </si>
  <si>
    <t>https://b2958125.smushcdn.com/2958125/wp-content/uploads/masal-vadai-tamil-recipe-savoury.jpg?lossy=1&amp;strip=1&amp;webp=1</t>
  </si>
  <si>
    <t xml:space="preserve">   Bengal gram – 3/4 cup,
   Tur dal – 1/4 cup,
   Green chillies – 2,
   Red chillies – 3,
   Hing – a generous pinch,
   Curry leaves,
   Salt to taste.
</t>
  </si>
  <si>
    <t>பெங்கால் பருப்பு - 3/4 கப்,
துர் பருப்பு - 1/4 கப்,
பச்சை மிளகாய் - 2,
சிவப்பு மிளகாய் - 3,
ஹிங் - ஒரு சிட்டிகை,
கறிவேப்பிலை,
ருசிக்க உப்பு.</t>
  </si>
  <si>
    <t>Make equal sized balls out of the mix and flatten it with you fingers as shown below.
Heat oil in a kadai. To check if the oil is hot enough, drop a little batter into the oil, if it raises to the surface immediately, the oil is hot enough to fry the vadas.
Now reduce the flame to medium, add 3 flattened patties into the oil. Let it cook for some time. Then flip it over to the other side. Once it turns golden brown, remove from the oil and place it in a kitchen towel or colander to drain off the excess oil. Paruppu vadai is ready.
Enjoy making these easy, quick and delicious paruppu vadas for this festive season.</t>
  </si>
  <si>
    <t>கலவையிலிருந்து சம அளவிலான உருண்டைகளை உருவாக்கி, கீழே காட்டப்பட்டுள்ளபடி உங்கள் விரல்களால் தட்டையாக்குங்கள்.
ஒரு கடாயில் எண்ணெயை சூடாக்கவும். எண்ணெய் போதுமான அளவு சூடாக இருக்கிறதா என்று சோதிக்க, எண்ணெயில் சிறிது மாவை விடுங்கள், அது உடனடியாக மேல்நோக்கி உயர்ந்தால், எண்ணெய் வடைகளை வறுக்கும் அளவுக்கு சூடாக இருக்கும்.
இப்போது சுடரை நடுத்தரமாகக் குறைத்து, எண்ணெயில் 3 தட்டையான பஜ்ஜிகளைச் சேர்க்கவும். சிறிது நேரம் சமைக்க விடவும். பின்னர் அதை மறுபுறம் புரட்டவும். அது தங்க பழுப்பு நிறமாக மாறியதும், எண்ணெயிலிருந்து அகற்றி, அதிகப்படியான எண்ணெயை வடிகட்ட ஒரு சமையலறை துண்டு அல்லது வடிகட்டியில் வைக்கவும். பருப்பு வடை தயார்.
இந்த பண்டிகைக் காலத்திற்கு இந்த எளிதான, விரைவான மற்றும் சுவையான பருப்பு வடைகளைச் செய்து மகிழுங்கள்.</t>
  </si>
  <si>
    <t>https://i0.wp.com/www.antoskitchen.com/wp-content/uploads/2017/01/Masala-Vada.jpg?resize=976%2C648&amp;ssl=1</t>
  </si>
  <si>
    <t>Milk – 4 cups,
Basmati rice – 2 tbsp,
Ghee – 1 tsp,
Sugar – 1/4 cup ,
Saffron – few strands ,
Cardamom powder – generous pinch.</t>
  </si>
  <si>
    <t>பால் - 4 கப்,
பாஸ்மதி அரிசி - 2 டேபிள்ஸ்பூன்,
நெய் - 1 டீஸ்பூன்,
சர்க்கரை - 1/4 கப்,
குங்குமப்பூ - சிறிது,
ஏலக்காய் தூள் - தாராளமாக.</t>
  </si>
  <si>
    <t>Heat a tsp of ghee and fry the basmati rice for a few minutes. Do not over fry until it turns brown.
Then just dry grind it in the blender for a second or two.( not more than that) The rice should be just broken and not powdered coarsely or finely. 
Take a pressure cooker, grease the bottom with 1/2 tsp ghee. This is done to prevent the milk from getting burnt. Add 4 cups of boiled milk and ground rice to the boiled milk.
Put a small plate or a spoon or a small vessel to prevent the milk from boiling over and spilling. I dropped a small plate inside the milk.
Close the pressure cooker and keep the flame in low. Once steam starts coming, put the weight and keep it in very low flame. After the 1st whistle switch off. Open and see after the pressure subsides. If the milk has not thickened, boil for some more time in low flame.
After 30 minutes (total time), my payasam looked thick and creamy.
Now add sugar, mix well and boil for a few seconds until sugar dissolves. I added 1/4 cup of sugar as I do not like very sweet payasam. You can add sugar according to your taste.
Then add saffron, cardamom powder and mix well. Serve hot or cold. It’s delicious either cold or hot.</t>
  </si>
  <si>
    <t>ஒரு டீஸ்பூன் நெய்யை சூடாக்கி, பாஸ்மதி அரிசியை சில நிமிடங்கள் வறுக்கவும். அது பழுப்பு நிறமாக மாறும் வரை அதிகமாக வறுக்க வேண்டாம்.
பின்னர் அதை ஒரு வினாடி அல்லது இரண்டு வினாடிகள் உலர வைக்கவும். (அதற்கு மேல் இல்லை) அரிசியை உடைத்து, கரடுமுரடாகவோ அல்லது நன்றாகவோ பொடிக்கக்கூடாது.
ஒரு பிரஷர் குக்கரை எடுத்து, அடிப்பகுதியில் 1/2 டீஸ்பூன் நெய் தடவவும். பால் எரிவதைத் தடுக்க இது செய்யப்படுகிறது. கொதிக்கும் பாலில் 4 கப் வேகவைத்த பால் மற்றும் அரைத்த அரிசியைச் சேர்க்கவும்.
பால் கொதித்து சிந்தாமல் இருக்க ஒரு சிறிய தட்டு அல்லது ஒரு ஸ்பூன் அல்லது ஒரு சிறிய பாத்திரத்தை வைக்கவும். நான் ஒரு சிறிய தட்டை பாலுக்குள் போட்டேன்.
பிரஷர் குக்கரை மூடி, தீயை குறைவாக வைக்கவும். நீராவி வர ஆரம்பித்ததும், வெயிட்டை வைத்து மிகக் குறைந்த தீயில் வைக்கவும். முதல் விசில் வந்த பிறகு, சுவிட்சை ஆஃப் பண்ணுங்க. பிரஷர் குறைந்த பிறகு திறந்து பாருங்க. பால் கெட்டியாகவில்லை என்றால், குறைந்த தீயில் சிறிது நேரம் கொதிக்க விடவும்.
30 நிமிடங்களுக்குப் பிறகு (மொத்த நேரம்), என் பாயசம் கெட்டியாகவும் கிரீமியாகவும் இருந்தது.
இப்போது சர்க்கரையைச் சேர்த்து, நன்றாகக் கலந்து, சர்க்கரை கரையும் வரை சில நொடிகள் கொதிக்க விடவும். எனக்கு மிகவும் இனிமையான பாயசம் பிடிக்காததால், 1/4 கப் சர்க்கரை சேர்த்தேன். உங்கள் ரசனைக்கேற்ப சர்க்கரை சேர்க்கலாம்.
பிறகு குங்குமப்பூ, ஏலக்காய் தூள் சேர்த்து நன்றாக கலக்கவும். சூடாகவோ அல்லது குளிராகவோ பரிமாறவும். இது குளிர்ந்தாலோ அல்லது சூடாகவோ சுவையாக இருக்கும்.</t>
  </si>
  <si>
    <t>https://static.toiimg.com/thumb/60002603.cms?width=1200&amp;height=900</t>
  </si>
  <si>
    <t>Thayir Sadam</t>
  </si>
  <si>
    <t>தையிர் சாதம்</t>
  </si>
  <si>
    <t xml:space="preserve">   Raw Rice – 1/2 cup,
   Milk - 1 cup,
   Curd – 1/3 cup,
   Salt as needed,
   Oil – 2 tsp,
   Mustard seeds – 1 tsp,
   Green chilli – 1,
   Ginger – 1 tbsp,
   Curry leaves – 2 sprigs,
   Coriander leaves – 1 tbsp.</t>
  </si>
  <si>
    <t>பச்சை சாதம் - 1/2 கப்,
பால் - 1 கப்,
தயிர் - 1/3 கப்,
தேவைக்கேற்ப உப்பு,
எண்ணெய் - 2 டீஸ்பூன்,
கடுகு - 1 டீஸ்பூன்,
பச்சை மிளகாய் - 1,
இஞ்சி - 1 டீஸ்பூன்,
கறிவேப்பிலை - 2 தண்டுகள்,
கொத்தமல்லி இலை - 1 டீஸ்பூன்.</t>
  </si>
  <si>
    <t>When the rice is hot, mash it nicely with a potato masher, add warm milk and mix well.
When it has cooled a little, add curd and salt needed.
Heat 2 tsp of oil, add mustard seeds, when it splutters, add green chilli, ginger, curry leaves and saute for a few seconds. Pour it over the curd rice. Mix well.
Garnish with coriander leaves and serve with pickle. This is basic curd rice recipe.</t>
  </si>
  <si>
    <t>சாதம் சூடாகும்போது, ​​உருளைக்கிழங்கு மசிப்பான் கொண்டு நன்றாக மசித்து, சூடான பால் சேர்த்து நன்கு கலக்கவும்.
சிறிது ஆறியதும், தயிர் மற்றும் தேவையான உப்பு சேர்க்கவும்.
2 டீஸ்பூன் எண்ணெயை சூடாக்கி, கடுகு சேர்த்து, அது வதங்கியதும், பச்சை மிளகாய், இஞ்சி, கறிவேப்பிலை சேர்த்து சில நொடிகள் வதக்கவும். தயிர் சாதத்தின் மேல் ஊற்றவும். நன்றாக கலக்கவும்.
கொத்தமல்லி இலைகளால் அலங்கரித்து ஊறுகாயுடன் பரிமாறவும். இது அடிப்படை தயிர் சாதம் செய்முறை.</t>
  </si>
  <si>
    <t>https://rakskitchen.net/wp-content/uploads/2012/06/curd-rice-feat.jpg</t>
  </si>
  <si>
    <t>அக்கரவடைசல்</t>
  </si>
  <si>
    <t>Raw rice – 1/2 cup,
pasi paruppu – 2 tbsp,
Milk – 4 cups,
Jaggery – 1 cup heaped,
Ghee – 1/4 cup,
Cardamom - 3,
Cashew nuts – 6,
Raisins – 25 grams,
Saffron – 4-5 strands,
Pachai Kalpooram – a pinch.</t>
  </si>
  <si>
    <t>பச்சை அரிசி - 1/2 கப்,
பாசி பருப்பு - 2 டேபிள்ஸ்பூன்,
பால் - 4 கப்,
வெல்லம் - 1 கப்,
நெய் - 1/4 கப்,
ஏலக்காய் - 3,
முந்திரி பருப்பு - 6,
திராட்சை - 25 கிராம்,
குங்குமப்பூ - 4-5 இழைகள்,
பச்சாய் கல்பூரம் - ஒரு சிட்டிகை.</t>
  </si>
  <si>
    <t>In a heavy bottomed vessel, add 2 1/2 cups of boiled milk and 3/4 cup of water, add the rice + dal mix and cook on medium heat, stirring frequently, until rice and dal becomes mushy. Mash it well with a masher when it is hot.
Iyengar style Akkaravadisal
Bring jaggery water to boil. Then add the mashed rice + dal mixture to the jaggery water and mix well.
Add the remaining milk, remaining ghee, mix well and cook for 3-4 minutes, stirring continuously on medium low heat.
Add the saffron milk, cardamom powder, cashew nuts, edible camphor (I did not add) and cook for few more minutes on medium low heat stirring continuously until everything comes together.
Akkaravadisal will be a little runny, as it cools, it will thicken slightly.</t>
  </si>
  <si>
    <t>ஒரு கனமான பாத்திரத்தில், 2 1/2 கப் வேகவைத்த பால் மற்றும் 3/4 கப் தண்ணீர் சேர்த்து, அரிசி + பருப்பை சேர்த்து, மிதமான தீயில், அடிக்கடி கிளறி, அரிசி மற்றும் பருப்பை மென்மையாகும் வரை சமைக்கவும். சூடானதும், ஒரு மசிப்பான் கொண்டு நன்றாக மசிக்கவும்.
ஐயங்கார் பாணி அக்கரவடைசல்
வெல்லம் தண்ணீரை கொதிக்க வைக்கவும். பின்னர் மசித்த அரிசி + பருப்பை வெல்ல நீரில் சேர்த்து நன்கு கலக்கவும்.
மீதமுள்ள பால், மீதமுள்ள நெய்யைச் சேர்த்து, நன்கு கலந்து 3-4 நிமிடங்கள் மிதமான தீயில் தொடர்ந்து கிளறிக்கொண்டே இருங்கள்.
குங்குமப்பூ பால், ஏலக்காய் தூள், முந்திரி பருப்பு, உண்ணக்கூடிய கற்பூரம் (நான் சேர்க்கவில்லை) ஆகியவற்றைச் சேர்த்து, மிதமான தீயில் இன்னும் சில நிமிடங்கள் எல்லாம் ஒன்றாக வரும் வரை தொடர்ந்து கிளறிக்கொண்டே இருங்கள்.
அக்கரவடிசல் சிறிது சளியாக இருக்கும், அது குளிர்ந்ததும், சிறிது கெட்டியாகிவிடும்.</t>
  </si>
  <si>
    <t>https://encrypted-tbn0.gstatic.com/images?q=tbn:ANd9GcRvck3jlZvCcMHUyOadYSNJydGPeBuYS40yBQ&amp;s</t>
  </si>
  <si>
    <t xml:space="preserve">   Raw Rice – 1/2 cup,
   pasi paruppu – 1/4 cup,
   Jaggery – 1 cup grated,
   Cashew nuts - 2 tbsp,
   Raisins - 2-3 tbsp,
   Cardamom – 4 pods,
   clarified butter - 1/4 cup,
   Ghee - 1/2 tsp .</t>
  </si>
  <si>
    <t>பச்சை அரிசி - 1/2 கப்,
பசி பருப்பு - 1/4 கப்,
வெல்லம் - 1 கப் துருவியது,
முந்திரி பருப்பு - 2 டீஸ்பூன்,
திராட்சை - 2-3 டீஸ்பூன்,
ஏலக்காய் - 4 காய்கள்,
தெளிவூட்டப்பட்ட வெண்ணெய் - 1/4 கப்,
நெய் - 1/2 டீஸ்பூன்.</t>
  </si>
  <si>
    <t>Heat 1/4 cup of water in a pan and add jaggery to it. When it dissolves, filter it to remove impurities. Boil jaggery water with a tsp of ghee on medium heat. Take a cup of water, add a tsp of jaggery syrup to it, if it does not dissolve, then it is the right stage to add mashed rice and dal. (I make it very clear – you do not have to boil the jaggery water until it reaches sticky consistency or string consistency) 
Add mashed rice, dal mixture and cook for a few minutes until everything gets blended well as in the picture below. Add cardamom powder at this stage.
Fry cashew nuts in a tsp of ghee. Remove from pan and add to the rice dal mixture.
Add the rest of the ghee and fry raisins until they puff up and add it to the rice dal mixture along with ghee.
Cook for a few minutes on low heat until everything gets blended well. Serve hot.
Enjoy delicious Sakkarai pongal!!.</t>
  </si>
  <si>
    <t>ஒரு பாத்திரத்தில் 1/4 கப் தண்ணீரை சூடாக்கி, அதில் வெல்லம் சேர்க்கவும். அது கரைந்ததும், அசுத்தங்களை நீக்க வடிகட்டி வைக்கவும். வெல்லம் தண்ணீரை ஒரு டீஸ்பூன் நெய்யுடன் மிதமான தீயில் கொதிக்க வைக்கவும். ஒரு கப் தண்ணீரை எடுத்து, அதில் ஒரு டீஸ்பூன் வெல்லம் சிரப் சேர்க்கவும், அது கரையவில்லை என்றால், மசித்த அரிசி மற்றும் பருப்பைச் சேர்க்க இதுவே சரியான நிலை. (நான் மிகத் தெளிவாகச் சொல்கிறேன் - வெல்லம் தண்ணீர் ஒட்டும் நிலைத்தன்மையை அடையும் வரை அல்லது சரம் நிலைத்தன்மையை அடையும் வரை நீங்கள் கொதிக்க வேண்டியதில்லை)
மசித்த அரிசி, பருப்பு கலவையைச் சேர்த்து, கீழே உள்ள படத்தில் உள்ளதைப் போல அனைத்தும் நன்றாகக் கலக்கும் வரை சில நிமிடங்கள் சமைக்கவும். இந்த கட்டத்தில் ஏலக்காய்ப் பொடியைச் சேர்க்கவும்.
ஒரு டீஸ்பூன் நெய்யில் முந்திரி பருப்பை வறுக்கவும். வாணலியில் இருந்து இறக்கி அரிசி பருப்பு கலவையில் சேர்க்கவும்.
மீதமுள்ள நெய்யைச் சேர்த்து, திராட்சையை கொப்பளிக்கும் வரை வறுக்கவும். அரிசி பருப்பு கலவையில் நெய்யுடன் சேர்க்கவும்.
குறைந்த வெப்பத்தில் சில நிமிடங்கள் எல்லாம் நன்றாகக் கலக்கும் வரை சமைக்கவும். சூடாகப் பரிமாறவும்.
சுவையான சக்கரைப் பொங்கலை அனுபவியுங்கள்!!.</t>
  </si>
  <si>
    <t>https://www.vegrecipesofindia.com/wp-content/uploads/2018/09/sweet-pongal-recipe-1.jpg</t>
  </si>
  <si>
    <t>1 cup - Whole urad dal,
2 -  Green chilies,
1 tsp -  Raw rice,
1/2 tsp -  Fried gram ,
Salt ,
Plastic sheet,
Oil For deep frying.</t>
  </si>
  <si>
    <t>1 கப் - முழு உளுத்தம் பருப்பு,
2 - பச்சை மிளகாய்,
1 தேக்கரண்டி - பச்சரிசி,
1/2 தேக்கரண்டி - வறுத்த பருப்பு,
உப்பு,
பிளாஸ்டிக் தாள்,
வறுக்க எண்ணெய்.</t>
  </si>
  <si>
    <t>Heat oil in a deep bottomed kadai. Once the oil is heated, reduce the flame to medium. To check if the oil is hot, drop a little batter, if it comes to the surface immediately, the oil is hot enough to fry the vadas.
Now take a bowl of water, wet your fingers and take a lemon sized vada batter, flatten it slightly on a plastic sheet or back of the banana leaf. Make a hole in the middle.and slowly transfer the shaped dough to your hands and slip it into the hot oil very gently.
Fry until it turns golden brown on both sides. Remove it from oil and place it on a colander or paper towel to drain excess oil.
Repeat the same process for the rest of the dough. You can fry 3-4 vadas at a time depending on the size of your kadai and the quantity of oil used.</t>
  </si>
  <si>
    <t>அடிப்படையிலான ஆழமான கடாயில் எண்ணெயை சூடாக்கவும். எண்ணெய் சூடாக்கப்பட்டவுடன், தீயை நடுத்தரமாகக் குறைக்கவும். எண்ணெய் சூடாக இருக்கிறதா என்று சோதிக்க, சிறிது மாவை விடவும், அது உடனடியாக மேற்பரப்புக்கு வந்தால், எண்ணெய் வடைகளை வறுக்கும் அளவுக்கு சூடாக இருக்கும்.
இப்போது ஒரு கிண்ணத்தில் தண்ணீர் எடுத்து, உங்கள் விரல்களை நனைத்து, எலுமிச்சை அளவு வடை மாவை எடுத்து, ஒரு பிளாஸ்டிக் தாளில் அல்லது வாழை இலையின் பின்புறத்தில் சிறிது தட்டவும். நடுவில் ஒரு துளை செய்து, வடிவ மாவை மெதுவாக உங்கள் கைகளுக்கு மாற்றி, சூடான எண்ணெயில் மெதுவாக வைக்கவும்.
இருபுறமும் பொன்னிறமாகும் வரை வறுக்கவும். எண்ணெயிலிருந்து அதை அகற்றி, அதிகப்படியான எண்ணெயை வடிகட்ட ஒரு வடிகட்டி அல்லது காகித துண்டு மீது வைக்கவும்.
மீதமுள்ள மாவிற்கும் இதே செயல்முறையை மீண்டும் செய்யவும். உங்கள் கடாயின் அளவு மற்றும் பயன்படுத்தப்படும் எண்ணெயின் அளவைப் பொறுத்து ஒரு நேரத்தில் 3-4 வடைகளை வறுக்கலாம்.</t>
  </si>
  <si>
    <t>https://encrypted-tbn0.gstatic.com/images?q=tbn:ANd9GcRUb0LnuTbsS3kE0RyVRlh0SpUIEmvlyu5Qew&amp;s</t>
  </si>
  <si>
    <t>Indian Coconut Rice</t>
  </si>
  <si>
    <t>இந்திய தேங்காய் சாதம்</t>
  </si>
  <si>
    <t xml:space="preserve">   Cooked rice - 2 cups heaped,
   Fresh grated coconut - 1 cup,
   Oil - 1 tbsp,
   Mustard seeds –1 tsp,
   Cumin seeds – 1/2 tsp,
   kadalai paruppu – 1/2 tbsp,
   Urad dal – 2 tsp,
   Red chillies – 2,
   Green chillies - 1 slit,
   Curry leaves – few,
   Ginger – 1 inch piece,
   Asafoetida – a pinch,
   Cashew nuts - 8-10,
   Salt as needed.</t>
  </si>
  <si>
    <t>சமைத்த அரிசி - 2 கப் குவித்து,
புதிதாக துருவிய தேங்காய் - 1 கப்,
எண்ணெய் - 1 டீஸ்பூன்,
கடுகு விதைகள் - 1 டீஸ்பூன்,
சீரகம் - 1/2 டீஸ்பூன்,
கடலை பருப்பு - 1/2 டீஸ்பூன்,
உளுத்தம் பருப்பு - 2 டீஸ்பூன்,
சிவப்பு மிளகாய் - 2,
பச்சை மிளகாய் - 1 துண்டு,
கறிவேப்பிலை - சிறிதளவு,
இஞ்சி - 1 அங்குல துண்டு,
பெருங்காயம் - ஒரு சிட்டிகை,
முந்திரி பருப்பு - 8-10,
தேவைக்கேற்ப உப்பு.</t>
  </si>
  <si>
    <t xml:space="preserve">Heat oil in a kadai/ pan, add mustard seeds, cumin seeds (optional) when it splutters, add channa dal, urad dal and red chillies. (add channa dal first as it will take time to get roasted, then add urad dal )
When dal changes color slightly, add green chillies, slivered ginger, asafoetida, curry leaves and cashew nuts. Sauté until cashew nuts turn golden brown. (remove the red chillies when sauteing cashewnuts. Once the cashew nuts turn golden brown, add the fried red chillies back – this is to prevent the red chillies from getting burnt).
Add grated coconut and sauté for a few minutes. It is not necessary to fry the grated coconut until it turn brown. Add salt needed and mix well and switch off the heat.
Fluff cooked rice with a fork and add it to the prepared coconut mix. Mix the cooked rice well with the coconut. Serve with papads or chips or any gravy or kuzhambu of your choice.
</t>
  </si>
  <si>
    <t>ஒரு கடாயில் எண்ணெயை சூடாக்கி, கடுகு, சீரகம் (விரும்பினால்) சேர்த்து, அது வதங்கியதும், சன்னா பருப்பு, உளுத்தம் பருப்பு மற்றும் சிவப்பு மிளகாய் சேர்க்கவும். (முதலில் சன்னா பருப்பு சேர்க்கவும், ஏனெனில் அது வறுத்து சிறிது நேரம் எடுக்கும், பின்னர் சன்னா பருப்பு சேர்க்கவும்)
பருப்பு சிறிது நிறம் மாறியதும், பச்சை மிளகாய், துருவிய இஞ்சி, பெருங்காயம், கறிவேப்பிலை மற்றும் முந்திரி பருப்பு சேர்க்கவும். முந்திரி பருப்பு பொன்னிறமாகும் வரை வதக்கவும். (முந்திரி பருப்பு வதக்கும்போது சிவப்பு மிளகாயை நீக்கவும். முந்திரி பருப்பு பொன்னிறமாக மாறியதும், வறுத்த சிவப்பு மிளகாயை மீண்டும் சேர்க்கவும் - இது சிவப்பு மிளகாய் கருகாமல் இருக்க).
தேங்காய் துருவல் சேர்த்து சில நிமிடங்கள் வதக்கவும். துருவிய தேங்காயை பழுப்பு நிறமாகும் வரை வறுக்க வேண்டிய அவசியமில்லை. தேவையான அளவு உப்பு சேர்த்து நன்கு கலந்து அடுப்பை அணைக்கவும்.
சமைத்த அரிசியை ஒரு முட்கரண்டி கொண்டு பிசைந்து, தயாரிக்கப்பட்ட தேங்காய் கலவையில் சேர்க்கவும். சமைத்த அரிசியை தேங்காயுடன் நன்றாக கலக்கவும். பப்பட் அல்லது சிப்ஸ் அல்லது உங்களுக்கு விருப்பமான கிரேவி அல்லது குழம்புவுடன் பரிமாறவும்.</t>
  </si>
  <si>
    <t>https://encrypted-tbn0.gstatic.com/images?q=tbn:ANd9GcSwTISFvC_dPXOPZQqSWajzkN6esoS7iuwJww&amp;s</t>
  </si>
  <si>
    <t>https://youtu.be/B3Yc5Hgi5oY</t>
  </si>
  <si>
    <t xml:space="preserve">   Rice - 1 cup,
   Sesame seed oil - 1 tsp for rice,
   Lemon - 1,
   Cashewnuts - 5 -6,
   Salt to taste,
   Oil - 3 tsp,
   Mustard seeds - 1 tsp,
   Urad dal  - 1 tsp,
   kadalai paruppu - 1 tsp,
   Red Chillies - 1,
   Asafoetida - a pinch,
   Green chillies - 2,
   Finely chopped ginger - 1 tsp,
   Turmeric Powder - 1/4 tsp,
   Curry leaves – few,
   Finely chopped carrot - 2 tbsp.</t>
  </si>
  <si>
    <t>அரிசி - 1 கப்,
எள் விதை எண்ணெய் - அரிசிக்கு 1 தேக்கரண்டி,
எலுமிச்சை - 1,
முந்திரி பருப்பு - 5 -6,
ருசிக்க உப்பு,
எண்ணெய் - 3 தேக்கரண்டி,
கடுகு - 1 தேக்கரண்டி,
உளுத்தம் பருப்பு - 1 தேக்கரண்டி,
கடலை பருப்பு - 1 தேக்கரண்டி,
சிவப்பு மிளகாய் - 1,
பெருங்காயம் - ஒரு சிட்டிகை,
பச்சை மிளகாய் - 2,
பொடியாக நறுக்கிய இஞ்சி - 1 தேக்கரண்டி,
மஞ்சள் தூள் - 1/4 தேக்கரண்டி,
கறிவேப்பிலை - சிறிதளவு,
பொடியாக நறுக்கிய கேரட் - 2 தேக்கரண்டி.</t>
  </si>
  <si>
    <t>Heat oil, add mustard seeds, when mustard splutters , add urad dal, channa dal, red chillies and asafoetida. When dal turns slightly brown, add green chillies, ginger, turmeric powder, curry leaves and finely chopped carrots (optional ).
Saute until the carrots are slightly cooked.
Squeeze lemon juice in a cup, add salt to it. Mix well and add it to the rice.
Add the seasoning and cashew nuts also to the rice and mix well. Taste and see. If required add more salt and lemon juice.</t>
  </si>
  <si>
    <t>எண்ணெயை சூடாக்கி, கடுகு சேர்த்து, கடுகு வதங்கியதும், உளுத்தம் பருப்பு, சன்னா பருப்பு, சிவப்பு மிளகாய் மற்றும் பெருங்காயம் சேர்க்கவும். பருப்பு சிறிது பழுப்பு நிறமாக மாறியதும், பச்சை மிளகாய், இஞ்சி, மஞ்சள் தூள், கறிவேப்பிலை மற்றும் பொடியாக நறுக்கிய கேரட் (விரும்பினால்) சேர்க்கவும்.
கேரட் சிறிது வேகும் வரை வதக்கவும்.
ஒரு கோப்பையில் எலுமிச்சை சாற்றை பிழிந்து, உப்பு சேர்த்து நன்கு கலக்கவும். சாதத்தில் சேர்க்கவும்.
சாதத்தில் மசாலா மற்றும் முந்திரி பருப்புகளை சேர்த்து நன்கு கலக்கவும். ருசித்துப் பாருங்கள். தேவைப்பட்டால் உப்பு மற்றும் எலுமிச்சை சாறு சேர்க்கவும்.</t>
  </si>
  <si>
    <t>https://www.vegrecipesofindia.com/wp-content/uploads/2020/12/lemon-rice-2.jpg</t>
  </si>
  <si>
    <t xml:space="preserve">   Curd – 1 -1 1/4 cup,
   Turmeric Powder – a pinch,
   Salt as required,
   White Pumpkin - 1 ,
   Carrot - 1,
   Beans - 6,
   Raw Plantain - 1,
   Potato - 1 ,
   Chow-chow - 1 cup chopped,
   Brinjal - 1,
   Colocasia - 2 ,
   Drumstick - 1,
   Yam  - 1/4 cup chopped,
   Cluster beans – 6-7,
   Grated Coconut - 1/2 cup,
   Green chillies - 4-5,
   cumin seeds - 1 tsp,
   Rice flour - 1/2 tsp,
   Coconut oil – 2 tsp,
   Curry leaves.</t>
  </si>
  <si>
    <t>தயிர் - 1 -1 1/4 கப்,
மஞ்சள் தூள் - ஒரு சிட்டிகை,
உப்பு தேவைக்கேற்ப,
வெள்ளை பூசணி - 1 ,
கேரட் - 1,
பீன்ஸ் - 6,
பச்சை வாழைப்பழம் - 1,
உருளைக்கிழங்கு - 1 ,
சௌ-சௌ - 1 கப் நறுக்கியது,
கத்தரிக்காய் - 1,
கொலோகாசியா - 2 ,
முருங்கைக்காய் - 1,
யாம் - 1/4 கப் நறுக்கியது,
கொத்தமல்லி - 6-7,
துருவிய தேங்காய் - 1/2 கப்,
பச்சை மிளகாய் - 4-5,
சீரகம் - 1 தேக்கரண்டி,
அரிசி மாவு - 1/2 தேக்கரண்டி,
தேங்காய் எண்ணெய் - 2 தேக்கரண்டி,
கறிவேப்பிலை.</t>
  </si>
  <si>
    <t xml:space="preserve">Pressure cook all the other vegetables with just enough water adding turmeric powder and salt required. Do not overcook.(1 whistle is enough). If there is water in the cooked vegetables, strain it and use it to grind the coconut mixture.
Then add the cooked pumpkin, plantain and colocasia to the pressure cooked vegetables after draining the water.
Mix the ground paste with curd well.
Mix the curd (with the ground paste of coconut +jeera+green chilli + rice flour) to the boiled vegetables, add salt needed and cook for 3-4 minutes on medium flame. Switch off the flame.
Heat 2 tsp of coconut oil, add curry leaves, saute for a second and pour it over the aviyal. Garnish with coriander leaves. Tasty South Indian (Tamil style) aviyal is ready to be served.
</t>
  </si>
  <si>
    <t>மற்ற அனைத்து காய்கறிகளையும் போதுமான அளவு தண்ணீரில் மஞ்சள் தூள் மற்றும் உப்பு சேர்த்து வேக வைக்கவும். அதிகமாக வேகவிடாதீர்கள். (1 விசில் போதும்). சமைத்த காய்கறிகளில் தண்ணீர் இருந்தால், அதை வடிகட்டி தேங்காய் கலவையை அரைக்க பயன்படுத்தவும்.
பின்னர் வேகவைத்த பூசணிக்காய், வாழைப்பழம் மற்றும் கோலோகாசியாவை தண்ணீரை வடித்து, அழுத்தி வேகவைத்த காய்கறிகளுடன் சேர்க்கவும்.
அரைத்த விழுதை தயிருடன் நன்கு கலக்கவும்.
தயிரை (தேங்காய் + சீரகம் + பச்சை மிளகாய் + அரிசி மாவு) வேகவைத்த காய்கறிகளுடன் கலந்து, தேவையான உப்பு சேர்த்து, மிதமான தீயில் 3-4 நிமிடங்கள் சமைக்கவும். தீயை அணைக்கவும்.
2 தேக்கரண்டி தேங்காய் எண்ணெயை சூடாக்கி, கறிவேப்பிலையைச் சேர்த்து, ஒரு நொடி வதக்கி, அவியலின் மேல் ஊற்றவும். கொத்தமல்லி இலைகளால் அலங்கரிக்கவும். சுவையான தென்னிந்திய (தமிழ் பாணி) அவியல் பரிமாற தயாராக உள்ளது.</t>
  </si>
  <si>
    <t>https://upload.wikimedia.org/wikipedia/commons/thumb/5/5c/Ayiyal.jpg/640px-Ayiyal.jpg</t>
  </si>
  <si>
    <t>Avani Avittam Special</t>
  </si>
  <si>
    <t xml:space="preserve">   Raw rice - 2 cups,
   mulu ulundu without skin – 1 cup,
   Fenugreek seeds - 1 tsp,
   Salt as needed,
   Idli steamer.
</t>
  </si>
  <si>
    <t>பச்சை அரிசி - 2 கப்,
தோல் நீக்கிய முழு உளுந்து - 1 கப்,
வெந்தய விதைகள் - 1 தேக்கரண்டி,
தேவைக்கேற்ப உப்பு,
இட்லி நீராவி.</t>
  </si>
  <si>
    <t>பச்சை அரிசியைக் கழுவி 5-6 மணி நேரம் வெந்நீரில் ஊற வைக்கவும்.
உரத்த பருப்பை வெந்தயத்துடன் 4-5 மணி நேரம் ஊற வைக்கவும்.
தண்ணீரை வடித்து, பின்னர் உளுத்த பருப்பை வெந்தய விதைகளுடன் அவ்வப்போது சிறிது தண்ணீர் சேர்த்து மென்மையாகவும் பஞ்சுபோன்றும் அரைக்கவும். கிரைண்டரிலிருந்து அகற்றவும். நான் தனிப்பட்ட முறையில் இட்லி மாவை அரைக்க ஈரமான கிரைண்டரை விரும்புகிறேன், ஆனால் நீங்கள் மிக்சியைப் பயன்படுத்தியும் அரைக்கலாம்.
தண்ணீரை வடிகட்டி, அவ்வப்போது சிறிது தண்ணீர் சேர்த்து அரிசியை கரடுமுரடான மாவாக அரைக்கவும். பின்னர் உளுத்த பருப்பு மாவு மற்றும் அரிசி மாவை ஒன்றாக கலக்கவும். தேவையான அளவு உப்பு சேர்த்து உங்கள் கைகளால் நன்றாக கலக்கவும்.
10-14 மணி நேரம் புளிக்க விடவும். இப்போது எங்கள் புளித்த இட்லி மாவு தயாராக உள்ளது.
இட்லி அச்சுகளில் எண்ணெய் தடவி, ஒரு கரண்டி மாவை அச்சுகளில் ஊற்றவும். 15 நிமிடங்கள் அல்லது வேகும் வரை ஆவியில் வேக வைக்கவும்.
வெந்தவுடன், இட்லிகளை அச்சுகளிலிருந்து அகற்றி, சட்னி அல்லது சாம்பாருடன் சூடாகப் பரிமாறவும்.</t>
  </si>
  <si>
    <t>https://encrypted-tbn0.gstatic.com/images?q=tbn:ANd9GcRhZDl5tUqyq736UvFyDvak3wQ98yNCMgAhdQ&amp;s</t>
  </si>
  <si>
    <t xml:space="preserve">   Whole Urad dal without skin – 1/2 cup,
   Fried gram - 1 tsp,
   Raw rice - 1 tsp,
   Green chilli - 3,
   Arai keerai – 1/3 cup finely chopped,
   Salt to taste,
   Oil for deep frying.</t>
  </si>
  <si>
    <t>தோல் நீக்கிய முழு உளுத்தம் பருப்பு - 1/2 கப்,
வறுத்த பருப்பு - 1 தேக்கரண்டி,
பச்சரிசி - 1 தேக்கரண்டி,
பச்சை மிளகாய் - 3,
அரை கீரை - 1/3 கப் நன்றாக நறுக்கியது,
சுவைக்கேற்ப உப்பு,
ஆழமாக வறுக்க எண்ணெய்.</t>
  </si>
  <si>
    <t>Soak urad dal + chutney kadalai (dalia)+ rice together for 2 hours. After 1 hour, you can keep it in the refrigerator. Rice and dalia are added to give crispiness to the vada.
Clean and wash the greens. Drain the water, chop it finely and keep it ready. You can use arai keerai or siru keerai.I have used arai keerai for making this vada.
Drain the water completely from the dal and grind it either in a mixie or wet grinder adding green chillies and salt to a smooth paste. You should not add water while grinding. If needed just sprinkle water once or twice.
Dip your hand in water and take a small ball of batter. The batter should not stick to your hand. If it sticks, then grind for some more time.
If you drop a little batter in a cup of water, the batter should float and not dissolve.
Once the batter is ready, add the chopped keerai and mix well.
Take a plantain leaf or a Ziploc bag (if using plantain leaf, use the back side of the leaf), wipe it with a little water. Dip your fingers in water, take a small lemon sized ball of batter, flatten it with your hands keeping it on the banana leaf  and make a hole in the center.
Heat oil in a kadai (to check if the oil is hot enough, drop a little batter into the oil, if it comes to the surface immediately, the oil is hot enough to fry the vadas). Reduce the heat to medium. Then transfer the flattened batter to your hand from the leaf/ziploc bag and drop it into the hot oil carefully.
Once it is slightly cooked, flip it over to the other side and cook both sides until golden brown. 
Then remove the vada with a slotted ladle and place it in a colander or paper towel to remove excess oil, if any. You can fry 3-4 vadas at a time depending on the quantity of oil used.
Repeat the same process for the rest of the batter. Coconut Chutney is a great side dish for keerai vadai.
Enjoy hot keerai vadai with tea or coffee or even for breakfast along with idli and chutney.</t>
  </si>
  <si>
    <t>உளுத்தம் பருப்பு + சட்னி கடலை (தாலியா) + அரிசியை ஒன்றாக 2 மணி நேரம் ஊற வைக்கவும். 1 மணி நேரம் கழித்து, நீங்கள் அதை குளிர்சாதன பெட்டியில் வைக்கலாம். வடை மொறுமொறுப்பாக இருக்க அரிசி மற்றும் தாலியா சேர்க்கப்படும்.
கீரைகளை சுத்தம் செய்து கழுவவும். தண்ணீரை வடித்து, நன்றாக நறுக்கி தயாராக வைக்கவும். நீங்கள் அரை கீரை அல்லது சிறு கீரை பயன்படுத்தலாம். இந்த வடை செய்வதற்கு நான் அரை கீரையைப் பயன்படுத்தினேன்.
பருப்பிலிருந்து தண்ணீரை முழுவதுமாக வடிகட்டி, மிக்ஸியிலோ அல்லது ஈரமான கிரைண்டரிலோ பச்சை மிளகாய் மற்றும் உப்பு சேர்த்து மென்மையான பேஸ்டாக அரைக்கவும். அரைக்கும் போது தண்ணீர் சேர்க்கக்கூடாது. தேவைப்பட்டால் ஒன்று அல்லது இரண்டு முறை தண்ணீர் தெளிக்கவும்.
உங்கள் கையை தண்ணீரில் நனைத்து, ஒரு சிறிய மாவு உருண்டையை எடுத்துக் கொள்ளுங்கள். மாவு உங்கள் கையில் ஒட்டக்கூடாது. அது ஒட்டிக்கொண்டால், சிறிது நேரம் அரைக்கவும்.
ஒரு கப் தண்ணீரில் சிறிது மாவை போட்டால், மாவு மிதக்க வேண்டும், கரையக்கூடாது.
மாவு தயாரானதும், நறுக்கிய கீரையைச் சேர்த்து நன்கு கலக்கவும்.
ஒரு வாழை இலை அல்லது ஜிப்லாக் பையை (வாழை இலையைப் பயன்படுத்தினால், இலையின் பின்புறத்தைப் பயன்படுத்தவும்) எடுத்து, சிறிது தண்ணீரில் துடைக்கவும். உங்கள் விரல்களை தண்ணீரில் நனைத்து, ஒரு சிறிய எலுமிச்சை அளவு மாவு உருண்டையை எடுத்து, அதை உங்கள் கைகளால் வாழை இலையில் வைத்து தட்டையாக்கி, மையத்தில் ஒரு துளை செய்யுங்கள்.
ஒரு கடாயில் எண்ணெயை சூடாக்கவும் (எண்ணெய் போதுமான அளவு சூடாக இருக்கிறதா என்று சோதிக்க, சிறிது மாவை எண்ணெயில் விடுங்கள், அது உடனடியாக மேற்பரப்புக்கு வந்தால், எண்ணெய் வடைகளை வறுக்கும் அளவுக்கு சூடாக இருக்கும்). தீயை நடுத்தரமாகக் குறைக்கவும். பின்னர் இலை/ஜிப்லாக் பையில் இருந்து தட்டையான மாவை உங்கள் கைக்கு மாற்றி, கவனமாக சூடான எண்ணெயில் விடவும்.
சிறிது வெந்ததும், மறுபுறம் திருப்பிப் போட்டு, இருபுறமும் பொன்னிறமாகும் வரை சமைக்கவும்.
பின்னர், ஒரு துளையிட்ட கரண்டியால் வடையை எடுத்து, அதிகப்படியான எண்ணெய் இருந்தால் அதை அகற்ற ஒரு வடிகட்டி அல்லது காகிதத் துண்டில் வைக்கவும். பயன்படுத்தப்படும் எண்ணெயின் அளவைப் பொறுத்து ஒரே நேரத்தில் 3-4 வடைகளை வறுக்கலாம்.
மீதமுள்ள மாவுக்கும் இதே செயல்முறையை மீண்டும் செய்யவும். தேங்காய் சட்னி கீரை வடைக்கு ஒரு சிறந்த துணை உணவாகும்.
தேநீர் அல்லது காபியுடன் அல்லது காலை உணவாக இட்லி மற்றும் சட்னியுடன் கூட சூடான கீரை வடையை அனுபவிக்கவும்.</t>
  </si>
  <si>
    <t>https://encrypted-tbn0.gstatic.com/images?q=tbn:ANd9GcRiQf0AD2uK5kH9Th3b3HYXipRgF2Jr2jAsWw&amp;s</t>
  </si>
  <si>
    <t xml:space="preserve">    kadalai paruppu - 1 cup,
   Urad dal - 1 tbsp,
   Red chillies - 3,
   Green chillies - 2,
   Hing - 1/4 tsp,
   Ghee - 1 tsp,
   Cabbage finely chopped - 1 cup,
   Oil for deep frying,
   Salt needed.</t>
  </si>
  <si>
    <t>https://encrypted-tbn0.gstatic.com/images?q=tbn:ANd9GcT59d1knheMOXkPZIM8VbKZhfvIXFQmkFxm2Q&amp;s</t>
  </si>
  <si>
    <t xml:space="preserve">   kadalai paruppu – 3/4 cup,
   Tur dal – 1/4 cup,
   Green chillies – 2,
   Red chillies – 3,
   Hing – a generous pinch,
   Curry leaves – few tender ones ,
   Salt to taste.</t>
  </si>
  <si>
    <t>கடலை பருப்பு - 3/4 கப்,
துவரம் பருப்பு - 1/4 கப்,
பச்சை மிளகாய் - 2,
சிவப்பு மிளகாய் - 3,
ஹிங் - ஒரு சிட்டிகை,
கறிவேப்பிலை - சிறிது இளஞ்சூடானவை,
ருசிக்க உப்பு.</t>
  </si>
  <si>
    <t>https://encrypted-tbn0.gstatic.com/images?q=tbn:ANd9GcQvy0TUhC_Tj5lmDOgaMaSqZPiu7CN1EGLO6A&amp;s</t>
  </si>
  <si>
    <t>Milk – 4 cups ,
Basmati rice – 2 tbsp,
Ghee – 1 tsp,
Sugar – 1/4 cup,
Saffron – few strands,
Cardamom powder – generous pinch.</t>
  </si>
  <si>
    <t>Heat a tsp of ghee and fry the basmati rice for a few minutes. Do not over fry until it turns brown.
Then just dry grind it in the blender for a second or two.( not more than that) The rice should be just broken and not powdered coarsely or finely. See picture below.
Take a pressure cooker, grease the bottom with 1/2 tsp ghee. This is done to prevent the milk from getting burnt. Add 4 cups of boiled milk and ground rice to the boiled milk.
Put a small plate or a spoon or a small vessel to prevent the milk from boiling over and spilling. I dropped a small plate inside the milk.
Close the pressure cooker and keep the flame in low. Once steam starts coming, put the weight and keep it in very low flame. After the 1st whistle switch off. Open and see after the pressure subsides. If the milk has not thickened, boil for some more time in low flame.
After 30 minutes (total time), my payasam looked thick and creamy.
Now add sugar, mix well and boil for a few seconds until sugar dissolves. I added 1/4 cup of sugar as I do not like very sweet payasam. You can add sugar according to your taste.
Then add saffron, cardamom powder and mix well. Serve hot or cold. It’s delicious either cold or hot.</t>
  </si>
  <si>
    <t>ஒரு டீஸ்பூன் நெய்யை சூடாக்கி, பாஸ்மதி அரிசியை சில நிமிடங்கள் வறுக்கவும். அது பழுப்பு நிறமாக மாறும் வரை அதிகமாக வறுக்க வேண்டாம்.
பின்னர் அதை ஒரு வினாடி அல்லது இரண்டு வினாடிகள் உலர வைக்கவும். (அதற்கு மேல் இல்லை) அரிசியை உடைத்து, கரடுமுரடாகவோ அல்லது நன்றாகவோ பொடிக்கக்கூடாது. கீழே உள்ள படத்தைப் பார்க்கவும்.
ஒரு பிரஷர் குக்கரை எடுத்து, அடிப்பகுதியில் 1/2 டீஸ்பூன் நெய் தடவவும். பால் எரிவதைத் தடுக்க இது செய்யப்படுகிறது. கொதிக்கும் பாலில் 4 கப் வேகவைத்த பால் மற்றும் அரைத்த அரிசியைச் சேர்க்கவும்.
பால் கொதித்து சிந்தாமல் இருக்க ஒரு சிறிய தட்டு அல்லது ஒரு ஸ்பூன் அல்லது ஒரு சிறிய பாத்திரத்தை வைக்கவும். நான் ஒரு சிறிய தட்டை பாலுக்குள் போட்டேன்.
பிரஷர் குக்கரை மூடி, தீயை குறைவாக வைக்கவும். நீராவி வர ஆரம்பித்ததும், வெயிட்டை வைத்து மிகக் குறைந்த தீயில் வைக்கவும். முதல் விசில் வந்த பிறகு, சுவிட்சை ஆஃப் பண்ணுங்க. பிரஷர் குறைந்த பிறகு திறந்து பாருங்க. பால் கெட்டியாகவில்லை என்றால், குறைந்த தீயில் சிறிது நேரம் கொதிக்க விடவும்.
30 நிமிடங்களுக்குப் பிறகு (மொத்த நேரம்), என் பாயசம் கெட்டியாகவும் கிரீமியாகவும் இருந்தது.
இப்போது சர்க்கரையைச் சேர்த்து, நன்றாகக் கலந்து, சர்க்கரை கரையும் வரை சில நொடிகள் கொதிக்க விடவும். எனக்கு மிகவும் இனிமையான பாயசம் பிடிக்காததால், 1/4 கப் சர்க்கரை சேர்த்தேன். உங்கள் ரசனைக்கேற்ப சர்க்கரை சேர்க்கலாம்.
பிறகு குங்குமப்பூ, ஏலக்காய் தூள் சேர்த்து நன்றாக கலக்கவும். சூடாகவோ அல்லது குளிராகவோ பரிமாறவும். இது குளிர்ந்தாலோ அல்லது சூடாகவோ சுவையாக இருக்கும்.</t>
  </si>
  <si>
    <t>Whole urad dal – 1 cup,
Green chilies – 2,
Raw rice – 1 tsp,
Fried gram - 1/2 tsp,
Salt - 1 tsp ,
Plastic sheet,
Oil for deep frying.</t>
  </si>
  <si>
    <t>முழு உளுத்தம் பருப்பு - 1 கப்,
பச்சை மிளகாய் - 2,
பச்சை அரிசி - 1 தேக்கரண்டி,
பொரித்த பருப்பு - 1/2 தேக்கரண்டி,
உப்பு - 1 தேக்கரண்டி,
பிளாஸ்டிக் தாள்,
வறுக்க எண்ணெய்.</t>
  </si>
  <si>
    <t>அடிப்படையில் ஆழமான கடாயில் எண்ணெயை சூடாக்கவும். எண்ணெய் சூடாக்கியவுடன், தீயை நடுத்தரமாகக் குறைக்கவும். எண்ணெய் சூடாக இருக்கிறதா என்று சோதிக்க, சிறிது மாவை விடவும், அது உடனடியாக மேற்பரப்புக்கு வந்தால், எண்ணெய் வடைகளை வறுக்கும் அளவுக்கு சூடாக இருக்கும்.
இப்போது ஒரு கிண்ணத்தில் தண்ணீர் எடுத்து, உங்கள் விரல்களை நனைத்து, எலுமிச்சை அளவு வடை மாவை எடுத்து, ஒரு பிளாஸ்டிக் தாளில் அல்லது வாழை இலையின் பின்புறத்தில் சிறிது தட்டையாக்குங்கள். நடுவில் ஒரு துளை செய்து, வடிவ மாவை மெதுவாக உங்கள் கைகளுக்கு மாற்றி, சூடான எண்ணெயில் மெதுவாக வைக்கவும். (இதைச் செய்யும்போது மிகவும் கவனமாக இருங்கள்)
இருபுறமும் தங்க பழுப்பு நிறமாக மாறும் வரை வறுக்கவும். எண்ணெயிலிருந்து அதை அகற்றி, அதிகப்படியான எண்ணெயை வடிகட்ட ஒரு வடிகட்டி அல்லது காகித துண்டு மீது வைக்கவும்.
மீதமுள்ள மாவிற்கும் இதே செயல்முறையை மீண்டும் செய்யவும். உங்கள் கடாய் அளவு மற்றும் பயன்படுத்தப்படும் எண்ணெயின் அளவைப் பொறுத்து ஒரு நேரத்தில் 3-4 வடைகளை வறுக்கலாம்.</t>
  </si>
  <si>
    <t>https://www.indianfoodforever.com/iffwd/wp-content/uploads/vada-recipe.jpg</t>
  </si>
  <si>
    <t>Diwali Special</t>
  </si>
  <si>
    <t xml:space="preserve">   Milkmaid – 200 gms,
   Milk powder  – 1 tbsp heaped,
   Paneer – 200 grams,
   Cardamom powder – 1/4 tsp,
   Pistachio – 2 tbsp.</t>
  </si>
  <si>
    <t>மில்க்மெய்ட் - 200 கிராம்,
பால் பவுடர் - 1 டேபிள் ஸ்பூன் குவித்து,
பனீர் - 200 கிராம்,
ஏலக்காய் பொடி - 1/4 டேபிள் ஸ்பூன்,
பிஸ்தா பொடி - 2 டேபிள் ஸ்பூன்.</t>
  </si>
  <si>
    <t xml:space="preserve">Grease a plate with few drops of ghee or you can use a baking tin lined with parchment paper.
Squeeze out water from the paneer if any. Grate or crumble paneer. You can use the mixie to crumble paneer using the whipper button just for a second.
In a pan (preferably non stick), mix together paneer, sweetened condensed milk/milkmaid and milk powder.
Mix everything well and then switch on the heat. Mash well and cook on low heat.
The mixture will start thickening. Add cardamom powder and mix well.
Cook further until the mixture leaves the sides of the pan.
Remove from heat and transfer the mixture into the greased tray or plate. Spread it evenly to 1 inch thickness and press it well.
Smoothen the top and decorate it with chopped pistachios. (I removed the skin of pistachios by soaking it in hot water for 10 minutes. Then chopped it finely and garnished it.)
</t>
  </si>
  <si>
    <t>ஒரு தட்டில் சில துளிகள் நெய் தடவவும் அல்லது பேக்கிங் பேப்பர் பூசப்பட்ட பேக்கிங் டின்னைப் பயன்படுத்தலாம்.
பனீரிலிருந்து ஏதேனும் இருந்தால் தண்ணீரை பிழிந்து எடுக்கவும். பனீர் துருவவும் அல்லது நொறுக்கவும். விப்பர் பட்டனைப் பயன்படுத்தி மிக்ஸியைப் பயன்படுத்தி பனீர் நொறுக்கலாம்.
ஒரு பாத்திரத்தில் (முன்னுரிமை குச்சி அல்லாதது), பனீர், இனிப்பு கலந்த கன்டென்ஸ்டு மில்க்/மில்க்மெய்ட் மற்றும் பால் பவுடர் ஆகியவற்றை ஒன்றாக கலக்கவும்.
எல்லாவற்றையும் நன்றாகக் கலந்து, பின்னர் தீயை இயக்கவும். நன்றாக மசித்து, குறைந்த தீயில் சமைக்கவும்.
கலவை கெட்டியாகத் தொடங்கும். ஏலக்காய் பொடியைச் சேர்த்து நன்கு கலக்கவும்.
கலவை பாத்திரத்தின் பக்கங்களை விட்டு வெளியேறும் வரை மேலும் சமைக்கவும்.
அடுப்பிலிருந்து இறக்கி, நெய் தடவிய தட்டு அல்லது தட்டில் கலவையை மாற்றவும். 1 அங்குல தடிமனுக்கு சமமாக பரப்பி நன்றாக அழுத்தவும்.
மேற்புறத்தை மென்மையாக்கி, நறுக்கிய பிஸ்தாக்களால் அலங்கரிக்கவும். (பிஸ்தாவின் தோலை 10 நிமிடங்கள் வெந்நீரில் ஊற வைத்து நீக்கினேன். பின்னர் அதை நன்றாக நறுக்கி அலங்கரிக்கவும்.)</t>
  </si>
  <si>
    <t>https://static.toiimg.com/thumb/59424135.cms?imgsize=85001&amp;width=800&amp;height=800</t>
  </si>
  <si>
    <t xml:space="preserve">
பாசுந்தி</t>
  </si>
  <si>
    <t>As the milk cooks, you will find a layer of cream/malai (palada) forming at the top. Collect the cream in a bowl. Once you collect the cream, stir the milk. Then again after few minutes, a layer of cream forms on the surface/top of the milk.
Keep collecting the cream (palada) until the milk reduces to half its original quantity. I have collected all the cream in a small bowl as you can see in the picture (right) below.
After the milk reduces to half, add sugar and stir for the sugar to dissolve. Add cardamom powder, edible camphor and the saffron soaked milk and turn off the heat. Let the milk cool completely.
Once the milk is completely cool, add the collected malai/palada back into the milk. Scrap the cream stuck on the sides of the pan and put it back into the milk.
Garnish with finely chopped pistachios. Refrigerate and serve chilled. 
It is the cream which gives texture to the basundi. The flavor and texture of the basundi is simply mind blowing. Yes, it does take time to make basundi but it is worth the effort.
Do make this for Diwali and impress your loved ones.</t>
  </si>
  <si>
    <t>பால் கொதிக்கும் போது, ​​மேலே கிரீம்/மலாய் (பலாடா) ஒரு அடுக்கு உருவாகும். ஒரு கிண்ணத்தில் கிரீம் சேகரிக்கவும். நீங்கள் கிரீம் சேகரித்தவுடன், பாலை கிளறவும். பின்னர் சில நிமிடங்களுக்குப் பிறகு, பாலின் மேற்பரப்பில்/மேல் கிரீம் ஒரு அடுக்கு உருவாகும்.
பால் அதன் அசல் அளவு பாதியாகக் குறையும் வரை கிரீம் (பலாடா) ஒரு அடுக்கு தொடர்ந்து சேகரிக்கவும். கீழே உள்ள படத்தில் (வலது) நீங்கள் காணக்கூடியது போல, ஒரு சிறிய கிண்ணத்தில் அனைத்து கிரீமையும் சேகரித்துள்ளேன்.
பால் பாதியாகக் குறைந்த பிறகு, சர்க்கரையைச் சேர்த்து சர்க்கரை கரையும் வரை கிளறவும். ஏலக்காய் தூள், உண்ணக்கூடிய கற்பூரம் மற்றும் குங்குமப்பூ ஊறவைத்த பால் சேர்த்து வெப்பத்தை அணைக்கவும். பாலை முழுமையாக ஆற விடவும்.
பால் முழுவதுமாக குளிர்ந்ததும், சேகரிக்கப்பட்ட மலாய்/பலாடாவை மீண்டும் பாலில் சேர்க்கவும். பாத்திரத்தின் ஓரங்களில் ஒட்டியிருக்கும் க்ரீமைத் துடைத்து மீண்டும் பாலில் போடவும்.
இறுதியாக நறுக்கிய பிஸ்தாக்களால் அலங்கரித்து குளிர்சாதன பெட்டியில் வைத்து குளிர்வித்து பரிமாறவும்.
பாசுந்திக்கு க்ரீம் தான் க்ரீம். பாசுந்தியின் சுவை மற்றும் அமைப்பு வெறுமனே மனதைக் கவரும். ஆம், பாசுந்தி செய்ய நேரம் எடுக்கும், ஆனால் அது முயற்சிக்கு மதிப்புள்ளது.
தீபாவளிக்கு இதைச் செய்து உங்கள் அன்புக்குரியவர்களை ஈர்க்கவும்.</t>
  </si>
  <si>
    <t>https://encrypted-tbn0.gstatic.com/images?q=tbn:ANd9GcRgZvsqc_VpVrKLzZgHElTY8DcRAdo2AMOkKw&amp;s</t>
  </si>
  <si>
    <t xml:space="preserve">   Gulab Jamun Mix – 1 cup,
   Sugar – 1 cup,
   Water – 1 cup,
   Lemon juice – 4 drops,
   Cardamom powder – 1/8 tsp,
   Saffron – 5-6 strands,
   Oil for frying jamuns,
   Dry coconut powder – 1/4 cup,
   Powdered sugar – 2 tsp,
   Pistachio – 1 tbsp chopped.</t>
  </si>
  <si>
    <t>Heat oil (to know if the oil is hot, just drop a piece of dough into the oil, if it raises to the surface immediately, the oil is hot). Now reduce the heat to low and drop 3-4 balls depending on the amount of oil used.
After the first few seconds, keep stirring gently so that it cooks well and gets an even color all over.
Once the color changes to brown, remove the gulab jamuns from oil with a slotted ladle and drop it into the warm sugar syrup. Note – the sugar syrup should be warm and not hot or cold.
The gulab jamuns should soak fully in the sugar syrup. Let it remain in sugar syrup for 30 minutes.</t>
  </si>
  <si>
    <t>எண்ணெய்யை சூடாக்கவும் (எண்ணெய் சூடாக இருக்கிறதா என்று அறிய, ஒரு துண்டு மாவை எண்ணெயில் விடவும், அது உடனடியாக மேல்நோக்கி உயர்ந்தால், எண்ணெய் சூடாக இருக்கும்). இப்போது தீயை குறைத்து, பயன்படுத்தப்படும் எண்ணெயின் அளவைப் பொறுத்து 3-4 பந்துகளை விடுங்கள்.
முதல் சில வினாடிகளுக்குப் பிறகு, அது நன்றாக வேகும் வரை மெதுவாக கிளறிக்கொண்டே இருங்கள், இதனால் அது முழுவதும் சீரான நிறத்தைப் பெறும்.
நிறம் பழுப்பு நிறமாக மாறியதும், குலாப் ஜாமுன்களை ஒரு துளையிடப்பட்ட கரண்டியால் எண்ணெயிலிருந்து அகற்றி, சூடான சர்க்கரை பாகில் விடவும். குறிப்பு - சர்க்கரை பாகு சூடாகவோ அல்லது குளிராகவோ இருக்கக்கூடாது.
குலாப் ஜாமூன்கள் சர்க்கரை பாகில் முழுமையாக ஊற வேண்டும். சர்க்கரை பாகில் 30 நிமிடங்கள் அப்படியே இருக்கட்டும்.</t>
  </si>
  <si>
    <t xml:space="preserve">   Wheat flour – 3/4 cup,
   Cornflour – 1 tbsp,
   thick ghee – 1/4 cup,
   Powdered sugar – 1 tsp,
   Thick curd – 1 tbsp,
   Cooking soda – 1/8 tsp,
   Sugar – 1/2 cup,
   Water – 1/4 cup.</t>
  </si>
  <si>
    <t>In a wide bowl, mix together, wheat flour, cornflour and thick ghee or dalda.
Mix with your finger tips until the mixture becomes like bread crumbs in texture. Add powdered sugar to it and mix with your finger tips.
Wheat Balushahi
Beat together or mix vigorously curd and soda together with your fingers until foamy. Mix at least for 6-10 minutes.
Add the wheat flour mixture to the curd mixture and make a soft dough using very less water (a spoonful at a time). Knead it well and cover it. Let the dough rest for 30 minutes.
Mix sugar in 1/4 cup of warm water and stir to let the sugar dissolve to some extent. Then switch on the flame/heat and boil the sugar syrup, stirring until you get a sticky consistency. It is known as “pisuku padam” in Tamil. Switch off the syrup.
Now divide the dough equally and make small smooth balls from each piece. There should be no cracks. Then press it slightly and make a dent in the middle.
Heat oil, drop a small bit of dough into the oil, if it raises to the surface immediatly, the oil is hot.
Now reduce the heat to low and fry 3-4 badushas depending on the quantity of oil used. Do not disturb for the first few seconds. Then gently stir, flip it over and cook the badushas until golden brown on both sides.
Once it turns golden brown, remove it with a slotted ladle and drop it into the warm sugar syrup. (sugar syrup should not be very hot).
Let is remain soaked in sugar syrup for 15-20 minutes.
Then remove the badushas from the sugar syrup. Once the sugar syrup dries a little, decorate it with colored coconut or chopped nuts.</t>
  </si>
  <si>
    <t>ஒரு அகலமான கிண்ணத்தில், கோதுமை மாவு, சோள மாவு மற்றும் கெட்டியான நெய் அல்லது டால்டா ஆகியவற்றை ஒன்றாகக் கலக்கவும்.
கலவை ரொட்டித் துண்டுகள் போல மாறும் வரை உங்கள் விரல் நுனியில் கலக்கவும். அதில் பொடித்த சர்க்கரையைச் சேர்த்து உங்கள் விரல் நுனியில் கலக்கவும்.
கோதுமை பலுஷாஹி
ஒன்றாக அடிக்கவும் அல்லது தயிர் மற்றும் சோடாவை உங்கள் விரல்களால் நுரை வரும் வரை நன்கு கலக்கவும். குறைந்தது 6-10 நிமிடங்கள் கலக்கவும்.
கோதுமை மாவு கலவையை தயிர் கலவையில் சேர்த்து, மிகக் குறைந்த தண்ணீரைப் பயன்படுத்தி (ஒரு நேரத்தில் ஒரு ஸ்பூன்) மென்மையான மாவை உருவாக்கவும். அதை நன்றாகப் பிசைந்து மூடி வைக்கவும். மாவை 30 நிமிடங்கள் ஓய்வெடுக்க விடவும்.
1/4 கப் வெதுவெதுப்பான நீரில் சர்க்கரையை கலந்து, சர்க்கரை சிறிது கரையும் வரை கிளறவும். பின்னர் தீயை/சூடாக்கி, சர்க்கரை பாகை கொதிக்க வைத்து, ஒட்டும் தன்மை வரும் வரை கிளறவும். இது தமிழில் “பிசுக்கு பதம்” என்று அழைக்கப்படுகிறது. சிரப்பை அணைக்கவும்.
இப்போது மாவை சமமாகப் பிரித்து ஒவ்வொரு துண்டிலிருந்தும் சிறிய மென்மையான பந்துகளை உருவாக்கவும். எந்த விரிசல்களும் இருக்கக்கூடாது. பின்னர் அதை சிறிது அழுத்தி நடுவில் ஒரு பள்ளத்தை உருவாக்கவும்.
எண்ணெயை சூடாக்கி, சிறிது மாவை எண்ணெயில் விடவும், அது உடனடியாக மேற்பரப்புக்கு உயர்ந்தால், எண்ணெய் சூடாக இருக்கும்.
இப்போது தீயை குறைத்து, பயன்படுத்தப்படும் எண்ணெயின் அளவைப் பொறுத்து 3-4 பாதுஷாக்களை வறுக்கவும். முதல் சில வினாடிகள் தொந்தரவு செய்ய வேண்டாம். பின்னர் மெதுவாக கிளறி, அதை திருப்பி, பாதுஷாக்களை இருபுறமும் பொன்னிறமாகும் வரை சமைக்கவும்.
அது பொன்னிறமாக மாறியதும், ஒரு துளையிடப்பட்ட கரண்டியால் அதை அகற்றி, சூடான சர்க்கரை பாகைக்குள் விடவும். (சர்க்கரை பாகு மிகவும் சூடாக இருக்கக்கூடாது).
சர்க்கரை பாகில் 15-20 நிமிடங்கள் ஊற வைக்கவும்.
பின்னர் சர்க்கரை பாகில் இருந்து பாதுஷாக்களை அகற்றவும். சர்க்கரை பாகு சிறிது காய்ந்ததும், வண்ண தேங்காய் அல்லது நறுக்கிய கொட்டைகளால் அலங்கரிக்கவும்.</t>
  </si>
  <si>
    <t>https://encrypted-tbn0.gstatic.com/images?q=tbn:ANd9GcTNVGkPOs2rxQgR8FWGTOQvknxRiDbXFmFMkA&amp;s</t>
  </si>
  <si>
    <t>Reduce the heat and add fresh cream (you can use amul cream) and condensed milk (I used milkmaid) to the milk. Mix well and cook for another 2 minutes on low heat.
Add cardamom powder and saffron soaked milk. Leave it to cool.
easy bread rasmalai with milkmaid
Take 5-6 bread slices and using a cookie cutter or a lid or any cup, cut 2 round shapes (circle) from each slice. You will get 10-12 pieces.
Arrange all the bread pieces/rounds in a shallow bowl.
When the milk is completely cool, pour little milk on the bread pieces (just enough to soak the bread).
Then refrigerate the bread and the remaining milk separately for 30-40 minutes.
After 40 minutes, pour the remaining milk as needed on the bread pieces, garnish with chopped almonds, chopped pistachio and sprinkle a pinch of cardamom powder (you can set aside just little milk to add at the time of serving).
Refrigerate for another 3 hours and serve chilled. Enjoy!!</t>
  </si>
  <si>
    <t>தீயைக் குறைத்து, பாலில் புதிய கிரீம் (நீங்கள் அமுல் கிரீம் பயன்படுத்தலாம்) மற்றும் கண்டன்ஸ்டு மில்க் (நான் மில்க்மெய்டைப் பயன்படுத்தினேன்) சேர்க்கவும். நன்கு கலந்து, குறைந்த வெப்பத்தில் மேலும் 2 நிமிடங்கள் சமைக்கவும்.
ஏலக்காய் தூள் மற்றும் குங்குமப்பூ ஊறவைத்த பால் சேர்க்கவும். அதை குளிர்விக்க விடவும்.
மில்க்மெய்டுடன் எளிதான ரொட்டி ரஸ்மலாய்
5-6 ரொட்டி துண்டுகளை எடுத்து, குக்கீ கட்டர் அல்லது ஒரு மூடி அல்லது எந்த கோப்பையையும் பயன்படுத்தி, ஒவ்வொரு துண்டுகளிலிருந்தும் 2 வட்ட வடிவங்களை (வட்டம்) வெட்டுங்கள். உங்களுக்கு 10-12 துண்டுகள் கிடைக்கும்.
அனைத்து ரொட்டி துண்டுகளையும்/சுற்றுகளாக ஒரு ஆழமற்ற கிண்ணத்தில் அடுக்கி வைக்கவும்.
பால் முழுவதுமாக குளிர்ந்ததும், ரொட்டித் துண்டுகளின் மீது சிறிது பால் ஊற்றவும் (ரொட்டியை ஊற வைக்கும் அளவுக்கு).
பின்னர் ரொட்டியையும் மீதமுள்ள பாலையும் தனித்தனியாக 30-40 நிமிடங்கள் குளிர்சாதன பெட்டியில் வைக்கவும்.
40 நிமிடங்களுக்குப் பிறகு, மீதமுள்ள பாலை ரொட்டித் துண்டுகளின் மீது தேவைக்கேற்ப ஊற்றி, நறுக்கிய பாதாம், நறுக்கிய பிஸ்தா பருப்புகளால் அலங்கரித்து, ஒரு சிட்டிகை ஏலக்காய்த் தூள் தூவவும் (பரிமாறும் போது சிறிது பால் மட்டும் சேர்த்துக்கொள்ளலாம்).
குளிர்சாதன பெட்டியில் மேலும் 3 மணி நேரம் குளிர்சாதன பெட்டியில் வைத்து, குளிர்ந்து பரிமாறவும். மகிழுங்கள்!!</t>
  </si>
  <si>
    <t xml:space="preserve">   Grated Ash gourd – 1 cup ,
   Sugar – 1/2 cup,
   Lemon juice – 3 drops,
   Ghee – 2 tbsp,
   Saffron – 6-7 strands,
   Cardamom – 3-4 pods,
   Cashew nuts – 5-6.</t>
  </si>
  <si>
    <t>துருவிய சாம்பல் பூசணி - 1 கப்,
சர்க்கரை - 1/2 கப்,
எலுமிச்சை சாறு - 3 சொட்டுகள்,
நெய் - 2 டீஸ்பூன்,
குங்குமப்பூ - 6-7 தண்டுகள்,
ஏலக்காய் - 3-4 காய்கள்,
முந்திரி பருப்பு - 5-6.</t>
  </si>
  <si>
    <t>ஒரு டீஸ்பூன் வெந்நீரில் குங்குமப்பூ இழைகளை ஊறவைத்து சிறிது நசுக்கவும். ஏலக்காய் காய்களை உரித்து ஏலக்காயை பொடி செய்யவும்.
தோலை உரித்து, விதைகளை நீக்கி, வெள்ளை பூசணிக்காய் (வெள்ளை பூசணிக்காய்) துருவவும்.
மென்மையான பருத்தி துணியைப் பயன்படுத்தி துருவிய சாம்பல் பூசணிக்காயிலிருந்து தண்ணீரை பிழிந்து எடுக்கவும். (எனக்கு 1 கப் பிழிந்த சாம்பல் பூசணிக்காய் கிடைத்தது). தண்ணீரை வடிக்கவும் அல்லது மோர் தயாரிக்கவும் பயன்படுத்தவும்.
ஒரு பாத்திரத்தில் ஒரு டீஸ்பூன் நெய்யை சூடாக்கி, முந்திரி பருப்புகளை பொன்னிறமாகும் வரை வறுக்கவும். வாணலியில் இருந்து எடுக்கவும்.
அதே பாத்திரத்தில், மேலும் 2 டீஸ்பூன் நெய் சேர்த்து, துருவிய சாம்பல் பூசணிக்காயை வதக்கி, குறைந்த வெப்பத்தில் அது வெளிர் மஞ்சள் நிறமாக மாறி காய்கறி மென்மையாகும் வரை தொடர்ந்து கிளறவும்.
காய்கறி நன்கு வெந்தவுடன் (ருசித்துப் பார்த்தும் பார்க்கலாம்), குங்குமப்பூ, சர்க்கரை மற்றும் எலுமிச்சை சாறு சேர்க்கவும்.
சர்க்கரை சேர்த்தவுடன், கலவை நீர்த்துப்போகும். குறைந்த தீயில் சில நிமிடங்கள் சமைக்கவும்.
பின்னர் மீதமுள்ள நெய்யைச் சேர்த்து, ஹல்வா கெட்டியாகி வாணலியின் ஓரங்களில் இருந்து வெளியேறத் தொடங்கும் வரை தொடர்ந்து சமைக்கவும்.
ஏலக்காய்த் தூள், முந்திரி பருப்புகளைச் சேர்த்து நன்கு கலக்கவும்.
காசி ஹல்வா தயார். தீபாவளிக்கு இந்த எளிதான ஹல்வாவைச் செய்து மகிழுங்கள்.</t>
  </si>
  <si>
    <t>https://encrypted-tbn0.gstatic.com/images?q=tbn:ANd9GcRYFbJkSC9oj0LM6-qDIkkS-GfTHACuLweBFA&amp;s</t>
  </si>
  <si>
    <t xml:space="preserve">    Pasi paruppu – 1/2 cup,
   Wheat flour – 1/4 cup,
   Ghee – 4 tbsp,
   Sugar – 1 1/2 cup,
   Cardamom powder – 1/4 tsp,
   Any food color – a pinch,
   Cashew nuts – 6-7.
</t>
  </si>
  <si>
    <t>பசி பருப்பு - 1/2 கப்,
கோதுமை மாவு - 1/4 கப்,
நெய் - 4 டேபிள்ஸ்பூன்,
சர்க்கரை - 1 1/2 கப்,
ஏலக்காய் தூள் - 1/4 டேபிள்ஸ்பூன்,
ஏலக்காய் தூள் - 1/4 டேபிள்ஸ்பூன்,
ஏலக்காய் தூள் - ஏதேனும் ஏதேனும் உணவு நிறம் - ஒரு சிட்டிகை,
முந்திரி பருப்பு - 6-7.</t>
  </si>
  <si>
    <t>Dry roast moong dal until you get a light aroma of roasted dal. Do not over roast it. You do not have to brown the dal.
Add 1 1/2 cup of water and pressure cook until soft and mushy. Mash it well. You can also blend it in the mixie/blender (once it cools a little) if the dal is not cooked to a mush.
Heat 1 1/2 tbsp of ghee and roast cashew nuts until golden brown. Remove from pan.
In the same pan, fry the wheat flour on low heat until it turns light brown and you get the aroma of roasted wheat flour.
Once the raw smell of the wheat flour goes, add the cooked and mashed (or blended) moong dal.
Add sugar, mash everything well and cook on medium low heat. Once you add sugar, the mixture will become watery.
Add a tbsp of ghee and continue to cook, stirring continuously.  Add another tbsp of ghee after a few minutes of cooking.
Add food color or kesari powder and mix well.
Once it starts thickening, add the rest of the ghee, cardamom powder and cashew nuts.
Cook stirring continuously until the halwa starts to leave the sides of the pan. Tips -The halwa should not stick to your hands once it is done.
Ashoka halwa is ready.
Enjoy making this easy and delicious Ashoka halwa for Diwali.</t>
  </si>
  <si>
    <t>பருப்பு பருப்பின் லேசான வாசனை வரும் வரை பாசிப்பருப்பை உலர வறுக்கவும். அதிகமாக வறுக்க வேண்டாம். பருப்பை பழுப்பு நிறமாக்க தேவையில்லை.
1 1/2 கப் தண்ணீர் சேர்த்து மென்மையாகவும், மிக்ஸியாகவும் ஆகும் வரை பிரஷர் சமைக்கவும். நன்றாக மசிக்கவும். பருப்பு நன்றாக வேகவில்லை என்றால், மிக்ஸி/பிளெண்டரில் (சிறிது ஆறியதும்) கலக்கலாம்.
1 1/2 டேபிள்ஸ்பூன் நெய்யை சூடாக்கி, முந்திரி பருப்புகளை பொன்னிறமாகும் வரை வறுக்கவும். வாணலியிலிருந்து எடுக்கவும்.
அதே பேனில், கோதுமை மாவை குறைந்த வெப்பத்தில் லேசான பழுப்பு நிறமாக மாறும் வரை வறுக்கவும், வறுத்த கோதுமை மாவின் வாசனை வரும் வரை வறுக்கவும்.
கோதுமை மாவின் பச்சை வாசனை போனதும், சமைத்த மற்றும் மசித்த (அல்லது கலந்த) பாசிப்பருப்பைச் சேர்க்கவும்.
சர்க்கரையைச் சேர்த்து, எல்லாவற்றையும் நன்றாக மசித்து, மிதமான தீயில் சமைக்கவும். சர்க்கரையைச் சேர்த்தவுடன், கலவை நீர்த்துப்போகும்.
ஒரு டீஸ்பூன் நெய்யைச் சேர்த்து, தொடர்ந்து கிளறிக்கொண்டே சமைக்கவும். சமைத்த சில நிமிடங்களுக்குப் பிறகு மற்றொரு டீஸ்பூன் நெய்யைச் சேர்க்கவும்.
உணவு வண்ணம் அல்லது கேசரி பொடியைச் சேர்த்து நன்கு கலக்கவும்.
கெட்டியாக ஆரம்பித்ததும், மீதமுள்ள நெய், ஏலக்காய் பொடி மற்றும் முந்திரி பருப்புகளைச் சேர்க்கவும்.
ஹல்வா வாணலியின் ஓரங்களை விட்டு வெளியேறத் தொடங்கும் வரை தொடர்ந்து கிளறவும். குறிப்புகள் - ஹல்வா தயாரானதும் உங்கள் கைகளில் ஒட்டக்கூடாது.
அசோகா ஹல்வா தயார்.
தீபாவளிக்கு இந்த எளிதான மற்றும் சுவையான அசோகா ஹல்வாவைச் செய்து மகிழுங்கள்.</t>
  </si>
  <si>
    <t>https://encrypted-tbn0.gstatic.com/images?q=tbn:ANd9GcRh3hHjkwDKinrVprtwLoIuojVz4gHs6edJ7g&amp;s</t>
  </si>
  <si>
    <t>எளிதான நான்கட்டை</t>
  </si>
  <si>
    <t xml:space="preserve">   All purpose flour/maida – 200 grams,
    semolina – 50 grams,
   Gram flour – 50 grams,
   Cardamom powder – 5-6 pods powdered,
   Baking powder – 1 tsp,
   White sugar – 170 grams,
   Ghee – 200 grams,
   Pistachio – 10.</t>
  </si>
  <si>
    <t>அனைத்து உபயோக மாவு/மைதா - 200 கிராம்,
ரவை - 50 கிராம்,
கடலை மாவு - 50 கிராம்,
ஏலக்காய் தூள் - 5-6 காய்கள் பொடித்தது,
பேக்கிங் பவுடர் - 1 டீஸ்பூன்,
வெள்ளை சர்க்கரை - 170 கிராம்,
நெய் - 200 கிராம்,
பிஸ்தா - 10.</t>
  </si>
  <si>
    <t>Before baking, it is always necessary to pre-heat the oven. Pre-heat the oven at 180 degree C for 10 minutes.
Grease a baking tray with ghee or line it with parchment paper.
Powder the sugar finely and keep it aside.
Sliver pistachio and keep it aside.
If you cannot get fine semolina, grind the regular semolina/ rava just for a second in the blender.
In a bowl, mix together ghee and powdered sugar. Ghee should be semi solid. (I used readymade 200 ml packet ghee).
Beat ghee and sugar together until it becomes light and smooth. (I mixed it vigorously with the ladle for 5-6 minutes).
In another bowl, mix together maida, gram flour, semolina, cardamom powder and baking powder.
Mix well.
Add the flour to the ghee + sugar mixture and mix until combined to form a smooth dough. Don’t over knead the dough.
Make small gooseberry sized smooth balls without cracks from the mixture. Press the ball slightly to flatten it.
Arrange it on the greased baking tray leaving enough space between the cookies as nankhatai tend to expand while baking.
Gently place a slivered pistashio in the center of each cookie.
Keep the baking tray with the unbaked cookies in the refrigerator for 10 minutes. This is done to retain the shape of the cookies.
Bake in a pre-heated oven at 200 degree C for 12 -15 minutes or until the bottom starts browning.
Remove the tray from the oven and transfer the cookies on a wire rack to cool completely.
Once taken out from the oven, the cookies will be very soft but will harden as it cools.</t>
  </si>
  <si>
    <t>பேக்கிங் செய்வதற்கு முன், அடுப்பை எப்போதும் முன்கூட்டியே சூடாக்குவது அவசியம். அடுப்பை 180 டிகிரி செல்சியஸில் 10 நிமிடங்கள் சூடாக்கவும்.
பேக்கிங் தட்டில் நெய் தடவவும் அல்லது காகிதத்தோல் கொண்டு வரிசைப்படுத்தவும்.
சர்க்கரையை நன்றாகப் பொடி செய்து ஒதுக்கி வைக்கவும்.
பிஸ்தா துண்டுகளை நறுக்கி ஒதுக்கி வைக்கவும்.
நன்றாக ரவை கிடைக்கவில்லை என்றால், வழக்கமான ரவை/ரவாவை பிளெண்டரில் ஒரு நொடி அரைக்கவும்.
ஒரு கிண்ணத்தில், நெய் மற்றும் தூள் சர்க்கரையை ஒன்றாக கலக்கவும். நெய் அரை திடமாக இருக்க வேண்டும். (நான் ரெடிமேட் 200 மில்லி பாக்கெட் நெய்யைப் பயன்படுத்தினேன்).
நெய் மற்றும் சர்க்கரையை லேசாகவும் மென்மையாகவும் ஆகும் வரை ஒன்றாக அடிக்கவும். (நான் அதை கரண்டியுடன் 5-6 நிமிடங்கள் நன்றாக கலக்கினேன்).
மற்றொரு கிண்ணத்தில், மைதா, கடலை மாவு, ரவை, ஏலக்காய் தூள் மற்றும் பேக்கிங் பவுடர் ஆகியவற்றை ஒன்றாக கலக்கவும்.
நன்றாக கலக்கவும்.
நெய் + சர்க்கரை கலவையுடன் மாவைச் சேர்த்து, மென்மையான மாவை உருவாக்கும் வரை கலக்கவும். மாவை அதிகமாகப் பிசைய வேண்டாம்.
கலவையில் விரிசல்கள் இல்லாமல் சிறிய நெல்லிக்காய் அளவிலான மென்மையான பந்துகளை உருவாக்கவும். பந்தை தட்டையாக்க சிறிது அழுத்தவும்.
குக்கீகளை பேக்கிங் செய்யும் போது நான்கடை விரிவடையும் என்பதால், குக்கீகளுக்கு இடையில் போதுமான இடைவெளி விட்டு, நெய் தடவிய பேக்கிங் தட்டில் வைக்கவும்.
ஒவ்வொரு குக்கீயின் மையத்திலும் மெதுவாக ஒரு துண்டு பிஸ்தாவை வைக்கவும்.
சுடாத குக்கீகளுடன் பேக்கிங் தட்டையும் 10 நிமிடங்கள் குளிர்சாதன பெட்டியில் வைக்கவும். இது குக்கீகளின் வடிவத்தைத் தக்கவைக்க செய்யப்படுகிறது.
200 டிகிரி செல்சியஸில் முன்கூட்டியே சூடாக்கப்பட்ட அடுப்பில் 12 -15 நிமிடங்கள் அல்லது அடிப்பகுதி பழுப்பு நிறமாகத் தொடங்கும் வரை சுடவும்.
அடுப்பிலிருந்து தட்டை எடுத்து, குக்கீகளை ஒரு கம்பி ரேக்கில் வைத்து முழுமையாக குளிர்விக்க வைக்கவும்.
அடுப்பிலிருந்து வெளியே எடுத்தவுடன், குக்கீகள் மிகவும் மென்மையாக இருக்கும், ஆனால் அது குளிர்ந்தவுடன் கெட்டியாகிவிடும்.</t>
  </si>
  <si>
    <t>https://encrypted-tbn0.gstatic.com/images?q=tbn:ANd9GcQkF-TrRPQuXf8xD3vhUIKgt5AZQ244fHhyEA&amp;s</t>
  </si>
  <si>
    <t xml:space="preserve">   Split yellow moong dal – 1/2 cup,
   Ghee/clarified butter – 6 tbsp,
   Sugar – 3/4 cup,
   Water – 1 1/2 cup,
   Cardamom powder – 1/4 tsp,
   Saffron – 4-5 strands,
   Pistachios – 6-7,
   Almonds – 5-6.</t>
  </si>
  <si>
    <t>மஞ்சள் நிறத்தில் பிரிக்கப்பட்ட பாசிப்பருப்பு - 1/2 கப்,
நெய்/தெளிவுபடுத்தப்பட்ட வெண்ணெய் - 6 டேபிள்ஸ்பூன்,
சர்க்கரை - 3/4 கப்,
தண்ணீர் - 1 1/2 கப்,
ஏலக்காய் தூள் - 1/4 டேபிள்ஸ்பூன்,
குங்குமப்பூ - 4-5 ரேட்டுகள்,
பிஸ்தா - 6-7,
பாதாம் - 5-6.</t>
  </si>
  <si>
    <t>Wash and soak split yellow moong dal for 3 hours.
Drain the water completely and grind it to a slightly coarse paste without water. If your blender does not budge, add just around 1 tbsp of water.
Heat 1 1/2 cups of water in a pan. Add sugar and stir. Once sugar dissolves, turn off the heat. You do not have to make any sugar syrup. Add cardamom powder and saffron strands to the sugar water. Keep it aside.
In a non stick pan, warm 5 tbsp of ghee, turn off the heat. Add the moong dal paste and mix well.
Then turn on the heat and cook the moong dal paste on medium heat stirring continuously.
Break lumps if any and cook the moong dal paste on medium low heat stirring continuously until it turn crumbly and light brown. It will take around 20 minutes. You need lot of patience for this as you have to keep stirring it all the time.
Then add the sugar water, mix well and cook covered stirring from time to time.
Once it thickens, add another tbsp of ghee and cook further on low heat, stirring in between.
Cook until it starts to leave the sides of the pan (right picture below).
Garnish with slivered almonds and pistashios. Serve warm.
Enjoy making delicious Moong dal halwa this Diwali.</t>
  </si>
  <si>
    <t>பாசிப்பருப்பை கழுவி 3 மணி நேரம் ஊற வைக்கவும்.
தண்ணீரை முழுவதுமாக வடிகட்டி, தண்ணீர் இல்லாமல் சிறிது கரடுமுரடான பேஸ்டாக அரைக்கவும். உங்கள் பிளெண்டர் அசையவில்லை என்றால், சுமார் 1 டேபிள்ஸ்பூன் தண்ணீரை சேர்க்கவும்.
ஒரு பாத்திரத்தில் 1 1/2 கப் தண்ணீரை சூடாக்கவும். சர்க்கரை சேர்த்து கிளறவும். சர்க்கரை கரைந்ததும், அடுப்பை அணைக்கவும். நீங்கள் சர்க்கரை பாகை தயாரிக்க வேண்டியதில்லை. சர்க்கரை நீரில் ஏலக்காய் தூள் மற்றும் குங்குமப்பூ ரேட்டுகளைச் சேர்க்கவும். அதை ஒதுக்கி வைக்கவும்.
ஒரு நான்ஸ்டிக் பாத்திரத்தில், 5 டேபிள்ஸ்பூன் நெய்யை சூடாக்கி, அடுப்பை அணைக்கவும். பாசிப்பருப்பு விழுதைச் சேர்த்து நன்கு கலக்கவும்.
பின்னர் தீயை அணைத்து பாசிப்பருப்பு விழுதை மிதமான தீயில் தொடர்ந்து கிளறிக்கொண்டே சமைக்கவும்.
ஏதேனும் கட்டிகள் இருந்தால் உடைத்து, பாசிப்பருப்பு விழுதை மிதமான தீயில் வைத்து, அது நொறுங்கி வெளிர் பழுப்பு நிறமாக மாறும் வரை தொடர்ந்து கிளறவும். இது சுமார் 20 நிமிடங்கள் எடுக்கும். நீங்கள் எப்போதும் கிளறிக்கொண்டே இருக்க வேண்டியிருப்பதால், இதற்கு உங்களுக்கு நிறைய பொறுமை தேவை.
பிறகு சர்க்கரை தண்ணீரைச் சேர்த்து, நன்கு கலந்து, அவ்வப்போது மூடி வைத்து கிளறி சமைக்கவும்.
அது கெட்டியானதும், மற்றொரு தேக்கரண்டி நெய்யைச் சேர்த்து, குறைந்த தீயில், இடையில் கிளறிக்கொண்டே சமைக்கவும்.
அது வாணலியின் ஓரங்களை விட்டு வெளியேறத் தொடங்கும் வரை சமைக்கவும் (கீழே வலது படம்).
துருவிய பாதாம் மற்றும் பிஸ்தா துண்டுகளால் அலங்கரிக்கவும். சூடாகப் பரிமாறவும்.
இந்த தீபாவளிக்கு சுவையான பாதாம் பருப்பு ஹல்வா செய்து மகிழுங்கள்.</t>
  </si>
  <si>
    <t>https://encrypted-tbn0.gstatic.com/images?q=tbn:ANd9GcR8TW1bJS1iU2cBgQFsyCbSfU1Z7SlAUw0wVw&amp;s</t>
  </si>
  <si>
    <t>Suiyam</t>
  </si>
  <si>
    <t>சூயம்</t>
  </si>
  <si>
    <t xml:space="preserve">   Urad dal – 1/2 cup,
   Raw rice – 1/4 cup,
   Coconut – 1 cup grated,
   Jaggery – 3/4 cup,
   Cardamom – 4 pods powdered,
   Ghee – 1 tsp,
   Salt – 1/8 tsp,
   Oil for deep frying.</t>
  </si>
  <si>
    <t>உளுத்தம் பருப்பு - 1/2 கப்,
பச்சரிசி - 1/4 கப்,
தேங்காய் - 1 கப் துருவியது,
வெல்லம் - 3/4 கப்,
ஏலக்காய் - 4 காய்கள் பொடித்தது,
நெய் - 1 டீஸ்பூன்,
உப்பு - 1/8 டீஸ்பூன்,
வறுக்க எண்ணெய்.</t>
  </si>
  <si>
    <t>Soak rice and dal for 3 hours. Grind it to a smooth paste with very less water. Add salt and mix well. The consistency of the batter should be thick and flowing, so that it will coat the coconut-jaggery balls well.
Now we will make the coconut jaggery filling. You can prepare this the previous day and refrigerate it.
In a kadai or any heavy bottomed vessel, add grated jaggery and 2 tbsp of water.
Heat and stir, for the jaggery to dissolve. Then filter it to remove any impurities.
Now boil the filtered jaggery water until it thickens. (if you add a tsp of jaggery syrup in a cup of water, the syrup should not dissolve in water). At this stage, add a tsp of ghee and grated coconut.
Cook on medium heat stirring continuously until the coconut mixture thickens.
Add cardamom powder and mix well. As the mixture cools, it will thicken further. You should be able to make balls out of the mixture after it cools. If you cannot make balls, you have to cook for few more minutes.
Once the coconut jaggery mixture cools, divide it equally and form balls from it.
Now the batter and the coconut jaggery balls are ready.
Heat oil in a kadai, when the oil is hot, reduce the heat to medium. (to check if the oil is hot, drop a little batter into the oil, if it raises to the surface immediately, the oil is ready for frying).
Coat the coconut jaggery ball with the batter and gently drop it into the oil. You can drop 3-4 balls depending on the quantity of oil.
The balls have a tendency to get stuck at the bottom of the pan. Do not panic. Once it gets cooked slightly, flip it over to the other side gently.
Fry until light golden brown and place it on a colander or paper towel to absorb excess oil if any.
Repeat the process for the rest of the balls. Sweet suiyam is ready. Enjoy it warm.</t>
  </si>
  <si>
    <t>அரிசி மற்றும் பருப்பை 3 மணி நேரம் ஊற வைக்கவும். மிகக் குறைந்த தண்ணீரில் மென்மையான பேஸ்டாக அரைக்கவும். உப்பு சேர்த்து நன்கு கலக்கவும். மாவின் நிலைத்தன்மை தடிமனாகவும், பாயும் தன்மையுடனும் இருக்க வேண்டும், இதனால் அது தேங்காய்-வெல்லம் உருண்டைகளை நன்றாக மூடும்.
இப்போது தேங்காய் வெல்லம் நிரப்புவோம். நீங்கள் இதை முந்தைய நாள் தயார் செய்து குளிர்சாதன பெட்டியில் வைக்கலாம்.
ஒரு கடாயில் அல்லது அடிப்பகுதி கொண்ட எந்த பாத்திரத்திலும், துருவிய வெல்லம் மற்றும் 2 டேபிள்ஸ்பூன் தண்ணீரை சேர்க்கவும்.
வெல்லம் கரையும் வரை சூடாக்கி கிளறவும். பின்னர் அசுத்தங்கள் நீக்க அதை வடிகட்டி வைக்கவும்.
இப்போது வடிகட்டிய வெல்ல தண்ணீரை கெட்டியாகும் வரை கொதிக்க வைக்கவும். (ஒரு கப் தண்ணீரில் ஒரு தேக்கரண்டி வெல்லம் சிரப் சேர்த்தால், சிரப் தண்ணீரில் கரையக்கூடாது). இந்த நிலையில், ஒரு தேக்கரண்டி நெய் மற்றும் துருவிய தேங்காயைச் சேர்க்கவும்.
தேங்காய் கலவை கெட்டியாகும் வரை தொடர்ந்து மிதமான தீயில் சமைக்கவும்.
ஏலக்காய் பொடியைச் சேர்த்து நன்கு கலக்கவும். கலவை குளிர்ந்ததும், அது மேலும் கெட்டியாகும். அது குளிர்ந்த பிறகு, கலவையிலிருந்து உருண்டைகளை உருவாக்க முடியும். உருண்டைகளை உருவாக்க முடியாவிட்டால், நீங்கள் இன்னும் சில நிமிடங்கள் சமைக்க வேண்டும்.
தேங்காய் வெல்ல கலவை குளிர்ந்ததும், அதை சமமாகப் பிரித்து அதிலிருந்து உருண்டைகளை உருவாக்குங்கள்.
இப்போது மாவும் தேங்காய் வெல்ல உருண்டைகளும் தயாராக உள்ளன.
ஒரு கடாயில் எண்ணெயைச் சூடாக்கவும், எண்ணெய் சூடானதும், தீயை நடுத்தரமாகக் குறைக்கவும். (எண்ணெய் சூடாக இருக்கிறதா என்று சோதிக்க, எண்ணெயில் சிறிது மாவை விடுங்கள், அது உடனடியாக மேற்பரப்பில் உயர்ந்தால், எண்ணெய் வறுக்கத் தயாராக உள்ளது).
தேங்காய் வெல்ல உருண்டையை மாவுடன் பூசி, மெதுவாக எண்ணெயில் விடவும். எண்ணெயின் அளவைப் பொறுத்து 3-4 உருண்டைகளை விடலாம்.
உருண்டைகள் பாத்திரத்தின் அடிப்பகுதியில் சிக்கிக்கொள்ளும் தன்மை கொண்டவை. பதட்டப்பட வேண்டாம். சிறிது வெந்தவுடன், அதை மறுபுறம் மெதுவாக திருப்பிப் போடவும்.
வெளிர் தங்க பழுப்பு நிறமாக வறுக்கவும், அதிகப்படியான எண்ணெய் ஏதேனும் இருந்தால் அதை உறிஞ்சுவதற்கு ஒரு வடிகட்டி அல்லது காகித துண்டு மீது வைக்கவும்.
மீதமுள்ள உருண்டைகளுக்கும் இந்த செயல்முறையை மீண்டும் செய்யவும். இனிப்பு சூயம் தயார். சூடாக சாப்பிடுங்கள்.</t>
  </si>
  <si>
    <t>https://encrypted-tbn0.gstatic.com/images?q=tbn:ANd9GcR1upPXFRixGNc8_cdSaALJF96ZUSROZP1DSw&amp;s</t>
  </si>
  <si>
    <t>1/4 cup -  Rice flour,
1/4 cup -  Wheat flour,
1/4 cup -  Semolina,
1/2 cup -  Jaggery,
1/3 cup -  Coconut bits,
1/8 tsp -  Cardamom powder,
Ghee/clarified butter.</t>
  </si>
  <si>
    <t>1/4 கப் - அரிசி மாவு,
1/4 கப் - கோதுமை மாவு,
1/4 கப் - ரவை,
1/2 கப் - வெல்லம்,
1/3 கப் - தேங்காய் துண்டுகள்,
1/8 தேக்கரண்டி - ஏலக்காய் தூள்,
நெய்/தெளித்த வெண்ணெய்.</t>
  </si>
  <si>
    <t>ஒரு பாத்திரத்தில் ரவை (ரவை), அரிசி மாவு, கோதுமை மாவு, தேங்காய் துண்டுகள், ஏலக்காய் தூள் மற்றும் வடிகட்டிய வெல்லம் தண்ணீர் ஆகியவற்றை ஒன்றாக கலக்கவும்.
நன்றாக கலந்து 30 நிமிடங்கள் அப்படியே வைக்கவும். 30 நிமிடங்களுக்குப் பிறகு, தோசை மாவு நிலைத்தன்மையைப் பெற தேவையான வெதுவெதுப்பான நீரைச் சேர்க்கவும்.
பணியாரம்/ஆப்பம் பாத்திரத்தை சூடாக்கி, ஒவ்வொரு குழி/அச்சுகளிலும் 1/2 தேக்கரண்டி நெய்யைச் சேர்க்கவும். தயாரிக்கப்பட்ட மாவை அதில் நிரப்பவும்.
குறைந்த தீயில் மூடி வைக்கவும். அது பக்கவாட்டில் இருந்து வெளியேற ஆரம்பித்ததும், அதை மறுபுறம் திருப்பி வைக்கவும்.
மூடாமல் சமைக்கும் வரை சமைக்கவும். ஒரு ஆப்பத்தின் நடுவில் ஒரு டூத்பிக் செருகி அது வெந்ததா என்று சரிபார்க்கவும். அது சுத்தமாக வெளியே வந்தால், ஆப்பம் வெந்துவிட்டது.
மீதமுள்ள மாவிற்கும் இதே செயல்முறையை மீண்டும் செய்யவும்.
கிருஷ்ண ஜெயந்தி அல்லது வேறு எந்த நாளிலும் இந்த இனிப்பு அப்பங்களை செய்து மகிழுங்கள்.</t>
  </si>
  <si>
    <t>https://www.sharmispassions.com/wp-content/uploads/2022/08/sweet-appam3.jpg</t>
  </si>
  <si>
    <t xml:space="preserve">   Aval - 1/2 cup,
   Sugar – 1/2 cup,
   Ghee/clarified butter – 1/4 cup,
   Orange food color – a drop,
   Cardamom – 2 pods,
   Water – 1 cup,
   Cashewnuts – 5-6.</t>
  </si>
  <si>
    <t xml:space="preserve">Heat a tsp of ghee and fry cashew nuts until golden brown. Remove it and keep it aside.
In the same pan, fry the poha/aval on medium heat, stirring continuously, until it changes color slightly.
frying cashew nuts and aval 
Once it cools, grind it coarsely in a mixie or blender.
Boil a cup of water in a pan. When water starts boiling, reduce the heat to low and add the coarsely ground poha slowly with one hand and keep stirring with your other hand.
Add a drop of orange color or a pinch of kesari powder. Mix well and cook stirring on medium heat.
When it thickens slightly, add sugar and a tbsp of ghee.
Cook stirring for a few more minutes and add another tbsp of ghee.
Keep cooking on medium heat until it leaves the sides of the pan.
Add the rest of the ghee, cardamom powder and cashew nuts. Mix well and remove from heat.
</t>
  </si>
  <si>
    <t>ஒரு தேக்கரண்டி நெய்யை சூடாக்கி, முந்திரி பருப்புகளை பொன்னிறமாகும் வரை வறுக்கவும். அதை எடுத்து தனியாக வைக்கவும்.
அதே வாணலியில், போஹா/அவலை மிதமான தீயில், தொடர்ந்து கிளறி, சிறிது நிறம் மாறும் வரை வறுக்கவும்.
முந்திரி பருப்பு மற்றும் அவலை வறுக்கவும்
அது குளிர்ந்ததும், மிக்ஸி அல்லது பிளெண்டரில் கரடுமுரடாக அரைக்கவும்.
ஒரு கப் தண்ணீரை ஒரு பாத்திரத்தில் கொதிக்க வைக்கவும். தண்ணீர் கொதிக்க ஆரம்பித்ததும், தீயை குறைத்து, ஒரு கையால் மெதுவாக அரைத்த போஹாவை ஒரு கையால் சேர்த்து, மற்றொரு கையால் கிளறிக்கொண்டே இருங்கள்.
ஒரு துளி ஆரஞ்சு நிறம் அல்லது ஒரு சிட்டிகை கேசரி பொடியைச் சேர்க்கவும். நன்றாக கலந்து, மிதமான தீயில் கிளறி சமைக்கவும்.
அது சிறிது கெட்டியானதும், சர்க்கரை மற்றும் ஒரு தேக்கரண்டி நெய் சேர்க்கவும்.
இன்னும் சில நிமிடங்கள் கிளறிவிட்டு, மற்றொரு தேக்கரண்டி நெய் சேர்க்கவும்.
வாணலியின் ஓரங்களில் இருந்து அது நீங்கும் வரை மிதமான தீயில் சமைக்கவும்.
மீதமுள்ள நெய், ஏலக்காய் தூள் மற்றும் முந்திரி பருப்புகளைச் சேர்க்கவும். நன்கு கலந்து அடுப்பிலிருந்து இறக்கவும்.</t>
  </si>
  <si>
    <t>https://encrypted-tbn0.gstatic.com/images?q=tbn:ANd9GcQowGSZU3qsFPNplSiJk4_rKajti9Ih_qY5mw&amp;s</t>
  </si>
  <si>
    <t xml:space="preserve">   Crumbled unsweetened Khoya - 1 1/2 cup,
   Powdered Sugar – 1/2 cup,
   Cardamom Powder – 1/4 tsp,
   Ghee – 1 tsp melted,
   Powdered Sugar – 1/3 cup,
   Cocoa powder – 2 tbsp,
   Ghee – 1 tsp,
   Ghee – 1 tsp,
   Pistashio – 1-2 tbsp.</t>
  </si>
  <si>
    <t>நொறுக்கப்பட்ட இனிப்பு சேர்க்காத கோயா - 1 1/2 கப்,
பொடித்த சர்க்கரை - 1/2 கப்,
ஏலக்காய் பொடி - 1/4 டீஸ்பூன்,
நெய் - 1 டீஸ்பூன் உருகியது,
பொடித்த சர்க்கரை - 1/3 கப்,
கோகோ பவுடர் - 2 டீஸ்பூன்,
நெய் - 1 டீஸ்பூன்,
நெய் - 1 டீஸ்பூன்,
பிஸ்தாஷியோ - 1-2 டீஸ்பூன்.</t>
  </si>
  <si>
    <t>Bring khoya or mawa to room temperature. I have used ready made store bought khoya. Crumble the khoya with your fingers or grate it. If you crumble 300 grams of mawa and measure it in a cup, it will be approximately 1 1/2 cup. If you crumble 200 grams of mawa and measure it in a cup, it will be approximately 1 cup.
Powder sugar, measure it and keep it ready.
Grease the plate or tray with ghee and keep it ready.
Keep the ingredients ready for both the burfis separately.
First we will make the white colored burfi.
Melt a tsp of ghee in a pan preferably, a non stick pan, keep the heat very low and add crumbled mawa (1 1/2 cup), powdered sugar and cardamom powder.
Keep stirring continuously throughout and cook on low heat. If you do not stir, the mixture will get burnt. The mixture will melt and become thin as seen in the picture below.
Cook for another 5-6 minutes on medium heat, stirring continuously. By now, the mixture will start to leave the sides of the pan.  If you overcook, the burfi will become dry.
Transfer the mixture into the greased plate, tap the plate or spread the mixture evenly. Grease a spoon with ghee and even/smoothen the surface of the burfi. Leave it to set for 1 hour. We will prepare the chocolate burfi after 1 hour.
By now, the white colored burfi would have set. Heat a tsp of ghee in a pan, add crumbled mawa, powdered sugar and cocoa powder.
Mix well and cook on low heat stirring continuously. The mixture will start to become thin.
Continue to cook on low heat stirring continuously for 4-5 minutes or until the mixture starts to leave the sides of the pan.
Now transfer the chocolate mixture on top of the white mixture and spread it evenly all over. Grease a spoon with ghee and smoothen the surface.
Top it with chopped pistaschio, if preferred. Leave it to set for 3 hours. 
After it is set, cut the burfi as desired and enjoy. You can also keep it in the refrigerator for it to set.</t>
  </si>
  <si>
    <t>கோயா அல்லது மாவாவை அறை வெப்பநிலைக்கு கொண்டு வாருங்கள். நான் கடையில் வாங்கிய ரெடிமேட் கோயாவைப் பயன்படுத்தினேன். கோயாவை உங்கள் விரல்களால் நசுக்கவும் அல்லது தட்டி எடுக்கவும். நீங்கள் 300 கிராம் மாவாவை நொறுக்கி ஒரு கோப்பையில் அளந்தால், அது தோராயமாக 1 1/2 கப் ஆகும். நீங்கள் 200 கிராம் மாவாவை நொறுக்கி ஒரு கோப்பையில் அளந்தால், அது தோராயமாக 1 கப் ஆகும்.
சர்க்கரையை பொடி செய்து, அதை அளந்து தயாராக வைக்கவும்.
தட்டு அல்லது தட்டில் நெய் தடவி தயாராக வைக்கவும்.
இரண்டு பர்ஃபிகளுக்கும் தேவையான பொருட்களை தனித்தனியாக தயார் நிலையில் வைத்திருங்கள்.
முதலில் வெள்ளை நிற பர்ஃபி செய்வோம்.
ஒரு பாத்திரத்தில் ஒரு தேக்கரண்டி நெய்யை உருக்கி, ஒரு ஒட்டாத பாத்திரத்தை வைத்து, தீயை மிகக் குறைவாக வைத்து, நொறுக்கப்பட்ட மாவா (1 1/2 கப்), தூள் சர்க்கரை மற்றும் ஏலக்காய் தூள் சேர்க்கவும்.
தொடர்ந்து கிளறிக்கொண்டே இருங்கள், குறைந்த தீயில் சமைக்கவும். கிளறவில்லை என்றால், கலவை எரிந்துவிடும். கீழே உள்ள படத்தில் காட்டப்பட்டுள்ளபடி கலவை உருகி மெல்லியதாகிவிடும்.
மீதமுள்ள தீயில் மேலும் 5-6 நிமிடங்கள் தொடர்ந்து கிளறி சமைக்கவும். இப்போதைக்கு, கலவை பாத்திரத்தின் பக்கங்களை விட்டு வெளியேறத் தொடங்கும். அதிகமாக வெந்தால், பர்ஃபி வறண்டு போகும்.
கலவையை நெய் தடவிய தட்டில் மாற்றவும், தட்டில் தட்டவும் அல்லது கலவையை சமமாக பரப்பவும். ஒரு கரண்டியால் நெய் தடவி, பர்ஃபியின் மேற்பரப்பை சமமாக/மென்மையாக்கவும். 1 மணி நேரம் செட் ஆக விடவும். 1 மணி நேரத்திற்குப் பிறகு சாக்லேட் பர்ஃபியை தயார் செய்வோம்.
இப்போது, ​​வெள்ளை நிற பர்ஃபி உறுதியாக இருக்கும். ஒரு பாத்திரத்தில் ஒரு தேக்கரண்டி நெய்யை சூடாக்கி, துருவிய மாவா, பொடித்த சர்க்கரை மற்றும் கோகோ பவுடரைச் சேர்க்கவும்.
நன்றாகக் கலந்து, தொடர்ந்து கிளறிக்கொண்டே குறைந்த தீயில் சமைக்கவும். கலவை மெல்லியதாக மாறத் தொடங்கும்.
4-5 நிமிடங்கள் அல்லது கலவை வாணலியின் பக்கவாட்டில் இருந்து வெளியேறத் தொடங்கும் வரை குறைந்த தீயில் தொடர்ந்து சமைக்கவும்.
இப்போது சாக்லேட் கலவையை வெள்ளை கலவையின் மேல் மாற்றி, அதன் மேல் சமமாகப் பரப்பவும். ஒரு கரண்டியால் நெய் தடவி, மேற்பரப்பை மென்மையாக்கவும்.
விரும்பினால், அதன் மேல் நறுக்கிய பிஸ்தாஷியோவை ஊற்றவும். 3 மணி நேரம் செட் ஆக விடவும்.
செட் ஆன பிறகு, பர்ஃபியை விரும்பியபடி வெட்டி மகிழுங்கள். அது செட் ஆக குளிர்சாதன பெட்டியிலும் வைக்கலாம்.</t>
  </si>
  <si>
    <t>Kesar Milk Peda</t>
  </si>
  <si>
    <t>கேசர் பால் பேடா</t>
  </si>
  <si>
    <t xml:space="preserve">   Sweetened Condensed milk - 1/2 tin,
   Milk Powder – 1 cup,
   Melted butter – 2 tbsp,
   Saffron strands – 4-5,
   Hot Milk – 2 tbsp,
   Pistachio – 1 1/2 tbsp,
   Cardamom powder – 1/4 tsp,
   Melted ghee/clarified butter – 1 tsp for greasing.</t>
  </si>
  <si>
    <t>இனிப்புடன் கூடிய அமுக்கப்பட்ட பால் - 1/2 டின்,
பால் பவுடர் - 1 கப்,
உருகிய வெண்ணெய் - 2 டேபிள்ஸ்பூன்,
குங்குமப்பூ இழைகள் - 4-5,
சூடான பால் - 2 டேபிள்ஸ்பூன்,
பிஸ்தா - 1 1/2 டேபிள்ஸ்பூன்,
ஏலக்காய் தூள் - 1/4 டேபிள்ஸ்பூன்,
உருகிய நெய் / தெளித்த வெண்ணெய் - 1 டேபிள்ஸ்பூன் தடவுவதற்கு.</t>
  </si>
  <si>
    <t xml:space="preserve">In a non stick pan/heavy bottomed pan, melt butter.
Switch off the heat. Add condensed milk, milk powder and mix well making sure that there are no lumps.
Switch on the gas stove and cook on low heat stirring continuously.
Add saffron milk and continue to cook on low heat stirring continuously. Cook until it leaves the sides of the pan as in the picture below.
Add cardamom powder and remove from heat. Keep stirring for a few seconds off heat. Transfer the mixture to a plate (to prevent it from cooking further in the heat of the pan).
When the mixture is warm, grease your fingers with ghee and make around 8 or 10 smooth balls.
Make a dent/impression with your thumb in the center and fill chopped pistachio or a mix of chopped almonds, cashew nuts and pistachio in it.
Allow it to set. If you taste it immediately after preparing, it will be a bit chewy and sticky. So keep it aside for 5-6 hours. This instant doodh peda tastes best the next day.
</t>
  </si>
  <si>
    <t>ஒரு குச்சி இல்லாத பாத்திரம்/அடித்தளமான பாத்திரத்தில், வெண்ணெய் உருக்கவும்.
தீயை அணைக்கவும். அமுக்கப்பட்ட பால், பால் பவுடர் சேர்த்து கட்டிகள் இல்லாதபடி நன்கு கலக்கவும்.
கேஸ் அடுப்பை இயக்கி, குறைந்த தீயில் தொடர்ந்து கிளறி சமைக்கவும்.
குங்குமப்பூ பாலை சேர்த்து, குறைந்த தீயில் தொடர்ந்து கிளறி சமைக்கவும். கீழே உள்ள படத்தில் உள்ளது போல் அது வாணலியின் பக்கங்களை விட்டு வெளியேறும் வரை சமைக்கவும்.
ஏலக்காய் தூளை சேர்த்து, அமுக்காமல் சில நொடிகள் கிளறிக்கொண்டே இருங்கள். கலவையை ஒரு தட்டில் மாற்றவும் (அது கடாயின் வெப்பத்தில் மேலும் சமைக்காமல் இருக்க).
கலவை சூடாகும்போது, ​​உங்கள் விரல்களில் நெய் தடவி 8 அல்லது 10 மென்மையான உருண்டைகளை உருவாக்குங்கள்.
உங்கள் கட்டைவிரலை மையத்தில் வைத்து ஒரு பள்ளம்/அடையாளத்தை உருவாக்கி, அதில் நறுக்கிய பிஸ்தா அல்லது நறுக்கிய பாதாம், முந்திரி மற்றும் பிஸ்தா கலவையை நிரப்பவும்.
அதை அப்படியே வைக்கவும். சமைத்த உடனேயே ருசித்தால், அது கொஞ்சம் மெல்லும் மற்றும் ஒட்டும் தன்மையுடன் இருக்கும். எனவே 5-6 மணி நேரம் ஒதுக்கி வைக்கவும். இந்த உடனடி தூத் பேடா மறுநாள் மிகவும் சுவையாக இருக்கும்.</t>
  </si>
  <si>
    <t>https://www.shreemithai.com/cdn/shop/products/kesar-peda-702328.jpg?v=1707819896</t>
  </si>
  <si>
    <t>Chocolate Milk Peda</t>
  </si>
  <si>
    <t>சாக்லேட் மில்க் பேடா</t>
  </si>
  <si>
    <t xml:space="preserve">   Sweetened Condensed milk – 1/2 tin ,
   Milk Powder – 1 cup ,
   Cocoa powder – 1 tbsp,
   Melted butter – 2 tbsp,
   Pistachio – 2 tbsp finely chopped,
   Ghee/clarified butter for greasing.</t>
  </si>
  <si>
    <t>இனிப்புடன் கூடிய அமுக்கப்பட்ட பால் - 1/2 டின்,
பால் பவுடர் - 1 கப்,
கோகோ பவுடர் - 1 டீஸ்பூன்,
உருகிய வெண்ணெய் - 2 டீஸ்பூன்,
பிஸ்தா - 2 டீஸ்பூன் நன்றாக நறுக்கியது,
நெய் தடவுவதற்கு நெய்/தெளிவுபடுத்தப்பட்ட வெண்ணெய்.</t>
  </si>
  <si>
    <t>In a non stick pan or heavy bottomed pan, melt butter over low heat.
Switch off the heat and add condensed milk, milk powder and cocoa powder.
Mix well so that there are no lumps. Then turn on the heat and cook stirring continuously.
Once it starts leaving the sides of the pan as shown below, remove from heat and keep stirring for a few seconds.
When the mixture is warm, grease your fingers with ghee and make 10 or 12 equal smooth balls from the mixture.
Make a dent/impression with your thumb and fill pistachio in it. As it cools it will harden. That’s it. Chocolate peda is ready.
It tastes best the next day. It is be a little sticky, if you taste it immediately after preparing. Give it some time (atleast 3-4 hours) for it to set. Once set, it tastes great. It is more like a chocolate fudge.</t>
  </si>
  <si>
    <t>ஒரு குச்சி இல்லாத பாத்திரத்தில் அல்லது அடிப்பகுதி கனமான பாத்திரத்தில், வெண்ணெயை குறைந்த தீயில் உருக்கவும்.
அதை அணைத்துவிட்டு அமுக்கப்பட்ட பால், பால் பவுடர் மற்றும் கோகோ பவுடர் சேர்க்கவும்.
கட்டிகள் இல்லாதபடி நன்கு கலக்கவும். பின்னர் தீயை இயக்கி தொடர்ந்து கிளறிக்கொண்டே சமைக்கவும்.
கீழே காட்டப்பட்டுள்ளபடி வாணலியின் பக்கங்களை விட்டு வெளியேறத் தொடங்கியதும், அடுப்பிலிருந்து இறக்கி சில நொடிகள் கிளறவும்.
கலவை சூடாகும்போது, ​​உங்கள் விரல்களில் நெய் தடவி, கலவையிலிருந்து 10 அல்லது 12 சமமான மென்மையான பந்துகளை உருவாக்கவும்.
உங்கள் கட்டைவிரலால் ஒரு பள்ளம்/அடையாளத்தை உருவாக்கி, அதில் பிஸ்தாவை நிரப்பவும். அது குளிர்ந்ததும் அது கெட்டியாகும். அவ்வளவுதான். சாக்லேட் பேடா தயார்.
மறுநாள் தான் இது சுவையாக இருக்கும். சமைத்த உடனேயே ருசித்துப் பார்த்தால், கொஞ்சம் ஒட்டும் தன்மை இருக்கும். அது கெட்டியாக வர சிறிது நேரம் (குறைந்தது 3-4 மணி நேரம்) கொடுங்கள். செட் ஆனவுடன், சுவை அருமையாக இருக்கும். இது ஒரு சாக்லேட் ஃபட்ஜ் மாதிரி இருக்கும்.</t>
  </si>
  <si>
    <t>https://www.yummytummyaarthi.com/wp-content/uploads/2014/10/1-29.jpg</t>
  </si>
  <si>
    <t>Mix together custard powder and sugar.
Add water and mix well without lumps. 
how to make custard powder halwa
Then switch on the heat and cook on low heat stirring continuously. After few minutes, add ghee.
Once it starts to thicken, add chopped cashew nuts and cook on medium heat stirring continuously.
Cook stirring continuously until it leaves the sides of the pan (see picture below). Then pour it in the greased tray and allow it to set. Once set, cut it into squares and serve.</t>
  </si>
  <si>
    <t>கஸ்டர்ட் பவுடர் மற்றும் சர்க்கரையை ஒன்றாக கலக்கவும்.
தண்ணீர் சேர்த்து கட்டிகள் இல்லாமல் நன்கு கலக்கவும்.
கஸ்டர்ட் பவுடர் ஹல்வா செய்வது எப்படி
பின்னர் தீயை அணைத்து, குறைந்த தீயில் தொடர்ந்து கிளறி சமைக்கவும். சில நிமிடங்களுக்குப் பிறகு, நெய் சேர்க்கவும்.
அது கெட்டியாக ஆரம்பித்ததும், நறுக்கிய முந்திரி பருப்புகளைச் சேர்த்து, நடுத்தர தீயில் தொடர்ந்து கிளறி சமைக்கவும்.
வாணலியின் பக்கங்களை விட்டு வெளியேறும் வரை தொடர்ந்து கிளறி சமைக்கவும் (கீழே உள்ள படத்தைப் பார்க்கவும்). பின்னர் அதை எண்ணெய் தடவிய தட்டில் ஊற்றி, செட் ஆக விடவும். செட் ஆனதும், சதுரங்களாக வெட்டி பரிமாறவும்.</t>
  </si>
  <si>
    <t>https://encrypted-tbn0.gstatic.com/images?q=tbn:ANd9GcQLJ-e-mgXmKs8UdZfAJEfc2MaJggix_7wWAQ&amp;s</t>
  </si>
  <si>
    <t xml:space="preserve">   Bread – 4 slices,
   Ghee/clarified butter – as needed for toasting bread,
   Sugar – 1/3 cup,
   Milk – 3 cups,
   Sugar – 2 tsp,
   Almonds – 6 ,
   Pistachio – 8 ,
   Cashew nuts – 6 ,
   Cardamom powder – 1/4 tsp,
   Saffron – 4.</t>
  </si>
  <si>
    <t>ரொட்டி - 4 துண்டுகள்,
நெய்/தெளிவுபடுத்தப்பட்ட வெண்ணெய் - ரொட்டியை டோஸ்ட் செய்ய தேவையான அளவு,
சர்க்கரை - 1/3 கப்,
பால் - 3 கப்,
சர்க்கரை - 2 தேக்கரண்டி,
பாதாம் - 6 ,
பிஸ்தா - 8 ,
முந்திரி பருப்பு - 6 ,
ஏலக்காய் தூள் - 1/4 தேக்கரண்டி,
குங்குமப்பூ - 4.</t>
  </si>
  <si>
    <t>Boil milk on medium heat stirring continuously until it reduces to half. Add chopped nuts (keeping aside a few for garnishing) cardamom powder and saffron soaked milk. Boil for another 2-3 minutes and remove from heat. 
Cut the corners of the bread and cut it into triangles. So we have 8 triangular bread slices. Traditionally they are deep fried but I have pan fried the bread in ghee. (around 1 tsp ghee for each bread slice)
preparation of rabdi for shahi tukda
In a pan, add sugar and water (just enough water to cover the sugar) and boil on medium heat until the sugar syrup becomes slightly sticky.
When the sugar syrup is warm, dip the bread slices in sugar syrup for 2 minutes. See to it that it is well coated on both sides with the sugar syrup. Remove and keep it aside.
In a shallow bowl, arrange all the sugar syrup coated bread slices, pour rabdi on top and garnish with chopped nuts. Refrigerate and serve chilled.</t>
  </si>
  <si>
    <t>பாலை மிதமான தீயில் வைத்து, பாதியாகக் குறையும் வரை தொடர்ந்து கிளறி கொதிக்க விடவும். நறுக்கிய கொட்டைகள் (சிலவற்றை அலங்கரிக்க ஒதுக்கி வைக்கவும்) ஏலக்காய் தூள் மற்றும் குங்குமப்பூ ஊறவைத்த பால் சேர்க்கவும். மேலும் 2-3 நிமிடங்கள் கொதிக்க வைத்து, அடுப்பிலிருந்து இறக்கவும்.
ரொட்டியின் மூலைகளை வெட்டி முக்கோணங்களாக வெட்டவும். எனவே எங்களிடம் 8 முக்கோண ரொட்டி துண்டுகள் உள்ளன. பாரம்பரியமாக அவை ஆழமாக வறுக்கப்படுகின்றன, ஆனால் நான் ரொட்டியை நெய்யில் வறுத்துள்ளேன். (ஒவ்வொரு ரொட்டித் துண்டுக்கும் சுமார் 1 தேக்கரண்டி நெய்)
ஷாஹி துக்டாவிற்கு ரப்தி தயாரித்தல்
ஒரு பாத்திரத்தில், சர்க்கரை மற்றும் தண்ணீரைச் சேர்த்து (சர்க்கரையை மூடும் அளவுக்கு போதுமான தண்ணீர்) சர்க்கரை பாகு சிறிது ஒட்டும் வரை மிதமான தீயில் கொதிக்க வைக்கவும்.
சர்க்கரை பாகு சூடாகும்போது, ​​ரொட்டித் துண்டுகளை சர்க்கரை பாகில் 2 நிமிடங்கள் நனைக்கவும். இருபுறமும் சர்க்கரை பாகு நன்றாகப் பூசப்பட்டுள்ளதா என்பதை உறுதிப்படுத்திக் கொள்ளுங்கள். அதை எடுத்து ஒதுக்கி வைக்கவும்.
ஒரு ஆழமற்ற கிண்ணத்தில், சர்க்கரை பாகு பூசப்பட்ட அனைத்து ரொட்டித் துண்டுகளையும் அடுக்கி, மேலே ரப்தியை ஊற்றி, நறுக்கிய கொட்டைகளால் அலங்கரிக்கவும். குளிர்சாதன பெட்டியில் வைத்து குளிர்வித்து பரிமாறவும்.</t>
  </si>
  <si>
    <t>https://i0.wp.com/binjalsvegkitchen.com/wp-content/uploads/2019/10/Shahi-Tukda-H2.jpg?resize=600%2C900&amp;ssl=1</t>
  </si>
  <si>
    <t xml:space="preserve">   Cornflour – 1/2 cup,
   Sugar – 1 cup,
   Fresh Lemon juice – 3 drops,
   Ghee – 1/4 cup melted,
   Cardamom powder – 1/4 tsp,
   Cashew nuts – 15,
   Food Color – 2 drops.</t>
  </si>
  <si>
    <t>சோள மாவு - 1/2 கப்,
சர்க்கரை - 1 கப்,
புதிய எலுமிச்சை சாறு - 3 சொட்டுகள்,
நெய் - 1/4 கப் உருகியது,
ஏலக்காய் தூள் - 1/4 தேக்கரண்டி,
முந்திரி பருப்பு - 15,
உணவு நிறம் - 2 சொட்டுகள்.</t>
  </si>
  <si>
    <t>Mix cornflour with 1 cup of water without any lumps. Add food color and mix well.
Mix sugar and water well first. Then switch on the heat. Add lemon juice and boil on medium heat stirring from time to time.
bombay halwa preparation 
Let the sugar dissolve. When it starts bubbling, switch off the heat. Add the cornflour mixture gradually with one hand and keep stirring with your other hand.
Now switch on the heat/gas stove.
Cook stirring continuously on medium heat. When it starts thickening, add ghee, cardamom powder and cashew nuts.
Cook until the mixture becomes glossy and leaves the sides of the pan.
Pour the halwa into a greased tray and allow it to set.
Once set, cut it into squares and enjoy!!</t>
  </si>
  <si>
    <t>சோள மாவை 1 கப் தண்ணீரில் கட்டிகள் இல்லாமல் கலக்கவும். உணவு வண்ணத்தைச் சேர்த்து நன்கு கலக்கவும்.
முதலில் சர்க்கரை மற்றும் தண்ணீரை நன்கு கலக்கவும். பின்னர் தீயை அணைக்கவும். எலுமிச்சை சாறு சேர்த்து அவ்வப்போது கிளறி மிதமான தீயில் கொதிக்க வைக்கவும்.
பாம்பே ஹல்வா தயாரிப்பு
சர்க்கரை கரைய விடவும். அது குமிழ ஆரம்பிக்கும் போது, ​​தீயை அணைக்கவும். ஒரு கையால் படிப்படியாக சோள மாவு கலவையைச் சேர்த்து, மற்றொரு கையால் தொடர்ந்து கிளறவும்.
இப்போது தீ/கேஸ் அடுப்பை இயக்கவும்.
நடுத்தர தீயில் தொடர்ந்து கிளறி சமைக்கவும். அது கெட்டியாக ஆரம்பித்ததும், நெய், ஏலக்காய் தூள் மற்றும் முந்திரி பருப்புகளைச் சேர்க்கவும்.
கலவை பளபளப்பாக மாறி வாணலியின் பக்கவாட்டில் இருந்து வெளியேறும் வரை சமைக்கவும்.
நெய் தடவிய தட்டில் அல்வாவை ஊற்றி, அது கெட்டியாகட்டும்.
செட் ஆனதும், சதுரங்களாக வெட்டி மகிழுங்கள்!!</t>
  </si>
  <si>
    <t>https://i.ytimg.com/vi/rpiIbu7Yaus/maxresdefault.jpg</t>
  </si>
  <si>
    <t>Gajar Burfi</t>
  </si>
  <si>
    <t>கஜர் பர்ஃபி</t>
  </si>
  <si>
    <t xml:space="preserve">   Carrot – 2 1/4 cup grated,
   Coconut – 1 cup grated,
   Ghee – 3 tbsp,
   Milk – 1 cup,
   Sugar – 3/4 cup,
   Cardamom Powder - 1/4 tsp,
   Cashew nuts – 10-12.</t>
  </si>
  <si>
    <t>கேரட் - 2 1/4 கப் துருவியது,
தேங்காய் - 1 கப் துருவியது,
நெய் - 3 டேபிள்ஸ்பூன்,
பால் - 1 கப்,
சர்க்கரை - 3/4 கப்,
ஏலக்காய்த்தூள் - 1/4 டேபிள்ஸ்பூன்,
முந்திரிபருப்பு - 10-12.</t>
  </si>
  <si>
    <t>Heat a tbsp of ghee and saute the carrots and grated coconut on medium heat until the carrot become s a little soft.
Then add milk and cook on medium heat, stirring from time to time until all the milk evaporates.
Once all the milk evaporates, add sugar. After you add sugar, the mixture becomes watery again.
Add cashew nuts, remaining ghee and cook on medium heat stirring until it leaves the sides of the pan. Add cardamom powder and mix well.
Transfer the mixture to the parchment paper lined tray/pan. Since I wanted thick burfis, I used only half the pan to spread the mixture.
Grease a spoon with ghee and smoothen the surface. Leave it to cool. Once it cools, grease a knife with a little ghee and make cuts but do not remove the pieces. Refrigerate for an hour for it to set and then remove the pieces carefully and serve.
You can decorate it with a cashew nut if preferred.</t>
  </si>
  <si>
    <t>ஒரு டேபிள்ஸ்பூன் நெய்யை சூடாக்கி, கேரட் மற்றும் துருவிய தேங்காயை மிதமான தீயில் கேரட் சிறிது மென்மையாகும் வரை வதக்கவும்.
பின்னர் பால் சேர்த்து மிதமான தீயில் சமைக்கவும், அவ்வப்போது கிளறி, பால் முழுவதும் ஆவியாகும் வரை சமைக்கவும்.
பால் முழுவதும் ஆவியாகும் போது, ​​சர்க்கரை சேர்க்கவும். சர்க்கரை சேர்த்த பிறகு, கலவை மீண்டும் தண்ணீராக மாறும்.
முந்திரி பருப்பு, மீதமுள்ள நெய் சேர்த்து, நடுத்தர தீயில் அது வாணலியின் பக்கங்களை விட்டு வெளியேறும் வரை சமைக்கவும். ஏலக்காய்த்தூள் சேர்த்து நன்கு கலக்கவும்.
கலவையை காகிதத்தோல் மூடப்பட்ட தட்டு/பானுக்கு மாற்றவும். எனக்கு தடிமனான பர்ஃபிகள் வேண்டும் என்பதால், கலவையை பரப்ப நான் பாதி பாத்திரத்தை மட்டுமே பயன்படுத்தினேன்.
ஒரு ஸ்பூன் நெய் தடவி மேற்பரப்பை மென்மையாக்கவும். ஆற விடவும். ஆறியதும், கத்தியில் சிறிது நெய் தடவி, துண்டுகளை எடுக்காமல், வெட்டுக்களைச் செய்யவும். ஒரு மணி நேரம் குளிர்சாதன பெட்டியில் வைத்து, பின்னர் துண்டுகளை கவனமாக எடுத்து பரிமாறவும்.
விரும்பினால் முந்திரி கொட்டையால் அலங்கரிக்கலாம்.</t>
  </si>
  <si>
    <t>https://spicecravings.com/wp-content/uploads/2022/10/Carrot-Burfi-Featured-500x375.jpg</t>
  </si>
  <si>
    <t>Roasted Gram Ladoo</t>
  </si>
  <si>
    <t>வறுத்த கடலை லட்டு</t>
  </si>
  <si>
    <t xml:space="preserve">   Roasted gram dal – 1/2 cup,
   Powdered sugar – 1/4 cu,
   Ghee/clarified butter  – 2 tbsp,
   Cardamom powder – 1/4 tsp,
   Cashew nuts – 12-15,
   Raisins – 20.</t>
  </si>
  <si>
    <t>வறுத்த கடலை பருப்பு - 1/2 கப்,
பொடித்த சர்க்கரை - 1/4 கனசதுரம்,
நெய்/தெளிவுபடுத்திய வெண்ணெய் - 2 டீஸ்பூன்,
ஏலக்காய் தூள் - 1/4 டீஸ்பூன்,
முந்திரி பருப்பு - 12-15,
திராட்சை - 20.</t>
  </si>
  <si>
    <t>Dry roast the roasted gram on medium heat just until hot to touch (Do not over roast it). Cool and powder it finely in a mixie.
Sieve the ground flour and keep it aside. Powder sugar finely. Sieve sugar also and keep it ready.
In a large plate, add the sieved flour, sieved sugar and cardamom powder.
Mix well. I added lot of cashew nuts and raisins to give the maaladu some texture.
Heat a tsp of ghee and fry the cashew nuts (break it into 2-3 pieces) on low heat until golden. Add to the flour-sugar mixture.
In the same pan, fry the raisin on low flame until they puff up. Add to the flour + sugar mixture and mix well.
Heat the rest of the ghee and add to the above mixture. Mix well with a spoon and make balls out of the mixture when it is warm. If you are unable to make balls, add more ghee (little at a time) and make balls. When you are able to make balls, stop adding ghee.
Enjoy making delicious maaladu for this festive season. This also makes a perfect festive gift.</t>
  </si>
  <si>
    <t>வறுத்த கடலையை மிதமான தீயில் தொடும் அளவுக்கு சூடாகும் வரை வறுக்கவும் (அதிகமாக வறுக்க வேண்டாம்). ஆறவைத்து மிக்ஸியில் நன்றாக பொடிக்கவும்.
மாவை சலித்து தனியாக வைக்கவும். சர்க்கரையை நன்றாக பொடிக்கவும். சர்க்கரையையும் சலித்து தயாராக வைக்கவும்.
ஒரு பெரிய தட்டில், சலித்த மாவு, சலித்த சர்க்கரை மற்றும் ஏலக்காய் தூள் சேர்க்கவும்.
நன்றாக கலக்கவும். மாலாடுவுக்கு சிறிது அமைப்பு கொடுக்க நான் நிறைய முந்திரி மற்றும் திராட்சையை சேர்த்தேன்.
ஒரு டீஸ்பூன் நெய்யை சூடாக்கி, முந்திரி பருப்பை (2-3 துண்டுகளாக உடைத்து) குறைந்த தீயில் பொன்னிறமாகும் வரை வறுக்கவும். மாவு-சர்க்கரை கலவையில் சேர்க்கவும்.
அதே கடாயில், திராட்சையை குறைந்த தீயில் கொப்பளிக்கும் வரை வறுக்கவும். மாவு + சர்க்கரை கலவையில் சேர்த்து நன்கு கலக்கவும்.
மீதமுள்ள நெய்யை சூடாக்கி, மேலே உள்ள கலவையில் சேர்க்கவும். ஒரு கரண்டியால் நன்றாக கலந்து, கலவை சூடாகும்போது உருண்டைகளாக உருட்டவும். உங்களால் உருண்டைகள் செய்ய முடியாவிட்டால், அதிக நெய்யைச் சேர்த்து (ஒரு நேரத்தில் சிறிது சிறிதாக) உருண்டைகளாக உருட்டவும். உங்களால் உருண்டைகள் செய்ய முடிந்தவுடன், நெய் சேர்ப்பதை நிறுத்துங்கள்.
இந்த பண்டிகை காலத்திற்கு சுவையான மாலாடு செய்து மகிழுங்கள். இது ஒரு சரியான பண்டிகை பரிசாகவும் அமைகிறது.</t>
  </si>
  <si>
    <t>https://marudhuskitchen.com/wp-content/uploads/2014/08/pottukadalai-mavu-laddu-1-500x500.jpg</t>
  </si>
  <si>
    <t xml:space="preserve">   Quick cooking Oats – 1 cup,
   Powdered jaggery – 1/2 cup,
   Ghee/clarified butter as needed,
   Cashew nuts - 10,
   Raisins - 18,
   Almonds – 5,
   Cardamom powder – a pinch.</t>
  </si>
  <si>
    <t>விரைவாக சமைக்கும் ஓட்ஸ் - 1 கப்,
பொடித்த வெல்லம் - 1/2 கப்,
நெய்/தெளிவுபடுத்திய வெண்ணெய் தேவைக்கேற்ப,
முந்திரி பருப்பு - 10,
திராட்சை - 18,
பாதாம் பருப்பு - 5,
ஏலக்காய் தூள் - ஒரு சிட்டிகை.</t>
  </si>
  <si>
    <t>Dry roast oats until it is hot to touch. Cool and powder it.
Powder jaggery and keep it ready. You will get good quality organic jaggery powder in health stores.
Dry roast cashew nuts and almonds separately. Chop it finely or powder it coarsely.
In a bowl, mix together, oats, jaggery, cardamom powder and nuts.
Heat a tsp of ghee, saute the raisins until they puff up and add to the oats mixture.
Melt needed ghee and add to the mixture little at a time. Mix well and make balls. Make sure that the ghee is warm.</t>
  </si>
  <si>
    <t>ஓட்ஸை தொடுவதற்கு சூடாகும் வரை உலர வறுக்கவும். ஆறவைத்து பொடி செய்யவும்.
வெல்லத்தை பொடி செய்து தயாராக வைக்கவும். சுகாதார கடைகளில் நல்ல தரமான ஆர்கானிக் வெல்ல தூள் கிடைக்கும்.
முந்திரி பருப்பு மற்றும் பாதாமை தனித்தனியாக உலர வறுக்கவும். நன்றாக நறுக்கவும் அல்லது கரடுமுரடாக பொடி செய்யவும்.
ஒரு பாத்திரத்தில், ஓட்ஸ், வெல்லம், ஏலக்காய் தூள் மற்றும் கொட்டைகளை ஒன்றாக கலக்கவும்.
ஒரு தேக்கரண்டி நெய்யை சூடாக்கி, திராட்சையை அவை வீங்கும் வரை வதக்கி, ஓட்ஸ் கலவையில் சேர்க்கவும்.
தேவையான நெய்யை உருக்கி, கலவையில் சிறிது சிறிதாக சேர்க்கவும். நன்றாக கலந்து உருண்டைகளாக உருட்டவும். நெய் சூடாக இருப்பதை உறுதி செய்யவும்.</t>
  </si>
  <si>
    <t>https://foodtrails25.com/wp-content/uploads/2020/08/Oats-nut-ladoo-500x375.jpeg</t>
  </si>
  <si>
    <t xml:space="preserve">   Sathu Maavu – 1 cup,
   Powdered Jaggery  - 1/2 cup,
   Cashew nuts - 10,
   Almonds - 10,
   Raisins - 1/4 cup,
   Melted Ghee as needed.</t>
  </si>
  <si>
    <t>சாத்து மாவு - 1 கப்,
பொடித்த வெல்லம் - 1/2 கப்,
முந்திரி பருப்பு - 10,
பாதாம் பருப்பு - 10,
திராட்சை - 1/4 கப்,
தேவைக்கேற்ப உருக்கிய நெய்.</t>
  </si>
  <si>
    <t>ஒரு கப் சாத்து மாவை எடுத்து, பொடித்த வெல்லம், கொட்டைகள் சேர்த்து நன்கு கலக்கவும்.
ஒரு டீஸ்பூன் நெய்யை சூடாக்கி, திராட்சையை அவை கொப்பளிக்கும் வரை வறுக்கவும். ஆரோக்கிய கலவை + கொட்டைகள் + வெல்லம் கலவையில் சேர்த்து எல்லாவற்றையும் நன்றாக கலக்கவும்.
தேவையான நெய்யை சூடாக்கி, கலவையை சேர்க்கவும். லட்டு செய்ய முடிந்தால், நெய் சேர்ப்பதை நிறுத்தலாம். (கலவையின் ஒரு பகுதியில் சிறிது சிறிதாக நெய் சேர்த்து உருண்டைகளாக செய்யலாம். பின்னர் மற்ற பகுதிகளுக்கும் மீண்டும் செய்யவும்).
ஆரோக்கியமான மற்றும் சுவையான சுகாதார கலவை லட்டு வெறும் 15 நிமிடங்களில் தயாராகிவிடும்.
இதை பெரியவர்கள், கர்ப்பிணிப் பெண்கள் மற்றும் குழந்தைகள் சிற்றுண்டியாக சாப்பிடலாம். இதை பள்ளிக்குப் பிறகு சிற்றுண்டியாகக் கொடுக்கலாம் அல்லது அவர்களின் சிற்றுண்டிப் பெட்டியில் அடைத்து வைக்கலாம்.</t>
  </si>
  <si>
    <t>https://encrypted-tbn0.gstatic.com/images?q=tbn:ANd9GcRNvC76CXJ2Vf6exDkY3xrlC5215ik290ySDA&amp;s</t>
  </si>
  <si>
    <t>அத்திப்பழ பேரீச்சம்பழ பர்ஃபி</t>
  </si>
  <si>
    <t xml:space="preserve">   Dates - 1 cup,
   Assorted Nuts - 1 cup,
   Figs - 1 cup,
   Ghee/clarified butter - 1 1/2 tbsp,
   Khus khus/poppy seeds -1tbsp.</t>
  </si>
  <si>
    <t>பேரீச்சம்பழம் - 1 கப்,
வகைவகையான கொட்டைகள் - 1 கப்,
அத்திப்பழம் - 1 கப்,
நெய்/தெளிவுபடுத்தப்பட்ட வெண்ணெய் - 1 1/2 டீஸ்பூன்,
குஸ் குஸ்/பாப்பி விதைகள் - 1 டீஸ்பூன்.</t>
  </si>
  <si>
    <t>நெய்யை சூடாக்கி, பேரீச்சம்பழம்+அத்திப்பழ விழுது சேர்த்து குறைந்த தீயில் 10 நிமிடங்கள் நன்கு கிளறி சமைக்கவும்.
பின்னர் நறுக்கிய கொட்டைகள் மற்றும் பொடித்த (2 டீஸ்பூன்) கொட்டைகளைச் சேர்க்கவும்.
அனைத்தையும் நன்றாகக் கலந்து இன்னும் சில நிமிடங்கள் சமைக்கவும். சுடரிலிருந்து இறக்கி குளிர்விக்க விடவும். பின்னர் கலவையை 2 சம பாகங்களாகப் பிரித்து கீழே காட்டப்பட்டுள்ளபடி சிலிண்டர்களாக வடிவமைக்கவும்.
நீங்கள் விரும்பினால் வறுத்த குஸ் குஸில் உருட்டலாம். நான் 2 தொகுதிகள் செய்தேன். ஒரு தொகுதியை குஸ் குஸில் உருட்டினேன், மற்ற தொகுதிக்கு, நான் அதைத் தவிர்த்துவிட்டேன். (மேலே உள்ள பிரதான படத்தில் நீங்கள் பார்ப்பது குஸ் குஸ் இல்லாமல் உள்ளது).
உருளை வடிவ கலவையை 2 மணி நேரம் அல்லது அது கெட்டியாகும் வரை குளிர்சாதன பெட்டியில் வைக்கவும். சோம்பேறித்தனம் காரணமாக சில நேரங்களில் நான் அதை இரவு முழுவதும் விட்டுவிடுவேன்.
அது கெட்டியான பிறகு, அதை வட்டங்களாக வெட்டி குளிர்சாதன பெட்டியில் ஒரு கொள்கலனில் சேமிக்கவும்.</t>
  </si>
  <si>
    <t>https://encrypted-tbn0.gstatic.com/images?q=tbn:ANd9GcRQM8J3Ed0M3ZkG826JXKZdxNnjrYuJ2LXBvg&amp;s</t>
  </si>
  <si>
    <t xml:space="preserve">   Ghee - 1/2 cup,
   Cashew nuts - 10-15,
   maida - 3/4 cup,
   Sugar - 1 cup,
   Food color – a pinch,
   Vanilla essence - 1/2 tsp.</t>
  </si>
  <si>
    <t>நெய் - 1/2 கப்,
முந்திரி பருப்பு - 10-15,
மைதா - 3/4 கப்,
சர்க்கரை - 1 கப்,
உணவு நிறம் - ஒரு சிட்டிகை,
வெண்ணிலா எசன்ஸ் - 1/2 தேக்கரண்டி.</t>
  </si>
  <si>
    <t>In a heavy bottomed tawa or non stick pan, heat ghee and fry the cashew nuts until golden brown.
In the same ghee, fry maida on low flame for 5 minutes or until the rawness of the maida goes.
Add food color, mix well and switch off the heat.
In another pan/kadai dissolve sugar in 1/2 cup of water. Add vanilla essence. Boil sugar water until you get a one string consistency.
Then pour the sugar syrup to the maida mixture, stirring continuously. You can keep the pan on the kitchen counter and stir.
It will start thickening. When it leaves the sides of the pan, pour the maida mixture into the prepared greased tray. Grease the bottom of a flat cup and press it evenly.
When it is warm, make cuts with a knife across the burfi. Remove the pieces after it cools completely. Easy maida burfi is ready.</t>
  </si>
  <si>
    <t>அடி கனமான தவா அல்லது நான்ஸ்டிக் பாத்திரத்தில், நெய்யை சூடாக்கி, முந்திரி பருப்புகளை பொன்னிறமாகும் வரை வறுக்கவும்.
அதே நெய்யில், மைதாவை குறைந்த தீயில் 5 நிமிடங்கள் அல்லது மைதாவின் பச்சைத்தன்மை போகும் வரை வறுக்கவும்.
உணவு வண்ணத்தைச் சேர்த்து, நன்கு கலந்து, தீயை அணைக்கவும்.
மற்றொரு பாத்திரம்/கடாயில் சர்க்கரையை 1/2 கப் தண்ணீரில் கரைக்கவும். வெண்ணிலா எசன்ஸ் சேர்க்கவும். ஒரு சரம் நிலைத்தன்மை வரும் வரை சர்க்கரை தண்ணீரை கொதிக்க வைக்கவும்.
பின்னர் சர்க்கரை பாகை மைதா கலவையில் ஊற்றி தொடர்ந்து கிளறவும். நீங்கள் பாத்திரத்தை சமையலறை கவுண்டரில் வைத்து கிளறலாம்.
அது கெட்டியாகத் தொடங்கும். அது பாத்திரத்தின் பக்கவாட்டில் இருந்து வெளியேறும்போது, ​​தயாரிக்கப்பட்ட எண்ணெய் தடவிய தட்டில் மைதா கலவையை ஊற்றவும். ஒரு தட்டையான கோப்பையின் அடிப்பகுதியில் நெய் தடவி சமமாக அழுத்தவும்.
சூடானவுடன், பர்ஃபியின் குறுக்கே கத்தியால் வெட்டுங்கள். அது முழுவதுமாக ஆறிய பிறகு துண்டுகளை அகற்றவும். எளிதான மைதா பர்ஃபி தயார்.</t>
  </si>
  <si>
    <t>https://i0.wp.com/www.chitrasfoodbook.com/wp-content/uploads/2017/10/maida-cake.jpg?w=1200&amp;ssl=1</t>
  </si>
  <si>
    <t xml:space="preserve">   Whole skinned urad dal - 1/2 kg,
   pachai payaru - 1/2 kg,
   Payaru ulundu mavu - 1 1/4 cup,
   Natural unrefined cane sugar - 1/2 cup,
   Ghee/clarified butter - 1/3 cup meltedz,
   Assorted nuts - 1/2 cup,
   Raisins - 1/4 cup,
   Cardamom - 4 powdered,
   Roasted Sesame seeds - 2 tbsp.</t>
  </si>
  <si>
    <t>தோல் நீக்கிய முழு உளுந்து பருப்பு - 1/2 கிலோ,
பச்சை பயறு - 1/2 கிலோ,
பயறு உளுந்து மாவு - 1 1/4 கப்,
இயற்கை சுத்திகரிக்கப்படாத கரும்பு சர்க்கரை - 1/2 கப்,
நெய்/தெளிவுபடுத்தப்பட்ட வெண்ணெய் - 1/3 கப் உருகியது,
வகைவகையான கொட்டைகள் - 1/2 கப்,
திராட்சை - 1/4 கப்,
ஏலக்காய் - 4 பொடித்தது,
வறுத்த எள் - 2 டீஸ்பூன்.</t>
  </si>
  <si>
    <t>Roast urad dal on medium flame until brown. You need lot of patience for this but is worth the effort.
You have to roast urad dal to the color in the picture below. Transfer it to a plate to cool.
Dry roast green gram until you get a nice flavor of roasted green gram. Transfer it to a plate and cool.
Once it cools, mix both and give it to the mill for grinding it to a fine powder. I usually have this ground in the flour mill, and store it. I just take 1 -1 1/4 cup of flour to make laddus as and when required. This laddu flour or laddu mavu can be stored for a month.
Those who do not have a flour mill in their place can prepare in less quantity using the mixie or food processor.
Now the flour for making healthy payaru laddu is ready.
Powder nattu sakkarai finely and keep it aside. You can use white sugar also for this. To make it healthy, I have used natural unrefined cane sugar. You can also use palm sugar. Whatever you use powder it finely and keep it ready.
Chop all the nuts into small pieces. Dry roast all the nuts. I have used cashew nuts, almonds and few walnuts.
In a big plate or bowl, mix together, all the nuts, flour and nattu sakkarai (unrefined cane sugar).
Heat a tsp of ghee, fry the raisins until they puff up and add to the flour + nuts + nattu sakkarai mix.
Add cardamom powder, roasted sesame seeds and mix everything well. Melt ghee and add little to a small portion of flour and make balls. Prepare it batch by batch. Do not  pour the ghee to the whole mixture. The ghee has to be warm, so keep it inside a bowl of hot water, add to the mix little at a time and make balls.
Add just enough ghee to make balls. If you feel you can make balls, stop adding ghee. I needed 1/3 cup of ghee. If you would make balls with lesser quantity of ghee, then it is fine.
These payaru ulundu urundai has a self life of 7-10 days.
Prepare healthy snacks like this often at home and enjoy a healthy life!!</t>
  </si>
  <si>
    <t>உளுந்தை மிதமான தீயில் பழுப்பு நிறமாக வறுக்கவும். இதற்கு உங்களுக்கு நிறைய பொறுமை தேவை, ஆனால் முயற்சிக்கு மதிப்புள்ளது.
கீழே உள்ள படத்தில் உள்ள நிறத்திற்கு உளுந்தை வறுக்க வேண்டும். அதை ஒரு தட்டில் மாற்றி குளிர்விக்க வேண்டும்.
வறுத்த பச்சை பயிரின் நல்ல சுவை கிடைக்கும் வரை பச்சை பயிரை உலர வறுக்கவும். அதை ஒரு தட்டில் மாற்றி ஆறவிடவும்.
ஆறியதும், இரண்டையும் கலந்து, நன்றாக அரைக்க ஆலைக்குக் கொடுங்கள். நான் வழக்கமாக இதை மாவு ஆலையில் அரைத்து சேமித்து வைப்பேன். தேவைப்படும்போது லட்டு தயாரிக்க நான் 1 -1 1/4 கப் மாவை எடுத்துக்கொள்கிறேன். இந்த லட்டு மாவு அல்லது லட்டு மாவை ஒரு மாதம் வரை சேமித்து வைக்கலாம்.
மாவு ஆலை இல்லாதவர்கள் மிக்சி அல்லது உணவு செயலியைப் பயன்படுத்தி குறைந்த அளவில் தயாரிக்கலாம்.
இப்போது ஆரோக்கியமான பயறு லட்டு தயாரிக்க மாவு தயாராக உள்ளது.
நாட்டுச் சக்கரையை நன்றாகப் பொடி செய்து ஒதுக்கி வைக்கவும். இதற்கு வெள்ளைச் சர்க்கரையையும் பயன்படுத்தலாம். அதை ஆரோக்கியமாக்க, நான் இயற்கையான சுத்திகரிக்கப்படாத கரும்புச் சர்க்கரையைப் பயன்படுத்தினேன். நீங்கள் பனைச் சர்க்கரையையும் பயன்படுத்தலாம். நீங்கள் எதைப் பயன்படுத்தினாலும் அதை நன்றாகப் பொடி செய்து தயாராக வைத்திருங்கள்.
அனைத்து கொட்டைகளையும் சிறிய துண்டுகளாக நறுக்கவும். அனைத்து கொட்டைகளையும் உலர வைக்கவும். நான் முந்திரி, பாதாம் மற்றும் சில வால்நட்ஸைப் பயன்படுத்தினேன்.
ஒரு பெரிய தட்டில் அல்லது கிண்ணத்தில், அனைத்து கொட்டைகள், மாவு மற்றும் நாட்டுச் சக்கரை (சுத்திகரிக்கப்படாத கரும்புச் சர்க்கரை) ஆகியவற்றை ஒன்றாகக் கலக்கவும்.
ஒரு தேக்கரண்டி நெய்யை சூடாக்கி, திராட்சையை கொப்பளிக்கும் வரை வறுக்கவும், மாவு + கொட்டைகள் + நாட்டுச் சக்கரை கலவையில் சேர்க்கவும்.
ஏலக்காய்த் தூள், வறுத்த எள் சேர்த்து எல்லாவற்றையும் நன்றாகக் கலக்கவும். நெய்யை உருக்கி, சிறிது சிறிதாக மாவில் சேர்த்து உருண்டைகளாக உருட்டவும். ஒவ்வொரு கட்டமாகத் தயாரிக்கவும். முழு கலவையிலும் நெய்யை ஊற்ற வேண்டாம். நெய் சூடாக இருக்க வேண்டும், எனவே அதை ஒரு கிண்ணத்தில் சூடான நீரில் வைத்து, கலவையில் சிறிது சிறிதாகச் சேர்த்து உருண்டைகளாக உருட்டவும்.
உருண்டைகளாக உருட்ட போதுமான நெய்யைச் சேர்க்கவும். நீங்கள் உருண்டைகளைச் செய்ய முடியும் என்று நினைத்தால், நெய் சேர்ப்பதை நிறுத்துங்கள். எனக்கு 1/3 கப் நெய் தேவைப்பட்டது. குறைந்த அளவு நெய்யுடன் உருண்டைகளைச் செய்தால், பரவாயில்லை.
இந்த பயறு உளுந்து உருண்டை 7-10 நாட்கள் நீடிக்கும்.
இது போன்ற ஆரோக்கியமான சிற்றுண்டிகளை வீட்டிலேயே அடிக்கடி தயாரித்து ஆரோக்கியமான வாழ்க்கையை அனுபவிக்கவும்!!</t>
  </si>
  <si>
    <t xml:space="preserve">    maida - 1 1/2 cup,
    semolina - 1/4 cup,
   Oil/ghee - 1 1/2 tbsp,
   Salt - a generous pinch,
   Fried Gram - 1/2 cup,
   Grated coconut - 1/2 cup,
   Powdered sugar - 3/4 cup,
   Cashew nuts – 1/4 cup,
   Cardamom - 4,
   Oil for deep frying.
</t>
  </si>
  <si>
    <t>In a bowl or big plate, mix together maida, oil, rava and salt together. Add water little at a time and make a smooth and stiff dough as you make for poori. Cover it with a damp cloth and keep it aside for 1- 1 1/2 hours.
Dry roast fried gram slightly or until it is hot to touch. Once it cools, powder it coarsely.
Heat 1/2 tsp of ghee and fry the coconut until the moisture goes and you get a nice aroma of fried coconut. You do not have to brown it.
Fry cashew nuts in 1/2 tsp of ghee.
Powder sugar finely along with cardamom.
Now mix together coarsely ground fried gram, coconut, powdered sugar and cashew nuts well. Now the stuffing for the somas is ready.
Now take the dough, knead it well and divide it into equal balls. Dusting flour, roll out a ball into a small poori. Using a lid, press on the rolled out dough and remove the excess dough. You will get a perfect circle. I used a lid  4 inch in diameter. In this method all the somas will be of the same size.
Place 2-2 1/2 tsp of stuffing in the middle of the circle. Now dip your finger in water and apply it on the edges of half a circle, so that the somas will stick well and the stuffing will not come out while frying.
sweet somas recipe 
Now close it and seal the edges well by pressing it with your fingers. Using a fork, give a nice design to the somas.
Repeat the same process for the rest of the dough. Now our prepared somas are all waiting to be fried.
Heat oil in a heavy bottomed kadai, when oil is hot, reduce the heat to medium (to check if the oil is hot, drop a small piece of dough into the oil, if it comes to the surface immediately, then the oil is hot enough to fry the somas). Drop 2-3 somas (depending on the capacity of the kadai and quantity of oil used) and fry both sides until golden brown.
Place it in a colander or a paper towel to drain excess oil.
Repeat the same process for the rest of the prepared somas dough with stuffing.
Enjoy preparing this crispy and delicious sweet somas or karchikai or karanji for Diwali this year.</t>
  </si>
  <si>
    <t>ஒரு கிண்ணத்தில் அல்லது பெரிய தட்டில், மைதா, எண்ணெய், ரவை மற்றும் உப்பு ஆகியவற்றை ஒன்றாகக் கலக்கவும். சிறிது சிறிதாக தண்ணீர் சேர்த்து, பூரி செய்வது போல் மென்மையான மற்றும் கெட்டியான மாவை உருவாக்கவும். ஈரமான துணியால் மூடி 1- 1 1/2 மணி நேரம் ஒதுக்கி வைக்கவும்.
வறுத்த பருப்புகளை சிறிது அல்லது தொடுவதற்கு சூடாக இருக்கும் வரை வறுக்கவும். அது ஆறியதும், கரகரப்பாக பொடி செய்யவும்.
1/2 டேபிள்ஸ்பூன் நெய்யை சூடாக்கி, தேங்காயை ஈரப்பதம் போய், வறுத்த தேங்காயின் நல்ல மணம் வரும் வரை வறுக்கவும். நீங்கள் அதை பழுப்பு நிறமாக்க வேண்டியதில்லை.
முந்திரி பருப்பை 1/2 தேக்கரண்டி நெய்யில் வறுக்கவும்.
சர்க்கரையை ஏலக்காயுடன் சேர்த்து நன்றாக பொடிக்கவும்.
இப்போது பொடியாக அரைத்த பருப்பு, தேங்காய், பொடித்த சர்க்கரை மற்றும் முந்திரி பருப்பை நன்றாக கலக்கவும். இப்போது சோமாஸுக்கான ஸ்டஃபிங் தயாராக உள்ளது.
இப்போது மாவை எடுத்து, நன்றாக பிசைந்து, சமமான உருண்டைகளாகப் பிரிக்கவும். மாவைத் தூவி, ஒரு பந்தை ஒரு சிறிய பூரியாக உருட்டவும். ஒரு மூடியைப் பயன்படுத்தி, உருட்டிய மாவை அழுத்தி, அதிகப்படியான மாவை அகற்றவும். உங்களுக்கு ஒரு சரியான வட்டம் கிடைக்கும். நான் 4 அங்குல விட்டம் கொண்ட ஒரு மூடியைப் பயன்படுத்தினேன். இந்த முறையில் அனைத்து சோமாக்களும் ஒரே அளவில் இருக்கும்.
வட்டத்தின் நடுவில் 2-2 1/2 தேக்கரண்டி ஸ்டஃபிங்கை வைக்கவும். இப்போது உங்கள் விரலை தண்ணீரில் நனைத்து, அரை வட்டத்தின் விளிம்புகளில் தடவவும், இதனால் சோமாக்கள் நன்றாக ஒட்டிக்கொள்ளும், மேலும் வறுக்கும்போது ஸ்டஃபிங் வெளியே வராது.
இப்போது அதை மூடி, உங்கள் விரல்களால் அழுத்தி விளிம்புகளை நன்றாக மூடவும். ஒரு முட்கரண்டியைப் பயன்படுத்தி, சோமாஸுக்கு ஒரு நல்ல வடிவமைப்பைக் கொடுங்கள்.
மீதமுள்ள மாவிற்கும் அதே செயல்முறையை மீண்டும் செய்யவும். இப்போது நாம் தயாரித்த சோமாக்கள் அனைத்தும் பொரிக்கக் காத்திருக்கின்றன.
அடி கனமான கடாயில் எண்ணெயைச் சூடாக்கவும், எண்ணெய் சூடானதும், தீயை நடுத்தரமாகக் குறைக்கவும் (எண்ணெய் சூடாக இருக்கிறதா என்று சோதிக்க, ஒரு சிறிய துண்டு மாவை எண்ணெயில் விடவும், அது உடனடியாக மேற்பரப்புக்கு வந்தால், எண்ணெய் சோமாக்களை வறுக்கும் அளவுக்கு சூடாக இருக்கும்). 2-3 சோமாக்களை (கடாயின் கொள்ளளவு மற்றும் பயன்படுத்தப்படும் எண்ணெயின் அளவைப் பொறுத்து) போட்டு, இருபுறமும் பொன்னிறமாகும் வரை வறுக்கவும்.
அதிகப்படியான எண்ணெயை வடிகட்ட ஒரு வடிகட்டி அல்லது காகிதத் துண்டில் வைக்கவும்.
மீதமுள்ள தயாரிக்கப்பட்ட சோமாஸ் மாவிற்கும் ஸ்டஃபிங்குடன் அதே செயல்முறையை மீண்டும் செய்யவும்.
இந்த ஆண்டு தீபாவளிக்கு இந்த மொறுமொறுப்பான மற்றும் சுவையான இனிப்பு சோமாக்கள் அல்லது கர்ஜிக்காய் அல்லது கரஞ்சியை தயாரித்து மகிழுங்கள்.</t>
  </si>
  <si>
    <t>https://encrypted-tbn0.gstatic.com/images?q=tbn:ANd9GcSKlMcFn0ULrdl4yIfpCrJ00KhjSJJQcS_3Tw&amp;s</t>
  </si>
  <si>
    <t xml:space="preserve">   sooji - 1/2 cup,
   Sugar - 1 cup,
   Ghee-clarified butter - 1/2 cup,
   Water - 1 1/2 cup,
   Pineapple -chopped - 1/2 cup,
   Cashew nuts - 10,
   Cardamom powder - 4-5 powdered,
   Yellow food color – 2 drops or a pinch.</t>
  </si>
  <si>
    <t>சூஜி - 1/2 கப்,
சர்க்கரை - 1 கப்,
நெய் தெளித்த வெண்ணெய் - 1/2 கப்,
தண்ணீர் - 1 1/2 கப்,
அன்னாசி - நறுக்கியது - 1/2 கப்,
முந்திரி பருப்பு - 10,
ஏலக்காய் தூள் - 4-5 பொடித்தது,
மஞ்சள் உணவு நிறம் - 2 சொட்டுகள் அல்லது ஒரு சிட்டிகை.</t>
  </si>
  <si>
    <t>Heat the rest of the ghee and fry the rava in ghee for 2-3 minutes.
preparation for Pineapple Kesari
Let the rava get roasted slightly in ghee.
Now add the chopped pineapple and mix well.
Bring 1 1/2 cup of water to boil, add a pinch of food color or kesari powder in it.
Now add the boiling water to the rava, stirring continuously. Cook the rava on medium flame.
Once all the water has evaporated, add sugar. When you add sugar, the mixture will turn watery again.
Cook the rava well on medium or low flame.
When it starts leaving the sides of the pan (picture below) add fried cashew nuts,cardamom powder and switch off the heat.
As it cools it will thicken. This Kesari stays good at room temperature for 2 days and for nearly 4-5 days in the refrigerator. The second day it tastes even better with a nice pineapple flavor.
You can even make slices as shown below on the second day. Pack into a baking pan after preparing kesari, sprinkle or place cashew nuts on the top. Leave it to cool. Then  you can cut it into slices.</t>
  </si>
  <si>
    <t>மீதமுள்ள நெய்யை சூடாக்கி, ரவையை நெய்யில் 2-3 நிமிடங்கள் வறுக்கவும்.
அன்னாசி கேசரிக்கான தயாரிப்பு
ரவையை நெய்யில் சிறிது வறுக்கவும்.
இப்போது நறுக்கிய அன்னாசிப்பழத்தைச் சேர்த்து நன்கு கலக்கவும்.
1 1/2 கப் தண்ணீரை கொதிக்க விடவும், அதில் ஒரு சிட்டிகை உணவு நிறம் அல்லது கேசரி தூள் சேர்க்கவும்.
இப்போது ரவையில் கொதிக்கும் நீரைச் சேர்த்து, தொடர்ந்து கிளறவும். ரவையை மிதமான தீயில் சமைக்கவும்.
அனைத்து தண்ணீரும் ஆவியாகியதும், சர்க்கரை சேர்க்கவும். நீங்கள் சர்க்கரை சேர்க்கும்போது, ​​கலவை மீண்டும் தண்ணீராக மாறும்.
ரவாவை மிதமான அல்லது குறைந்த தீயில் நன்றாக சமைக்கவும்.
அது வாணலியின் ஓரங்களை விட்டு வெளியேறத் தொடங்கியதும் (கீழே உள்ள படம்) வறுத்த முந்திரி, ஏலக்காய் தூள் சேர்த்து அடுப்பை அணைக்கவும்.
அது குளிர்ந்ததும் கெட்டியாகும். இந்த கேசரி அறை வெப்பநிலையில் 2 நாட்கள் மற்றும் குளிர்சாதன பெட்டியில் கிட்டத்தட்ட 4-5 நாட்கள் நன்றாக இருக்கும். இரண்டாவது நாள் இது ஒரு நல்ல அன்னாசிப்பழ சுவையுடன் இன்னும் சுவையாக இருக்கும்.
இரண்டாவது நாளில் கீழே காட்டப்பட்டுள்ளபடி துண்டுகளை கூட செய்யலாம். கேசரி தயாரித்த பிறகு பேக்கிங் பாத்திரத்தில் பேக் செய்யவும், மேலே முந்திரி கொட்டைகளை தூவவும் அல்லது வைக்கவும். அதை குளிர்விக்க விடவும். பின்னர் நீங்கள் அதை துண்டுகளாக வெட்டலாம்.</t>
  </si>
  <si>
    <t>https://www.jinooskitchen.com/wp-content/uploads/2018/06/pineapple-kesari-final-500x500.jpg</t>
  </si>
  <si>
    <t xml:space="preserve">   Grated carrots - 2 cups,
   Milk - 3/4 cup,
   Sugar - 1/4 cup,
   Ghee – 3 tbsp,
   Cashew nuts - 10,
   Raisins - 2 tbsp,
   Cardamom Powder – 1/4 tsp.</t>
  </si>
  <si>
    <t>துருவிய கேரட் - 2 கப்,
பால் - 3/4 கப்,
சர்க்கரை - 1/4 கப்,
நெய் - 3 டேபிள் ஸ்பூன்,
முந்திரி பருப்பு - 10,
திராட்சை - 2 டேபிள் ஸ்பூன்,
ஏலக்காய் பொடி - 1/4 டேபிள் ஸ்பூன்.</t>
  </si>
  <si>
    <t>Wash, peel the skin and grate carrots finely. (use the small hole for grating)
Heat 1 1/2 tbsp of ghee and fry the raisins on low heat until they puff up. Remove and keep it aside. In the same pan, fry cashew nuts until golden brown.Remove from pan.
If required, add another tsp of ghee and fry the grated carrots on low flame stirring continuously for 3-4 minutes.
Add milk to the carrots and pressure cook for 1 whistle.
Once the pressure subsides, open the cooker and cook on high flame stirring continuously until all the milk evaporates.
Once the milk dries up, add sugar and continue to cook on medium flame until the mixture is thick.
Add a tbsp of ghee and cook for a further 3-4 minutes stirring continuously until the mixture thickens.
If using, you can add little grated unsweetened khoya at this stage and cook for few more seconds. I did not add.
Add cashew nuts, raisins, cardamom powder, mix well and cook for another 2-3 seconds.
Serve this delicious gajar ka halwa hot or warm. I did the whole process in my small pressure cooker.</t>
  </si>
  <si>
    <t>கழுவி, தோல் உரித்து, கேரட்டை நன்றாக தட்டி வைக்கவும். (துருவுவதற்கு சிறிய துளையைப் பயன்படுத்தவும்)
1 1/2 டேபிள் ஸ்பூன் நெய்யை சூடாக்கி, திராட்சையை குறைந்த தீயில் அவை வீங்கும் வரை வறுக்கவும். அதை எடுத்து ஒதுக்கி வைக்கவும். அதே வாணலியில், முந்திரி பருப்புகளை பொன்னிறமாகும் வரை வறுக்கவும். வாணலியில் இருந்து எடுக்கவும்.
தேவைப்பட்டால், மற்றொரு டேபிள் ஸ்பூன் நெய்யைச் சேர்த்து, துருவிய கேரட்டை குறைந்த தீயில் 3-4 நிமிடங்கள் தொடர்ந்து கிளறி விடுங்கள்.
கேரட்டில் பால் சேர்த்து 1 விசில் வேக வைக்கவும்.
அழுத்தம் தணிந்தவுடன், குக்கரைத் திறந்து, அதிக தீயில் தொடர்ந்து கிளறி, பால் அனைத்தும் ஆவியாகும் வரை சமைக்கவும்.
பால் காய்ந்ததும், சர்க்கரையைச் சேர்த்து, கலவை கெட்டியாகும் வரை மிதமான தீயில் சமைக்கவும்.
ஒரு டேபிள்ஸ்பூன் நெய்யைச் சேர்த்து, கலவை கெட்டியாகும் வரை தொடர்ந்து கிளறி 3-4 நிமிடங்கள் சமைக்கவும்.
நீங்கள் பயன்படுத்தினால், இந்த கட்டத்தில் சிறிது துருவிய கோவாவைச் சேர்த்து இன்னும் சில வினாடிகள் சமைக்கலாம். நான் சேர்க்கவில்லை.
முந்திரி, திராட்சை, ஏலக்காய் தூள் சேர்த்து, நன்கு கலந்து மேலும் 2-3 வினாடிகள் சமைக்கவும்.
இந்த சுவையான கஜர் கா ஹல்வாவை சூடாகவோ அல்லது சூடாகவோ பரிமாறவும். நான் என் சிறிய பிரஷர் குக்கரில் முழு செயல்முறையையும் செய்தேன்.</t>
  </si>
  <si>
    <t>https://www.vegrecipesofindia.com/wp-content/uploads/2021/11/gajar-halwa-carrot-halwa.jpg</t>
  </si>
  <si>
    <t>இப்போது எல்லாவற்றையும் தயாராக வைத்திருங்கள் – அரைத்த போஹா, சூடான நெய் (நான் அதை ஒரு கிண்ணத்தில் வெந்நீரில் வைத்திருந்தேன்), இயற்கை சுத்திகரிக்கப்படாத சர்க்கரை, ஏலக்காய்த் தூள், முந்திரி பருப்பு மற்றும் நெய்யில் வறுத்த திராட்சை.
ஒரு கிண்ணத்தில், அரைத்த போஹா, நாட்டுச் சக்கரை, ஏலக்காய்த் தூள், முந்திரி பருப்பு மற்றும் திராட்சை ஆகியவற்றை அந்த 1 தேக்கரண்டி நெய்யுடன் ஒன்றாகக் கலக்கவும்.
முதலில் எல்லாவற்றையும் கலக்கவும். பின்னர் சிறிது சிறிதாக நெய் சேர்க்கவும். கலவையிலிருந்து லட்டு செய்ய முடிந்தவுடன், நெய் சேர்ப்பதை நிறுத்துங்கள். தேவைப்பட்டால் உங்கள் கைகளில் நெய் தடவி, கலவையிலிருந்து லட்டுகளை உருவாக்குங்கள்.
சுவையான மற்றும் ஆரோக்கியமான அவல் லட்டு தயார். இதை நீங்கள் பண்டிகைகளுக்காகத் தயாரிக்கலாம், உங்கள் குழந்தைகளின் சிற்றுண்டிப் பெட்டியில் பேக் செய்யலாம் அல்லது பள்ளியிலிருந்து சோர்வாகத் திரும்பும்போது கொடுக்கலாம்.
குழந்தைகளுக்கான ஆரோக்கியமான சிற்றுண்டி ரெசிபிகளுக்கான கோரிக்கைகள் எனக்குக் கிடைத்து வருகின்றன. அனைத்து சுண்டல்களும் மிகவும் ஆரோக்கியமானவை, மேலும் மாலையில் குழந்தைகளுக்கு சிற்றுண்டியாகக் கொடுக்கலாம். ஆழமாக வறுக்கப்படாத, வெள்ளை சர்க்கரை, அனைத்து வகையான மாவு, பாதுகாப்புகள் அல்லது எந்த செயற்கை வண்ணமயமாக்கல் பொருட்களும் இல்லாத சில ஆரோக்கியமான மற்றும் பாரம்பரிய சிற்றுண்டிகளை நான் பட்டியலிட்டுள்ளேன். குழந்தைகள் மற்றும் பெரியவர்களுக்கு ஏற்ற மற்றும் ஆரோக்கியமான சிற்றுண்டிகள்.</t>
  </si>
  <si>
    <t>Khoya  - 1 cup,
maida – 1/3 cup,
Cooking soda – a generous pinch,
Oil for deep frying,
Sugar – 1 1/2 cup,
Water – 2  cups,
Cardamom powder - 1/4 tsp ,
Rose essence – 1/4 tsp.</t>
  </si>
  <si>
    <t>In a bowl mix together khoya, maida and cooking soda. Then add little water to make a soft pliable dough. Since the khoya itself has moisture, you do not need much water. You will need approximately 1 -1 1/2 tbsp of water. Let the dough sit for 5 minutes.
See the picture below, the dough is ready. You do not have to knead the dough as you do for chapati. The dough should be smooth, that’s all. Now divide the dough into equal parts and make smooth balls without any cracks. While making balls ensure that you do not give much pressure.Keep the dough covered to prevent it from drying.
Now heat oil in a kadai, when the oil is hot, reduce the temperature to low and fry the gulab jamuns. Keep stirring it gently for even browning. When the heat is high, the gulab jamuns will turn brown immediately and the inside will remain uncooked.That is the reason for frying the gulab jamuns in very low flame.
First they will turn golden brown, then they will change to a shade next to golden brown- light brown color. At this stage, remove the gulab jamuns from the oil with a slotted ladle and drop it into the sugar syrup. The sugar syrup should be warm and not very hot or cold when you drop the gulab jamuns in it. So ensure that the sugar syrup is warm when dropping the gulab jamuns in it.
Let all the Gulab jamuns remain soaked in the sugar syrup for 2-3 hours. Serve warm or chilled.</t>
  </si>
  <si>
    <t>ஒரு பாத்திரத்தில் கோயா, மைதா மற்றும் சமையல் சோடாவை ஒன்றாக கலக்கவும். பின்னர் சிறிது தண்ணீர் சேர்த்து மென்மையான நெகிழ்வான மாவை உருவாக்கவும். கோயாவில் ஈரப்பதம் இருப்பதால், உங்களுக்கு அதிக தண்ணீர் தேவையில்லை. உங்களுக்கு தோராயமாக 1 -1 1/2 தேக்கரண்டி தண்ணீர் தேவைப்படும். மாவை 5 நிமிடங்கள் அப்படியே வைக்கவும்.
கீழே உள்ள படத்தைப் பாருங்கள், மாவு தயாராக உள்ளது. சப்பாத்திக்கு செய்வது போல் மாவை பிசைய வேண்டியதில்லை. மாவு மென்மையாக இருக்க வேண்டும், அவ்வளவுதான். இப்போது மாவை சம பாகங்களாகப் பிரித்து, விரிசல் இல்லாமல் மென்மையான பந்துகளை உருவாக்குங்கள். பந்துகளை உருவாக்கும் போது நீங்கள் அதிக அழுத்தம் கொடுக்காமல் பார்த்துக் கொள்ளுங்கள். மாவை உலராமல் இருக்க மூடி வைக்கவும்.
இப்போது ஒரு கடாயில் எண்ணெயை சூடாக்கி, எண்ணெய் சூடானதும், வெப்பநிலையைக் குறைத்து, குலாப் ஜாமுன்களை வறுக்கவும். சமமாக பழுப்பு நிறமாக மாற மெதுவாகக் கிளறிக்கொண்டே இருங்கள். வெப்பம் அதிகமாக இருக்கும்போது, ​​குலாப் ஜாமுன்கள் உடனடியாக பழுப்பு நிறமாக மாறும், உட்புறம் சமைக்கப்படாமல் இருக்கும். அதனால்தான் குலாப் ஜாமுன்களை மிகக் குறைந்த தீயில் வறுக்க வேண்டும்.
முதலில் அவை தங்க பழுப்பு நிறமாக மாறும், பின்னர் அவை தங்க பழுப்பு-வெளிர் பழுப்பு நிறத்திற்கு அடுத்த நிழலுக்கு மாறும். இந்த கட்டத்தில், குலாப் ஜாமுன்களை எண்ணெயிலிருந்து ஒரு துளையிடப்பட்ட கரண்டியால் அகற்றி சர்க்கரை பாகில் விடவும். சர்க்கரை பாகில் குலாப் ஜாமுன்களை அதில் போடும்போது மிகவும் சூடாகவோ அல்லது குளிராகவோ இல்லாமல் சூடாக இருக்க வேண்டும். எனவே குலாப் ஜாமுன்களை அதில் போடும்போது சர்க்கரை பாகும் சூடாக இருப்பதை உறுதி செய்து கொள்ளுங்கள்.
அனைத்து குலாப் ஜாமுன்களும் சர்க்கரை பாகில் 2-3 மணி நேரம் ஊற வைக்கட்டும். சூடாகவோ அல்லது குளிரூட்டப்பட்டதாகவோ பரிமாறவும்.</t>
  </si>
  <si>
    <t>https://encrypted-tbn0.gstatic.com/images?q=tbn:ANd9GcTi2xxpzKOHgiblMofB0pwaZPoErYKSpNY4Rg&amp;s</t>
  </si>
  <si>
    <t xml:space="preserve">   Cashew nuts – 1 cup,
   Milk - 1/4 cup,
   Sugar - 3/4 cup,
   Water - 1/2 cup,
   Saffron strands – 10,
   Ghee - 1 tsp,
   2 tbsp -  of milk for removing the scum from the sugar syrup.</t>
  </si>
  <si>
    <t>முந்திரி பருப்பு - 1 கப்,
பால் - 1/4 கப்,
சர்க்கரை - 3/4 கப்,
தண்ணீர் - 1/2 கப்,
குங்குமப்பூ இழைகள் - 10,
நெய் - 1 டீஸ்பூன்,
சர்க்கரை பாகில் உள்ள கசடுகளை நீக்க 2 டேபிள் ஸ்பூன் பால்.</t>
  </si>
  <si>
    <t>சர்க்கரை மற்றும் தண்ணீரை குறைந்த தீயில் கலக்கவும். சர்க்கரை கரைந்து தண்ணீர் கொதிக்க ஆரம்பித்ததும், 2 டேபிள் ஸ்பூன் பால் சேர்த்து இன்னும் சில வினாடிகள் கொதிக்க வைக்கவும். கசடு அல்லது அழுக்கு மேற்பரப்பில் வரும். அதை அகற்றி சர்க்கரை பாகை வடிகட்டவும். இப்போது சர்க்கரை பாகை எந்த அசுத்தங்களும் இல்லாமல் சுத்தமாக இருக்கும்.
இப்போது சர்க்கரை பாகை ஒரு சரம் நிலைத்தன்மை (தமிழில் கம்பி பதம்) கிடைக்கும் வரை கொதிக்க வைக்கவும். பின்னர் முந்திரி பருப்பு விழுது மற்றும் குங்குமப்பூ இழைகளைச் சேர்க்கவும். ஒரு சரம் நிலைத்தன்மை பற்றி மேலும் அறிய எனது பூண்டி லட்டு செய்முறையைப் பாருங்கள்.
சுடரை மிதமான தீயில் வைத்து முந்திரி பருப்பு விழுதை தொடர்ந்து கிளறி சமைக்கவும்.
அது கெட்டியாகி, கீழே உள்ள படத்தில் காட்டப்பட்டுள்ளபடி பான் அல்லது கடாயின் பக்கவாட்டில் இருந்து வெளியேறத் தொடங்கும். இப்போது மாவை தயாரிக்கப்பட்ட நெய் தடவிய தட்டில் வைக்கவும். ஒரு உருட்டல் முள் அல்லது ஒரு தட்டையான கோப்பையின் அடிப்பகுதியில் சிறிது நெய் தடவி, கஜு கட்லி மாவை சமமாகப் பரப்பவும்.
அது சிறிது ஆறியதும், கூர்மையான கத்தியால் விரும்பியபடி வெட்டுங்கள். அது முழுமையாக ஆறிய பின்னரே துண்டுகளை அகற்றவும். எங்கள் கேசர் கஜு கட்லி தயாராக உள்ளது.</t>
  </si>
  <si>
    <t>https://thebaklavabox.com/cdn/shop/files/kesar-kaju-katli-593273.jpg?v=1719829802</t>
  </si>
  <si>
    <t xml:space="preserve">   Fresh Coconut grated - 1 cup,
   Milk – 1 1/4 cup,
   Sugar - 1/4 cup,
   Cardamom powder - 1/4 tsp,
   Ghee - 1 tsp.</t>
  </si>
  <si>
    <t xml:space="preserve">Heat a tsp of ghee and fry the grated coconut slightly.
Then add milk and cook on medium low until all the milk is absorbed. Keep stirring frequently to avoid the milk from getting burnt. You can use condensed milk also instead of milk. 
When all the milk is absorbed, add sugar. The mixture gets a little diluted once you add sugar.
Keep cooking on low flame for some more time until the mixture becomes sticky and you are able to make balls out of it. The mixture will also leave the sides of the pan.
Once it cools slightly, grease your hands with a little ghee and make even sized balls out of it. Delicious Coconut laddu is ready. You can engage your kids also in making these balls. Ensure that the mixture is warm before allowing them to shape laddus.
Prepare this easy and quick Diwali sweet and enjoy with your family and friends.
</t>
  </si>
  <si>
    <t>Homemade paneer – 110 grams,
Semolina – 1 tsp,
Cardamom – 1/4 tsp,
Sugar – 2 tsp,
maida for dusting - 1 tbsp,
Water – 2 1/2 cup,
Sugar - 1 cup,
Milk – 2 1/2 cups,
Sugar – 1/3 cup,
Cardamom powder - 1/4 tsp,
Saffron - 7-8 strands,
Pistachio -chopped – 2-3 tbsp,
Almonds - 2-3 tbsp.</t>
  </si>
  <si>
    <t>வீட்டில் பனீர் - 110 கிராம்,
ரவை - 1 தேக்கரண்டி,
ஏலக்காய் - 1/4 தேக்கரண்டி,
சர்க்கரை - 2 தேக்கரண்டி,
தூள் தூவுவதற்கு மைதா - 1 தேக்கரண்டி,
தண்ணீர் - 2 1/2 கப்,
சர்க்கரை - 1 கப்,
பால் - 2 1/2 கப்,
சர்க்கரை - 1/3 கப்,
ஏலக்காய் தூள் - 1/4 தேக்கரண்டி,
குங்குமப்பூ - 7-8 இழைகள்,
பிஸ்தா - நறுக்கியது - 2-3 தேக்கரண்டி,
பாதாம் - 2-3 தேக்கரண்டி.</t>
  </si>
  <si>
    <t xml:space="preserve">Knead paneer well into a pliable paste or until your hands become oily.Knead using the heel of your hands. Then add a tsp of rava, cardamom powder,sugar and knead lightly.
Then divide the paneer into equal pieces and make smooth balls. Ensure that there are no cracks. Then flatten it in the shape of a disc and place it on a maida dusted plate.
Heat sugar and water over low flame. Once the sugar dissolves, increase the flame. When the sugar water comes to rolling boil, reduce the temperature to medium and gently drop the prepared discs. See to it that the paneer discs do not touch each other. Close it and let it cook for 15 minutes. Check in between. After 15-20 minutes, the rasgullas would have doubled its original size. Switch off the flame and let it cool. This is rasgulla. Let the rasgulla remain soaked in sugar syrup for 1-2 hours. We will prepare the saffron flavored milk for rasmalai.
Boil 2 1/2 cups of milk until it reduces to 1 1/4 cup. Keep the flame in medium low and keep stirring from time to time to prevent the milk from getting burnt.
dissolves.Switch off the flame. Add almonds, pistachio and saffron soaked in a tbsp of milk. Mix well.
Now take the rasgulla from the sugar syrup, squeeze out the excess sugar syrup gently .
Then drop it into the creamy milk and let it cool. Once it cools, refrigerated it and serve chilled garnished with more almonds and pistachio.
The rasmalai was very soft and we all enjoyed it a lot. It was more delicious than what we get in shops. Just with 110 grams of paneer, you get 6 rasmalais. This is a perfect dessert for parties and get togethers. You can prepare it a day before and keep it in the refrigerator. </t>
  </si>
  <si>
    <t>பனீரை நன்கு பேஸ்டாக பிசைந்து கொள்ளவும் அல்லது உங்கள் கைகள் எண்ணெய் பசையாக மாறும் வரை பிசையவும். உங்கள் கைகளின் குதிகாலைப் பயன்படுத்தி பிசையவும். பின்னர் ஒரு தேக்கரண்டி ரவை, ஏலக்காய் தூள், சர்க்கரை சேர்த்து லேசாக பிசையவும்.
பின்னர் பனீரை சம துண்டுகளாகப் பிரித்து மென்மையான பந்துகளை உருவாக்கவும். விரிசல்கள் இல்லாமல் பார்த்துக் கொள்ளவும். பின்னர் அதை ஒரு வட்டு வடிவில் தட்டையாக்கி, மைதா தூவிய தட்டில் வைக்கவும்.
சர்க்கரை மற்றும் தண்ணீரை குறைந்த தீயில் சூடாக்கவும். சர்க்கரை கரைந்ததும், தீயை அதிகரிக்கவும். சர்க்கரை தண்ணீர் கொதிக்கும் போது, ​​வெப்பநிலையை நடுத்தரமாகக் குறைத்து, தயாரிக்கப்பட்ட தட்டுகளை மெதுவாக இறக்கவும். பனீர் தட்டுகள் ஒன்றையொன்று தொடாதபடி பார்த்துக் கொள்ளுங்கள். அதை மூடி 15 நிமிடங்கள் சமைக்க விடவும். இடையில் சரிபார்க்கவும். 15-20 நிமிடங்களுக்குப் பிறகு, ரஸ்குல்லாக்கள் அதன் அசல் அளவை இரட்டிப்பாக்கியிருக்கும். சுடரை அணைத்து ஆற விடவும். இது ரஸ்குல்லா. ரஸ்குல்லாவை சர்க்கரை பாகில் 1-2 மணி நேரம் ஊற வைக்கவும். ரஸ்மலாய்க்கு குங்குமப்பூ சுவையூட்டப்பட்ட பாலை நாங்கள் தயார் செய்வோம்.
2 1/2 கப் பாலை 1 1/4 கப் ஆகக் குறையும் வரை கொதிக்க வைக்கவும். தீயை மிதமான தீயில் வைத்து, பால் எரியாமல் இருக்க அவ்வப்போது கிளறிக்கொண்டே இருங்கள்.
கரைகிறது. தீயை அணைக்கவும். ஒரு டீஸ்பூன் பாலில் ஊறவைத்த பாதாம், பிஸ்தா மற்றும் குங்குமப்பூவைச் சேர்க்கவும். நன்றாக கலக்கவும்.
இப்போது சர்க்கரை பாகில் இருந்து ரசகுல்லாவை எடுத்து, அதிகப்படியான சர்க்கரை பாகை மெதுவாக பிழிந்து எடுக்கவும்.
பின்னர் அதை கிரீமி பாலில் போட்டு ஆற விடவும். அது ஆறியதும், குளிர்சாதன பெட்டியில் வைத்து, பாதாம் மற்றும் பிஸ்தாவுடன் அலங்கரித்து பரிமாறவும்.
ரசமலாய் மிகவும் மென்மையாக இருந்தது, நாங்கள் அனைவரும் அதை மிகவும் ரசித்தோம். கடைகளில் வாங்குவதை விட இது மிகவும் சுவையாக இருந்தது. 110 கிராம் பனீருடன், உங்களுக்கு 6 ரசமலாய்கள் கிடைக்கும். இது விருந்துகள் மற்றும் ஒன்றுகூடல்களுக்கு ஏற்ற இனிப்பு. நீங்கள் இதை ஒரு நாள் முன்பு தயாரித்து குளிர்சாதன பெட்டியில் வைக்கலாம்.</t>
  </si>
  <si>
    <t>https://palatesdesire.com/wp-content/uploads/2022/09/Rasmalai-recipe@palates-desire.jpg</t>
  </si>
  <si>
    <t>Take a heavy bottomed vessel, add melted ghee and 4 cups of milk.
Boil the milk in medium low flame.Keep stirring the milk from time to time. As the milk starts thickening, reduce the flame to low and stir continuously. Scrap the milk sticking to the sides of the pan with a ladle as you stir.The milk will become condensed (thick).This will take a long time. If you do not stir it, there are chances of the milk getting burnt and your whole effort will go waste.
When it becomes a solid mass, add sugar and cardamom powder. Once you add sugar, it will become a little watery. Keep stirring for some more time until it becomes thick. Switch off the flame.Once it cools it will thicken further.
Delicious and authentic thiratipal is ready.</t>
  </si>
  <si>
    <t>அடித்தளம் கொண்ட ஒரு கனமான பாத்திரத்தை எடுத்து, உருக்கிய நெய் மற்றும் 4 கப் பால் சேர்க்கவும்.
பாலை மிதமான தீயில் கொதிக்க வைக்கவும். அவ்வப்போது பாலை கிளறிக்கொண்டே இருங்கள். பால் கெட்டியாகத் தொடங்கும் போது, ​​தீயைக் குறைத்து தொடர்ந்து கிளறவும். நீங்கள் கிளறும்போது ஒரு கரண்டியால் பாலை வாணலியின் ஓரங்களில் ஒட்டிக்கொண்டிருக்கும். பால் கெட்டியாகிவிடும் (தடிமனாக) இது நீண்ட நேரம் எடுக்கும். நீங்கள் அதைக் கிளறவில்லை என்றால், பால் எரிந்து உங்கள் முழு முயற்சியும் வீணாகிவிடும்.
அது ஒரு திடமான கட்டியாக மாறியதும், சர்க்கரை மற்றும் ஏலக்காய்த்தூள் சேர்க்கவும். நீங்கள் சர்க்கரையைச் சேர்த்தவுடன், அது சிறிது தண்ணீராக மாறும். அது கெட்டியாகும் வரை இன்னும் சிறிது நேரம் கிளறிக்கொண்டே இருங்கள். தீயை அணைக்கவும். அது குளிர்ந்ததும் அது மேலும் கெட்டியாகும்.
சுவையான மற்றும் உண்மையான திராட்டிப்பால் தயாராக உள்ளது.</t>
  </si>
  <si>
    <t>https://s3-ap-south-1.amazonaws.com/betterbutterbucket-silver/yavana-saraswathy20171113093711571.jpeg</t>
  </si>
  <si>
    <t>Raw Rice – 3 1/2 tbsp ,
Milk – 4 cups,
Condensed milk – 3/4 cup,
Pistachio – 10-12,
Almonds – 10-12,
Cardamom powder – 1/2 tsp,
Saffron – 3,
Mango puree – 1/2 cup,
Ripe mangoes chopped – 3/4 cup,
Some chopped nuts and chopped mangoes.</t>
  </si>
  <si>
    <t>பச்சை அரிசி - 3 1/2 தேக்கரண்டி,
பால் - 4 கப்,
அடர்த்தியான பால் - 3/4 கப்,
பிஸ்தா - 10-12,
பாதாம் - 10-12,
ஏலக்காய் தூள் - 1/2 தேக்கரண்டி,
குங்குமப்பூ - 3,
மாங்காய் கூழ் - 1/2 கப்,
பழுத்த மாம்பழங்களை நறுக்கியது - 3/4 கப்,
சிறிது நறுக்கிய கொட்டைகள் மற்றும் நறுக்கிய மாம்பழங்கள்.</t>
  </si>
  <si>
    <t>Boil milk first. Once milk starts boiling, reduce the flame to low and add the ground rice paste.
Cook stirring continuously in low or medium flame until the milk thickens like a porridge.
Add condensed milk, cardamom powder and cook for a few seconds until everything gets blended well. Switch off the flame. Allow it to cool. Refrigerate for an hour. 
Remove from the refrigerator, add chopped nuts, mango puree,saffron, chopped mangoes and put it back into the refrigerator to chill further.
Garnish with few chopped mangoes, nuts and serve chilled. It tastes so heavenly.
Do prepare this exotic mango dessert and send your taste buds on a trip to heaven.</t>
  </si>
  <si>
    <t>முதலில் பாலை கொதிக்க வைக்கவும். பால் கொதிக்க ஆரம்பித்ததும், தீயை குறைத்து, அரைத்த அரிசி விழுதை சேர்க்கவும்.
பால் கஞ்சி போல கெட்டியாகும் வரை குறைந்த அல்லது நடுத்தர தீயில் தொடர்ந்து கிளறி விடுங்கள்.
அடர்த்தியான பால், ஏலக்காய் தூள் சேர்த்து, அனைத்தும் நன்றாகக் கலக்கும் வரை சில நொடிகள் சமைக்கவும். தீயை அணைக்கவும். குளிர்சாதன பெட்டியில் குளிர்சாதன பெட்டியில் வைக்கவும். ஒரு மணி நேரம் குளிர்சாதன பெட்டியில் வைக்கவும்.
குளிர்சாதன பெட்டியில் இருந்து இறக்கி, நறுக்கிய கொட்டைகள், மாம்பழ கூழ், குங்குமப்பூ, நறுக்கிய மாம்பழம் ஆகியவற்றைச் சேர்த்து, மீண்டும் குளிர்சாதன பெட்டியில் வைத்து மேலும் குளிர வைக்கவும்.
சிறிது நறுக்கிய மாம்பழங்கள், கொட்டைகள் சேர்த்து அலங்கரித்து குளிர்ச்சியாகப் பரிமாறவும். இது மிகவும் சுவையாக இருக்கும்.
இந்த அமானுஷ்ய மாம்பழ இனிப்பைத் தயாரித்து, உங்கள் சுவை மொட்டுகளை சொர்க்கத்திற்கு அனுப்புங்கள்.</t>
  </si>
  <si>
    <t>https://www.whiskaffair.com/wp-content/uploads/2021/06/Mango-Phirni-2-3.jpg</t>
  </si>
  <si>
    <t>Whole Urad dal – 150 grams,
Rice flour – 50 grams,
Cornflour - 150 grams,
Red orange color – a drop or a pinch,
Cloth for making jangiri ,
Sugar – 3/4 kg,
Milk - 1/2 cup,
Rose essence – 1/4 tsp.</t>
  </si>
  <si>
    <t>முழு உளுத்தம் பருப்பு - 150 கிராம்,
அரிசி மாவு - 50 கிராம்,
சோள மாவு - 150 கிராம்,
சிவப்பு ஆரஞ்சு நிறம் - ஒரு துளி அல்லது ஒரு சிட்டிகை,
ஜாங்கிரி செய்வதற்கு துணி,
சர்க்கரை - 3/4 கிலோ,
பால் - 1/2 கப்,
ரோஸ் எசன்ஸ் - 1/4 டீஸ்பூன்.</t>
  </si>
  <si>
    <t xml:space="preserve">Soak urad dal for 45 minutes. Then drain the water completely and grind nicely in a wet grinder. Add little water from time to time and grind it to a smooth paste.The batter should be soft and fluffy. (I ground for nearly 1 hour.)   
Now remove the batter from the grinder. Keep it aside. Do not add cornflour or rice flour now.
You have to prepare the sugar syrup first, then only start making jangiris.
Add just enough water to soak the sugar, then add 1/2 cup of milk and bring it to boil. The impurities in sugar will come to the surface. Remove and discard it. I used top class branded sugar, in spite of that, see how much impurities are there.(pictures 2-3 below) .
Now add rose essence and boil sugar syrup till you get one string consistency. This step is very important. To know what is one string consistency refer my boondi laddu recipe or mysore pak recipe.Then switch off the flame. We will prepare the batter and make jangiris now.
Before learning how to prepare jangiris, we will have a look at the traditional jangiri making cloth. It is made of thick cotton cloth with double piece in the center to give it more thickness. Then there is a hole with button hole stitch for piping jangiri. If you do not have this cloth, you can try using piping bags but I found it easier with this cloth as the hole was perfect. You can get it stitched from a tailor if needed.
Mix cornflour with little water and make a paste. Add rice flour, cornflour + water mix and the red orange color to the batter. Beat the batter nicely with your hands. Beating the batter is very important. The batter should be fluffy. Now the jangiri batter is ready.
Heat oil in a large shallow flat bottomed plate as shown in the picture. We call it tambalam. Now dampen the cloth a little so that the batter will not stick to the cloth. Place a ladle of batter in it. Fold it diagonally, gather all the corners, twist the cloth and hold it tightly. Now you are ready to pipe jangiris.
Once the oil is heated, reduce the heat and then start piping out jangiris.(you will find it difficult to pipe if the oil is too hot, that is why I am asking you to reduce the flame) Once you finish, turn the heat to medium flame. Be very careful and do it patiently. First pipe 2 circles, then on the top of it make smaller rounds without stopping as you see in the picture below. Got it. With practice, you will master it.
Now cook the jangiris in medium heat. Cook the other side also by flipping it over gently using a stainless steel rod.
Touch the jangiri with the rod, if it soft, then it has to be cooked for some more time.
Once cooked, remove it from oil and drop it into the prepared sugar syrup. Press it gently with a ladle inside the sugar syrup. Let is soak, meantime we will prepare the second batch.
Now prepare the second batch in the same manner as mentioned above.
Remove the first batch from the sugar syrup and keep it on a plate to dry. Then drop the second batch of jangiris into the sugar syrup. In this way repeat the process for the rest of the batter.
Yummy and delicious jangiris are ready. I throughly enjoyed making jangiris and writing this post. Hope you also enjoyed it.
</t>
  </si>
  <si>
    <t>உளுத்தம் பருப்பை 45 நிமிடங்கள் ஊற வைக்கவும். பின்னர் தண்ணீரை முழுவதுமாக வடிகட்டி, ஈரமான கிரைண்டரில் நன்றாக அரைக்கவும். அவ்வப்போது சிறிது தண்ணீர் சேர்த்து மென்மையான பேஸ்டாக அரைக்கவும். மாவு மென்மையாகவும் பஞ்சுபோன்றதாகவும் இருக்க வேண்டும். (நான் கிட்டத்தட்ட 1 மணி நேரம் அரைத்தேன்.)
இப்போது மாவை கிரைண்டரிலிருந்து அகற்றவும். அதை ஒதுக்கி வைக்கவும். இப்போது சோள மாவு அல்லது அரிசி மாவு சேர்க்க வேண்டாம்.
நீங்கள் முதலில் சர்க்கரை பாகை தயார் செய்ய வேண்டும், பின்னர் ஜாங்கிரிகளை மட்டும் தயாரிக்கத் தொடங்க வேண்டும்.
சர்க்கரையை ஊற வைக்கும் அளவுக்கு தண்ணீர் சேர்த்து, பின்னர் 1/2 கப் பால் சேர்த்து கொதிக்க வைக்கவும். சர்க்கரையில் உள்ள அசுத்தங்கள் மேல்தோன்றும். அதை எடுத்து அப்புறப்படுத்துங்கள். நான் உயர் ரக பிராண்டட் சர்க்கரையைப் பயன்படுத்தினேன், இருப்பினும், எவ்வளவு அசுத்தங்கள் உள்ளன என்பதைப் பாருங்கள். (கீழே உள்ள படங்கள் 2-3).
இப்போது ரோஸ் எசென்ஸைச் சேர்த்து, ஒரு ஸ்ட்ரிங் நிலைத்தன்மை கிடைக்கும் வரை சர்க்கரை பாகை வேகவைக்கவும். இந்தப் படி மிகவும் முக்கியமானது. ஒரு ஸ்ட்ரிங் நிலைத்தன்மை என்ன என்பதை அறிய எனது பூண்டி லட்டு செய்முறை அல்லது மைசூர் பாக் செய்முறையைப் பாருங்கள். பின்னர் சுடரை அணைக்கவும். மாவைத் தயாரித்து ஜாங்கிரிகளை இப்போது செய்வோம்.
ஜாங்கிரிகளை எப்படித் தயாரிப்பது என்பதைக் கற்றுக்கொள்வதற்கு முன், பாரம்பரிய ஜாங்கிரி தயாரிக்கும் துணியைப் பார்ப்போம். இது தடிமனான பருத்தி துணியால் ஆனது, மையத்தில் இரட்டை துண்டுடன் அதிக தடிமன் கொடுக்கப்படுகிறது. பின்னர் ஜாங்கிரி பைப்பிங் செய்வதற்கு பொத்தான் துளை தையல் கொண்ட ஒரு துளை உள்ளது. உங்களிடம் இந்த துணி இல்லையென்றால், நீங்கள் பைப்பிங் பைகளைப் பயன்படுத்தி முயற்சி செய்யலாம், ஆனால் துளை சரியாக இருந்ததால் இந்த துணியுடன் எளிதாக இருந்தது. தேவைப்பட்டால் நீங்கள் அதை ஒரு தையல்காரரிடமிருந்து தைக்கலாம்.
சோள மாவை சிறிது தண்ணீரில் கலந்து பேஸ்ட் செய்யவும். அரிசி மாவு, சோள மாவு + தண்ணீர் கலவை மற்றும் சிவப்பு ஆரஞ்சு நிறத்தை மாவில் சேர்க்கவும். மாவை உங்கள் கைகளால் நன்றாக அடிக்கவும். மாவை அடிப்பது மிகவும் முக்கியம். மாவு பஞ்சுபோன்றதாக இருக்க வேண்டும். இப்போது ஜாங்கிரி மாவு தயாராக உள்ளது.
படத்தில் காட்டப்பட்டுள்ளபடி, ஒரு பெரிய, ஆழமற்ற, தட்டையான அடிப்பகுதி கொண்ட தட்டில் எண்ணெயை சூடாக்கவும். இதை நாங்கள் தாம்பலம் என்று அழைக்கிறோம். இப்போது மாவு துணியில் ஒட்டாமல் இருக்க துணியை சிறிது நனைக்கவும். அதில் ஒரு கரண்டி மாவை வைக்கவும். அதை குறுக்காக மடித்து, அனைத்து மூலைகளையும் சேகரித்து, துணியை முறுக்கி இறுக்கமாகப் பிடிக்கவும். இப்போது நீங்கள் ஜாங்கிரிகளை பைப் செய்யத் தயாராக உள்ளீர்கள்.
எண்ணெய் சூடாக்கப்பட்டவுடன், தீயைக் குறைத்து, பின்னர் ஜாங்கிரிகளை பைப் செய்யத் தொடங்குங்கள். (எண்ணெய் மிகவும் சூடாக இருந்தால் பைப் செய்வது உங்களுக்கு கடினமாக இருக்கும், அதனால்தான் நான் சுடரைக் குறைக்கச் சொல்கிறேன்) நீங்கள் முடித்ததும், தீயை நடுத்தர தீயில் திருப்பவும். மிகவும் கவனமாக இருங்கள், பொறுமையாகச் செய்யுங்கள். முதலில் 2 வட்டங்களை குழாய்களாக வட்டமிடுங்கள், பின்னர் அதன் மேல் கீழே உள்ள படத்தில் நீங்கள் பார்க்கும்போது நிறுத்தாமல் சிறிய வட்டங்களைச் செய்யுங்கள். புரிகிறது. பயிற்சியுடன், நீங்கள் அதில் தேர்ச்சி பெறுவீர்கள்.
இப்போது ஜாங்கிரிகளை நடுத்தர வெப்பத்தில் சமைக்கவும். மறுபக்கத்தையும் ஸ்டெயின்லெஸ் ஸ்டீல் கம்பியைப் பயன்படுத்தி மெதுவாகப் புரட்டி சமைக்கவும்.
ஜாங்கிரியை கம்பியால் தொட்டு, அது மென்மையாக இருந்தால், இன்னும் சிறிது நேரம் சமைக்க வேண்டும்.
சமைத்தவுடன், எண்ணெயிலிருந்து அகற்றி, தயாரிக்கப்பட்ட சர்க்கரை பாகில் போடவும். சர்க்கரை பாகின் உள்ளே ஒரு கரண்டியால் மெதுவாக அழுத்தவும். ஊற விடவும், இதற்கிடையில் இரண்டாவது பாகத்தை தயார் செய்வோம்.
இப்போது மேலே குறிப்பிட்ட அதே முறையில் இரண்டாவது பாகத்தை தயார் செய்யவும்.
முதல் பாகத்தை சர்க்கரை பாகிலிருந்து எடுத்து உலர ஒரு தட்டில் வைக்கவும். பின்னர் இரண்டாவது பாகத்தை சர்க்கரை பாகில் போடவும். இந்த வழியில் மீதமுள்ள மாவுக்கு செயல்முறையை மீண்டும் செய்யவும்.
சுவையான மற்றும் சுவையான ஜாங்கிரிகள் தயாராக உள்ளன. ஜாங்கிரிகளை செய்து இந்தப் பதிவை எழுதுவதை நான் மிகவும் ரசித்தேன். நீங்களும் அதை ரசித்தீர்கள் என்று நம்புகிறேன்.</t>
  </si>
  <si>
    <t>Athirasam</t>
  </si>
  <si>
    <t>Raw Rice – 1 kg ,
Jaggery – 3/4 kg,
Cardamom - 6 ,
Oil for deep frying</t>
  </si>
  <si>
    <t>பச்சை அரிசி - 1 கிலோ, வெல்லம் - 3/4 கிலோ,
ஏலக்காய் - 6,
வறுக்க எண்ணெய்.</t>
  </si>
  <si>
    <t>Boil the jaggery water until you get a soft ball consistency also known as uruttu padham in tamil. Take a small cup of water, pour a tsp of jaggery syrup into it, if you are able to collect it and make a soft ball out of it, then it is the right consistency. Switch off the flame.This is the most important step in making adhirasams.
Immediately add needed hot jaggery syrup (little by little) to the rice flour and mix it well with a ladle as you see in picture below. Cover it with a lid and let it rest. After 4-5 hours, take it out and knead it well with your hands and keep it covered with a tight lid again. Let is rest for 1-2 days. (This dough can be kept for 2 days at room temperature.You do not have to refrigerate the dough).
I left it only for 1 day.
Take the dough out and knead again. Divide equally and make balls.
Meantime heat oil in a kadai, once the oil is heated, reduce the flame to medium.
Grease a banana leaf or a plastic cover with ghee and flatten the ball with your hands.You can grease your hands as well to make it easier.
Take the flattened dough in your hands from the leaf and gently slip it into the oil. Fry both sides till it turns nice brown color.(Keep the heat in medium as if the heat is high, it will turn brown immediately but will remain uncooked inside)
Remove from oil. Adhirsam has the tendency to absorb lot of oil. Press the adhirsam between two slotted ladles to remove excess oil. Then put it in a colander or on a paper towel to drain remaining excess oil.
Repeat the process for the rest of the dough. Hope I have made everything clear and easy for you.</t>
  </si>
  <si>
    <t>வெல்லத் தண்ணீரை மென்மையான உருண்டை நிலைத்தன்மை கிடைக்கும் வரை கொதிக்க வைக்கவும், இது தமிழில் உருட்டு பதம் என்றும் அழைக்கப்படுகிறது. ஒரு சிறிய கப் தண்ணீரை எடுத்து, அதில் ஒரு தேக்கரண்டி வெல்ல சிரப்பை ஊற்றவும், நீங்கள் அதை சேகரித்து ஒரு மென்மையான உருண்டையை உருவாக்க முடிந்தால், அது சரியான நிலைத்தன்மையாகும். சுடரை அணைக்கவும். அதிரசம் செய்வதில் இது மிக முக்கியமான படியாகும்.
உடனடியாக தேவையான சூடான வெல்ல சிரப்பை (கொஞ்சம் கொஞ்சமாக) அரிசி மாவில் சேர்த்து, கீழே உள்ள படத்தில் நீங்கள் காணும் வகையில் ஒரு கரண்டியால் நன்கு கலக்கவும். அதை ஒரு மூடியால் மூடி ஓய்வெடுக்கவும். 4-5 மணி நேரம் கழித்து, அதை வெளியே எடுத்து உங்கள் கைகளால் நன்றாக பிசைந்து, மீண்டும் ஒரு இறுக்கமான மூடியால் மூடி வைக்கவும். 1-2 நாட்கள் ஓய்வெடுக்கவும். (இந்த மாவை அறை வெப்பநிலையில் 2 நாட்கள் வைத்திருக்கலாம். மாவை குளிர்சாதன பெட்டியில் வைக்க வேண்டியதில்லை).
நான் ஒரு நாள் மட்டுமே வைத்திருந்தேன்.
மாவை எடுத்து மீண்டும் பிசையவும். சமமாகப் பிரித்து உருண்டைகளாக்குங்கள்.
இதற்கிடையில், ஒரு கடாயில் எண்ணெயை சூடாக்கி, எண்ணெய் சூடாக்கியவுடன், தீயை நடுத்தரமாகக் குறைக்கவும்.
ஒரு வாழை இலை அல்லது பிளாஸ்டிக் கவரில் நெய் தடவி, பந்தை உங்கள் கைகளால் தட்டையாக்குங்கள். அதை எளிதாக்க உங்கள் கைகளிலும் தடவலாம்.
உங்கள் கைகளில் தட்டையான மாவை இலையிலிருந்து எடுத்து மெதுவாக எண்ணெயில் நழுவ விடவும். அது நல்ல பழுப்பு நிறமாக மாறும் வரை இருபுறமும் வறுக்கவும். (சூடு அதிகமாக இருந்தால், அது உடனடியாக பழுப்பு நிறமாக மாறும், ஆனால் உள்ளே சமைக்கப்படாமல் இருக்கும்)
எண்ணெயிலிருந்து அகற்றவும். அதிர்சம் நிறைய எண்ணெயை உறிஞ்சும் தன்மை கொண்டது. அதிகப்படியான எண்ணெயை அகற்ற இரண்டு துளையிடப்பட்ட கரண்டிகளுக்கு இடையில் அதிர்சத்தை அழுத்தவும். பின்னர் மீதமுள்ள அதிகப்படியான எண்ணெயை வடிகட்ட ஒரு வடிகட்டியில் அல்லது ஒரு காகிதத் துண்டில் வைக்கவும்.
மீதமுள்ள மாவுக்கு இந்த செயல்முறையை மீண்டும் செய்யவும். நான் உங்களுக்கு எல்லாவற்றையும் தெளிவாகவும் எளிதாகவும் செய்துள்ளேன் என்று நம்புகிறேன்.</t>
  </si>
  <si>
    <t>https://static.toiimg.com/photo/60055377.cms</t>
  </si>
  <si>
    <t>Okkarai Sweet</t>
  </si>
  <si>
    <t>ஒக்கரை இனிப்பு</t>
  </si>
  <si>
    <t>Kadalai paruppu - 1/2 cup,
Moong dal – 1/2  cup,
Jaggery – 1 cup,
Ghee – 1/4 + 1 1/2 tbsp,
Coconut – 1/3 cup grated,
Cashew nuts - 10-12,
Cardamom powder - 1/4 tsp.</t>
  </si>
  <si>
    <t>கடலை பருப்பு - 1/2 கப்,
பாலாடை பருப்பு - 1/2 கப்,
வெல்லம் - 1 கப்,
நெய் - 1/4 + 1 1/2 டீஸ்பூன்,
தேங்காய் - 1/3 கப் துருவியது,
முந்திரி பருப்பு - 10-12,
ஏலக்காய் தூள் - 1/4 டீஸ்பூன்.</t>
  </si>
  <si>
    <t>Dry roast both the dal separately till you get a nice aroma. Do not brown it too much.
Soak both the dal together in hot water for 1 hour.
Drain the water completely and grind it without adding water.( it should neither be very fine nor very coarse, it should be in between both)
Then steam the ground dal in idli plate. Allow it to cool completely and then crumble it nicely. To make it easier, use the mixie.(Use the whipper button and the blade given for dry grinding) It will crumble evenly.
Heat 2 tsp of ghee and fry cashew nuts. Remove and in the same pan, fry the grated coconut until it turns golden brown.
Heat another 2 tsp of ghee and fry the crumbled dal for a few minutes.
In another kadai, heat jaggery, when it starts boiling, add cardamom powder, crumbled dal mixture, remaining ghee and cook in medium flame till it leaves the sides of the pan.
Then add fried coconut, cashew nuts and mix well. Okkarai sweet is ready.
Decorate it with cashew nuts and serve. I am sure you will all love this very simple and tasty sweet.</t>
  </si>
  <si>
    <t>இரண்டு பருப்பையும் தனித்தனியாக நல்ல மணம் வரும் வரை வறுக்கவும். அதிகமாக பழுப்பு நிறமாக இருக்க வேண்டாம்.
பருப்பை இரண்டையும் ஒன்றாக சூடான நீரில் 1 மணி நேரம் ஊற வைக்கவும்.
தண்ணீரை முழுவதுமாக வடிகட்டி, தண்ணீர் சேர்க்காமல் அரைக்கவும். (இது மிகவும் நன்றாகவோ அல்லது மிகவும் கரடுமுரடாகவோ இருக்கக்கூடாது, இரண்டிற்கும் இடையில் இருக்க வேண்டும்)
பின்னர் இட்லி தட்டில் அரைத்த பருப்பை வேகவைக்கவும். முழுவதுமாக ஆற விடவும், பின்னர் நன்றாக நொறுக்கவும். இதை எளிதாக்க, மிக்ஸியைப் பயன்படுத்தவும். (விப்பர் பட்டனையும் உலர வைக்க கொடுக்கப்பட்டுள்ள பிளேடையும் பயன்படுத்தவும்) அது சமமாக நொறுங்கும்.
2 டீஸ்பூன் நெய்யை சூடாக்கி, முந்திரி பருப்பை வறுக்கவும். அதே வாணலியில், துருவிய தேங்காயை எடுத்து, பொன்னிறமாகும் வரை வறுக்கவும்.
இன்னும் 2 தேக்கரண்டி நெய்யை சூடாக்கி, பொடியாக நறுக்கிய பருப்பை சில நிமிடங்கள் வறுக்கவும்.
இன்னொரு கடாயில், வெல்லம் கொதிக்க ஆரம்பித்ததும், ஏலக்காய்த்தூள், பொடியாக நறுக்கிய பருப்பு கலவை, மீதமுள்ள நெய் சேர்த்து, மிதமான தீயில் அது வாணலியின் ஓரங்களில் இருந்து நீங்கும் வரை சமைக்கவும்.
பின்னர் வறுத்த தேங்காய், முந்திரி சேர்த்து நன்கு கலக்கவும். ஒக்கரை இனிப்பு தயார்.
முந்திரி பருப்புகளால் அலங்கரித்து பரிமாறவும். இந்த மிக எளிமையான மற்றும் சுவையான இனிப்பை நீங்கள் அனைவரும் விரும்புவீர்கள் என்று நான் நம்புகிறேன்.</t>
  </si>
  <si>
    <t>https://encrypted-tbn0.gstatic.com/images?q=tbn:ANd9GcRcwULt_PhSmTSVDCOOpvuKdiSpPcZlLOCgJw&amp;s</t>
  </si>
  <si>
    <t>Mysore Pak</t>
  </si>
  <si>
    <t xml:space="preserve"> besan  - 1 cup,
Sugar – 2 cups,
Ghee –  2 cups,
A tray greased with ghee.</t>
  </si>
  <si>
    <t>கடலைப்பருப்பு - 1 கப்,
சர்க்கரை - 2 கப்,
நெய் தடவிய ஒரு தட்டில்.</t>
  </si>
  <si>
    <t>Melt ghee and keep it over a bowl of water in low flame as the ghee should be hot while adding.
In a pan/kadai take sugar, add just enough water to cover the sugar.Let the sugar dissolve.Then boil sugar syrup until it reaches the one string consistency stage.
 take a little sugar syrup, cool it and stretch the syrup between the thumb and index finger, if it forms a thin string, it is the correct stage.
When the sugar syrup reaches one string consistency, add the besan little at a time stirring continuously. Keep the flame in medium.Once it thickens slightly, add ghee, a little at a time and stir continuously without stopping.
It will start bubbling and when the besan mixture starts to leave the sides of the pan, remove from flame and pour it into a greased tray or plate.
Allow it to cool. After it cools a little, cut into desired shapes. Then remove the pieces gently after it is cooled completely.
This mysore pak was very soft, tasty and melted in our mouth. How about preparing this easy mysore pak recipe for your near and dear ones this Diwali.</t>
  </si>
  <si>
    <t>நெய்யை உருக்கி, ஒரு கிண்ணம் தண்ணீரில் குறைந்த தீயில் வைக்கவும், ஏனெனில் நெய் சேர்க்கும்போது சூடாக இருக்க வேண்டும்.
ஒரு பாத்திரம்/கடாயில் சர்க்கரையை எடுத்து, சர்க்கரையை மூடும் அளவுக்கு தண்ணீர் சேர்க்கவும். சர்க்கரை கரைய விடவும். பின்னர் சர்க்கரை பாகை ஒரு சரம் நிலைத்தன்மை அடையும் வரை கொதிக்க வைக்கவும்.
சிறிது சர்க்கரை பாகை எடுத்து, அதை குளிர்வித்து, கட்டைவிரலுக்கும் ஆள்காட்டி விரலுக்கும் இடையில் சிரப்பை நீட்டவும், அது ஒரு மெல்லிய சரம் உருவாகினால், அது சரியான நிலை.
சர்க்கரை பாகை ஒரு சரம் நிலைத்தன்மையை அடையும் போது, ​​கடலைப்பருப்பை சிறிது சிறிதாக சேர்த்து தொடர்ந்து கிளறவும். சுடரை நடுத்தர அளவில் வைக்கவும். சிறிது கெட்டியானதும், சிறிது சிறிதாக நெய்யைச் சேர்த்து, தொடர்ந்து கிளறவும்.
அது குமிழ ஆரம்பிக்கும், கடலைப்பருப்பு கலவை வாணலியின் பக்கவாட்டில் இருந்து வெளியேறத் தொடங்கும் போது, ​​சுடரிலிருந்து இறக்கி, எண்ணெய் தடவிய தட்டில் அல்லது தட்டில் ஊற்றவும்.
அதை குளிர்விக்க விடவும். சிறிது ஆறிய பிறகு, விரும்பிய வடிவங்களில் வெட்டவும். பின்னர் முழுமையாக ஆறிய பிறகு மெதுவாக துண்டுகளை அகற்றவும்.</t>
  </si>
  <si>
    <t>https://bansiwala.co.in/cdn/shop/files/MysorePak_01.jpg?v=1698482887&amp;width=416</t>
  </si>
  <si>
    <t>Cup Burfi</t>
  </si>
  <si>
    <t>கப் பர்ஃபி</t>
  </si>
  <si>
    <t>Bengal gram flour – 1 cup,
Ghee – 1 cup,
Grated coconut – 1 cup,
Milk – 1 cup,
Sugar – 2 3/4 cups,
Cashew nuts – 8-10.</t>
  </si>
  <si>
    <t>வங்காள கடலை மாவு - 1 கப்,
நெய் - 1 கப்,
தேங்காய் துருவியது - 1 கப்,
பால் - 1 கப்,
சர்க்கரை - 2 3/4 கப்,
முந்திரி பருப்பு - 8-10.</t>
  </si>
  <si>
    <t>Keep all the ingredients ready, including the greased tray.
Dry roast besan until the raw smell goes. Do not roast too much till it changes color. Switch off the flame.
Add sugar, milk and mix well so that there are no lumps.
Add coarsely ground cashew nuts, grated coconut and mix well.
Add half of the ghee and now switch on the gas. Keep it in medium flame and keep stirring continuously, otherwise it will get burnt.
When the mixture starts to bubble (see pic below), add the rest of the ghee and keep stirring continuously. Scrap the sides of the pan as you stir.
Now it has thickened and started to leave the sides of the pan. Once it starts leaving the sides of the pan or kadai , pour it into a greased plate or tray. Tap the tray for it to spread and then even the surface with a cup greased with ghee.Leave it to cool. (you can check if the right consistency is reached by pouring a spoon of the mixture on a plate, after it cools a bit, check if it hardens. If it does, then the consistency is perfect)
When it is warm, cut it into squares or any shape with a greased knife, but do not remove the pieces in a hurry like I did. Wait for it to cool completely and then remove the slices carefully.
Since this sweet has cashew nuts, coconut and milk in it, children will love this very much, so you can make this easy breezy diwali sweet for your kids also.</t>
  </si>
  <si>
    <t>நெய் தடவிய தட்டு உட்பட அனைத்து பொருட்களையும் தயாராக வைத்திருங்கள்.
பச்சை வாசனை போகும் வரை கடலை மாவை உலர வறுக்கவும். நிறம் மாறும் வரை அதிகமாக வறுக்க வேண்டாம். தீயை அணைக்கவும்.
சர்க்கரை, பால் சேர்த்து கட்டிகள் இல்லாதபடி நன்கு கலக்கவும்.
கொச்சையாக அரைத்த முந்திரி, துருவிய தேங்காய் சேர்த்து நன்கு கலக்கவும்.
நெய்யில் பாதியைச் சேர்த்து இப்போது கேஸை இயக்கவும். மிதமான தீயில் வைத்து தொடர்ந்து கிளறவும், இல்லையெனில் அது எரிந்துவிடும்.
கலவை குமிழ ஆரம்பிக்கும் போது (கீழே உள்ள படத்தைப் பார்க்கவும்), மீதமுள்ள நெய்யைச் சேர்த்து தொடர்ந்து கிளறவும். நீங்கள் கிளறும்போது பாத்திரத்தின் பக்கங்களை துடைக்கவும்.
இப்போது அது கெட்டியாகி, பாத்திரத்தின் பக்கங்களை விட்டு வெளியேறத் தொடங்கியது. அது பாத்திரம் அல்லது கடாயின் பக்கவாட்டில் இருந்து வெளியேறத் தொடங்கியதும், அதை நெய் தடவிய தட்டில் அல்லது தட்டில் ஊற்றவும். அது பரவுவதற்கு தட்டைத் தட்டவும், பின்னர் நெய் தடவிய ஒரு கப்பைப் பயன்படுத்தி மேற்பரப்பை சமப்படுத்தவும். அதை குளிர்விக்க விடவும். (ஒரு தட்டில் ஒரு ஸ்பூன் கலவையை ஊற்றுவதன் மூலம் சரியான நிலைத்தன்மையை அடைய முடியுமா என்பதை நீங்கள் சரிபார்க்கலாம், அது சிறிது ஆறிய பிறகு, அது கெட்டியாகிறதா என்று சரிபார்க்கவும். அது கெட்டியாகிறதா என்று சரிபார்க்கவும். அது கெட்டியானால், நிலைத்தன்மை சரியானது)
சூடானவுடன், எண்ணெய் தடவிய கத்தியால் சதுரங்களாகவோ அல்லது வேறு எந்த வடிவத்திலோ வெட்டுங்கள், ஆனால் நான் செய்தது போல் அவசரமாக துண்டுகளை அகற்ற வேண்டாம். அது முழுமையாக ஆற வரை காத்திருந்து பின்னர் துண்டுகளை கவனமாக அகற்றவும்.
இந்த இனிப்பில் முந்திரி, தேங்காய் மற்றும் பால் இருப்பதால், குழந்தைகள் இதை மிகவும் விரும்புவார்கள், எனவே உங்கள் குழந்தைகளுக்கும் இந்த எளிதான தென்றல் தீபாவளி இனிப்பை நீங்கள் செய்யலாம்.</t>
  </si>
  <si>
    <t>https://www.vegrecipesofindia.com/wp-content/uploads/2017/01/7-cup-barfi-recipe-1a-500x500.jpg</t>
  </si>
  <si>
    <t>Godhumai Halwa</t>
  </si>
  <si>
    <t>கோதுமை அல்வா</t>
  </si>
  <si>
    <t>Wheat flour – 1 cup,
Sugar – 2 1/2 cups,
Ghee – 3/4 cup,
Milk – 1/4 ,
Cornflour - 1 tbsp,
Cashew nuts - 10.</t>
  </si>
  <si>
    <t>கோதுமை மாவு - 1 கப்,
சர்க்கரை - 2 1/2 கப்,
நெய் - 3/4 கப்,
பால் - 1/4,
சோள மாவு - 1 டீஸ்பூன்,
முந்திரி பருப்பு - 10.</t>
  </si>
  <si>
    <t>Take 1 cup of wheat flour and make a stiff dough with approximately 1/4 cup + 1 tbsp of water.
Now take 2 cups of water and soak the stiff dough in it for 2-3 hours.
Mix the dough with your hands, until it dissolves well in the water and becomes milky.There should be no lumps.(pic -2)
Filter the milk (wheat flour milk) using a soup or juice strainer. Add 1 tbsp of cornflour to it and mix well. Also add a pinch of kesari powder to it.
Heat a heavy bottomed vessel or uruli, melt 1/4 cup of ghee, add the cow’s milk and the wheat flour milk. Keep the flame low and stir it continuously.
When it becomes slightly thick, (jam consistency) add sugar and mix well. Then add the rest of the ghee little by little stirring continuously.
Your hands will pain but you have to stir continuously without stopping in medium or low flame until the halwa starts leaving the sides of the pan. (See picture below).Then immediately pour it on a greased vessel.  
Grease the bottom of a cup with ghee and even the surface. Sprinkle fried cashew nuts on the top.It will stick to the halwa in the heat. Allow it to cool. Once it cools, it will set a little.You will not be able to make slices, as it will be of scooping consistency. 
Believe me, I am not very fond of halwa but kept on eating this halwa that day as it was so soft and delicious.</t>
  </si>
  <si>
    <t>1 கப் கோதுமை மாவை எடுத்து, தோராயமாக 1/4 கப் + 1 டீஸ்பூன் தண்ணீர் சேர்த்து கெட்டியான மாவை பிசையவும்.
இப்போது 2 கப் தண்ணீரை எடுத்து, கெட்டியான மாவை அதில் 2-3 மணி நேரம் ஊற வைக்கவும்.
மாவை உங்கள் கைகளால் தண்ணீரில் நன்றாகக் கரைந்து பால் போல ஆகும் வரை பிசையவும். கட்டிகள் எதுவும் இருக்கக்கூடாது. (படம் -2)
பாலை (கோதுமை மாவு பால்) ஒரு சூப் அல்லது ஜூஸ் வடிகட்டியைப் பயன்படுத்தி வடிகட்டி வைக்கவும். அதில் 1 டீஸ்பூன் சோள மாவைச் சேர்த்து நன்கு கலக்கவும். அதில் ஒரு சிட்டிகை கேசரிப் பொடியையும் சேர்க்கவும்.
ஒரு கனமான அடிப்பகுதி கொண்ட பாத்திரம் அல்லது உருளியை சூடாக்கி, 1/4 கப் நெய்யை உருக்கி, பசுவின் பால் மற்றும் கோதுமை மாவுப் பாலைச் சேர்க்கவும். தீயை குறைத்து வைத்து தொடர்ந்து கிளறவும்.
அது சற்று கெட்டியாகும்போது (ஜாம் நிலைத்தன்மை) சர்க்கரையைச் சேர்த்து நன்கு கலக்கவும். பின்னர் மீதமுள்ள நெய்யை சிறிது சிறிதாகச் சேர்த்து தொடர்ந்து கிளறவும்.
உங்கள் கைகள் வலிக்கும், ஆனால் ஹல்வா வாணலியின் பக்கவாட்டில் இருந்து வெளியேறத் தொடங்கும் வரை நடுத்தர அல்லது குறைந்த தீயில் நிறுத்தாமல் தொடர்ந்து கிளற வேண்டும். (கீழே உள்ள படத்தைப் பார்க்கவும்). பின்னர் உடனடியாக அதை எண்ணெய் தடவிய பாத்திரத்தில் ஊற்றவும்.
ஒரு கோப்பையின் அடிப்பகுதியில் நெய் தடவி மேற்பரப்பை சமமாக தடவவும். மேலே வறுத்த முந்திரியைத் தூவவும். அது வெப்பத்தில் ஹல்வாவுடன் ஒட்டிக்கொள்ளும். ஆற விடவும். அது ஆறியதும், அது சிறிது செட் ஆகும். நீங்கள் துண்டுகளை உருவாக்க முடியாது, ஏனெனில் அது ஸ்கூப் நிலைத்தன்மையுடன் இருக்கும்.
என்னை நம்புங்கள், எனக்கு ஹல்வா அவ்வளவு பிடிக்காது, ஆனால் அது மிகவும் மென்மையாகவும் சுவையாகவும் இருந்ததால் அன்று இந்த ஹல்வாவை சாப்பிட்டுக்கொண்டே இருந்தேன்.</t>
  </si>
  <si>
    <t>https://encrypted-tbn0.gstatic.com/images?q=tbn:ANd9GcQFFaEA-DAi_5RGE5sZt13TeV5pY3PH5VHHLg&amp;s</t>
  </si>
  <si>
    <t>கடலைப்பருப்பு லட்டு</t>
  </si>
  <si>
    <t xml:space="preserve">   Besan  - 1 1/2 cup,
   Fine Sooji  – 2 tbsp,
   Sugar - 3/4 cup powdered,
   Ghee – 1/3 cup,
   Cardamom powder – 1/4 tsp,
   Raisins – few,
   Almonds – 5-6 thinly sliced,
   Unsalted pistachio  - 2 tbsp for garnishing.</t>
  </si>
  <si>
    <t>கடலைப்பருப்பு - 1 1/2 கப்,
நல்ல சூஜி - 2 டேபிள்ஸ்பூன்,
சர்க்கரை - 3/4 கப் பொடித்தது,
நெய் - 1/3 கப்,
ஏலக்காய் பொடி - 1/4 டேபிள்ஸ்பூன்,
திராட்சை - சிறிது,
பாதாம் - 5-6 மெல்லியதாக நறுக்கியது,
உப்பு சேர்க்காத பிஸ்தா - அலங்கரிக்க 2 டேபிள்ஸ்பூன்.</t>
  </si>
  <si>
    <t>Heat ghee in a pan, reduce the flame, add besan and sooji (or even semolina flour) gradually and stir continuously so that there are no lumps.
Cook on low flame stirring continuously till you get a nice aroma of roasted besan and the color starts changing. (It will take approximately around 15 minutes on low flame.)
Switch off and remove from heat. Keep stirring for 2-3 minutes after removing from heat. Keep aside and let it become warm.
When it is warm, add sugar, almonds, cardamom powder, raisins and mix well.
Divide the mixture into equal portions and shape into medium lemon sized balls.
Decorate it with finely chopped pistachio and almonds. After it cools completely, store in an air tight container. This stays good for a week if handled properly.</t>
  </si>
  <si>
    <t>ஒரு கடாயில் நெய்யை சூடாக்கி, தீயை குறைத்து, கடலைப்பருப்பு மற்றும் சூஜி (அல்லது ரவை மாவு கூட) படிப்படியாக சேர்த்து கட்டிகள் இல்லாதபடி தொடர்ந்து கிளறவும்.
வறுத்த கடலைப்பருப்பின் நல்ல வாசனை வரும் வரை தொடர்ந்து கிளறி, நிறம் மாறத் தொடங்கும் வரை குறைந்த தீயில் சமைக்கவும். (குறைந்த தீயில் சுமார் 15 நிமிடங்கள் ஆகும்.)
அணைத்துவிட்டு அடுப்பிலிருந்து இறக்கவும். அடுப்பிலிருந்து இறக்கிய பின் 2-3 நிமிடங்கள் தொடர்ந்து கிளறிக்கொண்டே இருங்கள். ஒதுக்கி வைத்து சூடாக விடவும்.
அது சூடாகும்போது, ​​சர்க்கரை, பாதாம், ஏலக்காய் பொடி, திராட்சை சேர்த்து நன்கு கலக்கவும்.
இந்தக் கலவையை சம பாகங்களாகப் பிரித்து, நடுத்தர எலுமிச்சை அளவு உருண்டைகளாக உருட்டவும்.
பொடியாக நறுக்கிய பிஸ்தா மற்றும் பாதாம் பருப்புகளால் அலங்கரிக்கவும். அது முழுவதுமாக குளிர்ந்த பிறகு, காற்று புகாத கொள்கலனில் சேமிக்கவும். சரியாகக் கையாளப்பட்டால், இது ஒரு வாரம் வரை நன்றாக இருக்கும்.</t>
  </si>
  <si>
    <t>https://encrypted-tbn0.gstatic.com/images?q=tbn:ANd9GcQ-NaeYXwJKQZ2znVZ6SpPIi7G4PkxSMjW_fQ&amp;s</t>
  </si>
  <si>
    <t>1/2 cup - Almonds,
1/2 cup - Sugar,
1/2 cup -  Milk,
1/4 cup -  Ghee,
4 strands -  Saffron,
1 pinch -  Kesari color ,
2 tsp -  Ghee.</t>
  </si>
  <si>
    <t>1/2 கப் - பாதாம்,
1/2 கப் - சர்க்கரை,
1/2 கப் - பால்,
1/4 கப் - நெய்,
4 இழைகள் - குங்குமப்பூ,
1 சிட்டிகை - கேசரி கலர்,
2 தேக்கரண்டி - நெய்.</t>
  </si>
  <si>
    <t>https://encrypted-tbn0.gstatic.com/images?q=tbn:ANd9GcQcEx3gwS_q1TaULSQlm7pLwpNjnrBSRwUBsw&amp;s</t>
  </si>
  <si>
    <t>Raw rice – 3/4 cup,
Grated coconut – 1/2 cup,
Cardamom powder - 1/4 tsp,
Grated jaggery – 1 cup,
Wheat flour – 1/4 cup + 1 1/2 tbsp,
Oil for deep frying.</t>
  </si>
  <si>
    <t>பச்சை அரிசி - 3/4 கப்,
தேங்காய் துருவியது - 1/2 கப்,
ஏலக்காய் தூள் - 1/4 தேக்கரண்டி,
துருவிய வெல்லம் - 1 கப்,
கோதுமை மாவு - 1/4 கப் + 1 1/2 தேக்கரண்டி,
வறுக்க எண்ணெய்.</t>
  </si>
  <si>
    <t>Drain the water completely and grind the rice first in a mixie.Then add little water, grated coconut, cardamom powder and grind it to a smooth paste.You can rinse the mixie with 2 tbsp of water and add to the batter.
Add grated jaggery to it and mix well till it dissolves.
Then add wheat flour and mix well .The appam batter should be of dosa batter consistency, so adjust accordingly. (see picture above)
The batter need not ferment, you should make appams immediately after grinding it.
Heat oil in a small kadai, keep it in medium flame, take a small amount of batter in a table spoon or small ladle and drop it gently into the oil.
When it puffs, turn over and cook the other side also till golden brown. Drain the oil using a slotted ladle and take it out from the kadai. Deep fry one appam at a time.
Repeat the same process for the rest of the batter.
Sweet appam is ready to be served. It can had as a tea time snack.</t>
  </si>
  <si>
    <t>தண்ணீரை முழுவதுமாக வடிகட்டி, முதலில் அரிசியை மிக்ஸியில் அரைக்கவும். பின்னர் சிறிது தண்ணீர், துருவிய தேங்காய், ஏலக்காய் தூள் சேர்த்து மென்மையான பேஸ்டாக அரைக்கவும். மிக்ஸியை 2 தேக்கரண்டி தண்ணீரில் கழுவி மாவில் சேர்க்கவும்.
துருவிய வெல்லத்தை அதில் சேர்த்து கரையும் வரை நன்கு கலக்கவும்.
பின்னர் கோதுமை மாவை சேர்த்து நன்கு கலக்கவும். ஆப்பம் மாவு தோசை மாவு நிலைத்தன்மையுடன் இருக்க வேண்டும், எனவே அதற்கேற்ப சரிசெய்யவும். (மேலே உள்ள படத்தைப் பார்க்கவும்)
மாவு புளிக்க வேண்டியதில்லை, அரைத்த உடனேயே ஆப்பம் செய்ய வேண்டும்.
ஒரு சிறிய கடாயில் எண்ணெயை சூடாக்கி, மிதமான தீயில் வைத்து, ஒரு டேபிள் ஸ்பூன் அல்லது சிறிய கரண்டியில் சிறிது மாவை எடுத்து மெதுவாக எண்ணெயில் விடுங்கள்.
அது கொப்பளித்ததும், திருப்பி போட்டு மறுபக்கத்தையும் பொன்னிறமாகும் வரை சமைக்கவும். ஒரு துளையிடப்பட்ட கரண்டியைப் பயன்படுத்தி எண்ணெயை வடித்து, கடாயிலிருந்து எடுக்கவும். ஒவ்வொன்றாக ஆப்பத்தை ஆழமாக வறுக்கவும்.
மீதமுள்ள மாவிற்கும் இதே செயல்முறையை மீண்டும் செய்யவும்.
இனிப்பு ஆப்பம் தயாராக உள்ளது. இதை தேநீர் நேரத்தில் சிற்றுண்டியாக சாப்பிடலாம்.</t>
  </si>
  <si>
    <t>https://www.vegrecipesofindia.com/wp-content/uploads/2014/02/beetroot-halwa-recipe-1.jpg</t>
  </si>
  <si>
    <t>Maida – 1/4 kg,
Ghee – 50 grams,
Vanaspati – 100 grams,
Cooking soda – 1/4 tsp,
Sugar - 3/4 kg,
Water - 2 cups,
Milk – 4 tbsp,
Cardamom powder – 1/4 tsp,
Edible camphor – a pinch.</t>
  </si>
  <si>
    <t>மைதா - 1/4 கிலோ,
நெய் - 50 கிராம்,
வனஸ்பதி - 100 கிராம்,
சமையல் சோடா - 1/4 டீஸ்பூன்,
சர்க்கரை - 3/4 கிலோ,
தண்ணீர் - 2 கப்,
பால் - 4 டீஸ்பூன்,
ஏலக்காய் பொடி - 1/4 டீஸ்பூன்,
சாப்பிடக்கூடிய கற்பூரம் - ஒரு சிட்டிகை.</t>
  </si>
  <si>
    <t>First mix dalda, cooking soda and ghee nicely / vigorously for 10 minutes.Do it in the same direction.
Then add maida and mix well with your hands. Add water little by little and knead it into a soft dough.(I added around 1/4 cup and a little more water).This step is very important to get soft badushas.
Let it sit for 15 minutes .
After that divide the dough into equal lemon sized balls, flatten it a little and make a depression with your thumb in the middle.
Take a pan, add water and sugar and bring it to boil. Add milk and boil for a few more seconds. The impurities (if any) in sugar will come to the surface. Remove it with a ladle.
Then boil sugar syrup till it reaches one string consistency. Add cardamom powder and pachai karpuram.
Heat oil first , add 4-5 badusha, then keep in low flame and fry the badushas until golden brown. Flip them gently and cook both sides. You need lot of patience for this. 
Then drop them in the sugar syrup and let is sit for 6-7 minutes. 
Then remove it from the syrup and place it in a plate. Let the sugar syrup dry. 
If needed, garnish with grated coconut and cashew nuts on top while serving.</t>
  </si>
  <si>
    <t>முதலில் டால்டா, சமையல் சோடா மற்றும் நெய்யை 10 நிமிடங்கள் நன்றாக / தீவிரமாக கலக்கவும். அதே திசையில் செய்யவும்.
பின்னர் மைதாவைச் சேர்த்து உங்கள் கைகளால் நன்றாக கலக்கவும். சிறிது சிறிதாக தண்ணீரைச் சேர்த்து மென்மையான மாவாகப் பிசையவும். (நான் சுமார் 1/4 கப் மற்றும் இன்னும் கொஞ்சம் தண்ணீர் சேர்த்தேன்). மென்மையான பாதுஷாக்களைப் பெற இந்த படி மிகவும் முக்கியம்.
15 நிமிடங்கள் அப்படியே வைக்கவும்.
அதன் பிறகு மாவை சம எலுமிச்சை அளவு உருண்டைகளாகப் பிரித்து, சிறிது தட்டையாக்கி, உங்கள் கட்டைவிரலை நடுவில் வைத்து ஒரு குழியை உருவாக்கவும்.
ஒரு பாத்திரத்தை எடுத்து, தண்ணீர் மற்றும் சர்க்கரையைச் சேர்த்து கொதிக்க வைக்கவும். பால் சேர்த்து இன்னும் சில வினாடிகள் கொதிக்க விடவும். சர்க்கரையில் உள்ள அசுத்தங்கள் (ஏதேனும் இருந்தால்) மேல்பகுதிக்கு வரும். ஒரு கரண்டியால் அதை அகற்றவும்.
பின்னர் சர்க்கரை பாகு ஒரு நார் நிலைத்தன்மை அடையும் வரை கொதிக்க வைக்கவும். ஏலக்காய் தூள் மற்றும் பச்சை கற்பூரம் சேர்க்கவும்.
முதலில் எண்ணெயை சூடாக்கி, 4-5 பாதுஷாவை சேர்த்து, குறைந்த தீயில் வைத்து, பாதுஷாக்களை பொன்னிறமாகும் வரை வறுக்கவும். மெதுவாக திருப்பி இருபுறமும் சமைக்கவும். இதற்கு உங்களுக்கு நிறைய பொறுமை தேவை.
பின்னர் அவற்றை சர்க்கரை பாகில் போட்டு 6-7 நிமிடங்கள் அப்படியே வைக்கவும்.
பின்னர் அதை சிரப்பிலிருந்து எடுத்து ஒரு தட்டில் வைக்கவும். சர்க்கரை பாகை உலர விடவும்.
தேவைப்பட்டால், பரிமாறும் போது மேலே துருவிய தேங்காய் மற்றும் முந்திரி பருப்புகளால் அலங்கரிக்கவும்.</t>
  </si>
  <si>
    <t>https://aswinssweets.com/cdn/shop/products/Untitled-1_0020_DSC07043_0e4ec3af-d073-4776-b370-78190fa546d0.jpg?v=1740396721</t>
  </si>
  <si>
    <t>Boondi Ladoo</t>
  </si>
  <si>
    <t xml:space="preserve">   Kadalai mavu – 1/2 kg ,
   Rice flour – 1/4 cup,
   Cooking soda – 1/4 tsp and a pinch,
   Lemon Yellow food color – a pinch,
   Ghee – 1 1/2 tbsp,
   Sugar – 3/4 kg,
   Water – 2 cups,
   Milk – 1/4 cup to remove impurities from sugar,
   Cardamom powder – 1/4 tsp,
   Edible camphor -  a generous pinch,
   Cashew nuts - 25 grams,
   Raisins - 50 grams,
   Cloves – 5-6.</t>
  </si>
  <si>
    <t>கடலை மாவு - 1/2 கிலோ,
அரிசி மாவு - 1/4 கப்,
சமையல் சோடா - 1/4 டீஸ்பூன் மற்றும் ஒரு சிட்டிகை,
எலுமிச்சை மஞ்சள் உணவு நிறம் - ஒரு சிட்டிகை,
நெய் - 1 1/2 டீஸ்பூன்,
சர்க்கரை - 3/4 கிலோ,
தண்ணீர் - 2 கப்,
பால் - 1/4 கப் சர்க்கரையில் உள்ள அசுத்தங்களை நீக்க,
ஏலக்காய் தூள் - 1/4 டீஸ்பூன்,
உண்ணக்கூடிய கற்பூரம் - ஒரு சிட்டிகை,
முந்திரி பருப்பு - 25 கிராம்,
திராட்சை - 50 கிராம்,
கிராம்பு - 5-6.</t>
  </si>
  <si>
    <t xml:space="preserve">First you have to prepare the sugar syrup and keep it ready.
Take a pan, add water and sugar, mix well first. Then bring it to boil.
Add 1/4 cup of milk to it, all the impurities in sugar will come to the surface. Remove it with a ladle.
Boil sugar syrup till you get a one string consistency.
When you pour a little sugar syrup in a cup filled with little water, it should not dissolve.
When you touch it between your index finger and thumb and pull it apart, it should form a string.
Or just lift the ladle from the sugar syrup and wait for a few seconds- it will form a string. (in the pic above- the string is not clear but hold the ladle like that and see if it forms a string – that is right stage). Switch off the flame.
Add cardamom powder, pachai karpuram, fried cashew nuts, raisins and cloves to the sugar syrup.
I have already made a detailed post on how to make Kara boondi. The method is the same but the measurements are different.
Mix both bengal gram flour and rice flour, add cooking soda and a pinch of yellow color.
Add water and make a batter. I added around 2 cups + 1/3 cup of water and it was perfect for me. You add water little by little carefully to get the batter consistency (see picture above). It should neither be too thin nor thick.
Heat oil and pour a little batter on the boondi ladle and gently tap it. Tiny droplets of batter will fall into the hot oil. Fry till golden brown. Keep aside. Note – Do not fry it too crisp as for South Indian mixture or kara boondi. Remove it from oil a stage before that.
Repeat the process for the rest of the batter.
After the boondi cools a little, add half of it to the sugar syrup.
Put the rest of the boondi in a blender and grind it a little. Take a small mixie jar and blend it little by little only for a few seconds. (Do not make it a paste- see the second picture above)
Now add this also to the sugar syrup. Mix both well together.
Add a tbsp of ghee and make balls out of it. Yummm…. !!!!!!!! Boondi Laddus are ready.
Enjoy your Diwali by making these yummy laddus and also parcel it beautifully and gift to your near and dear ones.
</t>
  </si>
  <si>
    <t>முதலில் நீங்கள் சர்க்கரை பாகை தயார் செய்து தயாராக வைத்திருக்க வேண்டும்.
ஒரு பாத்திரத்தை எடுத்து, தண்ணீர் மற்றும் சர்க்கரை சேர்த்து, முதலில் நன்கு கலக்கவும். பின்னர் அதை கொதிக்க வைக்கவும்.
அதில் 1/4 கப் பால் சேர்க்கவும், சர்க்கரையில் உள்ள அனைத்து அசுத்தங்களும் மேற்பரப்புக்கு வரும். ஒரு கரண்டியால் அதை அகற்றவும்.
ஒரு சரம் நிலைத்தன்மை வரும் வரை சர்க்கரை பாகை கொதிக்க வைக்கவும்.
கொஞ்சம் தண்ணீர் நிரப்பப்பட்ட ஒரு கோப்பையில் சிறிது சர்க்கரை பாகை ஊற்றும்போது, ​​அது கரையக்கூடாது.
உங்கள் ஆள்காட்டி விரலுக்கும் கட்டைவிரலுக்கும் இடையில் அதைத் தொட்டுப் பிரிக்கும்போது, ​​அது ஒரு சரத்தை உருவாக்க வேண்டும்.
அல்லது சர்க்கரை பாகிலிருந்து கரண்டியை எடுத்து சில வினாடிகள் காத்திருக்கவும் - அது ஒரு சரத்தை உருவாக்கும். (மேலே உள்ள படத்தில் - சரம் தெளிவாக இல்லை, ஆனால் கரண்டியை அப்படியே பிடித்து, அது ஒரு சரத்தை உருவாக்குகிறதா என்று பாருங்கள் - அது சரியான நிலை). சுடரை அணைக்கவும்.
சர்க்கரை பாகத்துடன் ஏலக்காய் தூள், பச்சைக் கர்பூரம், வறுத்த முந்திரி, திராட்சை மற்றும் கிராம்பு ஆகியவற்றைச் சேர்க்கவும்.
காரா பூண்டி செய்வது எப்படி என்பது குறித்து நான் ஏற்கனவே ஒரு விரிவான பதிவைச் செய்துள்ளேன். முறை ஒன்றுதான், ஆனால் அளவீடுகள் வேறுபட்டவை.
வங்காள கடலை மாவு மற்றும் அரிசி மாவு இரண்டையும் கலந்து, சமையல் சோடா மற்றும் ஒரு சிட்டிகை மஞ்சள் நிறத்தைச் சேர்க்கவும்.
தண்ணீர் சேர்த்து ஒரு மாவை தயாரிக்கவும். நான் சுமார் 2 கப் + 1/3 கப் தண்ணீரைச் சேர்த்தேன், அது எனக்கு மிகவும் பொருத்தமாக இருந்தது. மாவின் நிலைத்தன்மையைப் பெற நீங்கள் சிறிது சிறிதாக தண்ணீரைச் சேர்க்கிறீர்கள் (மேலே உள்ள படத்தைப் பார்க்கவும்). இது மிகவும் மெல்லியதாகவோ அல்லது தடிமனாகவோ இருக்கக்கூடாது.
எண்ணெயை சூடாக்கி, பூண்டி கரண்டியில் சிறிது மாவை ஊற்றி மெதுவாகத் தட்டவும். மாவின் சிறிய துளிகள் சூடான எண்ணெயில் விழும். பொன்னிறமாகும் வரை வறுக்கவும். ஒதுக்கி வைக்கவும். குறிப்பு - தென்னிந்திய கலவை அல்லது காரா பூண்டியைப் போல மிகவும் மொறுமொறுப்பாக வறுக்க வேண்டாம். அதற்கு ஒரு கட்டத்திற்கு முன்பு எண்ணெயிலிருந்து அகற்றவும்.
மீதமுள்ள மாவுக்கு இந்த செயல்முறையை மீண்டும் செய்யவும்.
பூண்டி சிறிது குளிர்ந்த பிறகு, அதில் பாதியை சர்க்கரை பாகில் சேர்க்கவும்.
மீதமுள்ள பூண்டியை ஒரு பிளெண்டரில் போட்டு சிறிது சிறிதாக அரைக்கவும். ஒரு சிறிய மிக்ஸி ஜாடியை எடுத்து சிறிது சிறிதாக சில நொடிகள் மட்டும் கலக்கவும். (பேஸ்ட் செய்ய வேண்டாம் - மேலே உள்ள இரண்டாவது படத்தைப் பார்க்கவும்)
இப்போது இதையும் சர்க்கரை பாகில் சேர்க்கவும். இரண்டையும் நன்றாக கலக்கவும்.
ஒரு டீஸ்பூன் நெய் சேர்த்து அதில் இருந்து உருண்டைகள் செய்யவும். ம்ம்ம்…. !!!!!!!! பூண்டி லட்டுகள் தயார்.
இந்த சுவையான லட்டுகளைச் செய்து உங்கள் தீபாவளியை அனுபவித்து, அதை அழகாக பார்சல் செய்து, உங்கள் அன்புக்குரியவர்களுக்கு பரிசளிக்கவும்.</t>
  </si>
  <si>
    <t>https://encrypted-tbn0.gstatic.com/images?q=tbn:ANd9GcS1nVt_peSv2lZz3ly8CQscRuBsjl6ojXZO5g&amp;s</t>
  </si>
  <si>
    <t>Semolina - 1 cup,
Grated coconut - 3/4 cup,
Sugar – 3/4 cup,
Cashew nuts – 15,
Raisins - 15-20,
Blanched almonds - 10,
Cardamom powder - 1/4 tsp,
Milk - 1/4 cup and little more,
Ghee – 2 tbsp.</t>
  </si>
  <si>
    <t>ரவை - 1 கப்,
தேங்காய் துருவியது - 3/4 கப்,
சர்க்கரை - 3/4 கப்,
முந்திரி பருப்பு - 15,
திராட்சை - 15-20,
வெள்ளை பாதாம் - 10,
ஏலக்காய் பொடி - 1/4 டீஸ்பூன்,
பால் - 1/4 கப் மற்றும் இன்னும் கொஞ்சம்,
நெய் - 2 டீஸ்பூன்.</t>
  </si>
  <si>
    <t xml:space="preserve">Heat a tbsp of ghee and roast the rava over low heat till it changes color to light brown and you get a nice smell of roasted rava.
Powder sugar and keep it ready.
Heat another tbsp of ghee and fry the raisins, cashew nuts and almonds till raisins puff up and the nuts change color slightly.
Then add grated coconut and roast for a few more minutes.
Then add the roasted rava and mix well. Add sugar, cardamom powder and roast for a few more minutes.
Switch off the flame, add milk little by little and keep mixing it well. If you are able to make ladoos, stop adding milk.
rava ladduWhen the heat is bearable, divide mixture into equal parts and make small balls out of it.
sooji ladooRava Ladoos are ready. Store them in an airtight container. Since we have added milk, these ladoos can be stored only for 2-3 days.
It was very tasty, soft and divine and just melted in our mouths.
</t>
  </si>
  <si>
    <t>ஒரு டீஸ்பூன் நெய்யை சூடாக்கி, ரவையை குறைந்த தீயில் வைத்து, அது நிறம் மாறி, வறுத்த ரவையின் நல்ல வாசனை வரும் வரை வறுக்கவும்.
சர்க்கரையை பொடி செய்து தயாராக வைக்கவும்.
இன்னொரு டீஸ்பூன் நெய்யை சூடாக்கி, திராட்சை, முந்திரி பருப்பு மற்றும் பாதாம் ஆகியவற்றை வறுக்கவும், திராட்சை பொங்கி, கொட்டைகள் சிறிது நிறம் மாறும் வரை வறுக்கவும்.
பின்னர் துருவிய தேங்காய் சேர்த்து இன்னும் சில நிமிடங்கள் வறுக்கவும்.
பின்னர் வறுத்த ரவையை சேர்த்து நன்கு கலக்கவும். சர்க்கரை, ஏலக்காய் பொடி சேர்த்து இன்னும் சில நிமிடங்கள் வறுக்கவும்.
தீயை அணைத்து, சிறிது சிறிதாக பால் சேர்த்து நன்கு கலக்கவும். உங்களால் லட்டு செய்ய முடிந்தால், பால் சேர்ப்பதை நிறுத்துங்கள்.
ரவா லட்டு வெப்பம் தாங்கும் போது, ​​கலவையை சம பாகங்களாகப் பிரித்து, அதிலிருந்து சிறிய உருண்டைகளை உருவாக்குங்கள்.
சூஜி லட்டு ரவா லட்டுகள் தயார். காற்று புகாத கொள்கலனில் சேமிக்கவும். நாங்கள் பால் சேர்த்திருப்பதால், இந்த லட்டுகளை 2-3 நாட்களுக்கு மட்டுமே சேமிக்க முடியும்.
இது மிகவும் சுவையாகவும், மென்மையாகவும், தெய்வீகமாகவும் இருந்தது, எங்கள் வாயில் கரைந்தது.</t>
  </si>
  <si>
    <t>https://encrypted-tbn0.gstatic.com/images?q=tbn:ANd9GcThCe0fMWjHD9Iw5F6HR-NVlgdhVvby0bCBLg&amp;s</t>
  </si>
  <si>
    <t>Cashew nuts – 1 cup,
Sugar - 1/2 cup,
Cardamom powder - 1/4 tsp,
Saffron stands – 4-5,
Water – 1/4 cup,
Ghee - 2 tsp.</t>
  </si>
  <si>
    <t>https://static.toiimg.com/photo/55048826.cms</t>
  </si>
  <si>
    <t xml:space="preserve">  Grated coconut – 1 cup,
   Sugar – 3/4 cup + 1 tbsp,
   Ghee – 2 tsp,
   Cardamom powder – 1/4 tsp.</t>
  </si>
  <si>
    <t>தேங்காய் துருவல் - 1 கப்,
சர்க்கரை - 3/4 கப் + 1 டேபிள் ஸ்பூன்,
நெய் - 2 டேபிள் ஸ்பூன்,
ஏலக்காய் தூள் - 1/4 டேபிள் ஸ்பூன்.</t>
  </si>
  <si>
    <t>Take a kadai/pan (non stick preferable) add sugar and just enough water (approximately 1/2 cup) to cover the sugar and boil it.
When the sugar water starts boiling, add cardamom powder, ghee and the grated coconut.
Simmer and cook stirring often, till the coconut mixture starts foaming and leaves the sides of the pan. Take a small mixture and if you are able to make a ball out of it, switch off the flames.
Pour it on the greased tray or plate. After it cools a little, cut it into desired shapes.
Leave it to cool completely. After that take the pieces gently and store it in an air tight container.
Enjoy making this easy coconut burfi for Diwali.</t>
  </si>
  <si>
    <t>ஒரு கடாயை/பானை (குச்சியாக இல்லாமல்) எடுத்து, சர்க்கரை மற்றும் சர்க்கரையை மூடும் அளவுக்கு போதுமான தண்ணீர் (தோராயமாக 1/2 கப்) சேர்த்து கொதிக்க வைக்கவும்.
சர்க்கரை தண்ணீர் கொதிக்க ஆரம்பித்ததும், ஏலக்காய் தூள், நெய் மற்றும் துருவிய தேங்காயைச் சேர்க்கவும்.
தேங்காய் கலவை நுரை வர ஆரம்பித்து வாணலியின் பக்கவாட்டில் இருந்து வெளியேறும் வரை, அடிக்கடி கிளறி, வேகவைக்கவும். ஒரு சிறிய கலவையை எடுத்து, அதிலிருந்து ஒரு உருண்டையை உருவாக்க முடிந்தால், தீயை அணைக்கவும்.
எண்ணெய் தடவிய தட்டு அல்லது தட்டில் ஊற்றவும். சிறிது ஆறிய பிறகு, விரும்பிய வடிவங்களில் வெட்டவும்.
முழுமையாக ஆற விடவும். அதன் பிறகு துண்டுகளை மெதுவாக எடுத்து காற்று புகாத கொள்கலனில் சேமிக்கவும்.
தீபாவளிக்கு இந்த எளிதான தேங்காய் பர்ஃபியை செய்து மகிழுங்கள்.</t>
  </si>
  <si>
    <t>https://www.yummytummyaarthi.com/wp-content/uploads/2013/07/4-3-1024x682.jpg</t>
  </si>
  <si>
    <t xml:space="preserve">   Bread – 9 slices,
   Milk – 2 1/2 cups,
   Sugar- 3/4 – 1 cup,
   Kesari color – a pinch ,
   Cardamom powder – 1/4 tsp,
   Oil for frying,
   Ghee – 1 tbsp for frying nuts,
   Raisins – 10,
   Cashew nuts – few,
   Pistachio – few,
   Toasted almonds – few.</t>
  </si>
  <si>
    <t>ரொட்டி - 9 துண்டுகள்,
பால் - 2 1/2 கப்,
சர்க்கரை - 3/4 - 1 கப்,
கேசரி கலர் - ஒரு சிட்டிகை,
ஏலக்காய் தூள் - 1/4 டீஸ்பூன்,
வறுக்க எண்ணெய்,
நெய் - கொட்டைகள் வறுக்க 1 டீஸ்பூன்,
திராட்சை - 10,
முந்திரி பருப்பு - சிறிது,
பிஸ்தா - சிறிது,
வறுத்த பாதாம் - சிறிது.</t>
  </si>
  <si>
    <t xml:space="preserve">Take just enough water to soak the sugar. Add cardamom powder and boil the sugar water. Prepare sugar syrup. The sugar syrup should neither be thin nor thick.
Add the fried bread to the sugar syrup and cook for a few minutes.
Then add milk, simmer and cook uncovered till it reaches a semi solid state. It should not be dry.
Garnish with cashew nuts, pistachio, raisins and toasted almonds.
Enjoy it warm or cold as it tastes great both ways. I prefer to have it warm.
</t>
  </si>
  <si>
    <t>சர்க்கரையை ஊற வைக்கும் அளவுக்கு தண்ணீர் எடுத்துக் கொள்ளுங்கள். ஏலக்காய் தூள் சேர்த்து சர்க்கரை தண்ணீரை கொதிக்க வைக்கவும். சர்க்கரை பாகு தயார் செய்யவும். சர்க்கரை பாகு மெல்லியதாகவோ அல்லது கெட்டியாகவோ இருக்கக்கூடாது.
வறுத்த ரொட்டியை சர்க்கரை பாகில் சேர்த்து சில நிமிடங்கள் சமைக்கவும்.
பின்னர் பால் சேர்த்து, கொதிக்க வைத்து, அரை திட நிலையை அடையும் வரை மூடாமல் சமைக்கவும். அது உலரக்கூடாது.
முந்திரி பருப்பு, பிஸ்தா, திராட்சை மற்றும் வறுத்த பாதாம் ஆகியவற்றைக் கொண்டு அலங்கரிக்கவும்.
இரு வழிகளிலும் இது மிகவும் சுவையாக இருப்பதால், சூடாகவோ அல்லது குளிராகவோ அனுபவிக்கவும். நான் அதை சூடாக சாப்பிட விரும்புகிறேன்.</t>
  </si>
  <si>
    <t>https://x9s2d6a3.delivery.rocketcdn.me/wp-content/uploads/2018/04/double-ka-meetha-25_1200x1200.jpg</t>
  </si>
  <si>
    <t>Karadaiyan Nombu Special</t>
  </si>
  <si>
    <t>Take a plantain leaf or a Ziploc bag (if using plantain leaf, use the back side of the leaf), wipe it with a little water. Dip your fingers in water, take a small lemon sized ball of batter, flatten it with your hands keeping it on the banana leaf  and make a hole in the center .
Heat oil in a kadai (to check if the oil is hot enough, drop a little batter into the oil, if it comes to the surface immediately, the oil is hot enough to fry the vadas). Reduce the heat to medium. Then transfer the flattened batter to your hand from the leaf/ziploc bag and drop it into the hot oil carefully.
Once it is slightly cooked, flip it over to the other side and cook both sides until golden brown. 
Then remove the vada with a slotted ladle and place it in a colander or paper towel to remove excess oil, if any. You can fry 3-4 vadas at a time depending on the quantity of oil used.
Repeat the same process for the rest of the batter. Coconut Chutney is a great side dish for keerai vadai.
Enjoy hot keerai vadai with tea or coffee or even for breakfast along with idli and chutney.</t>
  </si>
  <si>
    <t>ஒரு வாழை இலை அல்லது ஜிப்லாக் பையை (வாழை இலையைப் பயன்படுத்தினால், இலையின் பின்புறத்தைப் பயன்படுத்தவும்) எடுத்து, சிறிது தண்ணீரில் துடைக்கவும். உங்கள் விரல்களை தண்ணீரில் நனைத்து, ஒரு சிறிய எலுமிச்சை அளவு மாவை எடுத்து, அதை உங்கள் கைகளால் வாழை இலையில் வைத்து தட்டையாக்கி, நடுவில் ஒரு துளை செய்யுங்கள்.
ஒரு கடாயில் எண்ணெயை சூடாக்கவும் (எண்ணெய் போதுமான அளவு சூடாக இருக்கிறதா என்று சோதிக்க, சிறிது மாவை எண்ணெயில் விடவும், அது உடனடியாக மேற்பரப்புக்கு வந்தால், எண்ணெய் வடைகளை வறுக்க போதுமான அளவு சூடாக இருக்கும்). தீயை நடுத்தரமாகக் குறைக்கவும். பின்னர் இலை/ஜிப்லாக் பையில் இருந்து தட்டையான மாவை உங்கள் கைக்கு மாற்றி, கவனமாக சூடான எண்ணெயில் விடவும்.
சிறிது வெந்ததும், மறுபுறம் திருப்பிப் போட்டு, இருபுறமும் பொன்னிறமாகும் வரை சமைக்கவும்.
பின்னர், ஒரு துளையிட்ட கரண்டியால் வடையை எடுத்து, அதிகப்படியான எண்ணெய் இருந்தால் அதை அகற்ற ஒரு வடிகட்டி அல்லது காகிதத் துண்டில் வைக்கவும். பயன்படுத்தப்படும் எண்ணெயின் அளவைப் பொறுத்து ஒரே நேரத்தில் 3-4 வடைகளை வறுக்கலாம்.
மீதமுள்ள மாவுக்கும் இதே செயல்முறையை மீண்டும் செய்யவும். தேங்காய் சட்னி கீரை வடைக்கு ஒரு சிறந்த துணை உணவாகும்.
தேநீர் அல்லது காபியுடன் அல்லது காலை உணவாக இட்லி மற்றும் சட்னியுடன் கூட சூடான கீரை வடையை அனுபவிக்கவும்.</t>
  </si>
  <si>
    <t>https://img-global.cpcdn.com/recipes/1af77a4f68fee1f0/680x482cq70/%E0%AE%95%E0%AE%B0-%E0%AE%B5%E0%AE%9F-keerai-vadai-recipe-in-tamil-%E0%AE%9A%E0%AE%AF%E0%AE%AE%E0%AE%B1-%E0%AE%AE%E0%AE%95%E0%AE%95%E0%AE%AF-%E0%AE%AA%E0%AE%95%E0%AE%AA%E0%AE%AA%E0%AE%9F%E0%AE%AE.jpg</t>
  </si>
  <si>
    <t>https://www.indianhealthyrecipes.com/wp-content/uploads/2022/05/cabbage-vada-cabbage-patties.jpg</t>
  </si>
  <si>
    <t xml:space="preserve">   Bengal gram – 3/4 cup,
   Tur dal – 1/4 cup,
   Green chillies – 2,
   Red chillies – 3,
   Hing – a generous pinch,
   Curry leaves – few tender ones,
   Salt to taste.</t>
  </si>
  <si>
    <t>பெரிய பருப்பு - 3/4 கப்,
துரும்பு பருப்பு - 1/4 கப்,
பச்சை மிளகாய் - 2,
சிவப்பு மிளகாய் - 3,
ஹிங் - ஒரு சிட்டிகை,
கறிவேப்பிலை - சிறிது இளஞ்சூடானவை,
ருசிக்க உப்பு.</t>
  </si>
  <si>
    <t>சன்னா பருப்பு மற்றும் துவரம் பருப்பு இரண்டையும் 1 மணி நேரம் ஊற வைக்கவும். 1 மணி நேரம் கழித்து, தண்ணீரை முழுவதுமாக வடிகட்டவும்.
ஊறவைத்த பருப்பில் 1/4 கப் எடுத்து தனியாக வைக்கவும்.
மீதமுள்ள பருப்பை சிவப்பு மிளகாய், பச்சை மிளகாய், ஹிங் மற்றும் உப்பு சேர்த்து நன்றாக அரைக்கவும்.
இப்போது நாம் ஒதுக்கி வைத்திருந்த 1/4 கப் பருப்பை சேர்க்கவும். அனைத்தையும் நன்றாக கலக்கவும்.
கலவையிலிருந்து சம அளவிலான உருண்டைகளை உருவாக்கி, கீழே காட்டப்பட்டுள்ளபடி உங்கள் விரல்களால் தட்டவும்.
ஒரு கடாயில் எண்ணெயை சூடாக்கவும். எண்ணெய் போதுமான அளவு சூடாக இருக்கிறதா என்று சரிபார்க்க, எண்ணெயில் சிறிது மாவை விடவும், அது உடனடியாக மேல்நோக்கி உயர்ந்தால், வடைகளை வறுக்கும் அளவுக்கு எண்ணெய் சூடாக இருக்கும்.
இப்போது தீயை மிதமாகக் குறைத்து, எண்ணெயில் 3 தட்டையான பஜ்ஜிகளைச் சேர்க்கவும். சிறிது நேரம் சமைக்க விடவும். பின்னர் அதை மறுபுறம் திருப்பிப் போடவும். அது தங்க பழுப்பு நிறமாக மாறியதும், எண்ணெயிலிருந்து எடுத்து, அதிகப்படியான எண்ணெயை வடிகட்ட ஒரு சமையலறை துண்டு அல்லது வடிகட்டியில் வைக்கவும். பருப்பு வடை தயார்.
இந்த பண்டிகைக் காலத்திற்கு இந்த எளிதான, விரைவான மற்றும் சுவையான பருப்பு வடைகளைச் செய்து மகிழுங்கள்.</t>
  </si>
  <si>
    <t>Karthigai Deepam Special</t>
  </si>
  <si>
    <t xml:space="preserve">Whole urad dal  – 1 cup,
Green chilies – 2,
Raw rice – 1/2tsp,
Fried gram - 1/2 tsp,
Salt - 1 tsp flat,
Plastic sheet ,
Oil for deep frying.
</t>
  </si>
  <si>
    <t>முழு உளுத்தம் பருப்பு - 1 கப்,
பச்சை மிளகாய் - 2,
பச்சை அரிசி - 1/2 டீஸ்பூன்,
பொரித்த பருப்பு - 1/2 டீஸ்பூன்,
உப்பு - 1 டீஸ்பூன் தட்டையானது,
பிளாஸ்டிக் தாள்,
வறுக்க எண்ணெய்.</t>
  </si>
  <si>
    <t>அடிப்படையில் ஆழமான கடாயில் எண்ணெயை சூடாக்கவும். எண்ணெய் சூடாக்கியவுடன், தீயை நடுத்தரமாகக் குறைக்கவும். எண்ணெய் சூடாக இருக்கிறதா என்று சோதிக்க, சிறிது மாவை விடுங்கள், அது உடனடியாக மேற்பரப்புக்கு வந்தால், எண்ணெய் வடைகளை வறுக்கும் அளவுக்கு சூடாக இருக்கும்.
இப்போது ஒரு கிண்ணத்தில் தண்ணீர் எடுத்து, உங்கள் விரல்களை நனைத்து, எலுமிச்சை அளவு வடை மாவை எடுத்து, ஒரு பிளாஸ்டிக் தாளில் அல்லது வாழை இலையின் பின்புறத்தில் சிறிது தட்டையாக்குங்கள். நடுவில் ஒரு துளை செய்து, வடிவ மாவை மெதுவாக உங்கள் கைகளுக்கு மாற்றி, சூடான எண்ணெயில் மெதுவாக வைக்கவும். (இதைச் செய்யும்போது மிகவும் கவனமாக இருங்கள்)
இருபுறமும் தங்க பழுப்பு நிறமாக மாறும் வரை வறுக்கவும். எண்ணெயிலிருந்து அகற்றி, அதிகப்படியான எண்ணெயை வடிகட்ட ஒரு வடிகட்டி அல்லது காகிதத் துண்டில் வைக்கவும்.
மீதமுள்ள மாவிற்கும் இதே செயல்முறையை மீண்டும் செய்யவும். உங்கள் கடாய் அளவு மற்றும் பயன்படுத்தப்படும் எண்ணெயின் அளவைப் பொறுத்து ஒரு நேரத்தில் 3-4 வடைகளை வறுக்கலாம்.</t>
  </si>
  <si>
    <t>https://encrypted-tbn0.gstatic.com/images?q=tbn:ANd9GcQfknB-9LfNYepyKnepv8PMW76WT_dFWQ5Ybg&amp;s</t>
  </si>
  <si>
    <t>Krishna Jayanthi Special</t>
  </si>
  <si>
    <t>Navratri Special</t>
  </si>
  <si>
    <t>Milk – 4 cups,
Basmati rice – 2 tbsp,
Ghee – 1 tsp ,
Sugar – 1/4 cup,
Saffron – few strands,
Cardamom powder – generous pinch.</t>
  </si>
  <si>
    <t>Take a pressure cooker, grease the bottom with 1/2 tsp ghee. This is done to prevent the milk from getting burnt. Add 4 cups of boiled milk and ground rice to the boiled milk.
Put a small plate or a spoon or a small vessel to prevent the milk from boiling over and spilling. I dropped a small plate inside the milk.
Close the pressure cooker and keep the flame in low. Once steam starts coming, put the weight and keep it in very low flame. After the 1st whistle switch off. Open and see after the pressure subsides. If the milk has not thickened, boil for some more time in low flame.
After 30 minutes (total time), my payasam looked thick and creamy.
Now add sugar, mix well and boil for a few seconds until sugar dissolves. I added 1/4 cup of sugar as I do not like very sweet payasam. You can add sugar according to your taste.
Then add saffron, cardamom powder and mix well. Serve hot or cold. It’s delicious either cold or hot.</t>
  </si>
  <si>
    <t>ஒரு பிரஷர் குக்கரை எடுத்து, அடிப்பகுதியில் 1/2 டீஸ்பூன் நெய் தடவவும். பால் எரிவதைத் தடுக்க இது செய்யப்படுகிறது. வேகவைத்த பாலில் 4 கப் வேகவைத்த பால் மற்றும் அரைத்த அரிசியைச் சேர்க்கவும்.
பால் கொதிக்காமல் இருக்க ஒரு சிறிய தட்டு அல்லது ஒரு ஸ்பூன் அல்லது ஒரு சிறிய பாத்திரத்தை வைக்கவும். நான் ஒரு சிறிய தட்டை பாலுக்குள் வைத்தேன்.
பிரஷர் குக்கரை மூடி, தீயை குறைவாக வைக்கவும். நீராவி வர ஆரம்பித்ததும், வெயிட்டை வைத்து மிகக் குறைந்த தீயில் வைக்கவும். முதல் விசில் வந்த பிறகு, அதை அணைக்கவும். திறந்து அழுத்தம் குறைந்த பிறகு பாருங்கள். பால் கெட்டியாகவில்லை என்றால், குறைந்த தீயில் சிறிது நேரம் கொதிக்க வைக்கவும்.
30 நிமிடங்களுக்குப் பிறகு (மொத்த நேரம்), என் பாயசம் கெட்டியாகவும் கிரீமியாகவும் இருந்தது.
இப்போது சர்க்கரையைச் சேர்த்து, நன்கு கலந்து, சர்க்கரை கரையும் வரை சில நொடிகள் கொதிக்க விடவும். எனக்கு மிகவும் இனிமையான பாயசம் பிடிக்காததால், 1/4 கப் சர்க்கரை சேர்த்தேன். உங்கள் சுவைக்கேற்ப சர்க்கரை சேர்க்கலாம்.
பின்னர் குங்குமப்பூ, ஏலக்காய் தூள் சேர்த்து நன்கு கலக்கவும். சூடாகவோ அல்லது குளிராகவோ பரிமாறவும். இது குளிர்ந்தாலும் அல்லது சூடாக இருந்தாலும் சுவையாக இருக்கும்.</t>
  </si>
  <si>
    <t>https://encrypted-tbn0.gstatic.com/images?q=tbn:ANd9GcQj5cDfjdbPZvhHyPao6op4TJNZr8dPRDmcEQ&amp;s</t>
  </si>
  <si>
    <t>Ramanavami Special</t>
  </si>
  <si>
    <t>Tamil New Year Special</t>
  </si>
  <si>
    <t>Thiruvathirai Special</t>
  </si>
  <si>
    <t>Varalakshmi Vratham Special</t>
  </si>
  <si>
    <t>Milk – 4 cups,
Basmati rice – 2 tbsp,
Ghee – 1 tsp,
Sugar – 1/4 cup,
Saffron – few strands,
Cardamom powder – generous pinch.</t>
  </si>
  <si>
    <t>https://encrypted-tbn0.gstatic.com/images?q=tbn:ANd9GcSOx4PElfz7vuFFSGby3-BubL6up7mEPa5rqA&amp;s</t>
  </si>
  <si>
    <t>Vinayaka Chaturthi Special</t>
  </si>
  <si>
    <t>Ammini Kozhukattai</t>
  </si>
  <si>
    <t>அம்மினி கொழுக்கட்டை</t>
  </si>
  <si>
    <t>Raw rice – 1/2 cup,
Sesame seed Oil – 1 tsp,
Salt – a pinch,
Water – 1 cup,
Oil – 1 tbsp,
Mustard seeds - 1 tsp,
Asafoetida – pinch,
Red chilli – 2,
Green chilli – 1,
Curry leaves – few,
Grated coconut – 1/4 cup,
Salt as per taste.</t>
  </si>
  <si>
    <t>பச்சை அரிசி - 1/2 கப்,
எள்ளு எண்ணெய் - 1 தேக்கரண்டி,
உப்பு - ஒரு சிட்டிகை,
தண்ணீர் - 1 கப்,
எண்ணெய் - 1 தேக்கரண்டி,
கடுகு விதைகள் - 1 தேக்கரண்டி,
அசாஃபோடிடா - ஒரு சிட்டிகை,
சிவப்பு மிளகாய் - 2,
பச்சை மிளகாய் - 1,
கறிவேப்பிலை - சிறிது,
தேங்காய் துருவியது - 1/4 கப்,
சுவைக்கேற்ப உப்பு.</t>
  </si>
  <si>
    <t>Soak rice for 4-5 hours. Grind it finely with little water from the 1 cup of water.
Boil the rest of the water, add 1 tsp oil, a pinch of salt, simmer and add the grounded paste. Stir continuously to prevent formation of lumps.
Cook till all the water evaporates and the dough leaves the sides of the pan. After it cools, grease your hands with oil and knead it well. Cover it with a damp cloth and let it sit for 10 minutes.
Make marble size balls out of the dough and steam cook for 10-15 minutes. Leave it to cool.
Now we will do the seasoning
Heat oil, add mustard seeds, when it splutters, add hing, red chilli, green chilli and curry leaves. Add the steamed balls, grated coconut, needed salt and mix well. Serve hot.
Mani/ Ammini Kozhukattai is ready to be served. If you want it spicy, sprinkle idli milagai podi/gun powder on it and mix it well. Serve hot.</t>
  </si>
  <si>
    <t>அரிசியை 4-5 மணி நேரம் ஊற வைக்கவும். 1 கப் தண்ணீரில் சிறிது தண்ணீர் சேர்த்து நன்றாக அரைக்கவும்.
மீதமுள்ள தண்ணீரை கொதிக்க வைத்து, 1 தேக்கரண்டி எண்ணெய், ஒரு சிட்டிகை உப்பு சேர்த்து, கொதிக்க வைத்து, அரைத்த விழுதை சேர்க்கவும். கட்டிகள் உருவாகாமல் இருக்க தொடர்ந்து கிளறவும்.
தண்ணீர் முழுவதும் ஆவியாகும் வரை மற்றும் மாவு பாத்திரத்தின் பக்கவாட்டில் இருந்து வெளியேறும் வரை சமைக்கவும். அது குளிர்ந்த பிறகு, உங்கள் கைகளில் எண்ணெய் தடவி நன்கு பிசையவும். ஈரமான துணியால் மூடி 10 நிமிடங்கள் அப்படியே வைக்கவும்.
மாவிலிருந்து பளிங்கு அளவு உருண்டைகளை உருவாக்கி, ஆவியில் 10-15 நிமிடங்கள் வேகவைக்கவும். அதை ஆற விடவும்.
இப்போது தாளிக்கப் போகிறோம்
எண்ணெயை சூடாக்கி, கடுகு சேர்த்து, அது வெடித்ததும், பெருங்காயம், சிவப்பு மிளகாய், பச்சை மிளகாய் மற்றும் கறிவேப்பிலை சேர்க்கவும். வேகவைத்த உருண்டைகள், துருவிய தேங்காய், தேவையான உப்பு சேர்த்து நன்கு கலக்கவும். சூடாக பரிமாறவும்.
மணி/அம்மினி கொழுக்கட்டை பரிமாற தயாராக உள்ளது. காரமாக வேண்டுமென்றால், அதன் மீது இட்லி மிளகாய் பொடி/கன் பவுடரை தூவி நன்கு கலக்கவும். சூடாக பரிமாறவும்.</t>
  </si>
  <si>
    <t>https://encrypted-tbn0.gstatic.com/images?q=tbn:ANd9GcR6U392Aj4gV8gZHPSqcut6ocqHquNjRHJ6Ng&amp;s</t>
  </si>
  <si>
    <t>Pongal Special</t>
  </si>
  <si>
    <t>30 gms -  Tamarind ,
4 -  Red Chilli,
1 tsp -  Rock Salt,
1 tsp -  Sesame seeds,
1/2 tsp -  Fenugreek seeds,
1/2 tsp -  Coriander seeds,
50 ml -  Gingelly Oil,
1 tsp -  Mustard seeds,
1 pinch -  Asafoetida,
1 sprig -  Curry leaves,
1/2 tsp -  Turmeric powder,
3 tbsp -  Roasted Peanuts.</t>
  </si>
  <si>
    <t>30 கிராம் - புளி,
4 - சிவப்பு மிளகாய்,
1 தேக்கரண்டி - கல் உப்பு,
1 தேக்கரண்டி - எள்,
1/2 தேக்கரண்டி - வெந்தயம்,
1/2 தேக்கரண்டி - கொத்தமல்லி,
50 மில்லி - எள் எண்ணெய்,
1 தேக்கரண்டி - கடுகு,
1 சிட்டிகை - பெருங்காயம்,
1 துளிர் - கறிவேப்பிலை,
1/2 தேக்கரண்டி - மஞ்சள் தூள்,
3 தேக்கரண்டி - வறுத்த வேர்க்கடலை.</t>
  </si>
  <si>
    <t>1/4 கப் எள் எண்ணெயை (நல்லெண்ணெய்) சூடாக்கி, ஒரு தேக்கரண்டி கடுகு, பெருங்காயம், 1/4 தேக்கரண்டி மஞ்சள் தூள் மற்றும் கறிவேப்பிலை சேர்க்கவும்.
கடுகு வதங்கியதும், வறுத்த வேர்க்கடலையைச் சேர்த்து சில நொடிகள் வதக்கவும்.
புளி விழுதில் தாளிக்க வேண்டியவற்றை ஊற்றவும்.
அதில் தயாரிக்கப்பட்ட பொடியைச் சேர்த்து நன்கு கலக்கவும். புளிகச்சல் தயார்.
இப்போது அரிசியில் தேவையான விழுதைச் சேர்த்து நன்கு கலக்கவும்.
எங்கள் புளி சாதம் தயார். அப்பளம் அல்லது பப்படம் அல்லது பருப்பு வடையுடன் சாப்பிடுங்கள்.</t>
  </si>
  <si>
    <t>https://encrypted-tbn0.gstatic.com/images?q=tbn:ANd9GcQR47UWyMtd7P05LOpC2NlW1WiXrbG-65OoqA&amp;s</t>
  </si>
  <si>
    <t>Mochai Kottai Kootu</t>
  </si>
  <si>
    <t>மொச்சை கொட்டை கூட்டு</t>
  </si>
  <si>
    <t xml:space="preserve">   Mochai kottai – 2 1/2 cup,
   Turmeric powder – 1/4 tsp,
   Salt needed,
   Coconut – 1/4 cup grated,
   Red Chillies - 3-4,
   Cumin seeds – 1 tsp,
   Pearl onions – 5-6,
   Tomato – 1,
   Oil – 2 tsp,
   Mustard seeds – 1 tsp,
   Urad dal – 1 tsp,
   Curry leaves – a sprig,
   Onion – 1 big ,
   asafoetida – a pinch,
   Coriander leaves.</t>
  </si>
  <si>
    <t>மொச்சை கொட்டை - 2 1/2 கப்,
மஞ்சள் தூள் - 1/4 தேக்கரண்டி,
உப்பு தேவை,
தேங்காய் - 1/4 கப் துருவியது,
சிவப்பு மிளகாய் - 3-4,
சீரகம் - 1 தேக்கரண்டி,
முத்து வெங்காயம் - 5-6,
தக்காளி - 1,
எண்ணெய் - 2 தேக்கரண்டி,
கடுகு - 1 தேக்கரண்டி,
உளுத்தம் பருப்பு - 1 தேக்கரண்டி,
கறிவேப்பிலை - ஒரு தளிர்,
வெங்காயம் - 1 பெரியது,
பெருங்காயம் - ஒரு சிட்டிகை,
கொத்தமல்லி இலைகள்.</t>
  </si>
  <si>
    <t>Wash and soak fresh field beans overnight. The next day, press the field beans between your thumb and index finger and remove the outer skin. It comes off easily.
In this way, remove the outer skin for all the field beans. This is called “pidukku paruppu”. Discard the skin.
In a pressure cooker, add the field beans, turmeric powder, salt needed and pressure cook for 2-3 whistles.
Heat a tsp of oil and fry red chillies. Remove from the kadai. In the same kadai, add the chopped pearl onions and fry until transparent.
Add chopped tomato and saute for a few seconds. Then turn off the heat. Add the grated coconut and fry in the heat of the pan. Grind it to a fine paste with cumin seeds and little water. Paste is ready.
Chopped tomato for Field Beans Kootu Recipe
Once the pressure subsides, open the cooker and add the ground paste, simmer and cook for 5 minutes. Add salt if required.
Heat 2 tsp of oil, add mustard seeds, urad dal and hing. When mustard seeds splutters, add curry leaves and finely chopped onions. Saute until onions turn transparent and add to the mochai kootu.
Mochai kootu is ready. If you make it a little watery, it can be had as sambar. You just need a vegetable curry to go along with this. You do not have to make any other sambar.
This mochai kootu goes well with chapati and also with dosa, upma and pongal.</t>
  </si>
  <si>
    <t>புதிய வயல் பீன்ஸை கழுவி இரவு முழுவதும் ஊற வைக்கவும். மறுநாள், உங்கள் கட்டைவிரலுக்கும் ஆள்காட்டி விரலுக்கும் இடையில் வயல் பீன்ஸை அழுத்தி வெளிப்புற தோலை அகற்றவும். அது எளிதாக உரிந்துவிடும்.
இந்த வழியில், அனைத்து வயல் பீன்ஸுக்கும் வெளிப்புற தோலை அகற்றவும். இது "பிடுக்கு பருப்பு" என்று அழைக்கப்படுகிறது. தோலை அப்புறப்படுத்துங்கள்.
பிரஷர் குக்கரில், பீன்ஸ், மஞ்சள் தூள், தேவையான உப்பு சேர்த்து 2-3 விசில் வரை பிரஷர் சமைக்கவும்.
ஒரு டீஸ்பூன் எண்ணெயை சூடாக்கி, சிவப்பு மிளகாயை வதக்கவும். கடாயிலிருந்து இறக்கவும். அதே கடாயில், நறுக்கிய வெங்காயத்தைச் சேர்த்து, வெளிப்படையான வரை வதக்கவும்.
நறுக்கிய தக்காளியைச் சேர்த்து சில நொடிகள் வதக்கவும். பின்னர் தீயை அணைக்கவும். துருவிய தேங்காயைச் சேர்த்து, வாணலியின் தீயில் வறுக்கவும். சீரகம் மற்றும் சிறிது தண்ணீர் சேர்த்து நன்றாக அரைக்கவும். பேஸ்ட் தயார்.
பீன்ஸ் கூட்டிற்கான நறுக்கிய தக்காளி
அழுத்தம் தணிந்தவுடன், குக்கரைத் திறந்து அரைத்த விழுதைச் சேர்த்து, கொதிக்க வைத்து 5 நிமிடங்கள் சமைக்கவும். தேவைப்பட்டால் உப்பு சேர்க்கவும்.
2 டீஸ்பூன் எண்ணெயைச் சூடாக்கி, கடுகு, உளுத்தம்பருப்பு மற்றும் பெருங்காயம் சேர்க்கவும். கடுகு வதங்கியதும், கறிவேப்பிலை மற்றும் இறுதியாக நறுக்கிய வெங்காயத்தைச் சேர்க்கவும். வெங்காயம் வெளிப்படையான வரை வதக்கி, மொச்சைக் கூழில் சேர்க்கவும்.
மொச்சைக் கூழ் தயார். கொஞ்சம் தண்ணீர் விட்டுச் செய்தால், சாம்பாராக சாப்பிடலாம். இதனுடன் சேர்த்துச் சாப்பிட காய்கறிக் கறி மட்டும் போதும். வேறு எந்த சாம்பாரும் செய்ய வேண்டியதில்லை.
இந்த மொச்சைக் கூட்டு சப்பாத்திக்கும், தோசை, உப்புமா, பொங்கலுக்கும் நன்றாகப் பொருந்தும்.</t>
  </si>
  <si>
    <t>https://encrypted-tbn0.gstatic.com/images?q=tbn:ANd9GcTYlHmJqFpH3m7o7KqL226_KKJAVgRfR1_m0Q&amp;s</t>
  </si>
  <si>
    <t xml:space="preserve">   Oil – 4 tsp,
   godhumai ravai – 3/4 cup,
   Moong dal – 1/4 cup,
   Salt needed,
   Hing – a pinch,
   Water – 2 1/2 cup,
   Oil – 2 tsp,
   clarified butter – 3 tsp,
   Whole black pepper – 1 tsp,
   Cumin seeds – 1 tsp,
   Hing – a pinch,
   Ginger – 1 inch piece,
   Curry leaves – a sprig,
   Cashew nuts – 5-6.</t>
  </si>
  <si>
    <t>எண்ணெய் - 4 தேக்கரண்டி,
கோதுமை ரவை - 3/4 கப்,
பாசிப்பருப்பு - 1/4 கப்,
உப்பு தேவை,
ஹிங் - ஒரு சிட்டிகை,
தண்ணீர் - 2 1/2 கப்,
எண்ணெய் - 2 தேக்கரண்டி,
தெளித்த வெண்ணெய் - 3 தேக்கரண்டி,
முழு கருப்பு மிளகு - 1 தேக்கரண்டி,
சீரகம் - 1 தேக்கரண்டி,
ஹிங் - ஒரு சிட்டிகை,
இஞ்சி - 1 அங்குல துண்டு,
கறிவேப்பிலை - ஒரு தளிர்,
முந்திரி பருப்பு - 5-6.</t>
  </si>
  <si>
    <t>Heat oil and fry the wheat rava on medium heat stirring continuously until you get a nice aroma.
Now add the fried wheat rava to the cooked dal.
Add 2 1/2 cups of water, salt needed and hing. (Taste the water, if it is slightly salty, it will be perfect once it is cooked).
Close the cooker and pressure cook on medium heat for 2-3 whistles. While cooking directly in the cooker, take care not to burn the pongal. (Alternatively, you can transfer the contents to another vessel and pressure cook for 3 whistles to be on the safer side).
Once the pressure subsides, open the cooker and mash the contents when it is hot.
Heat oil + ghee, add cumin seeds, whole black peppercorn, saute for a few seconds, then add finely chopped ginger, curry leaves and cashew nuts.
Saute for a few seconds and then add the broken wheat + dal mixture and mix well.
Cook on low heat for a few seconds and remove from heat.
Hotel sambar, arachuvitta sambar and coconut chutney are great side dishes for wheat rava pongal. Do try this and I am sure you will love this healthy wheat rava pongal.</t>
  </si>
  <si>
    <t>எண்ணெயை சூடாக்கி, கோதுமை ரவையை மிதமான தீயில் வைத்து, நல்ல மணம் வரும் வரை தொடர்ந்து கிளறி வறுக்கவும்.
இப்போது வறுத்த கோதுமை ரவையை சமைத்த பருப்பில் சேர்க்கவும்.
2 1/2 கப் தண்ணீர், தேவையான உப்பு மற்றும் ஹிங் சேர்க்கவும். (தண்ணீரை ருசித்துப் பாருங்கள், அது சிறிது உப்பு இருந்தால், அது வெந்ததும் சரியாக இருக்கும்).
குக்கரை மூடி, 2-3 விசில் வரும் வரை மிதமான தீயில் பிரஷர் சமைக்கவும். குக்கரில் நேரடியாக சமைக்கும்போது, ​​பொங்கல் எரியாமல் பார்த்துக் கொள்ளுங்கள். (மாற்றாக, நீங்கள் உள்ளடக்கங்களை வேறொரு பாத்திரத்தில் மாற்றி 3 விசில்கள் வரை பிரஷர் குக் செய்யலாம், இதனால் அது பாதுகாப்பானதாக இருக்கும்).
அழுத்தம் குறைந்தவுடன், குக்கரைத் திறந்து, சூடானதும் உள்ளடக்கங்களை மசிக்கவும்.
எண்ணெய் + நெய்யை சூடாக்கி, சீரகம், முழு கருப்பு மிளகு சேர்த்து, சில நொடிகள் வதக்கி, பின்னர் இறுதியாக நறுக்கிய இஞ்சி, கறிவேப்பிலை மற்றும் முந்திரி பருப்புகளைச் சேர்க்கவும்.
சில நொடிகள் வதக்கி, பின்னர் உடைத்த கோதுமை + பருப்பு கலவையைச் சேர்த்து நன்கு கலக்கவும்.
சில நொடிகள் குறைந்த தீயில் சமைத்து, அடுப்பிலிருந்து இறக்கவும்.
ஹோட்டல் சாம்பார், அரச்சுவிட்ட சாம்பார் மற்றும் தேங்காய் சட்னி ஆகியவை கோதுமை ரவை பொங்கலுக்கு சிறந்த துணை உணவுகள். இதை முயற்சித்துப் பாருங்கள், இந்த ஆரோக்கியமான கோதுமை ரவை பொங்கலை நீங்கள் விரும்புவீர்கள் என்று நான் நம்புகிறேன்.</t>
  </si>
  <si>
    <t>https://www.namscorner.com/wp-content/uploads/2020/06/broken_wheat_pongal/103073735_2316093512026037_6864731402693246976_n.jpg</t>
  </si>
  <si>
    <t>பச்சை அரிசி - 1/2 கப்,
பசி பருப்பு - 1 1/2 டீஸ்பூன்,
பால் - 1 1/2 கப்,
கல்கண்டு - 3/4 கப்,
நெய் - 3 1/2 டீஸ்பூன்,
முந்திரி பருப்பு - 8-10,
திராட்சை - 15-20,
ஏலக்காய் பொடி - 1/4 டீஸ்பூன்,
குங்குமப்பூ - 2-3 இழைகள்.</t>
  </si>
  <si>
    <t>அரிசி மற்றும் பருப்பை தனித்தனியாக சூடாகும் வரை வறுக்கவும். அதிகமாக வறுக்க வேண்டாம். சிறிது சூடாக இருந்தால் போதும்.
அரிசி மற்றும் பருப்பை ஒன்றாக கழுவி 1 கப் பால் மற்றும் 1 கப் தண்ணீரில் சமைக்கவும். நான் அதை ஒரு தனி பாத்திரத்தில் 3 விசில் வரை வைத்து பிரஷர் சமைத்தேன். நீங்கள் நேரடியாக குக்கரில் சமைக்கலாம்.
அழுத்தம் குறைந்தவுடன், குக்கரைத் திறந்து, சூடானதும் பருப்பையும் அரிசியையும் மசிக்கவும்.
மீதமுள்ள 1/2 கப் பாலை சேர்த்து நன்றாக மசிக்கவும்.
ஒரு தேக்கரண்டி நெய்யை சூடாக்கி, முந்திரி பருப்புகளை லேசான பொன்னிறமாகும் வரை வறுக்கவும். திராட்சையைச் சேர்த்து, அது கொப்பளிக்கும் வரை வதக்கவும்.
பின்னர் மசித்த அரிசி மற்றும் பருப்பு கலவையைச் சேர்க்கவும்.
கல்கண்டு அல்லது ராக் சர்க்கரை மிட்டாய் (நான் வைர கல்கண்டு பயன்படுத்தினேன்) சேர்த்து, சர்க்கரை மிட்டாய் கரையும் வரை மிதமான தீயில் சமைக்கவும்.
மீதமுள்ள நெய், ஏலக்காய் தூள் சேர்த்து நன்கு கலக்கவும்.
இறுதியாக குங்குமப்பூ இழைகளைச் சேர்த்து, பொங்கலை நன்கு கலந்து, அடுப்பிலிருந்து இறக்கவும்.
கிரீமி மற்றும் சுவையான கல்கண்டு பொங்கல் தயார். இது அற்புதமான சுவையுடன் இருக்கும்!! நீங்கள் இதை சூடாகவோ அல்லது குளிரூட்டவோ சாப்பிடலாம்.</t>
  </si>
  <si>
    <t>https://encrypted-tbn0.gstatic.com/images?q=tbn:ANd9GcSlOTkNmn1yK5G_2QGC1V2KJYmK2OhDJpon0A&amp;s</t>
  </si>
  <si>
    <t xml:space="preserve">   Pasi Paruppu - 1/4 cup,
   Onion – 1/2 cup finely chopped,
   Green chillies – 4 slit,
   Potato - 1/3 cup,
   Tomato – 3/4 cup chopped,
   Turmeric Powder – 1/4 tsp,
   Tamarind – small marble sized ball,
   Salt to taste,
   Oil – 1 tbsp,
   Mustard seeds - 1 tsp,
   Urad dal – 1 tsp,
   Red Chillies – 3,
   Hing – a pinch,
   Curry leaves – a sprig,
   Coriander leaves finely chopped - 2 tbsp.</t>
  </si>
  <si>
    <t>பாசி பருப்பு - 1/4 கப்,
வெங்காயம் - 1/2 கப் பொடியாக நறுக்கியது,
பச்சை மிளகாய் - 4 துண்டுகள்,
உருளைக்கிழங்கு - 1/3 கப்,
தக்காளி - 3/4 கப் பொடியாக நறுக்கியது,
மஞ்சள் தூள் - 1/4 டீஸ்பூன்,
புளி - சிறிய பளிங்கு அளவு உருண்டை,
சுவைக்கு உப்பு,
எண்ணெய் - 1 டீஸ்பூன்,
கடுகு - 1 டீஸ்பூன்,
உளுத்தம் பருப்பு - 1 டீஸ்பூன்,
சிவப்பு மிளகாய் - 3,
பெருங்காயம் - ஒரு சிட்டிகை,
கறிவேப்பிலை - ஒரு தளிர்,
கொத்தமல்லி இலை - நன்றாக நறுக்கியது - 2 டீஸ்பூன்.</t>
  </si>
  <si>
    <t>Heat oil in a pan, add mustard seeds, when it splutters, add urad dal, hing, red chillies and curry leaves.
When dal turns golden brown, add finely chopped onions, slit green chilli and saute until onion turns transparent.
Add chopped potatoes, turmeric powder and cook covered for a few minutes until potatoes are 3/4th cooked. If needed sprinkle water and cook the potatoes.
Add chopped tomatoes, salt needed and cook for a few more minutes until tomato becomes mushy.
Add the cooked dal along with a cup of water and tamarind water. When it starts boiling, reduce the heat and simmer for another 5-6 minutes.
The consistency of the sambar should be very thin, so add water accordingly.
Garnish with finely chopped coriander leaves and serve hot.
It goes well with most tiffin items, though it is usually prepared as a side dish for idli, dosa and pongal.</t>
  </si>
  <si>
    <t>ஒரு கடாயில் எண்ணெயை சூடாக்கி, கடுகு சேர்த்து, அது வதங்கியதும், உளுத்தம் பருப்பு, பெருங்காயம், சிவப்பு மிளகாய் மற்றும் கறிவேப்பிலை சேர்க்கவும்.
பருப்பு பொன்னிறமாக மாறியதும், பொடியாக நறுக்கிய வெங்காயம், பச்சை மிளகாய் சேர்த்து வெங்காயம் வெளிப்படையானதாக மாறும் வரை வதக்கவும்.
நறுக்கிய உருளைக்கிழங்கு, மஞ்சள் தூள் சேர்த்து, உருளைக்கிழங்கு 3/4 பாகம் வேகும் வரை சில நிமிடங்கள் மூடி வைக்கவும். தேவைப்பட்டால் தண்ணீர் தெளித்து உருளைக்கிழங்கை சமைக்கவும்.
நறுக்கிய தக்காளி, தேவையான அளவு உப்பு சேர்த்து தக்காளி மசியும் வரை இன்னும் சில நிமிடங்கள் சமைக்கவும்.
சமைத்த பருப்பை ஒரு கப் தண்ணீர் மற்றும் புளி தண்ணீருடன் சேர்க்கவும். கொதிக்க ஆரம்பித்ததும், தீயைக் குறைத்து மேலும் 5-6 நிமிடங்கள் கொதிக்க வைக்கவும்.
சாம்பாரின் நிலைத்தன்மை மிகவும் மெல்லியதாக இருக்க வேண்டும், எனவே அதற்கேற்ப தண்ணீரைச் சேர்க்கவும்.
இறுதியாக நறுக்கிய கொத்தமல்லி இலைகளால் அலங்கரித்து சூடாகப் பரிமாறவும்.
இது பெரும்பாலான டிஃபின் பொருட்களுடன் நன்றாகப் பொருந்தும், இருப்பினும் இது பொதுவாக இட்லி, தோசை மற்றும் பொங்கலுக்கு ஒரு துணை உணவாக தயாரிக்கப்படுகிறது.</t>
  </si>
  <si>
    <t>https://files.prokerala.com/recipes/pics/1024/pongal-sambar-42.jpg</t>
  </si>
  <si>
    <t>அவல் சக்கரைப் பொங்கல்</t>
  </si>
  <si>
    <t xml:space="preserve">   Aval – 1/2 cup,
   pasi paruppu – 2 1/2 tbsp,
   Grated Jaggery – 1/3 cup,
   Milk – 2-3 tbsp,
   Cashew nuts - 6-7,
   Cardamom powder – 1/4 tsp,
   Raisins – 10-15,
   Ghee - 1 1/2 tbsp + 1/2 tsp.</t>
  </si>
  <si>
    <t>அவல் - 1/2 கப்,
பாசிப்பருப்பு - 2 1/2 டீஸ்பூன்,
துருவிய வெல்லம் - 1/3 கப்,
பால் - 2-3 டீஸ்பூன்,
முந்திரி பருப்பு - 6-7,
ஏலக்காய் தூள் - 1/4 டீஸ்பூன்,
திராட்சை - 10-15,
நெய் - 1 1/2 டீஸ்பூன் + 1/2 டீஸ்பூன்.</t>
  </si>
  <si>
    <t>Boil jaggery with 1/2 tsp of ghee, when it starts boiling, add the cooked and mashed dal. Let it cook on medium flame until it slightly thickens.
Fluff the aval with a fork and add it to the jaggery+dal mixture.
Once it thickens slightly, add milk (milk is added to prevent dryness) and cook for a further 2-3 minutes.
Add cashew nuts, raisins, cardamom powder, remaining ghee, mix well and remove from heat.
This pongal tends to thicken as it cools, so remove from heat when it is semi thick in consistency.
Serve this healthy and delicious pongal hot drizzled with a little ghee if necessary.</t>
  </si>
  <si>
    <t>வெல்லத்தை 1/2 டீஸ்பூன் நெய்யுடன் சேர்த்து வேகவைத்து, கொதிக்க ஆரம்பித்ததும், சமைத்த மற்றும் மசித்த பருப்பைச் சேர்க்கவும். அது சிறிது கெட்டியாகும் வரை மிதமான தீயில் சமைக்கவும்.
அவலை ஒரு முள் கரண்டியால் பிசைந்து, வெல்லம்+பருப்பு கலவையில் சேர்க்கவும்.
அது சிறிது கெட்டியானதும், பால் சேர்த்து (வறட்சியைத் தடுக்க பால் சேர்க்கப்படுகிறது) மேலும் 2-3 நிமிடங்கள் சமைக்கவும்.
முந்திரி பருப்பு, திராட்சை, ஏலக்காய் தூள், மீதமுள்ள நெய் சேர்த்து நன்கு கலந்து, அடுப்பிலிருந்து இறக்கவும்.
இந்தப் பொங்கல் ஆறும்போது கெட்டியாகிவிடும், எனவே பாதி கெட்டியாக இருக்கும்போது அடுப்பிலிருந்து இறக்கவும்.
தேவைப்பட்டால் சிறிது நெய்யுடன் தெளித்து சூடாகப் பரிமாறவும்.</t>
  </si>
  <si>
    <t>https://rakskitchen.net/wp-content/uploads/2020/01/aval-sakkarai-pongal-recipe-480x270.jpg</t>
  </si>
  <si>
    <t xml:space="preserve">
   Aval – 1 cup,
   Split green gram dal – 1/4 cup,
   Turmeric Powder – a pinch,
   Whole black pepper – 1 tbsp flat,
   Cumin seeds – 2 tsp,
   Cashew nuts – 6-8,
   Salt to taste,
   Oil – 2 tbsp,
   Ghee – 4 tsp,
   Hing – a generous pinch,
   Ginger – 1 inch piece finely chopped,
   Green chilli – 1 finely chopped,
   Curry leaves – 2 sprigs.</t>
  </si>
  <si>
    <t>அவல் - 1 கப்,
பச்சைப் பயறு - 1/4 கப்,
மஞ்சள் தூள் - ஒரு சிட்டிகை,
முழு கருப்பு மிளகு - 1 டீஸ்பூன் தட்டையானது,
சீரகம் - 2 டீஸ்பூன்,
முந்திரி பருப்பு - 6-8,
ருசிக்க உப்பு,
எண்ணெய் - 2 டீஸ்பூன்,
நெய் - 4 டீஸ்பூன்,
பெருங்காயம் - ஒரு சிட்டிகை,
இஞ்சி - 1 அங்குல துண்டு நன்றாக நறுக்கியது,
பச்சை மிளகாய் - 1 நன்றாக நறுக்கியது,
கறிவேப்பிலை - 2 தண்டுகள்.</t>
  </si>
  <si>
    <t>எண்ணெய் + நெய்யை சூடாக்கி, அவல், இறுதியாக நறுக்கிய இஞ்சி, பச்சை மிளகாய் மற்றும் கறிவேப்பிலை சேர்க்கவும். சில நொடிகள் வதக்கவும்.
பின்னர் அரைத்த மிளகு + சீரகப் பொடியைச் சேர்த்து இன்னும் சில நொடிகள் வதக்கவும்.
சமைத்த பருப்பைச் சேர்த்து தேவையான உப்பு சேர்க்கவும். பின்னர் அவலைச் சேர்த்து நன்கு கலக்கவும்.
அனைத்தும் நன்றாகக் கலக்கும் வரை சில நொடிகள் சமைக்கவும். முந்திரி பருப்புகளைச் சேர்த்து அடுப்பிலிருந்து இறக்கவும்.
சட்னி அல்லது சாம்பாருடன் அவல் வெண் பொங்கலைப் பரிமாறவும்.</t>
  </si>
  <si>
    <t>https://theindianclaypot.com/content/images/wp-content/uploads/2017/01/ven-pongal.jpg</t>
  </si>
  <si>
    <t xml:space="preserve">   Raw Rice – 1 1/2 cup,
   Tamarind – 70 grams,
   Sesame seed Oil – 50 ml,
   Salt needed,
   Fenugreek seeds – 1 tsp,
   White sesame seeds – 1 tsp,
   Coriander seeds – 2 tbsp,
   Red chillies – 5,
   Mustard – 1 tsp,
   Urad dal – 4 tsp,
   Channa dal – 4 tsp,
   Red chillies – 4,
   Asafoetida – 1/2 tsp,
   Turmeric powder – 1 tsp,
   Roasted peanuts- 100 grams,
   Curry leaves – little,
   Turmeric powder – 1/2 tsp,
   Sesame seed oil - 2 tsp.</t>
  </si>
  <si>
    <t>பச்சை அரிசி - 1 1/2 கப்,
புளி - 70 கிராம்,
எள் விதை எண்ணெய் - 50 மிலி,
உப்பு தேவை,
வெந்தயம் - 1 தேக்கரண்டி,
வெள்ளை எள் - 1 தேக்கரண்டி,
கொத்தமல்லி விதைகள் - 2 தேக்கரண்டி,
சிவப்பு மிளகாய் - 5,
கடுகு - 1 தேக்கரண்டி,
உரத்த பருப்பு - 4 தேக்கரண்டி,
சன்னா பருப்பு - 4 தேக்கரண்டி,
சிவப்பு மிளகாய் - 4,
அசாஃபோடிடா - 1/2 தேக்கரண்டி,
மஞ்சள் தூள் - 1 தேக்கரண்டி,
வறுத்த வேர்க்கடலை - 100 கிராம்,
கறிவேப்பிலை - சிறிதளவு,
மஞ்சள் தூள் - 1/2 தேக்கரண்டி,
எள் விதை எண்ணெய் - 2 தேக்கரண்டி.</t>
  </si>
  <si>
    <t>https://encrypted-tbn0.gstatic.com/images?q=tbn:ANd9GcSFQW42E2lEpZ8-mxP98Xyb0hP8GhVW6SlRCg&amp;s</t>
  </si>
  <si>
    <t>Mixed Vegetable Kootu</t>
  </si>
  <si>
    <t>கலவை காய்கறி கூட்டு</t>
  </si>
  <si>
    <t xml:space="preserve">   Mixed Vegetables - 5 cups,
   Tur dal - 1/4 cup,
   Turmeric powder - 1/4 tsp,
   Black eyed peas  - 2 tbsp,
   Tamarind - small gooseberry sized ball,
   Salt needed,
   Onion - 1,
   Tomato - 1 big,
   Oil - 3 tsp,
   Coriander seeds - 1 tbsp,
   channa dal - 2 tsp,
   Cumin seeds - 1/2 tsp,
   Red Chillies - 5,
   Fenugreek seeds - 1/4 tsp,
   Grated coconut - 1/4 cup,
   Oil - 1 tsp,
   Mustard seeds - 1 tsp,
   Urad dal - 1 tsp,
   Hing - a pinch,
   Curry leaves - few.</t>
  </si>
  <si>
    <t>கலவை காய்கறிகள் - 5 கப்,
துரும்பு பருப்பு - 1/4 கப்,
மஞ்சள் தூள் - 1/4 டீஸ்பூன்,
கருப்பு கண் பட்டாணி - 2 டீஸ்பூன்,
புளி - சிறிய நெல்லிக்காய் அளவு பந்து,
உப்பு தேவை,
வெங்காயம் - 1,
தக்காளி - 1 பெரியது,
எண்ணெய் - 3 டீஸ்பூன்,
கொத்தமல்லி விதைகள் - 1 டீஸ்பூன்,
சன்னா பருப்பு - 2 டீஸ்பூன்,
சீரக விதைகள் - 1/2 டீஸ்பூன்,
சிவப்பு மிளகாய் - 5,
வெந்தயம் - 1/4 டீஸ்பூன்,
தேங்காய் துருவல் - 1/4 கப்,
எண்ணெய் - 1 டீஸ்பூன்,
கடுகு - 1 டீஸ்பூன்,
உப்பு பருப்பு - 1 டீஸ்பூன்,
இங் - ஒரு சிட்டிகை,
கறிவேப்பிலை - சிறிது.</t>
  </si>
  <si>
    <t>Take a pressure pan/cooker, add all the vegetables, 1/2 cup of water, turmeric powder, salt needed and pressure cook for 1-2 whistles. You can also cook in a pan but will take a longer time.
When the pressure subsides, open the cooker, add tamarind water, cooked black eyed peas and cook for 10 minutes or until the raw flavor of the tamarind goes.
Then add the ground paste, cooked dal, cooked onion-tomato mix and cook on low flame for 15 minutes until everything gets blended well.
Heat a tsp of oil, add mustard seeds, when it splutters, add urad dal, hing, curry leaves and pour it over the kootu.
This kootu along with  thogayal, appalam/vadam and rice makes a filling meal.</t>
  </si>
  <si>
    <t>ஒரு பிரஷர் பான்/குக்கரை எடுத்து, அனைத்து காய்கறிகளையும் சேர்த்து, 1/2 கப் தண்ணீர், மஞ்சள் தூள், தேவையான உப்பு சேர்த்து 1-2 விசில் வரை பிரஷர் சமைக்கவும். நீங்கள் ஒரு பாத்திரத்திலும் சமைக்கலாம், ஆனால் அதிக நேரம் எடுக்கும்.
அழுத்தம் குறைந்தவுடன், குக்கரைத் திறந்து, புளி தண்ணீர், சமைத்த கருப்புக் கடலைப்பருப்பு சேர்த்து 10 நிமிடங்கள் அல்லது புளியின் பச்சை வாசனை போகும் வரை சமைக்கவும்.
பின்னர் அரைத்த விழுது, சமைத்த பருப்பு, சமைத்த வெங்காயம்-தக்காளி கலவையைச் சேர்த்து, அனைத்தும் நன்றாகக் கலக்கும் வரை 15 நிமிடங்கள் குறைந்த தீயில் சமைக்கவும்.
ஒரு தேக்கரண்டி எண்ணெயைச் சூடாக்கி, கடுகு சேர்த்து, அது வதங்கியதும், உளுத்தம் பருப்பு, பெருங்காயம், கறிவேப்பிலை ஆகியவற்றைச் சேர்த்து, கூட்டின் மேல் ஊற்றவும்.
இந்தக் கூட்டு தோகையல், அப்பளம்/வடை மற்றும் அரிசியுடன் சேர்த்து ஒரு நிறைவான உணவாக அமைகிறது.</t>
  </si>
  <si>
    <t>https://encrypted-tbn0.gstatic.com/images?q=tbn:ANd9GcSUgNRZvOtGGYkMJvRgaqu5HrxY3cVH5ZMMxA&amp;s</t>
  </si>
  <si>
    <t xml:space="preserve">   Varagarisi - 1/2 cup,
   Split green gram dal - 2 tbsp,
   Water – 2 1/4 cup,
   Salt to taste,
   Oil – 1 tbsp,
   Ghee – 1-2 tsp,
   Cumin seeds – 1 tsp,
   milagu – 1 tsp,
   Cashew nuts – 4-5,
   Ginger finely chopped – 1 tbsp,
   Curry leaves – a sprig.</t>
  </si>
  <si>
    <t>வரகரிசி - 1/2 கப்,
பச்சைப்பயறு - 2 டேபிள்ஸ்பூன்,
தண்ணீர் - 2 1/4 கப்,
ருசிக்க உப்பு,
எண்ணெய் - 1 டேபிள்ஸ்பூன்,
நெய் - 1-2 டேபிள்ஸ்பூன்,
சீரகம் - 1 டேபிள்ஸ்பூன்,
மிளகாய் - 1 டேபிள்ஸ்பூன்,
முந்திரி பருப்பு - 4-5,
இஞ்சி நன்றாக நறுக்கியது - 1 டேபிள்ஸ்பூன்,
கறிவேப்பிலை - ஒரு தளிர்.</t>
  </si>
  <si>
    <t>துவரம்பருப்பு மற்றும் தினை இரண்டையும் கழுவி, 2 1/4 கப் தண்ணீரில், தேவையான உப்புடன் 4 விசில் வரும் வரை வேக வைக்கவும்.
அழுத்தம் தணிந்ததும், குக்கரைத் திறந்து, உள்ளடக்கங்களை நன்கு கலக்கவும்.
ஒரு கடாயில் எண்ணெயைச் சூடாக்கி, சீரகம் / ஜீரா விதைகள், மிளகு மற்றும் முந்திரி பருப்புகளைச் சேர்த்து, ஜீரா கொதித்ததும், இறுதியாக நறுக்கிய இஞ்சி, கறிவேப்பிலை சேர்த்து, சமைத்த தினை + பருப்பின் மீது ஊற்றவும்.
பொங்கலை 3-4 நிமிடங்கள் குறைந்த தீயில் சமைக்கவும், நெய் சேர்த்து அணைக்கவும்.
சுவையான மற்றும் ஆரோக்கியமான கோடோ தினை பொங்கல் தயார். இதை சாம்பார் அல்லது தேங்காய் சட்னி அல்லது பூண்டுடன் தேங்காய் சட்னியுடன் சூடாகப் பரிமாறவும்.</t>
  </si>
  <si>
    <t>https://live.staticflickr.com/3876/14423835199_653b392868_z.jpg</t>
  </si>
  <si>
    <t>ஃபாக்ஸ்டெயில் தினை இனிப்பு பொங்கல்</t>
  </si>
  <si>
    <t>Foxtail millet – 1/2 cup,
Moong dal – 1 1/2 tbsp,
Jaggery – 3/4 cup,
Ghee – 1 1/2 tbsp,
Cashew nuts – 5-6,
Raisins – 6-7,
Cardamom powder – 1/4 tsp.</t>
  </si>
  <si>
    <t>ஃபாக்ஸ்டெயில் தினை - 1/2 கப்,
பாலாடை - 1 1/2 டீஸ்பூன்,
வெல்லம் - 3/4 கப்,
நெய் - 1 1/2 டீஸ்பூன்,
முந்திரி பருப்பு - 5-6,
திராட்சை - 6-7,
ஏலக்காய் பொடி - 1/4 டீஸ்பூன்.</t>
  </si>
  <si>
    <t>பச்சை பருப்பையும், பாக்ஸ்டெயில் தினையையும் 2 கப் தண்ணீரில் 4 விசில் வரும் வரை பிரஷர் வேகவைக்கவும்.
வெல்லம் தண்ணீரை 3-4 நிமிடங்கள் மிதமான தீயில் கொதிக்க வைக்கவும். சமைத்த தினை + பாசிப்பருப்பை வெல்லம் சிரப்பில் சேர்த்து, வெல்லம் சிரப்பில் நன்கு கலக்கும் வரை இன்னும் சில நிமிடங்கள் சமைக்கவும். ஏலக்காய் பொடியைச் சேர்த்து நன்கு கலக்கவும்.
ஒரு கடாயில் நெய்யை சூடாக்கி, திராட்சை மற்றும் முந்திரி பருப்புகளைத் தனித்தனியாக வறுக்கவும். நெய்யுடன் முந்திரி பருப்பு மற்றும் திராட்சையைச் சேர்த்து மேலும் 2 நிமிடங்கள் சமைக்கவும், வெப்பத்திலிருந்து நீக்கவும்.
சுவையான மற்றும் ஆரோக்கியமான தினை சக்கரைப் பொங்கல்/ ஃபாக்ஸ்டெயில் தினை இனிப்புப் பொங்கல் பரிமாறத் தயாராக உள்ளது. இந்தப் பொங்கலை ஆரோக்கியமான முறையில் கொண்டாடுங்கள்!!</t>
  </si>
  <si>
    <t xml:space="preserve">   Raw Rice – 1/2 cup,
   Milk - 1 cup,
   Curd – 1/3 cup,
   Salt as needed,
   Oil – 2 tsp,
   Mustard seeds – 1 tsp,
   Green chilli – 1-2 finely chopped,
   Ginger – 1 tbsp finely chopped,
   Curry leaves – 2 sprigs,
   Coriander leaves – 1 tbsp finely chopped.</t>
  </si>
  <si>
    <t>பச்சரிசி - 1/2 கப்,
பால் - 1 கப்,
தயிர் - 1/3 கப்,
தேவைக்கேற்ப உப்பு,
எண்ணெய் - 2 தேக்கரண்டி,
கடுகு - 1 தேக்கரண்டி,
பச்சை மிளகாய் - 1-2 பொடியாக நறுக்கியது,
இஞ்சி - 1 தேக்கரண்டி பொடியாக நறுக்கியது,
கறிவேப்பிலை - 2 தண்டுகள்,
கொத்தமல்லி இலை - 1 தேக்கரண்டி பொடியாக நறுக்கியது.</t>
  </si>
  <si>
    <t>அரிசி சூடானதும், உருளைக்கிழங்கு மசிப்பான் கொண்டு நன்றாக மசித்து, சூடான பால் சேர்த்து நன்கு கலக்கவும்.
சிறிது ஆறியதும், தயிர் மற்றும் தேவையான உப்பு சேர்க்கவும்.
2 தேக்கரண்டி எண்ணெயை சூடாக்கி, கடுகு சேர்த்து, அது வதங்கியதும், பச்சை மிளகாய், இஞ்சி, கறிவேப்பிலை சேர்த்து சில நொடிகள் வதக்கவும். தயிர் சாதத்தின் மேல் ஊற்றவும். நன்றாக கலக்கவும்.
கொத்தமல்லி இலைகளால் அலங்கரித்து ஊறுகாயுடன் பரிமாறவும். இது அடிப்படை தயிர் சாதம் செய்முறை.</t>
  </si>
  <si>
    <t>pacharisi – 1/2 cup,
Split yellow moong dal – 2 tbsp,
Milk – 4 cups,
Jaggery – 1 cup heaped ,
Ghee – 1/4 cup,
Cardamom - 3 ,
Cashew nuts – 6-7,
Raisins – 25 grams,
Saffron – 4-5 strands,
Pachai Kalpooram – a pinch.</t>
  </si>
  <si>
    <t>பச்சரிசி - 1/2 கப்,
மஞ்சள் துண்டாக்கப்பட்ட பாசிப்பருப்பு - 2 டீஸ்பூன்,
பால் - 4 கப்,
வெல்லம் - 1 கப் குவித்து,
நெய் - 1/4 கப்,
ஏலக்காய் - 3 ,
முந்திரி பருப்பு - 6-7,
திராட்சை - 25 கிராம்,
குங்குமப்பூ - 4-5 இழைகள்,
பச்சாய் கல்பூரம் - ஒரு சிட்டிகை.</t>
  </si>
  <si>
    <t>In a heavy bottomed vessel, add 2 1/2 cups of boiled milk and 3/4 cup of water, add the rice + dal mix and cook on medium heat, stirring frequently, until rice and dal becomes mushy. Mash it well with a masher when it is hot.
Bring jaggery water to boil. Then add the mashed rice + dal mixture to the jaggery water and mix well.
Add the remaining milk, remaining ghee, mix well and cook for 3-4 minutes, stirring continuously on medium low heat.
Add the saffron milk, cardamom powder, cashew nuts, edible camphor (I did not add) and cook for few more minutes on medium low heat stirring continuously until everything comes together.
Akkaravadisal will be a little runny, as it cools, it will thicken slightly.</t>
  </si>
  <si>
    <t>ஒரு கனமான பாத்திரத்தில், 2 1/2 கப் வேகவைத்த பால் மற்றும் 3/4 கப் தண்ணீர் சேர்த்து, அரிசி + பருப்பை சேர்த்து மிதமான தீயில் வைத்து, அடிக்கடி கிளறி, அரிசி மற்றும் பருப்பை மென்மையாகும் வரை சமைக்கவும். சூடானதும் ஒரு மசிப்பான் கொண்டு நன்றாக மசிக்கவும்.
வெல்லம் தண்ணீரை கொதிக்க விடவும். பின்னர் மசித்த அரிசி + பருப்பை வெல்ல நீரில் சேர்த்து நன்கு கலக்கவும்.
மீதமுள்ள பால், மீதமுள்ள நெய்யைச் சேர்த்து, நன்கு கலந்து 3-4 நிமிடங்கள் மிதமான தீயில் தொடர்ந்து கிளறிக்கொண்டே இருங்கள்.
குங்குமப்பூ பால், ஏலக்காய் தூள், முந்திரி பருப்பு, உண்ணக்கூடிய கற்பூரம் (நான் சேர்க்கவில்லை) ஆகியவற்றைச் சேர்த்து, மிதமான தீயில் இன்னும் சில நிமிடங்கள் எல்லாம் ஒன்றாக வரும் வரை தொடர்ந்து கிளறிக்கொண்டே இருங்கள்.
அக்கரவடிசல் சிறிது சளியாக இருக்கும், அது குளிர்ந்ததும், சிறிது கெட்டியாகிவிடும்.</t>
  </si>
  <si>
    <t xml:space="preserve">Rava – 1 cup,
Moong dal – 1/3 cup,
Ginger finely chopped – 1 tsp,
Whole black pepper – 1 tsp,
Cumin seeds – 1 tsp,
Ghee – 1/4 cup,
Cashew nuts – 5-6,
Salt as required.
</t>
  </si>
  <si>
    <t>https://static.toiimg.com/thumb/59366396.cms?imgsize=1167787&amp;width=800&amp;height=800</t>
  </si>
  <si>
    <t xml:space="preserve">   Raw rice – 1 cup,
   Green gram dal - 1/2 cup,
   Water – 5 cups,
   Salt as required,
   Oil – 3 tbsp,
   Ghee – 2 1/2 tbsp,
   Whole black pepper - 1 1/2 tsp,
   Cumin seeds - 1 1/2 tsp,
   Ginger – 1 inch piece finely chopped,
   Curry leaves – a sprig,
   Cashew nuts – 5-7,
   Onion - 2,
   Tomato - 2,
   Moong dal – 1/4 cup,
   Sambar powder – 1 tsp,
   Salt as required,
   Brinjal – 1 medium size,
   Potato – 1 medium size,
   Carrot – 1,
   Oil – 2 tsp,
   asafoetida – 1/4 tsp,
   Mustard seeds – 1 tsp,
   Urad dal - 3/4 tsp,
   Curry leaves - a sprig.</t>
  </si>
  <si>
    <t>பச்சை அரிசி - 1 கப்,
பச்சைப் பருப்பு - 1/2 கப்,
தண்ணீர் - 5 கப்,
தேவைக்கேற்ப உப்பு,
எண்ணெய் - 3 டேபிள்ஸ்பூன்,
நெய் - 2 1/2 டேபிள்ஸ்பூன்,
முழு கருப்பு மிளகு - 1 1/2 டேபிள்ஸ்பூன்,
சீரகம் - 1 1/2 டேபிள்ஸ்பூன்,
இஞ்சி - 1 அங்குல துண்டு பொடியாக நறுக்கியது,
கறிவேப்பிலை - ஒரு துளிர்,
முந்திரி பருப்பு - 5-7,
வெங்காயம் - 2,
தக்காளி - 2,
பருப்பு பருப்பு - 1/4 கப்,
சாம்பார் பொடி - 1 டேபிள்ஸ்பூன்,
தேவைக்கேற்ப உப்பு,
கத்தரிக்காய் - 1 நடுத்தர அளவு,
உருளைக்கிழங்கு - 1 நடுத்தர அளவு,
கேரட் - 1,
எண்ணெய் - 2 டேபிள்ஸ்பூன்,
அசாஃபோடிடா - 1/4 டேபிள்ஸ்பூன்,
கடுகு - 1 டேபிள்ஸ்பூன்,
உப்பு பருப்பு - 3/4 டேபிள்ஸ்பூன்,
கறிவேப்பிலை - ஒரு துளிர்.</t>
  </si>
  <si>
    <t>Heat ghee + oil in a pan/kadai, add finely chopped ginger, pepper + jeera, saute for a few minutes, then add curry leaves and saute for a few more seconds.
Add mashed rice + dal mixture, fried cashew nuts and cook on low heat for 2-3 minutes, stirring frequently.
Serve hot with sambar or coconut chutney.</t>
  </si>
  <si>
    <t>ஒரு கடாயில்/கடாயில் நெய் + எண்ணெய் சேர்த்து சூடாக்கி, இறுதியாக நறுக்கிய இஞ்சி, மிளகு + சீரகம் சேர்த்து சில நிமிடங்கள் வதக்கவும், பின்னர் கறிவேப்பிலை சேர்த்து மேலும் சில வினாடிகள் வதக்கவும்.
மசித்த அரிசி + பருப்பு கலவை, வறுத்த முந்திரி பருப்பு சேர்த்து 2-3 நிமிடங்கள் குறைந்த தீயில் அடிக்கடி கிளறி சமைக்கவும்.
சாம்பார் அல்லது தேங்காய் சட்னியுடன் சூடாக பரிமாறவும்.</t>
  </si>
  <si>
    <t>https://encrypted-tbn0.gstatic.com/images?q=tbn:ANd9GcRaqTXcrIQ4TPgmXFE_UioeXNXl2cWFrLCRQQ&amp;s</t>
  </si>
  <si>
    <t xml:space="preserve">   Raw Rice – 1/2 cup,
   pasi paruppu – 1/4 cup,
   Jaggery – 1 cup grated,
   Cashew nuts - 2 tbsp,
   Raisins - 2-3 tbsp,
   Cardamom – 4 pods,
   Ghee - 1/4 cup,
   Ghee - 1/2 tsp.</t>
  </si>
  <si>
    <t>பச்சை அரிசி - 1/2 கப்,
பசி பருப்பு - 1/4 கப்,
வெல்லம் - 1 கப் துருவியது,
முந்திரி பருப்பு - 2 டீஸ்பூன்,
திராட்சை - 2-3 டீஸ்பூன்,
ஏலக்காய் - 4 காய்கள்,
நெய் - 1/4 கப்,
நெய் - 1/2 டீஸ்பூன்.</t>
  </si>
  <si>
    <t xml:space="preserve">Heat 1/4 cup of water in a pan and add jaggery to it. When it dissolves, filter it to remove impurities. Boil jaggery water with a tsp of ghee on medium heat. Take a cup of water, add a tsp of jaggery syrup to it, if it does not dissolve, then it is the right stage to add mashed rice and dal. 
Add mashed rice, dal mixture and cook for a few minutes until everything gets blended well as in the picture below. Add cardamom powder at this stage.
Fry cashew nuts in a tsp of ghee. Remove from pan and add to the rice dal mixture.
Add the rest of the ghee and fry raisins until they puff up and add it to the rice dal mixture along with ghee.
Cook for a few minutes on low heat until everything gets blended well. Serve hot.
Enjoy delicious Sakkarai pongal!! </t>
  </si>
  <si>
    <t>ஒரு பாத்திரத்தில் 1/4 கப் தண்ணீரை சூடாக்கி, அதில் வெல்லம் சேர்க்கவும். அது கரைந்ததும், அசுத்தங்களை நீக்க வடிகட்டி வைக்கவும். வெல்லம் தண்ணீரை ஒரு தேக்கரண்டி நெய்யுடன் மிதமான தீயில் கொதிக்க வைக்கவும். ஒரு கப் தண்ணீரை எடுத்து, அதில் ஒரு தேக்கரண்டி வெல்லம் சிரப் சேர்க்கவும், அது கரையவில்லை என்றால், மசித்த அரிசி மற்றும் பருப்பைச் சேர்க்க இதுவே சரியான நிலை.
மசித்த அரிசி, பருப்பு கலவையைச் சேர்த்து, கீழே உள்ள படத்தில் உள்ளதைப் போல அனைத்தும் நன்றாகக் கலக்கும் வரை சில நிமிடங்கள் சமைக்கவும். இந்த கட்டத்தில் ஏலக்காய்த் தூள் சேர்க்கவும்.
ஒரு தேக்கரண்டி நெய்யில் முந்திரி பருப்பை வறுக்கவும். வாணலியில் இருந்து இறக்கி அரிசி பருப்பு கலவையில் சேர்க்கவும்.
மீதமுள்ள நெய்யைச் சேர்த்து, திராட்சையை கொப்பளிக்கும் வரை வதக்கி, அரிசி பருப்பு கலவையில் நெய்யுடன் சேர்க்கவும்.
குறைந்த வெப்பத்தில் எல்லாம் நன்றாகக் கலக்கும் வரை சில நிமிடங்கள் சமைக்கவும். சூடாகப் பரிமாறவும்.
சுவையான சக்கரைப் பொங்கலை அனுபவியுங்கள்!!</t>
  </si>
  <si>
    <t>https://encrypted-tbn0.gstatic.com/images?q=tbn:ANd9GcSw0qVLbMSmYsre6_72XTn29VmCK4r-jYdrtQ&amp;s</t>
  </si>
  <si>
    <t>Coconut Rice</t>
  </si>
  <si>
    <t xml:space="preserve">  Cooked rice - 2 cups heaped,
   Fresh grated coconut - 1 cup,
   Oil - 1 tbsp,
   Mustard seeds –1 tsp,
   Cumin seeds –1/2 tsp,
   kadalai paruppu – 1/2 tbsp,
   Urad dal – 2 tsp,
   Red chillies – 2,
   Green chillies - 1 slit,
   Curry leaves – few,
   Ginger  – 1 inch piece,
   Asafoetida – a pinch,
   Cashew nuts - 8-10,
   Salt as needed.</t>
  </si>
  <si>
    <t>சமைத்த சாதம் - 2 கப் குவித்து,
புதிதாக துருவிய தேங்காய் - 1 கப்,
எண்ணெய் - 1 டீஸ்பூன்,
கடுகு விதைகள் - 1 டீஸ்பூன்,
சீரகம் - 1/2 டீஸ்பூன்,
கடலை பருப்பு - 1/2 டீஸ்பூன்,
உளுத்தம் பருப்பு - 2 டீஸ்பூன்,
சிவப்பு மிளகாய் - 2,
பச்சை மிளகாய் - 1 துண்டு,
கறிவேப்பிலை - சிறிதளவு,
இஞ்சி - 1 அங்குல துண்டு,
பெருங்காயம் - ஒரு சிட்டிகை,
முந்திரி பருப்பு - 8-10,
தேவைக்கேற்ப உப்பு.</t>
  </si>
  <si>
    <t xml:space="preserve">Heat oil in a kadai/ pan, add mustard seeds, cumin seeds (optional) when it splutters, add channa dal, urad dal and red chillies. (add channa dal first as it will take time to get roasted, then add urad dal )
When dal changes color slightly, add green chillies, slivered ginger, asafoetida, curry leaves and cashew nuts. Sauté until cashew nuts turn golden brown. (remove the red chillies when sauteing cashewnuts. Once the cashew nuts turn golden brown, add the fried red chillies back – this is to prevent the red chillies from getting burnt).
Add grated coconut and sauté for a few minutes. It is not necessary to fry the grated coconut until it turn brown. Add salt needed and mix well and switch off the heat.
Fluff cooked rice with a fork and add it to the prepared coconut mix. Mix the cooked rice well with the coconut. Serve with papads or chips or any gravy or kuzhambu of your choice.
</t>
  </si>
  <si>
    <t>ஒரு கடாயில் எண்ணெயை சூடாக்கி, கடுகு, சீரகம் (விரும்பினால்) சேர்த்து, அது வதங்கியதும், சன்னா பருப்பு, உளுத்தம் பருப்பு மற்றும் சிவப்பு மிளகாய் சேர்க்கவும். (முதலில் சன்னா பருப்பு சேர்க்கவும், ஏனெனில் அது வறுத்து சிறிது நேரம் எடுக்கும், பின்னர் சன்னா பருப்பு சேர்க்கவும்)
பருப்பு சிறிது நிறம் மாறியதும், பச்சை மிளகாய், துருவிய இஞ்சி, பெருங்காயம், கறிவேப்பிலை மற்றும் முந்திரி பருப்பு சேர்க்கவும். முந்திரி பருப்பு பொன்னிறமாகும் வரை வதக்கவும். (முந்திரி பருப்பு வதக்கும்போது சிவப்பு மிளகாயை நீக்கவும். முந்திரி பருப்பு பொன்னிறமாக மாறியதும், வறுத்த சிவப்பு மிளகாயை மீண்டும் சேர்க்கவும் - இது சிவப்பு மிளகாய் கருகாமல் இருக்க).
தேங்காயை துருவியதைச் சேர்த்து சில நிமிடங்கள் வதக்கவும். துருவிய தேங்காயை பொன்னிறமாகும் வரை வறுக்க வேண்டிய அவசியமில்லை. தேவையான அளவு உப்பு சேர்த்து நன்கு கலந்து அடுப்பை அணைக்கவும்.
சமைத்த அரிசியை ஒரு முட்கரண்டி கொண்டு பிசைந்து, தயாரிக்கப்பட்ட தேங்காய் கலவையில் சேர்க்கவும். சமைத்த அரிசியை தேங்காயுடன் நன்கு கலக்கவும். பப்பட் அல்லது சிப்ஸ் அல்லது உங்களுக்கு விருப்பமான எந்த கிரேவி அல்லது குழம்புடன் பரிமாறவும்.</t>
  </si>
  <si>
    <t>https://encrypted-tbn0.gstatic.com/images?q=tbn:ANd9GcTUMjvMFDqYAiO3cyYwifyVV4eNWbRTxIjhdw&amp;s</t>
  </si>
  <si>
    <t>Ice Cream Recipes</t>
  </si>
  <si>
    <t>Milk – 1 liter full fat milk,
Jaggery – 1 cup.</t>
  </si>
  <si>
    <t>பால் - 1 லிட்டர் முழு கொழுப்புள்ள பால்,
வெல்லம் - 1 கப்.</t>
  </si>
  <si>
    <t>மேலும் 1/2 லிட்டர் முழு கொழுப்புள்ள பாலை அதன் அளவு பாதியாகக் குறையும் வரை கொதிக்க வைக்கவும். தொடர்ந்து கிளறவும் இல்லையெனில் பால் எரிந்துவிடும்.
பால் குறைந்தவுடன், தீயை அணைக்கவும். அது வெதுவெதுப்பாக மாறட்டும்.
தண்ணீரை ஒரு கிண்ணத்திற்கு மாற்றவும். குறைக்கப்பட்ட பாலை தொங்கும் தயிரில் சேர்த்து நன்கு கலக்கவும்.
பொடித்த வெல்லம் (விரும்பப்படும் இனிப்புக்கு ஏற்ப 3/4 - 1 கப்) சேர்க்கவும். நீங்கள் பொடித்த சர்க்கரை அல்லது பொடித்த பனை வெல்லத்தையும் சேர்க்கலாம். சேர்க்கும் முன் வெல்லத்தை சலிக்கவும், இதனால் கட்டிகள் எதுவும் இருக்காது.
வெல்லம் முழுவதுமாக கரையும் வரை நன்கு கலக்கவும்.
வேகவைக்க மற்றொரு பாத்திரத்திற்கு மாற்றவும். காற்று குமிழ்களை அகற்ற லேசாக தட்டவும்.
பிஸ்தா அல்லது உங்களுக்கு விருப்பமான ஏதேனும் கொட்டைகளைத் தூவவும்.
நீராவியில் தண்ணீரை கொதிக்க வைத்து, ஒரு தட்டு/ஸ்டாண்டை வைத்து, தயாரிக்கப்பட்ட கலவையை வைத்து, ஒரு தட்டில் மூடி 15-20 நிமிடங்கள் ஆவியில் வேகவைக்கவும்.
வெந்தவுடன், ஸ்டீமரில் இருந்து எடுத்து முழுமையாக ஆற விடவும். பின்னர் இரவு முழுவதும் குளிர வைக்கவும்.
பாபா டோய் குளிர்ந்ததும், அதன் மேல் அதிக கொட்டைகள் மற்றும் வெல்லப் பொடி சேர்த்து பரிமாறவும். மகிழுங்கள்!</t>
  </si>
  <si>
    <t xml:space="preserve">   Milk – 1 1/2 cup,
   Sugar – 1 tbsp,
   Jelly – 1/2 a packet,
   tukmaria – 1/2 tbsp,
   Falooda Sev – 4 tbsp,
   Pineapple,
   Apple,
   Pomegranates,
   Mangoes,
   Almonds – 10-12,
   Cashew nuts – 10-12,
   Pistachio – 10-12,
   Glazed Cherries – 2 tbps,
   Vanilla Ice Cream – 2 generous scoop.</t>
  </si>
  <si>
    <t>பால் - 1 1/2 கப்,
சர்க்கரை - 1 டீஸ்பூன்,
ஜெல்லி - ஒரு பாக்கெட்டில் 1/2,
துக்மரியா - 1/2 டீஸ்பூன்,
ஃபலூடா சேவ் - 4 டீஸ்பூன்,
அன்னாசி,
ஆப்பிள்,
மாதுளை,
மாம்பழம்,
பாதாம் - 10-12,
முந்திரி - 10-12,
பிஸ்தா - 10-12,
மெருகூட்டப்பட்ட செர்ரி - 2 டீஸ்பூன்,
வெண்ணிலா ஐஸ்கிரீம் - 2 தாராளமான ஸ்கூப்.</t>
  </si>
  <si>
    <t>All the ingredients are kept ready below. Once the ingredients are kept ready, making falooda is a breeze.
There are no hard and fast rules when it comes to layering. It is your personal choice. For royal falooda, you can start with rose syrup but since I am not fond of rose syrup, I have skipped that. 
Layer the bottom of the glass with jelly.
Then top it with sabja seeds.
Then top it with a layer of falooda sev.
Then add a layer of mixed fruits.
Add chopped nuts followed by chopped glazed cherries.
Add half cup of chilled sweetened milk.
Top it with a generous scoop of vanilla ice cream.
Garnish with some nuts, cherries and fruits. Finally decorate it with a whole cherry and serve chilled.
Repeat the same process to make another glass of falooda.</t>
  </si>
  <si>
    <t>அனைத்து பொருட்களும் கீழே தயாராக வைக்கப்பட்டுள்ளன. பொருட்கள் தயாரானதும், ஃபலூடா செய்வது ஒரு காற்று.
அடுக்குகள் அமைப்பதில் கடுமையான மற்றும் வேகமான விதிகள் எதுவும் இல்லை. இது உங்கள் தனிப்பட்ட விருப்பம். ராயல் ஃபலூடாவைப் பொறுத்தவரை, நீங்கள் ரோஸ் சிரப்பில் தொடங்கலாம், ஆனால் எனக்கு ரோஸ் சிரப் பிடிக்காததால், நான் அதைத் தவிர்த்துவிட்டேன்.
கிளாஸின் அடிப்பகுதியில் ஜெல்லியை அடுக்கி வைக்கவும்.
பின்னர் அதன் மேல் சப்ஜா விதைகளை வைக்கவும்.
பின்னர் அதன் மேல் ஒரு அடுக்கு ஃபலூடா சேவ் ஊற்றவும்.
பின்னர் ஒரு அடுக்கு மிக்ஸ்டு ஃப்ரூட்ஸ் சேர்க்கவும்.
நறுக்கிய கொட்டைகளைச் சேர்த்து, பின்னர் நறுக்கிய மெருகூட்டப்பட்ட செர்ரிகளைச் சேர்க்கவும்.
அரை கப் குளிர்ந்த இனிப்புப் பால் சேர்க்கவும்.
அதன் மேல் ஒரு தாராளமான ஸ்கூப் வெண்ணிலா ஐஸ்கிரீமை ஊற்றவும்.
சிறிது நட்ஸ், செர்ரி மற்றும் பழங்களால் அலங்கரிக்கவும். இறுதியாக ஒரு முழு செர்ரியால் அலங்கரித்து, குளிர்ந்து பரிமாறவும்.
அதே செயல்முறையை மீண்டும் செய்து மற்றொரு கிளாஸ் ஃபலூடாவை தயாரிக்கவும்.</t>
  </si>
  <si>
    <t>https://encrypted-tbn0.gstatic.com/images?q=tbn:ANd9GcS1vz9TfeS5epQR9U9CHFrxOswfU7pMC8G3VQ&amp;s</t>
  </si>
  <si>
    <t>https://encrypted-tbn0.gstatic.com/images?q=tbn:ANd9GcRGJBJb4rDgUhrib0hV3p0HEXXdwzmJZW7r9A&amp;s</t>
  </si>
  <si>
    <t>பால் - 1 1/2 கப்,
பலூடா சேவ் - 1 கப் சமைத்த,
துளசி விதைகள் - 1/2 டீஸ்பூன்,
நறுக்கிய மாம்பழம் - 1 கப்,
மாம்பழ கூழ் - 1 கப்,
தேவைக்கேற்ப சர்க்கரை,
பாதாம் - 10-12,
பிஸ்தா - 10-12,
முந்திரி பருப்பு - 10-12,
மெருகூட்டப்பட்ட செர்ரி - 2 டீஸ்பூன் நறுக்கியது,
வெண்ணிலா ஐஸ்கிரீம் - 2 தாராளமான ஸ்கூப்கள்.</t>
  </si>
  <si>
    <t xml:space="preserve">Boil 1 1/2 cup milk on medium heat until it reduces to 1 cup. Add 3 tbsp sugar, cool and refrigerate. We need chilled milk.
Soak sabja seeds in 1/2 cup of water for 20 minutes. Strain water if any and keep it aside.
Chop mangoes into cubes.
We need 1 cup of mango puree also. Mix sugar with mango puree and refrigerate.
Prepare falooda sev as given in the Falooda Sev Recipe and keep it ready.
Dry roast almonds, pistachio and cashew nuts separately. Chop it and keep it aside.
Chop cherries. Set aside 2-3 whole cherries for garnishing.
Before layering, chill the glass in which you are going to serve mango falooda for 5 minutes in the refrigerator.
Layer the bottom of the glass with sweetened mango puree.
On top of it spread a layer of sabja seeds.
On top of the sabja seeds layer, spread a layer of falooda sev followed by a layer of mango pieces.
Then add chopped assorted nuts and cherries.
Now add the chilled sweetened milk.
Add a generous scoop of vanilla ice cream and tops it with nuts, cherries, and mango pieces.
Decorate it with a whole cherry and serve chilled. Enjoy!! Repeat the same for another glass of mango falooda.
</t>
  </si>
  <si>
    <t>1 1/2 கப் பாலை மிதமான தீயில் 1 கப்பாகக் குறையும் வரை கொதிக்க வைக்கவும். 3 டீஸ்பூன் சர்க்கரையைச் சேர்த்து, ஆறவைத்து குளிர்விக்கவும். குளிர்ந்த பால் தேவை.
சப்ஜா விதைகளை 1/2 கப் தண்ணீரில் 20 நிமிடங்கள் ஊற வைக்கவும். தண்ணீர் இருந்தால் வடிகட்டி ஒதுக்கி வைக்கவும்.
மாம்பழத்தை க்யூப்ஸாக நறுக்கவும்.
நமக்கு 1 கப் மாம்பழ கூழ் தேவை. மாம்பழ கூழ் உடன் சர்க்கரை கலந்து குளிர்விக்கவும்.
ஃபலூடா சேவ் ரெசிபியில் கொடுக்கப்பட்டுள்ளபடி ஃபலூடா சேவ் தயார் செய்து தயாராக வைக்கவும்.
பாதாம், பிஸ்தா மற்றும் முந்திரி ஆகியவற்றை தனித்தனியாக வறுத்து, நறுக்கி தனியாக வைக்கவும்.
செர்ரிகளை நறுக்கவும். அலங்காரத்திற்காக 2-3 முழு செர்ரிகளை ஒதுக்கி வைக்கவும்.
அடுக்கி வைப்பதற்கு முன், நீங்கள் மாம்பழ பலூடாவை பரிமாறப் போகும் கிளாஸை குளிர்சாதன பெட்டியில் 5 நிமிடங்கள் குளிர வைக்கவும்.
கிளாஸின் அடிப்பகுதியில் இனிப்பு கலந்த மாம்பழ கூழ் அடுக்கி வைக்கவும்.
அதன் மேல் சப்ஜா விதைகளின் ஒரு அடுக்கைப் பரப்பவும்.
சப்ஜா விதைகளின் ஒரு அடுக்கின் மேல், ஃபலூடா சேவின் ஒரு அடுக்கைப் பரப்பவும், அதைத் தொடர்ந்து மாம்பழத் துண்டுகளின் ஒரு அடுக்கைப் பரப்பவும்.
பின்னர் நறுக்கிய கொட்டைகள் மற்றும் செர்ரிகளைச் சேர்க்கவும்.
இப்போது குளிர்ந்த இனிப்புப் பாலை சேர்க்கவும்.
வெண்ணிலா ஐஸ்கிரீமின் ஒரு தாராளமான ஸ்கூப் சேர்த்து, அதன் மேல் கொட்டைகள், செர்ரிகள் மற்றும் மாம்பழத் துண்டுகளைச் சேர்க்கவும்.
ஒரு முழு செர்ரியால் அலங்கரித்து குளிர்ந்து பரிமாறவும். மகிழுங்கள்!! மற்றொரு கிளாஸ் மாம்பழ பலூடாவிற்கும் இதையே செய்யவும்.</t>
  </si>
  <si>
    <t>https://encrypted-tbn0.gstatic.com/images?q=tbn:ANd9GcQzxAn4F-2oJUZMmpU4ZaAf4CKmA1AbMfxm9Q&amp;s</t>
  </si>
  <si>
    <t>Falooda Sev</t>
  </si>
  <si>
    <t>ஃபலூடா சேவ்</t>
  </si>
  <si>
    <t xml:space="preserve">   Cornflour – 1/2 cup,
   Water – 1 1/4 cup,
   Sugar – 2 tbsp,
   Oil – 1/2 tsp for greasing,
   Ice cold water – 1 big bowl,
   Sev Maker.</t>
  </si>
  <si>
    <t>கார்ன்ஃப்ளார் - 1/2 கப்,
தண்ணீர் - 1 1/4 கப்,
சர்க்கரை - 2 டேபிள்ஸ்பூன்,
எண்ணெய் - நெய் தடவ 1/2 டீஸ்பூன்,
ஐஸ் குளிர்ந்த நீர் - 1 பெரிய கிண்ணம்,
சேவ் மேக்கர்.</t>
  </si>
  <si>
    <t xml:space="preserve">Mix cornflour and sugar in a bowl.
cornflour and sugar mixture
Add water slowly stirring continuously to prevent formation of lumps.
Heat a pan, then simmer and add the cornflour+sugar mixture gradually, stirring continuously.
Cook until the mixture becomes thick and glossy. Switch off the flame.
When the mixture is hot, using a spoon, fill the mixture into the sev mold and press it over a bowl of ice cold water.
Refrigerate the sev with water for 20-30 minutes. Then strain it and use it to make falooda or to garnish kulfi ice cream.
</t>
  </si>
  <si>
    <t>ஒரு கிண்ணத்தில் கார்ன்ஃப்ளார் மற்றும் சர்க்கரையை கலக்கவும்.
கார்ன்ஃப்ளார் மற்றும் சர்க்கரை கலவை
கட்டிகள் உருவாகாமல் இருக்க மெதுவாக கிளறி தண்ணீரைச் சேர்க்கவும்.
ஒரு வாணலியை சூடாக்கி, பின்னர் கொதிக்க வைத்து, கார்ன்ஃப்ளார் + சர்க்கரை கலவையை படிப்படியாக சேர்த்து, தொடர்ந்து கிளறவும்.
கலவை கெட்டியாகவும் பளபளப்பாகவும் மாறும் வரை சமைக்கவும். தீயை அணைக்கவும்.
கலவை சூடாகும்போது, ​​ஒரு கரண்டியால், கலவையை சேவ் அச்சுக்குள் நிரப்பி, ஒரு கிண்ணத்தில் ஐஸ் குளிர்ந்த நீரில் அழுத்தவும்.
சேவை 20-30 நிமிடங்கள் தண்ணீரில் குளிர்சாதன பெட்டியில் வைக்கவும். பின்னர் அதை வடிகட்டி, ஃபலூடா தயாரிக்க அல்லது குல்ஃபி ஐஸ்கிரீமை அலங்கரிக்க பயன்படுத்தவும்.</t>
  </si>
  <si>
    <t>https://encrypted-tbn0.gstatic.com/images?q=tbn:ANd9GcTQiTINFeIccQZknSJXXuvDvEuFUKf06gevWg&amp;s</t>
  </si>
  <si>
    <t>மாம்பழம் - 1 1/2 கப் நறுக்கியது,
குளிர்ந்த பால் - 1/3 கப்,
சர்க்கரை - தேவைக்கேற்ப,
வெண்ணிலா ஐஸ்கிரீம் - 2 பெரிய ஸ்கூப்கள்,
மாம்பழ க்யூப்ஸ் - தேவைக்கேற்ப,
பாதாம் - 10-12,
பிஸ்தா - 10-12,
முந்திரி - 10-12,
மெருகூட்டப்பட்ட செர்ரி - 4-5.</t>
  </si>
  <si>
    <t>Peel the skin and chop mangoes roughly. Blend it with 1/3 cup of chilled milk, needed sugar to make a thick puree. The mango puree should be thick and not runny.
Take a glass and fill up to 3/4 of the glass with thick milkshake.
Now top it with a generous scoop of ice cream. Then garnish with chopped mango cubes, chopped nuts and cherries.
Decorate it with a cherry and serve immediately.
Repeat the same process for another glass of mango mastani.
Mango Mastani makes a delicious treat for all mango lovers.</t>
  </si>
  <si>
    <t>தோலை உரித்து மாம்பழத்தை தோராயமாக நறுக்கவும். 1/3 கப் குளிர்ந்த பாலுடன் கலக்கவும், தடிமனான ப்யூரி செய்ய சர்க்கரை தேவை. மாம்பழ ப்யூரி கெட்டியாகவும், நீர் வடியாமல் இருக்கவும் வேண்டும்.
ஒரு கிளாஸை எடுத்து, கிளாஸின் 3/4 வரை தடிமனான மில்க் ஷேக்கால் நிரப்பவும்.
இப்போது அதன் மேல் ஒரு தாராளமான ஸ்கூப் ஐஸ்கிரீம் ஊற்றவும். பின்னர் நறுக்கிய மாம்பழ க்யூப்ஸ், நறுக்கிய கொட்டைகள் மற்றும் செர்ரிகளால் அலங்கரிக்கவும்.
ஒரு செர்ரியால் அலங்கரித்து உடனடியாக பரிமாறவும்.
மற்றொரு கிளாஸ் மாம்பழ மஸ்தானிக்கு அதே செயல்முறையை மீண்டும் செய்யவும்.
மாம்பழ மஸ்தானி அனைத்து மாம்பழ பிரியர்களுக்கும் ஒரு சுவையான விருந்தாகும்.</t>
  </si>
  <si>
    <t>https://ministryofcurry.com/wp-content/uploads/2022/06/Mango-Mastani_-5.jpg</t>
  </si>
  <si>
    <t xml:space="preserve">   Mango Pulp – 1/2 cup,
   Greek Yogurt – 1 cup,
   Powdered sugar as needed.</t>
  </si>
  <si>
    <t>To make mango puree, blend mangoes without water. Mix needed sugar and keep it aside.
Mix greek yogurt until smooth using a spoon or fork. Add needed sugar and keep it aside (I added 2 1/2 tbsp of powdered sugar).
Now add 1/4 cup of greek yogurt to the mango puree and mix well.
Keep the above mango mixture and the greek yogurt inside the refrigerator for 40 minutes.
Take it out of the refrigerator. Now we will layer it in popsicle molds 
Add a layer of mango mixture, then add a layer of greek yogurt. Then again a layer of mango mixture, followed by greek yogurt mixture. Continue to layer alternating between mango mixture and greek yogurt until you fill the molds.
Insert the stick and freeze for 4-5 hours or until firm (I kept it overnight).
To unmould popsicles after it is set – show the outside of the popsicle mold under running water for 2-3 seconds, the popsicles will slide out easily. Enjoy!!</t>
  </si>
  <si>
    <t>மாம்பழ கூழ் தயாரிக்க, மாம்பழத்தை தண்ணீர் இல்லாமல் கலக்கவும். தேவையான சர்க்கரையை கலந்து தனியாக வைக்கவும்.
ஒரு ஸ்பூன் அல்லது ஃபோர்க்கைப் பயன்படுத்தி கிரேக்க தயிரை மென்மையாகும் வரை கலக்கவும். தேவையான சர்க்கரையைச் சேர்த்து தனியாக வைக்கவும் (நான் 2 1/2 டேபிள்ஸ்பூன் தூள் சர்க்கரையைச் சேர்த்தேன்).
இப்போது மாம்பழ கூழில் 1/4 கப் கிரேக்க தயிரை சேர்த்து நன்றாக கலக்கவும்.
மேற்கண்ட மாம்பழ கலவையையும் கிரேக்க தயிரையையும் குளிர்சாதன பெட்டியில் 40 நிமிடங்கள் வைக்கவும்.
அதை குளிர்சாதன பெட்டியில் இருந்து வெளியே எடுக்கவும். இப்போது பாப்சிகல் அச்சுகளில் அடுக்கி வைப்போம்
மாம்பழக் கலவையை ஒரு அடுக்கு சேர்த்து, பின்னர் கிரேக்க தயிர் ஒரு அடுக்கு சேர்க்கவும். பின்னர் மீண்டும் ஒரு அடுக்கு மாம்பழக் கலவையை, அதைத் தொடர்ந்து கிரேக்க தயிர் கலவையை. அச்சுகள் நிரம்பும் வரை மாம்பழக் கலவைக்கும் கிரேக்க தயிருக்கும் இடையில் மாறி மாறி அடுக்கி வைக்கவும்.
குச்சியைச் செருகி 4-5 மணி நேரம் அல்லது உறுதியாகும் வரை உறைய வைக்கவும் (நான் அதை இரவு முழுவதும் வைத்திருந்தேன்).
பாப்சிகிள்களை அமைத்த பிறகு அவற்றை அவிழ்க்க - ஓடும் நீரின் கீழ் 2-3 வினாடிகள் பாப்சிகிள் அச்சுகளின் வெளிப்புறத்தைக் காட்டுங்கள், பாப்சிகிள்கள் எளிதாக வெளியே சரியும். மகிழுங்கள்!!</t>
  </si>
  <si>
    <t xml:space="preserve">   Milk – 5 cups/1 litre,
   Sugar - 1 cup,
   Almonds - 1 /4 cup,
   Pistachio - 1/4 cup,
   Cashew nuts - 3-4,
   Saffron - 4-5 strands,
   Cardamom powder - 1/4 tsp,
   Ripe Mango pulp - 1 cup,
   Cornflour - 1 tbsp flat,
   Kulfi molds .</t>
  </si>
  <si>
    <t>பால் - 5 கப்/1 லிட்டர்,
சர்க்கரை - 1 கப்,
பாதாம் - 1/4 கப்,
பிஸ்தா - 1/4 கப்,
முந்திரி பருப்பு - 3-4,
குங்குமப்பூ - 4-5 இழைகள்,
ஏலக்காய் தூள் - 1/4 தேக்கரண்டி,
பழுத்த மாம்பழ கூழ் - 1 கப்,
சோள மாவு - 1 தேக்கரண்டி தட்டையானது,
குல்ஃபி அச்சுகள் .</t>
  </si>
  <si>
    <t xml:space="preserve">Boil milk (I used 4.5% milk) until it reduces to half the quantity.
mango-kulfi-1
Add the ground almond pistachio paste and cook for a few more minutes.
Add sugar and cook until sugar dissolves. Add cardamom powder and saffron (soaked in milk).
Mix cornflour with a little water without lumps. Add the cornflour mix stirring continuously (picture below)and cook until it reaches a saucy consistency. Switch off the flame and let it cool completely.
Once cooled, add the mango pulp, mix well and pour the mixture into kulfi moulds, close it and freeze for 6-7 hours. Run a knife around the inner edges of the mold to remove the kulfi ice cream from the mold.
If you do not have kulfi mould, you can freeze it in any small cups as I have done below or in paper cups or steel tumbler or popsicle mold etc.
</t>
  </si>
  <si>
    <t>பால் (நான் 4.5% பால் பயன்படுத்தினேன்) பாதியாகக் குறையும் வரை கொதிக்க வைக்கவும்.
மாம்பழ-குல்ஃபி-1
அரைத்த பாதாம் பிஸ்தா விழுதைச் சேர்த்து இன்னும் சில நிமிடங்கள் சமைக்கவும்.
சர்க்கரையைச் சேர்த்து சர்க்கரை கரையும் வரை சமைக்கவும். ஏலக்காய் தூள் மற்றும் குங்குமப்பூவை (பாலில் ஊறவைக்கவும்) சேர்க்கவும்.
சோள மாவை சிறிது தண்ணீரில் கட்டிகள் இல்லாமல் கலக்கவும். சோள மாவு கலவையை (கீழே உள்ள படம்) தொடர்ந்து கிளறி, அது ஒரு காரமான நிலைத்தன்மையை அடையும் வரை சமைக்கவும். தீயை அணைத்து, முழுமையாக ஆற விடவும்.
ஆறியதும், மாம்பழக் கூழைச் சேர்த்து, நன்கு கலந்து, கலவையை குல்ஃபி அச்சுகளில் ஊற்றி, மூடி 6-7 மணி நேரம் உறைய வைக்கவும். குல்ஃபி ஐஸ்கிரீமை அச்சிலிருந்து அகற்ற அச்சுகளின் உள் விளிம்புகளைச் சுற்றி ஒரு கத்தியை இயக்கவும்.
உங்களிடம் குல்ஃபி அச்சு இல்லையென்றால், நான் கீழே செய்ததைப் போல எந்த சிறிய கோப்பைகளிலோ அல்லது காகிதக் கோப்பைகள் அல்லது எஃகு டம்ளர் அல்லது பாப்சிகல் அச்சு போன்றவற்றிலோ உறைய வைக்கலாம்.</t>
  </si>
  <si>
    <t>https://encrypted-tbn0.gstatic.com/images?q=tbn:ANd9GcT0dO19NjsuGLc4IjGDeFeyKqugzon1D0BCIQ&amp;s</t>
  </si>
  <si>
    <t>Mango Popsicle</t>
  </si>
  <si>
    <t>மாம்பழ பாப்சிகல்</t>
  </si>
  <si>
    <t xml:space="preserve">   Ripe mango - 1 cup chopped,
   Boiled and chilled milk - 1/4 cup,
   Sugar/honey to taste,
   Popsicle mold/small paper cups.</t>
  </si>
  <si>
    <t>பழுத்த மாம்பழம் - 1 கப் நறுக்கியது,
வேகவைத்து குளிரூட்டப்பட்ட பால் - 1/4 கப்,
சர்க்கரை/தேன் சுவைக்கேற்ப,
பாப்சிகல் அச்சு/சிறிய காகிதக் கோப்பைகள்.</t>
  </si>
  <si>
    <t xml:space="preserve">Select sweet and juicy mangoes. Peel the skin and chop the mangoes.
Blend together chopped mangoes, 1/4 cup milk and sugar/honey until smooth. (if the mangoes are sweet, you don’t need much sugar/honey)
Pour it into popsicle moulds, cover it and freeze until firm. If you do not have popsicle molds, you can use small paper cups. Pour the mango mixture into paper cups, when it is half set, insert ice cream sticks and freeze until firm. You can even use ice cube tray. Freeze for 1 hours, then insert tooth picks when it is partially set and then freeze until firm.
Once set, run the outside of the popsicle mold under water (room temperature) for a few seconds to loosen the mango popsicles from the mold.
Enjoy this summer with this refreshing, healthy and delicious mango popsicles.
</t>
  </si>
  <si>
    <t>இனிப்பு மற்றும் ஜூசி மாம்பழங்களைத் தேர்ந்தெடுக்கவும். தோலை உரித்து மாம்பழங்களை நறுக்கவும்.
நறுக்கிய மாம்பழங்கள், 1/4 கப் பால் மற்றும் சர்க்கரை/தேன் ஆகியவற்றை மென்மையாகும் வரை கலக்கவும். (மாம்பழங்கள் இனிப்பாக இருந்தால், உங்களுக்கு அதிக சர்க்கரை/தேன் தேவையில்லை)
பாப்சிகல் அச்சுகளில் ஊற்றி, மூடி, கெட்டியாகும் வரை உறைய வைக்கவும். உங்களிடம் பாப்சிகல் அச்சுகள் இல்லையென்றால், சிறிய காகிதக் கோப்பைகளைப் பயன்படுத்தலாம். மாம்பழ கலவையை காகிதக் கோப்பைகளில் ஊற்றவும், அது பாதி செட் ஆனதும், ஐஸ்கிரீம் குச்சிகளைச் செருகி கெட்டியாகும் வரை உறைய வைக்கவும். நீங்கள் ஐஸ் கியூப் தட்டில் கூட பயன்படுத்தலாம். 1 மணி நேரம் உறைய வைக்கவும், பின்னர் அது பகுதி செட் ஆனதும் டூத்பிக்ஸைச் செருகவும், பின்னர் கெட்டியாகும் வரை உறைய வைக்கவும்.
அமைத்ததும், பாப்சிகல் அச்சுகளின் வெளிப்புறத்தை சில நொடிகள் தண்ணீருக்கு அடியில் (அறை வெப்பநிலையில்) இயக்கவும், இதனால் மாம்பழ பாப்சிகல்கள் அச்சிலிருந்து தளர்த்தப்படும்.
இந்த புத்துணர்ச்சியூட்டும், ஆரோக்கியமான மற்றும் சுவையான மாம்பழ பாப்சிகிள்களுடன் இந்த கோடையை அனுபவியுங்கள்.</t>
  </si>
  <si>
    <t>https://souvlakiforthesoul.com/wp-content/uploads/2022/02/mango-popsicles-7-500x500.jpg</t>
  </si>
  <si>
    <t xml:space="preserve">   Condensed milk – 4-5 tbsp,
   Cocoa powder  - 3 tbsp,
   Heavy Cream - 1 cup,
   Walnuts  - 5-6.</t>
  </si>
  <si>
    <t>சுண்டிய பால் - 4-5 டேபிள்ஸ்பூன்,
கோகோ பவுடர் - 3 டேபிள்ஸ்பூன்,
ஹெவி க்ரீம் - 1 கப்,
வால்நட்ஸ் - 5-6.</t>
  </si>
  <si>
    <t>3 பொருட்களையும் (சுண்டிய பால் + கோகோ பவுடர் + ஹெவி க்ரீம்) ஒரு கம்பி துடைப்பம் அல்லது மரக் கரண்டியால் ஒன்றாகக் கலந்து, மூடியுடன் கூடிய ஒரு கொள்கலனில் ஊற்றவும் (காற்றுப் புகாதது போல) அல்லது பிளாஸ்டிக் மடக்குடன் மூடி உறைய வைக்கவும்.
பாதி செட் ஆனதும் நறுக்கிய வால்நட்ஸை மடித்து கெட்டியாகும் வரை உறைய வைக்கவும்.
நீங்கள் ஐஸ்கிரீமை பாப்சிகல் மோல்டில் நிரப்பி உறைய வைக்கலாம். குழந்தைகள் இதை விரும்புவார்கள்.
பரிமாறுவதற்கு 3-4 நிமிடங்களுக்கு முன்பு அதை வெளியே எடுத்து வைக்கவும். நறுக்கிய வால்நட்ஸால் அலங்கரித்து பரிமாறவும்.</t>
  </si>
  <si>
    <t>https://www.thespruceeats.com/thmb/T_Mru3-k0Zl9fqDaprCn2bjhek4=/1500x0/filters:no_upscale():max_bytes(150000):strip_icc()/easy-chocolate-ice-cream-recipe-1945798-hero-01-45d9f26a0aaf4c1dba38d7e0a2ab51e2.jpg</t>
  </si>
  <si>
    <t>Orange Flavored Ice Cream</t>
  </si>
  <si>
    <t>ஆரஞ்சு சுவையுடைய ஐஸ்கிரீம்</t>
  </si>
  <si>
    <t xml:space="preserve"> Condensed milk – 140 grams,
   Fresh Cream - 1 1/4 cup,
   Any orange flavored drink - 1/2-3/4 cup.</t>
  </si>
  <si>
    <t>சுண்டிய பால் - 140 கிராம்,
புதிய கிரீம் - 1 1/4 கப்,
எந்த ஆரஞ்சு சுவையுடைய பானமும் - 1/2-3/4 கப்.</t>
  </si>
  <si>
    <t>Just mix together all the 3 ingredients well with a wooden ladle or blend together in a blender just for a few seconds. Pour it into a container and freeze.
This recipe is very versatile that you can add any flavored fruit drink to make that flavored fruit ice cream. I have used Tropicana Orange flavored drink to make this easy orange ice cream. You can substitute orange flavored drink with pineapple or grapes flavor for pineapple or grapes flavored ice cream. You can also pour this in popsicle mold and make ice cream popsicles.</t>
  </si>
  <si>
    <t>3 பொருட்களையும் ஒரு மரக் கரண்டியால் நன்றாகக் கலக்கவும் அல்லது ஒரு பிளெண்டரில் சில நொடிகள் ஒன்றாகக் கலக்கவும். அதை ஒரு கொள்கலனில் ஊற்றி உறைய வைக்கவும்.
இந்த செய்முறை மிகவும் பல்துறை திறன் கொண்டது, நீங்கள் எந்த சுவையுடைய பழ பானத்தையும் சேர்த்து அந்த சுவையுடைய பழ ஐஸ்கிரீமை உருவாக்கலாம். இந்த எளிதான ஆரஞ்சு ஐஸ்கிரீமை தயாரிக்க நான் டிராபிகானா ஆரஞ்சு சுவையுடைய பானத்தைப் பயன்படுத்தினேன். அன்னாசி அல்லது திராட்சை சுவையுடைய ஐஸ்கிரீமுக்கு பதிலாக ஆரஞ்சு சுவையுடைய பானத்தை அன்னாசி அல்லது திராட்சை சுவையுடன் மாற்றலாம். இதை நீங்கள் பாப்சிகல் அச்சுகளில் ஊற்றி ஐஸ்கிரீம் பாப்சிகல்களையும் செய்யலாம்.</t>
  </si>
  <si>
    <t>https://i.ytimg.com/vi/H7c9XHR70YQ/maxresdefault.jpg</t>
  </si>
  <si>
    <t>Boil milk until it reduces a little.This is done to prevent ice crystal formation.
Add sugar and stir until sugar dissolves.
Reduce the flame and mix cornflour gradually stirring continuously. When the milk starts thickening, switch off the flame. 
When the milk is lukewarm, add gelatin and mix well. Chill it in the freezer for 2 hours.
Then add fresh cream, vanilla essence and beat with a wooden ladle. If you are using electric beater, then beat it in low speed for a few minutes, keeping the vessel over a bowl of ice cubes. (Do not use mixie).
Pour it in an aluminium tray or box with a lid and keep it in the freezer. Once half set, remove from the freezer, beat it for a few minutes and pour it back into the pan and freeze again.
You can beat 2-3 times. This is done to get creamier ice cream.
Your homemade ice cream is ready once it sets. Allow it to thaw for 5 minutes before serving.
You can jazz up ice cream with tutti frutti, toasted nuts,chopped fruits or crumbled cookies and enjoy!!</t>
  </si>
  <si>
    <t>பாலை சிறிது சிறிதாக கொதிக்க வைக்கவும். இது பனி படிகங்கள் உருவாவதைத் தடுக்க செய்யப்படுகிறது.
சர்க்கரையைச் சேர்த்து சர்க்கரை கரையும் வரை கிளறவும்.
தீயைக் குறைத்து, சோள மாவை படிப்படியாகக் கலந்து தொடர்ந்து கிளறவும். பால் கெட்டியாகத் தொடங்கியதும், தீயை அணைக்கவும்.
பால் வெதுவெதுப்பானதும், ஜெலட்டின் சேர்த்து நன்கு கலக்கவும். ஃப்ரீசரில் 2 மணி நேரம் குளிர வைக்கவும்.
பின்னர் புதிய கிரீம், வெண்ணிலா எசன்ஸ் சேர்த்து ஒரு மரக் கரண்டியால் அடிக்கவும். நீங்கள் எலக்ட்ரிக் பீட்டரைப் பயன்படுத்துகிறீர்கள் என்றால், அதை குறைந்த வேகத்தில் சில நிமிடங்கள் அடித்து, பாத்திரத்தை ஒரு கிண்ண ஐஸ் கட்டிகளின் மேல் வைக்கவும். (மிக்சியைப் பயன்படுத்த வேண்டாம்).
அலுமினிய தட்டில் அல்லது பெட்டியில் மூடியுடன் ஊற்றி ஃப்ரீசரில் வைக்கவும். பாதி செட் ஆனதும், ஃப்ரீசரில் இருந்து எடுத்து, சில நிமிடங்கள் அடித்து, மீண்டும் பாத்திரத்தில் ஊற்றி மீண்டும் உறைய வைக்கவும்.
நீங்கள் 2-3 முறை அடிக்கலாம். இது கிரீமி ஐஸ்கிரீமைப் பெற செய்யப்படுகிறது.
உங்கள் வீட்டில் தயாரிக்கப்பட்ட ஐஸ்கிரீம் செட் ஆனதும் தயாராக உள்ளது. பரிமாறுவதற்கு முன் 5 நிமிடங்கள் கரைய விடவும்.
நீங்கள் டுட்டி ஃப்ருட்டி, டோஸ்ட் செய்யப்பட்ட கொட்டைகள், நறுக்கிய பழங்கள் அல்லது நொறுக்கப்பட்ட குக்கீகளுடன் ஐஸ்கிரீமை ஜாஸ் செய்து மகிழலாம்!!</t>
  </si>
  <si>
    <t>Mango pulp – 1 cup,
Milk Powder – 1 cup,
Water – 2 cups,
Sugar – 1 cup,
Fresh dairy cream – 1 cup,
Mango essence – 1 tsp,
Yellow food color – 2 drops,
GMS – 1/2 tsp,
Milk - 1/2 cup,
Ice cream stabilizer – 1 tsp.</t>
  </si>
  <si>
    <t>மாம்பழ கூழ் - 1 கப்,
பால் பவுடர் - 1 கப்,
தண்ணீர் - 2 கப்,
சர்க்கரை - 1 கப்,
புதிய பால் கிரீம் - 1 கப்,
மாம்பழ எசன்ஸ் - 1 டீஸ்பூன்,
மஞ்சள் உணவு நிறம் - 2 சொட்டுகள்,
GMS - 1/2 டீஸ்பூன்,
பால் - 1/2 கப்,
ஐஸ் கிரீம் ஸ்டெபிலைசர் - 1 டீஸ்பூன்.</t>
  </si>
  <si>
    <t>Mix water with milk powder well without any lumps.
Add mango puree, essence, food color, sugar and cream to the above and mix well.
Then add GMS and stabilizer mix. Mix everything together well and keep it in the freezer.
Use only aluminium container with a lid for freezing the ice cream mix.( this is done to prevent crystal formation and to get a good texture)
Once it is half set, take it out from the freezer and beat it with a wooden ladle (do not use mixie). 
Beat it at least 4 times with a gap of 1 hour for 5 minutes.
After it is set, enjoy delicious mango ice cream.</t>
  </si>
  <si>
    <t>பால் பவுடருடன் தண்ணீரை கட்டிகள் இல்லாமல் நன்கு கலக்கவும்.
மேலே உள்ளவற்றுடன் மாம்பழ கூழ், எசன்ஸ், உணவு நிறம், சர்க்கரை மற்றும் கிரீம் சேர்த்து நன்கு கலக்கவும்.
பின்னர் GMS மற்றும் ஸ்டெபிலைசர் கலவையை சேர்க்கவும். அனைத்தையும் ஒன்றாக கலந்து ஃப்ரீசரில் வைக்கவும்.
ஐஸ்கிரீம் கலவையை உறைய வைக்க ஒரு மூடியுடன் கூடிய அலுமினிய கொள்கலனை மட்டும் பயன்படுத்தவும். (படிக உருவாவதைத் தடுக்கவும் நல்ல அமைப்பைப் பெறவும் இது செய்யப்படுகிறது)
அது பாதி செட் ஆனதும், ஃப்ரீசரில் இருந்து எடுத்து ஒரு மர கரண்டியால் அடிக்கவும் (மிக்சியைப் பயன்படுத்த வேண்டாம்).
1 மணி நேர இடைவெளியில் 5 நிமிடங்களுக்கு குறைந்தது 4 முறை அடிக்கவும்.
அது செட் ஆன பிறகு, சுவையான மாம்பழ ஐஸ்கிரீமை அனுபவிக்கவும்.</t>
  </si>
  <si>
    <t>https://encrypted-tbn0.gstatic.com/images?q=tbn:ANd9GcTLmeNJfPKahCjmXF5B_kq2KXmmeOC_qginPA&amp;s</t>
  </si>
  <si>
    <t xml:space="preserve">   Milk – 5 cups,
   Sugar - 1 cup,
   Fresh cream – 3/4 cup,
   Almonds – 2 tbsp ,
   Pistachio – 2 tbsp,
   Cashew nuts – 2 tbsp,
   Cardamom  - 1/4 tsp flat,
   Saffron - few strands.</t>
  </si>
  <si>
    <t>Boil milk until it reduces to half the quantity. Keep stirring so that it does not get burnt.
 Add sugar and let it dissolve.
 Then add all the nuts, cardamom powder and cook for 3-4 minutes.
After it cools, add fresh cream and saffron. Mix well.
 Pour it into kulfi moulds and freeze. It will take 6-7 hours to set.
If you do not have kulfi moulds, freeze it in an aluminium box.
Mix 2 1/2 tsp of corn flour in a little water. Add this after adding nuts  and cook for a few minutes or until it starts thickening. Remove from flame, cool and pour it into kulfi moulds and freeze.
Run water (room temperature) around the outside of the mold for a few seconds to remove kulfi from kulfi moulds. Enjoy!!</t>
  </si>
  <si>
    <t>பால் பாதியாகக் குறையும் வரை கொதிக்க வைக்கவும். அது எரியாமல் இருக்க தொடர்ந்து கிளறவும்.
சர்க்கரை சேர்த்து கரைய விடவும்.
பின்னர் அனைத்து கொட்டைகள், ஏலக்காய் தூள் சேர்த்து 3-4 நிமிடங்கள் சமைக்கவும்.
அது குளிர்ந்த பிறகு, புதிய கிரீம் மற்றும் குங்குமப்பூவைச் சேர்க்கவும். நன்றாக கலக்கவும்.
குல்ஃபி அச்சுகளில் ஊற்றி உறைய வைக்கவும். இது 6-7 மணி நேரம் ஆகும்.
உங்களிடம் குல்ஃபி அச்சுகள் இல்லையென்றால், அதை ஒரு அலுமினிய பெட்டியில் உறைய வைக்கவும்.
2 1/2 டீஸ்பூன் சோள மாவை சிறிது தண்ணீரில் கலக்கவும். கொட்டைகளைச் சேர்த்த பிறகு இதைச் சேர்த்து சில நிமிடங்கள் அல்லது கெட்டியாகத் தொடங்கும் வரை சமைக்கவும். சுடரிலிருந்து இறக்கி, ஆறவைத்து, குல்ஃபி அச்சுகளில் ஊற்றி உறைய வைக்கவும்.
குல்ஃபி அச்சுகளிலிருந்து குல்ஃபியை அகற்ற, அச்சுக்கு வெளியே (அறை வெப்பநிலையில்) தண்ணீரை சில நொடிகள் ஊற்றவும். மகிழுங்கள்!!</t>
  </si>
  <si>
    <t>How to make Idli Dosa Batter in Mixie</t>
  </si>
  <si>
    <t>மிக்ஸியில் இட்லி தோசை மாவு செய்வது எப்படி</t>
  </si>
  <si>
    <t xml:space="preserve">   Idli Par boiled rice – 2 cups,
   Whole skinned urad dal – 1/2 cup,
   Fenugreek seeds – 1/2 tsp,
    aval – 1/3 cup,
   Sea Salt – 2 tsp,
   Ice water for grinding.</t>
  </si>
  <si>
    <t>இட்லி பாரில் வேகவைத்த அரிசி - 2 கப்,
முழு தோல் நீக்கிய உளுத்தம் பருப்பு - 1/2 கப்,
வெந்தயம் - 1/2 தேக்கரண்டி,
அவல் - 1/3 கப்,
கடல் உப்பு - 2 தேக்கரண்டி,
அரைப்பதற்கு ஐஸ் தண்ணீர்.</t>
  </si>
  <si>
    <t>Wash and soak whole urad dal (without skin) and fenugreek seeds in water for 6-7 hours. After an hour or two, keep the urad dal with the water in the refrigerator. We can use that water (needed water) for grinding. (do not use split urad dal for idlis).
Wash and soak rice for 6-7 hours.
Soak poha/aval for 1 hour before grinding.
Grind urad dal + fenugreeks seeds in the mixie until smooth. Keep these things in mind when grinding the urad dal batter in mixie. Grind urad dal adding ice water little at a time, with few seconds gap inbetween. Do not operate the mixie continuously. Finally add a little ice cold water and use the whipper mode to grind the urad dal. This will give you fluffy batter. Transfer it to a container.
Now let the mixie rest for 10 minutes as it would have been heated by now.
Grind rice in 2 batches. Grind rice along with beaten rice/poha until slightly grainy. (a little finer than rava/semolina). Again use ice water for grinding and do not operate the mixie continuously.
Now mix the rice batter with the urad dal batter. Add salt and mix it well with your hands. By mixing with our hands enough air will be incorporated into the mixture. This will also aid fermentation. 
On the whole I have used just 1 cup and 3 tbsp of water for grinding both urad dal and rice. This is just an approximate measure for you to have an idea. This may vary.
The consistency of the batter should not be too thick nor too thin. When you dip the ladle into the batter, it should coat the back of the ladle and when you take a ladle of batter and drop it back into the container, the batter should fall back into the bowl in ribbons, which slowly disappears back into the mixture. So getting the right batter consistency is important for soft idlis, whether you grind it in the mixie or wet grinder.
Just as consistency of the batter is important, proper fermentation is also important. Fermentation time depends on the weather conditons.
I kept it covered overnight and see how beautifully the batter has fermented.
Now mix the fermented batter well and refrigerate it, if you are not going to make idlis immediately.
Boil water in a steamer, once water starts boiling, grease idli moulds and pour a small ladle of batter into the moulds. (As it is just 5 idlis, I used a kadai and an idli mould – lined the idli plate with a damp thin muslin cloth and poured the batter into the mold, this will give a nice texture to the idlis).
Steam for 10-12 minutes or until it is cooked.</t>
  </si>
  <si>
    <t>முழு உளுத்தம் பருப்பையும் (தோல் இல்லாமல்) மற்றும் வெந்தய விதைகளையும் கழுவி 6-7 மணி நேரம் தண்ணீரில் ஊற வைக்கவும். ஒன்று அல்லது இரண்டு மணி நேரம் கழித்து, உளுத்தம் பருப்பை குளிர்சாதன பெட்டியில் தண்ணீருடன் வைக்கவும். அந்த தண்ணீரை (தேவையான தண்ணீரை) அரைக்க பயன்படுத்தலாம். (இட்லிகளுக்கு பிளவுபட்ட உளுத்தம் பருப்பைப் பயன்படுத்த வேண்டாம்).
அரிசியைக் கழுவி 6-7 மணி நேரம் ஊற வைக்கவும்.
அரைப்பதற்கு முன் போஹா/அவலை 1 மணி நேரம் ஊற வைக்கவும்.
உளுத்தம் பருப்பை + வெந்தய விதைகளை மிக்ஸியில் மென்மையாக அரைக்கவும். உளுத்தம் பருப்பை மிக்ஸியில் அரைக்கும்போது இந்த விஷயங்களை மனதில் கொள்ளுங்கள். உளுத்தம்பருப்பை ஐஸ் தண்ணீரை சிறிது சிறிதாக, இடையில் சில வினாடிகள் இடைவெளி விட்டு அரைக்கவும். மிக்ஸியை தொடர்ந்து பயன்படுத்த வேண்டாம். இறுதியாக சிறிது ஐஸ் குளிர்ந்த நீரைச் சேர்த்து, விப்பர் பயன்முறையைப் பயன்படுத்தி உளுத்தம்பருப்பை அரைக்கவும். இது உங்களுக்குப் பஞ்சுபோன்ற மாவைத் தரும். அதை ஒரு கொள்கலனுக்கு மாற்றவும்.
இப்போது மிக்ஸி 10 நிமிடங்கள் ஓய்வெடுக்கட்டும், ஏனெனில் அது ஏற்கனவே சூடாக்கப்பட்டிருக்கும்.
அரிசியை 2 துண்டுகளாக அரைக்கவும். அரிசியை அடித்த அரிசி/போஹாவுடன் சிறிது தானியமாக அரைக்கவும். (ரவா/ரவையை விட சற்று நன்றாக). மீண்டும் அரைக்க ஐஸ் தண்ணீரைப் பயன்படுத்தவும், மிக்ஸியை தொடர்ந்து பயன்படுத்த வேண்டாம்.
இப்போது அரிசி மாவை உளுத்தம்பருப்பு மாவுடன் கலக்கவும். உப்பு சேர்த்து உங்கள் கைகளால் நன்றாக கலக்கவும். நம் கைகளால் கலப்பதன் மூலம் கலவையில் போதுமான காற்று சேர்க்கப்படும். இது நொதித்தலுக்கும் உதவும்.
மொத்தத்தில், நான் 1 கப் மற்றும் 3 தேக்கரண்டி தண்ணீரை மட்டுமே உளுத்தம்பருப்பு மற்றும் அரிசி இரண்டையும் அரைக்கப் பயன்படுத்தினேன். உங்களுக்கு ஒரு யோசனை வர இது ஒரு தோராயமான அளவீடு மட்டுமே. இது மாறுபடலாம்.
மாவின் நிலைத்தன்மை மிகவும் தடிமனாகவோ அல்லது மெல்லியதாகவோ இருக்கக்கூடாது. நீங்கள் மாவில் கரண்டியை நனைக்கும்போது, ​​அது கரண்டியின் பின்புறத்தை பூச வேண்டும், நீங்கள் ஒரு கரண்டி மாவை எடுத்து மீண்டும் கொள்கலனில் போடும்போது, ​​மாவு மீண்டும் கிண்ணத்தில் ரிப்பன்களாக விழ வேண்டும், அது மெதுவாக கலவையில் மறைந்துவிடும். எனவே மென்மையான இட்லிகளுக்கு சரியான மாவு நிலைத்தன்மையைப் பெறுவது முக்கியம், நீங்கள் அதை மிக்ஸியில் அரைத்தாலும் சரி, ஈரமான கிரைண்டரிலும் அரைத்தாலும் சரி.
மாவின் நிலைத்தன்மை முக்கியமானது போல, சரியான நொதித்தலும் முக்கியம். நொதித்தல் நேரம் வானிலை நிலைமைகளைப் பொறுத்தது.
நான் அதை இரவு முழுவதும் மூடி வைத்திருந்தேன், மாவு எவ்வளவு அழகாக புளித்திருக்கிறது என்று பார்த்தேன்.
இப்போது புளித்த மாவை நன்கு கலந்து குளிர்சாதன பெட்டியில் வைக்கவும், நீங்கள் உடனடியாக இட்லிகளை செய்யப் போவதில்லை என்றால்.
ஒரு ஸ்டீமரில் தண்ணீரை கொதிக்க வைத்து, தண்ணீர் கொதிக்க ஆரம்பித்ததும், இட்லி அச்சுகளில் கிரீஸ் செய்து, ஒரு சிறிய கரண்டி மாவை அச்சுகளில் ஊற்றவும். (5 இட்லிகள் மட்டுமே என்பதால், நான் ஒரு கடாய் மற்றும் ஒரு இட்லி அச்சு பயன்படுத்தினேன் - இட்லி தட்டில் ஈரமான மெல்லிய மஸ்லின் துணியால் வரிசையாக வைத்து, மாவை அச்சுக்குள் ஊற்றினால், இட்லிக்கு ஒரு நல்ல அமைப்பு கிடைக்கும்).
10-12 நிமிடங்கள் அல்லது அது வேகும் வரை ஆவியில் வேகவைக்கவும்.</t>
  </si>
  <si>
    <t>https://blogger.googleusercontent.com/img/b/R29vZ2xl/AVvXsEi2o7PXRwjtmoFcQP3ui3Pm7IaFzcOF99kC-GKI53ZW9MW-EobA2t2NGwuQChw18Potqj-NQ_moYpIZY2aGMb35dyysP__iixJAmgGEX_HIIoGmC2pq350srhXy8iOWokYcVA6ZDH6vXpU/w480-h640/Idli+Dosa+Batter+in+MIxie+-+Idli.jpg</t>
  </si>
  <si>
    <t>How to Use Soap Nuts For Cleaning</t>
  </si>
  <si>
    <t>சுத்தம் செய்ய சோப்பு கொட்டைகளை எவ்வாறு பயன்படுத்துவது</t>
  </si>
  <si>
    <t xml:space="preserve">   Soapnuts – 20,
   Water – 6 cups.</t>
  </si>
  <si>
    <t>சோப்பு கொட்டைகள் - 20,
தண்ணீர் - 6 கப்.</t>
  </si>
  <si>
    <t>Soap nut liquid is a multipurpose cleaner.  Let us see how to make soapnut liquid.
Remove the seeds from the soap nuts.
soapnuts 
In a large vessel/pan, combine together 15-20 soap nuts (seeds removed) and 6 cups of water. Let it boil.
Once it starts boiling, reduce the heat. 
Simmer for 30 minutes or until it reduces to 4 cups and the water turns dark. Remove from heat and keep it covered.
Once the liquid cools completely, squeeze the soap nuts with your fingers nicely to extract more soap. Leave it overnight.
Next Day – Strain the liquid, pour it into a glass bottle. Use it within 3-4 days or refrigerate. This soapnut liquid is your multi purpose cleaner.
You can re-use the soap nuts again. You can re-boil it and extract more liquid or you can grind it to a paste and use it to wash utensils. Then compost the used nuts.</t>
  </si>
  <si>
    <t>சோப்பு கொட்டை திரவம் ஒரு பல்துறை துப்புரவாளர். சோப்பு கொட்டை திரவத்தை எப்படி தயாரிப்பது என்று பார்ப்போம்.
சோப்பு கொட்டைகளிலிருந்து விதைகளை அகற்றவும்.
சோப்பு கொட்டைகள்
ஒரு பெரிய பாத்திரம்/பாத்திரத்தில், 15-20 சோப்பு கொட்டைகள் (விதைகள் நீக்கப்பட்டது) மற்றும் 6 கப் தண்ணீரை ஒன்றாக இணைக்கவும். கொதிக்க விடவும்.
அது கொதிக்க ஆரம்பித்ததும், தீயை குறைக்கவும்.
30 நிமிடங்கள் அல்லது அது 4 கப்பாகக் குறைந்து தண்ணீர் கருமையாக மாறும் வரை வேக வைக்கவும். வெப்பத்திலிருந்து நீக்கி மூடி வைக்கவும்.
திரவம் முழுவதுமாக குளிர்ந்ததும், அதிக சோப்பைப் பிரித்தெடுக்க உங்கள் விரல்களால் சோப்பு கொட்டைகளை நன்றாக பிழிந்து விடுங்கள். அதை இரவு முழுவதும் விடவும்.
மறுநாள் - திரவத்தை வடிகட்டி, ஒரு கண்ணாடி பாட்டிலில் ஊற்றவும். 3-4 நாட்களுக்குள் பயன்படுத்தவும் அல்லது குளிர்சாதன பெட்டியில் வைக்கவும். இந்த சோப்பு கொட்டை திரவம் உங்கள் பல்துறை துப்புரவாளர்.
நீங்கள் சோப்பு கொட்டைகளை மீண்டும் பயன்படுத்தலாம். நீங்கள் அதை மீண்டும் கொதிக்க வைத்து அதிக திரவத்தை எடுக்கலாம் அல்லது அரைத்து பேஸ்டாக அரைத்து பாத்திரங்களை கழுவ பயன்படுத்தலாம். பின்னர் பயன்படுத்தப்பட்ட கொட்டைகளை உரமாக்கலாம்.</t>
  </si>
  <si>
    <t>https://encrypted-tbn0.gstatic.com/images?q=tbn:ANd9GcQMBe1f3N1ly2R47H5WAJ73R1VJ4fJKgxzm0A&amp;s</t>
  </si>
  <si>
    <t>Homemade Fruit Enzyme Cleaner</t>
  </si>
  <si>
    <t>வீட்டில் தயாரிக்கப்பட்ட பழ நொதி சுத்திகரிப்பான்</t>
  </si>
  <si>
    <t xml:space="preserve">   Lemon or orange peel – 300 grams,
   Brown sugar - 100 grams,
   Water – 1 liter,
   Yeast – 1 tsp,
   2 liter -  plastic bottle with a tight lid.</t>
  </si>
  <si>
    <t>எலுமிச்சை அல்லது ஆரஞ்சு தோல் - 300 கிராம்,
பழுப்பு சர்க்கரை - 100 கிராம்,
தண்ணீர் - 1 லிட்டர்,
ஈஸ்ட் - 1 தேக்கரண்டி,
2 லிட்டர் - இறுக்கமான மூடியுடன் கூடிய பிளாஸ்டிக் பாட்டில்.</t>
  </si>
  <si>
    <t>Cut lemon or orange peels (you can use pineapple peels also) into medium sized pieces.
Grate jaggery or you can use powdered jaggery or brown sugar. (do not use white sugar).
Take a plastic bottle with a tight lid. (do not use glass bottles as gas build-up from the fermentation process might cause explosion).
Natural multipurpose cleaner recipe 
Add jaggery and 1 liter of water.
Add the citrus peels and yeast. Make sure there is a little space on the top. Fill the container only up to 80%. Close it  tightly and shake it well.
Label the container indicating the date on which it was kept for fermenting.
Leave it to ferment for 3 months. If you add yeast, it will take only 2 months for the fruit enzymes to be ready.
You have to open the lid everyday for the first week to prevent gas build up and close it again, otherwise the gas will build up to explode in the container.
From the 2nd week, you can open it on alternate days and close it back tightly.
After second week, open the lid once in a week to let the gas out.
Store it away from sunlight in a warm dry place. It will take 2 months (if yeast is added) or 3 month (if yeast is not added) for the citrus enzyme cleaner to be ready for use.
After 3 months, strain it using a cloth or a sieve. The liquid collected is the fruit enzyme and can be used as a non toxic multipurpose cleaner.</t>
  </si>
  <si>
    <t>எலுமிச்சை அல்லது ஆரஞ்சு தோல்களை (நீங்கள் அன்னாசிப்பழத் தோல்களையும் பயன்படுத்தலாம்) நடுத்தர அளவிலான துண்டுகளாக வெட்டுங்கள்.
வெல்லத்தை தட்டி அல்லது பொடித்த வெல்லம் அல்லது பழுப்பு சர்க்கரையைப் பயன்படுத்தலாம். (வெள்ளை சர்க்கரையைப் பயன்படுத்த வேண்டாம்).
இறுக்கமான மூடியுடன் கூடிய பிளாஸ்டிக் பாட்டிலை எடுத்துக் கொள்ளுங்கள். (நொதித்தல் செயல்முறையிலிருந்து வாயு படிந்து வெடிப்பு ஏற்படக்கூடும் என்பதால் கண்ணாடி பாட்டில்களைப் பயன்படுத்த வேண்டாம்).
இயற்கை பல்துறை சுத்திகரிப்பு செய்முறை
வெல்லம் மற்றும் 1 லிட்டர் தண்ணீர் சேர்க்கவும்.
சிட்ரஸ் தோல்கள் மற்றும் ஈஸ்ட் சேர்க்கவும். மேலே சிறிது இடம் இருப்பதை உறுதிசெய்து கொள்ளுங்கள். கொள்கலனை 80% வரை மட்டுமே நிரப்பவும். அதை இறுக்கமாக மூடி நன்றாக குலுக்கவும்.
நொதிக்க வைக்கப்பட்ட தேதியைக் குறிக்கும் கொள்கலனில் லேபிளிடுங்கள்.
3 மாதங்கள் புளிக்க விடவும். நீங்கள் ஈஸ்ட் சேர்த்தால், பழ நொதிகள் தயாராக 2 மாதங்கள் மட்டுமே ஆகும்.
வாயு படிவதைத் தடுக்க முதல் வாரம் தினமும் மூடியைத் திறந்து மீண்டும் மூட வேண்டும், இல்லையெனில் வாயு கொள்கலனில் வெடிக்கும்.
2வது வாரத்திலிருந்து, நீங்கள் அதை மாற்று நாட்களில் திறந்து இறுக்கமாக மூடலாம்.
இரண்டாவது வாரத்திற்குப் பிறகு, வாயு வெளியேற வாரத்திற்கு ஒரு முறை மூடியைத் திறக்கவும்.
சூரிய ஒளியில் இருந்து விலகி, சூடான, உலர்ந்த இடத்தில் சேமிக்கவும். சிட்ரஸ் நொதி கிளீனர் பயன்பாட்டிற்கு தயாராக 2 மாதங்கள் (ஈஸ்ட் சேர்க்கப்பட்டால்) அல்லது 3 மாதங்கள் (ஈஸ்ட் சேர்க்கப்படாவிட்டால்) ஆகும்.
3 மாதங்களுக்குப் பிறகு, ஒரு துணி அல்லது சல்லடையைப் பயன்படுத்தி அதை வடிகட்டவும். சேகரிக்கப்பட்ட திரவம் பழ நொதியாகும், மேலும் இது நச்சுத்தன்மையற்ற பல்நோக்கு கிளீனராகப் பயன்படுத்தப்படலாம்.</t>
  </si>
  <si>
    <t>https://www.padhuskitchen.com/wp-content/uploads/2018/02/Fruitenzymes-3.jpg</t>
  </si>
  <si>
    <t>How to Clean Kitchen Sink</t>
  </si>
  <si>
    <t>சமையலறை சிங்க்கை எப்படி சுத்தம் செய்வது</t>
  </si>
  <si>
    <t xml:space="preserve">   Lemon juice,
   Table Salt,
   Rubber gloves,
   Scrubber,
   Old toothbrush,
   Soft cloth.</t>
  </si>
  <si>
    <t>எலுமிச்சை சாறு,
டேபிள் உப்பு,
ரப்பர் கையுறைகள்,
ஸ்க்ரப்பர்,
பழைய பல் துலக்குதல்,
மென்மையான துணி.</t>
  </si>
  <si>
    <t>If you do not have vinegar and baking soda at home, clean it with lemon and salt.
Instead of vinegar and baking soda, use equal quantity of lemon juice and salt and follow the same procedure above.
Mix equal parts of lemon juice and baking soda together. Rub the mixture on the area, leave it for 30-40 minutes and then scrub using a scrubber. Rinse thoroughly with water.
Do not use steel wool for scrubbing as it will leave scratches.
Never leave dirty dishes in the sink. If you feel lazy to wash the dishes immediately, you can put it in a plastic tub and leave it outside the kitchen.
Clean using a few drops of dish washing soap and a scrubber. Rinse it well with water and wipe it dry with a soft cloth.</t>
  </si>
  <si>
    <t>வீட்டில் வினிகர் மற்றும் பேக்கிங் சோடா இல்லையென்றால், எலுமிச்சை மற்றும் உப்பு கொண்டு சுத்தம் செய்யுங்கள்.
வினிகர் மற்றும் பேக்கிங் சோடாவிற்கு பதிலாக, சம அளவு எலுமிச்சை சாறு மற்றும் உப்பைப் பயன்படுத்தி மேலே உள்ள அதே நடைமுறையைப் பின்பற்றவும்.
எலுமிச்சை சாறு மற்றும் பேக்கிங் சோடாவை சம பாகங்களாக கலந்து. கலவையை அந்தப் பகுதியில் தேய்த்து, 30-40 நிமிடங்கள் விட்டுவிட்டு, பின்னர் ஒரு ஸ்க்ரப்பரைப் பயன்படுத்தி ஸ்க்ரப் செய்யுங்கள். தண்ணீரில் நன்கு துவைக்கவும்.
ஸ்க்ரப்பிங் செய்வதற்கு எஃகு கம்பளியைப் பயன்படுத்த வேண்டாம், ஏனெனில் அது கீறல்களை ஏற்படுத்தும்.
அழுக்குப் பாத்திரங்களை ஒருபோதும் சிங்க்கில் விடாதீர்கள். பாத்திரங்களை உடனடியாகக் கழுவ சோம்பலாக உணர்ந்தால், அதை ஒரு பிளாஸ்டிக் தொட்டியில் போட்டு சமையலறைக்கு வெளியே விடலாம்.
பாத்திரம் கழுவும் சோப்பின் சில துளிகள் மற்றும் ஒரு ஸ்க்ரப்பரைப் பயன்படுத்தி சுத்தம் செய்யுங்கள். தண்ணீரில் நன்றாக துவைத்து, மென்மையான துணியால் உலர வைக்கவும்.</t>
  </si>
  <si>
    <t>https://www.nobroker.in/blog/wp-content/uploads/2023/08/how-to-clean-kitchen-sink.jpg</t>
  </si>
  <si>
    <t>Homemade Milk Kefir</t>
  </si>
  <si>
    <t>வீட்டில் தயாரிக்கப்பட்ட பால் கேஃபிர்</t>
  </si>
  <si>
    <t xml:space="preserve">   Kefir Grains – 1-2 tsp,
   Whole milk – 2 1/2 cups,
   Any glass bottle/mason jar,
   Wooden spoon,
   Cheese cloth or paper towel,
   Rubber band,
   Plastic Stainer/Nylon Mesh stainer.</t>
  </si>
  <si>
    <t>கேஃபிர் தானியங்கள் - 1-2 தேக்கரண்டி,
முழு பால் - 2 1/2 கப்,
எந்த கண்ணாடி பாட்டில்/மேசன் ஜாடி,
மர கரண்டி,
சீஸ் துணி அல்லது காகித துண்டு,
ரப்பர் பேண்ட்,
பிளாஸ்டிக் ஸ்டெய்னர்/நைலான் மெஷ் ஸ்டெய்னர்.</t>
  </si>
  <si>
    <t>Making kefir at home is not only easy but also economical.
To make milk kefir at home, you need milk kefir grains. Kefir grains are available online or you can get it from a friend who makes kefir at home as kefir grains tend to multiply or grow as we use them.
 First we need a clean glass bottle/jar. Put 2 tsp of kefir grains in a bottle and pour around 2 1/2 cups of milk (milk should be at room temperature or lukewarm) leaving an inch space at the top of the jar.
 Close the bottle with a soft cotton cloth and secure it with a rubber band.
Leave it undisturbed for it to set. The time taken to set or ferment the milk depends on the climatic conditions and the amount of kefir grains used.
In places where the climate is hot, it will set within 15 hours. (picture on the right shows set kefir).
Once it is set, strain the kefir using a plastic strainer. After all the kefir passes through the mesh, you will be left with kefir grains.(see the picture of kefir grains on the right below).
Store the kefir in the refrigerator and consume it within a week. Kefir has a sour taste and has the consistency of a thick buttermilk as.
You can use the kefir grains to make another batch of kefir. To make another batch of kefir, follow the same process again. With good care, the kefir grains can be used indefinitely to make kefir.
In case, if you want to give a break for 3-4 days, put the kefir grains in a glass bottle with little milk, close it and keep it inside the refrigerator. This will slow down the fermentation process.
If you are new to kefir, start by drinking 1/8 cup and increase gradually so as to let your body get accustomed to it.</t>
  </si>
  <si>
    <t>வீட்டிலேயே கேஃபிர் தயாரிப்பது எளிதானது மட்டுமல்ல, சிக்கனமானதும் கூட.
வீட்டிலேயே பால் கேஃபிர் தயாரிக்க, உங்களுக்கு பால் கேஃபிர் தானியங்கள் தேவை. கேஃபிர் தானியங்கள் ஆன்லைனில் கிடைக்கின்றன அல்லது வீட்டிலேயே கேஃபிர் தயாரிக்கும் ஒரு நண்பரிடமிருந்து அதைப் பெறலாம், ஏனெனில் கேஃபிர் தானியங்கள் நாம் பயன்படுத்தும் போது பெருகும் அல்லது வளரும்.
முதலில் நமக்கு ஒரு சுத்தமான கண்ணாடி பாட்டில்/ஜாடி தேவை. ஒரு பாட்டிலில் 2 தேக்கரண்டி கேஃபிர் தானியங்களை வைத்து, ஜாடியின் மேல் ஒரு அங்குல இடைவெளி விட்டு, சுமார் 2 1/2 கப் பால் (பால் அறை வெப்பநிலையில் அல்லது வெதுவெதுப்பாக இருக்க வேண்டும்) ஊற்றவும்.
மென்மையான பருத்தி துணியால் பாட்டிலை மூடி, ரப்பர் பேண்டால் பாதுகாக்கவும்.
அது செட் ஆகும் வரை அதை அப்படியே விட்டுவிடுங்கள். பால் கெட்டியாவதற்கு அல்லது நொதிக்க எடுக்கும் நேரம், தட்பவெப்ப நிலைகள் மற்றும் பயன்படுத்தப்படும் கேஃபிர் தானியங்களின் அளவைப் பொறுத்தது.
காலநிலை வெப்பமாக இருக்கும் இடங்களில், அது 15 மணி நேரத்திற்குள் கெட்டியாகிவிடும். (வலதுபுறத்தில் உள்ள படம் செட் கேஃபிர் காட்டுகிறது).
அது கெட்டியாகிவிட்டால், ஒரு பிளாஸ்டிக் வடிகட்டியைப் பயன்படுத்தி கேஃபிரை வடிகட்டவும். அனைத்து கேஃபிர்களும் வலை வழியாகச் சென்ற பிறகு, உங்களிடம் கேஃபிர் தானியங்கள் இருக்கும். (கீழே வலதுபுறத்தில் உள்ள கேஃபிர் தானியங்களின் படத்தைப் பார்க்கவும்).
கேஃபிரை குளிர்சாதன பெட்டியில் சேமித்து ஒரு வாரத்திற்குள் உட்கொள்ளவும். கேஃபிர் ஒரு புளிப்பு சுவை கொண்டது மற்றும் ஒரு தடிமனான மோர் போன்ற நிலைத்தன்மையைக் கொண்டுள்ளது.
நீங்கள் கேஃபிர் தானியங்களைப் பயன்படுத்தி மற்றொரு தொகுதி கேஃபிர் தயாரிக்கலாம். மற்றொரு தொகுதி கேஃபிர் தயாரிக்க, அதே செயல்முறையை மீண்டும் பின்பற்றவும். நல்ல கவனத்துடன், கேஃபிர் தானியங்களை காலவரையின்றி கேஃபிர் தயாரிக்க பயன்படுத்தலாம்.
நீங்கள் 3-4 நாட்களுக்கு இடைவெளி கொடுக்க விரும்பினால், கேஃபிர் தானியங்களை ஒரு கண்ணாடி பாட்டிலில் சிறிது பாலுடன் வைத்து, அதை மூடி, குளிர்சாதன பெட்டியின் உள்ளே வைக்கவும். இது நொதித்தல் செயல்முறையை மெதுவாக்கும்.
நீங்கள் கேஃபிர் குடிப்பதற்குப் புதியவராக இருந்தால், 1/8 கப் கேஃபிர் குடிப்பதன் மூலம் தொடங்கி, உங்கள் உடல் அதற்குப் பழகும் வகையில் படிப்படியாக அதிகரிக்கவும்.</t>
  </si>
  <si>
    <t>https://www.liveeatlearn.com/wp-content/uploads/2024/08/how-to-make-milk-kefir-6.jpg</t>
  </si>
  <si>
    <t>Easy Homemade Pizza Sauce</t>
  </si>
  <si>
    <t>வீட்டில் தயாரிக்கப்பட்ட எளிதான பீட்சா சாஸ்</t>
  </si>
  <si>
    <t xml:space="preserve">   Large Ripe tomatoes – 7,
   Olive oil – 2 1/2 tbsp,
   Onion – 1 medium size,
   Garlic – 4-5 cloves,
   Tomato ketchup – 2 tbsp,
   Dried Oregano – 1 tsp,
   Dried Basil – 1 tsp,
   Dried Thyme – 1/2 tsp,
   Paprika – 3/4 tsp,
   Sugar – 1/2 tsp,
   Salt to taste,
   Pepper powder to taste.</t>
  </si>
  <si>
    <t>பெரிய பழுத்த தக்காளி - 7,
ஆலிவ் எண்ணெய் - 2 1/2 டீஸ்பூன்,
வெங்காயம் - 1 நடுத்தர அளவு,
பூண்டு - 4-5 பல்,
தக்காளி கெட்ச்அப் - 2 டீஸ்பூன்,
காய்ந்த ஓரிகானோ - 1 டீஸ்பூன்,
காய்ந்த துளசி - 1 டீஸ்பூன்,
காய்ந்த தைம் - 1/2 டீஸ்பூன்,
மிளகாய் - 3/4 டீஸ்பூன்,
சர்க்கரை - 1/2 டீஸ்பூன்,
ருசிக்க உப்பு,
சுவைக்கு மிளகு தூள்.</t>
  </si>
  <si>
    <t>Wash tomatoes well. Make an X cut at the base of the tomatoes.
Bring water to boil in a large pot. When water starts boiling, add the tomatoes. Let it remain for 2-3 minutes.
Remove it from hot water and drop them in a bowl of ice cold water. Then drain the water.
Peel the skin, de seed and chop 3 tomatoes finely  and keep it aside.
Peel the skin, de seed and blend the other 4 tomatoes.
Heat olive oil in a pan, add finely chopped onions and garlic. Saute until it turns translucent. 
Add the chopped tomatoes and cook for 2 minutes. Mash it if needed.
Add the tomato puree, tomato ketchup and the seasonings (oregano, basil, thyme, paprika, sugar, pepper powder and salt to taste).
Mix well and cook simmered for 15-20 minutes stirring from time to time until the sauce thickens.
Taste and adjust seasonings as preferred. Homemade pizza sauce is ready.</t>
  </si>
  <si>
    <t>தக்காளியை நன்றாக கழுவவும். தக்காளியின் அடிப்பகுதியில் X என்ற அளவில் வெட்டு செய்யவும்.
ஒரு பெரிய பாத்திரத்தில் தண்ணீர் கொதிக்க விடவும். தண்ணீர் கொதிக்க ஆரம்பித்ததும், தக்காளியைச் சேர்க்கவும். 2-3 நிமிடங்கள் அப்படியே வைக்கவும்.
சூடான நீரிலிருந்து அதை எடுத்து ஒரு கிண்ணத்தில் ஐஸ் குளிர்ந்த நீரில் போடவும். பின்னர் தண்ணீரை வடிகட்டவும்.
தோல் உரித்து, விதைகளை நீக்கி, 3 தக்காளிகளை நன்றாக நறுக்கி தனியாக வைக்கவும்.
தோல் உரித்து, விதைகளை நீக்கி, மற்ற 4 தக்காளிகளையும் கலக்கவும்.
ஒரு பாத்திரத்தில் ஆலிவ் எண்ணெயை சூடாக்கி, இறுதியாக நறுக்கிய வெங்காயம் மற்றும் பூண்டு சேர்க்கவும். அது ஒளிஊடுருவக்கூடியதாக மாறும் வரை வதக்கவும்.
நறுக்கிய தக்காளியைச் சேர்த்து 2 நிமிடங்கள் சமைக்கவும். தேவைப்பட்டால் மசிக்கவும்.
தக்காளி கூழ், தக்காளி கெட்ச்அப் மற்றும் மசாலாப் பொருட்களை (ஓரிகானோ, துளசி, தைம், மிளகுத்தூள், சர்க்கரை, மிளகுத் தூள் மற்றும் சுவைக்கு உப்பு) சேர்க்கவும்.
நன்கு கலந்து, அவ்வப்போது கிளறி, சாஸ் கெட்டியாகும் வரை 15-20 நிமிடங்கள் வேகவைக்கவும்.
சுவைத்து, விருப்பப்படி மசாலாப் பொருட்களை சரிசெய்யவும். வீட்டில் தயாரிக்கப்பட்ட பீட்சா சாஸ் தயாராக உள்ளது.</t>
  </si>
  <si>
    <t>https://encrypted-tbn0.gstatic.com/images?q=tbn:ANd9GcQ7bvUqpHXGDBgHe4bokNmT-O7a6MVgEoTMEg&amp;s</t>
  </si>
  <si>
    <t>Wheat Grass</t>
  </si>
  <si>
    <t>கோதுமை புல்</t>
  </si>
  <si>
    <t xml:space="preserve">   Shallow pots,
   Good potting mixture,
   Wheat berries – 50 – 100 grams.</t>
  </si>
  <si>
    <t>ஆழமற்ற தொட்டிகள்,
நல்ல தொட்டி கலவை,
கோதுமை பெர்ரிகள் - 50 - 100 கிராம்.</t>
  </si>
  <si>
    <t>Wash and soak wheat berries overnight or for 12-13 hours.
On the second day, wash it well, drain the water and tie it in a soft cotton or muslin cloth.
soak wheat berries-steps in growing wheat grass
You will find that the wheat berries has sprouted a little.
Take a shallow pot. Fill it up with a good potting mix and moisten the soil. No chemical fertilizers should be used. (see to it that the pot has holes for proper drainage of water)
Spread the sprouted wheat berries on the soil and cover it with a thin layer of the same potting mix.
Sprinkle water every day. See to it that the soil is moist and not dry or soggy. Keep the pot in partial sunlight and not under direct sunlight.
On the 8 th day, you will find that the wheat grass would have grown about 6 inches tall. You can harvest wheat grass using a scissors by cutting it above the soil level. Do not pull the grass from its root.
After harvesting, wash it well, extract juice and should consume it immediately.</t>
  </si>
  <si>
    <t>கோதுமை பெர்ரிகளை இரவு முழுவதும் அல்லது 12-13 மணி நேரம் கழுவி ஊற வைக்கவும்.
இரண்டாவது நாளில், அதை நன்றாக கழுவி, தண்ணீரை வடிகட்டி, மென்மையான பருத்தி அல்லது மஸ்லின் துணியில் கட்டவும்.
வளரும் கோதுமை புல்லில் கோதுமை பெர்ரிகளை-படிகளை ஊற வைக்கவும்
கோதுமை பெர்ரிகள் சிறிது முளைத்திருப்பதை நீங்கள் காண்பீர்கள்.
ஒரு ஆழமற்ற தொட்டியை எடுத்து, அதை ஒரு நல்ல தொட்டி கலவையால் நிரப்பி மண்ணை ஈரப்படுத்தவும். எந்த ரசாயன உரங்களையும் பயன்படுத்தக்கூடாது. (பானையில் சரியான நீர் வடிகால் துளைகள் இருப்பதை உறுதிப்படுத்திக் கொள்ளுங்கள்)
முளைத்த கோதுமை பெர்ரிகளை மண்ணில் பரப்பி, அதே தொட்டி கலவையின் மெல்லிய அடுக்கால் மூடவும்.
ஒவ்வொரு நாளும் தண்ணீரை தெளிக்கவும். மண் ஈரப்பதமாகவும், வறண்டதாகவும் அல்லது ஈரமாகவும் இல்லாமல் பார்த்துக் கொள்ளுங்கள். நேரடி சூரிய ஒளியில் இல்லாமல், பகுதி சூரிய ஒளியில் பானையை வைக்கவும்.
8 வது நாளில், கோதுமை புல் சுமார் 6 அங்குல உயரம் வளர்ந்திருக்கும் என்பதைக் காண்பீர்கள். கோதுமை புல்லை மண் மட்டத்திற்கு மேலே வெட்டி கத்தரிக்கோலால் அறுவடை செய்யலாம். புல்லை அதன் வேரிலிருந்து பிடுங்க வேண்டாம்.
அறுவடைக்குப் பிறகு, அதை நன்கு கழுவி, சாற்றைப் பிழிந்து உடனடியாக உட்கொள்ள வேண்டும்.</t>
  </si>
  <si>
    <t>https://encrypted-tbn0.gstatic.com/images?q=tbn:ANd9GcQKPz4RFb1HCOwfMf3H7XTEY3qlLXMTDp-Ztg&amp;s</t>
  </si>
  <si>
    <t>https://youtu.be/FNkKstznhK0</t>
  </si>
  <si>
    <t xml:space="preserve">   Gooseberries – 1/4 kg,
   Buttermilk – 1 cup,
   Gooseberry juice – 1 tbsp,
   Salt to taste,
   Mint and curry leaves paste – 1/2 tsp.
</t>
  </si>
  <si>
    <t xml:space="preserve">Choose ripe slightly yellowish gooseberries without any cuts or damages.
Cut it into medium sized pieces and discard the seeds.
Grind it using very less water to a fine paste.
Strain it and extract as much juice as possible. You can squeeze with your hands to remove even the last drop of juice.
Fresh gooseberry juice is ready.
Mix 10-15 ml of gooseberry juice with needed water or buttermilk and consume it. I usually do not add anything to the juice. But if preferred you can add a pinch of salt or honey, mix it well and drink it.
Personally I prefer to make it fresh everyday. But when you have excess gooseberries, you can prepare juice and pour the juice into ice cube trays and freeze it. Then remove the cubes and pack it in a ziploc bag and freeze it. Everyday you can mix 1 or 2 cubes in water or buttermilk and enjoy the drink. Avoid storing it in metal containers. 
</t>
  </si>
  <si>
    <t>பழுத்த, சற்று மஞ்சள் நிற நெல்லிக்காயை வெட்டுக்கள் அல்லது சேதங்கள் இல்லாமல் தேர்வு செய்யவும்.
நடுத்தர அளவிலான துண்டுகளாக வெட்டி விதைகளை நிராகரிக்கவும்.
மிகக் குறைந்த தண்ணீரைப் பயன்படுத்தி நன்றாக அரைக்கவும்.
அதை வடிகட்டி, முடிந்தவரை சாற்றைப் பிழியவும். கடைசி சொட்டு சாற்றை கூட உங்கள் கைகளால் பிழிந்து எடுக்கலாம்.
புதிய நெல்லிக்காய் சாறு தயாராக உள்ளது.
10-15 மில்லி நெல்லிக்காய் சாற்றை தேவையான தண்ணீர் அல்லது மோருடன் கலந்து உட்கொள்ளலாம். நான் வழக்கமாக சாற்றில் எதையும் சேர்க்க மாட்டேன். ஆனால் நீங்கள் விரும்பினால் ஒரு சிட்டிகை உப்பு அல்லது தேன் சேர்த்து, நன்றாக கலந்து குடிக்கலாம்.
தனிப்பட்ட முறையில், நான் தினமும் புதிதாகச் செய்ய விரும்புகிறேன். ஆனால் உங்களிடம் அதிகப்படியான நெல்லிக்காய்கள் இருக்கும்போது, ​​நீங்கள் சாறு தயாரித்து, ஐஸ் கியூப் தட்டுகளில் சாற்றை ஊற்றி உறைய வைக்கலாம். பின்னர் க்யூப்ஸை அகற்றி ஒரு ஜிப்லாக் பையில் அடைத்து உறைய வைக்கவும். தினமும் நீங்கள் 1 அல்லது 2 க்யூப்ஸை தண்ணீரில் அல்லது மோரில் கலந்து பானத்தை அனுபவிக்கலாம். உலோக கொள்கலன்களில் சேமிப்பதைத் தவிர்க்கவும்.</t>
  </si>
  <si>
    <t>https://encrypted-tbn0.gstatic.com/images?q=tbn:ANd9GcRjE3n77GlnOR6BC39WgFEeZmOS__KLDRs3AQ&amp;s</t>
  </si>
  <si>
    <t>How to make Cookies in Pressure Cooker</t>
  </si>
  <si>
    <t xml:space="preserve">
பிரஷர் குக்கரில் குக்கீகளை எப்படி செய்வது</t>
  </si>
  <si>
    <t xml:space="preserve">   Whole wheat flour – 1/2 cup,
   Melted ghee or butter – 3 tbsp,
   Salt – a pinch,
    powdered jaggery – 1 1/2 – 2 tbsp,
   Vanilla essence – 1/2 tsp.</t>
  </si>
  <si>
    <t>முழு கோதுமை மாவு - 1/2 கப்,
உருகிய நெய் அல்லது வெண்ணெய் - 3 டேபிள்ஸ்பூன்,
உப்பு - ஒரு சிட்டிகை,
பொடித்த வெல்லம் - 1 1/2 - 2 டேபிள்ஸ்பூன்,
வெண்ணிலா எசன்ஸ் - 1/2 டேபிள்ஸ்பூன்.</t>
  </si>
  <si>
    <t>Sevai Recipe from Scratch</t>
  </si>
  <si>
    <t>சேவாய் செய்முறை புதிதாக</t>
  </si>
  <si>
    <t>வேகவைத்த அரிசி - 1 1/2 கப்,
உப்பு - 1 டீஸ்பூன்,
எண்ணெய் - 1 டீஸ்பூன்,
ஸ்டீமர்,
சேவை மேக்கர் அல்லது வழக்கமான அழுத்தி.</t>
  </si>
  <si>
    <t>Add a tbsp of oil to the batter and mix well.
rice noodles batter-sevai batter
Bring water to boil in a steamer or idli pan/kadai. Place the greased idli plates (you can also use damp cloth) and pour a ladle of batter into the idli moulds. Steam cook the idlis for 15 minutes or until cooked. These idlis will be very hard compared to our regular idlis.
Now put 1-2 hot idlis into the sevai maker and press to get hot rice noodles or sevai. Repeat the process for the remaining idlis. (If the idlis get cold, you will find it very difficult to press, so keep the rest of the idlis inside the steamer or idli pot to prevent it from getting cold, as you will be making it in batches).
Put the remaining idlis in batches into the sevai maker (sevai nazhi) and press it to get hot rice sevai/noodles.
Let the sevai cool. Then you can season the sevai as per your liking. You can make varieties of dishes using the sevai.</t>
  </si>
  <si>
    <t xml:space="preserve">மாவுடன் ஒரு டீஸ்பூன் எண்ணெய் சேர்த்து நன்கு கலக்கவும்.
ரைஸ் நூடுல்ஸ் மாவு-சேவை மாவு
நீரை ஒரு ஸ்டீமர் அல்லது இட்லி பான்/கடாயில் கொதிக்க வைக்கவும். எண்ணெய் தடவிய இட்லி தட்டுகளை (நீங்கள் ஈரமான துணியையும் பயன்படுத்தலாம்) வைத்து, இட்லி அச்சுகளில் ஒரு கரண்டி மாவை ஊற்றவும். இட்லிகளை 15 நிமிடங்கள் அல்லது வேகும் வரை வேகவைக்கவும். இந்த இட்லிகள் வழக்கமான இட்லிகளுடன் ஒப்பிடும்போது மிகவும் கடினமாக இருக்கும்.
இப்போது சேவை மேக்கரில் 1-2 சூடான இட்லிகளை போட்டு, சூடான அரிசி நூடுல்ஸ் அல்லது சேவையைப் பெற அழுத்தவும். மீதமுள்ள இட்லிகளுக்கு இந்த செயல்முறையை மீண்டும் செய்யவும். (இட்லிகள் ஆறிவிட்டால், அழுத்துவது மிகவும் கடினமாக இருக்கும், எனவே மீதமுள்ள இட்லிகளை நீராவி அல்லது இட்லி பானைக்குள் வைத்து, அது குளிர்ச்சியடையாமல் தடுக்கவும், ஏனெனில் நீங்கள் அதை தொகுதிகளாக செய்வீர்கள்).
மீதமுள்ள இட்லிகளை சேவை தயாரிப்பாளரில் (சேவை நாழி) தொகுதிகளாக போட்டு, சூடான அரிசி சேவை/நூடுல்ஸ் பெற அதை அழுத்தவும்.
சேவையை குளிர்விக்க விடுங்கள். பின்னர் உங்கள் விருப்பப்படி சேவையை தாளிக்கலாம். சேவையைப் பயன்படுத்தி பல்வேறு வகையான உணவுகளை நீங்கள் செய்யலாம்.
</t>
  </si>
  <si>
    <t>https://encrypted-tbn0.gstatic.com/images?q=tbn:ANd9GcStEggohglcPzNlpFtyGuuexaF_fA3eB7omLw&amp;s</t>
  </si>
  <si>
    <t>Mix cornflour and sugar in a bowl.
Add water slowly stirring continuously to prevent formation of lumps.
Heat a pan, then simmer and add the cornflour+sugar mixture gradually, stirring continuously.
Cook until the mixture becomes thick and glossy. Switch off the flame.
When the mixture is hot, using a spoon, fill the mixture into the sev mold and press it over a bowl of ice cold water.
Refrigerate the sev with water for 20-30 minutes. Then strain it and use it to make falooda or to garnish kulfi ice cream.</t>
  </si>
  <si>
    <t>ஒரு கிண்ணத்தில் சோள மாவு மற்றும் சர்க்கரையை கலக்கவும்.
கட்டிகள் உருவாகாமல் இருக்க மெதுவாக கிளறி தண்ணீரைச் சேர்க்கவும்.
ஒரு வாணலியை சூடாக்கி, பின்னர் கொதிக்க வைத்து, கார்ன்ஃப்ளார் + சர்க்கரை கலவையை படிப்படியாக சேர்த்து, தொடர்ந்து கிளறவும்.
கலவை கெட்டியாகவும் பளபளப்பாகவும் மாறும் வரை சமைக்கவும். தீயை அணைக்கவும்.
கலவை சூடாகும்போது, ​​ஒரு கரண்டியால், கலவையை சேவ் அச்சுக்குள் நிரப்பி, ஒரு கிண்ணத்தில் ஐஸ் குளிர்ந்த நீரில் அழுத்தவும்.
சேவை 20-30 நிமிடங்கள் தண்ணீரில் குளிர்சாதன பெட்டியில் வைக்கவும். பின்னர் அதை வடிகட்டி, ஃபலூடா தயாரிக்க அல்லது குல்ஃபி ஐஸ்கிரீமை அலங்கரிக்க பயன்படுத்தவும்.</t>
  </si>
  <si>
    <t>https://encrypted-tbn0.gstatic.com/images?q=tbn:ANd9GcQ-bj58jzWlR5NS8tMb-1gQMm0SJjc2bMpkxw&amp;s</t>
  </si>
  <si>
    <t>How to Preserve Peas</t>
  </si>
  <si>
    <t>பட்டாணியை எப்படி சேமிப்பது</t>
  </si>
  <si>
    <t xml:space="preserve">   Fresh Peas – as needed,
   Pan/pot,
   Colander,
   Ziplock Bags.</t>
  </si>
  <si>
    <t>புதிய பட்டாணி - தேவைக்கேற்ப,
பான்/பானை,
கோலாண்டர்,
ஜிப்லாக் பைகள்.</t>
  </si>
  <si>
    <t>Shell the peas, discard the spoiled ones. It is better to shell the peas on the same day, you buy fresh peas from the market. Wash the shelled peas well and drain the water completely.
Bring plenty of water to boil in a big vessel/pot. When water boils vigorously, add the peas. There should be enough space for the peas to move, so do not over crowd the pot. If over crowded, some may get overcooked and some may be under cooked.
Blanch the peas for 1 1/2 minute. By this time, the peas will also float on the surface as seen in the picture below. 
At this stage, drain the water and put the peas immediately in ice cold water to prevent further cooking.
Let it remain in cold water for 1-2 minutes, then drain the water again, pat it dry and spread it on a cloth to air dry.
Then you can pack it in a ziplock bag or any air tight container and store it in the freezer.</t>
  </si>
  <si>
    <t>பட்டாணியை உரிக்கவும், கெட்டுப்போனவற்றை நிராகரிக்கவும். அதே நாளில் பட்டாணியை உரிக்கவும் நல்லது, நீங்கள் சந்தையில் இருந்து புதிய பட்டாணியை வாங்குகிறீர்கள். உரிக்கவும் பட்டாணியை நன்றாக கழுவி, தண்ணீரை முழுவதுமாக வடிகட்டவும்.
ஒரு பெரிய பாத்திரம்/பானையில் கொதிக்க நிறைய தண்ணீர் கொண்டு வாருங்கள். தண்ணீர் நன்றாக கொதித்ததும், பட்டாணியைச் சேர்க்கவும். பட்டாணி நகர போதுமான இடம் இருக்க வேண்டும், எனவே பானையை அதிகமாக நிரப்ப வேண்டாம். அதிகமாக இருந்தால், சில அதிகமாக வெந்திருக்கலாம், சில குறைவாகவே சமைக்கப்படலாம்.
பட்டாணியை 1 1/2 நிமிடம் பிளான்ச் செய்யவும். இந்த நேரத்தில், கீழே உள்ள படத்தில் காட்டப்பட்டுள்ளபடி பட்டாணி மேற்பரப்பில் மிதக்கும்.
இந்த கட்டத்தில், தண்ணீரை வடிகட்டி, மேலும் சமைக்காமல் இருக்க உடனடியாக பட்டாணியை ஐஸ் குளிர்ந்த நீரில் வைக்கவும்.
1-2 நிமிடங்கள் குளிர்ந்த நீரில் விடவும், பின்னர் மீண்டும் தண்ணீரை வடிகட்டவும், உலர வைக்கவும், காற்றில் உலர ஒரு துணியில் பரப்பவும்.
பின்னர் நீங்கள் அதை ஒரு ஜிப்லாக் பையில் அல்லது காற்று புகாத கொள்கலனில் அடைத்து ஃப்ரீசரில் சேமிக்கலாம்.</t>
  </si>
  <si>
    <t>https://encrypted-tbn0.gstatic.com/images?q=tbn:ANd9GcRKUMOZq9_PzzSEKjmhLxP1dvBZ2WQx0cePHw&amp;s</t>
  </si>
  <si>
    <t xml:space="preserve">   Almonds – 1 cup,
   Water – 4 cups,
   Blender,
   Cheese cloth.</t>
  </si>
  <si>
    <t>பாதாம் - 1 கப்,
தண்ணீர் - 4 கப்,
பிளெண்டர்,
சீஸ் துணி.</t>
  </si>
  <si>
    <t>https://encrypted-tbn0.gstatic.com/images?q=tbn:ANd9GcQMJzDJjA_dYfxilOJ2v-IFSw3EIQmWkZWYAg&amp;s</t>
  </si>
  <si>
    <t>Homemade Rice Flour</t>
  </si>
  <si>
    <t>வீட்டில் தயாரிக்கப்பட்ட அரிசி மாவு</t>
  </si>
  <si>
    <t xml:space="preserve">  Raw rice/pacharisi – as needed,
   Sieve.</t>
  </si>
  <si>
    <t>பச்சரிசி/பச்சரிசி - தேவைக்கேற்ப,
சல்லடை.</t>
  </si>
  <si>
    <t>-Wash the rice 2-3 times and soak it in plenty of water for 1 hour.
Drain the water completely and spread it on a cloth (any cotton cloth or a clean cotton dupatta) and dry in shade inside the house.
When the rice is moist (not fully dried) give it in the flour mill/rice mill and get it ground to a fine powder. If you do not have flour mill in your place, dry grind it in a mixie/blender.
After grinding it to a fine powder, sieve it and spread it on a wide plate (tambalam) and dry it for 2 or 3 days in shade inside the house.
Make sure the rice flour is completely dry and there is no moisture in the rice flour before storing it.
Store it in an air tight container at room temperature.</t>
  </si>
  <si>
    <t>அரிசியை 2-3 முறை கழுவி, நிறைய தண்ணீரில் 1 மணி நேரம் ஊற வைக்கவும்.
தண்ணீரை முழுவதுமாக வடிகட்டி, ஒரு துணியில் (ஏதேனும் பருத்தி துணி அல்லது சுத்தமான பருத்தி துப்பட்டா) பரப்பி, வீட்டிற்குள் நிழலில் உலர்த்தவும்.
அரிசி ஈரமாக இருக்கும்போது (முழுமையாக உலரவில்லை) அதை மாவு ஆலை/அரிசி ஆலையில் கொடுத்து நன்றாகப் பொடியாக்கவும். உங்களிடம் மாவு ஆலை இல்லையென்றால், அதை மிக்ஸி/பிளெண்டரில் உலர வைக்கவும்.
நன்றாக அரைத்த பிறகு, அதை சல்லடை செய்து, ஒரு அகலமான தட்டில் (தாம்பலம்) பரப்பி, வீட்டிற்குள் நிழலில் 2 அல்லது 3 நாட்கள் உலர்த்தவும்.
அரிசி மாவு முழுமையாக உலர்ந்து, அரிசி மாவில் ஈரப்பதம் இல்லாமல் இருப்பதை உறுதிசெய்து சேமித்து வைக்கவும்.
அரிசி மாவு முழுவதுமாக உலர்ந்து, சேமித்து வைப்பதற்கு முன், காற்று புகாத கொள்கலனில் அறை வெப்பநிலையில் சேமிக்கவும்.</t>
  </si>
  <si>
    <t>https://encrypted-tbn0.gstatic.com/images?q=tbn:ANd9GcQy3ylrC8t5v2dD7UwIFR2u9v7x7BvNZzxtYg&amp;s</t>
  </si>
  <si>
    <t>How to Clean Burnt Pots and Pans</t>
  </si>
  <si>
    <t>எரிந்த பானைகள் மற்றும் பாத்திரங்களை எவ்வாறு சுத்தம் செய்வது</t>
  </si>
  <si>
    <t>White Vinegar,
Baking soda or cooking soda,
Dishwashing detergent,
Scrubber,
Steel wool .</t>
  </si>
  <si>
    <t>வெள்ளை வினிகர்,
பேக்கிங் சோடா அல்லது சமையல் சோடா,
பாத்திரம் கழுவும் சோப்பு,
ஸ்க்ரப்பர்,
எஃகு கம்பளி.</t>
  </si>
  <si>
    <t xml:space="preserve">Add equal parts of vinegar and water to the burnt pan. I added 1/2 cup of water and 1/2 cup of vinegar to the pan as my pan was big and was severely burnt.
Bring it to rolling boil. Then let it boil for 5-6 minutes on medium heat. You will find all the burnt food residue dislodging.
I discarded the water but still my pan looked as seen in the picture below. (because it was very badly burnt – but definitely better than it was earlier).
Then I again added a cup of water and a tsp of cooking soda (or baking soda) and boiled the water for another 5-6 minutes.
The remaining remnants of burnt food also came off. Now wash and scrub the pan with dish-washing soap and a scrubber. Use a steel wool for badly burnt pans otherwise a scrubber will do. Your pot will shine as new. Amazing isn’t it??
</t>
  </si>
  <si>
    <t>எரிந்த பாத்திரத்தில் சம அளவு வினிகர் மற்றும் தண்ணீரைச் சேர்க்கவும். எனது பாத்திரம் பெரியதாகவும் கடுமையாக எரிந்ததாகவும் இருந்ததால், நான் 1/2 கப் தண்ணீர் மற்றும் 1/2 கப் வினிகரை வாணலியில் சேர்த்தேன்.
கொதி நிலைக்கு கொண்டு வாருங்கள். பின்னர் நடுத்தர வெப்பத்தில் 5-6 நிமிடங்கள் கொதிக்க விடுங்கள். எரிந்த உணவு எச்சங்கள் அனைத்தும் வெளியேறுவதை நீங்கள் காண்பீர்கள்.
நான் தண்ணீரை அப்புறப்படுத்தினேன், ஆனால் என் பாத்திரம் கீழே உள்ள படத்தில் காணப்படுவது போல் இருந்தது. (ஏனென்றால் அது மிகவும் மோசமாக எரிந்தது - ஆனால் நிச்சயமாக முந்தையதை விட சிறந்தது).
பின்னர் நான் மீண்டும் ஒரு கப் தண்ணீர் மற்றும் ஒரு தேக்கரண்டி சமையல் சோடா (அல்லது பேக்கிங் சோடா) சேர்த்து தண்ணீரை மேலும் 5-6 நிமிடங்கள் கொதிக்க வைத்தேன்.
எரிந்த உணவின் மீதமுள்ள எச்சங்களும் அகற்றப்பட்டன. இப்போது பாத்திரம் கழுவும் சோப்பு மற்றும் ஒரு ஸ்க்ரப்பரைப் பயன்படுத்தி பாத்திரத்தை கழுவி தேய்க்கவும். மோசமாக எரிந்த பாத்திரங்களுக்கு எஃகு கம்பளியைப் பயன்படுத்தவும், இல்லையெனில் ஒரு ஸ்க்ரப்பர் செய்யும். உங்க பானை புதுசு மாதிரி ஜொலிக்கும். அற்புதமா இருக்கு இல்லையா??</t>
  </si>
  <si>
    <t>https://encrypted-tbn0.gstatic.com/images?q=tbn:ANd9GcQsBAen5kstaPT9XpUN8JoZZkkEdXhxU2_yQg&amp;s</t>
  </si>
  <si>
    <t>How to preserve Gooseberries</t>
  </si>
  <si>
    <t>நெல்லிக்காயை எப்படி சேமிப்பது</t>
  </si>
  <si>
    <t>Gooseberries – as needed.</t>
  </si>
  <si>
    <t>நெல்லிக்காய் - தேவைக்கேற்ப.</t>
  </si>
  <si>
    <t>Wash the gooseberries, wipe it dry and steam for 6-7 minutes. You can use idli cooker also for steaming. When you press the gooseberries with your thumb and index finger, it should open up into segments (as seen in the picture below). At this stage you can remove from heat.
After it cools a little, remove the seeds, spread it on a plate or mat and dry it well in the sun until there is no moisture. After it dries completely, it looks like in the main picture above.</t>
  </si>
  <si>
    <t>நெல்லிக்காயைக் கழுவி, துடைத்து உலர்த்தி 6-7 நிமிடங்கள் ஆவியில் வேக வைக்கவும். இட்லி குக்கரையும் வேக வைக்க பயன்படுத்தலாம். உங்கள் கட்டைவிரல் மற்றும் ஆள்காட்டி விரலால் நெல்லிக்காயை அழுத்தும்போது, ​​அது துண்டுகளாக விரிந்து கொள்ள வேண்டும் (கீழே உள்ள படத்தில் காட்டப்பட்டுள்ளது). இந்த கட்டத்தில், நீங்கள் அதை அடுப்பிலிருந்து அகற்றலாம்.
சிறிது குளிர்ந்த பிறகு, விதைகளை அகற்றி, ஒரு தட்டில் அல்லது பாயில் பரப்பி, ஈரப்பதம் இல்லாத வரை வெயிலில் நன்கு உலர வைக்கவும். அது முழுமையாக காய்ந்த பிறகு, மேலே உள்ள முக்கிய படத்தில் உள்ளது போல் தெரிகிறது.</t>
  </si>
  <si>
    <t>https://img.onmanorama.com/content/dam/mm/en/food/features/images/2023/12/8/gooseberry.jpg/photos/1x1/photo.jpg</t>
  </si>
  <si>
    <t>Homemade Bread Crumbs</t>
  </si>
  <si>
    <t>வீட்டில் தயாரிக்கப்பட்ட ரொட்டித் துண்டுகள்</t>
  </si>
  <si>
    <t xml:space="preserve">   Bread Slices - 4-5,
   Flavorings.</t>
  </si>
  <si>
    <t>ரொட்டித் துண்டுகள் - 4-5,
சுவையூட்டும் பொருட்கள்.</t>
  </si>
  <si>
    <t>Use dry or leftover bread. Avoid using stale bread.
Preheat oven for 10 minutes at 180 degree C.
Line a baking tray with parchment paper, place the bread in a single layer and bake for 10 minutes or until the bread is completely dry and crisp. Turn them over after first 5 minutes of baking. Make sure that both the sides are well toasted.
Once it cools, break the bread into 3-4 pieces and blend it in a mixer or blender or food processor until coarse.
If preferred you can flavor the bread crumbs with dried parsley or any spice powder or garlic powder. Alternatively you can make breadcrumbs with flavored bread, if you need flavored bread crumbs.</t>
  </si>
  <si>
    <t>உலர்ந்த அல்லது மீதமுள்ள ரொட்டியைப் பயன்படுத்தவும். பழைய ரொட்டியைப் பயன்படுத்துவதைத் தவிர்க்கவும்.
180 டிகிரி செல்சியஸில் 10 நிமிடங்கள் அடுப்பை முன்கூட்டியே சூடாக்கவும்.
பேக்கிங் தட்டில் காகிதத்தோல் கொண்டு வரிசைப்படுத்தி, ரொட்டியை ஒற்றை அடுக்கில் வைத்து 10 நிமிடங்கள் அல்லது ரொட்டி முற்றிலும் உலர்ந்து மொறுமொறுப்பாகும் வரை சுடவும். பேக்கிங் செய்த முதல் 5 நிமிடங்களுக்குப் பிறகு அவற்றைத் திருப்பி விடுங்கள். இரண்டு பக்கங்களும் நன்றாக வறுக்கப்பட்டிருப்பதை உறுதிசெய்து கொள்ளுங்கள்.
அது குளிர்ந்ததும், ரொட்டியை 3-4 துண்டுகளாக உடைத்து, மிக்சி அல்லது பிளெண்டர் அல்லது உணவு செயலியில் கரடுமுரடான வரை கலக்கவும்.
விரும்பினால், உலர்ந்த வோக்கோசு அல்லது ஏதேனும் மசாலாப் பொடி அல்லது பூண்டுப் பொடியுடன் ரொட்டித் துண்டுகளை சுவைக்கலாம். மாற்றாக, சுவையூட்டப்பட்ட ரொட்டித் துண்டுகளுடன் பிரட்தூள்களை உருவாக்கலாம், உங்களுக்கு சுவையூட்டப்பட்ட ரொட்டித் துண்டுகள் தேவைப்பட்டால்.</t>
  </si>
  <si>
    <t>https://encrypted-tbn0.gstatic.com/images?q=tbn:ANd9GcQHwp-cRuvfriMZFI2CIzuAoNF0975fMkWk3w&amp;s</t>
  </si>
  <si>
    <t>Amla Murabba</t>
  </si>
  <si>
    <t>அம்லா முரப்பா</t>
  </si>
  <si>
    <t xml:space="preserve">   Gooseberries - 18-20,
   Sugar - 1 cup,
   Powdered sugar - 1 tbsp.</t>
  </si>
  <si>
    <t>நெல்லிக்காய் - 18-20,
சர்க்கரை - 1 கப்,
பொடித்த சர்க்கரை - 1 டீஸ்பூன்.</t>
  </si>
  <si>
    <t>I used ordinary gooseberries and not hybrid ones, so they were smaller in size.
Bring water to boil and add the gooseberries. Cook until soft but not mushy. When you press it between your thumb and index finger, it should open in segments. Drain the water and leave it to cool.
Then remove the seeds and separate the gooseberries into segments as shown in the picture below.
Add 1 cup of sugar, mix it well and keep it covered overnight.
You will find that the gooseberries + sugar mixture would have become watery. Mix it well and keep it closed. Let it remain in the sugar water for another day.
Then next day, take the gooseberries from the sugar syrup/water using a slotted ladle and dry it well in the sun. Dry it for 3-4 days until there is no moisture in the gooseberries.
Dust powder sugar and store it in an air tight container. Enjoy whenever needed.</t>
  </si>
  <si>
    <t>நான் சாதாரண நெல்லிக்காய்களைப் பயன்படுத்தினேன், கலப்பின நெல்லிக்காய்களைப் பயன்படுத்தவில்லை, எனவே அவை அளவில் சிறியதாக இருந்தன.
தண்ணீரை கொதிக்க வைத்து நெல்லிக்காய்களைச் சேர்க்கவும். மென்மையாகும் வரை சமைக்கவும், ஆனால் மென்மையாக இல்லாமல். உங்கள் கட்டைவிரலுக்கும் ஆள்காட்டி விரலுக்கும் இடையில் அழுத்தும்போது, ​​அது பகுதிகளாக விரிவடைய வேண்டும். தண்ணீரை வடிகட்டி குளிர்விக்க விடவும்.
பின்னர் விதைகளை அகற்றி, கீழே உள்ள படத்தில் காட்டப்பட்டுள்ளபடி நெல்லிக்காய்களைப் பகுதிகளாகப் பிரிக்கவும்.
1 கப் சர்க்கரையைச் சேர்த்து, நன்கு கலந்து இரவு முழுவதும் மூடி வைக்கவும்.
நெல்லிக்காய் + சர்க்கரை கலவை தண்ணீராக மாறியிருப்பதைக் காண்பீர்கள். அதை நன்றாகக் கலந்து மூடி வைக்கவும். சர்க்கரை நீரில் மற்றொரு நாள் அப்படியே விடவும்.
பின்னர் மறுநாள், சர்க்கரை பாகில் இருந்து/தண்ணீரில் இருந்து நெல்லிக்காயை ஒரு துளையிட்ட கரண்டியால் எடுத்து வெயிலில் நன்கு உலர வைக்கவும். நெல்லிக்காயில் ஈரப்பதம் இல்லாத வரை 3-4 நாட்கள் உலர வைக்கவும்.
சர்க்கரைப் பொடியைப் பொடித்து, காற்றுப் புகாத டப்பாவில் சேமித்து வைக்கவும். தேவைப்படும் போதெல்லாம் உண்டு மகிழவும்.</t>
  </si>
  <si>
    <t>https://static.toiimg.com/thumb/61878031.cms?imgsize=411190&amp;width=800&amp;height=800</t>
  </si>
  <si>
    <t xml:space="preserve">   Beans - 6-7,
   Carrot - 2,
   Potato - 1 small,
   Turnip - 1,
   Broccoli florets - 10,
   Cauliflower florets - 10,
   Sweet Corn - 1/2,
   Peas - 1/4 cup,
   Lemon juice to taste,
   Pepper powder to taste,
   Salt as needed,
   Roasted Sesame seeds,
   Coriander leaves,
   Dried Basil - 1 tsp,
   Oregano - 1/2 tsp.</t>
  </si>
  <si>
    <t>பீன்ஸ் - 6-7,
கேரட் - 2,
உருளைக்கிழங்கு - 1 சிறியது,
டர்னிப் - 1,
ப்ரோக்கோலி பூக்கள் - 10,
காலிஃபிளவர் பூக்கள் - 10,
இனிப்பு சோளம் - 1/2,
பட்டாணி - 1/4 கப்,
சுவைக்கு எலுமிச்சை சாறு,
சுவைக்கு மிளகு தூள்,
தேவைக்கு உப்பு,
வறுத்த எள்,
கொத்தமல்லி இலைகள்,
உலர்ந்த துளசி - 1 தேக்கரண்டி,
ஆர்கனோ - 1/2 தேக்கரண்டி.</t>
  </si>
  <si>
    <t>Boil water in a pan or wok, when it starts boiling, place the steamer (bamboo or stainless steel) or Tupperware Steam it . The steam from the boiling water cooks the vegetables.
I placed vegetables that need longer time to cook in the lower container and vegetables that need less time to get cooked in the upper container. I steamed all the vegetables in one go. It saved a lot of time and fuel. Steam the vegetable covered until tender but should retain its crunchiness.
So do not over cook the vegetables. Check in between to see if the vegetables are done. Except beans, the rest of the vegetables were ready in 6 minutes. Beans needed 2-3 minutes more than the rest of the vegetables.
Once you have steamed the vegetables, leave it to cool.
In a large bowl, place all the steamed vegetables, add freshly squeezed lemon juice, pepper powder and salt to taste. Toss well to coat.
Add roasted sesame seeds, finely chopped coriander leaves, oregano, basil and mix well.
This salad is healthy, delicious, low in fat and carbohydrates and of course low in calories also.</t>
  </si>
  <si>
    <t>ஒரு பாத்திரத்தில் அல்லது வாணலியில் தண்ணீரை கொதிக்க வைக்கவும், அது கொதிக்க ஆரம்பித்ததும், ஸ்டீமர் (மூங்கில் அல்லது ஸ்டெயின்லெஸ் ஸ்டீல்) அல்லது டப்பர்வேரை வைக்கவும். கொதிக்கும் நீரிலிருந்து வரும் நீராவி காய்கறிகளை சமைக்கிறது.
சமைக்க அதிக நேரம் தேவைப்படும் காய்கறிகளை கீழ் கொள்கலனில் வைத்தேன், சமைக்க குறைந்த நேரம் தேவைப்படும் காய்கறிகளை மேல் கொள்கலனில் வைத்தேன். அனைத்து காய்கறிகளையும் ஒரே நேரத்தில் வேகவைத்தேன். இது நிறைய நேரத்தையும் எரிபொருளையும் மிச்சப்படுத்தியது. காய்கறியை மென்மையாகும் வரை மூடி வைத்து வேகவைக்கவும், ஆனால் அதன் மொறுமொறுப்பைத் தக்க வைத்துக் கொள்ளவும்.
எனவே காய்கறிகளை அதிகமாக சமைக்க வேண்டாம். காய்கறிகள் வெந்துவிட்டதா என்று இடையில் பாருங்கள். பீன்ஸ் தவிர, மீதமுள்ள காய்கறிகள் 6 நிமிடங்களில் தயாராகிவிடும். பீன்ஸ் மற்ற காய்கறிகளை விட 2-3 நிமிடங்கள் அதிகமாக தேவைப்பட்டது.
காய்கறிகளை வேக வைத்தவுடன், அதை குளிர்விக்க விடவும்.
ஒரு பெரிய கிண்ணத்தில், வேக வைத்த அனைத்து காய்கறிகளையும் போட்டு, புதிதாக பிழிந்த எலுமிச்சை சாறு, மிளகு தூள் மற்றும் சுவைக்கு உப்பு சேர்க்கவும். நன்றாக கிளறவும்.
வறுத்த எள், இறுதியாக நறுக்கிய கொத்தமல்லி இலைகள், ஆர்கனோ, துளசி சேர்த்து நன்கு கலக்கவும்.
இந்த சாலட் ஆரோக்கியமானது, சுவையானது, கொழுப்பு மற்றும் கார்போஹைட்ரேட்டுகள் குறைவாக உள்ளது, நிச்சயமாக கலோரிகளும் குறைவாக உள்ளன.</t>
  </si>
  <si>
    <t>https://encrypted-tbn0.gstatic.com/images?q=tbn:ANd9GcS2yhyK6mV9byJO80qCrQ0YLs0bRgsHV54cww&amp;s</t>
  </si>
  <si>
    <t>வறுத்த பீன்ஸ்</t>
  </si>
  <si>
    <t xml:space="preserve">
   Pinto Beans - 3/4 cup,
   Finely chopped onions – 1/2 cup,
   Garlic paste - 1/2 tsp,
   Fresh Tomato puree - 1 cup,
   Tomato Ketchup - 2 tbsp,
   Chilli Powder  –  3/4 tsp,
   Cumin Powder - 1 tsp,
   Salt to taste,
   Oil - 1 tbsp.</t>
  </si>
  <si>
    <t>பின்டோ பீன்ஸ் - 3/4 கப்,
இறுதியாக நறுக்கிய வெங்காயம் - 1/2 கப்,
பூண்டு விழுது - 1/2 டீஸ்பூன்,
புதிய தக்காளி கூழ் - 1 கப்,
தக்காளி கெட்ச்அப் - 2 டீஸ்பூன்,
மிளகாய் தூள் - 3/4 டீஸ்பூன்,
சீரகப் பொடி - 1 டீஸ்பூன்,
சுவைக்கு உப்பு,
எண்ணெய் - 1 டீஸ்பூன்.</t>
  </si>
  <si>
    <t xml:space="preserve">Heat oil in a pan, add finely chopped onions and saute until it turns transparent.
Add garlic paste and saute for a few more seconds. Add tomato puree, chilli powder, cumin powder, tomato ketchup and salt needed.
Cook for a few minutes, then add the cooked beans along with the water and cook on high flame.
When it starts boiling, simmer and cook until the sauce thickens. Homemade delicious and healthy refried beans is ready to be served.
</t>
  </si>
  <si>
    <t>ஒரு கடாயில் எண்ணெயை சூடாக்கி, இறுதியாக நறுக்கிய வெங்காயத்தைச் சேர்த்து, அது வெளிப்படையானதாக மாறும் வரை வதக்கவும்.
பூண்டு விழுதைச் சேர்த்து இன்னும் சில வினாடிகள் வதக்கவும். தக்காளி கூழ், மிளகாய் தூள், சீரகப் பொடி, தக்காளி கெட்ச்அப் மற்றும் தேவையான உப்பு சேர்க்கவும்.
சில நிமிடங்கள் சமைக்கவும், பின்னர் சமைத்த பீன்ஸை தண்ணீருடன் சேர்த்து அதிக தீயில் சமைக்கவும்.
அது கொதிக்க ஆரம்பித்ததும், கொதிக்க வைத்து, சாஸ் கெட்டியாகும் வரை சமைக்கவும். வீட்டில் தயாரிக்கப்பட்ட சுவையான மற்றும் ஆரோக்கியமான வறுத்த பீன்ஸ் பரிமாற தயாராக உள்ளது.</t>
  </si>
  <si>
    <t>https://encrypted-tbn0.gstatic.com/images?q=tbn:ANd9GcSm3MLRFA9zdOQWnTDnvAV6B8GsfxzHxCmWpQ&amp;s</t>
  </si>
  <si>
    <t>Homemade Health Mix Powder</t>
  </si>
  <si>
    <t>வீட்டில் தயாரிக்கப்பட்ட சுகாதார கலவை தூள்</t>
  </si>
  <si>
    <t>Finger millet-Ragi - 1 kg,
   Pearl Millet - 1 kg,
   Green gram - 1/2 kg,
   Red Rice - 1/4 kg,
   Roasted gram - 1/4 kg,
   Foxtail millet -1/2 cup,
   Horse Gram – 100 grams,
   Barley - 100 grams,
   Almonds - 25 ,
   Cashew nuts - 10,
   Peanuts - 100 grams,
   Cardamom  - 6,
   Dry ginger - 1 inch piece.</t>
  </si>
  <si>
    <t>ராகி - 1 கிலோ,
முத்து தினை - 1 கிலோ,
பச்சை பயறு - 1/2 கிலோ,
சிவப்பு அரிசி - 1/4 கிலோ,
வறுத்த பயறு - 1/4 கிலோ,
ஃபாக்ஸ்டெயில் தினை - 1/2 கப்,
குதிரைவாலி - 100 கிராம்,
பார்லி - 100 கிராம்,
பாதாம் - 25 ,
முந்திரி பருப்பு - 10,
வேர்க்கடலை - 100 கிராம்,
ஏலக்காய் - 6,
உலர் இஞ்சி - 1 அங்குல துண்டு.</t>
  </si>
  <si>
    <t xml:space="preserve">Clean all the ingredients. If you buy branded organic ingredients, you can skip this step as mostly it is clean and can be used as such.
Dry roast all the ingredients (except cardamom) separately until you get a nice aroma of roasted ingredients. Spread the roasted ingredients on a plate to cool. Then mix everything together.
Get it ground in a flour mill to a fine powder. Spread it on a plate to cool and then store it in an air tight container or stainless steel container. Those who are staying abroad, can prepare less quantity and dry grind it in a mixie.
This powder has a self life of 3-4 months at room temperature. If  kept in the freezer, it can be kept for more than 6 months.
Porridge prepared from this health mix can be given to babies above 1 year and to people of all age groups. When giving to babies, start with 1 tsp and then increase gradually to 2 or 2 1/2 tsp. Consult your pediatrician before starting any new food for babies.
</t>
  </si>
  <si>
    <t>அனைத்து பொருட்களையும் சுத்தம் செய்யவும். நீங்கள் பிராண்டட் ஆர்கானிக் பொருட்களை வாங்கினால், பெரும்பாலும் இது சுத்தமானது மற்றும் அப்படியே பயன்படுத்தப்படலாம் என்பதால் இந்த படிநிலையை நீங்கள் தவிர்க்கலாம்.
வறுத்த பொருட்களின் நல்ல நறுமணம் வரும் வரை அனைத்து பொருட்களையும் (ஏலக்காய் தவிர) தனித்தனியாக உலர வறுக்கவும். வறுத்த பொருட்களை ஒரு தட்டில் பரப்பி குளிர்விக்க வேண்டும். பின்னர் அனைத்தையும் ஒன்றாக கலக்கவும்.
ஒரு மாவு ஆலையில் நன்றாகப் பொடியாக அரைக்கவும். இதை ஒரு தட்டில் பரப்பி குளிர வைத்து, காற்று புகாத கொள்கலன் அல்லது ஸ்டெயின்லெஸ் ஸ்டீல் கொள்கலனில் சேமிக்கவும். வெளிநாட்டில் இருப்பவர்கள், குறைந்த அளவு தயாரித்து, மிக்ஸியில் உலர்த்தி அரைக்கலாம்.
இந்தப் பொடியை அறை வெப்பநிலையில் 3-4 மாதங்கள் வரை நீடிக்கும். ஃப்ரீசரில் வைத்திருந்தால், 6 மாதங்களுக்கும் மேலாக வைத்திருக்கலாம்.
இந்த ஆரோக்கியமான கலவையிலிருந்து தயாரிக்கப்பட்ட கஞ்சியை 1 வயதுக்கு மேற்பட்ட குழந்தைகளுக்கும், அனைத்து வயதினருக்கும் கொடுக்கலாம். குழந்தைகளுக்குக் கொடுக்கும்போது, ​​1 டீஸ்பூன் தொடங்கி, படிப்படியாக 2 அல்லது 2 1/2 டீஸ்பூன் வரை அதிகரிக்கவும். குழந்தைகளுக்கு எந்த புதிய உணவையும் தொடங்குவதற்கு முன் உங்கள் குழந்தை மருத்துவரை அணுகவும்.</t>
  </si>
  <si>
    <t>https://encrypted-tbn0.gstatic.com/images?q=tbn:ANd9GcSkxIpIUlmJvE4N-dK8ZFA72H3hA3hcqeUn6w&amp;s</t>
  </si>
  <si>
    <t>How to make Butter at Home from Milk</t>
  </si>
  <si>
    <t>பாலில் இருந்து வீட்டிலேயே வெண்ணெய் தயாரிப்பது எப்படி</t>
  </si>
  <si>
    <t>Milk Cream,
Chilled water,
Curd.</t>
  </si>
  <si>
    <t>பால் கிரீம்,
குளிர்ந்த நீர்,
தயிர்.</t>
  </si>
  <si>
    <t>oil milk. Let it cool to room temperature. Then refrigerate the milk overnight or for 5-6 hours.
You will find a thick layer of thick cream on the surface. Collect that cream in a container, add a tsp of curd to it and store it in the freezer or in the refrigerator section.
Collect cream everyday and keep adding to the already collected cream. Add a tsp of curd once in 4-5 days.
Once you have collected enough cream, you can make butter from it.
Take the cream from the refrigerator, add a tsp of curd/plain yogurt and keep it out overnight or for 5-6 hours. Let it come to room temperature.
After 6 hours- Place the cream in the blender/mixie/food processor . Add 2-3 cups of water.
Run the blender for 2-3 minutes. Then leave a gap for a few seconds and then run again.
After 10-15 minutes, you will see butter collecting at the top. The liquid remaining is buttermilk.
Collect the butter with a slotted ladle and place it in a bowl of chilled water.
Wash the butter 2-3 times in chilled water or until the water is clear. Drain the water completely. Press and squeeze as much water as you can from the butter and then store it in a container.
Homemade butter is ready. Store in a container or any box in the refrigerator for a week. It can be stored in the freezer for a month.</t>
  </si>
  <si>
    <t>எண்ணெய் பால். அறை வெப்பநிலையில் குளிர்விக்க விடவும். பின்னர் பாலை இரவு முழுவதும் அல்லது 5-6 மணி நேரம் குளிர்சாதன பெட்டியில் வைக்கவும்.
மேற்பரப்பில் ஒரு தடிமனான கிரீம் அடுக்கைக் காண்பீர்கள். அந்த கிரீம் ஒரு கொள்கலனில் சேகரித்து, அதில் ஒரு தேக்கரண்டி தயிரை சேர்த்து ஃப்ரீசரில் அல்லது குளிர்சாதன பெட்டி பிரிவில் சேமிக்கவும்.
தினமும் கிரீம் சேகரித்து, ஏற்கனவே சேகரிக்கப்பட்ட கிரீம் உடன் சேர்த்துக் கொண்டே இருங்கள். 4-5 நாட்களுக்கு ஒரு முறை ஒரு தேக்கரண்டி தயிர் சேர்க்கவும்.
போதுமான கிரீம் சேகரித்தவுடன், அதிலிருந்து வெண்ணெய் தயாரிக்கலாம்.
குளிர்சாதன பெட்டியில் இருந்து கிரீம் எடுத்து, ஒரு தேக்கரண்டி தயிர்/வெற்று தயிர் சேர்த்து இரவு முழுவதும் அல்லது 5-6 மணி நேரம் வெளியே வைக்கவும். அறை வெப்பநிலைக்கு வர விடவும்.
6 மணி நேரத்திற்குப் பிறகு- கிரீம் பிளெண்டர்/மிக்ஸி/உணவு செயலியில் வைக்கவும். 2-3 கப் தண்ணீர் சேர்க்கவும்.
பிளெண்டரை 2-3 நிமிடங்கள் இயக்கவும். பின்னர் சில வினாடிகள் இடைவெளி விட்டு மீண்டும் இயக்கவும்.
10-15 நிமிடங்களுக்குப் பிறகு, மேலே வெண்ணெய் சேகரிப்பதைக் காண்பீர்கள். மீதமுள்ள திரவம் மோர்.
வெண்ணெயை ஒரு துளையிடப்பட்ட கரண்டியால் சேகரித்து குளிர்ந்த நீரில் ஒரு கிண்ணத்தில் வைக்கவும்.
வெண்ணெயை குளிர்ந்த நீரில் 2-3 முறை கழுவவும் அல்லது தண்ணீர் தெளிவாகும் வரை கழுவவும். தண்ணீரை முழுவதுமாக வடிகட்டவும். வெண்ணெயிலிருந்து முடிந்தவரை தண்ணீரை அழுத்தி பிழிந்து, பின்னர் அதை ஒரு கொள்கலனில் சேமிக்கவும்.
வீட்டில் தயாரிக்கப்பட்ட வெண்ணெய் தயாராக உள்ளது. ஒரு வாரம் குளிர்சாதன பெட்டியில் ஒரு கொள்கலன் அல்லது எந்த பெட்டியிலும் சேமிக்கவும். இதை ஒரு மாதம் ஃப்ரீசரில் சேமிக்கலாம்.</t>
  </si>
  <si>
    <t>https://encrypted-tbn0.gstatic.com/images?q=tbn:ANd9GcS8YKO2LHf4V5g6Dtpxswg1GEbRuy4yIXi4kw&amp;s</t>
  </si>
  <si>
    <t>https://youtu.be/TXyuMj8Y9bE</t>
  </si>
  <si>
    <t>How to cook Quinoa</t>
  </si>
  <si>
    <t>குயினோவாவை எப்படி சமைப்பது</t>
  </si>
  <si>
    <t xml:space="preserve">   Quinoa - 1 cup,
   Water/vegetable broth - 2 cups,
   Salt.</t>
  </si>
  <si>
    <t>குயினோவா - 1 கப்,
தண்ணீர்/காய்கறி குழம்பு - 2 கப்,
உப்பு.</t>
  </si>
  <si>
    <t xml:space="preserve">Place quinoa in a fine mesh strainer and wash it well under running water. Washing it well is important as the outer hull of a quinoa seed is very bitter. Though commercial processing methods remove the bitterness, it is still advisable to rinse quinoa well.
Add 2 cups of water for 1 cup of quinoa. When water starts boiling, reduce the flame/heat to low.
Cover and cook simmered for 15 minutes or until all the liquid is absorbed. Let it sit for 10 minutes.Then fluff it with a fork. Fluffy, light and tasty Quinoa is ready.
</t>
  </si>
  <si>
    <t>குயினோவாவை ஒரு மெல்லிய வடிகட்டியில் வைத்து, ஓடும் நீரின் கீழ் நன்கு கழுவவும். குயினோவா விதையின் வெளிப்புற ஓடு மிகவும் கசப்பானதாக இருப்பதால், அதை நன்கு கழுவுவது முக்கியம். வணிக செயலாக்க முறைகள் கசப்பை நீக்கினாலும், குயினோவாவை நன்றாக துவைக்க அறிவுறுத்தப்படுகிறது.
1 கப் குயினோவாவிற்கு 2 கப் தண்ணீர் சேர்க்கவும். தண்ணீர் கொதிக்க ஆரம்பித்ததும், தீயை/வெப்பத்தை குறைக்கவும்.
மூடி வைத்து 15 நிமிடங்கள் அல்லது அனைத்து திரவமும் உறிஞ்சப்படும் வரை வேகவைக்கவும். 10 நிமிடங்கள் அப்படியே விடவும். பின்னர் அதை ஒரு முட்கரண்டி கொண்டு பிசையவும். பஞ்சுபோன்ற, லேசான மற்றும் சுவையான குயினோவா தயாராக உள்ளது.</t>
  </si>
  <si>
    <t>https://encrypted-tbn0.gstatic.com/images?q=tbn:ANd9GcRKxKcqb0__npy2mTWPlECAoake4-CLR2tmUw&amp;s</t>
  </si>
  <si>
    <t>https://youtu.be/nMZseCp4Pzk</t>
  </si>
  <si>
    <t>How to make Upma</t>
  </si>
  <si>
    <t>உப்புமா செய்வது எப்படி</t>
  </si>
  <si>
    <t xml:space="preserve">   Rava – 1 cup,
   Onion – 1,
   Green chilli - 1,
   Ginger – 1 inch piece,
   Water – 2 cups,
   Ghee – 3/4 tsp,
   Salt needed,
   Oil – 3 tsp,
   Mustard seeds - 1 tsp,
   Urad dal – 3/4 tsp,
   Red chillies - 1,
   Curry leaves – few.</t>
  </si>
  <si>
    <t>ரவா - 1 கப்,
வெங்காயம் - 1,
பச்சை மிளகாய் - 1,
இஞ்சி - 1 அங்குல துண்டு,
தண்ணீர் - 2 கப்,
நெய் - 3/4 தேக்கரண்டி,
உப்பு தேவை,
எண்ணெய் - 3 தேக்கரண்டி,
கடுகு - 1 தேக்கரண்டி,
உளுத்தம் பருப்பு - 3/4 தேக்கரண்டி,
சிவப்பு மிளகாய் - 1,
கறிவேப்பிலை - சிறிதளவு.</t>
  </si>
  <si>
    <t xml:space="preserve">Heat 3 tsp of oil, add mustard seeds, when it splutters, add urad dal, red chillies and curry leaves.
When dal turns golden brown, add chopped onions, green chillies and ginger.
Saute until onions turn transparent.
sauteing onions for upma
Then add 2 cups of water, ghee and salt needed. Taste the water and check for salt.(if it is a bit salty, then it will become perfect after adding rava).
When the water starts boiling, reduce the flame to low, add rava gradually with one hand and keep stirring with your other hand.
Once the rava absorbs all the water, cover and cook on low flame for 6-7 minutes. Do not forget to stir in between.
Delicious rava upma is ready to be served. It can be paired with Tomato chutney, coconut chutney, sambar or any pickle.
</t>
  </si>
  <si>
    <t>3 தேக்கரண்டி எண்ணெயை சூடாக்கி, கடுகு சேர்த்து, அது வதங்கியதும், உளுத்தம் பருப்பு, சிவப்பு மிளகாய் மற்றும் கறிவேப்பிலை சேர்க்கவும்.
பருப்பு பொன்னிறமாக மாறியதும், நறுக்கிய வெங்காயம், பச்சை மிளகாய் மற்றும் இஞ்சி சேர்க்கவும்.
வெங்காயம் வெளிப்படையானதாக மாறும் வரை வதக்கவும்.
உப்புமாவுக்கு வெங்காயம் வதக்கவும்
பின்னர் 2 கப் தண்ணீர், நெய் மற்றும் தேவையான அளவு உப்பு சேர்க்கவும். தண்ணீரை ருசித்து உப்பு இருக்கிறதா என்று பாருங்கள். (கொஞ்சம் காரம் இருந்தால், ரவை சேர்த்த பிறகு அது சரியானதாக மாறும்).
தண்ணீர் கொதிக்க ஆரம்பித்ததும், தீயை குறைத்து, ஒரு கையால் படிப்படியாக ரவையைச் சேர்த்து, மற்றொரு கையால் கிளறிக்கொண்டே இருங்கள்.
ரவை அனைத்து தண்ணீரையும் உறிஞ்சியதும், மூடி வைத்து குறைந்த தீயில் 6-7 நிமிடங்கள் சமைக்கவும். இடையில் கிளற மறக்காதீர்கள்.
சுவையான ரவை உப்மா பரிமாற தயாராக உள்ளது. இதை தக்காளி சட்னி, தேங்காய் சட்னி, சாம்பார் அல்லது வேறு எந்த ஊறுகாயுடனும் இணைக்கலாம்.</t>
  </si>
  <si>
    <t>https://encrypted-tbn0.gstatic.com/images?q=tbn:ANd9GcTkwZYi1IQ-9XTL2R67URzi-zevVWsCkdjrJQ&amp;s</t>
  </si>
  <si>
    <t>How to make Coconut Milk</t>
  </si>
  <si>
    <t>தேங்காய் பால் எப்படி செய்வது</t>
  </si>
  <si>
    <t xml:space="preserve">   Grated coconut - 1 1/2 cup,
   Warm water,
   Strainer,
   Mixie/blender.</t>
  </si>
  <si>
    <t>துருவிய தேங்காய் - 1 1/2 கப்,
வெதுவெதுப்பான நீர்,
வடிகட்டி,
மிக்சி/பிளெண்டர்.</t>
  </si>
  <si>
    <t>Break a medium sized coconut and grate it.
First take 1 1/2 cup of grated coconut and grind it for a few seconds. Then add 1 cup of warm water and grind it nicely.
Strain the ground coconut using a strainer. You can even use tea strainer or a colander lined with a soft cotton cloth or cheesecloth. I lined my strainer with a soft cotton cloth and then strained the ground coconut. Press it with a ladle or squeeze to extract as much milk as possible.
The coconut milk extracted is the first milk or the first extract.(onnam pal). It will be thick. Keep this first extracted milk aside.
Now add 1 more cup of warm water to the already ground coconut and grind it again nicely. Again strain the ground coconut with a strainer.The milk extracted now is the second extract/second milk (rendam pal or second milk) which is thinner than the first.
I extracted it 2 times and got the first thick coconut milk and the second thin coconut milk. The glass with a spoon (in the picture above) is the thick coconut milk and the other one is thin coconut milk.</t>
  </si>
  <si>
    <t>நடுத்தர அளவிலான தேங்காயை உடைத்து துருவி எடுக்கவும்.
முதலில் 1 1/2 கப் துருவிய தேங்காயை எடுத்து சில நொடிகள் அரைக்கவும். பின்னர் 1 கப் வெதுவெதுப்பான நீரைச் சேர்த்து நன்றாக அரைக்கவும்.
ஒரு வடிகட்டியைப் பயன்படுத்தி அரைத்த தேங்காயை வடிகட்டவும். நீங்கள் தேநீர் வடிகட்டி அல்லது மென்மையான பருத்தி துணி அல்லது சீஸ் துணியால் மூடப்பட்ட வடிகட்டியைப் பயன்படுத்தலாம். நான் என் வடிகட்டியை ஒரு மென்மையான பருத்தி துணியால் வரிசைப்படுத்தி, பின்னர் அரைத்த தேங்காயை வடிகட்டினேன். முடிந்தவரை பால் எடுக்க ஒரு கரண்டியால் அழுத்தவும் அல்லது பிழியவும்.
எடுக்கப்படும் தேங்காய் பால் முதல் பால் அல்லது முதல் சாறு. (ஒன்னம் பால்). அது கெட்டியாக இருக்கும். முதலில் பிரித்தெடுக்கப்பட்ட இந்த பாலை ஒதுக்கி வைக்கவும்.
இப்போது ஏற்கனவே அரைத்த தேங்காயுடன் மேலும் 1 கப் வெதுவெதுப்பான நீரைச் சேர்த்து மீண்டும் நன்றாக அரைக்கவும். மீண்டும் ஒரு வடிகட்டியைப் பயன்படுத்தி அரைத்த தேங்காயை வடிகட்டவும். இப்போது எடுக்கப்படும் பால் இரண்டாவது சாறு/இரண்டாம் பால் (ரெண்டம் பால் அல்லது இரண்டாம் பால்), இது முதல் பாலைக் காட்டிலும் மெல்லியதாக இருக்கும்.
நான் அதை 2 முறை பிரித்தெடுத்து முதல் கெட்டியான தேங்காய்ப் பாலையும் இரண்டாவது மெல்லிய தேங்காய்ப் பாலையும் பெற்றேன். மேலே உள்ள படத்தில் ஒரு கரண்டியுடன் கூடிய கண்ணாடி கெட்டியான தேங்காய்ப் பாலையும் மற்றொன்று மெல்லிய தேங்காய்ப் பாலையும் கொண்டுள்ளது.</t>
  </si>
  <si>
    <t>https://encrypted-tbn0.gstatic.com/images?q=tbn:ANd9GcSc2pdIfOTEiMhgNn0grZE0RdpuZRmsgw54qw&amp;s</t>
  </si>
  <si>
    <t>How to make Soft Phulkas</t>
  </si>
  <si>
    <t>மென்மையான புல்காக்கள் செய்வது எப்படி</t>
  </si>
  <si>
    <t>முழு கோதுமை மாவு - 1 கப்,
எண்ணெய் - 1 தேக்கரண்டி,
உப்பு - ஒரு சிட்டிகை,
புல்காக்கள் செய்வதற்கு பிரத்யேகமாக விற்கப்படும் டாங்ஸ்,
ரோலிங் பின் மற்றும் போர்டு.</t>
  </si>
  <si>
    <t xml:space="preserve">Heat a tava or skillet on medium high heat, once heated, put the rolled out dough on it. Cook for few seconds, until small bubbles start to appear. You do not have to cook the first side for more than few seconds as we will be putting it on direct flame.
Flip it over to the other side and cook the other side for a little longer time than the first side and then transfer it to direct high flame with the first side down. (hope I have made it clear)
The roti will puff up like a balloon.(see first picture) Once it puffs, remove it from flame immediately using the tongs or else it will get burnt.
Apply a little melted ghee and keep it wrapped in a soft cloth in a bowl with lid. This will prevent the roti from drying or becoming soggy.
Repeat the same process for the rest of the dough. Beginners can roll out 3-4 rotis and keep it ready before heating the tava.
</t>
  </si>
  <si>
    <t>ஒரு தவா அல்லது வாணலியை நடுத்தர உயர் தீயில் சூடாக்கி, சூடாக்கியவுடன், உருட்டப்பட்ட மாவை அதன் மீது வைக்கவும். சிறிய குமிழ்கள் தோன்றத் தொடங்கும் வரை சில வினாடிகள் சமைக்கவும். நேரடி தீயில் வைப்பதால், முதல் பக்கத்தை சில வினாடிகளுக்கு மேல் சமைக்க வேண்டியதில்லை.
மறு பக்கத்திற்கு திருப்பி, மறு பக்கத்தை முதல் பக்கத்தை விட சிறிது நேரம் சமைக்கவும், பின்னர் முதல் பக்கம் கீழே இருக்கும்படி நேரடி உயர் தீயில் மாற்றவும். (நான் தெளிவுபடுத்தியுள்ளேன் என்று நம்புகிறேன்)
ரோட்டி ஒரு பலூன் போல வீங்கும். (முதல் படத்தைப் பார்க்கவும்) அது வீங்கியவுடன், உடனடியாக இடுக்கியைப் பயன்படுத்தி அதை சுடரிலிருந்து அகற்றவும், இல்லையெனில் அது எரிந்துவிடும்.
சிறிது உருகிய நெய்யை தடவி, மூடியுடன் கூடிய ஒரு கிண்ணத்தில் மென்மையான துணியில் சுற்றி வைக்கவும். இது ரோட்டி உலராமல் அல்லது ஈரமாகாமல் தடுக்கும்.
மீதமுள்ள மாவிற்கும் இதே செயல்முறையை மீண்டும் செய்யவும். ஆரம்பநிலையாளர்கள் 3-4 ரொட்டிகளை உருட்டி, தவாவை சூடாக்கும் முன் தயாராக வைத்திருக்கலாம்.</t>
  </si>
  <si>
    <t>https://i.ytimg.com/vi/3yzxwqjIZFI/hq720.jpg?sqp=-oaymwEhCK4FEIIDSFryq4qpAxMIARUAAAAAGAElAADIQj0AgKJD&amp;rs=AOn4CLDFrNghgJA2KR829Gy3ETf0FSr4FQ</t>
  </si>
  <si>
    <t>How to make Yogurt at home</t>
  </si>
  <si>
    <t>வீட்டிலேயே தயிர் தயாரிப்பது எப்படி</t>
  </si>
  <si>
    <t xml:space="preserve">   Milk – 500 ml,
   Curd – 2 tsp.</t>
  </si>
  <si>
    <t>பால் - 500 மிலி,
தயிர் - 2 தேக்கரண்டி.</t>
  </si>
  <si>
    <t>Boil milk in a pan and switch off. Leave it to cool. Let it become lukewarm.
When it is lukewarm, (just dip you little finger to check the temperature) add 2 tsp of curd and mix well. Alternatively you can pour milk for one container to another 2-3 times so that the curd mixes well with the milk. Then transfer the milk to a container with lid. Keep a separate container for making curd. You can also set curd in individual cups as shown in the picture above.
Leave the container undisturbed in a warm place for 5-6 hours.The curd will set within 5-6 hours under favorable conditions.
Refrigerate once the curd sets. It becomes firm after 2-3 hours of refrigeration. If you leave the curd outside for a long time, it will become sour.</t>
  </si>
  <si>
    <t>ஒரு பாத்திரத்தில் பாலை கொதிக்க வைத்து அணைக்கவும். அதை குளிர்விக்க விடவும். அதை சூடாக்கவும்.
அது சூடாக்கப்பட்டதும், (வெப்பநிலையை சரிபார்க்க உங்கள் சுண்டு விரலை நனைக்கவும்) 2 தேக்கரண்டி தயிரைச் சேர்த்து நன்கு கலக்கவும். மாற்றாக, ஒரு பாத்திரத்தில் உள்ள பாலை மற்றொரு பாத்திரத்தில் 2-3 முறை ஊற்றலாம், இதனால் தயிர் பாலுடன் நன்றாக கலக்கும். பின்னர் பாலை மூடியுடன் கூடிய ஒரு பாத்திரத்தில் மாற்றவும். தயிர் தயாரிக்க ஒரு தனி பாத்திரத்தை வைக்கவும். மேலே உள்ள படத்தில் காட்டப்பட்டுள்ளபடி, நீங்கள் தனித்தனி கோப்பைகளில் தயிரை வைக்கவும் முடியும்.
கொள்கலனை 5-6 மணி நேரம் ஒரு சூடான இடத்தில் கலக்காமல் விடவும். சாதகமான சூழ்நிலையில் தயிர் 5-6 மணி நேரத்திற்குள் கெட்டியாகும்.
தயிர் கெட்டியானதும் குளிர்சாதன பெட்டியில் வைக்கவும். 2-3 மணி நேரம் குளிர்சாதன பெட்டியில் வைத்த பிறகு அது கெட்டியாகிவிடும். தயிரை நீண்ட நேரம் வெளியே வைத்தால், அது புளிப்பாக மாறும்.</t>
  </si>
  <si>
    <t>https://encrypted-tbn0.gstatic.com/images?q=tbn:ANd9GcSFSVJ5lEpP_dqgTkA-uWKcyTB_uwgBFpYaig&amp;s</t>
  </si>
  <si>
    <t>https://encrypted-tbn0.gstatic.com/images?q=tbn:ANd9GcR-pltA2U43TSDjBfxH5oQ6wyne1-xVE5eJdg&amp;s</t>
  </si>
  <si>
    <t>How to Cook Basmati Rice</t>
  </si>
  <si>
    <t>பாஸ்மதி அரிசியை எப்படி சமைப்பது</t>
  </si>
  <si>
    <t>Pressure cooker,
Basmati rice – 1 cup.</t>
  </si>
  <si>
    <t>பிரஷர் குக்கர்,
பாஸ்மதி அரிசி - 1 கப்.</t>
  </si>
  <si>
    <t>Wash basmati rice well to remove all the starch and soak it for half an hour.
Drain the water completely.
 Add water in the ratio 1:2 ( ie) For 1 cup of rice, add 2 cups of water  and pressure cook for 3 whistles and switch it off . This method is when you cook rice in a vessel inside the cooker.
 When the pressure subsides, open the cooker and fluff the rice gently with a fork so that the grains do not break.
 When you cook directly in the cooker, once the water boils, simmer, close the cooker and cook without weight (Take care not to burn the rice).</t>
  </si>
  <si>
    <t>பாஸ்மதி அரிசியை நன்கு கழுவி, ஸ்டார்ச் முழுவதுமாக நீக்கி அரை மணி நேரம் ஊற வைக்கவும்.
தண்ணீரை முழுவதுமாக வடிகட்டவும்.
1:2 என்ற விகிதத்தில் தண்ணீரைச் சேர்க்கவும் (அதாவது) 1 கப் அரிசிக்கு, 2 கப் தண்ணீர் சேர்த்து 3 விசில் வரை பிரஷர் குக் செய்து, அதை அணைக்கவும். இந்த முறை நீங்கள் குக்கருக்குள் ஒரு பாத்திரத்தில் அரிசியை சமைக்கும்போது பயன்படுத்தப்படுகிறது.
பிரஷர் தணிந்ததும், குக்கரைத் திறந்து, தானியங்கள் உடையாமல் இருக்க ஒரு முட்கரண்டி கொண்டு அரிசியை மெதுவாக பிசையவும்.
நீங்கள் நேரடியாக குக்கரில் சமைக்கும்போது, ​​தண்ணீர் கொதித்ததும், கொதிக்க வைத்து, குக்கரை மூடி, எடை இல்லாமல் சமைக்கவும் (அரிசி எரியாமல் பார்த்துக் கொள்ளுங்கள்).</t>
  </si>
  <si>
    <t>https://www.themediterraneandish.com/wp-content/uploads/2021/06/basmati-rice-recipe-6.jpg</t>
  </si>
  <si>
    <t>How to Cook Dal</t>
  </si>
  <si>
    <t>பருப்பை எப்படி சமைக்க வேண்டும்</t>
  </si>
  <si>
    <t>பருப்பு - 1/2 கப்,
மஞ்சள் தூள் - ஒரு சிட்டிகை,
ருசிக்கேற்ப உப்பு.</t>
  </si>
  <si>
    <t>Wash dal well, add water in the ratio 1:3. For 1/2 cups of dal, add 1 1/2 cups of water.
Add turmeric powder and pressure cook for 3 whistles. Mash it well and add salt to taste.(Some varieties of dal do not get cooked to a mush, in that case, soak dal in hot water for 15-20 minutes).
Paruppu Sadam/Dal rice.
Many are not aware of this simple dish. So I wanted to post this. For this, no seasoning is required. Just mix dal (paruppu) with steaming hot rice and a tsp of ghee (picture above). Enjoy it with any vegetable curry. I made lauki curry. Simply heaven!</t>
  </si>
  <si>
    <t>பருப்பை நன்றாக கழுவி, 1:3 என்ற விகிதத்தில் தண்ணீர் சேர்க்கவும். 1/2 கப் பருப்பிற்கு, 1 1/2 கப் தண்ணீர் சேர்க்கவும்.
மஞ்சள் தூளை சேர்த்து 3 விசில் வரும் வரை பிரஷர் குக் செய்யவும். நன்றாக மசித்து, ருசிக்கேற்ப உப்பு சேர்க்கவும். (சில வகையான பருப்புகள் நன்றாக வேகாது, அப்படியானால், பருப்பை வெந்நீரில் 15-20 நிமிடங்கள் ஊற வைக்கவும்).
பருப்பு சாதம்/பருப்பு சாதம்.
பலருக்கு இந்த எளிய உணவு பற்றி தெரியாது. அதனால் நான் இதை இடுகையிட விரும்பினேன். இதற்கு, எந்த மசாலாவும் தேவையில்லை. பருப்பை (பருப்பு) வேகவைக்கும் சூடான அரிசியுடன் மற்றும் ஒரு தேக்கரண்டி நெய்யுடன் (மேலே உள்ள படம்) கலக்கவும். எந்த காய்கறி கறியுடனும் இதை அனுபவிக்கவும். நான் லௌகி கறி செய்தேன். சொர்க்கம்!</t>
  </si>
  <si>
    <t>https://static.toiimg.com/thumb/61603692.cms?width=1200&amp;height=900</t>
  </si>
  <si>
    <t>Vanilla Cake</t>
  </si>
  <si>
    <t>வெண்ணிலா கேக்</t>
  </si>
  <si>
    <t>All purpose flour – 1 1/2 cup,
Sugar - 1 cup,
Egg - 2,
Butter – 1/2 cup,
Baking powder – 1 1/2 tsp,
Salt – 1/4 tsp,
Vanilla essence – 1/2 tsp,
Milk – 1/2 cup.</t>
  </si>
  <si>
    <t>அனைத்து உபயோக மாவு - 1 1/2 கப்,
சர்க்கரை - 1 கப்,
முட்டை - 2,
வெண்ணெய் - 1/2 கப்,
பேக்கிங் பவுடர் - 1 1/2 தேக்கரண்டி,
உப்பு - 1/4 தேக்கரண்டி,
வெண்ணிலா எசன்ஸ் - 1/2 தேக்கரண்டி,
பால் - 1/2 கப்.</t>
  </si>
  <si>
    <t>https://encrypted-tbn0.gstatic.com/images?q=tbn:ANd9GcRujMUw4nxul_P99-HdEUxxY-tmvy_SM9dsDQ&amp;s</t>
  </si>
  <si>
    <t xml:space="preserve">
தக்காளி ரசம்</t>
  </si>
  <si>
    <t xml:space="preserve">   Tomatoes  - 2-3,
   Tur dal – 1/4 cup,
   Tamarind – small gooseberry sized ball,
   Turmeric powder – a pinch,
   Rasam powder – 1 1/2 tsp,
   Ghee - 2 tsp,
   Mustard - 1/2 tsp,
   Cumin seeds - 3/4 tsp,
   Red chilli – 1,
   Hing – a generous pinch,
   Green chilli - 1 slitted,
   Garlic - 2 cloves,
   Ginger – 1 inch piece,
   Curry leaves- few,
   Coriander leaves.
</t>
  </si>
  <si>
    <t>தக்காளி - 2-3,
துவரம் பருப்பு - 1/4 கப்,
புளி - சிறிய நெல்லிக்காய் அளவு உருண்டை,
மஞ்சள் தூள் - ஒரு சிட்டிகை,
ரசம் தூள் - 1 1/2 தேக்கரண்டி,
நெய் - 2 தேக்கரண்டி,
கடுகு - 1/2 தேக்கரண்டி,
சீரகம் - 3/4 தேக்கரண்டி,
சிவப்பு மிளகாய் - 1,
கீல் - ஒரு சிட்டிகை,
பச்சை மிளகாய் - 1 கீறியது,
பூண்டு - 2 பல்,
இஞ்சி - 1 அங்குல துண்டு,
கறிவேப்பிலை - சிறிதளவு,
கொத்தமல்லி இலைகள்.</t>
  </si>
  <si>
    <t>Heat 2 tsp of ghee, add mustard seeds, when it splutters, add jeera seeds, red chilli (break it), hing, green chilli, garlic, ginger, curry leaves and tomatoes.
Saute for a few minutes, then add tamarind water, turmeric powder, salt needed and rasam powder.
Simmer and let it boil for 10 minutes until the raw smell of the tamarind goes. 
Then add the cooked tur dal along with 1 1/2 cups of water. When froth starts forming on the top, switch off the flame. Do not boil the rasam as it will loose its flavor.
Garnish with coriander leaves and serve hot with steamed rice or have it as a soup.</t>
  </si>
  <si>
    <t>2 தேக்கரண்டி நெய்யை சூடாக்கி, கடுகு சேர்த்து, அது வதங்கியதும், சீரகம், சிவப்பு மிளகாய் (உடைத்து), கீல், பச்சை மிளகாய், பூண்டு, இஞ்சி, கறிவேப்பிலை மற்றும் தக்காளி சேர்க்கவும்.
சில நிமிடங்கள் வதக்கி, பின்னர் புளி தண்ணீர், மஞ்சள் தூள், தேவையான உப்பு மற்றும் ரசம் தூள் சேர்க்கவும்.
கொதிக்க வைத்து, புளியின் பச்சை வாசனை போகும் வரை 10 நிமிடங்கள் கொதிக்க விடவும்.
பின்னர் சமைத்த துவரம்பருப்பை 1 1/2 கப் தண்ணீருடன் சேர்க்கவும். மேலே நுரை வர ஆரம்பித்ததும், அடுப்பை அணைக்கவும். ரசத்தை வேகவைக்க வேண்டாம், ஏனெனில் அது அதன் சுவையை இழக்கும்.
கொத்தமல்லி இலைகளால் அலங்கரித்து, வேகவைத்த சாதத்துடன் சூடாக பரிமாறவும் அல்லது சூப்பாகவும் சாப்பிடவும்.</t>
  </si>
  <si>
    <t>https://encrypted-tbn0.gstatic.com/images?q=tbn:ANd9GcSyl9H9IgocjaM75cpOk5Q1IwAU6OYDa59bwQ&amp;s</t>
  </si>
  <si>
    <t>Ginger Garlic Paste</t>
  </si>
  <si>
    <t>இஞ்சி பூண்டு விழுது</t>
  </si>
  <si>
    <t>Ginger – 100 grams,
Garlic – 100 grams,
Oil – 1 tbsp,
Salt – 1/2tbsp.</t>
  </si>
  <si>
    <t>இஞ்சி - 100 கிராம்,
பூண்டு - 100 கிராம்,
எண்ணெய் - 1 டீஸ்பூன்,
உப்பு - 1/2 டீஸ்பூன்.</t>
  </si>
  <si>
    <t>Grind ginger and garlic with a little salt and a tablespoon of oil. (avoid adding water). You can add water if you will be using it within a few days.
Transfer the paste to an air tight glass container or bottle and store it in the refrigerator.If you want to store it for a longer duration, store it in the freezer section.</t>
  </si>
  <si>
    <t>இஞ்சி மற்றும் பூண்டை சிறிது உப்பு மற்றும் ஒரு தேக்கரண்டி எண்ணெயுடன் அரைக்கவும் (தண்ணீர் சேர்க்க வேண்டாம்). சில நாட்களுக்குள் நீங்கள் அதைப் பயன்படுத்தப் போகிறீர்கள் என்றால், நீங்கள் தண்ணீரைச் சேர்க்கலாம்.
பேஸ்டை காற்று புகாத கண்ணாடி கொள்கலன் அல்லது பாட்டிலில் மாற்றி குளிர்சாதன பெட்டியில் சேமிக்கவும். நீங்கள் அதை நீண்ட நேரம் சேமிக்க விரும்பினால், அதை உறைவிப்பான் பிரிவில் சேமிக்கவும்.</t>
  </si>
  <si>
    <t>https://glebekitchen.com/wp-content/uploads/2016/12/garlicgingerpastebowltop3.jpg</t>
  </si>
  <si>
    <t>https://youtu.be/jZ_UHgqWMC0</t>
  </si>
  <si>
    <t xml:space="preserve">   Channa  – 1 cup,
   Onion – 2,
   Tomato – 2 big and juicy ones,
   Green chilli – 1,
   Ginger – 1 inch piece,
   Garlic – 3 cloves,
   Salt as required,
   Turmeric Powder - 1/4 tsp,
   Chilli Powder - 1 tsp,
   Coriander Powder - 2 tsp,
   Channa masala Powder - 1 tsp,
   Oil - 1 tbsp,
   Cumin Seeds – 1 tsp,
   Bay leaf – 1.</t>
  </si>
  <si>
    <t>சன்னா - 1 கப்,
வெங்காயம் - 2,
தக்காளி - 2 பெரிய மற்றும் ஜூசி,
பச்சை மிளகாய் - 1,
இஞ்சி - 1 அங்குல துண்டு,
பூண்டு - 3 பல்,
தேவைக்கேற்ப உப்பு,
மஞ்சள் தூள் - 1/4 தேக்கரண்டி,
மிளகாய் தூள் - 1 தேக்கரண்டி,
கொத்தமல்லி தூள் - 2 தேக்கரண்டி,
சன்னா மசாலா தூள் - 1 தேக்கரண்டி,
எண்ணெய் - 1 தேக்கரண்டி,
சீரகம் - 1 தேக்கரண்டி,
பிரியாணி இலை - 1.</t>
  </si>
  <si>
    <t>Heat oil /butter in a pan, add jeera seeds and bay leaf.
When cumin seeds/jeera splutters, add the ground onion paste and saute till it turns brown stirring continuously.
Then add tomato puree, all the spice powder, salt needed and cook stirring continuously till oil separates.(see picture above)
Then add the cooked channa, 1/4 cup of water and cook for a few minutes on medium flame until everything gets blended well with the masala.
Garnish with coriander leaves and serve hot with poori or chapati or even pulao.</t>
  </si>
  <si>
    <t>ஒரு கடாயில் எண்ணெய் / வெண்ணெய் சூடாக்கி, சீரகம் / ஜீரா வதங்கியதும், அரைத்த வெங்காய விழுதைச் சேர்த்து, தொடர்ந்து பழுப்பு நிறமாக மாறும் வரை வதக்கவும்.
பின்னர் தக்காளி கூழ், அனைத்து மசாலாப் பொடிகள், தேவையான உப்பு சேர்த்து, எண்ணெய் பிரியும் வரை தொடர்ந்து கிளறவும். (மேலே உள்ள படத்தைப் பார்க்கவும்)
பின்னர் சமைத்த சன்னா, 1/4 கப் தண்ணீர் சேர்த்து, மசாலாவுடன் எல்லாம் நன்றாகக் கலக்கும் வரை மிதமான தீயில் சில நிமிடங்கள் சமைக்கவும்.
கொத்தமல்லி இலைகளால் அலங்கரித்து, பூரி, சப்பாத்தி அல்லது புலாவ் உடன் சூடாகப் பரிமாறவும்.</t>
  </si>
  <si>
    <t>https://encrypted-tbn0.gstatic.com/images?q=tbn:ANd9GcShRpQcWVj2oxVVigAbnEWXbdNoIRGMmDScAA&amp;s</t>
  </si>
  <si>
    <t xml:space="preserve">   Vanilla flavored Custard powder – 2 tbsp,
   Milk – 3 tbsp for mixing custard powder,
   Milk – 500 ml,
   Sugar – 50 grams,
   Mixed fruits – anything of your choice.</t>
  </si>
  <si>
    <t>வெண்ணிலா சுவையூட்டப்பட்ட கஸ்டர்ட் பவுடர் - 2 டேபிள்ஸ்பூன்,
பால் - 3 டேபிள்ஸ்பூன் கஸ்டர்ட் பவுடரை கலக்க,
பால் - 500 மிலி,
சர்க்கரை - 50 கிராம்,
மிக்ஸ்டு ஃப்ரூட்ஸ் - உங்களுக்கு விருப்பமான எதையும்.</t>
  </si>
  <si>
    <t>2 டேபிள்ஸ்பூன் வெண்ணிலா கஸ்டர்ட் பவுடரை 3 டேபிள்ஸ்பூன் சூடான பாலுடன் கலந்து, கட்டிகள் இல்லாமல் மென்மையான பேஸ்ட் தயாரிக்கவும். உங்கள் கஸ்டர்ட் பேஸ்ட் தயாராக உள்ளது.
2 1/2 கப் பாலை கொதிக்க வைத்து, அதில் சர்க்கரை சேர்க்கவும்.
கஸ்டர்ட் பேஸ்ட்டை பாலில் சேர்த்து, கெட்டியாகும் வரை தொடர்ந்து கிளறி சமைக்கவும்.
அறை வெப்பநிலைக்கு வந்த பிறகு, அதை குளிர்சாதன பெட்டியில் வைக்கவும். அது குளிர்ந்ததும், அது சிறிது கெட்டியாகிவிடும்.
உங்களுக்கு விருப்பமான பழங்களை வெட்டி எடுக்கவும். நீங்கள் எந்த பருவகால பழங்களையும் அல்லது கலப்பு பழங்களையும் பயன்படுத்தலாம்.
பரிமாறுவதற்கு முன், பழங்களை ஒரு கிண்ணம் அல்லது கோப்பையில் அடுக்கி, அதன் மேல் குளிர்ந்த கஸ்டர்டை ஊற்றவும்.
குளிர்ந்ததும் பரிமாறவும்.</t>
  </si>
  <si>
    <t>https://encrypted-tbn0.gstatic.com/images?q=tbn:ANd9GcRYK7tewM9FvpsK31869QGS4uTg9hvIYNetZw&amp;s</t>
  </si>
  <si>
    <t>Brown Rice Salad</t>
  </si>
  <si>
    <t>பிரவுன் ரைஸ் சாலட்</t>
  </si>
  <si>
    <t xml:space="preserve">Cooked rice – 2 cups,
Onion – 1 finely chopped,
Capsicum – 1/2 finely chopped,
Cabbage – handful finely chopped,
Carrots – 1 finely chopped,
Tomato – 1/2 remove the seeds,
Garlic – 1 clove finely chopped,
Ginger – 1/2 tsp finely chopped,
Sesame seed oil – 2 tsp.
</t>
  </si>
  <si>
    <t>சமைத்த அரிசி - 2 கப்,
வெங்காயம் - 1 பொடியாக நறுக்கியது,
கேப்சிகம் - 1/2 பொடியாக நறுக்கியது,
முட்டைக்கோஸ் - ஒரு கைப்பிடி பொடியாக நறுக்கியது,
கேரட் - 1 பொடியாக நறுக்கியது,
தக்காளி - 1/2 விதைகளை நீக்கியது,
பூண்டு - 1 பல் பொடியாக நறுக்கியது,
இஞ்சி - 1/2 தேக்கரண்டி பொடியாக நறுக்கியது,
எள் விதை எண்ணெய் - 2 தேக்கரண்டி.</t>
  </si>
  <si>
    <t>Heat oil in a pan, add finely chopped garlic and onions, saute till onion turns pink.
Then add all the vegetables and saute on high flame continuously for 2-3 minutes.We want the vegetables to be crisp and not soft.
Add needed salt, pepper powder and few drops of lemon juice to taste.
Then add the cooked rice to it and mix well.
You can add red and yellow bell pepper, mushrooms, spring onion, cauliflower, broccoli and corn. It is your choice.
Delicious brown rice salad is ready.</t>
  </si>
  <si>
    <t>ஒரு கடாயில் எண்ணெயை சூடாக்கி, பொடியாக நறுக்கிய பூண்டு மற்றும் வெங்காயத்தைச் சேர்த்து, வெங்காயம் இளஞ்சிவப்பு நிறமாக மாறும் வரை வதக்கவும்.
பின்னர் அனைத்து காய்கறிகளையும் சேர்த்து, அதிக தீயில் 2-3 நிமிடங்கள் தொடர்ந்து வதக்கவும். காய்கறிகள் மொறுமொறுப்பாகவும் மென்மையாகவும் இருக்க வேண்டும் என்று நாங்கள் விரும்புகிறோம்.
தேவையான உப்பு, மிளகுத் தூள் மற்றும் சுவைக்க சில துளிகள் எலுமிச்சை சாறு சேர்க்கவும்.
பின்னர் சமைத்த அரிசியை அதில் சேர்த்து நன்கு கலக்கவும்.
நீங்கள் சிவப்பு மற்றும் மஞ்சள் பெல் பெப்பர், காளான்கள், வசந்த வெங்காயம், காலிஃபிளவர், ப்ரோக்கோலி மற்றும் சோளம் ஆகியவற்றைச் சேர்க்கலாம். இது உங்கள் விருப்பம்.
சுவையான பிரவுன் ரைஸ் சாலட் தயார்.</t>
  </si>
  <si>
    <t>https://encrypted-tbn0.gstatic.com/images?q=tbn:ANd9GcRgP-MG0WeIuHrUQapGgpacWcFiEJadAYcToQ&amp;s</t>
  </si>
  <si>
    <t>Gobi Paratha</t>
  </si>
  <si>
    <t>கோபி பராத்தா</t>
  </si>
  <si>
    <t xml:space="preserve">  Wheat flour – 1 1/2 cup,
   Oil – 3 tsp,
   Salt – a generous pinch,
   Cauliflower florets – 1 cup,
   Onion – 2 finely chopped,
   Green chillies – 3 finely chopped,
   Ginger  – 1/2 tsp,
   Salt as required,
   Chilli powder – 1/4 tsp,
   Turmeric powder – a pinch,
   Coriander powder – 1 1/2 tsp,
   Cumin Powder – 1 tsp,
   Garam Masala – 1/2 tsp,
   Rolling pin and board,
   Tawa/griddle,
   Wheat flour for dusting,
   Oil or Oil + ghee mixed as needed.</t>
  </si>
  <si>
    <t>கோதுமை மாவு - 1 1/2 கப்,
எண்ணெய் - 3 தேக்கரண்டி,
உப்பு - ஒரு சிட்டிகை,
காலிஃபிளவர் பூக்கள் - 1 கப்,
வெங்காயம் - 2 பொடியாக நறுக்கியது,
பச்சை மிளகாய் - 3 பொடியாக நறுக்கியது,
இஞ்சி - 1/2 தேக்கரண்டி,
தேவைக்கேற்ப உப்பு,
மிளகாய் தூள் - 1/4 தேக்கரண்டி,
மஞ்சள் தூள் - ஒரு சிட்டிகை,
கொத்தமல்லி தூள் - 1 1/2 தேக்கரண்டி,
சீரகத்தூள் - 1 தேக்கரண்டி,
கரம் மசாலா - 1/2 தேக்கரண்டி,
ரோலிங் பின் மற்றும் பலகை,
தவா/கிரிடில்,
தூள் தூவுவதற்கு கோதுமை மாவு,
தேவைக்கேற்ப எண்ணெய் அல்லது எண்ணெய் + நெய் கலக்கவும்.</t>
  </si>
  <si>
    <t>Add 3 tsp of oil and a generous pinch of salt to the wheat flour. Then add warm water little at a time and knead into a soft and pliable dough as you normally do for roti .
Cover and keep it aside for 15 minutes.
In the mean time we will prepare the gobi stuffing for the parathas.
Put cauliflower in boiling water for 5 minutes and drain the water completely. Pat it dry and mince it in a food processor.
Heat oil, add cumins seeds, when it sizzles, add finely chopped onions and saute till it turns transparent.
Add green chillies, minced cauliflower, chilli powder, coriander powder, cumin powder and garam masala. Saute well till all the moisture evaporates. It should be dry so that it will be easy for you to roll out the parathas. Leave it to cool.</t>
  </si>
  <si>
    <t>கோதுமை மாவில் 3 தேக்கரண்டி எண்ணெய் மற்றும் ஒரு சிட்டிகை உப்பு சேர்க்கவும். பின்னர் வெதுவெதுப்பான நீரை சிறிது சிறிதாக சேர்த்து, ரொட்டிக்கு வழக்கம் போல் மென்மையான மற்றும் நெகிழ்வான மாவாக பிசையவும்.
மூடி வைத்து 15 நிமிடங்கள் ஒதுக்கி வைக்கவும்.
இதற்கிடையில், பரோட்டாக்களுக்கான கோபி ஸ்டஃபிங்கை தயார் செய்வோம்.
காலிஃபிளவரை கொதிக்கும் நீரில் 5 நிமிடங்கள் போட்டு, தண்ணீரை முழுவதுமாக வடிகட்டவும். அதை உலர்த்தி, உணவு பதப்படுத்தும் இயந்திரத்தில் நசுக்கவும்.
எண்ணெயை சூடாக்கி, சீரகத்தை சேர்த்து, அது கொதிக்கும்போது, ​​இறுதியாக நறுக்கிய வெங்காயத்தைச் சேர்த்து, அது வெளிப்படையானதாக மாறும் வரை வதக்கவும்.
பச்சை மிளகாய், நறுக்கிய காலிஃபிளவர், மிளகாய் தூள், கொத்தமல்லி தூள், சீரகப் பொடி மற்றும் கரம் மசாலாவைச் சேர்க்கவும். ஈரப்பதம் அனைத்தும் ஆவியாகும் வரை நன்கு வதக்கவும். பரோட்டாக்களை உருட்ட எளிதாக இருக்கும் வகையில் அது உலர்ந்திருக்க வேண்டும். அதை குளிர்விக்க விடவும்.</t>
  </si>
  <si>
    <t>https://encrypted-tbn0.gstatic.com/images?q=tbn:ANd9GcRLPpnddct87TVbxBE771NbuFvUkCRghu1D_g&amp;s</t>
  </si>
  <si>
    <t>1 cup -  Idiyappam flour
1 cup -  Water
Salt,
2 tsp -  Oil.</t>
  </si>
  <si>
    <t>1 கப் - இடியாப்பம் மாவு
1 கப் - தண்ணீர்
உப்பு,
2 தேக்கரண்டி - எண்ணெய்.</t>
  </si>
  <si>
    <t>Boil water well, add salt and oil to it. Add the boiling water little by little to the rice flour and make a soft dough. Knead it well and make idiyappam when it is a little hot.
Grease the inside of an idiyappam maker and the idiyappam plate or idli mould with oil and keep it ready.
Boil water in the steamer and keep it ready before making the idiyappam.
Fill the idiyappam maker with the prepared dough and press it in a circular motion on idly plate or idiyappam place, in the form of long strings.
Place it in a steamer and steam cook for 10-15 minutes. You can use idli cooker  or pressure cooker (without weight) for steaming.
The basic idiyappam is ready.
It can be served as such with vegetable stew, potato stew, sweetened coconut milk, coconut chutney, any kurma or any gravy of your choice.</t>
  </si>
  <si>
    <t>தண்ணீரை நன்றாக கொதிக்க வைத்து, உப்பு மற்றும் எண்ணெய் சேர்க்கவும். கொதிக்கும் நீரை அரிசி மாவுடன் சிறிது சிறிதாக சேர்த்து மென்மையான மாவை தயாரிக்கவும். அதை நன்றாக பிசைந்து, சிறிது சூடாகும்போது இடியாப்பம் செய்யவும்.
ஒரு இடியாப்பம் தயாரிப்பாளரின் உட்புறத்திலும், இடியாப்பம் தட்டு அல்லது இட்லி அச்சுகளிலும் எண்ணெய் தடவி தயாராக வைக்கவும்.
ஸ்டீமரில் தண்ணீரை கொதிக்க வைத்து, இடியாப்பம் செய்வதற்கு முன் தயாராக வைக்கவும்.
இடியாப்பம் தயாரிப்பாளரை தயாரிக்கப்பட்ட மாவை நிரப்பி, இட்லி தட்டு அல்லது இடியாப்பம் இடத்தில், நீண்ட சரங்களாக வட்ட இயக்கத்தில் அழுத்தவும்.
அதை ஒரு ஸ்டீமரில் வைத்து 10-15 நிமிடங்கள் ஆவியில் வேகவைக்கவும். நீராவி வேகவைக்க இட்லி குக்கர் அல்லது பிரஷர் குக்கரை (எடை இல்லாமல்) பயன்படுத்தலாம்.
அடிப்படை இடியாப்பம் தயாராக உள்ளது.
இதை காய்கறி குழம்பு, உருளைக்கிழங்கு குழம்பு, இனிப்பு தேங்காய் பால், தேங்காய் சட்னி, எந்த கூர்மா அல்லது உங்களுக்கு விருப்பமான எந்த குழம்புடனும் பரிமாறலாம்.</t>
  </si>
  <si>
    <t>https://encrypted-tbn0.gstatic.com/images?q=tbn:ANd9GcQxKt8eAXsRloIHpQu4inmmdz3g3dMGJ6rGRw&amp;s</t>
  </si>
  <si>
    <t>https://youtu.be/Dq1kUMrRihk</t>
  </si>
  <si>
    <t>How to make Paneer at Home</t>
  </si>
  <si>
    <t>வீட்டிலேயே பனீர் செய்வது எப்படி</t>
  </si>
  <si>
    <t xml:space="preserve"> Milk – 1 liter,
 Fresh Lemon juice – 2 tbsp.</t>
  </si>
  <si>
    <t>பால் - 1 லிட்டர்,
புதிய எலுமிச்சை சாறு - 2 டேபிள்ஸ்பூன்.</t>
  </si>
  <si>
    <t>Bring milk to boil.
Once it boil, turn off the heat, wait for a minutes. Then add lemon juice to it while continuously stirring.
Milk will start curdling.
Keep stirring until the curdling process is complete.
Strain through a cheese cloth or thin cotton cloth. Rinse it with water or pour water to it to help wash away the lemon flavor. Wait for it to cool a little. 
 Gather the cloth with curd, squeeze out all water, tie a knot and hang it for 20-25 minutes to drain water, if any completely.
Keep a heavy object on top of it. I kept a pressure cooker filled with water. Leave it to set for 3 hours.
 After 3 hours, take it out from the bundle, paneer will look as in pic 
Cut it into cubes and use it. You can store it in an airtight container in the refrigerator, if you are not going to use it immediately.</t>
  </si>
  <si>
    <t>பால் கொதிக்க விடவும்.
அது கொதித்ததும், தீயை அணைத்து, ஒரு நிமிடம் காத்திருக்கவும். பின்னர் தொடர்ந்து கிளறிக்கொண்டே எலுமிச்சை சாறு சேர்க்கவும்.
பால் தயிர் வர ஆரம்பிக்கும்.
தயிர் வருதல் முடியும் வரை தொடர்ந்து கிளறவும்.
ஒரு சீஸ் துணி அல்லது மெல்லிய பருத்தி துணியில் வடிகட்டவும். தண்ணீரில் துவைக்கவும் அல்லது எலுமிச்சை சுவையை கழுவ உதவும் வகையில் அதில் தண்ணீரை ஊற்றவும். அது சிறிது குளிர்ச்சியடையும் வரை காத்திருக்கவும்.
தயிருடன் துணியைச் சேகரித்து, அனைத்து தண்ணீரையும் பிழிந்து, ஒரு முடிச்சு போட்டு, தண்ணீர் முழுவதுமாக வடிகட்ட 20-25 நிமிடங்கள் தொங்க விடவும்.
அதன் மேல் ஒரு கனமான பொருளை வைத்திருங்கள். நான் ஒரு பிரஷர் குக்கரில் தண்ணீர் நிரப்பி வைத்திருந்தேன். அதை 3 மணி நேரம் செட் ஆக விடவும்.
3 மணி நேரம் கழித்து, அதை மூட்டையிலிருந்து வெளியே எடுக்கவும், பனீர் படத்தில் இருப்பது போல் இருக்கும்
அதை க்யூப்ஸாக வெட்டி பயன்படுத்தவும். நீங்கள் உடனடியாகப் பயன்படுத்தப் போவதில்லை என்றால், அதை குளிர்சாதன பெட்டியில் காற்று புகாத கொள்கலனில் சேமிக்கலாம்.</t>
  </si>
  <si>
    <t>https://healthynibblesandbits.com/wp-content/uploads/2018/10/How-to-Make-Paneer-Square-Picture.jpg</t>
  </si>
  <si>
    <t>How to make Dosa at home</t>
  </si>
  <si>
    <t>வீட்டிலேயே தோசை செய்வது எப்படி</t>
  </si>
  <si>
    <t xml:space="preserve">   Par boiled Idly rice - 3 cups,
   Whole skinned urad dal - 1 cup,
   Fenugreek seeds - 3/4 tsp,
   Salt as needed.</t>
  </si>
  <si>
    <t>வேகவைத்த இட்லி அரிசி - 3 கப்,
தோல் நீக்கிய முழு உளுத்தம் பருப்பு - 1 கப்,
வெந்தயம் - 3/4 டீஸ்பூன்,
தேவைக்கேற்ப உப்பு.</t>
  </si>
  <si>
    <t>Heat a non stick tawa/cast-iron tawa, grease it with oil. Cut an onion into half and rub it all over the tawa. This is done so that the dosa will not stick to the tawa. (optional)
Take a ladle of batter, pour it in the centre of the tawa and spread it a circular motion.
Drizzle a tsp of oil around the dosa.
If you want paper thin dosas, dip the spatula in water and flatten the dosa evenly.
When the corners start lifting up, flip the dosa to the other side, drizzle 1/2 tsp of  oil and cook until done.
Serve with sambar or chutney or milagai podi mixed with oil.
It can be served in different ways-  rolled, folded or made it into a cone . It can be made thin and crispy or thick and spongy like uthappams, or super thin (known as paper dosas).
Repeat the same process for the rest of the batter. Enjoy making the most popular South Indian Breakfast at home!!
Refer delicious Chutney Recipes and Sambar Recipes  and more side dishes for idli-dosas.</t>
  </si>
  <si>
    <t>ஒரு குச்சி இல்லாத தவா/வார்ப்பிரும்பு தவாவை சூடாக்கி, அதில் எண்ணெய் தடவவும். ஒரு வெங்காயத்தை பாதியாக வெட்டி, தவா முழுவதும் தேய்க்கவும். தோசை தவாவில் ஒட்டாமல் இருக்க இது செய்யப்படுகிறது. (விரும்பினால்)
ஒரு கரண்டி மாவை எடுத்து, தவாவின் மையத்தில் ஊற்றி, வட்ட இயக்கத்தில் பரப்பவும்.
தோசையைச் சுற்றி ஒரு டீஸ்பூன் எண்ணெயைத் தெளிக்கவும்.
நீங்கள் காகித மெல்லிய தோசைகளை விரும்பினால், ஸ்பேட்டூலாவை தண்ணீரில் நனைத்து, தோசையை சமமாக தட்டையாக்குங்கள்.
மூலைகள் மேலே தூக்கத் தொடங்கியதும், தோசையை மறுபுறம் திருப்பி, 1/2 டீஸ்பூன் எண்ணெயைத் தூவி, சமைக்கும் வரை சமைக்கவும்.
சாம்பார் அல்லது சட்னி அல்லது மிளகாய் பொடியுடன் எண்ணெயுடன் கலந்து பரிமாறவும்.
இதை வெவ்வேறு வழிகளில் பரிமாறலாம் - உருட்டலாம், மடிக்கலாம் அல்லது கூம்பு வடிவமாக செய்யலாம். இதை மெல்லியதாகவும் மொறுமொறுப்பாகவும் அல்லது ஊத்தப்பம் போல தடிமனாகவும் பஞ்சுபோன்றதாகவும் அல்லது மிக மெல்லியதாகவும் (காகித தோசைகள் என்று அழைக்கப்படுகிறது) செய்யலாம்.
மீதமுள்ள மாவுக்கும் இதே செயல்முறையை மீண்டும் செய்யவும். வீட்டிலேயே மிகவும் பிரபலமான தென்னிந்திய காலை உணவைச் செய்து மகிழுங்கள்!!
சுவையான சட்னி ரெசிபிகள் மற்றும் சாம்பார் ரெசிபிகள் மற்றும் இட்லி-தோசைகளுக்கான கூடுதல் பக்க உணவுகளைப் பார்க்கவும்.</t>
  </si>
  <si>
    <t>https://www.foodandwine.com/thmb/o1msdFyON3d4IQSfDd2u25I929I=/1500x0/filters:no_upscale():max_bytes(150000):strip_icc()/Dosas-FT-MAG-RECIPE-0324-cc2b5176b7f94a9692de4bc0ce258f87.jpg</t>
  </si>
  <si>
    <t>How to make Ghee at Home</t>
  </si>
  <si>
    <t>வீட்டிலேயே நெய் தயாரிப்பது எப்படி</t>
  </si>
  <si>
    <t>Ghee.</t>
  </si>
  <si>
    <t>நெய்.</t>
  </si>
  <si>
    <t>Heat unsalted butter in a heavy bottomed pan over medium heat.
When the butter melts, reduce the heat to low. It will start boiling with lot of bubbles and a gurgling sound.
After some time, the bubbling sound subsides and it will start foaming at the top. The liquid becomes transparent and clear. It will become golden brown in colour and you get a nice aroma of ghee. This indicates that the ghee is done.
You can add a tsp of fenugreek seeds which is optional. I have added.
Once you get a nice golden colour, turn off the heat otherwise it will get burnt and all your efforts will go waste.
Strain it and store it in a clean container. It does not need to be refrigerated.
Always use clean, dry spoon when using ghee.</t>
  </si>
  <si>
    <t>உப்பு சேர்க்காத வெண்ணெயை அடி கனமான பாத்திரத்தில் மிதமான தீயில் சூடாக்கவும்.
வெண்ணெய் உருகியதும், தீயை குறைத்து வைக்கவும். அது நிறைய குமிழ்கள் மற்றும் ஒரு சத்தத்துடன் கொதிக்க ஆரம்பிக்கும்.
சிறிது நேரம் கழித்து, குமிழ் சத்தம் குறைந்து, மேலே நுரை வர ஆரம்பிக்கும். திரவம் வெளிப்படையானதாகவும் தெளிவாகவும் மாறும். அது தங்க பழுப்பு நிறமாக மாறும், மேலும் நெய்யின் நல்ல நறுமணத்தைப் பெறுவீர்கள். இது நெய் முடிந்தது என்பதைக் குறிக்கிறது.
நீங்கள் ஒரு தேக்கரண்டி வெந்தயத்தைச் சேர்க்கலாம், இது விருப்பமானது. நான் சேர்த்துள்ளேன்.
நீங்கள் ஒரு நல்ல தங்க நிறம் பெற்றவுடன், அடுப்பை அணைக்கவும், இல்லையெனில் அது எரிந்துவிடும், உங்கள் முயற்சிகள் அனைத்தும் வீணாகிவிடும்.
அதை வடிகட்டி சுத்தமான கொள்கலனில் சேமிக்கவும். அதை குளிர்சாதன பெட்டியில் வைக்க தேவையில்லை.
நெய்யைப் பயன்படுத்தும் போது எப்போதும் சுத்தமான, உலர்ந்த கரண்டியைப் பயன்படுத்துங்கள்.</t>
  </si>
  <si>
    <t>https://encrypted-tbn0.gstatic.com/images?q=tbn:ANd9GcQfJjrgk0ed3SZTkbfYtTAOMVKBdTLDOT_37Q&amp;s</t>
  </si>
  <si>
    <t>Aloo Parathas</t>
  </si>
  <si>
    <t>ஆலு பராத்தாக்கள்</t>
  </si>
  <si>
    <t xml:space="preserve">   Whole wheat flour – 1 cup,
   Salt - 1/4 tsp flat,
   Oil - 2 tsp,
   Wheat flour for dusting,
   Oil for cooking the parathas,
  Potatoes - 1 big,
  Green chillies - 1-2 finely chopped,
  Cumin seeds – 1 tsp,
  Coriander leaves - fistful,
  Garam masala – 1/2 tsp,
  Dry mango powder - 1/2 tsp,
  Onion – 1 small.</t>
  </si>
  <si>
    <t>முழு கோதுமை மாவு - 1 கப்,
உப்பு - 1/4 தேக்கரண்டி தட்டையானது,
எண்ணெய் - 2 தேக்கரண்டி,
கோதுமை மாவு தூவுவதற்கு,
பராத்தாக்களை சமைக்க எண்ணெய்,
உருளைக்கிழங்கு - 1 பெரியது,
பச்சை மிளகாய் - 1-2 பொடியாக நறுக்கியது,
சீரகம் - 1 தேக்கரண்டி,
கொத்தமல்லி இலைகள் - ஒரு கைப்பிடி,
கரம் மசாலா - 1/2 தேக்கரண்டி,
உலர்ந்த மாங்காய் தூள் - 1/2 தேக்கரண்டி,
வெங்காயம் - 1 சிறியது.</t>
  </si>
  <si>
    <t>Pressure cook potatoes for 3 whistles or until soft. Peel the skin and mash it well. Add chillies, cumin seeds, garam masala powder, amchur powder/dry mango powder, salt needed, coriander leaves and mix well. Now your stuffing is ready.
Divide the dough into 5 equal parts and make balls out of it.
Divide the stuffing into 5 lemon sized balls
Dust a little flour and roll out the dough into a small circle.
Keep a tbsp of stuffing in the center, gather all the corners and seal the dough with the stuffing inside. Press it down gently to flatten it.
Dust a little four and roll out the flattened dough with the stuffing into a 6-7″ circle. Do not apply too much pressure as the stuffing might come out.
Heat a tawa and place the rolled out dough.
When you will find small bubbles forming on the surface, spread a tsp of oil and flip it over to the other side.
Spread a little oil on the other side also and cook both sides well until golden brown spots appear.</t>
  </si>
  <si>
    <t>உருளைக்கிழங்கை 3 விசில் அல்லது மென்மையாகும் வரை வேக வைக்கவும். தோலை உரித்து நன்றாக மசிக்கவும். மிளகாய், சீரகம், கரம் மசாலா தூள், அம்சூர் தூள்/உலர்ந்த மாங்காய் தூள், தேவையான உப்பு, கொத்தமல்லி இலைகள் சேர்த்து நன்கு கலக்கவும். இப்போது உங்கள் ஸ்டஃபிங் தயாராக உள்ளது.
மாவை 5 சம பாகங்களாக பிரித்து அதிலிருந்து உருண்டைகளை உருவாக்குங்கள்.
ஸ்டஃபிங்கை 5 எலுமிச்சை அளவு பந்துகளாக பிரிக்கவும்
சிறிது மாவை தூவி, மாவை ஒரு சிறிய வட்டமாக உருட்டவும்.
மையத்தில் ஒரு தேக்கரண்டி ஸ்டஃபிங்கை வைத்து, அனைத்து மூலைகளையும் சேகரித்து, மாவை உள்ளே ஸ்டஃபிங்குடன் மூடி வைக்கவும். மெதுவாக அழுத்தி தட்டையாக்குங்கள்.
சிறிது நான்கு துண்டுகளாக தூவி, தட்டையான மாவை ஸ்டஃபிங்குடன் 6-7″ வட்டத்தில் உருட்டவும். ஸ்டஃபிங் வெளியே வரக்கூடும் என்பதால் அதிக அழுத்தம் கொடுக்க வேண்டாம்.
ஒரு தவாவை சூடாக்கி, உருட்டிய மாவை வைக்கவும்.
மேற்பரப்பில் சிறிய குமிழ்கள் உருவாகுவதை நீங்கள் கண்டதும், ஒரு தேக்கரண்டி எண்ணெயை தடவி மறுபுறம் திருப்பி விடுங்கள்.
மறுபுறமும் சிறிது எண்ணெயைத் தடவி, இருபுறமும் தங்க பழுப்பு நிற புள்ளிகள் தோன்றும் வரை நன்கு சமைக்கவும்.</t>
  </si>
  <si>
    <t>https://encrypted-tbn0.gstatic.com/images?q=tbn:ANd9GcRU1Uf02Xis11bGLuyTCY8W23Xr3mWyuyqLCg&amp;s</t>
  </si>
  <si>
    <t>How to make Soft rotis</t>
  </si>
  <si>
    <t>மென்மையான ரொட்டி செய்வது எப்படி</t>
  </si>
  <si>
    <t xml:space="preserve">   Whole Wheat flour – 1 cup,
   Salt – a pinch,
   Oil – 1 tsp,
   wheat flour  – as needed for dusting,
   Board and rolling pin,
   Tawa/skillet,
   Ghee.</t>
  </si>
  <si>
    <t>முழு கோதுமை மாவு - 1 கப்,
உப்பு - ஒரு சிட்டிகை,
எண்ணெய் - 1 டீஸ்பூன்,
கோதுமை மாவு - தூவுவதற்கு தேவையான அளவு,
பலகை மற்றும் உருட்டல் ஊசி,
தவா/வாணலி,
நெய்.</t>
  </si>
  <si>
    <t>Take 1 cup of flour, add a pinch of salt and a tsp of oil. Then mix ½ cup of warm water gradually little at a time and knead it into a dough. You may need a little more or less water depending on the flour you are using.
Knead it into a soft dough as shown in the picture above. Use the heel of your hands to knead the dough. The dough should not stick to your hands after kneading. Grease your hands with a little oil before kneading if required. The more you knead the more softer the rotis.
Make 6 equal sized balls. Keep some wheat flour ready for dusting.
Roll out each ball into a circle/round shape dusting a little wheat flour. With practice you can easily do this. So do not worry if you cannot get a perfect round shape in the beginning.
Heat a tawa and place a rolled out dough on it. Let it cook for a few minutes. Wait until you will see small bubbles forming on the surface.
Once you see bubbles forming, flip it over to the other side and cook,  pressing it with a small towel/napkin. The roti will puff up.
Remove from the tawa, apply a little ghee (optional) and serve with any side dish of your choice. Repeat the same process for the rest of the dough balls.
Enjoy Rotis with any side dish of your choice.</t>
  </si>
  <si>
    <t>1 கப் மாவை எடுத்து, ஒரு சிட்டிகை உப்பு மற்றும் ஒரு டீஸ்பூன் எண்ணெய் சேர்க்கவும். பின்னர் ½ கப் வெதுவெதுப்பான நீரை படிப்படியாக சிறிது சிறிதாக கலந்து மாவாக பிசையவும். நீங்கள் பயன்படுத்தும் மாவைப் பொறுத்து சிறிது அதிகமாகவோ அல்லது குறைவாகவோ தண்ணீர் தேவைப்படலாம்.
மேலே உள்ள படத்தில் காட்டப்பட்டுள்ளபடி மென்மையான மாவாக பிசையவும். மாவை பிசைய உங்கள் கைகளின் குதிகால் பகுதியைப் பயன்படுத்தவும். பிசைந்த பிறகு மாவு உங்கள் கைகளில் ஒட்டக்கூடாது. தேவைப்பட்டால் பிசைவதற்கு முன் உங்கள் கைகளில் சிறிது எண்ணெய் தடவவும். நீங்கள் எவ்வளவு அதிகமாக பிசைகிறீர்களோ, அவ்வளவு மென்மையாக ரொட்டிகள் இருக்கும்.
6 சம அளவிலான உருண்டைகளை உருவாக்குங்கள். சிறிது கோதுமை மாவை தூவ தயாராக வைத்திருங்கள்.
ஒவ்வொரு பந்தையும் வட்டமாக/வட்டமாக உருட்டி சிறிது கோதுமை மாவை தூவவும். பயிற்சியின் மூலம் நீங்கள் இதை எளிதாக செய்யலாம். எனவே ஆரம்பத்தில் சரியான வட்ட வடிவத்தைப் பெற முடியாவிட்டால் கவலைப்பட வேண்டாம்.
ஒரு தவாவை சூடாக்கி, அதன் மீது உருட்டப்பட்ட மாவை வைக்கவும். சில நிமிடங்கள் சமைக்க விடவும். மேற்பரப்பில் சிறிய குமிழ்கள் உருவாகும் வரை காத்திருக்கவும்.
குமிழ்கள் உருவாகுவதை நீங்கள் கண்டதும், அதை மறுபுறம் திருப்பி, ஒரு சிறிய துண்டு/நாப்கினால் அழுத்தி சமைக்கவும். ரொட்டி வீங்கும்.
தவாவிலிருந்து எடுத்து, சிறிது நெய் தடவி (விரும்பினால்) உங்களுக்கு விருப்பமான எந்த சைட் டிஷுடனும் பரிமாறவும். மீதமுள்ள மாவு உருண்டைகளுக்கும் இதே செயல்முறையை மீண்டும் செய்யவும்.
உங்களுக்கு விருப்பமான எந்த சைட் டிஷுடனும் ரொட்டியை அனுபவிக்கவும்.</t>
  </si>
  <si>
    <t>https://encrypted-tbn0.gstatic.com/images?q=tbn:ANd9GcS_tkccxuMxnxEBu_BwiVJ2mJ_tgIfXMNBWTA&amp;s</t>
  </si>
  <si>
    <t>How To Blanch Tomatoes</t>
  </si>
  <si>
    <t>தக்காளியை பிளான்ச் செய்வது எப்படி</t>
  </si>
  <si>
    <t>Tomato – 1/2 kg.</t>
  </si>
  <si>
    <t>தக்காளி - 1/2 கிலோ.</t>
  </si>
  <si>
    <t>Wash the tomatoes well.
Using a sharp knife, cut an “x” at the bottom of the tomatoes for easier peeling.
Bring water to boil. Place the tomatoes (Do not crowd with too much tomatoes) gently in the boiling water and cook for 2 minutes. (The time varies depending upon the size of the fruit).The smaller ones take lesser time.
After 2 minutes, switch off the heat.
Immediately remove the tomatoes with a slotted ladle and place it in cold water for 30 seconds.This is done to prevent it from getting cooked further.
Remove it from cold water and peel the skin gently. To de-seed, cut each tomato in half and scoop out the seeds. Discard the seeds.
Blend it to a puree. Tomato puree is now ready to be used for gravies, soups, sauce etc. I have used for my tomato soup, paneer butter masala and many other gravies.</t>
  </si>
  <si>
    <t>தக்காளியை நன்றாக கழுவவும்.
கூர்மையான கத்தியைப் பயன்படுத்தி, தக்காளியின் அடிப்பகுதியில் ஒரு "x" ஐ வெட்டி உரிக்க எளிதாக இருக்கும்.
தண்ணீரை கொதிக்க வைக்கவும். தக்காளியை (அதிக தக்காளியை கூட்ட வேண்டாம்) கொதிக்கும் நீரில் மெதுவாக வைத்து 2 நிமிடங்கள் சமைக்கவும். (பழத்தின் அளவைப் பொறுத்து நேரம் மாறுபடும்). சிறியவை குறைந்த நேரம் எடுக்கும்.
2 நிமிடங்களுக்குப் பிறகு, தீயை அணைக்கவும்.
உடனடியாக ஒரு துளையிட்ட கரண்டியால் தக்காளியை அகற்றி, 30 விநாடிகள் குளிர்ந்த நீரில் வைக்கவும். இது மேலும் வேகாமல் தடுக்க செய்யப்படுகிறது.
குளிர்ந்த நீரில் இருந்து அதை எடுத்து மெதுவாக தோலை உரிக்கவும். விதை நீக்க, ஒவ்வொரு தக்காளியையும் பாதியாக வெட்டி விதைகளை வெளியே எடுக்கவும். விதைகளை நிராகரிக்கவும்.
அதை ஒரு ப்யூரியாக கலக்கவும். தக்காளி கூழ் இப்போது கிரேவி, சூப்கள், சாஸ் போன்றவற்றுக்கு பயன்படுத்த தயாராக உள்ளது. நான் எனது தக்காளி சூப், பனீர் பட்டர் மசாலா மற்றும் பல கிரேவிகளுக்குப் பயன்படுத்தியுள்ளேன்.</t>
  </si>
  <si>
    <t>https://encrypted-tbn0.gstatic.com/images?q=tbn:ANd9GcRPYTJRB8HZHP3m3FfMmyny1w6DNl4-xLZApw&amp;s</t>
  </si>
  <si>
    <t>How to Prepare Sambar</t>
  </si>
  <si>
    <t>சாம்பார் தயாரிப்பது எப்படி</t>
  </si>
  <si>
    <t xml:space="preserve">   White Pumpkin - 3/4 cup,
   Onion - 1,
   Tomato - 1,
   Tur Dal - 1/3 cup ,
   Sambar powder – 2 tsp,
   Tamarind - small lemon sized ball,
   Turmeric Powder - 1/4 tsp,
   Salt – 1 tbsp rock salt ,
   Oil – 2 tsp,
   Mustard seeds - 1 tsp,
   asaofoetida - a generous pinch,
   Red Chilli - 1,
   Fenugreek seeds - 1 tsp,
   Curry leaves,
   Coriander Leaves.
</t>
  </si>
  <si>
    <t>வெள்ளை பூசணிக்காய் - 3/4 கப்,
வெங்காயம் - 1,
தக்காளி - 1,
துவரம் பருப்பு - 1/3 கப்,
சாம்பார் பொடி - 2 டீஸ்பூன்,
புளி - சிறிய எலுமிச்சை அளவு உருண்டை,
மஞ்சள் பொடி - 1/4 டீஸ்பூன்,
உப்பு - 1 டீஸ்பூன் கல் உப்பு,
எண்ணெய் - 2 டீஸ்பூன்,
கடுகு - 1 டீஸ்பூன்,
பெருங்காயம் - ஒரு சிட்டிகை,
சிவப்பு மிளகாய் - 1,
வெந்தயம் - 1 டீஸ்பூன்,
கறிவேப்பிலை,
கொத்தமல்லி இலைகள்.</t>
  </si>
  <si>
    <t xml:space="preserve">Heat oil in a pan/kadai and add mustard seeds, when it splutters, add fenugreek seeds, red chilli, hing and curry leaves.
Saute for a few seconds and then add chopped onions. Saute onions until it turns transparent, then add chopped tomatoes, pumpkin pieces and saute for a few seconds.
Add 1/2 cup of water, sambar powder and cook until pumpkin is half done. (Alternatively, you can cook pumpkin in a little water with salt separately and then add)
Once the pumpkin is half cooked, add tamarind extract and salt needed.
Keep it on medium flame and boil until the raw flavor of the tamarind goes. By this time the pumpkin will also get cooked well .
Add cooked toor dal along with needed water (approximately 3/4 cup) and boil for 5-6 minutes on medium flame. The consistency of this sambar should neither be thick nor thin, so adjust water accordingly.
Garnish with coriander leaves and serve with rice or idli, dosa.
Hot delicious pumpkin sambar is ready to be served with hot steaming rice. It can be had with idly and dosa also.
</t>
  </si>
  <si>
    <t xml:space="preserve">ஒரு கடாயில்/கடாயில் எண்ணெயை சூடாக்கி, கடுகு சேர்த்து, அது வதங்கியதும், வெந்தயம், சிவப்பு மிளகாய், கீல் மற்றும் கறிவேப்பிலை சேர்க்கவும்.
சில நொடிகள் வதக்கி, பின்னர் நறுக்கிய வெங்காயத்தைச் சேர்க்கவும். வெங்காயம் வெளிப்படையானதாக மாறும் வரை வதக்கவும், பின்னர் நறுக்கிய தக்காளி, பூசணி துண்டுகளைச் சேர்த்து சில நொடிகள் வதக்கவும்.
1/2 கப் தண்ணீர், சாம்பார் பொடி சேர்த்து பூசணி பாதி வேகும் வரை சமைக்கவும். (மாற்றாக, பூசணிக்காயை சிறிது தண்ணீரில் உப்பு சேர்த்து தனியாக வேகவைத்து பின்னர் சேர்க்கலாம்)
பூசணிக்காய் பாதி வெந்தவுடன், புளி சாறு மற்றும் தேவையான அளவு உப்பு சேர்க்கவும்.
அதை மிதமான தீயில் வைத்து, புளியின் பச்சை வாசனை போகும் வரை கொதிக்க வைக்கவும். இந்த நேரத்தில் பூசணிக்காயும் நன்றாக வேகும்.
சமைத்த துவரம்பருப்பை தேவையான தண்ணீருடன் (தோராயமாக 3/4 கப்) சேர்த்து, மிதமான தீயில் 5-6 நிமிடங்கள் கொதிக்க வைக்கவும். இந்த சாம்பாரின் நிலைத்தன்மை கெட்டியாகவோ அல்லது மெல்லியதாகவோ இருக்கக்கூடாது, எனவே அதற்கேற்ப தண்ணீரை சரிசெய்யவும்.
கொத்தமல்லி இலைகளால் அலங்கரித்து சாதம் அல்லது இட்லி, தோசையுடன் பரிமாறவும்.
சூடான சுவையான பூசணிக்காய் சாம்பார் சூடான வேகவைத்த சாதத்துடன் பரிமாற தயாராக உள்ளது. இதை இட்லி மற்றும் தோசையுடனும் சாப்பிடலாம்.
</t>
  </si>
  <si>
    <t>https://www.cubesnjuliennes.com/wp-content/uploads/2021/01/South-Indian-Sambar-Recipe.jpg</t>
  </si>
  <si>
    <t>Sprout Salad</t>
  </si>
  <si>
    <t>முளைகட்டிய சாலட்</t>
  </si>
  <si>
    <t xml:space="preserve">   Sprouted Green Gram - 1 cup,
   Fresh carrots - 2 ,
   Grated Cabbage - handful,
   Capsicum - 1 medium sized,
   Cucumber - 1,
   Salt to taste,
   Fresh Lemon juice - 2 tbsp,
   Oil - 1/2 tsp,
   Green chillies - 2,
   Finely chopped ginger - 1 tsp,
   Grated fresh coconut -- 1 tbsp,
   coriander leaves.
</t>
  </si>
  <si>
    <t>முளைகட்டிய பச்சைப்பயறு - 1 கப்,
புதிய கேரட் - 2 ,
துருவிய முட்டைக்கோஸ் - ஒரு கைப்பிடி,
மிளகாய்த்தூள் - 1 நடுத்தர அளவு,
வெள்ளரிக்காய் - 1,
ருசிக்கேற்ப உப்பு,
புதிய எலுமிச்சை சாறு - 2 டீஸ்பூன்,
எண்ணெய் - 1/2 டீஸ்பூன்,
பச்சை மிளகாய் - 2,
பொடியாக நறுக்கிய இஞ்சி - 1 டீஸ்பூன்,
துருவிய தேங்காய் - 1 டீஸ்பூன்,
கொத்தமல்லி இலைகள்.</t>
  </si>
  <si>
    <t>Finely chop capsicum and green chillies.
Cut cucumber into small cubes, add little salt and keep it aside for 10 minutes. Strain the water from the cucumber.
Mix grated carrots, grated cabbage, finely chopped capsicum, cucumber, sprouts, coconut (if you are adding) and salt together in a bowl.
Heat 1/2 tsp of oil, add green chillies,ginger and saute for a few seconds. Then add it to the above.
Squeeze juice of half a lemon and mix everything well. Healthy and delicious sprout salad is ready.
Garnish with coriander leaves and serve with rice or with bread or have it just as a snack.
You can experiment with different combination of sprouts, vegetables and fruits of your choice.</t>
  </si>
  <si>
    <t>மிளகாய்த்தூள் மற்றும் பச்சை மிளகாயை நன்றாக நறுக்கவும்.
வெள்ளரிக்காயை சிறிய க்யூப்ஸாக வெட்டி, சிறிது உப்பு சேர்த்து 10 நிமிடங்கள் தனியாக வைக்கவும். வெள்ளரிக்காயிலிருந்து தண்ணீரை வடிகட்டவும்.
ஒரு பாத்திரத்தில் துருவிய கேரட், துருவிய முட்டைக்கோஸ், இறுதியாக நறுக்கிய மிளகாய்த்தூள், வெள்ளரிக்காய், முளைகட்டியவை, தேங்காய் (சேர்த்தால்) மற்றும் உப்பு ஆகியவற்றை ஒன்றாக கலக்கவும்.
1/2 டீஸ்பூன் எண்ணெயை சூடாக்கி, பச்சை மிளகாய், இஞ்சி சேர்த்து சில நொடிகள் வதக்கவும். பின்னர் மேலே உள்ளவற்றுடன் சேர்க்கவும்.
பாதி எலுமிச்சையின் சாற்றை பிழிந்து எல்லாவற்றையும் நன்றாக கலக்கவும். ஆரோக்கியமான மற்றும் சுவையான முளைகட்டிய சாலட் தயார்.
கொத்தமல்லி இலைகளால் அலங்கரித்து சாதத்துடன் அல்லது ரொட்டியுடன் பரிமாறவும் அல்லது சிற்றுண்டியாக மட்டும் சாப்பிடவும்.
நீங்கள் விரும்பும் முளைகள், காய்கறிகள் மற்றும் பழங்களின் பல்வேறு கலவையைப் பரிசோதித்துப் பார்க்கலாம்.</t>
  </si>
  <si>
    <t>https://www.vegrecipesofindia.com/wp-content/uploads/2013/04/moong-sprouts-salad-recipe-1.jpg</t>
  </si>
  <si>
    <t>Masala powder</t>
  </si>
  <si>
    <t>மசாலாப் பொடி</t>
  </si>
  <si>
    <t>Bengal gram dal - 1/4 cup,
Coriander seeds – 1/3 cup,
Dry Red chillies -15-20 grams,
Sesame seed oil - 1 tsp.</t>
  </si>
  <si>
    <t>வங்காளப் பருப்பு - 1/4 கப்,
கொத்தமல்லி விதைகள் - 1/3 கப்,
உலர்ந்த சிவப்பு மிளகாய் - 15-20 கிராம்,
எள் விதை எண்ணெய் - 1 டீஸ்பூன்.</t>
  </si>
  <si>
    <t>Heat 1 tsp oil and fry coriander seeds, bengal gram dal and red chillies until dal turns golden brown. Keep stirring continuously for even browning.
After it cools, dry grind all the above together to a coarse powder.
Storage - Store it in an airtight container at room temperature. Prepare it just for a week or 10 days. If stored for a longer period, the flavor will not be there.</t>
  </si>
  <si>
    <t>1 டீஸ்பூன் எண்ணெயைச் சூடாக்கி, கொத்தமல்லி விதைகள், பெங்கால் பருப்பு மற்றும் சிவப்பு மிளகாய் ஆகியவற்றைப் பொன்னிறமாகும் வரை வறுக்கவும். தொடர்ந்து கிளறிக்கொண்டே இருங்கள்.
குளிர்ந்த பிறகு, மேலே உள்ள அனைத்தையும் ஒன்றாக சேர்த்து கரடுமுரடான பொடியாக அரைக்கவும்.
சேமிப்பு - அறை வெப்பநிலையில் காற்று புகாத கொள்கலனில் சேமிக்கவும். ஒரு வாரம் அல்லது 10 நாட்களுக்கு மட்டும் தயார் செய்யவும். நீண்ட நேரம் சேமித்து வைத்தால், சுவை இருக்காது.</t>
  </si>
  <si>
    <t>https://encrypted-tbn0.gstatic.com/images?q=tbn:ANd9GcQQGFQ2sFmFs7HOW6_lashfC9Xqz_PFDd1nxQ&amp;s</t>
  </si>
  <si>
    <t>Gatte Ki Sabji</t>
  </si>
  <si>
    <t>கட்டே கி சப்ஜி</t>
  </si>
  <si>
    <t>Bengal Gram flour – 3/4 cup,
Chilli powder – 1 tsp,
Turmeric powder – 1 tsp,
Cumin seeds – 1 tsp,
Coriander powder – 2 tsp,
Carom seeds – 1/4 tsp,
Ghee – 2 tbsp,
Curd – 1 cup,
Chilli powder – 1 tsp,
Turmeric powder – 1/2 tsp,
Coriander Powder – 2 tsp,
Salt needed,
Bengal Gram flour or besan – 1 tsp,
Ghee or oil – 3 tbsp,
Cumin seeds – 1 tsp,
Asafoetida – a generous pinch,
Curry leaves – a sprig,
Onion - 1 chopped,
Garlic - 4-5 chopped,
Ginger – 1 inch pieces,
Green chillies -1 slit,
Coriander leaves for garnishing.</t>
  </si>
  <si>
    <t>வங்காள பருப்பு மாவு - 3/4 கப்,
மிளகாய் தூள் - 1 தேக்கரண்டி,
மஞ்சள் தூள் - 1 தேக்கரண்டி,
சீரக விதைகள் - 1 தேக்கரண்டி,
கொத்தமல்லி தூள் - 2 தேக்கரண்டி,
கேரம் விதைகள் - 1/4 தேக்கரண்டி,
நெய் - 2 தேக்கரண்டி,
தயிர் - 1 கப்,
மிளகாய் தூள் - 1 தேக்கரண்டி,
மஞ்சள் தூள் - 1/2 தேக்கரண்டி,
கொத்தமல்லி தூள் - 2 தேக்கரண்டி,
தேவையான உப்பு,
வங்காள பருப்பு மாவு அல்லது கடலை மாவு - 1 தேக்கரண்டி,
நெய் அல்லது எண்ணெய் - 3 தேக்கரண்டி,
சீரக விதைகள் - 1 தேக்கரண்டி,
அசாஃபோடிடா - ஒரு சிட்டிகை,
கறிவேப்பிலை - ஒரு தளிர்,
வெங்காயம் - 1 நறுக்கியது,
பூண்டு - 4-5 நறுக்கியது,
இஞ்சி - 1 அங்குல துண்டுகள்,
பச்சை மிளகாய் - 1 துண்டு,
அலங்காரத்திற்கு கொத்தமல்லி இலைகள்.</t>
  </si>
  <si>
    <t>In a bowl, add 1 cup of curd,  1 tsp chilli powder, 1/2 tsp turmeric powder, 2 tsp coriander powder, a tsp of gram flour and salt needed. Mix this well.  Gram flour/besan will prevent the curd from curdling, when boiling.
In a kadai,  heat 2 tbsp ghee and 1 tbsp of oil, add a tsp of cumin seeds and  hing.
Once cumin seeds sizzle, add finely chopped garlic. Saute until garlic turns light brown.
Add ginger, green chillies and curry leaves. Saute for few seconds.
Add onions and saute until onions turn golden brown.
Then reduce the heat to low and add the prepared curd. Stir continuously when adding curd.
Cook on medium heat until oil separates. Keep stirring now and then.
Once oil separates, add the dumplings/ghattas and the water in which it was cooked.
Once it starts to boil, simmer for 2-3 minutes. Then turn off the heat.
Garnish with finely chopped coriander leaves.
Rajasthan special Gatte ki sabzi is ready.</t>
  </si>
  <si>
    <t>ஒரு பாத்திரத்தில், 1 கப் தயிர், 1 தேக்கரண்டி மிளகாய் தூள், 1/2 தேக்கரண்டி மஞ்சள் தூள், 2 தேக்கரண்டி கொத்தமல்லி தூள், ஒரு தேக்கரண்டி கடலை மாவு மற்றும் தேவையான அளவு உப்பு சேர்க்கவும். இதை நன்றாக கலக்கவும். கடாய் மாவு/பெசன் கொதிக்கும் போது தயிர் தயிர் கெட்டியாகாமல் தடுக்கும்.
ஒரு கடாயில், 2 தேக்கரண்டி நெய் மற்றும் 1 தேக்கரண்டி எண்ணெயை சூடாக்கி, ஒரு தேக்கரண்டி சீரகம் மற்றும் இஞ்சி சேர்க்கவும்.
சீரகம் வதங்கியதும், இறுதியாக நறுக்கிய பூண்டை சேர்க்கவும். பூண்டு வெளிர் பழுப்பு நிறமாக மாறும் வரை வதக்கவும்.
இஞ்சி, பச்சை மிளகாய் மற்றும் கறிவேப்பிலை சேர்க்கவும். சில நொடிகள் வதக்கவும்.
வெங்காயத்தைச் சேர்த்து வெங்காயம் பொன்னிறமாக மாறும் வரை வதக்கவும்.
பின்னர் தீயை குறைத்து, தயாரிக்கப்பட்ட தயிரைச் சேர்க்கவும். தயிர் சேர்க்கும்போது தொடர்ந்து கிளறவும்.
எண்ணெய் பிரியும் வரை மிதமான தீயில் சமைக்கவும். அவ்வப்போது கிளறிக்கொண்டே இருங்கள்.
எண்ணெய் பிரிந்ததும், உருண்டைகள்/கட்டா மற்றும் அது சமைத்த தண்ணீரைச் சேர்க்கவும்.
கொதிக்க ஆரம்பித்ததும், 2-3 நிமிடங்கள் கொதிக்க விடவும். பின்னர் தீயை அணைக்கவும்.
பொடியாக நறுக்கிய கொத்தமல்லி இலைகளால் அலங்கரிக்கவும்.
ராஜஸ்தான் ஸ்பெஷல் கட்டே கி சப்ஜி தயார்.</t>
  </si>
  <si>
    <t>https://encrypted-tbn0.gstatic.com/images?q=tbn:ANd9GcRW3vLxm2z3M5IgsExJ6xEKrWQSSc25hoP_MA&amp;s</t>
  </si>
  <si>
    <t>Karunai Kilangu Kulambu</t>
  </si>
  <si>
    <t>கருணை கிழங்கு குழம்பு</t>
  </si>
  <si>
    <t xml:space="preserve">    karunai kilangu - 1/4 kg,
   Pearl Onion - 15-20,
   Garlic – 15-20,
   Tomato – 1 chopped,
   Sambar Powder – 2 tbsp,
   Coriander Powder – 1 1/2 tsp,
   Turmeric powder – 1/4 tsp,
   Sea salt – 1 tbsp flat,
   Tamarind – small gooseberry sized ball ,
   Sesame Seed Oil – 3 tbsp,
   Mustard seeds – 1 tsp,
   Fenugreek seeds – 1/2 tsp,
   Hing – a pinch,
   Red Chilli – 1,
   Curry leaves – a sprig,
   Sesame seed oil – 1-2 tsp.</t>
  </si>
  <si>
    <t>கருனை கிழங்கு - 1/4 கிலோ,
முத்து வெங்காயம் - 15-20,
பூண்டு - 15-20,
தக்காளி - 1 நறுக்கியது,
சாம்பார் பொடி - 2 டீஸ்பூன்,
கொத்தமல்லி பொடி - 1 1/2 டீஸ்பூன்,
மஞ்சள் பொடி - 1/4 டீஸ்பூன்,
கடல் உப்பு - 1 டீஸ்பூன் தட்டையானது,
புளி - சிறிய நெல்லிக்காய் அளவு பந்து,
எள் விதை எண்ணெய் - 3 டீஸ்பூன்,
கடுகு - 1 டீஸ்பூன்,
வெந்தயம் - 1/2 டீஸ்பூன்,
கீரை - ஒரு சிட்டிகை,
சிவப்பு மிளகாய் - 1,
கறிவேப்பிலை - ஒரு தளிர்,
எள் விதை எண்ணெய் - 1-2 டீஸ்பூன்.</t>
  </si>
  <si>
    <t>Heat oil in a kadai/pan, add mustard seeds, when it splutters, add fenugreek seeds, hing, red chilli and curry leaves.
karunai kilangu puli kulambu recipe 
Add pearl onions and garlic and saute until it turns transparent.
Add tomato and saute for a few more minutes.
karunai kizhangu puli kulambu
Add sambar powder, coriander powder and salt needed.
Saute for a few seconds.
Add tamarind water and let it boil on medium heat.
After 5 minutes, add the cooked yam and let it boil until it becomes a little thick and oil separates.
Drizzle a 1-2 tsp of sesame seed oil and turn off the heat.
Enjoy delicious yam puli kulambu with rice or even with dosa.</t>
  </si>
  <si>
    <t>ஒரு கடாயில் எண்ணெயை சூடாக்கி, கடுகு சேர்த்து, அது வதங்கியதும், வெந்தயம், கீரை, சிவப்பு மிளகாய் மற்றும் கறிவேப்பிலை சேர்க்கவும்.
கருனை கிழங்கு புளி குழம்பு செய்முறை
முத்து வெங்காயம் மற்றும் பூண்டு சேர்த்து அது வெளிப்படையானதாக மாறும் வரை வதக்கவும்.
தக்காளியைச் சேர்த்து இன்னும் சில நிமிடங்கள் வதக்கவும்.
கருனை கிழங்கு புளி குழம்பு
சாம்பார் பொடி, கொத்தமல்லி பொடி மற்றும் தேவையான அளவு உப்பு சேர்க்கவும்.
சில நொடிகள் வதக்கவும்.
புளி தண்ணீர் சேர்த்து மிதமான தீயில் கொதிக்க விடவும்.
5 நிமிடங்களுக்குப் பிறகு, சமைத்த சேனைக்கிழங்கைச் சேர்த்து, சிறிது கெட்டியாகி எண்ணெய் பிரியும் வரை கொதிக்க விடவும்.
1-2 தேக்கரண்டி எள் எண்ணெயைத் தூவி, அடுப்பை அணைக்கவும்.
சுவையான சேனைக்கிழங்கு புளி குழம்புவை அரிசியுடன் அல்லது தோசையுடன் கூட அனுபவிக்கவும்.</t>
  </si>
  <si>
    <t>https://i.ytimg.com/vi/eqpBDUYnHtQ/maxresdefault.jpg</t>
  </si>
  <si>
    <t xml:space="preserve">   Ladies finger - 8-10,
   Pearl onion -10,
   Garlic – 10 cloves,
   Tomato - 1,
   Sambar Podi – 2 tbsp,
   Salt needed,
   Tamarind – small lemon sized ball,
   Coconut – 3 tbsp,
   Sesame seed oil – 3 tbsp,
   Mustard seeds – 1 tsp,
   Fenugreek seeds – 1/4 tsp,
   Hing – a pinch,
   Red Chillies – 1-2,
   Curry leaves – a sprig.</t>
  </si>
  <si>
    <t>பெண் விரல் - 8-10,
முத்து வெங்காயம் - 10,
பூண்டு - 10 பல்,
தக்காளி - 1,
சாம்பார் பொடி - 2 டேபிள்ஸ்பூன்,
உப்பு தேவை,
புளி - சிறிய எலுமிச்சை அளவு பந்து,
தேங்காய் - 3 டேபிள்ஸ்பூன்,
எள்ளு எண்ணெய் - 3 டேபிள்ஸ்பூன்,
கடுகு - 1 டேபிள்ஸ்பூன்,
வெந்தயம் - 1/4 டேபிள்ஸ்பூன்,
கீரை - ஒரு சிட்டிகை,
சிவப்பு மிளகாய் - 1-2,
கறிவேப்பிலை - ஒரு தளிர்.</t>
  </si>
  <si>
    <t xml:space="preserve">Heat oil in a kadai (sesame seed oil/nallennai preferable), add mustard seeds, when it splutters, add fenugreek seeds, red chillies, hing and curry leaves.
Add pearl onion and garlic. Saute on medium heat until it turns transparent.
Heat another 2 tsp of oil and saute ladies finger separately for 4-5 minutes in another pan. You do not have to cook ladies finger fully as it will get cooked in the tamarind water.
Once the onion becomes transparent, add the ladies finger.
Add the chopped tomato and mix well.
Cook for 2-3 minutes. Add sambar podi (I used my homemade sambar podi which is not spicy) and salt needed.
Mix well and cook for a minute. Add tamarind extract.
Boil on medium heat.
Once the kulambu starts to thicken, add the coconut paste, mix well and boil for another 2-3 minutes on low heat. Remove from heat. 
Serve with rice or even with idli dosa.
</t>
  </si>
  <si>
    <t>ஒரு கடாயில் எண்ணெயை சூடாக்கவும் (எள்ளு எண்ணெய்/நல்லெண்ணெய் விரும்பத்தக்கது), கடுகு சேர்க்கவும், அது வதங்கியதும், வெந்தயம், சிவப்பு மிளகாய், கீரை மற்றும் கறிவேப்பிலை சேர்க்கவும்.
முத்து வெங்காயம் மற்றும் பூண்டு சேர்க்கவும். மிதமான தீயில் அது வெளிப்படையானதாக மாறும் வரை வதக்கவும்.
இன்னும் 2 டேபிள்ஸ்பூன் எண்ணெயை சூடாக்கி, பெண் விரல்களை தனித்தனியாக மற்றொரு வாணலியில் 4-5 நிமிடங்கள் வதக்கவும். புளி தண்ணீரில் லேடிஸ் ஃபிங்கர் வேகும் என்பதால் அதை முழுவதுமாக வேக வைக்க வேண்டியதில்லை.
வெங்காயம் தெளிவாகத் தெரிந்ததும், லேடிஸ் ஃபிங்கரைச் சேர்க்கவும்.
நறுக்கிய தக்காளியைச் சேர்த்து நன்கு கலக்கவும்.
2-3 நிமிடங்கள் சமைக்கவும். சாம்பார் பொடி (நான் வீட்டில் செய்த சாம்பார் பொடியைப் பயன்படுத்தினேன், அது காரமானது அல்ல) மற்றும் தேவையான அளவு உப்பு சேர்க்கவும்.
நன்றாகக் கலந்து ஒரு நிமிடம் சமைக்கவும். புளி சாறு சேர்க்கவும்.
மிதமான தீயில் கொதிக்க வைக்கவும்.
குழம்பு கெட்டியாக ஆரம்பித்ததும், தேங்காய் விழுதைச் சேர்த்து, நன்கு கலந்து, குறைந்த தீயில் 2-3 நிமிடங்கள் கொதிக்க வைக்கவும். அடுப்பிலிருந்து இறக்கவும்.
சாதத்துடன் அல்லது இட்லி தோசையுடன் கூட பரிமாறவும்.</t>
  </si>
  <si>
    <t>https://encrypted-tbn0.gstatic.com/images?q=tbn:ANd9GcTNEdiBTgtWpITzkfuNM5FjeTDSqysRfmIUxw&amp;s</t>
  </si>
  <si>
    <t>சீரக குழம்பு</t>
  </si>
  <si>
    <t xml:space="preserve">   Cumin Seeds – 2 tbsp,
   Sesame seed – 5 tbsp,
   Garlic – 1/2 cup peeled,
   Sambar Powder – 4 tbsp,
   Turmeric powder – 1/4 tsp,
   Salt – 1 tbsp or needed,
   Tamarind – 35 grams.</t>
  </si>
  <si>
    <t>சீரகம் - 2 டீஸ்பூன்,
எள் - 5 டீஸ்பூன்,
பூண்டு - 1/2 கப் உரித்தது,
சாம்பார் பொடி - 4 டீஸ்பூன்,
மஞ்சள் பொடி - 1/4 டீஸ்பூன்,
உப்பு - 1 டீஸ்பூன் அல்லது தேவைக்கேற்ப,
புளி - 35 கிராம்.</t>
  </si>
  <si>
    <t>Heat oil in a kadai, add garlic and saute for 2-3 minutes.
Add tamarind extract, sambar powder, turmeric powder and salt needed. Mix well.
Boil on medium heat until the kuzhambu thickens. Stir in between. (you can see the difference between both the pictures below – in the first picture – tamarind extract has just been added, in the second it has thickened).
Once the kuzhambu thickens, add cumin seed powder, mix well and boil for another 2-3 seconds. Add a tbsp of sesame seed oil and switch it off.
Enjoy it with hot rice topped with sesame seed oil.</t>
  </si>
  <si>
    <t>ஒரு கடாயில் எண்ணெயை சூடாக்கி, பூண்டு சேர்த்து 2-3 நிமிடங்கள் வதக்கவும்.
புளி சாறு, சாம்பார் பொடி, மஞ்சள் தூள் மற்றும் தேவையான அளவு உப்பு சேர்க்கவும். நன்கு கலக்கவும்.
குழம்பு கெட்டியாகும் வரை மிதமான தீயில் கொதிக்க வைக்கவும். இடையில் கிளறவும். 
குழம்பு கெட்டியானதும், சீரகத் தூளைச் சேர்த்து, நன்கு கலந்து, மேலும் 2-3 வினாடிகள் கொதிக்க வைக்கவும். ஒரு டீஸ்பூன் எள் எண்ணெயைச் சேர்த்து அணைக்கவும்.
எள் எண்ணெயுடன் சூடான சாதத்துடன் இதை மகிழுங்கள்.</t>
  </si>
  <si>
    <t>https://i.pinimg.com/564x/e2/02/1a/e2021ab9e1bdccd67a221202f61bbff8.jpg</t>
  </si>
  <si>
    <t>Punjabi Kadhi Pakora</t>
  </si>
  <si>
    <t>பஞ்சாபி கதி பக்கோடா</t>
  </si>
  <si>
    <t xml:space="preserve">   Sour curd – 1 3/4 cup,
   Gram flour – 3 tbsp,
   Turmeric powder – 1/4 tsp,
   Salt as needed,
   Water – 3 1/2 cup,
   Onion – 1/2 cup sliced,
   Gram flour – 1/2 cup,
   Turmeric powder – 1/4 tsp,
   Chilli powder – as needed,
   Carom seeds – 1/4 tsp,
   Coriander leaves – 2 tbsp chopped,
   Salt needed,
   Oil for frying,
   Oil – 2 tbsp,
   Mustard seeds – 1 tsp,
   Cumin seeds – 1/2 tsp,
   Fenugreek seeds – 1/4 tsp,
   Dry red chillies – 3-4,
   Hing/asafoetida – 1/4 tsp,
   Onion – 1 medium size chopped,
   Garlic – 3-4,
   Ginger – 1 1/2 inch piece,
   Curry leaves – a sprig,
   Oil – 2 tsp,
   Cumin seeds,
   Red Chilli Powder,
   Coriander leaves.</t>
  </si>
  <si>
    <t>புளிப்பு தயிர் - 1 3/4 கப்,
கடலை மாவு - 3 டேபிள்ஸ்பூன்,
மஞ்சள் தூள் - 1/4 டீஸ்பூன்,
உப்பு தேவைக்கேற்ப,
தண்ணீர் - 3 1/2 கப்,
வெங்காயம் - 1/2 கப் நறுக்கியது,
கடலை மாவு - 1/2 கப்,
மஞ்சள் தூள் - 1/4 டீஸ்பூன்,
மிளகாய் தூள் - தேவைக்கேற்ப,
கேரம் விதைகள் - 1/4 டீஸ்பூன்,
கொத்தமல்லி இலைகள் - 2 டேபிள்ஸ்பூன் நறுக்கியது,
உப்பு தேவைக்கேற்ப,
பொரிப்பதற்கு எண்ணெய்,
எண்ணெய் - 2 டேபிள்ஸ்பூன்,
கடுகு - 1 டேபிள்ஸ்பூன்,
சீரகம் - 1/2 டேபிள்ஸ்பூன்,
வெந்தயம் - 1/4 டேபிள்ஸ்பூன்,
காய்ந்த மிளகாய் - 3-4,
கீரை/அசிபாபி - 1/4 டேபிள்ஸ்பூன்,
வெங்காயம் - 1 நடுத்தர அளவு நறுக்கியது,
பூண்டு - 3-4,
இஞ்சி - 1 1/2 அங்குல துண்டு,
கறிவேப்பிலை - ஒரு தளிர்,
எண்ணெய் - 2 டேபிள்ஸ்பூன்,
சீரகம் விதைகள்,
சிவப்பு மிளகாய் தூள்,
கொத்தமல்லி இலைகள்.</t>
  </si>
  <si>
    <t xml:space="preserve">In a bowl add sliced onions, salt and mix well. Let is sit for few minutes. The onions will release water. Then add chilli powder, turmeric powder, carom seeds, coriander leaves and mix well.
Add gram flour (kadalai mavu or chick pea flour) and mix everything together well.
Add little water and make a thick batter. Taste and adjust the seasoning as per your preferences. Add 2 tsp of hot oil as it will give soft pakoras.
Heat oil in a kadai, when oil is hot, reduce the heat to medium, drop spoonful of batter or take a little batter with your hands and drop it into the hot oil.
Fry until golden brown and crispy. Remove from oil with a slotted ladle and place it on a colander or paper towel. Repeat the process for the rest of the batter. Pakoras are ready. Keep it aside.
Take yogurt in a bowl, add besan, turmeric powder, salt needed and mix well without lumps. You can add a little green chilli paste if you want it spicy. I did not add. 
Then add water and mix well. The consistency should be a little watery.
Heat oil in a kadai, add mustard seeds, when it splutters, add cumin seeds, fenugreek seeds, hing and red chillies.
Add onion, ginger, garlic, curry leaves and saute until onions turn translucent. 
Reduce the heat, add buttermilk stirring continuously. Once it starts boiling, turn the heat to medium and cook stirring continuously for 10 minutes or until the rawness of the gramflour goes. It will start thickening as it gets cooked. You can adjust the consistency of the kadhi by adding hot water if it is too thick.
Add the prepared pakoras and cook simmered for another 5 minutes.
Garnish with chopped coriander leaves.
</t>
  </si>
  <si>
    <t>ஒரு பாத்திரத்தில் நறுக்கிய வெங்காயம், உப்பு சேர்த்து நன்கு கலக்கவும். சில நிமிடங்கள் அப்படியே வைக்கவும். வெங்காயம் தண்ணீர் விடும். பின்னர் மிளகாய் தூள், மஞ்சள் தூள், கேரமல் விதைகள், கொத்தமல்லி இலைகள் சேர்த்து நன்கு கலக்கவும்.
கடலை மாவு (கடலை மாவு அல்லது கொண்டைக்கடலை மாவு) சேர்த்து அனைத்தையும் ஒன்றாக கலக்கவும்.
சிறிது தண்ணீர் சேர்த்து ஒரு தடிமனான மாவை தயாரிக்கவும். உங்கள் விருப்பத்திற்கு ஏற்ப சுவைத்து, தாளிக்கவும். 2 தேக்கரண்டி சூடான எண்ணெயைச் சேர்க்கவும், ஏனெனில் அது மென்மையான பக்கோடாக்களைப் பெறும்.
ஒரு கடாயில் எண்ணெயைச் சூடாக்கி, எண்ணெய் சூடானதும், தீயை நடுத்தரமாகக் குறைத்து, ஒரு ஸ்பூன் மாவை விடவும் அல்லது உங்கள் கைகளால் சிறிது மாவை எடுத்து சூடான எண்ணெயில் விடவும்.
பொன்னிற பழுப்பு நிறமாகவும் மொறுமொறுப்பாகவும் வரும் வரை வறுக்கவும். துளையிட்ட கரண்டியால் எண்ணெயிலிருந்து அகற்றி ஒரு வடிகட்டி அல்லது காகிதத் துண்டில் வைக்கவும். மீதமுள்ள மாவுக்கு இந்த செயல்முறையை மீண்டும் செய்யவும். பக்கோடாக்கள் தயாராக உள்ளன. அதை ஒதுக்கி வைக்கவும்.
ஒரு பாத்திரத்தில் தயிர் எடுத்து, கடலை மாவு, மஞ்சள் தூள், தேவையான உப்பு சேர்த்து கட்டிகள் இல்லாமல் நன்கு கலக்கவும். காரமாக வேண்டுமென்றால் கொஞ்சம் பச்சை மிளகாய் விழுது சேர்க்கலாம். நான் சேர்க்கவில்லை.
பிறகு தண்ணீர் சேர்த்து நன்றாக கலக்கவும். நிலைத்தன்மை சிறிது நீர்த்துப்போக வேண்டும்.
ஒரு கடாயில் எண்ணெயை சூடாக்கி, கடுகு சேர்த்து, அது வதங்கியதும், சீரகம், வெந்தயம், பெருங்காயம் மற்றும் சிவப்பு மிளகாய் சேர்க்கவும்.
வெங்காயம், இஞ்சி, பூண்டு, கறிவேப்பிலை சேர்த்து வெங்காயம் தெளிவாகும் வரை வதக்கவும்.
தீயைக் குறைத்து, மோர் சேர்த்து தொடர்ந்து கிளறவும். கொதிக்க ஆரம்பித்ததும், தீயை மிதமாக வைத்து 10 நிமிடங்கள் அல்லது கடலை மாவின் பச்சைத்தன்மை போகும் வரை தொடர்ந்து கிளறவும். அது வேகும்போது கெட்டியாகத் தொடங்கும். கதி மிகவும் கெட்டியாக இருந்தால் சூடான நீரைச் சேர்ப்பதன் மூலம் அதன் நிலைத்தன்மையை சரிசெய்யலாம்.
தயாரிக்கப்பட்ட பக்கோடாக்களைச் சேர்த்து மேலும் 5 நிமிடங்கள் கொதிக்க வைக்கவும்.
நறுக்கிய கொத்தமல்லி இலைகளால் அலங்கரிக்கவும்.</t>
  </si>
  <si>
    <t>https://www.vegrecipesofindia.com/wp-content/uploads/2012/01/punjabi-kadhi-pakora-recipe-1.jpg</t>
  </si>
  <si>
    <t xml:space="preserve">   Tamarind – 25 grams,
   Pearl Onion – 10-12,
   Cluster beans – 70 grams,
   Sambar powder – 2 tbsp,
   Sesame Oil – 3 tbsp,
   Mustard seeds – 1 tsp,
   Fenugreek seeds – 1/2 tsp,
   Hing – a generous pinch,
   Curry leaves – a sprig,
   Salt as needed.</t>
  </si>
  <si>
    <t>புளி - 25 கிராம்,
முத்து வெங்காயம் - 10-12,
கொத்தவரங்காய் பீன்ஸ் - 70 கிராம்,
சாம்பார் பொடி - 2 டேபிள்ஸ்பூன்,
எள் எண்ணெய் - 3 டேபிள்ஸ்பூன்,
கடுகு - 1 டேபிள்ஸ்பூன்,
வெந்தயம் - 1/2 டேபிள்ஸ்பூன்,
கீரை - ஒரு சிட்டிகை,
கறிவேப்பிலை - ஒரு தளிர்,
தேவைக்கேற்ப உப்பு.</t>
  </si>
  <si>
    <t>Heat oil in a kadai, add mustard seeds, when it splutters, add fenugreek seeds, hing and curry leaves.
Add pearl onion, cluster beans and saute until onions turn transparent.
Add sambar powder and salt needed (I usually add 1 tbsp flat rock salt for this measurement).
Saute for 2-3 seconds and then add tamarind extract.
Once it starts boiling, reduce the heat and cook on medium heat until the kulambu thickens to a saucy consistency.
Delicious and tasty cluster beans kuzhambu is ready to be served along with rice.</t>
  </si>
  <si>
    <t>ஒரு கடாயில் எண்ணெயை சூடாக்கி, கடுகு சேர்த்து, அது வெடித்ததும், வெந்தயம், கீரை மற்றும் கறிவேப்பிலை சேர்க்கவும்.
முத்து வெங்காயம், கொத்தவரங்காய் சேர்த்து வெங்காயம் வெளிப்படையானதாக மாறும் வரை வதக்கவும்.
சாம்பார் பொடி மற்றும் தேவையான உப்பு சேர்க்கவும் (நான் வழக்கமாக இந்த அளவீட்டிற்கு 1 டேபிள்ஸ்பூன் தட்டையான கல் உப்பு சேர்ப்பேன்).
2-3 வினாடிகள் வதக்கி, பின்னர் புளி சாறு சேர்க்கவும்.
கொதிக்க ஆரம்பித்ததும், தீயைக் குறைத்து, குழம்பு கெட்டியாகும் வரை மிதமான தீயில் சமைக்கவும்.
சுவையான மற்றும் சுவையான கொத்து பீன்ஸ் குழம்பு சாதத்துடன் பரிமாற தயாராக உள்ளது.</t>
  </si>
  <si>
    <t>https://encrypted-tbn0.gstatic.com/images?q=tbn:ANd9GcTwmnnIEnV-FEyRGM3_PPwRgtIfDyc44zWMyg&amp;s</t>
  </si>
  <si>
    <t>Pavakkai Puli Kuzhambu</t>
  </si>
  <si>
    <t>பாவக்காய் புளி குழம்பு</t>
  </si>
  <si>
    <t xml:space="preserve">   Bitter Gourd – 3/4 cups sliced ,
   Shallots – 1/3 cup,
   Tamarind – Gooseberry sized ball,
   Brown Chick Peas – 3 tbsp,
   Sambar Powder – 2 tbsp flat,
   Salt as needed,
   Sesame Seed Oil – 3 tbsp,
   Mustard seeds – 1 tsp,
   Fenugreek seeds – 1/4 tsp,
   Red Chilli – 1,
   Hing – a generous pinch,
   Curry Leaves – a sprig.</t>
  </si>
  <si>
    <t>பாகற்காய் - 3/4 கப் நறுக்கியது,
வெங்காயத்தாள் - 1/3 கப்,
புளி - நெல்லிக்காய் அளவு உருண்டை,
பழுப்பு கொண்டைக்கடலை - 3 டீஸ்பூன்,
சாம்பார் பொடி - 2 டீஸ்பூன் தட்டையானது,
தேவைக்கேற்ப உப்பு,
எள் விதை எண்ணெய் - 3 டீஸ்பூன்,
கடுகு - 1 டீஸ்பூன்,
வெந்தயம் - 1/4 டீஸ்பூன்,
சிவப்பு மிளகாய் - 1,
கீல் - ஒரு சிட்டிகை,
கறிவேப்பிலை - ஒரு தளிர்.</t>
  </si>
  <si>
    <t xml:space="preserve">Heat oil, add mustard seeds, when it splutters, add fenugreek seeds, red chilli and hing.
Then add shallots/pearl onions and curry leaves.
Saute until onions turn transparent. Then add bitter gourd and cook well in oil (about 5 minutes on medium heat). This will remove the bitterness to some extent.
Then add sambar powder and salt needed. (I added 1 tbsp flat rock salt).
Saute for a few seconds and then add tamarind water.
Pavakkai Puli Kuzhambu
Add cooked chick peas. When the tamarind water starts boiling, reduce the heat to medium.
Let it boil until the tamarind water reduces and thickens. 
Once the gravy reduces and thickens, remove from heat. (Picture below shows – after 15 minutes of boiling on medium heat). Serve with rice and any vegetable curry or stir fry.
</t>
  </si>
  <si>
    <t>எண்ணெயை சூடாக்கி, கடுகு சேர்த்து, அது வதங்கியதும், வெந்தயம், சிவப்பு மிளகாய் மற்றும் கீல் சேர்க்கவும்.
பின்னர் வெங்காயம்/முத்து வெங்காயம் மற்றும் கறிவேப்பிலை சேர்க்கவும்.
வெங்காயம் வெளிப்படையானதாக மாறும் வரை வதக்கவும். பின்னர் பாகற்காய் சேர்த்து எண்ணெயில் (நடுத்தர தீயில் சுமார் 5 நிமிடங்கள்) நன்கு வதக்கவும். இது ஓரளவு கசப்பை நீக்கும்.
பின்னர் சாம்பார் பொடி மற்றும் உப்பு சேர்க்கவும். (நான் 1 டீஸ்பூன் தட்டையான கல் உப்பு சேர்த்தேன்).
சில நொடிகள் வதக்கி, பின்னர் புளி தண்ணீர் சேர்க்கவும்.
பாவக்காய் புளி குழம்பு
சமைத்த கொண்டைக்கடலையைச் சேர்க்கவும். புளி தண்ணீர் கொதிக்க ஆரம்பித்ததும், தீயை நடுத்தரமாகக் குறைக்கவும்.
புளி தண்ணீர் குறைந்து கெட்டியாகும் வரை கொதிக்க விடவும்.
குழம்பு குறைந்து கெட்டியானவுடன், அடுப்பிலிருந்து இறக்கவும். (நடுத்தர வெப்பத்தில் 15 நிமிடங்கள் கொதித்த பிறகு). சாதம் மற்றும் எந்த காய்கறி கறியுடன் பரிமாறவும் அல்லது வறுக்கவும்.</t>
  </si>
  <si>
    <t>https://i.ytimg.com/vi/WMNRhQgg38k/maxresdefault.jpg</t>
  </si>
  <si>
    <t>Curry Leaves Kuzhambu</t>
  </si>
  <si>
    <t>கறிவேப்பிலை குழம்பு</t>
  </si>
  <si>
    <t>Curry leaves – 1 cup tightly packed,
Pearl onions – 10-12,
Ripe tomatoes – 2,
Tamarind – small marble sized ball,
Salt needed,
Chilli Powder – 1 tsp,
Turmeric Powder – 1/4 tsp,
Coriander Powder – 2 tsp,
Sesame seed oil – 2 1/2 tbsp,
Mustard seeds – 1 tsp.</t>
  </si>
  <si>
    <t>கறிவேப்பிலை - 1 கப் இறுக்கமாக அடைக்கப்பட்டது,
முத்து வெங்காயம் - 10-12,
பழுத்த தக்காளி - 2,
புளி - சிறிய பளிங்கு அளவு உருண்டை,
உப்பு தேவை,
மிளகாய் தூள் - 1 தேக்கரண்டி,
மஞ்சள் தூள் - 1/4 தேக்கரண்டி,
கொத்தமல்லி தூள் - 2 தேக்கரண்டி,
எள்ளு எண்ணெய் - 2 1/2 தேக்கரண்டி,
கடுகு - 1 தேக்கரண்டி.</t>
  </si>
  <si>
    <t>Heat oil, add mustard seeds, when it splutters, add onions and saute until it turns transparent.
Add curry leaves paste and saute until the rawness of the paste goes.
Add tomato paste, chilli powder, turmeric powder, coriander powder and salt needed.
Cook on medium heat until the raw flavor of the tomato goes.
Add tamarind water and cook until the kulambu thickens and oozes out oil.
Easy Curry leaves kuzhambu is ready to be served with rice or dosa.</t>
  </si>
  <si>
    <t>https://www.yummytummyaarthi.com/wp-content/uploads/2011/07/karuveppilai-kuzhambu-3.jpeg</t>
  </si>
  <si>
    <t>Tirunelveli Sodhi Kuzhambu</t>
  </si>
  <si>
    <t>திருநெல்வேலி சோதி குழம்பு</t>
  </si>
  <si>
    <t xml:space="preserve">Cabbage,
   Carrot,
   Yellow Pumpkin,
   Broad beans,
   Potato,
   Peas - 1/2 cup,
   Turmeric powder - 1/4 tsp,
   Salt as needed,
   Garlic – 4 cloves,
   Onion - 1 medium size,
   Thin coconut milk - 1 cup,
   Thick coconut milk – 1 cup,
   Grated Coconut - 1/3 cup,
   Pottukadalai - 1 tbsp,
   Green chilli - 3,
   Cumin seeds - 1 tsp,
   Oil - 1 tsp,
   Mustard seeds – 1 tsp,
   Curry leaves – a sprig.
</t>
  </si>
  <si>
    <t>முட்டைக்கோஸ்,
கேரட்,
மஞ்சள் பூசணி,
அகன்ற பீன்ஸ்,
உருளைக்கிழங்கு,
பட்டாணி - 1/2 கப்,
மஞ்சள் தூள் - 1/4 தேக்கரண்டி,
தேவைக்கேற்ப உப்பு,
பூண்டு - 4 பல்,
வெங்காயம் - 1 நடுத்தர அளவு,
மெல்லிய தேங்காய் பால் - 1 கப்,
அடர்த்தியான தேங்காய் பால் - 1 கப்,
துருவிய தேங்காய் - 1/3 கப்,
பொட்டுக்கடலை - 1 தேக்கரண்டி,
பச்சை மிளகாய் - 3,
சீரகம் - 1 தேக்கரண்டி,
எண்ணெய் - 1 தேக்கரண்டி,
கடுகு - 1 தேக்கரண்டி,
கறிவேப்பிலை - ஒரு தளிர்.</t>
  </si>
  <si>
    <t>Take a pan/pressure cooker, add all the vegetables including peas.
Add salt, turmeric powder, onion, garlic and thin coconut milk. Cook until the vegetables become tender.
Add ground coconut paste and cook for a few more minutes.
Then add thick coconut milk, heat it and remove from flame. Do not boil or cook for a long time once you add thick coconut milk as the mixture might curdle.
Heat oil, add mustard seeds, when it splutters, add curry leaves and pour it over the sodhi.
Sodhi can be served as a side dish for rice, appam and idiyappam.</t>
  </si>
  <si>
    <t>ஒரு பாத்திரம்/பிரஷர் குக்கரை எடுத்து, பட்டாணி உட்பட அனைத்து காய்கறிகளையும் சேர்க்கவும்.
உப்பு, மஞ்சள் தூள், வெங்காயம், பூண்டு மற்றும் மெல்லிய தேங்காய் பால் சேர்க்கவும். காய்கறிகள் மென்மையாகும் வரை சமைக்கவும்.
அரைத்த தேங்காய் விழுதைச் சேர்த்து இன்னும் சில நிமிடங்கள் சமைக்கவும்.
பின்னர் கெட்டியான தேங்காய்ப் பாலை சேர்த்து, சூடாக்கி, தீயிலிருந்து இறக்கவும். கெட்டியான தேங்காய்ப் பாலை சேர்த்தவுடன் நீண்ட நேரம் கொதிக்கவோ அல்லது சமைக்கவோ வேண்டாம், ஏனெனில் கலவை கெட்டியாகிவிடும்.
எண்ணெயைச் சூடாக்கி, கடுகு சேர்த்து, அது வெடித்ததும், கறிவேப்பிலையைச் சேர்த்து, சோதியின் மேல் ஊற்றவும்.
சோதியை சாதம், ஆப்பம், இடியாப்பம் ஆகியவற்றிற்கு துணை உணவாகப் பரிமாறலாம்.</t>
  </si>
  <si>
    <t>https://encrypted-tbn0.gstatic.com/images?q=tbn:ANd9GcQb2aaIL9WCFsIjqVdxTaIv2uRV99aJauKZAw&amp;s</t>
  </si>
  <si>
    <t>Ulli Theeyal</t>
  </si>
  <si>
    <t>உள்ளி தீயல்</t>
  </si>
  <si>
    <t xml:space="preserve">  Oil - 3 tbsp,
   Mustard seeds - 1 tsp,
   Cumin seeds - 1/2 tsp,
   Fenugreek seeds - 1/4 tsp,
   Red Chillies - 2,
   Pearl onions - 3/4 cup,
   Garlic cloves - 5,
   Curry leaves – few,
   Tamarind - small gooseberry sized ball,
   Turmeric powder - 1/4 tsp,
   Coriander powder - 2 tsp,
   Cumin powder - 1 tsp,
   Red chilli powder - 1 1/2 tsp,
   Salt needed,
   Oil - 2 tsp,
   Fenugreek seeds - 1/4 tsp,
   Cumin seeds - 1 tsp,
   Whole black pepper  - 1 tsp,
   Coriander seeds - 2 tsp,
   Grated coconut - 1/3 cup,
   Finely chopped coriander leaves.</t>
  </si>
  <si>
    <t>எண்ணெய் - 3 டேபிள் ஸ்பூன்,
கடுகு - 1 டேபிள் ஸ்பூன்,
சீரகம் - 1/2 டேபிள் ஸ்பூன்,
வெந்தயம் - 1/4 டேபிள் ஸ்பூன்,
சிவப்பு மிளகாய் - 2,
முத்து வெங்காயம் - 3/4 கப்,
பூண்டு பல் - 5,
கறிவேப்பிலை - சிறிது,
புளி - சிறிய நெல்லிக்காய் அளவு பந்து,
மஞ்சள் தூள் - 1/4 டேபிள் ஸ்பூன்,
கொத்தமல்லி தூள் - 2 டேபிள் ஸ்பூன்,
சீரக தூள் - 1 டேபிள் ஸ்பூன்,
சிவப்பு மிளகாய் தூள் - 1 1/2 டேபிள் ஸ்பூன்,
தேவையான உப்பு,
எண்ணெய் - 2 டேபிள் ஸ்பூன்,
வெந்தயம் - 1/4 டேபிள் ஸ்பூன்,
சீரகம் - 1 டேபிள் ஸ்பூன்,
முழு கருப்பு மிளகு - 1 டேபிள் ஸ்பூன்,
கொத்தமல்லி விதைகள் - 2 டேபிள் ஸ்பூன்,
தேங்காய் துருவல் - 1/3 டேபிள் ஸ்பூன்,
பொடியாக நறுக்கிய கொத்தமல்லி இலைகள்.</t>
  </si>
  <si>
    <t>Heat coconut oil, add mustard seeds, jeera seeds, when it sizzles, add fenugreek seeds, red chillies, curry leaves, pearl onions and garlic.
Saute nicely on medium flame until it turns transparent.
Add chilli powder, coriander powder, turmeric powder, cumin powder and salt needed. Saute for a few minutes.
sauteing pearl onions
Add the ground paste and saute for a further 2-3 minutes.
Add tamarind water and boil until it thickens and oil separates.
Serve with plain hot steamed rice or coconut rice.</t>
  </si>
  <si>
    <t>தேங்காய் எண்ணெயை சூடாக்கி, கடுகு, சீரகம் சேர்த்து, அது கொதிக்கும்போது, ​​வெந்தயம், சிவப்பு மிளகாய், கறிவேப்பிலை, வெங்காயம் மற்றும் பூண்டு சேர்க்கவும்.
மிதமான தீயில் அது தெளிவாகும் வரை நன்றாக வதக்கவும்.
மிளகாய் தூள், கொத்தமல்லி தூள், மஞ்சள் தூள், சீரகத்தூள் மற்றும் தேவையான உப்பு சேர்க்கவும். சில நிமிடங்கள் வதக்கவும்.
முத்து வெங்காயம் வதக்கவும்
அரைத்த விழுதைச் சேர்த்து மேலும் 2-3 நிமிடங்கள் வதக்கவும்.
புளி தண்ணீர் சேர்த்து, கெட்டியாகும் வரை மற்றும் எண்ணெய் பிரியும் வரை கொதிக்க வைக்கவும்.
வெற்று சூடான வேகவைத்த அரிசி அல்லது தேங்காய் சாதத்துடன் பரிமாறவும்.</t>
  </si>
  <si>
    <t>https://www.kannammacooks.com/wp-content/uploads/2016/01/ulli-theeyal-recipe.jpg</t>
  </si>
  <si>
    <t>Manathakkali Vatha Kuzhambu</t>
  </si>
  <si>
    <t>மணத்தக்காளி வத்த குழம்பு</t>
  </si>
  <si>
    <t>Manathakkali vathal - 2 1/2 tbsp,
   Tamarind – small lemon sized ball,
   Homemade Sambar powder  – 5 tsp,
   Salt as needed,
   Oil - 3 tbs,
   Mustard seeds - 1 tsp,
   Fenugreek seeds - 1/4 tsp,
   Tur dal – 2 tsp,
   Red Chilli - 1,
   asafoetida – a generous pinch,
   Curry leaves - few.</t>
  </si>
  <si>
    <t>மணற்கல்லி வத்த குழம்பு - 2 1/2 டீஸ்பூன்,
புளி - எலுமிச்சை அளவு சிறிய உருண்டை,
வீட்டில் தயாரிக்கப்பட்ட சாம்பார் பொடி - 5 டீஸ்பூன்,
தேவைக்கேற்ப உப்பு,
எண்ணெய் - 3 டீஸ்பூன்,
கடுகு - 1 டீஸ்பூன்,
வெந்தயம் - 1/4 டீஸ்பூன்,
துவரம் பருப்பு - 2 டீஸ்பூன்,
சிவப்பு மிளகாய் - 1,
பெருங்காயம் - ஒரு சிட்டிகை,
கறிவேப்பிலை - சிறிதளவு.</t>
  </si>
  <si>
    <t>Heat oil, add mustard seeds, when it splutters, add fenugreek seeds and tur dal, when dal starts changing color, add hing, red chillies and saute for a few seconds.
Then add manathakkali vathal and fry for a few seconds.
Then add salt, sambar powder and curry leaves. Saute for a few seconds and then add tamarind extract (You will get around 2 cups of tamarind extract).
Mix well and cook on medium flame until it thickens and leaves oil. It will take around 20-30 minutes to thicken.
As it cools it will thicken further, so do not allow it to become too thick.
Serve with rice, any vegetable stir fry or vegetable curry and sutta appalam.</t>
  </si>
  <si>
    <t>எண்ணெயை சூடாக்கி, கடுகு சேர்த்து, அது வதங்கியதும், வெந்தயம் மற்றும் துவரம் பருப்பை சேர்த்து, பருப்பு நிறம் மாறத் தொடங்கியதும், கீரை, சிவப்பு மிளகாய் சேர்த்து சில நொடிகள் வதக்கவும்.
பின்னர் மணற்கல்லி வத்தலைச் சேர்த்து சில நொடிகள் வதக்கவும்.
பின்னர் உப்பு, சாம்பார் பொடி மற்றும் கறிவேப்பிலை சேர்க்கவும். சில நொடிகள் வதக்கி, பின்னர் புளி சாறு சேர்க்கவும் (சுமார் 2 கப் புளி சாறு கிடைக்கும்).
நன்றாகக் கலந்து, கெட்டியாகி எண்ணெய் பிரியும் வரை மிதமான தீயில் சமைக்கவும். கெட்டியாக 20-30 நிமிடங்கள் ஆகும்.
குளிர்ந்தவுடன் மேலும் கெட்டியாகிவிடும், எனவே அது மிகவும் கெட்டியாக மாற அனுமதிக்காதீர்கள்.
சாதம், எந்த காய்கறி வறுவல் அல்லது காய்கறி கறி மற்றும் சுத்த அப்பளத்துடன் பரிமாறவும்.</t>
  </si>
  <si>
    <t>https://b2958125.smushcdn.com/2958125/wp-content/uploads/manathakkali-vatha-kuzhambu-3.jpg?lossy=1&amp;strip=1&amp;webp=1</t>
  </si>
  <si>
    <t>Paruppu Urundai Mor Kuzhambu</t>
  </si>
  <si>
    <t>பருப்பு உருண்டை மோர் குழம்பு</t>
  </si>
  <si>
    <t xml:space="preserve">   Tur dal - 1/2 cup,
   Red Chillies - 2-3,
   Hing – a pinch,
   Grated coconut - 2 tbsp,
   Coriander leaves - 2-3 tbsp chopped,
   Oil – 2-3 tsp,
   Thick buttermilk -  2 1/4 cup,
   Turmeric powder,
   Grated coconut - 1/2 cup flat,
   Green chilli – 3,
   Cumin seeds – 1 tsp,
   Rice flour – 1 tsp,
   Oil – 2 tsp,
   Mustard seeds – 2 tsp,
   Red chillies – 2,
   Curry leaves – few,
   Coriander leaves.</t>
  </si>
  <si>
    <t>துவரம் பருப்பு - 1/2 கப்,
சிவப்பு மிளகாய் - 2-3,
பெருங்காயம் - ஒரு சிட்டிகை,
துருவிய தேங்காய் - 2 டேபிள்ஸ்பூன்,
கொத்தமல்லி இலை - 2-3 டேபிள்ஸ்பூன் நறுக்கியது,
எண்ணெய் - 2-3 டேபிள்ஸ்பூன்,
கெட்டியான மோர் - 2 1/4 கப்,
மஞ்சள் தூள்,
துருவிய தேங்காய் - 1/2 கப் தட்டையானது,
பச்சை மிளகாய் - 3,
சீரகம் - 1 டேபிள்ஸ்பூன்,
அரிசி மாவு - 1 டேபிள்ஸ்பூன்,
எண்ணெய் - 2 டேபிள்ஸ்பூன்,
கடுகு - 2 டேபிள்ஸ்பூன்,
சிவப்பு மிளகாய் - 2,
கறிவேப்பிலை - சிறிதளவு,
கொத்தமல்லி இலைகள்.</t>
  </si>
  <si>
    <t xml:space="preserve">Soak tur dal for 2 hours. Drain the water completely and grind it along with red chillies, hing and salt without adding water.
Now heat oil, add mustard seeds, when it splutters, add curry leaves and the ground tur dal paste. Saute for 3-4 minutes on low flame.
Add grated coconut, coriander leaves and remove from heat. Once it cools, mix well and make medium sized balls out of it. Do not give too much pressure when making balls as the balls will not absorb the kuzhambu if you do so. You will get around 11-12 balls for 1/2 cup of tur dal.
Steam the balls in idly pan or steamer for 10 minutes. Our paruppu urundai is ready.
Take 2 1/4 cup of buttermilk (buttermilk should not be too thick nor too thin), add turmeric powder, salt needed and the ground coconut + green chilli + cumin seed + rice flour paste.
Mix well and switch on the heat. Boil on medium flame, when it starts boiling, add the paruppu urundai or dal balls one at a time. Cook for 2-3 minutes and remove from heat.
Heat a tsp of oil, add mustard seeds, when it splutters, add red chillies (break it into 2 and remove seeds) and curry leaves. Pour the seasoning over the kulambu.
Garnish with coriander leaves and serve with hot steamed rice. We had it with rice and tindora subzi.
</t>
  </si>
  <si>
    <t>துவரம்பருப்பை 2 மணி நேரம் ஊற வைக்கவும். தண்ணீரை முழுவதுமாக வடிகட்டி, சிவப்பு மிளகாய், பெருங்காயம் மற்றும் உப்பு சேர்த்து தண்ணீர் சேர்க்காமல் அரைக்கவும்.
இப்போது எண்ணெயை சூடாக்கி, கடுகு சேர்த்து, அது வதங்கியதும், கறிவேப்பிலை மற்றும் அரைத்த துவரம்பருப்பு விழுதைச் சேர்க்கவும். குறைந்த தீயில் 3-4 நிமிடங்கள் வதக்கவும்.
தேங்காய் துருவல், கொத்தமல்லி இலைகளைச் சேர்த்து அடுப்பிலிருந்து இறக்கவும். அது ஆறியதும், நன்கு கலந்து நடுத்தர அளவிலான உருண்டைகளை உருவாக்கவும். உருண்டைகளை உருவாக்கும் போது அதிக அழுத்தம் கொடுக்க வேண்டாம், ஏனெனில் அவ்வாறு செய்தால் உருண்டைகள் குழம்புவை உறிஞ்சாது. 1/2 கப் துவரம்பருப்புக்கு சுமார் 11-12 உருண்டைகள் கிடைக்கும்.
இட்லி பாத்திரத்தில் அல்லது ஸ்டீமரில் உருண்டைகளை 10 நிமிடங்கள் வேகவைக்கவும். எங்கள் பருப்பு உருண்டை தயாராக உள்ளது.
2 1/4 கப் மோர் (மோர் மிகவும் கெட்டியாகவோ அல்லது மெல்லியதாகவோ இருக்கக்கூடாது), மஞ்சள் தூள், தேவையான உப்பு மற்றும் அரைத்த தேங்காய் + பச்சை மிளகாய் + சீரகம் + அரிசி மாவு விழுது சேர்க்கவும்.
நன்றாகக் கலந்து தீயை அணைக்கவும். மிதமான தீயில் கொதிக்க விடவும், கொதிக்க ஆரம்பித்ததும், பருப்பு உருண்டை அல்லது பருப்பு உருண்டைகளை ஒவ்வொன்றாகச் சேர்க்கவும். 2-3 நிமிடங்கள் சமைக்கவும், வெப்பத்திலிருந்து அகற்றவும்.
ஒரு தேக்கரண்டி எண்ணெயைச் சூடாக்கி, கடுகு சேர்த்து, அது வதங்கியதும், மிளகாய் (2 ஆக உடைத்து, விதைகளை நீக்கி) மற்றும் கறிவேப்பிலை சேர்க்கவும். குழம்பு மீது தாளிக்க வேண்டியவற்றை ஊற்றவும்.
கொத்தமல்லி இலைகளால் அலங்கரித்து, சூடான வேகவைத்த சாதத்துடன் பரிமாறவும். நாங்கள் அதை சாதம் மற்றும் டிண்டோரா சப்ஜியுடன் சாப்பிட்டோம்.</t>
  </si>
  <si>
    <t>https://i.pinimg.com/736x/22/03/f9/2203f94f5198458b020eba266e3ab86a.jpg</t>
  </si>
  <si>
    <t>Sakkarai Valli Kizhangu Kuzhambu</t>
  </si>
  <si>
    <t>சக்கரை வள்ளி கிழங்கு குழம்பு</t>
  </si>
  <si>
    <t xml:space="preserve">   Sweet potato – 1 cup chopped,
   Tamarind – Lemon sized ball,
   Sambar powder – 2-2 1/2 tbsp,
   Turmeric powder – a pinch,
   Shallots/pearl onions – 8-10,
   Salt needed,
   Oil - 1/4 cup,
   Mustard seeds – 1 tsp,
   Fenugreek seeds - 1/2 tsp,
   Hing – a generous pinch,
   Curry leaves- few.</t>
  </si>
  <si>
    <t>சர்க்கரைவள்ளிக் கிழங்கு - 1 கப் நறுக்கியது,
புளி - எலுமிச்சை அளவு உருண்டை,
சாம்பார் பொடி - 2-2 1/2 டீஸ்பூன்,
மஞ்சள் தூள் - ஒரு சிட்டிகை,
வெங்காயத்தாள் / முத்து வெங்காயம் - 8-10,
உப்பு தேவை,
எண்ணெய் - 1/4 கப்,
கடுகு - 1 டீஸ்பூன்,
வெந்தயம் - 1/2 டீஸ்பூன்,
பெருங்காயம் - ஒரு சிட்டிகை,
கறிவேப்பிலை - சிறிதளவு.</t>
  </si>
  <si>
    <t>Heat oil in a kadai or heavy bottomed vessel, add mustard seeds, when it splutters, add fenugreek, hing, curry leaves and onions.
Saute until onions turn pink.
Then add sweet potatoes, sambar powder, turmeric powder, salt needed and saute for 2-3 minutes.
Add 2 cups of tamarind extract and cook covered on medium flame.
Switch off when the kuzhambu reduces to half and oil separates.
Serve with rice or any vegetable curry.</t>
  </si>
  <si>
    <t>ஒரு கடாயில் அல்லது அடி கனமான பாத்திரத்தில் எண்ணெயை சூடாக்கி, கடுகு சேர்த்து, அது வதங்கியதும், வெந்தயம், கீரை, கறிவேப்பிலை மற்றும் வெங்காயத்தைச் சேர்க்கவும்.
வெங்காயம் இளஞ்சிவப்பு நிறமாக மாறும் வரை வதக்கவும்.
பின்னர் சர்க்கரைவள்ளிக் கிழங்கு, சாம்பார் பொடி, மஞ்சள் தூள், தேவையான உப்பு சேர்த்து 2-3 நிமிடங்கள் வதக்கவும்.
2 கப் புளி சாறு சேர்த்து மிதமான தீயில் மூடி வைக்கவும்.
குழம்பு பாதியாகக் குறைந்து எண்ணெய் பிரிந்து வந்ததும் அணைக்கவும்.
சாதம் அல்லது வேறு எந்த காய்கறி கறியுடன் பரிமாறவும்.</t>
  </si>
  <si>
    <t>https://encrypted-tbn0.gstatic.com/images?q=tbn:ANd9GcR7glbiOZYI3pEiO-jlbwvg1QRibxiPBiR7og&amp;s</t>
  </si>
  <si>
    <t>Soya Chunks Kuzhambu</t>
  </si>
  <si>
    <t>சோயா துண்டுகள் குழம்பு</t>
  </si>
  <si>
    <t xml:space="preserve">   Soya chunks - 10-12,
   Turmeric powder – a pinch,
   Diluted tamarind water – 1/2 cup,
   Salt needed,
   Coriander seeds - 2 1/2 tsp,
   cumin seeds – 1 tsp,
   Red chillies - 4-5,
   Fennel seeds - 1/2 tsp,
   Cloves - 1-2,
   Cinnamon stick – 1 inch piece,
   Onion - 1/4 cup chopped,
   Tomato - 1 cup chopped,
   Grated coconut – 1/4 cup,
   Oil – 2 tsp for frying the masala,
   Oil – 2 1/2 tbsp,
   Mustard seeds – 1 tsp,
   pearl onions – 6-7 ,
   Curry leaves – a sprig,
   Coriander leaves – 1 tbsp.</t>
  </si>
  <si>
    <t>சோயா துண்டுகள் - 10-12,
மஞ்சள் தூள் - ஒரு சிட்டிகை,
நீர்த்த புளி தண்ணீர் - 1/2 கப்,
உப்பு தேவை,
கொத்தமல்லி விதைகள் - 2 1/2 தேக்கரண்டி,
சீரகம் - 1 தேக்கரண்டி,
சிவப்பு மிளகாய் - 4-5,
வெந்தயம் - 1/2 தேக்கரண்டி,
கிராம்பு - 1-2,
இலவங்கப்பட்டை - 1 அங்குல துண்டு,
வெங்காயம் - 1/4 கப் நறுக்கியது,
தக்காளி - 1 கப் நறுக்கியது,
தேங்காய் துருவியது - 1/4 கப்,
எண்ணெய் - மசாலா வறுக்க 2 தேக்கரண்டி,
எண்ணெய் - 2 1/2 தேக்கரண்டி,
கடுகு - 1 தேக்கரண்டி,
முத்து வெங்காயம் - 6-7,
கறிவேப்பிலை - ஒரு தளிர்,
கொத்தமல்லி இலை - 1 தேக்கரண்டி.</t>
  </si>
  <si>
    <t>Heat oil in a kadai/pan, add mustard seeds, when it splutters, add pearl onions, curry leaves and saute until onions turn translucent.
Add the soya chunks and saute for 2-3 seconds.
Add the ground masala paste and saute for 2-3 minutes. Add diluted tamarind water, 1 cup of water, salt needed and cook on medium flame until the kulambu thickens. You can adjust the consistency of the kulambu as per your preference.
Garnish with coriander leaves and serve with rice or as a side dish for idli, dosa.</t>
  </si>
  <si>
    <t>ஒரு கடாயில் எண்ணெயை சூடாக்கி, கடுகு சேர்த்து, அது வதங்கியதும், முத்து வெங்காயம், கறிவேப்பிலை சேர்த்து வெங்காயம் தெளிவாகும் வரை வதக்கவும்.
சோயா துண்டுகளைச் சேர்த்து 2-3 வினாடிகள் வதக்கவும்.
அரைத்த மசாலா விழுதைச் சேர்த்து 2-3 நிமிடங்கள் வதக்கவும். நீர்த்த புளி தண்ணீர், 1 கப் தண்ணீர், தேவையான அளவு உப்பு சேர்த்து, குழம்பு கெட்டியாகும் வரை மிதமான தீயில் சமைக்கவும். உங்கள் விருப்பப்படி குழம்புவின் நிலைத்தன்மையை சரிசெய்யலாம்.
கொத்தமல்லி இலைகளால் அலங்கரித்து சாதத்துடன் அல்லது இட்லி, தோசைக்கு ஒரு துணை உணவாகப் பரிமாறவும்.</t>
  </si>
  <si>
    <t>https://encrypted-tbn0.gstatic.com/images?q=tbn:ANd9GcQRDjuO0hzVHpqaP7rKJWrdZIMOv9SZ0HBLvA&amp;s</t>
  </si>
  <si>
    <t>Thatta Payir Kuzhambu</t>
  </si>
  <si>
    <t>தட்ட பயிற் குழம்பு</t>
  </si>
  <si>
    <t xml:space="preserve">  Karamani – 1/3 cup,
   shallots – 10,
   Garlic cloves – 3,
   Tomato – 1,
   Green chilli – 1,
   Turmeric powder – 1/4 tsp,
   Sambar powder – 2 tsp,
   Tamarind – small gooseberry sized ball,
   Salt needed,
   Grated coconut – 1/4 cup,
   Cumin seeds – 3/4 tsp,
   Oil – 1 tbsp,
   Mustard seeds – 1 tsp,
   Cumin seeds – 1/2 tsp,
   Asafoetida – a pinch,
   Curry leaves – a sprig.</t>
  </si>
  <si>
    <t>காராமணி - 1/3 கப்,
வெங்காயத்தாள் - 10,
பூண்டு பற்கள் - 3,
தக்காளி - 1,
பச்சை மிளகாய் - 1,
மஞ்சள் தூள் - 1/4 தேக்கரண்டி,
சாம்பார் பொடி - 2 தேக்கரண்டி,
புளி - சிறிய நெல்லிக்காய் அளவு உருண்டை,
உப்பு தேவை,
தேங்காய் துருவல் - 1/4 கப்,
சீரகம் - 3/4 தேக்கரண்டி,
எண்ணெய் - 1 தேக்கரண்டி,
கடுகு - 1 தேக்கரண்டி,
சீரகம் - 1/2 தேக்கரண்டி,
பெருங்காயம் - ஒரு சிட்டிகை,
கறிவேப்பிலை - ஒரு தளிர்.</t>
  </si>
  <si>
    <t>Heat oil in a pan, add mustard seeds, cumin seeds and hing, when mustard seeds splutter, add onion, garlic, green chilli and curry leaves. Saute until onions turn pink. (If the pearl onions are big, cut it into 2 pieces).
Once the onions turn pink, add chopped tomatoes, turmeric powder, sambar powder and salt needed.
Cook for a few minutes until the tomatoes become mushy. (if it becomes dry, add a tbsp of water and cook)
Then add the black eyed bean, tamarind extract, 1/4 cup of water and cook until the raw flavor of the tamarind goes.
Then add the ground coconut paste and simmer for another 4-5 minutes.
Garnish with coriander leaves and serve with rice or even as a side dish for idli, dosa.</t>
  </si>
  <si>
    <t>ஒரு கடாயில் எண்ணெயை சூடாக்கி, கடுகு, சீரகம் மற்றும் கீரை சேர்த்து, கடுகு வதங்கியதும், வெங்காயம், பூண்டு, பச்சை மிளகாய் மற்றும் கறிவேப்பிலை சேர்த்து வதக்கவும். வெங்காயம் இளஞ்சிவப்பு நிறமாக மாறும் வரை வதக்கவும். (முத்து வெங்காயம் பெரியதாக இருந்தால், அதை 2 துண்டுகளாக நறுக்கவும்).
வெங்காயம் இளஞ்சிவப்பு நிறமாக மாறியதும், நறுக்கிய தக்காளி, மஞ்சள் தூள், சாம்பார் பொடி மற்றும் தேவையான உப்பு சேர்க்கவும்.
தக்காளி மென்மையாகும் வரை சில நிமிடங்கள் சமைக்கவும். (அது காய்ந்தால், ஒரு டீஸ்பூன் தண்ணீர் சேர்த்து சமைக்கவும்)
பின்னர் கருப்பு பீன்ஸ், புளி சாறு, 1/4 கப் தண்ணீர் சேர்த்து புளியின் பச்சை வாசனை போகும் வரை சமைக்கவும்.
பின்னர் அரைத்த தேங்காய் விழுதைச் சேர்த்து மேலும் 4-5 நிமிடங்கள் கொதிக்க வைக்கவும்.
கொத்தமல்லி இலைகளால் அலங்கரித்து சாதத்துடன் பரிமாறவும் அல்லது இட்லி, தோசைக்கு ஒரு துணை உணவாகவும் பரிமாறவும்.</t>
  </si>
  <si>
    <t>https://encrypted-tbn0.gstatic.com/images?q=tbn:ANd9GcSiegid8pk9EgaeCYX-GoSGGgu5_tXcFacZrQ&amp;s</t>
  </si>
  <si>
    <t>Curd – 3 cups whisked,
Besan – 1 tbsp ,
Turmeric powder – 1/4 tsp,
Sambar powder – 1 tsp,
Ginger – 1 inch piece ,
Green chilli – 1 finely chopped,
Curry leaves – a sprig,
Salt needed,
Oil – 2 tsp,
Mustard seeds - 1 tsp,
Hing – a pinch,
Fenugreek seeds - 1/4 tsp,
Carom seeds – 2 pinches,
Finely chopped Coriander leaves.</t>
  </si>
  <si>
    <t>தயிர் - 3 கப் அடித்து,
பெசன் - 1 டேபிள்ஸ்பூன்,
மஞ்சள் தூள் - 1/4 டீஸ்பூன்,
சாம்பார் பொடி - 1 டீஸ்பூன்,
இஞ்சி - 1 அங்குல துண்டு,
பச்சை மிளகாய் - 1 பொடியாக நறுக்கியது,
கறிவேப்பிலை - ஒரு துளிர்,
உப்பு தேவை,
எண்ணெய் - 2 டீஸ்பூன்,
கடுகு - 1 டீஸ்பூன்,
ஹிங் - ஒரு சிட்டிகை,
வெந்தயம் - 1/4 டீஸ்பூன்,
கேரம் விதைகள் - 2 சிட்டிகை,
நறுக்கியதாக நறுக்கிய கொத்தமல்லி இலைகள்.</t>
  </si>
  <si>
    <t>Heat oil, add mustard seeds, when it splutters, add hing, fenugreek seeds, carom seeds, ginger, green chillies and curry leaves. Saute for 2-3 seconds.
Now keep the flame on low, then add buttermilk and salt needed. Let it boil for 7-8 minutes.
Switch off and garnish with coriander leaves. Serve with rice.</t>
  </si>
  <si>
    <t>எண்ணெயை சூடாக்கி, கடுகு சேர்த்து, அது வதங்கியதும், கீரை, வெந்தயம், கேரம் விதைகள், இஞ்சி, பச்சை மிளகாய் மற்றும் கறிவேப்பிலை சேர்க்கவும். 2-3 வினாடிகள் வதக்கவும்.
இப்போது தீயை குறைவாக வைத்து, பின்னர் மோர் மற்றும் தேவையான அளவு உப்பு சேர்க்கவும். 7-8 நிமிடங்கள் கொதிக்க விடவும்.
அணைத்துவிட்டு கொத்தமல்லி இலைகளால் அலங்கரிக்கவும். சாதத்துடன் பரிமாறவும்.</t>
  </si>
  <si>
    <t>https://i0.wp.com/www.chitrasfoodbook.com/wp-content/uploads/2017/02/instant-mor-kuzhambu-recipe.jpg?w=1200&amp;ssl=1</t>
  </si>
  <si>
    <t>Poondu Kulambu</t>
  </si>
  <si>
    <t>பூண்டு குழம்பு</t>
  </si>
  <si>
    <t xml:space="preserve">  Pearl onion – 1/2 cup,
   Garlic – 3/4 cup,
   Tamarind – golf ball size,
   Sambar powder – 3 tbsp,
   Salt as required,
   Sesame seed oil – 4 tbsp,
   Mustard seeds – 1 tsp,
   Fenugreek seeds  - 3/4 tsp,
   Hing - 1/4 tsp,
   Curry leaves – a sprig.</t>
  </si>
  <si>
    <t>முத்து வெங்காயம் - 1/2 கப்,
பூண்டு - 3/4 கப்,
புளி - கோல்ஃப் பந்து அளவு,
சாம்பார் பொடி - 3 டேபிள் ஸ்பூன்,
தேவைக்கேற்ப உப்பு,
எள் விதை எண்ணெய் - 4 டேபிள் ஸ்பூன்,
கடுகு - 1 டேபிள் ஸ்பூன்,
வெந்தயம் - 3/4 டேபிள் ஸ்பூன்,
இங் - 1/4 டேபிள் ஸ்பூன்,
கறிவேப்பிலை - ஒரு தளிர்.</t>
  </si>
  <si>
    <t>Heat sesame seed oil, add mustard seeds, when it splutters, add fenugreek seeds, hing and curry leaves.
Then add garlic and pearl onions and saute nicely for a few minutes.
Add sambar powder, salt and tamarind water and bring it to boil.
Keep it on medium flame and cook till it thickens and oil separates.</t>
  </si>
  <si>
    <t>எள் எண்ணெயை சூடாக்கி, கடுகு சேர்த்து, அது வதங்கியதும், வெந்தயம்,இங் மற்றும் கறிவேப்பிலை சேர்க்கவும்.
பின்னர் பூண்டு மற்றும் முத்து வெங்காயத்தை சேர்த்து சில நிமிடங்கள் நன்றாக வதக்கவும்.
சாம்பார் பொடி, உப்பு மற்றும் புளி தண்ணீர் சேர்த்து கொதிக்க விடவும்.
அதை மிதமான தீயில் வைத்து, கெட்டியாகி எண்ணெய் பிரியும் வரை சமைக்கவும்.</t>
  </si>
  <si>
    <t>https://i.ytimg.com/vi/E4XReeoWI7k/maxresdefault.jpg</t>
  </si>
  <si>
    <t>https://youtu.be/R16qzc77XZQ</t>
  </si>
  <si>
    <t>Poricha Kuzhambu</t>
  </si>
  <si>
    <t>பொரிச்சா குழம்பு</t>
  </si>
  <si>
    <t xml:space="preserve">  Tur dal - 1/3 cup,
   Turmeric powder – a pinch,
   Mixed Vegetables – 2 cups heaped,
   Oil – 1 tsp,
   Urad dal – 1 1/2 tsp,
   Whole Black pepper – 1/2 tsp,
   Cumin seeds – 1/2 tsp,
   Red chilli – 3-4,
   Grated coconut – 1/4 cup,
   Oil – 2 tsp,
   Mustard seeds – 1 tsp,
   Hing – a pinch,
   Curry leaves – a sprig.</t>
  </si>
  <si>
    <t>துவரம் பருப்பு - 1/3 கப்,
மஞ்சள் தூள் - ஒரு சிட்டிகை,
கலப்பு காய்கறிகள் - 2 கப் குவித்து,
எண்ணெய் - 1 தேக்கரண்டி,
உளுத்தம் பருப்பு - 1 1/2 தேக்கரண்டி,
முழு கருப்பு மிளகு - 1/2 தேக்கரண்டி,
சீரகம் - 1/2 தேக்கரண்டி,
சிவப்பு மிளகாய் - 3-4,
துருவிய தேங்காய் - 1/4 கப்,
எண்ணெய் - 2 தேக்கரண்டி,
கடுகு - 1 தேக்கரண்டி,
ஹிங் - ஒரு சிட்டிகை,
கறிவேப்பிலை - ஒரு தளிர்.</t>
  </si>
  <si>
    <t>Heat oil, add mustard seeds, when it splutters, add hing, curry leaves, cooked vegetables, cooked dal, 1/2 cup of water, needed salt and the ground paste. Boil and then simmer for 3-4 minutes.
Garnish with finely chopped coriander leaves and serve hot with rice.
Sounds very simple, isn’t it? a very tasty dish, do try it and give me your feedback.
My kids and many of our friends love all my kuzhambu recipes, you might also love my kuzhambu recipes. Do refer it and enjoy preparing them for your family.</t>
  </si>
  <si>
    <t>எண்ணெயை சூடாக்கி, கடுகு சேர்த்து, அது வெடித்ததும், ஹிங், கறிவேப்பிலை, சமைத்த காய்கறிகள், சமைத்த பருப்பு, 1/2 கப் தண்ணீர், தேவையான உப்பு மற்றும் அரைத்த விழுது சேர்க்கவும். கொதிக்க வைத்து 3-4 நிமிடங்கள் கொதிக்க வைக்கவும்.
பொடியாக நறுக்கிய கொத்தமல்லி இலைகளால் அலங்கரித்து, சாதத்துடன் சூடாக பரிமாறவும்.
மிகவும் எளிமையானது, இல்லையா? மிகவும் சுவையான உணவு, இதை முயற்சி செய்து உங்கள் கருத்தை தெரிவிக்கவும்.
என் குழந்தைகளும் எங்கள் நண்பர்கள் பலரும் என்னுடைய எல்லா குழம்பு ரெசிபிகளையும் விரும்புகிறார்கள், உங்களுக்கும் என்னுடைய குழம்பு ரெசிபிகள் பிடிக்கும். அதைப் பார்த்து உங்கள் குடும்பத்திற்காக சமைத்து மகிழுங்கள்.</t>
  </si>
  <si>
    <t>https://www.archanaskitchen.com/images/archanaskitchen/1-Author/nithya.anantham/Poricha_Kuzhambu_Recipe_Tamil_Nadu_Style_Mixed_Vegetables_and_Lentil_Stew.jpg</t>
  </si>
  <si>
    <t>Brinjal Kulambu</t>
  </si>
  <si>
    <t>கத்திரிக்காய் குழம்பு</t>
  </si>
  <si>
    <t xml:space="preserve">   Tamarind – small lemon sized ball,
   Brinjal - 2-3 medium size,
   Pearl onions – 1/2 cup,
   Tomato - 2,
   Salt needed,
   Urad dal – 2 tsp,
   Red chilli - 4,
   Coriander seeds – 1 tbsp,
   Coconut – 1 tbsp,
   kasa kasa - 1 tsp,
   Onion – 1 roughly chopped,
   Turmeric powder - 1/4 tsp,
   Chilli Powder - 1/2 tsp,
   Coriander powder - 1 1/2 tsp,
   Oil – 3 tbsp,
   Mustard seeds – 1 tsp,
   Asafoetida – a pinch,
   Bengal gram - 1/2 tsp,
   Fenugreek seeds - 1/4 tsp,
   Red chilli - 1,
   Curry leaves – little.</t>
  </si>
  <si>
    <t>புளி - சிறிய எலுமிச்சை அளவு உருண்டை,
கத்தரிக்காய் - 2-3 நடுத்தர அளவு,
முத்து வெங்காயம் - 1/2 கப்,
தக்காளி - 2,
உப்பு தேவை,
உரத்த பருப்பு - 2 தேக்கரண்டி,
சிவப்பு மிளகாய் - 4,
கொத்தமல்லி விதைகள் - 1 தேக்கரண்டி,
தேங்காய் - 1 தேக்கரண்டி,
கசகசா - 1 தேக்கரண்டி,
வெங்காயம் - 1 பொடியாக நறுக்கியது,
மஞ்சள் தூள் - 1/4 தேக்கரண்டி,
மிளகாய் தூள் - 1/2 தேக்கரண்டி,
கொத்தமல்லி தூள் - 1 1/2 தேக்கரண்டி,
எண்ணெய் - 3 தேக்கரண்டி,
கடுகு - 1 தேக்கரண்டி,
அசாஃபோடிடா - ஒரு சிட்டிகை,
வங்கக்கடலை - 1/2 தேக்கரண்டி,
வெந்தயம் - 1/4 தேக்கரண்டி,
சிவப்பு மிளகாய் - 1,
கறிவேப்பிலை - சிறிதளவு.</t>
  </si>
  <si>
    <t>Heat oil, add mustard seeds, when mustard splutters, add the rest of the ingredients mentioned under “For the seasoning”.
Add pearl onions, brinjal and saute for a few minutes till onion turn transparent.
Add finely chopped tomatoes and fry for some more time.
Add turmeric powder, chilli powder, coriander powder and needed salt.
Add tamarind water and the ground paste and cook till the kulambu thickens.
Enjoy with hot rice.</t>
  </si>
  <si>
    <t>எண்ணெயை சூடாக்கி, கடுகு சேர்த்து, கடுகு வதங்கியதும், "தாவலுக்கு" என்பதன் கீழ் குறிப்பிடப்பட்டுள்ள மீதமுள்ள பொருட்களைச் சேர்க்கவும்.
வெங்காயம், கத்தரிக்காய் சேர்த்து வெங்காயம் தெளிவாகும் வரை சில நிமிடங்கள் வதக்கவும்.
பொடியாக நறுக்கிய தக்காளியைச் சேர்த்து மேலும் சிறிது நேரம் வதக்கவும்.
மஞ்சள் தூள், மிளகாய் தூள், கொத்தமல்லி தூள் மற்றும் தேவையான உப்பு சேர்க்கவும்.
புளி தண்ணீர் மற்றும் அரைத்த விழுதைச் சேர்த்து குழம்பு கெட்டியாகும் வரை சமைக்கவும்.</t>
  </si>
  <si>
    <t>https://encrypted-tbn0.gstatic.com/images?q=tbn:ANd9GcRjPp2VQPDDgaeT5RRGcN0AajY94VpORec6gg&amp;s</t>
  </si>
  <si>
    <t>Vatha Kulambu</t>
  </si>
  <si>
    <t xml:space="preserve">   Tamarind – lemon sized ball,
   Sambar powder – 2 tbsp,
   Sundakkai vathal – 3 tbsp,
   Curry leaves – little,
   Salt as required,
   Oil - 3 tbsp,
   Mustard seeds - 1 tsp,
   Fenugreek seeds - 1/2 tsp,
   Red chilli – 2,
   Asafoetida - 1/4 tsp.</t>
  </si>
  <si>
    <t>புளி - எலுமிச்சை அளவு உருண்டை,
சாம்பார் பொடி - 2 டேபிள்ஸ்பூன்,
சுண்டக்காய் வத்தல் - 3 டேபிள்ஸ்பூன்,
கறிவேப்பிலை - சிறிதளவு,
தேவைக்கேற்ப உப்பு,
எண்ணெய் - 3 டேபிள்ஸ்பூன்,
கடுகு - 1 டேபிள்ஸ்பூன்,
வெந்தயம் - 1/2 டேபிள்ஸ்பூன்,
சிவப்பு மிளகாய் - 2,
அசாஃபோடிடா - 1/4 டேபிள்ஸ்பூன்.</t>
  </si>
  <si>
    <t>Heat oil (use only sesame seed oil for authentic taste ) in a heavy bottomed kadai /pan, add mustard seeds, when they splutter, add fenugreek seeds, hing, dry red chilli , curry leaves and sundakkai vathal.
Saute for a few minutes, then add tamarind extract, sambar powder and salt required.
Let it boil on medium flame until the gravy reaches a saucy consistency (as seen in the picture) and oil separates.</t>
  </si>
  <si>
    <t>ஒரு கனமான அடிப்பகுதி கொண்ட கடாயில் எண்ணெயை சூடாக்கி (உண்மையான சுவைக்கு எள் எண்ணெயை மட்டும் பயன்படுத்தவும்), கடுகு சேர்க்கவும், அவை வதங்கியதும், வெந்தயம், கீரை, காய்ந்த சிவப்பு மிளகாய், கறிவேப்பிலை மற்றும் சுண்டக்காய் வத்தல் சேர்க்கவும்.
சில நிமிடங்கள் வதக்கி, பின்னர் புளி சாறு, சாம்பார் பொடி மற்றும் தேவையான உப்பு சேர்க்கவும்.
குரேவி ஒரு காரமான நிலைத்தன்மையை அடையும் வரை (படத்தில் காட்டப்பட்டுள்ளது போல்) மற்றும் எண்ணெய் பிரியும் வரை மிதமான தீயில் கொதிக்க விடவும்.</t>
  </si>
  <si>
    <t>https://encrypted-tbn0.gstatic.com/images?q=tbn:ANd9GcQeKrRoqVr82ZJ0VhURiYb9hrCjve9vgg3-ow&amp;s</t>
  </si>
  <si>
    <t>Mochai Kulambu</t>
  </si>
  <si>
    <t>மொச்சை குழம்பு</t>
  </si>
  <si>
    <t xml:space="preserve">   Tamarind - small lemon sized ball,
   Onion - 1 chopped,
   Baby onion - 1/2 cup,
   Garlic – 12 cloves,
   Mochai  - 1/2 cup fresh ones,
   Tomato - 1,
   Brinjal – 1,
   Salt needed,
   Turmeric Powder - 1/4 tsp,
   Chilli Powder - 2 tsp,
   Coriander powder – 1 tbsp,
   Fennel seeds - 1 1/2 tsp,
   Cumin Seeds – 1 tsp,
   Grated Coconut - 1/3 cup,
   Poppy seeds  – 3 tsp,
   Cinnamon – 1 inch piece,
   Oil – 3 tbsp,
   Mustard seeds – 1 tsp,
   Asafoetida – a generous pinch,
   Fenugreek seeds - 1/2 tsp,
   Red chilli - 3,
   Curry leaves – 2 sprigs.</t>
  </si>
  <si>
    <t>புளி - சிறிய எலுமிச்சை அளவு உருண்டை,
வெங்காயம் - 1 நறுக்கியது,
சிறிய வெங்காயம் - 1/2 கப்,
பூண்டு - 12 பல்,
மொச்சை - 1/2 கப் புதியது,
தக்காளி - 1,
கத்தரிக்காய் - 1,
உப்பு தேவை,
மஞ்சள் தூள் - 1/4 தேக்கரண்டி,
மிளகாய் தூள் - 2 தேக்கரண்டி,
கொத்தமல்லி தூள் - 1 தேக்கரண்டி,
வெந்தயம் - 1 1/2 தேக்கரண்டி,
சீரகம் விதைகள் - 1 தேக்கரண்டி,
தேங்காய் துருவல் - 1/3 கப்,
பாப்பி விதைகள் - 3 தேக்கரண்டி,
இலவங்கப்பட்டை - 1 அங்குல துண்டு,
எண்ணெய் - 3 தேக்கரண்டி,
கடுகு விதைகள் - 1 தேக்கரண்டி,
அசாஃபோடிடா - ஒரு சிட்டிகை,
வெந்தயம் விதைகள் - 1/2 தேக்கரண்டி,
சிவப்பு மிளகாய் - 3,
கறிவேப்பிலை - 2 கிளைகள்.</t>
  </si>
  <si>
    <t>Heat oil, add mustard seeds, when it splutters, add hing, fenugreek seeds, red chilli, curry leaves, onion (chopped) and baby onions. Saute until onions turns pink.
Add garlic, saute for some more minutes.
Now add cooked mochai, brinjal (after draining  the water) and tomato. Fry for 4-5 minutes and then add tamarind water.
When it starts boiling, add ground kulambu masala paste, turmeric powder, chilli powder, coriander powder and needed salt.
Cook until oil separates and the gravy reaches a saucy consistency.</t>
  </si>
  <si>
    <t>எண்ணெயைச் சூடாக்கி, கடுகு சேர்த்து, அது வதங்கியதும், பெருங்காயம், வெந்தயம், சிவப்பு மிளகாய், கறிவேப்பிலை, வெங்காயம் (நறுக்கியது) மற்றும் சிறிய வெங்காயத்தைச் சேர்க்கவும். வெங்காயம் இளஞ்சிவப்பு நிறமாக மாறும் வரை வதக்கவும்.
பூண்டு சேர்த்து, இன்னும் சில நிமிடங்கள் வதக்கவும்.
இப்போது சமைத்த மொச்சை, கத்திரிக்காய் (தண்ணீரை வடிகட்டிய பிறகு) மற்றும் தக்காளியைச் சேர்க்கவும். 4-5 நிமிடங்கள் வதக்கி, பின்னர் புளி தண்ணீர் சேர்க்கவும்.
கொதிக்க ஆரம்பித்ததும், அரைத்த குழம்பு மசாலா விழுது, மஞ்சள் தூள், மிளகாய் தூள், கொத்தமல்லி தூள் மற்றும் தேவையான உப்பு சேர்க்கவும்.
எண்ணெய் பிரிந்து கிரேவி ஒரு காரமான நிலைத்தன்மையை அடையும் வரை சமைக்கவும்.</t>
  </si>
  <si>
    <t>https://encrypted-tbn0.gstatic.com/images?q=tbn:ANd9GcSYCPiOocRqOeqDRlDWnCdsBxKoGm2vYP0JzQ&amp;s</t>
  </si>
  <si>
    <t xml:space="preserve">   Tur dal – 1/2 cup,
   Red chillies – 3-4,
   Asafoetida – a pinch,
   Oil - 3 tsp,
   Mustard seeds – 1 tsp,
   Onion – 1 medium size finely chopped,
   Green chilli – 1 finely chopped,
   fennel seeds – 1/4 tsp,
   Grated coconut – 3 tbsp,
   Rice flour - 1/2 tsp,
   Salt needed for the balls,
   Tamarind – Small Lemon sized ball,
   Sesame seed oil – 4 tbsp,
   Mustard – 1 tsp,
   Fenugreek seeds – 1/2 tsp,
   Red chilli – 1,
   Tur dal – 1/2 tsp,
   Channa dal – 1/2 tsp,
   Sambar Powder – 2 tbsp,
   Curry leaves – little.</t>
  </si>
  <si>
    <t>துரும்பு பருப்பு - 1/2 கப்,
சிவப்பு மிளகாய் - 3-4,
அசாஃபோடிடா - ஒரு சிட்டிகை,
எண்ணெய் - 3 தேக்கரண்டி,
கடுகு விதைகள் - 1 தேக்கரண்டி,
வெங்காயம் - 1 நடுத்தர அளவு பொடியாக நறுக்கியது,
பச்சை மிளகாய் - 1 பொடியாக நறுக்கியது,
வெங்காயம் விதைகள் - 1/4 தேக்கரண்டி,
தேங்காய் துருவியது - 3 தேக்கரண்டி,
அரிசி மாவு - 1/2 தேக்கரண்டி,
உருண்டைகளுக்கு தேவையான உப்பு,
புளி - சிறிய எலுமிச்சை அளவு உருண்டை,
எண்ணெய் - 4 தேக்கரண்டி,
கடுகு - 1 தேக்கரண்டி,
வெந்தயம் - 1/2 தேக்கரண்டி,
சிவப்பு மிளகாய் - 1,
துரும்பு பருப்பு - 1/2 தேக்கரண்டி,
சன்னா பருப்பு - 1/2 தேக்கரண்டி,
சாம்பார் பொடி - 2 தேக்கரண்டி,
கறிவேப்பிலை - சிறிதளவு.</t>
  </si>
  <si>
    <t>Heat sesame seed oil in a heavy bottomed kadai/pan, add mustards seeds, when it splutters, add fenugreek, tur dal, channa dal, red chilli, hing and curry leaves.
When dal turns golden brown, add tamarind extract, sambar powder and salt needed.
When it starts boiling, drop 3 balls gently into the kuzhambu. When it gets cooked, it will floats on the top. Add three more and wait for it to float on the top. Like that add all the dal balls or paruppu urudai to the kulambu (two or three at a time).
Simmer and cook until oil floats on the top.</t>
  </si>
  <si>
    <t>அடி கனமான கடாயில் எள் எண்ணெயை சூடாக்கி, கடுகு சேர்த்து, அது வதங்கியதும், வெந்தயம், துவரம்பருப்பு, சன்னா பருப்பு, சிவப்பு மிளகாய், பெருங்காயம் மற்றும் கறிவேப்பிலை சேர்க்கவும்.
பருப்பு பொன்னிறமாக மாறியதும், புளி சாறு, சாம்பார் பொடி மற்றும் தேவையான அளவு உப்பு சேர்க்கவும்.
கொதிக்க ஆரம்பித்ததும், குழம்புவில் 3 உருண்டைகளை மெதுவாக போடவும். அது வெந்ததும், அது மேலே மிதக்கும். மேலும் மூன்று உருண்டைகளைச் சேர்த்து, மேலே மிதக்கும் வரை காத்திருக்கவும். இது போல, அனைத்து பருப்பு உருண்டைகளையும் அல்லது பருப்பு உருண்டைகளையும் குழம்புவில் சேர்க்கவும் (ஒரே நேரத்தில் இரண்டு அல்லது மூன்று).
கொதிக்க வைத்து, எண்ணெய் மேலே மிதக்கும் வரை சமைக்கவும்.</t>
  </si>
  <si>
    <t>https://www.archanaskitchen.com//images/archanaskitchen/1-Author/Nithya_Anantham/Chettinad_Paruppu_Urundai_Kuzhambu_Steamed_Lentil_Balls_Cooked_in_a_Tangy_Curry.jpg</t>
  </si>
  <si>
    <t>Ennai kathirikkai kulambu</t>
  </si>
  <si>
    <t xml:space="preserve">   Small Brinjals – 10-12,
   Tamarind – Lemon sized ball,
   Salt -as required,
   Bengal gram - 2 tbsp,
   Coriander seeds - 3 tbsp,
   Urad dal – 1 1/2 tbsp,
   Red chillies - 10-12,
   Grated Coconut – 2 tbsp,
   Oil – 4 1/2 tbsp,
   Mustard seeds - 1 tsp,
   Fenugreek seeds – 1/2 tsp,
   Asafoetida – a generous pinch,
   Curry leaves – 2 spring.</t>
  </si>
  <si>
    <t>சிறிய கத்திரிக்காய் - 10-12,
புளி - எலுமிச்சை அளவு உருண்டை,
உப்பு - தேவைக்கேற்ப,
பெரிய கடலை - 2 டீஸ்பூன்,
கொத்தமல்லி விதைகள் - 3 டீஸ்பூன்,
உரத்த பருப்பு - 1 1/2 டீஸ்பூன்,
சிவப்பு மிளகாய் - 10-12,
தேங்காய் துருவல் - 2 டீஸ்பூன்,
எண்ணெய் - 4 1/2 டீஸ்பூன்,
கடுகு - 1 டீஸ்பூன்,
வெந்தயம் - 1/2 டீஸ்பூன்,
அசாஃபோடிடா - ஒரு சிட்டிகை,
கறிவேப்பிலை - 2 ஸ்பிரிங்ஸ்.</t>
  </si>
  <si>
    <t>Heat oil in a kadai/pan, add mustard seeds, when they splutter, add fenugreek seeds, hing and curry leaves.
Then add the stuffed brinjals,turmeric powder and salt. Cook on low flames stirring it now and then.
When brinjals are half cooked, add tamarind extract, the remaining spice powder if any and salt if needed ( as we have added some for the brinjals)
Cook on medium flame until the gravy thickens slightly and oil floats on the top.
Delicious Ennai kathirikai Kulambu is ready to be served with hot steamed rice.</t>
  </si>
  <si>
    <t>ஒரு கடாயில் எண்ணெயை சூடாக்கி, கடுகு சேர்த்து, அவை வதங்கியதும், வெந்தயம், கீரை மற்றும் கறிவேப்பிலை சேர்க்கவும்.
பின்னர் அடைத்த கத்திரிக்காய், மஞ்சள் தூள் மற்றும் உப்பு சேர்க்கவும். அவ்வப்போது கிளறி குறைந்த தீயில் சமைக்கவும்.
கத்திரிக்காய் பாதி வெந்ததும், புளி சாறு, மீதமுள்ள மசாலாப் பொடி ஏதேனும் இருந்தால், உப்பு (கத்திரிக்காய்க்கு கொஞ்சம் சேர்த்தது போல) சேர்க்கவும்.
குழம்பு சிறிது கெட்டியாகும் வரை மற்றும் எண்ணெய் மேலே மிதக்கும் வரை மிதமான தீயில் சமைக்கவும்.
சுவையான எண்ணை கத்திரிக்காய் குழம்பு சூடான வேகவைத்த சாதத்துடன் பரிமாற தயாராக உள்ளது.</t>
  </si>
  <si>
    <t>https://i.ytimg.com/vi/ClxcL2IQBVs/hq720.jpg?sqp=-oaymwEhCK4FEIIDSFryq4qpAxMIARUAAAAAGAElAADIQj0AgKJD&amp;rs=AOn4CLBxp2MQ1Tei6KH7PBPWvlpETSehHA</t>
  </si>
  <si>
    <t>Buttermilk Kuzhambu</t>
  </si>
  <si>
    <t>Ashgourd - 1 cup cubed,
Thick Buttermilk - 3 cups,
Turmeric Powder - 1/4 tsp,
Salt as required,
Grated Coconut - 1/2 cup,
Green chillies - 4 -5,
Tur dal - 1 tsp,
Coriander seeds - 2 tsp,
Cumin seeds - 1 tsp,
Raw rice - 1/2 tsp,
Coconut oil - 1 tsp
Mustard seeds - 1/2 tsp,
Curry leaves - a sprig.</t>
  </si>
  <si>
    <t>பாற்காய் - 1 கப் துண்டுகளாக்கப்பட்டது,
அடர்த்தியான மோர் - 3 கப்,
மஞ்சள் தூள் - 1/4 தேக்கரண்டி,
தேவைக்கேற்ப உப்பு,
தேங்காய் துருவியது - 1/2 கப்,
பச்சை மிளகாய் - 4 -5,
துரும்பு - 1 தேக்கரண்டி,
கொத்தமல்லி விதைகள் - 2 தேக்கரண்டி,
சீரகம் - 1 தேக்கரண்டி,
பச்சை அரிசி - 1/2 தேக்கரண்டி,
தேங்காய் எண்ணெய் - 1 தேக்கரண்டி
கடுகு - 1/2 தேக்கரண்டி,
கறிவேப்பிலை - ஒரு தளிர்.</t>
  </si>
  <si>
    <t>Take buttermilk in a vessel, add turmeric powder, needed salt and mix well.
Now add the cooked ashgourd and the ground paste to the buttermilk. Mix well.
Cook on low heat stirring continuously. Once it comes to boil, reduce the heat and simmer for another 3-4 minutes. Stir in between. Remove from heat.
Heat a tsp of coconut oil, add mustard seeds, when it splutters, add curry leaves and pour the seasoning over the kulambu.
Garnish with coriander leaves and serve with rice or adai.</t>
  </si>
  <si>
    <t>ஒரு பாத்திரத்தில் மோர் எடுத்து, மஞ்சள் தூள், தேவையான உப்பு சேர்த்து நன்கு கலக்கவும்.
இப்போது சமைத்த சோறு மற்றும் அரைத்த விழுதை மோரில் சேர்க்கவும். நன்றாக கலக்கவும்.
தொடர்ந்து கிளறி குறைந்த தீயில் சமைக்கவும். அது கொதித்ததும், தீயை குறைத்து மேலும் 3-4 நிமிடங்கள் கொதிக்க விடவும். இடையில் கிளறவும். அடுப்பிலிருந்து இறக்கவும்.
ஒரு தேக்கரண்டி தேங்காய் எண்ணெயை சூடாக்கி, கடுகு சேர்த்து, அது வெடித்ததும், கறிவேப்பிலை சேர்த்து, குழம்பு மீது தாளிக்க கொடுத்துள்ள பொருட்களை ஊற்றவும்.
கொத்தமல்லி இலைகளால் அலங்கரித்து, சாதம் அல்லது அடையுடன் பரிமாறவும்.</t>
  </si>
  <si>
    <t>https://encrypted-tbn0.gstatic.com/images?q=tbn:ANd9GcQT9nS7SutC6EnRjpvYJ6QvNtgf1LIfCOrmOQ&amp;s</t>
  </si>
  <si>
    <t>https://youtu.be/eod5tQSqBv0</t>
  </si>
  <si>
    <t>Pepper Kuzhambu</t>
  </si>
  <si>
    <t>மிளகு குழம்பு</t>
  </si>
  <si>
    <t>20 grams -  Tamarind,
40 grams -  Garlic ,
Curry leaves ,
1 pinch -  Turmeric powder,
Salt needed,
2 tsp -  Whole black pepper,
2 tsp -  Coriander seeds,
1 tsp -  Tur Dal,
2 -  Red Chillies,
1/2 tsp -  Raw Rice,
2 cloves -  Garlic,
3 tbsp - Gingelly oil,
1 tsp -  Mustard seeds,
1/4 tsp -  Fenugreek seeds,
1 pinch -  Asafoetida,
1 -  Red chilli,
1 sprig -  Curry leaves.</t>
  </si>
  <si>
    <t>20 கிராம் - புளி,
40 கிராம் - பூண்டு,
கறிவேப்பிலை,
1 சிட்டிகை - மஞ்சள் தூள்,
தேவையான உப்பு,
2 தேக்கரண்டி - முழு கருப்பு மிளகு,
2 தேக்கரண்டி - கொத்தமல்லி விதைகள்,
1 தேக்கரண்டி - துளசி,
2 - சிவப்பு மிளகாய்,
1/2 தேக்கரண்டி - பச்சரிசி,
2 பல் - பூண்டு,
3 தேக்கரண்டி - எள் எண்ணெய்,
1 தேக்கரண்டி - கடுகு,
1/4 தேக்கரண்டி - வெந்தயம்,
1 சிட்டிகை - பெருங்காயம்,
1 - சிவப்பு மிளகாய்,
1 தளிர் - கறிவேப்பிலை.</t>
  </si>
  <si>
    <t>Heat 3 tbsp of gingelly oil/ sesame seed oil in a kadai, add mustard seeds, when it splutters, add fenugreek seeds, hing, red chilli, peeled garlic, curry leaves and saute for a few minutes.
Add the tamarind extract, salt needed, a pinch of turmeric powder and the ground paste and bring it to boil.
When it boils, reduce the heat to medium and cook until the kuzhambu thickens and leaves oil.
Milagu Kulambu is ready. Serve with hot steamed rice and a vegetable curry.</t>
  </si>
  <si>
    <t>ஒரு கடாயில் 3 தேக்கரண்டி எள் எண்ணெய் / எள் எண்ணெயை சூடாக்கி, கடுகு சேர்த்து, அது வதங்கியதும், வெந்தயம், கீரை, சிவப்பு மிளகாய், தோல் நீக்கிய பூண்டு, கறிவேப்பிலை சேர்த்து சில நிமிடங்கள் வதக்கவும்.
புளி சாறு, தேவையான உப்பு, ஒரு சிட்டிகை மஞ்சள் தூள் மற்றும் அரைத்த விழுது சேர்த்து கொதிக்க விடவும்.
கொதித்ததும், தீயை மிதமாகக் குறைத்து, குழம்பு கெட்டியாகி எண்ணெய் பிரிந்து வரும் வரை சமைக்கவும்.
மிலாகு குழம்பு தயார். சூடான வேகவைத்த சாதம் மற்றும் காய்கறி கறியுடன் பரிமாறவும்.</t>
  </si>
  <si>
    <t>https://encrypted-tbn0.gstatic.com/images?q=tbn:ANd9GcR2JPcXVLfmspdUvfyQRuk4N6dh5QJyJeaNfg&amp;s</t>
  </si>
  <si>
    <t>https://youtu.be/BLbV7Sj-gas</t>
  </si>
  <si>
    <t>Drumstick Kuzhambu</t>
  </si>
  <si>
    <t>முருங்கைக்காய் குழம்பு</t>
  </si>
  <si>
    <t xml:space="preserve">Baby onions  – 8-10 ,
Drumsticks - 3,
Gingelly oil – 3 tbsp,
Sambar powder -  2 tbsp flat,
Tamarind – 1 medium lemon sized ball,
Salt – as per taste,
Mustard – 1/2 tsp,
Fenugreek - 1/2 tsp,
Asafoedita – a pinch,
Red chillies – 2,
Curry leaves – few.
</t>
  </si>
  <si>
    <t>சிறு வெங்காயம் - 8-10 ,
முருங்கைக்காய் - 3,
இஞ்சி எண்ணெய் - 3 டேபிள் ஸ்பூன்,
சாம்பார் பொடி - 2 டேபிள் ஸ்பூன் தட்டையானது,
புளி - 1 நடுத்தர எலுமிச்சை அளவு பந்து,
உப்பு - ருசிக்கேற்ப,
கடுகு - 1/2 டேபிள் ஸ்பூன்,
வெந்தயம் - 1/2 டேபிள் ஸ்பூன்,
அசாஃபோடிடா - ஒரு சிட்டிகை,
சிவப்பு மிளகாய் - 2,
கறிவேப்பிலை - சிறிது.</t>
  </si>
  <si>
    <t>Soak tamarind in warm water for 15-20 minutes and extract tamarind juice. Discard the pulp. You will have approximately 2-2 1/2 cups of tamarind extract.
Peel peal onions and cut it into half if it is too big.
Cut drumstick into 2 inch long pieces.
Heat oil, add mustard seeds, when it splutters, add fenugreek seeds, hing, red chillies and curry leaves.
Saute for a few seconds and add baby onions. Fry until onions turn pink and then add drumstick pieces.
Add sambar powder, salt needed and saute for a few seconds. Then add  tamarind extract. 
Cook on medium flame until it thickens. Serve with rice and any vegetable curry.</t>
  </si>
  <si>
    <t>புளியை வெதுவெதுப்பான நீரில் 15-20 நிமிடங்கள் ஊற வைத்து புளி சாறு எடுக்கவும். கூழை எடுத்து வைக்கவும். தோராயமாக 2-2 1/2 கப் புளி சாறு கிடைக்கும்.
வெங்காயத்தை உரித்து, அது பெரிதாக இருந்தால் பாதியாக வெட்டவும்.
முருங்கைக்காயை 2 அங்குல நீள துண்டுகளாக நறுக்கவும்.
எண்ணெயை சூடாக்கி, கடுகு சேர்த்து, அது வதங்கியதும், வெந்தயம், கீரை, சிவப்பு மிளகாய் மற்றும் கறிவேப்பிலை சேர்க்கவும்.
சில நொடிகள் வதக்கி, பின்னர் சிறிய வெங்காயத்தைச் சேர்க்கவும். வெங்காயம் இளஞ்சிவப்பு நிறமாக மாறும் வரை வதக்கவும், பின்னர் முருங்கைக்காய் துண்டுகளைச் சேர்க்கவும்.
சாம்பார் பொடி, தேவையான அளவு உப்பு சேர்த்து சில நொடிகள் வதக்கவும். பின்னர் புளி சாறு சேர்க்கவும்.
கெட்டியாகும் வரை மிதமான தீயில் சமைக்கவும். சாதம் மற்றும் எந்த காய்கறி கறியுடன் பரிமாறவும்.</t>
  </si>
  <si>
    <t>https://encrypted-tbn0.gstatic.com/images?q=tbn:ANd9GcSbtaGlZwxRpVgBXiV8w7FdIvKc4CScMB1o0Q&amp;s</t>
  </si>
  <si>
    <t>Kezhvaragu Banana Stem Vada</t>
  </si>
  <si>
    <t>கேழ்வரகு வாழைத்தண்டு வடை</t>
  </si>
  <si>
    <t>Surya Vamsam</t>
  </si>
  <si>
    <t xml:space="preserve">Raghi flour - 200 grams,
Rice flour - 100 grams,
Banana stem - 100 grams (chopped),
Onion - 1/2 cup,
Garlic paste - 1 bunch,
Curry leaves - 3 bunches,
Green chilies - 10,
Ginger - 50 grams,
Oil - for frying,
Salt - as required,
Turmeric powder - a little
</t>
  </si>
  <si>
    <t xml:space="preserve">ராகி மாவு - 200 கிராம்,
அரிசி மாவு - 100 கிராம்,
வாழைத் தண்டு -100 கிராம் (பொடியாக நறுக்கியது),
வெங்காயம் -1/2கப்,
கொத்துமலலி - 1 கட்டு,
கறிவேப்பிலை - 3 கொத்து,
பச்சைமிளகாய்-10,
இஞ்சி -50 கிராம்,
எண்ணெய் - பொரிப்பதற்கு,
உப்பு - தேவையான அளவு,
மஞ்சள் தூள்- சிறிதளவு,
</t>
  </si>
  <si>
    <t xml:space="preserve">Clean the banana stem and boil it with salt and turmeric powder.
 Mix ragi flour, rice flour and add required salt, boiled banana stem, onion, coriander, curry leaves, green chilies, ginger and knead it until thick.
Add a little water if required.
Make small balls of this mixture in hot oil and fry them.
</t>
  </si>
  <si>
    <t xml:space="preserve">வாழைத் தண்டை சுத்தம் செய்து உப்பு, மஞ்சள்தூள் சேர்த்து வேகவைத்துக் கொள்ளவும்.
ராகி மாவு,அரிசி மாவைச் சேர்த்துக் கலக்கி இத்துடன் தேவையான அளவு உப்பு, வேக வைத்த வாழைத் தண்டு, வெங்காயம், கொத்துமல்லி, கறிவேப்பிலை, பச்சை மிளகாய், இஞ்சி சேர்த்துக் கெட்டியாகப் பிசைந்து கொள்ளவும்.
தேவைப்பட்டால் சிறிது நீர்சேர்க்கவும்.
சூடான எண்ணெயில் இந்தக் கலவையை சிறு உருண்டையாக தட்டிப்போட்டு பொரித்து எடுக்க வேண்டும்.
</t>
  </si>
  <si>
    <t>https://kannanskitchen.com/wp-content/uploads/2022/07/DSC_9393-1366x2048.jpg</t>
  </si>
  <si>
    <t>Betel Vada</t>
  </si>
  <si>
    <t>வெற்றிலை வடை</t>
  </si>
  <si>
    <t xml:space="preserve">Betel-15,
Green gram -100 grams,
Garlic - 4 cloves,
Onion -2,
Green chillies- 4,
Curry leaves - 1 bunch,
Coriander - a little,
Ginger - a little,
Salt - as required,
Oil - for frying
</t>
  </si>
  <si>
    <t xml:space="preserve">வெற்றிலை-15,
பச்சைப் பயிறு 100 கிராம்,
பூண்டு - 4 பல்,
வெங்காயம் -2,
பச்சைமிளகாய்- 4,
கறிவேப்பிலை - 1 கொத்து,
கொத்துமல்லி – சிறிது,
இஞ்சி –சிறிது,
உப்பு - தேவையான அளவு,
எண்ணெய் - பொரித்தெடுக்க
</t>
  </si>
  <si>
    <t xml:space="preserve">Soak the green gram for an hour, drain and grind it.
 Add finely chopped onion, coriander, curry leaves, betel, garlic, ginger, Green chillies, salt and mix well.
Fry it like a vada and take it out.
Hot betel vada is ready.
</t>
  </si>
  <si>
    <t xml:space="preserve">பச்சைப் பயறை ஒரு மணிநேரம் ஊற வைத்து வடிகட்டி அரைத்துக் கொள்ளவும்.
இத்துடன் பொடியாக நறுக்கிய வெங்காயம், கொத்துமல்லி, கறிவேப்பிலை வெற்றிலை, பூண்டு, இஞ்சி, பச்சை மிளகாய், உப்பு சேர்த்து நன்றாக கலக்கிக் கொள்ளவும்.
இதை வடைபோல் தட்டி பொரித்து எடுத்துக் கொள்ளவும்.
சூடான வெற்றிலை வடை தயார்.
</t>
  </si>
  <si>
    <t>https://sujankitchen.wordpress.com/wp-content/uploads/2020/11/1604221743426.png</t>
  </si>
  <si>
    <t>Black gram and radish vada</t>
  </si>
  <si>
    <t>கறுப்பு உளுந்து முள்ளங்கி வடை</t>
  </si>
  <si>
    <t>Black gram -100 grams,
Peanuts -100 grams,
Radish -50 grams (finely chopped,
Onion -1,
Green chillies -10 (finely chopped),
Coriander -1/2 bunch (finely chopped),
Curry leaves -2 bunches (finely chopped),
Ginger 50 grams (finely chopped),
Salt -as required,
Turmeric powder -a little,
Oil -for frying</t>
  </si>
  <si>
    <t xml:space="preserve">கறுப்பு உளுந்து -100 கிராம்,
கடலைப் பகுப்பு -100 கிராம்,
முள்ளங்கி -50 கிராம் (பொடியாக நறுக்கியது,
வெங்காயம் -1,
பச்சை மிளகாய் - 10 (பொடியாக நறுக்கியது),
கொத்துமல்லி - 1/2 கட்டு (பொடியாக நறுக்கியது),
கறிவேப்பிலை 2 கொத்து (பொடியாக நறுக்கியது),
இஞ்சி 50 கிராம் (பொடியாக நறுக்கியது),
உப்பு - தேவையான அளவு,
மஞ்சள் தூள் – சிறிதளவு,
எண்ணெய் – பொரிப்பதற்கு
</t>
  </si>
  <si>
    <t>Soak the gram and peanuts, drain the water well and grind them coarsely. Grind the radish into powder, add salt and turmeric powder and boil it.
Mix the boiled radish with the ground flour and all the chopped ingredients.
This Fry it like a vada or cutlet and enjoy.</t>
  </si>
  <si>
    <t xml:space="preserve">உளுந்து, கடலைப்பருப்பை ஊறவைத்து நன்றாக நீரை வடிய விட்டு கெட்டியாக அரைத்துக் கொள்ளவும். முள்ளங்கியை பொடியாக நறுக்கி உப்பு, மஞ்சள்தூள் சேர்த்து வேக வைத்துக் கொள்ளவும்.
அரைத்த மாவுடன் வேகவைத்த முள்ளங்கி, பொடியாக நறுக்கிய அனைத்து பொருட்களையும் சேர்த்து கலக்கிக் கொள்ளவும்.
இதை வடைபோலவோ, கட்லட்போலவோ தட்டிப் பொரித்து எடுத்துக் கொள்ளவும்.
</t>
  </si>
  <si>
    <t>https://blogger.googleusercontent.com/img/b/R29vZ2xl/AVvXsEgumC4aLPWWXdBHgjooLZ5BzS_-BqN-ev5hsGRvlNnA5tsQW8bp9JGwguuQd7vjEJJU7tUXOWGvDo8WZly1vX6IfMmGtkISJS7VcaHGAKLM5KXGPE86jhAzG80BweDstMAWRsjL-h7N9ag/s1600/Karuppu+ulunthu+vadai+pic+1.jpg</t>
  </si>
  <si>
    <t xml:space="preserve">Maize Vada </t>
  </si>
  <si>
    <t>மக்காச்சோள வடை</t>
  </si>
  <si>
    <t xml:space="preserve">Maize- 100 grams (soaked), 
Carom seeds-200 grams, 
Onions-2,
 Green chilies-10, 
Curry leaves-3 bunches, 
Coriander-½ bunch, 
Ginger-50 grams, 
Salt-as required, 
Oil-for frying
</t>
  </si>
  <si>
    <t xml:space="preserve">மக்காச்சோளம்- 100 கிராம் (வோக வைத்தது),
காராமணி -200 கிராம்,
வெங்காயம் – 2,
பச்சை மிளகாய் – 10,
கறிவேப்பிலை- 3கொந்து,
கொத்துமல்லி -½ கட்டு,
இஞ்சி -50 கிராம்,
உப்பு - தேவையான அளவு,
எண்ணெய் - பொரிப்பதற்கு
</t>
  </si>
  <si>
    <t xml:space="preserve">Soak the carom seeds, drain them and grind them coarsely. Grind the maize seeds one or two times and mix them with the ground carom seeds. 
Add finely chopped onion, coriander, curry leaves, green chilies, ginger and salt to this. 
Roll them into small balls and fry them in hot oil.
</t>
  </si>
  <si>
    <t xml:space="preserve">காராமணியை ஊற வைத்து வடிகட்டி கரகரப்பாக அரைத்துக் கொள்ளவும். மக்காச் சோளத்தை வகவந்து ஒன்றிரண்டா அரைத்துக் கொள்ளவும் அரைத்து வைத்த கரமணியுடன் சேர்த்து கலந்து கொள்ளவும்.
இத்துடன் பொடியாக நறுக்கிய வெங்காயம், கொத்துமல்லி ,  கறிவேப்பிலை, பச்சை மிளகாய் , இஞ்சி, உப்பு சேர்த்துக் கலக்கவும்.
சிறு சிறு உருண்டையாக உருட்டி தட்டி சூடான எண்ணெயில் பொரித்தெடுக்கவும்.
</t>
  </si>
  <si>
    <t>https://vismaifood.com/storage/app/uploads/public/0fb/356/073/thumb__700_0_0_0_auto.jpg</t>
  </si>
  <si>
    <t>Peanuts and dals fry</t>
  </si>
  <si>
    <t>கடலைப் பருப்புத் துவட்டல்</t>
  </si>
  <si>
    <t>Peanuts -150 grams,
Mung beans -150 grams,
Oil -100 ml,
Mustard -1/2 teaspoon,
Chili powder -2 teaspoons,
Curry leaves -1 bunch,
Onion -1,
Garlic -5 cloves,
Tomatoes -2,
Cumin -1/2 teaspoon,
Salt -as required,
Coconut -1/2 lid,
Turmeric powder -1/2 teaspoon,
Anise powder -1 teaspoon</t>
  </si>
  <si>
    <t xml:space="preserve">கடலைப் பருப்பு -150 கிராம்,
பாசிப் பருப்பு- 150 கிராம்,
எண்ணெய்- 100 மில்லி,
கடுகு- 1/2 தேக்கரண்டி,
மிளகாய்த்தூள் -2 தேக்கரண்டி,
கறிவேப்பிலை -1 கொத்து,
வெங்காயம் -1,
பூண்டு-5 பல்,
தக்காளி-2,
சீரகம் -1/2 தேக்கரண்டி,
உப்பு – தேவைக்கேற்ப,
தேங்காய்- 1/2 மூடி,
மஞ்சள் தூள் -1/2 தேக்கரண்டி,
சோம்புத்தூள் -1 தேக்கரண்டி
</t>
  </si>
  <si>
    <t>Steam both the peanuts and dals, chop the onion, garlic, tomato, and coconut into powder, add them to the dal and cook well.
Add oil to a pan and heat it, then add the mustard, cumin, and curry leaves. Once it is fried, add the onion and fry. Then add turmeric powder and fry.
Add chili powder and anise powder and fry. Then add lentils and salt and boil.</t>
  </si>
  <si>
    <t xml:space="preserve">கடலைப்பருப்பு, பாசிப்பருப்பு இரண்டையும் களைந்து வேக வைக்கவும், வெங்காயம், பூண்டு, தக்காளி, தேங்காய் ஆகியவற்றைப் பொடியாக நறுக்கி, பருப்போடு சேர்த்து நன்றாக வேகவிடவும்.
ஒரு வாணலியில் எண்ணெய் சேர்த்துச் சூடானதும் அத்துடன் கடுகு, சீரகம், கறிவேப்பிலை சேர்க்கவும். பொரிந்தவுடன் வெங்காயம் சேர்த்து வதக்கவும். பின்னர் இத்துடன் மஞ்சள்தூள் சேர்த்து வதக்கவும்.
இத்துடன் மிளகாய்த்தூள் மற்றும் சோம்புத்தூள் சேர்த்து வதக்கவும். பின்னர் பருப்பு, உப்பு சேர்த்துக் கொதிக்கவிடவும்.
</t>
  </si>
  <si>
    <t>https://traditionallymodernfood.com/wp-content/uploads/2023/12/south-indian-paruppu-kadaiyal-masiyal-25.jpeg</t>
  </si>
  <si>
    <t>Idli Vada</t>
  </si>
  <si>
    <t>இட்லி வடை</t>
  </si>
  <si>
    <t xml:space="preserve">Idli like coriander- 10,
Onion- 2 (finely chopped),
Green chillies – 8 (finely chopped),
Coriander- as required (finely chopped),
Turmeric powder- 1/4 tsp,
Aseem powder- 1 tsp,
Mint- 3 tsp (finely chopped),
Vadai Paruppu - 1 cup,
Oil - as required,
Salt - as required
</t>
  </si>
  <si>
    <t xml:space="preserve">மல்லிகைப்பூ போல இட்லி- 10,
வெங்காயம்-2 (சிறியதாக நறுக்கியது),
பச்சைமிளகாய் – 8 (சிறியதாக நறுக்கியது),
கொத்துமல்லி- தேவையான அளவு (சிறியதாக நறுக்கியது),
மஞ்சள்தூள்- 1/4 தேக்கரண்டி,
சோம்புத்தூள் -1 தேக்கரண்டி, 
புதினா -3 தேக்கரண்டி (சிறியதாக நறுக்கியது),
வடைபருப்பு -1 கப்,
எண்ணெய் - தேவையான அளவு,
உப்பு- தேவையான அளவு
</t>
  </si>
  <si>
    <t xml:space="preserve">Soak the vadail and grind it coarsely. Peel the idli well. Mix the ground vadail, green chillies, onion, coriander, mint, turmeric powder, anise powder, salt and all without adding water.
Roll it into a vada and keep it in the refrigerator or outdoors for 5 minutes and then fry.
</t>
  </si>
  <si>
    <t xml:space="preserve">வடைபருப்பை ஊறவைத்து கரகரப்பாக அரைத்துக் கொள்ளவும். இட்லியை நன்றாக உதிர்த்துக் கொள்ளவும். அதனோடு அரைத்த வடைபருப்பு, பச்சை மிளகாய், வெங்காயம், கொத்துமல்லி, புதினா, மஞ்சய்தூள், சோம்புத்தூள், உப்பு ஆகிய எல்லாவற்றையும் தண்ணீர் சேர்க்காமல் கலக்கவும்.
இதனை வடைபோல உருட்டி குளிர்சாதனப் பெட்டியிலோ அல்லது வெளிலிலோ 5 நிமிடம் வைத்து பின் பொரிக்கவும்.
</t>
  </si>
  <si>
    <t>https://www.nehascookbook.com/wp-content/uploads/2022/09/Medu-vada-with-sambar-WS.jpg</t>
  </si>
  <si>
    <t>Mushroom Fry</t>
  </si>
  <si>
    <t>காளான் வறுவல்</t>
  </si>
  <si>
    <t>Mushrooms - 2 packets (cut in half),
Poppy seeds - 1 tablespoon,
White sesame seeds - 1 teaspoon,
Roasted coconut - 5 tablespoons,
Turmeric powder - 1/4 teaspoon,
Peanuts - 2 teaspoons,
All purpose flour - 3 tablespoons,
Salt - as required,
Oil - for frying</t>
  </si>
  <si>
    <t xml:space="preserve">காளான் - 2 பாக்கெட் (பாதியாக வெட்டியது),
கசகசா - 1 மேசைக்கரண்டி,
வெள்ளை எள் -1 தேக்கரண்டி,
வறுத்த தேங்காய் -5 மேசைக் கரண்டி,
மஞ்சள்தூள் -1/4 தேக்கரண்டி,
நிலக்கடலை -2 தேக்கரண்டி,
மைதாமாவு - 3 மேசைக் கரண்டி,
உப்பு - தேவையான அளவு,
எண்ணெய் – பொரித்தெடுக்க
</t>
  </si>
  <si>
    <t>Roast poppy seeds, sesame seeds, roasted coconut, turmeric powder, and peanuts in a pan without adding oil and let them cool. Then grind them with water.
Mix the ground spices with maida and salt and let them soak for a while. Then add the chopped mushroom pieces, mix well, and dry them in the sun.
Fry them in hot oil and take them out.</t>
  </si>
  <si>
    <t xml:space="preserve">கசகசா, எள், வறுத்த தேங்காய், மஞ்சள்தூள், நிலக்கடலை ஆகிய அனைத்தையும் எண்ணெய் சேர்க்காமல் வாணலியில் வறுத்து ஆறவிடவும். பின்னர் தண்ணீர் விட்டு அரைக்கவும்.
அரைத்த மசாலாவை மைதா, உப்புடன் சேர்த்து சிறிது நேரம் ஊறவிடவும். பின்பு வெட்டி வைத்துள்ள காளான் துண்டுகளைப் போட்டு நன்றாகப் பிசறி, வெயிலில் காய வைக்கவும்.
சூடான எண்ணெயில் பொரித்து எடுக்கவும்.
</t>
  </si>
  <si>
    <t>https://cooknshare.com/wp-content/uploads/2013/10/friedmushrooms-800x450.jpg</t>
  </si>
  <si>
    <t>Nungu Dosa</t>
  </si>
  <si>
    <t>நுங்கு தோசை</t>
  </si>
  <si>
    <t>Nunggu -200 grams,
Jaggery - 1/2 kg,
Flour - 30 grams,
Rice flour - 60 grams,
Ghee - 150 ml,
Cashew nuts -50 grams,
Raisins -25 grams</t>
  </si>
  <si>
    <t>நுங்கு -200 கிராம்,
வெல்லம் - 1/2 கிலோ,
மைதா- 30 கிராம்,
அரிசி மாவு- 60 கிராம்,
நெய் - 150 மில்லி,
முந்திரி -50 கிராம்,
திராட்சை -25 கிராம்</t>
  </si>
  <si>
    <t>Put the nungu in a bowl and knead it well.
Boil the jaggery until it becomes a paste. Add rice flour and flour and mix well to form a dosa. Add cashew nuts and raisins fried in ghee and mix.
Let the dosa stone dry. Make a small pancake out of the dough mixed with nungu and jaggery, pour a little ghee and boil it, and serve it when it turns golden brown.</t>
  </si>
  <si>
    <t>ஒரு பாத்திரத்தில் நுங்கைப் போட்டு அதை நன்றாகப் பிசைந்து கொள்ளவும்.
வெல்லத்தைப் பாகாகக் காய்ச்சவும். இத்துடன் அரிசி மாவு, மைதா சேர்த்து நன்றாக தோசை பதத்தில் கலக்கிக் கொள்ளவும். இத்துடன் நெய்யில் பொரித்த முந்திரி, திராட்சை சேர்த்து கலக்கிக் கொள்ளவும்.
தோசைக் கல்லைக் காய விடவும். நுங்கும், வெல்லப்பாகும் சேர்த்த மாவை சிறிய ஊத்தப்பம் போல் போட்டு நெய்யை சிறிதளவு ஊற்றி வேகவைத்து, பொன்னிற மானதும் பின்னர் பரிமாறவும்.</t>
  </si>
  <si>
    <t>https://thewhiskaddict.com/wp-content/uploads/2024/01/IMG_9929-1-scaled.jpg</t>
  </si>
  <si>
    <t>Patanir Dosa</t>
  </si>
  <si>
    <t>பதனீர் தோசை</t>
  </si>
  <si>
    <t>Patanir- 250 ml,
Strong dosa batter- 1/2 liter,
Cumin – 1 tablespoon,
Pepper- 2 tablespoons,
Green chilies – 4,
Curry leaves – a little,
Coriander leaves – a little,
Salt – as required,
Onion-2 (chopped),
Oil – 3 tablespoons</t>
  </si>
  <si>
    <t xml:space="preserve">பதனீர்- 250 மில்லி,
கெட்டியான தோசை மாவு - 1/2 லிட்டர்,
சீரகம் – 1 மேசைக் கரண்டி,
மிளகு -2 மேசைக் கரண்டி,
பச்சை மிளகாய் – 4,
கறிவேப்பிலை – சிறிதளவு,
கொத்துமல்லி தழை- சிறிதளவு,
உப்பு – தேவைக்கேற்ப,
வெங்காயம் -2 (நறுக்கியது),
எண்ணெய் - 3 மேசைக் கரண்டி
</t>
  </si>
  <si>
    <t>Mix patanir with dosa batter and dissolve it in the dosa batter.
Add cumin, pepper, finely chopped curry leaves, green chilies, coriander, salt and mix it and keep it for half an hour.
Then pour it like dosa, sprinkle onion and let it cook. Then fold it nicely and serve with coconut chutney.</t>
  </si>
  <si>
    <t xml:space="preserve">தோசை மாவுடன் பதநீர் சேர்த்து தோசை ஊற்றும் பதத்தில் கரைத்துக் கொள்ளவும்.
இத்துடன் சீரகம், மிளகு, பொடியாக நறுக்கிய கறிவேப்பிலை, பச்சைமிளகாய், கொத்துமல்லி, உப்பு சேர்த்துக் கலக்கி அரைமணி நேரம் வைக்கவும்.
பின்னர் இதை தோசை போல ஊற்றி எடுத்து வெங்காயம் தூவி வேக விடவும். பிறகு அழகாக மடித்து தேங்காய் சட்னியுடன் பரிமாறவும்.
</t>
  </si>
  <si>
    <t>https://blogger.googleusercontent.com/img/b/R29vZ2xl/AVvXsEhTiDdfxcke3ek31p40vAgkfWfvFrzIDmQu69OZTz3fH90g-_NaHAGfQTVikSlkLRb4JOd2h-HIeQkez7iuGSV8O3_L3tNPFZ94JJ4k1JzWQMIGEwVeWpwA-KMkn-e4P7iwe27AypIKc8M/s621/Pirandai-dosai-recipe.jpg</t>
  </si>
  <si>
    <t>Kollu Dosa</t>
  </si>
  <si>
    <t>கொள்ளு தோசை</t>
  </si>
  <si>
    <t>Boiled and ground Kollu paste -100 grams,
Dosa flour -1/4 liter,
Jeer powder -1 teaspoon,
Small onion -100 grams (chopped),
Salt -as needed,
Oil -3 tablespoons</t>
  </si>
  <si>
    <t xml:space="preserve">வேகவைத்து அரைத்த கொள்ளு விழுது -100 கிராம்,
தோசை மாவு -1/4 லிட்டர்,
சீர்கத்தூள் -1 தேக்கரணடி,
சின்ன வெங்காயம் -100 கிராம் (பொடியாக நறுக்கியது),
உப்பு -தேவையான அளவு,
எண்ணெய் -3 தேக்கரண்டி
</t>
  </si>
  <si>
    <t>Pour 2 tablespoons of oil in a pan and when it is well heated, add small onion and cumin powder and fry well. Now add the boiled Kollu paste, add salt and stir for 2 minutes.
Mix this mixture well, add it to the dosa batter and bake it as a dosa.</t>
  </si>
  <si>
    <t xml:space="preserve">ஒரு கடாயில் 2 தேக்கரண்டி எண்ணெய் ஊற்றி நன்கு காய்ந்ததும் சின்ன வெங்காயம், சீரகத்தூள் போட்டு நன்றாக வதக்கவும். இப்போது வேகவைத்த கொள்ளு விழுதினைச் சேர்த்து, உப்பு சேர்த்து 2 நிமிடம் கிளறவும்.
இந்தக் கலவையை நன்கு கலந்து தோசைமாவில் சேர்த்து தோசையாகக் சுட்டு எடுக்கவும்.
</t>
  </si>
  <si>
    <t>https://www.archanaskitchen.com/images/archanaskitchen/1-Author/ruby_pathak-yahoo.com/Horsegram_Dosa.jpg</t>
  </si>
  <si>
    <t>Radish Dosa</t>
  </si>
  <si>
    <t>முள்ளங்கி தோசை</t>
  </si>
  <si>
    <t>Boiled and mashed radish -100 grams,
Dosa flour -250 grams,
Jeer powder -1 teaspoon,
Anise powder -1/2 teaspoon,
Small onion -100 grams (chopped),
Coriander leaves -2 teaspoons (chopped),
Salt -as required,
Oil -3 teaspoons</t>
  </si>
  <si>
    <t xml:space="preserve">வேகவைத்து மசித்த முள்ளங்கி -100 கிராம்,
தோசை மாவு- 250 கிராம்,
சீர்கத்தூள் -1 தேக்கரணடி,
சோம்புத்தூள்- 1/2 தேக்கரண்டி,
சின்ன வெங்காயம் -100 கிராம் (பொடியாக நறுக்கியது),
கொத்துமல்லி தழை -2 தேக்கரண்டி (பொடியாக நறுக்கியது),
உப்பு – தேவைக்கேற்ப,
எண்ணெய் -3 தேக்கரண்டி
</t>
  </si>
  <si>
    <t>Pour 2 teaspoons of oil in a pan and when it is well heated, add small onion, cumin powder, and anise powder and fry well.
Now add the boiled and mashed radish, add salt and stir for 2 minutes. Then add coriander and fry for 1 minute. Mix this mixture well in the dosa flour and bake it as a dosa.</t>
  </si>
  <si>
    <t xml:space="preserve">ஒரு வாணலியில் 2 தேக்கரண்டி எண்ணெய் ஊற்றி நன்கு காய்ந்ததும் சின்ன வெங்காயம், சீரகத்தூள், சோம்புத்தூள் போட்டு நன்றாக வதக்கவும்.
இப்போது வேகவைத்து மசித்த முள்ளங்கியைச் சேர்த்து, உப்பு சேர்த்து 2 நிமிடம் கிளறவும். பின்னர் கொத்துமல்லியை சேர்த்து 1 நிமிடம் வதக்கவும். இந்தக் கலவையை நன்கு தோசைமாவில் சேர்த்து தோசையாகச் சுட்டு எடுக்கவும்.
</t>
  </si>
  <si>
    <t>https://i0.wp.com/www.kitchenkathukutty.com/wp-content/uploads/2019/09/radish-dosai-recipe.jpg?resize=830%2C787&amp;ssl=1</t>
  </si>
  <si>
    <t>Banana Dosa</t>
  </si>
  <si>
    <t>வாழைப்பழ தோசை</t>
  </si>
  <si>
    <t>Banana-2,
Dates-50 grams,
Peanuts 50 grams,
Cardamom-2,
Blackberries-50 grams,
Rice flour-100 grams</t>
  </si>
  <si>
    <t xml:space="preserve">வாழைப்பழம்-2,
பேரிட்சை -50 கிராம்,
நிலக்கடலை 50 கிராம்,
ஏலக்காய்-2,
கருப்பட்டி- 50 கிராம்,
அரிசி மாவு -100 கிராம்
</t>
  </si>
  <si>
    <t>Mix the bananas and blackberries.
Roast the peanuts and grind them into powder. Mix everything together, add the rice flour along with the ground cardamom and chopped dates and mix to form a dosa batter.
Place on a dosa stone and cook until cooked and serve.</t>
  </si>
  <si>
    <t xml:space="preserve">வாழைப் பழத்தையும் கருப்பட்டியையும் சேர்த்துக் கலக்கவும்.
நிலக்கடலையை வறுத்துப் பொடியாக்கவும். எல்லாவற்றையும் சேர்த்து பொடித்த ஏலக்காய், வெட்டிய பேரிட்சை ஆகியவற்றோடு அரிசி மாவைச் சேர்த்து தோசைமாவு பதத்தில் கலக்கவும்.
தோசைக் கல்லில் இட்டு வேக வைத்துப் பரிமாறவும்.
</t>
  </si>
  <si>
    <t>https://www.archanaskitchen.com/images/archanaskitchen/1-Author/sibyl_sunitha/Kerala_Style_Banana_Dosa_Recipe.jpg</t>
  </si>
  <si>
    <t>Kai Kothu Idiyappam</t>
  </si>
  <si>
    <t>காய் கொத்து இடியாப்பம்</t>
  </si>
  <si>
    <t>Idiyappam -1/2 kg (loose like noodles),
1 each of cardamom, clove, and cardamom,
Carrot - 50 grams (cut into small pieces and boiled with salt),
Beans - 50 grams (cut into small pieces and boiled with salt),
Cauliflower - 50 grams (cut into small pieces and boiled with salt),
Peas - 50 grams (cut into small pieces and boiled with salt),
Coriander - 3 tablespoons (chopped into small pieces),
Anise, cumin powder - 4 tablespoons,
Coconut oil - 100 ml</t>
  </si>
  <si>
    <t xml:space="preserve">இடியாப்பம் -1/2 கிலோ (நூடுல்ஸ் போல லூசானாதாக),
பட்டை, கிராம்பு, ஏலம் தலா ஒன்று,
காரட் - 50 கிராம் (சிறிதாக வெட்டி உப்பு சேர்த்து வேகவைத்தது),
பீன்ஸ் - 50 கிராம் (சிறிதாக வெட்டி உப்பு சேர்த்து வேகவைத்தது),
காலிபிளவர் -50 கிராம் (சிறிதாக வெட்டி உப்பு சேர்த்து வேகவைத்தது),
பட்டாணி - 50 கிராம் (சிறிதாக வெட்டி உப்பு சேர்த்து வேக வைத்தது),
கொத்துமல்லி -3 தேக்கரண்டி (சிறிது சிறிதாக வெட்டியது),
சோம்பு, சீரகத்தூள் - 4 மேசைக்கரண்டி,
தேங்காய் எண்ணெய் - 100 மில்லி
</t>
  </si>
  <si>
    <t>When coconut oil is hot in a pan, add coriander, cooked vegetables, anise, cumin powder, and salt and cook on medium heat. You can sprinkle water from time to time. Once cooked well, remove and let it cool.
Heat coconut oil in a pan again and when it is dry, add the ginger, cloves and cardamom and fry it. Add the vegetable masala and fry it, then add the prepared idiyappam and stir. Once the masala is well mixed, remove it and serve.
No need for chutney or gravy for this.</t>
  </si>
  <si>
    <t xml:space="preserve">வாணலியில் தேங்காய் எண்ணெய் விட்டுக் காய்ந்ததும் அதில் கொத்துமல்லி, வெந்த காய்கறிகள், சோம்பு, சீரகத்தூள், உப்பு அனைத்தையும் போட்டு, மிதமான தீயில் வேக விடவும். அவ்வப்போது தண்ணீர் தெளிக்கலாம். நன்றாக வெந்ததும் இறக்கி ஆறவிடவும்.
மீண்டும் வாணலியில் தேங்காய் எண்ணெய் விட்டுக் காய்ந்ததும் பட்டை, கிராம்பு, ஏலக்காய் போட்டுப் பொரிக்கவும். அதில் காய்கறி மசாலாவைப் போட்டு வதக்கி, செய்து வைத்துள்ள இடியாப்பத்தைப் போட்டுக் கிளறவும். நன்றாக மசாலா கலந்தவுடன் இறக்கிப் பரிமாறவும்.
இதற்கு தொட்டுக்கொள்ள சட்னியோ, குழம்போ தேவையில்லை.
</t>
  </si>
  <si>
    <t>https://premasculinary.com/wp-content/uploads/2020/02/Kothu-Idiyappam-Recipe-Veg-Idiyappa-KothuTamil-Hotel-Style.jpg</t>
  </si>
  <si>
    <t>Coriander Bunch Idiyappam</t>
  </si>
  <si>
    <t>மல்லிக் கொத்து இடியாப்பம்</t>
  </si>
  <si>
    <t>For Idiyappam
Rice flour- 250 grams,
Salt – as required,
Hot water-1 bowl,
Oil-1 teaspoon,
For Idiyappam masala
Curry leaves- 1 bunch,
Asimbu- 1 teaspoon,
Small onion-50 grams (chopped,
Tomato- 100 grams (chopped),
Ginger-1 teaspoon (chopped),
Garlic-1 teaspoon (chopped),
Oil- 3 teaspoons,
Turmeric powder-1/4 teaspoon,
For masala powder
Coriander-5 teaspoons,
Agarwood- a little</t>
  </si>
  <si>
    <t xml:space="preserve">இடியாப்பத்திற்கு
அரிசி மாவு- 250 கிராம்,
உப்பு – தேவைக்கேற்ப,
வெந்நீர் -1 கிண்ணம்,
எண்ணெய் -1 தேக்கரண்டி,
இடியாப்ப மசாலாவிற்கு
கறிவேப்பிலை - 1 கொத்து,
சோம்பு - 1 தேக்கரண்டி,
சின்ன வெங்காயம் -50 கிராம் (நறுக்கியது,
தக்காளி - 100 கிராம் (நறுக்கியது),
இஞ்சி -1 தேக்கரண்டி (நறுக்கியது),
பூண்டு - 1 தேக்கரண்டி (நறுக்கியது),
எண்ணெய் - 3 தேக்கரண்டி,
மஞ்சள் தூள் -1/4 தேக்கரணடி,
மசாலா பொடிக்கு
மல்லி -5 தேக்கரண்டி,
பெருங்காயம்- சிறிதளவு
</t>
  </si>
  <si>
    <t>Idiyappam recipe:.
Mix the rice flour with hot water and knead it until it becomes a slightly stiff dough. Add a teaspoon of oil to it. Roll it into a ball and put it in an Idiyappam squeezing tool and squeeze it. Take it out.
Masala powder recipe:.
Fry the coriander till it turns slightly dark in color. Then add the ginger and grind it into powder.
Masala Idiyappam recipe:.
Heat the pan and add oil, anise, curry leaves and season it. Add the chopped ginger and garlic and fry until it changes color. Add the chopped onion and turmeric and fry until it turns golden brown.
Add the tomatoes and salt as required and fry them. Add the powdered masala powder and fry it for a few minutes and add ½ cup of water to it and let it boil for 3-4 minutes.
Add the Idiyappam and stir well until the masala is incorporated into the Idiyappam. After some time, drain it and serve.</t>
  </si>
  <si>
    <t xml:space="preserve">இடியாப்பம் செய்முறை :.
வெந்நீரில் அரிசிமாவைக் கலந்து சற்று கடினமான பதம் வருமாறு பிசைந்து கொள்ளவும். அதனுடன் ஒரு தேக்கரண்டி எண்ணெய் சேர்த்துக் கொள்ளவும். அதனை உருண்டையாக உருட்டி இடியாப்பம் பிழியும் கருவியில் இட்டுப் பிழிந்து எடுக்கவும்.
மசாலா பொடி செய்முறை:.
மல்லியை சற்றுக் கருத்த நிறம் வரும் வரை வறுக்கவும். பின் அதனுடன் பெருங்காயம் சேர்த்துப் பொடியாக அரைத்துக் கொள்ளவும்.
மல்லி இடியாப்பம் செய்முறை:.
வாணலியைச் சூடாக்கி அதில் எண்ணெய், சோம்பு, கறிவேப்பிலை இட்டுத் தாளிக்கவும். வெட்டப்பட்ட இஞ்சி, பூண்டினை சேர்ந்து நிறம் மாறும் வரை வதக்கவும். வெட்டப்பட்ட வெங்காயம் மற்றும் மஞ்சள் சேர்த்து பொன்னிறம் வரும்வரை வதக்கவும்.
அதனுடன் தக்காளியும், தேவையான அளவு உப்பும் சேர்த்து வதக்கவும். பொடி யாக்கிய மசாலா பொடியை அதனுடன் சேர்ந்து சில நிமிடம் வதக்கி அதனுடன் ½ கிண்ணம் நீர் சேர்த்து 3-4 நிமிடம் கொதிக்க விடவும்.
அதனுடன் இடியாப்பம் சேர்த்து மசாலா இடியாப்பத்தில் சேரும் வரை நன்கு கிண்டவும். சிறிது நேரம் கழித்து இறக்கிப் பரிமாறவும்.
</t>
  </si>
  <si>
    <t>https://vegrecipesofkarnataka.com/assets/img/mint-shavige/pudina-shavige-recipe.jpg</t>
  </si>
  <si>
    <t>Curly Paniyaram</t>
  </si>
  <si>
    <t>சுருள் பணியாரம்</t>
  </si>
  <si>
    <t>Rice flour -1/4 kg,
Wheat flour -100 grams,
Small onion -50 grams,
Turmeric powder -5 grams,
Ghee -150 grams,
Sugar -100 grams (powdered),
Oil -1/4 liter,
Cardamom -5 grams</t>
  </si>
  <si>
    <t xml:space="preserve">அரிசி மாவு -1/4 கிலோ,
கோதுமை மாவு- 100 கிராம்,
சின்ன வெங்காயம் - 50 கிராம்,
மஞ்சள் தூள்-5 கிராம்,
நெய்-150 கிராம்,
சர்க்கரை - 100 கிராம் (பொடியாக்கியது),
எண்ணெய்-1/4 லிட்டர்,
ஏலக்காய் -5 கிராம்
</t>
  </si>
  <si>
    <t>Fry the rice flour a little until it changes color. Add small onion, turmeric powder, and ghee and fry. Then grind it well. Then add the fried rice flour, powdered sugar, and cardamom to the ground mixture and mix well.
Add a little wheat flour to it and knead it like chapati dough. Then roll it into equal balls and knead it evenly. Roll the kneaded dough into a spiral and cut it into small pieces.
Fry the cut pieces in oil and the curly paniyaram is ready.</t>
  </si>
  <si>
    <t xml:space="preserve">அரிசி மாவை நிறம் மாறாமல் சிறிது வறுத்துக் கொள்ளவும். சின்ன வெங்காயம், மஞ்சள்தூள், நெய் சேர்த்து வதக்கவும். பிறகு நன்றாக அரைத்துக் கொள்ளவும்.  பின்னர் அந்த அரைத்த கலவையில் வறுத்த அரிசி மாவையும், பொடியாக்கிய சர்க்கரை, ஏலக்காயைச் சேர்த்து நன்றாகக் கலந்து கொள்ளவும்.
அதனுடன் சிறிது கோதுமை மாவு சேர்த்து சப்பாத்தி மாவு போல் பிசைந்து வைக்கவும். பிறகு சமமான உருண்டைகளாக உருட்டி வைத்து சீராக தேய்த்துக் கொள்ளவும். தேய்த்த மாவை சுருளாகச் சுருட்டி, சிறிதாக வெட்டிக் கொள்ளவும்.
வெட்டிய துண்டுகளை எண்ணெயில் பொரித்தெடுத்தால் சுருள் பணியாரம் ரெடி.
</t>
  </si>
  <si>
    <t>https://femina.wwmindia.com/content/2022/feb/kuzhi-paniyaram1645430506.jpg</t>
  </si>
  <si>
    <t>Pumpkin Dosa</t>
  </si>
  <si>
    <t>பூசணிக்காய் தோசை</t>
  </si>
  <si>
    <t>Rice – ½ kg,
Pumpkin – 1,
Salt – as required</t>
  </si>
  <si>
    <t xml:space="preserve">அரிசி – ½ கிலோ,
பூசணிக்காய் -1,
உப்பு - தேவைக்கேற்ப
</t>
  </si>
  <si>
    <t>Soak the rice for three hours and grind it well with pumpkin and salt.
This dough, ground in the morning, can be made at night. The dough can be mixed well and made into dosas without seasoning and served hot.
You can grind coriander and make chutney and serve it</t>
  </si>
  <si>
    <t xml:space="preserve">அரிசியை மூன்று மணி நேரம் ஊற வைத்து பூசணிக்காய், உப்பு சேர்த்து நன்றாக அரைக்கவும்.
காலையில் அரைத்த இந்த மாவை இரவில் செய்யலாம். மாவை நன்றாகக் கலக்கி தாளிக்காமல் தோசைகள் செய்து சூடாக பரிமாறலாம்.
கொத்துமல்லியை அரைத்து சட்னி செய்து பரிமாறலாம்.
</t>
  </si>
  <si>
    <t>https://vegrecipesofkarnataka.com/assets/img/pumpkin-dosa/pumpkin-dosa-recipe.jpg</t>
  </si>
  <si>
    <t>Vimalapappam</t>
  </si>
  <si>
    <t>விமலாப்பம்</t>
  </si>
  <si>
    <t>Blackcurrant puree - 1 cup,
Green lentils - 1 cup,
Rice flour - 1 cup,
Oil - for frying,
Ghee - 3 tablespoons,
Fried cashews -10</t>
  </si>
  <si>
    <t>கருப்பட்டிப் பாகு - 1 கப்,
பச்சைப் பயறு - 1கப்,
அரிசி மாவு - 1 கப்,
எண்ணெய் – பொரித்தெடுக்க,
நெய் - 3 தேக்கரண்டி,
வறுத்த முந்திரி -10</t>
  </si>
  <si>
    <t xml:space="preserve">Heat ghee in a heavy-bottomed vessel and add the boiled green lentils. Add the blackcurrant puree to it. Fry it until it becomes thick and add the fried cashews to it.
Once it cools, roll it into a ball and keep it in the refrigerator to firm up. Mix the rice flour with water to make a dough and place the cooled balls in it, fry them and serve.
</t>
  </si>
  <si>
    <t>அடிகனமான பாத்திரத்தில் நெய்விட்டு அதில் வேகவைத்த பச்சைப் பயறை போடவும். அதனோடு கருப்பட்டிப் பாகைச் சேர்க்கவும். அது கெட்டியான பதம் வரும் வரை கிண்டி அதனோடு வறுத்த முந்திரியைப் போடவும்.
குளிர்ந்தவுடன் உருண்டையாக உருட்டி குளிர்பதனப் பெட்டியில் (Refrigerator) வைத்து கட்டியாக்கவும். அரிசி மாவை தண்ணீர் கலந்து மாவு பதத்திற்கு மாற்றி அதில் குளிர வைத்த உருண்டைகளை இட்டுப் பொரித்தெடுத்துப் பரிமாறவும்.</t>
  </si>
  <si>
    <t>https://blogger.googleusercontent.com/img/b/R29vZ2xl/AVvXsEh464ERrt8RLc324ShqvByqtapx12oFY20rN3KpBTLgY0maFAHElsMZnglruR6u17ONeFEprB8dE33aD2x9CxJe9wvT6KmSf5mCDnkwYOerta5K7gfg-_yuaJzmbGS0GuPPbP-eNn97fVPZbbYPRWxuLuF1etc_DAyNu2UuzEfNB3pzr95oq-p_prj4A_c/s625/palm%20jaggery%20paniyaram%20recipe.JPG</t>
  </si>
  <si>
    <t>Amlikai Uthappam</t>
  </si>
  <si>
    <t>நெல்லிக்காய் ஊத்தப்பம்</t>
  </si>
  <si>
    <t>Boiled and mashed amlikai - 1/4 cup,
Turmeric powder - 1/4 teaspoon,
Caramel powder - 1 teaspoon,
Mint chopped - 2 teaspoons,
Green chilli chopped - 1 teaspoon,
Dosa flour - 2 cups,
Cereal powder - 1 teaspoon,
Small onion - 100 grams (chopped),
Salt - as required,
Oil - 3 teaspoons</t>
  </si>
  <si>
    <t xml:space="preserve">வேகவைத்து மசித்த நெல்லிக்காய் - 1/4 கப்,
மஞ்சள் தூள்-1/4 தேக்கரண்டி,
கறிமசால் தூள்- 1 தேக்கரண்டி,
புதினா வெட்டியது 2 தேக்கரண்டி,
பச்சை மிளகாய் வெட்டியது - 1 தேக்கரண்டி, 
தோசை மாவு- 2கப் ,
சீரகத்தூள் - 1 தேக்கரண்டி, 
சின்ன வெங்காயம் - 100 கிராம் (நறுக்கியது),
உப்பு – தேவைக்கேற்ப,
எண்ணெய் - 3 தேக்கரண்டி
</t>
  </si>
  <si>
    <t>Pour 2 teaspoons of oil in a pan and when it is well heated, add small onion and cumin powder and fry well. Now add boiled and mashed amlikai, salt and stir for 2 minutes.
Add turmeric powder, curry powder, chopped mint and green chillies and fry. Mix this mixture well in the dosa batter and bake it as a utappam.</t>
  </si>
  <si>
    <t xml:space="preserve">ஒரு வாணலியில் 2 தேக்கரண்டி எண்ணெய் ஊற்றி நன்கு காய்ந்ததும், சின்ன வெங்காயம், சீரகத்தூள் போட்டு நன்றாக வதக்கவும். இப்போது வேகவைத்து மசித்த நெல்லிக்காய், உப்பு சேர்த்து 2 நிமிடம் கிளறவும்.
மஞ்சள் தூள், கறிமசால் தூள், புதினா வெட்டியது, பச்சை மிளகாய் ஆகியவற்றைச் சேர்த்து வதக்கவும். இந்தக் கலவையை நன்கு தோசைமாவில் சேர்த்து ஊத்தப்பமாக சுட்டு எடுக்கவும்.
</t>
  </si>
  <si>
    <t>https://www.nehascookbook.com/wp-content/uploads/2022/09/Masala-uttapam-WS.jpg</t>
  </si>
  <si>
    <t>Tapioca Dosa</t>
  </si>
  <si>
    <t>கப்பக்கிழங்கு தோசை</t>
  </si>
  <si>
    <t>Baked and grated potato - 1 cup,
Turmeric powder - 1/4 teaspoon,
Curry masala powder - 1 teaspoon,
Mint chopped -2 ​​teaspoons,
Green chilli chopped 1 teaspoon,
Dosa flour - 2 cups,
Cumin powder - 1 teaspoon,
Small onion - 100 grams,
Salt - as required,
Oil - 2 teaspoons</t>
  </si>
  <si>
    <t>வேக வைத்து துருவிய கப்பக்கிழங்கு - 1கப், 
மஞ்சள் தூள் - 1/4 தேக்கரண்டி, 
கறி மசால் தூள்- 1 தேக்கரண்டி, 
புதினா வெட்டியது -2 தேக்கரண்டி ,
பச்சை மிளகாய் வெட்டியது 1 தேக்கரண்டி, 
தோசை மாவு - 2 கப், 
சீரகத்தூள் - 1 தேக்கரண்டி, 
சின்ன வெங்காயம் - 100 கிராம், 
உப்பு - தேவையான அளவு, 
எண்ணெய் - 2 தேக்கரண்டி</t>
  </si>
  <si>
    <t>Pour 2 teaspoons of oil in a pan and when it is hot, add the small onion. Add cumin powder and fry well. Now add the boiled potato, salt and stir well.
Then add turmeric powder, curry masala powder, mint and green chillies and fry for 1 minute. Mix this mixture well and add it to the dosa batter and bake it as a dosa.</t>
  </si>
  <si>
    <t>ஒரு வாணலியில் 2 தேக்கரண்டி எண்ணெய் ஊற்றிக் காய்ந்ததும் சின்ன வெங்காயம். சீரகத்தூள் போட்டு நன்றாக வதக்கவும். இப்போது வேகவைத்த கப்பக்கிழங்கு, உப்பு சேர்த்து நன்றாகக் கிளறவும்.
பின்னர் மஞ்சள் தூள், கறி மசால் தூள், புதினா, பச்சை மிளகாய் ஆகியவற்றைச் சேர்த்து 1 நிமிடம் வதக்கவும். இந்தக் கலவையை நன்கு கலந்து தோசைமாவில் சேர்த்து தோசையாகச் சுட்டு எடுக்கவும்.</t>
  </si>
  <si>
    <t>https://blogger.googleusercontent.com/img/b/R29vZ2xl/AVvXsEgt5WO_H8PJmnlm9K6hyphenhyphenR10BcjOrgujllE-4zxfEpCkh0TYCTGsIXctRjkb74-bzu5aNAyMUiMNm1sMHlx8a8_HrXBsqxUqd4jyRQ6KFGbeT5H3hHPIBlOmg0Tqm66lcsG1FkDB_t0qZnQ/s1600/Kara-dosai.jpg</t>
  </si>
  <si>
    <t>Pukazhendi</t>
  </si>
  <si>
    <t>புகழேந்தி</t>
  </si>
  <si>
    <t>1/4 kg of sweet potato or cassava,
2 fried urad dal,
3 tbsp of ghee,
1/4 tsp of turmeric powder,
1/2 tsp of anise powder,
1 tbsp of chilli powder,
a little curry leaves,
2 tbsp of ginger paste,
1 tbsp of coconut (grated),
2 tbsp of roasted black sesame seeds,
2 tbsp of rock salt - as required</t>
  </si>
  <si>
    <t>கப்பக்கிழங்கு அல்லது மரவள்ளிக் கிழங்கு 1/4 கிலோ,
பொரித்த உளுந்து அப்பளம் -2,
நெய் -3 மேசைக்கரண்டி,
மஞ்சள்தூள் 1/4 தேக்கரண்டி,
சோம்புத்தூள் - 1/2 தேக்கரண்டி,
குறுமிளகுத்தூள் -1 மேசைக்கரண்டி,
கறிவேப்பிலை – சிறிது,
இஞ்சி விழுது - 2 மேசைக்கரண்டி,
தேங்காய் - 1 மூடி (அரைத்தது),
கறுப்பு எள் வறுத்த பொடி செய்யப்பட்டது - 2 டேபிள் ஸ்பூன், 
கல் உப்பு - தேவையான அளவு</t>
  </si>
  <si>
    <t>Boil the sweet potato well, peel it and cut it into 2 inch pieces.
When the ghee is hot, add the curry leaves, ginger paste, pepper powder, turmeric powder, anise powder and fry it well. Then add salt. Add the potato and fry it with a little water.
Once it is well cooked and the aroma of the spices fades, add the grated coconut, black sesame powder and appalam. Stir for two minutes and then turn off the heat.</t>
  </si>
  <si>
    <t>கப்பக்கிழங்கை நன்றாக வேக வைத்து தோல் உரித்து 2 இஞ்ச் சைசில் வெட்டி வைத்துக் கொள்ளவும்.
வாணலியில் நெய் ஊற்றிக் காய்ந்ததும் கறிவேப்பிலை, இஞ்சி விழுது, மிளகுத்தூள், மஞ்சள்தூள், சோம்புத்தூள் போட்டு நன்றாக வதக்கவும். பின் உப்பு சேர்க்கவும். இதில் கப்பக்கிழங்கு சேர்த்து சிறிது தண்ணீர் விட்டு வதக்கவும்.
நன்றாக வெந்து, மசாலா வாடை போனவுடன் அரைத்த தேங்காய் மற்றும் கறுப்பு எள் பொடி, அப்பளம் சேர்க்கவும். இரண்டு நிமிடங்கள் கிளறிவிட்டு இறக்கவும்.</t>
  </si>
  <si>
    <t>http://www.shadesofkitchen.com/wp-content/uploads/2017/11/tapioca-main.jpg</t>
  </si>
  <si>
    <t>Onion Chutney or Boiled Chutney</t>
  </si>
  <si>
    <t>வெங்காய சட்னி அல்லது கொதி சட்னி</t>
  </si>
  <si>
    <t>Onion -100 grams,
Coconut pieces -4-5,
Peanuts -50 grams,
Dried chilies -5,
Tomato -1,
Curry leaves - a little,
Salt - as required,
Mustard - 1/2 teaspoon,
Ultimate dal - 1/2 teaspoon,
Oil - a little</t>
  </si>
  <si>
    <t xml:space="preserve">வெங்காயம் -100 கிராம்,
தேங்காய் துண்டு -4-5,
பொரிகடலை - 50 கிராம்,
மிளகாய் வற்றல் -5,
தக்காளி -1,
கறிவேப்பிலை – சிறிது,
உப்பு - தேவையான அளவு,
கடுகு- 1/2 தேக்கரண்டி,
உளுத்தம் பருப்பு - 1/2 தேக்காணடி,
எண்ணெய- சிறிதளவு
</t>
  </si>
  <si>
    <t>Grind all the required ingredients in a mixer (coriander). Heat a little oil in a pan, add the sudaku, ulutu and the ground dal.
Add the required amount of water and mix well with a spoon. Once it boils well, remove it and serve.</t>
  </si>
  <si>
    <t>தேவையான பொருட்கள் அனைத்தையும் மிக்ஸியில் (கலந்தரைப்பி) அரைக்கவும். வாணலியில் சிறிது எண்ணெய் விட்டு சுடுகு, உளுத்து போட்டு தாளித்து அரைத்து வைத்துள்ளதை சேர்க்கவும்.
தேவையான அளவு தண்ணீர் சேர்த்து நன்றாக நுரைக் கட்டியவுடன் கரண்டியால் சுலக்கவும்.  நன்கு கொதிந்தவுடன் இறக்கிப் பரிமாறவும்.</t>
  </si>
  <si>
    <t>https://i0.wp.com/aartimadan.com/wp-content/uploads/2024/05/Thanni-Chutney.jpg?w=800&amp;ssl=1</t>
  </si>
  <si>
    <t>Red Fort Chutney</t>
  </si>
  <si>
    <t>செங்கோட்டைச் சட்னி</t>
  </si>
  <si>
    <t>Dried chilies -7-8,
Tomatoes -2-3,
Coconut - 1/2 lid (small),
Tamarind - a little,
Salt - as required,
Small onion - 100 grams,
Garlic -2,
Curry leaves - a little</t>
  </si>
  <si>
    <t>மிளகாய் வற்றல் -7-8,
தக்காளி-2-3,
தேங்காய் - 1/2 மூடி (சிறியது),
புளி – கொஞ்சம்,
உப்பு - தேவையான அளவு ,
சின்ன வெங்காயம் - 100 கிராம்,
பூண்டு -2,
கறிவேப்பிலை - சிறிதளவு</t>
  </si>
  <si>
    <t>Grind all the ingredients well (except tomatoes). Chop the tomatoes into powder and fry well.
Add the spices to the fried tomatoes and boil them.</t>
  </si>
  <si>
    <t>தேவையான பொருட்கள் அனைத்தையும் நன்றாக அரைக்கவும் (தக்காளி தவிர). தக்காளியைப் பொடியாக நறுக்கி நன்றாக வதக்கவும்.
வதக்கிய தக்காளியோடு மசாலாவைச் சேர்த்துக் கொதிக்க வைத்து இறக்கவும்.</t>
  </si>
  <si>
    <t>https://www.indianveggiedelight.com/wp-content/uploads/2023/01/red-coconut-chutney-recipe-1.jpg</t>
  </si>
  <si>
    <t>Tomatoes -1/2 kg,
Large onion - 3,
Green chillies -7,
Curry leaves - a little,
Mustard, urad dal - 1/2 tsp,
Salt - as required,
Oil - 1 tsp</t>
  </si>
  <si>
    <t>தக்காளி -1/2 கிலோ,
பெரிய வெங்காயம் – 3,
பச்சைமிளகாய் -7,
கறிவேப்பிலை – சிறிதளவு,
கடுகு, உளுத்தம்பருப்பு - 1/2 தேக்கரண்டி,
உப்பு – தேவைக்கேற்ப,
எண்ணெய் - 1 தேக்கரண்டி</t>
  </si>
  <si>
    <t>Chop the tomatoes into powder. Chop the large onion and green chillies into powder as well. Heat oil in a pan and fry the mustard and urad dal until golden brown.
Add the chopped onion, green chillies, curry leaves, salt and fry, cover and cook.</t>
  </si>
  <si>
    <t>தக்காளியை பொடியாக நறுக்கி வைத்துக் கொள்ளவும். அதேபோல் பெரிய வெங்காயம், பச்சை மிளகாய் ஆகியவற்றையும் பொடியாக நறுக்கி வைத்துக் கொள்ளவும். வாணலியில் எண்ணெய் விட்டு கடுகு, உளுந்து ஆகியவற்றை தங்கநிறம் வரும் வரை வதக்கவும்.
அதனோடு வெட்டப்பட்ட வெங்காயம், பச்சை மிளகாய், கறிவேப்பிலை,உப்பு ஆகியவற்றைச் சேர்த்து வதக்கி மூடி வைத்து வேக விடவும்.</t>
  </si>
  <si>
    <t>https://radfoodie.com/wp-content/uploads/2024/10/Tomato-and-onion-chutney-vert-4.jpg</t>
  </si>
  <si>
    <t>Peanut Dal Chutney</t>
  </si>
  <si>
    <t>நிலக்கடலை பருப்பு சட்னி</t>
  </si>
  <si>
    <t>Peanut Dal -100 grams,
Dried Chillies -5,
Tamarind - a little,
Garlic -2,
Curry leaves - a little,
Coconut - 3 pieces,
Salt - as required,
Mustard, for seasoning the urad dal,
Oil - 1 teaspoon</t>
  </si>
  <si>
    <t xml:space="preserve">நிலக்கடலைப் பருப்பு -100 கிராம்,
மிளகாய் வற்றல்-5,
புளி – சிறிதளவு,
பூண்டு -2,
கறிவேப்பிலை – சிறிதளவு,
தேங்காய் - 3 துண்டு,
உப்பு - தேவையான அளவு,
கடுகு, உளுத்தம்பருப்பு தாளிப்பதற்கு,
எண்ணெய் - 1 தேக்கரண்டி
</t>
  </si>
  <si>
    <t>Grind the above ingredients finely, mix with required water, season, pour and serve.</t>
  </si>
  <si>
    <t>மேற்கூறிய பொருட்களை நன்றாக அரைத்து தேவையான தண்ணீர் கலந்து தாளித்துக் கொட்டிப் பரிமாறவும்.</t>
  </si>
  <si>
    <t>https://www.cubesnjuliennes.com/wp-content/uploads/2020/06/Best-Peanut-Chutney-Recipe.jpg</t>
  </si>
  <si>
    <t>Kalakkai chutney</t>
  </si>
  <si>
    <t>களாக்காய் சட்னி</t>
  </si>
  <si>
    <t>Small onion 100 grams (chopped),
Grated coconut - 50 grams,
Dried chilies - 5,
Peanuts - 10 grams,
Oil -20 ml,
A little curry leaves,
Dhaniya -10 grams,
Salt -as required</t>
  </si>
  <si>
    <t>களாக்காய் -15,
சின்ன வெங்காயம் 100 கிராம் (நறுக்கியது),
தேங்காய்த் துருவல் - 50 கிராம்,
காய்ந்த மிளகாய் – 5,
கடலைப் பகுப்பு - 10 கிராம்,
உளுந்து - 10 கிராம்,
எண்ணெய் -20 மில்லி,
கறிவேப்பிலை சிறிது,
தனியா -10 கிராம்,
உப்பு -தேவையான அளவு</t>
  </si>
  <si>
    <t>Remove the seeds of the Gakkai and cut them into two. Fry the peanuts, dal, dhania, and dried chilies well.
When the oil is hot in a pan, add the curry leaves and small onions and fry until golden brown. Then add the chopped Gakkai and grated coconut to it and fry. Then pour a little water, add salt and grind it. The chutney is ready.
It pairs wonderfully with everything from idli, dosa, hot rice, and curd rice.</t>
  </si>
  <si>
    <t>களாக்காயின் விதைகளை நீக்கி இரண்டாக நறுக்கி வைக்கவும். கடலைப் பருப்பு, உளுந்து, தனியா, காய்ந்த மிளகாய், அனைத்தையும் நன்றாக வறுத்துக் கொள்ளவும்.
வாணலியில் எண்ணெய் காய்ந்ததும் கறிவேப்பிலை, சின்ன வெங்காயம் சேர்த்து பொன்னிறமாக வதக்கவும். பின்னர் அதில் வெட்டிய களாக்காய் மற்றும் துருவிய தேங்காய் சேர்த்து வதக்கவும். பின்பு வறுத்த அனைத்தையும் சிறிது தண்ணீர் ஊற்றி உப்பு சேர்த்து அரைத்து இறக்கினால் சட்னி தயார்.
இட்லி, தோசை, சுடுசாதம், தயிர் சாதம் என எல்லாவற்றுடனும் ஜோடி சேர்ந்து அசத்தி விடும்.</t>
  </si>
  <si>
    <t>https://www.nithaskitchen.com/wp-content/uploads/2020/02/cranberry9_edit.jpg</t>
  </si>
  <si>
    <t>Kollu Chutney</t>
  </si>
  <si>
    <t>கொள்ளு சட்னி</t>
  </si>
  <si>
    <t>Kollu - 50 grams,
Tamarind - the size of a gooseberry,
Grated coconut - 2 tablespoons,
Salt - as needed,
Garlic - 1 pinch,
Red chilies - 10,
Oil - 1 tablespoon</t>
  </si>
  <si>
    <t>கொள்ளு - 50 கிராம்,
புளி - நெல்லிக்காய் அளவு,
தேங்காய் துருவல் - 2 மேசைக் கரண்டி,
உப்பு - தேவையான அளவு,
பெருங்காயம் - 1 சிட்டிகை,
வரமிளகாய் – 10,
எண்ணெய் - 1 மேசைக்கரண்டி</t>
  </si>
  <si>
    <t>Fry the kollu well without oil until it is crispy. Add the red chilies, tamarind, grated coconut, kollu, and salt to the oil and fry. Add the kollu and grind it.</t>
  </si>
  <si>
    <t>கொள்ளை எண்ணெயில்லாமல் பொறியும் வரை நன்றாக வறுக்கவும். எண்ணெயில் வரமிளகாய், புளி, தேங்காய்த் துருவல், பெருங்காயம், உப்பு சேர்த்து வதக்கவும். இதனுடன் கொள்ளை சேர்த்து அரைக்கவும்.</t>
  </si>
  <si>
    <t>https://www.kannammacooks.com/wp-content/uploads/kollu-paruppu-chutney-recipe-1.jpg</t>
  </si>
  <si>
    <t>Palakkottai Chutney</t>
  </si>
  <si>
    <t>பலாக்கொட்டை சட்னி</t>
  </si>
  <si>
    <t>Palakkottai – 25,
Grated coconut – 10 tablespoons,
Agar-a little,
Salt – as required,
Green chillies – 7,
Tamarind – a little,
Oil – 1 tablespoon,
Onion -1</t>
  </si>
  <si>
    <t>பலாக்கொட்டை – 25,
தேங்காய்த் துருவல் - 10 மேசைக்கரண்டி,
பெருங்காயம்- சிறிதளவு,
உப்பு - தேவையான அளவு,
பச்சை மிளகாய் – 7,
புளி – சிறிதளவு,
எண்ணெய் - 1 மேசைக்கரண்டி,
வெங்காயம் -1</t>
  </si>
  <si>
    <t>Boil the palakkottai and mash it.
Add the agar-a-gar, tamarind, onion, chillies, mashed palakkottai, salt and grated coconut to the oil and grind them.</t>
  </si>
  <si>
    <t>பலாக்கொட்டையை வேக வைத்து மசிக்கவும்.
எண்ணெயில் பெருங்காயம், புளி, வெங்காயம், மிளகாய், மசித்த பலாக் கொட்டை உப்பு, தேங்காய்த் துருவல் இவற்றை சேர்த்து அரைக்கவும்.</t>
  </si>
  <si>
    <t>https://www.aayisrecipes.com/assets/kadgi-koot.jpg</t>
  </si>
  <si>
    <t>Manathakali Keerai Chutney</t>
  </si>
  <si>
    <t>மணத்தக்காளிக்கீரை சட்னி</t>
  </si>
  <si>
    <t>Manathakali Keerai - 1 bunch (small),
Grated coconut - 50 grams,
Tamarind - a little,
Garlic - a little,
6 red chillies,
2 tbsp urad dal,
1/2 tsp mustard,
1 tbsp oil,
Salt - as required</t>
  </si>
  <si>
    <t>மணத்தக்காளிக் கீரை - 1 கட்டு (சிறியது),
தேங்காய்த் துருவல் - 50 கிராம்,
புளி- சிறிதளவு,
பெருங்காயம் – சிறிதளவு,
வரமிளகாய் – 6,
உளுந்து - 2 தேக்கரண்டி,
கடுகு -1/2 தேக்காண்டி,
எண்ணெய் - 1 மேசைக்கரண்டி,
உப்பு - தேவையான அளவு</t>
  </si>
  <si>
    <t>Clean and chop the spinach.
Fry the red chillies, urad dal, mustard, garlic, salt and tamarind in oil, add the coconut and the spinach and fry well.
Grind the fried spinach.</t>
  </si>
  <si>
    <t>கீரையைச் சுத்தம் செய்து நறுக்கவும்.
எண்ணெய் விட்டு வரமிளகாய், உளுந்து, கடுகு, பெருங்காயம், உப்பு, புளி இவற்றை வறுத்து தேங்காய், கீரையை சேர்த்து நன்றாக வதக்கவும்.
வதக்கியதை அரைக்கவும்</t>
  </si>
  <si>
    <t>https://blogger.googleusercontent.com/img/b/R29vZ2xl/AVvXsEifDPvoflMBHHDWGMU16E6Es58u4huqB_qPQRDnMCPKBU9uiUwujDJ-gyawvpdKIgnbRak5y7wH8L9s3orOjArE_jdL2kByL7tD3s2DPrd_xmvUyET83xV7e-WUItJW5Hek9f2h2ISTCcQH/s1600/Manathankkali+keerai+chutney2.1.jpg</t>
  </si>
  <si>
    <t>Garlic – 20,
Red chillies-10,
Curry leaves – a bunch,
Onion – 10 (small),
Salt – as required,
Tamarind – a little,
Mustard – 1 teaspoon</t>
  </si>
  <si>
    <t>பூண்டு – 20,
வரமிளகாய்-10,
கறிவேப்பிலை - ஒரு கொத்து,
வெங்காயம் - 10 (சிறியது),
உப்பு – தேவைக்கேற்ப,
புளி – சிறிதளவு,
கடுகு – 1 தேக்கரண்டி</t>
  </si>
  <si>
    <t>Grind the garlic, red chillies, tamarind, salt, and onion.
Add the mustard and curry leaves to the oil and add the paste.
Fry until the raw smell goes away and the mixture turns dark brown.</t>
  </si>
  <si>
    <t xml:space="preserve">பூண்டு வரமிளகாய், புளி, உப்பு, வெங்காயம் அனைத்தையும் சேர்த்து அரைக்கவும்.
எண்ணெயில் கடுகு, கறிவேப்பிலை தாளித்து அரைத்த விழுதைச் சேர்ந்து  வதக்கவும்.
பச்சை வாசனை நீங்கி கருள வதக்கி அரைக்கவும்.
</t>
  </si>
  <si>
    <t>https://i0.wp.com/binjalsvegkitchen.com/wp-content/uploads/2023/10/Garlic-Chutney-For-Chaat-H1.jpg?w=600&amp;ssl=1</t>
  </si>
  <si>
    <t>Coconut - 3- 4 pieces,
Roasted peanuts -50 grams,
Green chilies - 5,
Ginger -2 pieces,
Garlic - 2,
Curry leaves - a little,
Coriander - a little,
Tamarind - the size of a gooseberry,
Salt - as required</t>
  </si>
  <si>
    <t>தேங்காய் - 3- 4 துண்டுகள்,
வறுத்த கடலை பருப்பு -50 கிராம்,
பச்சை மிளகாய் – 5,
இஞ்சி -2 துண்டு,
பூண்டு – 2,
கறிவேப்பிலை – சிறிதளவு,
கொத்துமல்லி – சிறிதளவு,
புளி - நெல்லிக்கனி அளவு,
உப்பு - தேவையான அளவு</t>
  </si>
  <si>
    <t>Stir fry all the above ingredients and then grind them well.
Add salt as required.</t>
  </si>
  <si>
    <t>மேற்கண்ட பொருட்கள் அனைத்தையும் சேர்த்து வதக்கவும் பின் நன்றாக மைய அரைக்கவும்.
தேவையான அளவு உப்பு சேர்க்கவும்.</t>
  </si>
  <si>
    <t>https://i0.wp.com/cookingfromheart.com/wp-content/uploads/2016/01/ch_dsc_0003_1.jpg?resize=700%2C467&amp;ssl=1</t>
  </si>
  <si>
    <t>Emergency Chutney</t>
  </si>
  <si>
    <t>அவசர சட்னி</t>
  </si>
  <si>
    <t xml:space="preserve">Tamarind - lemon size,
Onion -100 grams,
Curry leaves - a little,
Garlic - 1 pinch,
Garlic -2,
Salt - as required,
Green chilies -10,
Tomato -1
Coriander - a little
</t>
  </si>
  <si>
    <t>புளி - எலுமிச்சை அளவு,
வெங்காயம் -100 கிராம்,
கறிவேப்பிலை- சிறிதளவு,
பெருங்காயம் - 1 சிட்டிகை,
பூண்டு -2,
உப்பு – தேவைக்கேற்ப,
பச்சை மிளகாய் -10,
தக்காளி -1
கொத்துமல்லி - சிறிதளவு</t>
  </si>
  <si>
    <t>Grind all the ingredients together.
Add salt as required and serve.</t>
  </si>
  <si>
    <t>அனைத்துப் பொருட்களையும் சேர்த்து அரைக்கவும்.
தேவையான அளவு உப்பு சேர்த்து பரிமாறவும்.</t>
  </si>
  <si>
    <t>https://e1.nmcdn.io/glwd/wp-content/uploads/2022/09/Recipe-Chutney-002-scaled.jpg/v:1-width:1400-height:525-fit:cover/Recipe-Chutney-002-scaled.jpg?signature=49042b02</t>
  </si>
  <si>
    <t>கொத்துமல்லி சட்னி</t>
  </si>
  <si>
    <t>Coriander - small bunch,
Green chilies -6-7,
Coconut pieces-3,
Tamarind - the size of a gooseberry,
Garlic -3,
Curry leaves - a bunch,
Garlic - 1 pinch
Salt - as required</t>
  </si>
  <si>
    <t>கொத்துமல்லி - சிறு கொத்து,
பச்சை மிளகாய் -6-7,
தேங்காய் துண்டுகள்-3, 
புளி - நெல்லிக்கனி அளவு, 
பூண்டு -3, 
கறிவேப்பிலை - ஒரு கொத்து, 
பெருங்காயம் - 1 சிட்டிகை
உப்பு - தேவையான அளவு</t>
  </si>
  <si>
    <t>Stir-fry all the above ingredients and then grind them well.
Add salt as required.</t>
  </si>
  <si>
    <t>https://cookwithrenu.com/wp-content/uploads/2021/08/Coconut-Coriander-Chutney_Pinterest-720x1080.jpg.webp</t>
  </si>
  <si>
    <t>Peanut Chutney</t>
  </si>
  <si>
    <t>கடலைப்பருப்பு சட்னி</t>
  </si>
  <si>
    <t xml:space="preserve">Peanuts - 2 tablespoons,
Green chilies -6,
Coconut pieces -3,
Tamarind - a little,
Garlic -1,
Salt - as required,
Curry leaves - a little
</t>
  </si>
  <si>
    <t>கடலைப் பருப்பு - 2 தேக்கரண்டி,
பச்சை மிளகாய் -6,
தேங்காய் துண்டு-3,
புளி – சிறிதளவு,
பூண்டு -1,
உப்பு – தேவைக்கேற்ப,
கறிவேப்பிலை - சிறிதளவு</t>
  </si>
  <si>
    <t>Stir fry all the above ingredients and then grind.
Add salt as required and serve.</t>
  </si>
  <si>
    <t xml:space="preserve">மேற்கண்ட பொருட்கள் அனைத்தையும் சேர்த்து வதக்கவும் பின் அரைக்கவும்.
தேவையான அளவு உப்பு சேர்த்துப் பரிமாறவும்.
</t>
  </si>
  <si>
    <t>Vataku Chutney</t>
  </si>
  <si>
    <t>வதக்கு சட்னி</t>
  </si>
  <si>
    <t>6 chillies,
Tamarind - lemon size,
1/4 tsp ginger,
3 tsp grated coconut,
100 gms peeled small onion,
3 cloves garlic,
5 tomatoes,
2 large onions peeled,
1 tsp curry leaves,
1 tbsp oil,
1 tbsp mustard seeds,
1/2 tsp urad dal,
Salt - as required</t>
  </si>
  <si>
    <t>மிளகாய் – 6,
புளி - எலுமிச்சை அளவு,
பெருங்காயம்-1/4 தேக்கரண்டி,
தேங்காய்த் துருவல் – 3 தேக்கரண்டி,
உரித்த சிறிய வெங்காயம் – 100 கிராம்,
பூண்டு -3,
தக்காளி -5,
உரித்த பெரிய வெங்காயம் -2,
கறிவேப்பிலை- சிறிதளவு,
எண்ணெய்-1 மேசைக்கரண்டி,
கடுகு, உளுந்து-1/2 தேக்கரண்டி,
உப்பு - தேவைக்கேற்ப</t>
  </si>
  <si>
    <t>Stir fry the above ingredients one by one in a pan with a little cooking oil.
Then grind it well in a mixer and add mustard seeds, urad dal and curry leaves if required.</t>
  </si>
  <si>
    <t>மேற்கூறிய பொருட்களை வாணலியில் சிறிது சமையல் எண்ணெய் விட்டு ஒவ்வொன்றாக வதக்கி எடுக்கவும்.
பின் மிக்ஸியில் நன்றாக அரைத்து தேவையானால் கடுகு, உளுத்தம் பருப்பு தாளித்து கறிவேப்பிலை சேர்த்துக் கலக்கவும்.</t>
  </si>
  <si>
    <t>https://www.whiskaffair.com/wp-content/uploads/2019/03/Peanut-Chutney-Recipe-5.jpg</t>
  </si>
  <si>
    <t>Palm fruit Curd Rice</t>
  </si>
  <si>
    <t>பனம்பழ தயிர் சாதம்</t>
  </si>
  <si>
    <t>Cannabis-100 grams (chopped),
Rice 150 grams,
Curd 100 grams,
Salt – as required,
Ginger – a little (chopped),
Chili powder – 1/2 teaspoon,
Oil- 1/2 teaspoon,
Mustard – a little,
Curry leaves – 1 bunch,
Green chilies – a little (chopped)</t>
  </si>
  <si>
    <t>பணம்பழம்-100 கிராம் (நறுக்கியது),
சாதம் 150 கிராம்,
தயிர் 100 கிராம்,
உப்பு – தேவைக்கேற்ப,
இஞ்சி - சிறிதளவு (நறுக்கியது),
மிளகாய்த்தூள் - 1/2 தேக்கரண்டி,
எண்ணெய்- 1/2 தேக்கரண்டி,
கடுகு – சிறிதளவு,
கறிவேப்பிலை - 1 கொத்து,
பச்சை மிளகாய் - சிறிதளவு (நறுக்கியது)</t>
  </si>
  <si>
    <t>Clean the banana and chop it into powder. Put the strained rice in a bowl and mash it well. Add the yogurt powder, chopped ginger, green chilies, salt, and a little chili powder and mix. Add the chopped banana and mix.
Heat the oil in it, add mustard and curry leaves, season, mix and then serve.</t>
  </si>
  <si>
    <t xml:space="preserve">பனம்பழத்தைச் சுத்தம் செய்து பொடியாக நறுக்கிக் கொள்ளவும். பாத்திரத்தில் வடிகட்டிய சாதத்தைப் போட்டு நன்றாக மசித்துக் கொள்ளவும். இத்துடன் தயிர் பொடியாக நறுக்கிய இஞ்சி, பச்சை மிளகாய், உப்பு, சிறிதளவு மிளகாய்த் தூள் சேர்த்து கலக்கிக் கொள்ளவும். இத்துடன் நறுக்கிய பனம்பழத்தைச் சேர்த்து கலந்து கொள்ளவும்.
இதில் எண்ணெயைக் காயவைத்து கடுகு, கறிவேப்பிலை சேர்த்து தாளித்துக் கொட்டி, கலக்கி பின்னர்ப் பரிமாறவும்.
</t>
  </si>
  <si>
    <t>https://cdn.justgotochef.com/uploads/1589739278-IMG_20200515_064134.jpg?w=815</t>
  </si>
  <si>
    <t>Arisi Pruppu sadam</t>
  </si>
  <si>
    <t>Seerakashamba / Ponni rice - 250 grams,
Karamani grade 50 grams (cooked),
Green lentils -50 grams (cooked),
Turam dal -50 grams (cooked),
Salt - as required,
Turmeric powder 1/4 teaspoon,
Ghee - 100 ml,
Tomato -1/4 kg (finely chopped),
Onion -1/4 kg (small chopped),
Chilli flakes -6,
Pepper powder -1 teaspoon,
Curry leaves - as required,
Grated coconut - 50 grams,
Mustard, urad dal - 1 teaspoon</t>
  </si>
  <si>
    <t>சீரகசம்பா / பொன்னி அரிசி - 250 கிராம்,
காராமணி பகுப்பு 50 கிராம் (வேக வைத்தது),
பச்சைப் பயறு -50 கிராம் (வேக வைத்தது),
துவரம் பருப்பு -50 கிராம் (வேக வைத்தது),
உப்பு - தேவையான அளவு,
மஞ்சள் தூள் 1/4 தேக்கரண்டி,
நெய் - 100 மில்லி,
தக்காளி -1/4 கிலோ (நன்றாக வெட்டியது),
வெங்காயம் -1/4 கிலோ (சிறியதாக வெட்டியது),
மிளகாய் வத்தல் -6,
மிளகுத்தூள் -1 தேக்கரணடி,
கறிவேப்பிலை - தேவையான அளவு,
துருவிய தேங்காய் - 50 கிராம்,
கடுகு, உளுத்தம்பருப்பு - 1 தேக்கரண்டி</t>
  </si>
  <si>
    <t>Heat a cooker or a heavy bottomed vessel. When the ghee dries, add mustard, urad dal and season. Add onion and tomato and fry well. Add turmeric powder, dried chillies, salt and pepper powder and fry well.
Once it is fried well, add curry leaves, cooked lentils and required amount of water and mix. Once it comes to a boil, add soaked rice and grated coconut and cook for 2 whistles. You can stir a little ghee while serving.</t>
  </si>
  <si>
    <t>குக்கர் அல்லது அடி கனமான பாத்திரத்தைச் சூடாக்கவும் நெய் விட்டுக் காய்ந்ததும் கடுகு, உளுத்தம் பருப்பு இட்டு தாளிக்கவும். வெங்காயம், தக்காளி போட்டு நன்றாக வதக்கவும் அதில் மஞ்சள் தூள், காய்ந்த மிளகாய், உப்பு, மிளகுத்தூள் சேர்த்து வதக்கவும்.
நன்றாக வதக்கியதும் கறிவேப்பிலை, வெந்த பருப்பு வகைகள் மற்றும் தேவையான அளவு தண்ணீர் விட்டுக் கலக்கவும். ஒரு கொதி வந்ததும் ஊற வைத்துள்ள அரிசி மற்றும் தேங்காய்த் துருவலையும் சேர்த்து 2 விசில் வரும்படி சமைக்கவும். பரிமாறும்போது சிறிது நெய் விட்டு கிளறிப் பரிமாறலாம்.</t>
  </si>
  <si>
    <t>https://www.padhuskitchen.com/wp-content/uploads/2014/06/kovai-arisi-paruppu-sadam.jpg</t>
  </si>
  <si>
    <t>Banana Flower Rice</t>
  </si>
  <si>
    <t>வாழைப்பூ சாதம்</t>
  </si>
  <si>
    <t>Boiled basmati rice -250 grams,
Banana flower -100 grams,
Ghee -50 ml,
Anise -1 teaspoon,
Baking powder, cardamom, cloves -2 each,
Small onion -50 grams (cut in half),
Coriander leaves -½ cup (chopped),
Turmeric powder -1/4 teaspoon,
Roasted ground peanuts -2 teaspoons,
Roasted ground urad powder -1 teaspoon,
Green chilies -5 (chopped),
Salt -as required</t>
  </si>
  <si>
    <t>வேகவைத்த பாசுமதிஅரிசி -250 கிராம்,
வாழைப்பூ -100 கிராம்,
நெய் – 50 மில்லி,
சோம்பு - 1 தேக்கரண்டி,
பட்டை, ஏலக்காய், கிராம்பு - ஒவ்வொன்றும் 2, 
சின்ன வெங்காயம் – 50 கிராம் (பாதியாக வெட்டியது),
கொத்துமல்லி தழை – ½   கப் (நறுக்கியது),
மஞ்சள் தூள் - 1/4 தேக்கரண்டி,
வறுத்துப் பொடி செய்த கடலைப் பருப்புப் தூன் - 2 தேக்கரண்டி, 
வறுத்துப் பொடி செய்த உளுந்து பொடி -1 தேக்கரண்டி, 
பச்சை மிளகாய் -5  (பொடியாக நறுக்கியது),
உப்பு - தேவையான அளவு</t>
  </si>
  <si>
    <t>Remove the stem-like vein in the middle of the banana flower, add water, turmeric powder, salt and boil for 6 minutes, drain the water. In a heavy bottomed pan, add ghee and when it is hot, add the cardamom pods, cloves and cardamom pods and fry for 5-10 seconds. Then add the aniseed and when it is browned, add the green chillies and fry.
Add turmeric powder, dal powder and urad dal powder and fry again for a few seconds on medium flame. When the raw smell of the above powders goes away, add the onion and fry for 10 seconds and then add the boiled banana flower and salt and fry. Now add the boiled rice and stir to distribute the spice mixture throughout. Add the chopped coriander and salt and check the seasoning.</t>
  </si>
  <si>
    <t xml:space="preserve">வாழைப்பூவின் நடுவில் தண்டு போல் உள்ள நரம்பினை நீக்கி, தண்ணீர் விட்டு மஞ்சள் தூள் , உப்பு சேர்த்து 6 நிமிடம் வேக வைத்து தண்ணீரை வடித்து வைத்தும் கொள்ளவும். அடி கனமான ஒரு பாத்திரத்தில் நெய் சேர்த்து சூடானதும் பட்டை, கிராம்பு, ஏலக்காய் போட்டு 5-10 வினாடிகள் வறுக்கவும். பின அதில் சோம்பு போட்டு பொர்த்ததும் பச்சை மிளகாய் போட்டு வதக்கவும்.
மஞ்சள் தூள், பருப்புப் பொடி, உளுத்துப் பொடி ஆகியவை சேர்த்து மீண்டும் சில வினாடிகள் மிதமான தீயில் வறுக்கவும். மேற்கூறிய பொடிகளின் பச்சை வாசனை  போனதும்  வெங்காயம் சேர்த்து 10 வினாடிகள் வதக்கிய பின் வேக வைத்துள்ள வாழைப்பூ மற்றும் உப்பு சேர்த்து வதக்கவும். இப்போது வேக வைத்துள்ள சாதத்தை சேர்த்து மசாலா கலவை முழுவதும் பரவும்படி கிளறி விடவும். நறுக்கிய கொத்துமல்லி சேர்த்து உப்பு, காரம் சரி பார்த்து இறக்கிப்பரிமாறவும்.  </t>
  </si>
  <si>
    <t>https://blogger.googleusercontent.com/img/b/R29vZ2xl/AVvXsEjJFSGYwehYE3W2aNY2uDkPFIB4sbJbA6PEkT8C9dJdrqzaFGtKUnlxweACGhiA1fUMDDtwOkmbicpDl1R6Ecv-ZSXFKksyQt3tq9Lsg__P5icvKuIKooPpNp9jAyxZNrj2XPVdE7-tVaRF/s1600/MVVR2.jpg</t>
  </si>
  <si>
    <t>Radish Rice</t>
  </si>
  <si>
    <t>முள்ளங்கி சாதம்</t>
  </si>
  <si>
    <t xml:space="preserve">Boiled basmati rice -250 grams,
Chopped radish -100 grams,
Coconut oil -50 ml,
Anise -1 teaspoon,
Cardamom pods, cloves -2 each,
Small onion -50 grams (cut in half),
Coriander leaves -1/2 cup (chopped),
Turmeric powder -1 teaspoon,
Chili powder -1 teaspoon,
Roasted peanut powder -2 teaspoons,
Roasted urad powder -2 teaspoons,
Green chilies 5 (chopped),
Salt -as required
</t>
  </si>
  <si>
    <t>வேகவைத்த பாசுமதி அரிசி -250 கிராம்,
நறுக்கிய முள்ளங்கி -100 கிராம்,
தேங்காய் எண்ணெய் - 50 மில்லி,
சோம்பு-1 தேக்கரண்டி,
பட்டை ஏலக்காய், கிராம்பு - ஒவ்வொன்றும் 2,
சின்ன வெங்காயம் -50 கிராம் (பாதியாக வெட்டியது),
கொத்துமல்லி தழை -1/2 கப் (நறுக்கியது),
மஞ்சள் தூள் - 1 தேக்கரண்டி,
மிளகாய்த்தூள் 1 தேக்கரண்டி,
வறுத்துப் பொடி செய்த கடலைப் பருப்புத் தூள் -2 தேக்கரண்டி,
வறுத்துப் பொடி செய்த உளுந்துப் பொடி - 2 தேக்கரண்டி,
பச்சைமிளகாய் 5 (பொடியாக நறுக்கியது),
உப்பு - தேவையான அளவு</t>
  </si>
  <si>
    <t>Chop the radish, add water, add a little turmeric powder, salt and boil for 6 minutes and drain the water. Heat coconut oil in a heavy bottomed pan, add the cardamom pods, cloves and cardamom pods and fry for 5-10 seconds. Then add the aniseed and once it is fried add the green chillies and fry.
Add turmeric powder, dal powder, urad dal powder and chilli powder and fry again for a few seconds on medium flame. When the raw smell of the above powders goes away, add the onion and fry for 10 seconds and then add the boiled radish and salt.
Now add the boiled rice and stir to distribute the spice mixture throughout. Add the chopped coriander, check the salt and pepper and serve.
Instead of basmati rice, you can also use ponni rice</t>
  </si>
  <si>
    <t>முள்ளங்கியை நறுக்கி தண்ணீர்விட்டு சிறிதளவு மஞ்சள்தூள், உப்பு சேர்த்து 6 நிமிடம் வேக வைத்து தண்ணீரை வடித்து வைத்துக்கொள்ளவும். அடி கனமான ஒரு பாத்திரத்தில் தேங்காய் எண்ணெய் சேர்த்துச் சூடானதும் பட்டை, கிராம்பு, ஏலக்காய் போட்டு 5- 10 விநாடிகள் வறுக்கவும். பின் அதில் சோம்பு போட்டு பொரிந்ததும் பச்சை மிளகாய் போட்டு வதக்கவும்.
மஞ்சள் தூள், பருப்புப் பொடி,உளுந்துப் பொடி, மிளகாய் தூள் ஆகியவை சேர்த்து மீண்டும் சில வினாடிகள் மிதமான தீயில் வறுக்கவும். மேற்கூறிய பொடிகளின் பச்சை வாசனை போனதும் வெங்காயம் சேர்த்து 10 விநாடிகள் வதங்கியபின் வேகவைத்துள்ள முள்ளங்கி மற்றும் உப்பு சேர்த்து வதக்கவும்.
இப்போது வேக வைத்துள்ள சாதத்தை சேர்த்து மசாலாக் கலவை முழுவதும் பரவும்படி கிளறி விடவும். நறுக்கிய கொத்துமல்லி சேர்த்து உப்பு, காரம் சரி பார்த்து இறக்கிப் பரிமாறவும்.
பாசுமதி அரிசிக்கு பதிலாக பொன்னி அரிசியையும் பயன்படுத்தலாம்</t>
  </si>
  <si>
    <t>https://www.aayisrecipes.com/wp-content/uploads/2010/08/radish-rice.jpg</t>
  </si>
  <si>
    <t>Banana Stem Rice</t>
  </si>
  <si>
    <t>வாழைத்தண்டு சாதம்</t>
  </si>
  <si>
    <t>Baked Basmati Rice / Ponni Rice - 250 grams,
Banana Stem - 1 (finely chopped),
Ghee - 50 ml,
Anise - 1 teaspoon,
Cardamom pods, Cloves - 2 each,
Small Onion - 50 grams (halved),
Coriander Leaves - 1/2 cup (chopped),
Turmeric Powder - 1/4 teaspoon,
Agarwood - 1 pinch,
Garlic - 8,
Roasted Peanut Powder - 2 teaspoons,
Roasted Uladhu Powder - 1 teaspoon,
Green Chillies - 5 (finely chopped),
Salt - as required</t>
  </si>
  <si>
    <t>வேகவைத்த பாசுமதி அரிசி / பொன்னி அரிசி - 250 கிராம், 
வாழைத்தண்டு - 1 (பொடியாக நறுக்கியது),
நல்லெண்ணெய் - 50 மில்லி, 
சோம்பு - 1 தேக்கரண்டி,
பட்டை ஏலக்காய், கிராம்பு - ஒவ்வொன்றும் 2, 
சின்ன வெங்காயம் - 50 கிராம் (பாதியாக வெட்டியது),
கொத்துமல்லி தழை - 1/2 கப் (நறுக்கியது),
மஞ்சள்தூள் - 1/4 தேக்கரண்டி,
பெருங்காயம் - 1 சிட்டிகை,
பூண்டு -8,
வறுத்துப் பொடி செய்த கடலைப் பருப்புத் தூள் - 2 தேக்கரண்டி, 
வறுத்துப் பொடி செய்த உளுந்துப் பொடி - 1 தேக்கரண்டி,
பச்சை மிளகாய் - 5 (பொடியாக நறுக்கியது), 
உப்பு - தேவையான அளவு</t>
  </si>
  <si>
    <t>Boil the banana stem in water, add a little turmeric powder, salt and boil for 6 minutes and drain the water. Keep it. Heat oil in a pan and add ginger and cloves and fry for 5-10 seconds. Then add anise and when it is fried, add green chilies, ginger, garlic, turmeric powder, dal powder, urad dal powder and fry again for a few seconds on medium flame.
When the raw smell of the above powders goes away, add onion and fry for 10 seconds and then add boiled banana stalk and salt. Now add the boiled rice and stir to distribute the spice mixture throughout. Add chopped coriander and salt and serve.</t>
  </si>
  <si>
    <t>வாழைத் தண்டை தண்ணீர் விட்டு சிறிதளவு மஞ்சள் தூள், உப்பு சேர்த்து 6 நிமிடம் வேகவைத்து தண்ணீரை வடித்து வைத்துக் கொள்ளவும். அடி பாத்திரத்தில் நல்லெண்ணெய் சேர்த்துச் சூடானதும் பட்டை, கிராம்பு போட்டு 5-10 விநாடிகள் வறுக்கவும். பின் அதில் சோம்பு போட்டு பொரிந்ததும் பச்சை மிளகாய், பெருங்காயம், பூண்டு, மஞ்சள்தூள், பருப்புப் பொடி, உளுந்துப் பொடி ஆகியவை சேர்த்து மீண்டும் சில வினாடிகள் மிதமான தீயில் வறுக்கவும்.
மேற்கூறிய பொடிகளின் பச்சை வாசனை போனதும் வெங்காயம் சேர்த்து 10 வினாடிகள் வதக்கிய பின் வேக வைத்துள்ள வாழைத்தண்டு மற்றும் உப்புசேர்த்தும்  வதக்கவும். இப்போது வேக வைத்துள்ள சாதத்தைச் சேர்த்து மசாலா கலவை முழுவதும் பரவும்படி கிளறி விடவும். நறுக்கிய கொத்துமல்லி சேர்த்து உப்பு, காரம் சரி பார்த்து இறக்கிப் பரிமாறவும்.</t>
  </si>
  <si>
    <t>https://blogger.googleusercontent.com/img/b/R29vZ2xl/AVvXsEj-cY4FhsAQVyo8_xYkAfEpdCPdy5oW02ZOeu6mKfS4UTAbwuXnAUfUTorBQrS4pt4Z0CefGKU0OCLAdTV-HSsq60lr4ypnWx91o-v1nKBj7ObRkTUMcZbhz-HV2qZO_1mZXrn9hD-pMsY/s1600/vazhapindi+thoran.JPG</t>
  </si>
  <si>
    <t>Betel leaves rice</t>
  </si>
  <si>
    <t>வெற்றிலை சாதம்</t>
  </si>
  <si>
    <t>4 finely chopped betel leaves,
250 grams cooked basmati or golden rice,
50 ml coconut oil,
1 teaspoon anise,
2 cloves,
2 cardamoms,
50 grams small onion (halved),
1/2 cup coriander (finely chopped),
2 tomatoes (finely chopped),
2 tablespoons roasted ground peanuts,
1 tablespoon roasted ground urad dal,
5 green chillies (finely chopped),
50 ml coconut milk,
as required salt,
1/2 teaspoon turmeric powder</t>
  </si>
  <si>
    <t>பொடியாக வெட்டிய வெற்றிலை-4,
வேக வைத்த பாசுமதி அல்லது பொன்னி அரிசி - 250 கிராம்,
தேங்காய் எண்ணெய் - 50 மில்லி,
சோம்பு -1 தேக்கரண்டி,
பட்டை -2,
கிராம்பு-2,
ஏலக்காய் -2,
சின்ன வெங்காயம் - 50 கிராம் (பாதியாக நறுக்கியது),
கொத்துமல்லி - 1/2 கப் (பொடியாக நறுக்கியது),
தக்காளி -2 (பொடியாக நறுக்கியது),
வறுத்துப் பொடியாக்கிய கடலைப் பருப்பு -2 தேக்கரண்டி,
வறுத்துப் பொடியாக்கிய உளுத்தம் பருப்பு – 1 தேக்கரண்டி,
பச்சை மிளகாய் - 5 (பொடியாக நறுக்கியது),
தேங்காய் பால் - 50 மில்லி,
உப்பு - தேவையான அளவு,
மஞ்சள்தூள் -1/2 தேக்கரண்டி</t>
  </si>
  <si>
    <t>In a heavy-bottomed vessel, heat the coconut oil and add the cardamom, cloves and cardamom. Fry for 10 seconds. Then add aniseed and when it is fried, add green chillies and fry. Now add turmeric powder, dal powder and urad powder and fry again for a few seconds on medium flame. Add tomatoes with the above ingredients and when the raw smell goes away, add onion and fry.
After frying the onion for 10 seconds, add betel leaves, coconut milk and salt and fry. Now add the cooked rice and stir to distribute the spice mixture throughout. Add chopped coriander and season with salt and pepper and serve.</t>
  </si>
  <si>
    <t xml:space="preserve">அடி கனமான ஒரு பாத்திரத்தில் தேங்காய் எண்ணெய் சேர்த்துச் சூடானதும் பட்டை, கிராம்பு, ஏலக்காய் போட்டு 5 - 10 வினாடிகள் வறுக்கவும். பின் அதில் சோம்பு போட்டு பொரிந்ததும் பச்சை மிளகாய் சேர்த்து வதக்கவும். மஞ்சள்தூள், பருப்புப் பொடி, உளுத்துப் பொடி ஆகியவற்றை இப்போது சேர்த்து மீண்டும் சில வினாடிகள் மிதமான தீயில் வறுக்கவும். மேற்கூறிய பொருட்களுடன் தக்காளி சேர்த்து பச்சை வாசனை போனதும் வெங்காயம் சேர்த்து வதக்கவும்.
வெங்காயம் 10 வினாடிகள் வதக்கியபின் வெற்றிலை, தேங்காய்ப்பால் மற்றும் உப்பு சேர்த்து வதக்கவும். இப்போது வேகவைத்த சாதத்தை சேர்த்து மசாலா கலவை முழுவதும் பரவும்படி கிளறி விடவும். நறுக்கிய கொத்துமல்லி சேர்த்து உப்பு, காரம் சரி பார்த்து இறக்கிப் பரிமாறவும்.
</t>
  </si>
  <si>
    <t>http://foodybuddy.net/wp-content/uploads/2014/06/betalleavesrice.jpg.jpg</t>
  </si>
  <si>
    <t>Ginger Garlic Rice</t>
  </si>
  <si>
    <t>இஞ்சி பூண்டு சாதம்</t>
  </si>
  <si>
    <t>White rice -250 grams,
Ginger (chopped) - a little,
Garlic (chopped) - a handful,
Coconut oil - 100 ml,
Green rice - 10 grams,
Dhaniya - 10 grams,
Onions - 2,
Caramel powder - a little,
Mustard powder - to taste,
Salt - as required</t>
  </si>
  <si>
    <t>வெள்ளை சாதம் -250 கிராம்,
இஞ்சி (நறுக்கியது) – சிறிது,
பூண்டு (நறுக்கியது) )- கைப்பிடி அளவு, 
தேங்காய் எண்ணெய் - 100 மிலி,
பச்சரிசி - 10 கிராம்,
தனியா – 10 கிராம்,
வெங்காயம் – 2,
பெருங்காயத்தூள் – சிறிது,
கடுகு உளுந்து –தாளிக்க,
உப்பு -தேவையான அளவு</t>
  </si>
  <si>
    <t>Take two cups of white rice. Finely chop the onion lengthwise. Pour oil in a pan and add mustard, urad dal, ginger, garlic and a little turmeric powder and fry well.
Then fry both the green rice and the dhania and grind them. Add this too and fry well and add a little salt. Finally, add the boiled rice and stir to combine, and the delicious ginger and garlic rice is ready.</t>
  </si>
  <si>
    <t>வெள்ளை சாதம் இரண்டு கப் எடுத்துக் கொள்ளவும். வெங்காயத்தை நீளவாக்கில் மெல்லிசாக நறுக்கவும். வாணலியில் எண்ணெயை ஊற்றி அதில் கடுகு, உளுந்து, இஞ்சி, பூண்டு மற்றும் சிறிது பெருங்காயத்தூள் சேர்த்து வதங்கியதும் சேர்த்து நன்கு வதக்கவும்.
பிறகு பச்சரிசி, தனியா இரண்டையும் வறுத்து அரைக்கவும் இதையும் சேர்த்து நன்றாக வதக்கிய பின் சிறிது உப்பு சேர்த்துக் கிறைவும். இறுதியாக வேகவைத்த சாதத்தை அதனுடன் சேர்த்துக் கிளறினால் கமகமக்கும் இஞ்சி, பூண்டு சாதம் தயார்.</t>
  </si>
  <si>
    <t>https://www.fortheloveofcooking.net/wp-content/uploads/2014/02/DSC_3639.jpg</t>
  </si>
  <si>
    <t>Orange Lemon Peel Rice</t>
  </si>
  <si>
    <t>ஆரஞ்சு எலுமிச்சை தோல் சாதம்</t>
  </si>
  <si>
    <t>Grated orange peel 1 tablespoon,
Grated lemon peel -1 tablespoon,
Green chilies -4 (chopped),
Oil - 2 tablespoons,
Grated ginger. 1 tablespoon,
Coriander chopped. -2 tablespoons,
Rice -250 grams,
Coconut milk-50 ml,
Salt - as needed</t>
  </si>
  <si>
    <t xml:space="preserve">ஆரஞ்சு தோல் துருவியது 1 தேக்கரண்டி, 
எலுமிச்சை தோல் துருவியது -1 தேக்கரண்டி, 
பச்சை மிளகாய் -4(நறுக்கியது), 
எண்ணெய் - 2 தேக்கரண்டி, 
இஞ்சி துருவியது. 1 தேக்கரண்டி, 
கொத்துமல்லி நறுக்கியது. -2தேக்கரண்டி, 
சாதம் -250 கிராம், 
தேங்காய்ப் பால்- 50 மில்லி, 
உப்பு - தேவையான அளவு
</t>
  </si>
  <si>
    <t>When oil is hot in a pan, add green chilies and ginger and fry. Then add coconut milk and salt and let it boil.
While it is boiling, add grated orange and lemon peel and let it boil. After the milk is boiled, add the rice and stir.. Let the "rice" simmer for 1 minute, add coriander leaves and stir and serve.</t>
  </si>
  <si>
    <t>வாணலியில் எண்ணெய் விட்டுக் காய்ந்ததும் பச்சை மிளகாய்,  இஞ்சி சேர்த்து வதக்கவும். பின் தேங்காய்ப் பால், உப்பு சேர்த்து வேக விடவும்.
கொதித்துக் கொண்டிருக்கும்போது துருவிய ஆரஞ்சு மற்றும் எலுமிச்சைத் தோல் சேர்த்து கொதிக்க விடவும். பால் சுண்டியபின் சாதத்தைச் சேர்த்து கிளறி விடவும்.. 1 நிமிடம் "சாதம் " தம்பிடிக்க விட்டு, கொத்துமல்லி தழை சேர்த்துக் கிளறிப் பரிமாறவும்.</t>
  </si>
  <si>
    <t>https://www.thespruceeats.com/thmb/loKkAbcG1ZjaG9yDy9uOtvIQ7Gs=/750x0/filters:no_upscale():max_bytes(150000):strip_icc()/lemon-rice-recipe-5213271-hero-01-e74de504d7364ac499ef96f804253b05.jpg</t>
  </si>
  <si>
    <t>Cauliflower Leaf Rice</t>
  </si>
  <si>
    <t>காலிஃபிளவர் இலை சாதம்</t>
  </si>
  <si>
    <t>Chopped cauliflower leaves -100 grams,
Rice -250 grams,
Agar powder -1 pinch,
Ball Chillies -4,
Coconut oil -2 teaspoons,
Mustard -1 teaspoon,
Turmeric powder-1/2 teaspoon,
Chili powder-1 teaspoon,
Pepper powder-1 teaspoon,
Cumin powder-1 teaspoon,
Salt -as required</t>
  </si>
  <si>
    <t>நறுக்கிய காலி பிளவர் இலை -100 கிராம்,
சாதம் -250 கிராம்,
பெருங்காய்த் தூள் -1 சிட்டிகை,
வரமிளகாய் – 4,
தேங்காய் எண்ணெய் -2 தேக்கரண்டி,
கடுகு -1 தேக்கரண்டி,
மஞ்சள்தூள்- 1/2 தேக்கரண்டி,
மிளகாய்த்தூள் -1 தேக்கரண்டி,
மிளகுத்தூள்-1 தேக்கரண்டி,
சீரகத்தூள் -1 தேக்கரண்டி,
உப்பு - தேவைக்கேற்ப</t>
  </si>
  <si>
    <t xml:space="preserve">Heat oil in a pan, add the agar powder and mustard and fry. Then add the bell peppers and fry until brown. Add turmeric powder, pepper powder, chili powder and salt and stir well.
Wait until the above mixture is cooked well in the water coming from the cauliflower leaves and add the rice and stir well. Let the rice sit for 1 minute, then add the cumin powder, check for salt and pepper, stir and serve.
</t>
  </si>
  <si>
    <t>வாணலியில் எண்ணெய் விட்டுக் காய்த்ததும் பெருங்காயத்தூள், கடுகு போட்டு பொரிய விடவும். பின் வரமிளகாய் சேர்த்துச் சிவக்க வறுக்கவும் மஞ்சள்தூள், மிளகுத்தூள், மிளகாய்த்தூள் சேர்த்து உப்பும் சேர்த்து நன்றாகக் கிளறவும்.
காலிபிளவர் இலையில் இருந்து வரும் தண்ணீரில் மேற் கூறிய கலவை நன்றாக வேகும் வரை காத்திருந்து சாதத்தை சேர்த்து நன்றாகக் கிளறி விடவும். 1 நிமிடம் சாதம் தம் இல் இருக்கவிட்டு பின் சீரகத்தூள் சேர்த்து உப்பு, காரம் சரிபார்த்து கிளறிப் பரிமாறவும்.</t>
  </si>
  <si>
    <t>https://www.funfoodfrolic.com/wp-content/uploads/2018/03/Cauliflower-Rice-3.jpg</t>
  </si>
  <si>
    <t>Vara Coriander Mushroom Biryani</t>
  </si>
  <si>
    <t>வர கொத்தமல்லி காளான் பிரியாணி</t>
  </si>
  <si>
    <t>Mushrooms -2 packets,
Basmati rice-250 grams,
Small onion-100 grams (cut in half),
Chopped ginger. -1 teaspoon, Chopped garlic 1 teaspoon,
Chopped green chilies -1 teaspoon,
Batteries -4 Fenugreek -1 teaspoon,
Chopped coriander-a little,
Coconut oil -5 teaspoons.
Ingredients required for making Biryani masala
Coriander -6 teaspoons, Grated coconut -50 grams,
Pepper -1 teaspoon, Fenugreek -2 teaspoons,
Green chilies-10 Pineapple blossoms-4,
Cardamom -3,
(Grind these and keep them as a spice).</t>
  </si>
  <si>
    <t>காளான் -2 பாக்கெட்,
பாசுமதி அரிசி சாதம்-250 கிராம்,
சின்ன வெங்காயம் -100 கிராம் (பாதியாக வெட்டப்பட்டது),
நறுக்கிய இஞ்சி. -1 தேக்கரண்டி, நறுக்கிய பூண்டு 1 தேக்கரண்டி,
நறுக்கிய பச்சை மிளகாய் -1 தேக்கரண்டி,
பட்டை - 4 வெந்தயம் - 1 தேக்கரண்டி,
நறுக்கிய கொத்தமல்லி- சிறிதளவு,
தேங்காய் எண்ணெய் - 5 தேக்கரண்டி.
பிரியாணி மசாலா செய்யத் தேவையான பொருட்கள்
மல்லி -6 தேக்கரண்டி, துருவிய தேங்காய் -50 கிராம்,
மிளகு -1 தேக்கரண்டி, வெந்தயம் - 2 தேக்கரண்டி,
பச்சை மிளகாய்-10 அன்னாசிப்பூ-4,
ஏலக்காய் -3,
(இவற்றை அரைத்து மசாலாவாக வைத்துக் கொள்ள வேண்டும்).</t>
  </si>
  <si>
    <t>Heat oil in a pan and add fenugreek and fenugreek and fry. Add the onion, ginger, garlic and green chillies and fry for 3 minutes.
Add the ground spices and mix well. Add the cleaned and chopped mushrooms and cook for 5 minutes with the required salt. Do not add any water. Add the basmati rice to this masala and mix it. It will spread all over the rice. Serve with chopped coriander leaves.</t>
  </si>
  <si>
    <t xml:space="preserve">வாணலியில் எண்ணெய் இட்டு வெந்தயம், பட்டை போட்டு வதக்கவும். அதனுடன் சின்ன வெங்காயம், இஞ்சி, பூண்டு பச்சை மிளகாய் ஆகியவை சேர்ந்து 3 நிமிடம் வதக்கவும்.
அரைத்த மசாலாவை அதனோடு சேர்த்துக் கிண்ட வேண்டும். சுத்தம் செய்யப்பட்டு வெட்டப்பட்ட காளானை தேவையான அளவு உப்பு சேர்த்து 5 நிமிடம் வேகவிடவும். அதோடு நீர் சேர்க்கக் கூடாது. இந்த மசாலாவோடு பாசுமதி அரிசியைச் சேர்த்து கலக்கவும். இது அரிசி முழுவதும் பரவும். இதனுடன் வெட்டப்பட்ட கொத்த மல்லியைச் சேர்த்துப் பரிமாறவும்.
</t>
  </si>
  <si>
    <t>https://www.cookwithkushi.com/wp-content/uploads/2015/09/quick_easy_mushroom_biryani_01.jpg</t>
  </si>
  <si>
    <t>Moong Dal Curry</t>
  </si>
  <si>
    <t>பாசிப்பருப்பு குழம்பு</t>
  </si>
  <si>
    <t>Basi Daruppu -100 grams,
Onion -3,
Green chillies -10,
Tomato -2,
Mustard -1 teaspoon,
Ultra gram dal -2 teaspoons,
Oil -1 tablespoon,
Chopped coriander leaves -1 teaspoon,
Curry leaves -a little,
Salt -as required.</t>
  </si>
  <si>
    <t xml:space="preserve">பாசிப் பருப்பு -100 கிராம்,
வெங்காயம் -3,
பச்சை மிளகாய்-10,
தக்காளி -2,
கடுகு -1 தேக்கரண்டி, 
உளுத்தம் பருப்பு -2 சிறுகரண்டி,
எண்ணெய்-1 மேசைக் கரண்டி, 
நறுக்கிய கொத்தமல்லி தழை -1 சிறு கரண்டி, 
கறிவேப்பிலை –சிறிதளவு, 
உப்பு -தேவையான அளவு.
</t>
  </si>
  <si>
    <t>Boil the basi dal well. Chop the onion and green chillies into small pieces. Heat oil in a pan, sauté the mustard, urad, onion, green chillies, and tomatoes.
Add the curry leaves, add the cooked dal and salt and let it boil. (If required, add 2 teaspoons of tamarind water) Add the chopped coriander and let it simmer.</t>
  </si>
  <si>
    <t xml:space="preserve">பாசிப் பருப்பை நன்றாக வேக வைக்கவும். வெங்காயத்தையும், பச்சை மிளகாயையும் சிறியதாக நறுக்கிக் கொள்ளவும். ஒரு கடாயில் எண்ணெயைக் காயவைத்து, அதில் கடுகு, உளுந்து, வெங்காயம், பச்சை மிளகாய், தக்காளி ஆகியவற்றைத் தாளித்து வதக்கவும்.
அதனோடு கறிவேப்பிலை சேர்த்து அதில் வெந்த பருப்பு மற்றும் உப்பு சேர்ந்து கொதிக்க விடவும். (தேவைப்பட்டால் 2 தேக்கரண்டி புளித் தண்ணீர் சேர்க்கலாம்) நறுக்கிய மல்லி சேர்த்து இறக்கவும்.
</t>
  </si>
  <si>
    <t>https://4.bp.blogspot.com/-wqrbyWbxq3Q/VajJwkmhZlI/AAAAAAADOx8/EtIa2XRt-f8/s1600/1.JPG</t>
  </si>
  <si>
    <t>Cut and crumbled gravy</t>
  </si>
  <si>
    <t>வெட்டி முறிச்ச குழம்பு</t>
  </si>
  <si>
    <t>Drumsticks- 2,
Garlic-10,
Garlic-5,
Onion-100 grams,
Coconut-50 grams,
Cumin-5 grams,
Anis-5 grams,
Cashew-20 grams,
Green chilies-3,
Oil-50 ml,
Salt-as required,
Taniya-3 tablespoons (roasted and ground),
Turmeric powder-a little.</t>
  </si>
  <si>
    <t>முருங்கைக்காய்- 2,
 கொத்தவரங்காய் -10,
அவரைக்காய் -5,
வெங்காயம் -100 கிராம், 
தேங்காய் -50 கிராம்,
சீரகம் -5 கிராம்,
சோம்பு- 5 கிராம்,
முந்திரி -20 கிராம்,
பச்சை மிளகாய்-3,
எண்ணெய் - 50 மிலி,
உப்பு -தேவையான அளவு,
தனியா- 3 மேசைக்கரண்டி (வறுத்துப் பொடியாக்கியது),
மஞ்சள்தூள்- சிறிது.</t>
  </si>
  <si>
    <t>Grind the coconut, cumin, anise, and cashew nuts with water. Then, when the oil is dry, add the chopped onion and green chilies to it and fry well. Add a little turmeric powder. Add the chopped vegetables to it and fry well.
Then add the ground mixture to it and fry it. Next, add the fried and powdered tanya and stir well. Add required amount of water and salt and boil for 2 minutes. After that, the cut and broken gravy is ready.
This is also suitable for kadu rice. It is also suitable for mixed rice. It goes well with chapati, puri etc.</t>
  </si>
  <si>
    <t xml:space="preserve">தேங்காய், சீரகம், சோம்பு, முந்திரி இவற்றை தண்ணீரை ஊற்றி அரைத்துக் கொள்ளவும். பிறகு வாணலியில் எண்ணெய் ஊற்றிக் காய்ந்ததும், அதில் பொடியாக நறுக்கிய வெங்காயம், பச்சை மிளகாய் சேர்த்து நன்றாக வதக்கவும். சிறிது மஞ்சள்தூள் சேர்த்துக் கொள்ளவும். வெட்டி வைத்துள்ள காய்கறிகளை அதனுடன் சேர்த்து நன்றாக வதக்கவும்.
பின்பு அரைத்து வைத்த கலவையை அதனுடன் சேர்த்து பிரட்டவும். அடுத்ததாக வறுத்துப் பொடியாக்கிய தனியாவை சேர்த்து நன்றாகக் கிளறவும். தேவையான அளவு தண்ணீர் மற்றும் உப்பு சேர்த்து 2 நிமிடம் கொதிக்க வைத்து இறக்கினால் வெட்டி முறிச்ச குழம்பு ரெடி.
இது கடு சாதத்திற்கும் ஏற்றது. கலந்த சாதத்திற்கும் ஏற்றது. சப்பாத்தி, பூரி போன்றவற்றுடனும் சுவையாக ஜோடி சேரும்.
</t>
  </si>
  <si>
    <t>https://maayeka.com/wp-content/uploads/2022/05/1m-drumstick-aloo-sabji.jpg.webp</t>
  </si>
  <si>
    <t>Potatoes and Birkkankai Soup</t>
  </si>
  <si>
    <t>உருளை பீர்க்கங்காய் குழம்பு</t>
  </si>
  <si>
    <t>Potatoes -200 grams, Potatoes -200 grams, Coriander -1 cup, Pepper -3 teaspoons, 
Curry leaves -1/4 cup, 
Peanuts -2 teaspoons, 
Ginger -1 piece (finely chopped), 
Garlic -3 cloves (minced), 
Green chillies -5, 
Onion -1 pinch,
 Onion -100 grams,
 Tomato -100 grams, 
Mustard -1/4 teaspoon, 
Salt -as required, 
Oil -4 tablespoons</t>
  </si>
  <si>
    <t>உருளைக்கிழங்கு -200 கிராம்,
பீர்க்கங்காய்-200 கிராம்,
மல்லி -1கப்,
மிளகு - 3 தேக்கரண்டி,
கறிவேப்பிலை-1/4கப்,
கடலைப் பருப்பு -2 தேக்கரண்டி,
இஞ்சி -1 துண்டு (சிறிதாக வெட்டியது),
பூண்டு - 3 பல் (பொடியாக வெட்டியது),
பச்சை மிளகாய் -5,
பெருங்காயம்- 1 சிட்டிகை,
வெங்காயம் -100 கிராம்,
தக்காளி -100 கிராம்,
கடுகு -1/4 தேக்கரண்டி,
உப்பு -தேவையான அளவு,
எண்ணெய்- 4 மேசைக்கரண்டி</t>
  </si>
  <si>
    <t>In a heavy-bottomed vessel, heat the oil and add mustard, onion, curry leaves, pepper, ginger, garlic. Add onion, tomato, 2 cups of water and salt.
Grind green chillies and peanuts with water. After some time, add chopped potatoes, beetroot and ground peanuts and let it boil. Remove from heat and serve.</t>
  </si>
  <si>
    <t xml:space="preserve">அடிகனமான ஒரு பாத்திரத்தில் எண்ணெயை இட்டுச் சூடானவுடன் அதில் கடுகு, பெருங்காயம், கறிவேப்பிலை, மிளகு, இஞ்சி, பூண்டு ஆகியவற்றைச் சேர்க்கவும். அதனுடன் வெங்காயம்,  தக்காளி,  2 கப் நீர் சேர்த்து உப்பு சேர்க்கவும்.
பச்சை மிளகாய் மற்றும் கடலைப்பருப்பு ஆகியவற்றை தண்ணீர்விட்டு அரைத்துக் கொள்ளவும். சிறிது நேரம் கழித்து அதனுடன் நறுக்கிய உருளை, பீர்க்கங்காய் மற்றும் அரைத்த கடலைப் பருப்பை சேர்த்துக் கொதிக்க விடவும். வெந்தவுடன் இறக்கிப் பரிமாறவும்.
</t>
  </si>
  <si>
    <t>https://www.archanaskitchen.com/images/archanaskitchen/Indian_Vegetables_Gravy/peerkangai_paal_kuzhambu_Ridge_Gourd_Milk_Curry-1.jpg</t>
  </si>
  <si>
    <t>Onion Mandi</t>
  </si>
  <si>
    <t>வெங்காய மண்டி</t>
  </si>
  <si>
    <t>Peeled small onion - 1/4 kg,
Garlic -100 grams,
Tomato -3,
Tamarind - lemon size,
Cumin -1/2 teaspoon,
Mustard -1 teaspoon,
Red chillies -4,
Curry leaves. 2 bunches,
Salt - as required,
Rice water (rice washing water) - 2 cups,
Jaggery -100 grams,
Green chillies -4,
Cornilara -1 tablespoon,
Oil -100 ml,
A pinch of coriander</t>
  </si>
  <si>
    <t>உரித்த சின்ன வெங்காயம் - 1/4 கி,
பூண்டு -100கிராம்,
தக்காளி-3,
புளி – எலுமிச்சையளவு,   
சீரகம் -1/2 தேக்கரண்டி,
கடுகு-1 தேக்கரண்டி,
வரமிளகாய்-4,
கறிவேப்பிலை. 2 கொத்துகள்,
உப்பு- தேவைக்கேற்ப,
கழுநீர்(அரிசியைக்கழுவிய நீர்  )- 2கப்,
வெல்லம் - 100 கிராம்,
பச்சை மிளகாய்-4,
மல்லித்தூள் -1 மேசைக்கரண்டி,
எண்ணெய் -100 மில்லி,
கொத்துமல்லி சிறிதளவு</t>
  </si>
  <si>
    <t>Chop the onion, tomato, and garlic into powder. Pour oil in a pan and add the mustard, cumin, red chillies, and curry leaves. Once the mustard seeds crackle, add the onion, garlic, and tomatoes and sauté. Add green chillies, tamarind water, turmeric water, coriander leaves and let it boil.
Once it boils well, add a little jaggery and salt and let it boil. Finally, sprinkle coriander leaves and let it cool.</t>
  </si>
  <si>
    <t>வெங்காயம், தக்காளி, பூண்டைப் பொடியாக நறுக்கிக் கொள்ளவும். வாணலியில் எண்ணெய் ஊற்றி கடுகு, சீரகம், வரமிளகாய், கறிவேப்பிலை சேர்க்கவும். கடுகு பொரிந்தவுடன் அத்துடன் வெங்காயம், பூண்டு, தக்காளி சேர்த்து வதக்கவும். பச்சை மிளகாய், புளித்தண்ணீர், கழுநீர், மல்லித்தூள் சேர்த்துக் கொதிக்க விடவும்.
நன்றாகக் கொதித்தவுடன் அத்துடன் சிறிது வெல்லம் மற்றும் உப்பு சேர்த்துக் கொதிக்க விடவும். கடைசியாக கொத்துமல்லி தூவி இறக்கவும்.</t>
  </si>
  <si>
    <t>https://i0.wp.com/cookingfromheart.com/wp-content/uploads/2015/12/ch_dsc_0249_1.jpg?resize=720%2C480&amp;ssl=1</t>
  </si>
  <si>
    <t>Banana Milk Soup</t>
  </si>
  <si>
    <t>வாழைக்காய் பால் குழம்பு</t>
  </si>
  <si>
    <t>Banana-2,
Tamarind-25 grams,
Turmeric powder-1/2 teaspoon,
Coconut milk-200 ml,
Onion-150 grams (chopped finely),
Coconut oil-50 ml,
Mustard-1 teaspoon,
Peanuts-1 teaspoon,
Salt-as required,
Roasted and powdered fenugreek-3 tablespoons.</t>
  </si>
  <si>
    <t>வாழைக்காய்-2,
புளி - 25 கிராம்,
மஞ்சள்தூள்-1/2 தேக்கரண்டி,
தேங்காய்ப்பால்- 200 மில்லி,
வெங்காயம் -150 கிராம் (சிறியதாக நறுக்கிக் கொள்ளவும்),
தேங்காய் எண்ணெய்- 50 மிலி,
கடுகு-1 தேக்கரண்டி,
உளுந்து-1 தேக்கரண்டி,
உப்பு- தேவைக்கேற்ப,
வறுத்துப் பொடி செய்த உளுந்து - 3 மேசைக்கரண்டி.</t>
  </si>
  <si>
    <t>Cut the banana into squares without peeling it, soak the pulp in water and squeeze it well.
Add oil to a pan and add mustard and fenugreek. Add onion and sauté it and add the banana. After some time, add tamarind juice.
Add turmeric powder and fenugreek powder to it and boil it for some time. Finally, add coconut milk and serve it with a little bit of spiciness.</t>
  </si>
  <si>
    <t>வாழைக்காயை தோல் சீவாமல் சதுரமாக நறுக்கவும், புவியை தண்ணீரில் ஊற வைத்து நன்கு பிழிந்து வைத்துக் கொள்ளவும்.
வாணலியில் எண்ணெய் இட்டு கடுகு, உளுந்து போடவும். அதனுடன் வெங்காயம் சேர்த்து வதக்கி வாழைக்காயைப் போடவும். சிறிது நேரம் கழித்து புளிச்சாற்றினை சேர்க்கவும்.
அதனுடன் மஞ்சள்தூள், உளுத்துப்பொடி சேர்த்து சிறிது நேரம் கொதிக்க வைக்கவும். கடைசியாக தேங்காய்ப்பால் இட்டு சிறிது நேரம் கிண்டிப் பரிமாறவும்.</t>
  </si>
  <si>
    <t>https://i0.wp.com/cookingwithpree.com/wp-content/uploads/2020/05/kalyana-mor-kuzhambu-2.jpg?resize=684%2C1024&amp;ssl=1</t>
  </si>
  <si>
    <t>Curry leaves and ketik gravy</t>
  </si>
  <si>
    <t>கறிவேப்பிலை கெட்டிக் குழம்பு</t>
  </si>
  <si>
    <t>Curry leaves -1/4 kg,
Small onion 1/4 kg,
Garlic - 1/4 kg,
Green chillies -100 gm,
Ginger - 100 gm,
Ghee - 150 ml,
Fenugreek - 1/2 tsp,
Mustard 1/2 tsp,
Aseem -1 tsp,
Salt -as required,
Chili powder -1 tsp,
Tomato -1/4 kg,
Coriander -2 tsp,
Turmeric powder -1/2 tsp,
Cashew nuts -25 gm (roasted in ghee),
Cumin 1 tsp</t>
  </si>
  <si>
    <t>கறிவேப்பிலை -1/4 கிலோ,
சின்ன வெங்காயம் 1/4 கிலோ,
பூண்டு - 1/4 கிலோ,
பச்சை மிளகாய் -100 கிராம்,
இஞ்சி - 100 கிராம்,
நல்லெண்ணெய்- 150 மில்லி,
வெந்தயம் - 1/2 தேக்கரண்டி,
கடுகு 1/2 தேக்கரண்டி,
சோம்பு -1 தேக்கரண்டி,
உப்பு –தேவைக்கேற்ப,
மிளகாய்த்தூள்-1 தேக்கரண்டி,
தக்காளி - 1/4 கிலோ,
மல்லித்தூள் - 2 தேக்கரண்டி,
மஞ்சள் தூள் -1/2 தேக்கரண்டி,
முந்திரி -25 கிராம் (நெய்யில் வறுத்தது),
சீரகம் 1 தேக்கரண்டி</t>
  </si>
  <si>
    <t>Heat the ghee and add cumin, anise, onion, ginger. Garlic, green chillies and curry leaves and grind them. Now heat the oil and add the mustard seeds and let it crackle. Add the fenugreek seeds and chopped onion and fry them.
Add the tomato juice, a little turmeric powder, chilli powder, coriander leaves and cook until the raw smell goes away. Now add the curry leaves. Add the ground spices and salt and cook them. After it is cooked, add the cashew nuts and serve.</t>
  </si>
  <si>
    <t xml:space="preserve">நல்லெண்ணெயைச் சூடுசெய்து அதனுடன் சீரகம், சோம்பு, வெங்காயம், இஞ்சி. பூண்டு, பச்சை மிளகாய், கறிவேப்பிலை ஆகியவை சேர்த்து அரைத்துக் கொள்ளவும். இப்போது நல்லெண்ணெயைச் சூடுசெய்து கடுகினை அதில் போட்டு வெடிக்க விடவும். அதனோடு வெந்தயம், நறுக்கிய வெங்காயம் சேர்த்து வதக்கவும்.
அதனோடு தக்காளிச் சாற்றை சேர்த்து சிறிது மஞ்சள்தூள், மிளகாய்த்தூள், மல்லித்தூள் சேர்த்து பச்சை வாடை நீங்கும் வரை வேகவிடவும். இப்பொழுது கறிவேப்பிலை. அரைத்த மசாலாவை உப்பு சேர்த்து வேகவிடவும். வெந்தபிறகு முந்திரி சேர்த்து இறக்கிப் பரிமாறவும்.
</t>
  </si>
  <si>
    <t>https://www.sharmispassions.com/wp-content/uploads/2020/12/16429338686_501418deb0_o.jpg</t>
  </si>
  <si>
    <t>Tomato gravy</t>
  </si>
  <si>
    <t>தக்காளி குழம்பு</t>
  </si>
  <si>
    <t>Tomatoes -3 (chopped),
Tomatoes -200 grams (finely chopped),
Onion -50 grams,
Cinnamon, cloves, cardamom -1 teaspoon each,
Anise -2 tablespoons,
Poppy seeds -2 tablespoons,
Grated coconut-2 cups,
Oil -2 tablespoons,
Salt - as required,
Chili powder -25 grams,
Coriander -50 grams,
Garlic -4,
Pineapple blossoms-2,
Ghee-1 tablespoon,
Coriander -2 tablespoons.</t>
  </si>
  <si>
    <t>தக்காளி -3 (அரைக்க),
தக்காளி -200 கிராம் (சிறிதாக வெட்டியது),
வெங்காயம் - 50 கிராம்,
லவங்கப்பட்டை, லவங்கம், ஏலக்காய் -1 தேக்கரண்டி வீதம்,
சோம்பு – 2 மேசைக்கரண்டி,
கசகசா - 2 மேசைக்கரண்டி,
துருவிய தேங்காய்-2கப்,
எண்ணெய் -2 மேசைக்கரண்டி,
உப்பு -  தேவைக்கேற்ப,
மிளகாய்த்தூள் - 25 கிராம்,
மல்லித்தூள்-50 கிராம்,
பூண்டு – 4,
அன்னாசிப்பூ-2,
நெய்-1 மேசைக்கரண்டி,
கொத்தமல்லி -2 மேசைக்கரண்டி.</t>
  </si>
  <si>
    <t>Heat oil in a pan and add onion, tomato, cinnamon stick, cardamom, pineapple blossom, garlic, coconut, chili powder, coriander, anise, and poppy seeds. Cook until the raw smell goes away and let it cool. Then grind it like ink.
Heat oil and ghee and add onion, tomato, and garlic and fry until golden brown. Add ground spices and salt to it and cook on medium heat for about 20 minutes. When the oil rises to the top, sprinkle coriander leaves on it and serve.</t>
  </si>
  <si>
    <t xml:space="preserve">வாணலியில் எண்ணெய் இட்டு வெங்காயம், தக்காளி, லவங்கப் பட்டை, லவங்கம், ஏலக்காய், அன்னாசிப்பூ, பூண்டு, தேங்காய், மிளகாய்த்தூள், மல்லித்தூள், சோம்பு , கசகசா ஆகியவற்றைச் சேர்த்து பச்சை வாடை போகும் வரை வேகவிட்டு குளிர வைக்கவும். பிறகு அதனை மைபோல அரைக்கவும்.
எண்ணெய் மற்றும் நெய்யைச் சூடாக்கி வெங்காயம், தக்காளி,பூண்டு சேர்த்து பொன்னிறம் வரும்வரை வதக்கவும். அதனோடு அரைத்த மசாலாவும் உப்பும் சேர்த்து, சுமார் 20 நிமிடம் மிதமான தீயில் வேகவிடவும். எண்ணெய் மேலே எழும்பியதும் அதன்மேல் கொத்துமல்லி தூவிப் பரிமாறவும்.
</t>
  </si>
  <si>
    <t>https://vaya.in/recipes/wp-content/uploads/2019/12/Tomato-Kulambu-2.jpg</t>
  </si>
  <si>
    <t>Appala gravy</t>
  </si>
  <si>
    <t>அப்பளக் குழம்பு</t>
  </si>
  <si>
    <t>Appala -2 large,
Coconut flakes-50 grams,
Mustard -1 teaspoon,
Tomato -1,
Curry leaves - a little,
Sambar powder - 3 tablespoons,
Salt -as needed,
Garlic powder -1/4 teaspoon,
Small onions - 6,
Coriander - a little,
Ghee -4 tablespoons.</t>
  </si>
  <si>
    <t>அப்பளம் -2 பெரியது,
தேங்காய்த்துருவல்-50 கிராம்,
கடுகு -1 தேக்கரண்டி,
தக்காளி -1,
கறிவேப்பிலை – சிறிதளவு,
சாம்பார்த்தூள் - 3 மேசைக்கரண்டி,
உப்பு -தேவையான அளவு,
உளுந்து -1/4 தேக்கரண்டி,
சிறிய வெங்காயம் – 6,
கொத்துமல்லி- சிறிதளவு,
நல்லெண்ணெய் -4 மேசைக்கரண்டி.</t>
  </si>
  <si>
    <t>Fry the onion and grated coconut in hot oil, add the sambar powder and grind it well. Heat oil in a pan, fry the mustard seeds, curry leaves and cut the appala into pieces. Once the appala is fried, add the tomatoes and fry.
Boil the ground paste and salt with a little water. After it cools down, add coriander and serve. It is important to add salt carefully as the bread contains salt.</t>
  </si>
  <si>
    <t>சூடான எண்ணெயில் வெங்காயத்தையும், தேங்காய்த் துருவலையும் வதக்கியதும் சாம்பார்த்தூள் சேர்த்து நன்றாக அரைக்கவும். ஒரு கடாயில் எண்ணெய் விட்டு கடுகு உளுந்து, கறிவேப்பிலை தாளித்து அப்பளத்தைத் துண்டுகளாக்கிச் சேர்க்கவும் அப்பளம் பொரிந்தவுடன் தக்காளியைச் சேர்த்து வதக்கவும்.
சிறிதளவு தண்ணீர் விட்டு அரைத்த விழுதையும் உப்பையும் சேர்த்துக் கொதிக்க வைக்கவும். இறக்கி வைத்ததும் கொத்துமல்லி சேர்த்துப் பரிமாறலாம். அப்பனத்திலேயே உப்பு இருப்பதால் கவனமாக உப்பு சேர்த்தல் அவசியம்.</t>
  </si>
  <si>
    <t>https://i0.wp.com/cookingfromheart.com/wp-content/uploads/2020/06/Appalam-Kuzhambu-3.jpg?w=683&amp;ssl=1</t>
  </si>
  <si>
    <t>Vegetable Thanni Kulambu</t>
  </si>
  <si>
    <t>காய்கறி தண்ணீர்க் குழம்பு</t>
  </si>
  <si>
    <t>Peas -50 grams,
Beans -50 grams,
Cauliflower -50 grams,
Potato -1,
Tomato -4,
Peeled small onion - 1/2 kg,
Turmeric powder -1 teaspoon,
Green chilies -10,
Curry leaves - 2 bunches,
Oil -2 teaspoons,
Ginger garlic paste -2 teaspoons,
Roasted urad dal powder 1 teaspoon,
Salt - as required.</t>
  </si>
  <si>
    <t>பட்டாணி -50 கிராம்,
பீன்ஸ் -50 கிராம்,
காலிபிளவர் -50 கிராம்,
உருளைக்கிழங்கு -1,
தக்காளி -4,
உரித்த சின்னவெங்காயம்- 1/2 கிலோ,
மஞ்சள் தூள் -1 தேக்கரண்டி,
பச்சைமிளகாய் -10,
கறிவேப்பிலை - 2 கொத்து,
எண்ணெய் -2 தேக்கரண்டி,
இஞ்சிபூண்டு விழுது -2தேக்கரண்டி,
வறுத்த உளுந்துப்பொடி 1 தேக்கரண்டி,
உப்பு - தேவையான அளவு.</t>
  </si>
  <si>
    <t>In a bowl, add peas, beans, cauliflower, potato, tomato, onion, turmeric powder, green chilies, salt, ginger garlic paste and cook well. Once the vegetables are cooked, keep it on medium heat.
Pour oil in a pan and when it is hot, add curry leaves and urad dal powder and season. Boil this dal with vegetables and let it cool. You can eat it with idli.</t>
  </si>
  <si>
    <t>ஒரு பாத்திரத்தில் பட்டாணி, பீன்ஸ், காலிபிளவர், உருளை, தக்காளி, வெங்காயம், மஞ்சள்தூள், பச்சைமிளகாய், உப்பு, இஞ்சிபூண்டு விழுது சேர்த்து நன்றாக வேகவிடவும். காய்கறிகள் மிருதுவாக வெந்தவுடன் மிதமான சூட்டில் வைக்கவும்.
ஒரு வாணலியில் எண்ணெய் ஊற்றிக் காய்ந்ததும் கறிவேப்பிலை, உளுந்துபொடி சேர்த்து தாளிக்கவும். இந்த தாளிப்பைக் காய்கறிகளோடு சேர்த்துக் கொதிக்க வைத்து இறக்கவும். இதனை இட்லியோடு சேர்த்துச் சாப்பிடலாம்.</t>
  </si>
  <si>
    <t>https://fitnfast.org/wp-content/uploads/2020/12/Thumbnail1-1536x864.jpg</t>
  </si>
  <si>
    <t>Coconut gravy</t>
  </si>
  <si>
    <t>தேங்காய் குழம்பு</t>
  </si>
  <si>
    <t>Coconut (chopped)- 100 grams,
Grated coconut-100 grams,
Baking stock, cloves, cardamom, pineapple blossom – 3 each,
Anise – 1 pinch,
Cumin – 1 teaspoon,
Poppy seeds – 1 teaspoon,
Coconut oil – 3 teaspoons,
Small onion – 100 grams (chopped),
Coriander – a little,
Salt – as required.</t>
  </si>
  <si>
    <t>தேங்காய் (நறுக்கியது)- 100 கிராம்,
தேங்காய்த் துருவல் -100 கிராம்,
பட்டை, கிராம்பு, ஏலக்காய், அன்னாசிப்பூ – ஒவ்வொன்றும் 3,
சோம்பு - 1 தேக்காண்டி,
சீரகம் -1 தேக்கரண்டி,
கசகசா – 1 தேக்கரண்டி,
தேங்காய் எண்ணெய் – 3 தேக்கரண்டி,
சின்ன வெங்காயம் - 100 கிராம் (நறுக்கியது),
கொத்துமல்லி – சிறிதளவு,
உப்பு - தேவையான அளவு.</t>
  </si>
  <si>
    <t>Grind the coconut, bark, cloves, cardamom, pineapple blossom, anise, cumin. Poppy seeds, grind everything with water. Heat coconut oil in a pan and add the small onion. Add salt. Add the chopped coconut and fry until golden brown.
Add the ground spices and fry on medium heat for about 10 minutes. Add water when the color changes. Add required salt and coriander and cook on medium heat for 3 minutes. Once it boils well, remove from heat and serve.</t>
  </si>
  <si>
    <t>தேங்காய்த்துருவல், பட்டை, கிராம்பு, ஏலக்காய், அன்னாசிப்பூ, சோம்பு, சீரகம். கசகசா எல்லாவற்றையும் தண்ணீர் விட்டு மைய அரைக்கவும். வாணலியில் தேங்காய் எண்ணெயைச் சூடுசெய்து சின்னவெங்காயம். உப்பு சேர்க்கவும் இதனோடு நறுக்கிய தேங்காய் சேர்த்து பொன்னிறம் வரும் வரை வதக்கவும்.
அதனோடு அரைத்து வைத்த மசாலாவைச் சேர்த்து, மிதமான தீயில் சுமார் 10 நிமிடம் வதக்கவும். நிறம் மாறும் நேரத்தில் தண்ணீர் சேர்க்கவும். அதனோடு தேவையான அளவு உப்பு, கொத்துமல்லி சேர்த்து மிதமான சூட்டில் -3 நிமிடம் வைக்கவும். நன்கு கொதித்தவுடன் இறக்கிப் பரிமாறவும்.</t>
  </si>
  <si>
    <t>https://www.spiceindiaonline.com/wp-content/uploads/2019/07/Thengai-Paal-Kozhi-Kuzhambu-1.jpg</t>
  </si>
  <si>
    <t>Chickpea Piratal</t>
  </si>
  <si>
    <t>கொண்டைக்கடலைப் பிரட்டல்</t>
  </si>
  <si>
    <t>Black chickpeas - 150 grams,
Large onion -3,
Tomato -4,s
Curry leaves -1 bunch,
Oil-2 tablespoons,
Ghee -2 tablespoons,
Mustard -1/2 teaspoon,
Chili powder-1 tablespoon,
Pepper-1 teaspoon,
Baking powder -2,
Coriander leaves-2 tablespoons,
Salt - as required,
Turmeric powder-1/2 teaspoon,
Coconut -1/2 lid,
Anise - ½ teaspoon,
Cashew nuts -50 grams,
Ginger garlic paste -1 teaspoon,
Pepper powder-1 teaspoon.</t>
  </si>
  <si>
    <t>கருப்புச் கொண்டைக்கடலை - 150 கிராம்,
பெரிய வெங்காயம் -3,
தக்காளி -4,s
கறிவேப்பிலை -1 கொத்து,
எண்ணெய்-2 மேசைக்கரண்டி,
நெய்  - 2 மேசைக்கரண்டி ,
கடுகு - 1/2 தேக்கரண்டி, 
மிளகாய்த்தூள்- 1 மேசைக்கரண்டி, 
மிளகு- 1 தேக்கரண்டி,
பட்டை  -2,
மல்லித்தூள்- 2 மேசைக்கரண்டி,
உப்பு – தேவைக்கேற்ப, 
மஞ்சள்தூள் -1/2 தேக்கரண்டி,
தேங்காய் -1/2 மூடி, 
சோம்பு - ½ தேக்கரண்டி, 
முந்திரி -50கிராம், 
இஞ்சி பூண்டு விழுது - 1 தேக்கரண்டி,
மிளகுப் பொடி-1 தேக்கரண்டி.</t>
  </si>
  <si>
    <t>Soak and boil the chickpeas. Lightly fry the pepper and the peel and grind it into powder. Chop the onion and tomato into powder. Grind the tomato into a paste.
Pour oil in a pan and when it is hot, add mustard and fry it. Add ginger and garlic paste and fry it. Add chili powder, turmeric powder, coriander powder to it. Add the grated tomato and pepper powder and let it boil. Grate the coconut and grind it into a paste by adding anise and cashew nuts. Add salt and grated coconut masala to the boiling tomato mixture and cook until the oil separates. Finally, add boiled chickpeas and curry leaves to it. Add ghee and mix and serve. Eat this with everything like chapati, puri, rice.</t>
  </si>
  <si>
    <t xml:space="preserve">கொண்டைக் கடலையை ஊறவைத்து, வேகவைத்துக் கொள்ளவும். மிளகு, பட்டையை இலேசாக வறுத்துப் பொடியாக அரைக்கவும். வெங்காயம், தக்காளியை பொடியாக நறுக்கிக் கொள்ளவும். தக்காளியை மையாக அரைக்கவும்.
வாணலியில் எண்ணெய் ஊற்றிக் காய்த்ததும் கடுகு போட்டுப் பொரித்தவுடன்  வெங்காயம் சேர்த்து வதக்கவும். இத்துடன் இஞ்சி, பூண்டு விழுது சேர்த்து வதக்கி கொள்ளவும். இதில் மிளகாய்த்தூள், மஞ்சள்தூள், மல்லித்தூள் சேர்க்கவும். அரைத்த தக்காளி மற்றும் மிளகுப்பொடி சேர்த்துக்கொதிக்க விடவும். தேங்காயைத் துருவி அதனுடன்  சோம்பு, முந்திரி சேர்த்து மையாக அரைக்கவும். கொதித்துக் கொண்டிருக்கும் தக்காளிக் கரைசலுடன் உப்பு, அரைத்து வைத்த தேங்காய் மசாலா சேர்த்து எண்ணெய் பிரியும் வரை வேகவிடவும். கடைசியாக இதில் வேகவைத்த கொண்டைக் கடலை, கறிவேப்பிலை சேர்த்துக் கலக்கவும். நெய் சேர்த்துக்  கலக்கிப் பரிமாறவும். இதை சப்பாத்தி, பூரி, சாதம் என எல்லாவற்றிற்கும் சேர்த்துச் சாப்பிடவும்.
</t>
  </si>
  <si>
    <t>https://static.vecteezy.com/system/resources/previews/049/930/798/non_2x/traditional-indian-chole-masala-a-flavorful-culinary-delight-photo.jpeg</t>
  </si>
  <si>
    <t>Vimalaka Kai Salna</t>
  </si>
  <si>
    <t>விமலாக்கா காய் சால்னா</t>
  </si>
  <si>
    <t>Rolled Potato - 250 gms (chopped),
Carrot - 3 (chopped),
Beans - 50 gms (chopped),
Green Peas - 50 gms,
Ginger, Garlic, Spices - 1 tsp,
Tomato - 2 cups,
Small Onion - 1 cup,
Chili Powder - 2 tsp,
Mung Bean Powder - 1/4 tsp,
Green Chillies - 4,
Coriander - 2 tsp (chopped),
Mint - 2 tsp (chopped),
Salt - as required,
Coconut - 2 cups (grated),
Poppy Seed - 2 tsp,
Cardamom - 3,
Cinnamon - 3,
Pineapple Blossom - 3,
Coconut Oil - 2 tsp.</t>
  </si>
  <si>
    <t xml:space="preserve">உருளைக் கிழங்கு - 250 கிராம் (நறுக்கியது),
காரட் -3 (நறுக்கியது),
பீன்ஸ் - 50 கிராம் (நறுக்கியது),
பச்சைப் பட்டாணி - 50 கிராம்,
இஞ்சி, பூண்டு, மசாலா - 1 தேக்கரண்டி,
தக்காளி - 2 கிண்ணம்,
சின்ன வெங்காயம் - 1 கிண்ணம்,
மிளகாய்ப் பொடி - 2 தேக்கரண்டி,
மஞ்சய்தூள் - 1/4 தேக்கரண்டி,
பச்சைமிளகாய் -4,
கொத்துமல்லி - 2 தேக்கரண்டி (நறுக்கியது),
புதினா - 2 தேக்கரண்டி(நறுக்கியது),
உப்பு – தேவைக்கேற்ப,
தேங்காய்-2 கிண்ணம் (துருவியது),
கசகசா -2 தேக்கரண்டி,
ஏலக்காய்  - 3,
லவங்கம் – 3,
அன்னாசிப்பூ- 3,
தேங்காய் எண்ணெய் -2 தேக்கரண்டி.
</t>
  </si>
  <si>
    <t xml:space="preserve">
In hot coconut oil, add coconut, poppy seeds, cardamom, cinnamon, cloves, and pineapple blossoms and fry them well and grind them nicely.
Put the ground spices in a heavy bottomed vessel, mix them with the chopped vegetables, add 5 cups of water, and all the remaining ingredients and bring to a boil. Add salt as required and when the vegetables are cooked well and the oil starts to separate, remove from heat.</t>
  </si>
  <si>
    <t>சூடான தேங்காய் எண்ணெயில் தேங்காய், கசகசா, ஏலக்காய், லவங்கப்பட்டை, லவங்கம், அன்னாசிப்பூ ஆகிய அனைத்தையும் சேர்த்து நன்றாக வதக்கி, நைஸாக அரைத்துக் கொள்ளவும்.
அரைத்த மசாலாவை அடிகனமாக பாத்திரத்தில் இட்டு வெட்டி வைக்கப்பட்ட காய்கறியுடன் கலந்து 5 கிண்ணம் தண்ணீருடன், மீதம் உள்ள அனைத்துப் பொருட்களையும் சேர்த்து கொதிக்க வைக்கவும். உப்பு தேவையான அளவு சேர்த்து, காய்கறிகள் நன்றாக வெந்து எண்ணெய் கோர்த்து வரும்போது இறக்கவும்.</t>
  </si>
  <si>
    <t>https://www.yummytummyaarthi.com/wp-content/uploads/2018/01/1-55.jpg</t>
  </si>
  <si>
    <t>Garlic Masiyal</t>
  </si>
  <si>
    <t>பூண்டு மசியல்</t>
  </si>
  <si>
    <t>Garlic-12,
Boiled green gram - 100 grams,
Curry leaves - a little,
Pepper -1 teaspoon,
Fenugreek - 1/4 teaspoon,
Turmeric powder -1/4 teaspoon,
Ghee -1 cup,
Mustard - 1 teaspoon,
Garlic - a little,
Small onion - 100 grams.</t>
  </si>
  <si>
    <t>பூண்டு-12,
வேகவைத்த பச்சைப்பயறு - 100 கிராம்,
கறிவேப்பிலை – சிறிதளவு,
மிளகு -1 தேக்கரண்டி,
வெந்தயம் - 1/4 தேக்கரண்டி,
மஞ்சள்தூள் -1/4 தேக்கரண்டி,
நல்லெண்ணெய் -1 கிண்ணம்,
கடுகு - 1 தேக்கரண்டி,
பெருங்காயம் – சிறிதளவு,
சின்ன வெங்காயம் - 100 கிராம்.</t>
  </si>
  <si>
    <t>Prepare the masala by grinding garlic, green gram, curry leaves, pepper, fenugreek, and turmeric powder. Heat oil, mustard, garlic, and curry leaves in a pan. Add small onion to it and cook for 5 minutes. Then add a little garlic.
Add the ground masala to it, add water as required, and let it boil for half an hour. Pour oil on top and serve. You can eat this with apla for meals.</t>
  </si>
  <si>
    <t>பூண்டு, பச்சைப்பயிறு, கறிவேப்பிலை, மிளகு, வெந்தயம், மஞ்சள்தூள்  அரைத்த மசாலா தயார் செய்து கொள்ளவும். வாணலியில் எண்ணெய், கடுகு, பூண்டு, கறிவேப்பிலை போட்டுச் சூடு செய்யவும். அதனுடன் சின்ன வெங்காயம்  சேர்த்து 5 நிமிடம் வேக வைக்கவும். பின் சிறிதளவு பெருங்காயம் சேர்க்கவும்.
அதனுடன் அரைத்து வைத்த மசாலாவைச் சேர்த்து தேவைக்கேற்ப தண்ணீர்  விட்டு அரை மணி நேரம் கொதிக்க விடவும். அதன் மேல் எண்ணெய் விட்டு இறக்கி பரிமாறவும். இதனை சாப்பாட்டிற்கு அப்பளத்தோடு சேர்த்து உண்ணலாம்.</t>
  </si>
  <si>
    <t>https://onionandgarlicfreerecipes.wordpress.com/wp-content/uploads/2017/06/014.jpg?w=525</t>
  </si>
  <si>
    <t>Vegetable Coriander Piratal</t>
  </si>
  <si>
    <t>காய் மல்லி பிரட்டல்</t>
  </si>
  <si>
    <t>Any vegetable - 200 grams,
Chopped garlic - 10 cloves,
Half chopped small onion -100 grams,
Pepper - 2 tablespoons,
Coconut milk.- 1 bowl,
Oil -3 tablespoons,
Curry leaves - a little,
Salt -as needed,
Coriander - 2 tablespoons,
Coriander leaves -1 bunch,
Ginger - 1,
Green chilies - 5,
Red chilies - 3.</t>
  </si>
  <si>
    <t xml:space="preserve">ஏதாவது ஒரு காய்கறி - 200 கிராம்,
நறுக்கிய பூண்டு- 10 பல்,
பாதியாக நறுக்கிய சின்ன வெங்காயம் -100 கிராம்,
மிளகு - 2தேக்கரண்டி,
தேங்காய்ப்பால்.- 1 கிண்ணம்,
எண்ணெய் -3 தேக்கரண்டி,
கறிவேப்பிலை – சிறிதளவு,
உப்பு -தேவையான அளவு,
மல்லி - 2 மேசைக்கரண்டி,
கொத்துமல்லி தழை -1 கட்டு,
இஞ்சி – 1,
பச்சைமிளகாய் – 5,
வரமிளகாய் – 3.
</t>
  </si>
  <si>
    <t>Grind the coriander, coriander, ginger, green chilies, and red chilies and add 1/2 cup of water to the spices. Add curry leaves, pepper and seasoning in a pan.
Add the small onion, garlic, and saute until golden brown. Add the ground spices and cook for 3-4 minutes. Once the vegetables are cooked, add the coconut milk and cook the vegetables together. Add salt as required. Once the vegetables are cooked, add the coconut milk and mix. After two minutes, remove and serve.</t>
  </si>
  <si>
    <t>மல்லி , கொத்துமல்லி, இஞ்சி, பச்சைமிளகாய் , வரமிளகாய் ஆகியவற்றை அரைத்து அந்த மசாலாவுடன் 1/2 கிண்ணம் நீர் சேர்க்கவும். வாணலியில் எண்கோல் விட்டு கறிவேப்பிலை, மிளகு இட்டு தாளிக்கவும்.
அதனுடன் சின்ன வெங்காயம் பூண்டு சேர்த்து பொன்னிறம் வரும் வரும் வரை வதக்கவும். அரைத்த மசாலாவை அதனுடன் சேர்த்து 3 – 4 நிமிடம் வைக்கவும். காய்கறி வெந்தவுடன் அதனுடன் தேங்காய்பால் சேர்த்து காய்கறியை அதனுடன் சேர்த்து வேக வைக்கவும். தேவைக்கேற்ப   உப்பு சேர்த்துக் கொள்ளவும். காய்கறி வெந்தவுடன் அதனுடன் தேங்காய்ப்பால் சேர்த்துக் கலக்கவும் . இரண்டு நிமிடம் கழித்து இறக்கிப் பரிமாறவும்.</t>
  </si>
  <si>
    <t>https://www.archanaskitchen.com/images/archanaskitchen/1-Author/Karthika_Gopalakrishnan/Pudalangai_Milagu_Kootu_original.jpg</t>
  </si>
  <si>
    <t>Coriander Peas Potato Masala</t>
  </si>
  <si>
    <t xml:space="preserve">மல்லி பட்டாணி உருளை மசாலா </t>
  </si>
  <si>
    <t xml:space="preserve">Green peas -100 grams,
Chopped potatoes – 2,
Chopped onions – 1/2 cup,
Green chilies – 3,
Coriander powder -2 tablespoons,
Salt – as required,
Rice flour – 1 teaspoon,
Pepper powder – 1 teaspoon,
Oil – 2 tablespoons,
Lemon juice – 1/2 lemon,
Chopped curry leaves – a few,
Batteries – 3.
</t>
  </si>
  <si>
    <t>பச்சை பட்டாணி -100 கிராம்,
நறுக்கிய உருளை – 2,
நறுக்கிய வெங்காயம்- 1/2 கப்,
பச்சை மிளகாய்- 3,
மல்லிப்பொடி -2 மேசைக்கரண்டி,
உப்பு – தேவைக்கேற்ப,
அரிசி மாவு - 1 தேக்கரண்டி,
மிளகுத்தூள் - 1 தேக்கரணடி,
எண்ணெய் - 2 தேக்கரண்டி,
எலுமிச்சைச் சாறு -1/2 எலுமிச்சை,
வெட்டிய கறிவேப்பிலை – சிறிதளவு,
பட்டை – 3.</t>
  </si>
  <si>
    <t>Heat the oil in a pan, add the batter, onion, and green chilies. Add the coriander and pepper powder and fry for a few minutes. Add the boiled peas and potatoes and stir. Add salt as required.
Add 1 cup of water and boil it. Add rice to it. Sprinkle lemon juice on it. Once it boils, remove the curry leaves and serve.</t>
  </si>
  <si>
    <t xml:space="preserve">எண்ணெயினை வாணலியில் இட்டு பட்டை, வெங்காயம், பச்சை மிளகாய் சேர்த்து சூடாக்கவும். அதனுடன் மல்லித்தூள், மிளகுத்தூள் சேர்த்து சில நிமிடம் வதக்கவும். வேகவைத்த பட்டாணி, உருளையைச்   சேர்த்துக் கிண்டவும். உப்பு தேவைக்கேற்ப சேர்க்கவும்.
1 கோப்பை தண்ணீரை அதனுடன் சேர்த்துக் கொதிக்க விட்டு அதனுடன் அரிசி சேர்க்கவும் அதன்மேல் எலுமிச்சைச் சாறைத் தெளித்து, கறிவேப்பிலை கொதித்தவுடன் இறக்கிப் பரிமாறவும்
</t>
  </si>
  <si>
    <t>https://www.sashirecipes.com/wp-content/uploads/2009/07/PotatoPeasMasala.jpg</t>
  </si>
  <si>
    <t>Banana Flower Podimas</t>
  </si>
  <si>
    <t>வாழைப்பூ பொடிமாஸ்</t>
  </si>
  <si>
    <t>Onion -450 grams,
Ginger -25 grams,
Curry leaves -2 bunches,
Cashew nuts -50 grams,
Poppy seeds -25 grams,
Cinnamon -5 grams,
Cloves -5,
Roasted peanuts -100 grams,s
Oil -100 ml,
Salt -as required,
Ghee -25 ml,
Chili powder -1 teaspoon,
Turmeric powder -1/2 teaspoon,
Anise -1/2 teaspoon,
Denil -1 teaspoon,
Cereal seeds -1 teaspoon.</t>
  </si>
  <si>
    <t>வெங்காயம் -450 கிராம், 
இஞ்சி -25 கிராம்,
கறிவேப்பிலை -2 கொத்து,
முந்திரி -50 கிராம், 
கசகசா - 25 கிராம், 
லவங்கப்பட்டை - 5 கிராம், 
லவங்கம் -5,
வறுத்த கடலை - 100 கிராம்,s
எண்ணெய் - 100 மில்லி,
உப்பு – தேவையானஅளவு,
நெய் -25 மில்லி,
மிளகாய்த்தூள் -1 தேக்கரணடி,
மஞ்சள்தூள் -1/2 தேக்கரணடி,
சோம்பு -1/2 தேக்கரணடி,
வெந்தயம் - 1 தேக்கரண்டி,
சீரகம் -1 தேக்கரண்டி.</t>
  </si>
  <si>
    <t>Put oil in a pan and fry the roasted peanuts, fenugreek, cumin, poppy seeds, anise, cinnamon, and cashew nuts until they are powdery. Chop the onion, plantain, ginger, and curry leaves. Heat the oil again and add the mustard seeds, urad dal, curry leaves, ginger, and onion and fry them.
Add turmeric powder, chili powder, and plantain and fry them well. Add the powdered spices and salt as required and cook. Finally, add ghee and serve.</t>
  </si>
  <si>
    <t>வாணலியில் எண்ணெயினை இட்டு வறுத்த கடலை, வெந்தயம், சீரகம், கசகசா, சோம்பு, லவங்கம், முந்திரி ஆகியவற்றை வறுத்துப் பொடியாக்கவும். வெங்காயம், வாழைப்பூ, இஞ்சி, கறிவேப்பிலை ஆகியவற்றை வெட்டி வைத்துக் கொள்ளவும். மீண்டும் எண்ணெயைச் சூடாக்கி கடுகு, உளுந்து, கறிவேப்பிலை, இஞ்சி, வெங்காயம் ஆகியவை சேர்த்து வதக்கவும்.
அதனோடு மஞ்சள்தூள், மிளகாய்த்தூள், வாழைப்பூ சேர்த்து வதக்கவும் அதனை நன்கு கிண்டி அதனோடு பொடியாக்கின மசாலாவையும், உப்பும் தேவைக்கேற்ப சேர்த்துச் சமைக்கவும். கடைசியில் நெய் சேர்த்து இறக்கிப் பரிமாறவும்.</t>
  </si>
  <si>
    <t>https://blogger.googleusercontent.com/img/b/R29vZ2xl/AVvXsEhQ9_yV6kMn87McnT2GQwpWrVbfhkvxXrLj-2v7ar0qKwAclPaFQdWiV8KM2HGuvBvZQHbCYYQOq1DIddztZzDUcHYI-rwZQN7mOWuppPqlENo5MG8PXGTEjjIZvdY0FnWFEvKcVVfpjQGJ/s1600/1-IMG_3487.JPG</t>
  </si>
  <si>
    <t>Red Salna</t>
  </si>
  <si>
    <t>சிகப்பி சால்னா</t>
  </si>
  <si>
    <t>Rolled Potato-1
Green Peas-50 gms
Green Chilli-4
Tomato-4
Large Onion-2 (Chopped)
Coconut Masala-1/2 cup
Coconut Oil-4 tsp
Fenugreek-1 tsp
Mint Chopped-4 tsp
To Make Red Chilli Masala
4 Chilli-4
Corsage-25 gms
Turmeric Powder-1/4 tsp
Poppy Seed-4 tsp
Baking Powder-2, Cardamom-2, Cloves-2, Pineapple Flower-2,
Biriyani Leaves-2.</t>
  </si>
  <si>
    <t>உருளைக் கிழங்கு-1
பச்சைப் பட்டாணி -50 கிராம்
பச்சை மிளகாய் - 4
தக்காளி -4
பெரிய வெங்காயம் - 2 (நறுக்கியது)
தேங்காய் மசாலா -1/2கப்
தேங்காய் எண்ணெய் -4 தேக்கரண்டி
வெந்தயம்-1 தேக்கரண்டி
வெட்டிய புதினா -4 தேக்கரண்டி
சிகப்பி மசாலா செய்ய
மிளகாய்-4
மல்லி -25 கிராம்
மஞ்சல்தூள் 1/4 தேக்கரணடி
கசகசா-4 தேக்கரண்டி
பட்டை-2, ஏலக்காய்-2,கிராம்பு-2,அன்னாசிப்பூ-2,
பிரியாணி இலை2.</t>
  </si>
  <si>
    <t>Soak the ingredients for Red Chilli Masala in hot water and grind the masala. Combine all the ingredients in a heavy-bottomed vessel, add required amount of water and cook on medium heat for ½ hour. Season the prepared salna with coconut oil, fenugreek, onion, and mint. Serve it with the parotta.</t>
  </si>
  <si>
    <t>சிகப்பி மசாலாவிற்குத் தேவையான பொருட்களை வெந்நீரில் ஊறவைத்து மசாலாவை அரைக்கவும். அடிகனமான பாத்திரத்தில் எல்லாப் பொருட்களையும் சேர்த்துத் தேவையான அளவு நீர் சேர்த்து மிதமான சூட்டில் ½ மணி நேரம் வேகவிடவும். தயாரான சால்னாவை தேங்காய் எண்ணெய், வெந்தயம், வெங்காயம், புதினா போட்டுத் தாளிக்கவும். அதனை பரோட்டாவுடன் பரிமாரவும்.</t>
  </si>
  <si>
    <t>https://www.idfreshfood.com/wp-content/uploads/2020/09/pp.jpg</t>
  </si>
  <si>
    <t>Mushroom Add-on</t>
  </si>
  <si>
    <t>காளான் சேர்ப்பு</t>
  </si>
  <si>
    <t>Mushrooms -100 grams,
Onions-2 (chopped),
Tomato-1, Garlic-5,
Coriander-50 grams,
Coriander-1 bunch,
Cashew nuts-50 grams,
Oil-100 ml,
Cornstarch-2 teaspoons,
Green chilies-2,
Salt as required,
Cinnamon-2,
Fenugreek-1 pinch,
Poppy seeds-1 pinch,
Mustard-1/4 teaspoon,
Curry leaves-a little,
Coconut milk-1 cup.</t>
  </si>
  <si>
    <t>காளான் -100 கிராம்,
வெங்காயம்-2(நறுக்கியது),
தக்காளி-1, பூண்டு-5,
மல்லி -50 கிராம்,
கொத்துமல்லி -1 கொத்து,
முந்திரி -50 கிராம்,
எண்ணெய் -100 மில்லி,
சுக்குப்பொடி- 2 தேக்கரண்டி,
பச்சை மிளகாய்-2,
உப்பு தேவைக்கேற்ப,
லவங்கப்பட்டை-2,
வெந்தயம் -1 சிட்டிகை,
கசகசா -1 சிட்டிகை,
கடுகு-1/4 தேக்கரண்டி,
கறிவேப்பிலை- சிறிதளவு,
தேங்காய்ப் பால்-1கப்.</t>
  </si>
  <si>
    <t>Grind the coriander, cashew nuts, cumin powder, fenugreek, garlic, and poppy seeds together and prepare the masala. In a pan, add oil, mustard, curry leaves, coriander leaves, green chillies, onion, tomato and fry them. Grind them together and add spices and cook.
Add mushrooms and cook for 5 minutes. Add coconut milk and cook for 5 minutes. Cook. Once it is well cooked, remove it and sprinkle coriander leaves and serve.</t>
  </si>
  <si>
    <t>மல்லி, முந்திரி, சுக்குப்பொடி, வெந்தயம், பூண்டு, கசகசா ஆகியவற்றை சேர்ந்து அரைத்து மசாலா தயார் செய்யவும். வாணலியில் எண்ணெய், கடுகு, கருவேப்பிலை, பட்டை, பச்சைமிளகாய், வெங்காயம், தக்காளி போட்டு வதக்கி அதனோடு அரைத்து மசாலாவைச் சேர்த்து வேகவிடவும்.
காளானை அதனோடு சேர்த்து 5 நிமிடம் வேகவிடவும்.  அதனோடு தேங்காய் பால் சேர்ந்து 5 நிமிடம். வேகவிடவும். நன்கு வெந்தவுடன் இறக்கி கொந்து தூவிப் பரிமாறவும்.</t>
  </si>
  <si>
    <t>https://static.vecteezy.com/system/resources/previews/026/350/239/non_2x/rustic-beef-stew-with-fresh-herbs-and-mushrooms-generated-by-ai-photo.jpg</t>
  </si>
  <si>
    <t>Eggplant Banana Flower Dip</t>
  </si>
  <si>
    <t>கத்தரி வாழைப்பூத் தொக்கு</t>
  </si>
  <si>
    <t>Eggplant -3,
Banana flower - 50 grams,
Oil - 150 ml,
Mustard -1 tsp,
Curry leaves - a pinch,
Cumin -2 tsp,
Chopped onions - 5,
Tomato juice -250 ml,
Chili powder -2 tsp,
Coriander - a pinch,
Turmeric powder -1 tsp,
Salt - as required,
Ginger garlic paste -1 tsp,
Coriander powder -2 tsp.</t>
  </si>
  <si>
    <t>கத்தரி -3,
வாழைப்பூ - 50 கிராம்,
எண்ணெய்- 150 மில்லி,
கடுகு -1 தேக்கரண்டி,
கறிவேப்பிலை – சிறிதளவு,
சீரகம் -2 தேக்கரண்டி,
நறுக்கிய வெங்காயம் – 5,
தக்காளிச் சாறு -250 மில்லி,
மிளகாய்ப் பொடி -2 தேக்கரண்டி,
கொத்துமல்லி – சிறிதளவு,
மஞ்சள்தூள் - 1 தேக்கரண்டி,
உப்பு – தேவைக்கேற்ப,
இஞ்சி பூண்டு விழுது - 1 தேக்கரண்டி,
மல்லிப்பொடி -2 தேக்கரண்டி.</t>
  </si>
  <si>
    <t>Cut the eggplant finely and fry in oil. Clean the banana flower, add salt and turmeric powder and let it boil. Put the oil in a pan, add mustard, cumin and fry. Then add chopped onion, curry leaves and fry till golden brown, add ginger and garlic paste and fry.
Add all the powders, tomatoes and salt to it. After boiling well, add fried eggplant and boiled banana flower. When the dal is ready, sprinkle coriander leaves and serve.</t>
  </si>
  <si>
    <t>கத்தரியை நன்றாக வெட்டி எண்ணெயில் பொரித்தெடுக்கவும். வாழைப்பூவை  தூய்மை செய்து உப்பு, மஞ்சள்தூள் போட்டுக் கொதிக்க விடவும். எண்ணெயை  பாத்திரத்தில் இட்டு கடுகு, சீரகம், சேர்த்து பொரிய விடவும். பிறகு கறிவேப்பிலை நறுக்கிய வெங்காயம் சேர்த்து பொன்னிறம் வரும்வரை வதக்கி, இஞ்சி, பூண்டு விழுது சேர்த்துக் கிண்டவும்.
அதனோடு எல்லாப் பொடியையும் சேர்த்து தக்காளி, உப்பை சேர்க்கவும். நன்கு கொதித்த பிறகு அதனோடு பொரித்த கத்தரிக்காய் மற்றும் வேகவைத்த வாழைப்பூவைப் போடவும். தொக்கு தயாரானதும் கொத்துமல்லி தூவிப் பரிமாறவும்</t>
  </si>
  <si>
    <t>http://mindyoureats.com/wp-content/uploads/2021/03/IMG_0935-2-scaled.jpg</t>
  </si>
  <si>
    <t>Tomato Guruma</t>
  </si>
  <si>
    <t>தக்காளி குருமா</t>
  </si>
  <si>
    <t>Tomato - 1/4 kg, 
Onion - 2, 
Green chillies - 3, 
Anise - 1/2 tsp, 
Cumin - 1/2 tsp, 
Poppy seeds - 1 tsp, 
Peanuts - 1 tsp, 
Dried chillies - 5, 
Coconut - 3 pieces, 
Turmeric powder 1/2 tsp, 
Salt - as required, 
Mustard - 1 pinch, 
Urad dal - 1 pinch, 
Bark, Cloves, Pineapple blossom - each, 
Kalpasi - a little, 
Cardamom - 2, 
Oil - 100 ml.</t>
  </si>
  <si>
    <t>தக்காளி - 1/4 கிலோ, வெங்காயம் – 2,
பச்சை மிளகாய் -3,
சோம்பு -  1/2 சிறுகரண்டி,
சீரகம் -   1/2 சிறுகரண்டி,
கசகசா - 1 சிறுகரண்டி,
பொட்டுக்கடலை - 1 தேக்கரண்டி,
மிளகாய் வற்றல் - 5, 
தேங்காய் - 3 துண்டு,
மஞ்சள்தூள் 1/2 தேக்கரண்டி,
உப்பு - தேவையான அளவு,
கடுகு - 1 சிட்டிகை, 
உளுத்தம் பருப்பு - 1 சிட்டிகை,
பட்டை, கிராம்பு, அன்னாசிப்பூ –ஒவ்வொன்று,
கல்பாசி - சிறிதளவு, 
ஏலக்காய்-2,
எண்ணெய் - 100 மில்லி.</t>
  </si>
  <si>
    <t>Add tomatoes, onion, anise, cumin, poppy seeds, peanuts, dried chilies, coconut, and turmeric powder and grind them.
Cut the big onion, green chilies, and tomatoes into small pieces. Heat oil in a pan and add mustard seeds, urad dal, coriander seeds, cloves, cardamom, and season.
Then add onion, green chilies, and tomatoes and sauté well. Then add the ground masala and sauté well. Add salt as required. Add enough water, cover, boil well, and reduce to the desired consistency. Sprinkle coriander and serve with idli, chapati, dosa, etc.</t>
  </si>
  <si>
    <t>தக்காளி, வெங்காயம், சோம்பு, சீரகம், கசகசா, பொட்டுக்கடலை, மிளகாய் வற்றல், தேங்காய், மஞ்சள்தூள் ஆகியவற்றைச் சேர்த்து மைய அரைக்கவும்.
பெரிய வெங்காயம், பச்சை மிளகாய், தக்காளி இவற்றைச் சிறிய துண்டுகளாக வெட்டி வைக்கவும். வாணலியில் எண்ணெய் விட்டு கடுகு, உளுந்து,  பட்டை, கிராம்பு, கல்பாசி, ஏலக்காய் ஆகியவற்றைப் போட்டுத் தாளிக்கவும்.
பின் வெங்காயம், பச்சை மிளகாய், தக்காளியைச் சேர்த்து நன்கு வதக்கி பின்பு அரைத்த மாசலாவைச் சேர்த்து நன்கு வதக்கி தேவைக்கேற்ப உப்புச் சேர்க்கவும். அளவான தண்ணிர் சேர்த்து மூடி போட்டு நன்கு கொதிக்க விட்டு சரியான பதத்தில் இறக்கவும். கொத்துமல்லி தூவி இட்லி, சப்பாத்தி, தோசை போன்றவற்றுடன் பரிமாறலாம்.</t>
  </si>
  <si>
    <t>https://i0.wp.com/cookingfromheart.com/wp-content/uploads/2018/11/Tomato-Kurma-3.jpg?w=683&amp;ssl=1</t>
  </si>
  <si>
    <t>Drumstick Masala</t>
  </si>
  <si>
    <t>முருங்கைக்காய் மசால்</t>
  </si>
  <si>
    <t>Drumstick – 3.
Onion -1,
Tomato -2,
Curry leaves 1 bunch,
Pattai -5,
Anise - 1/2 tsp,
Turmeric powder - 1/4 tsp,
Garram masala - 1 tsp,
Chilli powder 2 tsp,
Dhaniya - 1 tbsp,
Ginger, garlic paste - 1 tbsp,
Ghee-1 tsp,
Salt as required.</t>
  </si>
  <si>
    <t>முருங்கைக்காய் – 3.
வெங்காயம் -1,
தக்காளி-2,
கறிவேப்பிலை 1 கொத்து,
பட்டை -5,
சோம்பு - 1/2 தேக்கரண்டி,
மஞ்சள் தூள் - 1/4 தேக்கரண்டி,
கரம் மசாலா - 1 தேக்கரண்டி,
மிளகாய்த்தூள் 2 தேக்கரண்டி,
தனியா - 1 மேசைக் கரண்டி,
இஞ்சி, பூண்டு விழுது - 1 மேசைக் கரண்டி,
நெய்-1 தேக்கரண்டி,
உப்பு தேவையான அளவு.</t>
  </si>
  <si>
    <t>Cut the drumstick into small pieces and fry with turmeric powder and salt. Pour ghee in a pan and when it is dry, add the anise, curry leaves, and fry. Chop the onion and tomato into powder and fry it.
Then add turmeric powder, ginger, garlic paste, and chili powder and fry it. Next, add the roasted and powdered tanya and saute it. After sauteing, add garam masala and boiled drumsticks and stir well. Check the salt and add it and the drumstick masala is ready.</t>
  </si>
  <si>
    <t>முருங்கைக்காயை சிறு சிறு துண்டுகளாக வெட்டி மஞ்சள் தூள், உப்பு சேர்த்து வேக வைக்கவும். வாணலியில் நெய் ஊற்றிக் காய்ந்ததும் அதில் பட்டை சோம்பு  கறிவேப்பிலை, சேர்த்து வதக்கவும். வெங்காயம், தக்காளியைப் பொடிப் பொடியா நறுக்கி அதில் சேர்த்து வதக்கவும்.
பிறகு அதனுடன் மஞ்சள்தூள், இஞ்சி பூண்டு விழுது, மிளகாய்த் தூள் சேர்த்து
வதக்கவும். அடுத்து வறுத்துப் பொடியாக்கிய தனியா சேர்த்து வதக்கவும். வதங்கிய பின் அதில் கரம் மசாலா, வேகவைத்த முருங்கைக்காய் சேர்த்து நன்றாக கிளறவும். உப்பை சரி பார்த்து இறக்கினால் முருங்கைக்காய் மசால் தயார்.</t>
  </si>
  <si>
    <t>https://www.jeyashriskitchen.com/wp-content/uploads/2019/03/drumstick-masala.jpg</t>
  </si>
  <si>
    <t>Radish Masiyal</t>
  </si>
  <si>
    <t>முள்ளங்கி மசியல்</t>
  </si>
  <si>
    <t>Chopped radish - 200 grams,
Boiled dal - 100 grams,
Ghee - 3 tablespoons,
Coriander powder - 2 tablespoons,
Tamarind water - 1 cup,
Garlic - mustard - to season,
Curry leaves - a little,
Green chillies - 5,
Salt - as required.</t>
  </si>
  <si>
    <t>நறுக்கிய முள்ளங்கி - 200 கிராம்,
வேக வைத்த துவரம் பருப்பு - 100 கிராம்,
நெய் - 3 தேக்கரண்டி,
கொத்தமல்லி தூள் - 2 தேக்கரண்டி,
புளித்தண்ணீர் - 1 கப்,
பெருங்காயம் - கடுகு - தாளிக்க,
கறிவேப்பிலை - சிறிதளவு,
பச்சைமிளகாய் - 5,
உப்பு - தேவைக்கேற்ப.</t>
  </si>
  <si>
    <t>Heat ghee in a vessel. Add mustard, garlic, curry leaves and season. After seasoning, add radish and water and let it boil. After the radish is cooked, add chillies, coriander leaves and tamarind water and let it boil for 10 minutes.
After the raw smell of tamarind disappears, add boiled dal and let it simmer. Now add salt as required and serve.</t>
  </si>
  <si>
    <t xml:space="preserve">பாத்திரத்தில் நெய், சேர்த்துச் சூடாக்கவும். கடுகு, பெருங்காயம், கறிவேப்பிலை போட்டுத் தாளிக்கவும். தாளித்த பிறகு முள்ளங்கியும், தண்ணீரும் சேர்த்து வேக விடவும். முள்ளங்கி வெந்த பிறகு மிளகாயும், மல்லித்தூளும் சேர்த்து அதனோடு புளித் தண்ணீர் சேர்த்து 10 நிமிடம் கொதிக்க விடவும்.
புளியின் பச்சை மணம் நீங்கிய பிறகு வேக வைத்த துவரம்பருப்பைச் சேர்த்து சுண்ட வைக்கவும். இப்போது தேவையான அளவு உப்பு சேர்த்து இறக்கிப் பரிமாறவும்.
</t>
  </si>
  <si>
    <t>https://www.subbuskitchen.com/wp-content/uploads/2020/02/Mullangi-Kootu_1_WEB-scaled.jpg</t>
  </si>
  <si>
    <t>Nanjil Nadu Aviyal</t>
  </si>
  <si>
    <t>நாஞ்சில் நாட்டு அவியல்</t>
  </si>
  <si>
    <t>Red pumpkin (parangikai) - 100 grams,
White pumpkin -100 grams,
Cucumber - 100 grams,
Pudalangai -100 grams,
Ulundu - 10 grams,
Anise -5 grams,
Thaniya - 10 grams,
Grated coconut -1,
Cumin -5 grams,
Green chilies -2,
Green rice -10 grams,
Coconut oil -20 ml,
Yogurt -20 ml,
Salt -as required.</t>
  </si>
  <si>
    <t>சிவப்பு பூசணி (பரங்கிக்காய்) - 100 கிராம்,
வெண் பூசணி -100 கிராம்,
வெள்ளரிக்காய் - 100 கிராம்,
புடலங்காய்-100 கிராம்,
உளுந்து - 10 கிராம்,
சோம்பு-5 கிராம்,
தனியா - 10 கிராம்,
தேங்காய்த் துருவல் -1,
சீரகம் -5 கிராம்,
பச்சை மிளகாய் -2,
பச்சை அரிசி - 10 கிராம்,
தேங்காய் எண்ணெய் - 20 மிலி,
தயிர் - 20 மிலி,
உப்பு - தேவையான அளவு.</t>
  </si>
  <si>
    <t>Cut the vegetables thinly lengthwise and boil them with the required water. Then fry the ulundu, anise, and taniya well. Grind them into a fine powder. Add the grated coconut, cumin, green chilies, and green rice, pour a little water and grind them.
Then pour some oil in a vessel and add the vegetables and fry them well. Then add the grated coconut and cumin mixture and let it boil well.
Then add the grated fenugreek and urad dal powder and boil well. Let it cool well. Add a little salt to it and then add yogurt and mix it and then Nanjil Nadu Aviyal is ready.
Since red pumpkin is slightly sweet, those who do not like sweet taste can add a little spice. Care should be taken while adding yogurt. If you add yogurt while the vegetables are hot, the Aviyal will curdle. If you add too much yogurt, it will become like whey. So add it carefully. Finally, if you add a few drops of coconut oil, the aroma will lift the city.</t>
  </si>
  <si>
    <t>காய்கறிகளை மெல்லியதாக நீளவாக்கில் வெட்டி தேவையான நீர் சேர்த்து வேக வைத்துக் கொள்ளவும். பிறகு உளுந்து, சோம்பு, தனியா இவற்றை நன்றாக வதக்கவும். நைஸாக பொடித்துக் கொள்ளவும். தேங்காய்த் துருவல், சீரகம், பச்சை மிளகாம் பச்சரிசி சேர்த்து சிறிது தண்ணீர் ஊற்றி அரைத்துக் கொள்ளவும்.
பின்னர் ஒரு பாத்திரத்தில் சிறிது எண்ணெய் ஊற்றி அதில் காய்களைச் சேர்த்து நன்றாக வதக்கவும். பின்பு அதில் அரைத்து வைத்த தேங்காய், சீரகம் கலவையைச் சேர்த்த நன்றாக கொதிக்க விடவும்.
பின்னர் அதில் அரைத்துப் பொடியாக்கிய தனியா, உளுந்துப் பொடியைச் சேர்த்து நன்றாக கொதிக்க விடவும். நன்றாக ஆற விடவும். அதில் சிறிது உப்பு சேர்த்து பின்பு தயிர் சேர்த்து கலக்கி இறக்கினால் நாஞ்சில் நாட்டு அவியல் தயார்.
சிவப்பு பூசணி இலேசாக இனிக்கும் என்பதால் இனிப்புச் சுவை பிடிக்காதவர்கள் கொஞ்சம் காரத்தைக் கூட்டலாம். தயிர் சேர்க்கும்போது கவனம் தேவை. காய்கறிகள் சூடாக இருக்கும்போது தயிரைச் சேர்த்தால் ஆவியல் திரிந்து போகும். அதிகமாக தயிர் சேர்த்தால் மோர்க்குழம்பு போல ஆகிவிடும். எனவே திட்டமாகச் சேர்க்கவும். இறுதியாக சில சொட்டுகள் தேங்காய் எண்ணெய் விட்டால் மணம் ஊரையே தூக்கும்.</t>
  </si>
  <si>
    <t>https://upload.wikimedia.org/wikipedia/commons/5/5c/Ayiyal.jpg</t>
  </si>
  <si>
    <t>Nanjil Nadu Rasam</t>
  </si>
  <si>
    <t>நாஞ்சில் நாட்டு ரசம்</t>
  </si>
  <si>
    <t>Small onion - 100 grams (chopped),
Tamarind - the size of a lemon,
Dudhuvala leaves - 1/2 cup,
Garlic 4 cloves,
Cumin - 1/2 teaspoon,
Pepper - 1 teaspoon,
Black pepper - 4,
Salt - as required,
Curry leaves - 1 bunch,
Oil - 1 teaspoon,
Mustard - a little.</t>
  </si>
  <si>
    <t>சின்ன வெங்காயம் - 100 கிராம் (நறுக்கியது),
புளி - எலுமிச்சை அளவு,
தூதுவளை இலை - 1/2 கிண்ணம்,
பூண்டு 4 பற்கள்,
சீரகம் - 1/2 தேக்கரண்டி,
மிளகு - 1 தேக்கரண்டி,
வரமிளகாய் – 4,
உப்பு – தேவைக்கேற்ப,
கறிவேப்பிலை - 1 கொத்து,
எண்ணெய் - 1 தேக்கரண்டி,
கடுகு – சிறிதளவு.</t>
  </si>
  <si>
    <t>Remove the thorns from the black pepper leaves and clean them. Soak the tamarind in warm water. Add the black pepper, garlic, cumin, pepper, and black pepper and grind them.
Heat oil in a pan and let it heat up. Add the black pepper, mustard, and curry leaves to it. Once the mustard seeds are cooked, add the onion and fry until golden brown. Add the ground spices and fry on low heat.
Then add the required amount of tamarind water and let it boil. Add salt and water as required and heat it. Once it foams like a rasam, remove it and serve. You can eat it as a soup or with rice.</t>
  </si>
  <si>
    <t>தூதுவளை இலையின் முட்கள் அகற்றிச் சுத்தம் செய்து கொள்ளவும்.  புளியை வெதுவெதுப்பான நீரில் ஊறவைத்துக் கொள்ளவும். தூதுவளை, பூண்டு, சீரகம், மிளகு, வரமிளகாய் இவற்றைச் சேர்த்து அரைத்துக் கொள்ளவும்.
வாணலியில் எண்ணெய் வைத்துக் காய விடவும். அதில் வரமிளகாய், கடுகு, கறிவேப்பிலை சேர்த்து, கடுகு பொரிந்தவுடன் வெங்காயம் சேர்த்து பொன்னிறமாக வதக்கவும். இத்துடன் அரைத்து வைத்த மசாலாவைச் சேர்த்து சிறுதீயில் வதக்கவும்.
பின்னர் தேவையான அளவு புளித்தண்ணீர் சேர்த்துக் கொதிக்க விடவும். தேவைக்கேற்ப உப்பு, தண்ணீர் சேர்த்துச் சூடாக்கவும். ரசம்போல் நுரைத்ததும் இறக்கி வைத்துப் பரிமாறவும். இதை சூப் போல சாப்பிடலாம் அல்லது சாதத்தோடு சேர்த்துச்சாப்பிடலாம்.</t>
  </si>
  <si>
    <t>https://tastyappetite.net/static/b1725ab3357b6aeeb46f78cbbf15bb62/c17f9/ffea17db5ab074e88f03e0722ed7be95.jpg</t>
  </si>
  <si>
    <t>Banana Rasam</t>
  </si>
  <si>
    <t>வாழைக்காய் ரசம்</t>
  </si>
  <si>
    <t>Banana -2,
Coconut -1,
Chilli -10 grams,
Onion -75 grams,
Mustard -5 grams,
Curry leaves - a little,
Oil -50 ml,
Jaggery -10 grams,
Salt -as required.</t>
  </si>
  <si>
    <t>வாழைக்காய் -2,
தேங்காய்   -    1,
மிளகாய் - 10 கிராம்,
வெங்காயம் - 75 கிராம்,
கடுகு -5 கிராம்,
கறிவேப்பிலை – சிறிதளவு,
எண்ணெய் - 50 மில்லி,
வெல்லம் -10 கிராம்,
உப்பு - தேவையான அளவு.</t>
  </si>
  <si>
    <t>Chop the banana without peeling it. Grind it with grated coconut and chillies until it becomes a liquid like milk. Heat oil in a pan and add mustard and chopped onion and fry.
Add the banana and mix well. Add the grated coconut and water and boil it. Then sprinkle curry leaves, add jaggery, check the salt and serve.
Eating banana in a pinch is the best medicine for those who have strength and energy in the body.</t>
  </si>
  <si>
    <t>வாழைக்காயைத் தோல் சீவாமல் நறுக்கிக் கொள்ளவும். துருவிய தேங்காயையும் மிளகாயையும் சேர்த்து பால் போன்று நீர்மமாக அரைக்கவும். வாணலியில் எண்ணெய் இட்டு கடுகு, வெட்டிய வெங்காயம் சேர்த்து வதக்கவும்.
அதனோடு வாழைக்காயைச் சேர்த்து நன்கு கலக்கவும். அரைத்த தேங்காயை அதனோடு சேர்த்து தண்ணீர்விட்டு வேகவிடவும். பின் கறிவேப்பிலை தூவி வெல்ல சேர்த்து உப்பு சரிபார்த்து இறக்கிப் பரிமாறவும்.
வாழைக்காயை  பிஞ்சில் சாப்பிட்டால் உடலுக்கு வலிமை மற்றும் மூலம் உள்ளோருக்குச் சிறந்த மருந்து</t>
  </si>
  <si>
    <t>https://vegrecipesofkarnataka.com/assets/img/balekai-mosaru-kootu/balekai-mosaru-kootu.jpg</t>
  </si>
  <si>
    <t>கொள்ளுச் சாறு</t>
  </si>
  <si>
    <t xml:space="preserve">
Boiled Kollu - 1 cup,
Water boiled in Kollu - 2 cups,
Green chillies - 2,
Powdered black pepper - 1 teaspoon,
Powdered black cumin - 1 teaspoon,
Rice flour - 1 teaspoon,
Drained rice porridge - 1/2 cup,
Salt - as required,
Ghee - 2 tablespoons,
Curry leaves - a little.</t>
  </si>
  <si>
    <t>வேகவைத்த கொள்ளு - 1 கப்,
கொள்ளு வேகவைத்த தண்ணீர் - 2 கப்,
பச்சை மிளகாய் -2,
கரகரப்பாய் பொடி செய்த மிளகு - 1 தேக்கரண்டி,
கரகரப்பாய் பொடி செய்த சீரகம் - 1 தேக்கரண்டி,
அரிசி மாவு - 1 தேக்கரண்டி,
சாதம் வடித்த கஞ்சி - 1/2 கப்,
உப்பு - தேவையான அளவு,
நல்லெண்ணெய் -2 மேசைக் கரண்டி,
கறிவேப்பிலை – சிறிதளவு.</t>
  </si>
  <si>
    <t>Combine the boiled Kollu and water with the powdered pepper. Add cumin, rice porridge, green chillies and salt. Add ghee and curry leaves.
Add two cups of water to it. Boil it well for 45 minutes. Add rice flour to it and let it boil for 2 minutes. This soup can be eaten with green gram.</t>
  </si>
  <si>
    <t>வேகவைத்த கொள்ளையும், தண்ணீரையும் சேர்த்து அதனோடு பொடி செய்த மிளகு. சீரகம், சாதம் வடித்த கஞ்சி, பச்சை மிளகாய் எல்லாவற்றையும் சேர்த்து உப்பு. நல்லெண்ணெய், கறிவேப்பிலை ஆகியவற்றைச் சேர்க்கவும்.
அதனோடு இரண்டு கப் தண்ணீர் சேர்க்கவும். இதனை நன்கு 45 நிமிடம் வேக விடவும். அதனோடு அரிசி மாவைச் சேர்த்து 2 நிமிடம் கொதிக்க விடவும். இந்த சூப்பை கேழ்வரகுக் களியோடு சாப்பிடலாம்.</t>
  </si>
  <si>
    <t>https://www.myhealthykiddo.com/wp-content/uploads/2017/12/pachai-kollu-rasam.jpg</t>
  </si>
  <si>
    <t xml:space="preserve"> Palm Fruit Kheer</t>
  </si>
  <si>
    <t>பனம்பழ கீர்</t>
  </si>
  <si>
    <t>Banana - 1 large
Milk - 250 ml
Green rice - 50 g
Cardamom powder - 1/2 tsp
Sugar - 1/4 kg
Ghee - 1 tbsp
Cashew nuts - 50 g</t>
  </si>
  <si>
    <t>பனம்பழம் - 1 பெரியது
பால் - 250 மில்லி
பச்சரிசி - 50 கிராம்
ஏலக்காய்த் தூள் - 1/2 தேக்கரண்டி
சர்க்கரை - 1/4 கிலோ
நெய் - 1 மேசைக் கரண்டி
முந்திரி -50 கிராம்</t>
  </si>
  <si>
    <t>Chop the banana into powder. Add the rice with the thick milk and boil it well. Once it is cooked, mash the pulp with a spoon or a mortar. Once the rice is well mashed, add the chopped banana.
Then add sugar and cardamom powder and let it boil. Finally, fry it in ghee and serve with cashew nuts.</t>
  </si>
  <si>
    <t xml:space="preserve">பனம்பழத்தைப் பொடியாக நறுக்கிக் கொள்ளவும். கெட்டியான பாலுடன் அரிசியைச் சேர்த்து நன்றாக வேக வைக்கவும். வெந்ததும் கரண்டியாலோ, மத்தினாலோ குழைய மசிக்கவும். சாதம் நன்றாக மசிந்தவுடன் அத்துடன் நறுக்கிய பனம்பழத்தைச் சேர்க்கவும்.
பின்னர் சர்க்கரை, ஏலக்காய்த்தூள் சேர்த்துக் கொதிக்க விடவும். இறுதியாக நெய்யில் வறுத்து முந்திரி சேர்த்துப் பரிமாறவும்.
</t>
  </si>
  <si>
    <t>https://peekncooksa.blob.core.windows.net/index-recipe/tal_kheer.jpg</t>
  </si>
  <si>
    <t>Wild Rye Halwa</t>
  </si>
  <si>
    <t>காட்டுக் கம்பு அல்வா</t>
  </si>
  <si>
    <t>Rye - 1/2 kg,
Sugar - 300 grams,
Ghee -300 grams,
Cardamom - 4,
Rice flour - 50 grams,
Corn flour - 50 grams,
Cashew nuts -25 grams.</t>
  </si>
  <si>
    <t>கம்பு - 1/2 கிலோ,
சர்க்கரை - 300 கிராம்,
நெய் -300 கிராம்,
ஏலக்காய் – 4,
அரிசி மாவு - 50 கிராம்,
சோள மாவு - 50 கிராம்,
முந்திரி -25 கிராம்.</t>
  </si>
  <si>
    <t>Soak the rye and drain it. Wash it well and grind it in a grinder. Then filter it through a thin cloth and extract the milk. Boil the milk in a vessel. Once the green smell goes away, add sugar and stir.
Peel the cardamom and add it to the powder. Stir until it is well combined. Then add corn flour and rice flour dissolved in water to it and stir well.
Pour the required amount of ghee and stir well. Once the halwa reaches the consistency of halwa, add cashew nuts fried in ghee and stir. Wild Rye Halwa is ready.</t>
  </si>
  <si>
    <t xml:space="preserve">கம்பை ஊற வைத்துக் களையவும். நன்றாக அலசி கிரைண்டரில் இட்டு மைய அரைக்கவும். பிறகு மெல்லிய துணியில் வடிகட்டி பால் எடுக்கவும். அந்தப் பாலை ஒரு பாத்திரத்தில் கொதிக்க விடவும். பச்சை வாடை போனவுடன் அதில் சர்க்கரை சேர்த்துக் கிளறவும்.
ஏலக்காயை தோல் நீக்கி பொடித்துச் சேர்க்கவும். நன்றாக சுண்டும் வரை விடாமல் கிளறவும். பின்னர் அதில் தண்ணீரில் கரைத்த சோள மாவு மற்றும் அரிசி மாவு சேர்த்து நன்றாகக் கிளறவும்.
தேவையான அளவு நெய் ஊற்றி நன்றாகக் கிளறவும். அல்வா பதத்திற்கு வந்தவுடன் நெய்யில் வறுத்த முந்திரியைச் சேர்த்து இறக்கினால் காட்டுக் கம்பு அல்வா தயார்.
</t>
  </si>
  <si>
    <t>https://www.shutterstock.com/shutterstock/photos/2182267231/display_1500/stock-photo-anjeer-ka-halwa-or-fig-sheera-or-halva-2182267231.jpg</t>
  </si>
  <si>
    <t>Date Milk Collection</t>
  </si>
  <si>
    <t>பேரிச்சம்பழ பால் திரட்டல்</t>
  </si>
  <si>
    <t>Dates -100 grams (chopped),
Milk - 1 liter,
Sugar - 1/4 kg,
Semiya -150 grams,
Dried coconut flakes - 50 grams,
Ghee - 200 ml,
Dried raisins -50 grams.</t>
  </si>
  <si>
    <t>பேரீச்சம்பழம் -100 கிராம் (நறுக்கியது),
பால் - 1 லிட்டர்,
சர்க்கரை - 1/4 கிலோ,
சேமியா -150 கிராம்,
உலர் தேங்காய்த்துருவல் - 50 கிராம்,
நெய் - 200 மில்லி,
உலர் திராட்சை -50 கிராம்.</t>
  </si>
  <si>
    <t>First boil the milk well. Then add sugar to it and mix well. Fry the chopped dates, dried coconut flakes, and raisins in ghee.
Then fry the semiya in ghee until golden brown, add it to the boiling milk and mix well. Add all the fried dates to it with the milk and let it boil well.
When the semiya is cooked, remove it.</t>
  </si>
  <si>
    <t>முதலில் பாலை நன்றாகக் காய்ச்சவும். பிறகு அதில் சர்க்கரையைச் சேர்த்து நன்றாக கலக்கவும். நறுக்கிய பேரீச்சம்பழம், உலர்ந்த தேங்காய்த் துருவல், உலர்திராட்சை அனைத்தையும் நெய்யில் நன்றாக வறுத்துக் கொள்ளவும்.
பிறகு சேமியாவை நெய்யில் பொன்னிறமாக வறுத்து, கொதிக்கும் பாலில் சேர்த்து நன்றாகக் கலக்கவும். அதில் வறுத்த பேரீச்சம்பழம் அனைத்தையும் பாலுடன் சேர்த்து நன்றாகக் கொதிக்க விடவும்.
சேமியா வெந்தவுடன் இறக்கினால் பேரீச்சம்பழப் பால் திரட்டல் தயார்.</t>
  </si>
  <si>
    <t>https://img.freepik.com/free-photo/delicious-creamy-chestnut-soup_114579-57217.jpg?t=st=1741694997~exp=1741698597~hmac=d6853585c4a9d0141366c219262d37ea1ce7bbdfcd4a2f7f7b5be4a7eaeba811&amp;w=1060</t>
  </si>
  <si>
    <t>Patanir Halwa</t>
  </si>
  <si>
    <t>பதனீர் அல்வா</t>
  </si>
  <si>
    <t>Patanir-3 liters,
Corn flour-100 grams,
Rice flour-50 grams,
Sugar-11/2 kg,
Ghee-1/4 kg,
Almonds-25 grams.</t>
  </si>
  <si>
    <t>பதனீர்-3 லிட்டர்,
சோள மாவு - 100 கிராம்,
அரிசி மாவு - 50 கிராம்,
சர்க்கரை - 11/2 கிலோ,
நெய் -1/4 கிலோ,
பாதாம் -25 கிராம்.</t>
  </si>
  <si>
    <t>First, add sugar to the patanir and let it boil well. Simmer the patanir well. Dissolve rice flour and corn flour in water and filter it. Then add it to the simmered patanir and mix well.
Keep stirring well on medium heat. Add ghee in between and stir again. Once the halwa is well rolled and becomes a paste, remove it. Serve with chopped almonds.</t>
  </si>
  <si>
    <t>முதலில் பதனீருடன் சர்க்கரையைச் சேர்த்து நன்றாகக் கொதிக்க விடவும். பதனீரை நன்றாகச் சுண்ட விடவும். அரிசி மாவு, சோள மாவையும் தண்ணீரில் கரைத்து வடிகட்டவும். பிறகு அதனைச் சுண்டிய பதனீரில் சேர்த்து நன்றாகக் கலக்கவும்.
மிதமான வெப்பத்தில் நன்றாகக் கிளறிக் கொண்டு இருக்கவும். இடையில் நெய் சேர்த்து மீண்டும் கிளறவும். நன்றாகச் சுருண்டு அல்வா பதத்திற்கு வந்தவுடன் இறக்கவும். அதனுடன் நறுக்கிய பாதாமைச் சேர்த்துப் பரிமாறவும்.</t>
  </si>
  <si>
    <t>https://www.whiskaffair.com/wp-content/uploads/2020/09/Sooji-Halwa-2-1.jpg</t>
  </si>
  <si>
    <t>Gooseberries Payasam</t>
  </si>
  <si>
    <t>நெல்லிக்காய் பாயாசம்</t>
  </si>
  <si>
    <t>Gooseberries - 1 cup (chopped),
Milkmaid - 1 tin,
Tulsi -10 leaves,
Sugar - 1 cup,
Saffron -2 grams,
Cashew nuts - 2 teaspoons,
Coconut milk -1 cup,
Ghee - 4 tablespoons.</t>
  </si>
  <si>
    <t>நெல்லிக்காய் - 1 கப் (நறுக்கியது),
மில்க்மெய்டு - 1 டின்,
துளசி -10 இலை,
சர்க்கரை - 1 கப்,
குங்குமப்பூ -2 கிராம்,
முந்திரிப் பருப்பு - 2 தேக்கரண்டி,
தேங்காய்ப் பால் -1 கப்,
நெய் - 4 மேசைக் கரண்டி.</t>
  </si>
  <si>
    <t>Boil chopped gooseberries with one cup of water and a little sugar. After the gooseberries are cooked, drain the water and add 1/4 cup of sugar and water. Add gooseberries to the sugar syrup and let it boil.
Add milkmaid to it and let it boil. Add basil and saffron to it and let it boil for 2 minutes.
Roast the cashew nuts in ghee and add them to the boiling payasam. Add the coconut milk and cook until it becomes frothy.</t>
  </si>
  <si>
    <t>நறுக்கிய நெல்லிக்காயை ஒரு கோப்பை தண்ணீர், சிறிதளவு சர்க்கரை சேர்த்தும் கொதிக்க விடவும். நெல்லிக்காய் வெந்த பிறகு அந்த தண்ணீரை வடிகட்டவும் சர்க்கரை 1/4 கப் தண்ணீர் சேர்த்துப் பாகாக்கவும். சர்க்கரைப் பாகில் நெல்லிக்காய் சேர்த்துக் கொதிக்க விடவும்.
அதனோடு மில்க்மெய்டை சேர்த்துக் கொதிக்க விடவும். அதனோடு துளசியையும் குங்குமப்பூவையும் சேர்த்து 2 நிமிடம் கொதிக்க விடவும்.
நெய்யில் முந்திரிப்பருப்பை வறுத்துக் கொதிக்கும் பாயாசத்தில் சேர்க்கவும் அதனோடு தேங்காய்ப் பால் சேர்த்து நுரை கட்டிய நிலையில் இறக்கவும்.</t>
  </si>
  <si>
    <t>https://www.flavourstreat.com/wp-content/uploads/2019/10/godi-huggi-recipe.jpg</t>
  </si>
  <si>
    <t>Nungu drink</t>
  </si>
  <si>
    <t>நொங்கு குளிர்ச்சி</t>
  </si>
  <si>
    <t>Mellow -5,
Cow milk - 250 ml,
Sugar - 2 tsp,
Blackcurrant syrup - 100 ml,
Cardamom powder - 1/2 tsp,
Green mango - 3 tsp (grated).</t>
  </si>
  <si>
    <t>நொங்கு -5,
பசும் பால் - 250 மில்லி,
சர்க்கரை - 2 தேக்கரண்டி,
கருப்பட்டி பாகு - 100 மில்லி,
ஏலக்காய் பொடி - 1/2 தேக்கரண்டி,
பச்சை மாங்காய் - 3 தேக்கரண்டி (துருவியது).</t>
  </si>
  <si>
    <t>Heat the pan and add the cow milk to it and heat it. Add sugar to it. Then add the cardamom powder to it.
Next, mash the mango with your hands and put it in a bowl and mix it with the blackcurrant syrup. When the milk is well heated, mash it and add it to the mango. Add the grated mango on top of this.
Then keep it in the refrigerator and eat after it cools down.</t>
  </si>
  <si>
    <t>வாணலியை சூடாக்கி அதில் பசும் பாலை சேர்த்து சூடாக்கவும். இதனுடன் சர்க்கரையைச் சேர்க்கவும். பின்பு அதில் ஏலக்காய்ப் பொடியையும் சேர்க்கவும்.
அடுத்து நொங்கை கையால் பிசைந்து ஒரு பாத்திரத்தில் போட்டு அதனுடன் கருப்பட்டி பாகை சேர்த்து கலந்து வைத்துக் கொள்ளவும். பால் நன்றாக சூடானதும் அதை பிசைந்து வைத்து நொங்குடன் சேர்த்துக் கொள்ளவும். இதன்மேல் துருவிய மாங்காயைச் சேர்க்கவும்.
பின்பு அதை குளிர்சாதனப் பெட்டியில் வைத்து குளிர்ச்சி ஆனப் பிறகு சாப்பிடவும்</t>
  </si>
  <si>
    <t>https://www.yummytummyaarthi.com/wp-content/uploads/2015/07/nungu-sarbath-1.jpg</t>
  </si>
  <si>
    <t>Muskmelon Jjuice</t>
  </si>
  <si>
    <t>கிர்ணிப்பழம் குளிர்ச்சி</t>
  </si>
  <si>
    <t>Kirnipalam-1,
Blackcurrant syrup - 1 cup,
Green milk - 1 cup,
Vettiver - 10 grams,
Coconut milk powder - 1 teaspoon,
Milkmaid - 2 teaspoons,
Cardamom powder - 1/2 teaspoon.</t>
  </si>
  <si>
    <t>கிர்ணிப் பழம்-1,
கருப்பட்டி பாகு - 1 கப்,
பசும்பால் - 1 கப்,
வெட்டிவேர் - 10 கிராம்,
தேங்காய்ப் பால் பவுடர் - 1 டீஸ்பூன்,
மில்க் மெய்டு - 2 டீஸ்பூன்,
ஏலக்காய் பொடி - 1/2 டீஸ்பூன்.</t>
  </si>
  <si>
    <t>Mix the chopped Kirnipalam with cardamom powder and coconut milk powder in a bowl. Next, soak the Vettiver in water and add 2 teaspoons of that water.
Then add the blackcurrant syrup to it and mix. Then add both the Milkmaid and milk and mix.
Finally, mix everything well and store it in the refrigerator and eat after cooling.</t>
  </si>
  <si>
    <t>ஒரு பாத்திரத்தில் வெட்டிய கிர்ணிப் பழத்துடன் ஏலக்காய்ப் பொடி, தேங்காய்ப் பால் பவுடர் சேர்த்து பிசைந்துக் கொள்ளவும். அடுத்து வெட்டிவேரை தண்ணீரில் ஊற வைத்து அந்த தண்ணீர் 2 டீஸ்பூன் சேர்த்துக் கொள்ளவும்.
அதன் பின் கருப்பட்டி பாகை அதில் சேர்த்து கலந்து கொள்ளவும். பின்பு மில்க்மெய்டு, பால் இரண்டையும் சேர்த்து கலந்துக் கொள்ளவும்.
இறுதியாக எல்லாவற்றையும் நன்றாக கலந்து அதைக் குளிர்ச் சாதனப் பெட்டியில் வைத்து குளிர்ந்த பின்பு சாப்பிடவும்.</t>
  </si>
  <si>
    <t>https://img.thecdn.in/403544/SKU-1521_0-1740644283580.jpg?width=600&amp;format=webp</t>
  </si>
  <si>
    <t>Cucumber Melon  Juice</t>
  </si>
  <si>
    <t>வெள்ளரி பழம் குளிர்ச்சி</t>
  </si>
  <si>
    <t>Cucumber fruit -1,
Mint - 1/2 bunch,
Sugar - 1 teaspoon,
Steamed milk - 1/2 cup,
Pana Kalkandu - 2 teaspoons,
Nannari root -10 grams.</t>
  </si>
  <si>
    <t>வெள்ளிரிப் பழம் -1,
புதினா - 1/2 கூட்டு,
சர்க்கரை - 1 டீஸ்பூன்,
சுண்ட காய்ச்சிய பால் - 1/2 கப்,
பன கல்கண்டு - 2 டீஸ்பூன்,
நன்னாரி வேர் -10 கிராம்.</t>
  </si>
  <si>
    <t>In a bowl, mix the cucumber fruit with the banana karkandu, sugar, and steamed milk.
Soak the Nannari root in water and add only that water. Then add the mint to it and mix well.
Finally, keep it in the refrigerator and eat after it cools down.</t>
  </si>
  <si>
    <t>ஒரு பாத்திரத்தில் வெள்ளரிப் பழத்துடன் பனங் கற்கண்டு, சர்க்கரை, சுண்டகாய்ச்சியப் பால் இவற்றை ஒன்றாகச் சேர்த்து கலந்துக் கொள்ளவும்.
இதனுடன் நன்னாரி வேரை தண்ணீரில் ஊறவைத்து, அந்த தண்ணீரை மட்டும் எடுத்து சேர்த்துக் கொள்ள வேண்டும். பின்பு அதில் புதினாவை சேர்த்து நன்றாக கலந்து கொள்ளவும்.
இறுதியாக அதை குளிர் சாதனப் பெட்டியில் வைத்து குளிர்ந்த பின்பு சாப்பிடவும்.</t>
  </si>
  <si>
    <t>https://www.mychefsapron.com/wp-content/uploads/Cucumber-Pineapple-smoothie-Detox.jpg</t>
  </si>
  <si>
    <t>Watermelon Cooling</t>
  </si>
  <si>
    <t>தர்ப்பூசணி குளிர்ச்சி</t>
  </si>
  <si>
    <t>Watermelon -1/2,
Cucumber -3,
Cucumber juice -1,
Sugar - 1 teaspoon,
Cucumber powder - 1/2 teaspoon,
Milk - 100 grams,
Mint - 1/2 bunch.</t>
  </si>
  <si>
    <t>தர்ப்பூசணி -1/2,
நொங்கு -3,
இளநீர் -1,
சர்க்கரை - 1 டீஸ்பூன்,
சுக்குப் பொடி - 1/2 டீஸ்பூன்,
பால் - 100 கிராம்,
புதினா - 1/2 கட்டு.</t>
  </si>
  <si>
    <t>Mix the cut watermelon, cucumber, cucumber, and coconut in a bowl.
Add the cucumber powder to it and mix. Then add milk and sugar to it and mix well. Finally, add the cucumber juice, water, and mint and mix well.
Finally, keep it in the refrigerator and eat after cooling.</t>
  </si>
  <si>
    <t>ஒரு பாத்திரத்தில் வெட்டி வைத்த தர்ப்பூசணி, நொங்கு, இளநீர், தேங்காய் இவற்றை ஒன்று சேர்த்து கலந்து கொள்ளவும்.
இதனுடன் சுக்குப் பொடி சேர்த்து கலந்து கொள்ளவும். பின்பு அதில் பால், சர்க்கரை சேர்த்து நன்றாக கலந்து கொள்ளவும். இறுதியாக இளநீர் தண்ணீரையும் புதினாவையும் சேர்த்து நன்றாக கலந்து கொள்ளவும்.
இறுதியாக குளிர்சாதனப் பெட்டியில் வைத்து குளிர்ந்த பின்பு சாப்பிடவும்.</t>
  </si>
  <si>
    <t>https://bakewithshivesh.com/wp-content/uploads/2023/04/mohabbat-ka-sharbat-scaled.jpg</t>
  </si>
  <si>
    <t>Tender Coconut Pachadi</t>
  </si>
  <si>
    <t>இளநீர் பச்சடி</t>
  </si>
  <si>
    <t>Ilanir coconut -1,
Ilanir water - 1 cup,
Coconut milk powder - 1 teaspoon,
Cardamom powder - 1/2 teaspoon,
Yogurt - 1 cup,
Blackcurrant syrup - 1 teaspoon.</t>
  </si>
  <si>
    <t>இளநீர் தேங்காய் -1,
இளநீர் தண்ணீர் - 1 கப்,
தேங்காய் பால் பவுடர் - 1 டீஸ்பூன்,
ஏலக்காய் பொடி - 1/2 டீஸ்பூன்,
தயிர் - 1 கப்,
கருப்பட்டி பாகு - 1 டீஸ்பூன்.</t>
  </si>
  <si>
    <t>Chop the Ilanir coconut into powder. Then put it in a bowl. Add cardamom powder, blackcurrant syrup, and yogurt to it and mix well.
Next, add the Ilanir water to it and mix well. Add coconut milk powder to it and mix well.
Finally, keep it in the refrigerator and eat after cooling.</t>
  </si>
  <si>
    <t>இளநீர் தேங்காயை பொடியாக நறுக்கிக் கொள்ளவும். பின்பு அதை ஒரு பாத்திரத்தில் போட்டு வைத்துக் கொள்ளவும். இதனுடன் ஏலக்காய் பொடி, கருப்பட்டி பாகு, தயிர் இவற்றை சேர்த்து நன்றாக கலந்துக் கொள்ளவும்.
அடுத்து அதில் இளநீர் தண்ணீரை சேர்த்து நன்றாக கலந்துக் கொள்ளவும். இதனுடன் தேங்காய்பால் பவுடர் சேர்த்து நன்றாக கலந்துக் கொள்ளவும்.
இறுதியாக அதை குளிர் சாதனப் பெட்டியில் வைத்து குளிர்ந்த பின்பு சாப்பிடவும்.</t>
  </si>
  <si>
    <t>https://recipes.net/wp-content/uploads/portal_files/recipes_net_posts/2021-06/34_5.jpg</t>
  </si>
  <si>
    <t>Venpongal Orundai Gravy</t>
  </si>
  <si>
    <t>வெண்பொங்கல் உருண்டை குழம்பு</t>
  </si>
  <si>
    <t>Venpongal -1 cup,
Rice flour - 2 teaspoons,
Oil - 1 teaspoon,
Onion - 1 cup (chopped),
Curry leaves - 1 bunch,
Turmeric powder - 1/4 teaspoon,
Chili powder - 1 teaspoon,
Cornilar powder - 3 teaspoons,
Salt - as required,
Tamarind solution - 1 cup.</t>
  </si>
  <si>
    <t xml:space="preserve">வெண் பொங்கல் -1 கப்,
அரிசி மாவு - 2 டீஸ்பூன்,
எண்ணெய்	-  1  டீஸ்பூன்,
வெங்காயம் - 1 கப் (நறுக்கியது),
கறிவேப்பிலை - 1 கொத்து,
மஞ்சள் தூள் - 1/4 டீஸ்பூன்,
மிளகாய்த் தூள் - 1 டீஸ்பூன்,
மல்லித் தூள் - 3 டீஸ்பூன்,
உப்பு - தேவையான அளவு,
புளி கரைசல் - 1 கப்.
</t>
  </si>
  <si>
    <t>In a bowl, mix Pongal and rice flour and knead well to form a ball. Heat oil in a pan and add curry leaves and onion and fry well.
Then add turmeric powder, coriander powder, and chili powder and fry well. After frying the spices, add tamarind solution with a little water and boil well.
After the gravy boils well, add Pongal Orundai. Add salt as required. Cook on medium heat for 3 minutes. Finally, check for salt and remove.</t>
  </si>
  <si>
    <t xml:space="preserve">ஒரு பாத்திரத்தில் பொங்கல், அரிசி மாவு சேர்த்து நன்றாக பிசைந்து உருண்டை பிடித்து வைத்துக் கொள்ளவும். வாணலியில் எண்ணெய் சேர்த்து சூடாக்கி அதில் கறிவேப்பிலை, வெங்காயம் சேர்த்து நன்றாக வதக்கவும்.
பின்பு மஞ்சள் தூள், மல்லி தூள், மிளகாய் தூள் சேர்த்து நன்றாக வதக்கவும். மசாலாவை வதக்கியப் பின் புளி கரைசல் அதனுடன் சிறிது தண்ணீர் சேர்த்து நன்றாக கொதிக்க வைக்கவும்.
குழம்பு நன்றாக கொதித்தப் பின் பொங்கல் உருண்டையைச் சேர்க்கவும். தேவையான அளவு உப்பும் சேர்த்து கொள்ள வேண்டும். 3 நிமிடம் மிதமான சூட்டில் வேக வைக்கவும். இறுதியாக உப்பு சரிபார்த்து இறக்கவும்.
</t>
  </si>
  <si>
    <t>https://www.yummytummyaarthi.com/wp-content/uploads/2023/06/paruppu-urundai-kuzhambu-1.jpg</t>
  </si>
  <si>
    <t>Dosa Fingers</t>
  </si>
  <si>
    <t>தோசை ஃபிங்கர்ஸ்</t>
  </si>
  <si>
    <t>Dosas-2,
1 cup grated coconut,
1 teaspoon sugar,
1 cup sugar paste,
1/2 teaspoon cardamom powder,
1 tablespoon oil,
4 teaspoons maida.</t>
  </si>
  <si>
    <t>தோசை-2,
துருவிய தேங்காய் 1 கப்,
சர்க்கரை -1 டீஸ்பூன்,
சர்க்கரை பாவு 1 கப்,
ஏலக்காய பொடி -1/2 டீஸ்பூன்,
எண்ணெய் -தேவையான அளவு,
மைதா - 4 டீஸ்பூன்.</t>
  </si>
  <si>
    <t>Mix the grated coconut, sugar, and cardamom powder in a bowl. Dissolve the maida in water. Add a little sugar to it.
Now place the grated coconut in the middle of a dosa and wrap it well. Then cut it into small rolls, dip it in the dissolved maida and fry in oil.</t>
  </si>
  <si>
    <t>ஒரு பாத்திரத்தில் துருவிய தேங்காய் சர்க்கரை, ஏலக்காய் பொடி மூன்றையும் பிசைந்து கொள்ளவும். மைதா மாவை தண்ணீரில் கரைத்து வைத்துக் கொள்ளவும். அதனுடன் சிறிது சர்க்கரை சேர்த்துக் கொள்ளவும்.
இப்போது ஒரு தோசையின் நடுவில் பிசைந்து வைத்த தேங்காய் துருவலை வைத்து அதை நன்றாக சுற்றிக் கொள்ளவும். பின்பு அதை சின்ன சின்ன ரோல்ஸ் மாதிரிவெட்டி அதை கரைத்து வைத்த மைதா மாவில் நனைத்து எண்ணெய்யில் பொரித்து எடுக்கவும்.</t>
  </si>
  <si>
    <t>https://vellankifoods.com/cdn/shop/products/malai_puri.jpg?v=1690806209</t>
  </si>
  <si>
    <t>Dosa Poriyal Rings</t>
  </si>
  <si>
    <t>தோசை பொறியல் ரிங்ஸ்</t>
  </si>
  <si>
    <t xml:space="preserve">Dosas-2,
Chilli powder-1/2 teaspoon,
Poriyal-1 cup,
All purpose flour-100 grams,
Salt-as required,
Oil-as required.
</t>
  </si>
  <si>
    <t>தோசை-2,
மிளகுத் தூள் - 1/2 டீஸ்பூன்,
பொறியல் - 1 கப்,
மைதா மாவு- 100 கிராம்,
உப்பு - தேவையான அளவு,
எண்ணெய் - தேவையான அளவு.</t>
  </si>
  <si>
    <t>In a bowl, add the required amount of water along with the flour, salt, and pepper powder and mix well.
Next, place the poriyal in the middle of a dosa, wrap it well, and cut it into small rolls.
Dip the cut rolls in the flour mixture, fry in oil, and take them out.</t>
  </si>
  <si>
    <t>ஒரு பாத்திரத்தில் மைதா, உப்பு, மிளகுதூள் இவற்றுடன் தேவையான அளவு தண்ணீர் சேர்த்து அதை நன்றாக கலந்து கொள்ளவும்.
அடுத்து ஒரு தோசையின் நடுவில் பொரியலை வைத்து அதை நன்றாக சுற்றி வைத்து அதை சின்ன சின்ன ரோல்ஸ் மாதிரி வெட்டி வைத்துக் கொள்ளவும்.
வெட்டி வைத்த ரோல்ஸை மைதா மாவு கரைசலில் நனைத்து எண்ணெய்யில் போட்டு பொரித்து எடுக்கவும்.</t>
  </si>
  <si>
    <t>https://roubashahin.com.au/wp-content/uploads/2025/01/DSC02867.jpeg</t>
  </si>
  <si>
    <t>Uluwatu Vada Thokku</t>
  </si>
  <si>
    <t>உளுந்து வடை தொக்கு</t>
  </si>
  <si>
    <t>Uluwatu Vada-3,
Coconut milk - 1 cup,
Coriander leaves - 1 teaspoon,
Coriander powder - 3,
Turmeric powder - 1/4 teaspoon,
Salt - as required,
Tomatoes - 2 cups,
Onion - 1 cup,
Chili powder - 1 teaspoon,
Oil - 1 teaspoon.
Recipe:</t>
  </si>
  <si>
    <t>உளுந்து வடை-3,
தேங்காய் பால் - 1 கப்,
கொத்தமல்லி தழை - 1 டீஸ்பூன்,
மல்லித் தூள் – 3,
மஞ்சள் தூள்- 1/4 டீஸ்பூன்,
உப்பு - தேவையான அளவு,
தக்காளி - 2 கப்,
வெங்காயம் - 1 கப்,
மிளகாய் தூள் - 1 டீஸ்பூன்,
எண்ணெய் - 1 டீஸ்பூன்.</t>
  </si>
  <si>
    <t>Heat oil in a pan and add onion and fry well.
Add turmeric powder, chili powder, and coriander powder to it and fry well. Then add tomatoes and salt to it and fry well again.
Next, add coriander leaves and coconut milk and fry well. Once the spices are fried well, add the ulwatu vada to it and mix it with it. Finally, check the salt and remove it.</t>
  </si>
  <si>
    <t xml:space="preserve">வாணலியை எண்ணெயை சூடாக்கி அதில் வெங்காயத்தை சேர்த்து நன்றாக வதக்கவும்.
இதனுடன் மஞ்சள் தூள், மிளகாய் தூள், மல்லி தூள் மூன்றையும் சேர்த்து நன்றாக வதக்கவும். பின்பு தக்காளியையும் சேர்த்து அதனுடன் உப்பு சேர்த்து மீண்டும் நன்றாக வதக்கவும்.
அடுத்து மல்லி தழை மற்றும் தேங்காய் பால் சேர்த்து நன்றாக வதக்கவும். மசாலாவை நன்றாக வதக்கியதும் அதில் உளுந்து வடையை உதிர்த்து அதனுடன் சேர்த்துக் கலக்கவும். இறுதியாக உப்பு சரிபார்த்து இறக்கவும்.
</t>
  </si>
  <si>
    <t>https://blogger.googleusercontent.com/img/b/R29vZ2xl/AVvXsEid7FNy_IiSbyrBwdMDvLxHepT_pJjAbCkjOvK6PcUqiVtD_PzNCKFb6MIRJ3yc0z9KrXAi06e6aSctJlzp_puQwV-Nz3AwGOhbpqbSPO38ZZkKvw7XVv2sWPEfLTD1Tws2dq7pYfy81R8/s1600/DSC_0225.jpg</t>
  </si>
  <si>
    <t>Ulunthu Vadai Donut</t>
  </si>
  <si>
    <t>உளுந்துவடை டோனட்</t>
  </si>
  <si>
    <t>Uluwadi -2,
Cashew -10 grams,
Cardamom powder - 1/2 teaspoon,
Ghee - 1 teaspoon,
Sugar - 1/2 cup,
Chocolate - 2.</t>
  </si>
  <si>
    <t>உளுந்து வடை -2,
முந்திரி -10 கிராம்,
ஏலக்காய் பொடி - 1/2 டீஸ்பூன்,
நெய் - 1 டீஸ்பூன்,
சர்க்கரை - 1/2 கப்,
சாக்லெட் – 2.</t>
  </si>
  <si>
    <t>Heat ghee in a pan and add cashew and sugar and fry well. When the sugar is hot and dissolves into sugar syrup. Put the ulwadi in it and fry it.
Now the sugar syrup will tighten around the vada. We need to grate chocolate on top and sprinkle it on top. Now our desired ulwadi donut is ready.</t>
  </si>
  <si>
    <t xml:space="preserve">
ஒரு பாத்திரத்தில் நெய்யை சூடாக்கி அதில் முந்திரி, சர்க்கரை சேர்த்து நன்றாக வதக்கவும். சர்க்கரை சூடானதும் கரைந்து சர்க்கரை பாகு ஆனதும். உளுந்து வடையை அதில் போட்டு பிரட்டி எடுக்கவும்.
இப்போது வடையைச் சுற்றி சர்க்கரைப் பாகு இறுக்கும். இதன் மேல் சாக்லெட்டை துருவி மேலே தூவ வேண்டும். இப்போது நமக்கு தேவையான உளுந்து வடை டோனட் ரெடி.</t>
  </si>
  <si>
    <t>https://i0.wp.com/smittenkitchen.com/wp-content/uploads//2009/10/4014418929_1dd1c25ec9_o.jpg?fit=753%2C500&amp;ssl=1</t>
  </si>
  <si>
    <t>Upuma Ponda</t>
  </si>
  <si>
    <t>உப்புமா போண்டா</t>
  </si>
  <si>
    <t xml:space="preserve">Upuma - 1 cup,
Oil - required amount,
Sukku powder - 1/2 teaspoon,
Peanut flour - 1 cup,
Agarwood powder - a little,
Omam - 1/2 teaspoon,
Salt - required amount.
</t>
  </si>
  <si>
    <t>உப்புமா - 1 கப்,
எண்ணெய் - தேவையான அளவு,
சுக்கு பொடி - 1/2 டீஸ்பூன்,
கடலை மாவு - 1 கப்,
பெருங்காய தூள் – சிறிதளவு,
ஓமம் - 1/2 டீஸ்பூன்,
உப்பு - தேவையான அளவு.</t>
  </si>
  <si>
    <t>In a bowl, mix the gram flour, agarwood powder, Sukku powder, Omam, required amount of salt with water and mix well.
Heat the oil. Then roll the upuma into a ball, dip it in the garwood flour and fry it in the oil.</t>
  </si>
  <si>
    <t xml:space="preserve">ஒரு பாத்திரத்தில் கடலை மாவு, பெருங்காய தூள், சுக்கு பொடி, ஓமம், தேவையான அளவு உப்பு இவற்றை தண்ணீர் விட்டு நன்றாக கலந்து கொள்ளவும்.
எண்ணெயை சூடாக்கி கொள்ளவும். பின்பு உப்புமாவை உருண்டையாக உருட்டி அதை கடலை மாவில் போட்டு எடுத்து எண்ணெயில் பொறித்து எடுக்கவும்.
</t>
  </si>
  <si>
    <t>https://as2.ftcdn.net/jpg/12/73/25/93/1000_F_1273259343_5bcOs1IplJvvrEbv3O4xY42JpWwpeseE.webp</t>
  </si>
  <si>
    <t>Idli Payasam</t>
  </si>
  <si>
    <t>இட்லி பாயாசம்</t>
  </si>
  <si>
    <t>Idli-3,
Ghee-1 teaspoon,
Coconut milk powder - 3 teaspoons,
Raisins - 1 teaspoon,
Cashew nuts - 1 teaspoon,
Sugar - 1 cup</t>
  </si>
  <si>
    <t>இட்லி-3,
நெய் -1 டீஸ்பூன்,
தேங்காய் பால் பவுடர் - 3 டீஸ்பூன்,
திராட்சை - 1 டீஸ்பூன்,
முந்திரி - 1 டீஸ்பூன்,
சர்க்கரை - 1 கப்.</t>
  </si>
  <si>
    <t>Heat ghee in a pan and fry cashew nuts and raisins in it. Then take it separately.
Add sugar to the same ghee and fry. Then add required amount of water. Add coconut milk powder to it and boil it well.
Then break the idli in it and add it to it and boil it well again. Finally check the sweetness and add cashew nuts and raisins fried in ghee to it.</t>
  </si>
  <si>
    <t xml:space="preserve">ஒரு பாத்திரத்தில் நெய்யை சூடாக்கி அதில் முந்திரி, திராட்சை சேர்த்து வதக்கவும். பின்பு அதை தனியாக எடுத்துக் கொள்ளவும்.
அதே நெய்யில் சர்க்கரை சேர்த்து வதக்கவும். பின்பு தேவையான அளவு தண்ணீர் சேர்க்கவும். அதனுடன் தேங்காய் பால் பவுடர் சேர்த்து அதை நன்றாக கொதிக்க வைக்கவும்.
பின்பு அதில் இட்லியை உதிர்த்து அதனுடன் சேர்த்து மீண்டும் நன்றாக கொதிக்க வைக்கவும். இறுதியாக இனிப்பு சரிபார்த்துஅதில் நெய்யில் வதக்கிய முந்திரி திராட்சை சேர்த்து இறக்கவும்.
</t>
  </si>
  <si>
    <t>https://www.indianveggiedelight.com/wp-content/uploads/2023/07/vermicelli-kheer-recipe-2.jpg</t>
  </si>
  <si>
    <t>Pachavarakkai puli kulambu</t>
  </si>
  <si>
    <t>பச்சவரை புளிக்குழம்பு</t>
  </si>
  <si>
    <t>Green Tamarind - 1/4 kg, Tomato - 2,
Roller Potato - 4; Eggplant - 5,
Green Chillies - 2; Fenugreek - 1 teaspoon,
Garlic - 10 cloves; Small Onion - 1 handful,
Tamarind - the size of a lemon,
Grated Coconut Paste - 1 lid,
Salt - as required: Oil - 2 tablespoons,
Chili Powder - 3 teaspoons: Taniyat Powder - 4 teaspoons,
Turmeric Powder-1/2 spoon.</t>
  </si>
  <si>
    <t>பச்சைவரை - 1/4 கிலோ, தக்காளி – 2,
உருளைக் கிழங்கு - 4; கத்தரிக்காய் – 5,
பச்சை மிளகாய் - 2; வெந்தயம் - 1 டீஸ்பூன்,
பூண்டு - 10 பல்; சின்ன வெங்காயம் - 1 கைப்பிடி,
புளி - எலுமிச்சை அளவு,
அரைத்த தேங்காய் விழுது - 1 மூடி,
உப்பு - தேவைக்கேற்ப: எண்ணெய் - 2 கரண்டி,
மிளகாய்தூள் - 3 டீஸ்பூன்: தனியாத் தூள் - 4 டீஸ்பூன்,
மஞ்சள் தூள்-1/2 ஸ்பூன்.</t>
  </si>
  <si>
    <t>Put oil in a pan and when it is hot, add fenugreek, chopped garlic, and onion. Once it is cooked, add tomatoes, chopped eggplant, and sauté and cover. Mix chili powder, turmeric powder, tamarind solution, grated coconut, salt and keep it aside. When the eggplant oil in the oven is half hot, pour 1 tambalar of water, add a pinch of salt and let the solution boil. When the green smell disappears and it boils gently, add the already boiled mocha and grated potato and cover. Boil for 10 minutes and then remove from heat.
This gravy is very tasty for rice. It is a vegetable in itself. Since mocha is present, nothing needs to be touched separately. It is also suitable for idlis and dosas.</t>
  </si>
  <si>
    <t>அடுப்பில் சட்டியை வைத்து எண்ணெய் ஊற்றி சூடானதும் வெந்தயம், நறுக்கிய பூண்டு, வெங்காயத்தைப் போடவும். வதங்கியதும் தக்காளி, நறுக்கிய கத்திரிக்காயைப் போட்டு வதக்கி மூடவும். மிளகாய்த்தூள் தனியாத் தூள், மஞ்சள் தூள்களைக் கலந்து புளிக் கரைசல், அரைத்த தேங்காய், உப்பு அனைத்தையும் கலந்து தனியாக வைக்கவும். அடுப்பிலுள்ள கத்திரிக்காய் எண்ணெய்யில் பாதி வெந்ததும் 1 தம்பளர் நீர் ஊற்றி துளி உப்புப் போட்டு கரைசலை சேர்த்து கொதிக்க விடவும். பச்சை வாசனை நீங்கி தளதளவென்று கொதிக்கும்போது, ஏற்கனவே அவித்து வைத்த மொச்சை, அரிந்த உருளைக் கிழங்கைப் போட்டு மூடவும். 10 நிமிடம் கொதித்ததும் இறக்கவும்.
இந்தக் குழம்பு சாதத்திற்கு மிகவும் சுவையாக இருக்கும். இதிலேயே காய்கறி. மொச்சை இருப்பதால் தனியாக தொட்டுக் கொள்ள எதுவும் தேவைப்படாது. இட்லி, தோசைக்கும் பொருத்தமானது.</t>
  </si>
  <si>
    <t>https://1.bp.blogspot.com/-y9Fyq6GvNqY/VVxleawQTyI/AAAAAAACxFY/wLZmefrSQb0/s1600/1.JPG</t>
  </si>
  <si>
    <t>Senai Sunta Kulambu</t>
  </si>
  <si>
    <t>சேனை சுண்டக் குழம்பு</t>
  </si>
  <si>
    <t>Sena -1/4 kg, Tomato - 2,
Chili powder - 3 spoons,
Dhaniya powder - 3 spoons,
Sambar powder - 2 spoons,
Turmeric powder - 1/2 spoon,
Onion large - 1,
Salt - as needed,
Oil - 1 tablespoon,
Fenugreek - 1 spoon,Mustard - 1 spoon,
Tamarind - the size of a lemon.</t>
  </si>
  <si>
    <t>சேனை -1/4 கிலோ, தக்காளி – 2,
மிளகாய்த் தூள் - 3 ஸ்பூன்,
தனியாத் தூள் - 3 ஸ்பூன்,
சாம்பார் பொடி - 2 ஸ்பூன்,
மஞ்சள் தூள்- 1/2 ஸ்பூன்,
வெங்காயம் பெரியது – 1,
உப்பு –அளவாக,
எண்ணெய் - 1 குழிக் கரண்டி,
வெந்தயம் – 1 ஸ்பூன், கடுகு - 1 ஸ்பூன்,
புளி - எலுமிச்சை அளவு.</t>
  </si>
  <si>
    <t xml:space="preserve">Fry the onion and tomato in a little oil and grind it into a paste in a mixer.
Heat oil in a pan and fry the fenugreek and mustard. Add the sena tubers, cut into slightly thick slices, rinse the rice and drain the water and add it. Add the grated onion, tomato, and paste, stir, add salt, chili, taniya, turmeric powder, sprinkle 1 teaspoon of sambar powder, add water and let it boil. When it is well cooked, finally dissolve the tamarind and let it boil. When the gravy boils and the vegetables are cooked, turn off the heat.
Add to old rice. This stew gravy is also suitable for rice. It will not spoil for up to 4 days. You can also add to idlis.
</t>
  </si>
  <si>
    <t xml:space="preserve">வெங்காயம், தக்காளியை சிறிது எண்ணெய் விட்டு வதக்கி மிக்ஸியில் விழுதாக்கவும்.
கடாயில் எண்ணெய் விட்டு வெந்தயம் கடுகை பொரிய விடவும். அதில் சற்று கனமான வில்லைகளாக அரிந்த சேனைக் கிழங்கை அரிசி களைந்த நீரை விட்டு கழுவி போடவும். அதில் அரைத்த வெங்காயம், தக்காளி, விழுதைப் போட்டுக் கிளறி உப்புப் போட்டு மிளகாய்,தனியா, மஞ்சள்தூள்களைப் போட்டு, 1 தேக்கரண்டி சாம்பார் பொடி தூவி நீர் சேர்த்து வேக விடவும். நன்றாக வெந்ததும் கடைசியில் புளியைக் கரைத்து விட்டு கொதிக்க விடவும். குழம்பு கொதித்து காய் வெந்ததும் தீயை அணைக்கவும்.
பழைய சோற்றுக்கு தொட்டுக் கொள்ளவும். சாதத்திற்கும் இந்த சுண்டக் குழம்பு பொருத்தமாக இருக்கும். 4 நாட்கள் வரை கெடாமல் இருக்கும். இட்லிக்கும் தொட்டுக் கொள்ளலாம்.
</t>
  </si>
  <si>
    <t>https://www.theindianhome.com/wp-content/uploads/2022/08/f-c-min-750x500.jpg</t>
  </si>
  <si>
    <t>Ennai Kathirikai kulambu</t>
  </si>
  <si>
    <t>எண்ணெய் கத்தரிக்காய்</t>
  </si>
  <si>
    <t>Fresh eggplant - 1/4 kg, Chilli powder 2 spoons,
Dhaniya powder - 3 spoons, Turmeric powder - 1/2 spoon,
Garlic - 1/2 spoon; Salt - to taste,
Tamarind - the size of a small lemon,
Ghee - 2 tablespoons,
Tomatoes (preferably ripe)-4,
Large onions - 2; Green chilies - 2,
2 teaspoons of cumin, pepper, and ground peanuts
roasted powder,
6 cloves of garlic, fenugreek - 1 teaspoon, mustard - 1 spoon.</t>
  </si>
  <si>
    <t>பிஞ்சு கத்தரிக்காய் -1/4 கிலோ, மிளகாய்த் தூள் 2 ஸ்பூன்,
தனியாத் தூள் - 3 ஸ்பூன், மஞ்சள் தூள் - 1/2 ஸ்பூன்,
பெருங்காயம் - 1/2 ஸ்பூன்; உப்பு – அளவாக,
புளி - சிறிய எலுமிச்சை அளவு, 
நல்லெண்ணெய் - 2 குழிக்கரண்டி,
தக்காளி (பழமாக இருப்பது நல்லது)-4,
பெரிய வெங்காயம் - 2; பச்சை மிளகாய் – 2,
சீரகம், மிளகு, கடலைப் பருப்பு சேர்த்து
வறுத்து அரைத்த பொடி 2 டீஸ்பூன்,
பூண்டுப் பல் - 6, வெந்தயம் - 1 டீஸ்பூன், கடுகு - 1 ஸ்பூன்.</t>
  </si>
  <si>
    <t>Slice the eggplant lengthwise into thin slices. Heat a little oil in a pan, sauté the chopped onion, garlic clove, green chilies, and tomatoes on medium heat and grind them into a paste in a mixer. Soak the tamarind and grind it to a paste.
Put a wide, heavy-bottomed vessel on the stove and pour all the oil. When it is hot, add fenugreek and mustard seeds, when it is fried, add the washed and drained brinjal and stir. Let the fire burn moderately. When the brinjal changes color and shrinks, add chili, ginger, turmeric powder, and coriander powder and fry. Add the powdered powder. Add 1 cup of water, add salt as required, stir and let it cook slowly. When it is three-quarters cooked, add the tamarind paste, flip it over and cover it. When it boils gently and the brinjal is cooked like butter and the oil floats on top and becomes crispy, turn off the fire.
Mix this oil in the brinjal rice and eat it. It is delicious with sambar rice, curd rice, coconut rice, and chapati. Those who like it spicy can add 1 more teaspoon of chili powder.</t>
  </si>
  <si>
    <t>கத்தரிக்காயை நீளவாக்கில் மெலிதாக நறுக்கவும். கடாயில் சிறிது எண்ணெய் விட்டு அரிந்த வெங்காயம், பூண்டுப்பல், பச்சை மிளகாய், தக்காளியை மிதமான தீயில் வதக்கி மிக்ஸியில் விழுதாக அரைக்கவும். புளியை ஊறவிட்டு கெட்டியாகக் கரைத்து கொள்ளவும்.
அகன்ற அடி கனமான பாத்திரத்தை அடுப்பில் வைத்து எண்ணெய் முழுவதையும் ஊற்றவும். சூடானதும் வெந்தயம், கடுகைப் போட்டு பொரிந்ததும் அலசி வடித்த கத்தரிக்காயைப் போட்டு கிளறவும். தீ மிதமாக எரியட்டும். கத்தரிக்காய் நிறம் மாறி சுருங்கி வரும்போது மிளகாய், தனியா, மஞ்சள் தூள், விழுதைப் போட்டு வதக்கி. பொடித்த தூளைச் சேர்க்கவும். இதில் 1 தம்ளர் தண்ணீர் தேவையான உப்பைப் போட்டு கிளறி நிதானமாக வேக விடவும். முக்கால்வாசி வெந்ததும் புளிக்கரைசலை ஊற்றி ஒரு புரட்டு புரட்டி மூடவும். தளதளவென்று கொதித்து வெண்ணெய் போல கத்தரிக்காய் வெந்து எண்ணெய் மேலே மிதந்து செக்கச் செவேலென்று மாறும்போது தீயை அணைக்கவும்.
இந்த எண்ணெய்க் கத்தரிக்காய் சாதத்தில் விட்டுப் பிசைந்து சாப்பிடவும். தொட்டுக் கொள்ளவும் சாம்பார் சாதம், தயிர் சாதம், தேங்காய் சாதம், சப்பாத்தி இவற்றிற்குத் தொட்டுக் கொள்ளவும் சுவையாக இருக்கும். காரம் விரும்புகிறவர்கள் மிளகாய்த் தூளை 1 ஸ்பூன் அதிகம் சேர்க்கலாம்.</t>
  </si>
  <si>
    <t>https://spicyindiankitchen.com/wp-content/uploads/2022/01/ennai-kathrikkai-kuzhambu-new-2wb-eng.jpg</t>
  </si>
  <si>
    <t>Eggplant Puli Pachadi</t>
  </si>
  <si>
    <t>கத்தரிக்காய் புளிப்பச்சடி</t>
  </si>
  <si>
    <t xml:space="preserve">
Thick eggplant fritters – 3,
Green chilies – 4,
Small onion – 1 handful,
Large tomato – 1,
Fresh coriander – 1 lemon size,
Mustard – 1 spoon, Red chilies – 2,
Curry leaves, Salt – as required,
Oil – 4 teaspoons.</t>
  </si>
  <si>
    <t>தடியான பஜ்ஜி கத்தரிக்காய் – 3,
பச்சை மிளகாய் – 4,
சின்ன வெங்காயம் - 1 கைப்பிடி,
பெரிய தக்காளி -1,
புதுப்புளி - 1 எலுமிச்சை அளவு, 
கடுகு - 1 ஸ்பூன், வரமிளகாய் - 2 ,
கறிவேப்பிலை, உப்பு - தேவையான அளவு, 
எண்ணெய் - 4 டீஸ்பூன்.</t>
  </si>
  <si>
    <t xml:space="preserve">Apply a little oil on the eggplants and roast them. Roast them until the top part is browned, wash them in water, remove the skin and remove the core, leaving only the fleshy part.
Chop the onion crosswise. Chop the green chilies into powder. Roast the tomatoes and remove the skin when they cool. Mash the tamarind until thick.
Put a pan on the stove and pour oil, add mustard seeds, curry leaves, and red chilies. Once they are fried, add onion and green chilies, sauté well, pour tamarind paste in it and let it boil.
While boiling, add the roasted eggplant to the mixture that was roughly mashed in a mixer and add salt. Do not boil on the stove for too long. Do not add urad dal while seasoning. It will soak and reduce the taste of the tachadi.
</t>
  </si>
  <si>
    <t>கத்தரிக்காய்களின்மீது சிறிது எண்ணெய் தடவி நெருப்பில் சுட்டு எடுக்கவும். மேல் பாகம் முழுவதும் கருகும்படி சுட்டு எடுத்து தண்ணீரில் கழுவி விட்டு மேல் தோலை அகற்றிவிட்டு காம்பையும் நீக்கிவிட்டு சதைப் பகுதியை மட்டும் எடுக்கவும்.
வெங்காயத்தை குறுக்குவாட்டில் நறுக்கவும். பச்சைமிளகாயைப் பொடியாக நறுக்கவும். தக்காளியையும் நெருப்பில் வாட்டி ஆறியதும் மேல் தோலை நீக்கிவிடவும். புளியை கெட்டியாகக் கரைக்கவும்.
அடுப்பில் கடாயை வைத்து எண்ணெய் ஊற்றி கடுகு, கறிவேப்பிலை, வரமிளகாய் போட்டு பொரிந்ததும் வெங்காயம், பச்சைமிளகாயைப் போட்டு நன்றாக வதக்கி அதில் புளிக்கரைசலை ஊற்ற கொதிக்க விடவும்.
கொதிக்கும்போது சுட்ட கத்தரிக் காயை மிக்ஸியில் சுமாராக மசித்த கலவையோடு சேர்த்து உப்புப் போட்டு இறக்கவும். அதிக நேரம் அடுப்பில் கொதிக்கக் கூடாது. தாளிக்கும்போது உளுத்தம்பருப்பு போடக் கூடாது. அது ஊறிப் போய் பச்சடியின் சுவையைக் குறைத்துவிடும்.</t>
  </si>
  <si>
    <t>https://blogger.googleusercontent.com/img/b/R29vZ2xl/AVvXsEiSV87eVxDnVEeAYB2MW9VxY-xN1ym-AsOIXtB1vM01U2tz1Apb-JwCYa5cPHPkdSkFY0MNOlSz9eF9n-ACx_IH45eget671PcCqMGsPrRllChs9D3t4UzJoob9O0gBSWphm13Hg5ni2gA/s640/Brinjal+Pickle.jpg</t>
  </si>
  <si>
    <t>Potato Guruma</t>
  </si>
  <si>
    <t>உருளைக்கிழங்கு குருமா</t>
  </si>
  <si>
    <t>Potatoes – ¼ 4 kg,
Green chillies – 4, Tomatoes – 2,
Ginger, garlic, poppy seeds – 5 teaspoons,
Baking powder, cloves, cardamom pods – 2,
Coriander leaves – a little,
Coconut for grinding – 1 lid,
Grated onion 1 cup,
Yogurt – ½ cup, Oil – 1 tbsp.,2</t>
  </si>
  <si>
    <t>உருளைக்கிழங்கு – ¼ 4கிலோ,
பச்சைமிளகாய் - 4, தக்காளி -2,
இஞ்சி, பூண்டு, கசகசா அரவை - 5 டீஸ்பூன்,
பட்டை, கிராம்பு, ஏலக்காய் வகை -2,
கொத்தமல்லி இலை – சிறிது,
அரைப்பதற்கு தேங்காய் - 1 மூடி,
அரிந்த வெங்காயம் 1 கப்,
தயிர் – ½ கப், எண்ணெய் - 1 கரண்டி.,2</t>
  </si>
  <si>
    <t xml:space="preserve">Boil the potatoes and keep them aside. Heat oil in a pan and fry the bhaji, cloves, cardamom pods and onions. Add the ginger and garlic paste and stir. Add the tomatoes, add the chopped green chillies and fry them. Add the yogurt and salt and cover.
When it boils and the raw smell subsides, dissolve the coconut paste and while boiling, add a little chili powder (1 spoon), add the grated potatoes and boil for 2 minutes. Add the coriander leaves and drain.
This guruma is suitable for adding to chapatis, parotta, puri, bread, appam, and idiyappam. This guruma is suitable for mixing with fried rice and eating.
</t>
  </si>
  <si>
    <t xml:space="preserve">உருளைக்கிழங்கை அவித்து உரித்து வைக்கவும். கடாயில் எண்ணெய் விட்டு சூடாக்கி பட்டை, கிராம்பு, ஏலக்காய் போட்ட பொரியவிட்டு வெங்காயம் போட்டு வதக்கி இஞ்சி, பூண்டு அரைப்பை போட்டுக் கிளறி, தக்காளியைப் போட்டு கீறிய பச்சைமிளகாய் சேர்த்து வதக்கி தயிரைச் சேர்த்து உப்புப் போட்டு மூடவும்.
கொதித்து பச்சை வாசனை அடங்கியதும் தேங்காய் விழுதைக் கரைத்துவிட்டு கொதிக்கும் போது சிறிது மிளகாய்த்தூள் 1 ஸ்பூன் போட்டு அரிந்த உருளைக்கிழங்கைப் போட்டு 2 நிமிடம் கொதிக்கவிட்டு கொத்தமல்லித் தழையைக் கிள்ளிப் போட்டு இறக்கவும்.
இந்த குருமா சப்பாத்தி, பரோட்டா, பூரி, பிரெட், ஆப்பம், இடியாப்பம் இவற்றிற்குத் தொட்டுக்க பொருத்தமானது. ஃபிரைடு ரைஸுக்கு பிசைந்து சாப்பிட ஏற்றது இந்த குருமா.
</t>
  </si>
  <si>
    <t>https://www.spiceindiaonline.com/wp-content/uploads/2006/12/Potato-Kurma.jpg</t>
  </si>
  <si>
    <t>Cauliflower Guruma</t>
  </si>
  <si>
    <t>காளிபிளவர் குருமா</t>
  </si>
  <si>
    <t xml:space="preserve">Cauliflower - 1, Potato - 2, Tomato - 2. Chopped onion - 1 cup, Ginger garlic paste - 2 teaspoons, Green chilies - 3, Chilli powder - 3 spoons, Turmeric powder - 3 spoons, Thick curd - 1 cup, Coriander leaves grated into a paste Coconut - 1 cup, Salt - as required, Oil - 2 spoons, Bark - 2, Cloves - 3, Cardamom - 2.
</t>
  </si>
  <si>
    <t>காலிபிளவர் - 1, உருளைக்கிழங்கு -2,
தக்காளி-2. அரிந்த வெங்காயம் - 1 கப்,
இஞ்சி பூண்டு விழுது - 2 டீஸ்பூன்,
பச்சைமிளகாய் - 3, மிளகாய்த்தூள் - 3 ஸ்பூன்,
தனியாத்தூள் - 3 ஸ்பூன், கெட்டித் தயிர் - 1 கப்,
கொத்தமல்லி இலை விழுதாக அரைத்த தேங்காய் - 1 கப்,
உப்பு - தேவையான அளவு,
எண்ணெய் - 2 கரண்டி,
பட்டை - 2, கிராம்பு – 3,
ஏலக்காய் -2.</t>
  </si>
  <si>
    <t>Chop the cauliflower florets and immerse them in boiling water and cover them. After 10 minutes, rinse them and rinse them again in different water.
Put the cooker on the stove, pour oil and when it is hot, add the bark, cloves and cardamom and fry them. Add onion and fry it. After adding tomato and frying it, add cauliflower pieces, ginger and garlic paste, stir it, add chilli, turmeric powder, yogurt, salt and cover it. Add potato pieces in it and cover it. When it is cooked to a fine paste, add coconut and green chillies, dissolve the ground paste, add water and boil until it thickens, sprinkle coriander and turn off the heat.
This cauliflower kuruma is very suitable for fried rice, pulao etc. on special occasions, as well as paratha, chapati and idiyappam. The taste is also enhanced.</t>
  </si>
  <si>
    <t>காலிபிளவரின் பூக்களை ஒடித்து கொதிக்கும் நீரில் அமிழ்த்தி மூடி வைக்கவும், 10 நிமிடத்திற்குப் பிறகு அலசி எடுத்து வேறு நீரில் மீண்டும் அலசி எடுக்கவும்.
குக்கரை அடுப்பில் வைத்து எண்ணெய் ஊற்றி சூடானதும் பட்டை, கிராம்பு, ஏலக்காய் போட்டு பொரிய விடவும். அதில் வெங்காயத்தைப் போட்டு வதக்கவும். தக்காளியைப் போட்டு வதக்கிய பின், காலிபிளவர் துண்டுகளைப் போட்டு இஞ்சி, பூண்டு விழுது சேர்த்துப் புரட்டி மிளகாய், தனியாத்தூள் சேர்த்து தயிரைச் சேர்த்து உப்புப் போட்டு மூடவும். அதிலேயே உருளைக்கிழங்கு துண்டுகளைப் போட்டு மூடவும். நன்றாக்குழைவாக வெந்த பக்குவம் வந்ததும், தேங்காயோடு பச்சைமிளகாயையும் சேர்த்து அரைத்த விழுதைக் கரைத்துச் சேர்த்து நீர்விட்டு கொதித்து இறுகி வந்ததும், கொத்தமல்லியைத் தூவி தீயை அணைக்கவும்.
விசேஷ தினங்களில் பிரைடு ரைஸ், புலாவ் போன்றவற்றிற்கும் பரோட்டா, சப்பாத்தி, இடியாப்பத்திற்கும் இந்த காலிபிளவர் குருமா வெகு பொருத்தமானது. சுவையும் கூடுதலானது.</t>
  </si>
  <si>
    <t>https://palatesdesire.com/wp-content/uploads/2020/03/Cauliflower_potato_Kurma@palates_Desire-1536x1024.jpg</t>
  </si>
  <si>
    <t>Eggplant Pulikulambu</t>
  </si>
  <si>
    <t>கத்தரிக்காய் புளிக்குழம்பு</t>
  </si>
  <si>
    <t xml:space="preserve">Eggplant – ¼ kg,
Tamarind – lemon size (fresh is better),
Tomato – 2,
Small onion – a handful,
Green chilli – 1. Garlic cloves – 5,
Chili powder – 2 spoons, Turmeric powder – 3 spoons,
Sambar powder – 2 spoons, Onion – ½ spoon,
Salt – as per taste, Oil – 1 tablespoon.
</t>
  </si>
  <si>
    <t>பிஞ்சுக் கத்தரிக்காய் – ¼ கிலோ, 
புளி - எலுமிச்சையளவு (புதுப்புளி நல்லது),
தக்காளி – 2,
சின்ன வெங்காயம் - ஒரு கைப்பிடியளவு,
பச்சைமிளகாய் - 1. பூண்டுப் பல் -5, 
மிளகாய்பொடி -2 ஸ்பூன், தனியாத்தூள் - 3 ஸ்பூன் ,
சாம்பார் பொடி - 2 ஸ்பூன், பெருங்காயம் – ½ ஸ்பூன், 
உப்பு -அளவாக, எண்ணெய் - 1 குழிக்கரண்டி.</t>
  </si>
  <si>
    <t>Cut the brinjals, after removing the stem, in half and grate them. When it is dry, add oil to the pan and fry, add dill, garlic, small onion, green chillies. Add the brinjals. Add a little more oil. When the brinjals change color and start shrinking, add the tomatoes and fry and cover. Cook in vegetable oil. When it is three-quarters cooked, add the spices, 1 cup of water and salt. When the eggplant is cooked well, finally add the tamarind paste and let it boil gently. When the gravy thickens and thickens, turn off the heat and reduce the heat.
Even if it absorbs too much oil, this gravy will be very tasty! It will not spoil quickly.</t>
  </si>
  <si>
    <t xml:space="preserve">காம்பு நீக்கிய கத்தரிக்காயை சரி பாதியாக வெட்டி, கீறி விடவும். அடுப்புப் பாத்திரத்தில் எண்ணெய்விட்டு காய்ந்ததும் வெந்தயம், பூண்டு, சின்ன வெங்காயம், பச்சைமிளகாயைப் போட்டு வதக்கவும். அதோடு கத்தரிக்காயைப் போடவும். சற்று கூடுதலாக எண்ணெய் விடவும். கத்தரிக்காய் நிறம் மாறி சுருங்க வரும்போது தக்காளியைச் சேர்த்து வதக்கி மூடவும். காய் எண்ணெயிலேயே வேக வேண்டும் முக்கால் பதம் வெந்ததும் மசாலாத்தூள்களைப் போட்டு 1 தம்ளர் தண்ணீர் விட்டு உப்பைச் சேர்க்கவும். கத்தரிக்காய் நன்றாக வெந்ததும் கடைசியாகப் புளிக்கரைசலை ஊற்றி தளதளவென்று கொதிக்கவிடவும். குழம்பு இறுகி கெட்டியானதும் தீயை நிறுத்தி இறக்கவும்.
எண்ணெய் அதிகமாகப் பிடித்தாலும் இந்தக் குழம்பு மிகவும் ருசியாக இருக்கும்! சீக்கிரம் கெடாது.
</t>
  </si>
  <si>
    <t>https://i0.wp.com/cookingfromheart.com/wp-content/uploads/2021/06/Kathirikai-Kara-Kuzhambu-2.jpg?w=768&amp;ssl=1</t>
  </si>
  <si>
    <t>Tomato Kurma</t>
  </si>
  <si>
    <t>Tomatoes – 4,
Onion, chopped lengthwise – 1 cup,
Ginger and garlic paste – 2 teaspoons,
Grated coconut paste – 1 cup,
Coriander leaves – a few,
Green chillies – 4,
Chili powder – 1 spoon, Turmeric powder – 1 pinch,
Yogurt – ½ cup,
Baking powder, cloves, cardamom – 2 each,
Oil – 1 tablespoon.</t>
  </si>
  <si>
    <t xml:space="preserve">தக்காளி – 4,
நீளவாக்கில் அரிந்த வெங்காயம் - 1 கப்,
இஞ்சி பூண்டு விழுது - 2 டீஸ்பூன்,
அரைத்த தேங்காய் விழுது - 1 கப்,
கொத்தமல்லி இலை – சிறிது,
பச்சை மிளகாய் – 4,
மிளகாய்த்தூள் - 1 ஸ்பூன், தனியாத்தூள் - 1 பூன்,
தயிர் -½ கப்,
பட்டை, கிராம்பு, ஏலக்காய் - வகைக்கு 2,
எண்ணெய் - 1 குழிக்கரண்டி.
</t>
  </si>
  <si>
    <t>Grind the tomatoes and half the onion in a mixer. Heat the pan on the stove, add oil, add the baking powder, cloves, and cardamom, and when it is fried, add the remaining onion and fry. Add the chopped green chillies and fry, add the tomato paste and stir. Add curd, chili powder, turmeric powder, salt, add a little water and boil. When the green smell subsides and it boils, add the melted coconut paste, sprinkle coriander leaves, cover and turn off the heat. This guruma should be grated as much coconut as required and the consistency should be 'thick'.
Suitable for chapati, parota, naan, puri, dosa, idli. This tomato guruma is more suitable for dip than rice.</t>
  </si>
  <si>
    <t xml:space="preserve">தக்காளி, பாதி வெங்காயம் ஆகியவற்றை மிக்ஸியில் அரைக்கவும். கடாயை அடுப்பிலேற்றி எண்ணெய் ஊற்றி சூடாக்கி பட்டை, கிராம்பு, ஏலக்காய் போட்டு பொரிந்ததும் மீதி வெங்காயத்தைப் போட்டு வதக்கவும். அதோடு கீறிய பச்சைமிளகாய் சேர்த்து வதக்கி தக்காளி விழுதைப் போட்டு கிளறவும். அதோடு தயிரைச் சேர்த்து மிளகாய்த்தூள், தனியாத்தூள், உப்புப் போட்டு சிறிது நீர் ஊற்றி கொதிக்கவிடவும். பச்சை வாடை அடங்கி கொதிக்கும்போது தேங்காய் விழுதைக் கரைத்து ஊற்றி கொத்தமல்லி இலையைத் தூவி மூடி தீயை அணைக்கவும். இந்தக் குருமா எந்த அளவு தேவையோ அந்த அளவு தேங்காயை அரைத்துச் சேர்க்க வேண்டும் பக்குவம் 'திக்'காக இருக்க வேண்டும்.
சப்பாத்தி, பரோட்டா, நான், பூரி, தோசை, இட்லி அனைத்திற்கும் பொருத்தமானது. இந்த தக்காளி குருமா, சாதத்தைவிட டிபனுக்கே இது ரொம்பப் பொருந்தும்.
</t>
  </si>
  <si>
    <t>https://www.shutterstock.com/shutterstock/photos/760047910/display_1500/stock-photo-tomato-curry-or-chutney-kerala-india-a-south-indian-vegetarian-hot-and-spicy-masala-recipe-760047910.jpg</t>
  </si>
  <si>
    <t>Manathakali Vattak Kulambu</t>
  </si>
  <si>
    <t>மணத்தக்காளி வத்தக் குழம்பு</t>
  </si>
  <si>
    <t>Tamarind - 1 cup,
Chilli powder - 2 spoons,
Dhaniyat powder - 3 spoons,
Turmeric powder - ¾ spoon,
Spicy sambar powder - 2 spoons,
Garlic powder - ½ spoon,
Salt - as required,
Dried fenugreek - a little,
Denil - 2 spoons,
Mustard - 1 spoon,
Curry leaves - 1 pinch,
Ghee - 3 teaspoons,
Dried chillies -2.</t>
  </si>
  <si>
    <t>புளிகரைசல் - 1கப்,
மிளகாய்த்தூள் - 2 ஸ்பூன்,
தனியாத்தூள் - 3 ஸ்பூன்,
மஞ்சள்தூள் – ¾  ஸ்பூன்,
வாசனை சாம்பார் பொடி - 2 ஸ்பூன்,
பெருங்காயம் – ½ ஸ்பூன்,
உப்பு - தேவையான அளவு,
மணத்தக்காளி வற்றல் – சிறிது,
வெந்தயம் - 2 ஸ்பூன்,
கடுகு - 1 ஸ்பூன்,
கறிவேப்பிலை - 1 ஆர்க்கு,
நல்லெண்ணெய் - 3 டீஸ்பூன்,
மிளகாய் வற்றல் -2.</t>
  </si>
  <si>
    <t>Put a heavy-bottomed wide vessel on the stove, pour oil and heat it. Add the dried fenugreek and fry it on medium heat. Add the fenugreek, dried chillies, mustard, curry leaves and fry it in it. Separately, add turmeric powder, stir, pour in tamarind paste and add salt. While boiling on medium heat, add sambar powder and mix well and switch off the heat when it thickens. While seasoning, add ginger to the oil. In the same way, you can also make vattak kharambu by adding gourd, papaya etc.
To make sambar flavouring powder: Roast the peanuts, fenugreek, cumin seeds and curry leaves in a pan and grind them to a powder and add two spoons. The vattak kharambu will be fragrant and thick. This kharambu will keep for many days without spoiling.</t>
  </si>
  <si>
    <t>அடி கனமான அகலப் பாத்திரத்தை அடுப்பிலேற்றி, எண்ணெய் ஊற்றி சூடாக்கவும். மிதமான சூட்டில் மணத்தக்காளி வற்றலைப் போட்டு பொரிக்கவும். அதிலேயே வெந்தயம், மிளகாய் வற்றல், கடுகு, கறிவேப்பிலை போட்டு தாளித்து அதில் மிளகாய். தனியா, மஞ்சள்தூளைப் போட்டு புரட்டிவிட்டு புளிக்கரைசலை ஊற்றி உப்பு சேர்க்கவும். மிதமான தீயில் கொதிக்கும்போது சாம்பார் பொடியையும் சேர்த்துக் கலக்கி கெட்டியானதும் தீயை அணைக்கவும். தாளிக்கும்போதே எண்ணெயில் பெருங்காயத்தைப் போடவும். இதே முறையில் சுண்டைக்காய், பாவக்காய் போன்றவற்றைப் போட்டும் வத்தக் குழம்பு செய்யலாம்.
சாம்பார் வாசனைப் பொடி செய்ய: கடலைப்பருப்பு, வெந்தயம், சீரகம், கறிவேப்பிலையை வெறும் வாணலியில் வறுத்துப் பொடித்து இரண்டு ஸ்பூன் சேர்க்க வத்தக் குழம்பு நல்ல மணத்தோடு திக்காக இருக்கும். இந்தக் குழம்பு பல நாட்கள்வரை கெடாமல் சுவையாக இருக்கும்.</t>
  </si>
  <si>
    <t>https://i0.wp.com/cookingfromheart.com/wp-content/uploads/2019/09/Manathakkali-Vathal-kuzhambu-4.jpg?w=683&amp;ssl=1</t>
  </si>
  <si>
    <t>Fenugreek Kulambu</t>
  </si>
  <si>
    <t>வெந்தயக் குழம்பு</t>
  </si>
  <si>
    <t>Fenugreek - 2 teaspoons,
Tamarind - ½ cup,
Chili powder - 2 1/2 teaspoons,
Dhaniya powder - 3 teaspoons,
Turmeric powder - 1/2 teaspoon,
Agarwood powder - 1/2 teaspoon,
Garlic powder - 5,
Green chilies - 2,
Cumin, fenugreek, and peanuts - 1 teaspoon each,
Plain pan-fried powder - 3 teaspoons,
Salt - as required,
Oil - 3 teaspoons,
Curry leaves - 1 pinch,
Mustard - 1/2 teaspoon.</t>
  </si>
  <si>
    <t>வெந்தயம் -  2 டீஸ்பூன்,
புளிவிழுது – ½  கப்,
மிளகாய்த்தூள் - 2 1/2 ஸ்பூன்,
தனியாத்தூள் - 3 ஸ்பூன்,
மஞ்சள்தூள் - 1/2 ஸ்பூன்,
பெருங்காயத்தூள் - 1/2 ஸ்பூன்,
பூண்டுப்பல் -  5,
வரமிளகாய் – 2,
சீரகம், வெந்தயம், கடலைப்பருப்பு தலா - 1 ஸ்பூன்,
வெறும் சட்டியில் வறுத்து அரைத்த பொடி - 3 டீஸ்பூன்,
உப்பு – தேவைக்கேற்ப,
எண்ணெய் - 3 டீஸ்பூன்,
கறிவேப்பிலை -1 ஈர்க்கு,
கடுகு - 1/2 ஸ்பூன்.</t>
  </si>
  <si>
    <t>Heat oil in a pan and add fenugreek, garlic and mustard seeds. When it turns red, add curry leaves and red chillies. When it turns red, add chillies, turmeric and coriander powders. Stir and pour in tamarind pulp. Add a little water and boil.
When it boils well, sprinkle the roasted spice powder, add coriander leaves and when the gravy thickens, remove from heat.
The gravy is ready when the fenugreek aroma is amazing.</t>
  </si>
  <si>
    <t>வாணலியில் எண்ணெய்விட்டு சூடானதும் வெந்தயம், பூண்டு, கடுகு போட்டு சிவந்ததும் கறிவேப்பிலை, வரமிளகாய் கிள்ளிப் போட்டு சிவந்து வரும்போது மிளகாய், மஞ்சள், தனியாத்தூள்களைப் போட்டு ஒரு புரட்டுப் புரட்டி புளிக்கரைசலை ஊற்றி அத்தோடு சிறிது நீர் சேர்த்து கொதிக்கவிடவும்.
நன்றாகக் கொதிக்கும்போது வறுத்து பொடித்த மசாலாப் பொடியைத் தூவி, பெருங்காயம் தூவி குழம்பு கெட்டியானதும் இறக்கவும்.
வெந்தயக்குழம்பு வாசனை கமகமக்க குழம்பு ரெடி.</t>
  </si>
  <si>
    <t>https://blogger.googleusercontent.com/img/b/R29vZ2xl/AVvXsEjLAgKGCFiDgxyDpqSK3l-eLYLsYOnQxMkzqU-j_QFeWln8rHr3C5oBL75lRNRS2D9EEidP5tVKHrdd5IY6WO0dw8uB46nuGj7TJ4Ob2t41FeA1MfLKjA8x7_TFlA6erwbaNmtFKH24LN0/s2048/vendhaya+Kuzhambu.jpg</t>
  </si>
  <si>
    <t>Idli Keer</t>
  </si>
  <si>
    <t>இட்லி கீர்</t>
  </si>
  <si>
    <t>Idli -3,
Cashew nuts - 10 grams,
Raisins -10 grams,
Cardamom powder - ½ teaspoon,
Sugar - 1 cup,
Milk - 2 cups,
Ghee - 1 tablespoon.</t>
  </si>
  <si>
    <t>இட்லி -3,
முந்திரி - 10 கிராம்,
திராட்சை -10 கிராம்,
ஏலக்காய் பொடி –   ½  டீஸ்பூன்,
சர்க்கரை - 1 கப்,
பால் - 2 கப்,
நெய்-1 டேபிள் ஸ்பூன்.</t>
  </si>
  <si>
    <t>Heat ghee in a pan and add cashew nuts and raisins and fry well. Then add cardamom powder and fry it.
Add 2 cups of milk to this and add sugar to it and boil it.
Now break the idli and add it to it and boil it again.
Finally, check the sweetness and add a little ghee again and let it cool.</t>
  </si>
  <si>
    <t xml:space="preserve">ஒரு பாத்திரத்தில் நெய்யை சூடாக்கி முந்திரி, திராட்சையை சேர்த்து நன்றாக வதக்கவும். பிறகு இதனுடன் ஏலக்காய் பொடியை சேர்த்து வதக்கவும்.
இதனுடன் 2 கப் பால் சேர்த்து அதனுடன் சர்க்கரையும் சேர்த்து கொதிக்க வைக்கவும்.
இப்போது இட்லியை உதிர்த்து அதில் சேர்த்து மீண்டும் கொதிக்க வைக்கவும்.
இறுதியாக இனிப்பு சரிபார்த்து மீண்டும் சிறிது நெய் சேர்த்து இறக்கவும்.
</t>
  </si>
  <si>
    <t>https://www.shutterstock.com/shutterstock/photos/493850053/display_1500/stock-photo-delicious-kheer-rice-pudding-famous-asian-dessert-493850053.jpg</t>
  </si>
  <si>
    <t>Cucumber Mango Salad</t>
  </si>
  <si>
    <t>வெள்ளரி மாங்காய் சாலட்</t>
  </si>
  <si>
    <t>Cucumber - 1,
Mango - 1,
Green chillies - 2,
Lemon - 1,
Small onion - 5,
Succubus powder - ½ teaspoon,
Salt - as required,
Dried fenugreek - 1 teaspoon.</t>
  </si>
  <si>
    <t>வெள்ளரிக்காய் -  1,
மாங்காய்  -  1,
பச்சைமிளகாய் – 2 ,
எலுமிச்சை பழம் – 1,
சின்ன வெங்காயம் – 5,
சுக்குபொடி – ½  டீஸ்பூன்,
உப்பு - தேவையான அளவு,
ஊற வைத்த வெந்தயம் - 1 டீஸ்பூன்.</t>
  </si>
  <si>
    <t>Grate the cucumber and mango. Chop the green chillies into powder.
Mix the grated cucumber, mango, lemon juice, squash powder, green chillies, and soaked fenugreek together.
Next, chop the small onion into powder and add it to it.
Finally, add salt and mix well.</t>
  </si>
  <si>
    <t>வெள்ளரிக்காய், மாங்காய் இவற்றை துருவி வைத்துக் கொள்ளவும். பச்சைமிளகாயை பொடியாக நறுக்கி கொள்ளவும்.
துருவிய வெள்ளரி, மாங்காயுடன் எலுமிச்சைச்சாறு, சுக்குபொடி, பச்சைமிளகாய், ஊற வைத்த வெந்தயம் இவற்றை ஒன்றாக கலந்து கொள்ளவும்.
அடுத்து சின்ன வெங்காயத்தை பொடியாக நறுக்கி இதனுடன் சேர்த்துக் கொள்ளவும்.
இறுதியாக உப்பு சேர்த்து நன்றாக கலந்து கொள்ளவும்.</t>
  </si>
  <si>
    <t>https://meikoandthedish.com/wp-content/uploads/2022/05/cucumber-mango-salad-3.jpg</t>
  </si>
  <si>
    <t>Agathik Keera Soup</t>
  </si>
  <si>
    <t>அகத்திக் கீரை சூப்</t>
  </si>
  <si>
    <t>Agathik Keera - 1 cup,
Tomatoes - 2,
Onion - 1,
Coriander leaves - 1 handful,
White pepper powder - 1 spoon,
Maidam flour - 3 spoons,
Ghee - 50 grams.</t>
  </si>
  <si>
    <t>அகத்திக்கீரை - 1 கப்,
தக்காளிப்பழம் – 2,
வெங்காயம் -1,
மல்லித்தழை - 1 கை,
வெள்ளை மிளகுத்தூள் - 1 ஸ்பூன்,
மைதாமாவு - 3 ஸ்பூன்,
வெண்ணெய் - 50 கிராம்.</t>
  </si>
  <si>
    <t>Put a cooker on the stove and add a little butter. Once melted, add chopped onion and tomato, sauté for a while, mix in pepper powder, pour 1 liter of water, add washed spinach, add coriander leaves, close the cooker and simmer.
Once the steam has evaporated, strain it. Place a wide vessel on the stove and add the remaining butter. When it dries, sprinkle maida and stir. When it turns slightly brown, drain the strained soup, add the required salt and bring to a boil.</t>
  </si>
  <si>
    <t>அடுப்பில் குக்கரை வைத்து சிறிது வெண்ணெயைப் போட்டு உருகியதும் நறுக்கிய வெங்காயம், தக்காளியைப் போட்டு, சற்று வதக்கி, மிளகுத்தூளைக் கலந்து, 1 லிட்டர் தண்ணீர் ஊற்றி, அலசிய கீரையைப் போட்டு, மல்லித்தழையை கொட்டி, குக்கரை மூடி வேக வைத்து இறக்கவும்.
ஆவி நீங்கியதும் வடிகட்டி வைக்கவும். அகலமான பாத்திரத்தை அடுப்பில் வைத்து மீதி வெண்ணெயைப் போட்டுக் காய்ந்ததும் மைதாவைத் தூவி கிளறி, சற்று சிவந்ததும், வடிகட்டிய சூப்பைவிட்டு, தேவையான உப்பு சேர்த்து ஒரு கொதியில் இறக்கவும்.</t>
  </si>
  <si>
    <t>https://samayalnalam.com/wp-content/uploads/2023/08/agathi-keerai-soup.jpeg</t>
  </si>
  <si>
    <t>Fenugreek Dal Kanji</t>
  </si>
  <si>
    <t>வெந்தயப் பருப்புக் கஞ்சி</t>
  </si>
  <si>
    <t>Green rice - 1 cup,
Almonds - ¼ cup,
Peeled garlic cloves - 10,
Grated coconut - 1 cup,
Coconut milk - 2 cups,
Salt - as needed,
Fenugreek - 1 teaspoon.</t>
  </si>
  <si>
    <t>பச்சரிசி - 1 கப்,
பாசிப்பருப்பு -  ¼  கப்,
உரித்த பூண்டு பற்கள் – 10,
தேங்காய் துருவல் - 1 கப்,
தேங்காய் பால் - 2 கப்,
உப்பு - தேவையான அளவு,
வெந்தயம் - 1 டீஸ்பூன்.</t>
  </si>
  <si>
    <t>Wash the green rice and almonds. Then put the cooker on the stove, add the washed almonds, green rice, fenugreek, garlic, 1 cup coconut milk, 1 cup water, and salt and cook for fifteen minutes, put the weight on and cook the pot until the pressure drops to three whistles.
Once the pressure comes down, add the coconut milk and grated coconut, dissolve it like porridge, pour it into a glass and serve!</t>
  </si>
  <si>
    <t xml:space="preserve">பச்சரிசி, பாசிபருப்பை கழுவி எடுத்துக் கொள்ளவும். பிறகு குக்கரை அடுப்பில் வைத்து, கழுவிய பாசிப்பருப்பு, பச்சரிசி, வெந்தயம், பூண்டு, 1 கப் தேங்காய்பால், 1கப் தண்ணீர், உப்பு சேர்த்து பதினைந்து நிமிடம், வெயிட் போட்டு மூன்று விசில் வரும் வரை குழைய வேகவிடவும்.
பிரஷர் இறங்கியதும் தேங்காய்பால், தேங்காய் துருவல் சேர்த்து, கஞ்சி போல் கரைத்து, கிளாஸில் ஊற்றி பரிமாறலாம்!
</t>
  </si>
  <si>
    <t>https://www.shutterstock.com/shutterstock/photos/427647223/display_1500/stock-photo-traditional-rice-porridge-payaru-kanji-congee-rice-soup-made-with-rice-and-whole-green-gram-427647223.jpg</t>
  </si>
  <si>
    <t>Cabbage Rice</t>
  </si>
  <si>
    <t xml:space="preserve">
முட்டைக்கோஸ் சாதம்</t>
  </si>
  <si>
    <t>Lunch Box Recipes</t>
  </si>
  <si>
    <t>Cooked rice – 3 cups,
Onion – 1 big thinly sliced,
Ginger garlic paste – 1 tsp,
Green chillies – 2-3,
fresh peas – 1/3 cup,
Tomato - 1,
Thinly sliced cabbage – 1 1/2 cup,
Salt needed,
Turmeric powder – 1/4 tsp,
Chilli powder – 3/4-1 tsp,
Garam masala powder – 1/2 tsp,
Oil – 2 tbsp,
Ghee – 1 tsp,
Mustard seeds – 1 tsp,
Red Chillies – 2,
Cashew nuts – 8-10,
Curry leaves – a sprig,
Coriander leaves,
Grated Coconut – 1/4 cup.</t>
  </si>
  <si>
    <t>சமைத்த அரிசி - 3 கப்,
வெங்காயம் - 1 பெரிய மெல்லியதாக நறுக்கியது,
இஞ்சி பூண்டு விழுது - 1 தேக்கரண்டி,
பச்சை மிளகாய் - 2-3,
புதிய பட்டாணி - 1/3 கப்,
தக்காளி - 1,
மெல்லியதாக நறுக்கிய முட்டைக்கோஸ் - 1 1/2 கப்,
தேவையான உப்பு,
மஞ்சள் தூள் - 1/4 தேக்கரண்டி,
மிளகாய் தூள் - 3/4-1 தேக்கரண்டி,
கரம் மசாலா தூள் - 1/2 தேக்கரண்டி,
எண்ணெய் - 2 தேக்கரண்டி,
நெய் - 1 தேக்கரண்டி,
கடுகு - 1 தேக்கரண்டி,
சிவப்பு மிளகாய் - 2,
முந்திரி பருப்பு - 8-10,
கறிவேப்பிலை - ஒரு தளிர்,
கொத்தமல்லி இலைகள்,
தேங்காய் துருவல் - 1/4 கப்.</t>
  </si>
  <si>
    <t>Heat oil and ghee in a pan.
When oil is hot, add a tsp of mustard seeds, red chilli, cashew nuts, asafoedita and curry leaves.
When cashew nuts start to change color, add onions and  green chillies.
Cook until onions turn transparent.
Add a tsp of ginger garlic paste and saute for few more minutes.
Add little salt for the onions to cook faster.
When onions change to light golden color, add tomato, turmeric powder, 3/4 tsp chilli powder or as needed and garam masala powder.
Cook until tomatoes soften.
Add peas fresh or frozen. (if using fresh peas, cook it separately and then add).
Add the cabbage and cook covered on very low heat. Do not add water as the cabbage will get cooked in the oil added.
Stir in-between for even cooking. If needed you may add 1-2 tsps of water.
Once cabbage turns soft, add salt needed.
Add 3 cups of cooked rice and mix well. (you can use any rice - I have added cooked jeeraka samba rice).
Turn off the heat and garnish with coriander leaves and grated coconut.
Super tasty cabbage rice is ready. Enjoy it with appalam or pachadi/raita.</t>
  </si>
  <si>
    <t>ஒரு பாத்திரத்தில் எண்ணெய் மற்றும் நெய்யை சூடாக்கவும்.
எண்ணெய் சூடானதும், ஒரு தேக்கரண்டி கடுகு, சிவப்பு மிளகாய், முந்திரி, பெருங்காயம் மற்றும் கறிவேப்பிலை சேர்க்கவும்.
முந்திரி பருப்பு நிறம் மாறத் தொடங்கியதும், வெங்காயம் மற்றும் பச்சை மிளகாய் சேர்க்கவும்.
வெங்காயம் வெளிப்படையானதாக மாறும் வரை சமைக்கவும்.
ஒரு தேக்கரண்டி இஞ்சி பூண்டு விழுது சேர்த்து இன்னும் சில நிமிடங்கள் வதக்கவும்.
வெங்காயம் வேகமாக வதக்க சிறிது உப்பு சேர்க்கவும்.
வெங்காயம் வெளிர் தங்க நிறமாக மாறியதும், தக்காளி, மஞ்சள் தூள், 3/4 தேக்கரண்டி மிளகாய் தூள் அல்லது தேவைக்கேற்ப மற்றும் கரம் மசாலா தூள் சேர்க்கவும்.
தக்காளி மென்மையாகும் வரை சமைக்கவும்.
பட்டாணி புதியதாகவோ அல்லது உறைந்ததாகவோ சேர்க்கவும். (புதிய பட்டாணி பயன்படுத்தினால், அதைத் தனியாக வேகவைத்து பின்னர் சேர்க்கவும்).
முட்டைக்கோஸைச் சேர்த்து மிகக் குறைந்த தீயில் மூடி வைக்கவும். சேர்க்கப்பட்ட எண்ணெயில் முட்டைக்கோஸ் வேகும் என்பதால் தண்ணீர் சேர்க்க வேண்டாம்.
சமமாக சமைக்க இடையில் கிளறவும். தேவைப்பட்டால் 1-2 தேக்கரண்டி தண்ணீர் சேர்க்கலாம்.
முட்டைக்கோஸ் மென்மையாக மாறியதும், தேவையான அளவு உப்பு சேர்க்கவும்.
3 கப் சமைத்த அரிசியைச் சேர்த்து நன்கு கலக்கவும். (நீங்கள் எந்த அரிசியையும் பயன்படுத்தலாம் - நான் சமைத்த சீரக சம்பா அரிசியைச் சேர்த்துள்ளேன்).
தீயை அணைத்து, கொத்தமல்லி இலைகள் மற்றும் துருவிய தேங்காயால் அலங்கரிக்கவும்.
மிகவும் சுவையான முட்டைக்கோஸ் சாதம் தயார். அப்பளம் அல்லது பச்சடி/ரைத்தாவுடன் இதை உண்டு மகிழுங்கள்.</t>
  </si>
  <si>
    <t>https://encrypted-tbn0.gstatic.com/images?q=tbn:ANd9GcTA7HRKeD6NLokq9bTYWYziQTHFO1rypiatYw&amp;s</t>
  </si>
  <si>
    <t>https://youtu.be/xN3TPGXY9aQ</t>
  </si>
  <si>
    <t>Chana Dal Pulao</t>
  </si>
  <si>
    <t>சன்னா பருப்பு புலாவ்</t>
  </si>
  <si>
    <t>Basmati rice – 1 cup,
1/2 cup -  Bengal gran dal,
Onion – 1 finely chopped,
Ginger – 1 tsp finely chopped,
Curry leaves – a sprig,
Ginger garlic paste – 1 tsp,
Tomato – 1 big,
Oil – 2 tbsp,
Ghee – 1 tbsp,
Bay leaf – 1,
Cloves – 2-3,
Cardamom – 1,
Cinnamon – 2 inch pc,
Whole black pepper – 1/2 tsp,
Cumin seeds – 1 tsp,
Cashew nuts – 6-7,
Raisins – 6-7,
Turmeric powder - 1/4 tsp,
Kashmiri chilli powder – 1 tsp.</t>
  </si>
  <si>
    <t>பாஸ்மதி அரிசி - 1 கப்,
1/2 கப் - வங்காள தானிய பருப்பு,
வெங்காயம் - 1 பொடியாக நறுக்கியது,
இஞ்சி - 1 தேக்கரண்டி பொடியாக நறுக்கியது,
கறிவேப்பிலை - ஒரு தளிர்,
இஞ்சி பூண்டு விழுது - 1 தேக்கரண்டி,
தக்காளி - 1 பெரியது,
எண்ணெய் - 2 தேக்கரண்டி,
நெய் - 1 தேக்கரண்டி,
வளைகுடா இலை - 1,
கிராம்பு - 2-3,
ஏலக்காய் - 1,
இலவங்கப்பட்டை - 2 அங்குல துண்டு,
முழு கருப்பு மிளகு - 1/2 தேக்கரண்டி,
சீரகம் - 1 தேக்கரண்டி,
முந்திரி பருப்பு - 6-7,
திராட்சை - 6-7,
மஞ்சள் தூள் - 1/4 தேக்கரண்டி,
காஷ்மீரி மிளகாய் தூள் - 1 தேக்கரண்டி.</t>
  </si>
  <si>
    <t xml:space="preserve">Heat 2 tbsp of oil + 1 tbsp ghee, add bay leaf, cloves, cardamom, cinnamon, 1/2 tsp whole black pepper, 1 tsp cumin seeds, 3 red chilies, cashew nuts and raisins.
Once cashew nuts starts to brown, add 1 onion finely chopped and a tsp of finely chopped ginger.
Sauté until onions turn transparent.
Add curry leaves, a tsp of ginger garlic paste  and sauté until the raw flavor of the paste goes.
Add 1 tomato chopped, turmeric powder, a tsp of Kashmiri chilli powder, salt 2 tsp (flat) and cook until the tomatoes soften.
Add 1 carrot chopped. You can add any vegetables like sweet corn, beans, cauliflower, peas, capsicum etc.
Add the soaked channa dal, half of the fried onions, the soaked rice and mix well.
Add 1 3/4 cup of boiling water. (I have added the same water in which rice was soaked).
Add juice of half a fresh lemon.
Taste the water and check for salt. The water should be slightly salty. If needed, add at this stage.
Cook covered until rice turns soft. Stir once or twice in-between.
Garnish with coriander leaves and the remaining fried onions.
Enjoy piping hot chana dal pulao with a simple raita, tomato chutney or any tomato based gravy.
</t>
  </si>
  <si>
    <t>2 டேபிள் ஸ்பூன் எண்ணெய் + 1 டேபிள் ஸ்பூன் நெய்யை சூடாக்கி, பிரியாணி இலை, கிராம்பு, ஏலக்காய், இலவங்கப்பட்டை, 1/2 டேபிள் ஸ்பூன் முழு கருப்பு மிளகு, 1 டேபிள் ஸ்பூன் சீரகம், 3 சிவப்பு மிளகாய், முந்திரி பருப்பு மற்றும் திராட்சை சேர்க்கவும்.
முந்திரி பருப்பு பழுப்பு நிறமாக மாறத் தொடங்கியதும், 1 டேபிள் ஸ்பூன் இறுதியாக நறுக்கிய வெங்காயம் மற்றும் ஒரு டேபிள் ஸ்பூன் இறுதியாக நறுக்கிய இஞ்சி சேர்க்கவும்.
வெங்காயம் வெளிப்படையானதாக மாறும் வரை வதக்கவும்.
கறிவேப்பிலை, ஒரு டேபிள் ஸ்பூன் இஞ்சி பூண்டு விழுது சேர்த்து, பேஸ்டின் பச்சை வாசனை போகும் வரை வதக்கவும்.
1 தக்காளி நறுக்கியது, மஞ்சள் தூள், ஒரு டேபிள் ஸ்பூன் காஷ்மீர் மிளகாய் தூள், உப்பு 2 டேபிள் ஸ்பூன் (தட்டையானது) சேர்த்து தக்காளி மென்மையாகும் வரை சமைக்கவும்.
1 கேரட் நறுக்கியது. நீங்கள் இனிப்பு சோளம், பீன்ஸ், காலிஃபிளவர், பட்டாணி, கேப்சிகம் போன்ற எந்த காய்கறிகளையும் சேர்க்கலாம்.
ஊறவைத்த சன்னா பருப்பை, வறுத்த வெங்காயத்தில் பாதி, ஊறவைத்த அரிசியைச் சேர்த்து நன்கு கலக்கவும்.
1 3/4 கப் கொதிக்கும் நீரைச் சேர்க்கவும். (அரிசி ஊறவைத்த அதே தண்ணீரை நான் சேர்த்துள்ளேன்).
அரை புதிய எலுமிச்சையின் சாறு சேர்க்கவும்.
தண்ணீரை ருசித்துப் பார்த்து உப்பு இருக்கிறதா என்று பாருங்கள். தண்ணீர் சிறிது உப்புத்தன்மையுடன் இருக்க வேண்டும். தேவைப்பட்டால், இந்த கட்டத்தில் சேர்க்கவும்.
அரிசி மென்மையாக மாறும் வரை மூடி வைத்து சமைக்கவும். இடையில் ஒன்று அல்லது இரண்டு முறை கிளறவும்.
கொத்தமல்லி இலைகள் மற்றும் மீதமுள்ள வறுத்த வெங்காயத்தால் அலங்கரிக்கவும்.
சூடான சன்னா பருப்பு புலாவை ஒரு எளிய ரைத்தா, தக்காளி சட்னி அல்லது தக்காளி சார்ந்த கிரேவியுடன் மகிழுங்கள்.</t>
  </si>
  <si>
    <t>https://encrypted-tbn0.gstatic.com/images?q=tbn:ANd9GcSB0RUKMsDMxUcWrAq2ey8Mpyaqqd7BS6iUUw&amp;s</t>
  </si>
  <si>
    <t>https://youtu.be/bgw1UmxkbPo</t>
  </si>
  <si>
    <t>Kuska Biryani</t>
  </si>
  <si>
    <t>குஸ்கா பிரியாணி</t>
  </si>
  <si>
    <t>Basmati rice – 1 cup,
Oil – 2 tbsp,
Ghee – 1 tsp,
Onion – 1,
Tomato – 1 small,
Salt needed ,
Mint leaves – fistful,
Coriander leaves – fistful,
Thick curd – 2 tbsp,
Hot water – 2 cups,
Turmeric powder – 1/4 tsp,
Chilli powder – 1 tsp,
Biryani Masala Powder – 1 tsp,
Fennel seeds – 1 tsp,
Star anise – 1 optional,
Bay leaf – 1,
Oil – 2 tbsp,
Cloves – 2,
Cinnamon – 1 inch piece,
Cardamom – 1,
Garlic cloves – 3-4,
Ginger – 2 inch pcs,
Green Chilli – 1,
Onion – 1 small size,
Tomato – 1/2 a big tomato,
Mint leaves – few,
Coriander leaves .</t>
  </si>
  <si>
    <t>பாஸ்மதி அரிசி - 1 கப்,
எண்ணெய் - 2 டேபிள்ஸ்பூன்,
நெய் - 1 டேபிள்ஸ்பூன்,
வெங்காயம் - 1,
தக்காளி - 1 சிறிதளவு,
தேவையான உப்பு,
புதினா இலைகள் - ஒரு கைப்பிடி,
கொத்தமல்லி இலைகள் - ஒரு கைப்பிடி,
அடர்த்தியான தயிர் - 2 டேபிள்ஸ்பூன்,
சூடான தண்ணீர் - 2 கப்,
மஞ்சள் தூள் - 1/4 டேபிள்ஸ்பூன்,
மிளகாய் தூள் - 1 டேபிள்ஸ்பூன்,
பிரியாணி மசாலா தூள் - 1 டேபிள்ஸ்பூன்,
வெந்தய விதைகள் - 1 டேபிள்ஸ்பூன்,
நட்சத்திர சோம்பு - 1 விருப்பத்திற்குரியது,
வளைகுடா இலை - 1,
எண்ணெய் - 2 டேபிள்ஸ்பூன்,
கிராம்பு - 2,
இஞ்சி - 2 டேபிள்ஸ்பூன்,
பச்சை மிளகாய் - 1,
வெங்காயம் - 1 சிறிய அளவு,
தக்காளி - 1/2 பெரியது தக்காளி,
புதினா இலைகள் - சிறிது,
கொத்தமல்லி இலைகள்.</t>
  </si>
  <si>
    <t>Heat 2 tbsp oil + 1 tsp ghee in a cooker or any container.
When oil is hot, add fennel seeds, star anise and 1 bay leaf. When fennel seeds sizzle, add 1 onion chopped lengthwise.
Saute until onion turn golden brown.
Add 1/2 a tomato, 1/4 tsp turmeric powder, a tsp of chilli powder, biryani masala powder, fistful of coriander and mint leaves and cook until tomatoes turn soft.
Then add the paste we prepared and mix well.
Lower the heat and add 2 tbsp of thick curd. Saute for few seconds.
Add 2 cups of hot water. Check for salt by tasting the water. It should be slightly salty. If needed, add at this stage.
Once water starts to boil, add the soaked and drained rice.
Pressure cook on medium heat for 2 whistles.
Once pressure subsides, open the cooker and fluff the rice with a fork. Let it sit for 5 minutes.
Then enjoy it piping hot with any pachadi/raita or papads or chips.</t>
  </si>
  <si>
    <t>ஒரு குக்கரில் அல்லது வேறு எந்த பாத்திரத்திலும் 2 டேபிள்ஸ்பூன் எண்ணெய் + 1 டேபிள்ஸ்பூன் நெய்யை சூடாக்கவும்.
எண்ணெய் சூடானதும், பெருஞ்சீரகம், நட்சத்திர சோம்பு மற்றும் 1 பிரியாணி இலை சேர்க்கவும். பெருஞ்சீரகம் கொதிக்கும் போது, ​​நீளமாக நறுக்கிய 1 வெங்காயத்தைச் சேர்க்கவும்.
வெங்காயம் பொன்னிறமாகும் வரை வதக்கவும்.
1/2 தக்காளி, 1/4 டேபிள்ஸ்பூன் மஞ்சள் தூள், ஒரு டேபிள்ஸ்பூன் மிளகாய் தூள், பிரியாணி மசாலா தூள், ஒரு கைப்பிடி கொத்தமல்லி மற்றும் புதினா இலைகளைச் சேர்த்து தக்காளி மென்மையாகும் வரை வதக்கவும்.
பின்னர் நாம் தயாரித்த விழுதைச் சேர்த்து நன்கு கலக்கவும்.
தீயைக் குறைத்து 2 டேபிள்ஸ்பூன் கெட்டியான தயிர் சேர்க்கவும். சில நொடிகள் வதக்கவும்.
2 கப் சூடான நீரைச் சேர்க்கவும். தண்ணீரை ருசித்துப் பார்த்து உப்பு இருக்கிறதா என்று சரிபார்க்கவும். அது சிறிது உப்பு இருக்க வேண்டும். தேவைப்பட்டால், இந்த கட்டத்தில் சேர்க்கவும்.
தண்ணீர் கொதிக்க ஆரம்பித்ததும், ஊறவைத்த மற்றும் வடிகட்டிய அரிசியைச் சேர்க்கவும்.
2 விசில் வரும் வரை மிதமான தீயில் அழுத்தி சமைக்கவும்.
பிரஷர் குறைந்தவுடன், குக்கரைத் திறந்து, ஒரு ஃபோர்க் கொண்டு அரிசியை பிசைந்து, 5 நிமிடங்கள் அப்படியே வைக்கவும்.
பின்னர், பச்சடி/ரைத்தா அல்லது பப்படம் அல்லது சிப்ஸுடன் சூடாகச் சேர்த்து மகிழுங்கள்.</t>
  </si>
  <si>
    <t>https://www.indianhealthyrecipes.com/wp-content/uploads/2022/02/biryani-rice-kuska-recipe.jpg</t>
  </si>
  <si>
    <t>https://youtu.be/9Nr9BbVehLU</t>
  </si>
  <si>
    <t>Tamarind –  30 grams,
Red Chilli - 4,
Rock Salt –  1 heaped tsp,
Sesame seeds – 1 tsp,
Fenugreek seeds – 1/2 tsp,
Coriander seeds – 1/2 tsp,
Gingelly Oil – 50 gms,
Mustard seeds – 1 tsp,
Asafoetida – a generous pinch,
Curry leaves – a sprig,
Turmeric powder - 1/2 tsp,
Roasted Peanuts – 3 tbsp.</t>
  </si>
  <si>
    <t>புளி - 30 கிராம்,
சிவப்பு மிளகாய் - 4,
கல் உப்பு - 1 குவியலாக அரைத்த டீஸ்பூன்,
எள் - 1 டீஸ்பூன்,
வெந்தயம் - 1/2 டீஸ்பூன்,
கொத்தமல்லி விதைகள் - 1/2 டீஸ்பூன்,
எலுமிச்சை எண்ணெய் - 50 கிராம்,
கடுகு - 1 டீஸ்பூன்,
அசாஃபோடிடா - ஒரு சிட்டிகை,
கறிவேப்பிலை - ஒரு தளிர்,
மஞ்சள் தூள் - 1/2 டீஸ்பூன்,
வறுத்த வேர்க்கடலை - 3 டீஸ்பூன்.</t>
  </si>
  <si>
    <t>1/4 கப் எள் எண்ணெயை (நல்லெண்ணெய்) சூடாக்கி, ஒரு டீஸ்பூன் கடுகு, பெருங்காயம், 1/4 டீஸ்பூன் மஞ்சள் தூள் மற்றும் கறிவேப்பிலை சேர்க்கவும்.
கடுகு வெடித்ததும், வறுத்த வேர்க்கடலையைச் சேர்த்து சில நொடிகள் வதக்கவும்.
புளி விழுதில் தாளிக்க வேண்டியவற்றை ஊற்றவும்.
அதனுடன் தயாரிக்கப்பட்ட பொடியைச் சேர்த்து நன்கு கலக்கவும். புளிகச்சல் தயார்.
இப்போது சாதத்தில் தேவையான விழுதைச் சேர்த்து நன்கு கலக்கவும்.
எங்கள் புளி சாதம் தயார். அப்பளம் அல்லது பப்படம் அல்லது பருப்பு வடையுடன் மகிழுங்கள்.</t>
  </si>
  <si>
    <t>https://www.padhuskitchen.com/wp-content/uploads/2020/12/instant-puliyodharai-1280x720.jpg</t>
  </si>
  <si>
    <t xml:space="preserve">   Rice – 3/4 cup,
   Tur Dal – 1/3 cup,
   Tamarind – small lemon sized ball,
   Turmeric powder – 1/4 tsp,
   Salt needed,
   Carrot - 2 medium size,
   Beans - 5,
   Potato – 1 medium size,
   Drumstick – 4 pieces,
   Broad beans - 3-4,
   Raw Banana – 1/2,
   Yellow pumpkin – 1/4 cup chopped,
   Brinjal – 1-2,
   Raw mango – 1/4 cup chopped,
   Fresh pigeon peas – 1/4 cup,
   Arai keerai – fistful,
   Drumstick leaves – fistful,
   Grated coconut – 1/4 cup,
   Pearl onion - 3-4,
   Garlic – 4 cloves,
   Red chillies - 5-6,
   Cumin seeds – 1 tsp,
   Oil – 2 tbsp,
   Mustard seeds – 1 tsp,
   Urad dal – 1 tsp,
   Hing – a generous pinch,
   Onion – 1 chopped,
   Curry leaves – a sprig,
   Ghee – 1 tsp.
</t>
  </si>
  <si>
    <t>அரிசி - 3/4 கப்,
துவரம் பருப்பு - 1/3 கப்,
புளி - சிறிய எலுமிச்சை அளவு உருண்டை,
மஞ்சள் தூள் - 1/4 டீஸ்பூன்,
உப்பு தேவை,
கேரட் - 2 நடுத்தர அளவு,
பீன்ஸ் - 5,
உருளைக்கிழங்கு - 1 நடுத்தர அளவு,
முருங்கைக்காய் - 4 துண்டுகள்,
அகன்ற பீன்ஸ் - 3-4,
பச்சை வாழைப்பழம் - 1/2,
மஞ்சள் பூசணி - 1/4 கப் நறுக்கியது,
கத்திரிக்காய் - 1-2,
பச்சை மாம்பழம் - 1/4 கப் நறுக்கியது,
புதிய துவரம்பருப்பு - 1/4 கப்,
அரை கீரை - ஒரு கைப்பிடி,
முருங்கை இலைகள் - ஒரு கைப்பிடி,
தேங்காய் துருவல் - 1/4 கப்,
முத்து வெங்காயம் - 3-4,
பூண்டு - 4 பல்,
சிவப்பு மிளகாய் - 5-6,
சீரகம் - 1 டீஸ்பூன்,
எண்ணெய் - 2 டீஸ்பூன்,
கடுகு - 1 டீஸ்பூன்,
உளுத்தம் பருப்பு - 1 டீஸ்பூன்,
ஹிங் - ஒரு தாராளமாக ஒரு சிட்டிகை,
வெங்காயம் - 1 நறுக்கியது,
கறிவேப்பிலை - ஒரு தளிர்,
நெய் - 1 டீஸ்பூன்.</t>
  </si>
  <si>
    <t>Heat 2 tbsp of oil, add mustard seeds, urad dal, curry leaves and hing. When dal turns golden brown, add chopped onions.
Saute until onion turn transparent.
Add the ground paste and cook for a few minutes. Then add the tamarind extract and boil for 4-5 minutes. Keep this aside.
In a pressure cooker, add tur dal, a cup of water, carrot, beans, potato, drumstick, cluster beans, turmeric powder, little salt and cook without whistle on medium heat.
When the dal is half cooked, add raw banana (vazhakkai), pumpkin, brinjal, raw mango, pigeon peas, drumstick leaves, arai keerai, needed salt, tamarind + masala mix, washed rice and 3 cups of hot water.  (these vegetables and greens gets cooked faster, that is the reason we are adding it after the dal is half cooked, otherwise these vegetable will become mushy). Check for salt by tasting the water. If it is slightly salty, it will be perfect once the rice is cooked.
Mix well and pressure cook for 2 whistles.
When the pressure subsides, open the cooker, add a tsp of ghee and mix well. Kootanchoru is ready.
Serve Kootanchoru with raita or appalam or chips or onion vadam. You can also fry 2-3 Vengaya vadagam and add to it.</t>
  </si>
  <si>
    <t>2 டேபிள்ஸ்பூன் எண்ணெயை சூடாக்கி, கடுகு, உளுத்தம்பருப்பு, கறிவேப்பிலை மற்றும் பெருங்காயம் சேர்க்கவும். பருப்பு பொன்னிறமாக மாறும் போது, ​​நறுக்கிய வெங்காயத்தைச் சேர்க்கவும்.
அரைத்த விழுதைச் சேர்த்து சில நிமிடங்கள் சமைக்கவும். பின்னர் புளி சாறு சேர்த்து 4-5 நிமிடங்கள் கொதிக்க வைக்கவும். இதை ஒதுக்கி வைக்கவும்.
பிரஷர் குக்கரில், துவரம்பருப்பு, ஒரு கப் தண்ணீர், கேரட், பீன்ஸ், உருளைக்கிழங்கு, முருங்கைக்காய், கொத்தமல்லி, மஞ்சள் தூள், சிறிது உப்பு சேர்த்து, விசில் இல்லாமல் மிதமான தீயில் சமைக்கவும்.
பருப்பு பாதி வெந்ததும், பச்சை வாழைப்பழம் (வழக்கை), பூசணிக்காய், கத்திரிக்காய், பச்சை மாங்காய், துவரம்பருப்பு, முருங்கை இலை, அரை கீரை, தேவையான உப்பு, புளி + மசாலா கலவை, கழுவிய அரிசி மற்றும் 3 கப் சூடான தண்ணீர் சேர்க்கவும். (இந்த காய்கறிகளும் கீரைகளும் சீக்கிரம் வெந்துவிடும், அதனால்தான் பருப்பு பாதி வெந்த பிறகு சேர்க்கிறோம், இல்லையெனில் இந்த காய்கறிகள் மென்மையாகிவிடும்). தண்ணீரை ருசித்துப் பார்த்து உப்பு இருக்கிறதா என்று பாருங்கள். கொஞ்சம் உப்பு இருந்தால், அரிசி வெந்தவுடன் அது சரியாக இருக்கும்.
நன்றாகக் கலந்து 2 விசில் வேக வைக்கவும்.
அழுத்தம் குறைந்தவுடன், குக்கரைத் திறந்து, ஒரு தேக்கரண்டி நெய்யைச் சேர்த்து நன்கு கலக்கவும். கூட்டஞ்சோறு தயார்.
கூட்டஞ்சோறுவை ரைத்தா அல்லது அப்பளம் அல்லது சிப்ஸ் அல்லது வெங்காய வடையுடன் பரிமாறவும். நீங்கள் 2-3 வெங்கயா வடகத்தையும் வறுத்து அதனுடன் சேர்க்கலாம்.</t>
  </si>
  <si>
    <t>https://encrypted-tbn0.gstatic.com/images?q=tbn:ANd9GcSTO925VHlkqiHW-fYueDLYRqhu3ZEIuN5NTA&amp;s</t>
  </si>
  <si>
    <t xml:space="preserve">   Basmati Rice – 1 cup,
   Onion – 2 thinly sliced,
   Ginger-Garlic paste – 1 tsp,
   Salt needed,
   Turmeric powder – 1/4 tsp,
   Beans – 5-6,
   Carrot – 1 medium size,
   Cauliflower – 6-7 florets,
   Peas – 1/3 cup,
   Coconut Milk – 1 cup,
   Water – 1 cup,
   Coriander leaves – fistful,
   Mint Leaves – fistful,
   Cashew nuts – 5,
   Green Chillies – 2,
   Lemon juice – 1/2 tsp,
   Oil – 1 tbsp,
   Ghee – 1 tbsp,
   Cinnamon – 1 inch piece,
   Cloves – 2,
   Fennel seeds – 1/2 tsp,
   Bay Leaf – 1-2,
   Ghee – 1/2 tsp,
   Cashew nuts – 5-6.</t>
  </si>
  <si>
    <t>பாஸ்மதி அரிசி - 1 கப்,
வெங்காயம் - 2 மெல்லியதாக நறுக்கியது,
இஞ்சி-பூண்டு விழுது - 1 டீஸ்பூன்,
உப்பு தேவை,
மஞ்சள் தூள் - 1/4 டீஸ்பூன்,
பீன்ஸ் - 5-6,
கேரட் - 1 நடுத்தர அளவு,
காலிஃபிளவர் - 6-7 பூக்கள்,
பட்டான் - 1/3 கப்,
தேங்காய் பால் - 1 கப்,
தண்ணீர் - 1 கப்,
கொத்தமல்லி இலைகள் - ஒரு கைப்பிடி,
புதினா இலைகள் - ஒரு கைப்பிடி,
முந்திரி பருப்பு - 5,
பச்சை மிளகாய் - 2,
எலுமிச்சை சாறு - 1/2 டீஸ்பூன்,
எண்ணெய் - 1 டீஸ்பூன்,
நெய் - 1 டீஸ்பூன்,
இலவங்கப்பட்டை - 1 அங்குல துண்டு,
கிராம்பு - 2,
வெந்தய விதைகள் - 1/2 டீஸ்பூன்,
வளைகுடா இலை - 1-2,
நெய் - 1/2 டீஸ்பூன்,
முந்திரி பருப்பு - 5-6.</t>
  </si>
  <si>
    <t>Heat oil + ghee in a pan, add the ingredients mentioned under seasoning. (fennel seeds/sombu is optional but adding it gives a nice flavor).
Add thinly sliced onions and saute until onions turn transparent. Add a little salt to speed up the process.
Add ginger-garlic paste and saute for a few more minutes.
Add the ground paste/green masala and saute until the raw flavor goes.
Add all the vegetables and mix well.
Add soaked and drained basmati rice. Mix well, so that the rice is evenly coated with the green masala.
Add coconut milk (coconut milk + water mixture), needed salt and mix well.
When it starts boiling, reduce the heat to low and close the cooker. Place a small stainless steel cup (as shown in the picture below) instead of the whistle/weight to prevent the steam from escaping.
You can open the cooker  to check inbetween and stir gently.
Once the rice is 90% cooked, turn off the heat. Heat a tawa, place the cooker on the tawa and cook on very low heat for 5-6 minutes. Turn off the heat. Let it sit for another 5 minutes.
Then open the cooker and mix the rice gently. Fry cashew nuts in a little ghee and add it to the pulao along with the ghee.
Serve pulao with raita/pachadi or chips or papadams.</t>
  </si>
  <si>
    <t>ஒரு பாத்திரத்தில் எண்ணெய் + நெய்யை சூடாக்கி, தாளிக்கக் குறிப்பிடப்பட்டுள்ள பொருட்களைச் சேர்க்கவும். (வெந்தய விதைகள்/சோம்பு விருப்பத்திற்குரியது, ஆனால் அது சேர்ப்பது ஒரு நல்ல சுவையைத் தரும்).
மெல்லியதாக நறுக்கிய வெங்காயத்தைச் சேர்த்து, வெங்காயம் வெளிப்படையானதாக மாறும் வரை வதக்கவும். செயல்முறையை விரைவுபடுத்த சிறிது உப்பு சேர்க்கவும்.
இஞ்சி-பூண்டு விழுது சேர்த்து இன்னும் சில நிமிடங்கள் வதக்கவும்.
அரைத்த விழுது/பச்சை மசாலாவைச் சேர்த்து, பச்சை சுவை போகும் வரை வதக்கவும்.
அனைத்து காய்கறிகளையும் சேர்த்து நன்கு கலக்கவும்.
ஊறவைத்து வடிகட்டிய பாஸ்மதி அரிசியைச் சேர்க்கவும். அரிசி பச்சை மசாலாவுடன் சமமாக பூசப்படும் வகையில் நன்கு கலக்கவும்.
தேங்காய் பால் (தேங்காய் பால் + தண்ணீர் கலவை), தேவையான உப்பு சேர்த்து நன்கு கலக்கவும்.
கொதிக்கத் தொடங்கியதும், தீயைக் குறைத்து, குக்கரை மூடவும். நீராவி வெளியேறாமல் இருக்க விசில்/எடைக்கு பதிலாக ஒரு சிறிய ஸ்டெயின்லெஸ் ஸ்டீல் கப்பை (கீழே உள்ள படத்தில் காட்டப்பட்டுள்ளபடி) வைக்கவும்.
குக்கரை இடையில் சரிபார்த்து மெதுவாகக் கிளறலாம்.
அரிசி 90% வெந்தவுடன், தீயை அணைக்கவும். ஒரு தவாவை சூடாக்கி, குக்கரை தவாவின் மீது வைத்து, மிகக் குறைந்த தீயில் 5-6 நிமிடங்கள் சமைக்கவும். தீயை அணைத்து, மற்றொரு 5 நிமிடங்கள் அப்படியே வைக்கவும்.
பின்னர் குக்கரைத் திறந்து அரிசியை மெதுவாகக் கலக்கவும். சிறிது நெய்யில் முந்திரி பருப்பை வறுத்து, நெய்யுடன் சேர்த்து புலாவுடன் சேர்க்கவும்.
புலாவை ரைத்தா/பச்சடி அல்லது சிப்ஸ் அல்லது பப்படாங்களுடன் பரிமாறவும்.</t>
  </si>
  <si>
    <t>https://www.indianveggiedelight.com/wp-content/uploads/2022/10/coconut-milk-pulao-1.jpg</t>
  </si>
  <si>
    <t xml:space="preserve">   Instant Couscous – 1/2 cup,
   Water – 1 cup,
   Salt – 1/4 tsp,
   Onion – 1 thinly sliced,
   Ginger-garlic paste – 1/2 tsp,
   Grated beetroot – 1 cup,
   Turmeric powder – 1/4 tsp,
   Chilli powder – 1/2 tsp,
   Mint leaves – fistful,
   Salt to taste,
   Oil – 2 tbsp,
   Cumin Seeds – 1 tsp,
   Cinnamon – 1 inch piece,
   Clove – 1,
   Bay leaf – 1,
   Coriander Leaves.</t>
  </si>
  <si>
    <t>இன்ஸ்டண்ட் கூஸ்கஸ் - 1/2 கப்,
தண்ணீர் - 1 கப்,
உப்பு - 1/4 டீஸ்பூன்,
வெங்காயம் - 1 மெல்லியதாக நறுக்கியது,
இஞ்சி-பூண்டு விழுது - 1/2 டீஸ்பூன்,
துருவிய பீட்ரூட் - 1 கப்,
மஞ்சள் தூள் - 1/4 டீஸ்பூன்,
மிளகாய் தூள் - 1/2 டீஸ்பூன்,
புதினா இலைகள் - ஒரு கைப்பிடி,
சுவைக்கு உப்பு,
எண்ணெய் - 2 டீஸ்பூன்,
சீரக விதைகள் - 1 டீஸ்பூன்,
இலவங்கப்பட்டை - 1 அங்குல துண்டு,
கிராம்பு - 1,
பிரி இலை - 1,
கொத்தமல்லி இலைகள்.</t>
  </si>
  <si>
    <t>Heat oil in a pan, add cumin seeds, when it splutters, add cinnamon, bay leaf and cloves.
Then add thinly sliced onions. Saute until onions turn transparent.
Add ginger garlic paste and saute for a few more minutes.
Add grated beetroot (use the bigger/thicker hole for grating beetroot), mint leaves, salt needed, turmeric powder and chilli powder.
Mix well and cook covered. Keep stirring from time to time for even cooking.
Then add the cooked couscous and mix everything well. Cook covered for another 2-3 seconds. Check for salt.
Garnish with finely chopped coriander leaves and serve with any raita/pachadi or a simple salad.</t>
  </si>
  <si>
    <t>ஒரு கடாயில் எண்ணெயை சூடாக்கி, சீரகத்தை சேர்த்து, அது வதங்கியதும், இலவங்கப்பட்டை, பிரி இலை மற்றும் கிராம்பு சேர்க்கவும்.
பின்னர் மெல்லியதாக நறுக்கிய வெங்காயத்தை சேர்க்கவும். வெங்காயம் வெளிப்படையானதாக மாறும் வரை வதக்கவும்.
இஞ்சி பூண்டு விழுது சேர்த்து இன்னும் சில நிமிடங்கள் வதக்கவும்.
துருவிய பீட்ரூட்டை (பீட்ரூட்டை துருவ பெரிய/தடிமனான துளையைப் பயன்படுத்தவும்), புதினா இலைகள், தேவையான உப்பு, மஞ்சள் தூள் மற்றும் மிளகாய் தூள் சேர்க்கவும்.
நன்றாகக் கலந்து மூடி வைத்து சமைக்கவும். சீராக சமைக்க அவ்வப்போது கிளறிக்கொண்டே இருங்கள்.
பின்னர் சமைத்த கூஸ்கஸைச் சேர்த்து எல்லாவற்றையும் நன்றாகக் கலக்கவும். மூடி வைத்து மேலும் 2-3 வினாடிகள் சமைக்கவும். உப்பு சரிபார்க்கவும்.
பொடியாக நறுக்கிய கொத்தமல்லி இலைகளால் அலங்கரித்து, ஏதேனும் ரைத்தா/பச்சடி அல்லது ஒரு எளிய சாலட்டுடன் பரிமாறவும்.</t>
  </si>
  <si>
    <t>https://encrypted-tbn0.gstatic.com/images?q=tbn:ANd9GcSWbBJdD5HGRPnNQiTfzLB9YuGG7T2-QeIULA&amp;s</t>
  </si>
  <si>
    <t>Vangi Bhath</t>
  </si>
  <si>
    <t>வாங்கி பாத்</t>
  </si>
  <si>
    <t xml:space="preserve">   Raw Rice – 1 cup,
   Brinjal – 1/4 kg,
   Onion – 1 chopped,
   Turmeric powder – 1/4 tsp,
   Vangi bhath masala powder – 2 tbsp,
   Jaggery powder – 1 tsp,
   Tamarind – small gooseberry sized ball,
   Salt as needed,
   Oil – 2 1/2 tbsp,
   Mustard seeds – 1 tsp,
   Urad dal – 1 tsp,
   Channa dal – 2 tsp,
   Hing/asafoetida – a pinch,
   Curry leaves – a sprig,
   Roasted peanuts – 1-2 tbsp,
   Coriander leaves,
   Fresh lemon juice – 1 tbsp.
</t>
  </si>
  <si>
    <t>பச்சை அரிசி - 1 கப்,
கத்தரிக்காய் - 1/4 கிலோ,
வெங்காயம் - 1 நறுக்கியது,
மஞ்சள் தூள் - 1/4 டீஸ்பூன்,
வாங்கி பாத் மசாலா தூள் - 2 டீஸ்பூன்,
வெல்லம் தூள் - 1 டீஸ்பூன்,
புளி - சிறிய நெல்லிக்காய் அளவு உருண்டை,
தேவைக்கேற்ப உப்பு,
எண்ணெய் - 2 1/2 டீஸ்பூன்,
கடுகு - 1 டீஸ்பூன்,
உரத்த பருப்பு - 1 டீஸ்பூன்,
சன்னா பருப்பு - 2 டீஸ்பூன்,
ஹிங்/அசாஃபோடிடா - ஒரு சிட்டிகை,
கறிவேப்பிலை - ஒரு தளிர்,
வறுத்த வேர்க்கடலை - 1-2 டீஸ்பூன்,
கொத்தமல்லி இலைகள்,
புதிய எலுமிச்சை சாறு - 1 டீஸ்பூன்.</t>
  </si>
  <si>
    <t xml:space="preserve">Heat oil in a pan, add mustard seeds, when it splutters, add urad dal, chana dal (kadalai paruppu), hing, roasted peanuts (if using) and saute until dal turns golden brown.
Add chopped onions, curry leaves and saute until onions turn transparent.
Add the brinjals after discarding the water. Add turmeric powder, salt needed, mix well and cook covered on low heat, stirring in between for even cooking.
Once the brinjals are three fourth cooked, add vangi bhath masala powder (I have already shared in my last post as to how to make vangi baath powder), jaggery powder and mix well.
Add tamarind extract and cook covered, stirring in between until the rawness of the tamarind goes.
Once the brinjals are cooked well, add needed cooked rice, lemon juice and mix well. Check for salt.
Garnish with coriander leaves and serve hot with papads, potato chips or any raita of your choice.
 </t>
  </si>
  <si>
    <t>ஒரு கடாயில் எண்ணெயை சூடாக்கி, கடுகு சேர்த்து, அது வதங்கியதும், உளுத்த பருப்பு, சன்னா பருப்பு (கடலை பருப்பு), ஹிங், வறுத்த வேர்க்கடலை (பயன்படுத்தினால்) சேர்த்து, பருப்பு பொன்னிறமாகும் வரை வதக்கவும்.
நறுக்கிய வெங்காயம், கறிவேப்பிலை சேர்த்து வெங்காயம் தெளிவாகும் வரை வதக்கவும்.
தண்ணீரை வடித்த பிறகு கத்திரிக்காயைச் சேர்க்கவும். மஞ்சள் தூள், தேவையான அளவு உப்பு சேர்த்து நன்கு கலந்து, குறைந்த தீயில் மூடி வைத்து, இடையில் கிளறி, சமமாக சமைக்கவும்.
கத்திரிக்காய் மூன்று பங்கு வெந்தவுடன், வாங்கி பாத் மசாலா தூள் (வாங்கி பாத் பவுடர் செய்வது எப்படி என்று எனது கடைசி பதிவில் நான் ஏற்கனவே பகிர்ந்துள்ளேன்), வெல்லப் பொடி சேர்த்து நன்கு கலக்கவும்.
புளி சாற்றைச் சேர்த்து மூடி வைத்து, இடையில் புளியின் பச்சைத்தன்மை போகும் வரை கிளறவும்.
கத்திரிக்காய் நன்றாக வெந்தவுடன், தேவையான அளவு சமைத்த அரிசி, எலுமிச்சை சாறு சேர்த்து நன்கு கலக்கவும். உப்பு இருக்கிறதா என்று சரிபார்க்கவும்.
கொத்தமல்லி இலைகளால் அலங்கரித்து, பப்பாளி, உருளைக்கிழங்கு சிப்ஸ் அல்லது உங்களுக்கு விருப்பமான ஏதேனும் ரைத்தாவுடன் சூடாகப் பரிமாறவும்.</t>
  </si>
  <si>
    <t>https://www.indianveggiedelight.com/wp-content/uploads/2024/01/vangibhath-featured-500x500.jpg</t>
  </si>
  <si>
    <t>Dal Dhokli</t>
  </si>
  <si>
    <t>தால் தோக்லி</t>
  </si>
  <si>
    <t xml:space="preserve">   Whole wheat flour – 1/2 cup,
   Gram flour – 2 tsp,
   Turmeric powder – 1/4 tsp,
   Red chilli powder – 1/4 tsp,
   Carom seeds – 1/4 tsp,
   Oil/ghee – 2 tsp,
   Salt – 1/4 tsp,
   Tur dal – 1/2 cup,
   Turmeric powder – 1/4 tsp,
   Red chilli powder – 3/4-1 tsp,
   Turmeric powder – 1/4 tsp,
   Cumin powder – 3/4 tsp,
   Coriander powder – 1 tsp,
   Salt needed,
   Oil - 1 1/2 tbsp,
   Ghee/clarified butter – 1 tbsp,
   Mustard seeds – 1 tsp,
   Cumin seeds – 1 tsp,
   Dry red chilli – 2-3,
   Hing – a generous pinch,
   Curry leaves – a sprigc,
   Tomato – 1-2,
   Coriander leaves – 2 tbsp,
   Lemon juice as per taste,
   Onion – 2 tbsp finely chopped.</t>
  </si>
  <si>
    <t>முழு கோதுமை மாவு - 1/2 கப்,
கடலை மாவு - 2 தேக்கரண்டி,
மஞ்சள் தூள் - 1/4 தேக்கரண்டி,
சிவப்பு மிளகாய் தூள் - 1/4 தேக்கரண்டி,
கேரம் விதைகள் - 1/4 தேக்கரண்டி,
எண்ணெய்/நெய் - 2 தேக்கரண்டி,
உப்பு - 1/4 தேக்கரண்டி,
துவரம் பருப்பு - 1/2 கப்,
மஞ்சள் தூள் - 1/4 தேக்கரண்டி,
சிவப்பு மிளகாய் தூள் - 3/4-1 தேக்கரண்டி,
மஞ்சள் தூள் - 1/4 தேக்கரண்டி,
சீரக தூள் - 3/4 தேக்கரண்டி,
கொத்தமல்லி தூள் - 1 தேக்கரண்டி,
உப்பு தேவை,
எண்ணெய் - 1 1/2 தேக்கரண்டி,
நெய் / தெளித்த வெண்ணெய் - 1 தேக்கரண்டி,
கடுகு விதைகள் - 1 தேக்கரண்டி,
சீரகம் - 1 தேக்கரண்டி,
காய்ந்த சிவப்பு மிளகாய் - 2-3,
கீல் - ஒரு சிட்டிகை,
கறிவேப்பிலை - ஒரு தளிர்,
தக்காளி - 1-2,
கொத்தமல்லி இலைகள் - 2 தேக்கரண்டி,
எலுமிச்சை சாறு ருசிக்க,
வெங்காயம் - 2 டேபிள்ஸ்பூன் பொடியாக நறுக்கியது.</t>
  </si>
  <si>
    <t>Heat ghee + oil in a pan, add mustard seeds, cumin seeds, red chillies, hing and curry leaves.
When mustard seeds splutters, add the chopped tomatoes and all the spice powder mentioned under “spice powder” and salt needed.
Cook until tomato becomes mushy and leaves oil.
Add the cooked dal, 1 1/2 cups of water and mix well.
When it starts boiling, add the cooked dhoklis. Simmer and cook stirring for 5-6 minutes.
Once you add the dhoklis, it will start to thicken. You may adjust the consistency of the dal dhokli as per your preferences by adding more or less water.
Once you get the desired consistency, remove from heat. Squeeze few drops of lemon juice, mix well and garnish with finely chopped coriander leaves.</t>
  </si>
  <si>
    <t>ஒரு பாத்திரத்தில் நெய் + எண்ணெய் சேர்த்து சூடாக்கி, கடுகு, சீரகம், சிவப்பு மிளகாய், பெருங்காயம் மற்றும் கறிவேப்பிலை சேர்க்கவும்.
கடுகு வதங்கியதும், நறுக்கிய தக்காளி மற்றும் "மசாலா தூள்" என்பதன் கீழ் குறிப்பிடப்பட்டுள்ள அனைத்து மசாலாப் பொடிகளையும், தேவையான உப்பும் சேர்க்கவும்.
தக்காளி மென்மையாகி எண்ணெய் வெளியேறும் வரை வதக்கவும்.
சமைத்த பருப்பை, 1 1/2 கப் தண்ணீர் சேர்த்து நன்கு கலக்கவும்.
கொதிக்க ஆரம்பித்ததும், சமைத்த டோக்லியைச் சேர்க்கவும். 5-6 நிமிடங்கள் கொதிக்க வைத்து கிளறவும்.
தோக்லியைச் சேர்த்தவுடன், அது கெட்டியாகத் தொடங்கும். அதிகமாகவோ அல்லது குறைவாகவோ தண்ணீரைச் சேர்ப்பதன் மூலம் உங்கள் விருப்பப்படி பருப்பு டோக்லியின் நிலைத்தன்மையை சரிசெய்யலாம்.
தேவையான நிலைத்தன்மையைப் பெற்றவுடன், அடுப்பிலிருந்து இறக்கவும். சில துளிகள் எலுமிச்சை சாற்றைப் பிழிந்து, நன்கு கலந்து, இறுதியாக நறுக்கிய கொத்தமல்லி இலைகளால் அலங்கரிக்கவும்.</t>
  </si>
  <si>
    <t>https://i0.wp.com/binjalsvegkitchen.com/wp-content/uploads/2019/01/H1.jpg?fit=600%2C904&amp;ssl=1</t>
  </si>
  <si>
    <t>Barley Tomato Pilaf</t>
  </si>
  <si>
    <t>பார்லி தக்காளி பிலாஃப்</t>
  </si>
  <si>
    <t xml:space="preserve">   Barley – 1/2 cup,
   Onion – 2 medium size,
   Green chilli – 1 slit ,
   Ginger-garlic paste – 1 tsp,
   Green peas  - 1/4 cup,
   Tomato Puree – 3/4 cup,
   Salt needed,
   Turmeric powder – 1/4 tsp,
   Sambar powder  – 1 tsp,
   Oil – 2 tbsp,
   Mustard seeds – 1 tsp,
   asafoetida – a pinch,
   Curry leaves – a sprig,
   Coriander leaves,
   Mint leaves – 2-3.</t>
  </si>
  <si>
    <t>பார்லி - 1/2 கப்,
வெங்காயம் - 2 நடுத்தர அளவு,
பச்சை மிளகாய் - 1 துண்டு,
இஞ்சி-பூண்டு விழுது - 1 தேக்கரண்டி,
பச்சை பட்டாணி - 1/4 கப்,
தக்காளி கூழ் - 3/4 கப்,
உப்பு தேவை,
மஞ்சள் தூள் - 1/4 தேக்கரண்டி,
சாம்பார் பொடி - 1 தேக்கரண்டி,
எண்ணெய் - 2 தேக்கரண்டி,
கடுகு - 1 தேக்கரண்டி,
பெருங்காயம் - ஒரு சிட்டிகை,
கறிவேப்பிலை - ஒரு தளிர்,
கொத்தமல்லி இலை,
புதினா இலை - 2-3.</t>
  </si>
  <si>
    <t>Heat oil in a pan, add mustard seeds and hing, when mustard seeds splutters, add finely chopped onions, curry leaves and green chilli (if using).
Saute until onions turn light brown. Add ginger garlic paste and saute for a few more minutes.
Add boiled peas, tomato puree, sambar powder, turmeric powder and salt needed.
Cook on medium heat, stirring from time to time, until the rawness of the tomato goes and the mixture becomes thick.
Add the cooked barley and mix well.
Garnish with coriander leaves and a few mint leaves. Enjoy with potato curry or any raita of your choice.</t>
  </si>
  <si>
    <t>ஒரு கடாயில் எண்ணெயை சூடாக்கி, கடுகு மற்றும் கீரை சேர்த்து, கடுகு வதங்கியதும், இறுதியாக நறுக்கிய வெங்காயம், கறிவேப்பிலை மற்றும் பச்சை மிளகாய் (பயன்படுத்தினால்) சேர்க்கவும்.
வெங்காயம் வெளிர் பழுப்பு நிறமாக மாறும் வரை வதக்கவும். இஞ்சி பூண்டு விழுது சேர்த்து மேலும் சில நிமிடங்கள் வதக்கவும்.
வேகவைத்த பட்டாணி, தக்காளி கூழ், சாம்பார் பொடி, மஞ்சள் தூள் மற்றும் தேவையான உப்பு சேர்க்கவும்.
தக்காளியின் பச்சைத்தன்மை போய் கலவை கெட்டியாகும் வரை அவ்வப்போது கிளறி, மிதமான தீயில் சமைக்கவும்.
சமைத்த பார்லியைச் சேர்த்து நன்கு கலக்கவும்.
கொத்தமல்லி இலைகள் மற்றும் சில புதினா இலைகளால் அலங்கரிக்கவும். உருளைக்கிழங்கு கறி அல்லது உங்களுக்கு விருப்பமான எந்த ரைத்தாவுடன் மகிழுங்கள்.</t>
  </si>
  <si>
    <t>https://encrypted-tbn0.gstatic.com/images?q=tbn:ANd9GcRD4vQ3Pe30gleRm84CH7XKsbN8qCBX26QUZA&amp;s</t>
  </si>
  <si>
    <t>Quinoa with Black Beans and Tomato</t>
  </si>
  <si>
    <t>கருப்பு பீன்ஸ் மற்றும் தக்காளியுடன் கூடிய குயினோவா</t>
  </si>
  <si>
    <t xml:space="preserve">   Quinoa – 1/2 cup,
   Onion – 1 finely chopped,
   Ginger – 1/2 inch piece,
   Garlic - 2-3 cloves,
   Capsicum – 1 small size,
   Tomato – 1 big,
   Black Beans  – 1/4,
   Paprika – 1 tsp,
   Salt needed,
   Olive oil – 2 tsp,
   Fresh lemon juice – 1/2 tsp,
   Coriander leaves .</t>
  </si>
  <si>
    <t>குயினோவா – 1/2 கப்,
வெங்காயம் – 1 பொடியாக நறுக்கியது,
இஞ்சி – 1/2 அங்குல துண்டு,
பூண்டு - 2-3 பல்,
கேப்சிகம் – 1 சிறிய அளவு,
தக்காளி – 1 பெரியது,
கருப்பு பீன்ஸ் – 1/4,
மிளகு – 1 தேக்கரண்டி,
உப்பு தேவை,
ஆலிவ் எண்ணெய் – 2 தேக்கரண்டி,
புதிய எலுமிச்சை சாறு – 1/2 தேக்கரண்டி,
கொத்தமல்லி இலைகள்.</t>
  </si>
  <si>
    <t>Heat oil in a pan, add onions, ginger and garlic. Saute until onions turn transparent. Add paprika and saute for a few more minutes.
Add chopped tomatoes, capsicum, cooked quinoa, cooked black beans and salt needed. Mix well (no need to cook) and remove from heat.
Add lemon juice and garnish with finely chopped coriander leaves.
Enjoy it warm. As we have added lot of vegetables and black beans, you do not need any side dish for this. But if preferred enjoy it with raita/pachadi.</t>
  </si>
  <si>
    <t>ஒரு பாத்திரத்தில் எண்ணெயை சூடாக்கி, வெங்காயம், இஞ்சி மற்றும் பூண்டு சேர்க்கவும். வெங்காயம் வெளிப்படையானதாக மாறும் வரை வதக்கவும். மிளகுத்தூள் சேர்த்து இன்னும் சில நிமிடங்கள் வதக்கவும்.
நறுக்கிய தக்காளி, கேப்சிகம், சமைத்த குயினோவா, சமைத்த கருப்பு பீன்ஸ் மற்றும் தேவையான உப்பு சேர்க்கவும். நன்றாக கலந்து (வேகவைக்க தேவையில்லை) அடுப்பிலிருந்து இறக்கவும்.
எலுமிச்சை சாறு சேர்த்து, இறுதியாக நறுக்கிய கொத்தமல்லி இலைகளால் அலங்கரிக்கவும்.</t>
  </si>
  <si>
    <t>https://encrypted-tbn0.gstatic.com/images?q=tbn:ANd9GcS4HqUuRCqKTKlJivIRVUy4d63ZHDRugeCPHQ&amp;s</t>
  </si>
  <si>
    <t xml:space="preserve">   Couscous – 1/2 cup,
   Water – 1 cup,
   Mint – 1 cup firmly packed,
   Garlic – 2 cloves,
   Green Chilli – 1,
   Ginger – 1/2 inch piece,
   Onion – 2 medium size,
   Oil – 2 tbsp,
   Cinnamon – 1 inch piece,
   Cloves – 2,
   Bay leaf – 1.
</t>
  </si>
  <si>
    <t>கூஸ்கஸ் - 1/2 கப்,
தண்ணீர் - 1 கப்,
புதினா - 1 கப் உறுதியாகப் பொரித்த,
பூண்டு - 2 பல்,
பச்சை மிளகாய் - 1,
இஞ்சி - 1/2 அங்குல துண்டு,
வெங்காயம் - 2 நடுத்தர அளவு,
எண்ணெய் - 2 டீஸ்பூன்,
இலவங்கப்பட்டை - 1 அங்குல துண்டு,
கிராம்பு - 2,
பிரியாணி இலை - 1.</t>
  </si>
  <si>
    <t>Heat oil in a pan, add cinnamon, cloves and bay leaf. Saute for a few seconds and then add finely chopped onions.
Saute until onions turn light brown.
Add the ground paste and salt needed (remember we have already added a little salt to couscous). Saute until it is cooked well and the raw smell of the mint goes.
Add couscous and mix well. Remove from heat. If you prefer, you can add cashew nuts roasted in ghee.
Enjoy minty couscous with papads or potato chips or french fries or potato curry or cauliflower 65 or any raita.</t>
  </si>
  <si>
    <t>ஒரு கடாயில் எண்ணெயை சூடாக்கி, இலவங்கப்பட்டை, கிராம்பு மற்றும் பிரியாணி இலை சேர்த்து சில நொடிகள் வதக்கி, பின்னர் இறுதியாக நறுக்கிய வெங்காயத்தைச் சேர்க்கவும்.
வெங்காயம் வெளிர் பழுப்பு நிறமாக மாறும் வரை வதக்கவும்.
அரைத்த விழுது மற்றும் தேவையான உப்பு சேர்க்கவும் (கூஸ்கஸில் ஏற்கனவே சிறிது உப்பு சேர்த்துள்ளோம் என்பதை நினைவில் கொள்ளவும்). அது நன்றாக வேகும் வரை மற்றும் புதினாவின் பச்சை வாசனை போகும் வரை வதக்கவும்.
கூஸ்கஸ் சேர்த்து நன்கு கலக்கவும். அடுப்பிலிருந்து இறக்கவும். நீங்கள் விரும்பினால், நெய்யில் வறுத்த முந்திரி பருப்புகளைச் சேர்க்கலாம்.
பப்பாளி அல்லது உருளைக்கிழங்கு சிப்ஸ் அல்லது பிரஞ்சு பொரியல் அல்லது உருளைக்கிழங்கு கறி அல்லது காலிஃபிளவர் 65 அல்லது ஏதேனும் ரைத்தாவுடன் புதினா கூஸ்கஸை அனுபவிக்கவும்.</t>
  </si>
  <si>
    <t>https://encrypted-tbn0.gstatic.com/images?q=tbn:ANd9GcRrRSINiIfu8URkr7vZk5hcH2RX6TpA03FXWA&amp;s</t>
  </si>
  <si>
    <t>Tomato Oats</t>
  </si>
  <si>
    <t>தக்காளி ஓட்ஸ்</t>
  </si>
  <si>
    <t xml:space="preserve">   Rolled Oats – 1/2 cup heaped,
   Onion – 1,
   Green chilli - 1 finely chopped,
   Ginger – 1/2 tsp finely chopped,
   Garlic – 1/2 tsp finely minced,
   Tomato – 2 big,
   Salt to taste,
   Turmeric powder – 1/8 tsp,
   Coriander powder – 1 tsp,
   Sambar powder – 1 tsp,
   Oil – 1 tbsp,
   Mustard seeds – 1 tsp,
   Curry leaves – a sprig,
   Coriander leaves.</t>
  </si>
  <si>
    <t>உருட்டப்பட்ட ஓட்ஸ் - 1/2 கப் குவியலாக,
வெங்காயம் - 1,
பச்சை மிளகாய் - 1 பொடியாக நறுக்கியது,
இஞ்சி - 1/2 தேக்கரண்டி பொடியாக நறுக்கியது,
பூண்டு - 1/2 தேக்கரண்டி பொடியாக நறுக்கியது,
தக்காளி - 2 பெரியது,
சுவைக்கு உப்பு,
மஞ்சள் தூள் - 1/8 தேக்கரண்டி,
கொத்தமல்லி தூள் - 1 தேக்கரண்டி,
சாம்பார் தூள் - 1 தேக்கரண்டி,
எண்ணெய் - 1 தேக்கரண்டி,
கடுகு - 1 தேக்கரண்டி,
கறிவேப்பிலை - ஒரு தளிர்,
கொத்தமல்லி இலை.</t>
  </si>
  <si>
    <t>Heat oil in a pan, add mustard seeds, when it splutters, add finely chopped onion, green chilli and curry leaves.
When onion turns transparent, add finely chopped ginger, garlic and saute for a few seconds.
Than add chopped tomatoes, turmeric powder, coriander powder, sambar powder and salt needed.
Cook until tomato becomes mushy and the rawness of the spice powder goes.
Then add the rolled oats, mix well and cook for another 2-3 seconds.
Garnish with coriander leaves and serve hot with any raita/pachadi of your choice.</t>
  </si>
  <si>
    <t>ஒரு கடாயில் எண்ணெயை சூடாக்கி, கடுகு சேர்த்து, அது வதங்கியதும், பொடியாக நறுக்கிய வெங்காயம், பச்சை மிளகாய் மற்றும் கறிவேப்பிலை சேர்க்கவும்.
வெங்காயம் தெளிவாகத் தெரிந்ததும், பொடியாக நறுக்கிய இஞ்சி, பூண்டு சேர்த்து சில நொடிகள் வதக்கவும்.
பின்னர் நறுக்கிய தக்காளி, மஞ்சள் தூள், கொத்தமல்லி தூள், சாம்பார் தூள் மற்றும் தேவையான உப்பு சேர்க்கவும்.
தக்காளி மென்மையாகும் வரை மற்றும் மசாலாப் பொடியின் பச்சைத்தன்மை போகும் வரை சமைக்கவும்.
பின்னர் உருட்டப்பட்ட ஓட்ஸைச் சேர்த்து, நன்கு கலந்து மேலும் 2-3 வினாடிகள் சமைக்கவும்.
கொத்தமல்லி இலைகளால் அலங்கரித்து, உங்களுக்கு விருப்பமான ரைத்தா/பச்சடியுடன் சூடாகப் பரிமாறவும்.</t>
  </si>
  <si>
    <t>https://encrypted-tbn0.gstatic.com/images?q=tbn:ANd9GcQ2Ufx4YRE2MgIxIM3g5HvonvWQWmWKj4RrAQ&amp;s</t>
  </si>
  <si>
    <t xml:space="preserve">   Rolled Oats – 1/2 cup,
   Moong Dal – 3 tbsp,
   Turmeric powder – 1/4 tsp,
   Salt needed,
   Onion – 1 medium size,
   Ginger – 1 tsp finely chopped,
   Green Chilli – 1 slit,
   Garlic – 2 cloves finely chopped,
   Tomato – 1 small,
   Carrot – 1,
   Beans – 5-6,
   Oil – 2 tsp,
   Ghee – 2 tsp,
   Cumin seeds – 1 tsp,
   Whole black pepper – 1/2 tsp,
   Asafoetida – a pinch,
   Curry leaves – a sprig,
   Ghee – 1 tsp,
   Coriander leaves.</t>
  </si>
  <si>
    <t>உருட்டப்பட்ட ஓட்ஸ் - 1/2 கப்,
பாசிப்பருப்பு - 3 டீஸ்பூன்,
மஞ்சள் தூள் - 1/4 டீஸ்பூன்,
உப்பு தேவை,
வெங்காயம் - 1 நடுத்தர அளவு,
இஞ்சி - 1 டீஸ்பூன் நன்றாக நறுக்கியது,
பச்சை மிளகாய் - 1 துண்டு,
பூண்டு - 2 பல் நன்றாக நறுக்கியது,
தக்காளி - 1 சிறியது,
கேரட் - 1,
பீன்ஸ் - 5-6,
எண்ணெய் - 2 டீஸ்பூன்,
நெய் - 2 டீஸ்பூன்,
சீரகம் - 1 டீஸ்பூன்,
முழு கருப்பு மிளகு - 1/2 டீஸ்பூன்,
பெருங்காயம் - ஒரு சிட்டிகை,
கறிவேப்பிலை - ஒரு தளிர்,
நெய் - 1 டீஸ்பூன்,
கொத்தமல்லி இலைகள்.</t>
  </si>
  <si>
    <t>Heat oil + ghee in a pressure cooker/pan, add cumin seeds, whole black pepper, hing and curry leaves.
When cumin seed sizzles, add finely chopped onions, ginger, garlic, green chilli and curry leaves.
Saute until onions turn transparent.  Add chopped carrot, beans, tomato, soaked moong dal, turmeric powder and salt needed.
Add oats and 2 cups of water and mix well. Taste the water to check for salt. Add if needed.
Pressure cook for 3 whistles. Once the pressure subsides, open the cooker, add a tsp of ghee and mix well.
Garnish with coriander leaves and serve hot with raita, pickle or papads.</t>
  </si>
  <si>
    <t>பிரஷர் குக்கர்/கடாயில் எண்ணெய் + நெய்யை சூடாக்கி, சீரகம், முழு கருப்பு மிளகு, கீல் மற்றும் கறிவேப்பிலை சேர்க்கவும்.
சீரகம் வதங்கியதும், இறுதியாக நறுக்கிய வெங்காயம், இஞ்சி, பூண்டு, பச்சை மிளகாய் மற்றும் கறிவேப்பிலை சேர்க்கவும்.
வெங்காயம் வெளிப்படையானதாக மாறும் வரை வதக்கவும். நறுக்கிய கேரட், பீன்ஸ், தக்காளி, ஊறவைத்த பாசிப்பருப்பு, மஞ்சள் தூள் மற்றும் தேவையான அளவு உப்பு சேர்க்கவும்.
ஓட்ஸ் மற்றும் 2 கப் தண்ணீர் சேர்த்து நன்கு கலக்கவும். உப்பு இருக்கிறதா என்று பார்க்க தண்ணீரை சுவைக்கவும். தேவைப்பட்டால் சேர்க்கவும்.
3 விசில்களுக்கு பிரஷர் சமைக்கவும். பிரஷர் குறைந்தவுடன், குக்கரைத் திறந்து, ஒரு தேக்கரண்டி நெய்யைச் சேர்த்து நன்கு கலக்கவும்.
கொத்தமல்லி இலைகளால் அலங்கரித்து, ரைத்தா, ஊறுகாய் அல்லது பப்படாஸுடன் சூடாகப் பரிமாறவும்.</t>
  </si>
  <si>
    <t>https://www.vegrecipesofindia.com/wp-content/uploads/2017/04/oats-khichdi-recipe-4a.jpg</t>
  </si>
  <si>
    <t>Curd Oats</t>
  </si>
  <si>
    <t>தயிர் ஓட்ஸ்</t>
  </si>
  <si>
    <t xml:space="preserve">   Rolled Oats – 1/2 cup,
   Curd – 3/4 cup,
   Milk – 3/4 cup ,
   Carrot – 1,
   Tomato – 1,
   Pineapple – 1/2 cup chopped,
   Salt needed,
   Oil – 1 tsp,
   Mustard seeds – 3/4 tsp,
   Green chillies – 1 finely chopped,
   Ginger – 3/4 tsp finely chopped,
   Curry leaves – a sprig,
   Coriander leaves.
</t>
  </si>
  <si>
    <t>உருட்டப்பட்ட ஓட்ஸ் - 1/2 கப்,
தயிர் - 3/4 கப்,
பால் - 3/4 கப்,
கேரட் - 1,
தக்காளி - 1,
அன்னாசி - 1/2 கப் நறுக்கியது,
உப்பு தேவை,
எண்ணெய் - 1 தேக்கரண்டி,
கடுகு - 3/4 தேக்கரண்டி,
பச்சை மிளகாய் - 1 பொடியாக நறுக்கியது,
இஞ்சி - 3/4 தேக்கரண்டி பொடியாக நறுக்கியது,
கறிவேப்பிலை - ஒரு தளிர்,
கொத்தமல்லி இலைகள்.</t>
  </si>
  <si>
    <t>Chop all the vegetables and fruits into small pieces. I have added carrot, tomato and pineapple. You can add finely chopped bell pepper also.
In a sauce pan, bring 1 1/4 cup of  water to boil. Then reduce the heat and add the oats.
Cook stirring until the water is absorbed and the oats becomes tender. If not, add more water and cook until soft.  Leave it to cool.
Then add milk (lukewarm) and mix well. Then add plain yogurt/curd (use low fat yogurt for weight loss) and a little salt.
Heat oil in a pan, add mustard seeds, when it splutters, add ginger, green chilli and curry leaves. Saute for a few seconds and add chopped carrot.
Saute for 2-3 seconds and add to the oats curd mixture.
Add chopped tomatoes, pineapple, capsicum or any colored bell pepper (if you like).
Mix well, garnish with coriander leaves and enjoy!!</t>
  </si>
  <si>
    <t>அனைத்து காய்கறிகள் மற்றும் பழங்களையும் சிறிய துண்டுகளாக நறுக்கவும். நான் கேரட், தக்காளி மற்றும் அன்னாசிப்பழம் சேர்த்துள்ளேன். நீங்கள் பொடியாக நறுக்கிய பெல் பெப்பரையும் சேர்க்கலாம்.
ஒரு சாஸ் பாத்திரத்தில், 1 1/4 கப் தண்ணீரை கொதிக்க வைக்கவும். பின்னர் தீயை குறைத்து ஓட்ஸ் சேர்க்கவும்.
தண்ணீர் உறிஞ்சப்பட்டு ஓட்ஸ் மென்மையாகும் வரை கிளறவும். இல்லையென்றால், அதிக தண்ணீர் சேர்த்து மென்மையாகும் வரை சமைக்கவும். அதை ஆற விடவும்.
பின்னர் பால் (மந்தமான) சேர்த்து நன்கு கலக்கவும். பின்னர் வெற்று தயிர்/தயிர் (எடை இழப்புக்கு குறைந்த கொழுப்புள்ள தயிர் பயன்படுத்தவும்) மற்றும் சிறிது உப்பு சேர்க்கவும்.
ஒரு கடாயில் எண்ணெயை சூடாக்கி, கடுகு சேர்த்து, அது வதங்கியதும், இஞ்சி, பச்சை மிளகாய் மற்றும் கறிவேப்பிலை சேர்க்கவும். சில நொடிகள் வதக்கி, நறுக்கிய கேரட்டை சேர்க்கவும்.
2-3 நொடிகள் வதக்கி, ஓட்ஸ் தயிர் கலவையில் சேர்க்கவும்.
நறுக்கிய தக்காளி, அன்னாசி, கேப்சிகம் அல்லது ஏதேனும் வண்ண மிளகுத்தூள் (விரும்பினால்) சேர்க்கவும்.
நன்றாக கலந்து, கொத்தமல்லி இலைகளால் அலங்கரித்து மகிழுங்கள்!!</t>
  </si>
  <si>
    <t>https://encrypted-tbn0.gstatic.com/images?q=tbn:ANd9GcRKYb_ikodbCITZ_NPXqYkKVZ4SVfy0ia12-w&amp;s</t>
  </si>
  <si>
    <t xml:space="preserve">   Rice – 1 cup,
   Tur Dal – 1/3 cup,
   Turmeric powder – 1/2 tsp,
   Tamarind – Gooseberry sized ball,
   Salt as needed,
   Chick peas  – 1 tbsp,
   Black eyed pea – 1 tbsp,
   Dry peas - 1 tbsp,
   Oil – 1/2 tsp,
   Bengal gram  – 2 tsp,
   Urad dal – 1 1/2 tsp,
   Coriander seeds – 1 tbsp,
   Red Chillies – 5-6,
   Fenugreek  – 1/4 tsp,
   Whole black pepper  – 1/2 tsp,
   Brinjal – 2,
   Pumpkin  – 1/2 cup,
   Ash gourd – 1/2 cup,
   Cluster beans  – 6-7,
   Broad beans – 6-7,
   Colocasia  – 2-3,
   Potato – 1 medium size,
   Chow Chow – 1/2 ,
   Sesame seed oil – 1 1/2 tbsp,
   Mustard seeds – 1 tsp,
   asafoetida – a generous pinch,
   Green chilli – 1-2,
   Curry Leaves – a sprig,
   Oil – 1 tsp,
   Turkey berry vathal – 10,
   Sesame seed oil – 1 tsp,
   Ghee/clarified butter – 1 tsp,
   Coriander leaves.
</t>
  </si>
  <si>
    <t>அரிசி - 1 கப்,
துவரம் பருப்பு - 1/3 கப்,
மஞ்சள் தூள் - 1/2 தேக்கரண்டி,
புளி - நெல்லிக்காய் அளவு உருண்டை,
தேவைக்கேற்ப உப்பு,
கொண்டைக்கடலை - 1 தேக்கரண்டி,
கருப்பட்டி - 1 தேக்கரண்டி,
உலர்ந்த பட்டாணி - 1 தேக்கரண்டி,
எண்ணெய் - 1/2 தேக்கரண்டி,
கடலை பருப்பு - 2 தேக்கரண்டி,
உளுத்தம் பருப்பு - 1 1/2 தேக்கரண்டி,
கொத்தமல்லி விதைகள் - 1 தேக்கரண்டி,
சிவப்பு மிளகாய் - 5-6,
வெந்தயம் - 1/4 தேக்கரண்டி,
முழு கருப்பு மிளகு - 1/2 தேக்கரண்டி,
கத்திரிக்காய் - 2,
பூசணி - 1/2 கப்,
சாம்பல் பூசணி - 1/2 கப்,
கொத்தமல்லி - 6-7,
அகன்ற பீன்ஸ் - 6-7,
கொலோகாசியா - 2-3,
உருளைக்கிழங்கு - 1 நடுத்தர அளவு,
சௌ சௌ - 1/2,
எள் விதை எண்ணெய் - 1 1/2 தேக்கரண்டி,
கடுகு - 1 தேக்கரண்டி,
அசாஃபோடிடா - ஒரு சிட்டிகை,
பச்சை மிளகாய் - 1-2,
கறிவேப்பிலை - ஒரு தளிர்,
எண்ணெய் - 1 தேக்கரண்டி,
துருக்கி பெர்ரி வத்தல் - 10,
எள் விதை எண்ணெய் - 1 தேக்கரண்டி,
நெய்/தெளிவுபடுத்திய வெண்ணெய் - 1 தேக்கரண்டி,
கொத்தமல்லி இலைகள்.</t>
  </si>
  <si>
    <t>Now in any heavy bottomed vessel, add all the vegetables (except colocasia),  1 1/4 cup of water and cook covered. Do not pressure cook as the vegetables will become mushy.
Once the vegetables are 3/4th cooked, switch off the heat.
In a kadai or pan, heat 1 1/2 tbsp of sesame seed oil, add mustard seeds, when it splutters, add hing, slit green chilli and curry leaves.
Then add the vegetables (along with the water if any) and the tamarind extract.
Add 1/4 tsp turmeric powder, salt needed and the cooked colocasia.  Boil for 5-6 minutes on medium heat.
Then add the sambar podi which we prepared and boil again on medium heat for another 5 minutes.
how to make kadamba sambar
Once the raw smell of the tamarind goes, add the cooked legumes and the mashed dal along with a cup of water.
Boil for few more minutes on medium heat. Our rice is also cooked and kept ready.
Mash the rice slightly when it is hot (not as you mash it for pongal). Then add to the kadamba sambar and mix well.
Cook on low heat, stirring from time to time until everything gets mixed well.
Heat a tsp of sesame seed oil and fry turkey berry (sundakkai vathal) until crisp.
Add to the kadamba sadam. Then add a tsp of ghee and a tsp of sesame seed oil, mix well and switch off the heat.
Garnish with coriander leaves and enjoy hot kadamba sadam with papads, chips and raita.</t>
  </si>
  <si>
    <t>இப்போது அடிப்பகுதி கொண்ட எந்த ஒரு கனமான பாத்திரத்திலும், அனைத்து காய்கறிகளையும் (கொலோகாசியா தவிர), 1 1/4 கப் தண்ணீர் சேர்த்து மூடி வைத்து சமைக்கவும். காய்கறிகள் மென்மையாக மாறும் என்பதால், அழுத்தி சமைக்க வேண்டாம்.
காய்கறிகள் 3/4 பங்கு வெந்தவுடன், அடுப்பை அணைக்கவும்.
ஒரு கடாயில் அல்லது வாணலியில், 1 1/2 தேக்கரண்டி எள் எண்ணெயை சூடாக்கி, கடுகு சேர்க்கவும், அது வதங்கியதும், கீல், பச்சை மிளகாய் மற்றும் கறிவேப்பிலை சேர்க்கவும்.
பின்னர் காய்கறிகளை (தண்ணீருடன் சேர்த்து) மற்றும் புளி சாறு சேர்க்கவும்.
1/4 தேக்கரண்டி மஞ்சள் தூள், தேவையான உப்பு மற்றும் சமைத்த கொலோகாசியா சேர்க்கவும். மிதமான தீயில் 5-6 நிமிடங்கள் கொதிக்க விடவும்.
பின்னர் நாம் தயாரித்த சாம்பார் பொடியைச் சேர்த்து, மிதமான தீயில் மேலும் 5 நிமிடங்கள் கொதிக்க விடவும்.
கடம்ப சாம்பார் செய்வது எப்படி
புளியின் பச்சை வாசனை போனதும், வேகவைத்த பருப்பு வகைகள் மற்றும் மசித்த பருப்பை ஒரு கப் தண்ணீருடன் சேர்க்கவும்.
நடுத்தர தீயில் இன்னும் சில நிமிடங்கள் கொதிக்க வைக்கவும். எங்கள் அரிசியும் வெந்து தயாராக உள்ளது.
சாதம் சூடாகும்போது (பொங்கலுக்கு மசிப்பது போல் அல்ல) சிறிது மசிக்கவும். பின்னர் கடம்ப சாம்பாரில் சேர்த்து நன்கு கலக்கவும்.
குறைந்த தீயில், அவ்வப்போது கிளறி, எல்லாம் நன்றாகக் கலக்கும் வரை சமைக்கவும்.
ஒரு தேக்கரண்டி எள் எண்ணெயை சூடாக்கி, வான்கோழி பெர்ரியை (சுண்டக்காய் வத்தல்) மொறுமொறுப்பாகும் வரை வறுக்கவும்.
கடம்ப சாதத்தில் சேர்க்கவும். பின்னர் ஒரு தேக்கரண்டி நெய் மற்றும் ஒரு தேக்கரண்டி எள் எண்ணெயைச் சேர்த்து, நன்கு கலந்து, தீயை அணைக்கவும்.
கொத்தமல்லி இலைகளால் அலங்கரித்து, சூடான கதம்ப சாதத்தை பப்படம், சிப்ஸ் மற்றும் ரைத்தாவுடன் மகிழுங்கள்.</t>
  </si>
  <si>
    <t>https://encrypted-tbn0.gstatic.com/images?q=tbn:ANd9GcQLFnfFQYsrTReUXtJzMYvViMT7jaYXHz9zCg&amp;s</t>
  </si>
  <si>
    <t>Keerai Sadam</t>
  </si>
  <si>
    <t>கீரை சாதம்</t>
  </si>
  <si>
    <t xml:space="preserve">  Arai Keerai – 2 1/2 cups,
   Onion – 1,
   Roasted peanuts  - 2 tbsp,
   Salt needed,
   Ghee/clarified butter – 2 tsp,
   Coriander seeds – 1 1/2 tsp,
   Urad dal – 1/2 tsp,
   Bengal gram – 1 tsp,
   Red Chillies – 3,
   Oil – 2 1/2 tbsp,
   Mustard seeds – 1 tsp,
   Urad dal – 1 tsp,
   Bengal gram – 1/2 tsp,
   Hing – a pinch.</t>
  </si>
  <si>
    <t>அரை கீரை - 2 1/2 கப்,
வெங்காயம் - 1,
வறுத்த வேர்க்கடலை - 2 டேபிள்ஸ்பூன்,
உப்பு தேவை,
நெய்/தெளிவுபடுத்திய வெண்ணெய் - 2 டேபிள்ஸ்பூன்,
கொத்தமல்லி விதைகள் - 1 1/2 டேபிள்ஸ்பூன்,
உளுத்தம் பருப்பு - 1/2 டேபிள்ஸ்பூன்,
கடலை பருப்பு - 1 டேபிள்ஸ்பூன்,
சிவப்பு மிளகாய் - 3,
எண்ணெய் - 2 1/2 டேபிள்ஸ்பூன்,
கடுகு விதைகள் - 1 டேபிள்ஸ்பூன்,
உளுத்தம் பருப்பு - 1 டேபிள்ஸ்பூன்,
கடலை பருப்பு - 1/2 டேபிள்ஸ்பூன்,
ஹிங் - ஒரு சிட்டிகை.</t>
  </si>
  <si>
    <t>Heat oil in a pan/kadai, add mustard seeds, when it splutters, add urad dal, bengal gram, hing and saute until dal turns golden brown.
Add thinly sliced onions and saute until it turns transparent. Add a little salt to hasten (quicken) the process.
sauteing onions 
Add the washed and chopped greens and saute until it wilts slightly.
Then add 2 tbsp of the prepared masala, salt needed and cook for a few more minutes.
Add the cooked rice and the cashew nuts or roasted peanuts along with the ghee.
Mix well so that the rice is well coated with the masala. Turn off the heat and enjoy it hot with raita, papads or any vegetable curry.</t>
  </si>
  <si>
    <t>ஒரு கடாயில்/கடாயில் எண்ணெயை சூடாக்கி, கடுகு சேர்த்து, அது வதங்கியதும், உளுத்தம் பருப்பு, வங்காளப் பருப்பு, ஹிங் சேர்த்து, பருப்பு பொன்னிறமாகும் வரை வதக்கவும்.
மெல்லியதாக நறுக்கிய வெங்காயத்தைச் சேர்த்து, அது வெளிப்படையானதாக மாறும் வரை வதக்கவும். செயல்முறையை விரைவுபடுத்த (விரைவுபடுத்த) சிறிது உப்பு சேர்க்கவும்.
வதக்கிய வெங்காயம்
கழுவி நறுக்கிய கீரைகளைச் சேர்த்து, சிறிது வதக்கும் வரை வதக்கவும்.
பின்னர் தயாரிக்கப்பட்ட மசாலாவில் 2 தேக்கரண்டி, தேவையான அளவு உப்பு சேர்த்து மேலும் சில நிமிடங்கள் சமைக்கவும்.
சமைத்த அரிசி, முந்திரி அல்லது வறுத்த வேர்க்கடலையை நெய்யுடன் சேர்க்கவும்.
அரிசி மசாலாவுடன் நன்கு பூசப்படும் வகையில் நன்கு கலக்கவும். அடுப்பை அணைத்துவிட்டு, ரைத்தா, பப்படம் அல்லது வேறு எந்த காய்கறி கறியுடன் சூடாக மகிழுங்கள்.</t>
  </si>
  <si>
    <t>https://i.ytimg.com/vi/ClKGu1VnpkU/maxresdefault.jpg</t>
  </si>
  <si>
    <t>Pepper Cumin Rice</t>
  </si>
  <si>
    <t>மிளகு சீரக சாதம்</t>
  </si>
  <si>
    <t xml:space="preserve">   Cooked Rice – 2 cups,
   Whole black peppercorn – 1 tsp,
   Cumin seeds – 1 tsp,
   Salt to taste,
   Ghee/clarified butter – 2 tsp,
   Cashew nuts – 7-8,
   Sesame seed oil – 3 tsp,
   Mustard seeds – 1 tsp,
   Urad dal – 1 tsp,
   Bengal gram – 3/4 tsp,
   Curry leaves – a sprig.</t>
  </si>
  <si>
    <t>சமைத்த அரிசி - 2 கப்,
முழு கருப்பு மிளகு - 1 தேக்கரண்டி,
சீரகம் - 1 தேக்கரண்டி,
ருசிக்க உப்பு,
நெய்/தெளிவுபடுத்திய வெண்ணெய் - 2 தேக்கரண்டி,
முந்திரி பருப்பு - 7-8,
எள் எண்ணெய் - 3 தேக்கரண்டி,
கடுகு - 1 தேக்கரண்டி,
உளுத்தம் பருப்பு - 1 தேக்கரண்டி,
கடலை பருப்பு - 3/4 தேக்கரண்டி,
கறிவேப்பிலை - ஒரு துளிர்.</t>
  </si>
  <si>
    <t>In the same pan, add the rest of the oil and heat it. Add mustard seeds, when it splutters, add urad dal, bengal gram (kadalai paruppu) and curry leaves.
When dal turns golden brown, lower the heat and add the pepper + cumin powder (milagu jeera podi).
Saute for a few seconds, add salt needed, cooked rice and a tsp of ghee.
Mix well so that the rice is well coated with the pepper cumin powder and the seasoning. Add cashew nuts and turn off the heat. Enjoy it with papads.</t>
  </si>
  <si>
    <t>அதே வாணலியில், மீதமுள்ள எண்ணெயைச் சேர்த்து சூடாக்கவும். கடுகு சேர்த்து, அது வதங்கியதும், உளுத்தம் பருப்பு, கடலை பருப்பு (கடலை பருப்பு) மற்றும் கறிவேப்பிலை சேர்க்கவும்.
பருப்பு பொன்னிறமாக மாறியதும், தீயைக் குறைத்து, மிளகு + சீரகப் பொடி (மிளகு ஜீரா பொடி) சேர்க்கவும்.
சில நொடிகள் வதக்கி, தேவையான உப்பு, சமைத்த அரிசி மற்றும் ஒரு தேக்கரண்டி நெய் சேர்க்கவும்.
அரிசி மிளகு சீரகப் பொடி மற்றும் தாளிக்க வேண்டிய பொருட்களால் நன்கு பூசப்படும் வகையில் நன்கு கலக்கவும். முந்திரி பருப்புகளைச் சேர்த்து அடுப்பை அணைத்து விடுங்கள். பப்படங்களுடன் சேர்த்து மகிழுங்கள்.</t>
  </si>
  <si>
    <t>https://encrypted-tbn0.gstatic.com/images?q=tbn:ANd9GcTXA_p4bVgJZsXXRuMhBrEAPsKo_lp975R90g&amp;s</t>
  </si>
  <si>
    <t xml:space="preserve">   Rice – 1 cup,
   Bottle gourd – 3 cups chopped,
   Green peas – 1/3 cup fresh,
   Onion – 1 cup,
   Green chillies – 2 slit,
   Ginger garlic paste – 1 tsp,
   Turmeric powder – 1/4 tsp,
   Coriander powder – 1 tsp,
   Salt to taste,
   Oil – 2 tbsp,
   Ghee – 2 tsp,
   Cumin seeds – 1 tsp,
   Whole black peppercorns – 3-4,
   Cinnamon – 1/2 inch stick,
   Cloves – 3,
   Curry leaves – a sprig,
   Coriander leaves .</t>
  </si>
  <si>
    <t>அரிசி - 1 கப்,
சுரைக்காய் - 3 கப் நறுக்கியது,
பச்சை பட்டாணி - 1/3 கப் புதியது,
வெங்காயம் - 1 கப்,
பச்சை மிளகாய் - 2 துண்டுகள்,
இஞ்சி பூண்டு விழுது - 1 தேக்கரண்டி,
மஞ்சள் தூள் - 1/4 தேக்கரண்டி,
கொத்தமல்லி தூள் - 1 தேக்கரண்டி,
சுவைக்கு உப்பு,
எண்ணெய் - 2 தேக்கரண்டி,
நெய் - 2 தேக்கரண்டி,
சீரகம் - 1 தேக்கரண்டி,
முழு கருப்பு மிளகு - 3-4,
இலவங்கப்பட்டை - 1/2 அங்குல குச்சி,
கிராம்பு - 3,
கறிவேப்பிலை - ஒரு தளிர்,
கொத்தமல்லி இலைகள்.</t>
  </si>
  <si>
    <t>Heat oil + ghee in a pan, add cumin seeds, when it sizzles, add cloves, cinnamon and whole black peppercorns.
Saute for a few seconds and then add onions, green chillies and curry leaves.
Saute until onions turn light brown. Add ginger garlic paste and saute for a few more seconds.
Add coriander powder, turmeric powder and salt needed.
Add chopped bottle gourd, green peas and mix well. Add soaked and drained rice.
Mix well and add 2 cups of water. Check for salt by tasting the water. If required add at this stage.
When water starts boiling, close the cooker and cook on low heat (without the whistle) until the rice is cooked. You can open the cooker in between, mix again and continue to cook until the rice is fully cooked. 
Garnish with finely chopped coriander leaves. Fluff it with a fork and serve hot.
Simple and delicious bottle gourd rice/lauki pulao is ready. You can serve it with raita or any spicy gravy. As the pulao is a bit plain, a spicy gravy goes well with it.</t>
  </si>
  <si>
    <t>ஒரு கடாயில் எண்ணெய் + நெய்யை சூடாக்கி, சீரகத்தை சேர்த்து, அது கொதித்ததும், கிராம்பு, இலவங்கப்பட்டை மற்றும் முழு கருப்பு மிளகு சேர்க்கவும்.
சில நொடிகள் வதக்கி, பின்னர் வெங்காயம், பச்சை மிளகாய் மற்றும் கறிவேப்பிலை சேர்க்கவும்.
வெங்காயம் வெளிர் பழுப்பு நிறமாக மாறும் வரை வதக்கவும். இஞ்சி பூண்டு விழுது சேர்த்து மேலும் சில நொடிகள் வதக்கவும்.
கொத்தமல்லி தூள், மஞ்சள் தூள் மற்றும் தேவையான அளவு உப்பு சேர்க்கவும்.
நறுக்கிய பாசிப்பருப்பு, பச்சை பட்டாணி சேர்த்து நன்கு கலக்கவும். ஊறவைத்து வடிகட்டிய அரிசியை சேர்க்கவும்.
நன்றாக கலந்து 2 கப் தண்ணீர் சேர்க்கவும். தண்ணீரை ருசித்து உப்பு இருக்கிறதா என்று சரிபார்க்கவும். தேவைப்பட்டால் இந்த கட்டத்தில் சேர்க்கவும்.
தண்ணீர் கொதிக்க ஆரம்பித்ததும், குக்கரை மூடி, அரிசி வேகும் வரை குறைந்த தீயில் (விசில் இல்லாமல்) சமைக்கவும். இடையில் குக்கரைத் திறந்து, மீண்டும் கலந்து, அரிசி முழுமையாக வேகும் வரை தொடர்ந்து சமைக்கலாம்.
இறுதியாக நறுக்கிய கொத்தமல்லி இலைகளால் அலங்கரித்து, ஒரு முட்கரண்டி கொண்டு பிசைந்து சூடாக பரிமாறவும்.
எளிமையான மற்றும் சுவையான பாசிப்பருப்பு சாதம்/லௌகி புலாவ் தயார். நீங்கள் இதை ரைத்தா அல்லது வேறு எந்த காரமான கிரேவியுடனும் பரிமாறலாம். புலாவ் சற்று சாதாரணமாக இருப்பதால், காரமான கிரேவி அதனுடன் நன்றாகப் பொருந்தும்.</t>
  </si>
  <si>
    <t xml:space="preserve">   Couscous – 1/2 cup,
   Thin coconut milk – 1 cup,
   Salt – 1/4 tsp,
   Raisins – 1/4 cup,
   Cashew nuts – 3 tbsp,
   Coconut oil – 1 1/2 tbsp,
   Mustard seeds – 1 tsp,
   Urad dal – 1 tsp,
   Red Chilli – 1,
   Green chilli – 1,
   Ginger – 1 tsp ,
   Curry Leaves – a sprig,
   Grated coconut – 1/2 cup + 1 tbsp.</t>
  </si>
  <si>
    <t>கூஸ்கஸ் - 1/2 கப்,
மெல்லிய தேங்காய் பால் - 1 கப்,
உப்பு - 1/4 தேக்கரண்டி,
திராட்சை - 1/4 கப்,
முந்திரி பருப்பு - 3 தேக்கரண்டி,
தேங்காய் எண்ணெய் - 1 1/2 தேக்கரண்டி,
கடுகு - 1 தேக்கரண்டி,
உளுத்தம் பருப்பு - 1 தேக்கரண்டி,
சிவப்பு மிளகாய் - 1,
பச்சை மிளகாய் - 1,
இஞ்சி - 1 தேக்கரண்டி,
கறிவேப்பிலை - ஒரு தளிர்,
தேங்காய் துருவல் - 1/2 கப் + 1 தேக்கரண்டி.</t>
  </si>
  <si>
    <t>Heat coconut oil in a pan/kadai and fry the raisins and cashew nuts separately. Remove from pan and keep it aside.
In the same pan, add mustard seeds, when it splutters, add urad dal, red chillies, green chillies, ginger, and curry leaves.
Saute for a few seconds and then add grated coconut.
Saute on medium heat stirring continuously until the coconut changes color to a pale yellow as seen in the picture below. Add salt needed.
Add the fluffed couscous, cashew nuts, raisins (do not omit the raisins and cashew nuts) and mix well and remove from heat.
Delicious Indian style coconut couscous is ready. Enjoy it as such or with papads.</t>
  </si>
  <si>
    <t>ஒரு கடாயில்/கடாயில் தேங்காய் எண்ணெயை சூடாக்கி, திராட்சை மற்றும் முந்திரி பருப்பை தனித்தனியாக வறுக்கவும். வாணலியில் இருந்து எடுத்து தனியாக வைக்கவும்.
அதே வாணலியில், கடுகு சேர்த்து, அது வதங்கியதும், உளுத்தம் பருப்பு, சிவப்பு மிளகாய், பச்சை மிளகாய், இஞ்சி மற்றும் கறிவேப்பிலை சேர்க்கவும்.
சில நொடிகள் வதக்கி, பின்னர் துருவிய தேங்காய் சேர்க்கவும்.
கீழே உள்ள படத்தில் காட்டப்பட்டுள்ளபடி தேங்காய் நிறம் வெளிர் மஞ்சள் நிறமாக மாறும் வரை தொடர்ந்து மிதமான தீயில் வதக்கவும். தேவையான அளவு உப்பு சேர்க்கவும்.
அரைத்த கூஸ்கஸ், முந்திரி, திராட்சை (திராட்சை மற்றும் முந்திரி பருப்புகளைத் தவிர்க்க வேண்டாம்) சேர்த்து நன்கு கலந்து அடுப்பிலிருந்து இறக்கவும்.
சுவையான இந்திய பாணி தேங்காய் கூஸ்கஸ் தயார். அப்படியே அல்லது பப்படங்களுடன் சேர்த்து மகிழுங்கள்.</t>
  </si>
  <si>
    <t>https://encrypted-tbn0.gstatic.com/images?q=tbn:ANd9GcS53VYmbnhjAmWHS6H3i_0LBpuJofC2JDG3MA&amp;s</t>
  </si>
  <si>
    <t>Gujarathi Vaghareli Khichdi</t>
  </si>
  <si>
    <t>குஜராத்தி வகாரேலி கிச்சடி</t>
  </si>
  <si>
    <t xml:space="preserve">   Raw Rice – 1/2 cup,
   Split pigeon pea – 1/3 cup,
   Onion – 1,
   Ginger-garlic paste – 1 tsp,
   Green chilli – 1,
   Brinjal – 2 medium sizes,
   Potato – 1 medium size,
   Green Peas – 1/3 cup,
   Carrot – ½ a medium sized carrot,
   Salt needed,
   Ghee – 2 tbsp,
   Turmeric powder – ¼ tsp,
   Chilli powder – ½ tsp,
   Oil – 2 tbsp,
   Mustard seeds – 1 tsp,
   Cinnamon – 1 inch piece,
   Cloves – 2,
   Whole black pepper – ½ tsp,
   Red chilli – 1,
   Hing/asafetida – a generous pinch.</t>
  </si>
  <si>
    <t>பச்சை அரிசி - 1/2 கப்,
துண்டு துவரம்பருப்பு - 1/3 கப்,
வெங்காயம் - 1,
இஞ்சி-பூண்டு விழுது - 1 டீஸ்பூன்,
பச்சை மிளகாய் - 1,
கத்தரிக்காய் - 2 நடுத்தர அளவு,
உருளைக்கிழங்கு - 1 நடுத்தர அளவு,
பச்சை பட்டாணி - 1/3 கப்,
கேரட் - ½ நடுத்தர அளவு கேரட்,
உப்பு தேவை,
நெய் - 2 டீஸ்பூன்,
மஞ்சள் தூள் - ¼ டீஸ்பூன்,
மிளகாய் தூள் - ½ டீஸ்பூன்,
எண்ணெய் - 2 டீஸ்பூன்,
கடுகு - 1 டீஸ்பூன்,
இலவங்கப்பட்டை - 1 அங்குல துண்டு,
கிராம்பு - 2,
முழு கருப்பு மிளகு - ½ டீஸ்பூன்,
சிவப்பு மிளகாய் - 1,
ஹிங்/அசாஃபெடிடா - ஒரு சிட்டிகை.</t>
  </si>
  <si>
    <t>Put oil into the bowl, press FRY. When oil is hot, add the ingredients mentioned under seasoning.
When mustard splutters, add onion, ginger garlic paste and fry with lid open until onion turns transparent.
Add all the vegetables, spice powder, salt needed, rice + dal, 3¼ cup of water and ghee. Cover the lid and the steam valve.
Press the “PILAF” button. Set the time for 20 minutes. Cook until time elapses.
Open the valve to release the pressure. Let it stand for 5 minutes, then open the cooker.
Gujarati  Khichdi using REDMOND’s Pressure Smart Multicooker
Delicious piping hot khichdi is ready to be served. Serve with pickle or papads or kadhi or buttermilk.</t>
  </si>
  <si>
    <t>கிண்ணத்தில் எண்ணெய் ஊற்றி, வதக்கவும். எண்ணெய் சூடானதும், தாளிக்க வேண்டிய பொருட்களைச் சேர்க்கவும்.
கடுகு வதங்கியதும், வெங்காயம், இஞ்சி பூண்டு விழுது சேர்த்து மூடி திறந்து வெங்காயம் தெளிவாகும் வரை வதக்கவும்.
அனைத்து காய்கறிகள், மசாலாப் பொடி, தேவையான உப்பு, அரிசி + பருப்பு, 3¼ கப் தண்ணீர் மற்றும் நெய் சேர்க்கவும். மூடி மற்றும் நீராவி வால்வை மூடி வைக்கவும்.
“PILAF” பொத்தானை அழுத்தவும். நேரத்தை 20 நிமிடங்கள் அமைக்கவும். நேரம் முடியும் வரை சமைக்கவும்.
அழுத்தத்தை வெளியிட வால்வைத் திறக்கவும். 5 நிமிடங்கள் நிற்க விடுங்கள், பின்னர் குக்கரைத் திறக்கவும்.
REDMOND இன் பிரஷர் ஸ்மார்ட் மல்டிகூக்கரைப் பயன்படுத்தும் குஜராத்தி கிச்சடி
சுவையான பைப்பிங் சூடான கிச்சடி பரிமாற தயாராக உள்ளது. ஊறுகாய் அல்லது பப்படம் அல்லது கதி அல்லது மோர் உடன் பரிமாறவும்.</t>
  </si>
  <si>
    <t>https://encrypted-tbn0.gstatic.com/images?q=tbn:ANd9GcTdVT9lDbt135KkqqnfENe4UA1P1gycmtZqxQ&amp;s</t>
  </si>
  <si>
    <t xml:space="preserve">   Kerala Rosematta Rice – 1/2 cup,
   Green gram  – 1/4 cup,
   Grated fresh coconut - 1/3 cup,
   Water – 4 cups,
   Turmeric – a pinch,
   Pearl Onions – 3-4 finely chopped,
   Salt needed,
   Oil – 1 tsp,
   Mustard seeds – 1 tsp,
   Dried Red chilli – 1,
   Curry leaves – a sprig,
   Coconut Oil – 1 tsp,
   Fresh grated coconut - 1/2 cup,
   Dried red chillies – 2-3,
   Ginger – 1/2 inch piece,
   Tamarind – a small piece,
   Curry leaves – a sprig,
   Salt needed.</t>
  </si>
  <si>
    <t>கேரள ரோஸ்மேட்டா அரிசி - 1/2 கப்,
பச்சைப்பயறு - 1/4 கப்,
துருவிய புதிய தேங்காய் - 1/3 கப்,
தண்ணீர் - 4 கப்,
மஞ்சள் - ஒரு சிட்டிகை,
முத்து வெங்காயம் - 3-4 பொடியாக நறுக்கியது,
உப்பு தேவை,
எண்ணெய் - 1 தேக்கரண்டி,
கடுகு - 1 தேக்கரண்டி,
காய்ந்த சிவப்பு மிளகாய் - 1,
கறிவேப்பிலை - ஒரு துளிர்,
தேங்காய் எண்ணெய் - 1 தேக்கரண்டி,
புதிய துருவிய தேங்காய் - 1/2 கப்,
காய்ந்த சிவப்பு மிளகாய் - 2-3,
இஞ்சி - 1/2 அங்குல துண்டு,
புளி - ஒரு சிறிய துண்டு,
கறிவேப்பிலை - ஒரு துளிர்,
உப்பு தேவை.</t>
  </si>
  <si>
    <t>Pressure cook rice and green gram with 4 cups of water, turmeric powder, pearl onions, salt needed for 4-5 whistles on medium heat.
Once the pressure subsides, open the cooker, cook for another 5 minutes stirring frequently (if it is too thick, you may add more water and cook). Then mix in freshly grated coconut.
Heat a tsp of oil, add mustard seeds, when it splutters, add red chillies and curry leaves.
Pour the seasoning over the kanji. Enjoy it hot with thenga chammanthi or papadams or pickle.</t>
  </si>
  <si>
    <t>அரிசி மற்றும் பச்சைப்பயறையை 4 கப் தண்ணீர், மஞ்சள் தூள், முத்து வெங்காயம், உப்பு சேர்த்து மிதமான தீயில் 4-5 விசில் வரை வேக வைக்கவும்.
அழுத்தம் தணிந்தவுடன், குக்கரைத் திறந்து, அடிக்கடி கிளறி மேலும் 5 நிமிடங்கள் சமைக்கவும் (அது மிகவும் கெட்டியாக இருந்தால், நீங்கள் அதிக தண்ணீர் சேர்த்து சமைக்கலாம்). பின்னர் புதிதாக துருவிய தேங்காயைச் சேர்த்து கலக்கவும்.
ஒரு தேக்கரண்டி எண்ணெயைச் சூடாக்கி, கடுகு சேர்த்து, அது வெடித்ததும், மிளகாய் மற்றும் கறிவேப்பிலை சேர்க்கவும்.
கஞ்சியின் மேல் தாளிக்கக் கொடுத்தவற்றை ஊற்றவும். தேங்காய் சம்மந்தி அல்லது பப்படம் அல்லது ஊறுகாயுடன் சூடாகப் பரிமாறவும்.</t>
  </si>
  <si>
    <t>https://encrypted-tbn0.gstatic.com/images?q=tbn:ANd9GcQoMB_ZDLf-okoBejQoy_ajnyImWnpuQCGOVQ&amp;s</t>
  </si>
  <si>
    <t xml:space="preserve">   Basmati Rice – 1 1/2 cup,
   Water – 3 cups,
   Fresh lemon juice – 1 tbsp,
   Onion – 2 medium size,
   Green chilli – 2,
   Ginger garlic paste – 1 1/2  tsp,
   Tomato – 1,
   Salt to taste,
   Mint leaves – fistful,
   Coriander leaves – 2 tbsp chopped,
   Carrot – 1 big,
   Beans – 6-8,
   Cauliflower florets – 10-12,
   frozen peas – 1/3 cup,
   Capsicum – 1/3 cup chopped,
   Chilli Powder – 3/4 tsp,
   Coriander powder – 1 tsp,
   Biryani Masala powder - 2 tsp flat,
   Turmeric powder – 1/4 tsp,
   Oil – 2 tbsp,
   Ghee – 1 tbsp,
   Cloves – 4-5,
   Cinnamon – 2,
   Cardamom – 2,
   Bay leaf - 1,
   Stone flower - 1-2,
   Fennel seeds  – 1 tsp,
   Coriander leaves,
   Ghee/Clarified butter – 1-2 tsp,
   Cashew nuts – 6.</t>
  </si>
  <si>
    <t>பாஸ்மதி அரிசி - 1 1/2 கப்,
தண்ணீர் - 3 கப்,
புதிய எலுமிச்சை சாறு - 1 டீஸ்பூன்,
வெங்காயம் - 2 நடுத்தர அளவு,
பச்சை மிளகாய் - 2,
இஞ்சி பூண்டு விழுது - 1 1/2 டீஸ்பூன்,
தக்காளி - 1,
ருசிக்க உப்பு,
புதினா இலைகள் - ஒரு கைப்பிடி,
கொத்தமல்லி இலைகள் - 2 டீஸ்பூன் நறுக்கியது,
கேரட் - 1 பெரியது,
பீன்ஸ் - 6-8,
காலிஃபிளவர் பூக்கள் - 10-12,
உறைந்த பட்டாணி - 1/3 கப்,
கேப்சிகம் - 1/3 கப் நறுக்கியது,
மிளகாய் தூள் - 3/4 டீஸ்பூன்,
கொத்தமல்லி தூள் - 1 டீஸ்பூன்,
பிரியாணி மசாலா தூள் - 2 டீஸ்பூன் தட்டையானது,
மஞ்சள் தூள் - 1/4 டீஸ்பூன்,
எண்ணெய் - 2 டீஸ்பூன்,
நெய் - 1 டீஸ்பூன்,
கிராம்பு - 4-5,
இலவங்கப்பட்டை - 2,
ஏலக்காய் - 2,
பிரித்தாணி இலை - 1,
கல் பூ - 1-2,
வெந்தயம் விதைகள் – 1 தேக்கரண்டி,
கொத்தமல்லி இலைகள்,
நெய்/தெளிவுபடுத்தப்பட்ட வெண்ணெய் – 1-2 தேக்கரண்டி,
முந்திரி பருப்பு – 6.</t>
  </si>
  <si>
    <t>ஒரு பிரஷர் குக்கர் அல்லது பிரஷர் பாத்திரத்தில், எண்ணெய் + நெய்யை சூடாக்கி, தாளிக்கக் குறிப்பிடப்பட்டுள்ள அனைத்து பொருட்களையும் சேர்க்கவும். பெருஞ்சீரக சுவை உங்களுக்குப் பிடித்திருந்தால், பெருஞ்சீரக விதைகளுக்குப் பதிலாக ஷாஜீரா (அரச சீரகம்) சேர்க்கலாம். சில நொடிகள் வதக்கவும்.
அது கொதிக்கும் போது, ​​மெல்லியதாக நறுக்கிய வெங்காயம் மற்றும் பச்சை மிளகாய் சேர்க்கவும்.
வெங்காயம் ஒளிஊடுருவக்கூடியதாக மாறும் வரை வதக்கவும்.
இஞ்சி பூண்டு விழுது சேர்க்கவும்.
பச்சை வாசனை போகும் வரை வதக்கவும்.
நறுக்கிய தக்காளி சேர்க்கவும்.
தக்காளியை சில நொடிகள் வதக்கவும்.
மஞ்சள் தூள், மிளகாய் தூள், கொத்தமல்லி தூள், சிறிது உப்பு மற்றும் பிரியாணி மசாலா சேர்க்கவும்.
தக்காளி மென்மையாக மாறும் வரை மற்றும் மசாலாப் பொடியின் பச்சை வாசனை போகும் வரை வதக்கவும்.
புதினாவில் பாதி மற்றும் அனைத்து கொத்தமல்லி இலைகளையும் சேர்க்கவும்.
அனைத்து காய்கறிகளையும் சேர்க்கவும்.
நன்றாக கலந்து 2-3 நிமிடங்கள் வதக்கவும்.
ஊறவைத்து வடிகட்டிய பாஸ்மதி அரிசியைச் சேர்க்கவும்.
நன்றாக கலக்கவும்.
3 கப் சூடான நீரைச் சேர்க்கவும். தேவையான அளவு உப்பு சேர்க்கவும் (ஏற்கனவே சிறிது உப்பு சேர்த்துள்ளோம் என்பதை நினைவில் கொள்ளவும்). தண்ணீரை ருசித்து மசாலாப் பொடி மற்றும் உப்பை சரிசெய்யவும்.
மீதமுள்ள புதினா இலைகளைச் சேர்த்து, அரை எலுமிச்சை சாற்றை பிழியவும்.
நன்றாகக் கலந்து கொதிக்க வைக்கவும்.
தண்ணீர் கொதிக்கத் தொடங்கியதும், தீயைக் குறைத்து குக்கரை மூடவும். விசில்/வெயிட்டை வைக்க வேண்டாம், அதற்கு பதிலாக நீராவி வெளியேறாமல் இருக்க ஒரு சிறிய கப்பை வென்ட்டில் திருப்பினேன்.
மிகக் குறைந்த தீயில் 5-6 நிமிடங்கள் அல்லது தண்ணீர் அனைத்தும் ஆவியாகும் வரை சமைக்கவும். தீயை அணைக்கவும். 5 நிமிடங்களுக்குப் பிறகு குக்கரைத் திறந்து, ஒரு முட்கரண்டியால் அரிசியை பிசையவும்.
1-2 தேக்கரண்டி நெய்யைச் சூடாக்கி, முந்திரி பருப்புகளை பொன்னிறமாகும் வரை வதக்கவும். பிரியாணியில் சேர்த்து மெதுவாக கலக்கவும்.
இறுதியாக நறுக்கிய கொத்தமல்லி இலைகளால் அலங்கரித்து, வெங்காய ரைத்தா அல்லது கேரட் ரைத்தா அல்லது வெள்ளரிக்காய் பச்சடியுடன் மகிழுங்கள். இது ஒரு பானை உணவிற்கு ஏற்ற சரியான உணவாக அமைகிறது. இதை மதிய உணவிற்கும் பேக் செய்யலாம்.</t>
  </si>
  <si>
    <t>https://encrypted-tbn0.gstatic.com/images?q=tbn:ANd9GcQY9qXqE2AZoecitIiKKyEDWC1kOfBKi-vExw&amp;s</t>
  </si>
  <si>
    <t>https://youtu.be/jB_CYJ1q9ds</t>
  </si>
  <si>
    <t>Persian Dill Rice</t>
  </si>
  <si>
    <t>பாரசீக வெந்தய அரிசி</t>
  </si>
  <si>
    <t xml:space="preserve">   Basmati rice – 2 cups,
   Fava beans – 1 cup,
   Fresh Dill leaves – 2 1/2 cup,
   Potato – 2,
   Oil – 3 tbsp,
   Water – 6 cups,
   Butter – 2 tbsp,
   Saffron – 10 strands,
   Salt – 2 1/2 tsp for rice,
   Salt – for potato and saffrony.</t>
  </si>
  <si>
    <t>பாஸ்மதி அரிசி - 2 கப்,
ஃபாவா பீன்ஸ் - 1 கப்,
புதிய வெந்தய இலைகள் - 2 1/2 கப்,
உருளைக்கிழங்கு - 2,
எண்ணெய் - 3 டேபிள்ஸ்பூன்,
தண்ணீர் - 6 கப்,
வெண்ணெய் - 2 டேபிள்ஸ்பூன்,
குங்குமப்பூ - 10 இழைகள்,
உருளைக்கிழங்கு மற்றும் குங்குமப்பூவிற்கு உப்பு - 2 1/2 டேபிள்ஸ்பூன்.</t>
  </si>
  <si>
    <t xml:space="preserve">Pour oil in a non stick pan. Heat the oil on very low flame and add 2 tbsp of saffron water and a pinch of salt.
Swirl the pan so that the saffron gets mixed with the oil well.
Arrange the potato slices to cover the base of the pan as shown in the picture below. Sprinkle little salt over the potatoes. Cook for 5 minutes on low heat before adding the rice.
Add a layer of rice and cover the potatoes.
Add a layer of par boiled beans. On top of it, add dried dill. If you can get fresh dill leaves, I recommend adding fresh leaves.
Add the second layer of rice, then top it with beans and dried dill leaves.
Finally end it with rice. Make 3-4 holes using the back of a wooden ladle, so that the vapours cooks the rice throughly. Add a tbsp of butter.
Add the remaining saffron water. Wrap the lid of the pan with a cotton towel and close the pan. The towel will absorb the vapours, preventing it from soaking the rice.
Cook on medium heat for 5 mins and turn the heat to very low and cook for 45 mins.
After 45 minutes – the rice is well cooked. I have inverted the pan on a plate to show you the crispy Tahdig (Potato tahdig). It looks lovely.
</t>
  </si>
  <si>
    <t>ஒரு குச்சி இல்லாத பாத்திரத்தில் எண்ணெயை ஊற்றவும். எண்ணெயை மிகக் குறைந்த தீயில் சூடாக்கி, 2 டேபிள்ஸ்பூன் குங்குமப்பூ தண்ணீர் மற்றும் ஒரு சிட்டிகை உப்பு சேர்க்கவும்.
குங்குமப்பூ எண்ணெயுடன் நன்றாக கலக்கும் வகையில் பாத்திரத்தை சுழற்றவும்.
கீழே உள்ள படத்தில் காட்டப்பட்டுள்ளபடி, பாத்திரத்தின் அடிப்பகுதியை மூடும் வகையில் உருளைக்கிழங்கு துண்டுகளை அடுக்கி வைக்கவும். உருளைக்கிழங்கின் மீது சிறிது உப்பு தெளிக்கவும். அரிசியைச் சேர்ப்பதற்கு முன் குறைந்த வெப்பத்தில் 5 நிமிடங்கள் சமைக்கவும்.
ஒரு அடுக்கு அரிசியைச் சேர்த்து உருளைக்கிழங்கை மூடி வைக்கவும்.
வேகவைத்த பீன்ஸின் ஒரு அடுக்கைச் சேர்க்கவும். அதன் மேல், உலர்ந்த வெந்தயத்தைச் சேர்க்கவும். புதிய வெந்தய இலைகள் கிடைத்தால், புதிய இலைகளைச் சேர்க்க பரிந்துரைக்கிறேன்.
இரண்டாவது அடுக்கு அரிசியைச் சேர்த்து, அதன் மேல் பீன்ஸ் மற்றும் உலர்ந்த வெந்தய இலைகளைச் சேர்க்கவும்.
இறுதியாக அரிசியுடன் முடிக்கவும். ஒரு மரக் கரண்டியின் பின்புறத்தைப் பயன்படுத்தி 3-4 துளைகளை உருவாக்குங்கள், இதனால் நீராவி அரிசியை நன்கு வேகவைக்கும். ஒரு டீஸ்பூன் வெண்ணெய் சேர்க்கவும்.
மீதமுள்ள குங்குமப்பூ தண்ணீரைச் சேர்க்கவும். வாணலியின் மூடியை ஒரு பருத்தித் துண்டால் சுற்றி வாணலியை மூடவும். துண்டு நீராவிகளை உறிஞ்சி, அரிசி ஊறவிடாமல் தடுக்கும்.
5 நிமிடங்கள் நடுத்தர வெப்பத்தில் சமைத்து, தீயை மிகக் குறைவாக வைத்து 45 நிமிடங்கள் சமைக்கவும்.
45 நிமிடங்களுக்குப் பிறகு - அரிசி நன்றாக வெந்துவிட்டது. மொறுமொறுப்பான தஹ்திக் (உருளைக்கிழங்கு தஹ்திக்) உங்களுக்குக் காட்ட நான் வாணலியை ஒரு தட்டில் திருப்பி வைத்திருக்கிறேன். அது அழகாக இருக்கிறது.</t>
  </si>
  <si>
    <t>https://encrypted-tbn0.gstatic.com/images?q=tbn:ANd9GcQ3IqRcZivOLIX8BR7peQPAf9WjmfRO7sIxzA&amp;s</t>
  </si>
  <si>
    <t xml:space="preserve">   Bulgur Wheat - 1/2 cup,
   Water – 1 cup,
   Onion – 1 medium size,
   Green chilli – 2 slit,
   Ginger garlic paste – 3/4 tsp,
   Fresh or frozen Peas – 1/3 cup,
   Fresh Mint leaves – fistful,
   Fresh Coriander leaves – fistful,
   Oil – 1 1/2 tbsp,
   Bay leaf – 1,
   Cloves – 2,
   Cinnamon – 1 inch piece,
   Pecans or mixed seeds.</t>
  </si>
  <si>
    <t xml:space="preserve">In a pan, heat oil, add bay leaf, cloves and cinnamon. Saute for a few seconds and add finely chopped onions.
Saute until onions turn transparent. Add green chillies, ginger garlic paste and saute until the raw flavor goes.
Add peas, coriander leaves, mint leaves, salt needed and cook for 3-4 minutes.
Add the cooked bulgur, mix well and cook for another 2 minutes. To make it more nutritious, I have topped it with chopped pecans. You can also top it with mixed seeds. That’s it. Filling, nutritious and delicious bulgur peas pilaf is ready.
Enjoy it with onion raitha or cucumber raita or carrot raita.
</t>
  </si>
  <si>
    <t>ஒரு கடாயில், எண்ணெயை சூடாக்கி, பிரியாணி இலை, கிராம்பு மற்றும் இலவங்கப்பட்டை சேர்க்கவும். சில நொடிகள் வதக்கி, இறுதியாக நறுக்கிய வெங்காயத்தைச் சேர்க்கவும்.
வெங்காயம் வெளிப்படையானதாக மாறும் வரை வதக்கவும். பச்சை மிளகாய், இஞ்சி பூண்டு விழுது சேர்த்து பச்சை வாசனை போகும் வரை வதக்கவும்.
பட்டாணி, கொத்தமல்லி இலைகள், புதினா இலைகள், தேவையான அளவு உப்பு சேர்த்து 3-4 நிமிடங்கள் சமைக்கவும்.
சமைத்த புல்கர் சேர்த்து, நன்கு கலந்து மேலும் 2 நிமிடங்கள் சமைக்கவும். இதை இன்னும் சத்தானதாக மாற்ற, நான் அதன் மேல் நறுக்கிய பீக்கன்களை தூவியுள்ளேன். நீங்கள் அதன் மேல் கலப்பு விதைகளையும் தூவலாம். அவ்வளவுதான். நிறைவான, சத்தான மற்றும் சுவையான புல்கர் பட்டாணி பிலாஃப் தயார்.
வெங்காய ரைத்தா அல்லது வெள்ளரி ரைத்தா அல்லது கேரட் ரைத்தாவுடன் இதை அனுபவிக்கவும்.</t>
  </si>
  <si>
    <t>https://encrypted-tbn0.gstatic.com/images?q=tbn:ANd9GcTQgg94CnEZpR2Sf23LzE2Mp0ATMQ_AView6Q&amp;s</t>
  </si>
  <si>
    <t>இனிப்பு சோளத்துடன் கூடிய கூஸ்கஸ்</t>
  </si>
  <si>
    <t xml:space="preserve">   Instant Couscous – 3/4 cup,
   Coconut milk – 3/4 cup,
   Water – 3/4 cup,
   Salt to taste,
   Onion – 1 finely chopped,
   Green Chilli – 1 finely chopped,
   Sweet corn – 1 cup heaped,
   Chilli Powder  – 1/4 tsp,
   Coconut oil – 1 1/2 tbsp,
   Cumin Seeds – 1 tsp,
   asafoetida – a pinch,
   Curry leaves – a sprig,
   Coriander Leaves .</t>
  </si>
  <si>
    <t>உடனடி கூஸ்கஸ் - 3/4 கப்,
தேங்காய் பால் - 3/4 கப்,
தண்ணீர் - 3/4 கப்,
ருசிக்க உப்பு,
வெங்காயம் - 1 பொடியாக நறுக்கியது,
பச்சை மிளகாய் - 1 பொடியாக நறுக்கியது,
இனிப்பு சோளம் - 1 கப் குவித்தது,
மிளகாய் தூள் - 1/4 டீஸ்பூன்,
தேங்காய் எண்ணெய் - 1 1/2 டீஸ்பூன்,
சீரகம் - 1 டீஸ்பூன்,
பெருங்காயம் - ஒரு சிட்டிகை,
கறிவேப்பிலை - ஒரு தளிர்,
கொத்தமல்லி இலைகள்.</t>
  </si>
  <si>
    <t>Place couscous in a bowl and add salt to it. Mix 3/4 cup of coconut milk with 3/4 cup of water and bring it to boil. Pour the coconut milk + water mixture over the couscous.
Keep it covered. Let it sit until all liquid is absorbed.
Fluff it with a fork and keep it aside. Heat coconut oil in a pan, add cumin seeds, when it splutters, add hing, curry leaves, finely chopped onions and green chillies.
Saute until onions turn transparent. Add sweet corn, chilli powder and salt needed. Cook covered for a few minutes.
Then add couscous, mix well and cook for a few more seconds. Garnish with finely chopped coriander leaves and serve hot.
Enjoy making this delicious coconut flavored couscous with sweet corn and give me your feedback.</t>
  </si>
  <si>
    <t>ஒரு பாத்திரத்தில் கூஸ்கஸை வைத்து உப்பு சேர்க்கவும். 3/4 கப் தேங்காய் பாலை 3/4 கப் தண்ணீரில் கலந்து கொதிக்க வைக்கவும். தேங்காய் பால் + தண்ணீர் கலவையை கூஸ்கஸின் மேல் ஊற்றவும்.
அதை மூடி வைக்கவும். அனைத்து திரவமும் உறிஞ்சப்படும் வரை அதை அப்படியே வைக்கவும்.
ஒரு முட்கரண்டி கொண்டு அதை பிசைந்து தனியாக வைக்கவும். ஒரு பாத்திரத்தில் தேங்காய் எண்ணெயை சூடாக்கி, சீரகம் சேர்த்து, அது வதங்கியதும், கீல், கறிவேப்பிலை, இறுதியாக நறுக்கிய வெங்காயம் மற்றும் பச்சை மிளகாய் சேர்க்கவும்.
வெங்காயம் தெளிவாகும் வரை வதக்கவும். இனிப்பு சோளம், மிளகாய் தூள் மற்றும் தேவையான உப்பு சேர்க்கவும். மூடி வைத்து சில நிமிடங்கள் சமைக்கவும்.
பின்னர் கூஸ்கஸைச் சேர்த்து, நன்கு கலந்து, இன்னும் சில வினாடிகள் சமைக்கவும். இறுதியாக நறுக்கிய கொத்தமல்லி இலைகளால் அலங்கரித்து சூடாகப் பரிமாறவும்.
இனிப்பு சோளத்துடன் இந்த சுவையான தேங்காய் சுவை கொண்ட கூஸ்கஸைச் செய்து மகிழுங்கள், உங்கள் கருத்தை எனக்குத் தெரிவிக்கவும்.</t>
  </si>
  <si>
    <t>https://encrypted-tbn0.gstatic.com/images?q=tbn:ANd9GcSyPPmkAgyAcL0U-Fjp5GcNTf89CLS2sZ6lYQ&amp;s</t>
  </si>
  <si>
    <t>Lemon Couscous</t>
  </si>
  <si>
    <t>எலுமிச்சை கூஸ்கஸ்</t>
  </si>
  <si>
    <t xml:space="preserve">   Couscous – 1/2 cup,
   Water – 1 cup,
   Salt – 1/4 tsp,
   Oil – 1 tbsp,
   Mustard seeds – 1 tsp,
   Cumin seeds – 1 tsp,
   Curry leaves – a sprig,
   Ginger – 1 inch piece,
   Green chilli – 2 slit,
   Carrot – 1 big,
   Roasted peanuts – 2 tbsp,
   Turmeric powder – 1/4 tsp,
   Salt to taste,
   Fresh lemon juice as needed,
   Fresh Coriander leaves.</t>
  </si>
  <si>
    <t>கூஸ்கஸ் - 1/2 கப்,
தண்ணீர் - 1 கப்,
உப்பு - 1/4 டீஸ்பூன்,
எண்ணெய் - 1 டீஸ்பூன்,
கடுகு - 1 டீஸ்பூன்,
சீரகம் - 1 டீஸ்பூன்,
கறிவேப்பிலை - ஒரு தளிர்,
இஞ்சி - 1 அங்குல துண்டு,
பச்சை மிளகாய் - 2 துண்டு,
கேரட் - 1 பெரியது,
வறுத்த வேர்க்கடலை - 2 டீஸ்பூன்,
மஞ்சள் தூள் - 1/4 டீஸ்பூன்,
சுவைக்கு உப்பு,
தேவைக்கேற்ப புதிய எலுமிச்சை சாறு,
புதிய கொத்தமல்லி இலைகள்.</t>
  </si>
  <si>
    <t>https://encrypted-tbn0.gstatic.com/images?q=tbn:ANd9GcQbklNi0MF-0XmBz0aJhsXkyZfanYJTxXrDdg&amp;s</t>
  </si>
  <si>
    <t xml:space="preserve">   Rice – 1 cup,
   Split black urad dal - 1/2 cup,
   Garlic – 8-10 cloves,
   Fenugreek seeds – 1/4 tsp,
   Salt needed,
   Oil – 1 1/2 tbsp,
   Cumin seeds – 1 tsp,
   Asafoetida – 1/4 tsp,
   Curry leaves – a sprig,
   Grated coconut – 1/4 cup,
   Black Sesame seeds – 1/2 cup,
   Red chillies – 2-3,
   Tamarind – a small piece,
   Salt needed.</t>
  </si>
  <si>
    <t>அரிசி - 1 கப்,
கருப்பு உளுத்தம் பருப்பு - 1/2 கப்,
பூண்டு - 8-10 பல்,
வெந்தயம் விதைகள் - 1/4 தேக்கரண்டி,
உப்பு தேவை,
எண்ணெய் - 1 1/2 தேக்கரண்டி,
சீரகம் - 1 தேக்கரண்டி,
பெருங்காயம் - 1/4 தேக்கரண்டி,
கறிவேப்பிலை - ஒரு தளிர்,
துருவிய தேங்காய் - 1/4 கப்,
கருப்பு எள் - 1/2 கப்,
சிவப்பு மிளகாய் - 2-3,
புளி - ஒரு சிறிய துண்டு,
உப்பு தேவை.</t>
  </si>
  <si>
    <t>Wash both dal and rice together. In a pressure cooker, add the washed rice and dal, fenugreek seeds, garlic, 3 1/2 cups of water and salt needed. (the quantity of water will vary according to the quality of rice used).
Pressure cook on low heat for 2 whistles or until rice is soft.
Open the cooker once the pressure subsides. Heat oil in a pan, add cumin seeds, hing and curry leaves. When cumin seeds sizzle, add grated coconut, saute for a few seconds and add it to the rice dal mixture.
Mix well gently and serve hot with ellu thuvaiyal or even tomato chutney.</t>
  </si>
  <si>
    <t>பருப்பையும் அரிசியையும் ஒன்றாகக் கழுவவும். ஒரு பிரஷர் குக்கரில், கழுவிய அரிசி மற்றும் பருப்பைச் சேர்க்கவும், வெந்தயம், பூண்டு, 3 1/2 கப் தண்ணீர் மற்றும் உப்பு சேர்க்கவும். (பயன்படுத்தப்படும் அரிசியின் தரத்தைப் பொறுத்து தண்ணீரின் அளவு மாறுபடும்).
குறைந்த வெப்பத்தில் 2 விசில் அல்லது அரிசி மென்மையாகும் வரை பிரஷர் சமைக்கவும்.
பிரஷர் குறைந்தவுடன் குக்கரைத் திறக்கவும். ஒரு கடாயில் எண்ணெயை சூடாக்கி, சீரகம், பெருங்காயம் மற்றும் கறிவேப்பிலை சேர்க்கவும். சீரகம் கொதிக்கும் போது, ​​துருவிய தேங்காய் சேர்த்து, சில நொடிகள் வதக்கி, அரிசி பருப்பு கலவையில் சேர்க்கவும்.
மெதுவாக நன்கு கலந்து, எல்லு துவையல் அல்லது தக்காளி சட்னியுடன் சூடாக பரிமாறவும்.</t>
  </si>
  <si>
    <t xml:space="preserve">  Quinoa – 1/2 cup,
   Kidney Beans – 1/3 cup cooked,
   Corn – 1/2 cup,
   Coconut milk – 3/4 cup,
   Water - 1/4 cup,
   Onion – 1 chopped,
   Salt needed,
   Ginger – 1 inch piece,
   Garlic – 2 cloves,
   Green Chilli - 1,
   Fresh mint leaves - fistful,
   Chilli powder – 1/4 tsp,
   Cumin powder – 1 tsp,
   Oil – 2 tbsp,
   Cinnamon – 1 inch piece,
   Cloves – 2,
   Coriander leaves .</t>
  </si>
  <si>
    <t>குயினோவா - 1/2 கப்,
கிட்னி பீன்ஸ் - 1/3 கப் சமைத்த,
சோளம் - 1/2 கப்,
தேங்காய் பால் - 3/4 கப்,
தண்ணீர் - 1/4 கப்,
வெங்காயம் - 1 நறுக்கியது,
உப்பு தேவை,
இஞ்சி - 1 அங்குல துண்டு,
பூண்டு - 2 பல்,
பச்சை மிளகாய் - 1,
புதிய புதினா இலைகள் - ஒரு கைப்பிடி,
மிளகாய் தூள் - 1/4 தேக்கரண்டி,
சீரக தூள் - 1 தேக்கரண்டி,
எண்ணெய் - 2 தேக்கரண்டி,
இலவங்கப்பட்டை - 1 அங்குல துண்டு,
கிராம்பு - 2,
கொத்தமல்லி இலைகள்.</t>
  </si>
  <si>
    <t>Heat oil in a pan, add cloves and cinnamon, saute for a few seconds and then add onions.
Saute until onions turn transparent. Then add the ground paste and saute until the raw flavor of the paste goes.
sauteing onions 
Add chilli powder and cumin powder.
Add coconut milk + water, cooked beans, boiled corn and salt needed. When it starts boiling, add the quinoa and cook covered on low heat.
If you find the quinoa uncooked even after all the liquid has evaporated, you can sprinkle water and cook for a few more minutes until the quinoa is soft.
Garnish with coriander leaves and serve hot with a simple salad or roasted vegetables.</t>
  </si>
  <si>
    <t>ஒரு கடாயில் எண்ணெயை சூடாக்கி, கிராம்பு மற்றும் இலவங்கப்பட்டை சேர்த்து, சில நொடிகள் வதக்கி, பின்னர் வெங்காயத்தைச் சேர்க்கவும்.
வெங்காயம் வெளிப்படையானதாக மாறும் வரை வதக்கவும். பின்னர் அரைத்த விழுதைச் சேர்த்து, பேஸ்டின் பச்சை வாசனை போகும் வரை வதக்கவும்.
வெங்காயம் வதக்கவும்
மிளகாய் தூள் மற்றும் சீரகத் தூள் சேர்க்கவும்.
தேங்காய் பால் + தண்ணீர், சமைத்த பீன்ஸ், வேகவைத்த சோளம் மற்றும் தேவையான அளவு உப்பு சேர்க்கவும். கொதிக்க ஆரம்பித்ததும், குயினோவாவை சேர்த்து, குறைந்த தீயில் மூடி வைத்து சமைக்கவும்.
திரவம் முழுவதும் ஆவியாகிவிட்ட பிறகும் குயினோவா வேகவில்லை என்றால், தண்ணீர் தெளித்து குயினோவா மென்மையாகும் வரை இன்னும் சில நிமிடங்கள் சமைக்கலாம்.
கொத்தமல்லி இலைகளால் அலங்கரித்து, ஒரு எளிய சாலட் அல்லது வறுத்த காய்கறிகளுடன் சூடாகப் பரிமாறவும்.</t>
  </si>
  <si>
    <t>https://encrypted-tbn0.gstatic.com/images?q=tbn:ANd9GcQqn90A5Xfec_g-elWbcNQf0xwBwxOVhlpeKQ&amp;s</t>
  </si>
  <si>
    <t xml:space="preserve">   Bulgur – 1/2 cup,
   Water – 1 cup,
   Salt needed,
   Onion – 1/2 cup thinly sliced,
   Green Chilli – 1 slit,
   Ginger garlic paste – 3/4 tsp,
   Tomato puree – 1/4 cup,
   Carrot – 1/3 cup grated,
   Coriander leaves ,
   Mint leaves – fistful,
   Turmeric powder – 1/4 tsp,
   Coriander powder – 1 tsp,
   Chilli powder – 1/2 tsp,
   Biryani masala powder,
   Oil – 1tbsp,
   Bay leaf – 1,
   Cloves – 2,
   Cinnamon – 1 inch piece,
   Coriander leaves .</t>
  </si>
  <si>
    <t>புல்கூர் - 1/2 கப்,
தண்ணீர் - 1 கப்,
உப்பு தேவை,
வெங்காயம் - 1/2 கப் மெல்லியதாக நறுக்கியது,
பச்சை மிளகாய் - 1 கீற்று,
இஞ்சி பூண்டு விழுது - 3/4 டீஸ்பூன்,
தக்காளி கூழ் - 1/4 கப்,
கேரட் - 1/3 கப் துருவியது,
கொத்தமல்லி இலைகள் ,
புதினா இலைகள் - ஒரு கைப்பிடி அளவு,
மஞ்சள் தூள் - 1/4 டீஸ்பூன்,
கொத்தமல்லி தூள் - 1 டீஸ்பூன்,
மிளகாய் தூள் - 1/2 டீஸ்பூன்,
பிரியாணி மசாலா தூள்,
எண்ணெய் - 1 டீஸ்பூன்,
பிரியாணி இலை - 1,
கிராம்பு - 2,
இலவங்கப்பட்டை - 1 அங்குல துண்டு,
கொத்தமல்லி இலைகள் .</t>
  </si>
  <si>
    <t>Heat oil in a pan, add bay leaf, cinnamon, cloves and saute for a few seconds.
Add thinly sliced onions, green chillies and saute until onions turn transparent.
Add ginger garlic paste and saute for a few more minutes. Then add tomato puree.
Add grated carrot, turmeric powder, coriander powder, chilli powder, biryani masala powder and salt needed.
Cook for a few minutes until the raw flavor of the tomato and the spice powder goes.
Add coriander and mint leaves, mix well and cook for a further 2-3 minutes.
Add cooked bulgur, mix well to coat the masala and cook covered for another 2 minutes.
Remove from heat, garnish with finely chopped coriander leaves and serve hot with salad or any raitha of your choice.</t>
  </si>
  <si>
    <t>ஒரு கடாயில் எண்ணெயை சூடாக்கி, பிரியாணி இலை, இலவங்கப்பட்டை, கிராம்பு சேர்த்து சில நொடிகள் வதக்கவும்.
மெல்லியதாக நறுக்கிய வெங்காயம், பச்சை மிளகாய் சேர்த்து வெங்காயம் வெளிப்படையானதாக மாறும் வரை வதக்கவும்.
இஞ்சி பூண்டு விழுது சேர்த்து இன்னும் சில நிமிடங்கள் வதக்கவும். பின்னர் தக்காளி கூழ் சேர்க்கவும்.
துருவிய கேரட், மஞ்சள் தூள், கொத்தமல்லி தூள், மிளகாய் தூள், பிரியாணி மசாலா தூள் மற்றும் தேவையான அளவு உப்பு சேர்க்கவும்.
தக்காளியின் பச்சை வாசனை போகும் வரை சில நிமிடங்கள் சமைக்கவும், மசாலா தூள் போகும் வரை சமைக்கவும்.
கொத்தமல்லி மற்றும் புதினா இலைகளைச் சேர்த்து, நன்கு கலந்து மேலும் 2-3 நிமிடங்கள் சமைக்கவும்.
சமைத்த புல்கரை சேர்த்து, மசாலா பூச நன்கு கலந்து, மூடி வைத்து மேலும் 2 நிமிடங்கள் சமைக்கவும்.
அடுப்பிலிருந்து இறக்கி, இறுதியாக நறுக்கிய கொத்தமல்லி இலைகளால் அலங்கரித்து, சாலட் அல்லது உங்களுக்கு விருப்பமான எந்த ரைத்தாவுடன் சூடாகப் பரிமாறவும்.</t>
  </si>
  <si>
    <t>https://encrypted-tbn0.gstatic.com/images?q=tbn:ANd9GcR7tZGlIJwYGI1ESkMWuFUIAHOjoh55P8W_wA&amp;s</t>
  </si>
  <si>
    <t xml:space="preserve">   Cooked Rice – as needed,
   Turmeric powder – 1/4 tsp,
   Salt as needed,
   Oil – 2 tsp,
   Curry leaves – 1 cup loosely packed,
   Urad dal – 1 tbsp,
   Red chillies – 4-5,
   Tamarind – small pea sized ball,
   Coconut – 3 tbsp grated,
   Sesame seed oil – 4 tsp,
   Bengal gram dal – 2 tsp,
   Asafoetida – 1/4 tsp,
   Roasted peanuts – 2 tbsp,
   Ghee – 1 tsp.</t>
  </si>
  <si>
    <t>சமைத்த சாதம் - தேவைக்கேற்ப,
மஞ்சள் தூள் - 1/4 தேக்கரண்டி,
உப்பு தேவைக்கேற்ப,
எண்ணெய் - 2 தேக்கரண்டி,
கறிவேப்பிலை - 1 கப் தளர்வாக பேக் செய்யப்பட்டது,
உளுத்தம் பருப்பு - 1 தேக்கரண்டி,
சிவப்பு மிளகாய் - 4-5,
புளி - சிறிய பட்டாணி அளவு உருண்டை,
தேங்காய் - 3 தேக்கரண்டி துருவியது,
எள் எண்ணெய் - 4 தேக்கரண்டி,
கடலை பருப்பு - 2 தேக்கரண்டி,
பெருங்காயம் - 1/4 தேக்கரண்டி,
வறுத்த வேர்க்கடலை - 2 தேக்கரண்டி,
நெய் - 1 தேக்கரண்டி.</t>
  </si>
  <si>
    <t>Heat 2 tsp of oil in a pan, add urad dal, red chillies and tamarind. When dal turns golden brown, add the curry leaves and saute for a few minutes. Then add grated coconut and cook for a further 2-3 minutes. Remove from heat and leave it to cool.
Grind it to a paste without adding water.
Heat 4-5 tsp of sesame seed oil in a pan, add bengal gram (kadalai paruppu), when dal turns golden brown, add hing, turmeric powder, roasted peanuts followed by the ground curry leaves mixture and salt.
Saute the curry leaves mixture/paste for a few seconds and then add needed rice.(check by tasting it)
Mix well and serve with potato curry or chips or appalam. If preferred, (recommended) add a tsp of ghee in the end and mix well.</t>
  </si>
  <si>
    <t>ஒரு கடாயில் 2 தேக்கரண்டி எண்ணெயை சூடாக்கி, உளுத்தம் பருப்பு, சிவப்பு மிளகாய் மற்றும் புளி சேர்க்கவும். பருப்பு பொன்னிறமாக மாறியதும், கறிவேப்பிலை சேர்த்து சில நிமிடங்கள் வதக்கவும். பின்னர் துருவிய தேங்காய் சேர்த்து மேலும் 2-3 நிமிடங்கள் சமைக்கவும். வெப்பத்திலிருந்து நீக்கி ஆற விடவும்.
தண்ணீர் சேர்க்காமல் விழுதாக அரைக்கவும்.
ஒரு கடாயில் 4-5 தேக்கரண்டி எள் எண்ணெயை சூடாக்கி, கடலை பருப்பு சேர்க்கவும், பருப்பு பொன்னிறமாக வதங்கியதும், பெருங்காயம், மஞ்சள் தூள், வறுத்த வேர்க்கடலை சேர்க்கவும், பின்னர் அரைத்த கறிவேப்பிலை கலவை மற்றும் உப்பு சேர்க்கவும்.
கறிவேப்பிலை கலவையை சில நொடிகள் வதக்கி, பின்னர் தேவையான அரிசியைச் சேர்க்கவும். (ருசித்துப் பாருங்கள்)
நன்றாகக் கலந்து உருளைக்கிழங்கு கறி அல்லது சிப்ஸ் அல்லது அப்பளத்துடன் பரிமாறவும். விரும்பினால், (பரிந்துரைக்கப்படுகிறது) இறுதியில் ஒரு தேக்கரண்டி நெய்யைச் சேர்த்து நன்கு கலக்கவும்.</t>
  </si>
  <si>
    <t>https://encrypted-tbn0.gstatic.com/images?q=tbn:ANd9GcRCTHJuUirUh1b71q3mli2fX0xxqCRFsqKclg&amp;s</t>
  </si>
  <si>
    <t>Quinoa Mushroom Stuffed Bell Pepper</t>
  </si>
  <si>
    <t>குயினோவா காளான் ஸ்டஃப்டு பெல் பெப்பர்</t>
  </si>
  <si>
    <t xml:space="preserve">   Quinoa – 1/2 cup,
   Bell Pepper - 3,
   Extra Virgin Olive Oil - 1 tbsp,
   Onion - 1/4 cup chopped,
   Garlic clove – 2 minced,
   Tomato – 3/4 cup very finely chopped,
   Button Mushroom – 1 cup chopped,
   Cumin Powder – 1/2 tsp,
   Chilli Powder – 1/2 tsp,
   Pepper Powder to taste,
   Salt to taste,
   Oregano – 1/2 tsp,
   Basil – 1/2 tsp,
   Grated mozzarella cheese.
</t>
  </si>
  <si>
    <t>குயினோவா - 1/2 கப்,
பெல் பெப்பர் - 3,
கூடுதல் கன்னி ஆலிவ் எண்ணெய் - 1 டீஸ்பூன்,
வெங்காயம் - 1/4 கப் நறுக்கியது,
பூண்டு பல் - 2 துண்டுகள்,
தக்காளி - 3/4 கப் மிக நன்றாக நறுக்கியது,
பட்டன் காளான் - 1 கப் நறுக்கியது,
சீரகப் பொடி - 1/2 டீஸ்பூன்,
மிளகாய்ப் பொடி - 1/2 டீஸ்பூன்,
மிளகு பொடி - ருசிக்க,
உப்பு - ருசிக்க,
ஆர்கனோ - 1/2 டீஸ்பூன்,
துளசி - 1/2 டீஸ்பூன்,
மொஸெரெல்லா சீஸ் துருவவும்.</t>
  </si>
  <si>
    <t>Heat oil in a pan, add finely chopped onions and garlic.
When onions turn transparent, add chopped tomatoes and cook on medium heat for a few minutes.
Add chopped mushrooms, cumin powder, chilli powder, herbs, pepper powder and salt needed. Cook until mushrooms become tender and the gravy thickens.
Stir in cooked quinoa. Now our Mushroom Quinoa stuffing is ready.
Pre-heat the oven at 180 degree C for 15 minutes.
Stuff the bell pepper with the the quinoa + mushroom mixture (see picture below). Arrange the stuffed bell peppers in a baking dish lined with aluminium foil, cover the bell pepper with another aluminium foil (to prevent quinoa from drying) and place it in the middle rack of the oven.
Bake at 180 degree C for 20 minutes or until the bell pepper becomes slightly tender.
Once done remove the bell peppers from the oven, top it with grated cheese and put it back into the oven. Broil for 2-3 minutes or until the cheese melts.(keep an eye when using the broiler mode)
Serve warm. You do not need any side dishes as it tastes good on its own.</t>
  </si>
  <si>
    <t>ஒரு கடாயில் எண்ணெயை சூடாக்கி, இறுதியாக நறுக்கிய வெங்காயம் மற்றும் பூண்டு சேர்க்கவும்.
வெங்காயம் வெளிப்படையானதாக மாறியதும், நறுக்கிய தக்காளியைச் சேர்த்து சில நிமிடங்கள் மிதமான தீயில் சமைக்கவும்.
நறுக்கிய காளான்கள், சீரகப் பொடி, மிளகாய் தூள், மூலிகைகள், மிளகு பொடி மற்றும் தேவையான உப்பு சேர்க்கவும். காளான்கள் மென்மையாகி கிரேவி கெட்டியாகும் வரை சமைக்கவும்.
சமைத்த குயினோவாவை சேர்த்து கிளறவும். இப்போது எங்கள் காளான் குயினோவா ஸ்டஃபிங் தயாராக உள்ளது.
180 டிகிரி செல்சியஸில் அடுப்பை 15 நிமிடங்கள் முன்கூட்டியே சூடாக்கவும்.
குயினோவா + காளான் கலவையுடன் குயினோவா மிளகாயை நிரப்பவும் (கீழே உள்ள படத்தைப் பார்க்கவும்). அலுமினியத் தாளால் வரிசையாக அமைக்கப்பட்ட பேக்கிங் டிஷில் ஸ்டஃப்டு குயினோவா மிளகாயை அடுக்கி, குயினோவா உலராமல் தடுக்க மற்றொரு அலுமினியத் தாளால் பெல் பெப்பரை மூடி, அடுப்பின் நடுவில் வைக்கவும்.
180 டிகிரி செல்சியஸில் 20 நிமிடங்கள் அல்லது குயினோவா மிருதுவாகும் வரை சுடவும்.
முடிந்ததும் குயினோவா மிளகாயை அடுப்பிலிருந்து அகற்றி, அதன் மேல் துருவிய சீஸ் ஊற்றி மீண்டும் அடுப்பில் வைக்கவும். 2-3 நிமிடங்கள் அல்லது சீஸ் உருகும் வரை வேகவைக்கவும். (பிராய்லர் பயன்முறையைப் பயன்படுத்தும்போது கவனமாக இருங்கள்)
சூடாகப் பரிமாறவும். உங்களுக்கு எந்த பக்க உணவுகளும் தேவையில்லை, ஏனெனில் அது தானாகவே நன்றாக ருசிக்கும்.</t>
  </si>
  <si>
    <t>https://encrypted-tbn0.gstatic.com/images?q=tbn:ANd9GcSu2dZVT4F0CENmBp7CZz4fPwoCJS3i_V168g&amp;s</t>
  </si>
  <si>
    <t>Ivy Gourd Rice</t>
  </si>
  <si>
    <t>ஐவி கோட் சாதம்</t>
  </si>
  <si>
    <t xml:space="preserve">   Basmati Rice – 1 cup,
   Onion – 1,
  Tindora – 250 grams,
   Turmeric powder – 1/4 tsp,
   Salt needed,
   Fresh Lemon juice – 2 tsp,
   Masala Paste – Fry and Grind,
   Oil – 3/4 tsp,
   Cumin seeds  – 1 tsp,
   Red Chillies – 5,
   Garlic cloves – 5,
   Pearl onions – 10,
   Grated coconut – 2 tbsp,
   Oil – 3 tbsp,
   Mustard seeds – 1 tsp,
   Curry Leaves – a sprig,
   Fresh Coriander Leaves.</t>
  </si>
  <si>
    <t>பாஸ்மதி அரிசி - 1 கப்,
வெங்காயம் - 1,
திண்டோரா - 250 கிராம்,
மஞ்சள் தூள் - 1/4 தேக்கரண்டி,
உப்பு தேவை,
புதிய எலுமிச்சை சாறு - 2 தேக்கரண்டி,
மசாலா பேஸ்ட் - வறுக்கவும், அரைக்கவும்,
எண்ணெய் - 3/4 தேக்கரண்டி,
சீரகம் - 1 தேக்கரண்டி,
சிவப்பு மிளகாய் - 5,
பூண்டு பல் - 5,
முத்து வெங்காயம் - 10,
தேங்காய் துருவியது - 2 தேக்கரண்டி,
எண்ணெய் - 3 தேக்கரண்டி,
கடுகு விதைகள் - 1 தேக்கரண்டி,
கறிவேப்பிலை - ஒரு தளிர்,
புதிய கொத்தமல்லி இலைகள்.</t>
  </si>
  <si>
    <t>Heat oil, add mustard seeds, when it splutter, add thinly sliced onions, curry leaves and saute until onions turn transparent.
Add thinly sliced ivy gourd, turmeric powder, salt needed and cook covered until ivy gourd becomes tender. Stir in between for even cooking.
Then add the masala paste and cook well for another 5 minutes stirring on medium heat.
Then add the cooked rice, lemon juice and mix gently. Garnish with coriander leaves.
Serve with any raitha, papads or any gravy of your choice. This dish can be packed for office and school lunchbox also.</t>
  </si>
  <si>
    <t>எண்ணெயை சூடாக்கி, கடுகு சேர்த்து, அது வதங்கியதும், மெல்லியதாக நறுக்கிய வெங்காயம், கறிவேப்பிலை சேர்த்து வெங்காயம் தெளிவாகும் வரை வதக்கவும்.
மெல்லியதாக நறுக்கிய ஐவி பூசணி, மஞ்சள் தூள், தேவையான உப்பு சேர்த்து மூடி வைத்து, ஐவி பூசணிக்காய் மென்மையாகும் வரை சமைக்கவும். இடையில் கிளறி சமமாக சமைக்கவும்.
பின்னர் மசாலா பேஸ்ட்டை சேர்த்து மிதமான தீயில் மேலும் 5 நிமிடங்கள் நன்கு வதக்கவும்.
பின்னர் சமைத்த சாதம், எலுமிச்சை சாறு சேர்த்து மெதுவாக கலக்கவும். கொத்தமல்லி இலைகளால் அலங்கரிக்கவும்.
உங்களுக்கு விருப்பமான எந்த ரைத்தா, பப்படம் அல்லது கிரேவியுடனும் பரிமாறவும். இந்த உணவை அலுவலகம் மற்றும் பள்ளி மதிய உணவுப் பெட்டியிலும் பேக் செய்யலாம்.</t>
  </si>
  <si>
    <t>https://encrypted-tbn0.gstatic.com/images?q=tbn:ANd9GcT0Mlow4--cgfU2_G8URo3_6x37MuyZOhBXrA&amp;s</t>
  </si>
  <si>
    <t xml:space="preserve">   Panchratna Dal – 1/4 cup,
   Brown Rice – 1/4 cup,
   White Rice – 1/4 cup,
   Salt needed,
   Turmeric powder – 1/4 tsp,
   Oil – 1 1/2 tbsp,
   Cumin seeds – 1 tsp,
   Cloves – 2,
   Cinnamon – 1 inch piece,
   Asafoetida – a pinch,
   Ginger – 1 inch piece,
   Green chilli - 1 slit,
   Curry Leaves – a sprig,
   Clarified butter/Ghee – 1-2 tsp.</t>
  </si>
  <si>
    <t>பஞ்சரத்னா பருப்பு - 1/4 கப்,
பழுப்பு அரிசி - 1/4 கப்,
வெள்ளை அரிசி - 1/4 கப்,
உப்பு தேவை,
மஞ்சள் தூள் - 1/4 தேக்கரண்டி,
எண்ணெய் - 1 1/2 தேக்கரண்டி,
சீரகம் - 1 தேக்கரண்டி,
கிராம்பு - 2,
இலவங்கப்பட்டை - 1 அங்குல துண்டு,
பெருங்காயம் - ஒரு சிட்டிகை,
இஞ்சி - 1 அங்குல துண்டு,
பச்சை மிளகாய் - 1 துண்டு,
கறிவேப்பிலை - ஒரு துளிர்,
தெளித்த வெண்ணெய்/நெய் - 1-2 தேக்கரண்டி.</t>
  </si>
  <si>
    <t>Quinoa Tomato Bath</t>
  </si>
  <si>
    <t>குயினோவா தக்காளி பாத்</t>
  </si>
  <si>
    <t xml:space="preserve">   Quinoa – 1/2 cup,
   Onion – 1/2 cup chopped,
   Green chilli – 1 slit,
   Ginger – 1 inch piece finely chopped,
   Garlic cloves – 3 finely chopped,
   Tomato puree – 1 cup,
   Turmeric powder – 1/4 tsp,
   Sambar powder – 2 tsp,
   Salt needed,
   Oil – 1 1/2 tbsp,
   Mustard seeds - 1 tsp,
   Curry leaves – a sprig,
   Coriander leaves .
</t>
  </si>
  <si>
    <t>குயினோவா - 1/2 கப்,
வெங்காயம் - 1/2 கப் நறுக்கியது,
பச்சை மிளகாய் - 1 கீற்று,
இஞ்சி - 1 அங்குல துண்டு நன்றாக நறுக்கியது,
பூண்டு பல் - 3 நன்றாக நறுக்கியது,
தக்காளி கூழ் - 1 கப்,
மஞ்சள் தூள் - 1/4 தேக்கரண்டி,
சாம்பார் பொடி - 2 தேக்கரண்டி,
உப்பு தேவை,
எண்ணெய் - 1 1/2 தேக்கரண்டி,
கடுகு - 1 தேக்கரண்டி,
கறிவேப்பிலை - ஒரு தளிர்,
கொத்தமல்லி இலைகள்.</t>
  </si>
  <si>
    <t xml:space="preserve">Heat oil in a pan, add mustard seeds, when it splutters, add curry leaves, onion, ginger and garlic. Add little salt and saute until onions turn transparent.
Add tomato puree, sambar powder, turmeric powder and salt needed. (we have added salt while cooking the onions, so add accordingly).
Cook until the rawness of the tomato goes and it oozes out oil. See the difference between the picture above and below. Cook the tomatoes well like that on medium flame stirring from time to time.
Once the tomato puree is cooked well as shown above, fluff quinoa with a fork and add to the tomato mixture.
Mix well until the quinoa is well coated with the tomato mixture. Check for salt and remove from heat. Garnish with finely chopped coriander leaves.
Serve hot with any raita or pachadi or salad of your choice. It will take only 15-20 minutes to prepare this dish. While the quinoa is cooking, you can make the tomato gravy and save a lot of time. </t>
  </si>
  <si>
    <t>ஒரு கடாயில் எண்ணெயை சூடாக்கி, கடுகு சேர்த்து, அது வதங்கியதும், கறிவேப்பிலை, வெங்காயம், இஞ்சி மற்றும் பூண்டு சேர்க்கவும். சிறிது உப்பு சேர்த்து வெங்காயம் வெளிப்படையானதாக மாறும் வரை வதக்கவும்.
தக்காளி கூழ், சாம்பார் பொடி, மஞ்சள் தூள் மற்றும் தேவையான உப்பு சேர்க்கவும். (வெங்காயத்தை சமைக்கும் போது உப்பு சேர்த்துள்ளோம், அதன்படி சேர்க்கவும்).
தக்காளியின் பச்சைத்தன்மை போய் எண்ணெய் வெளியேறும் வரை சமைக்கவும். மேலே உள்ள படத்திற்கும் கீழே உள்ள படத்திற்கும் உள்ள வித்தியாசத்தைப் பாருங்கள். அவ்வப்போது கிளறி மிதமான தீயில் தக்காளியை நன்றாக வேக வைக்கவும்.
மேலே காட்டப்பட்டுள்ளபடி தக்காளி கூழ் நன்றாக வெந்தவுடன், ஒரு முட்கரண்டி கொண்டு குயினோவாவை பிசைந்து தக்காளி கலவையில் சேர்க்கவும்.
குயினோவா தக்காளி கலவையுடன் நன்கு பூசப்படும் வரை நன்கு கலக்கவும். உப்பு சரிபார்த்து அடுப்பிலிருந்து அகற்றவும். இறுதியாக நறுக்கிய கொத்தமல்லி இலைகளால் அலங்கரிக்கவும்.
உங்களுக்கு விருப்பமான எந்த ரைத்தா அல்லது பச்சடி அல்லது சாலட்டுடனும் சூடாக பரிமாறவும். இந்த உணவை தயாரிக்க 15-20 நிமிடங்கள் மட்டுமே ஆகும். குயினோவா சமைக்கும் போது, ​​நீங்கள் தக்காளி கிரேவி செய்து நிறைய நேரத்தை மிச்சப்படுத்தலாம்.</t>
  </si>
  <si>
    <t>https://encrypted-tbn0.gstatic.com/images?q=tbn:ANd9GcTKxyiki0aeqn875f9br6NgjEv-xtqrwui1nA&amp;s</t>
  </si>
  <si>
    <t xml:space="preserve">    precooked couscous - 1/2 cup,
   Mushroom – 2 cups,
   Onion – 1 1/2 cup thinly sliced,
   Green chillies – 2 slit,
   Ginger-garlic paste – 1 tsp,
   frozen peas – 1/2 cup,
   Mint leaves – 1/2 cup chopped,
   Fresh coriander leaves – 1/4 cup chopped,
   Salt to taste,
   Turmeric powder - 1/4 tsp,
   cayenne pepper - 1/2 tsp,
   Oil – 2 tbsp,
   Cinnamon - 1 inch piece,
   Cloves – 2.</t>
  </si>
  <si>
    <t>முன் சமைத்த கூஸ்கஸ் - 1/2 கப்,
காளான் - 2 கப்,
வெங்காயம் - 1 1/2 கப் மெல்லியதாக நறுக்கியது,
பச்சை மிளகாய் - 2 துண்டுகள்,
இஞ்சி-பூண்டு விழுது - 1 தேக்கரண்டி,
உறைந்த பட்டாணி - 1/2 கப்,
புதினா இலைகள் - 1/2 கப் நறுக்கியது,
புதிய கொத்தமல்லி இலைகள் - 1/4 கப் நறுக்கியது,
சுவைக்கு உப்பு,
மஞ்சள் தூள் - 1/4 தேக்கரண்டி,
குடை மிளகாய் - 1/2 தேக்கரண்டி,
எண்ணெய் - 2 தேக்கரண்டி,
இலவங்கப்பட்டை - 1 அங்குல துண்டு,
கிராம்பு - 2.</t>
  </si>
  <si>
    <t xml:space="preserve">Heat oil in a pan, add cinnamon and cloves. Saute for a few seconds and then add onions and green chillies.
Saute until onions turn transparent. Add ginger garlic paste and saute for a few more minutes.
Add mushrooms, salt needed and turmeric powder.
Cook mushrooms until tender.
Add par boiled peas and mix well.
Add mint, coriander leaves and cook until they wilt.
Add chilli powder and cook for a few more minutes.
Fluff couscous and add to the above mixture.
Mix well and serve hot with any salad or roasted vegetables. Enjoy!!
 </t>
  </si>
  <si>
    <t>ஒரு கடாயில் எண்ணெயை சூடாக்கி, இலவங்கப்பட்டை மற்றும் கிராம்பு சேர்க்கவும். சில நொடிகள் வதக்கி, பின்னர் வெங்காயம் மற்றும் பச்சை மிளகாய் சேர்க்கவும்.
வெங்காயம் வெளிப்படையானதாக மாறும் வரை வதக்கவும். இஞ்சி பூண்டு விழுது சேர்த்து மேலும் சில நிமிடங்கள் வதக்கவும்.
காளான்கள், தேவையான அளவு உப்பு மற்றும் மஞ்சள் தூள் சேர்க்கவும்.
காளான்களை மென்மையாகும் வரை சமைக்கவும்.
வேகவைத்த பட்டாணி சேர்த்து நன்கு கலக்கவும்.
புதினா, கொத்தமல்லி இலைகளைச் சேர்த்து அவை வாடும் வரை சமைக்கவும்.
மிளகாய்த் தூள் சேர்த்து இன்னும் சில நிமிடங்கள் சமைக்கவும்.
கூஸ்கஸை மென்மையாக்கி மேலே உள்ள கலவையுடன் சேர்க்கவும்.
நன்றாகக் கலந்து, எந்த சாலட் அல்லது வறுத்த காய்கறிகளுடனும் சூடாகப் பரிமாறவும். மகிழுங்கள்!!</t>
  </si>
  <si>
    <t>Tomato Chickpea Quinoa Soup</t>
  </si>
  <si>
    <t>தக்காளி கொண்டைக்கடலை குயினோவா சூப்</t>
  </si>
  <si>
    <t xml:space="preserve">   Quinoa – 1/2 cup,
   Vegetable Stock – 2 cups,
   Tomato Puree – 1 cup,
   Chickpeas – 1/4 cup,
   Extra Virgin Olive oil – 1 tbsp,
   Onion - 1 medium size,
   Garlic – 3-4 cloves,
   Carrot – 1,
   Salt to taste,
   Pepper Powder to taste,
   Basil – 1/2 tsp,
   Oregano - 1/2 tsp.</t>
  </si>
  <si>
    <t>குயினோவா - 1/2 கப்,
காய்கறி குழம்பு - 2 கப்,
தக்காளி கூழ் - 1 கப்,
கொண்டைக்கடலை - 1/4 கப்,
கூடுதல் கன்னி ஆலிவ் எண்ணெய் - 1 டீஸ்பூன்,
வெங்காயம் - 1 நடுத்தர அளவு,
பூண்டு - 3-4 பல்,
கேரட் - 1,
சுவைக்கு உப்பு,
சுவைக்கு மிளகு தூள்,
துளசி - 1/2 டீஸ்பூன்,
ஆர்கனோ - 1/2 டீஸ்பூன்.</t>
  </si>
  <si>
    <t>Heat oil in a pan, add onion, garlic and saute until onion turns transparent.
Add chopped carrots and cook for a few minutes.
Add rinsed quinoa, vegetable stock, salt needed and tomato puree.
When it starts boiling, simmer and cook until the quinoa is cooked through.
Add cooked chickpeas, pepper powder, basil, oregano and cook for another 2-3 minutes until everything gets mixed well and the soup is piping hot.
Healthy, filling and delicious chickpea quinoa soup is ready to be served.
Serve this soup piping hot with crusty bread on the side.</t>
  </si>
  <si>
    <t>ஒரு கடாயில் எண்ணெயை சூடாக்கி, வெங்காயம், பூண்டு சேர்த்து வெங்காயம் வெளிப்படையானதாக மாறும் வரை வதக்கவும்.
நறுக்கிய கேரட்டைச் சேர்த்து சில நிமிடங்கள் சமைக்கவும்.
கழுவிய குயினோவா, காய்கறி குழம்பு, தேவையான உப்பு மற்றும் தக்காளி கூழ் சேர்க்கவும்.
அது கொதிக்க ஆரம்பித்ததும், குயினோவா வேகும் வரை கொதிக்க வைக்கவும்.
சமைத்த கொண்டைக்கடலை, மிளகு தூள், துளசி, ஆர்கனோ சேர்த்து மேலும் 2-3 நிமிடங்கள் எல்லாம் நன்றாகக் கலந்து சூப் சூடாகும் வரை சமைக்கவும்.
ஆரோக்கியமான, நிரப்பு மற்றும் சுவையான கொண்டைக்கடலை குயினோவா சூப் பரிமாற தயாராக உள்ளது.
இந்த சூப்பை பக்கவாட்டில் மொறுமொறுப்பான ரொட்டியுடன் சூடாகப் பரிமாறவும்.</t>
  </si>
  <si>
    <t>https://encrypted-tbn0.gstatic.com/images?q=tbn:ANd9GcRmP6HNWveRV-TkmpFjPvBL4RsrpRgQlHhYPA&amp;s</t>
  </si>
  <si>
    <t xml:space="preserve">   Rice – 1/2 cup,
   Moong Dal - 1 1/2 tbsp,
   Tur dal - 1 1/2 tbsp,
   Onion - 1 big,
   Garlic – 3-4 cloves finely chopped,
   Ginger - 1 inch piece finely chopped,
   Green chilli - 1 slit,
   Tomato – 1 big,
   Turmeric powder – 1/4 tsp,
   Chilli powder – 1/2 tsp,
   Salt needed,
   Oil + ghee – 1 tbsp,
   Cumin seeds – 1 tsp,
   Bay leaf – 1,
   Curry leaves – few.</t>
  </si>
  <si>
    <t>அரிசி - 1/2 கப்,
பாசிப்பருப்பு - 1 1/2 டீஸ்பூன்,
துவரம் பருப்பு - 1 1/2 டீஸ்பூன்,
வெங்காயம் - 1 பெரியது,
பூண்டு - 3-4 பல் நன்றாக நறுக்கியது,
இஞ்சி - 1 அங்குல துண்டு நன்றாக நறுக்கியது,
பச்சை மிளகாய் - 1 துண்டு,
தக்காளி - 1 பெரியது,
மஞ்சள் தூள் - 1/4 டீஸ்பூன்,
மிளகாய் தூள் - 1/2 டீஸ்பூன்,
உப்பு தேவை,
எண்ணெய் + நெய் - 1 டீஸ்பூன்,
சீரகம் - 1 டீஸ்பூன்,
பிரியாணி இலை - 1,
கறிவேப்பிலை - சிறிதளவு.</t>
  </si>
  <si>
    <t xml:space="preserve">Heat oil + ghee in a pan, add cumin seeds, bay leaf and curry leaves. When cumin seeds sizzle, add chopped onion, garlic, ginger and green chilli. Saute until onion browns lightly.
Add chopped tomatoes, turmeric powder, chilli powder and salt needed.
Cook until tomatoes turn soft and mushy.
Add the cooked rice and dal mixture to the onion tomato mixture.
Add 1 1/2 cup of warm water and mix everything well. Cook on low heat for 3-4 minutes or until everything gets blended well. Check for salt by tasting the khichdi. Add if required.
Drizzle a tsp of ghee and serve piping hot.
</t>
  </si>
  <si>
    <t>ஒரு பாத்திரத்தில் எண்ணெய் + நெய்யை சூடாக்கி, சீரகம், பிரியாணி இலை மற்றும் கறிவேப்பிலை சேர்க்கவும். சீரகம் கொதிக்கும் போது, ​​நறுக்கிய வெங்காயம், பூண்டு, இஞ்சி மற்றும் பச்சை மிளகாய் சேர்க்கவும். வெங்காயம் லேசாக பழுப்பு நிறமாகும் வரை வதக்கவும்.
நறுக்கிய தக்காளி, மஞ்சள் தூள், மிளகாய் தூள் மற்றும் தேவையான உப்பு சேர்க்கவும்.
தக்காளி மென்மையாகவும் மென்மையாகவும் மாறும் வரை சமைக்கவும்.
வெங்காய தக்காளி கலவையில் சமைத்த அரிசி மற்றும் பருப்பு கலவையை சேர்க்கவும்.
1 1/2 கப் வெதுவெதுப்பான நீரைச் சேர்த்து எல்லாவற்றையும் நன்றாகக் கலக்கவும். குறைந்த தீயில் 3-4 நிமிடங்கள் அல்லது அனைத்தும் நன்றாகக் கலக்கும் வரை சமைக்கவும். கிச்சடியை ருசித்துப் பார்த்து உப்பு இருக்கிறதா என்று பாருங்கள். தேவைப்பட்டால் சேர்க்கவும்.
ஒரு தேக்கரண்டி நெய்யைத் தூவி, சூடாகப் பரிமாறவும்.</t>
  </si>
  <si>
    <t>முட்டை பிரியாணி</t>
  </si>
  <si>
    <t xml:space="preserve"> Basmati Rice – 1 cup,
   Onion – 2 ,
   Cashew nuts - 10,
   Green chillies – 2,
   Ginger-garlic paste – 1 1/2 tsp,
   Coriander leaves – fistful,
   Mint leaves – fistful,
   plain yogurt – 3 tbsp,
   Fried Onions – 2 tbsp,
   Salt needed,
   Turmeric powder – 1/4 tsp,
   Chilli Powder – 1 tsp,
   Biryani Masala Powder – 1 tbsp,
   Garam Masala Powder – 1 tsp,
   Eggs - 3,
   Red chilli powder - 1/2 tsp,
   Gram flour/besan - 1 tsp,
   Salt needed,
   Oil – 2 tbsp,
   Ghee – 2 tsp,
   Cinnamon – 1 inch piece,
   Cardamom – 1,
   Cloves – 2,
   Shah jeera – 1 tsp,
   Sea Weed/Kadal pasi – little,
   Fried Onions – 1 tbsp,
   Coriander Leaves ,
   Mint leaves – 1 tbsp finely chopped,
   Ghee/clarified butter - 1 tsp,
   Saffron – 3-4 strands,
   Milk – 1 tbsp.</t>
  </si>
  <si>
    <t>பாஸ்மதி அரிசி - 1 கப்,
வெங்காயம் - 2 ,
முந்திரி பருப்பு - 10,
பச்சை மிளகாய் - 2,
இஞ்சி-பூண்டு விழுது - 1 1/2 தேக்கரண்டி,
கொத்தமல்லி இலை - ஒரு கைப்பிடி,
புதினா இலை - ஒரு கைப்பிடி,
வெந்தய தயிர் - 3 தேக்கரண்டி,
வறுத்த வெங்காயம் - 2 தேக்கரண்டி,
உப்பு தேவை,
மஞ்சள் தூள் - 1/4 தேக்கரண்டி,
மிளகாய் தூள் - 1 தேக்கரண்டி,
பிரியாணி மசாலா தூள் - 1 தேக்கரண்டி,
கரம் மசாலா தூள் - 1 தேக்கரண்டி,
முட்டை - 3,
சிவப்பு மிளகாய் தூள் - 1/2 தேக்கரண்டி,
கடலை மாவு/பெசன் - 1 தேக்கரண்டி,
உப்பு தேவை,
எண்ணெய் - 2 தேக்கரண்டி,
நெய் - 2 தேக்கரண்டி,
இலவங்கப்பட்டை - 1 அங்குல துண்டு,
ஏலக்காய் - 1,
கிராம்பு - 2,
ஷா ஜீரா - 1 தேக்கரண்டி,
கடலை/கடல் பாசி - சிறிது,
வறுத்த வெங்காயம் - 1 தேக்கரண்டி,
கொத்தமல்லி இலைகள்,
புதினா இலைகள் - 1 டேபிள் ஸ்பூன் நன்றாக நறுக்கியது,
நெய்/தெளிவூட்டப்பட்ட வெண்ணெய் - 1 டேபிள் ஸ்பூன்,
குங்குமப்பூ - 3-4 இழைகள்,
பால் - 1 டேபிள் ஸ்பூன்.</t>
  </si>
  <si>
    <t xml:space="preserve">Heat oil + ghee and add the ingredients mentioned under seasoning.
After cumin seeds sizzles, add thinly sliced onion and saute until it turns golden brown. Add salt to speed up the process.
sauteing onions
Add cashew nuts, slit green chillies and saute for a few more minutes.
Add ginger-garlic paste and saute until the raw flavor of the ginger goes.
Add mint and coriander leaves.
Add chilli powder, turmeric powder, biryani masala, garam masala powder and salt needed. Saute well on medium flame until the raw flavor of the spice powder goes.
Add yogurt/curd and cook for a further 3-4 minutes.
Add fried onions and mix well.
Add 1 1/2 – 1 3/4 cup of water. When water starts boiling, add basmati rice. Mix well and cook covered. Check for salt by tasting the water. If it is slightly salty, it will be perfect once rice is cooked.
When rice is three fourth done, you will see holes appearing on the surface. Add a tbsp fried onions, coriander leaves, mint leaves kept for garnishing, saffron soaked in milk and a tsp of ghee.
Reduce the heat to low and cook covered for another 5 minutes or until all the water is absorbed and the rice is soft.
</t>
  </si>
  <si>
    <t>எண்ணெய் + நெய்யை சூடாக்கி, தாளிக்கக் குறிப்பிடப்பட்டுள்ள பொருட்களைச் சேர்க்கவும்.
சீரகம் வதங்கிய பிறகு, மெல்லியதாக நறுக்கிய வெங்காயத்தைச் சேர்த்து, பொன்னிறமாகும் வரை வதக்கவும். செயல்முறையை விரைவுபடுத்த உப்பு சேர்க்கவும்.
வெங்காயம் வதக்கவும்
முந்திரி, பச்சை மிளகாய் சேர்த்து இன்னும் சில நிமிடங்கள் வதக்கவும்.
இஞ்சி-பூண்டு விழுதைச் சேர்த்து, இஞ்சியின் பச்சை வாசனை போகும் வரை வதக்கவும்.
புதினா மற்றும் கொத்தமல்லி இலைகளைச் சேர்க்கவும்.
மிளகாய் தூள், மஞ்சள் தூள், பிரியாணி மசாலா, கரம் மசாலா தூள் மற்றும் தேவையான உப்பு சேர்க்கவும். மசாலாப் பொடியின் பச்சை வாசனை போகும் வரை மிதமான தீயில் நன்கு வதக்கவும்.
தயிர்/தயிர் சேர்த்து மேலும் 3-4 நிமிடங்கள் சமைக்கவும்.
வறுத்த வெங்காயத்தைச் சேர்த்து நன்கு கலக்கவும்.
1 1/2 – 1 3/4 கப் தண்ணீர் சேர்க்கவும். தண்ணீர் கொதிக்க ஆரம்பித்ததும், பாஸ்மதி அரிசியைச் சேர்க்கவும். நன்றாகக் கலந்து மூடி வைத்து சமைக்கவும். தண்ணீரை ருசித்துப் பார்த்து உப்பு இருக்கிறதா என்று சரிபார்க்கவும். அது சிறிது உப்பு இருந்தால், அரிசி வெந்ததும் அது சரியாகிவிடும்.
அரிசி மூன்று பங்கு வெந்ததும், மேற்பரப்பில் துளைகள் தோன்றும். ஒரு டீஸ்பூன் வறுத்த வெங்காயம், கொத்தமல்லி இலைகள், அலங்கரிக்க வைத்திருந்த புதினா இலைகள், பாலில் ஊறவைத்த குங்குமப்பூ மற்றும் ஒரு டீஸ்பூன் நெய் சேர்க்கவும்.
தீயைக் குறைத்து, மூடி வைத்து மேலும் 5 நிமிடங்கள் அல்லது தண்ணீர் முழுவதும் உறிஞ்சப்பட்டு அரிசி மென்மையாகும் வரை சமைக்கவும்.</t>
  </si>
  <si>
    <t>https://palatesdesire.com/wp-content/uploads/2022/05/Egg-biryani-recipe@palates-desire.jpg</t>
  </si>
  <si>
    <t xml:space="preserve">   Instant Couscous – 1/2 cup,
   Cauliflower florets – 1 cup,
    frozen peas – 1/3 cup,
   Onion – 1/2 cup chopped,
   Ginger – 1 inch piece,
   Garlic – 3 cloves,
   Ripe Tomatoes – 2,
   Turmeric powder – 1/4 tsp,
   Cayenne pepper – 1/2 tsp,
   Salt needed,
   Oil - 1 tbsp,
   Mix of toasted edible seeds – 2 tbsp,
   Coriander leaves.</t>
  </si>
  <si>
    <t>உடனடி கூஸ்கஸ் - 1/2 கப்,
காலிஃபிளவர் பூக்கள் - 1 கப்,
உறைந்த பட்டாணி - 1/3 கப்,
வெங்காயம் - 1/2 கப் நறுக்கியது,
இஞ்சி - 1 அங்குல துண்டு,
பூண்டு - 3 பல்,
பழுத்த தக்காளி - 2,
மஞ்சள் தூள் - 1/4 தேக்கரண்டி,
கெய்ன் மிளகு - 1/2 தேக்கரண்டி,
உப்பு தேவை,
எண்ணெய் - 1 தேக்கரண்டி,
வறுத்த உண்ணக்கூடிய விதைகள் கலவை - 2 தேக்கரண்டி,
கொத்தமல்லி இலைகள்.</t>
  </si>
  <si>
    <t>Heat oil, add onion, ginger, garlic and saute until onions turn transparent.
Then add tomato puree, peas, chilli powder, turmeric powder and salt needed.
Cook until the raw flavor of the tomato goes. Add blanched cauliflower and cook for a few more minutes. Do not overcook the cauliflowers. It should retain its crunchiness.
Fluff couscous with a fork and add to the tomato + cauliflower + peas mixture. Mix well until the couscous is well coated with the gravy/sauce. Cook on low flame for another 2-3 minutes and remove from heat.
Garnish with toasted nuts and finely chopped coriander leaves. Serve hot with a simple raitha or salad.
Adults and kids alike will love this colorful, healthy and delicious couscous with cauliflower.</t>
  </si>
  <si>
    <t xml:space="preserve">   Bulgur - 1/2 cup,
   Moong dal – 1/4 cup,
   Onion - 1,
   Tomato - 1,
   Green chilli - 1,
   Ginger - 1 inch piece ,
   Turmeric powder - 1/4 tsp,
   Sambar powder - 1/2 tsp,
   Salt needed,
   Ghee - 1 tsp,
   Oil –  2 tbsp,
   Mustard seeds - 3/4 tsp,
   Cumin seeds - 3/4 tsp,
   Hing – a pinch,
   Curry leaves – a sprig,
   Coriander leaves.</t>
  </si>
  <si>
    <t>புல்கூர் - 1/2 கப்,
பாசிப்பருப்பு - 1/4 கப்,
வெங்காயம் - 1,
தக்காளி - 1,
பச்சை மிளகாய் - 1,
இஞ்சி - 1 அங்குல துண்டு,
மஞ்சள் தூள் - 1/4 தேக்கரண்டி,
சாம்பார் பொடி - 1/2 தேக்கரண்டி,
உப்பு தேவை,
நெய் - 1 தேக்கரண்டி,
எண்ணெய் - 2 தேக்கரண்டி,
கடுகு - 3/4 தேக்கரண்டி,
சீரகம் - 3/4 தேக்கரண்டி,
பெருங்காயம் - ஒரு சிட்டிகை,
கறிவேப்பிலை - ஒரு தளிர்,
கொத்தமல்லி இலைகள்.</t>
  </si>
  <si>
    <t xml:space="preserve">Heat oil in a pan or small cooker, add mustard seeds, cumin seeds, when it sizzles, add hing, onion, green chilli, ginger and curry leaves.
Saute until onions turn transparent. Then add finely chopped tomatoes, turmeric powder, sambar powder.
sauteing onion and tomato
Saute for 3-4 minutes and then add soaked dal, salt needed and a cup of water.
Pressure cook for 2-3 whistles or you can cook in a pan but will take a longer time. When pressure subisdes, open the cooker, mash the dal slightly and add the soaked bulgur along with the water if any.
Mix well and simmer for 3-4 minutes. Drizzle a tsp of ghee and garnish with finely chopped coriander leaves.
Serve piping hot bulgur khichdi with raitha or pickle or potato chips.
</t>
  </si>
  <si>
    <t>ஒரு கடாயில் அல்லது சிறிய குக்கரில் எண்ணெயை சூடாக்கி, கடுகு, சீரகம் சேர்த்து, அது கொதித்ததும், பெருங்காயம், வெங்காயம், பச்சை மிளகாய், இஞ்சி மற்றும் கறிவேப்பிலை சேர்க்கவும்.
வெங்காயம் வெளிப்படையானதாக மாறும் வரை வதக்கவும். பின்னர் இறுதியாக நறுக்கிய தக்காளி, மஞ்சள் தூள், சாம்பார் பொடி சேர்க்கவும்.
வெங்காயம் மற்றும் தக்காளியை வதக்கவும்
3-4 நிமிடங்கள் வதக்கி, பின்னர் ஊறவைத்த பருப்பு, தேவையான உப்பு மற்றும் ஒரு கப் தண்ணீர் சேர்க்கவும்.
பிரஷர் குக் 2-3 விசில்கள் அல்லது ஒரு பாத்திரத்தில் சமைக்கலாம், ஆனால் அதிக நேரம் எடுக்கும். பிரஷர் குறைந்தவுடன், குக்கரைத் திறந்து, பருப்பை லேசாக மசித்து, ஊறவைத்த புல்கரை தண்ணீருடன் சேர்த்து சேர்க்கவும்.
நன்றாகக் கலந்து 3-4 நிமிடங்கள் கொதிக்க விடவும். ஒரு தேக்கரண்டி நெய்யைத் தடவி, இறுதியாக நறுக்கிய கொத்தமல்லி இலைகளால் அலங்கரிக்கவும்.
சூடான புல்கூர் கிச்சடியை ரைத்தா அல்லது ஊறுகாய் அல்லது உருளைக்கிழங்கு சிப்ஸுடன் பரிமாறவும்.</t>
  </si>
  <si>
    <t>https://encrypted-tbn0.gstatic.com/images?q=tbn:ANd9GcQsmREU8fRodDvjUlFXpm-A6OiHl2U6fZjU2g&amp;s</t>
  </si>
  <si>
    <t xml:space="preserve">   Bulgur - 1/2 cup,
   Water – 3/4 cup,
   Onion - 1 medium size,
   Ginger - 1 inch piece finely chopped,
   Green chilli - 1 slit,
   Garlic - 3 cloves finely chopped,
   Beans – 4-5,
   Carrot – 1,
   Bell Pepper - 1/3 cup,
   Coriander leaves,
   Fresh mint leaves,
   Chilli powder - 1/4 tsp,
   Salt needed,
   Oil - 1 tbsp,
   Cinnamon - 1 inch piece,
   Cloves - 2,
   Coriander leaves.</t>
  </si>
  <si>
    <t>புல்கூர் - 1/2 கப்,
தண்ணீர் - 3/4 கப்,
வெங்காயம் - 1 நடுத்தர அளவு,
இஞ்சி - 1 அங்குல துண்டு நன்றாக நறுக்கியது,
பச்சை மிளகாய் - 1 துண்டு,
பூண்டு - 3 பல் நன்றாக நறுக்கியது,
பீன்ஸ் - 4-5,
கேரட் - 1,
பெல் பெப்பர் - 1/3 கப்,
கொத்தமல்லி இலைகள்,
புதிய புதினா இலைகள்,
மிளகாய் தூள் - 1/4 தேக்கரண்டி,
உப்பு தேவை,
எண்ணெய் - 1 தேக்கரண்டி,
இலவங்கப்பட்டை - 1 அங்குல துண்டு,
கிராம்பு - 2,
கொத்தமல்லி இலைகள்.</t>
  </si>
  <si>
    <t>https://encrypted-tbn0.gstatic.com/images?q=tbn:ANd9GcS3WkkKk80aAaNdB4Xi4K-vklTngN40fw9rvA&amp;s</t>
  </si>
  <si>
    <t xml:space="preserve">   Onion – 1 ,
   Tomato – 2 ,
   Mixed Vegetables – 1 cup,
   Tamarind – Marble sized ball,
   Turmeric Powder – 1/4 tsp,
   Tur Dal – 1/4 cup,
   Quick cooking Oats - 3/4 cup,
   Bisi bela bath Powder - 2 1/2 -3 tbsp,
   Salt needed,
   Oil – 1 1/2 tbsp,
   Mustard seeds - 1 tsp,
   Fenugreek seeds - 1/4 tsp,
   Red chilli - 1,
   Asafoetida – a pinch,
   Curry Leaves - 2 sprigs,
   Ghee - 1-2 tsp,
   Coriander leaves.</t>
  </si>
  <si>
    <t>வெங்காயம் - 1 ,
தக்காளி - 2 ,
காய்கறி கலவை - 1 கப்,
புளி - பளிங்கு அளவு உருண்டை,
மஞ்சள் தூள் - 1/4 தேக்கரண்டி,
துவரம் பருப்பு - 1/4 கப்,
விரைவாக சமைக்கும் ஓட்ஸ் - 3/4 கப்,
பிசி பேலா பாத் பவுடர் - 2 1/2 -3 தேக்கரண்டி,
உப்பு தேவை,
எண்ணெய் - 1 1/2 தேக்கரண்டி,
கடுகு - 1 தேக்கரண்டி,
வெந்தயம் - 1/4 தேக்கரண்டி,
சிவப்பு மிளகாய் - 1,
பெருங்காயம் - ஒரு சிட்டிகை,
கறிவேப்பிலை - 2 தளிர்கள்,
நெய் - 1-2 தேக்கரண்டி,
கொத்தமல்லி இலைகள்.</t>
  </si>
  <si>
    <t>https://5.imimg.com/data5/TI/OG/GLADMIN-14086502/oats-bisi-bele-bhath-500x500.jpg</t>
  </si>
  <si>
    <t>Mochai Kottai Biryani</t>
  </si>
  <si>
    <t>மொச்சை கொட்டை பிரியாணி</t>
  </si>
  <si>
    <t xml:space="preserve">   Basmati Rice – 1 cup,
   Onion - 1 cup,
   Tomato – 1/2 cup,
   Potato - 1/2 cup,
   Turmeric powder – a pinch,
   Fresh Mochai - 3/4 cup,
   Curd – 2 tbsp,
   Mint leaves – fistful,
   Coriander leaves – fistful,
   Salt needed,
   Coconut milk - 1/2 cup,
   Water - 1 1/2 cup,
   Cinnamon – 1 inch piece,
   Cloves - 2,
   Coriander seeds - 2 tsp,
   Cumin seeds - 1 tsp,
   Bengal gram – 2 tsp,
   Red Chillies - 2,
   Green chillies - 1,
   Ginger – 1 inch piece,
   Garlic cloves - 4-5,
   Oil – 2 tbsp,
   Cinnamon - 1 inch piece,
   Cloves - 2.</t>
  </si>
  <si>
    <t>பாஸ்மதி அரிசி - 1 கப்,
வெங்காயம் - 1 கப்,
தக்காளி - 1/2 கப்,
உருளைக்கிழங்கு - 1/2 கப்,
மஞ்சள் தூள் - ஒரு சிட்டிகை,
புதிதாக மொச்சை - 3/4 கப்,
தயிர் - 2 டீஸ்பூன்,
புதினா இலைகள் - ஒரு கைப்பிடி,
கொத்தமல்லி இலைகள் - ஒரு கைப்பிடி,
உப்பு தேவை,
தேங்காய் பால் - 1/2 கப்,
தண்ணீர் - 1 1/2 கப்,
இலவங்கப்பட்டை - 1 அங்குல துண்டு,
கிராம்பு - 2,
கொத்தமல்லி விதைகள் - 2 டீஸ்பூன்,
சீரகம் - 1 டீஸ்பூன்,
சிவப்பு மிளகாய் - 2,
பச்சை மிளகாய் - 1,
இஞ்சி - 1 அங்குல துண்டு,
பூண்டு பல் - 4-5,
எண்ணெய் - 2 டீஸ்பூன்,
இலவங்கப்பட்டை - 1 அங்குல துண்டு,
கிராம்பு - 2.</t>
  </si>
  <si>
    <t>Heat oil in a pan or kadai, add cinnamon and cloves. Saute for a few seconds and then add onions. Saute until onions turn transparent. Add a little salt to speed up the process.
Add tomatoes and saute for a few more minutes.
Add chopped potatoes, turmeric powder, salt and cook for a further 2-3 minutes.
Add the masala paste and saute on medium flame until it ooze out oil. Saute the masala paste well stirring continuously.
Add the cooked field beans, curd, chopped coriander and mint leaves.
Then add rice and thin coconut milk. Taste the liquid and check for salt. If required add salt at this stage.
You can do all this directly in the cooker or rice cooker. As I wanted to show the pictures clearly, I did it in a kadai and then transferred it to a cooker. Close the cooker and cook on medium flame until rice is half cooked. Do not put the weight/whistle. Once it is half cooked, stir the contents and close it with weight.
Simmer and cook for another 4 minutes. Once the pressure subsides, open the cooker and serve piping hot mochai biryani with raitha, papads or chips.</t>
  </si>
  <si>
    <t>ஒரு கடாயில் அல்லது கடாயில் எண்ணெயை சூடாக்கி, இலவங்கப்பட்டை மற்றும் கிராம்பு சேர்க்கவும். சில நொடிகள் வதக்கி, பின்னர் வெங்காயத்தைச் சேர்க்கவும். வெங்காயம் வெளிப்படையானதாக மாறும் வரை வதக்கவும். செயல்முறையை விரைவுபடுத்த சிறிது உப்பு சேர்க்கவும்.
தக்காளியைச் சேர்த்து இன்னும் சில நிமிடங்கள் வதக்கவும்.
நறுக்கிய உருளைக்கிழங்கு, மஞ்சள் தூள், உப்பு சேர்த்து மேலும் 2-3 நிமிடங்கள் சமைக்கவும்.
மசாலா விழுதைச் சேர்த்து, எண்ணெய் வெளியேறும் வரை மிதமான தீயில் வதக்கவும். மசாலா விழுதை நன்கு தொடர்ந்து கிளறி வதக்கவும்.
சமைத்த பீன்ஸ், தயிர், நறுக்கிய கொத்தமல்லி மற்றும் புதினா இலைகளைச் சேர்க்கவும்.
பின்னர் அரிசி மற்றும் மெல்லிய தேங்காய் பால் சேர்க்கவும். திரவத்தை ருசித்து உப்பு இருக்கிறதா என்று சரிபார்க்கவும். தேவைப்பட்டால் இந்த கட்டத்தில் உப்பு சேர்க்கவும்.
நீங்கள் இதையெல்லாம் நேரடியாக குக்கர் அல்லது ரைஸ் குக்கரில் செய்யலாம். படங்களை தெளிவாகக் காட்ட விரும்பியதால், நான் அதை ஒரு கடாயில் செய்தேன், பின்னர் அதை ஒரு குக்கருக்கு மாற்றினேன். குக்கரை மூடி, அரிசி பாதி வேகும் வரை மிதமான தீயில் சமைக்கவும். எடை/விசில் வைக்க வேண்டாம். பாதி வெந்தவுடன், உள்ளடக்கங்களை கிளறி, எடையுடன் மூடவும்.
வேகவைத்து, மேலும் 4 நிமிடங்கள் சமைக்கவும். பிரஷர் குறைந்தவுடன், குக்கரைத் திறந்து, சூடான மொச்சை பிரியாணியை ரைத்தா, பப்படம் அல்லது சிப்ஸுடன் பரிமாறவும்.</t>
  </si>
  <si>
    <t>https://www.padhuskitchen.com/wp-content/uploads/2015/01/mochaibiryani.jpg</t>
  </si>
  <si>
    <t>Barley Soup</t>
  </si>
  <si>
    <t>பார்லி சூப்</t>
  </si>
  <si>
    <t xml:space="preserve">   Pearl Barley - 2 tbsp,
   Red Lentils -  2 tbsp,
   Oil - 2 tsp,
   Garlic - 2 tbsp minced,
   Onion - 1 medium size,
   Carrot – 1/4 cup,
   Tomato - 1/2 a small tomato,
   Coriander leaves,
   Salt to taste,
   Pepper powder to taste.</t>
  </si>
  <si>
    <t>முத்து பார்லி - 2 டீஸ்பூன்,
சிவப்பு பருப்பு - 2 டீஸ்பூன்,
எண்ணெய் - 2 டீஸ்பூன்,
பூண்டு - 2 டீஸ்பூன் நறுக்கியது,
வெங்காயம் - 1 நடுத்தர அளவு,
கேரட் - 1/4 கப்,
தக்காளி - 1/2 சிறிய தக்காளி,
கொத்தமல்லி இலை,
சுவைக்கு உப்பு,
மிளகு தூள்.</t>
  </si>
  <si>
    <t>Heat oil in a pressure cooker, add onions, garlic and saute until onions turn transparent.
Add washed dal, barley, chopped carrots, salt needed, 3-3 1/2 cups of water and pressure cook for 3-4 whistles.
Once the pressure subsides, open the cooker, mash the contents slightly, add finely chopped tomatoes, coriander leaves and pepper powder to taste.
Serve hot with garlic bread or whole wheat bread.</t>
  </si>
  <si>
    <t>பிரஷர் குக்கரில் எண்ணெயை சூடாக்கி, வெங்காயம், பூண்டு சேர்த்து வெங்காயம் வெளிப்படையானதாக மாறும் வரை வதக்கவும்.
கழுவிய பருப்பு, பார்லி, நறுக்கிய கேரட், தேவையான உப்பு, 3-3 1/2 கப் தண்ணீர் சேர்த்து 3-4 விசில் வரை பிரஷர் சமைக்கவும்.
பிரஷர் தணிந்தவுடன், குக்கரைத் திறந்து, உள்ளடக்கங்களை சிறிது மசித்து, இறுதியாக நறுக்கிய தக்காளி, கொத்தமல்லி இலை மற்றும் மிளகு தூள் சேர்த்து சுவைக்கு சேர்க்கவும்.
பூண்டு ரொட்டி அல்லது முழு கோதுமை ரொட்டியுடன் சூடாக பரிமாறவும்.</t>
  </si>
  <si>
    <t>https://encrypted-tbn0.gstatic.com/images?q=tbn:ANd9GcQPfjYMvmKNBlor8vjEOSA0-I3GNISCXu_h1Q&amp;s</t>
  </si>
  <si>
    <t xml:space="preserve">   Raw Rice  – 1 1/2 cup,
   Tamarind – 70 grams,
   Sesame seed Oil – 50 ml,
   Salt needed,
   Fenugreek seeds – 1 tsp,
   White sesame seeds – 1 tsp,
   Coriander seeds – 2 tbsp,
   Red chillies – 5,
   Mustard – 1 tsp,
   Urad dal – 4 tsp,
   Channa dal  – 4 tsp,
   Red chillies – 4 ,
   Asafoetida – 1/2 tsp,
   Turmeric powder – 1 tsp,
   Roasted peanuts - 100 grams,
   Curry leaves – little,
   Turmeric powder – 1/2 tsp,
   Sesame seed oil - 2 tsp.</t>
  </si>
  <si>
    <t>https://www.vegrecipesofindia.com/wp-content/uploads/2016/10/tamarind-rice-recipe-1-500x375.jpg</t>
  </si>
  <si>
    <t>Vegetable Quinoa Pilaf</t>
  </si>
  <si>
    <t>காய்கறி குயினோவா பிலாஃப்</t>
  </si>
  <si>
    <t xml:space="preserve">   Quinoa  – 1/2 cup,
   Onion - 1,
   Garlic - 2-3 cloves,
   Ginger – 1 inch piece peeled,
   Green chilli - 1 slit,
   Beans - 5-6,
   Carrot - 1 medium,
   Capsicum - 1 small capsicum,
   Pinto beans - 1/4 cup,
   Chilli powder - 1/2 tsp,
   Biryani Masala - 1 tsp,
   Salt to taste,
   Lemon juice – 1 tbsp ,
   Vegetable oil – 1 1/2 tbsp,
   Cumin seeds - 3/4 tsp,
   Bay Leaf - 1,
   Coriander leaves finely chopped,
   Mixed toasted seeds (pumpkin, sesame, sunflower,linseed).</t>
  </si>
  <si>
    <t>குயினோவா – 1/2 கப்,
வெங்காயம் - 1,
பூண்டு - 2-3 பல்,
இஞ்சி – 1 அங்குல துண்டு உரிக்கப்பட்டது,
பச்சை மிளகாய் - 1 துண்டு,
பீன்ஸ் - 5-6,
கேரட் - 1 நடுத்தர,
கேப்சிகம் - 1 சிறிய கேப்சிகம்,
பின்டோ பீன்ஸ் - 1/4 கப்,
மிளகாய் தூள் - 1/2 தேக்கரண்டி,
பிரியாணி மசாலா - 1 தேக்கரண்டி,
சுவைக்கு உப்பு,
எலுமிச்சை சாறு – 1 தேக்கரண்டி,
காய்கறி எண்ணெய் – 1 1/2 தேக்கரண்டி,
சீரகம் - 3/4 தேக்கரண்டி,
பிரியாணி இலை - 1,
கொத்தமல்லி இலைகளை நன்றாக நறுக்கியது,
வறுத்த விதைகள் (பூசணி, எள், சூரியகாந்தி, ஆளி விதை) கலக்கவும்.</t>
  </si>
  <si>
    <t>Heat oil in a pan, add cumin seeds and bay leaf. When cumin seeds sizzle, add onions and slit green chilli.
Saute until onions turn transparent. Add ginger garlic and saute for a few more minutes.
Add beans, carrot and saute for 2-3 seconds. Then add little water and cook beans and carrot until tender.
Add capsicum, chilli powder, biryani masala powder (available ready made in all Indian stores) and salt needed. Cook for 3-4 minutes on medium flame or until capsicum is half done. Capsicum should retain its crunchiness, so take care not to over cook it.
Add cooked beans, cooked quinoa and mix everything well.Remove from heat. Check for salt. Add lemon juice, mix well and garnish with finely chopped coriander leaves.
Top it with a mix of hulled pumpkin seeds, sunflower seeds, sesame seeds and linseed. These seeds contain omega 6 and are full of essential vitamins and minerals. So I added them to the pulao but it is optional.</t>
  </si>
  <si>
    <t>ஒரு கடாயில் எண்ணெயை சூடாக்கி, சீரகம் மற்றும் பிரியாணி இலை சேர்க்கவும். சீரகம் கொதித்ததும், வெங்காயம் மற்றும் பச்சை மிளகாயைச் சேர்த்து கீறவும்.
வெங்காயம் வெளிப்படையானதாக மாறும் வரை வதக்கவும். இஞ்சி பூண்டு சேர்த்து இன்னும் சில நிமிடங்கள் வதக்கவும்.
பீன்ஸ், கேரட் சேர்த்து 2-3 வினாடிகள் வதக்கவும். பின்னர் சிறிது தண்ணீர் சேர்த்து பீன்ஸ் மற்றும் கேரட் மென்மையாகும் வரை சமைக்கவும்.
கேப்சிகம், மிளகாய் தூள், பிரியாணி மசாலா தூள் (அனைத்து இந்திய கடைகளிலும் தயாராக கிடைக்கும்) மற்றும் தேவையான அளவு உப்பு சேர்க்கவும். நடுத்தர தீயில் 3-4 நிமிடங்கள் அல்லது கேப்சிகம் பாதி வேகும் வரை சமைக்கவும். கேப்சிகம் அதன் மொறுமொறுப்பைத் தக்க வைத்துக் கொள்ள வேண்டும், எனவே அதிகமாக வேகாமல் பார்த்துக் கொள்ளுங்கள்.
சமைத்த பீன்ஸ், சமைத்த குயினோவாவைச் சேர்த்து எல்லாவற்றையும் நன்றாகக் கலக்கவும். அடுப்பிலிருந்து நீக்கவும். உப்பு இருக்கிறதா என்று சரிபார்க்கவும். எலுமிச்சை சாறு சேர்த்து, நன்றாகக் கலந்து, இறுதியாக நறுக்கிய கொத்தமல்லி இலைகளால் அலங்கரிக்கவும்.
அதன் மேல் உமி நீக்கப்பட்ட பூசணி விதைகள், சூரியகாந்தி விதைகள், எள் மற்றும் ஆளி விதைகள் ஆகியவற்றைக் கலக்கவும். இந்த விதைகளில் ஒமேகா 6 உள்ளது மற்றும் அத்தியாவசிய வைட்டமின்கள் மற்றும் தாதுக்கள் நிறைந்துள்ளன. எனவே நான் அவற்றை புலாவில் சேர்த்தேன், ஆனால் அது விருப்பமானது.</t>
  </si>
  <si>
    <t>https://encrypted-tbn0.gstatic.com/images?q=tbn:ANd9GcQnGFZD0uStEWnAIQSSaoZoHVwtJvne2EOLHg&amp;s</t>
  </si>
  <si>
    <t>Kashmiri Pulao</t>
  </si>
  <si>
    <t>காஷ்மீரி புலாவ்</t>
  </si>
  <si>
    <t xml:space="preserve">   Basmati rice - 1 cup,
   Butter – 1 tsp,
   Caraway seeds - 1 tsp,
   Cinnamon – 1 inch piece,
   Cloves – 1,
   Bay leaf - 1,
   Cardamom – 1,
   Low fat milk – 1 cup,
   Water – 1 cup,
   Saffron strands - 10,
   Salt to taste,
   Sugar - 1 tsp,
   Carrot, beans together - 1 cup,
   Fresh peas - 1/4 cup,
   Fennel powder - 1/2 tsp,
   Cardamom Powder - 1/4 tsp,
   Walnuts - 1/4 cup,
   Almonds blanched - 1/4 cup,
   Cashew nuts - 1/4 cup,
   Raisins - 1/4 cup,
   Red Apple - 1,
   Pineapple - 1 cup cubed,
   Butter – 2 tsp,
   Caraway seeds - 1/2 tsp,
   Cinnamon – 1 inch piece,
   Cloves - 2,
   Cardamon - 1,
   Star anise - 1,
   Ginger - 1 inch piece.</t>
  </si>
  <si>
    <t>பாஸ்மதி அரிசி - 1 கப்,
வெண்ணெய் - 1 தேக்கரண்டி,
கருவேப்பிலை - 1 தேக்கரண்டி,
இலவங்கப்பட்டை - 1 அங்குல துண்டு,
கிராம்பு - 1,
பிரி இலை - 1,
ஏலக்காய் - 1,
குளிர் கொழுப்பு குறைவாக உள்ள பால் - 1 கப்,
தண்ணீர் - 1 கப்,
குங்குமப்பூ இழைகள் - 10,
சுவைக்கு உப்பு,
சர்க்கரை - 1 தேக்கரண்டி,
கேரட், பீன்ஸ் ஒன்றாக - 1 கப்,
புதிய பட்டாணி - 1/4 கப்,
வெந்தய தூள் - 1/2 தேக்கரண்டி,
ஏலக்காய் தூள் - 1/4 தேக்கரண்டி,
வால்நட்ஸ் - 1/4 கப்,
பாதாம் பருப்பு வெளுத்தது - 1/4 கப்,
முந்திரி பருப்பு - 1/4 கப்,
திராட்சை - 1/4 கப்,
சிவப்பு ஆப்பிள் - 1,
அன்னாசிப்பழம் - 1 கப் துண்டுகளாக்கப்பட்டது,
வெண்ணெய் - 2 தேக்கரண்டி,
கேரவே விதைகள் - 1/2 தேக்கரண்டி,
இலவங்கப்பட்டை - 1 அங்குல துண்டு,
கிராம்பு - 2,
கேரட்மன் - 1,
ஸ்டார் அனிஸ் - 1,
இஞ்சி - 1 அங்குல துண்டு.</t>
  </si>
  <si>
    <t>Heat butter in a pan, add caraway seeds, when it splutters, add cardamom, cinnamon, cloves, star anise and bay leaf.
Saute for 2 seconds and add slivered ginger pieces.
Saute the ginger for 2-3 minutes, then add the par boiled vegetables, cardamom powder, fennel powder, raisins and all the nuts.
how to prepare Kashmiri pulao
Mix in the rice and cook on low flame for 2 minutes and switch it off. Add the chopped fruits, mix well and serve. Do not cook after adding fruits.
Garnish with a little fresh cream and 2-3 edible rose petals or a tsp of rose water if preferred.</t>
  </si>
  <si>
    <t>ஒரு கடாயில் வெண்ணெயை சூடாக்கி, கருவேப்பிலையை சேர்த்து, அது வதங்கியதும், ஏலக்காய், இலவங்கப்பட்டை, கிராம்பு, ஸ்டார் அனிஸ் மற்றும் பிரியாணி இலை சேர்க்கவும்.
2 வினாடிகள் வதக்கி, நறுக்கிய இஞ்சி துண்டுகளைச் சேர்க்கவும்.
இஞ்சியை 2-3 நிமிடங்கள் வதக்கி, பின்னர் வேகவைத்த காய்கறிகள், ஏலக்காய் தூள், பெருஞ்சீரக தூள், திராட்சை மற்றும் அனைத்து கொட்டைகளையும் சேர்க்கவும்.
காஷ்மீரி புலாவ் தயாரிப்பது எப்படி
அரிசியுடன் கலந்து, குறைந்த தீயில் 2 நிமிடங்கள் சமைக்கவும், அதை அணைக்கவும். நறுக்கிய பழங்களைச் சேர்த்து, நன்கு கலந்து பரிமாறவும். பழங்கள் சேர்த்த பிறகு சமைக்க வேண்டாம்.
சிறிது புதிய கிரீம் மற்றும் 2-3 உண்ணக்கூடிய ரோஜா இதழ்கள் அல்லது ஒரு தேக்கரண்டி ரோஸ் வாட்டரால் அலங்கரிக்கவும்.</t>
  </si>
  <si>
    <t>https://encrypted-tbn0.gstatic.com/images?q=tbn:ANd9GcTU3OcaNYXUcV1dOYIPfZ5mWH_bGI7n_JAyDg&amp;s</t>
  </si>
  <si>
    <t xml:space="preserve">   Rice - 1/2 cup,
   Tur dal - 2 tbsp,
   Onion - 1,
   Green chilli - 2 slit,
   Garlic - 4 cloves finely chopped,
   Tomato - 1,
   Turmeric powder - a pinch,
   Sambar powder - 1 tsp,
   Salt needed,
   Oil - 3 tsp,
   Mustard seeds - 1 tsp,
   Cumin seeds – 1 tsp,
   Hing – a pinch,
   Curry leaves – few,
   Ghee – 1/2 tsp,
   Coriander leaves.</t>
  </si>
  <si>
    <t>அரிசி - 1/2 கப்,
துவரம் பருப்பு - 2 டேபிள்ஸ்பூன்,
வெங்காயம் - 1,
பச்சை மிளகாய் - 2 கீறல்,
பூண்டு - 4 பல் பொடியாக நறுக்கியது,
தக்காளி - 1,
மஞ்சள் தூள் - ஒரு சிட்டிகை,
சாம்பார் பொடி - 1 டீஸ்பூன்,
உப்பு தேவை,
எண்ணெய் - 3 டீஸ்பூன்,
கடுகு - 1 டீஸ்பூன்,
சீரகம் - 1 டீஸ்பூன்,
ஹிங் - ஒரு சிட்டிகை,
கறிவேப்பிலை - சிறிதளவு,
நெய் - 1/2 டீஸ்பூன்,
கொத்தமல்லி இலைகள்.</t>
  </si>
  <si>
    <t>எண்ணெயை சூடாக்கி, கடுகு சேர்த்து, அது வதங்கியதும், சீரகம், ஹிங் மற்றும் கறிவேப்பிலை சேர்க்கவும்.
சீரகம்/சீரகம் வதங்கியதும், வெங்காயம், பூண்டு மற்றும் பச்சை மிளகாய் சேர்க்கவும்.
வெங்காயம் வெளிப்படையானதாக மாறும் வரை வதக்கவும். பின்னர் தக்காளி, மஞ்சள் தூள் மற்றும் சாம்பார் பொடி சேர்க்கவும்.
அரிசி மற்றும் பருப்பை சேர்க்கவும், 1 1/2 கப் தண்ணீர் மற்றும் தேவையான உப்பு சேர்க்கவும்.
சேர்க்கப்பட்ட உப்பு சரியானதா என்று சோதிக்க தண்ணீரை சுவைக்கவும். கொஞ்சம் உப்பு இருந்தால், அரிசி வெந்தவுடன் சரியாக இருக்கும்.
அரிசியை 3 விசில்களுக்கு பிரஷர் வேகவைக்கவும், பிரஷர் குறைந்தவுடன், குக்கரைத் திறந்து, உள்ளடக்கங்களை கலந்து, ஒரு தேக்கரண்டி நெய்யைச் சேர்த்து, இறுதியாக நறுக்கிய கொத்தமல்லி இலைகளால் அலங்கரிக்கவும் (அரிசி மெதுவானதாக இருக்கக்கூடாது).
சிப்ஸ் அல்லது உருளைக்கிழங்கு கறி அல்லது தக்காளி சட்னி அல்லது அப்பளத்துடன் சூடாகப் பரிமாறவும்.</t>
  </si>
  <si>
    <t>https://encrypted-tbn0.gstatic.com/images?q=tbn:ANd9GcTf35-yZJGC3RAZh9GHTq7XZAz4lUWm-Mef5A&amp;s</t>
  </si>
  <si>
    <t>BisiBelaBath</t>
  </si>
  <si>
    <t>பிசிபேலா பாத்</t>
  </si>
  <si>
    <t>Raw Rice – 1 cup,
Tur dal – 1/2 cup,
Tamarind – small lemon sized ball,
Oil - 1 tbsp,
Ghee – 5 tsp,
Pearl onions - 15,
Beans – 4-5,
Carrot – 2,
Potato – 1,
Peas – fistful,
Tomato – 1,
Capsicum – 1,
Oil – 1 tsp,
Dry coconut powder - 1/2 cup,
Coriander seeds – 1 tbsp,
Red chillies – 6-7,
Bengal gram/Channa Dal – 2 tsp,
Urad dal – 1 tsp,
Fenugreek – 1/2 tsp,
Cinnamon – 1 inch piece,
Cloves – 2,
Cardamom - 1,
Khus khus - 1 tsp,
Mustard seeds - 1 tsp,
Fenugreek seeds – 1/4 tsp,
Curry leaves – little,
Asafoetida – 1/4 tsp.</t>
  </si>
  <si>
    <t>பச்சை அரிசி - 1 கப்,
துர் பருப்பு - 1/2 கப்,
புளி - சிறிய எலுமிச்சை அளவு உருண்டை,
எண்ணெய் - 1 டீஸ்பூன்,
நெய் - 5 டீஸ்பூன்,
முத்து வெங்காயம் - 15,
பீன்ஸ் - 4-5,
கேரட் - 2,
உருளைக்கிழங்கு - 1,
பட்டாணி - ஒரு கைப்பிடி,
தக்காளி - 1,
கேப்சிகம் - 1,
எண்ணெய் - 1 டீஸ்பூன்,
உலர்ந்த தேங்காய் தூள் - 1/2 கப்,
கொத்தமல்லி விதைகள் - 1 டீஸ்பூன்,
சிவப்பு மிளகாய் - 6-7,
வங்காள பருப்பு / சன்னா பருப்பு - 2 டீஸ்பூன்,
உருளை பருப்பு - 1 டீஸ்பூன்,
வெந்தயம் - 1/2 டீஸ்பூன்,
இலவங்கப்பட்டை - 1 அங்குல துண்டு,
கிராம்பு - 2,
ஏலக்காய் - 1,
குஸ் குஸ் - 1 டீஸ்பூன்,
கடுகு விதைகள் - 1 தேக்கரண்டி,
வெந்தயம் - 1/4 தேக்கரண்டி,
கறிவேப்பிலை - சிறிது,
அசாஃபோடிடா - 1/4 தேக்கரண்டி.</t>
  </si>
  <si>
    <t xml:space="preserve">Heat a tbsp of oil, add mustard seeds, when it splutters, add fenugreek seeds, hing and curry leaves. Saute for a second and add chopped onions.
Sauté onions until it becomes transparent. Then add all the vegetables (except capsicum) and sauté for a few more seconds. Sprinkle water and cook covered for 4-5 minutes.
Now add tamarind extract, needed salt and the prepared bisibelabath masala powder. Let it boil well until the raw flavour goes. By the time the vegetables will also get cooked well.
Add cooked dal, cooked rice, 4-5 tsp of ghee and mix well. Cook on low heat for 3-4 minutes and switch off the heat.
Heat a tsp of ghee and sauté capsicum until slightly cooked. It should be crunchy.
Garnish Bisibelabath with sauteed capsicum, finely chopped coriander leaves, mix well and serve hot with chips or papads or onion raita or gobi 65.
</t>
  </si>
  <si>
    <t>ஒரு தேக்கரண்டி எண்ணெயை சூடாக்கி, கடுகு சேர்த்து, அது வதங்கியதும், வெந்தயம், பெருங்காயம் மற்றும் கறிவேப்பிலை சேர்க்கவும். ஒரு வினாடி வதக்கி, நறுக்கிய வெங்காயத்தைச் சேர்க்கவும்.
வெங்காயம் தெளிவாகும் வரை வதக்கவும். பின்னர் அனைத்து காய்கறிகளையும் (கேப்சிகம் தவிர) சேர்த்து இன்னும் சில வினாடிகள் வதக்கவும். தண்ணீர் தெளித்து மூடி வைத்து 4-5 நிமிடங்கள் சமைக்கவும்.
இப்போது புளி சாறு, தேவையான உப்பு மற்றும் தயாரிக்கப்பட்ட பிசிபெலாபாத் மசாலா தூள் சேர்க்கவும். பச்சை வாசனை போகும் வரை நன்கு கொதிக்க விடவும். காய்கறிகள் நன்றாக வேகும் வரை.
வேகவைத்த பருப்பு, வேகவைத்த அரிசி, 4-5 தேக்கரண்டி நெய் சேர்த்து நன்கு கலக்கவும். குறைந்த தீயில் 3-4 நிமிடங்கள் சமைக்கவும், தீயை அணைக்கவும்.
ஒரு தேக்கரண்டி நெய்யை சூடாக்கி, கேப்சிகத்தை சிறிது வேகும் வரை வதக்கவும். அது மொறுமொறுப்பாக இருக்க வேண்டும்.
பிசிபேலாபாத்தை வதக்கிய குடமிளகாய், இறுதியாக நறுக்கிய கொத்தமல்லி இலைகளால் அலங்கரித்து, நன்கு கலந்து சிப்ஸ் அல்லது பப்படம் அல்லது வெங்காய ரைத்தா அல்லது கோபி 65 உடன் சூடாகப் பரிமாறவும்.</t>
  </si>
  <si>
    <t>https://encrypted-tbn0.gstatic.com/images?q=tbn:ANd9GcR56L-PpVee8OD9GUcuTYSoDGGUB4w9OgLVwA&amp;s</t>
  </si>
  <si>
    <t>https://youtu.be/zOrFBOAj4kc</t>
  </si>
  <si>
    <t>Beetroot Rice</t>
  </si>
  <si>
    <t>பீட்ரூட் சாதம்</t>
  </si>
  <si>
    <t xml:space="preserve">   Basmati Rice - 1 cup,
   Onion thinly sliced - 1 cup,
   Green chilli - 1 slit,
   Ginger garlic paste – 1 tsp,
   Tomato – 1 small,
   Grated Beetroot - 1 cup,
   Mint leaves – fistful,
   Coriander leaves – 2 tbsp chopped,
   Biryani masala – 1 tsp,
   Sambar powder - 1 tsp,
   Salt needed,
   Water - 2 cups,
   Fresh Lemon juice – 1 tbsp,
   Oil - 1 tbsp,
   Fennel seeds - 1/2 tsp,
   Bay leaf - 1,
   Cloves - 2,
   Cinnamon - 1 inch piece,
   Cardamom - 1.</t>
  </si>
  <si>
    <t>பாஸ்மதி சாதம் - 1 கப்,
மெல்லியதாக நறுக்கிய வெங்காயம் - 1 கப்,
பச்சை மிளகாய் - 1 கீற்று,
இஞ்சி பூண்டு விழுது - 1 டீஸ்பூன்,
தக்காளி - 1 சிறியது,
துருவிய பீட்ரூட் - 1 கப்,
புதினா இலைகள் - ஒரு கைப்பிடி,
கொத்தமல்லி இலைகள் - 2 டீஸ்பூன் நறுக்கியது,
பிரியாணி மசாலா - 1 டீஸ்பூன்,
சாம்பார் பொடி - 1 டீஸ்பூன்,
உப்பு தேவை,
தண்ணீர் - 2 கப்,
புதிய எலுமிச்சை சாறு - 1 டீஸ்பூன்,
எண்ணெய் - 1 டீஸ்பூன்,
வெந்தய விதைகள் - 1/2 டீஸ்பூன்,
பிரி இலை - 1,
கிராம்பு - 2,
இலவங்கப்பட்டை - 1 அங்குல துண்டு,
ஏலக்காய் - 1.</t>
  </si>
  <si>
    <t xml:space="preserve">Heat oil in a pan, add fennel seeds, when it splutters, add cloves, cinnamon, cardamom and bay leaf.
Saute for a few seconds, then add thinly sliced onions, slit green chilli and cook until onions turn transparent.
Add ginger garlic paste and saute for a few more minutes.
Add chopped tomatoes and cook for another 3-4 minutes.
Add beetroot, coriander leaves, mint leaves, biryani masala, sambar powder and salt needed.
Mix well, add 2 cups of water and lemon juice. When water starts boiling, add soaked and drained basmati rice. Mix well and check for salt by tasting the water, if the water is slightly salty, it will become perfect once the rice is cooked. Lower the heat and cook covered until rice is done. You can pressure cook rice or cook rice in a pan with lid or use the rice cooker. Check out how to cook basmati rice for more details. Once done, fluff it with a fork, garnish with coriander leaves and serve hot with raita or papads.
</t>
  </si>
  <si>
    <t>ஒரு கடாயில் எண்ணெயை சூடாக்கி, பெருஞ்சீரகம் விதைகளைச் சேர்த்து, அது வதங்கியதும், கிராம்பு, இலவங்கப்பட்டை, ஏலக்காய் மற்றும் பிரியாணி இலை சேர்க்கவும்.
சில நொடிகள் வதக்கி, பின்னர் மெல்லியதாக நறுக்கிய வெங்காயத்தைச் சேர்த்து, பச்சை மிளகாயை நறுக்கி, வெங்காயம் வெளிப்படையானதாக மாறும் வரை வதக்கவும்.
இஞ்சி பூண்டு விழுது சேர்த்து இன்னும் சில நிமிடங்கள் வதக்கவும்.
நறுக்கிய தக்காளியைச் சேர்த்து மேலும் 3-4 நிமிடங்கள் சமைக்கவும்.
பீட்ரூட், கொத்தமல்லி இலைகள், புதினா இலைகள், பிரியாணி மசாலா, சாம்பார் பொடி மற்றும் தேவையான அளவு உப்பு சேர்க்கவும்.
நன்றாகக் கலந்து, 2 கப் தண்ணீர் மற்றும் எலுமிச்சை சாறு சேர்க்கவும். தண்ணீர் கொதிக்க ஆரம்பித்ததும், ஊறவைத்து வடிகட்டிய பாஸ்மதி அரிசியைச் சேர்க்கவும். நன்கு கலந்து, தண்ணீரை ருசித்துப் பார்த்து உப்பு இருக்கிறதா என்று சோதிக்கவும். தண்ணீர் சிறிது உப்பு இருந்தால், அரிசி வெந்ததும் அது சரியானதாக மாறும். தீயைக் குறைத்து, அரிசி வேகும் வரை மூடி வைத்து சமைக்கவும். நீங்கள் அரிசியை அழுத்தி சமைக்கலாம் அல்லது மூடியுடன் கூடிய பாத்திரத்தில் அரிசியை சமைக்கலாம் அல்லது ரைஸ் குக்கரைப் பயன்படுத்தலாம். மேலும் விவரங்களுக்கு பாஸ்மதி அரிசியை எப்படி சமைக்க வேண்டும் என்பதைப் பாருங்கள். முடிந்ததும், அதை ஒரு முட்கரண்டியால் பிசைந்து, கொத்தமல்லி இலைகளால் அலங்கரித்து, ரைத்தா அல்லது பப்பட்களுடன் சூடாகப் பரிமாறவும்.</t>
  </si>
  <si>
    <t>https://encrypted-tbn0.gstatic.com/images?q=tbn:ANd9GcTksg3YkR8-Krbn8kdlDfsoP0enLQITKdDd1g&amp;s</t>
  </si>
  <si>
    <t>Cracked Wheat Sambar Sadam</t>
  </si>
  <si>
    <t>உடைத்த கோதுமை சாம்பார் சாதம்</t>
  </si>
  <si>
    <t xml:space="preserve">   Samba Wheat Rava - 1/2 cup,
   Tur dal - 1/4 cup,
   Pearl onion - 5-6,
   Mixed Vegetables - 1/2 cup (mix of carrot, beans, potato),
   Sambar powder - 2 tsp,
   Turmeric powder - 1/4 tsp,
   Salt needed,
   Tamarind – small gooseberry sized ball ,
   Oil - 2 tsp,
   Mustard seeds - 1 tsp,
   Cumin seeds - 1/2 tsp,
   Fenugreek seeds - 1/4 tsp,
   Asafoetida – a pinch,
   Green Chilli - 1 slit,
   Curry Leaves - few,
  Coriander leaves,
  Ghee - 1 tsp.</t>
  </si>
  <si>
    <t>சம்பா கோதுமை ரவா - 1/2 கப்,
துர் பருப்பு - 1/4 கப்,
முத்து வெங்காயம் - 5-6,
கலவை காய்கறிகள் - 1/2 கப் (கேரட், பீன்ஸ், உருளைக்கிழங்கு கலவை),
சாம்பார் பொடி - 2 தேக்கரண்டி,
மஞ்சள் தூள் - 1/4 தேக்கரண்டி,
உப்பு தேவை,
புளி - சிறிய நெல்லிக்காய் அளவு பந்து,
எண்ணெய் - 2 தேக்கரண்டி,
கடுகு - 1 தேக்கரண்டி,
சீரகம் - 1/2 தேக்கரண்டி,
வெந்தயம் - 1/4 தேக்கரண்டி,
அசாஃபோடிடா - ஒரு சிட்டிகை,
பச்சை மிளகாய் - 1 துண்டு,
கறிவேப்பிலை - சிறிது,
கொத்தமல்லி இலைகள்,
நெய் - 1 தேக்கரண்டி.</t>
  </si>
  <si>
    <t>Heat oil in a pan, add mustard seeds, when it splutters, add jeera/cumin seeds. When jeera sizzles, add fenugreek seeds, hing, slit green chilli, pearl onions and curry leaves.
Saute until onions turn transparent. Then add all the vegetables (you can also add peas, cauliflower, capsicum etc), sambar powder, turmeric powder, salt needed (approximately 1 tsp flat for 1/2 cup cracked wheat) and mix well.
Then add 1/2 cup of tamarind water and boil for 5-6 minutes on medium flame or until the raw flavor of the tamarind goes.
Then add the washed cracked/broken wheat, soaked dal and 2 cups of water. Taste the water to check for salt. If the water is slightly salty, it will be perfect once the cracked wheat is cooked.
Pressure cook for 4-5 whistles. Once the pressure subsides, open the cooker, add a tsp of ghee (optional) and mix well.
Garnish with finely chopped coriander leaves and serve piping hot with any pachadi or raita of your choice. I made beetroot pachadi and it tasted great with cracked wheat sambar sadam.</t>
  </si>
  <si>
    <t>ஒரு கடாயில் எண்ணெயை சூடாக்கி, கடுகு சேர்த்து, அது வதங்கியதும், சீரகம்/சீரகம் சேர்க்கவும். சீரகம் கொதிக்கும் போது, ​​வெந்தயம், கீரை, கீறிய பச்சை மிளகாய், முத்து வெங்காயம் மற்றும் கறிவேப்பிலை சேர்க்கவும்.
வெங்காயம் தெளிவாகும் வரை வதக்கவும். பின்னர் அனைத்து காய்கறிகளையும் (நீங்கள் பட்டாணி, காலிஃபிளவர், கேப்சிகம் போன்றவற்றையும் சேர்க்கலாம்), சாம்பார் தூள், மஞ்சள் தூள், தேவையான உப்பு (1/2 கப் வெடித்த கோதுமைக்கு தோராயமாக 1 தேக்கரண்டி தட்டை) சேர்த்து நன்கு கலக்கவும்.
பின்னர் 1/2 கப் புளி தண்ணீர் சேர்த்து 5-6 நிமிடங்கள் மிதமான தீயில் அல்லது புளியின் பச்சை சுவை போகும் வரை கொதிக்க வைக்கவும்.
பின்னர் கழுவிய வெடித்த/உடைந்த கோதுமை, ஊறவைத்த பருப்பை மற்றும் 2 கப் தண்ணீர் சேர்க்கவும். உப்பு இருக்கிறதா என்று சோதிக்க தண்ணீரை சுவைக்கவும். தண்ணீர் சிறிது உப்பு இருந்தால், வெடித்த கோதுமை வெந்தவுடன் அது சரியானதாக இருக்கும்.
4-5 விசில்களுக்கு பிரஷர் குக் செய்யவும். பிரஷர் குறைந்தவுடன், குக்கரைத் திறந்து, ஒரு தேக்கரண்டி நெய்யை (விரும்பினால்) சேர்த்து நன்கு கலக்கவும்.
நன்றாக நறுக்கிய கொத்தமல்லி இலைகளால் அலங்கரித்து, உங்களுக்கு விருப்பமான எந்த பச்சடி அல்லது ரைத்தாவுடன் சூடாக பரிமாறவும். நான் பீட்ரூட் பச்சடி செய்தேன், வெடித்த கோதுமை சாம்பார் சாதத்துடன் இது மிகவும் சுவையாக இருந்தது.</t>
  </si>
  <si>
    <t>https://encrypted-tbn0.gstatic.com/images?q=tbn:ANd9GcR2EVKH9fZqFciTr6BkEyNxtKBoruXEZQvbmQ&amp;s</t>
  </si>
  <si>
    <t>Barley Spinach Khichdi</t>
  </si>
  <si>
    <t>பார்லி கீரை கிச்சடி</t>
  </si>
  <si>
    <t xml:space="preserve">  Barley Rava – 1/2 cup,
   Tur dal – 1/4 cup,
   Onion – 1,
   Garlic – 3-4 cloves,
   Green chilli - 1,
   Tomato - 1,
   Spinach – 3/4 cup chopped,
   Turmeric powder – a pinch,
   Chilli powder – 1/2 tsp,
   Salt needed,
   Water - 2 cups,
   Oil – 1 tbsp,
   Mustard seeds – 1/2 tsp,
   cumin seeds – 1/2 tsp,
   Whole black pepper – 3,
   Red chilli - 1,
   Hing – a pinch,
  Ghee – 1 tsp,
  Cumin seeds – 1/2 tsp,
  Garlic minced – 1 tsp.
</t>
  </si>
  <si>
    <t>பார்லி ரவா - 1/2 கப்,
துவரம் பருப்பு - 1/4 கப்,
வெங்காயம் - 1,
பூண்டு - 3-4 பல்,
பச்சை மிளகாய் - 1,
தக்காளி - 1,
கீரை - 3/4 கப் நறுக்கியது,
மஞ்சள் தூள் - ஒரு சிட்டிகை,
மிளகாய் தூள் - 1/2 தேக்கரண்டி,
உப்பு தேவை,
தண்ணீர் - 2 கப்,
எண்ணெய் - 1 டீஸ்பூன்,
கடுகு - 1/2 தேக்கரண்டி,
சீரகம் - 1/2 தேக்கரண்டி,
முழு கருப்பு மிளகு - 3,
சிவப்பு மிளகாய் - 1,
கீரை - ஒரு சிட்டிகை,
நெய் - 1 தேக்கரண்டி,
சீரகம் - 1/2 தேக்கரண்டி,
பூண்டு நறுக்கியது - 1 தேக்கரண்டி.</t>
  </si>
  <si>
    <t>Heat oil in a pan/pressure pan, add mustard seeds, when it splutters, add cumin seeds, whole black pepper, red chillies and hing.
When jeera/cumin seeds sizzle, add chopped onions, garlic, green chilli and saute until onions turn pink.
Add chopped tomatoes and saute until tomatoes become soft.
Add chopped spinach, turmeric powder, chilli powder and saute for 2-3 seconds.
Add soaked dal and washed barley rava.
Add 2 cups of water, needed salt and pressure cook for 3 whistles. (taste the water to check if the salt added is correct- if the water is slightly salty, then it will be perfect once it is cooked)
Once the pressure subsides, open the cooker and mix the content well.
Heat a tsp of ghee, add cumin seeds, when it splutters, add minced garlic, saute for 2 seconds and pour it over the khichdi.
Serve kichadi hot with raita or any vegetable curry or just curd and pickle. Khichdi should always be served piping hot.</t>
  </si>
  <si>
    <t>ஒரு பாத்திரத்தில்/அழுத்த பாத்திரத்தில் எண்ணெயை சூடாக்கி, கடுகு சேர்த்து, அது வதங்கியதும், சீரகம், முழு கருப்பு மிளகு, சிவப்பு மிளகாய் மற்றும் கீரை சேர்க்கவும்.
சீரகம்/சீரகம் வதங்கியதும், நறுக்கிய வெங்காயம், பூண்டு, பச்சை மிளகாய் சேர்த்து வெங்காயம் இளஞ்சிவப்பு நிறமாக மாறும் வரை வதக்கவும்.
நறுக்கிய தக்காளியைச் சேர்த்து தக்காளி மென்மையாகும் வரை வதக்கவும்.
நறுக்கிய கீரை, மஞ்சள் தூள், மிளகாய் தூள் சேர்த்து 2-3 விநாடிகள் வதக்கவும்.
ஊறவைத்த பருப்பை, கழுவிய பார்லி ரவையைச் சேர்க்கவும்.
2 கப் தண்ணீர், தேவையான உப்பு சேர்த்து 3 விசில் வரை பிரஷர் சமைக்கவும். (சேர்க்கப்பட்ட உப்பு சரியாக இருக்கிறதா என்று சோதிக்க தண்ணீரை ருசித்துப் பாருங்கள் - தண்ணீர் சிறிது உப்பு இருந்தால், அது வெந்தவுடன் சரியாக இருக்கும்)
அழுத்தம் குறைந்தவுடன், குக்கரைத் திறந்து உள்ளடக்கங்களை நன்கு கலக்கவும்.
ஒரு தேக்கரண்டி நெய்யை சூடாக்கி, சீரகம் சேர்த்து, அது வதங்கியதும், நறுக்கிய பூண்டைச் சேர்த்து, 2 விநாடிகள் வதக்கி, கிச்சடியின் மேல் ஊற்றவும்.
கிச்சடியை ரைத்தா அல்லது ஏதேனும் காய்கறி கறி அல்லது தயிர் மற்றும் ஊறுகாயுடன் சூடாக பரிமாறவும். கிச்சடியை எப்போதும் பைப்பிங் சூடாக பரிமாற வேண்டும்.</t>
  </si>
  <si>
    <t>https://encrypted-tbn0.gstatic.com/images?q=tbn:ANd9GcR1kM6lU0PDpBa8D228TWpdfNsgTme2-sJlJw&amp;s</t>
  </si>
  <si>
    <t>Double Beans Pulao</t>
  </si>
  <si>
    <t>டபுள் பீன்ஸ் புலாவ்</t>
  </si>
  <si>
    <t>Basmati rice – 1 cup,
Onion – 2,
Double beans – 1/4 cup,
Green peas – 1/4 cup,
Garam masala powder - 1/2 tsp,
Salt as needed,
Thin coconut milk – 2 cups,
Fresh Lemon juice - 1 tbsp,
Green Chilli – 2,
Ginger – 1 inch piece,
Garlic – 4 cloves,
Pearl onions – 4-5,
Oil - 2 tbsp,
Cloves - 2,
Cinnamon - 1 inch piece,
Cardamom - 1.</t>
  </si>
  <si>
    <t>பாஸ்மதி அரிசி - 1 கப்,
வெங்காயம் - 2,
டபுள் பீன்ஸ் - 1/4 கப்,
பச்சைப் பட்டாணி - 1/4 கப்,
கரம் மசாலா தூள் - 1/2 டீஸ்பூன்,
தேவைக்கேற்ப உப்பு,
மெல்லிய தேங்காய் பால் - 2 கப்,
புதிய எலுமிச்சை சாறு - 1 டீஸ்பூன்,
பச்சை மிளகாய் - 2,
இஞ்சி - 1 அங்குல துண்டு,
பூண்டு - 4 கிராம்பு,
முத்து வெங்காயம் - 4-5,
எண்ணெய் - 2 டீஸ்பூன்,
கிராம்பு - 2,
இலவங்கப்பட்டை - 1 அங்குல துண்டு,
ஏலக்காய் - 1.</t>
  </si>
  <si>
    <t>Heat a oil in a kadai/pan, add cloves, cardamom, cinnamon and saute for 2-3 seconds.
Then add onions and saute until it turns pink.
Once the onions turn pink, add the ground paste and saute on low flame until the raw flavor goes and oil separates.
Add the cooked double beans, peas, rice, garam masala powder, salt needed and mix well.
Add thin coconut milk and lemon juice. You can check for salt at this stage by tasting the water. If required, add needed salt. Cook rice until done.If you are preparing directly in the cooker/pressure pan, close the cooker without the weight. Once the rice is half cooked, stir the contents, close the cooker, put the weight and cook simmered for another 4-5 minutes. Once the rice is cooked, fluff it with a fork and serve hot with a simple raita/pachadi of your choice.</t>
  </si>
  <si>
    <t>ஒரு கடாயில் எண்ணெயை சூடாக்கி, கிராம்பு, ஏலக்காய், இலவங்கப்பட்டை சேர்த்து 2-3 விநாடிகள் வதக்கவும்.
பின்னர் வெங்காயத்தைச் சேர்த்து இளஞ்சிவப்பு நிறமாக மாறும் வரை வதக்கவும்.
வெங்காயம் இளஞ்சிவப்பு நிறமாக மாறியதும், அரைத்த விழுதைச் சேர்த்து, பச்சை வாசனை போய் எண்ணெய் பிரியும் வரை குறைந்த தீயில் வதக்கவும்.
சமைத்த டபுள் பீன்ஸ், பட்டாணி, அரிசி, கரம் மசாலா தூள், தேவையான உப்பு சேர்த்து நன்கு கலக்கவும்.
மெல்லிய தேங்காய் பால் மற்றும் எலுமிச்சை சாறு சேர்க்கவும். இந்த கட்டத்தில் தண்ணீரை ருசித்துப் பார்த்து உப்பு இருக்கிறதா என்று சரிபார்க்கலாம். தேவைப்பட்டால், தேவையான உப்பு சேர்க்கவும். அரிசி முடியும் வரை சமைக்கவும். நீங்கள் நேரடியாக குக்கர்/பிரஷர் பேனில் சமைக்கிறீர்கள் என்றால், குக்கரை எடை இல்லாமல் மூடவும். அரிசி பாதி வெந்ததும், உள்ளடக்கங்களை கிளறி, குக்கரை மூடி, வெயிட்டை வைத்து மேலும் 4-5 நிமிடங்கள் வேகவைக்கவும். அரிசி வெந்ததும், ஒரு ஃபோர்க் கொண்டு அதை ஃப்ளஷ் செய்து, உங்களுக்கு விருப்பமான ஒரு எளிய ரைத்தா/பச்சடியுடன் சூடாக பரிமாறவும்.</t>
  </si>
  <si>
    <t>https://lh3.googleusercontent.com/gQwNU16vHhUhZSDaP_m0DcOYYgHI-NhuDIsRIGmwAtV3clVc_jSURFNisVKIaHhg1ibvbRbDkGdaaFsqeJF1z7ukQOikopCVe-w</t>
  </si>
  <si>
    <t xml:space="preserve">
ஷெஸ்வான் ஃபிரைடு ரைஸ்</t>
  </si>
  <si>
    <t xml:space="preserve">   Cooked Rice – 3 cups,
   Oil – 2  tbsp,
   Onion - 1 finely chopped,
   Garlic minced – 2 tbsp,
   Mixed Vegetables – 1 1/2 cups (carrot,cabbage and bell pepper),
    Schezwan Fried Rice masala - 2 tsp flat,
   Spring onion greens – 2 tbsp,
   Pepper powder to taste,
   Salt to taste,
   Spring onion greens – 2 tbsp.</t>
  </si>
  <si>
    <t>சமைத்த அரிசி - 3 கப்,
எண்ணெய் - 2 டேபிள்ஸ்பூன்,
வெங்காயம் - 1 பொடியாக நறுக்கியது,
பூண்டு நறுக்கியது - 2 டேபிள்ஸ்பூன்,
மிக்ஸ்டு வெஜிடபிள்ஸ் - 1 1/2 கப் (கேரட், முட்டைக்கோஸ் மற்றும் பெல் பெப்பர்),
ஷெஸ்வான் ஃபிரைடு ரைஸ் மசாலா - 2 டேபிள்ஸ்பூன் தட்டை,
வெங்காய கீரைகள் - 2 டேபிள்ஸ்பூன்,
மிளகு தூள் சுவைக்கேற்ப,
உப்பு சுவைக்கேற்ப,
வெங்காய கீரைகள் - 2 டேபிள்ஸ்பூன்.</t>
  </si>
  <si>
    <t>https://www.cookclickndevour.com/wp-content/uploads/2016/04/schezwan-fried-rice-recipe-1.jpg</t>
  </si>
  <si>
    <t xml:space="preserve">   Rice - 1 cup,
   Garlic – 12 cloves,
   Pearl onions - 8-10,
   Ginger - 1/2 inch piece,
   Curry leaves -few,
   Tamarind – a small pea sized ball,
   Urad dal – 1 tbsp,
   Bengal gram - 1 tsp,
   Red chillies - 4-5,
   asafoetida – a pinch,
   Sesame seed oil – 2 tbsp,
   Salt as neeeded,
   Oil – 1 tsp,
   Mustard seeds - 1/2 tsp,
   Curry leaves – few.</t>
  </si>
  <si>
    <t>அரிசி - 1 கப்,
பூண்டு - 12 பல்,
முத்து வெங்காயம் - 8-10,
இஞ்சி - 1/2 அங்குல துண்டு,
கறிவேப்பிலை - சில,
புளி - ஒரு சிறிய பட்டாணி அளவு உருண்டை,
உளுத்தம் பருப்பு - 1 டீஸ்பூன்,
வங்காள பருப்பு - 1 டீஸ்பூன்,
சிவப்பு மிளகாய் - 4-5,
பெருங்காயம் - ஒரு சிட்டிகை,
எள் விதை எண்ணெய் - 2 டீஸ்பூன்,
தேவையான அளவு உப்பு,
எண்ணெய் - 1 டீஸ்பூன்,
கடுகு - 1/2 டீஸ்பூன்,
கறிவேப்பிலை - சிறிது.</t>
  </si>
  <si>
    <t>ஒரு கடாயில் எண்ணெயை சூடாக்கி, உளுத்தம் பருப்பு, சன்னா பருப்பு சேர்த்து பொன்னிறமாகும் வரை வதக்கவும். கடாயில் இருந்து எடுக்கவும். அதே கடாயில், சிவப்பு மிளகாயை சில நொடிகள் வதக்கி எடுத்து எடுக்கவும்.
அதே கடாயில், வெங்காயம் மற்றும் பூண்டை வெங்காயம் தெளிவாகும் வரை வதக்கவும். இஞ்சி, கறிவேப்பிலை, கீரை, புளி, தேவையான அளவு உப்பு சேர்த்து இன்னும் சில நிமிடங்கள் வதக்கவும். ஆறவிடவும்.
முதலில் பருப்பை சிவப்பு மிளகாய் சேர்த்து மென்மையான பேஸ்ட் வரை அரைக்கவும். பின்னர் வெங்காய பூண்டு கலவையைச் சேர்த்து சிறிது கரகரப்பாக அரைக்கவும்.
ஒரு கடாயில் / கடாயில் எண்ணெயை சூடாக்கி, கடுகு சேர்த்து, அது வெடித்ததும், கறிவேப்பிலை, சமைத்த அரிசி, அரைத்த விழுது சேர்த்து மெதுவாக கலக்கவும். அடுப்பிலிருந்து இறக்கவும்.
சுவையான மற்றும் ஆரோக்கியமான பூண்டு சாதம் தயார். பப்பாளி, சிப்ஸ் அல்லது உருளைக்கிழங்கு வறுவலுடன் பரிமாறவும்.</t>
  </si>
  <si>
    <t>https://www.allrecipes.com/thmb/HjhTuWekViAnYGU6FUterSAdUTg=/1500x0/filters:no_upscale():max_bytes(150000):strip_icc()/86755_Garlic_Rice_DDMFS_3x4-2010150c5375421182e7e4df93bca33f.jpg</t>
  </si>
  <si>
    <t>Tawa Pulao</t>
  </si>
  <si>
    <t>தவா புலாவ்</t>
  </si>
  <si>
    <t>Basmati Rice – 1 cup,
Onion finely chopped – 1 cup heaped,
Ginger garlic paste – 1 tsp,
Tomato – 3/4 cup chopped,
Capsicum – 1/2 cup chopped,
Boiled Peas – 1/3 cup,
Boiled potatoes – 1/3 cup,
Turmeric powder – 1/4 tsp,
Red Chilli paste – 1 1/2 tbsp,
Pav Bhaji masala – 2-3 tsp,
Oil – 1 tbsp,
Butter – 1 tbsp,
Cumin seeds – 1 tsp,
Finely chopped coriander leaves.</t>
  </si>
  <si>
    <t>பாஸ்மதி அரிசி - 1 கப்,
வெங்காயம் நன்றாக நறுக்கியது - 1 கப் குவித்தது,
இஞ்சி பூண்டு விழுது - 1 டீஸ்பூன்,
தக்காளி - 3/4 கப் நறுக்கியது,
கேப்சிகம் - 1/2 கப் நறுக்கியது,
வேகவைத்த பட்டாணி - 1/3 கப்,
வேகவைத்த உருளைக்கிழங்கு - 1/3 கப்,
மஞ்சள் தூள் - 1/4 டீஸ்பூன்,
சிவப்பு மிளகாய் விழுது - 1 1/2 டீஸ்பூன்,
பாவ் பாஜி மசாலா - 2-3 டீஸ்பூன்,
எண்ணெய் - 1 டீஸ்பூன்,
வெண்ணெய் - 1 டீஸ்பூன்,
சீரகம் - 1 டீஸ்பூன்,
நறுக்கிய கொத்தமல்லி இலைகள்.</t>
  </si>
  <si>
    <t xml:space="preserve">Heat oil + butter in a kadai, add cumin seeds, when it splutters, add finely chopped onions and saute until onions turn light brown.
Add ginger garlic paste and saute for a few more minutes or until the raw flavor goes.
Add finely chopped tomatoes, turmeric powder and saute until tomatoes become soft and well cooked.
Add chopped capsicum, sprinkle water and cook for 3-4 minutes. Add boiled potatoes, boiled peas and mix it well.
Add chilli paste, pav bhaji masala, salt needed, 2 tbsp of water and cook for a few more minutes. 
Fluff rice with a fork, add it to the prepared masala and mix well until the rice is well coated with the masala. Cook for another 2-3 minutes until everything gets blended well.
Garnish with finely chopped coriander leaves and serve hot with raita or papads or salad.
</t>
  </si>
  <si>
    <t>ஒரு கடாயில் எண்ணெய் + வெண்ணெய் சேர்த்து சூடாக்கி, சீரகம் சேர்த்து, அது வதங்கியதும், இறுதியாக நறுக்கிய வெங்காயத்தைச் சேர்த்து, வெங்காயம் வெளிர் பழுப்பு நிறமாக மாறும் வரை வதக்கவும்.
இஞ்சி பூண்டு விழுது சேர்த்து இன்னும் சில நிமிடங்கள் அல்லது பச்சை வாசனை போகும் வரை வதக்கவும்.
இறுதியாக நறுக்கிய தக்காளி, மஞ்சள் தூள் சேர்த்து தக்காளி மென்மையாகவும் நன்கு வேகும் வரை வதக்கவும்.
நறுக்கிய கேப்சிகம் சேர்த்து, தண்ணீர் தெளித்து 3-4 நிமிடங்கள் சமைக்கவும். வேகவைத்த உருளைக்கிழங்கு, வேகவைத்த பட்டாணி சேர்த்து நன்கு கலக்கவும்.
மிளகாய் விழுது, பாவ் பாஜி மசாலா, தேவையான உப்பு, 2 டேபிள்ஸ்பூன் தண்ணீர் சேர்த்து இன்னும் சில நிமிடங்கள் சமைக்கவும்.
ஒரு முட்கரண்டி கொண்டு ஃப்ளஃப் ரைஸ், தயாரிக்கப்பட்ட மசாலாவில் சேர்த்து, அரிசி மசாலாவுடன் நன்கு பூசப்படும் வரை நன்கு கலக்கவும். எல்லாம் நன்றாக கலக்கும் வரை மேலும் 2-3 நிமிடங்கள் சமைக்கவும்.
இறுதியாக நறுக்கிய கொத்தமல்லி இலைகளால் அலங்கரித்து, ரைத்தா அல்லது பப்படாஸ் அல்லது சாலட்டுடன் சூடாக பரிமாறவும்.</t>
  </si>
  <si>
    <t>https://sixhungryfeet.com/wp-content/uploads/2023/02/Tawa-Pulao-Mumbai-Style-5.jpg</t>
  </si>
  <si>
    <t>How to Cook Couscous</t>
  </si>
  <si>
    <t>கூஸ்கஸ் சமைப்பது எப்படி</t>
  </si>
  <si>
    <t>Instant couscous – 1 cup,
Water – 1 1/4 cup,
Salt - 1/2 tsp,
Butter – 11/2 tsp,
Butter or oil – 1 tbsp,
Onions - 1/2 cup chopped,
Garlic – 1 pod peeled and chopped,
Beans and carrot - 1/3 cup chopped,
Potato - 1/2 cup boiled and cubed,
Cooked Chickpeas - 1/2 cup,
Tomato puree - 2 cups,
Chilli powder - 1/2 tsp,
Pepper powder as needed,
Oregano – 3/4 tsp,
Salt as needed.</t>
  </si>
  <si>
    <t>உடனடி கூஸ்கஸ் - 1 கப்,
தண்ணீர் - 1 1/4 கப்,
உப்பு - 1/2 தேக்கரண்டி,
வெண்ணெய் - 11/2 தேக்கரண்டி,
வெண்ணெய் அல்லது எண்ணெய் - 1 தேக்கரண்டி,
வெங்காயம் - 1/2 கப் நறுக்கியது,
பூண்டு - 1 நெற்று தோலுரித்து நறுக்கியது,
பீன்ஸ் மற்றும் கேரட் - 1/3 கப் நறுக்கியது,
உருளைக்கிழங்கு - 1/2 கப் வேகவைத்து க்யூப்ஸ் செய்தது,
சமைத்த கொண்டைக்கடலை - 1/2 கப்,
தக்காளி கூழ் - 2 கப்,
மிளகாய் தூள் - 1/2 தேக்கரண்டி,
தேவைக்கேற்ப மிளகு தூள்,
ஒரிகானோ - 3/4 தேக்கரண்டி,
தேவைக்கேற்ப உப்பு.</t>
  </si>
  <si>
    <t xml:space="preserve">Cooking instant couscous takes hardly 5 minutes.
Boil water, add salt and butter to it. When water comes to rolling boil, reduce the flame, add couscous and stir for a minute and switch off the flame.
Keep it closed. After 5-6 minutes, you can see that the couscous would have absorbed all the water. Fluff it with a fork and keep it aside. Couscous is ready.
Heat butter or oil in a pan/kadai, add chopped onions and garlic. Saute until onions turn transparent.
Add the steamed beans and carrot.
Add the cooked potatoes,cooked chickpeas, chilli powder, salt needed, pepper powder, oregano and mix well.
Add the tomato puree, 1/2 cup of water and cook simmered for 15 minutes. Sauce should be watery.
Vegetarian couscous sauce is ready. Serve couscous with hot sauce.
</t>
  </si>
  <si>
    <t>உடனடி கூஸ்கஸ் சமைக்க 5 நிமிடங்கள் கூட ஆகாது.
தண்ணீரை கொதிக்க வைத்து, உப்பு மற்றும் வெண்ணெய் சேர்க்கவும். தண்ணீர் கொதிக்க வந்ததும், தீயை குறைத்து, கூஸ்கஸ் சேர்த்து ஒரு நிமிடம் கிளறி, தீயை அணைக்கவும்.
மூடி வைக்கவும். 5-6 நிமிடங்களுக்குப் பிறகு, கூஸ்கஸ் அனைத்து தண்ணீரையும் உறிஞ்சியிருப்பதைக் காணலாம். அதை ஒரு முட்கரண்டியால் பிசைந்து தனியாக வைக்கவும். கூஸ்கஸ் தயார்.
ஒரு கடாயில்/கடாயில் வெண்ணெய் அல்லது எண்ணெயை சூடாக்கி, நறுக்கிய வெங்காயம் மற்றும் பூண்டு சேர்க்கவும். வெங்காயம் வெளிப்படையானதாக மாறும் வரை வதக்கவும்.
வேகவைத்த பீன்ஸ் மற்றும் கேரட்டை சேர்க்கவும்.
சமைத்த உருளைக்கிழங்கு, சமைத்த கொண்டைக்கடலை, மிளகாய் தூள், தேவையான உப்பு, மிளகு தூள், ஆர்கனோ சேர்த்து நன்கு கலக்கவும்.
தக்காளி கூழ், 1/2 கப் தண்ணீர் சேர்த்து 15 நிமிடங்கள் கொதிக்க விடவும். சாஸ் தண்ணீர் போல் இருக்க வேண்டும்.
சைவ கூஸ்கஸ் சாஸ் தயார். சூடான சாஸுடன் கூஸ்கஸை பரிமாறவும்.</t>
  </si>
  <si>
    <t>https://www.crunchycreamysweet.com/wp-content/uploads/2019/04/couscous-3.jpg</t>
  </si>
  <si>
    <t xml:space="preserve">   Basmati rice – 1 cup,
   Broccoli florets - 1 cup,
   Onion – 1 big,
   Ginger garlic paste – 1 tsp,
   Green chilli – 2-3 slit,
   Mint leaves – fistful,
   Coriander leaves ,
   Fresh Lemon juice – 1 tbsp,
   Salt needed,
   Oil – 1 tbsp,
   Cloves – 2,
   Cinnamon – 1 inch piece,
   Cardamom – 1 .</t>
  </si>
  <si>
    <t>பாஸ்மதி அரிசி - 1 கப்,
ப்ரோக்கோலி பூக்கள் - 1 கப்,
வெங்காயம் - 1 பெரியது,
இஞ்சி பூண்டு விழுது - 1 டீஸ்பூன்,
பச்சை மிளகாய் - 2-3 துண்டுகள்,
புதினா இலைகள் - ஒரு கைப்பிடி,
கொத்தமல்லி இலைகள் ,
புதிய எலுமிச்சை சாறு - 1 டீஸ்பூன்,
உப்பு தேவை,
எண்ணெய் - 1 டீஸ்பூன்,
கிராம்பு - 2,
இலவங்கப்பட்டை - 1 அங்குல துண்டு,
ஏலக்காய் - 1 .</t>
  </si>
  <si>
    <t xml:space="preserve">Heat oil, add cloves, cinnamon, cardamon, saute for 2-3 seconds and add finely chopped onions and green chillies.
Saute until onions turn pink and then add ginger garlic paste or finely chopped ginger and garlic (1 inch ginger and 1 tbsp of garlic minced).
Saute for a few more minutes, then add broccoli florets, finely chopped coriander, mint leaves and salt needed. Cover and cook until the broccoli  is fork-tender but still crunchy. (Broccoli gets cooked faster, so keep an eye on it. If overcooked, broccoli becomes soft and mushy and looses its nutrients and flavor. The broccoli should retain its crunchiness, so take care not to overcook the broccoli.)
Once the broccoli is slightly cooked, add the cooked rice and mix well. Serve hot with any tomato based gravy or raita.
</t>
  </si>
  <si>
    <t>எண்ணெயை சூடாக்கி, கிராம்பு, இலவங்கப்பட்டை, ஏலக்காய் சேர்த்து, 2-3 விநாடிகள் வதக்கி, இறுதியாக நறுக்கிய வெங்காயம் மற்றும் பச்சை மிளகாய் சேர்க்கவும்.
வெங்காயம் இளஞ்சிவப்பு நிறமாக மாறும் வரை வதக்கி, பின்னர் இஞ்சி பூண்டு விழுது அல்லது இறுதியாக நறுக்கிய இஞ்சி மற்றும் பூண்டு (1 அங்குல இஞ்சி மற்றும் 1 தேக்கரண்டி பூண்டு பொடியாக நறுக்கியது) சேர்க்கவும்.
இன்னும் சில நிமிடங்கள் வதக்கி, பின்னர் ப்ரோக்கோலி பூக்கள், இறுதியாக நறுக்கிய கொத்தமல்லி, புதினா இலைகள் மற்றும் உப்பு சேர்க்கவும். ப்ரோக்கோலி மென்மையாகும் வரை மூடி வைத்து, மொறுமொறுப்பாக மாறும் வரை சமைக்கவும். (ப்ரோக்கோலி சீக்கிரம் வெந்துவிடும், அதனால் அதைக் கவனியுங்கள். அதிகமாக வெந்தால், ப்ரோக்கோலி மென்மையாகவும், மென்மையாகவும் மாறி, அதன் ஊட்டச்சத்துக்கள் மற்றும் சுவையை இழக்கும். ப்ரோக்கோலி அதன் மொறுமொறுப்பான தன்மையைத் தக்க வைத்துக் கொள்ள வேண்டும், எனவே ப்ரோக்கோலி அதிகமாக வேகாமல் பார்த்துக் கொள்ளுங்கள்.)
ப்ரோக்கோலி சிறிது வெந்தவுடன், சமைத்த அரிசியைச் சேர்த்து நன்கு கலக்கவும். தக்காளி சார்ந்த கிரேவி அல்லது ரைத்தாவுடன் சூடாகப் பரிமாறவும்.</t>
  </si>
  <si>
    <t>Brown rice cooked – 1 cup,
Onion finely chopped – 1/3 cup,
Ginger – 1/2 inch piece finely chopped,
Garlic – 1 tbsp,
Green chilli – 1 finely chopped,
Double beans cooked – 1/4 cup,
Vegetables – 1/2 cup (mix of carrot, beans and cabbage),
Capsicum – 1/4 cup,
Oil – 1 1/2 tbsp,
Salt and pepper powder to taste,
Lemon juice – 1 tsp.</t>
  </si>
  <si>
    <t>சமைத்த பிரவுன் ரைஸ் - 1 கப்,
வெங்காயம் இறுதியாக நறுக்கியது - 1/3 கப்,
இஞ்சி - 1/2 அங்குல துண்டு நன்றாக நறுக்கியது,
பூண்டு - 1 டீஸ்பூன்,
பச்சை மிளகாய் - 1 நன்றாக நறுக்கியது,
டபுள் பீன்ஸ் சமைத்தது - 1/4 கப்,
காய்கறிகள் - 1/2 கப் (கேரட், பீன்ஸ் மற்றும் முட்டைக்கோஸ் கலவை),
கேப்சிகம் - 1/4 கப்,
எண்ணெய் - 1 1/2 டீஸ்பூன்,
சுவைக்கேற்ப உப்பு மற்றும் மிளகு தூள்,
எலுமிச்சை சாறு - 1 டீஸ்பூன்.</t>
  </si>
  <si>
    <t>Heat oil in a pan/kadai, add finely chopped onions, garlic and ginger. Saute until onions turn transparent.
Now add all the vegetables except capsicum, saute on high heat for 2-3 minutes stirring continuously.The vegetables should retain its crispiness, so it is enough if you cook for 2-3 minutes on high flame. That is the reason we are chopping the vegetables finely.
Then add capsicum and saute for a few more seconds on high heat.
Reduce the flame, add double beans, cooked rice, salt  and pepper powder to taste. Toss gently and switch off the flame.
Add lemon juice, mix well and serve hot immediately.</t>
  </si>
  <si>
    <t>ஒரு கடாயில்/கடாயில் எண்ணெயை சூடாக்கி, இறுதியாக நறுக்கிய வெங்காயம், பூண்டு மற்றும் இஞ்சி சேர்க்கவும். வெங்காயம் வெளிப்படையானதாக மாறும் வரை வதக்கவும்.
இப்போது கேப்சிகம் தவிர அனைத்து காய்கறிகளையும் சேர்த்து, அதிக வெப்பத்தில் 2-3 நிமிடங்கள் தொடர்ந்து கிளறி விடவும். காய்கறிகள் அதன் மொறுமொறுப்பான தன்மையைத் தக்க வைத்துக் கொள்ள வேண்டும், எனவே நீங்கள் அதிக தீயில் 2-3 நிமிடங்கள் சமைத்தால் போதும். அதனால்தான் நாங்கள் காய்கறிகளை நன்றாக நறுக்குகிறோம்.
பின்னர் கேப்சிகம் சேர்த்து அதிக தீயில் சில வினாடிகள் வதக்கவும்.
தீயைக் குறைத்து, டபுள் பீன்ஸ், சமைத்த அரிசி, உப்பு மற்றும் மிளகுத் தூள் சேர்த்து ருசிக்கவும். மெதுவாகக் கிளறி, தீயை அணைக்கவும்.
எலுமிச்சைச் சாறு சேர்த்து, நன்கு கலந்து, உடனடியாக சூடாகப் பரிமாறவும்.</t>
  </si>
  <si>
    <t xml:space="preserve">  Basmati rice – 1 cup,
   Button Mushrooms – 200 grams,
   Oil – 1 tbsp,
   Onion – 3/4 cup finely chopped,
   Garlic – 2 1/2 tbsp minced,
   Green chilli – 1 finely chopped,
   Ginger – 1 inch piece,
   Spring onion greens – 2 tbsp finely chopped,
   Soya sauce – 1 tbsp,
   Chilli sauce - 2-3 tsp,
   Salt and pepper powder to taste,
   Finely chopped spring onion greens.</t>
  </si>
  <si>
    <t>பாஸ்மதி அரிசி - 1 கப்,
பட்டன் காளான்கள் - 200 கிராம்,
எண்ணெய் - 1 டேபிள்ஸ்பூன்,
வெங்காயம் - 3/4 கப் பொடியாக நறுக்கியது,
பூண்டு - 2 1/2 டேபிள்ஸ்பூன் பொடியாக நறுக்கியது,
பச்சை மிளகாய் - 1 பொடியாக நறுக்கியது,
இஞ்சி - 1 அங்குல துண்டு,
வறுத்த வெங்காய கீரைகள் - 2 டேபிள்ஸ்பூன் பொடியாக நறுக்கியது,
சோயா சாஸ் - 1 டேபிள்ஸ்பூன்,
மிளகாய் சாஸ் - 2-3 டேபிள்ஸ்பூன்,
உப்பு மற்றும் மிளகு தூள் தேவைக்கேற்ப,
வறுத்த வெங்காய கீரைகள் பொடியாக நறுக்கியது.</t>
  </si>
  <si>
    <t>Heat a tbsp of oil in a pan, add onions, garlic and saute until onions turn transparent.
Add finely chopped ginger, green chillies, spring onion greens and saute for a few more seconds.
Add mushrooms and cook until mushroom becomes soft.
Then add cooked rice, soya sauce, chilli sauce, salt, pepper powder and saute on high flame for 2 minutes.
Switch off the flame and garnish with spring onion greens. Serve hot with gobi manchurian or chilli paneer or vegetable manchurian.</t>
  </si>
  <si>
    <t>ஒரு கடாயில் ஒரு டேபிள்ஸ்பூன் எண்ணெயை சூடாக்கி, வெங்காயம், பூண்டு சேர்த்து வெங்காயம் தெளிவாகும் வரை வதக்கவும்.
பொடியாக நறுக்கிய இஞ்சி, பச்சை மிளகாய்,வறுத்த வெங்காய கீரைகள் சேர்த்து இன்னும் சில நொடிகள் வதக்கவும்.
காளான்களைச் சேர்த்து காளான் மென்மையாகும் வரை சமைக்கவும்.
பின்னர் சமைத்த அரிசி, சோயா சாஸ்,வறுத்த வெங்காய கீரைகள், உப்பு, மிளகு தூள் சேர்த்து அதிக தீயில் 2 நிமிடங்கள் வதக்கவும்.
சுவையை அணைத்துவிட்டு, வறுத்த வெங்காய கீரைகளால் அலங்கரிக்கவும். கோபி மஞ்சூரியன் அல்லது மிளகாய் பனீர் அல்லது காய்கறி மஞ்சூரியனுடன் சூடாகப் பரிமாறவும்.</t>
  </si>
  <si>
    <t xml:space="preserve">   Cooked Rice – 3 cup,
   Grated mango - 1 cup,
   Turmeric powder – 1/4 tsp,
   Salt as needed,
   Oil – 2 tsp,
   Mustard seeds - 1 tsp,
   Bengal gram - 2 tsp,
   Urad dal - 1 1/2 tsp,
   Red chillies - 2 ,
   Hing - a pinch,
   Green chillies - 2 slit,
   Peanuts - 1/4 cup,
   Curry leaves – few.</t>
  </si>
  <si>
    <t>சமைத்த சாதம் - 3 கப்,
துருவிய மாங்காய் - 1 கப்,
மஞ்சள் தூள் - 1/4 டீஸ்பூன்,
தேவைக்கேற்ப உப்பு,
எண்ணெய் - 2 டீஸ்பூன்,
கடுகு - 1 டீஸ்பூன்,
கடலைப்பருப்பு - 2 டீஸ்பூன்,
உளுத்தம்பருப்பு - 1 1/2 டீஸ்பூன்,
சிவப்பு மிளகாய் - 2 ,
கீரை - ஒரு சிட்டிகை,
பச்சை மிளகாய் - 2 துண்டுகள்,
வேர்க்கடலை - 1/4 கப்,
கறிவேப்பிலை - சிறிதளவு.</t>
  </si>
  <si>
    <t>Heat oil in a pan, add mustard seeds, when it splutters, add bengal gram, urad dal, red chillies, green chillies and hing.
When dal turns golden brown, add peanuts, turmeric powder, salt needed and curry leaves.
Add grated mangoes and mix well to combine with the spices. Cook for just 2-3 seconds and switch off the flame.
Add cooked rice and mix gently using a fork taking care not to break the rice. Check for salt, add if required.
Enjoy mango rice with chips or papads as side dish.</t>
  </si>
  <si>
    <t>ஒரு கடாயில் எண்ணெயை சூடாக்கி, கடுகு சேர்த்து, அது வதங்கியதும், பெங்கால் பருப்பு, உளுத்தம்பருப்பு, சிவப்பு மிளகாய், பச்சை மிளகாய் மற்றும் கீரை சேர்க்கவும்.
பருப்பு பொன்னிறமாக மாறியதும், வேர்க்கடலை, மஞ்சள் தூள், தேவையான உப்பு மற்றும் கறிவேப்பிலை சேர்க்கவும்.
துருவிய மாங்காய்களைச் சேர்த்து மசாலாப் பொருட்களுடன் சேர்த்து நன்கு கலக்கவும். 2-3 வினாடிகள் சமைக்கவும், தீயை அணைக்கவும்.
சமைத்த அரிசியைச் சேர்த்து, அரிசி உடையாமல் பார்த்துக் கொண்டு ஒரு முட்கரண்டியைப் பயன்படுத்தி மெதுவாகக் கலக்கவும். உப்பு சரிபார்த்து, தேவைப்பட்டால் சேர்க்கவும்.
மாங்கோ சாதத்தை சிப்ஸ் அல்லது பப்படத்துடன் பக்க உணவாகச் சாப்பிடுங்கள்.</t>
  </si>
  <si>
    <t>https://encrypted-tbn0.gstatic.com/images?q=tbn:ANd9GcTHu2tNS5rxMmVHO0U8awJijTXlL4w9xUIVyQ&amp;s</t>
  </si>
  <si>
    <t>Spinach Khichdi</t>
  </si>
  <si>
    <t>கீரை கிச்சடி</t>
  </si>
  <si>
    <t xml:space="preserve">   Rice – 1/2 cup,
   Dal – 1/4 cup ,
   Spinach/ palak – half a medium sized bunch,
   Onion chopped - 1/2 cup,
   Green chillies - 1-2 slit,
   Ginger-garlic paste - 1 tsp,
   Salt as needed,
   Turmeric powder – a pinch,
   Chilli powder – 1/2 tsp,
   Coriander powder - 1 tsp,
   Cumin powder - 1/2 tsp,
   Garam masala powder - 1/2 tsp,
   Oil – 1 tbsp,
   Peppercorns - 1/2 tsp,
   Cumin - 1/2 tsp,
   Ghee - 2 tsp,
   Cumin seeds – 1/2 tsp,
   Hing – a pinch,
   Red chillies - 1,
   Garlic – 1 tbsp finely chopped.</t>
  </si>
  <si>
    <t>அரிசி - 1/2 கப்,
பருப்பு - 1/4 கப்,
கீரை / பாலக் - நடுத்தர அளவிலான அரை கொத்து,
வெங்காயம் நறுக்கியது - 1/2 கப்,
பச்சை மிளகாய் - 1-2 கீற்றுகள்,
இஞ்சி-பூண்டு விழுது - 1 தேக்கரண்டி,
தேவைக்கேற்ப உப்பு,
மஞ்சள் தூள் - ஒரு சிட்டிகை,
மிளகாய் தூள் - 1/2 தேக்கரண்டி,
கொத்தமல்லி தூள் - 1 தேக்கரண்டி,
சீரக தூள் - 1/2 தேக்கரண்டி,
கரம் மசாலா தூள் - 1/2 தேக்கரண்டி,
எண்ணெய் - 1 தேக்கரண்டி,
மிளகுத்தூள் - 1/2 தேக்கரண்டி,
சீரகம் - 1/2 தேக்கரண்டி,
நெய் - 2 தேக்கரண்டி,
சீரகம் - 1/2 தேக்கரண்டி,
ஹிங் - ஒரு சிட்டிகை,
சிவப்பு மிளகாய் - 1,
பூண்டு - 1 தேக்கரண்டி பொடியாக நறுக்கியது.</t>
  </si>
  <si>
    <t>Heat oil in a pan, add jeera seeds and pepper corns, when jeera sizzles, add finely chopped onions and slit green chillies.
Saute onions until it turns pink. Then add ginger garlic paste and saute for a few more minutes.
Now add the spinach puree, turmeric powder, coriander powder, cumin powder, chilli powder, garam masala powder and salt needed.(when I was about to blend the spinach, power went off. So I mashed the spinach well and added, which was also good)
Add the soaked rice + dal mix (after draining the water) and mix everything well.
Now add 2 cups of water (you can use the water in which you cooked spinach) and mix well. Check for salt at this stage- taste the water and see, if it a little salty, the salt added with be perfect once the rice is cooked.  Pressure cook for 3 whistles.
Once the pressure subsides, open the cooker and mix the contents well.
Heat 2 tsp of ghee, add cumin seeds, when it sizzles, add hing, finely chopped garlic and red chilli, saute for a few seconds and pour it over the khichdi.
Serve piping hot with raita or any pickle or papads.</t>
  </si>
  <si>
    <t>ஒரு கடாயில் எண்ணெயை சூடாக்கி, சீரகம் மற்றும் மிளகுத்தூள் சேர்த்து, சீரகம் கொதிக்கும் போது, ​​இறுதியாக நறுக்கிய வெங்காயம் மற்றும் பச்சை மிளகாயை நறுக்கவும்.
வெங்காயம் இளஞ்சிவப்பு நிறமாக மாறும் வரை வதக்கவும். பின்னர் இஞ்சி பூண்டு விழுது சேர்த்து இன்னும் சில நிமிடங்கள் வதக்கவும்.
இப்போது கீரை கூழ், மஞ்சள் தூள், கொத்தமல்லி தூள், சீரகத்தூள், மிளகாய் தூள், கரம் மசாலா தூள் மற்றும் தேவையான உப்பு சேர்க்கவும். (நான் கீரையை கலக்கப் போகிறேன், சக்தி போய்விட்டது. அதனால் நான் கீரையை நன்றாக மசித்து சேர்த்தேன், அதுவும் நன்றாக இருந்தது)
ஊறவைத்த அரிசி + பருப்பு கலவையை (தண்ணீரை வடிகட்டிய பிறகு) சேர்த்து எல்லாவற்றையும் நன்றாக கலக்கவும்.
இப்போது 2 கப் தண்ணீர் (நீங்கள் கீரையை சமைத்த தண்ணீரைப் பயன்படுத்தலாம்) சேர்த்து நன்கு கலக்கவும். இந்த கட்டத்தில் உப்பு இருக்கிறதா என்று சரிபார்க்கவும் - தண்ணீரை ருசித்துப் பாருங்கள், அது கொஞ்சம் உப்பாக இருக்கிறதா என்று பாருங்கள், அரிசி வெந்தவுடன் சேர்க்கப்பட்ட உப்பு சரியானதாக இருக்கும். 3 விசில் வரை பிரஷர் சமைக்கவும்.
பிரஷர் குறைந்தவுடன், குக்கரைத் திறந்து உள்ளடக்கங்களை நன்கு கலக்கவும்.
2 தேக்கரண்டி நெய்யை சூடாக்கி, சீரகத்தை சேர்த்து, அது கொதிக்கும் போது, ​​ஹிங், இறுதியாக நறுக்கிய பூண்டு மற்றும் சிவப்பு மிளகாய் சேர்த்து, சில நொடிகள் வதக்கி, கிச்சடியின் மீது ஊற்றவும்.
ரைத்தா அல்லது ஏதேனும் ஊறுகாய் அல்லது பப்படத்துடன் சூடாகப் பரிமாறவும்.</t>
  </si>
  <si>
    <t>https://ministryofcurry.com/wp-content/uploads/2020/03/palak-khichdi-3.jpg</t>
  </si>
  <si>
    <t>https://youtu.be/BafGoON9DnA</t>
  </si>
  <si>
    <t xml:space="preserve">  Basmati rice – 1 cup,
   Onion – 2 medium size,
   Ginger finely chopped – 1 tsp,
   Green chilli – 2,
   Mixed vegetables – 1 cup ( you can use a mix of beans, carrot, peas and potato),
   Mint leaves – fistful,
   Coriander leaves – few,
   Fresh lemon juice - 1 tbsp,
   Salt to taste,
   Oil – 1 tbsp,
   Cinnamon - 1 inch piece,
   Cloves – 2,
   Cardamom - 1.</t>
  </si>
  <si>
    <t>பாஸ்மதி அரிசி - 1 கப்,
வெங்காயம் - 2 நடுத்தர அளவு,
இஞ்சி நன்றாக நறுக்கியது - 1 தேக்கரண்டி,
பச்சை மிளகாய் - 2,
கலவை காய்கறிகள் - 1 கப் (பீன்ஸ், கேரட், பட்டாணி மற்றும் உருளைக்கிழங்கு கலவையைப் பயன்படுத்தலாம்),
புதினா இலைகள் - ஒரு கைப்பிடி,
கொத்தமல்லி இலைகள் - சிறிது,
புதிய எலுமிச்சை சாறு - 1 தேக்கரண்டி,
ருசிக்க உப்பு,
எண்ணெய் - 1 தேக்கரண்டி,
இலவங்கப்பட்டை - 1 அங்குல துண்டு,
கிராம்பு - 2,
ஏலக்காய் - 1.</t>
  </si>
  <si>
    <t xml:space="preserve">Heat oil in a pan, add the ingredients mentioned under seasoning. Saute for a few seconds and then add onion, green chilli and ginger.
Saute until onions turn pink, then add all the vegetables. (I will make one thing clear here – in case if you going to prepare this in a pressure cooker, you can add the vegetables raw. If you are going to cook in a pan with lid as I have done below, par boil the vegetables slightly and then add)
Saute the vegetables for 2-3 seconds. Then add chopped mint and coriander leaves. Mix well.
Add drained rice, 2 cups of hot water, lemon juice, salt needed (approximately 2 tsp flat) and bring it to boil.
Once it starts boiling, reduce the flame, cover it with a lid and cook until the rice is done. Fluff it with a fork and serve hot.
You can have any raita / pachadi or chips or salad or any tomato based gravy like matar paneer, aloo gobhi, paneer butter masala or instant potato gravy or paneer capsicum gravy as a side dish. </t>
  </si>
  <si>
    <t>ஒரு பாத்திரத்தில் எண்ணெயை சூடாக்கி, தாளிக்க குறிப்பிடப்பட்டுள்ள பொருட்களைச் சேர்க்கவும். சில நொடிகள் வதக்கி, பின்னர் வெங்காயம், பச்சை மிளகாய் மற்றும் இஞ்சி சேர்க்கவும்.
வெங்காயம் இளஞ்சிவப்பு நிறமாக மாறும் வரை வதக்கவும், பின்னர் அனைத்து காய்கறிகளையும் சேர்க்கவும். (நான் இங்கே ஒரு விஷயத்தை தெளிவுபடுத்துகிறேன் - நீங்கள் இதை பிரஷர் குக்கரில் தயாரிக்கப் போகிறீர்கள் என்றால், காய்கறிகளை பச்சையாக சேர்க்கலாம். நான் கீழே செய்தது போல் மூடியுடன் ஒரு பாத்திரத்தில் சமைக்கப் போகிறீர்கள் என்றால், காய்கறிகளை சிறிது வேகவைத்து பின்னர் சேர்க்கவும்)
காய்கறிகளை 2-3 வினாடிகள் வதக்கவும். பின்னர் நறுக்கிய புதினா மற்றும் கொத்தமல்லி இலைகளைச் சேர்க்கவும். நன்றாக கலக்கவும்.
வடிகட்டிய அரிசி, 2 கப் வெந்நீர், எலுமிச்சை சாறு, தேவையான உப்பு (தோராயமாக 2 தேக்கரண்டி தட்டையாக) சேர்த்து கொதிக்க விடவும்.
கொதிக்க ஆரம்பித்ததும், தீயைக் குறைத்து, ஒரு மூடியால் மூடி, சாதம் வேகும் வரை சமைக்கவும். ஒரு முட்கரண்டியால் பிசைந்து சூடாகப் பரிமாறவும்.
நீங்கள் எந்த ரைத்தா / பச்சடி அல்லது சிப்ஸ் அல்லது சாலட் அல்லது மாதர் பனீர், ஆலு கோபி, பனீர் பட்டர் மசாலா அல்லது உடனடி உருளைக்கிழங்கு கிரேவி அல்லது பனீர் கேப்சிகம் கிரேவி போன்ற தக்காளி சார்ந்த கிரேவியையும் ஒரு பக்க உணவாக சாப்பிடலாம்.</t>
  </si>
  <si>
    <t>https://shwetainthekitchen.com/wp-content/uploads/2023/06/veg-fried-rice.jpg</t>
  </si>
  <si>
    <t>Basmati Rice – 1 cup,
Baby potatoes - 10-12,
Capsicum - 2  medium size,
Onion - 1,
Tomato puree – 1/2 cup,
Salt to taste,
Onion – 1,
Tomato – 1,
Ginger - 1 small bit,
Garlic - 3 cloves,
Red chillies – 5,
Coriander seeds - 1 tsp,
Grated coconut – 1 tbsp,
Turmeric powder - 1/4 tsp,
Garam masala powder - 1/2 tsp flat,
Oil – 2 tbsp,
Bay leaf – 1,
Cumin seeds – 1/2 tsp,
Cinnamon – 1 inch piece.</t>
  </si>
  <si>
    <t>பாஸ்மதி சாதம் - 1 கப்,
பேபி உருளைக்கிழங்கு - 10-12,
கேப்சிகம் - 2 நடுத்தர அளவு,
வெங்காயம் - 1,
தக்காளி கூழ் - 1/2 கப்,
ருசிக்க உப்பு,
வெங்காயம் - 1,
தக்காளி - 1,
இஞ்சி - 1 சிறிதளவு,
பூண்டு - 3 பல்,
சிவப்பு மிளகாய் - 5,
கொத்தமல்லி விதைகள் - 1 தேக்கரண்டி,
தேங்காய் துருவல் - 1 தேக்கரண்டி,
மஞ்சள் தூள் - 1/4 தேக்கரண்டி,
கரம் மசாலா தூள் - 1/2 தேக்கரண்டி,
எண்ணெய் - 2 தேக்கரண்டி,
வளைகுடா இலை - 1,
சீரக விதைகள் - 1/2 தேக்கரண்டி,
இலவங்கப்பட்டை - 1 அங்குல துண்டு.</t>
  </si>
  <si>
    <t>Heat oil in a pan or pressure cooker/pan, add bay leaf, jeera seeds and cinnamon, when jeera sizzles, add thinly sliced onions and saute until onions turn translucent.
Add capsicum and saute for a few more seconds.
Then add the ground paste, cooked potatoes, turmeric powder, garam masala powder and saute until the raw smell goes.
Now add the tomato puree and saute until everything gets blended well.
Add 1 1/4 cup of water, salt needed and bring it to boil.
When water starts boiling, add the drained basmati rice, mix well and close the cooker without weight. Keep it in low flame. When it is half cooked, stir the contents and close it with the weight and keep it in very low flame for 4-5 minutes.
Open the cooker, fluff it gently with a fork, garnish with coriander leaves and serve hot with raita/pachadi.</t>
  </si>
  <si>
    <t>ஒரு பாத்திரத்தில் அல்லது பிரஷர் குக்கரில் எண்ணெயை சூடாக்கி, பிரியாணி இலை, சீரகம் மற்றும் இலவங்கப்பட்டை சேர்த்து, சீரகம் வதங்கியதும், மெல்லியதாக நறுக்கிய வெங்காயத்தைச் சேர்த்து வெங்காயம் கசியும் வரை வதக்கவும்.
கேப்சிகம் சேர்த்து இன்னும் சில நொடிகள் வதக்கவும்.
பின்னர் அரைத்த விழுது, சமைத்த உருளைக்கிழங்கு, மஞ்சள் தூள், கரம் மசாலா தூள் சேர்த்து பச்சை வாசனை போகும் வரை வதக்கவும்.
இப்போது தக்காளி கூழ் சேர்த்து எல்லாம் நன்றாக கலக்கும் வரை வதக்கவும்.
1 1/4 கப் தண்ணீர், தேவையான அளவு உப்பு சேர்த்து கொதிக்க விடவும்.
தண்ணீர் கொதிக்க ஆரம்பித்ததும், வடிகட்டிய பாஸ்மதி அரிசியைச் சேர்த்து, நன்கு கலந்து, குக்கரை எடை இல்லாமல் மூடவும். குறைந்த தீயில் வைக்கவும். பாதி வெந்ததும், உள்ளடக்கங்களை கிளறி, வெயிட்டுடன் மூடி, மிகக் குறைந்த தீயில் 4-5 நிமிடங்கள் வைக்கவும்.
குக்கரைத் திறந்து, ஒரு முட்கரண்டியால் மெதுவாக பிசைந்து, கொத்தமல்லி இலைகளால் அலங்கரித்து, ரைத்தா/பச்சடியுடன் சூடாகப் பரிமாறவும்.</t>
  </si>
  <si>
    <t>https://encrypted-tbn0.gstatic.com/images?q=tbn:ANd9GcQQgRuyGPd4B_rB92cbNjWInQ18CvgCCMwyJA&amp;s</t>
  </si>
  <si>
    <t xml:space="preserve">   Basmati rice – 1 cup,
   Onion – 3/4 cup,
   Ginger garlic paste – 1 tsp,
   Green chilli - 1 slit,
   Tomato puree – 1/2 cup,
   Button Mushrooms – 1 cup,
   Coriander leaves,
   Mint leaves,
   Thick curd – 1/4 cup,
   Salt to taste,
   Chilli powder – 3/4tsp,
   Turmeric powder – 1/4 tsp,
   Biryani masala powder – 1 tsp,
   Coriander powder – 1 tsp,
   Oil/Ghee – 2 tbsp,
   Cloves - 2,
   Cinnamon – 1 inch piece,
   Cardamom - 1,
   Bay leaf – 1,
   Cloves -  1c,
   Cinnamon - 1 inch piece,
   Ghee - 1 tsp.</t>
  </si>
  <si>
    <t>பாஸ்மதி அரிசி - 1 கப்,
வெங்காயம் - 3/4 கப்,
இஞ்சி பூண்டு விழுது - 1 டீஸ்பூன்,
பச்சை மிளகாய் - 1 கீற்று,
தக்காளி கூழ் - 1/2 கப்,
பட்டன் காளான்கள் - 1 கப்,
கொத்தமல்லி இலைகள்,
புதினா இலைகள்,
அடர்த்தியான தயிர் - 1/4 கப்,
ருசிக்க உப்பு,
மிளகாய் தூள் - 3/4 டீஸ்பூன்,
மஞ்சள் தூள் - 1/4 டீஸ்பூன்,
பிரியாணி மசாலா தூள் - 1 டீஸ்பூன்,
கொத்தமல்லி தூள் - 1 டீஸ்பூன்,
எண்ணெய்/நெய் - 2 டீஸ்பூன்,
கிராம்பு - 2,
இலவங்கப்பட்டை - 1 அங்குல துண்டு,
ஏலக்காய் - 1,
பிரி இலை - 1 கே,
பருப்பு - 1 அங்குல துண்டு,
நெய் - 1 டீஸ்பூன்.</t>
  </si>
  <si>
    <t>Heat a tsp of ghee, add cloves, cinnamon and saute the rice for a few seconds. Then add 2 cups of water, little salt and cook the rice till 3/4 done. Drain the excess water (See picture below). Do not cook fully as we will be cooking again in the end. We do not want a mushy biryani.
Heat butter or oil in a kadai or pan, add the ingredients mentioned under seasoning, saute for a few seconds and add thinly sliced onions and slit green chillies. Saute until onions turn transparent.
Then add ginger garlic paste and saute for a few more seconds.
Now add the tomato puree, turmeric powder and the remaining spice powder (remember we added only half of it for marination) and cook till tomatoes become mushy.
See now the tomato is cooked nicely. At this stage add the marinated mushroom and paneer. Mix well.
Add the coriander, mint leaves, salt needed and cook until the mushrooms are three fourth cooked.(remember we have added salt while cooking rice, salt to the marination, so add salt accordingly)
In a pan with a lid, spread half of the gravy, then half of the rice on top. 
Then spread the remaining gravy.
Then spread the rest of the rice on top and close it with a lid.
Keep it on very low flame for 5-6 minutes. Open and gently mix the biryani. Serve this aromatic biryani piping hot with raita or any side dish of your choice. I prepared my instant potato gravy as a side dish for this.
Beginners, do not get intimidated by looking at the ingredients list and steps. Actually I have made it very easier for you all. If you do not have time, you can avoid the layering and prepare it in a rice cooker or pressure cooker.You can check out my easy cooker vegetable biryani or mushroom biryani or Meal Maker Biryani recipes.</t>
  </si>
  <si>
    <t>ஒரு டீஸ்பூன் நெய்யை சூடாக்கி, கிராம்பு, இலவங்கப்பட்டை சேர்த்து அரிசியை சில நொடிகள் வதக்கவும். பிறகு 2 கப் தண்ணீர், சிறிது உப்பு சேர்த்து அரிசியை 3/4 பாகம் வேகும் வரை சமைக்கவும். அதிகப்படியான தண்ணீரை வடிகட்டவும் (கீழே உள்ள படத்தைப் பார்க்கவும்). கடைசியில் மீண்டும் சமைக்கப் போகிறோம் என்பதால் முழுமையாக சமைக்க வேண்டாம். நமக்கு ஒரு மிருதுவான பிரியாணி தேவையில்லை.
ஒரு கடாயில் அல்லது வாணலியில் வெண்ணெய் அல்லது எண்ணெயை சூடாக்கி, தாளிக்க வேண்டிய பொருட்களைச் சேர்த்து, சில வினாடிகள் வதக்கி, மெல்லியதாக நறுக்கிய வெங்காயம் மற்றும் பச்சை மிளகாய் சேர்த்து வதக்கவும். வெங்காயம் வெளிப்படையானதாக மாறும் வரை வதக்கவும்.
பிறகு இஞ்சி பூண்டு விழுது சேர்த்து இன்னும் சில வினாடிகள் வதக்கவும்.
இப்போது தக்காளி கூழ், மஞ்சள் தூள் மற்றும் மீதமுள்ள மசாலாப் பொடியைச் சேர்த்து (நாங்கள் அதில் பாதியை மட்டுமே மரைனேஷனுக்காகச் சேர்த்தோம் என்பதை நினைவில் கொள்க) தக்காளி மிருதுவாகும் வரை சமைக்கவும்.
இப்போது தக்காளி நன்றாக வெந்துவிட்டது என்று பாருங்கள். இந்த கட்டத்தில் மரினேட் செய்யப்பட்ட காளான் மற்றும் பனீர் சேர்க்கவும். நன்றாக கலக்கவும்.
கொத்தமல்லி, புதினா இலைகள், தேவையான உப்பு சேர்த்து காளான்கள் முக்கால் பாகம் வேகும் வரை சமைக்கவும். (சாதம் சமைக்கும் போது உப்பு, மரைனேஷனில் உப்பு சேர்த்துள்ளதை நினைவில் கொள்ளுங்கள், எனவே அதற்கேற்ப உப்பு சேர்க்கவும்)
ஒரு மூடியுடன் கூடிய பாத்திரத்தில், கிரேவியில் பாதியையும், பின்னர் அரிசியில் பாதியையும் மேலே பரப்பவும்.
பின்னர் மீதமுள்ள கிரேவியைப் பரப்பவும்.
பின்னர் மீதமுள்ள அரிசியை மேலே பரப்பி ஒரு மூடியால் மூடவும்.
மிகக் குறைந்த தீயில் 5-6 நிமிடங்கள் வைக்கவும். பிரியாணியைத் திறந்து மெதுவாக கலக்கவும். இந்த நறுமணமுள்ள பிரியாணியை ரைத்தா அல்லது உங்களுக்கு விருப்பமான எந்த சைட் டிஷுடனும் சூடாக பரிமாறவும். இதற்கான சைட் டிஷ்ஷாக எனது உடனடி உருளைக்கிழங்கு கிரேவியை தயார் செய்தேன்.
தொடக்கநிலையாளர்களே, பொருட்கள் பட்டியல் மற்றும் படிகளைப் பார்த்து பயப்பட வேண்டாம். உண்மையில் நான் உங்களுக்காக இதை மிகவும் எளிதாக்கியுள்ளேன். உங்களுக்கு நேரம் இல்லையென்றால், நீங்கள் அடுக்கடுக்காகச் செய்வதைத் தவிர்த்து, ரைஸ் குக்கர் அல்லது பிரஷர் குக்கரில் தயாரிக்கலாம். எனது ஈஸி குக்கர் வெஜிடபிள் பிரியாணி அல்லது காளான் பிரியாணி அல்லது மீல் மேக்கர் பிரியாணி ரெசிபிகளை நீங்கள் பார்க்கலாம்.</t>
  </si>
  <si>
    <t>https://encrypted-tbn0.gstatic.com/images?q=tbn:ANd9GcQd7-FereO4XCoXwXSlCv1XJJ6K3eNH4gqO5Q&amp;s</t>
  </si>
  <si>
    <t xml:space="preserve">   Raw Rice – 1/2 cup,
   Dal – 1/4 cup ,
   Water – 2 1/2 cups,
   Onion - 1,
   Green chilli – 1 slit,
   Ginger-garlic paste - 1/2 tsp,
   Potato - 1 ,
   Green peas - 1/4 cup,
   Salt needed,
   Turmeric powder - 1/4 tsp,
   Chilli powder - 1 tsp,
   Coriander powder - 3/4 tsp,
   Garam masala powder – 1/4 tsp,
   Oil – 1 tbsp,
   Mustard seeds – 1 tsp,
   Cumin seeds - 3/4 tsp,
   Whole black pepper - 1/4 tsp,
   Hing – a generous pinch,
   Curry leaves – few,
   Ghee - 2-3 tsp,
   Cumin seeds – 1/2 tsp,
   Red chillies - 1,
   Garlic – 3-4 cloves finely chopped.</t>
  </si>
  <si>
    <t>பச்சை அரிசி - 1/2 கப்,
பருப்பு - 1/4 கப்,
தண்ணீர் - 2 1/2 கப்,
வெங்காயம் - 1,
பச்சை மிளகாய் - 1 கீறல்,
இஞ்சி-பூண்டு விழுது - 1/2 தேக்கரண்டி,
உருளைக்கிழங்கு - 1 ,
பச்சைப் பட்டாணி - 1/4 கப்,
தேவையான உப்பு,
மஞ்சள் தூள் - 1/4 தேக்கரண்டி,
மிளகாய் தூள் - 1 தேக்கரண்டி,
கொத்தமல்லி தூள் - 3/4 தேக்கரண்டி,
கரம் மசாலா தூள் - 1/4 தேக்கரண்டி,
எண்ணெய் - 1 தேக்கரண்டி,
கடுகு - 1 தேக்கரண்டி,
சீரக விதைகள் - 3/4 தேக்கரண்டி,
முழு கருப்பு மிளகு - 1/4 தேக்கரண்டி,
கீரை - ஒரு சிட்டிகை,
கறிவேப்பிலை - சிறிது,
நெய் - 2-3 தேக்கரண்டி,
சீரக விதைகள் - 1/2 தேக்கரண்டி,
சிவப்பு மிளகாய் - 1,
பூண்டு - 3-4 கிராம்பு பொடியாக நறுக்கியது.</t>
  </si>
  <si>
    <t>Heat oil in a pan (I used pressure pan), add mustard seeds, jeera seeds, when it sizzles, add whole black pepper, curry leaves and hing.
Then add chopped onions and saute until onions turn transparent.
Now add ginger garlic paste (if you do not have ginger garlic paste, you can add finely chopped ginger and garlic) and saute for a few more minutes.
Now add the chopped potatoes and peas.(you can also add 3-4 beans, 1/2 a carrot and 4-5 cauliflower florets to make it even more nutritious)
Add turmeric powder, chilli powder, coriander powder, garam masala powder and saute for 2-3 seconds.
Then add the soaked dal + rice (after draining the water- you can use this water to add to the rice after sauteing) and saute for a few more seconds.
Add 2 1/2 cups of water, salt needed and bring it to boil.(taste the water to check for salt, if it is slightly salty, it will be perfect once cooked)
Close the cooker and pressure cook for 3 whistles and simmer for another 3-4 minutes.
Once the pressure subsides, open the cooker and mix it gently. See how lovely it it!
Now we will do the top up seasoning – Heat 3 tsp of ghee, add cumin seeds, when it sizzles, add red chilli, finely chopped garlic, saute for a few seconds and pour it over the khichdi.
Serve Khichdi piping hot with any raita (pachadi) or papads or pickles. This is a very simple recipe which even beginners can try with confidence.</t>
  </si>
  <si>
    <t>ஒரு பாத்திரத்தில் (நான் பிரஷர் பான் பயன்படுத்தினேன்) எண்ணெயை சூடாக்கி, கடுகு, சீரக விதைகள் சேர்த்து, அது கொதிக்கும்போது, ​​முழு கருப்பு மிளகு, கறிவேப்பிலை மற்றும் பெருங்காயம் சேர்க்கவும்.
பின்னர் நறுக்கிய வெங்காயத்தைச் சேர்த்து வெங்காயம் தெளிவாகும் வரை வதக்கவும்.
இப்போது இஞ்சி பூண்டு விழுது (உங்களிடம் இஞ்சி பூண்டு விழுது இல்லையென்றால், இறுதியாக நறுக்கிய இஞ்சி மற்றும் பூண்டு சேர்க்கலாம்) சேர்த்து இன்னும் சில நிமிடங்கள் வதக்கவும்.
இப்போது நறுக்கிய உருளைக்கிழங்கு மற்றும் பட்டாணி சேர்க்கவும். (3-4 பீன்ஸ், 1/2 கேரட் மற்றும் 4-5 காலிஃபிளவர் பூக்கள் சேர்த்து இன்னும் சத்தானதாக மாற்றலாம்)
மஞ்சள் தூள், மிளகாய் தூள், கொத்தமல்லி தூள், கரம் மசாலா தூள் சேர்த்து 2-3 விநாடிகள் வதக்கவும்.
பின்னர் ஊறவைத்த பருப்பை + அரிசியைச் சேர்த்து (தண்ணீரை வடிகட்டிய பிறகு - இந்த தண்ணீரைப் பயன்படுத்தி வதக்கிய பிறகு அரிசியில் சேர்க்கலாம்) மேலும் சில விநாடிகள் வதக்கவும்.
2 1/2 கப் தண்ணீர், தேவையான அளவு உப்பு சேர்த்து கொதிக்க விடவும். (தண்ணீரை உப்பு இருக்கிறதா என்று பார்த்து சுவைத்துப் பாருங்கள், கொஞ்சம் உப்பு இருந்தால், வெந்ததும் சரியாகிவிடும்)
குக்கரை மூடி 3 விசில் விட்டு 3-4 நிமிடங்கள் பிரஷர் குக் செய்யவும்.
பிரஷர் குறைந்தவுடன், குக்கரைத் திறந்து மெதுவாக கலக்கவும். எவ்வளவு அருமையாக இருக்கும் என்று பாருங்கள்!
இப்போது நாம் டாப் அப் மசாலாவைச் செய்வோம் – 3 டீஸ்பூன் நெய்யைச் சூடாக்கி, சீரகம் சேர்த்து, அது கொதித்ததும், சிவப்பு மிளகாய், இறுதியாக நறுக்கிய பூண்டு சேர்த்து, சில நொடிகள் வதக்கி, கிச்சடியின் மேல் ஊற்றவும்.
கிச்சடியை எந்த ரைத்தா (பச்சடி) அல்லது பப்பட் அல்லது ஊறுகாயுடன் சூடாகப் பரிமாறவும். இது மிகவும் எளிமையான செய்முறையாகும், இதை ஆரம்பநிலையாளர்கள் கூட நம்பிக்கையுடன் முயற்சி செய்யலாம்.</t>
  </si>
  <si>
    <t>https://www.funfoodfrolic.com/wp-content/uploads/2021/05/Dalia-Khichdi-Blog-Thumbnail-500x500.jpg</t>
  </si>
  <si>
    <t>Corn Capsicum Pulao</t>
  </si>
  <si>
    <t>சோள மிளகாய் புலாவ்</t>
  </si>
  <si>
    <t>Basmati rice – 1 cup,
Onion – 3/4 cup chopped,
Capsicum -  1 cup,
Corn kernels – 3/4 cup,
Ginger – 1 inch piece finely chopped,
Garlic – 3-4 clove,
Green chilli – 1 finely chopped,
Garam masala powder – 1/2 tsp,
Chilli powder - 1/2 tsp,
Oil - 1 tbsp,
Cumin - 1 tsp,
Bay leaf – 1.</t>
  </si>
  <si>
    <t>பாஸ்மதி அரிசி - 1 கப்,
வெங்காயம் - 3/4 கப் நறுக்கியது,
கேப்சிகம் - 1 கப்,
சோளத் துருவல் - 3/4 கப்,
இஞ்சி - 1 அங்குல துண்டு நன்றாக நறுக்கியது,
பூண்டு - 3-4 பல்,
பச்சை மிளகாய் - 1 நன்றாக நறுக்கியது,
கரம் மசாலா தூள் - 1/2 தேக்கரண்டி,
மிளகாய் தூள் - 1/2 தேக்கரண்டி,
எண்ணெய் - 1 தேக்கரண்டி,
சீரகம் - 1 தேக்கரண்டி,
வளைகுடா இலை - 1.</t>
  </si>
  <si>
    <t>Heat oil, add cumin seeds, bay leaf, when cumin sizzles, add chopped onions, ginger, garlic, green chilli and saute until onions turn translucent.
The add capsicum, garam masala, chilli powder and cook for a few minutes.Do not over cook the capsicums.
Add cooked corn and salt needed. (remember we have added salt to the rice and corn, so add salt accordingly)
Simmer and cook for a few minutes until everything gets blended well.
Spread a layer of rice in a pan, then spread a layer of vegetable masala.
Then spread the second layer of rice and top it with the remaining vegetable masala. Cook covered in low flame for 4-5 minutes, gently mix everything and serve hot with any raita of your choice.</t>
  </si>
  <si>
    <t>எண்ணெயை சூடாக்கி, சீரகம், பிரியாணி இலை சேர்த்து, சீரகம் வதங்கியதும், நறுக்கிய வெங்காயம், இஞ்சி, பூண்டு, பச்சை மிளகாய் சேர்த்து வெங்காயம் தெளிவாகும் வரை வதக்கவும்.
கேப்சிகம், கரம் மசாலா, மிளகாய் தூள் சேர்த்து சில நிமிடங்கள் வதக்கவும். கேப்சிகம் அதிகமாக சமைக்க வேண்டாம்.
சமைத்த சோளம் மற்றும் தேவையான உப்பு சேர்க்கவும். (அரிசி மற்றும் சோளத்தில் உப்பு சேர்த்துள்ளோம் என்பதை நினைவில் கொள்ளுங்கள், எனவே அதற்கேற்ப உப்பு சேர்க்கவும்)
எல்லாம் நன்றாகக் கலக்கும் வரை சில நிமிடங்கள் வேகவைத்து சமைக்கவும்.
ஒரு பாத்திரத்தில் ஒரு அடுக்கு அரிசியைப் பரப்பி, பின்னர் ஒரு அடுக்கு காய்கறி மசாலாவைப் பரப்பவும்.
பின்னர் இரண்டாவது அடுக்கு அரிசியைப் பரப்பி, அதன் மேல் மீதமுள்ள காய்கறி மசாலாவை வைக்கவும். குறைந்த தீயில் 4-5 நிமிடங்கள் மூடி வைத்து, எல்லாவற்றையும் மெதுவாகக் கலந்து, உங்களுக்கு விருப்பமான எந்த ரைத்தாவுடன் சூடாகப் பரிமாறவும்.</t>
  </si>
  <si>
    <t>https://encrypted-tbn0.gstatic.com/images?q=tbn:ANd9GcQc9wGXmG57YM0pfHGHgHHe7P8JSp0-iL9UWQ&amp;s</t>
  </si>
  <si>
    <t>Gooseberry Rice</t>
  </si>
  <si>
    <t>நெல்லிக்காய் சாதம்</t>
  </si>
  <si>
    <t>Gooseberry finely chopped – 1/4 cup,
Cooked rice – 2 cups,
Turmeric powder – a generous pinch,
Oil – 1 tbsp,
Mustard – 3/4 tsp,
Urad dal – 1 1/2 tsp,
Bengal gram – 1 tsp,
Red chillies - 2,
Green chillies - 1 (slit),
Ginger – 1/2 inch piece finely  chopped,
Hing – generous pinch,
Curry leaves – few.</t>
  </si>
  <si>
    <t>நெல்லிக்காய் பொடியாக நறுக்கியது - 1/4 கப்,
சமைத்த அரிசி - 2 கப்,
மஞ்சள் தூள் - ஒரு சிட்டிகை,
எண்ணெய் - 1 டீஸ்பூன்,
கடுகு - 3/4 டீஸ்பூன்,
உளுந்து - 1 1/2 டீஸ்பூன்,
வங்காளப் பருப்பு - 1 டீஸ்பூன்,
சிவப்பு மிளகாய் - 2,
பச்சை மிளகாய் - 1 (துண்டுகளாக நறுக்கியது),
இஞ்சி - 1/2 அங்குல துண்டு நன்றாக நறுக்கியது,
கீரை - தாராளமாக நறுக்கியது,
கறிவேப்பிலை - சிறிதளவு.</t>
  </si>
  <si>
    <t>Heat a tbsp of oil , add mustard seeds, when it splutters, add channa dal (bengal gram), urad dal, red chillies and hing.
Saute until dal turns golden brown, then add green chilli, ginger, curry leaves, turmeric powder and saute for a few seconds.
Now add finely chopped gooseberry, salt needed and cook till soft.
Once the gooseberry is cooked, add the cooked rice and mix gently. Switch off the flame.Check for salt.
Serve with papads, appalams, homemade potato chips or potato curry or yam curry. It also makes a perfect lunch box recipe.
Include gooseberry in your diet and enjoy its health benefits.</t>
  </si>
  <si>
    <t>ஒரு டீஸ்பூன் எண்ணெயை சூடாக்கி, கடுகு சேர்த்து, அது வதங்கியதும், சன்னா பருப்பு (பெங்கால் பருப்பு), உளுத்தம் பருப்பு, சிவப்பு மிளகாய் மற்றும் கீரை சேர்க்கவும்.
பருப்பு பொன்னிறமாகும் வரை வதக்கவும், பின்னர் பச்சை மிளகாய், இஞ்சி, கறிவேப்பிலை, மஞ்சள் தூள் சேர்த்து சில நொடிகள் வதக்கவும்.
இப்போது பொடியாக நறுக்கிய நெல்லிக்காய், தேவையான அளவு உப்பு சேர்த்து மென்மையாகும் வரை வதக்கவும்.
நெல்லிக்காய் வெந்ததும், சமைத்த அரிசியைச் சேர்த்து மெதுவாகக் கலக்கவும். தீயை அணைக்கவும். உப்பு இருக்கிறதா என்று பாருங்கள்.
பப்பாளி, அப்பளம், வீட்டில் தயாரிக்கப்பட்ட உருளைக்கிழங்கு சிப்ஸ் அல்லது உருளைக்கிழங்கு கறி அல்லது யாம் கறியுடன் பரிமாறவும். இது ஒரு சரியான மதிய உணவுப் பெட்டி செய்முறையாகவும் அமைகிறது.
நெல்லிக்காயை உங்கள் உணவில் சேர்த்து அதன் ஆரோக்கிய நன்மைகளை அனுபவிக்கவும்.</t>
  </si>
  <si>
    <t>https://encrypted-tbn0.gstatic.com/images?q=tbn:ANd9GcTV3wK0lLTcNf7jXJ5eAOD9XVQc9kkg17okhQ&amp;s</t>
  </si>
  <si>
    <t>Heat oil in a pan/kadai and add the ingredients mentioned under seasoning. Saute for a few seconds, then  add  chopped onions, slit green chilli and saute until onions turn light brown.
Add ginger garlic paste and saute for a few more minutes.
Add peas, chopped coriander leaves and mint leaves.
Add rice and saute until the water (if any) evaporates.
Add 1 3/4 cup of hot water, salt needed (approximately 2 tsp salt) and bring it to boil.
Transfer it to another container and pressure cook for 3 whistles. Once the pressure subsides, open the cooker,  fluff the rice with a fork gently and serve hot.</t>
  </si>
  <si>
    <t>ஒரு கடாயில்/கடாயில் எண்ணெயை சூடாக்கி, தாளிக்கக் குறிப்பிடப்பட்டுள்ள பொருட்களைச் சேர்க்கவும். சில நொடிகள் வதக்கி, பின்னர் நறுக்கிய வெங்காயம், பச்சை மிளகாய் சேர்த்து வெங்காயம் வெளிர் பழுப்பு நிறமாக மாறும் வரை வதக்கவும்.
இஞ்சி பூண்டு விழுது சேர்த்து இன்னும் சில நிமிடங்கள் வதக்கவும்.
பட்டாணி, நறுக்கிய கொத்தமல்லி இலைகள் மற்றும் புதினா இலைகளைச் சேர்க்கவும்.
அரிசியைச் சேர்த்து தண்ணீர் (ஏதேனும் இருந்தால்) ஆவியாகும் வரை வதக்கவும்.
1 3/4 கப் வெந்நீர், தேவையான அளவு உப்பு (தோராயமாக 2 டீஸ்பூன் உப்பு) சேர்த்து கொதிக்க வைக்கவும்.
வேறொரு பாத்திரத்தில் போட்டு 3 விசில் வரும் வரை பிரஷர் சமைக்கவும். பிரஷர் குறைந்தவுடன், குக்கரைத் திறந்து, அரிசியை ஒரு ஃபோர்க் கொண்டு மெதுவாக பிசைந்து, சூடாகப் பரிமாறவும்.</t>
  </si>
  <si>
    <t>https://www.whiskaffair.com/wp-content/uploads/2021/03/Peas-Pulao-2-3.jpg</t>
  </si>
  <si>
    <t xml:space="preserve">   Basmati Rice – 1 cup,
   Soya Chunks - 10-12,
   Onion – 3/4 cup thinly sliced,
   Green chilli - 1-2 slit,
   Fresh green peas – 1/4 cup,
   Thin coconut milk - 1 3/4 cup,
   Fresh lemon juice - 1 tbsp,
   Salt needed,
   Turmeric powder - 1/4 tsp,
   Chilli Powder – 1 tsp,
   Garam masala powder - 1 tsp,
   Onion – 1 medium size,
   Ginger – 1 inch piece,
   Garlic - 3-4 cloves,
   Green chilli – 1 small,
   Coriander leaves -fistful,
   Mint leaves – fistful,
   Oil – 2 tbsp,
   Cinnamon – 1 inch piece,
   Cloves – 2,
   Cardamom – 1,
   Bay leaf - 1.</t>
  </si>
  <si>
    <t>பாஸ்மதி அரிசி - 1 கப்,
சோயா துண்டுகள் - 10-12,
வெங்காயம் - 3/4 கப் மெல்லியதாக நறுக்கியது,
பச்சை மிளகாய் - 1-2 துண்டுகள்,
புதிய பச்சை பட்டாணி - 1/4 கப்,
மெல்லிய தேங்காய் பால் - 1 3/4 கப்,
புதிய எலுமிச்சை சாறு - 1 டீஸ்பூன்,
உப்பு தேவை,
மஞ்சள் தூள் - 1/4 டீஸ்பூன்,
மிளகாய் தூள் - 1 டீஸ்பூன்,
கரம் மசாலா தூள் - 1 டீஸ்பூன்,
வெங்காயம் - 1 நடுத்தர அளவு,
இஞ்சி - 1 அங்குல துண்டு,
பூண்டு - 3-4 பல்,
பச்சை மிளகாய் - 1 சிறியது,
கொத்தமல்லி இலை - கைப்பிடி அளவு,
புதினா இலைகள் - கைப்பிடி அளவு,
எண்ணெய் - 2 டீஸ்பூன்,
இலவங்கப்பட்டை - 1 அங்குல துண்டு,
கிராம்பு - 2,
ஏலக்காய் - 1,
பிரி இலை - 1.</t>
  </si>
  <si>
    <t>Heat oil in a pressure pan, add the ingredients mentioned under seasoning.
Add thinly sliced onions, green chillies and saute until onions turn pink.
Now add the ground paste and saute until the raw flavor goes. Add peas, turmeric powder, chilli powder, garam masala powder and the soya chunks.
Saute for 2-3 minutes and then add the drained rice.Saute for a minute, add lemon juice, thin coconut milk and salt needed.(approximately 2 tsp salt for 1 cup of rice) Mix well and close the cooker without weight. Keep the flame in medium.
Once the rice is half cooked, stir the contents and close the cooker with weight. Keep it in very low flame for 4-6 minutes and switch off. Open the cooker once the pressure subsides, gently fluff the rice with a fork. Serve hot with pachadi/ raita or any tomato based gravy.
This biryani also makes a perfect lunch box recipe and is very good for growing children as it is rich in protein.</t>
  </si>
  <si>
    <t>ஒரு பிரஷர் பானில் எண்ணெயை சூடாக்கி, தாளிக்க வேண்டிய பொருட்களைச் சேர்க்கவும்.
மெல்லியதாக நறுக்கிய வெங்காயம், பச்சை மிளகாய் சேர்த்து வெங்காயம் இளஞ்சிவப்பு நிறமாக மாறும் வரை வதக்கவும்.
இப்போது அரைத்த விழுதைச் சேர்த்து பச்சை வாசனை போகும் வரை வதக்கவும். பட்டாணி, மஞ்சள் தூள், மிளகாய் தூள், கரம் மசாலா தூள் மற்றும் சோயா துண்டுகளை சேர்க்கவும்.
2-3 நிமிடங்கள் வதக்கி, பின்னர் வடிகட்டிய அரிசியைச் சேர்க்கவும். ஒரு நிமிடம் வதக்கி, எலுமிச்சை சாறு, மெல்லிய தேங்காய் பால் மற்றும் தேவையான உப்பு சேர்க்கவும். (1 கப் அரிசிக்கு தோராயமாக 2 தேக்கரண்டி உப்பு) நன்கு கலந்து குக்கரை எடை இல்லாமல் மூடவும். சுடரை மிதமான அளவில் வைக்கவும்.
அரிசி பாதி வெந்ததும், உள்ளடக்கங்களை கிளறி குக்கரை எடையுடன் மூடவும். 4-6 நிமிடங்கள் மிகக் குறைந்த தீயில் வைத்து அணைக்கவும். பிரஷர் குறைந்தவுடன் குக்கரைத் திறந்து, ஒரு ஃபோர்க் கொண்டு அரிசியை மெதுவாக பிசையவும். பச்சடி/ரைத்தா அல்லது தக்காளி சார்ந்த கிரேவியுடன் சூடாக பரிமாறவும்.
இந்த பிரியாணி ஒரு சரியான மதிய உணவுப் பெட்டி செய்முறையாகும், மேலும் இது புரதம் நிறைந்ததாக இருப்பதால் வளரும் குழந்தைகளுக்கு மிகவும் நல்லது.</t>
  </si>
  <si>
    <t>https://encrypted-tbn0.gstatic.com/images?q=tbn:ANd9GcQ2QfoqZBT9ULRnEzTK3VIjg13h3Ra3dgctYw&amp;s</t>
  </si>
  <si>
    <t>Basmati Rice – 1 cup,
Kala Channa - 1/2 cup,
Onion – 3/4 cup,
Green Chilli – 1-2 slit,
Ginger garlic paste - 1 tsp,
Mint leaves -fistful,
Coriander leaves- fistful,
Thin coconut milk – 1 3/4 cup,
Lemon juice – 1 tbsp,
Turmeric powder - 1/4 tsp,
Chilli powder - 1 tsp,
Garam masala powder - 1 tsp,
Salt as needed,
Oil – 1 1/2 tbsp ,
Cloves - 2,
Cinnamon – 2 inch piece,
Cardamom - 1.</t>
  </si>
  <si>
    <t>பாஸ்மதி அரிசி - 1 கப்,
கால சன்னா - 1/2 கப்,
வெங்காயம் - 3/4 கப்,
பச்சை மிளகாய் - 1-2 கீறல்கள்,
இஞ்சி பூண்டு விழுது - 1 டீஸ்பூன்,
புதினா இலைகள் - கைப்பிடி அளவு,
கொத்தமல்லி இலைகள் - கைப்பிடி அளவு,
மெல்லிய தேங்காய் பால் - 1 3/4 கப்,
எலுமிச்சை சாறு - 1 டீஸ்பூன்,
மஞ்சள் தூள் - 1/4 டீஸ்பூன்,
மிளகாய் தூள் - 1 டீஸ்பூன்,
கரம் மசாலா தூள் - 1 டீஸ்பூன்,
தேவைக்கேற்ப உப்பு,
எண்ணெய் - 1 1/2 டீஸ்பூன்,
கிராம்பு - 2,
இலவங்கப்பட்டை - 2 அங்குல துண்டு,
ஏலக்காய் - 1.</t>
  </si>
  <si>
    <t>Rice is sauteed with a tsp of ghee and kept ready below. This is done just to add flavor to the rice. 
Now take a pressure pan, heat oil, add cloves, cinnamon, cardamom and saute for a few seconds.
Add onions, green chilli and saute until onions turn pink.
Add ginger garlic paste and saute for a few more seconds. Add cooked channa, turmeric powder, chilli powder, garam masala powder, mint leaves, coriander leaves and salt needed. Saute for 2-3 minutes.
Add thin coconut milk and lemon juice.When it starts boiling add the rice and mix well.
Check for salt at this stage. Taste the water and see.If you need salt, add now and mix well. Close the pan and pressure cook for 1 whistle and keep it in very low flame for 5 minutes and switch off. Open after the pressure subsides and gently fluff the rice with a fork.
Another method- If you do not want to pressure cook, close the pan without weight.Once the rice is half cooked, stir the contents and close the pan with weight and keep it in low flame for 4 minutes. Switch off and let it stand for 5-6 minutes. Then open the cooker and gently fluff the rice.
Serve hot with onion pachadi or mixed vegetable raita or any sides dishes like paneer butter masala, aloo gobhi or quick potato gravy etc.</t>
  </si>
  <si>
    <t>அரிசியை ஒரு டீஸ்பூன் நெய்யில் வதக்கி, கீழே தயாராக வைக்கவும். இது அரிசிக்கு சுவை சேர்க்க மட்டுமே செய்யப்படுகிறது.
இப்போது ஒரு பிரஷர் பானை எடுத்து, எண்ணெயை சூடாக்கி, கிராம்பு, இலவங்கப்பட்டை, ஏலக்காய் சேர்த்து சில நொடிகள் வதக்கவும்.
வெங்காயம், பச்சை மிளகாய் சேர்த்து வெங்காயம் இளஞ்சிவப்பு நிறமாக மாறும் வரை வதக்கவும்.
இஞ்சி பூண்டு விழுது சேர்த்து இன்னும் சில நொடிகள் வதக்கவும். சமைத்த சன்னா, மஞ்சள் தூள், மிளகாய் தூள், கரம் மசாலா தூள், புதினா இலைகள், கொத்தமல்லி இலைகள் மற்றும் தேவையான அளவு உப்பு சேர்க்கவும். 2-3 நிமிடங்கள் வதக்கவும்.
மெல்லிய தேங்காய் பால் மற்றும் எலுமிச்சை சாறு சேர்க்கவும். கொதிக்க ஆரம்பிக்கும் போது அரிசியைச் சேர்த்து நன்கு கலக்கவும்.
இந்த கட்டத்தில் உப்பு இருக்கிறதா என்று பாருங்கள். தண்ணீரை ருசித்துப் பாருங்கள். உப்பு தேவைப்பட்டால், இப்போது சேர்த்து நன்கு கலக்கவும். வாணலியை மூடி 1 விசில் வரை பிரஷர் செய்து, மிகக் குறைந்த தீயில் 5 நிமிடங்கள் வைத்து அணைக்கவும். பிரஷர் குறைந்த பிறகு திறந்து, ஒரு முட்கரண்டி கொண்டு அரிசியை மெதுவாக பிசையவும்.
மற்றொரு முறை- நீங்கள் பிரஷர் சமைக்க விரும்பவில்லை என்றால், எடை இல்லாமல் பானையை மூடவும். அரிசி பாதி வெந்தவுடன், உள்ளடக்கங்களை கிளறி, வாணலியை வெயிட்டுடன் மூடி, 4 நிமிடங்கள் குறைந்த தீயில் வைக்கவும். அணைத்து 5-6 நிமிடங்கள் நிற்க விடுங்கள். பின்னர் குக்கரைத் திறந்து அரிசியை மெதுவாக பிசையவும்.
வெங்காய பச்சடி அல்லது மிக்ஸ்டு வெஜிடபிள் ரைத்தா அல்லது பனீர் பட்டர் மசாலா, ஆலு கோபி அல்லது விரைவான உருளைக்கிழங்கு கிரேவி போன்ற ஏதேனும் பக்க உணவுகளுடன் சூடாகப் பரிமாறவும்.</t>
  </si>
  <si>
    <t xml:space="preserve">   Raw Rice – 1/2 cup,
   Milk - 1 cup,
   Curd/Plain yogurt – 1/3 cup,
   Salt as needed,
   Oil – 2 tsp,
   Mustard seeds – 1 tsp,
   Green chilli – 1-2 finely chopped,
   Ginger – 1 tbsp finely chopped,
   Curry leaves – 2 sprigs,
   Coriander leaves – 1 tbsp finely chopped.</t>
  </si>
  <si>
    <t>பச்சை அரிசி - 1/2 கப்,
பால் - 1 கப்,
தயிர்/வெற்று தயிர் - 1/3 கப்,
தேவைக்கேற்ப உப்பு,
எண்ணெய் - 2 தேக்கரண்டி,
கடுகு - 1 தேக்கரண்டி,
பச்சை மிளகாய் - 1-2 பொடியாக நறுக்கியது,
இஞ்சி - 1 தேக்கரண்டி பொடியாக நறுக்கியது,
கறிவேப்பிலை - 2 துளிகள்,
கொத்தமல்லி இலை - 1 தேக்கரண்டி பொடியாக நறுக்கியது.</t>
  </si>
  <si>
    <t>சாதம் சூடானதும், உருளைக்கிழங்கு மசிப்பான் கொண்டு நன்றாக மசித்து, சூடான பால் சேர்த்து நன்கு கலக்கவும்.
சிறிது ஆறியதும், தயிர் மற்றும் தேவையான உப்பு சேர்க்கவும்.
2 தேக்கரண்டி எண்ணெயை சூடாக்கி, கடுகு சேர்த்து, அது வதங்கியதும், பச்சை மிளகாய், இஞ்சி, கறிவேப்பிலை சேர்த்து சில நொடிகள் வதக்கவும். தயிர் சாதத்தின் மேல் ஊற்றவும். நன்றாக கலக்கவும்.
கொத்தமல்லி இலைகளால் அலங்கரித்து ஊறுகாயுடன் பரிமாறவும். இது அடிப்படை தயிர் சாதம் செய்முறை.</t>
  </si>
  <si>
    <t>https://encrypted-tbn0.gstatic.com/images?q=tbn:ANd9GcS2kOH_mydNXBRSvPMpw3EuCR2sg1yrb41VOA&amp;s</t>
  </si>
  <si>
    <t xml:space="preserve">   Oil – 1 tbsp,
   Cooked and cooled rice – 2 cups heaped,
   Onion – 1,
   Garlic – 5 cloves,
   Beans - 10-12,
   Carrot – 1 medium,
   Soya sauce – 2-3 tsp,
   Pepper powder as required,
   Salt needed,
   Oil – 2 tsp,
   Eggs - 2,
   Salt to taste,
   Pepper powder to taste,
   Spring onion greens.</t>
  </si>
  <si>
    <t>எண்ணெய் – 1 டேபிள் ஸ்பூன்,
சமைத்து ஆறவைத்த அரிசி – 2 கப் குவித்து வைக்கவும்,
வெங்காயம் – 1,
பூண்டு – 5 பல்,
பீன்ஸ் - 10-12,
கேரட் – 1 நடுத்தர அளவு,
சோயா சாஸ் – 2-3 டீஸ்பூன்,
தேவைக்கேற்ப மிளகு தூள்,
உப்பு தேவைக்கேற்ப,
எண்ணெய் – 2 டேபிள் ஸ்பூன்,
முட்டை - 2,
ருசிக்கேற்ப உப்பு,
ருசிக்கேற்ப மிளகு தூள்,
ஸ்பிரிங் ஆனியன் கீரைகள்.</t>
  </si>
  <si>
    <t>எண்ணெய்யை சூடாக்கி, பூண்டு சேர்த்து சில நிமிடங்கள் வதக்கவும்.
பின்னர் இறுதியாக நறுக்கிய வெங்காயத்தைச் சேர்த்து, வெளிப்படையான வரை வதக்கவும். இப்போது இறுதியாக நறுக்கிய பீன்ஸ், கேரட் சேர்த்து அதிக தீயில் கிளறவும். முழு செயல்முறையையும் தொடர்ந்து கிளறி அதிக தீயில் செய்ய வேண்டும். காய்கறிகளை அதிகமாக வேகவைக்க வேண்டாம். காய்கறிகள் அவற்றின் மொறுமொறுப்பைத் தக்க வைத்துக் கொள்ள வேண்டும்.
காய்கறிகள் தயாரானதும், சமைத்து ஆறவைத்த அரிசி, தேவையான உப்பு, மிளகு தூள், சோயா சாஸ் சேர்த்து நன்கு பூசும் வரை கலக்கவும்.
தயாரித்த முட்டை ஸ்க்ராம்பிள் சேர்த்து நன்கு கிளறவும். ஸ்பிரிங் ஆனியன் கீரைகளால் அலங்கரிக்கவும். தக்காளி சாஸ் அல்லது கோபி மஞ்சூரியன் அல்லது காய்கறி மஞ்சூரியன் போன்ற எந்த இந்திய சீன உணவுடனும் சூடாகப் பரிமாறவும்.
இந்த முட்டை வறுத்த அரிசி மிகவும் எளிமையானது, மிகக் குறைந்த பொருட்கள் மட்டுமே தேவை, மிக விரைவாக தயாரிக்கலாம். இது ஆரோக்கியமானது, நிறைவானது மற்றும் சுவையானது. மிகவும் விரைவானது, ஆனால் சுவையானது!!</t>
  </si>
  <si>
    <t>https://www.allrecipes.com/thmb/uYMqG7VrzwVLqAk3o2ff8t-ydKU=/0x512/filters:no_upscale():max_bytes(150000):strip_icc()/ALR-23298-egg-fried-rice-VAT-4x3-2closeup-ab653366830b41cc8d62627939ccc6c7.jpg</t>
  </si>
  <si>
    <t xml:space="preserve">   Basmati rice – 1 cup,
   Onion – 2,
   Mint leaves – 1 medium sized bunch,
   Green chilli – 2,
   Ginger – 1 inch piece,
   Fresh peas – fistful ,
   Fresh lemon juice - 1 tbsp,
   Oil – 2 tbsp,
   Cardamom - 1,
   Cinnamon – 1 inch piece,
   Cloves – 2.</t>
  </si>
  <si>
    <t>பாஸ்மதி அரிசி - 1 கப்,
வெங்காயம் - 2,
புதினா இலைகள் - 1 நடுத்தர அளவு,
பச்சை மிளகாய் - 2,
இஞ்சி - 1 அங்குல துண்டு,
புதிதாகப் பிசைந்த பட்டாணி - ஒரு கைப்பிடி,
புதிதாகப் பிசைந்த எலுமிச்சை சாறு - 1 டீஸ்பூன்,
எண்ணெய் - 2 டீஸ்பூன்,
ஏலக்காய் - 1,
இலவங்கப்பட்டை - 1 அங்குல துண்டு,
கிராம்பு - 2.</t>
  </si>
  <si>
    <t xml:space="preserve">Heat oil in a pan, add the ingredients mentioned under seasoning, saute for a few seconds, then add thinly sliced onions and saute till onions turn pink.
Add the ground paste and saute till the raw flavor of the mint paste goes. If you have fresh peas with you, then you can add a handful of fresh peas now.
Add drained rice, salt needed (for 1 cup rice it is approximately 2 tsp flat salt), juice of half a lemon, and 1 3/4 cup of water. Transfer it to another vessel (in case if you have done it in kadai) and pressure cook for 3 whistles and switch off.
In case, if you are cooking directly in the pressure cooker/pan as shown above, pressure cook for 1 whistle and simmer for another 5-6 minutes. Switch off and open the cooker once the pressure subsides.
</t>
  </si>
  <si>
    <t>ஒரு கடாயில் எண்ணெயை சூடாக்கி, தாளிக்க வேண்டிய பொருட்களைச் சேர்த்து, சில நொடிகள் வதக்கி, பின்னர் மெல்லியதாக நறுக்கிய வெங்காயத்தைச் சேர்த்து வெங்காயம் இளஞ்சிவப்பு நிறமாக மாறும் வரை வதக்கவும்.
புதினா விழுதைச் சேர்த்து, புதினா விழுதின் பச்சை வாசனை போகும் வரை வதக்கவும். உங்களிடம் புதிய பட்டாணி இருந்தால், இப்போது ஒரு கைப்பிடி புதிய பட்டாணியைச் சேர்க்கலாம்.
காய்ந்த அரிசி, தேவையான உப்பு (1 கப் அரிசிக்கு இது தோராயமாக 2 தேக்கரண்டி உப்பு), அரை எலுமிச்சை சாறு மற்றும் 1 3/4 கப் தண்ணீர் சேர்க்கவும். அதை வேறொரு பாத்திரத்தில் (நீங்கள் அதை கடாயில் செய்திருந்தால்) மாற்றி, 3 விசில் வரும் வரை பிரஷர் குக்கரில் வேகவைத்து, அணைக்கவும்.
மேலே காட்டப்பட்டுள்ளபடி நீங்கள் நேரடியாக பிரஷர் குக்கர்/பானில் சமைத்தால், 1 விசில் வரை பிரஷர் குக்கரை வேகவைத்து, மேலும் 5-6 நிமிடங்கள் கொதிக்க வைக்கவும். பிரஷர் குறைந்தவுடன் குக்கரை அணைத்துவிட்டு திறக்கவும்.</t>
  </si>
  <si>
    <t>https://encrypted-tbn0.gstatic.com/images?q=tbn:ANd9GcRz_opzxyiwgsBSAmn4WXAuXpjJWXBwlaAdQQ&amp;s</t>
  </si>
  <si>
    <t>Andhra Puliyodharai</t>
  </si>
  <si>
    <t>ஆந்திரா புளியோதரை</t>
  </si>
  <si>
    <t xml:space="preserve"> Raw Rice – 1 cup,
   Tamarind – lemon sized ball,
   Mustard powder – 1/2 tsp,
   Turmeric powder – 1/4 tsp,
   Sesame seed Oil for mixing with cooked rice – 1 tbsp,
   Oil – 1/4 cup ,
   Mustard seeds - 1 tsp,
   Urad dal – 1 tbsp,
   Bengal gram - 1 tbsp,
   Peanuts – 2 tbsp,
   Green chillies – 3 ,
   Red chillies – 6,
   Ginger – 2 tsp,
   Curry leaves – a sprig.</t>
  </si>
  <si>
    <t>பச்சை அரிசி - 1 கப்,
புளி - எலுமிச்சை அளவு உருண்டை,
கடுகு பொடி - 1/2 தேக்கரண்டி,
மஞ்சள் பொடி - 1/4 தேக்கரண்டி,
சமைத்த அரிசியுடன் கலக்க எள் விதை எண்ணெய் - 1 தேக்கரண்டி,
எண்ணெய் - 1/4 கப்,
கடுகு - 1 தேக்கரண்டி,
உரத்த பருப்பு - 1 தேக்கரண்டி,
வங்கக்கடலை - 1 தேக்கரண்டி,
கடலைப்பருப்பு - 2 தேக்கரண்டி,
பச்சை மிளகாய் - 3,
சிவப்பு மிளகாய் - 6,
இஞ்சி - 2 தேக்கரண்டி,
கறிவேப்பிலை - ஒரு தளிர்.</t>
  </si>
  <si>
    <t>When you keep everything ready, making this puliyodharai is a breeze.
Heat 1/4 cup of oil, add mustard seeds, when it splutters, add urad dal, bengal gram and peanuts. Saute till dal changes to light golden brown.
Then add green chillies, finely chopped ginger and saute for a few seconds.
Then add red chillies, curry leaves and fry for a few seconds. Take care not to burn the chillies.
Now add tamarind extract, needed salt and keep it on medium flame.
While it is boiling, we will prepare the rice. Mix 1/4 tsp of turmeric powder with 1 tbsp of oil and mix it gently with rice. Also mix mustard powder in a tsp of water and mix it with the rice. It is best to use your hands to mix everything together gently. Keep aside.
Boil the tamarind extract till it thickens (saucy consistency) and leaves oil. 
Now the rice and the tamarind paste (also called pulikachal) are ready.
Add needed tamarind paste to the rice and mix it gently.
Since I love it spicy, I mixed all the paste I prepared with the cooked rice.
Andhra pulihora is ready to be served with papads or potato chips or appalam. It tastes great after 2-3 hours of preparation. I made it in the afternoon and had it for dinner. Believe me, it was super delicious!</t>
  </si>
  <si>
    <t>எல்லாம் தயாரானதும், இந்த புளியோதரை செய்வது ஒரு நல்ல காற்று.
1/4 கப் எண்ணெயை சூடாக்கி, கடுகு விதைகளைச் சேர்த்து, அது வதங்கியதும், உளுத்தம் பருப்பு, வங்கக் பருப்பு மற்றும் வேர்க்கடலையைச் சேர்க்கவும். பருப்பு லேசான தங்க பழுப்பு நிறமாக மாறும் வரை வதக்கவும்.
பின்னர் பச்சை மிளகாய், இறுதியாக நறுக்கிய இஞ்சியைச் சேர்த்து சில நொடிகள் வதக்கவும்.
பிறகு சிவப்பு மிளகாய், கறிவேப்பிலை சேர்த்து சில நொடிகள் வதக்கவும். மிளகாய் கருகாமல் பார்த்துக் கொள்ளுங்கள்.
இப்போது புளி சாறு, தேவையான அளவு உப்பு சேர்த்து மிதமான தீயில் வைக்கவும்.
கொதிக்கும் போது, ​​சாதம் தயார் செய்வோம். 1/4 தேக்கரண்டி மஞ்சள் தூளை 1 தேக்கரண்டி எண்ணெயுடன் கலந்து அரிசியுடன் மெதுவாக கலக்கவும். கடுகு பொடியையும் ஒரு தேக்கரண்டி தண்ணீரில் கலந்து அரிசியுடன் கலக்கவும். எல்லாவற்றையும் உங்கள் கைகளால் மெதுவாக கலக்கவும். ஒதுக்கி வைக்கவும்.
புளி சாறு கெட்டியாகும் வரை (காரமான நிலைத்தன்மை) மற்றும் எண்ணெய் வெளியேறும் வரை வேகவைக்கவும்.
இப்போது அரிசி மற்றும் புளி விழுது (புளிகாச்சல் என்றும் அழைக்கப்படுகிறது) தயாராக உள்ளது.
தேவையான புளி விழுதை அரிசியுடன் சேர்த்து மெதுவாக கலக்கவும்.
எனக்கு இது காரமானதாக இருப்பதால், நான் தயாரித்த அனைத்து விழுதையும் சமைத்த அரிசியுடன் கலக்கினேன்.
ஆந்திரா புளிஹோரா பப்படா அல்லது உருளைக்கிழங்கு சிப்ஸ் அல்லது அப்பளத்துடன் பரிமாற தயாராக உள்ளது. 2-3 மணி நேரம் தயாரித்த பிறகு இது மிகவும் சுவையாக இருக்கும். நான் அதை மதியம் செய்து இரவு உணவிற்கு சாப்பிட்டேன். நம்புங்க, சூப்பர் சுவையா இருந்தது!</t>
  </si>
  <si>
    <t>https://encrypted-tbn0.gstatic.com/images?q=tbn:ANd9GcTaB87Xy5WHE5VP3MO-qyD2ypIPc__3k4loZQ&amp;s</t>
  </si>
  <si>
    <t>காய்கறி அரிசி</t>
  </si>
  <si>
    <t>Brown rice – 1/2 cup,
Onion – 2 medium size,
Ginger –  1 inch piece finely chopped,
Green chilli – 1- 2 slit,
Mint leaves – fistful,
Carrot – 1,
Beans – 5-6,
Peas ,
Oil – 1 1/2 tbsp,
Cloves – 2,
Cardamom – 1,
Cinnamon – 1 inch piece.</t>
  </si>
  <si>
    <t>பழுப்பு அரிசி - 1/2 கப்,
வெங்காயம் - 2 நடுத்தர அளவு,
இஞ்சி - 1 அங்குல துண்டு நன்றாக நறுக்கியது,
பச்சை மிளகாய் - 1- 2 துண்டுகள்,
புதினா இலைகள் - ஒரு கைப்பிடி,
கேரட் - 1,
பீன்ஸ் - 5-6,
பட்டாணி ,
எண்ணெய் - 1 1/2 டீஸ்பூன்,
கிராம்பு - 2,
ஏலக்காய் - 1,
இலவங்கப்பட்டை - 1 அங்குல துண்டு.</t>
  </si>
  <si>
    <t>Raw Mango Masala Rice</t>
  </si>
  <si>
    <t>பச்சை மாங்காய் மசாலா சாதம்</t>
  </si>
  <si>
    <t>Raw Mango – 1 ,
Cooked rice - 3 cups,
Chilli powder – 2 tsp,
Turmeric powder - a generous pinch,
Salt as required,
Sesame seed oil - 2 tbsp,
Mustard seeds - 1 tsp,
Curry leaves -few.</t>
  </si>
  <si>
    <t>பச்சை மாங்காய் - 1,
சமைத்த அரிசி - 3 கப்,
மிளகாய் தூள் - 2 தேக்கரண்டி,
மஞ்சள் தூள் - ஒரு சிட்டிகை,
தேவைக்கேற்ப உப்பு,
எள் விதை எண்ணெய் - 2 தேக்கரண்டி,
கடுகு - 1 தேக்கரண்டி,
கறிவேப்பிலை - சிறிது.</t>
  </si>
  <si>
    <t>ஒரு கடாயில் எண்ணெயை சூடாக்கி, கடுகு, கறிவேப்பிலை சேர்த்து, கடுகு வதங்கியதும், நறுக்கிய மாங்காய், மஞ்சள் தூள், மிளகாய் தூள் மற்றும் தேவையான உப்பு சேர்க்கவும்.
மாங்காய்த்தூளை வதக்கி, மிளகாய் தூளின் பச்சை வாசனை போகும் வரை சில நிமிடங்கள் சமைக்கவும். மாங்காய்களை அதிகமாக வேகவிடாதீர்கள்.
சமைத்த அரிசியைச் சேர்த்து நன்கு கலக்கவும். உப்பு இருக்கிறதா என்று சரிபார்க்கவும். ஏதேனும் ரைட்டா / பச்சடி, சிப்ஸ் அல்லது பப்பட்டுகளுடன் மகிழுங்கள்.</t>
  </si>
  <si>
    <t xml:space="preserve"> Basmati rice - 1 cup,
   Onion – 1,
   Green chilli - 2,
   Ginger garlic paste – 1 tsp,
   Tomato – 1 ,
   Mint leaves – handful,
   Mixed Vegetables,
   Peas – 1/3 cup,
   Lemon juice - 2 tsp,
   Turmeric powder – a pinch,
   Chilli powder – 1 tsp,
   Salt as required,
   Oil - 2 tsp,
   Ghee – 1 tsp,
   Cinnamon - 1 inch piece,
   Cardamom - 1,
   Bay leaf - 1,
   Cloves - 2,
   Coriander leaves.</t>
  </si>
  <si>
    <t>பாஸ்மதி அரிசி - 1 கப்,
வெங்காயம் - 1,
பச்சை மிளகாய் - 2,
இஞ்சி பூண்டு விழுது - 1 டீஸ்பூன்,
தக்காளி - 1 ,
புதினா இலைகள் - ஒரு கைப்பிடி,
கலவை காய்கறிகள்,
பட்டாணி - 1/3 கப்,
எலுமிச்சை சாறு - 2 டீஸ்பூன்,
மஞ்சள் தூள் - ஒரு சிட்டிகை,
மிளகாய் தூள் - 1 டீஸ்பூன்,
தேவைக்கேற்ப உப்பு,
எண்ணெய் - 2 டீஸ்பூன்,
நெய் - 1 டீஸ்பூன்,
இலவங்கப்பட்டை - 1 அங்குல துண்டு,
ஏலக்காய் - 1,
பிரி இலை - 1,
கிராம்பு - 2,
கொத்தமல்லி இலைகள்.</t>
  </si>
  <si>
    <t xml:space="preserve">  Basmati Rice – 1 cup,
   Salt needed,
   Butter or Ghee – 1 1/2 tbsp,
   Cinnamon – 2 inch piece,
   Bay leaf – 1,
   Clove – 1,
   Star anise – 1,
   Cumin seeds – 2 tsp,
   Fried Onion – 1-2 tbsp.</t>
  </si>
  <si>
    <t xml:space="preserve">Heat butter or ghee in a pan, add cloves, cinnamon and bay leaf, saute for a few seconds and then add jeera seeds.
When jeera sizzles, add the drained rice and fry on medium heat until the rice is well coated with the ghee/butter.
Add 2 cups of water and needed salt. Taste the water to check for salt.
When water starts boiling, lower the heat and cook covered until the rice is soft. Fluff it with a fork and serve hot with any gravy side dish of your choice. Dal, paneer gravies, mushroom gravies, non veg gravies, all go well with jeera rice.
If preferred, you can garnish with fried onions.
 </t>
  </si>
  <si>
    <t>ஒரு கடாயில் வெண்ணெய் அல்லது நெய்யை சூடாக்கி, கிராம்பு, இலவங்கப்பட்டை மற்றும் பிரியாணி இலை சேர்த்து, சில நொடிகள் வதக்கி, பின்னர் ஜீரா விதைகளைச் சேர்க்கவும்.
ஜீரா கொதிக்கும் போது, ​​வடிகட்டிய அரிசியைச் சேர்த்து, அரிசியில் நெய்/வெண்ணெய் நன்றாகப் படரும் வரை மிதமான தீயில் வதக்கவும்.
2 கப் தண்ணீர் மற்றும் தேவையான உப்பு சேர்க்கவும். உப்பு இருக்கிறதா என்று சோதிக்க தண்ணீரை சுவைக்கவும்.
தண்ணீர் கொதிக்க ஆரம்பித்ததும், தீயைக் குறைத்து, அரிசி மென்மையாகும் வரை மூடி வைக்கவும். ஒரு ஃபோர்க் கொண்டு பிசைந்து, உங்களுக்கு விருப்பமான கிரேவி சைட் டிஷ்ஷுடன் சூடாகப் பரிமாறவும். பருப்பு, பனீர் கிரேவி, காளான் கிரேவி, அசைவ கிரேவி, அனைத்தும் ஜீரா அரிசியுடன் நன்றாகப் பொருந்தும்.
விருப்பப்பட்டால், வறுத்த வெங்காயத்தால் அலங்கரிக்கலாம்.</t>
  </si>
  <si>
    <t>https://encrypted-tbn0.gstatic.com/images?q=tbn:ANd9GcSkY0nSngaijmjmQoRfGTBpOH6sipYNU7Zmvw&amp;s</t>
  </si>
  <si>
    <t xml:space="preserve">  Daliya – 1/2 cup,
   Onion - 1 finely chopped,
   Green chilli – 1 finely chopped,
   Ginger-garlic paste - 1/2 tsp,
   Carrot – 1 finely chopped,
   Beans – 5-6 finely chopped,
   Chilli powder – 1/2 tsp,
   Coriander powder – 1/2 tsp,
   Salt to taste,
   Oil – 1 tbsp,
   Mustard seeds - 1/2 tsp,
   Cumin seeds – 1/2 tsp,
   Curry leaves – a sprig,
   Coriander leaves – 2 tbsp finely chopped,
   Ghee/clarified butter – 2 tsp.
</t>
  </si>
  <si>
    <t>டாலியா - 1/2 கப்,
வெங்காயம் - 1 பொடியாக நறுக்கியது,
பச்சை மிளகாய் - 1 பொடியாக நறுக்கியது,
இஞ்சி-பூண்டு விழுது - 1/2 டீஸ்பூன்,
கேரட் - 1 பொடியாக நறுக்கியது,
பீன்ஸ் - 5-6 பொடியாக நறுக்கியது,
மிளகாய் தூள் - 1/2 டீஸ்பூன்,
கொத்தமல்லி தூள் - 1/2 டீஸ்பூன்,
சுவைக்கேற்ப உப்பு,
எண்ணெய் - 1 டீஸ்பூன்,
கடுகு - 1/2 டீஸ்பூன்,
சீரகம் - 1/2 டீஸ்பூன்,
கறிவேப்பிலை - ஒரு தளிர்,
கொத்தமல்லி இலை - 2 டீஸ்பூன் பொடியாக நறுக்கியது,
நெய்/தெளித்த வெண்ணெய் - 2 டீஸ்பூன்.</t>
  </si>
  <si>
    <t>Heat oil in a pan, add cumin seeds and mustard seeds, when it splutters, add finely chopped onions, green chilli, curry leaves and saute till onions turn transparent.
Add ginger-garlic paste (or finely chopped ginger and garlic) and saute for a few more minutes.
Add carrot, beans, chilli powder, coriander powder and salt needed. Mix well.
Add the soaked dalia along with the water. Taste the water to check for salt. If needed add at this stage.
Then pressure cook for 3 whistles keeping it in a vessel inside the cooker as shown in the picture below.
Once the pressure subsides, open the cooker, add 2 tsp of ghee, garnish with coriander leaves, mix well and serve hot.
This khichdi should not be like upma but should be mushy.</t>
  </si>
  <si>
    <t>ஒரு கடாயில் எண்ணெயை சூடாக்கி, சீரகம் மற்றும் கடுகு சேர்த்து, அது வதங்கியதும், பொடியாக நறுக்கிய வெங்காயம், பச்சை மிளகாய், கறிவேப்பிலை சேர்த்து வெங்காயம் வெளிப்படையானதாக மாறும் வரை வதக்கவும்.
இஞ்சி-பூண்டு விழுது (அல்லது பொடியாக நறுக்கிய இஞ்சி மற்றும் பூண்டு) சேர்த்து இன்னும் சில நிமிடங்கள் வதக்கவும்.
கேரட், பீன்ஸ், மிளகாய் தூள், கொத்தமல்லி தூள் மற்றும் தேவையான அளவு உப்பு சேர்க்கவும். நன்றாக கலக்கவும்.
ஊறவைத்த டாலியாவை தண்ணீருடன் சேர்க்கவும். உப்பு இருக்கிறதா என்று சோதிக்க தண்ணீரை சுவைக்கவும். தேவைப்பட்டால் இந்த கட்டத்தில் சேர்க்கவும்.
பின்னர் கீழே உள்ள படத்தில் காட்டப்பட்டுள்ளபடி குக்கரின் உள்ளே ஒரு பாத்திரத்தில் வைத்து 3 விசில் வரை பிரஷர் சமைக்கவும்.
பிரஷர் குறைந்தவுடன், குக்கரைத் திறந்து, 2 தேக்கரண்டி நெய்யைச் சேர்த்து, கொத்தமல்லி இலைகளால் அலங்கரித்து, நன்கு கலந்து சூடாகப் பரிமாறவும்.
இந்த கிச்சடி உப்மா போல இருக்கக்கூடாது, ஆனால் மென்மையாக இருக்க வேண்டும்.</t>
  </si>
  <si>
    <t>https://encrypted-tbn0.gstatic.com/images?q=tbn:ANd9GcQRwdtHvhyvFYoC0NVi2M1jaRXsjLhT7Ngp6g&amp;s</t>
  </si>
  <si>
    <t>https://encrypted-tbn0.gstatic.com/images?q=tbn:ANd9GcRT3exlC_ROMb4eVC3QDrpe9AHaiPDioOA44g&amp;s</t>
  </si>
  <si>
    <t xml:space="preserve">  Raw rice - 3/4 cup,
   Tur dal – 1/3 cup,
   Tamarind – a small lemon sized ball,
   Turmeric powder – a pinch,
   Ghee -2 tsp,
   Salt needed,
   Pearl onions - 10 ,
   Carrot – 2 medium size,
   Beans – 10,
   Potato – 1 medium size,
   Channa dal - 2 tsp,
   Coriander seeds - 1 tbsp,
   Red chilli - 5,
   Whole black pepper - 4,
   Grated coconut - 1/4 cup flat,
   Oil – 4 tsp,
   Mustard seeds – 1 tsp,
   Fenugreek seeds – 1/2 tsp,
   Red chilli – 1,
   Asafoetida – a generous pinch,
   Curry leaves – 2 sprigs.</t>
  </si>
  <si>
    <t>பச்சை அரிசி - 3/4 கப்,
துர் பருப்பு - 1/3 கப்,
புளி - ஒரு சிறிய எலுமிச்சை அளவு உருண்டை,
மஞ்சள் தூள் - ஒரு சிட்டிகை,
நெய் - 2 தேக்கரண்டி,
உப்பு தேவை,
முத்து வெங்காயம் - 10 ,
கேரட் - 2 நடுத்தர அளவு,
பீன்ஸ் - 10,
உருளைக்கிழங்கு - 1 நடுத்தர அளவு,
சன்னா பருப்பு - 2 தேக்கரண்டி,
கொத்தமல்லி விதைகள் - 1 தேக்கரண்டி,
சிவப்பு மிளகாய் - 5,
முழு கருப்பு மிளகு - 4,
தேங்காய் துருவல் - 1/4 கப் தட்டையானது,
எண்ணெய் - 4 தேக்கரண்டி,
கடுகு - 1 தேக்கரண்டி,
வெந்தயம் - 1/2 தேக்கரண்டி,
சிவப்பு மிளகாய் - 1,
அசாஃபோடிடா - ஒரு சிட்டிகை,
கறிவேப்பிலை - 2 தண்டுகள்.</t>
  </si>
  <si>
    <t xml:space="preserve">Keep all the vegetables ready.
Heat oil, add mustard seeds, when mustard seeds splutter, add hing, fenugreek seeds, red chilli and curry leaves. Then add pearl onions and saute until it turns pink.
Add the chopped vegetables and saute for a few seconds. Add 1/2 cup of water and cook the vegetables. When the vegetables are half cooked, add tamarind water, turmeric powder, salt needed and cook covered  on medium heat until the raw smell of the tamarind goes (Alternatively, you can par boil or steam the vegetables and then add).
Now add the ground masala and cooked tur dal.
Add 1 1/4 cup of water and let it boil on low flame. Then add cooked rice and mix well. Simmer and cook for a few seconds so that it gets mixed well with the masala. Check for salt.
Add ghee and mix well. Garnish with coriander leaves and serve piping hot with onion raita or homemade potato chips or vadam.
</t>
  </si>
  <si>
    <t>அனைத்து காய்கறிகளையும் தயாராக வைக்கவும்.
எண்ணெயை சூடாக்கி, கடுகு சேர்த்து, கடுகு வதங்கியதும், கீரை, வெந்தயம், சிவப்பு மிளகாய் மற்றும் கறிவேப்பிலை சேர்க்கவும். பின்னர் முத்து வெங்காயத்தைச் சேர்த்து இளஞ்சிவப்பு நிறமாக மாறும் வரை வதக்கவும்.
நறுக்கிய காய்கறிகளைச் சேர்த்து சில நொடிகள் வதக்கவும். 1/2 கப் தண்ணீர் சேர்த்து காய்கறிகளை சமைக்கவும். காய்கறிகள் பாதி வெந்ததும், புளி தண்ணீர், மஞ்சள் தூள், தேவையான அளவு உப்பு சேர்த்து, புளியின் பச்சை வாசனை போகும் வரை மிதமான தீயில் மூடி வைத்து சமைக்கவும் (மாற்றாக, நீங்கள் காய்கறிகளை வேகவைக்கலாம் அல்லது வேகவைத்து பின்னர் சேர்க்கலாம்).
இப்போது அரைத்த மசாலா மற்றும் சமைத்த துவரம் பருப்பைச் சேர்க்கவும்.
1 1/4 கப் தண்ணீர் சேர்த்து குறைந்த தீயில் கொதிக்க விடவும். பின்னர் சமைத்த அரிசியைச் சேர்த்து நன்கு கலக்கவும். மசாலாவுடன் நன்றாகக் கலக்கும் வரை சில நொடிகள் வேகவைக்கவும். உப்பு இருக்கிறதா என்று சரிபார்க்கவும்.
நெய்யைச் சேர்த்து நன்கு கலக்கவும். கொத்தமல்லி இலைகளால் அலங்கரித்து, வெங்காய ரைத்தா அல்லது வீட்டில் தயாரிக்கப்பட்ட உருளைக்கிழங்கு சிப்ஸ் அல்லது வடம் சேர்த்து சூடாகப் பரிமாறவும்.</t>
  </si>
  <si>
    <t xml:space="preserve">   Basmati Rice - 1 cup,
   Button mushrooms - 150 grams,
   Onion - 2 medium size,
   Ginger-Garlic paste - 2 tsp,
   Green chilli - 2-3,
   Mint leaves - handful,
   Coriander leaves - handful,
   Thick Curd - 3 tbsp,
   Salt to taste,
   Oil -  1 tbsp
   Cinnamon - 1 inch piece,
   Bay leaf - 1,
   Cloves - 3.</t>
  </si>
  <si>
    <t>பாஸ்மதி அரிசி - 1 கப்,
பட்டன் காளான்கள் - 150 கிராம்,
வெங்காயம் - 2 நடுத்தர அளவு,
இஞ்சி-பூண்டு விழுது - 2 தேக்கரண்டி,
பச்சை மிளகாய் - 2-3,
புதினா இலைகள் - கைப்பிடி,
கொத்தமல்லி இலைகள் - கைப்பிடி,
தடித்த தயிர் - 3 தேக்கரண்டி,
ருசிக்க உப்பு,
எண்ணெய் - 1 தேக்கரண்டி
இலவங்கப்பட்டை - 1 அங்குல துண்டு,
பிரி இலை - 1,
கிராம்பு - 3.</t>
  </si>
  <si>
    <t>Heat oil and add all the ingredients mentioned under “for the seasoning”.
Add onions and saute until they turn transparent.
Add ginger-garlic paste, slit green chillies and saute for few more minutes.
Then add button mushrooms, chopped mint, coriander leaves and fry for a few seconds.
Add curd and saute for a few more seconds.
Now add 2 cups of water, needed salt, basmati rice and pressure cook for 3 whistles.(if using a separate vessel inside the cooker)
If cooking directly in the cooker, after adding everything, close the cooker without weight, when it is half cooked, stir the contents and close it with weight and cook on very low flame for 5 minutes. 
Switch off and open once the pressure subsides.
Once done, fluff the rice with a fork and serve hot.</t>
  </si>
  <si>
    <t>எண்ணெயை சூடாக்கி, "காரத்திற்காக" என்பதன் கீழ் குறிப்பிடப்பட்டுள்ள அனைத்து பொருட்களையும் சேர்க்கவும்.
வெங்காயத்தைச் சேர்த்து அவை வெளிப்படையானதாக மாறும் வரை வதக்கவும்.
இஞ்சி-பூண்டு விழுது, பச்சை மிளகாய் நறுக்கி, இன்னும் சில நிமிடங்கள் வதக்கவும்.
பின்னர் பட்டன் காளான்கள், நறுக்கிய புதினா, கொத்தமல்லி இலைகளைச் சேர்த்து சில வினாடிகள் வதக்கவும்.
தயிர் சேர்த்து இன்னும் சில வினாடிகள் வதக்கவும்.
இப்போது 2 கப் தண்ணீர், தேவையான உப்பு, பாஸ்மதி அரிசி சேர்த்து 3 விசில் வரை பிரஷர் சமைக்கவும். (குக்கருக்குள் ஒரு தனி பாத்திரத்தைப் பயன்படுத்தினால்)
குக்கரில் நேரடியாக சமைத்தால், எல்லாவற்றையும் சேர்த்த பிறகு, குக்கரை எடை இல்லாமல் மூடி, அது பாதி வெந்ததும், உள்ளடக்கங்களைக் கிளறி, வெயிட்டால் மூடி, மிகக் குறைந்த தீயில் 5 நிமிடங்கள் சமைக்கவும்.
அணைத்துவிட்டு, அழுத்தம் குறைந்தவுடன் திறக்கவும்.
வெப்பம் தணிந்த பிறகு, அரிசியை ஒரு முட்கரண்டி கொண்டு பிசைந்து சூடாகப் பரிமாறவும்.</t>
  </si>
  <si>
    <t>https://encrypted-tbn0.gstatic.com/images?q=tbn:ANd9GcSSu2bU0yzVCDST1voArMTTVapACXPYPHdyFw&amp;s</t>
  </si>
  <si>
    <t xml:space="preserve"> Raw Rice – 2 cups,
   Moong dal – 1 cup,
   Grated coconut – 1/4 cup,
   Pepper-Jeera powder – 1/4 tsp,
   Salt needed,
   Oil - 4 tbsp,
   Mustard - 1 tsp,
   Asafoetida – 1/4 tsp,
   Bengal gram – 1 tbsp,
   Urad dal - 2 tsp,
   Red chillies – 5,
   Green chilli - 1,
   Ginger – 1 inch piece,
   Curry leaves – a sprig.</t>
  </si>
  <si>
    <t>பச்சை அரிசி - 2 கப்,
பாசிப்பருப்பு - 1 கப்,
தேங்காய் துருவியது - 1/4 கப்,
மிளகு-ஜீரா தூள் - 1/4 டீஸ்பூன்,
உப்பு தேவை,
எண்ணெய் - 4 டீஸ்பூன்,
கடுகு - 1 டீஸ்பூன்,
அசாஃபோடிடா - 1/4 டீஸ்பூன்,
வங்கக்கடல் பருப்பு - 1 டீஸ்பூன்,
உரத்த பருப்பு - 2 டீஸ்பூன்,
சிவப்பு மிளகாய் - 5,
பச்சை மிளகாய் - 1,
இஞ்சி - 1 அங்குல துண்டு,
கறிவேப்பிலை - ஒரு தளிர்.</t>
  </si>
  <si>
    <t>Dry roast Moong dal till golden brown.
Dry roast rice a little. Mix both together and keep it aside.
Heat oil, add mustard seeds, when it splutters, add the other ingredients mentioned under seasoning in the same order.
When dal turns golden brown, add the roasted rice + moong dal and fry for a few seconds till all the seasoning gets coated well with the rice and dal mixture.
Add 8 cups of boiling water, needed salt and pressure cook for 2 whistles. ( It can be cooked directly in the pressure cooker as I have done or transfer it to another vessel and pressure cook).
cooking rice and dal for Dhal rice
 After the steam is released, open the cooker, add graded coconut (optional) and mix it well with the back of the ladle. Arisi pasi paruppu sadam/ Moong dal rice is ready to be served.
We had it hot with tomato chutney. It was simply divine. Do try this easy breezy dish and enjoy!</t>
  </si>
  <si>
    <t>பாசிப்பருப்பை பொன்னிறமாகும் வரை வறுக்கவும்.
சாதத்தை சிறிது வறுக்கவும். இரண்டையும் ஒன்றாக கலந்து தனியாக வைக்கவும்.
எண்ணெயை சூடாக்கி, கடுகு சேர்த்து, அது வதங்கியதும், தாளிக்க வேண்டிய மற்ற பொருட்களை அதே வரிசையில் சேர்க்கவும்.
பாசிப்பருப்பு பொன்னிறமாக மாறியதும், வறுத்த அரிசி + பாசிப்பருப்பை சேர்த்து, அரிசி மற்றும் பருப்பின் கலவையுடன் அனைத்து காரமும் நன்றாகப் பூசும் வரை சில நொடிகள் வதக்கவும்.
8 கப் கொதிக்கும் நீர், தேவையான உப்பு மற்றும் பிரஷர் குக்கர் சேர்த்து 2 விசில் வரை சமைக்கவும். (நான் செய்தது போல் பிரஷர் குக்கரில் நேரடியாக சமைக்கலாம் அல்லது வேறு பாத்திரத்தில் பிரஷர் குக்கரில் மாற்றலாம்).
பருப்பு சாதத்திற்கு அரிசி மற்றும் பருப்பை சமைக்கவும்
நீராவி வெளியேறிய பிறகு, குக்கரைத் திறந்து, துருவிய தேங்காய் (விரும்பினால்) சேர்த்து, கரண்டியின் பின்புறத்தில் நன்கு கலக்கவும். அரிசி பாசி பருப்பு சாதம்/ பாசி பருப்பு சாதம் பரிமாற தயாராக உள்ளது.
தக்காளி சட்னியுடன் சூடாக சாப்பிட்டோம். இது மிகவும் அருமையாக இருந்தது. இந்த எளிதான தென்றல் உணவை முயற்சி செய்து மகிழுங்கள்!</t>
  </si>
  <si>
    <t>https://encrypted-tbn0.gstatic.com/images?q=tbn:ANd9GcT3F8HD7XJPpxMchgIKxQmM2n79X_ckRwqVlQ&amp;s</t>
  </si>
  <si>
    <t>காய்கறி ஃபிரைடு ரைஸ்</t>
  </si>
  <si>
    <t xml:space="preserve">  Basmati rice – 1 cup,
   Oil - 1 tsp for cooking rice,
   Beans – 1/4 cup finely chopped,
   Carrot – 1/4 cup finely chopped,
   Cabbage – 1 cup shredded,
   Capsicum - 1/4 cup finely chopped,
   Spring onion greens – 2 1/2 tbsp finely chopped,
   Olive oil – 2 1/2 tbsp,
   Garlic - 1 1/2 tbsp,
   Ginger – 1 inch piece,
   Vinegar – 1 tsp,
   Red Chilli sauce – 1-2 tsp,
   Soya sauce - 2-3 tsp,
   Salt and Pepper powder to taste.</t>
  </si>
  <si>
    <t>பாஸ்மதி அரிசி - 1 கப்,
எண்ணெய் - அரிசி சமைக்க 1 தேக்கரண்டி,
பீன்ஸ் - 1/4 கப் நன்றாக நறுக்கியது,
கேரட் - 1/4 கப் நன்றாக நறுக்கியது,
முட்டைக்கோஸ் - 1 கப் நன்றாக நறுக்கியது,
கேப்சிகம் - 1/4 கப் நன்றாக நறுக்கியது,
வெங்காய கீரைகள் - 2 1/2 தேக்கரண்டி நன்றாக நறுக்கியது,
ஆலிவ் எண்ணெய் - 2 1/2 தேக்கரண்டி,
பூண்டு - 1 1/2 தேக்கரண்டி,
இஞ்சி - 1 அங்குல துண்டு,
வினிகர் - 1 தேக்கரண்டி,
ரெட் சில்லி சாஸ் - 1-2 தேக்கரண்டி,
சோயா சாஸ் - 2-3 தேக்கரண்டி,
உப்பு மற்றும் மிளகு தூள் தேவைக்கேற்ப.</t>
  </si>
  <si>
    <t>Heat oil in a pan, when the oil is very hot, add garlic and ginger, saute for a few seconds. Then add beans and fry for a few seconds, followed by carrot, cabbage, capsicum and spring onion greens. 
All the vegetables should be sauteed on high flame and continuous stirring is necessary as we want the vegetables to be crunchy and not fully cooked. Add cooked rice, soya sauce, vinegar, needed salt and pepper powder. Mix well and serve hot.</t>
  </si>
  <si>
    <t>ஒரு கடாயில் எண்ணெயை சூடாக்கி, எண்ணெய் மிகவும் சூடானதும், பூண்டு மற்றும் இஞ்சியைச் சேர்த்து, சில நொடிகள் வதக்கவும். பின்னர் பீன்ஸ் சேர்த்து சில நொடிகள் வதக்கவும், பின்னர் கேரட், முட்டைக்கோஸ், கேப்சிகம் மற்றும் வெங்காய கீரைகள் சேர்த்து வதக்கவும்.
அனைத்து காய்கறிகளையும் அதிக தீயில் வதக்க வேண்டும், தொடர்ந்து கிளற வேண்டும், ஏனெனில் காய்கறிகள் மொறுமொறுப்பாகவும் முழுமையாக சமைக்கப்படாமலும் இருக்க வேண்டும். சமைத்த சாதம், சோயா சாஸ், வினிகர், தேவையான உப்பு மற்றும் மிளகு தூள் சேர்த்து நன்கு கலந்து சூடாக பரிமாறவும்.</t>
  </si>
  <si>
    <t>https://encrypted-tbn0.gstatic.com/images?q=tbn:ANd9GcSFchIZHVjt9cLFQwmjqe36KyBbYfR8b3OEYA&amp;s</t>
  </si>
  <si>
    <t xml:space="preserve">  Basmati rice – 1 cup,
   Coriander leaves– 1 cup ,
   Onion - 1 cup chopped,
   Ginger – 1 inch piece,
   Green chilli – 2-3,
   Salt as required,
   Oil - 1 tbsp,
   Cumin seeds - 1 tsp.
</t>
  </si>
  <si>
    <t>பாஸ்மதி அரிசி – 1 கப்,
கொத்தமல்லி இலை – 1 கப்,
வெங்காயம் - 1 கப் நறுக்கியது,
இஞ்சி – 1 அங்குல துண்டு,
பச்சை மிளகாய் – 2-3,
தேவைக்கேற்ப உப்பு,
எண்ணெய் - 1 டேபிள்ஸ்பூன்,
சீரகம் - 1 டேபிள்ஸ்பூன்.</t>
  </si>
  <si>
    <t>ஒரு கடாயில் எண்ணெயை சூடாக்கி, சீரகம்/ஜீரா விதைகளைச் சேர்த்து, அது கொதித்ததும், இறுதியாக நறுக்கிய வெங்காயத்தைச் சேர்த்து, அது தெளிவாகும் வரை வதக்கவும்.
பின்னர் அரைத்த விழுது, தேவையான உப்பு சேர்த்து, பச்சை வாசனை போகும் வரை வதக்கவும்.
சாதத்தை கலந்து எந்த ரைத்தாவுடன் பரிமாறவும். வோய்லா! ஒரு சுவையான, விரைவான மற்றும் திருப்திகரமான சாத உணவு தயாராக உள்ளது.</t>
  </si>
  <si>
    <t>https://encrypted-tbn0.gstatic.com/images?q=tbn:ANd9GcTVYT46P9C-P4azbfX0qWCdRuqgKxLv71pyyA&amp;s</t>
  </si>
  <si>
    <t>பனீர் உடன் புதினா சாதம்</t>
  </si>
  <si>
    <t xml:space="preserve">  Basmati Rice – 1 cup,
   Onion - 2 ,
   Paneer cubes - 10 pieces,
   Salt to taste,
   Fresh Pudina/Mint leaves - 1 bunch,
   Green chilli - 3 -4,
   Ginger – 1 inch piece,
   Garlic - 3 cloves,
   Oil - 1 tbsp,
   Cloves - 3,
   Cinnamon - 1 inch piece.</t>
  </si>
  <si>
    <t>பாஸ்மதி சாதம் - 1 கப்,
வெங்காயம் - 2,
பனீர் க்யூப்ஸ் - 10 துண்டுகள்,
ருசிக்க உப்பு,
புதினா/புதினா இலைகள் - 1 கொத்து,
பச்சை மிளகாய் - 3 -4,
இஞ்சி - 1 அங்குல துண்டு,
பூண்டு - 3 பல்,
எண்ணெய் - 1 டீஸ்பூன்,
கிராம்பு - 3,
இலவங்கப்பட்டை - 1 அங்குல துண்டு.</t>
  </si>
  <si>
    <t>எண்ணெயை சூடாக்கி, "காரத்திற்காக" என்பதன் கீழ் குறிப்பிடப்பட்டுள்ள பொருட்களைச் சேர்க்கவும்.
வெங்காயத்தைச் சேர்த்து, அவை இளஞ்சிவப்பு நிறமாக மாறும் வரை வதக்கவும்.
நறுக்கிய விழுது, தேவையான உப்பு சேர்த்து எண்ணெய் பிரியும் வரை வதக்கவும். இது ஒரு சில நிமிடங்கள் மட்டுமே ஆகும்.
சமைத்த அரிசி மற்றும் பனீர் க்யூப்ஸைச் சேர்த்து நன்கு கலக்கவும்.
எந்தவொரு ரைத்தா அல்லது சிப்ஸ் அல்லது அப்பளத்துடனும் சூடாகப் பரிமாறவும்.</t>
  </si>
  <si>
    <t>https://i.ytimg.com/vi/KcdyyuUZrzE/hq720.jpg?sqp=-oaymwEhCK4FEIIDSFryq4qpAxMIARUAAAAAGAElAADIQj0AgKJD&amp;rs=AOn4CLAvrJ1a_7yJJt7z7Q3wvgZab1z1AQ</t>
  </si>
  <si>
    <t>1 cup -  Basmati Rice,
4-5 -  Tomatoes Juicy ripe ones,
2 -  Onion medium size chopped,
2 -  Green chillies slit,
1 tsp -  Ginger garlic paste,
2 tsp -  Sambar powder,
1/4 tsp -  Turmeric powder,
Salt as needed,
3 tbsp -  Oil,
1 tsp -  Mustard seeds,
1 pinch - Asafoetida,
Curry leaves a sprig.</t>
  </si>
  <si>
    <t>1 கப் - பாஸ்மதி சாதம்,
4-5 - பழுத்த தக்காளி,
2 - வெங்காயம் நடுத்தர அளவு நறுக்கியது,
2 - பச்சை மிளகாய் நறுக்கியது,
1 தேக்கரண்டி - இஞ்சி பூண்டு விழுது,
2 தேக்கரண்டி - சாம்பார் பொடி,
1/4 தேக்கரண்டி - மஞ்சள் தூள்,
தேவைக்கேற்ப உப்பு,
3 தேக்கரண்டி - எண்ணெய்,
1 தேக்கரண்டி - கடுகு,
1 சிட்டிகை - பெருங்காயம்,
கறிவேப்பிலை ஒரு துளிர் விட்டு.</t>
  </si>
  <si>
    <t>Heat 2-3 tbsp of oil in a kadai and add the ingredients mentioned under 'for the seasoning'.
Add onions and saute till it turns translucent.
Add green chillies and ginger-garlic paste. Saute for a few more minutes.
Then add tomato juice, turmeric powder, chilli powder or sambar powder and salt needed. Cook until oil separates.
Add needed cooked rice to the tomato gravy and mix well.
Garnish with coriander leaves. Serve hot with papads, potato chips or raita.</t>
  </si>
  <si>
    <t>ஒரு கடாயில் 2-3 தேக்கரண்டி எண்ணெயை சூடாக்கி, 'தாளிக்க' என்பதன் கீழ் குறிப்பிடப்பட்டுள்ள பொருட்களைச் சேர்க்கவும்.
வெங்காயத்தைச் சேர்த்து அது தெளிவாகும் வரை வதக்கவும்.
பச்சை மிளகாய் மற்றும் இஞ்சி-பூண்டு விழுது சேர்க்கவும். இன்னும் சில நிமிடங்கள் வதக்கவும்.
பின்னர் தக்காளி சாறு, மஞ்சள் தூள், மிளகாய் தூள் அல்லது சாம்பார் பொடி மற்றும் தேவையான உப்பு சேர்க்கவும். எண்ணெய் பிரியும் வரை சமைக்கவும்.
தக்காளி குழம்பில் தேவையான சமைத்த அரிசியைச் சேர்த்து நன்கு கலக்கவும்.
கொத்தமல்லி இலைகளால் அலங்கரிக்கவும். பப்பாளி, உருளைக்கிழங்கு சிப்ஸ் அல்லது ரைத்தாவுடன் சூடாக பரிமாறவும்.</t>
  </si>
  <si>
    <t>https://encrypted-tbn0.gstatic.com/images?q=tbn:ANd9GcT1CoPNq51XDWJlLTeOhiGL3twgAdhgawWZTg&amp;s</t>
  </si>
  <si>
    <t xml:space="preserve">   Rice - 1 cup,
   Sesame seed oil - 1 tsp for rice,
   Lemon - 1-2 (juicy one),
   Cashewnuts - 5 -6,
   Salt to taste,
   Oil - 3 tsp,
   Mustard seeds - 1 tsp,
   Urad dal (split ones) - 1 tsp,
   Channa dal/kadalai paruppu - 1 tsp,
   Red Chillies - 1,
   Asafoetida - a pinch,
   Green chillies - 2,
   Finely chopped ginger - 1 tsp,
   Turmeric Powder - 1/4 tsp,
   Curry leaves – few,
   Finely chopped carrot - 2 tbsp.</t>
  </si>
  <si>
    <t>அரிசி - 1 கப்,
எள் விதை எண்ணெய் - அரிசிக்கு 1 தேக்கரண்டி,
எலுமிச்சை - 1-2 (சாறு ஒன்று),
முந்திரி பருப்பு - 5 -6,
ருசிக்க உப்பு,
எண்ணெய் - 3 தேக்கரண்டி,
கடுகு - 1 தேக்கரண்டி,
உளுத்தம் பருப்பு (பிரித்தது) - 1 தேக்கரண்டி,
சன்னா பருப்பு / கடலை பருப்பு - 1 தேக்கரண்டி,
சிவப்பு மிளகாய் - 1,
பெருங்காயம் - ஒரு சிட்டிகை,
பச்சை மிளகாய் - 2,
நன்றாக நறுக்கிய இஞ்சி - 1 தேக்கரண்டி,
மஞ்சள் தூள் - 1/4 தேக்கரண்டி,
கறிவேப்பிலை - சிறிதளவு,
பொடியாக நறுக்கிய கேரட் - 2 தேக்கரண்டி.</t>
  </si>
  <si>
    <t>Heat oil, add mustard seeds, when mustard splutters , add urad dal, channa dal, red chillies and asafoetida. When dal turns slightly brown, add green chillies, ginger, turmeric powder, curry leaves and finely chopped carrots (optional ).
Saute until the carrots are slightly cooked.
Squeeze lemon juice in a cup, add salt to it. Mix well and add it to the rice.
Add the seasoning and cashew nuts also to the rice and mix well. Taste and see. If required add more salt and lemon juice.</t>
  </si>
  <si>
    <t>எண்ணெயை சூடாக்கி, கடுகு சேர்த்து, கடுகு வதங்கியதும், உளுத்தம் பருப்பு, சன்னா பருப்பு, சிவப்பு மிளகாய் மற்றும் பெருங்காயம் சேர்க்கவும். பருப்பு சிறிது பழுப்பு நிறமாக மாறியதும், பச்சை மிளகாய், இஞ்சி, மஞ்சள் தூள், கறிவேப்பிலை மற்றும் பொடியாக நறுக்கிய கேரட் (விரும்பினால்) சேர்க்கவும்.
கேரட் லேசாக வேகும் வரை வதக்கவும்.
ஒரு கோப்பையில் எலுமிச்சை சாற்றை பிழிந்து, உப்பு சேர்த்து நன்கு கலக்கவும். சாதத்தில் சேர்க்கவும்.
சாதத்தில் மசாலா மற்றும் முந்திரி பருப்புகளை சேர்த்து நன்கு கலக்கவும். ருசித்துப் பாருங்கள். தேவைப்பட்டால் உப்பு மற்றும் எலுமிச்சை சாறு சேர்க்கவும்.</t>
  </si>
  <si>
    <t>https://youtu.be/4ism09rUvBA</t>
  </si>
  <si>
    <t>Brinjal Rice</t>
  </si>
  <si>
    <t>கத்திரிக்காய் சாதம்</t>
  </si>
  <si>
    <t xml:space="preserve">   Basmati Rice - 1 cup,
   Brinjals - 3-4  ,
   Ripe juicy tomatoes - 3,
   Green chilli - 1,
   Ginger,
   Turmeric Powder - 1/4 tsp,
   Salt as required,
   Coriander seeds – 1 tbsp,
   Bengal Gram – 1 tbsp,
   Urad dal - 2 tsp,
   Red chillies – 3,
   Black peppercorns - 1/4 tsp,
   Coconut – 1 tbsp,
   Oil – 1 1/2 – 2 tbsp,
   Mustard - 1/2 tsp,
   Urad dal - 1/2 tsp,
   Asafoetida - 1/4 tsp,
   Curry leaves - few.</t>
  </si>
  <si>
    <t>பாஸ்மதி அரிசி - 1 கப்,
கத்தரிக்காய் - 3-4,
பழுத்த ஜூசி தக்காளி - 3,
பச்சை மிளகாய் - 1,
இஞ்சி,
மஞ்சள் தூள் - 1/4 டீஸ்பூன்,
தேவைக்கேற்ப உப்பு,
கொத்தமல்லி விதைகள் - 1 டீஸ்பூன்,
வங்கக்கடல் பருப்பு - 1 டீஸ்பூன்,
உரத்த பருப்பு - 2 டீஸ்பூன்,
சிவப்பு மிளகாய் - 3,
கருப்பு மிளகு - 1/4 டீஸ்பூன்,
தேங்காய் - 1 டீஸ்பூன்,
எண்ணெய் - 1 1/2 – 2 டீஸ்பூன்,
கடுகு - 1/2 டீஸ்பூன்,
உரத்த பருப்பு - 1/2 டீஸ்பூன்,
அசாஃபோடிடா - 1/4 டீஸ்பூன்,
கறிவேப்பிலை - சிறிதளவு.</t>
  </si>
  <si>
    <t xml:space="preserve">Heat oil, add the ingredients mentioned under seasoning. If using onions saute onions until transparent. Add finely chopped or grated ginger, green chilli and saute for a few more seconds.
Then add brinjals, turmeric powder and cook covered on low heat, sprinkling water when needed. Stir in between.
When the brinjals are slightly cooked, add finely chopped tomatoes, ground masala powder, salt needed and cook covered until the brinjals become soft. Do not forget to stir in between for even cooking.
Once the brinjals are soft, add the cooked rice and mix well.
Garnish with coriander leaves and serve hot with any raita or papads.
</t>
  </si>
  <si>
    <t>எண்ணெயை சூடாக்கி, தாளிக்க குறிப்பிடப்பட்டுள்ள பொருட்களைச் சேர்க்கவும். வெங்காயத்தைப் பயன்படுத்தினால் வெங்காயத்தை வெளிப்படையான வரை வதக்கவும். இறுதியாக நறுக்கிய அல்லது துருவிய இஞ்சி, பச்சை மிளகாய் சேர்த்து இன்னும் சில நொடிகள் வதக்கவும்.
பின்னர் கத்திரிக்காய், மஞ்சள் தூள் சேர்த்து குறைந்த வெப்பத்தில் மூடி வைத்து, தேவைப்படும்போது தண்ணீர் தெளிக்கவும். இடையில் கிளறவும்.
கத்திரிக்காய் லேசாக வெந்ததும், பொடியாக நறுக்கிய தக்காளி, அரைத்த மசாலா தூள், தேவையான அளவு உப்பு சேர்த்து மூடி வைத்து, கத்திரிக்காய் மென்மையாகும் வரை சமைக்கவும். சமமாக சமைக்க இடையில் கிளற மறக்காதீர்கள்.
கத்திரிக்காய் மென்மையாக ஆனதும், சமைத்த அரிசியைச் சேர்த்து நன்கு கலக்கவும்.
கொத்தமல்லி இலைகளால் அலங்கரித்து, ஏதேனும் ரைத்தா அல்லது பப்படாடுகளுடன் சூடாகப் பரிமாறவும்.</t>
  </si>
  <si>
    <t>https://encrypted-tbn0.gstatic.com/images?q=tbn:ANd9GcSVlsx3AK98y7iS7EfuGsuOVAA15wHxrya-5A&amp;s</t>
  </si>
  <si>
    <t>Rajma Chawal</t>
  </si>
  <si>
    <t>ராஜ்மா சாவல்</t>
  </si>
  <si>
    <t>Rajma – 1/3 cup,
Onion – 1/2 cup,
Tomato Puree – 1 cup,
Ginger garlic paste - 3/4 tsp,
Salt as required,
Coriander Powder – 2 tsp,
Chilli Powder – 1 tsp,
Turmeric Powder – 1/4 tsp,
Garam Masala Powder – 1 tsp,
Oil - 1 tbsp,
Cumin - 1 tsp.</t>
  </si>
  <si>
    <t>ராஜ்மா - 1/3 கப்,
வெங்காயம் - 1/2 கப்,
தக்காளி கூழ் - 1 கப்,
இஞ்சி பூண்டு விழுது - 3/4 டீஸ்பூன்,
தேவைக்கேற்ப உப்பு,
கொத்தமல்லி பொடி - 2 டீஸ்பூன்,
மிளகாய் பொடி - 1 டீஸ்பூன்,
மஞ்சள் பொடி - 1/4 டீஸ்பூன்,
கரம் மசாலா பொடி - 1 டீஸ்பூன்,
எண்ணெய் - 1 டீஸ்பூன்,
சீரகம் - 1 டீஸ்பூன்.</t>
  </si>
  <si>
    <t>Heat a tbsp of oil, add jeera seeds, when they sizzle, add finely chopped onions. Saute onions till they turn golden brown.(continuously stirring is required).
Add ginger-garlic paste and saute for some more time.
Add tomato puree, all the spice powder and cook till oil separates.
Now add the cooked rajma along with little water . Add salt needed, simmer and cook for a few minutes until everything gets blended well with the masala. Mash a few rajma with the back of the ladle for the gravy to thicken.
Garnish with coriander leaves. Serve hot with plain rice or even as a side dish for chapati .
You can even mix the Rajma curry with need rice and serve with any raitha of your choice or even chips.</t>
  </si>
  <si>
    <t>ஒரு டீஸ்பூன் எண்ணெயை சூடாக்கி, சீரகம் விதைகளைச் சேர்த்து, அவை கொதிக்கும்போது, ​​இறுதியாக நறுக்கிய வெங்காயத்தைச் சேர்க்கவும். வெங்காயம் பொன்னிறமாகும் வரை வதக்கவும். (தொடர்ந்து கிளற வேண்டும்).
இஞ்சி-பூண்டு விழுது சேர்த்து சிறிது நேரம் வதக்கவும்.
தக்காளி கூழ், அனைத்து மசாலாப் பொடிகளையும் சேர்த்து எண்ணெய் பிரியும் வரை சமைக்கவும்.
இப்போது சமைத்த ராஜ்மாவை சிறிது தண்ணீர் சேர்த்து, தேவையான அளவு உப்பு சேர்த்து, கொதிக்க வைத்து, மசாலாவுடன் எல்லாம் நன்றாகக் கலக்கும் வரை சில நிமிடங்கள் சமைக்கவும். குழம்பு கெட்டியாக இருக்க சிறிது ராஜ்மாவை கரண்டியின் பின்புறத்தில் பிசைந்து கொள்ளவும்.
கொத்தமல்லி இலைகளால் அலங்கரிக்கவும். சாதாரண சாதத்துடன் சூடாகவோ அல்லது சப்பாத்திக்கு ஒரு துணை உணவாகவோ பரிமாறவும்.
நீங்கள் ராஜ்மா கறியை நீட் சாதத்துடன் கலந்து உங்களுக்கு விருப்பமான எந்த ரைத்தா அல்லது சிப்ஸுடனும் பரிமாறலாம்.</t>
  </si>
  <si>
    <t>https://encrypted-tbn0.gstatic.com/images?q=tbn:ANd9GcRrZZYV9Eu13fxu8qXT98ovX6SrG3hGOtpqPw&amp;s</t>
  </si>
  <si>
    <t>Vendhaya Keerai Rice</t>
  </si>
  <si>
    <t>வெந்தய கீரை அரிசி</t>
  </si>
  <si>
    <t>Methi leaves – 1 cup tightly packed,
Rice - 1 cup,
Tamarind – small gooseberry size ball,
Turmeric powder – a pinch,
Onion – 1,
Salt as required,
Oil - 1 tbsp,
Mustard seeds - 1 tsp,
Fenugreek – 1/2 tsp,
Red chilli - 1,
Hing - 1/4 tsp,
Bengal gram - 2 tsp,
Urad dal - 2 tsp,
Coriander seeds – 1 tbsp,
Red chilli - 3,
Grated coconut.</t>
  </si>
  <si>
    <t>மேத்தி இலைகள் - 1 கப் இறுக்கமாகப் பொதி செய்யப்பட்டது,
அரிசி - 1 கப்,
புளி - சிறிய நெல்லிக்காய் அளவு உருண்டை,
மஞ்சள் தூள் - ஒரு சிட்டிகை,
வெங்காயம் - 1,
தேவைக்கேற்ப உப்பு,
எண்ணெய் - 1 டீஸ்பூன்,
கடுகு - 1 டீஸ்பூன்,
வெந்தயம் - 1/2 டீஸ்பூன்,
சிவப்பு மிளகாய் - 1,
இங் - 1/4 டீஸ்பூன்,
வங்காளப் பருப்பு - 2 டீஸ்பூன்,
உளுந்து - 2 டீஸ்பூன்,
கொத்தமல்லி விதைகள் - 1 டீஸ்பூன்,
சிவப்பு மிளகாய் - 3,
தேங்காய் துருவல்.</t>
  </si>
  <si>
    <t>Heat 2 tsp of oil, add mustard seeds, when they splutter, add fenugreek seeds, hing, red chilli and chopped onions. Saute till onions turn transparent.
Add fenugreek greens, turmeric powder and saute for a few minutes 
Add tamarind water, masala powder and needed salt. Let it cook till it becomes thick.
Now mix the rice gently with the masala and serve hot with papads or chips or any raitha of your choice.</t>
  </si>
  <si>
    <t>2 டீஸ்பூன் எண்ணெயைச் சூடாக்கி, கடுகு சேர்த்து, அவை வதங்கியதும், வெந்தயம், பெருங்காயம், சிவப்பு மிளகாய் மற்றும் நறுக்கிய வெங்காயத்தைச் சேர்க்கவும். வெங்காயம் வெளிப்படையானதாக மாறும் வரை வதக்கவும்.
வெந்தயக் கீரைகள், மஞ்சள் தூள் சேர்த்து சில நிமிடங்கள் வதக்கவும்
புளி தண்ணீர், மசாலா தூள் மற்றும் தேவையான உப்பு சேர்த்து கொதிக்க விடவும். அது கெட்டியாகும் வரை சமைக்கவும்.
இப்போது சாதத்தை மசாலாவுடன் மெதுவாகக் கலந்து, பப்பட் அல்லது சிப்ஸ் அல்லது உங்களுக்கு விருப்பமான ரைத்தாவுடன் சூடாகப் பரிமாறவும்.</t>
  </si>
  <si>
    <t>https://www.archanaskitchen.com/images/archanaskitchen/0-Archanas-Kitchen-Recipes/2017/22-march/Iyengar_style_Menthiya_Kerai_sadam_fenugreek_leaves_stir_fried_rice_recipe-1_400.jpg</t>
  </si>
  <si>
    <t>Basmati rice  – 1 cup,
Onion – 1 thinly sliced,
Salt needed,
Ghee – 2 tbsp,
Cinnamon – 1 inch piece,
Cardamon – 2,
Cloves - 2-3,
Bay leaf - 1,
Star anise - 1,
Fennel seeds – 1 tsp,
Cumin seeds – 1 tsp,
Cashew nuts – 10,
Raisins - 15.</t>
  </si>
  <si>
    <t>பாஸ்மதி அரிசி - 1 கப்,
வெங்காயம் - 1 மெல்லியதாக நறுக்கியது,
உப்பு தேவை,
நெய் - 2 டேபிள்ஸ்பூன்,
இலவங்கப்பட்டை - 1 அங்குல துண்டு,
ஏலக்காய் - 2,
கிராம்பு - 2-3,
வளைகுடா இலை - 1,
நட்சத்திர சோம்பு - 1,
வெந்தய விதைகள் - 1 டீஸ்பூன்,
சீரகம் - 10,
திராட்சை - 15.</t>
  </si>
  <si>
    <t>ஒரு கடாயில் நெய்யை சூடாக்கி, அனைத்து மசாலாப் பொருட்களையும் (இலவங்கப்பட்டை, ஏலக்காய், கிராம்பு, வளைகுடா இலை மற்றும் நட்சத்திர சோம்பு, பெருஞ்சீரகம், சீரகம்) சேர்த்து பொன்னிறமாகும் வரை வதக்கவும்.
இப்போது வடிகட்டிய அரிசியைச் சேர்த்து, அரிசி நெய்யுடன் நன்கு பூசப்படும் வரை சில நிமிடங்கள் வதக்கவும்.
2 கப் கொதிக்கும் நீர், தேவையான அளவு உப்பு சேர்த்து அரிசி தயாரான வரை சமைக்கவும்.
சாதம் தயாரானதும், அதை ஒரு முட்கரண்டியால் பிசைந்து, காரமான குழம்பு அல்லது காய்கறி கூர்மாவுடன் சூடாகப் பரிமாறவும்.</t>
  </si>
  <si>
    <t>https://encrypted-tbn0.gstatic.com/images?q=tbn:ANd9GcSj6X_NnxEXC3UqmsVzsY5PNgbW0Heio-Neiw&amp;s</t>
  </si>
  <si>
    <t>Basmati Rice – 1 cup,
Capsicums chopped – 1 1/4 cup,
Garam Masala Powder – 1 tsp,
Onion – 1 chopped,
Urad dal – 2 tsp,
Coriander seeds – 2 1/2 tsp,
cumin seeds – 1 tsp,
Red chillies - 4-5,
Oil - 1 tbsp,
Mustard seeds – 1 tsp.</t>
  </si>
  <si>
    <t>பாஸ்மதி அரிசி - 1 கப்,
நறுக்கிய கேப்சிகம் - 1 1/4 கப்,
கரம் மசாலா தூள் - 1 தேக்கரண்டி,
வெங்காயம் - 1 நறுக்கியது,
உரத்த பருப்பு - 2 தேக்கரண்டி,
கொத்தமல்லி விதைகள் - 2 1/2 தேக்கரண்டி,
சீரகம் விதைகள் - 1 தேக்கரண்டி,
சிவப்பு மிளகாய் - 4-5,
எண்ணெய் - 1 தேக்கரண்டி,
கடுகு விதைகள் - 1 தேக்கரண்டி.</t>
  </si>
  <si>
    <t>https://encrypted-tbn0.gstatic.com/images?q=tbn:ANd9GcQPb8bAj4iZcUarO32LyMtCss5KMO6Ixe_Zxg&amp;s</t>
  </si>
  <si>
    <t>Methi Pulao</t>
  </si>
  <si>
    <t>மேத்தி புலாவ்</t>
  </si>
  <si>
    <t xml:space="preserve">Basmati Rice – 1 cup,
   Onion – 2 medium size,
   Ripe Tomatoes – 3,
   Ginger-Garlic paste – 1 tsp,
   Methi leaves – 1 cup tightly packed,
   Salt as required,
   Ghee/Butter – 1 tsp,
   Coriander powder - 2 tsp,
   Chilli Powder - 1 tsp,
   Turmeric powder - 1/4 tsp,
   Garam masala - 3/4 tsp,
   Oil – 1 tbsp,
   cumin seeds - 1 tsp,
   Fennel seeds - 1 tsp,
   Bay leaf - 1.
</t>
  </si>
  <si>
    <t>பாஸ்மதி அரிசி - 1 கப்,
வெங்காயம் - 2 நடுத்தர அளவு,
பழுத்த தக்காளி - 3,
இஞ்சி-பூண்டு விழுது - 1 தேக்கரண்டி,
மேத்தி இலைகள் - 1 கப் இறுக்கமாக பேக் செய்யப்பட்டது,
தேவைக்கேற்ப உப்பு,
நெய்/வெண்ணெய் - 1 தேக்கரண்டி,
கொத்தமல்லி தூள் - 2 தேக்கரண்டி,
மிளகாய் தூள் - 1 தேக்கரண்டி,
மஞ்சள் தூள் - 1/4 தேக்கரண்டி,
கரம் மசாலா - 3/4 தேக்கரண்டி,
எண்ணெய் - 1 தேக்கரண்டி,
சீரகம் - 1 தேக்கரண்டி,
வெந்தய விதைகள் - 1 தேக்கரண்டி,
பிரி இலை - 1.</t>
  </si>
  <si>
    <t>Heat oil, add cumin seeds, fennel seeds and bay leaf ,when jeera and fennel sizzles, add chopped onion and saute till it turns transparent.
The add ginger-garlic paste and saute for a few more seconds.
Add all the spice powder given under ‘spice powder’.
Add tomatoes and saute for a few more minutes followed by methi leaves. Saute well till the leaves wilt.
Add needed salt , 2 cups of boiling water, rice and cook covered. Tips – to check if the salt added is right, taste the water and see.
If using pressure cooker, cook for 3 whistles. I usually keep a vessel inside the cooker and cook otherwise you do not have to cook for 3 whistles.
If using rice cooker, transfer the contents to a rice cooker and switch on the cooking mode.
Serve it hot with raitha or chips. It taste heavenly.</t>
  </si>
  <si>
    <t>எண்ணெயை சூடாக்கி, சீரகம், பெருஞ்சீரகம் மற்றும் பிரியாணி இலை சேர்த்து, சீரகம் மற்றும் பெருஞ்சீரகம் வதங்கியதும், நறுக்கிய வெங்காயத்தைச் சேர்த்து, அது வெளிப்படையானதாக மாறும் வரை வதக்கவும்.
இஞ்சி-பூண்டு விழுதைச் சேர்த்து இன்னும் சில வினாடிகள் வதக்கவும்.
‘மசாலாப் பொடி’யின் கீழ் கொடுக்கப்பட்டுள்ள அனைத்து மசாலாப் பொடிகளையும் சேர்க்கவும்.
தக்காளியைச் சேர்த்து மேலும் சில நிமிடங்கள் வதக்கி, பின்னர் மேத்தி இலைகளைச் சேர்த்து வதக்கவும். இலைகள் வாடும் வரை நன்கு வதக்கவும்.
தேவையான உப்பு, 2 கப் கொதிக்கும் நீர், அரிசி சேர்த்து மூடி வைத்து சமைக்கவும். குறிப்புகள் - உப்பு சரியாக உள்ளதா என்று சரிபார்க்க, தண்ணீரை ருசித்துப் பாருங்கள்.
நீங்கள் பிரஷர் குக்கரைப் பயன்படுத்தினால், 3 விசில் வரை சமைக்கவும். நான் வழக்கமாக குக்கருக்குள் ஒரு பாத்திரத்தை வைத்து சமைக்கிறேன், இல்லையெனில் நீங்கள் 3 விசில் வரை சமைக்க வேண்டியதில்லை.
நீங்கள் ரைஸ் குக்கரைப் பயன்படுத்தினால், உள்ளடக்கங்களை ஒரு ரைஸ் குக்கருக்கு மாற்றி சமையல் முறையை இயக்கவும்.
ரைத்தா அல்லது சிப்ஸுடன் சூடாக பரிமாறவும். இது அற்புதமான சுவை கொண்டது.</t>
  </si>
  <si>
    <t>https://encrypted-tbn0.gstatic.com/images?q=tbn:ANd9GcRIL55PvPUxPiesS05yh5dfoGwIQaQkiNX7KQ&amp;s</t>
  </si>
  <si>
    <t>காலிஃபிளவர் அரிசி</t>
  </si>
  <si>
    <t xml:space="preserve">  Basmati rice – 1 cup,
   Cauliflower – 1 medium sized,
   Onion – 1 big,
   Tomato – 3 big and juicy ones,
   Peas  – handful,
   Ginger – 1 inch piece finely chopped,
   Garlic – 3 cloves minced or finely chopped,
   Green chilli – 1 finely chopped,
   Salt as required,
   Turmeric powder – 1/4 tsp,
   Chilli powder – 1 tsp,
   Coriander powder – 2 tsp,
   Biryani masala powder - 3/4 tsp,
   Oil – 2 tbsp,
   Cinnamon – 1 inch piece,
   Cloves – 2,
   Cardamom – 1,
   Bay leaf – 1.</t>
  </si>
  <si>
    <t>பாஸ்மதி அரிசி - 1 கப்,
காலிஃபிளவர் - 1 நடுத்தர அளவு,
வெங்காயம் - 1 பெரியது,
தக்காளி - 3 பெரிய மற்றும் ஜூசி,
பட்டாணி - ஒரு கைப்பிடி,
இஞ்சி - 1 அங்குல துண்டு நன்றாக நறுக்கியது,
பூண்டு - 3 பல் நன்றாக நறுக்கியது அல்லது நன்றாக நறுக்கியது,
பச்சை மிளகாய் - 1 நன்றாக நறுக்கியது,
தேவைக்கேற்ப உப்பு,
மஞ்சள் தூள் - 1/4 தேக்கரண்டி,
மிளகாய் தூள் - 1 தேக்கரண்டி,
கொத்தமல்லி தூள் - 2 தேக்கரண்டி,
பிரியாணி மசாலா தூள் - 3/4 தேக்கரண்டி,
எண்ணெய் - 2 தேக்கரண்டி,
இலவங்கப்பட்டை - 1 அங்குல துண்டு,
கிராம்பு - 2,
ஏலக்காய் - 1,
பிரித்தானி இலை - 1.</t>
  </si>
  <si>
    <t>Heat oil in a pan and add the ingredients mentioned under seasoning.
Then add finely chopped onions and saute until it turns golden brown.
Then add ginger, garlic, green chilli and saute for a few more minutes.
Then add tomato puree, peas, turmeric powder, salt needed, remaining chilli powder, coriander powder, biryani masala powder and cook until the raw flavor goes and oil separates.
Now add the cooked cauliflowers, cooked rice to the tomato gravy. Mix everything well and simmer for a few more seconds until everything gets blended well.
Garnish with finely chopped coriander leaves and serve with chips or mixed vegetable raita or papads.
Delicious and simple Cauliflower Pulao is ready.</t>
  </si>
  <si>
    <t>https://encrypted-tbn0.gstatic.com/images?q=tbn:ANd9GcQGAMMAFG7TyakdnDZ5CBymL6EfLSmi4P8F9Q&amp;s</t>
  </si>
  <si>
    <t xml:space="preserve"> Basmati rice – 1 cup,
   Onion – 1,
   Green chilli – 2 ,
   Ginger-garlic paste – 2 ½ tsp,
   Tomato - 1,
   Mixed Vegetables - 2 cups,
   Mint  – handful,
   Coriander leaves – handful,
   Lemon juice - 1 tbsp,
   Turmeric powder – a pinch,
   Red chilli powder - 1 tspc,
   Coriander powder – 2 tsp,
   Biriyani masala – 2 tsp,
   Salt as required,
   Oil – 1 tbsp,
   Cloves - 3,
   Cardamom - 1,
   Cinnamon – 1 inch piece,
   Fried onions.</t>
  </si>
  <si>
    <t>பாஸ்மதி அரிசி - 1 கப்,
வெங்காயம் - 1,
பச்சை மிளகாய் - 2 ,
இஞ்சி-பூண்டு விழுது - 2 ½ தேக்கரண்டி,
தக்காளி - 1,
கலவை காய்கறிகள் - 2 கப்,
புதினா - கைப்பிடி அளவு,
கொத்தமல்லி இலை - கைப்பிடி அளவு,
எலுமிச்சை சாறு - 1 தேக்கரண்டி,
மஞ்சள் தூள் - ஒரு சிட்டிகை,
சிவப்பு மிளகாய் தூள் - 1 தேக்கரண்டி,
கொத்தமல்லி தூள் - 2 தேக்கரண்டி,
பிரியாணி மசாலா - 2 தேக்கரண்டி,
தேவைக்கேற்ப உப்பு,
எண்ணெய் - 1 தேக்கரண்டி,
கிராம்பு - 3,
ஏலக்காய் - 1,
இலவங்கப்பட்டை - 1 அங்குல துண்டு,
வறுத்த வெங்காயம்.</t>
  </si>
  <si>
    <t>Heat oil, add cloves, cardamom and cinnamon, saute for a 2-3 seconds, then add onions and sauté till it turns transparent.
Now add ginger-garlic paste and sauté for a few more minutes.
Add green chillies, all the vegetables, chopped tomatoes, turmeric powder, chilli powder, coriander powder, biryani masala, mint and coriander leaves, needed salt and sauté for a few more minutes. 
Then add 2 cups of boiling water, drained rice and lemon juice.( Check for salt by tasting the water).
Transfer all the contents to a rice cooker and switch on the cooking mode. After it comes to keep warm mode, switch off and mix well gently. Transfer the rice to a hot pack or any other vessel to prevent the bottom from getting burnt.
Garnish with fried onions and serve hot with raitha or papads.
Enjoy preparing this easy biryani recipe!!</t>
  </si>
  <si>
    <t>எண்ணெய்யை சூடாக்கி, கிராம்பு, ஏலக்காய் மற்றும் இலவங்கப்பட்டை சேர்த்து, 2-3 வினாடிகள் வதக்கி, பின்னர் வெங்காயத்தைச் சேர்த்து, அது வெளிப்படையானதாக மாறும் வரை வதக்கவும்.
இப்போது இஞ்சி-பூண்டு விழுது சேர்த்து இன்னும் சில நிமிடங்கள் வதக்கவும்.
பச்சை மிளகாய், அனைத்து காய்கறிகள், நறுக்கிய தக்காளி, மஞ்சள் தூள், மிளகாய் தூள், கொத்தமல்லி தூள், பிரியாணி மசாலா, புதினா மற்றும் கொத்தமல்லி இலைகள், தேவையான உப்பு சேர்த்து இன்னும் சில நிமிடங்கள் வதக்கவும்.
பின்னர் 2 கப் கொதிக்கும் நீர், வடிகட்டிய அரிசி மற்றும் எலுமிச்சை சாறு சேர்க்கவும். (தண்ணீரை ருசித்துப் பார்த்து உப்பு இருக்கிறதா என்று சரிபார்க்கவும்).
அனைத்து பொருட்களையும் ஒரு ரைஸ் குக்கருக்கு மாற்றி, சமையல் முறையை இயக்கவும். அது சூடாக இருந்த பிறகு, அதை அணைத்து மெதுவாக கலக்கவும். அரிசியை ஒரு சூடான பேக் அல்லது வேறு எந்த பாத்திரத்திற்கும் மாற்றவும், இதனால் அடிப்பகுதி கருகாமல் தடுக்கவும்.
வறுத்த வெங்காயத்தால் அலங்கரித்து, ரைத்தா அல்லது பப்படாடுகளுடன் சூடாக பரிமாறவும்.
இந்த எளிதான பிரியாணி செய்முறையை தயாரித்து மகிழுங்கள்!!</t>
  </si>
  <si>
    <t>Carrot Rice</t>
  </si>
  <si>
    <t>கேரட் சாதம்</t>
  </si>
  <si>
    <t>Basmati rice – 1 cup,
Carrots - 3/4 cup grated,
Onions – 2 medium sized,
Groundnuts – 1 tbsp,
Oil - 1 tbsp,
Mustard - 1/2 tsp,
Urad dal – 1/2 tsp,
Channa dal – 1/2 tsp,
Curry leaves – few leaves,
Coriander seeds – 1 1/2 tsp,
Cumin seeds – 3/4 tsp tsp,
Red chillies – 3,
Grated coconut – 3 tbsp.</t>
  </si>
  <si>
    <t>பாஸ்மதி அரிசி - 1 கப்,
கேரட் - 3/4 கப் துருவியது,
வெங்காயம் - 2 நடுத்தர அளவு,
நிலக்கடலை - 1 டீஸ்பூன்,
எண்ணெய் - 1 டீஸ்பூன்,
கடுகு - 1/2 டீஸ்பூன்,
உரத்தப்பருப்பு - 1/2 டீஸ்பூன்,
சன்னா பருப்பு - 1/2 டீஸ்பூன்,
கறிவேப்பிலை - சில இலைகள்,
கொத்தமல்லி விதைகள் - 1 1/2 டீஸ்பூன்,
சீரகம் - 3/4 டீஸ்பூன்,
சிவப்பு மிளகாய் - 3,
தேங்காய் துருவல் - 3 டீஸ்பூன்.</t>
  </si>
  <si>
    <t>Cook 1 cup of rice with 2 cups of water so that each grains are separate. Keep aside.
Heat oil in a pan , add whole garam masala followed by mustard seeds, when mustard splutters, add channa dal, urad dal and curry leaves.
Add onions and sauté until it becomes translucent.
Then add grated carrots and cook for a few minutes until the raw flavor goes. Do not overcook. Add the ground masala powder, required salt and mix it well.
Now add the cooked rice, roasted peanut powder and mix everything well gently.
Serve it with raita or chips or papads or any gravy of your choice.</t>
  </si>
  <si>
    <t>1 கப் அரிசியை 2 கப் தண்ணீரில் சேர்த்து ஒவ்வொரு தானியமும் தனித்தனியாக இருக்கும்படி சமைக்கவும். ஒதுக்கி வைக்கவும்.
ஒரு கடாயில் எண்ணெயை சூடாக்கி, முழு கரம் மசாலாவைச் சேர்த்து, பின்னர் கடுகு சேர்த்து, கடுகு வதங்கியதும், சன்னா பருப்பு, உளுத்தம்பருப்பு மற்றும் கறிவேப்பிலை சேர்க்கவும்.
வெங்காயம் சேர்த்து அது தெளிவாகும் வரை வதக்கவும்.
பின்னர் துருவிய கேரட்டைச் சேர்த்து, பச்சை வாசனை போகும் வரை சில நிமிடங்கள் சமைக்கவும். அதிகமாக வேகவிடாதீர்கள். அரைத்த மசாலாப் பொடி, தேவையான உப்பு சேர்த்து நன்கு கலக்கவும்.
இப்போது சமைத்த அரிசி, வறுத்த வேர்க்கடலைப் பொடியைச் சேர்த்து, எல்லாவற்றையும் மெதுவாகக் கலக்கவும்.
ரைத்தா அல்லது சிப்ஸ் அல்லது பப்படம் அல்லது உங்களுக்கு விருப்பமான எந்த கிரேவியுடனும் பரிமாறவும்.</t>
  </si>
  <si>
    <t>https://encrypted-tbn0.gstatic.com/images?q=tbn:ANd9GcQl6wLGq0SSJXJYMg3eE6t-42ZpFcrY48Pz0g&amp;s</t>
  </si>
  <si>
    <t>https://youtu.be/gQJfHeRFsqg</t>
  </si>
  <si>
    <t>Basmati Rice – 1 cup,
Onions - 1 cup chopped,
Baby corn – 5-6,
Capsicumr - 3 medium sized,
Garlic - 4 cloves,
Pepper powder – 3/4 tsp,
Chilles Powder – 1/4 tsp,
Coriander powder – 3/4 tsp,
cumin powder – 1/2 tsp,
Salt as required,
Oil – 1 tbsp.</t>
  </si>
  <si>
    <t>பாஸ்மதி அரிசி - 1 கப்,
வெங்காயம் - 1 கப் நறுக்கியது,
பேபி கார்ன் - 5-6,
கேப்சிகம் - 3 நடுத்தர அளவு,
பூண்டு - 4 பல்,
மிளகு தூள் - 3/4 தேக்கரண்டி,
மிளகாய் தூள் - 1/4 தேக்கரண்டி,
கொத்தமல்லி தூள் - 3/4 தேக்கரண்டி,
சீரக தூள் - 1/2 தேக்கரண்டி,
தேவைக்கேற்ப உப்பு,
எண்ணெய் - 1 தேக்கரண்டி.</t>
  </si>
  <si>
    <t>Heat oil in a pan and add the ingredients mentioned under seasoning.
Add onions and saute until they become transparent.
Then add ginger-garlic paste and saute for a few more minutes.
Add tomatoes, turmeric powder, coriander powder, chilli powder, garam masala powder and cook for a further 3-4 minutes.
Add cooked red beans, rice, salt needed, 2 cups of hot water, lemon juice and pressure cook for 2 or 3 whistles. Once the pressure subsides, open the cooker and mix the contents well.
Alternatively, you can close the cooker without weight, once the rice is half cooked stir the contents, put the whistle/weight and simmer for 5 minutes.
Garnish with coriander leaves.
Serve Red beans rice with raitha or papads or chips.</t>
  </si>
  <si>
    <t>ஒரு கடாயில் எண்ணெயை சூடாக்கி, தாளிக்க வேண்டிய பொருட்களைச் சேர்க்கவும்.
வெங்காயத்தைச் சேர்த்து அவை வெளிப்படையானதாக மாறும் வரை வதக்கவும்.
பின்னர் இஞ்சி-பூண்டு விழுது சேர்த்து இன்னும் சில நிமிடங்கள் வதக்கவும்.
தக்காளி, மஞ்சள் தூள், கொத்தமல்லி தூள், மிளகாய் தூள், கரம் மசாலா தூள் சேர்த்து மேலும் 3-4 நிமிடங்கள் சமைக்கவும்.
வேகவைத்த சிவப்பு பீன்ஸ், அரிசி, தேவையான உப்பு, 2 கப் வெந்நீர், எலுமிச்சை சாறு சேர்த்து 2 அல்லது 3 விசில் வரை பிரஷர் குக் செய்யவும். பிரஷர் குறைந்தவுடன், குக்கரைத் திறந்து, சாதம் பாதி வெந்தவுடன், குக்கரை எடை இல்லாமல் மூடி, விசில்/வெயிட்டை வைத்து 5 நிமிடங்கள் கொதிக்க வைக்கவும்.
கொத்தமல்லி இலைகளால் அலங்கரிக்கவும்.
ரெட் பீன்ஸ் சாதத்தை ரைத்தா அல்லது பப்படம் அல்லது சிப்ஸுடன் பரிமாறவும்.</t>
  </si>
  <si>
    <t>https://www.allrecipes.com/thmb/wqh7a7QRqw-C1M2LBHODzBRPB-g=/1500x0/filters:no_upscale():max_bytes(150000):strip_icc()/58211-Authentic-Louisiana-Red-Beans-And-Rice-mfs-119-d0e0d9b700be467395da252e74921e87.jpg</t>
  </si>
  <si>
    <t>White Sesame seeds  - 100 grams,
   Whole Urad dal - 1/4 cup,
   Cumin seeds - 1 tbsp,
   Whole black pepper - 1/2 tbsp,
   Red chillies - 8-9,
   Salt as needed,
   Cooked rice – as needed,
   Sesame seed Oil – 1 tbsp,
   Mustard seeds – 1 tsp,
   Curry leaves – a sprig,
   Ghee – 1 tsp.</t>
  </si>
  <si>
    <t>வெள்ளை எள் விதைகள் - 100 கிராம்,
முழு உளுத்தம் பருப்பு - 1/4 கப்,
சீரகம் - 1 டீஸ்பூன்,
முழு கருப்பு மிளகு - 1/2 டீஸ்பூன்,
சிவப்பு மிளகாய் - 8-9,
தேவைக்கேற்ப உப்பு,
சமைத்த அரிசி - தேவைக்கேற்ப,
எள் விதை எண்ணெய் - 1 டீஸ்பூன்,
கடுகு விதைகள் - 1 டீஸ்பூன்,
கறிவேப்பிலை - ஒரு தளிர்,
நெய் - 1 டீஸ்பூன்.</t>
  </si>
  <si>
    <t>Heat a pan and dry roast sesame seeds on medium heat stirring continuously until it splutters. Leave it to cool. Then grind it just for a few seconds.(operate the mixie at intervals and not at a stretch).If you grind it for a long time, the sesame seeds will ooze out oil.
In the same pan, dry roast urad dal until it turns golden brown. Then dry roast red chillies, cumin seeds and pepper separately. Powder everything together a little coarse with salt needed.
Then add roasted sesame seed powder to the above and dry grind it just for a second.
Our ellu podi/sesame seed powder is ready now. We will see how to prepare sesame seed rice/ellu sadam.
Cook rice until soft. When rice is warm, add a tsp of sesame seed oil and spread it on a plate to cool.
Mix needed amount of sesame seed powder with the cooked rice.
Heat 1 tbsp of sesame seed oil, add mustard seeds, when it splutters, add urad dal and curry leaves. When dal turns golden brown, add the seasoning to the rice and gently mix it. Top it with a tsp of ghee/clarified butter.
Sesame seed rice is ready to be serve with potato chips, papads or  potato curry.</t>
  </si>
  <si>
    <t xml:space="preserve">   Cooked rice - 2 cups heaped,
   Fresh grated coconut - 1 cup,
   Oil - 1 tbsp,
   Mustard seeds –1 tsp,
   Cumin seeds –1/2 tsp,
   Channa dal – 1/2 tbsp,
   Urad dal – 2 tsp,
   Red chillies – 2,
   Green chillies - 1 slit,
   Curry leaves – few,
   Ginger – 1 inch piece,
   Asafoetida – a pinch,
   Cashew nuts - 8-10,
   Salt as needed.</t>
  </si>
  <si>
    <t>சமைத்த சாதம் - 2 கப் குவித்து,
புதிதாக துருவிய தேங்காய் - 1 கப்,
எண்ணெய் - 1 டீஸ்பூன்,
கடுகு விதைகள் - 1 டீஸ்பூன்,
சீரகம் - 1/2 டீஸ்பூன்,
சன்னா பருப்பு - 1/2 டீஸ்பூன்,
உளுத்தம் பருப்பு - 2 டீஸ்பூன்,
சிவப்பு மிளகாய் - 2,
பச்சை மிளகாய் - 1 துண்டு,
கறிவேப்பிலை - சிறிதளவு,
இஞ்சி - 1 அங்குல துண்டு,
பெருங்காயம் - ஒரு சிட்டிகை,
முந்திரி பருப்பு - 8-10,
தேவைக்கேற்ப உப்பு.</t>
  </si>
  <si>
    <t>Heat oil in a kadai/ pan, add mustard seeds, cumin seeds (optional) when it splutters, add channa dal, urad dal and red chillies. (add channa dal first as it will take time to get roasted, then add urad dal )
When dal changes color slightly, add green chillies, slivered ginger, asafoetida, curry leaves and cashew nuts. Sauté until cashew nuts turn golden brown. (remove the red chillies when sauteing cashewnuts. Once the cashew nuts turn golden brown, add the fried red chillies back – this is to prevent the red chillies from getting burnt).
Add grated coconut and sauté for a few minutes. It is not necessary to fry the grated coconut until it turn brown. Add salt needed and mix well and switch off the heat.
Fluff cooked rice with a fork and add it to the prepared coconut mix. Mix the cooked rice well with the coconut. Serve with papads or chips or any gravy or kuzhambu of your choice.</t>
  </si>
  <si>
    <t>ஒரு கடாயில் எண்ணெயை சூடாக்கி, கடுகு, சீரகம் (விரும்பினால்) சேர்த்து, அது வதங்கியதும், சன்னா பருப்பு, உளுத்தம் பருப்பு மற்றும் சிவப்பு மிளகாய் சேர்க்கவும். (முதலில் சன்னா பருப்பு சேர்க்கவும், ஏனெனில் அது வறுத்து சிறிது நேரம் எடுக்கும், பின்னர் உளுத்தம் பருப்பு சேர்க்கவும்)
பருப்பு சிறிது நிறம் மாறியதும், பச்சை மிளகாய், துருவிய இஞ்சி, பெருங்காயம், கறிவேப்பிலை மற்றும் முந்திரி பருப்பு சேர்க்கவும். முந்திரி பருப்பு பொன்னிறமாகும் வரை வதக்கவும். (முந்திரி பருப்பு வதக்கும்போது சிவப்பு மிளகாயை நீக்கவும். முந்திரி பருப்பு பொன்னிறமாக மாறியதும், வறுத்த சிவப்பு மிளகாயை மீண்டும் சேர்க்கவும் - இது சிவப்பு மிளகாய் கருகாமல் இருக்க).
தேங்காயை துருவியதைச் சேர்த்து சில நிமிடங்கள் வதக்கவும். துருவிய தேங்காயை பொன்னிறமாகும் வரை வறுக்க வேண்டிய அவசியமில்லை. தேவையான அளவு உப்பு சேர்த்து நன்கு கலந்து அடுப்பை அணைக்கவும்.
சமைத்த அரிசியை ஒரு முட்கரண்டி கொண்டு பிசைந்து, தயாரிக்கப்பட்ட தேங்காய் கலவையில் சேர்க்கவும். சமைத்த அரிசியை தேங்காயுடன் நன்கு கலக்கவும். பப்பட் அல்லது சிப்ஸ் அல்லது உங்களுக்கு விருப்பமான எந்த கிரேவி அல்லது குழம்புடன் பரிமாறவும்.</t>
  </si>
  <si>
    <t>https://encrypted-tbn0.gstatic.com/images?q=tbn:ANd9GcSSDy-jIH3XKNiqsNv_NOcL_v3TRyWUnm1Ugg&amp;s</t>
  </si>
  <si>
    <t>Basmati Rice - 1 cup,
Carrot - 1 big,
Beans - 6,
Cauliflower – 4-5 florets,
Potato - 1,
Onion - 1,
Peas – handful,
Ginger – chopped 2 tsp,
Green chilli - 2,
 mint leaves –handful,
Lemon - 1/2 a lemon,
Oil - 1 tbsp,
Salt as required,
Cinnamon - 1 inch piece,
Cloves - 4.</t>
  </si>
  <si>
    <t>பாஸ்மதி அரிசி - 1 கப்,
கேரட் - 1 பெரியது,
பீன்ஸ் - 6,
காலிஃபிளவர் - 4-5 பூக்கள்,
உருளைக்கிழங்கு - 1,
வெங்காயம் - 1,
பட்டாணி - ஒரு கைப்பிடி,
இஞ்சி - நறுக்கியது 2 தேக்கரண்டி,
பச்சை மிளகாய் - 2,
புதினா இலைகள் - ஒரு கைப்பிடி,
எண்ணெய் - 1 தேக்கரண்டி,
தேவைக்கேற்ப உப்பு,
இலவங்கப்பட்டை - 1 அங்குல துண்டு,
கிராம்பு - 4.</t>
  </si>
  <si>
    <t>Cut all the vegetables lengthwise and keep it aside.
Heat oil and add the ingredients for seasoning.
Sauté onion till they turn light pink, add ginger and all the vegetables including mint leaves, saute for a few minutes.
Then add rice, needed salt, 2 cups of boiling water and mix well.
Squeeze juice of half a lemon and pressure cook for 2 whistles.
veg pulaoPulao using basmati rice, potato-tomato gravy &amp; salad
After it is done, garnish with coriander leaves and serve hot with raita or papads or any gravy of your choice. Pulao can be done with raw rice also, though tastes great with basmati rice.</t>
  </si>
  <si>
    <t>அனைத்து காய்கறிகளையும் நீளவாக்கில் நறுக்கி தனியாக வைக்கவும்.
எண்ணெயை சூடாக்கி, தாளிக்க தேவையான பொருட்களை சேர்க்கவும்.
வெங்காயம் வெளிர் இளஞ்சிவப்பு நிறமாக மாறும் வரை வதக்கி, இஞ்சி மற்றும் புதினா இலைகள் உட்பட அனைத்து காய்கறிகளையும் சேர்த்து சில நிமிடங்கள் வதக்கவும்.
பின்னர் அரிசி, தேவையான உப்பு, 2 கப் கொதிக்கும் நீர் சேர்த்து நன்கு கலக்கவும்.
அரை எலுமிச்சையின் சாற்றை பிழிந்து 2 விசில் வரும் வரை வேக வைக்கவும்.
காய்கறி புலாவ்பாஸ்மதி அரிசி, உருளைக்கிழங்கு-தக்காளி கிரேவி மற்றும் சாலட் பயன்படுத்தி புலாவ்.
தயாரான பிறகு, கொத்தமல்லி இலைகளால் அலங்கரித்து, ரைத்தா அல்லது பப்படம் அல்லது உங்களுக்கு விருப்பமான எந்த கிரேவியுடனும் சூடாகப் பரிமாறவும். புலாவை பச்சரிசியிலும் செய்யலாம், இருப்பினும் பாஸ்மதி அரிசியுடன் சுவையாக இருக்கும்.</t>
  </si>
  <si>
    <t>https://www.indianhealthyrecipes.com/wp-content/uploads/2018/07/pulao-recipe-480x270.jpg</t>
  </si>
  <si>
    <t xml:space="preserve">  Rice – ½ cup,
   Curd  - ½ cup,
   Milk – ½ cup,
   Salt needed,
   Capsicum finely chopped – 2 tbsp,
   Tomato deseeded and finely chopped – 1 medium size,
   Carrots finely chopped – ½ a carrot,
   Chopped cucumber - 2 tbsp,
   Oil – 1 tsp,
   Mustard seeds – ¼ tsp,
   Finely chopped ginger – 1 tbsp,
   Green chillies – 1 deseeded and finely chopped.</t>
  </si>
  <si>
    <t>அரிசி - ½ கப்,
தயிர் - ½ கப்,
பால் - ½ கப்,
உப்பு தேவை,
கேப்சிகம் நன்றாக நறுக்கியது - 2 டீஸ்பூன்,
விதை நீக்கி இறுதியாக நறுக்கிய தக்காளி - 1 நடுத்தர அளவு,
கேரட் நன்றாக நறுக்கியது - ½ கேரட்,
நறுக்கிய வெள்ளரிக்காய் - 2 டீஸ்பூன்,
எண்ணெய் - 1 டீஸ்பூன்,
கடுகு விதைகள் - ¼ டீஸ்பூன்,
இறுதியாக நறுக்கிய இஞ்சி - 1 டீஸ்பூன்,
பச்சை மிளகாய் - 1 விதை நீக்கி இறுதியாக நறுக்கியது.</t>
  </si>
  <si>
    <t>அரிசி மென்மையாகும் வரை சமைக்கவும். நீங்கள் சாதத்தை சமைக்க பிரஷர் குக்கரையும் பயன்படுத்தலாம்.
தயிர் சூடாக்கப்பட்ட பிறகு, அதை ஒரு மசியுடன் நன்றாக மசிக்கவும். பால் சேர்த்து நன்கு கலக்கவும்.
அது குளிர்ந்த பிறகு, தயிர் (வெற்று தயிர்) மற்றும் தேவையான உப்பு சேர்க்கவும். அனைத்து காய்கறிகளையும் சேர்க்கவும்.
ஒரு டீஸ்பூன் எண்ணெயை சூடாக்கி, கடுகு சேர்த்து, அது வதங்கியதும், இஞ்சி, பச்சை மிளகாய் சேர்த்து சில நொடிகள் வதக்கவும். தயிர் சாதத்தில் சேர்த்து எல்லாவற்றையும் நன்றாக கலக்கவும்.
இறுதியாக நறுக்கிய கொத்தமல்லி இலைகளால் அலங்கரிக்கவும். சுவையான தயிர் சாதம் தயார். இதை அப்படியே சாப்பிடலாம் அல்லது எந்த ஊறுகாயுடனும் சேர்த்து சாப்பிடலாம்.</t>
  </si>
  <si>
    <t>https://encrypted-tbn0.gstatic.com/images?q=tbn:ANd9GcSUkutCpKiyhMcfLLer-irzDku_I64Gu1O0tQ&amp;s</t>
  </si>
  <si>
    <t>Basmati Rice – 1 cup,
   Onion – 2 medium size finely chopped,
   Green chillies – 2 slit,
   Ginger-Garlic paste – 1 ½ tsp,
   Peas – 1 cup,
   Mint leaves – 1 cup loosely packed,
   Coriander leaves – ½ cup loosely packed,
   Salt to taste,
   Oil – 1 1/2 tbsp,
   Ghee – 1 tbsp,
   Cinnamon – 1 inch piece,
   Cloves – 2,
   Cardamon – 1.</t>
  </si>
  <si>
    <t>பாஸ்மதி அரிசி - 1 கப்,
வெங்காயம் - 2 நடுத்தர அளவு நன்றாக நறுக்கியது,
பச்சை மிளகாய் - 2 கீற்றுகள்,
இஞ்சி-பூண்டு விழுது - 1 ½ தேக்கரண்டி,
பட்டான் - 1 கப்,
புதினா இலைகள் - 1 கப் தளர்வாக பொடித்தது,
கொத்தமல்லி இலைகள் - ½ கப் தளர்வாக பொடித்தது,
ருசிக்க உப்பு,
எண்ணெய் - 1 1/2 தேக்கரண்டி,
நெய் - 1 தேக்கரண்டி,
இலவங்கப்பட்டை - 1 அங்குல துண்டு,
கிராம்பு - 2,
ஏலக்காய் - 1.</t>
  </si>
  <si>
    <t>Heat oil and ghee together, add cinnamon, cloves and cardamom.
Saute for few seconds and add finely chopped onions. Sauté till onions turns transparent, then add ginger- garlic paste and fry for a few more minutes.
Add slit green chillies, peas, mint leaves, coriander leaves and sauté for 2 minutes.
Add basmati rice, 2 cups of boiling water, needed salt and pressure cook.
Once the pressure subsides, open the cooker and gently fluff it with a fork. Your peas pulav is ready.</t>
  </si>
  <si>
    <t>எண்ணெய் மற்றும் நெய்யை ஒன்றாக சூடாக்கி, இலவங்கப்பட்டை, கிராம்பு மற்றும் ஏலக்காய் சேர்க்கவும்.
சில நொடிகள் வதக்கி, இறுதியாக நறுக்கிய வெங்காயத்தைச் சேர்க்கவும். வெங்காயம் வெளிப்படையானதாக மாறும் வரை வதக்கவும், பின்னர் இஞ்சி-பூண்டு விழுது சேர்த்து மேலும் சில நிமிடங்கள் வதக்கவும்.
பொடியாக நறுக்கிய பச்சை மிளகாய், பட்டாணி, புதினா இலைகள், கொத்தமல்லி இலைகளைச் சேர்த்து 2 நிமிடங்கள் வதக்கவும்.
பாஸ்மதி அரிசி, 2 கப் கொதிக்கும் நீர், தேவையான உப்பு சேர்த்து பிரஷர் குக்கரில் வேக வைக்கவும்.
பிரஷர் குறைந்தவுடன், குக்கரைத் திறந்து, ஒரு ஃபோர்க் கொண்டு மெதுவாக வேகவிடவும். உங்கள் பட்டாணி புலாவ் தயார்.</t>
  </si>
  <si>
    <t>https://encrypted-tbn0.gstatic.com/images?q=tbn:ANd9GcROJkCDhYDCvuO8oydsGNYIJtGPspJ56JC1Ug&amp;s</t>
  </si>
  <si>
    <t>Veg Chow Mein</t>
  </si>
  <si>
    <t>வெஜ் சவ் மெய்ன்</t>
  </si>
  <si>
    <t>Noodles</t>
  </si>
  <si>
    <t>Hakka noodles - 300 g,
Soy sauce - 1 tbsp,
Red chili sauce - 2 tbsp,
Green chili sauce - 1 tbsp,
Oyster sauce - 1 tbsp,
Vinegar - 1 tsp,
Oil,
Ginger - 1 tbsp chopped,
Garlic - 1 tbsp chopped,
Onion - 1 thinly chopped,
Wedge - 1/2 thinly chopped,
Cabbage - 1/2 cup thinly chopped,
Carrot - 1 thinly chopped,
Baby corn - 5 thinly chopped,
Mushroom - 200 g chopped,
Broccoli,
Pepper powder,
Salt,
Scallion leaves chopped.</t>
  </si>
  <si>
    <t>ஹக்கா நூடுல்ஸ் - 300 கிராம்,
சோயா சாஸ் - 1 மேசைக்கரண்டி,
ரெட் சில்லி சாஸ் - 2 மேசைக்கரண்டி,
கிரீன் சில்லி சாஸ் - 1 மேசைக்கரண்டி,
ஆய்ஸ்டர் சாஸ் - 1 மேசைக்கரண்டி,
வினிகர் - 1 தேக்கரண்டி,
எண்ணெய்,
இஞ்சி - 1 தேக்கரண்டி நறுக்கியது,
பூண்டு - 1 தேக்கரண்டி நறுக்கியது,
வெங்காயம் - 1 மெல்லியதாக நறுக்கியது,
குடைமிளகாய் - 1/2 மெல்லியதாக நறுக்கியது,
முட்டைகோஸ் - 1/2 கப் மெல்லியதாக நறுக்கியது,
கேரட் - 1 மெல்லியதாக நறுக்கியது,
பேபி கான் - 5 மெல்லியதாக நறுக்கியது,
காளான் - 200 கிராம் நறுக்கியது,
ப்ராக்லி,
மிளகு தூள், 
உப்பு,
வெங்காயத்தாள் நறுக்கியது.</t>
  </si>
  <si>
    <t>Pour the required amount of water in a pan, and when the water boils, add salt and noodles and cook for 5 minutes.
Once the noodles are cooked, drain the noodles. Then pour cold water over them and drain. Then pour oil over them and mix.
Next, in a bowl, add soy sauce, red chili sauce, green chili sauce, oyster sauce, and vinegar and mix.
Next, pour oil in a wide pan, add garlic, ginger, onion, bell pepper, and cabbage and sauté.
Then add carrots and baby corn and mix.
Then add chopped mushrooms and broccoli and stir-fry on high heat.
Next, add salt and pepper powder and stir-fry on high heat for 5 minutes.
Then add the boiled noodles and stir-fry for 2 minutes.
Then pour the sauce mixture and stir-fry on high heat for 5 minutes.
Finally, add the onion leaves and serve the veg chow mein hot.</t>
  </si>
  <si>
    <t>ஒரு கடாயில் தேவையான அளவு தண்ணீர் ஊற்றி, தண்ணீர் கொதித்ததும் உப்பு மற்றும் நூடுல்ஸை சேர்த்து 5 நிமிடம் வேகவிடவும்.
 நூடுல்ஸ் வெந்ததும் நூடுல்ஸை வடிகட்டவும். பிறகு அதில் குளிர்ந்த நீரை ஊற்றி வடிகட்டவும். பின்பு அதன் மேல் எண்ணெயை ஊற்றி கலந்துவிடவும்.
அடுத்து ஒரு பாத்திரத்தில் சோயா சாஸ், ரெட் சில்லி சாஸ், கிரீன் சில்லி சாஸ், ஆய்ஸ்டர் சாஸ், வினிகர் சேர்த்து கலந்து வைக்கவும்.
 அடுத்து ஒரு அகலமான கடாயில் எண்ணெய் ஊற்றி, அதில் பூண்டு, இஞ்சி, வெங்காயம், குடைமிளகாய், முட்டைகோஸ் சேர்த்து வதக்கவும்.
பிறகு கேரட், பேபி கான் சேர்த்து கலந்துவிடவும்.
பின்பு நறுக்கிய காளான், ப்ராக்லி சேர்த்து அதிகமான தீயில் ஸ்டர் ப்ரை செய்யவும்.
அடுத்து உப்பு மற்றும் மிளகு தூள் சேர்த்து 5 நிமிடம் அதிகமான தீயில் ஸ்டர் ப்ரை செய்யவும்.
பின் வேகவைத்த நூடுல்ஸை சேர்த்து 2 நிமிடம் ஸ்டர் ப்ரை செய்யவும்.
 பிறகு சாஸ் கலவையை ஊற்றி 5 நிமிடம் அதிகமான தீயில் ஸ்டர் ப்ரை செய்யவும்.
இறுதியாக வெங்காயத்தாள் சேர்த்து வெஜ் சவ் மெய்னை சூடாக பரிமாறவும்.</t>
  </si>
  <si>
    <t>https://encrypted-tbn0.gstatic.com/images?q=tbn:ANd9GcSf6Eiul5ng8yPi4V67BNpqmPF4BYbLUHDlGQ&amp;s</t>
  </si>
  <si>
    <t>https://youtu.be/1R7JDELdnc8?si=qlXxvRDuRR2Z9veL</t>
  </si>
  <si>
    <t>Chapati Noodles</t>
  </si>
  <si>
    <t>சப்பாத்தி நூடுல்ஸ்</t>
  </si>
  <si>
    <t>Chapathi - 4,
Oil - 1 tbsp,
Carrot - 1 cup grated,
Green chilli - 1/2 finely chopped,
Cabbage - 1/2 cup finely chopped,
Onion - 1 finely chopped,
Ginger garlic paste - 1 tsp,
Ginger - 1 piece finely chopped,
Garlic - 4 cloves finely chopped,
Salt,
Pepper - 1 tsp,
Soy sauce - 1 tsp,
Tomato ketchup - 2 tsp,
Coriander leaves.</t>
  </si>
  <si>
    <t>சப்பாத்தி - 4,
எண்ணெய் - 1 மேசைக்கரண்டி,
கேரட் - 1 கப் துருவியது,
பச்சை குடைமிளகாய் - 1/2 மெல்லியதாக நறுக்கியது,
முட்டைகோஸ் - 1/2 கப் மெல்லியதாக நறுக்கியது,
வெங்காயம் - 1 நறுக்கியது,
இஞ்சி பூண்டு விழுது - 1 தேக்கரண்டி,
இஞ்சி - 1 துண்டு பொடியாக நறுக்கியது,
பூண்டு - 4 பற்கள் மெல்லியதாக நறுக்கியது,
உப்பு,
மிளகு - 1 தேக்கரண்டி,
சோயா சாஸ் - 1 தேக்கரண்டி,
டொமேட்டோ கெட்சப் - 2 தேக்கரண்டி,
கொத்தமல்லி இலை.</t>
  </si>
  <si>
    <t>Cut the pre-made chapati or leftover chapati into noodles using kitchen scissors.
Heat oil in a wide pan, add onion, garlic, ginger, green chilli and cabbage and sauté.
Next add ginger garlic paste and carrot and mix. Now add soy sauce, tomato ketchup, salt and pepper powder and mix well.
Then add the chapati cut like noodles and mix well.
Chapati noodles are ready.</t>
  </si>
  <si>
    <t>முன்கூட்டியே செய்த சப்பாத்தி அல்லது மீதமுள்ள சப்பாத்தியை சமையலறை கத்தரிக்கோலைப் பயன்படுத்தி, நூடுல்ஸ் போல வெட்டி கொள்ளவும்.
 ஒரு அகலமான கடாயில் எண்ணெய் ஊற்றி சூடானதும், வெங்காயம், பூண்டு, இஞ்சி, பச்சை குடைமிளகாய், முட்டைக்கோஸ் சேர்த்து வதக்கவும்.
அடுத்து இஞ்சி பூண்டு விழுது, கேரட் சேர்த்து கலக்கவும். இப்போது சோயா சாஸ், தக்காளி கெட்சப், உப்பு, மிளகு தூள் சேர்த்து நன்கு கலந்து விடவும்.
 பிறகு நூடுல்ஸ் போல வெட்டிய சப்பாத்தியை சேர்த்து நன்கு கலந்து விடவும்.
 சப்பாத்தி நூடுல்ஸ் தயார்.</t>
  </si>
  <si>
    <t>https://encrypted-tbn0.gstatic.com/images?q=tbn:ANd9GcQPSgQfj79HiRDYh5WfReUaTpwgDA48kctHEg&amp;s</t>
  </si>
  <si>
    <t>https://youtu.be/6hWENFx5b00?si=3oJs5ZLjj_dB0x9t</t>
  </si>
  <si>
    <t>Hong Kong Style Noodles</t>
  </si>
  <si>
    <t>ஹாங் காங் ஸ்டைல் நூடுல்ஸ்</t>
  </si>
  <si>
    <t>Soy sauce - 1 1/2 tbsp,
Sesame oil - 1 tbsp,
Jaggery - 1 tsp,
Water - 2 tbsp,
Boiled noodles - 200 g,
Eggs - 2,
Sesame oil - 2 tbsp,
Ginger chopped,
Garlic chopped,
Chili powder - 1/2 tsp,
Beansprouts - 1 cup (sprouted grain),
Green chilies - 1/4 chopped,
Onion leaves - 1 bunch chopped,
Onion leaves chopped,
Salt.</t>
  </si>
  <si>
    <t>சோயா சாஸ் - 1 1/2 மேசைக்கரண்டி,
எள்ளு எண்ணெய் - 1 மேசைக்கரண்டி,
நாட்டு சர்க்கரை - 1 தேக்கரண்டி,
தண்ணீர் - 2 தேக்கரண்டி,
வேகவைத்த நூடுல்ஸ் - 200 கிராம்,
முட்டை - 2,
எள்ளு எண்ணெய் - 2 தேக்கரண்டி,
இஞ்சி பொடியாக நறுக்கியது,
பூண்டு பொடியாக நறுக்கியது,
மிளகு தூள் - 1/2 தேக்கரண்டி,
பீன்ஸ்ப்ரவுட்ஸ் - 1 கிண்ணம் (முளைகட்டிய தானியம்),
பச்சை குடைமிளகாய் - 1/4 பாகம் நறுக்கியது,
வெங்காயத்தாள் வெங்காயம் - 1 கொத்து நறுக்கியது,
வெங்காயத்தாள் கீரை நறுக்கியது,
உப்பு.</t>
  </si>
  <si>
    <t>Pour water in a vessel and add salt to it. When the water boils, turn off the stove and then add the noodles.
Cover the vessel and cook for 5 minutes. Then drain the water and pour plain water over the noodles and drain.
Next, mix soy sauce, sesame oil, brown sugar and water in a bowl.
Then break the egg into a bowl and add salt and pepper powder to it and beat well.
Then pour oil on the dosa stone and pour the beaten egg mixture into it. When one side is cooked, turn it over to the other side.
Then take it off the stone and cut it into small pieces.
Next, pour sesame oil in the pan and add chopped ginger, garlic and pepper powder and mix.
Then add the sprouted grains and fry.
Then add the chilies, spring onions and onions and fry and then add salt.
Next, add the boiled noodles and stir.
Then pour the sauce mixture and mix.
Finally, add the chopped spring onions, spinach and egg and mix and serve hot.
Hong Kong style noodles are ready!</t>
  </si>
  <si>
    <t xml:space="preserve">பாத்திரத்தில் தண்ணீர் ஊற்றி அதில் உப்பு சேர்த்து தண்ணீர் கொதித்ததும் அடுப்பை அணைத்து பின்பு அதில் நூடுல்ஸை சேர்த்து 
பாத்திரத்தை மூடி 5 நிமிடம் வேகவிடவும். பிறகு தண்ணீர் இன்றி வடிகட்டி பின்பு நூடுல்ஸில் சாதாரண தண்ணீர் ஊற்றி வடிகட்டவும்.
 அடுத்து ஒரு பாத்திரத்தில் சோயா சாஸ், எள்ளு எண்ணெய், நாட்டு சர்க்கரை மற்றும் தண்ணீர் சேர்த்து கலந்துகொள்ளவும்.
பிறகு ஒரு பாத்திரத்தில் முட்டையை உடைத்து ஊற்றி அதில் உப்பு, மிளகு தூள் சேர்த்து நன்கு அடித்துக்கொள்ளவும்.
 பின்பு தோசை கல்லில் எண்ணெய் ஊற்றி அதில் அடித்த முட்டை கலவையை ஊற்றவும். ஒரு பக்கம் வெந்ததும் மறுபக்கம் திருப்பி போடவும்.
 பிறகு கல்லில் இருந்து எடுத்து சிறு சிறு துண்டுகளாக வெட்டி வைக்கவும்.
அடுத்து கடாயில் எள்ளு எண்ணெய் ஊற்றி அதில் நறுக்கிய இஞ்சி, பூண்டு மற்றும் மிளகு தூள் சேர்த்து கலந்துவிடவும்.
 பின்பு முளைகட்டிய தானியம் சேர்த்து வதக்கவும்.
பிறகு குடைமிளகாய், வெங்காயத்தாள் வெங்காயம் சேர்த்து வதக்கி பின்பு உப்பு சேர்க்கவும்.
அடுத்து வேகவைத்த நூடுல்ஸை சேர்த்து கிளறவும்.
 பின்பு செய்த சாஸ் கலவையை ஊற்றி கலந்துவிடவும்.
 கடைசியாக நறுக்கிய வெங்காயத்தாள் கீரை மற்றும் முட்டை சேர்த்து கலந்து சூடாக பரிமாறவும்.
 ஹாங் காங் ஸ்டைல் நூடுல்ஸ் தயார்!  </t>
  </si>
  <si>
    <t>https://encrypted-tbn0.gstatic.com/images?q=tbn:ANd9GcQmLM3Hk-d5cOEBiUMmTDGkFJcjLgJQ2qDGgg&amp;s</t>
  </si>
  <si>
    <t>https://youtu.be/UlEFkSdlJdQ?si=EOQu_S0BUd8Wnjr6</t>
  </si>
  <si>
    <t>Szechuan Chicken Noodles</t>
  </si>
  <si>
    <t>செஸ்வான் சிக்கன் நூடுல்ஸ்</t>
  </si>
  <si>
    <t>Boiled noodles - 1 packet,
Oil - 1 1/2 tbsp,
Ginger chopped,
Garlic chopped,
Onion - 1 thinly chopped,
Tomato - 1 seedless and finely chopped,
Boiled chicken - 100 grams,
Green chilies - 2 grated,
Wedge chilies - 1 thinly chopped,
Onion leaves - 1 bunch chopped,
Salt - as required,
Pepper powder - 1 tsp,
Soy sauce - 1 1/2 tsp,
Chili sauce - 2 tsp,
Tomato ketchup - 3 tsp,
Coriander leaves chopped.</t>
  </si>
  <si>
    <t>வேகவைத்த நூடுல்ஸ் - 1 பாக்கெட்,
எண்ணெய் - 1 1/2 மேசைக்கரண்டி,
இஞ்சி நறுக்கியது,
பூண்டு நறுக்கியது,
வெங்காயம் - 1 மெல்லியதாக நறுக்கியது,
தக்காளி - 1 விதையின்றி மெல்லியதாக நறுக்கியது,
வேகவைத்த சிக்கன் - 100 கிராம்,
பச்சை மிளகாய் - 2 கீறியது ,
குடைமிளகாய் - 1 மெல்லியதாக நறுக்கியது,
வெங்காயத்தாள் - 1 கொத்து நறுக்கியது,
உப்பு - தேவையான அளவு ,
மிளகு தூள் - 1 தேக்கரண்டி,
சோயா சாஸ் - 1 1/2 தேக்கரண்டி,
சில்லி சாஸ் - 2 தேக்கரண்டி,
டொமேட்டோ கெட்சப் - 3 தேக்கரண்டி,
கொத்தமல்லி இலை நறுக்கியது.</t>
  </si>
  <si>
    <t>Pour oil into a pan and add chopped ginger, garlic, onion, green chilies, and wedge chilies and sauté.
Then add chopped tomatoes, half of the onion leaves and mix.
Then add pepper powder, salt and boiled noodles and mix.
Next add soy sauce, chili sauce, tomato ketchup and mix.
Then add the remaining onion leaves and mix, then add the boiled and shredded chicken and mix.
Finally add chopped coriander leaves and mix.
Szechuan Chicken Noodles are ready!</t>
  </si>
  <si>
    <t>கடாயில் எண்ணெய் ஊற்றி அதில் நறுக்கிய இஞ்சி, பூண்டு, வெங்காயம், பச்சை மிளகாய், மற்றும் குடைமிளகாய் சேர்த்து வதக்கவும்.
 பின்பு நறுக்கிய நறுக்கிய தக்காளி, வெங்காயத்தாள் பாதி அளவு சேர்த்து கலந்து கொள்ளவும்.
பிறகு மிளகு தூள், உப்பு மற்றும் வேகவைத்த நூடுல்ஸை சேர்த்து கலந்து கொள்ளவும்.
 அடுத்து சோயா சாஸ், சில்லி சாஸ், டொமேட்டோ கெட்சப் சேர்த்து கலந்துவிடவும்.
 பின்பு மீதம் உள்ள வெங்காயத்தாளை சேர்த்து கலந்து, பிறகு வேகவைத்து உதிர்த்த சிக்கனை சேர்த்து கலந்துவிடவும்.
 கடைசியாக நறுக்கிய கொத்தமல்லி இலை சேர்த்து கலந்து இறக்கவும்.
செஸ்வான் சிக்கன் நூடுல்ஸ் தயார்!</t>
  </si>
  <si>
    <t>https://encrypted-tbn0.gstatic.com/images?q=tbn:ANd9GcQhKq4XstmVpWJmxO-6waF48aQuRGgyKEozDw&amp;s</t>
  </si>
  <si>
    <t>https://youtu.be/iJ7cO7xSAAM?si=Ng4KFiwjj1kxazdO</t>
  </si>
  <si>
    <t>Pad Thai Noodles</t>
  </si>
  <si>
    <t>பட் தாய் நூடுல்ஸ்</t>
  </si>
  <si>
    <t>Rice noodles - 250 grams,
Hot water,
Salt,
Peanuts - 2 tablespoons fried,
Oil,
Boneless chicken,
Shrimp,
Chopped garlic,
Chili powder,
Eggs - 2,
Tofu paneer,
Sprouted grains,
Onion leaves,
Red chili.</t>
  </si>
  <si>
    <t>ரைஸ் நூடுல்ஸ் - 250 கிராம்,
சூடு தண்ணீர்,
உப்பு,
வேர்கடலை - 2 மேசைக்கரண்டி வறுத்தது ,
எண்ணெய்,
எலும்பில்லாத சிக்கன்,
இறால்,
பூண்டு பொடியாக நறுக்கியது,
மிளகு தூள்,
முட்டை - 2,
டோஃபு பன்னீர் ,
முளைகட்டிய தானியம் ,
வெங்காயத்தாள்,
சிவப்பு மிளகாய்.</t>
  </si>
  <si>
    <t>In a bowl, add rice noodles, hot water and salt and keep it for 15 minutes.
Next, crush the fried peanuts and keep it aside.
Then in a bowl, add fish sauce, Thai chili sauce, tamarind water, and palm jaggery and mix it.
Next, pour oil in a pan and add boneless chicken and fry it.
Then add shrimp and chopped garlic and fry it.
Then add salt and pepper powder and mix.
Once the shrimp is cooked, add the noodles and mix.
Then pour the Pad Thai sauce and mix.
Next, pour oil and break the egg into it. Stir the egg and mix it with the noodles when the egg is cooked.
Then add the fried tofu paneer, crushed peanuts and mix.
Then add the sprouted grains, chopped onion leaves, and red chilies and mix.
Pad Thai noodles are ready!</t>
  </si>
  <si>
    <t>ஒரு பாத்திரத்தில் ரைஸ் நூடுல்ஸ், சுடுதண்ணீர் மற்றும் உப்பு சேர்த்து 15 நிமிடம் வைக்கவும்.
 அடுத்து வறுத்த வேர்க்கடலையை இடித்து வைத்து கொள்ளவும்.
பின்பு ஒரு பாத்திரத்தில் பிஷ் சாஸ், தாய் சில்லி சாஸ், புளி தண்ணீர், பனை வெல்லம் சேர்த்து கலந்து வைத்து கொள்ளவும்.
அடுத்து கடாயில் எண்ணெய் ஊற்றி அதில் எலும்பில்லாத சிக்கனை சேர்த்து வதக்கவும்.
 பின்பு இறால் மற்றும் நறுக்கிய பூண்டு சேர்த்து வதக்கவும்.
 பிறகு உப்பு மற்றும் மிளகு தூள் சேர்த்து கலந்துவிடவும்.
 இறால் வெந்ததும் நூடுல்ஸை சேர்த்து கலந்துவிடவும்.
பின்பு பட் தாய் சாஸ்சை ஊற்றி கலந்துவிடவும்.
 அடுத்து எண்ணெய் ஊற்றி அதில் முட்டையை உடைத்து ஊற்றி முட்டையை கிளறி முட்டை வெந்ததும் நூடுல்ஸ் உடன் சேர்த்து கலந்துவிடவும்.
 பிறகு வறுத்த டோஃபு பன்னீர், இடித்த வேர்கடலை சேர்த்து கலந்துவிடவும்.
 பின்பு முளைகட்டிய தானியம், நறுக்கிய வெங்காயத்தாள், சிவப்பு மிளகாய் சேர்த்து கலந்து இறக்கவும்.</t>
  </si>
  <si>
    <t>https://ministryofcurry.com/wp-content/uploads/2021/01/Pad-Thai_-1.jpg</t>
  </si>
  <si>
    <t>https://youtu.be/PdBHCzz1kwU?si=5PRcOHCSXdCGd2tP</t>
  </si>
  <si>
    <t>Spiced Noodles</t>
  </si>
  <si>
    <t>மசாலா நூடுல்ஸ்</t>
  </si>
  <si>
    <t>Ramen noodles - 4 packets,
Oil - 2 tablespoons,
Garlic - 2 tablespoons chopped,
Ginger - 1 tablespoon chopped,
Onion - 1/2 chopped,
Carrot - 1/2 cup chopped,
Cabbage - 1/2 cup chopped,
Red chili - 1/4 cup chopped,
Green chili - 1/4 cup chopped,
Salt - 2 tablespoons,
Chilli powder - 1 tablespoon,
Cumin powder - 1/2 teaspoon,
Kashmiri chili powder - 2 tablespoons,
Chaat masala powder - 2 tablespoons,
Sugar - 1 tablespoon,
Soy sauce - 2 tablespoons,
Onion leaves,
Onion leaves.</t>
  </si>
  <si>
    <t>ரமேன் நூடுல்ஸ் - 4 பாக்கெட் ,
எண்ணெய் - 2 மேசைக்கரண்டி,
பூண்டு - 2 தேக்கரண்டி நறுக்கியது ,
இஞ்சி - 1 தேக்கரண்டி நறுக்கியது,
வெங்காயம் - 1/2 நறுக்கியது,
கேரட் - 1/2 கப் நறுக்கியது,
முட்டைகோஸ் - 1/2 கப் நறுக்கியது,
சிவப்பு குடைமிளகாய் - 1/4 கப் நறுக்கியது,
பச்சை குடைமிளகாய் -1/4 கப் நறுக்கியது,
உப்பு - 2 தேக்கரண்டி,
மிளகு தூள் - 1 தேக்கரண்டி,
சீரக தூள்  - 1/2 தேக்கரண்டி,
காஷ்மீரி மிளகாய் தூள் - 2 தேக்கரண்டி,
சாட் மசாலா தூள் - 2 தேக்கரண்டி,
சர்க்கரை - 1 தேக்கரண்டி,
சோயா சாஸ் - 2 தேக்கரண்டி,
வெங்காயத்தாள் வெங்காயம்,
வெங்காயத்தாள்.</t>
  </si>
  <si>
    <t>Pour water into a vessel and boil. Then add salt and add ramen noodles and cook.
Add a little oil and mix. Once the noodles are cooked, drain the water and keep it aside.
Next, pour oil in a pan and add finely chopped garlic, ginger, and onion and sauté.
Then add chopped carrots and cabbage and mix.
Then add chopped red chilies and green chilies and sauté for 3 minutes.
Then add salt, pepper powder, cumin powder, Kashmiri chili powder, chaat
Then add chopped onion leaves, onion leaves, and mix with the boiled noodles.
Finally, add chopped onion leaves and serve.
Delicious masala noodles are ready!</t>
  </si>
  <si>
    <t>பாத்திரத்தில் தண்ணீர் ஊற்றி கொதிக்கவிடவும். பின்பு உப்பு சேர்த்து ரமேன் நூடுல்ஸ்சை சேர்த்து வேகவிடவும்.
 சிறிதளவு எண்ணெய் சேர்த்து கலந்துவிடவும். நூடுல்ஸ் வெந்ததும் தண்ணீர் இன்றி வடிகட்டி தனியாக எடுத்து
வைக்கவும்.
 அடுத்து கடாயில் எண்ணெய் ஊற்றி அதில் பொடியாக நறுக்கிய பூண்டு, இஞ்சி, வெங்காயம் சேர்த்து வதக்கவும்.
 பின்பு நறுக்கிய கேரட், முட்டைகோஸ் சேர்த்து கலந்துவிடவும்.
பிறகு நறுக்கிய சிவப்பு குடைமிளகாய், பச்சை குடைமிளகாய் சேர்த்து 3 நிமிடம் வதக்கவும்.
 பின்பு உப்பு, மிளகு தூள், சீரக தூள், காஷ்மீரி மிளகாய் தூள், சாட் 
பிறகு நறுக்கிய வெங்காயத்தாள் வெங்காயம், வெங்காயத்தாள் சேர்த்து கலந்து வேகவைத்த நூடுல்ஸ்சை சேர்த்து கலந்துவிடவும்.
கடைசியாக நறுக்கிய வெங்காயத்தாள் சேர்த்து இறக்கி பரிமாறவும்.
 சுவையான மசாலா நூடுல்ஸ் தயார்!</t>
  </si>
  <si>
    <t>https://encrypted-tbn0.gstatic.com/images?q=tbn:ANd9GcRM4iPPvdRr8ucGgmNPWre6KHhl1ISGwKzeAA&amp;s</t>
  </si>
  <si>
    <t>https://youtu.be/cK8g7kEVG3c?si=o1xb3UYeuZfj-LdO</t>
  </si>
  <si>
    <t>Szechuan Noodles</t>
  </si>
  <si>
    <t>செஸ்வான் நூடுல்ஸ்</t>
  </si>
  <si>
    <t>Noodles,
Water,
Oil - 2 tbsp,
Garlic - 1 tbsp,
Ginger - 1 tbsp,
Onion - 1,
Carrot - 1 cup,
Green chilli - 1 cup,
Red chilli - 1 cup,
Cabbage - 1 cup,
Mushroom - 1 cup,
Salt - 1/2 tsp,
Pepper - 1/2 tsp,
Soy sauce - 1 tbsp,
Szechuan sauce - 3 tbsp,
Onion leaves.</t>
  </si>
  <si>
    <t>நூடுல்ஸ்,
தண்ணீர்,
எண்ணெய் - 2 டீஸ்பூன்,
பூண்டு - 1 டீஸ்பூன்,
இஞ்சி - 1 டீஸ்பூன்,
வெங்காயம் - 1,
கேரட் - 1 கப்,
பச்சை குடமிளகாய் - 1 கப்,
சிவப்பு குடமிளகாய் - 1 கப்,
முட்டைக்கோஸ் - 1 கப்,
காளான் - 1 கப்,
உப்பு - 1/2 டீஸ்பூன்,
மிளகு - 1/2 டீஸ்பூன்,
சோயா சாஸ் - 1 டீஸ்பூன் ,
ஷெஸ்வான் சாஸ் - 3 டீஸ்பூன்,
வெங்காய தாள்.</t>
  </si>
  <si>
    <t>Boil the noodles in boiling water for 5-7 minutes and drain. Pour cold water to prevent the noodles from sticking together and set the noodles aside.
Take a wide pan and add oil. Heat it.
Add chopped garlic and ginger and sauté. Add chopped onions and sauté for 30 seconds.
Keep the flame on medium. Add carrots, green chillies, red chillies, shredded cabbage, sliced ​​mushrooms and sauté for 1-2 minutes.
Add salt, black pepper powder, soy sauce, schezwan sauce and mix well.
Reduce the flame to medium and add the cooked noodles. Mix well with the vegetables and sauces.
Add finely chopped spring onions and whites.
Delicious schezwan noodles are ready to serve hot and tasty.</t>
  </si>
  <si>
    <t xml:space="preserve">நூடுல்ஸை கொதிக்கும் நீரில் 5-7 நிமிடங்கள்
வேகவைத்து வடிகட்டவும். நூடுல்ஸ் ஒன்றோடு ஒன்று
ஒட்டாமல் இருக்க குளிர்ந்த நீர் ஊற்றி நூடுல்ஸை ஒதுக்கி
வைக்கவும்.
அகலமான வாணலியை எடுத்து எண்ணெய்
சேர்க்கவும். அதை சூடாக்கவும்.
நறுக்கிய பூண்டு, இஞ்சி சேர்த்து வதக்கவும். நறுக்கிய
வெங்காயத்தைச் சேர்த்து 30 விநாடிகள் வதக்கவும்.
தீயை மிதமான அளவில் வைக்கவும். கேரட், பச்சை
குடமிளகாய், சிவப்பு குடைமிளகாய், துருவிய
முட்டைக்கோஸ், துண்டுகளாக்கப்பட்ட காளான்கள்
சேர்த்து 1-2 நிமிடம் வதக்கவும்.
 உப்பு, கருப்பு மிளகு தூள், சோயா சாஸ், ஷெஸ்வான்
சாஸ் சேர்த்து நன்கு கலக்கவும்.
 தீயை மிதமான அளவில் குறைத்து, சமைத்த
நூடுல்ஸை சேர்க்கவும். காய்கறிகள் மற்றும் சாஸ்களுடன்
நன்றாக கலக்கவும்.
இறுதியாக நறுக்கிய ஸ்ப்ரிங் ஆனியன் கீரைகள்
மற்றும் ஒயிட்ஸைச் சேர்க்கவும்.
 சுவையான ஷெஸ்வான் நூடுல்ஸ் சூடாகவும்
நன்றாகவும் பரிமாற தயாராக உள்ளது.
</t>
  </si>
  <si>
    <t>https://encrypted-tbn0.gstatic.com/images?q=tbn:ANd9GcSpChK9LwIyXl73wk_woisjscKPadeO1cu-lw&amp;s</t>
  </si>
  <si>
    <t>https://youtu.be/8Gw19Y2yP1c?si=0zBbMk9MXAAXKrz_</t>
  </si>
  <si>
    <t>Tomato Thokku with Garlic</t>
  </si>
  <si>
    <t>பூண்டுடன் தக்காளி தொக்கு</t>
  </si>
  <si>
    <t xml:space="preserve">   Tomato – 1 kg ripe ones,
   Garlic – 7-8 cloves,
   Tamarind – small gooseberry sized ball,
   Turmeric powder – 1/4 tsp,
   Chilli powder – 1 1/2 tbsp,
   Salt – 1 tbsp or as needed,
   Roasted fenugreek powder – 1/2 tsp,
   Oil – 1/3 + 1 tbsp cup,
   Mustard seeds – 1 tsp,
   asafoetida – 1 tsp.
</t>
  </si>
  <si>
    <t>தக்காளி - 1 கிலோ பழுத்தவை,
பூண்டு - 7-8 பல்,
புளி - சிறிய நெல்லிக்காய் அளவு பந்து,
மஞ்சள் தூள் - 1/4 தேக்கரண்டி,
மிளகாய் தூள் - 1 1/2 தேக்கரண்டி,
உப்பு - 1 தேக்கரண்டி அல்லது தேவைக்கேற்ப,
வறுத்த வெந்தய தூள் - 1/2 தேக்கரண்டி,
எண்ணெய் - 1/3 + 1 தேக்கரண்டி கப்,
கடுகு - 1 தேக்கரண்டி,
பெருங்காயம் - 1 தேக்கரண்டி.</t>
  </si>
  <si>
    <t xml:space="preserve">Heat oil in a pan (use gingelly oil/nallennai/ sesame seed oil), add mustard seeds and hing.
When mustard seeds splutters, add crushed garlic.
Saute for a few seconds, lower the heat and add the tomato puree.
thakkali thokku recipe-thakkali poondu thokku 
Add turmeric powder, salt and chilli powder. Mix well and cook for 5 minutes.
Add tamarind water and mix well.
Cook covered on medium heat and saute at regular intervals. (Be cautious as when it boils, it splutters a lot and might scald your hands. So reduce the heat to low before opening the lid to stir).
Cook on medium heat until all the water evaporates and oil separates.
Add roasted fenugreek powder and mix well. Turn off the heat.
</t>
  </si>
  <si>
    <t>ஒரு பாத்திரத்தில் எண்ணெயை சூடாக்கவும் (எண்ணெய் / நல்லெண்ணெய் / எள் எண்ணெய் பயன்படுத்தவும்), கடுகு மற்றும் கீரை சேர்க்கவும்.
கடுகு வெடித்ததும், நசுக்கிய பூண்டை சேர்க்கவும்.
சில நொடிகள் வதக்கி, தீயைக் குறைத்து தக்காளி கூழ் சேர்க்கவும்.
தக்கலி தொக்கு செய்முறை-தக்கலி பூண்டு தொக்கு
மஞ்சள் தூள், உப்பு மற்றும் மிளகாய் தூள் சேர்க்கவும். நன்கு கலந்து 5 நிமிடங்கள் சமைக்கவும்.
புளி தண்ணீர் சேர்த்து நன்கு கலக்கவும்.
மிதமான தீயில் மூடி வைத்து, அவ்வப்போது வதக்கவும். (கொதிக்கும் போது அதிகமாக வெடித்து, கைகள் எரியக்கூடும் என்பதால் கவனமாக இருங்கள். எனவே மூடியைத் திறந்து கிளறுவதற்கு முன் தீயை குறைத்து வைக்கவும்).
தண்ணீர் முழுவதும் ஆவியாகி எண்ணெய் பிரியும் வரை மிதமான தீயில் சமைக்கவும்.
வறுத்த வெந்தயப் பொடியைச் சேர்த்து நன்கு கலக்கவும். தீயை அணைக்கவும்.</t>
  </si>
  <si>
    <t>https://encrypted-tbn0.gstatic.com/images?q=tbn:ANd9GcRiTd2Q44W7nd0whWU5jEl3J6zxbDc_7QwD6A&amp;s</t>
  </si>
  <si>
    <t>https://youtu.be/nDiVM23S4r4</t>
  </si>
  <si>
    <t xml:space="preserve"> Mint Leaves – 3 cups firmly packed,
   Coriander leaves – 1 cup,
   Red Chillies – 6,
   Tamarind – 15 grams,
   Salt as needed,
   Oil – 7 tbsp.</t>
  </si>
  <si>
    <t>புதினா இலைகள் - 3 கப் உறுதியாகப் பொதி செய்யப்பட்டது,
கொத்தமல்லி இலைகள் - 1 கப்,
சிவப்பு மிளகாய்கள் - 6,
புளி - 15 கிராம்,
தேவைக்கேற்ப உப்பு,
எண்ணெய் - 7 டீஸ்பூன்.</t>
  </si>
  <si>
    <t>Heat 1 tbsp of oil and saute the red chillies. Remove from heat.
In the same pan, saute the mint leaves until they wilt. Remove from heat.
Grind red chillies, tamarind and salt (I used 1 tbsp rock salt) together coarsely.
Then add the sauteed mint leaves, coriander leaves (you do not have to saute coriander leaves) and grind everything together, adding little water (approximately 1/3-1/2 cup water)  to a very fine paste as shown below.
Heat oil in a kadai, add the paste gently into the oil and cook on medium heat stirring continuously until oil separates.
Mint thokku is ready. Enjoy it with rice, idli, any dosa, adai, pesarattu or use as a spread for bread.</t>
  </si>
  <si>
    <t>1 டீஸ்பூன் எண்ணெயைச் சூடாக்கி, மிளகாயை வதக்கவும்.
அதே வாணலியில், புதினா இலைகளை அவை வாடும் வரை வதக்கவும். தீயிலிருந்து நீக்கவும்.
சிவப்பு மிளகாய், புளி மற்றும் உப்பு (நான் 1 டீஸ்பூன் கல் உப்பு பயன்படுத்தினேன்) ஆகியவற்றை ஒன்றாகக் கரடுமுரடாக அரைக்கவும்.
பின்னர் வதக்கிய புதினா இலைகள், கொத்தமல்லி இலைகள் (நீங்கள் கொத்தமல்லி இலைகளை வதக்க வேண்டியதில்லை) சேர்த்து, கீழே காட்டப்பட்டுள்ளபடி சிறிது தண்ணீர் (தோராயமாக 1/3-1/2 கப் தண்ணீர்) சேர்த்து எல்லாவற்றையும் ஒன்றாக அரைக்கவும்.
ஒரு கடாயில் எண்ணெயைச் சூடாக்கி, பேஸ்டை எண்ணெயில் மெதுவாகச் சேர்த்து, எண்ணெய் பிரியும் வரை மிதமான தீயில் தொடர்ந்து கிளறவும்.
புதினா தொக்கு தயார். இதை சாதம், இட்லி, தோசை, அடை, பெசரட்டு ஆகியவற்றுடன் சேர்த்து சாப்பிடலாம் அல்லது ரொட்டிக்கு ஸ்ப்ரெட் ஆக பயன்படுத்தலாம்.</t>
  </si>
  <si>
    <t>https://encrypted-tbn0.gstatic.com/images?q=tbn:ANd9GcTn6myQQcfIygVwBGNQQnp1e-jxP4BN__-Ajg&amp;s</t>
  </si>
  <si>
    <t>Narthangai Oorugai</t>
  </si>
  <si>
    <t>நார்த்தங்கை ஊறுகாய்</t>
  </si>
  <si>
    <t xml:space="preserve">   Citron/Narthangai – 1/2 kg ,
   Dried Red Chillies – 20 grams,
   Rock Salt – 120 grams,
   Asafoetida – 15 grams,
   Turmeric powder – 1/2 tsp,
   Fenugreek seeds – 1 tsp,
   Oil - 1/2 tsp.</t>
  </si>
  <si>
    <t>சிட்ரான்/நார்த்தங்கை – 1/2 கிலோ,
காய்ந்த சிவப்பு மிளகாய் – 20 கிராம்,
கல் உப்பு – 120 கிராம்,
அசாஃபோடிடா – 15 கிராம்,
மஞ்சள் தூள் – 1/2 தேக்கரண்டி,
வெந்தய விதைகள் – 1 தேக்கரண்டி,
எண்ணெய் - 1/2 தேக்கரண்டி.</t>
  </si>
  <si>
    <t>Wash narthangai and wipe it dry with a towel. Cut into spirals and then into medium sized pieces. Remove the seeds as much as possible.
Dry roast fenugreek seeds and keep it aside.
Heat 1/2 tsp of oil, roast asafoetida and remove from the pan. (katti perungayam/compound hing give a nice flavor to the pickle, so if you can get katti perungayam, it is preferable to use that instead of ready made hing powder).
In the same pan, roast red chillies and keep it aside.
In a mixie, powder hing and fenugreek seeds together.
Powder salt and red chillies separately.
Now mix red chilli powder, hing + fenugreek powder, turmeric powder and salt together.
Add the powder to the cut narthangai and mix well. Keep it covered. Mix well with a dry spoon every morning and keep it covered.
As the skin of the citron lemon is very hard, you can use it after 4-5 days. Make sure to mix it everyday.</t>
  </si>
  <si>
    <t>நார்த்தங்கையைக் கழுவி, ஒரு துண்டுடன் உலர வைக்கவும். சுருள்களாகவும், பின்னர் நடுத்தர அளவிலான துண்டுகளாகவும் வெட்டவும். விதைகளை முடிந்தவரை அகற்றவும்.
வெந்தயத்தை உலர்த்தி வறுத்து ஒதுக்கி வைக்கவும்.
1/2 தேக்கரண்டி எண்ணெயைச் சூடாக்கி, பெருங்காயம் வறுத்து, வாணலியில் இருந்து எடுக்கவும். (கட்டி பெருங்காயம்/கலவை பெருங்காயம் ஊறுகாக்கு ஒரு நல்ல சுவையைத் தரும், எனவே நீங்கள் கட்டி பெருங்காயம் பெற முடிந்தால், தயாராக தயாரிக்கப்பட்ட பெருங்காயப் பொடிக்கு பதிலாக அதைப் பயன்படுத்துவது நல்லது).
அதே கடாயில், சிவப்பு மிளகாயை வறுத்து ஒதுக்கி வைக்கவும்.
மிக்ஸியில், பெருங்காயத்தையும் வெந்தயத்தையும் ஒன்றாகப் பொடி செய்யவும்.
உப்பு மற்றும் சிவப்பு மிளகாயை தனித்தனியாக பொடி செய்யவும்.
இப்போது சிவப்பு மிளகாய் தூள், பெருங்காயத் தூள் + வெந்தயத் தூள், மஞ்சள் தூள் மற்றும் உப்பு ஆகியவற்றை ஒன்றாகக் கலக்கவும்.
நறுக்கிய நார்த்தங்காயில் இந்தப் பொடியைச் சேர்த்து நன்கு கலக்கவும். மூடி வைக்கவும். தினமும் காலையில் உலர்ந்த கரண்டியால் நன்றாகக் கலந்து மூடி வைக்கவும்.
எலுமிச்சையின் தோல் மிகவும் கடினமாக இருப்பதால், 4-5 நாட்களுக்குப் பிறகு அதைப் பயன்படுத்தலாம். தினமும் கலந்து கொள்ளவும்.</t>
  </si>
  <si>
    <t>https://encrypted-tbn0.gstatic.com/images?q=tbn:ANd9GcSibRtBBaW7oVkCi_P2aGsmG6Nq73M3u7d9lw&amp;s</t>
  </si>
  <si>
    <t>Fresh Turmeric Pickle</t>
  </si>
  <si>
    <t>புதிய மஞ்சள் ஊறுகாய்</t>
  </si>
  <si>
    <t xml:space="preserve">   Fresh Turmeric root – 200 grams,
   Fresh Mango ginger root – 200 grams,
   Oil – 1 tbsp,
   Lemon – 5-6 juicy ones,
   Green chillies – 10-12 slit,
   Mustard powder – 2 tsp,
   Rock Salt – 2 1/2 tbsp powdered.</t>
  </si>
  <si>
    <t>புதிய மஞ்சள் வேர் - 200 கிராம்,
புதிய மாம்பழ இஞ்சி வேர் - 200 கிராம்,
எண்ணெய் - 1 டீஸ்பூன்,
எலுமிச்சை - 5-6 ஜூசி,
பச்சை மிளகாய் - 10-12 துண்டுகள்,
கடுகு தூள் - 2 டீஸ்பூன்,
கல் உப்பு - 2 1/2 டீஸ்பூன் பொடித்தது.</t>
  </si>
  <si>
    <t>In a clean, dry glass or ceramic bowl, combine together turmeric, mango ginger, juice of 5-6 big lemons (without the seed), salt, green chillies, mustard powder and oil. Mix well and leave it covered overnight.
Next day, you can transfer it into a clean dry bottle, cover the mouth of the bottle with a cloth and keep it in the sun for 1 hour. Keeping it in the sun increases its shelf life but not necessary.
Mix well and store it in a glass bottle in the refrigerator.
I am a great fan of this pickle and love to have it with curd rice, sambar rice and even parathas. It tastes fantastic!</t>
  </si>
  <si>
    <t>ஒரு சுத்தமான, உலர்ந்த கண்ணாடி அல்லது பீங்கான் கிண்ணத்தில், மஞ்சள், மாம்பழ இஞ்சி, 5-6 பெரிய எலுமிச்சை சாறு (விதை இல்லாமல்), உப்பு, பச்சை மிளகாய், கடுகு தூள் மற்றும் எண்ணெய் ஆகியவற்றை ஒன்றாக கலக்கவும். நன்கு கலந்து இரவு முழுவதும் மூடி வைக்கவும்.
அடுத்த நாள், நீங்கள் அதை ஒரு சுத்தமான உலர்ந்த பாட்டிலில் மாற்றி, பாட்டிலின் வாயை ஒரு துணியால் மூடி, 1 மணி நேரம் வெயிலில் வைக்கலாம். வெயிலில் வைத்திருப்பது அதன் அடுக்கு ஆயுளை அதிகரிக்கும், ஆனால் தேவையில்லை.
நன்றாக கலந்து குளிர்சாதன பெட்டியில் ஒரு கண்ணாடி பாட்டிலில் சேமிக்கவும்.
நான் இந்த ஊறுகாயின் மிகப்பெரிய ரசிகை, தயிர் சாதம், சாம்பார் சாதம் மற்றும் பரோட்டாவுடன் கூட இதை சாப்பிட விரும்புகிறேன். இது அருமையான சுவை!</t>
  </si>
  <si>
    <t>https://encrypted-tbn0.gstatic.com/images?q=tbn:ANd9GcTY3Yk2NKmp4saVif6RUygM3PET7kDuID0TJw&amp;s</t>
  </si>
  <si>
    <t>https://youtu.be/K11vehxFzas</t>
  </si>
  <si>
    <t>Kalakai Pickle</t>
  </si>
  <si>
    <t>கலக்காய் ஊறுகாய்</t>
  </si>
  <si>
    <t xml:space="preserve">   Kalakkai – 4 cups,
   Turmeric Powder – 1/2 tsp,
   Chilli Powder – 7 tsp,
   Rock Salt – 6 tbsp,
   Sesame seed Oil – 1/2 cup,
   Mustard seeds – 1 tsp,
   Hing – 1/2 tsp,
   Roasted Fenugreek powder - 1/4 tsp.</t>
  </si>
  <si>
    <t>கலக்காய் - 4 கப்,
மஞ்சள் தூள் - 1/2 தேக்கரண்டி,
மிளகாய் தூள் - 7 தேக்கரண்டி,
கல் உப்பு - 6 தேக்கரண்டி,
எள் விதை எண்ணெய் - 1/2 கப்,
கடுகு - 1 தேக்கரண்டி,
ஹிங் - 1/2 தேக்கரண்டி,
வறுத்த வெந்தய தூள் - 1/4 தேக்கரண்டி.</t>
  </si>
  <si>
    <t>Heat oil in a kadai, when the oil is hot, add mustard seeds and hing. When mustard seeds splutters, add the berries and turmeric powder.
Cook on medium heat, stirring from time to time until the berries become soft.
Add chilli powder and salt (use a little less if using iodized salt).
Cook for a few more minutes until the raw  smell of the chilli powder goes and oil oozes out.
Add fenugreek powder and switch off the heat.
Leave it to cool. This kalakkai pickle taste heavenly with curd rice. We all love it very much.</t>
  </si>
  <si>
    <t>ஒரு கடாயில் எண்ணெயை சூடாக்கி, எண்ணெய் சூடானதும், கடுகு மற்றும் ஹிங் சேர்க்கவும். கடுகு வெடித்ததும், பெர்ரி மற்றும் மஞ்சள் தூள் சேர்க்கவும்.
மிதமான தீயில், பெர்ரி மென்மையாகும் வரை அவ்வப்போது கிளறி விடுங்கள்.
மிளகாய் தூள் மற்றும் உப்பு சேர்க்கவும் (அயோடின் கலந்த உப்பைப் பயன்படுத்தினால் சிறிது குறைவாகப் பயன்படுத்தவும்).
மிளகாய் தூளின் பச்சை வாசனை போய் எண்ணெய் வெளியேறும் வரை இன்னும் சில நிமிடங்கள் சமைக்கவும்.
வெந்தயத் தூள் சேர்த்து அடுப்பை அணைக்கவும்.
ஆற விடவும். இந்த கலக்காய் ஊறுகாய் தயிர் சாதத்துடன் அருமையாக இருக்கும். நம் அனைவருக்கும் இது மிகவும் பிடிக்கும்.</t>
  </si>
  <si>
    <t>https://encrypted-tbn0.gstatic.com/images?q=tbn:ANd9GcSi6MAyeWff1VxxSjFXcT2ht1BRFQA-5ymNeQ&amp;s</t>
  </si>
  <si>
    <t>Mango Pickle</t>
  </si>
  <si>
    <t>மாங்காய் ஊறுகாய்</t>
  </si>
  <si>
    <t xml:space="preserve">   Raw Mango – 2 medium size sour mangoes,
   Rock salt – 1/4 cup flat,
   Turmeric Powder – 1/4 tsp,
   Chilli powder – 2 tbsp,
   Roasted Fenugreek powder – 3/4 tsp,
   Sesame seed oil - 1/4 cup,
   Asafoetida – 1/2 tsp,
   Mustard seeds – 1 tsp.</t>
  </si>
  <si>
    <t>பச்சை மாங்காய் - 2 நடுத்தர அளவு புளிப்பு மாங்காய்கள்,
கல் உப்பு - 1/4 கப் தட்டையானது,
மஞ்சள் தூள் - 1/4 தேக்கரண்டி,
மிளகாய் தூள் - 2 தேக்கரண்டி,
வறுத்த வெந்தய தூள் - 3/4 தேக்கரண்டி,
எள் விதை எண்ணெய் - 1/4 கப்,
அசாஃபோடிடா - 1/2 தேக்கரண்டி,
கடுகு - 1 தேக்கரண்டி.</t>
  </si>
  <si>
    <t>Add salt, chilli powder, turmeric powder and roasted fenugreek seed powder (vendhaya podi) over the cut mangoes.
Heat oil, bring it to smoking point, add hing and mustard seeds, when mustard seeds splutter, pour the oil all over the mangoes. Take care while doing this as you are handling very hot oil.
Leave it like that. Let it sit for 30 minutes. Then mix it well with a dry spoon.
Transfer it to a dry clean bottle and refrigerate it the next day. You can use it after 3-4 days.
It is a great accompaniment to curd rice , sambar sadam and upma etc.</t>
  </si>
  <si>
    <t>வெட்டப்பட்ட மாங்காய்களின் மேல் உப்பு, மிளகாய் தூள், மஞ்சள் தூள் மற்றும் வறுத்த வெந்தய பொடி சேர்க்கவும்.
எண்ணெய்யை சூடாக்கி, புகைபிடிக்கும் இடத்திற்கு கொண்டு வந்து, கீல் மற்றும் கடுகு விதைகளைச் சேர்க்கவும், கடுகு வெடித்ததும், மாங்காய்கள் முழுவதும் எண்ணெயை ஊற்றவும். நீங்கள் மிகவும் சூடான எண்ணெயைக் கையாளும் போது இதைச் செய்யும்போது கவனமாக இருங்கள்.
அதை அப்படியே விடவும். 30 நிமிடங்கள் அப்படியே வைக்கவும். பின்னர் ஒரு உலர்ந்த கரண்டியால் நன்றாக கலக்கவும்.
அதை ஒரு உலர்ந்த சுத்தமான பாட்டிலுக்கு மாற்றி மறுநாள் குளிர்சாதன பெட்டியில் வைக்கவும். 3-4 நாட்களுக்குப் பிறகு நீங்கள் அதைப் பயன்படுத்தலாம்.
இது தயிர் சாதம், சாம்பார் சாதம் மற்றும் உப்புமா போன்றவற்றுடன் ஒரு சிறந்த துணை உணவாகும்.</t>
  </si>
  <si>
    <t>Green Peppercorn Pickle</t>
  </si>
  <si>
    <t>பச்சை மிளகு ஊறுகாய்</t>
  </si>
  <si>
    <t xml:space="preserve">   Green Pepper – 1/4 kg,
   Rock Salt – 3/4 cup + 1 tbsp,
   Fresh Lemon Juice – 2 cups.</t>
  </si>
  <si>
    <t>பச்சை மிளகு - 1/4 கிலோ,
கல் உப்பு - 3/4 கப் + 1 டீஸ்பூன்,
புதிய எலுமிச்சை சாறு - 2 கப்.</t>
  </si>
  <si>
    <t>Wash pepper gently so that it does not come off its stalk. Pat it dry and spread it on a cloth to dry in the shade. Let it dry for 1 hour.
Take a shallow glass bowl, place the fresh peppercorns in it, add freshly squeezed lemon juice, salt. and mix well. The lemon juice should cover the peppercorns.
Stir it well every morning. You can use the pickle after 3-4 days. But even after that you have to stir it everyday. 
Enjoy with curd rice or sambar rice.</t>
  </si>
  <si>
    <t>மிளகை மெதுவாக கழுவவும், அதனால் அது அதன் தண்டிலிருந்து வெளியே வராது. அதை உலர்த்தி, நிழலில் உலர ஒரு துணியில் பரப்பவும். 1 மணி நேரம் உலர விடவும்.
ஒரு ஆழமற்ற கண்ணாடி கிண்ணத்தை எடுத்து, அதில் புதிய மிளகுத்தூள்களை வைக்கவும், புதிதாக பிழிந்த எலுமிச்சை சாறு, உப்பு சேர்த்து நன்கு கலக்கவும். எலுமிச்சை சாறு மிளகாயை மூட வேண்டும்.
தினமும் காலையில் அதை நன்றாகக் கிளறவும். 3-4 நாட்களுக்குப் பிறகு ஊறுகாயைப் பயன்படுத்தலாம். ஆனால் அதன் பிறகும் நீங்கள் அதை தினமும் கிளற வேண்டும்.
தயிர் சாதம் அல்லது சாம்பார் சாதத்துடன் மகிழுங்கள்.</t>
  </si>
  <si>
    <t>https://www.frontiercoop.com/media/recipe/resized/520x520/wysiwyg/tmp/frontier-coop-recipe-green-peppercorn-brine-159-1080x1080.jpg</t>
  </si>
  <si>
    <t>சிவப்பு மிளகாய் - 1 கப் விதை,
எண்ணெய் - 1/3 கப்,
பொடியாக நறுக்கிய பூண்டு - 4 டீஸ்பூன்,
இஞ்சி - 3 டீஸ்பூன்,
சோயா சாஸ் - 1 டீஸ்பூன்,
தக்காளி கெட்ச்அப் - 3 டீஸ்பூன்,
சர்க்கரை - 1/4 டீஸ்பூன்,
ருசிக்கேற்ப உப்பு.</t>
  </si>
  <si>
    <t>Heat oil, add garlic and saute for a few seconds.
Then add ginger and saute both ginger and garlic together until light brown.
Add chilli paste, soya sauce, tomato ketchup, sugar, salt needed and cook on medium flame until the sauce thickens and oozes out oil.
Cool and store it in an airtight container in the refrigerator. It stays good for 2 weeks.
Apart from preparing schezwan dishes, it can also be served as a side dish for momos, parathas and rotis. Try schezwan dosa using this chutney.</t>
  </si>
  <si>
    <t>எண்ணெய்யை சூடாக்கி, பூண்டு சேர்த்து சில நொடிகள் வதக்கவும்.
பின்னர் இஞ்சியைச் சேர்த்து, இஞ்சி மற்றும் பூண்டு இரண்டையும் ஒன்றாக லேசான பழுப்பு நிறமாகும் வரை வதக்கவும்.
வீட்டில் ஷெஸ்வான் சாஸ் செய்வது எப்படி
மிளகாய் விழுது, சோயா சாஸ், தக்காளி கெட்ச்அப், சர்க்கரை, தேவையான உப்பு சேர்த்து, சாஸ் கெட்டியாகி எண்ணெய் வெளியேறும் வரை மிதமான தீயில் சமைக்கவும்.
ஷெஸ்வான் சாஸ்
குளிர வைத்து, குளிர்சாதன பெட்டியில் காற்று புகாத கொள்கலனில் சேமிக்கவும். இது 2 வாரங்கள் வரை நன்றாக இருக்கும்.
ஷெஸ்வான் உணவுகளை தயாரிப்பதைத் தவிர, இதை மோமோஸ், பராத்தாக்கள் மற்றும் ரொட்டிகளுக்கு ஒரு துணை உணவாகவும் பரிமாறலாம். இந்த சட்னியைப் பயன்படுத்தி ஷெஸ்வான் தோசையை முயற்சிக்கவும்.</t>
  </si>
  <si>
    <t>https://www.cookwithmanali.com/wp-content/uploads/2019/07/Schezwan-Sauce-Chutney-Recipe.jpg</t>
  </si>
  <si>
    <t>Neer Nellikai</t>
  </si>
  <si>
    <t>நீர் நெல்லிக்காய்</t>
  </si>
  <si>
    <t>Gooseberries – 1 cup heaped,
Rock Salt - 1 tbsp,
Turmeric powder – 1/4 tsp.</t>
  </si>
  <si>
    <t>நெல்லிக்காய் - 1 கப் குவித்து,
கல் உப்பு - 1 டீஸ்பூன்,
மஞ்சள் தூள் - 1/4 டீஸ்பூன்.</t>
  </si>
  <si>
    <t xml:space="preserve">Boil enough water in a vessel, add salt and turmeric powder. When water starts boiling, add the gooseberries and cook for a few minutes or until it becomes soft. When you press the gooseberry with your thumb and index finger, it should open in segments. Do not cook more than that stage. 
Leave it to cool. Then  transfer it into a clean sterilized bottle or ceramic pot and refrigerate.
</t>
  </si>
  <si>
    <t>ஒரு பாத்திரத்தில் போதுமான தண்ணீரை கொதிக்க வைத்து, உப்பு மற்றும் மஞ்சள் தூள் சேர்க்கவும். தண்ணீர் கொதிக்க ஆரம்பித்ததும், நெல்லிக்காயைச் சேர்த்து சில நிமிடங்கள் அல்லது அது மென்மையாகும் வரை சமைக்கவும். நெல்லிக்காயை உங்கள் கட்டைவிரல் மற்றும் ஆள்காட்டி விரலால் அழுத்தும்போது, ​​அது துண்டுகளாக விரிந்து கொள்ள வேண்டும். அந்த நிலைக்கு மேல் சமைக்க வேண்டாம்.
அதை குளிர்விக்க விடவும். பின்னர் அதை ஒரு சுத்தமான கிருமி நீக்கம் செய்யப்பட்ட பாட்டில் அல்லது பீங்கான் பாத்திரத்தில் மாற்றி குளிர்சாதன பெட்டியில் வைக்கவும்.</t>
  </si>
  <si>
    <t>https://rakskitchen.net/wp-content/uploads/2009/11/DSC_0224_thumb[2].jpg</t>
  </si>
  <si>
    <t>Puli Milagai</t>
  </si>
  <si>
    <t>புளி மிளகாய்</t>
  </si>
  <si>
    <t>Green chillies – 3/4 cup,
Tamarind – small gooseberry-sized ball,
Oil – 1/4 cup,
Turmeric powder – 1/4 tsp,
Hing – 1/4 tsp,
Mustard seeds – 1 tsp,
Salt as required,
Powdered jaggery – 2 tsp.</t>
  </si>
  <si>
    <t>பச்சை மிளகாய் - 3/4 கப்,
புளி - சிறிய நெல்லிக்காய் அளவு உருண்டை,
எண்ணெய் - 1/4 கப்,
மஞ்சள் தூள் - 1/4 தேக்கரண்டி,
ஹிங் - 1/4 தேக்கரண்டி,
கடுகு விதைகள் - 1 தேக்கரண்டி,
தேவைக்கேற்ப உப்பு,
பொடித்த வெல்லம் - 2 தேக்கரண்டி.</t>
  </si>
  <si>
    <t>Heat oil in a kadai or pan, add mustard seeds, when it splutters, add hing, green chillies and turmeric powder.
Saute it on medium flame until chillies become soft and changes color.
Then add tamarind water, salt needed and cook on low flame until it becomes slightly thick.
Add powdered jaggery, mix well and switch off the flame. After it cools, store it in a clean bottle.
It stays fresh in the refrigerator for 15-20 days.</t>
  </si>
  <si>
    <t>ஒரு கடாயில் அல்லது வாணலியில் எண்ணெயை சூடாக்கி, கடுகு சேர்த்து, அது வதங்கியதும், ஹிங், பச்சை மிளகாய் மற்றும் மஞ்சள் தூள் சேர்க்கவும்.
மிளகாய் மென்மையாகி நிறம் மாறும் வரை மிதமான தீயில் வதக்கவும்.
பின்னர் புளி தண்ணீர், தேவையான உப்பு சேர்த்து, குறைந்த தீயில் சிறிது கெட்டியாகும் வரை சமைக்கவும்.
பொடித்த வெல்லத்தைச் சேர்த்து, நன்கு கலந்து, தீயை அணைக்கவும். அது குளிர்ந்த பிறகு, சுத்தமான பாட்டிலில் சேமித்து வைக்கவும்.
இது 15-20 நாட்கள் குளிர்சாதன பெட்டியில் புதியதாக இருக்கும்.</t>
  </si>
  <si>
    <t>https://encrypted-tbn0.gstatic.com/images?q=tbn:ANd9GcTFqrKP4s12Kyyf40YugrWCVmUR16uLhvOZ1w&amp;s</t>
  </si>
  <si>
    <t>Puli Inji</t>
  </si>
  <si>
    <t>புளி இஞ்சி</t>
  </si>
  <si>
    <t>Fresh ginger - 1/4 cup heaped ,
Green chilli – 1-2 finely chopped,
Turmeric powder - a pinch,
Red chilli powder - 1/4 tsp
Tamarind – gooseberry sized ball,
Jaggery - 1/4 cup,
Fenugreek powder - 1/4 tsp,
Oil – 2 1/2 tbsp,
Mustard seeds – 1 tsp,
Hing – a pinch,
Curry leaves – few.</t>
  </si>
  <si>
    <t>புதிய இஞ்சி - 1/4 கப் குவித்து,
பச்சை மிளகாய் - 1-2 பொடியாக நறுக்கியது,
மஞ்சள் தூள் - ஒரு சிட்டிகை,
சிவப்பு மிளகாய் தூள் - 1/4 தேக்கரண்டி
புளி - நெல்லிக்காய் அளவு உருண்டை,
வெல்லம் - 1/4 கப்,
வெந்தய தூள் - 1/4 தேக்கரண்டி,
எண்ணெய் - 2 1/2 தேக்கரண்டி,
கடுகு - 1 தேக்கரண்டி,
ஹிங் - ஒரு சிட்டிகை,
கறிவேப்பிலை - சிறிது.</t>
  </si>
  <si>
    <t>Heat oil, add mustard seeds,when it splutters, add red chillies, hing, curry leaves,chopped ginger and green chillies.
Fry ginger and chilli well until ginger changes to brown color.
Add turmeric powder, chilli powder, thick tamarind extract, jaggery and salt needed.After it starts boiling, simmer until the gravy becomes thick and oil separates. Add fenugreek powder, mix well and remove from flame.
After it cools, store it in a dry bottle and refrigerate.</t>
  </si>
  <si>
    <t>எண்ணெயை சூடாக்கி, கடுகு சேர்த்து, அது வதங்கியதும், சிவப்பு மிளகாய், கீரை, கறிவேப்பிலை, நறுக்கிய இஞ்சி மற்றும் பச்சை மிளகாய் சேர்க்கவும்.
இஞ்சி மற்றும் மிளகாய் ஆகியவற்றை இஞ்சி பழுப்பு நிறமாக மாறும் வரை நன்கு வதக்கவும்.
மஞ்சள் தூள், மிளகாய் தூள், கெட்டியான புளி சாறு, வெல்லம் மற்றும் உப்பு சேர்க்கவும். கொதிக்க ஆரம்பித்த பிறகு, குழம்பு கெட்டியாகி எண்ணெய் பிரியும் வரை வதக்கவும். வெந்தய தூள் சேர்த்து நன்கு கலந்து, தீயிலிருந்து இறக்கவும்.
அது குளிர்ந்த பிறகு, உலர்ந்த பாட்டிலில் சேமித்து குளிர்சாதன பெட்டியில் வைக்கவும்.</t>
  </si>
  <si>
    <t>https://encrypted-tbn0.gstatic.com/images?q=tbn:ANd9GcR3RgLlv88WjCtWDd73AwhF-NYZ3xay18qzjQ&amp;s</t>
  </si>
  <si>
    <t>Maavadu Pickle</t>
  </si>
  <si>
    <t>மாவடு ஊறுகாய்</t>
  </si>
  <si>
    <t xml:space="preserve">   Vadu  – 2 kg,
   Salt  – 2 cups,
   Chilli powder – 1/2 cup,
   Mustard seeds – 2 tsp,
   Turmeric powder – 1 tsp.
</t>
  </si>
  <si>
    <t>வடு - 2 கிலோ,
உப்பு - 2 கப்,
மிளகாய் தூள் - 1/2 கப்,
கடுகு - 2 டீஸ்பூன்,
மஞ்சள் தூள் - 1 டீஸ்பூன்.</t>
  </si>
  <si>
    <t>Take a big jar or plastic bucket, add 1 layer of mangoes, then add a layer of salt + chilli pwd + turmeric pwd mix.
Then again a layer of mangoes and top it with chilli pwd+ salt+turmeric mix. Keep on layering it until all the mangoes are over. Close it and keep it aside.
The next day shake the container well or mix it with a dry ladle so the the spices get mixed well with the mangoes. Mix well with a dry ladle twice a day (both morning and evening).
By the 3 th day, the mangoes would have oozed out lot of water.
Take 2 tsp of mustard seeds and grind it with a little oozed out water and add it back to the mango pickle.
Mix it well twice everyday (morning and evening) with a dry ladle.
It is ready for use after 10 days.Even after that you have to mix it well everyday. The longer the mangoes soak, the tastier it will be. Mine was perfect and tasted great.</t>
  </si>
  <si>
    <t>ஒரு பெரிய ஜாடி அல்லது பிளாஸ்டிக் வாளியை எடுத்து, 1 அடுக்கு மாம்பழத்தைச் சேர்த்து, பின்னர் ஒரு அடுக்கு உப்பு + மிளகாய் தூள் + மஞ்சள் தூள் கலவையைச் சேர்க்கவும்.
பின்னர் மீண்டும் ஒரு அடுக்கு மாம்பழத்தைச் சேர்த்து, அதன் மேல் மிளகாய் தூள் + உப்பு + மஞ்சள் கலவையைச் சேர்க்கவும். அனைத்து மாம்பழங்களும் தீரும் வரை அடுக்கிக்கொண்டே இருங்கள். அதை மூடி ஒதுக்கி வைக்கவும்.
மறுநாள் பாத்திரத்தை நன்றாக அசைக்கவும் அல்லது உலர்ந்த கரண்டியுடன் கலக்கவும், இதனால் மசாலாப் பொருட்கள் மாம்பழத்துடன் நன்றாகக் கலக்கும். ஒரு நாளைக்கு இரண்டு முறை (காலை மற்றும் மாலை இரண்டு முறை) உலர்ந்த கரண்டியுடன் நன்றாகக் கலக்கவும்.
3 வது நாளில், மாம்பழங்கள் நிறைய தண்ணீர் வெளியேறியிருக்கும்.
2 தேக்கரண்டி கடுகு விதைகளை எடுத்து, சிறிது கசிந்த தண்ணீரில் அரைத்து, மாம்பழ ஊறுகாயில் மீண்டும் சேர்க்கவும்.
தினமும் இரண்டு முறை (காலை மற்றும் மாலை) உலர்ந்த கரண்டியால் நன்றாகக் கலக்கவும்.
10 நாட்களுக்குப் பிறகு இது பயன்படுத்தத் தயாராக இருக்கும். அதன் பிறகும் நீங்கள் தினமும் நன்றாகக் கலக்க வேண்டும். மாம்பழம் எவ்வளவு நேரம் ஊறுகிறதோ, அவ்வளவு சுவையாக இருக்கும். என்னுடையது சரியானது மற்றும் சுவையாக இருந்தது.</t>
  </si>
  <si>
    <t>https://encrypted-tbn0.gstatic.com/images?q=tbn:ANd9GcRySeEbDhiZiYxEcYYvYtlYWj9BiSEtJVFYGQ&amp;s</t>
  </si>
  <si>
    <t>Mango Thokku</t>
  </si>
  <si>
    <t>மாங்காய் தொக்கு</t>
  </si>
  <si>
    <t>Mango grated – 2 cups heaped,
Turmeric powder - a pinch,
Chilli powder - 1/4 cup,
Salt - 2 1/4 tbsp,
Mustard seeds – 1 tsp ,
Asafoetida  - 1/4 tsp,
Fenugreek powder – 1/2 tsp,
Sesame seed oil - 1/4 cup + 2 tbsp.</t>
  </si>
  <si>
    <t>மாங்காய் துருவல் - 2 கப் குவித்து,
மஞ்சள் தூள் - ஒரு சிட்டிகை,
மிளகாய் தூள் - 1/4 கப்,
உப்பு - 2 1/4 டீஸ்பூன்,
கடுகு - 1 டீஸ்பூன்,
அசாஃபோடிடா - 1/4 டீஸ்பூன்,
வெந்தய தூள் - 1/2 டீஸ்பூன்,
எள் விதை எண்ணெய் - 1/4 கப் + 2 டீஸ்பூன்.</t>
  </si>
  <si>
    <t>Heat oil in a kadai , add mustard seeds and hing, when mustard splutters, add the grated mango and turmeric powder and saute nicely for a few minutes. (keep the flames low)
Then only you should add chilli powder and salt.
After adding chilli powder and salt, saute nicely till oil separates.Keep it in low flame otherwise it will get burnt.
Then add fenugreek powder, mix well and switch it off. Leave it to cool.
Store it in a dry container and refrigerate it. It can be used as a condiment for curd rice, paratha, bread, sandwich, idli etc. It will last a month though in my house, it will be over within a week.</t>
  </si>
  <si>
    <t>ஒரு கடாயில் எண்ணெயை சூடாக்கி, கடுகு மற்றும் பெருங்காயம் சேர்த்து, கடுகு வதங்கியதும், துருவிய மாங்காய் மற்றும் மஞ்சள் தூள் சேர்த்து சில நிமிடங்கள் நன்றாக வதக்கவும். (தீயை குறைவாக வைக்கவும்)
பிறகு மிளகாய் தூள் மற்றும் உப்பு சேர்க்கவும்.
மிளகாய் தூள் மற்றும் உப்பு சேர்த்த பிறகு, எண்ணெய் பிரியும் வரை நன்றாக வதக்கவும். குறைந்த தீயில் வைக்கவும், இல்லையெனில் அது எரிந்துவிடும்.
பின் வெந்தய தூள் சேர்த்து நன்கு கலந்து அணைத்து, ஆற விடவும்.
ஒரு உலர்ந்த கொள்கலனில் சேமித்து, குளிர்சாதன பெட்டியில் வைக்கவும். இதை தயிர் சாதம், பரோட்டா, ரொட்டி, சாண்ட்விச், இட்லி போன்றவற்றுக்கு மசாலாவாகப் பயன்படுத்தலாம். இது ஒரு மாதம் நீடிக்கும், ஆனால் என் வீட்டில் ஒரு வாரத்திற்குள் தீர்ந்துவிடும்.</t>
  </si>
  <si>
    <t>https://www.sharmispassions.com/wp-content/uploads/2011/05/mango-thokku-recipe1.jpg</t>
  </si>
  <si>
    <t>Mango Ginger Pickle</t>
  </si>
  <si>
    <t>மாங்காய் இஞ்சி ஊறுகாய்</t>
  </si>
  <si>
    <t>Oil – 2 tsp,
Green chilli - 3 ,
Mustard seeds – 1 tsp.</t>
  </si>
  <si>
    <t>எண்ணெய் – 2 தேக்கரண்டி,
பச்சை மிளகாய் - 3,
கடுகு விதைகள் – 1 தேக்கரண்டி.</t>
  </si>
  <si>
    <t>Wash and scrap the skin of mango ginger(manga inji), cut it into small pieces or into small rounds.
Add lemon juice and salt to taste.
Heat oil, add mustard seeds, when it splutters, add green chilli and pour it over the pickle .
Mix it well.You can use it immediately but if you use it after a few hours, the mango ginger will absorb the flavor of lemon and chilli and will taste great.</t>
  </si>
  <si>
    <t>மாங்காய் இஞ்சியை (மாங்காய் இஞ்சி) கழுவி தோல் சீவி, சிறிய துண்டுகளாக அல்லது சிறிய வட்டங்களாக வெட்டவும்.
எலுமிச்சை சாறு மற்றும் சுவைக்கு உப்பு சேர்க்கவும்.
எண்ணெய் சூடாக்கி, கடுகு சேர்த்து, அது வெடித்ததும், பச்சை மிளகாய் சேர்த்து ஊறுகாயின் மேல் ஊற்றவும்.
நன்றாக கலக்கவும். நீங்கள் உடனடியாகப் பயன்படுத்தலாம், ஆனால் சில மணி நேரம் கழித்துப் பயன்படுத்தினால், மாங்காய் இஞ்சி எலுமிச்சை மற்றும் மிளகாயின் சுவையை உறிஞ்சி, சுவையாக இருக்கும்.</t>
  </si>
  <si>
    <t>https://www.yummytummyaarthi.com/wp-content/uploads/2022/08/maa-inji-pickle-1.jpeg</t>
  </si>
  <si>
    <t xml:space="preserve">  Curry leaves – 1 cup tightly packed,
   Chilli powder – 1 1/4 tsp,
   Tamarind – Small gooseberry sized ball,
   Fenugreek powder - 1 tsp,
   Salt needed,
   Oil - 2 1/2 tbsp,
   Mustard - 1 tsp,
   Asafoetida – a generous pinch.</t>
  </si>
  <si>
    <t>கறிவேப்பிலை - 1 கப் இறுக்கமாகப் பொதி செய்யப்பட்டது,
மிளகாய்த்தூள் - 1 1/4 தேக்கரண்டி,
புளி - சிறிய நெல்லிக்காய் அளவு உருண்டை,
வெந்தயப் பொடி - 1 தேக்கரண்டி,
உப்பு தேவை,
எண்ணெய் - 2 1/2 தேக்கரண்டி,
கடுகு - 1 தேக்கரண்டி,
பெருங்காயம் - ஒரு சிட்டிகை.</t>
  </si>
  <si>
    <t>Heat oil, add mustard, hing, when mustard splutters, add the ground paste and cook for a few minutes.
Then add tamarind water, needed salt, chilli powder and cook until oil separates.
Finally add a tsp of fenugreek powder, mix it well and switch off the flame.
After it cools, store in a clean bottle and use it when needed. It stays good for about 10-15 days in the refrigerator.</t>
  </si>
  <si>
    <t>எண்ணெயை சூடாக்கி, கடுகு, கீல் சேர்த்து, கடுகு வதங்கியதும், அரைத்த விழுதைச் சேர்த்து சில நிமிடங்கள் சமைக்கவும்.
பின்னர் புளி தண்ணீர், தேவையான உப்பு, மிளகாய்த் தூள் சேர்த்து எண்ணெய் பிரியும் வரை சமைக்கவும்.
இறுதியாக ஒரு தேக்கரண்டி வெந்தயப் பொடியைச் சேர்த்து, நன்கு கலந்து, தீயை அணைக்கவும்.
அது குளிர்ந்த பிறகு, ஒரு சுத்தமான பாட்டிலில் சேமித்து, தேவைப்படும்போது பயன்படுத்தவும். இது சுமார் 10-15 நாட்கள் குளிர்சாதன பெட்டியில் நன்றாக இருக்கும்.</t>
  </si>
  <si>
    <t>https://www.sharmispassions.com/wp-content/uploads/2021/11/instant-mango-pickle1.jpg</t>
  </si>
  <si>
    <t>Tomato Pickle</t>
  </si>
  <si>
    <t>தக்காளி ஊறுகாய்</t>
  </si>
  <si>
    <t xml:space="preserve">  Tomatoes – 1/2 kg,
   Crystal salt – 15 grams,
   Turmeric Powder – a pinch,
   Chilli Powder – 4tsp,
   Fenugreek Powder - 1/2 tsp,
   Tamarind – 15 grams,
   Crushed garlic -1-2 cloves,
   Mustard - 1 tsp,
   Asafoetida - 1/2 tsp,
   Sesame seed oil - 1/3 cup.</t>
  </si>
  <si>
    <t>தக்காளி - 1/2 கிலோ,
படிக உப்பு - 15 கிராம்,
மஞ்சள் தூள் - ஒரு சிட்டிகை,
மிளகாய் தூள் - 4 தேக்கரண்டி,
வெந்தய தூள் - 1/2 தேக்கரண்டி,
புளி - 15 கிராம்,
நசுக்கிய பூண்டு - 1-2 பல்,
கடுகு - 1 தேக்கரண்டி,
பெருங்காயம் - 1/2 தேக்கரண்டி,
எள் விதை எண்ணெய் - 1/3 கப்.</t>
  </si>
  <si>
    <t>Heat oil in a kadai, add mustard seeds, asafoetida, crushed garlic (if you are adding), when mustard splutters, add the ground sun dried tomatoes + tamarind paste.
Saute for a few seconds, add chilli powder and fry on medium flame until oil separates.
Add fenugreek powder, mix well and switch off the flame.
After it cools, store it in a sterilized glass bottle and refrigerate it.</t>
  </si>
  <si>
    <t>ஒரு கடாயில் எண்ணெயை சூடாக்கி, கடுகு, பெருங்காயம், நசுக்கிய பூண்டு (சேர்த்தால்) சேர்க்கவும், கடுகு வதங்கியதும், அரைத்த வெயிலில் காய வைத்த தக்காளி + புளி விழுது சேர்க்கவும்.
சில நொடிகள் வதக்கி, மிளகாய் தூள் சேர்த்து, எண்ணெய் பிரியும் வரை மிதமான தீயில் வதக்கவும்.
வெந்தய தூள் சேர்த்து நன்கு கலந்து, தீயை அணைக்கவும்.
அது குளிர்ந்த பிறகு, ஒரு கிருமி நீக்கம் செய்யப்பட்ட கண்ணாடி பாட்டிலில் சேமித்து, குளிர்சாதன பெட்டியில் வைக்கவும்.</t>
  </si>
  <si>
    <t>https://www.archanaskitchen.com/images/archanaskitchen/Indian_Pickles/Spicy_Tomato_Pickle_Recipe_South_Indian_Thakkali_Thokku.jpg</t>
  </si>
  <si>
    <t>Garlic pickle</t>
  </si>
  <si>
    <t xml:space="preserve">   Garlic - 250 grams,
   Salt – 25 grams,
   Chilli powder – 10 grams,
   Turmeric powder – a pinch,
   Asafoetida – 1 tsp,
   Fenugreek seeds – 1 1/2 tsp,
   sesame seed oil – 1/4 cup,
   Mustard seeds - 1 tsp,
   Vinegar – 2 tbsp.
</t>
  </si>
  <si>
    <t>பூண்டு - 250 கிராம்,
உப்பு - 25 கிராம்,
மிளகாய் தூள் - 10 கிராம்,
மஞ்சள் தூள் - ஒரு சிட்டிகை,
பெருங்காயம் - 1 தேக்கரண்டி,
வெந்தயம் - 1 1/2 தேக்கரண்டி,
எள் விதை எண்ணெய் - 1/4 கப்,
கடுகு - 1 தேக்கரண்டி,
வினிகர் - 2 தேக்கரண்டி.</t>
  </si>
  <si>
    <t>Add turmeric powder, salt, chilli powder, fenugreek powder, vinegar to the steamed garlic. Mix well.
Heat oil well, add mustard seeds, asafoetida, when mustard seeds splutters, pour the oil over the garlic evenly and keep it aside. Do not mix.
After half an hour, mix it well and bottle it.
Delicious garlic pickle is ready in no time.</t>
  </si>
  <si>
    <t>வேகவைத்த பூண்டுடன் மஞ்சள் தூள், உப்பு, மிளகாய் தூள், வெந்தய தூள், வினிகர் சேர்த்து நன்கு கலக்கவும்.
எண்ணெயை நன்கு சூடாக்கி, கடுகு, பெருங்காயம் சேர்த்து, கடுகு தெளிந்ததும், பூண்டின் மேல் எண்ணெயை சமமாக ஊற்றி ஒதுக்கி வைக்கவும். கலக்க வேண்டாம்.
அரை மணி நேரம் கழித்து, நன்றாக கலந்து பாட்டிலில் வைக்கவும்.
சுவையான பூண்டு ஊறுகாய் சிறிது நேரத்தில் தயாராகிவிடும்.</t>
  </si>
  <si>
    <t>https://static.toiimg.com/thumb/58413147.cms?imgsize=472610&amp;width=800&amp;height=800</t>
  </si>
  <si>
    <t>Oil Free Lemon Pickle</t>
  </si>
  <si>
    <t>எண்ணெய் சேர்க்காத எலுமிச்சை ஊறுகாய்</t>
  </si>
  <si>
    <t>Juicy Lemons - 12,
Rock salt – 1/2 cup,
Turmeric powder – a generous pinch,
Chillie Powder – 1/4 cup,
Asafoetida – 1 tsp,
Fenugreek – 1/2 tsp,
Dry roast fenugreek seeds and powder it .</t>
  </si>
  <si>
    <t>ஜூசி எலுமிச்சை - 12,
கல் உப்பு - 1/2 கப்,
மஞ்சள் தூள் - ஒரு சிட்டிகை,
மிளகாய் தூள் - 1/4 கப்,
அசாஃபோடிடா - 1 தேக்கரண்டி,
வெந்தயம் - 1/2 தேக்கரண்டி,
வெந்தயத்தை உலர்த்தி வறுத்து பொடி செய்யவும்.</t>
  </si>
  <si>
    <t>Cut 9 lemons alone into 4 pieces. Remove the seed as much as possible.
Squeeze the juice of the other 3 lemons to it.
Add Salt and turmeric powder.
Keep it aside for 4 days. Mix it well every morning with a dry spoon.
On the 5 th day, add chillie powder, hing and fenugreek powder. Mix it well and it is ready for use .
This pickle goes well with curd rice and Aloo parathas also.</t>
  </si>
  <si>
    <t>9 எலுமிச்சையை மட்டும் 4 துண்டுகளாக நறுக்கவும். விதைகளை முடிந்தவரை நீக்கவும்.
மற்ற 3 எலுமிச்சைகளின் சாற்றை அதனுடன் பிழிந்து கொள்ளவும்.
உப்பு மற்றும் மஞ்சள் தூள் சேர்க்கவும்.
4 நாட்கள் ஒதுக்கி வைக்கவும். தினமும் காலையில் ஒரு உலர்ந்த கரண்டியால் நன்கு கலக்கவும்.
5 வது நாள், மிளகாய் தூள், கீரை மற்றும் வெந்தய தூள் சேர்க்கவும். நன்கு கலக்கவும், அது பயன்படுத்த தயாராக உள்ளது.
இந்த ஊறுகாய் தயிர் சாதம் மற்றும் ஆலு பரோட்டாவுடன் நன்றாக செல்லும்.</t>
  </si>
  <si>
    <t>https://www.vegrecipesofindia.com/wp-content/uploads/2017/06/lemon-pickle-recipe-no-oil.jpg</t>
  </si>
  <si>
    <t>Lemon Pickle</t>
  </si>
  <si>
    <t>எலுமிச்சை ஊறுகாய்</t>
  </si>
  <si>
    <t xml:space="preserve">   Lemon  - 6 juicy ones,
   Rock salt powdered - 1/4 cup flat,
   Turmeric powder - a generous pinch,
   Chilli powder - 5 tsp,
   Fenugreek seed powder - 1 1/2 tsp,
   Oil - 1/4 cup ,
   Mustard seeds - 1 tsp,
   Asafoetida – 1/2 tsp.
</t>
  </si>
  <si>
    <t>எலுமிச்சை - 6 ஜூசி,
கல் உப்பு பொடித்தது - 1/4 கப் தட்டையானது,
மஞ்சள் தூள் - ஒரு சிட்டிகை,
மிளகாய் தூள் - 5 தேக்கரண்டி,
வெந்தய விதை பொடி - 1 1/2 தேக்கரண்டி,
எண்ணெய் - 1/4 கப்,
கடுகு - 1 தேக்கரண்டி,
பெருங்காயம் - 1/2 தேக்கரண்டி.</t>
  </si>
  <si>
    <t xml:space="preserve">Heat oil, add mustard seeds, asafoetida, when mustard seeds splutter, add the lemon pieces along with the lemon juice and fry well until most of the juice evaporates and the mixture thickens.
Then add chilli powder and cook for a few more minutes until the raw smell of the chilli powder goes.
Then add fenugreek powder, mix well and switch off the gas. Leave it to cool.
</t>
  </si>
  <si>
    <t>எண்ணெயை சூடாக்கி, கடுகு, பெருங்காயம் சேர்த்து, கடுகு வதங்கியதும், எலுமிச்சை துண்டுகளை எலுமிச்சை சாறுடன் சேர்த்து, சாறு முழுவதுமாக ஆவியாகி கலவை கெட்டியாகும் வரை நன்கு வதக்கவும்.
பின்னர் மிளகாய் தூள் சேர்த்து, மிளகாய் தூளின் பச்சை வாசனை போகும் வரை இன்னும் சில நிமிடங்கள் சமைக்கவும்.
பின்னர் வெந்தய தூள் சேர்த்து, நன்கு கலந்து, வாயுவை அணைத்து, ஆற விடவும்.</t>
  </si>
  <si>
    <t>https://www.tatanutrikorner.com/cdn/shop/articles/Easy-Lemon-Pickle_thumbnail_f90b3ae5-1781-4cec-a3ea-a5027d90e40c.jpg?v=1616789757</t>
  </si>
  <si>
    <t>Mixed Vegetable</t>
  </si>
  <si>
    <t>கலப்பு காய்கறி</t>
  </si>
  <si>
    <t>Beetroot - 1/2 of a beetroot,
Bitter gourd - 1/2 of a bitter gourd,
Carrots – 2,
Cluster beans/kothavarangai – 6,
Beans – 6
Baby onions – 10-12
Broad beans – 6,
Ginger – 2 inch piece,
Lemon – 1 ,
Green chillie - 2 finely chopped,
Chillie powder - 30 grams,
Crystal salt – 90 grams,
Oil – 1/2 cup,
Turmeric powder – 1/4 tsp,
White vinegar - 5 tbsp,
Mustard – 1/2 tsp,
Asafoetida 1/2 tsp.</t>
  </si>
  <si>
    <t>பீட்ரூட் - 1/2 பீட்ரூட்,
பாகற்காய் - 1/2 பாகற்காய்,
கேரட் - 2,
கொத்தமல்லி/கொத்தவரங்காய் - 6,
பீன்ஸ் - 6
பெரிய வெங்காயம் - 10-12
பரந்த பீன்ஸ் - 6,
இஞ்சி - 2 அங்குல துண்டு,
எலுமிச்சை - 1 ,
பச்சை மிளகாய் - 2 பொடியாக நறுக்கியது,
மிளகாய் தூள் - 30 கிராம்,
படிக உப்பு - 90 கிராம்,
எண்ணெய் - 1/2 கப்,
மஞ்சள் தூள் - 1/4 தேக்கரண்டி,
வெள்ளை வினிகர் - 5 தேக்கரண்டி,
கடுகு - 1/2 தேக்கரண்டி,
அசாஃபோடிடா 1/2 தேக்கரண்டி.</t>
  </si>
  <si>
    <t>Take veggies ( 4 cups heaped) in a vessel. Add salt, turmeric powder, chillie powder and white vinegar and keep aside.
Heat oil in kadai/pan and add mustard seeds. When mustard splutters, add asafoetida and pour the hot oil on the vegetables. Do not mix it immediately. Let the vegetables remain soaked in oil for some time.Leave it for 10 minutes, then mix it and bottle it.
It stays good in the refrigerator for 2-3 months if handled properly.</t>
  </si>
  <si>
    <t>ஒரு பாத்திரத்தில் காய்கறிகளை (4 கப் குவித்து) எடுத்து, உப்பு, மஞ்சள் தூள், மிளகாய் தூள் மற்றும் வெள்ளை வினிகர் சேர்த்து தனியாக வைக்கவும்.
கடாயில் எண்ணெயை சூடாக்கி, கடுகு விதைகளைச் சேர்க்கவும். கடுகு வெடித்ததும், பெருங்காயத்தைச் சேர்த்து, காய்கறிகளின் மீது சூடான எண்ணெயை ஊற்றவும். உடனடியாக கலக்க வேண்டாம். காய்கறிகள் சிறிது நேரம் எண்ணெயில் ஊற விடவும். 10 நிமிடங்கள் அப்படியே விட்டுவிட்டு, பின்னர் கலந்து பாட்டிலில் வைக்கவும்.
சரியாகக் கையாளப்பட்டால், குளிர்சாதன பெட்டியில் 2-3 மாதங்கள் வரை நன்றாக இருக்கும்.</t>
  </si>
  <si>
    <t>https://shwetainthekitchen.com/wp-content/uploads/2023/03/mixed-vegetable-curry.jpg</t>
  </si>
  <si>
    <t>Onion Thokku</t>
  </si>
  <si>
    <t>வெங்காயத் தொக்கு</t>
  </si>
  <si>
    <t xml:space="preserve">    Onion – 300 grams ,
   Chilli powder – 4-5 tsp ,
   Salt – 1 tbsp + 1/2 tsp,
   Tamarind – 20 grams,
   Fenugreek powder – 1/2 tsp,
   Oil – 1/4 cup,
   Mustard seeds - 1/4 tsp,
   Asafoetida - 1/4 tsp.</t>
  </si>
  <si>
    <t>வெங்காயம் – 300 கிராம்,
மிளகாய்த்தூள் – 4-5 தேக்கரண்டி,
உப்பு – 1 தேக்கரண்டி + 1/2 தேக்கரண்டி,
புளி – 20 கிராம்,
வெந்தயத் தூள் – 1/2 தேக்கரண்டி,
எண்ணெய் – 1/4 கப்,
கடுகு - 1/4 தேக்கரண்டி,
பெருங்காயம் – 1/4 தேக்கரண்டி.</t>
  </si>
  <si>
    <t>Heat oil in a heavy bottomed pan, add mustard seeds, when it splutters, add asafoetida, ground onion paste and turmeric powder.
Fry for a few minutes and then add tamarind extract (3/4 cup medium thickness), salt, chilli powder and cook till it becomes thick and oil starts separating.
Add fenugreek powder and remove from flame.
Store it in a clean bottle.</t>
  </si>
  <si>
    <t>ஒரு அடி கனமான பாத்திரத்தில் எண்ணெயைச் சூடாக்கி, கடுகு சேர்த்து, அது வதங்கியதும், பெருங்காயம், அரைத்த வெங்காய விழுது மற்றும் மஞ்சள் தூள் சேர்க்கவும்.
சில நிமிடங்கள் வதக்கி, பின்னர் புளி சாறு (3/4 கப் நடுத்தர தடிமன்), உப்பு, மிளகாய்த் தூள் சேர்த்து, கெட்டியாகும் வரை மற்றும் எண்ணெய் பிரியத் தொடங்கும் வரை வதக்கவும்.
வெந்தயத் தூள் சேர்த்து, தீயிலிருந்து இறக்கவும்.
ஒரு சுத்தமான பாட்டிலில் சேமித்து வைக்கவும்.</t>
  </si>
  <si>
    <t>https://encrypted-tbn0.gstatic.com/images?q=tbn:ANd9GcQ7t5ujI6F_05JB2yiirTxP1PncOU58bVum1A&amp;s</t>
  </si>
  <si>
    <t>Lemon Ginger Pickle</t>
  </si>
  <si>
    <t>எலுமிச்சை இஞ்சி ஊறுகாய்</t>
  </si>
  <si>
    <t xml:space="preserve">   Fresh juicy lemons – 6 medium size,
   Green chillies – 4-5 medium size,
   Ginger – 1/4 cup finely chopped,
   Salt - 3 tbsp flat,
   Fenugreek powder – 1 tsp,
   Turmeric powder - 1/4 tsp,
   Oil – 1/4 cup,
   Mustard seeds - 1 tsp,
   Asafoetida - 1/2 tsp.</t>
  </si>
  <si>
    <t>புதிய ஜூசி எலுமிச்சை - 6 நடுத்தர அளவு,
பச்சை மிளகாய் - 4-5 நடுத்தர அளவு,
இஞ்சி - 1/4 கப் நன்றாக நறுக்கியது,
உப்பு - 3 டீஸ்பூன் தட்டையானது,
வெந்தய தூள் - 1 டீஸ்பூன்,
மஞ்சள் தூள் - 1/4 டீஸ்பூன்,
எண்ணெய் - 1/4 கப்,
கடுகு - 1 டீஸ்பூன்,
அசாஃபோடிடா - 1/2 டீஸ்பூன்.</t>
  </si>
  <si>
    <t xml:space="preserve">eat oil in a kadai, add mustard seeds, when it splutters, add asafoetida, finely chopped green chillies, ginger and cook for a few minutes on medium heat.
Then pour the oil along with the ginger and green chillies evenly all over the lemon. Leave it for 10 minutes. Do not mix it.
After 10 minutes, mix it well. Store it in a sterilized bottle once it cools and refrigerate it. It is ready for use after a day or two. The lemons will absorb the flavors and the skin of the lemon will become soft in a day or two.
</t>
  </si>
  <si>
    <t>ஒரு கடாயில் எண்ணெய் ஊற்றி, கடுகு சேர்த்து, அது வெடித்ததும், பெருங்காயம், இறுதியாக நறுக்கிய பச்சை மிளகாய், இஞ்சி சேர்த்து மிதமான தீயில் சில நிமிடங்கள் சமைக்கவும்.
பின்னர் இஞ்சி மற்றும் பச்சை மிளகாயுடன் எண்ணெயை எலுமிச்சை முழுவதும் சமமாக ஊற்றவும். 10 நிமிடங்கள் அப்படியே வைக்கவும். கலக்க வேண்டாம்.
10 நிமிடங்களுக்குப் பிறகு, நன்றாக கலக்கவும். அது குளிர்ந்ததும் ஒரு கிருமி நீக்கம் செய்யப்பட்ட பாட்டிலில் சேமித்து, குளிர்சாதன பெட்டியில் வைக்கவும். ஒன்று அல்லது இரண்டு நாட்களுக்குப் பிறகு பயன்படுத்த தயாராக இருக்கும். எலுமிச்சை அதன் சுவையை உறிஞ்சி, ஓரிரு நாட்களில் எலுமிச்சையின் தோல் மென்மையாகிவிடும்.</t>
  </si>
  <si>
    <t>https://images.saymedia-content.com/.image/t_share/MTkwNDU3MDUwOTAyMzA4NzYy/nimbu-adrak-mirch-ka-achar.jpg</t>
  </si>
  <si>
    <t>Gooseberry Pickle</t>
  </si>
  <si>
    <t>நெல்லிக்காய் ஊறுகாய்</t>
  </si>
  <si>
    <t xml:space="preserve">   Gooseberry - 1/2 kg,
   Chilli Powder – 7 tsp,
   Salt – 7 ½ tsp,
   Turmeric powder – 1/4 tsp,
   Oil – 1/2 cup,
   Asafoetida – 3/4 tsp,
   Mustard seeds - 1 tsp,
   Fenugreek powder – 1 tsp.</t>
  </si>
  <si>
    <t>நெல்லிக்காய் - 1/2 கிலோ,
மிளகாய்த்தூள் - 7 தேக்கரண்டி,
உப்பு - 7 ½ தேக்கரண்டி,
மஞ்சள் தூள் - 1/4 தேக்கரண்டி,
எண்ணெய் - 1/2 கப்,
பெருங்காயம் - 3/4 தேக்கரண்டி,
கடுகு - 1 தேக்கரண்டி,
வெந்தயத்தூள் - 1 தேக்கரண்டி.</t>
  </si>
  <si>
    <t xml:space="preserve">Heat oil, add mustard seeds, when they splutter, add asafoetida, gooseberries and turmeric powder. 
Do not add chilli powder immediately. Cook covered for 5 – 6 minutes, then add chilli powder, salt and cook for few more minutes till oil separates.
Then add a tsp of fenugreek powder, mix well and remove from flame. Leave it to cool.
</t>
  </si>
  <si>
    <t>எண்ணெயை சூடாக்கி, கடுகு சேர்த்து, அவை வெடித்ததும், பெருங்காயம், நெல்லிக்காய் மற்றும் மஞ்சள் தூள் சேர்க்கவும்.
உடனடியாக மிளகாய் தூள் சேர்க்க வேண்டாம். மூடி வைத்து 5 - 6 நிமிடங்கள் சமைக்கவும், பின்னர் மிளகாய் தூள், உப்பு சேர்த்து எண்ணெய் பிரியும் வரை இன்னும் சில நிமிடங்கள் சமைக்கவும்.
பின்னர் ஒரு தேக்கரண்டி வெந்தயத்தூள் சேர்த்து நன்கு கலந்து, அடுப்பிலிருந்து இறக்கி, ஆற விடவும்.</t>
  </si>
  <si>
    <t>https://encrypted-tbn0.gstatic.com/images?q=tbn:ANd9GcR6Kh5HGL3zOSK18mPKIdqSZicGOoOuZsdNSg&amp;s</t>
  </si>
  <si>
    <t xml:space="preserve">   Gongura – 2 big bunches,
   Red chillies – 4-5,
   Green chillies – 5-6,
   Fenugreek powder - 1/2 tsp,
   Asafoetida – a pinch,
   Turmeric Powder –a pinch,
   Sesame seed oil - 3-4 tbsp,
   Salt as required,
   Oil – 1 tbsp,
   Mustard seeds – 1 tsp.</t>
  </si>
  <si>
    <t>கோங்குரா - 2 பெரிய கொத்துகள்,
சிவப்பு மிளகாய் - 4-5,
பச்சை மிளகாய் - 5-6,
வெந்தயப் பொடி - 1/2 தேக்கரண்டி,
பெருங்காயம் - ஒரு சிட்டிகை,
மஞ்சள் பொடி - ஒரு சிட்டிகை,
எள் விதை எண்ணெய் - 3-4 தேக்கரண்டி,
தேவைக்கேற்ப உப்பு,
எண்ணெய் - 1 தேக்கரண்டி,
கடுகு - 1 தேக்கரண்டி.</t>
  </si>
  <si>
    <t>Separate gongura leaves from the stem, wash it, drain the water and pat it dry with a kitchen towel.
Dry roast fenugreek seeds (vendhayam) and powder it.
Heat a tsp of oil and fry red chillies and green chillies separately. Keep it aside.
Heat 3 tbsp of oil, add asafoetida, turmeric powder and gongura leaves. Cook the leaves well. Leave it to cool.
Then grind it along with red chillies, green chillies and salt (I used rock salt) to a fine paste. Picture below shows cooked gongura leaves.
Heat 1 tbsp of oil in a kadai/pan, add mustard seeds, when it splutters, add the ground gongura paste and fry on medium flame for another 10 minutes or until it leaves the sides of the pan. Add fenugreek powder, mix well and remove from flame.</t>
  </si>
  <si>
    <t>கோங்குரா இலைகளை தண்டிலிருந்து பிரித்து, கழுவி, தண்ணீரை வடிகட்டி, சமையலறை துண்டுடன் உலர வைக்கவும்.
வெந்தயத்தை (வெந்தயம்) உலர்த்தி வறுத்து பொடி செய்யவும்.
ஒரு தேக்கரண்டி எண்ணெயை சூடாக்கி, சிவப்பு மிளகாய் மற்றும் பச்சை மிளகாயை தனித்தனியாக வறுக்கவும். அதை ஒதுக்கி வைக்கவும்.
3 தேக்கரண்டி எண்ணெயை சூடாக்கி, பெருங்காயம், மஞ்சள் தூள் மற்றும் கோங்குரா இலைகளைச் சேர்க்கவும். இலைகளை நன்கு சமைக்கவும். ஆற விடவும்.
பின்னர் சிவப்பு மிளகாய், பச்சை மிளகாய் மற்றும் உப்பு (நான் கல் உப்பு பயன்படுத்தினேன்) சேர்த்து நன்றாக அரைக்கவும். கீழே உள்ள படத்தில் சமைத்த கோங்குரா இலைகள் காட்டப்பட்டுள்ளன.
ஒரு கடாயில் 1 டீஸ்பூன் எண்ணெயை சூடாக்கி, கடுகு சேர்த்து, அது வெடித்ததும், அரைத்த கோங்குரா விழுதைச் சேர்த்து, மிதமான தீயில் மற்றொரு 10 நிமிடங்கள் அல்லது வாணலியின் ஓரங்களை விட்டு நீங்கும் வரை வதக்கவும். வெந்தயப் பொடியைச் சேர்த்து, நன்கு கலந்து, அடுப்பிலிருந்து இறக்கவும்.</t>
  </si>
  <si>
    <t>Bisibelebath Powder</t>
  </si>
  <si>
    <t>பிசிபெலேபாத் பவுடர்</t>
  </si>
  <si>
    <t>1 tsp -  Oil,
1 tbsp -  Coriander seeds,
1 tsp -  Urad dal,
2 tsp -  Bengal gram,
1/2 tsp -  Fenugreek seeds,
1 -  Cardamom,
1 inch -  Cinnamon,
2 -  Cloves,
6-7 -  Dry red chillies,
1 tsp -  kasa kasa,
1/2 cup -  Dry coconut.</t>
  </si>
  <si>
    <t>1 டீஸ்பூன் - எண்ணெய்,
1 டீஸ்பூன் - கொத்தமல்லி விதைகள்,
1 டீஸ்பூன் - உளுத்தம்பருப்பு,
2 டீஸ்பூன் - வங்காளப் பருப்பு,
1/2 டீஸ்பூன் - வெந்தயம்,
1 - ஏலக்காய்,
1 அங்குலம் - இலவங்கப்பட்டை,
2 - கிராம்பு,
6-7 - உலர்ந்த சிவப்பு மிளகாய்,
1 டீஸ்பூன் - கசா காசா,
1/2 கப் - உலர்ந்த தேங்காய்.</t>
  </si>
  <si>
    <t>Heat 1 tsp of oil and saute coriander seeds, bengal gram dal, urad dal, fenugreek seeds, cardamom, cinnamon, cloves and red chillies.
Saute until dal starts to change color.
Add khus khus and saute for few seconds on low heat.
Add the dry coconut and saute for few minutes on low heat, stirring continuously.
Turn off the heat and leave it to cool.
Then powder it slightly coarse.
Use it to make bisibelebath. You can prepare this a day ahead, so that it will be easier to make bisibelebath.</t>
  </si>
  <si>
    <t>1 டீஸ்பூன் எண்ணெயை சூடாக்கி, கொத்தமல்லி விதைகள், வங்காளப் பருப்பு, உளுத்தம்பருப்பு, வெந்தயம், ஏலக்காய், இலவங்கப்பட்டை, கிராம்பு மற்றும் சிவப்பு மிளகாய் ஆகியவற்றை வதக்கவும்.
பருப்பு நிறம் மாறத் தொடங்கும் வரை வதக்கவும்.
குஸ் குஸ் சேர்த்து குறைந்த தீயில் சில நொடிகள் வதக்கவும்.
உலர்ந்த தேங்காயைச் சேர்த்து குறைந்த தீயில் சில நிமிடங்கள் தொடர்ந்து கிளறி வதக்கவும்.
தீயை அணைத்து ஆற விடவும்.
பின்னர் சிறிது கரடுமுரடாக பொடி செய்யவும்.
பிசிபெலேபாத் செய்ய இதைப் பயன்படுத்தவும். பிசிபெலேபாத் செய்வது எளிதாக இருக்கும் வகையில், இதை ஒரு நாள் முன்னதாகவே தயார் செய்யலாம்.</t>
  </si>
  <si>
    <t>https://foodforjoy.in/wp-content/uploads/DSCN15422-copy.jpg</t>
  </si>
  <si>
    <t>https://youtu.be/dSx6VF0L0u4</t>
  </si>
  <si>
    <t xml:space="preserve">   Raw Banana – 1 big,
   Oil – 1 tsp,
   Turmeric powder – 1/4 tsp,
   Salt needed,
   Bengal gram dal – 1 tbsp,
   Coriander seeds – 1 tbsp,
   Tur dal – 2 tsp,
   Red chillies - 3-4,
   Ghee – 1 tsp,
   Mustard seeds – 1 tsp,
   Urad dal – 1 tsp,
   Hing – a pinch,
   Curry leaves – a sprig.</t>
  </si>
  <si>
    <t>பச்சை வாழைப்பழம் - 1 பெரியது,
எண்ணெய் - 1 தேக்கரண்டி,
மஞ்சள் தூள் - 1/4 தேக்கரண்டி,
உப்பு தேவை,
வங்காள பருப்பு - 1 தேக்கரண்டி,
கொத்தமல்லி விதைகள் - 1 தேக்கரண்டி,
துர் பருப்பு - 2 தேக்கரண்டி,
சிவப்பு மிளகாய் - 3-4,
நெய் - 1 தேக்கரண்டி,
கடுகு - 1 தேக்கரண்டி,
உப்பு பருப்பு - 1 தேக்கரண்டி,
ஹிங் - ஒரு சிட்டிகை,
கறிவேப்பிலை - ஒரு தளிர்.</t>
  </si>
  <si>
    <t>Bring water to boil. Cut raw banana into 2-3 pieces with skin and add to the boiling water. Add little salt and turmeric powder and cook on medium heat until banana gets tender. You can also pressure cook for 1 whistle. Once it is cooked, turn off heat and keep it covered. Let it cool.
Heat a tsp of oil, roast bengal gram dal/kadalai paruppu, coriander seeds, tur dal and red chillies until dal turns golden brown. Once it cools, powder it coarsely.
Peel the skin of the cooked raw banana and mash it with your fingers, when it is warm.
Heat a tsp of ghee, add mustard seeds, when it splutters, add urad dal, hing and curry leaves. When dal turns golden brown, pour the seasoning on the mashed raw banana.
Add the prepared spice powder, salt needed and mix everything well.
Mix hot steaming rice with needed raw banana podi, top it with a tsp of ghee and enjoy.
As this vazhaikkai podi is a bit dry, pair it with some vegetable kootu. It goes well with any kootu.</t>
  </si>
  <si>
    <t>தண்ணீர் கொதிக்க விடவும். பச்சை வாழைப்பழத்தை தோலுடன் 2-3 துண்டுகளாக நறுக்கி கொதிக்கும் நீரில் சேர்க்கவும். சிறிது உப்பு மற்றும் மஞ்சள் தூள் சேர்த்து வாழைப்பழம் மென்மையாகும் வரை மிதமான தீயில் சமைக்கவும். நீங்கள் 1 விசில் வரை பிரஷர் குக்கரில் சமைக்கலாம். அது வெந்தவுடன், தீயை அணைத்து மூடி வைக்கவும். ஆற விடவும்.
ஒரு தேக்கரண்டி எண்ணெயை சூடாக்கி, பெங்கால் பருப்பு / கடலை பருப்பு, கொத்தமல்லி விதைகள், துர் பருப்பு மற்றும் சிவப்பு மிளகாய் ஆகியவற்றை பருப்பு பொன்னிறமாகும் வரை வறுக்கவும். ஆறியதும், அதை கரடுமுரடாகப் பொடி செய்யவும்.
சமைத்த பச்சை வாழைப்பழத்தின் தோலை உரித்து, அது சூடாக இருக்கும்போது உங்கள் விரல்களால் பிசையவும்.
ஒரு தேக்கரண்டி நெய்யை சூடாக்கி, கடுகு சேர்த்து, அது வதங்கியதும், உளுத்தம்பருப்பு, பெருங்காயம் மற்றும் கறிவேப்பிலை சேர்க்கவும். பருப்பு பொன்னிறமாக மாறியதும், மசித்த பச்சை வாழைப்பழத்தின் மீது தாளிக்க வேண்டியதை ஊற்றவும்.
தயாரித்த மசாலாப் பொடி, தேவையான உப்பு சேர்த்து எல்லாவற்றையும் நன்றாகக் கலக்கவும்.
சூடான வேகவைத்த அரிசியை தேவையான பச்சை வாழைப்பழப் பொடியுடன் கலந்து, அதன் மேல் ஒரு தேக்கரண்டி நெய் சேர்த்து மசிக்கவும்.
இந்த வாழைக்காய் பொடி சிறிது உலர்ந்திருப்பதால், சிறிது காய்கறி கூழுடன் இணைக்கவும். இது எந்த கூழுடனும் நன்றாகப் பொருந்தும்.</t>
  </si>
  <si>
    <t>https://encrypted-tbn0.gstatic.com/images?q=tbn:ANd9GcQVlBcoWSGR-Ra557-JqKJhdh-3bT9dY8rVPw&amp;s</t>
  </si>
  <si>
    <t xml:space="preserve">   Green Cardamom – 10 grams,
   Whole black pepper – 10 grams,
   Cloves – 10 grams,
   Cinnamon – 2 sticks or 10 grams,
   Dry ginger powder – 2 tsp,
   Nutmeg powder – 2 tsp.</t>
  </si>
  <si>
    <t>பச்சை ஏலக்காய் - 10 கிராம்,
முழு கருப்பு மிளகு - 10 கிராம்,
கிராம்பு - 10 கிராம்,
இலவங்கப்பட்டை - 2 குச்சிகள் அல்லது 10 கிராம்,
உலர் இஞ்சி தூள் - 2 தேக்கரண்டி,
ஜாதிக்காய் தூள் - 2 தேக்கரண்டி.</t>
  </si>
  <si>
    <t>Dry roast cardamom, whole black peppercorns, cloves and cinnamon (break cinnamon sticks into 2-3 pieces, if they are big) on medium low heat for 2-3 minutes. Leave it to cool. There should be no moisture in the spices.
Grate nutmeg and keep it aside. You can also use ready made nutmeg powder.
Powder it coarsely. Add dry ginger powder (sukku powder) and nutmeg powder and grind it to a fine powder.
Aromatic, flavorful chai masala powder is ready. Store it in an airtight container.</t>
  </si>
  <si>
    <t>ஏலக்காய், முழு கருப்பு மிளகு, கிராம்பு மற்றும் இலவங்கப்பட்டை (பெரியதாக இருந்தால் இலவங்கப்பட்டை குச்சிகளை 2-3 துண்டுகளாக உடைக்கவும்) மிதமான குறைந்த வெப்பத்தில் 2-3 நிமிடங்கள் வறுக்கவும். அதை குளிர்விக்க விடவும். மசாலாப் பொருட்களில் ஈரப்பதம் இருக்கக்கூடாது.
ஜாதிக்காயை தட்டி தனியாக வைக்கவும். நீங்கள் தயாராக தயாரிக்கப்பட்ட ஜாதிக்காய் தூளையும் பயன்படுத்தலாம்.
அதை கரடுமுரடாக பொடி செய்யவும். உலர்ந்த இஞ்சி தூள் (சுக்கு தூள்) மற்றும் ஜாதிக்காய் தூள் சேர்த்து நன்றாக பொடியாக அரைக்கவும்.
நறுமணமுள்ள, சுவையான சாய் மசாலா தூள் தயார். காற்று புகாத கொள்கலனில் சேமிக்கவும்.</t>
  </si>
  <si>
    <t>https://encrypted-tbn0.gstatic.com/images?q=tbn:ANd9GcSK5QgdGUYnM8xSMHjrFMajGv--LQp6ZaFcew&amp;s</t>
  </si>
  <si>
    <t>Pudina Podi</t>
  </si>
  <si>
    <t>புதினா பொடி</t>
  </si>
  <si>
    <t xml:space="preserve">   Fresh Mint leaves – 2 bunches,
   Oil – 1 tsp,
   Urad dal – 3 tbsp,
   Bengal gram dal – 1/4 cup,
   Red Chillies – 4 or as needed,
   Hing – a generous pinch,
   Tamarind – a small bit,
   Whole black pepper – 1/2 tsp,
   Cumin Seeds – 1 tsp,
   Salt to taste.</t>
  </si>
  <si>
    <t>புதினா இலைகள் - 2 கொத்துகள்,
எண்ணெய் - 1 தேக்கரண்டி,
உரத்த பருப்பு - 3 தேக்கரண்டி,
வங்காள பருப்பு - 1/4 கப்,
சிவப்பு மிளகாய் - 4 அல்லது தேவைக்கேற்ப,
ஹிங் - ஒரு சிட்டிகை,
புளி - ஒரு சிட்டிகை,
முழு கருப்பு மிளகு - 1/2 தேக்கரண்டி,
சீரக விதைகள் - 1 தேக்கரண்டி,
சுவைக்கு உப்பு.</t>
  </si>
  <si>
    <t>Heat oil and fry urad dal, channa dal (kadalai paruppu), red chillies, hing and tamarind (if using).
Once dal changes golden brown, remove from heat and transfer to a plate.
In the same pan, dry roast cumin seeds and peppercorns until you get the aroma of cumin seeds.
Dry roast mint leaves on low heat, when you crush the leaves, it should break. That is the right stage.
Dry grind the lentils/dal + red chilles, cumin seeds + peppercorns with salt to a coarse powder.
Then add the mint leaves to the coarsely ground powder and grind it again. The powder should be slightly coarse and not fine.
Flavorful Mint/pudhina podi is ready.
Enjoy eating it with hot rice and ghee or with idli and dosa. 
Check out more Podi recipes. They come handy when you do not find time to cook.</t>
  </si>
  <si>
    <t>எண்ணெயை சூடாக்கி உளுத்தம் பருப்பு, சன்னா பருப்பு (கடலை பருப்பு), சிவப்பு மிளகாய், கீரை மற்றும் புளி (பயன்படுத்தினால்) ஆகியவற்றை வறுக்கவும்.
பருப்பு பொன்னிறமாக மாறியதும், அடுப்பிலிருந்து எடுத்து ஒரு தட்டில் மாற்றவும்.
அதே வாணலியில், சீரகம் மற்றும் மிளகு ஆகியவற்றை சீரகத்தின் வாசனை வரும் வரை உலர வறுக்கவும்.
புதினா இலைகளை குறைந்த வெப்பத்தில் உலர வறுக்கவும், இலைகளை நசுக்கும்போது, ​​அது உடைந்துவிடும். அதுதான் சரியான நிலை.
பருப்பு/பருப்பு + சிவப்பு மிளகாய், சீரகம் + மிளகு ஆகியவற்றை உப்பு சேர்த்து கரடுமுரடான பொடியாக அரைக்கவும்.
பின்னர் புதினா இலைகளை கரடுமுரடான பொடியுடன் சேர்த்து மீண்டும் அரைக்கவும். பொடி சற்று கரடுமுரடாகவும், நன்றாக இல்லாமல் இருக்க வேண்டும்.
சுவையான புதினா/புதினா பொடி தயார்.
சூடான சாதம் மற்றும் நெய்யுடன் அல்லது இட்லி மற்றும் தோசையுடன் சாப்பிட்டு மகிழுங்கள்.
மேலும் பொடி ரெசிபிகளைப் பாருங்கள். சமைக்க நேரம் இல்லாதபோது அவை கைக்கு வரும்.</t>
  </si>
  <si>
    <t>https://i0.wp.com/ahahomefoods.com/wp-content/uploads/2023/02/Pudina-Karam-Podi.jpg?fit=600%2C600&amp;ssl=1</t>
  </si>
  <si>
    <t xml:space="preserve">   Bengal Gram – 1/4 cup,
   Urad dal – 5 tsp,
   Coriander seeds – 1/4 cup,
   Dry red chillies – 10,
   Peppercorns – 1/4 tsp,
   Desiccated coconut powder – 1/4 cup,
   Khus khus – 1 tsp,
   Cinnamon – 1 inch piece,
   Cardamom – 1,
   Cloves – 4.</t>
  </si>
  <si>
    <t>பெங்கல் பருப்பு - 1/4 கப்,
உரத் பருப்பு - 5 தேக்கரண்டி,
கொத்தமல்லி விதைகள் - 1/4 கப்,
காய்ந்த சிவப்பு மிளகாய் - 10,
மிளகு - 1/4 தேக்கரண்டி,
உலர்ந்த தேங்காய் தூள் - 1/4 கப்,
குஸ் குஸ் - 1 தேக்கரண்டி,
இலவங்கப்பட்டை - 1 அங்குல துண்டு,
ஏலக்காய் - 1,
கிராம்பு - 4.</t>
  </si>
  <si>
    <t>Dry roast khus khus (kasa kasa) on low heat for a few seconds stirring continuously. Remove it from pan and keep it aside.
Dry roast the rest of the ingredients (except dry coconut powder) on medium heat stirring continuously until the dal changes to light golden and you get a nice aroma of roasted dal.
Karnataka style vangi bath powder
Remove from pan and let it cool.
Dry roast coconut powder slightly until warm and turn off the heat. Let it cool.
Dry grind all the ingredients together into a slightly coarse powder. Our homemade Vangi baath podi is ready.
This can be used for making vangi bath, any rice varieties like ivy gourd (dondekayi) rice, capsicum rice, Karnataka style cluster beans rice, masala bhath etc. Adding to curries gives a different taste to the curry.</t>
  </si>
  <si>
    <t>குஸ் குஸ் (கசா கசா) ஐ குறைந்த தீயில் சில நொடிகள் தொடர்ந்து கிளறி உலர வறுக்கவும். வாணலியில் இருந்து எடுத்து ஒதுக்கி வைக்கவும்.
மீதமுள்ள பொருட்களை (உலர்ந்த தேங்காய் தூள் தவிர) மிதமான தீயில் தொடர்ந்து கிளறி, பருப்பு வெளிர் பொன்னிறமாக மாறும் வரை வறுக்கவும், வறுத்த பருப்பின் நல்ல வாசனை கிடைக்கும்.
கர்நாடக பாணி வாங்கி குளியல் பவுடர்
வாணலியில் இருந்து எடுத்து ஆற விடவும்.
தேங்காய் தூளை சிறிது சூடாகும் வரை வறுத்து, தீயை அணைத்து, ஆற விடவும்.
அனைத்து பொருட்களையும் ஒன்றாக சேர்த்து சிறிது கரடுமுரடான பொடியாக அரைக்கவும். எங்கள் வீட்டில் தயாரிக்கப்பட்ட வாங்கி பாத் போடி தயாராக உள்ளது.
இதை வாங்கி பாத், ஐவி பூசணி (தொண்டேகாய்) அரிசி, கேப்சிகம் அரிசி, கர்நாடக பாணி கிளஸ்டர் பீன்ஸ் அரிசி, மசாலா பாத் போன்ற எந்த அரிசி வகைகளுக்கும் பயன்படுத்தலாம். கறிகளில் சேர்ப்பது கறிக்கு வித்தியாசமான சுவையைத் தரும்.</t>
  </si>
  <si>
    <t>https://encrypted-tbn0.gstatic.com/images?q=tbn:ANd9GcTheKjBMuhn1hZj8n2_hlsFYMG1GcEi-86Alg&amp;s</t>
  </si>
  <si>
    <t xml:space="preserve">   Oil – 1 tsp,
   Garlic – 1/2 cup peeled,
   Red Chillies – 8-10,
   kadalai paruppu – 1/3 cup,
   Urad dal – 1/4 cup,
   Hing – 1/4 tsp flat,
   Salt needed.</t>
  </si>
  <si>
    <t>எண்ணெய் - 1 தேக்கரண்டி,
பூண்டு - 1/2 கப் உரித்தது,
சிவப்பு மிளகாய் - 8-10,
கடலை பருப்பு - 1/3 கப்,
உரத்த பருப்பு - 1/4 கப்,
ஹிங் - 1/4 தேக்கரண்டி தட்டையானது,
உப்பு தேவை.</t>
  </si>
  <si>
    <t xml:space="preserve">In a pan, dry roast bengal gram dal/channa dal on medium heat stirring continuously until it turns golden brown. Remove from pan.
In the same pan, dry roast urad dal and red chillies, stirring continuously until dal turns light brown. Remove from pan.
Heat a tsp of oil and fry the garlic on low medium heat stirring continuously until all the moisture evaporates and the garlic becomes golden brown and a little crispy. Leave it to cool.
Now grind everything together with hing and salt needed to a slightly coarse powder. Do not powder it finely.
This poondu podi goes well with idli, dosa and rice. It tastes awesome when mixed with hot steamed rice topped with a tsp of ghee. I love it with rice than with idli and dosa. For idli and dosa, my sesame seed flavored idli milagai podi is my first choice.
</t>
  </si>
  <si>
    <t>ஒரு பாத்திரத்தில், வத்தல் பருப்பு/சன்னா பருப்பை மிதமான தீயில் தொடர்ந்து கிளறி, அது பொன்னிறமாகும் வரை வறுக்கவும். வாணலியில் இருந்து எடுக்கவும்.
அதே பாத்திரத்தில், உளுத்தம் பருப்பு மற்றும் சிவப்பு மிளகாயை வறுத்து, பருப்பு வெளிர் பழுப்பு நிறமாகும் வரை தொடர்ந்து கிளறவும். வாணலியில் இருந்து எடுக்கவும்.
ஒரு தேக்கரண்டி எண்ணெயை சூடாக்கி, பூண்டை குறைந்த மிதமான தீயில் தொடர்ந்து கிளறி, ஈரப்பதம் அனைத்தும் ஆவியாகி, பூண்டு பொன்னிறமாகவும் சிறிது மொறுமொறுப்பாகவும் மாறும் வரை வறுக்கவும். அதை குளிர்விக்க விடவும்.
இப்போது எல்லாவற்றையும் கீல் மற்றும் உப்பு சேர்த்து சிறிது கரடுமுரடான பொடியாக அரைக்கவும். நன்றாக பொடிக்க வேண்டாம்.
இந்த பூண்டு பொடி இட்லி, தோசை மற்றும் அரிசியுடன் நன்றாகப் பொருந்தும். சூடான வேகவைத்த சாதத்துடன் ஒரு டீஸ்பூன் நெய் சேர்த்து கலக்கும்போது இது அருமையாக இருக்கும். இட்லி மற்றும் தோசையுடன் சாப்பிடுவதை விட சாதத்துடன் சாப்பிடுவது எனக்கு மிகவும் பிடிக்கும். இட்லி மற்றும் தோசைக்கு, எள் விதை சுவையூட்டப்பட்ட இட்லி மிளகாய் பொடி தான் எனது முதல் தேர்வு.</t>
  </si>
  <si>
    <t>https://rakskitchen.net/wp-content/uploads/2019/08/dhaniya-poondu-podi-500x500.jpg</t>
  </si>
  <si>
    <t>Homemade Kadai Masala Powder</t>
  </si>
  <si>
    <t>வீட்டில் தயாரிக்கப்பட்ட கடாய் மசாலாப் பொடி</t>
  </si>
  <si>
    <t xml:space="preserve">   Coriander seeds – 3 tbsp,
   Cumin seeds – 1 tbsp,
   Fennel seeds – 1 tsp ,
   Whole black peppercorns – 1 tsp,
   Dry red chillies – 8-9,
   Cinnamon – 1 inch piece,
   Cloves – 3,
   Cardamom – 2,
   Bay leaves – 2.</t>
  </si>
  <si>
    <t>கொத்தமல்லி விதைகள் - 3 டீஸ்பூன்,
சீரகம் - 1 டீஸ்பூன்,
வெந்தயம் விதைகள் - 1 டீஸ்பூன்,
முழு கருப்பு மிளகு - 1 டீஸ்பூன்,
காய்ந்த சிவப்பு மிளகாய் - 8-9,
இலவங்கப்பட்டை - 1 அங்குல துண்டு,
கிராம்பு - 3,
ஏலக்காய் - 2,
பிரியாணி இலைகள் - 2.</t>
  </si>
  <si>
    <t>Dry roast coriander seeds, cumin seeds, fennel seeds, black pepper and red chillies on medium heat stirring continuously until you get a nice aroma. Remove from the pan.
In the same pan, dry roast cinnamon, cloves, cardamom (without the pods) and bay leaves together.
Once it cools, dry grind both together to a slightly coarse powder.</t>
  </si>
  <si>
    <t>கொத்தமல்லி விதைகள், சீரகம், பெருஞ்சீரகம், கருப்பு மிளகு மற்றும் சிவப்பு மிளகாய் ஆகியவற்றை மிதமான தீயில் தொடர்ந்து கிளறி, நல்ல மணம் வரும் வரை வறுக்கவும். வாணலியில் இருந்து எடுக்கவும்.
அதே வாணலியில், இலவங்கப்பட்டை, கிராம்பு, ஏலக்காய் (காய்கள் இல்லாமல்) மற்றும் பிரியாணி இலைகளை ஒன்றாக வறுக்கவும்.
அது குளிர்ந்ததும், இரண்டையும் சேர்த்து சிறிது கரடுமுரடான பொடியாக அரைக்கவும்.</t>
  </si>
  <si>
    <t>https://encrypted-tbn0.gstatic.com/images?q=tbn:ANd9GcSwKYVYBEp_Z5gHGNI3UGwI6422f4T8P5lrrg&amp;s</t>
  </si>
  <si>
    <t>Dry roast coriander seeds and cumin seeds separately in a pan/kadai. Keep it aside.
In the same pan, heat 1/4 tsp oil and roast the red chillies and tamarind. Switch off the heat and add the garlic cloves. Saute it in the heat of the pan itself.
First grind the red chillies, coriander seeds and cumin seeds to a coarse powder.
Then add the roasted peanuts, garlic, tamarind and salt  needed.
Grind everything together slightly coarse. There should be bits of peanuts in the podi as seen in the main picture above.
Enjoy with hot steamed rice topped with a tsp of ghee. You can also have it as a side dish for idli and dosa though personally I love it with hot rice.</t>
  </si>
  <si>
    <t>கொத்தமல்லி விதைகள் மற்றும் சீரகத்தை தனித்தனியாக ஒரு கடாயில்/கடாயில் வறுக்கவும். அதை ஒதுக்கி வைக்கவும்.
அதே வாணலியில், 1/4 தேக்கரண்டி எண்ணெயை சூடாக்கி, சிவப்பு மிளகாய் மற்றும் புளியை வறுக்கவும். அடுப்பை அணைத்து, பூண்டு பற்களைச் சேர்க்கவும். வாணலியின் வெப்பத்திலேயே வதக்கவும்.
முதலில் சிவப்பு மிளகாய், கொத்தமல்லி விதைகள் மற்றும் சீரகத்தை கரடுமுரடான பொடியாக அரைக்கவும்.
பின்னர் வறுத்த வேர்க்கடலை, பூண்டு, புளி மற்றும் தேவையான உப்பு சேர்க்கவும்.
அனைத்தையும் ஒன்றாக சிறிது கரடுமுரடாக அரைக்கவும். மேலே உள்ள பிரதான படத்தில் காட்டப்பட்டுள்ளபடி, பொடியில் வேர்க்கடலை துண்டுகள் இருக்க வேண்டும்.
சூடான வேகவைத்த அரிசியுடன் ஒரு தேக்கரண்டி நெய்யுடன் மசிக்கவும். நீங்கள் இதை இட்லி மற்றும் தோசைக்கு ஒரு பக்க உணவாகவும் சாப்பிடலாம், ஆனால் தனிப்பட்ட முறையில் எனக்கு இது சூடான சாதத்துடன் மிகவும் பிடிக்கும்.</t>
  </si>
  <si>
    <t>https://www.goodfoodbar.com/cdn/shop/files/Roasted-Peanut-Powder-min-1.jpg?v=1695976551&amp;width=1445</t>
  </si>
  <si>
    <t>Kollu Podi</t>
  </si>
  <si>
    <t>கொள்ளுப் பொடி</t>
  </si>
  <si>
    <t xml:space="preserve">   Horsegram  - 1/2 cup,
   Red chillies – 5,
   Whole black Pepper – 1/2 tbsp,
   Cumin seeds – 1/2 tbsp,
   Urad dal – 2 tbsp,
   Tur dal – 2 tbsp,
   Salt as needed.</t>
  </si>
  <si>
    <t>கொள்ளுப் பருப்பு - 1/2 கப்,
சிவப்பு மிளகாய் - 5,
முழு கருப்பு மிளகு - 1/2 டீஸ்பூன்,
சீரகம் - 1/2 டீஸ்பூன்,
உளுத்தம் பருப்பு - 2 டீஸ்பூன்,
துவரம் பருப்பு - 2 டீஸ்பூன்,
தேவைக்கேற்ப உப்பு.</t>
  </si>
  <si>
    <t>Dry roast horsegram until you get a nice aroma of roasted dal.
Dry roast both the dals together until it turns light brown. Dry roast pepper, cumin seeds and red chillies together.
After it cools, dry grind everything together with needed salt to a slightly coarse powder.
Serve with hot rice drizzled with a tsp of ghee. You can even have it with idli.</t>
  </si>
  <si>
    <t>https://encrypted-tbn0.gstatic.com/images?q=tbn:ANd9GcQhM19gRsAlHAeuK89QGnz1xA-bikjEd1Ma-Q&amp;s</t>
  </si>
  <si>
    <t xml:space="preserve">   Finger millet - 1 kg,
   Pearl Millet - 1 kg,
   Green gram - 1/2 kg,
   Red Rice - 1/4 kg,
   Roasted gram - 1/4 kg,
   Foxtail millet  -1/2 cup,
   Horse Gram – 100 grams,
   Barley - 100 grams,
   Almonds - 25 ,
   Cashew nuts - 10,
   Peanuts - 100 grams,
   Cardamom - 6,
   Dry ginger - 1 inch piece.</t>
  </si>
  <si>
    <t>கேழ்வரகு - 1 கிலோ,
முத்து தினை - 1 கிலோ,
பச்சை பயறு - 1/2 கிலோ,
சிவப்பு அரிசி - 1/4 கிலோ,
வறுத்த பயறு - 1/4 கிலோ,
ஃபாக்ஸ்டெயில் தினை - 1/2 கப்,
குதிரைவாலி - 100 கிராம்,
பார்லி - 100 கிராம்,
பாதாம் - 25 ,
முந்திரி பருப்பு - 10,
வேர்க்கடலை - 100 கிராம்,
ஏலக்காய் - 6,
உலர்ந்த இஞ்சி - 1 அங்குல துண்டு.</t>
  </si>
  <si>
    <t>Clean all the ingredients. If you buy branded organic ingredients, you can skip this step as mostly it is clean and can be used as such.
Dry roast all the ingredients (except cardamom) separately until you get a nice aroma of roasted ingredients. Spread the roasted ingredients on a plate to cool. Then mix everything together.
Get it ground in a flour mill to a fine powder. Spread it on a plate to cool and then store it in an air tight container or stainless steel container. Those who are staying abroad, can prepare less quantity and dry grind it in a mixie.</t>
  </si>
  <si>
    <t>அனைத்து பொருட்களையும் சுத்தம் செய்யவும். நீங்கள் பிராண்டட் ஆர்கானிக் பொருட்களை வாங்கினால், இந்த படிநிலையை நீங்கள் தவிர்க்கலாம், ஏனெனில் இது பெரும்பாலும் சுத்தமானது மற்றும் அப்படியே பயன்படுத்தலாம்.
வறுத்த பொருட்களின் நல்ல நறுமணம் கிடைக்கும் வரை அனைத்து பொருட்களையும் (ஏலக்காய் தவிர) தனித்தனியாக உலர வறுக்கவும். வறுத்த பொருட்களை ஒரு தட்டில் பரப்பி குளிர்விக்க வேண்டும். பின்னர் அனைத்தையும் ஒன்றாக கலக்கவும்.
ஒரு மாவு ஆலையில் நன்றாக தூள் செய்து, குளிர்விக்க ஒரு தட்டில் பரப்பி, பின்னர் காற்று புகாத கொள்கலன் அல்லது ஸ்டெயின்லெஸ் ஸ்டீல் கொள்கலனில் சேமிக்கவும். வெளிநாட்டில் இருப்பவர்கள், குறைந்த அளவு தயாரித்து, மிக்ஸியில் அரைத்து உலர வைக்கலாம்.</t>
  </si>
  <si>
    <t>https://cdn.shopify.com/s/files/1/0051/4159/4210/files/millets-health-mix-kanji-maavu-250g-564369_480x480.jpg?v=1679140773</t>
  </si>
  <si>
    <t xml:space="preserve">   Coriander Leaves - 1 big bunch,
   Bengal gram - 1/4 cup,
   Urad dal - 1/4 cup,
   Red Chillies - 8-10,
   Asafoetida – a pinch,
   Oil - 1/2 tsp,
   Salt to taste.</t>
  </si>
  <si>
    <t>1/2 தேக்கரண்டி எண்ணெயை சூடாக்கி, சிவப்பு மிளகாய் மற்றும் பெருங்காயத்தை சில நொடிகள் வதக்கி, அதை எடுக்கவும்.
பின்னர் அதே வாணலியில், இரண்டு பருப்புகளையும் (சன்னா பருப்பு + உளுத்தம் பருப்பு) ஒன்றாக பொன்னிறமாகும் வரை வறுக்கவும்.
கொத்தமல்லி இலைகளை இலைகளிலிருந்து ஈரப்பதம் அனைத்தும் ஆவியாகும் வரை குறைந்த தீயில் வறுக்கவும்.
தேவையான உப்பு சேர்த்து எல்லாவற்றையும் ஒன்றாக அரைக்கவும். மேலே உள்ள படத்தில் காட்டப்பட்டுள்ளபடி ஒரு கரடுமுரடான தூள் வர நேரம் எடுக்கும். எனவே பொறுமையாக இருங்கள், மிக்சர் சூடாவதைத் தடுக்க இடையில் 5-10 நிமிடங்கள் இடைவெளி விட்டு அரைக்கவும்.
அறை வெப்பநிலையில் காற்று புகாத கொள்கலனில் சேமிக்கவும். உங்கள் பொடியில் ஈரப்பதம் இருப்பதாக உணர்ந்தால், அதை குளிர்சாதன பெட்டியில் சேமிக்கவும். இது 15-20 நாட்கள் வரை புதியதாக இருக்கும்.
சூடான சாதத்தில் ஒரு தேக்கரண்டி நெய் அல்லது எள் விதை எண்ணெயுடன் சேர்த்து மகிழுங்கள்.</t>
  </si>
  <si>
    <t>https://encrypted-tbn0.gstatic.com/images?q=tbn:ANd9GcTFf4MKwjvN6P2bNPh5Ov7ZURHGC8Q7kOHyJg&amp;s</t>
  </si>
  <si>
    <t xml:space="preserve">   Fennel seeds - 100 grams,
   Cardamom - 5,
   Cloves - 10,
   Cinnamon - 2 inch,
   Mace - 1 small piece.</t>
  </si>
  <si>
    <t>வெந்தயம் - 100 கிராம்,
ஏலக்காய் - 5,
கிராம்பு - 10,
இலவங்கப்பட்டை - 2 அங்குலம்,
ஜாதிக்காய் - 1 சிறிய துண்டு.</t>
  </si>
  <si>
    <t>Dry roast fennel seeds until it is hot to touch.
Dry roast all the other ingredients until you get a nice aroma of roasted spices.
Once it cools, blend it in a mixer or coffee grinder to a slightly coarse powder.
Store it in an airtight container and use it when required.</t>
  </si>
  <si>
    <t>வெந்தயம் விதைகள் தொடுவதற்கு சூடாக இருக்கும் வரை உலர வறுக்கவும்.
வறுத்த மசாலாவின் நல்ல வாசனை வரும் வரை மற்ற அனைத்து பொருட்களையும் உலர வறுக்கவும்.
அது குளிர்ந்ததும், மிக்சி அல்லது காபி கிரைண்டரில் சிறிது கரடுமுரடான பொடியாக அரைக்கவும்.
காற்று புகாத கொள்கலனில் சேமித்து, தேவைப்படும்போது பயன்படுத்தவும்.</t>
  </si>
  <si>
    <t>https://encrypted-tbn0.gstatic.com/images?q=tbn:ANd9GcTE13YKrN5k94IPteHeRFKsP4wz2acaS1q8Og&amp;s</t>
  </si>
  <si>
    <t>Flax seed Podi</t>
  </si>
  <si>
    <t>ஆளி விதை பொடி</t>
  </si>
  <si>
    <t xml:space="preserve">  Flax seed – 100 grams,
   Urad dal - 2 tbsp,
   Red Chilli - 4-5,
   Cumin seeds - 3/4 tsp,
   Tamarind – small marble sized ball,
   Salt needed.</t>
  </si>
  <si>
    <t>ஆளி விதை - 100 கிராம்,
உளுத்தம் பருப்பு - 2 டேபிள்ஸ்பூன்,
சிவப்பு மிளகாய் - 4-5,
சீரகம் - 3/4 டீஸ்பூன்,
புளி - சிறிய பளிங்கு அளவு உருண்டை,
உப்பு தேவை.</t>
  </si>
  <si>
    <t>Dry roast flax seeds nicely on medium heat. Leave it to cool.
Dry roast urad dal and red chillies until dal turns golden brown.
Dry roast cumin seeds and tamarind separately.
Dry grind everything together with needed salt to a slightly coarse powder.
Store it in an airtight container in the refrigerator.
You can mix this podi with steaming hot rice topped with a tsp of ghee and have it or you can have it as a side dish for idli and dosa.</t>
  </si>
  <si>
    <t>ஆளி விதைகளை மிதமான தீயில் நன்றாக வறுக்கவும். ஆற விடவும்.
உளுத்தம் பருப்பு மற்றும் சிவப்பு மிளகாயை பருப்பாக மாறும் வரை வறுக்கவும்.
சீரகம் மற்றும் புளியை தனித்தனியாக வறுக்கவும்.
தேவையான உப்பு சேர்த்து சிறிது கரடுமுரடான பொடியாக அரைக்கவும்.
குளிர்சாதன பெட்டியில் காற்று புகாத கொள்கலனில் சேமிக்கவும்.
இந்த பொடியை வேகவைக்கும் சூடான அரிசியுடன் ஒரு டீஸ்பூன் நெய்யுடன் கலந்து சாப்பிடலாம் அல்லது இட்லி மற்றும் தோசைக்கு ஒரு துணை உணவாக சாப்பிடலாம்.</t>
  </si>
  <si>
    <t>https://encrypted-tbn0.gstatic.com/images?q=tbn:ANd9GcQW4asXkycFIQ0Gsu6g_3RuafuHG8Go4KytVA&amp;s</t>
  </si>
  <si>
    <t xml:space="preserve">   Finger millet - 1/4 kg,
   Pear millet  - 1/4 kg,
   Green gram – 1/4 kg,
   Wheat – 1/4 kg,
   Par boiled rice  – 1/4 kg,
   Fried gram - 100 grams,
   Barley – 100 grams,
   Sago – 50 grams,
   Dry ginger - 2 inch piece,
   Almonds - 25 grams.</t>
  </si>
  <si>
    <t>Wash finger millet/ragi well and soak it in water overnight.
Next day, rinse well , drain the water, tie it in a muslin cloth and hang it.
Leave it for sprouting. Rinse once in between.
After it has sprouted, rinse it again gently, drain the water and spread it on a cloth for drying. Dry it well either in the sun or in shade inside the house.
After it has dried well, dry roast it, till you get a nice aroma.
Repeat the same process as above for Pearl millet, Green gram and Wheat.
Dry roast boiled rice, fried gram, barley, sago, dry ginger and almonds separately.
Now combine all the 10 ingredients and get it ground in the flour mill/rice mill.
Your porridge powder is ready.</t>
  </si>
  <si>
    <t>https://encrypted-tbn0.gstatic.com/images?q=tbn:ANd9GcQUQJsctEDAwp5ik1F60UmcyEmzbUlZM-NlQA&amp;s</t>
  </si>
  <si>
    <t>Thengai Podi</t>
  </si>
  <si>
    <t>தேங்காய் பொடி</t>
  </si>
  <si>
    <t xml:space="preserve">  Coconut – 1 1/3 cup grated coconut,
   Curry leaves – 1/3 cup,
   Ginger – 1 inch piece chopped,
   Pearl onions – 4 peeled and chopped,
   Oil – 1/4 tsp,
   Red chillies – 4,
   Urad dal – 1 tsp,
   Whole black pepper – 1/2 tsp,
   Tamarind – a small piece,
   Salt as needed.</t>
  </si>
  <si>
    <t>தேங்காய் - 1 1/3 கப் துருவிய தேங்காய்,
கறிவேப்பிலை - 1/3 கப்,
இஞ்சி - 1 அங்குல துண்டு நறுக்கியது,
முத்து வெங்காயம் - 4 தோல் நீக்கி நறுக்கியது,
எண்ணெய் - 1/4 தேக்கரண்டி,
சிவப்பு மிளகாய் - 4,
உரத்த பருப்பு - 1 தேக்கரண்டி,
முழு கருப்பு மிளகு - 1/2 தேக்கரண்டி,
புளி - ஒரு சிறிய துண்டு,
தேவைக்கேற்ப உப்பு.</t>
  </si>
  <si>
    <t>Heat oil, add urad dal, when dal changes color slightly, add red chillies, pepper, tamarind, salt and saute for a few seconds and switch off the flame.
Now dry roast the grated coconut, ginger, curry leaves and shallots in a pan without adding oil. Keep it on low flame and roast stirring continuously until the coconut changes to golden brown color.(see pic above) Take care not to burn the coconut. This took nearly 25 minutes for me on low flame. Once roasted switch off and allow it to cool.
Grind the red chilli + tamarind mix first to a fine powder. Then add coconut mix and dry grind it just for a few seconds.
Once cooled, store it in an air tight container. This podi can also be had as a side dish for idli dosa.</t>
  </si>
  <si>
    <t>எண்ணெய்யை சூடாக்கி, உளுத்தம் பருப்பு சேர்த்து, பருப்பு சிறிது நிறம் மாறும்போது, ​​சிவப்பு மிளகாய், மிளகு, புளி, உப்பு சேர்த்து சில நொடிகள் வதக்கி, தீயை அணைக்கவும்.
இப்போது துருவிய தேங்காய், இஞ்சி, கறிவேப்பிலை மற்றும் வெங்காயத்தை எண்ணெய் சேர்க்காமல் ஒரு கடாயில் வறுக்கவும். குறைந்த தீயில் வைத்து, தேங்காய் தங்க பழுப்பு நிறமாக மாறும் வரை தொடர்ந்து கிளறவும். (மேலே உள்ள படத்தைப் பார்க்கவும்) தேங்காய் எரியாமல் பார்த்துக் கொள்ளுங்கள். இது எனக்கு குறைந்த தீயில் கிட்டத்தட்ட 25 நிமிடங்கள் ஆனது. வறுத்ததும் அதை அணைத்து ஆற விடவும்.
முதலில் சிவப்பு மிளகாய் + புளி கலவையை நன்றாகப் பொடியாக அரைக்கவும். பின்னர் தேங்காய் கலவையைச் சேர்த்து சில நொடிகள் உலர வைக்கவும்.
குளிர்ந்ததும், காற்று புகாத கொள்கலனில் சேமிக்கவும். இந்த போடியை இட்லி தோசைக்கு ஒரு துணை உணவாகவும் சாப்பிடலாம்.</t>
  </si>
  <si>
    <t>https://encrypted-tbn0.gstatic.com/images?q=tbn:ANd9GcSIYq68190PgWCA5wndFQ5JJZnRx_GgenpQYg&amp;s</t>
  </si>
  <si>
    <t>Andhra Paruppu Podi</t>
  </si>
  <si>
    <t>ஆந்திர பருப்பு பொடி</t>
  </si>
  <si>
    <t xml:space="preserve">
   Tur dal – 1 cup,
   Fried gram – 1 cup,
   Garlic – 2 full pods,
   Cumin seeds – 1 tsp,
   Red chillies – 8-10,
   Hing – 1/4 tsp,
   Curry leaves,
   Salt as required,
   Oil - 1/4 tsp.</t>
  </si>
  <si>
    <t>துவரம் பருப்பு - 1 கப்,
வறுத்த பருப்பு - 1 கப்,
பூண்டு - 2 முழு காய்கள்,
சீரகம் - 1 தேக்கரண்டி,
சிவப்பு மிளகாய் - 8-10,
பெருங்காயம் - 1/4 தேக்கரண்டி,
கறிவேப்பிலை,
தேவைக்கேற்ப உப்பு,
எண்ணெய் - 1/4 தேக்கரண்டி.</t>
  </si>
  <si>
    <t>Dry roast tur dal on medium flame stirring continuously, until it turns golden brown. Add hing, cumin seeds, curry leaves and fry for a few more minutes. Leave it to cool.
Dry roast fried gram (pottukadalai in Tamil) and garlic separately. If you do not like garlic flavor, use less garlic.
Heat 1/4 tsp of oil and fry red chillies. Then grind everything together coarsely with salt needed.
This podi is very delicious with hot steamed rice topped with a tsp of ghee. You just have to prepare any vegetable curry or papads as a side dish for this.</t>
  </si>
  <si>
    <t>பெருங்காயத்தை மிதமான தீயில் தொடர்ந்து கிளறி, அது பொன்னிறமாகும் வரை வறுக்கவும். பெருங்காயம், சீரகம், கறிவேப்பிலை சேர்த்து இன்னும் சில நிமிடங்கள் வறுக்கவும். அதை குளிர்விக்க விடவும்.
பொரித்த பருப்பு (தமிழில் பொட்டுக்கடலை) மற்றும் பூண்டை தனித்தனியாக வறுக்கவும். உங்களுக்கு பூண்டு சுவை பிடிக்கவில்லை என்றால், குறைந்த பூண்டைப் பயன்படுத்தவும்.
1/4 தேக்கரண்டி எண்ணெயை சூடாக்கி, சிவப்பு மிளகாயை வறுக்கவும். பின்னர் தேவையான உப்பு சேர்த்து எல்லாவற்றையும் ஒன்றாக அரைக்கவும்.
இந்த பொடி சூடான வேகவைத்த அரிசியுடன் ஒரு தேக்கரண்டி நெய்யுடன் மிகவும் சுவையாக இருக்கும். இதற்கு நீங்கள் எந்த காய்கறி கறி அல்லது பப்படையும் ஒரு பக்க உணவாக தயாரிக்க வேண்டும்.</t>
  </si>
  <si>
    <t>https://www.archanaskitchen.com//images/archanaskitchen/1-Author/Anitha_Kirubakaran/Andhra_style_paruppu_podi__Dal_podi.jpg</t>
  </si>
  <si>
    <t>Paruppu Podi</t>
  </si>
  <si>
    <t>பருப்பு பொடி</t>
  </si>
  <si>
    <t xml:space="preserve">   Tur dal – 1/3 cup,
   Red chillies – 5,
   Whole black pepper - 1/4 tsp,
   Salt to taste.</t>
  </si>
  <si>
    <t>துவரம் பருப்பு - 1/3 கப்,
சிவப்பு மிளகாய் - 5,
முழு கருப்பு மிளகு - 1/4 தேக்கரண்டி,
ருசிக்க உப்பு.</t>
  </si>
  <si>
    <t>Dry roast dal till it turns golden brown in colour.
Then dry roast red chillies and pepper separately.
Dry grind everything together to a slightly coarse powder along with salt. Store it in an air tight container.
Serve it with hot steaming rice topped with a tsp ghee or sesame seed oil. All you need is a vegetable curry or papads to go along with it. Enjoy!!</t>
  </si>
  <si>
    <t>பருப்பை பொன்னிறமாகும் வரை உலர வறுக்கவும்.
பின்னர் சிவப்பு மிளகாய் மற்றும் மிளகாயை தனித்தனியாக வறுக்கவும்.
எல்லாவற்றையும் உப்புடன் சேர்த்து சிறிது கரடுமுரடான பொடியாக அரைக்கவும். காற்று புகாத கொள்கலனில் சேமிக்கவும்.
சூடான வேகவைத்த அரிசியுடன் ஒரு தேக்கரண்டி நெய் அல்லது எள் விதை எண்ணெயுடன் பரிமாறவும். உங்களுக்கு தேவையானது அதனுடன் சேர்க்க ஒரு காய்கறி கறி அல்லது பப்படம் மட்டுமே. மகிழுங்கள்!!</t>
  </si>
  <si>
    <t>https://i.ytimg.com/vi/aiV_eR66hLs/maxresdefault.jpg</t>
  </si>
  <si>
    <t>Sesame Seed</t>
  </si>
  <si>
    <t>எள் விதை</t>
  </si>
  <si>
    <t xml:space="preserve">   White Sesame seeds - 100 grams,
   Whole Urad dal - 1/4 cup,
   Cumin seeds - 1 tbsp,
   Whole black pepper - 1/2 tbsp,
   Red chillies - 8-9,
   Salt as needed,
   Cooked rice – as needed,
   Sesame seed Oil – 1 tbsp,
   Mustard seeds – 1 tsp,
   Curry leaves – a sprig,
   Ghee – 1 tsp.</t>
  </si>
  <si>
    <t>Heat a pan and dry roast sesame seeds on medium heat stirring continuously until it splutters. Leave it to cool. Then grind it just for a few seconds.(operate the mixie at intervals and not at a stretch).If you grind it for a long time, the sesame seeds will ooze out oil.
In the same pan, dry roast urad dal until it turns golden brown. Then dry roast red chillies, cumin seeds and pepper separately. Powder everything together a little coarse with salt needed.
Then add roasted sesame seed powder to the above and dry grind it just for a second.
Our ellu podi/sesame seed powder is ready now. We will see how to prepare sesame seed rice/ellu sadam.</t>
  </si>
  <si>
    <t>ஒரு கடாயை சூடாக்கி, எள் விதைகளை மிதமான தீயில் தொடர்ந்து கிளறி, அது சிதறும் வரை வறுக்கவும். அதை குளிர்விக்க விடவும். பின்னர் அதை சில நொடிகள் மட்டும் அரைக்கவும். (மிக்ஸியை இடைவெளியில் பயன்படுத்தாமல்). நீண்ட நேரம் அரைத்தால், எள் விதைகள் எண்ணெய் வெளியேறும்.
அதே கடாயில், உளுத்தம் பருப்பை பொன்னிறமாகும் வரை வறுக்கவும். பின்னர் சிவப்பு மிளகாய், சீரகம் மற்றும் மிளகாயை தனித்தனியாக வறுக்கவும். தேவையான அளவு உப்பு சேர்த்து அனைத்தையும் சிறிது கரடுமுரடாக பொடி செய்யவும்.
பின்னர் மேலே உள்ளவற்றுடன் வறுத்த எள்ளு விதைப் பொடியைச் சேர்த்து, ஒரு நொடி உலர்த்தி அரைக்கவும்.
எள்ளு பொடி/எள்ளு விதைப் பொடி இப்போது தயாராக உள்ளது. எள்ளு விதை சாதம்/எள்ளு சாதம் எப்படி செய்வது என்று பார்ப்போம்.</t>
  </si>
  <si>
    <t>https://encrypted-tbn0.gstatic.com/images?q=tbn:ANd9GcRfil5iUR0N5x4gRTuyHmrY05Uu2e8Q79DGNw&amp;s</t>
  </si>
  <si>
    <t>Idly Milagai Podi</t>
  </si>
  <si>
    <t>இட்லி மிளகாய் பொடி</t>
  </si>
  <si>
    <t xml:space="preserve">   Red chillies – 50 grams,
   Whole Urad Dal - 120 grams ,
   Bengal Gram – 120 grams,
   Asafoetida  - 1/4 tspc,
   White Sesame seeds – 100 grams,
   Salt - 1 tbsp,
   Curry leaves – handful,
   Oil - 1 tsp.</t>
  </si>
  <si>
    <t>சிவப்பு மிளகாய் - 50 கிராம்,
முழு உளுத்தம் பருப்பு - 120 கிராம்,
பெருங்காயம் - 120 கிராம்,
பெருங்காயம் - 1/4 தேக்கரண்டி,
வெள்ளை எள் - 100 கிராம்,
உப்பு - 1 தேக்கரண்டி,
கறிவேப்பிலை - ஒரு கைப்பிடி,
எண்ணெய் - 1 தேக்கரண்டி.</t>
  </si>
  <si>
    <t>Heat 1/2 tsp of oil and roast urad dal and channa dal together until they turn golden brown.
Heat another 1/2 tsp of oil and roast red chillies. Then add hing in the end and roast for a few more seconds and switch off the flame. Leave it to cool.
Dry roast sesame seeds.(without oil)
Dry roast curry leaves. I did not add.
First grind sesame seeds for a few seconds and keep it aside. Do not grind it too much as it will ooze out oil.
Then grind the dal coarsely and keep it aside.
Grind red chillies with salt and curry leaves to a fine powder.
Mix everything together and store it in an airtight container. If required add more salt and mix well.
This podi mixed with sesame seed oil/gingelly oil is a great combination for idli and dosa. You can make Podi idlis. podi dosas and ghee idlis using idli podi.</t>
  </si>
  <si>
    <t>1/2 தேக்கரண்டி எண்ணெயை சூடாக்கி, உளுத்தம் பருப்பு மற்றும் சன்னா பருப்பை பொன்னிறமாகும் வரை வறுக்கவும்.
மேலும் 1/2 தேக்கரண்டி எண்ணெயை சூடாக்கி, சிவப்பு மிளகாயை வறுக்கவும். பின்னர் இறுதியில் கீரையைச் சேர்த்து மேலும் சில வினாடிகள் வறுக்கவும், தீயை அணைக்கவும். அதை குளிர்விக்க விடவும்.
எள்ளை உலர வறுக்கவும். (எண்ணெய் இல்லாமல்)
கறிவேப்பிலையை உலர வறுக்கவும். நான் சேர்க்கவில்லை.
முதலில் எள்ளை சில வினாடிகள் அரைத்து ஒதுக்கி வைக்கவும். அதிகமாக அரைக்க வேண்டாம், ஏனெனில் அது எண்ணெய் வெளியேறும்.
பின்னர் பருப்பை கரடுமுரடாக அரைத்து ஒதுக்கி வைக்கவும்.
சிவப்பு மிளகாயை உப்பு மற்றும் கறிவேப்பிலையுடன் சேர்த்து நன்றாக அரைக்கவும்.
அனைத்தையும் ஒன்றாக கலந்து காற்று புகாத டப்பாவில் சேமிக்கவும். தேவைப்பட்டால் அதிக உப்பு சேர்த்து நன்கு கலக்கவும்.
எள் எண்ணெய்/எண்ணெய்யுடன் கலந்த இந்த பொடி இட்லி மற்றும் தோசைக்கு ஒரு சிறந்த கலவையாகும். நீங்கள் பொடி இட்லிகளை செய்யலாம். பொடி தோசைகள் மற்றும் நெய் இட்லிகள் இட்லி பொடியைப் பயன்படுத்தி.</t>
  </si>
  <si>
    <t>https://encrypted-tbn0.gstatic.com/images?q=tbn:ANd9GcQFc26_hWUyfTQIhAEVTAf3kSaVz7QFK5vwPA&amp;s</t>
  </si>
  <si>
    <t>https://youtu.be/gQGUziGdiXE</t>
  </si>
  <si>
    <t>Sambar powder</t>
  </si>
  <si>
    <t>சாம்பார் பொடி</t>
  </si>
  <si>
    <t xml:space="preserve">  Red Chillies - 1/4 kg,
   Coriander Seeds – 4 cups,
   Toor Dal – 1 cup,
   Whole Black Pepper – 1/2 cup,
   Cumin Seeds – 1/2 cup ,
   Fenugreek – 2 tsp,
   Turmeric – 10-12 pieces.</t>
  </si>
  <si>
    <t>சிவப்பு மிளகாய் - 1/4 கிலோ,
கொத்தமல்லி விதைகள் - 4 கப்,
துரும்பு பருப்பு - 1 கப்,
முழு கருப்பு மிளகு - 1/2 கப்,
சீரக விதைகள் - 1/2 கப்,
வெந்தயம் - 2 தேக்கரண்டி,
மஞ்சள் - 10-12 துண்டுகள்.</t>
  </si>
  <si>
    <t>Clean and dry everything in the sun for 2-3 days and ground it to a fine powder from a grinding mill/flour mill. Store it in an air tight container. It will stay fresh for 5 months.
This is my Perima’s sambar podi measurement. I do not follow this but have given you as you will get more quantity and it is less spicy.</t>
  </si>
  <si>
    <t>எல்லாவற்றையும் சுத்தம் செய்து வெயிலில் 2-3 நாட்கள் உலர்த்தி, அரைக்கும் ஆலை/மாவு ஆலையில் இருந்து நன்றாகப் பொடியாக அரைக்கவும். காற்று புகாத கொள்கலனில் சேமிக்கவும். இது 5 மாதங்கள் புதியதாக இருக்கும்.
இது எனது பெரிமாவின் சாம்பார் பொடி அளவீடு. நான் இதைப் பின்பற்றவில்லை, ஆனால் நீங்கள் அதிக அளவு கிடைக்கும் மற்றும் குறைந்த காரமானதாக இருப்பதால் உங்களுக்குக் கொடுத்துள்ளேன்.</t>
  </si>
  <si>
    <t>https://moonrice.net/wp-content/uploads/2024/04/SambarPodi-4.jpg</t>
  </si>
  <si>
    <t>Coriander seeds - 250 grams,
Tur dal - 100 grams,
Red chillies - 50 grams,
Whole black Pepper - 50 grams,
Cumin Seeds - 50 grams,
Curry leaves – little.</t>
  </si>
  <si>
    <t>கொத்தமல்லி விதைகள் - 250 கிராம்,
துர் பருப்பு - 100 கிராம்,
சிவப்பு மிளகாய் - 50 கிராம்,
முழு கருப்பு மிளகு - 50 கிராம்,
சீரக விதைகள் - 50 கிராம்,
கறிவேப்பிலை - சிறிது.</t>
  </si>
  <si>
    <t>Dry roast everything separately and get it ground to a fine powder from a flour mill. Store it in an air tight container.</t>
  </si>
  <si>
    <t>எல்லாவற்றையும் தனித்தனியாக வறுத்து, மாவு ஆலையில் இருந்து நன்றாகப் பொடி செய்து, காற்று புகாத கொள்கலனில் சேமிக்கவும்.</t>
  </si>
  <si>
    <t>https://encrypted-tbn0.gstatic.com/images?q=tbn:ANd9GcR99AQO27fJ1B7y5FnlaRh-Sj8KBZnl9KLL_w&amp;s</t>
  </si>
  <si>
    <t>Karuveppilai Podi</t>
  </si>
  <si>
    <t>கருவேப்பிலை பொடி</t>
  </si>
  <si>
    <t>1 cup -  Fresh Curry leaves,
2 tsp -  Whole black Pepper,
2 tsp -  Cumin seeds,
2 tbsp -  Tur Dal,
2 tbsp -  Urad dal,
2 tbsp -  Bengal gram,
3-4 -  Red Chillies,
Salt needed.</t>
  </si>
  <si>
    <t>1 கப் - புதிய கறிவேப்பிலை,
2 தேக்கரண்டி - முழு கருப்பு மிளகு,
2 தேக்கரண்டி - சீரகம்,
2 தேக்கரண்டி - துவரம் பருப்பு,
2 தேக்கரண்டி - உளுத்தம் பருப்பு,
2 தேக்கரண்டி - வங்காள பருப்பு,
3-4 - சிவப்பு மிளகாய்,
தேவையான உப்பு.</t>
  </si>
  <si>
    <t>Dry roast tur dal, urad dal, channa dal (kadalai paruppu) until dal turns golden brown.
Then dry roast pepper and jeera separately until you get a nice aroma.
Dry roast red chillies for a few minutes.
Dry roast curry leaves well. Do not burn it. (the leaves should break when you crush it with your fingers)
Dry grind the dal, pepper and jeera first. Then add curry leaves and grind everything together (slightly coarse) along with salt required.
Store it in an air tight container so that it does not loose its freshness.</t>
  </si>
  <si>
    <t>துவரம் பருப்பு, உளுத்தம் பருப்பு, சன்னா பருப்பு (கடலை பருப்பு) ஆகியவற்றைப் பொன்னிறமாகும் வரை உலர வறுக்கவும்.
பின்னர் மிளகு மற்றும் ஜீராவை தனியாக ஒரு நல்ல மணம் வரும் வரை வறுக்கவும்.
சிவப்பு மிளகாயை சில நிமிடங்கள் உலர வறுக்கவும்.
கறிவேப்பிலையை நன்றாக வறுக்கவும். எரிக்க வேண்டாம். (நீங்கள் அதை உங்கள் விரல்களால் நசுக்கும்போது இலைகள் உடைந்து போக வேண்டும்)
முதலில் பருப்பு, மிளகு மற்றும் ஜீராவை உலர வைக்கவும். பின்னர் கறிவேப்பிலை சேர்த்து தேவையான உப்பு சேர்த்து (சற்று கரடுமுரடாக) அனைத்தையும் ஒன்றாக அரைக்கவும்.
புதுமை குறையாமல் இருக்க காற்று புகாத கொள்கலனில் சேமிக்கவும்.</t>
  </si>
  <si>
    <t>https://encrypted-tbn0.gstatic.com/images?q=tbn:ANd9GcT8s9r2jebnGKOKwbDObwEzOk40Vh2Qgn1Mjg&amp;s</t>
  </si>
  <si>
    <t>https://youtu.be/neJ7Ex6vcZM</t>
  </si>
  <si>
    <t>1/4 cup -  Bengal gram,
1/3 cup -  Coriander seeds,
16 -  Dry Red chillies,
1 tsp -  Oil.</t>
  </si>
  <si>
    <t>1/4 கப் - கடலை பருப்பு,
1/3 கப் - கொத்தமல்லி விதைகள்,
16 - உலர்ந்த சிவப்பு மிளகாய்,
1 தேக்கரண்டி - எண்ணெய்.</t>
  </si>
  <si>
    <t>1 தேக்கரண்டி எண்ணெயைச் சூடாக்கி, கொத்தமல்லி விதைகள், கடலை பருப்பு மற்றும் சிவப்பு மிளகாய் ஆகியவற்றைப் பொன்னிறமாகும் வரை வறுக்கவும். தொடர்ந்து கிளறிக்கொண்டே இருங்கள்.
அது குளிர்ந்த பிறகு, மேலே உள்ள அனைத்தையும் ஒன்றாக சேர்த்து கரடுமுரடான பொடியாக அரைக்கவும்.
சேமிப்பு - அறை வெப்பநிலையில் காற்று புகாத கொள்கலனில் சேமிக்கவும். ஒரு வாரம் அல்லது 10 நாட்களுக்கு மட்டும் தயார் செய்யவும். நீண்ட நேரம் சேமித்து வைத்தால், சுவை இருக்காது.</t>
  </si>
  <si>
    <t>https://nuttyyogi.com/cdn/shop/products/Garam_masala_powder_1.jpg?v=1680765959</t>
  </si>
  <si>
    <t>Vegetable Paneer Rolls</t>
  </si>
  <si>
    <t>வெஜிடபுள் பன்னீர் ரோல்ஸ்</t>
  </si>
  <si>
    <t>Home Cooking Specials</t>
  </si>
  <si>
    <t>Walnuts - 1/2 cup,
Oil - 3 tablespoons,
Large onion - 1 finely chopped,
Green chilli - 1/2 finely chopped,
Red chilli - 1/2 finely chopped,
Yellow chilli - 1/2 finely chopped,
Carrot - 1 finely chopped,
Cabbage,
Salt - 1/2 teaspoon,
Kashmiri chilli powder - 1 teaspoon,
Chaat masala powder - 1 teaspoon,
Cumin powder - 1 teaspoon,
Paneer - 200 grams chopped,
Coriander leaves chopped,
Mint leaves,
Coriander leaves,
Large onion,
Ginger - small piece chopped,
Green chillies - 2 chopped,
Black salt - 1/4 teaspoon,
cumin powder - 1/4 teaspoon,
salt - 1/4 teaspoon,
lemon juice - 1 fruit,
yogurt - 3 teaspoons,
chapathi,
yogurt mint chutney,
paneer mixture.</t>
  </si>
  <si>
    <t>வால்நட்ஸ் - 1/2 கப்,
எண்ணெய் - 3 தேக்கரண்டி,
பெரிய வெங்காயம் - 1 மெல்லியதாக நறுக்கியது,
பச்சை குடைமிளகாய் - 1/2 மெல்லியதாக நறுக்கியது,
சிவப்பு குடைமிளகாய் - 1/2 மெல்லியதாக நறுக்கியது,
மஞ்சள் குடைமிளகாய் - 1/2 மெல்லியதாக நறுக்கியது,
கேரட் - 1 மெல்லியதாக நறுக்கியது,
முட்டைகோஸ்,
உப்பு - 1/2 தேக்கரண்டி,
காஷ்மீரி மிளகாய் தூள் - 1 தேக்கரண்டி,
சாட் மசாலா தூள் - 1 தேக்கரண்டி,
சீரக தூள் - 1 தேக்கரண்டி,
பன்னீர் - 200 கிராம் நறுக்கியது,
கொத்தமல்லி இலை நறுக்கியது,
புதினா இலை,
கொத்தமல்லி இலை,
பெரியவெங்காயம்,
இஞ்சி - சிறிய துண்டு நறுக்கியது,
பச்சை மிளகாய் - 2 நறுக்கியது,
கருப்பு உப்பு - 1/4 தேக்கரண்டி,
சீரக தூள் - 1/4 தேக்கரண்டி,
உப்பு - 1/4 தேக்கரண்டி,
எலுமிச்சைபழச்சாறு - 1 பழம் ,
தயிர் - 3 தேக்கரண்டி,
சப்பாத்தி,  
தயிர் புதினா சட்னி,
பன்னீர் கலவை.</t>
  </si>
  <si>
    <t>Chop the walnuts into small pieces.
Pour oil in a pan, add large onion, green chili, red chili, yellow chili and sauté.
Next add carrots and cabbage and sauté.
Then add chopped walnuts.
Add salt, Kashmiri chili powder, chaat masala powder, cumin powder and sauté for 5 minutes.
Add paneer and sauté for 5 minutes.
Finally sprinkle coriander leaves and set aside.
In a mixer, add mint leaves, coriander leaves, large onion, ginger, green chilies, black salt, cumin powder, salt, and lemon juice and grind.
Add yogurt instead of water and grind to a paste.
Add the vegetable paneer mixture made in this.
Pour a little yogurt mint chutney and roll the chapati.
Vegetable paneer rolls are ready.</t>
  </si>
  <si>
    <t xml:space="preserve">வால்நட்ஸ்'ஸை சிறிய துண்டுகளாக நறுக்கவும்.
கடாயில் எண்ணெய் ஊற்றி, பெரிய வெங்காயம், பச்சை குடைமிளகாய், சிவப்பு குடைமிளகாய், மஞ்சள் குடைமிளகாய் சேர்த்து வதக்கவும்.
 அடுத்த இதில் கேரட், முட்டைகோஸ் சேர்த்து வதக்கவும்.
பின் இதில் நறுக்கிய வால்நட்ஸ் சேர்க்கவும்.
 இதில் உப்பு, காஷ்மீரி மிளகாய் தூள், சாட் மசாலா தூள், சீரக தூள் சேர்த்து 5 நிமிடம் கிண்டவும்.
 இதில் பன்னீர் சேர்த்து 5 நிமிடம் கிண்டவும்.
 இறுதியாக கொத்தமல்லி இலை தூவி எடுத்துவைக்கவும்.
மிக்ஸியில் புதினா இலை, கொத்தமல்லி இலை, பெரிய வெங்காயம்,
இஞ்சி, பச்சை மிளகாய், கருப்பு உப்பு, சீரக தூள், உப்பு ,
எலுமிச்சைபழச்சாறு சேர்த்து அரைக்கவும்.
 இதில் தண்ணீருக்கு பதில் தயிர் சேர்த்து விழுதாக அரைக்கவும்.
இதில் செய்த காய்கறி பன்னீர் கலவை வைக்கவும்.
சிறிதளவு தயிர் புதினா சட்னி ஊற்றி, சப்பாத்தியை ரோல் செய்யவும்.
 வெஜிடபுள் பன்னீர் ரோல்ஸ் தயார். </t>
  </si>
  <si>
    <t>https://encrypted-tbn0.gstatic.com/images?q=tbn:ANd9GcRZeqznq9mMn6mvK4ZZrizjCApLe1SNQMwzCA&amp;s</t>
  </si>
  <si>
    <t>https://youtu.be/DDfq9O9GtNw?si=LGuAvFZmBg2777Ro</t>
  </si>
  <si>
    <t>Turam Dal - 1/2 tbsp,
Dengan - 6,
Whole Taniya - 1 tsp,
Cumin - 1 tsp,
Whole Pepper - 1 tsp,
Dried Chillies - 2,
Curry Leaves,
Garlic - 2 cloves,
Corn Powder - 1 pinch,
Tomatoes - 5,
Oil - 1 tbsp,
Mustard - 1/2 tsp,
Cumin - 1/2 tsp,
Dried Chillies - 2,
Grated Garlic - 2 cloves,
Turmeric Powder - 1/4 tsp,
Tamarind Solution - 1/2 cup (with water added),
Garlic Powder - 1 tsp,
Water - 2 1/2 cups,
Ghee - 1 tsp,
Corn Powder.- 1 pinch ,
Curry leaves,
Chopped coriander leaves.</t>
  </si>
  <si>
    <t>துவரம் பருப்பு - 1/2 மேசைக்கரண்டி,
வெந்தயம் - 6,
முழு தனியா - 1 தேக்கரண்டி,
சீரகம் - 1 தேக்கரண்டி,
முழு மிளகு - 1 தேக்கரண்டி,
காய்ந்த மிளகாய் - 2,
கறிவேப்பில்லை,
பூண்டு - 2 பற்கள்,
பெருங்காயத்தூள் - 1 சிட்டிகை,
தக்காளி - 5,
எண்ணெய் - 1 மேசைக்கரண்டி,
கடுகு - 1/2 தேக்கரண்டி,
சீரகம் - 1/2 தேக்கரண்டி,
காய்ந்த மிளகாய் - 2,
தட்டிய பூண்டு - 2 பற்கள்,
மஞ்சள் தூள் - 1/4 தேக்கரண்டி,
புளி கரைசல் - 1/2 கப் (தண்ணீர் சேர்த்தது),
கல்லுப்பு - 1 தேக்கரண்டி,
தண்ணீர்  - 2 1/2 கப்,
நெய் - 1 தேக்கரண்டி,
பெருங்காயத்தூள்.- 1 சிட்டிகை ,
கறிவேப்பில்லை,
கொத்தமல்லி இலை நறுக்கியது.</t>
  </si>
  <si>
    <t>In a pan, fry the lentil, fenugreek, whole fenugreek, cumin, whole pepper, dried chilies, curry leaves, garlic, and ginger powder without oil.
Cool the fried ingredients and grind them into powder. Rasam powder is ready.
Pour oil in a pan, add mustard, cumin, dried chilies, garlic, ginger powder, curry leaves and fry them.
Add chopped tomatoes to it.
Next, add turmeric powder, cardamom powder, and tamarind solution and boil for 5 minutes.
Then add rasam powder and water to it and boil.
Finally, add coriander leaves and ghee and cover for 5 minutes.
Tomato rasam is ready.</t>
  </si>
  <si>
    <t xml:space="preserve">கடாயில் எண்ணெய் இன்றி, துவரம் பருப்பு, வெந்தயம், முழு தனியா, சீரகம், முழு மிளகு, காய்ந்த மிளகாய், கறிவேப்பில்லை, பூண்டு, பெருங்காயத்தூள் சேர்த்து வறுக்கவும்.
வறுத்த பொருட்களை ஆறவிட்டு, பொடியாக அரைக்கவும். ரசப்பொடி தயார்.
 கடாயில் எண்ணெய் ஊற்றி, இதில் கடுகு, சீரகம், காய்ந்த மிளகாய், பூண்டு, பெருங்காயத்தூள், கறிவேப்பில்லை போட்டு கிண்டவும்.
இதில் நறுக்கிய தக்காளி சேர்க்கவும்.
அடுத்து இதில் மஞ்சள் தூள், கல்லுப்பு, புளி கரைசல் சேர்த்து 5 நிமிடம் கொதிக்கவிடவும்.
 பின் இதில் ரசப்பொடி மற்றும் தண்ணீர் சேர்த்து கொதிக்கவிடவும்.
 கடைசியாக கொத்தமல்லி இலை மற்றும் நெய் சேர்த்து 5 நிமிடம் மூடி வைக்கவும்.
தக்காளி ரசம் தயார். </t>
  </si>
  <si>
    <t>https://i.ytimg.com/vi/_9P3Hn9vmkU/hq720.jpg?sqp=-oaymwEhCK4FEIIDSFryq4qpAxMIARUAAAAAGAElAADIQj0AgKJD&amp;rs=AOn4CLCnDF-4ImIyY2PeldISGDcwoDKuWg</t>
  </si>
  <si>
    <t>https://youtu.be/oGW6RZKW3gw?si=q23ktxwOc334mcjI</t>
  </si>
  <si>
    <t>Kuska</t>
  </si>
  <si>
    <t>குஸ்கா</t>
  </si>
  <si>
    <t>Small onion - 6,
Garlic - 7 cloves,
Ginger - 1 piece,
Green chili - 4,
Coriander leaves,
Mint leaves,
Biryan leaves,
Baking powder,
Cardamom,
Cloves,
Pineapple blossom,
Nutmeg,
Ghee,
Small onion - 3 chopped,
Green chili - 1,
Yogurt - 1/2 cup,
Salt,
Basmati rice - 1 cup,
Onion - 1 chopped
Tomato - 1 chopped,
Chili powder - 2 teaspoons,
Turmeric powder - 1/2 teaspoon,
Coriander powder - 1 teaspoon,
Yogurt - 1/4 cup,
Stone moss,
Water,
Salt.</t>
  </si>
  <si>
    <t>சிறிய வெங்காயம் - 6,
பூண்டு - 7 பற்கள்,
இஞ்சி -  1 துண்டு, 
பச்சை மிளகாய் - 4, 
கொத்தமல்லி இலை,
புதினா இலை,
பிரியாணி இலை,
பட்டை ,
ஏலக்காய்,
கிராம்பு ,
அன்னாசி பூ ,
ஜாதிக்காய் ,
நெய் ,
சிறிய வெங்காயம்  - 3 நறுக்கியது,
பச்சை மிளகாய் - 1 ,
தயிர் - 1/2 கப்,
உப்பு,
பாஸ்மதி அரிசி - 1 கப்,
வெங்காயம் - 1 நறுக்கியது
தக்காளி - 1 நறுக்கியது,
மிளகாய் தூள் - 2 தேக்கரண்டி,
மஞ்சள் தூள் - 1/2 தேக்கரண்டி,
கொத்தமல்லி தூள் - 1 தேக்கரண்டி,
தயிர் - 1/4 கப்,
கல் பாசி ,
தண்ணீர், 
உப்பு.</t>
  </si>
  <si>
    <t>First, soak the basmati rice in water for thirty minutes.
Next, prepare the masala paste for the kuska.
In a pan, fry the ghee, bay leaves, cloves, cardamom, mace, grated nutmeg, small onion, garlic, ginger, green chillies, coriander leaves, mint leaves, and let it cool for a while and then grind it.
Next, in a cooker, fry the ghee, biryani leaves, pineapple blossoms, cloves, cardamom, stone moss, and finely chopped large onion until they change color.
Once the onion turns golden brown, add finely chopped tomatoes, turmeric powder, chilli powder, salt, and coriander powder and fry well.
Add the ground masala paste to this fry and fry until the green color disappears.
Add a little yogurt to this and mix. Add soaked basmati rice and required amount of water to this mixture and cook until two whistles.
After two whistles, open the cooker after some time.
Delicious and delicious kuska is ready.
Serve this kuska with curd and serve.</t>
  </si>
  <si>
    <t>முதலில் பாஸ்மதி அரிசியை முப்பது நிமிடம் தண்ணீரில் ஊறவைக்க வேண்டும். 
அடுத்தது குஸ்காவிற்கு மசாலா பேஸ்ட் தயார் செய்ய வேண்டும். 
கடாயில் நெய், பட்டை, கிராம்பு, ஏலக்காய், ஜாவித்ரி, துருவிய ஜாதிக்காய், சிறிய வெங்காயம், பூண்டு, இஞ்சி, பச்சை மிளகாய், கொத்தமல்லி இலை, புதினா இலை, ஆகியவற்றை வறுத்த பின்பு சிறிது நேரம் ஆறவிட்டு அரைத்துக்கொள்ளவும். 
அடுத்து ஒரு குக்கரில் நெய், பிரியாணி இலை, அன்னாசி பூ, கிராம்பு, ஏலக்காய், கல் பாசி ,பொடியாக நறுக்கிய பெரிய வெங்காயம் ஆகியவற்றை நிறம் மாறும் வரை வதக்கவும். 
வெங்காயம் பொன்னிறமானவுடன் பொடியாக நறுக்கிய தக்காளி, மஞ்சள் தூள், மிளகாய் தூள், உப்பு, மல்லி தூள் சேர்த்து நன்கு வதக்கவும். 
இந்த வதக்கியவற்றில் அரைத்து வைத்த மசாலா பேஸ்ட் சேர்த்து பச்சை மனம் போகும் வரை வதக்கவும். 
இதனுடன் தயிர் சிறிதளவு சேர்த்து கலக்கவும். இந்த கலவையில் ஊற வைத்த பாஸ்மதி அரிசி மற்றும் தேவையான அளவு தண்ணீர்  சேர்த்து இரண்டு விசில் வரும் வரை வேக வைக்கவும். 
இரண்டு விசில் வந்த பிறகு சிறிது நேரம் கழித்து குக்கரை திறக்கவும். 
அருமையான சுவையான குஸ்கா தயார். 
இந்த குஸ்காவிற்கு தயிர் பச்சடி சேர்த்து சாப்பிடவும்.</t>
  </si>
  <si>
    <t>https://encrypted-tbn0.gstatic.com/images?q=tbn:ANd9GcR3E9pjHhoYUWmeXbEMjIEuEeI4oFBYcuvRWA&amp;s</t>
  </si>
  <si>
    <t>https://youtu.be/cV2jhRp8Od8?si=f2K_j3TnQT914dcQ</t>
  </si>
  <si>
    <t>Ceylon Parotta</t>
  </si>
  <si>
    <t>சிலோன் பரோட்டா</t>
  </si>
  <si>
    <t>Flour - 2 cups,
Salt,
Sugar - 1 teaspoon,
Egg - 1,
Oil,
Water.</t>
  </si>
  <si>
    <t>மைதா - 2 கப்,
உப்பு,
சர்க்கரை - 1 தேக்கரண்டி,
முட்டை - 1,
எண்ணெய்,
தண்ணீர்.</t>
  </si>
  <si>
    <t>To make the dough for Ceylon Parotta, mix the flour, salt, and sugar in a bowl.
Add one egg to this dough and knead it well.
Next, gradually add the required amount of water to this dough and knead it well.
After kneading the dough well, cover it for thirty minutes.
After thirty minutes, apply oil to the dough, knead it for ten minutes, and cover it for another hour.
After an hour, divide the dough into small balls, apply oil on the dough ball, and cover it for another hour.
After an hour, place the dough ball on a rolling pin and knead it well with your hands.
After kneading the dough well, fold its edges on all four sides.
Next, heat a tawa and place this paratha in it, add a little oil and fry it till it turns golden brown on both sides.
Hot and super easy Ceylon paratha is ready.</t>
  </si>
  <si>
    <t>சிலோன் பரோட்டாவிற்கு  மாவு பிசைவதற்கு ஒரு பாத்திரத்தில் மைதா மாவு, தேவையான அளவு உப்பு, சர்க்கரை சேர்த்து கலக்கவும். 
 இந்த மாவில் ஒரு முட்டை அதை சுற்றி எண்ணெய் விட்டு நன்கு பிசையவும். 
அடுத்து இந்த மாவிற்கு தேவையான அளவு தண்ணீரை படிப்படியாக சேர்த்து நன்கு பிசையவும். 
மாவை நன்கு பிசைந்த பின்பு அதை முப்பது நிமிடம் மூடிவைக்கவும். 
 முப்பது நிமிடம் கழித்து  மாவை சுற்றி எண்ணெய் தடவி ஒரு பத்து நிமிடத்திற்கு பிசைந்து மேலும் ஒரு மணி நேரம் மூடிவைக்கவும். 
ஒரு மணி நேரம் கழித்து மாவை சிறு சிறு உருண்டைகளாக பிரித்து வைத்து மாவு உருண்டை மீது எண்ணெய் தடவி மேலும் ஒரு மணி நேரம் மூடிவைக்கவும். 
ஒரு மணி நேரம் கழித்து மாவு உருண்டையை தேய்க்கும் கல்லில் வைத்து கைகளால் நன்கு மெலிதாக தேய்க்கவும். 
மாவை நன்கு மெலிதாக தேய்த்த பின்பு அதன் ஓரங்களை நான்கு புறமும் மடிக்கவும். 
அடுத்து ஒரு தவாவை சூடு செய்து இந்த பரோட்டாவை வைத்து சிறிது எண்ணெய் சேர்த்து இரு புறமும் பொன்னிறமாகும் வரை சூடவும். 
 சூடான மற்றும் மிகையும் எளிமையான சிலோன் பரோட்டா தயார்.</t>
  </si>
  <si>
    <t>https://i.ytimg.com/vi/71B35-pDB-0/sddefault.jpg</t>
  </si>
  <si>
    <t>https://youtu.be/cVy6LH65i7E?si=pGuWzk7Z7Egd5P6y</t>
  </si>
  <si>
    <t>Boiled rice - 2 cups,
Turmeric powder - 1/4 teaspoon,
Salt,
Lemon juice - 1 fruit,
Oil - 1 teaspoon,
Oil - 2 teaspoons,
Peanuts - 1 teaspoon,
Ultra seeds - 1 teaspoon,
Mustard - 1 teaspoon,
Peanuts - a little,
Cashew nuts - a little,
Dried chilies - 3,
Corn powder - 1/4 teaspoon,
Curry leaves - a little,
Green chilies - 3 grated,
Ginger - finely chopped.</t>
  </si>
  <si>
    <t>வேகவைத்த சாதம் - 2 கப்,
மஞ்சள் தூள் - 1/4 தேக்கரண்டி,
உப்பு,
எலுமிச்சை சாறு - 1 பழம்,
எண்ணெய் - 1 தேக்கரண்டி,
எண்ணெய் - 2 தேக்கரண்டி,
கடலை பருப்பு - 1 தேக்கரண்டி,
உளுத்தம் பருப்பு - 1 தேக்கரண்டி,
கடுகு - 1 தேக்கரண்டி,
வேர்க்கடலை - சிறிதளவு,
முந்திரி பருப்பு - சிறிதளவு,
காய்ந்த மிளகாய் - 3,
பெருங்காயத்தூள் - 1/4 தேக்கரண்டி,
கறிவேப்பில்லை - சிறிதளவு,
பச்சை மிளகாய் - 3 கீறியது,
இஞ்சி - சிறிய துண்டு பொடியாக நறுக்கியது.</t>
  </si>
  <si>
    <t>In a bowl, combine the boiled rice, turmeric powder, salt, lemon juice and oil.
Pour oil into a pan and add the peanuts, ultra seeds and mustard seeds.
When the mustard starts to fry, add peanuts, cashew nuts, dried chilies, garam masala powder, curry leaves and stir.
Next add green chilies and ginger and stir.
Finally add the mixed rice and stir.
Check the salt in it.
Delicious lemon rice is ready.</t>
  </si>
  <si>
    <t>பாத்திரத்தில், வேகவைத்த சாதம், மஞ்சள் தூள், உப்பு, எலுமிச்சை பழச்சாறு மற்றும் எண்ணெய் சேர்த்து கலந்து வைக்கவும்.
கடாயில் எண்ணெய் ஊற்றி, இதில் கடலை பருப்பு, உளுந்தம் பருப்பு, கடுகு போடவும்.
கடுகு பொரிய ஆரம்பித்ததும், இதில் வேர்க்கடலை, முந்திரி பருப்பு, காய்ந்த மிளகாய், பெருங்காயத்தூள், கறிவேப்பில்லை போட்டு கிளறவும்.
அடுத்து இதில் பச்சை மிளகாய் மற்றும் இஞ்சி போட்டு கிளறவும்.
இறுதியாக இதில் கலந்த சாதம் சேர்த்து கிளறவும்.
இதில் உப்பு சரிபார்க்கவும்.
அருமையான எலுமிச்சை சாதம் தயார்.</t>
  </si>
  <si>
    <t>https://encrypted-tbn0.gstatic.com/images?q=tbn:ANd9GcSJLd38g-wvwHCm0_FWVzhcsqh80vjcx7y0wQ&amp;s</t>
  </si>
  <si>
    <t>https://youtu.be/ckcP5QgiLYA?si=ZUY2yMawkFI-UPvK</t>
  </si>
  <si>
    <t>Chicken Sukka</t>
  </si>
  <si>
    <t>சிக்கன் சுக்கா</t>
  </si>
  <si>
    <t>Dhaniya - 1 tbsp,
Cumin - 1 tsp,
Asimu - 1 tsp,
Pepper - 1 tsp,
Baking powder - 1 piece,
Cloves - 5,
Dried red chillies - 8,
Oil - 2 tbsp,
Onion - 2,
Garlic - 3 cloves,
Ginger - 1 piece,
Tamarind - a little,
Grated coconut - 2 tbsp,
Turmeric powder - 1/4 tsp,
Rock salt - 1/2 tsp,
Water,
Coconut oil - 2 tbsp,
Cardamom - 3,
Large onion - 2 finely chopped,
Green chillies - 3 chopped,
Chicken - 1 kg,
Water - 1/2 cup,
Salt - as required,
Curry leaves.</t>
  </si>
  <si>
    <t>தனியா - 1 மேசைக்கரண்டி,
சீரகம் - 1 தேக்கரண்டி,
சோம்பு - 1 தேக்கரண்டி,
மிளகு - 1 தேக்கரண்டி,
பட்டை - 1 துண்டு,
கிராம்பு - 5,
காய்ந்த சிவப்பு மிளகாய் - 8 ,
எண்ணெய் - 2 தேக்கரண்டி,
வெங்காயம் - 2, 
பூண்டு - 3 பற்கள்,
இஞ்சி - 1 துண்டு,
புளி - சிறிதளவு,
துருவிய தேங்காய் - 2 மேசைக்கரண்டி,
மஞ்சள் தூள் - 1/4 தேக்கரண்டி,
கல் உப்பு - 1/2 தேக்கரண்டி,
தண்ணீர்,
தேங்காய் எண்ணெய் - 2 மேசைக்கரண்டி,
ஏலக்காய்  - 3, 
பெரிய வெங்காயம் -  2 பொடியாக நறுக்கியது,
பச்சை மிளகாய் - 3 கீறியது, 
சிக்கன்  - 1 கிலோ,
தண்ணீர் - 1/2 கப்,
உப்பு - தேவைக்கு ஏற்ப,
கறிவேப்பிலை.</t>
  </si>
  <si>
    <t>First, to grind the spices, fry the cumin seeds, anise seeds, whole peppercorns, cardamom pods, cloves, and dried red chilies in a tawa without oil until golden brown and transfer to another vessel.
Pour a little oil into the same pan and fry the onion, ginger, garlic, and tamarind.
After the onion is fried, add the grated coconut and fry until golden brown.
Grind the fried spices into a powder in a mixer without oil. Next, add the fried onion mixture, turmeric powder, salt, and a little water to it and grind it to a paste.
Pour coconut oil into a pan and fry the cardamom, onion, green chilies, and curry leaves.
After the onion turns golden brown, add the chicken pieces and stir for five minutes.
Next, add the ground masala paste and a little water (washed in a mixer), stir well, cover the pan and let it boil for 20 minutes.
After 20 minutes, open the lid and let it cook until the water dries up and the oil separates.
Finally, sprinkle some curry leaves and serve.
Spicy chicken chukka is ready.</t>
  </si>
  <si>
    <t>முதலில் மசாலா அரைக்க ஒரு தவாவில் எண்ணெய் இன்றி தனியா, சீரகம், சோம்பு, முழு மிளகு, பட்டை, கிராம்பு, காய்ந்த சிவப்பு மிளகாய் சேர்த்து பொன்னிறமாகும் வரை வறுத்து வேறு பாத்திரத்திற்கு மாற்றவும்.
அதே கடாயில் சிறிது எண்ணெய் ஊற்றி, வெங்காயம், இஞ்சி, பூண்டு மற்றும் புளி சேர்த்து வதக்கவும்.
வெங்காயம் வதங்கிய பிறகு துருவிய தேங்காய் சேர்த்து பொன்னிறமாகும் வரை வதக்கவும்.
ஒரு மிக்ஸியில் எண்ணையின்றி வறுத்த மசாலாக்களை பொடியாக அரைக்கவும். அடுத்து அதில் வதக்கிய வெங்காய கலவை, மஞ்சள் தூள், உப்பு, சிறிதளவு தண்ணீர் ஊற்றி விழுதாக அரைக்கவும்.
 ஒரு கடாயில் தேங்காய் எண்ணெய் ஊற்றி அதில் ஏலக்காய், வெங்காயம், பச்சை மிளகாய், கறிவேப்பிலை சேர்த்து வதக்கவும்.
வெங்காயம் பொன்னிறமான பிறகு அதில் சிக்கன் துண்டுகளை சேர்த்து ஐந்து நிமிடங்கள் கிளறவும்.
அடுத்து அரைத்த மசாலா விழுது மற்றும் சிறிது தண்ணீர் (மிக்ஸியில் கழுவிய) சேர்த்து நன்கு கிளறி, கடாயை மூடி 20 நிமிடங்கள் கொதிக்க விடவும்.
 20 நிமிடங்கள் கழித்து கடையை திறந்து வைத்து, தண்ணீர் வற்றி எண்ணெய் பிரியும் வரை வேக வைக்கவும்.
 கடைசியில் சிறிது கறிவேப்பிலை தூவி இறக்கவும்.
காரமான சிக்கன் சுக்கா தயார்.</t>
  </si>
  <si>
    <t>https://encrypted-tbn0.gstatic.com/images?q=tbn:ANd9GcQJ4YS69YwYAaYeWLIPEv3EdUKaIMMF-Vfwxg&amp;s</t>
  </si>
  <si>
    <t>https://youtu.be/UXxpc2hD1Jo?si=cgUUCCU4tYV5B6zQ</t>
  </si>
  <si>
    <t>Onion Tomato Paratha</t>
  </si>
  <si>
    <t>வெங்காயம் தக்காளி பராத்தா</t>
  </si>
  <si>
    <t>Wheat flour - 2 cups,
Oatmeal - 1/2 teaspoon,
Salt - 1/2 teaspoon,
Water,
Oil - 1 tablespoon,
Garlic - 5 cloves finely chopped,
Onion - 1 finely chopped,
Green chillies - 2 finely chopped,
Tomatoes - 2 finely chopped,
Salt - as required,
Turmeric powder - 1/2 teaspoon,
Cereal powder - 1/2 teaspoon,
Dhaniya powder - 1/2 teaspoon,
Kashmiri chilli powder - 2 teaspoons,
Coriander leaves,
Yogurt - 200 ml,
Chaat masala powder - 1/2 teaspoon,
Chili powder - 1/2 teaspoon,
Salt - as required,
Coriander leaves.</t>
  </si>
  <si>
    <t>கோதுமை மாவு - 2 கப்,
ஓமம் - 1/2 தேக்கரண்டி, 
உப்பு - 1/2 தேக்கரண்டி, 
தண்ணீர்,
எண்ணெய் - 1 மேசைக்கரண்டி, 
பூண்டு - 5 பற்கள் பொடியாக நறுக்கியது,
வெங்காயம் - 1பொடியாக நறுக்கியது,
பச்சை மிளகாய் - 2 பொடியாக நறுக்கியது,
தக்காளி - 2 பொடியாக நறுக்கியது,
உப்பு - தேவைக்கு ஏற்ப,  
மஞ்சள் தூள் - 1/2 தேக்கரண்டி,
சீரக தூள் - 1/2 தேக்கரண்டி,
தனியா தூள் - 1/2 தேக்கரண்டி,
கஷ்மீரி மிளகாய் தூள் - 2 தேக்கரண்டி,
கொத்துமல்லி இலை ,
தயிர் - 200 மில்லி,
சாட் மசாலா தூள் - 1/2 தேக்கரண்டி,
மிளகாய் தூள் - 1/2 தேக்கரண்டி,
உப்பு - தேவைக்கு ஏற்ப,
கொத்துமல்லி இலை.</t>
  </si>
  <si>
    <t>First knead the dough, in a wide bowl add wheat flour, omal and salt, add required amount of water and knead it.
Pour oil in a pan and add garlic, onion and green chilies and fry them till they change color and add tomatoes.
After the tomatoes are fried, add salt, turmeric powder, cumin powder, fenugreek powder, Kashmiri chili powder and fry them.
After the green color of the masala is gone, add chopped coriander and let the masala cool.
Next, make small balls from the kneaded dough and rub them with the prepared masala and cover them.
Place a pani paratha, pour oil and fry until golden brown on both sides. The paratha is ready.
To make the curd mixture, mix curd, chaat masala powder, Kashmiri chili powder and chopped coriander in a bowl and stir well. The masala curd is ready.</t>
  </si>
  <si>
    <t>முதலில் மாவு பிசைய, ஒரு அகல பாத்திரத்தில் கோதுமை மாவு, ஓமம் மற்றும் உப்பு சேர்த்து தேவையான அளவு தண்ணீர் ஊற்றி பிசைந்து எடுத்து வைக்கவும்.
ஒரு கடாயில் எண்ணெய் ஊற்றி பூண்டு, வெங்காயம் மற்றும் பச்சை மிளகாய் சேர்த்து நிறம்மாறும் வரை வதக்கி தக்காளி சேர்க்கவும்.
 தக்காளி வதங்கிய பின் உப்பு, மஞ்சள் தூள், சீரக தூள், தனியா தூள், காஷ்மீரி மிளகாய் தூள் சேர்த்து வதக்கவும்.
 மசாலாவில் உள்ள பச்சை மனம் நீங்கிய பின் நறுக்கிய கொத்தமல்லி சேர்த்து மசாலாவை ஆறவிடவும்.
அடுத்து பிசைந்த மாவிலிருந்து சிறு உருண்டைகள் எடுத்து தேய்த்து செய்த மசாலாவை உள்ளே வைத்து மூடி தேய்க்கவும் .
ஒரு பேனி பராத்தாவை இட்டு எண்ணெய் ஊற்றி இரண்டு புறமும் பொன்னிறமாக வரை சுடவும். பராத்தா தயார்.
 தயிர் கலவை செய்ய ஒரு கிண்ணத்தில் தயிர், சாட் மசாலா தூள், காஷ்மீரி மிளகாய் தூள் மற்றும் பொடியாக நறுக்கிய கொத்தமல்லி சேர்த்து நன்கு கிளறவும் மசாலா தயிர் தயார்.</t>
  </si>
  <si>
    <t>https://encrypted-tbn0.gstatic.com/images?q=tbn:ANd9GcT4PgbGOgPxsB5MTGTE1yiwMda2nfA5Cd7Lkw&amp;s</t>
  </si>
  <si>
    <t>https://youtu.be/pinmZVkiSD0?si=INKegdH53QnrWtMf</t>
  </si>
  <si>
    <t>Basmati rice - 1 cup (250 ml),
Grated coconut - 1 1/4 cups (250 ml),
Oil - 1 tablespoon,
Ghee - 1 teaspoon,
Ultra gram dal - 1/2 teaspoon,
Peanut dal - 1/2 teaspoon,
Cumin seeds - 1/2 teaspoon,
Mustard - 1/2 teaspoon,
Dried chilies - 3,
Curry powder - 1/4 teaspoon,
Ginger - 1 teaspoon chopped,
Green chilies - 2 chopped,
Roasted peanuts - 1 tablespoon,
Cashew nuts - 1 tablespoon,
Salt - 2 teaspoons.</t>
  </si>
  <si>
    <t>பாஸ்மதி அரிசி  - 1 கப்  (250 மில்லி கப்),
தேங்காய் துருவல் - 1 1/4 கப் (250 மில்லி கப்) ,
எண்ணெய் - 1 மேசைக்கரண்டி,
நெய் - 1 தேக்கரண்டி,
உளுத்தம் பருப்பு - 1/2 தேக்கரண்டி,
கடலை பருப்பு - 1/2 தேக்கரண்டி,
சீரகம் - 1/2 தேக்கரண்டி,
கடுகு - 1/2 தேக்கரண்டி,
காய்ந்த மிளகாய் - 3,
கறிவேப்பில்லை,
பெருங்காயத்தூள் - 1/4 தேக்கரண்டி,
இஞ்சி - 1 தேக்கரண்டி நறுக்கியது,
பச்சை மிளகாய் - 2 நறுக்கியது,
வறுத்த வேர்க்கடலை - 1 மேசைக்கரண்டி,
முந்திரி பருப்பு - 1 மேசைக்கரண்டி,
உப்பு - 2  தேக்கரண்டி.</t>
  </si>
  <si>
    <t>Wash the basmati rice well, add salt to the required amount of water, boil it, strain it and set aside.
Pour oil and ghee in a pan, add urad dal, gram dal, cumin seeds, mustard seeds, dried chillies, curry leaves and fry.
When the mustard seeds start to crackle, add turmeric powder, ginger, green chillies, peanuts and cashew nuts.
Fry until everything turns golden brown.
Next, add salt and grated coconut and stir.
Add boiled rice to it.
Finally, add grated coconut and stir.
Coconut rice is ready.</t>
  </si>
  <si>
    <t>பாஸ்மதி அரிசியை நன்கு கழுவி, தேவையான அளவு தண்ணீரில் உப்பு போட்டு, வேகவைத்து, வடிகட்டி எடுத்து வைக்கவும்.
 கடாயில் எண்ணெய் மற்றும் நெய் ஊற்றி, உளுத்தம் பருப்பு, கடலை பருப்பு, சீரகம், கடுகு, காய்ந்த மிளகாய், கறிவேப்பில்லை சேர்த்து கிண்டவும்.  
 கடுகு வெடிக்க ஆரம்பித்ததும், இதில் பெருங்காயத்தூள், இஞ்சி, பச்சை மிளகாய், வேர்க்கடலை, முந்திரி பருப்பு சேர்க்கவும்.
 அனைத்தும் பொன்னிறமாகும் வரை வறுக்கவும்.  
 அடுத்து இதில் உப்பு மற்றும், தேங்காய் துருவல் சேர்த்து கிளறவும்.
 இதில் வேகவைத்த சாதம் சேர்க்கவும்.
இறுதியாக இதில் துருவிய தேங்காய் சேர்த்து கிளறவும்.
 தேங்காய் சாதம் தயார்.</t>
  </si>
  <si>
    <t>https://images.boldsky.com/ta/img/2022/05/1-coconut-rice-1653661578.jpg</t>
  </si>
  <si>
    <t>https://youtu.be/C7vgDPKgwd4?si=e0khREFsC7DRfPGo</t>
  </si>
  <si>
    <t>Butter Naan</t>
  </si>
  <si>
    <t>பட்டர் நாண்</t>
  </si>
  <si>
    <t>Flour - 500 grams,
Salt - 1/2 teaspoon,
Baking powder - 1 teaspoon,
Baking soda - 1 teaspoon,
Sugar - 5 teaspoons,
Oil - 4 teaspoons,
Curd - 1 cup,
Warm water,
Butter,
Coriander leaves.</t>
  </si>
  <si>
    <t>மைதா - 500 கிராம்,
உப்பு - 1/2 தேக்கரண்டி,
பேக்கிங் பவுடர் - 1 தேக்கரண்டி,
பேக்கிங் சோடா - 1 தேக்கரண்டி,
சர்க்கரை - 5 தேக்கரண்டி,
எண்ணெய் - 4 தேக்கரண்டி,
தயிர் - 1 கப்,
சூடான தண்ணீர்,
வெண்ணெய்,
கொத்தமல்லி இலை.</t>
  </si>
  <si>
    <t>In a bowl, combine the flour, curd, sugar, salt, baking powder, baking soda, and oil.
Add warm water little by little and knead the dough to make a soft dough.
Grease the dough, cover, and let it soak for 30-45 minutes.
Take the soaked dough, roll it thinly, heat a tava, place the dough in it, and take it out when it is cooked on both sides.
To make butter naan, after cooking, spread ghee and serve.</t>
  </si>
  <si>
    <t xml:space="preserve">ஒரு பாத்திரத்தில் மைதா மாவு, தயிர், சர்க்கரை, உப்பு, பேக்கிங் பவுடர், பேக்கிங் சோடா, எண்ணெய் ஆகியவற்றைச் சேர்த்து கலக்கவும். 
சிறிது சிறிதாக வெதுவெதுப்பான தண்ணீரைச் சேர்த்து மாவை பிசறி, மென்மையாக மாவை தயார் செய்து கொள்ளவும். 
மாவை எண்ணெய்த் தடவி, மூடி, 30-45 நிமிடம் ஊறவைக்கவும். 
ஊற வைத்த மாவை எடுத்து, மெல்லியதாக உருட்டி, தவாவை சூடாக்கி, அதில் மாவை வைத்து இருபுறமும் வெந்ததும் எடுக்கவும். 
பட்டர் நாண் செய்ய, சமைத்த பின், நெய் தடவி பரிமாறவும். </t>
  </si>
  <si>
    <t>https://i.ytimg.com/vi/H3tW-UFSojU/maxresdefault.jpg</t>
  </si>
  <si>
    <t>https://youtu.be/9ovWjMxJXhM?si=839a1VUBZNEVG1e1</t>
  </si>
  <si>
    <t>Veg Fried Rice</t>
  </si>
  <si>
    <t>வெஜ் ஃப்ரைட் ரைஸ்</t>
  </si>
  <si>
    <t>Basmati rice - 1 cup,
Oil - 2 tablespoons,
Garlic - 1 tablespoon finely chopped,
Onion leaves - 1 cup finely chopped,
Carrot - 1 cup finely chopped,
Beans - 1 cup finely chopped,
Cabbage - 1 cup finely chopped,
Corn - 1 cup boiled,
Baby corn - 1/2 cup finely chopped,
Salt - as required,
Pepper powder - as required,
Soy sauce - 2 tablespoons,
Vinegar - 1 tablespoon,
Green onion leaves.</t>
  </si>
  <si>
    <t>பாஸ்மதி அரிசி - 1  கப்,
எண்ணெய்  - 2 மேசைக்கரண்டி, 
பூண்டு - 1 மேசைக்கரண்டி பொடியாக நறுக்கியது,
வெங்காயத்தாள் வெங்காயம் - 1 கப் பொடியாக நறுக்கியது,
கேரட் - 1 கப் பொடியாக நறுக்கியது,
பீன்ஸ் - 1 கப் பொடியாக நறுக்கியது,
முட்டைகோஸ் - 1 கப் பொடியாக நறுக்கியது,
சோளம் - 1 கப்  வேகவைத்தது, 
பேபி கார்ன் - 1/2 கப் நறுக்கியது,
உப்பு - தேவைக்கு ஏற்ப,
மிளகு தூள் - தேவைக்கு ஏற்ப,
சோயா சாஸ் - 2 மேசைக்கரண்டி, 
வினிகர் - 1 மேசைக்கரண்டி, 
வெங்காயத்தாள் பச்சை பாகம்.</t>
  </si>
  <si>
    <t>First, boil water in a vessel, add washed basmati rice and salt to it, strain it when it is three-fourth cooked and keep it aside.
Heat oil in a pan and add garlic, spring onion, carrot, beans, cabbage, corn and baby corn and sauté for 5 minutes.
Once the vegetables are cooked, add salt, pepper powder, soy sauce and vinegar and stir.
Next, add the cooked rice and stir.
Finally, chop the green part of the spring onion and add it to the rice and stir to combine.
Vegetable Fried Rice is ready.</t>
  </si>
  <si>
    <t>முதலில் ஒரு பாத்திரத்தில் தண்ணீரை கொதிக்க விட்டு அதில் கழுவிய பாஸ்மதி அரிசி மற்றும் உப்பு சேர்த்து முக்கால் பாகம் வெந்தவுடன் வடிகட்டி தனியாக எடுத்து வைக்கவும்.
ஒரு கடாயில் எண்ணெய் ஊற்றி பூண்டு, வெங்காயத்தாள் வெங்காயம், கேரட், பீன்ஸ், முட்டைகோஸ், சோளம் மற்றும் பேபி கார்ன் சேர்த்து 5 நிமிடங்கள் வதக்கவும்.
 காய்கறிகள் வெந்த பின் இதில் உப்பு, மிளகு தூள், சோயா சாஸ் மற்றும் வினிகர் சேர்த்து கிளறவும்.
அடுத்து வேக வைத்த சாதத்தை சேர்த்து கிளறவும்.
 இறுதியாக வெங்காயத்தாள் பச்சை பகுதியை நறுக்கி சாதத்துடன் சேர்த்து கிளறி இறக்கவும்.
வெஜிடபிள் ப்ரைட் ரைஸ் தயார்.</t>
  </si>
  <si>
    <t>https://youtu.be/hjKplpudr7Y?si=0ex6hjbBQHVTrIFd</t>
  </si>
  <si>
    <t>Indian Style Macaroni</t>
  </si>
  <si>
    <t>இந்தியன் ஸ்டைல் மேக்ரோனி</t>
  </si>
  <si>
    <t>Macaroni - 1 cup,
Onion - 2 chopped,
Tomato - 2 chopped,
Green chillies - 1/2 chopped,
Ginger garlic paste - 1 teaspoon,
Onion leaves - 1/2 cup,
Olive oil - 1 tablespoon,
Chili powder - 1 teaspoon,
Pepper powder - 1 teaspoon,
Salt - as required,
Tomato ketchup - 1 tablespoon,
Coriander leaves chopped.</t>
  </si>
  <si>
    <t>மேக்ரோனி - 1 கப்,
வெங்காயம் - 2 நறுக்கியது,
தக்காளி - 2 நறுக்கியது,
பச்சை குடைமிளகாய் - 1/2 நறுக்கியது,
இஞ்சி பூண்டு விழுது - 1 தேக்கரண்டி,
வெங்காயத்தாள் -  1/2  கப்,  
ஆலிவ் எண்ணெய் - 1 மேசைக்கரண்டி,
மிளகாய் தூள் - 1 தேக்கரண்டி,
மிளகு தூள் - 1 தேக்கரண்டி,
உப்பு - தேவையான அளவு,
தக்காளி கெட்சப் - 1 மேசைக்கரண்டி,
கொத்தமல்லி இலை நறுக்கியது.</t>
  </si>
  <si>
    <t>Boil the macaroni in hot water, drain and set aside.
Pour olive oil in a wide pan, add ginger garlic paste and sauté.
Next, add onion, green chillies, and sauté.
Add tomatoes, chili powder, salt, and pepper powder to this and sauté until the tomatoes are soft.
Next add tomato ketchup and onion leaves.
Finally add boiled macaroni.
Sprinkle chopped coriander leaves and serve.</t>
  </si>
  <si>
    <t xml:space="preserve">மேக்ரோனி'யை சூடு தண்ணீரில் போட்டு வேகவைத்து, வடிகட்டி, எடுத்து வைக்கவும்.
 அகல கடாயில் ஆலிவ் எண்ணெய் ஊற்றி, இஞ்சி பூண்டு விழுது சேர்த்து வதக்கவும்.
அடுத்து இதில் வெங்காயம், பச்சை குடைமிளகாய், சேர்த்து வதக்கவும்.
 இதில் தக்காளி, மிளகாய் தூள், உப்பு, மிளகு தூள் சேர்த்து, தக்காளி மசியும் வரை வதக்கவும்.
அடுத்து தக்காளி கெட்சப், வெங்காயத்தாள் சேர்க்கவும்.
 இறுதியாக இதில் வேகவைத்த மேக்ரோனி சேர்க்கவும்.
நறுக்கிய கொத்தமல்லி இலை தூவி பரிமாறவும். </t>
  </si>
  <si>
    <t>https://encrypted-tbn0.gstatic.com/images?q=tbn:ANd9GcShwbb8nSTucG_2uD85LywIV7LXwbTc35t-pQ&amp;s</t>
  </si>
  <si>
    <t>https://youtu.be/hpueLgVNpDA?si=LLsjZ7_i9D2Wnd2z</t>
  </si>
  <si>
    <t>Cumin Rice</t>
  </si>
  <si>
    <t>சீரக சாதம்</t>
  </si>
  <si>
    <t>Basmati rice - 1 cup,
Water,
Salt - 1 teaspoon,
Ghee - 2 teaspoons,
Cumin - 1 tablespoon,
Green chili - 1,
Coriander leaves.</t>
  </si>
  <si>
    <t>பாஸ்மதி அரிசி - 1 கப்,
தண்ணீர், 
உப்பு - 1  தேக்கரண்டி,
நெய் - 2  தேக்கரண்டி,
சீரகம் - 1 மேசைக்கரண்டி,
பச்சை மிளகாய் - 1, 
கொத்துமல்லி தழை.</t>
  </si>
  <si>
    <t>To make cumin rice, add ghee, cumin and finely chopped green chilies in a pan and mix well. Then add boiled basmati rice to it and stir well.
Hot cumin rice is ready.</t>
  </si>
  <si>
    <t xml:space="preserve">சீரக சாதம் செய்ய ஒரு கடாயில் நெய், சீரகம் மற்றும் பொடியாக நறுக்கிய பச்சை மிளகாய் சேர்த்து நன்கு கலந்த பின்பு வேகவைத்த பாசுமதி அரிசியை இதனுடன் சேர்த்து நன்கு கிளறவும். 
சூடான  சீரக சாதம் தயார்.
</t>
  </si>
  <si>
    <t>https://encrypted-tbn0.gstatic.com/images?q=tbn:ANd9GcSJsJHeAU6MYK0Azou4C2T9DhBInA2gOLiPqA&amp;s</t>
  </si>
  <si>
    <t>https://youtu.be/zw-PM5hBnAo?si=LNDgockFTdY2u7x-</t>
  </si>
  <si>
    <t>பிரின்ஜி சாதம்</t>
  </si>
  <si>
    <t>Baking, cloves,
Cardamom,
Cereals - 1/4 tsp,
Garlic - 3 cloves,
Ginger - 1 piece chopped,
Green chillies - 2 chopped,
Grated coconut - 1 tbsp,
Mint leaves,
Coriander leaves,
Water,
Basmati rice - 1 cup (250 ml cup),
Ghee - 1 1/2 tbsp,
Oil - 1 tbsp,
Baking, cloves,
Cardamom,
Pineapple blossom,
Garlic,
Biryani leaves,
Onion - 1 chopped,
Green chillies - 2 grated,
Ground masala paste,
Tomatoes - 2 chopped,
Potatoes - 1 cup chopped ,
Carrot - 1 chopped ,
Beans - 1 cup chopped,
Cauliflower - 1 cup chopped,
Green peas - 1/2 cup,
Salt - 1 teaspoon,
Mint leaves,
Coriander leaves,
Coconut milk with water - 2 cups.</t>
  </si>
  <si>
    <t>பட்டை, கிராம்பு,
 ஏலக்காய் ,
பெருஞ்சீரகம் - 1/4 தேக்கரண்டி,
பூண்டு - 3 பற்கள்,
இஞ்சி - 1 துண்டு நறுக்கியது,
பச்சை மிளகாய் - 2 நறுக்கியது,
துருவிய தேங்காய் - 1 மேசைக்கரண்டி ,
புதினா இலை,
கொத்துமல்லி இலை,
தண்ணீர்,
பாஸ்மதி அரிசி - 1 கப் (250 மில்லி கப்),
நெய் - 1 1/2 மேசைக்கரண்டி, 
எண்ணெய் - 1 மேசைக்கரண்டி,
பட்டை, கிராம்பு, 
ஏலக்காய் ,
அன்னாசி பூ, 
கல்பாசி,
பிரியாணி இலை,
வெங்காயம் - 1 நறுக்கியது,
பச்சை மிளகாய் - 2 கீறியது,
அரைத்த மசாலா விழுது ,
தக்காளி - 2 நறுக்கியது,
உருளைக்கிழங்கு - 1கப் நறுக்கியது ,
கேரட் - 1 நறுக்கியது ,
பீன்ஸ் - 1கப் நறுக்கியது,
காலிஃபிளவர் - 1கப் நறுக்கியது,
பச்சை பட்டாணி - 1/2 கப்,
உப்பு - 1 தேக்கரண்டி,
 புதினா இலை,
கொத்துமல்லி இலை,
நீர் சேர்த்த தேங்காய் பால் - 2 கப்.</t>
  </si>
  <si>
    <t>Wash the basmati rice and soak it for 30 minutes.
In a mixer, add the bark, cardamom, cloves,
fennel seeds, garlic, ginger, green chillies, grated
coconut, mint leaves, coriander leaves, add a little water and grind it into a fine paste.
In a pressure cooker, pour oil and ghee and add the bark, cardamom, cloves, pineapple blossom,
kalpasi, biryani leaves.
Now add the onion and green chillies and fry them well.
Now add the ground spices and fry them for 2 minutes.
Add tomatoes and fry on medium flame for 5 minutes.
Now add potatoes, cauliflower, carrots, beans, green peas and mix with spices.
Add salt and cook for 5 minutes.
Add mint and coriander leaves.
Now add soaked rice and mix with spices.
Pour coconut milk and mix well.
Cook on medium flame for 1 whistle.
Open the cooker after 10 minutes.
Brinjal rice is ready.</t>
  </si>
  <si>
    <t>பாஸ்மதி அரிசியை கழுவி 30 நிமிடங்கள் ஊற வைக்கவும்.
மிக்ஸியில் பட்டை, ஏலக்காய், கிராம்பு,
பெருஞ்சீரகம், பூண்டு, இஞ்சி, பச்சை மிளகாய், துருவிய
தேங்காய், புதினா இலை, கொத்தமல்லி இலையை போட்டு, சிறிது
தண்ணீர் சேர்த்து நன்றாக விழுதாக அரைக்கவும்.
பிரஷர் குக்ககரில், எண்ணெய் மற்றும் நெய் ஊற்றி
பட்டை, ஏலக்காய், கிராம்பு, அன்னாசி பூ,
கல்பாசி, பிரியாணி இலை சேர்க்கவும்.
இப்போது வெங்காயம் மற்றும் பச்சை மிளகாய் சேர்த்து
நன்றாக வதக்கவும்.
 இப்போது அரைத்த மசாலா சேர்த்து 2 நிமிடம்
வதக்கவும்.
தக்காளியை சேர்த்து மிதமான தீயில் 5 நிமிடங்கள் வதக்கவும்.
இப்போது உருளைக்கிழங்கு, காலிஃபிளவர், கேரட்,
பீன்ஸ், பச்சை பட்டாணி சேர்த்து மசாலாவுடன் கலக்கவும்.
 உப்பு சேர்த்து 5 நிமிடங்கள் வேகவைக்கவும்.
புதினா மற்றும் கொத்தமல்லி இலைகளை சேர்க்கவும்.
இப்போது ஊறவைத்த அரிசியைச் சேர்த்து மசாலாவுடன்
கலக்கவும்.
தேங்காய் பால் ஊற்றி நன்கு கலக்கவும்.
 மிதமான தீயில் 1 விசில் வேகவைக்கவும்.
10 நிமிடம் கழித்து குக்கரைத் திறக்கவும்.
 பிரின்ஜி சாதம் தயார்.</t>
  </si>
  <si>
    <t>https://i.ytimg.com/vi/J_hpUEAi_qo/hq720.jpg?sqp=-oaymwEhCK4FEIIDSFryq4qpAxMIARUAAAAAGAElAADIQj0AgKJD&amp;rs=AOn4CLAzIY-xLDdBgGD8caqKCUTA3PwblQ</t>
  </si>
  <si>
    <t>https://youtu.be/_3QhOUIIq8U?si=uTWSuHd68hGwplvm</t>
  </si>
  <si>
    <t>Potato Tham Biryani</t>
  </si>
  <si>
    <t>உருளைக்கிழங்கு தம் பிரியாணி</t>
  </si>
  <si>
    <t>Ginger - 1 piece,
Garlic - 2 cloves,
Green chilies - 2,
Red chilies - 2,
Yogurt - 1 tablespoon,
Mint leaves,
Coriander leaves,
Basmati rice - 200 ml,
Potatoes - 200 grams,
Ghee,
Oil,
Onions - 2,
Tomatoes - 3,
Turmeric powder - 1/4 teaspoon,
Pineapple blossom,
Cardamom, bark,
Cloves,
Biryani leaves,
Saffron,
Salt.</t>
  </si>
  <si>
    <t>இஞ்சி - 1 துண்டு,
பூண்டு - 2 பற்கள்,
பச்சை மிளகாய் - 2 ,
சிவப்பு மிளகாய் - 2, 
தயிர் - 1 மேசைக்கரண்டி,
புதினா இலைகள்,
கொத்துமல்லி தழை,
பாஸ்மதி அரிசி - 200 மில்லி,
உருளைக்கிழங்கு - 200 கிராம்,
நெய்,
எண்ணெய்,
வெங்காயம் - 2 ,
தக்காளி - 3,
மஞ்சள் தூள் - 1/4 தேக்கரண்டி,
அன்னாசி பூ, 
ஏலக்காய், பட்டை, 
கிராம்பு, 
பிரியாணி இலை, 
குங்குமப்பூ,
உப்பு.</t>
  </si>
  <si>
    <t>To make Potato Tham Biryani, first wash the basmati rice well and add required amount of water and soak it for thirty minutes.
Next, finely chop an onion and fry it.
Next, take boiled potatoes in a pan and fry them with a little salt until golden brown.
To cook the rice, pour water in a pan and heat it. Add the rind, cloves, cardamom, pineapple blossom, and bay leaf. Add the soaked rice to it and boil it for three-quarters of the time. Drain it and set aside.
Next, add saffron in hot milk and dissolve it.
To make the masala paste, grind garlic, ginger, dried red chilies, green chilies, coriander leaves, mint leaves, and yogurt in a mixer.
To cook the biryani, heat ghee in a pan and add the rind, cloves, cardamom, and chopped tomatoes and fry them well.
Add the ground masala paste to this mixture and fry until the green color disappears.
After the green color disappears, add the boiled potatoes and mix well.
Next, add fried onions to it and stir well. Then add boiled rice and spread it well.
Add dissolved saffron milk to it and add more fried onions and cover the pan for ten minutes.
After ten minutes, hot and delicious potato biryani is ready.</t>
  </si>
  <si>
    <t xml:space="preserve">உருளைகிழங்கு தம் பிரியாணி செய்ய முதலில் பாசுமதி அரிசியை  நன்கு கழுவி தேவையான அளவு தண்ணீர் சேர்த்து முப்பது நிமிடம் ஊறவைக்கவும். 
அடுத்து ஒரு வெங்காயத்தை மெல்லிதாக நறுக்கி அதை வறுத்து வைக்கவும். 
 அடுத்து ஒரு கடாயில் வேகவைத்த உருளைக்கிழங்கை எடுத்து சிறிதளவு உப்பு சேர்த்து பொன்னிறமாக வறுத்துக்கொள்ளவும். 
 அரிசியை சமைக்க ஒரு பாத்திரத்தில் தண்ணீர் ஊற்றி சூடேற்றிய பின்பு பட்டை, கிராம்பு, ஏலக்காய், அன்னாசி பூ, பிரியாணி இலை சேர்த்து அதனுடன் ஊறவைத்த அரிசியை சேர்த்து முக்கால் பாகம் வேகவைத்து அதை வடிகட்டி எடுத்து வைக்கவும். 
அடுத்து சூடான பாலில் குங்குமப்பூ சேர்த்து கரைத்து வைத்துக்கொள்ளவும். 
மசாலா விழுது தயாரிக்க,  மிக்ஸியில் பூண்டு, இஞ்சி, காய்ந்த சிவப்பு மிளகாய், பச்சை மிளகாய், கொத்தமல்லி இலை, புதினா இலை மற்றும் தயிர் சேர்த்து விழுதாக அரைத்துக்கொள்ளவும். 
பிரியாணி சமைக்க ஒரு கடாயில் நெய் சேர்த்து சூடேற்றிய பின்பு அதனுடன் பிரியாணி இலை, பட்டை, கிராம்பு, ஏலக்காய், பொடியாக நறுக்கிய தக்காளி சேர்த்து நன்கு வதக்கவும். 
இந்த கலவையில் அரைத்த மசாலா விழுது சேர்த்து பச்சை மனம் போகும் வரை வதக்கவும். 
பச்சை மனம் போன பின்பு இதில் வேகவைத்த உருளைகிழங்கு சேர்த்து நன்கு கலக்கவும். 
அடுத்து இதில் வறுத்த வெங்காயம் சேர்த்து நன்கு கிளறிய பின்பு வேகவைத்த அரிசியை சேர்த்து நன்கு பரப்பி விடவும். 
இதனுடன் கரைத்த குங்குமப்பூ பால் சேர்த்து மேலும் வறுத்த வெங்காயம் சேர்த்து கடாயை ஒரு பத்து நிமிடம் மூடிவைக்கவும். 
 பத்து நிமிடத்திற்கு பின்பு சூடான மற்றும் சுவையான உருளைகிழங்கு தம் பிரியாணி தயார்.
</t>
  </si>
  <si>
    <t>https://encrypted-tbn0.gstatic.com/images?q=tbn:ANd9GcSq--QpdyNCJrCo9JACBhIYKD3YvFgY2fO4rg&amp;s</t>
  </si>
  <si>
    <t>https://youtu.be/wsUYbSbm4es?si=dgLJq_dV3Ozg9sAT</t>
  </si>
  <si>
    <t>Chili Garlic Noodles</t>
  </si>
  <si>
    <t>சில்லி கார்லிக் நூடுல்ஸ்</t>
  </si>
  <si>
    <t>Hakka Noodles - 300 grams,
Water,
Salt - as required,
Oil - 2 tablespoons,
Garlic - 1 tablespoon finely chopped,
Large onion - 1 finely chopped,
Green chili - 2 finely chopped,
Carrot - 1 cup finely chopped,
Egg cabbage - 1 cup finely chopped,
Yellow chili - 1/2 finely chopped,
Red chili - 1/2 finely chopped,
Green chili - 1/2 finely chopped,
Scallion - finely chopped,
Vinegar - 2 tablespoons,
Soy sauce - 2 tablespoons,
Red chili sauce - 1 Tablespoon,
Green chili sauce - 1 tablespoon,
Pepper powder - 1 teaspoon,
Green onion.</t>
  </si>
  <si>
    <t>ஹக்கா நூடுல்ஸ் - 300 கிராம்,
தண்ணீர்,
உப்பு - தேவைக்கு ஏற்ப ,
எண்ணெய் - 2 மேசைக்கரண்டி,
பூண்டு - 1 மேசைக்கரண்டி பொடியாக நறுக்கியது,
பெரிய வெங்காயம் - 1 மெல்லியதாக நறுக்கியது,
பச்சை மிளகாய் - 2 பொடியாக நறுக்கியது,
கேரட் - 1 கப் பொடியாக நறுக்கியது,
முட்டை கோஸ் - 1 கப் பொடியாக நறுக்கியது,
மஞ்சள் குடைமிளகாய் - 1/2 பொடியாக நறுக்கியது,
சிவப்பு குடைமிளகாய் - 1/2 பொடியாக நறுக்கியது,
பச்சை குடைமிளகாய் - 1/2 பொடியாக நறுக்கியது,
வெங்காயத்தாள் வெங்காயம் - பொடியாக நறுக்கியது, 
வினிகர் - 2 தேக்கரண்டி,
சோயா சாஸ் - 2 மேசைக்கரண்டி,
ரெட் சில்லி சாஸ் - 1 மேசைக்கரண்டி,
கிரீன் சில்லி சாஸ் - 1 மேசைக்கரண்டி,
மிளகு தூள் - 1 தேக்கரண்டி, 
வெங்காயத்தாள் பச்சை.</t>
  </si>
  <si>
    <t>First, boil water in a vessel to boil the noodles, add salt and noodles to it. After the noodles are three-quarters cooked, drain them and add a little oil to prevent them from sticking and fry them.
Pour oil in another pan and add garlic, onion, and green chilies and sauté.
After the onion is sautéed, add carrots, cabbage, green chilies, red chilies, yellow chilies, and spring onions and sauté for 5 minutes.
Next, add vinegar, soy sauce, red chili sauce, green chili sauce, pepper, and salt as required and stir.
Add the boiled noodles and stir well.
Finally, chop the green part of the onion and sprinkle it on top.
The chili garlic noodles are ready.</t>
  </si>
  <si>
    <t xml:space="preserve">முதலில் நூடுல்சை வேகவைக்க ஒரு பாத்திரத்தில் தண்ணீரை கொதிக்க வைத்து அதில் உப்பு மற்றும் நூடுல்சை போடவும். நூடுல்ஸ் முக்கால் பாகம் வெந்த பின் அதை வடிகட்டி ஒட்டாமல் இருப்பதற்கு சிறிது எண்ணெய் ஊற்றி பிரட்டி கொள்ளவும்.
அடுத்த ஒரு கடாயில் எண்ணெய் ஊற்றி பூண்டு, பெரிய வெங்காயம், பச்சை மிளகாய் சேர்த்து வதக்கவும்.
 வெங்காயம் வதங்கிய பின், இதில் கேரட், முட்டைக்கோஸ், பச்சை குடைமிளகாய், சிவப்பு குடைமிளகாய், மஞ்சள் குடைமிளகாய், வெங்காயத்தாள் வெங்காயம் சேர்த்து 5 நிமிடங்கள் வதக்கவும்.
அடுத்து இதில் வினிகர், சோயா சாஸ், ரெட் சில்லி சாஸ், க்ரீன் சில்லி சாஸ், மிளகுத்தூள், தேவையான அளவு உப்பு சேர்த்து கிளறவும்.
இதில் வேக வைத்த நூடுல்ஸை சேர்த்து நன்கு கிளறவும்.
 கடைசியாக வெங்காயத்தாள் பச்சை பாகத்தை நறுக்கி தூவி இறக்கவும்.
 சில்லி கார்லிக் நூடுல்ஸ் தயார்.
</t>
  </si>
  <si>
    <t>https://media.maalaimalar.com/h-upload/2023/02/11/1834365-chilli-garlic-noodles.webp</t>
  </si>
  <si>
    <t>https://youtu.be/yfhbDhfWtIg?si=V1mEgl5c1_ckft4s</t>
  </si>
  <si>
    <t>Green Tomato Dal</t>
  </si>
  <si>
    <t>பச்சை தக்காளி பருப்பு</t>
  </si>
  <si>
    <t>Green tomatoes - 1/2 kg,
Masa Dal - 1/2 cup,
Garlic,
Green chilies - 3 chopped,
Turmeric powder - 1/2 tsp,
Thaniya powder - 1 tsp,
Salt,
Water,
Oil,
Garlic - 1/2 tsp,
Mustard - 1/2 tsp,
Cumin - 1/2 tsp,
Garlic - 3 cloves, chopped,
Dried chilies - 4,
Corn powder - 1/4 tsp,
Curry leaves.</t>
  </si>
  <si>
    <t>பச்சை தக்காளி - 1/2 கிலோ,
பாசி பருப்பு - 1 /2 கப்,
பூண்டு,
பச்சை மிளகாய் - 3 கீறியது,
மஞ்சள் தூள் - 1/2 தேக்கரண்டி,
தனியா தூள் - 1 தேக்கரண்டி,
உப்பு,
தண்ணீர்,
எண்ணெய் , 
உளுந்து - 1/2 தேக்கரண்டி,
கடுகு - 1/2 தேக்கரண்டி,
சீரகம் - 1/2 தேக்கரண்டி,
பூண்டு - 3 பற்கள் தட்டியது, 
காய்ந்த மிளகாய் - 4,
பெருங்காயத்தூள் - 1/4 தேக்கரண்டி,
கறிவேப்பிலை.</t>
  </si>
  <si>
    <t>In a cooker, add the lentils, garlic, turmeric powder, salt and
Water and mix well. Cover and cook until 1 whistle.
Then add the green tomatoes, green chilies, garlic,
Thaniya powder,
Thaniya powder and salt in a pan and mix well.
Cover the pan and cook for 15 minutes.
Add boiled lentils and water and cook for 5 minutes on medium heat.
Next, in a seasoning spoon, add oil, urad dal, cumin seeds, mustard seeds, crushed garlic, dried chilies, coriander powder, and curry leaves. Add it to the green tomato mixture and serve hot.</t>
  </si>
  <si>
    <t>குக்கரில் சிறுபருப்பு, பூண்டு, மஞ்சள் தூள், உப்பு மற்றும்
தண்ணீர் சேர்த்து கலந்து மூடி1 விசில் வரும் வரை வேகவிடவும்.
பின்பு கடாயில் பச்சை தக்காளி, பச்சை மிளகாய், பூண்டு,
மஞ்சள் தூள், தனியா தூள் மற்றும் உப்பு சேர்த்து நன்கு கலந்து
கடாயை மூடி15 நிமிடம் வேகவிடவும்.
இதில் வேகவைத்த பருப்பு மற்றும் தண்ணீர் சேர்த்து கலந்து 5
நிமிடம் மிதமான தீயில் வேகவைக்கவும்.
அடுத்து தாளிப்பு கரண்டியில் எண்ணெய், உளுந்து, சீரகம்,
கடுகு, இடித்த பூண்டு, மிளகாய் வற்றல், பெருங்காயத்தூள்
மற்றும் கறிவேப்பிலை சேர்த்து தாளித்து அதை பச்சை தக்காளி
கலவையில் சேர்த்து கலந்து சூடாக பரிமாறவும்.</t>
  </si>
  <si>
    <t>https://i.ytimg.com/vi/Tx45UqAP0Qg/hq720.jpg?sqp=-oaymwEhCK4FEIIDSFryq4qpAxMIARUAAAAAGAElAADIQj0AgKJD&amp;rs=AOn4CLCst7aSqsycR7dlhRJrVrr2psLjmg</t>
  </si>
  <si>
    <t>https://youtu.be/tSu9X_mTnVw?si=H701m2a-TuPCGC6e</t>
  </si>
  <si>
    <t>Spiced Egg Wrap</t>
  </si>
  <si>
    <t>மசாலா முட்டை ராப்</t>
  </si>
  <si>
    <t>Onion - 1 cup finely chopped,
Cabbage - 1 cup shredded,
Green bell pepper - 1/2 cup finely chopped,
Red bell pepper - 1/2 cup finely chopped,
Mayonnaise - 2 tablespoons,
Hot sauce - 3 tablespoons,
Salt - 1/4 teaspoon,
Chili powder,
Egg - 1,
Turmeric powder - 1/4 teaspoon,
Chili powder - 1/4 teaspoon,
Green bell pepper - chopped,
Onion - chopped,
Salt - 1/4 teaspoon,
Egg mixture,
Chapathi,
Pooranam.</t>
  </si>
  <si>
    <t>வெங்காயம் - 1 கப் மெல்லியதாக நறுக்கியது,
முட்டைகோஸ் - 1 கப் துருவியது,
பச்சை குடைமிளகாய் - 1/2 கப் மெல்லியதாக நறுக்கியது,
சிவப்பு குடைமிளகாய் - 1/2 கப் மெல்லியதாக நறுக்கியது,
மயோனைஸ் - 2 மேசைக்கரண்டி,
ஹாட் சாஸ் - 3 தேக்கரண்டி,
உப்பு - 1/4 தேக்கரண்டி,
மிளகு தூள்,
முட்டை - 1,
மஞ்சள் தூள் - 1/4 தேக்கரண்டி,
மிளகாய் தூள் - 1/4 தேக்கரண்டி,
பச்சை மிளகாய் -  நறுக்கியது,
வெங்காயம் -  நறுக்கியது,
உப்பு - 1/4 தேக்கரண்டி,
முட்டை கலவை,
சப்பாத்தி,
பூரணம்.</t>
  </si>
  <si>
    <t>To make the spiced egg wrap, combine the chopped onion, shredded cabbage, chopped green bell pepper, chopped red bell pepper in a bowl and mix.
Add salt, pepper powder, mayonnaise and hot sauce to it and mix well.
In another bowl, break the egg and pour it, add salt, turmeric powder, chili powder, chopped onion, chopped green chili and mix well.
Next, put the chapati on the dosa stone and pour the egg mixture on it and cover it and cook. When one side is cooked, turn it over and cook the other side.
Then, put the filling on the chapati and roll it up and stick it with a stick.
The masala egg wrap is now ready, serve it hot.</t>
  </si>
  <si>
    <t>மசாலா முட்டை ராப் செய்வதற்கு ஒரு பாத்திரத்தில் நறுக்கிய வெங்காயம், துருவிய முட்டைகோஸ், நறுக்கிய பச்சை குடைமிளகாய், நறுக்கிய சிவப்பு குடைமிளகாய் சேர்த்து கலந்துவிடவும்.
அதில் உப்பு, மிளகு தூள், மயோனைஸ் மற்றும் ஹாட் சாஸ் சேர்த்து நன்கு
கலந்துவிடவும்.
 இன்னொரு பாத்திரத்தில் முட்டையை உடைத்து ஊற்றி, உப்பு, மஞ்சள் தூள், மிளகாய் தூள்,
நறுக்கிய வெங்காயம், நறுக்கிய பச்சை மிளகாய் சேர்த்து நன்கு கலக்கவும்.
அடுத்து தோசை கல்லில் சப்பாத்தி போட்டு அதின் மேல் முட்டை கலவையை ஊற்றி மூடி வேகவிடவும். ஒரு பக்கம் வெந்ததும் மறுபக்கம் திருப்பி போட்டு வேகவிடவும்.
 பிறகு சப்பாத்தியின் மேல், பூரணத்தை வைத்து சுருட்டி, குச்சியை வைத்து குத்தி வைக்கவும்.
மசாலா முட்டை ராப் இப்போது தயார், சூடாக பரிமாறவும்.</t>
  </si>
  <si>
    <t>https://encrypted-tbn0.gstatic.com/images?q=tbn:ANd9GcQiUOYToS6yFj4E89qw5tLuE9ZrC5zNSPr5rw&amp;s</t>
  </si>
  <si>
    <t>https://youtu.be/edc7aH0rdhM?si=_AQ50zK4quPZPhAy</t>
  </si>
  <si>
    <t>Boiled rice - 2 cups,
Curd - 1 cup,
Milk - 1/2 cup,
Salt - as required,
Oil - 2 tablespoons,
Mustard - 1/2 teaspoon,
Peanuts - 1 teaspoon,
Ultra seeds - 1 teaspoon,
Ginger - 1 piece chopped,
Green chili - 1 chopped,
Curry powder,
Coriander leaves,
Pomegranate seeds.</t>
  </si>
  <si>
    <t>வேகவைத்த சாதம் - 2 கப்,
கெட்டி தயிர் - 1 கப்,
பால் - 1/2 கப்,
உப்பு - தேவையான அளவு,
எண்ணெய் - 2 தேக்கரண்டி,
கடுகு - 1/2 தேக்கரண்டி,
கடலை பருப்பு - 1 தேக்கரண்டி,
உளுத்தம் பருப்பு - 1 தேக்கரண்டி,
இஞ்சி - 1 துண்டு நறுக்கியது,
பச்சை மிளகாய் - 1 பொடியாக நறுக்கியது,
கறிவேப்பில்லை,
கொத்தமல்லி இலை,
மாதுளை விதைகள்.</t>
  </si>
  <si>
    <t>Mash the cooked rice lightly.
Once the mashed rice has cooled, add curd to it and stir.
Next, pour milk into it and stir.
Add salt and stir.
Pour oil in a pan, add mustard seeds, gram flour, urad dal, ginger, green chillies, curry leaves and season.
Add the seasoned ingredients to the curd rice and stir.
Sprinkle coriander leaves and pomegranate seeds on top and serve.</t>
  </si>
  <si>
    <t>வேகவைத்த சாதத்தை லேசாக மசித்து கொள்ளவும்.
மசித்த சாதம் ஆறியதும், இதில் கெட்டி தயிர் சேர்த்து கிளறவும்.
 அடுத்து இதில் பால் ஊற்றி கிண்டவும்.
இதை உப்பு சேர்த்து கிளறி வைக்கவும்.
கடாயில் எண்ணெய் ஊற்றி, இதில் கடுகு, கடலை பருப்பு, உளுத்தம் பருப்பு, இஞ்சி, பச்சை மிளகாய், கறிவேப்பில்லை போட்டு தாளிக்கவும்.
தாளித்த பொருட்களை தயிர் சாதத்துடன் சேர்த்தது கிளறவும்.
இதன் மேல் கொத்தமல்லி இலை மற்றும் மாதுளை விதைகள் தூவி பரிமாறவும்.</t>
  </si>
  <si>
    <t>https://img-cdn.thepublive.com/fit-in/640x430/filters:format(webp)/tamil-ie/media/media_files/uploads/2021/02/2-Copy.jpg</t>
  </si>
  <si>
    <t>https://youtu.be/P5kMuKhkRzQ?si=OT_j_Ec8g1gJuxkE</t>
  </si>
  <si>
    <t>Vegetable Yagni Pulao</t>
  </si>
  <si>
    <t xml:space="preserve">வெஜிடபுள் யாக்னி புலாவ்  </t>
  </si>
  <si>
    <t>Cauliflower - 1/2 chopped,
Beans - chopped,
Carrot - 1 chopped,
Green peas,
Baking,
Cardamom,
Cloves,
Javitri,
Salt,
Ghee - 3 tbsp,
Biryani leaves,
Baking,
Cardamom,
Cloves,
Shajeera - 1 tbsp,
Ginger garlic paste - 1 1/2 tbsp,
Yogurt - 1/2 cup,
Soaked basmati rice - 250 ml cup,
Green chillies - 2 chopped,
Fried onion,
Mint leaves,
Fried cashew nuts.</t>
  </si>
  <si>
    <t>காலிபிளவர் - 1/2 நறுக்கியது,
பீன்ஸ் - நறுக்கியது,
கேரட் - 1 நறுக்கியது,
பச்சை பட்டாணி,
பட்டை,
ஏலக்காய்,
கிராம்பு,
ஜாவித்ரி,
உப்பு ,
நெய் - 3 தேக்கரண்டி,
பிரியாணி இலை,
பட்டை, ஏலக்காய்,
 கிராம்பு,
ஷாஜீரா - 1 தேக்கரண்டி,
இஞ்சி பூண்டு விழுது - 1 1/2 தேக்கரண்டி,
தயிர் - 1/2 கப்,
ஊறவைத்த பாஸ்மதி அரிசி - 250 மில்லி கப்,
பச்சை மிளகாய் - 2 கீறியது ,
வெங்காயம் வறுத்தது,
புதினா இலை,
முந்திரி வறுத்தது.</t>
  </si>
  <si>
    <t>Pour water in a pan and add cauliflower, beans, carrots, green peas and let it boil.
Next, tie the bay leaves, cloves, cardamom and jaggery in a white cloth and put them in the water used to boil the vegetables.
Then add salt and cover the pan and boil the vegetables for 10 minutes.
After 10 minutes, drain the water and keep it aside.
In a pan, add ghee, bay leaves, bay leaves, cardamom, cloves and shajeera ginger garlic paste and fry well until the raw smell goes away.
Next, add yogurt and three-quarters of the boiled vegetables and mix well.
Then add the soaked basmati rice and pour the drained vegetable yagni.
Then add a little salt and green chillies and boil the rice until the pan is covered.
Finally, add the fried onions and mint leaves and keep it for 5 minutes.
Sprinkle the fried cashew nuts on top and serve the vegetable yagni pulao hot.</t>
  </si>
  <si>
    <t xml:space="preserve">ஒரு கடாயில் தண்ணீர் ஊற்றி காலிஃபிளவர், பீன்ஸ், கேரட், பச்சை பட்டாணியை சேர்த்து கொதிக்க விடவும்.
அடுத்து பட்டை, கிராம்பு, ஏலக்காய் மற்றும் ஜாவித்ரியை ஒரு வெள்ளை துணியில் கட்டி காய்கறிகள் வேகவைக்கும் தண்ணிரில் போடவும்.
 பின்பு உப்பு சேர்த்து கடாயை மூடி 10 நிமிடம் காய்கறிகளை வேகவைக்கவும்.
10 நிமிடங்களுக்குப் பிறகு தண்ணீரை வடிகட்டி எடுத்து வைக்கவும்.
ஒரு கடாயில் நெய், பிரியாணி இலை, பட்டை, ஏலக்காய், கிராம்பு மற்றும் ஷாஜீரா இஞ்சி பூண்டு விழுது சேர்த்து பச்சை வாசனை போகும் வரை நன்கு வதக்கவும். 
 அடுத்து தயிர், முக்கால் பாகம் வேகவைத்த காய்கறிகளை சேர்த்து நன்கு கலக்கவும்.
பின்பு ஊறவைத்த பாஸ்மதி அரிசியை சேர்த்து, வடிகட்டி எடுத்து வைத்த வெஜிடபுள் யாக்னியை ஊற்றவும்.  
 பிறகு சிறிதளவு உப்பு, பச்சை மிளகாய் சேர்த்து கடாயை முடி அரிசியை வேகவைக்கவும்.
இறுதியாக வறுத்த வெங்காயம், புதினா இலை சேர்த்து 5 நிமிடம் வைக்கவும்.
வறுத்த முந்திரி பருப்பை மேலே தூவி வெஜிடபுள் யாக்னி புலாவ்வை சூடாக பரிமாறவும்.
</t>
  </si>
  <si>
    <t>https://encrypted-tbn0.gstatic.com/images?q=tbn:ANd9GcSnS2Xw5nidx61F6v_LmsBsIR5X2Jm1XG9T9Q&amp;s</t>
  </si>
  <si>
    <t>https://youtu.be/KBWYHhKfZTo?si=W_GfWDr0OFooczUz</t>
  </si>
  <si>
    <t>Paneer Bunch Chapati</t>
  </si>
  <si>
    <t>பன்னீர் கொத்து சப்பாத்தி</t>
  </si>
  <si>
    <t>Chapathi - 5,
Paneer - 200 grams,
Chaat masala powder - 1/2 tsp,
Garlic - 5 cloves,
Ginger - 1 small piece,
Oil - 1 1/2 tbsp,
Green chilli - 1 chopped,
Onion - 2 chopped,
Tomato - 3 chopped,
Turmeric powder - 1/4 tsp,
Kashmiri chilli powder - 2 1/2 tsp,
Garlic powder - 1 tsp,
Cereal powder - 1 tsp,
Salt - 1 tsp,
Coriander leaves chopped.</t>
  </si>
  <si>
    <t>-சப்பாத்தி - 5,
பன்னீர் - 200 கிராம்,
சாட் மசாலா தூள் - 1/2 தேக்கரண்டிc,
பூண்டு - 5 பற்கள்,
இஞ்சி - 1 சிறிய துண்டு,
எண்ணெய் - 1 1/2 மேசைக்கரண்டி,
பச்சை மிளகாய் - 1 பொடியாக நறுக்கியது,
வெங்காயம் - 2 பொடியாக நறுக்கியது,
தக்காளி - 3 பொடியாக நறுக்கியது,
மஞ்சள் தூள் - 1/4 தேக்கரண்டி,
காஷ்மீரி மிளகாய் தூள் - 2 1/2 தேக்கரண்டி,
கரம் மசாலா தூள் - 1 தேக்கரண்டி,
சீரக தூள் - 1 தேக்கரண்டி,
உப்பு - 1 தேக்கரண்டி,
கொத்துமல்லி இலை நறுக்கியது.</t>
  </si>
  <si>
    <t>Cut the chapati into small pieces.
In a bowl, drain the paneer, add the chaat masala powder, Kashmiri chilli powder and mix well.
Crush the garlic and ginger.
Pour some oil in a wide pan, when the oil is hot, add the crushed ginger garlic paste and green chilies and fry.
Next, add the onion and fry until golden brown. Once the onion is fried, add the tomatoes and fry for 5 minutes.
Then add turmeric powder, Kashmiri chili powder, garam masala powder, cumin powder, salt and mix well.
Then add the drained paneer and mix well. Next, add the chapati pieces and cook on medium heat for 5 minutes.
Finally, add the coriander leaves and mix well.
Serve the paneer bunch chapati hot.</t>
  </si>
  <si>
    <t>சப்பாத்தியை சிறு சிறு துண்டுகளாக வெட்டி கொள்ளவும்.
 ஒரு பாத்திரத்தில், பன்னீரை உதிர்த்து, சாட் மசாலா தூள், காஷ்மீரி மிளகாய் தூள் சேர்த்து நன்கு கலந்து எடுத்து வைக்கவும்.
 பூண்டு மற்றும் இஞ்சியை இடித்து வைத்து கொள்ளவும்.
 ஒரு அகல கடாயில் சிறிது எண்ணெய் ஊற்றி, எண்ணெய் சூடானதும், இடித்த இஞ்சி பூண்டு விழுது மற்றும் பச்சை மிளகாயை சேர்த்து வதக்கவும்.
அடுத்து வெங்காயம் சேர்த்து பொன்னிறமாகும் வரை வதக்கவும். வெங்காயம் வதங்கியதும் தக்காளியை சேர்த்து 5 நிமிடம் கிண்டவும். 
பிறகு மஞ்சள் தூள், காஷ்மீரி மிளகாய் தூள், கரம் மசாலா தூள், சீரக தூள், உப்பு சேர்த்து நன்கு கலக்கவும்.
 பின்பு உதிர்த்த பன்னீரை சேர்த்து நன்கு கலக்கவும். அடுத்து சப்பாத்தி துண்டுகளைச் சேர்த்து மிதமான தீயில் 5 நிமிடங்கள் வேகவைக்கவும்.
இறுதியாக, கொத்தமல்லி இலைகளை சேர்த்து நன்கு கலக்கவும்.
பன்னீர் கொத்து சப்பாத்தியை சூடாக பரிமாறவும்.</t>
  </si>
  <si>
    <t>https://static-gi.asianetnews.com/images/01gpfvgf9bgx2qscangw90ckbx/muttai-kothu-idly_363x203xt.jpg</t>
  </si>
  <si>
    <t>https://youtu.be/bKCkP-ZREAY?si=6aInXlA4vwnlLl0P</t>
  </si>
  <si>
    <t>Vanjaram fish - 1 kg,
Turmeric powder - 1 tsp,
Chilli powder - 2 tsp,
Salt - 1 tsp,
Soaked fish pieces,
Ghee - 2 tbsp,
Oil - 1 tbsp,
Biryani leaves - 3,
Banana - 3 pieces,
Cloves,
Cardamom - 4,
Onion - 5 chopped,
Ginger - 1 large piece chopped,
Garlic - 8 cloves,
Green chilies - 3,
Dried chilies - 3,
Grated coconut - 2 tbsp,
Water,
Tomatoes - 3 chopped,
Turmeric powder - 1/2 tsp,
Chilli powder - 1 tsp,
Dhaniya powder - 2 tablespoons,
Salt,
Coriander leaves - 1 small bunch,
Mint leaves - 1 small bunch,
Basmati rice - 1 cup (500 ml cup),
Coconut milk - 500 ml water added.</t>
  </si>
  <si>
    <t>வஞ்சரம் மீன் - 1 கிலோ, 
மஞ்சள் தூள் - 1 தேக்கரண்டி,
மிளகாய் தூள் - 2 தேக்கரண்டி,
உப்பு - 1 தேக்கரண்டி, 
ஊறவைத்த மீன் துண்டுகள்,
நெய் - 2 மேசைக்கரண்டி ,
எண்ணெய் - 1 மேசைக்கரண்டி ,
பிரியாணி இலை - 3, 
பட்டை - 3 துண்டுகள் ,
கிராம்பு ,
ஏலக்காய் - 4 ,
வெங்காயம் - 5 பொடியாக நறுக்கியது ,
இஞ்சி - 1 பெரிய துண்டு நறுக்கியது, 
பூண்டு - 8 பற்கள், 
பச்சை மிளகாய் - 3 ,
காய்ந்த மிளகாய் - 3 ,
துருவிய தேங்காய் - 2 மேசைக்கரண்டி ,
தண்ணீர் ,
தக்காளி - 3 பொடியாக நறுக்கியது ,
மஞ்சள் தூள் - 1/2 தேக்கரண்டி ,
மிளகாய் தூள் - 1 தேக்கரண்டி, 
தனியா தூள் - 2 தேக்கரண்டி ,
உப்பு, 
கொத்தமல்லி இலை - 1 சிறிய கட்டு,
புதினா இலை - 1 சிறிய கட்டு, 
பாஸ்மதி அரிசி - 1 கப் (500 மில்லி கப்) ,
தேங்காய் பால் - 500 மில்லி நீர் சேர்த்தது.</t>
  </si>
  <si>
    <t>Wash the fish pieces well and take them in a bowl.
Add turmeric powder, chili powder, salt to it and soak for 30 minutes.
Pour ghee and oil in a pressure cooker.
Add bay leaves, bay leaves, cloves, cardamom and onion and fry.
In a mixer, add ginger, garlic, green chilies, dried chilies, grated coconut and water and grind to a paste.
Once the onion is fried, add the ground paste to it.
Once the raw smell of the spices is gone, add the tomatoes and fry.
Add turmeric powder, chili powder, fenugreek powder and salt to it.
Next, add coriander leaves and mint leaves and stir.
When the tomatoes are cooked, add the soaked fish pieces.
Stir without breaking the fish.
Add the washed and soaked basmati rice and mix well.
Finally, add the coconut milk mixed with water.
Close the cooker, when the steam comes, add the weight and cook for exactly 5 minutes.
Turn off the stove and leave it until the pressure comes down.
A delicious fish biryani is ready.</t>
  </si>
  <si>
    <t xml:space="preserve">மீன் துண்டுகளை நன்கு கழுவி ஒரு பாத்திரத்தில் எடுத்து கொள்ளவும். 
இதில் மஞ்சள் தூள், மிளகாய் தூள், உப்பு சேர்த்து 30 நிமிடம் ஊறவைக்கவும். 
பிரஷர் குக்கர்'ரில் நெய் மற்றும் எண்ணெய் ஊற்றவும். 
இதில் பிரியாணி இலை, பட்டை, கிராம்பு, ஏலக்காய் மற்றும் வெங்காயம் சேர்த்து வதக்கவும். 
மிக்ஸியில், இஞ்சி, பூண்டு, பச்சை மிளகாய், காய்ந்த மிளகாய், துருவிய தேங்காய் மற்றும் தண்ணீர்  சேர்த்து விழுதாக அரைக்கவும். 
 வெங்காயம் வதங்கியதும், இதில் அரைத்த விழுதை சேர்க்கவும். 
மசாலாவில் பச்சை வாசனை போனதும், தக்காளி சேர்த்து வதக்கவும். 
இதில் மஞ்சள் தூள், மிளகாய் தூள், தனியா தூள், உப்பு சேர்க்கவும். 
 அடுத்து இதில் கொத்தமல்லி இலை, புதினா இலை சேர்த்து கிளறவும். 
தக்காளி வதங்கியதும், இதில் ஊறவைத்த மீன் துண்டுகளை சேர்க்கவும். 
மீன் உடையாமல் கிளறவும். 
 நன்கு கழுவி, ஊறவைத்த பாஸ்மதி அரிசியை போட்டு கிண்டவும். 
 இறுதியாக நீர் கலந்த தேங்காய் பால் சேர்க்கவும். 
 குக்கர்'ரை மூடி, ஆவி வந்ததும், வெயிட் போட்டு, சரியாக 5 நிமிடம் வேகவைக்கவும். 
 அடுப்பை நிறுத்தி, பிரஷர் இறங்கும் வரை வைக்கவும். 
 அருமையான மீன் பிரியாணி தயார்.   </t>
  </si>
  <si>
    <t>https://media.webdunia.com/_media/ta/img/article/2017-09/18/full/1505725333-3972.jpg</t>
  </si>
  <si>
    <t>https://youtu.be/1fdSe4SbRus?si=2Z9VjgJfmnOlm071</t>
  </si>
  <si>
    <t>Mutton Kofta Biryani</t>
  </si>
  <si>
    <t>மட்டன் கோஃப்தா பிரியாணி</t>
  </si>
  <si>
    <t>Mutton Keema - 1/2 kg,
Ginger Garlic Paste - 1 tsp,
Turmeric Powder - 1/2 tsp,
Chili Powder - 1 tsp,
Coriander Powder - 1 tsp,
Salt,
Garlic Masala - 1/2 tsp,
Onion - 1,
Green Chillies - 2,
Coriander Leaves,
Mint Leaves,
Peanut Flour - 4 tsp,
Basmati Rice - 250 ml,
Cinnamon,
Cloves,
Biryani Leaves Pineapple Flower,
Cardamom,
Java,
Ghee - 2 tbsp,
Cinnamon,
Cloves,
Cardamom &amp; Biryani Leaves,
Onion - 3,
Green Chillies - 2,
Ginger Garlic Paste - 1 tsp,
Tomatoes - 3 ,
Salt,
Turmeric powder - 1/4 tsp,
Kashmiri chili powder - 2 tsp,
Garram masala - 1/2 tsp,
Mint leaves,
Coriander leaves,
Yogurt - 1 cup,
Saffron milk.</t>
  </si>
  <si>
    <t>மட்டன் கீமா - 1/2 கிலோ,
இஞ்சி பூண்டு பேஸ்ட் - 1 தேக்கரண்டி,
மஞ்சள் தூள் - 1/2 தேக்கரண்டி,
மிளகாய் தூள் - 1 தேக்கரண்டி,
மல்லி தூள் - 1 தேக்கரண்டி,
உப்பு,
கரம் மசாலா - 1/2 தேக்கரண்டி,
வெங்காயம் - 1, 
பச்சை மிளகாய் - 2,
கொத்துமல்லி தழை,
புதினா இலைகள்,
கடலை மாவு  - 4 தேக்கரண்டி,
பாஸ்மதி அரிசி - 250 மில்லி,
இலவங்கப்பட்டை,
கிராம்பு,
பிரியாணி இலை அன்னாசி பூ ,
ஏலக்காய், 
ஜாவித்ரி,
நெய் - 2  மேசைக்கரண்டி, 
இலவங்கப்பட்டை, 
கிராம்பு, 
ஏலக்காய்  &amp; பிரியாணி இலை,
வெங்காயம் - 3 ,
பச்சை மிளகாய் - 2,
இஞ்சி பூண்டு பேஸ்ட் - 1 தேக்கரண்டி,
தக்காளி - 3 ,
உப்பு,
மஞ்சள் தூள் - 1/4 தேக்கரண்டி,
காஷ்மீரி சில்லி பவுடர் - 2 தேக்கரண்டி,
கரம் மசாலா - 1/2 தேக்கரண்டி,
புதினா இலைகள்,
கொத்துமல்லி தழை,
தயிர் - 1 கப்,
குங்குமப்பூ பால்.</t>
  </si>
  <si>
    <t>Take mutton chunks in a bowl and add ginger garlic paste, turmeric powder, chili powder, coriander powder, garam masala powder, finely chopped small onion, finely chopped green chili, finely chopped coriander leaves, finely chopped mint leaves and mix well and cover for an hour.
Add the mashed chunks in a mixer and grind it.
Add groundnut flour to the minced chunks and mix well and roll them into small balls.
Fry the rolled balls in oil in a pan until golden brown.
Pour water in a pan and heat it. Add basmati rice soaked for thirty minutes. Add the fenugreek, cloves, bay leaves, pineapple blossoms, cardamom, jaggery and required salt and boil the rice.
In a pan, add ghee and add cinnamon, cloves, Add cardamom, bay leaves, finely chopped large onion and fry till it changes color
Once the onion turns golden brown, add ginger garlic paste, finely chopped tomato, required salt, turmeric powder, Kashmiri chili powder, garam masala powder, coriander leaves, mint leaves and yogurt and fry well
Add fried kofta balls to this mixture and mix well
Spread boiled basmati rice in this mixture 5. Spread saffron milk and ghee on it and cook it for fifteen minutes
After fifteen minutes, hot and tasty mutton kofta biryani is ready</t>
  </si>
  <si>
    <t xml:space="preserve">ஒரு கிண்ணத்தில் மட்டன் கொத்துக்கறி எடுத்துக்கொண்டு அதனுடன் இஞ்சி பூண்டு விழுது, மஞ்சள் தூள், மிளகாய் தூள், மல்லித்தூள், கரம் மசாலா தூள், பொடியாக நறுக்கிய சிறிய  வெங்காயம், பொடியாக நறுக்கிய பச்சை மிளகாய்,  பொடியாக நறுக்கிய கொத்தமல்லி  இலை, பொடியாக நறுக்கிய புதினா இலை சேர்த்து நன்கு பிசைந்து வைத்து ஒரு மணி நேரம் மூடிவைக்கவும் 
பிசைந்து வைத்த கொத்துக்கறி கலவையை மிக்ஸில் சேர்த்து அரைத்துக்கொள்ளவும் 
அரைத்து வைத்த கொத்துக்கறியுடன் கடலை மாவு சேர்த்து நன்கு பிசைந்து சிறிய உருண்டைகளாக உருட்டிக்கொள்ளவும் 
 உருட்டி வைத்த உருண்டைகளை ஒரு கடாயில் எண்ணெய்  சேர்த்து பொன்னிறமாக பொறித்துக்கொள்ளவும் 
ஒரு பாத்திரத்தில் தண்ணீர் ஊற்றி சூடேற்றிய பிறகு முப்பது நிமிடம் ஊறவைத்த பாசுமதி அரிசியை சேர்த்து அதனுடன் பட்டை, கிராம்பு, பிரியாணி இலை, அன்னாசி பூ, ஏலக்காய், ஜாவிதிரி, தேவையான அளவு உப்பு சேர்த்து அரிசியை வேகவைக்கவும்  
ஒரு கடாயில் நெய் சேர்த்து அதனுடன் இலவங்கப்பட்டை, கிராம்பு, ஏலக்காய், பிரியாணி இலை, பொடியாக நறுக்கிய பெரிய வெங்காயம் சேர்த்து நிறம் மாறும் வரை வதக்கவும்
வெங்காயம் பொன்னிறமானவுடன் அதனுடன் இஞ்சி பூண்டு விழுது, பொடியாக நறுக்கிய தக்காளி, தேவையான அளவு உப்பு, மஞ்சள் தூள், காஷ்மீரி மிளகாய் தூள், கரம் மசாலா தூள், கொத்தமல்லி இலை, புதினா இலை மற்றும் தயிர் சேர்த்து நன்கு வதக்கிக்கொள்ளவும் 
 இந்த கலவையில் பொரித்து வைத்த கோஃப்தா உருண்டைகள் சேர்த்து நன்கு கலக்கவும் 
 இந்த கலவையில் வேகவைத்த பாசுமதி அரிசியை பரப்பி வைக்கவும் 5. அதன் மேல் குங்குமப்பூ பால் மற்றும் நெய்யை அதன் மேல்  பரப்பி அதை பதினைந்து நிமிடத்திற்கு வேகவைக்கவும் 
 பதினைந்து நிமிடத்திற்கு பிறகு சூடான மற்றும் சுவையான மட்டன் கோஃப்தா பிரியாணி தயார்
</t>
  </si>
  <si>
    <t>https://encrypted-tbn0.gstatic.com/images?q=tbn:ANd9GcSjGjAVikaCpbhPcHRQDNBPQUsxVU5VUVAZtQ&amp;s</t>
  </si>
  <si>
    <t>https://youtu.be/DbRuKAGTyoU?si=y74RGsTW1D5_eMti</t>
  </si>
  <si>
    <t>Basmati rice - 1 cup (250 ml cup),
Baking powder, cloves,
Cardamom,
Pineapple blossom,
Bayan leaves,
Onions - 2 lengthwise, 2 chopped,
Green chillies - 3 grated,
Carrots - 2 chopped,
Beans - chopped,
Boiled green peas,
Turmeric powder - 1/4 tsp,
Salt,
Ghee,
Oil,
Coriander leaves,
Mint leaves,
Small onions - 5,
Garlic - 5 cloves,
Ginger - small piece,
Green chillies - 4,
Grated coconut - 3 tsp,
Water.</t>
  </si>
  <si>
    <t>பாஸ்மதி அரிசி - 1 கப் ( 250 மில்லி கப் ),
பட்டை, கிராம்பு, 
ஏலக்காய்,
அன்னாசி பூ, 
பிரியாணி இலை,
வெங்காயம் - 2 நீளவாக்கில் நறுக்கியது 2 நறுக்கிய,
பச்சை மிளகாய் - 3 கீறியது,
கேரட் - 2 நறுக்கியது,
பீன்ஸ் - நறுக்கியது,
வேகவைத்த பச்சை பட்டாணி,
மஞ்சள் தூள் - 1/4 தேக்கரண்டி,
உப்பு,
நெய்,
எண்ணெய்,
கொத்தமல்லி இலை,
புதினா இலை,
சின்ன வெங்காயம் - 5,
பூண்டு - 5 பற்கள்,
இஞ்சி - சிறிய துண்டு,
பச்சை மிளகாய் - 4,
துருவிய தேங்காய் - 3 தேக்கரண்டி,
தண்ணீர்.</t>
  </si>
  <si>
    <t>Wash the basmati rice and soak it in water for 30 minutes.
Boil water in a vessel, add salt and soaked rice and cook. Once the rice is cooked, drain the water and keep it aside.
Grind coriander leaves, mint leaves, onion, garlic, ginger, green chillies, grated coconut and water in a mixer.
In a pan, add ghee, oil, bay leaves, cloves, cardamom, pineapple blossoms and biryani leaves and saute.
Next, add onion and green chillies and saute.
Once the onion is sauteed, add carrots, beans and boiled green peas and cook.
Then add salt and turmeric and mix, then add the masala paste.
Add a little water and saute until the raw smell of the masala leaves disappears.
Then add the boiled rice and mix.
Garnish the coriander rice with fried cashews and serve hot with onion raita and appalam.</t>
  </si>
  <si>
    <t>பாஸ்மதி அரிசியை கழுவி 30 நிமிடங்கள் தண்ணீரில் ஊற வைக்கவும்.
ஒரு பாத்திரத்தில் தண்ணீர் ஊற்றி கொதித்ததும், உப்பு மற்றும் ஊறவைத்த அரிசியை சேர்த்து வேகவைக்கவும். சாதம் வெந்தவுடன் நீரை வடிகட்டி தனியாக எடுத்து வைக்கவும்.
 மிக்ஸியில் கொத்தமல்லி இலை, புதினா இலை, வெங்காயம், பூண்டு, இஞ்சி, பச்சை மிளகாய், துருவிய தேங்காய் மற்றும் தண்ணீர் சேர்த்து விழுதாக அரைக்கவும்.
ஒரு வாணலியில், நெய், எண்ணெய், பட்டை, கிராம்பு, ஏலக்காய், அன்னாசி பூ, பிரியாணி இலை சேர்த்து வதக்கவும்.
அடுத்து வெங்காயம் மற்றும் பச்சை மிளகாய் சேர்த்து வதக்கவும்.
வெங்காயம் வதங்கியதும், கேரட், பீன்ஸ், வேகவைத்த பச்சை பட்டாணி சேர்த்து வேகவைக்கவும்.
பின்னர் உப்பு, மஞ்சள் சேர்த்து கலந்த பிறகு, மசாலா விழுது சேர்க்கவும்.
சிறிது தண்ணீர் சேர்த்து மசாலாவிழுதை பச்சை வாசனை நீங்கும் வரை வதக்கவும்.
பின்னர் வேகவைத்த சாதத்தை சேர்த்து கலக்கவும்.
கொத்தமல்லி சாதத்தை வறுத்த முந்திரி கொண்டு அலங்கரித்து வெங்காய ரைதா மற்றும் அப்பளத்துடன் சூடாக பரிமாறவும்.</t>
  </si>
  <si>
    <t>https://i.ytimg.com/vi/YfzpztRxMzM/hq720.jpg?sqp=-oaymwEhCK4FEIIDSFryq4qpAxMIARUAAAAAGAElAADIQj0AgKJD&amp;rs=AOn4CLBu3Igeht6I3S5M6ac235uvSSAOwg</t>
  </si>
  <si>
    <t>https://youtu.be/6pq1GktVuhk?si=Teif_2Mt36E8WA1t</t>
  </si>
  <si>
    <t>Pressure Cooker Egg Biryani</t>
  </si>
  <si>
    <t>பிரஷர் குக்கர் முட்டை பிரியாணி</t>
  </si>
  <si>
    <t>Oil - 2 tbsp,
Onion - 1,
Turmeric powder - 1/4 tsp,
Chili powder - 1 tsp,
Salt - 1/4 tsp,
Boiled eggs - 6,
Yogurt - 1/2 cup,
Chili powder - 2 tsp,
Coriander powder - 1 tsp,
Turmeric powder - 1/4 tsp,
Garram masala - 1 tsp,
Ghee - 2 tbsp,
Oil - 1 tbsp,
Baking powder,
Pineapple blossom,
Cloves,
Biryani leaves,
Cardamom,
Onion - 2,
Green chillies - 3,
Ginger garlic paste - 1/2 tsp,
Tomatoes - 3,
Salt - 1 teaspoon,
Coriander leaves,
Mint leaves,
Basmati rice - 300 ml,
Water - 500 ml.</t>
  </si>
  <si>
    <t>எண்ணெய் - 2 மேசைக்கரண்டி, 
வெங்காயம் - 1, 
மஞ்சள் தூள் - 1/4 தேக்கரண்டி, 
மிளகாய் தூள்  - 1 தேக்கரண்டி, 
உப்பு - 1/4 தேக்கரண்டி, 
வேகவைத்த முட்டை - 6, 
தயிர் - 1/2 கப்,
மிளகாய் தூள் - 2 தேக்கரண்டி,  
மல்லி தூள் - 1 தேக்கரண்டி, 
மஞ்சள் தூள் - 1/4 தேக்கரண்டி, 
கரம் மசாலா - 1 தேக்கரண்டி ,
நெய் - 2 மேசைக்கரண்டி, 
எண்ணெய் - 1 மேசைக்கரண்டி,  
பட்டை ,
அன்னாசி பூ, 
கிராம்பு, 
பிரியாணி இலை, 
ஏலக்காய், 
வெங்காயம் - 2, 
பச்சை சமிளகாய் - 3 ,
இஞ்சி பூண்டு விழுது - 1/2 தேக்கரண்டி, 
தக்காளி - 3, 
உப்பு - 1 தேக்கரண்டி, 
கொத்துமல்லி தழை,
புதினா இலைகள்,
பாஸ்மதி அரிசி - 300 மில்லி ,                                                                 
தண்ணீர் - 500 மில்லி.</t>
  </si>
  <si>
    <t>First, fry the onion. In a pan, add oil and finely chopped large onion and fry well.
Next, fry the egg. In a pan, add turmeric powder, chili powder, and salt and mix.
Crack the boiled egg into the mixture and add it to the pan and fry well.
Next, in a cooker, add ghee, oil, rind, pineapple blossom, cardamom, cloves, bay leaf, finely chopped large onion, and green chilies and fry until it changes color.
Once the onion turns golden brown, add ginger garlic paste, chopped tomato, and required salt and fry well.
Make a masala curd to add to this mixture. In a bowl, add curd, Kashmiri chilli powder, coriander powder, turmeric powder, garam masala powder and mix well and then add to the fried ingredients.
Next, add finely chopped coriander leaves, mint leaves, basmati rice soaked in water for thirty minutes and close the cooker and cook for ten minutes.
Hot and tasty egg biryani is ready.
You can make this biryani easily using a cooker at home.</t>
  </si>
  <si>
    <t>முதலில் வெங்காயத்தை வறுக்க வேண்டும். அதற்கு ஒரு கடாயில் எண்ணெய் மற்றும் மெலிதாக நறுக்கிய பெரிய வெங்காயம் சேர்த்து நன்கு வறுத்து வைத்து கொள்ளவும். 
அடுத்து முட்டையை வறுக்கவும். அதற்கு ஒரு கடாயில் மஞ்சள் தூள், மிளகாய் தூள், உப்பு சேர்த்து கலக்கவும்.
அந்த கலவையில் வேகவைத்த முட்டையை கீறி கடாயில் சேர்த்து நன்கு வறுக்கவும். 
அடுத்து ஒரு குக்கரில் நெய், எண்ணெய், பட்டை, அன்னாசி பூ, ஏலக்காய், கிராம்பு, பிரியாணி இலை, மெல்லிதாக நறுக்கிய பெரிய வெங்காயம், பச்சை மிளகாய் சேர்த்து நிறம் மாறும் வரை வதக்கவும். 
வெங்காயம் பொன்னிறமானவுடன், இஞ்சி பூண்டு விழுது, பொடியாக நறுக்கிய தக்காளி, தேவையான அளவு உப்பு சேர்த்து நன்கு வதக்கவும்.  
இந்த கலவையில் சேர்க்க ஒரு மசாலா தயிர் செய்ய வேண்டும். அதற்கு ஒரு கிண்ணத்தில் தயிர் ,காஷ்மீரி மிளகாய் தூள், மல்லி தூள் ,மஞ்சள் தூள், கரம் மசாலா தூள் சேர்த்து நன்கு கலக்கிய பின்பு வதக்கியவற்றுடன் சேர்க்கவும். 
அடுத்து பொடியாக நறுக்கிய கொத்தமல்லி இலை, புதினா இலை, முப்பது நிமிடம் தண்ணீரில் ஊறவைத்த பாசுமதி அரிசி சேர்த்து குக்கரை மூடி பத்து நிமிடத்திற்கு வேக வைக்கவும். 
 சூடான மற்றும் சுவையான முட்டை பிரியாணி தயார். 
 இது போன்ற பிரியாணியை வீட்டில் உள்ள குக்கரை வைத்து எளிய முறையில் செய்யலாம்.</t>
  </si>
  <si>
    <t>https://i.ytimg.com/vi/rMkYzHkMk30/hq720.jpg?sqp=-oaymwEhCK4FEIIDSFryq4qpAxMIARUAAAAAGAElAADIQj0AgKJD&amp;rs=AOn4CLAL6MWMvBE9ojU4olcgFQulWWBj8w</t>
  </si>
  <si>
    <t>https://youtu.be/mFoPAG7EzDs?si=HYrFt21vYRJuuDu5</t>
  </si>
  <si>
    <t>Mint Paratha</t>
  </si>
  <si>
    <t>புதினா பராத்தா</t>
  </si>
  <si>
    <t>Wheat flour - 2 cups,
Turmeric powder - 1/4 tsp,
Chaat masala powder - 1/2 tsp,
Cumin - 1/2 tsp,
Chilli powder - 1/2 tsp,
Mint - 1 small bundle,
Oil,
Ghee,
Salt - as required,
Water.</t>
  </si>
  <si>
    <t>கோதுமை மாவு - 2 கப்,
மஞ்சள் தூள் - 1/4 தேக்கரண்டி,
சாட் மசாலா தூள் - 1/2 தேக்கரண்டி,
சீரகம் - 1/2 தேக்கரண்டி,
மிளகாய் தூள் - 1/2 தேக்கரண்டி,
புதினா - 1 சிறிய கட்டு,
எண்ணெய், 
நெய்,
உப்பு - தேவையான அளவு,
தண்ணீர்.</t>
  </si>
  <si>
    <t>In a bowl, put wheat flour, salt, turmeric powder, chaat masala powder, cumin, chili powder, chopped mint leaves.
Add water little by little and knead
Add oil to it and knead for 10 minutes
Cover it for 30 minutes.
Next, take small balls of dough and knead them.
Place them in a tawa, grease both sides with ghee and bake.</t>
  </si>
  <si>
    <t xml:space="preserve">பாத்திரத்தில் கோதுமை மாவு, உப்பு, மஞ்சள் தூள், சாட் மசாலா தூள், சீரகம், மிளகாய் தூள், நறுக்கிய புதினா இலை போடவும்.
இதில் சிறிது சிறிதாக தண்ணீர் சேர்த்து பிசையவும்
இதில் எண்ணெய் ஊற்றி, 10 நிமிடம் பிசையவும்
 இதை 30 நிமிடம் மூடி வைக்கவும்.
அடுத்து சிறிய உருண்டை மாவு எடுத்து, தேய்க்கவும்.
தாவா'வில் போட்டு இருபுறமும் நெய் ஊற்றி சுடவும். </t>
  </si>
  <si>
    <t>https://encrypted-tbn0.gstatic.com/images?q=tbn:ANd9GcSavWy2-nMZ1WQoVdcLLFVBV0GupfcSpUMB8w&amp;s</t>
  </si>
  <si>
    <t>https://youtu.be/l8i7Pf7jRhM?si=TdjJHEVtie-qLXZU</t>
  </si>
  <si>
    <t>மாங்காய் சாதம்</t>
  </si>
  <si>
    <t>Mango - 1 grated,
Boiled rice - 1 cup,
Oil - 1 tablespoon,
Peanuts - 1 teaspoon,
Ultra seeds - 1 teaspoon,
Cumin seeds - 1/2 teaspoon,
Mustard seeds - 1/2 teaspoon,
Red chilies - 3,
Green chilies - 3 chopped,
Ginger - 1 piece chopped,
Peanuts - 1 tablespoon,
Bacon powder - 1/2 teaspoon,
Turmeric powder - 1/4 teaspoon,
Salt,
Curry leaves.</t>
  </si>
  <si>
    <t>மாங்காய் - 1 துருவியது,
வேகவைத்த சாதம் - 1 கப்,
எண்ணெய் - 1 மேசைக்கரண்டி,
கடலை பருப்பு - 1 தேக்கரண்டி,
உளுத்தம் பருப்பு - 1 தேக்கரண்டி,
சீரகம் - 1/2 தேக்கரண்டி,
கடுகு - 1/2 தேக்கரண்டி,
சிவப்பு மிளகாய் - 3,
பச்சை மிளகாய் - 3 நறுக்கியது,
இஞ்சி - 1 துண்டு நறுக்கியது,
வேர்க்கடலை - 1 மேசைக்கரண்டி,
பெருங்காய தூள் - 1/2 தேக்கரண்டி,
மஞ்சள் தூள் - 1/4 தேக்கரண்டி,
உப்பு,
கறிவேப்பிலை.</t>
  </si>
  <si>
    <t>First, clean the rice, boil it and keep it warm.
Add oil to a pan and when it is hot, add mustard seeds, ultra seeds, peanuts, and cashew nuts and fry them.
Then add chilies, green chilies, ginger, and curry leaves and fry well.
Add turmeric powder and salt and stir a little, then add grated mango and fry well.
Once the mango has softened a little, add it to the warm rice and mix well.
If desired, sprinkle a little oil and toasted sesame seeds and serve.</t>
  </si>
  <si>
    <t>முதலில், அரிசியை சுத்தம் செய்து, வேகவைத்து வெதுவெதுப்பாக வைத்துக்கொள்ளவும்.
கடாயில் எண்ணெய் சேர்த்து சூடானதும் கடுகு, உளுத்தம்பருப்பு, கடலைப்பருப்பு, முந்திரி சேர்த்து வறுக்கவும்.
பின்னர் மிளகாய், பச்சை மிளகாய், இஞ்சி, கருவேப்பில்லை சேர்த்து நன்றாக வதக்கவும்.
மஞ்சள்தூள், உப்பு சேர்த்து கொஞ்சம் கிளறிய பிறகு, துருவிய மாங்காய் சேர்த்து நன்றாக வதக்கவும்.
மாங்காய் கொஞ்சம் மென்மையாகி வந்தவுடன், வெதுவெதுப்பான சாதத்துடன் சேர்த்து நன்கு கலக்கவும்.
தேவையெனில் சிறிது எண்ணெய், வறுத்த எள் தூவி கலந்து பரிமாறலாம்.</t>
  </si>
  <si>
    <t>https://www.lekhafoods.com/media/1050758/mango-rice.jpg</t>
  </si>
  <si>
    <t>https://youtu.be/rfXlbW-efUc?si=98nTCyQ29MlspcSH</t>
  </si>
  <si>
    <t>Dindigul Mutton Biryani</t>
  </si>
  <si>
    <t>திண்டுக்கல் மட்டன் பிரியாணி</t>
  </si>
  <si>
    <t>Whole Thaniya - 2 tbsp,
Cashew - 10,
Cumin - 1 tbsp,
Garlic - 1 1/2 tbsp,
Cardamom - 6,
Whole Pepper - 1 tbsp,
Biryani Leaves - 2,
Pineapple Blossom - 2,
Banana - 2 pieces,
Javitri - 2 pieces,
Cloves - 10,
Nutmeg,
Anise - 1 tbsp,
Small Onion - 15,
Green Chillies - 5,
Garlic - 5 cloves,
Ginger - Large piece,
Mutton - 1 kg,
Water - 1 1/2 cups,
Oil - 3 tbsp,
Ghee - 2 tbsp,
Turmeric Powder - 1/2 spoon,
Chili powder - 1 tablespoon,
Gallop - 2 tablespoons,
Lemon juice - 1 fruit,
Yogurt - 200 grams,
Mint leaves,
Coriander leaves,
Ceema samba rice - 2 cups,
Banana leaves.</t>
  </si>
  <si>
    <t>முழு தனியா - 2 மேசைக்கரண்டி,
முந்திரி - 10,
சீரகம் - 1 மேசைக்கரண்டி,
கல்பாசி - 1 1/2 மேசைக்கரண்டி,
ஏலக்காய் - 6,
முழு மிளகு - 1 மேசைக்கரண்டி,
பிரியாணி இலை - 2,
அன்னாசி பூ - 2,
பட்டை - 2 துண்டு,
ஜாவித்ரி - 2 துண்டு,
கிராம்பு - 10,
ஜாதிக்காய் ,
சோம்பு - 1 மேசைக்கரண்டி,
சின்ன வெங்காயம் - 15, 
பச்சை மிளகாய் - 5,
பூண்டு - 5 பற்கள், 
இஞ்சி - பெரிய துண்டு,
மட்டன் - 1 கிலோ ,
தண்ணீர் - 1 1/2 கப் ,
எண்ணெய் - 3 மேசைக்கரண்டி,
நெய் - 2 மேசைக்கரண்டி,
மஞ்சள் தூள் - 1/2 தேக்கரண்டி,
மிளகாய் தூள் - 1 மேசைக்கரண்டி,
கல்லுப்பு - 2 தேக்கரண்டி,
எலுமிச்சை சாறு - 1 பழம்,  
தயிர் - 200 கிராம், 
புதினா இலை ,
கொத்தமல்லி இலை ,
சீரக சம்பா அரிசி - 2 கப்,
வாழை இலை .</t>
  </si>
  <si>
    <t>First, put the mutton pieces and required amount of water in a pressure cooker and cook on medium heat until 4 - 5 whistles.
Wash the samba rice well and soak it for 20 minutes.
To grind the spice powder, grind the tandiya, cashew, cumin, kalpasi, cardamom, pepper, biryani leaves, pineapple flower, bark, mace, cloves, nutmeg, and anise into a fine powder in a mixer jar and keep it aside.
Next, grind the masala paste by adding the onion, green chillies, garlic and ginger to a mixer jar and grind it to a paste without water.
To make the biryani, pour oil and ghee in a wide vessel and add the ground onion paste and fry it.
After the onion paste changes color and the green smell goes away, add the ground masala powder, turmeric powder, chilli powder and rock salt and fry it on medium heat.
Next, add the boiled mutton pieces without water and stir.
Add lemon juice, yogurt, coriander leaves and mint leaves to it and stir well.
Pour the water in which the mutton was boiled.
Next, add the soaked rice and hot water and mix well.
Cover the vessel and cook on medium heat for ten minutes.
Once the rice is half cooked, remove the vessel from the stove and place a dosa tawa on the stove.
Once the dosa stone is hot, place the vessel on it and reduce the heat to low.
Lightly fry the biryani, pour ghee on it, sprinkle coriander leaves and mint leaves and cover the biryani with a banana leaf.
Next, cover the dish with aluminum foil, place a heavy plate on top and bake for 20 minutes.16. Dindigul Mutton Biryani is ready.</t>
  </si>
  <si>
    <t>முதலில் பிரஷர் குக்கரில் மட்டன் துண்டுகள் மற்றும் தேவையான அளவு தண்ணீர் ஊற்றி  மிதமான சூட்டில் 4 - 5 விசில் வரும் வரை வேக வைக்கவும்.
சீரக சம்பா அரிசியை நன்கு கழுவி 20 நிமிடங்களுக்கு ஊற வைக்கவும்.
மசாலா தூள் அரைக்க மிக்ஸி ஜாரில், தனியா, முந்திரி, சீரகம், கல்பாசி, ஏலக்காய், மிளகு, பிரியாணி இலை, அன்னாசிப் பூ, பட்டை, ஜாவிதிரி, கிராம்பு, ஜாதிக்காய், சோம்பு ஆகியவற்றை நன்கு பொடியாக அரைத்து தனியாக வைத்து கொள்ளவும்.
 அடுத்து மசாலா விழுது அரைக்க மிக்ஸி ஜாரில் சின்னவெங்காயம், பச்சைமிளகாய், பூண்டு மற்றும் இஞ்சி சேர்த்து தண்ணீரின்றி விழுதாக அரைத்துக் கொள்ளவும்.
பிரியாணி செய்ய ஒரு அகல பாத்திரத்தில் எண்ணெய் மற்றும் நெய் ஊற்றி அரைத்த வெங்காய விழுதை சேர்த்து வதக்கவும்.
வெங்காய விழுது நிறம் மாறி பச்சை வாசனை போன பின்பு அதில் அரைத்த மசாலா தூள், மஞ்சள் தூள், மிளகாய் தூள் மற்றும் கல் உப்பு சேர்த்து மிதமான சூட்டில் வதக்கவும்.
 அடுத்து வேக வைத்த மட்டன் துண்டுகளை தண்ணீரின்றி சேர்த்து கிளறவும்.
இதில் எலுமிச்சை சாறு தயிர் கொத்தமல்லி இலை மற்றும் புதினா இலை சேர்த்து நன்கு கிளறவும்.
 இதனுடன் மட்டன் வேக வைத்த தண்ணீரை ஊற்றவும்.
 அடுத்து ஊற வைத்த அரிசி மற்றும் வெந்நீர் ஊற்றி நன்கு கலக்கவும்.
பாத்திரத்தை மூடி மிதமான சூட்டில் பத்து நிமிடங்களுக்கு சமைக்கவும்.
 அரிசி பாதி வெந்த பின் பாத்திரத்தை அடுப்பிலிருந்து இறக்கி ஒரு தோசை தவாவை அடுப்பில் வைக்கவும்.
 தோசை கல் சூடான பின் இறக்கிய பாத்திரத்தை அதன் மீது வைத்து தீயை நன்கு குறைக்கவும்.
 பிரியாணியை லேசாக கிண்டி அதன்மேல் நெய் ஊற்றி கொத்தமல்லி இலை புதினா இலை தூவி வாழை இலையால் பிரியாணியை மூடவும்.
 அடுத்து பாத்திரத்தை அலுமினியம் ஃபாயிலால் மூடி அதன் மேல் ஒரு கனமான தட்டை வைத்து 20 நிமிடங்களுக்கு  தம் கட்டவும்.16. திண்டுக்கல் தம் மட்டன் பிரியாணி தயார்.</t>
  </si>
  <si>
    <t>https://encrypted-tbn0.gstatic.com/images?q=tbn:ANd9GcSS-FQYvPEfWSGNYVL1R7r9vm3h-KkaxFzwRQ&amp;s</t>
  </si>
  <si>
    <t>https://youtu.be/dg4tHualMXo?si=iNmO-Q2Pou7mqZvL</t>
  </si>
  <si>
    <t>Pea Pulao</t>
  </si>
  <si>
    <t>Basmati rice - 1 cup,
Green chilies - 4,
Ginger - 1 piece,
Garlic - 4 cloves,
Ghee - 1 1/2 tbsp,
Oil - 2 tbsp,
Biriyani leaf - 1,
Bait - 1 piece,
Cardamom - 3,
Cloves - 3,
Cumin - 1/4 tsp,
Onion - 2 chopped lengthwise,
Green peas - 200 gms,
Salt - 1 tsp,
Coconut milk - 1 1/2 cups (with water added),
Mint leaf.</t>
  </si>
  <si>
    <t>பாஸ்மதி அரிசி - 1 கப்,
பச்சை மிளகாய் - 4,
இஞ்சி - 1 துண்டு,
பூண்டு - 4 பற்கள்,
நெய் - 1 1/2 மேசைக்கரண்டி,
எண்ணெய் - 2 மேசைக்கரண்டி,
பிரியாணி இலை - 1,
பட்டை - 1 துண்டு ,
ஏலக்காய் - 3,
கிராம்பு - 3,
சீரகம் - 1/4 தேக்கரண்டி,
வெங்காயம் - 2 நீளவாக்கில் நறுக்கியது ,
பச்சை பட்டாணி - 200 கிராம்,
உப்பு - 1 தேக்கரண்டி,
தேங்காய் பால் - 1 1/2 கப் (நீர் சேர்த்தது),
புதினா இலை.</t>
  </si>
  <si>
    <t>First, soak the basmati rice for 20 minutes and wash it.
Pour ghee or oil in a cooker, add cardamom, cloves, biriyani leaf, and dal patta and saute it.
Add ginger garlic paste and fry till fragrant.
Then add onion and fry till golden brown.
Add tomato and fry till soft.
Add green peas and chopped green chillies and fry till soft.
Then add soaked basmati rice and stir gently.
Add 2 cups water, required salt and stir once, sprinkle coriander and mint on top and close the lid.
Cook till 2 whistles, then turn off the stove and open the lid after 10 minutes.
Prepare hot pea pula and serve with raita, cutlets, or salad.</t>
  </si>
  <si>
    <t>முதலில், பாசுமதி அரிசியை 20 நிமிடம் ஊற வைத்து கழுவி வைக்கவும்.
ஒரு குக்கரில் நெய் அல்லது எண்ணெயை ஊற்றி, அதில் ஏலக்காய், கிராம்பு, பிரியாணி இலை, தழைபட்டா சேர்த்து வதக்கவும்.
இஞ்சி பூண்டு பேஸ்ட் சேர்த்து நன்றாக மணம் வரும் வரை வதக்கவும்.
பிறகு, வெங்காயம் சேர்த்து பொன்னிறமாக வரும் வரை வதக்கவும்.
தக்காளி சேர்த்து மசிகும் வரை வதக்கவும்.
பச்சை பட்டாணி மற்றும் அரிந்த பச்சை மிளகாய் சேர்த்து கலந்து வதக்கவும்.
பிறகு, ஊறவைத்த பாசுமதி அரிசியை சேர்த்து மெதுவாக கிளறவும்.
2 கப் தண்ணீர், தேவையான உப்பு சேர்த்து ஒரு முறை கிளறி, மேல் கொத்தமல்லி, புதினா தூவி மூடியை மூடவும்.
2 விசில் வரும் வரை சமைத்து, பின் அடுப்பை ஆப் செய்து 10 நிமிடம் கழித்து மூடியை திறக்கவும்.
சூடாக பட்டாணி புலாவை தயார் செய்து ராய்த்தா, கட்லெட், அல்லது சாலட் உடன் பரிமாறலாம்.</t>
  </si>
  <si>
    <t>https://i.ytimg.com/vi/51ak5j6SoqY/hq720.jpg?sqp=-oaymwEhCK4FEIIDSFryq4qpAxMIARUAAAAAGAElAADIQj0AgKJD&amp;rs=AOn4CLCyaHDssnqk_imljlWW2ZMR2HDweA</t>
  </si>
  <si>
    <t>https://youtu.be/bG28n9UbIJg?si=zW1yyvGqq-3HgP5e</t>
  </si>
  <si>
    <t>Parangikai Paratha</t>
  </si>
  <si>
    <t>பரங்கிக்காய் பராத்தா</t>
  </si>
  <si>
    <t>Parangikai - 1 cup grated,
Wheat flour - 2 cups,
Turmeric powder - 1/2 teaspoon,
Chilli powder - 1/2 teaspoon,
Cereal powder - 1/2 teaspoon,
Omam - 1/2 teaspoon,
Green chili - 1 chopped,
Chopped ginger,
Coriander leaves,
Salt,
Ghee.</t>
  </si>
  <si>
    <t>பரங்கிக்காய் - 1 கப் துருவியது,
கோதுமை மாவு - 2 கப்,
மஞ்சள் தூள் - 1/2 தேக்கரண்டி,
மிளகாய் தூள் - 1/2 தேக்கரண்டி,
சீரக தூள் - 1/2 தேக்கரண்டி,
ஓமம் - 1/2 தேக்கரண்டி,
பச்சை மிளகாய் - 1 நறுக்கியது,
இஞ்சி நறுக்கியது,
கொத்தமல்லி இலை,
உப்பு,
நெய்.</t>
  </si>
  <si>
    <t>First, clean the parangikai and grate it.
In a bowl, put wheat flour, salt, turmeric powder, chili powder, cumin powder, Omam, green chili, ginger, coriander leaves and grated parangikai and knead it well without adding water.
If the dough is loose, add a little more flour and knead it to the consistency of chapati dough.
Keep the dough for 10 minutes and then make small balls and roll them like chapatis.
Heat a tava, place the rubbed chapati on it, pour ghee on both sides and fry. 6. Delicious Parangikkai Paratha is ready.</t>
  </si>
  <si>
    <t>முதலில் பரங்கிக்காயை சுத்தம் செய்து துருவி வைத்துக் கொள்ளவும்.
 ஒரு பாத்திரத்தில் கோதுமை மாவு, உப்பு, மஞ்சள் தூள், மிளகாய் தூள், சீரக தூள், ஓமம், பச்சை மிளகாய், இஞ்சி, கொத்தமல்லி இலை மற்றும் துருவிய பரங்கிக்காய் போட்டு, தண்ணீர் ஊற்றாமல் நன்கு பிசைந்து கொள்ளவும்.
மாவு தளர்வாக இருந்தால் இன்னும் சிறிதளவு மாவு சேர்த்து சப்பாத்தி மாவு பதத்திற்கு பிசைந்து கொள்ளவும்.
செய்த மாவை 10 நிமிடங்களுக்கு வைத்து பின்பு சிறு உருண்டைகளாக்கி சப்பாத்தி போல் தேய்த்து கொள்ளவும். 
 ஒரு தவாவை சூடு செய்து, அதில் தேய்த்த சப்பாத்தியை போட்டு இருபுறமும் நெய் ஊற்றி சுட்டெடுக்கவும். 6. அருமையான பரங்கிக்காய் பராத்தா தயார்.</t>
  </si>
  <si>
    <t>https://encrypted-tbn0.gstatic.com/images?q=tbn:ANd9GcQhmKMnQuLZ935W0hluuBckTMnu196VjufBhA&amp;s</t>
  </si>
  <si>
    <t>https://youtu.be/TiTA6kupcTw?si=k6fhZElrpoIJFpud</t>
  </si>
  <si>
    <t>பாஸ்மதி அரிசி  - 1 கப்  (250 மில்லி கப்),
தேங்காய் துருவல் - 1 1/4 கப் (250 மில்லி கப்), 
எண்ணெய் - 1 மேசைக்கரண்டி,
நெய் - 1 தேக்கரண்டி,
உளுத்தம் பருப்பு - 1/2 தேக்கரண்டி,
கடலை பருப்பு - 1/2 தேக்கரண்டி,
சீரகம் - 1/2 தேக்கரண்டி,
கடுகு - 1/2 தேக்கரண்டி,
காய்ந்த மிளகாய் - 3,
கறிவேப்பில்லை,
பெருங்காயத்தூள் - 1/4 தேக்கரண்டி,
இஞ்சி - 1 தேக்கரண்டி நறுக்கியது,
பச்சை மிளகாய் - 2 நறுக்கியது,
வறுத்த வேர்க்கடலை - 1 மேசைக்கரண்டி,
முந்திரி பருப்பு - 1 மேசைக்கரண்டி,
உப்பு - 2  தேக்கரண்டி.</t>
  </si>
  <si>
    <t>Wash the basmati rice well, add salt to the required amount of water, boil, strain and set aside.
Pour oil and ghee in a pan, add urad dal, gram dal, cumin seeds, mustard seeds, dried chillies, curry leaves and fry.
When the mustard seeds start to crackle, add turmeric powder, ginger, green chillies, peanuts and cashew nuts.
Fry until everything turns golden brown.
Next, add salt and grated coconut and stir.
Add boiled rice to it.
Finally, add grated coconut and stir.
Coconut rice is ready.</t>
  </si>
  <si>
    <t>பாஸ்மதி அரிசியை நன்கு கழுவி, தேவையான அளவு தண்ணீரில் உப்பு போட்டு, வேகவைத்து, வடிகட்டி எடுத்து வைக்கவும்.
 கடாயில் எண்ணெய் மற்றும் நெய் ஊற்றி, உளுத்தம் பருப்பு, கடலை பருப்பு, சீரகம், கடுகு, காய்ந்த மிளகாய், கறிவேப்பில்லை சேர்த்து கிண்டவும்.  
கடுகு வெடிக்க ஆரம்பித்ததும், இதில் பெருங்காயத்தூள், இஞ்சி, பச்சை மிளகாய், வேர்க்கடலை, முந்திரி பருப்பு சேர்க்கவும்.
 அனைத்தும் பொன்னிறமாகும் வரை வறுக்கவும்.  
அடுத்து இதில் உப்பு மற்றும், தேங்காய் துருவல் சேர்த்து கிளறவும்.
இதில் வேகவைத்த சாதம் சேர்க்கவும்.
இறுதியாக இதில் துருவிய தேங்காய் சேர்த்து கிளறவும்.
தேங்காய் சாதம் தயார்.</t>
  </si>
  <si>
    <t>https://encrypted-tbn0.gstatic.com/images?q=tbn:ANd9GcQ3LKuUeLWDHbfVKEwucMPjonL07tAfQ5y_AQ&amp;s</t>
  </si>
  <si>
    <t>https://youtu.be/x8HTjn8X-dE?si=NhriFhuPHjZnXHVy</t>
  </si>
  <si>
    <t>Garlic - 3 cloves chopped,
Ginger - 1 piece chopped,
Green chillies - 2 chopped,
Coconut - 1 tbsp grated,
Chilli paste - 1 tbsp,
Mint leaves,
Coriander leaves,
Water - 2 tbsp,
Basmati rice - 1 cup (250 ml cup),
Mushrooms - 400 grams,
Ghee - 2 tbsp,
Oil - 1 tbsp,
Baking powder - 1,
Cloves - 4,
Cardamom - 3,
Pineapple blossom - 1,
Biryani leaf - 1,
Onion - 3 chopped,
Tomato - 3 chopped,
Salt - 1 tsp,
Turmeric powder - 1/2 tsp,
Thaniya powder - 1 tsp,
Mint Leaves,
Coriander leaves,
Water - 1 cup.</t>
  </si>
  <si>
    <t>பூண்டு - 3 பற்கள் நறுக்கியது,
இஞ்சி - 1 துண்டு நறுக்கியது,
பச்சை மிளகாய் - 2 நறுக்கியது,
தேங்காய் - 1 மேசைக்கரண்டி துருவியது, 
சில்லி பேஸ்ட் - 1 மேசைக்கரண்டி,
புதினா இலை,
கொத்தமல்லி இலை,
தண்ணீர் - 2 தேக்கரண்டி,
பாஸ்மதி அரிசி - 1 கப் (250 மில்லி கப்),
காளான் - 400 கிராம்,
நெய் - 2 மேசைக்கரண்டி,
எண்ணெய் - 1 மேசைக்கரண்டி,
பட்டை - 1,
கிராம்பு - 4,
ஏலக்காய் - 3,
அன்னாசிப்பூ - 1,
பிரியாணி இலை - 1,
வெங்காயம் - 3 நறுக்கியது,
தக்காளி - 3 நறுக்கியது,
உப்பு - 1 தேக்கரண்டி,
மஞ்சள் தூள் - 1/2 தேக்கரண்டி,
தனியா தூள் - 1 தேக்கரண்டி,
புதினா இலை,
கொத்தமல்லி இலை,
தண்ணீர் - 1 கப்.</t>
  </si>
  <si>
    <t>Wash the basmati rice well and soak it for 30 minutes.
In a mixer jar, add garlic, ginger, green chilies, grated coconut, chili paste, mint, coriander and water and grind it into a paste.
Pour ghee and oil in a cooker and add the bark, cloves, cardamom, pineapple blossom and biryani leaves.
Then add the onion and fry it. Once the onion is fried, add the ground masala paste and fry it for 2 minutes.
Then add the tomato and fry it for 3 minutes.
Next, add salt, turmeric powder, and semolina powder and fry it.
Then add the chopped mushrooms and fry it. Then add mint and coriander and mix it.
Next, add the soaked rice and mix it, add water, close the cooker and when it starts to steam, whistle and cook on low flame for 5 minutes and let it cook.</t>
  </si>
  <si>
    <t>பாஸ்மதி அரிசியை நன்கு கழுவி 30 நிமிடம் ஊறவிடவும்.
மிக்ஸர் ஜாரில் பூண்டு, இஞ்சி, பச்சை மிளகாய், துருவிய தேங்காய், சில்லி பேஸ்ட், புதினா, கொத்தமல்லி மற்றும் தண்ணீர் சேர்த்து விழுதாக அரைக்கவும்.
 குக்கரில் நெய், எண்ணெய் ஊற்றி அதில் பட்டை, கிராம்பு, ஏலக்காய், அன்னாசிப்பூ, பிரியாணி இலை சேர்க்கவும்.
 பிறகு வெங்காயம் சேர்த்து வதக்கவும், வெங்காயம் வதங்கியதும் அரைத்த மசாலா விழுதை சேர்த்து 2 நிமிடம் வதக்கவும்.
 பின்பு தக்காளியை சேர்த்து 3 நிமிடம் வதக்கவும்.
அடுத்து உப்பு, மஞ்சள் தூள், தனியா தூள் சேர்த்து வதக்கவும்.
 பிறகு நறுக்கிய காளானை சேர்த்து வதக்கவும். பின்பு புதினா மற்றும் கொத்தமல்லி சேர்த்து கலந்துவிடவும்.
அடுத்து ஊறவைத்த அரிசியை சேர்த்து கலந்து தண்ணீர் ஊற்றி குக்கரை மூடி ஆவி வர ஆரம்பித்ததும் விசிலை போட்டு குறைந்த தீயில் 5 நிமிடம் வேகவைத்து இறக்கவும்.</t>
  </si>
  <si>
    <t>https://media.webdunia.com/_media/ta/img/article/2019-03/13/thumb/5_4/1552480027-9652.jpg</t>
  </si>
  <si>
    <t>https://youtu.be/zjl3qBUYTVI?si=E2iqGYMyBWwizHxu</t>
  </si>
  <si>
    <t>Tamarind</t>
  </si>
  <si>
    <t>புளியோதரை</t>
  </si>
  <si>
    <t>Thaniya - 1 tablespoon,
Peanuts - 1 teaspoon,
Ultra seeds - 1 teaspoon,
Pepper - 1/2 teaspoon,
Fenugreek - 1/4 teaspoon,
White sesame seeds - 1 teaspoon,
Chillies - 5,
Caramel powder - 1/4 teaspoon,
Tamarind - 1 cup,
Oil - 4 tablespoons,
Peanuts - 1 tablespoon,
Ultra seeds - 1 teaspoon,
Peanuts - 1 tablespoon,
Mustard - 1/2 teaspoon,
Chillies - 4,
Caramel powder - 1/4 teaspoon,
Turmeric powder - 1/2 teaspoon,
Rock salt - 2 tablespoons,
Garlic powder - 1 1/2 teaspoon,
Curry leaves.</t>
  </si>
  <si>
    <t>தனியா - 1 மேசைக்கரண்டி,
கடலை பருப்பு - 1 தேக்கரண்டி,
உளுத்தம் பருப்பு - 1 தேக்கரண்டி,
மிளகு - 1/2 தேக்கரண்டி,
வெந்தயம் - 1/4 தேக்கரண்டி,
வெள்ளை எள்ளு - 1 தேக்கரண்டி,
காய்ந்தமிளகாய் - 5,
பெருங்காயத்தூள் - 1/4 தேக்கரண்டி,
புளி - 1 கப்,
எண்ணெய் - 4 மேசைக்கரண்டி,
கடலை பருப்பு - 1 தேக்கரண்டி,
உளுத்தம் பருப்பு - 1 தேக்கரண்டி,
வேர்க்கடலை - 1 மேசைக்கரண்டி,
கடுகு - 1/2 தேக்கரண்டி,
காய்ந்தமிளகாய் - 4,
பெருங்காயத்தூள் - 1/4 தேக்கரண்டி,
மஞ்சள் தூள் - 1/2 தேக்கரண்டி,
கல் உப்பு - 2 மேசைக்கரண்டி,
பொடித்த வெல்லம் - 1 1/2 தேக்கரண்டி,
கறிவேப்பிலை.</t>
  </si>
  <si>
    <t>First, pour hot water and soak the tamarind.
In a separate pan, add the groundnuts, urad dal, pepper, fenugreek, white sesame seeds, and dried chilies and fry until golden brown.
Then cool well, put them in a mixer and add the turmeric powder and grind it into a powder.
Then pour oil in a pan and add the groundnuts, urad dal, and peanuts and fry for 2 minutes.
Then add the mustard, dried chilies, turmeric powder, and curry leaves to it and mix.
Next, pour the tamarind solution. Then add turmeric powder, rock salt, and mix and boil on medium heat for 10 minutes.
Then add the powdered jaggery.
Then add the ground masala powder and boil on low heat for 5 minutes. Add salt if necessary.
Mix the required amount of tamarind mix with hot rice and serve after 30 minutes.
Pour the tamarind mix into a bottle and store in the refrigerator for up to a month.</t>
  </si>
  <si>
    <t xml:space="preserve">முதலில் சுடு தண்ணீர் ஊற்றி புளியை ஊறவைக்கவும்.
கடாயில் தனியா, கடலை பருப்பு, உளுத்தம் பருப்பு, மிளகு, வெந்தயம், வெள்ளை எள்ளு, காய்ந்தமிளகாய் சேர்த்து பொன்னிறமாக வறுத்துக்கொள்ளவும்.
பின்பு நன்கு ஆறவிட்டு, மிக்ஸியில் போட்டு அதனுடன் பெருங்காயத்தூள் சேர்த்து தூளாக அரைத்து கொள்ளவும்.
பிறகு கடாயில் எண்ணெய் ஊற்றி அதில் கடலை பருப்பு, உளுத்தம் பருப்பு, வேர்க்கடலை சேர்த்து 2 நிமிடம் வறுத்து கொள்ளவும்.
 பின்பு அதில் கடுகு, காய்ந்த மிளகாய், பெருங்காயத்தூள் மற்றும் கறிவேப்பிலை சேர்த்து கலந்துவிடவும்.
அடுத்து புளி கரைசலை ஊற்றவும். பின்பு மஞ்சள் தூள், கல் உப்பு சேர்த்து கலந்துவிட்டு மிதமான தீயில் 10 நிமிடம் கொதிக்கவிடவும்.
பிறகு பொடித்த வெல்லம் சேர்க்கவும்.
 பின்பு அரைத்த மசாலா தூள் சேர்த்து குறைந்த தீயில் 5 நிமிடம் கொதிக்கவிடவும். தேவைப்பட்டால் உப்பு சேர்க்கவும்.
சூடான சாதத்துடன் தேவையான அளவு புளியோதரை மிக்ஸை கலந்து 30 நிமிடத்திற்கு பிறகு பரிமாறவும்.
புளியோதரை மிக்ஸை பாட்டிலில் ஊற்றி பிரிட்ஜில் வைத்து ஒரு மாதம் வரை பயன்படுத்தலாம். </t>
  </si>
  <si>
    <t>https://nonprod-media.webdunia.com/public_html/_media/ta/img/article/2021-08/02/full/1627892888-6534.jpg</t>
  </si>
  <si>
    <t>https://youtu.be/c5kXGnwzsBs?si=JqwJHlo5O6-XQk8v</t>
  </si>
  <si>
    <t>Onion Parotta</t>
  </si>
  <si>
    <t>வெங்காய பரோட்டா</t>
  </si>
  <si>
    <t>Wheat flour - 1 cup,
All purpose flour - 1 cup,
Salt - 1/2 teaspoon,
Sugar - 1/2 teaspoon,
Oil,
Water,
Onions - 2 finely chopped,
Garlic - 3 cloves chopped,
Green chilies - 2 chopped,
Salt - 1/4 teaspoon,
Oil - 2 tablespoons,
Ghee.</t>
  </si>
  <si>
    <t>கோதுமை மாவு - 1 கப், 
மைதா - 1 கப்,
உப்பு - 1/2 தேக்கரண்டி,
சர்க்கரை - 1/2 தேக்கரண்டி,
எண்ணெய்,
தண்ணீர், 
வெங்காயம் - 2 மெல்லியதாக நறுக்கியது ,
பூண்டு - 3 பற்கள் நறுக்கியது, 
பச்சை மிளகாய் - 2 நறுக்கியது ,
உப்பு  - 1/4 தேக்கரண்டி , 
எண்ணெய் - 2 மேசைக்கரண்டி,
நெய்.</t>
  </si>
  <si>
    <t>To make the dough, in a bowl, mix together the wheat flour, all purpose flour, salt and sugar.
Next, add oil to it and mix.
Add water little by little and knead.
Knead for at least 10 minutes.
Apply some oil on the dough and let it soak for 15 minutes.
In a bowl, mix the onion, garlic, green chilies and salt.
Pour oil in a pan, add the onion and fry.
Fry the onion until golden brown.
Take a small amount from the kneaded dough and rub it.
Spread the fried onion mixture over the dough.
Fold the dough and roll it.
Rub the dough again.
Heat the tava, pour ghee on the prepared paratha and bake it.
Delicious onion paratha is ready.
Send feedback
Side panels
History
Saved</t>
  </si>
  <si>
    <t>மாவு செய்ய, பாத்திரத்தில், கோதுமை மாவு, மைதா, உப்பு மற்றும் சர்க்கரை சேர்த்து கலக்கவும். 
அடுத்து இதில் எண்ணெய் சேர்த்து கலக்கவும்.
 சிறிது சிறிதாக தண்ணீர் ஊற்றி பிசையவும்.
குறைந்தது 10 நிமிடம் பிசையவும்.
 மாவில் மேல் சிறிது எண்ணெய் தடவி, 15 நிமிடம் ஊறவைக்கவும்.
 பாத்திரத்தில், வெங்காயம், பூண்டு, பச்சைமிளகாய், உப்பு சேர்த்து கலக்கவும்.
கடாயில் எண்ணெய் ஊற்றி, வெங்காயம் போட்டு வதக்கவும்.
 வெங்காயம் பொன்னிறமாகும் வரை வதக்கவும். 
பிசைந்த மாவில் இருந்து சிறிதளவு எடுத்து தேய்க்கவும்.
வதக்கிய வெங்காய கலவையை மாவின் மேல் பரப்பவும். 
 மாவை மடித்து சுற்றவும்.
மறுபடியும் மாவை தேய்க்கவும். 
 தவா சூடு செய்து, செய்த பரோட்டாவை நெய் ஊற்றி சுடவும்.
அருமையான வெங்காய பரோட்டா தயார்.</t>
  </si>
  <si>
    <t>https://images.hindustantimes.com/tamil/img/2024/11/20/550x309/pyaaz_paratha_1732098571392_1732102126384_1732120941646.jpg</t>
  </si>
  <si>
    <t>https://youtu.be/I_AbjXKGUhk?si=ozd7PWAkbNmNsdTq</t>
  </si>
  <si>
    <t>Basmati rice - 1 cup,
Water,
Ghee - 1 tbsp,
Oil - 1 tbsp,
Baking stock - 1 small piece,
Cloves - 6,
Cardamom - 3,
Pineapple blossom - 1,
Biryan leaves - 1,
Onions - 2 chopped,
Green chillies - 2 chopped,
Ginger garlic paste - 1 tsp,
Tomatoes - 4 chopped,
Turmeric powder - 1/4 tsp,
Salt - 1 tsp,
Chili powder - 3 tsp,
Garram masala powder - 1 tsp,
Coriander leaves.</t>
  </si>
  <si>
    <t xml:space="preserve">பாஸ்மதி அரிசி - 1 கப்,
தண்ணீர்,
நெய் - 1 மேசைக்கரண்டி,
எண்ணெய் - 1 மேசைக்கரண்டி,
பட்டை - 1 சிறிய துண்டு,
கிராம்பு - 6,
ஏலக்காய் - 3,
அன்னாசிப்பூ - 1,
பிரியாணி இலை - 1,
வெங்காயம் - 2 நறுக்கியது,
பச்சை மிளகாய் - 2 நறுக்கியது,
இஞ்சி பூண்டு விழுது - 1 தேக்கரண்டி,
தக்காளி - 4 நறுக்கியது,
மஞ்சள் தூள் - 1/4 தேக்கரண்டி,
உப்பு - 1 தேக்கரண்டி,
மிளகாய் தூள் - 3 தேக்கரண்டி,
கரம் மசாலா தூள் - 1 தேக்கரண்டி,
கொத்தமல்லி இலை.
</t>
  </si>
  <si>
    <t>First wash the rice and soak it for 30 minutes.
Pour ghee and oil in the cooker and add the bark, cloves, cardamom, pineapple blossom, and biryani leaves.
Then add chopped onion and fry, once the onion is half cooked, add chopped green chillies and fry.
Then add ginger garlic paste and fry.
Next add chopped tomato and mix it, add turmeric powder, salt, chilli powder, garam masala powder and mix it.
Then add soaked rice and mix it, add chopped coriander leaves to it.
Then add water and mix it, close the cooker and cook on medium flame till 1 whistle.
Tomato rice is ready.</t>
  </si>
  <si>
    <t>முதலில் அரிசியை கழுவி 30 நிமிடம் ஊறவிடவும்.
குக்கரில் நெய் மற்றும் எண்ணெய் ஊற்றி அதில் பட்டை, கிராம்பு, ஏலக்காய், அன்னாசிப்பூ, பிரியாணி இலை சேர்க்கவும்.
 பின்பு நறுக்கிய வெங்காயம் சேர்த்து வதக்கவும், வெங்காயம் பாதி வதங்கியதும் நறுக்கிய பச்சை மிளகாய் சேர்த்து வதக்கவும்.
 பிறகு இஞ்சி பூண்டு விழுது சேர்த்து வதக்கவும்.
அடுத்து நறுக்கிய தக்காளி சேர்த்து கலந்து, அதில் மஞ்சள் தூள், உப்பு, மிளகாய் தூள், கரம் மசாலா தூள் சேர்த்து கலந்துவிடவும்.
 பின்பு ஊறவைத்த அரிசியை சேர்த்து கலந்து, அதில் நறுக்கிய கொத்தமல்லி இலை சேர்க்கவும்.
பிறகு தண்ணீர் ஊற்றி கலந்து குக்கரை மூடி 1 விசில் வரும் வரை மிதமான தீயில் வேகவிடவும்.
 தக்காளி சாதம் தயார்.</t>
  </si>
  <si>
    <t>https://encrypted-tbn0.gstatic.com/images?q=tbn:ANd9GcQ2GS_bRCrG-oI1X4H-nuz2J9p4S35K_2ihqQ&amp;s</t>
  </si>
  <si>
    <t>https://youtu.be/Cu1mC_s_uyI?si=RR6-ShKlDHljTl9r</t>
  </si>
  <si>
    <t>Cauliflower - 1 boiled,
Boil - 1 cup,
Baking powder - 1 small piece,
Cloves - 3,
Cardamom - 3,
Onion - 2 finely chopped,
Tomato - 1 chopped,
Green chillies - 2 grated,
Grated coconut - 1 tablespoon,
Coriander leaves,
Mint leaves,
Ginger garlic paste - 1 teaspoon,
Sambar powder - 1 1/2 teaspoons,
Salt.</t>
  </si>
  <si>
    <t>காலிஃபிளவர் - 1 வேகவைத்தது,
வேகவைத்த சாதம் - 1 கிண்ணம்,
நெய் - 1 கப்,
பட்டை - 1 சிறிய துண்டு,
கிராம்பு - 3,
ஏலக்காய் - 3,
வெங்காயம் - 2 மெல்லியதாக நறுக்கியது,
தக்காளி - 1 நறுக்கியது,
பச்சை மிளகாய் - 2 கீறியது,
துருவிய தேங்காய் - 1 மேசைக்கரண்டி,
கொத்தமல்லி இலை,
புதினா இலை,
இஞ்சி பூண்டு விழுது - 1 தேக்கரண்டி,
சாம்பார் பொடி - 1 1/2 தேக்கரண்டி,
உப்பு.</t>
  </si>
  <si>
    <t>Pour ghee in a pan and fry the bhaji, cloves, cardamom, onion, green chillies.
Then add the ginger garlic paste, tomatoes and fry.
Then add the grated coconut and salt and mix, then add the sambar powder and mix.
Next, add the mint leaves and fry them, then cool them well and grind them into a paste by adding water.
Pour ghee in the same pan and add the boiled cauliflower, salt, and sambar powder and mix them.
Then add the ground masala paste, coriander leaves, and mint leaves and mix them.
Then mix the ghee and boiled rice and serve the cauliflower rice.</t>
  </si>
  <si>
    <t>கடாயில் நெய் ஊற்றி அதில் பட்டை, கிராம்பு, ஏலக்காய், வெங்காயம், பச்சை மிளகாய் சேர்த்து வதக்கவும்.
பின்பு இஞ்சி பூண்டு விழுது, தக்காளி சேர்த்து வதக்கவும்.
 பிறகு துருவிய தேங்காய் மற்றும் உப்பு சேர்த்து கலந்து, பின்பு சாம்பார் பொடி சேர்த்து கலந்துவிடவும்.
அடுத்து புதினா இலை சேர்த்து வதக்கி, பின்பு நன்கு ஆறவிட்டு தண்ணீர் சேர்த்து விழுதாக அரைக்கவும்.
 அதே கடாயில் நெய் ஊற்றி வேகவைத்த காலிஃபிளவர், உப்பு, சாம்பார் பொடி சேர்த்து கலந்துவிடவும்.
பிறகு அரைத்த மசாலா விழுது, கொத்தமல்லி இலை மற்றும் புதினா இலை சேர்த்து கலந்துவிடவும்.
பின்பு நெய் மற்றும் வேகவைத்த சாதத்தை சேர்த்து கலந்து காலிஃபிளவர் சாதத்தை பரிமாறவும்.</t>
  </si>
  <si>
    <t>https://img-global.cpcdn.com/recipes/adef68352a80744c/680x482cq70/%E0%AE%95%E0%AE%B2%E0%AE%83%E0%AE%AA%E0%AE%B3%E0%AE%B5%E0%AE%B0-%E0%AE%AA%E0%AE%9F%E0%AE%9F%E0%AE%A3-%E0%AE%95%E0%AE%B2%E0%AE%B5-%E0%AE%9A%E0%AE%A4%E0%AE%AEpeas-cauliflower-rice-recipe-in-tamil-%E0%AE%9A%E0%AE%AF%E0%AE%AE%E0%AE%B1-%E0%AE%AE%E0%AE%95%E0%AE%95%E0%AE%AF-%E0%AE%AA%E0%AE%95%E0%AE%AA%E0%AE%AA%E0%AE%9F%E0%AE%AE.jpg</t>
  </si>
  <si>
    <t>https://youtu.be/t6NS533mxXs?si=SADNeB24DUUJqL6R</t>
  </si>
  <si>
    <t>Ambur Chicken Biryani</t>
  </si>
  <si>
    <t>ஆம்பூர் சிக்கன் பிரியாணி</t>
  </si>
  <si>
    <t>Chicken - 1 kg,
Ceera Sambha Rice - 1 cup (500 ml cup),
Water,
Ghee - 7 tablespoons,
Oil - 1 tablespoon,
Baking powder,
Cloves,
Cardamom,
Onion - 3 finely chopped,
Ginger paste - 2 tablespoons,
Garlic paste - 2 tablespoons,
Green chilies - 2 grated,
Tomato - 3 chopped,
Rock salt - 2 tablespoons,
Turmeric powder - 1/2 teaspoon,
Chili powder - 3 tablespoons,
Hot water - 1 cup,
Lemon juice - 1 fruit,
Yogurt - 4 tablespoons,
Mint leaves,
Coriander leaves,
Kneaded chapati flour.</t>
  </si>
  <si>
    <t>சிக்கன் - 1 கிலோ,
சீரக சம்பா அரிசி - 1 கப் (500 மில்லி கப்),
தண்ணீர்,
நெய் - 7 தேக்கரண்டி,
எண்ணெய் - 1 மேசைக்கரண்டி,
பட்டை, 
கிராம்பு, 
ஏலக்காய்,
வெங்காயம் - 3 மெல்லியதாக நறுக்கியது,
இஞ்சி விழுது - 2 தேக்கரண்டி,
பூண்டு விழுது - 2 தேக்கரண்டி,
பச்சை மிளகாய் - 2 கீறியது,
தக்காளி - 3 நறுக்கியது,
கல் உப்பு - 2 தேக்கரண்டி,
மஞ்சள் தூள் - 1/2 தேக்கரண்டி,
மிளகாய் தூள் - 3 தேக்கரண்டி,
சூடு தண்ணீர் - 1 கப்,
எலுமிச்சைபழச்சாறு - 1 பழம்,
தயிர் - 4 மேசைக்கரண்டி,
புதினா இலை,
கொத்தமல்லி இலை,
பிசைந்த சப்பாத்தி மாவு.</t>
  </si>
  <si>
    <t>First wash the rice well and soak it for 20 minutes.
Next, add ghee, oil, cinnamon, cloves, and cardamom in a wide vessel.
Then add chopped onion and fry until golden brown.
Then add ginger paste, garlic paste, and green chilies and fry.
Next, add chopped tomatoes and salt and fry.
Then add turmeric powder, chili powder, and mix and then add chicken pieces and fry.
Next, add hot water, lemon juice, and yogurt and mix.
Then add mint and coriander leaves, cover the vessel and cook on low flame for 10 minutes.
Next, pour water in another vessel, when the water boils, add salt to it, then add soaked rice and cook for 3/4 of it.
Then drain the rice and keep it aside.
Then place a dosa stone on the stove and place the chicken-cooked vessel on top of it.
Next, add the boiled rice and mix, then add ghee, mint, and coriander leaves.
Then cover the vessel, seal it with kneaded dough and cook on medium flame for 25 minutes.
Ambur Chicken Biryani is ready!</t>
  </si>
  <si>
    <t>முதலில் அரிசியை நன்கு கழுவி 20 நிமிடம் ஊறவிடவும்.
அடுத்து அகலமான பாத்திரத்தில் நெய், எண்ணெய், பட்டை, கிராம்பு,ஏலக்காய் சேர்க்கவும்.
பின்பு நறுக்கிய வெங்காயம் சேர்த்து பொன்னிறமாக வதக்கவும்.
 பிறகு இஞ்சி விழுது, பூண்டு விழுது, பச்சை மிளகாய் சேர்த்து வதக்கவும்.
 அடுத்து நறுக்கிய தக்காளி மற்றும் உப்பு சேர்த்து வதக்கவும்.
 பின்பு மஞ்சள் தூள், மிளகாய் தூள் சேர்த்து கலந்து பின்பு சிக்கன் துண்டுகளை சேர்த்து வதக்கவும்.
அடுத்து சூடு தண்ணீர், எலுமிச்சைபழச்சாறு, தயிர் சேர்த்து கலந்து கொள்ளவும்.
 பிறகு புதினா, கொத்தமல்லி இலை சேர்த்து பாத்திரத்தை மூடி மீதமான தீயில் 10 நிமிடம் வேகவிடவும்.
அடுத்து மற்றோரு பாத்திரத்தில் தண்ணீர் ஊற்றி தண்ணீர் சூடானதும் அதில் உப்பு சேர்த்து பின்பு ஊறவைத்த அரிசியை சேர்த்து 3/4 பாகம் வேகவிடவும்.
 பின்பு அரிசியை வடித்து தனியாக வைக்கவும்.
 பிறகு அடுப்பில் தோசை கல்லை வைத்து அதின் மேல் சிக்கன் வேகவைத்த பாத்திரத்தை வைக்கவும்.
அடுத்து வேகவைத்த அரிசியை அதில் சேர்த்து கலந்து, பிறகு நெய் மற்றும் புதினா, கொத்தமல்லி இலை சேர்க்கவும்.
 பின்பு பாத்திரத்தை மூடி அதை சுற்றிலும் பிசைந்த மாவால் சீல் செய்து மிதமான தீயில் 25 நிமிடம் வேகவிடவும்.
ஆம்பூர் சிக்கன் பிரியாணி தயார்!</t>
  </si>
  <si>
    <t>https://palatesdesire.com/wp-content/uploads/2022/05/ambur-chicken-biryani-recipe@palates-desire.jpg</t>
  </si>
  <si>
    <t>https://youtu.be/rmWcuTdVPvc?si=JxWzGyH3sJTI6vR0</t>
  </si>
  <si>
    <t>Navaratna Pulao</t>
  </si>
  <si>
    <t>நவரத்ன புலாவ்</t>
  </si>
  <si>
    <t>Basmati rice - 1 cup,
Panner - 200 grams,
Salt,
Ghee,
Cashew nuts,
Almonds chopped,
Raisins,
Potato chopped,
Carrot chopped,
Cauliflower chopped,
Beans chopped,
Green peas,
Baking soda,
Cardamom,
Biryani leaves,
Pineapple blossom,Cloves,
Pepper - 1 teaspoon,
Shajira - 1 teaspoon,
Lemon juice - 1/2 fruit,
Saffron milk,
Fried onion.</t>
  </si>
  <si>
    <t>பாஸ்மதி அரிசி - 1 கப்,
பன்னீர் - 200 கிராம்,
உப்பு, 
நெய், 
முந்திரி பருப்பு,
பாதாம் நறுக்கியது,
காய்ந்த  திராட்சை,
உருளைக்கிழங்கு நறுக்கியது,
கேரட் நறுக்கியது,
காலிஃபிளவர் நறுக்கியது,
பீன்ஸ் நறுக்கியது,
பச்சை பட்டாணி,
பட்டை, 
ஏலக்காய், 
பிரியாணி இலை,
அன்னாசி பூ, கிராம்பு,
மிளகு - 1 தேக்கரண்டி,
ஷாஜீரா - 1 தேக்கரண்டி,
எலுமிச்சைபழச்சாறு - 1/2 பழம்,
குங்குமப்பூ பால் ,
வறுத்த வெங்காயம்.</t>
  </si>
  <si>
    <t>First wash the rice and soak it for 30 minutes. Then pour water in a vessel and when the water boils, add the soaked rice and salt to it and boil it.
Then when the rice is cooked, drain the water and keep it aside.
Pour ghee in a pan and add cashew nuts, almonds, and raisins and fry them.
Next, pour ghee in a pan and add chopped paneer and fry them until golden brown and keep aside.
Next, add potatoes and carrots to the pan and fry them. When the vegetables are half cooked, add salt and stir. Cover the pan and cook for 5 minutes.
Next, pour ghee in a pan and add chopped cauliflower, beans, and green peas to it and fry them. Then cover the pan and cook for 5 minutes.
Then add salt and mix and cover the pan and cook for 5 minutes.
Next, pour ghee in a wide pan and add the cardamom, cloves, cardamom, bay leaf, pineapple blossom, pepper, and shajeera.
Then add the boiled basmati rice.
Then add the fried vegetables and paneer.
Then add salt, lemon juice, saffron milk and mix.
Then add roasted cashews, almonds and raisins and stir.
Finally add roasted onions and cover the pan and cook on low flame for 5 minutes.
Navaratna Pulao is ready.</t>
  </si>
  <si>
    <t>முதலில் அரிசியை கழுவி 30 நிமிடம் ஊறவிடவும். பின்பு பாத்திரத்தில் தண்ணீர் ஊற்றி தண்ணீர் சூடானதும், அதில் ஊறவைத்த அரிசி மற்றும் உப்பு சேர்த்து வேகவிடவும்.
பின்பு அரிசி வெந்ததும் தண்ணீரை வடித்து தனியாக எடுத்து வைக்கவும்.
கடாயில் நெய் ஊற்றி அதில் முந்திரி பருப்பு, பாதாம், காய்ந்த திராட்சை சேர்த்து வறுத்து எடுக்கவும்.
அடுத்து கடாயில் நெய் ஊற்றி அதில் நறுக்கிய பன்னீரை சேர்த்து பொன்னிறமாகும் வரை வறுத்து தனியாக எடுத்து வைக்கவும்.
 அடுத்து கடாயில் உருளைக்கிழங்கு, கேரட் சேர்த்து வதக்கவும். காய் பாதி வதங்கியதும் உப்பு சேர்த்து கிளறவும். கடாயை மூடிவைத்து 5 நிமிடம் வேகவிடவும்.
 அடுத்து கடாயில் நெய் ஊற்றி அதில் நறுக்கிய காலிஃபிளவர், பீன்ஸ் மற்றும் பச்சை பட்டாணி சேர்த்து வதக்கவும். பின்பு கடாயை மூடி 5 நிமிடம் வேகவிடவும்.
பின்பு உப்பு சேர்த்து கலந்து கடாயை மூடி 5 நிமிடம் வேகவிடவும்.
அடுத்து அகலமான கடாயில் நெய் ஊற்றி அதில் பட்டை, கிராம்பு, ஏலக்காய், பிரியாணி இலை, அன்னாசி பூ, மிளகு, ஷாஜீரா சேர்த்து கலந்து கொள்ளவும்.
 பின்பு வேகவைத்த பாஸ்மதி அரிசியை சேர்க்கவும்.
 பிறகு வறுத்த காய்கறிகள் மற்றும் பன்னீரை சேர்க்கவும்.
 பின்பு உப்பு, எலுமிச்சைபழச்சாறு, குங்குமப்பூ பால் சேர்த்து கலந்து கொள்ளவும்.
 பிறகு வறுத்த முந்திரி, பாதாம், திராட்சையை சேர்த்து கிளறவும்.
 கடைசியாக வறுத்த வெங்காயம் சேர்த்து கடாயை மூடி குறைந்த தீயில் 5 நிமிடம் வேகவிடவும்.
நவரத்ன புலாவ் தயார்.</t>
  </si>
  <si>
    <t>https://encrypted-tbn0.gstatic.com/images?q=tbn:ANd9GcRPlHY_tPG5cpqMzjNR3SxCBbWm0mxfXeVq_A&amp;s</t>
  </si>
  <si>
    <t>https://youtu.be/Kn0z9RrluzQ?si=9DKQisJprHSwb0m0</t>
  </si>
  <si>
    <t>Carrots - 1 cup grated,
Basmati rice - 200 grams boiled,
Onions - 2 chopped,
Turmeric powder - 1/4 teaspoon,
Karam masala powder - 3/4 teaspoon,
Sambar powder - 1 1/2 teaspoon,
Salt - as required,
Ghee - 1 tablespoon,
Cashew nuts,
Coriander leaves,
Mustard - 1/2 teaspoon,
Cumin - 1/2 teaspoon,
Red chilies - 2,
Curry leaves.</t>
  </si>
  <si>
    <t>கேரட் - 1 கப் துருவியது,
பாஸ்மதி அரிசி - 200 கிராம் வேகவைத்தது,
வெங்காயம் - 2 நறுக்கியது,
மஞ்சள் தூள் - 1/4 தேக்கரண்டி,
கரம் மசாலா தூள் - 3/4 தேக்கரண்டி,
சாம்பார் தூள் - 1 1/2 தேக்கரண்டி,
உப்பு - தேவையான அளவு, 
நெய் - 1 மேசைக்கரண்டி,
முந்திரி பருப்பு,
கொத்தமல்லி இலை,
கடுகு - 1/2 தேக்கரண்டி,
சீரகம் - 1/2 தேக்கரண்டி,
சிவப்பு மிளகாய் - 2,
கறிவேப்பிலை.</t>
  </si>
  <si>
    <t>In a pan, add ghee and melt it, add mustard, cumin, red chilies, and cashew nuts.
Once the mustard seeds start to crackle, add the onions and fry.
When the onions turn golden brown, add the grated carrots and mix. Then add salt, turmeric powder, garam masala powder, sambar powder and curry leaves and stir.
Once the carrots are cooked, turn off the stove and add the cooked basmati rice and mix.
Finally, sprinkle coriander leaves on top and serve the carrot rice hot.</t>
  </si>
  <si>
    <t>ஒரு பானில் நெய் சேர்த்து உருகியதும், கடுகு, சீரகம், சிவப்பு மிளகாய், முந்திரி பருப்பு சேர்த்து வறுக்கவும்.
 கடுகு வெடிக்க ஆரம்பித்தவுடன், வெங்காயம் சேர்த்து வதக்கவும்.
 வெங்காயம் பொன்னிறமானதும், துருவிய கேரட்டைச் சேர்த்து கலந்து விடவும். பின்னர் உப்பு, மஞ்சள் தூள், கரம் மசாலா தூள், சாம்பார் தூள் மற்றும் கறிவேப்பிலை சேர்த்து கிளறவும்.
கேரட் வெந்ததும், அடுப்பை அணைத்து, வேகவைத்த பாஸ்மதி அரிசியைச் சேர்த்து கலக்கவும்.
 இறுதியாக கொத்தமல்லி இலையை மேலே தூவி கேரட் சாதத்தை சூடாக பரிமாறவும்.</t>
  </si>
  <si>
    <t>https://encrypted-tbn0.gstatic.com/images?q=tbn:ANd9GcR_e_PRho_rt-layh0CEqVunV9kg0aVQj-1Jg&amp;s</t>
  </si>
  <si>
    <t>https://youtu.be/69cxiOL6G70?si=hMBwI-INnMb7OAo2</t>
  </si>
  <si>
    <t>முட்டை ப்ரைட் ரைஸ்</t>
  </si>
  <si>
    <t>Basmati rice - 1 cup,
Eggs - 4,
Onion - 1 chopped,
Red chili - 1 chopped,
Green chili - 1 chopped,
Garlic chopped - a little,
Ginger chopped - a little,
Bellied chili - 1 chopped,
Soy sauce - 2 tablespoons,
Onion leaves chopped - a little,
Onion leaves chopped onion - a little,
Oil,
Salt.</t>
  </si>
  <si>
    <t>பாஸ்மதி அரிசி - 1 கப்,
முட்டை - 4,
வெங்காயம் - 1 நறுக்கியது,
சிவப்பு மிளகாய் - 1 பொடியாக நறுக்கியது, 
பச்சை மிளகாய் - 1 பொடியாக நறுக்கியது,
பூண்டு நறுக்கியது - சிறிதளவு,
இஞ்சி நறுக்கியது - சிறிதளவு,
குடைமிளகாய் - 1 பொடியாக நறுக்கியது,
சோயா சாஸ் - 2 தேக்கரண்டி,
வெங்காயத்தாள் நறுக்கியது - சிறிதளவு,
வெங்காயத்தாள் வெங்காயம் நறுக்கியது - சிறிதளவு,
எண்ணெய், 
உப்பு.</t>
  </si>
  <si>
    <t>Pour water in a vessel and when the water boils, add salt and washed rice to it and cook.
When the rice is cooked, drain the water and keep it aside.
Pour oil in a pan and when the oil is hot, crack the egg into it.
Then add salt and pepper powder and mix and cook until half cooked.
Next, pour oil into the pan and add chopped garlic, ginger, onion, red chili, and green chili and sauté.
Then add chopped bell pepper and stir fry on high heat for 2 minutes.
Then add salt, pepper powder, soy sauce, onion leaves, and onion and stir.
Next, add half the boiled egg and stir.
Then, turn the stove to low heat and add the drained rice and mix.
Finally, add the chopped onion leaves and mix.
Egg fried rice is ready!</t>
  </si>
  <si>
    <t>பாத்திரத்தில் தண்ணீர் ஊற்றி தண்ணீர் கொதித்ததும், அதில் உப்பு மற்றும் கழுவிய அரிசியை சேர்த்து வேகவிடவும்.
 சாதம் வெந்ததும் தண்ணீரை வடித்து தனியாக வைக்கவும்.
 ஒரு கடாயில் எண்ணெய் ஊற்றி, எண்ணெய் சூடானதும் அதில் முட்டையை உடைத்து ஊற்றவும்.
 பின்பு உப்பு மற்றும் மிளகு தூள் சேர்த்து கலந்து பாதியளவு வேகவிடவும்.
அடுத்து கடாயில் எண்ணெய் ஊற்றி அதில் நறுக்கிய பூண்டு, இஞ்சி, வெங்காயம், சிவப்பு மிளகாய், பச்சை மிளகாய் சேர்த்து வதக்கவும்.
பின்பு நறுக்கிய குடைமிளகாய் சேர்த்து அதிக தீயில் 2 நிமிடம் ஸ்டர் ப்ரை செய்யவும்.
 பிறகு உப்பு, மிளகு தூள், சோயா சாஸ், வெங்காயத்தாள் வெங்காயம் சேர்த்து கிளறவும்.
 அடுத்து பாதியளவு வேகவைத்த முட்டையை சேர்த்து கிளறவும்.
பின்பு அடுப்பை குறைந்த தீயில் வைத்து வடித்து வைத்த சாதத்தை சேர்த்து கலந்து கொள்ளவும்.
 கடைசியாக நறுக்கிய வெங்காயத்தாள் சேர்த்து கலந்துவிடவும்.
 முட்டை ப்ரைட் ரைஸ் தயார்!</t>
  </si>
  <si>
    <t>https://i.ytimg.com/vi/6cAtjGBoi0Y/hq720.jpg?sqp=-oaymwEhCK4FEIIDSFryq4qpAxMIARUAAAAAGAElAADIQj0AgKJD&amp;rs=AOn4CLCGyKCJOyUydGJY4k6A22Shl5gGqg</t>
  </si>
  <si>
    <t>https://youtu.be/X2Njn060FQQ?si=gqtqAoAA3eLQChS1</t>
  </si>
  <si>
    <t>Garlic Egg Fried Rice</t>
  </si>
  <si>
    <t>பூண்டு முட்டை ப்ரைட் ரைஸ்</t>
  </si>
  <si>
    <t>Boiled rice - 1 bowl,
Garlic - 2 whole cloves,
Eggs - 3,
Oil - 1 tablespoon,
Red chilies - 3,
Onion leaves,
Onion leaves,
Salt - 1 teaspoon,
Chili powder - 1 teaspoon,
Light soy sauce - 2 teaspoons.</t>
  </si>
  <si>
    <t>வேகவைத்த சாதம் - 1 கிண்ணம்,
பூண்டு - 2 முழு பூண்டு,
முட்டை - 3,
எண்ணெய் - 1 மேசைக்கரண்டி,
சிவப்பு மிளகாய் - 3,
வெங்காயத்தாள் வெங்காயம்,
வெங்காயத்தாள்,
உப்பு - 1 தேக்கரண்டி,
மிளகு தூள் - 1 தேக்கரண்டி,
லைட் சோயா சாஸ் - 2 தேக்கரண்டி.</t>
  </si>
  <si>
    <t>Peel the garlic and chop it finely.
Next, break the egg and pour it in, add salt and beat it well.
Pour oil in a pan and add chopped garlic and fry it until golden brown.
Then add chopped red chilies, onion leaves, onion, and egg mixture and mix.
Then add the rice and mix, add salt, pepper powder, light soy sauce, and onion leaves.
Garlic Egg Fried Rice is ready!</t>
  </si>
  <si>
    <t>பூண்டை தோல் நீக்கி மெல்லியதாக நறுக்கி கொள்ளவும்.
 அடுத்து முட்டையை உடைத்து ஊற்றி அதில் உப்பு சேர்த்து நன்கு அடித்து கொள்ளவும்.
 கடாயில் எண்ணெய் ஊற்றி அதில் நறுக்கிய பூண்டு சேர்த்து பொன்னிறமாக வதக்கவும்.
 பின்பு நறுக்கிய சிவப்பு மிளகாய், வெங்காயத்தாள் வெங்காயம், முட்டை கலவை சேர்த்து கலந்து கொள்ளவும்.
 பிறகு சாதத்தை சேர்த்து கலந்து உப்பு, மிளகு தூள், லைட் சோயா சாஸ், வெங்காயத்தாள் சேர்த்து கலந்து கொள்ளவும்.
 கார்லிக் முட்டை ப்ரைட் ரைஸ் தயார்!</t>
  </si>
  <si>
    <t>https://encrypted-tbn0.gstatic.com/images?q=tbn:ANd9GcT_yDGGcGxG6rtc26PRSDa5O46Y-sICG2rnAg&amp;s</t>
  </si>
  <si>
    <t>https://youtu.be/AIQm6szcaH0?si=k_dUDYr6TN4QF4qd</t>
  </si>
  <si>
    <t>Mutton Tuna Biryani</t>
  </si>
  <si>
    <t>மட்டன் தொன்னை பிரியாணி</t>
  </si>
  <si>
    <t>Mutton - 2 kg,
Salt - 2 tsp,
Turmeric powder - 1 tsp,
Chilli powder - 4 tsp,
Ginger garlic paste - 1 tbsp,
Yogurt - 2 tbsp,
Ghee - 2 tbsp,
Baking oil - 2 tbsp,
Baking powder,
Cardamom,
Cloves,
Pepper - 1 tbsp,
Onion - 5 finely chopped,
Green chillies - 10,
Water,
Mint,
Coriander,
Ghee - 1 tbsp,
Mint leaves,
Coriander leaves chopped,
Denil,
Water,
Seeraga Sambha Rice - 1 kg,
Ghee - 2 tbsp,
Ghee - 3 Tablespoon,
Bayar,
Cloves,
Cardamom,
Pineapple blossom,
Bayari leaves,
Java,
Kalpashi,
Shahi jeera - 1 teaspoon,
Aneem - 1 teaspoon,
Onion - 1 finely chopped,
Ginger paste - 1 teaspoon,
Garlic paste - 3 teaspoons,
Tomato - 1 chopped,
Soaked mutton,
Onion green chilli paste,
Mint, coriander,
Dengar paste,
Water - 5 1/2 cups,
Salt.</t>
  </si>
  <si>
    <t>மட்டன் - 2 கிலோ,
உப்பு - 2 தேக்கரண்டி,
மஞ்சள் தூள் - 1 தேக்கரண்டி,
மிளகாய் தூள் - 4 தேக்கரண்டி,
இஞ்சி பூண்டு விழுது - 1 மேசைக்கரண்டி,
தயிர் - 2 மேசைக்கரண்டி,
நல்லெண்ணெய் - 2 தேக்கரண்டி,
பட்டை,
ஏலக்காய்,
கிராம்பு,
மிளகு - 1 தேக்கரண்டி,
வெங்காயம் - 5 மெல்லியதாக நறுக்கியது,
பச்சை மிளகாய் - 10,
தண்ணீர்,
புதினா,
கொத்தமல்லி, 
நல்லெண்ணெய் - 1 தேக்கரண்டி,
புதினா இலை,
கொத்தமல்லி இலை நறுக்கியது,
வெந்தயக்கீரை,
தண்ணீர்,
சீரக சம்பா அரிசி - 1 கிலோ,
நல்லெண்ணெய் - 2 தேக்கரண்டி,
நெய் - 3 மேசைக்கரண்டி,
பட்டை,
கிராம்பு,
ஏலக்காய்,
அன்னாசிப்பூ,
பிரியாணி இலை,
ஜாவித்ரி,
கல்பாசி,
ஷஹி ஜீரா - 1 தேக்கரண்டி,
சோம்பு - 1 தேக்கரண்டி,
வெங்காயம் - 1 மெல்லியதாக நறுக்கியது,
இஞ்சி விழுது - 1 தேக்கரண்டி,
பூண்டு விழுது - 3 தேக்கரண்டி,
தக்காளி - 1 நறுக்கியது,
ஊறவைத்த மட்டன்,
வெங்காயம் பச்சைமிளகாய் விழுது,
புதினா, கொத்தமல்லி, 
வெந்தயக்கீரை விழுது,
தண்ணீர் - 5 1/2 கப்,
உப்பு.</t>
  </si>
  <si>
    <t>Add salt, turmeric powder, chilli powder, ginger garlic paste, and yogurt to the mutton and let it marinate for 1 hour.
Pour sesame oil in a pan and add bay leaves, cardamom, cloves, pepper, chopped onion, and green chillies and sauté.
Then cool it well and add water and grind it to a paste.
Pour sesame oil in a pan and add mint, coriander leaves and fenugreek and fry it well. Then cool it well and add water and grind it to a paste.
Pour sesame oil and ghee in a cooker and add the coriander leaves, cloves, cardamom, pineapple blossom, biryani leaves, castor oil, fenugreek seeds, kalpasi, shahi jeera and anise and mix it.
Then add finely chopped onion and fry it until golden brown.
Then add ginger paste, garlic paste and tomato and fry it well.
Then add the soaked mutton pieces and mix it, then add onion paste, mint, coriander leaves and fenugreek paste and mix it.
Next add water and salt and mix it, close the cooker and cook for 20 minutes on medium flame.
Then wash the rice and soak it for 20.
Then in a wide vessel, mix the cooked mutton and spices, the soaked rice in the cooker, cover the vessel and cook for 25 minutes on medium heat.
After 10 minutes, open the vessel and mix, cover again and cook.
Mutton Tuna Biryani is ready!</t>
  </si>
  <si>
    <t>மட்டனில் உப்பு, மஞ்சள் தூள், மிளகாய் தூள், இஞ்சி பூண்டு விழுது, தயிர் சேர்த்து கலந்து 1 மணிநேரம் ஊறவிடவும்.
 கடாயில் நல்லெண்ணெய் ஊற்றி அதில் பட்டை, ஏலக்காய், கிராம்பு, மிளகு, நறுக்கிய வெங்காயம், பச்சை மிளகாய் சேர்த்து வதக்கவும்.
பின்பு நன்கு ஆறவிட்டு தண்ணீர் சேர்த்து விழுதாக அரைக்கவும்.
 கடாயில் நல்லெண்ணெய் ஊற்றி அதில் புதினா, கொத்தமல்லி இலை மற்றும் வெந்தயக்கீரை சேர்த்து நன்கு வதக்கவும். பின்பு நன்கு ஆறவிட்டு தண்ணீர் ஊற்றி விழுதாக அரைக்கவும்.
குக்கரில் நல்லெண்ணெய், நெய் ஊற்றி அதில் பட்டை, கிராம்பு, ஏலக்காய், அன்னாசிப்பூ, பிரியாணி இலை, ஜாதிபத்ரி, கல்பாசி, ஷஹி ஜீரா, சோம்பு சேர்த்து கலந்துவிடவும்.
 பின்பு மெல்லியதாக நறுக்கிய வெங்காயம் சேர்த்து பொன்னிறமாக வதக்கவும்.
பிறகு இஞ்சி விழுது, பூண்டு விழுது, தக்காளி சேர்த்து நன்கு வதக்கவும்.
பின்பு ஊறவைத்த மட்டன் துண்டுகளை சேர்த்து கலந்து, பிறகு வெங்காயம் விழுது, புதினா, கொத்தமல்லி இலை, வெந்தயக்கீரை விழுது சேர்த்து கலந்துவிடவும்.
 அடுத்து தண்ணீர் மற்றும் உப்பு சேர்த்து கலந்து குக்கரை மூடி மிதமான தீயில் 20 நிமிடம் வேகவிடவும்.
பிறகு அரிசியை கழுவி 20 ஊறவிடவும்.
பின்பு அகலமான பாத்திரத்தில், குக்கரில் வேகவைத்த மட்டன் மற்றும் மசாலா, ஊறவைத்த அரிசியையும் சேர்த்து கலந்து பாத்திரத்தை மூடி மிதமான தீயில் 25 நிமிடம் வேகவிடவும்.
10 நிமிடம் கழித்து பாத்திரத்தை திறந்து கலந்துவிட்டு மீண்டும் மூடி வைத்து வேகவிடவும்.
மட்டன் தொன்னை பிரியாணி தயார்!</t>
  </si>
  <si>
    <t>https://encrypted-tbn0.gstatic.com/images?q=tbn:ANd9GcQ0zUauIz14zf_3wQF8REv5lvDA7R2nZft__Q&amp;s</t>
  </si>
  <si>
    <t>https://youtu.be/TNy1j2lTqBo?si=_lelSLu-CGM4b2Vu</t>
  </si>
  <si>
    <t>Chicken Kapsa</t>
  </si>
  <si>
    <t>சிக்கன் கப்சா</t>
  </si>
  <si>
    <t>Dhaniya - 1 tbsp,
Pepper - 1 tbsp,
Anise - 1 tbsp,
Black cardamom - 1 tbsp,
Cloves - 1 tbsp,
Turmeric powder - 1 tbsp,
Ghee - 3 tbsp,
Onion - 1 chopped,
Garlic - 10 cloves chopped,
Pepper - 1 tbsp,
Cumin - 1 tbsp,
Cloves - 6,
Chicken thighs - 2,
Kapsa masala powder,
Green chillies - 2 chopped,
Carrot - 1 chopped,
Tomato - 1 chopped,
Salt - 1 tbsp,
Tomato paste - 1 cup,
Nutmeg,
Hot water - 3 cups,
Chicken stock - 1 Cube,
Basmati rice - 1 cup,
Dried raisins.</t>
  </si>
  <si>
    <t>தனியா - 1 மேசைக்கரண்டி,
மிளகு - 1 மேசைக்கரண்டி,
சோம்பு - 1 மேசைக்கரண்டி,
கருப்பு ஏலக்காய் - 1 மேசைக்கரண்டி,
சுக்கு - 1 மேசைக்கரண்டி,
மஞ்சள் தூள் - 1 மேசைக்கரண்டி,
நெய் - 3 தேக்கரண்டி,
வெங்காயம் - 1 நறுக்கியது,
பூண்டு - 10 பற்கள் நறுக்கியது,
மிளகு - 1 தேக்கரண்டி,
சீரகம் - 1 தேக்கரண்டி,
கிராம்பு - 6,
சிக்கன் தொடை - 2,
கப்சா மசாலா தூள்,
பச்சை மிளகாய் - 2 நறுக்கியது,
கேரட் - 1 பொடியாக நறுக்கியது,
தக்காளி - 1 நறுக்கியது,
உப்பு - 1 தேக்கரண்டி,
தக்காளி விழுது - 1 கப்,
ஜாதிக்காய்,
சுடு தண்ணீர் - 3 கப்,
சிக்கன் ஸ்டாக் - 1 க்யூப்,
பாஸ்மதி அரிசி - 1 கப்,
காய்ந்த திராட்சை.</t>
  </si>
  <si>
    <t>Grind Kapsa masala powder in a mixer, add pepper, anise, black cardamom, cumin, turmeric powder and grind it well.
Pour ghee in a vessel and add chopped onion, garlic, green chilies and fry for 7 minutes.
Next, add pepper, cumin, cloves and fry then make small incisions in the chicken and fry the chicken.
When the chicken changes color, add Kapsa masala powder to it.
Next, add chopped carrot and tomato and fry then add salt and mix.
Then add tomato paste and nutmeg.
Next, add hot water and chicken stock.
Cover the vessel and cook on medium heat for 20 minutes.
After 10 minutes, turn the chicken over, add Kapsa masala powder and mix and cover the vessel and cook for 10 minutes.
Next, wash the rice and add it, then add the raisins, cover the pot and let the rice cook.
Chicken Kapsa is ready!</t>
  </si>
  <si>
    <t>கப்சா மசாலா தூள் அரைக்க மிக்ஸியில் தனியா, மிளகு, சோம்பு, கருப்பு ஏலக்காய், சுக்கு, மஞ்சள் தூள் சேர்த்து நன்கு தூளாக அரைத்துக்கொள்ளவும்.
 பாத்திரத்தில் நெய் ஊற்றி அதில் நறுக்கிய வெங்காயம், பூண்டு, பச்சை மிளகாய் சேர்த்து 7 நிமிடம் வதக்கவும்.
அடுத்து மிளகு, சீரகம், கிராம்பு சேர்த்து வதக்கி பின்பு சிக்கனில் சிறு சிறு கீறல்கள் போட்டு, சிக்கனை சேர்த்து வதக்கவும்.
 சிக்கன் நிறம் மாறியதும் அதில் கப்சா மசாலா தூள் சேர்க்கவும்.
அடுத்து நறுக்கிய கேரட், தக்காளி சேர்த்து வதக்கி பின்பு உப்பு சேர்த்து கலந்துவிடவும்.
பிறகு தக்காளி விழுது, ஜாதிக்காய் சேர்க்கவும்.
அடுத்து சுடு தண்ணீர் மற்றும் சிக்கன் ஸ்டாக் சேர்க்கவும்.
பாத்திரத்தை மூடி மிதமான தீயில் 20 நிமிடம் வேகவிடவும்.
 10 நிமிடம் கழித்து சிக்கனை திருப்பி விட்டு, கப்சா மசாலா தூள் சேர்த்து கலந்து பாத்திரத்தை மூடி 10 நிமிடம் வேகவிடவும்.
அடுத்து அரிசியை கழுவி சேர்த்து, பின்பு காய்ந்த திராட்சை சேர்த்து பாத்திரத்தை மூடி அரிசியை வேகவிடவும்.
 சிக்கன் கப்சா தயார்!</t>
  </si>
  <si>
    <t>https://i.ytimg.com/vi/d_UAGewWvB8/maxresdefault.jpg</t>
  </si>
  <si>
    <t>https://youtu.be/Vdjx4DtipL8?si=5-WOdUBfHK_ztns0</t>
  </si>
  <si>
    <t>Pad Thai noodles</t>
  </si>
  <si>
    <t>Fish sauce - 2 tablespoons,
Thai chili sauce - 1 tablespoon,
Tamarind water - 1 tablespoon,
Palm jaggery - 1 full tablespoon,
Rice noodles - 250 grams,
Hot water,
Salt,
Peanuts - 2 tablespoons roasted,
Oil,
Boneless chicken,
Shrimp,
Chopped garlic,
Chili powder,
Eggs - 2,
Tofu paneer,
Sprouted grains,
Onion leaves,
Red chili.</t>
  </si>
  <si>
    <t>பிஷ் சாஸ் - 2 மேசைக்கரண்டி,
தாய் சில்லி சாஸ் - 1 மேசைக்கரண்டி,
புளி தண்ணீர் - 1 மேசைக்கரண்டி,
பனை வெல்லம் - 1 முழு மேசைக்கரண்டி,
ரைஸ் நூடுல்ஸ் - 250 கிராம்,
சூடு தண்ணீர்,
உப்பு,
வேர்கடலை - 2 மேசைக்கரண்டி வறுத்தது,
எண்ணெய்,
எலும்பில்லாத சிக்கன்,
இறால்,
பூண்டு பொடியாக நறுக்கியது,
மிளகு தூள்,
முட்டை - 2,
டோஃபு பன்னீர், 
முளைகட்டிய தானியம் ,
வெங்காயத்தாள்,
சிவப்பு மிளகாய்.</t>
  </si>
  <si>
    <t>In a bowl, add rice noodles, hot water and salt and keep it for 15 minutes.
Next, crush the roasted peanuts and keep it aside.
Then, in a bowl, mix the fish sauce, Thai chili sauce, tamarind water, and palm jaggery.
Next, pour oil into the pan and add the boneless chicken and fry it.
Then add the shrimp and chopped garlic and fry it.
Then add salt and pepper powder and mix it.
Once the shrimp is cooked, add the noodles and mix it.
Then pour the pad thai sauce and mix it.
Next, pour oil and break the egg into it and stir the egg and mix it with the noodles when the egg is cooked.
Then add the fried tofu paneer, crushed peanuts and mix it.
Then add the sprouted grains, chopped onion leaves, and red chilies and mix it.
Pad thai noodles are ready!</t>
  </si>
  <si>
    <t>ஒரு பாத்திரத்தில் ரைஸ் நூடுல்ஸ், சுடுதண்ணீர் மற்றும் உப்பு சேர்த்து 15 நிமிடம் வைக்கவும்.
 அடுத்து வறுத்த வேர்க்கடலையை இடித்து வைத்து கொள்ளவும்.
 பின்பு ஒரு பாத்திரத்தில் பிஷ் சாஸ், தாய் சில்லி சாஸ், புளி தண்ணீர், பனை வெல்லம் சேர்த்து கலந்து வைத்து கொள்ளவும்.
 அடுத்து கடாயில் எண்ணெய் ஊற்றி அதில் எலும்பில்லாத சிக்கனை சேர்த்து வதக்கவும்.
 பின்பு இறால் மற்றும் நறுக்கிய பூண்டு சேர்த்து வதக்கவும்.
 பிறகு உப்பு மற்றும் மிளகு தூள் சேர்த்து கலந்துவிடவும்.
 இறால் வெந்ததும் நூடுல்ஸை சேர்த்து கலந்துவிடவும்.
 பின்பு பட் தாய் சாஸ்சை ஊற்றி கலந்துவிடவும்.
 அடுத்து எண்ணெய் ஊற்றி அதில் முட்டையை உடைத்து ஊற்றி முட்டையை கிளறி முட்டை வெந்ததும் நூடுல்ஸ் உடன் சேர்த்து கலந்துவிடவும்.
 பிறகு வறுத்த டோஃபு பன்னீர், இடித்த வேர்கடலை சேர்த்து கலந்துவிடவும்.
 பின்பு முளைகட்டிய தானியம், நறுக்கிய வெங்காயத்தாள், சிவப்பு மிளகாய் சேர்த்து கலந்து இறக்கவும்.
 பட் தாய் நூடுல்ஸ் தயார்!</t>
  </si>
  <si>
    <t>https://youtu.be/PdBHCzz1kwU?si=xcBy18XUeRxV54RU</t>
  </si>
  <si>
    <t>Prawn Biryani</t>
  </si>
  <si>
    <t xml:space="preserve">
இறால் பிரியாணி</t>
  </si>
  <si>
    <t>Prawns - 1 kg,
Basmati rice - 2 cups,
Ghee - 3 tablespoons,
Oil - 1 tablespoon,
Baking powder,
Cloves,
Cardamom,
Biryani leaves,
Pineapple blossom,
Onion - 4 lengthwise chopped,
Tomato - 3 chopped,
Salt,
Turmeric powder - 1 teaspoon,
Chili powder - 3 teaspoons,
Thaniya powder - 2 teaspoons,
Coriander leaves,
Mint leaves,
Coconut milk - 2 cups water added,
Water,
Garlic - 12 cloves,
Ginger - 2 inch piece chopped,
Small onion - 10,
Grated coconut - 1 tablespoon,
Green chilies - 4,
Dried chilies - 5,
Mint Leaves,
Coriander leaves,
Water.</t>
  </si>
  <si>
    <t>இறால் - 1 கிலோ,
பாஸ்மதி அரிசி - 2 கப் ,
நெய் - 3 மேசைக்கரண்டி,
எண்ணெய் - 1 மேசைக்கரண்டி,
பட்டை,
கிராம்பு,
ஏலக்காய்,
பிரியாணி இலை,
அன்னாசி பூ,
வெங்காயம் - 4 நீளமாக நறுக்கியது,
தக்காளி - 3 நறுக்கியது,
உப்பு,
மஞ்சள் தூள் - 1 தேக்கரண்டி,
மிளகாய் தூள் - 3 தேக்கரண்டி,
தனியா தூள் - 2 தேக்கரண்டி,
கொத்தமல்லி இலை ,
புதினா இலை,
தேங்காய் பால் - 2 கப் நீர் சேர்த்தது,
தண்ணீர்,
பூண்டு - 12 பற்கள்,
இஞ்சி - 2 இன்ச் துண்டு நறுக்கியது, 
சின்ன வெங்காயம் - 10,
துருவிய தேங்காய் - 1 மேசைக்கரண்டி,
பச்சை மிளகாய் - 4,
காய்ந்த மிளகாய் - 5,
புதினா இலை,
கொத்தமல்லி இலை,
தண்ணீர்.</t>
  </si>
  <si>
    <t>Wash the basmati rice well and soak it for 30 minutes.
Clean the prawns, wash them with salt and turmeric powder.
Mix the cleaned prawns with salt, turmeric powder and chilli powder and soak them.
Add garlic, ginger, small onion, grated coconut, green chillies, dried chillies, mint and coriander in a mixer and grind them into a fine paste.
Grind the coconut and prepare the coconut milk required for the biryani.
In a pressure cooker, pour ghee and oil, add the rind, cloves, cardamom, pineapple blossom, biryani leaves and onions and fry them.
When the onions turn golden, add the ground masala paste and fry until the raw smell goes away.
Next, add the tomatoes and fry them.
After mashing the tomatoes well, add salt, turmeric powder, and coriander powder and saute.
Next, add the soaked prawns and fry them.
On low flame, pour coconut milk and stir.
Next, add the soaked rice and fry them.
Close the cooker, when the steam comes, add the weight and cook for 8 minutes.
Once the pressure of the cooker comes down, open it.
Delicious prawn biryani is ready.</t>
  </si>
  <si>
    <t>பாஸ்மதி அரிசியை நன்கு கழுவி 30 நிமிடம் ஊறவைக்கவும்.
 இறால்'லை சுத்தம் செய்து, உப்பு மற்றும் மஞ்சள் தூள் போட்டு கழுவவும்.
சுத்தம் செய்த இறால்'லை, உப்பு, மஞ்சள் தூள் மற்றும் மிளகாய் தூள் சேர்த்து கலந்து ஊறவைக்கவும்.
 மிக்ஸியில் பூண்டு, இஞ்சி, சின்ன வெங்காயம், துருவிய தேங்காய், பச்சை மிளகாய், காய்ந்த மிளகாய், புதினா மற்றும் கொத்தமல்லி சேர்த்து, நன்கு விழுதாக அரைக்கவும்.
 தேங்காயை அரைத்து, பிரியாணி'க்கு தேவையான தேங்காய் பால் தயார் செய்யவும்.
பிரஷர் குக்கர்'ரில், நெய் மற்றும் எண்ணெய் ஊற்றி, இதில் பட்டை, கிராம்பு, ஏலக்காய், அன்னாசி பூ, பிரியாணி இலை மற்றும் வெங்காயம் சேர்த்து வதக்கவும்.
வெங்காயம் பொன் நிறமானதும், அரைத்த மசாலா விழுது சேர்த்து, பச்சை வாசனை போகும் வரை வதக்கவும்.
 அடுத்து இதில் தக்காளி சேர்த்து வதக்கவும்.
 தக்காளி நன்கு மசிந்த பின், இதில் உப்பு, மஞ்சள் தூள், தனியா தூள் சேர்த்து வதக்கவும்.
 அடுத்து இதில் ஊறவைத்த இறால் சேர்த்து கிண்டவும்.
குறைந்த தீயில், தேங்காய் பால் ஊற்றி கிளறவும்.
அடுத்து இதில் ஊறவைத்த அரிசி சேர்த்து கிண்டவும்.
 குக்கர்'ரை மூடி, ஆவி வந்ததும், வெயிட் போட்டு 8 நிமிடம் வேகவைக்கவும்.
 குக்கர்'ரின் பிரஷர் இறங்கியதும், திறக்கவும்.
சுவையான இறால் பிரியாணி தயார்.</t>
  </si>
  <si>
    <t>https://media.webdunia.com/_media/ta/img/article/2019-11/12/full/1573563025-6469.jpg</t>
  </si>
  <si>
    <t>https://youtu.be/btR4QZKJNfk?si=UewPFRTiZq8e4Y7K</t>
  </si>
  <si>
    <t>Peanut Rice</t>
  </si>
  <si>
    <t>வேர்க்கடலை சாதம்</t>
  </si>
  <si>
    <t>Peanut oil - 1/2 teaspoon,
Peanuts - 1/4 cup,
Ultra seeds - 2 teaspoons,
White sesame seeds - 2 teaspoons,
Red chilies - 7,
Coconut flakes - 2 tablespoons grated,
Peanut oil - 2 teaspoons,
Ultra seeds - 1/2 teaspoon,
Peanuts - 1/2 teaspoon,
Mustard - 1/2 teaspoon,
Red chilies - 2,
Caramel powder - 1/4 teaspoon,
Peanuts - 2 tablespoons,
Curry leaves,
Boiled rice,
Salt,
Ground peanut powder,
Ghee.</t>
  </si>
  <si>
    <t>கடலை எண்ணெய் - 1/2 தேக்கரண்டி,
வேர்க்கடலை - 1/4 கப்,
உளுத்தம் பருப்பு - 2 தேக்கரண்டி,
வெள்ளை எள்ளு - 2 தேக்கரண்டி,
சிவப்பு மிளகாய் - 7,
கொப்பரை தேங்காய் - 2 மேசைக்கரண்டி துருவியது,
கடலை எண்ணெய் - 2 தேக்கரண்டி,
உளுத்தம் பருப்பு - 1/2 தேக்கரண்டி,
கடலை பருப்பு - 1/2 தேக்கரண்டி,
கடுகு - 1/2 தேக்கரண்டி,
சிவப்பு மிளகாய் - 2,
பெருங்காய தூள் - 1/4 தேக்கரண்டி,
வேர்க்கடலை - 2 மேசைக்கரண்டி,
கறிவேப்பிலை,
வேகவைத்த சாதம்,
உப்பு ,
அரைத்த வேர்க்கடலை பொடி,
நெய்.</t>
  </si>
  <si>
    <t>First, wash the green rice well and boil it in 2 cups of water.
Pour oil in a pan and once it is hot, add mustard seeds, urad dal, gram dal, dry chilies and season.
Then add onion, green chilies, ginger-garlic paste and fry well.
Add curry leaves and peanuts and fry for some time.
Add turmeric powder and salt and mix.
Add the boiled rice and stir for some time on medium flame, all the flavors will blend.
Finally, if desired, add lemon juice and mix.
Sprinkle coriander on top and serve hot.</t>
  </si>
  <si>
    <t xml:space="preserve">முதலில், பச்சரிசியை நன்றாக கழுவி 2 கப் தண்ணீரில் வேக வைத்து கொள்ளவும்.
ஒரு பாத்திரத்தில் எண்ணெய் ஊற்றி சூடானவுடன் கடுகு, உளுந்து பருப்பு, கடலை பருப்பு, காய்ந்த மிளகாய் சேர்த்து தாளிக்கவும்.
பின்னர் வெங்காயம், பச்சை மிளகாய், இஞ்சி-பூண்டு விழுது சேர்த்து நன்றாக வதக்கவும்.
கருவேப்பிலை, வேர்க்கடலை சேர்த்து கொஞ்சம் நேரம் வதக்கவும்.
மஞ்சள்தூள், உப்பு சேர்த்து கலக்கி வைக்கவும்.
வேக வைத்த சாதத்தை சேர்த்து, சிறிது நேரம் மிதமான தீயில் கிளறி வைத்தால், அனைத்து சுவையும் கலந்து விடும்.
இறுதியாக, விருப்பமானால் எலுமிச்சைச் சாறு சேர்த்து கலக்கலாம்.
மேல் கொத்தமல்லி தூவி சூடாக பரிமாறவும்.
</t>
  </si>
  <si>
    <t>https://i.ytimg.com/vi/7GN3AfAfaP0/maxresdefault.jpg</t>
  </si>
  <si>
    <t>https://youtu.be/vv8o9tpRkjM?si=UtIVWjp6Z4W7XhYT</t>
  </si>
  <si>
    <t>Chilli Rice</t>
  </si>
  <si>
    <t>குடைமிளகாய் சாதம்</t>
  </si>
  <si>
    <t>Peanut oil - 1/2 tsp,
Peanuts - 1 tbsp,
Ultra seeds - 1 tbsp,
Dhaniya - 2 tbsp,
Cumin - 1 tsp,
Red chillies - 7,
Small piece of tamarind,
Grated coconut - 2 tbsp,
Peanut oil - 3 tsp,
Ultra seeds - 1/2 tsp,
Peanuts - 1/2 tsp,
Mustard - 1/2 tsp,
Red chillies - 2,
Caramel powder - 1/4 tsp,
Curry leaves,
Red chillies - 1/2 chopped,
Yellow chillies - 1/2 chopped,
Green chillies - 1/2 chopped,
Turmeric powder - 1/4 tsp,
salt,
rice,
ghee.</t>
  </si>
  <si>
    <t>கடலை எண்ணெய் - 1/2 தேக்கரண்டி,
கடலை பருப்பு - 1 மேசைக்கரண்டி,
உளுத்தம் பருப்பு - 1 மேசைக்கரண்டி,
தனியா - 2 மேசைக்கரண்டி,
சீரகம் - 1 தேக்கரண்டி,
சிவப்பு மிளகாய் - 7,
சிறிய துண்டு புளி,
துருவிய தேங்காய் - 2 மேசைக்கரண்டி,
கடலை எண்ணெய் - 3 தேக்கரண்டி,
உளுத்தம் பருப்பு - 1/2 தேக்கரண்டி,
கடலை பருப்பு - 1/2 தேக்கரண்டி,
கடுகு - 1/2 தேக்கரண்டி,
சிவப்பு மிளகாய் - 2,
பெருங்காய தூள் - 1/4 தேக்கரண்டி,
கறிவேப்பிலை,
சிவப்பு குடைமிளகாய் - 1/2 நறுக்கியது,
மஞ்சள் குடைமிளகாய் - 1/2 நறுக்கியது,
பச்சை குடைமிளகாய் - 1/2 நறுக்கியது,
மஞ்சள் தூள் - 1/4 தேக்கரண்டி,
உப்பு, 
சாதம், 
நெய்.</t>
  </si>
  <si>
    <t>dd peanut oil in a pan, add peanuts, urad dal, and fenugreek seeds and fry on medium flame for 3 minutes.
Then add cumin seeds, red chillies, and tamarind.
Next add grated coconut and fry.
Turn off the stove, let it cool, then put it in a mixer jar and grind it into a coarse paste.
Chop the red, yellow and green chillies.
Add peanut oil in a pan, add peanuts, urad dal, and mustard seeds to it.
Once the mustard seeds crackle, add red chillies, garam masala powder, and curry leaves and fry.
Add chopped chillies and fry for 3 minutes.
Next add turmeric powder, salt, and mix well.
Then add the boiled rice and mix gently.
Then add the ground spice powder and mix.
Finally add the ghee and mix well.
The chilli rice is ready.</t>
  </si>
  <si>
    <t>ஒரு பானில் கடலை எண்ணெய் சேர்த்து, அதனுடன் கடலை பருப்பு, உளுத்தம் பருப்பு, தனியா சேர்த்து மிதமான தீயில் 3 நிமிடம் வறுக்கவும்.
பிறகு சீரகம், சிவப்பு மிளகாய், புளி சேர்த்து.
அடுத்து துருவிய தேங்காய் சேர்த்து வறுக்கவும்.
அடுப்பை அணைத்து, ஆறவைத்து, பின்னர் மிக்ஸி ஜாரில் சேர்த்து கொரகொரப்பாக அரைக்கவும்.
 சிவப்பு, மஞ்சள் மற்றும் பச்சை குடைமிளகாயை நறுக்கவும்.
 ஒரு கடாயில் கடலை எண்ணெய் சேர்த்து, அதனுடன் கடலை பருப்பு, உளுத்தம் பருப்பு, மற்றும் கடுகு சேர்க்கவும்.
கடுகு வெடித்தவுடன், சிவப்பு மிளகாய், பெருங்காய தூள் மற்றும் கறிவேப்பிலை சேர்த்து வறுக்கவும்.
 இதனுடன் நறுக்கிய குடைமிளகாயை சேர்த்து 3 நிமிடம் வதக்கவும்.
அடுத்து மஞ்சள் தூள், உப்பு சேர்த்து நன்கு கலக்கவும்.
 பிறகு வேகவைத்த அரிசியைச் சேர்த்து மெதுவாக கலக்கவும்.
 பிறகு அரைத்த மசாலா தூளைச் சேர்த்து கலக்கவும்.
 இறுதியாக நெய் சேர்த்து நன்கு கலக்கவும்.
குடைமிளகாய் சாதம் தயார்.</t>
  </si>
  <si>
    <t>https://img-cdn.thepublive.com/fit-in/640x430/filters:format(webp)/tamil-ie/media/media_files/uploads/2023/06/capsicum.jpg</t>
  </si>
  <si>
    <t>https://youtu.be/bHeO4nETkWE?si=v-FcVUb7H04f7jce</t>
  </si>
  <si>
    <t>Pressure Cooker Mutton Biryani</t>
  </si>
  <si>
    <t>பிரஷர் குக்கர் மட்டன் பிரியாணி</t>
  </si>
  <si>
    <t>Mutton - 1 kg,
Turmeric powder - 3/4 tsp,
Chilli powder - 2 tsp,
Salt,
Small onion - 6,
Garlic - 10 cloves,
Green chillies - 2,
Red chillies - 6,
Coconut - 2 tsp (grated),
Coriandrum sativum - 1 tsp,
Mint leaves,
Coriander leaves,
Ginger,
Water,
Ghee - 2 tsp,
Oil - 1 tsp,
Onion - 4 (finely chopped),
Tomatoes - 3 (chopped),
Basmati rice - 3 cups (soaked for 30 minutes),
Diluted coconut milk - 3 cups,
Coriander leaves,
Mint leaves,
Baking powder,
Cardamom,
Cloves,
Biryani leaves ,
Salt.</t>
  </si>
  <si>
    <t>மட்டன் - 1 கிலோ,
மஞ்சள் தூள் - 3/4 தேக்கரண்டி,
மிளகாய் தூள் - 2 தேக்கரண்டி,
 உப்பு,
சிறிய வெங்காயம் - 6, 
பூண்டு - 10 பற்கள்,
பச்சை மிளகாய் - 2,
சிவப்பு  மிளகாய் - 6 ,
 தேங்காய் - 2 தேக்கரண்டி (துருவியது ),
 மல்லி தூள் - 1 தேக்கரண்டி,
புதினா இலைகள்,
 கொத்தமல்லி இலைகள்,
இஞ்சி,
தண்ணீர், 
நெய் - 2 தேக்கரண்டி,
எண்ணெய் - 1 தேக்கரண்டி,
வெங்காயம் - 4  (பொடியாக நறுக்கியது ),
தக்காளி - 3 (நறுக்கியது ),
பாஸ்மதி அரிசி - 3 கப் (30 நிமிடங்கள் ஊறவைத்தது ),
நீர்த்த தேங்காய் பால் - 3 கப்,
கொத்தமல்லி இலைகள்,
புதினா இலைகள்,
பட்டை,
ஏலக்காய், 
கிராம்பு,
பிரியாணி இலை ,
உப்பு.</t>
  </si>
  <si>
    <t>To cook mutton biryani, take large pieces of mutton. Add turmeric powder, chili powder, and salt to it and soak it for 15 minutes.
Next, grind the spices by adding small onions, garlic, ginger, green chilies, red chilies, grated coconut, mint leaves, coriander leaves, coriander leaves, and a little water and grind it well in a mixer.
In a cooker, add ghee, oil, bay leaves, cardamom, cloves, biryani leaves, and finely chopped onions and fry them until they turn brown.
After the onions turn brown, add chopped tomatoes and ground spices and fry them until the green color disappears.
Add the soaked mutton pieces to the fried ones and mix for five minutes.
Add salt, diluted coconut milk, coriander leaves, and mint leaves to this mixture and mix well and cook until seven whistles are heard.
Mix the basmati rice soaked for thirty minutes in the boiled mutton and then close the cooker and cook for seven minutes.
Turn off the stove and open the cooker after some time.
Hot and delicious pressure cooker mutton biryani is ready.</t>
  </si>
  <si>
    <t xml:space="preserve">மட்டன்  பிரியாணி சமைக்க பெரிய மட்டன் துண்டுகளை எடுத்துக்கொள்ளவும். அதனுடன் மஞ்சள் தூள், மிளகாய்த்தூள், உப்பு ஆகியவற்றை சேர்த்து ஒரு 15 நிமிடம் ஊற வைக்கவும்.
அடுத்து மசாலா அரைக்க சிறிய வெங்காயம், பூண்டு, இஞ்சி, பச்சை மிளகாய், சிவப்பு மிளகாய், துருவிய தேங்காய், புதினா இலை, கொத்தமல்லி இலை, மல்லித்தூள், சிறிது தண்ணீர்  சேர்த்து மிக்ஸியில் நன்கு மை போல் அரைக்க வேண்டும். 
 குக்கரில் நெய், எண்ணெய், பட்டை, ஏலக்காய், கிராம்பு, பிரியாணி இலை, பொடியாக நறுக்கிய வெங்காயம் சேர்த்து நன்கு சிவக்கும் வரை வதக்கவும்.
 வெங்காயம் சிவந்த பிறகு நறுக்கிய தக்காளி, அரைத்த மசாலா சேர்த்து பச்சை மனம் போகும் வரை வதக்கவும். 
 ஊற வைத்த  மட்டன் துண்டுகளை வதக்கியவற்றுடன்  சேர்த்து ஐந்து நிமிடங்களுக்கு கலக்கவும். 
 இந்த கலவையில் உப்பு, நீர்த்த தேங்காய் பால், கொத்தமல்லி இலை, புதினா இலை ஆகியவற்றை சேர்த்து நன்கு கலக்கிய பின்பு ஏழு விசில் வரும் வரை வேக வைக்கவும். 
வேக வைத்த மட்டனில் முப்பது நிமிடம் ஊற வைத்த பாசுமதி அரிசியை கலந்த பின்பு குக்கரை மூடிவிட்டு ஏழு நிமிடங்களுக்கு சமைக்கவும். 
 அடுப்பை அணைத்து விட்டு சிறிது நேரம் கழித்து  குக்கரை திறக்கவும்.  
 சூடான சுவையான பிரஷர் குக்கர் மட்டன் பிரியாணி தயார்.
</t>
  </si>
  <si>
    <t>https://i.ytimg.com/vi/UfsFL_71YYw/maxresdefault.jpg</t>
  </si>
  <si>
    <t>https://youtu.be/urUB9JnxgZA?si=UU5-YWq_ayBV1B07</t>
  </si>
  <si>
    <t>Small onion - 6,
Garlic - 7 cloves,
Ginger - 1 piece,
Green chili - 4,
Coriander leaves,
Mint leaves,
Biriyani leaves,
Baking soda,
Cardamom,
Cloves,
Pineapple blossom,
Nutmeg,
Ghee,
Basmati rice - 1 cup,
Onion - 1 chopped,
Tomato - 1 chopped,
Chili powder - 2 teaspoons,
Turmeric powder - 1/2 teaspoon,
Coriander powder - 1 teaspoon,
Yogurt - 1/4 cup,
Biriyani leaves,
Pineapple blossom,
Cardamom,
Cloves,
Stone moss,
Coriander leaves,
Ghee,
Water,
Salt.</t>
  </si>
  <si>
    <t>சிறிய வெங்காயம் - 6 ,
பூண்டு - 7 பற்கள், 
இஞ்சி -  1 துண்டு ,
பச்சை மிளகாய் - 4 ,
கொத்தமல்லி இலை ,
புதினா இலை,
பிரியாணி இலை,
பட்டை ,
ஏலக்காய்,
கிராம்பு ,
அன்னாசி பூ, 
ஜாதிக்காய், 
நெய், 
பாஸ்மதி அரிசி - 1 கப்,
வெங்காயம் - 1 நறுக்கியது,
தக்காளி - 1 நறுக்கியது,
மிளகாய் தூள் - 2 தேக்கரண்டி,
மஞ்சள் தூள் - 1/2 தேக்கரண்டி,
கொத்தமல்லி தூள் - 1 தேக்கரண்டி,
தயிர் - 1/4 கப்,
பிரியாணி இலை, 
அன்னாசி பூ ,
ஏலக்காய்,
கிராம்பு,
கல் பாசி ,
கொத்தமல்லி இலை,
நெய்,
தண்ணீர் ,
உப்பு.</t>
  </si>
  <si>
    <t>First, soak the basmati rice in water for thirty minutes.
Next, prepare the masala paste for the kuska.
In a pan, fry the ghee, bay leaves, cloves, cardamom, mace, grated nutmeg, small onion, garlic, ginger, green chillies, coriander leaves, mint leaves, and let them cool for a while and then grind them.
Next, in a cooker, fry the ghee, biryani leaves, pineapple blossoms, cloves, cardamom, stone moss, and finely chopped large onion until they change color.
Once the onion turns golden brown, add finely chopped tomatoes, turmeric powder, chilli powder, salt, and coriander powder and fry them well.
Add the ground masala paste to this fry and fry until the green color disappears.
Add a little yogurt to this and mix. Add the soaked basmati rice and required amount of water to this mixture and cook until two whistles.
After two whistles, open the cooker after some time.
Delicious and delicious kuska is ready.
Serve this kuska with curd and serve.</t>
  </si>
  <si>
    <t>முதலில் பாஸ்மதி அரிசியை முப்பது நிமிடம் தண்ணீரில் ஊறவைக்க வேண்டும். 
 அடுத்து குஸ்காவிற்கு மசாலா பேஸ்ட் தயார் செய்ய வேண்டும். 
 கடாயில் நெய், பட்டை, கிராம்பு, ஏலக்காய், ஜாவித்ரி, துருவிய ஜாதிக்காய், சிறிய வெங்காயம், பூண்டு, இஞ்சி, பச்சை மிளகாய், கொத்தமல்லி இலை, புதினா இலை, ஆகியவற்றை வறுத்த பின்பு சிறிது நேரம் ஆறவிட்டு அரைத்துக்கொள்ளவும். 
 அடுத்து ஒரு குக்கரில் நெய், பிரியாணி இலை, அன்னாசி பூ, கிராம்பு, ஏலக்காய், கல் பாசி ,பொடியாக நறுக்கிய பெரிய வெங்காயம் ஆகியவற்றை நிறம் மாறும் வரை வதக்கவும். 
 வெங்காயம் பொன்னிறமானவுடன் பொடியாக நறுக்கிய தக்காளி, மஞ்சள் தூள், மிளகாய் தூள், உப்பு, மல்லி தூள் சேர்த்து நன்கு வதக்கவும். 
இந்த வதக்கியவற்றில் அரைத்து வைத்த மசாலா பேஸ்ட் சேர்த்து பச்சை மனம் போகும் வரை வதக்கவும். 
 இதனுடன் தயிர் சிறிதளவு சேர்த்து கலக்கவும். இந்த கலவையில் ஊற வைத்த பாஸ்மதி அரிசி மற்றும் தேவையான அளவு தண்ணீர்  சேர்த்து இரண்டு விசில் வரும் வரை வேக வைக்கவும். 
 இரண்டு விசில் வந்த பிறகு சிறிது நேரம் கழித்து குக்கரை திறக்கவும். 
 அருமையான சுவையான குஸ்கா தயார். 
இந்த குஸ்காவிற்கு தயிர் பச்சடி சேர்த்து சாப்பிடவும்.</t>
  </si>
  <si>
    <t>https://i.ytimg.com/vi/sO16PM2XgIQ/hq720.jpg?sqp=-oaymwEhCK4FEIIDSFryq4qpAxMIARUAAAAAGAElAADIQj0AgKJD&amp;rs=AOn4CLDHCi3NtmuZikJlIi4PlS2R9ItjIA</t>
  </si>
  <si>
    <t>https://youtu.be/EBjnzpEvbhk?si=1Q_xjt2Buh37Xwmf</t>
  </si>
  <si>
    <t>Hakka Noodles - 300 grams,
Water,
Salt - as required,
Oil - 2 tablespoons,
Garlic - 1 tablespoon finely chopped,
Large onion - 1 finely chopped,
Green chili - 2 finely chopped,
Carrot - 1 cup finely chopped,
Egg cabbage - 1 cup finely chopped,
Yellow chili - 1/2 finely chopped,
Red chili - 1/2 finely chopped,
Green chili - 1/2 finely chopped,
Scallion - finely chopped,
Vinegar - 2 tablespoons,
Soy sauce - 2 tablespoons,
Red chili sauce - 1 tablespoon,
Green Chilli sauce - 1 tablespoon,
Pepper powder - 1 teaspoon,
Green onion.</t>
  </si>
  <si>
    <t>ஹக்கா நூடுல்ஸ் - 300 கிராம், 
தண்ணீர், 
உப்பு - தேவைக்கு ஏற்ப,
எண்ணெய் - 2 மேசைக்கரண்டி,
பூண்டு - 1 மேசைக்கரண்டி பொடியாக நறுக்கியது,
பெரிய வெங்காயம் - 1 மெல்லியதாக நறுக்கியது,
பச்சை மிளகாய் - 2 பொடியாக நறுக்கியது,
கேரட் - 1 கப் பொடியாக நறுக்கியது,
முட்டை கோஸ் - 1 கப் பொடியாக நறுக்கியது,
மஞ்சள் குடைமிளகாய் - 1/2 பொடியாக நறுக்கியது,
சிவப்பு  குடைமிளகாய் - 1/2 பொடியாக நறுக்கியது,
பச்சை குடைமிளகாய் - 1/2 பொடியாக நறுக்கியது,
வெங்காயத்தாள் வெங்காயம் - பொடியாக நறுக்கியது,
வினிகர் - 2 தேக்கரண்டி,
சோயா சாஸ் - 2 மேசைக்கரண்டி,
ரெட் சில்லி சாஸ் - 1 மேசைக்கரண்டி,
கிரீன் சில்லி சாஸ் - 1 மேசைக்கரண்டி,
மிளகு தூள் - 1 தேக்கரண்டி,
வெங்காயத்தாள் பச்சை.</t>
  </si>
  <si>
    <t>First, boil water in a vessel to boil the noodles, add salt and noodles to it. After the noodles are three-quarters cooked, drain them and add a little oil to prevent them from sticking.
Next, pour oil in a pan and sauté garlic, onion, and green chilies.
After the onion is sautéed, add carrots, cabbage, green chilies, red chilies, yellow chilies, and green onion and sauté for 5 minutes.
Next, add vinegar, soy sauce, red chili sauce, green chili sauce, pepper, and salt as required and stir.
Add the boiled noodles and stir well.
Finally, chop the green part of the onion and sprinkle it on top.
Chili Garlic Noodles are ready.</t>
  </si>
  <si>
    <t>முதலில் நூடுல்சை வேகவைக்க ஒரு பாத்திரத்தில் தண்ணீரை கொதிக்க வைத்து அதில் உப்பு மற்றும் நூடுல்சை போடவும். நூடுல்ஸ் முக்கால் பாகம் வெந்த பின் அதை வடிகட்டி ஒட்டாமல் இருப்பதற்கு சிறிது எண்ணெய் ஊற்றி பிரட்டி கொள்ளவும்.
அடுத்து ஒரு கடாயில் எண்ணெய் ஊற்றி பூண்டு, பெரிய வெங்காயம், பச்சை மிளகாய் சேர்த்து வதக்கவும்.
 வெங்காயம் வதங்கிய பின், இதில் கேரட், முட்டைக்கோஸ், பச்சை குடைமிளகாய், சிவப்பு குடைமிளகாய், மஞ்சள் குடைமிளகாய், வெங்காயத்தாள் வெங்காயம் சேர்த்து 5 நிமிடங்கள் வதக்கவும்.
 அடுத்து இதில் வினிகர், சோயா சாஸ், ரெட் சில்லி சாஸ், க்ரீன் சில்லி சாஸ், மிளகுத்தூள், தேவையான அளவு உப்பு சேர்த்து கிளறவும்.
இதில் வேக வைத்த நூடுல்ஸை சேர்த்து நன்கு கிளறவும்.
கடைசியாக வெங்காயத்தாள் பச்சை பாகத்தை நறுக்கி தூவி இறக்கவும்.
 சில்லி கார்லிக் நூடுல்ஸ் தயார்.</t>
  </si>
  <si>
    <t>https://encrypted-tbn0.gstatic.com/images?q=tbn:ANd9GcR5ggSchpPiWU7GHOgPC436ONpFT_QSxlFzaA&amp;s</t>
  </si>
  <si>
    <t>https://youtu.be/1JKN8Py_hP0?si=u_PLSmO-df2Cp6zR</t>
  </si>
  <si>
    <t>Thalassery Chicken Tham Biryani</t>
  </si>
  <si>
    <t>தலச்சேரி சிக்கன் தம் பிரியாணி</t>
  </si>
  <si>
    <t>Cardamom - 4,
Baking powder - 2 pieces,
Cloves - 5,
Pineapple blossoms - 2,
Pepper - 1/2 tsp,
Nutmeg - 2 small pieces,
Nutmeg - 2 small pieces,
Anise - 1 tsp,
Shahi jeera - 1 tsp,
Kashmiri chillies - 2,
Oil - for frying,
Onion - 2 chopped,
Cashew nuts - 1 cup,
Raisins - 1/2 cup,
Chicken - 1 kg,
Ghee - 1/4 cup,
Onion - 4 finely chopped,
Garlic paste - 1 1/2 tbsp,
Ginger paste - 1 1/2 tbsp,
Green chilli paste - 2 Tablespoon,
Turmeric powder - 1/2 teaspoon,
Salt - 2 teaspoons,
Ground garam masala powder,
Tomatoes - 3 chopped,
Yogurt - 1/2 cup beaten,
Mint leaves,
Coriander leaves chopped,
Fried onion,
Coconut milk - 2 tablespoons,
Cumin samba rice - 2 cups,
Ghee - 2 teaspoons,
Baking powder,
Cloves,
Cardamom,
Biryani leaves,
Pineapple flower,
Water - 3 1/4 cups,
Salt - 1 teaspoon,
Chicken masala,
Boil rice,
Ghee - 1 teaspoon,
Coriander leaves chopped,
Mint leaves,
Fried onion,
Fried raisins,
Fried cashews,
Garham masala powder,
Saffron + hot water.</t>
  </si>
  <si>
    <t xml:space="preserve">ஏலக்காய் - 4,
பட்டை - 2 துண்டு,
கிராம்பு - 5,
அன்னாசி பூ - 2,
மிளகு - 1/2 தேக்கரண்டி,
ஜாதிக்காய் - 2 சிறிய துண்டு, 
ஜாதிபத்திரி - 2 சிறிய துண்டு,
சோம்பு - 1 தேக்கரண்டி,
ஷாஹி ஜீரா - 1 தேக்கரண்டி,
காஷ்மீரி மிளகாய் - 2,
எண்ணெய் - பொரிப்பதற்கு, 
வெங்காயம் - 2 நறுக்கியது ,
முந்திரி பருப்பு - 1 கப்,
திராட்சை - 1/2 கப்,
சிக்கன் - 1 கிலோ,
நெய் - 1/4 கப்,
வெங்காயம் - 4 மெல்லியதாக நறுக்கியது,
பூண்டு விழுது - 1 1/2 மேசைக்கரண்டி,
இஞ்சி விழுது - 1 1/2 மேசைக்கரண்டி,
பச்சை மிளகாய் விழுது - 2 மேசைக்கரண்டி,
மஞ்சள் தூள் - 1/2 தேக்கரண்டி,
உப்பு - 2 தேக்கரண்டி,
அரைத்த கரம் மசாலா தூள்,
தக்காளி - 3 நறுக்கியது,
தயிர் - 1/2 கப் அடித்தது,
புதினா இலை,
கொத்தமல்லி இலை நறுக்கியது,
வறுத்த வெங்காயம்,
தேங்காய் பால் - 2 மேசைக்கரண்டி,
சீரக சம்பா அரிசி - 2 கப்,
நெய் - 2 தேக்கரண்டி,
பட்டை,
கிராம்பு,
ஏலக்காய்,
பிரியாணி இலை,
அன்னாசி பூ,
தண்ணீர் - 3 1/4 கப்,
உப்பு - 1 தேக்கரண்டி ,
சிக்கன் மசாலா,
வேகவைத்த அரிசி,
நெய் - 1 தேக்கரண்டி,
கொத்தமல்லி இலை நறுக்கியது,
புதினா இலை,
வறுத்த வெங்காயம்,
வறுத்த திராட்சை,
வறுத்த முந்திரி,
கரம் மசாலா தூள்,
குங்குமப்பூ + சூடு தண்ணீர்.
</t>
  </si>
  <si>
    <t>To grind garam masala, add cardamom, cardamom pods, cloves, pineapple blossoms, pepper, nutmeg, nutmeg, anise, Shahi jeera, Kashmiri chilies in a pan and fry on medium heat for 3 minutes.
Then cool well and grind into powder.
Next, pour oil in a pan and add finely chopped onion and fry until golden brown.
Then fry cashew nuts and raisins.
Pour ghee in another pan and add chopped onion and fry until golden brown.
Then add ginger paste, garlic paste, green chili paste and mix.
Then add chicken pieces and mix and cook for 5 minutes.
Then add turmeric powder, salt and mix, then add ground garam masala powder and mix.
Then add chopped tomatoes and mix and cook for 10 minutes.
Then add the beaten curd and mix it with mint leaves and coriander leaves.
Then add the fried onions and coconut milk and mix it and then let it cool.
Next, wash the cumin samba rice and soak it for 10 minutes.
Pour ghee in a vessel and add the rind, cloves, cardamom, biryani leaves and pineapple blossoms.
Then pour water and add salt to it and let it boil.
Then add the soaked cumin samba rice and cook it.
Next, in a large wide vessel, add the chicken masala and add the boiled rice on top and level it and then add ghee, chopped coriander leaves, mint leaves and fried onions.
Then add the fried raisins, cashews, then add garam masala powder and saffron water.
Then add the remaining rice and level it and add ghee, chopped coriander leaves, mint leaves, fried onions, raisins, cashew nuts, garam masala powder, and saffron water on it and cover the vessel.
Then heat the dosa stone and place the vessel on it and cook on medium flame for 20 mins.
The delicious Thalassery Chicken Biryani is ready.</t>
  </si>
  <si>
    <t>கரம் மசாலா அரைக்க கடாயில் ஏலக்காய், பட்டை, கிராம்பு, அன்னாசி பூ, மிளகு, ஜாதிக்காய், ஜாதிபத்ரி, சோம்பு, ஷாஹி ஜீரா, காஷ்மீரி மிளகாய் சேர்த்து 3 நிமிடம் மிதமான தீயில் வறுக்கவும்.
 பின்பு நன்கு ஆறவிட்டு பொடியாக அரைக்கவும்.
அடுத்து கடாயில் எண்ணெய் ஊற்றி அதில் மெல்லியதாக நறுக்கிய வெங்காயம் சேர்த்து பொன்னிறமாக பொரித்து எடுக்கவும்.
பின்பு முந்திரி பருப்பு, திராட்சையை பொரித்து எடுக்கவும்.
 மற்றோரு கடாயில் நெய் ஊற்றி அதில் நறுக்கிய வெங்காயம் சேர்த்து பொன்னிறமாக வதக்கவும்.
 பின்பு இஞ்சி விழுது, பூண்டு விழுது, பச்சை மிளகாய் விழுது சேர்த்து கலந்துவிடவும்.
 பிறகு சிக்கன் துண்டுகளை சேர்த்து கலந்துவிட்டு 5 நிமிடம் வேகவிடவும்.
 பின்பு மஞ்சள் தூள், உப்பு சேர்த்து கலந்து, பிறகு அரைத்த கரம் மசாலா தூள் சேர்த்து கலந்துவிடவும்.
 பிறகு நறுக்கிய தக்காளி சேர்த்து கலந்து 10 நிமிடம் வேகவிடவும்.
 பின்பு அடித்த தயிர் சேர்த்து கலந்து விட்டு புதினா இலை, கொத்தமல்லி இலை சேர்த்து கலந்துவிடவும்.
 பிறகு வறுத்த வெங்காயம், தேங்காய் பால் சேர்த்து கலந்து பின்பு இறக்கவும்.
அடுத்து சீரக சம்பா அரிசியை கழுவி 10 நிமிடம் ஊறவிடவும்.
பாத்திரத்தில் நெய் ஊற்றி அதில் பட்டை, கிராம்பு, ஏலக்காய், பிரியாணி இலை, அன்னாசி பூ சேர்க்கவும்.
 பின்பு தண்ணீர் ஊற்றி அதில் உப்பு சேர்த்து கொத்திக்கவிடவும்.
பிறகு அதில் ஊறவைத்த சீரக சம்பா அரிசியை சேர்த்து வேகவிடவும்.
 அடுத்து நல்ல அகலமான பாத்திரத்தில் சிக்கன் மசாலாவை சேர்த்து அதன் மேல் வேகவைத்த சாதத்தை சேர்த்து சமன்படுத்தி பின்பு நெய், நறுக்கிய கொத்தமல்லி இலை, புதினா இலை மற்றும் வறுத்த வெங்காயம் சேர்க்கவும்.
 பின்பு வறுத்த திராட்சை, முந்திரி சேர்த்து, பிறகு கரம் மசாலா தூள் மற்றும் குங்குமப்பூ தண்ணீர் சேர்க்கவும்.
 பிறகு மீதம் உள்ள சாதத்தை சேர்த்து சமன்படுத்தி அதன் மேல் நெய் , நறுக்கிய கொத்தமல்லி இலை, புதினா இலை, வறுத்தவெங்காயம், திராட்சை, முந்திரி பருப்பு, கரம் மசாலா தூள், மற்றும் குங்குமப்பூ தண்ணீர் சேர்த்து பாத்திரத்தை மூடவும்.
பின்பு தோசை கல்லை சூடு செய்து அதன் மேல் பாத்திரத்தை வைத்து மிதமான தீயில் 20 தம்மில் வைக்கவும்.
அருமையான தலச்சேரி சிக்கன் பிரியாணி தயார்.</t>
  </si>
  <si>
    <t>https://images.herzindagi.info/her-zindagi-tamil/images/2024/12/09/article/image/thalassery-chicken-biriyani-1733764475210.jpg</t>
  </si>
  <si>
    <t>https://youtu.be/qDbtInOuKLY?si=2XzrtPLzu86Tk4sg</t>
  </si>
  <si>
    <t>Sambar Rice</t>
  </si>
  <si>
    <t>Green rice - 1/2 cup,
Turmeric dal - 1/4 cup,
Water,
Turmeric powder,
Salt,
Oil,
Peanuts - 1 tablespoon,
Dhaniya - 2 tablespoons,
Pepper - 1/2 teaspoon,
Cumin - 1/2 teaspoon,
Anis - 1 teaspoon,
Denil - 1/4 teaspoon,
Dried chilies - 8,
Grated coconut - 2 tablespoons,
Caramel powder,
Water,
Small onion - 1 cup,
Potato - 1 chopped,
Beans chopped,
Carrot chopped,
Drumstick - 1 chopped,
Eggplant chopped,
Peas - 2 tablespoons,
Tomatoes - 2 Chopped,
Salt,
Water,
Ground spice paste,
Tamarind water,
Boil rice and lentils,
Ghee - 3 tablespoons,
Peanuts - 1 tablespoon,
Ultra seeds - 1 tablespoon,
Mustard - 1/2 teaspoon,
Cumin - 1 teaspoon,
Small onion,
Dried chilies,
Green chilies,
Curry leaves,
Bacon powder.</t>
  </si>
  <si>
    <t>பச்சரிசி - 1/2 கப்,
துவரம் பருப்பு - 1/4 கப்,
தண்ணீர்,
மஞ்சள் தூள்,
உப்பு,
எண்ணெய்,
கடலை பருப்பு - 1 மேசைக்கரண்டி,
தனியா - 2 மேசைக்கரண்டி,
மிளகு - 1/2 தேக்கரண்டி,
சீரகம் - 1/2 தேக்கரண்டி,
சோம்பு - 1 தேக்கரண்டி,
வெந்தயம் - 1/4 தேக்கரண்டி,
காய்ந்த மிளகாய் - 8,
தேங்காய் துருவல் - 2 மேசைக்கரண்டி,
பெருங்காயத்தூள்,
தண்ணீர்,
சின்ன வெங்காயம் - 1 கப்,  
உருளைக்கிழங்கு - 1 நறுக்கியது,
பீன்ஸ் நறுக்கியது,
கேரட்  நறுக்கியது,
முருங்கைக்காய் - 1 நறுக்கியது,
கத்தரிக்காய் நறுக்கியது,
பட்டாணி - 2 மேசைக்கரண்டி,
தக்காளி - 2 நறுக்கியது,
உப்பு,
தண்ணீர்,
அரைத்த மசாலா விழுது,
புளி தண்ணீர்,
வேகவைத்த அரிசி மற்றும் பருப்பு,
நெய் - 3 மேசைக்கரண்டி,
கடலை பருப்பு - 1 தேக்கரண்டி,
உளுத்தம் பருப்பு - 1 தேக்கரண்டி,
கடுகு - 1/2 தேக்கரண்டி,
சீரகம் - 1 தேக்கரண்டி,
சின்ன வெங்காயம்,
காய்ந்த மிளகாய்,
பச்சை மிளகாய்,
கறிவேப்பிலை,
பெருங்காயத்தூள்.</t>
  </si>
  <si>
    <t>Wash the rice and lentils well in water, add required amount of water and soak for 30 minutes.
Next, add the soaked rice and lentils in a cooker.
Then add water until the rice and lentils are submerged and add a little turmeric powder and salt.
Close the cooker and boil the rice and lentils well until 4 whistles.
Next, mash the boiled rice and lentils well and keep them aside.
Pour oil in a wide pan.
When the oil is hot, add the peanuts and fry for a while.
After the peanuts are fried for a while, add the coriander, cumin, anise, and fenugreek and fry the ingredients on medium heat without burning.
Now add the dried chilies and grated coconut and fry until the grated coconut turns slightly golden brown.
Add the turmeric powder and mix well. Switch off the stove and let the fried ingredients cool down well.
In a mixer jar, add the fried ingredients, add a little water and grind them into a fine paste.
Keep the ground spice paste aside.
Wash the vegetables well and chop them into small pieces.
Take a deep pan and pour oil. Next, add the small onion and fry for a while.
Then add the chopped potatoes, beans, carrots, drumsticks, eggplant, peas, and tomatoes and mix well.
Then add a little salt and mix.
After boiling the vegetables for 2 or 3 minutes, add a little water.
Cover the pan and cook the vegetables for 10 minutes.
After 10 minutes, add the ground masala paste and mix. Boil for 2 or 3 minutes. Then add tamarind water and mix well.
Cover the pan again and cook the vegetables for 5 minutes.
Now add the boiled rice and lentils.
Mix well and cook on medium heat.
Take a ladle and pour ghee.
Add the gram dal, urad dal, mustard and cumin seeds.
Once the mustard seeds are cooked, add the small onion, dried chillies, green chillies, curry leaves and coriander powder and fry for a while.
Switch off the stove.
Add the tamarind paste to the sambar rice and cook on medium heat.
Mix everything well and garnish with chopped coriander leaves.
Add a little ghee on top to enhance the taste.
Serve this delicious sambar rice with chips or chutney as per your choice.</t>
  </si>
  <si>
    <t>அரிசி மற்றும் பருப்பை தண்ணீரில் நன்கு கழுவி தேவையான அளவு தண்ணீர் ஊற்றி 30 நிமிடம் ஊறவைக்கவும்.
அடுத்து ஊறவைத்த அரிசி மற்றும் பருப்பை ஒரு குக்கரில் சேர்க்கவும்.
 பின்பு அரிசி மற்றும் பருப்பு மூழ்கும் வரை தண்ணீர் ஊற்றி சிறிதளவு மஞ்சள் தூள் உப்பு சேர்க்கவும்.
குக்கரை மூடி 4 விசில் வரும் வரை அரிசி மற்றும் பருப்பை நன்கு வேகவைக்கவும்.
 அடுத்து வேகவைத்த அரிசி மற்றும் பருப்பை நன்றாக மசித்து தனியாக எடுத்து வைக்கவும்.
ஒரு அகல பானில் எண்ணெய் ஊற்றவும்.
எண்ணெய் சூடானதும் கடலை பருப்பை சேர்த்து சிறிது நேரம் வறுக்கவும்.
சிறிது நேரம் கடலை பருப்பை வருத்ததும் தனியா, மிளகு, சீரகம், சோம்பு, வெந்தயம் ஆகியவற்றை சேர்த்து மிதமான தீயில் பொருட்கள் கருகாமல் வறுக்கவும்.
இப்போது காய்ந்த மிளகாய், தேங்காய் துருவல் சேர்த்து தேங்காய் துருவல் சிறிது பொன்னிறமாகும் வரை 
 பெருங்காயத்தூள் சேர்த்து நன்கு கலந்து விடவும். அடுப்பை அணைத்து விட்டு வறுத்த பொருட்களை நன்கு ஆறவிடவும்.
ஒரு மிக்ஸி ஜாரில் வறுத்த பொருட்களை சேர்த்து சிறிதளவு தண்ணீர் ஊற்றி நன்கு விழுதாக அரைக்கவும்.
அரைத்த மசாலா விழுதை தனியாக எடுத்து வைக்கவும்.
காய்கறிகளை நன்கு கழுவி சிறிய துண்டுகளாக நறுக்கவும்.
 ஒரு ஆழமான கடாயை எடுத்து எண்ணெய் ஊற்றவும். அடுத்து சின்ன வெங்காயத்தை சேர்த்து சிறிது நேரம் வதக்கவும்.
 பின்பு நறுக்கிய உருளைக்கிழங்கு, பீன்ஸ், கேரட், முருங்கைக்காய், கத்தரிக்காய், பட்டாணி, தக்காளி ஆகியவற்றை சேர்த்து நன்கு கலந்து விடவும்.
அடுத்து சிறிதளவு உப்பு சேர்த்து கலந்து விடவும்.
 காய்கறிகளை 2 அல்லது 3 நிமிடம் வேகவைத்த பிறகு சிறிதளவு தண்ணீர் சேர்க்கவும்.
கடாயை மூடி காய்கறிகளை 10 நிமிடம் வேகவைக்கவும்.
10 நிமிடத்திற்கு பிறகு அரைத்த மசாலா விழுதை சேர்த்து கலந்து விடவும். 2 அல்லது 3 நிமிடம் வேகவைக்கவும். பிறகு புளி தண்ணீர் சேர்த்து  நன்கு கலந்து விடவும்.
 மீண்டும் கடாயை மூடி காய்கறிகளை 5 நிமிடம் வேகவைக்கவும்.
 இப்போது வேகவைத்த அரிசி மற்றும் பருப்பை சேர்க்கவும்.
 நன்றாக கலந்து விட்டு மிதமான தீயில் வேகவைக்கவும்.
தாளிப்பு கரண்டியை எடுத்து நெய் ஊற்றவும்.
கடலை பருப்பு, உளுத்தம் பருப்பு, கடுகு, சீரகம் ஆகியவற்றை சேர்க்கவும்.
 கடுகு பொரிந்ததும் சின்ன வெங்காயம், காய்ந்த மிளகாய், பச்சை மிளகாய், கறிவேப்பிலை, பெருங்காயத்தூள் சேர்த்து சிறிது நேரம் வதக்கவும்.
 அடுப்பை அணைத்து விடவும்.
 தாளிப்பை சாம்பார் சாதத்துடன் சேர்த்து மிதமான தீயில் வேகவைக்கவும்.
அனைத்தையும் நன்றாக கலந்து விட்டு நறுக்கிய கொத்தமல்லி இலையை தூவி அலங்கரிக்கவும்.
சுவையை கூட்ட மேலே சிறிதளவு நெய் சேர்க்கவும்.
 சிப்ஸ் அல்லது வத்தல் வைத்து இந்த சுவையான சாம்பார் சாதத்தை நீங்கள் விரும்பும்படி பரிமாறவும்.</t>
  </si>
  <si>
    <t>https://i.ytimg.com/vi/MicWiKwJJd8/maxresdefault.jpg</t>
  </si>
  <si>
    <t>https://youtu.be/o7dec6yGO50?si=EAe6PKB39mF4D7sF</t>
  </si>
  <si>
    <t>Chettinadu Spinach Mix</t>
  </si>
  <si>
    <t>செட்டிநாடு கீரை கூட்டு</t>
  </si>
  <si>
    <t>Mung beans - 1/2 cup,
Water,
Turmeric powder - 1 pinch,
Basal spinach - 1 bunch,
Oil - 2 tablespoons,
Small onion - 10 chopped,
Green chilies - 3 chopped,
Salt - 1 teaspoon,
Ghee - 2 tablespoons,
Ultra gram dal - 1/2 teaspoon,
Mustard - 1/4 teaspoon,
Garlic - 2 cloves chopped,
Dried chilies - 2,
Bengal pepper - 1/4 teaspoon.</t>
  </si>
  <si>
    <t>பாசி பருப்பு - 1/2 கப்,
தண்ணீர்,
மஞ்சள் தூள் - 1  சிட்டிகை,
பசலைக் கீரை - 1 கட்டு,
எண்ணெய் - 2 தேக்கரண்டி,
சின்ன வெங்காயம் - 10 நறுக்கியது,
பச்சை மிளகாய் - 3 கீறியது,
உப்பு - 1 தேக்கரண்டி,
நெய் - 2 தேக்கரண்டி,
உளுத்தம் பருப்பு - 1/2 தேக்கரண்டி,
கடுகு - 1/4 தேக்கரண்டி,
பூண்டு - 2 பல் தட்டியது,
காய்ந்த மிளகாய் - 2,
பெருங்காயம் - 1/4 தேக்கரண்டி.</t>
  </si>
  <si>
    <t>In a pressure cooker, add the lentil, turmeric powder, required water and cook on medium heat until 3 whistles.
Wash the basil spinach and chop it into small pieces.
Heat oil in a pan and add the small onion, garlic and green chilies and sauté.
After the onion is slightly fried, add the spinach and stir.
After frying for 2 minutes, add salt and stir, add the boiled lentils and water and mix.
Cover the pan and let it boil for 5 minutes.
In a seasoning spoon, add ghee, urad dal, mustard seeds, crushed garlic, dried chilies, coriander and curry leaves, mix well and pour over the spinach mixture.</t>
  </si>
  <si>
    <t>பிரஷர் குக்கரில் பாசிப்பருப்பு, மஞ்சள் தூள், தேவையான அளவு தண்ணீர் ஊற்றி மிதமான தீயில் 3 விசில் வரும் வரை வேக வைக்கவும்.
 பசலைக் கீரையை கழுவி சிறு துண்டுகளாக நறுக்கவும்.
 ஒரு கடாயில் எண்ணெய் ஊற்றி சின்ன வெங்காயம், பூண்டு மற்றும் பச்சை மிளகாய் சேர்த்து வதக்கவும்.
 வெங்காயம் சிறிது வதங்கிய பின் பசலைக் கீரையை சேர்த்து கிளறவும்.
2 நிமிடங்கள் வதங்கியபின் உப்பு சேர்த்துக் கிளறி வேக வைத்த பருப்பு மற்றும் தண்ணீர் சேர்த்து கலக்கவும்.
 கடாயை மூடி 5 நிமிடங்களுக்கு கொதிக்க விடவும்.
 தாளிப்பு கரண்டியில் நெய், உளுந்து, கடுகு, தட்டிய பூண்டு, காய்ந்த மிளகாய், பெருங்காயம் மற்றும் கருவேப்பிலை போட்டு தாளித்து கீரை கூட்டின் மேல் போடவும்.</t>
  </si>
  <si>
    <t>https://encrypted-tbn0.gstatic.com/images?q=tbn:ANd9GcRSW50MuThCOlNHefASbZb7i78m1UjkIkyZHA&amp;s</t>
  </si>
  <si>
    <t>https://youtu.be/P4d3Ylb8Z1U?si=51G7LqX4R9DIDyI5</t>
  </si>
  <si>
    <t>Tava Pulao</t>
  </si>
  <si>
    <t>Water,
Basmati rice - 1 cup,
Salt - 1 1/2 tsp,
Turmeric powder - 1 tsp,
Ghee - 50 gms,
Oil - 1 tbsp,
Onions - 2 chopped,
Ginger garlic paste - 2 tsp,
Chilli - 1 chopped,
Tomato - 3 chopped,
Chilli paste - 2 tsp,
Kashmiri chili powder - 1 1/2 tsp,
Karam masala powder - 1 1/2 tsp,
Paav bhaji masala - 3 tsp,
Potatoes - 2 boiled and chopped,
Green peas - 1 cup boiled,
Coriander leaves chopped.</t>
  </si>
  <si>
    <t xml:space="preserve">தண்ணீர்,
பாஸ்மதி அரிசி - 1 கப்,  
உப்பு - 1 1/2 தேக்கரண்டி,
மஞ்சள் தூள் - 1 தேக்கரண்டி,
வெண்ணெய் - 50 கிராம்,
எண்ணெய் - 1 மேசைக்கரண்டி,
வெங்காயம் - 2 நறுக்கியது,
இஞ்சி பூண்டு விழுது - 2 தேக்கரண்டி,
குடைமிளகாய் - 1 நறுக்கியது,
தக்காளி - 3 நறுக்கியது,
மிளகாய் விழுது - 2 தேக்கரண்டி,
காஷ்மீரி மிளகாய் தூள் - 1 1/2 தேக்கரண்டி,
கரம் மசாலா தூள் - 1 1/2 தேக்கரண்டி,
பாவ் பாஜி மசாலா - 3 தேக்கரண்டி,
உருளைக்கிழங்கு - 2 வேகவைத்து நறுக்கியது,
பச்சை பட்டாணி - 1 கப் வேகவைத்தது,
கொத்தமல்லி இலை நறுக்கியது.
</t>
  </si>
  <si>
    <t>Pour required amount of water in a vessel and bring it to a boil.
Then add soaked basmati rice, salt and turmeric powder and boil it.
Next, add butter and oil to the pan and fry the chopped onion until golden brown.
Then add the ginger garlic paste and fry for 2 minutes.
Then add the chopped chillies and fry.
Then add the chopped tomatoes and fry.
Next, add the chilli paste and mix it and then add the Kashmiri chilli powder and mix it.
Then add salt and mix it and add the garam masala powder.
Then add the pav bhaji masala powder and mix it.
Then add the boiled and chopped potatoes and boiled green peas and mix it.
Then add the chopped coriander leaves and stir it.
Then add the boiled basmati rice and stir it.
A delicious dawa pulao is ready!</t>
  </si>
  <si>
    <t>பாத்திரத்தில் தேவையான அளவு தண்ணீர் ஊற்றி கொதிக்கவிடவும்.
பின்பு ஊறவைத்த பாஸ்மதி அரிசி, உப்பு மற்றும் மஞ்சள் தூள் சேர்த்து வேகவிடவும்.
அடுத்து கடாயில் வெண்ணெய் மற்றும் எண்ணெய் சேர்த்து அதில் நறுக்கிய வெங்காயம் சேர்த்து பொன்னிறமாக வதக்கவும்.
பின்பு இஞ்சி பூண்டு விழுது சேர்த்து 2 நிமிடம் வதக்கவும்.
பிறகு நறுக்கிய குடைமிளகாய் சேர்த்து வதக்கவும்.
 பின்பு நறுக்கிய தக்காளி சேர்த்து வதக்கவும்.
அடுத்து மிளகாய் விழுது சேர்த்து கலந்துவிட்டு பின்பு காஷ்மீரி மிளகாய் தூள் சேர்த்து கலந்துவிடவும்.
பிறகு உப்பு சேர்த்து கலந்து அதில் கரம் மசாலா தூளை சேர்க்கவும்.
பின்பு பாவ் பாஜி மசாலா தூள் சேர்த்து கலந்துவிடவும்.
பிறகு வேகவைத்து நறுக்கிய உருளைகிழங்கு, வேகவைத்த பச்சை பட்டாணி சேர்த்து கலந்துவிடவும்.
 பின்பு நறுக்கிய கொத்தமல்லி இலை சேர்த்து கிளறவும்.
பிறகு வேகவைத்த பாஸ்மதி அரிசியை சேர்த்து கிளறவும்.
அருமையான தாவா புலாவ் தயார்!</t>
  </si>
  <si>
    <t>https://www.sharmispassions.com/wp-content/uploads/2022/02/tawa-pulao1.jpg</t>
  </si>
  <si>
    <t>https://youtu.be/CVWwf4rc3Ns?si=6QWk_O1KlnBaZULd</t>
  </si>
  <si>
    <t>Pulka</t>
  </si>
  <si>
    <t>Wheat flour - 2 cups,
Salt - 1 teaspoon,
Warm water.</t>
  </si>
  <si>
    <t>கோதுமை மாவு - 2 கப்,
உப்பு - 1 தேக்கரண்டி,
சூடான தண்ணீர்.</t>
  </si>
  <si>
    <t>In a bowl, combine the wheat flour and salt.
Add warm water little by little and knead it. Then knead it well for 10 minutes.
When the dough is soft, cover it with a damp cloth and let it soak for 30 minutes.
After 30 minutes, knead it again for 2 minutes. Then roll the dough into small balls.
Sprinkle some flour on a chapati board, place the rolled dough on it, press it flat, and then rub it.
Then, put a dosa stone on it and heat the stone, put the rubbed dough on it and cook it for a while.
When the top of the dough starts to get small eggs. Flip it over to the other side.
Then, take it out of the stone and place it directly in the oven for a while, with the boiled side facing down. Once the dough is risen, turn it over, immediately take it out, rub some ghee or butter on it and serve the bulga hot.</t>
  </si>
  <si>
    <t>ஒரு பாத்திரத்தில்  கோதுமை மாவு மற்றும்  உப்பு சேர்த்து
கலந்துவிடவும்.
 அதனுடன் சிறிது சிறிதாக வெது வெதுப்பான தண்ணீர் சேர்த்து
பிசையவும். பிறகு 10 நிமிடம் நன்கு பிசையவும்.
மாவு மெதுவானதும், ஒரு ஈரத்துணியால் மூடி 30 நிமிடம் ஊறவிடவும்.
30 நிமிடத்திற்கு பிறகு மீண்டும் 2 நிமிடம் பிசைந்து கொள்ளவும். பின்பு மாவை சிறு
சிறு உருண்டைகளாக உருட்டி கொள்ளவும்.
சப்பாத்தி கட்டையில் சிறிது மாவை தூவி உருட்டிய மாவை வைத்து அழுத்தி
தட்டையாக்கி, பிறகு தேய்க்கவும்.
 பின்பு தோசைக்கல்லை வைத்து கல் சூடானது அதில் தேய்த்த மாவை போட்டு சிறிது
நேரம் வேகவிடவும்.
மாவின் மேல்பக்கம், சிறு சிறு முட்டைகள் வர ஆரம்பித்ததும். அடுத்த பக்கம்
திருப்பிப்போடவும்.
 பிறகு கல்லில் இருந்து எடுத்து நேராக அடுப்பில் சிறுது நேரம் வேகவைத்த பக்கம், கீழ்
பக்கம் இருக்குமாறு வைக்கவும். மாவு உப்பிவந்ததும் அதை திருப்பு போட்டு உடனே
எடுத்து கொஞ்சம் நெய் அல்லது வெண்ணை தேய்த்து புல்காவை சூடாக பரிமாறவும்.</t>
  </si>
  <si>
    <t>https://img-global.cpcdn.com/recipes/8a50d9c48d8040ac/680x482cq70/%E0%AE%AA%E0%AE%B2%E0%AE%95-pulka-recipe-in-tamil-%E0%AE%9A%E0%AE%AF%E0%AE%AE%E0%AE%B1-%E0%AE%AE%E0%AE%95%E0%AE%95%E0%AE%AF-%E0%AE%AA%E0%AE%95%E0%AE%AA%E0%AE%AA%E0%AE%9F%E0%AE%AE.jpg</t>
  </si>
  <si>
    <t>https://youtu.be/y7n6dsqOM4w?si=bNNOqLs5mBuFyIKE</t>
  </si>
  <si>
    <t>Paneer Pea Pulao</t>
  </si>
  <si>
    <t>பன்னீர் பட்டாணி புலாவ்</t>
  </si>
  <si>
    <t>Basmati rice - 2 cups,
Paneer - 400 grams,
Green peas - 1 cup,
Ghee - 3 tablespoons,
Oil - 1 tablespoon,
Baking powder,
Cloves,
Cardamom,
Pineapple blossom,
Nutmeg,
Cumin - 1 teaspoon,
Baking leaves - 2,
Onion - 2 finely chopped,
Green chilies - 4 grated,
Ginger garlic paste - 2 teaspoons,
Tomatoes - 3 finely chopped,
Yogurt - 2 tablespoons,
Turmeric powder - 1/2 teaspoon,
Chili powder - 2 teaspoons,
Cumin powder - 1 teaspoon,
Cornilara powder - 1 teaspoon,
Garlic powder - 1 teaspoon,
Garlic powder - 1 teaspoon,
Salt,
Mint Leaves,
Coriander leaves.</t>
  </si>
  <si>
    <t>பாஸ்மதி அரிசி - 2 கப்,                                                                                            
பன்னீர் - 400 கிராம் ,
பச்சை பட்டாணி - 1 கப்,
நெய் - 3 மேசைக்கரண்டி,
எண்ணெய் - 1 மேசைக்கரண்டி,
பட்டை ,
கிராம்பு,
ஏலக்காய்,
அன்னாசி பூ,
ஜாதிபத்திரி,
சீரகம் - 1 தேக்கரண்டி,
பிரியாணி இலை - 2,
வெங்காயம் - 2 மெல்லியதாக நறுக்கியது,
பச்சை மிளகாய் - 4 கீறியது,
இஞ்சி பூண்டு விழுது - 2 தேக்கரண்டி,
தக்காளி - 3 பொடியாக நறுக்கியது,
தயிர் - 2 மேசைக்கரண்டி,
மஞ்சள் தூள் - 1/2 தேக்கரண்டி,
மிளகாய் தூள் - 2 தேக்கரண்டி,
சீரக தூள் - 1 தேக்கரண்டி,
மல்லி தூள் - 1 தேக்கரண்டி,
கரம் மசாலா தூள் - 1 தேக்கரண்டி,
உப்பு ,
புதினா இலை,
கொத்தமல்லி இலை .</t>
  </si>
  <si>
    <t>In a bowl, add well-washed basmati rice, pour water and soak for 30 minutes.
Next, cut the paneer into small pieces, add turmeric powder, chili powder, garam masala powder, salt and mix well and soak for 5 minutes.
Then add ghee in a wide pan, put the paneer and fry it on all sides.
Next, add ghee, oil, peel, cloves, cardamom, pineapple flower, nutmeg, cumin, biryani leaves in a cooker.
Then add finely chopped onion and fry. Then add green chilies, ginger garlic paste, and tomatoes one after the other and fry.
Next, add yogurt, chili powder, cumin powder, coriander powder, garam masala powder, salt and mix well.
Now add green peas, mint leaves, coriander leaves, fried paneer, soaked basmati rice one by one and mix well.
Next add water, mix well and cook till 1 whistle.
Delicious paneer pea pulao is ready.</t>
  </si>
  <si>
    <t>ஒரு பாத்திரத்தில் நன்கு கழுவிய பாஸ்மதி அரிசியை சேர்த்து தண்ணீர் ஊற்றி 30 நிமிடம் ஊறவைக்கவும்.
 அடுத்து பன்னீரை சிறிய துண்டுகளாக நறுக்கி அதனுடன் மஞ்சள் தூள், மிளகாய் தூள், கரம் மசாலா தூள், உப்பு சேர்த்து நன்கு கலந்து 5 நிமிடம் ஊறவைக்கவும்.
 பிறகு ஒரு அகலமான பானில் நெய் சேர்த்து, பன்னீரை வைத்து எல்லா பக்கங்களையும் திருப்பி விட்டு வறுக்கவும்.
அடுத்து ஒரு குக்கரில் நெய், எண்ணெய், பட்டை, கிராம்பு, ஏலக்காய், அன்னாசி பூ, ஜாதிபத்திரி, சீரகம், பிரியாணி இலை, சேர்க்கவும்.
 பிறகு மெல்லியதாக நறுக்கிய வெங்காயம் சேர்த்து வதக்கவும். பின்பு பச்சை மிளகாய், இஞ்சி பூண்டு விழுது, தக்காளி ஆகியவற்றை அடுத்தடுத்து சேர்த்து வதக்கவும்.
அடுத்து தயிர், மிளகாய் தூள், சீரக தூள், மல்லி தூள், கரம் மசாலா தூள், உப்பு சேர்த்து நன்கு கலந்து விடவும்.
இப்போது பச்சை பட்டாணி, புதினா இலை, கொத்தமல்லி இலை, வறுத்த பன்னீர், ஊறவைத்த பாஸ்மதி அரிசி ஆகியவற்றை அடுத்தடுத்து சேர்த்து நன்கு கலந்து விடவும்.
அடுத்து தண்ணீர் சேர்த்து நன்கு கலந்து விட்டு 1 விசில் வரும் வரை வேகவிடவும்.
சுவையான பன்னீர் பட்டாணி புலாவ் தயார்.</t>
  </si>
  <si>
    <t>https://img.clearcals.com/recipes/efc601d532845391cb5f21e21c9e2da5f0e4f1ad/medium.png</t>
  </si>
  <si>
    <t>https://youtu.be/N_tfcnUIToA?si=WdbAqOJBf8tQr-JJ</t>
  </si>
  <si>
    <t>Coriander Mint Pulao</t>
  </si>
  <si>
    <t>கொத்தமல்லி புதினா புலாவ்</t>
  </si>
  <si>
    <t>Basmati rice - 1 1/2 cups,
Ginger - 1 piece chopped,
Garlic - 5 cloves chopped,
Small onion - 6 chopped,
Green chilies - 5 chopped,
Grated coconut - 1 tablespoon,
Coriander leaves,
Mint leaves,
Water,
Ghee - 2 tablespoons,
Oil - 1 tablespoon,
Baking powder, cloves, cardamom,
Pineapple blossom, Kalpasi,
Javitri,
Biryani leaves,
Onion - 2 chopped lengthwise,
Green chilies - 2 grated,
Tomatoes - 2 chopped,
Salt - 1 1/2 teaspoons,
Coconut milk - 2 cups water added.</t>
  </si>
  <si>
    <t xml:space="preserve">பாஸ்மதி அரிசி - 1 1/2 கப், 
இஞ்சி - 1 துண்டு நறுக்கியது,
பூண்டு - 5 பற்கள் நறுக்கியது,
சின்ன வெங்காயம் - 6 நறுக்கியது,
பச்சை மிளகாய் - 5 நறுக்கியது,
துருவிய தேங்காய் - 1 மேசைக்கரண்டி,
கொத்தமல்லி இலை,
புதினா இலை,
தண்ணீர்,
நெய் - 2 மேசைக்கரண்டி,
எண்ணெய் - 1 மேசைக்கரண்டி,
பட்டை, கிராம்பு, ஏலக்காய்,
அன்னாசி பூ, கல்பாசி, 
ஜாவித்ரி,
பிரியாணி இலை,
வெங்காயம் - 2 நீளவாக்கில் நறுக்கியது,
பச்சை மிளகாய் - 2 கீறியது,
தக்காளி - 2 நறுக்கியது,
உப்பு - 1 1/2 தேக்கரண்டி,
தேங்காய் பால் - 2 கப் நீர் சேர்த்தது.
</t>
  </si>
  <si>
    <t>Wash the basmati rice well and add it to a bowl, pour water and soak it for 30 minutes.
To grind the coriander mint paste, add chopped ginger, garlic, small onion, green chili, grated coconut, coriander leaves, mint leaves and water in a mixer and grind it to a paste.
In a cooker, add ghee, oil and when the ghee melts, add the bark, cloves, cardamom, pineapple flower, kalpasi, jaggery and biryani leaves.
Next, add chopped onion and green chili and fry the onion until golden brown.
Then add chopped tomato and fry it. Then add coriander mint paste and mix it.
Next, add salt, soaked basmati rice and coconut milk mixed with water and mix it and cook for 1 whistle.
Sprinkle roasted cashew nuts over the coriander mint pulao and serve hot.</t>
  </si>
  <si>
    <t>பாஸ்மதி அரிசியை நன்கு கழுவி ஒரு பாத்திரத்தில் சேர்த்து தண்ணீர் ஊற்றி 30 நிமிடம் ஊறவைக்கவும்.
 கொத்தமல்லி புதினா விழுது அரைக்க ஒரு மிக்ஸியில் நறுக்கிய இஞ்சி, பூண்டு, சின்ன வெங்காயம், பச்சை மிளகாய், துருவிய தேங்காய், கொத்தமல்லி இலை, புதினா இலை, தண்ணீர் ஆகியவற்றை சேர்த்து விழுதாக அரைக்கவும்.
 ஒரு குக்கரில் நெய், எண்ணெய், சேர்த்து நெய் உருகியதும், பட்டை, கிராம்பு, ஏலக்காய், அன்னாசி பூ, கல்பாசி, ஜாவித்ரி, பிரியாணி இலை சேர்க்கவும்.
அடுத்து நறுக்கிய வெங்காயம், பச்சை மிளகாய் சேர்த்து வெங்காயத்தை பொன்னிறமாக வதக்கவும்.
 பின்பு நறுக்கிய தக்காளியை சேர்த்து வதக்கவும். பிறகு கொத்தமல்லி புதினா விழுதை சேர்த்து கலந்து விடவும்.
 அடுத்து உப்பு, ஊறவைத்த பாஸ்மதி அரிசி, நீர் சேர்த்த தேங்காய் பால் ஆகியவற்றை அடுத்தடுத்து சேர்த்து கலந்து விட்டு 1 விசில் வரும் வேகவிடவும்.
 கொத்தமல்லி புதினா புலாவ் மீது வறுத்த முந்திரியை தூவி சூடாக பரிமாறவும்.</t>
  </si>
  <si>
    <t>https://encrypted-tbn0.gstatic.com/images?q=tbn:ANd9GcTFYKNT8oYacy09nPGUZwhTPKURf8dZbi1c3Q&amp;s</t>
  </si>
  <si>
    <t>https://youtu.be/mU-BlN1RnmE?si=YaoshFu32D_rnQJx</t>
  </si>
  <si>
    <t>Peanut Pulao</t>
  </si>
  <si>
    <t>கொண்டக்கடலை புலாவ்</t>
  </si>
  <si>
    <t>Peanuts - 1 cup,
Basmati rice - 300 grams,
Ghee - 2 tablespoons,
Oil - 2 tablespoons,
Baking powder,
Cloves,
Cardamom,
Baking leaves,
Cumin - 1 teaspoon,
Aneem - 1 teaspoon,
Onions - 2 finely chopped,
Green chilies - 5 grated,
Ginger garlic paste - 2 teaspoons,
Tomatoes - 4 chopped,
Turmeric powder - 1 teaspoon,
Chili powder - 2 teaspoons,
Dhaniya powder - 1 teaspoon,
Senna masala powder - 2 teaspoons,
Mint leaves,
Coriander leaves,
Salt,
Water,
Hot water - 2 cups.</t>
  </si>
  <si>
    <t>கொண்டக்கடலை - 1 கப் ,
பாஸ்மதி அரிசி - 300 கிராம்,
நெய் - 2 மேசைக்கரண்டி,
எண்ணெய் - 2 மேசைக்கரண்டி,
பட்டை,
கிராம்பு,
ஏலக்காய் ,
பிரியாணி இலை ,
சீரகம் - 1 தேக்கரண்டி,
சோம்பு - 1 தேக்கரண்டி,
வெங்காயம் - 2 மெல்லியதாக நறுக்கியது,
பச்சை மிளகாய் - 5 கீறியது,
இஞ்சி பூண்டு விழுது - 2 தேக்கரண்டி,
தக்காளி - 4 நறுக்கியது,
மஞ்சள் தூள் - 1 தேக்கரண்டி,
மிளகாய் தூள் - 2 தேக்கரண்டி,
தனியா தூள் - 1 தேக்கரண்டி,
சென்னா மசாலா தூள் - 2 தேக்கரண்டி,
புதினா இலை,
கொத்தமல்லி இலை,
உப்பு ,
தண்ணீர்,
சூடு தண்ணீர் - 2 கப்.</t>
  </si>
  <si>
    <t>In a cooker, add soaked garam masala, turmeric powder, salt, cloves, bay leaves, and required amount of water and cook on medium flame till 4 whistles.
Pour ghee and oil in a pan, add bay leaves, bark, cloves, cardamom, anise, and cumin seeds and mix them.
Then add chopped onion, green chillies and fry till the onion turns golden brown.
Then add ginger garlic paste and mix it, then add chopped tomatoes and fry it.
Next add salt, chilli powder, senna powder and mix it.
Then add boiled garam masala and mix it.
Then add mint, coriander leaves and mix it, add soaked basmati rice and mix it, add hot water and cook on medium flame for 15 minutes.
Delicious garam masala pulao is ready!</t>
  </si>
  <si>
    <t>குக்கரில் ஊறவைத்த கொண்டக்கடலை, மஞ்சள் தூள், உப்பு, கிராம்பு, பிரியாணி இலை, மற்றும் தேவையான அளவு தண்ணீர் ஊற்றி மிதமான தீயில் 4 விசில் வரும் வரை வேகவிடவும்.
 கடாயில் நெய் மற்றும் எண்ணெய் ஊற்றி, அதில் பிரியாணி இலை, பட்டை, கிராம்பு, ஏலக்காய், சோம்பு, சீரகம் சேர்த்து கலந்துவிடவும்.
பின்பு நறுக்கிய வெங்காயம், பச்சை மிளகாய் சேர்த்து வெங்காயம் பொன்னிறமாகும் வரை வதக்கவும்.
பிறகு இஞ்சி பூண்டு விழுது சேர்த்து கலந்து, பின்பு நறுக்கிய தக்காளி சேர்த்து வதக்கவும்.
அடுத்து உப்பு, மிளகாய் தூள், தனியா தூள், சென்னா மசாலா தூள் சேர்த்து கலந்துவிடவும்.
பிறகு வேகவைத்த கொண்டைக்கடலையை சேர்த்து கலந்துவிடவும்.
பின்பு புதினா, கொத்தமல்லி இலை சேர்த்து கலந்து, ஊறவைத்த பாஸ்மதி அரிசியை சேர்த்து கலந்துவிட்டு சூடு தண்ணீர் ஊற்றி மிதமான தீயில் 15 நிமிடம் வேகவிடவும்.
 சுவையான கொண்டக்கடலை புலாவ் தயார்!</t>
  </si>
  <si>
    <t>https://i.ytimg.com/vi/2Uhuf5stMA4/maxresdefault.jpg</t>
  </si>
  <si>
    <t>https://youtu.be/cdikW_uRjjU?si=4cFrgHwHjjNLJXbc</t>
  </si>
  <si>
    <t>இறால் பிரியாணி</t>
  </si>
  <si>
    <t>Prawns - 1 kg,
Basmati rice - 2 cups,
Ghee - 3 tablespoons,
Oil - 1 tablespoon,
Baking powder,
Cloves,
Cardamom,
Biryani leaves,
Pineapple blossom,
Onion - 4 lengthwise chopped,
Tomato - 3 chopped,
Salt,
Turmeric powder - 1 teaspoon,
Chili powder - 3 teaspoons,
Thaniya powder - 2 teaspoons,
Coriander leaves,
Mint leaves,
Coconut milk - 2 cups water added,
Water,
Garlic - 12 cloves,
Ginger - 2 inch piece chopped,
Small onion - 10,
Grated coconut - 1 tablespoon,
Green chillies - 4,
Dried chillies - 5 ,
Mint leaves,
Coriander leaves,
Water.</t>
  </si>
  <si>
    <t>இறால் - 1 கிலோ,
பாஸ்மதி அரிசி - 2 கப்,                         
நெய் - 3 மேசைக்கரண்டி,
எண்ணெய் - 1 மேசைக்கரண்டி,
பட்டை,
கிராம்பு,
ஏலக்காய் ,
பிரியாணி இலை,
அன்னாசி பூ,
வெங்காயம் - 4 நீளமாக நறுக்கியது,
தக்காளி - 3 நறுக்கியது,
உப்பு ,
மஞ்சள் தூள் - 1 தேக்கரண்டி,
மிளகாய் தூள் - 3 தேக்கரண்டி,
தனியா தூள் - 2 தேக்கரண்டி,
கொத்தமல்லி இலை,  
புதினா இலை,
தேங்காய் பால் - 2 கப் நீர் சேர்த்தது,
தண்ணீர்,
பூண்டு - 12 பற்கள்,
இஞ்சி - 2 இன்ச் துண்டு நறுக்கியது ,
சின்ன வெங்காயம் - 10,
துருவிய தேங்காய் - 1 மேசைக்கரண்டி,
பச்சை மிளகாய் - 4,
காய்ந்த மிளகாய் - 5 ,
புதினா இலை,
கொத்தமல்லி இலை,
தண்ணீர்.</t>
  </si>
  <si>
    <t>Wash the basmati rice well and soak it for 30 minutes.
Clean the prawns, add salt and turmeric powder and wash them.
Mix the cleaned prawns, salt, turmeric powder and chilli powder and soak them.
Add garlic, ginger, small onion, grated coconut, green chillies, dried chillies, mint and coriander in a mixer and grind them into a fine paste.
Grind the coconut and prepare the coconut milk required for the biryani.
In a pressure cooker, pour ghee and oil, add the rind, cloves, cardamom, pineapple blossom, biryani leaves and onion and fry them.
When the onion turns golden, add the ground masala paste and fry until the raw smell goes away.
Next, add the tomatoes and fry them.
After mashing the tomatoes well, add salt, turmeric powder, and coriander powder and saute.
Next, add the soaked prawns and fry them.
On low flame, pour coconut milk and stir.
Next, add the soaked rice and fry them.
Close the cooker, when the steam comes, put the weight and cook for 8 minutes.
When the pressure of the cooker comes down,
open it. Delicious prawn biryani is ready.</t>
  </si>
  <si>
    <t>பாஸ்மதி அரிசியை நன்கு கழுவி 30 நிமிடம் ஊறவைக்கவும்.
இறால்'லை சுத்தம் செய்து, உப்பு மற்றும் மஞ்சள் தூள் போட்டு கழுவவும்.
சுத்தம் செய்த இறால்'லை, உப்பு, மஞ்சள் தூள் மற்றும் மிளகாய் தூள் சேர்த்து கலந்து ஊறவைக்கவும்.
 மிக்ஸியில் பூண்டு, இஞ்சி, சின்ன வெங்காயம், துருவிய தேங்காய், பச்சை மிளகாய், காய்ந்த மிளகாய், புதினா மற்றும் கொத்தமல்லி சேர்த்து, நன்கு விழுதாக அரைக்கவும்.
 தேங்காயை அரைத்து, பிரியாணி'க்கு தேவையான தேங்காய் பால் தயார் செய்யவும்.
 பிரஷர் குக்கர்'ரில், நெய் மற்றும் எண்ணெய் ஊற்றி, இதில் பட்டை, கிராம்பு, ஏலக்காய், அன்னாசி பூ, பிரியாணி இலை மற்றும் வெங்காயம் சேர்த்து வதக்கவும்.
வெங்காயம் பொன் நிறமானதும், அரைத்த மசாலா விழுது சேர்த்து, பச்சை வாசனை போகும் வரை வதக்கவும்.
அடுத்து இதில் தக்காளி சேர்த்து வதக்கவும்.
 தக்காளி நன்கு மசிந்த பின், இதில் உப்பு, மஞ்சள் தூள், தனியா தூள் சேர்த்து வதக்கவும்.
அடுத்து இதில் ஊறவைத்த இறால் சேர்த்து கிண்டவும்.
 குறைந்த தீயில், தேங்காய் பால் ஊற்றி கிளறவும்.
அடுத்து இதில் ஊறவைத்த அரிசி சேர்த்து கிண்டவும்.
குக்கர்'ரை மூடி, ஆவி வந்ததும், வெயிட் போட்டு 8 நிமிடம் வேகவைக்கவும்.
 குக்கர்'ரின் பிரஷர் இறங்கியதும், 
 திறக்கவும்.சுவையான இறால் பிரியாணி தயார்.</t>
  </si>
  <si>
    <t>https://i.ytimg.com/vi/fpdvxkVtSrg/maxresdefault.jpg</t>
  </si>
  <si>
    <t>https://youtu.be/Are3SmG5Gkk?si=YuMMTOcXgiSJuTta</t>
  </si>
  <si>
    <t>Turam dal - 1/2 tablespoon,
Dengar - 6,
Whole fenugreek - 1 teaspoon,
Cumin - 1 teaspoon,
Whole pepper - 1 teaspoon,
Dried chilies - 2,
Curry leaves,
Garlic - 2 cloves,
Agar powder - 1 pinch.</t>
  </si>
  <si>
    <t>துவரம் பருப்பு - 1/2 மேசைக்கரண்டி,
வெந்தயம் - 6,
முழு தனியா - 1 தேக்கரண்டி,
சீரகம் - 1 தேக்கரண்டி ,
முழு மிளகு - 1 தேக்கரண்டி,
காய்ந்த மிளகாய் - 2,
கறிவேப்பில்லை,
பூண்டு - 2 பற்கள்,
பெருங்காயத்தூள் - 1 சிட்டிகை.</t>
  </si>
  <si>
    <t>In a pan, without oil, add turam dal, fenugreek, whole fenugreek, cumin, whole pepper, dried chilies, curry leaves, garlic, and agar powder.
Cool the fried ingredients and grind them into a powder. Rasam powder is ready.
Pour oil in a pan, add mustard, cumin, dried chilies, garlic, agar powder, and curry leaves and fry.
Add chopped tomatoes to it.
Next, add turmeric powder, galangal, tamarind solution and boil it for 5 minutes.
Then add rasam powder and water and boil it.
Finally, add coriander leaves and ghee and cover it for 5 minutes.
Tomato rasam is ready.</t>
  </si>
  <si>
    <t xml:space="preserve">கடாயில் எண்ணெய் இன்றி, துவரம் பருப்பு, வெந்தயம், முழு தனியா, சீரகம், முழு மிளகு, காய்ந்த மிளகாய், கறிவேப்பில்லை, பூண்டு, பெருங்காயத்தூள் சேர்த்து வறுக்கவும்.
வறுத்த பொருட்களை ஆறவிட்டு, பொடியாக அரைக்கவும். ரசப்பொடி தயார்.
கடாயில் எண்ணெய் ஊற்றி, இதில் கடுகு, சீரகம், காய்ந்த மிளகாய், பூண்டு, பெருங்காயத்தூள், கறிவேப்பில்லை போட்டு கிண்டவும்.
இதில் நறுக்கிய தக்காளி சேர்க்கவும்.
அடுத்து இதில் மஞ்சள் தூள், கல்லுப்பு, புளி கரைசல் சேர்த்து 5 நிமிடம் கொதிக்கவிடவும்.
பின் இதில் ரசப்பொடி மற்றும் தண்ணீர் சேர்த்து கொதிக்கவிடவும்.
கடைசியாக கொத்தமல்லி இலை மற்றும் நெய் சேர்த்து 5 நிமிடம் மூடி வைக்கவும்.
 தக்காளி ரசம் தயார். </t>
  </si>
  <si>
    <t>https://i.ytimg.com/vi/uEExCQtvS8s/hq720.jpg?sqp=-oaymwEhCK4FEIIDSFryq4qpAxMIARUAAAAAGAElAADIQj0AgKJD&amp;rs=AOn4CLAeA2husaQzcSYry1m3jXZZKWfklQ</t>
  </si>
  <si>
    <t>https://youtu.be/-pGBd9PkFY0?si=AhL3eA8nexCVrTxf</t>
  </si>
  <si>
    <t>Corn Fried Rice</t>
  </si>
  <si>
    <t>கார்ன் ப்ரைடு ரைஸ்</t>
  </si>
  <si>
    <t>Basmati rice - 1 cup,
Sweet corn - 1 bowl boiled,
Oil - 3 tbsp,
Garlic - 1 tbsp chopped,
Onion - 1 chopped,
Green chillies - 2 chopped,
Green chillies - 1/2 cup chopped,
Red chillies - 1/2 cup chopped,
Salt,
Chilli powder - 1 tsp,
Soy sauce - 2 tsp,
Vinegar - 2 tsp,
Onion leaves.</t>
  </si>
  <si>
    <t>பாஸ்மதி அரிசி - 1 கப்,
ஸ்வீட் சோளம் - 1 கிண்ணம் வேகவைத்தது,
எண்ணெய் - 3 மேசைக்கரண்டி,
பூண்டு - 1 மேசைக்கரண்டி நறுக்கியது,
வெங்காயம் - 1 நறுக்கியது,
பச்சை மிளகாய் - 2 நறுக்கியது,
பச்சை குடைமிளகாய் - 1/2 கப் நறுக்கியது,
சிவப்பு குடைமிளகாய் - 1/2 கப் நறுக்கியது,
உப்பு,
மிளகு தூள் - 1 தேக்கரண்டி,
சோயா சாஸ் - 2 தேக்கரண்டி,
வினிகர் - 2 தேக்கரண்டி,
வெங்காயத்தாள்.</t>
  </si>
  <si>
    <t>Soak the rice for 30 minutes.
Boil water in a vessel. Add salt and oil to it.
Mix everything and add the soaked rice. Boil the rice until it is completely cooked. Drain and keep aside.
Heat the oil in a pan.
Add chopped garlic, onion, and green chilies and fry on high flame.
Add green chilies and red chilies to it and fry for a while.
Next, add cooked corn kernels and fry for a few more seconds.
Add salt and pepper and mix well. Add soy sauce and vinegar.
Slowly add cooked rice to the pan and mix.
Finally add chopped spring onion and spring onion.
Corn fried rice is ready to serve hot.</t>
  </si>
  <si>
    <t>அரிசியை 30 நிமிடம் ஊற வைக்கவும்.
ஒரு பாத்திரத்தில் தண்ணீரை கொதிக்க வைக்கவும். அதில் உப்பு மற்றும் எண்ணெய் சேர்க்கவும்.
 அனைத்தையும் கலந்து ஊறவைத்த அரிசியைச் சேர்க்கவும். அரிசி முழுவதுமாக வேகும் வரை வேகவைக்கவும். வடிகட்டி தனியாக வைக்கவும்.
வாணலியில் எண்ணெயை சூடாக்கவும்.
நறுக்கிய பூண்டு, வெங்காயம், பச்சை மிளகாய் சேர்த்து அதிக தீயில் வதக்கவும்.
அதில் பச்சை மிளகாய், சிவப்பு மிளகாய் சேர்த்து சிறிது நேரம் வதக்கவும்.
 அடுத்து, சமைத்த சோளக் கருவைச் சேர்த்து மேலும் சில நொடிகள் வதக்கவும்.
 உப்பு, மிளகு சேர்த்து நன்கு கலக்கவும். சோயா சாஸ் மற்றும் வினிகர் சேர்க்கவும்.
 சமைத்த அரிசியை மெதுவாக வாணலியில் சேர்த்து கலக்கவும்.
கடைசியாக நறுக்கிய வெங்காயத்தாள் வெங்காயம் மற்றும் வெங்காயத்தாள் கீரையை சேர்க்கவும்.
கார்ன் ஃப்ரைடு ரைஸ் சூடாக பரிமாற தயாராக உள்ளது.</t>
  </si>
  <si>
    <t>https://i.ytimg.com/vi/gw_XrL_IxR0/hq720.jpg?sqp=-oaymwEhCK4FEIIDSFryq4qpAxMIARUAAAAAGAElAADIQj0AgKJD&amp;rs=AOn4CLBK03pUJMrRy6NkpLWilSuXpmu82A</t>
  </si>
  <si>
    <t>https://youtu.be/5jk3QYcCONc?si=sIjshT0vAchp5ddQ</t>
  </si>
  <si>
    <t>Cauliflower Tham Biryani</t>
  </si>
  <si>
    <t>காலிஃபிளவர் தம் பிரியாணி</t>
  </si>
  <si>
    <t>Basmati rice - 1 cup,
Salt - 1/2 teaspoon,
Lemon juice - 1/2 fruit,
Yogurt - 1 cup,
Ginger garlic paste - 2 tablespoons,
Salt - 2 tablespoons,
Turmeric powder - 1 tablespoon,
Chili powder - 4 tablespoons,
Cumin powder - 2 tablespoons,
Dhaniya powder - 2 tablespoons,
Karam masala powder - 2 tablespoons,
Kasoori methi - 1 tablespoon,
Onion - 1 chopped,
Green chili - 3 chopped,
Tomato - 2 chopped,
Cauliflower - 1. chopped,
Green peas - 1 cup,
Fried onion,
Mint leaves,
Coriander leaves,
Oil - 1 tablespoon,
Ghee - 1 Tablespoon,
Vegetable mix,
Rice,
Ghee,
Saffron milk,
Fried onion,
Mint leaf,
Coriander leaf.</t>
  </si>
  <si>
    <t>பாஸ்மதி அரிசி - 1 கப்,  
உப்பு - 1/2 தேக்கரண்டி,
எலுமிச்சைபழச்சாறு - 1/2 பழம் ,
தயிர் - 1 கப்,
இஞ்சி பூண்டு விழுது - 2 தேக்கரண்டி,
உப்பு - 2 தேக்கரண்டி,
மஞ்சள் தூள் - 1 தேக்கரண்டி,
மிளகாய் தூள் - 4 தேக்கரண்டி,
சீரக தூள் - 2 தேக்கரண்டி,
தனியா தூள் - 2 தேக்கரண்டி,
கரம் மசாலா தூள் - 2 தேக்கரண்டி,
கசூரி மேத்தி - 1 மேசைக்கரண்டி,
வெங்காயம் - 1 நறுக்கியது,
பச்சை மிளகாய் - 3 நறுக்கியது,
தக்காளி - 2 நறுக்கியது,
காலிஃபிளவர் - 1.நறுக்கியது,
பச்சை பட்டாணி - 1 கப்,
வறுத்த வெங்காயம்,
புதினா இலை,
கொத்தமல்லி இலை,
எண்ணெய் - 1 மேசைக்கரண்டி,
நெய் - 1 மேசைக்கரண்டி,
காய்கறி கலவை,
சாதம்,
நெய்,
குங்குமப்பூ பால்,
வறுத்த வெங்காயம்,
புதினா இலை,
கொத்தமல்லி இலை.</t>
  </si>
  <si>
    <t>Wash the rice and soak it in water for 30 minutes.
Take water in a vessel and boil it.
Add salt to it and add the soaked rice.
Cook until the rice is cooked well. Squeeze some lemon juice to make the rice fluffy.
Take curd in a large bowl. Add ginger garlic paste, salt, turmeric powder, chili powder, cumin powder, coriander powder, garam masala powder, kasoori methi and mix everything well.
Add onion, green chili, tomato, green peas, cauliflower, mint leaf, coriander and fried onion.
Mix well and soak for 10 minutes.
In another vessel, mix the hot milk and saffron threads together and set it aside.
Take oil and ghee in a vessel.
Add soaked vegetables, mix and cover with a lid for 15 minutes.
Add required salt and mix well. Take half of the cauliflower masala and keep it in a vessel.
Spread the cauliflower masala evenly in a vessel and spread the cooked rice on top.
Next add some ghee, saffron milk, fried onions, mint leaves, coriander leaves.
Do the same with the remaining masala and rice.
Cover the vessel with a lid and cook the biryani for 15 minutes.
The delicious cauliflower biryani is ready to be served hot with some raita and brinjal curry.</t>
  </si>
  <si>
    <t xml:space="preserve">அரிசியைக் கழுவி 30 நிமிடம் தண்ணீரில் ஊற வைக்கவும்.
ஒரு பாத்திரத்தில் தண்ணீர் எடுத்து கொதிக்க வைக்கவும்.
அதனுடன் உப்பு சேர்த்து, ஊறவைத்த அரிசியை சேர்க்கவும்.
அரிசி நன்றாக வேகும் வரை சமைக்கவும். அரிசி பஞ்சு போன்றதாக இருக்க சிறிது எலுமிச்சை சாறு பிழிந்து கொள்ளவும்.
 ஒரு பெரிய கிண்ணத்தில் தயிர் எடுக்கவும். இஞ்சி பூண்டு விழுது, உப்பு, மஞ்சள் தூள், மிளகாய் தூள், சீரக தூள், மல்லி தூள், கரம் மசாலா தூள், கசூரி மேத்தி சேர்த்து அனைத்தையும் நன்கு கலக்கவும்.
இதனுடன் வெங்காயம், பச்சை மிளகாய், தக்காளி, பச்சை பட்டாணி, காலிஃபிளவர், புதினா இலை, கொத்தமல்லி மற்றும் வறுத்த வெங்காயம் சேர்க்கவும்.
நன்றாக கலந்து 10 நிமிடம் ஊற வைக்கவும்.
 மற்றொரு பாத்திரத்தில், சூடான பால் மற்றும் குங்குமப் பூ இழைகளை ஒன்றாக கலந்து, அதை ஒதுக்கி வைக்கவும்.
ஒரு பாத்திரத்தில் எண்ணெய் மற்றும் நெய் எடுக்கவும்.
ஊறவைத்த காய்கறிகளைச் சேர்த்து, கலந்து 15 நிமிடங்களுக்கு ஒரு மூடியால் மூடி வைக்கவும்.
தேவையான அளவு உப்பு சேர்த்து நன்கு கலக்கவும். பாதியளவு  காலிஃபிளவர் மசாலாவை ஒரு பாத்திரத்தில் எடுத்து வைக்கவும்.
 ஒரு பாத்திரத்தில் காலிஃபிளவர் மசாலாவை சமமாக பரப்பி, சமைத்த அரிசியை மேலே பரப்பவும்.
அடுத்து சிறிது நெய், குங்குமப்பூ பால், வறுத்த வெங்காயம், புதினா இலைகள், கொத்தமல்லி இலைகள் ஆகியவற்றை சேர்க்கவும்.
மீதமுள்ள மசாலா மற்றும் அரிசியை அதே போல் செய்யவும்.
 பாத்திரத்தை ஒரு மூடியால் மூடி பிரியாணியை 15 நிமிடம் சமைக்கவும்.
சுவையான காலிஃபிளவர் பிரியாணி சிறிது ரைத்தா மற்றும் பிரிஞ்சி கறியுடன் சூடாக பரிமாற தயாராக உள்ளது.
</t>
  </si>
  <si>
    <t>https://www.awesomecuisine.com/wp-content/uploads/2024/06/Cauliflower-Biryani.jpg</t>
  </si>
  <si>
    <t>https://youtu.be/En70vt_ktGQ?si=GTAzbhn4jdhzY9Cv</t>
  </si>
  <si>
    <t>Rice semolina tamarind</t>
  </si>
  <si>
    <t>அரிசி ரவை புளியோதரை</t>
  </si>
  <si>
    <t>Oil - 2 tablespoons,
Garlic - 1 tablespoon,
Peanuts - 1 teaspoon,
Ultra seeds - 1 teaspoon,
Mustard - 1/2 teaspoon,
Cumin - 1/2 teaspoon,
Green chilies - 3 chopped,
Dried chilies - 2,
Curry leaves .</t>
  </si>
  <si>
    <t>எண்ணெய் - 2 மேசைக்கரண்டி,
வேர்கடலை - 1 மேசைக்கரண்டி,
கடலை பருப்பு - 1 தேக்கரண்டி,
உளுத்தம் பருப்பு - 1 தேக்கரண்டி,
கடுகு - 1/2 தேக்கரண்டி,
சீரகம் - 1/2 தேக்கரண்டி,
பச்சை மிளகாய் - 3 கீறியது,
காய்ந்த மிளகாய் - 2,
கறிவேப்பிலை .</t>
  </si>
  <si>
    <t>Pour a little oil in a pan, fry the rice semolina until golden brown and keep it aside.
Pour oil again in the same pan, add mustard, ultra seeds, fenugreek, dried chilies, peanuts, and cashew nuts and fry.
Add ginger and caraway seeds and sauté.
Add tamarind juice, salt, chili powder, and garam masala and let it boil.
Once the tamarind juice boils, add the fried rice semolina, stir well, and let it cook until the water dries up.
Once it is well cooked and the tamarind pulp is soft, remove it from the heat and keep it in a small bowl for a delicious taste.</t>
  </si>
  <si>
    <t>ஒரு கடாயில் சிறிதளவு எண்ணெய் ஊற்றி, அரிசி ரவையை பொன்னிறமாக வறுத்து தனியாக வைக்கவும்.
அதே கடாயில் மீண்டும் எண்ணெய் ஊற்றி, கடுகு, உளுத்தம்பருப்பு, வெந்தயம், காய்ந்த மிளகாய், கடலை பருப்பு, முந்திரி பருப்பு சேர்த்து வறுக்கவும்.
இஞ்சி, காரவேப்பிலை சேர்த்து வதக்கவும்.
புளி சாறு சேர்த்து, உப்பு, மிளகாய்த்தூள், கரம் மசாலா சேர்த்து கொதிக்க விடவும்.
புளி சாறு கொதித்ததும், வறுத்த அரிசி ரவையை சேர்த்து, நன்றாக கிளறி, தண்ணீர் வற்றும் வரை வேக விடவும்.
நன்றாக வெந்து, புளியோதரை பதத்திற்கு வந்ததும், தீயிலிருந்து இறக்கி, ஒரு சிறிய கினிக்க வைத்தால் அருமையான சுவையில் இருக்கும்.</t>
  </si>
  <si>
    <t>https://encrypted-tbn0.gstatic.com/images?q=tbn:ANd9GcRtp-yYMuz81frizpGNDQg179KlqJRRGhULrg&amp;s</t>
  </si>
  <si>
    <t>https://youtu.be/KpQMXoRd0tY?si=2JSRr_d9nPAZT14v</t>
  </si>
  <si>
    <t>Leftover Rice Chapati</t>
  </si>
  <si>
    <t>மீதமான ரைஸ் சப்பாத்தி</t>
  </si>
  <si>
    <t>Leftover rice - 1 cup,
Wheat flour - 1 cup,
Salt - 1 teaspoon,
Oil,
Ghee.</t>
  </si>
  <si>
    <t xml:space="preserve">மீதமான சாதம் - 1 கப்,
கோதுமை மாவு - 1 கப்,
உப்பு - 1 தேக்கரண்டி,
எண்ணெய்,
நெய்.
</t>
  </si>
  <si>
    <t>In a mixer jar, add the remaining rice, salt and wheat flour and grind it.
Transfer the ground dough to a bowl and add wheat flour and oil and knead it.
Once the dough is ready, apply oil on it and cover the bowl and let the dough soak for 30 minutes.
Then divide the dough into small balls and place a small ball on the chapati stone and rub it.
Now heat a pan and place the rubbed chapati.
Apply a little ghee on the chapati and cook it on both sides.
Delicious leftover rice chapati is ready.</t>
  </si>
  <si>
    <t>ஒரு மிக்சர் ஜாரில் மீதமுள்ள சாதம், உப்பு மற்றும் கோதுமை மாவை சேர்த்து அரைக்கவும்.
அரைத்த மாவை ஒரு பாத்திரத்திற்கு மாற்றி கோதுமை மாவு, எண்ணெய் சேர்த்து பிசையவும்.
 மாவு தயாரானதும் அதன் மீது எண்ணெய் தடவி பாத்திரத்தை மூடி மாவை 30 நிமிடம் ஊறவைக்கவும்.
 பிறகு மாவை, சிறு உருண்டைகளாக பிரித்து ஒரு சிறு உருண்டையை சப்பாத்தி கல்லில் வைத்து தேய்க்கவும்.
 இப்போது ஒரு பானை சூடாக்கி தேய்த்த சப்பாத்தியை வைக்கவும்.
 சப்பாத்தியை சிறிது நெய் தடவி இருபுறமும் வேகவைக்கவும்.
சுவையான மீதமான ரைஸ் சப்பாத்தி தயார்.</t>
  </si>
  <si>
    <t>https://encrypted-tbn0.gstatic.com/images?q=tbn:ANd9GcQa9fqEoRSBMgVRgqdtVkOo2vOg0vQnvf4oGA&amp;s</t>
  </si>
  <si>
    <t>https://youtu.be/0hkvmMpI_Jg?si=VMCnRdC1FplUt0YI</t>
  </si>
  <si>
    <t>Oil - 1 tbsp,
Ulun dal - 1 tsp,
Peanuts - 1 tsp,
Cumin - 1 tsp,
Mustard - 1/2 tsp,
Dried chillies - 2,
Anise - 1/2 tsp,
Onion - 1 chopped,
Garlic chopped,
Curry leaves,
Green chillies - 2 chopped,
Tomatoes - 5 chopped,
Salt - 1 tsp,
Turmeric powder - 1/2 tsp,
Chili powder - 2 tsp,
Water - 1 cup,
Sugar - 1/2 tsp,
Coriander leaves chopped.</t>
  </si>
  <si>
    <t>எண்ணெய் - 1 மேசைக்கரண்டி, 
உளுந்தம் பருப்பு - 1 தேக்கரண்டி,
கடலை பருப்பு - 1 தேக்கரண்டி,
சீரகம் - 1 தேக்கரண்டி,
கடுகு - 1/2 தேக்கரண்டி,
காய்ந்த மிளகாய் - 2 ,
சோம்பு - 1/2 தேக்கரண்டி,
வெங்காயம் - 1 நறுக்கியது,
பூண்டு நறுக்கியது, 
கறிவேப்பிலை, 
பச்சை மிளகாய் - 2 நறுக்கியது,
தக்காளி - 5 நறுக்கியது,
உப்பு - 1 தேக்கரண்டி,
மஞ்சள் தூள் - 1/2 தேக்கரண்டி,
மிளகாய் தூள் - 2 தேக்கரண்டி,
தண்ணீர் - 1 கப்,
சர்க்கரை - 1/2 தேக்கரண்டி,
கொத்தமல்லி இலை நறுக்கியது.</t>
  </si>
  <si>
    <t>Take a wide pan and add oil to it. When the oil is hot, add urad dal, gram dal, cumin seeds, mustard seeds, and dried chilies and fry them.
Next, add anise, chopped onion, garlic, and curry leaves and fry them.
Once the onion is fried, add green chilies and mix them.
Now add chopped tomatoes and fry them well.
Then add salt, turmeric powder, and chili powder and mix them well.
Add water to this masala, cover the pan with a lid, and cook for 5 minutes.
Next, add sugar and mix them.
Finally, add chopped coriander leaves and turn off the stove.
Delicious tomato curry is ready!</t>
  </si>
  <si>
    <t xml:space="preserve">ஒரு அகன்ற கடாயை எடுத்து அதில் எண்ணெய் சேர்க்கவும். எண்ணெய் சூடானதும் உளுத்தம் பருப்பு, கடலை பருப்பு , சீரகம், கடுகு, காய்ந்த மிளகாய் சேர்த்து வறுக்கவும்.
அடுத்து சோம்பு, நறுக்கிய வெங்காயம், பூண்டு, கறிவேப்பிலை சேர்த்து வதக்கவும்.
 வெங்காயம் வதங்கியதும் பச்சை மிளகாய் சேர்த்து கலந்து விடவும்.
 இப்போது நறுக்கிய தக்காளியைப் சேர்த்து நன்றாக வதக்கவும்.
 பின்பு உப்பு, மஞ்சள் தூள், மிளகாய் தூள் சேர்த்து நன்கு கலக்கவும்.
 இந்த மசாலாவில் தண்ணீர் சேர்த்து கடாயை ஒரு மூடியால்
மூடி 5 நிமிடம் வேகவிடவும்.
 அடுத்து சர்க்கரை சேர்த்து கலந்து விடவும்.
 இறுதியாக நறுக்கிய கொத்தமல்லி இலைகளை சேர்த்து அடுப்பை அணைக்கவும்.
 சுவையான தக்காளி கறி தயார்! </t>
  </si>
  <si>
    <t>https://i.ytimg.com/vi/tI8Kg_6yYEk/maxresdefault.jpg</t>
  </si>
  <si>
    <t>https://youtu.be/0hkvmMpI_Jg?si=iE0pmhLFb2ChpX-u</t>
  </si>
  <si>
    <t>முதலில் அரிசியை கழுவி 30 நிமிடம் ஊறவிடவும்.
 குக்கரில் நெய் மற்றும் எண்ணெய் ஊற்றி அதில் பட்டை, கிராம்பு, ஏலக்காய், அன்னாசிப்பூ, பிரியாணி இலை சேர்க்கவும்.
 பின்பு நறுக்கிய வெங்காயம் சேர்த்து வதக்கவும், வெங்காயம் பாதி வதங்கியதும் நறுக்கிய பச்சை மிளகாய் சேர்த்து வதக்கவும்.
 பிறகு இஞ்சி பூண்டு விழுது சேர்த்து வதக்கவும்.
 அடுத்து நறுக்கிய தக்காளி சேர்த்து கலந்து, அதில் மஞ்சள் தூள், உப்பு, மிளகாய் தூள், கரம் மசாலா தூள் சேர்த்து கலந்துவிடவும்.
பின்பு ஊறவைத்த அரிசியை சேர்த்து கலந்து, அதில் நறுக்கிய கொத்தமல்லி இலை சேர்க்கவும்.
பிறகு தண்ணீர் ஊற்றி கலந்து குக்கரை மூடி 1 விசில் வரும் வரை மிதமான தீயில் வேகவிடவும்.
 தக்காளி சாதம் தயார்.</t>
  </si>
  <si>
    <t>https://images.onlymyhealth.com/tamil/2024/08/Tomato-Rice-Recipe.jpg</t>
  </si>
  <si>
    <t>https://youtu.be/K6mkcUPYgAs?si=QdXukEiypo9AWuCu</t>
  </si>
  <si>
    <t>Temple Style Yogurt Rice</t>
  </si>
  <si>
    <t>கோயில் ஸ்டைல் தயிர் சாதம்</t>
  </si>
  <si>
    <t>Yogurt - 1 cup,
Rice - 1/2 cup,
Salt - 1 teaspoon,
Oil - 2 teaspoons,
Ultra gram dal - 1 teaspoon,
Cumin seeds - 1/2 teaspoon,
Mustard - 1/2 teaspoon,
Red chillies - 2,
Green chillies - 3, cut lengthwise,
Ginger - 1 teaspoon, chopped,
Curry leaves,
Pepper powder - 1/2 teaspoon,
Bacon powder - 1/2 teaspoon,
Turmeric powder - 1/4 teaspoon,
Coriander leaves, chopped.</t>
  </si>
  <si>
    <t>தயிர் - 1 கப்,
சாதம் - 1/2 கப்,
உப்பு - 1 தேக்கரண்டி,
எண்ணெய் - 2 தேக்கரண்டி,
உளுத்தம் பருப்பு - 1 தேக்கரண்டி,
சீரகம் - 1/2 தேக்கரண்டி,
கடுகு - 1/2 தேக்கரண்டி,
சிவப்பு மிளகாய் - 2,
பச்சை மிளகாய் - 3 நீளவாக்கில் நறுக்கியது,
இஞ்சி - 1 தேக்கரண்டி நறுக்கியது,
கறிவேப்பிலை, 
பொடித்த மிளகு - 1/2 தேக்கரண்டி,
பெருங்காய தூள் - 1/2 தேக்கரண்டி,
மஞ்சள் தூள் - 1/4 தேக்கரண்டி,
கொத்தமல்லி இலை நறுக்கியது.</t>
  </si>
  <si>
    <t>Beat the yogurt well. Next, mash the rice.
Then add the beaten yogurt to the mashed rice and mix it.
For seasoning, pour oil in a pan, add urad dal, cumin seeds, mustard seeds, red chilies, green chilies, ginger, curry leaves, ground pepper, garam masala powder, turmeric powder and fry it. Add it to the curd rice and mix well.
Finally add chopped coriander leaves and mix well.
Delicious temple style curd rice is ready.</t>
  </si>
  <si>
    <t>தயிரை நன்கு அடித்து கொள்ளவும். அடுத்து சாதத்தை மசித்து கொள்ளவும்.
 பின்பு மசித்த சாதத்துடன் அடித்த தயிரை சேர்த்து கலந்து விடவும்.
 தாளிக்க ஒரு பானில் எண்ணெய் ஊற்றி, உளுத்தம் பருப்பு, சீரகம், கடுகு, சிவப்பு மிளகாய், பச்சை மிளகாய், இஞ்சி, கறிவேப்பிலை,  பொடித்த மிளகு, பெருங்காய தூள், மஞ்சள் தூள் ஆகியவற்றை சேர்த்து வறுத்து தயிர் கலந்த சாதத்துடன் சேர்த்து நன்கு கலந்து விடவும்.
 இறுதியாக நறுக்கிய கொத்தமல்லி இலை சேர்த்து கலந்து விடவும்.
சுவையான கோயில் ஸ்டைல் தயிர் சாதம் தயார்.</t>
  </si>
  <si>
    <t>https://encrypted-tbn0.gstatic.com/images?q=tbn:ANd9GcRbyLNKgFZe5pmFmFgDTicI3rtnBzrGc3QjpQ&amp;s</t>
  </si>
  <si>
    <t>https://youtu.be/dOTPNl-KfJM?si=XJTSMVEdtMCpLYs8</t>
  </si>
  <si>
    <t>Mango Coconut Rice</t>
  </si>
  <si>
    <t>மாங்காய் தேங்காய் சாதம்</t>
  </si>
  <si>
    <t>Mango - 1 bowl chopped,
Grated coconut - 1 cup,
Green chilies - 5 chopped,
Curry leaves,
Mint leaves,
Coriander leaves,
Oil - 2 tablespoons,
Peanuts - 1 tablespoon,
Ultra seeds - 1 tablespoon,
Mustard - 1 tablespoon,
Cumin seeds - 1 tablespoon,
Peanuts - 1/4 cup,
Red chilies,
Curry leaves,
Caramel powder - 1/4 teaspoon,
Rock salt - 1 teaspoon,
Turmeric powder - 1/4 teaspoon.</t>
  </si>
  <si>
    <t>மாங்காய் - 1 கிண்ணம் நறுக்கியது,
துருவிய தேங்காய் - 1 கப்,
பச்சை மிளகாய் - 5 நறுக்கியது,
கறிவேப்பிலை,
புதினா இலை,
கொத்தமல்லி இலை,
எண்ணெய் - 2 மேசைக்கரண்டி,
கடலை பருப்பு - 1 தேக்கரண்டி,
உளுத்தம் பருப்பு - 1 தேக்கரண்டி,
கடுகு - 1 தேக்கரண்டி,
சீரகம் - 1 தேக்கரண்டி,
வேர்க்கடலை - 1/4 கப்,
சிவப்பு மிளகாய்,
கறிவேப்பிலை,
பெருங்காய தூள் - 1/4 தேக்கரண்டி,
கல் உப்பு - 1 தேக்கரண்டி,
மஞ்சள் தூள் - 1/4 தேக்கரண்டி.</t>
  </si>
  <si>
    <t>In a mixer, add chopped mango, grated coconut, green chilies, curry leaves, mint leaves, and coriander leaves and grind them into a coarse paste without adding water.
In a wide pan, pour oil and when it is hot, add the gram dal, urad dal, mustard seeds, cumin seeds, and peanuts and fry them well.
Then add the red chilies and curry leaves and fry them.
Now add the ground spices and fry for 3 minutes.
Next, add the rock salt and mix it and fry for 5 minutes.
Then add the turmeric powder and mix it.
Finally, add the boiled basmati rice and mix it.
Delicious mango coconut rice is ready.</t>
  </si>
  <si>
    <t>மிக்ஸியில் நறுக்கிய மாங்காய், துருவிய தேங்காய், பச்சை மிளகாய், கறிவேப்பிலை, புதினா இலை, கொத்தமல்லி இலை சேர்த்து தண்ணீர் ஊற்றாமல் கொரகொரப்பாக அரைத்து கொள்ளவும்.
ஒரு அகலமான கடாயில் எண்ணெய் ஊற்றி சூடானதும் கடலை பருப்பு, உளுத்தம் பருப்பு, கடுகு, சீரகம், வேர்க்கடலை சேர்த்து நன்கு வறுத்து கொள்ளவும்.
பிறகு சிவப்பு மிளகாய், கறிவேப்பிலை சேர்த்து வறுத்து கொள்ளவும்.
 இப்போது அரைத்த மசாலாவை சேர்த்து 3 நிமிடம் வதக்கவும்.
 அடுத்து கல் உப்பு சேர்த்து கலந்து விட்டு 5 நிமிடம் வதக்கவும்.
 பிறகு மஞ்சள் தூள் சேர்த்து கலந்து விடவும்.
 இறுதியாக வேகவைத்த பாஸ்மதி அரிசியை சேர்த்து கலந்து விடவும்.
 சுவையான மாங்காய் தேங்காய் சாதம் தயார்.</t>
  </si>
  <si>
    <t>https://encrypted-tbn0.gstatic.com/images?q=tbn:ANd9GcSGBO5wWBgYmTYZmrh2rvs-nuCIcha9CpTirg&amp;s</t>
  </si>
  <si>
    <t>https://youtu.be/BX08QZrDQpw?si=_J_oYq-y2gPphSNx</t>
  </si>
  <si>
    <t>Paneer - 400 grams,
Green peas - 1 cup,
Ghee - 3 tablespoons,
Oil - 1 tablespoon,
Baking powder,
Cloves,
Cardamom,
Pineapple flower,
Nutmeg,
Cumin - 1 teaspoon,
Baking leaves - 2,
Onion - 2 finely chopped,
Green chilies - 4 grated,
Ginger garlic paste - 2 teaspoons,
Tomatoes - 3 finely chopped,
Yogurt - 2 tablespoons,
Turmeric powder - 1/2 teaspoon,
Chili powder - 2 teaspoons,
Cumin powder - 1 teaspoon,
Coriander powder - 1 teaspoon,
Garram masala powder - 1 teaspoon,
Salt,
Mint leaves,
Coriander leaves.</t>
  </si>
  <si>
    <t>பாஸ்மதி அரிசி - 2 கப் (250 மி.லி கப்),                                                                                                   
பன்னீர் - 400 கிராம், 
பச்சை பட்டாணி - 1 கப்,
நெய் - 3 மேசைக்கரண்டி, 
எண்ணெய் - 1 மேசைக்கரண்டி, 
பட்டை ,
கிராம்பு ,
ஏலக்காய் 
அன்னாசி பூ ,  
ஜாதிபத்திரி, 
சீரகம் - 1 தேக்கரண்டி, 
பிரியாணி இலை - 2 ,
வெங்காயம் - 2 மெல்லியதாக நறுக்கியது,
பச்சை மிளகாய் - 4 கீறியது,
இஞ்சி பூண்டு விழுது - 2 தேக்கரண்டி ,
தக்காளி - 3 பொடியாக நறுக்கியது,
தயிர் - 2 மேசைக்கரண்டி,
மஞ்சள் தூள் - 1/2 தேக்கரண்டி,
மிளகாய் தூள் - 2 தேக்கரண்டி, 
சீரக தூள் - 1 தேக்கரண்டி, 
மல்லி தூள் - 1 தேக்கரண்டி, 
கரம் மசாலா தூள் - 1 தேக்கரண்டி,
உப்பு , 
புதினா இலை,
கொத்தமல்லி இலை .</t>
  </si>
  <si>
    <t>In a bowl, add well-washed basmati rice, pour water and soak for 30 minutes.
Next, cut the paneer into small pieces, add turmeric powder, chili powder, garam masala powder, salt and mix well for 5 minutes.
Then add ghee in a wide pan, put the paneer and fry it on all sides.
Next, add ghee, oil, peel, cloves, cardamom, pineapple flower, nutmeg, cumin, and bay leaf in a cooker.
Then add finely chopped onion and fry. Then add green chilies, ginger garlic paste, and tomatoes one after the other and fry.
Next, add yogurt, chili powder, cumin powder, coriander powder, garam masala powder, and salt and mix well.
Now add green peas, mint leaves, coriander leaves, fried paneer, soaked basmati rice one by one and mix well.
Next add water, mix well and cook till 1 whistle.
Delicious paneer pea pulao is ready.</t>
  </si>
  <si>
    <t>ஒரு பாத்திரத்தில் நன்கு கழுவிய பாஸ்மதி அரிசியை சேர்த்து தண்ணீர் ஊற்றி 30 நிமிடம் ஊறவைக்கவும்.
அடுத்து பன்னீரை சிறிய துண்டுகளாக நறுக்கி அதனுடன் மஞ்சள் தூள், மிளகாய் தூள், கரம் மசாலா தூள், உப்பு சேர்த்து நன்கு கலந்து 5 நிமிடம் ஊறவைக்கவும்.
பிறகு ஒரு அகலமான பானில் நெய் சேர்த்து, பன்னீரை வைத்து எல்லா பக்கங்களையும் திருப்பி விட்டு வறுக்கவும்.
அடுத்து ஒரு குக்கரில் நெய், எண்ணெய், பட்டை, கிராம்பு, ஏலக்காய், அன்னாசி பூ, ஜாதிபத்திரி, சீரகம், பிரியாணி இலை, சேர்க்கவும்.
 பிறகு மெல்லியதாக நறுக்கிய வெங்காயம் சேர்த்து வதக்கவும். பின்பு பச்சை மிளகாய், இஞ்சி பூண்டு விழுது, தக்காளி ஆகியவற்றை அடுத்தடுத்து சேர்த்து வதக்கவும்.
 அடுத்து தயிர், மிளகாய் தூள், சீரக தூள், மல்லி தூள், கரம் மசாலா தூள், உப்பு சேர்த்து நன்கு கலந்து விடவும்.
இப்போது பச்சை பட்டாணி, புதினா இலை, கொத்தமல்லி இலை, வறுத்த பன்னீர், ஊறவைத்த பாஸ்மதி அரிசி ஆகியவற்றை அடுத்தடுத்து சேர்த்து நன்கு கலந்து விடவும்.
 அடுத்து தண்ணீர் சேர்த்து நன்கு கலந்து விட்டு 1 விசில் வரும் வரை வேகவிடவும்.
சுவையான பன்னீர் பட்டாணி புலாவ் தயார்.</t>
  </si>
  <si>
    <t>https://youtu.be/N3Tw-SHVWDo?si=iQKc5QpwA-6wD6j4</t>
  </si>
  <si>
    <t>Mushroom Ghee Roast</t>
  </si>
  <si>
    <t>காளான் நெய் ரோஸ்ட்</t>
  </si>
  <si>
    <t>Whole fenugreek - 1 1/2 tbsp,
Whole pepper - 1/2 tsp,
Cumin - 1 tsp,
Anis - 1/2 tsp,
Denil - 1/4 tsp,
Dried chillies - 3,
Garlic - 2 cloves,
Ginger - 1 piece chopped,
Tamarind - 3 small pieces,
Ghee - 1/2 tsp,
Mushrooms - 400 gms,
Salt - 1 tsp,
Lemon juice - 1 fruit,
Yogurt - 1/2 cup,
Ground spice paste,
Kashmiri chilli powder - 2 tsp,
Ghee - 2 tbsp,
Large onion - 3 chopped,
Turmeric powder - 1/2 tsp,
Jaggery - 1 tbsp.</t>
  </si>
  <si>
    <t>முழு தனியா - 1 1/2 மேசைக்கரண்டி,
முழு மிளகு - 1/2 தேக்கரண்டி,
சீரகம் - 1 தேக்கரண்டி,
சோம்பு - 1/2 தேக்கரண்டி,
வெந்தயம் - 1/4 தேக்கரண்டி,
காய்ந்த மிளகாய் - 3,
பூண்டு - 2 பற்கள்,
இஞ்சி - 1 துண்டு நறுக்கியது,
புளி - 3 சிறிய துண்டுகள்,
நெய் - 1/2 தேக்கரண்டி,
காளான் - 400 கிராம்,
உப்பு - 1 தேக்கரண்டி,
எலுமிச்சைபழச்சாறு - 1 பழம்,
தயிர் -1/2 கப்,
அரைத்த மசாலா விழுது,
காஷ்மீரி மிளகாய் தூள் - 2 தேக்கரண்டி,
நெய் - 2 மேசைக்கரண்டி,
பெரிய வெங்காயம் - 3 பொடியாக நறுக்கியது,
மஞ்சள் தூள் - 1/2 தேக்கரண்டி,
வெல்லம் - 1 மேசைக்கரண்டி.</t>
  </si>
  <si>
    <t>Pour ghee in a pan, add whole semolina, whole pepper, cumin, anise, fenugreek, and dried chilies and fry for 1 minute.
Next, add garlic, ginger, and tamarind and fry for another 1 minute and let it cool.
Once the spices have cooled, put them in a mixer and grind them first without water
Then add water and grind them into a paste.
To soak the mushrooms, mix the cleaned mushrooms, lemon juice, salt, Kashmiri chili powder, yogurt, and ground spice paste in a bowl and soak for 30 minutes.
Pour ghee in a pan, add large onions and fry them until golden brown.
Next, add turmeric powder and soaked mushrooms and fry them.
Add jaggery and stir.
Simmer until the moisture in it is gone.
Delicious mushroom ghee roast is ready.</t>
  </si>
  <si>
    <t>கடாயில் நெய் ஊற்றி, முழு தனியா, முழு மிளகு, சீரகம், சோம்பு, வெந்தயம், காய்ந்த மிளகாய் சேர்த்து 1 நிமிடம் வறுக்கவும்.
அடுத்து பூண்டு, இஞ்சி, புளி சேர்த்து மேலும் 1 நிமிடம் வறுத்து, ஆறவிடவும்.
மசாலா பொருட்கள் ஆறியதும், மிக்ஸியில் போட்டு முதலில் தண்ணீர் இன்றி அரைக்கவும்
பின்பு தண்ணீர் சேர்த்து விழுதாக அரைக்கவும்.
 காளான்'னை ஊறவைக்க, பாத்திரத்தில் சுத்தம் செய்த காளான், எலுமிச்சைபழச்சாறு ,உப்பு, காஷ்மீரி மிளகாய் தூள், தயிர், அரைத்த மசாலா விழுது சேர்த்து கலந்து, 30 நிமிடம் ஊறவைக்கவும்.
கடாயில் நெய் ஊற்றி, பெரிய வெங்காயம் சேர்த்து பொன்னிறமாகும் வரை வதக்கவும்.
அடுத்து இதில் மஞ்சள் தூள், ஊறவைத்த காளான் சேர்த்து வதக்கவும்.
 இதனுடன், வெல்லம் சேர்த்து கிளறவும்.
 இதில் உள்ள ஈரம் போகும் வரை கிண்டவும்.
சுவையான காளான் நெய் ரோஸ்ட் தயார்.</t>
  </si>
  <si>
    <t>https://encrypted-tbn0.gstatic.com/images?q=tbn:ANd9GcTmqLPKdO1qY70AWh-4yUqfgZJVV8v65e_TzQ&amp;s</t>
  </si>
  <si>
    <t>https://youtu.be/N3Tw-SHVWDo?si=QnsKkDXbOrK5YJx1</t>
  </si>
  <si>
    <t>Hyderabadi Chicken Guruma</t>
  </si>
  <si>
    <t>ஹைதராபாதி சிக்கன் குருமா</t>
  </si>
  <si>
    <t>Chicken - 1 kg,
Lemon juice - 1/2 fruit,
Salt - 1 tsp,
Chilli powder - 2 tsp,
Turmeric powder - 1/2 tsp,
Yogurt - 2 tbsp,
Oil - 1/2 tsp,
Peanuts - 1 tbsp,
Cashew nuts,
Coconut - 1 tbsp chopped,
Sesame seeds - 1 tsp,
Poppy seeds - 1 tsp (optional),
Onions - 2 finely chopped,
Tomatoes - 3 chopped,
Water,
Oil - 2 tbsp,
Baking leaves,
Baking powder, cloves, cardamom,
Cumin - 1 tsp,
Salt - 1 tsp,
Turmeric powder - 1/2 teaspoon,
Chilli powder - 1/2 teaspoon,
Thaniya powder - 1 teaspoon,
Cereal powder - 1 teaspoon,
Garram masala powder - 1 teaspoon,
Coriander leaves chopped.</t>
  </si>
  <si>
    <t>சிக்கன் - 1 கிலோ,
எலுமிச்சைபழச்சாறு - 1/2 பழம்,
உப்பு - 1 தேக்கரண்டி,
மிளகாய் தூள் - 2 தேக்கரண்டி,
மஞ்சள் தூள் - 1/2 தேக்கரண்டி,
தயிர் - 2 மேசைக்கரண்டி,
எண்ணெய் - 1/2 தேக்கரண்டி,
வேர்க்கடலை - 1 மேசைக்கரண்டி,
முந்திரி பருப்பு,
கொப்பரை தேங்காய் - 1 மேசைக்கரண்டி நறுக்கியது,
எள்ளு - 1 தேக்கரண்டி,
கசகசா - 1 தேக்கரண்டி (விரும்பினால்),
வெங்காயம் - 2 மெல்லியதாக நறுக்கியது,
தக்காளி - 3 நறுக்கியது,
தண்ணீர் ,  
எண்ணெய் - 2 மேசைக்கரண்டி,
பிரியாணி இலை,
பட்டை, கிராம்பு, ஏலக்காய்,
சீரகம் - 1 தேக்கரண்டி,
உப்பு - 1 தேக்கரண்டி,
மஞ்சள் தூள் - 1/2 தேக்கரண்டி,
மிளகாய் தூள் - 1/2 தேக்கரண்டி,
தனியா தூள் - 1 தேக்கரண்டி,
சீரக தூள் - 1 தேக்கரண்டி,
கரம் மசாலா தூள் - 1 தேக்கரண்டி,
கொத்தமல்லி இலை நறுக்கியது.</t>
  </si>
  <si>
    <t>In a bowl, add chicken, lemon juice, salt, chili powder, turmeric powder, yogurt and mix well and let it marinate for 1 hour.
Pour oil in a pan and add peanuts, cashew nuts, coconut, sesame seeds, poppy seeds and fry them on medium flame till golden brown and then let it cool down well.
Next, pour oil in a pan and add finely chopped onion and fry till golden brown and then let it cool down well.
Once the onion and spice mixture cool down, mix both together and grind them into a paste.
Then grind the tomatoes into a paste.
Pour oil in a wide pan and mix the bay leaves, cloves, cardamom, bay leaves and cumin seeds and then add the ground masala paste.
Next add the ground tomato paste and mix.
Then add salt, turmeric powder, chili powder, garam masala powder and cumin seeds and mix well.
Then add the soaked chicken pieces and mix, cover and cook on medium heat for 10 minutes.
After 10 minutes, add water and mix, cover and cook for 15 minutes.
After 15 minutes, when the oil starts separating, add the garam masala powder and chopped coriander and stir and turn off the stove after 2 minutes.
Hyderabadi Chicken Guruma is ready.</t>
  </si>
  <si>
    <t xml:space="preserve">ஒரு பாத்திரத்தில் சிக்கன், எலுமிச்சைபழச்சாறு, உப்பு, மிளகாய் தூள், மஞ்சள் தூள், தயிர் சேர்த்து நன்கு கலந்து 1 மணிநேரம் ஊறவிடவும்.
கடாயில் எண்ணெய் ஊற்றி அதில் வேர்க்கடலை, முந்திரி பருப்பு,கொப்பரை தேங்காய், எள்ளு, கசகசா சேர்த்து மிதமான தீயில்
பொன்னிறமாக வறுத்து பின் நன்கு ஆறவிடவும்.
அடுத்து ஒரு கடாயில் எண்ணெய் ஊற்றி, மெல்லிதாக நறுக்கிய வெங்காயம் சேர்த்து பொன்னிறமாக வரும் வரை வதக்கி பின்பு
நன்கு ஆறவிடவும்.
வெங்காயம் மற்றும் மசாலா கலவை ஆறியதும் இரண்டையும் சேர்த்து விழுதாக அரைத்து கொள்ளவும்.
பிறகு தக்காளியை நன்கு விழுதாக அரைத்து கொள்ளவும்.
 ஒரு அகலமான கடாயில் எண்ணெய் ஊற்றி அதில் பிரியாணி இலை, கிராம்பு, ஏலக்காய், பட்டை மற்றும் சீரகம் சேர்த்து கலந்து பிறகு அதில் அரைத்த மசாலா விழுதை சேர்க்கவும்.
அடுத்து அரைத்த தக்காளி விழுதை சேர்த்து கலந்துவிடவும்.
 பின்பு உப்பு, மஞ்சள் தூள், மிளகாய் தூள், தனியா தூள், சீரக தூள் சேர்த்து நன்கு கலந்துவிடவும்.
 பிறகு ஊறவைத்த சிக்கன் துண்டுகளை சேர்த்து கலந்து மூடி 10 நிமிடம் மிதமான தீயில் வேகவிடவும்.
10 நிமிடம் கழித்து தண்ணீர் ஊற்றி கலந்து, மூடி 15 நிமிடம் வேகவிடவும்.
15 நிமிடம் கழித்து எண்ணெய் பிரிய ஆரம்பித்ததும் கரம் மசாலா தூள் மற்றும் நறுக்கிய கொத்தமல்லி சேர்த்து கிளறி 2 நிமிடம் கழித்து அடுப்பை அணைக்கவும்.
 ஹைதராபாத் சிக்கன் குருமா தயார். </t>
  </si>
  <si>
    <t>https://i.ytimg.com/vi/m2okfgCQqh4/maxresdefault.jpg</t>
  </si>
  <si>
    <t>https://youtu.be/0FX3C8UHVZI?si=OrQrtjRCzkfe5eBb</t>
  </si>
  <si>
    <t>Goji Curry</t>
  </si>
  <si>
    <t>கோவக்காய் கறி</t>
  </si>
  <si>
    <t>Goji - 250 grams,
Oil - 3 tablespoons,
Baking powder, cloves, cardamom,
Shahi jeera - 1/2 teaspoon,
Anise - 1/2 teaspoon,
Onion - 2 chopped,
Tomato paste - 4 fruits,
Ginger garlic paste - 1 teaspoon,
Turmeric powder - 1/4 teaspoon,
Chili powder - 2 teaspoons,
Dhaniya powder - 1 teaspoon,
Cereal powder - 1 teaspoon,
Roasted peanuts - 1/4 cup,
Karam masala powder - 1 teaspoon,
Sugar - 1/2 teaspoon,
Ginger chopped lengthwise,
Green chili chopped lengthwise,
Kasoori methi,
Salt - 1 teaspoon,
Water.</t>
  </si>
  <si>
    <t>கோவக்காய் - 250 கிராம்,
எண்ணெய் - 3 மேசைக்கரண்டி,
பட்டை, கிராம்பு, ஏலக்காய்,
ஷாஹி ஜீரா - 1/2 தேக்கரண்டி,
சோம்பு - 1/2 தேக்கரண்டி,
வெங்காயம் - 2 நறுக்கியது,
தக்காளி விழுது - 4 பழம்,
இஞ்சி பூண்டு விழுது - 1 தேக்கரண்டி,
மஞ்சள் தூள் - 1/4 தேக்கரண்டி,
மிளகாய் தூள் - 2 தேக்கரண்டி,
தனியா தூள் - 1 தேக்கரண்டி,
சீரக தூள் - 1 தேக்கரண்டி,
வறுத்த வேர்க்கடலை - 1/4 கப்,
கரம் மசாலா தூள் - 1 தேக்கரண்டி,
சர்க்கரை - 1/2 தேக்கரண்டி,
இஞ்சி நீளவாக்கில் நறுக்கியது,
பச்சை மிளகாய் நீளவாக்கில் நறுக்கியது,
கசூரி மேத்தி,
உப்பு - 1 தேக்கரண்டி,
தண்ணீர்.</t>
  </si>
  <si>
    <t>Pour oil in a pan, add the quartered courgettes and fry for 10 minutes and keep aside.
Then add the fenugreek seeds, cloves, cardamom, shahi jeera, and anise in the same pan and mix.
Then add the chopped onion and fry until golden brown, then add the ginger garlic paste and fry.
Add the turmeric powder, chili powder, cumin powder, and salt and mix.
Then add the tomato paste and cook for 5 minutes.
Then add water and boil, grind the roasted peanuts to a powder and mix with the spices.
Then add the fried courgettes and cook for 10 minutes on medium heat, cover the pan and add the garam masala powder, sugar, chopped ginger, green chilies, and kasuri methi and mix.
Delicious courgette curry is ready!</t>
  </si>
  <si>
    <t>கடாயில் எண்ணெய் ஊற்றி அதில் நான்காக நறுக்கிய கோவைக்காயை சேர்த்து 10 நிமிடம் வறுத்து தனியாக வைக்கவும்.
 பின்பு அதே கடாயில் பட்டை, கிராம்பு, ஏலக்காய், ஷாஹி ஜீரா,சோம்பு சேர்த்து கலந்து விடவும். 
 பிறகு நறுக்கிய வெங்காயம் சேர்த்து பொன்னிறமாக வதக்கி, பின்பு இஞ்சி பூண்டு விழுது சேர்த்து வதக்கவும்.
மஞ்சள் தூள், மிளகாய் தூள், தனியா தூள், சீரக தூள், உப்பு சேர்த்து கலந்து விடவும்.
 பின்பு தக்காளி விழுது சேர்த்து 5 நிமிடம் வேகவைக்கவும்.
 பிறகு தண்ணீர் ஊற்றி கொதிக்கவிட்டு, வறுத்த வேர்க்கடலையை பொடி செய்து மசாலாவில் சேர்த்து கலந்துவிடவும்.
பின்பு தண்ணீர் ஊற்றி அதில் வறுத்த கோவைக்காயை சேர்த்து கடாயை மூடி 10 நிமிடம் மிதமான தீயில் வேகவிடவும்.
 பிறகு கரம் மசாலா தூள், சர்க்கரை, நறுக்கிய இஞ்சி, பச்சை மிளகாய், கசூரி மேத்தி சேர்த்து கலந்துவிடவும்.
சுவையான கோவைக்காய் கறி தயார்!</t>
  </si>
  <si>
    <t>https://encrypted-tbn0.gstatic.com/images?q=tbn:ANd9GcRc7viVI3NwYubpQF_Fb0PSBywkQ_DFh1i3jw&amp;s</t>
  </si>
  <si>
    <t>https://youtu.be/ZqsRB9iw_3Q?si=ZBqygsoPT8-xkCCq</t>
  </si>
  <si>
    <t>Zucchini Paratha</t>
  </si>
  <si>
    <t>சுரைக்காய் பராத்தா</t>
  </si>
  <si>
    <t>Zucchini - 1,
Wheat flour - 2 cups,
Green chilies - 2 chopped,
Ginger - 1 piece grated,
Salt - 1 teaspoon,
Turmeric powder - 1/4 teaspoon,
Chili powder - 1 1/2 teaspoons,
Dhaniya powder - 1 1/2 teaspoons,
Cereal powder - 1 teaspoon,
Amsoor powder - 1 1/2 teaspoons,
Garlic powder - 1 teaspoon
Omam - 1/4 teaspoon (optional),
Kasoori methi - 1 tablespoon,
Coriander leaves - 1 tablespoon,
Oil,
Ghee.</t>
  </si>
  <si>
    <t>சுரைக்காய் - 1,
கோதுமை மாவு - 2 கப்,
பச்சை மிளகாய் - 2 நறுக்கியது,
இஞ்சி - 1 துண்டு துருவியது ,
உப்பு - 1 தேக்கரண்டி,
மஞ்சள் தூள் - 1/4 தேக்கரண்டி,
மிளகாய் தூள் - 1 1/2 தேக்கரண்டி,
தனியா தூள் - 1 1/2 தேக்கரண்டி,
சீரக தூள் - 1 தேக்கரண்டி,
ஆம்சூர் தூள் - 1 1/2 தேக்கரண்டி,
கரம் மசாலா தூள் - 1 தேக்கரண்டி
ஓமம் - 1/4 தேக்கரண்டி (விரும்பினால்),
கசூரி மேத்தி - 1 மேசைக்கரண்டி,
கொத்தமல்லி இலை - 1 மேசைக்கரண்டி,
எண்ணெய்,
நெய்.</t>
  </si>
  <si>
    <t>Wash and clean the zucchini. Peel the skin and grate the fruit.
Take the grated zucchini in a wide bowl.
Then add chopped green chillies, ginger, salt, turmeric powder, chilli powder, coriander powder, cumin powder, amsoor powder, garam masala powder, omam, kasoori methi and coriander leaves.
Next, add the required amount of wheat flour and knead it well without adding water.
Add a little oil to prevent the dough from sticking to your hands and knead it.
Make small balls of dough.
Roll the balls of dough into rotis, add a little ghee and fry them on both sides in a tava.
Delicious zucchini paratha is ready.</t>
  </si>
  <si>
    <t>சுரைக்காயை கழுவி சுத்தம் செய்யவும். தோலை உரித்து, காயை துருவவும்.
 ஒரு அகலமான பாத்திரத்தில் துருவிய சுரைக்காயை எடுத்து கொள்ளவும்.
 பின்பு நறுக்கிய பச்சை மிளகாய், இஞ்சி, உப்பு, மஞ்சள் தூள், மிளகாய் தூள், கொத்தமல்லி தூள், சீரக தூள், ஆம்சூர் தூள், கரம் மசாலா தூள், ஓமம், கசூரி மேத்தி மற்றும் கொத்தமல்லி இலைகளை சேர்க்கவும்.
அடுத்து கோதுமை மாவை தேவையான அளவு சேர்த்து தண்ணீர் சேர்க்காமல் நன்கு பிசையவும்.
 மாவு கையில் ஒட்டாமல் இருக்க சிறிது எண்ணெய் சேர்த்து பிசையவும்.
 மாவை சிறிய சிறிய உருண்டைகளாக உருவாக்கவும்.
மாவு உருண்டைகளை ரொட்டிகளாக உருட்டி, சிறிது நெய் விட்டு தவாவில் இருபுறமும் வேகவைக்கவும்.
 சுவையான சுரைக்காய் பராத்தா தயார்.</t>
  </si>
  <si>
    <t>https://encrypted-tbn0.gstatic.com/images?q=tbn:ANd9GcTM-KkWRx9mrmm4r_sG98D96bxaQ_qhR-iLBQ&amp;s</t>
  </si>
  <si>
    <t>https://youtu.be/v8L9GacFxAE?si=CwZjALh--Wz3kr1E</t>
  </si>
  <si>
    <t>Mutton - 2 kg,
Salt - 2 tsp,
Turmeric powder - 1 tsp,
Chilli powder - 4 tsp,
Ginger garlic paste - 1 tbsp,
Yogurt - 2 tbsp,
Ghee - 2 tbsp,
Baking oil - 2 tbsp,
Baking powder,
Cardamom,
Cloves,
Pepper - 1 tbsp,
Onion - 5 finely chopped,
Green chillies - 10,
Water,
Ghee - 1 tbsp,
Mint leaves,
Coriander leaves chopped
Denim,
Water,
Ceera samba Rice - 1 kg,
Ghee - 2 tsp,
Ghee - 3 tbsp,
Baking powder,
Cloves,
Cardamom,
Pineapple blossom,
Biryani Leaves,
Javitri,
Kalpasi,
Shahi Jeera - 1 teaspoon,
Asimbu - 1 teaspoon,
Onion - 1 finely chopped,
Ginger paste - 1 teaspoon,
Garlic paste - 3 teaspoons,
Tomato - 1 chopped (optional),
Soaked mutton,
Onion green chili paste,
Mint, coriander, fenugreek paste,
Water - 5 1/2 cups,
Salt.</t>
  </si>
  <si>
    <t>மட்டன் - 2 கிலோ,
உப்பு - 2 தேக்கரண்டி,
மஞ்சள் தூள் - 1 தேக்கரண்டி,
மிளகாய் தூள் - 4 தேக்கரண்டி,
இஞ்சி பூண்டு விழுது - 1 மேசைக்கரண்டி,
தயிர் - 2 மேசைக்கரண்டி,
நல்லெண்ணெய் - 2 தேக்கரண்டி,
பட்டை,
ஏலக்காய்,
கிராம்பு,
மிளகு - 1 தேக்கரண்டி,
வெங்காயம் - 5 மெல்லியதாக நறுக்கியது,
பச்சை மிளகாய் - 10,
தண்ணீர்,
நல்லெண்ணெய் - 1 தேக்கரண்டி,
புதினா இலை,
கொத்தமல்லி இலை நறுக்கியது
வெந்தயக்கீரை,
தண்ணீர்c,
சீரக சம்பா அரிசி - 1 கிலோ,
நல்லெண்ணெய் - 2 தேக்கரண்டி,
நெய் - 3 மேசைக்கரண்டி,
பட்டை,
கிராம்பு,
ஏலக்காய்,
அன்னாசிப்பூ,
பிரியாணி இலை,
ஜாவித்ரி,
கல்பாசி,
ஷஹி ஜீரா - 1 தேக்கரண்டி,
சோம்பு - 1 தேக்கரண்டி,
வெங்காயம் - 1 மெல்லியதாக நறுக்கியது,
இஞ்சி விழுது - 1 தேக்கரண்டி,
பூண்டு விழுது - 3 தேக்கரண்டி,
தக்காளி - 1 நறுக்கியது (விரும்பினால்),
ஊறவைத்த மட்டன்,
வெங்காயம் பச்சைமிளகாய் விழுது,
புதினா, கொத்தமல்லி, வெந்தயக்கீரை விழுது,
தண்ணீர் - 5 1/2 கப்,
உப்பு.</t>
  </si>
  <si>
    <t>Add salt, turmeric powder, chili powder, ginger garlic paste, and yogurt to the mutton and let it marinate for 1 hour.
Pour sesame oil in a pan and add the bark, cardamom, cloves, pepper, chopped onion, and green chilies and fry them.
Then cool it well, add water and grind it into a paste.
Pour sesame oil in a pan and add mint, coriander leaves and fenugreek and fry well. Then cool well and add water and grind to a paste.
Pour sesame oil and ghee in a cooker and add the coriander leaves, cloves, cardamom, pineapple blossom, biryani leaves, castor oil, fenugreek seeds, shahi jeera and anise and mix.
Then add finely chopped onion and fry till golden brown.
Then add ginger paste, garlic paste and tomato and fry well.
Then add the soaked mutton pieces and mix, then add onion paste, mint, coriander leaves and fenugreek paste and mix.
Next add water and salt and mix, close the cooker and cook on medium flame for 20 minutes.
Then wash the rice and soak it for 20.
Then in a wide vessel, mix the cooked mutton, spices and soaked rice in a cooker, cover the vessel and cook for 25 minutes on medium heat.
After 10 minutes, open the vessel, mix and cover again and cook.
Mutton Tuna Biryani is ready!</t>
  </si>
  <si>
    <t>மட்டனில் உப்பு, மஞ்சள் தூள், மிளகாய் தூள், இஞ்சி பூண்டு விழுது, தயிர் சேர்த்து கலந்து 1 மணிநேரம் ஊறவிடவும்.
கடாயில் நல்லெண்ணெய் ஊற்றி அதில் பட்டை, ஏலக்காய், கிராம்பு, மிளகு, நறுக்கிய வெங்காயம், பச்சை மிளகாய் சேர்த்து வதக்கவும்.
பின்பு நன்கு ஆறவிட்டு தண்ணீர் சேர்த்து விழுதாக அரைக்கவும்.
கடாயில் நல்லெண்ணெய் ஊற்றி அதில் புதினா, கொத்தமல்லி இலை மற்றும் வெந்தயக்கீரை சேர்த்து நன்கு வதக்கவும். பின்பு நன்கு ஆறவிட்டு தண்ணீர் ஊற்றி விழுதாக அரைக்கவும்.
 குக்கரில் நல்லெண்ணெய், நெய் ஊற்றி அதில் பட்டை, கிராம்பு, ஏலக்காய், அன்னாசிப்பூ, பிரியாணி இலை, ஜாதிபத்ரி, கல்பாசி, ஷஹி ஜீரா, சோம்பு சேர்த்து கலந்துவிடவும்.
 பின்பு மெல்லியதாக நறுக்கிய வெங்காயம் சேர்த்து பொன்னிறமாக வதக்கவும்.
 பிறகு இஞ்சி விழுது, பூண்டு விழுது, தக்காளி சேர்த்து நன்கு வதக்கவும்.
பின்பு ஊறவைத்த மட்டன் துண்டுகளை சேர்த்து கலந்து, பிறகு வெங்காயம் விழுது, புதினா, கொத்தமல்லி இலை, வெந்தயக்கீரை விழுது சேர்த்து கலந்துவிடவும்.
 அடுத்து தண்ணீர் மற்றும் உப்பு சேர்த்து கலந்து குக்கரை மூடி மிதமான தீயில் 20 நிமிடம் வேகவிடவும்.
 பிறகு அரிசியை கழுவி 20 ஊறவிடவும்.
பின்பு அகலமான பாத்திரத்தில், குக்கரில் வேகவைத்த மட்டன் மற்றும் மசாலா, ஊறவைத்த அரிசியையும் சேர்த்து கலந்து பாத்திரத்தை மூடி மிதமான தீயில் 25 நிமிடம் வேகவிடவும்.
10 நிமிடம் கழித்து பாத்திரத்தை திறந்து கலந்துவிட்டு மீண்டும் மூடி வைத்து வேகவிடவும்.
 மட்டன் தொன்னை பிரியாணி தயார்!</t>
  </si>
  <si>
    <t>https://encrypted-tbn0.gstatic.com/images?q=tbn:ANd9GcTkfU7TFGvdgpMcdIS3ljk8-IuzwUsUiBbeAQ&amp;s</t>
  </si>
  <si>
    <t>https://youtu.be/RmbmoOKJN6U?si=ETOdu-DCFznD4mDZ</t>
  </si>
  <si>
    <t>Veg Tham Biryani</t>
  </si>
  <si>
    <t>வெஜ் தம் பிரியாணி</t>
  </si>
  <si>
    <t>Ghee - 2 tablespoons,
Boiled basmati rice,
Saffron,
Fried onion,
Biryani masala,
Coriander leaves,
Mint leaves,
Yogurt - 1/2 cup,
Turmeric powder - 1/4 teaspoon,
Chili powder - 2 teaspoons,
Coriandrum powder - 1 teaspoon,
Biryani masala - 1 tablespoon,
Salt - 1 teaspoon,
Ginger garlic paste - 1 teaspoon,
Onions - 2,
Green chillies - 1,
Tomatoes - 2,
Carrots - 1,
Beans,
Potatoes - 1,
Cauliflower florets,
Green peas - 1/4 cup,
Fried onion,
Coriander leaves,
Mint leaves.</t>
  </si>
  <si>
    <t>நெய் - 2 தேக்கரண்டி,
வேகவைத்த பாஸ்மதி அரிசி,
குங்குமப்பூ ,
வறுத்த வெங்காயம்,
பிரியாணி மசாலா,
கொத்தமல்லி இலை,
புதினா இலை,
தயிர் - 1/2 கப்,
மஞ்சள் தூள் - 1/4 தேக்கரண்டி,
மிளகாய் தூள் - 2 தேக்கரண்டி,
மல்லி தூள் - 1 தேக்கரண்டி ,
பிரியாணி மசாலா - 1 மேசைக்கரண்டி,
உப்பு - 1 தேக்கரண்டி,
இஞ்சி பூண்டு விழுது - 1 தேக்கரண்டி ,
வெங்காயம் - 2 ,
பச்சை மிளகாய் - 1 ,
தக்காளி - 2 ,
கேரட் - 1 ,
பீன்ஸ்,
உருளைக்கிழங்கு - 1 ,
காலிஃபிளவர் ஃப்ளோரெட்ஸ்,
பச்சை பட்டாணி - 1/4 கப்,
வறுத்த வெங்காயம்,
கொத்தமல்லி இலை,
புதினா இலை.</t>
  </si>
  <si>
    <t>In a bowl, add curd, turmeric powder, chili powder, taniya powder, biryani masala, salt, ginger garlic paste and mix well.
Next, add chopped onion, green chili, tomato, carrot, beans, potato, cauliflower, green peas, fried onion, coriander leaves, mint leaves and mix.
Pour ghee and oil in a pan and add soaked vegetables and mix.
After sauteing the vegetables for 5 minutes, cover the pan and cook on medium flame for 15 minutes.
To layer the biryani, keep some vegetable masala aside and spread boiled basmati rice on the remaining vegetables. Then spread the vegetables on top. Spread another layer of boiled basmati rice.
Finally, add saffron, fried onion, biryani masala, coriander leaves, mint leaves and cook on low flame for 15 minutes.
A delicious Veg Dham Biryani is ready.</t>
  </si>
  <si>
    <t>ஒரு பாத்திரத்தில் தயிர், மஞ்சள் தூள், மிளகாய் தூள், தனியா தூள், பிரியாணி மசாலா, உப்பு, இஞ்சி பூண்டு விழுது ஆகியவற்றை சேர்த்து நன்கு கலக்கவும்.
அடுத்து நறுக்கிய வெங்காயம், பச்சை மிளகாய், தக்காளி, கேரட், பீன்ஸ், உருளைக்கிழங்கு, காலிஃபிளவர், பச்சை பட்டாணி, வறுத்த வெங்காயம், கொத்தமல்லி இலை, புதினா இலையை சேர்த்து கலக்கவும்.
 ஒரு கடாயில் நெய், எண்ணெய் ஊற்றி ஊறவைத்த காய்கறிகளை சேர்த்து கலந்து விடவும்.
 காய்கறிகளை 5 நிமிடம் வதக்கிய பிறகு கடாயை மூடி 15 நிமிடம் மிதமான தீயில் வேகவிடவும்.
பிரியாணியை லேயர் செய்ய சிறிதளவு காய்கறி மசாலாவை தனியாக எடுத்து வைத்து விட்டு மீதமுள்ள காய்கறி மீது வேகவைத்த பாஸ்மதி சாதத்தை பரப்பவும். பிறகு எடுத்து வைத்த காய்கறியை மேலே பரப்பவும். மீண்டும் ஒரு லேயர் வேகவைத்த பாஸ்மதி சாதத்தை பரப்பவும்.
இறுதியாக மேலே குங்குமப்பூ, வறுத்த வெங்காயம், பிரியாணி மசாலா, கொத்தமல்லி இலை, புதினா இலை ஆகியவற்றை சேர்த்து குறைந்த தீயில் 15 நிமிடம் தம்மில் வேகவிடவும்.
அருமையான வெஜ் தம் பிரியாணி தயார்.</t>
  </si>
  <si>
    <t>https://encrypted-tbn0.gstatic.com/images?q=tbn:ANd9GcRwFoNVxfdIbWINbvG25qgwfZwzPY2BwbGfBg&amp;s</t>
  </si>
  <si>
    <t>https://youtu.be/XW0hKVW1vuk?si=EDl_753BrEcWzVtv</t>
  </si>
  <si>
    <t>Milk thistle rice</t>
  </si>
  <si>
    <t>பாலக்கீரை சாதம்</t>
  </si>
  <si>
    <t>Basmati rice - 1 cup,
Milk thistle - 1 bunch,
Garlic - 6 cloves,
Ginger - 1 piece chopped,
Oil - 1 tablespoon,
Ghee - 1 tablespoon,
Baking powder,
Cloves,
Cardamom,
Biriani leaves,
Cumin - 1/2 teaspoon,
Onion - 2 chopped,
Green chilies - 4 chopped,
Turmeric powder - 1/4 teaspoon,
Kashmiri chili powder - 1 teaspoon,
Salt,
Garlic powder - 1/2 teaspoon,
Water.</t>
  </si>
  <si>
    <t>பாஸ்மதி அரிசி - 1 கப் ,
பாலக்கீரை - 1 கொத்து,
பூண்டு - 6 பற்கள்,
இஞ்சி - 1 துண்டு நறுக்கியது,
எண்ணெய் - 1 மேசைக்கரண்டி,
நெய் - 1 மேசைக்கரண்டி ,
பட்டை,
கிராம்பு ,
ஏலக்காய் ,
பிரியாணி இலை,
சீரகம் - 1/2 தேக்கரண்டி,
வெங்காயம் - 2 நறுக்கியது,
பச்சை மிளகாய் - 4 நறுக்கியது,
மஞ்சள் தூள் - 1/4 தேக்கரண்டி ,
கஷ்மீரி மிளகாய் தூள் - 1 தேக்கரண்டி ,
உப்பு ,
கரம் மசாலா தூள் - 1/2 தேக்கரண்டி,
தண்ணீர்.</t>
  </si>
  <si>
    <t>Soak the basmati rice in water for 30 minutes.
Take a vessel filled with water and bring it to a boil.
Add the soaked rice and salt to it.
Cook the rice completely, drain it and keep it aside.
Wash and chop the palakkad leaves. Add them to a mixer jar and grind them with garlic cloves, ginger, green chillies and water.
Take a wide pan and add oil and ghee.
Add the fenugreek, cloves, cardamom, cumin seeds, finely chopped onion and fry for half a minute.
Add the grated green chillies and fry for another 5 minutes.
In the pan, add turmeric powder, chilli powder and salt.
Add the palakkad paste and cook for 10 minutes.
After 10 minutes, add garam masala powder and mix well.
Add the rice with the palakkad masala and mix gently. Garnish with roasted cashew nuts.
The delicious and healthy palakkad rice is ready to be served hot.</t>
  </si>
  <si>
    <t>பாஸ்மதி அரிசியை தண்ணீரில் 30 நிமிடம் ஊறவைக்கவும்.
தண்ணீர் நிரப்பப்பட்ட பாத்திரத்தை எடுத்து கொதிக்க வைக்கவும்.
 அதனுடன் ஊறவைத்த அரிசி மற்றும் உப்பு சேர்க்கவும்.
 அரிசியை முழுமையாக சமைத்து, வடிகட்டி, தனியாக வைக்கவும்.
 பாலக்கீரை இலைகளை கழுவி நறுக்கவும். அவற்றை மிக்ஸி ஜாரில் சேர்த்து அதனுடன் பூண்டு பற்கள், இஞ்சி, பச்சை மிளகாய் மற்றும் தண்ணீர் சேர்த்து அரைக்கவும்.
 ஒரு அகன்ற கடாயை எடுத்து எண்ணெய், நெய் சேர்க்கவும்.
பட்டை, கிராம்பு, ஏலக்காய், சீரகம், மெல்லியதாக நறுக்கிய வெங்காயம் சேர்த்து அரை நிமிடம் வதக்கவும்.
 கீறிய பச்சை மிளகாயை சேர்த்து மேலும் 5 நிமிடங்கள் வதக்கவும்.
 கடாயில், மஞ்சள் தூள், மிளகாய் தூள் மற்றும் உப்பு சேர்க்கவும்.
 பாலக்கீரை விழுது சேர்த்து 10 நிமிடம் சமைக்கவும்.
10 நிமிடம் கழித்து கரம் மசாலா தூள் சேர்த்து நன்கு கலக்கவும்.
பாலக் மசாலாவுடன் சாதத்தை சேர்த்து மெதுவாக கலக்கவும். வறுத்த முந்திரி கொண்டு அலங்கரிக்கவும்.
சுவையான மற்றும் ஆரோக்கியமான பாலக்கீரை சாதம் சூடாக பரிமாற தயாராக உள்ளது.</t>
  </si>
  <si>
    <t>https://encrypted-tbn0.gstatic.com/images?q=tbn:ANd9GcTS2EbnRMGc6gkNXzEVz99IkPX6BT7qhEMtHQ&amp;s</t>
  </si>
  <si>
    <t>https://youtu.be/mjEFldtpq8E?si=sTnn09bydiKNTdUd</t>
  </si>
  <si>
    <t>Paneer in a pan</t>
  </si>
  <si>
    <t>கடாய்  பன்னீர்</t>
  </si>
  <si>
    <t>Oil - 2 tablespoons,
Onion - 1 large chopped,
Chili - 1 large chopped,
Butter - 1 tablespoon,
Paneer - 400 grams large pieces,
Coriander seeds - 1 tablespoon,
Pepper - 1/2 teaspoon,
Baking powder - 2” piece,
Biryani leaves - 2,
Cumin - 1 teaspoon,
Cloves - 4,
Red chili - 4,
Oil - 1 tablespoon,
Garlic - 5 cloves,
Ginger - 1 piece,
Onion - 2 chopped,
Tomato - 3 chopped.
Sauteed onion and chili,
Fried paneer,
Ground spice powder,
Onion &amp; tomato Paste,
Oil - 1 tablespoon,
Ghee - 1 tablespoon,
Kashmiri chili powder - 1 teaspoon,
Salt - as required,
Water - as required,
Fresh cream - 1 teaspoon,
Kasuri methi.</t>
  </si>
  <si>
    <t>எண்ணெய் - 2 தேக்கரண்டி,
வெங்காயம் - 1 பெரிதாக நறுக்கியது,
குடைமிளகாய் - 1 பெரிதாக நறுக்கியது,
வெண்ணெய் - 1 மேசைக்கரண்டி ,
பன்னீர் - 400 கிராம் பெரிய துண்டுகள்,
மல்லி விதைகள் - 1 மேசைக்கரண்டி,
மிளகு - 1/2 தேக்கரண்டி,
பட்டை - 2” துண்டு,
பிரியாணி இலை  - 2 ,
சீரகம் - 1 தேக்கரண்டி,
கிராம்பு - 4 ,
சிவப்பு மிளகாய் - 4 ,
எண்ணெய் - 1 மேசைக்கரண்டி ,
பூண்டு - 5 பற்கள்,
இஞ்சி - 1 துண்டு ,
வெங்காயம் - 2 நறுக்கியது,
தக்காளி - 3 நறுக்கியது.
வதக்கிய வெங்காயம் குடைமிளகாய் ,
வறுத்த பன்னீர் ,
அரைத்த மசாலா தூள் , 
வெங்காயம் &amp; தக்காளி விழுது,
எண்ணெய் - 1 மேசைக்கரண்டி ,
வெண்ணெய் - 1 மேசைக்கரண்டி ,
காஷ்மீர் மிளகாய்  தூள் - 1 தேக்கரண்டி,
உப்பு - தேவைக்கு ஏற்ப,
தண்ணீர் - தேவைக்கு ஏற்ப,
பிரெஷ் கிரீம் - 1 தேக்கரண்டி,
கசூரி மேதி.</t>
  </si>
  <si>
    <t>First, pour oil in a pan and add onion and chili and fry for 2 minutes and keep aside.
In the same pan, add butter and add chopped paneer and fry until well browned and keep aside.
Next, to grind the spice powder, in a pan without oil, add whole pepper, bay leaf, biryani leaves, cloves, cumin, and dried chilies and fry until fragrant, transfer to another vessel, cool, and grind in a mixer.
Pour oil in the same pan and add garlic, ginger, onion, and tomato, fry well, cool, and grind in a mixer.
Next, to make Kadai Paneer, add oil and butter in the same pan, add the grated onion, tomato paste and a little water (wash the mixer). Drain the water and fry until the spices are incorporated.
Next, add the ground masala powder, Kashmiri chilli powder, salt and fry until the colour changes and the oil separates.
Next, add the fried onion and chillies, add a little water and cook.
Once the oil separates, add the fried paneer pieces and stir.
Finally, add the kasoori methi and fresh cream.
Kadai Paneer is ready.</t>
  </si>
  <si>
    <t>முதலில் ஒரு கடாயில் எண்ணெய் ஊற்றி வெங்காயம் மற்றும் குடைமிளகாய் சேர்த்து 2 நிமிடங்கள் வதக்கி தனியாக எடுத்து வைக்கவும்.
அதே கடாயில் வெண்ணெய் சேர்த்து நறுக்கிய பனீரை போட்டு நன்கு பொன்னிறமாகும் வரை வறுத்து தனியாக எடுத்து வைக்கவும்.
 அடுத்து மசாலா தூள் அரைக்க ஒரு கடாயில் எண்ணெய் இல்லாமல் தனியா, முழு மிளகு, பட்டை, பிரியாணி இலை, கிராம்பு, சீரகம், காய்ந்த மிளகாய் சேர்த்து வாசனை வரும் வரை வறுத்து வேறு பாத்திரத்திற்கு மாற்றி ஆற விட்டு மிக்ஸியில் போட்டு அரைத்துக் கொள்ளவும்.
 அதே கடாயில் எண்ணெய் ஊற்றி பூண்டு, இஞ்சி, வெங்காயம், தக்காளி சேர்த்து நன்கு வதக்கி ஆறவிட்டு மிக்ஸியில் போட்டு விழுதாக அரைக்கவும்.
 அடுத்து கடாய் பன்னீர் செய்ய, அதே கடாயில் எண்ணெய் மற்றும் வெண்ணெய் சேர்த்து அரைத்த வெங்காயம்  தக்காளி விழுதை போட்டு அதனோடு சிறிது (மிக்ஸி கழுவி) தண்ணீர் ஊற்றவும். ஊற்றிய தண்ணீர் வற்றி மசாலா திரண்டு வரும் வரை வதக்கவும்.
 அடுத்து இதில் அரைத்த மசாலா தூள், காஷ்மீரி மிளகாய்த்தூள், உப்பு சேர்த்து நிறம் மாறி எண்ணெய் பிரியும் வரை வதக்கவும்.
 அடுத்து வதக்கிய வெங்காயம் குடைமிளகாய் சேர்த்து சிறிது தண்ணீர் ஊற்றி வேக வைக்கவும்.
 எண்ணெய் பிரிந்தவுடன் வறுத்த பன்னீர் துண்டுகளை சேர்த்து கிளறவும்.
இறுதியாக கசூரி மேத்தி மற்றும் ஃப்ரெஷ் க்ரீம் சேர்க்கவும்.
 கடாய் பனீர் தயார்.</t>
  </si>
  <si>
    <t>https://encrypted-tbn0.gstatic.com/images?q=tbn:ANd9GcQewWY1awTzWZKwZJdCwKYAGuMMXKM_ptwosQ&amp;s</t>
  </si>
  <si>
    <t>https://youtu.be/45GI3F_Da9E?si=sk7nnDaBaJNPTIIL</t>
  </si>
  <si>
    <t>Cornbread</t>
  </si>
  <si>
    <t>சோள ரொட்டி</t>
  </si>
  <si>
    <t>Cornflour - 1 1/2 cups,
Water - 2 cups,
Salt - 1 teaspoon,
Ghee.</t>
  </si>
  <si>
    <t>சோள மாவு - 1 1/2 கப்,
தண்ணீர் - 2 கப்,
உப்பு - 1 தேக்கரண்டி ,
நெய் .</t>
  </si>
  <si>
    <t>Pour water into a pan, add salt and boil it.
Then add cornflour and mix it. Once the water dries up, turn off the stove and cover it for 10 minutes.
Next, transfer the dough to another bowl, knead it well and roll it into small balls.
Sprinkle flour on a chapati stone, roll the rolled dough in flour and place it on the stone and rub it.
Then heat the dosa stone and put the rubbed dough on it and cook it.
When one side is cooked, turn it over to the other side.
When both sides are cooked, apply ghee and serve it hot.
Cornbread is ready!</t>
  </si>
  <si>
    <t xml:space="preserve"> கடாயில் தண்ணீர் ஊற்றி அதில் உப்பு சேர்த்து கொதிக்கவிடவும்.
 பின்பு சோள மாவு சேர்த்து கலந்து தண்ணீர் வற்றியதும் அடுப்பை அணைத்து பிறகு 10 நிமிடம் மூடி வைக்கவும்.
அடுத்து மாவை மற்றோரு பாத்திரத்திற்கு மாற்றி நன்கு பிசைந்து சிறு சிறு உருண்டைகளாக உருட்டிக்கொள்ளவும்.
 சப்பாத்தி கல்லில் மாவை தூவி உருட்டிய மாவை, மாவில் பிரட்டி கல்லில் வைத்து தேய்த்துக்கொள்ளவும்.
 பின்பு தோசை கல்லை சூடு செய்து அதில் தேய்த்த மாவை போட்டு வேகவிடவும்.
 ஒரு பக்கம் வெந்ததும் அடுத்த பக்கம் திருப்பி போடவும்.
 இரண்டு பக்கமும் வெந்ததும் நெய் தடவி சூடாக பரிமாறவும்.
சோள ரொட்டி தயார்!</t>
  </si>
  <si>
    <t>https://cdn.ibcstack.com/article/68f8447a-1318-4157-97c4-1135076f2e57/24-672093afa166d.webp</t>
  </si>
  <si>
    <t>https://youtu.be/lBpuGm3izME?si=sOGWbLlOVMDeXukd</t>
  </si>
  <si>
    <t>Rice Dal Rice</t>
  </si>
  <si>
    <t>Green rice - 1 cup (250 ml cup),
Turam dal - 1/2 cup (250 ml cup),
Ghee - 1 tablespoon,
Peanuts - 1 tablespoon,
Ultra seeds - 1 tablespoon,
Mustard - 1 tablespoon,
Cumin seeds - 1 tablespoon,
Anemal seeds - 1 tablespoon,
Onion - 1 chopped,
Green chilies - 2 grated,
Garlic - 6 cloves minced,
Ginger - 1 small piece grated,
Tomatoes - 2 chopped,
Turmeric powder - 1/2 teaspoon,
Kashmiri chili powder - 2 teaspoons,
Bengal powder - 1/2 teaspoon,
Curry leaves,
Soaked rice dal,
Water - 2 1/2 cups (250 ml),
Salt.</t>
  </si>
  <si>
    <t>பச்சரிசி - 1 கப் (250 மி.லி கப்),
துவரம் பருப்பு - 1/2 கப் (250 மி.லி கப்),
நல்லெண்ணெய் - 1 மேசைக்கரண்டி ,
நெய் - 1 மேசைக்கரண்டி,
கடலை பருப்பு - 1 தேக்கரண்டி,
உளுத்தம் பருப்பு - 1 தேக்கரண்டி, 
கடுகு - 1 தேக்கரண்டி,
சீரகம் - 1 தேக்கரண்டி,
சோம்பு - 1 தேக்கரண்டி,
வெங்காயம் - 1 நறுக்கியது,
பச்சைமிளகாய் - 2 கீறியது,
பூண்டு - 6 பற்கள் தட்டியது,
இஞ்சி - 1 சிறிய துண்டு துருவியது,
தக்காளி - 2 நறுக்கியது,
மஞ்சள் தூள் - 1/2 தேக்கரண்டி, 
காஷ்மீரி மிளகாய் தூள் - 2 தேக்கரண்டி,
பெருங்காய தூள்  - 1/2 தேக்கரண்டி ,
கறிவேப்பிலை ,
ஊறவைத்த அரிசி பருப்பு, 
தண்ணீர் - 2 1/2 கப் (250 மி.லி கப்),
உப்பு.</t>
  </si>
  <si>
    <t>First soak the green rice and dal for 30 minutes.
Pour sesame oil and ghee in the cooker and when they are hot, add the peanuts, urad dal, mustard, cumin, and anise and mix.
When the mustard is fried, add the onion and green chilies and fry.
When the onion turns golden brown, add 6 cloves of crushed garlic and grated ginger and mix.
Then add the tomatoes and fry.
Next, add salt, turmeric powder, Kashmiri chili powder, coriander powder, and curry leaves and mix.
Then add the soaked rice and mix.
Add water and mix, add salt if required, close the cooker and cook until 3 whistles.
Delicious rice and dal rice is ready.</t>
  </si>
  <si>
    <t>முதலில் பச்சரிசி, துவரம் பருப்பை 30 நிமிடம் ஊறவைக்கவும்.
 குக்கரில் நல்லெண்ணெய், நெய் ஊற்றி அவை சூடானதும் கடலை பருப்பு, உளுத்தம் பருப்பு, கடுகு, சீரகம், சோம்பு சேர்த்து கலந்து விடவும்.
 கடுகு பொரிந்ததும் வெங்காயம், பச்சை மிளகாய் சேர்த்து வதக்கவும்.
 வெங்காயம் பொன்னிறமானதும் 6 பற்கள் தட்டிய பூண்டு, துருவிய இஞ்சி சேர்த்து கலந்து விடவும்.
பிறகு தக்காளி சேர்த்து வதக்கவும்.
 அடுத்து உப்பு, மஞ்சள் தூள், காஷ்மீரி மிளகாய் தூள், பெருங்காய தூள், கறிவேப்பிலை சேர்த்து கலந்து விடவும்.
 பின்பு ஊறவைத்த அரிசி பருப்பு சேர்த்து கலந்து விடவும்.
தண்ணீர் சேர்த்து கலந்து விட்டு தேவைப்பட்டால் உப்பு சேர்த்து குக்கரை மூடி 3 விசில் வரும் வரை வேகவிடவும்.
சுவையான அரிசி பருப்பு சாதம் தயார்.</t>
  </si>
  <si>
    <t>https://encrypted-tbn0.gstatic.com/images?q=tbn:ANd9GcQ1uuuqTzoIgDyFsceyKt6jPP6wwGaIQqMc8A&amp;s</t>
  </si>
  <si>
    <t>https://youtu.be/73zwsEZYPeI?si=WEj4ZoynKjvWcWfZ</t>
  </si>
  <si>
    <t>Manathakali Vattala Khurambu</t>
  </si>
  <si>
    <t>அரிசி பருப்பு சாதம் மணத்தக்காளி வத்தல் குழம்பு</t>
  </si>
  <si>
    <t>Manathakali Vattala - 2 tablespoons,
Garlic - 10 cloves,
Small onion - 1 cup,
Tomato - 1,
Garlic powder - 1 teaspoon,
Grated tamarind - 1 cup,
Turmeric powder - 1/4 teaspoon,
Chili powder - 2 tablespoons,
Curry leaves,
Ghee - 3 tablespoons,
Mustard - 1/2 teaspoon,
Fenugreek - 1/4 teaspoon,
Rock salt - 1 teaspoon,
Water - 1 cup.</t>
  </si>
  <si>
    <t>மணத்தக்காளி வத்தல் - 2 மேசைக்கரண்டி,
பூண்டு - 10 பற்கள் ,
சிறிய வெங்காயம்  - 1 கப்,
தக்காளி - 1 ,
தூள் வெல்லம் - 1 தேக்கரண்டி ,
கரைத்த புளி  - 1 கப் ,
மஞ்சள் தூள் - 1/4 தேக்கரண்டி,
மிளகாய் தூள் - 2 மேசைக்கரண்டி ,
கறிவேப்பிலை,
நல்லெண்ணெய் - 3 மேசைக்கரண்டி,
கடுகு - 1/2 தேக்கரண்டி ,
வெந்தயம் - 1/4 தேக்கரண்டி,
கல் உப்பு - 1 தேக்கரண்டி,
தண்ணீர் - 1 கப்.</t>
  </si>
  <si>
    <t>Soak the tamarind in a cup of hot water, squeeze it and keep the tamarind juice.
Add oil to a pan and fry the manathakali Vattala until it turns golden brown. (Do not fry for too long, it will become bitter).
Once fried, keep it aside.
In the same pan, add the remaining oil, mustard seeds, urad dal, and lentils.
Then add the onion, garlic, and curry leaves and sauté well.
Once the onion is cooked, add turmeric powder, chili powder, cumin powder, and ginger and stir.
Add the tamarind water and salt as required.
Add the fried manatakali vatthal to the gravy and let it boil on medium heat for 10 minutes.
Once the gravy boils and the oil settles on top, turn off the stove.
Manatakali vatthal gravy is ready!
You can serve it with rice, curd rice, dosa, and idli.</t>
  </si>
  <si>
    <t>புளியை ஒரு கப் வெந்நீரில் ஊற வைத்து, பிழிந்து புளிநீர் எடுத்து வைக்கவும்.
ஒரு கடாயில் எண்ணெய் சேர்த்து, மணத்தக்காளி வத்தலை நன்கு பொன்னிறமாக வரும் வரை வறுக்கவும். (அதிக நேரம் வறுக்க வேண்டாம், கசப்பாகிவிடும்).
வறுத்தவுடன் தனியாக எடுத்துவைக்கவும்.
அதே கடாயில் மீதமுள்ள எண்ணெயில் கடுகு, உளுத்தம் பருப்பு, பருப்பு சேர்த்து தாளிக்கவும்.
பிறகு வெங்காயம், பூண்டு, கருவேப்பிலை சேர்த்து நன்கு வதக்கவும்.
வெங்காயம் வதங்கியதும் மஞ்சள்தூள், மிளகாய்தூள், தனியாத்தூள், பெருங்காயம் சேர்த்து கிளறவும்.
புளிநீரை சேர்த்து, தேவையான அளவு உப்பு சேர்க்கவும்.
வறுத்த மணத்தக்காளி வத்தலை குழம்பில் சேர்த்து, மிதமான தீயில் 10 நிமிடங்கள் கொதிக்க விடவும்.
குழம்பு கொதித்து, எண்ணெய் மேலே தங்கியதும், அடுப்பை அணைக்கவும்.
மணத்தக்காளி வத்தல் குழம்பு தயார்!
சாதம், தயிர் சாதம், தோசை, இட்லி ஆகியவற்றுடன் பரிமாறலாம்.</t>
  </si>
  <si>
    <t>https://encrypted-tbn0.gstatic.com/images?q=tbn:ANd9GcSIjkuMqLzUhee0aXl2cMEib5C_xrfAGhCJrA&amp;s</t>
  </si>
  <si>
    <t>https://youtu.be/7DmbAIqE5f8?si=0dTOYZWHGI-cXf-k</t>
  </si>
  <si>
    <t>Chettinadu Mushroom Biryani</t>
  </si>
  <si>
    <t>செட்டிநாடு காளான் பிரியாணி</t>
  </si>
  <si>
    <t>Mushrooms - 400 grams,
Salt,
Turmeric powder - 1/2 tsp,
Chilli powder - 1 tsp,
Cumin powder - 1 tsp,
Thaniya powder - 1 tsp,
Pepper powder - 1/2 tsp,
Ginger garlic paste - 1 tsp,
Yogurt - 2 tbsp,
Fried onion - 1/2 cup,
Mint - 1 cup,
Coriander leaves - 1 cup,
Basmati rice - 1 cup (250 ml cup),
Oil - 2 tbsp,
Ghee - 1 tbsp,
Baking powder,
Cloves,
Cardamom,
Pineapple blossom,
Biryani leaves,
Java,
Anise - 1 tsp,
Onion - 2 chopped ,
Green chillies - 3 chopped ,
Tomatoes - 2 chopped,
Coconut milk with water added - 2 cups,
Salt.</t>
  </si>
  <si>
    <t>காளான் - 400 கிராம்,
உப்பு ,
மஞ்சள் தூள் - 1/2 தேக்கரண்டி,
மிளகாய் தூள் - 1 தேக்கரண்டி, 
சீரக தூள் - 1 தேக்கரண்டி ,
தனியா தூள் - 1 தேக்கரண்டி,
மிளகு தூள் - 1/2 தேக்கரண்டி ,
இஞ்சி பூண்டு விழுது - 1 தேக்கரண்டி,
தயிர் - 2 மேசைக்கரண்டி,
வறுத்த வெங்காயம் - 1/2 கப்,
புதினா - 1 கப்,
கொத்தமல்லி இலை - 1 கப்,
பாஸ்மதி அரிசி - 1 கப் (250 மி.லி கப்) ,
எண்ணெய் - 2 மேசைக்கரண்டி ,
நெய் - 1 மேசைக்கரண்டி,
பட்டை ,
கிராம்பு,
ஏலக்காய்,
அன்னாசிப்பூ,
பிரியாணி இலை,
ஜாவித்ரி,
சோம்பு - 1 தேக்கரண்டி,
வெங்காயம் - 2 நறுக்கியது ,
பச்சைமிளகாய் - 3 கீறியது  ,
தக்காளி - 2 நறுக்கியது,
நீர் சேர்த்த தேங்காய் பால் - 2 கப்,
உப்பு.</t>
  </si>
  <si>
    <t>Wash and clean the mushrooms. Cut them into pieces and keep them in a bowl.
Then add salt, turmeric powder, chilli powder, cumin powder, coriander powder, pepper powder, ginger garlic paste, yogurt, fried onions, mint leaves, coriander leaves and mix well.
Soak the mushrooms for 30 minutes.
Take a wide pan and add oil and ghee.
Then add the peel, cloves, cardamom, pineapple, bay leaves, masala, anise and chopped onions.
Add the grated green chillies and fry the onions until they turn golden brown.
Add the chopped tomatoes and soaked mushrooms, mix well and cook for 5 minutes.
Mix coconut milk and water in a bowl. Add it to the pan.
Check the spices and add salt if required.
Once the water starts boiling, add the soaked basmati rice and cook on medium flame for 20 minutes.
Garnish the biryani with chopped coriander leaves and serve hot with raita and gravy.</t>
  </si>
  <si>
    <t xml:space="preserve">காளான்களை கழுவி சுத்தம் செய்யவும். அவற்றை துண்டுகளாக வெட்டி ஒரு பாத்திரத்தில் வைக்கவும்.
பின்பு உப்பு, மஞ்சள் தூள், மிளகாய் தூள், சீரக தூள், மல்லி தூள், மிளகு தூள், இஞ்சி பூண்டு விழுது, தயிர், வறுத்த வெங்காயம், புதினா இலை, கொத்தமல்லி இலை சேர்த்து நன்கு கலக்கவும்.
 காளான்களை 30 நிமிடங்கள் ஊறவைக்கவும்.
 அகலமான கடாயை எடுத்து எண்ணெய் மற்றும் நெய் சேர்க்கவும்.
 பிறகு பட்டை, கிராம்பு, ஏலக்காய், அன்னாசிப்பூ, பிரயாணி இலை, ஜாவித்ரி, சோம்பு மற்றும் நறுக்கிய வெங்காயம் சேர்க்கவும்.
 கீறிய பச்சை மிளகாயை சேர்த்து, வெங்காயத்தை நன்றாக பொன்னிறமாகும் வரை வதக்கவும்.
நறுக்கிய தக்காளி, ஊறவைத்த காளான்களை சேர்த்து, நன்கு கலந்து 5 நிமிடங்கள் வேகவைக்கவும்.
 ஒரு பாத்திரத்தில் தேங்காய் பால் மற்றும் தண்ணீர் சேர்த்து கலக்கவும். அதை கடாயில் சேர்க்கவும்.
 மசாலாவை சரிபார்த்து, தேவைப்பட்டால் உப்பு சேர்க்கவும்.
தண்ணீர் கொதிக்க ஆரம்பித்ததும், ஊறவைத்த பாஸ்மதி அரிசியை சேர்த்து மிதமான தீயில் 20 நிமிடம் வேகவைக்கவும்.
பிரியாணியை நறுக்கிய கொத்தமல்லி இலைகளால் அலங்கரித்து, ரைத்தா மற்றும் கிரேவியுடன் சூடாக பரிமாறவும். </t>
  </si>
  <si>
    <t>https://encrypted-tbn0.gstatic.com/images?q=tbn:ANd9GcRiVFhyEmFZLlvA87DcIjQIVZWklYiXQurQ0w&amp;s</t>
  </si>
  <si>
    <t>https://youtu.be/xrz9-bJu2DA?si=nR9whd4-su2IIZlI</t>
  </si>
  <si>
    <t>Onion Rice</t>
  </si>
  <si>
    <t xml:space="preserve">
வெங்காய சாதம்</t>
  </si>
  <si>
    <t>Basmati rice - 1 cup,
Oil - 2 tablespoons,
Peanuts - 2 tablespoons,
Mustard - 1 tablespoon,
Cumin - 1 tablespoon,
Peanuts - 1/2 cup,
Whole garlic - 1,
Onion - 2 chopped,
Turmeric powder - 1/4 teaspoon,
Chili powder - 1 teaspoon,
Salt - 1 teaspoon,
Corn flakes - 1/4 teaspoon,
Green chilies - 4 chopped,
Water - 1/4 cup,
Curry leaves,
Tamarind water - 1/4 cup,
Coriander leaves.</t>
  </si>
  <si>
    <t xml:space="preserve">பாஸ்மதி அரிசி - 1 கப்,
எண்ணெய் - 2 மேசைக்கரண்டி,
கடலைப்பருப்பு - 2 தேக்கரண்டி,
கடுகு - 1 தேக்கரண்டி ,
சீரகம் - 1 தேக்கரண்டி ,
வேர்க்கடலை - 1/2 கப் ,
முழு பூண்டு - 1  ,
வெங்காயம் - 2 நறுக்கியது,
மஞ்சள் தூள் - 1/4 தேக்கரண்டி,
மிளகாய் தூள் - 1 தேக்கரண்டி,
உப்பு - 1 தேக்கரண்டி, 
பெருங்காயத்தூள் - 1/4 தேக்கரண்டி,
பச்சை மிளகாய் - 4 நறுக்கியது,
தண்ணீர் - 1/4 கப்,
கறிவேப்பிலை,
புளி தண்ணீர் - 1/4 கப் ,
கொத்தமல்லி இலை.
</t>
  </si>
  <si>
    <t>Heat oil in a pan. Add mustard, cumin, and peanuts and fry until golden brown.
Add one whole garlic clove and fry.
Next add finely chopped onion and fry for 2-3 minutes.
Then add turmeric powder, red chili powder, garam masala powder, salt, green chilies and mix well.
Add curry leaves and tamarind water and mix well.
Cover the pan with a lid and cook for 4 minutes.
At this time, add cooked rice and mix well (cook the rice with a little salt).
Fry for 2 minutes and then add finely chopped coriander leaves.
Onion rice is ready to be served hot with potato fries and pappad.</t>
  </si>
  <si>
    <t>ஒரு கடாயில் எண்ணெய் எடுக்கவும். கடுகு, சீரகம், கடலைப்பருப்பு சேர்த்து பொன்னிறமாகும் வரை வறுக்கவும்.
 ஒரு முழு பூண்டு பற்களை சேர்த்து வதக்கவும்.
 அடுத்து மெல்லியதாக நறுக்கிய வெங்காயத்தைச் சேர்த்து 2-3 நிமிடங்கள் வதக்கவும்.
பிறகு மஞ்சள் தூள், சிவப்பு மிளகாய் தூள், பெருங்காய பொடி, உப்பு, பச்சை மிளகாய் சேர்த்து நன்கு கலக்கவும்.
 கறிவேப்பிலை மற்றும் புளி தண்ணீர் சேர்த்து நன்றாக கலக்கவும்.
 கடாயை ஒரு மூடியால் மூடி 4 நிமிடங்கள் சமைக்கவும்.
 இந்த நேரத்தில், சமைத்த அரிசியைச் சேர்த்து நன்கு கலக்கவும் (அரிசியை சிறிது உப்பு சேர்த்து சமைக்கவும்).
 2 நிமிடம் வதக்கி, பின்னர் பொடியாக நறுக்கிய கொத்தமல்லி இலைகளை சேர்க்கவும்.
 வெங்காய சாதம் உருளைக்கிழங்கு பொரியல், பப்பட் ஆகியவற்றுடன் சூடாக பரிமாற தயாராக உள்ளது.</t>
  </si>
  <si>
    <t>https://images.hindustantimes.com/tamil/img/2023/10/24/550x309/vengaya_sadham_1698141458697_1698141474723.jpg</t>
  </si>
  <si>
    <t>https://youtu.be/Vo_GvEl20lQ?si=b1i0k8unMt27pdGi</t>
  </si>
  <si>
    <t>Wheat flour - 2 cups,
Mint leaves,
Oatmeal - 1 teaspoon,
Salt - 1/2 teaspoon,
Oil - 2 teaspoons,
Steamed milk - 1/4 cup,
Water,
Ghee,
Salt - 1/4 teaspoon,
Turmeric powder - 1/4 teaspoon,
Kashmiri chili powder - 1 teaspoon,
Dhaniya powder - 1 teaspoon,
Ceema powder - 1/2 teaspoon,
Garham masala powder - 1/4 teaspoon,
Chaat masala powder - 1/2 teaspoon.</t>
  </si>
  <si>
    <t>கோதுமை மாவு - 2 கப்,
புதினா இலை,
ஓமம் - 1 தேக்கரண்டி ,
உப்பு - 1/2 தேக்கரண்டி,
எண்ணெய் - 2 தேக்கரண்டி,
காய்ச்சி ஆறவைத்த பால் - 1/4 கப் ,
தண்ணீர்,
நெய் ,
உப்பு - 1/4 தேக்கரண்டி,
மஞ்சள் தூள் - 1/4 தேக்கரண்டி,
காஷ்மீரி மிளகாய் தூள் - 1 தேக்கரண்டி,
தனியா தூள் - 1 தேக்கரண்டி ,
சீரக தூள் - 1/2 தேக்கரண்டி,
கரம் மசாலா தூள் - 1/4 தேக்கரண்டி,
சாட் மசாலா தூள் - 1/2 தேக்கரண்டி.</t>
  </si>
  <si>
    <t>In a large bowl, take the wheat flour, mint leaves, crushed oaman seeds, and salt and mix well.
Add oil and mix everything again. Add the steamed milk and mix again.
Gradually add water to the flour mixture and prepare the dough.
Knead the dough for about 5 minutes. Cover the bowl with a lid and let the dough soak for about 30 minutes.
Take a wide pan and add mint leaves in it.
Keep the flame on medium and fry the mint leaves till the moisture disappears completely. Crush the dry roasted mint leaves and keep it aside.
For the spice powder mixture, take salt, turmeric powder, chilli powder, cumin powder, coriander powder, garam masala powder, chaat masala powder in a bowl and mix well. Keep aside.
Now divide the dough into equal sized balls. Roll them thinly and nicely. Spread some ghee on top and sprinkle the prepared spice powder along with the crushed mint leaves.
Fold the rolled flat bread into small vertical folds as shown in the video and keep the dough aside.
Sprinkle flour on the rolling surface and roll out the folded dough. Make sure it is of medium thickness. Similarly prepare all the parathas and keep aside.
Heat a pan and place the rolled parathas. Once brown spots start appearing, turn them over and brush some ghee on both sides.
Once the parathas are cooked well, remove them from the pan.
The delicious and thin mint parathas are ready to be served hot with pickle/onion raita/boondi raita.</t>
  </si>
  <si>
    <t>ஒரு பெரிய கிண்ணத்தில் கோதுமை மாவு, புதினா இலைகள், நசுக்கிய ஓமம் விதைகள், உப்பு ஆகியவற்றை எடுத்து நன்கு கலக்கவும்.
 எண்ணெய் சேர்த்து மீண்டும் அனைத்தையும் கலக்கவும். காய்ச்சி ஆறிய பால் சேர்த்து மீண்டும் கலக்கவும்.
மாவு கலவையில் படிப்படியாக தண்ணீர் சேர்த்து மாவை தயார் செய்யவும்.
சுமார் 5 நிமிடங்கள் மாவைபிசையவும். ஒரு மூடி கொண்டு கிண்ணத்தை மூடி சுமார் 30 நிமிடங்கள் மாவை ஊறவிடவும்.
 ஒரு அகலமான கடாயை எடுத்து அதில் புதினா இலைகளை சேர்க்கவும்.
 சுடரை மிதமான அளவில் வைத்து, புதினா இலைகளை ஈரம் முற்றிலும் மறையும் வரை வறுக்கவும். உலர்ந்த வறுத்த புதினா இலைகளை நசுக்கி தனியாக வைக்கவும்.
 மசாலா தூள் கலவைக்கு, உப்பு, மஞ்சள் தூள், மிளகாய் தூள், சீரக தூள், மல்லி தூள், கரம் மசாலா தூள், சாட் மசாலா தூள் ஆகியவற்றை ஒரு பாத்திரத்தில் எடுத்து நன்கு கலக்கவும். ஒதுக்கி வைக்கவும்.
 இப்போது மாவை சம அளவு உருண்டைகளாகப் பிரிக்கவும். அவற்றை மெல்லியதாகவும் அழகாகவும் உருட்டவும். மேலே சிறிது நெய் தடவி, தயாரிக்கப்பட்ட மசாலாப் பொடியை நொறுக்கப்பட்ட புதினா இலைகளுடன் சேர்த்து தெளிக்கவும்.
 வீடியோவில் காட்டப்பட்டுள்ளபடி உருட்டப்பட்ட தட்டையான ரொட்டியை சிறிய செங்குத்து மடிப்புகளாக மடித்து, மாவை ஒதுக்கி வைக்கவும்.
 உருட்டும் மேற்பரப்பில் மாவு தூவி, மடித்த மாவை உருட்டவும். நடுத்தர தடிமன் உள்ளதா என்பதை உறுதிப்படுத்தவும். இதேபோல் அனைத்து பராத்தாவையும் தயார் செய்து தனியாக வைக்கவும்.
 ஒரு கடாயை சூடாக்கி, உருட்டிய பராட்டாவை வைக்கவும். பழுப்பு நிற புள்ளிகள் தோன்ற ஆரம்பித்த பிறகு, அதை இருபுறமும் திருப்பி, சிறிது நெய்யை இருபுறமும் தடவவும்.
 பராத்தா நன்றாக வெந்தவுடன், அவற்றை பானில் இருந்து அகற்றவும்.
 சுவையான மற்றும் மெல்லிய புதினா பராத்தாக்கள் ஊறுகாய்/வெங்காய ரைத்தா/ பூந்தி ரைத்தாவுடன் சூடாக பரிமாற தயாராக உள்ளன.</t>
  </si>
  <si>
    <t>https://encrypted-tbn0.gstatic.com/images?q=tbn:ANd9GcTTSPShFPkAPUFIbWGPRfG-W_MbiiRrOWrCjA&amp;s</t>
  </si>
  <si>
    <t>https://youtu.be/u4ArT1gEnV0?si=gs_IXUDNnvb_0cuC</t>
  </si>
  <si>
    <t>Kongunadu White Biryani</t>
  </si>
  <si>
    <t>கொங்குநாடு வெள்ளை பிரியாணி</t>
  </si>
  <si>
    <t>Small onion - 20,
Garlic - 12 cloves,
Ginger - 1 piece chopped,
Green chilies - 4,
Anise - 1 teaspoon,
Cardamom - 3,
Pallet - 2 pieces,
Cloves - 4,
Salt - 1 teaspoon,
Water,
Yogurt - 2 tablespoons,
Seeraksamba rice - 1/2 kg,
Mutton - 1 kg,
Ghee - 2 tablespoons,
Ghee - 2 tablespoons,
Biryani leaves - 2,
Pallet - 1 piece,
Pineapple blossom,
Cardamom - 3,
Galpasi - 3 pieces,
Marathi moku - 2,
Javitri,
Cloves - 5 ,
Onion - 1 chopped,
Green chilies - 2 grated,
Mint - 1/2 bunch,
Coriander - 1/2 bunch,
Water - 3 cups (250 ml cup),
Lemon juice - 1 fruit .</t>
  </si>
  <si>
    <t>சின்ன வெங்காயம் - 20,
பூண்டு - 12 பற்கள்,
இஞ்சி - 1 துண்டு நறுக்கியது,
பச்சை மிளகாய் - 4,
சோம்பு - 1 தேக்கரண்டி,
ஏலக்காய் - 3,
பட்டை - 2 துண்டு,
கிராம்பு - 4,
உப்பு - 1 தேக்கரண்டி,
தண்ணீர்,
தயிர் - 2 மேசைக்கரண்டி,
சீரகசம்பா அரிசி - 1/2 கிலோ,
மட்டன் - 1 கிலோ,  
நெய் - 2 மேசைக்கரண்டி,
நல்லெண்ணெய் - 2 மேசைக்கரண்டி,
பிரியாணி இலை - 2,
பட்டை - 1 துண்டு,
அன்னாசிப்பூ,
ஏலக்காய் - 3,
கல்பாசி - 3 துண்டு,
மராத்தி மொக்கு - 2,
ஜாவித்ரி,
கிராம்பு  - 5 ,
வெங்காயம் - 1 நறுக்கியது,
பச்சை மிளகாய் - 2 கீறியது,
புதினா - 1/2 கட்டு,
கொத்தமல்லி - 1/2 கட்டு,
தண்ணீர் - 3 கப் (250 மி.லி கப்),
எலுமிச்சைபழச்சாறு - 1 பழம் .</t>
  </si>
  <si>
    <t>Wash the cumin seeds and rice well and soak for 1 hour.
To grind the masala paste, add the onion, garlic, ginger, green chillies, anise, cardamom, bay leaf, cloves, salt, and a little water in a mixer and grind it to a paste.
Add the ground masala paste and yogurt to the mutton and mix well and soak for 30 minutes.
In a cooker, add ghee, sesame oil, biryani leaves, bay leaf, pineapple blossom, cardamom, kalpasi, marathi moku, javedri, and cloves and fry.
Next, add the onion and green chillies and fry.
Then add the soaked mutton and fry for 5 minutes. Add mint and coriander leaves and mix.
Then add water and boil it, close the cooker and cook it on medium flame till 6 whistles.
Next, open the cooker and add the soaked cumin rice and mix it, add lemon juice and mix it again.
Once it boils, close the cooker and cook it on low flame for 5 minutes. Then turn off the stove and keep it aside for 10 minutes.
Delicious Kongunadu white biryani is ready.</t>
  </si>
  <si>
    <t xml:space="preserve">சீரகசம்பா அரிசியை நன்றாக கழுவி 1 மணிநேரம் ஊறவைக்கவும்.
மசாலா விழுது அரைக்க மிக்ஸியில் சின்ன வெங்காயம், பூண்டு, இஞ்சி, பச்சை மிளகாய், சோம்பு, ஏலக்காய், பட்டை, கிராம்பு, உப்பு, மற்றும் சிறிது சிறிதாக தண்ணீர் சேர்த்து விழுதாக அரைக்கவும்.
 மட்டனுடன் அரைத்த மசாலா விழுது, தயிர் சேர்த்து நன்கு கலந்து 30 நிமிடம் ஊறவைக்கவும்.
 குக்கரில் நெய், நல்லெண்ணெய், பிரியாணி இலை, பட்டை, அன்னாசிப்பூ, ஏலக்காய், கல்பாசி, மராத்தி மொக்கு, ஜாவித்ரி, கிராம்பு சேர்த்து வறுக்கவும்.
 அடுத்து வெங்காயம், பச்சை மிளகாய் சேர்த்து வதக்கவும்.
 பின்பு ஊறவைத்த மட்டனை சேர்த்து 5 நிமிடம் வதக்கவும். புதினா, கொத்தமல்லி இலை சேர்த்து கலந்து விடவும்.
 பிறகு தண்ணீர் சேர்த்து கொதிக்கவிட்டு குக்கரை மூடி மிதமான தீயில் 6 விசில் வரும் வரை வேகவிடவும்.
 அடுத்து குக்கரை திறந்து ஊறவைத்த சீரகசம்பா அரிசியை சேர்த்து கலந்து விட்டு எலுமிச்சைபழச்சாறை சேர்த்து மீண்டும் கலக்கவும்.
 ஒரு கொதி வந்தவுடன் குக்கரை மூடி 5 நிமிடம் குறைந்த தீயில் வேகவிடவும். பின்பு அடுப்பை அணைத்து விட்டு 10 நிமிடம் தம்மில் வைக்கவும்.
சுவையான கொங்குநாடு வெள்ளை பிரியாணி தயார்.
</t>
  </si>
  <si>
    <t>https://encrypted-tbn0.gstatic.com/images?q=tbn:ANd9GcRXdkjmMLCdd424lhWXNz59X9AsMLR8RZdlrg&amp;s</t>
  </si>
  <si>
    <t>https://youtu.be/cqpGTDCc5dA?si=Uhby4EjYhZs9Do0e</t>
  </si>
  <si>
    <t>Malaysian Fried Rice</t>
  </si>
  <si>
    <t>மலேசியன் ஃப்ரைட் ரைஸ்</t>
  </si>
  <si>
    <t>Garlic - 8 cloves,
Ginger - 1 piece chopped,
Grated coconut - 3 tablespoons,
Red chilies - 8,
Water,
Boiled basmati rice,
Sesame oil - 2 tablespoons,
Mushrooms - 1 bowl chopped,
Green chilies - 1/2 cup chopped,
Yellow chilies - 1/2 cup chopped,
Red chilies - 1/2 cup chopped,
Salt - 1 teaspoon,
Chili powder - 1 teaspoon,
Boiled corn - 1/2 cup,
Boiled green peas - 1/2 cup,
Soy sauce - 2 tablespoons,
Vinegar - 1 tablespoon,
Sugar - 1/2 teaspoon,
Onion leaves chopped.</t>
  </si>
  <si>
    <t>பூண்டு - 8 பற்கள்,
இஞ்சி - 1 துண்டு நறுக்கியது,
துருவிய தேங்காய் - 3 மேசைக்கரண்டி,
சிவப்பு மிளகாய் - 8,
தண்ணீர்,
வேகவைத்த பாஸ்மதி சாதம்,
எள்ளு எண்ணெய் - 2 மேசைக்கரண்டி,
மஷ்ரூம் - 1 கிண்ணம் நறுக்கியது, 
பச்சை குடைமிளகாய் - 1/2 கப் நறுக்கியது,
மஞ்சள் குடைமிளகாய் - 1/2 கப் நறுக்கியது,
சிவப்பு குடைமிளகாய் - 1/2 கப் நறுக்கியது,
உப்பு - 1 தேக்கரண்டி,
மிளகு தூள் - 1 தேக்கரண்டி,
வேகவைத்த சோளம் - 1/2 கப்,
வேகவைத்த பச்சை பட்டாணி - 1/2 கப்,
சோயா சாஸ் - 2 தேக்கரண்டி,
வினிகர் - 1 தேக்கரண்டி,
சர்க்கரை - 1/2 தேக்கரண்டி,
வெங்காயத்தாள் நறுக்கியது.</t>
  </si>
  <si>
    <t>In a mixer, add garlic, ginger, grated coconut, soaked red chilies, and water and grind to a paste.
Pour oil into a pan, add the ground paste and fry for 5 minutes.
Then add chopped mushrooms, green chilies, yellow chilies, red chilies, salt, and pepper powder and cook for 5 minutes.
Then add boiled corn and green peas and cook for 5 minutes.
Then add soy sauce, vinegar, and sugar and mix together with the boiled rice.
Finally, add chopped spring onions and mix well.
Malaysian fried rice is ready!</t>
  </si>
  <si>
    <t xml:space="preserve">மிக்ஸியில் பூண்டு, இஞ்சி, துருவிய தேங்காய், ஊறவைத்த சிவப்பு மிளகாய், தண்ணீர் சேர்த்து விழுதாக அரைக்கவும்.
 கடாயில் எண்ணெய் ஊற்றி அரைத்த விழுதை சேர்த்து 5 நிமிடம் வதக்கவும்.
 பின்பு நறுக்கிய மஷ்ரூம், பச்சை குடைமிளகாய், மஞ்சள் குடைமிளகாய், சிவப்பு குடைமிளகாய், உப்பு, மிளகு தூள் சேர்த்து கலந்து விட்டு 5 நிமிடம் வேகவிடவும்.
 பிறகு வேகவைத்த சோளம், பச்சை பட்டாணி கலந்துவிட்டு 5 நிமிடம் வேகவிடவும்.
பின்பு சோயா சாஸ், வினிகர், சர்க்கரை சேர்த்து கலந்துவிட்டு வேகவைத்த சாதம் சேர்த்து கலந்துவிடவும்.
கடைசியாக நறுக்கிய வெங்காயத்தாள் சேர்த்து கலந்து இறக்கவும்.
 மலேசியன் ஃப்ரைட் ரைஸ் தயார்! </t>
  </si>
  <si>
    <t>https://preview.redd.it/gbpyivfitx661.jpg?width=1080&amp;crop=smart&amp;auto=webp&amp;s=3dd7b48642a4f4c76867176f5b1fe8f7133a6244</t>
  </si>
  <si>
    <t>https://youtu.be/xgLFm-rEfSE?si=2aeqRAn7vRKESVpV</t>
  </si>
  <si>
    <t>Amla Rice</t>
  </si>
  <si>
    <t>Amla - 4,
Ghee - 1 tbsp,
Peanuts - 1 tbsp,
Ultra seeds - 1 1/2 tsp,
Mustard - 1 tsp,
Cumin - 1 tsp,
Dried chillies - 2,
Roasted peanuts,
Caramel powder - 1/4 tsp,
Green chillies - 2 chopped,
Ginger - 1 piece chopped,
Turmeric powder - 1/2 tsp,
Salt,
Curry leaves,
Boil rice.</t>
  </si>
  <si>
    <t>நெல்லிக்காய் - 4,
நல்லெண்ணெய் - 1 மேசைக்கரண்டி,
கடலை பருப்பு - 1 மேசைக்கரண்டி,
உளுத்தம் பருப்பு - 1 1/2 தேக்கரண்டி,
கடுகு - 1 தேக்கரண்டி,
சீரகம் - 1 தேக்கரண்டி,
காய்ந்த மிளகாய் - 2,
வறுத்த வேர்க்கடலை,
பெருங்காயத்தூள் - 1/4 தேக்கரண்டி,
பச்சை மிளகாய் - 2 நறுக்கியது,
இஞ்சி - 1 துண்டு நறுக்கியது,
மஞ்சள் தூள் - 1/2 தேக்கரண்டி , 
உப்பு ,
கறிவேப்பிலை,
வேகவைத்த சாதம்.</t>
  </si>
  <si>
    <t>First, grate the amla.
Pour sesame oil in a wide pan and when the oil is hot, add the peanuts, ultra seeds, mustard, cumin, and dried chillies and fry.
Next, add the roasted peanuts and mix.
Then add the coriander powder, green chilies, and ginger and fry.
Add turmeric powder, salt, and curry leaves and mix.
Add the grated gooseberry and fry for 3 minutes.
Finally, add the boiled rice and mix.
Delicious gooseberry rice is ready.</t>
  </si>
  <si>
    <t>முதலில் நெல்லிக்காயை துருவி கொள்ளவும்.
அகல கடாயில் நல்லெண்ணெய் ஊற்றி எண்ணெய் சூடானதும் கடலை பருப்பு, உளுத்தம் பருப்பு, கடுகு, சீரகம், காய்ந்த மிளகாய் சேர்த்து வறுக்கவும்.
அடுத்து வறுத்த வேர்க்கடலை சேர்த்து கலந்து விடவும்.
பின்பு பெருங்காயத்தூள், பச்சை மிளகாய், இஞ்சி சேர்த்து வதக்கவும்.
மஞ்சள் தூள், உப்பு, கறிவேப்பிலை சேர்த்து கலந்து விடவும்.
 துருவிய நெல்லிக்காயை சேர்த்து 3 நிமிடம் வதக்கவும்.
 இறுதியாக வேகவைத்த சாதம் சேர்த்து கலந்து விடவும்.
 சுவையான நெல்லிக்காய் சாதம் தயார்.</t>
  </si>
  <si>
    <t>https://www.kamalascorner.com/wp-content/uploads/2011/10/Gooseberry-Rice.jpg</t>
  </si>
  <si>
    <t>https://youtu.be/aAMWJlVbtqo?si=9CgCm80kXl7nTdcE</t>
  </si>
  <si>
    <t>Bakara Rice</t>
  </si>
  <si>
    <t>பகாரா ரைஸ்</t>
  </si>
  <si>
    <t>Basmati rice - 1 cup (250 ml),
Water - 1 1/2 cups,
Oil - 1 tbsp,
Ghee - 1 tbsp,
Pattern - 3 pieces,
Cardamom - 2,
Cloves - 4,
Pineapple blossom,
Marathi koku,
Javitri,
Kalpashi,
Shahi jeera - 1 tsp,
Biryani leaves - 2,
Onion - 1 chopped,
Green chillies - 4 grated,
Ginger garlic paste - 1 tsp,
Tomato - 1 chopped,
Mint - 1 cup chopped,
Coriander leaves - 1 cup chopped,
Salt - 1 tsp.</t>
  </si>
  <si>
    <t>பாஸ்மதி அரிசி - 1 கப் (250 மி.லி),
தண்ணீர் - 1 1/2 கப்,
எண்ணெய் - 1 மேசைக்கரண்டி,
நெய் - 1 மேசைக்கரண்டி,
பட்டை - 3 துண்டு,
ஏலக்காய் - 2,
கிராம்பு - 4,
அன்னாசிப்பூ,
மராத்தி மொக்கு,
ஜாவித்ரி,
கல்பாசி,
ஷாஹி ஜீரா - 1 தேக்கரண்டி,
பிரியாணி இலை - 2,
வெங்காயம் - 1 நறுக்கியது,
பச்சை மிளகாய் - 4 கீறியது,
இஞ்சி பூண்டு விழுது - 1 தேக்கரண்டி ,
தக்காளி - 1 நறுக்கியது,
புதினா - 1 கிண்ணம் நறுக்கியது,
கொத்தமல்லி இலை - 1 கிண்ணம் நறுக்கியது,
உப்பு - 1 தேக்கரண்டி.</t>
  </si>
  <si>
    <t>Pour oil and ghee in a pan and add the cardamom, cloves, pineapple, Marathi moku, javitri, kalpasi, shahi jeera, biryani leaves and mix.
Then add chopped onion and green chillies and fry till golden brown.
Then add ginger garlic paste and fry.
Then add chopped tomatoes and mix.
Then add finely chopped mint and coriander leaves and mix.
Then add salt, soaked rice and mix, add water and mix. When the water starts boiling, cover the pan and cook for 10 minutes on medium heat.
Then add the rice and cook for 5 minutes on medium heat.
Then turn off the stove and keep the pan covered for 5 minutes.
Bakara Rice is ready!</t>
  </si>
  <si>
    <t>பாத்திரத்தில் எண்ணெய் மற்றும் நெய் ஊற்றி அதில் பட்டை, ஏலக்காய், கிராம்பு, அன்னாசிப்பூ, மராத்தி மொக்கு, ஜாவித்ரி, கல்பாசி, ஷாஹி ஜீரா, பிரியாணி இலை சேர்த்து கலந்துவிடவும்.
பின்பு நறுக்கிய வெங்காயம், பச்சை மிளகாய் சேர்த்து பொன்னிறமாக வதக்கவும்.
பிறகு இஞ்சி பூண்டு விழுது சேர்த்து வதக்கவும்.
 பின்பு நறுக்கிய தக்காளி சேர்த்து கலந்துவிடவும்.
 பிறகு பொடியாக நறுக்கிய புதினா, கொத்தமல்லி இலை சேர்த்து கலந்துவிடவும்.
 பின்பு உப்பு, ஊறவைத்த அரிசி சேர்த்து கலந்துவிட்டு, தண்ணீர் சேர்த்து கலந்து விட்டு தண்ணீர் கொதிக்க ஆரம்பித்ததும் பாத்திரத்தை மூடி 10 நிமிடம் மிதமான தீயில் வேகவிடவும்.
 பிறகு அரிசியை கலந்துவிட்டு 5 நிமிடம் மிதமான தீயில் வேகவிடவும்.
 பின்பு அடுப்பை அணைத்து பாத்திரத்தை மூடி 5 நிமிடம் வைக்கவும்.
பகாரா ரைஸ் தயார்!</t>
  </si>
  <si>
    <t>https://images.dinamalar.com/data/large_2024/Tamil_News_lrg_3860862.jpg</t>
  </si>
  <si>
    <t>https://youtu.be/wHOMv0-vmjc?si=Qax-nOwGxXX7lpt7</t>
  </si>
  <si>
    <t>Tamarind Pongal</t>
  </si>
  <si>
    <t>புளி பொங்கல்</t>
  </si>
  <si>
    <t>Green rice - 1 cup,
Mung beans - 3/4 cup,
Water,
Whole fenugreek - 2 tablespoons,
Dried chilies - 2,
Pepper,
Cumin,
Ginger - 1 piece chopped,
Turmeric powder,
Caramel powder,
Tamarind water - 1/4 cup,
Salt,
Ghee,
Mustard,
Curry leaves.</t>
  </si>
  <si>
    <t>பச்சரிசி - 1 கப்,
பாசி பருப்பு - 3/4 கப்,
தண்ணீர்,
முழு தனியா - 2 மேசைக்கரண்டி,
காய்ந்த மிளகாய் - 2,
மிளகு ,
சீரகம்,
இஞ்சி - 1 துண்டு நறுக்கியது,
மஞ்சள் தூள்,
பெருங்காயத்தூள்,
புளி தண்ணீர் - 1/4 கப் ,
உப்பு,
நெய்,
கடுகு,
கறிவேப்பிலை.</t>
  </si>
  <si>
    <t>First, wash and soak both the rice and lentils in water.
To grind the spice powder, add the whole fenugreek, dried chilies, pepper, and cumin in a pan and fry them well.
After cooling, grind them into powder.
In a cooker, add soaked rice dal, water, ginger, turmeric powder, salt, cumin powder, and ghee and mix well and cook on medium heat until 4 whistles.
Next, add tamarind water and water to the boiled rice dal and boil on low heat for 5 minutes.
Then add salt and ground masala powder and mix.
Then add ghee and let it cool.
In a spice spoon, add ghee, mustard seeds, cumin seeds, pepper, cumin powder, and curry leaves and mix and add to the pongal.
In a spice spoon, add ghee and cashew nuts and fry until golden brown and add to the pongal and mix.
Delicious tamarind pongal is ready.</t>
  </si>
  <si>
    <t>முதலில் அரிசி பருப்பு இரண்டையும் தண்ணீர் ஊற்றி நன்கு கழுவி ஊறவைக்கவும்.
மசாலா தூள் அரைக்க முழு தனியா, காய்ந்த மிளகாய், மிளகு, சீரகம் ஆகியவற்றை ஒரு கடாயில் சேர்த்து வறுத்து நன்கு ஆறவிடவும்.
 ஆறிய பிறகு தூளாக அரைத்து கொள்ளவும்.
குக்கரில் ஊறவைத்த அரிசி பருப்பு, தண்ணீர், இஞ்சி, மஞ்சள் தூள், உப்பு, பெருங்காயத்தூள், நெய் சேர்த்து நன்கு கலந்து விட்டு மிதமான தீயில் 4 விசில் வரும் வரை  வேகவிடவும்.
 அடுத்து வேகவைத்த அரிசி பருப்புடன் புளி தண்ணீர் மற்றும் தண்ணீர் சேர்த்து 5 நிமிடம் குறைந்த தீயில் கொதிக்கவிடவும்.
பிறகு உப்பு, அரைத்த மசாலா தூள் சேர்த்து கலந்து விடவும்.
 பின்பு நெய் சேர்த்து இறக்கி வைக்கவும்.
தாளிப்பு கரண்டியில் நெய், கடுகு, சீரகம், மிளகு, பெருங்காயத்தூள், கறிவேப்பிலை சேர்த்து கலந்து விட்டு பொங்கலில் சேர்க்கவும்.
 தாளிப்பு கரண்டியில் நெய் மற்றும் முந்திரி பருப்பு சேர்த்து பொன்னிறமாக வறுத்து பொங்கலுடன் சேர்த்து கலந்து விடவும்.
 சுவையான புளி பொங்கல் தயார்.</t>
  </si>
  <si>
    <t>https://i.ytimg.com/vi/GOznH-m6z1s/maxresdefault.jpg</t>
  </si>
  <si>
    <t>https://youtu.be/h8dCrTO12Rg?si=Es7OOcZUpi_f-oYg</t>
  </si>
  <si>
    <t>Fenugreek Buttermilk Soup</t>
  </si>
  <si>
    <t xml:space="preserve">
வெண்டைக்காய் மோர் குழம்பு</t>
  </si>
  <si>
    <t>Fenugreek - 200 grams,
Oil - 1 1/2 tablespoons,
Onion - 1,
Kashmiri chili powder - 2 teaspoons,
Crushed ginger &amp; garlic - 1 teaspoon,
Coriander powder - 1 teaspoon,
Garlic powder - 1/2 teaspoon,
Cumin powder - 1 teaspoon,
Peanut flour - 1 tablespoon,
Cumin - 1 teaspoon,
Coriander leaves,
Dried red chilies - 2,
Yogurt - 200 grams,
Kasoori methi,
Oil - 1 tablespoon,
Salt - 1 teaspoon.</t>
  </si>
  <si>
    <t>வெண்டைக்காய்  - 200 கிராம்,
எண்ணெய் - 1 1/2 மேசைக்கரண்டி,
வெங்காயம் - 1 ,
கஷ்மீரி மிளகாய் தூள்  - 2 தேக்கரண்டி,
நசுக்கிய இஞ்சி &amp; பூண்டு - 1 தேக்கரண்டி ,
மல்லி தூள் - 1 தேக்கரண்டி,
கரம் மசாலா - 1/2 தேக்கரண்டி,
சீரகம் தூள் - 1 தேக்கரண்டி,
கடலை மாவு - 1 மேசைக்கரண்டி, 
சீரகம் - 1 தேக்கரண்டி,
கொத்துமல்லி தழை,
காய்ந்த  சிவப்பு மிளகாய் - 2 ,
தயிர் - 200 கிராம்,
கசூரி மேத்தி,
எண்ணெய் - 1 மேசைக்கரண்டி ,
உப்பு - 1 தேக்கரண்டி.</t>
  </si>
  <si>
    <t>To make the mung bean curd gravy, chop the mung bean into small pieces.
Heat the oil in a pan and add the chopped mung bean and fry until it changes color.
Next, add the cumin seeds, dried red chilies, garam masala powder, curry leaves, and finely chopped onion in it and fry until golden brown.
Once the onion turns golden brown, add the ginger garlic paste, turmeric powder, Kashmiri chili powder, coriander powder, cumin seeds, salt, kasuri methi, and gram flour and mix well.
Add the beaten curd and water to this mixture and boil it for five minutes.
Add the fried mung bean and garam masala powder, mix well and cook it for five minutes.
Finally, add the coriander seeds and serve the mung bean curd gravy.</t>
  </si>
  <si>
    <t>வெண்டைக்காய் மோர் குழம்பு செய்ய வெண்டைக்காயை சற்று நீளமாக நறுக்கிக்கொள்ளவும் 
ஒரு கடாயில் எண்ணெய் ஊற்றி சூடேற்றிய பின்பு நறுக்கிய வெண்டைக்காயை சேர்த்து நிறம் மாறும் வரை வதக்கவும் 
 அடுத்து ஒரு கடாயில் எண்ணெய் ஊற்றி இதில் சீரகம், காய்ந்த சிவப்பு மிளகாய், பெருங்காயத்தூள், கறிவேப்பிலை, பொடியாக நறுக்கிய வெங்காயம் சேர்த்து பொன்னிறமாகும் வரை வதக்கவும் 
வெங்காயம் பொன்னிறமானவுடன் இதில் இஞ்சி பூண்டு விழுது, மஞ்சள் தூள், கஷ்மீரி மிளகாய் தூள்,  மல்லித்தூள், சீரகத்தூள், உப்பு, கசூரி மேத்தி மற்றும் கடலை மாவு சேர்த்து நன்கு கலக்கவும் 
 இந்த கலவையில் கடைந்த தயிர் மற்றும் தண்ணீர் சேர்த்து ஐந்து நிமிடம் கொதிக்கவிடவும் 
 இதில் வறுத்த வெண்டைக்காய், கரம் மசாலா தூள் சேர்த்து நன்கு கலந்து கடாயை மூடி ஐந்து நிமிடம் கொதிக்கவிடவும் 
 இறுதியாக  கொத்தமல்லி சேர்த்து வெண்டைக்காய் மோர் குழம்பை பரிமாறவும்.</t>
  </si>
  <si>
    <t>https://wd-image.webdunia.com/image-conversion/process-aws.php?url=https://nonprod-media.webdunia.com/public_html/_media/ta/img/article/2022-05/04/full/1651671462-2064.jpg&amp;w=&amp;h=&amp;outtype=webp</t>
  </si>
  <si>
    <t>https://youtu.be/v-RWS-rewRI?si=AGu82CGCcSwvq3T5</t>
  </si>
  <si>
    <t>Basmati rice - 1 cup (250 ml),
Biryani leaf - 1,
Baking powder - 1,
Cloves - 2,
Cardamom - 2,
Pineapple blossom - 1,
Salt - 1/4 tsp,
Lemon juice - 1/2 fruit,
Water,
Ghee - 4 tsp,
Carrot - 3 grated,
Anise - 1/4 tsp,
Cumin - 1/4 tsp,
Large onion - 2 chopped,
Green chili - 2 chopped,
Cashew nuts,
Ginger garlic paste - grated,
Yellow potato - 1 piece,
Salt - 1/4 tsp,
Cumin powder - 1/4 tsp,
Garlic powder - 1/4 tsp,
Garlic powder - 1/4 tsp,
Garlic powder - 1/2 tsp,
Coriander leaves.</t>
  </si>
  <si>
    <t>பாஸ்மதி அரிசி - 1 கப் (250 ml),
பிரியாணி இலை - 1,
பட்டை - 1,
கிராம்பு - 2,
ஏலக்காய் - 2,
அன்னாசி பூ - 1,
உப்பு - 1/4 தேக்கரண்டி,
எலுமிச்சை பழச்சாறு - 1/2 பழம் ,
தண்ணீர் ,
நெய் - 4 தேக்கரண்டி,
கேரட் - 3 துருவியது,
சோம்பு - 1/4 தேக்கரண்டி,
சீரகம் - 1/4 தேக்கரண்டி,
பெரிய வெங்காயம் - 2 நறுக்கியது,
பச்சை மிளகாய் - 2 நறுக்கியது,
முந்திரி பருப்பு,
இஞ்சி பூண்டு விழுது - தட்டியது,
மஞ்சள் கிழங்கு - 1 துண்டு,
உப்பு - 1/4 தேக்கரண்டி,
சீரக தூள் - 1/4 தேக்கரண்டி,
கரம் மசாலா தூள் - 1/4 தேக்கரண்டி,
மிளகாய் தூள் - 1/2 தேக்கரண்டி,
கொத்தமல்லி இலை.</t>
  </si>
  <si>
    <t>Pour the required amount of water in a vessel, bring to a boil, add washed basmati rice, dal, cloves, cardamom, biryani leaves, pineapple blossoms and salt and cook.
After the rice is half cooked, squeeze lemon juice into it and mix.
After the rice is fully cooked, strain it and set aside.
Pour ghee in a pan, add anise, cumin and onion and sauté.
Next, add green chillies, cashew nuts and grated ginger garlic paste and sauté.
After the ginger garlic paste is sautéed, peel and grate the turmeric.
Next, add grated carrot and stir.
After the carrot is half cooked, add salt, cumin powder, garam masala and chilli powder and stir.
Cover the pan and cook on medium heat for ten minutes.
Add coriander leaves and cooked rice and stir.
Finally, add a little ghee and stir until combined.
Carrot rice is ready.</t>
  </si>
  <si>
    <t>ஒரு பாத்திரத்தில் தேவையான அளவு தண்ணீர் ஊற்றி, கொதிக்க விட்டு, அதில் கழுவிய பாஸ்மதி அரிசி, பட்டை, கிராம்பு, ஏலக்காய், பிரியாணி இலை, அன்னாசிப் பூ மற்றும் உப்பு சேர்த்து வேக வைக்கவும்.
சாதம் பாதி வெந்த பின் அதில் எலுமிச்சை சாறு பிழிந்து கலக்கவும்.
சாதம் முழுமையாக வெந்த பின் இதை வடிகட்டி எடுத்து வைக்கவும்.
 ஒரு கடாயில் கடாயில் நெய் ஊற்றி, அதில் சோம்பு, சீரகம் மற்றும் வெங்காயம் சேர்த்து போட்டு வதக்கவும்.
 அடுத்து இதில் பச்சை மிளகாய், முந்திரி பருப்பு மற்றும் தட்டிய இஞ்சி பூண்டு விழுது சேர்த்து வதக்கவும்.
 இஞ்சி பூண்டு விழுது வதங்கியபின் இதில் மஞ்சள் கிழங்கை தோல் நீக்கி, துருவி சேர்க்கவும்.
 அடுத்து இதில் துருவிய கேரட்டை சேர்த்து கிளறவும்.
 கேரட் பாதி வதங்கிய பின் அதில் உப்பு, சீரகத்தூள், கரம் மசாலா மற்றும் மிளகாய் தூள் சேர்த்து கிளறவும்.
கடாயை மூடி பத்து நிமிடங்களுக்கு மிதமான சூட்டில் வேகவைக்கவும்.
இதில் கொத்தமல்லி இலை மற்றும் வேக வைத்த சாதம் போட்டு கிளறவும்.
 இறுதியாக  சிறிதளவு நெய் ஊற்றி கிளறி இறக்கவும்.
கேரட் சாதம் தயார்.</t>
  </si>
  <si>
    <t>https://encrypted-tbn0.gstatic.com/images?q=tbn:ANd9GcRoFEGyDt8d2oncaj9bqZS1ZNog96T4Bnbxdg&amp;s</t>
  </si>
  <si>
    <t>https://youtu.be/PVnPk3y65MY?si=dSPLa-YmRBcIn20O</t>
  </si>
  <si>
    <t>Gram Flour Paratha</t>
  </si>
  <si>
    <t>கடலை மாவு பராத்தா</t>
  </si>
  <si>
    <t>Wheat flour - 3 cups,
Salt - 1 teaspoon,
Omam - 1 teaspoon,
Black cumin - 1 teaspoon,
Water,
Roasted gram flour - 1 1/2 cups,
Onion - 2 chopped,
Ginger - 3 teaspoons chopped,
Garlic - 3 teaspoons chopped,
Green chillies - 5 chopped,
Salt - 1 teaspoon,
Black cumin,Omam - 1 teaspoon,
Mango pickle - 2 teaspoons,
Mustard oil - 3 teaspoons,
Coriander leaves chopped,
Lemon juice - juice of 1/2 fruit.</t>
  </si>
  <si>
    <t>கோதுமை மாவு - 3 கப்,
உப்பு - 1 தேக்கரண்டி,
ஓமம் - 1 தேக்கரண்டி,
கருஞ்சீரகம் - 1 தேக்கரண்டி,
தண்ணீர்,
வறுத்த கடலை மாவு - 1 1/2 கப்,
வெங்காயம் - 2 நறுக்கியது,
இஞ்சி - 3 தேக்கரண்டி நறுக்கியது,
பூண்டு - 3 தேக்கரண்டி நறுக்கியது,
பச்சை மிளகாய் - 5 நறுக்கியது,
உப்பு - 1 தேக்கரண்டி,
கருங்சீரகம்,
ஓமம் - 1 தேக்கரண்டி,
மாங்காய் ஊறுகாய் - 2 தேக்கரண்டி,
கடுகு எண்ணெய் - 3 தேக்கரண்டி,
கொத்தமல்லி இலை நறுக்கியது,
எலுமிச்சைபழச்சாறு - 1/2 பழத்தின் சாறு.</t>
  </si>
  <si>
    <t>Add gram flour and wheat flour in a large bowl.
Add onion, green chili, ginger garlic paste, curry leaves, coriander, turmeric powder, chili powder, cumin seeds and salt to it.
After mixing all the ingredients well, add water little by little and knead well.
Knead it into a slightly sticky dough until it is soft.
Knead it well for 10-15 minutes and cover it and let it soak for 10 minutes.
Take equal sized balls of the dough, sprinkle some maida and spread it like chapati.
Put a pan on the stove and when it is dry, put the paratha in it and pour oil on both sides and cook it without sticking.
Take it out when both sides are well cooked.</t>
  </si>
  <si>
    <t>ஒரு பெரிய பாத்திரத்தில் கடலை மாவும், கோதுமை மாவும் சேர்க்கவும்.
அதில் வெங்காயம், பச்சை மிளகாய், இஞ்சி பூண்டு விழுது, கறிவேப்பிலை, கொத்தமல்லி, மஞ்சள் தூள், மிளகாய் தூள், சீரகம் மற்றும் உப்பும் சேர்க்கவும்.
எல்லா பொருட்களும் நன்கு கலந்த பிறகு சிறிது சிறிதாக நீர் சேர்த்து நன்கு பிசையவும்.
மென்மையாக இருக்கும்படி சற்று ஒட்டக்கூடிய மாவாக பிசையவும்.
10-15 நிமிடம் நன்றாக பிசைந்து மூடி வைத்து 10 நிமிடம் ஊறவைக்கவும்.
மாவை சம அளவாக உருண்டையாக பிந்து எடுத்து, சற்று மைதா தூவி சப்பாத்தி போல் பரப்பவும்.
அடுப்பில் வாணலி வைத்துக் காய்ந்தவுடன் பராத்தாவை போட்டு இரண்டு பக்கமும் எண்ணெய் ஊற்றி சாம்பல் பிடிக்காமல் சுடவும்.
இரண்டு பக்கமும் நன்கு வெந்து வரும்போது எடுக்கவும்.</t>
  </si>
  <si>
    <t>https://i.ytimg.com/vi/ydfVz3QwfYE/hq720.jpg?sqp=-oaymwEhCK4FEIIDSFryq4qpAxMIARUAAAAAGAElAADIQj0AgKJD&amp;rs=AOn4CLDuco4IIwYZ4VHtTjdGBTkXOKS8_A</t>
  </si>
  <si>
    <t>https://youtu.be/o3kKjAyd_EU?si=EW7ke3YWEhSaDPmf</t>
  </si>
  <si>
    <t>Radish Sambar</t>
  </si>
  <si>
    <t xml:space="preserve">
முள்ளங்கி சாம்பார்</t>
  </si>
  <si>
    <t>Radish - 2 chopped,
Turmeric dal - 1/2 cup,
Tomato chopped,
Garlic cloves,
Turmeric powder,
Salt,
Oil - 1 1/2 tbsp,
Ultimate dal - 1 tsp,
Cumin seeds - 1 tsp,
Mustard - 1/2 tsp,
Dried chillies - 2,
Caramel powder - 1/4 tsp,
Onion - 1 chopped,
Curry leaves,
Green chillies - 3 chopped,
Gallop - 1 tsp,
Chilli powder - 1 tsp,
Dhaniya powder - 1 tsp,
Tamarind paste - 1/4 cup,
Salt - 1 tsp,
Coriander leaves,
Grated coconut.</t>
  </si>
  <si>
    <t>முள்ளங்கி - 2 நறுக்கியது ,
துவரம் பருப்பு - 1/2 கப்,
தக்காளி நறுக்கியது,
பூண்டு பற்கள்,
மஞ்சள் தூள்,
உப்பு,
எண்ணெய் - 1 1/2 மேசைக்கரண்டி,
உளுத்தம் பருப்பு - 1 தேக்கரண்டி,
சீரகம் - 1 தேக்கரண்டி,
கடுகு - 1/2 தேக்கரண்டி,
காய்ந்த மிளகாய் - 2,
பெருங்காயத்தூள் - 1/4 தேக்கரண்டி,
வெங்காயம் - 1 நறுக்கியது,
கறிவேப்பிலை,
பச்சை மிளகாய் - 3 நறுக்கியது,
கல்லுப்பு - 1 தேக்கரண்டி,
மிளகாய் தூள் - 1 தேக்கரண்டி,
தனியா தூள் - 1 தேக்கரண்டி ,
புளி கரைசல் - 1/4 கப்,
உப்பு - 1 தேக்கரண்டி,
கொத்தமல்லி இலை,
துருவிய தேங்காய்.</t>
  </si>
  <si>
    <t>In a cooker, add the dal, garlic, tomatoes, turmeric powder, salt and water and cook for 5 whistles.
Pour oil in a pan and add urad dal, cumin seeds, mustard seeds, dried chillies and coriander powder and mix.
Add chopped onion and fry.
Then add curry leaves and chopped radish and mix.
Then add salt, chilli powder and fenugreek powder and mix.
Then add required amount of water and cook on medium flame for 10 minutes.
Then add tamarind paste and water.
Then add the boiled dal and mix and cook on medium flame for 10 minutes.
Finally add chopped coriander leaves and coconut and mix.
Radish sambar is ready!</t>
  </si>
  <si>
    <t>குக்கரில் துவரம் பருப்பு, பூண்டு, தக்காளி, மஞ்சள் தூள், உப்பு மற்றும் தண்ணீர் சேர்த்து கலந்து மூடி 5 விசில் வரும் வரை வேகவிடவும்.
 கடாயில் எண்ணெய் ஊற்றி அதில் உளுத்தம் பருப்பு, சீரகம், கடுகு, காய்ந்த மிளகாய், பெருங்காயத்தூள் சேர்த்து கலந்துவிடவும்.
 நறுக்கிய வெங்காயம் சேர்த்து வதக்கவும்.
 பின்பு கறிவேப்பிலை, நறுக்கிய முள்ளங்கி சேர்த்து கலந்துவிடவும்.
 பிறகு உப்பு, மிளகாய் தூள், தனியா தூள் சேர்த்து கலந்துவிடவும்.
பின்பு தேவையான அளவு தண்ணீர் ஊற்றி மிதமான தீயில் 10 நிமிடம் வேகவிடவும்.
பிறகு புளி கரைசல் மற்றும் தண்ணீர் ஊற்றவும்.
 பின்பு வேகவைத்த பருப்பை சேர்த்து கலந்து மிதமான தீயில் 10 நிமிடம் வேகவிடவும்
 கடைசியாக நறுக்கிய கொத்தமல்லி இலை, தேங்காய் சேர்த்து கலந்து இறக்கவும்.
முள்ளங்கி சாம்பார் தயார்!</t>
  </si>
  <si>
    <t>https://encrypted-tbn0.gstatic.com/images?q=tbn:ANd9GcTX90PM0hvSMtzRHeBzMlddMlwep0XleHcMlQ&amp;s</t>
  </si>
  <si>
    <t>https://youtu.be/PAfzQk5lkKc?si=sPJMU6vXHBKo7YGS</t>
  </si>
  <si>
    <t>Fenugreek Spinach Dal Mix</t>
  </si>
  <si>
    <t>வெந்தய கீரை பருப்பு கூட்டு</t>
  </si>
  <si>
    <t>Turam Dal - 1/2 cup,
Peanuts - 2 tbsp,
Masa Dal - 2 tbsp,
Turmeric Powder - 1/2 tsp,
Salt - 1 tsp,
Water,
Fenugreek Spinach - 1 bunch,
Ghee - 1 tbsp,
Cumin - 1 tsp,
Bacon Powder - 1/4 tsp,
Ginger,
Garlic,
Green Chilli - 1,
Onion - 1,
Kashmiri Chilli Powder - 2 tsp,
Cumin Powder - 1 tsp,
Tomato - 1,
Garlic Powder - 1 tsp,
Coriander Leaves,
Water,
Ghee - 2 tbsp,
Cumin - 1/2 tsp,
Red Chilli - 2,
Red Chilli powder - 1/4 tsp,
Coriander leaves.</t>
  </si>
  <si>
    <t>துவரம் பருப்பு - 1/2 கப்,
கடலை பருப்பு- 2 மேசைக்கரண்டி,
பாசி பருப்பு - 2 மேசைக்கரண்டி,
மஞ்சள் தூள் - 1/2 தேக்கரண்டி,
உப்பு - 1 தேக்கரண்டி,
தண்ணீர்,
வெந்தய கீரை - 1 கொத்து,
நெய் - 1 மேசைக்கரண்டி,
சீரகம் - 1 தேக்கரண்டி,
பெருங்காய தூள் - 1/4 தேக்கரண்டி,
இஞ்சி,
பூண்டு,
பச்சை மிளகாய் - 1,
வெங்காயம் - 1,
காஷ்மீரி மிளகாய் தூள் - 2 தேக்கரண்டி,
சீரக தூள் - 1 தேக்கரண்டி,
தக்காளி - 1,
கரம் மசாலா தூள் - 1 தேக்கரண்டி,
கொத்துமல்லி இலை,
தண்ணீர்,
நெய் - 2 மேசைக்கரண்டி,
சீரகம் - 1/2 தேக்கரண்டி ,
சிவப்பு மிளகாய் - 2 ,
சிவப்பு மிளகாய் தூள் - 1/4 தேக்கரண்டி ,
கொத்துமல்லி இலை.</t>
  </si>
  <si>
    <t>Take dal, gram dal and lentil in a large bowl.
Wash the dal and soak it in water for 30 minutes.
Transfer the soaked dal to a pressure cooker and add turmeric powder and salt. Add water and pressure cook on medium flame till 4-5 whistles.
Take a wide pan and add ghee. Add cumin and garam masala powder.
Add chopped garlic, ginger and green chillies. Saute for a few seconds. Add chopped onion and saute for 3 minutes.
Add chilli powder and cumin powder. Mix well.
Add tomato and salt and mix well.
Add finely chopped methi leaves and mix well and add water. Cook for 5 minutes.
Add cooked dal and water. Cover and cook on medium flame for 10 minutes.
Finally add garam masala powder. Mix well. Add coriander leaves and keep the pan aside.
For the tatka, take ghee in a pan.
Add cumin seeds, red chillies, red chilli powder and coriander leaves. Saute.
Once done, transfer the dal to the dal and mix well.
The fenugreek dal is ready to serve.</t>
  </si>
  <si>
    <t>அகன்ற கடாயை எடுத்து நெய் சேர்க்கவும். சீரகம் மற்றும் பெருங்காய தூள் சேர்க்கவும்.
நறுக்கிய பூண்டு, இஞ்சி மற்றும் பச்சை மிளகாய் சேர்க்கவும். சில நொடிகள் வதக்கவும். நறுக்கிய வெங்காயம் சேர்த்து 3 நிமிடம் வதக்கவும்.
மிளகாய் தூள் மற்றும் சீரக தூள் சேர்க்கவும். நன்றாக கலக்கவும்.
தக்காளி, உப்பு சேர்த்து நன்கு கலக்கவும்.
பொடியாக நறுக்கிய மேத்தி இலைகளை சேர்த்து கலந்து தண்ணீர் சேர்க்கவும். 5 நிமிடங்கள் சமைக்கவும்.
 சமைத்த பருப்பு, தண்ணீர் சேர்க்கவும். மிதமான தீயில் 10 நிமிடம் மூடி வைத்து சமைக்கவும்.
 கடைசியாக கரம் மசாலா தூள் சேர்க்கவும். நன்றாக கலக்கவும். கொத்தமல்லி  இலை சேர்த்து கலந்து கடாயை தனியாக வைக்கவும்.
தட்காவிற்கு, ஒரு பாத்திரத்தில் நெய் எடுக்கவும்.
சீரகம், சிவப்பு மிளகாய், சிவப்பு மிளகாய் தூள் மற்றும் கொத்தமல்லி இலைகளை சேர்க்கவும். வதக்கவும்.
 முடிந்ததும், தாளிப்பை பருப்புக்கு மாற்றி நன்றாக கலக்கவும்.
வெந்தய கீரை பருப்பு பரிமாற தயாராக உள்ளது.</t>
  </si>
  <si>
    <t>https://img-global.cpcdn.com/recipes/e0a74944d4a0d517/680x482cq70/palak-methi-dal-recipe-main-photo.jpg</t>
  </si>
  <si>
    <t>https://youtu.be/-DQ9r_0Qw4A?si=g6yg8HZHrZ4nSF8j</t>
  </si>
  <si>
    <t>Sesame Rice</t>
  </si>
  <si>
    <t xml:space="preserve">
எள்ளு சாதம் </t>
  </si>
  <si>
    <t>Peanuts - 2 tablespoons,
Ultra seeds - 2 tablespoons,
Cumin seeds - 1 tablespoon,
Chillies - 8,
Pepper - 1 teaspoon,
Tamarind,
Grated coconut - 1 tablespoon,
Sesame seeds - 3 tablespoons,
Rock salt - 1 teaspoon,
Caramel powder - 1/4 teaspoon,
Oil - 3 tablespoons,
Peanuts - 1 teaspoon,
Ultra seeds - 1 teaspoon,
Peanuts - 1 tablespoon,
Cashew nuts,
Mustard - 1/2 teaspoon,
Chillies - 2,
Curry leaves,
Boiled rice,
Sesame seeds powder - 3 teaspoons,
Salt - 1/4 Spoon,
Ghee - 1 spoon.</t>
  </si>
  <si>
    <t>கடலை பருப்பு - 2 மேசைக்கரண்டி,
உளுத்தம் பருப்பு - 2 மேசைக்கரண்டி,
சீரகம் - 1 மேசைக்கரண்டி,
காய்ந்தமிளகாய் - 8,
மிளகு - 1 தேக்கரண்டி ,
புளி,
கொப்பரை தேங்காய் - 1 மேசைக்கரண்டி,
எள்ளு - 3 மேசைக்கரண்டி,
கல் உப்பு - 1 தேக்கரண்டி,
பெருங்காயத்தூள் - 1/4 தேக்கரண்டி,
எண்ணெய் - 3 தேக்கரண்டி,
கடலை பருப்பு - 1 தேக்கரண்டி,
உளுத்தம் பருப்பு - 1 தேக்கரண்டி,
வேர்க்கடலை - 1 மேசைக்கரண்டி,
முந்திரி பருப்பு,
கடுகு - 1/2 தேக்கரண்டி,
காய்ந்தமிளகாய் - 2,
கறிவேப்பிலை,
வேகவைத்த சாதம் ,
எள்ளு பொடி - 3 தேக்கரண்டி,
உப்பு - 1/4 தேக்கரண்டி,
நெய் - 1 தேக்கரண்டி.</t>
  </si>
  <si>
    <t>In a pan, add the groundnuts, urad dal and fry for 2 minutes.
Then add cumin seeds, dry chilies and fry.
Add pepper and tamarind and fry for 2 minutes. Then add the copra and coconut and fry.
Then add sesame seeds and fry until golden brown.
Then add rock salt and turmeric powder and mix.
Cool well and grind into powder.
Next, pour oil in a pan and add groundnuts, urad dal, peanuts, cashew nuts and fry.
Then add mustard seeds, dry chilies and curry leaves and fry.
Then add the boiled rice and mix.
Then add sesame powder and mix and finally add ghee and mix.
Sesame rice is ready.</t>
  </si>
  <si>
    <t>கடாயில் கடலை பருப்பு, உளுத்தம் பருப்பு சேர்த்து 2 நிமிடம் வறுக்கவும்.
பின்பு சீரகம், காய்ந்த மிளகாய் சேர்த்து வறுக்கவும்.
 மிளகு, புளி சேர்த்து 2 நிமிடம் வறுக்கவும். பின்பு கொப்பரை தேங்காய் சேர்த்து வறுக்கவும்.
 பின்பு எள்ளு சேர்த்து பொன்னிறமாக வறுக்கவும்.
பிறகு கல் உப்பு, பெருங்காயத்தூள் சேர்த்து கலந்து விடவும்.
நன்கு ஆறவிட்டு பொடியாக அரைக்கவும்.
அடுத்து கடாயில் எண்ணெய் ஊற்றி அதில் கடலை பருப்பு, உளுத்தம் பருப்பு, வேர்க்கடலை, முந்திரி பருப்பு சேர்த்து வறுக்கவும்.
 பின்பு கடுகு காய்ந்த மிளகாய், கறிவேப்பிலை சேர்த்து வறுக்கவும்.
பிறகு வேகவைத்த சாதத்தை சேர்த்து கலந்துவிடவும்.
பின்பு எள்ளு பொடி சேர்த்து கலந்து கடைசியாக நெய் சேர்த்து கலந்து இறக்கவும்.
 எள்ளு சாதம் தயார்.</t>
  </si>
  <si>
    <t>https://images.onlymyhealth.com/only-my-health-tamil/images/2025/02/09/article/image/Ellu-Sadam-1739095927697.jpg</t>
  </si>
  <si>
    <t>https://youtu.be/k8klyD9PZAo?si=o59xGQBGORsLs7Na</t>
  </si>
  <si>
    <t>Mushroom Herb Rice</t>
  </si>
  <si>
    <t>மஸ்ரூம் ஹெர்ப் ரைஸ்</t>
  </si>
  <si>
    <t>Mushrooms - 800 grams,
Basmati rice - 1 1/2 cups,
Butter - 1/4 cup,
Garlic - 2 tablespoons chopped,
Onions - 2 chopped,
Salt - 1 teaspoon,
Pepper powder - 1 teaspoon,
Chili flakes - 2 tablespoons,
Italian seasoning - 3 tablespoons,
Vegetable broth - 3 cups,
Coriander leaves.</t>
  </si>
  <si>
    <t>மஸ்ரூம் - 800 கிராம்,
பாஸ்மதி அரிசி - 1 1/2 கப்,
வெண்ணெய் - 1/4 கப்,
பூண்டு - 2 மேசைக்கரண்டி நறுக்கியது,
வெங்காயம் - 2 நறுக்கியது ,
உப்பு - 1 தேக்கரண்டி ,
மிளகு தூள் - 1 தேக்கரண்டி,
சில்லி பிளேக்ஸ் - 2 தேக்கரண்டி,
இட்டாலியன் சீசனிங் - 3 தேக்கரண்டி,
வெஜிடபிள் ப்ராத் - 3 கப்,
கொத்தமல்லி இலை.</t>
  </si>
  <si>
    <t>Pour butter into a pan and add chopped mushrooms, salt, and pepper powder and sauté.
Next, add butter to another pan and add chopped garlic and onion and sauté for 2 minutes.
Then add chopped mushrooms and mix.
Then add salt, pepper powder, chili flakes, and Italian seasoning and mix.
Then add the basmati rice soaked for 30 minutes and mix.
Then add the vegetable broth and mix, cover the pot and cook for 15 minutes and then turn off the heat.
Finally, add the chopped coriander leaves and mix, cover and let it cook for 5 minutes.
Before serving, add the sautéed mushrooms and chopped coriander leaves and serve.
Mushroom Herb Rice is ready.</t>
  </si>
  <si>
    <t xml:space="preserve">கடாயில் வெண்ணெய் ஊற்றி அதில் நறுக்கிய மஸ்ரூம், உப்பு, மிளகு தூள் சேர்த்து வதக்கவும்.
 அடுத்து மற்றோரு பாத்திரத்தில் வெண்ணெய் சேர்த்து அதில் நறுக்கிய பூண்டு, வெங்காயம் சேர்த்து 2 நிமிடம் வதக்கவும்.
 பின்பு நறுக்கிய மஸ்ரூம் சேர்த்து கலந்துவிடவும்.
 பிறகு உப்பு, மிளகு தூள், சில்லி பிளேக்ஸ், இட்டாலியன் சீசனிங் சேர்த்து கலந்துவிடவும்.
 பின்பு 30 நிமிடம் ஊறவைத்த பாஸ்மதி அரிசியை சேர்த்து கலந்துவிடவும்.
பிறகு வெஜிடபிள் ப்ராத் சேர்த்து கலந்து பாத்திரத்தை மூடி 15 நிமிடம் வேகவிட்டு இறக்கவும்.
 கடைசியாக நறுக்கிய கொத்தமல்லி இலை சேர்த்து கலந்து 5 நிமிடம் மூடி வைக்கவும்.
பரிமாறும் முன் வதக்கிய மஸ்ரூம் மற்றும் நறுக்கிய கொத்தமல்லி இலை சேர்த்து பரிமாறவும்.
மஸ்ரூம் ஹெர்ப் ரைஸ் தயார். </t>
  </si>
  <si>
    <t>https://encrypted-tbn0.gstatic.com/images?q=tbn:ANd9GcTb4gptPMRLv0gd1smkqk8mXWiDh72TD_h82w&amp;s</t>
  </si>
  <si>
    <t>https://youtu.be/gTgKLVdD0Ng?si=aWQJfp2TfyM1QtzP</t>
  </si>
  <si>
    <t>Andhra Style Egg Rice</t>
  </si>
  <si>
    <t xml:space="preserve">
ஆந்திர ஸ்டைல் முட்டை சாதம்</t>
  </si>
  <si>
    <t>Pepper - 2 tsp,
Cumin - 1 tsp,
Anis - 1 tsp,
Baking powder,
Cloves - 3,
Cardamom - 1 ,
Basmati rice - 1 cup (boiled),
Eggs - 7,
Oil - 4 tbsp,
Garlic - 1 tbsp,
Green chillies - 2,
Onion - 1,
Curry leaves,
Tomatoes - 2,
Salt - 1 tsp,
Turmeric powder - 1/2 tsp,
Chili powder - 2 tsp,
Ground spices powder,
Onion leaves.</t>
  </si>
  <si>
    <t xml:space="preserve">மிளகு - 2 தேக்கரண்டி,
சீரகம் - 1 தேக்கரண்டி,
சோம்பு - 1 தேக்கரண்டி,
பட்டை ,
கிராம்பு - 3,
ஏலக்காய் - 1 ,
பாஸ்மதி அரிசி - 1 கப் (வேகவைத்தது),                       
முட்டை - 7,
எண்ணெய் - 4 மேசைக்கரண்டி,
பூண்டு - 1 மேசைக்கரண்டி,
பச்சை மிளகாய் - 2,
வெங்காயம் - 1,
கறிவேப்பிலை,
தக்காளி - 2,
உப்பு -1 தேக்கரண்டி,
மஞ்சள் தூள் - 1/2 தேக்கரண்டி,
மிளகாய் தூள் - 2 தேக்கரண்டி,
அரைத்த மசாலா தூள்,
வெங்காயத்தாள்.
</t>
  </si>
  <si>
    <t>In a pan, add pepper, cumin, anise, bark, cloves, cardamom and grind them well.
Then pour oil in a pan and add chopped garlic and green chillies and fry.
Then add finely chopped onion and fry until golden brown.
Then add curry leaves and fry.
Add finely chopped tomato and fry for 2 minutes.
Then add salt, turmeric powder, and chili powder and mix.
Add a little ground masala powder and mix.
Then move the masala to one side of the pan, then pour oil and break the egg into it.
Add salt, pepper powder, and chili powder and cook on medium heat for 1 minute.
Then mix gently and cook for 2 minutes.
Then add the ground masala powder and mix.
Finally, add boiled basmati rice and onion leaves and mix well.
Andhra style egg rice is ready!</t>
  </si>
  <si>
    <t xml:space="preserve"> கடாயில் மிளகு, சீரகம், சோம்பு, பட்டை, கிராம்பு ஏலக்காய் சேர்த்து வறுத்து நன்கு பொடியாக அரைக்கவும்.
பின்பு கடாயில் எண்ணெய் ஊற்றி அதில் பொடியாக நறுக்கிய பூண்டு, பச்சை மிளகாய் சேர்த்து வதக்கவும்.
 பிறகு மெல்லிசாக நறுக்கிய வெங்காயம் சேர்த்து பொன்னிறமாக வதக்கவும்.
 பின்பு கறிவேப்பிலை சேர்த்து வதக்கவும்.
 பொடியாக நறுக்கிய தக்காளி சேர்த்து 2 நிமிடம் வதக்கவும்.
பிறகு உப்பு, மஞ்சள் தூள், மிளகாய் தூள் சேர்த்து கலந்துவிடவும்.
 அரைத்த மசாலாத்தூளை சிறிதளவு சேர்த்து கலந்துவிடவும்.
பின்பு மசாலாவை கடாயில் ஒரு பக்கமாக நகர்த்தி, பிறகு எண்ணெய் ஊற்றி அதில் முட்டையை உடைத்து ஊற்றவும்.
 உப்பு,மிளகு தூள் மற்றும் மிளகாய் தூள் சேர்த்து கடாயை மூடி மிதமான தீயில் 1 நிமிடம் வேகவிடவும்.
பின்பு மெதுவாக கலந்துவிட்டு கடாயை மூடி 2 நிமிடம் வேகவிடவும்.
 பிறகு அரைத்த மசாலா தூளை சேர்த்து கலந்துவிடவும்.
 கடைசியாக வேகவைத்த பாஸ்மதி அரிசி மற்றும் வெங்காயத்தாள் சேர்த்து கலந்து இறக்கவும்.
ஆந்திர ஸ்டைல் முட்டை சாதம் தயார்!</t>
  </si>
  <si>
    <t>https://encrypted-tbn0.gstatic.com/images?q=tbn:ANd9GcTeM-XuWgLDjzmhFLaJpPGnRSGluu-6sSWrnA&amp;s</t>
  </si>
  <si>
    <t>https://youtu.be/z6hxNc9b5DY?si=ee2dzOi1MSPg2tt2</t>
  </si>
  <si>
    <t>Cauliflower Paratha</t>
  </si>
  <si>
    <t>காலிஃபிளவர் பராத்தா</t>
  </si>
  <si>
    <t>Wheat flour - 3 cups,
Salt - 1 teaspoon,
Omam - 1 teaspoon,
Water,
Cauliflower - 1 grated,
Onion - 1 chopped,
Garlic - 1 tablespoon,
Ginger - 1 tablespoon,
Green chili - 1 chopped,
Coriander leaves chopped,
Salt - 1 teaspoon,
Turmeric powder - 1/2 teaspoon,
Chili powder - 1 1/2 teaspoons,
Cumin powder - 1 teaspoon,
Garram masala powder - 1 teaspoon,
Oil - 2 teaspoons.</t>
  </si>
  <si>
    <t>கோதுமை மாவு - 3 கப்,
உப்பு - 1 தேக்கரண்டி,
ஓமம் - 1 தேக்கரண்டி,
தண்ணீர்,
காலிஃபிளவர் - 1 துருவியது,
வெங்காயம் - 1 நறுக்கியது ,
பூண்டு - 1 மேசைக்கரண்டி  ,
இஞ்சி - 1 மேசைக்கரண்டி,
பச்சை மிளகாய் - 1 நறுக்கியது,
கொத்தமல்லி இலை நறுக்கியது,
உப்பு - 1 தேக்கரண்டி,
மஞ்சள் தூள் - 1/2 தேக்கரண்டி,
மிளகாய் தூள் - 1 1/2 தேக்கரண்டி,
சீரகத்தூள் - 1 தேக்கரண்டி,
கரம் மசாலா தூள் - 1 தேக்கரண்டி,
எண்ணெய் - 2 தேக்கரண்டி.</t>
  </si>
  <si>
    <t>Mix the wheat flour, salt, and omam in a bowl, then add water little by little, knead for 5 minutes and let it soak for 30 minutes.
In another bowl, add grated cauliflower, finely chopped onion, garlic, ginger, green chilies, coriander leaves.
Then add salt, turmeric powder, chili powder, cumin powder, garam masala powder and mix.
Pour oil in a pan, add the prepared spices and fry for 5 minutes and then let it cool down well.
Then roll the dough into equal balls.
Sprinkle flour on a chapati stone, rub it with the rolled dough and then cover it with the prepared spices.
Then rub it and place it on a dosa stone and when one side is cooked, turn it over and cook on the other side.
Serve when both sides are cooked.
Cauliflower paratha is ready.</t>
  </si>
  <si>
    <t>பாத்திரத்தில் கோதுமை மாவு, உப்பு, ஓமம் சேர்த்து கலந்து பின்பு சிறிது சிறிதாக தண்ணீர் ஊற்றி 5 நிமிடம் பிசைந்து 30 நிமிடம் ஊறவிடவும்.
 மற்றோரு பாத்திரத்தில் துருவிய காலிஃபிளவர், பொடியாக நறுக்கிய வெங்காயம், பூண்டு, இஞ்சி, பச்சை மிளகாய், கொத்தமல்லி இலை சேர்க்கவும்.
 பின்பு உப்பு, மஞ்சள் தூள், மிளகாய் தூள், சீரக தூள், கரம் மசாலா தூள் சேர்த்து கலந்துகொள்ளவும்.
கடாயில் எண்ணெய் ஊற்றி அதில் தயார் சேர்த்த மசாலாவை சேர்த்து 5 நிமிடம் வதக்கி பின்பு நன்கு ஆறவிடவும்.
 பின்பு மாவை சம உருண்டைகளாக உருட்டி கொள்ளவும்.
சப்பாத்தி கல்லில் மாவை தூவி அதில் உருட்டிய மாவை வைத்து தேய்த்து பின்பு தயார் சேர்த்த மசாலாவை வைத்து மூடவும்.
 பிறகு தேய்த்து தோசைக்கல்லில் போட்டு ஒரு பக்கம் வெந்ததும் மறுபக்கம் திருப்பிவிட்டு வேகவிடவும்.
இரு பக்கமும் வெந்ததும் பரிமாறவும்.
 காலிஃபிளவர் பராத்தா தயார்.</t>
  </si>
  <si>
    <t>https://media.maalaimalar.com/h-upload/2024/01/08/2000563-21.webp</t>
  </si>
  <si>
    <t>https://youtu.be/piPX1Owfb2E?si=9-SGg4k2F4RH0Izi</t>
  </si>
  <si>
    <t>Yogurt Rice</t>
  </si>
  <si>
    <t>Rice - 1 cup,
Yogurt,
Milk - 1 cup boiled and cooled,
Water,
Salt - 1 teaspoon,
Ginger - 2 teaspoons chopped,
Green chilies - chopped,
Carrots - grated,
Pomegranate,
Coriander leaves,
Oil - 2 teaspoons,
Ultra seeds - 1 teaspoon,
Mustard - 1 teaspoon,
Bhutan powder - 1/4 teaspoon,
Curry leaves,
Small onion.</t>
  </si>
  <si>
    <t>சாதம் - 1 கப்,
தயிர்,
பால் - 1 கப் காய்ச்சி ஆற வைத்தது,
தண்ணீர்,
உப்பு - 1 தேக்கரண்டி,
இஞ்சி - 2 தேக்கரண்டி நறுக்கியது,
பச்சை மிளகாய் - நறுக்கியது, 
கேரட் - துருவியது,
மாதுளைப்பழம்,
கொத்தமல்லி இலை ,
எண்ணெய்  - 2 தேக்கரண்டி,
உளுத்தம் பருப்பு - 1 தேக்கரண்டி,
கடுகு - 1 தேக்கரண்டி,
பெருங்காய தூள் - 1/4 தேக்கரண்டி,
கறிவேப்பிலை,
சின்ன வெங்காயம்.</t>
  </si>
  <si>
    <t>Mash the cooked rice and add the boiled and cooled milk to it.
Mix well and let it soak for 5 minutes.
Then add the thick yogurt, add a little water and mix well.
Add salt, chopped ginger, chopped green chilies, grated carrots, and pomegranate and mix well.
Add oil to a pan, once the oil is hot, add urad dal, mustard seeds and mix well.
Turn off the stove and add curry leaves, turmeric powder and onion.
Then add the tamarind paste to the curd rice and mix well.
Finally add the chopped coriander leaves and mix well. Garnish with grated carrot and pomegranate.
Delicious curd rice is ready.</t>
  </si>
  <si>
    <t>சமைத்த அரிசியை மசித்து, அதில் காய்ச்சி ஆற வைத்த பாலை சேர்க்கவும்.
நன்றாக கலந்து 5 நிமிடம் ஊற வைக்கவும்.
 பின்பு கெட்டியான தயிர் சேர்த்து, சிறிது தண்ணீர் சேர்த்து நன்கு கலக்கவும்.
அதில் உப்பு, நறுக்கிய இஞ்சி, நறுக்கிய பச்சை மிளகாய், துருவிய கேரட், மாதுளைப்பழம் சேர்த்து நன்கு கலந்து விடவும்.
ஒரு கடாயில் எண்ணெய் சேர்த்து, எண்ணெய் சூடானதும், உளுத்தம் பருப்பு, கடுகு சேர்த்து நன்கு கலந்து விடவும்.
 அடுப்பை அணைத்து அதில் , கறிவேப்பிலை, பெருங்காய தூள், வெங்காயம் சேர்க்கவும்.
பின்பு தாளிப்பை தயிர் சாதத்துடன் சேர்த்து நன்றாக கலக்கவும்.
 இறுதியாக பொடியாக நறுக்கிய கொத்தமல்லி இலை சேர்த்து கலக்கவும். துருவிய கேரட் மற்றும் மாதுளைப்பழம் கொண்டு அலங்கரிக்கவும்.
சுவையான தயிர் சாதம் தயார்.</t>
  </si>
  <si>
    <t>https://youtu.be/Id511CIcP34?si=srQfWxttV0UPdPX8</t>
  </si>
  <si>
    <t>Palakkai Tham Biryani</t>
  </si>
  <si>
    <t xml:space="preserve">
பலாக்காய் தம் பிரியாணி </t>
  </si>
  <si>
    <t>Palakkai - 1/2,
Salt - 2 tsp,
Turmeric powder - 1 tsp,
Chilli powder - 2 tsp,
Dhaniya powder - 2 tsp,
Garram masala powder - 1 1/2 tsp,
Yogurt - 1/2 cup,
Ginger garlic paste - 2 tsp,
Fried onion,
Coriander leaves,
Mint leaves,
Basmati rice - 1 cup (250 ml),
Ghee - 3 tbsp,
Oil - 1 tbsp,
Biryani leaves,
Shahi jeera,
Kalpashi,
Javitri,
Baking powder,
Cardamom,
Star anise,
Cloves - 3,
Onion - 2 chopped,
Green chillies - 3 chopped,
Tomato - 3 Chopped,
Boiled jackfruit mixture,
Water - 1 cup.</t>
  </si>
  <si>
    <t>பலாக்காய் - 1/2,
உப்பு - 2 தேக்கரண்டி ,
மஞ்சள் தூள் - 1 தேக்கரண்டி,
மிளகாய் தூள் - 2 தேக்கரண்டி,
தனியா தூள் - 2 தேக்கரண்டி,
கரம் மசாலா தூள் - 1 1/2 தேக்கரண்டி,
தயிர் - 1/2 கப்,
இஞ்சி பூண்டு விழுது - 2 தேக்கரண்டி,
வறுத்த வெங்காயம்,
கொத்தமல்லி இலை,
புதினா இலை,
பாஸ்மதி அரிசி - 1 கப் (250 மி.லி),                                          
நெய் - 3 மேசைக்கரண்டி,
எண்ணெய் - 1 மேசைக்கரண்டி,
பிரியாணி இலை ,
ஷாஹி ஜீரா,
கல்பாசி,
ஜாவித்ரி ,
பட்டை,
ஏலக்காய்,
நட்சத்திர சோம்பு,
கிராம்பு - 3 ,
வெங்காயம் - 2 நறுக்கியது,
பச்சை மிளகாய் - 3 கீறியது, 
தக்காளி - 3 நறுக்கியது,
வேகவைத்த பலாக்காய் கலவை,
தண்ணீர் - 1 கப்.</t>
  </si>
  <si>
    <t>Soak basmati rice for 30 minutes, add rind, cardamom, cloves, green chillies, salt, ghee in a bowl and boil the rice.
Boil the rice till 90% and drain without water.
Peel the jackfruit, cut it into small pieces, add turmeric powder and a little salt in water and boil it.
Pour oil + ghee in a pot and fry the rind, cloves, and cardamom.
Fry the onion and fry until brown.
Add ginger garlic paste and fry until the aroma goes away.
Add tomatoes and soften well.
Stir in yogurt, chili powder, masala powder, and salt.
Add the boiled jackfruit pieces and mix well.
Add mint and coriander leaves.
In a mixer jar, place a layer of rice, spices on top, and rice again.
Pour a little ghee on top and slow cook for 10-15 minutes.
If possible, cook it on a wok or tawa.</t>
  </si>
  <si>
    <t>பாசுமதி அரிசியை 30 நிமிடம் ஊறவைத்து, ஒரு பாத்திரத்தில் பட்டை, ஏலக்காய், கிராம்பு, பச்சைமிளகாய், உப்பு, நெய் சேர்த்து அரிசியை வேக வைத்து கொள்ளவும்.
அரிசி 90% வரை வெந்து தண்ணீர் இல்லாமல் வடிக்கட்டிக் கொள்ளவும்.
பலாக்காயை தோல் சீவி, சிறிய துண்டுகளாக நறுக்கி, தண்ணீரில் மஞ்சள் தூள், சிறிது உப்பு சேர்த்து வேக வைத்து வைக்கவும்.
ஒரு பானையில் எண்ணெய் + நெய் ஊற்றி பட்டை, கிராம்பு, ஏலக்காய் வதக்கவும்.
வெங்காயம் வதக்கி பழுப்பு வரைக்கும் வதக்கவும்.
இஞ்சி பூண்டு விழுது சேர்த்து வாசனை போகும் வரை வதக்கவும்.
தக்காளி சேர்த்து நன்கு மென்மையாக்கவும்.
தயிர், மிளகாய்த்தூள், மசாலா தூள், உப்பு சேர்த்து கிளறவும்.
அதில் வேகவைத்த பலாக்காய் துண்டுகளை சேர்த்து நன்கு கலக்கவும்.
புதினா, கொத்தமல்லி இலை சேர்க்கவும்.
ஒரு மிக்சி பாத்திரத்தில் ஒரு லேயர் அரிசி, அதன் மேலே மசாலா, மீண்டும் அரிசி என்று அடுக்கி போடவும்.
மேலே சிறிது நெய் ஊற்றி, 10-15 நிமிடம் தம் (slow cook) செய்யவும்.
முடிந்தால் இடுப்பில் அல்லது டவா மீது வைத்து தம் செய்யவும்.</t>
  </si>
  <si>
    <t>https://media.maalaimalar.com/h-upload/2024/01/24/2004053-15.webp</t>
  </si>
  <si>
    <t>https://youtu.be/6ajsAbFRLGo?si=Zy4JDhmWm7WzFCOp</t>
  </si>
  <si>
    <t>Tamarind Chicken Biryani</t>
  </si>
  <si>
    <t>புளிச்ச கீரை சிக்கன் பிரியாணி</t>
  </si>
  <si>
    <t>Tamaranth - 1 bunch,
Green chillies - 3 chopped,
Oil - 1 tsp,
Salt - 1/2 tsp,
Water,
Basmati rice - 500 gms,
Chicken - 1 kg,
Turmeric powder - 1 tsp,
Chili powder - 2 tsp,
Salt - 1 1/2 tsp,
Oil - 2 tbsp,
Ghee - 2 tbsp,
Biryani leaf - 1,
Pineapple flower - 1,
Nutmeg,
Bait,
Marathi bud,
Anise - 1 tsp,
Cardamom - 3,
Cloves - 3,
Stone moss,
Onion - 3 chopped,
Green chillies - 3,
Ginger garlic paste - 2 tsp,
Tomato - 3 chopped,
Salt - 1 teaspoon,
Coriander leaves .</t>
  </si>
  <si>
    <t>புளிச்ச கீரை - 1 கட்டு,
பச்சை மிளகாய் - 3 கீறியது,
எண்ணெய் - 1 தேக்கரண்டி,
உப்பு - 1/2 தேக்கரண்டி,
தண்ணீர்,
பாஸ்மதி அரிசி - 500 கிராம்,
சிக்கன் - 1 கிலோ,
மஞ்சள் தூள் - 1 தேக்கரண்டி,
மிளகாய் தூள் - 2 தேக்கரண்டி,
உப்பு - 1 1/2 தேக்கரண்டி ,
எண்ணெய் - 2 மேசைக்கரண்டி,
நெய் - 2 மேசைக்கரண்டி,
பிரியாணி இலை - 1,
அன்னாசிப்பூ - 1,
ஜாதிபத்திரி,
பட்டை,
மராத்தி மொக்கு,
சோம்பு - 1 தேக்கரண்டி,
ஏலக்காய் - 3 ,
கிராம்பு - 3,
கல் பாசி,
வெங்காயம் - 3 நறுக்கியது,
பச்சை மிளகாய் - 3,
இஞ்சி பூண்டு விழுது - 2 தேக்கரண்டி,
தக்காளி - 3 நறுக்கியது,
உப்பு - 1 தேக்கரண்டி,
கொத்தமல்லி இலை .</t>
  </si>
  <si>
    <t>Add turmeric powder, chili powder, salt to the chicken and mix.
Pour oil in a pan and add tamarind and green chilies and fry.
Then add salt and mix, then cool well and grind to a paste.
Next pour ghee and oil in the cooker.
Then add biryani leaves, pineapple blossom, nutmeg, bay leaf, Marathi koku, anise, cardamom, cloves, and stone moss and mix.
Then add finely chopped onion, green chilies and fry until golden brown.
Then add ginger garlic paste and mix, and add finely chopped tomatoes and fry.
Add the soaked chicken pieces and cook for 5 minutes.
Then add the grated tamarind and cook for 5 minutes.
Then add water and mix, close the cooker and cook till 2 whistles.
Then when the whistle stops, add the soaked basmati rice and mix.
Then add coriander leaves and close the cooker and cook till steam comes out.
Once steam comes out, whistle and cook for 5 minutes on medium flame.
Then remove from heat and open after 10 minutes.
The sour spinach biryani is ready.</t>
  </si>
  <si>
    <t>சிக்கனில் மஞ்சள் தூள், மிளகாய் தூள், உப்பு சேர்த்து கலந்து வைக்கவும்.
கடாயில் எண்ணெய் ஊற்றி அதில் புளிச்ச கீரை மற்றும் பச்சை மிளகாய் சேர்த்து வதக்கவும்.
 பின்பு உப்பு சேர்த்து கலந்துவிடவும், பிறகு நன்கு ஆறவிட்டு விழுதாக அரைக்கவும்.
 அடுத்து குக்கரில் நெய் மற்றும் எண்ணையை ஊற்றவும்.
 பின்பு பிரியாணி இலை, அன்னாசிப்பூ, ஜாதிபத்திரி, பட்டை, மராத்தி மொக்கு, சோம்பு, ஏலக்காய், கிராம்பு, கல் பாசி சேர்த்து கலந்துவிடவும்.
பிறகு மெல்லிசாக நறுக்கிய வெங்காயம், பச்சை மிளகாய் சேர்த்து பொன்னிறமாக வதக்கவும்.
பின்பு இஞ்சி பூண்டு விழுது சேர்த்து கலந்துவிட்டு, பொடியாக நறுக்கிய தக்காளி சேர்த்து வதக்கவும்.
 ஊறவைத்த சிக்கன் துண்டுகளை சேர்த்து கலந்து 5 நிமிடம் வேகவிடவும்.
பிறகு அரைத்த புளிச்ச கீரையை சேர்த்து கலந்து 5 நிமிடம் வேகவிடவும் .
பின்பு தண்ணீர் சேர்த்து கலந்துவிட்டு குக்கரை மூடி 2 விசில் வரும் வரை வேகவிடவும்.
பிறகு விசில் இறங்கியதும் அதில் ஊறவைத்த பாஸ்மதி அரிசியை சேர்த்து கலந்துவிடவும்.
பின்பு கொத்தமல்லி இலை சேர்த்து குக்கரை மூடி ஆவி வரும் வரை வேகவிடவும்.
ஆவி வந்ததும் விசில் போட்டு 5 நிமிடம் மிதமான தீயில் வேகவிடவும்.
 பின்பு இறக்கி வைத்து 10 நிமிடம் கழித்து திறக்கவும்.
 புளிச்ச கீரை பிரியாணி தயார்.</t>
  </si>
  <si>
    <t>https://encrypted-tbn0.gstatic.com/images?q=tbn:ANd9GcTk8Z7PJR7JjUfUQLvaQxuOnXyLRKqyYzh2Lw&amp;s</t>
  </si>
  <si>
    <t>https://youtu.be/Z4AByr_EoEs?si=hYAEJIg0GR-CFCRq</t>
  </si>
  <si>
    <t>kovaikai sadham</t>
  </si>
  <si>
    <t>கோவக்காய் சாதம்</t>
  </si>
  <si>
    <t>Onion - 2,
Rock salt - 1 teaspoon,
Cumin - 2 teaspoons,
Dhaniya - 1 teaspoon,
Garlic - 10 cloves,
Turmeric powder - 1 teaspoon,
Chili powder - 2 teaspoons,
Water - 2 teaspoons,
Kovaikai - 1/2 kg,
Oil - 3 tablespoons,
Peanuts - 1 tablespoon,
Ultra seeds - 1 tablespoon,
Mustard - 1 teaspoon,
Cumin - 1 teaspoon,
Red chilies - 2,
Bacon powder - 1/2 teaspoon,
Curry leaves,
Chopped onion - 1,
Ground paste,
Fried kovaka,
Salt - 1 teaspoon,
Basumati rice - 1 cup,
Ghee - 1 tablespoon,
Chopped Coriander .</t>
  </si>
  <si>
    <t>வெங்காயம் - 2,
கல் உப்பு- 1 தேக்கரண்டி, 
சீரகம் - 2 தேக்கரண்டி, 
தனியா  - 1 தேக்கரண்டி,
பூண்டு - 10 பல்,
மஞ்சள்தூள் - 1 தேக்கரண்டி ,
மிளகாய்தூள் - 2 தேக்கரண்டி ,
தண்ணீர் -  2 தேக்கரண்டி ,
கோவைக்காய் -  1/2 கிலோ,
எண்ணெய் -  3 மேசைக்கரண்டி ,
கடலை பருப்பு  - 1 தேக்கரண்டி ,
உளுத்தம் பருப்பு - 1 தேக்கரண்டி,
கடுகு - 1 தேக்கரண்டி,
சீரகம்  - 1 தேக்கரண்டி,
சிவப்பு மிளகாய் -  2,
பெருங்காய தூள்  - 1/2 தேக்கரண்டி,
கறிவேப்பிலை,
நறுக்கிய வெங்காயம் - 1,
அரைத்த விழுது,
வதக்கிவெச்ச கோவக,
உப்பு - 1 தேக்கரண்டி,
பாசுமதி அரிசி -  1 கப்,
நெய்  - 1 மேசைக்கரண்டி,
நறுக்கிய கொத்தமல்லி .</t>
  </si>
  <si>
    <t>In a mixer jar, take chopped onion, rock salt, coriander seeds, cumin seeds, garlic, turmeric powder, red chili powder and tamarind pieces.
Grind the ingredients into a smooth paste.
Take a wide pan, add oil and fry the courgette pieces till golden brown.
In the same pan, add some more oil and fry the gram dal, urad dal, mustard seeds and cumin seeds. Add roughly chopped red chilies, garam masala powder and curry leaves.
Add chopped onion to the pan and mix well.
Add ground masala paste and mix well.
Once the masala is cooked, add the fried courgette pieces and mix with the masala.
Add salt and mix well.
Then add the cooked basmati rice and mix.
Add ghee and chopped coriander leaves.
Delicious Govakkai rice is ready to serve hot and well.</t>
  </si>
  <si>
    <t>ஒரு மிக்சர் ஜாரில், நறுக்கிய வெங்காயம், கல் உப்பு, கொத்தமல்லி விதைகள், சீரகம், பூண்டு, மஞ்சள் தூள், சிவப்பு மிளகாய் தூள் மற்றும் புளி துண்டுகளை எடுத்துக் கொள்ளுங்கள்.
பொருட்களை மிருதுவான பேஸ்டாக அரைக்கவும். 
ஒரு அகலமான கடாயை எடுத்து, எண்ணெய் சேர்த்து, கோவக்காய் துண்டுகளை பொன்னிறமாகும் வரை வறுக்கவும். 
அதே கடாயில் மேலும் சிறிது எண்ணெய் சேர்த்து, கடலை பருப்பு, உளுத்தம்பருப்பு, கடுகு, சீரகம் சேர்த்து வதக்கவும். தோராயமாக வெட்டப்பட்ட சிவப்பு மிளகாய், பெருங்காய தூள்  மற்றும் கறிவேப்பிலை சேர்க்கவும்.
கடாயில் நறுக்கிய வெங்காயத்தைச் சேர்த்து நன்கு கலக்கவும்.
அரைத்த மசாலா விழுதைச் சேர்த்து நன்கு கலக்கவும்.
மசாலா வெந்ததும், பொரித்து வைத்துள்ள கோவக்காய் துண்டுகளை சேர்த்து மசாலாவுடன் கலக்கவும். 
உப்பு சேர்த்து நன்கு கலக்கவும். 
பிறகு வேகவைத்த பாசுமதி அரிசியை சேர்த்து கலக்கவும். 
நெய் மற்றும் நறுக்கிய கொத்தமல்லி தழை சேர்க்கவும்.
சூடாகவும் நன்றாகவும் பரிமாற சுவையான கோவக்காய் சாதம் தயாராக உள்ளது.</t>
  </si>
  <si>
    <t>https://encrypted-tbn0.gstatic.com/images?q=tbn:ANd9GcSsid0Y49kdFOf282AZpdz1BKuJefElt0UkfQ&amp;s</t>
  </si>
  <si>
    <t>https://youtu.be/61vjqe9Wsbk?si=eM_R1eyTqtkkuAVr</t>
  </si>
  <si>
    <t>Oil - 1 tbsp,
Ghee - 2 tbsp,
Baking powder,
Cloves,
Cardamom,
Pineapple,
Marathi koku,
Javitri,
Kalpashi,
Biryani leaves,
Onion - 2,
Green chillies - 4,
Ginger garlic paste - 1 tsp,
Tomatoes - 2,
Turmeric powder - 1/4 tsp,
Chilli powder - 1/2 tsp,
Cumin powder - 1/2 tsp,
Dhaniya powder - 1 tsp,
Garlic powder - 1/2 tsp,
Salt - 1 tsp,
Mint leaves,
Coriander leaves,
Seeraksamba rice - 1 cup,
Water - 2 cups.</t>
  </si>
  <si>
    <t>எண்ணெய்  - 1 மேசைக்கரண்டி,
நெய் - 2 மேசைக்கரண்டி,
பட்டை,
கிராம்பு , 
ஏலக்காய்,
அன்னாசிப்பூ,
மராத்தி மொக்கு,
ஜாவித்ரி,
கல்பாசி,
பிரியாணி இலை,
வெங்காயம் - 2,
பச்சை மிளகாய் - 4,
இஞ்சி பூண்டு விழுது - 1 தேக்கரண்டி,
தக்காளி -  2,
மஞ்சள் தூள் - 1/4 தேக்கரண்டி,
மிளகாய் தூள் - 1/2 தேக்கரண்டி,
சீரக தூள் - 1/2 தேக்கரண்டி,
தனியா தூள் - 1 தேக்கரண்டி,
கரம் மசாலா - 1/2 தேக்கரண்டி,
உப்பு - 1 தேக்கரண்டி,
புதினா இலை,
கொத்தமல்லி இலை,
சீரகசம்பா அரிசி - 1 கப்,
தண்ணீர் - 2 கப்.</t>
  </si>
  <si>
    <t>In a cooker, add some oil and some ghee, cloves, cardamom, pineapple, Marathi moku, javitri, kalpasi, biryani leaves.
Add two finely chopped lengthwise onions and four green chilies and sauté.
Once the onions are sautéed. Add ginger garlic paste and sauté.
Add two chopped tomatoes and sauté.
Once the tomatoes are sautéed, add a quarter teaspoon turmeric powder, half teaspoon chili powder, half teaspoon cumin powder, one teaspoon garam masala powder, one teaspoon salt and mix.
Add one cup mint leaves. Add one cup coriander leaves.
Wash one cup cumin samba rice, pour water and soak it for half an hour.
Pour two cups of water for one cup of rice in the cooker.
Once the water boils, drain the soaked rice and add it.
Mix and add a teaspoon of ghee.
Close the cooker lid and switch off the stove when it whistles.
The fragrant and delicious kuska is ready to be served hot.</t>
  </si>
  <si>
    <t>ஒரு குக்கரில் கொஞ்சம் எண்ணெய் கொஞ்சம் நெய் ஊற்றி,  பட்டை கிராம்பு,, ஏலக்காய், அன்னாசிப்பூ மராத்தி மொக்கு , ஜாவித்ரி, கல்பாசி, பிரியாணி இலை, சேர்க்கவும்.
மெல்லிசாக நீள வாக்கில் நறுக்கிய இரன்டு வெங்காயம், நான்கு பச்சை மிளகாய்  சேர்த்து வதக்கவும்.
 வெங்காயம் வதங்கியதும். இஞ்சி பூண்டு விழுது சேர்த்து வதக்கவும் 
நறுக்கிய இரண்டு தக்காளி சேர்த்து வதக்கவும்.
 தக்காளி வதங்கியதும், கால் டீஸ்பூன்  மஞ்சள் தூள்,  அரை டீஸ்பூன் மிளகாய் தூள், அரை டீஸ்பூன் சீரக தூள், ஒரு டீஸ்பூன் தனியா தூள், அரை டீஸ்பூன் கரம்மசாலா தூள் , ஒரு டீஸ்பூன் உப்பு சேர்த்து கலந்து விடவும்.  
 ஒரு கப் அளவு புதினா இலைகள். ஒரு கப் அளவு கொத்தமல்லி இலைகள் சேர்க்கவும்.
 ஒரு கப் சீரக சம்பா அரிசியை கழுவி தண்ணீர் ஊற்றி அரை மணி நேரம் ஊற வைக்கவும்.
 ஒரு கப் அரிசிக்கு ரெண்டு கப் தண்ணீர் குக்கரில் ஊற்றவும்.
 தண்ணீர் கொதித்ததும் , ஊற வைத்த அரிசியை தண்ணீர் வடிகட்டி சேர்க்கவும்.
கலந்து விட்டு ஒரு டீஸ்பூன் நெய் ஊற்றவும்.
குக்கர் மூடி  ஒரு விசில் வந்ததும் அடுப்பை  அணைத்து விடவும்.
வாசனையான சுவையான குஸ்கா சூடாக பரிமாற தயாராக உள்ளது.</t>
  </si>
  <si>
    <t>https://img-global.cpcdn.com/recipes/5dc7c0732cfef8ad/680x482cq70/%E0%AE%95%E0%AE%B8%E0%AE%95-kuska-recipe-in-tamil-%E0%AE%9A%E0%AE%AF%E0%AE%AE%E0%AE%B1-%E0%AE%AE%E0%AE%95%E0%AE%95%E0%AE%AF-%E0%AE%AA%E0%AE%95%E0%AE%AA%E0%AE%AA%E0%AE%9F%E0%AE%AE.jpg</t>
  </si>
  <si>
    <t>https://youtu.be/N8IKekpeIuw?si=ZorLQG6nsF1ANx4b</t>
  </si>
  <si>
    <t>Spinach and Spinach Salad</t>
  </si>
  <si>
    <t xml:space="preserve">
பருப்பு கீரை கடையல்</t>
  </si>
  <si>
    <t>Spinach - 1 bunch,
Turmeric dal - 1 cup,
Onion - 1,
Tomato - 3,
Garlic cloves - 5,
Green chilies - 2,
Tamarind,
Turmeric powder - 1/4 teaspoon,
Garlic powder - 1 teaspoon,
Chili powder - 2 teaspoons,
Water,
Ghee - 1 teaspoon,
Ultra seeds - 1 teaspoon,
Mustard - 1 teaspoon,
Cumin seeds - 1 teaspoon,
Grated garlic cloves - 5,
Red chilies - 2,
Curry leaves,
Baking powder - 1/4 teaspoon.</t>
  </si>
  <si>
    <t>கீரை - 1 கட்டு,
துவரம் பருப்பு - 1 கப்,
வெங்காயம் - 1,
தக்காளி - 3,
பூண்டு பல் - 5,
பச்சை மிளகாய் - 2,
புளி,
மஞ்சள்தூள் - 1/4 டீஸ்பூன்,
கல்லுப்பு - 1 டீஸ்பூன்,
மிளகாய் தூள்- 2 டீஸ்பூன் ,
தண்ணீர்,
நெய் - 1 டீஸ்பூன்,
உளுத்தம் பருப்பு- 1 டீஸ்பூன்,
கடுகு - 1 தேக்கரண்டி,
சீரகம் – 1 டீஸ்பூன்,
தட்டிய பூண்டு பல் -5,
சிவப்பு மிளகாய் - 2,
கறிவேப்பிலை,
பெருங்காய தூள் - 1/4 டீஸ்பூன்.</t>
  </si>
  <si>
    <t>First, add the soaked lentils, onion, tomato, green chillies, garlic cloves, tamarind, turmeric powder, salt, chilli powder and cook in a pressure cooker with required amount of water for four to five whistles.
Then mash the cooked lentils well with a pestle and keep it aside.
Pour four teaspoons of ghee in a pan.
Add urad dal, mustard seeds and cumin seeds and fry them.
Once the mustard seeds are cooked, add red chillies, curry leaves, ginger and crushed garlic cloves and fry them.
Add the cooked lentils and spinach mixture to it.
Boil for another five minutes.
The lentils and spinach mixture is ready.
It is very tasty to eat with hot rice and add ghee.</t>
  </si>
  <si>
    <t>முதலில் ஊறவைத்த பருப்பு, வெங்காயம், தக்காளி,
பச்சை மிளகாய், பூண்டு பல், புளி, மஞ்சள்தூள், உப்பு,
மிளகாய் தூள் சேர்த்து பிரஷர் குக்கரில் தேவையான
அளவு தண்ணீர் சேர்த்து நான்கைந்து விசில் வரும் வரை
வதக்கவும்.
அதன் பிறகு சமைத்த பருப்பு கலவையை ஒரு மத்தால்
நன்றாக மசித்து தனியாக வைக்கவும்
ஒரு கடாயில் நான்கு டீஸ்பூன் நெய் ஊற்றவும்
அதனுடன் உளுத்தம் பருப்பு, கடுகு, சீரகம் சேர்த்து
வதக்கவும்
கடுகு பொரிந்ததும், சிவப்பு மிளகாய், கறிவேப்பிலை,
பெருங்காயம் மற்றும் தட்டிய பூண்டு பல் சேர்த்து
வதக்கவும்.
அதனுடன் வெந்த பருப்பு, கீரை கலவையை சேர்க்கவும்.
மேலும் ஐந்து நிமிடம் கொதிக்க வைக்கவும் .
 பருப்பு கீரை கூட்டு தயார்.
சூடான சாதத்துடன் நெய் ஊற்றி சாப்பிட மிகவும்
சுவையாக இருக்கும்.</t>
  </si>
  <si>
    <t>https://encrypted-tbn0.gstatic.com/images?q=tbn:ANd9GcQytoqXW7hwCkOehRU7NawwNQLOznzF4z_Dpw&amp;s</t>
  </si>
  <si>
    <t>https://youtu.be/W9NPNBYSmLc?si=RkcQDUQh3xYrCzll</t>
  </si>
  <si>
    <t>Thai Chicken Fried Rice</t>
  </si>
  <si>
    <t xml:space="preserve">தாய் சிக்கன் ஃப்ரைட் ரைஸ்
</t>
  </si>
  <si>
    <t>Boneless chicken - 250 grams,
Soy sauce - 2 tablespoons,
Salt,
Pepper powder,
Oyster sauce - 3 tablespoons,
Soy sauce - 2 tablespoons,
Fish sauce - 2 tablespoons,
Sugar - 1 tablespoon,
Jasmine rice - 1 bowl,
Sauce mixture,
Oil - 1 tablespoon,
Garlic - 1 tablespoon chopped,
Ginger - 1 tablespoon chopped,
Onion - 1. chopped,
Red chili - 2 chopped,
Salt,
Pepper powder,
Egg - 4,
Bayan leaf,
Onion leaves chopped,
Onion leaves chopped.</t>
  </si>
  <si>
    <t>எலும்பில்லாத சிக்கன் - 250 கிராம்,
சோயா சாஸ் - 2 தேக்கரண்டி,
உப்பு,
மிளகு தூள் ,
ஒய்ஸ்டெர் சாஸ் - 3 மேசைக்கரண்டி,
சோயா சாஸ் - 2 தேக்கரண்டி,
மீன் சாஸ் - 2 தேக்கரண்டி,
சர்க்கரை - 1 தேக்கரண்டி,
ஜாஸ்மின் ரைஸ் - 1 கிண்ணம்,
சாஸ் கலவை,
எண்ணெய் - 1 மேசைக்கரண்டி,
பூண்டு - 1 தேக்கரண்டி நறுக்கியது ,
இஞ்சி - 1 தேக்கரண்டி நறுக்கியது ,
வெங்காயம் - 1.நறுக்கியது ,
சிவப்பு மிளகாய் - 2 நறுக்கியது,
உப்பு,
மிளகு தூள்,
முட்டை - 4,
பேசின் இலை,
வெங்காயத்தாள் வெங்காயம் நறுக்கியது ,
வெங்காயத்தாள் கீரை நறுக்கியது  .</t>
  </si>
  <si>
    <t>Take the boneless chicken pieces in a large bowl.
Add salt, pepper powder and soy sauce. Mix well and keep aside for 10 minutes.
In another bowl, take oyster sauce, soy sauce, fish sauce and sugar. Mix well and keep aside.
Take a pan and pour some oil in it.
Add chopped garlic and ginger. Saute for a minute and add onion pieces.
Next add red chillies and saute the onion.
Now add the soaked chicken pieces and saute on medium flame till it is well cooked.
Add some salt and pepper powder. Move everything to one side of the pan.
Add oil in the pan and then pour the beaten egg mixture.
Cook for some time and then add the chicken pieces and mix.
Once the eggs and chicken are cooked, add the steamed jasmine rice.
Then pour the prepared sauce mixture. Mix everything quickly.
Add the basil leaves, chopped spring onions and chopped spring onions.
Mix well and turn off the stove.
In a small pan, add oil and pour in the eggs. Sprinkle some salt and pepper and cook on both sides.
Now transfer the Thai fried rice to a serving plate and then garnish with the fried egg. Serve hot.</t>
  </si>
  <si>
    <t>ஒரு பெரிய பாத்திரத்தில் எலும்பில்லாத சிக்கன் துண்டுகளை எடுத்துக் கொள்ளவும்.
உப்பு, மிளகு தூள் மற்றும் சோயா சாஸ் சேர்க்கவும். நன்றாக கலந்து 10 நிமிடம் தனியாக வைக்கவும்.
 மற்றொரு பாத்திரத்தில், ஒய்ஸ்டெர் சாஸ், சோயா சாஸ், மீன் சாஸ் மற்றும் சர்க்கரையை எடுத்துக் கொள்ளவும். நன்றாக கலந்து தனியாக வைக்கவும்.
 ஒரு வாணலியை எடுத்து அதில் சிறிது எண்ணெய் ஊற்றவும்.
நறுக்கிய பூண்டு மற்றும் இஞ்சியை சேர்க்கவும். ஒரு நிமிடம் வதக்கி வெங்காயத் துண்டுகளைச் சேர்க்கவும்.
அடுத்து சிவப்பு மிளகாய் சேர்த்து வெங்காயத்தை வதக்கவும்.
இப்போது ஊறவைத்த சிக்கன் துண்டுகளைப் போட்டு, நன்றாக வேகும் வரை மிதமான தீயில் வதக்கவும்.
சிறிது உப்பு மற்றும் மிளகு தூள் சேர்க்கவும். அனைத்தையும் கடாயில் ஒரு பக்கமாக நகர்த்தவும்.
 வாணலியில் எண்ணெய் சேர்த்து, பின்னர் அடித்து வைத்துள்ள முட்டை கலவையை ஊற்றவும்.
 சிறிது நேரம் சமைக்கவும், பின்னர் சிக்கன் துண்டுகளுடன் சேர்த்து கலக்கவும்.
 முட்டை மற்றும் சிக்கன் வெந்ததும், அதில் வேகவைத்த ஜாஸ்மின் ரைஸ் சேர்க்கவும்.
 பிறகு தயார் செய்த சாஸ் கலவையை ஊற்றவும். எல்லாவற்றையும் விரைவாகக் கலக்கவும்.
 பேசின் இலைகள், நறுக்கிய வெங்காயத்தாள் வெங்காயம் மற்றும் நறுக்கிய வெங்காயத்தாள் கீரை சேர்க்கவும்.
நன்றாக கலந்து அடுப்பை அணைக்கவும்.
ஒரு சிறிய கடாயில், எண்ணெய் சேர்த்து முட்டை ஊற்றி. சிறிது உப்பு மற்றும் மிளகு தூவி, இருபுறமும்
சமைக்கவும்.
இப்போது தாய் ஃபிரைடு ரைஸை பரிமாறும் தட்டுக்கு மாற்றி, பின்னர் பொரித்த முட்டையால் அலங்கரிக்கவும். சூடாக பரிமாறவும்.</t>
  </si>
  <si>
    <t>https://www.thespruceeats.com/thmb/2_xPActfllvCusT3WGdIRkkGIOI=/1500x0/filters:no_upscale():max_bytes(150000):strip_icc()/classic-thai-chicken-fried-rice-3217140-Hero_01-5d07dca7cbe94e5db174d26dd4ea70bf.jpg</t>
  </si>
  <si>
    <t>https://youtu.be/CzLzBn2ZlGo?si=w9mnXiH9fDBk8w4D</t>
  </si>
  <si>
    <t>First wash the rice and soak it for 30 minutes.
Pour ghee and oil in the cooker and add the bark, cloves, cardamom, pineapple blossom, and biryani leaves.
Then add chopped onion and fry, once the onion is half cooked, add chopped green chillies and fry.
Then add ginger garlic paste and fry.
Next add chopped tomato and mix it, add turmeric powder, salt, chilli powder, garam masala powder and mix it.
Then add soaked rice and mix it, add chopped coriander leaves to it.
Then add water and mix it, close the cooker and cook on medium flame till 1 whistle.
Tomato rice is ready.</t>
  </si>
  <si>
    <t>முதலில் அரிசியை கழுவி 30 நிமிடம் ஊறவிடவும்.
 குக்கரில் நெய் மற்றும் எண்ணெய் ஊற்றி அதில் பட்டை, கிராம்பு, ஏலக்காய், அன்னாசிப்பூ, பிரியாணி இலை சேர்க்கவும்.
பின்பு நறுக்கிய வெங்காயம் சேர்த்து வதக்கவும், வெங்காயம் பாதி வதங்கியதும் நறுக்கிய பச்சை மிளகாய் சேர்த்து வதக்கவும்.
பிறகு இஞ்சி பூண்டு விழுது சேர்த்து வதக்கவும்.
 அடுத்து நறுக்கிய தக்காளி சேர்த்து கலந்து, அதில் மஞ்சள் தூள், உப்பு, மிளகாய் தூள், கரம் மசாலா தூள் சேர்த்து கலந்துவிடவும்.
 பின்பு ஊறவைத்த அரிசியை சேர்த்து கலந்து, அதில் நறுக்கிய கொத்தமல்லி இலை சேர்க்கவும்.
 பிறகு தண்ணீர் ஊற்றி கலந்து குக்கரை மூடி 1 விசில் வரும் வரை மிதமான தீயில் வேகவிடவும்.
 தக்காளி சாதம் தயார்.</t>
  </si>
  <si>
    <t>https://img-global.cpcdn.com/recipes/f2f91aa82ab9bd97/680x482cq70/%E0%AE%A4%E0%AE%95%E0%AE%95%E0%AE%B3-%E0%AE%9A%E0%AE%A4%E0%AE%AEtomato-rice-recipe-in-tamil-%E0%AE%9A%E0%AE%AF%E0%AE%AE%E0%AE%B1-%E0%AE%AE%E0%AE%95%E0%AE%95%E0%AE%AF-%E0%AE%AA%E0%AE%95%E0%AE%AA%E0%AE%AA%E0%AE%9F%E0%AE%AE.jpg</t>
  </si>
  <si>
    <t>https://youtu.be/_yRnDBsstKo?si=X8Ha4inODwpYDVjE</t>
  </si>
  <si>
    <t>Pepper Rice</t>
  </si>
  <si>
    <t>மிளகு சாதம்</t>
  </si>
  <si>
    <t>Pepper - 1 tablespoon,
Cumin - 1 teaspoon,
Oil - 2 teaspoons,
Ghee - 2 teaspoons,
Peanuts - 1 teaspoon,
Ultra seeds - 1 teaspoon,
Mustard - 1 teaspoon,
Cashew nuts,
Caramel powder - 1/4 teaspoon,
Chopped garlic,
Onion - 1 chopped,
Green chilies - 4 grated,
Curry leaves,
Salt,
Cooked rice,
Powdered pepper and cumin powder.</t>
  </si>
  <si>
    <t>மிளகு - 1 மேசைக்கரண்டி,
சீரகம் - 1 தேக்கரண்டி,
எண்ணெய் - 2 தேக்கரண்டி,
நெய் - 2 தேக்கரண்டி,
கடலை பருப்பு - 1 தேக்கரண்டி,
உளுத்தம் பருப்பு - 1 தேக்கரண்டி,
கடுகு - 1 தேக்கரண்டி,
முந்திரி பருப்பு,
பெருங்காய தூள் - 1/4 தேக்கரண்டி,
பூண்டு நறுக்கியது,
வெங்காயம் - 1 நறுக்கியது ,
பச்சை மிளகாய் - 4 கீறியது ,
கறிவேப்பிலை,
உப்பு,
வேகவைத்த சாதம், 
பொடித்த மிளகு சீரக தூள்.</t>
  </si>
  <si>
    <t>In a mixer jar, take the pepper and cumin and grind them into a coarse paste.
Add oil and ghee to a pan.
Add the peanuts, ultra seeds, mustard and cashew nuts.
Once they are fried, add finely chopped garlic and chopped onion and mix well.
Add chopped green chilies and curry leaves.
Add salt and mix.
Add ground pepper and cumin powder and mix again.
Add boiled rice and mix everything well.
Add some more pepper powder and salt and mix everything together.
The delicious pepper rice is ready to be served hot.</t>
  </si>
  <si>
    <t>ஒரு மிக்சர் ஜாரில், மிளகு மற்றும் சீரகத்தை எடுத்து கொரகொரப்பாக அரைக்கவும்.
ஒரு கடாயில் எண்ணெய் மற்றும் நெய் சேர்க்கவும்.
கடலை பருப்பு, உளுத்தம் பருப்பு, கடுகு மற்றும் முந்திரி சேர்க்கவும்.
அவை வறுத்தவுடன், மெல்லியதாக நறுக்கிய பூண்டு மற்றும் நறுக்கிய வெங்காயத்தை சேர்த்து நன்றாக கலக்கவும்.
கீறிய பச்சை மிளகாய் மற்றும் கறிவேப்பிலை சேர்க்கவும்.
உப்பு சேர்த்து கலக்கவும்.
அரைத்த மிளகு, சீரகத்தூள் சேர்த்து மீண்டும் கலக்கவும்.
வேகவைத்த சாதத்தை  சேர்த்து, அனைத்தையும் நன்கு கலக்கவும்.
மேலும் சிறிது மிளகு தூள், உப்பு சேர்த்து அனைத்தையும் ஒன்றாக கலக்கவும்.
சுவையான மிளகு சாதம் சூடாக பரிமாற தயார்.</t>
  </si>
  <si>
    <t>https://encrypted-tbn0.gstatic.com/images?q=tbn:ANd9GcRnLpbEsnKl6zrK4ZUxOjH1h6aZBCMaifhNcA&amp;s</t>
  </si>
  <si>
    <t>https://youtu.be/lCfWoazw9O8?si=-h6ChcSJRBAy3hQq</t>
  </si>
  <si>
    <t>Curry Leaf Rice</t>
  </si>
  <si>
    <t>கறிவேப்பிலை சாதம்</t>
  </si>
  <si>
    <t>Peanuts - 3 tablespoons,
Ultra seeds - 3 tablespoons,
Pepper - 1 teaspoon,
Denise - 1/4 teaspoon,
Cumin - 1 tablespoon,
Red chilies - 10,
Sesame seeds - 1 tablespoon,
Tamarind,
Curry leaves - 2 cups,
Bacon powder - 1/4 teaspoon,
Rock salt - 1 teaspoon,
Ghee - 2 tablespoons,
Ultra seeds - 1 teaspoon,
Peanuts - 1 teaspoon,
Mustard - 1 teaspoon,
Red chilies - 3,
Curry leaves,
Roasted peanuts - 1 cup,
Rice - 1 bowl,
Ground curry leaf powder - 2 Tablespoon,
Ghee - 2 tablespoons.</t>
  </si>
  <si>
    <t>கடலை பருப்பு - 3 மேசைக்கரண்டி,
உளுத்தம் பருப்பு - 3 மேசைக்கரண்டி,
மிளகு - 1 தேக்கரண்டி,
வெந்தயம் - 1/4 தேக்கரண்டி,
சீரகம் - 1 மேசைக்கரண்டி,
சிவப்பு மிளகாய் - 10,
எள் - 1 மேசைக்கரண்டி,
புளி,
கறிவேப்பிலை - 2 கப்,
பெருங்காய தூள் - 1/4 தேக்கரண்டி,
கல் உப்பு - 1 தேக்கரண்டி ,
நல்லெண்ணெய் - 2 மேசைக்கரண்டி,
உளுத்தம் பருப்பு - 1 தேக்கரண்டி,
கடலை பருப்பு - 1 தேக்கரண்டி,
கடுகு - 1 தேக்கரண்டி,
சிவப்பு மிளகாய் - 3,
கறிவேப்பிலை,
வறுத்த வேர்க்கடலை - 1 கப்,
சாதம் - 1 கிண்ணம் ,
அரைத்த கறிவேப்பிலை பொடி - 2 மேசைக்கரண்டி,
நெய் - 2 மேசைக்கரண்டி.</t>
  </si>
  <si>
    <t>First, to make the curry powder, add the groundnuts, urad dal, pepper, fenugreek, cumin seeds
in a pan and fry well.
Then add the red chillies, sesame seeds and tamarind.
After frying the chillies, add the curry leaves and fry until the raw smell goes away. Add the turmeric powder and cardamom powder to it, mix everything together, grind it into a powder and keep it aside.
Now heat the sesame oil in a wide pan for the rice.
Add the groundnuts, urad dal, mustard seeds, chillies, curry leaves, and roasted peanuts to it and season it.
When all these are well browned, add the drained rice and powdered curry leaves and mix carefully.
After adding the required amount of powder, check the salt and add more if required. Finally, add a little ghee for taste and mix. It will be very tasty.</t>
  </si>
  <si>
    <t>முதலில் கறிவேப்பிலை பொடி செய்ய, கடாயில் கடலை பருப்பு, உளுத்தம் பருப்பு, மிளகு, வெந்தயம், சீரகம்
சேர்த்து நன்கு வறுக்கவும்.
 அதன் பிறகு சிவப்பு மிளகாய், எள் மற்றும் புளி சேர்க்கவும்.
 மிளகாய் வறுத்த பின் கறிவேப்பிலை போட்டு பச்சை வாசனை போகும் வரை வறுக்கவும். அதனுடன் பெருங்காய தூள், கல்லுப்பு சேர்த்து, அனைத்தையும் ஒன்றாகக் கலந்து, பொடி செய்து தனியாக வைக்கவும்.
 இப்போது சாதத்திற்கு ஒரு அகன்ற கடாயில் நல்லெண்ணெயை சூடாக்கவும்.
அதனுடன் கடலை பருப்பு, உளுத்தம் பருப்பு கடுகு, மிளகாய், கறிவேப்பிலை, வறுத்த வேர்க்கடலை சேர்த்து தாளிக்கவும்.
 இவை அனைத்தும் நன்கு சிவந்ததும், வடித்த சாதம், பொடித்த கறிவேப்பிலை பொடி சேர்த்துக் கவனமாகக் கலக்கவும்.
 தேவையான அளவு பொடி சேர்த்த பிறகு, உப்பு சரிபார்த்து, தேவைப்பட்டால் சேர்த்து கொள்ளவும் இறுதியாக சுவைக்காக சிறிது நெய் சேர்த்து கலக்கவும். மிகவும் சுவையாக இருக்கும்.</t>
  </si>
  <si>
    <t>https://www.lekhafoods.com/ImageGen.ashx?image=/media/1051193/karibevina-chitranna.jpg&amp;width=334&amp;height=200</t>
  </si>
  <si>
    <t>https://youtu.be/hiZY1XIfZ8E?si=pUekOdUC80fL0OHc</t>
  </si>
  <si>
    <t>Basmati rice - 1 cup,
Oil - 2 tablespoons,
Peanuts - 2 tablespoons,
Mustard - 1 tablespoon,
Cumin - 1 tablespoon,
Peanuts - 1/2 cup,
Whole garlic - 1,
Onions - 2 chopped,
Turmeric powder - 1/4 teaspoon,
Chili powder - 1 teaspoon,
Salt - 1 teaspoon,
Corn flakes - 1/4 teaspoon,
Green chilies - 4 chopped,
Water - 1/4 cup,
Curry leaves,
Tamarind water - 1/4 cup,
Coriander leaves.</t>
  </si>
  <si>
    <t>பாஸ்மதி அரிசி - 1 கப்,
எண்ணெய் - 2 மேசைக்கரண்டி,
கடலைப்பருப்பு - 2 தேக்கரண்டி,
கடுகு - 1 தேக்கரண்டி,
சீரகம் - 1 தேக்கரண்டி,
வேர்க்கடலை - 1/2 கப்,
முழு பூண்டு - 1,
வெங்காயம் - 2 நறுக்கியது,
மஞ்சள் தூள் - 1/4 தேக்கரண்டி,
மிளகாய் தூள் - 1 தேக்கரண்டி,
உப்பு - 1 தேக்கரண்டி,
பெருங்காயத்தூள் - 1/4 தேக்கரண்டி,
பச்சை மிளகாய் - 4 நறுக்கியது,
தண்ணீர் - 1/4 கப்,
கறிவேப்பிலை,
புளி தண்ணீர் - 1/4 கப்,
கொத்தமல்லி இலை.</t>
  </si>
  <si>
    <t>ஒரு கடாயில் எண்ணெய் எடுக்கவும். கடுகு, சீரகம், கடலைப்பருப்பு சேர்த்து பொன்னிறமாகும் வரை வறுக்கவும்.
ஒரு முழு பூண்டு பற்களை சேர்த்து வதக்கவும்.
அடுத்து மெல்லியதாக நறுக்கிய வெங்காயத்தைச் சேர்த்து 2-3 நிமிடங்கள் வதக்கவும்.
பிறகு மஞ்சள் தூள், சிவப்பு மிளகாய் தூள், பெருங்காய பொடி, உப்பு, பச்சை மிளகாய் சேர்த்து நன்கு கலக்கவும்.
கறிவேப்பிலை மற்றும் புளி தண்ணீர் சேர்த்து நன்றாக கலக்கவும்.
 கடாயை ஒரு மூடியால் மூடி 4 நிமிடங்கள் சமைக்கவும்.
 இந்த நேரத்தில், சமைத்த அரிசியைச் சேர்த்து நன்கு கலக்கவும் (அரிசியை சிறிது உப்பு சேர்த்து சமைக்கவும்).
 2 நிமிடம் வதக்கி, பின்னர் பொடியாக நறுக்கிய கொத்தமல்லி இலைகளை சேர்க்கவும்.
 வெங்காய சாதம் உருளைக்கிழங்கு பொரியல், பப்பட் ஆகியவற்றுடன் சூடாக பரிமாற தயாராக உள்ளது.</t>
  </si>
  <si>
    <t>https://encrypted-tbn0.gstatic.com/images?q=tbn:ANd9GcS2j3JrpGkGwhClXh6vjvqCzUIghakY5pdxRA&amp;s</t>
  </si>
  <si>
    <t>https://youtu.be/dBlgAchjvPo?si=dbAEwxJ-XPdKvmtC</t>
  </si>
  <si>
    <t>Tomato Bath</t>
  </si>
  <si>
    <t>தக்காளி பாத்</t>
  </si>
  <si>
    <t>Green rice - 1/2 cup,
Turmeric dal - 1/2 cup,
Water - 5 cups,
Salt,
Oil - 1 tablespoon,
Ghee - 1 tablespoon,
Peanuts - 1 teaspoon,
Ultra seeds - 1 teaspoon,
Cashew nuts,
Mustard - 1 teaspoon,
Cumin - 1 teaspoon,
Corn powder - 1/4 teaspoon,
Ginger - 1 piece chopped,
Green chilies - 2 chopped,
Small onion - 1/2 cup chopped,
Curry leaves,
Tomatoes - 6 chopped,
Turmeric powder - 1/2 teaspoon,
Chili powder - 2 teaspoons,
Thaniya powder - 2 teaspoons,
Salt - 1 teaspoon,
Water - 2 Cup,
Coriander leaves - chopped,
Ghee.</t>
  </si>
  <si>
    <t>பச்சரிசி - 1/2 கப்,
துவரம் பருப்பு - 1/2 கப்,
தண்ணீர் - 5 கப் ,  
உப்பு ,
எண்ணெய் - 1 மேசைக்கரண்டி,
நெய் - 1 மேசைக்கரண்டி,
கடலை பருப்பு - 1 தேக்கரண்டி,
உளுத்தம் பருப்பு - 1 தேக்கரண்டி,
முந்திரி பருப்பு,
கடுகு - 1 தேக்கரண்டி,
சீரகம் - 1 தேக்கரண்டி,
பெருங்காயத்தூள் - 1/4 தேக்கரண்டி,
இஞ்சி - 1 துண்டு நறுக்கியது, 
பச்சை மிளகாய் - 2 நறுக்கியது ,
சின்ன வெங்காயம் - 1/2 கப் நறுக்கியது ,
கறிவேப்பிலை,
தக்காளி - 6 நறுக்கியது ,
மஞ்சள் தூள் - 1/2 தேக்கரண்டி,
மிளகாய் தூள் - 2 தேக்கரண்டி,
தனியா தூள் - 2 தேக்கரண்டி,
உப்பு - 1 தேக்கரண்டி,
தண்ணீர் - 2 கப்,
கொத்தமல்லி இலை - நறுக்கியது ,
நெய்.</t>
  </si>
  <si>
    <t>Take green rice and dal in a bowl. Wash them well, add required amount of water and soak them for 30 minutes.
Transfer the soaked rice and dal to the pressure cooker and add water. Use the same cup used to measure the rice and dal.
Add salt, mix well and close the pressure cooker for 4 whistles.
After the whistle and the pressure is released, transfer the cooked dal and rice to a bowl.
In a pan, add oil and ghee, add gram dal, urad dal, cashew nuts and fry until golden brown.
Add mustard seeds, cumin seeds, turmeric, finely chopped ginger, chopped green chillies and fry well.
Add small onions and fry, add curry leaves and mix well.
Add finely chopped tomatoes, turmeric powder, chilli powder, coriander powder and salt and mix everything together well.
Add water and let it boil until the raw smell goes away.
Then, gradually add the boiled lentils and rice and mix well. Keep the flame low and cook.
Add chopped coriander leaves and ghee and mix well.
The delicious tomato bath is ready.</t>
  </si>
  <si>
    <t>ஒரு பாத்திரத்தில் பச்சரிசி மற்றும் துவரம் பருப்பு எடுத்து கொள்ளவும். நன்றாகக் கழுவி, தேவையான அளவு தண்ணீர் ஊற்றி 30 நிமிடம் ஊற வைக்கவும்.
ஊறவைத்த அரிசி மற்றும் பருப்பை பிரஷர் குக்கருக்கு மாற்றி தண்ணீர் சேர்க்கவும். அரிசி மற்றும் பருப்பை அளவிட பயன்படுத்தப்படும் அதே கோப்பையைப் பயன்படுத்தவும்.
 உப்பு சேர்த்து நன்கு கலந்து பிரஷர் குக்கரை மூடி 4 விசில் விடவும்.
 விசில் வந்ததும் பிரஷர் வெளியானதும் சமைத்த பருப்பு மற்றும் அரிசியை ஒரு பாத்திரத்தில் மாற்றவும்.
 ஒரு கடாயில், எண்ணெய் மற்றும் நெய் சேர்த்து, கடலை பருப்பு, உளுத்தம் பருப்பு, முந்திரி சேர்த்து பொன்னிறமாக வறுக்கவும்.
கடுகு, சீரகம், பெருங்காயம், பொடியாக நறுக்கிய இஞ்சி, நறுக்கிய பச்சை மிளகாய் சேர்த்து நன்கு வதக்கவும்.
 சின்ன வெங்காயம் சேர்த்து வதக்கி, கறிவேப்பிலை சேர்த்து நன்கு கலக்கவும்.
பொடியாக நறுக்கிய தக்காளி, மஞ்சள் தூள், மிளகாய் தூள், மல்லி தூள் மற்றும் உப்பு சேர்த்து அனைத்தையும் ஒன்றாக சேர்த்து நன்கு கலக்கவும்.
தண்ணீர் ஊற்றி பச்சை வாசனை போகும் வரை கொதிக்க விடவும்.
பிறகு, வேகவைத்த பருப்பு மற்றும் அரிசியை படிப்படியாக சேர்த்து நன்கு கலக்கவும். தீயை குறைவாக வைத்து சமைக்கவும்.
நறுக்கிய கொத்தமல்லி தழை மற்றும் நெய் சேர்த்து நன்கு கலக்கவும்.
சுவையான தக்காளி பாத் தயாராக உள்ளது.</t>
  </si>
  <si>
    <t>https://encrypted-tbn0.gstatic.com/images?q=tbn:ANd9GcQqSvktPmf70dawKg1DiMxdXMitf7KvTRzLHQ&amp;s</t>
  </si>
  <si>
    <t>https://youtu.be/-Zbzqe69g2o?si=TEkSO6t4nGaTU2s9</t>
  </si>
  <si>
    <t>Basmati rice - 1 cup,
Oil - 2 tablespoons,
Garlic - 1 tablespoon, chopped,
Onion leaves - 1 cup, chopped,
Carrot - 1 cup, chopped,
Beans - 1 cup, chopped,
Cabbage - 1 cup, chopped,
Corn - 1 cup, boiled,
Baby corn - 1/2 cup, chopped,
Salt - as required,
Pepper powder - as required,
Soy sauce - 2 tablespoons,
Vinegar - 1 tablespoon,
Green onion leaves.</t>
  </si>
  <si>
    <t>பாஸ்மதி அரிசி - 1  கப் ,
எண்ணெய்  - 2 மேசைக்கரண்டி ,
பூண்டு - 1 மேசைக்கரண்டி பொடியாக நறுக்கியது,
வெங்காயத்தாள் வெங்காயம் - 1 கப் பொடியாக நறுக்கியது,
கேரட் - 1 கப் பொடியாக நறுக்கியது,
பீன்ஸ் - 1 கப் பொடியாக நறுக்கியது,
முட்டைகோஸ் - 1 கப் பொடியாக நறுக்கியது,
சோளம் - 1 கப்  வேகவைத்தது ,
பேபி கார்ன் - 1/2 கப் நறுக்கியது,
உப்பு - தேவைக்கு ஏற்ப,
மிளகு தூள் - தேவைக்கு ஏற்ப,
சோயா சாஸ் - 2 மேசைக்கரண்டி ,
வினிகர் - 1 மேசைக்கரண்டி ,
வெங்காயத்தாள் பச்சை.</t>
  </si>
  <si>
    <t>First, boil water in a vessel, add washed basmati rice and salt to it, and when it is three-fourth cooked, strain and keep it aside.
Heat oil in a pan and add garlic, spring onion, carrot, beans, cabbage, corn and baby corn and sauté for 5 minutes.
Once the vegetables are cooked, add salt, pepper, soy sauce and vinegar and stir.
Next, add the cooked rice and stir.
Finally, chop the green part of the spring onion and add it to the rice and stir to combine.
Vegetable Fried Rice is ready.</t>
  </si>
  <si>
    <t>முதலில் ஒரு பாத்திரத்தில் தண்ணீரை கொதிக்க விட்டு அதில் கழுவிய பாஸ்மதி அரிசி மற்றும் உப்பு சேர்த்து முக்கால் பாகம் வெந்தவுடன் வடிகட்டி தனியாக எடுத்து வைக்கவும்.
ஒரு கடாயில் எண்ணெய் ஊற்றி பூண்டு, வெங்காயத்தாள் வெங்காயம், கேரட், பீன்ஸ், முட்டைகோஸ், சோளம் மற்றும் பேபி கார்ன் சேர்த்து 5 நிமிடங்கள் வதக்கவும்.
காய்கறிகள் வெந்த பின் இதில் உப்பு, மிளகுத்தூள், சோயா சாஸ் மற்றும் வினிகர் சேர்த்து கிளறவும்.
 அடுத்து வேக வைத்த சாதத்தை சேர்த்து கிளறவும்.
 இறுதியாக வெங்காயத்தாள் பச்சை பகுதியை நறுக்கி சாதத்துடன் சேர்த்து கிளறி இறக்கவும்.
வெஜிடபிள் ப்ரைட் ரைஸ் தயார்.</t>
  </si>
  <si>
    <t>https://i.ytimg.com/vi/n6DdUuqTpc8/maxresdefault.jpg</t>
  </si>
  <si>
    <t>https://youtu.be/W6YOjEF1UFs?si=puMN62m4aWk-4bNO</t>
  </si>
  <si>
    <t>Whole Taniya - 2 tablespoons.
Cashews - 10,
Cumin - 1 tbsp,
Garlic - 1 1/2 tbsp,
Cardamom - 6,
Whole pepper - 1 tbsp,
Biryani leaves - 2,
Pineapple blossoms - 2,
Balti - 2 pieces,
Javitri - 2 pieces,
Cloves - 10,
Nutmeg,
Anise - 1 tbsp,
Small onion - 15,
Green chillies - 5,
Garlic - 5 cloves,
Ginger - large piece,
Mutton - 1 kg,
Water - 1 1/2 cups,
Oil - 3 tbsp,
Ghee - 2 tbsp,
Turmeric powder - 1/2 tsp,
Chili powder - 1 tbsp,
Garlic powder - 2 spoon,
Lemon juice - 1 fruit,
Yogurt - 200 grams,
Mint leaves,
Coriander leaves,
Ceema samba rice - 2 cups,
Banana leaves.</t>
  </si>
  <si>
    <t>முழு தனியா - 2 மேசைக்கரண்டி.
முந்திரி - 10,
சீரகம் - 1 மேசைக்கரண்டி,
கல்பாசி - 1 1/2 மேசைக்கரண்டி,
ஏலக்காய் - 6,
முழு மிளகு - 1 மேசைக்கரண்டி,
பிரியாணி இலை - 2,
அன்னாசி பூ - 2,
பட்டை - 2 துண்டு,
ஜாவித்ரி - 2 துண்டு,
கிராம்பு - 10,
ஜாதிக்காய்,
சோம்பு - 1 மேசைக்கரண்டி,
சின்ன வெங்காயம் - 15, 
பச்சை மிளகாய் - 5,
பூண்டு - 5 பற்கள் ,
இஞ்சி - பெரிய துண்டு,
மட்டன் - 1 கிலோ,
தண்ணீர் - 1 1/2 கப் ,
எண்ணெய் - 3 மேசைக்கரண்டி,
நெய் - 2 மேசைக்கரண்டி,
மஞ்சள் தூள் - 1/2 தேக்கரண்டி,
மிளகாய் தூள் - 1 மேசைக்கரண்டி,
கல்லுப்பு - 2 தேக்கரண்டி,
எலுமிச்சை சாறு - 1 பழம் , 
தயிர் - 200 கிராம் ,
புதினா இலை ,
கொத்தமல்லி இலை ,
சீரக சம்பா அரிசி - 2 கப் ,
வாழை இலை .</t>
  </si>
  <si>
    <t>First, put the mutton pieces and required amount of water in a pressure cooker and cook on medium heat until 4 - 5 whistles.
Wash the ceema samba rice well and soak it for 20 minutes.
To grind the spice powder, in a mixer jar, grind the coriander, cashew, cumin, galangal, cardamom, pepper, biryani leaves, pineapple flower, bark, mace, cloves, nutmeg, and anise into a fine powder and keep it aside.
Next, to grind the spice paste, add the onion, green chili, garlic, and ginger in a mixer jar and grind it into a paste without water.
To make biryani, pour oil and ghee in a wide vessel and add the ground onion paste and fry.
After the onion paste changes color and the green smell disappears, add the ground masala powder, turmeric powder, chili powder and rock salt and fry on medium heat.
Next, add the boiled mutton pieces without water and stir.
Add lemon juice, yogurt, coriander leaves and mint leaves to this and stir well.
Pour the water in which the mutton was boiled.
Next, add the soaked rice and hot water and mix well.
Cover the vessel and cook on medium heat for ten minutes.
Once the rice is half cooked, remove the vessel from the stove and place a dosa tawa on the stove.
Once the dosa stone is hot, place the removed vessel on it and reduce the heat well.
Lightly fry the biryani, pour ghee on it, sprinkle coriander leaves and mint leaves and cover the biryani with a banana leaf.
Next, cover the dish with aluminum foil and place a heavy plate on top and bake for 20 minutes. 16. Dindigul Mutton Biryani is ready.</t>
  </si>
  <si>
    <t>முதலில் பிரஷர் குக்கரில் மட்டன் துண்டுகள் மற்றும் தேவையான அளவு தண்ணீர் ஊற்றி  மிதமான சூட்டில் 4 - 5 விசில் வரும் வரை வேக வைக்கவும்.
சீரக சம்பா அரிசியை நன்கு கழுவி 20 நிமிடங்களுக்கு ஊற வைக்கவும்.
 மசாலா தூள் அரைக்க மிக்ஸி ஜாரில், தனியா, முந்திரி, சீரகம், கல்பாசி, ஏலக்காய், மிளகு, பிரியாணி இலை, அன்னாசிப் பூ, பட்டை, ஜாவிதிரி, கிராம்பு, ஜாதிக்காய், சோம்பு ஆகியவற்றை நன்கு பொடியாக அரைத்து தனியாக வைத்து கொள்ளவும்.
 அடுத்து மசாலா விழுது அரைக்க மிக்ஸி ஜாரில் சின்னவெங்காயம், பச்சைமிளகாய், பூண்டு மற்றும் இஞ்சி சேர்த்து தண்ணீரின்றி விழுதாக அரைத்துக் கொள்ளவும்.
பிரியாணி செய்ய ஒரு அகல பாத்திரத்தில் எண்ணெய் மற்றும் நெய் ஊற்றி அரைத்த வெங்காய விழுதை சேர்த்து வதக்கவும்.
 வெங்காய விழுது நிறம் மாறி பச்சை வாசனை போன பின்பு அதில் அரைத்த மசாலா தூள், மஞ்சள் தூள், மிளகாய் தூள் மற்றும் கல் உப்பு சேர்த்து மிதமான சூட்டில் வதக்கவும்.
அடுத்து வேக வைத்த மட்டன் துண்டுகளை தண்ணீரின்றி சேர்த்து கிளறவும்.
இதில் எலுமிச்சை சாறு தயிர் கொத்தமல்லி இலை மற்றும் புதினா இலை சேர்த்து நன்கு கிளறவும்.
 இதனுடன் மட்டன் வேக வைத்த தண்ணீரை ஊற்றவும்.
 அடுத்து ஊற வைத்த அரிசி மற்றும் வெந்நீர் ஊற்றி நன்கு கலக்கவும்.
 பாத்திரத்தை மூடி மிதமான சூட்டில் பத்து நிமிடங்களுக்கு சமைக்கவும்.
அரிசி பாதி வெந்த பின் பாத்திரத்தை அடுப்பிலிருந்து இறக்கி ஒரு தோசை தவாவை அடுப்பில் வைக்கவும்.
 தோசை கல் சூடான பின் இறக்கிய பாத்திரத்தை அதன் மீது வைத்து தீயை நன்கு குறைக்கவும்.
பிரியாணியை லேசாக கிண்டி அதன்மேல் நெய் ஊற்றி கொத்தமல்லி இலை புதினா இலை தூவி வாழை இலையால் பிரியாணியை மூடவும்.
 அடுத்து பாத்திரத்தை அலுமினியம் ஃபாயிலால் மூடி அதன் மேல் ஒரு கனமான தட்டை வைத்து 20 நிமிடங்களுக்கு  தம் கட்டவும்.16. திண்டுக்கல் தம் மட்டன் பிரியாணி தயார்.</t>
  </si>
  <si>
    <t>https://cdn.ibcstack.com/article/9ee6635b-039b-400c-8b97-5838b622d68e/24-659a5727b88a3.webp</t>
  </si>
  <si>
    <t>https://youtu.be/Vp3fMW832D8?si=DBwptYjMUnB-8NT7</t>
  </si>
  <si>
    <t>Andhra Style Sambar</t>
  </si>
  <si>
    <t>ஆந்திரா ஸ்டைல் சாம்பார்</t>
  </si>
  <si>
    <t>Thurram Dal - 1/2 cup,
Tomato - 2 chopped,
Garlic - 6 cloves,
Turmeric powder - 1/2 teaspoon,
Oil - 1 tablespoon,
Peanuts - 1 teaspoon,
Mustard - 1/2 teaspoon,
Dengar - 1/4 teaspoon,
Cumin - 1/2 teaspoon,
Dried chilies - 3,
Corn powder - 1/2 teaspoon,
Curry leaves,
Small onion - 15,
Onion - 1 chopped,
Green chilies - 2,
Carrot - 1 chopped,
Sweet potato - 1 chopped,
Radish - 1 chopped,
Drumstick - 2 chopped,
Salt - 2 teaspoons,
Chilli powder - 2 teaspoon,
Thaniya powder - 1 teaspoon,
Tamarind solution,
Water - 3 cups,
Chopped coriander leaves.</t>
  </si>
  <si>
    <t>துவரம் பருப்பு - 1/2 கப்,
தக்காளி - 2 நறுக்கியது ,
பூண்டு - 6 பற்கள்,
மஞ்சள் தூள் - 1/2 தேக்கரண்டி,
எண்ணெய் - 1 மேசைக்கரண்டி,
கடலை பருப்பு - 1 தேக்கரண்டி,
கடுகு - 1/2 தேக்கரண்டி,
வெந்தயம் - 1/4 தேக்கரண்டி,
சீரகம் - 1/2 தேக்கரண்டி,
காய்ந்த மிளகாய் - 3,
பெருங்காயத்தூள் - 1/2 தேக்கரண்டி,
கறிவேப்பிலை,
சின்ன வெங்காயம் - 15,
வெங்காயம் - 1 நறுக்கியது,
பச்சை மிளகாய் - 2,
கேரட் - 1 நறுக்கியது,
சர்க்கரைவள்ளி கிழங்கு - 1 நறுக்கியது,
முள்ளங்கி - 1 நறுக்கியது,
முருங்கைக்காய் - 2 நறுக்கியது,
உப்பு - 2 தேக்கரண்டி,
மிளகாய் தூள் - 2 தேக்கரண்டி,
தனியா தூள் - 1 தேக்கரண்டி,
புளி கரைசல்,
தண்ணீர் - 3 கப்,
கொத்தமல்லி இலை நறுக்கியது.</t>
  </si>
  <si>
    <t>Mix the soaked dal, chopped tomatoes, garlic, turmeric powder, and salt in the cooker and cook until the cooker reaches 5 whistles.
Pour oil in a pan and add the peanuts, mustard, fenugreek, cumin, dried chilies, coriander powder, and curry leaves.
Then add the small onion, large onion, and sauté.
Then add the chopped carrots, sugar beet, radish, and drumstick and mix.
Then add salt, chili powder, taniya powder, tamarind solution, and water and cook for 15 minutes.
Then add the boiled dal, mix, and cook on low heat and then add the chopped coriander leaves and remove.
Andhra style sambar is ready!</t>
  </si>
  <si>
    <t>குக்கரில் ஊறவைத்த துவரம் பருப்பு, நறுக்கிய தக்காளி, பூண்டு, மஞ்சள் தூள்,உப்பு சேர்த்து கலந்து குக்கரை மூடி 5 விசில் வரும் வரை வேகவிடவும்.
 கடாயில் எண்ணெய் ஊற்றி அதில் கடலை பருப்பு, கடுகு, வெந்தயம், சீரகம், காய்ந்த மிளகாய், பெருங்காயத்தூள், கறிவேப்பிலை சேர்க்கவும்.
 பின்பு சின்ன வெங்காயம், பெரிய வெங்காயம் சேர்த்து வதக்கவும்.
 பிறகு நறுக்கிய கேரட், சர்க்கரைவள்ளி கிழங்கு, முள்ளங்கி, முருங்கைக்காய் சேர்த்து கலந்துவிடவும்.
 பின்பு உப்பு, மிளகாய் தூள், தனியா தூள், புளி கரைசல் மற்றும் தண்ணீர் ஊற்றி கலந்து 15 நிமிடம் வேகவிடவும்.
பிறகு வேகவைத்த பருப்பை சேர்த்து கலந்து குறைந்த தீயில் வேகவிட்டு பின்பு நறுக்கிய கொத்தமல்லி இலை சேர்த்து இறக்கவும்.
ஆந்திரா ஸ்டைல் சாம்பார் தயார்!</t>
  </si>
  <si>
    <t>https://samayalnalam.com/wp-content/uploads/2023/12/Andhra-Sambar.jpeg</t>
  </si>
  <si>
    <t>https://youtu.be/YruK9feCv1o?si=NwGeFPsKdDfoY6fE</t>
  </si>
  <si>
    <t xml:space="preserve">
சோள ரொட்டி</t>
  </si>
  <si>
    <t>Pour water into a pan, add salt and boil it.
Then add cornflour and mix it. Once the water dries up, turn off the stove and cover it for 10 minutes.
Next, transfer the dough to another bowl, knead it well and roll it into small balls.
Sprinkle flour on a chapati stone, roll the rolled dough in flour, and place it on the stone and rub it.
Then heat the dosa stone and put the rubbed dough on it and cook it.
When one side is cooked, turn it over to the other side.
When both sides are cooked, apply ghee and serve it hot.
Cornbread is ready!</t>
  </si>
  <si>
    <t>கடாயில் தண்ணீர் ஊற்றி அதில் உப்பு சேர்த்து கொதிக்கவிடவும்.
பின்பு சோள மாவு சேர்த்து கலந்து தண்ணீர் வற்றியதும் அடுப்பை அணைத்து பிறகு 10 நிமிடம் மூடி வைக்கவும்.
 அடுத்து மாவை மற்றோரு பாத்திரத்திற்கு மாற்றி நன்கு பிசைந்து சிறு சிறு உருண்டைகளாக உருட்டிக்கொள்ளவும்.
சப்பாத்தி கல்லில் மாவை தூவி உருட்டிய மாவை, மாவில் பிரட்டி கல்லில் வைத்து தேய்த்துக்கொள்ளவும்.
 பின்பு தோசை கல்லை சூடு செய்து அதில் தேய்த்த மாவை போட்டு வேகவிடவும்.
 ஒரு பக்கம் வெந்ததும் அடுத்த பக்கம் திருப்பி போடவும்.
 இரண்டு பக்கமும் வெந்ததும் நெய் தடவி சூடாக பரிமாறவும்.
 சோள ரொட்டி தயார்!</t>
  </si>
  <si>
    <t>https://encrypted-tbn0.gstatic.com/images?q=tbn:ANd9GcQnomWthwRnf7faDLUpqErM2UU5BW6Z1Tyd1w&amp;s</t>
  </si>
  <si>
    <t>https://youtu.be/QOJiwVn5lgM?si=G3n1wl75paNn0Oim</t>
  </si>
  <si>
    <t>Cashew Rice</t>
  </si>
  <si>
    <t>முந்திரி சாதம்</t>
  </si>
  <si>
    <t>Basmati rice - 1 cup (250 ml),
Salt - 3 teaspoons,
Baking powder, cardamom,
Cloves,
Pineapple blossom,
Baking leaves,
Cumin - 1 teaspoon,
Ghee - 4 teaspoons,
Mint leaves,
Coriander leaves,
Oil - for frying,
Cashew nuts,
Fried onion,
Oil - 2 teaspoons,
Green chillies - 5 chopped,
Garlic chopped,
Ginger - 1 piece chopped,
Milk - 1/2 cup boiled and cooled.</t>
  </si>
  <si>
    <t xml:space="preserve">பாஸ்மதி அரிசி - 1 கப் (250 மிலி),
உப்பு - 3 தேக்கரண்டி,
பட்டை, ஏலக்காய்,
 கிராம்பு,  
அன்னாசி பூ, 
பிரியாணி இலை,
சீரகம் - 1 தேக்கரண்டி,
நெய் - 4 தேக்கரண்டி,
புதினா இலை,
கொத்தமல்லி இலை,
எண்ணெய் - பொரிப்பதற்கு ,
முந்திரி பருப்பு,
வறுத்த வெங்காயம்,
எண்ணெய் - 2 தேக்கரண்டி,
பச்சை மிளகாய் - 5 நறுக்கியது ,
பூண்டு நறுக்கியது,
இஞ்சி - 1 துண்டு நறுக்கியது,
பால் - 1/2 கப் காய்ச்சி ஆறவைத்தது.
</t>
  </si>
  <si>
    <t>Wash the basmati rice and soak it for 30 minutes.
Boil water in a vessel, add salt, soaked basmati rice, rind, cardamom, cloves, pineapple blossom, bay leaf, cumin seeds, ghee, mint leaves and coriander leaves and boil the rice till three-quarters full. Then drain it
and keep it aside.
Pour oil in a small pan, fry the cashews till golden brown and keep it aside.
Next grind the green chillies, ginger and garlic in a mixer jar.
For the masala milk mixture, pour oil in a small pan, add the ground paste and fry till the raw smell goes away.
Then pour the boiled and cooled milk and boil it till it thickens a little.
Heat a tava and place a vessel on it and add ghee and boiled basmati rice.
Then spread it evenly and add the masala milk mixture, fried cashews and fried onions.
Next, cover the vessel and cook for 15 minutes.
Delicious cashew rice is ready.</t>
  </si>
  <si>
    <t>பாஸ்மதி அரிசியை கழுவி 30 நிமிடம் ஊற வைக்கவும்.
ஒரு பாத்திரத்தில் தண்ணீரை கொதிக்க வைத்து, உப்பு, ஊறவைத்த பாஸ்மதி அரிசி, பட்டை, ஏலக்காய், கிராம்பு, அன்னாசி பூ, பிரியாணி இலை, சீரகம், நெய், புதினா இலை மற்றும் கொத்தமல்லி இலை சேர்த்து அரிசியை முக்கால் பாகம் வேகவைக்கவும். பின்பு அதை வடிகட்டி
தனியாக வைக்கவும்.
 ஒரு சிறிய கடாயில் எண்ணெய் ஊற்றி, முந்திரியை பொன்னிறமாக வறுத்து தனியாக வைக்கவும்.
 அடுத்து பச்சை மிளகாய், இஞ்சி மற்றும் பூண்டை மிக்ஸி ஜாரில் அரைக்கவும்.
 மசாலா பால் கலவைக்கு, ஒரு சிறிய கடாயில் எண்ணெய் ஊற்றி, அரைத்த விழுதை சேர்த்து பச்சை வாசனை போகும் வரை வதக்கவும்.
 பின்பு காய்ச்சி ஆறவைத்த பாலை ஊற்றி சிறிது கெட்டியாகும் வரை கொதிக்க வைக்கவும்.
ஒரு தவாவை சூடாக்கி அதன் மீது ஒரு பாத்திரத்தை வைத்து நெய் மற்றும் வேகவைத்த பாஸ்மதி அரிசியை போடவும்.
 பிறகு அதை சமமாக பரப்பி மசாலா பால் கலவை, வறுத்த முந்திரி மற்றும் வறுத்த வெங்காயம் சேர்க்கவும்.
அடுத்து பாத்திரத்தை மூடி 15 நிமிடம் வேகவைக்கவும்.
 சுவையான முந்திரி சாதம் தயார்.</t>
  </si>
  <si>
    <t>https://encrypted-tbn0.gstatic.com/images?q=tbn:ANd9GcT5eMnoknfXurk7Tj9lAW4ODRTvGTwhxDGwwA&amp;s</t>
  </si>
  <si>
    <t>https://youtu.be/O5_xAjClHEs?si=oz5Vl17HioEcbkZd</t>
  </si>
  <si>
    <t>Pumpkin Paratha</t>
  </si>
  <si>
    <t>பூசணிக்காய் பராத்தா</t>
  </si>
  <si>
    <t>Pumpkin - 500 grams,
Wheat flour - 4 cups (250 ml cup) 1/2 cup,
Salt - 1 teaspoon,
Sugar - 2 teaspoons,
Water,
Oil,
Ghee.</t>
  </si>
  <si>
    <t>பூசணிக்காய் - 500 கிராம்,
கோதுமை மாவு - 4 கப் (250 மி.லி கப்) 1/2 கப் ,
உப்பு - 1 தேக்கரண்டி,
சர்க்கரை - 2 தேக்கரண்டி,
தண்ணீர் ,
எண்ணெய்,
நெய்.</t>
  </si>
  <si>
    <t>Add chopped pumpkin to a bowl with a little water and cook until soft and mushy. Once done, remove it from the bowl and transfer it to a bowl.
Mash the pieces well with a masher.
Add wheat flour to a bowl and add cooked and mashed pumpkin. Add salt and sugar to it.
Start kneading the dough slowly. Gradually add water as needed to make the dough.
Apply some oil all over the dough and keep it for 15 minutes.
After 15 minutes, add some flour and mix again.
Divide the dough into equal sized balls. Gently spread the batter evenly.
Apply some oil and roll the paratha on one side and fold it.
Sprinkle it with some flour and roll it evenly.
Heat a tava and place the rolled paratha on it and flip it to the other side.
Once both sides are cooked, apply some ghee and remove from the tava.
The soft and fluffy pumpkin paratha is ready to serve with curd and pickle or a side dish of your choice.</t>
  </si>
  <si>
    <t>ஒரு பாத்திரத்தில் சிறிது தண்ணீர் ஊற்றி நறுக்கிய பூசணிக்காயை சேர்த்து மென்மையாகவும், மிருதுவாகவும் வரை சமைக்கவும். முடிந்ததும் அதை பாத்திரத்தில் இருந்து அகற்றி ஒரு பாத்திரத்திற்கு மாற்றவும்.
 துண்டுகளை ஒரு மாஷர் மூலம் நன்றாக மசிக்கவும்.
 ஒரு பாத்திரத்தில் கோதுமை மாவு சேர்த்து, சமைத்த மற்றும் மசித்த பூசணிக்காயை சேர்க்கவும். இதனுடன் உப்பு மற்றும் சர்க்கரை சேர்க்கவும்.
மெதுவாக மாவை பிசையத் தொடங்குங்கள். தேவையான போது படிப்படியாக தண்ணீர் சேர்த்து மாவை தயார் செய்யவும்.
 மாவை முழுவதும் சிறிது எண்ணெய் தடவி 15 நிமிடம் வைக்கவும்.
 15 நிமிடங்களுக்குப் பிறகு, மாவை சிறிது மாவுடன் சேர்த்து மீண்டும் கலக்கவும்.
 மாவை சம அளவு உருண்டைகளாகப் பிரிக்கவும். மெதுவாக சமமாக மாவை பரப்பவும்.
 சிறிது எண்ணெய் தடவி பராத்தாவை ஒரு பக்கமாக உருட்டி மடித்து வைக்கவும்.
அதை சிறிது மாவுடன் தூவி சமமாக உருட்டவும்.
ஒரு தவாவை சூடாக்கி உருட்டிய பராத்தாவை வைத்து மறுபுறம் புரட்டவும்.
 இரண்டு பக்கமும் வெந்தவுடன் சிறிது நெய் தடவி தவாவில் இருந்து இறக்கவும்.
மென்மையான மற்றும் பஞ்சுபோன்ற பூசணிக்காய் பராத்தா தயிர் மற்றும் ஊறுகாய் அல்லது உங்கள் விருப்பப்படி சைடிஷ் உடன் பரிமாற தயாராக
உள்ளது.</t>
  </si>
  <si>
    <t>https://butfirstchai.com/wp-content/uploads/2022/08/pumpkin-paratha-recipe.jpg</t>
  </si>
  <si>
    <t>https://youtu.be/M2URPnbIo_Q?si=6h2aM_LOzRyoxEL9</t>
  </si>
  <si>
    <t>Flat-leaf rice</t>
  </si>
  <si>
    <t>தட்டப்பயிறு சாதம்</t>
  </si>
  <si>
    <t>Oil - 2 tablespoons,
Peanuts - 1 tablespoon,
Ultra-fine lentils - 1 tablespoon,
Pepper - 1/2 teaspoon,
Mustard - 1 teaspoon,
Cumin - 1 teaspoon,
Chopped onions - 3,
Garlic - 6 cloves,
Green chilies - 4,
Curry leaves,
Flat-leaf lentils - 3/4 cup,
Salt - 1 teaspoon,
Turmeric powder - 1/2 teaspoon,
Chilli powder - 1 1/2 teaspoons,
Cumin powder - 1 teaspoon,
Tomatoes - 3,
Water - 3 cups,
Green rice - 1 cup,
Salt - 1 teaspoon,
Ghee - 1 tablespoon,
Chopped coriander.</t>
  </si>
  <si>
    <t>எண்ணெய் - 2 மேசைக்கரண்டி ,
கடலை பருப்பு - 1 தேக்கரண்டி ,
உளுத்தம் பருப்பு - 1 தேக்கரண்டி,
மிளகு  - 1/2 தேக்கரண்டி,
கடுகு - 1 தேக்கரண்டி,
சீரகம் - 1 தேக்கரண்டி,
நறுக்கிய வெங்காயம்   - 3,
பூண்டு - 6 பல்,
பச்சை மிளகாய் - 4,
கறிவேப்பிலை,
தட்டை பயிறு - 3/4 கப்,
உப்பு - 1 தேக்கரண்டி,
மஞ்சள்தூள் - 1/2 தேக்கரண்டி ,
மிளகாய்தூள் - 1 1/2 தேக்கரண்டி ,
சீரகத்தூள்  - 1 தேக்கரண்டி,
தக்காளி  - 3,
தண்ணீர் - 3 கப்,
பச்சரிசி  - 1 கப்,
உப்பு - 1 தேக்கரண்டி,
நெய் - 1 மேசைக்கரண்டி,
நறுக்கிய கொத்தமல்லி.</t>
  </si>
  <si>
    <t>Wash the lentils and rice separately and soak them for half an hour.
In a pressure cooker, pour oil and season with mustard. Once the mustard is seasoned, add curry leaves and onions and sauté.
Once the onions turn golden brown, add ginger garlic paste, green chillies and tomatoes and sauté well.
Add turmeric powder, chilli powder and salt and mix.
Then, add the lentils and rice, stir well and add 2.5 cups of water and mix.
Close the pressure cooker lid and cook till 2 whistles. Then, once the heat subsides, turn off the heat and let it simmer for 5 minutes.
Sprinkle coriander leaves on top and serve.</t>
  </si>
  <si>
    <t>தட்டப்பயிறு மற்றும் அரிசியை தனித்தனியாக கழுவி, அரை மணி நேரம் ஊறவைத்து வைக்கவும்.
ஒரு பிரஷர் குடத்தில், எண்ணெய் ஊற்றி கடுகு தாளிக்கவும். கடுகு தாளித்ததும், கறிவேப்பிலை, வெங்காயம் சேர்த்து வதக்கவும்.
வெங்காயம் தங்கமூட்டுப் பருப்பாக மாறியதும், இஞ்சி பூண்டு விழுது, பச்சை மிளகாய், தக்காளி சேர்த்து நன்கு வதக்கவும்.
மஞ்சள் தூள், மிளகாய் தூள், உப்பு சேர்த்து கலந்து விடவும்.
பிறகு, தட்டப்பயிறு மற்றும் அரிசியை சேர்த்து நன்கு கிளறி 2.5 கப் தண்ணீர் ஊற்றி கலக்கவும்.
பிரஷர் லிட் அடைத்து, 2 விசில் வரும் வரை வேகவைக்கவும். பின்னர் சுடு ஆறியதும் தாழ்ந்த தீயில் 5 நிமிடம் வைத்து இறக்கவும்.
மேலே கொத்தமல்லி இலை தூவி பரிமாறவும்.</t>
  </si>
  <si>
    <t>https://encrypted-tbn0.gstatic.com/images?q=tbn:ANd9GcSZFq7_MubB9dY0dZBFnjtHgVtcqNrkgQYaaQ&amp;s</t>
  </si>
  <si>
    <t>https://youtu.be/_ddzPrXbgSY?si=9Or9lFvNcG49JJUY</t>
  </si>
  <si>
    <t>Tamaranth - 1 bunch,
Green chillies - 3 chopped,
Oil - 1 tsp,
Salt - 1/2 tsp,
Water,
Basmati rice - 500 gms,
Chicken - 1 kg,
Turmeric powder - 1 tsp,
Chili powder - 2 tsp,
Salt - 1 1/2 tsp,
Oil - 2 tbsp,
Ghee - 2 tbsp,
Biryani leaf - 1,
Pineapple blossom - 1,
Nutmeg,
Battleroot,
Marathi bud,
Anise - 1 tsp,
Cardamom - 3,
Cloves - 3,
Stone moss,
Onion - 3 chopped,
Green chillies - 3,
Ginger garlic paste - 2 tsp,
Tomato - 3 chopped,
Salt - 1 teaspoon,
Coriander leaves .</t>
  </si>
  <si>
    <t>புளிச்ச கீரை - 1 கட்டு,
பச்சை மிளகாய் - 3 கீறியது,
எண்ணெய் - 1 தேக்கரண்டி,
உப்பு - 1/2 தேக்கரண்டி,
தண்ணீர்,  
பாஸ்மதி அரிசி - 500 கிராம்,
சிக்கன் - 1 கிலோ,
மஞ்சள் தூள் - 1 தேக்கரண்டி,
மிளகாய் தூள் - 2 தேக்கரண்டி,
உப்பு - 1 1/2 தேக்கரண்டி,
எண்ணெய் - 2 மேசைக்கரண்டி,
நெய் - 2 மேசைக்கரண்டி,
பிரியாணி இலை - 1,
அன்னாசிப்பூ - 1,
ஜாதிபத்திரி,
பட்டை ,
மராத்தி மொக்கு,
சோம்பு - 1 தேக்கரண்டி,
ஏலக்காய் - 3,
கிராம்பு - 3 ,
கல் பாசி,
வெங்காயம் - 3 நறுக்கியது,
பச்சை மிளகாய் - 3,
இஞ்சி பூண்டு விழுது - 2 தேக்கரண்டி,
தக்காளி - 3 நறுக்கியது,
உப்பு - 1 தேக்கரண்டி,
கொத்தமல்லி இலை .</t>
  </si>
  <si>
    <t>சிக்கனில் மஞ்சள் தூள், மிளகாய் தூள், உப்பு சேர்த்து கலந்து வைக்கவும்.
கடாயில் எண்ணெய் ஊற்றி அதில் புளிச்ச கீரை மற்றும் பச்சை மிளகாய் சேர்த்து வதக்கவும்.
 பின்பு உப்பு சேர்த்து கலந்துவிடவும், பிறகு நன்கு ஆறவிட்டு விழுதாக அரைக்கவும்.
 அடுத்து குக்கரில் நெய் மற்றும் எண்ணையை ஊற்றவும்.
பின்பு பிரியாணி இலை, அன்னாசிப்பூ, ஜாதிபத்திரி, பட்டை, மராத்தி மொக்கு, சோம்பு, ஏலக்காய், கிராம்பு, கல் பாசி சேர்த்து கலந்துவிடவும்.
 பிறகு மெல்லிசாக நறுக்கிய வெங்காயம், பச்சை மிளகாய் சேர்த்து பொன்னிறமாக வதக்கவும்.
பின்பு இஞ்சி பூண்டு விழுது சேர்த்து கலந்துவிட்டு, பொடியாக நறுக்கிய தக்காளி சேர்த்து வதக்கவும்.
ஊறவைத்த சிக்கன் துண்டுகளை சேர்த்து கலந்து 5 நிமிடம் வேகவிடவும்.
 பிறகு அரைத்த புளிச்ச கீரையை சேர்த்து கலந்து 5 நிமிடம் வேகவிடவும் .
 பின்பு தண்ணீர் சேர்த்து கலந்துவிட்டு குக்கரை மூடி 2 விசில் வரும் வரை வேகவிடவும்.
பிறகு விசில் இறங்கியதும் அதில் ஊறவைத்த பாஸ்மதி அரிசியை சேர்த்து கலந்துவிடவும்.
 பின்பு கொத்தமல்லி இலை சேர்த்து குக்கரை மூடி ஆவி வரும் வரை வேகவிடவும்.
 ஆவி வந்ததும் விசில் போட்டு 5 நிமிடம் மிதமான தீயில் வேகவிடவும்.
 பின்பு இறக்கி வைத்து 10 நிமிடம் கழித்து திறக்கவும்.
 புளிச்ச கீரை பிரியாணி தயார்.</t>
  </si>
  <si>
    <t>https://encrypted-tbn0.gstatic.com/images?q=tbn:ANd9GcShmM7yjf5TIks_1lxComAobcBvQwO59twGyw&amp;s</t>
  </si>
  <si>
    <t>https://youtu.be/DfiWksK48PE?si=DlraEdo-riCLD1e9</t>
  </si>
  <si>
    <t>Spiced Rice</t>
  </si>
  <si>
    <t>மசாலா சாதம்</t>
  </si>
  <si>
    <t>Oil - 2 tablespoons,
Peanuts - 1 tablespoon,
Cumin - 1 tablespoon,
Mustard - 1 tablespoon,
Red chilies - 8,
Garlic - 6 cloves,
Tamarind,
Grated coconut - 1 cup,
Caramel powder - 1/2 teaspoon,
Rock salt - 1 teaspoon,
Oil - 2 tablespoons,
Peanuts,
Peanuts - 1 tablespoon,
Ultra seeds - 1 tablespoon,
Mustard - 1 tablespoon,
Cumin - 1 tablespoon,
Red chilies - 2,
Turmeric powder - 1/2 teaspoon,
Curry leaves,
Ground spice powder,
Boiled rice,
Salt,
Ghee.</t>
  </si>
  <si>
    <t>எண்ணெய் - 2 தேக்கரண்டி,
கடலை பருப்பு - 1 தேக்கரண்டி,
சீரகம் - 1 தேக்கரண்டி,
கடுகு - 1 தேக்கரண்டி,
சிவப்பு மிளகாய் - 8,
பூண்டு - 6 பற்கள் ,
புளி,
துருவிய தேங்காய் - 1 கப்,
பெருங்காயத்தூள் - 1/2 தேக்கரண்டி,
கல் உப்பு - 1 தேக்கரண்டி,
எண்ணெய் - 2 மேசைக்கரண்டி,
வேர்க்கடலை,
கடலை பருப்பு - 1 தேக்கரண்டி,
உளுத்தம் பருப்பு - 1 தேக்கரண்டி,
கடுகு - 1 தேக்கரண்டி,
சீரகம் - 1 தேக்கரண்டி,
சிவப்பு மிளகாய் - 2,
மஞ்சள் தூள் - 1/2 தேக்கரண்டி,
கறிவேப்பிலை,
அரைத்த மசாலா தூள் ,
வேகவைத்த சாதம் ,
உப்பு,
நெய்.</t>
  </si>
  <si>
    <t>Add oil and peanuts to a pan.
Once the peanuts are roasted, add cumin seeds, mustard seeds, and red chilies and fry them.
Once the mustard seeds start to crackle, add garlic and tamarind and fry them.
Now add the grated coconut. Fry for two minutes.
Add turmeric powder and rock salt.
Transfer the roasted ingredients to a plate and let them cool.
Once they cool, transfer the ingredients to a mixer jar and grind them into a fine powder.
Add oil to a wide pan. Add peanuts and fry them.
Then add the peanuts, urad dal, mustard seeds, cumin seeds, and red chilies.
Then add curry leaves and turmeric powder.
Now add the ground spice powder..
Add the rice to the pan and mix gently.
Add ghee.
The spiced rice is ready to be served with appalam and wattal.</t>
  </si>
  <si>
    <t>ஒரு பானில் எண்ணெய், கடலை பருப்பு சேர்க்கவும்.
 கடலை பருப்பு வறுபட்டதும் சீரகம், கடுகு, சிவப்பு மிளகாய் சேர்த்து
வறுக்கவும்.
 கடுகு வெடிக்க ஆரம்பித்தவுடன், அதில் பூண்டு, புளி சேர்த்து வறுக்கவும்.
 இப்போது துருவிய தேங்காயை சேர்க்கவும். இரண்டு நிமிடங்கள் வறுக்கவும்.
 பெருங்காய தூள் மற்றும்  கல் உப்பு சேர்க்கவும்.
வறுத்த பொருட்களை தட்டில் மாற்றி ஆறவிடவும்.
 ஆறியதும் பொருட்களை மிக்சி ஜாடிக்கு மாற்றி சிறிது கொரகொரப்பாக அரைக்கவும்.
 அகலமான கடாயில் எண்ணெய் சேர்க்கவும். வேர்க்கடலை சேர்த்து வறுக்கவும்.
 பிறகு கடலை பருப்பு, உளுத்தம் பருப்பு, கடுகு, சீரகம், சிவப்பு மிளகாய் சேர்க்கவும்.
பின்னர்  கறிவேப்பிலை மற்றும் மஞ்சள் தூள் சேர்க்கவும்
 இப்போது அரைத்த மசாலா தூள் சேர்க்கவும்..
கடாயில் சாதம் சேர்த்து மெதுவாக கலக்கவும்.
 நெய் சேர்க்கவும்.
மசாலா சாதம் அப்பளம் மற்றும் வத்தல் உடன் பரிமாற தயாராக உள்ளது.</t>
  </si>
  <si>
    <t>https://i.ytimg.com/vi/qHkgSIj4kDA/hq720.jpg?sqp=-oaymwEhCK4FEIIDSFryq4qpAxMIARUAAAAAGAElAADIQj0AgKJD&amp;rs=AOn4CLBtrmuCHP8-KjaLwXWGbV-GxtpS0Q</t>
  </si>
  <si>
    <t>https://youtu.be/aaznrSk1RA4?si=Peuy8ExTdNzdDm8G</t>
  </si>
  <si>
    <t>Small onion - 20,
Garlic - 12 cloves,
Ginger - 1 piece chopped,
Green chilies - 4,
Anise - 1 teaspoon,
Cardamom - 3,
Pallet - 2 pieces,
Cloves - 4,
Salt - 1 teaspoon,
Water,
Yogurt - 2 tablespoons,
Seeraksamba rice - 1/2 kg,
Mutton - 1 kg,
Ghee - 2 tablespoons,
Ghee - 2 tablespoons,
Biryani leaves - 2,
Pallet - 1 piece,
Pineapple flower,
Cardamom - 3,
Garlic - 3 pieces,
Marathi moku - 2,
Javitri,
Cloves - 5,
Onion - 1 chopped,
Green chilies - 2 grated,
Mint - 1/2 bunch,
Coriander - 1/2 bunch,
Water - 3 cups (250 ml cup),
Lemon juice - 1 fruit .</t>
  </si>
  <si>
    <t>சின்ன வெங்காயம் - 20,
பூண்டு - 12 பற்கள்,
இஞ்சி - 1 துண்டு நறுக்கியது,
பச்சை மிளகாய் - 4,
சோம்பு - 1 தேக்கரண்டி,
ஏலக்காய் - 3 ,
பட்டை - 2 துண்டு,
கிராம்பு - 4 ,
உப்பு - 1 தேக்கரண்டி,
தண்ணீர்,
தயிர் - 2 மேசைக்கரண்டி,
சீரகசம்பா அரிசி - 1/2 கிலோ,
மட்டன் - 1 கிலோ ,
நெய் - 2 மேசைக்கரண்டி ,
நல்லெண்ணெய் - 2 மேசைக்கரண்டி,
பிரியாணி இலை - 2,
பட்டை - 1 துண்டு,
அன்னாசிப்பூ ,
ஏலக்காய் - 3 ,
கல்பாசி - 3 துண்டு,
மராத்தி மொக்கு - 2,
ஜாவித்ரி ,
கிராம்பு  - 5 ,
வெங்காயம் - 1 நறுக்கியது,
பச்சை மிளகாய் - 2 கீறியது,
புதினா - 1/2 கட்டு,
கொத்தமல்லி - 1/2 கட்டு,
தண்ணீர் - 3 கப் (250 மி.லி கப்),
எலுமிச்சைபழச்சாறு - 1 பழம் .</t>
  </si>
  <si>
    <t>Wash the cumin seeds and soak them for 1 hour.
Grind the masala paste by adding small onions, garlic, ginger, green chillies, anise, cardamom, bark, cloves, salt, and a little water in a mixer and grind it into a paste.
Add the ground masala paste and yogurt to the mutton and mix well and soak for 30 minutes.
In a cooker, add ghee, sesame oil, biryani leaves, bark, pineapple blossom, cardamom, kalpasi, Marathi moku, javedri, and cloves and fry.
Next, add the onion and green chillies and fry.
Then add the soaked mutton and fry for 5 minutes. Add mint and coriander leaves and mix.
Then add water and boil it, close the cooker and cook it on medium flame till 6 whistles.
Next, open the cooker and add the soaked cumin rice and mix it, add lemon juice and mix it again.
Once it boils, close the cooker and cook it on low flame for 5 minutes. Then turn off the stove and keep it aside for 10 minutes.
Delicious Kongunadu white biryani is ready.</t>
  </si>
  <si>
    <t>சீரகசம்பா அரிசியை நன்றாக கழுவி 1 மணிநேரம் ஊறவைக்கவும்.
மசாலா விழுது அரைக்க மிக்ஸியில் சின்ன வெங்காயம், பூண்டு, இஞ்சி, பச்சை மிளகாய், சோம்பு, ஏலக்காய், பட்டை, கிராம்பு, உப்பு, மற்றும் சிறிது சிறிதாக தண்ணீர் சேர்த்து விழுதாக அரைக்கவும்.
மட்டனுடன் அரைத்த மசாலா விழுது, தயிர் சேர்த்து நன்கு கலந்து 30 நிமிடம் ஊறவைக்கவும்.
 குக்கரில் நெய், நல்லெண்ணெய், பிரியாணி இலை, பட்டை, அன்னாசிப்பூ, ஏலக்காய், கல்பாசி, மராத்தி மொக்கு, ஜாவித்ரி, கிராம்பு சேர்த்து வறுக்கவும்.
 அடுத்து வெங்காயம், பச்சை மிளகாய் சேர்த்து வதக்கவும்.
 பின்பு ஊறவைத்த மட்டனை சேர்த்து 5 நிமிடம் வதக்கவும். புதினா, கொத்தமல்லி இலை சேர்த்து கலந்து விடவும்.
 பிறகு தண்ணீர் சேர்த்து கொதிக்கவிட்டு குக்கரை மூடி மிதமான தீயில் 6 விசில் வரும் வரை வேகவிடவும்.
அடுத்து குக்கரை திறந்து ஊறவைத்த சீரகசம்பா அரிசியை சேர்த்து கலந்து விட்டு எலுமிச்சைபழச்சாறை சேர்த்து மீண்டும் கலக்கவும்.
ஒரு கொதி வந்தவுடன் குக்கரை மூடி 5 நிமிடம் குறைந்த தீயில் வேகவிடவும். பின்பு அடுப்பை அணைத்து விட்டு 10 நிமிடம் தம்மில் வைக்கவும்.
 சுவையான கொங்குநாடு வெள்ளை பிரியாணி தயார்.</t>
  </si>
  <si>
    <t>https://happietrio.com/wp-content/uploads/2021/07/Vellabiryani9.jpg</t>
  </si>
  <si>
    <t>https://youtu.be/u6_KJKFBggE?si=M887-Gu3WDkGqS0D</t>
  </si>
  <si>
    <t>Half cooked sambar</t>
  </si>
  <si>
    <t>அரைச்சுவிட்ட சாம்பார்</t>
  </si>
  <si>
    <t>Turam dal - 1 cup,
Onion - 2 chopped,
Tomato - 3 chopped,
Turmeric powder - 1 tsp,
Salt - 1 tsp,
Caramel powder - 1/4 tsp,
Water,
Peanuts - 1 tbsp,
Ultra gram dal - 1 tbsp,
Whole dal - 2 tbsp,
Dried chillies - 12,
Coconut - 1/2 cup grated,
Caramel powder - 1/4 tsp,
Water,
Ghee - 3 tbsp,
Ultra gram dal - 1 tsp,
Mustard - 1 tsp,
Cumin - 1 tsp,
Dried chillies - 2,
Small onion - 300 gms,
Drumstick,
Tamarind water - 1/2 Cup,
Water - 1 1/2 cups,
Salt - 1 teaspoon,
Curry leaves,
Jaggery - 2 teaspoons,
Chopped coriander leaves.</t>
  </si>
  <si>
    <t>துவரம் பருப்பு - 1 கப்,
வெங்காயம் - 2 நறுக்கியது,
தக்காளி - 3  நறுக்கியது,
மஞ்சள் தூள் - 1 தேக்கரண்டி,
உப்பு - 1 தேக்கரண்டி,
பெருங்காய தூள் - 1/4 தேக்கரண்டி,
தண்ணீர்,
கடலை பருப்பு - 1 மேசைக்கரண்டி,
உளுத்தம் பருப்பு - 1 மேசைக்கரண்டி,
முழு தனியா - 2 மேசைக்கரண்டி,
காய்ந்த மிளகாய் - 12,
தேங்காய் - 1/2 கப் துருவியது,
பெருங்காய தூள் - 1/4 தேக்கரண்டி,
தண்ணீர்,
நெய் - 3 மேசைக்கரண்டி,
உளுத்தம் பருப்பு - 1 தேக்கரண்டி,
கடுகு - 1 தேக்கரண்டி,
சீரகம் - 1 தேக்கரண்டி,
காய்ந்த மிளகாய் - 2,
சின்ன வெங்காயம் - 300 கிராம்,
முருங்கை காய்,
புளி தண்ணீர் - 1/2 கப்,
தண்ணீர் - 1 1/2 கப்,
உப்பு - 1 தேக்கரண்டி,
கறிவேப்பிலை,
வெல்லம் - 2 தேக்கரண்டி,
கொத்தமல்லி இலை நறுக்கியது.</t>
  </si>
  <si>
    <t>In a cooker, add well-washed dal, chopped onion, tomato, turmeric powder, salt, and cumin powder and mix. Then add required amount of water and mix and cook until 5 whistles.
In a pan, add ground dal, urad dal, and whole tanya and fry for 2 minutes.
Next, add dry chilies, grated coconut and fry on medium flame.
Then add urad dal powder and mix well.
Then add urad dal and mix well.
Then add urad dal and mix well.
Then add urad dal and mix well in a mixer and grind it first without water and then add water and grind it well to a paste.
When the ghee melts in a pan, add urad dal, mustard and cumin seeds and mix.
Then add dried chilies, small onions, and drumsticks and fry for 5 minutes.
Next, add the ground masala paste, masala water, and tamarind water one by one and mix.
Add the boiled lentils, water, salt, and curry leaves and mix and let it boil for 10 minutes.
Finally, add jaggery and coriander leaves and mix and let it cool.
Delicious ground sambar is ready.</t>
  </si>
  <si>
    <t>குக்கரில் நன்கு கழுவிய துவரம் பருப்பு, நறுக்கிய வெங்காயம், தக்காளி, மஞ்சள் தூள், உப்பு, பெருங்காய தூள், சேர்த்து கலந்து விடவும். பின்பு தேவையான அளவு தண்ணீர் ஊற்றி கலந்து விட்டு 5 விசில் வரும் வரை வேகவிடவும்.
ஒரு பானில் கடலை பருப்பு, உளுத்தம் பருப்பு, முழு தனியா சேர்த்து 2 நிமிடம் வறுக்கவும்.
அடுத்து காய்ந்த மிளகாய், துருவிய தேங்காய் சேர்த்து மிதமான தீயில் வறுத்து கொள்ளவும். 
பின்பு பெருங்காய தூள் சேர்த்து கலந்து விட்டு நன்கு ஆறவிடவும்.
பிறகு மிக்சியில் சேர்த்து முதலில் தண்ணீர் இன்றி அரைத்து விட்டு பின்பு தண்ணீர் சேர்த்து நன்கு விழுதாக அரைக்கவும்.  
ஒரு கடாயில் நெய் சேர்த்து உருகியதும் உளுத்தம் பருப்பு, கடுகு, சீரகம் சேர்த்து கலந்து விடவும்.
 பின்பு காய்ந்த மிளகாய், சின்ன வெங்காயம், முருங்கை காய் சேர்த்து 5 நிமிடம் வதக்கவும்.
 அடுத்து அரைத்த மசாலா விழுது, மசாலா தண்ணீர், புளி தண்ணீர் ஆகியவற்றை அடுத்தடுத்து சேர்த்து கலந்து விடவும்.
 வேகவைத்த பருப்பு, தண்ணீர், உப்பு, கறிவேப்பிலை சேர்த்து கலந்து விட்டு 10 நிமிடம் கொதிக்க விடவும்.
 இறுதியாக வெல்லம், கொத்தமல்லி இலை சேர்த்து கலந்து விட்டு இறக்கவும்.
சுவையான அரைச்சுவிட்ட சாம்பார் தயார்.</t>
  </si>
  <si>
    <t>https://encrypted-tbn0.gstatic.com/images?q=tbn:ANd9GcR9TAu7-UAgumm4sAnQ_kT1YkkFLSdLzAd-SQ&amp;s</t>
  </si>
  <si>
    <t>https://youtu.be/f_zGvzjCXYc?si=C-SlO0_8O9qnB9zq</t>
  </si>
  <si>
    <t>Dal Rice</t>
  </si>
  <si>
    <t>Mung beans - 1/4 cup,
Green rice - 1/2 cup,
Oil - 1 tablespoon,
Ghee - 1 tablespoon,
Ultra seeds - 1 teaspoon,
Pepper - 1 teaspoon,
Mustard - 1 teaspoon,
Cumin seeds - 1 teaspoon,
Onion - 1 chopped,
Green chilies - 3 chopped,
Curry leaves,
Ginger garlic paste - 1/2 teaspoon,
Tomato - 1 chopped,
Turmeric powder - 1/2 teaspoon,
Rock salt - 1 teaspoon,
Water - 3 cups.</t>
  </si>
  <si>
    <t>பாசி பருப்பு  - 1/4 கப் ,
பச்சரிசி - 1/2 கப்,
எண்ணெய் - 1 மேசைக்கரண்டி,
நெய் - 1 மேசைக்கரண்டி ,
உளுத்தம் பருப்பு - 1 தேக்கரண்டி,
மிளகு - 1 தேக்கரண்டி,
கடுகு  - 1 தேக்கரண்டி,
சீரகம் - 1 தேக்கரண்டி,
வெங்காயம் - 1 நறுக்கியது ,
பச்சை மிளகாய் - 3 நறுக்கியது ,
கறிவேப்பிலை,
இஞ்சி பூண்டு விழுது - 1/2 தேக்கரண்டி,
தக்காளி - 1 நறுக்கியது ,
மஞ்சள் தூள் - 1/2 தேக்கரண்டி,
கல் உப்பு - 1 தேக்கரண்டி,
தண்ணீர் - 3 கப்.</t>
  </si>
  <si>
    <t>First wash the dal, add turmeric powder and green chilies in 1½ cups of water and cook in a cooker for 3 whistles.
Pour ghee or butter in a pan and once it is cooked, add cumin seeds and season it.
While the cumin seeds are roasting, add chopped tomatoes and saute well.
Then, add the boiled lentils to it and add a little salt and stir well.
Now add the rice and mix well.
Finally, add coriander and grated coconut and serve.</t>
  </si>
  <si>
    <t>முதலில் துவரம் பருப்பை கழுவி, 1½ கப் தண்ணீரில் மஞ்சள் தூள், பச்சை மிளகாய் சேர்த்து குக்கரில் 3 விசில் வரை வேக விடுங்கள்.
ஒரு வாணலியில் நெய் அல்லது வெண்ணெய் ஊற்றி சுட்டவுடன் சீரகம் சேர்த்து தாளிக்கவும்.
சீரகம் சுடும் போது நறுக்கிய தக்காளி சேர்த்து நன்கு வதக்கவும்.
பிறகு, வேக வைத்த பருப்பை அதில் சேர்த்து கொஞ்சம் உப்பு சேர்த்து நன்கு கிளறவும்.
இப்போது சாதத்தை அதில் சேர்த்து நன்கு கலந்து விடவும்.
கடைசியாக கொத்தமல்லி மற்றும் தேங்காய் துருவல் சேர்த்து பரிமாறவும்.</t>
  </si>
  <si>
    <t>https://encrypted-tbn0.gstatic.com/images?q=tbn:ANd9GcTXblqATw5rsfYtC5eBRA0RV7wHka78K3rG2w&amp;s</t>
  </si>
  <si>
    <t>https://youtu.be/6PgdPEUtiYc?si=e3faae92qYRWpWwo</t>
  </si>
  <si>
    <t>Pumpkin Buttermilk Soup</t>
  </si>
  <si>
    <t>பூசணிக்காய் மோர் குழம்பு</t>
  </si>
  <si>
    <t>Oil - 3 tablespoons,
Fenugreek - 1/2 teaspoon,
Pepper - 1 teaspoon,
Thaniya - 1 teaspoon,
Cumin - 3 tablespoons,
Ginger - 1 piece chopped,
Green chilies - 4 chopped,
Thurram dal - 2 tablespoons,
Peanuts - 1 tablespoon,
Curd - 1 cup,
Jaggery - 2 pieces,
Water,
Oil - 3 tablespoons,
Mustard - 1/2 teaspoon,
Dried chilies - 2,
Corn powder,
Curry leaves,
White pumpkin - 200 grams,
Salt - 2 teaspoons,
Turmeric Powder - 1/4 teaspoon,
Water,
Jaggery,
Coriander leaves - chopped.</t>
  </si>
  <si>
    <t>எண்ணெய் - 3 தேக்கரண்டி,
வெந்தயம் - 1/2 தேக்கரண்டி,
மிளகு - 1 தேக்கரண்டி,
தனியா - 1 தேக்கரண்டி,
சீரகம் - 3 தேக்கரண்டி,
இஞ்சி - 1 துண்டு நறுக்கியது,
பச்சை மிளகாய் - 4 நறுக்கியது,
துவரம் பருப்பு - 2 மேசைக்கரண்டி,
கடலை பருப்பு - 1 மேசைக்கரண்டி,
கறிவேப்பிலை,
துருவிய தேங்காய் - 3 மேசைக்கரண்டி,
பெருங்காயத்தூள்,
அடித்த தயிர் - 1 கப்,
வெல்லம் - 2 துண்டு,
தண்ணீர்,
எண்ணெய் - 3 தேக்கரண்டி,
கடுகு - 1/2 தேக்கரண்டி,
காய்ந்த மிளகாய் - 2 ,
பெருங்காயத்தூள், 
கறிவேப்பிலை ,
வெள்ளை பூசணிக்காய் - 200 கிராம் ,
உப்பு - 2 தேக்கரண்டி,
மஞ்சள் தூள் - 1/4 தேக்கரண்டி,
தண்ணீர் ,
வெல்லம்,
கொத்தமல்லி இலை - நறுக்கியது.</t>
  </si>
  <si>
    <t>Heat oil in a wide pan and add fenugreek, pepper, and fry.
Next, add cumin seeds and fry on medium flame.
Then add chopped ginger, green chilies, urad dal, and peanuts and fry.
Add curry leaves, grated coconut and mix.
Then add turmeric powder, beaten curd, and jaggery one by one and switch off the stove and mix well. After this mixture cools down well, add it to a mixer and grind it to a paste.
Heat oil in a pan and add mustard seeds and dry chilies and mix.
When the mustard seeds start to crackle, add turmeric powder and curry leaves and mix.
Next, add the white pumpkin, salt, turmeric powder, mix it, add water, cover the pan and cook for 5 minutes.
Then add the ground masala paste, water, salt, jaggery, one by one and mix it, cover the pan and cook for 5 minutes. Finally, add the coriander leaves and curry leaves and mix it and let it cool down.
The delicious pumpkin buttermilk gravy is ready.</t>
  </si>
  <si>
    <t>ஒரு அகலமான கடாயில் எண்ணெய் ஊற்றி வெந்தயம், மிளகு, சேர்த்து வறுக்கவும்.
அடுத்து தனியா, சீரகம் ,சேர்த்து மிதமான தீயில் வறுக்கவும்.
 பின்பு நறுக்கிய இஞ்சி, பச்சை மிளகாய், துவரம் பருப்பு, கடலை பருப்பு சேர்த்து வறுத்து கொள்ளவும்.
 கறிவேப்பிலை, துருவிய தேங்காய் சேர்த்து கலந்து விடவும்.
 பிறகு பெருங்காயத்தூள், அடித்த தயிர், வெல்லம் ஆகியவற்றை அடுத்தடுத்து சேர்த்து அடுப்பை அணைத்து விட்டு நன்கு கலந்து விடவும்.இந்த கலவை நன்கு ஆறிய பின் மிக்ஸியில் சேர்த்து விழுதாக அரைக்கவும்.
 ஒரு கடாயில் எண்ணெய் சேர்த்து சூடானதும் கடுகு, காய்ந்த மிளகாய் சேர்த்து கலந்து விடவும்.
கடுகு பொரிய ஆரம்பித்ததும் பெருங்காயத்தூள், கறிவேப்பிலை சேர்த்து கலந்து விடவும்.
 அடுத்து வெள்ளை பூசணிக்காய், உப்பு, மஞ்சள் தூள்,  சேர்த்து கலந்து விட்டு தண்ணீர் சேர்த்து கடாயை மூடி 5 நிமிடம் வேகவிடவும்.
 பின்பு அரைத்த மசாலா விழுது, தண்ணீர், உப்பு, வெல்லம், ஆகியவற்றை அடுத்தடுத்து சேர்த்து கலந்து விட்டு 5 நிமிடம் கடாயை மூடி கொதிக்க விடவும். இறுதியாக கொத்தமல்லி இலை, கறிவேப்பிலை சேர்த்து கலந்து இறக்கி விடவும்.
சுவையான பூசணிக்காய் மோர் குழம்பு தயார்.</t>
  </si>
  <si>
    <t>https://www.lekhafoods.com/media/202075/butter-milk-gravy.jpg</t>
  </si>
  <si>
    <t>https://youtu.be/ZHQrXPPkBko?si=XZLyBkvdR6lK0w0i</t>
  </si>
  <si>
    <t>Oil - 1 tbsp,
Ghee - 2 tbsp,
Baking powder,
Cloves,
Cardamom,
Pineapple blossom,
Bayari leaves,
Onions - 2 (chopped),
Green chillies - 4 (sliced),
Ginger garlic paste - 1 tbsp,
Mushrooms - 500 grams,
Salt - 1 tsp,
Basmati rice - 1 cup (250 ml cup),
Mint leaves,
Coriander leaves,
Water - 1 cup.</t>
  </si>
  <si>
    <t>எண்ணெய் - 1 மேசைக்கரண்டி,
நெய் - 2 மேசைக்கரண்டி,
பட்டை,
கிராம்பு, 
ஏலக்காய்,
அன்னாசிப்பூ,
பிரியாணி இலை ,
வெங்காயம் - 2 (நறுக்கியது),
பச்சை மிளகாய் - 4 (கீறியது),
இஞ்சி பூண்டு விழுது - 1 மேசைக்கரண்டி,
காளான் - 500 கிராம்,
உப்பு - 1 தேக்கரண்டி,
பாஸ்மதி அரிசி - 1 கப் (250 மி.லி கப்),
புதினா இலை ,
கொத்தமல்லி இலை,
தண்ணீர் - 1 கப்.</t>
  </si>
  <si>
    <t>First, heat a pressure cooker and add 1 tbsp oil and 2 tbsp ghee to it. Once the ghee melts, add 1 small coriander leaf, 2 cloves, 4 cardamoms, 1 tamarind, 1 bay leaf and fry until fragrant.
Now, add 2 thinly sliced ​​onions and saute for a minute. After that, add 4 green chilies cut lengthwise and 1 teaspoon ginger-garlic paste and saute till the onions turn soft.
Now, add 500 grams of torn and washed mushrooms and saute for 5 minutes. This will allow them to release their water. Add 1 teaspoon salt and stir well.
Then, add 1 cup basmati rice (washed well and soaked for 30 minutes and drained) and mix gently. Add mint &amp; coriander leaves to enhance the aroma.
Add 1 cup water (this is the right amount as the mushrooms will also release their water). Close the pressure cooker and cook on medium heat till 1 whistle. Then switch off the stove and let the pressure release naturally.
As soon as you open the cooker, your delicious mushroom pulao is ready! Serve with chicken gravy, curd, or your favorite side dish.</t>
  </si>
  <si>
    <t xml:space="preserve">முதல், ஒரு பிரஷர் குக்கர் சூடாக்கி, அதில் 1 டேபிள்ஸ்பூன் எண்ணெய் மற்றும் 2 டேபிள்ஸ்பூன் நெய் சேர்க்கவும். நெய் உருகியதும், 1 சின்ன தூண்டு பட்டை, 2 கிராம்பு, 4 ஏலக்காய், 1 தக்கோலம், 1 பிரிஞ்சிலை சேர்த்து வாசனை வரும் வரை வறுக்கவும்.
இப்போது, 2 மெல்லிய துண்டுகளாக்கிய வெங்காயம் சேர்த்து ஒரு நிமிடம் வதக்கவும். அதற்குப் பிறகு, 4 நீளமாக வெட்டிய பச்சை மிளகாய் மற்றும் 1 டீஸ்பூன் இஞ்சி-பூண்டு பேஸ்ட் சேர்த்து, வெங்காயம் மென்மையானதாக மாறும் வரை வதக்கவும்.
இப்போது, 500 கிராம் கிழிந்து கழுவிய  காளான்சேர்த்து 5 நிமிடங்கள் வதக்கவும். இதனால் அது தண்ணீர் விடத் தொடங்கும். 1 டீஸ்பூன் உப்பு சேர்த்து நன்றாக கிளறவும்.
பிறகு, 1 கப் பாசுமதி அரிசி (நன்றாக கழுவி 30 நிமிடம் ஊறவைத்ததும், நீரை வடித்ததும்) சேர்த்து மெதுவாக கலக்கவும். புதினா &amp; கொத்தமல்லி இலைகள் சேர்த்து வாசனை அதிகரிக்கவும்.
1 கப் தண்ணீர் சேர்க்கவும் (மஷ்ரூம்களும் தண்ணீர் விடும் என்பதால் இதுவே சரியான அளவு). பிரஷர் குக்கரை மூடி, மிதமான தீயில் 1 விசில் வரும் வரை வேக வைக்கவும். பின் அடுப்பை அணைத்து, அழுத்தம் இயற்கையாக வெளியேற விடவும்.
குக்கரை திறந்தவுடன் சுவையான மஷ்ரூம் புலாவ் தயார்! சிக்கன் கிரேவி, தயிர், அல்லது உங்கள் விருப்பமான சைடு டிஷ் உடன் பரிமாறவும். </t>
  </si>
  <si>
    <t>https://tamil.boldsky.com/img/2013/12/09-mushroompulao.jpg</t>
  </si>
  <si>
    <t>https://youtu.be/ohzdcBujwEM?si=82uz5tCJOQ_v6352</t>
  </si>
  <si>
    <t>ஆந்திர ஸ்டைல் முட்டை சாதம்</t>
  </si>
  <si>
    <t>Pepper - 2 tsp,
Cumin - 1 tsp,
Anisem - 1 tsp,
Baking powder,
Cloves - 3,
Cardamom - 1,
Basmati rice - 1 cup (boiled),
Eggs - 7,
Oil - 4 tbsp,
Garlic - 1 tbsp,
Green chillies - 2,
Onion - 1,
Curry leaves,
Tomatoes - 2,
Salt - 1 tsp,
Turmeric powder - 1/2 tsp,
Chili powder - 2 tsp,
Ground spices powder,
Onion leaves.</t>
  </si>
  <si>
    <t>மிளகு - 2 தேக்கரண்டி,
சீரகம் - 1 தேக்கரண்டி,
சோம்பு - 1 தேக்கரண்டி,
பட்டை ,
கிராம்பு - 3 ,
ஏலக்காய் - 1,
பாஸ்மதி அரிசி - 1 கப் (வேகவைத்தது),                          
முட்டை - 7,
எண்ணெய் - 4 மேசைக்கரண்டி,
பூண்டு - 1 மேசைக்கரண்டி,
பச்சை மிளகாய் - 2,
வெங்காயம் - 1,
கறிவேப்பிலை,
தக்காளி - 2,
உப்பு -1 தேக்கரண்டி,
மஞ்சள் தூள் - 1/2 தேக்கரண்டி,
மிளகாய் தூள் - 2 தேக்கரண்டி ,
அரைத்த மசாலா தூள்,
வெங்காயத்தாள்.</t>
  </si>
  <si>
    <t>In a pan, add pepper, cumin, anise, bark, cloves, cardamom and grind them well.
Then pour oil in a pan and add chopped garlic and green chillies and fry.
Then add finely chopped onion and fry until golden brown.
Then add curry leaves and fry.
Add finely chopped tomato and fry for 2 minutes.
Then add salt, turmeric powder, and chili powder and mix.
Add a little ground masala powder and mix.
Then move the masala to one side of the pan, then pour oil and break the egg into it.
Add salt, chili powder, and chili powder and cook on medium heat for 1 minute.
Then mix gently and cook for 2 minutes.
Then add the ground masala powder and mix.
Finally add boiled basmati rice and onion leaves and mix well.
Andhra style egg rice is ready!</t>
  </si>
  <si>
    <t>கடாயில் மிளகு, சீரகம், சோம்பு, பட்டை, கிராம்பு ஏலக்காய் சேர்த்து வறுத்து நன்கு பொடியாக அரைக்கவும்.
பின்பு கடாயில் எண்ணெய் ஊற்றி அதில் பொடியாக நறுக்கிய பூண்டு, பச்சை மிளகாய் சேர்த்து வதக்கவும்.
பிறகு மெல்லிசாக நறுக்கிய வெங்காயம் சேர்த்து பொன்னிறமாக வதக்கவும்.
பின்பு கறிவேப்பிலை சேர்த்து வதக்கவும்.
 பொடியாக நறுக்கிய தக்காளி சேர்த்து 2 நிமிடம் வதக்கவும்.
 பிறகு உப்பு, மஞ்சள் தூள், மிளகாய் தூள் சேர்த்து கலந்துவிடவும்.
அரைத்த மசாலாத்தூளை சிறிதளவு சேர்த்து கலந்துவிடவும்.
பின்பு மசாலாவை கடாயில் ஒரு பக்கமாக நகர்த்தி, பிறகு எண்ணெய் ஊற்றி அதில் முட்டையை உடைத்து ஊற்றவும்.
 உப்பு,மிளகு தூள் மற்றும் மிளகாய் தூள் சேர்த்து கடாயை மூடி மிதமான தீயில் 1 நிமிடம் வேகவிடவும்.
பின்பு மெதுவாக கலந்துவிட்டு கடாயை மூடி 2 நிமிடம் வேகவிடவும்.
பிறகு அரைத்த மசாலா தூளை சேர்த்து கலந்துவிடவும்.
 கடைசியாக வேகவைத்த பாஸ்மதி அரிசி மற்றும் வெங்காயத்தாள் சேர்த்து கலந்து இறக்கவும்.
 ஆந்திர ஸ்டைல் முட்டை சாதம் தயார்!</t>
  </si>
  <si>
    <t>https://youtu.be/t0kcHpiud-4?si=36CNqk_LO8m_et_q</t>
  </si>
  <si>
    <t>Garlic gravy</t>
  </si>
  <si>
    <t>Ghee - 2 tablespoons,
Cumin - 1/2 teaspoon,
Pepper - 1 teaspoon,
Deniya - 1/4 teaspoon,
Pyathke chillies - 4,
Garlic - 15 cloves,
Small onion - 15,
Tomato - 2 chopped,
Salt - 1/4 teaspoon,
Curry leaves,
Water,
Ghee - 5 tablespoons,
Mustard - 1/2 teaspoon,
Cumin - 1/4 teaspoon,
Deniya,
Pepper - 1/2 teaspoon,
Dried chillies - 3,
Corn powder,
Small onion,
Garlic cloves - 170 grams,
Turmeric powder - 1/2 teaspoon,
Chili powder - 3 teaspoons,
Dhaniya powder - 2 teaspoons,
Ground spices Paste,
Gallup - 2 teaspoons,
Tamarind water,
Water,
Jaggery - 2 teaspoons,
Curry leaves.</t>
  </si>
  <si>
    <t>நல்லெண்ணெய் - 2 தேக்கரண்டி ,
சீரகம் - 1/2 தேக்கரண்டி,
மிளகு - 1 தேக்கரண்டி,
வெந்தயம் - 1/4 தேக்கரண்டி,
ப்யாத்கே மிளகாய் - 4,
பூண்டு - 15 பற்கள்,
சின்ன வெங்காயம் - 15,
தக்காளி - 2 நறுக்கியது ,
உப்பு - 1/4 தேக்கரண்டி,
கறிவேப்பிலை ,
தண்ணீர்,
நல்லெண்ணெய் - 5 மேசைக்கரண்டி,
கடுகு - 1/2 தேக்கரண்டி ,
சீரகம் - 1/4 தேக்கரண்டி,
வெந்தயம்,
மிளகு - 1/2 தேக்கரண்டி,
காய்ந்த மிளகாய் - 3,
பெருங்காயத்தூள் ,
சின்ன வெங்காயம்,
பூண்டு பற்கள் - 170 கிராம் ,
மஞ்சள் தூள் - 1/2 தேக்கரண்டி,
மிளகாய் தூள் - 3 தேக்கரண்டி,
தனியா தூள் - 2 தேக்கரண்டி,
அரைத்த மசாலா விழுது ,
கல்லுப்பு - 2 தேக்கரண்டி,
புளி தண்ணீர் ,
தண்ணீர்,
வெல்லம் - 2 தேக்கரண்டி,
கறிவேப்பிலை.</t>
  </si>
  <si>
    <t>In a pan, add sesame oil, cumin seeds, pepper, fenugreek, pyatke chillies, garlic, and small onions and sauté.
Then add tomatoes and sauté for 5 minutes. Next, add salt and curry leaves and mix and let it cool.
Then add them in a mixer and grind them first without water and then add water and grind them to a paste.
Add sesame oil in a pan and when the oil is hot, add mustard seeds, cumin seeds, fenugreek, pepper, and dried chillies.
Once the mustard seeds are cooked, add ginger powder.
Then add small onions and garlic and sauté for 5 minutes.
Add turmeric powder, chilli powder, and garam masala powder and mix.
Add the ground spices and mix. Then add the kalluppu and mix it and boil it for 5 minutes on medium heat.
Add tamarind water and water and mix it and boil it for 10 minutes on medium heat.
Next add jaggery and curry leaves and mix it and boil it for 10 minutes on medium heat.
Delicious garlic gravy is ready.</t>
  </si>
  <si>
    <t>ஒரு பானில் நல்லெண்ணெய், சீரகம், மிளகு, வெந்தயம், ப்யாத்கே மிளகாய், பூண்டு, சின்ன வெங்காயம் சேர்த்து வதக்கவும்.
பிறகு தக்காளி சேர்த்து 5 நிமிடம் வதக்கவும். அடுத்து உப்பு, கறிவேப்பிலை சேர்த்து கலந்து விட்டு ஆறவிடவும்.
பின்பு மிக்ஸியில் சேர்த்து முதலில் தண்ணீர் இன்றி அரைக்கவும் பிறகு தண்ணீர் சேர்த்து விழுதாக அரைக்கவும்.
 ஒரு கடாயில் நல்லெண்ணெய் சேர்த்து எண்ணெய் சூடானதும் கடுகு, சீரகம், வெந்தயம், மிளகு, காய்ந்த மிளகாய் சேர்க்கவும்.
 கடுகு பொரிந்தவுடன் பெருங்காயத்தூள் சேர்க்கவும்.
 பிறகு சின்ன வெங்காயம், பூண்டு சேர்த்து 5 நிமிடம் வதக்கவும்.
 மஞ்சள் தூள், மிளகாய் தூள், தனியா தூள் சேர்த்து கலந்து விடவும்.
 அரைத்த மசாலாவை சேர்த்து கலந்து விடவும். பின்பு கல்லுப்பு சேர்த்து கலந்து விட்டு 5 நிமிடம் மிதமான தீயில் கொதிக்கவிடவும்.
 புளி தண்ணீர் மற்றும் தண்ணீர் சேர்த்து கலந்து விட்டு 10 நிமிடம் மிதமான தீயில் கொதிக்கவிடவும்.
 அடுத்து வெல்லம், கறிவேப்பிலை சேர்த்து கலந்து விட்டு 10 நிமிடம் மிதமான தீயில் கொதிக்கவிடவும்.
சுவையான பூண்டு குழம்பு தயார்.</t>
  </si>
  <si>
    <t>https://encrypted-tbn0.gstatic.com/images?q=tbn:ANd9GcTYXCNUwia_grMf6n_WPVjrpjsgjtKls7NZog&amp;s</t>
  </si>
  <si>
    <t>https://youtu.be/J1J99wb1GQw?si=tJvL2gE5cVQLq8TA</t>
  </si>
  <si>
    <t>Mughlai Chicken Biryani</t>
  </si>
  <si>
    <t>முகலாய் சிக்கன் பிரியாணி</t>
  </si>
  <si>
    <t>Chicken - 2 kg,
Basmati rice - 1 kg,
Ginger garlic paste - 3 tbsp,
Yogurt - 300 gms,
Salt,
Turmeric powder - 1 tsp,
Chilli powder - 4 tsp,
Pepper powder - 1 tsp,
Panjan powder - 3 tsp,
Cumin powder - 3 tsp,
Garlic powder - 2 tsp,
Baking powder,
Cloves,
Green cardamom,
Black cardamom,
Nutmeg,
Pineapple flower,
Marathi kumquat,
Shahi jeera,
Biryani leaves,
Lemon juice,
Green chilies - 4 chopped,
Fried onion,
Mint leaves,
Coriander leaves,
Fresh cream - 2 tbsp,
Saffron milk ,
Saffron water,
Almonds - 1/4 cup chopped,
Cashew nuts - 1/4 cup chopped,
Pistachios - 1/4 cup chopped,
Onion frying oil,
Ghee.</t>
  </si>
  <si>
    <t>சிக்கன் - 2 கிலோ,
பாஸ்மதி அரிசி - 1 கிலோ ,
இஞ்சி பூண்டு விழுது - 3 மேசைக்கரண்டி,
தயிர் - 300 கிராம்,
உப்பு ,
மஞ்சள் தூள் - 1 தேக்கரண்டி,
மிளகாய் தூள் - 4 தேக்கரண்டி,
மிளகு தூள் - 1 தேக்கரண்டி,
தனிய தூள் - 3 தேக்கரண்டி,
சீரக தூள் - 3 தேக்கரண்டி,
கரம் மசாலா தூள் - 2 தேக்கரண்டி,
பட்டை,
கிராம்பு,
பச்சை ஏலக்காய்,
கருப்பு ஏலக்காய்,
ஜாதிபத்திரி,
அன்னாசி பூ,
மராத்தி மொக்கு,
ஷாஹி ஜீரா,
பிரியாணி இலை,
எலுமிச்சைபழச்சாறு,
பச்சை மிளகாய் - 4 நறுக்கியது,
பொரித்த வெங்காயம்,
புதினா இலை,
கொத்தமல்லி இலைc,
பிரெஷ் கிரீம் - 2 மேசைக்கரண்டி,
குங்குமப்பூ பால் ,
குங்குமப்பூ தண்ணீர்,
பாதாம் - 1/4 கப் நறுக்கியது,
முந்திரி - 1/4 கப் நறுக்கியது,
பிஸ்தா - 1/4 கப் நறுக்கியது,
வெங்காயம் பொரித்த எண்ணெய் ,
நெய்.</t>
  </si>
  <si>
    <t>In a bowl, add chicken, lemon juice, ginger garlic paste, yogurt and salt and mix.
Then add turmeric powder, chili powder, pepper powder, fenugreek powder, cumin powder, garam masala powder and mix.
Then add the bark, cloves, green cardamom, black cardamom, nutmeg, pineapple flower, Marathi mokku, Shahi jeera, biryani leaves and mix.
Then add the onion frying oil, ghee, green chilies, fried onions, mint, coriander leaves and mix.
Then add fresh cream, saffron milk, chopped almonds, cashews, pistachios and mix for 2 hours.
Then pour required amount of water into the basmati rice and soak it for 1 hour.
Pour required amount of water in another vessel and add the bark, cloves, cardamom, pineapple flower, bay leaf, Shahi jeera, coriander leaves, mint leaves and boil it for 3 minutes.
Then add the soaked rice, then add salt and lemon juice and mix.
When the rice is 60 percent cooked, take a little and keep it aside. Cook the remaining rice 80 percent and then drain it and keep it aside.
Place a wide vessel in a tawa and pour ghee and oil in which the onions were fried.
Then put the stove on high flame and add the soaked chicken and cook it for 3 minutes.
Then add 60 percent of the cooked rice and add fried onions, coriander leaves, mint leaves, ghee, and saffron water on top.
Then add 80 percent of the cooked rice and add fried onions, coriander leaves, mint leaves, ghee, and saffron water on top.
Then cover with wax paper, place a plate on top, and cook for 45 minutes.
The delicious Mughlai Chicken Biryani is ready!</t>
  </si>
  <si>
    <t>பாத்திரத்தில் சிக்கன், எலுமிச்சைபழச்சாறு, இஞ்சி பூண்டு விழுது, தயிர் மற்றும் உப்பு சேர்த்து கலந்துவிடவும்.
பின்பு மஞ்சள் தூள், மிளகாய் தூள், மிளகு தூள், தனியா தூள், சீரக தூள், கரம் மசாலா தூள் சேர்த்து கலந்துவிடவும்.
பிறகு பட்டை, கிராம்பு, பச்சை ஏலக்காய், கருப்பு ஏலக்காய், ஜாதிபத்திரி, அன்னாசி பூ, மராத்தி மொக்கு, ஷாஹி ஜீரா, பிரியாணி இலை சேர்த்து கலந்துகொள்ளவும்.
 பின்பு அதில் வெங்காயம் பொரித்த எண்ணெய், நெய், பச்சை மிளகாய், பொரித்த வெங்காயம், புதினா, கொத்தமல்லி இலை சேர்த்து கலந்துவிடவும்.
பிறகு பிரெஷ் கிரீம், குங்குமப்பூ பால், நறுக்கிய பாதாம், முந்திரி, பிஸ்தா சேர்த்து கலந்து 2 மணிநேரம் ஊறவிடவும்.
பின்பு பாஸ்மதி அரிசியில் தேவையான அளவு தண்ணீர் ஊற்றி 1 மணிநேரம் ஊறவிடவும்.
மற்றோரு பாத்திரத்தில் தேவையான அளவு தண்ணீர் ஊற்றி அதில் பட்டை, கிராம்பு, ஏலக்காய், அன்னாசி பூ, பிரியாணி இலை, ஷாஹி ஜீரா, கொத்தமல்லி இலை , புதினா இலை சேர்த்து 3 நிமிடம் கொதிக்கவிடவும்.
 பின்பு ஊறவைத்த அரிசியை சேர்த்து, பிறகு உப்பு, எலுமிச்சைபழச்சாறு சேர்த்து கலந்துவிடவும்.
 அரிசி 60 சதவீதம் வெந்ததும் சிறிதளவு எடுத்து தனியாக வைக்கவும். மீதம் உள்ள அரிசியை 80 சதவீதம் வேகவிட்டு பின்பு வடித்து தனியாக எடுத்து வைக்கவும்.
 தவாவில் அகலமான பாத்திரத்தை வைத்து அதில் நெய் மற்றும் வெங்காயம் பொரித்த எண்ணெய் ஊற்றவும்.
 பின்பு அடுப்பை அதிக தீயில் வைத்து ஊறவைத்த சிக்கனை சேர்த்து 3 நிமிடம் வேகவிடவும்.
 பிறகு 60 சதவீதம் வேகவைத்த அரிசியை சேர்த்து அதன் மேல் பொரித்த வெங்காயம், கொத்தமல்லி இலை, புதினா இலை, நெய், குங்குமப்பூ தண்ணீர் சேர்க்கவும்.
 பின்பு 80 சதவீதம் வேகவைத்த அரிசியை சேர்த்து அதன் மேல் பொரித்த வெங்காயம், கொத்தமல்லி இலை, புதினா இலை,
நெய், குங்குமப்பூ தண்ணீர் சேர்க்கவும்.
 பிறகு பாயில் பேப்பரை வைத்து மூடி அதன் மேல் தட்டை வைத்து மூடி 45 நிமிடம் தம்மில் வேகவிடவும்.
 அட்டகாசமான முகலாய் சிக்கன் பிரியாணி தயார்!</t>
  </si>
  <si>
    <t>https://encrypted-tbn0.gstatic.com/images?q=tbn:ANd9GcToUZxN0chOnrvT9vEgL1XdJpngOQxaEy8IAA&amp;s</t>
  </si>
  <si>
    <t>https://youtu.be/7jpFSzxykvw?si=MvkKMhWxBWDNNAF2</t>
  </si>
  <si>
    <t>Chicken Tikka Biryani</t>
  </si>
  <si>
    <t>சிக்கன் டிக்கா பிரியாணி</t>
  </si>
  <si>
    <t>Chicken - 1 1/2 kg,
Yogurt - 1 cup,
Ginger Garlic Paste - 1 tbsp,
Turmeric Powder - 1/2 tsp,
Kashmiri Chilli Powder - 1 tbsp,
Chilli Powder - 1 tbsp,
Salt - 1 1/2 tsp,
Garlic Powder - 1 tsp,
Cereal Powder - 1 tsp,
Dhaniya Powder - 1 tsp,
Pepper Powder - 1 tsp,
Lemon Juice - 1 fruit juice,
Kesari Color Powder - 1 pinch,
Basmati Rice - 2 cups,
Water,
Baking Powder, Cloves, Cardamom,
Shahi Jeera,
Pepper,
Jathi Pati,
Biryani Leaves,
Salt - 1 tsp,
Ghee - 1 tsp,
Soaked Chicken,
Ghee - 1 tbsp,
Oil - 2 1/2 tbsp,
Onion - 2 finely chopped,
Green chillies - 3 grated,
Tomato - 2 finely chopped
Fried onion,
Coriander leaves,
Mint leaves,
Baking powder - 1 small piece,
Cloves - 2,
Cardamom - 2 .</t>
  </si>
  <si>
    <t>சிக்கன் - 1 1/2 கிலோ,
தயிர் - 1 கப்,
இஞ்சி பூண்டு விழுது - 1 மேசைக்கரண்டி,
மஞ்சள் தூள் - 1/2 தேக்கரண்டி,
காஷ்மீரி மிளகாய் தூள் - 1 மேசைக்கரண்டி,
மிளகாய் தூள் - 1 மேசைக்கரண்டி,
உப்பு - 1 1/2 தேக்கரண்டி,
கரம் மசாலா தூள் - 1 தேக்கரண்டி,
சீரக தூள் - 1 தேக்கரண்டி,
தனியா தூள் - 1 தேக்கரண்டி,
மிளகு தூள் - 1 தேக்கரண்டி,
எலுமிச்சை பழச்சாறு - 1 பழத்தின் சாறு,
கேசரி கலர் பவுடர் - 1 சிட்டிகை,
பாஸ்மதி அரிசி - 2 கப்,
தண்ணீர்,
பட்டை, கிராம்பு, ஏலக்காய்,
ஷாஹி ஜீரா,
 மிளகு, 
ஜாதிபத்ரி,
பிரியாணி இலை,
உப்பு - 1 தேக்கரண்டி,
நெய் - 1 தேக்கரண்டி,      
ஊறவைத்த சிக்கன்,
நெய் - 1 மேசைக்கரண்டி,
எண்ணெய் - 2 1/2 மேசைக்கரண்டி,
வெங்காயம் - 2 மெல்லியதாக நறுக்கியது,
பச்சை மிளகாய் - 3 கீறியது,
தக்காளி - 2 மெல்லியதாக நறுக்கியது
வறுத்த வெங்காயம்,
கொத்தமல்லி இலை,
புதினா இலை,
பட்டை - 1 சிறிய துண்டு ,
கிராம்பு - 2,
ஏலக்காய் - 2 .</t>
  </si>
  <si>
    <t>In a mixer, grind onion, ginger, garlic, green chillies and curd into a paste.
In a bowl, mix curd, tandoori masala powder, ground paste, salt.
Sprinkle salt, lemon juice and curd mixture over the chicken pieces and spread it.
Marinate the chicken for 8 hours.
Bake the charcoal piece, pour ghee and keep it with the chicken and cover for 15 minutes.
Pour ghee in a pan, add marinated chicken pieces and cover for 20 minutes.
Turn the chicken pieces over, cover the pan and cook the chicken for 20 minutes.
Turn the chicken over, apply ghee and cook for another 5 minutes
Delicious Tandoori Chicken is ready
Serve with mint chutney</t>
  </si>
  <si>
    <t>மிக்ஸியில், வெங்காயம், இஞ்சி, பூண்டு, பச்சை மிளகாய் மற்றும் தயிர் சேர்த்து விழுதாக அரைக்கவும்.
பாத்திரத்தில் தயிர், தந்தூரி மசாலா தூள், அரைத்த விழுது, உப்பு சேர்த்து கலக்கவும்.
 சிக்கன் துண்டுகள் மீது உப்பு, எலுமிச்சைபழச்சாறு, செய்த தயிர் கலவை சேர்த்து பிரட்டவும்.
 சிக்கன் 8 மணி நேரம் ஊறவைக்கவும்.
கரி துண்டை சுட்டு, நெய் ஊற்றி சிக்கனுடன் வைத்து 15 நிமிடம் மூடி வைக்கவும்.
பேன்'னில் நெய் ஊற்றி, ஊறிய சிக்கன் துண்டுகளை போட்டு, 20 நிமிடம் மூடி வைக்கவும்.
 சிக்கன் துண்டுகளை திருப்பி போட்டு, 20 நிமிடம் பேன்'னை மூடி சிக்கன்'னை வேகவைக்கவும்.
 சிக்கன்'னை திருப்பி, நெய் தடவி, மேலும் 5 நிமிடம் வேகவைக்கவும்
 அருமையான தந்தூரி சிக்கன் தயார்
 புதினா சட்னியுடன் பரிமாறவும்</t>
  </si>
  <si>
    <t>https://encrypted-tbn0.gstatic.com/images?q=tbn:ANd9GcTWfR0Xy2rfn8bVYzKZ5D6ufBcjO4MeIgLYVw&amp;s</t>
  </si>
  <si>
    <t>https://youtu.be/ed-cWc-jQzQ?si=dzCz1U4Oy3s6AGUw</t>
  </si>
  <si>
    <t>Eggplant Curry</t>
  </si>
  <si>
    <t>கத்திரிக்காய் காரக்குழம்பு</t>
  </si>
  <si>
    <t>Eggplant - 4,
Ghee - 4 tbsp,
Mustard - 1 tsp,
Cumin - 1 tsp,
Fenugreek - 1/2 tsp,
Dried chillies - 2,
Onion - 1,
Curry leaves,
Small onion - 25,
Garlic - 25 cloves,
Tomato - 1,
Salt - 2 tsp,
Turmeric powder - 1 tsp,
Chili powder - 2 tsp,
Dhaniya powder - 2 tsp,
Sambar powder - 2 tsp,
Water,
Tamarind solution - 1 cup,
Jaggery - 1 tsp.</t>
  </si>
  <si>
    <t>கத்திரிக்காய் - 4,
நல்லெண்ணெய் - 4 மேசைக்கரண்டி,
கடுகு - 1 தேக்கரண்டி,
சீரகம் - 1 தேக்கரண்டி,
வெந்தயம் - 1/2 தேக்கரண்டி,
காய்ந்த மிளகாய் - 2,
வெங்காயம் - 1,
கறிவேப்பிலை,
சின்ன வெங்காயம் - 25,
பூண்டு - 25 பற்கள்,
தக்காளி - 1,
உப்பு - 2 தேக்கரண்டி,
மஞ்சள் தூள் - 1 தேக்கரண்டி,
மிளகாய் தூள் - 2 தேக்கரண்டி,
தனியா தூள் - 2 தேக்கரண்டி,
சாம்பார் பொடி - 2 தேக்கரண்டி,
தண்ணீர்,
புளி கரைசல் - 1 கப்,
வெல்லம் - 1 தேக்கரண்டி.</t>
  </si>
  <si>
    <t>Pour sesame oil into a pan and add mustard, cumin, fenugreek, and dried chillies.
Then add finely chopped onion and fry for 1 minute.
Then add curry leaves, small onions, and garlic and sauté for 5 minutes.
Then add finely chopped tomatoes and sauté.
Add salt, turmeric powder, chili powder, garam masala powder, and sambar powder and mix.
Then add water and let the masala cook.
Then add tamarind paste and water and let it boil.
Add chopped eggplant, mix, cover the pan, and cook on medium heat for 10 minutes.
9. Then add jaggery and curry leaves and mix well.
Eggplant curry is ready!</t>
  </si>
  <si>
    <t>கடாயில் நல்லெண்ணெய் ஊற்றி அதில் கடுகு, சீரகம், வெந்தயம், காய்ந்த மிளகாய் சேர்க்கவும்.
 பின்பு பொடியாக நறுக்கிய வெங்காயம் சேர்த்து 1 நிமிடம் வதக்கவும்.
 பிறகு கறிவேப்பிலை, சின்ன வெங்காயம், பூண்டு சேர்த்து 5 நிமிடம் வதக்கவும்.
 பின்பு பொடியாக நறுக்கிய தக்காளி சேர்த்து வதக்கவும்.
உப்பு, மஞ்சள் தூள், மிளகாய் தூள், தனியா தூள், சாம்பார் பொடி சேர்த்து கலந்துவிடவும்.
பின்பு தண்ணீர் ஊற்றி மசாலாவை வேகவிடவும்.
பிறகு புளி கரைசல் மற்றும் தண்ணீர் சேர்த்து கொதிக்கவிடவும்.
நறுக்கிய கத்திரிக்காய் சேர்த்து கலந்து கடாயை மூடி 10 நிமிடம் மிதமான தீயில் வேகவிடவும்.
9. பின்பு வெல்லம் மற்றும் கறிவேப்பிலை சேர்த்து கலந்து இறக்கவும்.
கத்தரிக்காய் காரக்குழம்பு தயார்!</t>
  </si>
  <si>
    <t>https://encrypted-tbn0.gstatic.com/images?q=tbn:ANd9GcSK0wf_ry7MOEovWc0RbzT_KBQjnI7m4U5Yhw&amp;s</t>
  </si>
  <si>
    <t>https://youtu.be/PB_eZyuS5yk?si=R2NwcNohZGu5Vy9M</t>
  </si>
  <si>
    <t>Egg Drop Soup</t>
  </si>
  <si>
    <t>முட்டை சூப்</t>
  </si>
  <si>
    <t>To make chicken gravy:,
Chicken - 250 grams,
Garlic - 4,
Onion - 1 chopped,
Carrot - 2 chopped,
Celery - 2 chopped,
Biryan leaves - 1,
Whole pepper - 1 teaspoon,
Salt - as required,
Water - 1.5 liters,
To make soup:,
Ginger - 1 teaspoon finely chopped,
Soy sauce - 2 teaspoons,
Eggs - 4,
Onion leaves / Onion,
Salt - as required,
Pepper powder - as required,
Green part of onion leaves,</t>
  </si>
  <si>
    <t>சிக்கன் சாறு தயாரிக்க:,
சிக்கன் - 250 கிராம்,
பூண்டு - 4,
வெங்காயம் - 1 நறுக்கியது,
கேரட் - 2 நறுக்கியது,
செலரி - 2 நறுக்கியது,
பிரியாணி இலை  - 1,
முழு  மிளகு - 1 தேக்கரண்டி,
உப்பு - தேவைக்கு ஏற்ப,
தண்ணீர் - 1.5 லிட்டர்,
சூப் செய்ய:,
இஞ்சி  - 1 தேக்கரண்டி பொடியாக நறுக்கியது,
சோயா சாஸ் - 2 தேக்கரண்டி,
முட்டை - 4,
வெங்காயத்தாள் / வெங்காயம்,
உப்பு - தேவைக்கு ஏற்ப,
மிளகு தூள் - தேவைக்கு ஏற்ப,
வெங்காயத்தாள் பச்சை பாகம்,</t>
  </si>
  <si>
    <t>To make chicken stock, in a wide pot, add chicken pieces, garlic cloves, carrots, large onions, celery, bay leaves, salt, and whole pepper and sauté for two minutes.
Pour the following amount of water and once it boils, cover the pot and let it boil on medium heat for an hour.
After an hour, take out the cooked chicken and vegetables from the pot and drain the water in it and keep it in another pot.
Transfer the chicken stock to a boiling pot and add ginger, spring onion, onion, and soy sauce to it and mix.
Next, break the egg into a bowl and beat it.
Pour the beaten egg very slowly into the boiling chicken stock.
While pouring the egg, stir it with a spoon so that the egg looks like a string.
Next, add green onion, salt, and pepper powder and mix.
A unique egg soup is ready.</t>
  </si>
  <si>
    <t xml:space="preserve">சிக்கன் ஸ்டாக் செய்ய, ஒரு அகல பாத்திரத்தில் சிக்கன் துண்டுகள், பூண்டு பற்கள், கேரட், பெரிய வெங்காயம், செலரி, பிரியாணி இலை, உப்பு, முழு மிளகு சேர்த்து இரண்டு நிமிடங்கள் வதக்கவும். 
அடுத்து கூறப்பட்டுள்ள அளவு தண்ணீரை ஊற்றி கொதித்தவுடன் பாத்திரத்தை மூடி ஒரு மணி நேரத்திற்கு மிதமான சூட்டில் கொதிக்க விடவும்.
ஒரு மணி நேரம் கழித்து பாத்திரத்திலுள்ள வெந்த சிக்கன் மற்றும் காய்கறிகளை வெளியே எடுத்து அதிலுள்ள தண்ணீரை வடிகட்டி வேறு பாத்திரத்தில் எடுத்து வைத்துக் கொள்ளவும்.
சிக்கன் ஸ்டாக்கை வேகவைத்த பாத்திரத்திற்கு மாற்றி அதில் இஞ்சி, வெங்காயத்தாள் வெங்காயம்  மற்றும் சோயா சாஸ் சேர்த்து கலக்கவும்.
அடுத்து ஒரு கிண்ணத்தில் முட்டையை உடைத்து ஊற்றி அடித்துக் கொள்ளவும்.
அடித்த முட்டையை கொதிக்கும் சிக்கன் ஸ்டாக்கில் மிக மெதுவாக ஊற்ற வேண்டும்.
முட்டையை ஊற்றும் பொழுது ஒரு கரண்டியால் கிளறிக்கொண்டே ஊற்றினால் முட்டை நூல் போல் இருக்கும்.
அடுத்து இதில் வெங்காயத்தாள் பச்சை, உப்பு மற்றும் மிளகு தூள் சேர்த்து கலக்கவும்.  
வித்யாசமான முட்டை சூப் தயார்.
</t>
  </si>
  <si>
    <t>https://www.yellowblissroad.com/wp-content/uploads/2021/11/Egg-Drop-Soup-15.jpg</t>
  </si>
  <si>
    <t>https://youtu.be/hCq6tQAmTfA?si=XHLsxnbdRqxv2lyI</t>
  </si>
  <si>
    <t>Lamb Chest Bone Soup</t>
  </si>
  <si>
    <t>ஆட்டு நெஞ்சு எலும்பு சூப்</t>
  </si>
  <si>
    <t xml:space="preserve">
Masala Powder Preparation:
Cumin - 1 tsp,
Pepper - 1 tsp,
Thaniya - 1 tbsp,
Chest Bone Soup:,
Ground Masala Powder - 1 tbsp,
Garlic - 6 cloves minced,
Small Onion - 1 cup minced,
Oil - 1 tsp,
Palm - 1” piece,
Cloves - 5,
Anise - 1 tsp,
Biryani Leaf - 1,
Lamb Chest Bone - 250 gms,
Tomato - 1 chopped,
Turmeric Powder - 1/2 tsp,
Rock Salt - As per requirement,
Curry Leaf,
Coriander Leaf,
Water - 3 cups,</t>
  </si>
  <si>
    <t>மசாலா தூள் தயாரிக்க:,
சீரகம் - 1 தேக்கரண்டி,
மிளகு - 1 தேக்கரண்டி,
தனியா - 1 மேசைக்கரண்டி,
நெஞ்சு எலும்பு சூப்:,
அரைத்த மசாலா தூள் - 1 மேசைக்கரண்டி,
பூண்டு - 6 பற்கள் தட்டியது,
சின்ன வெங்காயம் - 1 கப் தட்டியது,
எண்ணெய் - 1 தேக்கரண்டி
பட்டை - 1” துண்டு,
கிராம்பு - 5,
சோம்பு - 1 தேக்கரண்டி,
பிரியாணி இலை - 1,
ஆட்டு நெஞ்சு எலும்பு - 250 கிராம்,
தக்காளி - 1 நறுக்கியது,
மஞ்சள் தூள் - 1/2 தேக்கரண்டி,
கல் உப்பு - தேவைக்கு ஏற்ப,
கறிவேப்பிலை,
கொத்துமல்லி இலை,
தண்ணீர் - 3 கப்,</t>
  </si>
  <si>
    <t xml:space="preserve">
First, grind the masala powder by adding pepper, cumin, and thaniya in a mixer and grind it well.
Then peel the garlic, Grate the onion well.
Next, pour oil in a pressure cooker and add the bay leaves, cloves, anise, bay leaves and breast bone curry and fry.
Next, add the grated garlic, grated small onion, tomato, turmeric powder, one tablespoon of ground spices, cardamom and curry leaves.
Pour the required amount of water into it.
Close the pressure cooker and cook on medium heat until 10 whistles.
Open the pressure cooker and add the chopped coriander and curry leaves.
The hot breast bone soup is ready.</t>
  </si>
  <si>
    <t>முதலில் மசாலா தூள் அரைக்க மிக்ஸியில் மிளகு, சீரகம், தனியா சேர்த்து நன்கு பொடியாக அரைக்கவும்.
அடுத்து பூண்டை தோலுடனும், சின்ன வெங்காயத்தையும் நன்கு தட்டி கொள்ளவும்.
அடுத்த பிரஷர் குக்கரில் எண்ணெய் ஊற்றி பட்டை, கிராம்பு, சோம்பு, பிரியாணி இலை மற்றும் நெஞ்சு எலும்பு கறியை போட்டு வறுக்கவும்.
அடுத்து தட்டிய பூண்டு, தட்டிய சின்ன வெங்காயம், தக்காளி, மஞ்சள்தூள், ஒரு மேசைக்கரண்டி அரைத்த மசாலா,  கல்லுப்பு மற்றும் கருவேப்பிலை சேர்க்கவும். 
அதில் தேவையான அளவு தண்ணீர் ஊற்றவும்.
பிரஷர் குக்கரை மூடி மிதமான சூட்டில் 10 விசில் வரும் வரை வேக வைக்கவும்.
பிரஷர் குக்கரை திறந்து அதில் நறுக்கிய கொத்தமல்லி மற்றும் கருவேப்பிலை சேர்க்கவும்.
சூடான நெஞ்செலும்பு சூப் தயார்.</t>
  </si>
  <si>
    <t>https://www.licious.in/blog/wp-content/uploads/2020/12/Lamb-Soup.jpg</t>
  </si>
  <si>
    <t>https://youtu.be/Py5Av6ilf6g?si=2ejo05VgvNNm0L5i</t>
  </si>
  <si>
    <t>Pumpkin Soup</t>
  </si>
  <si>
    <t>பூசணிக்காய் சூப்</t>
  </si>
  <si>
    <t xml:space="preserve">
For the stock:,
Large onion - 1 chopped,
Beans chopped,
Cabbage chopped,
Carrot chopped,
Potato - 1 chopped,
Celery stalk - 2 chopped,
Garlic - 6 cloves,
Pepper powder,
Salt - 1 teaspoon,
Water,
For the soup:,
Pumpkin - 300 grams,
Onion - 2 chopped,
Celery stalk - 1 chopped,
Carrot - 3 chopped,
Garlic - 6 cloves,
Butter - 1 teaspoon,
Pepper powder,
Salt,
Water,
</t>
  </si>
  <si>
    <t xml:space="preserve">
ஸ்டாக் செய்ய:,
பெரிய வெங்காயம் - 1 நறுக்கியது,
பீன்ஸ் நறுக்கியது,
முட்டைகோஸ் நறுக்கியது,
கேரட்  நறுக்கியது,
உருளைக்கிழங்கு - 1 நறுக்கியது,
செலரி தண்டு - 2 நறுக்கியது,
பூண்டு - 6 பற்கள்,
மிளகு தூள் ,
உப்பு - 1 தேக்கரண்டி,
தண்ணீர்,
சூப் செய்ய:,
பூசணிக்காய் - 300 கிராம்,
வெங்காயம் - 2 நறுக்கியது, 
செலரி தண்டு - 1 நறுக்கியது, 
கேரட்  - 3 நறுக்கியது,
பூண்டு - 6 பற்கள்,
வெண்ணெய் - 1 தேக்கரண்டி,
மிளகு தூள்,
உப்பு,
தண்ணீர், 
</t>
  </si>
  <si>
    <t>For the stock:.
Pour the required amount of water into the pot and add the carrots, beans, cabbage, onion, garlic, potatoes, and celery.
Add salt and pepper powder as required and stir.
Cover the pan and simmer for 30 minutes on medium heat.
After 30 minutes, strain it.
To make the soup:.
In another pan, add butter, onion and garlic and sauté.
When the onion is half cooked, add celery, carrot and pumpkin.
Sauté for 5 minutes.
Pour the strained stock, cover the pan and simmer for 30 minutes on medium heat.
Turn off the stove and grind the vegetables.
Finally, add a little butter and stir.
Hot pumpkin soup is ready.</t>
  </si>
  <si>
    <t xml:space="preserve">ஸ்டாக் செய்ய:.
பாத்திரத்தில் தேவையான அளவு தண்ணீர் ஊற்றி, இதில் கேரட், பீன்ஸ், முட்டைகோஸ், வெங்காயம், பூண்டு, உருளைக்கிழங்கு, செலரி போடவும். 
இதில் தேவையான அளவு உப்பு, மிளகு தூள் சேர்த்து, கிளறவும்.
30 நிமிடம் கடாயை மூடி  மிதமான தீயில் கொதிக்கவிடவும்  
30 நிமிடம் கழித்து, வடிகட்டி வைக்கவும்.
சூப் செய்ய:.
மற்றோரு கடாயில், வெண்ணெய் சேர்த்தது, வெங்காயம், பூண்டு சேர்த்து வதக்கவும்.
வெங்காயம் பாதி வதங்கியதும், இதில் செலரி, கேரட் மற்றும் பூசணிக்காய் சேர்க்கவும். 
 5 நிமிடம் வதக்கவும் 
வடிகட்டிய ஸ்டாக் ஊற்றி, 30 நிமிடம் கடாயை மூடி மிதமான தீயில் கொதிக்கவிடவும்  
அடுப்பை அணைத்து விட்டு, காய்கறிகளை அரைக்கவும். 
இறுதியாக சிறிதளவு வெண்ணெய் சேர்த்து கிண்டவும்.
சூடான பூசணிக்காய் சூப் தயார். </t>
  </si>
  <si>
    <t>https://www.cubesnjuliennes.com/wp-content/uploads/2023/01/Roasted-Pumpkin-Soup-2.jpg</t>
  </si>
  <si>
    <t>https://youtu.be/Ev0D8asPksw?si=1nohadUKD3R0urvu</t>
  </si>
  <si>
    <t>Manna Kodo Millet Sambar Rice</t>
  </si>
  <si>
    <t>மன்னா கோடோ தினை சாம்பார் சாதம்</t>
  </si>
  <si>
    <t>Manna</t>
  </si>
  <si>
    <t>Kodo Millet-1 cup, 
water-1 &amp; 1½ cups,
chopped carrot, 
beans, 
green peas-1 cup,
onion-1, 
ginger garlic paste-1 tsp, 
green chilli - 2, 
mint leaves-12, 
salt - as needed,
To temper:,
Ghee/oil-3 tsp, 
cinnamon-1 inch piece, 
fennel seeds-1 tsp,
bay leaf-1,</t>
  </si>
  <si>
    <t>கோடோ தினை - 1 கப்,
தண்ணீர் - 1 &amp; 1½ கப்,
நறுக்கிய கேரட்,
பீன்ஸ்,
பச்சைப் பட்டாணி - 1 கப்,
வெங்காயம் - 1,
இஞ்சி பூண்டு விழுது - 1 தேக்கரண்டி,
பச்சை மிளகாய் - 2,
புதினா - 12,
உப்பு - தேவைக்கேற்ப,
தாவரப்படுத்த:,
நெய் / எண்ணெய் - 3 தேக்கரண்டி,
இலவங்கப்பட்டை - 1 அங்குல துண்டு,
வெந்தய விதைகள் - 1 தேக்கரண்டி,
வளைகுடா இலை - 1,</t>
  </si>
  <si>
    <t>Heat a small pressure cooker and saute with oil/ ghee and add cinnamon, fennel and bay leaf. 
Stir and add onion and ginger garlic paste. 
Add the chopped veggies, mint leaves and salt. 
Add washed, drained Millet to it and mix well and cook.
Add water, salt and bring to boil, mix well and cook for a
whistle in medium or low flame. 
Serve hot garnish with coriander leaves.</t>
  </si>
  <si>
    <t>ஒரு சிறிய பிரஷர் குக்கரை சூடாக்கி எண்ணெய்/நெய் சேர்த்து வதக்கி, இலவங்கப்பட்டை, பெருஞ்சீரகம் மற்றும் பிரிஞ்சி இலை சேர்க்கவும்.
குழம்பு, வெங்காயம் மற்றும் இஞ்சி பூண்டு விழுது சேர்க்கவும். 
நறுக்கிய காய்கறிகள், புதினா இலைகள் மற்றும் உப்பு சேர்க்கவும். 
கழுவப்பட்ட, வடிகட்டிய தினையை அதனுடன் சேர்த்து நன்கு கலந்து சமைக்கவும். 
தண்ணீர், உப்பு சேர்த்து கொதிக்க வைத்து, நன்கு கலந்து, மிதமான அல்லது குறைந்த தீயில் ஒரு விசில் வரை சமைக்கவும்.
கொத்தமல்லி இலைகளால் அலங்கரிக்கவும். 
சூடாக பரிமாறவும்.</t>
  </si>
  <si>
    <t>https://www.bbassets.com/media/uploads/p/l/40075359_4-manna-kodo-millet-kodravaraguarikeluharkvarigu.jpg</t>
  </si>
  <si>
    <t>https://youtu.be/8Li3fFL3tCc?si=8qtABlu8nvyegg3I</t>
  </si>
  <si>
    <t>Manna Foxtail Millet - Curd Rice</t>
  </si>
  <si>
    <t>மன்னா ஃபாக்ஸ்டெயில் தினை - தயிர் சாதம்</t>
  </si>
  <si>
    <t>Foxtail millet grain - 1 cup,
Dry fruits,
Ghee,
Water,
Sugar,
Milk,
Cardamom powder as required,</t>
  </si>
  <si>
    <t>ஃபாக்ஸ்டெயில் தினை தானியம் - 1 கப்,
உலர்ந்த பழங்கள்,
நெய்,
தண்ணீர்,
சர்க்கரை,
பால்,
தேவைக்கேற்ப ஏலக்காய் தூள்,</t>
  </si>
  <si>
    <t>Cook the foxtail millet in boiling water for 5 minutes. Fry the dry fruits in ghee.
Boil the water and milk, then add the cooked millet, add sugar, and stir gently for 10-15 minutes.
Grind to powder and garnish with cashew nuts and other dry fruits.
Serve hot as a traditional dessert.</t>
  </si>
  <si>
    <t>ஃபாக்ஸ்டெயில் தினையை கொதிக்கும் நீரில் 5 நிமிடங்கள் சமைக்கவும். 
உலர் பழங்களை நெய்யில் வறுக்கவும்.
தண்ணீர் மற்றும் பால் கொதிக்க வைத்து, பின்னர் சமைத்த தினையைச் சேர்த்து, சர்க்கரை சேர்த்து, 10-15 நிமிடங்கள் மெதுவாகக் கிளறவும்.
பொடியாக அரைத்து, முந்திரி மற்றும் பிற உலர் பழங்களால் அலங்கரிக்கவும்.
பாரம்பரிய இனிப்பாக சூடாகப் பரிமாறவும்.</t>
  </si>
  <si>
    <t>https://m.media-amazon.com/images/I/71sx5ZsKMSL._SX679_PIbundle-4,TopRight,0,0_AA679SH20_.jpg</t>
  </si>
  <si>
    <t>https://youtu.be/1MmmhiNIO0o?si=90qtUZKFlUItEwZR</t>
  </si>
  <si>
    <t>Manna Foxtail Millet Pongal</t>
  </si>
  <si>
    <t>மன்னா ஃபாக்ஸ்டெயில் தினை பொங்கல்</t>
  </si>
  <si>
    <t>Foxtail millet grain - 1 cup,
Dry fruits, ghee,
Water,
Sugar,
Milk,
Cardamom powder as required,</t>
  </si>
  <si>
    <t>ஃபாக்ஸ்டெயில் தினை தானியம் - 1 கப்,
உலர்ந்த பழங்கள், நெய்,
தண்ணீர்,
சர்க்கரை,
பால்,
தேவைக்கேற்ப ஏலக்காய் தூள்,</t>
  </si>
  <si>
    <t>Cook the foxtail millet in boiling water for 5 minutes.
Roast the dry fruits in ghee, boil in water and milk, add the cooked millet sugar and cook for 10-15 minutes.
Stir gently. Add cardamom powder and cashews and other dry fruits for garnish.
Serve hot as a traditional dessert.</t>
  </si>
  <si>
    <t xml:space="preserve">
ஃபாக்ஸ்டெயில் தினையை கொதிக்கும் நீரில் 5 நிமிடங்கள் சமைக்கவும்.
உலர்ந்த பழங்களை நெய்யில் வறுத்து, தண்ணீர் மற்றும் பாலில் கொதிக்க வைத்து, சமைத்த தினை சர்க்கரை சேர்த்து 10-15 நிமிடங்கள் சமைக்கவும்.
மெதுவாகக் கிளறவும். ஏலக்காய் தூள் மற்றும் முந்திரி மற்றும் பிற உலர் பழங்களை அலங்கரிக்க சேர்க்கவும்.
பாரம்பரிய இனிப்பாக சூடாக பரிமாறவும்.</t>
  </si>
  <si>
    <t>https://youtu.be/xwAvSThPp0o?si=og_rhSfL50Gc_J5T</t>
  </si>
  <si>
    <t>Maggi</t>
  </si>
  <si>
    <t>CupNoodles</t>
  </si>
  <si>
    <t>SGR 777</t>
  </si>
  <si>
    <t>Chutnefy</t>
  </si>
  <si>
    <t>Foodix</t>
  </si>
  <si>
    <t>MTR</t>
  </si>
  <si>
    <t>Organic wisdom</t>
  </si>
  <si>
    <t>Chettinadu Prawn Dip</t>
  </si>
  <si>
    <t>செட்டிநாடு இறால் தொக்கு</t>
  </si>
  <si>
    <t>Special Lunch</t>
  </si>
  <si>
    <t>Ghee - 4 tbsp,
Mustard - 1 tsp,
Feniseum - 2 tsp,
Onion - 2 chopped,
Green chillies - 4 chopped,
Ginger garlic paste - 2 tsp,
Tomato - 2 chopped,
Salt - 2 tsp,
Turmeric powder - 1 tsp,
Chili powder - 2 tsp,
Thaniya powder - 2 tsp,
Water - 1/4 cup,
Prawns - 1 kg,
Cumin powder - 1 tsp,
Curry leaves,
Chili powder - 1 tsp,
Curry leaves,
Coriander leaves chopped.</t>
  </si>
  <si>
    <t>நல்லெண்ணெய் - 4 மேசைக்கரண்டி, 
கடுகு - 1 தேக்கரண்டி,
சோம்பு - 2 தேக்கரண்டி, 
வெங்காயம் - 2 நறுக்கியது, 
பச்சை மிளகாய் - 4 நறுக்கியது,
இஞ்சி பூண்டு விழுது - 2 தேக்கரண்டி,
தக்காளி - 2 நறுக்கியது,
உப்பு - 2 தேக்கரண்டி ,
மஞ்சள் தூள் - 1 தேக்கரண்டி,
மிளகாய் தூள் - 2 தேக்கரண்டி,
தனியா தூள் - 2 தேக்கரண்டி,
தண்ணீர் - 1/4 கப், 
இறால் - 1 கிலோ, 
சீரக தூள் - 1 தேக்கரண்டி,
கறிவேப்பிலை ,
மிளகு தூள் - 1 தேக்கரண்டி,
கறிவேப்பிலை,
கொத்தமல்லி இலை நறுக்கியது.</t>
  </si>
  <si>
    <t>.Pour sesame oil in a wide pan and when it is hot, add mustard and anise and mix.
When the mustard seeds start to crackle, add chopped onion and green chillies and fry for 5 minutes.
Next add ginger garlic paste and mix.
Then add chopped tomato and fry well on high flame for 5 minutes.
Then add salt, turmeric powder, chilli powder, and coriander powder and fry well.
Add water and mix and let it boil till the oil separates.
Now add prawns and mix.
Add cumin powder and curry leaves and mix and cook for 5 minutes.
Fry till the water dries up. Then add pepper powder and curry leaves and mix.
Finally add chopped coriander leaves.
Delicious Chettinad Prawn Dhokku is ready.</t>
  </si>
  <si>
    <t>ஒரு அகலமான கடாயில் நல்லெண்ணெய் ஊற்றி சூடானதும் கடுகு, சோம்பு சேர்த்து கலந்து விடவும்.
 கடுகு பொறிய ஆரம்பித்ததும் நறுக்கிய வெங்காயம், பச்சை மிளகாயை சேர்த்து 5 நிமிடம் வதக்கவும்.
 அடுத்து இஞ்சி பூண்டு விழுது சேர்த்து கலந்து விடவும்.
 பின்பு  நறுக்கிய தக்காளியை சேர்த்து 5 நிமிடம் அதிக தீயில் நன்கு வதக்கவும்.
 பிறகு உப்பு, மஞ்சள் தூள், மிளகாய் தூள், தனியா தூள் சேர்த்து நன்கு வதக்கவும்.
 தண்ணீர் சேர்த்து கலந்து விட்டு எண்ணெய் பிரியும் வரை கொதிக்க விடவும்.
 இப்போது இறாலை சேர்த்து கலந்து விடவும்.
 சீரக தூள், கறிவேப்பிலை சேர்த்து கலந்து விட்டு கடாயை மூடி 5 நிமிடம் வேகவிடவும்.
 தண்ணீர் வற்றும் வரை வதக்கவும். பின்பு மிளகு தூள்,கறிவேப்பிலை சேர்த்து கலந்து விடவும்.
 இறுதியாக நறுக்கிய கொத்தமல்லி இலை சேர்க்கவும்.
 சுவையான செட்டிநாடு இறால் தொக்கு தயார்.</t>
  </si>
  <si>
    <t>https://www.google.com/url?sa=i&amp;url=https%3A%2F%2Fwww.dreamstime.com%2Fphotos-images%2Fchettinad-prawn.html&amp;psig=AOvVaw3N0zvExXEXb3o3qRsQPOJq&amp;ust=1747464126608000&amp;source=images&amp;cd=vfe&amp;opi=89978449&amp;ved=0CBEQjRxqFwoTCJjS_8Owp40DFQAAAAAdAAAAABAE</t>
  </si>
  <si>
    <t>https://youtu.be/fW4_t46Wz-E?si=YBvDLhm0uEC32XwG</t>
  </si>
  <si>
    <t xml:space="preserve">மட்டன் கோஃப்தா பிரியாணி
</t>
  </si>
  <si>
    <t>Mutton Keema - 1/2 kg,
Ginger Garlic Paste - 1 tsp,
Turmeric Powder - 1/2 tsp,
Chili Powder - 1 tsp,
Coriander Powder - 1 tsp,
Salt,
Garlic Masala - 1/2 tsp,
Onion - 1,
Green Chillies - 2,
Coriander Leaves,
Mint Leaves,
Peanut Flour - 4 tsp,
Basmati Rice - 250 ml,
Cinnamon,
Cloves,
Biryani Leaves,
Pineapple Blossom,
Cardamom,
Java,
Salt,
Ghee - 2 tbsp,
Cinnamon,
Cloves,Cardamom,
Biryani Leaves,
Onion - 3,
Green Chillies - 2,
Ginger Garlic Paste - 1 spoon,
Tomatoes - 3,
Turmeric powder - 1/4 teaspoon,
Kashmiri chili powder - 2 teaspoons,
Garram masala - 1/2 teaspoon,
Mint leaves,
Coriander leaves,
Yogurt - 1 cup,
Saffron milk.</t>
  </si>
  <si>
    <t xml:space="preserve">மட்டன் கீமா - 1/2 கிலோ,
இஞ்சி பூண்டு பேஸ்ட் - 1 தேக்கரண்டி,
மஞ்சள் தூள் - 1/2 தேக்கரண்டி,
மிளகாய் தூள் - 1 தேக்கரண்டி,
மல்லி தூள் - 1 தேக்கரண்டி,
உப்பு,
கரம் மசாலா - 1/2 தேக்கரண்டி,
வெங்காயம் - 1 ,
பச்சை மிளகாய் -2,
கொத்துமல்லி தழை,
புதினா இலைகள்,
கடலை மாவு  - 4 தேக்கரண்டி,
பாஸ்மதி அரிசி - 250 மிலி,
இலவங்கப்பட்டை,
கிராம்பு,
பிரியாணி இலை ,
அன்னாசி பூ ,
ஏலக்காய் ,
ஜாவிதிரி ,
உப்பு,
நெய் - 2  மேசைக்கரண்டி ,
இலவங்கப்பட்டை, 
கிராம்பு, ஏலக்காய்  ,
 பிரியாணி இலை,
வெங்காயம் - 3, 
பச்சை மிளகாய் - 2,
இஞ்சி பூண்டு பேஸ்ட் - 1 தேக்கரண்டி,
தக்காளி - 3 ,
மஞ்சள் தூள் - 1/4 தேக்கரண்டி,
காஷ்மீரி சில்லி பவுடர் - 2 தேக்கரண்டி,
கரம் மசாலா - 1/2 தேக்கரண்டி,
புதினா இலைகள்,
கொத்துமல்லி தழை,
தயிர் - 1 கப்,
குங்குமப்பூ பால்.
</t>
  </si>
  <si>
    <t>Take mutton chunks in a bowl and add ginger garlic paste, turmeric powder, chili powder, coriander powder, garam masala powder, finely chopped small onion, finely chopped green chili, finely chopped coriander leaves, finely chopped mint leaves and mix well and cover for an hour.
Add the mashed chunks to the mixer and grind it.
Mix the ground chunks with the ground chunks and mix well and roll them into small balls.
Fry the rolled balls in a pan with oil and fry until golden brown.
Pour water in a pan and heat it. Add basmati rice soaked for thirty minutes. Add the fenugreek, cloves, bay leaves, pineapple blossoms, cardamom, jaggery and required salt and boil the rice.
In a pan, add ghee and add cinnamon, cloves, Add cardamom, bay leaves, finely chopped large onion and fry till it changes color
Once the onion turns golden brown, add ginger garlic paste, finely chopped tomato, required salt, turmeric powder, Kashmiri chili powder, garam masala powder, coriander leaves, mint leaves and yogurt and fry well
Add fried kofta balls to this mixture and mix well
Spread boiled basmati rice in this mixture 5. Spread saffron milk and ghee on it and cook it for fifteen minutes
After fifteen minutes, hot and tasty mutton kofta biryani is ready</t>
  </si>
  <si>
    <t>ஒரு கிண்ணத்தில் மட்டன் கொத்துக்கறி எடுத்துக்கொண்டு அதனுடன் இஞ்சி பூண்டு விழுது, மஞ்சள் தூள், மிளகாய் தூள், மல்லித்தூள், கரம் மசாலா தூள், பொடியாக நறுக்கிய சிறிய  வெங்காயம், பொடியாக நறுக்கிய பச்சை மிளகாய்,  பொடியாக நறுக்கிய கொத்தமல்லி  இலை, பொடியாக நறுக்கிய புதினா இலை சேர்த்து நன்கு பிசைந்து வைத்து ஒரு மணி நேரம் மூடிவைக்கவும் 
பிசைந்து வைத்த கொத்துக்கறி கலவையை மிக்ஸில் சேர்த்து அரைத்துக்கொள்ளவும் 
 அரைத்து வைத்த கொத்துக்கறியுடன் கடலை மாவு சேர்த்து நன்கு பிசைந்து சிறிய உருண்டைகளாக உருட்டிக்கொள்ளவும் 
உருட்டி வைத்த உருண்டைகளை ஒரு கடாயில் எண்ணெய்  சேர்த்து பொன்னிறமாக பொறித்துக்கொள்ளவும் 
 ஒரு பாத்திரத்தில் தண்ணீர் ஊற்றி சூடேற்றிய பிறகு முப்பது நிமிடம் ஊறவைத்த பாசுமதி அரிசியை சேர்த்து அதனுடன் பட்டை, கிராம்பு, பிரியாணி இலை, அன்னாசி பூ, ஏலக்காய், ஜாவிதிரி, தேவையான அளவு உப்பு சேர்த்து அரிசியை வேகவைக்கவும்  
ஒரு கடாயில் நெய் சேர்த்து அதனுடன் இலவங்கப்பட்டை, கிராம்பு, ஏலக்காய், பிரியாணி இலை, பொடியாக நறுக்கிய பெரிய வெங்காயம் சேர்த்து நிறம் மாறும் வரை வதக்கவும்
 வெங்காயம் பொன்னிறமானவுடன் அதனுடன் இஞ்சி பூண்டு விழுது, பொடியாக நறுக்கிய தக்காளி, தேவையான அளவு உப்பு, மஞ்சள் தூள், காஷ்மீரி மிளகாய் தூள், கரம் மசாலா தூள், கொத்தமல்லி இலை, புதினா இலை மற்றும் தயிர் சேர்த்து நன்கு வதக்கிக்கொள்ளவும் 
 இந்த கலவையில் பொரித்து வைத்த கோஃப்தா உருண்டைகள் சேர்த்து நன்கு கலக்கவும் 
 இந்த கலவையில் வேகவைத்த பாசுமதி அரிசியை பரப்பி வைக்கவும் 5. அதன் மேல் குங்குமப்பூ பால் மற்றும் நெய்யை அதன் மேல்  பரப்பி அதை பதினைந்து நிமிடத்திற்கு வேகவைக்கவும் 
 பதினைந்து நிமிடத்திற்கு பிறகு சூடான மற்றும் சுவையான மட்டன் கோஃப்தா பிரியாணி தயார்</t>
  </si>
  <si>
    <t>https://i.ytimg.com/vi/IyqE8Ho5r0E/hq720.jpg?sqp=-oaymwEhCK4FEIIDSFryq4qpAxMIARUAAAAAGAElAADIQj0AgKJD&amp;rs=AOn4CLB2wQXCbKRJMpESep_ND3aTs7z37w</t>
  </si>
  <si>
    <t>https://youtu.be/rRxdYtNoYwI?si=aBTozjFEMP5XmnjO</t>
  </si>
  <si>
    <t>Chickpeas Biryani</t>
  </si>
  <si>
    <t>கொண்டைக்கடலை தம் பிரியாணி</t>
  </si>
  <si>
    <t>Oil,
Onion,
Oil - 2 tablespoons,
Kashmiri chili powder - 1/2 teaspoon,
Salt - 1/4 teaspoon,
Boiled potatoes - 1,
Basmati rice - 1 cup (250 ml),
Water
Baking powder,
Cloves,
Biryani leaves,
Cardamom,
Pineapple flower,
Salt - 1/4 teaspoon,
Chickpeas - 200 grams
Ghee - 2 tablespoons,
Oil - 2 tablespoons,
Baking powder,
Cloves,
Biryani leaves,
Cardamom,
Onion - 1,
Green chilies - 2,
Ginger garlic paste - 1/2 teaspoon,
Tomatoes - 2,
Turmeric powder - 1/4 teaspoon ,
Kashmiri chili powder - 2 teaspoons ,
Cumin powder - 1 teaspoon ,
Garram masala - 1 teaspoon ,
Salt - 1 teaspoon ,
Yogurt - 1/2 cup,
Mint leaves,
Coriander leaves,
Garlic masala,
Cooked basmati rice,
Fried potatoes,
Fried onions,
Ghee - 2 teaspoons ,
Mint leaves.</t>
  </si>
  <si>
    <t>எண்ணெய்,
வெங்காயம்,
எண்ணெய் - 2 தேக்கரண்டி,
காஷ்மீரி மிளகாய் தூள்  - 1/2 தேக்கரண்டி , 
உப்பு - 1/4 தேக்கரண்டி  ,
வேகவைத்த உருளைக்கிழங்கு - 1,
பாஸ்மதி அரிசி - 1 கப்(250 மிலி) ,                                                                  
தண்ணீர் 
பட்டை ,
கிராம்பு ,
பிரியாணி இலை,
ஏலக்காய் ,
அன்னாசி பூ ,
உப்பு - 1/4 தேக்கரண்டி,
கொண்டைக்கடலை  - 200 கிராம்
நெய் - 2 தேக்கரண்டி  ,
எண்ணெய் - 2 தேக்கரண்டி ,
பட்டை ,
கிராம்பு,
பிரியாணி இலை ,
ஏலக்காய் ,
வெங்காயம் - 1 ,
பச்சை மிளகாய் - 2, 
இஞ்சி பூண்டு விழுது  - 1/2 தேக்கரண்டி ,
தக்காளி - 2 ,
மஞ்சள் தூள் - 1/4 தேக்கரண்டி ,
காஷ்மீரி மிளகாய் தூள்  - 2 தேக்கரண்டி ,
சீரகத்தூள்  - 1 தேக்கரண்டி  ,
கரம் மசாலா - 1 தேக்கரண்டி  ,
உப்பு - 1 தேக்கரண்டி ,
தயிர் - 1/2 கப்,
புதினா இலைகள்,
கொத்துமல்லி தழை,
கொண்டைக்கடலை மசாலா, 
சமைத்த பாஸ்மதி அரிசி,
வறுத்த உருளைக்கிழங்கு,
வறுத்த வெங்காயம்,
நெய் - 2  தேக்கரண்டி ,
புதினா இலைகள்.</t>
  </si>
  <si>
    <t>First, soak the basmati rice in water for thirty minutes
Next, add water along with the chickpeas and soak for eight hours
Put the soaked chickpeas in a cooker and cook until five whistles
Next, add oil and finely chopped onion in a pan and fry until golden brown
Next, add oil and Kashmiri chili powder in a pan and mix for a while and then add boiled potatoes and fry
Boil the required amount of water in a vessel to cook the rice
Then add the peel, cloves, cardamom, bay leaves, pineapple blossom and required amount of salt and cook the rice for three-quarters of the time
To prepare the chickpea masala, add ghee, oil, peel, cloves, cardamom, bay leaves, finely chopped large onion, finely chopped green chilies, ginger garlic paste and finely chopped tomatoes in a pan and fry well
Next, add turmeric powder, chili powder, cumin powder, garam masala powder, salt, and yogurt to this mixture and fry until the oil separates
Add boiled chickpeas to this mixture and boil for five minutes
Finally, add mint leaves and coriander leaves and mix well
To make biryani, add chickpea masala, boiled basmati rice, fried potatoes, fried onions, and ghee in a vessel, cover the vessel tightly and cook for fifteen minutes
After fifteen minutes, your hot and delicious chickpea biryani is ready.</t>
  </si>
  <si>
    <t xml:space="preserve">  முதலில் பாசுமதி அரிசியை தண்ணீர் சேர்த்து முப்பது நிமிடம் ஊறவைக்கவும்
 அடுத்து கொண்டைக்கடலையுடன் தண்ணீர் சேர்த்து எட்டு மணி நேரம் ஊறவைக்கவும்
 ஊறவைத்த கொண்டைக்கடலையை குக்கரில் சேர்த்து ஐந்து விசில் வரும் வரை வேகவைக்கவும்
 அடுத்து ஒரு கடாயில் எண்ணெய் மற்றும் மெலிதாக நறுக்கிய வெங்காயம் சேர்த்து பொன்னிறமாக பொரித்து வைத்துக்கொள்ளவும்
 அடுத்து ஒரு கடாயில் எண்ணெய், காஷ்மீரி மிளகாய் தூள் சேர்த்து சிறிது நேரம் கலக்கிய பின்பு வேகவைத்த உருளைக்கிழங்குகளை சேர்த்து வறுத்து வைத்துக்கொள்ளவும்
 அரிசியை சமைக்க ஒரு பாத்திரத்தில் தேவையான அளவு தண்ணீர் கொதிக்கவைக்கவும் 
 பின்பு இதனுடன் பட்டை, கிராம்பு, ஏலக்காய், பிரியாணி இலை, அன்னாசி பூ மற்றும் தேவையான அளவு உப்பு சேர்த்து அரிசியை முக்கால் வேக்காட்டிற்கு வேகவைத்துக்கொள்ளவும்
 கொண்டைக்கடலை மசாலா தயாரிக்க ஒரு கடாயில் நெய், எண்ணெய், பட்டை, கிராம்பு, ஏலக்காய், பிரியாணி இலை, மெலிதாக நறுக்கிய பெரிய வெங்காயம், பொடியாக நறுக்கிய பச்சை மிளகாய், இஞ்சி பூண்டு விழுது, பொடியாக நறுக்கிய தக்காளி சேர்த்து நன்கு வதக்கிக்கொள்ளவும் 
அடுத்து இந்த கலவையில் மஞ்சள் தூள், மிளகாய் தூள், சீரகத்தூள்,  கரம் மசாலா தூள், உப்பு, தயிர் சேர்த்து எண்ணெய் பிரியும் வரை வதக்கவும்
இந்த கலவையில் வேகவைத்த கொண்டைக்கடலை சேர்த்து ஐந்து நிமிடத்திற்கு கொதிக்கவிடவும் 
 இறுதியாக புதினா இலை, கொத்தமல்லி இலை சேர்த்து நன்கு கலக்கி வைத்துக்கொள்ளவும் 
 பிரியாணி செய்ய ஒரு பாத்திரத்தில் கொண்டைக்கடலை மசாலா, வேகவைத்த பாசுமதி அரிசி, வறுத்த உருளைக்கிழங்கு, வறுத்த வெங்காயம், நெய் சேர்த்து அந்த பாத்திரத்தை இருக்கமாக மூடி பதினைந்து நிமிடத்திக்கு வேகவைக்கவும்
  பதினைந்து நிமிடத்திற்கு பின்பு சூடான மற்றும் சுவையான கொண்டைக்கடலை தம் பிரியாணி தயார்.</t>
  </si>
  <si>
    <t>https://i.ytimg.com/vi/-udBqc1U8dg/hq720.jpg?sqp=-oaymwEhCK4FEIIDSFryq4qpAxMIARUAAAAAGAElAADIQj0AgKJD&amp;rs=AOn4CLASPKupJOdBkPBusfedWO0pIOFwbQ</t>
  </si>
  <si>
    <t>https://youtu.be/6-i1zoVokUQ?si=PvCgfACp5btpaHBV</t>
  </si>
  <si>
    <t>பிரஷர்  குக்கர் முட்டை பிரியாணி</t>
  </si>
  <si>
    <t>Oil - 2 tbsp,
Onion - 1,
Turmeric powder - 1/4 tsp,
Chili powder - 1 tsp,
Salt - 1/4 tsp,
Boiled eggs - 6,
Yogurt - 1/2 cup,
Chili powder - 2 tsp,
Coriander powder - 1 tsp,
Turmeric powder - 1/4 tsp,
Garram masala - 1 tsp,
Ghee - 2 tbsp,
Oil - 1 tbsp,
Baking powder,
Pineapple blossom,
Cloves,
Biryani leaves,
Cardamom,
Onion - 2,
Green chillies- 3,
Ginger garlic paste - 1/2 tsp,
Tomatoes - 3,
Salt - 1 spoon,
Coriander leaves,
Mint leaves,
Basmati rice - 300 ml,
Water - 500 ml.</t>
  </si>
  <si>
    <t>எண்ணெய் - 2 மேசைக்கரண்டி ,
வெங்காயம் - 1, 
மஞ்சள் தூள் - 1/4 தேக்கரண்டி,
 மிளகாய் தூள்  - 1 தேக்கரண்டி,  
உப்பு - 1/4 தேக்கரண்டி ,
வேகவைத்த முட்டை - 6 ,
தயிர் - 1/2 கப்,
மிளகாய் தூள்  - 2 தேக்கரண்டி  ,
மல்லி தூள் - 1 தேக்கரண்டி , 
மஞ்சள் தூள் - 1/4 தேக்கரண்டி ,
கரம் மசாலா - 1 தேக்கரண்டி ,
நெய் - 2 மேசைக்கரண்டி ,
எண்ணெய் - 1 மேசைக்கரண்டி,
பட்டை ,
அன்னாசி பூ ,
கிராம்பு ,
பிரியாணி இலை ,
ஏலக்காய் ,
வெங்காயம் - 2 ,
பச்சை சமிளகாய்- 3 ,
இஞ்சி பூண்டு விழுது - 1/2 தேக்கரண்டி ,
தக்காளி - 3 ,
உப்பு - 1 தேக்கரண்டி ,
கொத்துமல்லி தழை,
புதினா இலைகள்,
பாஸ்மதி அரிசி - 300 மிலி  ,                                                                 
தண்ணீர் - 500 மில்லி.</t>
  </si>
  <si>
    <t xml:space="preserve">
First fry the onion. For this, add oil and finely chopped large onion in a pan and fry it well
Next, fry the egg. For this, add turmeric powder, chili powder, salt in a pan and mix
Crack the boiled egg into that mixture and add it to the pan and fry it well
Next, in a cooker, add ghee, oil, rind, pineapple flower, cardamom, cloves, biryani leaf, finely chopped large onion, green chilies and fry it until it changes color
Once the onion turns golden brown, add ginger garlic paste, chopped tomato, required salt and fry it well
Make a masala curd to add to this mixture. For that, in a bowl, mix yogurt, Kashmiri chili powder, coriander powder, turmeric powder, garam masala powder and mix well and then add it to the fried ingredients.
Next, add finely chopped coriander leaves, mint leaves, basmati rice soaked in water for thirty minutes and close the cooker and cook for ten minutes.
Hot and delicious egg biryani is ready.
You can make this biryani easily using your cooker at home.</t>
  </si>
  <si>
    <t xml:space="preserve">முதலில் வெங்காயத்தை வறுக்க வேண்டும். அதற்க்கு ஒரு கடாயில் எண்ணெய் மற்றும் மெலிதாக நறுக்கிய பெரிய வெங்காயம் சேர்த்து நன்கு வறுத்து  வைத்து கொள்ளவும்
 அடுத்து முட்டையை வறுக்கவும். அதற்க்கு ஒரு கடாயில் மஞ்சள் தூள், மிளகாய் தூள், உப்பு சேர்த்து கலக்கவும்
 அந்த கலவையில் வேகவைத்த முட்டையை கீறி கடாயில் சேர்த்து நன்கு வறுக்கவும் 
 அடுத்து ஒரு குக்கரில் நெய், எண்ணெய், பட்டை, அன்னாசி பூ, ஏலக்காய், கிராம்பு, பிரியாணி இலை, மெல்லிதாக நறுக்கிய பெரிய வெங்காயம், பச்சை மிளகாய் சேர்த்து நிறம் மாறும் வரை வதக்கவும் 
 வெங்காயம் பொன்னிறமானவுடன், இஞ்சி பூண்டு விழுது, பொடியாக நறுக்கிய தக்காளி, தேவையான அளவு உப்பு சேர்த்து நன்கு வதக்கவும்
இந்த கலவையில் சேர்க்க ஒரு மசாலா தயிர் செய்ய வேண்டும். அதற்க்கு ஒரு கிண்ணத்தில் தயிர் ,காஷ்மீரி மிளகாய் தூள், மல்லி தூள் ,மஞ்சள் தூள், கரம் மசாலா தூள் சேர்த்து நன்கு கலக்கிய பின்பு வதக்கியவற்றுடன் சேர்க்கவும்
 அடுத்து பொடியாக நறுக்கிய கொத்தமல்லி இலை, புதினா இலை ,முப்பது நிமிடம் தண்ணீரில் ஊறவைத்த பாசுமதி அரிசி சேர்த்து குக்கரை மூடி பத்து நிமிடத்திற்கு வேக வைக்கவும்
 சூடான மற்றும் சுவையான முட்டை பிரியாணி தயார் 
 இது போன்ற பிரியாணியை வீட்டில் உள்ள குக்கரை வைத்து  எளிய முறையில்  செய்யலாம் முதலில் வெங்காயத்தை வறுக்க வேண்டும். அதற்க்கு ஒரு கடாயில் எண்ணெய் மற்றும் மெலிதாக நறுக்கிய பெரிய வெங்காயம் சேர்த்து நன்கு வறுத்து  வைத்து கொள்ளவும்
 அடுத்து முட்டையை வறுக்கவும். அதற்க்கு ஒரு கடாயில் மஞ்சள் தூள், மிளகாய் தூள், உப்பு சேர்த்து கலக்கவும்
 அந்த கலவையில் வேகவைத்த முட்டையை கீறி கடாயில் சேர்த்து நன்கு வறுக்கவும் 
 அடுத்து ஒரு குக்கரில் நெய், எண்ணெய், பட்டை, அன்னாசி பூ, ஏலக்காய், கிராம்பு, பிரியாணி இலை, மெல்லிதாக நறுக்கிய பெரிய வெங்காயம், பச்சை மிளகாய் சேர்த்து நிறம் மாறும் வரை வதக்கவும் 
 வெங்காயம் பொன்னிறமானவுடன், இஞ்சி பூண்டு விழுது, பொடியாக நறுக்கிய தக்காளி, தேவையான அளவு உப்பு சேர்த்து நன்கு வதக்கவும்
இந்த கலவையில் சேர்க்க ஒரு மசாலா தயிர் செய்ய வேண்டும். அதற்க்கு ஒரு கிண்ணத்தில் தயிர் ,காஷ்மீரி மிளகாய் தூள், மல்லி தூள் ,மஞ்சள் தூள், கரம் மசாலா தூள் சேர்த்து நன்கு கலக்கிய பின்பு வதக்கியவற்றுடன் சேர்க்கவும்
 அடுத்து பொடியாக நறுக்கிய கொத்தமல்லி இலை, புதினா இலை ,முப்பது நிமிடம் தண்ணீரில் ஊறவைத்த பாசுமதி அரிசி சேர்த்து குக்கரை மூடி பத்து நிமிடத்திற்கு வேக வைக்கவும்
 சூடான மற்றும் சுவையான முட்டை பிரியாணி தயார் 
 இது போன்ற பிரியாணியை வீட்டில் உள்ள குக்கரை வைத்து  எளிய முறையில்  செய்யலாம் </t>
  </si>
  <si>
    <t>https://www.thattukada.net/wp-content/uploads/2018/09/jhg.jpg</t>
  </si>
  <si>
    <t>https://youtu.be/QUpHYUBEhZY?si=snEdjUnZtJ015-E1</t>
  </si>
  <si>
    <t>Basmati rice - 1 cup,
Onion - 1 chopped,
Tomato - 1 chopped,
Chili powder - 2 teaspoons,
Turmeric powder - 1/2 teaspoon,
Coriander powder - 1 teaspoon,
Yogurt - 1/4 cup,
Biryani leaves,
Pineapple blossom,
Cardamom,
Cloves,
Stone moss,
Coriander leaves,
Ghee,
Water,
Salt,
Small onions - 6,
Garlic - 7 cloves,
Ginger - 1 piece,
Green chillies - 4,
Mint leaves,
Cloves,
Pineapple blossom,
Nutmeg,
Ghee,
Small onions - 3 chopped,
Green chillies - 1,
Yogurt - 1/2 cup.</t>
  </si>
  <si>
    <t>பாஸ்மதி அரிசி - 1 கப்,
வெங்காயம் - 1 நறுக்கப்பட்ட,
தக்காளி - 1 நறுக்கப்பட்ட,
மிளகாய் தூள் - 2 தேக்கரண்டி,
மஞ்சள் தூள் - 1/2 தேக்கரண்டி,
கொத்தமல்லி தூள் - 1 தேக்கரண்டி,
தயிர் - 1/4 கப்,
பிரியாணி இலை, 
அன்னாசி பூ ,
ஏலக்காய்,
கிராம்பு,
கல் பாசி ,
கொத்துமல்லி இலை,
நெய்,
தண்ணீர், 
உப்ப,
சிறிய வெங்காயம் - 6 ,
பூண்டு - 7 பற்கள் ,
இஞ்சி -  1 துண்டு, 
பச்சை மிளகாய் - 4 ,
புதினா இலை,
கிராம்பு ,
அன்னாசி பூ, 
ஜாதிக்காய், 
நெய்,
சிறிய வெங்காயம்  - 3 நறுக்கிய,
பச்சை மிளகாய் - 1 ,
தயிர் - 1/2 கப்.</t>
  </si>
  <si>
    <t>First, soak the basmati rice in water for thirty minutes.
Next, prepare the masala paste for the kuska.
Fry the ghee, cardamom, cloves, mace, grated nutmeg, small onion, garlic, ginger, green chillies, coriander leaves, mint leaves in a pan and let it cool for a while before grinding it.
Next, fry the ghee, bay leaves, pineapple blossoms, cloves, cardamom, stone moss, and finely chopped large onion in a cooker until they change color.
Once the onion turns golden brown, add finely chopped tomatoes, turmeric powder, chilli powder, salt, and coriander powder and fry them well.
Add the ground masala paste to this and fry until the rawness disappears.
Add a little yogurt to this and mix. Add soaked basmati rice and required amount of water to this mixture and cook till two whistles
After two whistles, open the cooker after some time
.A delicious kuska is ready
Eat this kuska with curd pachdi.</t>
  </si>
  <si>
    <t>முதலில் பாஸ்மதி அரிசியை முப்பது நிமிடம் தண்ணீரில் ஊறவைக்க வேண்டும் 
அடுத்தது குஸ்காவிற்கு மசாலா பேஸ்ட் தயார் செய்ய வேண்டும் 
கடாயில் நெய், பட்டை, கிராம்பு, ஏலக்காய், ஜாவிதிரி, துருவிய ஜாதிக்காய், சிறிய வெங்காயம், பூண்டு, இஞ்சி, பச்சை மிளகாய், கொத்தமல்லி இலை, புதினா இலை, ஆகியவற்றை வறுத்த பின்பு சிறிது நேரம் ஆறவிட்டு அரைத்துக்கொள்ளவும்
அடுத்து ஒரு குக்கரில் நெய், பிரியாணி இலை, அன்னாசி பூ, கிராம்பு, ஏலக்காய், கல் பாசி ,பொடியாக நறுக்கிய பெரிய வெங்காயம் ஆகியவற்றை நிறம் மாறும் வரை வதக்கவும் 
வெங்காயம் பொன்னிறமானவுடன் பொடியாக நறுக்கிய தக்காளி, மஞ்சள் தூள், மிளகாய் தூள், உப்பு, மல்லி தூள் சேர்த்து நன்கு வதக்கவும் 
இந்த வதக்கியவற்றில் அரைத்து வைத்த மசாலா பேஸ்ட் சேர்த்து பச்சை மனம் போகும் வரை வதக்கவும் 
இதனுடன் தயிர் சிறிதளவு சேர்த்து கலக்கவும். இந்த கலவையில் ஊற வைத்த பாஸ்மதி அரிசி மற்றும் தேவையான அளவு தண்ணீர்  சேர்த்து இரண்டு விசில் வரும் வரை வேக வைக்கவும் 
இரண்டு விசில் வந்த பிறகு சிறிது நேரம் கழித்து குக்கரை திறக்கவும்
 .அருமையான சுவையான குஸ்கா தயார் 
இந்த குஸ்காவிற்கு தயிர் பச்சடி சேர்த்து சாப்பிடவும்.</t>
  </si>
  <si>
    <t>https://samayalnalam.com/wp-content/uploads/2023/10/kuska-rice.jpg</t>
  </si>
  <si>
    <t>https://youtu.be/roeJDn4Yg5Y?si=qU3nk6K9lEijF0Bu</t>
  </si>
  <si>
    <t>Mutton - 1 kg,
Turmeric powder - 3/4 tsp,
Chilli powder - 2 tsp,
Salt,
Small onion - 6,
Garlic - 10 cloves,
Green chillies - 2,
Red chillies - 6,
Coconut - 2 tsp (grated),
Coriandrum sativum - 1 tsp,
Mint leaves,
Coriander leaves,
Ginger,
Water,
Ghee - 2 tsp,
Oil - 1 tsp,
Onion - 4,
Tomatoes - 3,
Basmati rice - 3 cups,
Diluted coconut milk - 3 cups,
Coriander leaves,
Mint leaves,
Baking powder,
Cardamom,
Cloves,
Biryani leaves.</t>
  </si>
  <si>
    <t>மட்டன்  - 1 கிலோ,
மஞ்சள் தூள் - 3/4 தேக்கரண்டி, 
மிளகாய் தூள் - 2 தேக்கரண்டி,
 உப்பு,
சிறிய வெங்காயம்  - 6 ,
பூண்டு -  10 பற்கள்,
பச்சை மிளகாய் - 2,
சிவப்பு  மிளகாய் - 6 ,
 தேங்காய் - 2 தேக்கரண்டி (துருவியது ),
 மல்லி தூள் - 1 தேக்கரண்டி,
புதினா இலைகள்,
 கொத்தமல்லி இலைகள்,
இஞ்சி,
தண்ணீர்
நெய் - 2 தேக்கரண்டி,
எண்ணெய் - 1 தேக்கரண்டி,
வெங்காயம் - 4  ,
தக்காளி - 3 ,
பாஸ்மதி அரிசி - 3 கப் ,
நீர்த்த தேங்காய் பால் - 3 கப்,
கொத்தமல்லி இலைகள்,
புதினா இலைகள்,
பட்டை,
ஏலக்காய் ,
கிராம்பு,
பிரியாணி இலை.</t>
  </si>
  <si>
    <t>To cook Mutton Biryani, take large pieces of mutton. Add turmeric powder, chili powder, salt and let it soak for 15 minutes
Next, grind the spices, add small onion, garlic, ginger, green chili, red chili, grated coconut, mint leaves, coriander leaves, coriander leaves, and a little water and grind it well in a mixer until it becomes like ink
In a cooker, add ghee, oil, fenugreek, cardamom, cloves, biryani leaves, and finely chopped onion and fry it until it turns brown
After the onion turns brown, add chopped tomatoes and ground spices and fry it until the green color disappears
Add the soaked mutton pieces to the fried ones and mix for five minutes
Mix salt, diluted coconut milk, coriander leaves, and mint leaves in this mixture and cook it until seven whistles
Mix the basmati rice soaked for thirty minutes in the boiled mutton, close the cooker and cook for seven minutes
Turn off the stove and after some time, turn off the cooker Open
Hot delicious pressure cooker mutton biryani is ready</t>
  </si>
  <si>
    <t xml:space="preserve">மட்டன்  பிரியாணி சமைக்க பெரிய மட்டன் துண்டுகளை எடுத்துக்கொள்ளவும். அதனுடன் மஞ்சள் தூள், மிளகாய்த்தூள், உப்பு ஆகிவற்றை சேர்த்து ஒரு 15 நிமிடம் ஊற வைக்கவும்
 அடுத்தது மசாலா அரைக்க சிறிய வெங்காயம், பூண்டு, இஞ்சி, பச்சை மிளகாய், சிவப்பு மிளகாய், துருவிய தேங்காய், புதினா இலை, கொத்தமல்லி இலை, மல்லித்தூள், சிறிது தண்ணீர்  சேர்த்து மிக்ஸியில் நன்கு மை போல் அரைக்க வேண்டும்
குக்கரில் நெய், எண்ணெய், பட்டை, ஏலக்காய், கிராம்பு, பிரியாணி இலை, பொடியாக நறுக்கிய வெங்காயம் சேர்த்து நன்கு  சிவக்கும் வரை  வதக்கவும்
 வெங்காயம் சிவந்த பிறகு நறுக்கிய தக்காளி, அரைத்த மசாலா சேர்த்து பச்சை மனம் போகும் வரை வதக்கவும்
 ஊற வைத்த  மட்டன் துண்டுகளை வதக்கியவற்றுடன்  சேர்த்து ஐந்து நிமிடங்களுக்கு கலக்கவும்
 இந்த கலவையில் உப்பு, நீர்த்த தேங்காய் பால், கொத்தமல்லி இலை, புதினா இலை ஆகியவற்றை நன்கு கலக்கிய பின்பு ஏழு விசில் வரும் வரை வேக வைக்கவும்
 வேக வைத்த மட்டனில் முப்பது நிமிடம் ஊற வைத்த பாசுமதி அரிசியை கலந்த பின்பு குக்கரை மூடிவிட்டு ஏழு நிமிடங்களுக்கு சமைக்கவும் 
 அடுப்பை அணைத்து விட்டு சிறிது நேரம் கழித்து  குக்கரை திறக்கவும
   சூடான சுவையான பிரஷர் குக்கர் மட்டன் பிரியாணி தயார் </t>
  </si>
  <si>
    <t>https://i.ytimg.com/vi/gfVrC3uzVXQ/hq720.jpg?sqp=-oaymwEhCK4FEIIDSFryq4qpAxMIARUAAAAAGAElAADIQj0AgKJD&amp;rs=AOn4CLC-6H-BxMyOlabtxyonbPjLnzD72Q</t>
  </si>
  <si>
    <t>https://youtu.be/fOL9qrTXNVU?si=VkJ9FtBsyZRGBaOkvvv</t>
  </si>
  <si>
    <t>Potato Biryani</t>
  </si>
  <si>
    <t>உருளைகிழங்கு தம் பிரியாணி</t>
  </si>
  <si>
    <t>Ginger - 1 piece,
Garlic - 2 cloves,
Green chilies - 2,
Red chilies - 2,
Yogurt - 1 tablespoon,
Mint leaves,
Coriander leaves,
Basmati rice - 200 ml,
Potatoes - 200 grams,
Ghee,
Oil,
Onion - 2,
Tomatoes - 3,
Turmeric powder - 1/4 teaspoon,
Pineapple blossom,
Cardamom,
Baking powder,
Cloves,
Birthy leaves,
Saffron,
Salt.</t>
  </si>
  <si>
    <t>இஞ்சி - 1 துண்டு,
பூண்டு - 2 பற்கள் ,
பச்சை மிளகாய் - 2 ,
சிவப்பு மிளகாய் - 2, 
தயிர் - 1 மேசைக்கரண்டி,
புதினா இலைகள்,
கொத்துமல்லி தழை,
பாஸ்மதி அரிசி - 200 மில்லி,
உருளைக்கிழங்கு - 200 கிராம்,
நெய்,
எண்ணெய்,
வெங்காயம் - 2 ,
தக்காளி - 3,
மஞ்சள் தூள் - 1/4 தேக்கரண்டி,
அன்னாசி பூ,
 ஏலக்காய், 
பட்டை,
 கிராம்பு,
 பிரியாணி இலை ,
குங்குமப்பூ,
உப்பு.</t>
  </si>
  <si>
    <t>To make potato biryani, first wash the basmati rice well and soak it in water for thirty minutes.
Next, finely chop an onion and fry it.
Next, take boiled potatoes in a pan and fry them with a little salt until golden brown.
To cook the rice, pour water in a vessel and heat it. Add the bark, cloves, cardamom, pineapple blossom, and bay leaf. Add the soaked rice to it and boil it for three-quarters. Strain it and set aside.
Next, add saffron in hot milk and dissolve it.
To make the masala paste, grind garlic, ginger, dried red chilies, green chilies, coriander leaves, mint leaves, and yogurt in a mixer.
To cook the biryani, heat ghee in a pan and add the bay leaf, bark, cloves, cardamom, and chopped tomatoes and fry them well.
Add the ground masala paste to this mixture and fry until the green colour disappears
After the green colour disappears, add the boiled potatoes and mix well
Next, add the fried onions to this and mix well, then add the boiled rice and spread it well
Add the dissolved saffron milk and more fried onions to this and close the pan for ten minutes
After ten minutes, your hot and delicious potato biryani is ready</t>
  </si>
  <si>
    <t xml:space="preserve"> உருளைகிழங்கு தம் பிரியாணி செய்ய முதலில் பாசுமதி அரிசியை  நன்கு கழுவி தேவையான அளவு தண்ணீர் சேர்த்து முப்பது நிமிடம் ஊறவைக்கவும்
 அடுத்து ஒரு வெங்காயம் மெல்லிதாக நறுக்கி அதை வறுத்து வைக்கவும் 
 அடுத்து ஒரு கடாயில் வேகவைத்த உருளைக்கிழங்கை எடுத்து சிறிதளவு உப்பு சேர்த்து பொன்னிறமாக வறுத்துக்கொள்ளவும் 
 அரிசியை சமைக்க ஒரு பாத்திரத்தில் தண்ணீர் ஊற்றி சூடேற்றிய பின்பு பட்டை, கிராம்பு, ஏலக்காய், அன்னாசி பூ, பிரியாணி இலை சேர்த்து அதனுடன் ஊறவைத்த அரிசியை சேர்த்து முக்கால் பாகம் வேகவைத்து அதை வடிகட்டி எடுத்து வைக்கவும் 
 அடுத்து சூடான பாலில் குங்குமப்பூ சேர்த்து கரைத்து வைத்துக்கொள்ளவும்
 மசாலா விழுது தயாரிக்க,  மிக்ஸியில் பூண்டு, இஞ்சி, காய்ந்த சிவப்பு மிளகாய், பச்சை மிளகாய், கொத்தமல்லி இலை, புதினா இலை மற்றும் தயிர் சேர்த்து விழுதாக அரைத்துக்கொள்ளவும் 
 பிரியாணி சமைக்க ஒரு கடாயில் நெய் சேர்த்து சூடேற்றிய பின்பு அதனுடன் பிரியாணி இலை, பட்டை, கிராம்பு, ஏலக்காய், பொடியாக நறுக்கிய தக்காளி சேர்த்து நன்கு வதக்கவும்
 இந்த கலவையில் அரைத்த மசாலா விழுது சேர்த்து பச்சை மனம் போகும் வரை வதக்கவும்
 பச்சை மனம் போன பின்பு இதில் வேகவைத்த உருளைகிழங்கு சேர்த்து நன்கு கலக்கவும் 
 அடுத்து இதில் வறுத்த வெங்காயம் சேர்த்து நன்கு கிளறிய பின்பு வேகவைத்த அரிசியை சேர்த்து நன்கு பரப்பி விடவும் 
இதனுடன் கரைத்த குங்குமப்பூ பால் சேர்த்து மேலும் வறுத்த வெங்காயம் சேர்த்து கடையை ஒரு பத்து நிமிடம் மூடிவைக்கவும்
 பத்து நிமிடத்திற்கு பின்பு சூடான மற்றும் சுவையான உருளைகிழங்கு தம் பிரியாணி தயார்</t>
  </si>
  <si>
    <t>https://www.subbuskitchen.com/wp-content/uploads/2020/01/Dum-Aloo-Biryani_finalforweb1-scaled.jpg</t>
  </si>
  <si>
    <t>https://youtu.be/74G01L3zvQw?si=v8INMa5TRWNKCG1E</t>
  </si>
  <si>
    <t>Ghee - 2 tbsp,
Biryani leaves - 3,
Pineapple flower - 1,
Baking powder,
Cardamom - 3,
Cloves - 5,
Onion - 3,
Tomato - 2,
Mushroom - 500 gms,
Turmeric powder - 1/2 tsp,
Coriander powder - 1 tsp,
Salt,
Coriander &amp; Mint leaves - 1/2 bunch,
Basmati rice - 300 ml,
Water - 450 ml,
Ginger,
Garlic,
Green chillies - 2,
Ground red chilli paste - 3 tsp,
Grated coconut - 5 tsp</t>
  </si>
  <si>
    <t>நெய் - 2 மேசைக்கரண்டி, 
பிரியாணி இலை  - 3, 
அன்னாசி பூ- 1 ,
பட்டை,
ஏலக்காய்  - 3, 
கிராம்பு -  5, 
வெங்காயம் - 3 ,
தக்காளி - 2 ,
காளான் - 500 கிராம்,
மஞ்சள் தூள் - 1/2 தேக்கரண்டி,
மல்லி தூள் - 1 தேக்கரண்டி,
உப்பு,
கொத்தமல்லி &amp; புதினா இலை - 1/2 கொத்து,
பாஸ்மதி அரிசி - 300 மில்லி ,
தண்ணீர்  - 450 மில்லி, 
இஞ்சி, 
பூண்டு ,
பச்சை மிளகாய் - 2 ,
அரைத்த சிவப்பு மிளகாய் விழுது  - 3 தேக்கரண்டி,
துருவிய  தேங்காய் - 5 தேக்கரண்டி</t>
  </si>
  <si>
    <t>Soak the basmati rice in water for 30 minutes and drain it.
Pour oil and ghee in a cooker and heat it, add spices (cardamom, cloves, bay leaves, anise)
Add onion and fry till brown.
Add green chillies, ginger garlic paste and fry well.
Add tomatoes and fry till they turn soft
Add chopped mushrooms and fry for 3–4 minutes.
Add curd, coriander leaves, mint leaves and mix well
Add soaked rice and stir gently.
Add required salt, 1½ cups water and mix well
Close the cooker and cook till 1 whistle and then keep it on low for 5 minutes.
After the whistle stops automatically, open the lid, stir well and serve.</t>
  </si>
  <si>
    <t xml:space="preserve">பாசுமதி அரிசியை 30 நிமிடம் தண்ணீரில் ஊற வைத்து வடிகட்டி வைக்கவும்.
குக்கரில் எண்ணெய் மற்றும் நெய் ஊற்றி சூடானதும், மசாலா பொருட்கள் (ஏலக்காய், கிராம்பு, பட்டை, சோம்பு) 
வெங்காயம் சேர்த்து பழுப்பு நிறமாக வதக்கவும்.
பச்சை மிளகாய், இஞ்சி பூண்டு விழுதும் சேர்த்து நன்றாக வதக்கவும்.
தக்காளி சேர்த்து நன்றாக மசியாகும் வரை வதக்கவு
நறுக்கிய காளான் சேர்த்து 3–4 நிமிடம் வதக்கவும்.
தயிர், மல்லி இலை, புதினா இலை சேர்த்து கலந்து வைக்கவும
ஊறவைத்த அரிசியை சேர்த்து மெதுவாக கிளறவும்.
தேவையான உப்பு, 1½ கப் தண்ணீர் சேர்த்து கலக்கவும
குக்கர் மூடி, 1 விசில் வரும் வரை வைத்துவிட்டு, பின்னர் சிம்மில் 5 நிமிடம் வைத்துக்கொள்ளவும்.
விசில் தானாக ஆவதற்குப் பிறகு மூடியை திறந்து, நன்கு கிளறி பரிமாறவும். </t>
  </si>
  <si>
    <t>https://encrypted-tbn0.gstatic.com/images?q=tbn:ANd9GcRXC5km9o6qteCHP4HbN1NNlm4-mtTUfZY8xA&amp;s</t>
  </si>
  <si>
    <t>https://youtu.be/Ush8noNgVug?si=KeWuzv7V2iqa2Hi5</t>
  </si>
  <si>
    <t>Oil - 2 tbsp,
Cinnamon,
Biryani leaves,
Cloves - 3,
Cardamom - 2,
Onion - 1,
Green chillies - 2,
Ginger garlic paste - 1 tsp,
Tomato - 2,
Carrot - 1,
Beans,
Potato - 1,
Green peas - 1/4 cup,
Salt - 1 tsp,
Turmeric powder - 1/4 tsp,
Chili powder - 1 tsp,
Cornilary powder - 1 tsp,
Biryani masala powder - 1 tsp,
Water - 3/4 cup,
Coriander leaves,
Mint leaves,
Roasted semiya - 1 cup,
Salt - 1/4 tsp,
Ghee - 1 tbsp</t>
  </si>
  <si>
    <t>எண்ணெய் - 2 மேசைக்கரண்டி ,
இலவங்கப்பட்டை,
பிரியாணி இலை,
கிராம்பு - 3 ,
ஏலக்காய் - 2 ,
வெங்காயம் - 1 ,
பச்சை மிளகாய் - 2 ,
இஞ்சி பூண்டு விழுது - 1 தேக்கரண்டி,
தக்காளி - 2 ,
கேரட் - 1 ,
பீன்ஸ் ,
உருளைக்கிழங்கு - 1 ,
பச்சை பட்டாணி - 1/4 கப்,
உப்பு - 1 தேக்கரண்டி,
மஞ்சள் தூள் - 1/4 தேக்கரண்டி,
மிளகாய் தூள் - 1 தேக்கரண்டி,
மல்லி தூள் - 1 தேக்கரண்டி,
பிரியாணி மசாலா தூள் - 1 தேக்கரண்டி,
தண்ணீர் - 3/4 கோப்பை,
கொத்துமல்லி தழை,
புதினா இலை,
வறுத்த சேமியா - 1 கப்,
உப்பு - 1/4 தேக்கரண்டி,
நெய் - 1 மேசைக்கரண்டி</t>
  </si>
  <si>
    <t>In a small bowl Add ghee/oil and fry the semiya till it turns light brown. Keep it aside
Add oil again in the same pan and add mustard seeds, urad dal, anise seeds, cardamom pods, cinnamon sticks.
Add onion, green chillies, ginger garlic paste and fry.
Add chopped tomatoes. Fry till they become soft.
Then add turmeric powder, chilli powder, biryani masala powder and stir.
Add your favorite vegetables and fry for 2-3 minutes.
Add 1.5 cups of water and salt. Let it boil.
Add the fried semiya to the boiling water and stir well.
Cover and cook on low flame for 6-8 minutes until it is cooked and dry.
Sprinkle coriander leaves on top and garnish.
Serve with veg raita or plain yogurt.</t>
  </si>
  <si>
    <t xml:space="preserve">
ஒரு பாத்திரத்தில் சிறிது நெய்/எண்ணெய் விட்டு, செமியாவை லேசாக சிவக்கும்வரை வறுக்கவும். தனியாக வைக்கவும
அந்த பாத்திரத்தில் மீண்டும் எண்ணெய் விட்டு, கடுகு, உளுத்தம்பருப்பு, சோம்பு, பட்டை, ஏலக்காய், இலவங்கம் தாளிக்கவும்.
வெங்காயம், பச்சை மிளகாய், இஞ்சி பூண்டு விழுது சேர்த்து வதக்கவும்.
நறுக்கிய தக்காளியை சேர்க்கவும். நன்கு மசியும் வரை வதக்கவும்.
பிறகு மஞ்சள் தூள், மிளகாய் தூள், பிரியாணி மசாலா தூள் சேர்த்து கிளறவும்.
உங்களுக்குப் பிடித்த காய்கறிகளை சேர்த்து 2-3 நிமிடம் வதக்கவும்.
1.5 கப் தண்ணீர் மற்றும் உப்பும் சேர்க்கவும். கொதிக்க விடவும்.
கொதிக்கும் தண்ணீரில் வறுத்த செமியாவைச் சேர்த்து நன்கு கிளறவும்.
சிறிய தீயில் மூடி வைத்து 6-8 நிமிடங்கள் வெந்து உலரும் வரை காத்திருக்கவும்.
மேலே கொத்தமல்லி இலை தூவி அலங்கரிக்கவும்.
வெஜ் ரெய்தா அல்லது சாதாரண தயிருடன் பரிமாறலாம்.</t>
  </si>
  <si>
    <t>https://encrypted-tbn0.gstatic.com/images?q=tbn:ANd9GcRqqmUBhaFRDVPBKUTRsD08xTpcTUb0QusqdQ&amp;s</t>
  </si>
  <si>
    <t>https://youtu.be/CsDtaQgDGBQ?si=jz8RmdMalCz81-pj</t>
  </si>
  <si>
    <t>Avakai Chicken Biryani</t>
  </si>
  <si>
    <t>ஆவக்காய் சிக்கன் பிரியாணி</t>
  </si>
  <si>
    <t>Basmati rice - 500 grams,
Ghee - 2 tablespoons,
Oil - 1 tablespoon,
Biryani leaves - 2,
Cinnamon,
Cloves,
Cardamom,
Nutmeg,
Pineapple flower &amp; stone moss,
Onion - 3,
Green chilies - 2,
Ginger garlic paste - 2 teaspoons,
Tomatoes - 2,
Turmeric powder - 1/4 teaspoon,
Chili powder- 1 teaspoon,
Cornilara powder - 1 teaspoon,
Salt - 1 teaspoon,
Avakai pickle - 3 tablespoons,
Mint leaves,
Coriander leaves,
Water - 2 1/2 cups,
Salt - 1 teaspoon,
Ghee - 1 Tablespoon,
Chicken - 1 kg
Turmeric powder - 1/2 tsp
Chilli powder - 2 tsp
Salt - 1 tsp
Onion - 2
Salt - 1 tsp
Yogurt - 1 cup
Coriander leaves</t>
  </si>
  <si>
    <t>பாஸ்மதி அரிசி - 500 கிராம்,
நெய் - 2 மேசைக்கரண்டி, 
எண்ணெய் - 1 மேசைக்கரண்டி, 
பிரியாணி இலை - 2, 
இலவங்கப்பட்டை,
 கிராம்பு , 
ஏலக்காய்,
 சாதிக்காய் ,
 அன்னாசி பூ &amp; கல் பாசி,
வெங்காயம் - 3, 
பச்சை மிளகாய்  - 2 ,
இஞ்சி பூண்டு விழுது  - 2 தேக்கரண்டி,
தக்காளி - 2 ,
மஞ்சள் தூள் - 1/4 தேக்கரண்டி,
மிளகாய் தூள்- 1 தேக்கரண்டி,
மல்லி தூள் - 1 தேக்கரண்டி,
உப்பு - 1 தேக்கரண்டி,
ஆவக்காய் ஊறுகாய் - 3 மேசைக்கரண்டி,
புதினா இலைகள்,
கொத்துமல்லி தழை,
தண்ணீர் - 2 1/2 கப்,
உப்பு - 1 தேக்கரண்டி,
நெய் - 1 மேசைக்கரண்டி,
சிக்கன் - 1 கிலோ
மஞ்சள் தூள் - 1/2 தேக்கரண்டி
மிளகாய் தூள் - 2 தேக்கரண்டி
உப்பு - 1 தேக்கரண்டி
வெங்காயம் - 2 
உப்பு - 1 தேக்கரண்டி
தயிர் - 1 கப்
கொத்துமல்லி தழை</t>
  </si>
  <si>
    <t>To make Avakai Chicken Biryani, first take the chicken pieces in a bowl and add turmeric powder, chili powder and required amount of salt and mix well.
Next, heat ghee in a cooker and add the coriander leaves, cloves, cardamom, stone moss, nutmeg, bay leaf, pineapple flower and fry well.
After frying well, add finely chopped large onion, green chilies and fry until they change color.
When the onion turns golden brown, add ginger garlic paste, chopped tomatoes, turmeric powder, chili powder, coriander leaves and required amount of salt and fry well.
Add the marinated chicken to this mixture and mix well. After mixing, add the avacai pickle and mix well.
Mix well and boil the chicken. After boiling the chicken, add mint leaves, coriander leaves, required amount of water, soaked basmati rice and ghee. Close the cooker and cook for ten minutes.
After ten minutes, the delicious avacai chicken biryani is ready.</t>
  </si>
  <si>
    <t xml:space="preserve"> ஆவக்காய் சிக்கன் பிரியாணி செய்வதற்கு முதலில் ஒரு கிண்ணத்தில் சிக்கன் துண்டுகளை எடுத்து அதில் மஞ்சள் தூள், மிளகாய் தூள் மற்றும் தேவையான அளவு உப்பு சேர்த்து நன்கு பிசைந்து வைக்கவும் 
 அடுத்து ஒரு குக்கரில் நெய் எண்ணெய் சேர்த்து சூடேற்றிய பின்பு அதில் பட்டை, கிராம்பு, ஏலக்காய், கல் பாசி, ஜாதிபத்திரி, பிரியாணி இலை, அன்னாசி பூ சேர்த்து நன்கு வறுக்கவும்
 நன்கு வறுத்த பின்பு மெல்லிதாக நறுக்கிய பெரிய வெங்காயம், நீளமாக கீறிய பச்சை மிளகாய் சேர்த்து நிறம் மாறும் வரை வதக்கவும்
 வெங்காயம் பொன்னிறமானவுடன் இதில் இஞ்சி பூண்டு விழுது, பொடியாக நறுக்கிய தக்காளி, மஞ்சள் தூள், மிளகாய் தூள், மல்லித்துள், தேவையான அளவு உப்பு சேர்த்து நன்கு வதக்கவும் 
பிசைந்து ஊறவைத்த சிக்கனை இந்த கலவையில் சேர்த்து நன்கு கலக்கிய பின்பு இதில் ஆவக்காய் ஊறுகாய் சேர்த்து நன்கு கலக்கவும் 
 நன்கு கலக்கி சிக்கனை வேகவைத்த பின்பு இதில் புதினா இலை, கொத்தமல்லி இலை, தேவையான அளவு தண்ணீர், ஊறவைத்த பாசுமதி அரிசி மற்றும் நெய் சேர்த்து குக்கரை மூடி பத்து நிமிடம் வேகவைக்கவும் 
 பத்து நிமிடம் கழித்து சுவையான ஆவக்காய் சிக்கன் பிரியாணி தயார் .</t>
  </si>
  <si>
    <t>https://aathiraifoods.com/cdn/shop/articles/avakayai-briyani.jpg?v=1661624639</t>
  </si>
  <si>
    <t>https://youtu.be/WscDj3_aAZQ?si=8OPJhtZs-eLil-RX</t>
  </si>
  <si>
    <t>Hyderabadi Egg Biryani</t>
  </si>
  <si>
    <t>ஹைதராபாத் முட்டை பிரியாணி</t>
  </si>
  <si>
    <t>Basmati rice - 200 grams,
Bread,
Biryan leaves,
Cardamom,
Cloves,
Pepper,
Pineapple blossom,
Salt,
Eggs - 6,
Onions - 4,
Oil - 1 tablespoon,
Ghee - 1 tablespoon,
Biryan leaves,
Bread,
Cloves,
Pineapple blossom,
Cardamom,
Green chillies - 2,
Ginger garlic paste - 1 teaspoon,
Turmeric powder - 1/2 teaspoon,
Chili powder - 1 teaspoon,
Biryani masala powder - 1 1/2 teaspoon,
Yogurt - 1 cup,
Mint leaves,
Saffron,
Milk - 2 tablespoons,
Coriander leaves.</t>
  </si>
  <si>
    <t>பாசுமதி அரிசி  - 200 கிராம்,
பட்டை, 
பிரியாணி இலை,
ஏலக்காய்,
கிராம்பு,
மிளகு,
அன்னாசி பூ ,
உப்பு,
முட்டை - 6 ,
வெங்காயம் - 4 ,
எண்ணெய் - 1 மேசைக்கரண்டி, 
நெய் - 1 மேசைக்கரண்டி ,
பிரியாணி இலை,
 பட்டை ,
 கிராம்பு,
 அன்னாசி பூ ,
 ஏலக்காய் ,
பச்சை மிளகாய் - 2 ,
இஞ்சி பூண்டு விழுது - 1 தேக்கரண்டி,
மஞ்சள் தூள் - 1/2 தேக்கரண்டி,
மிளகாய் தூள் - 1 தேக்கரண்டி,
பிரியாணி மசாலா தூள் - 1 1/2 தேக்கரண்டி,
தயிர் - 1 கப்,
புதினா இலைகள்,
குங்குமப்பூ ,
பால் - 2 மேசைக்கரண்டி, 
கொத்துமல்லி தழை.</t>
  </si>
  <si>
    <t>To make Hyderabadi Egg Biryani, first boil six eggs and peel them.
Next, in a pan, add oil and finely chopped large onions and fry them well.
To cook the rice, wash the basmati rice soaked for thirty minutes and add the required amount of water in a vessel. Add the soaked basmati rice, rind, cloves, cardamom, biryani leaves, pepper, pineapple blossoms and required amount of salt. Boil the rice for three-quarters and drain it.
Next, to make the biryani, in a vessel, add ghee, biryani leaves, rind, cardamom, pineapple blossoms, cloves, long-sliced ​​green chillies, ginger-garlic paste, turmeric powder, chilli powder, biryani masala powder and mix well.
Add fried onions, curd, required amount of salt, mint and coriander to this mixture and mix well.
6. Scratch the boiled egg on all sides and add it to this mixture.
To place the biryani in the pan, place a tawa on the stove. Place the vessel containing this mixture on a tawa and spread the cooked basmati rice on it.
Sprinkle saffron milk, mint, coriander leaves on it and spread the fried onions on it. Cover the vessel and let it sit for twenty minutes.
After twenty minutes, your hot and delicious Hyderabadi Egg Biryani is ready.</t>
  </si>
  <si>
    <t xml:space="preserve"> ஹைதராபாத் முட்டை பிரியாணி செய்வதற்கு முதலில் ஆறு முட்டைகளை வேகவைத்து உரித்து வைத்துக்கொள்ளவும் 
 அடுத்து ஒரு கடாயில் எண்ணெய், மெல்லிதாக நறுக்கிய பெரிய வெங்காயம் சேர்த்து நன்கு வறுத்துக்கொள்ளவும்
 அரிசியை சமைக்க முப்பது நிமிடம் ஊறவைத்த பாசுமதி அரிசியை நன்கு கழுவி ஒரு பாத்திரத்தில் தேவையான அளவு தண்ணீர் சேர்த்து அதில் ஊறவைத்த பாசுமதி அரிசி, பட்டை, கிராம்பு, ஏலக்காய், பிரியாணி இலை, மிளகு, அன்னாசி பூ மற்றும் தேவையான அளவு உப்பு சேர்த்து அரிசியை முக்கால் பாகம் வேகவைத்து வடிகட்டி வைக்கவும் 
 அடுத்து பிரியாணி செய்வதற்கு ஒரு பாத்திரத்தில் நெய், பிரியாணி இலை, பட்டை, ஏலக்காய், அன்னாசி பூ, கிராம்பு, நீளமாக கீறிய பச்சை மிளகாய், இஞ்சி பூண்டு விழுது, மஞ்சள் தூள், மிளகாய் தூள், பிரியாணி மசாலா தூள் சேர்த்து நன்கு கலக்கவும்
 இந்த கலவையில் வறுத்த வெங்காயம், தயிர், தேவையான அளவு உப்பு, புதினா மற்றும் கொத்தமல்லி சேர்த்து நன்கு கலக்கவும் 
6. வேகவைத்த முட்டையை நான்கு புறமும் கீறி இந்த கலவையில் சேர்க்கவும்
 பிரியாணியை தம்மில் வைப்பதற்கு ஒரு தவாவை அடுப்பில் வைத்து இந்த கலவை இருக்கும் பாத்திரத்தை தவாவின் மேல் வைத்து வேகவைத்த பாசுமதி அரிசியை அதன் மேல் நன்கு பரப்பி விடவும்
 அதன் மேல் குங்குமப்பூ பால், புதினா, கொத்தமல்லி இலைகளை அதன் மேல் தூவி வறுத்த வெங்காயத்தை அதன் மேல் பரப்பி பாத்திரத்தை மூடி இருபது நிமிடம் தம்மில் வைக்கவும் 
 இருபது நிமிடம் கழித்து சூடான மற்றும் சுவையான ஹைதராபாத் முட்டை தம் பிரியாணி தயார் </t>
  </si>
  <si>
    <t>https://www.diversivore.com/wp-content/uploads/2021/03/Hyderabadi-egg-biryani-banner.jpg</t>
  </si>
  <si>
    <t>https://youtu.be/mKxQxgwiDYI?si=ctarWBuIuzdrb_PW</t>
  </si>
  <si>
    <t>Ghee - 2 tablespoons,
Boiled basmati rice,
Saffron,
Fried onion,
Biryani masala,
Coriander leaves,
Mint leaves,
Yogurt - 1/2 cup,
Turmeric powder - 1/4 teaspoon,
Chili powder - 2 teaspoons,
Coriander powder - 1 teaspoon,
Biryani masala - 1 tablespoon,
Salt - 1 teaspoon,
Ginger garlic paste - 1 teaspoon,
Onions - 2,
Green chillies - 1,
Tomatoes - 2,
Carrots - 1,
Beans,
Potatoes - 1,
Cauliflower florets,
Green peas - 1/4 cup,
Fried onion,
Coriander leaves,
Mint leaves.</t>
  </si>
  <si>
    <t>நெய் - 2 தேக்கரண்டி,
வேகவைத்த பாஸ்மதி அரிசி,
குங்குமப்பூ ,
வறுத்த வெங்காயம்,
பிரியாணி மசாலா,
கொத்தமல்லி இலை,
புதினா இலை,
தயிர் - 1/2 கப்,
மஞ்சள் தூள் - 1/4 தேக்கரண்டி,
மிளகாய் தூள் - 2 தேக்கரண்டி,
மல்லி தூள் - 1 தேக்கரண்டி,
பிரியாணி மசாலா - 1 மேசைக்கரண்டி,
உப்பு - 1 தேக்கரண்டி,
இஞ்சி பூண்டு விழுது - 1 தேக்கரண்டி,
வெங்காயம் - 2, 
பச்சை மிளகாய் - 1 ,
தக்காளி - 2 ,
கேரட் - 1 ,
பீன்ஸ்,
உருளைக்கிழங்கு - 1 ,
காலிஃபிளவர் ஃப்ளோரெட்ஸ்,
பச்சை பட்டாணி - 1/4 கப்,
வறுத்த வெங்காயம்,
கொத்தமல்லி இலை,
புதினா இலை.</t>
  </si>
  <si>
    <t>Soak basmati rice for half an hour, add salt, a little oil, cardamom, bay leaves, and cloves to it and cook until only 70% cooked.
Once the rice is cooked, drain it.
Pour oil and ghee in a vessel and add bay leaves, cardamom, and cloves and saute.
Then add ginger garlic paste, green chilies, and onion (chopped) and saute.
Add tomatoes and saute until they are well cooked.
Add required spice powder (chili powder, allspice powder, and scallion powder).
Add chopped vegetables and yogurt, stir well, cover, and cook for a while.
Finally, add mint and coriander leaves and stir.
In a vessel, layer one butter rice and one butter veg gravy.
Pour tandoori colored milk (aicha) and one tablespoon ghee on top.
Place a non-stick lid on the pot, then place a small pan/tawa on the stove with the lid on top and let it simmer for 15-20 minutes.</t>
  </si>
  <si>
    <t xml:space="preserve">
பாஸ்மதி அரிசியை அரை மணி நேரம் ஊறவைத்து, அதில் உப்பு, சிறிது எண்ணெய், ஏலக்காய், பட்டை, கிராம்பு போட்டு 70% மட்டுமே வெந்து வருமாறு வேகவைக்கவும்.
அரிசி வெந்ததும் வடிகட்டி வைக்கவும்.
பாத்திரத்தில் எண்ணெய், நெய் ஊற்றி பட்டை, ஏலக்காய், கிராம்பு சேர்த்து வதக்கவும்.
பின்னர் இஞ்சி பூண்டு விழுது, பச்சை மிளகாய், வெங்காயம் (பொடியாக நறுக்கியது) சேர்த்து வதக்கவும்.
தக்காளி சேர்த்து நன்கு மசியும்வரை வதக்கவும்.
தேவையான மசாலா தூள் (மிளகாய் தூள், மசாலா தூள், தனியா தூள்) சேர்க்கவும்.
நறுக்கிய காய்கறிகள், தயிர் சேர்த்து நன்றாக கிளறி மூடி வைத்து சிறிது நேரம் வேகவைக்கவும்.
முடிவில் புதினா, கொத்தமல்லி இலை சேர்த்து கிளறவும்.
ஒரு பாத்திரத்தில் ஒரு பட்டர்ம் அரிசி, ஒரு பட்டர்ம் வெஜ் கிரேவி என அடுக்கி போடவும்.
மேலே தந்தூரி கலர் கலந்த பால் (ஐச்சா), ஒரு மேசைக் கரண்டி நெய் ஊற்றவும்.
பாத்திரத்தின் மேல் ஒட்டாமல் கவர் வைத்து, பின் மூடி மேலே அடுப்பு மீது ஒரு சிறிய அடுப்பு/தவா வைத்து நன்கு 15-20 நிமிடம் டம் விடவும்.</t>
  </si>
  <si>
    <t>https://www.yummyfoodrecipes.com/resources/picture/org/Vegetable-Dum-Biryani.jpg</t>
  </si>
  <si>
    <t>https://youtu.be/0b7yGEvcEk4?si=w4CeVkT-zWbj0k5q</t>
  </si>
  <si>
    <t>Paneer Biryani</t>
  </si>
  <si>
    <t>பன்னீர் பிரியாணி</t>
  </si>
  <si>
    <t>Hot milk - 1 tablespoon,
Saffron flower,
Ketti curd - 1 cup,
Turmeric powder - 1/4 teaspoon,
Kashmiri chili powder - 2 teaspoons,
Dhaniya powder - 1 teaspoon,
Amsur powder - 1 teaspoon,
Kasuri methi,
Paneer - 400 grams,
Salt,
Basmati rice - 1 cup (250 grams),
Cloves - 2,
Cardamom - 2,
Biryani leaf - 1,
Pattu - 1 piece,
Pineapple flower - 1,
Javitri - 1,
Ghee - 2 tablespoons,
Biryani leaf - 1,
Pattu - 1 piece,
Cardamom - 4,
Cloves - 5,
Onion - 2,
Green chilies - 2,
Ginger garlic paste - 1 teaspoon,
Tomato - 2,
Turmeric powder - 1/4 teaspoon,
Kashmiri chili powder - 1 teaspoon,
Thaniya powder - 1/2 teaspoon,
Mint leaves,
Coriander leaves,
Salt.</t>
  </si>
  <si>
    <t>சூடான பால் - 1 மேசைக்கரண்டி,
குங்கும பூ ,
கெட்டி தயிர் - 1 கப்,
மஞ்சள் தூள் - 1/4 தேக்கரண்டி ,
காஷ்மீரி மிளகாய் தூள் - 2 தேக்கரண்டி  ,
தனியா தூள் - 1 தேக்கரண்டி,
ஆம்சுர் தூள் - 1 தேக்கரண்டி,
கசூரி மேத்தி,
பன்னீர் - 400 கிராம்,
உப்பு,
பாஸ்மதி அரிசி - 1 கப் ( 250 கிராம் ) ,
கிராம்பு - 2 ,
ஏலக்காய் - 2 ,
பிரியாணி இலை - 1,
பட்டை - 1 துண்டு,
அன்னாசி பூ - 1,
ஜாவித்ரி - 1,
நெய் - 2 மேசைக்கரண்டி ,
பிரியாணி இலை - 1,
பட்டை - 1 துண்டு,
ஏலக்காய் - 4, 
 கிராம்பு - 5,
வெங்காயம் - 2,
பச்சை மிளகாய் - 2,
இஞ்சி பூண்டு விழுது - 1 தேக்கரண்டி ,
தக்காளி - 2,
மஞ்சள் தூள் - 1/4 தேக்கரண்டி,
காஷ்மீரி மிளகாய் தூள் - 1 தேக்கரண்டி,
தனியா தூள் - 1/2 தேக்கரண்டி,
புதினா இலை,
கொத்தமல்லி இலை,
உப்பு.</t>
  </si>
  <si>
    <t>Wash the basmati rice well and soak it for 20 minutes.
Take warm milk in a small bowl and add saffron.
In a bowl, add thick curd, turmeric powder, chili powder, thaniyat powder, mango powder, salt, kasuri methi, mix well, add chopped paneer pieces and soak for 30 minutes.
Boil the required amount of water in a wide bowl and add the soaked basmati rice.
Add cloves, bark, cardamom, biryani leaves, pineapple blossom and salt and cook the rice completely.
Once the rice is cooked, drain it and set aside.
Pour ghee in a pan, add the cardamom pods, cloves, cardamom pods, bay leaves, onion, and green chillies and fry them.
When the onion turns golden brown, add the ginger garlic paste and fry them.
Then add the tomatoes and fry them.
After the tomatoes are fried, add turmeric powder, chilli powder, salt, cumin powder, coriander leaves, and mint leaves and fry them.
After frying, add the soaked paneer pieces and stir them.
After the paneer masala is fried, spread the boiled rice on top of it.
Add saffron milk, a little coriander and mint leaves on top and cover it with a lid.
Cook on low heat for 10 minutes.
Delicious paneer biryani is ready.</t>
  </si>
  <si>
    <t xml:space="preserve">  பாஸ்மதி அரிசியை நன்கு கழுவி 20 நிமிடங்களுக்கு ஊற வைக்கவும்
. 
 ஒரு சிறிய கிண்ணத்தில் வெதுவெதுப்பான பால் எடுத்து குங்குமப்பூ போட்டு வைக்கவும்.
 ஒரு பாத்திரத்தில் கெட்டித் தயிர், மஞ்சள்தூள், மிளகாய்த்தூள், தனியாத்தூள், மாங்காய் தூள், உப்பு, கசூரி மேத்தி சேர்த்து நன்கு கலந்து இதனுடன் நறுக்கிய பன்னீர் துண்டுகளை போட்டு கலந்து 30 நிமிடங்களுக்கு ஊற வைக்கவும்.
 ஒரு அகல பாத்திரத்தில் தேவையான அளவு தண்ணீரை கொதிக்கவிட்டு ஊற வைத்த பாஸ்மதி அரிசியை போடவும்.
 இதனுடன் கிராம்பு, பட்டை, ஏலக்காய், பிரியாணி இலை, அன்னாசி பூ மற்றும் உப்பு சேர்த்து முழுமையாக சாதத்தை வேகவைக்கவும்.
 சாதம் நன்கு வெந்தவுடன் வடித்து எடுத்து வைக்கவும்.
ஒரு பாத்திரத்தில் நெய் ஊற்றி, பட்டை, கிராம்பு, ஏலக்காய், பிரியாணி இலை, வெங்காயம், பச்சை மிளகாய் சேர்த்து வதக்கவும் 
வெங்காயம் பொன்னிறமானதும் இஞ்சி பூண்டு விழுது சேர்த்து வதக்கவும்.
 இதன் பின் தக்காளி சேர்த்து வதக்கவும்.
தக்காளி வதங்கிய பின் மஞ்சள்தூள், மிளகாய்த்தூள், உப்பு, தனியாத்தூள், கொத்தமல்லி இலை, புதினா இலை சேர்த்து வதக்கவும்.
 வதங்கிய பின் ஊற வைத்த பன்னீர் துண்டுகளை சேர்த்து கிளறவும்.
 பன்னீர் மசாலா வதங்கியபின் இதில் மேல் வேக வைத்த சாதத்தை பரப்பி போடவும்.
 இதன்மேல் குங்குமப் பால், சிறிதளவு கொத்தமல்லி மற்றும் புதினா இலை போட்டு பாயில் பேப்பரை கொண்டு மூடவும்.
 குறைந்த தீயில் 10 நிமிடங்களுக்கு தம் செய்யவும்.
 சுவையான பன்னீர் பிரியாணி தயார்.</t>
  </si>
  <si>
    <t>https://www.chefkunalkapur.com/wp-content/uploads/2021/10/SRG_-CKK-Shoot-18_226-scaled.jpg?v=1633580575</t>
  </si>
  <si>
    <t>https://youtu.be/vYHjE6hOkqU?si=Hy4qeVyjWUHaYGIi</t>
  </si>
  <si>
    <t>Whole Thaniya - 2 tbsp,
Cashew - 10,
Cumin - 1 tbsp,
Garlic - 1 1/2 tbsp,
Cardamom - 6,
Whole Pepper - 1 tbsp,
Biryani Leaves - 2,
Pineapple Flowers - 2,
Bread - 2 Pieces,
Javitri - 2 Pieces,
Cloves - 10,
Nutmeg,
Anise - 1 tbsp,
Small Onion - 15,
Green Chillies - 5,
Garlic - 5 Cloves,
Ginger - Large Piece,
Mutton - 1 kg,
Water - 1 1/2 Cup,
Oil - 3 tbsp,
Ghee - 2 tbsp ,
Turmeric powder - 1/2 teaspoon,
Chili powder - 1 tablespoon,
Gallop - 2 teaspoons,
Lemon juice - 1 fruit,
Yogurt - 200 grams,
Mint leaves,
Coriander leaves,
Ceema samba rice - 2 cups,
Banana leaves.</t>
  </si>
  <si>
    <t>முழு தனியா - 2 மேசைக்கரண்டி ,
முந்திரி - 10 , 
சீரகம் - 1 மேசைக்கரண்டி,
கல்பாசி - 1 1/2 மேசைக்கரண்டி ,
ஏலக்காய் - 6,
முழு மிளகு - 1 மேசைக்கரண்டி ,
பிரியாணி இலை - 2,
அன்னாசி பூ - 2 ,
பட்டை - 2 துண்டு ,
ஜாவித்ரி - 2 துண்டு,
கிராம்பு - 10 ,
ஜாதிக்காய்,  
சோம்பு - 1 மேசைக்கரண்டி ,
சின்ன வெங்காயம் - 15 ,
பச்சை மிளகாய் - 5,
பூண்டு - 5 பற்கள் ,
இஞ்சி - பெரிய துண்டு,
மட்டன் - 1 கிலோ ,
தண்ணீர் - 1 1/2 கப் ,
எண்ணெய் - 3 மேசைக்கரண்டி  ,
நெய் - 2 மேசைக்கரண்டி ,
மஞ்சள் தூள் - 1/2 தேக்கரண்டி,
மிளகாய் தூள் - 1 மேசைக்கரண்டி ,
கல்லுப்பு - 2 தேக்கரண்டி ,
எலுமிச்சை சாறு - 1 பழம் , 
தயிர் - 200 கிராம், 
புதினா இலை ,
கொத்தமல்லி இலை ,
சீரக சம்பா அரிசி - 2 கப்,  
வாழை இலை .</t>
  </si>
  <si>
    <t>First, put the mutton pieces and required amount of water in a pressure cooker and cook on medium heat until 4 - 5 whistles.
Wash the cumin samba rice well and soak it for 20 minutes.
To grind the spice powder, grind the tani, cashew, cumin, kalpasi, cardamom, pepper, biryani leaves, pineapple flower, bark, mace, cloves, nutmeg, and anise into a fine powder in a mixer jar and keep it aside.
Next, grind the masala paste by adding the onion, green chillies, garlic and ginger to a mixer jar and grind it to a paste without water.
To make the biryani, pour oil and ghee in a wide vessel and add the ground onion paste and fry it.
After the onion paste changes color and the green smell goes away, add the ground masala powder, turmeric powder, chilli powder and rock salt and fry it on medium heat.
Next, add the boiled mutton pieces without water and stir.
Add lemon juice, yogurt, coriander leaves and mint leaves to it and stir well.
Pour the water in which the mutton was boiled.
Next, add the soaked rice and hot water and mix well.
Cover the vessel and cook on medium heat for ten minutes.
Once the rice is half cooked, remove the vessel from the stove and place a dosa tawa on the stove.
Once the dosa stone is hot, place the vessel on it and reduce the heat to low.
Lightly fry the biryani, pour ghee on it, sprinkle coriander leaves and mint leaves and cover the biryani with a banana leaf.
Next, cover the dish with aluminum foil, place a heavy plate on top and bake for 20 minutes.16. Dindigul Mutton Biryani is ready.</t>
  </si>
  <si>
    <t xml:space="preserve"> முதலில் பிரஷர் குக்கரில் மட்டன் துண்டுகள் மற்றும் தேவையான அளவு தண்ணீர் ஊற்றி  மிதமான சூட்டில் 4 - 5 விசில் வரும் வரை வேக வைக்கவும்.
சீரக சம்பா அரிசியை நன்கு கழுவி 20 நிமிடங்களுக்கு ஊற வைக்கவும்.
மசாலா தூள் அரைக்க மிக்ஸி ஜாரில், தனியா, முந்திரி, சீரகம், கல்பாசி, ஏலக்காய், மிளகு, பிரியாணி இலை, அன்னாசிப் பூ, பட்டை, ஜாவிதிரி, கிராம்பு, ஜாதிக்காய், சோம்பு ஆகியவற்றை நன்கு பொடியாக அரைத்து தனியாக வைத்து கொள்ளவும்.
 அடுத்து மசாலா விழுது அரைக்க மிக்ஸி ஜாரில் சின்னவெங்காயம், பச்சைமிளகாய், பூண்டு மற்றும் இஞ்சி சேர்த்து தண்ணீரின்றி விழுதாக அரைத்துக் கொள்ளவும்.
 பிரியாணி செய்ய ஒரு அகல பாத்திரத்தில் எண்ணெய் மற்றும் நெய் ஊற்றி அரைத்த வெங்காய விழுதை சேர்த்து வதக்கவும்.
 வெங்காய விழுது நிறம் மாறி பச்சை வாசனை போன பின்பு அதில் அரைத்த மசாலா தூள், மஞ்சள் தூள், மிளகாய் தூள் மற்றும் கல் உப்பு சேர்த்து மிதமான சூட்டில் வதக்கவும்.
 அடுத்து வேக வைத்த மட்டன் துண்டுகளை தண்ணீரின்றி சேர்த்து கிளறவும்.
 இதில் எலுமிச்சை சாறு தயிர் கொத்தமல்லி இலை மற்றும் புதினா இலை சேர்த்து நன்கு கிளறவும்.
 இதனுடன் மட்டன் வேக வைத்த தண்ணீரை ஊற்றவும்.
 அடுத்து ஊற வைத்த அரிசி மற்றும் வெந்நீர் ஊற்றி நன்கு கலக்கவும்.
 பாத்திரத்தை மூடி மிதமான சூட்டில் பத்து நிமிடங்களுக்கு சமைக்கவும்.
 அரிசி பாதி வெந்த பின் பாத்திரத்தை அடுப்பிலிருந்து இறக்கி ஒரு தோசை தவாவை அடுப்பில் வைக்கவும்.
 தோசை கல் சூடான பின் இறக்கிய பாத்திரத்தை அதன் மீது வைத்து தீயை நன்கு குறைக்கவும்.
 பிரியாணியை லேசாக கிண்டி அதன்மேல் நெய் ஊற்றி கொத்தமல்லி இலை புதினா இலை தூவி வாழை இலையால் பிரியாணியை மூடவும்.
அடுத்து பாத்திரத்தை அலுமினியம் ஃபாயிலால் மூடி அதன் மேல் ஒரு கனமான தட்டை வைத்து 20 நிமிடங்களுக்கு  தம் கட்டவும்.16. திண்டுக்கல் தம் மட்டன் பிரியாணி தயார்.</t>
  </si>
  <si>
    <t>https://youtu.be/BH02xH64iZI?si=7-cUihubF1_FP9FF</t>
  </si>
  <si>
    <t>Clay Pot Chicken Biryani</t>
  </si>
  <si>
    <t>மண் பானை சிக்கன் பிரியாணி</t>
  </si>
  <si>
    <t>Chicken - 1 kg,
Turmeric powder - 1 tsp,
Chilli powder - 4 tsp,
Coriander powder - 2 tsp,
Garlic powder - 1 tsp,
Salt as required,
Ginger paste - 2 tsp,
Garlic paste - 2 tsp,
Yogurt - 1 cup,
Ghee - 3 tbsp,
Baking powder,
Cloves,
Cardamom,
Biryani leaves,
Large onions - 5,
Green chillies - 2,
Tomatoes - 2,
Coriander leaves,
Mint leaves,
Basumati rice - 1 cup (3/4 cooked).</t>
  </si>
  <si>
    <t>சிக்கன் -  1 கிலோ,
மஞ்சள்தூள் -  1 தேக்கரண்டி,
மிளகாய் தூள் - 4 தேக்கரண்டி,
மல்லி தூள்  - 2 தேக்கரண்டி,
கரம் மசாலா தூள்  - 1 தேக்கரண்டி,
தேவையான அளவு உப்பு ,
இஞ்சி விழுது - 2 தேக்கரண்டி,
பூண்டு விழுது - 2 தேக்கரண்டி,
தயிர் - 1 கப் ,
நெய் - 3 மேசைக்கரண்டி,
பட்டை ,
கிராம்பு ,
ஏலக்காய் ,
பிரியாணி இலை ,
பெரிய வெங்காயம் - 5,
பச்சை மிளகாய் - 2,
தக்காளி -2 , 
கொத்தமல்லி இலை ,
புதினா இலை ,
பாசுமதி அரிசி - 1 கப்  ( 3/4  பாகம் வெந்தது ).</t>
  </si>
  <si>
    <t>Add yogurt, ginger garlic paste, turmeric powder, chilli powder, salt, mint, coriander to the chicken and marinate for 30 minutes.
Soak basmati rice for 30 minutes and drain it.
Pour oil + ghee in a clay pot and once it is hot, add spices (cardamom, cloves, pepper) and season it.
Fry the onion, then add tomatoes and green chilies and stir well.
Once the spices are fried on top, add the marinated chicken.
After the chicken is cooked well, add the rice on top.
Add required salt and water in a ratio of 1:1.5 (3 cups of water for 2 cups of rice).
Sprinkle coriander and mint on top, cover the pot and cook on low heat for 20-25 minutes.
Do not open the lid in between.
Open the lid and stir gently from above. Serve hot.</t>
  </si>
  <si>
    <t>சிக்கனில் தயிர், இஞ்சி பூண்டு விழுது, மஞ்சள் தூள், மிளகாய் தூள், உப்பு, புதினா, கொத்தமல்லி சேர்த்து நன்கு கலந்து 30 நிமிடம் ஊறவைக்கவும்.
பாஸ்மதி அரிசியை 30 நிமிடம் ஊறவைத்து வடிகட்டி வைக்கவும்.
மண் சட்டியில் எண்ணெய் + நெய் ஊற்றி சூடானவுடன் மசாலா பொருட்கள் (ஏலக்காய், கிராம்பு, மிளகு) போட்டு தாளிக்கவும்.
வெங்காயம் வதக்கவும், பின்னர் தக்காளி, பச்சை மிளகாய் சேர்த்து நன்றாக கிளறவும்.
மேலே மசாலா வதங்கியதும் மரினேட் செய்த சிக்கன் சேர்க்கவும்.
சிக்கன் நன்கு வெந்த பிறகு அரிசி மேலே சேர்க்கவும்.
தேவையான அளவு உப்பு மற்றும் 1:1.5 விகிதத்தில் (2 கப் அரிசிக்கு 3 கப் தண்ணீர்) தண்ணீர் சேர்க்கவும்.
மேலே கொத்தமல்லி, புதினா தூவி, சட்டியை மூடி, சிறிய தீயில் 20-25 நிமிடம் “டம்” செய்யவும்.
இடையில் மூடியை திறக்க வேண்டாம்.
மூடியை திறந்து மேலிருந்து மெதுவாக கிளறவும். சூடாக பரிமாறவும்.</t>
  </si>
  <si>
    <t>https://encrypted-tbn0.gstatic.com/images?q=tbn:ANd9GcR00g8diNL3fq-i6XGShSH8lU0Q3sAEuT9hqg&amp;s</t>
  </si>
  <si>
    <t>https://youtu.be/75pvik8AU1Y?si=KD3UTzcNvPM-pMrp</t>
  </si>
  <si>
    <t>வெஜ் பிரியாணி</t>
  </si>
  <si>
    <t>Ghee - 3 tbsp,
Baking powder,
Cardamom - 3,
Pineapple blossom,
Javanese,
Cloves - 4,
Biryani leaves,
Stone moss,
Oil - 2,
Tomatoes - 2,
Turmeric powder - 1/4 tsp,
Salt - 2 tsp,
Yogurt - 1/2 cup,
Roller potato - 1,
Carrot - 2,
Beans - 6,
Cauliflower - 1 cup,
Green peas - 1/2 cup,
Basumati rice - 1 cup,
Water,
Required salt,
Kashmiri red chillies - 3,
Green chillies - 2,
Garlic - 3 cloves,
Ginger - 1 piece,
Large onion - 2 tsp (chopped),
mint leaves,
coriander leaves.</t>
  </si>
  <si>
    <t>நெய் - 3 மேசைக்கரண்டி ,
பட்டை, 
ஏலக்காய் - 3,
அன்னாசி பூ ,
ஜாவிதிரி ,
கிராம்பு - 4,
பிரியாணி இலை ,
கல் பாசி ,
எண்ணெய் - 2,  
தக்காளி - 2 ,
மஞ்சள் தூள் - 1/4 தேக்கரண்டி,
உப்பு - 2 தேக்கரண்டி,
தயிர் - 1/2 கப், 
உருளைகிழங்கு - 1,
கேரட் - 2 ,
பீன்ஸ் - 6,
காளிபிளவர் - 1 கப் ,
பச்சை பட்டாணி  1/2  கப் ,
பாசுமதி அரிசி -  1 கப், 
தண்ணீர் ,
தேவையான அளவு உப்பு ,
காஷ்மீரி சிவப்பு மிளகாய் - 3,
பச்சை மிளகாய் - 2,
பூண்டு - 3பற்கள்,
இஞ்சி - 1 துண்டு  ,
பெரிய வெங்காயம் - 2 தேக்கரண்டி ( பொடியாக நறுக்கிய ),
புதினா இலை ,
கொத்தமல்லி இலை .</t>
  </si>
  <si>
    <t>Soak the rice – Soak the basmati rice for 20 minutes.
Pour oil &amp; ghee in a cooker and fry the dal, cloves, cardamom, anise, and dal leaves.
Add the ginger garlic paste &amp; green chillies – fry till fragrant.
Add tomatoes, mint, coriander – fry till well blended.
Add the spice powders – turmeric, chillies, semolina, biryani masala powder.
Add yogurt and fry (optional).
Add the vegetables and fry for 5 minutes – add a little salt.
Add rice &amp; water – add coconut milk if desired, add now.
Check the salt – then close the cooker and cook for 2 whistles.
The spicy biryani is ready! – If it gets dry, add a little ghee and stir.</t>
  </si>
  <si>
    <t>அரிசி ஊற வைக்கவும் – பாஸ்மதி அரிசியை 20 நிமிடம் ஊறவைக்கவும்.
குக்கரில் எண்ணெய் &amp; நெய் ஊற்றி அதில் பட்டை, கிராம்பு, ஏலக்காய், சோம்பு, பட்டை இலை வதக்கவும்.
இஞ்சி பூண்டு விழுது &amp; பச்சை மிளகாய் சேர்க்கவும் – வாசனை வரும் வரை வதக்கவும்.
தக்காளி, புதினா, கொத்தமல்லி சேர்க்கவும் – நன்கு மசியும் வரை வதக்கவும்.
மசாலா தூள் சேர்க்கவும் – மஞ்சள், மிளகாய், தனியா, பிரியாணி மசாலா தூள்.
தயிர் சேர்த்து வதக்கவும் (விருப்பமானால்).
காய்கறிகள் சேர்த்து 5 நிமிடம் வதக்கவும் – சிறிது உப்பு சேர்க்கவும்.
அரிசி &amp; தண்ணீர் சேர்க்கவும் – தேங்காய் பால் சேர்க்க விருப்பமானால் இப்போதுதான் சேர்க்கவும்.
உப்பு சரி பார்க்கவும் – பிறகு குக்கரை மூடி 2 விசில் வரும் வரை வேகவிடவும்.
அதிரடி பிரியாணி தயார்! – உலர்ந்து போனால் சிறிது நெய் சேர்த்து கிளறவும்.</t>
  </si>
  <si>
    <t>https://www.sharmispassions.com/wp-content/uploads/2022/03/VegBiryani4.jpg</t>
  </si>
  <si>
    <t>https://youtu.be/sV_PLa7V3h4?si=yRwTxm7lcwVg5h9h</t>
  </si>
  <si>
    <t>Keema Biryani</t>
  </si>
  <si>
    <t>கீமா பிரியாணி</t>
  </si>
  <si>
    <t>Ghee - 1 tbsp,
Oil - 1 tbsp,
Onion - 1,
Green chilli - 1,
Ginger garlic paste - 2 tsp,
Tomatoes - 2,
Turmeric powder - 1/2 tsp,
Chili powder - 2 tsp,
Garram masala powder - 1 tsp,
Coriander powder - 1 tsp,
Salt,
Meat - 500 gms,
Yogurt - 1/2 cup,
Mint leaves,
Coriander leaves,
Saffron,
Water,
Basmati rice - 500 gms,
Salt - 2 tsp,
Biryani leaves - 2,
Green cardamom - 3,
Black cardamom - 2,
Javitri,
Pineapple flower ,
Cinnamon,
Pineapple flower,
Oil - 1 teaspoon.</t>
  </si>
  <si>
    <t>நெய் - 1 மேசைக்கரண்டி ,
எண்ணெய் - 1 மேசைக்கரண்டி ,
வெங்காயம் - 1 ,
பச்சை மிளகாய் - 1 ,
இஞ்சி பூண்டு பேஸ்ட் - 2 தேக்கரண்டி,
தக்காளி - 2 ,
மஞ்சள் தூள் - 1/2 தேக்கரண்டி,
சில்லி பவுடர் - 2 தேக்கரண்டி,
கரம் மசாலா பவுடர் - 1 தேக்கரண்டி,
கொத்தமல்லி தூள் - 1 தேக்கரண்டி,
உப்பு,
இறைச்சி - 500 கிராம்,
தயிர் - 1/2 கப்,
புதினா இலைகள்,
கொத்தமல்லி இலைகள்,
குங்குமப்பூ,
தண்ணீர் ,
பாஸ்மதி அரிசி - 500 கிராம்,
உப்பு - 2 தேக்கரண்டி,
பிரியாணி இலை  - 2 ,
பச்சை ஏலக்காய் - 3 ,
கருப்பு ஏலக்காய்  - 2,
ஜாவித்ரி,
அன்னாசி பூ ,
இலவங்கப்பட்டை, 
அன்னாசி பூ, 
எண்ணெய் - 1 தேக்கரண்டி.</t>
  </si>
  <si>
    <t>Pour oil &amp; ghee in a large pan and add the masta spices (cardamom, cloves, bay leaves, anise).
Add the onion and fry until golden brown. Then add the ginger garlic paste and fry well.
Add the tomatoes, turmeric powder, chilli powder, masala powder and fry. Fry the tomatoes until they are well browned.
Add the keema, add the yogurt, green chillies, mint &amp; coriander. Stir well and fry for 5–7 minutes.
Drain the rice and add it. Then add the required amount of salt and water and stir.
Reduce the heat to low, cover and cook for 15–20 minutes. (Or, you can leave it for only 1 whistle in the pressure cooker)
A delicious keema biryani with aroma is ready!</t>
  </si>
  <si>
    <t>ஒரு பெரிய பாத்திரத்தில் எண்ணெய் &amp; நெய் ஊற்றி அதில் மஸ்தா மசாலா பொருட்களை (ஏலக்காய், கிராம்பு, பட்டை, சோம்பு) போடுங்கள்.
வெங்காயத்தை சேர்த்து பொன்னிறமாக வதக்கவும். பிறகு இஞ்சி பூண்டு விழுதை சேர்த்து நன்றாக வதக்கவும்.
தக்காளி, மஞ்சள் தூள், மிளகாய் தூள், மசாலா தூள் சேர்த்து வதக்கவும். தக்காளி நன்கு மசியும் வரை கிழிக்கவும்.
கீமாவை சேர்த்து, அதனுடன் தயிர், பச்சை மிளகாய், புதினா &amp; கொத்தமல்லி சேர்க்கவும். நன்றாக கிளறி 5–7 நிமிடம் வதக்கவும்.
அரிசியை வடிகட்டி சேர்க்கவும். பின்னர் தேவையான அளவு உப்பும் தண்ணீரும் சேர்த்து கிளறவும்.
அடுப்பை குறைத்துவிட்டு மூடி 15–20 நிமிடம் வரை வேகவைக்கவும். (அல்லது, பிரஷர் குக்கரில் 1 விசில் மட்டும் விடலாம்)
அரோமாவுடன் சுவையான கீமா பிரியாணி தயார்!</t>
  </si>
  <si>
    <t>https://lh5.googleusercontent.com/proxy/S_4QNxAQUJdMn4M0Ke_zaX1nX4XGMQm9OjIB9Kfr7nXlRolTVhWoeyGA34bxeZ7qVDwSsyoarns6cO-5jzb4_C_qogXiQhf1_ISKaxD2rXSEKgxIhIF0WAg4ugBH</t>
  </si>
  <si>
    <t>https://youtu.be/rLNGjs7FWos?si=8Dy0qZX-jRafd3No</t>
  </si>
  <si>
    <t>hyderabad mutton dum biryani</t>
  </si>
  <si>
    <t>ஹைதராபாத் மட்டன் தம் பிரியாணி</t>
  </si>
  <si>
    <t>Mutton - 1 1/2 kg,
Ginger Garlic Paste - 1 1/2,
Lemon Juice - 1fruit,
Turmeric Powder - 1/2 tsp,
Chili Powder - 2 tsp,
Black Masala Powder - 1 tsp,
Green Chillies - 2 chopped,
Yogurt - 2 tbsp,
Papaya Paste - 5 tbsp,
Mint Leaves,
Coriander Leaves,
Fried Onion - 1 tbsp,
Salt,
Oil - 4 tbsp,
Onion - 8 finely chopped,
Basmati Rice - 1 kg,
Oil - 1 tbsp,
Ghee - 3 tbsp,
Baking Powder,
Cloves,
Cardamom,
Biryani leaves,
mint leaves,
coriander leaves,
saffron flower milk,
soaked mutton,
boiled rice,
fried onion,
chapathi flour.</t>
  </si>
  <si>
    <t>மட்டன் - 1 1/2 கிலோ ,
இஞ்சி பூண்டு விழுது - 1 1/2 ,
எலுமிச்சைபழச்சாறு - 1பழம்,
மஞ்சள் தூள்  - 1/2 தேக்கரண்டி,
மிளகாய் தூள் - 2 தேக்கரண்டி,
கரம் மசாலா தூள் - 1  தேக்கரண்டி,
பச்சை மிளகாய் - 2 நறுக்கியது ,
தயிர் - 2 மேசைக்கரண்டி ,
பப்பாளி விழுது - 5 தேக்கரண்டி, 
புதினா இலை ,
கொத்தமல்லி இலை,
வறுத்த வெங்காயம் - 1 மேசைக்கரண்டி,
உப்பு, 
 எண்ணெய் - 4 மேசைக்கரண்டி,
வெங்காயம்  - 8 மெல்லியதாக நறுக்கியது ,
 பாஸ்மதி அரிசி - 1 கிலோ ,
எண்ணெய் - 1 மேசைக்கரண்டி,
நெய் - 3 மேசைக்கரண்டி,
பட்டை,
கிராம்பு,
ஏலக்காய்,
பிரியாணி இலை,
புதினா இலை ,
கொத்தமல்லி இலை,  
குங்கும பூ பால் ,
ஊறவைத்த மட்டன் ,
வேகவைத்த சாதம், 
வறுத்த வெங்காயம்,  
சப்பாத்தி  மாவு.</t>
  </si>
  <si>
    <t>Mix the given ingredients together and leave them to marinate in the fridge for 12 hours.
Pour oil in a pan, add finely chopped onion and fry until golden brown.
Soak the basmati rice for 30 minutes.
When the water boils, add salt, add the rice and cook until three-quarters cooked.
In a wide vessel, pour oil and ghee, add the bay leaves, cloves, cardamom and bay leaves.
Next, add the soaked mutton pieces and cook for 5 minutes and turn off the stove.
Pour mint leaves, coriander leaves, half the boiled rice and half the saffron milk over the mutton mixture.
Pour the remaining rice and saffron milk.
Top it with coriander leaves, mint leaves and fried onions and cover with a plate.
Seal with chapati dough.
Place the biryani dish on a tawa and let it rest for 1 hour.
Hyderabadi Mutton Biryani is ready</t>
  </si>
  <si>
    <t xml:space="preserve"> கொடுக்கப்பட்டுள்ள பொருட்களை ஒன்றாக போட்டு கலந்து
12 மணி நேரம் பிரிட்ஜ்'ஜில் ஊறவைக்கவும்.
 கடாயில் எண்ணெய் ஊற்றி, மெல்லியதாக நறுக்கிய வெங்காயம் போட்டு பொன்னிறமாகும் வரை வறுக்கவும்.
 பாஸ்மதி அரிசியை 30 நிமிடம் ஊறவைக்கவும்.
 தண்ணீர் கொதித்ததும், உப்பு சேர்த்து, அரிசியை போட்டு முக்கால் பாகத்திற்கு வேகவைக்க்வும்.
 அகல பாத்திரத்தில், எண்ணெய் மற்றும் நெய் ஊற்றி, பட்டை, கிராம்பு, ஏலக்காய், பிரியாணி இலை போடவும்.
 அடுத்து ஊற  வைத்த மட்டன் துடுகளை போட்டு, 5 நிமிடம் மட்டும் வேகவைத்து அடுப்பை நிறுத்தவும்.
 மட்டன் கலவை மீது, புதினா இலை, கொத்தமல்லி இலை, வேகவைத்த சாதம் பாதி, குங்கும பால் பாதி ஊற்றவும்.
 மீதமுள்ள சாதம் மற்றிம் குங்கும பால் ஊற்றவும்.
 இதன் மேல் கொத்தமல்லி இலை, புதினா இலை வறுத்த வெங்காயம் போட்டு தட்டால் மூடவும்.
 சப்பாத்தி மாவால் சீல் செய்யவும்.
 பிரியாணி பாத்திரத்தை தாவா மீது வைத்த 1 மணி நேரம் தம் செய்யவும்.
 ஹைதெராபாத் மட்டன் தம் பிரியாணி தயார்</t>
  </si>
  <si>
    <t>https://www.awesomecuisine.com/wp-content/uploads/2017/07/Hyderabadi-Mutton-Biryani.jpg</t>
  </si>
  <si>
    <t>https://youtu.be/XZzvuX5AnXg?si=x-XeKonovq9NgGzv</t>
  </si>
  <si>
    <t>Biryani Masala Powder</t>
  </si>
  <si>
    <t>பிரியாணி மசாலா தூள்</t>
  </si>
  <si>
    <t>Whole cumin seeds - 4 tbsp,
cumin seeds - 1 tsp,
anise seeds - 1 tsp,
whole peppercorns - 1 tsp,
sha jeera - 2 tbsp,
pepper - 4 pieces,
black cardamom - 2,
green cardamom - 2,
pineapple blossoms - 2,
cloves - 1 tsp,
kalpashi - 2 pieces,
javedri - 2 pieces,
nutmeg - small piece,
biriyani leaves - 2,
dried chillies - 3.</t>
  </si>
  <si>
    <t>முழு தனியா - 4 மேசைக்கரண்டி ,
சீரகம் - 1 தேக்கரண்டி,
சோம்பு - 1 தேக்கரண்டி ,
முழு மிளகு - 1 தேக்கரண்டி ,
ஷா ஜீரா - 2 மேசைக்கரண்டி , 
பட்டை - 4 துண்டுகள்,
கருப்பு ஏலக்காய் - 2,
பச்சை ஏலக்காய் - 2,
அன்னாசி பூ - 2 ,
கிராம்பு - 1 தேக்கரண்டி ,
கல்பாசி - 2 துண்டுகள் ,
ஜாவித்ரி - 2 துண்டுகள்,
ஜாதிக்காய் - சிறிய துண்டு ,
பிரியாணி இலை - 2 ,
காய்ந்த மிளகாய் - 3.</t>
  </si>
  <si>
    <t>Fry the whole tanjali in a pan without oil.
Next add cumin, anise, whole pepper, sha jeera and fry.
Add cardamom, black cardamom, green cardamom, pineapple flower, cloves, coriander, mace, nutmeg, bay leaf and fry.
Finally add dry chilies and fry for 5 minutes.
Cool the fried spices well and grind them into a powder in a mixer.</t>
  </si>
  <si>
    <t xml:space="preserve"> கடாயில்  எண்ணையில்லாமல், முழு தனியா போட்டு வறுக்கவும்.
 அடுத்து  இதில் சீரகம், சோம்பு, முழு மிளகு, ஷா ஜீரா சேர்த்து வறுக்கவும். 
 இதில் பட்டை, கருப்பு ஏலக்காய், பச்சை ஏலக்காய், அன்னாசி பூ, கிராம்பு, கல்பாசி, ஜாவித்ரி , ஜாதிக்காய், பிரியாணி இலை போட்டு வறுக்கவும்.
 இறுதியாக காய்ந்த மிளகாய் சேர்த்து 5 நிமிடம் வறுக்கவும்.
 வறுத்த மசாலா பொருட்களை நன்கு ஆறவிட்டு, மிக்ஸியில் போட்டு பொடியாக அரைக்கவும்.</t>
  </si>
  <si>
    <t>https://snnfoods.com/cdn/shop/articles/Biryani-masala-powder-319883.png?v=1710844615</t>
  </si>
  <si>
    <t>https://youtu.be/AL48ST5pRdE?si=Fr4lr2c-hPkcT9qw</t>
  </si>
  <si>
    <t>Pressure Cooker Chicken Biryani</t>
  </si>
  <si>
    <t>பிரஷர் குக்கர் சிக்கன் பிரியாணி</t>
  </si>
  <si>
    <t>Chicken - 1 1/2 kg,
Chilli powder - 2 tsp,
Turmeric powder - 1/2 tsp,
Salt,
Basmati rice - 1 kg,
Ghee - 3 tbsp,
Oil - 2 tbsp,
Baking powder,
Cloves,
Cardamom,
Biryani leaves,
Onions - 5 finely chopped,
Tomatoes - 4 finely chopped,
Ground biryani spices - 4 tbsp,
Coriander leaves - 1 bunch,
Mint - 1 bunch,
Coconut milk - 1 liter,
Salt,
Dried chilies - 8,
Thaniya powder - 3 tsp,
Ginger - 1 piece,
Garlic - 15 cloves,
Small onion - 10,
Green chilies - 3,
Coriander leaves - 1 cup,
Mint leaves - 1 cup,
Water</t>
  </si>
  <si>
    <t>சிக்கன் - 1 1/2 கிலோ,
மிளகாய் தூள் - 2 தேக்கரண்டி ,
மஞ்சள் தூள்  - 1/2 தேக்கரண்டி ,  
உப்பு,
பாஸ்மதி அரிசி - 1 கிலோ ,
நெய் - 3 மேசைக்கரண்டி, 
எண்ணெய் - 2 மேசைக்கரண்டி, 
பட்டை ,
கிராம்பு,
ஏலக்காய் ,
பிரியாணி இலை  ,
வெங்காயம் - 5 மெல்லியதாக நறுக்கியது,
தக்காளி - 4 பொடியாக நறுக்கியது,
அரைத்த பிரியாணி மசாலா - 4 மேசைக்கரண்டி,
கொத்தமல்லி இலை - 1 கட்டு,
புதினா - 1 கட்டு,
தேங்காய் பால் - 1 லிட்டர்,
உப்பு  ,
காய்ந்த மிளகாய் - 8 ,  
தனியா தூள் - 3 தேக்கரண்டி,  
இஞ்சி - 1 துண்டு ,
பூண்டு - 15 பற்கள்,
சின்ன வெங்காயம் - 10,
பச்சை மிளகாய் - 3,
கொத்தமல்லி இலை - 1 கப்,
புதினா இலை - 1 கப்,
தண்ணீர்</t>
  </si>
  <si>
    <t>Grind the dried chilies and tanya powder in a mixer.
Next, grind the ginger, garlic, small onion, and green chilies.
Next, grind the coriander leaves and mint leaves.
Finally, add a little water and grind to a paste.
Wash the chicken pieces well.
Add turmeric powder, chili powder, and salt to it and mix well.
Soak it for 20 minutes.
Soak the basmati rice in water for 30 minutes.
Drain the water and keep it for 30 minutes.
Pour ghee and oil in the cooker.
Add the bay leaves, cloves, cardamom, bay leaves, and onion and fry.
Fry until the onion turns golden brown.
Next, add the tomatoes and fry.
Then add the ground biryani masala and stir.
Add the soaked chicken pieces and mix.
Add coriander leaves and mint leaves and mix.
Add salt as required.
Pour coconut milk mixed with water into it. Check the salt.
Close the cooker and cook till 5 whistles.
Once the pressure is gone, open the cooker.
Finally add the soaked rice and mix.
Close the cooker and cook on medium flame for 10 minutes when the steam comes out.
Delicious chicken biryani is ready</t>
  </si>
  <si>
    <t xml:space="preserve"> மிக்ஸியில் காய்ந்த மிளகாய் மற்றும் தனியா தூள் சேர்த்து அரைக்கவும்.
 அடுத்து இதில் இஞ்சி, பூண்டு, சின்ன வெங்காயம், பச்சை மிளகாய் சேர்த்து அரைக்கவும்.
 அடுத்து இதில் கொத்தமல்லி இலை, புதினா இலை சேர்த்து அரைக்கவும்.
 இறுதியாக சிறிதளவு தண்ணீர் சேர்த்து விழுதாக அரைக்கவும். 
 சிக்கன் துண்டுகளை நன்கு கழுவி வைக்கவும்.
 இதில் மஞ்சள் தூள், மிளகாய் தூள் மற்றும் உப்பு சேர்த்து நன்கு கலக்கவும்
 இதை 20 நிமிடம் ஊறவைக்கவும்
 பாஸ்மதி அரிசியை 30 நிமிடம் தண்ணீரில் ஊறவைக்கவும்.
தண்ணீரை வடித்து 30 நிமிடம் வைக்கவும்.
 குக்கர்'ரில் நெய் மற்றும் எண்ணெய் ஊற்றவும்
 இதில் பட்டை, கிராம்பு, ஏலக்காய், பிரியாணி இலை, வெங்காயம்  சேர்த்து வதக்கவும்.
 வெங்காயம் பொன்னிறமாகும் வரை வதக்கவும்
 அடுத்து இதில் தக்காளி சேர்த்து வதக்கவும்.
 பின் இதில் அரைத்த பிரியாணி மசாலா சேர்த்து கிளறவும்.
 ஊற வைத்த சிக்கன் துண்டுகளை சேர்த்து கிண்டவும்.
 இதனுடன் கொத்தமல்லி இலை மற்றும் புதினா இலை சேர்த்து கிண்டவும்.
 தேவையான அளவு உப்பு சேர்க்கவும்.
 இதில் தண்ணீர் சேர்த்த தேங்காய் பால் ஊற்றவும். உப்பு சரி பார்க்கவும் .
 குக்கர்'ரை  மூடி 5 விசில் வரும் வரை வேகவிடவும்.
பிரஷர் போனதும், குக்கர்'ரை  திறக்கவும்.
 இறுதியாக ஊறவைத்த அரிசி சேர்த்து கிண்டவும்.
 குக்கர்'ரை மூடி மிதமான தீயில், ஆவி வந்ததும் 10 நிமிடம் வேகவிடவும்.
 சுவையான சிக்கன் பிரியாணி தயார் </t>
  </si>
  <si>
    <t>https://www.spiceindiaonline.com/wp-content/uploads/2021/04/Pressure-Cooker-Chicken-Biryani-2.jpg</t>
  </si>
  <si>
    <t>https://youtu.be/TNai80w0S88?si=ft1c4erKu02wrO_y</t>
  </si>
  <si>
    <t>Chicken Tham Biryani</t>
  </si>
  <si>
    <t>Chicken - 2 kg,
Lemon juice,
2 cups of curd,
Turmeric powder - 3/4 tsp,
Chili powder - 3 tsp,
Cumin powder - 2 tsp,
Thaniya powder - 2 tsp,
Garram masala powder - 1 tsp,
Green chillies - 5 chopped,
Mint leaves - 1 cup chopped,
Coriander leaves - 1 cup chopped,
Ginger garlic paste - 3 tsp,
Salt,
Onion - 6,
Oil,
Water,
Basmati rice - 1 kg,
Biryani leaves,
Pineapple blossom,
Baking powder,
Cloves,
Cardamom,
Whole pepper,
Ghee - 1 Tablespoon,
Oil - 1 1/2 Tablespoon,
Mint leaves,
Coriander leaves,
Drained rice,
Saffron flower milk,
Kneaded chapati dough.</t>
  </si>
  <si>
    <t>சிக்கன் - 2 கிலோ ,
எலுமிச்சை பழச்சாறு, 
கெட்டி தயிர் - 2 கப், 
மஞ்சள் தூள் - 3/4 தேக்கரண்டி, 
மிளகாய் தூள் - 3 தேக்கரண்டி, 
சீரக தூள் - 2 தேக்கரண்டி, 
தனியா தூள் - 2 தேக்கரண்டி, 
கரம் மசாலா தூள் - 1 தேக்கரண்டி ,
பச்சை மிளகாய் - 5 நறுக்கியது, 
புதினா இலை - 1 கப் நறுக்கியது ,
கொத்தமல்லி இலை - 1 கப் நறுக்கியது ,
இஞ்சி பூண்டு விழுது - 3 தேக்கரண்டி, 
உப்பு ,  
வெங்காயம் - 6 ,
எண்ணெய் ,
தண்ணீர் ,
பாஸ்மதி அரிசி - 1 கிலோ, 
பிரியாணி இலை ,
அன்னாசி பூ ,
பட்டை ,
கிராம்பு, 
ஏலக்காய் , 
முழு மிளகு,  
நெய் - 1 மேசைக்கரண்டி,
எண்ணெய் - 1 1/2 மேசைக்கரண்டி,
புதினா இலை ,
கொத்தமல்லி இலை ,
வடித்த சாதம் ,
குங்கும பூ பால், 
பிசைந்த சப்பாத்தி மாவு .</t>
  </si>
  <si>
    <t>Pour the required amount of oil in a pan, add the onion, and fry until golden brown.
Put 2 kg of chicken in a bowl, add lemon juice and salt to it and mix well.
Soak it for 15 minutes.
To make the curd mixture, in a bowl, add the curd, turmeric powder, chili powder, cumin powder, black pepper powder, garam masala powder, and required amount of salt and mix.
Next, add the green chilies, mint leaves, and coriander leaves and mix.
Add the ginger garlic paste to the chicken and mix well, then add the curd mixture to it and mix.
Soak it for at least three to four hours.
Wash the basmati rice well and soak it for 30 minutes.
Boil water in a vessel and add the soaked rice.
Add biryani leaves, pineapple blossoms, rind, cloves, cardamom, whole pepper, salt as required, boil for three-quarters and drain.
In a wide vessel, add ghee, oil, rind, cloves, biryani leaves, pineapple blossoms, and cardamom.
Add the soaked chicken pieces and boil for 10 minutes.
Heat the tawa and place the biryani vessel on it.
Add mint leaves, coriander leaves, and boiled rice on the chicken.
Pour the milk dissolved in saffron over this.
Add the remaining fried onions, mint leaves, and coriander leaves and cover the vessel.
Seal with chapati dough to prevent steam from escaping.
Place a heavy object on the plate.
Cook on low flame for 30 minutes.
Finally open the plate and stir the biryani.
Chicken Tham Biryani is ready.</t>
  </si>
  <si>
    <t xml:space="preserve"> கடாயில் தேவையான அளவு எண்ணெய் ஊற்றி, வெங்காயம் சேர்த்து, பொன்னிறமாகும் வரை வதக்கவும். 
 பாத்திரத்தில் 2 கிலோ சிக்கன்'னை போட்டு, இதில் எலுமிச்சை பழச்சாறு மற்றும் உப்பு சேர்த்து நன்கு கலந்துவிடவும்.
 இதை 15 நிமிடம் ஊறவைக்கவும்.
 தயிர் கலவை செய்ய, கிண்ணத்தில், தயிர், மஞ்சள் தூள், மிளகாய் தூள், சீரகத்தூள், தனியா தூள், கரம் மசாலா தூள், தேவையான அளவு உப்பு போட்டு கலக்கவும்.
 அடுத்து இதில் பச்சை மிளகாய், புதினா இலை, கொத்தமல்லி இலை சேர்த்தது கலக்கவும்.
  சிக்கன்'னில் இஞ்சி பூண்டு விழுது சேர்த்து நன்கு பிசைந்த பின், இதில் தயிர் கலவை சேர்த்து கலக்கவும். 
 இதை குறைந்தது மூன்று நான்கு மணி நேரம் ஊறவைக்கவும்.
 பாஸ்மதி அரிசியை நன்கு கழுவி 30 நிமிடம் ஊறவைக்கவும். 
 பாத்திரத்தில் தண்ணீர் கொதிக்கவைத்து, ஊறிய அரிசியை 
போடவும். 
 இதனுடன், பிரியாணி இலை, அன்னாசி பூ, பட்டை, கிராம்பு, ஏலக்காய், முழு மிளகு, தேவையான அளவு உப்பு சேர்த்து, முக்கால் பாகம் வேகவைத்து வடிக்கவும். 
 அகல பாத்திரத்தில், நெய், எண்ணெய், பட்டை, கிராம்பு, பிரியாணி இலை, அன்னாசி பூ, ஏலக்காய் போடவும். 
 இதில் ஊறவைத்த சிக்கன் துண்டுகளை போட்டு 10 நிமிடம் வேகவைக்கவும். 
 தவாவை சூடு செய்து, பிரியாணி பாத்திரத்தை அதன் மேல் வைக்கவும்.
 சிக்கன் மீது, புதினா இலை, கொத்தமல்லி இலை, வேகவைத்த சாதம் போடவும். 
 இதன் மேல், குங்கும பூ கரைத்த பால் ஊற்றவும். 
 மீதம் உள்ள வறுத்த வெங்காயம், புதினா இலை, கொத்தமல்லி இலை, போட்டு பாத்திரத்தை மூடவும். 
 ஆவி வெளியில் வராமல் இருக்க சப்பாத்தி மாவால் சீல் செய்யவும்.
 கனமான பொருளை தட்டின் மீது வைக்கவும்.
 30 நிமிடம் குறைந்த தீயில் வேகவைக்கவும். 
 இறுதியாக தட்டை திறந்து பிரியாணி'யை கிளறிவிடவும். 
 சிக்கன் தம் பிரியாணி தயார். </t>
  </si>
  <si>
    <t>https://recipes.timesofindia.com/thumb/msid-54308405,width-1600,height-900/54308405.jpg</t>
  </si>
  <si>
    <t>https://youtu.be/gizonMwkbc0?si=P7PmX7NBJ2pneis7</t>
  </si>
  <si>
    <t>Vanjaram fish - 1 kg,
Turmeric powder - 1 tsp,
Chilli powder - 2 tsp,
Salt - 1 tsp,
Ghee - 2 tbsp,
Oil - 1 tbsp,
Biryani leaves - 3,
Banana - 3 pieces,
Cloves,
Cardamom - 4,
Onion - 5 chopped,
Ginger - 1 large piece chopped,
Garlic - 8 cloves,
Green chilies - 3,
Dried chilies - 3,
Grated coconut - 2 tbsp,
Water,
Tomatoes - 3 chopped,
Turmeric powder - 1/2 tsp,
Chilli powder - 1 tsp,
Dhaniya powder - 2 tsp,
Salt ,
Coriander leaves - 1 small bunch,
Mint leaves - 1 small bunch,
Basmati rice - 1 cup (500 ml cup),
Coconut milk - 500 ml water added.</t>
  </si>
  <si>
    <t>வஞ்சரம் மீன் - 1 கிலோ, 
மஞ்சள் தூள் - 1 தேக்கரண்டி, 
மிளகாய் தூள் - 2 தேக்கரண்டி,
உப்பு - 1 தேக்கரண்டி ,
நெய் - 2 மேசைக்கரண்டி ,
எண்ணெய் - 1 மேசைக்கரண்டி, 
பிரியாணி இலை - 3 ,
பட்டை - 3 துண்டுகள் ,
கிராம்பு ,
ஏலக்காய் - 4 ,
வெங்காயம் - 5 பொடியாக நறுக்கியது, 
இஞ்சி - 1 பெரிய துண்டு நறுக்கியது ,
பூண்டு - 8 பற்கள் ,
பச்சை மிளகாய் - 3 ,
காய்ந்த மிளகாய் - 3, 
துருவிய தேங்காய் - 2 மேசைக்கரண்டி ,
தண்ணீர் ,
தக்காளி - 3 பொடியாக நறுக்கியது, 
மஞ்சள் தூள் - 1/2 தேக்கரண்டி, 
மிளகாய் தூள் - 1 தேக்கரண்டி, 
தனியா தூள் - 2 தேக்கரண்டி ,
உப்பு ,
கொத்தமல்லி இலை - 1 சிறிய கட்டு,
புதினா இலை - 1 சிறிய கட்டு ,
பாஸ்மதி அரிசி - 1 கப் (500 மில்லி கப்) ,
தேங்காய் பால் - 500 மில்லி நீர் சேர்த்தது .</t>
  </si>
  <si>
    <t>Wash the fish pieces well and take them in a bowl.
Add turmeric powder, chili powder, salt and soak for 30 minutes.
Pour ghee and oil in a pressure cooker.
Add bay leaves, bay leaves, cloves, cardamom and onion and fry.
In a mixer, add ginger, garlic, green chilies, dried chilies, grated coconut and water and grind to a paste.
When the onion is fried, add the ground paste to it.
When the raw smell of the spices disappears, add tomatoes and fry.
Add turmeric powder, chili powder, fenugreek powder and salt to it.
Next, add coriander leaves and mint leaves and stir.
When the tomatoes are cooked, add the soaked fish pieces.
Stir without breaking the fish.
Add the washed and soaked basmati rice and mix well.
Finally, add the coconut milk mixed with water.
Close the cooker, when the steam comes, add the weight and cook for exactly 5 minutes.
Turn off the stove and leave it until the pressure comes down.
A delicious fish biryani is ready.</t>
  </si>
  <si>
    <t xml:space="preserve"> மீன் துண்டுகளை நன்கு கழுவி ஒரு பாத்திரத்தில் எடுத்து கொள்ளவும். 
 இதில் மஞ்சள் தூள், மிளகாய் தூள், உப்பு சேர்த்து 30 நிமிடம் ஊறவைக்கவும். 
 பிரஷர் குக்கர்'ரில் நெய் மற்றும் எண்ணெய் ஊற்றவும். 
 இதில் பிரியாணி இலை, பட்டை, கிராம்பு, ஏலக்காய் மற்றும் வெங்காயம் சேர்த்து வதக்கவும். 
 மிக்ஸியில், இஞ்சி, பூண்டு, பச்சை மிளகாய், காய்ந்த மிளகாய், துருவிய தேங்காய் மற்றும் தண்ணீர்  சேர்த்து விழுதாக அரைக்கவும். 
 வெங்காயம் வதங்கியதும், இதில் அரைத்த விழுதை சேர்க்கவும். 
 மசாலாவில் பச்சை வாசனை போனதும், தக்காளி சேர்த்து வதக்கவும். 
 இதில் மஞ்சள் தூள், மிளகாய் தூள், தனியா தூள், உப்பு சேர்க்கவும். 
 அடுத்து இதில் கொத்தமல்லி இலை, புதினா இலை சேர்த்து கிளறவும். 
 தக்காளி வதங்கியதும், இதில் ஊறவைத்த மீன் துண்டுகளை சேர்க்கவும். 
 மீன் உடையாமல் கிளறவும். 
 நன்கு கழுவி, ஊறவைத்த பாஸ்மதி அரிசியை போட்டு கிண்டவும். 
 இறுதியாக நீர் கலந்த தேங்காய் பால் சேர்க்கவும். 
 குக்கர்'ரை மூடி, ஆவி வந்ததும், வெயிட் போட்டு, சரியாக 5 நிமிடம் வேகவைக்கவும்.
 அடுப்பை நிறுத்தி, பிரஷர் இறங்கும் வரை வைக்கவும். 
 அருமையான மீன் பிரியாணி தயார்.</t>
  </si>
  <si>
    <t>https://images.herzindagi.info/her-zindagi-tamil/images/2024/12/06/article/image/fish-biryani-recipes-1733507118442.jpg</t>
  </si>
  <si>
    <t>https://youtu.be/gsl-tPZh-Ow?si=B2b37Z_RU4A1iEWY</t>
  </si>
  <si>
    <t>Prawns - 1 kg,
Basmati rice - 2 cups,
Ghee - 3 tablespoons,
Oil - 1 tablespoon,
Baking powder,
Cloves,
Cardamom,
Biryani leaves,
Pineapple blossom,
Onion - 4 lengthwise chopped,
Tomato - 3 chopped,
Salt,
Turmeric powder - 1 teaspoon,
Chili powder - 3 teaspoons,
Thaniya powder - 2 teaspoons,
Coriander leaves,
Mint leaves,
Coconut milk - 2 cups water added,
Water,
Garlic - 12 cloves,
Ginger - 2 inch piece chopped,
Small onion - 10,
Grated coconut - 1 tablespoon,
Green chillies - 4,
Dried chillies - 5,
Coriander leaves.</t>
  </si>
  <si>
    <t>இறால் - 1 கிலோ,
பாஸ்மதி அரிசி - 2 கப் , 
நெய் - 3 மேசைக்கரண்டி,
எண்ணெய் - 1 மேசைக்கரண்டி,
பட்டை,
 கிராம்பு,
 ஏலக்காய்,
பிரியாணி இலை, 
அன்னாசி பூ,
வெங்காயம் - 4 நீளமாக நறுக்கியது,
தக்காளி - 3 நறுக்கியது,
உப்பு,
மஞ்சள் தூள் - 1 தேக்கரண்டி,
மிளகாய் தூள் - 3 தேக்கரண்டி,
தனியா தூள் - 2 தேக்கரண்டி,
கொத்தமல்லி இலை , 
புதினா இலை,
தேங்காய் பால் - 2 கப் நீர் சேர்த்தது,
தண்ணீர்,
பூண்டு - 12 பற்கள்,
இஞ்சி - 2 இன்ச் துண்டு நறுக்கியது ,
சின்ன வெங்காயம் - 10,
துருவிய தேங்காய் - 1 மேசைக்கரண்டி,
பச்சை மிளகாய் - 4,
காய்ந்த மிளகாய் - 5,
கொத்தமல்லி இலை.</t>
  </si>
  <si>
    <t>Wash the basmati rice well and soak it for 30 minutes.
Clean the prawns, wash them with salt and turmeric powder.
Mix the cleaned prawns with salt, turmeric powder and chilli powder and soak them.
Add garlic, ginger, small onion, grated coconut, green chillies, dried chillies, mint and coriander in a mixer and grind them into a fine paste.
Grind the coconut and prepare the coconut milk required for the biryani.
In a pressure cooker, pour ghee and oil, add the fenugreek, cloves, cardamom, pineapple blossom, biryani leaves and onions and fry them.
When the onions turn golden, add the ground masala paste and fry until the raw smell goes away.
Next, add the tomatoes and fry them.
After mashing the tomatoes well, add salt, turmeric powder, and coriander powder and saute.
Next, add the soaked prawns and fry them.
On low flame, pour coconut milk and stir.
Next, add the soaked rice and fry them.
Close the cooker, when the steam comes, add the weight and cook for 8 minutes.
Once the pressure of the cooker comes down, open it.
Delicious prawn biryani is ready.</t>
  </si>
  <si>
    <t xml:space="preserve"> பாஸ்மதி அரிசியை நன்கு கழுவி 30 நிமிடம் ஊறவைக்கவும்.
இறால்'லை சுத்தம் செய்து, உப்பு மற்றும் மஞ்சள் தூள் போட்டு கழுவவும்.
 சுத்தம் செய்த இறால்'லை, உப்பு, மஞ்சள் தூள் மற்றும் மிளகாய் தூள் சேர்த்து கலந்து ஊறவைக்கவும்.
 மிக்ஸியில் பூண்டு, இஞ்சி, சின்ன வெங்காயம், துருவிய தேங்காய், பச்சை மிளகாய், காய்ந்த மிளகாய், புதினா மற்றும் கொத்தமல்லி சேர்த்து, நன்கு விழுதாக அரைக்கவும்.
 தேங்காயை அரைத்து, பிரியாணி'க்கு தேவையான தேங்காய் பால் தயார் செய்யவும்.
 பிரஷர் குக்கர்'ரில், நெய் மற்றும் எண்ணெய் ஊற்றி, இதில் பட்டை, கிராம்பு, ஏலக்காய், அன்னாசி பூ, பிரியாணி இலை மற்றும் வெங்காயம் சேர்த்து வதக்கவும்.
 வெங்காயம் பொன் நிறமானதும், அரைத்த மசாலா விழுது சேர்த்து, பச்சை வாசனை போகும் வரை வதக்கவும்.
 அடுத்து இதில் தக்காளி சேர்த்து வதக்கவும்.
 தக்காளி நன்கு மசிந்த பின், இதில் உப்பு, மஞ்சள் தூள், தனியா தூள் சேர்த்து வதக்கவும்.
 அடுத்து இதில் ஊறவைத்த இறால் சேர்த்து கிண்டவும்.
 குறைந்த தீயில், தேங்காய் பால் ஊற்றி கிளறவும்.
 அடுத்து இதில் ஊறவைத்த அரிசி சேர்த்து கிண்டவும்.
 குக்கர்'ரை மூடி, ஆவி வந்ததும், வெயிட் போட்டு 8 நிமிடம் வேகவைக்கவும்.
 குக்கர்'ரின் பிரஷர் இறங்கியதும், திறக்கவும்.
 சுவையான இறால் பிரியாணி தயார். </t>
  </si>
  <si>
    <t>https://wd-image.webdunia.com/image-conversion/process-aws.php?url=https://nonprod-media.webdunia.com/public_html/_media/ta/img/article/2019-11/12/full/1573563025-6469.jpg&amp;w=&amp;h=&amp;outtype=webp</t>
  </si>
  <si>
    <t>https://youtu.be/KIDJhZfuVYE?si=vuY8SDwBENapW4DJ</t>
  </si>
  <si>
    <t>Soya Biryani</t>
  </si>
  <si>
    <t>சோயா பிரியாணி</t>
  </si>
  <si>
    <t>Basmati rice - 1 cup (200 ml),
Soya pieces - 30,
Ghee - 2 tbsp,
Baking powder - 1 piece,
Cloves - 5,
Cardamom - 3,
Biryani leaf - 1,
Large onion - 2 chopped,
Tomato - 2 chopped,
Green chillies - 3 chopped,
Turmeric powder - 1/2 tsp,
Salt - as required,
Coriander leaves - 1 cup,
Mint leaves - 1 cup,
Water - 250 ml,
Chopped garlic - 1 1/2 tsp,
Chopped ginger - 1 1/2 tsp,
Dried chillies - 3,
Grated coconut - 1/4 cup,
Small onion - 2 chopped,
Dhaniya powder - 1 tsp,
Coriander Leaf, Mint leaf.</t>
  </si>
  <si>
    <t>பாஸ்மதி அரிசி - 1 கப் (200 மில்லி),
சோயா துண்டுகள் - 30,
நெய் - 2 மேசைக்கரண்டி,
பட்டை - 1 துண்டு,
கிராம்பு - 5,
ஏலக்காய் - 3,
பிரியாணி இலை - 1,
பெரிய வெங்காயம் - 2 பொடியாக நறுக்கியது,
தக்காளி - 2 பொடியாக நறுக்கியது,
பச்சை மிளகாய் - 3 கீறியது,
மஞ்சள் தூள் - 1/2 தேக்கரண்டி,
உப்பு - தேவையான அளவு,
கொத்தமல்லி இலை - 1 கப்,
புதினா இலை - 1 கப்,
தண்ணீர் - 250 மில்லி,
நறுக்கிய பூண்டு - 1 1/2 தேக்கரண்டி,
நறுக்கிய இஞ்சி - 1 1/2 தேக்கரண்டி,
காய்ந்த மிளகாய் - 3,
தேங்காய் துருவல் - 1/4 கப்,
சின்ன வெங்காயம் - 2 நறுக்கியது,
தனியா தூள் - 1 தேக்கரண்டி,
கொத்தமல்லி இலை,
புதினா இலை.</t>
  </si>
  <si>
    <t>Wash the rice well and soak it for 30 minutes.
Soak the soya pieces in hot water for 20 minutes.
After 20 minutes, squeeze the soya pieces and keep them aside.
In a mixer, add ginger, garlic, dried chillies, grated coconut, small onion, turmeric powder, coriander and mint leaves and grind them into a paste.
In a pressure cooker, pour ghee, add the cardamom, cloves, cardamom, biryani leaves and onion and fry them.
Add the ground masala paste to it and fry until the raw smell goes away.
Next, add the tomatoes and fry them.
Once the tomatoes are fried, add the required amount of salt and turmeric powder and stir.
Then add the soya pieces and stir.
Add the coriander leaves and mint leaves and stir.
Finally, add the soaked basmati rice and water and mix well, and close the cooker.
Once the steam comes, add the weight and cook on low flame for 8 -10 minutes.
Once the pressure of the cooker comes down, open it.
Delicious Soya Biryani is ready.</t>
  </si>
  <si>
    <t xml:space="preserve"> அரிசியை நன்கு கழுவி 30 நிமிடம் ஊறவைக்கவும்
 சோயா துண்டுகளை, வெந்நீரில் போட்டு 20 நிமிடம் ஊறவைக்கவும்.
 20 நிமிடம் கழித்து, சோயா துண்டுகளை பிழிந்து எடுத்து வைக்கவும்.
மிக்ஸியில், இஞ்சி, பூண்டு, காய்ந்த மிளகாய், தேங்காய் துருவல், சின்ன வெங்காயம், தனியா தூள், கொத்தமல்லி மற்றும் புதினா இலை சேர்த்து, விழுதாக அரைக்கவும்.
 பிரஷர் குக்கர்'ரில், நெய் ஊற்றி, இதில் பட்டை, கிராம்பு, ஏலக்காய், பிரியாணி இலை, வெங்காயம் சேர்த்து வதக்கவும்.
 இதில் அரைத்த மசாலா விழுது சேர்த்து, பச்சை வாசனை போகும் வரை வதக்கவும்.
 அடுத்து இதில் தக்காளி, சேர்த்து வதக்கவும்.
 தக்காளி வதங்கியதும், இதில் தேவையான அளவு உப்பு மற்றும் மஞ்சள் தூள் சேர்த்து கிளறவும்.
 பின் இதில் சோயா துண்டுகளை சேர்த்து கிளறவும்.
 இதில் கொத்தமல்லி இலை, புதினா இலை போட்டு கிளறவும்.
 இறுதியாக ஊறவைத்த பாஸ்மதி அரிசி மற்றும் தண்ணீர் சேர்த்து கலந்து, குக்கர்'ரை மூடவும்.
 ஆவி வந்தபின், வெயிட் போட்டு, குறைந்த தீயில் 8 -10 நிமிடம் வேகவைக்கவும்.
 குக்கர்'ரின் பிரஷர் இறங்கியதும், திறக்கவும்.
 சுவையான சோயா பிரியாணி தயார்.</t>
  </si>
  <si>
    <t>https://images.news18.com/tamil/uploads/2024/02/Food-Recipes-in-Tamil-65-2024-02-712295c0decd6ff9237fe08b4a8fb4d3.jpg</t>
  </si>
  <si>
    <t>https://youtu.be/cnOxjUTmxkQ?si=uaxG070IKuDadHTF</t>
  </si>
  <si>
    <t>Garlic - 3 cloves chopped,
Ginger - 1 piece chopped,
Green chillies - 2 chopped,
Coconut - 1 tbsp grated,
Chilli paste - 1 tbsp,
Mint leaves,
Coriander leaves,
Water - 2 tbsp,
Basmati rice - 1 cup (250 ml cup),
Mushrooms - 400 grams,
Ghee - 2 tbsp,
Oil - 1 tbsp,
Baking powder - 1,
Cloves - 4,
Cardamom - 3,
Pineapple blossom - 1,
Biryani leaf - 1,
Onion - 3 chopped,
Tomato - 3 chopped,
Salt - 1 tsp,
Turmeric powder - 1/2 tsp,
Thaniya powder - 1 tsp,
Mint leaves,
Coriander leaves,
Water - 1 cup.</t>
  </si>
  <si>
    <t>பூண்டு - 3 பற்கள் நறுக்கியது ,
இஞ்சி - 1 துண்டு நறுக்கியது,
பச்சை மிளகாய் - 2 நறுக்கியது,
தேங்காய் - 1 மேசைக்கரண்டி துருவியது ,
சில்லி பேஸ்ட் - 1 மேசைக்கரண்டி,
புதினா இலை,
கொத்தமல்லி இலை,
தண்ணீர் - 2 தேக்கரண்டி,
பாஸ்மதி அரிசி - 1 கப் (250 மில்லி கப்),
காளான் - 400 கிராம்,
நெய் - 2 மேசைக்கரண்டி,
எண்ணெய் - 1 மேசைக்கரண்டி ,
பட்டை - 1,
கிராம்பு - 4,
ஏலக்காய் - 3,
அன்னாசிப்பூ - 1,
பிரியாணி இலை - 1,
வெங்காயம் - 3 நறுக்கியது,
தக்காளி - 3 நறுக்கியது,
உப்பு - 1 தேக்கரண்டி,
மஞ்சள் தூள் - 1/2 தேக்கரண்டி,
தனியா தூள் - 1 தேக்கரண்டி,
புதினா இலை,
கொத்தமல்லி இலை,
தண்ணீர் - 1 கப்.</t>
  </si>
  <si>
    <t>Wash the basmati rice well and soak it for 30 minutes.
In a mixer jar, add garlic, ginger, green chilies, grated coconut, chili paste, mint, coriander and water and grind it to a paste.
Pour ghee and oil in a cooker and add the bark, cloves, cardamom, pineapple blossom and biryani leaves.
Then add the onion and fry it. Once the onion is fried, add the ground masala paste and fry it for 2 minutes.
Then add the tomato and fry it for 3 minutes.
Next, add salt, turmeric powder and taniya powder and fry it.
Then add the chopped mushrooms and fry it. Then add mint and coriander and mix it.
Next, add the soaked rice and mix it, add water and close the cooker, when it starts to steam, whistle and cook on low flame for 5 minutes and let it cook.
Mushroom biryani is ready!</t>
  </si>
  <si>
    <t xml:space="preserve"> பாஸ்மதி அரிசியை நன்கு கழுவி 30 நிமிடம் ஊறவிடவும்.
 மிக்ஸர் ஜாரில் பூண்டு, இஞ்சி, பச்சை மிளகாய், துருவிய தேங்காய், சில்லி பேஸ்ட், புதினா, கொத்தமல்லி மற்றும் தண்ணீர் சேர்த்து விழுதாக அரைக்கவும்.
 குக்கரில் நெய், எண்ணெய் ஊற்றி அதில் பட்டை, கிராம்பு, ஏலக்காய், அன்னாசிப்பூ, பிரியாணி இலை சேர்க்கவும்.
 பிறகு வெங்காயம் சேர்த்து வதக்கவும், வெங்காயம் வதங்கியதும் அரைத்த மசாலா விழுதை சேர்த்து 2 நிமிடம் வதக்கவும்.
 பின்பு தக்காளியை சேர்த்து 3 நிமிடம் வதக்கவும்.
 அடுத்து உப்பு, மஞ்சள் தூள், தனியா தூள் சேர்த்து வதக்கவும்.
 பிறகு நறுக்கிய காளானை சேர்த்து வதக்கவும். பின்பு புதினா மற்றும் கொத்தமல்லி சேர்த்து கலந்துவிடவும்.
 அடுத்து ஊறவைத்த அரிசியை சேர்த்து கலந்து தண்ணீர் ஊற்றி குக்கரை மூடி ஆவி வர ஆரம்பித்ததும் விசிலை போட்டு குறைந்த தீயில் 5 நிமிடம் வேகவைத்து இறக்கவும்.
காளான் பிரியாணி தயார்!</t>
  </si>
  <si>
    <t>https://img-global.cpcdn.com/recipes/930cb8940575925d/1200x630cq70/photo.jpg</t>
  </si>
  <si>
    <t>https://youtu.be/zjl3qBUYTVI?si=YoMs3VV75hVt88qK</t>
  </si>
  <si>
    <t>Fried Chicken Biryani</t>
  </si>
  <si>
    <t>ப்ரைட் சிக்கன் பிரியாணி</t>
  </si>
  <si>
    <t>Chicken - 1 1/2 kg,
Basmati rice - 2 cups,
Baking powder, cloves, cardamom,
Pineapple blossom, Biryani leaf,
Anise - 1 tsp,
Lemon juice - 1 fruit,
Onion - 10 finely chopped,
Tomato - 8 chopped (small),
Ginger garlic paste - 2 tbsp,
Green chillies - 2 chopped,
Turmeric powder - 1 1/2 tsp,
Chili powder - 3 tbsp,
Thaniya powder - 2 tbsp,
Pepper powder - 1 tsp,
Garlic powder - 2 tsp,
Water,
Oil,
Ghee,
Cashew nuts,
Curry leaves,
Salt,
Coriander leaves Chopped.</t>
  </si>
  <si>
    <t>சிக்கன் - 1 1/2 கிலோ,
பாஸ்மதி அரிசி - 2 கப்,
பட்டை, கிராம்பு, ஏலக்காய்,
அன்னாசிப்பூ, பிரியாணி இலை,
சோம்பு - 1 தேக்கரண்டி,
எலுமிச்சைபழச்சாறு - 1 பழம், 
வெங்காயம் - 10 மெல்லியதாக நறுக்கியது,     
தக்காளி - 8 நறுக்கியது (சிறியது),
இஞ்சி பூண்டு விழுது - 2 மேசைக்கரண்டி,
பச்சை மிளகாய் - 2 நறுக்கியது,
மஞ்சள் தூள் - 1 1/2 தேக்கரண்டி,
மிளகாய் தூள் - 3 மேசைக்கரண்டி,
தனியா தூள் - 2 மேசைக்கரண்டி,
மிளகு தூள் - 1 தேக்கரண்டி,
கரம் மசாலா தூள் - 2 தேக்கரண்டி,
தண்ணீர் ,
எண்ணெய்,
நெய்,
முந்திரி பருப்பு,
கறிவேப்பிலை,
உப்பு,
கொத்தமல்லி இலை நறுக்கியது.</t>
  </si>
  <si>
    <t>Mix lemon juice, turmeric powder, salt, and chili powder in the chicken.
Then add water and let it soak for 30 minutes.
Pour ghee in a pan and fry the cashew nuts in it.
Then pour oil in the same pan and add the chopped onion and fry until golden brown and keep aside.
Next, pour oil in a wide pan and add the soaked chicken pieces and stir.
When the chicken changes color, pour water in it and cook for 10 minutes.
Then take the chicken pieces and the boiled water separately.
Pour oil in the same pan and add the boiled chicken pieces and fry until golden brown.
Then add the chopped onion in the same pan and fry until golden brown.
Next add curry leaves, ginger and garlic paste and saute
Then add tomatoes and green chilies and saute for 3 minutes, cover and cook.
Next, pour the boiled chicken water and add turmeric powder, coriander powder, pepper powder, garam masala powder and salt to it and mix.
Then add the fried chicken pieces and mix, cover and cook on medium heat for 10 minutes.
Add chopped coriander and fried onions and mix well.
Pour ghee in another vessel and add the coriander leaves, cloves, cardamom, pineapple blossom, bay leaf and anise.
Next, add water and salt and when the water boils, add the soaked rice and mix well, cover and cook.
Finally, add ghee and keep it aside.
In a bowl, place fried onions, roasted cashew nuts, and steamed rice on top. Turn it over onto a plate, sprinkle with a little chicken masala, and serve hot.
Fried Chicken Biryani is ready!</t>
  </si>
  <si>
    <t xml:space="preserve"> சிக்கனில் எலுமிச்சை பழசாறு, மஞ்சள் தூள், உப்பு, மிளகாய் தூள் சேர்த்து கலந்து கொள்ளவும்.
 பின்பு தண்ணீர் சேர்த்து கலந்து 30 நிமிடம் ஊறவிடவும்.
 கடாயில் நெய் ஊற்றி அதில் முந்திரி பருப்பு சேர்த்து வறுத்து எடுத்துக்கொள்ளவும்.
 பிறகு அதே கடாயில் எண்ணெய் ஊற்றி நறுக்கிய வெங்காயம் சேர்த்து பொன்னிறமாகும் வரை வதக்கி தனியாக எடுத்து வைக்கவும்.
 அடுத்து அகலமான கடாயில் எண்ணெய் ஊற்றி அதில் ஊறவைத்த சிக்கன் துண்டுகளை சேர்த்து கிளறவும்.
 சிக்கன் நிறம் மாறியதும் அதில் தண்ணீர் ஊற்றி மூடி வைத்து 10 நிமிடம் வேகவிடவும்.
 பின்பு சிக்கன் துண்டுகளை மற்றும் வேகவைத்த தண்ணீரை தனியாக எடுத்து வைக்கவும்.
 அதே கடாயில் எண்ணெய் ஊற்றி வேகவைத்த சிக்கன் துண்டுகளை சேர்த்து பொன்னிறமாகும் வரை பொரித்து எடுக்கவும் .
பின்பு அதே கடாயில் நறுக்கிய வெங்காயம் சேர்த்து பொன்னிறமாகும் வதக்கவும் .
 அடுத்து கறிவேப்பிலை, இஞ்சி பூண்டு விழுது சேர்த்து வதக்கவும்
 பிறகு தக்காளி மற்றும் பச்சை மிளகாய் சேர்த்து வதக்கி மூடின் வைத்து 3 நிமிடம் வேகவிடவும்.
 அடுத்து வேகவைத்த சிக்கன் தண்ணீரை ஊற்றி அதில் மஞ்சள் தூள், தனியா தூள், மிளகு தூள், கரம் மசாலா தூள், உப்பு சேர்த்து கலந்து கொள்ளவும்.
 பின்பு பொரித்த சிக்கன் துண்டுகளை சேர்த்து கலந்து மூடி வைத்து மிதமான தீயில் 10 நிமிடம் வேகவிடவும்.
 நறுக்கிய கொத்தமல்லி மற்றும் பொரித்த வெங்காயம் சேர்த்துகலந்து இறக்கி வைக்கவும்.
 மற்றோரு பாத்திரத்தில் நெய் ஊற்றி அதில் பட்டை, கிராம்பு, ஏலக்காய், அன்னாசிப்பூ, பிரியாணி இலை, சோம்பு சேர்த்து கலந்துவிடவும்.
 அடுத்து தண்ணீர், உப்பு சேர்த்து தண்ணீர் கொதித்ததும் ஊறவைத்த அரிசியை சேர்த்து கலந்து மூடி வேகவிடவும்.
 கடைசியாக நெய் ஊற்றி தனியாக எடுத்து வைக்கவும்.
ஒரு பாத்திரத்தில் பொரித்த வெங்காயம், வறுத்த முந்திரி பருப்பு அதின் மேல் வேகவைத்த சாதத்தை வைத்து அழுத்தி அதை ஒரு தட்டில் கவிழ்த்து பிறகு சிறிதளவு சிக்கன் மசாலாவை வைத்து சூடாக பரிமாறவும்.
 ப்ரைட் சிக்கன் பிரியாணி தயார்! </t>
  </si>
  <si>
    <t>https://www.licious.in/blog/wp-content/uploads/2020/12/Hyderabadi-chicken-Biryani-750x750.jpg</t>
  </si>
  <si>
    <t>https://youtu.be/ZphMFwjkOZk?si=a1V_PtUWIhnLXOiM</t>
  </si>
  <si>
    <t>Chicken - 1 kg,
Seeraga Sambha Rice - 1 cup (500 ml cup),
Water,
Ghee - 7 tablespoons,
Oil - 1 tablespoon,
Baking powder, cloves, cardamom,
Onion - 3 finely chopped,
Ginger paste - 2 tablespoons,
Garlic paste - 2 tablespoons,
Green chilies - 2 grated,
Tomato - 3 chopped,
Rock salt - 2 tablespoons,
Turmeric powder - 1/2 teaspoon,
Chilli powder - 3 tablespoons,
Hot water - 1 cup,
Lemon juice - 1 fruit,
Yogurt - 4 tablespoons,
Mint leaves,
Coriander leaves,
Kneaded chapati dough.</t>
  </si>
  <si>
    <t>சிக்கன் - 1 கிலோ,
சீரக சம்பா அரிசி - 1 கப் (500 மில்லி கப்),
தண்ணீர்,
நெய் - 7 தேக்கரண்டி,
எண்ணெய் - 1 மேசைக்கரண்டி,
பட்டை, கிராம்பு, ஏலக்காய்,
வெங்காயம் - 3 மெல்லியதாக நறுக்கியது,
இஞ்சி விழுது - 2 தேக்கரண்டி,
பூண்டு விழுது - 2 தேக்கரண்டி,
பச்சை மிளகாய் - 2 கீறியது,
தக்காளி - 3 நறுக்கியது,
கல் உப்பு - 2 தேக்கரண்டி,
மஞ்சள் தூள் - 1/2 தேக்கரண்டி,
மிளகாய் தூள் - 3 தேக்கரண்டி,
சூடு தண்ணீர் - 1 கப்,
எலுமிச்சைபழச்சாறு - 1 பழம்,
தயிர் - 4 மேசைக்கரண்டி,
புதினா இலை,
கொத்தமல்லி இலை,
பிசைந்த சப்பாத்தி மாவு.</t>
  </si>
  <si>
    <t xml:space="preserve">
 முதலில் அரிசியை நன்கு கழுவி 20 நிமிடம் ஊறவிடவும்.
 அடுத்து அகலமான பாத்திரத்தில் நெய், எண்ணெய், பட்டை, கிராம்பு,ஏலக்காய் சேர்க்கவும்.
 பின்பு நறுக்கிய வெங்காயம் சேர்த்து பொன்னிறமாக வதக்கவும்.
 பிறகு இஞ்சி விழுது, பூண்டு விழுது, பச்சை மிளகாய் சேர்த்து வதக்கவும்.
 அடுத்து நறுக்கிய தக்காளி மற்றும் உப்பு சேர்த்து வதக்கவும்.
 பின்பு மஞ்சள் தூள், மிளகாய் தூள் சேர்த்து கலந்து பின்பு சிக்கன் துண்டுகளை சேர்த்து வதக்கவும்.
 அடுத்து சூடு தண்ணீர், எலுமிச்சைபழச்சாறு, தயிர் சேர்த்து கலந்து கொள்ளவும்.
 பிறகு புதினா, கொத்தமல்லி இலை சேர்த்து பாத்திரத்தை மூடி மீதமான தீயில் 10 நிமிடம் வேகவிடவும்.
 அடுத்து மற்றோரு பாத்திரத்தில் தண்ணீர் ஊற்றி தண்ணீர் சூடானதும் அதில் உப்பு சேர்த்து பின்பு ஊறவைத்த அரிசியை சேர்த்து 3/4 பாகம் வேகவிடவும்.
 பின்பு அரிசியை வடித்து தனியாக வைக்கவும்.
 பிறகு அடுப்பில் தோசை கல்லை வைத்து அதின் மேல் சிக்கன் வேகவைத்த பாத்திரத்தை வைக்கவும்.
 அடுத்து வேகவைத்த அரிசியை அதில் சேர்த்து கலந்து, பிறகு நெய் மற்றும் புதினா, கொத்தமல்லி இலை சேர்க்கவும்.
 பின்பு பாத்திரத்தை மூடி அதை சுற்றிலும் பிசைந்த மாவால் சீல் செய்து மிதமான தீயில் 25 நிமிடம் வேகவிடவும்.
 ஆம்பூர் சிக்கன் பிரியாணி தயார்!</t>
  </si>
  <si>
    <t>https://vaya.in/recipes/wp-content/uploads/2018/03/Ambur-Chicken-Biriyani.jpg</t>
  </si>
  <si>
    <t>https://youtu.be/rmWcuTdVPvc?si=baTGPZvr8qspCYQV</t>
  </si>
  <si>
    <t>Mutton - 2 kg,
Salt - 2 tsp,
Turmeric powder - 1 tsp,
Chilli powder - 4 tsp,
Ginger garlic paste - 1 tbsp,
Yogurt - 2 tbsp,
Ghee - 2 tbsp,
Baking powder,
Cardamom,
Cloves,
Pepper - 1 tsp,,
Onion - 5 finely chopped
Green chillies - 10,
Water,
Mint,
Coriander,
Ghee - 1 tsp,
Mint leaves,
Coriander leaves chopped,
Denil,
Water.
Cumin Samba Rice - 1 kg,
Ghee - 2 tablespoons,
Ghee - 3 tablespoons,
Baking powder,
Cloves,
Cardamom,
Pineapple blossom,
Biriani leaf,
Javitri,
Kalpashi,
Shahi jeera - 1 tablespoon,
Asimbu - 1 tablespoon,
Onion - 1 finely chopped,
Ginger paste - 1 tablespoon,
Garlic paste - 3 tablespoons,
Tomato - 1 chopped (optional),
Soaked mutton,
Onion green chilli paste,
Mint,
Coriander,
Dengar paste,
Water - 5 1/2 cups,
Salt.</t>
  </si>
  <si>
    <t>மட்டன் - 2 கிலோ,
உப்பு - 2 தேக்கரண்டி,
மஞ்சள் தூள் - 1 தேக்கரண்டி,
மிளகாய் தூள் - 4 தேக்கரண்டி,
இஞ்சி பூண்டு விழுது - 1 மேசைக்கரண்டி,
தயிர் - 2 மேசைக்கரண்டி,
நல்லெண்ணெய் - 2 தேக்கரண்டி,
பட்டை,
ஏலக்காய்,
கிராம்பு,
மிளகு - 1 தேக்கரண்டி,,
வெங்காயம் - 5 மெல்லியதாக நறுக்கியது
பச்சை மிளகாய் - 10,
தண்ணீர்,
புதினா,
 கொத்தமல்லி,
நல்லெண்ணெய் - 1 தேக்கரண்டி,
புதினா இலை,
கொத்தமல்லி இலை நறுக்கியது,
வெந்தயக்கீரை,
தண்ணீர்.
சீரக சம்பா அரிசி - 1 கிலோ,
நல்லெண்ணெய் - 2 தேக்கரண்டி,
நெய் - 3 மேசைக்கரண்டி,
பட்டை,
கிராம்பு,
ஏலக்காய்,
அன்னாசிப்பூ,
பிரியாணி இலை,
ஜாவித்ரி,
கல்பாசி,
ஷஹி ஜீரா - 1 தேக்கரண்டி,
சோம்பு - 1 தேக்கரண்டி,
வெங்காயம் - 1 மெல்லியதாக நறுக்கியது,
இஞ்சி விழுது - 1 தேக்கரண்டி,
பூண்டு விழுது - 3 தேக்கரண்டி,
தக்காளி - 1 நறுக்கியது (விரும்பினால்),
ஊறவைத்த மட்டன்,
வெங்காயம் பச்சைமிளகாய் விழுது,
புதினா, 
கொத்தமல்லி,
 வெந்தயக்கீரை விழுது,
தண்ணீர் - 5 1/2 கப்,
உப்பு.</t>
  </si>
  <si>
    <t>Add salt, turmeric powder, chilli powder, ginger garlic paste, and yogurt to the mutton and marinate for 1 hour.
Pour sesame oil in a pan and add the coriander leaves, cardamom, cloves, pepper, chopped onion, and green chilies and fry them.
Then cool them well and add water and grind them to a paste.
Pour sesame oil in a pan and add mint, coriander leaves, and fenugreek leaves and fry them well. Then cool them well and add water and grind them to a paste.
Pour sesame oil and ghee in a cooker and add the coriander leaves, cloves, cardamom, pineapple blossom, bay leaf, jalapeno, fenugreek, shahi jeera, and anise and mix them.
Then add the finely chopped onion and fry them until golden brown.
Then add the ginger paste, garlic paste, and tomatoes and fry them well.
Then add the soaked mutton pieces and mix, then add onion paste, mint, coriander leaves, fenugreek paste and mix.
Next, add water and salt and mix, cover the cooker and cook for 20 minutes on medium heat.
Then wash the rice and soak it for 20.
Then in a wide vessel, add the cooked mutton and spices, soaked rice and mix, cover the vessel and cook for 25 minutes on medium heat.
After 10 minutes, open the vessel and mix, cover again and cook.
Mutton Tuna Biryani is ready!</t>
  </si>
  <si>
    <t>மட்டனில் உப்பு, மஞ்சள் தூள், மிளகாய் தூள், இஞ்சி பூண்டு விழுது, தயிர் சேர்த்து கலந்து 1 மணிநேரம் ஊறவிடவும்.
 கடாயில் நல்லெண்ணெய் ஊற்றி அதில் பட்டை, ஏலக்காய், கிராம்பு, மிளகு, நறுக்கிய வெங்காயம், பச்சை மிளகாய் சேர்த்து வதக்கவும்.
பின்பு நன்கு ஆறவிட்டு தண்ணீர் சேர்த்து விழுதாக அரைக்கவும்.
கடாயில் நல்லெண்ணெய் ஊற்றி அதில் புதினா, கொத்தமல்லி இலை மற்றும் வெந்தயக்கீரை சேர்த்து நன்கு வதக்கவும். பின்பு நன்கு ஆறவிட்டு தண்ணீர் ஊற்றி விழுதாக அரைக்கவும்.
 குக்கரில் நல்லெண்ணெய், நெய் ஊற்றி அதில் பட்டை, கிராம்பு, ஏலக்காய், அன்னாசிப்பூ, பிரியாணி இலை, ஜாதிபத்ரி, கல்பாசி, ஷஹி ஜீரா, சோம்பு சேர்த்து கலந்துவிடவும்.
 பின்பு மெல்லியதாக நறுக்கிய வெங்காயம் சேர்த்து பொன்னிறமாக வதக்கவும்.
 பிறகு இஞ்சி விழுது, பூண்டு விழுது, தக்காளி சேர்த்து நன்கு வதக்கவும்.
 பின்பு ஊறவைத்த மட்டன் துண்டுகளை சேர்த்து கலந்து, பிறகு வெங்காயம் விழுது, புதினா, கொத்தமல்லி இலை, வெந்தயக்கீரை விழுது சேர்த்து கலந்துவிடவும்.
 அடுத்து தண்ணீர் மற்றும் உப்பு சேர்த்து கலந்து குக்கரை மூடி மிதமான தீயில் 20 நிமிடம் வேகவிடவும்.
பிறகு அரிசியை கழுவி 20 ஊறவிடவும்.
 பின்பு அகலமான பாத்திரத்தில், குக்கரில் வேகவைத்த மட்டன் மற்றும் மசாலா, ஊறவைத்த அரிசியையும் சேர்த்து கலந்து பாத்திரத்தை மூடி மிதமான தீயில் 25 நிமிடம் வேகவிடவும்.
 10 நிமிடம் கழித்து பாத்திரத்தை திறந்து கலந்துவிட்டு மீண்டும் மூடி வைத்து வேகவிடவும்.
 மட்டன் தொன்னை பிரியாணி தயார்!</t>
  </si>
  <si>
    <t>https://images.herzindagi.info/her-zindagi-tamil/images/2024/10/21/article/image/banglore-dhonne-biryani-1729478540563.jpg</t>
  </si>
  <si>
    <t>https://youtu.be/TNy1j2lTqBo?si=UeTk1pYb7T5_8wtX</t>
  </si>
  <si>
    <t>Dhaniya - 1 tbsp,
Pepper - 1 tbsp,
Anise - 1 tbsp,
Black cardamom - 1 tbsp,
Cloves - 1 tbsp,
Ghee - 3 tbsp,
Onion - 1 chopped,
Garlic - 10 cloves chopped,
Pepper - 1 tbsp,
Cumin - 1 tbsp,
Cloves - 6,
Chicken thighs - 2,
Green chillies - 2 chopped,
Carrot - 1 chopped,
Tomato - 1 chopped,
Salt - 1 tbsp,
Tomato paste - 1 cup,
Nutmeg,
Hot water - 3 cups,
Chicken stock - 1 cube,
Basmati Rice - 1 cup, dried grapes.</t>
  </si>
  <si>
    <t>தனியா - 1 மேசைக்கரண்டி,
மிளகு - 1 மேசைக்கரண்டி,
சோம்பு - 1 மேசைக்கரண்டி,
கருப்பு ஏலக்காய் - 1 மேசைக்கரண்டி,
சுக்கு - 1 மேசைக்கரண்டி,
மஞ்சள் தூள் - 1 மேசைக்கரண்டி,
நெய் - 3 தேக்கரண்டி,
வெங்காயம் - 1 நறுக்கியது,
பூண்டு - 10 பற்கள் நறுக்கியது,
மிளகு - 1 தேக்கரண்டி,
சீரகம் - 1 தேக்கரண்டி,
கிராம்பு - 6,
சிக்கன் தொடை - 2,
பச்சை மிளகாய் - 2 நறுக்கியது,
கேரட் - 1 பொடியாக நறுக்கியது,
தக்காளி - 1 நறுக்கியது,
உப்பு - 1 தேக்கரண்டி,
தக்காளி விழுது - 1 கப்,
ஜாதிக்காய்,
சுடு தண்ணீர் - 3 கப்,
சிக்கன் ஸ்டாக் - 1 க்யூப் ,
பாஸ்மதி அரிசி - 1 கப்,
காய்ந்த திராட்சை.</t>
  </si>
  <si>
    <t>Grind Kapsa masala powder in a mixer, add pepper, anise, black cardamom, cumin, turmeric powder and grind it well.
Pour ghee in a vessel and add chopped onion, garlic, green chilies and fry for 7 minutes.
Next, add pepper, cumin, cloves and fry then make small incisions in the chicken and fry the chicken.
When the chicken changes color, add Kapsa masala powder.
Next, add chopped carrot and tomato and fry then add salt and mix.
Then add tomato paste and nutmeg.
Next, add hot water and chicken stock.
Cover the vessel and cook on medium heat for 20 minutes.
After 10 minutes, turn the chicken over, add Kapsa masala powder and mix, cover the vessel and cook for 10 minutes.
Next, wash the rice and add it, then add the raisins, cover the pot and let the rice cook.</t>
  </si>
  <si>
    <t xml:space="preserve"> கப்சா மசாலா தூள் அரைக்க மிக்ஸியில் தனியா, மிளகு, சோம்பு, கருப்பு ஏலக்காய், சுக்கு, மஞ்சள் தூள் சேர்த்து நன்கு தூளாக அரைத்துக்கொள்ளவும்.
 பாத்திரத்தில் நெய் ஊற்றி அதில் நறுக்கிய வெங்காயம், பூண்டு, பச்சை மிளகாய் சேர்த்து 7 நிமிடம் வதக்கவும்.
அடுத்து மிளகு, சீரகம், கிராம்பு சேர்த்து வதக்கி பின்பு சிக்கனில் சிறு சிறு கீறல்கள் போட்டு, சிக்கனை சேர்த்து வதக்கவும்.
 சிக்கன் நிறம் மாறியதும் அதில் கப்சா மசாலா தூள் சேர்க்கவும்.
அடுத்து நறுக்கிய கேரட், தக்காளி சேர்த்து வதக்கி பின்பு உப்பு சேர்த்து கலந்துவிடவும்.
பிறகு தக்காளி விழுது, ஜாதிக்காய் சேர்க்கவும்.
 அடுத்து சுடு தண்ணீர் மற்றும் சிக்கன் ஸ்டாக் சேர்க்கவும்.
 பாத்திரத்தை மூடி மிதமான தீயில் 20 நிமிடம் வேகவிடவும்.
10 நிமிடம் கழித்து சிக்கனை திருப்பி விட்டு, கப்சா மசாலா தூள் சேர்த்து கலந்து பாத்திரத்தை மூடி 10 நிமிடம் வேகவிடவும்.
 அடுத்து அரிசியை கழுவி சேர்த்து, பின்பு காய்ந்த திராட்சை சேர்த்து பாத்திரத்தை மூடி அரிசியை வேகவிடவும்.</t>
  </si>
  <si>
    <t>https://i.ytimg.com/vi/9-ylqbL9sg4/hqdefault.jpg</t>
  </si>
  <si>
    <t>https://youtu.be/Vdjx4DtipL8?si=1Tx8T6EVLW3hf7Ue</t>
  </si>
  <si>
    <t>Chicken - 1 1/2 kg,
Yogurt - 1 cup,
Ginger Garlic Paste - 1 tbsp,
Turmeric Powder - 1/2 tsp,
Kashmiri Chilli Powder - 1 tbsp,
Chilli Powder - 1 tbsp,
Salt - 1 1/2 tsp,
Garlic Powder - 1 tsp,
Cereal Powder - 1 tsp,
Dhaniya Powder - 1 tsp,
Pepper Powder - 1 tsp,
Lemon Juice - 1 fruit juice,
Kesari Color Powder - 1 pinch,
Basmati Rice - 2 cups,
Water,
Baking Powder,
Cloves,
Cardamom,
Shahi Jeera,
Pepper,
Jathi Bhatri,
Biryani Leaves,
Salt - 1 tsp,
Ghee - 1 tsp,
Ghee - 1 tbsp,
Oil - 2 1/2 tbsp,
Onion - 2 finely chopped,
Green chillies - 3 grated,
Tomato - 2 finely chopped,
Fried onion,
Coriander leaves,
Mint leaves,
Baking powder - 1 small piece,
Cloves - 2,
Cardamom - 2.</t>
  </si>
  <si>
    <t>சிக்கன் - 1 1/2 கிலோ,
தயிர் - 1 கப்,
இஞ்சி பூண்டு விழுது - 1 மேசைக்கரண்டி,
மஞ்சள் தூள் - 1/2 தேக்கரண்டி,
காஷ்மீரி மிளகாய் தூள் - 1 மேசைக்கரண்டி,
மிளகாய் தூள் - 1 மேசைக்கரண்டி,
உப்பு - 1 1/2 தேக்கரண்டி,
கரம் மசாலா தூள் - 1 தேக்கரண்டி,
சீரக தூள் - 1 தேக்கரண்டி,
தனியா தூள் - 1 தேக்கரண்டி,
மிளகு தூள் - 1 தேக்கரண்டி,
எலுமிச்சை பழச்சாறு - 1 பழத்தின் சாறு,
கேசரி கலர் பவுடர் - 1 சிட்டிகை,
பாஸ்மதி அரிசி - 2 கப்,
தண்ணீர்,
பட்டை,
 கிராம்பு,
 ஏலக்காய்,
ஷாஹி ஜீரா, 
மிளகு,
 ஜாதிபத்ரி,
பிரியாணி இலை,
உப்பு - 1 தேக்கரண்டி,
நெய் - 1 தேக்கரண்டி,      
நெய் - 1 மேசைக்கரண்டி,
எண்ணெய் - 2 1/2 மேசைக்கரண்டி,
வெங்காயம் - 2 மெல்லியதாக நறுக்கியது,
பச்சை மிளகாய் - 3 கீறியது,
தக்காளி - 2 மெல்லியதாக நறுக்கியது,
வறுத்த வெங்காயம்,
கொத்தமல்லி இலை,
புதினா இலை,
பட்டை - 1 சிறிய துண்டு,  
கிராம்பு - 2,
ஏலக்காய் - 2 .</t>
  </si>
  <si>
    <t>Mix all the above marinade ingredients together and coat the chicken well and marinate for 1 hour.
Then fry it in the oven (or) in ghee on a tawa until golden brown.
Soak the basmati rice for 30 minutes.
Boil more water in another vessel, add a little salt and cook the rice till 80%. Then drain it.
In a large vessel, add oil + ghee and sauté the onion, green chillies, ginger and garlic paste.
Then add tomatoes, masala powder, salt, mint, coriander and fry well.
Add chicken tikka pieces to it.
Chicken gravy at the bottom, rice on top – layer like this.
Sprinkle some ghee, coriander, mint on top and put it on “tham” – close the lid and keep it on medium flame for 15–20 minutes.</t>
  </si>
  <si>
    <t>மேலே கூறிய அனைத்து மரினேஷன் பொருட்களையும் ஒன்றாக கலந்து சிக்கனை நன்றாகப் பூசி 1 மணி நேரம் மாறினேட் செய்யவும்.
பின்னர் அதனை ஓவனில் (அல்லது) நெய் விட்டு தவாவில் பொன்னிறமாக வறுக்கவும்.
பாஸ்மதி அரிசியை 30 நிமிடம் ஊறவைக்கவும்.
வேறு பாத்திரத்தில் அதிக நீரில் கொதிக்க வைத்து சிறிது உப்பு சேர்த்து அரிசியை 80% வரை வேக வைக்கவும். பிறகு வடிகட்டி வைக்கவும்.
ஒரு பெரிய பாத்திரத்தில் எண்ணெய் + நெய் சேர்த்து வெங்காயம், பச்சை மிளகாய், இஞ்சி பூண்டு விழுது வதக்கவும்.
பிறகு தக்காளி, மசாலா தூள், உப்பு, புதினா, கொத்தமல்லி சேர்த்து நன்றாக வதக்கவும்.
சிக்கன் டிக்கா துண்டுகளை இதில் சேர்க்கவும்.
கீழே சிக்கன் குழம்பு, மேலே அரிசி – இப்படி அடுக்கி அடுக்கி வைக்கவும்.
மேலே சிறிது நெய், கொத்தமல்லி, புதினா தூவி "தம்" வைக்கவும் – மூடியை அடைத்துக்கொண்டு 15–20 நிமிடம் மிதமான தீயில் வைக்கவும்.</t>
  </si>
  <si>
    <t>https://kfoods.com/images1/newrecipeicon/chicken-tikka-biryani_14544.jpg</t>
  </si>
  <si>
    <t>https://youtu.be/5mY0YyzEZjc?si=p1zDCgVp8eVpFIjS</t>
  </si>
  <si>
    <t>Cardamom - 4,
Baking powder - 2 pieces,
Cloves - 5,
Pineapple blossoms - 2,
Pepper - 1/2 tsp,
Nutmeg - 2 small pieces,
Nutmeg - 2 small pieces,
Aneem - 1 tsp,
Shahi jeera - 1 tsp,
Kashmiri chillies - 2,
Oil - for frying,
Onion - 2 chopped,
Cashew nuts - 1 cup,
Raisins - 1/2 cup,
Chicken - 1 kg,
Ghee - 1/4 cup,
Onion - 4 thinly chopped,
Garlic paste - 1 1/2 tbsp,
Ginger paste - 1 1/2 tbsp,
Green chilli paste - 2 Tablespoon,
Turmeric powder - 1/2 teaspoon,
Salt - 2 teaspoons,
Tomatoes - 3 chopped,
Yogurt - 1/2 cup beaten,
Mint leaves,
Coriander leaves chopped,
Fried onion,
Coconut milk - 2 tablespoons,
Cumin samba rice - 2 cups,
Ghee - 2 tablespoons,
Baking powder,
Cloves,
Cardamom,
Biryani leaves,
Pineapple blossom,
Water - 3 1/4 cups,
Salt - 1 teaspoon,
Chicken masala,
Boil rice,
Ghee - 1 teaspoon,
Roasted raisins,
Roasted cashews,
Saffron + hot water.</t>
  </si>
  <si>
    <t>ஏலக்காய் - 4,
பட்டை - 2 துண்டு,
கிராம்பு - 5,
அன்னாசி பூ - 2,
மிளகு - 1/2 தேக்கரண்டி,
ஜாதிக்காய் - 2 சிறிய துண்டு ,
ஜாதிபத்திரி - 2 சிறிய துண்டு,
சோம்பு - 1 தேக்கரண்டி,
ஷாஹி ஜீரா - 1 தேக்கரண்டி,
காஷ்மீரி மிளகாய் - 2,
எண்ணெய் - பொரிப்பதற்கு, 
வெங்காயம் - 2 நறுக்கியது ,
முந்திரி பருப்பு - 1 கப்,
திராட்சை - 1/2 கப்,
சிக்கன் - 1 கிலோ,
நெய் - 1/4 கப்,
வெங்காயம் - 4 மெல்லியதாக நறுக்கியது,
பூண்டு விழுது - 1 1/2 மேசைக்கரண்டி,
இஞ்சி விழுது - 1 1/2 மேசைக்கரண்டி,
பச்சை மிளகாய் விழுது - 2 மேசைக்கரண்டி,
மஞ்சள் தூள் - 1/2 தேக்கரண்டி,
உப்பு - 2 தேக்கரண்டி,
தக்காளி - 3 நறுக்கியது,
தயிர் - 1/2 கப் அடித்தது,
புதினா இலை,
கொத்தமல்லி இலை நறுக்கியது,
வறுத்த வெங்காயம்,
தேங்காய் பால் - 2 மேசைக்கரண்டி,
சீரக சம்பா அரிசி - 2 கப்,
நெய் - 2 தேக்கரண்டி,
பட்டை,
கிராம்பு,
ஏலக்காய்,
பிரியாணி இலை,
அன்னாசி பூ,
தண்ணீர் - 3 1/4 கப்,
உப்பு - 1 தேக்கரண்டி, 
சிக்கன் மசாலா,
வேகவைத்த அரிசி,
நெய் - 1 தேக்கரண்டி,
வறுத்த திராட்சை,
வறுத்த முந்திரி,
குங்குமப்பூ + சூடு தண்ணீர்.</t>
  </si>
  <si>
    <t>In a pan for grinding garam masala, grind cardamom, bark, cloves, pineapple blossom, pepper, nutmeg, nutmeg, anise, Shahi jeera, Add Kashmiri chillies and fry for 3 minutes on medium flame.
Then cool well and grind into powder.
Next, pour oil in a pan and add finely chopped onion and fry till golden brown.
Then fry cashew nuts and raisins.
Pour ghee in another pan and add chopped onion and fry till golden brown.
Then add ginger paste, garlic paste, green chilli paste and mix.
Then add chicken pieces and mix and cook for 5 minutes.
Then add turmeric powder and salt and mix, then add ground garam masala powder and mix.
Then add chopped tomatoes and mix and cook for 10 minutes.
Then add beaten curd and mix, add mint leaves and coriander leaves and mix.
Then add fried onion and coconut milk and mix and then remove.
Next, wash the cumin samba rice and soak it for 10 minutes.
Pour ghee in a vessel and add the bark, cloves, cardamom, bay leaves, and pineapple blossoms.
Then pour water, add salt to it and let it boil.
Then add the soaked cumin samba rice and let it boil.
Next, in a large wide vessel, add the chicken masala, add the boiled rice on top and level it, then add ghee, chopped coriander leaves, mint leaves, and fried onions.
Then add the fried raisins, cashews, then add garam masala powder, and saffron water.
Then add the remaining rice and level it, then add ghee, chopped coriander leaves, mint leaves, fried onions, raisins, cashew nuts, garam masala powder, and saffron water on top and close the vessel.
Then heat the dosa stone and place the pan on it and cook on medium flame for 20 minutes.
The delicious Thalassery Chicken Biryani is ready.</t>
  </si>
  <si>
    <t xml:space="preserve"> கரம் மசாலா அரைக்க கடாயில் ஏலக்காய், பட்டை, கிராம்பு, அன்னாசி பூ, மிளகு, ஜாதிக்காய், ஜாதிபத்ரி, சோம்பு, ஷாஹி ஜீரா, காஷ்மீரி மிளகாய் சேர்த்து 3 நிமிடம் மிதமான தீயில் வறுக்கவும்.
 பின்பு நன்கு ஆறவிட்டு பொடியாக அரைக்கவும்.
 அடுத்து கடாயில் எண்ணெய் ஊற்றி அதில் மெல்லியதாக நறுக்கிய வெங்காயம் சேர்த்து பொன்னிறமாக பொரித்து எடுக்கவும்.
பின்பு முந்திரி பருப்பு, திராட்சையை பொரித்து எடுக்கவும்.
 மற்றோரு கடாயில் நெய் ஊற்றி அதில் நறுக்கிய வெங்காயம் சேர்த்து பொன்னிறமாக வதக்கவும்.
 பின்பு இஞ்சி விழுது, பூண்டு விழுது, பச்சை மிளகாய் விழுது சேர்த்து கலந்துவிடவும்.
பிறகு சிக்கன் துண்டுகளை சேர்த்து கலந்துவிட்டு 5 நிமிடம் வேகவிடவும்.
 பின்பு மஞ்சள் தூள், உப்பு சேர்த்து கலந்து, பிறகு அரைத்த கரம் மசாலா தூள் சேர்த்து கலந்துவிடவும்.
 பிறகு நறுக்கிய தக்காளி சேர்த்து கலந்து 10 நிமிடம் வேகவிடவும்.
 பின்பு அடித்த தயிர் சேர்த்து கலந்து விட்டு புதினா இலை, கொத்தமல்லி இலை சேர்த்து கலந்துவிடவும்.
 பிறகு வறுத்த வெங்காயம், தேங்காய் பால் சேர்த்து கலந்து பின்பு இறக்கவும்.
 அடுத்து சீரக சம்பா அரிசியை கழுவி 10 நிமிடம் ஊறவிடவும்.
 பாத்திரத்தில் நெய் ஊற்றி அதில் பட்டை, கிராம்பு, ஏலக்காய், பிரியாணி இலை, அன்னாசி பூ சேர்க்கவும்.
 பின்பு தண்ணீர் ஊற்றி அதில் உப்பு சேர்த்து கொத்திக்கவிடவும்.
 பிறகு அதில் ஊறவைத்த சீரக சம்பா அரிசியை சேர்த்து வேகவிடவும்.
 அடுத்து நல்ல அகலமான பாத்திரத்தில் சிக்கன் மசாலாவை சேர்த்து அதன் மேல் வேகவைத்த சாதத்தை சேர்த்து சமன்படுத்தி பின்பு நெய், நறுக்கிய கொத்தமல்லி இலை, புதினா இலை மற்றும் வறுத்த வெங்காயம் சேர்க்கவும்.
 பின்பு வறுத்த திராட்சை, முந்திரி சேர்த்து, பிறகு கரம் மசாலா தூள் மற்றும் குங்குமப்பூ தண்ணீர் சேர்க்கவும்.
 பிறகு மீதம் உள்ள சாதத்தை சேர்த்து சமன்படுத்தி அதன் மேல் நெய் , நறுக்கிய கொத்தமல்லி இலை, புதினா இலை, வறுத்தவெங்காயம், திராட்சை, முந்திரி பருப்பு, கரம் மசாலா தூள், மற்றும் குங்குமப்பூ தண்ணீர் சேர்த்து பாத்திரத்தை மூடவும்.
பின்பு தோசை கல்லை சூடு செய்து அதன் மேல் பாத்திரத்தை வைத்து மிதமான தீயில் 20 தம்மில் வைக்கவும்.
 அருமையான தலச்சேரி சிக்கன் பிரியாணி தயார்.</t>
  </si>
  <si>
    <t>https://www.recipesaresimple.com/wp-content/uploads/2014/08/thalassery-dum-biriyani-recipe-1000x664.jpg</t>
  </si>
  <si>
    <t>https://youtu.be/qDbtInOuKLY?si=upWMoR_2bfBWYp-2</t>
  </si>
  <si>
    <t>Chicken - 2 kg,
Basmati rice - 1 kg,
Ginger garlic paste - 3 tbsp,
Yogurt - 300 g,
Salt,
Turmeric powder - 1 tsp,
Chilli powder - 4 tsp,
Pepper powder - 1 tsp,
Pancha powder - 3 tsp,
Cumin powder - 3 tsp,
Garlic powder - 2 tsp,
Baking powder,
Cloves,
Green cardamom,
Black cardamom,
Nutmeg,
Pineapple flower,
Marathi koku,
Shahi jeera,
Biryani leaves,
Lemon juice,
Green chilies - 4 chopped,
Fried onion,
Mint leaves,
Coriander leaves,
Fresh cream - 2 tbsp ,
Saffron milk ,
Saffron water,
Almonds - 1/4 cup chopped,
Cashew nuts - 1/4 cup chopped,
Pistachios - 1/4 cup chopped,
Onion frying oil,
Ghee.</t>
  </si>
  <si>
    <t>சிக்கன் - 2 கிலோ,
பாஸ்மதி அரிசி - 1 கிலோ,
இஞ்சி பூண்டு விழுது - 3 மேசைக்கரண்டி , 
தயிர் - 300 கிராம்,
உப்பு ,
மஞ்சள் தூள் - 1 தேக்கரண்டி,
மிளகாய் தூள் - 4 தேக்கரண்டி ,
மிளகு தூள் - 1 தேக்கரண்டி,
தனிய தூள் - 3 தேக்கரண்டி ,
சீரக தூள் - 3 தேக்கரண்டி ,
கரம் மசாலா தூள் - 2 தேக்கரண்டி,
பட்டை ,
கிராம்பு ,
பச்சை ஏலக்காய் ,
கருப்பு ஏலக்காய் ,
ஜாதிபத்திரி,
அன்னாசி பூ,
மராத்தி மொக்கு,
ஷாஹி ஜீரா,
பிரியாணி இலை,
எலுமிச்சைபழச்சாறு,
பச்சை மிளகாய் - 4 நறுக்கியது,
பொரித்த வெங்காயம்,
புதினா இலை,
கொத்தமல்லி இலை,
பிரெஷ் கிரீம் - 2 மேசைக்கரண்டி ,
குங்குமப்பூ பால் ,
குங்குமப்பூ தண்ணீர்,
பாதாம் - 1/4 கப் நறுக்கியது,
முந்திரி - 1/4 கப் நறுக்கியது,
பிஸ்தா - 1/4 கப் நறுக்கியது ,
வெங்காயம் பொரித்த எண்ணெய் ,
நெய்.</t>
  </si>
  <si>
    <t>In a bowl, add chicken, lemon juice, ginger garlic paste, yogurt and salt and mix.
Then add turmeric powder, chili powder, pepper powder, semolina powder, cumin powder, garam masala powder and mix.
Then add the bark, cloves, green cardamom, black cardamom, nutmeg, pineapple flower, Marathi mokku, Shahi jeera, biryani leaves and mix.
Then add the onion fried oil, ghee, green chilies, fried onions, mint, coriander leaves and mix.
Then add fresh cream, saffron milk, chopped almonds, cashews, pistachios and mix for 2 hours.
Then pour required amount of water into the basmati rice and soak it for 1 hour.
Pour required amount of water in another vessel and add the bark, cloves, cardamom, pineapple flower, bay leaf, Shahi jeera, coriander leaves, mint leaves and boil it for 3 minutes.
Then add the soaked rice, then add salt and lemon juice and mix.
When the rice is 60 percent cooked, take a little and keep it aside. Cook the remaining rice 80 percent and then drain it and keep it aside.
Place a wide vessel in a tawa and pour ghee and oil in which the onions were fried.
Then put the stove on high flame and add the soaked chicken and cook it for 3 minutes.
Then add 60 percent of the cooked rice and add fried onions, coriander leaves, mint leaves, ghee, and saffron water on top.
Then add 80 percent of the cooked rice and add fried onions, coriander leaves, mint leaves, ghee, and saffron water on top.
Then cover with wax paper, place a plate on top, and cook for 45 minutes.
The delicious Mughlai Chicken Biryani is ready!</t>
  </si>
  <si>
    <t xml:space="preserve"> பாத்திரத்தில் சிக்கன், எலுமிச்சைபழச்சாறு, இஞ்சி பூண்டு விழுது, தயிர் மற்றும் உப்பு சேர்த்து கலந்துவிடவும்.
 பின்பு மஞ்சள் தூள், மிளகாய் தூள், மிளகு தூள், தனியா தூள், சீரக தூள், கரம் மசாலா தூள் சேர்த்து கலந்துவிடவும்.
 பிறகு பட்டை, கிராம்பு, பச்சை ஏலக்காய், கருப்பு ஏலக்காய், ஜாதிபத்திரி, அன்னாசி பூ, மராத்தி மொக்கு, ஷாஹி ஜீரா, பிரியாணி இலை சேர்த்து கலந்துகொள்ளவும்.
 பின்பு அதில் வெங்காயம் பொரித்த எண்ணெய், நெய், பச்சை மிளகாய், பொரித்த வெங்காயம், புதினா, கொத்தமல்லி இலை சேர்த்து கலந்துவிடவும்.
 பிறகு பிரெஷ் கிரீம், குங்குமப்பூ பால், நறுக்கிய பாதாம், முந்திரி, பிஸ்தா சேர்த்து கலந்து 2 மணிநேரம் ஊறவிடவும்.
 பின்பு பாஸ்மதி அரிசியில் தேவையான அளவு தண்ணீர் ஊற்றி 1 மணிநேரம் ஊறவிடவும்.
மற்றோரு பாத்திரத்தில் தேவையான அளவு தண்ணீர் ஊற்றி அதில் பட்டை, கிராம்பு, ஏலக்காய், அன்னாசி பூ, பிரியாணி இலை, ஷாஹி ஜீரா, கொத்தமல்லி இலை , புதினா இலை சேர்த்து 3 நிமிடம் கொதிக்கவிடவும்.
 பின்பு ஊறவைத்த அரிசியை சேர்த்து, பிறகு உப்பு, எலுமிச்சைபழச்சாறு சேர்த்து கலந்துவிடவும்.
 அரிசி 60 சதவீதம் வெந்ததும் சிறிதளவு எடுத்து தனியாக வைக்கவும். மீதம் உள்ள அரிசியை 80 சதவீதம் வேகவிட்டு பின்பு வடித்து தனியாக எடுத்து வைக்கவும்.
 தவாவில் அகலமான பாத்திரத்தை வைத்து அதில் நெய் மற்றும் வெங்காயம் பொரித்த எண்ணெய் ஊற்றவும்.
 பின்பு அடுப்பை அதிக தீயில் வைத்து ஊறவைத்த சிக்கனை சேர்த்து 3 நிமிடம் வேகவிடவும்.
 பிறகு 60 சதவீதம் வேகவைத்த அரிசியை சேர்த்து அதன் மேல் பொரித்த வெங்காயம், கொத்தமல்லி இலை, புதினா இலை, நெய், குங்குமப்பூ தண்ணீர் சேர்க்கவும்.
 பின்பு 80 சதவீதம் வேகவைத்த அரிசியை சேர்த்து அதன் மேல் பொரித்த வெங்காயம், கொத்தமல்லி இலை, புதினா இலை,
நெய், குங்குமப்பூ தண்ணீர் சேர்க்கவும்.
 பிறகு பாயில் பேப்பரை வைத்து மூடி அதன் மேல் தட்டை வைத்து மூடி 45 நிமிடம் தம்மில் வேகவிடவும்.
 அட்டகாசமான முகலாய் சிக்கன் பிரியாணி தயார்!</t>
  </si>
  <si>
    <t>https://www.ruchifoodline.com/recipes//cdn/recipes/chicken-biryani.jpg</t>
  </si>
  <si>
    <t>https://youtu.be/wIGM5r1JTlY?si=BQEjIWsdj7o732mZ</t>
  </si>
  <si>
    <t>Hyderabadi Brinjal Masala</t>
  </si>
  <si>
    <t>ஹைதராபாத் கத்திரிக்காய் மசாலா</t>
  </si>
  <si>
    <t>Peanuts - 2 tbsp,
White sesame seeds - 1 tbsp,
Poppy seeds - 1 tsp,
Coconut flakes - 2 tbsp,
Brigands - 10,
Ghee - 4 tbsp,
Onion - 3 chopped,
Mustard - 1 tsp,
Cumin - 1 tsp,
Ginger garlic paste - 2 tsp,
Turmeric powder - 1/2 tsp,
Chili powder - 2 tsp,
Dhaniya powder - 1 tsp,
Salt,
Tamarind water - 1/4 cup,
Curry leaves,
Green chillies chopped,
Coriander leaves chopped.</t>
  </si>
  <si>
    <t>வேர்க்கடலை - 2 மேசைக்கரண்டி,
வெள்ளை எள்ளு - 1 மேசைக்கரண்டி,
கசகசா - 1 தேக்கரண்டி ,
கொப்பரை தேங்காய் - 2 மேசைக்கரண்டி,
கத்திரிக்காய் - 10,
நல்லெண்ணெய் - 4 மேசைக்கரண்டி ,
வெங்காயம் - 3 பொடியாக நறுக்கியது,
கடுகு - 1 தேக்கரண்டி ,
சீரகம் - 1 தேக்கரண்டி ,
இஞ்சி பூண்டு விழுது - 2 தேக்கரண்டி,
மஞ்சள் தூள் - 1/2 தேக்கரண்டி ,
மிளகாய் தூள் - 2 தேக்கரண்டி,
தனியா தூள் - 1 தேக்கரண்டி ,
உப்பு  ,
புளி தண்ணீர் - 1/4 கப்,
கறிவேப்பிலை,
பச்சை மிளகாய் நறுக்கியது,
கொத்தமல்லி இலை நறுக்கியது.</t>
  </si>
  <si>
    <t>Roast peanuts, white sesame seeds, poppy seeds, and coconut separately in a pan, cool well, add water, and grind to a paste.
Then pour sesame oil into the pan, cut the eggplant into four, add it, sauté it, and set aside.
Then add the chopped onion to the same pan, sauté it until golden brown. Then, cool it, add water, and grind it to a paste.
Next, pour sesame oil into the pan, add mustard seeds, cumin seeds, and mix it, then add ginger and garlic paste, and mix it.
Then add the grated onion, and sauté it.
Then add the grated coconut, peanut paste, and sauté it.
Then add turmeric powder, chili powder, garam masala powder, and salt, and mix it.
Then, when the oil separates, pour in the tamarind water.
Add the curry leaves, mix it, and add the required amount of water, and mix it.
Then add the fried eggplant, cover the pan and cook on medium heat for 15 minutes.
Then add chopped green chilies and coriander leaves and mix well.
Delicious Hyderabadi eggplant masala is ready!</t>
  </si>
  <si>
    <t xml:space="preserve"> கடாயில் வேர்க்கடலை, வெள்ளை எள்ளு, கசகசா, கொப்பரை தேங்காய் ஆகியவற்றை தனி தனியாக வறுத்து நன்கு ஆறவிட்டு தண்ணீர் ஊற்றி விழுதாக அரைத்து கொள்ளவும்.
பின்பு கடாயில் நல்லெண்ணெய் ஊற்றி அதில் கத்திரிக்காயை நான்காக வெட்டி சேர்த்து வதக்கி எடுத்து தனியாக வைக்கவும்.
 பிறகு அதே கடாயில் நறுக்கிய வெங்காயம் சேர்த்து பொன்னிறமாக வதக்கவும். பின்பு ஆறவிட்டு தண்ணீர் ஊற்றி விழுதாக அரைத்து கொள்ளவும்.
 அடுத்து கடாயில் நல்லெண்ணெய் ஊற்றி அதில் கடுகு, சீரகம் சேர்த்து கலந்து பின்பு இஞ்சி பூண்டு விழுது சேர்த்து கலந்துவிடவும்.
 பிறகு அரைத்த வெங்காயத்தை சேர்த்து வதக்கவும்.
பின்பு அரைத்த தேங்காய் வேர்க்கடலை விழுதை சேர்த்து வதக்கவும்.
 பிறகு மஞ்சள் தூள், மிளகாய் தூள், தனியா தூள், உப்பு சேர்த்து கலந்துவிடவும்.
 பின்பு எண்ணெய் பிரிந்து வந்ததும், புளி தண்ணீரை ஊற்றவும்.
 கறிவேப்பிலை சேர்த்து கலந்து தேவையான அளவு தண்ணி ஊற்றி கலந்துவிடவும்.
பிறகு வதக்கிய கத்திரிக்காயை சேர்த்து கலந்து கடாயை மூடி 15 நிமிடம் மிதமான தீயில் வேகவிடவும்.
 பின்பு நறுக்கிய பச்சை மிளகாய், கொத்தமல்லி இலை சேர்த்து கலந்து இறக்கவும்.
 சுவையான ஹைதராபாத் கத்திரிக்காய் மசாலா தயார்!</t>
  </si>
  <si>
    <t>https://encrypted-tbn0.gstatic.com/images?q=tbn:ANd9GcT6vMaTRuCYntkUtu3AdcQd94_jOYWogKLcsg&amp;s</t>
  </si>
  <si>
    <t>https://youtu.be/-DlhXxBU5C8?si=cw1BvnNEgXj1wQAp</t>
  </si>
  <si>
    <t>Basmati rice - 1 cup,
Salt - 1/2 teaspoon,
Lemon juice - 1/2 fruit,
Yogurt - 1 cup,
Ginger garlic paste - 2 tablespoons,
Salt - 2 tablespoons,
Turmeric powder - 1 tablespoon,
Chili powder - 4 tablespoons,
Cumin powder - 2 tablespoons,
Dhaniya powder - 2 tablespoons,
Karam masala powder - 2 tablespoons,
Kasoori methi - 1 tablespoon,
Onion - 1 chopped,
Green chili - 3 chopped,
Tomato - 2 chopped,
Cauliflower - 1. chopped,
Green peas - 1 cup,
Fried onion,
Mint leaves,
Coriander leaves,
Oil - 1 tablespoon,
Ghee - 1 Tablespoon,
Mixed vegetables,
Rice,
Ghee,
Saffron milk,
Fried onion,
Mint leaves,
Coriander leaves.</t>
  </si>
  <si>
    <t>பாஸ்மதி அரிசி - 1 கப்  , 
உப்பு - 1/2 தேக்கரண்டி,
எலுமிச்சைபழச்சாறு - 1/2 பழம் ,
தயிர் - 1 கப்,
இஞ்சி பூண்டு விழுது - 2 தேக்கரண்டி,
உப்பு - 2 தேக்கரண்டி,
மஞ்சள் தூள் - 1 தேக்கரண்டி,
மிளகாய் தூள் - 4 தேக்கரண்டி,
சீரக தூள் - 2 தேக்கரண்டி,
தனியா தூள் - 2 தேக்கரண்டி,
கரம் மசாலா தூள் - 2 தேக்கரண்டி,
கசூரி மேத்தி - 1 மேசைக்கரண்டி,
வெங்காயம் - 1 நறுக்கியது,
பச்சை மிளகாய் - 3 நறுக்கியது,
தக்காளி - 2 நறுக்கியது,
காலிஃபிளவர் - 1.நறுக்கியது,
பச்சை பட்டாணி - 1 கப்,
வறுத்த வெங்காயம்  ,
புதினா இலை,
கொத்தமல்லி இலை,
எண்ணெய் - 1 மேசைக்கரண்டி,
நெய் - 1 மேசைக்கரண்டி,
காய்கறி கலவை,
சாதம்,
நெய்,
குங்குமப்பூ பால்,
வறுத்த வெங்காயம்,
புதினா இலை,
கொத்தமல்லி இலை.</t>
  </si>
  <si>
    <t xml:space="preserve"> அரிசியைக் கழுவி 30 நிமிடம் தண்ணீரில் ஊற வைக்கவும்.
 ஒரு பாத்திரத்தில் தண்ணீர் எடுத்து கொதிக்க வைக்கவும்.
அதனுடன் உப்பு சேர்த்து, ஊறவைத்த அரிசியை சேர்க்கவும்.
 அரிசி நன்றாக வேகும் வரை சமைக்கவும். அரிசி பஞ்சு போன்றதாக இருக்க சிறிது எலுமிச்சை சாறு பிழிந்து கொள்ளவும்.
 ஒரு பெரிய கிண்ணத்தில் தயிர் எடுக்கவும். இஞ்சி பூண்டு விழுது, உப்பு, மஞ்சள் தூள், மிளகாய் தூள், சீரக தூள், மல்லி தூள், கரம் மசாலா தூள், கசூரி மேத்தி சேர்த்து அனைத்தையும் நன்கு கலக்கவும்.
 இதனுடன் வெங்காயம், பச்சை மிளகாய், தக்காளி, பச்சை பட்டாணி, காலிஃபிளவர், புதினா இலை, கொத்தமல்லி மற்றும் வறுத்த வெங்காயம் சேர்க்கவும்.
 நன்றாக கலந்து 10 நிமிடம் ஊற வைக்கவும்.
 மற்றொரு பாத்திரத்தில், சூடான பால் மற்றும் குங்குமப் பூ இழைகளை ஒன்றாக கலந்து, அதை ஒதுக்கி வைக்கவும்.
 ஒரு பாத்திரத்தில் எண்ணெய் மற்றும் நெய் எடுக்கவும்.
 ஊறவைத்த காய்கறிகளைச் சேர்த்து, கலந்து 15 நிமிடங்களுக்கு ஒரு மூடியால் மூடி வைக்கவும்.
 தேவையான அளவு உப்பு சேர்த்து நன்கு கலக்கவும். பாதியளவு  காலிஃபிளவர் மசாலாவை ஒரு பாத்திரத்தில் எடுத்து வைக்கவும்.
 ஒரு பாத்திரத்தில் காலிஃபிளவர் மசாலாவை சமமாக பரப்பி, சமைத்த அரிசியை மேலே பரப்பவும்.
 அடுத்து சிறிது நெய், குங்குமப்பூ பால், வறுத்த வெங்காயம், புதினா இலைகள், கொத்தமல்லி இலைகள் ஆகியவற்றை சேர்க்கவும்.
 மீதமுள்ள மசாலா மற்றும் அரிசியை அதே போல் செய்யவும்.
 பாத்திரத்தை ஒரு மூடியால் மூடி பிரியாணியை 15 நிமிடம் சமைக்கவும்.
 சுவையான காலிஃபிளவர் பிரியாணி சிறிது ரைத்தா மற்றும் பிரிஞ்சி கறியுடன் சூடாக பரிமாற தயாராக உள்ளது.</t>
  </si>
  <si>
    <t>https://www.vegrecipesofindia.com/wp-content/uploads/2016/12/cauliflower-biryani-recipe-1.jpg</t>
  </si>
  <si>
    <t>https://youtu.be/En70vt_ktGQ?si=YS4VefUEVwyO5_kn</t>
  </si>
  <si>
    <t>Mushrooms - 400 grams,
Salt,
Turmeric powder - 1/2 teaspoon,
Chili powder - 1 teaspoon,
Cumin powder - 1 teaspoon,
Thaniya powder - 1 teaspoon,
Pepper powder - 1/2 teaspoon,
Ginger garlic paste - 1 teaspoon,
Yogurt - 2 tablespoons,
Fried onion - 1/2 cup,
Mint - 1 cup,
Coriander leaves - 1 bunch,
Basmati rice,
Oil - 2 tablespoons,
Ghee - 1 tablespoon,
Baking powder,
Cloves,
Cardamom,
Pineapple blossom,
Biryani leaves,
Java,
Anise - 1 teaspoon,
Onion - 2 chopped,
Green chillies - 3 grated,
Tomato - 2 chopped,
Coconut milk with water added - 2 cups,
Salt.</t>
  </si>
  <si>
    <t>காளான் - 400 கிராம்,
உப்பு  ,
மஞ்சள் தூள் - 1/2 தேக்கரண்டி ,
மிளகாய் தூள் - 1 தேக்கரண்டி ,
சீரக தூள் - 1 தேக்கரண்டி,
தனியா தூள் - 1 தேக்கரண்டி ,
மிளகு தூள் - 1/2 தேக்கரண்டி,
இஞ்சி பூண்டு விழுது - 1 தேக்கரண்டி , 
தயிர் - 2 மேசைக்கரண்டி,
வறுத்த வெங்காயம் - 1/2 கப்,
புதினா - 1 கப்,
கொத்தமல்லி இலை - 1 கப,
பாஸ்மதி அரிசி,   
எண்ணெய் - 2 மேசைக்கரண்டி,
நெய் - 1 மேசைக்கரண்டி,
பட்டை ,
கிராம்பு ,
ஏலக்காய் ,
அன்னாசிப்பூ ,
பிரியாணி இலை,
ஜாவித்ரி ,
சோம்பு - 1 தேக்கரண்டி ,
வெங்காயம் - 2 நறுக்கியது ,
பச்சைமிளகாய் - 3 கீறியது,  
தக்காளி - 2 நறுக்கியது,
நீர் சேர்த்த தேங்காய் பால் - 2 கப்,
உப்பு .</t>
  </si>
  <si>
    <t>Wash and clean the mushrooms. Cut them into pieces and keep them in a bowl.
Then add salt, turmeric powder, chili powder, cumin powder, coriander powder, pepper powder, ginger garlic paste, yogurt, fried onions, mint leaves, coriander leaves and mix well.
Soak the mushrooms for 30 minutes.
Take a wide pan and add oil and ghee.
Then add the peel, cloves, cardamom, pineapple, bay leaves, jaggery, anise and chopped onions.
Add the grated green chillies and fry the onions until they turn golden brown.
Add the chopped tomatoes, soaked mushrooms, mix well and cook for 5 minutes.
Mix the coconut milk and water in a bowl and add it to the pan.
Check the seasoning and add salt if required.
Once the water starts boiling, add the soaked basmati rice and cook on medium flame for 20 minutes.
Garnish the biryani with chopped coriander leaves and serve hot with raita and gravy.</t>
  </si>
  <si>
    <t xml:space="preserve"> காளான்களை கழுவி சுத்தம் செய்யவும். அவற்றை துண்டுகளாக வெட்டி ஒரு பாத்திரத்தில் வைக்கவும்.
 பின்பு உப்பு, மஞ்சள் தூள், மிளகாய் தூள், சீரக தூள், மல்லி தூள், மிளகு தூள், இஞ்சி பூண்டு விழுது, தயிர், வறுத்த வெங்காயம், புதினா இலை, கொத்தமல்லி இலை சேர்த்து நன்கு கலக்கவும்.
 காளான்களை 30 நிமிடங்கள் ஊறவைக்கவும்.
 அகலமான கடாயை எடுத்து எண்ணெய் மற்றும் நெய் சேர்க்கவும்.
 பிறகு பட்டை, கிராம்பு, ஏலக்காய், அன்னாசிப்பூ, பிரயாணி இலை, ஜாவித்ரி, சோம்பு மற்றும் நறுக்கிய வெங்காயம் சேர்க்கவும்.
 கீறிய பச்சை மிளகாயை சேர்த்து, வெங்காயத்தை நன்றாக பொன்னிறமாகும் வரை வதக்கவும்.
 நறுக்கிய தக்காளி, ஊறவைத்த காளான்களை சேர்த்து, நன்கு கலந்து 5 நிமிடங்கள் வேகவைக்கவும்.
 ஒரு பாத்திரத்தில் தேங்காய் பால் மற்றும் தண்ணீர் சேர்த்து கலக்கவும். அதை கடாயில் சேர்க்கவும்.
மசாலாவை சரிபார்த்து, தேவைப்பட்டால் உப்பு சேர்க்கவும்.
 தண்ணீர் கொதிக்க ஆரம்பித்ததும், ஊறவைத்த பாஸ்மதி அரிசியை சேர்த்து மிதமான தீயில் 20 நிமிடம் வேகவைக்கவும்.
 பிரியாணியை நறுக்கிய கொத்தமல்லி இலைகளால் அலங்கரித்து, ரைத்தா மற்றும் கிரேவியுடன் சூடாக பரிமாறவும்.</t>
  </si>
  <si>
    <t>https://encrypted-tbn0.gstatic.com/images?q=tbn:ANd9GcRP4uTNEppPXX-akSJyTDzmTJVOTMiNde-RQg&amp;s</t>
  </si>
  <si>
    <t>https://youtu.be/xrz9-bJu2DA?si=8gK_Nd7BN_yGMWXC</t>
  </si>
  <si>
    <t>Eggplant Masala</t>
  </si>
  <si>
    <t>Peanuts - 1/4 cup,
Sesame seeds - 1 tablespoon,
Denil - 1/4 teaspoon,
Ghee - 4 tablespoons,
Eggplant - 300 grams,
Mustard - 1/2 teaspoon,
Cumin - 1 teaspoon,
Anis - 1 teaspoon,
Pepper - 1 teaspoon,
Red chilies - 3,
Onion - 1 chopped,
Green chilies - 2 chopped,
Curry leaves,
Ginger garlic paste - 1 teaspoon,
Turmeric powder - 1/2 teaspoon,
Chili powder - 1 teaspoon,
Salt - 2 teaspoons,
Coriander powder - 2 teaspoons,
Tomato - 1 chopped,
Tamarind water - 1/2 cup,
Jaggery - 1 teaspoon ,
Water,
Chopped coriander leaves.</t>
  </si>
  <si>
    <t>வேர்க்கடலை - 1/4 கப்,
எள்ளு - 1 மேசைக்கரண்டி,
வெந்தயம் - 1/4 தேக்கரண்டி,
நல்லெண்ணெய் - 4 மேசைக்கரண்டி , 
கத்தரிக்காய் - 300 கிராம்,
கடுகு - 1/2 தேக்கரண்டி,
சீரகம் - 1 தேக்கரண்டி ,
சோம்பு - 1 தேக்கரண்டி ,
மிளகு - 1 தேக்கரண்டி,
சிவப்பு மிளகாய் - 3,
வெங்காயம் - 1 நறுக்கியது, 
பச்சை மிளகாய் - 2 கீறியது, 
கறிவேப்பிலை , 
இஞ்சி பூண்டு விழுது - 1 தேக்கரண்டி ,
மஞ்சள் தூள் - 1/2 தேக்கரண்டி ,
மிளகாய் தூள் - 1 தேக்கரண்டி ,
உப்பு - 2 தேக்கரண்டி ,
மல்லி தூள் - 2 தேக்கரண்டி,
தக்காளி - 1 நறுக்கியது ,
புளி தண்ணீர் - 1/2 கப்,
வெல்லம் - 1 தேக்கரண்டி ,
தண்ணீர்,
கொத்தமல்லி இலை நறுக்கியது .</t>
  </si>
  <si>
    <t>Take peanuts in a pan and fry them till golden brown.
Add sesame seeds and fenugreek seeds in the same pan.
Fry till they start to crackle, then let them cool on a plate and grind them.
Take oil in a pan and add chopped eggplant.
Fry till they change color and then remove them from the pan.
Add mustard seeds, cumin seeds, anise seeds, peppercorns and red chillies in the same pan and fry them.
Once the mustard seeds start to crackle, add chopped onion, grated green chillies and curry leaves and fry them till the onion turns golden brown.
Add ginger garlic paste and mix it, add turmeric powder, chilli powder, salt and coriander powder and mix it well.
Add chopped tomatoes and mix it and add water. Cook till the tomatoes become soft.
To this, add fried eggplant and mix well. Add tamarind water and mix well.
Add water and cook for 5 minutes by covering the pan with a lid.
After 5 minutes, add ground peanuts and sesame powder.
Check the seasoning at this point and add salt if required. Cover the pan with a lid and cook for 10 minutes.
After 10 minutes, when the oil separates from the gravy, add jaggery and mix well.
Finally, garnish with coriander leaves.
The gravy for biryani is ready to serve with your choice of biryani.</t>
  </si>
  <si>
    <t>ஒரு கடாயில் வேர்க்கடலையை எடுத்து, பொன்னிறமாகும் வரை வறுக்கவும்.
 அதே கடாயில் எள் மற்றும் வெந்தயத்தை சேர்க்கவும்.
 அவை வெடிக்கத் தொடங்கும் வரை வறுக்கவும், பின்னர் அவற்றை ஒரு தட்டில் ஆற வைத்து அரைக்கவும்.
 ஒரு கடாயில் எண்ணெய் எடுத்து, நறுக்கிய கத்தரிக்காய் சேர்க்கவும்.
 நிறம் மாறும் வரை வதக்கி, பின்னர் அவற்றை கடாயில் இருந்து அகற்றவும்.
 அதே கடாயில் கடுகு, சீரகம், சோம்பு, மிளகு, சிவப்பு மிளகாய் சேர்த்து வதக்கவும்.
 கடுகு வெடிக்க ஆரம்பித்தவுடன், நறுக்கிய வெங்காயம், கீறிய பச்சை மிளகாய், கறிவேப்பிலை சேர்த்து வெங்காயம் பொன்னிறமாகும் வரை வதக்கவும்.
 இஞ்சி பூண்டு விழுது சேர்த்து கலந்து, மஞ்சள் தூள், மிளகாய் தூள், உப்பு, மல்லி தூள் சேர்த்து நன்கு கலக்கவும்.
 நறுக்கிய தக்காளி சேர்த்து கலந்து தண்ணீர் சேர்க்கவும். தக்காளி மிருதுவாகும் வரை சமைக்கவும்.
 இதனுடன், வறுத்த கத்தரிக்காய் சேர்த்து நன்கு கலக்கவும். புளி தண்ணீர் சேர்த்து நன்கு கலக்கவும்.
 தண்ணீர் சேர்த்து கடாயை ஒரு மூடியால் மூடி 5 நிமிடங்கள் சமைக்கவும்.
 5 நிமிடம் கழித்து அரைத்த வேர்க்கடலை, எள் தூள் சேர்க்கவும்.
 இந்த இடத்தில் மசாலாவை சரிபார்த்து, தேவைப்பட்டால் உப்பு சேர்க்கவும். கடாயை ஒரு மூடியால் மூடி, 10 நிமிடங்கள் சமைக்கவும்.
 10 நிமிடம் கழித்து, குழம்பிலிருந்து எண்ணெய் பிரிந்து வந்ததும் வெல்லம் சேர்த்து நன்கு கலக்கவும்.
 இறுதியாக கொத்தமல்லி இலைகளால் அலங்கரிக்கவும்.
 பிரியாணிக்கான கிரேவி உங்களுக்கு விருப்பமான பிரியாணியுடன் பரிமாற தயாராக உள்ளது.</t>
  </si>
  <si>
    <t>https://wd-image.webdunia.com/image-conversion/process-aws.php?url=https://nonprod-media.webdunia.com/public_html/_media/ta/img/article/2021-08/07/full/1628328155-7917.jpg&amp;w=&amp;h=&amp;outtype=webp</t>
  </si>
  <si>
    <t>https://youtu.be/aFRpz4_gW-E?si=HHjv39hAH-jSDaSW</t>
  </si>
  <si>
    <t>Small onion - 20,
Garlic - 12 cloves,
Ginger - 1 piece chopped,
Green chilies - 4,
Anise - 1 teaspoon,
Cardamom - 3,
Pallet - 2 pieces,
Cloves - 4,
Salt - 1 teaspoon,
Water,
Curd - 2 tablespoons,
Seeraksamba Rice - 1/2 kg,
Mutton - 1 kg,
Ghee - 2 tablespoons,
Ghee - 2 tablespoons,
Biryani leaves - 2,
Pallet - 1 piece,
Pineapple blossom,
Cardamom - 3,
Kalpasi - 3 pieces,
Marathi Mokku - 2,
Javitri,
Cloves - 5,
Onion - 1 chopped,
Green Chillies - 2 chopped,
Mint - 1/2 bunch,
Coriander - 1/2 bunch,
Water - 3 cups (250 ml cup),
Lemon juice - 1 fruit.</t>
  </si>
  <si>
    <t>சின்ன வெங்காயம் - 20,
பூண்டு - 12 பற்கள்,
இஞ்சி - 1 துண்டு நறுக்கியது,
பச்சை மிளகாய் - 4,
சோம்பு - 1 தேக்கரண்டி,
ஏலக்காய் - 3 ,
பட்டை - 2 துண்டு ,
கிராம்பு - 4,
உப்பு - 1 தேக்கரண்டி ,
தண்ணீர்,
தயிர் - 2 மேசைக்கரண்டி,
சீரகசம்பா அரிசி - 1/2 கிலோ,
மட்டன் - 1 கிலோ  ,
நெய் - 2 மேசைக்கரண்டி,
நல்லெண்ணெய் - 2 மேசைக்கரண்டி ,
பிரியாணி இலை - 2 ,
பட்டை - 1 துண்டு,
அன்னாசிப்பூ,
ஏலக்காய் - 3,
கல்பாசி - 3 துண்டு ,
மராத்தி மொக்கு - 2 ,
ஜாவித்ரி ,
கிராம்பு  - 5,
வெங்காயம் - 1 நறுக்கியது,
பச்சை மிளகாய் - 2 கீறியது,
புதினா - 1/2 கட்டு,
கொத்தமல்லி - 1/2 கட்டு,
தண்ணீர் - 3 கப் (250 மி.லி கப்),
எலுமிச்சைபழச்சாறு - 1 பழம்.</t>
  </si>
  <si>
    <t>Wash the cumin seeds and rice well and soak for 1 hour.
To grind the spice paste, add the onion, garlic, ginger, green chilies, anise, cardamom, bay leaf, cloves, salt, and a little water in a mixer and grind it to a paste.
Add the ground spice paste and yogurt to the mutton and mix well and soak for 30 minutes.
In a cooker, add ghee, sesame oil, biryani leaves, bay leaf, pineapple blossom, cardamom, kalpas, marathi moku, javedri, and cloves and fry.
Next, add the onion and green chilies and fry.
Then add the soaked mutton and fry for 5 minutes. Add mint and coriander leaves and mix.
Then add water and boil it, close the cooker and cook it on medium flame till 6 whistles.
Next, open the cooker and add the soaked cumin rice and mix it, add lemon juice and mix it again.
Once it boils, close the cooker and cook it on low flame for 5 minutes. Then turn off the stove and keep it aside for 10 minutes.
Delicious Kongunadu white biryani is ready.</t>
  </si>
  <si>
    <t xml:space="preserve"> சீரகசம்பா அரிசியை நன்றாக கழுவி 1 மணிநேரம் ஊறவைக்கவும்.
 மசாலா விழுது அரைக்க மிக்ஸியில் சின்ன வெங்காயம், பூண்டு, இஞ்சி, பச்சை மிளகாய், சோம்பு, ஏலக்காய், பட்டை, கிராம்பு, உப்பு, மற்றும் சிறிது சிறிதாக தண்ணீர் சேர்த்து விழுதாக அரைக்கவும்.
 மட்டனுடன் அரைத்த மசாலா விழுது, தயிர் சேர்த்து நன்கு கலந்து 30 நிமிடம் ஊறவைக்கவும்.
 குக்கரில் நெய், நல்லெண்ணெய், பிரியாணி இலை, பட்டை, அன்னாசிப்பூ, ஏலக்காய், கல்பாசி, மராத்தி மொக்கு, ஜாவித்ரி, கிராம்பு சேர்த்து வறுக்கவும்.
 அடுத்து வெங்காயம், பச்சை மிளகாய் சேர்த்து வதக்கவும்.
 பின்பு ஊறவைத்த மட்டனை சேர்த்து 5 நிமிடம் வதக்கவும். புதினா, கொத்தமல்லி இலை சேர்த்து கலந்து விடவும்.
 பிறகு தண்ணீர் சேர்த்து கொதிக்கவிட்டு குக்கரை மூடி மிதமான தீயில் 6 விசில் வரும் வரை வேகவிடவும்.
 அடுத்து குக்கரை திறந்து ஊறவைத்த சீரகசம்பா அரிசியை சேர்த்து கலந்து விட்டு எலுமிச்சைபழச்சாறை சேர்த்து மீண்டும் கலக்கவும்.
 ஒரு கொதி வந்தவுடன் குக்கரை மூடி 5 நிமிடம் குறைந்த தீயில் வேகவிடவும். பின்பு அடுப்பை அணைத்து விட்டு 10 நிமிடம் தம்மில் வைக்கவும்.
 சுவையான கொங்குநாடு வெள்ளை பிரியாணி தயார்.</t>
  </si>
  <si>
    <t>https://cdn.ibcstack.com/article/185871eb-77e5-432d-913e-461d18d55d83/23-657d85bf56022.webp</t>
  </si>
  <si>
    <t>https://youtu.be/cqpGTDCc5dA?si=iHYSuAXr9TnOcmpJ</t>
  </si>
  <si>
    <t>பலாக்காய் தம் பிரியாணி</t>
  </si>
  <si>
    <t>Palakkai - 1/2,
Salt - 2 tsp,
Turmeric powder - 1 tsp,
Chilli powder - 2 tsp,
Dhaniya powder - 2 tsp,
Garram masala powder - 1 1/2 tsp,
Yogurt - 1/2 cup,
Ginger garlic paste - 2 tsp,
Fried onion,
Coriander leaves,
Mint leaves,
Basmati rice - 1 cup (250 ml),
Ghee - 3 tbsp,
Oil - 1 tbsp,
Biryani leaves,
Shahi jeera,
Kalpasi,
Javitri,
Battai,
Cardamom,
Star anise,
Cloves - 3,
Onion - 2 chopped,
Green chillies - 3 chopped ,
Tomatoes - 3 chopped,
Boiled jackfruit mixture,
Water - 1 cup.</t>
  </si>
  <si>
    <t>பலாக்காய் - 1/2,
உப்பு - 2 தேக்கரண்டி ,
மஞ்சள் தூள் - 1 தேக்கரண்டி,
மிளகாய் தூள் - 2 தேக்கரண்டி,
தனியா தூள் - 2 தேக்கரண்டி ,
கரம் மசாலா தூள் - 1 1/2 தேக்கரண்டி ,
தயிர் - 1/2 கப்,
இஞ்சி பூண்டு விழுது - 2 தேக்கரண்டி,
வறுத்த வெங்காயம்,
கொத்தமல்லி இலை,
புதினா இலை,
பாஸ்மதி அரிசி - 1 கப் (250 மி.லி) ,                                                                  
நெய் - 3 மேசைக்கரண்டி , 
எண்ணெய் - 1 மேசைக்கரண்டி ,
பிரியாணி இலை ,
ஷாஹி ஜீரா,
கல்பாசி ,
ஜாவித்ரி,
பட்டை ,
ஏலக்காய்,
நட்சத்திர சோம்பு,
கிராம்பு - 3 ,
வெங்காயம் - 2 நறுக்கியது,
பச்சை மிளகாய் - 3 கீறியது ,
தக்காளி - 3 நறுக்கியது,
வேகவைத்த பலாக்காய் கலவை,
தண்ணீர் - 1 கப்.</t>
  </si>
  <si>
    <t>Clean the basmati rice and soak it for 20 minutes. Then drain it.
Cut the jackfruit into pieces, add a little salt and turmeric powder and cook for 10 minutes (or you can cook it in a cooker for 1 whistle).
Add oil and ghee in a cooker and when it is hot, add the five ingredients and fry.
Add the onion and fry until golden brown.
Add the ginger garlic paste and when the aroma disappears, add the tomatoes and fry well.
Then add the spice powders, yogurt, chopped mint, coriander leaves and fry.
Now add the boiled jackfruit pieces.
Then add the rice and stir well.
Pour water in a ratio of 1:2 (i.e. 2 cups of water for 1 cup of rice).
Check the salt and add.
Close the cooker, cook till 1 whistle, then reduce the flame and keep it 'dum' for 5 minutes.
When the cooker cools down, open it and stir gently.</t>
  </si>
  <si>
    <t>பாஸ்மதி அரிசியை சுத்தம் செய்து 20 நிமிடம் ஊறவைக்கவும். பின்னர் வடிகட்டி வைக்கவும்.
பலாப்பழத்தை துண்டுகளாக வெட்டி சிறிது உப்பும் மஞ்சள்தூளும் போட்டு 10 நிமிடம் வேக விடவும் (அல்லது குக்கரில் 1 விசில் வரை வைக்கலாம்).
குக்கரில் எண்ணெய், நெய் சேர்த்து சூடானதும் ஐச்சரணை பொருட்கள் சேர்த்து வதக்கவும்.
வெங்காயம் சேர்த்து பொன்னிறமாக வதக்கவும்.
இஞ்சி பூண்டு பேஸ்ட் சேர்த்து வாசனை போனதும், தக்காளி சேர்த்து நன்கு மாசி விடவும்.
பிறகு மசாலா பொடிகள், தயிர், நறுக்கிய புதினா, கொத்தமல்லி இலை சேர்த்து வதக்கவும்.
இப்போது வேகவைத்த பலாப்பழம் துண்டுகளை சேர்க்கவும்.
பின் அரிசி சேர்த்து நன்கு கிளறவும்.
1:2 அளவில் தண்ணீர் (அதாவது 1 கப் அரிசிக்கு 2 கப் தண்ணீர்) ஊற்றவும்.
உப்பு சரிபார்த்து சேர்க்கவும்.
குக்கரை மூடி, 1 விசில் வரை விட்டு பிறகு தீயை குறைத்து 5 நிமிடம் 'டம்' வைக்கவும்.
குக்கர் குளிர்ந்ததும் திறந்து மெதுவாக கிளறவும்</t>
  </si>
  <si>
    <t>https://vismaifood.com/storage/app/uploads/public/2fa/52b/c3b/thumb__700_0_0_0_auto.jpg</t>
  </si>
  <si>
    <t>https://youtu.be/6ajsAbFRLGo?si=JbNW-ZwkiF1BwId2</t>
  </si>
  <si>
    <t>Tamaranth - 1 bunch,
Green chilies - 3 chopped,
Oil - 1 tsp,
Salt - 1/2 tsp,
Water,
Basmati rice - 500 grams,
Chicken - 1 kg,
Turmeric powder - 1 tsp,
Chili powder - 2 tsp,
Salt - 1 1/2 tsp,
Oil - 2 tbsp,
Ghee - 2 tbsp,
Biryani leaf - 1,
Pineapple flower - 1,
Nutmeg,
Battle,
Marathi bud,
Anise - 1 tsp,
Cardamom - 3,
Cloves - 3,
Stone moss,
Onion - 3 chopped,
Green chilies - 3,
Ginger garlic paste - 2 tablespoons,
Tomatoes - 3 chopped,
Salt - 1 teaspoon,
Coriander leaves.</t>
  </si>
  <si>
    <t>புளிச்ச கீரை - 1 கட்டு,
பச்சை மிளகாய் - 3 கீறியது,
எண்ணெய் - 1 தேக்கரண்டி,
உப்பு - 1/2 தேக்கரண்டி ,
தண்ணீர்,  
பாஸ்மதி அரிசி - 500 கிராம்,                                                                  
சிக்கன் - 1 கிலோ,
மஞ்சள் தூள் - 1 தேக்கரண்டி ,
மிளகாய் தூள் - 2 தேக்கரண்டி,
உப்பு - 1 1/2 தேக்கரண்டி ,
எண்ணெய் - 2 மேசைக்கரண்டி,
நெய் - 2 மேசைக்கரண்டி ,
பிரியாணி இலை - 1 ,
அன்னாசிப்பூ - 1 ,
ஜாதிபத்திரி,
பட்டை ,
மராத்தி மொக்கு ,
சோம்பு - 1 தேக்கரண்டி ,
ஏலக்காய் - 3,
கிராம்பு - 3 ,
கல் பாசி,
வெங்காயம் - 3 நறுக்கியது,
பச்சை மிளகாய் - 3,
இஞ்சி பூண்டு விழுது - 2 தேக்கரண்டி,
தக்காளி - 3 நறுக்கியது,
உப்பு - 1 தேக்கரண்டி ,
கொத்தமல்லி இலை .</t>
  </si>
  <si>
    <t>Add turmeric powder, chili powder, and salt to the chicken and mix.
Pour oil into a pan and add tamarind and green chilies and fry.
Then add salt and mix, then cool well and grind to a paste.
Next, pour ghee and oil into the cooker.
Then add biryani leaves, pineapple blossom, nutmeg, bay leaf, Marathi kumkum, anise, cardamom, cloves, and stone moss and mix.
Then add finely chopped onion, green chilies and fry until golden brown.
Then add ginger garlic paste and mix, add finely chopped tomatoes and fry.
Add the soaked chicken pieces and cook for 5 minutes.
Then add the grated tamarind and mix it and cook for 5 minutes.
Then add water and mix it and close the cooker and cook till 2 whistles.
Then when the whistle stops, add the soaked basmati rice and mix it.
Then add coriander leaves and close the cooker and cook till steam comes out.
Once steam comes out, whistle and cook for 5 minutes on medium flame.
Then remove it and open it after 10 minutes.
Tamarind biryani is ready.</t>
  </si>
  <si>
    <t xml:space="preserve"> சிக்கனில் மஞ்சள் தூள், மிளகாய் தூள், உப்பு சேர்த்து கலந்து வைக்கவும்.
 கடாயில் எண்ணெய் ஊற்றி அதில் புளிச்ச கீரை மற்றும் பச்சை மிளகாய் சேர்த்து வதக்கவும்.
 பின்பு உப்பு சேர்த்து கலந்துவிடவும், பிறகு நன்கு ஆறவிட்டு விழுதாக அரைக்கவும்.
 அடுத்து குக்கரில் நெய் மற்றும் எண்ணையை ஊற்றவும்.
 பின்பு பிரியாணி இலை, அன்னாசிப்பூ, ஜாதிபத்திரி, பட்டை, மராத்தி மொக்கு, சோம்பு, ஏலக்காய், கிராம்பு, கல் பாசி சேர்த்து கலந்துவிடவும்.
 பிறகு மெல்லிசாக நறுக்கிய வெங்காயம், பச்சை மிளகாய் சேர்த்து பொன்னிறமாக வதக்கவும்.
 பின்பு இஞ்சி பூண்டு விழுது சேர்த்து கலந்துவிட்டு, பொடியாக நறுக்கிய தக்காளி சேர்த்து வதக்கவும்.
 ஊறவைத்த சிக்கன் துண்டுகளை சேர்த்து கலந்து 5 நிமிடம் வேகவிடவும்.
 பிறகு அரைத்த புளிச்ச கீரையை சேர்த்து கலந்து 5 நிமிடம் வேகவிடவும் .
 பின்பு தண்ணீர் சேர்த்து கலந்துவிட்டு குக்கரை மூடி 2 விசில் வரும் வரை வேகவிடவும்.
 பிறகு விசில் இறங்கியதும் அதில் ஊறவைத்த பாஸ்மதி அரிசியை சேர்த்து கலந்துவிடவும்.
 பின்பு கொத்தமல்லி இலை சேர்த்து குக்கரை மூடி ஆவி வரும் வரை வேகவிடவும்.
 ஆவி வந்ததும் விசில் போட்டு 5 நிமிடம் மிதமான தீயில் வேகவிடவும்.
 பின்பு இறக்கி வைத்து 10 நிமிடம் கழித்து திறக்கவும்.
 புளிச்ச கீரை பிரியாணி தயார்.</t>
  </si>
  <si>
    <t>https://www.madhimugam.com/wp-content/uploads/2024/08/maxresdefault-37.jpg</t>
  </si>
  <si>
    <t>https://youtu.be/Z4AByr_EoEs?si=xtamW5mh0-LFm10B</t>
  </si>
  <si>
    <t>Eggplant Biryani</t>
  </si>
  <si>
    <t>கத்திரிக்காய் தம் பிரியாணி</t>
  </si>
  <si>
    <t>Eggplant - 1/2 kg,
Yogurt - 400 grams,
Turmeric powder - 1/2 teaspoon,
Kashmiri chili powder - 2 teaspoons,
Cumin powder - 1 1/2 teaspoons,
Dhaniya powder - 2 teaspoons,
Garram masala - 1 1/2 teaspoons,
Salt - 1 teaspoon,
Fried onion,
Mint leaves,
Coriander leaves,
Oil - 2 tablespoons,
Ghee - 2 tablespoons,
Biryani leaves,
Cloves,
Java,
Shajira,
Baking powder,
Pineapple blossom,
Cardamom,
Garlic,
Pepper,
Onion - 2,
Ginger garlic paste - 1 teaspoon,
Green chili paste - 1 teaspoon,
Coconut powder - 1 Tablespoon,
Cashew powder - 1 tablespoon,
Basmati rice - 300 grams,
Salt - 1 teaspoon,
Baking powder,
Cloves,
Cardamom,
Pineapple blossom,
Biryani leaves,
Shahjeera,
Eggplant masala,
Baked basmati rice,
Saffron water,
Ghee - 2 tablespoons,
Fried onion,
Coriander leaves,
Mint leaves.</t>
  </si>
  <si>
    <t>கத்தரிக்காய் - 1/2 கிலோ ,
தயிர் - 400 கிராம்,
மஞ்சள் தூள் - 1/2 தேக்கரண்டி,
கஷ்மீரி  மிளகாய் தூள் - 2 தேக்கரண்டி,
சீரக தூள் - 1 1/2 தேக்கரண்டி,
தனியா தூள் - 2 தேக்கரண்டி,
கரம் மசாலா - 1 1/2 தேக்கரண்டி,
உப்பு - 1 தேக்கரண்டி,
வறுத்த வெங்காயம்,
புதினா இலை,
கொத்தமல்லி இலை,
எண்ணெய் - 2 மேசைக்கரண்டி,
நெய் - 2 மேசைக்கரண்டி,
பிரியாணி இலை ,
கிராம்பு , 
ஜாவித்ரி,
ஷாஜீரா,
பட்டை,
அன்னாசிப்பூ,
ஏலக்காய்,
கல்பாசி,
மிளகு,
வெங்காயம் - 2,
இஞ்சி பூண்டு விழுது - 1 தேக்கரண்டி,
பச்சை மிளகாய் விழுது - 1 தேக்கரண்டி,
தேங்காய் தூள் - 1 மேசைக்கரண்டி,
முந்திரி தூள் - 1 மேசைக்கரண்டி, 
பாஸ்மதி அரிசி - 300 கிராம்,
உப்பு - 1 தேக்கரண்டி,
பட்டை,
கிராம்பு , 
ஏலக்காய்,
அன்னாசிப்பூ,
பிரியாணி இலை ,
ஷாஜீரா,
கத்தரிக்காய் மசாலா,
வேக வைத்த பாஸ்மதி அரிசி,
குங்குமப்பூ தண்ணீர்,
நெய் - 2 மேசைக்கரண்டி,
வறுத்த வெங்காயம்,
கொத்தமல்லி இலை,
புதினா இலை.</t>
  </si>
  <si>
    <t>In a large bowl, mix yogurt, turmeric powder, Kashmiri chili powder, cumin powder, coriander powder, garam masala powder, and salt.
Take the eggplant and cut it into quarters, including the head.
Add the chopped eggplant to the yogurt masala, add the fried onion, mint, and coriander leaves.
Soak the eggplant for 20 minutes.
In a wide pan, add oil and ghee and when hot, add biryani leaves, cloves, jaggery, shajeera, rind, pineapple, cardamom, kalbasi, pepper
and fry.
Add chopped onion and fry till golden brown. Add ginger garlic paste and green chilli paste. Mix well.
Then add soaked brinjal in it and cook for five minutes.
Add coconut powder and cashew powder. Mix well. Brinjal gravy is ready.
In a vessel, add water, soak basmati rice, salt and rind, cloves, cardamom, pineapple, biryani leaves, shajeera and cook for five minutes. Drain the water and keep it aside.
In a bowl, spread the cooked brinjal masala evenly and put the cooked basmati rice on it. Pour saffron water, ghee evenly, add some fried onions and a handful of coriander and mint leaves. Cook for 15 minutes.
Then open the vessel, the eggplant biryani is done.
The delicious eggplant biryani is ready to be served hot with your choice of raita.</t>
  </si>
  <si>
    <t xml:space="preserve"> ஒரு பெரிய கிண்ணத்தில் தயிர், மஞ்சள் தூள், காஷ்மீரி மிளகாய் தூள், சீரக தூள், கொத்தமல்லி தூள், கரம் மசாலா தூள், உப்பு சேர்த்து கலக்கவும்.
கத்தரிக்காயை எடுத்து, அதன் தலை வரை நான்காக நறுக்கவும்.
 தயிர் மசாலாவில் நறுக்கிய கத்தரிக்காயை சேர்த்து, வறுத்த வெங்காயம், புதினா மற்றும் கொத்தமல்லி இலைகளை சேர்க்கவும்.
 கத்தரிக்காயை 20 நிமிடங்கள் ஊறவைக்கவும்.
 அகலமான கடாயில், எண்ணெய் மற்றும் நெய் சேர்க்கவும் சூடானதும் பிரியாணி இலை,  கிராம்பு,  ஜாவித்ரி, ஷாஜீரா, பட்டை, அன்னாசிப்பூ, ஏலக்காய், கல்பாசி, மிளகு
சேர்த்து வறுக்கவும்.
 நறுக்கிய வெங்காயத்தை சேர்த்து பொன்னிறமாக வதக்கவும். இஞ்சி பூண்டு விழுது மற்றும் பச்சை மிளகாய் விழுது சேர்க்கவும். நன்றாக கலக்கவும்.
 பின்பு அதில் ஊறவைத்த கத்தரிக்காயை சேர்த்து ஐந்து நிமிடம் வேக விடவும்.
 தேங்காய் தூள் மற்றும் முந்திரி தூள் சேர்க்கவும். நன்றாக கலக்கவும். கத்தரிக்காய் கிரேவி தயார்.
 ஒரு பாத்திரத்தில், தண்ணீர் சேர்த்து, ஊறவைத்த பாஸ்மதி அரிசி, உப்பு மற்றும் பட்டை, கிராம்பு,  ஏலக்காய், அன்னாசிப்பூ, பிரியாணி இலை,  ஷாஜீரா சேர்த்து ஐந்து நிமிடங்கள் சமைக்கவும். தண்ணீரை வடிகட்டி தனியாக வைக்கவும்.
 ஒரு கிண்ணத்தில், சமைத்த கத்தரிக்காய் மசாலாவை சமமாக பரப்பி, அதன் மேல் சமைத்த பாஸ்மதி அரிசியை போடவும். குங்குமப்பூ தண்ணீர்,  நெய்யை சமமாக ஊற்றி, சிறிது வறுத்த வெங்காயம் மற்றும் ஒரு கைப்பிடி கொத்தமல்லி மற்றும் புதினா இலைகளை சேர்க்கவும். 15 நிமிடங்கள் சமைக்கவும்.
பிறகு பாத்திரத்தை திறக்கவும், கத்தரிக்காய் பிரியாணி நன்றாக வந்துவிட்டது. 
சுவையான கத்தரிக்காய் பிரியாணி நீங்கள் விரும்பும் ரைதாவுடன் சூடாக பரிமாற தயாராக உள்ளது.</t>
  </si>
  <si>
    <t>https://encrypted-tbn0.gstatic.com/images?q=tbn:ANd9GcQNlI6gswrBWBWGXJ8cMBlwSNqMGZg2zy3CZA&amp;s</t>
  </si>
  <si>
    <t>https://youtu.be/fna_rsCUozM?si=1BZxw4rgrdFMgJw-</t>
  </si>
  <si>
    <t>பட்டர் சிக்கன்</t>
  </si>
  <si>
    <t>Chitra's Recipes</t>
  </si>
  <si>
    <t>Chicken - 200 grams,
Crushed ginger &amp; garlic - 1 tablespoon,
Yogurt - 2 tablespoons,
1/2 fruit - lemon juice,
Kashmiri chili powder - 1 tablespoon,
Garram masala - 1/2 teaspoon,
Salt - 1/2 teaspoon,
Oil - 1 tablespoon,
Garment - 1 tablespoon,
Oil - 1 tablespoon,
Onion - 2,
Crushed ginger &amp; garlic - 1 tablespoon,
Tomato - 3,
Kashmiri chili- 3,
Salt - 1 teaspoon,
Cereal powder - 1 teaspoon,
Coriander powder - 1/2 teaspoon,
Garram masala - 1 teaspoon
Water - 2 tablespoons,
Cashew nuts - 10,
Water - 1/4 cup,
Garment - 2 tablespoons,
Kashmiri chili powder - 1 teaspoon,
Water,
Cream - 1/4 cup,
Kasuri methi,
Coriander leaves.</t>
  </si>
  <si>
    <t>சிக்கன் - 200 கிராம்,
நசுக்கிய இஞ்சி &amp; பூண்டு - 1  தேக்கரண்டி,
தயிர் - 2  தேக்கரண்டி,
1/2 பழம் - எலுமிச்சை சாறு,
காஷ்மீரி மிளகாய் தூள் - 1  தேக்கரண்டி,
கரம் மசாலா - 1/2  தேக்கரண்டி,
உப்பு - 1/2  தேக்கரண்டி,
எண்ணெய் - 1  தேக்கரண்டி,
வெண்ணெய் - 1 மேசைக்கரண்டி,
எண்ணெய் - 1 மேசைக்கரண்டி,
வெங்காயம் - 2 ,
நசுக்கிய இஞ்சி &amp; பூண்டு - 1 தேக்கரண்டி,
தக்காளி - 3 ,
காஷ்மீரி மிளகாய்- 3 ,
உப்பு - 1 தேக்கரண்டி,
சீரகத்தூள் - 1 தேக்கரண்டி,
மல்லி தூள் - 1/2 தேக்கரண்டி,
கரம் மசாலா - 1 தேக்கரண்டி
தண்ணீர் - 2 மேசைக்கரண்டி,
முந்திரி பருப்புகள் - 10 ,
தண்ணீர் - 1/4 கப்,
வெண்ணெய் - 2 மேசைக்கரண்டி,
காஷ்மீரி மிளகாய் தூள் - 1 தேக்கரண்டி,
தண்ணீர் ,
கிரீம் - 1/4 கப்,
கஸுரி மெதி,
கொத்துமல்லி தழை.</t>
  </si>
  <si>
    <t>First, marinate the chicken.
For that, in a bowl, add boneless chicken pieces, ginger garlic paste, thick yogurt, lemon juice, chili powder, garam masala powder, required salt, mix well and marinate for thirty minutes.
Next, add oil in a pan and cook the marinated chicken in the masala.
To prepare the masala paste, add a piece of butter, a little oil, and finely chopped large onion in a pan and fry until it changes color.
Once the onion turns golden brown, add ginger garlic paste, chopped tomatoes, Kashmiri chilies, required salt, cumin powder, coriander powder, garam masala powder, required water and saute well.
Add ten cashew nuts to this sauteed mixture and grind it in a mixer.
Next, to make butter chicken, mix butter and chili powder in a pan and then add the ground masala paste and mix well.
Add boiled chicken pieces and fresh cream to this mixture and cook for ten minutes with the vessel covered.
After ten minutes, add kasoori methi and chopped coriander leaves and serve.
Delicious and simple butter chicken is ready.</t>
  </si>
  <si>
    <t>முதலில் சிக்கனை ஊறவைக்கவேண்டும். 
அதற்க்கு ஒரு கிண்ணத்தில் எலும்பில்லாத சிக்கன் துண்டுகள், இஞ்சி பூண்டு விழுது, கெட்டி தயிர், எலுமிச்சை சாறு, மிளகாய் தூள், கரம் மசாலா தூள், தேவையான அளவு உப்பு சேர்த்து நன்கு கலக்கி முப்பது நிமிடம் ஊற வைக்கவும் 
 அடுத்து ஒரு கடாயில் எண்ணெய் சேர்த்து அதனுடன் மசாலாவில் ஊறிய சிக்கனை வேகவைத்துக்கொள்ளவும்.
 மசாலா விழுது தயாரிக்க ஒரு கடாயில் ஒரு துண்டு வெண்ணெய், சிறிதளவு எண்ணெய், பொடியாக நறுக்கிய பெரிய வெங்காயம் சேர்த்து நிறம் மாறும் வரை வதக்கவும் .
 வெங்காயம் பொன்னிறமானவுடன் இஞ்சி பூண்டு விழுது, பொடியாக நறுக்கிய தக்காளி, காஷ்மீரி மிளகாய், தேவையான அளவு உப்பு, சீரகத்தூள், மல்லித்தூள், கரம் மசாலா தூள், தேவையான அளவு தண்ணீர் சேர்த்து நன்கு வதக்கிக்கொள்ளவும் 
 இந்த  வதக்கியவற்றில் பத்து முந்திரி பருப்பு சேர்த்த பின்பு மிக்ஸியில் போட்டு அரைத்து வைத்துக்கொள்ளவும் 
அடுத்து பட்டர் சிக்கன் செய்ய ஒரு கடாயில் வெண்ணெய், மிளகாய் தூள் சேர்த்து கலக்கிய பின்பு அரைத்த மசாலா விழுதை சேர்த்து நன்கு கலக்கவும் 
இந்த கலவையில் வேகவைத்த சிக்கன் துண்டுகள் மற்றும் பிரெஷ் கிரீம் சேர்த்து பாத்திரத்தை மூடிய நிலையில் பத்து நிமிடத்திற்கு சமைக்கவும் 
 பத்து நிமிடத்திற்கு பிறகு கஸூரி மெத்தி மற்றும் பொடியாக நறுக்கிய கொத்தமல்லி இலை சேர்த்து பரிமாறவும்
சுவையான மற்றும் எளிமையான பட்டர் சிக்கன் தயார்</t>
  </si>
  <si>
    <t>https://encrypted-tbn0.gstatic.com/images?q=tbn:ANd9GcQQfysu3jzv-y7psPTFkWdSQpZPFyr0qjd3jw&amp;s</t>
  </si>
  <si>
    <t>https://youtu.be/lTlLE6uaz7E?si=Gd7PDKkPRM8rbXM8</t>
  </si>
  <si>
    <t>Mutton Keema Aloo</t>
  </si>
  <si>
    <t>மட்டன் கீமா ஆலூ</t>
  </si>
  <si>
    <t>Oil - 3 tbsp,
Cinnamon - 1 stick,
Cardamom - 2,
Cloves - 4,
Baking leaves - 1,
Onion - 2,
Green chillies - 2,
Ginger garlic paste - 2 tsp,
Tomatoes - 2,
Mutton Keema - 500 gms,
Chilli powder - 2 tsp,
Coriander powder - 1 tsp,
Turmeric powder - 1/2 tsp,
Cummin powder - 1 tsp,
Garlic powder - 1/2 tsp,
Potato,
Salt,
Coriander leaves,
Kasuri methi.</t>
  </si>
  <si>
    <t>எண்ணெய் - 3 டீஸ்பூன்,
இலவங்கப்பட்டை - 1 குச்சி,
ஏலக்காய் - 2,
கிராம்பு - 4,
பிரியாணி இலை  - 1,
வெங்காயம் - 2,
பச்சை மிளகாய் - 2,
இஞ்சி பூண்டு ஒட்டு - 2 தேக்கரண்டி,
தக்காளி - 2 ,
மட்டன்  கீமா - 500 கிராம்,
மிளகாய் தூள் - 2 தேக்கரண்டி,
கொத்தமல்லி தூள் - 1 தேக்கரண்டி,
மஞ்சள் தூள் - 1/2 தேக்கரண்டி,
கம்மின் தூள் - 1 தேக்கரண்டி,
கரம் மசாலா தூள் - 1/2 தேக்கரண்டி,
உருளைக்கிழங்கு,
உப்பு,
கொத்துமல்லி தழை,
கஸுரி மெதி.</t>
  </si>
  <si>
    <t>First, pour oil in a pan and when it is hot, add cumin seeds, bay leaves, and cloves.
Then add onion and fry until it is cooked.
Add ginger garlic paste and fry till it gets fragrant.
Add tomatoes and fry till it gets soft.
Now add turmeric powder, chilli powder, coriander powder and salt and fry.
Add mutton keema and stir well. Fry till the water that comes out of the keema evaporates.
Add potatoes and mix well, add required amount of water, cover and let it cook slowly. (If you want, you can give 2 whistles in the cooker.)
When some oil separates, sprinkle coriander leaves and switch off the stove.</t>
  </si>
  <si>
    <t>முதலில் ஒரு கடாயில் எண்ணெய் ஊற்றி சூடானதும், சீரகம், பட்டை, கிராம்பு சேர்க்கவும்.
பின் வெங்காயத்தை சேர்த்து வெந்துவரும் வரை வதக்கவும்.
இஞ்சி பூண்டு விழுதை சேர்த்து நன்றாக வாசனை போகும் வரை வதக்கவும்.
தக்காளி சேர்த்து நன்றாக மசியும் வரை வதக்கவும்.
இப்போது மஞ்சள் தூள், மிளகாய் தூள், தனியா தூள், உப்பு சேர்த்து வதக்கவும்.
மட்டன் கீமாவை சேர்த்து நன்றாக கிளறவும். கீமாவிலிருந்து வெளியரும் நீர் ஆவி ஆகும் வரை வதக்கவும்.
உருளைக்கிழங்கை சேர்த்து நன்றாக கலந்து, தேவையான அளவு தண்ணீர் சேர்த்து மூடி வைத்து சிக்கனமாக வேக விடவும். (விருப்பமிருந்தால் குக்கரில் 2 விசில் கொடுக்கலாம்.)
கொஞ்சம் எண்ணெய் பிரித்து வந்ததும், கொத்தமல்லி இலை தூவி அடுப்பை அணைக்கவும்.</t>
  </si>
  <si>
    <t>https://encrypted-tbn0.gstatic.com/images?q=tbn:ANd9GcQl-Obc_BihTL9RJ0U8k5BKlahR7dUGJsMW9Q&amp;s</t>
  </si>
  <si>
    <t>https://youtu.be/issC5qsdj5U?si=bW3evou8t3wymgLz</t>
  </si>
  <si>
    <t>Clay pot egg curry</t>
  </si>
  <si>
    <t>மண் பானை முட்டை குழம்பு</t>
  </si>
  <si>
    <t>Cashew nuts - 4,
Broken peanuts - 1 tablespoon,
Anise - 1/2 teaspoon,
Coconut - 3 tablespoons (grated),
Garlic paste - 1/2 teaspoon,
Water,
Oil - 2 tablespoons,
Mustard - 1/2 teaspoon,
Cumin - 1/2 teaspoon,
Anise - 1/4 teaspoon,
Large onion - 2 (chopped),
Green chili - 1 (chopped),
Ginger garlic paste - 1 tablespoon,
Tomatoes - 2 (chopped),
Turmeric powder - 1/4 teaspoon,
Chili powder - 2 teaspoons,
Corly powder - 1 teaspoon,
Eggs - 5 (boiled),
Salt,
Coriander leaves ,
Curry leaves.</t>
  </si>
  <si>
    <t>முந்திரி பருப்பு - 4 ,
உடைத்த கடலை - 1 தேக்கரண்டி ,
சோம்பு - 1/2 தேக்கரண்டி,
தேங்காய் - 3 தேக்கரண்டி ( துருவிய ),
கச கசா - 1/2 தேக்கரண்டி,
தண்ணீர் ,
எண்ணெய் - 2 மேசைக்கரண்டி ,
கடுகு -1/2 தேக்கரண்டி ,
சீரகம் - 1/2 தேக்கரண்டி,  
சோம்பு - 1/4 தேக்கரண்டி  ,
பெரிய வெங்காயம் - 2 ( பொடியாக நறுக்கிய ),
பச்சை மிளகாய் - 1 ( நறுக்கிய ),
இஞ்சி பூண்டு விழுது - 1 மேசைக்கரண்டி,
தக்காளி - 2 ( பொடியாக நறுக்கிய ),
மஞ்சள் தூள்  - 1/4  தேக்கரண்டி,  
மிளகாய் தூள் - 2 தேக்கரண்டி,  
மல்லி தூள் - 1 தேக்கரண்டி,
முட்டை - 5  ( வேகவைத்த ),
உப்பு ,
கொத்தமல்லி இலை ,
கறிவேப்பிலை .</t>
  </si>
  <si>
    <t>First, grind the spices into a paste.
In a mixer, add cashew nuts, broken peanuts, anise, grated coconut, kasaka, water and grind to a paste.
In a clay pot, add oil, mustard seeds, cumin seeds, anise seeds, finely chopped large onion, chopped green chilies, curry leaves and fry until they change color.
Once the onion turns golden brown, add ginger garlic paste, finely chopped tomatoes, required salt, turmeric powder, chili powder, coriander powder and fry until the green color disappears.
Add the ground spices and water to this batter and let it boil for ten minutes.
Finely grate five boiled eggs and add them to the gravy.
Cook covered for ten minutes.
Delicious and simple clay pot egg gravy is ready.</t>
  </si>
  <si>
    <t xml:space="preserve">முதலில் மசாலா விழுது அரைக்க வேண்டும்.
மிக்ஸியில் முந்திரி பருப்பு, உடைத்த கடலை, சோம்பு,  துருவிய தேங்காய்,  கச கசா, தண்ணீர் சேர்த்து விழுதாக அரைக்கவும் 
 ஒரு மண் சட்டியில் எண்ணெய், கடுகு, சீரகம், சோம்பு, பொடியாக நறுக்கிய பெரிய வெங்காயம்,  நறுக்கிய பச்சை மிளகாய், கறிவேப்பிலை சேர்த்து நிறம் மாறும் வரை வதக்கவும் 
 வெங்காயம் பொன்னிறமானவுடன் இஞ்சி பூண்டு விழுது, பொடியாக நறுக்கிய தக்காளி,  தேவையான அளவு உப்பு, மஞ்சள் தூள், மிளகாய் தூள், மல்லி தூள் சேர்த்து பச்சை மனம் போகும் வரை வதக்கவும் 
 இந்த வதக்கியவற்றில்  அரைத்த மசாலா விழுது, தண்ணீர் சேர்த்து பத்து நிமிடத்திற்கு கொதிக்க விடவும்
 ஐந்து  வேகவைத்த முட்டையை மெல்லிதாக கீறி குழம்பில் போடவும் 
 பத்து நிமிடத்திற்கு மூடிய நிலையில் சமைக்கவும் 
 சுவையான மற்றும் எளிமையான மண் பானை முட்டை குழம்பு தயார் </t>
  </si>
  <si>
    <t>https://encrypted-tbn0.gstatic.com/images?q=tbn:ANd9GcRC7pP7904_WUlGIbSO4z1nTOGPW2yBfClcJw&amp;s</t>
  </si>
  <si>
    <t>https://youtu.be/Fxsuao08T-Q?si=g7_NKjbKgcsXV2XZ</t>
  </si>
  <si>
    <t>நாட்டுக்கோழி குழம்பு</t>
  </si>
  <si>
    <t>Chicken Curry -1 kg,
Turmeric powder - 1/2 tsp,
Rock salt -2 tsp,
Ghee -2 tbsp,
Small onion -1 cup (chopped),
Green chillies -2 (chopped),
Ginger garlic paste -2 tbsp,
Tomatoes -2 (chopped),
Chili powder -1 tbsp,
Curry leaves,
Water,
Coriander seeds -2 tbsp,
Garlic powder -1/2 tbsp,
Baking powder -1 piece,
Cardamom -3,
Cloves -5,
Pepper -1/2 tsp,
Cumin -1/2 tbsp,
Coconut -1/2 cup (grated).</t>
  </si>
  <si>
    <t>நாட்டுக்கோழி கறி  -1  கிலோ ,
மஞ்சள் தூள் - 1/2 தேக்கரண்டி,
கல் உப்பு -2  தேக்கரண்டி,
நல்லெண்ணெய் - 2  மேசைக்கரண்டி ,
சிறிய வெங்காயம்  -1 கப் ( நறுக்கியது ),
பச்சை மிளகாய் - 2 ( நறுக்கியது),
 இஞ்சி பூண்டு விழுது-  2  தேக்கரண்டி,
தக்காளி  -2  (பொடியாக நறுக்கியது ),
மிளகாய் தூள் - 1 மேசைக்கரண்டி,
கறிவேப்பிலை ,
தண்ணீர் , 
மல்லி விதை - 2  மேசைக்கரண்டி ,
கச கசா - 1/2  மேசைக்கரண்டி ,
பட்டை - 1 துண்டு ,
ஏலக்காய் - 3 ,
 கிராம்பு - 5 ,
மிளகு - 1/2 தேக்கரண்டி,
சீரகம் -  1/2  மேசைக்கரண்டி ,
தேங்காய் - 1 /2 கப் (துருவியது).</t>
  </si>
  <si>
    <t>First grind the spices
In a pan, fry the coriander seeds, cumin seeds, cardamom, cloves, peppercorns, and cumin seeds until they change color and let them cool for a while.
Grind them in a mixer without water until they become fine.
Add grated coconut and required amount of water to this and grind them into a paste.
Next, take the chicken curry in a pan. Before cooking, roast the curry on medium heat.
Mix turmeric powder, chili powder, and rock salt with the curry and let it soak for twenty minutes.
Next, in a pan, add sesame oil, chopped small onions, chopped green chilies, and fry them until golden brown. Then add ginger garlic paste, curry leaves, chopped tomatoes, and chili powder and fry them well.
Add the chicken pieces to this mixture, add required amount of water and simmer for thirty minutes.
After the chicken pieces are cooked, add the ground masala paste and cook covered for fifteen minutes.
A mouth-watering country chicken curry is ready.</t>
  </si>
  <si>
    <t>முதலில் மசாலா விழுது அரைத்துக்கொள்ளவும்.
ஒரு கடாயில் மல்லி விதை, கச கசா, பட்டை ,ஏலக்காய் ,கிராம்பு, மிளகு, சீரகம் ஆகியவற்றை நிறம் மாறும் வரை வறுத்து  சிறிது நேரம் ஆற விடவும் .
இவற்றை ஒரு மிக்ஸியில் தண்ணீர் இல்லாமல் வரலாக அரைத்துக்கொள்ளவும் .
 இதனுடன் துருவிய தேங்காய், தேவையான அளவு தண்ணீர் சேர்த்து விழுதாக அரைத்துக்கொள்ளவும். 
அடுத்து ஒரு பாத்திரத்தில் நாட்டுக்கோழி கறியை எடுத்துக்கொள்ளவும், சமைப்பதற்கு முன் கறியை மிதமான தீயில் சுட வேண்டும் .
 கறியுடன் மஞ்சள் தூள், மிளகாய் தூள், கல் உப்பு சேர்த்து நன்கு கலந்து இருபது நிமிடத்திற்கு ஊற வைக்கவும் .
 அடுத்து ஒரு கடாயில் நல்லெண்ணெய், நறுக்கிய சிறிய வெங்காயம், நறுக்கிய பச்சை மிளகாய், சேர்த்து பொன்னிறமாகும் வரை வறுத்த பின்பு இஞ்சி பூண்டு விழுது, கறிவேப்பிலை, பொடியாக நறுக்கிய தக்காளி, மிளகாய் தூள் சேர்த்து நன்கு வதக்கவும் .
 இந்த வதக்கியவற்றில் சிக்கன் துண்டுகளை சேர்த்து தேவையான அளவு தண்ணீர் ஊற்றி முப்பது நிமிடத்திற்கு வேக வைக்கவும் .
 சிக்கன் துண்டுகள் வெந்த பிறகு அரைத்த மசாலா விழுதை சேர்த்து பதினைந்து நிமிடத்திற்கு மூடிய நிலையில் சமைக்கவும் .
 நாவின் சுவையை தூண்டும் நாட்டுக்கோழி கறி குழம்பு தயார் .</t>
  </si>
  <si>
    <t>https://www.tamilnadutourism.tn.gov.in/img/pages/medium-desktop/chettinad-chicken-curry-nattukozhi-kozhambu-1656504655_ee50164e34a464992fc1.webp</t>
  </si>
  <si>
    <t>https://youtu.be/0twXYvXVtW0?si=Fg1zm8FTOC0bpUif</t>
  </si>
  <si>
    <t>Omelette Sauce</t>
  </si>
  <si>
    <t>ஆம்லெட் குழம்பு</t>
  </si>
  <si>
    <t>Coconut -2 tbsp (grated),
Ginger - 1 piece (chopped),
Garlic - 4 cloves,
Anise - 1 tsp,
Cereal - 1 tsp,
Coriander - 1 1/2 tsp,
Turmeric powder - 1/4 tsp,
Chili powder - 1 1/2 tsp,
Water,
Tomato - 2 (chopped),
Oil - 2 tbsp,
Mustard - 1/2 tsp,
Cereal - 1/2 tsp,
Red chillies - 2,
Large onion - 1 (chopped),
Green chillies - 1,
Salt -2 tsp,
Water,
Large onion - 1 (chopped),
Green chillies - 1 (chopped) ),
Eggs - 4 ,
Coriander leaves,
Required amount of salt,
Turmeric powder,
Chilli powder,
Pepper powder,
Oil .</t>
  </si>
  <si>
    <t>தேங்காய்  -2 மேசைக்கரண்டி ( துருவியது ),
இஞ்சி - 1 துண்டு ( நறுக்கியது ),
 பூண்டு - 4 பற்கள் ,
சோம்பு  - 1 தேக்கரண்டி,
 சீரகம் - 1 தேக்கரண்டி,
 மல்லித்தூள் - 1 1/2 தேக்கரண்டி,
மஞ்சள் தூள் - 1/4 தேக்கரண்டி,
மிளகாய் தூள் - 1 1/2 தேக்கரண்டி,
தண்ணீர், 
தக்காளி - 2  ( நறுக்கியது ),
எண்ணெய் - 2 மேசைக்கரண்டி ,
கடுகு - 1/2 தேக்கரண்டி, 
சீரகம் - 1/2 தேக்கரண்டி ,
சிவப்பு மிளகாய் - 2 ,
பெரிய வெங்காயம்  - 1 ( பொடியாக நறுக்கியது ),
 பச்சை மிளகாய் -1 ,
உப்பு  -2 தேக்கரண்டி ,
தண்ணீர் ,
பெரிய வெங்காயம்  -1 ( பொடியாக நறுக்கியது ),
பச்சை மிளகாய் -1 (பொடியாக நறுக்கியது ),
முட்டை - 4 ,
கொத்தமல்லி இலை, 
தேவையான அளவு உப்பு,
 மஞ்சள் தூள்,
மிளகாய் தூள் ,
மிளகு தூள் ,
எண்ணெய் .</t>
  </si>
  <si>
    <t>For the omelette egg batter, first prepare the masala paste.
To prepare the masala paste, grind grated coconut, ginger, garlic, anise, cumin, coriander, turmeric powder, chili powder, and water into a paste.
Next, chop two tomatoes and grind them.
In a pan, add oil, mustard, cumin, red chili, finely chopped large onion, green chili, salt, allspice, ground tomatoes, and water and simmer for ten minutes.
To prepare the omelet, add finely chopped large onion, finely chopped green chilies, coriander leaves, required amount of salt, turmeric powder, chili powder, egg, and pepper powder and mix.
Add oil to a pan and pour the omelet mixture and prepare the omelet.
Cut the prepared omelet into large pieces and keep it aside.
Add the cut pieces to the broth and let it boil for five minutes.
Hot and tasty omelet broth is ready.</t>
  </si>
  <si>
    <t xml:space="preserve">ஆம்லெட் முட்டை குழம்பிற்கு முதலில் மசாலா விழுது தயாரிக்க வேண்டும். 
 மசாலா விழுது தயாரிக்க   துருவிய தேங்காய், இஞ்சி ,பூண்டு, ,சோம்பு , சீரகம், மல்லித்தூள் மஞ்சள் தூள், மிளகாய் தூள், தண்ணீர் சேர்த்து விழுதாக அரைத்துக்கொள்ளவும் .
 அடுத்து இரண்டு தக்காளிகளை நறுக்கி அரைத்துக்கொள்ளவும் .
ஒரு கடாயில் எண்ணெய், கடுகு, சீரகம், சிவப்பு மிளகாய், பொடியாக நறுக்கிய பெரிய வெங்காயம், பச்சை மிளகாய், உப்பு, மசாலாவிழுது,அரைத்த தக்காளி, தண்ணீர் சேர்த்து பத்து நிமிடத்திற்கு வேக வைக்கவும் .
 ஆம்லெட் தயாரிக்க பொடியாக நறுக்கிய பெரிய வெங்காயம், பொடியாக நறுக்கிய பச்சை மிளகாய், கொத்தமல்லி இலை, தேவையான அளவு உப்பு, மஞ்சள் தூள், மிளகாய் தூள், முட்டை, மிளகு தூள் சேர்த்து கலக்கவும். 
 ஒரு கடாயில் எண்ணெய் சேர்த்து ஆம்லெட் கலவையை ஊற்றி ஆம்லெட் தயார் செய்யவும் .
 தயாரான ஆம்லெட்டை பெரிய துண்டுகளாக வெட்டி வைத்துக்கொள்ளவும் .
வெட்டிய துண்டுகளை குழம்பில் சேர்த்து ஐந்து நிமிடத்திற்கு கொதிக்க விடவும்.
சூடான மற்றும் சுவையான ஆம்லெட் குழம்பு தயார். </t>
  </si>
  <si>
    <t>https://encrypted-tbn0.gstatic.com/images?q=tbn:ANd9GcSPBrkgUSg0aTCndYggPDXO8U0iptlS9oKLfA&amp;s</t>
  </si>
  <si>
    <t>https://youtu.be/odDtqUyMPLE?si=hmuPmIZbtgfZjWQG</t>
  </si>
  <si>
    <t>Anchovy Fish Gravy</t>
  </si>
  <si>
    <t>Coconut - 1/2 cup (grated),
Cumin - 1/2 teaspoon,
Water,
Anchovy fish,
Coconut oil - 2 tablespoons,
Mustard - 1 teaspoon,
Fenugreek - 1/4 teaspoon,
Small onion - 1 cup (finely chopped),
Green chilies - 2 (finely chopped),
Ginger garlic paste - 1 teaspoon,
Tomato - 1 (finely chopped),
Turmeric powder - 1/2 teaspoon,
Chili powder - 3 teaspoons,
Coriander - 1 teaspoon,
Tamarind pulp - 1/2 cup,
Curry leaves,
Water,
Required amount of salt.</t>
  </si>
  <si>
    <t>தேங்காய் - 1/2 கப் (துருவிய) ,
சீரகம் - 1/2 தேக்கரண்டி ,
தண்ணீர்,
நெத்திலி மீன் , 
தேங்காய் எண்ணெய் - 2 மேசைக்கரண்டி ,
கடுகு - 1 தேக்கரண்டி  ,
வெந்தயம் - 1/4 தேக்கரண்டி,
சிறிய  வெங்காயம் - 1 கப் (பொடியாக நறுக்கிய ),
பச்சை மிளகாய் - 2 (நறுக்கிய),
இஞ்சி பூண்டு விழுது - 1 தேக்கரண்டி ,
தக்காளி - 1 (பொடியாக நறுக்கிய),
மஞ்சள் தூள் - 1/2 தேக்கரண்டி,
மிளகாய் தூள் - 3 தேக்கரண்டி,
மல்லித்தூள் - 1 தேக்கரண்டி,
புளிக்கரைசல்  - 1/2 கப்,
கறிவேப்பிலை,
தண்ணீர்,
தேவையான அளவு  உப்பு .</t>
  </si>
  <si>
    <t>First, grind the grated coconut, cumin seeds, and water together.
Next, heat the coconut oil in a clay pot and add mustard, fenugreek, finely chopped small onion, chopped green chilies and fry until they change color.
Once the onion turns golden brown, add ginger garlic paste, finely chopped tomato, turmeric powder, chili powder, coriander powder, and salt as required.
Add tamarind paste, required amount of water, grated coconut masala paste, and curry leaves to this mixture and let it boil for ten minutes with the lid closed.
Once the gravy reaches boiling point, add the cleaned anchovies.
Gently lift the clay pot without stirring the anchovies with a spoon and mix.
Cook the fish gravy for another five minutes with the lid closed.
Delicious anchovies are ready.
This anchovies can be eaten with hot rice.</t>
  </si>
  <si>
    <t>முதலில் துருவிய தேங்காய், சீரகம், தண்ணீர் சேர்த்து அரைத்து  அரைத்துக்கொள்ளவும்.
அடுத்தது ஒரு மண் சட்டியில் தேங்காய் எண்ணையை சூடேற்றிய பிறகு கடுகு, வெந்தயம், பொடியாக நறுக்கிய சிறிய வெங்காயம், நறுக்கிய பச்சை மிளகாய் சேர்த்து நிறம் மாறும் வரை வதக்கவும் .
வெங்காயம் பொன்னிறமானவுடன்  இஞ்சி பூண்டு விழுது, பொடியாக நறுக்கிய தக்காளி, மஞ்சள் தூள், மிளகாய் தூள், மல்லி தூள், தேவையான அளவு  உப்பு சேர்த்து கலக்கவும் .
 இந்த கலவையில் புளிக்கரைசல், தேவையான அளவு தண்ணீர், அரைத்த தேங்காய் மசாலா  விழுது, கறிவேப்பிலை சேர்த்து மூடிய நிலையில் பத்து நிமிடத்திற்கு கொதிக்க விடவும் .
குழம்பு கொதிநிலையை அடைந்தவுடன் சுத்தம் செய்த நெத்திலி மீனை சேர்க்கவும் .
 நெத்திலி மீனை கரண்டியை வைத்து கிளறாமல் மண் சட்டியை மெதுவாக தூக்கி அசைத்து  கலக்கவும்.
 மேலும் ஐந்து நிமிடத்திற்கு மீன் குழம்பை மூடிய நிலையில் சமைக்கவும்  
 சுவையான நெத்திலி மீன் குழம்பு தயார் .
 இந்த நெத்திலி மீன் குழம்பை சூடான  சாதத்துடன் சேர்த்து சாப்பிடலாம் .</t>
  </si>
  <si>
    <t>https://img-global.cpcdn.com/recipes/63e50e44838f7a57/680x482cq70/%E0%AE%A8%E0%AE%A4%E0%AE%A4%E0%AE%B2-%E0%AE%AE%E0%AE%A9-%E0%AE%95%E0%AE%B4%E0%AE%AE%E0%AE%AAnethili-meen-kulambu-recipe-in-tamil-%E0%AE%9A%E0%AE%AF%E0%AE%AE%E0%AE%B1-%E0%AE%AE%E0%AE%95%E0%AE%95%E0%AE%AF-%E0%AE%AA%E0%AE%95%E0%AE%AA%E0%AE%AA%E0%AE%9F%E0%AE%AE.jpg</t>
  </si>
  <si>
    <t>https://youtu.be/Yx-7OQgWg-U?si=Tkm1SLdygddlzDoz</t>
  </si>
  <si>
    <t>செட்டிநாடு முட்டை குழம்பு</t>
  </si>
  <si>
    <t>Ghee - 2 tablespoons,
Turmeric powder - 1/2 teaspoon,
Chili powder - 1 teaspoon,
Coriander powder - 2 tablespoons,
Large onion - 2 (finely chopped),
Tomato - 2 (finely chopped),
Eggs - 6,
Green chilies - 2,
Curry leaves,
Baking leaves,
Cardamom,
Cloves,
Baking powder,
Salt,
Water,
Oil - 1 tablespoon,
Anise - 1 tablespoon,
Garlic powder - 1/2 teaspoon,
Peanuts - 1 tablespoon (roasted),
Red chilies - 8,
Coconut - 1/2 cup (grated),
Ginger - 1 piece,
Garlic - 5 cloves.</t>
  </si>
  <si>
    <t>நல்லெண்ணெய் - 2 தேக்கரண்டி ,
மஞ்சள் தூள் - 1/2 தேக்கரண்டி,
மிளகாய் தூள் - 1 தேக்கரண்டி,
மல்லி தூள் - 2 தேக்கரண்டி,
பெரிய வெங்காயம் - 2 (பொடியாக நறுக்கியது) ,
தக்காளி - 2 (பொடியாக நறுக்கியது) ,
முட்டை - 6, 
பச்சை மிளகாய் - 2,
கறிவேப்பிலை ,
பிரிஞ்சி இலை ,
ஏலக்காய்,
கிராம்பு,
பட்டை,
உப்பு,
தண்ணீர் ,
எண்ணெய் - 1 தேக்கரண்டி,
சோம்பு - 1 தேக்கரண்டி,
கச கசா - 1/2 தேக்கரண்டி,
பொட்டுக்கடலை  - 1 தேக்கரண்டி (வறுத்தது ),
சிவப்பு மிளகாய் - 8,
 தேங்காய் - 1/2 கப் ( துருவியது ),
இஞ்சி - 1 துண்டு,
பூண்டு - 5 பற்கள் .</t>
  </si>
  <si>
    <t>Heat oil in a pan. Then fry the anise, cardamom, cashew nuts, red chilies, grated coconut, ginger and garlic first.
Let the fried ingredients cool for a while and then add water to the mixie and grind it like ink.
Now the masala paste is ready.
Next, fry the sesame oil, bay leaves, cardamom, cloves, finely chopped onion and green chilies in a pan until they change color.
Once the onion turns golden brown, add curry leaves and finely chopped tomatoes and fry them.
Add turmeric powder, chili powder, coriander powder and salt as required to this mixture and mix it. Then add the ground masala paste and water and let it boil for ten minutes under a closed lid.
Crack six eggs into the boiling mixture and let it boil for fifteen minutes on low heat.
After fifteen minutes, sprinkle finely chopped coriander leaves and serve.
Chettinadu egg curry is ready. This egg curry can also be made with boiled eggs.</t>
  </si>
  <si>
    <t xml:space="preserve">ஒரு கடாயில் எண்ணெயை  சூடேற்ற வேண்டும். பின்பு சோம்பு, கச கசா, பொட்டுக்கடலை, சிவப்பு மிளகாய், துருவிய தேங்காய், இஞ்சி மற்றும் பூண்டு  ஆகிவற்றை முதலில் வதக்கவும். 
 வதக்கியவற்றை சிறிது நேரம் ஆறவிட்டு மிக்ஸியில் தண்ணீர் ஊற்றி மை போல் அரைக்கவேண்டும். 
இப்போது மசாலா விழுது தயாராக உள்ளது .
 அடுத்து ஒரு கடாயில் நல்லெண்ணெய், பிரிஞ்சி இலை, ஏலக்காய், பட்டை, கிராம்பு, பொடியாக நறுக்கிய வெங்காயம், பச்சை மிளகாய் ஆகியவற்றை நிறம் மாறும் வரை வதக்கவும். 
 வெங்காயம் பொன்னிறமானவுடன் கறிவேப்பிலை, பொடியாக நறுக்கிய தக்காளி சேர்த்து வதக்கவும் .
 இந்த கலவையில் மஞ்சள் தூள், மிளகாய் தூள், மல்லி தூள், தேவைக்கேற்ப உப்பை சேர்த்து கலக்கவும் பின்பு அரைத்த மசாலா விழுது, தண்ணீர் சேர்த்து மூடிய நிலையில் பத்து நிமிடம் கொதிக்க விடவும் .
கொதித்த கலவையில் ஆறு முட்டைகளை உடைத்து ஊற்றி , குறைந்த தீயில் பதினைந்து நிமிடம் கொதிக்க விடவும். 
பதினைந்து நிமிடம் கழித்து இறுதியாக நறுக்கிய கொத்தமல்லி இலைகளை தூவி பரிமாறவும். 
 செட்டிநாடு முட்டை குழம்பு தயார். இந்த முட்டை குழம்பை வேக வைத்த முட்டையிலும் செய்யலாம். </t>
  </si>
  <si>
    <t>https://images.boldsky.com/ta/img/2021/05/egg-kulambu-1622301935.jpg</t>
  </si>
  <si>
    <t>8https://youtu.be/cdUMW1XVwjs?si=3yQstZInTitExjYk</t>
  </si>
  <si>
    <t>Dhaba Style Chicken Curry</t>
  </si>
  <si>
    <t>தாபா பாணி கோழி கறி</t>
  </si>
  <si>
    <t>Chicken - 1 kg,
Turmeric powder - 1/4 tsp,
Salt to taste,
Ginger garlic paste - 1 &amp; 1/2 tsp,
Juice of 1 no. Lemon,
Yogurt/Curd - 1 cup,
Whole spices ,
(Bay leaf, Cinnamon, Clove, Green Cardamom &amp; Black Cardamom),
Butter - 2 Tbsp,
Onion - 3 nos finely chopped,
Kashmiri Red chili powder - 2 tsp,
Cumin powder - 1 tsp,
Coriander powder - 1 tsp,
Tomato - 4 nos grated,
Salt to taste,
Green chili - 2 nos slit ,
Water,
Garam Masala powder - 1 &amp; 1/2 tsp ,
Besan/Gram flour - 2 tsp,
Few Kasuri methi,
Few chopped Coriander leaves.</t>
  </si>
  <si>
    <t>கோழி - 1 கிலோ,
மஞ்சள் தூள் - 1/4 தேக்கரண்டி,
ருசிக்கேற்ப உப்பு,
இஞ்சி பூண்டு விழுது - 1 &amp; 1/2 தேக்கரண்டி,
1 எலுமிச்சை சாறு,
தயிர்/தயிர் - 1 கப்,
முழு மசாலாப் பொருட்கள்,
(வளைகுடா இலை, இலவங்கப்பட்டை, கிராம்பு, பச்சை ஏலக்காய் மற்றும் கருப்பு ஏலக்காய்),
வெண்ணெய் - 2 தேக்கரண்டி,
வெங்காயம் - 3 துண்டுகள் பொடியாக நறுக்கியது,
காஷ்மீரி சிவப்பு மிளகாய் தூள் - 2 தேக்கரண்டி,
சீரகத் தூள் - 1 தேக்கரண்டி,
கொத்தமல்லி தூள் - 1 தேக்கரண்டி,
தக்காளி - 4 துண்டுகள்,
ருசிக்கேற்ப உப்பு,
பச்சை மிளகாய் - 2 துண்டுகள்,
தண்ணீர்,
கரம் மசாலா தூள் - 1 &amp; 1/2 தேக்கரண்டி,
பெசன்/கிராம் மாவு - 2 தேக்கரண்டி,
சில கசூரி மேத்தி,
சில நறுக்கிய கொத்தமல்லி இலைகள்.</t>
  </si>
  <si>
    <t>Take a bowl, add chicken, turmeric , salt, ginger garlic paste, lemon juice, yogurt and mix it all together. Let it marinate for 30 minutes.
 Roast Bay leaf, green cardamom, cloves, cinnamon and black cardamom.
Add butter and onion. Saute till the onion turns light brown.
Add kashmiri red chilly powder, cumin powder, coriander powder, grated tomatos, salt, green chillies and let it cook for few minutes.
 Add the marinated chicken and water. Close the lid, let it cook for 40 minutes.
 When the chicken is half cooked, add garam masala, gram flour and close the pot. Let it cook for 15 minutes to 20 minutes.
Once the chicken is cooked, add kasuri methi and garnish with coriander leaves.
Serve it with Naan, roti or rice.</t>
  </si>
  <si>
    <t>ஒரு கிண்ணத்தை எடுத்து, கோழி இறைச்சி, மஞ்சள், உப்பு, இஞ்சி பூண்டு விழுது, எலுமிச்சை சாறு, தயிர் சேர்த்து அனைத்தையும் ஒன்றாக கலக்கவும். அதை 30 நிமிடங்கள் ஊற வைக்கவும்.
பிரியாணி இலை, பச்சை ஏலக்காய், கிராம்பு, இலவங்கப்பட்டை மற்றும் கருப்பு ஏலக்காய் ஆகியவற்றை வறுக்கவும்.
வெண்ணெய் மற்றும் வெங்காயத்தைச் சேர்க்கவும். வெங்காயம் வெளிர் பழுப்பு நிறமாக மாறும் வரை வதக்கவும்.
காஷ்மீர் சிவப்பு மிளகாய் தூள், சீரகத் தூள், கொத்தமல்லி தூள், துருவிய தக்காளி, உப்பு, பச்சை மிளகாய் சேர்த்து சில நிமிடங்கள் சமைக்கவும்.
ஊறவைத்த கோழி இறைச்சி மற்றும் தண்ணீரைச் சேர்க்கவும். மூடியை மூடி, 40 நிமிடங்கள் சமைக்கவும்.
கோழி பாதி வெந்ததும், கரம் மசாலா, கடலை மாவு சேர்த்து பாத்திரத்தை மூடவும். 15 நிமிடங்கள் முதல் 20 நிமிடங்கள் வரை சமைக்கவும்.
கோழி இறைச்சி வெந்தவுடன், கசூரி மேத்தியைச் சேர்த்து கொத்தமல்லி இலைகளால் அலங்கரிக்கவும்.
நான், ரொட்டி அல்லது சாதத்துடன் பரிமாறவும்.</t>
  </si>
  <si>
    <t>https://encrypted-tbn0.gstatic.com/images?q=tbn:ANd9GcQjBF2Uap0NDK4_6-S7S9Ri1m2eKdj4UOBA7g&amp;s</t>
  </si>
  <si>
    <t>https://youtu.be/dPio0ADauqY?si=jmUHcpHXuDEk1WZp</t>
  </si>
  <si>
    <t>Red Chilli Mutton Curry</t>
  </si>
  <si>
    <t>சிவப்பு மிளகாய் மட்டன் கறி</t>
  </si>
  <si>
    <t>Mutton - 1 kg,
Onion - 5 chopped,
Red chilli - 9 deseeded,
Tamarind puree - 1 cup ,
Oil - 2 tbsp,
Cinnamon stick, clove &amp; cardamom,
Turmeric powder - 1/2 tsp,
Chilli powder - 1 tsp,
Meat masala powder - 2 tsp,
Fennel seeds - 1/2 tsp,
Cumin seeds - 1/2 tsp,
Coriander powder - 2 tsp,
Ginger &amp; garlic paste - 2 tsp,
Salt to taste,
Water - 2 cups.</t>
  </si>
  <si>
    <t>மட்டன் - 1 கிலோ,
வெங்காயம் - 5 நறுக்கியது,
சிவப்பு மிளகாய் - 9 விதை நீக்கியது,
புளி கூழ் - 1 கப்,
எண்ணெய் - 2 டீஸ்பூன்,
இலவங்கப்பட்டை குச்சி, கிராம்பு மற்றும் ஏலக்காய்,
மஞ்சள் தூள் - 1/2 டீஸ்பூன்,
மிளகாய் தூள் - 1 டீஸ்பூன்,
இறைச்சி மசாலா தூள் - 2 டீஸ்பூன்,
பெருஞ்சீரகம் விதைகள் - 1/2 டீஸ்பூன்,
சீரகம் விதைகள் - 1/2 டீஸ்பூன்,
கொத்தமல்லி தூள் - 2 டீஸ்பூன்,
இஞ்சி &amp; பூண்டு விழுது - 2 டீஸ்பூன்,
சுவைக்கேற்ப உப்பு,
தண்ணீர் - 2 கப்.</t>
  </si>
  <si>
    <t xml:space="preserve">Heat oil in a wide pan, add Cinnamon stick, Clove, Cardamom, Onion &amp; sauté it till onion turns brown colour. 
Then add Turmeric powder, Chilli powder, Meat masala powder, Fennel seeds, Cumin seeds, Coriander powder &amp; gently mix it.
 Now add Ginger &amp; garlic paste &amp; mix it well. Its time to Add Mutton pieces, Salt &amp; mix it well with masala. 
 Once the mutton pieces coated well with the masala, transfer it to the pressure cooker &amp; add enough water to cook the meat.
Soak 9 to 10 deseeded Red chilli in a water for an 30 to 45 minutes. Then Grind it into a fine paste (while grinding add a little water). Mix chilli paste with Tamarind puree.
 Once the mutton cooked transfer it into a wide pan. The last step pour the chilli paste tamarind puree mixture, Curry leaves &amp; cook it for a 10 to 15 minutes. 
 Serve hot &amp; enjoy it with white rice in Eid. </t>
  </si>
  <si>
    <t>ஒரு அகலமான வாணலியில் எண்ணெயை சூடாக்கி, இலவங்கப்பட்டை, கிராம்பு, ஏலக்காய், வெங்காயம் சேர்த்து வெங்காயம் பழுப்பு நிறமாக மாறும் வரை வதக்கவும்.
பின்னர் மஞ்சள் தூள், மிளகாய் தூள், இறைச்சி மசாலா தூள், வெந்தயம் விதைகள், சீரகம் விதைகள், கொத்தமல்லி தூள் சேர்த்து மெதுவாக கலக்கவும்.
இப்போது இஞ்சி மற்றும் பூண்டு விழுது சேர்த்து நன்கு கலக்கவும். மட்டன் துண்டுகள், உப்பு சேர்த்து மசாலாவுடன் நன்கு கலக்கவும்.
மட்டன் துண்டுகள் மசாலாவுடன் நன்கு வதங்கியதும், அதை பிரஷர் குக்கரில் போட்டு இறைச்சி சமைக்க போதுமான தண்ணீர் சேர்க்கவும்.
9 முதல் 10 வரை விதை நீக்கிய சிவப்பு மிளகாயை தண்ணீரில் 30 முதல் 45 நிமிடங்கள் ஊற வைக்கவும். பின்னர் அதை நன்றாக அரைக்கவும் (அரைக்கும் போது சிறிது தண்ணீர் சேர்க்கவும்). மிளகாய் விழுது புளி கூழுடன் கலக்கவும்.
மட்டன் வெந்தவுடன் அதை ஒரு அகலமான பாத்திரத்தில் மாற்றவும். கடைசி படி மிளகாய் விழுது புளி கூழ் கலவையை ஊற்றி, கறிவேப்பிலை இலைகளை ஊற்றி 10 முதல் 15 நிமிடங்கள் சமைக்கவும்.
ஈத் பண்டிகையில் சூடாக பரிமாறவும், வெள்ளை அரிசியுடன் அனுபவிக்கவும்.</t>
  </si>
  <si>
    <t>https://i.ytimg.com/vi/tGP55xJHxBY/hqdefault.jpg</t>
  </si>
  <si>
    <t>https://youtu.be/5c5VON6eXjo?si=j30JYE9sf_eF_Vd7</t>
  </si>
  <si>
    <t>Blue-legged crab - 1 kg,
Ghee - 2 tablespoons,
Baking powder,
Cloves,
Cardamom,
Anise,
Bay leaves,
Onions - 3,
Green chilies - 2,
Curry leaves,
Ginger garlic paste - 1 1/2 teaspoons,
Tomatoes - 4,
Turmeric powder - 1/2 teaspoon,
Chili powder - 1 tablespoon,
Rock salt - 2 teaspoons,
Coriander powder - 2 teaspoons,
Water - 2 cups,
Grated coconut - 1/2 cup,
Garlic powder - 1 teaspoon,
Anise - 1/2 teaspoon,
Water.</t>
  </si>
  <si>
    <t>நீலக்கால் நண்டு - 1 கிலோ,
நல்லெண்ணெய் - 2 மேசைக்கரண்டி,
பட்டை ,
கிராம்பு,
ஏலக்காய் ,
சோம்பு,
பிரியாணி இலை,
வெங்காயம் - 3 ,
பச்சை மிளகாய் - 2 ,
கறிவேப்பிலை,
இஞ்சி பூண்டு விழுது - 1 1/2 தேக்கரண்டி,
தக்காளி - 4 ,
மஞ்சள் தூள் - 1/2 தேக்கரண்டி,
மிளகாய் தூள் - 1 மேசைக்கரண்டி,
கல் உப்பு - 2 தேக்கரண்டி,
மல்லி தூள் - 2 தேக்கரண்டி,
தண்ணீர் - 2 கப்,
துருவிய தேங்காய் - 1/2 கப்,
கச கசா - 1 தேக்கரண்டி,
சோம்பு - 1/2 தேக்கரண்டி,
தண்ணீர்.</t>
  </si>
  <si>
    <t>In a mixer, add coconut, garlic powder, anise and water and grind to a paste.
Heat a pan and add oil, add the bay leaves, cloves, cardamom, anise and bay leaves.
Add the onion and green chillies and fry them.
Once the onion is fried, add the ginger garlic paste and grind it.
Once the raw smell goes away, add the tomatoes and fry them.
Once the tomatoes are fried, add the turmeric powder, chilli powder and salt and fry them.
Next, add the taniya powder and stir it.
Once the raw smell goes away from the masala, add the crab pieces and stir it for 5 minutes.
Add the grated coconut paste and stir it, cover the pan and simmer for 15 minutes on low heat.
A delicious and rich gravy is ready.</t>
  </si>
  <si>
    <t>மிக்ஸி'யில் தேங்காய், கசகசா, சோம்பு மற்றும் தண்ணீர் சேர்த்து விழுதாக அரைக்கவும். 
 கடாயை சூடு செய்து எண்ணெய் ஊற்றி, பட்டை, கிராம்பு, ஏலக்காய், சோம்பு மற்றும் பிரியாணி இலை சேர்க்கவும். 
இதில் வெங்காயம், பச்சை மிளகாய் சேர்த்தது வதக்கவும். 
 வெங்காயம் வதங்கியதும், இஞ்சி பூண்டு விழுது சேர்த்து அரைக்கவும். 
 பச்சை வாசனை போனதும், இதில் தக்காளி சேர்த்து வதக்கவும். 
தக்காளி வதங்கியதும், மஞ்சள் தூள், மிளகாய் தூள், உப்பு சேர்த்து வதக்கவும். 
 அடுத்து இதில் தனியா தூள் சேர்த்து கிளறவும் 
மசாலாவில் பச்சை வாசனை போனதும், நண்டு துண்டுகளை போட்டு 5 நிமிடம் கிளறவும். 
 இதில் அரைத்த தேங்காய் விழுது சேர்த்து கிளறி, கடாயை மூடி 15 நிமிடம் மீதமான தீயில் கொதிக்கவிடவும்.
 சுவையான நன்கு குழம்பு தயார்.</t>
  </si>
  <si>
    <t>https://tamilimages.timesnownews.com/photo/msid-106209631,width-100,height-200,resizemode-75/106209631.jpg</t>
  </si>
  <si>
    <t>https://youtu.be/blRJT_u1MqU?si=l5SkqZSoSRtiA-vV</t>
  </si>
  <si>
    <t>Achari Chicken Masala</t>
  </si>
  <si>
    <t>அச்சாரி சிக்கன் மசாலா</t>
  </si>
  <si>
    <t>Chicken - 1 kg,
Mustard oil - 2 tbsp,
Mustard - 1/2 tsp,
Fenugreek - 1/4 tsp,
Asimbu - 1/2 tsp,
Black cumin - 1/2 tsp,
Dried red chillies - 4,
Onion - 2,
Ginger garlic paste - 1 tsp,
Tomatoes - 3,
Turmeric powder - 1/4 tsp,
Kashmiri chilli powder - 1 tsp,
Corlymeal powder - 1 tsp,
Salt - 1 tsp,
Water - 1 1/2 cups,
1 fruit - lemon juice,
Pickles - 2 tbsp.</t>
  </si>
  <si>
    <t>சிக்கன் - 1 கிலோ,
கடுகு எண்ணெய் - 2 மேசைக்கரண்டி, 
கடுகு  - 1/2 தேக்கரண்டி,
வெந்தயம்  - 1/4 தேக்கரண்டி,
சோம்பு  - 1/2 தேக்கரண்டி,
கருஞ்சிரகம்  - 1/2 தேக்கரண்டி,
காய்ந்த சிவப்பு மிளகாய் - 4 ,
வெங்காயம் - 2, 
இஞ்சி பூண்டு விழுது - 1 தேக்கரண்டி,
தக்காளி - 3,
மஞ்சள் தூள் - 1/4 தேக்கரண்டி,
காஷ்மீரி மிளகாய் தூள் - 1 தேக்கரண்டி,
மல்லி தூள் - 1 தேக்கரண்டி,
உப்பு - 1 தேக்கரண்டி,
தண்ணீர் - 1 1/2 கப்,
1 பழம் - எலுமிச்சை சாறு ,
ஊறுகாய் - 2 மேசைக்கரண்டி.</t>
  </si>
  <si>
    <t>To make Achari Chicken Masala, heat mustard oil in a pan and then add mustard, fenugreek, anise, black cumin, dried red chilies, and finely chopped large onion and fry until golden brown.
Once the onion turns golden brown, add ginger garlic paste, grated tomatoes and fry well.
Once the tomatoes are fried, add turmeric powder, Kashmiri chili powder, coriander powder, and required salt and mix well.
Add one kilo of chicken to this mixture, mix well with the masala, add required amount of water and boil it, cover the pan and cook for ten minutes.
After ten minutes, add a little lemon juice and cook for another ten minutes.
After ten minutes, add pickles to the chicken, mix well and cook for fifteen minutes on low heat.
Achari Chicken Masala is ready.</t>
  </si>
  <si>
    <t xml:space="preserve">அச்சாரி சிக்கன் மசாலா செய்ய ஒரு கடாயில் கடுகு எண்ணெய் ஊற்றி சூடேற்றிய பின்பு கடுகு, வெந்தயம், சோம்பு, கருஞ்சிரகம், காய்ந்த சிவப்பு மிளகாய், பொடியாக நறுக்கிய பெரிய வெங்காயம் சேர்த்து பொன்னிறமாக வதக்கவும். 
வெங்காயம் பொன்னிறமானவுடன் இதனுடன் இஞ்சி பூண்டு விழுது, அரைத்த தக்காளி சேர்த்து நன்கு வதக்கவும் .
 தக்காளி வதங்கிவுடன் இதில் மஞ்சள் தூள், காஷ்மீரி மிளகாய்த்தூள், மல்லித்தூள், தேவையான அளவு உப்பு சேர்த்து நன்கு கலக்கவும். 
 இந்த கலவையில் ஒரு கிலோ சிக்கன் சேர்த்து மசாலாவுடன் நன்கு கிளறிய பின்பு தேவையான அளவு தண்ணீர் சேர்த்து கடாயை மூடி பத்து நிமிடம் கொதிக்கவிடவும். 
 பத்து நிமிடம் கழித்து சிறிது எலுமிச்சை சாறை ஊற்றி மேலும் பத்து நிமிடத்திற்கு வேகவைக்கவும். 
பத்து நிமிடம் கழித்து சிக்கனுடன் ஊறுகாய் சேர்த்து நன்கு கலந்து பதினைந்து நிமிடம் குறைவான தீயில் வேகவைக்கவும். 
அச்சாரி சிக்கன் மசாலா தயார் . </t>
  </si>
  <si>
    <t>https://encrypted-tbn0.gstatic.com/images?q=tbn:ANd9GcSm2x3LvwHKf9kzZswgyqe1ZaeXUo06k_ChJQ&amp;s</t>
  </si>
  <si>
    <t>https://youtu.be/8XJan0JVIZs?si=-i_ouHC9_92mVAlc</t>
  </si>
  <si>
    <t>Egg Malay Curry</t>
  </si>
  <si>
    <t>முட்டை மலாய் குழம்பு</t>
  </si>
  <si>
    <t>Onion - 2,
Green Chillies - 4,
Garlic,
Ginger,
Oil - 1 tbsp,
Cumin Powder - 1 tsp,
Salt - 1 tsp,
Garlic Masala Powder - 1 tsp,
Boiled Eggs - 5,
Milk - 1 cup,
Water - 1/4 cup,
Fresh Cream - 2 tbsp,
Coriander Leaves.</t>
  </si>
  <si>
    <t>வெங்காயம் - 2 ,
பச்சை மிளகாய் - 4 ,
பூண்டு ,
இஞ்சி,
எண்ணெய் - 1 மேசைக்கரண்டி,
சீரகம் தூள் - 1 தேக்கரண்டி,
உப்பு - 1 தேக்கரண்டி,
கரம் மசாலா தூள் - 1 தேக்கரண்டி,
வேகவைத்த முட்டை - 5,
பால் - 1 கப்,
தண்ணீர் - 1/4 கப்,
பிரெஷ் கிரீம் - 2 மேசைக்கரண்டி, 
கொத்துமல்லி தழை.</t>
  </si>
  <si>
    <t>To grind the spice paste, grind the chopped large onion, garlic cloves, ginger, and green chilies in a mixer.
Next, heat oil in a pan, add the ground spice paste and fry until the raw color disappears.
Once the spices turn golden brown, add cumin powder, salt, garlic masala powder, and pepper powder and mix well.
Then add the boiled and cooled milk to it and mix well. After adding the required amount of water, mix well.
Next, cut four boiled eggs into two and add them to this mixture and boil on low heat for five minutes.
After five minutes, add fresh cream and coriander leaves and serve.
Delicious and unique egg Malay curry is ready.</t>
  </si>
  <si>
    <t>மசாலா விழுது அரைக்க ஒரு மிக்ஸியில் பொடியாக நறுக்கிய பெரிய வெங்காயம், பூண்டு பற்கள், இஞ்சி, பச்சை மிளகாய் சேர்த்து விழுதாக அரைத்துக்கொள்ளவும். 
 அடுத்து ஒரு கடாயில் எண்ணெய் ஊற்றி சூடேற்றிய பின்பு அரைத்த மசாலா விழுதை சேர்த்து பச்சை மனம் போகும் வரை வதக்கவும்.
 மசாலா பொன்னிறமானவுடன் இதனுடன் சீரகத்தூள், உப்பு, கரம் மசாலா தூள், மிளகுத்தூள் சேர்த்து நன்கு கலக்கவும்.
  பின்பு இதில் காய்ச்சி ஆறவைத்த பால் சேர்த்து நன்கு கலக்கிய பின்பு தேவையான அளவு தண்ணீர் சேர்த்து நன்கு கலக்கவும். 
 அடுத்து நான்கு வேகவைத்த முட்டையை  இரண்டாக நறுக்கி இந்த கலவையில் சேர்த்து ஐந்து நிமிடம் குறைவான தீயில் கொதிக்கவிடவும்.
ஐந்து நிமிடம் கழித்து  பிரெஷ் கிரீம் மற்றும் கொத்தமல்லி இலை சேர்த்து பரிமாறவும். 
சுவையான மற்றும் வித்தியாசமான முட்டை மலாய் குழம்பு தயார்.</t>
  </si>
  <si>
    <t>https://aartimadan.com/wp-content/uploads/2020/08/Malai-Egg-Curry-Recipe.jpg</t>
  </si>
  <si>
    <t>https://youtu.be/rEMKKTjll_k?si=Kn-FHumoYkVo2tYA</t>
  </si>
  <si>
    <t>மட்டன் கறிக்குழம்பு</t>
  </si>
  <si>
    <t>Oil - 1 tsp,
Coriander seeds - 1 tsp,
Cumin - 2 tsp,
Pepper - 1 tsp,
Anise - 1 tsp,
Red chillies - 10,
Small onion - 12,
Garlic - 8 cloves,
Ginger - 1 piece,
Grated coconut - 2 tbsp,
Water,
Mutton - 1 kg,
Oil - 3 tbsp,
Cinnamon,
Cloves,
Cardamom and pineapple blossoms,
Small onion - 20,
Onion - 1,
Green chillies - 2,
Curry leaves,
Tomatoes - 4,
Turmeric powder - 1/2 tsp,
Rock salt - 1 tbsp.</t>
  </si>
  <si>
    <t>எண்ணெய் - 1 தேக்கரண்டி,
மல்லி விதைகள் - 1 தேக்கரண்டி,
சீரகம் - 2 தேக்கரண்டி,
மிளகு - 1 தேக்கரண்டி,
சோம்பு  - 1 தேக்கரண்டி,
சிவப்பு மிளகாய் - 10 ,
சிறிய வெங்காயம்  - 12 ,
பூண்டு - 8 பற்கள் ,
இஞ்சி - 1 துண்டு, 
துருவிய தேங்காய்  - 2 மேசைக்கரண்டி,
தண்ணீர்,
மட்டன் - 1 கிலோ,
எண்ணெய் - 3 மேசைக்கரண்டி,
இலவங்கப்பட்டை, 
கிராம்பு, 
ஏலக்காய் மற்றும் அன்னாசி பூ ,
சிறிய வெங்காயம் - 20 ,
வெங்காயம் - 1 ,
பச்சை மிளகாய் - 2 ,
கறிவேப்பிலை,
தக்காளி - 4 ,
மஞ்சள் தூள் - 1/2 தேக்கரண்டி,
கல் உப்பு - 1 மேசைக்கரண்டி.</t>
  </si>
  <si>
    <t>To make mutton curry, first grind the spices into a paste. For this, pour oil in a pan and heat it. Then add coriander seeds, cumin seeds, pepper, anise seeds, dried red chilies, small onion, garlic, ginger, grated coconut and fry them well.
After frying until fragrant, let it cool for a while and then add it to a mixer. Grind it again without adding water by adding a little water.
To make mutton curry, heat an earthenware pan and add sesame oil, bay leaves, cloves, cardamom, pineapple blossom, chopped small onion, finely chopped large onion, long green chilies and fry the onion until golden brown.
Once the onion turns golden brown, add curry leaves, finely chopped tomato, turmeric powder and rock salt and mash the tomato well.
Once the tomato is well mashed, add the mutton pieces and stir for five minutes.
Add the ground masala paste to this mutton mixture and stir well.
Next, add hot water to make the mutton pieces easy to boil and cover the clay pot and boil for an hour.
After an hour, add curry leaves and serve.
Delicious and earthy mutton curry is ready.</t>
  </si>
  <si>
    <t>மட்டன் கறிக்குழம்பு செய்வதற்கு முதலில்  மசாலா விழுது அரைக்க வேண்டும், அதற்க்கு ஒரு கடாயில் எண்ணெய் ஊற்றி சூடேற்றிய பின்பு இதில் மல்லி விதை, சீரகம், மிளகு, சோம்பு, காய்ந்த சிவப்பு மிளகாய், சிறிய வெங்காயம், பூண்டு, இஞ்சி, துருவிய தேங்காய் சேர்த்து நன்கு வறுக்கவும்  .
நறுமணம் வரை வறுத்த பின்பு சிறிது நேரம் ஆறவிட்டு மிக்ஸியில் சேர்த்து தண்ணீர் இல்லாமலும் மறுமுறை சிறிது தண்ணீர் சேர்த்து விழுதாக அரைக்கவும் 
மட்டன் கறிக்குழம்பு செய்வதற்கு ஒரு மண் சட்டியை சூடு செய்து அதில் நல்லெண்ணெய், பட்டை, கிராம்பு, ஏலக்காய், அன்னாசி பூ, நறுக்கிய சிறிய வெங்காயம், பொடியாக நறுக்கிய பெரிய வெங்காயம், நீளமாக கீறிய பச்சை மிளகாய் சேர்த்து வெங்காயம் பொன்னிறமாகவும் வரை வதக்கவும் 
வெங்காயம் பொன்னிறமானவுடன் இதனுடன் கறிவேப்பிலை, பொடியாக நறுக்கிய தக்காளி, மஞ்சள் தூள் மற்றும் கல் உப்பு சேர்த்து தக்காளியை நன்கு மசிக்கவும் .
 தக்காளி நன்கு மசித்தவுடன் இதில் மட்டன் துண்டுகளை சேர்த்து ஐந்து நிமிடம் கிளறவும்.
  இந்த மட்டன் கலவையில் அரைத்த மசாலா விழுது சேர்த்து நன்கு கிளறவும். 
அடுத்து இந்த மட்டன் துண்டுகளை எளிதாக வேகவைக்க சுடுதண்ணீர் சேர்த்து மண் சட்டியை மூடி ஒரு மணி நேரம் கொதிக்கவிடவும் .
 ஒரு மணி நேரம் கழித்து இதில் கறிவேப்பிலை சேர்த்து பரிமாறவும்.
 சுவையான மற்றும் மண் மனம் மாறாத மட்டன் கறிக்குழம்பு தயார் .</t>
  </si>
  <si>
    <t>https://eastindianrecipes.net/wp-content/uploads/2022/11/Mutton-Curry-Country-Captain1-500x500.jpg</t>
  </si>
  <si>
    <t>https://youtu.be/yc-4LvbfuiM?si=lCBXD84JJCm2YoDG</t>
  </si>
  <si>
    <t>Nalli Nihari</t>
  </si>
  <si>
    <t>நல்லி நிஹாரி</t>
  </si>
  <si>
    <t>Nalli bone - 1/2 kg,
Fried onion - 1 cup,
Wheat flour - 2 tablespoons,
Ginger,
Ghee - 2 tablespoons,
Water,
Salt,
Cumin - 2 teaspoons,
Anise - 1 teaspoon,
Baking leaves,
Pepper - 1 teaspoon,
Cinnamon,
Nutmeg,
Pineapple blossom,
Cloves,
Black cardamom - 2,
Green cardamom - 4,
Roasted peanuts - 1 1/2 teaspoons,
Garlic paste - 1 teaspoon,
Kashmiri red chilies - 5,
Ginger powder - 1 teaspoon.</t>
  </si>
  <si>
    <t>நல்லி எலும்பு  - 1/2 கிலோ,
வறுத்த வெங்காயம் - 1 கப்,
கோதுமை மாவு - 2 மேசைக்கரண்டி,
இஞ்சி,
நெய் - 2 மேசைக்கரண்டி,
தண்ணீர்,
உப்பு,
சீரகம் - 2 தேக்கரண்டி,
சோம்பு  - 1 தேக்கரண்டி,
பிரியாணி இலை,
மிளகு - 1 தேக்கரண்டி,
இலவங்கப்பட்டை,
ஜாதிக்காய்,
அன்னாசி பூ ,
கிராம்பு,
கருப்பு ஏலக்காய் - 2 ,
பச்சை ஏலக்காய் - 4, 
வறுத்த  பொட்டுக்கடலை   - 1 1/2 தேக்கரண்டி,
கச கசா  - 1 தேக்கரண்டி,
காஷ்மீரி சிவப்பு மிளகாய் - 5 ,
இஞ்சி தூள் - 1 தேக்கரண்டி.</t>
  </si>
  <si>
    <t>To make Nalli Nihari, add the meaty Nalli bones in a pressure cooker, add the required amount of water and salt, cover the cooker and cook for thirty minutes without letting it whistle.
After thirty minutes, let it whistle and cook until six whistles are heard.
Next, to make the masala powder for Nalli Nihari, in a pan, add cumin seeds, anise, bay leaves, peppercorns, bay leaves, nutmeg, pineapple blossoms, cloves, mace, green cardamom, black cardamom, peanuts, kasara, Kashmiri red chili flakes and ginger powder and fry them on medium heat. Let it cool for a while and grind it into a powder.
After heating a little ghee in a vessel, add the boiled Nalli curry, add the ground Nalli Nihari masala powder, fried onion, Nalli curry and boiled water and boil it for ten minutes.
After ten minutes, add the remaining Nalli Nihari masala powder and fried onions, mix well and simmer for fifteen minutes.
To thicken this gravy, add wheat flour dissolved in water and mix well.
Finally, add finely chopped ginger and simmer for fifteen minutes and set aside.
Delicious and nutritious Nalli Nihari is ready.</t>
  </si>
  <si>
    <t>நல்லி நிஹாரி செய்ய பிரஷர் குக்கரில் சதையுடன் கூடிய நல்லி எலும்புகளை சேர்த்து அதில் தேவையான அளவு தண்ணீர் மற்றும் தேவையான அளவு உப்பு சேர்த்து குக்கரை மூடி முப்பது நிமிடம் விசில் வைக்காமல் வேகவைக்கவும் .
முப்பது நிமிடம் கழித்து விசில் வைத்து ஆறு விசில் வரும் வரை வேகவைக்கவும் .
 அடுத்து நல்லி நிஹாரிக்கு மசாலா தூள் செய்ய ஒரு கடாயில் சீரகம், சோம்பு, பிரியாணி இலை, மிளகு, பட்டை, ஜாதிக்காய், அன்னாசி பூ, கிராம்பு, ஜாவிதிரி, பச்சை ஏலக்காய், கருப்பு ஏலக்காய், பொட்டுக்கடலை, கச கசா, கஷ்மீரி சிவப்பு மிளகாய் வத்தல் மற்றும் இஞ்சி தூள் சேர்த்து மிதமான தீயில்  வறுத்து  சிறிது நேரம் ஆறவைத்து தூளாக அரைக்கவும் .
 ஒரு பாத்திரத்தில் சிறிதளவு நெய் ஊற்றி சூடேற்றிய பின்பு வேகவைத்த நல்லி கறியை சேர்த்து அதனுடன் அரைத்த நல்லி நிஹாரி மசாலா தூள், வறுத்த வெங்காயம், நல்லி கறியை வேகவைத்த தண்ணீர் சேர்த்து பத்து நிமிடம் வேகவைக்கவும் ய.
பத்து நிமிடம் கழித்து மீதமுள்ள நல்லி நிஹாரி மசாலா தூள் மற்றும் வறுத்த வெங்காயத்தை சேர்த்து நன்கு கலந்து பதினைந்து நிமிடம் வேகவைக்கவும் .
இந்த குழம்பை கெட்டியாக்க தண்ணீரில் கரைத்த கோதுமைமாவை சேர்த்து நன்கு கலக்கவும். 
 இறுதியாக மெல்லிதாக நறுக்கிய இஞ்சி சேர்த்து பதினைந்து நிமிடம் கொதிக்கவிட்டு எடுத்து வைக்கவும் .
 சுவையான மற்றும் விதியசமான நல்லி நிஹாரி தயார் .</t>
  </si>
  <si>
    <t>https://apinchofsaffron.nl/wp-content/uploads/2020/11/91A4223.jpg</t>
  </si>
  <si>
    <t>https://youtu.be/CK1DO-lu8og?si=ZUYUdF5tSlA2Xujy</t>
  </si>
  <si>
    <t>Fish,
Coconut oil - 2 tablespoons,
Mustard - 1 teaspoon,
Onion - 1,
Garlic,
Ginger,
Green chilies - 2,
Curry leaves,
Tomatoes - 2,
Rock salt - 1 teaspoon,
Turmeric powder - 1/4 teaspoon,
Chili powder - 1 teaspoon,
Cornilary powder - 1 teaspoon,
Cumin powder - 1 teaspoon,
Water - 1/2 cup,
Coconut milk - 2 cups.</t>
  </si>
  <si>
    <t>வஞ்சரம் மீன்,
தேங்காய் எண்ணெய் - 2 மேசைக்கரண்டி ,
கடுகு  - 1 தேக்கரண்டி,
வெங்காயம் - 1 ,
பூண்டு,
இஞ்சி,
பச்சை மிளகாய் - 2 ,
கறிவேப்பிலை,
தக்காளி - 2 ,
கல்  உப்பு - 1 தேக்கரண்டி,
மஞ்சள் தூள் - 1/4 தேக்கரண்டி,
மிளகாய் தூள் - 1 தேக்கரண்டி,
மல்லி தூள் - 1 தேக்கரண்டி,
சீரக தூள் - 1 தேக்கரண்டி,
தண்ணீர் - 1/2 கப்,
தேங்காய் பால் - 2 கப்.</t>
  </si>
  <si>
    <t>To make coconut milk fish curry, heat coconut oil in a pan, then add mustard, finely chopped onion, garlic cloves, finely chopped ginger, grated green chilies and curry leaves and sauté well.
After frying the onion well, add the chopped tomatoes, rock salt, turmeric powder, chili powder, coriander powder, cumin powder, and water and let it boil well.
Once the gravy boils, add the fish pieces and cook on both sides of the fish.
Once the fish is cooked, add the coconut milk and let it boil well.
Delicious and unique coconut milk fish gravy is ready.</t>
  </si>
  <si>
    <t xml:space="preserve">தேங்காய் பால் மீன் குழம்பு செய்ய ஒரு கடாயில் தேங்காய் எண்ணெய் ஊற்றி  சூடேற்றிய பின்பு அதில் கடுகு, பொடியாக நறுக்கிய வெங்காயம், பூண்டு பற்கள், மெலிதாக நறுக்கிய இஞ்சி, கீறிய பச்சை மிளகாய் மற்றும் கறிவேப்பிலை சேர்த்து நன்கு வதக்கவும் .
 வெங்காயத்தை நன்கு வதக்கிய பின்பு அதில் பொடியாக நறுக்கிய தக்காளி சேர்த்து அதனுடன் கல்  உப்பு, மஞ்சள் தூள், மிளகாய் தூள், மல்லி தூள், சீரக தூள், மற்றும் தண்ணீர் நன்கு கொதிக்க விடவும்.
 குழம்பு கொதித்த உடன் மீன் துண்டுகளை  சேர்த்து மீனின் இருபுறமும் வேக வைக்கவும். 
 மீன் வெந்த உடன் தேங்காய் பாலை சேர்த்து நன்கு கொதிக்க விடவும் .
 சுவையான மற்றும் வித்தியாசமான தேங்காய் பால் மீன் குழம்பு தயார்.
</t>
  </si>
  <si>
    <t>https://encrypted-tbn0.gstatic.com/images?q=tbn:ANd9GcQNhCgq_ZQCU5g_PRCgiOkr7SsmUCR0LrUBcg&amp;s</t>
  </si>
  <si>
    <t>https://youtu.be/3aGy6ri0pWs?si=fe6904D8muQFX1r7</t>
  </si>
  <si>
    <t>Egg Butter Masala</t>
  </si>
  <si>
    <t>முட்டை பட்டர் மசாலா</t>
  </si>
  <si>
    <t>Ghee - 2 tbsp,
Boiled eggs - 5,
Cinnamon,
Cardamom,
Cloves,
Onion - 2,
Cumin - 1 tsp,
Cashew nuts - 8,
Tomato - 3,
Water
Turmeric powder - 1/4 tsp,
Kashmiri chili powder - 2 tsp,
Ginger garlic paste - 1/2 tsp,
Salt,
Kasoori methi.</t>
  </si>
  <si>
    <t>வெண்ணெய் - 2 மேசைக்கரண்டி,
வேகவைத்த முட்டை - 5, 
இலவங்கப்பட்டை,
ஏலக்காய் ,
கிராம்பு,
வெங்காயம் - 2, 
சீரகம் - 1 தேக்கரண்டி,
முந்திரி  - 8,
தக்காளி - 3, 
தண்ணீர்
மஞ்சள் தூள் - 1/4 தேக்கரண்டி,
கஷ்மீரி மிளகாய் தூள் - 2 தேக்கரண்டி,
இஞ்சி பூண்டு விழுது - 1/2 தேக்கரண்டி,
உப்பு,
கசூரி மெதி.</t>
  </si>
  <si>
    <t>Boil the eggs, peel them and make a small cut in the middle.
You can fry them in a little oil.
Fry the onion in butter and a little oil in a pan.
Then add the ginger garlic paste.
Fry until fragrant.
Add tomatoes and spices:
Add chopped tomatoes or add tomato paste.
Then add turmeric powder, malai powder, and taniya powder.
Fry this mixture until the oil separates well.
Add the grated cashew paste.
Pour the required amount of water and let it boil.
Wait for the gravy to thicken.
Then add milk/malai/cream.
Add the egg:
Put the eggs in this gravy.
Let it cook on a medium flame for 5 minutes.
Roll the kasoori methi between your fingers and sprinkle it.
It will be delicious if you add a little butter on top.</t>
  </si>
  <si>
    <t>முட்டையை கொதிக்க வைத்து தோல் சீவி, நடுவில் சிறிது வெட்டுங்கள்.
சிறிது எண்ணெயில் வதக்கி வைக்கலாம்.
வெண்ணை மற்றும் சிறிது எண்ணெய் வைத்து ஒரு பாத்திரத்தில் வெங்காயத்தை வதக்கவும்.
பின்னர் இஞ்சி பூண்டு விழுதைச் சேர்க்கவும்.
வாசனை வரும் வரை வதக்கவும்.
தக்காளி மற்றும் மசாலா சேர்க்கவும்:
நறுக்கிய தக்காளியை சேர்க்கவும் அல்லது தக்காளி பேஸ்டாக அரைத்ததைச் சேர்க்கவும்.
பின்னர் மஞ்சள் தூள், மலகாய் தூள், தனியா தூள் சேர்க்கவும்.
இந்த கலவை நல்லா எண்ணெய் பிரியும் வரை வதக்கவும்.
அரைத்த முந்திரி விழுதை சேர்க்கவும்.
தேவையான அளவு தண்ணீர் ஊற்றி கொதிக்க விடவும்.
கிரேவி கனமடைய காத்திருக்கவும்.
பிறகு பால்/மாலை/கிரீம் சேர்க்கவும்.
முட்டை சேர்க்கவும்:
முட்டைகளை இந்த கிரேவியில் போடவும்.
5 நிமிடம் மிதமான அடுப்பில் பதப்படிய விடவும்.
கஸூரி மெத்தியை விரல் நடுவில் சுருட்டி தூவவும்.
மேலே சிறிது வெண்ணை சேர்த்தால் அருமையாக இருக்கும்.</t>
  </si>
  <si>
    <t>https://www.google.com/url?sa=i&amp;url=https%3A%2F%2Ftranslate.google.com%2Ftranslate%3Fu%3Dhttps%3A%2F%2Fvaya.in%2Frecipes%2Fdetails%2Fegg-butter-masala-recipe%2F%26hl%3Dta%26sl%3Den%26tl%3Dta%26client%3Dimgs&amp;psig=AOvVaw2z7RHfO8JbtuvwFwNAvxtJ&amp;ust=1747060623706000&amp;source=images&amp;cd=vfe&amp;opi=89978449&amp;ved=0CBYQjRxqFwoTCNDHzZXTm40DFQAAAAAdAAAAABAE</t>
  </si>
  <si>
    <t>https://youtu.be/pv-SVfS_Ioo?si=Fcinvvq1NdrDGmGw</t>
  </si>
  <si>
    <t>Chicken - 1 kg,
Oil - 2 tbsp,
Onion - 3,
Tomato - 3,
Ginger &amp; Garlic Paste - 2 tbsp,
Turmeric Powder - 1/2 tsp,
Chili Powder - 2 tsp,
Salt,
Water - 2 cups,
Curry Leaves,
Anise - 2 tsp,
Cumin - 2 tsp,
Pepper Powder - 2 tsp,
Garlic Powder - 1 tsp,
Cardamom - 4,
Cinnamon - 1,
Cloves - 4,
Roasted Peanuts - 2 tbsp,
Green Chillies - 2,
Grated Coconut - 1/4 cup,
Small Onion - 7,
Water.</t>
  </si>
  <si>
    <t xml:space="preserve">சிக்கன் - 1 கிலோ,
எண்ணெய் - 2 மேசைக்கரண்டி,
வெங்காயம் - 3 ,
தக்காளி - 3 ,
இஞ்சி &amp; பூண்டு விழுது - 2 மேசைக்கரண்டி,
மஞ்சள் தூள் - 1/2 தேக்கரண்டி,
மிளகாய் தூள் - 2 தேக்கரண்டி,
உப்பு,
தண்ணீர் - 2 கப்,
கறிவேப்பிலை,
 சோம்பு - 2 தேக்கரண்டி,
சீரகம் - 2 தேக்கரண்டி,
மிளகுத்தூள் - 2 தேக்கரண்டி,
 கச கசா - 1 தேக்கரண்டி,
ஏலக்காய் - 4,
இலவங்கப்பட்டை - 1,
கிராம்பு - 4,
வறுத்த பொட்டுக்கடலை  - 2 மேசைக்கரண்டி,
பச்சை மிளகாய் - 2,
துருவிய தேங்காய் - 1/4 கப் ,
சிறிய வெங்காயம்  - 7,
தண்ணீர்.
</t>
  </si>
  <si>
    <t>In a large pan, heat oil and fry onion and green chillies.
Add ginger garlic paste and fry till fragrant.
Add tomatoes and let it cook well.
Add turmeric powder, chilli powder, and garam masala powder and stir.
Add chicken pieces to it.
Add salt and stir well and fry for 5–7 minutes.
Add ground masala paste:
Add cashew coconut paste and mix well and add required amount of water.
Cover and simmer for 15–20 minutes until the chicken is cooked.
When the chicken is cooked well, sprinkle coriander leaves on top and garnish.
The chana should be a little watery – that is the real chana style.</t>
  </si>
  <si>
    <t>ஒரு பெரிய பாத்திரத்தில் எண்ணெய் ஊற்றி, வெங்காயம், பச்சை மிளகாய் வதக்கவும்.
இஞ்சி பூண்டு விழுதை சேர்த்து நன்றாக வாசனை வரும் வரை வதக்கவும்.
தக்காளியை சேர்த்து நன்கு குழைய விடவும்.
மஞ்சள் தூள், மிளகாய் தூள், தனியா தூள் சேர்த்து கிளறவும்.
அதில் சிக்கன் துண்டுகளை சேர்க்கவும்.
உப்பு சேர்த்து நன்றாக கிளறி 5–7 நிமிடங்கள் வதக்கவும்.
அரைத்த மசாலா பேஸ்ட் சேர்க்கவும்:
முந்திரி தேங்காய் பேஸ்டைச் சேர்த்து நன்றாக கலந்து, தேவையான அளவு தண்ணீர் சேர்க்கவும்.
புட்டம் வரும் வரை மூடி வைத்து 15–20 நிமிடங்கள் சிம்மில் வேகவிடவும்.
சிக்கன் நன்றாக வெந்ததும், மேலே கொத்தமல்லி இலை தூவி அலங்கரிக்கவும்.
சால்னா கொஞ்சம் நீராக இருக்கவேண்டும் – அது தான் உண்மையான சால்னா ஸ்டைல்.</t>
  </si>
  <si>
    <t>https://encrypted-tbn0.gstatic.com/images?q=tbn:ANd9GcSJTAW09t8QoXSDLeQXnsupOaWEHe5-VVF1MQ&amp;s</t>
  </si>
  <si>
    <t>https://youtu.be/J5kjVvZpjC4?si=vvC_3e5f8jcj9nkV</t>
  </si>
  <si>
    <t>Fried Fish Gravy</t>
  </si>
  <si>
    <t>வறுத்த மீன் குழம்பு</t>
  </si>
  <si>
    <t>Fish - 5,
Turmeric powder - 1/2 teaspoon,
Chili powder - 1 teaspoon,
Salt,
Oil - 2 tablespoons,
Mustard - 1/2 teaspoon,
Fenugreek - 1/4 teaspoon,
Anis - 1 teaspoon,
Cumin - 1 teaspoon,
Onion - 2,
Ginger,
Garlic,
Tomato - 2,
Singapore chili powder - 2 teaspoons,
Coriander powder - 1 teaspoon,
Tamarind paste - 2 tablespoons,
Powder water - 1/2 teaspoon.</t>
  </si>
  <si>
    <t>வஞ்சரம் மீன் - 5,
மஞ்சள் தூள் - 1/2  தேக்கரண்டி, 
மிளகாய்த்தூள் - 1 தேக்கரண்டி ,
உப்பு ,
எண்ணெய் - 2 மேசைக்கரண்டி ,
கடுகு - 1/2 தேக்கரண்டி ,
வெந்தயம் - 1/4  தேக்கரண்டி ,
சோம்பு - 1 தேக்கரண்டி ,
சீரகம் - 1 தேக்கரண்டி, 
வெங்காயம் -2 ,
இஞ்சி ,
பூண்டு ,
தக்காளி - 2 ,
தனி மிளகாய் தூள்- 2 தேக்கரண்டி ,
மல்லி தூள் - 1 தேக்கரண்டி ,
புளிக்கரைசல் - 2 மேசைக்கரண்டி ,
தூள் வெள்ளம் - 1/2  தேக்கரண்டி.</t>
  </si>
  <si>
    <t>Marinate the fish pieces with turmeric powder, chili powder, salt, ginger garlic paste and spices for 20 minutes.
Then, fry in oil until golden brown on both sides. Keep the fried fish pieces aside.
In a pan, add oil, mustard seeds, and anise seeds.
Then add onion, garlic, ginger, and curry leaves and fry them.
When the onion is cooked, add tomatoes and fry them until they are soft.
Add turmeric powder, chili powder, and garam masala powder and stir well.
Melt the tamarind and add it. Add required amount of water and let it boil.
When the gravy becomes thick and sticky, add the fried fish pieces.
Stir gently and keep it on the stove for 5 minutes.
Sprinkle coriander leaves on top and serve hot.</t>
  </si>
  <si>
    <t>மீன் துண்டுகளை மஞ்சள் தூள், மிளகாய் தூள், உப்பு, இஞ்சி பூண்டு விழுதுடன் மசாலா கொட்டி 20 நிமிடம் ஊற வைக்கவும்.
பிறகு, எண்ணெயில் இரு பக்கமும் பொன்னிறமாக வறுக்கவும். வறுத்த மீன் துண்டுகளை தனியாக வைக்கவும்.
ஒரு கடாயில் எண்ணெய் ஊற்றி, கடுகு, சோம்பு தாளிக்கவும்.
பிறகு வெங்காயம், பூண்டு, இஞ்சி, கறிவேப்பிலை சேர்த்து வதக்கவும்.
வெங்காயம் வெந்ததும் தக்காளி சேர்த்து நன்கு மசியும்வரை வதக்கவும்.
மஞ்சள் தூள், மிளகாய் தூள், தனியா தூள் சேர்த்து நல்லா கிளறவும்.
புளி கரைத்து அதனுடன் சேர்க்கவும். தேவையான அளவு தண்ணீர் ஊற்றி கொதிக்க விடவும்.
குழம்பு காய்ந்து கொத்தி வரும் போது, வறுத்த மீன் துண்டுகளை சேர்க்கவும்.
மெதுவாக கிளறி 5 நிமிடங்கள் சிம்மில் வைக்கவும்.
மேலே கொத்தமல்லி இலை தூவி, சூடாக பரிமாறவும்.</t>
  </si>
  <si>
    <t>https://i.ytimg.com/vi/s_KHin1nL9Q/maxresdefault.jpg</t>
  </si>
  <si>
    <t>https://youtu.be/sVEsBPakWG4?si=82V16JYnPPJmzgXt</t>
  </si>
  <si>
    <t>Achari Chicken</t>
  </si>
  <si>
    <t>Oil,
Onion - 3,
Ginger garlic paste - 2 tablespoons,
Chicken - 1 kg,
Rock salt,
Turmeric powder - 1/2 teaspoon,
Chili powder - 2 teaspoons,
Tomatoes - 2,
Dengar - 1/4 teaspoon,
Mustard - 1 teaspoon,
Asimbu - 1 teaspoon,
Kalonji seeds - 1 teaspoon,
Yogurt - 1 cup,
Ginger,
Chaat masala - 2 teaspoons,
Water,
Green chilies,
Coriander leaves.</t>
  </si>
  <si>
    <t>எண்ணெய்,
வெங்காயம் - 3 ,
இஞ்சி பூண்டு விழுது - 2 தேக்கரண்டி,
கோழி - 1 கிலோ,
கல் உப்பு ,
மஞ்சள் தூள் - 1/2 தேக்கரண்டி,
மிளகாய் தூள் - 2 டீஸ்பூன்,
தக்காளி - 2 ,
வெந்தயம் - 1/4 தேக்கரண்டி,
கடுகு  - 1 தேக்கரண்டி,
சோம்பு - 1 தேக்கரண்டி,
கலோஞ்சி  விதைகள் - 1 தேக்கரண்டி,
தயிர் - 1 கப்,
இஞ்சி ,
சாட் மசாலா - 2 தேக்கரண்டி,
தண்ணீர்,
பச்சை மிளகாய் ,
கொத்தமல்லி இலை.</t>
  </si>
  <si>
    <t>Lightly fry the above ingredients in a pan for 2 minutes.
When you get a fragrant smell, remove the bait, and grind it in a mixer after it cools down.
Pour oil in a pan and season with mustard and anise.
Fry the onion, green chilies, and ginger garlic paste.
Add tomatoes and saute until well browned.
Add turmeric powder, chili powder, and garam masala powder.
Then add yogurt and mix well.
Then add chicken pieces and mix well.
Add ground achari masala powder.
Add salt and pour required amount of water.
Cook on medium flame till chicken is cooked and oil separates (about 15–20 minutes).
Sprinkle coriander leaves.
If chicken is cooked well and mixed with masala, that's it!</t>
  </si>
  <si>
    <t xml:space="preserve">ஒரு வாணலியில் மேலுள்ள பொருட்களை 2 நிமிடங்கள் லேசாக வறுக்கவும்.
வாசனை வரும் போதும் தூண்டில் எடுத்து, குளிர்ந்த பிறகு மிக்ஸியில் அரைத்து வைத்துக்கொள்ளவும்.
ஒரு கடாயில் எண்ணெய் ஊற்றி கடுகு, சோம்பு தாளிக்கவும்.
வெங்காயம், பச்சை மிளகாய், இஞ்சி பூண்டு விழுதை வதக்கவும்.
தக்காளி சேர்த்து நன்கு மசியாகும் வரை வதக்கவும்.
மஞ்சள் தூள், மிளகாய் தூள், தனியா தூள் சேர்க்கவும்.
பிறகு தயிர் சேர்த்து நன்கு கலக்கவும்.
பிறகு சிக்கன் துண்டுகளை சேர்த்து நன்கு கிளறவும்.
அரைத்த அச்சாரி மசாலா பொடியைச் சேர்க்கவும்.
உப்பு சேர்த்து, தேவையான அளவு தண்ணீர் ஊற்றவும்.
அடுப்பு மிதமான நிலையில் வைத்து சிக்கன் வெந்து எண்ணெய் பிரியும் வரை சமைக்கவும் (சுமார் 15–20 நிமிடங்கள்).
கொத்தமல்லி இலை தூவவும்.
சிக்கன் நன்றாக வெந்து, மசாலாவுடன் கலந்திருந்தால், அவ்வளவு தான்! </t>
  </si>
  <si>
    <t>https://spiceeats.com/wp-content/uploads/2020/07/Achari-Chicken.jpg</t>
  </si>
  <si>
    <t>https://youtu.be/4ZxGF3ve2oQ?si=vz1O4kKFyUg9LlDr</t>
  </si>
  <si>
    <t>Egg gravy</t>
  </si>
  <si>
    <t>முட்டை குழம்பு</t>
  </si>
  <si>
    <t>Oil - 2 tablespoons,
Turmeric powder - 1/4 teaspoon,
Chili powder - 1/2 teaspoon,
Salt - 1/4 teaspoon,
Egg - 5 boiled,
Oil - 2 tablespoons,
Mustard - 1/2 teaspoon,
Denil - 1/4 teaspoon,
Cumin - 1/4 teaspoon,
Onion - 2,
Green chilies - 3,
Garlic,
Curry leaves,
Tomatoes - 2,
Ginger garlic paste - 1/2 teaspoon,
Turmeric powder - 1/4 teaspoon,
Chili powder - 2 teaspoons,
Coriander powder - 1 teaspoon,
Rock salt - 1 teaspoon,
Tamarind juice - 1 cup,
Water - 2 cups,
Fried eggs - 5,
Coriander leaves.</t>
  </si>
  <si>
    <t>எண்ணெய் - 2 தேக்கரண்டி,
மஞ்சள் தூள் - 1/4 தேக்கரண்டி,
மிளகாய் தூள் - 1/2 தேக்கரண்டி,
உப்பு - 1/4 தேக்கரண்டி,
முட்டை - 5 எண் வேகவைத்தது, 
எண்ணெய் - 2 மேசைக்கரண்டி,
கடுகு  - 1/2 தேக்கரண்டி,
வெந்தயம் - 1/4 தேக்கரண்டி,
சீரகம் - 1/4 தேக்கரண்டி,
வெங்காயம் - 2, 
பச்சை மிளகாய் - 3,
பூண்டு ,
கறிவேப்பிலை,
தக்காளி - 2 ,
இஞ்சி பூண்டு விழுது - 1/2 தேக்கரண்டி,
மஞ்சள் தூள் - 1/4 தேக்கரண்டி,
மிளகாய் தூள் - 2 தேக்கரண்டி,
கொத்தமல்லி தூள் - 1 தேக்கரண்டி,
கல் உப்பு - 1 தேக்கரண்டி,
புளிச்சாறு  - 1 கப்,
தண்ணீர் - 2 கப்,
வறுத்த முட்டைகள் - 5 ,
கொத்தமல்லி இலை.</t>
  </si>
  <si>
    <t>Boil the eggs for 10 minutes, peel them and keep them aside.
(If desired, make a few slits in the eggs so that the gravy is absorbed better.)
Pour oil into the pan and season with mustard and anise.
Add the onion, ginger, garlic and curry leaves and fry well.
When the onion is lightly browned, add the tomatoes and fry until they are well browned.
Now add the turmeric powder, chilli powder, garam masala powder and pepper powder and fry.
Add the water in which the tamarind has been dissolved.
Add the required amount of water and add salt.
When the gravy starts boiling, add the grated coconut paste.
After 5 minutes, add the eggs to the boiling gravy.
Keep it on the stove and let it boil for 10 minutes.
Sprinkle coriander leaves on top.
When the gravy dries up a little and becomes sticky, remove it.</t>
  </si>
  <si>
    <t>முட்டைகளை 10 நிமிடங்கள் கொதிக்க வைத்து, தோல் சீவி, ஓரமாக வைக்கவும்.
(விருப்பப்படி முட்டையில் சிறிது ரேண்டு வெட்டல் செய்து வைத்தால் குழம்பு நன்றாக உள்வாங்கும்.)
கடாயில் எண்ணெய் ஊற்றி, கடுகு, சோம்பு தாளிக்கவும்.
வெங்காயம், இஞ்சி, பூண்டு, கறிவேப்பிலை சேர்த்து நன்கு வதக்கவும்.
வெங்காயம் மங்கலாக நன்கு வதங்கியதும், தக்காளி சேர்த்து நன்கு மசியும் வரை வதக்கவும்.
இப்போது மஞ்சள் தூள், மிளகாய் தூள், தனியா தூள், மிளகு தூள் சேர்த்து வதக்கவும்.
புளி கரைத்த தண்ணீரைச் சேர்க்கவும்.
தேவையான அளவு தண்ணீர் சேர்த்து, உப்பு சேர்க்கவும்.
குழம்பு கொதிக்க ஆரம்பித்ததும், அரைத்த தேங்காய் விழுதைச் சேர்க்கவும்.
5 நிமிடங்கள் பிறகு, கொதிக்கும் குழம்பில் முட்டைகளை போடவும்.
10 நிமிடங்கள் சிம்மில் வைத்து கொதிக்க விடவும்.
மேல் கொத்தமல்லி இலை தூவவும்.
குழம்பு சிறிது காய்ந்து ஒட்டலாக மாறியதும், இறக்கவும்.</t>
  </si>
  <si>
    <t>https://encrypted-tbn0.gstatic.com/images?q=tbn:ANd9GcSXFAQuNRUdXpn2MPL15LpdvushZHGWoQs2Lw&amp;s</t>
  </si>
  <si>
    <t>https://youtu.be/M8jxp5lbMig?si=KfIozE_duvJtgda9</t>
  </si>
  <si>
    <t>Oil - 1 tbsp,
Ghee - 2 tbsp,
Baking powder - 1" piece,
Biryani leaves - 2,
Cardamom - 2,
Cloves - 4,
Large onions - 2 chopped,
Garlic - 1 tbsp chopped,
Ginger - 1 tbsp chopped,
Green chillies - 2 chopped,
Tomato - 1 grated,
Salt - 1 tbsp,
Kashmiri chilli powder - 1 1/2 tbsp,
Seera powder - 1 tbsp,
Dhaniya powder - 1 tbsp,
Turmeric powder - 1/4 tsp,
Chicken - 750 gms,
Water - 1 cup,
Green chilli paste,
Garlic powder - 1/2 tsp.</t>
  </si>
  <si>
    <t>எண்ணெய் - 1 மேசைக்கரண்டி,
நெய் - 2 தேக்கரண்டி,
பட்டை - 1" துண்டு,
பிரியாணி இலை - 2,
ஏலக்காய் - 2,
கிராம்பு - 4,
பெரிய வெங்காயம் - 2 பொடியாக நறுக்கியது,
பூண்டு - 1 தேக்கரண்டி பொடியாக நறுக்கியது,
இஞ்சி  - 1 தேக்கரண்டி பொடியாக நறுக்கியது,
பச்சை மிளகாய் - 2 பொடியாக நறுக்கியது,
தக்காளி - 1 அரைத்து,
உப்பு - 1 தேக்கரண்டி,
காஷ்மீரி மிளகாய் தூள் - 1 1/2 தேக்கரண்டி,
சீராக தூள் - 1 தேக்கரண்டி,
தனியா தூள் - 1 தேக்கரண்டி,
மஞ்சள் தூள் - 1/4 தேக்கரண்டி,
சிக்கன் - 750 கிராம்,
தண்ணீர் - 1 கப்,
பசலைக்கீரை விழுது,
கரம் மசாலா தூள் - 1/2 தேக்கரண்டி.</t>
  </si>
  <si>
    <t>Add green chillies and water to the mixie Grind
In a pan, add ghee and oil, add bay leaves, cardamom, cloves and fry
Next, add onion and once it turns golden brown, add ginger, garlic and green chilies and fry
Next, add grated tomato and fry
Add salt, Kashmiri chili powder, coriander powder, cumin powder and turmeric powder and fry
After the spices are cooked, add chicken pieces and fry for 5 minutes on high flame
Pour water, close the pan and cook for 15 minutes
Next, add grated green chillies and cook for another 15 minutes on medium flame
Finally, add garam masala powder and mix well.
Green chilli chicken is ready.</t>
  </si>
  <si>
    <t>மிக்ஸியில் பசலைக்கீரை மற்றும் தண்ணீர் சேர்த்து அரைத்துக்கொள்ளவும்
ஒரு கடாயில், நெய் மற்றும் எண்ணெய் ஊற்றி, பட்டை, பிரியாணி இலை, ஏலக்காய், கிராம்பு சேர்த்து வறுக்கவும்
 அடுத்து வெங்காயம் சேர்த்து பொன்னிறமாக வடங்கியவுடன், இதில் இஞ்சி, பூண்டு மற்றும் பச்சை மிளகாய் சேர்த்து வதக்கவும்
 அடுத்து அரைத்த தக்காளியை சேர்த்து வதக்கவும்
 இதில் உப்பு, காஷ்மீரி மிளகாய் தூள், சீராக தூள், தனியா தூள் மற்றும் மஞ்சள் தூள் சேர்த்து வதக்கவும்
 மசாலா வடங்கியபின், இதில் சிக்கன் துண்டுகளை சேர்த்து 5 நிமிடங்கள் அதிக தீயில் வெடக்கவும்  
 தண்ணீர் ஊற்றி, கடாயை முடி , 15 நிமிடங்களுக்கு வேகவிடவும்
அடுத்து அரைத்த பசலைக்கீரையை சேர்த்து மேலும் 15 நிமிடங்களுக்கு மிதமான சூட்டில் வேகவிடவும்
 இறுதியாக கரம் மசாலா தூள் சேர்த்து கலக்கி இறக்கவும்.
 பசலைக்கீரை சிக்கன் தயார்.</t>
  </si>
  <si>
    <t>https://encrypted-tbn0.gstatic.com/images?q=tbn:ANd9GcQV9cpK4S35uA195PkAC-TfuJdLvePE5WQwgg&amp;s</t>
  </si>
  <si>
    <t>https://youtu.be/Oy0sH_cSBr8?si=ZEjUkrRTGQWaCA7U</t>
  </si>
  <si>
    <t>Oil - 1 tablespoon,
Pattu - 1 piece,
Pineapple blossom - 1,
Cardamom - 2,
Cloves - 4,
Cumin - 1 tablespoon,
Aneem - 1 tablespoon,
Whole pepper - 1 tablespoon,
Whole fennel - 2 tablespoons,
Dried chilies - 5,
Garlic - 6 cloves,
Ginger - 1 piece,
Grated coconut - 1/4 cup,
Water,
Oil - 1 tablespoon,
Turmeric powder - 1/4 teaspoon,
Salt - 1/2 teaspoon,
Chili powder - 1 teaspoon,
Eggs - 5 boiled,
Fried eggs - 5,
Ground spice paste,
Ghee - 3 tablespoons,
Large onion - 3 finely chopped Chopped,
Curry powder,
Tomato - 3 chopped,
Gallop - 1 1/2 tsp,
Water - 2 cups.</t>
  </si>
  <si>
    <t>எண்ணெய் - 1 தேக்கரண்டி,
பட்டை - 1 துண்டு ,
அன்னாசி பூ - 1,
ஏலக்காய் - 2 ,
கிராம்பு - 4 ,
சீரகம் - 1 தேக்கரண்டி,
சோம்பு - 1 தேக்கரண்டி,
முழு மிளகு - 1 தேக்கரண்டி,
முழு தனியா - 2 தேக்கரண்டி,
காய்ந்த மிளகாய் - 5,
பூண்டு - 6 பற்கள்,
இஞ்சி - 1 துண்டு ,
துருவிய தேங்காய் - 1/4 கப் ,
தண்ணீர்,
எண்ணெய் -1 தேக்கரண்டி,
மஞ்சள் தூள் -1/4 தேக்கரண்டி,
உப்பு - 1/2 தேக்கரண்டி,
மிளகாய்த்தூள் - 1 தேக்கரண்டி ,
முட்டை - 5 வேகவைத்து,
வறுத்த முட்டை - 5,
அரைத்த மசாலா விழுது,
நல்லெண்ணெய் - 3 மேசைக்கரண்டி,
பெரிய வெங்காயம் - 3 பொடியாக நறுக்கியது,
கறிவேப்பில்லை,
தக்காளி - 3 பொடியாக நறுக்கியது,
கல்லுப்பு - 1 1/2 தேக்கரண்டி,  
தண்ணீர் - 2 கப்.</t>
  </si>
  <si>
    <t>To grind the spices, pour oil in a pan, add the rind, pineapple blossom, cumin, anise, cloves, whole pepper, cardamom, whole ginger and dried chilies and fry until fragrant.
Next, add the garlic, ginger, grated coconut and fry until it changes color slightly, then transfer to another vessel.
After the spices have cooled, put them in a mixer and grind them without water first.
Next, add a little water and grind them well to a paste.
Pour a little oil in a pan, add turmeric powder, salt and chili powder and mix on low heat.
Make small incisions in the boiled egg, put it in the pan and fry in the spices.
Next, in a wide pan, pour sesame oil, add onion and curry leaves and fry them.
When the onion turns golden brown, add tomatoes and stir.
After the tomatoes are fried, add the curry leaves and ground masala paste and fry them for 5 minutes on medium heat.
Next, add water to it, mix and let it boil on medium heat for 5 minutes.
Once the raw smell goes away, add the fried eggs, close the pan and cook for another 5 minutes.
A delicious Chettinad egg curry is ready.</t>
  </si>
  <si>
    <t>மசாலா அரைக்க, ஒரு கடாயில் எண்ணெய் ஊற்றி, இதில் பட்டை, அன்னாசிப்பூ, சீரகம், சோம்பு, கிராம்பு, முழு மிளகு, ஏலக்காய், முழு தனியா மற்றும் காய்ந்த மிளகாய் சேர்த்து வாசனை வரும் வரை வறுக்கவும்.
 அடுத்து இதில் பூண்டு, இஞ்சி, துருவிய தேங்காய் சேர்த்து லேசாக நிறம் மாறும் வரை வரத்து, வேறு பாத்திரத்திற்கு மாற்றவும்.
 மசாலா ஆறியபின் மிக்ஸியில் போட்டு முதலில் நீரில்லாமல் அரைக்கவும்.
 அடுத்து சிறிதளவு நீர் ஊற்றி நன்கு விழுதாக அரைத்துக் கொள்ளவும்.
 ஒரு கடாயில் சிறிதளவு எண்ணெய் ஊற்றி, மஞ்சள்தூள், உப்பு, மிளகாய்த்தூள் சேர்த்து குறைந்த தீயில் கலக்கவும்.
 வேகவைத்த முட்டையில் சிறு கீறல்கள் போட்டு, கடாயில் போட்டு, மசாலாவில் பிரட்டவும்.
 அடுத்து ஒரு அகல பாத்திரத்தில், நல்லெண்ணெய் ஊற்றி, இதில் வெங்காயம் மற்றும் கருவேப்பிலை சேர்த்து வதக்கவும்.
 வெங்காயம் பொன்னிறமானதும் இதில் தக்காளியை சேர்த்து கிளறவும்.
தக்காளி வதங்கிய பின், கல்லுப்பு மற்றும் அரைத்த மசாலா விழுது சேர்த்து 5 நிமிடங்களுக்கு மிதமான சூட்டில் வதக்கவும்.
அடுத்து இதில் தண்ணீர் ஊற்றி, கலந்து, 5 நிமிடங்களுக்கு மிதமான சூட்டில் கொதிக்க விடவும்.
 பச்சை வாசனை போன பின், இதில் வறுத்த முட்டைகளை சேர்த்து, கடாயை மூடி, மேலும் 5 நிமிடங்களுக்கு வேகவிடவும்.
 அருமையான செட்டிநாடு முட்டை குழம்பு தயார்.</t>
  </si>
  <si>
    <t>https://static.toiimg.com/thumb/115327277/115327277.jpg?height=746&amp;width=420&amp;resizemode=76&amp;imgsize=104986</t>
  </si>
  <si>
    <t>https://youtu.be/s9sNDfJWjWk?si=9VCX7TU2paEmLBOU</t>
  </si>
  <si>
    <t>Karuvadu gravy</t>
  </si>
  <si>
    <t>கருவாட்டு  குழம்பு</t>
  </si>
  <si>
    <t>Vanjiram fish karuvadu - 200 grams,
Eggplant - 6 chopped,
Drumstick - 2,
Water - 2 cups,
Ghee - 3 tablespoons,
Mustard - 1 teaspoon,
Fenugreek - 1/4 teaspoon,
Garlic,
Small onion - 1 cup,
Curry leaves,
Onion - 1 chopped,
Ginger garlic paste - 1 teaspoon,
Green chilies - 2 grated,
Tomatoes - 3 chopped,
Turmeric powder - 1/4 teaspoon,
Chili powder - 4 teaspoons,
Tamarind solution - 1 cup,
Gallup - 1 teaspoon.</t>
  </si>
  <si>
    <t>வஞ்சிரம் மீன் கருவாடு - 200 கிராம் ,
கத்திரிக்காய் - 6 நறுக்கியது ,
முருங்கைக்காய் - 2 ,
தண்ணீர் - 2 கப்  ,
நல்லெண்ணெய் - 3 மேசைக்கரண்டி,
கடுகு - 1 தேக்கரண்டி,
வெந்தயம் - 1/4 தேக்கரண்டி,  
பூண்டு, 
சின்ன வெங்காயம் - 1 கப் ,
கறிவேப்பில்லை ,
வெங்காயம் - 1 பொடியாக நறுக்கியது, 
இஞ்சி பூண்டு விழுது - 1 தேக்கரண்டி,
பச்சை மிளகாய் - 2 கீறியது , 
தக்காளி - 3 பொடியாக நறுக்கியது, 
மஞ்சள் தூள் - 1/4 தேக்கரண்டி,
மிளகாய் தூள் - 4 தேக்கரண்டி,
புளி கரைசல் - 1 கப் ,
கல்லுப்பு - 1 தேக்கரண்டி.</t>
  </si>
  <si>
    <t>Boil water in a vessel and put the karuvadu pieces in it and cover it.
In a clay pot, add sesame oil, mustard, fenugreek, garlic, small onion, curry leaves and large onion and fry.
When the onion is half cooked, add ginger garlic paste and fry until the raw smell goes away.
Then add tomatoes and green chillies and fry.
After the tomatoes are cooked, add salt, turmeric powder and chilli powder and stir.
Next, add eggplant and drumstick and fry for 5 minutes.
Next, add tamarind and water and cook for 10 minutes, cover the pan.
After the vegetables are cooked, add the curry leaves and cook for another 15 minutes, cover the pan.
The curry leaves are ready. Cover it for 15 minutes and then serve.</t>
  </si>
  <si>
    <t>பாத்திரத்தில் தண்ணீரை கொதிக்க வைத்து கருவாடு துண்டுகளை அதனுள் போட்டு மூடி வைக்கவும்.
 மண் சட்டியில் நல்லெண்ணெய், கடுகு, வெந்தயம், பூண்டு, சின்ன வெங்காயம், கருவேப்பிலை மற்றும் பெரிய வெங்காயம் சேர்த்து வதக்கவும்.
வெங்காயம் பாதி வதங்கியதும் இஞ்சி பூண்டு விழுது சேர்த்து பச்சை வாசம் போகும் வரை வதக்கவும்.
 பின் இதில் தக்காளி மற்றும் பச்சை மிளகாய் சேர்த்து வதக்கவும்.
 தக்காளி வதங்கிய பின் உப்பு, மஞ்சள்தூள், மிளகாய்த்தூள் சேர்த்து கிளறவும்.
 அடுத்து இதில் கத்திரிக்காய் மற்றும் முருங்கைக்காய் சேர்த்து 5 நிமிடங்களுக்கு வேக வைக்கவும்.
 அடுத்த இதில் புளிக்கரைசல் மற்றும் தண்ணீர் ஊற்றி கடாயை மூடி 10 நிமிடங்களுக்கு வேக விடவும்.
காய்கறிகள் வெந்த பின் கருவாடு துண்டுகளை போட்டு மேலும் 15 நிமிடங்களுக்கு கடாயை மூடி கொதிக்கவிடவும்.
 கருவாட்டு குழம்பு தயார். 15 நிமிடங்களுக்கு இதை மூடி வைத்து பின் பரிமாறவும் .</t>
  </si>
  <si>
    <t>https://i.ytimg.com/vi/2HsfO4q4ZaA/sddefault.jpg</t>
  </si>
  <si>
    <t>https://youtu.be/By20YBeD3lY?si=se1gpEjSs0CyLnv1</t>
  </si>
  <si>
    <t>Mutton Pepper Masala</t>
  </si>
  <si>
    <t>மட்டன் மிளகு மசாலா</t>
  </si>
  <si>
    <t>Ginger - 1 piece,
Garlic - 10 cloves,
Green chillies - 4,
Turmeric powder - 1/2 tsp,
Chilli powder - 1 tsp,
Garlic powder - 1 tsp,
Garlic powder - 1 tsp,
Cereal powder - 1 tsp,
Cereal powder - 1 tsp,
Salt - 1 tsp,
Cereal powder - 4 tsp,
Tomatoes - 2 chopped,
Oil - 2 tbsp,
Onions - 2 finely chopped,
Curry leaves,
Water,
Coriander leaves.</t>
  </si>
  <si>
    <t>இஞ்சி - 1 துண்டு,
பூண்டு - 10 பற்கள்,
பச்சை மிளகாய் - 4 ,  
மஞ்சள் தூள் - 1/2 தேக்கரண்டி,
மிளகாய் தூள் - 1 தேக்கரண்டி,
கரம் மசாலா தூள் - 1 தேக்கரண்டி ,
சீரக தூள் - 1 தேக்கரண்டி,
தனியா தூள் - 1 தேக்கரண்டி ,
உப்பு - 1 தேக்கரண்டி,
மிளகு தூள் - 4 தேக்கரண்டி,
தக்காளி - 2 பொடியாக நறுக்கியது,
எண்ணெய் - 2 மேசைக்கரண்டி,
வெங்காயம் -  2 மெல்லியதாக நறுக்கியது,   
கறிவேப்பில்லை,
தண்ணீர்,
கொத்தமல்லி இலை .</t>
  </si>
  <si>
    <t>Grate the ginger, garlic, and green chillies.
In a bowl, combine the mutton, grated paste, turmeric powder, chili powder, garlic powder, cumin powder, fenugreek powder, salt, and pepper powder.
Add tomatoes to this and mash them and let them soak for 1 hour.
Pour oil in a pressure cooker, add onion, curry leaves, and soaked mutton and fry.
After 5 minutes, add required amount of water and boil for 5 - 6 whistles
until the water dries up
Finally sprinkle pepper powder and coriander leaves and serve</t>
  </si>
  <si>
    <t>இஞ்சி, பூண்டு, பச்சை மிளகாய் தட்டவும்.
பாத்திரத்தில் மட்டன், தட்டிய விழுது, மஞ்சள் தூள், மிளகாய் தூள், கரம் மசாலா தூள், சீரகத்தூள், தனியாதூள், உப்பு, மிளகு தூள் சேர்த்து கலக்கவும்.
 இதனுடன் தக்காளி சேர்த்து பிசைந்து 1 மணி நேரம் ஊறவைக்கவும்.
 பிரஷர் குக்கர்'யில் எண்ணெய் ஊற்றி, வெங்காயம், கறிவேப்பில்லை, ஊறவைத்த மட்டன் சேர்த்து வதக்கவும்.
5 நிமிடம் கழித்து, தேவையான அளவு தண்ணீர் ஊற்றி 5 - 6 விசில் 
 தண்ணீர் வற்றும் வரை கொதிக்கவிடவும்
 இறுதியாக மிளகு தூள், கொத்தமல்லி இலை தூவி இறக்கவும்</t>
  </si>
  <si>
    <t>https://images.onlymyhealth.com/tamil/2024/07/cook-with-comali-pooja-mutton-milagu-masala-recipe-main.jpg</t>
  </si>
  <si>
    <t>https://youtu.be/SkBU1LrfTGY?si=tKPlz6LxTGknyh4R</t>
  </si>
  <si>
    <t>Clay pot fish curry</t>
  </si>
  <si>
    <t>மண்பானை மீன் குழம்பு</t>
  </si>
  <si>
    <t>Vanjaram fish - 12 pieces,
Ghee - 3 tablespoons,
Fenugreek - 1/4 teaspoon,
Pepper - 1/2 teaspoon,
Small onion - 15,
Green chilies - 2,
Garlic - 3 cloves,
Ginger garlic paste - 1 teaspoon,
Tomatoes - 4,
Turmeric powder - 1/4 teaspoon,
Chili powder - 3 teaspoons,
Coriander powder - 1 teaspoon,
Baked tamarind - 1 cup,
Water - 1 1/2 cups,
Curry leaves,
Salt.</t>
  </si>
  <si>
    <t>வஞ்சரம் மீன் - 12 துண்டுகள்,
நல்லெண்ணெய்  - 3 தேக்கரண்டி,
வெந்தயம் - 1/4 தேக்கரண்டி,
மிளகு - 1/2 தேக்கரண்டி,
சிறிய வெங்காயம்  - 15 ,
பச்சை மிளகாய் - 2,
பூண்டு - 3 பற்கள்,
இஞ்சி பூண்டு விழுது - 1 தேக்கரண்டி,
தக்காளி - 4,
மஞ்சள் தூள் - 1/4 தேக்கரண்டி,
மிளகாய் தூள் - 3 தேக்கரண்டி,
மல்லி தூள் - 1 தேக்கரண்டி,
கரைத்த புளி  - 1 கப்,
தண்ணீர் - 1 1/2 கப்,
கறிவேப்பிலை,
உப்பு.</t>
  </si>
  <si>
    <t>Heat an earthen pot in which clay pot fish curry is made, pour sesame oil in it, heat it, add mustard, fenugreek, pepper, finely chopped small onion, and chopped green chilies and fry until they change color.
Once the onion turns golden brown, add crushed garlic cloves, ginger garlic paste, finely chopped tomatoes, required amount of salt, turmeric powder, chili powder, coriander powder, and dissolved tamarind and mix well.
Pour required amount of water into this mixture, cover the pot and boil for seven minutes.
Once the gravy boils, add the Vanjaram fish pieces cut into large pieces and stir well.
Finally, add curry leaves, cover the pot and boil for seven minutes.
Delicious and earthy clay pot fish gravy is ready.</t>
  </si>
  <si>
    <t>மண்பானை மீன் குழம்பு செய்த ஒரு மண் பானையை சூடு செய்து அதில் நல்லெண்ணெய் ஊற்றி சூடு செய்து இதனுடன் கடுகு, வெந்தயம், மிளகு, பொடியாக நறுக்கிய சிறிய வெங்காயம், கீறிய பச்சை மிளகாய் சேர்த்து நிறம் மாறும் வரை வதக்கவும் .
வெங்காயம் பொன்னிறமானவுடன் நசுக்கிய பூண்டு பற்கள், இஞ்சி பூண்டு விழுது, பொடியாக நறுக்கிய தக்காளி, தேவையான அளவு உப்பு, மஞ்சள் தூள், மிளகாய் தூள், மல்லித்தூள் தூள், கரைத்த புளி சேர்த்து நன்கு கலக்கவும்.
 இந்த கலவையில் தேவையான அளவு  தண்ணீர் ஊற்றி மண்பணயை மூடி ஏழு நிமிடம் கொதிக்கவிடவும். 
 குழம்பு கொதித்தவுடன் இதில் பெரிய துண்டுகளாக நறுக்கிய வஞ்சரம் மீன் துண்டுகளை சேர்த்து நன்கு கிளறவும். 
இறுதியாக  கறிவேப்பிலை சேர்த்து பானையை மூடி ஏழு நிமிடம் கொதிக்கவிடவும் .
சுவையான மற்றும் மண் மனம் மாறாத மண் பானை மீன் குழம்பு தயார் .</t>
  </si>
  <si>
    <t>https://encrypted-tbn0.gstatic.com/images?q=tbn:ANd9GcR3l-E8_d6VKBfz72LawneTdUlT4FdOq1n63Q&amp;s</t>
  </si>
  <si>
    <t>https://youtu.be/bWXkTEu3-jk?si=KhEmOKRvUQdCJvSb</t>
  </si>
  <si>
    <t>Goat Leg Paya</t>
  </si>
  <si>
    <t>ஆட்டு கால் பாயா</t>
  </si>
  <si>
    <t>Goat legs - 8,
Salt,
Turmeric powder,
Chilli powder,
Oil,
Baking powder,
Cloves,
Cardamom,
Onion - 3 chopped,
Green chilies - 2 grated,
Curry leaves,
Ginger garlic paste - 2 teaspoons,
Tomato - 2 chopped,
Turmeric powder - 1/2 teaspoon,
Chilli powder - 2 teaspoons,
Dhaniya powder - 1/2 teaspoon,
Cumin powder - 1/2 teaspoon,
Water,
Coriander leaves,
Anise - 1/2 teaspoon,
Garlic powder - 1 teaspoon,
Grated coconut - 1/2 cup,
Water.</t>
  </si>
  <si>
    <t>ஆட்டு கால் - 8, 
உப்பு,
மஞ்சள் தூள், 
மிளகாய் தூள்,
எண்ணெய்,
பட்டை,
கிராம்பு,
ஏலக்காய்,
வெங்காயம் - 3 பொடியாக நறுக்கியது ,
பச்சை மிளகாய்  - 2 கீறியது,
கறிவேப்பில்லை ,
இஞ்சி பூண்டு விழுது - 2 தேக்கரண்டி,
தக்காளி - 2 பொடியாக நறுக்கியது,
மஞ்சள் தூள் - 1/2 தேக்கரண்டி,  
மிளகாய் தூள் - 2 தேக்கரண்டி,
தனியாதூள் - 1/2 தேக்கரண்டி, 
சீரக தூள் - 1/2 தேக்கரண்டி,  
தண்ணீர் ,
கொத்தமல்லி இலை,
சோம்பு - 1/2 தேக்கரண்டி, 
கச கசா - 1 தேக்கரண்டி,
துருவிய தேங்காய் - 1/2 கப்,  
தண்ணீர் .</t>
  </si>
  <si>
    <t>Wash and clean the goat legs thoroughly. Add salt, turmeric powder, chili powder and keep it for 10 minutes.
Grind the spices to a paste, add anise, kasaka, grated coconut in a mixer, add required amount of water and grind it to a paste.
Next, pour oil in a pressure cooker, add the rind, cloves and cardamom.
Add onion, green chilies and curry leaves.
When the onion is half cooked, add ginger garlic paste and tomatoes and fry.
When the tomatoes are well fried, add turmeric powder, chili powder and grated coconut paste and mix.
Next, add the mutton pieces and stir.
If required, add a little salt, taniya powder, cumin powder and water and cook until 15 whistles.
Finally, sprinkle chopped coriander leaves and serve.</t>
  </si>
  <si>
    <t>ஆட்டு கால் துண்டுகளை நன்கு கழுவி சுத்தம் செய்யவும். இதில் உப்பு, மஞ்சள் தூள், மிளகாய் தூள் போட்டு 10 நிமிடம் வைக்கவும்.
மசாலா விழுது அரைக்க, மிக்ஸில் சோம்பு, கச கசா, தேங்காய்  துருவல் போட்டு, தேவையான அளவு தண்ணீர் ஊற்றி விழுதாக அரைக்கவும்.
அடுத்து பிரஷர் குக்கர்'ரில் எண்ணெய் ஊற்றி, பட்டை, கிராம்பு மற்றும் ஏலக்காய் போடவும்.
 இதோடு வெங்காயம், பச்சை மிளகாய், கறிவேப்பில்லை போடவும்.
 வெங்காயம் பாதி வதங்கியதும், இஞ்சி பூண்டு விழுது , தக்காளி போட்டு வதக்கவும்.
 தக்காளி நன்கு வதங்கியதும், மஞ்சள் தூள், மிளகாய் தூள், அரைத்த தேங்காய் விழுது போட்டு கலக்கவும்.
 அடுத்து ஆட்டு கால் துண்டுகளை போட்டு கிளறவும்.
தேவையானால் சிறிதளவு உப்பு, தனியா தூள், சீரகத்தூள், மற்றும் தண்ணீர் ஊற்றி 15 விசில் வரும் வரை வேகவைக்கவும்.
இறுதியாக நறுக்கிய கொத்தமல்லி இலை தூவி பரிமாறவும்.</t>
  </si>
  <si>
    <t>https://images.boldsky.com/ta/img/2024/07/mutton-paaya-recipe-in-tamil-aattu-kaal-paayab-1720174832.jpg</t>
  </si>
  <si>
    <t>https://youtu.be/h9vBw-AS9Sg?si=UWuqa5noxQbkBwhl</t>
  </si>
  <si>
    <t>Mango Fish Stew</t>
  </si>
  <si>
    <t>மாங்காய் மீன் குழம்பு</t>
  </si>
  <si>
    <t>Batfish - 250 grams,
Salt,
Turmeric powder - 1/2 teaspoon,
Chilli powder - 1 teaspoon,
Mango - 1,
Oil - 2 tablespoons,
Mustard - 1/2 teaspoon,
Fenugreek - 1/4 teaspoon,
Small onion - 1 1/2 cups,
Garlic - 10 cloves,
Green chilies - 2 grated,
Curry leaves,
Ginger garlic paste - 1 teaspoon,
Tomatoes - 2 chopped,
Turmeric powder - 1/4 teaspoon,
Chilli powder - 1 teaspoon,
Dhaniya powder - 2 teaspoons,
Salt,
Kashmiri chili powder - 1 teaspoon,
Water - 1 1/2 cups,
Coriander leaves.</t>
  </si>
  <si>
    <t>வௌவால் மீன் - 250 கிராம் ,
உப்பு,
மஞ்சள் தூள் - 1/2 தேக்கரண்டி,  
மிளகாய் தூள் - 1 தேக்கரண்டி, 
மாங்காய் - 1 ,
எண்ணெய் - 2 மேசைக்கரண்டி,
கடுகு - 1/2 தேக்கரண்டி,  
வெந்தயம் - 1/4 தேக்கரண்டி,
சின்ன வெங்காயம் - 1 1/2  கப் ,
பூண்டு - 10 பற்கள் ,
பச்சை மிளகாய்  - 2 கீறியது ,
கறிவேப்பில்லை ,
இஞ்சி பூண்டு விழுது - 1 தேக்கரண்டி,
தக்காளி - 2 பொடியாக நறுக்கியது ,
மஞ்சள் தூள் - 1/4 தேக்கரண்டி, 
மிளகாய் தூள் - 1 தேக்கரண்டி, 
தனியா தூள் - 2 தேக்கரண்டி,
உப்பு,
காஷ்மீரி மிளகாய் தூள் - 1 தேக்கரண்டி,
தண்ணீர் - 1 1/2 கப் ,
கொத்தமல்லி இலை .</t>
  </si>
  <si>
    <t>Wash the fish pieces well, add turmeric powder, chili powder and salt and knead.
Keep it for 15 minutes
In a clay pot, pour oil, add mustard, fenugreek.
When the mustard is fried, add the small onion.
When the onion is fried, add garlic, green chilies and curry leaves and stir.
When the onion turns golden brown, add ginger garlic paste.
When the raw smell goes away, add tomatoes and stir.
Next, add turmeric powder, chili powder, semolina powder, salt, Kashmiri chili powder and stir.
When the oil starts separating, add mango and water to it, cover the pan and boil for 5 minutes.
Next, add the fish pieces and boil for 7 minutes.
Finally, add coriander leaves.
Mango fish curry is ready.</t>
  </si>
  <si>
    <t xml:space="preserve">மீன் துண்டுகளை நன்கு கழுவி, மஞ்சள் தூள், மிளகாய் தூள் மற்றும் உப்பு சேர்த்து பிசையவும்.
15 நிமிடங்கள் வைக்கவும் 
மண் சட்டியில், எண்ணெய் ஊற்றி, கடுகு, வெந்தயம், சேர்க்கவும். 
கடுகு பொரிந்ததும், இதில் சின்ன வெங்காயம் சேர்க்கவும். 
 வெங்காயம் வதங்கியதும், பூண்டு, பச்சை மிளகாய் மற்றும் கறிவேப்பில்லை சேர்த்து கிளறவும். 
வெங்காயம் பொன்னிறமானதும், இதில் இஞ்சி பூண்டு விழுது சேர்க்கவும். 
 பச்சை வாசனை போனபின், இதில் தக்காளி சேர்த்து கிளறவும். 
அடுத்து இதில், மஞ்சள் தூள், மிளகாய் தூள், தனியா தூள், உப்பு, காஷ்மீரி மிளகாய் தூள் சேர்த்து கிளறவும். 
 எண்ணெய் பிரிய ஆரம்பித்ததும், இதில் மாங்காய் மற்றும் தண்ணீர்  சேர்த்து, சட்டியை மூடி, 5 நிமிடம் கொதிக்கவிடவும். 
அடுத்து மீன் துண்டுகளை சேர்த்து 7 நிமிடம் கொதிக்கவிடவும். 
 இறுதியாக கொத்தமல்லி இலை சேர்க்கவும்.
மாங்காய் மீன் குழம்பு தயார். </t>
  </si>
  <si>
    <t>https://wd-image.webdunia.com/image-conversion/process-aws.php?url=https://nonprod-media.webdunia.com/public_html/_media/ta/img/article/2022-04/28/full/1651144888-471.jpg&amp;w=&amp;h=&amp;outtype=webp</t>
  </si>
  <si>
    <t>https://youtu.be/t74wYa4r4U0?si=6YFFp6MGG-wPygjM</t>
  </si>
  <si>
    <t>Anchovy Fish Fry</t>
  </si>
  <si>
    <t>நெத்திலி மீன் வறுவல்</t>
  </si>
  <si>
    <t>Anchovy fillet - 150 grams,
Hot water,
Ghee - 3 tablespoons,
Chopped garlic,
25 chopped small onions,
Grated ginger and garlic - 2 tablespoons,
Tomato - 4 chopped
Turmeric powder - 1/2 teaspoon,
Salt - 1/2 teaspoon,
Chili powder - 4 teaspoons,
Green chili - 1 chopped,
No curry powder.</t>
  </si>
  <si>
    <t>நெத்திலி கருவாடு - 150 கிராம் ,
வெந்நீர், 
நல்லெண்ணெய் - 3 மேசைக்கரண்டி,
பூண்டு நறுக்கியது,
சின்ன வெங்காயம் - 25 நறுக்கியது, 
தட்டிய இஞ்சி பூண்டு - 2 தேக்கரண்டி,
தக்காளி - 4 நறுக்கியது 
மஞ்சள்தூள் - 1/2 தேக்கரண்டி,
உப்பு - 1/2 தேக்கரண்டி,
மிளகாய் தூள் - 4 தேக்கரண்டி,
பச்சை மிளகாய் - 1 பொடியாக நறுக்கியது, 
கறிவேப்பில்லை.</t>
  </si>
  <si>
    <t>Remove the head of the fillet.
Put it in a bowl and pour butter and keep it for 10 minutes.
Wash the fillet two or three times well.
Pour sesame oil in a pan, add garlic, curry powder, and small onions and fry.
When the onions turn golden brown, add the grated ginger and garlic.
Once the raw smell goes away, add tomatoes and saute.
Next, add turmeric powder, salt, chili powder, and green chilies and saute.
Once the raw smell goes away from the spices, add the curry leaves and stir.
Add a little water and cook on medium heat for 10 minutes.
Finally, add some curry leaves and let it cool.</t>
  </si>
  <si>
    <t xml:space="preserve">கருவாட்டின் தலை பாகத்தை எடுத்து விடவும். 
 பாத்திரத்தில் போட்டு வெண்ணீர் ஊற்றி, 10 நிமிடம் வைக்கவும்
 கருவாட்டை இரண்டு மூன்று முறை நன்கு கழுவவும்.
 கடாயில் நல்லெண்ணெய் ஊற்றி, பூண்டு, கறிவேப்பில்லை, சின்ன வெங்காயம் சேர்த்தது வதக்கவும்.
 வெங்காயம் பொன்னிறமானதும், இதில் தட்டிய இஞ்சி பூண்டு சேர்க்கவும்.
 பச்சை வாசனை போனதும், இதில் தக்காளி சேர்த்து வதக்கவும்.
 அடுத்து மஞ்சள் தூள், உப்பு, மிளகாய் தூள், பச்சை மிளகாய் சேர்த்து வதக்கவும்.
 மசாலாவில் பச்சை வாசனை போனதும் இதில் கருவாடை போட்டு கிளறவும்.
 சிறிது தண்ணீர் ஊற்றி மிதமான தீயில் 10 நிமிடம் வேகவிடவும்.
 இறுதியாக சிறிது கறிவேப்பில்லை சேர்த்து இறக்கவும். </t>
  </si>
  <si>
    <t>https://wd-image.webdunia.com/image-conversion/process-aws.php?url=https://nonprod-media.webdunia.com/public_html/_media/ta/img/article/2021-06/09/full/1623245897-2256.jpg&amp;w=&amp;h=&amp;outtype=webp</t>
  </si>
  <si>
    <t>https://youtu.be/Cq8ihJJGD58?si=lgNUDGDbjOfCjuXT</t>
  </si>
  <si>
    <t>Chettinad Prawn Gravy</t>
  </si>
  <si>
    <t>செட்டிநாடு இறால் குழம்பு</t>
  </si>
  <si>
    <t>Whole Taniya - 1 tbsp,
Cardamom - 4,
Baking powder - small piece,
Cloves - 4,
Whole pepper - 7,
Dried chillies - 3,
Javitri - small piece,
Anise - 1/2 tsp,
Cumin - 1 tsp,
Poppy seeds - 1 tsp,
Prawns (cleaned) - 1/2 kg,
Turmeric powder - 1/2 tsp,
Chili powder - 2 tsp,
Salt,
Oil - 1 tbsp,
Mustard - 1 tsp,
Small onion - 25 chopped,
Green chillies - 2 chopped,
Curry leaves,
Ginger garlic paste - 1 tsp,
Tomatoes - 2 chopped,
Turmeric powder - 1/4 teaspoon,
Chilli powder - 2 teaspoons,
Thaniya powder - 1 teaspoon,
Ground spice powder - 1 1/2 teaspoons,
Tamarind solution - 1 tablespoon,
Water.</t>
  </si>
  <si>
    <t>முழு தனியா - 1 மேசைக்கரண்டி, 
ஏலக்காய் - 4 ,
பட்டை - சிறிய துண்டு,
கிராம்பு - 4, 
முழு மிளகு - 7,
காய்ந்த மிளகாய் - 3 ,
ஜாவித்ரி - சிறிய துண்டு ,
சோம்பு - 1/2 தேக்கரண்டி, 
சீரகம் - 1 தேக்கரண்டி, 
கசகசா - 1 தேக்கரண்டி ,
இறால் (சுத்தம் செய்தது) - 1/2 கிலோ ,
மஞ்சள் தூள் - 1/2 தேக்கரண்டி ,
மிளகாய் தூள் - 2 தேக்கரண்டி ,
உப்பு ,
எண்ணெய் - 1 மேசைக்கரண்டி, 
கடுகு - 1 தேக்கரண்டி ,
சின்ன வெங்காயம்  - 25 நறுக்கியது ,
பச்சை மிளகாய் - 2 கீறியது ,
கறிவேப்பில்லை ,
இஞ்சிபூண்டு விழுது - 1 தேக்கரண்டி ,
தக்காளி - 2 நறுக்கியது, 
மஞ்சள் தூள் - 1/4 தேக்கரண்டி ,
மிளகாய் தூள் - 2 தேக்கரண்டி, 
தனியா தூள் - 1 தேக்கரண்டி ,
அரைத்த மசாலா தூள் - 1 1/2 தேக்கரண்டி ,
புளி கரைசல் - 1 மேசைக்கரண்டி ,
தண்ணீர் .</t>
  </si>
  <si>
    <t>Without oil, fry whole thaniya, cardamom, bark, cloves, whole pepper, dried chili, mace, anise, cumin and poppy seeds until fragrant.
Cool the spices and grind them into a powder.
Clean the prawns, add turmeric powder, chili powder and salt to it and mix.
Heat the pan, add oil, mustard seeds, small onions, green chilies. Curry leaves.
Fry the onions until golden brown.
Add ginger garlic paste and tomatoes and fry.
Once the tomatoes are cooked, add turmeric powder, chili powder, garam masala powder, and ground spices.
Fry until the tomatoes are soft.
Pour the thick tamarind paste into it and add water.
Boil until the oil separates.
Next, add the prawns and boil for 5 minutes.
Finally, sprinkle the curry leaves and serve.</t>
  </si>
  <si>
    <t xml:space="preserve">எண்ணெய் இன்றி, முழு தனியா, ஏலக்காய், பட்டை, கிராம்பு, முழு மிளகு, காய்ந்த மிளகாய், ஜாவித்ரி, சோம்பு, சீரகம் மற்றும் கசகசா சேர்த்து வாசனை வரும் வரை வறுக்கவும். 
 மசாலா பொருட்களை ஆறவிட்டு பொடியாக அரைக்கவும். 
இறாலை சுத்தம் செய்து, இதில் மஞ்சள் தூள், மிளகாய் தூள், உப்பு சேர்த்து கலந்து வைக்கவும்.
 கடாயை சூடாக்கி, எண்ணெய் ஊற்றி, கடுகு, சின்ன வெங்காயம், பச்சை மிளகாய். கறிவேப்பில்லை சேர்க்கவும். 
வெங்காயம் பொன்னிறமாகும் வரை வதக்கவும்.
 இதில் இஞ்சி பூண்டு விழுது, தக்காளி சேர்த்து வதக்கவும். 
 தக்காளி வதங்கியதும், இதில் மஞ்சள் தூள், மிளகாய் தூள், தனியா தூள், அரைத்த மசாலா தூள் சேர்க்கவும். 
 தக்காளி மசியும் வரை வதக்கவும்.
 இதில் கெட்டியான புளி கரைசல் ஊற்றி, தண்ணீர் சேர்க்கவும். 
 எண்ணெய் பிரியும் வரை கொதிக்கவிடவும்.
 அடுத்து இறாலை சேர்த்து 5 நிமிடம் கொதிக்கவிடவும். 
இறுதியாக கறிவேப்பில்லை தூவி இறக்கவும். </t>
  </si>
  <si>
    <t>https://encrypted-tbn0.gstatic.com/images?q=tbn:ANd9GcTxyLZKMFssqEsU6PYoqpMnqBvt4LXGcQSZCw&amp;s</t>
  </si>
  <si>
    <t>https://youtu.be/8fFYAqEssW4?si=4qKkOQuuwqwj-Duz</t>
  </si>
  <si>
    <t>Aloo Chicken Curry</t>
  </si>
  <si>
    <t>ஆலூ சிக்கன் கறி</t>
  </si>
  <si>
    <t>Chicken - 1 kg,
Potatoes - 4 peeled and chopped,
Salt - 3 tsp,
Turmeric powder - 2 tsp,
Chilli powder - 2 tbsp,
Ginger garlic paste - 1 tsp,
Oil - 2 tbsp,
Baking powder,
Cloves,
Cardamom,
Anise,
Large onion - 4 chopped,
Green chillies - 3 chopped,
Ginger garlic paste - 1 tsp,
Tomatoes - 4 chopped,
Salt - 1/2 tsp,
Dhaniya powder - 2 tsp,
Cereal powder - 2 tsp,
Garlic powder - 1 tsp,
Baked potatoes and chicken,
Kashmiri chilli powder - 2 tsp,
Coriander leaves chopped.</t>
  </si>
  <si>
    <t>சிக்கன் - 1 கிலோ,
உருளைக்கிழங்கு - 4 தோல் நீக்கி நறுக்கியது,
உப்பு - 3 தேக்கரண்டி,
மஞ்சள் தூள் - 2 தேக்கரண்டி,
மிளகாய் தூள் - 2 மேசைக்கரண்டி,
இஞ்சி பூண்டு விழுது - 1 தேக்கரண்டி,
எண்ணெய் - 2 மேசைக்கரண்டி,
பட்டை, 
கிராம்பு, 
ஏலக்காய், 
சோம்பு,
பெரிய வெங்காயம் - 4 பொடியாக நறுக்கியது,
பச்சை மிளகாய் - 3 கீறியது,
இஞ்சி பூண்டு விழுது - 1 தேக்கரண்டி,
தக்காளி - 4 பொடியாக நறுக்கியது,
உப்பு - 1/2 தேக்கரண்டி,
தனியா தூள் - 2 தேக்கரண்டி,
சீரக தூள் - 2 தேக்கரண்டி,
கரம் மசாலா தூள் - 1 தேக்கரண்டி,
வேகவைத்த உருளைக்கிழங்கு மற்றும் சிக்கன்,
காஷ்மீரி மிளகாய் தூள் - 2 தேக்கரண்டி,
கொத்தமல்லி இலை நறுக்கியது.</t>
  </si>
  <si>
    <t>Put the chicken and potatoes in a bowl, add salt, chili powder, turmeric powder and fry.
Soak it for 15 minutes.
Pour the required amount of water in the pressure cooker, add the marinated chicken, potatoes and ginger garlic paste and cook until 4 whistles.
Pour oil in a pan, add the bay leaves, cloves, cardamom, anise and large onion and fry.
When the large onion is half fried, add the green chilies and fry.
When the large onion is fried until golden brown, add the ginger garlic paste and fry
Then add the tomatoes and fry.
Add the required amount of salt and fry until the tomatoes are soft.
Add the tanya powder, cumin powder, garam masala powder and fry.
Add the boiled potatoes, chicken and boiled water.
Add the Kashmiri chili powder and fry.
Cover the pan and cook on medium flame for 10 minutes
Finally sprinkle coriander leaves and serve.</t>
  </si>
  <si>
    <t>சிக்கன் மற்றும் உருளைகிழங்கை ஒரு பாத்திரத்தில் போட்டு, உப்பு, மிளகாய் தூள், மஞ்சள் தூள் போட்டு பிரட்டவும்.
இதை 15 நிமிடம் ஊறவைக்கவும்.
 பிரஷர் குக்கர்'ரில் தேவையான அளவு தண்ணீர் ஊற்றி, ஊறிய சிக்கன், உருளைக்கிழங்கு மற்றும் இஞ்சி பூண்டு விழுது போட்டு, 4 விசில் வரும் வரை வேகவைக்கவும்.
கடாயில் எண்ணெய் ஊற்றி, பட்டை, கிராம்பு, ஏலக்காய், சோம்பு மற்றும் பெரிய வெங்காயம் சேர்த்து வதக்கவும்.
பெரிய வெங்காயம் பாதி வதங்கியதும், இதில் பச்சை மிளகாய் சேர்த்து வதக்கவும்.
பெரிய வெங்காயம் பொன்னிறமாகும் வரை வதங்கியதும், இதில் இஞ்சி பூண்டு விழுது போட்டு வதக்கவும்
அடுத்து இதில் தக்காளி சேர்த்து வதக்கவும்.
தேவையான அளவு உப்பு சேர்த்து , தக்காளி மசியும் வரை வதக்கவும்.
 இதில் தனியா தூள், சீரகத்தூள், கரம் மசாலா தூள் சேர்த்து கிண்டவும்.
 வேகவைத்த உருளைக்கிழங்கு, சிக்கன் மற்றும் வேகவைத்த தண்ணீர் சேர்க்கவும்.
இதில் காஷ்மீரி மிளகாய் தூள் சேர்த்து கிண்டவும்.
 கடாயை மூடி 10 நிமிடம் மிதமான தீயில் வேகவைக்கவும்
இறுதியாக கொத்தமல்லி இலை தூவி இறக்கவும்</t>
  </si>
  <si>
    <t>https://encrypted-tbn0.gstatic.com/images?q=tbn:ANd9GcQ1pJOi5-8bl2d0DEyrmBtYAqq3ZrlCmLyWUg&amp;s</t>
  </si>
  <si>
    <t>https://youtu.be/H8h-2xnQkc8?si=7ot7DN2v2mk-sywG</t>
  </si>
  <si>
    <t>Mutton Masala</t>
  </si>
  <si>
    <t xml:space="preserve">
மட்டன் மசாலா</t>
  </si>
  <si>
    <t>Mutton - 500 grams,
Water,
Salt,
Turmeric powder - 1/4 teaspoon,
Oil,
Whole pepper - 1 teaspoon,
Cumin - 1 teaspoon,
Anise - 1 teaspoon,
Baking powder - 2 pieces,
Cloves - 10,
Dried chilies - 6,
Garlic - 6 cloves,
Ginger - 1 piece chopped,
Ghee - 2 tablespoons,
Large onion - 3 chopped,
Green chilies - 2 chopped,
Tomatoes - 3 chopped,
Boiled mutton,
Ground spice paste,
Chopped coriander leaves.</t>
  </si>
  <si>
    <t>மட்டன் - 500 கிராம்,
தண்ணீர்,
உப்பு,
மஞ்சள் தூள்  - 1/4 தேக்கரண்டி,
எண்ணெய்,
முழு மிளகு - 1 தேக்கரண்டி,
சீரகம் - 1 தேக்கரண்டி,
சோம்பு - 1 தேக்கரண்டி,
பட்டை - 2 துண்டு,
கிராம்பு - 10,
காய்ந்த மிளகாய் - 6,
பூண்டு - 6 பற்கள்,
இஞ்சி - 1 துண்டு நறுக்கியது,
நெய் - 2 மேசைக்கரண்டி,
பெரிய வெங்காயம் - 3 நறுக்கியது,
பச்சை மிளகாய் - 2 நறுக்கியது,
தக்காளி - 3 பொடியாக நறுக்கியது,
வேகவைத்த மட்டன்,
அரைத்த மசாலா விழுது,
கொத்தமல்லி இலை நறுக்கியது.</t>
  </si>
  <si>
    <t>Add required amount of water, turmeric powder, salt and mutton pieces in a pressure cooker and cook for 20 minutes.
Pour some oil in a pan, add whole pepper, cumin, anise, cardamom, cloves, dried chilies, garlic, and ginger and fry.
Cool the fried ingredients, put them in a mixer and grind them into a paste.
Pour ghee in a pan, add large onion, green chilies and fry them until golden brown.
When the onion turns golden brown, add the ground spice paste and fry them.
Then add tomatoes and fry them.
When the tomatoes are half cooked, add the boiled mutton pieces along with boiled water.
Add required salt, cover the pan and let it boil for 10 minutes.
Finally, add chopped coriander and let it cool.</t>
  </si>
  <si>
    <t xml:space="preserve">பிரஷர் குக்கர்'ரில் தேவையான அளவு தண்ணீர், மஞ்சள் தூள் , உப்பு மற்றும் மட்டன் துண்டுகளை போட்டு 20 நிமிடம் வேகவிடவும்.
பேன்'னில் சிறிது எண்ணெய் ஊற்றி, இதில் முழு மிளகு, சீரகம், சோம்பு, பட்டை, கிராம்பு, காய்ந்த மிளகாய், பூண்டு, இஞ்சி போட்டு வறுக்கவும்.
 வறுத்த பொருட்களை ஆறவிட்டு, மிக்ஸியில் போட்டு விழுதாக அரைக்கவும்.
கடாயில் நெய் ஊற்றி, இதில் பெரிய வெங்காயம், பச்சை மிளகாய் போட்டு, பொன்னிறமாகும் வரை வதக்கவும்.
 வெங்காயம் பொன்னிறமானதும், இதில் அரைத்த மசாலா விழுது போட்டு வதக்கவும்.
பின் இதில் தக்காளி சேர்த்து வதக்கவும்.
தக்காளி பாதி வதங்கியதும், இதில் வேகவைத்த மட்டன் துண்டுகளை, வேகவைத்த தண்ணீருடன் போடவும்.
தேவையான அளவு உப்பு போட்டு, கடாயை மூடி 10 நிமிடம் கொதிக்கவிடவும்.
இறுதியாக நறுக்கிய கொத்தமல்லி போட்டு இறக்கவும். </t>
  </si>
  <si>
    <t>https://www.licious.in/blog/wp-content/uploads/2020/12/Mutton-Masala-min.jpg</t>
  </si>
  <si>
    <t>https://youtu.be/-bVcmm2RBBQ?si=wcjdbWtJhb8oWGQw</t>
  </si>
  <si>
    <t>Andhra Kongura Meat</t>
  </si>
  <si>
    <t>ஆந்திர கோங்குரா ஆட்டு கறி</t>
  </si>
  <si>
    <t>Ghee - 3 tablespoons,
Baking powder,
Cloves,
Cardamom,
Feniseum,
3 large onions chopped,
3 green chilies chopped,
No curry leaves,
Ginger garlic paste - 2 tablespoons,
Mutton - 1 kg,
Turmeric powder - 1 tablespoon,
Chili powder - 4 tablespoons,
Salt - as required,
Water - 1 1/2 cups,
Fermented spinach - 2 bunches.</t>
  </si>
  <si>
    <t>நல்லெண்ணெய் - 3 தேக்கரண்டி,
பட்டை, 
கிராம்பு, 
ஏலக்காய், 
சோம்பு,
பெரிய வெங்காயம் - 3 நறுக்கியது,
பச்சை மிளகாய் - 3 கீறியது,
கறிவேப்பில்லை,
இஞ்சி பூண்டு விழுது - 2 தேக்கரண்டி,
மட்டன் - 1 கிலோ,
மஞ்சள் தூள் - 1 தேக்கரண்டி,
மிளகாய் தூள் - 4 தேக்கரண்டி,
உப்பு - தேவையான அளவு,
தண்ணீர் - 1 1/2 கப்,
புளித்த கீரை - 2 கட்டு.</t>
  </si>
  <si>
    <t>Pour ghee in a pressure cooker, add the bark, cloves, cardamom, anise, large onions, green chilies and fry.
Fry until the onions turn golden brown.
When the onions turn golden brown, add the ginger garlic paste and fry until the raw smell goes away.
Next, add the mutton pieces and stir, along with turmeric powder, salt and chilli powder and stir.
Then pour the required amount of water and close the cooker. Cook until 6 whistles.
Next, pour sesame oil in a pan, add the fermented spinach and fry it.
Once the spinach is fried, add the boiled mutton mixture and stir.
Boil it for 10 minutes.
Check the salt and add if required.
Andhra Gongura Meat is ready.</t>
  </si>
  <si>
    <t xml:space="preserve">பிரஷர் குக்கர்'ல நல்லெண்ணெய் ஊற்றி, பட்டை, கிராம்பு, ஏலக்காய், சோம்பு,  பெரிய வெங்காயம், பச்சை மிளகாய் போட்டு வதக்கவும்.
வெங்காயம் பொன்னிறமாகும் வரை வதக்கவும்.
வெங்காயம் பொன்னிறமானதும், இதில் இஞ்சி பூண்டு விழுது சேர்த்து பச்சை வாசனை போகும் வரை வதக்கவும்.
 அடுத்து இதில் மட்டன் துண்டுகளை போட்டு கிளறி, இதனுடன், மஞ்சள் தூள், உப்பு, மிளகாய் தூள் சேர்த்து கிளறவும்.
 பின் இதில் தேவையான அளவு தண்ணீர் ஊற்றி, குக்கர்'ரை மூடவும். 6 விசில் வரும் வரை வேகவைக்கவும்.
அடுத்து கடாயில் நல்லெண்ணெய் ஊற்றி, இதில் புளித்த கீரை போட்டு வதக்கவும்.
 கீரை வதங்கியதும், இதில் வேகவைத்த மட்டன் கலவையை போட்டு கிளறவும்.
 இதை 10 நிமிடம் கொதிக்கவிடவும்.
 உப்பு சரி பார்த்து, தேவைப்பட்டால் சேர்த்து கொள்ளவும்.
ஆந்திர கோங்குரா மாம்சம் தயார். </t>
  </si>
  <si>
    <t>https://i.ytimg.com/vi/scQBPohbrQs/hq720.jpg?sqp=-oaymwEhCK4FEIIDSFryq4qpAxMIARUAAAAAGAElAADIQj0AgKJD&amp;rs=AOn4CLCgAxILQ658DtliUBXTjua1Ev4Tnw</t>
  </si>
  <si>
    <t>https://youtu.be/ffwtPihWnHs?si=pMahiuAU1IELoVVK</t>
  </si>
  <si>
    <t>செட்டிநாடு சிக்கன் கறி</t>
  </si>
  <si>
    <t>Chicken - 1 kg,
Lemon juice - 1 fruit,
Ketti curd - 1/2 cup,
Salt - as required,
Turmeric powder - 1/4 tsp,
Chili powder - 1 tbsp,
Ginger garlic paste - 1 tbsp,
Baking powder - 1 piece,
Cardamom - 3,
Cloves - 5,
Pineapple flower - 1,
Whole pepper - 1 1/2 tsp,
Whole fennel - 1 1/2 tbsp,
Cumin - 1 tsp,
Asim - 1/2 tsp,
Poppy seeds - 1 tsp,
Dried chillies - 6,
Grated coconut - 1/2 cup,
Water,
Ghee - 1 1/2 tbsp,
Small onion - 1 cup chopped,
Green chili - 1 grated,
Tomato - 1 chopped,
Gallup - 1 teaspoon,
Soaked chicken,
Ground spice paste,
Water - 1 cup (250 ml),
No curry powder.</t>
  </si>
  <si>
    <t>சிக்கன் - 1 கிலோ,
எலுமிச்சை பழச்சாறு - 1 பழம்,
கெட்டி தயிர் - 1/2 கப்,
உப்பு - தேவையான அளவு,
மஞ்சள் தூள் - 1/4 தேக்கரண்டி,
மிளகாய் தூள் - 1 மேசைக்கரண்டி,
இஞ்சி பூண்டு விழுது - 1 மேசைக்கரண்டி,
பட்டை - 1 துண்டு,
ஏலக்காய் - 3,
கிராம்பு - 5,
அன்னாசி பூ - 1,
முழு மிளகு - 1 1/2 தேக்கரண்டி,
முழு தனியா - 1 1/2 மேசைக்கரண்டி,
சீரகம் - 1 தேக்கரண்டி,
சோம்பு - 1/2 தேக்கரண்டி,  
கசகசா - 1 தேக்கரண்டி, 
காய்ந்த மிளகாய் - 6,
துருவிய தேங்காய் - 1/2 கப்,
தண்ணீர்,
நல்லெண்ணெய் - 1 1/2 மேசைக்கரண்டி,
சின்ன வெங்காயம் - 1 கப் நறுக்கியது,
பச்சை மிளகாய்  - 1 கீறியது,
தக்காளி - 1 நறுக்கியது,
கல்லுப்பு - 1 தேக்கரண்டி,
ஊறவைத்த சிக்கன்,
அரைத்த மசாலா விழுது,
தண்ணீர் - 1 கப் (250 மில்லி),
கறிவேப்பில்லை.</t>
  </si>
  <si>
    <t>Wash the chicken pieces well, add lemon juice, thick yogurt, salt, turmeric powder, chili powder, ginger garlic paste and mix.
Soak it for 30 minutes.
In a pan without oil, add the bark, cardamom, cloves, pineapple flower, whole pepper, whole ginger, cumin, anise, poppy seeds, and dried chilies and fry for 3 minutes.
When the spices change color and aroma comes out, turn off the stove and let the spices cool.
Grind the cooled spices in a mixer.
Along with this, add grated coconut and water and grind it into a paste.
Pour oil in a wide pan, add small onions and green chillies and fry them.
Once the onions are fried, add tomatoes and salt and fry them.
Next, add the soaked chicken pieces and cook for 5 minutes.
Then add the ground masala paste and water and stir.
Finally, add the curry leaves, cover the pan and simmer for 30 minutes.
Delicious Chettinad chicken curry is ready.</t>
  </si>
  <si>
    <t xml:space="preserve">சிக்கன் துண்டுகளை நன்கு கழுவி, இதில் எலுமிச்சை பழச்சாறு, கெட்டி தயிர், உப்பு, மஞ்சள் தூள், மிளகாய் தூள், இஞ்சி பூண்டு விழுது போட்டு கலக்கவும்.
இதை 30 நிமிடம் ஊறவைக்கவும்.
 கடாயில் எண்ணெய் இன்றி, பட்டை, ஏலக்காய், கிராம்பு, அன்னாசி பூ, முழு மிளகு, முழு தனியா, சீரகம், சோம்பு, கசகசா, காய்ந்த மிளகாய் சேர்த்து 3 நிமிடம் வறுக்கவும்.
மசாலா பொருட்கள் நிறம் மாறி, வாசனை வந்ததும், அடுப்பை அணைத்து, மசாலா பொருட்களை ஆறவிடவும்.
 ஆறிய மசாலா பொருட்களை, மிக்ஸியில் போட்டு அரைக்கவும்.
இதனுடன்,  துருவிய தேங்காய் மற்றும் தண்ணீர் சேர்த்து விழுதாக அரைக்கவும்.
அகல கடாயில் எண்ணெய் ஊற்றி, இதில் சின்ன வெங்காயம் மற்றும் பச்சை மிளகாய் சேர்த்து வதக்கவும்.
 வெங்காயம் வதங்கியதும், இதில் தக்காளி மற்றும் உப்பு  சேர்த்து வதக்கவும்.
 அடுத்து இதில் ஊறவைத்த சிக்கன் துண்டுகளை போட்டு 5 நிமிடம் வேகவைக்கவும்.
 பின் இதில் அரைத்த மசாலா விழுது மற்றும் தண்ணீர் சேர்த்து கிளறவும்.
 இறுதியாக கறிவேப்பில்லை சேர்த்து, கடாயை மூடி 30 நிமிடம் கொதிக்கவிடவும்.
 சுவையான செட்டிநாடு சிக்கன் கறி தயார். </t>
  </si>
  <si>
    <t>https://youtu.be/tAF-7uVZupc?si=CIAxOZbVwV2jjHrc</t>
  </si>
  <si>
    <t>Chicken Karahi</t>
  </si>
  <si>
    <t>சிக்கன் கராஹி</t>
  </si>
  <si>
    <t>Oil - 4 tbsp,
Baking powder,
Cloves,
Cardamom,
Baking leaves,
Chicken - 1 kg,
Salt - 2 tsp,
Grated ginger and garlic,
Water - 1/4 cup,
Tomatoes - 5,
Chili powder - 2 tsp,
Dhaniya powder - 1 tsp,
Cumin powder - 1 tsp,
Pepper powder - 1 tsp,
Garlic powder - 1 tsp,
Garlic powder - 1 tsp,
Garlic powder - 1 tsp,
Garlic powder - 3 chopped,
Yogurt - 1 tbsp, beaten,
Kasoori methi,
Coriander leaves chopped.</t>
  </si>
  <si>
    <t>எண்ணெய் - 4 மேசைக்கரண்டி,
பட்டை, 
கிராம்பு, 
ஏலக்காய்,
 பிரியாணி இலை,
சிக்கன் - 1 கிலோ,
உப்பு - 2 தேக்கரண்டி,
தட்டிய இஞ்சி பூண்டு,
தண்ணீர் - 1/4 கப்,
தக்காளி - 5,
மிளகாய் தூள் - 2 தேக்கரண்டி,
தனியா தூள் - 1 தேக்கரண்டி,
சீரக தூள் - 1 தேக்கரண்டி,
மிளகு தூள் - 1 தேக்கரண்டி,
கரம் மசாலா தூள் - 1 தேக்கரண்டி,
பச்சை மிளகாய் - 3 கீறியது,
தயிர் - 1 மேசைக்கரண்டி அடித்தது,
கசூரி மேத்தி,
கொத்தமல்லி இலை நறுக்கியது.</t>
  </si>
  <si>
    <t>In a wide pan, pour oil, add the bark, cloves, cardamom, and bay leaves.
Next, add the cleaned chicken pieces and cook on high heat for 5 minutes.
Add salt, grated ginger and garlic and stir.
Pour water into it and mix.
Cut the tomatoes in half, put them on the chicken, cover the pan and cook for 10 minutes.
After 10 minutes, open the lid, remove the tomato skin, mash and stir.
Let it boil for another 5 minutes
Then add chili powder, fenugreek powder, cumin powder, pepper powder, garam masala powder and stir.
Add grated green chilies and stir.
Pour well-beaten yogurt and cook for 10 minutes, cover the pan and cook.
Finally, add kasoori methi and serve.
A unique chicken karahi is ready.</t>
  </si>
  <si>
    <t xml:space="preserve">அகல பேன்'னில் எண்ணெய் ஊற்றி, பட்டை, கிராம்பு, ஏலக்காய், பிரியாணி இலை போடவும்.
அடுத்து இதில் சுத்தம் செய்த சிக்கன் துண்டுகளை போட்டு, 5 நிமிடம் அதிக தீயில் வேகவிடவும்.
 இதனுடன், உப்பு, தட்டிய இஞ்சி பூண்டு சேர்த்து கிளறவும்.
 இதில் தண்ணீர் ஊற்றி, கலந்துவிடவும்.
தக்காளியை பாதியாக நறுக்கி, சிக்கன் மீது வைத்து, 10 நிமிடம் பேன்'னை மூடி வேகவிடவும்.
10 நிமிடம் கழித்து, மூடியை திறந்து, தக்காளி தோலை எடுத்து விட்டு, மசித்து கிளறவும்.
இதை மேலும் 5 நிமிடம் கொதிக்கவிடவும்
அடுத்து இதில், மிளகாய் தூள், தனியா தூள், சீரக தூள், மிளகுத்தூள், கரம் மசாலா தூள் சேர்த்து கிளறவும்.
இதனுடன், கீறிய பச்சை மிளகாய் சேர்த்து கிளறவும்.
நன்கு அடித்த தயிர் ஊற்றி, 10 நிமிடம் பேன்'னை மூடி கொதிக்கவிடவும்.
 இறுதியாக கசூரி மேத்தி சேர்த்து இறக்கவும்.
வித்தியாசமான சிக்கன் கராஹி தயார். </t>
  </si>
  <si>
    <t>https://images.immediate.co.uk/production/volatile/sites/30/2024/12/Chicken-Karahi-847828f.jpg</t>
  </si>
  <si>
    <t>https://youtu.be/XhdyFqoa864?si=pD1WvM1giBdEiPIQ</t>
  </si>
  <si>
    <t>Prawn gravy</t>
  </si>
  <si>
    <t>இறால் குழம்பு</t>
  </si>
  <si>
    <t>Whole fenugreek - 1 tablespoon,
Cumin - 1 teaspoon,
Whole pepper - 1 teaspoon,
Kashmiri chillies - 8,
Garlic - 8 cloves,
Turmeric powder - 1/2 teaspoon,
Soaked tamarind - 1 piece,
Coconut milk - 3 tablespoons,
Prawns - 250 grams,
Coconut oil - 1 tablespoon,
Large onion - 1 chopped,
Ginger - 1 piece chopped,
Tomato - 1 chopped,
Ground spice paste,
Salt - as required,
Water - 2 cups,
No curry powder.</t>
  </si>
  <si>
    <t>முழு தனியா - 1 மேசைக்கரண்டி,
சீரகம் - 1 தேக்கரண்டி,
முழு மிளகு - 1 தேக்கரண்டி, 
காஷ்மீரி மிளகாய் - 8,
பூண்டு - 8 பற்கள்,
மஞ்சள் தூள் - 1/2 தேக்கரண்டி,
ஊறவைத்த புளி - 1 துண்டு,
கெட்டி தேங்காய் பால்  - 3 மேசைக்கரண்டி,
இறால் - 250 கிராம்,
தேங்காய் எண்ணெய் - 1 மேசைக்கரண்டி,
பெரிய வெங்காயம் - 1 பொடியாக நறுக்கியது,
இஞ்சி - 1 துண்டு நறுக்கியது,
தக்காளி - 1 பொடியாக நறுக்கியது,
அரைத்த மசாலா விழுது,
உப்பு - தேவையான அளவு,
தண்ணீர் - 2 கப்,
கறிவேப்பில்லை.</t>
  </si>
  <si>
    <t>Put the whole fenugreek, cumin, whole pepper, Kashmiri chillies,
Garlic, turmeric powder, soaked tamarind in a mixer and grind without water.
Next, add the thick coconut milk to it and grind it into a paste.
In a wide pan, pour coconut oil, add the large onion and ginger and fry it.
Fry the onion until golden brown, add the tomato and salt and fry it for 2 minutes.
Add the ground masala paste to it and stir.
Pour water into it and boil it for 15 minutes until the raw smell goes away.
Put the cleaned prawns in the broth and boil it.
Cover the pan and boil it for 7 minutes.
Finally, add the curry leaves and turn off the heat.</t>
  </si>
  <si>
    <t xml:space="preserve"> மிக்ஸியில் முழு தனியா, சீரகம், முழு மிளகு, காஷ்மீரி மிளகாய்,
பூண்டு, மஞ்சள் தூள், ஊறவைத்த புளி போட்டு, தண்ணீர் இன்றி  அரைக்கவும்.
 அடுத்து இதில் கெட்டி தேங்காய் பால் சேர்த்து, விழுதாக அரைக்கவும்.
அகல கடாயில், தேங்காய் எண்ணெய் ஊற்றி, இதில் பெரிய வெங்காயம், இஞ்சி சேர்த்து வதக்கவும்.
 வெங்காயம் பொன்னிறமாகும் வரை வதக்கி, இதில் தக்காளி மற்றும் உப்பு சேர்த்து 2 நிமிடம் வதக்கவும்.
 இதில் அரைத்த மசாலா விழுது சேர்த்து கிளறவும்.
 இதில் தண்ணீர் ஊற்றி, பச்சை வாசனை போகும் வரை 15 நிமிடம் கொதிக்கவிடவும்.
சுத்தம் செய்த இறால்'லை குழம்பில் போட்டு கொதிக்கவிடவும்.
கடாயை மூடி, 7 நிமிடம் கொதிக்கவிடவும்
 இறுதியாக கறிவேப்பில்லை போட்டு இறக்கவும். </t>
  </si>
  <si>
    <t>https://images.boldsky.com/ta/img/2022/10/1-prawn-curry-1665227419.jpg</t>
  </si>
  <si>
    <t>https://youtu.be/6SsPF--97Zo?si=i6pE0D06YO29PIEV</t>
  </si>
  <si>
    <t>Egg Keema</t>
  </si>
  <si>
    <t>முட்டை கீமா</t>
  </si>
  <si>
    <t>Oil - 1 tablespoon,
Boiled eggs - 3,
Large onion - 2 chopped,
Green chilies - 2 chopped,
Ginger garlic paste - 1/2 teaspoon,
Tomatoes - 3 chopped,
Turmeric powder - 1/4 teaspoon,
Chili powder - 1 teaspoon,
Garram masala powder - 1 teaspoon,
Coriander leaves,
Water,
Salt - as required.</t>
  </si>
  <si>
    <t>எண்ணெய் - 1 மேசைக்கரண்டி,
வேகவைத்த முட்டை - 3,
பெரிய வெங்காயம் - 2 பொடியாக நறுக்கியது,
பச்சை மிளகாய் - 2 பொடியாக நறுக்கியது,
இஞ்சி பூண்டு விழுது - 1/2 தேக்கரண்டி,
தக்காளி - 3 பொடியாக நறுக்கியது,
மஞ்சள் தூள் - 1/4 தேக்கரண்டி,
மிளகாய் தூள் - 1 தேக்கரண்டி,
கரம் மசாலா தூள் - 1 தேக்கரண்டி,
கொத்தமல்லி இலை,
தண்ணீர்,
உப்பு - தேவையான அளவு.</t>
  </si>
  <si>
    <t>Heat a pan, add large onion and green chilies and fry.
Fry until the onion turns golden brown.
Next, add ginger garlic paste and fry until the raw smell goes away.
Add tomatoes to it, when half cooked, add chili powder, turmeric powder, required salt, garam masala powder and stir.
Cover the pan and let it boil on medium flame for 10 minutes
After 10 minutes, add the grated boiled egg.
Sprinkle chopped coriander leaves and let it boil on low flame for 3 minutes.
Delicious egg keema is ready.</t>
  </si>
  <si>
    <t>கடாயை சூடு செய்து, இதில் பெரிய வெங்காயம், பச்சை மிளகாய் போட்டு வதக்கவும்.
வெங்காயம் பொன்னிறமாகும் வரை வதக்கவும்.
அடுத்து இதில் இஞ்சி பூண்டு விழுது போட்டு, பச்சை வாசனை போகும் வரை வதக்கவும்.
 இதில் தக்காளி சேர்த்து, பாதி வதங்கியதும், இதில் மிளகாய் தூள், மஞ்சள் தூள், தேவையான உப்பு, கரம் மசாலா தூள் போட்டு, கிளறவும்.
 கடாயை மூடி மிதமான தீயில், 10 நிமிடம் கொதிக்கவிடவும்
10 நிமிடம் கழித்து, இதில் வேகவைத்த முட்டையை துருவி சேர்க்கவும்.
 நறுக்கிய கொத்தமல்லி இலை தூவி, குறைந்த தீயில் 3 நிமிடம் வேகவிடவும்.
சுவையான முட்டை கீமா தயார்.</t>
  </si>
  <si>
    <t>https://i.ytimg.com/vi/7BjxCB4SLZo/sddefault.jpg</t>
  </si>
  <si>
    <t>https://youtu.be/U1DefsYZHEA?si=Btc15jN4x4DzGJ4n</t>
  </si>
  <si>
    <t>Egg Pepper Masala</t>
  </si>
  <si>
    <t>முட்டை மிளகு மசாலா</t>
  </si>
  <si>
    <t>Boiled eggs - 6,
Coconut oil - 2 tablespoons,
Onion - 5 finely chopped,
Ginger garlic, grated,
Tomato - 1 chopped,
Green chilies - 4 grated,
Curry leaves,
Salt - 1 teaspoon,
Pepper powder - 3 teaspoons,
Cumin powder - 1 teaspoon,
Water - 3 cups,
Coriander leaves, chopped.</t>
  </si>
  <si>
    <t>வேகவைத்த முட்டை - 6,
தேங்காய் எண்ணெய் - 2 மேசைக்கரண்டி,
வெங்காயம் - 5 மெல்லியதாக நறுக்கியது,
இஞ்சி பூண்டு தட்டியது,
தக்காளி - 1 நறுக்கியது,
பச்சை மிளகாய் - 4 கீறியது,
கறிவேப்பில்லை,
உப்பு - 1 தேக்கரண்டி,
மிளகு தூள் - 3 தேக்கரண்டி,
சீரக தூள் - 1 தேக்கரண்டி,
தண்ணீர் - 3 கப்,
கொத்தமல்லி இலை நறுக்கியது.</t>
  </si>
  <si>
    <t>Pour coconut oil into a wide pan, add onion and fry until golden brown.
Add grated ginger garlic, tomato, green chilies, curry leaves and fry for 2 minutes.
Next add salt, pepper powder, cumin powder and stir.
Add water at 5-minute intervals and boil for 15 minutes.
Next add chopped coriander leaves and egg and boil for 2 minutes.
Turn the egg over and cook for another 2 minutes.
The egg pepper masala is ready.</t>
  </si>
  <si>
    <t xml:space="preserve">அகல கடாயில் தேங்காய் எண்ணெய் ஊற்றி, இதில் வெங்காயம் சேர்த்து பொன்னிறமாகும் வரை வதக்கவும்.
 இதில் தட்டிய இஞ்சி பூண்டு, தக்காளி, பச்சை மிளகாய், கறிவேப்பில்லை சேர்த்து 2 நிமிடம் வதக்கவும்
 அடுத்து உப்பு, மிளகு தூள், சீரக தூள் சேர்த்து கிளறவும்
 இதில் 5 நிமிட இடைவெளியில் தண்ணீர் சேர்த்து 15 நிமிடம் கடாயை மூடி கொதிக்கவிடவும்
 அடுத்து நறுக்கிய கொத்தமல்லி இலை மற்றும் முட்டையை சேர்த்து கடாயை மூடி 2 நிமிடம் வேகவைக்கவும்.
முட்டையை திருப்பி போட்டு மேலும் 2 நிமிடம் வேகவைக்கவும்.
 முட்டை மிளகு மசாலா தயார். </t>
  </si>
  <si>
    <t>https://dinakaran.imagibyte.sortdcdn.net/wp-content/uploads/2025/05/23-4.jpg</t>
  </si>
  <si>
    <t>https://youtu.be/3zyRuEi2a6w?si=DiRFm22snX_u7dzX</t>
  </si>
  <si>
    <t>Vanjaram Fish Tomato Gravy</t>
  </si>
  <si>
    <t>வஞ்சரம் மீன் தக்காளி குழம்பு</t>
  </si>
  <si>
    <t>Vanjaram fish - 3 pieces,
Tomatoes - 7,
Large onion - 2 thinly sliced,
Coconut oil - 2 tablespoons,
Garlic - 4 cloves, minced,
Cumin powder - 2 teaspoons,
Chili paste - 2 teaspoons,
Curry leaves,
Turmeric powder,
Tamarind paste,
Chopped coriander leaves,
Salt.</t>
  </si>
  <si>
    <t>வஞ்சரம் மீன் - 3 துண்டுகள்,
தக்காளி - 7,
பெரிய வெங்காயம் - 2 மெல்லியதாக நறுக்கியது,
தேங்காய் எண்ணெய் - 2 மேசைக்கரண்டி,
பூண்டு - 4 பற்கள் தட்டியது,
சீரக தூள் - 2 தேக்கரண்டி,
மிளகாய் விழுது - 2 தேக்கரண்டிசி,
கறிவேப்பில்லை,
மஞ்சள் தூள்,
புளி கரைசல்,
கொத்தமல்லி இலை நறுக்கியது ,
உப்பு.</t>
  </si>
  <si>
    <t>Put the tomatoes in boiling water and boil until the skin separates.
Then remove it from the water, remove the skin, put it in a mixer and grind it to a paste.
Sprinkle salt, turmeric powder and soak the fish for 10 minutes.
Pour coconut oil in a wide pan, add curry leaves, add minced garlic and fry.
Next, add the large onion and fry it.
When the onion turns golden brown, add cumin powder, chili paste, tomato paste, salt and boil it.
When the gravy boils, add the fish and boil it for 7 minutes.
Turn the fish on the other side and boil it for another 7 minutes.
Next, pour the tamarind solution and boil it for 5 minutes.
Finally, sprinkle some coconut oil and chopped coriander leaves and let it cool.
Vanjaram fish tomato gravy is ready. Serve with rice.</t>
  </si>
  <si>
    <t>கொதிக்கும் நீரில் தக்காளியை போட்டு தோல் பிரியும் வரை கொதிக்கவிடவும்.
பின் இதை நீரில் இருந்து எடுத்து, தோல் நீக்கி, மிக்ஸியில் போட்டு விழுதாக அரைக்கவும்.
 உப்பு, மஞ்சள் தூள் தூவி, மீன்'னை 10 நிமிடம் ஊறவைக்கவும்.
அகல கடாயில் தேங்காய் எண்ணெய் ஊற்றி, கறிவேப்பில்லை போட்டு, தட்டிய பூண்டு போட்டு கிண்டவும்.
 அடுத்து இதில் பெரிய வெங்காயம் சேர்த்து வதக்கவும்.
 வெங்காயம் பொன்னிறமானதும், இதில் சீரக தூள், மிளகாய் விழுது, தக்காளி விழுது, உப்பு, சேர்த்து கொதிக்கவிடவும்.
குழம்பு கொதித்ததும், இதில் மீன்'னை போட்டு 7 நிமிடம் கொதிக்கவிடவும்.
மீன்'னை மறுபக்கம் திருப்பி, மேலும் 7 நிமிடம் கொதிக்கவிடவும்.
 அடுத்து இதில் புளி கரைசல் ஊற்றி, 5 நிமிடம் கொதிக்கவைக்கவும்.
 இறுதியாக சிறிது தேங்காய் எண்ணெய், நறுக்கிய கொத்தமல்லி இலை தூவி இறக்கவும்.
வஞ்சரம் மீன் தக்காளி குழம்பு தயார். சாதத்துடன் பரிமாறவும்.</t>
  </si>
  <si>
    <t>https://media.webdunia.com/_media/ta/img/article/2020-01/02/thumb/5_4/1577967724-1468.jpg</t>
  </si>
  <si>
    <t>https://youtu.be/kXGtXSOOSGg?si=PHBiKS3vga5bx4VZ</t>
  </si>
  <si>
    <t>Green Spinach Egg Curry</t>
  </si>
  <si>
    <t>பசலை கீரை முட்டை கறி</t>
  </si>
  <si>
    <t>Keerai</t>
  </si>
  <si>
    <t>Green Spinach - 1 bunch,
Eggs - 5,
Chili powder - 1 teaspoon,
Salt - 1/4 teaspoon,
Oil - 1 tablespoon,
Baking powder, cloves, cardamom,
Whole pepper, Bay leaf,
Large onion - 2 chopped,
Green chilies - 3 chopped,
Garlic - 1 teaspoon chopped,
Ginger - 1 teaspoon grated,
Tomatoes - 2 chopped,
Turmeric powder - 1/4 teaspoon,
Kashmiri chili powder - 1 teaspoon,
Karam masala powder - 1/2 teaspoon,
Dhaniya powder - 1 teaspoon,
Salt - 1 teaspoon,
Water.</t>
  </si>
  <si>
    <t>பசலை கீரை - 1 கட்டு,
முட்டை - 5,
மிளகாய் தூள் - 1 தேக்கரண்டி,
உப்பு - 1/4 தேக்கரண்டி,  
எண்ணெய் - 1 மேசைக்கரண்டி,
பட்டை, கிராம்பு, ஏலக்காய்,
முழு மிளகு, பிரியாணி இலை,
பெரிய வெங்காயம் - 2 பொடியாக நறுக்கியது,
பச்சை மிளகாய் - 3 நறுக்கியது,
பூண்டு - 1 தேக்கரண்டி நறுக்கியது,
இஞ்சி - 1 தேக்கரண்டி துருவியது,
தக்காளி  - 2 பொடியாக நறுக்கியது,
மஞ்சள் தூள் - 1/4 தேக்கரண்டி,
காஷ்மீரி மிளகாய் தூள் - 1 தேக்கரண்டி,
கரம் மசாலா தூள் - 1/2 தேக்கரண்டி,
தனியா தூள் - 1 தேக்கரண்டி,
உப்பு - 1 தேக்கரண்டி,
தண்ணீர்.</t>
  </si>
  <si>
    <t>Pour water into a pan and heat it.
Once the water boils, turn off the stove, add the spinach, cover the pan and let it boil for 5 minutes.
Drain the spinach, let it cool, and grind it into a paste.
Pour oil into the pan, add chili powder and salt.
Add the boiled egg and fry on both sides and set aside.
Pour oil into the pan, add the bay leaves, cloves, cardamom, bay leaf, large onion, ginger, garlic, and green chilies and sauté.
When the onion turns golden brown, add turmeric powder, chili powder, garam masala powder, and salt and sauté.
Once the tomatoes are slightly cooked, add the grated spinach paste and water and stir.
Boil it for 8 minutes.
Next, add the boiled eggs and boil for 5 minutes.
The spinach egg curry is ready.</t>
  </si>
  <si>
    <t xml:space="preserve">கடாயில் தண்ணீர் ஊற்றி சூடாக்கவும்.
தண்ணீர் கொதித்ததும், அடுப்பை அணைத்து , இதில் பசலை கீரையை போட்டு, கடாயை மூடி 5 நிமிடம் கொதிக்கவிடவும்.
கீரையை வடிகட்டி, ஆறவிட்டு, விழுதாக அரைக்கவும்.
 கடாயில் எண்ணெய் ஊற்றி, மிளகாய் தூள் மற்றும் உப்பு போடவும்.
இதில் வேகவைத்த முட்டையை போட்டு இருபுறமும் வறுத்து எடுத்து வைக்கவும்.
 கடாயில் எண்ணெய் ஊற்றி, இதில் பட்டை, கிராம்பு, ஏலக்காய், பிரியாணி இலை, பெரிய வெங்காயம், இஞ்சி, பூண்டு, பச்சை மிளகாய் சேர்த்து வதக்கவும்.
வெங்காயம் பொன்னிறமானதும், இதில் மஞ்சள் தூள், மிளகாய் தூள், தனியா தூள், கரம் மசாலா தூள், உப்பு சேர்த்து வதக்கவும்.
 தக்காளி சிறிது வதங்கியதும், இதில் அரைத்த கீரை விழுது மற்றும் தண்ணீர் சேர்த்து கிளறவும்.
 இதை 8 நிமிடம் கொதிக்கவிடவும்.
 அடுத்த இதில் வேகவைத்த முட்டைகளை போட்டு 5 நிமிடம் கொதிக்கவிடவும்
 பசலை கீரை முட்டை கறி தயார். </t>
  </si>
  <si>
    <t>https://www.indrani-will-teach.com/wp-content/uploads/2020/02/IMG20200217221625.jpg</t>
  </si>
  <si>
    <t>https://youtu.be/ERBJzS9MEDQ?si=FSDXZd3q52j-rwnI</t>
  </si>
  <si>
    <t>சிக்கன் நெய் ரோஸ்ட்</t>
  </si>
  <si>
    <t>Chicken - 1 kg,
Lemon juice - 1 fruit,
Curd - 1 tablespoon,
Salt - 1 teaspoon,
Chili powder - 1 teaspoon,
Turmeric powder - 1/4 teaspoon,
Ginger garlic paste - 1 teaspoon,
Pyaatke chilies - 10,
Whole tanya - 2 tablespoons,
Cumin - 1 teaspoon,
Asimbu - 1 teaspoon,
Whole pepper - 1 teaspoon,
Deniz - a little,
Garlic - 8 cloves,
Soaked tamarind,
Water,
Ghee - 6 tablespoons,
Soaked chicken,
Ground spice paste,
Water,
Jaggery - 2 tablespoons,
Salt - 1 teaspoon,
No curry powder.</t>
  </si>
  <si>
    <t>சிக்கன் - 1 கிலோ,
எலுமிச்சைபழச்சாறு - 1 பழம்,
கெட்டி தயிர் - 1 மேசைக்கரண்டி,
உப்பு - 1 தேக்கரண்டி,
மிளகாய் தூள் - 1 தேக்கரண்டி,
மஞ்சள் தூள் - 1/4 தேக்கரண்டி,
இஞ்சி பூண்டு விழுது - 1 தேக்கரண்டி,
ப்யாத்கே மிளகாய் - 10,
முழு தனியா - 2 மேசைக்கரண்டி,
சீரகம் - 1 தேக்கரண்டி,
சோம்பு - 1 தேக்கரண்டி,
முழு மிளகு - 1 தேக்கரண்டி,
வெந்தயம் - சிறிதளவு,
பூண்டு - 8 பற்கள்,
ஊறவைத்த புளி,
தண்ணீர்,
நெய் - 6 மேசைக்கரண்டி,
ஊறவைத்த சிக்கன்,
அரைத்த மசாலா விழுது,
தண்ணீர்,
வெல்லம் - 2 தேக்கரண்டி,
உப்பு - 1 தேக்கரண்டி,
கறிவேப்பில்லை.</t>
  </si>
  <si>
    <t>In a bowl, add chicken, lemon juice, yogurt, salt, chili powder, turmeric powder, ginger garlic paste and mix well.
Soak it for 1 hour.
In a pan, without oil, add chili, whole cumin, anise, whole pepper, and fenugreek and fry until fragrant.
Once fragrant, cool and put in a mixer.
Add garlic, soaked tamarind, and a little water and grind to a paste.
In a wide pan, add ghee and soaked chicken and fry on high flame for 10 minutes.
Remove the chicken pieces and keep aside.
Boil the masala water in the pan for 1 minute.
Add the ground masala paste and a little water and boil for 10 minutes.
Add jaggery and ghee and boil for another 5 minutes.
When the ghee starts to separate, add the chicken pieces, add salt and fry for 20 minutes until the moisture in the masala dries up.
Finally, add the curry leaves and fry.
Chicken ghee roast is ready.</t>
  </si>
  <si>
    <t xml:space="preserve">பாத்திரத்தில், சிக்கன், எலுமிச்சைபழச்சாறு, தயிர், உப்பு, மிளகாய் தூள், மஞ்சள் தூள், இஞ்சி பூண்டு விழுது சேர்த்து நன்கு பிசையவும்.
 இதை 1 மணி நேரம் ஊறவைக்கவும்.
கடாயில், எண்ணெய் இன்றி, மிளகாய், முழு தனியா, சீரகம், சோம்பு, முழு மிளகு, வெந்தயம் சேர்த்து வாசனை வரும் வரை வறுக்கவும்.
 வாசனை வந்ததும், ஆறவிட்டு, மிக்ஸியில் போடவும்.
 இதனுடன், பூண்டு, ஊறவைத்த புளி, சிறிதளவு தண்ணீர் ஊற்றி, விழுதாக அரைக்கவும்.
அகல பேன்'னில் நெய், ஊறவைத்த சிக்கன் சேர்த்து அதிக தீயில் 10 நிமிடம் கிண்டவும்.
சிக்கன் துண்டுகளை எடுத்து வைக்கவும்.
 பேன்'னில் உள்ள மசாலா நீரை 1 நிமிடம் கொதிக்கவிடவும்
 இதில் அரைத்த மசாலா விழுது மற்றும் சிறிது தண்ணீர்  சேர்த்து 10 நிமிடம் கொதிக்கவிடவும்.
இதில் வெல்லம் மற்றும் நெய் சேர்த்து மேலும் 5 நிமிடம் கொதிக்கவிடவும்.
 நெய் பிரிய ஆரம்பித்ததும், இதில் எடுத்து வைத்த சிக்கன் துண்டுகளை போட்டு, உப்பு சேர்த்து மசாலாவில் ஈரம் வற்றும் வரை, 20 நிமிடம் கிண்டவும்.
கடைசியாக இதில் கறிவேப்பில்லை சேர்த்து கிண்டவும்.
சிக்கன் நெய் ரோஸ்ட் தயார். </t>
  </si>
  <si>
    <t>https://swatisani.net/kitchen/wp-content/uploads/2015/09/IMG_9051.jpg</t>
  </si>
  <si>
    <t>https://youtu.be/9HLVoKApnEQ?si=4SSjULeiBZGjfBii</t>
  </si>
  <si>
    <t>Chicken Guruma</t>
  </si>
  <si>
    <t xml:space="preserve">
சிக்கன் குருமா</t>
  </si>
  <si>
    <t>Ghee - 2 tablespoons,
Baking powder,
Cloves,
Cardamom,
Pineapple flower,
Garlic,
Anise,
Ginger - 1 piece,
Garlic - 7 cloves,
Onion - 2 chopped,
Green chilies - 5 chopped,
Tomato - 2 chopped,
Salt - 1/4 teaspoon,
Grated coconut - 1/4 cup,
Broken peanuts - 1 tablespoon,
Poppy seeds - 1 teaspoon,
Dhaniya powder - 2 tablespoons,
Water - 1/4 cup,
Chicken - 1 kg,
Ghee - 2 tablespoons,
Onion - 2 chopped,
Curry leaves,
Green chilies - 2 grated,
Tomato - 2 chopped Chopped,
Turmeric powder - 1/2 teaspoon,
Garlic powder - 1 teaspoon,
Water - 2 1/2 cups,
Coriander leaves.</t>
  </si>
  <si>
    <t>நல்லெண்ணெய் - 2 தேக்கரண்டி,
பட்டை, 
கிராம்பு, 
ஏலக்காய்,
அன்னாசி பூ, 
கல்பாசி, 
சோம்பு,
இஞ்சி - 1 துண்டு,
பூண்டு - 7 பற்கள்,
வெங்காயம் - 2 நறுக்கியது,
பச்சை மிளகாய் - 5 நறுக்கியது,
தக்காளி - 2 நறுக்கியது,
உப்பு - 1/4 தேக்கரண்டி,
துருவிய தேங்காய் - 1/4 கப்,
உடைத்த கடலை - 1 மேசைக்கரண்டி,
கசகசா - 1 தேக்கரண்டி,
தனியா தூள் - 2 தேக்கரண்டி,
தண்ணீர் - 1/4 கப்,
சிக்கன் - 1 கிலோ,
நல்லெண்ணெய் - 2 மேசைக்கரண்டி,
வெங்காயம் - 2 பொடியாக நறுக்கியது,
கறிவேப்பில்லை,
பச்சை மிளகாய் - 2 கீறியது,
தக்காளி - 2 பொடியாக நறுக்கியது,
மஞ்சள் தூள் - 1/2 தேக்கரண்டி,
கல்லுப்பு - 1 தேக்கரண்டி,
தண்ணீர் - 2 1/2 கப்,
கொத்தமல்லி இலை.</t>
  </si>
  <si>
    <t>Pour sesame oil in a pan, add the bark, cloves, cardamom, pineapple flower, fennel, and anise and fry.
Next, add ginger, garlic, onion, green chili, and tomato and fry for 5 minutes. Then add salt to it and fry for 10 minutes. Let it cool.
In a mixer, add coconut, broken peanuts, poppy seeds, roasted masala paste, taniya powder, and water and grind it to a paste.
Pour sesame oil in a wide pan, add onion, green chili, and curry leaves and fry.
Next, add tomatoes and fry. Add turmeric powder and salt to it and fry.
Once the tomatoes are well mashed, add the cleaned chicken pieces and stir.
Next, add the ground masala paste and water and stir.
Cover the pan and let it boil for 30 minutes.
Finally, add the coriander leaves and let it cool.</t>
  </si>
  <si>
    <t>கடாயில் நல்லெண்ணெய் ஊற்றி, இதில் பட்டை, கிராம்பு, ஏலக்காய், அன்னாசி பூ, கல்பாசி, சோம்பு சேர்த்து வறுக்கவும்.
அடுத்து இதில் இஞ்சி, பூண்டு, வெங்காயம், பச்சை மிளகாய், தக்காளி சேர்த்து 5 நிமிடம் வதக்கவும். பின்பு இதனுடன் உப்பு சேர்த்து 10 நிமிடம் வதக்கவும். இதை ஆறவிடவும்.
மிக்ஸியில் தேங்காய், உடைத்த கடலை, கசகசா, வதக்கிய மசாலா விழுது, தனியா தூள் மற்றும் தண்ணீர் சேர்த்து, விழுதாக அரைக்கவும்.
 அகல கடாயில் நல்லெண்ணெய் ஊற்றி, இதில் வெங்காயம், பச்சை மிளகாய், கறிவேப்பில்லை சேர்த்து வதக்கவும்.
அடுத்த இதில் தக்காளி சேர்த்து வதக்கவும். இதனுடன் மஞ்சள் தூள் மற்றும் உப்பு சேர்த்து வதக்கவும்.
 தக்காளி நன்கு மசிந்ததும், இதில் சுத்தம் செய்த சிக்கன் துண்டுகள் போட்டு கிளறவும்.
அடுத்து இதில் அரைத்த மசாலா விழுது, மற்றும் தண்ணீர் சேர்த்து கிளறவும்.
கடாயை மூடி,  30 நிமிடம் கொதிக்கவிடவும்.
கடைசியாக இதில் கொத்தமல்லி இலை சேர்த்து இறக்கவும்</t>
  </si>
  <si>
    <t>https://encrypted-tbn0.gstatic.com/images?q=tbn:ANd9GcTXz9EpYK8eOR3YtL9fIIbcbh1MyPtFxD54Xw&amp;s</t>
  </si>
  <si>
    <t>https://youtu.be/D_EOldcu-Bc?si=FkP-Ha6yk3fNHFva</t>
  </si>
  <si>
    <t>Special Chicken Fry</t>
  </si>
  <si>
    <t xml:space="preserve">
ஸ்பெஷல் சிக்கன் ப்ரை</t>
  </si>
  <si>
    <t>Coconut oil - 2 tablespoons,
Baking powder - 1 piece,
Cloves - 7,
Cardamom - 4,
Large onion - 3 chopped,
Green chilies - 2 chopped,
Ginger garlic paste - 2 teaspoons,
Curry powder,
Tomatoes - 3 chopped,
Gallup - 2 teaspoons,
Turmeric powder - 1/2 teaspoon,
Chili powder - 4 teaspoons,
Thaniya powder - 2 teaspoons,
Cumin powder - 2 teaspoons,
Chicken - 1 kg,
Coconut milk - 1 cup,
Coriander leaves.</t>
  </si>
  <si>
    <t>தேங்காய் எண்ணெய் - 2 மேசைக்கரண்டி,
பட்டை - 1 துண்டு,
கிராம்பு - 7,
ஏலக்காய் - 4,
பெரிய வெங்காயம் - 3 நறுக்கியது,
பச்சை மிளகாய் - 2  நறுக்கியது,
இஞ்சி பூண்டு விழுது - 2 தேக்கரண்டி,
கறிவேப்பில்லை,
தக்காளி - 3 நறுக்கியது,
கல்லுப்பு - 2 தேக்கரண்டி,
மஞ்சள் தூள் - 1/2 தேக்கரண்டி,
மிளகாய் தூள் - 4 தேக்கரண்டி,
தனியா தூள் - 2 தேக்கரண்டி,
சீரக தூள் - 2 தேக்கரண்டி,
சிக்கன் - 1 கிலோ,
தேங்காய் பால் - 1 கப்,
கொத்தமல்லி இலை.</t>
  </si>
  <si>
    <t>Pour coconut oil in a wide pan, add the bark, cloves, cardamom, large onion, green chilies and fry.
When the onion turns golden brown, add the ginger garlic paste and stir.
Next, add curry leaves and tomatoes and fry.
Add salt, turmeric powder, chili powder, and fry until the tomatoes are soft.
When the tomatoes are soft, add semolina powder and cumin powder and stir.
Next, add the chicken pieces and stir for 5 minutes.
Pour the required amount of water for the chicken, cover the pan and let it boil for 20 minutes. .
Next, add coconut milk and stir until the moisture dries up.
Special Chicken Fry is ready</t>
  </si>
  <si>
    <t xml:space="preserve">அகல கடாயில் தேங்காய் எண்ணெய் ஊற்றி, பட்டை, கிராம்பு, ஏலக்காய், பெரிய வெங்காயம், பச்சை மிளகாய் போட்டு வதக்கவும்.
வெங்காயம் பொன்னிறமானதும், இதில் இஞ்சி பூண்டு விழுது போட்டு கிளறவும்.
 அடுத்த இதில் கறிவேப்பில்லை மற்றும் தக்காளி சேர்த்து வதக்கவும்.
 இதில் கல்லுப்பு, மஞ்சள் தூள், மிளகாய் தூள், சேர்த்து, தக்காளி மசியும் வரை வதக்கவும்.
 தக்காளி நன்கு மசிந்ததும், இதில் தனியா தூள், சீரக தூள் சேர்த்து கிளறவும்.
 அடுத்து சிக்கன் துண்டுகளை போட்டு, 5 நிமிடம் கிளறவும்.
 சிக்கன்'னுக்கு தேவையான அளவு தண்ணீர் ஊற்றி, கடாயை மூடி, 20 நிமிடம் கொதிக்கவிடவும். .
 அடுத்து இதில் தேங்காய் பால் ஊற்றி, ஈரம் வற்றும் வரை கிளறவும்.
ஸ்பெஷல் சிக்கன் ப்ரை தயார் 
</t>
  </si>
  <si>
    <t>https://www.thattukada.net/wp-content/uploads/2024/11/chicken-fry.png</t>
  </si>
  <si>
    <t>https://youtu.be/4R_Xuv901tI?si=pxCXXbBW2kiVxchX</t>
  </si>
  <si>
    <t>Balti Kosht</t>
  </si>
  <si>
    <t>பால்டி கோஷ்ட்</t>
  </si>
  <si>
    <t>Boneless mutton - 500 grams,
Oil - 2 tablespoons,
Ghee - 1 tablespoon,
Cumin seeds - 1/2 teaspoon,
Baking powder - 1 piece,
Cloves - 5,
Cardamom - 3,
Baking leaves - 1,
Large onions - 2 chopped lengthwise,
Ginger garlic paste - 2 tablespoons,
Chili powder - 2 tablespoons,
Thaniya powder - 2 tablespoons,
Salt - 1 teaspoon,
Water - 1 1/2 cups,
Tomatoes - 2 chopped,
Green chilies - 2 chopped,
Garlic powder - 1/2 teaspoon,
Lemon juice - 1 fruit,
Coriander leaves.</t>
  </si>
  <si>
    <t>எலும்பில்லாத மட்டன் - 500 கிராம்,
எண்ணெய் - 2 மேசைக்கரண்டி,
நெய் - 1 மேசைக்கரண்டி,
சீரகம் - 1/2 தேக்கரண்டி,
பட்டை - 1 துண்டு,
கிராம்பு - 5,
ஏலக்காய் - 3,
பிரியாணி இலை - 1,
பெரிய வெங்காயம் - 2 நீளவாக்கில் நறுக்கியது,
இஞ்சி பூண்டு விழுது - 2 தேக்கரண்டி,
மிளகாய் தூள் - 2 தேக்கரண்டி,
தனியா தூள் - 2 தேக்கரண்டி,
உப்பு - 1 தேக்கரண்டி,
தண்ணீர் - 1 1/2 கப்,
தக்காளி - 2 நறுக்கியது,
பச்சை மிளகாய் - 2 நறுக்கியது,
கரம் மசாலா தூள் - 1/2 தேக்கரண்டி,
எலுமிச்சைபழச்சாறு - 1 பழம்  ,
கொத்தமல்லி இலை.</t>
  </si>
  <si>
    <t>Cut the mutton into small pieces.
Pour oil in a pan, add cumin seeds, bay leaves, cloves, cardamom, bay leaves, and large onion and fry.
Once the onion is fried, add ginger garlic paste and fry for 2 minutes.
Add mutton pieces and fry for 2 minutes.
Next, add chili powder, turmeric powder, and salt, stir, add water, cover the pan and boil for 10 minutes.
Add tomatoes and green chilies to this, cover the pan and boil for 30 minutes on medium heat.
Finally, add garam masala powder, lemon juice, and chopped coriander leaves and let it cook.</t>
  </si>
  <si>
    <t>மட்டன் 'னை சிறிய துண்டுகளாக நறுக்கவும்.
கடாயில் எண்ணெய் ஊற்றி, இதில் சீரகம், பட்டை, கிராம்பு, ஏலக்காய், பிரியாணி இலை, பெரிய வெங்காயம் போட்டு வதக்கவும்.
 வெங்காயம் வதங்கியதும், இதில் இஞ்சி பூண்டு விழுதை போட்டு 2 நிமிடம் வதக்கவும்.
 இதில் மட்டன் துண்டுகளை போட்டு 2 நிமிடம் கிண்டவும்.
அடுத்து மிளகாய் தூள், தனியா தூள், உப்பு சேர்த்து கிளறி, தண்ணீர் ஊற்றி, கடாயை மூடி 10 நிமிடம் கொதிக்கவிடவும்.
 இதில் தக்காளி மற்றும் பச்சை மிளகாய் சேர்த்து 30 நிமிடம் கடாயை மூடி மிதமான தீயில் கொதிக்கவிடவும்.
கடைசியாக இதில் கரம் மசாலா தூள், எலுமிச்சைபழச்சாறு, நறுக்கிய கொத்தமல்லி இலை சேர்த்து இறக்கவும்.</t>
  </si>
  <si>
    <t>https://khinskitchen.com/wp-content/uploads/2022/01/lamb-balti-02-500x500.jpg</t>
  </si>
  <si>
    <t>https://youtu.be/sU45dUQzp4Y?si=N1_iOVjUF_sPAg9u</t>
  </si>
  <si>
    <t>Chettinad Pepper Chicken Masala</t>
  </si>
  <si>
    <t>செட்டிநாடு மிளகு சிக்கன் மசாலா</t>
  </si>
  <si>
    <t>Whole fenugreek - 2 tbsp,
Cumin - 1 tsp,
Anisem - 1 tsp,
Whole pepper - 3 tbsp,
Dried chillies - 2,
Chicken - 1 kg,
Oil - 3 tbsp,
Bread - 1 piece,
Cardamom - 3,
Cloves - 5,
Onion - 4 chopped,
Grated ginger garlic - 2 tsp,
Tomato - 3 chopped,
Turmeric powder - 1/2 tsp,
Ground spice powder - 5 tsp,
No curry powder,
Salt.</t>
  </si>
  <si>
    <t>முழு தனியா - 2 மேசைக்கரண்டி,
சீரகம் - 1 தேக்கரண்டி,
சோம்பு - 1 தேக்கரண்டி,
முழு மிளகு - 3 மேசைக்கரண்டி,
காய்ந்த மிளகாய் - 2,
சிக்கன் - 1 கிலோ,
எண்ணெய்  - 3 மேசைக்கரண்டி,
பட்டை - 1 துண்டு,
ஏலக்காய் - 3,
கிராம்பு -  5,
வெங்காயம் - 4 நறுக்கியது,
தட்டிய இஞ்சி பூண்டு - 2 தேக்கரண்டி,
தக்காளி - 3 நறுக்கியது,
மஞ்சள் தூள் - 1/2 தேக்கரண்டி,
அரைத்த மசாலா தூள் - 5 தேக்கரண்டி,
கறிவேப்பில்லை,
உப்பு.</t>
  </si>
  <si>
    <t>In a pan without oil, add whole fenugreek, cumin, anise, whole pepper, dried chillies and fry for 3 minutes.
Cool the fried masala and grind it in a mixer.
To make Chettinadu pepper chicken masala
In a wide pan, add oil, cloves, cardamom, and onion and fry until golden brown.
Once the onion is fried, add grated ginger and garlic and fry.
Next, add tomatoes and fry.
Once the tomatoes are half fried, add turmeric powder and salt, add chicken pieces and stir.
After stirring for 5 minutes, add water, cover the pan and boil for 15 minutes.
Next, add ground spice powder and stir.
After the moisture dries up, add curry leaves and boil for 10 minutes.
Chettinadu pepper chicken masala is ready.</t>
  </si>
  <si>
    <t xml:space="preserve">கடாயில் எண்ணெய் இன்றி, முழு தனியா, சீரகம், சோம்பு, முழு மிளகு, காய்ந்த மிளகாய் சேர்த்து 3 நிமிடம் வறுக்கவும்.
வறுத்த மசாலாவை ஆறவிட்டு, மிக்ஸியில் போட்டு அரைக்கவும்.
செட்டிநாடு மிளகு சிக்கன் மசாலா செய்ய
அகல கடாயில் எண்ணெய் ஊற்றி, பட்டை, கிராம்பு, ஏலக்காய், வெங்காயம் சேர்த்து பொன்னிறமாகும் வரை வதக்கவும்.
 வெங்காயம் வதங்கியதும், இதில் தட்டிய இஞ்சி பூண்டு சேர்த்து வதக்கவும்.
 அடுத்து இதில் தக்காளி சேர்த்து வதக்கவும்.
 தக்காளி பாதி வதங்கியதும், இதில் மஞ்சள் தூள் மற்றும் உப்பு சேர்த்து, சிக்கன் துண்டுகளை போட்டு கிளறவும்.
 5 நிமிடம் கிளறிய பின், இதில் தண்ணீர் ஊற்றி, கடாயை மூடி 15 நிமிடம் கொதிக்கவிடவும்.
 அடுத்து அரைத்த மசாலா தூள் சேர்த்து கிளறவும்.
 ஈரம் வற்றிய பின் இதில் கறிவேப்பில்லை சேர்த்து 10 நிமிடம் கொதிக்கவிடவும்.
 செட்டிநாடு மிளகு சிக்கன் மசாலா தயார். 
</t>
  </si>
  <si>
    <t>https://images.herzindagi.info/image/2024/Jun/spicy-chettinad-pepper-chicken.jpg</t>
  </si>
  <si>
    <t>https://youtu.be/dq3__hTaSLk?si=apmw7woFZWhVdzSU</t>
  </si>
  <si>
    <t>Chicken Stir Fry</t>
  </si>
  <si>
    <t xml:space="preserve">
சிக்கன் ஸ்டர் ப்ரை</t>
  </si>
  <si>
    <t>Boneless chicken - 400 g,
Salt - 1/4 tsp,
Pepper powder - 1/2 tsp,
Chili flakes - 1 tsp,
Garlic - 1 tbsp chopped,
Soy sauce - 2 tsp,
Oil - 1 tbsp,
Garlic - 1 tbsp chopped,
Ginger - 1 tbsp chopped,
Large onion - 1 chopped,
Chillie wedge - 1 chopped,
Marinated chicken,
Green and red chillies,
Sriracha chilli sauce - 2 tsp,
Tomato ketchup - 3 tsp,
Soy sauce - 2 tsp,
Chili flakes - 1/2 tsp,
Roasted peanuts - 1 tbsp,
Onion leaves.</t>
  </si>
  <si>
    <t>எலும்பில்லாத சிக்கன் - 400 கிராம்,
உப்பு - 1/4 தேக்கரண்டி,
மிளகு தூள் - 1/2 தேக்கரண்டி,
சில்லி பிளேக்ஸ் - 1 தேக்கரண்டி,
பூண்டு - 1 மேசைக்கரண்டி நறுக்கியது,
சோயா சாஸ் - 2 தேக்கரண்டி,
எண்ணெய் - 1 மேசைக்கரண்டி,
பூண்டு - 1 மேசைக்கரண்டி நறுக்கியது,
இஞ்சி - 1 மேசைக்கரண்டி நறுக்கியது,
பெரிய வெங்காயம் - 1 நறுக்கியது , 
குடைமிளகாய் - 1 நறுக்கியது,
ஊறவைத்த சிக்கன்,
பச்சை மற்றும் சிவப்பு மிளகாய்,
சிராச்சா சில்லி சாஸ் - 2 தேக்கரண்டி,
தக்காளி கெட்சப்  - 3 தேக்கரண்டி,
சோயா சாஸ் - 2 தேக்கரண்டி,
சில்லி பிளேக்ஸ் - 1/2 தேக்கரண்டி,
வறுத்த வேர்க்கடலை - 1 மேசைக்கரண்டி,
வெங்காயத்தாள்.</t>
  </si>
  <si>
    <t>Cut the chicken into small pieces.
Add salt, pepper powder, chili flakes, garlic and soy sauce to it and mix.
Marinate it for 30 minutes.
In a wide pan, pour oil, add garlic, ginger and large onion and fry.
Add chillies and fry.
Next, add the marinated chicken pieces and fry.
Put the stove on high heat and stir the chicken.
After 3 minutes, add red chillies, green chillies and white part of the onion and fry.
Next, add Sriracha chilli sauce, tomato ketchup and soy sauce and stir.
When the chicken is cooked, add chilli flakes, roasted peanuts, spring onion and stir fry.
Chicken stir fry is ready.</t>
  </si>
  <si>
    <t xml:space="preserve">சிக்கன்'னை சின்ன துண்டுகளாக நறுக்கவும்.
இதில் உப்பு, மிளகு தூள், சில்லி பிளேக்ஸ், பூண்டு மற்றும் சோயா சாஸ் ஊற்றி கலக்கவும்.
 இதை 30 நிமிடம் ஊறவைக்கவும்.
 அகல கடாயில், எண்ணெய் ஊற்றி, பூண்டு, இஞ்சி, பெரிய வெங்காயம் சேர்த்து வதக்கவும்.
 இதில் குடைமிளகாய் சேர்த்து வதக்கவும்.
 அடுத்து இதில் ஊறவைத்த சிக்கன் துண்டுகளை போட்டு வதக்கவும்.
 அடுப்பை அதிக தீயில் வைத்து சிக்கன்'னை கிளறவும்.
 3 நிமிடம் கழித்து, இதில் சிவப்பு மிளகாய், பச்சை மிளகாய், வெங்காயத்தாளின் வெள்ளை பகுதியை சேர்த்து வதக்கவும்.  
 அடுத்த இதில் சிராச்சா சில்லி சாஸ், தக்காளி கெட்சப், சோயா சாஸ் சேர்த்து கிளறவும்.
சிக்கன் வெந்ததும் இதில் சில்லி பிளேக்ஸ், வறுத்த வேர்க்கடலை, வெங்காயத்தாள் கீரை சேர்த்து கிளறி இறக்கவும்.
சிக்கன் ஸ்டர் ப்ரை தயார். </t>
  </si>
  <si>
    <t>https://i.ytimg.com/vi/3_O-LToR8cs/hq720.jpg?sqp=-oaymwEhCK4FEIIDSFryq4qpAxMIARUAAAAAGAElAADIQj0AgKJD&amp;rs=AOn4CLB_CXL4ETx48UY-pCdiQ7qcFKR3Qg</t>
  </si>
  <si>
    <t>https://youtu.be/TOw431YLybA?si=SLaCSs-sr6o371k_</t>
  </si>
  <si>
    <t>Kolkata Style Chicken Parda</t>
  </si>
  <si>
    <t>கொல்கத்தா ஸ்டைல் சிக்கன் பர்த்தா</t>
  </si>
  <si>
    <t>Oil - 1 tbsp,
Ghee - 1/2 tbsp,
Baking leaves,
Baking powder,
Cloves,
Green cardamom, Black cardamom,
Large onion - 3 chopped,
Ginger garlic paste - 1 1/2 tsp,
Tomato - 2 chopped,
Turmeric powder - 1/2 tsp,
Kashmiri chilli powder - 2 tsp,
Salt - 1 tsp,
Boneless chicken - 300 gms,
Cumin powder - 1 tsp,
Dhaniya powder - 2 tsp,
Water - 1 1/2 cups,
Karam masala powder - 1 tsp,
Tandoori masala powder - 1 tsp,
Cashew paste - 2 tbsp,
Yogurt - 1/2 cup,
Kasoori Methi,
Fresh cream,
Coriander leaves.</t>
  </si>
  <si>
    <t>எண்ணெய் - 1 மேசைக்கரண்டி,
நெய் - 1/2 மேசைக்கரண்டி,  
பிரியாணி இலை, 
பட்டை, 
கிராம்பு,
பச்சை ஏலக்காய், கருப்பு ஏலக்காய்,
பெரிய வெங்காயம் - 3 நறுக்கியது,
இஞ்சி பூண்டு விழுது - 1 1/2 தேக்கரண்டி,
தக்காளி - 2 நறுக்கியது,
மஞ்சள் தூள் - 1/2 தேக்கரண்டி,
காஷ்மீரி மிளகாய் தூள் - 2 தேக்கரண்டி,
உப்பு - 1 தேக்கரண்டி,
எலும்பில்லாத சிக்கன் - 300 கிராம்,
சீரக தூள் - 1 தேக்கரண்டி,
தனியா தூள் - 2 தேக்கரண்டி,
தண்ணீர் - 1 1/2 கப்,
கரம் மசாலா தூள் - 1 தேக்கரண்டி,
தந்தூரி மசாலா தூள் - 1 தேக்கரண்டி,
முந்திரி விழுது - 2 மேசைக்கரண்டி,
தயிர் - 1/2 கப்,
கசூரி மேத்தி,
பிரெஷ் கிரீம்,
கொத்தமல்லி இலை.</t>
  </si>
  <si>
    <t>Pour oil and ghee in a pan, add biryani leaves, bark, cloves, green cardamom, black cardamom, and big onion and fry.
Once the onion is fried, add ginger garlic paste and fry for 1 minute.
Once the raw smell of ginger garlic is gone, add tomatoes and fry for 2 minutes.
Then add turmeric powder, Kashmiri chili powder, and salt and stir.
Once the oil separates in the masala, add chicken pieces and fry for 5 minutes.
Then add cumin powder and fenugreek powder.
Pour required amount of water in it, cover the pan and boil for 15 minutes.
Next, add garam masala powder and tandoori masala powder.
After 5 minutes, add cashew paste and yogurt and stir.
Cover the pan and boil for 5 minutes.
Finally, add ghee and kasoori methi and mix well.
Before serving, garnish with fresh cream and coriander leaves.</t>
  </si>
  <si>
    <t xml:space="preserve">கடாயில் எண்ணெய் மற்றும் நெய் ஊற்றி, இதில் பிரியாணி இலை, பட்டை, கிராம்பு, பச்சை ஏலக்காய், கருப்பு ஏலக்காய், பெரிய வெங்காயம் சேர்த்து வதக்கவும்.
வெங்காயம் வதங்கியதும், இதில் இஞ்சி பூண்டு விழுது சேர்த்து 1 நிமிடம் வதக்கவும்.
 இஞ்சி பூண்டின் பச்சை வாசனை போனதும், இதில் தக்காளி சேர்த்து 2 நிமிடம் வதக்கவும்.
பின் இதில் மஞ்சள் தூள், காஷ்மீரி மிளகாய் தூள், உப்பு சேர்த்து கிளறவும்.
மசாலாவில் எண்ணெய் பிரிந்ததும், இதில் சிக்கன் துண்டுகளை போட்டு 5 நிமிடம் வதக்கவும்.
பின் இதில் சீரக தூள், தனியா தூள் சேர்க்கவும்.
 இதில் தேவையான அளவு தண்ணீர் ஊற்றி, கடாயை மூடி, 15 நிமிடம் கொதிக்கவிடவும்.
 அடுத்து கரம் மசாலா தூள் மற்றும் தந்தூரி மசாலா தூள் சேர்க்கவும்.
5 நிமிடம் கழித்து, இதில் முந்திரி விழுது மற்றும் தயிர் சேர்த்து கிண்டவும்.
 கடாயை மூடி 5 நிமிடம் வேகவிடவும்.
 கடைசியாக நெய் மற்றும் கசூரி மேத்தி சேர்த்து இறக்கவும்.
பரிமாறும் முன், பிரெஷ் கிரீம் மற்றும் கொத்தமல்லி இலை தூவி பரிமாறவும். </t>
  </si>
  <si>
    <t>https://i.ytimg.com/vi/p0bs3ZdW7iM/hq720.jpg?sqp=-oaymwEhCK4FEIIDSFryq4qpAxMIARUAAAAAGAElAADIQj0AgKJD&amp;rs=AOn4CLAZIIVIPOB-i5DcMs94QnVdzztHFw</t>
  </si>
  <si>
    <t>https://youtu.be/dPhDzKzOC3U?si=q4b0OGadd2zmVM-p</t>
  </si>
  <si>
    <t>Hyderabadi Egg Curry</t>
  </si>
  <si>
    <t>ஹைதராபாதி முட்டை குருமா</t>
  </si>
  <si>
    <t>Peanuts - 1 tbsp,
Poppy seeds - 1 tsp,
White sesame seeds - 1 tsp,
Cashew nuts,
Coconut,
Oil - 2 tsp
Large onion - 1 finely chopped,
Water,
Oil - 2 tsp,
Turmeric powder - 1/4 tsp,
Chili powder - 1 tsp,
Salt - 1/2 tsp,
Eggs - 6 boiled,
Oil - 3 tbsp,
Baking powder,
Cloves,
Cardamom,
Biryani leaves,
Cumin - 1 tsp,
Ginger garlic paste - 1 tsp,
Ground spice paste,
Turmeric powder - 1/2 tsp,
Chili powder - 2 tsp,
Cumin powder - 1 tsp,
Dhaniya powder - 1 teaspoon,
Salt - 1 teaspoon,
Tomato - 1 grated,
Yogurt - 100 grams,
Green chilies - 3 chopped,
Mint leaves,
Coriander leaves.</t>
  </si>
  <si>
    <t>வேர்க்கடலை - 1 மேசைக்கரண்டி,
கசகசா - 1 தேக்கரண்டி,
வெள்ளை எள்ளு - 1 தேக்கரண்டி,
முந்திரி பருப்பு,
கொப்பரை தேங்காய்,
எண்ணெய் - 2 தேக்கரண்டி
பெரிய வெங்காயம் - 1 மெல்லியதாக நறுக்கியது,
தண்ணீர்,
எண்ணெய் - 2 தேக்கரண்டி,
மஞ்சள் தூள் - 1/4 தேக்கரண்டி,
மிளகாய் தூள் - 1 தேக்கரண்டி,
உப்பு - 1/2 தேக்கரண்டி,
முட்டை - 6 வேகவைத்தது,
எண்ணெய் - 3 மேசைக்கரண்டி,
பட்டை, 
கிராம்பு, 
ஏலக்காய்,
பிரியாணி இலை,
சீரகம் - 1 தேக்கரண்டி,
இஞ்சி பூண்டு விழுது - 1 தேக்கரண்டி,
அரைத்த மசாலா விழுது,
மஞ்சள் தூள் - 1/2 தேக்கரண்டி,
மிளகாய் தூள் - 2 தேக்கரண்டி,
சீரக தூள் - 1 தேக்கரண்டி,
தனியா தூள் - 1 தேக்கரண்டி,
உப்பு - 1 தேக்கரண்டி,
தக்காளி - 1 அரைத்தது,
தயிர் - 100 கிராம்,
பச்சை மிளகாய் - 3 நறுக்கியது,
புதினா இலை,
கொத்தமல்லி இலை.</t>
  </si>
  <si>
    <t>Add peanuts, poppy seeds, white sesame seeds, cashew nuts, coconut and coconut milk in a pan and fry for 5 minutes. Remove the coconut when it turns golden brown.
Pour oil into the pan, add the large onion and fry until golden brown.
Grind the fried ingredients in a mixer, add the fried onion and water and grind to a paste.
Pour oil into the pan, add turmeric powder, chili powder and salt and fry.
Lightly scratch the boiled eggs and put them in the oil.
Fry the eggs well in the masala.
Pour oil in a pan, add the bay leaves, cloves, cardamom, bay leaves, and cumin seeds and stir.
Next, add the ginger garlic paste and sauté.
Reduce the heat, add the ground spice paste and sauté.
Add a little water and stir.
Add turmeric powder, chili powder, cumin powder, fenugreek powder, and salt and stir.
Cover the pan and let it boil for 5 minutes.
When the oil starts separating, add the ground tomato paste and stir.
Next, add the well-beaten yogurt.
Pour 1/2 cup of water and let it boil for 10 minutes, cover the pan.
Then add the fried eggs.
Finally, add the chopped green chilies, mint leaves, and coriander leaves and stir.
Cover the pan and let it boil for 5 minutes.
Hyderabadi Mutta Kuruma is ready.</t>
  </si>
  <si>
    <t xml:space="preserve">கடாயில் வேர்க்கடலை, கசகசா, வெள்ளை எள்ளு, முந்திரி பருப்பு, கொப்பரை தேங்காய் சேர்த்து 5 நிமிடம் வறுக்கவும். தேங்காய் பொன்னிறமானதும் எடுத்து வைக்கவும்.
கடாயில் எண்ணெய் ஊற்றி, பெரிய வெங்காயம் சேர்த்து, பொன்னிறமாகும் வரை வதக்கவும்.
வறுத்த பொருட்களை மிக்ஸியில் போட்டு அரைத்து, இதனுடன் வதக்கிய வெங்காயம் மற்றும் தண்ணீர் சேர்த்து விழுதாக அரைக்கவும்.
கடாயில் எண்ணெய் ஊற்றி, மஞ்சள் தூள், மிளகாய் தூள், உப்பு சேர்த்து கிண்டவும்.
 வேகவைத்த முட்டைகளை லேசாக கீறி, எண்ணையில் போடவும்.
 முட்டையை, மசாலாவில் நன்கு பிரட்டவும்.
கடாயில் எண்ணெய் ஊற்றி, பட்டை, கிராம்பு, ஏலக்காய், பிரியாணி இலை, சீரகம் சேர்த்து கிளறவும்.
 அடுத்து இதில் இஞ்சி பூண்டு விழுது சேர்த்து வதக்கவும்.
தீயை குறைத்து வைத்து, அரைத்த மசாலா விழுதை சேர்த்து வதக்கவும்.
சிறிதளவு தண்ணீர் சேர்த்து கிளறவும்.
 இதில் மஞ்சள் தூள், மிளகாய் தூள், சீரக தூள், தனியா தூள், மற்றும் உப்பு சேர்த்து கிளறவும்.
 கடாயை மூடி 5 நிமிடம் கொதிக்கவிடவும்.
 எண்ணெய் பிரிய ஆரம்பித்ததும், இதில் அரைத்த தக்காளி விழுது சேர்த்து கிளறவும்.
அடுத்து இதில் நன்கு அடித்த தயிரை சேர்க்கவும்.
 இதில் 1/2 கப் தண்ணீர் ஊற்றி, கடாயை மூடி 10 நிமிடம் கொதிக்கவிடவும்.
பின் இதில் வறுத்த முட்டைகளை சேர்க்கவும்.
இறுதியாக நறுக்கிய பச்சை மிளகாய், புதினா இலை, கொத்தமல்லி இலை சேர்த்து கிளறவும்.
கடாயை மூடி, 5 நிமிடம் கொதிக்கவிடவும்.
 ஹைதராபாதி முட்டை குருமா தயார் </t>
  </si>
  <si>
    <t>https://i.ytimg.com/vi/_pIlkt6V72Q/hq720.jpg?sqp=-oaymwEhCK4FEIIDSFryq4qpAxMIARUAAAAAGAElAADIQj0AgKJD&amp;rs=AOn4CLBIiyC0k6kZgcsxzf2MTRSV-TZ9pQ</t>
  </si>
  <si>
    <t>https://youtu.be/lL0NwtYGiWo?si=uX3TI_o-mPKgEfA6</t>
  </si>
  <si>
    <t>Onions - 4 (fried),
Ghee - 1/2 cup,
Biriyani leaves - 2,
Cardamom - 4,
Batter - small piece,
Javadri,
Cloves - 7,
Ginger garlic paste - 2 tablespoons,
Mutton - 1 kg,
Salt - 1 tablespoon,
Yogurt - 1 cup,
Chili powder - 2 tablespoons,
Dhaniya powder - 2 tablespoons,
Tomato paste (boiled and ground),
Water,
Garram masala powder,
Ginger chopped lengthwise,
Coriander leaves chopped.</t>
  </si>
  <si>
    <t>வெங்காயம் - 4 (வதக்கியது),
நெய் - 1/2 கப்,
பிரியாணி இலை - 2,
ஏலக்காய் - 4,
பட்டை - சிறிய துண்டு,
ஜாவித்ரி,
கிராம்பு - 7,
இஞ்சி பூண்டு விழுது - 2 தேக்கரண்டி,
மட்டன் - 1 கிலோ,
உப்பு - 1 தேக்கரண்டி,
தயிர் - 1 கப்,
மிளகாய் தூள் - 2 தேக்கரண்டி,
தனியா தூள் - 2 தேக்கரண்டி,
தக்காளி விழுது (வேகவைத்து அரைத்தது),
தண்ணீர்,
கரம் மசாலா தூள்,
இஞ்சி நீளவாக்கில் நறுக்கியது,
கொத்தமல்லி இலை நறுக்கியது.</t>
  </si>
  <si>
    <t>Chop the onion lengthwise and fry well. Then put it in a mixer and grind it into a paste without water.
Pour ghee in a pan, add the batter, biriyani leaves, cardamom, javedri, cloves, ginger garlic paste and fry.
Next, add the mutton and salt and mix.
Then add the chili powder, turmeric powder and mix.
Add the grated onion paste, boiled and grated tomato paste, and a little water and stir.
Cover the pan and cook on medium heat for 45 minutes.
Finally, add the garam masala powder, ginger, and coriander leaves and mix.
The delicious mutton rogan josh is ready.</t>
  </si>
  <si>
    <t>வெங்காயத்தை நீளவாக்கில் நறுக்கி நன்கு வதக்கவும். பின்பு மிக்ஸியில் போட்டு தண்ணீர் இன்றி விழுதாக அரைக்கவும்.
கடாயில் நெய் ஊற்றி, பட்டை, பிரியாணி இலை, ஏலக்காய், ஜாவித்ரி, கிராம்பு, இஞ்சி பூண்டு விழுது சேர்த்து வதக்கவும்.
 அடுத்து இதில் மட்டன் மற்றும் உப்பு சேர்த்து கிண்டவும்.
 பின் இதில் மிளகாய் தூள், தனியா தூள், சேர்த்து கிண்டவும்.
 அரைத்த வெங்காய விழுது, வேகவைத்து அரைத்த தக்காளி விழுது, சிறிதளவு தண்ணீர் சேர்த்து கிளறவும்.
கடாயை மூடி மிதமான தீயில் 45 நிமிடம் வேகவைக்கவும்.
இறுதியாக, கரம் மசாலா தூள், இஞ்சி, கொத்தமல்லி இலை சேர்த்து கிளறவும்.
அட்டகாசமான மட்டன் ரோகன் ஜோஷ் தயார்.</t>
  </si>
  <si>
    <t>https://encrypted-tbn0.gstatic.com/images?q=tbn:ANd9GcTLNiplIDCZzQU5ncPPh1wOw4EoxstRFStZnw&amp;s</t>
  </si>
  <si>
    <t>https://youtu.be/50vQU31XyIE?si=F6rNTCW0EAdAtd_q</t>
  </si>
  <si>
    <t>மட்டன் மசாலா</t>
  </si>
  <si>
    <t>Boneless mutton - 1 kg,
Turmeric powder - 1 tsp,
Chilli powder - 3 tsp,
Chilli powder - 1/2 tsp,
Salt - 1 tsp,
Ginger garlic paste - 2 tsp,
Water - 1/2 cup,
Oil - 2 tbsp,
Baking leaves,
Baking powder,
Cloves,
Cardamom,
Onion - 4 chopped,
Green chillies - 3 chopped,
Tomatoes - 4 chopped,
Salt - 1/2 tsp,
Thaniya powder - 2 tsp,
Garlic powder - 1/2 tsp,
Ghee - 2 tsp,
Coriander leaves chopped.</t>
  </si>
  <si>
    <t>எலும்பில்லாத மட்டன் - 1 கிலோ,
மஞ்சள் தூள் - 1 தேக்கரண்டி,
மிளகாய் தூள் - 3 தேக்கரண்டி,
மிளகு தூள் - 1/2 தேக்கரண்டி,
உப்பு - 1 தேக்கரண்டி,
இஞ்சி பூண்டு விழுது - 2 தேக்கரண்டி,
தண்ணீர் - 1/2 கப்,
எண்ணெய் - 2 மேசைக்கரண்டி,
பிரியாணி இலை,
பட்டை, 
கிராம்பு, 
ஏலக்காய்,
வெங்காயம் - 4 நறுக்கியது,
பச்சை மிளகாய் - 3 கீறியது,
தக்காளி - 4 நறுக்கியது,
உப்பு - 1/2 தேக்கரண்டி,
தனியா தூள் - 2 தேக்கரண்டி,
கரம் மசாலா தூள் - 1/2 தேக்கரண்டி,
நெய் - 2 தேக்கரண்டி,
கொத்தமல்லி இலை நறுக்கியது.</t>
  </si>
  <si>
    <t>In a bowl, add mutton, turmeric powder, pepper powder, chili powder and salt and mix well and marinate for 1 hour
In a pressure cooker, add marinated mutton, ginger garlic paste, 1/2 cup water and cook till 4 whistles.
Pour oil in a pan, add biryani leaves, bay leaves, cloves, cardamom and onion and fry till golden brown.
Next add green chillies and fry.
Then add tomatoes and salt and fry.
Once the tomatoes are mashed, add boiled mutton and water and boil.
Once the water dries up a little, add taniya powder and boil till it thickens well.
Finally, add garam masala powder, ghee and coriander leaves and stir.</t>
  </si>
  <si>
    <t>பாத்திரத்தில் மட்டன், மஞ்சள் தூள், மிளகு தூள், மிளகாய் தூள் உப்பு சேர்த்து நன்கு கலந்து, 1 மணி நேரம் ஊறவைக்கவும்
பிரஷர் குக்கர்'ரில், ஊறிய மட்டன், இஞ்சி பூண்டு விழுது, 1/2 கப் தண்ணீர் சேர்த்து 4 விசில் வரும் வரை வேகவைக்கவும்.
 கடாயில் எண்ணெய் ஊற்றி, பிரியாணி இலை, பட்டை, கிராம்பு, ஏலக்காய், வெங்காயம் சேர்த்து பொன்னிறமாகும் வரை வதக்கவும்.
 அடுத்து இதில் பச்சை மிளகாய் சேர்த்து வதக்கவும்.
பின் தக்காளி மற்றும் உப்பு சேர்த்து  வதக்கவும்.
 தக்காளி மசிந்ததும், இதில் வேகவைத்த மட்டன் மற்றும் தண்ணீர் சேர்த்து கொதிக்கவிடவும்.
தண்ணீர் சிறிது வற்றியதும், இதில் தனியா தூள் சேர்த்து நன்கு கெட்டியாகும் வரை கொதிக்கவிடவும்.
கடைசியாக கரம் மசாலா தூள், நெய் மற்றும் கொத்தமல்லி இலை சேர்த்து கிளறவும்.</t>
  </si>
  <si>
    <t>https://youtu.be/2JrJcDn9cgE?si=_vi1DDRjlOrA3pnv</t>
  </si>
  <si>
    <t>Egg Vindaloo</t>
  </si>
  <si>
    <t>முட்டை விண்டலூ</t>
  </si>
  <si>
    <t>Eggs - 6,
Tomatoes - 4 chopped,
Oil,
Bread - 1 piece,
Cumin - 1 tsp,
Onions - 2 chopped,
Green chillies - 3 chopped,
Ginger garlic paste - 1/2 tsp,
Salt - 2 tsp,
Turmeric powder - 1/4 tsp,
Kashmiri chilli powder - 2 tsp,
Dhaniya powder - 1 tsp,
Cumin powder - 1 tsp,
Sugar - 1 tbsp,
Vinegar - 3 tsp,
Water - 1 cup,
Coriander leaves chopped.</t>
  </si>
  <si>
    <t>முட்டை - 6,
தக்காளி - 4 நறுக்கியது,
எண்ணெய்,
பட்டை - 1 துண்டு ,
சீரகம் - 1 தேக்கரண்டி,
வெங்காயம் - 2 நறுக்கியது,
பச்சை மிளகாய் - 3 நறுக்கியது,
இஞ்சி பூண்டு விழுது - 1/2 தேக்கரண்டி,
உப்பு - 2 தேக்கரண்டி,
மஞ்சள் தூள் - 1/4 தேக்கரண்டி,
காஷ்மீரி மிளகாய் தூள் - 2 தேக்கரண்டி,
தனியா தூள் - 1 தேக்கரண்டி,
சீரக தூள் - 1 தேக்கரண்டி,
சர்க்கரை - 1 மேசைக்கரண்டி,
வினிகர் - 3 தேக்கரண்டி,
தண்ணீர் - 1 கப்,
கொத்தமல்லி இலை நறுக்கியது.</t>
  </si>
  <si>
    <t>Boil the eggs and set aside. Grind the tomatoes into a paste and set aside.
Pour oil in a pan and add the breadcrumbs, cumin, onions, green chillies, and ginger garlic paste.
Next, add tomato paste and stir, and let it boil until the spices thicken.
Next, add salt, turmeric powder, Kashmiri chili powder, semolina powder, cumin powder and vinegar and stir.
When the oil starts separating, add water and cut the boiled eggs in half.
Cover the pan and let it boil for 7 minutes.
The egg vindaloo is ready.</t>
  </si>
  <si>
    <t xml:space="preserve">முட்டையை வேகவைத்து எடுத்துவைக்கவும். தக்காளியை விழுதாக அரைத்து எடுத்து வைக்கவும்.
கடாயில் எண்ணெய் ஊற்றி, பட்டை, சீரகம், வெங்காயம், பச்சை மிளகாய், இஞ்சி பூண்டு விழுது சேர்க்கவும்.
அடுத்து இதில் தக்காளி விழுது சேர்த்து கிளறி, மசாலா கெட்டியாகும் வரை கொதிக்கவிடவும்.
 அடுத்து இதில் உப்பு, மஞ்சள் தூள், காஷ்மீரி மிளகாய் தூள், தனியா தூள், சீரக தூள் மற்றும் வினிகர் சேர்த்து கிளறவும்.
எண்ணெய் பிரிய ஆரம்பித்ததும், இதில் தண்ணீர் ஊற்றி, வேகவைத்த முட்டைகளை பாதியாக நறுக்கி போடவும்.
கடாயை மூடி 7 நிமிடம் கொதிக்கவிடவும்.
 முட்டை விண்டலூ தயார். </t>
  </si>
  <si>
    <t>https://encrypted-tbn0.gstatic.com/images?q=tbn:ANd9GcQ5-avIT_Rn_Lhx9jizKxY1xChWL-LX_-HqRQ&amp;s</t>
  </si>
  <si>
    <t>https://youtu.be/vcxmc0v_yxw?si=-UUV3-jDyKwT2Awg</t>
  </si>
  <si>
    <t>Chicken Handi</t>
  </si>
  <si>
    <t>சிக்கன் ஹண்டி</t>
  </si>
  <si>
    <t>Chicken - 300 grams,
Ketti yogurt - 1 cup,
Turmeric powder - 1 teaspoon,
Kashmiri chili powder - 1 1/2 tablespoons,
Pepper powder - 1 teaspoon,
Cumin powder - 1 teaspoon,
Dhaniya powder - 2 teaspoons,
Salt - 1 1/2 tablespoons,
Oil - 1 tablespoon,
Ghee - 2 tablespoons,
Biryani leaves,
Baking powder,
Cloves,
Cardamom,
Javitri,
Onion - 1 chopped,
Green chilies - 2 grated,
Ginger garlic paste - 1 teaspoon,
Tomato paste - 2 grated,
Cashew paste - 1/2 cup,
Coriander leaves,
Kasoori methi.</t>
  </si>
  <si>
    <t>சிக்கன் - 300 கிராம்,
கெட்டி தயிர் - 1 கப்,
மஞ்சள் தூள் - 1 தேக்கரண்டி,
காஷ்மீரி மிளகாய் தூள் - 1 1/2 மேசைக்கரண்டி,
மிளகு தூள் - 1 தேக்கரண்டி,
சீரக தூள் - 1 தேக்கரண்டி,
தனியா தூள் - 2 தேக்கரண்டி,
உப்பு - 1 1/2 தேக்கரண்டி,
எண்ணெய் - 1 மேசைக்கரண்டி,
நெய் - 2 தேக்கரண்டி,
பிரியாணி இலை,
பட்டை, 
கிராம்பு, 
ஏலக்காய்,
ஜாவித்ரி,
வெங்காயம் - 1 நறுக்கியது,
பச்சை மிளகாய் - 2 கீறியது,
இஞ்சி பூண்டு விழுது - 1 தேக்கரண்டி,
தக்காளி விழுது  - 2 அரைத்தது,
முந்திரி விழுது - 1/2 கப்,
கொத்தமல்லி இலை,
கசூரி மேத்தி.</t>
  </si>
  <si>
    <t>In a bowl, add chicken, thick curd, lemon juice, turmeric powder, Kashmiri chili powder, pepper powder, cumin powder, semolina powder and salt and mix well.
Soak it for 30 minutes.
Pour oil, ghee in a clay pot, add the rind, cloves, cardamom, bay leaves, jaggery, onion and sauté.
Next, add green chilies, ginger garlic paste and coriander leaves and stir.
Then pour tomato paste in it, add the soaked chicken pieces and stir.
Add salt to it, cover the pan and simmer for 20 minutes.
When the chicken is cooked, add the cashew paste.
Finally, add the kasoori methi.
Sprinkle chopped coriander leaves and serve.</t>
  </si>
  <si>
    <t xml:space="preserve">பாத்திரத்தில், சிக்கன், கெட்டி தயிர், எலுமிச்சைபழச்சாறு, மஞ்சள் தூள், காஷ்மீரி மிளகாய் தூள், மிளகு தூள், சீரக தூள், தனியா தூள் மற்றும் உப்பு சேர்த்து நன்கு கலக்கவும்.
 இதை 30 நிமிடம் ஊறவைக்கவும்.
மண்சட்டியில் எண்ணெய், நெய் ஊற்றி, பட்டை, கிராம்பு, ஏலக்காய், பிரியாணி இலை, ஜாவித்ரி, வெங்காயம் போட்டு வதக்கவும்.
அடுத்து இதில் பச்சை மிளகாய், இஞ்சி பூண்டு விழுது, கொத்தமல்லி இலை சேர்த்து கிளறவும்.
 பின் இதில் தக்காளி விழுது ஊற்றி, ஊறவைத்த சிக்கன் துண்டுகளை போட்டு கிளறவும்.
 இதில் உப்பு சேர்த்து, சட்டியை மூடி, 20 நிமிடம் கொதிக்கவிடவும்.  
 சிக்கன் வெந்ததும், இதில் முந்திரி விழுது சேர்க்கவும்.
கடைசியாக கசூரி மேத்தி சேர்க்கவும்.
 நறுக்கிய கொத்தமல்லி இலை தூவி பரிமாறவும்.   </t>
  </si>
  <si>
    <t>https://encrypted-tbn0.gstatic.com/images?q=tbn:ANd9GcSbDWiMEnToeYJttsldpe4_loYhF9XX5mYsug&amp;s</t>
  </si>
  <si>
    <t>https://youtu.be/C4V-xqdbIYM?si=nKv66zgylMtkBJU0</t>
  </si>
  <si>
    <t xml:space="preserve">சிக்கன் கறி </t>
  </si>
  <si>
    <t>Chicken - 1 kg,
Turmeric powder - 1/2 tsp,
Salt - 1 tsp,
Chilli powder - 3 tsp,
Oil - 2 tbsp,
Baking powder, cloves, cardamom,
Onion - 4 finely chopped,
Green chillies - 3 chopped lengthwise,
Ginger garlic paste - 2 tsp,
Tomato - 4 chopped,
Salt - 1 tsp,
Thaniya powder - 2 tsp,
Cumin powder - 1 tsp,
Water - 2 cups,
Coriander leaves.</t>
  </si>
  <si>
    <t>சிக்கன் - 1 கிலோ,
மஞ்சள் தூள் - 1/2 தேக்கரண்டி,
உப்பு - 1 தேக்கரண்டி,
மிளகாய் தூள் - 3 தேக்கரண்டி,
எண்ணெய் - 2 மேசைக்கரண்டி ,
பட்டை, கிராம்பு, ஏலக்காய்,
வெங்காயம் - 4 மெல்லியதாக நறுக்கியது,
பச்சை மிளகாய் - 3 நீளவாக்கில் நறுக்கியது,
இஞ்சி பூண்டு விழுது - 2 தேக்கரண்டி,
தக்காளி - 4 நறுக்கியது,
உப்பு - 1 தேக்கரண்டி,
தனியா தூள் - 2 தேக்கரண்டி,
சீரக தூள் - 1 தேக்கரண்டி,
தண்ணீர் - 2 கப்,
கொத்தமல்லி இலை.</t>
  </si>
  <si>
    <t>Take the chicken pieces in a bowl, add turmeric powder, chili powder,
salt and mix well.
Let it marinate for 20 minutes.
Pour oil in a cooker and when the oil is hot, add the bark, cloves
and cardamom and fry.
Then add onion and green chillies and fry till the onion turns golden.
Then add ginger garlic paste and tomatoes and fry.
Add salt and fry till the tomatoes become soft.
Then add turmeric powder and cumin powder and mix well.
Add soaked chicken pieces and mix well.
Add two cups of water and mix well and cook till 4 whistles.
Chicken curry is ready.
Sprinkle coriander leaves on top and serve the chicken curry hot with rice.</t>
  </si>
  <si>
    <t>ஒரு பாத்திரத்தில் சிக்கன் துண்டுகளை எடுத்து, மஞ்சள் தூள், மிளகாய் தூள்,
 உப்பு சேர்த்து நன்றாக கலக்கவும்.
 இதை 20 நிமிடங்களுக்கு ஊற வைக்கவும்.
குக்கரில் எண்ணெய் ஊற்றி எண்ணெய் சூடானதும், பட்டை, கிராம்பு
மற்றும் ஏலக்காய் சேர்த்து வதக்கவும்.
பின்பு வெங்காயம், பச்சை மிளகாய் சேர்த்து வெங்காயம் பொன்
நிறமாகும் வரை வதக்கவும்.
 பின்பு இஞ்சி பூண்டு விழுது மற்றும் தக்காளி சேர்த்து
வதக்கவும்.
 உப்பு சேர்த்து தக்காளி மசியும் வரை வதக்கவும்.
பின்பு தனியா தூள், சீரக தூள், சேர்த்து நன்கு கலக்கவும்.
 ஊறவைத்த சிக்கன் துண்டுகளை சேர்த்து நன்கு கலக்கவும்.
 இரண்டு கப் தண்ணீர் சேர்த்து நன்கு கலந்து 4 விசில் வரும் வரை வேகவைக்கவும்.
சிக்கன் கறி தயார்.
 இதன் மேல் கொத்தமல்லி இலை தூவி சாதத்துடன்
சிக்கன் கறியை சூடாக பரிமாறவும்.</t>
  </si>
  <si>
    <t>https://i.ytimg.com/vi/uKu7tPvkDK8/sddefault.jpg</t>
  </si>
  <si>
    <t>https://youtu.be/O2Ek3-jQSGU?si=5C2QCq7sXz9CfLqR</t>
  </si>
  <si>
    <t>Fried Egg Masala</t>
  </si>
  <si>
    <t>வறுத்த முட்டை மசாலா</t>
  </si>
  <si>
    <t>Oil,
Turmeric powder - 1/4 tsp,
Chili powder - 1 tsp,
Salt - 1/2 tsp,
Boiled eggs - 5,
Baking powder - small piece,
Cloves - 2,
Cardamom - 2,
Anise - 1/4 tsp,
Cumin - 1/4 tsp,
Black pepper powder - 1/2 tsp,
Onion - 3 chopped,
Green chilies - 2 chopped,
Ginger garlic paste - 1 tsp,
Tomatoes - 4 chopped,
Chili powder - 2 tsp,
Cumin powder - 1 tsp,
Dhaniya powder - 1 tsp,
Salt - as required,
Water,
Sugar - 3/4 tsp,
Fried eggs.</t>
  </si>
  <si>
    <t>எண்ணெய்,
மஞ்சள் தூள் - 1/4 தேக்கரண்டி,
மிளகாய் தூள் - 1 தேக்கரண்டி,
உப்பு - 1/2 தேக்கரண்டி,
வேகவைத்த முட்டை - 5,
பட்டை - சிறியதுண்டு,
கிராம்பு - 2,
ஏலக்காய் - 2,
சோம்பு - 1/4 தேக்கரண்டி,
சீரகம் - 1/4 தேக்கரண்டி,
கரம் மசாலா தூள் - 1/2 தேக்கரண்டி,
வெங்காயம் - 3 துருவியது,
பச்சை மிளகாய் - 2 கீறியது,
இஞ்சி பூண்டு விழுது - 1 தேக்கரண்டி,
தக்காளி - 4 துருவியது,
மிளகாய் தூள் - 2 தேக்கரண்டி,
சீரக தூள் - 1 தேக்கரண்டி,
தனியா தூள் - 1 தேக்கரண்டி,
உப்பு - தேவையான அளவு,
தண்ணீர்,
சக்கரை - 3/4 தேக்கரண்டி,
வறுத்த முட்டைகள்.</t>
  </si>
  <si>
    <t>Pour a little oil in a pan, add turmeric powder, chili powder, salt, and crack the boiled egg on all sides.
Fry on medium heat for 2 minutes until the spices stick well to the egg.
Add a little oil to the same pan, add the cardamom, cloves, cardamom, anise, and cumin.
Then add the chopped onion and fry. Then add the chopped green chilies and fry until the onion turns golden brown.
Add the ginger garlic paste and stir. Add the chopped tomatoes and fry.
Next, add the chili powder, cumin powder, garam masala powder, and salt as required and stir.
Pour a little water and cook until the oil separates. Then add the sugar and stir.
When the spices are cooked, add the fried egg to it and stir until it is ready.</t>
  </si>
  <si>
    <t>கடாயில் சிறிதளவு எண்ணெய் ஊற்றி, அதில் மஞ்சள் தூள், மிளகாய் தூள், உப்பு சேர்த்து, வேகவைத்த முட்டையை நாலு பக்கமும் கீறி சேர்த்து கொள்ளவும்.
 முட்டையில் மசாலா நன்கு ஒட்டும் வரை 2 நிமிடம் மிதமான தீயில் வறுக்கவும்.
அதே கடாயில் சிறிதளவு எண்ணெய் சேர்த்து, அதனுடன் பட்டை, கிராம்பு, ஏலக்காய், சோம்பு, சீரகம் சேர்க்கவும்.
 பின்பு துருவிய வெங்காயம் சேர்த்து வதக்கவும். பிறகு பச்சை மிளகாயை கீறி சேர்த்து வெங்காயம் பொன்னிறமாகும் வரை வதக்கவும்.
 இதில் இஞ்சி பூண்டு விழுது சேர்த்து கிளறவும். துருவிய தக்காளியை சேர்த்து வதக்கவும்.
 அடுத்து மிளகாய் தூள், சீரக தூள், தனியா தூள், கரம் மசாலா தூள், தேவையான அளவு உப்பு சேர்த்து கிளறவும்.
 சிறிதளவு தண்ணீர் ஊற்றி, எண்ணெய் பிரிந்து வரும் வரை வேகவிடவும். பிறகு சக்கரை சேர்த்து கிளறவும்.
 மசாலா வெந்ததும் அதில் வறுத்த முட்டையை சேர்த்து கிளறி இறக்கினால் வறுத்த முட்டை மசாலா தயார்.</t>
  </si>
  <si>
    <t>https://www.sharmispassions.com/wp-content/uploads/2023/02/egg-fry-recipe3.jpg</t>
  </si>
  <si>
    <t>https://youtu.be/oVna6LND0P0?si=44XBa2OGlXbVu8qK</t>
  </si>
  <si>
    <t>Chicken Sengesi</t>
  </si>
  <si>
    <t xml:space="preserve">சிக்கன் செங்கேசி </t>
  </si>
  <si>
    <t>Chicken - 1/2 kg,
Yogurt - 200 g,
Ginger garlic paste - 1 tsp,
Salt - 1 tsp,
Chili powder - 2 tsp,
Lemon juice - 1 fruit,
Oil,
Large onion - 2 finely chopped,
Cashew nuts - handful,
Tomatoes - 3 boiled,
Salt,
Ghee - 2 tsp,
Ginger garlic paste - 1/2 tsp,
Kashmiri chili powder - 1 tsp,
Karam masala powder - 1 tsp,
Chat masala powder - 1 tsp,
Milk - 1/2 cup,
Green chilies - finely chopped,
Salt,
Water - 1/2 cup,
Fresh cream - 2 tbsp,
Kasoori methi,
Coriander Chopped leaves.</t>
  </si>
  <si>
    <t>சிக்கன் - 1/2 கிலோ,
தயிர் - 200 கிராம்,
இஞ்சி பூண்டு விழுது - 1 தேக்கரண்டி,
உப்பு - 1 தேக்கரண்டி,
மிளகாய் தூள் - 2 தேக்கரண்டி,
எலுமிச்சைபழச்சாறு - 1 பழம்,
எண்ணெய்,   
பெரிய வெங்காயம் - 2 மெல்லியதாக நறுக்கியது,
முந்திரி பருப்பு - கையளவு ,
தக்காளி - 3 வேகவைத்தது,
உப்பு,
நெய் - 2 தேக்கரண்டி,
இஞ்சி பூண்டு விழுது - 1/2 தேக்கரண்டி,
காஷ்மீரி மிளகாய் தூள் - 1 தேக்கரண்டி,
கரம் மசாலா தூள் - 1 தேக்கரண்டி,
சாட் மசாலா தூள் - 1 தேக்கரண்டி,
பால் - 1/2 கப்,
பச்சை மிளகாய் - சிறிதளவு பொடியாக நறுக்கியது,
உப்பு,
தண்ணீர் - 1/2 கப்,
பிரெஷ் கிரீம் - 2 மேசைக்கரண்டி,
கசூரி மேத்தி,
கொத்தமல்லி இலை நறுக்கியது.</t>
  </si>
  <si>
    <t>In a bowl, add chicken, yogurt, ginger garlic paste, salt, chili powder, lemon juice and mix well for 1 hour.
Add a little oil to a pan and add the soaked chicken pieces. Cook until the water and spices dry up and set aside.
Add a little oil to the same pan and add finely chopped onion and fry until golden brown.
Then add a handful of cashew nuts and boiled tomatoes, a little salt and fry.
Once the onion and tomatoes are cooked, cool and grind them into a paste.
Then put the stove on low heat, add ghee to the same pan, add ginger garlic paste and stir, then add Kashmiri chili powder, garam masala powder, chaat masala powder.
Then add the ground masala paste to it and add half a cup of milk.
Next add the boiled chicken. Put the stove on medium heat. Then add chopped green chilies. Add a little salt.
Add half a cup of water and cook for 10 minutes. When the oil starts separating from the masala, add fresh cream and turn off the stove. Then add a little kasoori methi and coriander leaves and serve hot.</t>
  </si>
  <si>
    <t>ஒரு பாத்திரத்தில் சிக்கன், தயிர், இஞ்சி பூண்டு விழுது, உப்பு, மிளகாய் தூள், எலுமிச்சைபழச்சாறு சேர்த்து நன்கு கலந்து 1 மணி நேரம் ஊறவிடவும்.
ஒரு கடாயில் சிறிதளவு எண்ணெய் சேர்த்து அதில் ஊறவைத்த சிக்கன் துண்டுகளை சேர்க்கவும். தண்ணீர் மற்றும் மசாலா வற்றும் வரை வேகவிட்டு எடுத்து வைக்கவும்.
 அதே கடாயில் சிறிதளவு எண்ணெய் ஊற்றி மெல்லிதாக நறுக்கிய வெங்காயம் சேர்த்து பொன்னிறமாகும் வரை வதக்கவும்.
 பிறகு அதில் ஒரு கையளவு முந்திரி பருப்பு மற்றும் வேகவைத்த தக்காளி, சிறிதளவு உப்பு சேர்த்து வதக்கவும். 
 வெங்காயம் தக்காளி வதங்கியதும் ஆறவிட்டு விழுதாக அரைத்தது கொள்ளவும்.
 பின்பு அடுப்பை குறைந்த தீயில் வைத்து, அதே கடாயில் நெய் சேர்த்து, இஞ்சி பூண்டு விழுது சேர்த்து கிளறவும், அடுத்து காஷ்மீரி மிளகாய் தூள், கரம் மசாலா தூள், சாட் மசாலா தூள் சேர்க்கவும்.
 பிறகு அதில் அரைத்த மசாலா விழுதை சேர்க்கவும், அரை கப் பால் சேர்க்கவும்.
 அடுத்து வேகவைத்த சிக்கனை சேர்க்கவும். அடுப்பை மிதமான தீயில் வைக்கவும்.பிறகு நறுக்கிய பச்சை மிளகாய் சேர்க்கவும். சிறிதளவு உப்பு சேர்க்கவும்.
அரை கப் தண்ணீர் சேர்த்து 10 நிமிடம் வேகவிடவும், மசாலாவில் இருந்து எண்ணெய்
பிரிய ஆரம்பித்ததும், பிரெஷ் கிரீம் சேர்த்து அடுப்பை அணைக்கவும். பிறகு சிறிதளவு
கசூரி மேத்தி மற்றும் கொத்தமல்லி இலை சேர்த்து சூடாக பரிமாறவும்.</t>
  </si>
  <si>
    <t>https://atanurrannagharrecipe.com/wp-content/uploads/2023/01/Chicken-Changezi-Photo-01.jpg</t>
  </si>
  <si>
    <t>https://youtu.be/HqMzp7jWAf4?si=3mBRbNnvlcTvrdkQ</t>
  </si>
  <si>
    <t>Onion Egg Masala</t>
  </si>
  <si>
    <t>வெங்காயம் முட்டை மசாலா</t>
  </si>
  <si>
    <t>Oil - 1 tablespoon,
Salt - 1/4 teaspoon,
Turmeric powder - 1/4 teaspoon,
Chili powder - 1/4 teaspoon,
Boiled eggs - 6,
Oil - 3 tablespoons,
Onion - 3 chopped,
Green chilies - 3 chopped,
Ginger garlic paste - 1 1/2 teaspoons,
Turmeric powder - 1/4 teaspoon,
Salt - 1 teaspoon,
Chili powder - 3 teaspoons,
Thaniya powder - 1 teaspoon,
Cereal powder - 1 teaspoon,
Water - 1 cup,
Karam masala powder - 1/2 teaspoon,
Fried eggs - 6,
Coriander leaves - chopped.</t>
  </si>
  <si>
    <t>எண்ணெய் - 1 தேக்கரண்டி,
உப்பு - 1/4 தேக்கரண்டி,
மஞ்சள் தூள் - 1/4 தேக்கரண்டி,
மிளகாய் தூள் - 1/4 தேக்கரண்டி,
வேகவைத்த முட்டை - 6,
எண்ணெய் - 3 மேசைக்கரண்டி,
வெங்காயம் - 3 பொடியாக நறுக்கியது,
பச்சை மிளகாய் - 3 பொடியாக நறுக்கியது,
இஞ்சி பூண்டு விழுது - 1 1/2 தேக்கரண்டி,
மஞ்சள் தூள் - 1/4 தேக்கரண்டி,
உப்பு - 1 தேக்கரண்டி,
மிளகாய் தூள் - 3 தேக்கரண்டி,
தனியா தூள் - 1 தேக்கரண்டி,
சீரக தூள் - 1 தேக்கரண்டி,
தண்ணீர் - 1 கப்,
கரம் மசாலா தூள் - 1/2 தேக்கரண்டி,
வறுத்த முட்டை - 6,
கொத்தமல்லி இலை - நறுக்கியது.</t>
  </si>
  <si>
    <t>Pour oil in a pan, add salt, turmeric powder, and chili powder and mix.
Then add the boiled egg and fry for 3 minutes.
Pour oil in another pan, when the oil is hot, add the finely chopped onion and fry until golden brown.
Then add the finely chopped green chilies and ginger garlic paste and fry.
Then add turmeric powder, salt, chili powder, coriander powder, cumin powder, mix and add water and cook on medium heat for 5 minutes.
When the masala is cooked, add garam masala and stir. Then add the fried eggs and mix, sprinkle some coriander and the onion egg masala is ready.</t>
  </si>
  <si>
    <t>ஒரு கடாயில் எண்ணெய் ஊற்றி, அதில் உப்பு, மஞ்சள் தூள், மிளகாய் தூள் சேர்த்து கலந்து கொள்ளவும்.
 பிறகு அதில் வேகவைத்த முட்டையை கீறி சேர்த்து 3 நிமிடம் வறுத்து கொள்ளவும்.
 மற்றோரு கடாயில் எண்ணெய் ஊற்றி, எண்ணெய் சூடானதும் அதில் பொடியாக நறுக்கிய வெங்காயம் சேர்த்து பொன்னிறமாக வதக்கவும்.
 பிறகு பொடியாக நறுக்கிய பச்சை மிளகாய் மற்றும் இஞ்சி பூண்டு விழுது சேர்த்து வதக்கவும்.
பின்பு மஞ்சள் தூள், உப்பு, மிளகாய் தூள், தனியா தூள், சீரக தூள் சேர்த்து கலந்து தண்ணீர் சேர்த்து மிதமான தீயில் 5 நிமிடம் வேகவிடவும்.
 மசாலா வெந்ததும் அதில் கரம் மசாலா சேர்த்து கிளறவும். பிறகு வறுத்த முட்டைகளை சேர்த்து கலந்து, சிறிது கொத்தமல்லி தூவி இறக்கினால் வெங்காயம் முட்டை மசாலா தயார்</t>
  </si>
  <si>
    <t>https://i.ytimg.com/vi/ggFQkYfb20A/hq720.jpg?sqp=-oaymwEhCK4FEIIDSFryq4qpAxMIARUAAAAAGAElAADIQj0AgKJD&amp;rs=AOn4CLAHkpa-634CgSCZF_ajrCKoRYB28g</t>
  </si>
  <si>
    <t>https://youtu.be/R0s9aKWBegI?si=SRHhuNRKFBgjnpKb</t>
  </si>
  <si>
    <t>Chicken - 1 kg,
Lemon juice - 1/2 fruit,
Salt - 1 tsp,
Chilli powder - 2 tsp,
Turmeric powder - 1/2 tsp,
Yogurt - 2 tbsp,
Oil - 1/2 tsp,
Peanuts - 1 tbsp,
Cashew nuts,
Coconut - 1 tbsp chopped,
Sesame seeds - 1 tsp,
Poppy seeds - 1 tsp (optional),
Onions - 2 finely chopped,
Tomatoes - 3 chopped,
Water,
Oil - 2 tbsp,
Baking leaves,
Baking powder,
Cloves,
Cardamom,
Cumin - 1 tsp,
Salt - 1 tsp,
Turmeric powder - 1/2 teaspoon,
Chilli powder - 1/2 teaspoon,
Thaniya powder - 1 teaspoon,
Cereal powder - 1 teaspoon,
Garram masala powder - 1 teaspoon,
Coriander leaves chopped.</t>
  </si>
  <si>
    <t>சிக்கன் - 1 கிலோ,
எலுமிச்சைபழச்சாறு - 1/2 பழம்,
உப்பு - 1 தேக்கரண்டி,
மிளகாய் தூள் - 2 தேக்கரண்டி,
மஞ்சள் தூள் - 1/2 தேக்கரண்டி,
தயிர் - 2 மேசைக்கரண்டி,
எண்ணெய் - 1/2 தேக்கரண்டி,
வேர்க்கடலை - 1 மேசைக்கரண்டி,
முந்திரி பருப்பு,
கொப்பரை தேங்காய் - 1 மேசைக்கரண்டி நறுக்கியது,
எள்ளு - 1 தேக்கரண்டி,
கசகசா - 1 தேக்கரண்டி (விரும்பினால்),
வெங்காயம் - 2 மெல்லியதாக நறுக்கியது,
தக்காளி - 3 நறுக்கியது,
தண்ணீர்,
எண்ணெய் - 2 மேசைக்கரண்டி,
பிரியாணி இலை,
பட்டை, 
கிராம்பு, 
ஏலக்காய்,
சீரகம் - 1 தேக்கரண்டி,
உப்பு - 1 தேக்கரண்டி,
மஞ்சள் தூள் - 1/2 தேக்கரண்டி,
மிளகாய் தூள் - 1/2 தேக்கரண்டி,
தனியா தூள் - 1 தேக்கரண்டி,
சீரக தூள் - 1 தேக்கரண்டி,
கரம் மசாலா தூள் - 1 தேக்கரண்டி,
கொத்தமல்லி இலை நறுக்கியது.</t>
  </si>
  <si>
    <t>In a bowl, combine the chicken, lemon juice, salt, chili powder, turmeric powder, and yogurt and mix well for 1 hour.
Pour oil in a pan and add peanuts, cashew nuts, coconut, sesame seeds, and poppy seeds on a medium flame.
Fry until golden brown and then cool well.
Next, pour oil in a pan and add finely chopped onion and fry until golden brown and then cool well.
Once the onion and spice mixture has cooled, grind both together into a paste.
Then grind the tomatoes into a paste.
Pour oil in a wide pan and mix the bay leaves, cloves, cardamom, bay leaves and cumin seeds and then add the ground masala paste.
Next add the ground tomato paste and mix.
Then add salt, turmeric powder, chili powder, coriander powder and cumin seeds and mix well.
Then add the soaked chicken pieces and mix, cover and cook on medium heat for 10 minutes.
After 10 minutes, add water and mix, cover and cook for 15 minutes.
After 15 minutes, when the oil starts separating, add the garam masala powder and chopped coriander and stir and turn off the stove after 2 minutes.
Hyderabadi Chicken Guruma is ready.</t>
  </si>
  <si>
    <t xml:space="preserve">ஒரு பாத்திரத்தில் சிக்கன், எலுமிச்சைபழச்சாறு, உப்பு, மிளகாய் தூள், மஞ்சள் தூள், தயிர் சேர்த்து நன்கு கலந்து 1 மணிநேரம் ஊறவிடவும்.
 கடாயில் எண்ணெய் ஊற்றி அதில் வேர்க்கடலை, முந்திரி பருப்பு,கொப்பரை தேங்காய், எள்ளு, கசகசா சேர்த்து மிதமான தீயில்.
பொன்னிறமாக வறுத்து பின் நன்கு ஆறவிடவும்.
அடுத்து ஒரு கடாயில் எண்ணெய் ஊற்றி, மெல்லிதாக நறுக்கிய வெங்காயம் சேர்த்து பொன்னிறமாக வரும் வரை வதக்கி பின்பு
நன்கு ஆறவிடவும்.
வெங்காயம் மற்றும் மசாலா கலவை ஆறியதும் இரண்டையும் சேர்த்து விழுதாக அரைத்து கொள்ளவும்.
பிறகு தக்காளியை நன்கு விழுதாக அரைத்து கொள்ளவும்.
 ஒரு அகலமான கடாயில் எண்ணெய் ஊற்றி அதில் பிரியாணி இலை, கிராம்பு, ஏலக்காய், பட்டை மற்றும் சீரகம் சேர்த்து கலந்து பிறகு அதில் அரைத்த மசாலா விழுதை சேர்க்கவும்.
 அடுத்து அரைத்த தக்காளி விழுதை சேர்த்து கலந்துவிடவும்.
பின்பு உப்பு, மஞ்சள் தூள், மிளகாய் தூள், தனியா தூள், சீரக தூள் சேர்த்து நன்கு கலந்துவிடவும்.
 பிறகு ஊறவைத்த சிக்கன் துண்டுகளை சேர்த்து கலந்து மூடி 10 நிமிடம் மிதமான தீயில் வேகவிடவும்.
 10 நிமிடம் கழித்து தண்ணீர் ஊற்றி கலந்து, மூடி 15 நிமிடம் வேகவிடவும்.
15 நிமிடம் கழித்து எண்ணெய் பிரிய ஆரம்பித்ததும் கரம் மசாலா தூள் மற்றும் நறுக்கிய கொத்தமல்லி சேர்த்து கிளறி 2 நிமிடம் கழித்து அடுப்பை அணைக்கவும்.
ஹைதராபாத் சிக்கன் குருமா தயார். </t>
  </si>
  <si>
    <t>https://i.ytimg.com/vi/cFh7pRet7Qg/hq720.jpg?sqp=-oaymwEhCK4FEIIDSFryq4qpAxMIARUAAAAAGAElAADIQj0AgKJD&amp;rs=AOn4CLDO38kmGYq_jJSQhkmxuvGyq87WNw</t>
  </si>
  <si>
    <t>https://youtu.be/Viwqp5aGUpU?si=ANDEMb0cY6c_MOS9</t>
  </si>
  <si>
    <t>Dal Chicken</t>
  </si>
  <si>
    <t xml:space="preserve">
தால் சிக்கன்</t>
  </si>
  <si>
    <t>Chicken - 1 kg,
Mysore Dal - 1 1/2 cups,
Chili powder - 2 teaspoons,
Thaniya powder - 2 teaspoons,
Turmeric powder - 1/4 teaspoon,
Water - 1 cup,
Coconut oil - 1 teaspoon,
Baking powder - 1 small piece,
Cloves - 4,
Cardamom - 2,
Anise - 1/2 teaspoon,
Pepper,
Garlic - 4 cloves,
Small onion - 6 finely chopped,
Grated coconut - 1 tablespoon,
Small onion - 16 finely chopped,
Tomato - 1 chopped,
Ginger - 1 small piece,
Salt,
Coconut oil - 1 tablespoon,
Mustard - 1/4 teaspoon,
Curry leaves.</t>
  </si>
  <si>
    <t xml:space="preserve">சிக்கன் - 1 கிலோ,
மைசூர் பருப்பு - 1 1/2 கப்,
மிளகாய் தூள் - 2 தேக்கரண்டி,
தனியா தூள் - 2 தேக்கரண்டி,
மஞ்சள் தூள் - 1/4 தேக்கரண்டி,
தண்ணீர் - 1 கப்,
தேங்காய் எண்ணெய் - 1 தேக்கரண்டி,
பட்டை - 1 சிறிய துண்டு,
கிராம்பு - 4,
ஏலக்காய் - 2,
சோம்பு - 1/2 தேக்கரண்டி,
மிளகு,
பூண்டு - 4 பற்கள்,
சின்ன வெங்காயம் - 6 மெல்லியதாக நறுக்கியது,
துருவிய தேங்காய் - 1 மேசைக்கரண்டி,
சின்ன வெங்காயம் - 16 மெல்லியதாக நறுக்கியது,
தக்காளி - 1 நறுக்கியது,
இஞ்சி - 1 சிறிய துண்டு,
உப்பு,
தேங்காய் எண்ணெய் - 1 மேசைக்கரண்டி,
கடுகு - 1/4 தேக்கரண்டி,
கறிவேப்பிலை.
</t>
  </si>
  <si>
    <t>Wash the lentils well, add 2 cups of water, a little turmeric powder, a small garlic clove, and a green chili and cook in a cooker for 3 whistles.
Clean the chicken and keep it aside.
Heat oil in a large pan and fry the onion, ginger-garlic paste, and green chilies.
Fry the onion until golden brown, add the tomatoes, turmeric powder, chili powder, coriander powder, and salt and fry until well browned.
Then add the chicken pieces, mix well with the spices, and cook until the chicken is cooked. (You can add a little water if needed)
Mash the lentils well or grind them in a mixer and add them to the chicken mixture.
Add the required amount of water and boil well for 5–10 minutes.
Finally, sprinkle coriander leaves and garnish.</t>
  </si>
  <si>
    <t>பருப்புகளை நன்கு கழுவி, 2 கப் தண்ணீருடன் சிறிது மஞ்சள் தூள், ஒரு சிறிய பூண்டு, ஒரு பச்சை மிளகாய் சேர்த்து குக்கரில் 3 விசில் வரை வேக வைக்கவும்.
சிக்கனையும் சுத்தம் செய்து வைத்துக்கொள்ளவும்.
ஒரு பெரிய பாத்திரத்தில் எண்ணெய் விட்டு காய்ந்ததும் வெங்காயம், இஞ்சி-பூண்டு விழுது, பச்சை மிளகாய் சேர்த்து வதக்கவும்.
வெங்காயம் பொன்னிறமாகவதும், தக்காளி, மஞ்சள் தூள், மிளகாய் தூள், தனியா தூள், உப்பு சேர்த்து நன்றாக மசியும் வரை வதக்கவும்.
பிறகு சிக்கன் துண்டுகளை சேர்த்து நல்லா மசாலாவுடன் கலந்து, சிக்கன் வெந்துவரை சமைக்கவும். (தண்ணீர் தேவையானால் சிறிது சேர்க்கலாம்)
வெந்த பருப்புகளை நன்கு மசித்து அல்லது மிக்ஸியில் அரைத்து, சிக்கன் கலவையில் சேர்க்கவும்.
தேவையான அளவு தண்ணீர் சேர்த்து, 5–10 நிமிடம் நன்கு கொதிக்கவிடவும்.
இறுதியில் கொத்தமல்லி இலை தூவி அலங்கரிக்கவும்.</t>
  </si>
  <si>
    <t>https://i.ytimg.com/vi/KTkb3srYGs4/hq720.jpg?sqp=-oaymwEhCK4FEIIDSFryq4qpAxMIARUAAAAAGAElAADIQj0AgKJD&amp;rs=AOn4CLCbxP3h3O5pOzZNJSRw4tDXloeedQ</t>
  </si>
  <si>
    <t>https://youtu.be/zvx4qLhRRro?si=Tm--LzjnEtLRvFRA</t>
  </si>
  <si>
    <t>கடாய் சிக்கன்</t>
  </si>
  <si>
    <t>Dhaniya - 1 1/2 tbsp,
Cumin - 1 tsp,
Asimbu - 1 tsp,
Pepper - 1 tsp,
Baking powder - 1,
Cloves - 3,
Dried chillies - 6,
Chicken - 1 kg,
Ghee - 1 1/2 tbsp,
Oil - 1 tbsp,
Cumin - 1 tsp,
Onion - 3 chopped,
Ginger garlic paste - 2 tsp,
Tomato - 2 chopped,
Green chillies - 2 grated,
Turmeric powder - 1/4 tsp,
Salt - 2 tsp,
Kashmiri chilli powder - 2 tsp,
Tomato paste - 3 grated,
Ground spice powder,
Water - 1 cup,
Chopped chillies - 1 large chopped,
Onion - 1 large chopped,
Kasoori methi,
Ginger - finely chopped.</t>
  </si>
  <si>
    <t>தனியா - 1 1/2 மேசைக்கரண்டி,
சீரகம் - 1 தேக்கரண்டி,
சோம்பு - 1 தேக்கரண்டி,
மிளகு - 1 தேக்கரண்டி,
பட்டை - 1,
கிராம்பு - 3,
காய்ந்த மிளகாய் - 6,
சிக்கன் - 1 கிலோ,
நெய் - 1 1/2 மேசைக்கரண்டி,
எண்ணெய் - 1 மேசைக்கரண்டி,
சீரகம் - 1 தேக்கரண்டி,
வெங்காயம் - 3 பொடியாக நறுக்கியது ,
இஞ்சி பூண்டு விழுது - 2 தேக்கரண்டி,
தக்காளி - 2 பொடியாக நறுக்கியது ,
பச்சை மிளகாய் - 2 கீறியது,
மஞ்சள் தூள் - 1/4 தேக்கரண்டி,
உப்பு - 2 தேக்கரண்டி,
காஷ்மீரி மிளகாய் தூள் - 2 தேக்கரண்டி,
தக்காளி விழுது - 3 அரைத்தது ,
அரைத்த மசாலா தூள்,
தண்ணீர் - 1 கப்,
குடைமிளகாய் - 1 பெரியதாக நறுக்கியது,
வெங்காயம் - 1 பெரியதாக நறுக்கியது,
கசூரி மேத்தி,
இஞ்சி - மெல்லியதாக  நறுக்கியது.</t>
  </si>
  <si>
    <t>In a pan, add cumin seeds, anise seeds, pepper, cardamom, cloves, and dried chilies and fry for 4 minutes and cool well.
Then grind into a powder without water.
Next, pour ghee and oil in a pan and add cumin seeds and onion and fry until the onion turns golden brown.
Then add ginger garlic paste and fry.
Then add chopped tomatoes and grated green chilies and fry.
Next, add turmeric powder, salt, and Kashmiri chili powder and fry.
Then add tomato paste and cook for 5 minutes.
Then add chicken pieces and mix and cook for 5 minutes.
Next, add the ground spices and mix and cook for 5 minutes.
Then add water and mix, cover and cook for 20 minutes.
After 5 minutes, add chopped chillies and chopped onions and cook for 10 minutes.
Then add the remaining ground masala powder, kasoori methi and grated ginger and mix.
Thapa style kadai chicken is ready!</t>
  </si>
  <si>
    <t>கடாயில் தனியா, சீரகம், சோம்பு, மிளகு, பட்டை, கிராம்பு, காய்ந்த மிளகாய் சேர்த்து 4 நிமிடம் வறுத்து நன்கு ஆறவிடவும்.
பிறகு தண்ணீர் இன்றி தூளாக அரைக்கவும்.
 அடுத்து கடாயில் நெய், எண்ணெய் ஊற்றி அதில் சீரகம், வெங்காயம் சேர்த்து வெங்காயம் பொன்னிறமாகும் வரை வதக்கவும்.
 பின்பு இஞ்சி பூண்டு விழுது சேர்த்து வதக்கவும்.
 பிறகு நறுக்கிய தக்காளி மற்றும் கீறிய பச்சை மிளகாய் சேர்த்து வதக்கவும்.
அடுத்து மஞ்சள் தூள், உப்பு, காஷ்மீரி மிளகாய் தூள் சேர்த்து வதக்கவும்.
 பிறகு தக்காளி விழுது சேர்த்து 5 நிமிடம் வேகவிடவும்.
பின்பு சிக்கன் துண்டுகளை சேர்த்து கலந்து 5 நிமிடம் வேகவிடவும்.
 அடுத்து அரைத்த மசாலாவை சேர்த்து கலந்து 5 நிமிடம் வேகவிடவும்.
 பிறகு தண்ணீர் சேர்த்து கலந்து 20 நிமிடம் மூடி வேகவிடவும்.
 5 நிமிடத்திற்கு பிறகு நறுக்கிய குடைமிளகாய் மற்றும் நறுக்கிய வெங்காயம் சேர்த்து கலந்து 10 நிமிடம் வேகவிடவும்.
பிறகு மீதம் உள்ள அரைத்த மசாலா தூள், கசூரி மேத்தி மற்றும் இஞ்சி துருவல் சேர்த்து கலந்துவிடவும்.
 தாபா ஸ்டைல் கடாய் சிக்கன் தயார்!</t>
  </si>
  <si>
    <t>https://i.ytimg.com/vi/sQQVaAvRB_0/hq720.jpg?sqp=-oaymwEhCK4FEIIDSFryq4qpAxMIARUAAAAAGAElAADIQj0AgKJD&amp;rs=AOn4CLCDiSdqB46n23yAbDJByVkwuxVW6g</t>
  </si>
  <si>
    <t>https://youtu.be/RNvuShwGyf8?si=omU0eJ0ZaolMovZV</t>
  </si>
  <si>
    <t>பாத்திரத்தில், சிக்கன், எலுமிச்சைபழச்சாறு, தயிர், உப்பு, மிளகாய் தூள், மஞ்சள் தூள், இஞ்சி பூண்டு விழுது சேர்த்து நன்கு பிசையவும்.
 இதை 1 மணி நேரம் ஊறவைக்கவும்.
 கடாயில், எண்ணெய் இன்றி, மிளகாய், முழு தனியா, சீரகம், சோம்பு, முழு மிளகு, வெந்தயம் சேர்த்து வாசனை வரும் வரை வறுக்கவும்.
 வாசனை வந்ததும், ஆறவிட்டு, மிக்ஸியில் போடவும்.
 இதனுடன், பூண்டு, ஊறவைத்த புளி, சிறிதளவு தண்ணீர் ஊற்றி, விழுதாக அரைக்கவும்.
 அகல பேன்'னில் நெய், ஊறவைத்த சிக்கன் சேர்த்து அதிக தீயில் 10 நிமிடம் கிண்டவும்.
 சிக்கன் துண்டுகளை எடுத்து வைக்கவும்.
பேன்'னில் உள்ள மசாலா நீரை 1 நிமிடம் கொதிக்கவிடவும்
இதில் அரைத்த மசாலா விழுது மற்றும் சிறிது தண்ணீர்  சேர்த்து 10 நிமிடம் கொதிக்கவிடவும்.
 இதில் வெல்லம் மற்றும் நெய் சேர்த்து மேலும் 5 நிமிடம் கொதிக்கவிடவும்.
 நெய் பிரிய ஆரம்பித்ததும், இதில் எடுத்து வைத்த சிக்கன் துண்டுகளை போட்டு, உப்பு சேர்த்து மசாலாவில் ஈரம் வற்றும் வரை, 20 நிமிடம் கிண்டவும்.
 கடைசியாக இதில் கறிவேப்பில்லை சேர்த்து கிண்டவும்.
 சிக்கன் நெய் ரோஸ்ட் தயார்.</t>
  </si>
  <si>
    <t>https://encrypted-tbn0.gstatic.com/images?q=tbn:ANd9GcTsl_IXSjhR43g8wCeyLVpsNU7gMxkLij_5cg&amp;s</t>
  </si>
  <si>
    <t>https://youtu.be/xfFb-Ne3AtU?si=q-bbn5moU7xIRSkH</t>
  </si>
  <si>
    <t xml:space="preserve"> Fresh Field Beans/Mochai kottai – 2 1/2 cup,
   Turmeric powder – 1/4 tsp,
   Salt needed,
   Coconut – 1/4 cup grated,
   Red Chillies -3-4,
   Cumin seeds – 1 tsp,
   Pearl onions – 5-6,
   Tomato – 1,
   Oil – 2 tsp,
   Mustard seeds – 1 tsp,
   Urad dal – 1 tsp,
   Curry leaves – a sprig,
   Onion – 1 big or pearl onions – 5-6,
   Hing/asafoetida – a pinch,
   Coriander leaves.</t>
  </si>
  <si>
    <t>புதிய பீன்ஸ்/மொச்சை கொட்டை – 2 1/2 கப்,
மஞ்சள் தூள் – 1/4 டீஸ்பூன்,
உப்பு தேவை,
தேங்காய் – 1/4 கப் துருவியது,
சிவப்பு மிளகாய் - 3-4,
சீரகம் – 1 டீஸ்பூன்,
முத்துப் பூண்டு வெங்காயம் – 5-6,
தக்காளி – 1,
எண்ணெய் – 2 டீஸ்பூன்,
கடுகு – 1 டீஸ்பூன்,
உப்பு பருப்பு – 1 டீஸ்பூன்,
கறிவேப்பிலை – ஒரு தளிர்,
வெங்காயம் – 1 பெரிய அல்லது முத்துப் பூண்டு வெங்காயம் – 5-6,
கீரை/அசாஃபோடிடா – ஒரு சிட்டிகை,
கொத்தமல்லி இலைகள்.</t>
  </si>
  <si>
    <t>Once the pressure subsides, open the cooker and add the ground paste, simmer and cook for 5 minutes. Add salt if required.
Heat 2 tsp of oil, add mustard seeds, urad dal and hing. When mustard seeds splutters, add curry leaves and finely chopped onions. Saute until onions turn transparent and add to the mochai kootu.
Mochai kootu is ready. If you make it a little watery, it can be had as sambar. You just need a vegetable curry to go along with this. You do not have to make any other sambar.
This mochai kootu goes well with chapati and also with dosa, upma and pongal.</t>
  </si>
  <si>
    <t>பிரஷர் குறைந்தவுடன், குக்கரைத் திறந்து அரைத்த விழுதைச் சேர்த்து, 5 நிமிடங்கள் கொதிக்க விடவும். தேவைப்பட்டால் உப்பு சேர்க்கவும்.
2 தேக்கரண்டி எண்ணெயைச் சூடாக்கி, கடுகு, உளுத்தம்பருப்பு மற்றும் பெருங்காயம் சேர்க்கவும். கடுகு வெடித்ததும், கறிவேப்பிலை மற்றும் இறுதியாக நறுக்கிய வெங்காயத்தைச் சேர்க்கவும். வெங்காயம் தெளிவாகும் வரை வதக்கி, மொச்சைக் கூட்டுடன் சேர்க்கவும்.
மொச்சைக் கூட்டு தயார். சிறிது தண்ணீர் விட்டுச் செய்தால், அதை சாம்பாராகச் சாப்பிடலாம். இதனுடன் சேர்த்துச் சேர்க்க காய்கறி கறி மட்டும் போதும். வேறு எந்த சாம்பாரும் செய்ய வேண்டியதில்லை.
இந்த மொச்சைக் கூட்டு சப்பாத்தியுடன், தோசை, உப்புமா, பொங்கலுடன் நன்றாகச் செல்லும்.</t>
  </si>
  <si>
    <t>Vallarai Keerai Kootu</t>
  </si>
  <si>
    <t>வல்லாரை கீரை கூட்டு</t>
  </si>
  <si>
    <t xml:space="preserve">  Vallarai keerai – 2 cups ,
   Moong dal – 1/4 cup,
   Onion – 1,
   Tomato – 1,
   Salt to taste,
   Grated Coconut – 1/4 cup,
   Cumin seeds – 1 tsp,
   Fried gram – 1 tsp,
   Red chilli – 1-2,
   Oil – 2 tsp,
   Mustard seeds – 1 tsp,
   Urad dal -1 tsp,
   Red chilli -1,
   Hing – a pinch,
   Pearl onions – 4-5 .</t>
  </si>
  <si>
    <t>வல்லாரை கீரை - 2 கப் ,
பாசிப்பருப்பு - 1/4 கப் ,
வெங்காயம் - 1,
தக்காளி - 1,
ருசிக்க உப்பு ,
தேங்காய் துருவல் - 1/4 கப் ,
சீரகம் - 1 தேக்கரண்டி ,
வறுத்த பருப்பு - 1 தேக்கரண்டி ,
சிவப்பு மிளகாய் - 1-2 ,
எண்ணெய் - 2 தேக்கரண்டி ,
கடுகு - 1 தேக்கரண்டி ,
உளுத்தம் பருப்பு - 1 தேக்கரண்டி ,
சிவப்பு மிளகாய் - 1 ,
கீல் - ஒரு சிட்டிகை ,
முத்து வெங்காயம் - 4-5 .</t>
  </si>
  <si>
    <t>In a pressure pan or small cooker, add moong dal, vallarai leaves, onion, tomato and 1/2 cup of water.
Pressure cook for 2 whistles.
Once the pressure subsides, open the cooker and mash the contents well. Add salt needed.
Add the ground coconut paste and simmer for 5 minutes. That’s it.
Now we will do the seasoning – Heat a tsp of oil, add mustard seeds, when it splutters, add urad dal, red chillies and hing. Add finely chopped pearl onions and saute until it turns transparent.
Add to the kootu. Enjoy nutritious vallarai kootu as an accompaniment with rice.</t>
  </si>
  <si>
    <t>ஒரு பிரஷர் பானில் அல்லது சிறிய குக்கரில், பாசிப்பருப்பு, வல்லாரை இலைகள், வெங்காயம், தக்காளி மற்றும் 1/2 கப் தண்ணீர் சேர்க்கவும்.
பிரஷர் 2 விசில் வரை சமைக்கவும்.
பிரஷர் குறைந்தவுடன், குக்கரைத் திறந்து, அதில் உள்ள பொருட்களை நன்றாக மசித்து கொள்ளவும். தேவையான அளவு உப்பு சேர்க்கவும்.
தேங்காய் விழுதை சேர்த்து 5 நிமிடங்கள் கொதிக்க விடவும். அவ்வளவுதான்.
இப்போது நாம் தாளிக்கப் போகிறோம் - ஒரு தேக்கரண்டி எண்ணெயைச் சூடாக்கி, கடுகு சேர்த்து, அது வதங்கியதும், உளுத்தம்பருப்பு, சிவப்பு மிளகாய் மற்றும் பெருங்காயம் சேர்த்து, இறுதியாக நறுக்கிய முத்து வெங்காயத்தைச் சேர்த்து, அது வெளிப்படையானதாக மாறும் வரை வதக்கவும்.
கூட்டில் சேர்க்கவும். சத்தான வல்லாரை கூத்தை சாதத்துடன் சேர்த்து மகிழுங்கள்.</t>
  </si>
  <si>
    <t>https://s3.amazonaws.com/images.chefinyou.com/main/brahmi-pennywort-vallarai-keerai-recipe/main-img2.JPG</t>
  </si>
  <si>
    <t>Chow Chow Poricha Kootu</t>
  </si>
  <si>
    <t>Chow chow/chayote – 3 cups chopped ,
   Moong dal – 1/3 cup,
   Turmeric powder – 1/4 tsp,
   Salt as needed,
   Oil – 1/2 tsp,
   Whole black pepper – 1 tsp,
   Cumin seeds – 1 tsp,
   Red Chillies – 2-3,
   Grated coconut – 1/4 cup,
   Coconut Oil – 1 tsp,
   Mustard seeds – 1 tsp,
   Urad dal – 1 tsp,
   Curry leaves – a sprig,
   Coriander leaves – 2 tbsp finely chopped.</t>
  </si>
  <si>
    <t>சௌ சௌ/சயோட் - 3 கப் நறுக்கியது,
பருப்பு பருப்பு - 1/3 கப்,
மஞ்சள் தூள் - 1/4 டீஸ்பூன்,
தேவைக்கேற்ப உப்பு,
எண்ணெய் - 1/2 டீஸ்பூன்,
முழு கருப்பு மிளகு - 1 டீஸ்பூன்,
சீரகம் - 1 டீஸ்பூன்,
சிவப்பு மிளகாய் - 2-3,
தேங்காய் துருவல் - 1/4 கப்,
தேங்காய் எண்ணெய் - 1 டீஸ்பூன்,
கடுகு - 1 டீஸ்பூன்,
உப்பு பருப்பு - 1 டீஸ்பூன்,
கறிவேப்பிலை - ஒரு தளிர்,
கொத்தமல்லி இலை - 2 டீஸ்பூன் நன்றாக நறுக்கியது.</t>
  </si>
  <si>
    <t>Peel the skin, discard the seed and chop chow chow into medium sized pieces.
Wash and soak moong dal (pasi paruppu) for 10 minutes. Soaking is optional.
Heat 1/2 tsp of oil and saute whole black peppercorns, cumin seeds and red chillies. Then add grated coconut and switch off the heat. Fry the coconut in the heat of the pan.
Once it cools, grind it to a fine paste. Keep it aside.
Pressure cook chow chow with little water (around 1/2 cup), moong dal, salt and turmeric powder for 2 or 3 whistles.
Once the pressure subsides, open the cooker, add the ground paste and 1/2 cup of water.
Simmer for 5-6 minutes stirring from time to time and remove from heat. That’s it! Sounds easy isn’t it? Now we will do the seasoning. 
Heat a tsp of coconut oil (coconut oil gives a nice flavor to the poricha kootu), add mustard seeds, when it splutters, add urad dal and curry leaves.
When dal turns golden brown, pour the seasoning over the kootu. Garnish with coriander leaves</t>
  </si>
  <si>
    <t>தோலை உரித்து, விதையை நீக்கி,சௌ சௌவை நடுத்தர அளவிலான துண்டுகளாக நறுக்கவும்.
பாசி பருப்பை (பாசி பருப்பை) கழுவி 10 நிமிடங்கள் ஊற வைக்கவும். ஊறவைப்பது விருப்பத்திற்குரியது.
1/2 டீஸ்பூன் எண்ணெயை சூடாக்கி, முழு கருப்பு மிளகு, சீரகம் மற்றும் சிவப்பு மிளகாயை வதக்கவும். பின்னர் துருவிய தேங்காய் சேர்த்து தீயை அணைக்கவும். தேங்காயை வாணலியின் சூட்டில் வறுக்கவும்.
அது ஆறியதும், நன்றாக விழுதாக அரைத்து தனியாக வைக்கவும்.
சௌ சௌவை சிறிது தண்ணீர் (சுமார் 1/2 கப்), பாசிப்பருப்பு, உப்பு மற்றும் மஞ்சள் தூள் சேர்த்து 2 அல்லது 3 விசில் வரை பிரஷர் வேக வைக்கவும்.
பிரஷர் குறைந்தவுடன், குக்கரைத் திறந்து, அரைத்த விழுது மற்றும் 1/2 கப் தண்ணீர் சேர்க்கவும்.
அவ்வப்போது கிளறி 5-6 நிமிடங்கள் வேகவைத்து, அடுப்பிலிருந்து இறக்கவும். அவ்வளவுதான்! எளிதாகத் தெரிகிறது இல்லையா? இப்போது நாம் தாளிக்கப் போகிறோம்.
ஒரு தேக்கரண்டி தேங்காய் எண்ணெயை (தேங்காய் எண்ணெய் பொரிச்ச கூட்டுக்கு நல்ல சுவையைத் தரும்) சூடாக்கவும், கடுகு சேர்க்கவும், அது வதங்கியதும், உளுத்தம் பருப்பைச் சேர்க்கவும்.
பருப்பு பொன்னிறமாக மாறியதும், தாளிக்கக் கொடுத்ததை கூட்டின் மேல் ஊற்றவும். கொத்தமல்லி இலைகளால் அலங்கரிக்கவும்.</t>
  </si>
  <si>
    <t>https://i0.wp.com/cookingfromheart.com/wp-content/uploads/2020/07/Chow-Chow-Poricha-Kootu-1.jpg?resize=720%2C480&amp;ssl=1</t>
  </si>
  <si>
    <t>Besanwali Bhindi</t>
  </si>
  <si>
    <t>பெசன்வாலி பிண்டி</t>
  </si>
  <si>
    <t xml:space="preserve"> Lady’s finger – 250 grams,
   Gram flour/besan/kadalaimavu -1/4 cup,
   Salt to taste,
   Roasted cumin powder – 1 tsp,
   Coriander powder – 1 1/2 tbsp,
   Fennel powder (saunf/sombu) – 3/4 tsp,
   Turmeric powder – 1/2 tsp,
   Amchur powder – 3/4 tsp,
   Carom seeds/ajwain/omam – 1/2 tsp,
   Red chilli powder – 1 tsp,
   Oil – 3-4 tbsp,
   Cumin seeds,
   Hing – a pinch.</t>
  </si>
  <si>
    <t>பெண்ணின் விரல் - 250 கிராம், 
உளுத்தம்பருப்பு/பெசன்/கடலைமாவு - 1/4 கப், 
ருசிக்கேற்ப உப்பு, 
வறுத்த சீரகப் பொடி - 1 டீஸ்பூன், 
கொத்தமல்லி தூள் - 1 1/2 டீஸ்பூன், 
பெருஞ்சீரகம் தூள் (சான்ஃப்/சோம்பு) - 3/4 டீஸ்பூன், 
மஞ்சள் தூள் - 1/2 டீஸ்பூன், 
ஆம்சூர் தூள் - 3/4 டீஸ்பூன், 
கேரம் விதைகள்/அஜ்வைன்/ஓமம் - 1/2 டீஸ்பூன், 
சிவப்பு மிளகாய் தூள் - 1 தேக்கரண்டி, 
எண்ணெய் - 3-4 டீஸ்பூன், 
சீரக விதைகள், 
கீல் - ஒரு சிட்டிகை.</t>
  </si>
  <si>
    <t>Heat oil in a pan, add cumin seeds, when it sizzles, add hing and the masala stuffed ladies fingers.
Mix well and cook covered on low heat. Stir or toss gently at regular intervals. 
Lady'sfinger Fry with besan
Once the ladies fingers are cooked, turn off the heat. (Once done the color will change).</t>
  </si>
  <si>
    <t>ஒரு கடாயில் எண்ணெயைச் சூடாக்கி, சீரக விதைகளைச் சேர்த்து, அது கொதித்ததும், ஹிங் மற்றும் மசாலா ஸ்டஃப் செய்யப்பட்ட பெண் விரல்களைச் சேர்க்கவும்.
நன்றாகக் கலந்து, குறைந்த தீயில் மூடி வைக்கவும். வழக்கமான இடைவெளியில் கிளறவும் அல்லது மெதுவாகத் தட்டவும்.
வெண்டைக்காய் பொடியுடன் லேடி ஃபிங்கர் வறுக்கவும்
பெண்களின் விரல்கள் வெந்தவுடன், தீயை அணைக்கவும். (முடிந்ததும் நிறம் மாறும்).</t>
  </si>
  <si>
    <t>https://i0.wp.com/www.blissofcooking.com/wp-content/uploads/2017/06/Besan-Wali-Bhindi-MOP-e1496403196890.jpg?resize=740%2C485&amp;ssl=11</t>
  </si>
  <si>
    <t>Beans Kootu</t>
  </si>
  <si>
    <t>பீன்ஸ் கூட்டு</t>
  </si>
  <si>
    <t>Beans – 1/4 kg,
   Tur dal – 1/4 cup,
   Tamarind – very less,
   Turmeric powder – 1/2 tsp,
   Hing – a pinch,
   Salt to taste,
   Coconut – 1/4 cup,
   Coriander leaves – fistful,
   Oil – 2 tsp,
   Cumin seeds – 1 tsp,
   Fenugreek seeds – 1/8 tsp,
   Red Chillies – 3,
   Curry leaves – a sprig.</t>
  </si>
  <si>
    <t>பீன்ஸ் - 1/4 கிலோ,
துவரம் பருப்பு - 1/4 கப்,
புளி - மிகக் குறைவாக,
மஞ்சள் தூள் - 1/2 தேக்கரண்டி,
பெருங்காயம் - ஒரு சிட்டிகை,
சுவைக்கு உப்பு,
தேங்காய் - 1/4 கப்,
கொத்தமல்லி இலை - ஒரு கைப்பிடி,
எண்ணெய் - 2 தேக்கரண்டி,
சீரகம் - 1 தேக்கரண்டி,
வெந்தயம் - 1/8 தேக்கரண்டி,
சிவப்பு மிளகாய் - 3,
கறிவேப்பிலை - ஒரு தளிர்.</t>
  </si>
  <si>
    <t>Heat oil in a pan/kadai, add cumins seeds, red chillies, fenugreek seeds and curry leaves.
Once cumin seeds sizzles, add tamarind water, 1/4 tsp turmeric powder, hing and salt needed.
Add the beans and cook until the raw flavor of the tamarind goes or around 5-6 minutes on medium heat.
Then add the cooked dal and the ground coconut paste. Mix well and boil on low heat for a few minutes.
Remove from heat. Beans kootu is ready to be served. It goes well both with rice and chapati</t>
  </si>
  <si>
    <t>ஒரு கடாயில் / கடாயில் எண்ணெயை சூடாக்கி, சீரகம், சிவப்பு மிளகாய், வெந்தயம் மற்றும் கறிவேப்பிலை சேர்க்கவும்.
சீரகம் வதங்கியதும், புளி தண்ணீர், 1/4 தேக்கரண்டி மஞ்சள் தூள், பெருங்காயம் மற்றும் தேவையான உப்பு சேர்க்கவும்.
பீன்ஸைச் சேர்த்து, புளியின் பச்சை வாசனை போகும் வரை அல்லது மிதமான தீயில் சுமார் 5-6 நிமிடங்கள் சமைக்கவும்.
பின்னர் சமைத்த பருப்பையும், அரைத்த தேங்காய் விழுதையும் சேர்க்கவும். நன்கு கலந்து, குறைந்த வெப்பத்தில் சில நிமிடங்கள் கொதிக்க வைக்கவும்.
அடுப்பிலிருந்து இறக்கவும். பீன்ஸ் கூட்டு பரிமாற தயாராக உள்ளது. இது சாதம் மற்றும் சப்பாத்தி இரண்டிற்கும் நன்றாகப் பொருந்தும்.</t>
  </si>
  <si>
    <t>https://rachnacooks.com/wp-content/uploads/2022/11/4-5.jpg</t>
  </si>
  <si>
    <t>Palakkai Kootu-Raw Jackfruit Kootu</t>
  </si>
  <si>
    <t>பலக்காய் கூட்டு - பச்சை பலாப்பழ கூட்டு</t>
  </si>
  <si>
    <t>Raw Jackfruit – 2 cups chopped,
   Tur dal – 1/3 cup,
   Tamarind – Gooseberry sized ball,
   Turmeric powder – 1/4 tsp,
   Salt needed,
   Bengal gram dal/chana dal – 1 tbsp,
   Coriander seeds – 2 tbsp,
   Red Chillies – 2,
   Raw Rice – 1/2 tsp,
   Coconut – 3 tbsp,
   Oil – 2 tsp,
   Mustard seeds – 1 tsp,
   Urad dal – 1 tsp,
   Red Chilli – 1,
   Curry leaves – a sprig,
   Coriander leaves – 2 tbsp finely chopped.</t>
  </si>
  <si>
    <t>பச்சை பலாப்பழம் - 2 கப் நறுக்கியது,
துரும்பு பருப்பு - 1/3 கப்,
புளி - நெல்லிக்காய் அளவு உருண்டை,
மஞ்சள் தூள் - 1/4 டீஸ்பூன்,
உப்பு தேவையான அளவு,
வங்கக்கடலை பருப்பு / சன்னா பருப்பு - 1 டீஸ்பூன்,
கொத்தமல்லி விதைகள் - 2 டீஸ்பூன்,
சிவப்பு மிளகாய் - 2,
பச்சை அரிசி - 1/2 டீஸ்பூன்,
தேங்காய் - 3 டீஸ்பூன்,
எண்ணெய் - 2 டீஸ்பூன்,
கடுகு - 1 டீஸ்பூன்,
உப்பு பருப்பு - 1 டீஸ்பூன்,
சிவப்பு மிளகாய் - 1,
கறிவேப்பிலை - ஒரு தளிர்,
கொத்தமல்லி இலை - 2 டீஸ்பூன் பொடியாக நறுக்கியது.</t>
  </si>
  <si>
    <t>In a pan, add the cooked and chopped jackfruit, turmeric powder and tamarind extract.
Cook on medium heat until the raw smell of the tamarind goes.
Add the cooked dal, ground paste, a cup of water and mix well.
Boil on medium heat for a few minutes, stirring from time to time until the kootu becomes a homogeneous mixture.
Heat 2 tsp of oil, add mustard seeds, when it splutters, add urad dal, red chillies and curry leaves. When dal turns golden brown, add it to the kootu.
Garnish with coriander leaves and serve with rice and papads or as an accompaniment for rasam or sambar or curd rice</t>
  </si>
  <si>
    <t>ஒரு கடாயில், சமைத்த மற்றும் நறுக்கிய பலாப்பழம், மஞ்சள் தூள் மற்றும் புளி சாறு சேர்க்கவும்.
புளியின் பச்சை வாசனை போகும் வரை மிதமான தீயில் சமைக்கவும்.
சமைத்த பருப்பை, அரைத்த விழுது, ஒரு கப் தண்ணீர் சேர்த்து நன்கு கலக்கவும்.
அவ்வப்போது கிளறி, மிதமான தீயில் சில நிமிடங்கள் கொதிக்க விடவும். கூட்டு ஒரே மாதிரியான கலவையாக மாறும் வரை கொதிக்க விடவும்.
2 தேக்கரண்டி எண்ணெயைச் சூடாக்கி, கடுகு சேர்த்து, அது வதங்கியதும், உளுத்தம்பருப்பு, சிவப்பு மிளகாய் மற்றும் கறிவேப்பிலை சேர்க்கவும். பருப்பு பொன்னிறமாக மாறியதும், கூட்டுடன் சேர்க்கவும்.
கொத்தமல்லி இலைகளால் அலங்கரித்து சாதம் மற்றும் பப்படங்களுடன் அல்லது ரசம், சாம்பார் அல்லது தயிர் சாதத்திற்கு ஒரு துணையாகப் பரிமாறவும்.</t>
  </si>
  <si>
    <t>https://lh3.googleusercontent.com/-86pkTKGkCx4/TXXM6bmM1EI/AAAAAAAABQ8/2fQSSWLZFfM/s400/Pala+Kai+Masala.jpg</t>
  </si>
  <si>
    <t>Raw Papaya Kootu-Green Papaya Kootu</t>
  </si>
  <si>
    <t>பச்சை பப்பாளி கூட்டு - பச்சை பப்பாளி கூட்டு</t>
  </si>
  <si>
    <t>Raw Papaya – 2 cups chopped,
   Green chilli – 1,
   Tomato – 1,
   Moong Dal – 1/3 cup,
   Turmeric Powder – 1/4 tsp,
   Salt needed,
   Coconut – 1/4 cup,
   Green chilli – 1,
   Cumin Seeds – 1 tsp,
   Oil – 2 tsp,
   Mustard seeds – 1 tsp,
   Urad dal – 1 tsp,
   Red chillies – 1,
   Asafoetida/hing – a pinch,
   Shallots – 6-7 or 1 small onion,
   Curry leaves – a sprig,
  Coriander leaves – 2 tbsp finely chopped.</t>
  </si>
  <si>
    <t>பச்சை பப்பாளி - 2 கப் நறுக்கியது,
பச்சை மிளகாய் - 1,
தக்காளி - 1,
பச்சை பருப்பு - 1/3 கப்,
மஞ்சள் தூள் - 1/4 டீஸ்பூன்,
உப்பு தேவையான அளவு,
தேங்காய் - 1/4 கப்,
பச்சை மிளகாய் - 1,
சீரகம் - 1 டீஸ்பூன்,
எண்ணெய் - 2 டீஸ்பூன்,
கடுகு - 1 டீஸ்பூன்,
உருளை பருப்பு - 1 டீஸ்பூன்,
சிவப்பு மிளகாய் - 1,
பெருங்காயம்/கீரை - ஒரு சிட்டிகை,
வெங்காயம் - 6-7 அல்லது 1 சிறிய வெங்காயம்,
கறிவேப்பிலை - ஒரு தளிர்,
கொத்தமல்லி இலை - 2 டீஸ்பூன் பொடியாக நறுக்கியது</t>
  </si>
  <si>
    <t>In a cooker, add chopped raw papaya, moong dal (or a mix of moong dal and tur dal), chopped tomato, green chilli, turmeric powder, a cup of water and salt needed. (moong dal – pasi paruppu in Tamil).
Pressure cook for 2 or 3 whistles.
Once the pressure subsides, open the cooker and add the ground paste.
Mix well and boil for 4-5 minutes on low heat, stirring from time to time.
Heat oil in a pan, add mustard seeds, when it sizzles, add urad dal, red chillies and hing. When dal turns golden brown, add chopped onions and curry leaves.
Saute until onions turn transparent. Then add to the kootu and mix well.
Garnish with finely chopped coriander leaves</t>
  </si>
  <si>
    <t>ஒரு குக்கரில், நறுக்கிய பச்சை பப்பாளி, பாசிப்பருப்பு (அல்லது பாசிப்பருப்பு மற்றும் துவரம்பருப்பு கலவை), நறுக்கிய தக்காளி, பச்சை மிளகாய், மஞ்சள் தூள், ஒரு கப் தண்ணீர் மற்றும் உப்பு (தமிழ் மொழியில் மூங் பருப்பு - பாசிப்பருப்பு) சேர்க்கவும்.
பிரஷர் 2 அல்லது 3 விசில்கள் வரும் வரை சமைக்கவும்.
பிரஷர் குறைந்தவுடன், குக்கரைத் திறந்து அரைத்த விழுதைச் சேர்க்கவும்.
நன்கு கலந்து, குறைந்த தீயில் 4-5 நிமிடங்கள் அவ்வப்போது கிளறி கொதிக்க விடவும்.
ஒரு கடாயில் எண்ணெயைச் சூடாக்கி, கடுகு சேர்த்து, அது கொதிக்கும்போது, ​​உளுத்தம் பருப்பு, சிவப்பு மிளகாய் மற்றும் பெருங்காயம் சேர்க்கவும். பருப்பு பொன்னிறமாக மாறும் வரை, நறுக்கிய வெங்காயம் மற்றும் கறிவேப்பிலை சேர்க்கவும்.
வெங்காயம் வெளிப்படையானதாக மாறும் வரை வதக்கவும். பின்னர் கூட்டில் சேர்த்து நன்கு கலக்கவும்.
இறுதியாக நறுக்கிய கொத்தமல்லி இலைகளால் அலங்கரிக்கவும்.</t>
  </si>
  <si>
    <t>https://www.sandiegouniontribune.com/wp-content/uploads/2025/04/SUT-L-GREENPAPAYA-CookedKoottu-0402.jpg?w=640</t>
  </si>
  <si>
    <t>Vendhaya Keerai Poriyal-Methi Bhaji</t>
  </si>
  <si>
    <t>வெந்தய கீரை பொரியல்-மேத்தி பாஜி</t>
  </si>
  <si>
    <t>Fenugreek leaves/methi – 2 cups,
   Garlic – 5 cloves,
   Onion – 1 cup finely chopped,
   Turmeric powder – 1/4 tsp,
   Sambar powder – 1 tsp,
   Salt needed,
   Grated coconut – 1/3 cup,
   Oil – 2 tbsp,
   Mustard seeds – 1 tsp,
   Cumin seeds – 1 tsp,
   Asafoetida/Hing – a generous pinch.</t>
  </si>
  <si>
    <t>வெந்தய இலைகள்/மேத்தி - 2 கப்,
பூண்டு - 5 பல்,
வெங்காயம் - 1 கப் பொடியாக நறுக்கியது,
மஞ்சள் தூள் - 1/4 டீஸ்பூன்,
சாம்பார் பொடி - 1 டீஸ்பூன்,
உப்பு தேவையான அளவு,
தேங்காய் துருவல் - 1/3 கப்,
எண்ணெய் - 2 டேபிள்ஸ்பூன்,
கடுகு - 1 டேபிள்ஸ்பூன்,
சீரகம் - 1 டேபிள்ஸ்பூன்,
அசாஃபோடிடா/ஹிங் - ஒரு சிட்டிகை.</t>
  </si>
  <si>
    <t>Heat oil in a pan, add mustard seeds, hing and cumin seeds, when mustard seed splutters, add garlic and onions.  
Saute the onions well until it turns light brown. Add the methi leaves.
Fenugreek Leaves Stir Fry
Add turmeric powder and sambar powder (you can add chilli powder also, if adding chilli powder, add less).
Cook covered on low heat, stirring in between. Add salt to taste.
Once cooked, add grated coconut, mix well and turn off the heat.
Enjoy this delicious stir fry as a side dish for chapati or with rice.</t>
  </si>
  <si>
    <t>ஒரு கடாயில் எண்ணெயை சூடாக்கி, கடுகு, கீரை மற்றும் சீரகம் சேர்த்து, கடுகு வதங்கியதும், பூண்டு மற்றும் வெங்காயம் சேர்க்கவும்.
வெங்காயத்தை லேசான பழுப்பு நிறமாக மாறும் வரை நன்கு வதக்கவும். மேத்தி இலைகளைச் சேர்க்கவும்.
வெந்தய இலைகளை வறுக்கவும்
மஞ்சள் தூள் மற்றும் சாம்பார் பொடியைச் சேர்க்கவும் (மிளகாய் தூள் சேர்த்தால், குறைவாக சேர்க்கவும்).
குறைந்த தீயில் மூடி வைத்து, இடையில் கிளறி சமைக்கவும். சுவைக்கேற்ப உப்பு சேர்க்கவும்.
வெந்ததும், துருவிய தேங்காய் சேர்த்து, நன்றாகக் கலந்து, அடுப்பை அணைக்கவும்.
இந்த சுவையான வறுவலை சப்பாத்தி அல்லது சாதத்துடன் சேர்த்து சாப்பிடலாம்.</t>
  </si>
  <si>
    <t>https://i.pinimg.com/736x/02/21/a0/0221a01903fef6a9fb33b2a6053fc278.jpg</t>
  </si>
  <si>
    <t>Kohlrabi Stir Fry-Noolkol Poriyal</t>
  </si>
  <si>
    <t>கோதுமை மாவு வறுவல் - நூல்கோல் பொரியல்</t>
  </si>
  <si>
    <t>Kohlrabi/Noolkol – 4 small ones,
   Turmeric powder – 1/4 tsp,
   Salt needed,
   Coconut – 1/4 cup grated ,
   Oil – 2 tsp,
   Mustard seeds – 1 tsp,
   Urad dal – 1 tsp,
   Red Chilli – 1,
   Green Chilli – 1,
   Hing – a pinch,
   Curry leaves – a sprig.</t>
  </si>
  <si>
    <t>கோதுமை மாவு/நூல்கோல் – 4 சிறியவை,
மஞ்சள் தூள் – 1/4 தேக்கரண்டி,
உப்பு தேவை,
தேங்காய் – 1/4 கப் துருவியது,
எண்ணெய் – 2 தேக்கரண்டி,
கடுகு – 1 தேக்கரண்டி,
உருளை பருப்பு – 1 தேக்கரண்டி,
சிவப்பு மிளகாய் – 1,
பச்சை மிளகாய் – 1,
கீரை – ஒரு சிட்டிகை,
கறிவேப்பிலை – ஒரு தளிர்.</t>
  </si>
  <si>
    <t>Heat oil in  a pan, add mustard seeds, when it splutters, add urad dal, hing, red chilli, green chilli and curry leaves.
When urad dal turns golden brown, add the grated kohlrabi and turmeric powder.
Sprinkle water and cook covered stirring in between. Add salt to taste.
Once the vegetable becomes tender, add grated coconut, mix well and remove from heat.
Serve delicious kohlrabi stir fry/noolkol poriyal as an accompaniment for rice.</t>
  </si>
  <si>
    <t>ஒரு கடாயில் எண்ணெயை சூடாக்கி, கடுகு சேர்த்து, அது வதங்கியதும், உளுத்தம் பருப்பு, ஹிங்,சிவப்பு மிளகாய், பச்சை மிளகாய் மற்றும் கறிவேப்பிலை சேர்க்கவும்.
உருளை பொரியல் பொன்னிறமாக மாறியதும், துருவிய கோதுமை மாவு மற்றும் மஞ்சள் தூள் சேர்க்கவும்.
தண்ணீர் தெளித்து, இடையில் மூடி வைத்து கிளறி சமைக்கவும். சுவைக்கேற்ப உப்பு சேர்க்கவும்.
காய்கறி மென்மையாக மாறியதும், துருவிய தேங்காய் சேர்த்து நன்கு கலந்து, அடுப்பிலிருந்து இறக்கவும்.
சாதத்திற்கு ஒரு துணையாக சுவையான கோதுமை மாவு வறுவல்/நூல் கோதுமை மாவு பரிமாறவும்.</t>
  </si>
  <si>
    <t>https://encrypted-tbn0.gstatic.com/images?q=tbn:ANd9GcSTdTYF0Fgesn3C-X-Zxk3Rt-Ngg8wjryvOCA&amp;s</t>
  </si>
  <si>
    <t>Parangikai Paal Kootu</t>
  </si>
  <si>
    <t>பரங்கிக்காய் பால் கூட்டு</t>
  </si>
  <si>
    <t>Tender Pumpkin/pagangikkai – 1 1/2 cup chopped,
   Sugar – 1 1/2 tbsp,
   Milk – 1 cup,
   Rice flour – 2 tsp,
   Salt to taste,
   Coconut oil – 2 tsp,
   Mustard seeds – 1 tsp,
   Urad dal – 1/2 tsp,
   Red Chillies or green chillies – 2,
   Curry leaves – a sprig,
   Grated coconut – 2 tbsp .</t>
  </si>
  <si>
    <t>மென்மையான பூசணிக்காய்/பகங்கிக்காய் – 1 1/2 கப் நறுக்கியது,
சர்க்கரை – 1 1/2 டீஸ்பூன்,
பால் – 1 கப்,
அரிசி மாவு – 2 டீஸ்பூன்,
சுவைக்கு உப்பு,
தேங்காய் எண்ணெய் – 2 டீஸ்பூன்,
கடுகு – 1 டீஸ்பூன்,
உப்பு பருப்பு – 1/2 டீஸ்பூன்,
சிவப்பு மிளகாய் அல்லது பச்சை மிளகாய் – 2,
கறிவேப்பிலை – ஒரு தளிர்,
தேங்காய் துருவல் – 2 டீஸ்பூன்.</t>
  </si>
  <si>
    <t>Cook pumpkin with salt and just needed water until tender. (if there is excess water after cooking, you may drain it).
Then add sugar and cook until sugar dissolves. (Traditionally sugar is added to this kootu but I have added jaggery as I do not prefer to use sugar).
Mix rice flour with milk without lumps. Then add the mixture to the cooked pumpkin.
Cook on medium heat until it boils well and the consistency becomes saucy.
Heat coconut oil in a pan, add mustard seeds, when it splutters, add urad dal, red chillies and curry leaves. When dal turns golden brown, add the seasoning to the kootu and mix well.
Garnish with grated coconut and serve with vathal kulambu and rice.</t>
  </si>
  <si>
    <t>பூசணிக்காயை உப்பு சேர்த்து தேவையான அளவு தண்ணீர் சேர்த்து மென்மையாகும் வரை சமைக்கவும். (சமைத்த பிறகு அதிகப்படியான தண்ணீர் இருந்தால், அதை வடிகட்டலாம்).
பின்னர் சர்க்கரை சேர்த்து சர்க்கரை கரையும் வரை சமைக்கவும். (பாரம்பரியமாக இந்தக் கூட்டில் சர்க்கரை சேர்க்கப்படும், ஆனால் நான் சர்க்கரையைப் பயன்படுத்த விரும்பாததால் வெல்லம் சேர்த்துள்ளேன்).
அரிசி மாவுடன் பாலில் கட்டிகள் இல்லாமல் கலக்கவும். பின்னர் கலவையை சமைத்த பூசணிக்காயில் சேர்க்கவும்.
நன்றாக கொதிக்கும் வரை மிதமான தீயில் சமைக்கவும், அதன் நிலைத்தன்மையும் மாறும் வரை சமைக்கவும்.
ஒரு கடாயில் தேங்காய் எண்ணெயை சூடாக்கி, கடுகு சேர்த்து, அது வதங்கியதும், உளுத்தம்பருப்பு, சிவப்பு மிளகாய் மற்றும் கறிவேப்பிலை சேர்க்கவும். பருப்பு பொன்னிறமாக மாறியதும், கூட்டுடன் தாளிக்கக் கொடுத்தவற்றைச் சேர்த்து நன்கு கலக்கவும்.
தேங்காயைத் துருவியவாறு அலங்கரித்து, வத்தல் குழம்பு மற்றும் சாதத்துடன் பரிமாறவும்.</t>
  </si>
  <si>
    <t>https://images.squarespace-cdn.com/content/v1/603bc7becf34a07d765fc033/99063b52-4aa2-40db-b7f8-8736c2bd11e8/IMG_1403.jpg</t>
  </si>
  <si>
    <t>Raw Papaya Stir Fry</t>
  </si>
  <si>
    <t>பச்சை பப்பாளி வறுக்கவும்</t>
  </si>
  <si>
    <t>Raw Papaya – 4 cups grated,
   Turmeric powder – 1/4 tsp,
   Salt needed,
   Fresh Coconut – 1/3 cup grated,
   Green chilli – 1,
   Cumin seeds – 1/2 tsp,
   Oil – 2 tsp,
   Mustard seeds – 1 tsp,
   Urad dal – 1/2 tsp,
   Red Chilli – 1,
   Curry leaves – a sprig.</t>
  </si>
  <si>
    <t>பச்சை பப்பாளி - 4 கப் துருவியது,
மஞ்சள் தூள் - 1/4 தேக்கரண்டி,
உப்பு தேவை,
புதிய தேங்காய் - 1/3 கப் துருவியது,
பச்சை மிளகாய் - 1,
சீரகம் - 1/2 தேக்கரண்டி,
எண்ணெய் - 2 தேக்கரண்டி,
கடுகு - 1 தேக்கரண்டி,
உப்பு பருப்பு - 1/2 தேக்கரண்டி,
சிவப்பு மிளகாய் - 1,
கறிவேப்பிலை - ஒரு தளிர்.</t>
  </si>
  <si>
    <t>Heat oil in a pan, add mustard seeds, when it splutters, add urad dal, red chilli and curry leaves.
When dal turns golden brown, add the grated raw papaya and turmeric powder.
Sprinkle water and cook covered, stirring from time to time.
Once cooked, add salt needed and the ground coconut mixture. Mix well and cook covered for a few more seconds.
Enjoy healthy and delicious green papaya stir fry with rice.</t>
  </si>
  <si>
    <t>ஒரு கடாயில் எண்ணெயை சூடாக்கி, கடுகு சேர்த்து, அது வதங்கியதும், உளுத்தம் பருப்பு, சிவப்பு மிளகாய் மற்றும் கறிவேப்பிலை சேர்க்கவும்.
பருப்பு பொன்னிறமாக மாறியதும், துருவிய பச்சை பப்பாளி மற்றும் மஞ்சள் தூள் சேர்க்கவும்.
தண்ணீர் தெளித்து, அவ்வப்போது கிளறி, மூடி வைத்து சமைக்கவும்.
வெந்தவுடன், தேவையான உப்பு மற்றும் அரைத்த தேங்காய் கலவையை சேர்க்கவும். நன்றாக கலந்து, மூடி வைத்து இன்னும் சில நொடிகள் சமைக்கவும்.
சாதத்துடன் ஆரோக்கியமான மற்றும் சுவையான பச்சை பப்பாளி வறுக்கவும்.</t>
  </si>
  <si>
    <t>https://www.thetakeiteasychef.com/wp-content/uploads/2016/11/raw-papaya-stir-fry.1024x1024.png</t>
  </si>
  <si>
    <t>Keerai Thandu Kootu</t>
  </si>
  <si>
    <t>கீரை தண்டு கூட்டு</t>
  </si>
  <si>
    <t>Keerai Thandu – 2 cups chopped,
   Tur Dal – 1/4 cup,
   Turmeric powder – 1/2 tsp,
   Salt needed,
   Urad dal – 1 tbsp,
   Red chillies – 3,
   Raw rice – 1/2 tsp,
   Grated coconut – 3 tbsp,
   Oil – 2 tsp,
   Mustard seeds – 1 tsp,
   Urad dal – 1 tsp,
   Red chilli – 1,
   Curry leaves – a sprig.</t>
  </si>
  <si>
    <t>கீரை தண்டு - 2 கப் நறுக்கியது,
துர் பருப்பு - 1/4 கப்,
மஞ்சள் தூள் - 1/2 தேக்கரண்டி,
உப்பு தேவையான அளவு,
உப்பு பருப்பு - 1 தேக்கரண்டி,
சிவப்பு மிளகாய் - 3,
பச்சை அரிசி - 1/2 தேக்கரண்டி,
தேங்காய் துருவல் - 3 தேக்கரண்டி,
எண்ணெய் - 2 தேக்கரண்டி,
கடுகு - 1 தேக்கரண்டி,
உப்பு பருப்பு - 1 தேக்கரண்டி,
சிவப்பு மிளகாய் - 1,
கறிவேப்பிலை - ஒரு கிளை.</t>
  </si>
  <si>
    <t>Cook chopped keerai stems in a cup of water with needed salt and 1/4 tsp turmeric powder until tender.
Once it becomes soft,  add the cooked dal and the ground paste along with 1/2 cup of water.
Simmer and cook for 4-5 minutes. You may adjust the consistency of the kootu by adding more or less water. Check for salt.
Heat a tsp of oil, add mustard seeds, when it splutters, add urad dal, red chillies and curry leaves. When dal turns golden brown, pour the seasoning over the kootu.
Enjoy keerai thandu kootu with steamed rice or rasam rice.</t>
  </si>
  <si>
    <t>நறுக்கிய கீரை தண்டுகளை ஒரு கப் தண்ணீரில் தேவையான உப்பு மற்றும் 1/4 தேக்கரண்டி மஞ்சள் தூள் சேர்த்து மென்மையாகும் வரை சமைக்கவும்.
அது மென்மையாக மாறியதும், சமைத்த பருப்பையும், அரைத்த விழுதையும் 1/2 கப் தண்ணீருடன் சேர்க்கவும்.
4-5 நிமிடங்கள் கொதிக்க வைத்து சமைக்கவும். அதிகமாகவோ அல்லது குறைவாகவோ தண்ணீர் சேர்த்து கூட்டின் நிலைத்தன்மையை சரிசெய்யலாம். உப்பு இருக்கிறதா என்று சோதிக்கவும்.
ஒரு தேக்கரண்டி எண்ணெயைச் சூடாக்கி, கடுகு சேர்த்து, அது வதங்கியதும், உளுத்தம்பருப்பு, சிவப்பு மிளகாய் மற்றும் கறிவேப்பிலை சேர்க்கவும். பருப்பு பொன்னிறமாக மாறியதும், கூட்டின் மீது தாளிக்கக் கொடுத்தவற்றை ஊற்றவும்.
கீரை தண்டு கூத்தை வேகவைத்த சாதம் அல்லது ரசம் சாதத்துடன் மகிழுங்கள்.</t>
  </si>
  <si>
    <t>https://blogger.googleusercontent.com/img/b/R29vZ2xl/AVvXsEhaDuXYDUB7IbHOfwQO5A8Wf_O06oJy-dYKQ7F_CwGewv7oRTVq_sYPlBkT0k8_9bkQzNWk0lZmC_eyyoD-nPU-Gie3OjSl14gG_jAHDpS4UUpS2TsJbMReS-OWPwuUS-KYRHkTmqMxCBk/s1600/Thandu+keerai+kootu.jpg</t>
  </si>
  <si>
    <t>https://youtu.be/Ma-0yi_GxgE</t>
  </si>
  <si>
    <t>Beans Thoran-Kerala Style French Beans Stir Fry</t>
  </si>
  <si>
    <t>பீன்ஸ் தோரன்-கேரள பாணி பிரஞ்சு பீன்ஸ் வறுக்கவும்</t>
  </si>
  <si>
    <t xml:space="preserve"> Beans – 3 cups chopped ,
   Salt needed,
   Grated coconut – 1/2 cup,
   Green chilli – 1,
   Garlic – 2,
   Pearl onion – 3,
   Turmeric powder – 1/2 tsp,
   Cumin seeds – 1 tsp,
   Coconut oil – 2 tbsp,
   Mustard seeds – 1 tsp,
   Red Chilli – 1,
   Curry leaves – a sprig.</t>
  </si>
  <si>
    <t>பீன்ஸ் – 3 கப் நறுக்கியது,
உப்பு தேவை,
தேங்காய் துருவியது – 1/2 கப்,
பச்சை மிளகாய் – 1,
பூண்டு – 2,
பெரிய வெங்காயம் – 3,
மஞ்சள் தூள் – 1/2 தேக்கரண்டி,
சீரகம் – 1 தேக்கரண்டி,
தேங்காய் எண்ணெய் – 2 தேக்கரண்டி,
கடுகு – 1 தேக்கரண்டி,
சிவப்பு மிளகாய் – 1,
கறிவேப்பிலை – ஒரு தளிர்.</t>
  </si>
  <si>
    <t>Heat oil in a pan, add mustard seeds, when it splutters, add red chilli and curry leaves.
Add the coconut mixture and cook for 2-3 minutes on low heat.
Add the chopped beans, salt needed and mix well.
Sprinkle water and cook covered, stirring from time to time until the beans becomes tender. You may sprinkle more water if required, in between to prevent it from getting burnt.
Enjoy delicious Beans thoran with steamed rice.</t>
  </si>
  <si>
    <t>ஒரு கடாயில் எண்ணெயை சூடாக்கி, கடுகு சேர்த்து, அது வெடித்ததும், மிளகாய் மற்றும் கறிவேப்பிலை சேர்க்கவும்.
தேங்காய் கலவையைச் சேர்த்து குறைந்த தீயில் 2-3 நிமிடங்கள் சமைக்கவும்.
பொடியாக நறுக்கிய பீன்ஸ், தேவையான உப்பு சேர்த்து நன்கு கலக்கவும்.
தண்ணீர் தெளித்து, அவ்வப்போது பீன்ஸ் மென்மையாகும் வரை கிளறி, மூடி வைத்து சமைக்கவும். தேவைப்பட்டால், அது எரியாமல் இருக்க, இடையிடையே அதிக தண்ணீர் தெளிக்கலாம்.
வேகவைத்த அரிசியுடன் சுவையான பீன்ஸ் தோரனை அனுபவிக்கவும்.</t>
  </si>
  <si>
    <t>https://www.sharmispassions.com/wp-content/uploads/2020/12/36801908361_53da5d6879_o.jpg</t>
  </si>
  <si>
    <t>Mathanga Thoran-Yellow Pumpkin Stir Fry Kerala Style</t>
  </si>
  <si>
    <t>மாதங்கா தோரன்-மஞ்சள் பூசணிக்காயை வறுக்கவும் கேரளா ஸ்டைல்</t>
  </si>
  <si>
    <t xml:space="preserve"> Pumpkin – 3 cups chopped,
   Pearl onions (Kunjulli) – 1/4 cup chopped,
   Salt needed,
   Coconut – 1/3 cup grated,
   Cumin seeds (jeerakam) – 1 tsp,
   Garlic (veluthulli) – 2,
   Turmeric powder – 1/4 tsp,
   Coconut oil – 1 1/2 tbsp,
   Mustard seeds (Kaduku) – 1 tsp,
   Curry leaves – a sprig,
   Chilli flakes – 1/2 – 3/4  tsp.</t>
  </si>
  <si>
    <t>பூசணிக்காய் - 3 கப் நறுக்கியது, 
முத்து வெங்காயம் (குஞ்சுல்லி) - 1/4 கப் நறுக்கியது, 
உப்பு தேவை, 
தேங்காய் - 1/3 கப் துருவியது, 
சீரகம் (ஜீரகம்) - 1 டீஸ்பூன், 
பூண்டு (வெளுத்துல்லி) – 2, 
மஞ்சள் தூள் - 1/4 டீஸ்பூன், 
தேங்காய் எண்ணெய் - 1 1/2 டீஸ்பூன், 
கடுகு (கடுகு) - 1 தேக்கரண்டி, 
கறிவேப்பிலை - ஒரு துளிர், 
மிளகாய்த்தூள் - 1/2 - 3/4 டீஸ்பூன்.</t>
  </si>
  <si>
    <t>Heat coconut oil in a pan, add mustard seeds, curry leaves and chilli flakes.
When mustard splutters, add thinly sliced pearl onions and saute until it turns transparent.
Add the ground coconut mixture and saute for 2 more minutes.
Add chopped pumpkin and mix well. Cook covered on medium heat, stirring from time to time. If required, you can sprinkle water in between to prevent it from getting burnt.
Enjoy delicious and nutritious pumpkin stir fry/mathanga thoran with rice or rotis</t>
  </si>
  <si>
    <t>ஒரு கடாயில் தேங்காய் எண்ணெயை சூடாக்கி, கடுகு, கறிவேப்பிலை மற்றும் மிளகாய்த்தூள் சேர்க்கவும்.
கடுகு வதங்கியதும், மெல்லியதாக நறுக்கிய முத்து வெங்காயத்தைச் சேர்த்து அது வெளிப்படையானதாக மாறும் வரை வதக்கவும்.
தேங்காய் அரைத்த தேங்காய் கலவையைச் சேர்த்து மேலும் 2 நிமிடங்கள் வதக்கவும்.
நறுக்கிய பூசணிக்காயைச் சேர்த்து நன்கு கலக்கவும். அவ்வப்போது கிளறி, மிதமான தீயில் மூடி வைக்கவும். தேவைப்பட்டால், அது எரிவதைத் தடுக்க இடையில் தண்ணீர் தெளிக்கலாம்.
சாதம் அல்லது ரொட்டியுடன் சுவையான மற்றும் சத்தான பூசணிக்காய் வறுவல்/மத்தங்க தோரனை உண்டு மகிழுங்கள்.</t>
  </si>
  <si>
    <t>https://cdn.shortpixel.ai/spai/q_lossy+w_977+to_auto+ret_img/thetastesofindia.com/wp-content/uploads/2016/06/mathanga-thoran3.jpg</t>
  </si>
  <si>
    <t xml:space="preserve"> Potatoes – 4 medium size,
   Turmeric powder – 1/4 tsp,
   Lemon – 1,
   Salt needed,
   Oil – 2 tsp,
   Mustard seeds – 1 tsp,
   Urad dal – 2 tsp,
   Bengal gram (kadalai paruppu) – 2 tsp,
   Hing – a pinch,
   Ginger – 1 tsp finely chopped,
   Green Chilli – 1-2 finely chopped,
   Curry Leaves – a sprig,
   Coriander leaves – 1 tbsp finely chopped.</t>
  </si>
  <si>
    <t>உருளைக்கிழங்கு - 4 நடுத்தர அளவு,
மஞ்சள் தூள் - 1/4 தேக்கரண்டி,
எலுமிச்சை - 1,
உப்பு தேவை,
எண்ணெய் - 2 தேக்கரண்டி,
கடுகு - 1 தேக்கரண்டி,
உளுத்தம் பருப்பு - 2 தேக்கரண்டி,
கடலை பருப்பு - 2 தேக்கரண்டி,
பெருங்காயம் (கடலை பருப்பு) - 2 தேக்கரண்டி,
பெருங்காயம் - ஒரு சிட்டிகை,
இஞ்சி - 1 தேக்கரண்டி பொடியாக நறுக்கியது,
பச்சை மிளகாய் - 1-2 பொடியாக நறுக்கியது,
கறிவேப்பிலை - ஒரு தளிர்,
கொத்தமல்லி இலை - 1 தேக்கரண்டி பொடியாக நறுக்கியது.</t>
  </si>
  <si>
    <t>Heat oil in a pan, add mustard seeds, when it splutters, add urad dal, bengal gram (chana dal) and saute until dal turns light golden brown.
Add ginger, green chilli, turmeric powder and curry leaves.
Saute for a few seconds, add crumbled potatoes and salt needed. Mix well and turn off the heat.
Squeeze juice of a fresh lemon and mix well. Garnish with finely chopped coriander leaves and enjoy.</t>
  </si>
  <si>
    <t>ஒரு கடாயில் எண்ணெயை சூடாக்கி, கடுகு சேர்த்து, அது வெடித்ததும், உளுத்தம் பருப்பு, கடலை பருப்பு (சனா பருப்பு) சேர்த்து, பருப்பு லேசான பொன்னிறமாகும் வரை வதக்கவும்.
இஞ்சி, பச்சை மிளகாய், மஞ்சள் தூள் மற்றும் கறிவேப்பிலை சேர்க்கவும்.
சில நொடிகள் வதக்கி, நொறுக்கப்பட்ட உருளைக்கிழங்கு மற்றும் தேவையான உப்பு சேர்க்கவும். நன்றாக கலந்து, தீயை அணைக்கவும்.
ஒரு புதிய எலுமிச்சையின் சாற்றை பிழிந்து நன்கு கலக்கவும். பொடியாக நறுக்கிய கொத்தமல்லி இலைகளால் அலங்கரித்து மகிழுங்கள்.</t>
  </si>
  <si>
    <t>https://www.awesomecuisine.com/wp-content/uploads/2007/10/Potato-Podimas-500x500.jpg</t>
  </si>
  <si>
    <t>Vazhaipoo Murungai Keerai Poriyal</t>
  </si>
  <si>
    <t>வாழைப்பூ முருங்கை கீரை பொரியல்</t>
  </si>
  <si>
    <t>Onion – 1 cup finely chopped,
   Garlic – 4-5 cloves finely chopped,
   Drumstick leaves – 1 cup firmly packed,
   Plantain flower – 1 cup chopped,
   Salt to taste,
   Turmeric powder – 1/4 tsp,
   Grated coconut – 1/4 cup,
   Oil – 1 1/2 tbsp,
   Mustard seeds – 1 tsp,
   Urad dal – 1 tsp,
   Red chillies – 2-3,
   Hing – a pinch.</t>
  </si>
  <si>
    <t>வெங்காயம் – 1 கப் பொடியாக நறுக்கியது,
பூண்டு – 4-5 பல் பொடியாக நறுக்கியது,
முருங்கை இலைகள் – 1 கப் கெட்டியாக பொடித்தது,
வாழைப்பூ – 1 கப் பொடியாக நறுக்கியது,
ருசிக்க உப்பு,
மஞ்சள் தூள் – 1/4 டீஸ்பூன்,
தேங்காய் துருவியது – 1/4 கப்,
எண்ணெய் – 1 1/2 டீஸ்பூன்,
கடுகு – 1 டீஸ்பூன்,
உரத்த பருப்பு – 1 டீஸ்பூன்,
சிவப்பு மிளகாய் – 2-3,
இங் – ஒரு சிட்டிகை.</t>
  </si>
  <si>
    <t>Heat oil in a pan, add mustard seeds, when it splutters, add urad dal, red chillies and hing. When dal turns golden brown, add finely chopped onion and garlic.
Saute until onion turns transparent.
sauteing onions 
Add drumstick leaves and cook covered. It will not take more than 5 minutes for the leaves to get cooked.
Once the leaves are cooked, add the cooked banana flower and salt needed (as we have cooked the banana flower with salt, add salt accordingly).
Mix well and cook covered for another 2 minutes.
Add grated coconut, mix well and switch off the heat.
Serve as an accompaniment with rice. Enjoy!!</t>
  </si>
  <si>
    <t>ஒரு கடாயில் எண்ணெயை சூடாக்கி, கடுகு சேர்த்து, அது வதங்கியதும், உளுத்தம் பருப்பு, சிவப்பு மிளகாய் மற்றும் ஹிங் சேர்க்கவும். பருப்பு பொன்னிறமாக மாறியதும், பொடியாக நறுக்கிய வெங்காயம் மற்றும் பூண்டு சேர்க்கவும்.
வெங்காயம் வெளிப்படையானதாக மாறும் வரை வதக்கவும்.
வெங்காயம் வதக்கவும்
முருங்கை இலைகளைச் சேர்த்து மூடி வைத்து சமைக்கவும். இலைகள் வேக 5 நிமிடங்களுக்கு மேல் ஆகாது.
இலைகள் வெந்தவுடன், சமைத்த வாழைப்பூ மற்றும் தேவையான உப்பு சேர்க்கவும் (வாழைப்பூவை உப்பு சேர்த்து சமைத்திருப்பது போல, அதற்கேற்ப உப்பு சேர்க்கவும்).
நன்றாகக் கலந்து மூடி வைத்து மேலும் 2 நிமிடங்கள் சமைக்கவும்.
தேங்காய் துருவலைச் சேர்த்து, நன்கு கலந்து, அடுப்பை அணைக்கவும்.
சாதத்துடன் சேர்த்து பரிமாறவும். மகிழுங்கள்!!</t>
  </si>
  <si>
    <t>https://i.ytimg.com/vi/xTicaNBMBJo/hq720.jpg?sqp=-oaymwEhCK4FEIIDSFryq4qpAxMIARUAAAAAGAElAADIQj0AgKJD&amp;rs=AOn4CLCEhpETRGBUPDrXAw0DOcRbxomsVw</t>
  </si>
  <si>
    <t>https://youtu.be/_nmQEnXmi7U</t>
  </si>
  <si>
    <t>Kothavarangai Kootu without coconut</t>
  </si>
  <si>
    <t>தேங்காய் சேர்க்காத கொத்தவரங்காய் கூட்டு</t>
  </si>
  <si>
    <t xml:space="preserve"> Tender Cluster Beans – 250 grams ,
   Tur Dal – 1/4 cup,
   Rice flour – 1 tsp,
   Turmeric powder – 1/4 tsp,
   Salt needed,
   Oil – 2 tsp,
   Mustard seeds – 1 tsp,
   Urad dal – 1 tsp,
   Red Chillies – 3,
   Hing – a pinch,
   Curry leaves – a sprig,
   Coriander leaves- 1 tbsp finely chopped.</t>
  </si>
  <si>
    <t>மென்மையான கொத்து பீன்ஸ் - 250 கிராம்,
துவரம் பருப்பு - 1/4 கப்,
அரிசி மாவு - 1 தேக்கரண்டி,
மஞ்சள் தூள் - 1/4 தேக்கரண்டி,
உப்பு தேவை,
எண்ணெய் - 2 தேக்கரண்டி,
கடுகு - 1 தேக்கரண்டி,
உளுத்தம் பருப்பு - 1 தேக்கரண்டி,
சிவப்பு மிளகாய் - 3,
கீல் - ஒரு சிட்டிகை,
கறிவேப்பிலை - ஒரு தளிர்,
கொத்தமல்லி இலை - 1 தேக்கரண்டி பொடியாக நறுக்கியது.</t>
  </si>
  <si>
    <t>In a heavy bottomed vessel or kadai, add the chopped cluster beans, enough water to cover the cluster beans (I added 1 cup of water), turmeric powder and few curry leaves. Cook covered until the cluster beans becomes tender.
Once the cluster beans becomes tender, add the cooked and mashed dal.
Add water needed and rice flour mixture. Cook on medium heat until the kootu thickens.
Heat oil in a pan, add mustard seeds, when it splutters, add urad dal, red chillies, hing and curry leaves. When dal turns golden brown, pour the seasoning over the kootu.
Simmer for another 2-3 minutes. The consistency of the kootu should neither be too watery nor too thick.
Garnish with finely chopped coriander leaves and serve hot as a side dish for rice.
Another way to have this kootu is to mix it with rice, top it with a tsp of ghee and enjoy it hot. You can have any vegetable curry or papads or pickle as a side dish for this.</t>
  </si>
  <si>
    <t>ஒரு அடி கனமான பாத்திரத்தில் அல்லது கடாயில், நறுக்கிய கொத்து பீன்ஸை, கொத்து பீன்ஸை மூடும் அளவுக்கு தண்ணீர் (நான் 1 கப் தண்ணீர் சேர்த்தேன்), மஞ்சள் தூள் மற்றும் சில கறிவேப்பிலைகளைச் சேர்க்கவும். கொத்து பீன்ஸ் மென்மையாகும் வரை மூடி வைத்து சமைக்கவும்.
கொத்து பீன்ஸ் மென்மையாகும் போது, ​​சமைத்த மற்றும் மசித்த பருப்பைச் சேர்க்கவும்.
தேவையான அளவு தண்ணீர் மற்றும் அரிசி மாவு கலவையைச் சேர்க்கவும். கூட்டு கெட்டியாகும் வரை மிதமான தீயில் சமைக்கவும்.
ஒரு கடாயில் எண்ணெயை சூடாக்கி, கடுகு சேர்த்து, அது வதங்கியதும், உளுத்தம்பருப்பு, சிவப்பு மிளகாய், பெருங்காயம் மற்றும் கறிவேப்பிலை சேர்க்கவும். பருப்பு பொன்னிறமாக மாறியதும், கூட்டு மீது தாளிக்க வேண்டியதை ஊற்றவும்.
மேலும் 2-3 நிமிடங்கள் வதக்கவும். கூட்டு அதிக நீர்ச்சத்து உள்ளதாகவோ அல்லது கெட்டியாகவோ இருக்கக்கூடாது.
இறுதியாக நறுக்கிய கொத்தமல்லி இலைகளால் அலங்கரித்து, சாதத்திற்கு ஒரு பக்க உணவாக சூடாகப் பரிமாறவும்.
இந்தக் கூத்தை சாப்பிடுவதற்கான மற்றொரு வழி, அதை சாதத்துடன் கலந்து, அதன் மேல் ஒரு தேக்கரண்டி நெய் சேர்த்து சூடாக மசிப்பது. இதற்கு நீங்கள் எந்த காய்கறி கறி அல்லது பப்படம் அல்லது ஊறுகாயையும் ஒரு பக்க உணவாக சாப்பிடலாம்.</t>
  </si>
  <si>
    <t>https://i.ytimg.com/vi/-rceq97RQwM/maxresdefault.jpg</t>
  </si>
  <si>
    <t xml:space="preserve"> Broad Beans – 1/4 kg ,
   Mixed Dal – 1/3 cup ,
   Sambar powder – 2 tsp,
   Turmeric powder – 1/4 tsp,
   Salt needed,
   Grated coconut – 1/4 cup,
   Cumin seeds – 1 tsp,
   Roasted gram dal (pottukadalai) – 1 tbsp,
   Oil – 1 tsp,
   Mustard seeds – 1 tsp,
   Urad dal – 1 tsp,
   Curry leaves – a spig,
   Coriander leaves – 1 tbsp finely chopped.</t>
  </si>
  <si>
    <t>அரைத்த பீன்ஸ் - 1/4 கிலோ,
கலவைத்த பருப்பு - 1/3 கப்,
சாம்பார் பொடி - 2 தேக்கரண்டி,
மஞ்சள் பொடி - 1/4 தேக்கரண்டி,
உப்பு தேவையான அளவு,
தேங்காய் துருவல் - 1/4 கப்,
சீரகம் - 1 தேக்கரண்டி,
வறுத்த பருப்பு (பொட்டுக்கடலை) - 1 தேக்கரண்டி,
எண்ணெய் - 1 தேக்கரண்டி,
கடுகு - 1 தேக்கரண்டி,
உரத்த பருப்பு - 1 தேக்கரண்டி,
கறிவேப்பிலை - ஒரு துளி,
கொத்தமல்லி இலை - 1 தேக்கரண்டி பொடியாக நறுக்கியது.</t>
  </si>
  <si>
    <t>In a pressure cooker or pan, add the chopped broad beans, dal, sambar powder, turmeric powder and salt needed.
Add half cup of water and mix well.
Close the cooker and pressure cook for 3 whistles. If you do not have pressure cooker, you can make this is a kadai or any heavy bottomed pan but will take a longer time.
Broad Beans Kootu in pressure cooker 
Once the pressure subsides, open the cooker, add the ground coconut paste and another half cup of water. Boil on medium heat until the kootu thickens slightly. The consistency of the kootu should neither be too thick nor thin.
Heat a tsp of oil, add mustard seeds, when it splutters, add urad dal and curry leaves. When dal turns golden brown, pour the seasoning over the kootu and mix well.</t>
  </si>
  <si>
    <t>ஒரு பிரஷர் குக்கர் அல்லது பாத்திரத்தில், நறுக்கிய அகன்ற பீன்ஸ், பருப்பு, சாம்பார் பொடி, மஞ்சள் தூள் மற்றும் தேவையான உப்பு சேர்க்கவும்.
அரை கப் தண்ணீர் சேர்த்து நன்கு கலக்கவும்.
குக்கரை மூடி 3 விசில் வரும் வரை பிரஷர் குக்கர் செய்யுங்கள். உங்களிடம் பிரஷர் குக்கர் இல்லையென்றால், இதை ஒரு கடாயாகவோ அல்லது அடி கனமான பாத்திரமாகவோ செய்யலாம், ஆனால் அதிக நேரம் எடுக்கும்.
பிரஷர் குக்கரில் பீன்ஸ் கூட்டு
பிரஷர் குறைந்தவுடன், குக்கரைத் திறந்து, அரைத்த தேங்காய் விழுது மற்றும் அரை கப் தண்ணீரைச் சேர்க்கவும். கூட்டு சிறிது கெட்டியாகும் வரை மிதமான தீயில் கொதிக்க வைக்கவும். கூத்தின் நிலைத்தன்மை மிகவும் கெட்டியாகவோ அல்லது மெல்லியதாகவோ இருக்கக்கூடாது.
ஒரு டீஸ்பூன் எண்ணெயைச் சூடாக்கி, கடுகு சேர்த்து, அது வெடித்ததும், உளுத்தம் பருப்பு மற்றும் கறிவேப்பிலை சேர்க்கவும். பருப்பு பொன்னிறமாக மாறியதும், கூத்தின் மீது தாளிக்க வேண்டியவற்றை ஊற்றி நன்கு கலக்கவும்.</t>
  </si>
  <si>
    <t>https://www.archanaskitchen.com/images/archanaskitchen/1-Author/sibyl-archanaskitchen.com/Avarakkai_Poricha_Kootu_Recipe.jpg</t>
  </si>
  <si>
    <t>Capsicum Gravy-Capsicum Masala</t>
  </si>
  <si>
    <t>கேப்சிகம் கிரேவி-கேப்சிகம் மசாலா</t>
  </si>
  <si>
    <t>Capsicum/Bell Pepper – 3 cups chopped ,
Tomato – 2 cups chopped,
Onion – 1 cup chopped,
Salt to taste,
Coriander powder – 1 tsp,
Chilli Powder – 1/2 tsp,
Turmeric Powder – 1/4 tsp,
Grated Coconut – 1/3 cup,
Ginger – 2 inch piece,
Green chillies – 2,
Garlic – 3 cloves,
Oil – 2 tbsp,
Cumin seeds – 1 tsp,
Curry leaves – a sprig,
Coriander leaves – 2 tbsp finely chopped.</t>
  </si>
  <si>
    <t>கேப்சிகம்/பெல் பெப்பர் - 3 கப் நறுக்கியது,
தக்காளி - 2 கப் நறுக்கியது,
வெங்காயம் - 1 கப் நறுக்கியது,
ருசிக்கேற்ப உப்பு,
கொத்தமல்லி தூள் - 1 டீஸ்பூன்,
மிளகாய் தூள் - 1/2 டீஸ்பூன்,
மஞ்சள் தூள் - 1/4 டீஸ்பூன்,
தேங்காய் துருவல் - 1/3 கப்,
இஞ்சி - 2 அங்குல துண்டு,
பச்சை மிளகாய் - 2,
பூண்டு - 3 கிராம்பு,
எண்ணெய் - 2 டீஸ்பூன்,
சீரக விதைகள் - 1 டீஸ்பூன்,
கறிவேப்பிலை - ஒரு தளிர்,
கொத்தமல்லி இலை - 2 டீஸ்பூன் பொடியாக நறுக்கியது.</t>
  </si>
  <si>
    <t>Heat oil in a pan, add cumin seeds, when it splutters, add curry leaves.
Add finely chopped onions, little salt and saute until onions turn golden brown.
sauteing onions 
Add chopped tomatoes, salt needed and all the spice powder mentioned under “Spice Powder”.
Cook until tomatoes become mushy. If you feel, it is too dry, you may add 1 or 2 tbsp of water. Since the tomatoes I used were juicy, I did not add water.
how to make capsicum gravy
Add the ground coconut paste and cook for 2-3 minutes. Then add the chopped capsicum and cook covered, stirring in between.
If needed sprinkle little water and cook covered.
Once cooked, add 1/4 cup of water and cook for a further 5-6 minutes on medium heat.
Garnish with coriander leaves and serve hot as a side dish for rice, chapati, parathas or flavored rice. This curry can also be mixed with rice to make a delicious one pot meal. You can serve with chips or papads or raitha as side dish for it (in that case, do not add that 1/4 cup water, if you prefer it dry).</t>
  </si>
  <si>
    <t>ஒரு கடாயில் எண்ணெயை சூடாக்கி, சீரகம் சேர்த்து, அது வதங்கியதும், கறிவேப்பிலை சேர்க்கவும்.
பொடியாக நறுக்கிய வெங்காயம், சிறிது உப்பு சேர்த்து வெங்காயம் பொன்னிறமாகும் வரை வதக்கவும்.
வெங்காயம் வதக்கவும்
நறுக்கிய தக்காளி, தேவையான உப்பு மற்றும் "மசாலா தூள்" என்பதன் கீழ் குறிப்பிடப்பட்டுள்ள அனைத்து மசாலாப் பொடிகளையும் சேர்க்கவும்.
தக்காளி மிருதுவாகும் வரை சமைக்கவும். அது மிகவும் வறண்டதாக நீங்கள் உணர்ந்தால், நீங்கள் 1 அல்லது 2 தேக்கரண்டி தண்ணீர் சேர்க்கலாம். நான் பயன்படுத்திய தக்காளி ஜூசியாக இருந்ததால், நான் தண்ணீர் சேர்க்கவில்லை.
கேப்சிகம் கிரேவி செய்வது எப்படி
அரைத்த தேங்காய் விழுதைச் சேர்த்து 2-3 நிமிடங்கள் சமைக்கவும். பின்னர் நறுக்கிய கேப்சிகத்தைச் சேர்த்து மூடி வைத்து, இடையில் கிளறி சமைக்கவும்.
தேவைப்பட்டால் சிறிது தண்ணீர் தெளித்து மூடி வைத்து சமைக்கவும்.
சமைத்தவுடன், 1/4 கப் தண்ணீர் சேர்த்து, மிதமான தீயில் மேலும் 5-6 நிமிடங்கள் சமைக்கவும்.
கொத்தமல்லி இலைகளால் அலங்கரித்து, சாதம், சப்பாத்தி, பரோட்டாக்கள் அல்லது சுவையூட்டப்பட்ட சாதத்திற்கு ஒரு துணை உணவாக சூடாகப் பரிமாறவும். இந்த கறியை அரிசியுடன் கலந்து சுவையான ஒரு பானை உணவை உருவாக்கலாம். நீங்கள் சிப்ஸ் அல்லது பப்படாட் அல்லது ரைத்தாவுடன் பரிமாறலாம் (அப்படியானால், நீங்கள் உலர விரும்பினால் அந்த 1/4 கப் தண்ணீரை சேர்க்க வேண்டாம்).</t>
  </si>
  <si>
    <t>https://images.getrecipekit.com/20210907113420-capsicum.jpg?aspect_ratio=16:9&amp;quality=90</t>
  </si>
  <si>
    <t>Soya Beans Dry Curry-Soya Beans Sundal</t>
  </si>
  <si>
    <t>சோயா பீன்ஸ் உலர் கறி - சோயா பீன்ஸ் சுண்டல்</t>
  </si>
  <si>
    <t>Dried Soya Beans – 1/2 cup,
   Onion – 1 big  ,
   Ginger – 1 inch piece,
   Garlic -3 cloves,
   Green Chilli -2 finely chopped,
   Tomato – 1 big,
   Turmeric powder – 1/4 tsp,
   Chilli Powder – 1/2 tsp,
   Coriander powder – 2 tsp,
   Garam masala powder – 1 tsp,
   Oil – 1 tbsp,
   Mustard seeds – 1 tsp,
   Urad dal – 1/2 tsp,
   Hing – a pinch,
   Curry Leaves – a sprig,
   Coriander leaves – 1 tbsp finely chopped.</t>
  </si>
  <si>
    <t>உலர்ந்த சோயா பீன்ஸ் - 1/2 கப்,
வெங்காயம் - 1 பெரியது,
இஞ்சி - 1 அங்குல துண்டு,
பூண்டு - 3 பல்,
பச்சை மிளகாய் - 2 பொடியாக நறுக்கியது,
தக்காளி - 1 பெரியது,
மஞ்சள் தூள் - 1/4 தேக்கரண்டி,
மிளகாய் தூள் - 1/2 தேக்கரண்டி,
கொத்தமல்லி தூள் - 2 தேக்கரண்டி,
கரம் மசாலா தூள் - 1 தேக்கரண்டி,
எண்ணெய் - 1 தேக்கரண்டி,
கடுகு - 1 தேக்கரண்டி,
உளுத்தம் பருப்பு - 1/2 தேக்கரண்டி,
கீரை - ஒரு சிட்டிகை,
கறிவேப்பிலை - ஒரு தளிர்,
கொத்தமல்லி இலை - 1 தேக்கரண்டி பொடியாக நறுக்கியது.</t>
  </si>
  <si>
    <t>Heat oil in a pan/kadai, add mustard seeds, when it splutters, add urad dal, hing and curry leaves.
When dal turns golden brown, add finely chopped onions, ginger, garlic and green chilli.
Saute until onion turns transparent.
Add finely chopped tomatoes, chilli powder, turmeric powder, coriander powder, garam masala, salt needed and saute until tomato becomes mushy.
Add the cooked soya beans, mix well so that it is well coated with the masala. Cook covered for 3-4 minutes. If it is too dry, you can sprinkle water and then cook covered.
Garnish with coriander leaves and serve hot as a snack or as a side dish for rice.</t>
  </si>
  <si>
    <t>ஒரு கடாயில் / கடாயில் எண்ணெயை சூடாக்கி, கடுகு சேர்த்து, அது வதங்கியதும், உளுத்தம் பருப்பு, பெருங்காயம் மற்றும் கறிவேப்பிலை சேர்க்கவும்.
பருப்பு பொன்னிறமாக மாறியதும், பொடியாக நறுக்கிய வெங்காயம், இஞ்சி, பூண்டு மற்றும் பச்சை மிளகாய் சேர்க்கவும்.
வெங்காயம் வெளிப்படையானதாக மாறும் வரை வதக்கவும்.
இறுதியாக நறுக்கிய தக்காளி, மிளகாய் தூள், மஞ்சள் தூள், கொத்தமல்லி தூள், கரம் மசாலா, தேவையான அளவு உப்பு சேர்த்து தக்காளி மென்மையாகும் வரை வதக்கவும்.
சமைத்த சோயா பீன்ஸைச் சேர்த்து, மசாலா நன்றாகப் பூசப்படும் வரை நன்கு கலக்கவும். மூடி வைத்து 3-4 நிமிடங்கள் சமைக்கவும். அது மிகவும் வறண்டு இருந்தால், நீங்கள் தண்ணீர் தெளித்து மூடி வைத்து சமைக்கலாம்.
கொத்தமல்லி இலைகளால் அலங்கரித்து சூடாக சிற்றுண்டியாகவோ அல்லது சாதத்திற்கு ஒரு துணை உணவாகவோ பரிமாறவும்.</t>
  </si>
  <si>
    <t>https://southindianfoods.in/recipe_picture_enlarge/soya-beans-sundal.jpg</t>
  </si>
  <si>
    <t>Drumstick Gravy-Murungaikkai in Tomato Gravy</t>
  </si>
  <si>
    <t>தக்காளி கிரேவியில் முருங்கைக்காய் - முருங்கைக்காய்</t>
  </si>
  <si>
    <t xml:space="preserve"> Drumstick pieces – 35 ,
   Onion – 1 cup chopped,
   Tomato – 1/2 cup chopped,
   Tomato puree – 1/2 cup,
   Ginger – 1 inch piece finely chopped,
   Garlic – 3-4 cloves chopped,
   Green chilli – 2 slit,
   Salt needed,
   Turmeric powder – 1/4 tsp,
   Sambar powder – 2 tsp,
   Coriander powder – 2 tsp,
   Garam masala powder – 1/2 tsp ,
   Grated coconut – 1/3 cup,
   Oil – 2 tbsp,
   Mustard seeds – 1 tsp,
   Cumin seeds – 1 tsp,
   Hing – a pinch,
   Curry leaves – a sprig,
   Coriander leaves – 2 tbsp finely chopped.</t>
  </si>
  <si>
    <t>முருங்கைக்காய் துண்டுகள் - 35,
வெங்காயம் - 1 கப் நறுக்கியது,
தக்காளி - 1/2 கப் நறுக்கியது,
தக்காளி கூழ் - 1/2 கப்,
இஞ்சி - 1 அங்குல துண்டு பொடியாக நறுக்கியது,
பூண்டு - 3-4 பல் நறுக்கியது,
பச்சை மிளகாய் - 2 கீற்றுகள்,
உப்பு தேவை,
மஞ்சள் தூள் - 1/4 தேக்கரண்டி,
சாம்பார் தூள் - 2 தேக்கரண்டி,
கொத்தமல்லி தூள் - 2 தேக்கரண்டி,
கரம் மசாலா தூள் - 1/2 தேக்கரண்டி,
தேங்காய் துருவல் - 1/3 கப்,
எண்ணெய் - 2 தேக்கரண்டி,
கடுகு - 1 தேக்கரண்டி,
சீரகம் - 1 தேக்கரண்டி,
கீரை - ஒரு சிட்டிகை,
கறிவேப்பிலை - ஒரு தளிர்,
கொத்தமல்லி இலை - 2 தேக்கரண்டி பொடியாக நறுக்கியது.</t>
  </si>
  <si>
    <t>Heat oil in a pan, add mustard seeds and cumin seeds,  when it splutters, add hing, curry leaves, onion, green chilli, ginger and garlic.
Saute until onions turn transparent.
sauteing onions 
Add sambar powder, turmeric powder and saute for a few more minutes.
Add finely chopped tomatoes and cook for a few more minutes.
adding tomatoes 
Add tomato puree, coriander powder, garam masala powder, salt needed and cook until the raw smell of the tomato puree goes.
Add the cooked drumsticks, a cup of water and boil.
When it starts boiling, add the coconut paste, simmer and cook until everything gets blended well.
Garnish with coriander leaves and serve hot with rice or chapati. You can adjust the consistency of the gravy as desired.</t>
  </si>
  <si>
    <t>ஒரு கடாயில் எண்ணெயை சூடாக்கி, கடுகு மற்றும் சீரகத்தை சேர்த்து, அது வதங்கியதும், இஞ்சி, கறிவேப்பிலை, வெங்காயம், பச்சை மிளகாய், இஞ்சி மற்றும் பூண்டு சேர்க்கவும்.
வெங்காயம் தெளிவாகும் வரை வதக்கவும்.
வெங்காயம் வதக்கவும்
சாம்பார் பொடி, மஞ்சள் தூள் சேர்த்து இன்னும் சில நிமிடங்கள் வதக்கவும்.
பொடியாக நறுக்கிய தக்காளியைச் சேர்த்து இன்னும் சில நிமிடங்கள் வதக்கவும்.
தக்காளியைச் சேர்க்கவும்
தக்காளி கூழ், கொத்தமல்லி தூள், கரம் மசாலா தூள், தேவையான அளவு உப்பு சேர்த்து தக்காளி கூழின் பச்சை வாசனை போகும் வரை வதக்கவும்.
சமைத்த முருங்கைக்காய், ஒரு கப் தண்ணீர் சேர்த்து கொதிக்க வைக்கவும்.
கொதிக்க ஆரம்பித்ததும், தேங்காய் விழுது சேர்த்து, கொதிக்க வைத்து, எல்லாம் நன்றாகக் கலக்கும் வரை சமைக்கவும்.
கொத்தமல்லி இலைகளால் அலங்கரித்து, சாதம் அல்லது சப்பாத்தியுடன் சூடாகப் பரிமாறவும். கிரேவியின் நிலைத்தன்மையை நீங்கள் விரும்பியபடி சரிசெய்யலாம்.</t>
  </si>
  <si>
    <t>https://i.ytimg.com/vi/x8sBJF56RRo/maxresdefault.jpg</t>
  </si>
  <si>
    <t>Cauliflower Pepper Fry</t>
  </si>
  <si>
    <t>காலிஃபிளவர் மிளகு வறுவல்</t>
  </si>
  <si>
    <t xml:space="preserve"> Cauliflower – 1 medium size,
   Turmeric powder – 1/4 tsp,
   Onion – 1 finely chopped,
   Green chilli – 1 slit,
   Garlic- 4 cloves finely chopped,
   Black pepper powder – 3/4 tsp,
   Salt to taste,
   Oil – 1 tbsp,
   Mustard seeds – 1 tsp,
   Fennel seeds – 1 tsp,
   Urad dal – 1 tsp,
   Red Chilli – 1,
   Curry leaves – a sprig,
   Coriander leaves – 1 tbsp finely chopped,
   Fresh Lemon juice – 1-2 tsp or as needed.</t>
  </si>
  <si>
    <t>காலிஃபிளவர் - 1 நடுத்தர அளவு,
மஞ்சள் தூள் - 1/4 தேக்கரண்டி,
வெங்காயம் - 1 பொடியாக நறுக்கியது,
பச்சை மிளகாய் - 1 துண்டு,
பூண்டு - 4 பல் பொடியாக நறுக்கியது,
கருப்பு மிளகு தூள் - 3/4 தேக்கரண்டி,
சுவைக்கு உப்பு,
எண்ணெய் - 1 தேக்கரண்டி,
கடுகு - 1 தேக்கரண்டி,
வெந்தயம் - 1 தேக்கரண்டி,
உளுத்தம் பருப்பு - 1 தேக்கரண்டி,
சிவப்பு மிளகாய் - 1,
கறிவேப்பிலை - ஒரு தளிர்,
கொத்தமல்லி இலை - 1 தேக்கரண்டி பொடியாக நறுக்கியது,
புதிய எலுமிச்சை சாறு - 1-2 தேக்கரண்டி அல்லது தேவைக்கேற்ப.</t>
  </si>
  <si>
    <t>Heat oil in a pan, add mustard seeds and fennel seeds, when it splutters, add urad dal, red chilli and curry leaves.
When dal turns golden brown, add finely chopped onion, garlic and green chillies.
Saute until onions turn transparent.
Add blanched cauliflower florets, pepper powder and salt (sprinkle salt over it) needed. Cook covered until cauliflower brown slightly on the edges or for 5-6 minutes on medium heat stirring in between.
Garnish with coriander leaves and squeeze fresh lemon juice (if using). Mix well and enjoy with rice.</t>
  </si>
  <si>
    <t>ஒரு கடாயில் எண்ணெயை சூடாக்கி, கடுகு மற்றும் பெருஞ்சீரகம் சேர்த்து, அது வதங்கியதும், உளுத்தம் பருப்பு, சிவப்பு மிளகாய் மற்றும் கறிவேப்பிலை சேர்க்கவும்.
பருப்பு பொன்னிறமாக மாறியதும், பொடியாக நறுக்கிய வெங்காயம், பூண்டு மற்றும் பச்சை மிளகாய் சேர்க்கவும்.
வெங்காயம் வெளிப்படையானதாக மாறும் வரை வதக்கவும்.
காலிஃபிளவர் பூக்கள், மிளகுத் தூள் மற்றும் தேவையான அளவு உப்பு (அதன் மேல் உப்பு தூவி) சேர்க்கவும். காலிஃபிளவர் ஓரங்களில் சிறிது பழுப்பு நிறமாகும் வரை மூடி வைக்கவும் அல்லது இடையில் கிளறி 5-6 நிமிடங்கள் மிதமான தீயில் சமைக்கவும்.
கொத்தமல்லி இலைகளால் அலங்கரித்து, புதிய எலுமிச்சை சாற்றை (பயன்படுத்தினால்) பிழியவும். நன்றாகக் கலந்து சாதத்துடன் மகிழுங்கள்.</t>
  </si>
  <si>
    <t>https://i.ytimg.com/vi/8LZGR0AzEgU/maxresdefault.jpg</t>
  </si>
  <si>
    <t>Baby Bitter gourd Fry</t>
  </si>
  <si>
    <t>பேபி பாகற்காய் வறுவல்</t>
  </si>
  <si>
    <t xml:space="preserve"> Onion – 1 cup finely chopped,
   Baby Bitter gourd -1 1/2 cup chopped,
   Sambar powder – 3/4 tsp,
   Turmeric powder – 1/4 tsp,
   Salt to taste,
   Bengal gram (channa dal) – 1 tbsp,
   Coriander seeds – 2 tbsp,
   Red Chilli – 3,
   Oil – 2 1/2 tbsp,
   Mustard seeds – 1 tsp,
   Curry leaves – a sprig.</t>
  </si>
  <si>
    <t>வெங்காயம் - 1 கப் பொடியாக நறுக்கியது,
பேபி பாகற்காய் - 1 1/2 கப் நறுக்கியது,
சாம்பார் பொடி - 3/4 தேக்கரண்டி,
மஞ்சள் தூள் - 1/4 தேக்கரண்டி,
ருசிக்க உப்பு,
கடலை பருப்பு (சன்னா பருப்பு) - 1 தேக்கரண்டி,
கொத்தமல்லி விதைகள் - 2 தேக்கரண்டி,
சிவப்பு மிளகாய் - 3,
எண்ணெய் - 2 1/2 தேக்கரண்டி,
கடுகு - 1 தேக்கரண்டி,
கறிவேப்பிலை - ஒரு தளிர்.</t>
  </si>
  <si>
    <t>Heat oil in a pan, add mustard seeds and curry leaves. When mustard seeds splutter, add finely chopped onion and fry until onion turns transparent.
Then add bitter gourd, turmeric powder and cook covered on low heat.
After few minutes of cooking, add sambar powder and salt needed. Sprinkle water and cook covered.
When it is half cooked, add 2 tbsp of the curry powder (if you have excess curry powder, store it and use it for aloo, brinjal, taro root or any vegetable curry ) and cook covered on medium heat, stirring in between until the bitter gourd is tender.
Serve hot with rice or chapati.</t>
  </si>
  <si>
    <t>ஒரு கடாயில் எண்ணெயை சூடாக்கி, கடுகு மற்றும் கறிவேப்பிலை சேர்க்கவும். கடுகு வெடித்ததும், பேபி, மஞ்சள் பொடி சேர்த்து குறைந்த தீயில் மூடி வைத்து வதக்கவும்.
பின்னர் பேபி, மஞ்சள் பொடி சேர்த்து குறைந்த வெப்பத்தில் சமைக்கவும்.
சில நிமிடங்கள் சமைத்த பிறகு, சாம்பார் பொடி மற்றும் தேவையான அளவு உப்பு சேர்த்து. தண்ணீர் தெளித்து மூடி வைத்து சமைக்கவும்.
பாதி வெந்ததும், 2 டேபிள் ஸ்பூன் கறிவேப்பிலையைச் சேர்த்து (உங்களிடம் அதிகப்படியான கறிவேப்பிலை இருந்தால், அதை சேமித்து வைத்து, ஆலு, கத்திரிக்காய், சாமை வேர் அல்லது வேறு எந்த காய்கறி கறிக்கும் பயன்படுத்தலாம்) மூடி வைத்து மிதமான தீயில் வைத்து, பாகற்காய் மென்மையாகும் வரை கிளறவும்.
சாதம் அல்லது சப்பாத்தியுடன் சூடாகப் பரிமாறவும்.</t>
  </si>
  <si>
    <t>https://encrypted-tbn0.gstatic.com/images?q=tbn:ANd9GcR5-ZW78f1Elep6Qpmp5EMot15Vs77qG0W9xrw1iYmEQ8WItywP-BNDN2zGo6SFbGjQKO4&amp;usqp=CAU</t>
  </si>
  <si>
    <t>Tapioca Fry-Kappa Curry</t>
  </si>
  <si>
    <t>மரவள்ளிக்கிழங்கு பொரியல் - கப்பா கறி</t>
  </si>
  <si>
    <t xml:space="preserve"> Topioca root -2 medium size,
   Pearl Onions – 1/3 cup chopped,
   Red Chilli – 3,
   Green chilli – 2 slit,
   Turmeric powder – 1/4 tsp,
   Grated coconut – 2-3 tbsp,
   Salt to taste,
   Oil – 3 tsp,
   Mustard seeds – 1 tsp,
   Curry leaves – a sprig.</t>
  </si>
  <si>
    <t>மரவள்ளிக்கிழங்கு பொரியல் - கப்பா கறி
மரவள்ளிக்கிழங்கு வேர் - 2 நடுத்தர அளவு,
முத்து வெங்காயம் - 1/3 கப் நறுக்கியது,
சிவப்பு மிளகாய் - 3,
பச்சை மிளகாய் - 2 துண்டுகள்,
மஞ்சள் தூள் - 1/4 தேக்கரண்டி,
தேங்காய் துருவல் - 2-3 தேக்கரண்டி,
உப்பு - சுவைக்கேற்ப,
எண்ணெய் - 3 தேக்கரண்டி,
கடுகு - 1 தேக்கரண்டி,
கறிவேப்பிலை - ஒரு தளிர்.</t>
  </si>
  <si>
    <t>Heat oil in a pan, add mustard seeds, when it splutters, add red chillies, green chillies and curry leaves.
Then add onions, turmeric powder and saute until onions turn transparent. Add grated coconut and saute for a few more seconds.
Add the cooked tapioca root, salt needed and mix well. Cook for another 2-3 minutes.
Serve hot with steamed rice or any spicy gravy or chutney. It is quiet filling as it is a rich source of carbohydrates.</t>
  </si>
  <si>
    <t>ஒரு கடாயில் எண்ணெயை சூடாக்கி, கடுகு சேர்த்து, அது வதங்கியதும், சிவப்பு மிளகாய், பச்சை மிளகாய் மற்றும் கறிவேப்பிலை சேர்க்கவும்.
பின்னர் வெங்காயம், மஞ்சள் தூள் சேர்த்து வெங்காயம் வெளிப்படையானதாக மாறும் வரை வதக்கவும். துருவிய தேங்காய் சேர்த்து இன்னும் சில வினாடிகள் வதக்கவும்.
சமைத்த மரவள்ளிக்கிழங்கு வேர், தேவையான உப்பு சேர்த்து நன்கு கலக்கவும். மேலும் 2-3 நிமிடங்கள் சமைக்கவும்.
வேகவைத்த அரிசி அல்லது காரமான கிரேவி அல்லது சட்னியுடன் சூடாக பரிமாறவும். இது கார்போஹைட்ரேட்டுகளின் வளமான மூலமாக இருப்பதால் அமைதியாக நிரப்புகிறது.</t>
  </si>
  <si>
    <t>https://c.ndtvimg.com/3lk4rj98_kappa_625x300_23_August_18.jpg</t>
  </si>
  <si>
    <t>Mooli Ka Saag</t>
  </si>
  <si>
    <t>மூலி கா சாக்</t>
  </si>
  <si>
    <t xml:space="preserve"> Radish/Mooli – 3 cups chopped,
   Radish leaves -1 cup,
   Onion -2 finely chopped,
   Turmeric powder -1/4 tsp,
   Chilli Powder – 3/4 tsp ,
   Salt needed,
   Oil – 4 tsp,
   Mustard seeds- 3/4 tsp,
   Cumin seeds/jeera -1 tsp.</t>
  </si>
  <si>
    <t>முள்ளங்கி/மூலி – 3 கப் நறுக்கியது,
முள்ளங்கி இலைகள் -1 கப்,
வெங்காயம் -2 பொடியாக நறுக்கியது,
மஞ்சள் தூள் -1/4 தேக்கரண்டி,
மிளகாய் தூள் – 3/4 தேக்கரண்டி,
உப்பு தேவை,
எண்ணெய் – 4 தேக்கரண்டி,
கடுகு- 3/4 தேக்கரண்டி,
சீரகம்/ஜீரா -1 தேக்கரண்டி.</t>
  </si>
  <si>
    <t>Heat oil, add mustard seeds and cumin seeds, when it splutters, add onions and saute until onion turns transparent.
Then add chopped radish, turmeric powder, chilli powder and salt needed. Cook covered stirring now and then. If needed you can sprinkle water in between.
Once the radish is cooked, add the cooked radish leaves and cook covered for another 5 minutes.
Nutritious and healthy Mooli Ka saag is a perfect accompaniment to rice, rotis and parathas.</t>
  </si>
  <si>
    <t>எண்ணெயை சூடாக்கி, கடுகு மற்றும் சீரகம் சேர்த்து, அது வதங்கியதும், வெங்காயம் சேர்த்து, வெங்காயம் தெளிவாகும் வரை வதக்கவும்.
பின்னர் நறுக்கிய முள்ளங்கி, மஞ்சள் தூள், மிளகாய் தூள் மற்றும் உப்பு சேர்த்து கிளறி மூடி வைக்கவும். தேவைப்பட்டால் இடையில் தண்ணீர் தெளிக்கலாம்.
முள்ளங்கி வெந்தவுடன், சமைத்த முள்ளங்கி இலைகளைச் சேர்த்து மேலும் 5 நிமிடங்கள் மூடி வைத்து சமைக்கவும்.
சத்தான மற்றும் ஆரோக்கியமான மூலி கா சாக் சாதம், ரொட்டி மற்றும் பரோட்டாவுடன் ஒரு சரியான துணையாகும்.</t>
  </si>
  <si>
    <t>https://img-cdn.publive.online/fit-in/1200x675/sanjeev-kapoor/media/post_banners/cfde1f7316a97858248a0a73bb8dbf0673b92039b21ea146b29a797f54eec728.jpg</t>
  </si>
  <si>
    <t>Raw Jackfruit Curry-Tender Jackfruit Curry</t>
  </si>
  <si>
    <t>பச்சை பலாப்பழக் கறி - மென்மையான பலாப்பழக் கறி</t>
  </si>
  <si>
    <t xml:space="preserve"> Raw Jackfruit -2 cup ,
   Onion – 2 medium size,
   Red chilli powder – 3/4-1 tsp,
   Turmeric powder – 1/4 tsp,
   Salt needed,
   Oil -1 tbsp,
   Mustard seeds -1 tsp,
   Curry leaves – a sprig.</t>
  </si>
  <si>
    <t>பச்சை பலாப்பழம் - 2 கப்,
வெங்காயம் - 2 நடுத்தர அளவு,
மிளகாய்த் தூள் - 3/4-1 தேக்கரண்டி,
மஞ்சள் தூள் - 1/4 தேக்கரண்டி,
உப்பு தேவை,
எண்ணெய் - 1 தேக்கரண்டி,
கடுகு - 1 தேக்கரண்டி,
கறிவேப்பிலை - ஒரு தளிர்.</t>
  </si>
  <si>
    <t>Heat oil in a kadai/pan, add mustard seeds, when it splutters, add curry leaves and chopped onions.
Saute onions until it turns transparent.
Add turmeric powder, chilli powder, cooked jackfruit and salt to taste. Cook for a few minutes until the raw smell of the spice powder goes.
Then remove from heat and garnish with finely chopped coriander leaves.
Serve delicious raw jackfruit curry with rice.</t>
  </si>
  <si>
    <t>ஒரு கடாயில் எண்ணெயைச் சூடாக்கி, கடுகு சேர்த்து, அது வெடித்ததும், கறிவேப்பிலை மற்றும் நறுக்கிய வெங்காயத்தைச் சேர்க்கவும்.
வெங்காயம் வெளிப்படையானதாக மாறும் வரை வதக்கவும்.
மஞ்சள் தூள், மிளகாய்த் தூள், சமைத்த பலாப்பழம் மற்றும் சுவைக்கேற்ப உப்பு சேர்க்கவும். மசாலாப் பொடியின் பச்சை வாசனை போகும் வரை சில நிமிடங்கள் சமைக்கவும்.
பின்னர் அடுப்பிலிருந்து இறக்கி, இறுதியாக நறுக்கிய கொத்தமல்லி இலைகளால் அலங்கரிக்கவும்.
சுவையான பச்சை பலாப்பழக் கறியை அரிசியுடன் பரிமாறவும்.</t>
  </si>
  <si>
    <t>https://platefulofveggies.com/wp-content/uploads/2020/05/raw-jackfruit-curry.jpg</t>
  </si>
  <si>
    <t>Mushroom Cabbage Curry</t>
  </si>
  <si>
    <t>காளான் முட்டைக்கோஸ் கறி</t>
  </si>
  <si>
    <t xml:space="preserve"> Button Mushrooms or Chestnut mushrooms-200 grams,
   Onion – 1 cup thinly sliced,
   Cabbage – 1 cup finely shredded,
   Spring Onion Greens – 1/3 cup chopped ,
   Turmeric Powder -1/4 tsp,
   Chilli Powder -1 tsp,
   Salt needed,
   Oil – 4 tsp,
   Cumin seeds -1 tsp.</t>
  </si>
  <si>
    <t>பட்டன் காளான்கள் அல்லது கஷ்கொட்டை காளான்கள் - 200 கிராம்,
வெங்காயம் - 1 கப் மெல்லியதாக நறுக்கியது,
முட்டைக்கோஸ் - 1 கப் நன்றாக நறுக்கியது,
வெங்காய கீரைகள் - 1/3 கப் நறுக்கியது,
மஞ்சள் தூள் - 1/4 தேக்கரண்டி,
மிளகாய் தூள் - 1 தேக்கரண்டி,
உப்பு தேவை,
எண்ணெய் - 4 தேக்கரண்டி,
சீரகம் - 1 தேக்கரண்டி.</t>
  </si>
  <si>
    <t>Heat oil in a pan/kadai, add cumin seeds, when it sizzles, add onions and saute until it turns transparent. 
Then add cabbage and cook covered on low flame for a few minutes. You can sprinkle water if required. Once cabbage is half cooked, add chilli powder, turmeric powder, mushrooms and salt needed.
sauteing cabbage
Cook covered. Do not add water as the mushrooms will release water. Cook until the mushrooms are soft, stirring now and then.
Then add spring onion greens and cook for a few more minutes. Remove from heat and serve hot. (this curry taste good even without spring onions)
It goes very well with rice, chapati, paratha and bread. I love it with phulkas.</t>
  </si>
  <si>
    <t>ஒரு கடாயில் / கடாயில் எண்ணெயை சூடாக்கி, சீரகம் சேர்த்து, அது கொதித்ததும், வெங்காயத்தைச் சேர்த்து, அது வெளிப்படையானதாக மாறும் வரை வதக்கவும்.
பின்னர் முட்டைக்கோஸைச் சேர்த்து, மூடி வைத்து, குறைந்த தீயில் சில நிமிடங்கள் சமைக்கவும். தேவைப்பட்டால் நீங்கள் தண்ணீர் தெளிக்கலாம். முட்டைக்கோஸ் பாதி வெந்தவுடன், மிளகாய் தூள், மஞ்சள் தூள், காளான்கள் மற்றும் தேவையான உப்பு சேர்க்கவும்.
முட்டைக்கோஸ் வதக்கவும்
மூடி சமைக்கவும். காளான்கள் தண்ணீர் விடும் என்பதால் தண்ணீர் சேர்க்க வேண்டாம். காளான்கள் மென்மையாகும் வரை சமைக்கவும், அவ்வப்போது கிளறி விடவும்.
பின்னர் வெங்காய கீரைகளைச் சேர்த்து இன்னும் சில நிமிடங்கள் சமைக்கவும். வெப்பத்திலிருந்து நீக்கி சூடாகப் பரிமாறவும். (இந்த கறி வெங்காயம் இல்லாவிட்டாலும் நல்ல சுவையாக இருக்கும்)
இது சாதம், சப்பாத்தி, பரோட்டா மற்றும் ரொட்டியுடன் நன்றாகப் பொருந்தும். புல்காக்களுடன் இது எனக்கு மிகவும் பிடிக்கும்.</t>
  </si>
  <si>
    <t>https://www.awesomecuisine.com/wp-content/uploads/2011/05/Mushroom-Capsicum-and-Cabbage-Curry-500x500.jpg</t>
  </si>
  <si>
    <t>Mullangi Poriyal-Radish Curry-Mooli Sabzi</t>
  </si>
  <si>
    <t>முள்ளங்கி பொரியல் - முள்ளங்கி கறி - மூலி சப்ஸி</t>
  </si>
  <si>
    <t>Radish – 3 cups sliced
   Onion – 3/4 cup thinly sliced
   Green chilli – 1 slit
   Grated coconut -1/4 cup
   Turmeric powder – 1/4 tsp
   Chilli powder – 3/4 – 1 tsp
   Salt needed
  For the seasoning
   Oil – 2 1/2 tsp
   Mustard seeds – 1 tsp
   Curry leaves -2 sprigs
   For Garnishing
   Coriander leaves finely chopped -2 tbsp</t>
  </si>
  <si>
    <t>முள்ளங்கி - 3 கப் நறுக்கியது,
வெங்காயம் - 3/4 கப் மெல்லியதாக நறுக்கியது,
பச்சை மிளகாய் - 1 கீற்று,
தேங்காய் துருவல் - 1/4 கப்,
மஞ்சள் தூள் - 1/4 தேக்கரண்டி,
மிளகாய் தூள் - 3/4 - 1 தேக்கரண்டி,
உப்பு தேவை,
எண்ணெய் - 2 1/2 தேக்கரண்டி,
கடுகு - 1 தேக்கரண்டி,
கறிவேப்பிலை - 2 தண்டுகள்,
கொத்தமல்லி இலைகள் நன்றாக நறுக்கியது - 2 தேக்கரண்டி.</t>
  </si>
  <si>
    <t>Heat oil, add mustard seeds, when it splutters, add thinly sliced onions, green chilli and curry leaves.
Saute until onions turn transparent. Then add radish, sprinkle water, cover and cook on medium flame.
After it is slightly cooked, add turmeric powder, chilli powder and salt needed. Cook covered, stirring in between until tender. Do not add too much water (if needed just sprinkle water and cook covered).
Once cooked, add grated coconut, mix well and switch off the flame.
Garnish with coriander leaves and serve as a side dish for rice or as a side dish for chapati.</t>
  </si>
  <si>
    <t>எண்ணெயை சூடாக்கி, கடுகு சேர்த்து, அது வதங்கியதும், மெல்லியதாக நறுக்கிய வெங்காயம், பச்சை மிளகாய் மற்றும் கறிவேப்பிலை சேர்க்கவும்.
வெங்காயம் வெளிப்படையானதாக மாறும் வரை வதக்கவும். பின்னர் முள்ளங்கி சேர்த்து, தண்ணீர் தெளித்து, மூடி வைத்து, மிதமான தீயில் சமைக்கவும்.
அது சிறிது வதங்கிய பிறகு, மஞ்சள் தூள், மிளகாய் தூள் மற்றும் தேவையான உப்பு சேர்க்கவும். மூடி வைத்து, இடையில் கிளறி, மென்மையாகும் வரை சமைக்கவும். அதிகமாக தண்ணீர் சேர்க்க வேண்டாம் (தேவைப்பட்டால் தண்ணீர் தெளித்து மூடி வைக்கவும்).
வெந்ததும், துருவிய தேங்காய் சேர்த்து நன்கு கலந்து, அடுப்பை அணைக்கவும்.
கொத்தமல்லி இலைகளால் அலங்கரித்து, சாதத்திற்கு சைடு டிஷ்ஷாகவோ அல்லது சப்பாத்திக்கு சைடு டிஷ்ஷாகவோ பரிமாறவும்.</t>
  </si>
  <si>
    <t>https://i.ytimg.com/vi/2J4tccPuILk/hq720.jpg?sqp=-oaymwEhCK4FEIIDSFryq4qpAxMIARUAAAAAGAElAADIQj0AgKJD&amp;rs=AOn4CLCloeFFid7FX9fet167a6SwdE3vCg</t>
  </si>
  <si>
    <t>Beans Paruppu Usili</t>
  </si>
  <si>
    <t>பீன்ஸ் பருப்பு உசிலி</t>
  </si>
  <si>
    <t>French Beans – 1 1/2 cup chopped,
   Tur Dal -1/3 cup,
   Bengal gram dal/kadalai paruppu/chana dal -1 1/2 tbsp,
   Red Chilli -1,
   Green chilli -2,
   Turmeric powder -1/4 tsp,
   Salt to taste,
   Oil – 1 1/2 tbsp,
   Mustard seeds -1 tsp,
   Curry leaves -1 sprig,
   Asafoetida/hing.</t>
  </si>
  <si>
    <t>பிரெஞ்ச் பீன்ஸ் - 1 1/2 கப் நறுக்கியது, 
துவரம் பருப்பு - 1/3 கப், 
வங்காளப் பருப்பு/கடலை பருப்பு/சனா பருப்பு - 1 1/2 டீஸ்பூன், 
சிவப்பு மிளகாய் - 1, 
பச்சை மிளகாய் - 2, 
மஞ்சள் தூள் - 1/4 தேக்கரண்டி, 
ருசிக்கேற்ப உப்பு, 
எண்ணெய் - 1 1/2 டீஸ்பூன், 
கடுகு - 1 தேக்கரண்டி, 
கறிவேப்பிலை - 1 தண்டு, 
அசாஃபோடிடா/கீல்.</t>
  </si>
  <si>
    <t>Now steam the coarsely ground dal for 15 minutes or until cooked. You can use a steamer or an idli pan.
Once cooked remove from the pan and leave it to cool for a few minutes. Then crumble the dal with your hands or you can use the mixie. You will get evenly crumbled dal when done in a mixie. Just put the steamed dal in the mixie (see picture below) and operate it for a second.  Now our crumbled dal is also ready.
Heat oil in a kadai, add mustard seeds, when it splutters, add hing and curry leaves. Then add the crumbled dal, mix well and cook on medium flame for 2-3 minutes.
Then add the cooked beans (if there is water in your beans, drain and squeeze out the water completely and then add) and mix well with the crumbled dal. Cook covered for another 2-3 minutes and remove from heat.
Beans Paruppu Usili is ready. Serve it with hot steamed rice and mor kuzhambu or vathal kuzhambu. I love having it even with plain hot steamed rice.</t>
  </si>
  <si>
    <t>இப்போது கரகரப்பாக அரைத்த பருப்பை 15 நிமிடங்கள் அல்லது வேகும் வரை வேகவைக்கவும். நீங்கள் ஒரு ஸ்டீமர் அல்லது இட்லி பாத்திரத்தைப் பயன்படுத்தலாம்.
சமைத்த பிறகு, வாணலியில் இருந்து எடுத்து சில நிமிடங்கள் ஆற விடவும். பின்னர் பருப்பை உங்கள் கைகளால் நசுக்கவும் அல்லது மிக்சியைப் பயன்படுத்தவும். மிக்ஸியில் தயாரானதும் சமமாக நொறுக்கப்பட்ட பருப்பைப் பெறுவீர்கள். வேகவைத்த பருப்பை மிக்ஸியில் போட்டு (கீழே உள்ள படத்தைப் பார்க்கவும்) ஒரு நொடி இயக்கவும். இப்போது எங்கள் நொறுக்கப்பட்ட பருப்பும் தயாராக உள்ளது.
ஒரு கடாயில் எண்ணெயை சூடாக்கி, கடுகு சேர்த்து, அது வெடித்ததும், பெருங்காயம் மற்றும் கறிவேப்பிலை சேர்க்கவும். பின்னர் நொறுக்கப்பட்ட பருப்பைச் சேர்த்து, நன்கு கலந்து, மிதமான தீயில் 2-3 நிமிடங்கள் சமைக்கவும்.
பின்னர் வேகவைத்த பீன்ஸைச் சேர்க்கவும் (உங்கள் பீன்ஸில் தண்ணீர் இருந்தால், அதை வடிகட்டி, தண்ணீரை முழுவதுமாக பிழிந்து பின்னர் சேர்க்கவும்) நொறுக்கப்பட்ட பருப்பைச் சேர்த்து நன்கு கலக்கவும். மூடி வைத்து மேலும் 2-3 நிமிடங்கள் சமைக்கவும், அடுப்பிலிருந்து இறக்கவும்.
பீன்ஸ் பருப்பு உசிலி தயார். சூடான வேகவைத்த சாதம் மற்றும் மோர் குழம்பு அல்லது வத்தல் குழம்புவுடன் பரிமாறவும். சாதாரண சூடான வேகவைத்த சாதத்துடன் கூட இதை சாப்பிடுவது எனக்கு மிகவும் பிடிக்கும்.</t>
  </si>
  <si>
    <t>https://i0.wp.com/www.chitrasfoodbook.com/wp-content/uploads/2016/11/beans-paruppu-usili-recipe.jpg?w=1200&amp;ssl=1</t>
  </si>
  <si>
    <t>Aloo Gajar Sabji-Carrot Potato Curry</t>
  </si>
  <si>
    <t>ஆலு கஜர் சப்ஜி - கேரட் உருளைக்கிழங்கு கறி</t>
  </si>
  <si>
    <t xml:space="preserve"> Carrot chopped – 3 cups,
   Potato cubed -1 cup,
   Onion chopped -1/2 cup,
   Turmeric powder -1/4 tsp,
   Chilli powder -1/2 tsp,
   Vegetable Curry Podi -2 tbsp,
   Oil- 2 tbsp,
   Mustard seeds -1 tsp,
   Urad dal -3/4 tsp,
   Red chilli -2,
   Curry leaves -2 sprigs.</t>
  </si>
  <si>
    <t>கேரட் நறுக்கியது - 3 கப்,
உருளைக்கிழங்கு துண்டுகள் - 1 கப்,
வெங்காயம் நறுக்கியது - 1/2 கப்,
மஞ்சள் தூள் - 1/4 தேக்கரண்டி,
மிளகாய் தூள் - 1/2 தேக்கரண்டி,
காய்கறி கறி பொடி - 2 தேக்கரண்டி,
எண்ணெய் - 2 தேக்கரண்டி,
கடுகு - 1 தேக்கரண்டி,
உளுத்தம் பருப்பு - 3/4 தேக்கரண்டி,
சிவப்பு மிளகாய் - 2,
கறிவேப்பிலை - 2 தண்டுகள்.</t>
  </si>
  <si>
    <t>Heat oil in a pan or kadai, add mustard seeds, when it sputters, add urad dal, red chillies, hing and curry leaves. When dal turns golden brown, add onions and saute until onions turn transparent.
Then add chopped potatoes, turmeric powder and cook covered stirring in between. Sprinkle water in between.
Once potatoes are half cooked, add chopped carrots, 1/4 cup of water, salt needed and cook covered on medium heat. If using pressure pan, do not put the weight as the carrots will get over cooked.
Once the carrots are half cooked, add the vegetable curry powder, chilli powder and cook until the carrots become tender. If needed you can sprinkle water in between. 
This is the South Indian style of making carrot potato curry.</t>
  </si>
  <si>
    <t>ஒரு கடாயில் அல்லது கடாயில் எண்ணெயை சூடாக்கி, கடுகு சேர்த்து, அது கொதித்ததும், உளுத்தம் பருப்பு, சிவப்பு மிளகாய், கீரை மற்றும் கறிவேப்பிலை சேர்க்கவும். பருப்பு பொன்னிறமாக மாறியதும், வெங்காயம் சேர்த்து, வெங்காயம் தெளிவாகும் வரை வதக்கவும்.
பின்னர் நறுக்கிய உருளைக்கிழங்கு, மஞ்சள் தூள் சேர்த்து, இடையில் மூடி வைத்து கிளறி சமைக்கவும். இடையில் தண்ணீர் தெளிக்கவும்.
உருளைக்கிழங்கு பாதி வெந்தவுடன், நறுக்கிய கேரட், 1/4 கப் தண்ணீர், தேவையான அளவு உப்பு சேர்த்து மிதமான தீயில் மூடி வைத்து சமைக்கவும். பிரஷர் பேனைப் பயன்படுத்தினால், கேரட் அதிகமாக வெந்துவிடும் என்பதால் எடையை வைக்க வேண்டாம்.
கேரட் பாதி வெந்தவுடன், காய்கறி கறிவேப்பிலை, மிளகாய்த்தூள் சேர்த்து, கேரட் மென்மையாகும் வரை சமைக்கவும். தேவைப்பட்டால் இடையில் தண்ணீர் தெளிக்கலாம்.
இது தென்னிந்திய பாணி கேரட் உருளைக்கிழங்கு கறி.</t>
  </si>
  <si>
    <t>https://blogexplore.com/wp-content/uploads/2016/01/aloo-gajar-matar-sabzi.jpg</t>
  </si>
  <si>
    <t>Kadai Vegetable Curry</t>
  </si>
  <si>
    <t>கடாய் காய்கறி கறி</t>
  </si>
  <si>
    <t xml:space="preserve"> Onion – 1 or 2 medium,
   Ginger-Garlic paste -1 tsp,
   Turmeric powder -1/4 tsp,
   Salt needed,
   Carrot -1,
   Beans -7-8,
   Capsicum -1,
   Cauliflower – 1 cup florets ,
   Fresh or frozen peas -1/2 cup,
   Tomato paste -1/2 cup,
   Coriander seeds -1 tbsp,
   Cumin seeds -2 tsp,
   Red Chillies -3-4,
   Fenugreek seeds -1/4 tsp,
   Oil – 3 tbsp,
   Cumin seeds/jeera -1 tsp,
   Coriander leaves finely chopped,
   Kasuri methi -2 tbsp.</t>
  </si>
  <si>
    <t>வெங்காயம் - 1 அல்லது 2 நடுத்தர அளவு,
இஞ்சி-பூண்டு விழுது - 1 தேக்கரண்டி,
மஞ்சள் தூள் - 1/4 தேக்கரண்டி,
உப்பு தேவை,
கேரட் - 1,
பீன்ஸ் - 7-8,
கேப்சிகம் - 1,
காலிஃபிளவர் - 1 கப் பூக்கள் ,
புதிய அல்லது உறைந்த பட்டாணி - 1/2 கப்,
தக்காளி விழுது - 1/2 கப்,
கொத்தமல்லி விதைகள் - 1 தேக்கரண்டி,
சீரகம் - 2 தேக்கரண்டி,
சிவப்பு மிளகாய் - 3-4,
வெந்தயம் - 1/4 தேக்கரண்டி,
எண்ணெய் - 3 தேக்கரண்டி,
சீரகம் / ஜீரா - 1 தேக்கரண்டி,
கொத்தமல்லி இலைகள் நன்றாக நறுக்கியது,
கசூரி மேத்தி - 2 தேக்கரண்டி.</t>
  </si>
  <si>
    <t>Heat oil in a kadai or pan, add cumin seeds, when it sizzles, add thinly sliced onions and saute until onions turn golden brown. Add a little salt to quicken the process.
Add ginger garlic paste and saute for a few more minutes. Then add all the vegetables including cauliflower.
Add little water and cook covered on medium flame. If you are using pressure cooker, do not put the weight as the vegetable will get overcooked. Keep stirring now and then for even cooking and to prevent it from getting burnt.
After the vegetables are cooked a little, add the spice powder, turmeric powder and salt needed. Cook covered.
Once the vegetables are half cooked, add the tomato puree and cook until the vegetables are tender and all the water dries up.
Rub the dried kasuri methi leaves between your palms and sprinkle 
Garnish with coriander leaves and serve hot with chapati or paratha or rice.
This Kadai Vegetable curry can be used in chapati rolls and can be packed for lunch. It can also be used as a stuffing for sandwiches.</t>
  </si>
  <si>
    <t>ஒரு கடாயில் அல்லது வாணலியில் எண்ணெயை சூடாக்கி, சீரகத்தை சேர்த்து, அது கொதிக்கும் போது, ​​மெல்லியதாக நறுக்கிய வெங்காயத்தைச் சேர்த்து வெங்காயம் பொன்னிறமாகும் வரை வதக்கவும். செயல்முறையை விரைவுபடுத்த சிறிது உப்பு சேர்க்கவும்.
இஞ்சி பூண்டு விழுதைச் சேர்த்து இன்னும் சில நிமிடங்கள் வதக்கவும். பின்னர் காலிஃபிளவர் உட்பட அனைத்து காய்கறிகளையும் சேர்க்கவும்.
சிறிது தண்ணீர் சேர்த்து மிதமான தீயில் மூடி வைத்து சமைக்கவும். பிரஷர் குக்கரைப் பயன்படுத்தினால், காய்கறி அதிகமாக வெந்துவிடும் என்பதால் வெயிட் போட வேண்டாம். சமமாக சமைக்கவும், அது கருகாமல் இருக்கவும் அவ்வப்போது கிளறிக்கொண்டே இருங்கள்.
காய்கறிகள் சிறிது வெந்த பிறகு, மசாலாப் பொடி, மஞ்சள் தூள் மற்றும் உப்பு சேர்த்து சமைக்கவும். மூடி வைத்து சமைக்கவும்.
காய்கறிகள் பாதி வெந்த பிறகு, தக்காளி கூழ் சேர்த்து காய்கறிகள் மென்மையாகும் வரை மற்றும் தண்ணீர் முழுவதும் வற்றும் வரை சமைக்கவும்.
உலர்ந்த கசூரி மேத்தி இலைகளை உங்கள் உள்ளங்கைகளுக்கு இடையில் தேய்த்து தெளிக்கவும்.
கொத்தமல்லி இலைகளால் அலங்கரித்து சப்பாத்தி அல்லது பரோட்டா அல்லது சாதத்துடன் சூடாகப் பரிமாறவும்.
இந்த கடாய் காய்கறி கறியை சப்பாத்தி ரோல்களில் பயன்படுத்தலாம் மற்றும் மதிய உணவிற்கு பேக் செய்யலாம். இதை சாண்ட்விச்களுக்கு ஸ்டஃபிங்காகவும் பயன்படுத்தலாம்.</t>
  </si>
  <si>
    <t>https://www.makepotato.com/wp-content/uploads/2023/09/Restaurant-Style-Kadai-Veg.jpg</t>
  </si>
  <si>
    <t>Easy Baby Corn Pepper Fry (Dry)</t>
  </si>
  <si>
    <t>பேபி கார்ன் மிளகு வறுவல் (உலர்ந்தது)</t>
  </si>
  <si>
    <t>Baby Corn- 10-12,
   Onion -1 cup,
   Garlic – 6 cloves minced,
   Chilli powder -1/2 tsp,
   Pepper Powder to taste,
   Salt to taste,
   Oil -3 tsp,
   Mustard seeds,
   Curry leaves.</t>
  </si>
  <si>
    <t>பேபி கார்ன்- 10-12,
வெங்காயம் - 1 கப்,
பூண்டு - 6 பல் பொடியாக நறுக்கியது,
மிளகாய் தூள் - 1/2 டீஸ்பூன்,
மிளகாய் தூள் - ருசிக்க,
உப்பு - ருசிக்க,
எண்ணெய் - 3 டீஸ்பூன்,
கடுகு விதைகள்,
கறிவேப்பிலை.</t>
  </si>
  <si>
    <t>ஒரு கடாயில் அல்லது வாணலியில் எண்ணெயை சூடாக்கி, கடுகு சேர்த்து, அது வெடித்ததும், கறிவேப்பிலை சேர்க்கவும்.
பின்னர் நறுக்கிய வெங்காயம், பூண்டு சேர்த்து வெங்காயம் வெளிப்படையானதாக மாறும் வரை வதக்கவும்.
வேகவைத்த பேபி கார்ன், மிளகாய் தூள், மிளகு தூள் மற்றும் சுவைக்க உப்பு சேர்க்கவும்.
எல்லாம் நன்றாக கலக்கும் வரை மிதமான தீயில் மேலும் 5-6 நிமிடங்கள் சமைக்கவும்.
வேகவைத்த அரிசி அல்லது வறுத்த அரிசியுடன் பரிமாறவும்.</t>
  </si>
  <si>
    <t>https://www.kannammacooks.com/wp-content/uploads/baby-corn-salt-and-pepper-fry-recipe-1.jpg</t>
  </si>
  <si>
    <t>Peerkangai Poriyal-Ridge Gourd Stir Fry</t>
  </si>
  <si>
    <t>பீர்கங்கை பொரியல் - கரிசலாங்கண்ணி வறுவல்</t>
  </si>
  <si>
    <t>Peerkangai-Ridge gourd -1/2 kg ,
   Onion -1 big,
   Green chilli – 4 slit,
   Minced garlic – 3-4 cloves,
   Turmeric powder -1/4 tsp,
   Salt needed,
   Grated coconut -1/4 cup,
   Oil -3 tsp,
   Mustard seeds -1 tsp,
   Curry leaves- few.</t>
  </si>
  <si>
    <t>பீர்கங்கை - கரிசலாங்கண்ணி - 1/2 கிலோ ,
வெங்காயம் - 1 பெரியது ,
பச்சை மிளகாய் - 4 கீறல்கள் ,
பூண்டு - 3-4 பல் ,
மஞ்சள் தூள் - 1/4 தேக்கரண்டி ,
உப்பு தேவை ,
தேங்காய் துருவல் - 1/4 கப் ,
எண்ணெய் - 3 தேக்கரண்டி ,
கடுகு - 1 தேக்கரண்டி ,
கறிவேப்பிலை - சிறிதளவு .</t>
  </si>
  <si>
    <t>Heat oil in a pan, add mustard seeds, when it splutters, add finely chopped onions, slit green chilli, minced garlic and curry leaves. Saute until onion turns transparent.
Then add the chopped ridge gourd, turmeric powder and salt needed.
Cook covered on low flame stirring in between. This vegetable will ooze out water, so sprinkle water only if required while cooking.
Once the ridge gourd becomes tender and all the water evaporates, add grated coconut, mix well and remove from heat.
Serve this simple peerkangai/ridge gourd curry with rice or roti.</t>
  </si>
  <si>
    <t>ஒரு கடாயில் எண்ணெயை சூடாக்கி, கடுகு சேர்த்து, அது வதங்கியதும், இறுதியாக நறுக்கிய வெங்காயம், பச்சை மிளகாய், நறுக்கிய பூண்டு மற்றும் கறிவேப்பிலை சேர்க்கவும். வெங்காயம் வெளிப்படையானதாக மாறும் வரை வதக்கவும்.
பின்னர் நறுக்கிய பாற்காய், மஞ்சள் தூள் மற்றும் தேவையான உப்பு சேர்க்கவும்.
மூடி வைத்து, குறைந்த தீயில் வேக வைக்கவும். இந்த காய்கறியில் தண்ணீர் வெளியேறும், எனவே சமைக்கும் போது தேவைப்பட்டால் மட்டுமே தண்ணீர் தெளிக்கவும்.
பாற்காய் மென்மையாகி, தண்ணீர் அனைத்தும் ஆவியாகியதும், துருவிய தேங்காயைச் சேர்த்து, நன்கு கலந்து, அடுப்பிலிருந்து இறக்கவும்.
இந்த எளிய பீர்கங்கை/கறிவேப்பிலை கறியை சாதம் அல்லது ரொட்டியுடன் பரிமாறவும்.</t>
  </si>
  <si>
    <t>https://i.ytimg.com/vi/DjJYyvz8Y9A/hq720.jpg?sqp=-oaymwEhCK4FEIIDSFryq4qpAxMIARUAAAAAGAElAADIQj0AgKJD&amp;rs=AOn4CLBvnKBjlHxRaOjRNr3alTFZft8QiA</t>
  </si>
  <si>
    <t>Aloo Jeera Recipe</t>
  </si>
  <si>
    <t>ஆலு ஜீரா செய்முறை</t>
  </si>
  <si>
    <t>Potatoes (boiled and chopped) -2 cups,
   Green chillies -2 slit,
   Ginger -1 inch piece thinly sliced,
   Coriander seeds -1 tbsp,
   Cumin seeds – 1 1/2 tsp,
   Red Chilli powder -1 tsp,
   Turmeric powder -1/4 tsp,
   Dry mango powder/amchur powder -1/2 tsp,
   Salt needed,
   Oil -3 1/2 tbsp,
   Cumin seeds -1 tsp,
   Coriander leaves-finely chopped.</t>
  </si>
  <si>
    <t>உருளைக்கிழங்கு (வேகவைத்து நறுக்கியது) - 2 கப்,
பச்சை மிளகாய் - 2 துண்டுகள்,
இஞ்சி - 1 அங்குல துண்டு மெல்லியதாக நறுக்கியது,
கொத்தமல்லி விதைகள் - 1 டீஸ்பூன்,
சீரக விதைகள் - 1 1/2 டீஸ்பூன்,
சிவப்பு மிளகாய் தூள் - 1 டீஸ்பூன்,
மஞ்சள் தூள் - 1/4 டீஸ்பூன்,
காய்ந்த மாங்காய் தூள்/ஆம்சூர் தூள் - 1/2 டீஸ்பூன்,
உப்பு தேவை,
எண்ணெய் - 3 1/2 டீஸ்பூன்,
சீரக விதைகள் - 1 டீஸ்பூன்,
கொத்தமல்லி இலைகள் - நன்றாக நறுக்கியது.</t>
  </si>
  <si>
    <t>Heat oil, add cumin seeds (1 tsp), when it splutters, add slit green chillies and thinly sliced ginger.
Saute for a few seconds, reduce the flame and then add freshly ground coriander and cumin powder, amchur powder, turmeric powder, chilli powder and salt.
Saute for a few seconds and then add the boiled and cubed potatoes. Mix well so that it is well coated with the seasoning.
Roast on low flame for 10 minutes stirring in between. Garnish with coriander leaves. Delicious aloo jeera can be served with rotis or rice.</t>
  </si>
  <si>
    <t>எண்ணெய்யை சூடாக்கி, சீரகம் (1 டீஸ்பூன்) சேர்க்கவும், அது வதங்கியதும், கீறிய பச்சை மிளகாய் மற்றும் மெல்லியதாக நறுக்கிய இஞ்சி சேர்க்கவும்.
சில நொடிகள் வதக்கி, தீயை குறைத்து, புதிதாக அரைத்த கொத்தமல்லி மற்றும் சீரக தூள், ஆம்சூர் தூள், மஞ்சள் தூள், மிளகாய் தூள் மற்றும் உப்பு சேர்க்கவும்.
சில நொடிகள் வதக்கி, பின்னர் வேகவைத்த மற்றும் துண்டுகளாக்கப்பட்ட உருளைக்கிழங்கைச் சேர்க்கவும். மசாலாப் பொருட்களுடன் நன்கு பூசப்படும் வகையில் நன்கு கலக்கவும்.
குறைந்த தீயில் 10 நிமிடங்கள் இடையில் கிளறி வறுக்கவும். கொத்தமல்லி இலைகளால் அலங்கரிக்கவும். சுவையான ஆலு ஜீராவை ரொட்டி அல்லது சாதத்துடன் பரிமாறலாம்.</t>
  </si>
  <si>
    <t>https://www.archanaskitchen.com/images/archanaskitchen/Indian_Vegetables_Dry/Jeera_Aloo_Recipe_No_Onion_No_Garlic-1.jpg</t>
  </si>
  <si>
    <t>Cabbage Thoran-Kerala Style</t>
  </si>
  <si>
    <t>முட்டைக்கோஸ் தோரன் - கேரள பாணி</t>
  </si>
  <si>
    <t xml:space="preserve"> Cabbage – 3 cups ,
   Shallots-Pearl onions-cheru ulli -4 ,
   Green chilli- 2-3 slit,
   Turmeric powder -1/4 tsp,
   Virgin Coconut oil -2 tsp,
   Salt needed,
   Curry leaves -few,
   Grated coconut -1/3 cup,
   Cumin seeds -1 tsp,
   Pure Coconut Oil -1 tbsp,
   Mustard seeds -1 tsp,
   Curry leaves- few.</t>
  </si>
  <si>
    <t>முட்டைக்கோஸ் - 3 கப் ,
வெங்காயத்தாள் - முத்து வெங்காயம் - செருப்பு உல்லி - 4 ,
பச்சை மிளகாய் - 2-3 துண்டுகள் ,
மஞ்சள் தூள் - 1/4 தேக்கரண்டி ,
கன்னி தேங்காய் எண்ணெய் - 2 தேக்கரண்டி ,
உப்பு தேவை ,
கறிவேப்பிலை - சில ,
தேங்காய் துருவல் - 1/3 கப் ,
சீரகம் - 1 தேக்கரண்டி ,
சுத்தமான தேங்காய் எண்ணெய் - 1 தேக்கரண்டி ,
கடுகு விதைகள் - 1 தேக்கரண்டி ,
கறிவேப்பிலை - சிறிது .</t>
  </si>
  <si>
    <t>Heat coconut oil, add mustard seeds, when it splutters, add the mixed ingredients.
Sprinkle little water and cook covered on low flame stirring from time to time until soft.
Serve this delicious Kerala Style Cabbage thoran (curry) with rice.</t>
  </si>
  <si>
    <t>தேங்காய் எண்ணெயை சூடாக்கி , கடுகு சேர்த்து , அது பொரிந்ததும் , கலந்த பொருட்களை சேர்க்கவும் .
சிறிது தண்ணீர் தெளித்து , அவ்வப்போது குறைந்த தீயில் மூடி வைத்து மென்மையாகும் வரை கிளறவும் .
இந்த சுவையான கேரள பாணி முட்டைக்கோஸ் தோரனை (கறிவேப்பிலை) சாதத்துடன் பரிமாறவும் .</t>
  </si>
  <si>
    <t>https://i0.wp.com/kalimirchbysmita.com/wp-content/uploads/2018/08/Cabbage-Thoran-Insta-03.jpg?resize=1537%2C1024</t>
  </si>
  <si>
    <t>Asparagus Stir Fry-Indian-Vegetarian</t>
  </si>
  <si>
    <t>அஸ்பாரகஸ் வறுக்கவும் - இந்திய-சைவம்</t>
  </si>
  <si>
    <t xml:space="preserve"> Onion -1 finely chopped,
   Green Chilli -1 slit,
   Asparagus -15-18,
   Chilli Powder -1/2 tsp,
   Grated coconut -2 tbsp,
   Salt needed,
   Oil – 1 1/2 tsp,
   Mustard Seeds -1 tsp,
   Urad dal -3/4 tsp,
   Curry leaves – few.</t>
  </si>
  <si>
    <t>வெங்காயம் - 1 பொடியாக நறுக்கியது,
பச்சை மிளகாய் - 1 கீறி,
அஸ்பாரகஸ் - 15-18,
மிளகாய்த்தூள் - 1/2 தேக்கரண்டி,
தேங்காய் துருவல் - 2 தேக்கரண்டி,
உப்பு தேவை,
எண்ணெய் - 1 1/2 தேக்கரண்டி,
கடுகு - 1 தேக்கரண்டி,
உளுத்தம் பருப்பு - 3/4 தேக்கரண்டி,
கறிவேப்பிலை - சிறிது.</t>
  </si>
  <si>
    <t>ஒரு கடாயில் எண்ணெயை சூடாக்கி, கடுகு சேர்த்து, அது வதங்கியதும், உளுத்தம் பருப்பு சேர்க்கவும். பருப்பு பொன்னிறமாக மாறியதும், கறிவேப்பிலை, நறுக்கிய வெங்காயம் மற்றும் பச்சை மிளகாய் சேர்க்கவும்.
வெங்காயம் தெளிவாகத் தெரிந்ததும், நறுக்கிய அஸ்பாரகஸ், மிளகாய் தூள் மற்றும் தேவையான உப்பு சேர்க்கவும்.
மிகக் குறைந்த தண்ணீரைத் தெளித்து, இடையில் கிளறி மூடி வைத்து சமைக்கவும். சமைக்க மிகக் குறைந்த நேரம் ஆகும். அதிகமாக வேகாமல் பார்த்துக் கொள்ளுங்கள். அஸ்பாரகஸ் அதன் மொறுமொறுப்பான தன்மையைத் தக்க வைத்துக் கொள்ள வேண்டும். தயாரானதும், தீயை அணைத்து, துருவிய தேங்காயைச் சேர்த்து நன்கு கலக்கவும்.
சாம்பார் சாதம், ரசம் சாதம் அல்லது தயிர் சாதத்திற்கு ஒரு பக்க உணவாகப் பரிமாறவும்.</t>
  </si>
  <si>
    <t>https://pipingpotcurry.com/wp-content/uploads/2022/05/Indian-asparagus-recipe.-Aloo-Asparagus.jpg</t>
  </si>
  <si>
    <t>NoolKol Kootu-Kohlrabi Kootu</t>
  </si>
  <si>
    <t>நூல்கோல் கூட்டு-கோல்ராபி கூட்டு</t>
  </si>
  <si>
    <t xml:space="preserve"> Noolkol/kohlrabi – 2 cups,
   Tur dal + Moong dal together -1/4 cup,
   Sambar powder – 2 tsp,
   Grated coconut – 1/4 cup,
   Cumin seeds – 1 tsp,
   Fried gram (Pottukadalai) or rice flour -1 1/2 tsp,
   Oil -2 tsp,
   Mustard seeds -1 tsp,
   Urad dal -1 tsp,
   Red Chillies -2,
   Hing – a pinch,
   Curry leaves – few,
   Coriander leaves.</t>
  </si>
  <si>
    <t>நூல்கோல்/கோல்ராபி – 2 கப்,
துரும்பு பருப்பு + பாசிப்பருப்பு சேர்த்து - 1/4 கப்,
சாம்பார் பொடி – 2 டீஸ்பூன்,
தேங்காய் துருவல் – 1/4 கப்,
சீரகம் – 1 டீஸ்பூன்,
பொட்டுக்கடலை அல்லது அரிசி மாவு - 1 1/2 டீஸ்பூன்,
எண்ணெய் - 2 டீஸ்பூன்,
கடுகு - 1 டீஸ்பூன்,
உப்பு பருப்பு - 1 டீஸ்பூன்,
சிவப்பு மிளகாய் - 2,
கீரை – ஒரு சிட்டிகை,
கறிவேப்பிலை – சிறிதளவு,
கொத்தமல்லி இலைகள்.</t>
  </si>
  <si>
    <t>Wash, peel the skin and cut noolkol into small cubes or pieces.
Soak tur dal + moong dal in hot water for 15 minutes.
Grind grated coconut, cumin seeds (jeera) and fried gram to a smooth paste. Fried gram is used for thickening the kootu. If you do not have fried gram, you can use a tsp of rice flour.
In a cooker or pressure pan, add chopped noolkol, soaked dal, sambar powder, salt needed, turmeric powder, 3/4 cup of water and pressure cook for 3 whistles. (Those who do not have cooker can cook covered in a pan. It will take a longer time than pressure cooker, that’s all.)
Once the pressure subsides, open the cooker (picture above shows the pressure cooked kootu), add the ground coconut paste, 1/4 cup of water and cook for 2-3 minutes on medium flame. Check for salt.
Heat a tsp of oil, add mustard seeds, when it splutters, add urad dal, red chillies, hing and curry leaves. When dal turns golden brown, pour the seasoning over the kootu. Serve as a side dish for rice or chapati.</t>
  </si>
  <si>
    <t>கழுவி, தோல் உரித்து, நூல்கோலை சிறிய க்யூப்ஸ் அல்லது துண்டுகளாக வெட்டவும்.
துர் பருப்பு + பாசிப்பருப்பை வெந்நீரில் 15 நிமிடங்கள் ஊற வைக்கவும்.
தேங்காய் துருவல், சீரகம் (ஜீரா) மற்றும் வறுத்த பருப்பை மென்மையான பேஸ்டாக அரைக்கவும். கூட்டு கெட்டியாக இருக்க வறுத்த பருப்பைப் பயன்படுத்தலாம். உங்களிடம் வறுத்த பருப்பு இல்லையென்றால், ஒரு டீஸ்பூன் அரிசி மாவைப் பயன்படுத்தலாம்.
ஒரு குக்கர் அல்லது பிரஷர் பேனில், நறுக்கிய நூல்கோல், ஊறவைத்த பருப்பு, சாம்பார் பொடி, தேவையான உப்பு, மஞ்சள் தூள், 3/4 கப் தண்ணீர் சேர்த்து 3 விசில் வரை பிரஷர் சமைக்கவும். (குக்கர் இல்லாதவர்கள் ஒரு பாத்திரத்தில் மூடி வைத்து சமைக்கலாம். பிரஷர் குக்கரை விட இது அதிக நேரம் எடுக்கும், அவ்வளவுதான்.)
பிரஷர் குறைந்தவுடன், குக்கரைத் திறக்கவும் (மேலே உள்ள படம் பிரஷர் வேகவைத்த கூட்டைக் காட்டுகிறது), அரைத்த தேங்காய் விழுது, 1/4 கப் தண்ணீர் சேர்த்து, மிதமான தீயில் 2-3 நிமிடங்கள் சமைக்கவும். உப்பு இருக்கிறதா என்று பாருங்கள்.
ஒரு டீஸ்பூன் எண்ணெயைச் சூடாக்கி, கடுகு சேர்த்து, அது வதங்கியதும், உளுத்தம் பருப்பு, சிவப்பு மிளகாய், கீரை மற்றும் கறிவேப்பிலை சேர்க்கவும். பருப்பு பொன்னிறமாக மாறியதும், கூட்டின் மேல் தாளிக்க வேண்டியவற்றை ஊற்றவும். சாதம் அல்லது சப்பாத்திக்கு ஒரு துணை உணவாகப் பரிமாறவும்.</t>
  </si>
  <si>
    <t>https://www.yummytummyaarthi.com/wp-content/uploads/2016/02/1-23-2-500x427.jpg</t>
  </si>
  <si>
    <t>Karamani Poriyal-Long Beans Curry</t>
  </si>
  <si>
    <t>காராமணி பொரியல் - நீண்ட பீன்ஸ் கறி</t>
  </si>
  <si>
    <t xml:space="preserve"> Long beans/karamani -2 cups chopped,
   Turmeric powder – a pinch,
   Salt needed,
   Grated coconut -1/4 cup,
   Oil -2 tsp,
   Mustard seeds -1 tsp,
   Urad dal -1 tsp,
   Green chilli -2 slit,
   Red Chilli -2,
   Hing/asafoetida -1/4 tsp,
   Curry leaves.</t>
  </si>
  <si>
    <t>நீள பீன்ஸ்/காராமணி - 2 கப் நறுக்கியது,
மஞ்சள் தூள் - ஒரு சிட்டிகை,
உப்பு தேவை,
தேங்காய் துருவல் - 1/4 கப்,
எண்ணெய் - 2 தேக்கரண்டி,
கடுகு - 1 தேக்கரண்டி,
உளுத்தம் பருப்பு - 1 தேக்கரண்டி,
பச்சை மிளகாய் - 2 துண்டுகள்,
சிவப்பு மிளகாய் - 2,
பெருங்காயம் / பெருங்காயம் - 1/4 தேக்கரண்டி,
கறிவேப்பிலை.</t>
  </si>
  <si>
    <t>Heat oil in a kadai or pan, add mustard seeds, when it splutters, add urad dal, red chillies and hing. When dal turns golden brown, add green chillies and curry leaves.
Saute for a second and add chopped long beans, turmeric powder, salt needed and 1/4 cup of water.
Cover and cook stirring in between to prevent it from getting burnt. Sprinkle more water if needed and cook until the beans are tender. If using pressure pan, do not put the weight as it will get over cooked and will not taste good. Cover and cook on low flame without the weight.
Once cooked, add grated coconut, mix well and remove from flame.
Delicious karamani poriyal is ready to be served with rice.</t>
  </si>
  <si>
    <t>ஒரு கடாயில் அல்லது வாணலியில் எண்ணெயை சூடாக்கி, கடுகு சேர்த்து, அது வதங்கியதும், உளுத்தம் பருப்பு, சிவப்பு மிளகாய் மற்றும் பெருங்காயம் சேர்க்கவும். பருப்பு பொன்னிறமாக மாறியதும், பச்சை மிளகாய் மற்றும் கறிவேப்பிலை சேர்க்கவும்.
ஒரு நொடி வதக்கி, நறுக்கிய நீளமான பீன்ஸ், மஞ்சள் தூள், தேவையான உப்பு மற்றும் 1/4 கப் தண்ணீர் சேர்க்கவும்.
அது எரியாமல் இருக்க இடையில் கிளறி மூடி வைத்து சமைக்கவும். தேவைப்பட்டால் அதிக தண்ணீர் தெளித்து, பீன்ஸ் மென்மையாகும் வரை சமைக்கவும். பிரஷர் பேனைப் பயன்படுத்தினால், எடையை வைக்க வேண்டாம், ஏனெனில் அது அதிகமாக வேகும் மற்றும் சுவையாக இருக்காது. மூடி வைத்து, எடை குறைவாக இல்லாமல் குறைந்த தீயில் சமைக்கவும்.
வெந்தவுடன், துருவிய தேங்காய் சேர்த்து, நன்கு கலந்து, அடுப்பிலிருந்து இறக்கவும்.
சுவையான காராமணி பொரியல் சாதத்துடன் பரிமாற தயாராக உள்ளது.</t>
  </si>
  <si>
    <t>https://i.ytimg.com/vi/GIXZwYa64sI/maxresdefault.jpg</t>
  </si>
  <si>
    <t>Keerai Molagootal</t>
  </si>
  <si>
    <t>கீரை மொளகூடல்</t>
  </si>
  <si>
    <t xml:space="preserve">  Arai Keerai/greens – 2 cups,
   Tur dal – 1/4 cup,
   Turmeric powder – a pinch,
   Salt needed,
   Oil – 1 tsp,
   Urad dal – 2 tsp,
   Red chillies – 2,
   Cumin seeds/jeera – 1 tsp,
   Grated Coconut – 1/4 cup,
   Oil – 1 tsp,
   Mustard seeds – 1 tsp,
   Urad dal – 3/4 tsp,
   Red chilli – 2.</t>
  </si>
  <si>
    <t>அரை கீரை/கீரைகள் - 2 கப்,
துவரம் பருப்பு - 1/4 கப்,
மஞ்சள் தூள் - ஒரு சிட்டிகை,
உப்பு தேவை,
எண்ணெய் - 1 தேக்கரண்டி,
உப்பு பருப்பு - 2 தேக்கரண்டி,
சிவப்பு மிளகாய் - 2,
சீரகம்/ஜீரா - 1 தேக்கரண்டி,
தேங்காய் துருவல் - 1/4 கப்,
எண்ணெய் - 1 தேக்கரண்டி,
கடுகு - 1 தேக்கரண்டி,
உப்பு பருப்பு - 3/4 தேக்கரண்டி,
சிவப்பு மிளகாய் - 2.</t>
  </si>
  <si>
    <t>Cook greens/keerai uncovered with little water. Then mash it well with a ladle or potato smasher.
Now we have cooked greens, cooked dal and the coconut paste ready.
Now add the cooked dal, coconut paste and needed water to the cooked greens. Simmer and cook for 3-4 minutes.
Heat a tsp of oil, add mustard seeds, when it splutters, add urad dal and red chillies. When dal turns golden brown, add the seasoning to the keerai.
Keerai molagootal is ready. Serve it with hot steamed rice and any thogayal.</t>
  </si>
  <si>
    <t>கீரை/கீரையை சிறிது தண்ணீர் விட்டு மூடி வைத்து சமைக்கவும். பின்னர் ஒரு கரண்டி அல்லது உருளைக்கிழங்கு நொறுக்கு இயந்திரம் மூலம் நன்றாக மசிக்கவும்.
இப்போது சமைத்த கீரைகள், சமைத்த பருப்பு மற்றும் தேங்காய் விழுது தயாராக உள்ளது.
இப்போது சமைத்த பருப்பை, தேங்காய் விழுது மற்றும் தேவையான தண்ணீரை சமைத்த கீரைகளுடன் சேர்க்கவும். 3-4 நிமிடங்கள் கொதிக்க விடவும்.
ஒரு தேக்கரண்டி எண்ணெயை சூடாக்கி, கடுகு சேர்த்து, அது வதங்கியதும், உளுத்தம் பருப்பு மற்றும் சிவப்பு மிளகாய் சேர்க்கவும். பருப்பு பொன்னிறமாக மாறியதும், கீரையுடன் மசாலாப் பொருட்களைச் சேர்க்கவும்.
கீரை மொளகூதல் தயார். சூடான வேகவைத்த சாதம் மற்றும் ஏதேனும் தோகயலுடன் பரிமாறவும்.</t>
  </si>
  <si>
    <t>https://x9s2d6a3.delivery.rocketcdn.me/wp-content/uploads/2014/06/Keerai-Milagutal_1200x1200.jpg</t>
  </si>
  <si>
    <t>https://youtu.be/9IkCful15eA</t>
  </si>
  <si>
    <t>South Indian Mixed Vegetable Kootu</t>
  </si>
  <si>
    <t>தென்னிந்திய கலப்பு காய்கறி கூட்டு</t>
  </si>
  <si>
    <t>sidedish</t>
  </si>
  <si>
    <t xml:space="preserve"> Mixed Vegetables-5 cups,
   Tur dal -1/4 cup,
   Turmeric powder-1/4 tsp,
   Black eyed peas (any legumes)- 2 tbsp,
   Tamarind- small gooseberry sized ball,
   Salt needed,
   Onion -1,
   Tomato-1 big,
   Oil -3 tsp,
   Coriander seeds-1 tbsp,
   Bengal gram dal/channa dal -2 tsp,
   Cumin seeds -1/2 tsp,
   Red Chillies-5,
   Fenugreek seeds-1/4 tsp,
   Grated coconut-1/4 cup,
   Oil-1 tsp,
   Mustard seeds -1 tsp,
   Urad dal-1 tsp,
   Hing- a pinch,
   Curry leaves -few.</t>
  </si>
  <si>
    <t>கலப்பு காய்கறிகள் - 5 கப்,
துரும்பு - 1/4 கப்,
மஞ்சள் தூள் - 1/4 டீஸ்பூன்,
கருப்புப் பட்டாணி (ஏதேனும் பருப்பு வகைகள்) - 2 டீஸ்பூன்,
புளி - சிறிய நெல்லிக்காய் அளவு பந்து,
உப்பு தேவை,
வெங்காயம் - 1,
தக்காளி - 1 பெரியது,
எண்ணெய் - 3 டீஸ்பூன்,
கொத்தமல்லி விதைகள் - 1 டீஸ்பூன்,
வங்காள பருப்பு / சன்னா பருப்பு - 2 டீஸ்பூன்,
சீரக விதைகள் - 1/2 டீஸ்பூன்,
சிவப்பு மிளகாய் - 5,
வெந்தயம் - 1/4 டீஸ்பூன்,
தேங்காய் துருவல் - 1/4 கப்,
எண்ணெய் - 1 டீஸ்பூன்,
கடுகு - 1 டீஸ்பூன்,
உப்பு பருப்பு - 1 டீஸ்பூன்,
ஹிங் - ஒரு சிட்டிகை,
கறிவேப்பிலை - சில.</t>
  </si>
  <si>
    <t>ஒரு பிரஷர் பான்/குக்கரை எடுத்து, அனைத்து காய்கறிகளையும் சேர்த்து, 1/2 கப் தண்ணீர், மஞ்சள் தூள், தேவையான உப்பு சேர்த்து 1-2 விசில் வரை பிரஷர் சமைக்கவும். நீங்கள் ஒரு பாத்திரத்திலும் சமைக்கலாம், ஆனால் அதிக நேரம் எடுக்கும்.
பிரஷர் குறைந்தவுடன், குக்கரைத் திறந்து, புளி தண்ணீர், சமைத்த கருப்புக் கடலைப்பருப்பு சேர்த்து 10 நிமிடங்கள் அல்லது புளியின் பச்சை வாசனை போகும் வரை சமைக்கவும்.
பின்னர் அரைத்த விழுது, சமைத்த பருப்பு, சமைத்த வெங்காயம்-தக்காளி கலவையைச் சேர்த்து, அனைத்தும் நன்றாகக் கலக்கும் வரை 15 நிமிடங்கள் குறைந்த தீயில் சமைக்கவும்.
ஒரு தேக்கரண்டி எண்ணெயைச் சூடாக்கி, கடுகு சேர்த்து, அது வதங்கியதும், உளுத்தம் பருப்பு, பெருங்காயம், கறிவேப்பிலை ஆகியவற்றைச் சேர்த்து, கூட்டின் மேல் ஊற்றவும்.
இந்தக் கூட்டு, தோகையல், அப்பளம்/வடை மற்றும் அரிசியுடன் சேர்த்து, ஒரு நிறைவான உணவாக அமைகிறது.</t>
  </si>
  <si>
    <t>https://i.ytimg.com/vi/hGUtVSBA7go/maxresdefault.jpg</t>
  </si>
  <si>
    <t>Snake Gourd Stir fry/Curry</t>
  </si>
  <si>
    <t>பாம்புக்காய் வறுக்கவும்/கறிவேப்பிலை</t>
  </si>
  <si>
    <t xml:space="preserve"> Snake gourd -3 cups chopped,
   Oil -2 1/2 tbsp ,
   Turmeric powder – a pinch,
   Salt to taste,
   Mustard seeds -1 tsp,
   Urad dal – 1 tsp,
   Red chillies -3,
   Hing- a pinch,
   Curry leaves – few.</t>
  </si>
  <si>
    <t>பாம்புக்காய் - 3 கப் நறுக்கியது,
எண்ணெய் - 2 1/2 டீஸ்பூன்,
மஞ்சள் தூள் - ஒரு சிட்டிகை,
ருசிக்க உப்பு,
கடுகு - 1 டீஸ்பூன்,
உப்பு - 1 டீஸ்பூன்,
சிவப்பு மிளகாய் - 3,
கீரை - ஒரு சிட்டிகை,
கறிவேப்பிலை - சிறிது.</t>
  </si>
  <si>
    <t>Heat oil in a pan, add mustard seeds, when it splutters, add urad dal, red chillies, hing and curry leaves.
When dal turns golden brown, add the chopped snake gourd, turmeric powder and cook covered.
Once it is slightly cooked, add salt. Do not add too much water, then it will be liked boiled snakegourd. Just sprinkle little water now and then and cook covered stirring from time to time. If required, add another 1 tsp of oil and cook.
Serve as a side dish for sambar rice or rasam sadam or curd rice.</t>
  </si>
  <si>
    <t>ஒரு கடாயில் எண்ணெயை சூடாக்கி, கடுகு விதைகளைச் சேர்த்து, அது வதங்கியதும், உளுத்தம் பருப்பு, சிவப்பு மிளகாய், பெருங்காயம் மற்றும் கறிவேப்பிலை சேர்க்கவும்.
பருப்பு பொன்னிறமாக மாறியதும், நறுக்கிய பாம்புக்காய், மஞ்சள் தூள் சேர்த்து மூடி வைத்து சமைக்கவும்.
சிறிது வெந்தவுடன், உப்பு சேர்க்கவும். அதிக தண்ணீர் சேர்க்க வேண்டாம், வேகவைத்த பாம்புக்காய் பிடிக்கும். அவ்வப்போது சிறிது தண்ணீர் தெளித்து, அவ்வப்போது மூடி வைத்து கிளறி சமைக்கவும். தேவைப்பட்டால், மேலும் 1 டீஸ்பூன் எண்ணெய் சேர்த்து சமைக்கவும்.
சாம்பார் சாதம் அல்லது ரசம் சாதம் அல்லது தயிர் சாதத்திற்கு ஒரு துணை உணவாக பரிமாறவும்.</t>
  </si>
  <si>
    <t>https://encrypted-tbn0.gstatic.com/images?q=tbn:ANd9GcR7gV8ieUOuO0DXLibMkAsSOe4KxargdtnPLw&amp;s</t>
  </si>
  <si>
    <t>Elephant Foot Yam Kootu-Senai Kootu</t>
  </si>
  <si>
    <t>யானைக்கால் சேனைக் கூட்டு</t>
  </si>
  <si>
    <t>Elephant foot yam – 2 cups chopped ,
   Tur dal – 1/3 cup,
   Tamarind – a small gooseberry sized ball,
   Turmeric powder – 1/4 tsp,
   Salt needed,
   Coriander seeds – 1 tbsp,
   Bengal gram/channa dal/kadalai paruppu – 2 tsp,
   Red chillies – 4,
   Grated coconut – 1/4 cup,
   Raw Rice – 1 tsp,
   Oil – 1 tsp,
   Mustard seeds – 1 tsp,
   Hing – a pinch,
   Curry leaves – a sprig.</t>
  </si>
  <si>
    <t>யானைக்கால் சேனைக் கூட்டு - 2 கப் நறுக்கியது,
துரும்பு - 1/3 கப்,
புளி - ஒரு சிறிய நெல்லிக்காய் அளவு உருண்டை,
மஞ்சள் தூள் - 1/4 டீஸ்பூன்,
உப்பு தேவையான அளவு,
கொத்தமல்லி விதைகள் - 1 டீஸ்பூன்,
வங்கக்கடல் பருப்பு / சன்னா பருப்பு / கடலை பருப்பு - 2 டீஸ்பூன்,
சிவப்பு மிளகாய் - 4,
தேங்காய் துருவல் - 1/4 கப்,
பச்சை அரிசி - 1 டீஸ்பூன்,
எண்ணெய் - 1 டீஸ்பூன்,
கடுகு - 1 டீஸ்பூன்,
ஹிங் - ஒரு சிட்டிகை,
கறிவேப்பிலை - ஒரு தளிர்.</t>
  </si>
  <si>
    <t>Cook senai/yam in 1 cup of water adding salt and turmeric powder. Once the yam is half cooked, add 1 cup tamarind water and cook until the raw flavor of the tamarind goes and the yam becomes soft.
cooking Senai Kizhangu in tamarind water
Once the yam is cooked well, add the ground paste.
Add the cooked dal, 1/2 -3/4 cup of water and cook simmered until everything gets blended well. Check for salt.
Heat a tsp of oil, add mustard seeds, when it splutters, add hing, curry leaves and pour it over the kootu. Serve with hot steamed rice.
With plain rice and any thogayal it makes a filling meal.</t>
  </si>
  <si>
    <t>சேனை/சேனையை 1 கப் தண்ணீரில் உப்பு மற்றும் மஞ்சள் தூள் சேர்த்து சமைக்கவும். சேனை பாதி வெந்தவுடன், 1 கப் புளி தண்ணீர் சேர்த்து, புளியின் பச்சை வாசனை போய் சேனை மென்மையாகும் வரை சமைக்கவும்.
சேனைக் கிழங்குவை புளி நீரில் சமைக்கவும்
சேனை நன்றாக வெந்தவுடன், அரைத்த விழுதைச் சேர்க்கவும்.
சமைத்த பருப்பை 1/2 -3/4 கப் தண்ணீர் சேர்த்து, எல்லாம் நன்றாகக் கலக்கும் வரை கொதிக்க விடவும். உப்பு சரிபார்க்கவும்.
ஒரு டீஸ்பூன் எண்ணெயைச் சூடாக்கி, கடுகு சேர்த்து, அது வெடித்ததும், பெருங்காயம், கறிவேப்பிலை சேர்த்து, கூட்டின் மேல் ஊற்றவும். சூடான வேகவைத்த சாதத்துடன் பரிமாறவும்.
சாதாரண அரிசி மற்றும் எந்த தோகையுடனும் இது ஒரு நிறைவான உணவாக அமைகிறது.</t>
  </si>
  <si>
    <t>https://blogger.googleusercontent.com/img/b/R29vZ2xl/AVvXsEiqH1Z5i-sicGtCnDqheN0gmfglXXedmB1xiWA8C9P05VhOTXT6__VKNfvVdBTj5nSeyQ9SbK39JPerDIF8axXaeKIhS47gDBM4ZV6kJA_AstOnUQyx8yp8Ih26Gnq1EGk5a7skPp7a33Q6/w1200-h630-p-k-no-nu/Elephant+Foot+Yam+Kootu+W.JPG</t>
  </si>
  <si>
    <t>Ash gourd in Yogurt gravy</t>
  </si>
  <si>
    <t>தயிர் குழம்பில் சாம்பல் பூசணி</t>
  </si>
  <si>
    <t>Ash gourd -chopped -2 cups,
Curd/plain yogurt -1 cup,
Turmeric powder – a pinch,
Salt needed,
Coconut -1/3 cup,
Green chilli -3,
Cumin seeds/jeera -3/4 tsp
Raw rice or rice flour -1 tsp ,.
Oil -1 tsp,
Mustard seeds -1 tsp,
Curry leaves -few.</t>
  </si>
  <si>
    <t>நறுக்கப்பட்ட சாம்பல் பூசணி - 2 கப்,
தயிர்/வெற்று தயிர் - 1 கப்,
மஞ்சள் தூள் - ஒரு சிட்டிகை,
தேங்காய் - 1/3 கப்,
பச்சை மிளகாய் - 3,
சீரகம்/ஜீரா - 3/4 தேக்கரண்டி
பச்சை அரிசி அல்லது அரிசி மாவு - 1 தேக்கரண்டி,.
எண்ணெய் - 1 தேக்கரண்டி,
கடுகு விதைகள் - 1 தேக்கரண்டி,
கறிவேப்பிலை - சில.</t>
  </si>
  <si>
    <t>Cook ash gourd in less water with a pinch of turmeric powder and salt until soft. If there is too much water after cooking, strain it and use a little of it for grinding the coconut mixture.
Once the ash gourd is cooked, add the yogurt +ground paste. Boil it for 5 minutes in medium heat and switch it off. Check for salt.
Heat oil in a pan, add mustard seeds, when it splutters, add curry leaves and pour it over the mor kootu.
Delicious Ash gourd mor kootu is ready to be served.</t>
  </si>
  <si>
    <t>குப்பைக்காயை குறைந்த தண்ணீரில், ஒரு சிட்டிகை மஞ்சள் தூள் மற்றும் உப்பு சேர்த்து மென்மையாகும் வரை சமைக்கவும். சமைத்த பிறகு அதிக தண்ணீர் இருந்தால், அதை வடிகட்டி, தேங்காய் கலவையை அரைக்க சிறிது பயன்படுத்தவும்.
பூசணி வெந்தவுடன், தயிர் + அரைத்த விழுதைச் சேர்க்கவும். மிதமான தீயில் 5 நிமிடங்கள் கொதிக்க வைத்து, அதை அணைக்கவும். உப்பு இருக்கிறதா என்று பாருங்கள்.
ஒரு கடாயில் எண்ணெயை சூடாக்கி, கடுகு சேர்த்து, அது வதங்கியதும், கறிவேப்பிலை சேர்த்து மோர் கூழின் மேல் ஊற்றவும்.
சுவையான சாம்பல் பூசணி மோர் கூட்டு பரிமாற தயாராக உள்ளது.</t>
  </si>
  <si>
    <t>https://elephantsandthecoconuttrees.com/wp-content/uploads/2024/08/Yogurt-curry-with-ash-gourd-Kerala-style-4-500x500.jpg?crop=1</t>
  </si>
  <si>
    <t>Beetroot Curry</t>
  </si>
  <si>
    <t>பீட்ரூட் கறி</t>
  </si>
  <si>
    <t xml:space="preserve"> Beetroot – 2 medium sized beetroots ,
   Onion -1,
   Green chilli – 1-2 slit,
   White Chickpeas – 1/4 cup,
   Grated coconut -3 tbsp,
   Oil -2 tsp,
   Mustard seeds -1 tsp,
   Urad dal -1/2 tsp ,
   Red chilli -1,
   Hing – a pinch,
   Curry leaves – few.</t>
  </si>
  <si>
    <t>பீட்ரூட் - 2 நடுத்தர அளவிலான பீட்ரூட்,
வெங்காயம் -1,
பச்சை மிளகாய் - 1-2 கீறல்,
வெள்ளைக் கடலை - 1/4 கப்,
தேங்காய் துருவல் - 3 டேபிள்ஸ்பூன்,
எண்ணெய் -2 டேபிள்ஸ்பூன்,
கடுகு -1 டேபிள்ஸ்பூன்,
உளுந்து -1/2 டேபிள்ஸ்பூன்,
சிவப்பு மிளகாய் -1,
கீரை - ஒரு சிட்டிகை,
கறிவேப்பிலை - சிறிது.</t>
  </si>
  <si>
    <t>Heat oil in a pan, add mustard seeds, when it splutters, add urad dal, red chilli and hing, when dal starts turning golden brown, add green chillies, curry leaves and chopped onions.
Saute until onions turn transparent.
Then add chopped beetroot and salt needed. Sprinkle water and cook covered on low flame stirring from time to time.
When beetroot is cooked, add cooked chickpeas and cook for further 2-3 minutes.
Add grated coconut, mix well and turn off the heat. Garnish with coriander leaves and serve with rice or roti.</t>
  </si>
  <si>
    <t>ஒரு கடாயில் எண்ணெயை சூடாக்கி, கடுகு சேர்த்து, அது வதங்கியதும், உளுத்தம் பருப்பு, சிவப்பு மிளகாய் மற்றும் ஹிங் சேர்த்து, பருப்பு பொன்னிறமாக மாறத் தொடங்கியதும், பச்சை மிளகாய், கறிவேப்பிலை மற்றும் நறுக்கிய வெங்காயம் சேர்க்கவும்.
வெங்காயம் தெளிவாகும் வரை வதக்கவும்.
பின்னர் நறுக்கிய பீட்ரூட் மற்றும் தேவையான உப்பு சேர்க்கவும். தண்ணீர் தெளித்து, அவ்வப்போது கிளறி, குறைந்த தீயில் மூடி வைத்து சமைக்கவும்.
பீட்ரூட் வெந்ததும், சமைத்த கொண்டைக்கடலையைச் சேர்த்து மேலும் 2-3 நிமிடங்கள் சமைக்கவும்.
தேங்காய் துருவலைச் சேர்த்து, நன்கு கலந்து, தீயை அணைக்கவும். கொத்தமல்லி இலைகளால் அலங்கரித்து சாதம் அல்லது ரொட்டியுடன் பரிமாறவும்.</t>
  </si>
  <si>
    <t>https://www.indianhealthyrecipes.com/wp-content/uploads/2023/12/beetroot-curry-stir-fry-recipe.webp</t>
  </si>
  <si>
    <t>Broccoli Stir Fry (Vegetarian)</t>
  </si>
  <si>
    <t>ப்ரோக்கோலி வறுக்கவும் (சைவம்)</t>
  </si>
  <si>
    <t>Garlic – minced 1 tbsp,
Onion – thinly sliced – 1 cup,
Broccoli – 4 cups medium sized florets,
Chilli powder – 1 tsp,
Coriander powder – 1/2 tsp,
Salt to taste,
Oil – 1 tbsp,
Mustard seeds – 1 tsp.</t>
  </si>
  <si>
    <t>பூண்டு - நறுக்கியது 1 டீஸ்பூன்,
வெங்காயம் - மெல்லியதாக நறுக்கியது - 1 கப்,
ப்ரோக்கோலி - 4 கப் நடுத்தர அளவிலான பூக்கள்,
மிளகாய் தூள் - 1 டீஸ்பூன்,
கொத்தமல்லி தூள் - 1/2 டீஸ்பூன்,
சுவைக்கு உப்பு,
எண்ணெய் - 1 டீஸ்பூன்,
கடுகு விதைகள் - 1 டீஸ்பூன்.</t>
  </si>
  <si>
    <t>Heat 1 tbsp of oil in a pan, add mustard seeds, when it splutters, add garlic and saute for a few seconds.
Add thinly sliced onions and saute until onions turn translucent.
Add chilli powder, salt, coriander powder and saute for a few seconds so that the raw flavor goes.
Then add broccoli, mix well, cover and cook on low flame. Sprinkle water and cook stirring in between for even cooking.
Broccoli gets cooked faster, so take care not to over cook the vegetable. It should retain its crunchiness. (Overcooking also destroys its nutrients). 
Serve broccoli stir fry as a side dish for rasam, sambar, kuzhambu or curd rice.</t>
  </si>
  <si>
    <t>ஒரு கடாயில் 1 டீஸ்பூன் எண்ணெயை சூடாக்கி, கடுகு சேர்த்து, அது வதங்கியதும், பூண்டு சேர்த்து சில நொடிகள் வதக்கவும்.
மெல்லியதாக நறுக்கிய வெங்காயத்தைச் சேர்த்து, வெங்காயம் தெளிவாகும் வரை சில நொடிகள் வதக்கவும்.
மிளகாய்த்தூள், உப்பு, கொத்தமல்லித்தூள் சேர்த்து, பச்சை வாசனை போகும் வரை சில நொடிகள் வதக்கவும்.
பின்னர் ப்ரோக்கோலியைச் சேர்த்து, நன்றாகக் கலந்து, மூடி வைத்து, குறைந்த தீயில் சமைக்கவும். தண்ணீர் தெளித்து, இடையில் கிளறி சமமாக சமைக்கவும்.
ப்ரோக்கோலி வேகமாக வேகும், எனவே காய்கறி அதிகமாக வேகாமல் பார்த்துக் கொள்ளுங்கள். அது அதன் மொறுமொறுப்பான தன்மையைத் தக்க வைத்துக் கொள்ள வேண்டும். (அதிகமாக சமைப்பது அதன் ஊட்டச்சத்துக்களையும் அழிக்கிறது).
ரசம், சாம்பார், குழம்பு அல்லது தயிர் சாதத்திற்கு துணை உணவாக ப்ரோக்கோலி ஸ்டிர் ஃப்ரை பரிமாறவும்.</t>
  </si>
  <si>
    <t>https://plants-rule.com/wp-content/uploads/2020/02/1-Chinese-Double-Garlic-Broccoli-Stir-Fry-Healthy-Plant-Based-Asian-Gluten-Free-Vegan-Dinner-Recipe-from-Plants-Rule-3-1-scaled.jpg</t>
  </si>
  <si>
    <t>Cabbage Kootu (Tamil Brahmin Style-no onion-no garlic recipe)</t>
  </si>
  <si>
    <t>முட்டைக்கோஸ் கூட்டு (தமிழ் பிராமண பாணி - வெங்காயம் இல்லாமல் - பூண்டு இல்லாமல் செய்முறை)</t>
  </si>
  <si>
    <t xml:space="preserve"> Cabbage – 3 cups chopped,
   Moong dal or a mix of moong + tur dal – 1/4 cup,
   Sambar powder – 2 tsp,
   Turmeric powder -1/4 tsp,
   Curry leaves -3-4 leaves,
   Brown or white channa (kondai kadalai/chick peas) – fistful -(optional),
   Salt as needed,
   Grated coconut – 1/4 cup,
   Cumin seeds/ jeera seeds – 1 tsp,
   Fried gram/pottu kadalai – 1 1/2 tsp,
   Oil -1 tsp,
   Mustard seeds – 3/4 tsp,
   Urad dal – 1/2 tsp,
   Hing/asafoetida – a pinch,
   Curry leaves – few,
   Coriander leaves.</t>
  </si>
  <si>
    <t>முட்டைக்கோஸ் - 3 கப் நறுக்கியது,
பாசிப்பருப்பு அல்லது பாசிப்பருப்பு + துவரம்பருப்பு கலவை - 1/4 கப்,
சாம்பார் பொடி - 2 தேக்கரண்டி,
மஞ்சள் தூள் - 1/4 தேக்கரண்டி,
கறிவேப்பிலை - 3-4 இலைகள்,
பழுப்பு அல்லது வெள்ளை சன்னா (கொண்டை கடலை/கடலை) - ஒரு கைப்பிடி - (விரும்பினால்),
தேவைக்கேற்ப உப்பு,
தேங்காய் துருவல் - 1/4 கப்,
சீரகம்/ சீரகம் - 1 தேக்கரண்டி,
வறுத்த பருப்பு/பொட்டு கடலை - 1 1/2 தேக்கரண்டி,
எண்ணெய் - 1 தேக்கரண்டி,
கடுகு - 3/4 தேக்கரண்டி,
உளுத்தம் பருப்பு - 1/2 தேக்கரண்டி,
பெருங்காயம் - ஒரு சிட்டிகை,
கறிவேப்பிலை - சிறிது,
கொத்தமல்லி இலை.</t>
  </si>
  <si>
    <t xml:space="preserve"> Take a pressure pan or cooker, add chopped cabbage, turmeric powder, sambar powder, salt needed, dal, curry leaves and 1 cup of water. 
Pressure cook for 3 whistles. Open after the pressure subsides. 
 After opening the cooker, add cooked brown channa, ground paste, another 3/4 cup of water and boil well.
 Season the kootu – Heat a tsp of oil, add mustard seeds, when it sputters, add urad dal. When dal turns golden brown, add  hing, red chillies, curry leaves and pour it over the kootu.
Garnish with finely chopped coriander leaves and serve hot with rice or chapati.</t>
  </si>
  <si>
    <t>ஒரு பிரஷர் பான் அல்லது குக்கரை எடுத்து, நறுக்கிய முட்டைக்கோஸ், மஞ்சள் தூள், சாம்பார் பொடி, தேவையான உப்பு, பருப்பு, கறிவேப்பிலை மற்றும் 1 கப் தண்ணீர் சேர்க்கவும்.
3 விசில் வரை சமைக்கவும். அழுத்தம் குறைந்த பிறகு திறக்கவும்.
குக்கரைத் திறந்த பிறகு, சமைத்த பழுப்பு நிற சன்னா, அரைத்த விழுது, மேலும் 3/4 கப் தண்ணீர் சேர்த்து நன்கு கொதிக்க விடவும்.
கூழை தாளிக்கவும் - ஒரு தேக்கரண்டி எண்ணெயை சூடாக்கி, கடுகு சேர்த்து, அது கொதித்ததும், உளுத்தம்பருப்பு சேர்க்கவும். பருப்பு பொன்னிறமாக மாறியதும், கீரை, சிவப்பு மிளகாய், கறிவேப்பிலை சேர்த்து கூழை ஊற்றவும்.
இறுதியாக நறுக்கிய கொத்தமல்லி இலைகளால் அலங்கரித்து, சாதம் அல்லது சப்பாத்தியுடன் சூடாகப் பரிமாறவும்.</t>
  </si>
  <si>
    <t>https://encrypted-tbn0.gstatic.com/images?q=tbn:ANd9GcRjLKzyJcXOUDjeObflaBExnAEJYxnIBLN_rA&amp;s</t>
  </si>
  <si>
    <t>Amaranth Leaves in yogurt gravy</t>
  </si>
  <si>
    <t>தயிர் குழம்பில் அமராந்த் இலைகள்</t>
  </si>
  <si>
    <t>Mulai Keerai/greens – 3 cups heaped,
Curd/ plain yogurt – 3/4 -1 cup ,
Grated coconut – 1/3 cup,
Green chilli -3,
Cumin seeds/ jeera – 1 tsp,
Rice flour – 1/2 tsp,
Oil -1 tsp,
Mustard seeds -3/4 tsp,
Urad dal – 1/2 tsp,
Red chilli -1.</t>
  </si>
  <si>
    <t>முளை கீரை/கீரைகள் – 3 கப் குவித்து,
தயிர்/வெற்று தயிர் – 3/4 -1 கப்,
தேங்காய் துருவல் – 1/3 கப்,
பச்சை மிளகாய் -3,
சீரகம்/சீரகம் – 1 தேக்கரண்டி,
அரிசி மாவு – 1/2 தேக்கரண்டி,
எண்ணெய் -1 தேக்கரண்டி,
கடுகு விதைகள் – 3/4 தேக்கரண்டி,
உளுந்து பருப்பு – 1/2 தேக்கரண்டி,
சிவப்பு மிளகாய் -1.</t>
  </si>
  <si>
    <t>Pressure cook greens with half cup of water for 1 whistle. Once the pressure subsides, open the cooker and mash the greens well. 
 Add the ground coconut paste, curd and salt needed.
 Mix well and boil until everything gets blended well.
Heat a tsp of oil, add mustard seeds, when it splutters, add urad dal and red chillies, when dal turns golden brown, pour the seasoning over the keerai.
Healthy and nutritious Amaranth Mor kootu (prepared with just 1 tsp of oil) is ready. Serve it as a side dish with rasam or sambar rice.</t>
  </si>
  <si>
    <t>அரை கப் தண்ணீரில் கீரைகளை 1 விசில் வரை பிரஷர் செய்து வேக வைக்கவும். பிரஷர் குறைந்தவுடன், குக்கரைத் திறந்து கீரைகளை நன்றாக மசிக்கவும்.
தேங்காய் விழுது, தயிர் மற்றும் தேவையான உப்பு சேர்க்கவும்.
நன்றாகக் கலந்து, அனைத்தும் நன்கு கலக்கும் வரை கொதிக்க விடவும்.
ஒரு டீஸ்பூன் எண்ணெயைச் சூடாக்கி, கடுகு விதைகளைச் சேர்த்து, அது வதங்கியதும், உளுத்தம்பருப்பு மற்றும் சிவப்பு மிளகாய்களைச் சேர்த்து, பருப்பு பொன்னிறமாக மாறியதும், தாளிக்கும் பொருளை கீரையின் மேல் ஊற்றவும்.
ஆரோக்கியமான மற்றும் சத்தான அமராந்த் மோர் கூட்டு (வெறும் 1 தேக்கரண்டி எண்ணெயில் தயாரிக்கப்பட்டது) தயார். ரசம் அல்லது சாம்பார் சாதத்துடன் ஒரு துணை உணவாக பரிமாறவும்.</t>
  </si>
  <si>
    <t>https://img-global.cpcdn.com/recipes/474ae661ba358734/680x482cq70/moringa-leaves-in-yogurt-gravy-recipe-main-photo.jpg</t>
  </si>
  <si>
    <t>Kathirikai Rasavangi-Brinjal Rasavangi</t>
  </si>
  <si>
    <t>கத்திரிகை ரசவாங்கி-பிரிஞ்சல் ரசவாங்கி</t>
  </si>
  <si>
    <t>Brinjal -1/4 kg,
   Tamarind – gooseberry sized ball,
   Turmeric powder – a pinch,
   Hing/asafoetida – a pinch,
   Black channa/kothu kadalai – 1/4 cup ,
   Tur dal – 1/4 cup,
   Salt needed,
   Oil -1 tsp,
   Coriander seeds -1 tbsp,
   Bengal gram/Kadalai paruppu – 2 tsp,
   Red chillies – 4-5,
   Raw rice – 1 tsp ,
   Grated coconut – 1/4 cup,
   Oil – 2 tsp,
   Mustard seeds – 3/4 tsp,
   Urad dal -1/2 tsp,
   Red chilli -1,
   Curry leaves -few.</t>
  </si>
  <si>
    <t>கத்தரி - 1/4 கிலோ, 
புளி - நெல்லிக்காய் அளவு உருண்டை, 
மஞ்சள் தூள் - ஒரு சிட்டிகை, 
கீல்/அசாஃபோடிடா - ஒரு சிட்டிகை, 
கருப்பு சன்னா / கொத்து கடலை - 1/4 கப், 
துவரம் பருப்பு - 1/4 கப், 
உப்பு தேவை, 
எண்ணெய் - 1 டீஸ்பூன், 
கொத்தமல்லி விதைகள் - 1 டீஸ்பூன், 
வங்காளப் பருப்பு/கடலை பருப்பு - 2 டீஸ்பூன், 
சிவப்பு மிளகாய் - 4-5, 
பச்சை அரிசி - 1 தேக்கரண்டி, 
துருவிய தேங்காய் - 1/4 கப், 
எண்ணெய் - 2 டீஸ்பூன், 
கடுகு - 3/4 தேக்கரண்டி, 
உளுத்தம் பருப்பு - 1/2 டீஸ்பூன், 
சிவப்பு மிளகாய் - 1, 
கறிவேப்பிலை - சிறிதளவு.</t>
  </si>
  <si>
    <t>Cook brinjal in very less water adding turmeric powder, needed salt and hing. Once slightly cooked, add tamarind water and cook the brinjals until soft.
Once the brinjals are cooked, add cooked black channa and tur dal.
eggplant rasavangi 
Then add rasavangi powder/podi and cook until everything get blended well. That’s it.
Now we will do the seasoning – Heat a tsp of oil, add mustard seeds, when it splutters, add urad dal, red chilli and curry leaves and pour it over the rasavangi.  Mix well and serve with rice.</t>
  </si>
  <si>
    <t>கத்தரிக்காயை மிகக் குறைந்த தண்ணீரில் மஞ்சள் தூள், தேவையான உப்பு மற்றும் கடலை சேர்த்து சமைக்கவும். சிறிது வெந்தவுடன், புளி தண்ணீர் சேர்த்து கத்திரிக்காயை மென்மையாகும் வரை சமைக்கவும்.
கத்திரிக்காய் வெந்தவுடன், சமைத்த கருப்பு சன்னா மற்றும் துவரம்பருப்பு சேர்க்கவும்.
கத்தரிக்காய் ரசவஞ்சி
பின்னர் ரசவஞ்சி பொடி/பொடி சேர்த்து எல்லாம் நன்றாக கலக்கும் வரை சமைக்கவும். அவ்வளவுதான்.
இப்போது நாம் தாளிக்கப் போகிறோம் - ஒரு தேக்கரண்டி எண்ணெயை சூடாக்கி, கடுகு சேர்த்து, அது வெடித்ததும், உளுத்தம் பருப்பு, சிவப்பு மிளகாய் மற்றும் கறிவேப்பிலை சேர்த்து ரசவஞ்சியின் மேல் ஊற்றவும். நன்றாக கலந்து சாதத்துடன் பரிமாறவும்.</t>
  </si>
  <si>
    <t>https://www.kamalascorner.com/wp-content/uploads/2016/01/Kathirikai-Rasavangi-1.jpg</t>
  </si>
  <si>
    <t>Kothavarangai Curry-Cluster Beans Stir Fry</t>
  </si>
  <si>
    <t>கொத்தவரங்காய் கறி - கொத்து பீன்ஸ் வறுக்கவும்</t>
  </si>
  <si>
    <t xml:space="preserve"> Cluster beans – 200 grams ,
   Red chilli -2,
   Green chilli -1 slit,
   Turmeric powder – 1/8 tsp,
   Grated coconut – 3 tbsp,
   Salt needed,
   Oil – 2 tsp,
   Mustard seeds -1 tsp,
   Urad dal -3/4 tsp,
   Hing/asafoetida – a pinch,
   Curry leaves – a sprig.</t>
  </si>
  <si>
    <t>கொத்து பீன்ஸ் - 200 கிராம்,
சிவப்பு மிளகாய் - 2,
பச்சை மிளகாய் - 1 கீற்று,
மஞ்சள் தூள் - 1/8 தேக்கரண்டி,
தேங்காய் துருவல் - 3 தேக்கரண்டி,
உப்பு தேவை,
எண்ணெய் - 2 தேக்கரண்டி,
கடுகு - 1 தேக்கரண்டி,
உளுத்தம் பருப்பு - 3/4 தேக்கரண்டி,
பெருங்காயம் / பெருங்காயம் - ஒரு சிட்டிகை,
கறிவேப்பிலை - ஒரு தளிர்.</t>
  </si>
  <si>
    <t>Though I am using the pressure pan, I am not going to pressure cook the beans as it will get over cooked.I have used the pressure pan without the weight. You can follow the same method using a heavy bottomed pan or kadai also
Heat oil in a pan, add mustard seeds, when it splutters, add urad dal, red chillies, hing and green chillies. Saute until dal turns golden brown.
Then add the chopped cluster beans, turmeric powder, salt needed.
How to make kothavarangai curry 
Sprinkle a little water, close the cooker without the weight and cook on low or medium flame.
Open in between, stir and sprinkle more water if needed and cook until soft.
Once the beans are tender and the water has evaporated, add grated coconut, mix well and switch off the flame.
Serve as a side dish for sambar rice or rasam rice or curd rice.</t>
  </si>
  <si>
    <t>நான் பிரஷர் பேனைப் பயன்படுத்தினாலும், பீன்ஸ் அதிகமாக வெந்துவிடும் என்பதால் நான் அதை அழுத்தி சமைக்கப் போவதில்லை. நான் எடை இல்லாமல் பிரஷர் பேனைப் பயன்படுத்தினேன். அடி கனமான அடிப்பகுதி கொண்ட பாத்திரம் அல்லது கடாயைப் பயன்படுத்தியும் அதே முறையைப் பின்பற்றலாம்
ஒரு கடாயில் எண்ணெயைச் சூடாக்கி, கடுகு சேர்த்து, அது வதங்கியதும், உளுத்தம் பருப்பு, சிவப்பு மிளகாய், பெருங்காயம் மற்றும் பச்சை மிளகாய் சேர்க்கவும். பருப்பு பொன்னிறமாகும் வரை வதக்கவும்.
பின்னர் நறுக்கிய கொத்து பீன்ஸ், மஞ்சள் தூள், தேவையான அளவு உப்பு சேர்க்கவும்.
கொத்தவரங்காய் கறி செய்வது எப்படி
சிறிது தண்ணீர் தெளித்து, குக்கரை எடை இல்லாமல் மூடி, குறைந்த அல்லது நடுத்தர தீயில் சமைக்கவும்.
இடையிடையே திறந்து, கிளறி, தேவைப்பட்டால் அதிக தண்ணீர் தெளித்து மென்மையாகும் வரை சமைக்கவும்.
பீன்ஸ் மென்மையாகி, தண்ணீர் வற்றியதும், துருவிய தேங்காயைச் சேர்த்து, நன்கு கலந்து, தீயை அணைக்கவும்.
சாம்பார் சாதம் அல்லது ரசம் சாதம் அல்லது தயிர் சாதத்திற்கு ஒரு துணை உணவாகப் பரிமாறவும்.</t>
  </si>
  <si>
    <t>https://www.archanaskitchen.com/images/archanaskitchen/1-Author/nithya.anantham/Kothavarangai_Poriyal_Recipe_South_Indian_Style_Cluster_Beans_Stir_Fry.jpg</t>
  </si>
  <si>
    <t>Lauki Sabji</t>
  </si>
  <si>
    <t>லௌகி சப்ஜி</t>
  </si>
  <si>
    <t>Bottle gourd (chopped) – 2 cups,
Onion – 3/4 cup thinly sliced,
Green chillies -3-4 slit,
Turmeric powder -1/4 tsp,
Chilli powder or  sambar powder -1 tsp,
Coriander powder -2 tsp,
Coconut grated – 1/4 cup,
Roasted sesame seeds – 1 tbsp,
Salt needed,
Oil – 1 tbsp,
Jeera/cumin seeds -3/4 tsp,
Curry leaves – few.</t>
  </si>
  <si>
    <t>பாற்காய் (நறுக்கியது) – 2 கப்,
வெங்காயம் – 3/4 கப் மெல்லியதாக நறுக்கியது,
பச்சை மிளகாய் - 3-4 துண்டுகள்,
மஞ்சள் தூள் - 1/4 தேக்கரண்டி,
மிளகாய் தூள் அல்லது சாம்பார் தூள் - 1 தேக்கரண்டி,
கொத்தமல்லி தூள் - 2 தேக்கரண்டி,
தேங்காய் துருவல் – 1/4 கப்,
வறுத்த எள் – 1 தேக்கரண்டி,
உப்பு தேவை,
எண்ணெய் – 1 தேக்கரண்டி,
சீரகம்/சீரகம் - 3/4 தேக்கரண்டி,
கறிவேப்பிலை – சிறிதளவு.</t>
  </si>
  <si>
    <t>Saute until onions turn transparent. Then add chopped bottle gourd, turmeric powder, chilli powder, coriander powder, salt needed and saute for about 2-3 minutes.
Now add around 1/4 cup of water, close the lid and let it cook in medium flame. Do not forget to stir in between  to ensure even cooking.( if needed you can sprinkle more water)
See picture below – the bottle gourd is cooked and all the water has evaporated.
At this stage, add grated coconut + sesame seeds mix and saute for 2-3 minutes. Switch off the flame.
Sorakkai curry or poriyal  is ready. It is a fantastic side dish for chapati  and rice.</t>
  </si>
  <si>
    <t>எண்ணெயை சூடாக்கி, சீரகம் விதைகளைச் சேர்த்து, அது வதங்கியதும், வெங்காயம், பச்சை மிளகாய் மற்றும் கறிவேப்பிலை சேர்க்கவும்.
வெங்காயம் தெளிவாகும் வரை வதக்கவும். பின்னர் நறுக்கிய பாக்கு, மஞ்சள் தூள், மிளகாய் தூள், கொத்தமல்லி தூள், தேவையான உப்பு சேர்த்து சுமார் 2-3 நிமிடங்கள் வதக்கவும்.
இப்போது சுமார் 1/4 கப் தண்ணீர் சேர்த்து, மூடியை மூடி, மிதமான தீயில் சமைக்கவும். சமமாக சமைக்க இடையில் கிளற மறக்காதீர்கள். (தேவைப்பட்டால் நீங்கள் அதிக தண்ணீர் தெளிக்கலாம்)
கீழே உள்ள படத்தைப் பாருங்கள் - சுரைக்காய் வெந்துவிட்டது, தண்ணீர் அனைத்தும் ஆவியாகிவிட்டது.
இந்த கட்டத்தில், துருவிய தேங்காய் + எள் சேர்த்து 2-3 நிமிடங்கள் வதக்கவும். தீயை அணைக்கவும்.
சொரக்காய் கறி அல்லது பொரியல் தயார். இது சப்பாத்தி மற்றும் சாதத்திற்கு ஒரு அருமையான துணை உணவாகும்.</t>
  </si>
  <si>
    <t>https://www.secondrecipe.com/wp-content/uploads/2020/01/lauki-bottlegourd-curry.jpg</t>
  </si>
  <si>
    <t>Vendakkai Puli Pachadi without Tomatoes (with dal)</t>
  </si>
  <si>
    <t>தக்காளி இல்லாத வெண்டைக்காய் புளி பச்சடி (பருப்புடன்)</t>
  </si>
  <si>
    <t>Ladies finger – 1/2 kg/500 grams,
Green chillies – 6-7 slit,
Turmeric powder -1/4 tsp,
Sambar powder – 1 tsp,
Curd – 1 tsp,
Tamarind – small gooseberry sized ball,
Rice flour – 1 tsp ,
Tur dal – 2 tbsp ,
Salt as required,
Mustard seeds – 1 tsp,
Bengal gram/channa dal – 1 tsp,
Urad dal – 1 tsp,
Red chilli – 1,
Hing – a pinch,
Curry leaves – a sprig.</t>
  </si>
  <si>
    <t>பெண்கள் விரல் - 1/2 கிலோ / 500 கிராம்,
பச்சை மிளகாய் - 6-7 கீற்றுகள்,
மஞ்சள் தூள் - 1/4 தேக்கரண்டி,
சாம்பார் தூள் - 1 தேக்கரண்டி,
தயிர் - 1 தேக்கரண்டி,
புளி - சிறிய நெல்லிக்காய் அளவு உருண்டை,
அரிசி மாவு - 1 தேக்கரண்டி,
துர் பருப்பு - 2 தேக்கரண்டி,
தேவைக்கேற்ப உப்பு,
கடுகு - 1 தேக்கரண்டி,
வங்காள பருப்பு / சன்னா பருப்பு - 1 தேக்கரண்டி,
உப்பு - 1 தேக்கரண்டி,
சிவப்பு மிளகாய் - 1,
கீரை - ஒரு சிட்டிகை,
கறிவேப்பிலை - ஒரு தளிர்.</t>
  </si>
  <si>
    <t>Heat oil, add mustard seeds, when it splutter, add channa dal, urad dal, red chilli, hing and curry leaves.
When dal turns golden brown, add ladiesfinger, slit green chillies and cook for a few minutes. Don’t forget to stir in between while cooking.
After it is cooked a little, add sambar powder, turmeric powder, curd, salt needed and cook covered on medium flame.
Once the ladies finger is half cooked, add a cup of hot water and cook for some more time.
When the vegetable is almost cooked, add tamarind water and boil till the raw flavor of the tamarind goes.
Now add the rice flour mix and the cooked dal and boil until it thickens a little.
Serve it with plain rice and a vegetable curry.</t>
  </si>
  <si>
    <t>எண்ணெயை சூடாக்கி, கடுகு சேர்த்து, அது வதங்கியதும், சன்னா பருப்பு, உளுத்தம் பருப்பு, சிவப்பு மிளகாய், இங் மற்றும் கறிவேப்பிலை சேர்க்கவும்.
பருப்பு பொன்னிறமாக மாறியதும், லேடிஸ்ஃபிங்கர், பச்சை மிளகாய் சேர்த்து சில நிமிடங்கள் சமைக்கவும். சமைக்கும் போது இடையில் கிளற மறக்காதீர்கள்.
சிறிது வெந்த பிறகு, சாம்பார் பொடி, மஞ்சள் தூள், தயிர், தேவையான அளவு உப்பு சேர்த்து, மிதமான தீயில் மூடி வைத்து சமைக்கவும்.
பெண் விரல் பாதி வெந்தவுடன், ஒரு கப் வெந்நீர் சேர்த்து, சிறிது நேரம் சமைக்கவும்.
காய்கறி கிட்டத்தட்ட வெந்தவுடன், புளி தண்ணீர் சேர்த்து, புளியின் பச்சை வாசனை போகும் வரை கொதிக்க வைக்கவும்.
இப்போது அரிசி மாவு கலவை மற்றும் சமைத்த பருப்பை சேர்த்து, சிறிது கெட்டியாகும் வரை கொதிக்க வைக்கவும்.
சாதாரண சாதம் மற்றும் காய்கறி கறியுடன் பரிமாறவும்.</t>
  </si>
  <si>
    <t>https://i0.wp.com/sublimerecipes.com/wp-content/uploads/2020/06/Okra-Pachadi-FI.jpg?resize=800%2C530&amp;ssl=1&amp;is-pending-load=1</t>
  </si>
  <si>
    <t>Arai Keerai Poriyal</t>
  </si>
  <si>
    <t>அரை கீரை பொரியல்</t>
  </si>
  <si>
    <t>Arai Keerai – 1 bunch  ,
Pearl onions/ small onions – 1/4 cup,
Garlic cloves- 4,
Grated Coconut – 2 1/2 tbsp,
Oil – 1 tbsp,
Mustard seeds- 1 tsp,
Split urad dal – 3/4 tsp,
Red Chilli – 3.</t>
  </si>
  <si>
    <t>அரை கீரை - 1 கொத்து,
முத்து வெங்காயம் / சின்ன வெங்காயம் - 1/4 கப்,
பூண்டு கிராம்பு - 4,
துருவிய தேங்காய் - 2 1/2 டீஸ்பூன்,
எண்ணெய் - 1 டீஸ்பூன்,
கடுகு விதைகள் - 1 டீஸ்பூன்,
துண்டுகளாக நறுக்கிய உளுத்தம்பருப்பு - 3/4 டீஸ்பூன்,
சிவப்பு மிளகாய் - 3.</t>
  </si>
  <si>
    <t>Heat oil, add mustard seeds, when it splutters, add urad dal and red chillies.
Saute for a few seconds, add finely chopped onions and garlic.
Saute till onions turn transparent. Add the chopped greens and stir well.
Keep the flames low and cook covered. Add salt after the greens wilt.
Stir in between and sprinkle water only if required.
Once the greens are cooked, add grated coconut and mix well. Switch off the flame and serve hot with rasam or sambar rice. This poriyal can also be had mixed with rice topped with a tsp of ghee.</t>
  </si>
  <si>
    <t>எண்ணெயை சூடாக்கி, கடுகு சேர்த்து, அது வதங்கியதும், உளுத்தம்பருப்பு மற்றும் சிவப்பு மிளகாய் சேர்க்கவும்.
சில நொடிகள் வதக்கி, இறுதியாக நறுக்கிய வெங்காயம் மற்றும் பூண்டு சேர்க்கவும்.
வெங்காயம் தெளிவாகும் வரை வதக்கவும். நறுக்கிய கீரைகளைச் சேர்த்து நன்கு கிளறவும்.
தீயை குறைத்து வைத்து மூடி வைக்கவும். கீரைகள் வதங்கிய பிறகு உப்பு சேர்க்கவும்.
இடையே கிளறி, தேவைப்பட்டால் மட்டும் தண்ணீர் தெளிக்கவும்.
கீரைகள் வெந்தவுடன், துருவிய தேங்காயைச் சேர்த்து நன்கு கலக்கவும். தீயை அணைத்து, ரசம் அல்லது சாம்பார் சாதத்துடன் சூடாகப் பரிமாறவும். இந்தப் பொரியலை ஒரு தேக்கரண்டி நெய்யுடன் சேர்த்து சாதத்துடன் கலந்தும் சாப்பிடலாம்.</t>
  </si>
  <si>
    <t>https://i.ytimg.com/vi/OMyiu2hDfCk/hq720.jpg?sqp=-oaymwEhCK4FEIIDSFryq4qpAxMIARUAAAAAGAElAADIQj0AgKJD&amp;rs=AOn4CLCx01YU3dJjmuZ_zXRxFDKUBRlDxA</t>
  </si>
  <si>
    <t>https://youtu.be/UsIxOVKxEZ0</t>
  </si>
  <si>
    <t>Beans Stir Fry-Beans Poriyal</t>
  </si>
  <si>
    <t>பீன்ஸ் வறுத்த பீன்ஸ் பொரியல்</t>
  </si>
  <si>
    <t>Beans – 250 grams,
   Turmeric powder – a pinch,
   Grated coconut -1/4 cup,
   Salt as required,
   Oil -2 tsp,
   Mustard seeds -3/4 tsp,
   Urad dal – 1/2 tsp,
   Red chilli – 1,
   Asafoetida/Hing – a pinch,
   Green chilli – 2 slit.</t>
  </si>
  <si>
    <t>பீன்ஸ் – 250 கிராம்,
மஞ்சள் தூள் – ஒரு சிட்டிகை,
தேங்காய் துருவல் – 1/4 கப்,
தேவைக்கேற்ப உப்பு,
எண்ணெய் – 2 தேக்கரண்டி,
கடுகு – 3/4 தேக்கரண்டி,
உருளைக்கிழங்கு – 1/2 தேக்கரண்டி,
சிவப்பு மிளகாய் – 1,
பெருங்காயம்/கீரை – ஒரு சிட்டிகை,
பச்சை மிளகாய் – 2 துண்டுகள்.</t>
  </si>
  <si>
    <t>Heat oil in a pan, add mustard seeds, when it splutters, add urad dal, red chilli, hing and green chillies
.
Saute till urad dal turns golden brown, then add chopped beans, turmeric powder, salt needed and 1/4 cup of water.
Keep the flame low and let it cook covered till soft. Stir it now and then for even cooking. You can also sprinkle water if needed in between.
Once the beans becomes soft, add grated coconut, mix well and switch off the flame. Check for salt.
Serve it as an accompaniment with rice or chapati.</t>
  </si>
  <si>
    <t>ஒரு கடாயில் எண்ணெயை சூடாக்கி, கடுகு சேர்த்து, அது வதங்கியதும், உளுத்தம் பருப்பு, சிவப்பு மிளகாய், ஹிங் மற்றும் பச்சை மிளகாய் சேர்க்கவும்.
உளுத்தம் பருப்பு பொன்னிறமாகும் வரை வதக்கவும், பின்னர் நறுக்கிய பீன்ஸ், மஞ்சள் தூள், தேவையான உப்பு மற்றும் 1/4 கப் தண்ணீர் சேர்க்கவும்.
தீயை குறைத்து வைத்து மென்மையாகும் வரை மூடி வைக்கவும். அவ்வப்போது கிளறி சமமாக சமைக்கவும். தேவைப்பட்டால் இடையில் தண்ணீர் தெளிக்கலாம்.
பீன்ஸ் மென்மையாக ஆனதும், துருவிய தேங்காயைச் சேர்த்து, நன்றாகக் கலந்து, தீயை அணைக்கவும். உப்பு இருக்கிறதா என்று பாருங்கள்.
இதை சாதம் அல்லது சப்பாத்தியுடன் சேர்த்து பரிமாறவும்.</t>
  </si>
  <si>
    <t>https://ministryofcurry.com/wp-content/uploads/2021/05/green-beans-poriyal_-5-850x1063.jpg</t>
  </si>
  <si>
    <t>Kothavarangai Puli Kootu</t>
  </si>
  <si>
    <t>கொத்தவரங்கை புளி கூட்டு</t>
  </si>
  <si>
    <t xml:space="preserve"> Cluster beans – 1/4 kg ,
   Tur dal – 1/3 cup,
   Brown Chick Peas (kondai kadalai/kothu kadalai) – 1/4 cup,
   Tamarind – a small lemon sized ball,
   Turmeric powder – a pinch,
   Sambar powder – 1 1/4 tsp,
   Salt needed,
   Grated coconut – 1/4 cup,
   Rice Flour – 1 tsp,
   Oil – 1 tsp,
   Mustard seeds – 1 tsp,
   Urad dal – 3/4 tsp,
   Red chillies -2 broken,
   Curry leaves – a sprig.</t>
  </si>
  <si>
    <t>கொத்து பீன்ஸ் - 1/4 கிலோ, 
துவரம் பருப்பு - 1/3 கப், 
பிரவுன் கொண்டைக்கடலை (கொண்டை கடலை/கொத்து கடலை) - 1/4 கப், 
புளி - ஒரு சிறிய எலுமிச்சை அளவு உருண்டை, 
மஞ்சள் தூள் - ஒரு சிட்டிகை, 
சாம்பார் பொடி - 1 1/4 டீஸ்பூன், 
உப்பு தேவை, 
துருவிய தேங்காய் - 1/4 கப், 
அரிசி மாவு - 1 டீஸ்பூன், 
எண்ணெய் - 1 டீஸ்பூன், 
கடுகு - 1 தேக்கரண்டி, 
உளுத்தம் பருப்பு - 3/4 டீஸ்பூன், 
சிவப்பு மிளகாய் - 2 உடைத்தது, 
கறிவேப்பிலை - ஒரு துளிர்.</t>
  </si>
  <si>
    <t>Heat a tsp of oil, add mustard seeds, when it splutters, add red chillies, curry leaves and chopped cluster beans. Add turmeric powder and salt needed. Add 1/4 cup of water and cook until the cluster beans becomes tender, stirring from time to time.
Alternatively you can also pressure cook cluster beans for 1 whistle.
Once it is cooked, add tamarind water, sambar powder and boil till the raw smell of the tamarind and sambar powder goes.
Then add cooked tur dal, cooked brown channa, fried coconut, rice flour mixture and boil everything together until it thickens slightly. 
Check for salt. You can adjust the consistency of the kootu according to your personal preferences.</t>
  </si>
  <si>
    <t>ஒரு டீஸ்பூன் எண்ணெயை சூடாக்கி, கடுகு சேர்த்து, அது வதங்கியதும், சிவப்பு மிளகாய், கறிவேப்பிலை மற்றும் நறுக்கிய கொத்தமல்லி சேர்க்கவும். மஞ்சள் தூள் மற்றும் உப்பு சேர்க்கவும். 1/4 கப் தண்ணீர் சேர்த்து, கொத்தவரங்காய் மென்மையாகும் வரை அவ்வப்போது கிளறி, சமைக்கவும்.
இதற்கு மாற்றாக, கொத்தவரங்காய்களை 1 விசில் வரும் வரை அழுத்தி சமைக்கலாம்.
கொதித்ததும், புளி தண்ணீர், சாம்பார் பொடி சேர்த்து, புளி மற்றும் சாம்பார் பொடியின் பச்சை வாசனை போகும் வரை கொதிக்க வைக்கவும்.
பின்னர் சமைத்த துவரம் பருப்பு, சமைத்த பழுப்பு சன்னா, வறுத்த தேங்காய், அரிசி மாவு கலவையை சேர்த்து, சிறிது கெட்டியாகும் வரை அனைத்தையும் ஒன்றாக கொதிக்க வைக்கவும்.
உப்பு இருக்கிறதா என்று சரிபார்க்கவும். உங்கள் தனிப்பட்ட விருப்பங்களுக்கு ஏற்ப கூட்டின் நிலைத்தன்மையை சரிசெய்யலாம்.</t>
  </si>
  <si>
    <t>https://rakskitchen.net/wp-content/uploads/2009/04/DSC_2347_thumb[2].jpg</t>
  </si>
  <si>
    <t>Dal Palak</t>
  </si>
  <si>
    <t>பருப்பு பாலக்</t>
  </si>
  <si>
    <t>Palak/spinach – washed and chopped – 2 1/4 cups,
   Moong dal or tur dal or a mix of both – 1/4 cup,
   Turmeric powder -1/4 tsp,
   Chilli powder – 3/4 tsp,
   Onion – 2 medium size,
   Tomato -1,
   Garlic – 4-5 cloves,
   Ginger – 1 inch piece,
   Green chilli -1,
   Salt as needed, 
   Oil – 1 1/2 tbsp,
   Mustard seeds -1 tsp,
   Cumin seeds -1 tsp,
   Urad dal – 1/2 tsp,
   Red chilli -1,
   Hing -a pinch.Palak/spinach – washed and chopped – 2 1/4 cups,
   Moong dal or tur dal or a mix of both – 1/4 cup,
   Turmeric powder -1/4 tsp,
   Chilli powder – 3/4 tsp,
   Onion – 2 medium size,
   Tomato -1,
   Garlic – 4-5 cloves,
   Ginger – 1 inch piece,
   Green chilli -1,
   Salt as needed, 
   Oil – 1 1/2 tbsp,
   Mustard seeds -1 tsp,
   Cumin seeds -1 tsp,
   Urad dal – 1/2 tsp,
   Red chilli -1,
   Hing -a pinch.</t>
  </si>
  <si>
    <t>பலாக்/கீரை - கழுவி நறுக்கியது - 2 1/4 கப்,
பருப்பு அல்லது துவரம்பருப்பு அல்லது இரண்டின் கலவை - 1/4 கப்,
மஞ்சள் தூள் -1/4 டீஸ்பூன்,
மிளகாய் தூள் - 3/4 டீஸ்பூன்,
வெங்காயம் - 2 நடுத்தர அளவு,
தக்காளி -1,
பூண்டு - 4-5 பல்,
இஞ்சி - 1 அங்குல துண்டு,
பச்சை மிளகாய் -1,
தேவைக்கேற்ப உப்பு,
எண்ணெய் - 1 1/2 டீஸ்பூன்,
கடுகு -1 டீஸ்பூன்,
சீரகம் -1 டீஸ்பூன்,
உப்பு பருப்பு - 1/2 டீஸ்பூன்,
சிவப்பு மிளகாய் -1,
கீரை - ஒரு சிட்டிகை.பலாக்/கீரை - கழுவி நறுக்கியது - 2 1/4 கப்,
பருப்பு பருப்பு அல்லது துவரம்பருப்பு அல்லது இரண்டின் கலவை - 1/4 கப்,
மஞ்சள் தூள் -1/4 டீஸ்பூன்,
மிளகாய் தூள் - 3/4 டீஸ்பூன்,
வெங்காயம் - 2 நடுத்தர அளவு,
தக்காளி -1,
பூண்டு - 4-5 கிராம்புகள்,
இஞ்சி – 1 அங்குல துண்டு,
பச்சை மிளகாய் -1,
தேவைக்கேற்ப உப்பு,
எண்ணெய் – 1 1/2 டீஸ்பூன்,
கடுகு -1 டீஸ்பூன்,
சீரகம் -1 டீஸ்பூன்,
உப்பு பருப்பு – 1/2 டீஸ்பூன்,
சிவப்பு மிளகாய் -1,
கீரை -ஒரு சிட்டிகை.</t>
  </si>
  <si>
    <t>Keep all the ingredients ready including cooked tur dal. Pressure cook spinach for 1 whistle. After the pressure subsides, open and mash it well.
Heat oil in a pan or kadai, add the ingredients mentioned under seasoning in the same order and fry till urad dal turns golden brown.
Add onions, ginger, green chilli and saute till onions become light brown.
Add finely chopped tomatoes, turmeric powder, chilli powder and cook till tomatoes become mushy.
Then add the cooked palak, cooked dal, needed salt, mix well and bring everything to boil. Remove from fire and add a tsp of ghee.
Serve hot with chapati or hot steamed rice topped with a tsp of ghee. With potato curry as a side dish, it tastes heavenly.</t>
  </si>
  <si>
    <t>சமைத்த துவரம்பருப்பு உட்பட அனைத்து பொருட்களையும் தயாராக வைத்திருங்கள். கீரையை 1 விசில் வேக வைக்கவும். அழுத்தம் குறைந்த பிறகு, திறந்து நன்றாக மசிக்கவும்.
ஒரு கடாயில் அல்லது கடாயில் எண்ணெயை சூடாக்கி, தாளிக்க வேண்டிய பொருட்களை அதே வரிசையில் சேர்த்து, உளுத்தம் பருப்பு பொன்னிறமாகும் வரை வதக்கவும்.
வெங்காயம், இஞ்சி, பச்சை மிளகாய் சேர்த்து வெங்காயம் வெளிர் பழுப்பு நிறமாகும் வரை வதக்கவும்.
இறுதியாக நறுக்கிய தக்காளி, மஞ்சள் தூள், மிளகாய் தூள் சேர்த்து தக்காளி மசியும் வரை வதக்கவும்.
பின்னர் சமைத்த பாலக், சமைத்த பருப்பு, தேவையான உப்பு சேர்த்து நன்கு கலந்து அனைத்தையும் கொதிக்க விடவும். தீயிலிருந்து இறக்கி ஒரு தேக்கரண்டி நெய் சேர்க்கவும்.
சப்பாத்தி அல்லது சூடான வேகவைத்த சாதத்துடன் ஒரு தேக்கரண்டி நெய்யுடன் சூடாகப் பரிமாறவும். உருளைக்கிழங்கு கறியுடன் பக்க உணவாகச் சேர்த்துக் கொண்டால், இது அற்புதமான சுவையுடையது.</t>
  </si>
  <si>
    <t>https://fullofplants.com/wp-content/uploads/2024/06/easy-vegan-dal-palak-spinach-with-chickpeas-thumb.jpg</t>
  </si>
  <si>
    <t>Valakkai Podimas-Raw Banana/Plantian Podimas</t>
  </si>
  <si>
    <t>வலக்காய் பொடிமாஸ் - பச்சை வாழைப்பழம்/பிளாண்டியன் பொடிமாஸ்</t>
  </si>
  <si>
    <t xml:space="preserve">   Raw Banana/plantian – 2,
   Onion – 1 (optional),
   Grated coconut -1/4 cup,
   Juice of a small lemon,
   Salt as required,
   Coconut Oil – 3 tsp,
   Mustard seeds – 1 tsp,
   Bengal gram dal (kadalai paruppu) – 3/4 tsp,
   Urad dal – 1 tsp,
   Red chillies -3,
   Green chillies – 2 finely chopped,
   Ginger – 1 inch piece,
   Curry leaves – a sprig,
   Coriander leaves – 2 tbsp .</t>
  </si>
  <si>
    <t>பச்சை வாழைப்பழம்/பிளாண்டியன் பொடிமாஸ் - 2,
வெங்காயம் - 1 (விரும்பினால்),
துருவிய தேங்காய் - 1/4 கப்,
சிறிய எலுமிச்சை சாறு,
தேவைக்கேற்ப உப்பு,
தேவைக்கேற்ப தேங்காய் எண்ணெய் - 3 தேக்கரண்டி,
கடுகு விதைகள் - 1 தேக்கரண்டி,
வங்காள பருப்பு (கடலை பருப்பு) - 3/4 தேக்கரண்டி,
உப்பு பருப்பு - 1 தேக்கரண்டி,
சிவப்பு மிளகாய் - 3,
பச்சை மிளகாய் - 2 பொடியாக நறுக்கியது,
இஞ்சி - 1 அங்குல துண்டு,
கறிவேப்பிலை - ஒரு தளிர்,
கொத்தமல்லி இலை - 2 தேக்கரண்டி.</t>
  </si>
  <si>
    <t>Keep all the ingredients ready.
Heat oil, add mustard seeds, when it splutters, add bengal gram dal (chana dal), urad dal, red chillies, curry leaves and saute for a few minutes until dal turns golden brown.
Then add finely chopped onions (if using), green chillies, ginger, salt needed and saute till onions turn transparent.
Add the grated plantain, mix well and cook on low heat for 2 minutes. Check for salt.
Now add the grated coconut, mix well and switch off the flame.
Squeeze juice of 1 small lemon and mix well. Garnish with coriander leaves and serve as a side dish for rasam sadam or sambar sadam.</t>
  </si>
  <si>
    <t>அனைத்து பொருட்களையும் தயாராக வைக்கவும்.
எண்ணெயை சூடாக்கி, கடுகு சேர்த்து, அது வதங்கியதும், வங்காள பருப்பு (சனா பருப்பு), உளுத்த பருப்பு, சிவப்பு மிளகாய், கறிவேப்பிலை சேர்த்து, பருப்பு பொன்னிறமாகும் வரை சில நிமிடங்கள் வதக்கவும்.
பின்னர் பொடியாக நறுக்கிய வெங்காயம் (பயன்படுத்தினால்), பச்சை மிளகாய், இஞ்சி, தேவையான அளவு உப்பு சேர்த்து வெங்காயம் தெளிவாகும் வரை வதக்கவும்.
துருவிய வாழைப்பழத்தைச் சேர்த்து, நன்கு கலந்து, குறைந்த தீயில் 2 நிமிடங்கள் சமைக்கவும். உப்பு இருக்கிறதா என்று பாருங்கள்.
இப்போது துருவிய தேங்காயைச் சேர்த்து, நன்கு கலந்து, தீயை அணைக்கவும்.
1 சிறிய எலுமிச்சைப் பழத்தின் சாற்றைப் பிழிந்து நன்கு கலக்கவும். கொத்தமல்லி இலைகளால் அலங்கரித்து, ரசம் சாதம் அல்லது சாம்பார் சாதத்திற்கு ஒரு பக்க உணவாகப் பரிமாறவும்.</t>
  </si>
  <si>
    <t>https://www.archanaskitchen.com/images/archanaskitchen/1-Author/nithya.anantham/Vazhakkai_Podimas_Recipe_South_Indian_Style_Plantain_Mash.jpg</t>
  </si>
  <si>
    <t>Beetroot Poriyal-Beetroot Stir Fry</t>
  </si>
  <si>
    <t>பீட்ரூட் பொரியல் - பீட்ரூட் வறுவல்</t>
  </si>
  <si>
    <t xml:space="preserve">  Beetroot – 2 cups heaped ,
   Grated coconut – 1/4 cup,
   Salt needed,
   Oil – 2 tsp,
   Mustard seeds- 1 tsp,
   Urad dal (split) -3/4 tsp,
   Green chillies – 2 slit,
   Hing/Asafoetida – a pinch,
   Curry leaves – few.</t>
  </si>
  <si>
    <t>பீட்ரூட் - 2 கப் குவித்து,
தேங்காய் துருவல் - 1/4 கப்,
உப்பு தேவையான அளவு,
எண்ணெய் - 2 தேக்கரண்டி,
கடுகு - 1 தேக்கரண்டி,
உருளைக்கிழங்கு (பிரித்து) - 3/4 தேக்கரண்டி,
பச்சை மிளகாய் - 2 துண்டுகள்,
பெருங்காயம் / பெருங்காயம் - ஒரு சிட்டிகை,
கறிவேப்பிலை - சிறிது.</t>
  </si>
  <si>
    <t>Heat 2 tsp of oil in a pan or kadai, add mustard seeds, when it splutters, add urad dal and hing.
When urad dal turns golden brown, add green chillies and curry leaves.
Then add the chopped or grated beetroot and salt needed. Cook covered on low heat, stirring from time to time until beetroots become tender. You can sprinkle water in between to prevent it for getting burnt.
Once it is cooked, add grated coconut, mix it well and switch off the heat.
Serve as an accompaniment with rice.</t>
  </si>
  <si>
    <t>ஒரு கடாயில் அல்லது கடாயில் 2 டீஸ்பூன் எண்ணெயை சூடாக்கி, கடுகு சேர்த்து, அது வதங்கியதும், உளுத்தம் பருப்பு மற்றும் பெருங்காயம் சேர்க்கவும்.
உரத்த பருப்பு பொன்னிறமாக மாறியதும், பச்சை மிளகாய் மற்றும் கறிவேப்பிலை சேர்க்கவும்.
பின்னர் நறுக்கிய அல்லது துருவிய பீட்ரூட் மற்றும் தேவையான உப்பு சேர்க்கவும். பீட்ரூட் மென்மையாகும் வரை அவ்வப்போது கிளறி, குறைந்த தீயில் மூடி வைத்து சமைக்கவும். அது எரிவதைத் தடுக்க இடையில் தண்ணீர் தெளிக்கலாம்.
சமைத்தவுடன், துருவிய தேங்காயைச் சேர்த்து, நன்கு கலந்து, தீயை அணைக்கவும்.
சாதத்துடன் ஒரு துணையாகப் பரிமாறவும்.</t>
  </si>
  <si>
    <t>https://vanitascorner.com/wp-content/uploads/2022/12/Beet-poriyal-VC.jpg</t>
  </si>
  <si>
    <t>Thakkali Kai kootu</t>
  </si>
  <si>
    <t>தக்கலி காய் கூட்டு</t>
  </si>
  <si>
    <t>Raw tomatoes or green tomatoes – 1/2 kg,
Tur dal – 1/3 cup,
Turmeric powder -1/4 tsp,
Salt as required,
Oil – 1 tsp,
Bengal gram (kadalai paruppu) – 1 tbsp,
Coriander seeds – 1 tbsp,
Red chillies – 4-5,
Raw rice – 1/2 tsp ,
Grated coconut – 1/4 cup,
Oil -1 tsp,
Mustard – 1 tsp,
Hing – a pinch,
Red chilli – 1,
Curry leaves- few.</t>
  </si>
  <si>
    <t>பச்சை தக்காளி அல்லது பச்சை தக்காளி - 1/2 கிலோ,
துர் பருப்பு - 1/3 கப்,
மஞ்சள் தூள் - 1/4 தேக்கரண்டி,
தேவைக்கேற்ப உப்பு,
எண்ணெய் - 1 தேக்கரண்டி,
வங்காள பருப்பு (கடலை பருப்பு) - 1 தேக்கரண்டி,
கொத்தமல்லி விதைகள் - 1 தேக்கரண்டி,
சிவப்பு மிளகாய் - 4-5,
பச்சை அரிசி - 1/2 தேக்கரண்டி,
தேங்காய் துருவல் - 1/4 கப்,
எண்ணெய் - 1 தேக்கரண்டி,
கடுகு - 1 தேக்கரண்டி,
கீரை - ஒரு சிட்டிகை,
சிவப்பு மிளகாய் - 1,
கறிவேப்பிலை - சிறிது.</t>
  </si>
  <si>
    <t>In a pan, add tomatoes, turmeric powder, needed salt and just enough water to cover the tomatoes. Cook tomatoes till soft.
Then add the grounded paste, cooked dal and bring it to boil.
Season with the ingredients mentioned under seasoning. Check for salt.
Garnish with coriander leaves and serve with rice.</t>
  </si>
  <si>
    <t>ஒரு பாத்திரத்தில், தக்காளி, மஞ்சள் தூள், தேவையான உப்பு மற்றும் தக்காளியை மூடும் அளவுக்கு தண்ணீர் சேர்க்கவும். தக்காளி மென்மையாகும் வரை சமைக்கவும்.
பின்னர் அரைத்த விழுது, சமைத்த பருப்பை சேர்த்து கொதிக்க வைக்கவும்.
தாவரத்தின் கீழ் குறிப்பிடப்பட்டுள்ள பொருட்களுடன் தாளிக்கவும். உப்பு சரிபார்க்கவும்.
கொத்தமல்லி இலைகளால் அலங்கரித்து சாதத்துடன் பரிமாறவும்.</t>
  </si>
  <si>
    <t>https://cuminpeppers.com/wp-content/uploads/2020/02/P2034219_DxO-1024x768.jpg</t>
  </si>
  <si>
    <t>Cabbage Curry with Dal</t>
  </si>
  <si>
    <t>முட்டைக்கோஸ் குழம்பு, பருப்புடன்</t>
  </si>
  <si>
    <t>Cabbage -4 cups shredded,
Channa dal/Bengal gram/Kadalai paruppu-1/4 cup,
Onion -1,
Ginger garlic paste – 1/2 tsp,
Green chilli -4-5,
Turmeric -1/4 tsp,
Chilli powder -3/4 tsp,
Coriander powder – 1 tsp,
Salt as required,
Oil -2 1/2 tsp,
Mustard seeds – 1 tsp,
Curry leaves -few.</t>
  </si>
  <si>
    <t>முட்டைக்கோஸ் - 4 கப் துருவியது,
சன்னா பருப்பு / வங்காள பருப்பு / கடலை பருப்பு - 1/4 கப்,
வெங்காயம் - 1,
இஞ்சி பூண்டு விழுது - 1/2 தேக்கரண்டி,
பச்சை மிளகாய் - 4-5,
மஞ்சள் - 1/4 தேக்கரண்டி,
மிளகாய் தூள் - 3/4 தேக்கரண்டி,
கொத்தமல்லி தூள் - 1 தேக்கரண்டி,
தேவைக்கேற்ப உப்பு,
எண்ணெய் - 2 1/2 தேக்கரண்டி,
கடுகு விதைகள் - 1 தேக்கரண்டி,
கறிவேப்பிலை - சில.</t>
  </si>
  <si>
    <t>Heat oil in a pan or pressure pan, add mustard seeds, when it splutters, add finely chopped onion, slit green chilli, curry leaves and saute till onions turn pink.
Add ginger garlic paste and saute for a few more minutes.
Add shredded cabbage, chilli powder, coriander powder, turmeric powder and salt needed.
Sprinkle water and cook with lid closed on low flame stirring from time to time. Sprinkle more water if needed in between to prevent it from getting burnt.
Once cabbage gets cooked, add the cooked channa dal, mix well and cook for a further 2 minutes. Check for salt. Avoid overcooking it, cook just until slightly tender and not mushy.
Serve cabbage curry with rice or roti or chapati.</t>
  </si>
  <si>
    <t>ஒரு பாத்திரத்தில் அல்லது பிரஷர் பேனில் எண்ணெயைச் சூடாக்கி, கடுகு சேர்த்து, அது வதங்கியதும், இறுதியாக நறுக்கிய வெங்காயம், பச்சை மிளகாய், கறிவேப்பிலை சேர்த்து வெங்காயம் இளஞ்சிவப்பு நிறமாக மாறும் வரை வதக்கவும்.
இஞ்சி பூண்டு விழுது சேர்த்து இன்னும் சில நிமிடங்கள் வதக்கவும்.
துண்டாக்கப்பட்ட முட்டைக்கோஸ், மிளகாய்த்தூள், கொத்தமல்லித் தூள், மஞ்சள் தூள் மற்றும் தேவையான அளவு உப்பு சேர்க்கவும்.
தண்ணீர் தெளித்து, அவ்வப்போது கிளறி, குறைந்த தீயில் மூடி வைத்து சமைக்கவும். தேவைப்பட்டால், கருகாமல் இருக்க இடையில் அதிக தண்ணீர் தெளிக்கவும்.
முட்டைக்கோஸ் வெந்தவுடன், சமைத்த சன்னா பருப்பைச் சேர்த்து, நன்கு கலந்து மேலும் 2 நிமிடங்கள் சமைக்கவும். உப்பு சரிபார்க்கவும். அதிகமாக சமைக்காமல், சிறிது மென்மையாகவும், மென்மையாகவும் இல்லாமல் சமைக்கவும்.
முட்டைக்கோஸ் கறியை சாதம் அல்லது ரொட்டி அல்லது சப்பாத்தியுடன் பரிமாறவும்.</t>
  </si>
  <si>
    <t>https://pepkitchen.com/wp-content/uploads/2016/11/Photo-25-10-16-8-08-20-PM.jpg</t>
  </si>
  <si>
    <t>Parangikai Kootu-Yellow Pumpkin Gravy</t>
  </si>
  <si>
    <t>பரங்கிக்காய் கூட்டு - மஞ்சள் பூசணிக்காய் குழம்பு</t>
  </si>
  <si>
    <t xml:space="preserve"> Yellow Pumpkin – 3 cups chopped,
   Tur dal – 1/3 cup,
   Turmeric powder – a pinch,
   Onion – 2 chopped,
   Tomatoes – 2,
   Ginger – 1 inch piece finely chopped,
   Red chilli -3,
   Whole black Pepper – 1/3 tsp,
   Roasted Peanuts – 1 tbsp,
   Graded coconut -1/4 cup,
   Oil -2 tsp,
   Mustard seeds- 1 tsp,
   Curry leaves – few.</t>
  </si>
  <si>
    <t>மஞ்சள் பூசணிக்காய் - 3 கப் நறுக்கியது,
துவரம் பருப்பு - 1/3 கப்,
மஞ்சள் தூள் - ஒரு சிட்டிகை,
வெங்காயம் - 2 நறுக்கியது,
தக்காளி - 2,
இஞ்சி - 1 அங்குல துண்டு பொடியாக நறுக்கியது,
சிவப்பு மிளகாய் - 3,
முழு கருப்பு மிளகு - 1/3 தேக்கரண்டி,
வறுத்த வேர்க்கடலை - 1 தேக்கரண்டி,
துருவிய தேங்காய் - 1/4 கப்,
எண்ணெய் - 2 தேக்கரண்டி,
கடுகு - 1 தேக்கரண்டி,
கறிவேப்பிலை - சிறிது.</t>
  </si>
  <si>
    <t>Heat oil, add mustard seeds, when it splutters, add onion, ginger, curry leaves and fry until onion turns transparent.
Then add the cooked pumpkin, ground paste, tomato puree, cooked dal, needed salt, mix well and cook on low flame until everything gets blended well.
Serve it with rice or as a side dish for chapati. Enjoy the health benefits of this humble vegetable.</t>
  </si>
  <si>
    <t>எண்ணெயை சூடாக்கி, கடுகு சேர்த்து, அது வதங்கியதும், வெங்காயம், இஞ்சி, கறிவேப்பிலை சேர்த்து வெங்காயம் வெளிப்படையானதாக மாறும் வரை வதக்கவும்.
பின்னர் சமைத்த பூசணிக்காய், அரைத்த விழுது, தக்காளி கூழ், சமைத்த பருப்பு, தேவையான உப்பு சேர்த்து, நன்கு கலந்து, குறைந்த தீயில் எல்லாம் நன்றாக கலக்கும் வரை சமைக்கவும்.
இதை சாதத்துடன் அல்லது சப்பாத்திக்கு ஒரு துணை உணவாக பரிமாறவும். இந்த எளிமையான காய்கறியின் ஆரோக்கிய நன்மைகளை அனுபவிக்கவும்.</t>
  </si>
  <si>
    <t>https://encrypted-tbn0.gstatic.com/images?q=tbn:ANd9GcTdoh_s73zMahICNkq2j-UfBhTPQx_pGVEypg&amp;s</t>
  </si>
  <si>
    <t>Ashgourd Kootu-Poosanikai Puli Kootu</t>
  </si>
  <si>
    <t>பூசணிக்காய் கூட்டு - பூசணிக்காய் புளி கூட்டு</t>
  </si>
  <si>
    <t xml:space="preserve">  Ash Gourd (white pumpkin) – 2 cups chopped,
   Tur dal – 1/4 cup,
   Tamarind – small gooseberry sized ball,
   Brown or white Chick peas (channa/garbanzo beans) – 1/4 cup,
   Turmeric powder – a pinch,
   Salt as required,
   Bengal gram/kadalai paruppu – 1 tbsp,
   Coriander seeds/ malli -1 tbsp,
   Dried Red chilli -3,
   Raw rice – 1 tsp,
   Grated Coconut – 2 tbsp,
   Oil -1 tsp,
   Mustard seeds – 1 tsp,
   Hing/asafoetida – a pinch,
   Curry leaves – a sprig.</t>
  </si>
  <si>
    <t>வெள்ளை பூசணிக்காய் (வெள்ளை பூசணி) - 2 கப் நறுக்கியது,
துரும்பு பருப்பு - 1/4 கப்,
புளி - சிறிய நெல்லிக்காய் அளவு பந்து,
பழுப்பு அல்லது வெள்ளை கொண்டைக்கடலை (சன்னா/கறிவேப்பிலை) - 1/4 கப்,
மஞ்சள் தூள் - ஒரு சிட்டிகை,
தேவைக்கேற்ப உப்பு,
வங்கக்கடலை பருப்பு / கடலை பருப்பு - 1 டீஸ்பூன்,
கொத்தமல்லி விதைகள் / மல்லி - 1 டீஸ்பூன்,
காய்ந்த சிவப்பு மிளகாய் - 3,
பச்சை அரிசி - 1 டீஸ்பூன்,
தேங்காய் துருவல் - 2 டீஸ்பூன்,
எண்ணெய் - 1 டீஸ்பூன்,
கடுகு விதைகள் - 1 டீஸ்பூன்,
கீரை/அசாஃபோடிடா - ஒரு சிட்டிகை,
கறிவேப்பிலை - ஒரு தளிர்.</t>
  </si>
  <si>
    <t>Heat oil, add mustard seeds, hing and curry leaves. When mustard seeds splutters, add the cooked pumpkin pieces.
Add tamarind water, salt and a pinch of turmeric powder.
Boil for sometime till the raw smell of the tamarind goes, then add the ground paste, cooked tur dal and cooked chick peas.
Simmer and cook for a 4-5 minutes or until it thickens slightly. Check for salt. Garnish with coriander leaves and serve hot with rice or chapati.</t>
  </si>
  <si>
    <t>எண்ணெயை சூடாக்கி, கடுகு,ஹிங் மற்றும் கறிவேப்பிலை சேர்க்கவும். கடுகு வதங்கியதும், சமைத்த பூசணிக்காய் துண்டுகளைச் சேர்க்கவும்.
புளி தண்ணீர், உப்பு மற்றும் ஒரு சிட்டிகை மஞ்சள் தூள் சேர்க்கவும்.
புளியின் பச்சை வாசனை போகும் வரை சிறிது நேரம் கொதிக்க வைத்து, பின்னர் அரைத்த விழுது, சமைத்த துவரம்பருப்பு மற்றும் சமைத்த கொண்டைக்கடலையைச் சேர்க்கவும்.
கொதித்து 4-5 நிமிடங்கள் அல்லது சிறிது கெட்டியாகும் வரை சமைக்கவும். உப்பு சரிபார்க்கவும். கொத்தமல்லி இலைகளால் அலங்கரித்து, சாதம் அல்லது சப்பாத்தியுடன் சூடாகப் பரிமாறவும்.</t>
  </si>
  <si>
    <t>https://rakskitchen.net/wp-content/uploads/2009/01/poosanikai-rasavangi.jpg</t>
  </si>
  <si>
    <t>Vegetable Korma for chapati and Pulao</t>
  </si>
  <si>
    <t>சப்பாத்தி மற்றும் புலாவ்விற்கான காய்கறி கோர்மா</t>
  </si>
  <si>
    <t>Onion – 1,
Cauliflower florets -1 cup,
Carrot-Potato-Beans – 1 cup heaped ,
Peas -1/3 cup,
Salt needed,
Turmeric powder -1/4 tsp,
Coriander powder -1 tsp,
Onion -1 (chopped),
Garlic -2,
Ginger -1 inch piece,
Green chillies – 2,
Coriander seeds -1 tsp,
Coconut -1/3 cup,
Fennel seeds (sombu) – 1 tsp,
Fried gram (Pottukadalai) -1 tsp,
 inch cinnamon-1,
 cardamom-2,
 cloves,
Fennel seeds -1/4 tsp,
Oil -1 tbsp.</t>
  </si>
  <si>
    <t>வெங்காயம் – 1,
காலிஃபிளவர் பூக்கள் - 1 கப்,
கேரட்-உருளைக்கிழங்கு-பீன்ஸ் – 1 கப் குவித்து வைக்கவும்,
பட்டாணி - 1/3 கப்,
தேவையான உப்பு,
மஞ்சள் தூள் - 1/4 தேக்கரண்டி,
கொத்தமல்லி தூள் - 1 தேக்கரண்டி,
வெங்காயம் - 1 (நறுக்கியது),
பூண்டு - 2,
இஞ்சி - 1 அங்குல துண்டு,
பச்சை மிளகாய் – 2,
கொத்தமல்லி விதைகள் - 1 தேக்கரண்டி,
தேங்காய் - 1/3 கப்,
வெந்தய விதைகள் (சோம்பு) – 1 தேக்கரண்டி,
பொரித்த பருப்பு (பொட்டுக்கடலை) - 1 தேக்கரண்டி,
இஞ்சல் இலவங்கப்பட்டை-1,
ஏலக்காய்-2,
கிராம்பு,
வெந்தய விதைகள் - 1/4 தேக்கரண்டி,
எண்ணெய் - 1 தேக்கரண்டி.</t>
  </si>
  <si>
    <t>Heat oil in a pan, add whole garam masala, fennel seeds followed by chopped onions. Saute till onions turn transparent.
Then add paste 1 and saute for a few seconds.(since we have already fried it, there is no need to saute for a long time )
Then add all the vegetables.(carrot, beans, peas, potato and cauliflower)
Now add turmeric powder,coriander powder and salt needed .
Add paste 2, little water and cook for a few minutes till everything gets blended well with the masala. You can adjust the consistency of the gravy as per your preferences.
Garnish with coriander leaves and serve hot with pooris or chapati or jeera pulao or ghee rice.</t>
  </si>
  <si>
    <t>ஒரு கடாயில் எண்ணெயை சூடாக்கி, முழு கரம் மசாலா, பெருஞ்சீரகம் விதைகள் சேர்த்து, பின்னர் நறுக்கிய வெங்காயத்தை சேர்த்து வதக்கவும். வெங்காயம் வெளிப்படையானதாக மாறும் வரை வதக்கவும்.
பிறகு பேஸ்ட் 1 சேர்த்து சில நொடிகள் வதக்கவும். (நாம் ஏற்கனவே வறுத்துவிட்டதால், நீண்ட நேரம் வதக்க வேண்டிய அவசியமில்லை)
பின்னர் அனைத்து காய்கறிகளையும் சேர்க்கவும். (கேரட், பீன்ஸ், பட்டாணி, உருளைக்கிழங்கு மற்றும் காலிஃபிளவர்)
இப்போது மஞ்சள் தூள், கொத்தமல்லி தூள் மற்றும் தேவையான உப்பு சேர்க்கவும்.
பேஸ்ட் 2, சிறிது தண்ணீர் சேர்த்து மசாலாவுடன் எல்லாம் நன்றாக கலக்கும் வரை சில நிமிடங்கள் சமைக்கவும். உங்கள் விருப்பங்களுக்கு ஏற்ப கிரேவியின் நிலைத்தன்மையை சரிசெய்யலாம்.
கொத்தமல்லி இலைகளால் அலங்கரித்து பூரி அல்லது சப்பாத்தி அல்லது ஜீரா புலாவ் அல்லது நெய் சாதத்துடன் சூடாக பரிமாறவும்.</t>
  </si>
  <si>
    <t>https://sangskitchen.b-cdn.net/wp-content/uploads/2018/08/Veg-kurma-thumbnail-480x270.jpg</t>
  </si>
  <si>
    <t>Chow Chow Kootu-Chayote Kootu</t>
  </si>
  <si>
    <t>சௌ சௌ கூட்டு-சௌ சௌ கூட்டு</t>
  </si>
  <si>
    <t>Chayote/chow chow – 2 cups chopped,
   Moong dal (split yellow ones) or tur dal – 1/4 cup ,
   Fresh peas – 1/4 cup ,
   Sambar powder – 1 tsp,
   Turmeric powder – a pinch,
   Salt to taste,
   Coconut grated – 3 tbsp,
   Fried gram (chutney kadalai/pottukadalai) – 2 tsp,
   Cumin seeds/jeera -1 tsp,
   Red chilli -1,
   Oil-1 tsp,
   Mustard seeds -1 tsp,
   Urad dal (split urad dal) – 1 tsp,
   Hing/asafoetida – a pinch,
   Curry leaves – little.</t>
  </si>
  <si>
    <t>சௌ சௌ சௌ - 2 கப் நறுக்கியது,
பருப்பு பருப்பு (மஞ்சள் நிறமாகத் துண்டாக்கப்பட்டது) அல்லது துவரம்பருப்பு - 1/4 கப்,
புதிய பட்டாணி - 1/4 கப்,
சாம்பார் பொடி - 1 தேக்கரண்டி,
மஞ்சள் தூள் - ஒரு சிட்டிகை,
ருசிக்க உப்பு,
தேங்காய் துருவியது - 3 தேக்கரண்டி,
வறுத்த பருப்பு (சட்னி கடலை/பொட்டுகடலை) - 2 தேக்கரண்டி,
சீரகம்/ஜீரா - 1 தேக்கரண்டி,
சிவப்பு மிளகாய் - 1,
எண்ணெய் - 1 தேக்கரண்டி,
கடுகு - 1 தேக்கரண்டி,
உரத்த பருப்பு (உரத்த பருப்பு) - 1 தேக்கரண்டி,
ஹிங்/அசாஃபோடிடா - ஒரு சிட்டிகை,
கறிவேப்பிலை - சிறிது.</t>
  </si>
  <si>
    <t>Take a pressure pan or small cooker, add the chopped chayote, soaked dal, sambar powder, turmeric powder, fresh peas, salt needed and pressure cook for 3 whistles.
Once the pressure subsides, open the cooker, add the ground coconut paste, 1/4 cup of water and bring it to boil. Switch off the flame.
Heat a tsp of oil, add mustard seeds, when it splutters, add urad dal, hing and curry leaves. When dal turns golden brown, pour the seasoning over the kootu.
Garnish with coriander leaves and serve hot with rice or roti.</t>
  </si>
  <si>
    <t>ஒரு பிரஷர் பான் அல்லது சிறிய குக்கரை எடுத்து, நறுக்கிய சௌத், ஊறவைத்த பருப்பு, சாம்பார் பொடி, மஞ்சள் தூள், புதிய பட்டாணி, தேவையான உப்பு சேர்த்து 3 விசில் வரை பிரஷர் செய்யவும்.
பிரஷர் குறைந்தவுடன், குக்கரைத் திறந்து, அரைத்த தேங்காய் விழுது, 1/4 கப் தண்ணீர் சேர்த்து கொதிக்க விடவும். தீயை அணைக்கவும்.
ஒரு டீஸ்பூன் எண்ணெயைச் சூடாக்கி, கடுகு சேர்த்து, அது வதங்கியதும், உளுத்தம்பருப்பு, பெருங்காயம் மற்றும் கறிவேப்பிலை சேர்க்கவும். பருப்பு பொன்னிறமாக மாறியதும், கூட்டின் மீது மசாலாப் பொருட்களை ஊற்றவும்.
கொத்தமல்லி இலைகளால் அலங்கரித்து, சாதம் அல்லது ரொட்டியுடன் சூடாகப் பரிமாறவும்.</t>
  </si>
  <si>
    <t>https://www.archanaskitchen.com/images/archanaskitchen/1-Author/nithya.anantham/Chow_Chow_Milagu_Kootu_Recipe_Chayote_Squash_Cooked_in_Peppery_Lentil_Curry.jpg</t>
  </si>
  <si>
    <t>Plantain stem kootu</t>
  </si>
  <si>
    <t>வாழைத்தண்டு கூட்டு</t>
  </si>
  <si>
    <t>Plantain stem –medium size -1,
Tur dal –1/4 cup,
Turmeric powder – a pinch,
Urad dal – 1 tbsp,
Red chilles – 3,
Coconut (grated)– 3 tbsp,
Jeera /cumin seeds – 1 tsp,
Oil -2 tsp,
Salt as required,
Mustard – ¼ tsp,
Urad dal – ¼ tsp,
Curry leaves – little.</t>
  </si>
  <si>
    <t>வாழைத்தண்டு - நடுத்தர அளவு - 1,
துர் பருப்பு - 1/4 கப்,
மஞ்சள் தூள் - ஒரு சிட்டிகை,
துர் பருப்பு - 1 டீஸ்பூன்,
சிவப்பு மிளகாய் - 3,
தேங்காய் (துருவியது) - 3 டீஸ்பூன்,
சீரகம் / சீரகம் - 1 டீஸ்பூன்,
எண்ணெய் - 2 டீஸ்பூன்,
தேவைக்கேற்ப உப்பு,
கடுகு - ¼ டீஸ்பூன்,
துர் பருப்பு - ¼ டீஸ்பூன்,
கறிவேப்பிலை - சிறிதளவு.</t>
  </si>
  <si>
    <t>Heat a tsp of oil in a pan and add the ingredients for seasoning. 
When mustard splutters , drain the buttermilk completely and add chopped plantain stem alone.
 Add turmeric powder, salt and cook till tender. Sprinkle water while cooking to prevent it from getting burnt.
Add the grounded paste, cooked tur dal and bring it to boil .
Garnish with coriander leaves.</t>
  </si>
  <si>
    <t>ஒரு கடாயில் ஒரு டீஸ்பூன் எண்ணெயை சூடாக்கி, தாளிக்க தேவையான பொருட்களைச் சேர்க்கவும்.
கடுகு வெடித்ததும், மோரை முழுவதுமாக வடிகட்டி, நறுக்கிய வாழைத்தண்டு தனியாக சேர்க்கவும்.
மஞ்சள் தூள், உப்பு சேர்த்து மென்மையாகும் வரை சமைக்கவும். சமைக்கும் போது தண்ணீர் தெளித்து எரியாமல் தடுக்கவும்.
அரைத்த விழுது, சமைத்த துர்பருப்பு சேர்த்து கொதிக்க விடவும்.
கொத்தமல்லி இலைகளால் அலங்கரிக்கவும்.</t>
  </si>
  <si>
    <t>https://revi.b-cdn.net/wp-content/uploads/2017/03/banana-stem-poriyal-main-1.jpg</t>
  </si>
  <si>
    <t>Snake Gourd Kootu – Pudalangai Kootu</t>
  </si>
  <si>
    <t>பாம்புக்காய் கூட்டு – புடலங்காய் கூட்டு</t>
  </si>
  <si>
    <t>Snake gourd -1/4 kg,
Tur dal /split yellow moong dal -1/4 cup,
Turmeric powder -1/4 tsp,
Sambar Powder -3/4 tsp,
Oil -2 tsp,
Urad dal -1 tsp,
Coriander seeds – 1 1/2 tsp,
Red chillies – 2,
Whole black pepper – 1/4 tsp,
Grated Coconut -1/4 cup,
Mustard – 1 tsp,
Urad dal -1/2 tsp,
Hing/asafoetida – a pinch,
Curry leaves -few leaves.</t>
  </si>
  <si>
    <t>பாம்புக்காய் - 1/4 கிலோ,
துர் பருப்பு / மஞ்சள் தூள் - 1/4 கப்,
மஞ்சள் தூள் - 1/4 தேக்கரண்டி,
சாம்பார் பொடி - 3/4 தேக்கரண்டி,
எண்ணெய் - 2 தேக்கரண்டி,
துர் பருப்பு - 1 தேக்கரண்டி,
கொத்தமல்லி விதைகள் - 1 1/2 தேக்கரண்டி,
சிவப்பு மிளகாய் - 2,
முழு கருப்பு மிளகு - 1/4 தேக்கரண்டி,
தேங்காய் துருவல் - 1/4 கப்,
கடுகு - 1 தேக்கரண்டி,
துர் பருப்பு - 1/2 தேக்கரண்டி,
கீரை/அசாஃபோடிடா - ஒரு சிட்டிகை,
கறிவேப்பிலை - சில இலைகள்.</t>
  </si>
  <si>
    <t>Cook snake gourd in water, adding salt, turmeric powder and sambar powder till soft. Do not over cook.
Now add the cooked dal and the grounded paste and bring it to boil.
Season the kootu with the ingredients for seasoning. (ie heat oil, add mustard seeds ,when it splutters, add urad dal, hing, curry leaves and add it to the kootu.)</t>
  </si>
  <si>
    <t>பாம்புக்காயை தண்ணீரில் உப்பு, மஞ்சள் தூள் மற்றும் சாம்பார் பொடி சேர்த்து மென்மையாகும் வரை சமைக்கவும். அதிகமாக சமைக்க வேண்டாம்.
இப்போது சமைத்த பருப்பையும் அரைத்த விழுதையும் சேர்த்து கொதிக்க வைக்கவும்.
தாளிக்க தேவையான பொருட்களுடன் கூட்டைத் தாளிக்கவும். (அதாவது எண்ணெயை சூடாக்கி, கடுகு சேர்த்து, அது வதங்கியதும், உளுத்தம்பருப்பு, பெருங்காயம், கறிவேப்பிலை சேர்த்து, கூட்டில் சேர்க்கவும்.)</t>
  </si>
  <si>
    <t>https://i.ytimg.com/vi/Xn292yEWgvI/hq720.jpg?sqp=-oaymwEhCK4FEIIDSFryq4qpAxMIARUAAAAAGAElAADIQj0AgKJD&amp;rs=AOn4CLCNHrd5jFfGk-qp1p4O-yeuSeJlGA</t>
  </si>
  <si>
    <t>Vazhakkai Curry-Plantain Curry</t>
  </si>
  <si>
    <t>வாழைக்காய் கறி - வாழைக்காய் கறி</t>
  </si>
  <si>
    <t>Plantain/vazhakkai -2,
   Chilli Powder -3/4-1 tsp,
   Turmeric Powder -1/4 tsp,
   Salt – as required,
   Oil -3 tbsp,
   Mustard seeds – 1 tsp,
   Asafoetida -a pinch,
   Curry leaves – few leaves.</t>
  </si>
  <si>
    <t>வாழைக்காய்/வழக்கை -2,
மிளகாய் தூள் -3/4-1 தேக்கரண்டி,
மஞ்சள் தூள் -1/4 தேக்கரண்டி,
உப்பு - தேவைக்கேற்ப,
எண்ணெய் -3 தேக்கரண்டி,
கடுகு - 1 தேக்கரண்டி,
அசாஃபோடிடா - ஒரு சிட்டிகை,
கறிவேப்பிலை - சில இலைகள்.</t>
  </si>
  <si>
    <t>Heat oil in a kadai/pan, add mustard seeds, when it splutters, add hing and curry leaves.
 Then add the plantain pieces and cook covered on low fire, stirring from time to time until tender.
 Sprinkle very less water once or twice in between while cooking.</t>
  </si>
  <si>
    <t>ஒரு கடாயில் எண்ணெயை சூடாக்கி, கடுகு சேர்த்து, அது வெடித்ததும், கீல் மற்றும் கறிவேப்பிலை சேர்க்கவும்.
பின் வாழைக்காய் துண்டுகளைச் சேர்த்து, குறைந்த தீயில் மூடி வைத்து, அவ்வப்போது கிளறி, மென்மையாகும் வரை சமைக்கவும்.
சமைக்கும்போது இடையில் ஒன்று அல்லது இரண்டு முறை மிகக் குறைந்த தண்ணீரைத் தெளிக்கவும்.</t>
  </si>
  <si>
    <t>https://www.subbuskitchen.com/wp-content/uploads/2014/05/Raw-Banana-Poriyal_Final1-2.jpgg</t>
  </si>
  <si>
    <t>Karunai Kilangu Masiyal-Tamil Brahmin style</t>
  </si>
  <si>
    <t>கருணை கிழங்கு மசியல் - தமிழ் பிராமண பாணி</t>
  </si>
  <si>
    <t xml:space="preserve"> Yam – 1/4 kg,
   Green chillies – 2 finely chopped,
   Ginger – 1 tbsp finely chopped,
   Fresh Lemon – 1 medium sized ,
   Jaggery – 1 tbsp shaved,
   Salt to taste,
   Oil – 2-3 tsp,
   Mustard seeds- 1/2 tsp,
   Bengal gram/channa dal – 1/2 tsp,
   Urad dal – 1 tsp,
   Hing/Asafoetida – a pinch,
   Red chillies -1-2,
   Curry leaves – a sprig.</t>
  </si>
  <si>
    <t>யாம் - 1/4 கிலோ,
பச்சை மிளகாய் - 2 பொடியாக நறுக்கியது,
இஞ்சி - 1 டீஸ்பூன் பொடியாக நறுக்கியது,
புதிய எலுமிச்சை - 1 நடுத்தர அளவு,
வெல்லம் - 1 டீஸ்பூன் துருவியது,
சுவைக்கு உப்பு,
எண்ணெய் - 2-3 டீஸ்பூன்,
கடுகு - 1/2 டீஸ்பூன்,
வங்காள பருப்பு / சன்னா பருப்பு - 1/2 டீஸ்பூன்,
உளுத்தம் பருப்பு - 1 டீஸ்பூன்,
பெருங்காயம் - ஒரு சிட்டிகை,
சிவப்பு மிளகாய் - 1-2,
கறிவேப்பிலை - ஒரு கிளை.</t>
  </si>
  <si>
    <t>Heat oil in a pan, add mustard seeds, when it splutters, add bengal gram dal (kadalai paruppu in Tamil) followed by urad dal, hing, red chillies and curry leaves.
When dal turns golden brown, add finely chopped green chillies, ginger and saute for a few minutes.
Add mashed yam, jaggery, salt needed and 1/4 cup of water or as required. You can adjust the consistency of the masiyal as per your personal preference, by adding less or more water. Simmer and cook for 3-4 minutes.
Squeeze juice of a lemon and mix it well.
Garnish it with coriander leaves and serve as a side dish for rice.</t>
  </si>
  <si>
    <t>ஒரு கடாயில் எண்ணெயை சூடாக்கி, கடுகு சேர்த்து, அது வதங்கியதும், பெங்கால் பருப்பு (தமிழில் கடலை பருப்பு) சேர்த்து, பின்னர் உளுத்தம் பருப்பு, பெருங்காயம், சிவப்பு மிளகாய் மற்றும் கறிவேப்பிலை சேர்க்கவும்.
பருப்பு பொன்னிறமாக மாறியதும், பொடியாக நறுக்கிய பச்சை மிளகாய், இஞ்சி சேர்த்து சில நிமிடங்கள் வதக்கவும்.
மசித்த சேனைக்கிழங்கு, வெல்லம், தேவையான அளவு உப்பு மற்றும் 1/4 கப் தண்ணீர் அல்லது தேவைக்கேற்ப சேர்க்கவும். உங்கள் விருப்பத்திற்கு ஏற்ப, குறைவாகவோ அல்லது அதிகமாகவோ தண்ணீரைச் சேர்ப்பதன் மூலம் மசியலின் நிலைத்தன்மையை சரிசெய்யலாம். 3-4 நிமிடங்கள் கொதிக்க வைத்து சமைக்கவும்.
எலுமிச்சை சாற்றை பிழிந்து நன்கு கலக்கவும்.
கொத்தமல்லி இலைகளால் அலங்கரித்து, சாதத்திற்கு ஒரு துணை உணவாகப் பரிமாறவும்.</t>
  </si>
  <si>
    <t>https://tingleurtastebuds.com/wp-content/uploads/2016/01/img_9046.jpg</t>
  </si>
  <si>
    <t>Keerai Kootu-Mulai Keerai Kootu</t>
  </si>
  <si>
    <t>கீரை கூட்டு-முளை கீரை கூட்டு</t>
  </si>
  <si>
    <t xml:space="preserve">  Mulai keerai/ Amaranth Leaves -2 bunches,
   Split yellow moong dal/pasi paruppu – 1/4 cup,
   Turmeric powder – a pinch,
   Coconut (grated) -3 tbsp,
   Cumin seeds -3/4 tsp,
   Red chillies – 1- 2,
   Raw Rice or rice flour -1/2 tsp,
   Oil -1 tsp,
   Mustard – ½ tsp,
   Urad dal -1/2 tsp,
   Red chilli -1,
   Asafoetida/hing – a pinch.</t>
  </si>
  <si>
    <t>முல்லை கீரை/ அமராந்த் இலைகள் - 2 கொத்துகள், 
மஞ்சள் மூங்கில் பருப்பு/பாசி பருப்பு - 1/4 கப், 
மஞ்சள் தூள் - ஒரு சிட்டிகை, 
தேங்காய் (துருவியது) - 3 டீஸ்பூன், 
சீரகம் - 3/4 தேக்கரண்டி, 
சிவப்பு மிளகாய் - 1-2, 
பச்சை அரிசி அல்லது அரிசி மாவு - 1/2 தேக்கரண்டி, 
எண்ணெய் - 1 டீஸ்பூன், 
கடுகு - ½ தேக்கரண்டி, 
உளுத்தம் பருப்பு - 1/2 டீஸ்பூன், 
சிவப்பு மிளகாய் - 1, 
பெருங்காயம்/கீல் - ஒரு சிட்டிகை.</t>
  </si>
  <si>
    <t>Bring 1/2 cup of water to boil, add chopped greens, salt and cook until soft. Mash it well.
Add the ground paste, cooked dal and simmer for another 3-4 minutes.
Heat a tsp of oil, add mustard seeds, when it splutters, add urad dal, red chilli and hing. When dal turns golden brown, pour the seasoning over the kootu.
Serve with rice (rasam or sambar sadam).This kootu tastes delicious when mixed with hot steamed rice topped with a tsp of ghee.
 Potato curry goes well with this keerai sadam. Kids will love it very much.</t>
  </si>
  <si>
    <t>1/2 கப் தண்ணீர் கொதிக்க வைத்து, நறுக்கிய கீரைகள், உப்பு சேர்த்து மென்மையாகும் வரை சமைக்கவும். நன்றாக மசிக்கவும்.
அரைத்த விழுது, சமைத்த பருப்பை சேர்த்து மேலும் 3-4 நிமிடங்கள் கொதிக்க வைக்கவும்.
ஒரு டீஸ்பூன் எண்ணெயை சூடாக்கி, கடுகு சேர்த்து, அது வதங்கியதும், உளுத்தம் பருப்பு, சிவப்பு மிளகாய் மற்றும் ஹிங் சேர்க்கவும். பருப்பு பொன்னிறமாக மாறியதும், கூட்டு மீது மசாலாப் பொருட்களை ஊற்றவும்.
சாதத்துடன் (ரசம் அல்லது சாம்பார் சாதம்) பரிமாறவும். சூடான வேகவைத்த சாதத்துடன் ஒரு தேக்கரண்டி நெய் சேர்த்து இந்தக் கூத்தை கலக்கும்போது சுவையாக இருக்கும்.
உருளைக்கிழங்கு கறி இந்தக் கீரை சாதத்துடன் நன்றாகப் பொருந்தும். குழந்தைகள் இதை மிகவும் விரும்புவார்கள்.</t>
  </si>
  <si>
    <t>https://encrypted-tbn0.gstatic.com/images?q=tbn:ANd9GcR-BZUVHY8s_IOIFMDN9fhHdbSSxCiy4WmDzg&amp;s</t>
  </si>
  <si>
    <t>Vazhaithandu Mor Kootu</t>
  </si>
  <si>
    <t>வாழைத்தண்டு மோர் கூட்டு</t>
  </si>
  <si>
    <t>Plantain stem/Vazhaithandu – 2 cups finely chopped
   Curd/Plain yogurt – 1 cup whisked
   For grinding
   Grated Coconut -1/4 cup
   Jeera /cumin seeds -1 tsp
   Green chillies – 1-2
   Fried gram (pottukadalai) or rice flour or raw rice – 1 tsp (you can use either one for thickening)
   For the seasoning
   Mustard seeds -1 tsp
   Curry Leaves -few</t>
  </si>
  <si>
    <t>வாழைத்தண்டு தண்டு/வாழைத்தண்டு – 2 கப்,
தயிர்/வெற்று தயிர் – 1 கப்,
தேங்காய் துருவல் - 1/4 கப்,
சீரகம்/சீரகம் – 1 தேக்கரண்டி,
பச்சை மிளகாய் – 1-2,
பொட்டுக்கடலை அல்லது அரிசி மாவு அல்லது பச்சரிசி – 1 தேக்கரண்டி,
கடுகு விதைகள் – 1 தேக்கரண்டி,
கறிவேப்பிலை – சில.</t>
  </si>
  <si>
    <t>Heat a tsp of oil, add mustard seeds, when it splutters, add curry leaves, finely chopped plantain stem, salt, turmeric powder and cook until tender.
 Sprinkle water and stir now and then to prevent it from getting burnt.
Once cooked, add curd, ground paste, mix well and bring it to boil.
Vazhai thandu kootu is ready. It can be served as a side dish for rice.</t>
  </si>
  <si>
    <t>ஒரு தேக்கரண்டி எண்ணெயை சூடாக்கி, கடுகு சேர்த்து, அது வெடித்ததும், கறிவேப்பிலை, இறுதியாக நறுக்கிய வாழைத்தண்டு, உப்பு, மஞ்சள் தூள் சேர்த்து மென்மையாகும் வரை சமைக்கவும்.
தண்ணீர் தெளித்து, அவ்வப்போது கிளறி, அது எரியாமல் தடுக்கவும்.
சமைத்தவுடன், தயிர், அரைத்த விழுது சேர்த்து நன்கு கலந்து கொதிக்க விடவும்.
வாழைத்தண்டு கூட்டு தயார். இதை சாதத்திற்கு ஒரு துணை உணவாக பரிமாறலாம்.</t>
  </si>
  <si>
    <t>https://www.archanaskitchen.com/images/archanaskitchen/1-Author/nithya.anantham/Vazhaithandu_Mor_Kootu_Recipe_Tamilnadu_Style_Banana_Stem_Recipe.jpg</t>
  </si>
  <si>
    <t>Vendakkai Puli Kootu</t>
  </si>
  <si>
    <t>வெண்டைக்காய் புளி கூட்டு</t>
  </si>
  <si>
    <t>Ladies finger – ½ kg ,
Ripe tomatoes – 3 medium size ,
Green chillies – 3 slit,
Tamarind – small gooseberry sized ball,
Sambar powder – 2 tsp,
Turmeric powder – 1/4 tsp,
Salt as needed,
Rice flour – 1 tsp,
Oil – 3 tbsp,
Mustard seeds – 1 tsp,
Hing – a pinch,
Curry leaves – a sprig.</t>
  </si>
  <si>
    <t>பெண்கள் விரல் - ½ கிலோ,
பழுத்த தக்காளி - 3 நடுத்தர அளவு,
பச்சை மிளகாய் - 3 துண்டுகள்,
புளி - சிறிய நெல்லிக்காய் அளவு பந்து,
சாம்பார் பொடி - 2 தேக்கரண்டி,
மஞ்சள் பொடி - 1/4 தேக்கரண்டி,
தேவைக்கேற்ப உப்பு,
அரிசி மாவு - 1 தேக்கரண்டி,
எண்ணெய் - 3 தேக்கரண்டி,
கடுகு விதைகள் - 1 தேக்கரண்டி,
கீரை - ஒரு சிட்டிகை,
கறிவேப்பிலை - ஒரு தளிர்.</t>
  </si>
  <si>
    <t>Heat oil in a kadai, add mustard seeds, when it splutters, add hing and curry leaves.
Then add ladies finger, turmeric powder, sambar powder, green chillies, salt needed and cook on medium heat.
When the ladies finger is three fourth cooked, add finely chopped tomatoes and cook for 2-3 minutes.
Then add diluted tamarind extract and boil well on medium heat till the raw flavor goes.
Mix 1 tsp of rice flour with 1/4 cup of water without lumps. It is added to thicken the kootu slightly. Add the rice flour mixture to the kootu and cook on medium heat for another 5 minutes.
Turn off the heat. The consistency of this vendakkai kootu should neither be thick nor too thin.
Garnish with finely chopped coriander leaves and serve as a side dish for  rasam or sambar or you can make any thogayal along with this. Thuvaiyal and kootu is a good combination.</t>
  </si>
  <si>
    <t>ஒரு கடாயில் எண்ணெயை சூடாக்கி, கடுகு சேர்த்து, அது வதங்கியதும், கீரை மற்றும் கறிவேப்பிலை சேர்க்கவும்.
பின்னர் வெண்டைக்காய், மஞ்சள் தூள், சாம்பார் பொடி, பச்சை மிளகாய், தேவையான அளவு உப்பு சேர்த்து மிதமான தீயில் வதக்கவும்.
பெண் விரல் மூன்றில் ஒரு பங்கு வெந்ததும், பொடியாக நறுக்கிய தக்காளியை சேர்த்து 2-3 நிமிடங்கள் வதக்கவும்.
பின்னர் நீர்த்த புளி சாற்றைச் சேர்த்து, பச்சை வாசனை போகும் வரை மிதமான தீயில் நன்கு கொதிக்க விடவும்.
1 டீஸ்பூன் அரிசி மாவுடன் 1/4 கப் தண்ணீர் சேர்த்து கட்டிகள் இல்லாமல் கலக்கவும். கூட்டு சிறிது கெட்டியாக இருக்க இது சேர்க்கப்படுகிறது. கூட்டுடன் அரிசி மாவு கலவையை சேர்த்து மிதமான தீயில் மேலும் 5 நிமிடங்கள் சமைக்கவும்.
தீயை அணைக்கவும். இந்த வெண்டைக்காய் கூத்தின் நிலைத்தன்மை கெட்டியாகவோ அல்லது மிக மெல்லியதாகவோ இருக்கக்கூடாது.
நன்றாக நறுக்கிய கொத்தமல்லி இலைகளால் அலங்கரித்து ரசம் அல்லது சாம்பாருக்கு ஒரு பக்க உணவாக பரிமாறவும் அல்லது இதனுடன் எந்த தோகையலை வேண்டுமானாலும் செய்யலாம். துவையல் மற்றும் கூட்டு ஒரு நல்ல கலவை.</t>
  </si>
  <si>
    <t>https://i0.wp.com/www.chitrasfoodbook.com/wp-content/uploads/2011/06/Vendakkai-puli-kuzhambu-without-coconut.jpg?ssl=1</t>
  </si>
  <si>
    <t>Sorakkai Kootu-Bottle Gourd Kootu</t>
  </si>
  <si>
    <t>சொரக்காய் கூட்டு-குப்பி பூசணிக்காய் கூட்டு</t>
  </si>
  <si>
    <t xml:space="preserve"> Bottle gourd -Cubed 3 cups full,
   Moong dal/pasi paruppu -3 tbsp,
   Sambar powder – 1 1/2 tsp,
   Salt as required,
   Grated Coconut -2 tbsp,
   Cumin seeds/Jeera -1 tsp,
   Fried gram/chutney kadalai – 1/2 tbsp,
   Mustard seeds-1/2 tsp,
   Urad dal – 1/2 tsp,
   Red chilli -1,
   Asafoetida/hing – a pinch,
   Curry leaves -little.</t>
  </si>
  <si>
    <t>சுரைக்காய் - க்யூப்ஸ் 3 கப் நிரம்பியது, 
பருப்பு/பாசி பருப்பு - 3 டீஸ்பூன், 
சாம்பார் பொடி - 1 1/2 டீஸ்பூன், 
தேவையான அளவு உப்பு, 
துருவிய தேங்காய் - 2 டீஸ்பூன், 
சீரகம் / ஜீரா - 1 தேக்கரண்டி, 
வறுத்த பருப்பு / சட்னி கடலை - 1/2 டீஸ்பூன், 
கடுகு - 1/2 தேக்கரண்டி, 
உளுத்தம் பருப்பு - 1/2 டீஸ்பூன், 
சிவப்பு மிளகாய் - 1, 
பெருங்காயம்/கீல் - ஒரு சிட்டிகை, 
கறிவேப்பிலை - சிறிதளவு.</t>
  </si>
  <si>
    <t>In a pressure pan, add the chopped bottle gourd, salt, sambar powder, moong dal, needed water and pressure cook for 2 whistles.
Add the ground paste and simmer for a few minutes.
Heat 1 tsp of oil, add mustard seeds, when it splutters, add urad dal, red chilli, hing and curry leaves. When dal turns golden brown, pour the seasoning over the kootu.
Serve hot with rice or chappati or roti.</t>
  </si>
  <si>
    <t>https://i.ytimg.com/vi/oYQY2wFY9-U/maxresdefault.jpg</t>
  </si>
  <si>
    <t>Avial Aviyal</t>
  </si>
  <si>
    <t>Curd – 1 -1 1/4 cup,
   Turmeric Powder – a pinch,
   Salt as required,
   White Pumpkin -1 – 1 1/4 cup ,
   Carrot- 1,
   Beans- 6-7,
   Raw Plantain -1 medium size ,
   Potato-1 medium size,
   Chow-chow-1 cup chopped,
   Brinjal-1,
   Colocasia- 2 ,
   Drumstick-1,
   Yam (senai)- 1/4 cup chopped,
   Cluster beans – 6-7,
   Grated Coconut -1/2 cup,
   Green chillies -4-5,
   Jeera / cumin seeds- 1 tsp,
   Rice flour -1/2 tsp ,
   Coconut oil – 2 tsp,
   Curry leaves -little.</t>
  </si>
  <si>
    <t>தயிர் - 1 -1 1/4 கப்,
மஞ்சள் தூள் - ஒரு சிட்டிகை,
தேவைக்கேற்ப உப்பு,
வெள்ளை பூசணி -1 - 1 1/4 கப்,
கேரட்-1,
பீன்ஸ்-6-7,
பச்சை வாழைப்பழம் -1 நடுத்தர அளவு,
உருளைக்கிழங்கு-1 நடுத்தர அளவு,
சௌ-சௌ-1 கப் நறுக்கியது,
கத்தரிக்காய்-1,
கொலோகாசியா-2,
முருங்கைக்காய்-1,
சேனை (சேனை)- 1/4 கப் நறுக்கியது,
கொத்தமல்லி பீன்ஸ் - 6-7,
தேங்காய் துருவல் -1/2 கப்,
பச்சை மிளகாய் -4-5,
சீரகம் / சீரகம்- 1 தேக்கரண்டி,
அரிசி மாவு -1/2 தேக்கரண்டி,
தேங்காய் எண்ணெய் - 2 தேக்கரண்டி,
கறிவேப்பிலை -சிறிதளவு.</t>
  </si>
  <si>
    <t>Pressure cook all the other vegetables with just enough water adding turmeric powder and salt required.
 Do not overcook.(1 whistle is enough). If there is water in the cooked vegetables, strain it and use it to grind the coconut mixture.
Then add the cooked pumpkin, plantain and colocasia to the pressure cooked vegetables after draining the water.
Mix the ground paste with curd well.
Mix the curd (with the ground paste of coconut +jeera+green chilli + rice flour) to the boiled vegetables, add salt needed and cook for 3-4 minutes on medium flame. Switch off the flame.
Heat 2 tsp of coconut oil, add curry leaves, saute for a second and pour it over the aviyal. Garnish with coriander leaves.
 Tasty South Indian (Tamil style) aviyal is ready to be served.
Aviyal goes well with adai and vathal kuzhambu</t>
  </si>
  <si>
    <t>மற்ற அனைத்து காய்கறிகளையும் போதுமான அளவு தண்ணீர் சேர்த்து மஞ்சள் தூள் மற்றும் உப்பு சேர்த்து வேக வைக்கவும்.
அதிகமாக வேகவிடாதீர்கள். (1 விசில் போதும்). சமைத்த காய்கறிகளில் தண்ணீர் இருந்தால், அதை வடிகட்டி தேங்காய் கலவையை அரைக்கவும்.
பின்னர் சமைத்த பூசணி, வாழைப்பழம் மற்றும் கோலோகாசியாவை தண்ணீரை வடிகட்டிய பிறகு அழுத்தமாக சமைத்த காய்கறிகளுடன் சேர்க்கவும்.
அரைத்த விழுதை தயிருடன் நன்கு கலக்கவும்.
தயிரை (தேங்காய் + சீரகம் + பச்சை மிளகாய் + அரிசி மாவு அரைத்த விழுதுடன்) வேகவைத்த காய்கறிகளுடன் கலந்து, தேவையான உப்பு சேர்த்து 3-4 நிமிடங்கள் மிதமான தீயில் சமைக்கவும். தீயை அணைக்கவும்.
2 தேக்கரண்டி தேங்காய் எண்ணெயை சூடாக்கி, கறிவேப்பிலை சேர்த்து, ஒரு நொடி வதக்கி, அவியலின் மேல் ஊற்றவும். கொத்தமல்லி இலைகளால் அலங்கரிக்கவும்.
சுவையான தென்னிந்திய (தமிழ் பாணி) அவியல் பரிமாற தயாராக உள்ளது.
அடை மற்றும் வத்தல் குழம்புவுடன் அவியல் நன்றாகச் செல்லும்.</t>
  </si>
  <si>
    <t>https://masalachilli.com/wp-content/uploads/2018/02/Avial-3-500x500.jpg</t>
  </si>
  <si>
    <t>Plantain Flower Kootu ( Vazhai poo kootu)</t>
  </si>
  <si>
    <t>வாழைப்பூ கூட்டு (வாழைப்பூ கூட்டு)</t>
  </si>
  <si>
    <t xml:space="preserve"> Plantain flower-1,
   Tur dal-1/4 cup,
   Tamarind -small gooseberry sized ball,
   Turmeric Powder -1/4 tsp,
   Channa (chick peas) -handful or 1/4 cup,
   Salt to taste,
   Channa dal or bengal gram-1 tbsp,
   Coriander seeds-1 tbsp,
   Red chillies-4,
   Raw rice -1 tsp,
   Coconut -3 tbsp,
   Oil -2 tsp,
   Mustard -1/2 tsp,
   Asafoetida/hing- a pinch,
   Curry leaves-little.</t>
  </si>
  <si>
    <t>வாழைப்பூ - 1,
துரும்பு - 1/4 கப்,
புளி - சிறிய நெல்லிக்காய் அளவு பந்து,
மஞ்சள் தூள் - 1/4 தேக்கரண்டி,
சன்னா (கடலை) - ஒரு கைப்பிடி அல்லது 1/4 கப்,
சுவைக்கு உப்பு,
சன்னா பருப்பு அல்லது வங்காள பருப்பு - 1 தேக்கரண்டி,
கொத்தமல்லி விதைகள் - 1 தேக்கரண்டி,
சிவப்பு மிளகாய் - 4,
பச்சை அரிசி - 1 தேக்கரண்டி,
தேங்காய் - 3 தேக்கரண்டி,
எண்ணெய் - 2 தேக்கரண்டி,
கடுகு - 1/2 தேக்கரண்டி,
பெருங்காயம்/கீரை - ஒரு சிட்டிகை,
கறிவேப்பிலை - சிறிது.</t>
  </si>
  <si>
    <t>Now we have cooked plantain flower, cooked dal and channa and the ground paste ready. We will proceed to make vazhaipoo kootu.
Heat 2 tsp of oil in a kadai, add mustard seeds, when it splutters, add hing and curry leaves.
Then add the cooked banana flower and the tamarind extract.
Boil well until the raw flavor of the tamarind goes.
Then add the cooked tur dal, cooked channa, ground paste and boil for a few more minutes on medium flame.
Turn off the heat and garnish it with finely chopped coriander leaves. 
Serve hot with rice or as an accompaniment to rice.</t>
  </si>
  <si>
    <t>இப்போது சமைத்த வாழைப்பூ, சமைத்த பருப்பு மற்றும் சன்னா மற்றும் அரைத்த விழுது தயாராக உள்ளது. வாழைப்பூ கூட்டு செய்ய தொடர்வோம்.
ஒரு கடாயில் 2 தேக்கரண்டி எண்ணெயை சூடாக்கி, கடுகு சேர்த்து, அது வதங்கியதும், கீரை மற்றும் கறிவேப்பிலை சேர்க்கவும்.
பின்னர் சமைத்த வாழைப்பூ மற்றும் புளி சாறு சேர்க்கவும்.
புளியின் பச்சை வாசனை போகும் வரை நன்கு கொதிக்க விடவும்.
பின்னர் சமைத்த துவரம் பருப்பு, சமைத்த சன்னா, அரைத்த விழுது சேர்த்து மிதமான தீயில் இன்னும் சில நிமிடங்கள் கொதிக்க வைக்கவும்.
அடுப்பை அணைத்து, இறுதியாக நறுக்கிய கொத்தமல்லி இலைகளால் அலங்கரிக்கவும்.
சூடாக அரிசியுடன் அல்லது சாதத்திற்கு ஒரு துணையாக பரிமாறவும்.</t>
  </si>
  <si>
    <t>https://i.ytimg.com/vi/m4tjtylJt1g/sddefault.jpg</t>
  </si>
  <si>
    <t>Keerai Masiyal</t>
  </si>
  <si>
    <t>கீரை மசியல்</t>
  </si>
  <si>
    <t>Keerai -arai keerai, mulai keerai or siru keerai -3 bunches,
   Jeera/Cumin seeds -1 tsp,
   Salt as required,
   Mustard -1/2 tsp,
   Urad dal -1/2 tsp,
   Red chillies -3,
   Hing/Asafoetida -a pinch.</t>
  </si>
  <si>
    <t>கீரை -அரை கீரை, முளை கீரை அல்லது சிறு கீரை -3 கொத்துகள், 
ஜீரா/சீரகம் - 1 டீஸ்பூன், 
உப்பு தேவைக்கு, 
கடுகு - 1/2 டீஸ்பூன், 
உளுத்தம் பருப்பு - 1/2 தேக்கரண்டி, 
சிவப்பு மிளகாய் - 3, 
கீல்/அசாஃபோடிடா - ஒரு சிட்டிகை.</t>
  </si>
  <si>
    <t>Cook uncovered with a little water, adding a tsp of jeera to it. Cooking uncovered helps to retain the green color.
Stain the water from the keerai, mash it well and add salt as required.
Heat a tsp of oil, add mustard seeds, when it splutters, add urad dal, red chillies and hing.
 When dal turns golden brown, pour the seasoning over the keerai.
This keerai masiyal goes well with hot steamed rice topped with a tsp of ghee and also as a side dish for sambar and rasam rice.</t>
  </si>
  <si>
    <t>மூடி இல்லாமல் சிறிது தண்ணீர் சேர்த்து சமைக்கவும், ஒரு தேக்கரண்டி சீரகம் சேர்க்கவும். மூடி இல்லாமல் சமைப்பது பச்சை நிறத்தைத் தக்கவைக்க உதவும்.
கீரையிலிருந்து தண்ணீரைக் கறைப்படுத்தி, நன்கு மசித்து, தேவைக்கேற்ப உப்பு சேர்க்கவும்.
ஒரு தேக்கரண்டி எண்ணெயைச் சூடாக்கி, கடுகு சேர்த்து, அது வெடித்ததும், உளுத்தம் பருப்பு, சிவப்பு மிளகாய் மற்றும் பெருங்காயம் சேர்க்கவும்.
பருப்பு பொன்னிறமாக மாறியதும், தாளிக்கும் பொருளை கீரையின் மேல் ஊற்றவும்.
இந்த கீரை மசியல் சூடான வேகவைத்த சாதத்துடன் நன்றாகச் செல்லும், மேலும் ஒரு தேக்கரண்டி நெய்யுடன் சாம்பார் மற்றும் ரசம் சாதத்திற்கு ஒரு துணை உணவாகவும் இருக்கும்.</t>
  </si>
  <si>
    <t>https://www.yummytummyaarthi.com/wp-content/uploads/2022/07/keerai-masiyal-1.jpg</t>
  </si>
  <si>
    <t>https://youtu.be/JKv_QtTP9I8</t>
  </si>
  <si>
    <t>Jain Base Gravy</t>
  </si>
  <si>
    <t>ஜெயின் பேஸ் கிரேவி</t>
  </si>
  <si>
    <t>Happikery</t>
  </si>
  <si>
    <t xml:space="preserve"> Water,
 Tomato Paste,
 Sunflower Oil,
 Milk,
 Cream,
 Cashew Nuts,
 Cow Butter,
 Red Chilli Powder,
 Sugar,
 Garam Masala,
 Salt,
 Green Chilli Paste,
 Coriander Powder,
 Fenugreek Leaves, 
 Spices
 and Condiments.
</t>
  </si>
  <si>
    <t>தண்ணீர்,
தக்காளி விழுது,
சூரியகாந்தி எண்ணெய்,
பால்,
 கிரீம்,
முந்திரி பருப்பு,
மாட்டு வெண்ணெய்,
சிவப்பு மிளகாய் தூள்,
சர்க்கரை,
கரம் மசாலா,
உப்பு,
பச்சை மிளகாய் விழுது,
கொத்தமல்லி தூள்,
வெந்தய இலைகள்,
மசாலாக்கள்
மற்றும் மசாலாப் பொருட்கள்.</t>
  </si>
  <si>
    <t>Cut the pouch and empty the contents into a pan. Add very little water. Heat for 2-3 minutes while stirring.
OR
Cut pouch. Empty contents into a microwave container. Add very little water. Heat for 2 minutes. Do not heat the pouch
 directly in the microwave. 
OR
Immerse the pouch into boiling water for 3-5 minutes. Remove. Cut and stir.</t>
  </si>
  <si>
    <t>பையை வெட்டி, அதில் உள்ளவற்றை ஒரு பாத்திரத்தில் ஊற்றவும். மிகக் குறைந்த அளவு தண்ணீரைச் சேர்க்கவும். கிளறும்போது 2-3 நிமிடங்கள் சூடாக்கவும்.
அல்லது
பையை வெட்டுங்கள். மைக்ரோவேவ் கொள்கலனில் உள்ளவற்றை காலி செய்யவும். மிகக் குறைந்த அளவு தண்ணீரைச் சேர்க்கவும். 2 நிமிடங்கள் சூடாக்கவும். பையை சூடாக்க வேண்டாம்
நேரடியாக மைக்ரோவேவில் வைக்கவும்.
அல்லது
பையை கொதிக்கும் நீரில் 3-5 நிமிடங்கள் மூழ்க வைக்கவும். வெளியே எடுக்கவும். வெட்டி கிளறவும்.
ஒவ்வாமை ஆலோசனைகள்;.
பால் மற்றும் பால் பொருட்கள் உள்ளன. கொட்டைகளும் உள்ளன, மேலும் பால் பொருட்கள் மற்றும் கொட்டைகளை பதப்படுத்தும் வசதியில் பதப்படுத்தப்படுகிறது.</t>
  </si>
  <si>
    <t>https://happikery.com/cdn/shop/files/WhatsApp_Image_2024-10-08_at_15.49.04_e2592175.jpg</t>
  </si>
  <si>
    <t>Korma base gray</t>
  </si>
  <si>
    <t>கோர்மா பேஸ் கிரேவி</t>
  </si>
  <si>
    <t xml:space="preserve">Milk,
 Curd,
 Water,
 Onion Paste,
 Fried Onion,
 Cow Ghee,
 Tomato Paste, 
Ginger Paste,
 Garlic Paste,
 Sunflower Oil, 
Cashew Nuts,
 Salt, Sugar,
 Red Chili Powder,
 Cumin Powder,
 Spices
 And Condiments.
 </t>
  </si>
  <si>
    <t>பால்,
தயிர்,
தண்ணீர்,
வெங்காய விழுது,
வறுத்த வெங்காயம்,
பசு நெய்,
தக்காளி விழுது,
இஞ்சி விழுது,
பூண்டு விழுது,
சூரியகாந்தி எண்ணெய்,
முந்திரி பருப்பு,
உப்பு, சர்க்கரை,
சிவப்பு மிளகாய் தூள்,
சீரகத்தூள்,
மசாலாப் பொருட்கள்
மற்றும் மசாலாப் பொருட்கள்.</t>
  </si>
  <si>
    <t xml:space="preserve">Cut the pouch and empty the contents into a pan. Add very little water. Heat for 2-3 minutes while stirring. 
OR
Cut pouch. Empty contents into a microwave container. Add very little water. Heat for 2 minutes. Do not heat the pouch
 directly in the microwave.
OR
Immerse the pouch into boiling water for 3-5 minutes. Remove. Cut and stir.
</t>
  </si>
  <si>
    <t>பையை வெட்டி, அதில் உள்ளவற்றை ஒரு பாத்திரத்தில் ஊற்றவும். மிகக் குறைந்த அளவு தண்ணீரைச் சேர்க்கவும். கிளறும்போது 2-3 நிமிடங்கள் சூடாக்கவும்.
அல்லது
பையை வெட்டுங்கள். மைக்ரோவேவ் கொள்கலனில் உள்ளவற்றை காலி செய்யவும். மிகக் குறைந்த அளவு தண்ணீரைச் சேர்க்கவும். 2 நிமிடங்கள் சூடாக்கவும். பையை நேரடியாக மைக்ரோவேவில் சூடாக்க வேண்டாம்.
அல்லது
பையை கொதிக்கும் நீரில் 3-5 நிமிடங்கள் மூழ்க வைக்கவும். அகற்றவும். வெட்டி கிளறவும்.
ஒவ்வாமை ஆலோசனைகள்;.
பால் மற்றும் பால் பொருட்கள் உள்ளன. கொட்டைகளும் உள்ளன, மேலும் பால் பொருட்கள் மற்றும் கொட்டைகளை பதப்படுத்தும் வசதியில் பதப்படுத்தப்படுகிறது.</t>
  </si>
  <si>
    <t>https://happikery.com/cdn/shop/files/WhatsApp_Image_2024-10-08_at_15.47.32_5faa8a5f.jpg</t>
  </si>
  <si>
    <t>Makhani Base Gravy</t>
  </si>
  <si>
    <t>மக்கானி பேஸ் கிரேவி</t>
  </si>
  <si>
    <t xml:space="preserve">Water,
Cashew Nuts, 
Onion,
Tomato Paste,
Sunflower Oil,
Sugar,
Cow Butter, 
Red Chilli Powder,
Salt,
Garlic Paste,
Ginger Paste,
Spices
And Condiments.  </t>
  </si>
  <si>
    <t>தண்ணீர்,
முந்திரி பருப்பு,
வெங்காயம்,
தக்காளி விழுது,
சூரியகாந்தி எண்ணெய்,
சர்க்கரை,
மாட்டு வெண்ணெய்,
சிவப்பு மிளகாய் தூள்,
உப்பு,
பூண்டு விழுது,
இஞ்சி விழுது,
மசாலாப் பொருட்கள்
மற்றும் மசாலாப் பொருட்கள்.</t>
  </si>
  <si>
    <t>Cut the pouch and empty the contents into a pan. Add very little water. Heat for 2-3 minutes while stirring.
OR
Cut pouch. Empty contents into a microwave container. Add very little water. Heat for 2 minutes. Do not heat the pouch 
directly in the microwave.
OR
Immerse the pouch into boiling water for 3-5 minutes. Remove. Cut and stir.
Allergy advices:.
Contains milk and milk products. Also has nuts and is processed in a facility that processes milk products and nuts.</t>
  </si>
  <si>
    <t>பையை வெட்டி, அதில் உள்ளவற்றை ஒரு பாத்திரத்தில் காலி செய்யவும். மிகக் குறைந்த அளவு தண்ணீரைச் சேர்க்கவும். கிளறும்போது 2-3 நிமிடங்கள் சூடாக்கவும்.
அல்லது
பையை வெட்டுங்கள். மைக்ரோவேவ் கொள்கலனில் உள்ளடக்கங்களை காலி செய்யவும். மிகக் குறைந்த அளவு தண்ணீரைச் சேர்க்கவும். 2 நிமிடங்கள் சூடாக்கவும். பையை சூடாக்க வேண்டாம்
நேரடியாக மைக்ரோவேவில்.
அல்லது
பையை கொதிக்கும் நீரில் 3-5 நிமிடங்கள் மூழ்க வைக்கவும். அகற்றவும். வெட்டி கிளறவும்.
ஒவ்வாமை ஆலோசனைகள்;.
பால் மற்றும் பால் பொருட்கள் உள்ளன. கொட்டைகளும் உள்ளன, மேலும் பால் பொருட்கள் மற்றும் கொட்டைகளை பதப்படுத்தும் வசதியில் பதப்படுத்தப்படுகிறது.</t>
  </si>
  <si>
    <t>https://happikery.com/cdn/shop/files/WhatsApp_Image_2024-10-08_at_15.49.04_e2592175_06d48887-94d9-4239-a69a-ee5ca4977fff.jpg</t>
  </si>
  <si>
    <t>Onion Tomato Chop Base</t>
  </si>
  <si>
    <t>வெங்காய தக்காளி சாப் பேஸ்</t>
  </si>
  <si>
    <t>Onion,
Onion,
Tomatoes,
Sunflower Oil,
Water,
Chilli Powder,
Salt, 
Ginger Paste,
Garlic Paste,
Cumin Powder,
Spices
And Condiments.</t>
  </si>
  <si>
    <t>வெங்காயம்,
தக்காளி,
சூரியகாந்தி எண்ணெய்,
தண்ணீர்,
மிளகாய்த்தூள்,
உப்பு,
இஞ்சி விழுது,
பூண்டு விழுது,
சீரகத்தூள்,
மசாலாப் பொருட்கள்
மற்றும் மசாலாப் பொருட்கள்.</t>
  </si>
  <si>
    <t>Cut the pouch and empty the contents into a pan. Add very little water. Heat for 2-3 minutes while stirring. 
OR
Cut pouch. Empty contents into a microwave container. Add very little water. Heat for 2 minutes. Do not heat the pouch
 directly in the microwave. 
OR
Immerse the pouch into boiling water for 3-5 minutes. Remove. Cut and stir.
Allergy advices:.
Contains milk and milk products. Also has nuts and is processed in a facility that processes milk products and nuts.</t>
  </si>
  <si>
    <t>பையை வெட்டி, அதில் உள்ளவற்றை ஒரு பாத்திரத்தில் காலி செய்யவும். மிகக் குறைந்த அளவு தண்ணீரைச் சேர்க்கவும். கிளறும்போது 2-3 நிமிடங்கள் சூடாக்கவும்.
அல்லது
பையை வெட்டுங்கள். மைக்ரோவேவ் கொள்கலனில் உள்ளடக்கங்களை காலி செய்யவும். மிகக் குறைந்த அளவு தண்ணீரைச் சேர்க்கவும். 2 நிமிடங்கள் சூடாக்கவும். பையை சூடாக்க வேண்டாம்
நேரடியாக மைக்ரோவேவில்.
அல்லது
பையை கொதிக்கும் நீரில் 3-5 நிமிடங்கள் மூழ்க வைக்கவும். அகற்றவும். வெட்டி கிளறவும்.
ஒவ்வாமை ஆலோசனைகள்;.
பால் மற்றும் பால் பொருட்கள் உள்ளன. கொட்டைகளும் உள்ளன, மேலும் பால் பொருட்கள் மற்றும் கொட்டைகளை பதப்படுத்தும் வசதியில் பதப்படுத்தப்படுகிறது.</t>
  </si>
  <si>
    <t>https://happikery.com/cdn/shop/files/WhatsApp_Image_2024-10-08_at_15.49.58_f34b9891.jpg</t>
  </si>
  <si>
    <t>Water,
Potatoes,
Green Peas,
Cow Butter,
Tomato Paste,
Onion,
Sunflower Oil,
Capsicum,
Garlic Paste,
Lemon Juice,
Red Chilli Powder,
Salt,
Coriander Leaves,
Spices And Condiments.</t>
  </si>
  <si>
    <t>தண்ணீர்,
உருளைக்கிழங்கு,
பச்சை பட்டாணி,
மாட்டு வெண்ணெய்,
தக்காளி விழுது,
வெங்காயம்,
சூரியகாந்தி எண்ணெய்,
மிளகாய்த்தூள்,
பூண்டு விழுது,
எலுமிச்சை சாறு,
சிவப்பு மிளகாய் தூள்,
உப்பு,
கொத்தமல்லி இலைகள்,
மசாலாப் பொருட்கள்
மற்றும் மசாலாப் பொருட்கள்.</t>
  </si>
  <si>
    <t xml:space="preserve">Cut the pouch and empty the contents into a pan. Add very little water. Heat for 2-3 minutes while stirring.
OR
Cut pouch. Empty contents into a microwave container. Add very little water. Heat for 2 minutes. Do not heat pouch directly
 in microwave. 
OR
Immerse the pouch into boiling water for 3-5 minutes. Remove. Cut and stir.
Allergy advices:.
Contains milk and milk products. Also has nuts and is processed in a facility that processes milk products and nuts.
</t>
  </si>
  <si>
    <t>https://happikery.com/cdn/shop/files/WhatsApp_Image_2024-10-08_at_15.49.33_142e8d76.jpg</t>
  </si>
  <si>
    <t>Water, 
Red Gram Dal, 
Red Lentil,
Onion,
Drumsticks,
Potatoes, 
Carrot, 
Sunflower Oil,
Pumkin,
Salt, 
Tamarind,
Tomato Paste, 
Red Chilli Powder, 
Spices
And Condiments, Curry Leaves.</t>
  </si>
  <si>
    <t>தண்ணீர்,
சிவப்பு பருப்பு,
சிவப்பு பயறு, 
வெங்காயம்,
 முருங்கைக்காய், 
உருளைக்கிழங்கு,
கேரட்,
சூரியகாந்தி எண்ணெய், 
பூசணிக்காய்,
 உப்பு,
புளி,
 தக்காளி விழுது,
சிவப்பு மிளகாய் தூள்,
மசாலா மற்றும் மசாலாப் பொருட்கள், கறிவேப்பிலை.</t>
  </si>
  <si>
    <t>Cut the pouch and empty the contents into a pan. Add very little water. Heat for 2-3 minutes while stirring. 
OR
Cut pouch. Empty contents into a microwave container. Add very little water. Heat for 2 minutes. Do not heat the pouch 
directly in the microwave. 
OR
Immerse the pouch into boiling water for 3-5 minutes. Remove. Cut and stir.
Allergy advices:.
Contains milk and milk products. Also has nuts and is processed in a facility that processes milk products and nuts.</t>
  </si>
  <si>
    <t>பையை வெட்டி, அதில் உள்ளவற்றை ஒரு பாத்திரத்தில் காலி செய்யவும். மிகக் குறைந்த அளவு தண்ணீரைச் சேர்க்கவும். கிளறும்போது 2-3 நிமிடங்கள் சூடாக்கவும்.
அல்லது
பையை வெட்டுங்கள். மைக்ரோவேவ் கொள்கலனில் உள்ளடக்கங்களை காலி செய்யவும். மிகக் குறைந்த அளவு தண்ணீரைச் சேர்க்கவும். 2 நிமிடங்கள் சூடாக்கவும். பையை
நேரடியாக மைக்ரோவேவில் சூடாக்க வேண்டாம்.
அல்லது
பையை 3-5 நிமிடங்கள் கொதிக்கும் நீரில் மூழ்க வைக்கவும். அகற்றவும். வெட்டி கிளறவும்.
ஒவ்வாமை ஆலோசனைகள்;.
பால் மற்றும் பால் பொருட்கள் உள்ளன. கொட்டைகளும் உள்ளன, மேலும் பால் பொருட்கள் மற்றும் கொட்டைகளை பதப்படுத்தும் வசதியில் பதப்படுத்தப்படுகிறது.</t>
  </si>
  <si>
    <t>https://happikery.com/cdn/shop/files/WhatsApp_Image_2024-10-08_at_15.49.00_07913473.jpg</t>
  </si>
  <si>
    <t>Tikka Masala Base Gravy</t>
  </si>
  <si>
    <t>டிக்கா மசாலா பேஸ் கிரேவி</t>
  </si>
  <si>
    <t>Water,
Onion, 
Tomato Paste,
Cashew Nuts,
Cow Ghee, 
Sugar,
Cow Butter, 
Sunflower Oil, 
Salt,
Garlic Paste,
Ginger Paste,
Red Chilli Powder, 
Spices And Condiments.</t>
  </si>
  <si>
    <t>தண்ணீர்,
வெங்காயம்,
தக்காளி விழுது,
முந்திரி பருப்பு,
பசு நெய்,
சர்க்கரை,
பசு வெண்ணெய்,
சூரியகாந்தி எண்ணெய்,
உப்பு,
பூண்டு விழுது,
இஞ்சி விழுது,
சிவப்பு மிளகாய் தூள்,
மசாலா மற்றும் மசாலாப் பொருட்கள்.</t>
  </si>
  <si>
    <t>Cut the pouch and empty the contents into a pan. Add very little water. Heat for 2-3 minutes while stirring.
 OR
Cut pouch. Empty contents into a microwave container. Add very little water. Heat for 2 minutes. Do not heat the pouch 
directly in the microwave. 
OR
Immerse the pouch into boiling water for 3-5 minutes. Remove. Cut and stir.
Allergy advices;.
Contains milk and milk products. Also has nuts and is processed in a facility that processes milk products and nuts.</t>
  </si>
  <si>
    <t>பையை வெட்டி, அதில் உள்ளவற்றை ஒரு பாத்திரத்தில் காலி செய்யவும். மிகக் குறைந்த அளவு தண்ணீரைச் சேர்க்கவும். கிளறும்போது 2-3 நிமிடங்கள் சூடாக்கவும்.
அல்லது
பையை வெட்டுங்கள். மைக்ரோவேவ் கொள்கலனில் உள்ளடக்கங்களை காலி செய்யவும். மிகக் குறைந்த அளவு தண்ணீரைச் சேர்க்கவும். 2 நிமிடங்கள் சூடாக்கவும். பையை
நேரடியாக மைக்ரோவேவில் சூடாக்க வேண்டாம்.
அல்லது
பையை 3-5 நிமிடங்கள் கொதிக்கும் நீரில் மூழ்க வைக்கவும். அகற்றவும். வெட்டி கிளறவும்.
ஒவ்வாமை ஆலோசனைகள்;.
பால் மற்றும் பால் பொருட்கள் உள்ளன. கொட்டைகளும் உள்ளன, மேலும் பால் பொருட்கள் மற்றும் கொட்டைகளை பதப்படுத்தும் வசதியில் பதப்படுத்தப்படுகிறது.</t>
  </si>
  <si>
    <t>https://happikery.com/cdn/shop/files/WhatsApp_Image_2024-10-08_at_15.49.37_cbfdc9f6.jpg</t>
  </si>
  <si>
    <t>White Base Gravy</t>
  </si>
  <si>
    <t>வெள்ளை அடிப்படை கிரேவி</t>
  </si>
  <si>
    <t>Water,
Cashew Nuts,
Magaz, 
Butter, 
Sunflower Oil, 
Milk Cream,
Salt,
Sugar,
Fenugreek Leaves,
 White Pepper,
 Black Cardamom,
 Black Pepper,
 Green Cardamom, 
Spices And Condiments.</t>
  </si>
  <si>
    <t>தண்ணீர்,
முந்திரி பருப்பு,
மகஸ்,
வெண்ணெய்,
சூரியகாந்தி எண்ணெய்,
பால் கிரீம்,
உப்பு,
சர்க்கரை,
வெந்தய இலைகள்,
வெள்ளை மிளகு,
கருப்பு ஏலக்காய்,
கருப்பு மிளகு,
பச்சை ஏலக்காய்,
மசாலா மற்றும் மசாலாப் பொருட்கள்.</t>
  </si>
  <si>
    <t>https://happikery.com/cdn/shop/files/WhatsApp_Image_2024-10-08_at_15.49.25_09600eb9.jpg</t>
  </si>
  <si>
    <t>Manna Health Mix Instant Multigrain Cereal, Strawberry, Banana, Dates, with Milk.</t>
  </si>
  <si>
    <t>மன்னா ஹெல்த் உடனடி மல்டிகிரைன் தானியங்கள், ஸ்ட்ராபெர்ரி, வாழைப்பழம், பேரீச்சம்பழம், பாலுடன் கலக்கவும்.</t>
  </si>
  <si>
    <t>Veg</t>
  </si>
  <si>
    <t>Manna Health Mix Instant Multigrain Cereal</t>
  </si>
  <si>
    <t>பலதானிய கலவை -55% (மக்காச்சோளம், முழு கோதுமை, சோளம், முத்து தினை, ஃபிங்கர் தினை, குயினோவா, அமராந்த், கருப்பு அரிசி), பழப் பொடிகள்-22% (வாழைத்தூள், ஸ்ட்ராபெர்ரி பொடி, பேரிச்சம்பழம், வெல்லம்), பால் சோலி. பீட்ரூட் தூள்.,
ஒவ்வாமை ஆலோசனை:, பால் மற்றும் கோதுமை உள்ளது</t>
  </si>
  <si>
    <t>INSTANT NO NEED TO COOK:.
Take 30g (3tbsp) of Manna Health Mix+ in a bowl.
Add 150ml of luke warm/warm milk and stir well to avoid lumps.
Check for sweetness and add any sweetener of your choice (honey/jaggery) if required. Mox well and its ready to be served.</t>
  </si>
  <si>
    <t>உடனடியாக சமைக்க தேவையில்லை :.
ஒரு கிண்ணத்தில் 30 கிராம் (3 டீஸ்பூன்) மன்னா ஹெல்த் மிக்ஸ்+ எடுத்துக் கொள்ளவும்.
150 மில்லி வெதுவெதுப்பான/சூடான பால் சேர்த்து கட்டிகள் வராமல் இருக்க நன்கு கிளறவும்.
இனிப்பை சரிபார்த்து, தேவைப்பட்டால், உங்களுக்கு விருப்பமான இனிப்பு (தேன்/வெல்லம்) சேர்க்கவும். மோக்ஸ் வெல் மற்றும் அது பரிமாற தயாராக உள்ளது.</t>
  </si>
  <si>
    <t>https://m.media-amazon.com/images/I/71ce-hWVVsL._SX679_.jpg</t>
  </si>
  <si>
    <t>Manna Go Grains Nutrition Powder for Kids.</t>
  </si>
  <si>
    <t>குழந்தைகளுக்கான மன்னா கோ தானியங்கள் ஊட்டச்சத்து பொடி.</t>
  </si>
  <si>
    <t>Manna Go Grains Nutrition Powder</t>
  </si>
  <si>
    <t xml:space="preserve">தானியங்கள் &amp; மால்ட் தானியங்கள் 33.7% {(மால்ட் பார்லி, தானியங்கள் மற்றும் பருப்பு-11%(கோதுமை, சோளம், பார்லி. வங்காள கிராம்), தினை-4% (ஜோவர், பஜ்ரா, ராகி)), சர்க்கரை, பால் திடப்பொருள்கள், மால்டோடெக்ஸ்ட்ரின், கொக்கோ திடப்பொருட்கள், தாதுக்கள், ஐஎன்எஸ் 461, வைட்டமின்கள், ஐஎன்எஸ் 461 ஸ்டீவியோல் கிளைகோசைடு (INS 960) 'ஸ்டீவியா இலையிலிருந்து பிரித்தெடுக்கப்பட்டது.
</t>
  </si>
  <si>
    <t>Take 2 heaped tea spoons (approx. 24g) of Manna Go Grains in a glass.
Add 3/4 cup (180 ml) of warm milk.
Pour the contents into another cup and repeat for a smooth frothy drink.</t>
  </si>
  <si>
    <t>ஒரு கிளாஸில் 2 குவிக்கப்பட்ட டீ ஸ்பூன்கள் (தோராயமாக 24 கிராம்) மன்னா கோ தானியங்களை எடுத்துக் கொள்ளுங்கள்.
3/4 கப் (180 மில்லி) சூடான பால் சேர்க்கவும்.
மற்றொரு கோப்பையில் உள்ளடக்கங்களை ஊற்றவும் மற்றும் மென்மையான நுரை பானத்திற்கு மீண்டும் செய்யவும்.</t>
  </si>
  <si>
    <t>https://m.media-amazon.com/images/I/71jgujtC8lL._SX679_PIbundle-2,TopRight,0,0_AA679SH20_.jpg</t>
  </si>
  <si>
    <t>Manna Vermicelli 500 grams|Rice Sevai|Seviyan|Vegetarian Semiya</t>
  </si>
  <si>
    <t>மண் வரமிளகாய் 500 கிராம்|அரிசி சேவை|சேவியன்|சைவ சேமியா</t>
  </si>
  <si>
    <t>Vermicelli-1 cup,
Green Chillies -3 Nos.
Onion-1 No. (medium size).
Water-2 cups.
Oil -5 tbsp.
Mustard-1/4 tbsp.
Urdu Dal-1½ tbsp.
Salt to taste.
Chopped curry leaves &amp; coriander
leaves to garnish.</t>
  </si>
  <si>
    <t>தேவையான பொருட்கள்:
வெர்மிசெல்லி - 1 கப்.
பச்சை மிளகாய் - 3 எண்கள்.
வெங்காயம்-1 எண் (நடுத்தர அளவு).
தண்ணீர் - 2 கப்.
எண்ணெய் - 5 டீஸ்பூன்.
கடுகு - 1/4 டீஸ்பூன்.
உருது தால் - 1½ டீஸ்பூன்.
சுவைக்கு உப்பு.
நறுக்கிய கறிவேப்பிலை &amp; கொத்தமல்லி
அலங்கரிக்க இலைகள்.</t>
  </si>
  <si>
    <t>Take the nequined quantity of Manna Rice Seva &amp; immense it in hot water for 5 minutes Drain the water and keep the seval aside.
Heat oil in a pankada and add mustard and Bengal gram and let it crackle.
Add onions, green chillies, curry leaves and cook onions become golden brown.
Sprinkle required salt.
Add cooked sealand thoroughly.
Now addSnely chopped coriander leaves and serve hot with mint chutney or pickle.</t>
  </si>
  <si>
    <t>மன்னா ரைஸ் சேவாவை துருவிய அளவு எடுத்து வெந்நீரில் 5 நிமிடம் ஊறவைத்து, தண்ணீரை வடித்து, சேவலை ஒதுக்கி வைக்கவும்.
பாங்கடாவில் எண்ணெயைச் சூடாக்கி கடுகு, பெருங்காயம் சேர்த்து வெடிக்க விடவும்.
வெங்காயம், பச்சை மிளகாய், கறிவேப்பிலை சேர்த்து வெங்காயம் பொன்னிறமாக வதக்கவும்.
தேவையான உப்பு தெளிக்கவும்.
சமைத்த சீலாந்தை நன்கு சேர்க்கவும்.
இப்போது நறுக்கிய கொத்தமல்லி இலைகளைச் சேர்த்து புதினா சட்னி அல்லது ஊறுகாயுடன் சூடாகப் பரிமாறவும்.</t>
  </si>
  <si>
    <t>https://m.media-amazon.com/images/I/81eH9abbw-L._SY741_.jpg</t>
  </si>
  <si>
    <t xml:space="preserve">Manna 100% Rolled Oats 2kg
</t>
  </si>
  <si>
    <t xml:space="preserve">மன்னா 100% உருட்டப்பட்ட ஓட்ஸ் 2 கிலோ
</t>
  </si>
  <si>
    <t xml:space="preserve"> ROLLED OATS</t>
  </si>
  <si>
    <t xml:space="preserve"> உருட்டப்பட்ட ஓட்ஸ்</t>
  </si>
  <si>
    <t>Preparation:
Add 1/4 Cup(40g) of Manna Rolled Oats to 1 Cup (250ml) of water or milk. (Approx.)
Cook for 10-12 minutes on low flame and stir constantly (or) Microwave for 6 minutes.
Add sugar or salt for taste, garnish with chopped Manna dry fruits.</t>
  </si>
  <si>
    <t>தயாரிப்பு:
1/4 கப் (40 கிராம்) மன்னா ரோல்டு ஓட்ஸை 1 கப் (250 மிலி) தண்ணீர் அல்லது பாலில் சேர்க்கவும். (தோராயமாக)
குறைந்த தீயில் 10-12 நிமிடங்கள் சமைக்கவும், தொடர்ந்து கிளறவும் (அல்லது) 6 நிமிடங்கள் மைக்ரோவேவில் வைக்கவும்.
சுவைக்காக சர்க்கரை அல்லது உப்பு சேர்த்து, நறுக்கிய மன்னா உலர் பழங்களால் அலங்கரிக்கவும்.</t>
  </si>
  <si>
    <t>https://m.media-amazon.com/images/I/71tFVAOXVtL._SX679_PIbundle-2,TopRight,0,0_AA679SH20_.jpg</t>
  </si>
  <si>
    <t>Manna Sprouted Ragi Flour 2kg (1kg x 2 Packs) | 100% Natural Sprouted Finger Millet Flour | Nachni Atta | Kelvaragu Flour | Rich in Calcium &amp; Protein</t>
  </si>
  <si>
    <t>மன்னா முளைத்த ராகி மாவு 2 கிலோ (1 கிலோ x 2 பொதிகள்) | 100% இயற்கை முளைத்த தினை மாவு | நச்னி அட்டா | கேல்வரகு மாவு | கால்சியம் மற்றும் புரதம் நிறைந்தது</t>
  </si>
  <si>
    <t>Ragi Flour</t>
  </si>
  <si>
    <t>ராகி மாவு</t>
  </si>
  <si>
    <t>Roti:. Grate carrot, chop onions, coriander and green chillies and keep aside. Take Manna Sprouted Ragi Flour in a bowl and add all the cut ingredients and curd. Add salt and mix them. Add hot water to the mixture and make dough. Take a clean, wet cotton cloth big kerchief size). Divide dough into small equal portions. Take each ball and spread it like chapathi with your fingers on the cotton cloth. Take a pan, and fry these notis. Add oil and fry them on both the sides like chapathis. Serve hot with chutney or dal,
Dosa (ldly bater preferable):. Take 1 cup of idly batter and add 1 cup of Manna Sprouted Ragi Flour to make the batter suitable for dosa consistency. Heat frying pan, grease it well. Pour a ladle full of batter and spread it well. Remove the dosa carefully and serve it with sambar, chutney etc..
Idly:. Take 1 cup of Manna Sprouted Ragi Flour and mix it with 1/2 cup of Curd and 1/4 cup of Urad dhal batter. Keep it aside for 30 mins, Pour it into the idly moulds and steam for 5-7 Mins. Remove and serve hot with sambar, chutney or veg, kurma.
Puttu:. Take Manna Sprouted Ragi Flour and roast it well. Add salt and mix water litle by little till the powder becomes moist/wet. Mix it with the grated coconut. Remove the lumps, if amy, by running it in your blender/food processor for a lew seconds. Keep aside the puttu mix for 10 mins. Steam it well until it gets cooked and serve hot.</t>
  </si>
  <si>
    <t>ரொட்டி:. கேரட்டை துருவி, வெங்காயம், கொத்தமல்லி, பச்சை மிளகாயை நறுக்கி தனியாக வைக்கவும். மன்னா முளைத்த ராகி மாவை ஒரு பாத்திரத்தில் எடுத்து, அதில் நறுக்கிய பொருட்கள் மற்றும் தயிர் சேர்க்கவும். உப்பு சேர்த்து அவற்றை கலக்கவும். கலவையில் வெந்நீர் சேர்த்து மாவு செய்யவும். ஒரு சுத்தமான, ஈரமான பருத்தி துணியை எடுத்து பெரிய கர்சீஃப் அளவு). மாவை சிறிய சம பாகங்களாக பிரிக்கவும். ஒவ்வொரு உருண்டையாக எடுத்து பருத்தி துணியில் விரல்களால் சப்பாத்தி போல பரப்பவும். ஒரு கடாயை எடுத்து, இந்த நோட்டிஸை வறுக்கவும். எண்ணெய் சேர்த்து சப்பாத்தி போல இருபுறமும் வதக்கவும். சட்னி அல்லது பருப்புடன் சூடாக பரிமாறவும்,
தோசை (பழைய பேட்டர் விரும்பத்தக்கது):. 1 கப் இட்லி மாவை எடுத்து, 1 கப் மன்னா முளைத்த ராகி மாவு சேர்த்து, தோசைக்கு ஏற்ற மாவை உருவாக்கவும். வாணலியை சூடாக்கி, நன்கு கிரீஸ் செய்யவும். ஒரு கரண்டி நிறைய மாவை ஊற்றி நன்கு பரப்பவும். தோசையை கவனமாக அகற்றி சாம்பார், சட்னி போன்றவற்றுடன் பரிமாறவும்.
இட்லி:. 1 கப் மன்னா முளைத்த ராகி மாவை எடுத்து அதனுடன் 1/2 கப் தயிர் மற்றும் 1/4 கப் உளுத்தம் பருப்பு மாவுடன் கலக்கவும். 30 நிமிடங்கள் ஒதுக்கி வைத்து, இட்லி அச்சுகளில் ஊற்றி 5-7 நிமிடங்கள் ஆவியில் வேகவைக்கவும். இறக்கி சாம்பார், சட்னி அல்லது வெஜ், குருமாவுடன் சூடாகப் பரிமாறவும்.
புட்டு:. மன்னா முளைத்த ராகி மாவை எடுத்து நன்றாக வறுக்கவும். தூள் ஈரமாக / ஈரமாக மாறும் வரை உப்பு சேர்த்து சிறிது சிறிதாக தண்ணீர் கலக்கவும். துருவிய தேங்காயுடன் கலக்கவும். உங்கள் பிளெண்டர்/உணவு செயலியில் சிறிது வினாடிகள் இயக்குவதன் மூலம் கட்டிகளை அகற்றவும். புட்டு கலவையை 10 நிமிடங்கள் ஒதுக்கி வைக்கவும். நன்கு வேகும் வரை ஆவியில் வேக வைத்து சூடாக பரிமாறவும்.</t>
  </si>
  <si>
    <t>https://m.media-amazon.com/images/I/91fZhSs+SML._SY741_.jpg</t>
  </si>
  <si>
    <t>Manna Date Powder Natural Sweetner</t>
  </si>
  <si>
    <t>மன்னா பேரீச்சம்பழ தூள் இயற்கை இனிப்பு</t>
  </si>
  <si>
    <t>Manna Date Powder,
Allergen advice:,
Processed in a facility that processes nuts and soy. May contain trace elements.</t>
  </si>
  <si>
    <t>100% இயற்கை அரேபிய பேரீச்சம்பழம் (உலர்ந்த).
ஒவ்வாமை ஆலோசனை:
நட்ஸ் மற்றும் சோயாவை பதப்படுத்தும் வசதியில் பதப்படுத்தப்படுகிறது. சுவடு கூறுகள் இருக்கலாம்.</t>
  </si>
  <si>
    <t>USE AS A NATURAL CEREALS.
SWEETENER IN
PORRIDGE.CAKES ETC.</t>
  </si>
  <si>
    <t>இயற்கை தானியங்களாக பயன்படுத்தவும்.
ஸ்வீட்னர் இன்
PORRIDGE.கேக்ஸ் போன்றவை.</t>
  </si>
  <si>
    <t>https://m.media-amazon.com/images/I/71o+cGQq8LL._SX679_.jpg</t>
  </si>
  <si>
    <t>Manna Brown Rice 5kg (Unpolished) |100% Natural | Naturally Low GI | High in Fibre | Helps Control Diabetes</t>
  </si>
  <si>
    <t>மன்னா பிரவுன் ரைஸ் 5 கிலோ (பாலிஷ் செய்யப்படாதது) |100% இயற்கை | இயற்கையாக குறைந்த ஜிஐ | நார்ச்சத்து அதிகம் | நீரிழிவு நோயைக் கட்டுப்படுத்த உதவுகிறது</t>
  </si>
  <si>
    <t>Brown Rice</t>
  </si>
  <si>
    <t>பிரவுன் ரைஸ்</t>
  </si>
  <si>
    <t>1. Wash and soak 1 cup (150g) of brown rice for one hour, in sufficient water.
2. Strain/Drain the water. Add 3 cups of water (450 ml) to cook.
3. Pressure cook on high flame till first whistle.
4. Simmer/lower the flame and cook rice for another 15 minutes.
5. Wait for pressure to release, serve hot with your favourite curry/sambar.</t>
  </si>
  <si>
    <t>1. 1 கப் (150 கிராம்) பழுப்பு அரிசியைக் கழுவி, போதுமான தண்ணீரில் ஒரு மணி நேரம் ஊற வைக்கவும்.
2. தண்ணீரை வடிகட்டி / வடிகட்டவும். சமைக்க 3 கப் தண்ணீர் (450 மில்லி) சேர்க்கவும்.
3. முதல் விசில் வரும் வரை அதிக தீயில் பிரஷர் குக் செய்யவும்.
4. தீயை வேகவைத்து/குறைத்து மேலும் 15 நிமிடங்களுக்கு அரிசியை சமைக்கவும்.
5. அழுத்தம் வெளியாகும் வரை காத்திருங்கள், உங்களுக்குப் பிடித்தமான கறி/சாம்பாருடன் சூடாகப் பரிமாறவும்.</t>
  </si>
  <si>
    <t>https://m.media-amazon.com/images/I/81p7ErZuB2L._SX679_PIbundle-5,TopRight,0,0_AA679SH20_.jpg</t>
  </si>
  <si>
    <t>Manna Health Mix 600g</t>
  </si>
  <si>
    <t>மன்னா ஹெல்த் மிக்ஸ் 600 கிராம்</t>
  </si>
  <si>
    <t>Manna Health Mix 600g,
Allergen Advice:,
 Contains Wheat, Barley and Nuts.</t>
  </si>
  <si>
    <t>தினை மற்றும் தானியங்கள் 82% (ராகி, பஜ்ரா, சோளம், ஜவ்வரிசி, கோதுமை, சிவப்பு அரிசி &amp; பார்லி), பருப்பு வகைகள் 12% (பெங்கால் கிராம் &amp; பச்சைப்பயறு), சாகோ, பருப்புகள் 2% (கடலை, பாதாம் &amp; முந்திரி), ஏலக்காய்.
ஒவ்வாமை ஆலோசனை: கோதுமை, பார்லி மற்றும் கொட்டைகள் உள்ளன.</t>
  </si>
  <si>
    <t>Take 3 Tbsp (30g) of Manna Health Mix &amp; stir with 1 1/4 cups (300ml) of water or milk, so no lumps are formed.
Place on stove and bring to boil, stiming continously for 3 minutes to avoid lumps.
Add Sugar/Honey to taste and serve warm variation: Cook with water and serve with thick Butter Milk.</t>
  </si>
  <si>
    <t>3 டீஸ்பூன் (30 கிராம்) மன்னா ஹெல்த் மிக்ஸ் எடுத்து, 1 1/4 கப் (300 மிலி) தண்ணீர் அல்லது பாலுடன் கலக்கவும், அதனால் கட்டிகள் எதுவும் உருவாகாது.
அடுப்பில் வைத்து, கட்டிகள் வராமல் இருக்க, தொடர்ந்து 3 நிமிடங்கள் கிளறி கொதிக்க வைக்கவும்.
ருசிக்க சர்க்கரை/தேன் சேர்த்து வெதுவெதுப்பான மாறுபாட்டுடன் பரிமாறவும்: தண்ணீருடன் சமைக்கவும் மற்றும் கெட்டியான வெண்ணெய் பாலுடன் பரிமாறவும்.</t>
  </si>
  <si>
    <t>https://m.media-amazon.com/images/I/71IUZm7px-L._SX569_.jpg</t>
  </si>
  <si>
    <t>Manna Millets 2.5Kg Whole Grains</t>
  </si>
  <si>
    <t>மன்னா கம்பு 2.5 கிலோ முழு தானியங்கள்</t>
  </si>
  <si>
    <t xml:space="preserve"> FOXTAIL MILLET</t>
  </si>
  <si>
    <t>Foxtail millet grain-1 cup, dry fruits, ghee, water, sugar, milk, cardamom powder as required Cook the Foxtail millet in boiling water for 5 min. Roast dry fruits in ghee Boil the water and milk, than add the cooked millet add sugar and stir slowly for 10-15 minutes until it is cooked. Add cardamon powder and decorate with cashew nuts and other dry fruits. Serve hot as a traditional sweet.</t>
  </si>
  <si>
    <t>ஃபாக்ஸ்டெயில் தினை தானியம் - 1 கப், உலர் பழங்கள், நெய், தண்ணீர், சர்க்கரை, பால், ஏலக்காய் தூள் தேவைக்கேற்ப ஃபாக்ஸ்டெயில் தினையை கொதிக்கும் நீரில் 5 நிமிடம் சமைக்கவும். உலர் பழங்களை நெய்யில் வறுக்கவும், தண்ணீர் மற்றும் பாலைக் கொதிக்கவைத்து, சமைத்த தினையை சர்க்கரையைச் சேர்த்து, 10-15 நிமிடங்கள் வேகும் வரை மெதுவாகக் கிளறவும். ஏலக்காய் தூள் சேர்த்து முந்திரி மற்றும் பிற உலர் பழங்கள் கொண்டு அலங்கரிக்கவும். பாரம்பரிய இனிப்பாக சூடாக பரிமாறவும்.</t>
  </si>
  <si>
    <t>https://m.media-amazon.com/images/I/71YGLnPWovL._SX679_PIbundle-5,TopRight,0,0_SX679SY333SH20_.jpg</t>
  </si>
  <si>
    <t>name</t>
  </si>
  <si>
    <t>hindiName</t>
  </si>
  <si>
    <t>ingredients_hn</t>
  </si>
  <si>
    <t>ingredients_en</t>
  </si>
  <si>
    <t>cooking</t>
  </si>
  <si>
    <t>category</t>
  </si>
  <si>
    <t>foodType</t>
  </si>
  <si>
    <t>instructions_en</t>
  </si>
  <si>
    <t>instructions_hn</t>
  </si>
  <si>
    <t>imageUrl</t>
  </si>
  <si>
    <t>regional_cuisines</t>
  </si>
  <si>
    <t>Rajasthani Khooba Roti Recipe</t>
  </si>
  <si>
    <t>राजस्थानी खूबा रोटी रेसिपी</t>
  </si>
  <si>
    <t>1 कप गेहूं का आटा, नमक - स्वादानुसार, पानी - आवश्यकतानुसार, घी - आवश्यकतानुसार</t>
  </si>
  <si>
    <t>1 cup Whole Wheat Flour,Salt - to taste,Water - as required,Ghee - as required</t>
  </si>
  <si>
    <t>Vegetarian</t>
  </si>
  <si>
    <t xml:space="preserve">To begin with, Rajasthani Khooba Roti first, in a large mixing bowl, add flour, salt, and water, Mix together with your hands to form crumbs.Add water to combine it well and make a smooth and yet stiff dough.Leave the dough aside for 15 minutes so it rests.Pinch a large lemon sized ball from the dough and roll it to make a ball. Dust the counter well and roll out the dough ball to make a thick round roti. Spread a little ghee on one side of the roti and place that side on the tawa. After 20 seconds, flip the roti and start pinching on the top of the roti.Keep pinching till the full roti is covered. Flip the roti and again roast from the patterned side.Once both sides are lightly browned hold the roti with a tong, remove it from tawa and place it directly on flames.Flip and roast from both the sides till its evenly cooked from both the sides.Once done, switch off the stove and pour ghee on the roti and serve.Your Rajasthani Khooba Roti is ready to be served with Makai Wali Bhindi or Pyaz ki sabzi.. 
</t>
  </si>
  <si>
    <t>सबसे पहले राजस्थानी खूबा रोटी बनाने के लिए, सबसे पहले एक बड़े मिक्सिंग बाउल में आटा, नमक और पानी डालें, हाथों से मिलाकर चूरा बना लें। इसे अच्छी तरह मिलाने के लिए पानी डालें और एक चिकना लेकिन सख्त आटा गूंथ लें। आटे को 15 मिनट के लिए अलग रख दें ताकि यह आराम करे। आटे से एक बड़े नींबू के आकार की गेंद को चुटकी से दबाएं और इसे एक बॉल बनाने के लिए रोल करें। काउंटर को अच्छी तरह से छिड़कें और आटे की गेंद को एक मोटी गोल रोटी बनाने के लिए बेल लें। रोटी के एक तरफ थोड़ा घी लगाएं और उस तरफ को तवे पर रखें। 20 सेकंड के बाद, रोटी को पलट दें और रोटी के ऊपर से चुटकी बजाना शुरू करें। पूरी रोटी ढकने तक चुटकी बजाते रहें। रोटी को पलटें और फिर से पैटर्न वाली तरफ से सेकें। जब दोनों तरफ से हल्का भूरा हो जाए तो रोटी को चिमटे से पकड़ें, तवे से उतारें और सीधे आंच पर रखें। पलटें और दोनों तरफ से तब तक सेकें जब तक यह दोनों तरफ से समान रूप से पक न जाए। हो जाने पर, चूल्हे को बंद कर दें और रोटी पर घी डालें और परोसें। आपकी राजस्थानी खूबा रोटी मकई वाली भिंडी या प्याज़ की सब्जी के साथ परोसने के लिए तैयार है।</t>
  </si>
  <si>
    <t>http://www.archanaskitchen.com/rajasthani-khooba-roti-recipe</t>
  </si>
  <si>
    <t>Rajasthani</t>
  </si>
  <si>
    <t>Rajasthani Style Sukhe Gatte Capsicum Ki Sabzi Recipe</t>
  </si>
  <si>
    <t>राजस्थानी स्टाइल सूखे गट्टे शिमला मिर्च की सब्जी रेसिपी</t>
  </si>
  <si>
    <t>1 कप बेसन, 1/2 चम्मच अजवाइन, 1/4 चम्मच लाल मिर्च पाउडर, 2 बड़े चम्मच दही, 1 बड़ा चम्मच सूरजमुखी तेल, नमक - स्वादानुसार, 1 हरी शिमला मिर्च - क्यूब्स में कटी हुई, 1 चम्मच जीरा, 1/4 चम्मच हींग, 1 चम्मच हल्दी, 1/4 चम्मच लाल मिर्च पाउडर, 2 चम्मच गरम मसाला पाउडर, 1 चम्मच अमचूर, 1 चम्मच धनिया पाउडर, 1 चम्मच धनिया पाउडर, नमक - स्वादानुसार, 4 टहनी धनिया - कटी हुई, सूरजमुखी तेल</t>
  </si>
  <si>
    <t>1 cup Gram flour (besan),1/2 teaspoon Ajwain (Carom seeds),1/4 teaspoon Red Chilli powder,2 tablespoons Curd (Dahi / Yogurt),1 tablespoon Sunflower Oil,Salt - to taste,1 Green Bell Pepper (Capsicum) - cut into cubes,1 teaspoon Cumin seeds (Jeera),1/4 teaspoon Asafoetida (hing),1 teaspoon Turmeric powder (Haldi),1/4 teaspoon Red Chilli powder,2 teaspoon Garam masala powder,1 teaspoon Amchur (Dry Mango Powder),1 teaspoon Coriander Powder (Dhania),1 teaspoon Coriander Powder (Dhania),Salt - to taste,4 sprig Coriander (Dhania) Leaves - chopped,Sunflower Oil</t>
  </si>
  <si>
    <t>Side Dish</t>
  </si>
  <si>
    <t>No Onion No Garlic (Sattvic)</t>
  </si>
  <si>
    <t xml:space="preserve">To begin making the Sukhe Gatte Capsicum Ki Sabzi Recipe we will first make the gatte.In a large mixing bowl, combine all the ingredients for the gatta. Add a few teaspoons of water at a time and knead to make a firm dough.Knead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Once the water comes to a brisk boil, add the gattas into the water and boil until they comes floating to the top. Once they come floating to the top, boil for another 3 to 4 minutes. Drain the gattas and keep it aside.To make the Sabzi, in a sauce pan add oil, add cumin seeds and asafoetida, allow the cumin seeds to crackle for few seconds.Once that is done, you can add chopped bell peppers (Capsicum) and saute until the capsicum become slightly soft.Turn the heat to low, add red chili powder, turmeric powder, garam masala, coriander powder, amchoor and salt.Add the cooked gattas at this stage, mix well to combine and sprinkle some water and cook until the raw smell of spice goes away.Saute for another 10 minutes and switch off the heat and garnish with coriander leaves and serve hot.Serve the Sukhe Gatte Capsicum Ki Sabzi Recipe along with Kadhi Pakoras , Mooli Paratha and Kadai Paneer Recipe to make it a rich meal for your Sunday lunch.
</t>
  </si>
  <si>
    <t>सूखे गट्टे शिमला मिर्च की सब्जी बनाने के लिए हम सबसे पहले गट्टे बनाएंगे। एक बड़े मिक्सिंग बाउल में गट्टे की सारी सामग्री मिला लें। एक बार में कुछ चम्मच पानी डालें और सख्त आटा गूंथ लें। बहुत नरम और पिघलने वाला गट्टा बनाने के लिए लगभग 5 मिनट तक अच्छी तरह गूंथें। अगर आप और पानी मिलाते हैं और यह आटे जैसा नहीं बनता है, तो आपको और बेसन मिलाना होगा और इसे अच्छी तरह गूंथना होगा। आटे को एक लंबे बेलन में बेल लें और उन्हें 1 इंच के टुकड़ों में काट लें। अगला कदम गट्टे को उबलते पानी में पकाना है। एक बड़े सॉस पैन में पानी उबालें। जब पानी में उबाल आ जाए, तो गट्टे को पानी में डालें और तब तक उबालें जब तक कि वे ऊपर तैरने न लगें। जब वे ऊपर तैरने लगें, तो 3 से 4 मिनट तक और उबालें। गट्टे को छान कर अलग रख लें। सब्जी बनाने के लिए एक सॉस पैन में तेल डालें, उसमें जीरा और हींग डालें, जीरे को कुछ सेकंड के लिए चटकने दें। एक बार जब यह हो जाए, तो आप कटी हुई शिमला मिर्च डाल सकते हैं और शिमला मिर्च को थोड़ा नरम होने तक भूनें। आँच धीमी कर दें, लाल मिर्च पाउडर, हल्दी पाउडर, गरम मसाला, धनिया पाउडर, अमचूर और नमक डालें। इस अवस्था में पके हुए गट्टे डालें, अच्छी तरह मिलाएँ और थोड़ा पानी छिड़कें और मसाले की कच्ची महक जाने तक पकाएँ। एक और 10 मिनट के लिए भूनें और आँच बंद कर दें और धनिया पत्ती से गार्निश करें और गर्मागर्म परोसें। सूखे गट्टे शिमला मिर्च की सब्जी रेसिपी को कढ़ी पकौड़े, मूली पराठा और कड़ाही पनीर रेसिपी के साथ परोसें</t>
  </si>
  <si>
    <t>https://www.archanaskitchen.com/rajasthani-style-sukhe-gatte-capsicum-ki-sabzi-recipe</t>
  </si>
  <si>
    <t>Rajasthani Kachri Ki Chutney Recipe –</t>
  </si>
  <si>
    <t>राजस्थानी कचरी की चटनी रेसिपी - राजस्थानी कचरी की चटनी रेसिपी</t>
  </si>
  <si>
    <t>6 कचेरी, 12 काली लहसुन, 4 सुखी लाल मिर्च, 1 बड़ा चम्मच जीरा, नमक - स्वाद, 3 बड़े चम्मच घी, 1 छोटा चम्मच घी</t>
  </si>
  <si>
    <t>6 kachris, 12 cloves garlic, 4 dry red chillies, 1 tablespoon cumin seeds, salt - as per taste, 3 tablespoons curd, 1 tsp ghee</t>
  </si>
  <si>
    <t>To make Rajasthani Kachri Chutney, first peel and chop the Kachri. Taste it before making it and see that it is not salty. In a mixer grinder put Kachri, garlic, dry red chilli, cumin seeds, salt and curd. Grind it well. If it is too thick then add some more curd and grind again. Now heat ghee in a Tadka pan. Add cumin seeds in it and let it cook for 10 seconds. Add the ground Kachri mixture in it and mix it. Serve. Serve Rajasthani Kachri Chutney with Panchmel Daal, Sev Tomato Sabzi, Palak Raita and Phulkas for lunch.</t>
  </si>
  <si>
    <t xml:space="preserve">राजस्थानी कचेरी की बनावट बनाने के लिए सबसे पहले कचेरी को चकमा दे दीजिये. बनाने से पहले मशरूम खा ले और देखिये की ये खरी न हो। एक पीस ग्राइंडर में कचरी, लहसुन, सुखी लाल मिर्च, जीरा, नमक और दही डाला जाता है। अच्छा तरी पीस ले. अगर ज्यादा गाढ़ी हो तो थोड़ा और दही डालें और फिर से पीस ले.अब एक तड़का पैन में घी गर्म करें. इसमें जीरा डाला और 10 सेकंड तक का बर्तन दे दिया। इसमें कचरी का पिसा हुआ मिक्स और मिला ले. घरेलु। राजस्थानी कचेरी की चटनी को पंचमेल दाल, सेव टमाटर की सब्जी, पालक रायता और फुलके के साथ दिन के खाने के लिए बनायें.
</t>
  </si>
  <si>
    <t>http://www.archanaskitchen.com/rajasthani-kachri-ki-chutney-recipe-wild-cucumber-chutney-in-hindi</t>
  </si>
  <si>
    <t>Jodhpuri Aloo Recipe</t>
  </si>
  <si>
    <t>जोधपुरी आलू रेसिपी</t>
  </si>
  <si>
    <t>500 ग्राम बेबी आलू - उबले हुए, 2 सूखी लाल मिर्च, 2 छोटे चम्मच तिल, 1 छोटा चम्मच जीरा, 1 छोटा चम्मच सौंफ, 1/4 छोटा चम्मच हींग, 1/2 छोटा चम्मच हल्दी, 1 छोटा चम्मच कश्मीरी लाल मिर्च पाउडर, 2 बड़े चम्मच लाल मिर्च के टुकड़े, 1 छोटा चम्मच आमचूर, 2 बड़े चम्मच धनिया पत्ते - बारीक कटे हुए, 1 बड़ा चम्मच सूरजमुखी तेल, नमक - स्वादानुसार</t>
  </si>
  <si>
    <t>500 grams Baby Potatoes - boiled,2 Dry Red Chillies,2 teaspoons Sesame seeds (Til seeds),1 teaspoon Cumin seeds (Jeera),1 teaspoon Fennel seeds (Saunf),1/4 teaspoon Asafoetida (hing),1/2 teaspoon Turmeric powder (Haldi),1 teaspoon Kashmiri Red Chilli Powder,2 tablespoons Red Chilli flakes,1 teaspoon Amchur (Dry Mango Powder),2 tablespoons Coriander (Dhania) Leaves - finely chopped,1 tablespoon Sunflower Oil,Salt - to taste</t>
  </si>
  <si>
    <t xml:space="preserve">To begin making the Jodhpuri Aloo Recipe, wash and pressure cook the baby potatoes for four whistles,  until they are well cooked. Peel the skin, cut them into halves and keep aside.Heat oil in a heavy bottomed pan, add the dry red chilli, cumin seeds, fennel seeds, white sesame seeds and let it splutter.Add the red chilli flakes and flavour the oil.Now, add in the boiled baby potatoes along with kashmiri red chili powder and  turmeric powder. Season with salt and mix well.Let the jodhpuri aloo roast on the slow heat, toss the baby potatoes occasionally from time to time.We have to slow roast the potatoes until they are slightly crisp on the outside. This will take around 12-15 minutes.Now, add in the amchur powder, combine well and switch off the heat. Garnish Jodhpuri Aloo with coriander leaves, sesame seeds and serve hot. Serve this Jodhpuri Aloo Recipe along with Rajasthani Kadhi and Phulkas for a delicious weekday lunch. You can also serve it with Ajwain Puri and Boondi Raita for breakfast.
</t>
  </si>
  <si>
    <t>जोधपुरी आलू रेसिपी बनाने के लिए, बेबी पोटैटो को धोकर चार सीटी आने तक पका लें, जब तक कि वे अच्छी तरह से पक न जाएं। छिलका उतारें, उन्हें दो हिस्सों में काट लें और एक तरफ रख दें। एक भारी तले की कड़ाही में तेल गर्म करें, उसमें सूखी लाल मिर्च, जीरा, सौंफ, सफेद तिल डालें और उसे फूटने दें। लाल मिर्च के गुच्छे डालें और तेल का स्वाद बढ़ाएँ। अब, उबले हुए बेबी पोटैटो के साथ कश्मीरी लाल मिर्च पाउडर और हल्दी पाउडर डालें। नमक डालकर अच्छी तरह मिलाएँ। जोधपुरी आलू को धीमी आँच पर भुनने दें, बीच-बीच में बेबी पोटैटो को हिलाते रहें। हमें आलू को तब तक धीमी आँच पर भूनना है जब तक कि वे बाहर से हल्के कुरकुरे न हो जाएँ। इसमें लगभग 12-15 मिनट का समय लगेगा। अब, अमचूर पाउडर डालें, अच्छी तरह मिलाएँ और आँच बंद कर दें। जोधपुरी आलू को धनिया पत्ती, तिल से गार्निश करें और गरमागरम परोसें। इस जोधपुरी आलू रेसिपी को राजस्थानी कढ़ी और फुल्के के साथ स्वादिष्ट सप्ताह के दिन के लंच के लिए परोसें। आप इसे नाश्ते में अजवाइन पूरी और बूंदी रायता के साथ भी परोस सकते हैं।</t>
  </si>
  <si>
    <t>http://www.archanaskitchen.com/jodhpuri-aloo-recipe</t>
  </si>
  <si>
    <t>Rajasthani Gunde Ki Sabzi Recipe (Bird Lime Stir Fry)</t>
  </si>
  <si>
    <t>राजस्थानी गुंडे की सब्जी रेसिपी (बर्ड लाइम स्टिर फ्राई)</t>
  </si>
  <si>
    <t>500 ग्राम गुंदे, 1 चम्मच मेथी, सूरजमुखी तेल - आवश्यकतानुसार, पानी - आवश्यकतानुसार, 1/2 चम्मच जीरा, 1/2 चम्मच हींग, 1 चम्मच सौंफ, 1/2 चम्मच सरसों, 1 चम्मच हल्दी, 1 चम्मच लाल मिर्च पाउडर, 1 चम्मच आमचूर, धनिया पत्ती - थोड़ी सी</t>
  </si>
  <si>
    <t>500 grams Gunde (bird lime),1 teaspoon Methi Seeds (Fenugreek Seeds),Sunflower Oil - as required,Water - as required,1/2 teaspoon Cumin seeds (Jeera),1/2 teaspoon Asafoetida (hing),1 teaspoon Fennel seeds (Saunf),1/2 teaspoon Mustard seeds,1 teaspoon Turmeric powder (Haldi),1 teaspoon Red Chilli powder,1 teaspoon Amchur (Dry Mango Powder),Coriander (Dhania) Leaves - few</t>
  </si>
  <si>
    <t xml:space="preserve">To begin making the Rajasthani Gunde Ki Sabzi, firstly boil the gunde in a saucepan with water, drain the water, remove the seeds and keep it aside to cool down for about an hour.Once it is done, heat oil in a heavy bottomed pan. Add cumin seeds, mustard seeds, fennel seeds, fenugreek seeds and hing.Let it cook for about a minute and then add the boiled gundas and mix it properly.Next, add turmeric powder, red chilli powder, amchur powder and the required salt. Give it a stir and let it cook for about 3 to 4 minutes.After 3 to 4 minutes, switch off the stove and garnish it with chopped coriander leaves.Serve Rajasthani Gunde Ki Sabzi with Panchmel Dal and hot Phulkas for a perfect meal.
</t>
  </si>
  <si>
    <t>राजस्थानी गुंदे की सब्जी बनाने के लिए सबसे पहले एक सॉस पैन में पानी के साथ गुंदे को उबालें, पानी निथार लें, बीज निकाल दें और इसे लगभग एक घंटे के लिए ठंडा होने के लिए रख दें। जब यह पक जाए तो एक भारी तले की कड़ाही में तेल गर्म करें। इसमें जीरा, राई, सौंफ, मेथी दाना और हींग डालें। इसे लगभग एक मिनट तक पकने दें और फिर उबले हुए गुंदे डालकर अच्छी तरह मिलाएँ। इसके बाद हल्दी पाउडर, लाल मिर्च पाउडर, अमचूर पाउडर और आवश्यकतानुसार नमक डालें। इसे चलाएँ और लगभग 3 से 4 मिनट तक पकने दें। 3 से 4 मिनट के बाद, चूल्हे को बंद कर दें और इसे कटी हुई धनिया पत्ती से गार्निश करें। राजस्थानी गुंदे की सब्जी को पंचमेल दाल और गरम फुल्के के साथ सर्व करें।</t>
  </si>
  <si>
    <t>https://www.archanaskitchen.com/rajasthani-gunde-ki-sabzi-recipe-bird-lime-stir-fry</t>
  </si>
  <si>
    <t>Lentils and Mixed Grains Kichada Recipe</t>
  </si>
  <si>
    <t>दाल और मिश्रित अनाज खिचड़ा रेसिपी</t>
  </si>
  <si>
    <t>1/4 कप टूटा हुआ गेहूं (दलिया / गोदुमई रवा) - 3 घंटे के लिए भिगोया हुआ, 1/4 कप बाजरा (बीज) - 3 घंटे के लिए भिगोया हुआ, 1/4 कप ज्वार के बीज - 3 घंटे के लिए भिगोया हुआ, 1/4 कप चना दाल (बंगाल ग्राम दाल), 1/4 कप मसूर दाल (पूरी), 1/2 कप चावल, 4 लहसुन की कलियां - कुचल, 2 इंच अदरक - कुचल, 2-3 हरी मिर्च, 2 टहनियाँ करी पत्ते, 1/4 कप धनिया (धनिया) के पत्ते, 1 चम्मच जीरा पाउडर (जीरा), 2 चम्मच लाल मिर्च पाउडर, 1 चम्मच हल्दी पाउडर (हल्दी), 3 चम्मच गरम मसाला पाउडर, 1/2 चम्मच हींग, सूरजमुखी का तेल - पकाने के लिए, 3 प्याज - बारीक कटा हुआ, 1 बड़ा चम्मच नींबू का रस, नमक - स्वादानुसार</t>
  </si>
  <si>
    <t>1/4 cups Broken Wheat (Dalia/ Godumai Rava) - soaked for 3 hours,1/4 cup Bajra (seeds) - soaked for 3 hours,1/4 cup Jowar Seeds - soaked for 3 hours,1/4 cup Chana dal (Bengal Gram Dal),1/4 cup Masoor Dal (Whole),1/2 cup Rice,4 cloves Garlic - crushed,2 inch Ginger - crushed,2-3 Green Chilli,2 sprigs Curry leaves,1/4 cup Coriander (Dhania) Leaves,1 teaspoon Cumin powder (Jeera),2 teaspoons Red Chilli powder,1 teaspoon Turmeric powder (Haldi),3 teaspoons Garam masala powder,1/2 teaspoon Asafoetida (hing),Sunflower Oil - for cooking,3 Onions - finely chopped,1 tablespoon Lemon juice,Salt - to taste</t>
  </si>
  <si>
    <t>High Protein Vegetarian</t>
  </si>
  <si>
    <t xml:space="preserve">To prepare the Lentils and Mixed Grains Kichada Recipe, first get all the ingredients handy.Drain water from the soaked wheat and bajra and grind them in a mixer grinder to make a coarse paste.Pour water (5 cups) in a deep kadai just enough to cook the coarse grain mixture.Add 1 cup of rice and chana dal to the boiling mixture.After 10 minutes when the rice is half done, add in masur dal, turmeric powder, salt and mix well. Allow it to cook further for about 10 minutes on a medium flame.Take another deep frying pan to heat oil. Once the oil is hot, fry in onions till golden brown.Add in green chillies, ginger garlic paste and jeera powder and mix it well.Simmer the flame to toss in red chilli powder, garam masala powder, curry leaves and hing powder. Saute for half a minute.Slowly add cooked cereals to it and mix until the masala blends in it evenly.Garnish the Lentils and Mixed Grains Kichada Recipe with a generous pinch of finely chopped coriander, a few rings of onion and lemon for the dish to look as yummy as it tastes.
</t>
  </si>
  <si>
    <t>दाल और मिश्रित अनाज खिचड़ा रेसिपी बनाने के लिए सबसे पहले सभी सामग्री तैयार कर लें। भिगोए हुए गेहूं और बाजरे से पानी निकाल दें और मिक्सर ग्राइंडर में पीसकर दरदरा पेस्ट बना लें। एक गहरी कढ़ाई में 5 कप पानी डालें, जो मोटे अनाज के मिश्रण को पकाने के लिए पर्याप्त हो। उबलते हुए मिश्रण में 1 कप चावल और चना दाल डालें। 10 मिनट बाद जब चावल आधा पक जाए, तो उसमें मसूर दाल, हल्दी पाउडर, नमक डालें और अच्छी तरह मिलाएँ। इसे मध्यम आँच पर लगभग 10 मिनट तक पकने दें। एक और गहरे फ्राइंग पैन में तेल गरम करें। तेल गरम होने पर उसमें प्याज़ डालकर सुनहरा भूरा होने तक भूनें। हरी मिर्च, अदरक लहसुन का पेस्ट और जीरा पाउडर डालें और अच्छी तरह मिलाएँ। लाल मिर्च पाउडर, गरम मसाला पाउडर, करी पत्ता और हींग पाउडर डालकर आँच धीमी कर दें। आधे मिनट तक भूनें। धीरे-धीरे इसमें पका हुआ अनाज डालें और तब तक मिलाएँ जब तक मसाला इसमें अच्छी तरह से मिल न जाए। दाल और मिश्रित अनाज खिचड़ा रेसिपी को बारीक कटा हरा धनिया, प्याज के कुछ छल्ले और नींबू के साथ गार्निश करें ताकि यह देखने में भी उतना ही स्वादिष्ट लगे जितना इसका स्वाद है।</t>
  </si>
  <si>
    <t>http://www.archanaskitchen.com/lentils-and-mixed-grains-kichada-recipe</t>
  </si>
  <si>
    <t>Rajasthani Ghasela Recipe - Besan Ka Pitta (Recipe In Hindi)</t>
  </si>
  <si>
    <t>राजस्थानी घसेला रेसिपी - बेसन का पित्त (रेसिपी इन हिंदी)</t>
  </si>
  <si>
    <t>तेल - प्रयोग के अनुसार, 1 छोटा चम्मच जीरा, 1/2 छोटा चमचा हींग, 1 प्याज - सोडा ले, 2 हरी मिर्च - हरा प्याज - खट्टा, 1-1/2 कप बेसन, हरा धनिया - छोटा, 1 छोटा चम्मच लाल मिर्च पाउडर, 1 छोटा चम्मच हल्दी पाउडर, नमक - स्वादानुसार</t>
  </si>
  <si>
    <t>Oil - As per use, 1 teaspoon cumin seeds, 1/2 teaspoon asafoetida, 1 onion - finely chopped, 2 green chillies - finely chopped, green onions - little, 1-1 / 2 cup gram flour, green coriander - little, 1 teaspoon red chilli powder, 1 teaspoon turmeric powder, salt - as per taste</t>
  </si>
  <si>
    <t>To make Rajasthani Ghasela, first heat oil in a pan. Add cumin seeds and asafoetida. After 10 seconds add green chillies and onions. Cook till onions become soft. Meanwhile take gram flour and water in a bowl. Mix well and then add red chilli powder, turmeric powder and salt. Mix everything and add chopped spring onions. Pour this mixture in the pan and keep mixing. Keep stirring it for 20 minutes till the gram flour gets cooked well. After cooking, garnish with coriander leaves and serve hot. Serve Rajasthani Ghasela with Lahsuni Daal, Boondi Raita and Phulkas for lunch.</t>
  </si>
  <si>
    <t xml:space="preserve">राजस्थानी घसेला बनाने के लिए सबसे पहले एक मसाले में तेल गरम कर ले. जीरा और हिंग डाला गया। 10 सेकंड के बाद इसमें हरी मिर्च और प्याज डाला गया। प्याज के होने का खतरा मसाला दे तक. तब तक एक बाउल में बेसन और पानी डाला गया। अच्छी तरह से मिला ले और फिर नारियल पाउडर, हल्दी पाउडर और नमक डाल दिया। मिलाप ले और इसमें कटे हुए हरे प्याज डाल दिए। इस मिश्रण को प्लेट में डाला और मिलाते रहे. 20 मिनट तक इसे हिलाते रहे जब तक की बेसन अच्छी तरह से पक न जाए। मसालों के बाद, हरे धनिए से गार्निश करें और गरमा-गरम बनाएं। राजस्थानी घसेला को लहसुनी दाल, बूंदी रायता और फुलके के साथ दिन में खाने के लिए तैयार करें.
</t>
  </si>
  <si>
    <t>https://www.archanaskitchen.com/besan-ka-pitta-recipe-in-hindi</t>
  </si>
  <si>
    <t>Rajasthani Gatte Ki Sabzi Recipe With Onion &amp; Garlic</t>
  </si>
  <si>
    <t>प्याज और लहसुन के साथ राजस्थानी गट्टे की सब्जी रेसिपी</t>
  </si>
  <si>
    <t>1 कप बेसन, 1/2 चम्मच अजवाइन, 1/4 चम्मच लाल मिर्च पाउडर, 2 बड़े चम्मच दही, 2 बड़े चम्मच सूरजमुखी तेल, नमक - स्वादानुसार, 2 बड़े चम्मच बेसन, 2 कप दही, 4 लहसुन की कलियां, 1 प्याज - बारीक कटा हुआ, 1/4 चम्मच हींग, 1 चम्मच हल्दी, 1/4 चम्मच लाल मिर्च पाउडर, 1 तेज पत्ता - तोड़ा हुआ, 3 लौंग, 1 इंच दालचीनी, नमक - स्वादानुसार, 4 धनिया पत्ते - कटे हुए, 1/2 चम्मच सरसों के बीज, 1 बड़ा चम्मच घी</t>
  </si>
  <si>
    <t>1 cup Gram flour (besan),1/2 teaspoon Ajwain (Carom seeds),1/4 teaspoon Red Chilli powder,2 tablespoons Curd (Dahi / Yogurt),2 tablespoons Sunflower Oil,Salt - to taste,2 tablespoons Gram flour (besan),2 cups Curd (Dahi / Yogurt),4 cloves Garlic,1 Onion - finely chopped,1/4 teaspoon Asafoetida (hing),1 teaspoon Turmeric powder (Haldi),1/4 teaspoon Red Chilli powder,1 Bay leaf (tej patta) - torn,3 Cloves (Laung),1 inch Cinnamon Stick (Dalchini),Salt - to taste,4 sprig Coriander (Dhania) Leaves - chopped,1/2 teaspoon Mustard seeds,1 tablespoon Ghee</t>
  </si>
  <si>
    <t xml:space="preserve">To begin making the Rajasthani Gatte Ki Sabzi Recipe we will first make the gatte.In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ready.To make the kadhi, in a mixing bowl, combine the yogurt, gram flour until it becomes a smooth paste. Add 2-1/2 cups of water, asafoetida, turmeric powder, red chilli powder and salt. Whisk well.Heat 1 tablespoon ghee in a sauce pan; add the mustard seeds and allow it to crackle. Add the onion, ginger and saute until the onion softens. Add the bay leaf, cloves, cinnamon and green chillies and saute until you can smell the aromas coming through for a few seconds.Stir in the Gatte Ki Kadhi mixture into the masala and boil briskly until the Gatte Ki Sabzi mixture thickens and comes together. You can either keep it thick or keep it a little thin, by adding water if desired.Once the boiled enough, stir in the boiled Gatte and simmer Rajasthani Gatte Ki Sabzi for 2 to 3 more minutes. Once done, check the salt and spices and turn off the heat. Stir in the coriander leaves and serve. Serve the Gatte Ki Sabzi along with Khooba Roti and Spicy Paneer Pulao With Vegetables, Kachumber Salad and Boondi Raita.
</t>
  </si>
  <si>
    <t xml:space="preserve">राजस्थानी गट्टे की सब्जी बनाने के लिए सबसे पहले हम गट्टे बनाएंगे। एक बड़े कटोरे में गट्टे की सारी सामग्री मिला लें। थोड़ा-थोड़ा करके पानी मिलाते हुए सख्त आटा गूंथ लें। बहुत नरम और पिघलने वाला गट्टा बनाने के लिए इसे लगभग 5 मिनट तक अच्छी तरह गूंथ लें। अगर आप और पानी मिलाते हैं और यह आटे जैसा नहीं बनता है, तो आपको और बेसन मिलाना होगा और इसे अच्छी तरह गूंथना होगा। आटे को एक लंबे सिलेंडर में रोल करें और उन्हें 1 इंच के टुकड़ों में काट लें। अगला कदम है उबलते पानी में गट्टे पकाना। एक बड़े सॉस पैन में पानी उबालें जब तक कि यह तेज उबाल न आ जाए। जब ​​पानी में तेज उबाल आ जाए, तो इसमें गट्टे डालें और तब तक उबालें जब तक कि वे ऊपर तैरने न लगें। 2-1/2 कप पानी, हींग, हल्दी पाउडर, लाल मिर्च पाउडर और नमक डालें। अच्छी तरह से फेंटें। एक सॉस पैन में 1 बड़ा चम्मच घी गर्म करें, उसमें राई डालें और उसे चटकने दें। इसमें प्याज, अदरक डालें और प्याज के नरम होने तक भूनें। इसमें तेज पत्ता, लौंग, दालचीनी और हरी मिर्च डालें और कुछ सेकंड के लिए सुगंध आने तक भूनें। मसाले में गट्टे की कढ़ी का मिश्रण डालें और तब तक उबालें जब तक कि गट्टे की सब्जी का मिश्रण गाढ़ा न हो जाए और एक साथ न आ जाए। आप चाहें तो इसे गाढ़ा या थोड़ा पतला रख सकते हैं, अगर चाहें तो पानी मिला सकते हैं। जब पर्याप्त उबल जाए तो इसमें उबले हुए गट्टे डालें और राजस्थानी गट्टे की सब्जी को 2 से 3 मिनट तक और पकने दें गट्टे की सब्जी को ख़ूब रोटी और सब्जियों के साथ मसालेदार पनीर पुलाव, कचुम्बर सलाद और बूंदी रायता के साथ परोसें।
</t>
  </si>
  <si>
    <t>https://www.archanaskitchen.com/rajasthani-gatte-ki-sabzi-recipe-with-onion-garlic</t>
  </si>
  <si>
    <t>Lauki Badi Ki Sabzi (Recipe In Hindi)</t>
  </si>
  <si>
    <t>लौकी बड़ी की सब्जी - लौकी बड़ी की सब्जी (रेसिपी इन हिंदी)</t>
  </si>
  <si>
    <t>1/2 लोकी - चुटकी भर, 1/2 कप वडी, तेल - प्रयोग अनुसार, 4 छोटा चमच्च जीरा, 1/2 छोटा चमचमा धनिया पाउडर, हींग - चुटकी भर, 1 हरी मिर्च - मीठी कटी हुई, 1 इंच अदरक - कसा हुआ, 3 काली मिर्च - कसा हुआ, 1 छोटा चमच्च लाल मिर्च पाउडर, 1/2 छोटा चमचमा हल्दी पाउडर, 1/2 छोटा चमचमा धनिया पाउडर, 1/4 छोटा चमच्च गरम मसाला</t>
  </si>
  <si>
    <t>1/2 gourd - peel and chop, 1/2 cup wood, oil - 4 curry leaves, 1/2 teaspoon cumin seeds, 1/2 teaspoon mustard, asafoetida - a pinch, 1 green chili - finely chopped , 1 inch ginger - grated, 3 cloves garlic - grated, 1 teaspoon red chilli powder, 1/2 teaspoon turmeric powder, 1/2 teaspoon coriander powder, 1/2 teaspoon garam masala powder</t>
  </si>
  <si>
    <t>Main Course</t>
  </si>
  <si>
    <t>To make Lauki Badi Sabzi, first roast the Badi in a pan till it becomes brown. Take care that the Badi does not burn. Once roasted, keep it aside to cool. Heat oil in a pan, add cumin seeds, mustard seeds and asafoetida. After 20 seconds, add green chillies, ginger and garlic. After 1 minute, add bottle gourd and cook till it becomes soft. After it becomes soft, add roasted Badi and mix it. Now add red chilli powder, turmeric powder, coriander powder, garam masala powder and salt. After 10 seconds, add milk and cook on low flame for 20 seconds. Garnish with coriander leaves and serve hot. Serve Lauki Badi Sabzi with Panchmel Daal and Tawa Paratha for lunch.</t>
  </si>
  <si>
    <t xml:space="preserve">लोकी बड़ी की सब्जी बनाने के लिए, सबसे पहले बड़ी को एक प्लेट में ब्राउन होने तक सेक ले. ध्यान रखें की बड़ी जले ना. सिक जाने के बाद उसे ठंडा होने के लिए रख दे। एक मसाले में तेल गर्म करें, नारियल जीरा, राइ और हिंग डाला गया। 20 सेकंड के बाद नारियल हरी मिर्च और अदरक कहसुन डाला गया। 1 मिनट बाद इसमें लोकी डाल दी गई और उसे प्राकृतिक होने तक पकाया गया। नर होने के बाद इसमें सिकी हुई बड़ी डाली और मिला ले. अब लाल मिर्च पाउडर, हल्दी पाउडर, धनिया पाउडर, गरम मसाला पाउडर और नमक डाला गया. 10 सेकंड बाद इसमें दूध डाला गया और 20 सेकंड के लिए धीमी गति से पकाया गया। हरे धनिए से गार्निश करें और गरमा-गरम बनाएं। लोकी बड़ी की सब्जी को पंचमेल दाल और तवा पराठा के साथ दिन के खाने के लिए पकाएं। 
</t>
  </si>
  <si>
    <t>https://www.archanaskitchen.com/lauki-badi-ki-sabzi-recipe-in-hindi</t>
  </si>
  <si>
    <t>Green Chana Chutney (Green Chickpea Chutney) Recipe</t>
  </si>
  <si>
    <t>हरे चने की चटनी रेसिपी</t>
  </si>
  <si>
    <t>1 कप ताजा हरा चना - या जमे हुए, 3 हरी मिर्च - समायोज्य, 6 लहसुन की कलियाँ, नमक - स्वादानुसार, पानी - आवश्यकतानुसार, सूरजमुखी तेल - आवश्यकतानुसार, 1/2 बड़ा चम्मच जीरा (जीरा), 2 बड़े चम्मच दही (दही)</t>
  </si>
  <si>
    <t>1 cup Fresh green chickpeas - or frozen,3 Green Chillies - adjustable,6 cloves Garlic,Salt - to taste,Water - as required,Sunflower Oil - as required,1/2 tablespoon Cumin seeds (Jeera),2 tablespoons Curd (Dahi / Yogurt)</t>
  </si>
  <si>
    <t xml:space="preserve">To begin making the Green Chana Chutney recipe, take a grinder jar and add green chana, green chillies, garlic, water and salt. Grind the mixture in a paste.Take out the paste in a bowl. Next, heat a pan and add the required oil.Once oil is hot, add cumin seeds. Let it crackle.Next, add curd and keep stirring. After a minute, add the green chana paste and let it cook for another 2 minutes.After 2 minutes, switch off the stove and the chutney is ready to serve.Serve Green Chana Chutney as a side dish along with your meal of Panchmel Dal, Boondi Raita and Phulkas.
</t>
  </si>
  <si>
    <t>हरे चने की चटनी बनाने की विधि शुरू करने के लिए, एक ग्राइंडर जार लें और उसमें हरे चने, हरी मिर्च, लहसुन, पानी और नमक डालें। मिश्रण को पीसकर पेस्ट बना लें। पेस्ट को एक कटोरे में निकाल लें। इसके बाद, एक पैन गरम करें और उसमें आवश्यकतानुसार तेल डालें। तेल गरम होने पर उसमें जीरा डालें। इसे चटकने दें। इसके बाद, दही डालें और चलाते रहें। एक मिनट के बाद, हरे चने का पेस्ट डालें और इसे 2 मिनट तक पकने दें। 2 मिनट के बाद, चूल्हा बंद कर दें और चटनी परोसने के लिए तैयार है। हरे चने की चटनी को अपने खाने के साथ पंचमेल दाल, बूंदी रायता और फुल्के के साथ साइड डिश के रूप में परोसें।</t>
  </si>
  <si>
    <t>https://www.archanaskitchen.com/green-chana-chutney-green-chickpea-chutney-recipe</t>
  </si>
  <si>
    <t>Cluster bean dry vegetable recipe - Cluster bean dry vegetable recipe (Recipe in Hindi)</t>
  </si>
  <si>
    <t>गवारफली की सुखी सब्जी रेसिपी - गवारफली की सुखी सब्जी (रेसिपी इन हिंदी)</t>
  </si>
  <si>
    <t>1 प्याज - 1/2 कप ग्वार फली - छोटा कट ले, 1/2 छोटा चमच्च जीरा, 1/2 छोटा चमच्च लहसुन - कस ले, तेल - प्रयोग, 1/2 छोटा चमच्च हल्दी पाउडर, 1 छोटा चमच्च धनिया पाउडर, 1/2 छोटा चमच्च जीरा पाउडर, 1 छोटा चम्मच लाल मिर्च पाउडर, नमक - प्रयोग अनुसार</t>
  </si>
  <si>
    <t>1 onion - finely chopped, 1-1 / 2 cup gwar pods - cut into small pieces, 1/2 teaspoon cumin seeds, 1/2 teaspoon garlic - tightly, oil - as per use, 1/2 teaspoon turmeric powder, 1 teaspoon coriander powder, 1/2 teaspoon cumin powder, 1 teaspoon red chili powder, salt - as per use</t>
  </si>
  <si>
    <t>To make Cluster bean Sukhi Sabzi, first heat oil in a pan. Add cumin seeds and let it cook for 10 seconds. Now add garlic and cook for 1 minute. After 1 minute add onions and cook till the onions become soft. Now add cluster bean and 1/2 cup water. After half cooked, add coriander powder, red chili powder, cumin powder and salt. Mix and cook till the cluster bean is cooked well. Serve Cluster bean Sukhi Sabzi with Rabodi ki Sabzi and Phulkas for lunch.</t>
  </si>
  <si>
    <t xml:space="preserve">ग्वारफली की सुखी सब्जी बनाने के लिए सबसे पहले एक मसाले में तेल गरम कर ले. इसमें जीरा डाला और 10 सेकंड तक का बर्तन दे दिया।  अब लहसुन डाला और 1 मिनट तक पकाए। 1 मिनट बाद इसमें ओएनजीस डाला और के नंगा ओंज होने तक पकाए। अब इसमें ग्वारफली और 1/2 कप पानी डाला गया है। आधे के मसाले के बाद इसमें धनिया पाउडर, लाल मिर्च पाउडर, जीरा पाउडर और डाला हुआ नमक शामिल है। मिलाए और तब तक पकाए जब तक गवारफली अच्छी तरह से पक न जाए।  गवारफली की सुखी सब्जी को रबड़ी की सब्जी और फुलके के साथ दिन के खाने के लिए बनाएं.
</t>
  </si>
  <si>
    <t>http://www.archanaskitchen.com/gavarfali-ki-sukhi-sabzi-recipe-in-hindi</t>
  </si>
  <si>
    <t>Chatpati Sattu Ki Kachori Recipe - Kachori Stuffed With Sattu And Pickle</t>
  </si>
  <si>
    <t>चटपटी सत्तू की कचौरी रेसिपी - सत्तू और अचार से भरी कचौरी</t>
  </si>
  <si>
    <t>500 ग्राम मैदा, 1/4 कप सूजी, 2 बड़े चम्मच सूरजमुखी तेल, पानी - आवश्यकतानुसार, 200 ग्राम भुना हुआ बेसन (सत्तू का आटा), 1/2 चम्मच अजवाइन, 1/2 चम्मच नमक, 2 बड़े चम्मच सरसों का तेल, 2 चम्मच नींबू का रस, 1/4 कप अचार - लाल मिर्च का अचार, 1-1/2 चम्मच लहसुन - बारीक कटा हुआ, 1-1/2 चम्मच अदरक - बारीक कटा हुआ, 2 हरी मिर्च - बारीक कटी हुई, 1 प्याज - छोटा, 3 धनिया (धनिया) पत्तियां - गार्निश के लिए बारीक कटी हुई, सूरजमुखी तेल - तलने के लिए</t>
  </si>
  <si>
    <t>500 grams All Purpose Flour (Maida),1/4 cup Sooji (Semolina/ Rava),2 tablespoons Sunflower Oil,Water - as required,200 grams Roasted Gram Flour (Sattu Ka Atta),1/2 teaspoon Ajwain (Carom seeds),1/2 teaspoon Salt,2 tablespoons Mustard oil,2 teaspoons Lemon juice,1/4 cup Pickle - red chilli pickle,1-1/2 teaspoon Garlic - finely chopped,1-1/2 teaspoon Ginger - finely chopped,2 Green Chillies - finely chopped,1 Onion - small,3 Coriander (Dhania) Leaves - chopped fine for garnish,Sunflower Oil - for frying</t>
  </si>
  <si>
    <t>Snack</t>
  </si>
  <si>
    <t xml:space="preserve">To begin making Chatpati Sattu Kachori, we have to first make the filling for the kachori. For the fillingIn a bowl, mix together the sattu flour, salt and ajwain. Add the mustard oil, lemon juice and rub them into the flour.Next, add the red chilli pickle, squish &amp; rub it into the sattu flour including the chilli skin and chilli stuffing. Mix everything well.Add the finely chopped garlic, ginger, green chillies, onions and coriander leaves and mix everything well. Keep it aside. The masala for kachori is ready.To make the pastry dough for kachori, mix together maida and sooji in a bowl. Add the oil and rub it into the flour with your fingers. Add water slowly, mix and make a stiff dough.While you are making the dough, add ample oil to the frying pan and get it ready for deep frying the kachoris. Keep the frying pan on low medium heat.The final step is to make the Kachori. Divide the dough in 30 equal parts and roll each into three and half inch size discs.Take the required achari sattu masala and place it in the middle of the disc.Bring the edges together and seal the top by slightly twisting it and pressing against the ball. Keep the balls covered with a moist cloth. Pat them a little to get a flat shape.Once the oil is hot, slide in the kachoris one by one and fry them till the kachoris become golden brown in colour.Serve Chatpati Sattu Kachori with Dhaniya Pudina Chutney or Imli chutney as an evening snack along with a cup of Adrak Chai or at Holi with a glass of chilled Thandai.
</t>
  </si>
  <si>
    <t>चटपटी सत्तू कचौरी बनाने के लिए सबसे पहले हमें कचौरी का भरावन तैयार करना होगा। भरावन के लिए एक कटोरे में सत्तू का आटा, नमक और अजवाइन मिला लें। इसमें सरसों का तेल, नींबू का रस मिलाएं और इन्हें आटे में मलें। इसके बाद लाल मिर्च का अचार डालें, इसे निचोड़ें और मिर्च के छिलके और मिर्च के भरे हुए मिश्रण के साथ सत्तू के आटे में मलें। सारी चीजों को अच्छे से मिला लें। इसमें बारीक कटा हुआ लहसुन, अदरक, हरी मिर्च, प्याज और धनिया पत्ती डालकर सारी चीजों को अच्छे से मिला लें। इसे एक तरफ रख दें। कचौरी के लिए मसाला तैयार है। कचौरी का आटा बनाने के लिए एक कटोरे में मैदा और सूजी को मिला लें। इसमें तेल मिलाएं और इसे उंगलियों से आटे में मलें। इसमें धीरे-धीरे पानी मिलाएं और सख्त आटा गूंथ लें। जब आप आटा गूंथ रहे हों तो कढ़ाई में पर्याप्त तेल डालें और कचौरी तलने के लिए तैयार कर लें। कढ़ाई को धीमी मध्यम आंच पर रखें। आखिरी स्टेप है कचौरी बनाना। आटे को 30 बराबर भागों में बाँट लें और हर एक को साढ़े तीन इंच के गोल आकार में बेल लें। आवश्यक अचारी सत्तू मसाला लें और इसे गोल आकार के बीच में रखें। किनारों को एक साथ लाएँ और ऊपरी हिस्से को थोड़ा मोड़कर और बॉल के खिलाफ दबाकर सील करें। बॉल्स को एक नम कपड़े से ढक कर रखें। उन्हें चपटा आकार देने के लिए थोड़ा थपथपाएँ। तेल गरम होने पर, एक-एक करके कचौड़ी डालें और उन्हें तब तक तलें जब तक कि कचौड़ी सुनहरे भूरे रंग की न हो जाएँ। चटपटी सत्तू कचौड़ी को धनिया पुदीना चटनी या इमली चटनी के साथ शाम के नाश्ते में एक कप अदरक चाय के साथ या होली पर एक गिलास ठंडी ठंडाई के साथ परोसें।</t>
  </si>
  <si>
    <t>https://www.archanaskitchen.com/chatpati-sattu-ki-kachori-recipe-kachori-stuffed-with-sattu-and-pickle</t>
  </si>
  <si>
    <t>Marwadi Gatte Ki Kadhi Recipe - Gram Flour Dumpling In Yogurt Curry</t>
  </si>
  <si>
    <t>मारवाड़ी गट्टे की कढ़ी रेसिपी - दही की सब्जी में बेसन की पकौड़ी</t>
  </si>
  <si>
    <t>1/2 कप बेसन, 1/2 चम्मच लाल मिर्च पाउडर, 1/2 चम्मच अजवाइन, 1 बड़ा चम्मच दही, नमक - स्वादानुसार, 2 बड़े चम्मच बेसन, 1 कप दही, 4 लहसुन की कलियाँ, 2 हरी मिर्च, 1/2 चम्मच हल्दी पाउडर, नमक - स्वादानुसार, 1 टहनी धनिया - बारीक कटा हुआ, 1 चम्मच घी, 1/2 चम्मच जीरा, 1 सूखी लाल मिर्च, 1 इंच दालचीनी</t>
  </si>
  <si>
    <t>1/2 cup Gram flour (besan),1/2 teaspoon Red Chilli powder,1/2 teaspoon Ajwain (Carom seeds),1 tablespoon Curd (Dahi / Yogurt),Salt - to taste,2 tablespoon Gram flour (besan),1 cup Curd (Dahi / Yogurt),4 cloves Garlic,2 Green Chillies,1/2 teaspoon Turmeric powder (Haldi),Salt - to taste,1 sprig Coriander (Dhania) Leaves - finely chopped,1 teaspoon Ghee,1/2 teaspoon Cumin seeds (Jeera),1 Dry Red Chilli,1 inch Cinnamon Stick (Dalchini)</t>
  </si>
  <si>
    <t xml:space="preserve">To begin making the Marwadi Gatte Ki Kadhi Recipe (Gram Flour Dumpling In Yogurt Curry Recipe), we will first make the gatte.In a mixing bowl, combine all the ingredients for the gatte including gram flour, red chilli powder, ajwain, curd, salt and knead to make a stiff dough. Add a little water if required.Divide the gatte mixture into 8 to 10 small portions, and shape into a small cylindrical roll. Keep it aside.The next step is to cook the gatte.Heat water in the saucepan and bring it to a roaring boil. Place the gatte in the boiling water and allow it to cook for about 7 to 8 minutes.You will notice the gatte rising to the top. After 7 to 8 minutes, drain the gatte from the water and keep aside.In a small pestle and motor, pound the garlic and green chilies to make a coarse paste.The next step is to make the kadhi. In a large saucepan, whisk the yogurt along with the gram flour in a mixing bowl. Add 2 cups of water to make a smooth batter. Add the coarse paste and turmeric powder.Place the saucepan over high heat, add the kadhi mixture into it and bring the kadhi to a boil. Keep whisking while the kadhi boils to bring the mixture to a homogeneous consistency.Once the kadhi thickens, turn the heat to low, add the gatte and allow it to simmer for another 5 minutes.While the Gatte ki Kadhi is simmering, we will proceed to make the tadka. Heat ghee over medium heat in a tadka pan, add the cumin seeds, red chili, and cinnamon and saute for a few seconds.Add the tadka to the Gatte ki Kadhi, stir in the coriander leaves and serve.Serve the Gatte Ki Kadhi Recipe along with Gehun Ki Bikaneri Khichdi, Bajri Ki Roti and Bharwa Bhindi for a weekday meal.
</t>
  </si>
  <si>
    <t>मारवाड़ी गट्टे की कढ़ी रेसिपी (दही की सब्जी में बेसन की पकौड़ी) बनाने के लिए सबसे पहले हम गट्टे बनाएंगे। एक मिक्सिंग बाउल में गट्टे की सारी सामग्री जैसे बेसन, लाल मिर्च पाउडर, अजवाइन, दही, नमक डालकर सख्त आटा गूंथ लें। अगर ज़रूरत हो तो थोड़ा पानी डालें। गट्टे के मिश्रण को 8 से 10 छोटे भागों में बाँट लें और एक छोटे बेलनाकार रोल का आकार दें। इसे एक तरफ रख दें। अगला स्टेप है गट्टे पकाना। सॉस पैन में पानी गर्म करें और इसे उबाल आने दें। गट्टे को उबलते पानी में डालें और इसे लगभग 7 से 8 मिनट तक पकने दें। आप देखेंगे कि गट्टे ऊपर आ रहे हैं। 7 से 8 मिनट बाद गट्टे को पानी से निकाल लें और एक तरफ रख दें। एक बड़े सॉस पैन में दही को मिक्सिंग बाउल में बेसन के साथ फेंट लें। 2 कप पानी डालकर चिकना घोल बना लें। दरदरा पेस्ट और हल्दी पाउडर डालें। सॉस पैन को तेज़ आँच पर रखें, उसमें कढ़ी का मिश्रण डालें और कढ़ी को उबाल लें। मिश्रण को एकसार होने तक कढ़ी में उबाल आने तक फेंटते रहें। जब कढ़ी गाढ़ी हो जाए तो आँच धीमी कर दें, उसमें गट्टे डालें और 5 मिनट तक उबलने दें। जब गट्टे की कढ़ी उबल रही हो, तो हम तड़का लगाना शुरू कर देंगे। एक तड़के वाले पैन में मध्यम आँच पर घी गर्म करें, उसमें जीरा, लाल मिर्च और दालचीनी डालकर कुछ सेकंड के लिए भूनें। तड़का गट्टे की कढ़ी में डालें, धनिया पत्ती डालकर चलाएँ और परोसें। गट्टे की कढ़ी रेसिपी को गेहूं की बीकानेरी खिचड़ी, बाजरे की रोटी और भरवा भिंडी के साथ दिन के खाने में परोसें।</t>
  </si>
  <si>
    <t>https://www.archanaskitchen.com/marwadi-gatte-ki-kadhi-recipe-gram-flour-dumpling-in-yogurt-curry-recipe</t>
  </si>
  <si>
    <t>Bean and Pepper Vegetable Recipe</t>
  </si>
  <si>
    <t>बेसन और मिर्च की सब्जी रेसिपी</t>
  </si>
  <si>
    <t>1/2 कप बेसन, 10 हरी मिर्च, सूरजमुखी तेल - आवश्यकतानुसार, 1/2 चम्मच हींग, पानी - आवश्यकतानुसार, 1/2 चम्मच लाल मिर्च पाउडर, 1/4 चम्मच हल्दी, 1 चम्मच नींबू का रस, नमक - आवश्यकतानुसार, धनिया पत्ती - आवश्यकतानुसार</t>
  </si>
  <si>
    <t>1/2 cup Gram flour (besan),10 Green Chillies,Sunflower Oil - as required,1/2 teaspoon Asafoetida (hing),Water - as required,1/2 teaspoon Red Chilli powder,1/4 teaspoon Turmeric powder (Haldi),1 teaspoon Lemon juice,Salt - as required,Coriander (Dhania) Leaves - as required</t>
  </si>
  <si>
    <t xml:space="preserve">To begin making the Besan Aur Mirch Ki Sabzirecipe, firstly take out the seeds from the chillies, slit it from between and cut it in to half.Heat oil in a wok/kadai and add the asafoetida. After 5 to 10 seconds, add the green chillies and cook it till it becomes soft.Meanwhile, take a bowl and add besan, required water, red chilli powder, turmeric powder, salt and lemon juice. Mix it well.Once the green chillies are cooked, add in this mixture and cook till the besan is cooked well.Once it is done, take it out and garnish with fresh coriander leaves.Serve Besan Aur Mirch Ki Sabzi along with Rajasthani Dal Baati Churma for a holiday lunch with your friends and family.
</t>
  </si>
  <si>
    <t>बेसन और मिर्च की सब्जी बनाने के लिए सबसे पहले मिर्च के बीज निकाल लें, बीच से चीर कर आधा काट लें। एक कड़ाही में तेल गरम करें और उसमें हींग डालें। 5 से 10 सेकंड के बाद, हरी मिर्च डालें और नरम होने तक पकाएँ। इस बीच, एक कटोरा लें और उसमें बेसन, आवश्यक पानी, लाल मिर्च पाउडर, हल्दी पाउडर, नमक और नींबू का रस डालें। इसे अच्छे से मिलाएँ। हरी मिर्च के पक जाने के बाद, इस मिश्रण को डालें और बेसन के अच्छी तरह पकने तक पकाएँ। एक बार जब यह पक जाए, तो इसे निकाल लें और ताज़ी धनिया पत्ती से गार्निश करें। बेसन और मिर्च की सब्जी को राजस्थानी दाल बाटी चूरमा के साथ अपने दोस्तों और परिवार के साथ छुट्टी के लंच के लिए परोसें।</t>
  </si>
  <si>
    <t>https://www.archanaskitchen.com/besan-aur-mirch-ki-sabzi-recipe</t>
  </si>
  <si>
    <t>Rajasthani Hare Chane Ka Halwa Recipe – Rajasthani Hare Chane Ka Halwa (Recipe In Hindi)</t>
  </si>
  <si>
    <t>राजस्थानी हरे चने का हलवा रेसिपी - राजस्थानी हरे चने का हलवा (रेसिपी इन हिंदी)</t>
  </si>
  <si>
    <t>1 कप हरे चने - पूड़ी बना ले, 1 चीनी कप, 1/4 कप घी, 2 इलाइची - पाउडर कर ले, 1 छोटा चम्मच घी, 6 पिस्ता - कट ले, 10 किसमिस</t>
  </si>
  <si>
    <t>Make 1 cup green gram - puree, 1 cup sugar, 1/4 cup ghee, 2 cardamom - powder, 1 teaspoon ghee, 6 pistachios - chopped, 10 kilograms</t>
  </si>
  <si>
    <t>To make Rajasthani Green Gram Halwa, first heat ghee in a pan. After the ghee is heated, add green gram puree to it and let it cook for 8 to 10 minutes. After it is cooked, add sugar and cardamom powder to it. Keep stirring till the sugar dissolves so that the halwa does not form lumps. Turn off the gas. Now heat ghee in a small pan. Add dry fruits to it and let it cook for 15 seconds. Add them to the halwa and mix them. Serve Rajasthani Green Gram Halwa as a dessert after Daal Baati.</t>
  </si>
  <si>
    <t xml:space="preserve">राजस्थानी हरे चने का हलवा बनाने के लिए सबसे पहले एक चटनी में घी गरम कर ले. घी गर्म होने के बाद इसमें चने की पूड़ी डालें और 8 से 10 मिनट के लिए मसाला दे दें. पाक के बाद, इसमें आकार और इलाइची पाउडर डाला जाता है। शक्र की बौछार तक मिलाते रहे ताकि हलवे में घाट न पड़े। गैस बंद कर ले. अब एक छोटी चटनी में घी गर्म करें। इसमें 15 सेकंड से भी कम समय में 15 सेकंड तक के पुतले और पुतले बनाए गए हैं। खोदा हलवे में डाला और मिला ले. राजस्थानी हरे चने के हलवे को दाल बाटी के बाद बेचे में।
</t>
  </si>
  <si>
    <t>http://www.archanaskitchen.com/rajasthani-hare-chane-ka-halwa-recipe-in-hindi</t>
  </si>
  <si>
    <t>Rajasthani Style Oliya Recipe (Sweetened Rice Yogurt Pudding Recipe)</t>
  </si>
  <si>
    <t>राजस्थानी स्टाइल ओलिया रेसिपी (मीठे चावल दही का हलवा रेसिपी)</t>
  </si>
  <si>
    <t>1/2 कप पके हुए चावल, 1 कप दही, 4 बड़े चम्मच चीनी - अपने स्वादानुसार, 4 बड़े चम्मच दूध, 1 चम्मच इलायची पाउडर, 1 बड़ा चम्मच काजू - कटे हुए, 4 केसर के रेशे</t>
  </si>
  <si>
    <t>1/2 cup Cooked rice,1 cup Curd (Dahi / Yogurt),4 tablespoon Sugar - change according to your taste,4 tablespoon Milk,1 teaspoon Cardamom Powder (Elaichi),1 tablespoon Cashew nuts - chopped,4 Saffron strands</t>
  </si>
  <si>
    <t xml:space="preserve">We begin making the Rajasthani Style Oliya Recipe (Sweetened Rice Yogurt Pudding Recipe) by soaking the rice in water for 15 minutes. Then pressure cook the rice for about 2 whistle. Release the pressure naturally and allow it to cool down completely and mash a little.Beat the curd and milk in a bowl to a consistency that you are looking for it can be thick or if you require it to be watery you can add some water. Add the boiled rice, sugar, cardamom powder and mix well.Now to serve just add few strand of saffron over the top and some chopped cashew nuts. Serve the Rajasthani Style Oliya Recipe (Sweetened Rice Yogurt Pudding Recipe) as a main dish during your fasting season along with a glass of Gajjar Lauki Juice Recipe (Bottle Gourd Carrot Juice). You can also serve it after Rajasthani Dal Muthiya Recipe to have a light dessert.
</t>
  </si>
  <si>
    <t>हम राजस्थानी स्टाइल ओलिया रेसिपी (मीठे चावल दही का हलवा रेसिपी) बनाना शुरू करते हैं चावल को 15 मिनट के लिए पानी में भिगो कर। फिर चावल को लगभग 2 सीटी आने तक प्रेशर कुक करें। प्रेशर को स्वाभाविक रूप से छोड़ दें और इसे पूरी तरह से ठंडा होने दें और थोड़ा मैश करें। दही और दूध को एक कटोरे में उस स्थिरता तक फेंटें जो आप चाहते हैं, यह गाढ़ा हो सकता है या यदि आपको इसे पानीदार चाहिए तो आप थोड़ा पानी मिला सकते हैं। उबले हुए चावल, चीनी, इलायची पाउडर डालें और अच्छी तरह मिलाएँ। अब परोसने के लिए ऊपर से केसर के कुछ रेशे और कुछ कटे हुए काजू डालें। राजस्थानी स्टाइल ओलिया रेसिपी (मीठे चावल दही का हलवा रेसिपी) को अपने उपवास के मौसम में मुख्य व्यंजन के रूप में एक गिलास गाजर लौकी जूस रेसिपी (बोतल लौकी गाजर का जूस) के साथ परोसें</t>
  </si>
  <si>
    <t>https://www.archanaskitchen.com/rajasthani-style-oliya-recipe-sweetened-rice-yogurt-pudding-recipe</t>
  </si>
  <si>
    <t>Rajasthani Ghasela Recipe (Besan Ka Pitta)</t>
  </si>
  <si>
    <t>राजस्थानी घसेला रेसिपी (बेसन का पित्त)</t>
  </si>
  <si>
    <t>सूरजमुखी तेल - आवश्यकतानुसार, 1 चम्मच जीरा, 1/2 चम्मच हींग, 1 प्याज - बारीक कटा हुआ, 2 हरी मिर्च - बारीक कटी हुई, हरे प्याज के पत्ते - कुछ टहनियाँ, 1-1/2 कप बेसन, धनिया पत्ती - कुछ टहनियाँ, 1 चम्मच लाल मिर्च पाउडर, 1 चम्मच हल्दी पाउडर, नमक - आवश्यकतानुसार</t>
  </si>
  <si>
    <t>Sunflower Oil - as required,1 teaspoon Cumin seeds (Jeera),1/2 teaspoon Asafoetida (hing),1 Onion - finely chopped,2 Green Chillies - finely chopped,Spring Onion Greens - Few sprigs,1-1/2 cup Gram flour (besan),Coriander (Dhania) Leaves - Few sprigs,1 teaspoon Red Chilli powder,1 teaspoon Turmeric powder (Haldi),Salt - as required</t>
  </si>
  <si>
    <t xml:space="preserve">To begin making the Rajasthani Ghasela recipe, heat oil in a heavy bottomed pan and add cumin seeds and hing.Once the cumin seeds splutter, add the green chillies and onions. Cook till the onion becomes soft and translucent.Meanwhile, add water in besan in a mixing bowl and put all the masalas including red chilli powder, turmeric powder and the required salt.Mix everything properly and add the spring onion leaves.Put this mixture into the pan and stir continuously for about 20 minutes or till the besan is cooked properly.Once done, garnish it with chopped coriander leaves and serve hot.Serve Rajasthani Ghasela Recipe as a side dish with Panchmel dal and Khooba Roti or the phulkas for a perfect weekday meal.
</t>
  </si>
  <si>
    <t>राजस्थानी घासेला रेसिपी बनाने के लिए सबसे पहले एक भारी तले की कड़ाही में तेल गर्म करें और उसमें जीरा और हींग डालें। जीरा चटकने के बाद इसमें हरी मिर्च और प्याज़ डालें। प्याज़ के नरम और पारदर्शी होने तक पकाएँ। इस बीच, एक मिक्सिंग बाउल में बेसन में पानी डालें और लाल मिर्च पाउडर, हल्दी पाउडर और ज़रूरत के अनुसार नमक सहित सभी मसाले डालें। सारी चीज़ों को अच्छी तरह मिलाएँ और हरे प्याज़ के पत्ते डालें। इस मिश्रण को कड़ाही में डालें और लगभग 20 मिनट तक या बेसन के अच्छी तरह पकने तक लगातार चलाते रहें। पक जाने के बाद इसे कटी हुई धनिया पत्ती से गार्निश करें और गरमागरम परोसें। राजस्थानी घासेला रेसिपी को पंचमेल दाल और खूबा रोटी या फुल्के के साथ साइड डिश के रूप में परोसें।</t>
  </si>
  <si>
    <t>https://www.archanaskitchen.com/rajasthani-ghasela-recipe-besan-ka-pitta</t>
  </si>
  <si>
    <t>Haldi Ki Sabzi Recipe – Turmeric Vegetable Recipe</t>
  </si>
  <si>
    <t>हल्दी की सब्जी रेसिपी - हल्दी की सब्जी रेसिपी</t>
  </si>
  <si>
    <t>200 ग्राम हल्दी - 1 बड़ा चम्मच बेसन, 1/4 कप दही - फेट ले, 1 इंच इंच अदरक - कस ले, 2 हरी मिर्च - इलेक्ट्रिक कट ले, 1 छोटा चम्मच धनिया पाउडर, 1/2 छोटा चम्मच गरम मसाला पाउडर, हरा धनिया - हल्का, नमक - स्वाद, काली मिर्च पाउडर - स्वाद, 1 छोटी चम्मच कढ़ी ले, 1 छोटा चमच्च धनिया पाउडर</t>
  </si>
  <si>
    <t>200 grams turmeric - root, 1 tablespoon gram flour, 1/4 cup curd - beat, 1 inch ginger - tighten, 2 green chillies - finely chopped, 1 teaspoon coriander powder, 1/2 teaspoon garam masala powder, Coriander - little, salt - according to taste, black pepper powder - as per taste, 1 sprig curry leaves, 1 teaspoon mustard</t>
  </si>
  <si>
    <t>To make Haldi ki Sabzi, first heat oil in a pan. Add ginger, turmeric and green chillies. Add some salt and cook till they become soft. This will take 4 to 5 minutes. Now add curd, gram flour, salt, coriander powder, black pepper powder and garam masala powder in a bowl. Whisk well and keep aside. After turmeric is cooked, slowly add curd mixture and keep stirring. Keep stirring till the curry thickens. This will take at least 5 minutes. After turmeric is cooked, turn off the gas, take it out in a bowl, add coriander leaves and mix. Now for Tadka, heat ghee in a Tadka pan. After ghee is heated, add mustard seeds and let them crackle. After mustard seeds crackle, add curry leaves, mix and turn off the gas. Pour this tempering in the vegetable and mix. Serve. Serve Turmeric Sabzi with Panchmel Dal, Phulkas and Masala Chaas for dinner.</t>
  </si>
  <si>
    <t xml:space="preserve">हल्दी की सब्जी बनाने के लिए सबसे पहले एक मसाले में तेल गरम कर ले. इसमें अदरक, हल्दी और हरी मिर्च डाली जाती है। थोड़ा सा नमक डाला और जल्दी के नैचुरल होने तक पका ले। 4 से 5 मिनट में विध्वंस। अब एक बाउल में दही, बेसन, नमक, धनिया पाउडर, काली मिर्च पाउडर और गरम मसाला पाउडर डाला गया है। अच्छी तरह से फ़ेट ले और अलग से रख दे। हल्दी के पाक जाने के बाद धीरे-धीरे इसमें दही का मिश्रण डाला और मिलाते रहे। सब्जी के गाए होने तक इसे हिलाते रहे। कम से कम 5 मिनट में डूब गया।   हल्दी के पक जाने के बाद, गैस बंद करो, इसे एक बाउल में निकाला, हरे धनिये ने डाला और मिला ले। अब बैयो के लिए एक तड़का पैन में घी गरम करें। घी गरम होने के बाद इसमें राइ डाला और तड़काने दे। राय के तड़के के बाद इसमें कढ़ी पत्ता डाला, मिलाए और गैस बंद कर दे। इस दामाद को सब्जी में डाला और मिला ले. घरेलु। हल्दी की सब्जी को पंचमेल दाल, फुल्का और मसाला छास के साथ दिन के खाने के लिए बनाएं।
</t>
  </si>
  <si>
    <t>http://www.archanaskitchen.com/haldi-ki-sabzi-recipe-fresh-turmeric-root-vegetable-in-hindi</t>
  </si>
  <si>
    <t>Rajasthani Gatte Ka Pulao Recipe</t>
  </si>
  <si>
    <t>राजस्थानी गट्टे का पुलाव रेसिपी</t>
  </si>
  <si>
    <t>1 कप बेसन, 1/2 चम्मच अजवाइन, 1/4 चम्मच लाल मिर्च पाउडर, 2 बड़े चम्मच दही, 2 बड़े चम्मच सूरजमुखी तेल, नमक - स्वादानुसार, 1 कप पके हुए चावल, 1 बड़ा चम्मच घी, 4 लहसुन की कलियाँ, 1 प्याज - बारीक कटा हुआ, 1 चम्मच हल्दी, 1/4 चम्मच लाल मिर्च पाउडर, 1 तेज पत्ता - तोड़ा हुआ, 3 लौंग, 1 इंच दालचीनी, नमक - स्वादानुसार, 4 धनिया पत्ती - कटी हुई</t>
  </si>
  <si>
    <t>1 cup Gram flour (besan),1/2 teaspoon Ajwain (Carom seeds),1/4 teaspoon Red Chilli powder,2 tablespoons Curd (Dahi / Yogurt),2 tablespoons Sunflower Oil,Salt - to taste,1 cup Cooked rice,1 tablespoon Ghee,4 cloves Garlic,1 Onion - finely chopped,1 teaspoon Turmeric powder (Haldi),1/4 teaspoon Red Chilli powder,1 Bay leaf (tej patta) - torn,3 Cloves (Laung),1 inch Cinnamon Stick (Dalchini),Salt - to taste,4 sprig Coriander (Dhania) Leaves - chopped</t>
  </si>
  <si>
    <t xml:space="preserve">To begin making the Rajasthani Gatte Ka Pulao Recipe, we will first make the gatte.In a large mixing bowl, combine all the ingredients for the gatta including gram flour, ajwain, red chilli powder, curd, oil and salt.Add a few teaspoons of water at a time and knead to make a firm dough. Knead well for about 5 minutes to make a very soft melt in the mouth gatta.If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Tawa Pulao ready.Heat 1 tablespoon ghee in a saucepan. Add the onion, garlic and saute until the onion softens. Add the bay leaf, cloves, cinnamon and green chillies and saute until you can smell the aromas coming through for a few seconds.Add in the boiled Gatte, red chilli powder, turmeric powder and stir fry until the Gatte and the masalas come together.Once done, finally stir in the cooked rice and toss gently. Add salt to taste and saute until the Gatte Ka Pulao is coated well with the masalas. Check the taste and spices and adjust accordingly.Serve the Gatte Ka Pulao along with Rajasthani Panchmel Dal, Kachumber Salad, Phulka and Boondi Raita for a special weeknight dinner.
</t>
  </si>
  <si>
    <t>राजस्थानी गट्टे का पुलाव रेसिपी बनाने के लिए सबसे पहले हम गट्टे बनाएंगे। एक बड़े मिक्सिंग बाउल में गट्टे की सारी सामग्री जैसे बेसन, अजवाइन, लाल मिर्च पाउडर, दही, तेल और नमक मिलाएं। एक बार में कुछ चम्मच पानी डालें और सख्त आटा गूंथ लें। बहुत नरम और पिघलने वाला गट्टा बनाने के लिए लगभग 5 मिनट तक अच्छी तरह गूंथें। अगर आप और पानी डालते हैं और यह आटे की तरह नहीं बनता है, तो आपको और बेसन डालना होगा और इसे अच्छी तरह गूंथना होगा। आटे को एक लंबे सिलेंडर में रोल करें और उन्हें 1 इंच के टुकड़ों में काट लें। अगला कदम है उबलते पानी में गट्टे पकाना। एक बड़े सॉस पैन में पानी उबालें जब तक कि यह तेज उबाल न आ जाए। जब ​​पानी तेज उबाल पर आ जाए, तो गट्टे को पानी में डालें और तब तक उबालें जब तक कि वे ऊपर तैरने न लगें। जब वे ऊपर तैरने लगें, तो 3 से 4 मिनट तक और उबालें। गट्टे को छानकर अलग रख दें, जब तक कि तवा पुलाव तैयार न हो जाए। एक सॉस पैन में 1 बड़ा चम्मच घी गर्म करें। प्याज़, लहसुन डालें और प्याज़ के नरम होने तक भूनें। तेज़ पत्ता, लौंग, दालचीनी और हरी मिर्च डालें और कुछ सेकंड के लिए सुगंध आने तक भूनें। उबले हुए गट्टे, लाल मिर्च पाउडर, हल्दी पाउडर डालें और तब तक भूनें जब तक कि गट्टे और मसाले एक साथ न आ जाएँ। एक बार हो जाने पर, अंत में पके हुए चावल डालें और धीरे से मिलाएँ। स्वादानुसार नमक डालें और तब तक भूनें जब तक कि गट्टे का पुलाव मसालों से अच्छी तरह न भर जाए। स्वाद और मसालों की जाँच करें और तदनुसार समायोजित करें। गट्टे के पुलाव को राजस्थानी पंचमेल दाल, कचुम्बर सलाद, फुल्का और बूंदी रायता के साथ विशेष सप्ताह की रात के खाने के लिए परोसें।</t>
  </si>
  <si>
    <t>https://www.archanaskitchen.com/rajasthani-gatte-ka-pulao-recipe</t>
  </si>
  <si>
    <t>Rajasthani Makki Ka Chatpata Dhokla Recipe</t>
  </si>
  <si>
    <t>राजस्थानी मक्की का चटपटा ढोकला रेसिपी</t>
  </si>
  <si>
    <t>15 लहसुन की कलियाँ, 6 हरी मिर्च, 6 टहनी धनिया (धनिया) के पत्ते - बारीक कटे हुए, 2 कप मक्की का आटा (पीला मकई का आटा), 1 चम्मच बेकिंग सोडा, नमक - आवश्यकतानुसार, पानी - आवश्यकतानुसार</t>
  </si>
  <si>
    <t>15 cloves Garlic,6 Green Chillies,6 sprig Coriander (Dhania) Leaves - finely chopped,2 cups Makki Ka Atta (Yellow Corn Meal Flour),1 teaspoon Baking soda,Salt - as required,Water - as required</t>
  </si>
  <si>
    <t>Diabetic Friendly</t>
  </si>
  <si>
    <t xml:space="preserve">To begin making the Rajasthani Makki Ka Chatpata Dhokla recipe, firstly crush garlic, coriander and green chillies in mortal pestle. Next, add baking soda,  garlic, coriander and green chilli mixture, required salt and maize flour in a mixing bowl.Knead the dough properly with the required water. Make small Dhokla out of it just like we make the south indian wadas.Steam these dhokla in the idli steamer for almost half an hour. Serve Rajasthani Makki Ka Chatpata Dhokla recipe hot with a dollop of ghee or green chutney.
</t>
  </si>
  <si>
    <t>राजस्थानी मक्की का चटपटा ढोकला रेसिपी बनाने के लिए सबसे पहले लहसुन, धनिया और हरी मिर्च को बारीक पीस लें। इसके बाद, एक मिक्सिंग बाउल में बेकिंग सोडा, लहसुन, धनिया और हरी मिर्च का मिश्रण, नमक और मक्के का आटा डालें। ज़रूरत के हिसाब से पानी डालकर आटे को अच्छी तरह गूंथ लें। इससे छोटे-छोटे ढोकला बना लें, जैसे हम साउथ इंडियन वड़े बनाते हैं। इन ढोकला को इडली स्टीमर में लगभग आधे घंटे तक भाप में पकाएँ। राजस्थानी मक्की का चटपटा ढोकला रेसिपी को घी या हरी चटनी के साथ गरमागरम परोसें।</t>
  </si>
  <si>
    <t>http://www.archanaskitchen.com/rajasthani-makki-ka-chatpata-dhokla-recipe</t>
  </si>
  <si>
    <t>Panchmel Dal Recipe – Panchmel Dal (Recipe In Hindi)</t>
  </si>
  <si>
    <t>पंचमेल दाल रेसिपी - पंचमेल दाल (रेसिपी इन हिंदी)</t>
  </si>
  <si>
    <t>1/4 कप काली उड़द दाल (स्प्लिट), 1/4 कप तुअर दाल, 1/4 कप चना दाल, 1/4 कप मसूर दाल, 1/4 कप पीली मूंग दाल, 2 टमाटर - 2 हरी मिर्च - बिच में से काट ले, 2 सुखी लाल मिर्च, 1 इंच अदरक - कस ले, 1/2 छोटा चमचा जीरा, 2 तेज पत्ता, 1/2 छोटा चम्मच हल्दी पाउडर, 1 छोटा चम्मच हल्दी पाउडर, 1 छोटा चमच्च मसाला पाउडर, 1/4 छोटा चमचा हींग, 1 छोटा चम्मच अमचूर पाउडर, 1 बड़ा चमचा निम्बू का रस, नमक - प्रयोग के अनुसार, लाल मिर्च पाउडर - प्रयोग अनुसार, चीनी - चुटकी भर, घी - प्रयोग</t>
  </si>
  <si>
    <t>1/4 cup black urad dal (split), 1/4 cup toor dal, 1/4 cup chana dal, 1/4 cup masoor dal, 1/4 cup yellow moong dal, 2 tomatoes - finely chopped, 2 green chillies - cut in the middle, 2 dried red chillies, 1 inch ginger - grated, 1/2 teaspoon cumin seeds, 2 bay leaves, 1/2 teaspoon turmeric powder, 1 teaspoon coriander powder, 1 teaspoon garam masala powder, 1/4 teaspoon asafoetida, 1 teaspoon dry mango powder, 1 tablespoon lemon juice, salt - as per requirement, red chilli powder - as per requirement, sugar - a pinch, ghee - as per requirement</t>
  </si>
  <si>
    <t>To make Panchmel Daal, first soak all the lentils for 1 hour. After 1 hour, put the lentils in a pressure cooker with 3 cups of water, add salt and cook till 3 whistles. Now heat 2 tbsp ghee in a pan. Add cumin seeds and let it cook for 10 seconds. Add dried red chilies and then add ginger, green chilies and tomatoes and cook till tomatoes become soft. After tomatoes become soft, add bay leaves, asafoetida, turmeric powder, coriander powder, dried mango powder and garam masala powder and let it cook for 3 to 4 minutes. Now add cooked lentils and mix everything well. Add salt and let it cook for 5 minutes. Add green coriander and serve hot. Serve Panchmel Daal with Gunda ki Sabzi, Palak Raita and Phulkas for lunch.</t>
  </si>
  <si>
    <t xml:space="preserve">पंचमेल दाल बनाने के लिए सबसे पहले साडी डालो को 1 घंटे तक का समय दे. 1 घंटे बाद दाल को कुकर में 3 कप पानी के साथ नमक डाला और 3 सिटी आने तक पका ले. अब एक रोटी में 2 बड़े चमच्च घी गरम कीजिये. इसमें जीरा डाला और 10 सेकंड तक का बर्तन दे दिया। इसमें सुखी लाल मिर्च डाली गई और उसके बाद इसमें अदरक, हरी मिर्च और टमाटर डाले और टमाटर के नरम तक पकाए गए। टमाटर के होने के बाद इसमें तेज पत्ता, हींग, हल्दी पाउडर, धनिया पाउडर, अमचूर पाउडर और गर्म मसाला पाउडर डाला जाता है और 3 से 4 मिनट के लिए मसाला दे दिया जाता है. अब इसमें पाकी हुई दाल डाली और भाईसाहब अच्छी तरह से मिला ले। नमक डाला और 5 मिनट तक मसाला दे. इसमें हरा धनिया डाला और गरमा गरम बेचे।   पंचमेल दाल को गुंडे की सब्जी, पालक का रायता और फुलके के साथ दिन के खाने के लिए बनाएं.
</t>
  </si>
  <si>
    <t>http://www.archanaskitchen.com/panchmel-dal-recipe-in-hindi</t>
  </si>
  <si>
    <t>Rajasthani Gunde ki Sabzi Recipe - Bird Lime Stir Fry (Recipe In Hindi)</t>
  </si>
  <si>
    <t>राजस्थानी गुंडे की सब्जी रेसिपी - बर्ड लाइम स्टिर फ्राई (रेसिपी इन हिंदी)</t>
  </si>
  <si>
    <t>500 ग्राम गुंडे, 1 छोटा चम्मच मेथी के दाने, तेल - प्रयोग के अनुसार, पानी - प्रयोग के अनुसार, 1/2 छोटा चमचा जीरा, 1/2 छोटा चम्मच हींग, 1 छोटा चम्मच सौंफ, 1/2 छोटा चमचा राय, 1 छोटा चम्मच हल्दी पाउडर, नमक - प्रयोग के अनुसार, 1 छोटा चम्मच लाल मिर्च पाउडर, 1 छोटा चम्मच अमचूर, हरा धनिया - छोटा</t>
  </si>
  <si>
    <t>500 grams of dough, 1 teaspoon fenugreek seeds, oil - as per requirement, water - as per requirement, 1/2 teaspoon cumin seeds, 1/2 teaspoon asafoetida, 1 teaspoon fennel seeds, 1/2 teaspoon mustard seeds, 1 teaspoon turmeric powder, salt - as per requirement, 1 teaspoon red chilli powder, 1 teaspoon dry mango powder, green coriander - a little</t>
  </si>
  <si>
    <t>To make Rajasthani Gunde ki Sabzi, first boil the gunda in a saucepan with water till it becomes soft. Remove the seeds from the gunda and keep it aside for 1 hour. Now heat oil in a pan. Add cumin seeds, mustard seeds, fennel seeds, fenugreek and ginger. Cook for 1 minute and add gunda to it. Mix well and add turmeric powder, red chili powder, dried mango powder and salt. Mix everything and cook for 3 to 4 minutes. After 3 to 4 minutes, turn off the gas and garnish with coriander leaves. Serve Rajasthani Gunde ki Sabzi with Panchmel Daal and Phulkas for lunch.</t>
  </si>
  <si>
    <t xml:space="preserve">राजस्थानी गुंडे की सब्जी बनाने के लिए सबसे पहले गुंडे को एक सॉसपैन में पानी के साथ नर्म होने तक लाएँ. गुंडे में से बीज निकालो और 1 घंटे के लिए अलग से रख दे। अब एक चटनी में तेल गरम करें। इसमें जीरा, राइज, सौंफ, मेथी और जोंग डाले गए। 1 मिनट के लिए मसाला दे और पहिने इन गुंडे मिला ले. अच्छी तरह से मिला ले और इसमें हल्दी पाउडर, लाल मिर्च पाउडर, अमचूर पाउडर और नमक डाला गया। सबसे पहले मिला ले और 3 से 4 मिनट के लिए व्यंजन दे. 3 से 4 मिनट के बाद गैस बंद कर ले और हरे धनिए से गार्निश करें। राजस्थानी गुंडे की सब्जी को पंचमेल दाल और फुलके के साथ दिन के खाने के लिए बनाएं।
</t>
  </si>
  <si>
    <t>https://www.archanaskitchen.com/bird-lime-stir-fry-recipe-in-hindi</t>
  </si>
  <si>
    <t>Rajasthani Govind Gatta Curry Recipe</t>
  </si>
  <si>
    <t>राजस्थानी गोविंद गट्टा करी रेसिपी</t>
  </si>
  <si>
    <t>1-1/2 कप बेसन, 1/2 चम्मच लाल मिर्च पाउडर, 1/2 चम्मच हल्दी पाउडर, 1/4 चम्मच अजवाइन, 1 बड़ा चम्मच दही - आटे को गीला रखने के लिए, 1 बड़ा चम्मच सूरजमुखी तेल, 1/2 कप खोया - कसा हुआ / टुकड़े टुकड़े, 2 हरी मिर्च - कटी हुई (वैकल्पिक), 5 काजू - कटे हुए, 10 किशमिश, 2 बड़े चम्मच नारियल, नमक - स्वादानुसार, 1/4 कप खोया - कसा हुआ, 1/2 कप दही - फेंटा हुआ, 2 बड़े चम्मच बेसन, 1/2 चम्मच लाल मिर्च पाउडर, 1/2 चम्मच हल्दी पाउडर (हल्दी), 1/2 चम्मच जीरा पाउडर (जीरा), 1 बड़ा चम्मच धनिया पाउडर (धनिया), 1/2 चम्मच गरम मसाला पाउडर, नमक - स्वादानुसार, 2 बड़े चम्मच सूरजमुखी तेल, धनिया धनिया पत्ते - गार्निश के लिए, 1/2 चम्मच जीरा, 1/2 चम्मच सरसों के बीज, 1/2 चम्मच हींग, 3 सूखी लाल मिर्च, 1 तेज पत्ता</t>
  </si>
  <si>
    <t>1-1/2 cups Gram flour (besan),1/2 teaspoon Red Chilli powder,1/2 teaspoon Turmeric powder (Haldi),1/4 teaspoon Ajwain (Carom seeds),1 tablespoon Curd (Dahi / Yogurt) - to keep the dough moist,1 tablespoon Sunflower Oil,1/2 cup Khoya (Mawa) - grated/crumbled,2 Green Chillies - chopped (optional),5 Cashew nuts - chopped,10 Raisins,2 tablespoons Dessicated Coconut,Salt - to taste,1/4 cup Khoya (Mawa) - grated,1/2 cup Curd (Dahi / Yogurt) - whisked,2 tablespoons Gram flour (besan),1/2 teaspoon Red Chilli powder,1/2 teaspoon Turmeric powder (Haldi),1/2 teaspoon Cumin powder (Jeera),1 tablespoon Coriander Powder (Dhania),1/2 teaspoon Garam masala powder,Salt - to taste,2 tablespoon Sunflower Oil,Coriander (Dhania) Leaves - For garnish,1/2 teaspoon Cumin seeds (Jeera),1/2 teaspoon Mustard seeds,1/2 teaspoon Asafoetida (hing),3 Dry Red Chillies,1 Bay leaf (tej patta)</t>
  </si>
  <si>
    <t xml:space="preserve">To begin making Rajasthani Govind Gatta Curry Recipe, in a large mixing bowl - add besan, curd, red chilli powder, turmeric, salt, carom seeds, oil and mix them well to form a dry crumble.In a separate bowl, mix mawa, green chillies (optional), salt, chopped cashews, raisins and keep it aside.Now add a little water to the dry besan mix and knead to make a firm dough.Divide the dough to equal balls, take a ball and make a disc.Take 1 tsp of filling and place in the center of the disc, fold in to cover from all sides and then roll to shape into a ball. Do the same for rest of the dough and filling and keep aside. Heat enough water in a pan and bring it to boil.Carefully drop the prepared gattas in the boiling water and cook them well for 10-15 mins till you prick a toothpick, it should come out clean.Strain the gattas and reuse the water to use in the gravy.For making the curry, heat oil in a wok and add cumin seeds, mustard seeds, rey red chilies, bay leaf and asafoetida and wait till they splutter.After they splutter add besan, mawa and saute them  well till the raw smell goes off.Now add red chilli powder , cumin powder, turmeric, coriander powder, garam masala powder, salt and the restored water and bring it to boil.Now add the gattas and cook them well for few minutes.Whisk the curd well and add in the wok carefully. Stir them well and cook the gravy for few minutes till the oil float on the gravy.Turn off the flames and garnish with fresh chopped coriander and serve Rajasthani Govind Gatta Curry Recipe with Garlic Naan Without Yeast Recipe and Bharma Baingan Aur Pyaaz Ki Sabzi Recipe (Spicy Stuffed Brinjals With Onions).
</t>
  </si>
  <si>
    <t>राजस्थानी गोविंद गट्टा करी रेसिपी बनाने के लिए सबसे पहले एक बड़े मिक्सिंग बाउल में बेसन, दही, लाल मिर्च पाउडर, हल्दी, नमक, अजवायन, तेल डालें और अच्छी तरह मिला कर सूखा चूरा बना लें। एक अलग बाउल में मावा, हरी मिर्च (वैकल्पिक), नमक, कटे हुए काजू, किशमिश डालकर मिला लें और एक तरफ रख दें। अब सूखे बेसन के मिश्रण में थोड़ा पानी डालकर सख्त आटा गूंथ लें। आटे को बराबर बॉल्स में बांट लें, एक बॉल लें और एक डिस्क बना लें। 1 टीस्पून फिलिंग लें और डिस्क के बीच में रखें, सभी तरफ से कवर करने के लिए मोड़ें और फिर बॉल का आकार देने के लिए रोल करें। बाकी आटे और फिलिंग के लिए भी ऐसा ही करें और एक तरफ रख दें। एक पैन में पर्याप्त पानी गर्म करें और इसे उबाल लें। तैयार गट्टों को उबलते पानी में सावधानी से डालें और उन्हें 10-15 मिनट तक अच्छी तरह से पकाएं जब तक कि आप टूथपिक न चुभोएं, यह साफ बाहर आना चाहिए। गट्टों को छान लें और पानी को ग्रेवी में उपयोग करने के लिए पुन: उपयोग करें। करी बनाने के लिए, एक कड़ाही में तेल गर्म करें और उसमें जीरा, सरसों के बीज, लाल मिर्च, तेज पत्ता और हींग डालें और जब तक वे फूट न जाएं तब तक प्रतीक्षा करें। जब वे फूटने लगें तो बेसन, मावा डालें और उन्हें तब तक अच्छी तरह से भूनें जब तक कि कच्ची महक न चली जाए। अब लाल मिर्च पाउडर, जीरा पाउडर, हल्दी, धनिया पाउडर, गरम मसाला पाउडर, नमक और बचा हुआ पानी डालें और उबाल लें। अब गट्टे डालें और उन्हें कुछ मिनट के लिए अच्छी तरह से पकाएं इन्हें अच्छे से हिलाएं और ग्रेवी को कुछ मिनट तक पकाएं जब तक कि तेल ग्रेवी पर तैरने न लगे। आंच बंद कर दें और ताजा कटा हरा धनिया डालकर गार्निश करें और राजस्थानी गोविंद गट्टा करी रेसिपी को बिना खमीर वाली लहसुन नान रेसिपी और भर्मा बैंगन और प्याज की सब्जी (प्याज के साथ मसालेदार भरवां बैंगन) के साथ परोसें।</t>
  </si>
  <si>
    <t>https://www.archanaskitchen.com/rajasthani-govind-gatta-curry-recipe</t>
  </si>
  <si>
    <t>Ajmeri Murgh Recipe</t>
  </si>
  <si>
    <t>मुर्ग अजमेरी रेसिपी</t>
  </si>
  <si>
    <t>1 किलो चिकन - मध्यम आकार के टुकड़ों में कटा हुआ, 4 बड़े चम्मच घी - या तेल, 4 प्याज - मोटे तौर पर पीसे हुए, 2 बड़े चम्मच धनिया पाउडर, 1 बड़ा चम्मच लाल मिर्च पाउडर, 1 छोटा चम्मच गरम मसाला पाउडर, 2 बड़े चम्मच ताजा क्रीम, 2 बड़े चम्मच काजू - कटे हुए (वैकल्पिक), नमक - आवश्यकतानुसार, 3 पुदीना के पत्ते - मोटे तौर पर तोड़े हुए, 2 बड़े चम्मच धनिया (धनिया) के पत्ते - गार्निश के लिए ताजे कटे हुए, 1 कप दही - फेंटा हुआ, 2 बड़े चम्मच अदरक - पेस्ट, 2 बड़े चम्मच लहसुन - पेस्ट, 1 बड़ा चम्मच हरी मिर्च - पेस्ट, 1 बड़ा चम्मच सरसों का तेल - (वैकल्पिक), 1 छोटा चम्मच नमक, 1 छोटा चम्मच नींबू का रस, 2 तेजपत्ता (तेज पत्ता), 4 साबुत काली मिर्च, 4 लौंग, 2 बड़ी इलायची, 4 इलायची की फली/बीज, 1 इंच दालचीनी, 1 छोटा चम्मच जावित्री (जावित्री), 1/2 चम्मच अजवायन (कैरम बीज) - (वैकल्पिक)</t>
  </si>
  <si>
    <t>1 kg Chicken - cut into medium size pieces,4 tablespoon Ghee - or oil,4 Onion - coarsely ground,2 tablespoon Coriander Powder (Dhania),1 tablespoon Red Chilli powder,1 teaspoon Garam masala powder,2 tablespoon Fresh cream,2 tablespoon Cashew nuts - chopped (optional),Salt - as needed,3 Mint Leaves (Pudina) - roughly torn,2 tablespoon Coriander (Dhania) Leaves - freshly chopped for garnish,1 cup Curd (Dahi / Yogurt) - whisked,2 tablespoon Ginger - paste,2 tablespoon Garlic - paste,1 tablespoon Green Chilli - paste,1 tablespoon Mustard oil - (optional),1 teaspoon Salt,1 teaspoon Lemon juice,2 Bay leaves (tej patta),4 Whole Black Peppercorns,4 Cloves (Laung),2 Black cardamom (Badi Elaichi),4 Cardamom (Elaichi) Pods/Seeds,1 inch Cinnamon Stick (Dalchini),1 teaspoon Mace (Javitri),1/2 teaspoon Ajwain (Carom seeds) - (optional)</t>
  </si>
  <si>
    <t>High Protein Non Vegetarian</t>
  </si>
  <si>
    <t xml:space="preserve">To begin making the Murgh Ajmeri recipe, clean and wash chicken nicely collect in a bowl.Add all the above mentioned ingredients under 'marination' and mix well with the chicken. Cover the bowl with a lid or cling wrap it and refrigerate it for 1 hour.Heat oil or ghee in a pan and add all the above mentioned ingredients under 'whole spices' and let them crackle.Now add coarsely ground onion and saute till raw smell goes off and it turns golden in colour. Add marinated chicken pieces along with marination and mix well, fry till curd starts leaving water.Keep the flames high and allow the curd water to dry.Now add coriander powder, red chilli powder, garam masala powder and mix well.Add some torned mint leaves while the chicken is frying with the masala for some aroma.Let the chicken cook on low heat till oil starts leaving from sides. This might take around 25 to 30 minutes. Adjust salt as needed and add fresh cream, chopped cashews and mix well. Cook on low heat for another 5 mins.Once the chicken masala is nicely fried and oil starts oozing out from sides, add warm water to the chicken to make curry as per required consistency. Usually the curry is thick so add water accordingly.Check salt again and adjust if needed. Mix well and let the chicken cook in low heat with lid closed until soft and tender.Turn off the heat and garnish the curry with fresh chopped coriander. Serve Murgh Ajmeri along with Garlic Naan or Jeera Rice and Onion salad for a weeknight dinner.
</t>
  </si>
  <si>
    <t>मुर्ग अजमेरी रेसिपी बनाने के लिए सबसे पहले चिकन को साफ करके धो लें और एक बाउल में इकट्ठा कर लें। 'मैरिनेशन' के तहत ऊपर बताई गई सभी सामग्री डालें और चिकन के साथ अच्छी तरह मिला लें। बाउल को ढक्कन या क्लिंग रैप से ढक दें और 1 घंटे के लिए फ्रिज में रख दें। एक कड़ाही में तेल या घी गर्म करें और 'साबुत मसाले' के तहत ऊपर बताई गई सभी सामग्री डालें और उन्हें चटकने दें। अब इसमें दरदरा पिसा प्याज डालें और तब तक भूनें जब तक कि कच्ची महक चली न जाए और यह सुनहरे रंग का न हो जाए। मैरिनेटेड चिकन के टुकड़ों को मैरिनेशन के साथ डालें और अच्छी तरह मिला लें, तब तक भूनें जब तक कि दही पानी न छोड़ने लगे। आंच तेज रखें और दही का पानी सूखने दें। अब इसमें धनिया पाउडर, लाल मिर्च पाउडर, गरम मसाला पाउडर डालें और अच्छी तरह मिला लें। धीमी आंच पर 5 मिनट तक पकाएं। जब चिकन मसाला अच्छी तरह से भून जाए और किनारों से तेल निकलने लगे, तो चिकन में गर्म पानी डालकर करी बना लें। आमतौर पर करी गाढ़ी होती है, इसलिए उसी हिसाब से पानी डालें। नमक फिर से चेक करें और ज़रूरत पड़ने पर एडजस्ट करें। अच्छी तरह से मिलाएँ और चिकन को धीमी आंच पर ढक्कन बंद करके नरम और मुलायम होने तक पकने दें। आंच बंद कर दें और करी को ताज़ा कटा हरा धनिया डालकर गार्निश करें। मुर्ग अजमेरी को गार्लिक नान या जीरा राइस और प्याज़ के सलाद के साथ रात के खाने में परोसें।</t>
  </si>
  <si>
    <t>https://www.archanaskitchen.com/murgh-ajmeri-recipe</t>
  </si>
  <si>
    <t>Gawar Ki Sabzi Recipe - Cluster Beans Curry</t>
  </si>
  <si>
    <t>ग्वार की सब्जी रेसिपी - क्लस्टर बीन्स करी</t>
  </si>
  <si>
    <t>300 ग्राम ग्वार फली (कोथावरंगई / क्लस्टर बीन्स) - साफ करके 1 इंच के टुकड़ों में कटा हुआ, 1 बड़ा चम्मच सूरजमुखी तेल, 1 चम्मच अजवाइन, 1 प्याज - बारीक कटा हुआ, 2 टमाटर - बारीक कटे हुए, 3 लहसुन के दाने - बारीक कटे हुए, 1 इंच अदरक - बारीक कटा हुआ, 2 चम्मच धनिया पाउडर, 1-1/2 चम्मच लाल मिर्च पाउडर, 1/2 चम्मच हल्दी पाउडर, नमक - स्वादानुसार, 4 टहनी धनिया - आवश्यकतानुसार</t>
  </si>
  <si>
    <t>300 grams Gawar Phali (Kothavarangai / Cluster beans) - cleaned and cut into 1 inch pieces,1 tablespoon Sunflower Oil,1 teaspoon Ajwain (Carom seeds),1 Onion - finely chopped,2 Tomatoes - finely chopped,3 cloves Garlic - finely chopped,1 inch Ginger - finely chopped,2 teaspoon Coriander Powder (Dhania),1-1/2 teaspoon Red Chilli powder,1/2 teaspoon Turmeric powder (Haldi),Salt - to taste,4 sprig Coriander (Dhania) Leaves - as required</t>
  </si>
  <si>
    <t xml:space="preserve">To begin making the Gawar ki Sabzi, first heat oil in a pressure cooker over medium heat.Add the ajwain seeds and allow it to crackle.Once it crackles, add the onion, ginger and garlic and saute until the onions become tender and pinkish brown.At this stage, add the tomatoes, turmeric powder, red chilli powder, coriander powder and saute until the tomatoes become mushy.Once the tomatoes become mushy, add the cut guar/ cluster beans, salt to taste and 1/4 cup of water.Pressure cook for 3 to 4 whistles and turn off the heat. Release the pressure immediately to retain the bright green colour of the gawar ki sabzi.Once opened, give the Gawar Ki Sabzi  a stir and check the salt and spices and adjust accordingly.Transfer the Gawar Ki Sabzi to a serving bowl and serve hot.Serve Gawar Ki Sabzi along with Panchmel Dal, Boondi Raita and Phulkas for a weekday meal.
</t>
  </si>
  <si>
    <t>ग्वार की सब्जी बनाने के लिए सबसे पहले मध्यम आंच पर एक प्रेशर कुकर में तेल गर्म करें। इसमें अजवाइन डालें और इसे चटकने दें। एक बार जब यह चटकने लगे तो इसमें प्याज, अदरक और लहसुन डालें और प्याज के नरम और गुलाबी भूरे रंग के होने तक भूनें। इस स्तर पर, टमाटर, हल्दी पाउडर, लाल मिर्च पाउडर, धनिया पाउडर डालें और टमाटर के नरम होने तक भूनें। एक बार जब टमाटर नरम हो जाए तो इसमें कटा हुआ ग्वार/क्लस्टर बीन्स, स्वादानुसार नमक और 1/4 कप पानी डालें। 3 से 4 सीटी आने तक प्रेशर कुक करें और आंच बंद कर दें। ग्वार की सब्जी का चमकीला हरा रंग बरकरार रखने के लिए प्रेशर तुरंत छोड़ दें। खोलने के बाद, ग्वार की सब्जी को हिलाएं और नमक और मसालों की जांच करें और तदनुसार समायोजित करें। ग्वार की सब्जी को एक सर्विंग बाउल में डालें और गर्मागर्म परोसें</t>
  </si>
  <si>
    <t>http://www.archanaskitchen.com/gavar-ki-sabji-recipe-cluster-beans-curry</t>
  </si>
  <si>
    <t>Rajasthani Style Mutton Banjara Recipe</t>
  </si>
  <si>
    <t>राजस्थानी स्टाइल मटन बंजारा रेसिपी</t>
  </si>
  <si>
    <t>750 ग्राम मटन, 1/4 कप सूरजमुखी तेल, 3/4 कप प्याज - पेस्ट, 1 बड़ा चम्मच लहसुन - पेस्ट, 1 बड़ा चम्मच अदरक - पेस्ट, 2 बड़े चम्मच लाल मिर्च पाउडर, 2 बड़े चम्मच धनिया पाउडर, 1 छोटा चम्मच हल्दी पाउडर, 4 बड़े चम्मच दही, 1 छोटा चम्मच धनिया बीज - भुना और कुचला हुआ, 2 तेज पत्ता, 4 लौंग, 4 साबुत काली मिर्च, 4 सूखी लाल मिर्च, 1/2 इंच दालचीनी, नमक - स्वादानुसार</t>
  </si>
  <si>
    <t>750 grams Mutton,1/4 cup Sunflower Oil,3/4 cup Onion - paste,1 tablespoon Garlic - paste,1 tablespoon Ginger - paste,2 tablespoon Red Chilli powder,2 tablespoon Coriander Powder (Dhania),1 teaspoon Turmeric powder (Haldi),4 tablespoon Curd (Dahi / Yogurt),1 teaspoon Coriander (Dhania) Seeds - roasted and crushed,2 Bay leaf (tej patta),4 Cloves (Laung),4 Whole Black Peppercorns,4 Dry Red Chilli,1/2 inch Cinnamon Stick (Dalchini),Salt - to taste</t>
  </si>
  <si>
    <t>Non Vegeterian</t>
  </si>
  <si>
    <t xml:space="preserve">To begin making the Rajasthani Mutton Banjara recipe, heat oil in a non stick wok and add bay leaf, pepper, cloves, cinnamon and dry red chilies and sauté for a minute.Add onion paste and fry till raw smell goes off.Now add ginger garlic paste and fry it till its golden in colour and leaves a nice aroma.Add mutton along with curd and mix well. Cook on high till curd water evaporates.Now add coriander powder, red chilli powder, turmeric and mix well. Fry on low heat till oil starts leaving from sides.Add warm water as per requirement and adjust salt to taste. Mix well and pressure cook the mutton till soft. Carefully remove the lid and add crushed coriander seeds all over and give a gentle mix. Serve Rajasthani Mutton Banjara along with Roomali Roti, Phulkas or Steamed rice for a weekend dinner.
</t>
  </si>
  <si>
    <t>राजस्थानी मटन बंजारा रेसिपी बनाने के लिए सबसे पहले एक नॉन स्टिक कड़ाही में तेल गर्म करें और उसमें तेज पत्ता, काली मिर्च, लौंग, दालचीनी और सूखी लाल मिर्च डालकर एक मिनट तक भूनें। प्याज का पेस्ट डालें और कच्ची महक जाने तक भूनें। अब अदरक लहसुन का पेस्ट डालें और इसे सुनहरा रंग होने और अच्छी खुशबू छोड़ने तक भूनें। दही के साथ मटन डालें और अच्छी तरह मिलाएँ। दही का पानी सूखने तक तेज़ आँच पर पकाएँ। अब धनिया पाउडर, लाल मिर्च पाउडर, हल्दी डालें और अच्छी तरह मिलाएँ। धीमी आँच पर तब तक भूनें जब तक कि किनारों से तेल न निकलने लगे। आवश्यकतानुसार गर्म पानी डालें और स्वादानुसार नमक डालें। अच्छी तरह मिलाएँ और मटन को नरम होने तक पकाएँ। ढक्कन को सावधानी से हटाएं और चारों ओर कुचला हुआ धनिया डालें और हल्का मिलाएँ</t>
  </si>
  <si>
    <t>https://www.archanaskitchen.com/rajasthani-mutton-banjara-recipe</t>
  </si>
  <si>
    <t>Rajasthani Style Safe Maas Recipe</t>
  </si>
  <si>
    <t>राजस्थानी स्टाइल सफेद मास रेसिपी</t>
  </si>
  <si>
    <t>300 ग्राम मटन - हड्डी सहित, 1 तेज पत्ता, 1 इंच दालचीनी, 3 लौंग, 1 इलायची, 2 सूखी लाल मिर्च, 1 चम्मच अदरक लहसुन पेस्ट, 1/4 कप दूध, 1/4 कप दही, नमक - स्वादानुसार, 2 बड़े चम्मच बादाम - भिगोए हुए और छिले हुए, 2 बड़े चम्मच काजू - भिगोए हुए, 2 प्याज - कटे हुए</t>
  </si>
  <si>
    <t>300 grams Mutton - with bone,1 Bay leaf (tej patta),1 inch Cinnamon Stick (Dalchini),3 Cloves (Laung),1 Cardamom (Elaichi) Pods/Seeds,2 Dry Red Chilli,1 teaspoon Ginger Garlic Paste,1/4 cup Milk,1/4 cup Curd (Dahi / Yogurt),Salt - to taste,2 tablespoon Badam (Almond) - soaked and skin peeled,2 tablespoon Cashew nuts - soaked,2 Onions - chopped</t>
  </si>
  <si>
    <t xml:space="preserve">To begin making the Rajasthani Style Safed Maas Recipe, we will first grin the onion, almonds and cashew nuts into a smooth paste. You can add water if required.Heat a pressure cooker with oil, add cloves, cinnamon stick, cardamom pod and bay leaf and allow it to sizzle for few seconds.Add dry red chillies and ginger, garlic paste and saute till it is toasted well. You can add the ground onion and nut paste along with salt and mix well.Add about 1 cup of water and pressure cook the mutton pieces for atleast 8 whistle. Once done allow the pressure to release naturally.Open the lid and keep it back on the stove, add milk and yogurt and stir once more. If you feel the gravy is quite you can add some more water, check for salt and serve hot with chopped coriander. Serve the Rajasthani Style Safed Maas Recipe along with phulka, tandoori roti and pickled onions by the side.
</t>
  </si>
  <si>
    <t>राजस्थानी स्टाइल सफेद मास रेसिपी बनाने के लिए सबसे पहले हम प्याज, बादाम और काजू को पीसकर मुलायम पेस्ट बना लेंगे। जरूरत पड़ने पर आप पानी भी डाल सकते हैं। प्रेशर कुकर में तेल गर्म करें, उसमें लौंग, दालचीनी, इलायची और तेज पत्ता डालकर कुछ देर तक चटकने दें। सूखी लाल मिर्च और अदरक, लहसुन का पेस्ट डालें और अच्छी तरह भूनने तक भूनें। आप पिसा हुआ प्याज और मेवे का पेस्ट नमक के साथ डालकर अच्छी तरह मिला सकते हैं। लगभग 1 कप पानी डालें और मटन के टुकड़ों को कम से कम 8 सीटी आने तक पका लें। जब हो जाए तो प्रेशर को अपने आप निकलने दें। ढक्कन खोलें और इसे वापस चूल्हे पर रखें, दूध और दही डालें और एक बार फिर से चलाएँ। अगर आपको लगता है कि ग्रेवी काफी गाढ़ी है तो आप थोड़ा और पानी मिला सकते हैं, नमक चेक कर सकते हैं और कटा हरा धनिया डालकर गरमागरम परोसें। राजस्थानी स्टाइल सफेद मास रेसिपी को फुल्का, तंदूरी रोटी और अचार वाले प्याज के साथ परोसें।</t>
  </si>
  <si>
    <t>https://www.archanaskitchen.com/rajasthani-style-safed-maas-recipe</t>
  </si>
  <si>
    <t>Rajasthani Mirchi Bada Recipe - Chilli Fritters</t>
  </si>
  <si>
    <t>राजस्थानी मिर्ची बड़ा रेसिपी - मिर्ची पकौड़े</t>
  </si>
  <si>
    <t>8 हरी मिर्च - (बड़ी और कम तीखी किस्म), 2 आलू - उबले और मसले हुए, 1 कप बेसन, 1 चम्मच अजवाइन, 1 चम्मच लाल मिर्च पाउडर, 1/2 चम्मच गरम मसाला पाउडर, 1/2 चम्मच चाट मसाला पाउडर, 1/4 चम्मच अमचूर, 1/2 चम्मच काला नमक, 1/2 चम्मच जीरा, 2 बड़े चम्मच धनिया पत्ती - बारीक कटी हुई, 1 हरी मिर्च - बारीक कटी हुई, 1 चम्मच चाट मसाला पाउडर - गार्निश के लिए, नमक - स्वादानुसार, सूरजमुखी तेल - तलने के लिए</t>
  </si>
  <si>
    <t>8 Green Chillies - (large and less fiery variety),2 Potatoes (Aloo) - boiled and mashed,1 cup Gram flour (besan),1 teaspoon Ajwain (Carom seeds),1 teaspoon Red Chilli powder,1/2 teaspoon Garam masala powder,1/2 teaspoon Chaat Masala Powder,1/4 teaspoon Amchur (Dry Mango Powder),1/2 teaspoon Black Salt (Kala Namak),1/2 teaspoon Cumin powder (Jeera),2 tablespoons Coriander (Dhania) Leaves - finely chopped,1 Green Chilli - finely chopped,1 teaspoon Chaat Masala Powder - for garnish,Salt - to taste,Sunflower Oil - to deep fry</t>
  </si>
  <si>
    <t xml:space="preserve">To begin making Rajasthani Mirchi Bada Recipe-Chilli Fritters, wash the chillies, slit them in length, deseed them and keep aside.Boil the potatoes using a pressure cooker for 3 whistles. Once cooled, peel and mash the potatoes and keep  them aside.Take a bowl, add the chickpea flour, red chilli powder, caraway seeds, salt and enough water to make a thick batter that coats the back of the spoon. Keep aside.Take a bowl, add the mashed potatoes, red chilli, cumin, garam masala, chaat masala, aam choor, kala namak, coriander leaves, green chilli and mix well to combine.Now take the slit chillies, fill a portion of the potato mix inside and seal it tight, likewise fill the potato mix into all the chillies.Heat oil in a wide pan on medium heat, to fry the mirchi badasNow, dip the chilli into the prepared besan batter. Make sure the besan coats the chilli well from all the sides.Drop it carefully into the oil, and let it fry for a minute on one side. Flip over and cook the other side for another minute till the mirchi badas turn crisp. Remove it into a plate lined with oil absorbent paper.Likewise, fry the rest of the chillies as well.Sprinkle some chaat masala on top of the mirchi badas and serve.Serve the Mirchi Vada Recipe along with green chutney and masala tea for a tea time snack over the weekend.
</t>
  </si>
  <si>
    <t>राजस्थानी मिर्ची बड़ा रेसिपी- मिर्च फ्रिटर्स बनाने के लिए सबसे पहले मिर्च को धोकर, लंबाई में चीरा लगाकर, बीज निकालकर एक तरफ रख दें। आलू को प्रेशर कुकर में 3 सीटी आने तक उबालें। ठंडा होने पर आलू को छीलकर मैश कर लें और एक तरफ रख दें। एक कटोरा लें, उसमें बेसन, लाल मिर्च पाउडर, अजवायन, नमक और पर्याप्त पानी डालकर गाढ़ा घोल बनाएं जो चम्मच के पिछले हिस्से पर लग जाए। एक तरफ रख दें। एक कटोरा लें, उसमें मसले हुए आलू, लाल मिर्च, जीरा, गरम मसाला, चाट मसाला, आम चूर, काला नमक, धनिया पत्ती, हरी मिर्च डालें और अच्छी तरह मिलाएँ। अब चीरी हुई मिर्च लें, आलू के मिश्रण का एक भाग उसके अंदर भरें और उसे टाइट बंद कर दें, इसी तरह सभी मिर्चों में आलू का मिश्रण भरें। मिर्ची बड़ों को तलने के लिए मध्यम आँच पर एक चौड़े पैन में तेल गरम करें सुनिश्चित करें कि बेसन मिर्च को सभी तरफ से अच्छी तरह से कोट कर ले। इसे सावधानी से तेल में डालें और एक तरफ से एक मिनट तक भूनें। पलटें और दूसरी तरफ से एक और मिनट तक पकाएँ जब तक कि मिर्ची बड़े कुरकुरे न हो जाएँ। इसे तेल सोखने वाले कागज़ से ढकी प्लेट में निकाल लें। इसी तरह, बाकी मिर्च भी तल लें। मिर्ची बड़े के ऊपर थोड़ा चाट मसाला छिड़कें और परोसें। सप्ताहांत में चाय के समय नाश्ते के लिए हरी चटनी और मसाला चाय के साथ मिर्ची वड़ा रेसिपी परोसें।</t>
  </si>
  <si>
    <t>http://www.archanaskitchen.com/rajasthani-mirchi-bada-recipe-chilli-fritters</t>
  </si>
  <si>
    <t>Rabodi Capsicum Vegetable Recipe - Rajasthani Curry with Corn Papad (Recipe In Hindi)</t>
  </si>
  <si>
    <t>राबोडी मीठी मिर्च की सब्जी रेसिपी - राजस्थानी करी विद कॉर्न पापड़ (रेसिपी इन हिंदी)</t>
  </si>
  <si>
    <t>1/2 कप राबोडी, 1 कप कप टमाटर प्यूरी, 1 छोटा चम्मच मिर्च (हरी) - काट ले, 1 प्याज - काट ले, 4 लार्ज लहसुन - स्वादिष्ट काट ले, 1/2 छोटा चम्मच हल्दी पाउडर, 1 छोटा चम्मच लाल मिर्च पाउडर, 1/2 छोटा चम्मच धनिया पाउडर, 1 छोटा चम्मच गरम मसाला पाउडर, नमक - स्वाद, तेल - प्रयोग अनुसार</t>
  </si>
  <si>
    <t>1/2 cup rabodi, 1 cup tomato puree, 1 capsicum (green) - chopped, 1 onion - chopped, 4 long garlic - finely chopped, 1/2 teaspoon turmeric powder, 1 teaspoon red chili powder, 1/2 teaspoon coriander powder, 1 teaspoon garam masala powder, salt - as per taste, oil - as per use</t>
  </si>
  <si>
    <t>To make Rabodi Capsicum ki Sabzi, first prepare all the ingredients. Now heat oil in a pan. Add garlic, onion and cook till onion becomes soft. After onion becomes soft, add capsicum and cook till it becomes little soft. After it becomes soft, add tomato puree, 2 cups of water and Rabodi. Add salt and cook till Rabodi is cooked. Add more water as per your requirement if you want more gravy. After Rabodi is cooked adjust the masala as per your taste and serve it hot. Serve Rabodi Capsicum ki Sabzi with Panchmel Daal and Phulkas for lunch.</t>
  </si>
  <si>
    <t xml:space="preserve">राबोडी साबुत काली मिर्च की सब्जी बनाने के लिए, सबसे पहले सारी सामग्री तैयार कर लीजिये. अब एक चटनी में तेल गरम करें। इसमें लहसुन, प्याज और प्याज के होने तक पकाया गया। पेज के होने के बाद इसमें थोड़ी सी काली मिर्च डाल दी गई और थोड़ा प्राकृतिक होने तक पका दिया गया। प्राकृतिक होने के बाद इसमें टमाटर प्यूरी, कप पानी और राबोडी डाले गए। डाला और राबोडी के पक जाने तक नमक पकाए। यदि आप अधिक ग्रेवी चाहते हैं तो अपने खाते से और पानी डालें। राबोडी के पक जाने के बाद मसाले को अपने स्वाद के अनुसार बदलें और गरमा गरम परोसें। राबोडी साबुत काली मिर्च की सब्जी को पंचमेल दाल और फुलके के साथ दिन के खाने के लिए बनायें।
</t>
  </si>
  <si>
    <t>https://www.archanaskitchen.com/rajasthani-curry-with-corn-papad-recipe-in-hindi</t>
  </si>
  <si>
    <t>Green Chana Chutney Recipe</t>
  </si>
  <si>
    <t>हरे चने की चटनी रेसिपी - हरे चने की चटनी रेसिपी</t>
  </si>
  <si>
    <t>1 कप हरा चना - ताजा या फ्रोजन, 3 हरी मिर्च, 6 काली लहसुन, नमक - स्वाद अनुसार, पानी - प्रयोग, तेल - प्रयोग, 1/2 बड़ा मसाला जीरा, 2 बड़ा दही</t>
  </si>
  <si>
    <t>1 cup green gram - fresh or frozen, 3 green chillies, 6 cloves garlic, salt - according to taste, water - as per use, oil - as per use, 1/2 tbsp cumin seeds, 2 tbsp yogurt</t>
  </si>
  <si>
    <t>To make Green Gram Chutney Recipe, firstly put green gram, green chillies, garlic, water, salt in a mixer grinder and grind well. Now heat oil in a pan. Add cumin seeds and let it crackle. Now add curd and keep mixing, after 1 minute add green gram paste and cook for 2 minutes. Turn off the gas and serve. Serve Green Gram Chutney Recipe with Panchmel Daal, Lauki ki Sabzi and Phulkas for lunch.</t>
  </si>
  <si>
    <t xml:space="preserve">हरे चने की चटनी रेसिपी बनाने के लिए सबसे पहले एक पीस ग्राइंडर में हरा चना, हरी मिर्च, लहसुन, पानी, नमक डाला और अच्छे तरह से पीस ले। अब एक चटनी में तेल गरम करें। इसमें जीरा डाला और तड़कने दे. अब दही डाला और मिलते रहे, 1 मिनट के बाद हरे चने का पेस्ट डाला और 2 मिनट के लिए पका ले।इसमें गैस बंद कर दो और घर बना लो। हरे चने की रेसिपी को पंचमेल दाल, लोकी की सब्जी और फुलके के साथ दिन के खाने के लिए।
</t>
  </si>
  <si>
    <t>http://www.archanaskitchen.com/green-chana-chutney-green-chickpea-chutney-recipe-in-hindi</t>
  </si>
  <si>
    <t>Green Chilli Vegetable Recipe – Green Chilli Vegetable (Recipe In Hindi)</t>
  </si>
  <si>
    <t>हरी मिर्च की सब्जी रेसिपी - हरी मिर्च की सब्जी (रेसिपी इन हिंदी)</t>
  </si>
  <si>
    <t>200 ग्राम हरी मिर्च, 1 बड़ा चमचा तेल, 1 छोटा चम्मच राइज, 1/2 छोटा चम्मच हल्दी पाउडर, 1/2 छोटा चम्मच हल्दी पाउडर, 1/4 छोटा चम्मच लाल मिर्च पाउडर, 1/2 छोटा चम्मच सौंफ पाउडर, 1/2 छोटा चम्मच धनिया पाउडर, 1 छोटा चम्मच चम्मच निम्बू का रस, 1/2 छोटा चम्मच चम्मच पाउडर</t>
  </si>
  <si>
    <t>200 grams green chillies, 1 tablespoon oil, 1 teaspoon mustard, 1/2 teaspoon salt, 1/2 teaspoon turmeric powder, 1/2 teaspoon red chili powder, 1/2 teaspoon fennel powder, 1/2 Teaspoon coriander powder, 1 teaspoon lemon juice, 1/2 teaspoon sugar</t>
  </si>
  <si>
    <t>To make Hari Mirch ki Sabzi, first wash the green chillies and cut them into small pieces. Now heat oil in a pan. Add mustard seeds and after 10 seconds add chopped green chillies. After 1 minute add turmeric powder, red chilli powder, fennel powder, coriander powder and mix it. Let it cook for 3 to 4 minutes. After that add lemon juice and sugar. Mix well and cook for next 1 minute. Turn off the gas and serve. Serve Hari Mirch ki Sabzi hot with Rajasthani Daal Baati Churma or Gujarati Daal.</t>
  </si>
  <si>
    <t xml:space="preserve">हरी मिर्च की सब्जी बनाने के लिए सबसे पहले हरी मिर्च को धोकर उसे छोटा छोटा काट ले. अब एक चटनी में तेल गरम करें। अप्राकृतिक राय डाली गई और 10 सेकंड बाद कटी हुई हरी मिर्च डाली गई। 1 मिनट बाद इसमें हल्दी पाउडर, लाल मिर्च पाउडर, सौंफ पाउडर, धनिया पाउडर डाला और मिला लिया। 3 से 4 मिनट तक मसाला दे. उसके बाद इसमें निम्बू का रस और शकर डाला गया। अच्छे तरह से मिलाए और अगले 1 मिनट तक पकाए। बंद गैस कर और प्रतिष्ठान। हरी मिर्च की सब्ज़ी को राजस्थानी दाल बाटी चूरमा या गुजराती दाल के साथ गरमा गरम परोसें।
</t>
  </si>
  <si>
    <t>http://www.archanaskitchen.com/green-chilli-vegetable-recipe-in-hindi</t>
  </si>
  <si>
    <t>Panchmel Dal Recipe | Rajasthani Dal | Panchkuti Dal</t>
  </si>
  <si>
    <t>पंचमेल दाल रेसिपी | राजस्थानी दाल | पंचकुटी दल</t>
  </si>
  <si>
    <t>1/4 कप अरहर दाल, 1/4 कप मसूर दाल (साबुत), 1/4 कप चना दाल, 1/4 कप काली उड़द दाल (साबुत), 1/4 कप हरी मूंग दाल (साबुत), 2 बड़े चम्मच घी, 1 छोटा चम्मच जीरा, 1 प्याज - बारीक कटा हुआ, 4 लहसुन के दाने - बारीक कटा हुआ, 1 इंच अदरक - बारीक कटा हुआ, 2 हरी मिर्च - कटी हुई, 1 तेज पत्ता, 1 इंच दालचीनी - टूटी हुई, 1 टमाटर - बारीक कटा हुआ, 1/2 छोटा चम्मच हल्दी, 1/2 छोटा चम्मच लाल मिर्च पाउडर, 1/4 छोटा चम्मच हींग, नमक - स्वादानुसार, 1 नींबू - रस निकाला हुआ, 1 बड़ा चम्मच घी, 1 छोटा चम्मच जीरा, 2 सूखी लाल मिर्च - टूटी हुई</t>
  </si>
  <si>
    <t>1/4 cup Arhar dal (Split Toor Dal),1/4 cup Masoor Dal (Whole),1/4 cup Chana dal (Bengal Gram Dal),1/4 cup Black Urad Dal (Whole),1/4 cup Green Moong Dal (Whole),2 tablespoons Ghee,1 teaspoon Cumin seeds (Jeera),1 Onion - finely chopped,4 cloves Garlic - finely chopped,1 inch Ginger - finely chopped,2 Green Chillies - slit vertically,1 Bay leaves (tej patta),1 inch Cinnamon Stick (Dalchini) - broken,1 Tomato - finely chopped,1/2 teaspoon Turmeric powder (Haldi),1/2 teaspoon Red Chilli powder,1/4 teaspoon Asafoetida (hing),Salt - as required,1 Lemon - juice extracted,1 tablespoon Ghee,1 teaspoon Cumin seeds (Jeera),2 Dry Red Chillies - broken</t>
  </si>
  <si>
    <t xml:space="preserve">To begin making the Rajasthani Panchmel Dal, we will first soak the all the dals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Panchmel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Panchmel Dal to a serving bowl.The next is the tadka, heat ghee in a pan over medium heat. Add the cumin seeds and red chillies and allow it to roast for a few seconds. Turn off the heat and add this tadka to the Rajasthani Panchmel DalServe the Rajasthani Panchmel Dal along with Bati or eat it along Spicy Paneer Pulao With Vegetables followed by the mouth-watering Traditional Rasmalai Recipe.
</t>
  </si>
  <si>
    <t>राजस्थानी पंचमेल दाल बनाने के लिए सबसे पहले हम सभी दालों को 3 कप पानी में लगभग 3 घंटे के लिए भिगो देंगे। एक प्रेशर कुकर में मध्यम आंच पर घी गर्म करें, उसमें जीरा डालें और उसे चटकने दें। उसमें प्याज, हरी मिर्च, अदरक और लहसुन डालें और प्याज के नरम होने तक भूनें। उसमें तेज पत्ता और दालचीनी डालें और कुछ सेकंड के लिए तब तक भूनें जब तक कि आपको सुगंध आने न लगे। इसके बाद टमाटर, हल्दी पाउडर, लाल मिर्च पाउडर, हिंग डालें और लगभग एक मिनट तक भूनें जब तक कि टमाटर थोड़ा नरम न हो जाए। टमाटर के नरम हो जाने पर उसमें भिगोई हुई दाल, स्वादानुसार नमक और यदि आवश्यक हो तो पानी डालें ताकि पानी दाल के स्तर से कम से कम 2 इंच ऊपर हो। प्रेशर कुकर को ढक दें उंगलियों के बीच दबाने पर यह आसानी से मैश हो जाना चाहिए। नींबू और धनिया के पत्तों से रस मिलाएं और राजस्थानी पंचमेल दाल को एक सर्विंग बाउल में डालें। अगला तड़का है, मध्यम आँच पर एक पैन में घी गरम करें। जीरा और लाल मिर्च डालें और इसे कुछ सेकंड के लिए भूनने दें। आँच बंद करें और इस तड़के को राजस्थानी पंचमेल दाल में मिलाएँ। राजस्थानी पंचमेल दाल को बाटी के साथ परोसें या इसे मसालेदार पनीर पुलाव के साथ सब्ज़ियों के साथ खाएँ और फिर मुँह में पानी लाने वाली पारंपरिक रसमलाई रेसिपी खाएँ।</t>
  </si>
  <si>
    <t>https://www.archanaskitchen.com/panchkuti-panchmel-dal-rajasthani-five-dal-recipe</t>
  </si>
  <si>
    <t>Rajasthani Laal Maas Recipe-Mutton In Red Spicy Gravy</t>
  </si>
  <si>
    <t>राजस्थानी लाल मास रेसिपी-लाल मसालेदार ग्रेवी में मटन</t>
  </si>
  <si>
    <t>10 कश्मीरी सूखी लाल मिर्च - कम से कम 20 मिनट तक पानी में भिगोई हुई, 500 ग्राम मटन - 1 इंच के टुकड़ों में कटा हुआ, 1/2 कप दही, 1 छोटा चम्मच जीरा, 2 छोटे चम्मच जीरा, 2 छोटे चम्मच धनिया पाउडर, 1/2 छोटा चम्मच हल्दी, 2 बड़े चम्मच अदरक लहसुन पेस्ट, घी - आवश्यकतानुसार, 2 बड़ी इलायची, 3 इलायची के दाने, 1 इंच दालचीनी, 3 लौंग, 1 तेज पत्ता, 3 प्याज - बारीक कटा हुआ, 1/2 छोटा चम्मच गरम मसाला, नमक - स्वादानुसार, धनिया के पत्ते - कुछ टहनियाँ, 3 चारकोल - टुकड़े</t>
  </si>
  <si>
    <t>10 Kashmiri dry red chillies - soaked in water for atleast 20 minutes,500 grams Mutton - cut into 1 inch pieces,1/2 cup Curd (Dahi / Yogurt),1 teaspoon Cumin seeds (Jeera),2 teaspoons Cumin powder (Jeera),2 teaspoons Coriander Powder (Dhania),1/2 teaspoon Turmeric powder (Haldi),2 tablespoons Ginger Garlic Paste,Ghee - as required,2 Brown cardamom (Badi Elaichi),3 Cardamom (Elaichi) Pods/Seeds,1 inch Cinnamon Stick (Dalchini),3 Cloves (Laung),1 Bay leaf (tej patta),3 Onions - finely chopped,1/2 teaspoon Garam masala powder,Salt - to taste,Coriander (Dhania) Leaves - Few sprigs,3 Charcoal - pieces</t>
  </si>
  <si>
    <t xml:space="preserve">To begin making the Rajasthani Laal Maas recipe, add water in a heavy bottomed pan. Add the soaked kashmiri red chillies and all the dry spices including cumin seeds, black cardamoms, green cardamoms, cinnamon stick, cloves, bay leaf into the water.Let it boil and switch off the flame once the dry red chillies becomes soft.Let it cool a bit, retain the water and then grind the spices into a fine paste in a mixer grinder.In a large mixing bowl, add mutton, yogurt, cumin powder, coriander powder, turmeric powder, one tablespoon ginger garlic paste and the dry red chilli paste which we prepared in the beginning.Mix everything well and set aside to marinate in the refrigerator for an hour.Heat ghee in a heavy bottomed pan. Add onions and sauté till they turn light brown in colour.Add the remaining ginger garlic paste and sauté for a minute.Add the marinated mutton to the onions and sauté on high heat for two to three minutes.Add the required salt and water (which we retained from boiling the dry red chillies) into the pan.Cover the pan with a lid and let it cook for 20 to 25 minutes. You can add more water if you want watery consistency.Once the mutton is cooked, light the piece of charcoal, place it in a small metal bowl and place the bowl in the centre of the pan.Add two to three cloves to the coal, pour some ghee and quickly cover the pan with a lid and set aside for two to three minutes.Remove the charcoal bowl,put the curry back on heat, add garam masala and give a quick stir before removing from heat.Transfer to a serving bowl and garnish it with coriander leaves.Serve Rajasthani Laal Maas with hot Phulkas, steamed rice or Baati. It is usually made during special occasions and festivals in Rajasthan.
</t>
  </si>
  <si>
    <t>राजस्थानी लाल मास रेसिपी बनाने के लिए सबसे पहले एक भारी तले वाले पैन में पानी डालें। भीगी हुई कश्मीरी लाल मिर्च और सभी सूखे मसाले जैसे जीरा, काली इलायची, हरी इलायची, दालचीनी, लौंग, तेज पत्ता पानी में डालें। इसे उबलने दें और जब सूखी लाल मिर्च नरम हो जाए तो आंच बंद कर दें। इसे थोड़ा ठंडा होने दें, पानी को बनाए रखें और फिर मसालों को मिक्सर ग्राइंडर में बारीक पीस लें। एक बड़े मिक्सिंग बाउल में मटन, दही, जीरा पाउडर, धनिया पाउडर, हल्दी पाउडर, एक बड़ा चम्मच अदरक लहसुन का पेस्ट और सूखी लाल मिर्च का पेस्ट डालें जो हमने शुरू में बनाया था। सब कुछ अच्छी तरह से मिलाएँ और एक घंटे के लिए फ्रिज में मैरिनेट होने के लिए रख दें। एक भारी तले वाले पैन में घी गर्म करें। इसमें प्याज़ डालें और उनका रंग हल्का भूरा होने तक भूनें। बचा हुआ अदरक लहसुन का पेस्ट डालें और एक मिनट के लिए भूनें। प्याज़ में मैरीनेट किया हुआ मटन डालें और दो से तीन मिनट तक तेज़ आँच पर भूनें। पैन में आवश्यक नमक और पानी (जो हमने सूखी लाल मिर्च उबालने से बचा लिया था) डालें। पैन को ढक्कन से ढक दें और इसे 20 से 25 मिनट तक पकने दें। अगर आपको पानी जैसा गाढ़ापन चाहिए तो आप और पानी मिला सकते हैं। मटन पक जाने के बाद, लकड़ी का कोयला जलाएं, इसे एक छोटे धातु के कटोरे में रखें और कटोरे को पैन के बीच में रख दें। कोयले में दो से तीन लौंग डालें, थोड़ा घी डालें और जल्दी से पैन को ढक्कन से ढक दें और दो से तीन मिनट के लिए अलग रख दें। लकड़ी का कोयला वाला कटोरा हटा दें, करी को वापस आँच पर रखें इसे आमतौर पर राजस्थान में विशेष अवसरों और त्योहारों के दौरान बनाया जाता है।</t>
  </si>
  <si>
    <t>https://www.archanaskitchen.com/rajasthani-laal-maas-recipe-mutton-in-red-spicy-gravy</t>
  </si>
  <si>
    <t>Rajasthani Kalmi Vada Recipe - Chana Dal Vada</t>
  </si>
  <si>
    <t>राजस्थानी कलमी वड़ा रेसिपी - चना दाल वड़ा</t>
  </si>
  <si>
    <t>1/2 कप चना दाल, 1 प्याज, 6 लहसुन के दाने, धनिया पत्ती - छोटा गुच्छा, 1 हरी मिर्च, 1/2 चम्मच लाल मिर्च पाउडर, 1 चम्मच जीरा, नमक - आवश्यकतानुसार, सूरजमुखी तेल - आवश्यकतानुसार</t>
  </si>
  <si>
    <t>1/2 cup Chana dal (Bengal Gram Dal),1 Onion,6 cloves Garlic,Coriander (Dhania) Leaves - small bunch,1 Green Chilli,1/2 teaspoon Red Chilli powder,1 teaspoon Cumin seeds (Jeera),Salt - as required,Sunflower Oil - as required</t>
  </si>
  <si>
    <t xml:space="preserve">To begin making the Rajasthani Kalmi Vada, wash and soak the chana dal overnight. The next day, drain the chana dal from water and add it to mixer. Grind into thick coarse paste sprinkling very little water whenever needed. The dal should be firm. Transfer the dal into mixing bowl.Into this mixing bowl, along with the dal, add finely chopped onion, green chilli, crushed garlic, coriander leaves, cumin seeds, red chilli powder and required salt to it.Mix everything together into thick soft dough. Heat oil for deep frying on medium flame. Once the oil is well heated, simmer the flame. Take small portion of kalmi vada masala and shape them like fingers, using your fingers. Drop into oil and fry until golden on all sides. Do not crowd the oil and fry the vada in batches. Remove the fried vadas onto a plate with absorbent paper to drain off all the excess oil. Serve Rajasthani Kalmi Vada along with Imli Chutney and a hot cup of Adrak Chai as a wonderful tea time snack.
</t>
  </si>
  <si>
    <t>राजस्थानी कलमी वड़ा बनाने के लिए चना दाल को धोकर रात भर भिगो दें। अगले दिन चना दाल को पानी से निकालकर मिक्सर में डालें। जब भी ज़रूरत हो बहुत कम पानी छिड़कते हुए मोटा मोटा पेस्ट बना लें। दाल सख्त होनी चाहिए। दाल को मिक्सिंग बाउल में डालें। इस मिक्सिंग बाउल में दाल के साथ बारीक कटा प्याज, हरी मिर्च, कुटा हुआ लहसुन, धनिया पत्ती, जीरा, लाल मिर्च पाउडर और आवश्यकतानुसार नमक डालें। सारी चीज़ों को मिलाकर गाढ़ा नरम आटा गूंथ लें। मध्यम आंच पर तलने के लिए तेल गर्म करें। जब तेल अच्छी तरह गर्म हो जाए तो आंच धीमी कर दें। कलमी वड़ा मसाला का छोटा सा हिस्सा लें और उन्हें अपनी उंगलियों का उपयोग करके उंगलियों का आकार दें। तेल में डालें और सभी तरफ से सुनहरा होने तक तल लें राजस्थानी कलमी वड़ा को इमली की चटनी और एक गर्म कप अदरक चाय के साथ एक शानदार चाय के समय नाश्ते के रूप में परोसें।</t>
  </si>
  <si>
    <t>https://www.archanaskitchen.com/rajasthani-kalmi-vada-recipe-fried-lentil-fritters</t>
  </si>
  <si>
    <t>Rajasthani Kadhi Recipe – Rajasthani Kadhi (Recipe In Hindi)</t>
  </si>
  <si>
    <t>राजस्थानी कढ़ी रेसिपी - राजस्थानी कढ़ी (रेसिपी इन हिंदी)</t>
  </si>
  <si>
    <t>घी - प्रयोग के अनुसार, 1/2 छोटा चमच्च रायज, 1/2 छोटा चमच्च मेथी के दाने, 2 सुखी लाल मिर्च, पानी - प्रयोग के अनुसार, 1/4 छोटा चमच्च मेथी के दाने, 1/4 छोटा चमच्च हींग, 1 बड़ा चमच्च अदरक लहसुन का पेस्ट, 1 हरी मिर्च - मसाला काट ले, 1 दही, 2 बड़े चमच्च बेसन, 1/4 छोटा चम्मच हल्दी पाउडर, 1/2 छोटा चमच्च लाल मिर्च पाउडर, नमक - स्वाद</t>
  </si>
  <si>
    <t>Ghee - as per requirement, 1/2 tsp mustard seeds, 1/2 tsp fenugreek seeds, 2 dried red chillies, water - as per requirement, 1/4 tsp asafoetida, 1 tbsp ginger garlic paste, 1 green chilli - finely chopped, 1 cup curd, 2 tbsp gram flour, 1/4 tsp turmeric powder, 1/2 tsp red chilli powder, salt - as per taste</t>
  </si>
  <si>
    <t>To make Rajasthani Kadhi, first add water as per requirement to curd and mix it well. Now add gram flour to it and beat it well so that it does not form lumps. Once done, add red chili powder, turmeric powder and salt to it. Mix everything and keep it aside. Now heat ghee in a pan. Add mustard seeds, fenugreek seeds, asafoetida and dried red chilies to it. After 10 seconds add green chilies, ginger garlic paste and cook for 1 minute. After 1 minute add curd mixture and keep stirring so that it does not form lumps. Let it boil for 10 to 15 minutes. Once cooked, turn off the gas and serve. Serve Rajasthani Kadhi with Sev Tomato Sabzi and Phulkas for lunch.</t>
  </si>
  <si>
    <t xml:space="preserve">राजस्थानी कढ़ी बनाने के लिए, सबसे पहले दही में दप्रयोग अनुसार पानी का ढाँचा अच्छी तरह से मिला ले। अब बेसन में डाल दिया और अच्छी तरह से फेट ले ताकि गाथ न पड़े। हो जाने के बाद इसमें लाल मिर्च पाउडर, हल्दी पाउडर और नमक डाला जाता है। सबसे मिला ले और अलग से रख दे। अब एक रोटी में घी गर्म करें। इसमें राइ, मेथी के बीज, हींग और सुखी लाल मिर्च डाली जाती है। 10 सेकंड के बाद इसमें हरी मिर्च, अदरक लहसुन का पेस्ट और 1 मिनट तक पकाए। 1 मिनट बाद इसमें दही का मिश्रण डाला और मिलते रहे ताकि गाठ न पड़े। 10 से 15 मिनट तक फिसलने दे. पाक जाने के, गैस बंद करें और खरीदें। राजस्थानी कढ़ी को सेव टमाटर की सब्जी और फुलके के साथ दिन के खाने के लिए।
</t>
  </si>
  <si>
    <t>https://www.archanaskitchen.com/rajasthani-kadhi-recipe-in-hindi</t>
  </si>
  <si>
    <t>Gavar Ki Sabji Recipe – Gavar Ki Sabji (Recipe In Hindi)</t>
  </si>
  <si>
    <t>गवार की सब्जी रेसिपी - गवार की सब्जी (रेसिपी इन हिंदी)</t>
  </si>
  <si>
    <t>2 कप ग्वार फली - कटा हुआ प्याज - कट ले, 2 टमाटर - कट ले, 3 काली लहसुन - पीस ले, 1/2 छोटा चमच्च अदरक - पीस ले, 2 छोटा चमच्च धनिया पाउडर, 1 बड़ा चमच्च तेल, 1 छोटा चमच्च राय, 1 छोटा चम्मच जीरा, 1-1/2 छोटा चमच्च लाल मिर्च पाउडर, 1/2 छोटा चमच्च हल्दी पाउडर, 1/2 छोटा चम्मच चमच्च हींग, नमक - स्वाद अनुसार, हरा धनिया - प्रयोग</t>
  </si>
  <si>
    <t>2 cups cluster beans - clean and chop, 1 onion - chop, 2 tomatoes - chop, 3 cloves garlic - grind, 1/2 teaspoon ginger - grate, 2 teaspoon coriander powder, 1 tablespoon oil, 1 teaspoon mustard seeds, 1 teaspoon cumin seeds, 1-1/2 teaspoon red chili powder, 1/2 teaspoon turmeric powder, 1/2 teaspoon asafoetida, salt - according to taste, green coriander - according to use</t>
  </si>
  <si>
    <t>To make Gawar ki Sabzi, first heat oil in a cooker. Add mustard seeds and after 10 seconds add cumin seeds. After adding cumin seeds, add asafoetida, turmeric powder, garlic, onion, red chili powder, ginger, coriander powder and mix. Cook for 15 seconds and then add tomatoes and Gawar and mix. Now add salt and 1/4 cup water. Cook till 1 whistle and then let it cook on a low flame for 5 minutes. Garnish with green coriander after cooking. Serve Gawar ki Sabzi with Garlic Daal and Phulkas for lunch.</t>
  </si>
  <si>
    <t xml:space="preserve">ग्वार की सब्जी बनाने के लिए सबसे पहले कुकर में तेल गरम कर ले. राइ ने डाला और 10 सेकंड बाद जीरा डाला। जीरा के बाद इसमें हींग, हल्दी पाउडर, लहसुन, प्याज, लाल मिर्च पाउडर, अदरक, धनिया पाउडर डाला और मिला लिया। 15 सेकंड के लिए पकाए और फिर टमाटर और ग्वार लगाए और मिला ले. अब इसमें नमक डाल दिया गया है और 1/4 कप पानी डाल दिया गया है। 1 शहर आने तक पकाए और फिर 5 मिनट तक डुबने पर स्टोव दे। मसाले के बाद हरे धनिये से गार्निश करें। ग्वार की सब्जी को लहसुनी दाल और फुलके के साथ दिन भर के लिए बनायें.
</t>
  </si>
  <si>
    <t>https://www.archanaskitchen.com/gavar-ki-sabji-recipe-in-hindi</t>
  </si>
  <si>
    <t>Arbi Ajwain Sabzi Recipe (Roasted Colocasia Stir Fry With Ajwain)</t>
  </si>
  <si>
    <t>अरबी अजवाइन की सब्जी रेसिपी (भुनी हुई अरबी अजवाइन के साथ भूनी हुई)</t>
  </si>
  <si>
    <t>300 ग्राम अरबी, 1 बड़ा चम्मच अजवाइन, 1 प्याज - बारीक कटा हुआ, 2 लहसुन - बारीक कटा हुआ, 1/2 छोटा चम्मच हल्दी, 1 छोटा चम्मच लाल मिर्च पाउडर, 1 टहनी करी पत्ता - बारीक कटा हुआ, 1 टहनी धनिया पत्ता - बारीक कटा हुआ</t>
  </si>
  <si>
    <t>300 grams Colocasia root (Arbi),1 tablespoon Ajwain (Carom seeds),1 Onion - thinly sliced,2 cloves Garlic - finely chopped,1/2 teaspoon Turmeric powder (Haldi),1 teaspoon Red Chilli powder,1 sprig Curry leaves - finely chopped,1 sprig Coriander (Dhania) Leaves - finely chopped</t>
  </si>
  <si>
    <t xml:space="preserve">To begin making the Arbi Ajwain Ki Sabzi Recipe (Roasted Colocasia Stir Fry With Ajwain), first wash the arbi well under running water to remove all the dirt and mud.Place the arbi in the pressure cooker with quarter cup water. Cover and pressure cook for three to four whistles and turn off the heat. Allow the pressure to release naturally. Once done, peel the skin of the arbi and cut it into wedges or dices. Keep aside.Heat a teaspoon  of oil in a wok/ kadai, add the ajwain seeds, onion and garlic. Saute until the onions become tender. Once the onions are tender, add the curry leaves, cooked arbi and the remaining ingredients. Add the salt to taste. Stir fry on medium heat for about 3 to 4 minutes until the masalas are well incorporated into the arbi to make a sabzi. Taste and adjust the salt and chili accordingly.Once done, remove from the pan, transfer to a serving bowl, stir the coriander leaves and serve.Serve the Arbi Ajwain Ki Sabzi along with Rajasthani Panchmel Dal, Phulka and Salad to make a wholesome and complete meal. 
</t>
  </si>
  <si>
    <t>अरबी अजवाइन की सब्जी बनाने के लिए सबसे पहले अरबी को बहते पानी के नीचे अच्छे से धो लें, ताकि सारी गंदगी और कीचड़ निकल जाए। अरबी को प्रेशर कुकर में चौथाई कप पानी के साथ रखें। ढककर तीन से चार सीटी आने तक प्रेशर कुक करें और आंच बंद कर दें। प्रेशर को अपने आप निकलने दें। जब हो जाए, तो अरबी का छिलका उतार लें और उसे वेजेज़ या छोटे टुकड़ों में काट लें। एक तरफ रख दें। एक कड़ाही में एक चम्मच तेल गर्म करें, उसमें अजवाइन, प्याज और लहसुन डालें। प्याज के नरम होने तक भूनें। जब प्याज नरम हो जाए, तो उसमें करी पत्ता, पकी हुई अरबी और बाकी सामग्री डालें। स्वादानुसार नमक डालें। मध्यम आंच पर 3 से 4 मिनट तक भूनें, जब तक कि मसाला अरबी में अच्छी तरह मिल न जाए और सब्जी बन जाए। स्वाद चखें और नमक और मिर्च को अपने अनुसार समायोजित करें। एक बार हो जाने पर, पैन से निकालें, एक सर्विंग बाउल में डालें, धनिया पत्ती को हिलाएं और परोसें। पौष्टिक और संपूर्ण भोजन बनाने के लिए अरबी अजवाइन की सब्जी को राजस्थानी पंचमेल दाल, फुल्का और सलाद के साथ परोसें।</t>
  </si>
  <si>
    <t>http://www.archanaskitchen.com/arbi-ajwain-ki-sabzi-recipe-roasted-colocasia-stir-fry-with-ajwain</t>
  </si>
  <si>
    <t>Raw Mango Launji Recipe</t>
  </si>
  <si>
    <t>कच्चे आम की लौंजी रेसिपी</t>
  </si>
  <si>
    <t>3 कच्चे आम, 1/2 बड़ा चम्मच सरसों का तेल, हींग - चुटकी भर, 1 कप गुड़, 1/4 कप खजूर, 1/4 छोटा चम्मच सरसों के दाने, 1/4 छोटा चम्मच सौंफ, 1/4 छोटा चम्मच धनिया, 1/4 छोटा चम्मच मेथी, 1/4 छोटा चम्मच कलौंजी, 1/4 छोटा चम्मच हल्दी, 1/4 छोटा चम्मच लाल मिर्च पाउडर, नमक - स्वादानुसार</t>
  </si>
  <si>
    <t>3 Mango (Raw),1/2 tablespoon Mustard oil,Asafoetida (hing) - a pinch,1 cup Jaggery,1/4 cup Dates,1/4 teaspoon Mustard seeds,1/4 teaspoon Fennel seeds (Saunf),1/4 teaspoon Coriander (Dhania) Seeds,1/4 teaspoon Methi Seeds (Fenugreek Seeds),1/4 teaspoon Kalonji (Onion Nigella Seeds),1/4 teaspoon Turmeric powder (Haldi),1/4 teaspoon Red Chilli powder,Salt - as required</t>
  </si>
  <si>
    <t xml:space="preserve">To begin making the  Kacche Aam Ki Launji, cut the mangoes into slices.Heat a wide pan with mustard oil on medium heat, add mustard seeds, fennel seeds, coriander seeds, asafoetida, and kalonji seeds.Once the seeds begin to sizzle, add the sliced mangoes to it.Now add jaggery and simmer the mango pieces for 10-15 minutes till the pieces become soft and the gravy becomes thick.At this stage add turmeric powder and red chili powder and mix well. This can be served hot as well as refrigerated and used over the week.Serve Kacche Aam Ki Launji with Rajasthani Gatte Ki Sabzi and phulka for a perfect Rajasthani meal.
</t>
  </si>
  <si>
    <t>कच्चे आम की लौंजी बनाने के लिए सबसे पहले आम को टुकड़ों में काट लें। मध्यम आंच पर एक चौड़े पैन में सरसों का तेल गर्म करें, उसमें सरसों के दाने, सौंफ, धनिया के बीज, हींग और कलौंजी के बीज डालें। जब बीज चटकने लगें, तो इसमें कटे हुए आम डालें। अब इसमें गुड़ डालें और आम के टुकड़ों को 10-15 मिनट तक पकाएँ, जब तक कि टुकड़े नरम न हो जाएँ और ग्रेवी गाढ़ी न हो जाए। इस अवस्था में हल्दी पाउडर और लाल मिर्च पाउडर डालें और अच्छी तरह मिलाएँ। इसे गरमागरम या फ्रिज में रखकर पूरे हफ़्ते इस्तेमाल किया जा सकता है। कच्चे आम की लौंजी को राजस्थानी गट्टे की सब्ज़ी और फुल्के के साथ परोसिए और एक बेहतरीन राजस्थानी भोजन बनाएँ।</t>
  </si>
  <si>
    <t>https://www.archanaskitchen.com/kacche-aam-ki-launji-recipe</t>
  </si>
  <si>
    <t>More About Biryani Recipe</t>
  </si>
  <si>
    <t>लाल मास बिरयानी रेसिपी</t>
  </si>
  <si>
    <t>500 ग्राम मटन - हड्डी सहित, 1/2 कप दही, 2 छोटे चम्मच जीरा, 2 छोटे चम्मच धनिया पाउडर, 2 बड़े चम्मच अदरक लहसुन पेस्ट, नमक - स्वादानुसार, 10 कश्मीरी सूखी लाल मिर्च - कम से कम 20 मिनट तक पानी में भिगोई हुई, 1 छोटा चम्मच जीरा, 2 बड़ी इलायची, 3 इलायची के दाने, 1 इंच दालचीनी, 3 लौंग, 1 तेज पत्ता, 1 बड़ा चम्मच घी, 3 प्याज - पतले कटे हुए, 1 छोटा चम्मच गरम मसाला पाउडर, नमक - स्वादानुसार, 2 टहनी धनिया - कटी हुई, चारकोल - धुंआ करने के लिए टुकड़े, 1/4 कप घी, 1 तेज पत्ता, 2 कश्मीरी सूखी लाल मिर्च, 1 बड़ी इलायची इलायची, 2 इलायची की फली/बीज, 1 इंच दालचीनी, 2 लौंग, 2 प्याज - पतले कटे हुए, 2 बड़े चम्मच अदरक - पेस्ट, 2 बड़े चम्मच लहसुन - पेस्ट, नमक - स्वादानुसार, 2 हरी मिर्च - कटी हुई, 2 छोटे चम्मच धनिया पाउडर, 1 बड़ा चम्मच कश्मीरी लाल मिर्च पाउडर, 1/2 छोटा चम्मच हल्दी, 2 कप बासमती चावल - धोकर 30 मिनट तक भिगोए हुए, 1/4 कप धनिया पत्ते - बारीक कटे हुए, 1/4 कप पुदीना पत्ते (बारीक कटे हुए)</t>
  </si>
  <si>
    <t>500 grams Mutton - on the bone,1/2 cup Curd (Dahi / Yogurt),2 teaspoons Cumin powder (Jeera),2 teaspoons Coriander Powder (Dhania),2 tablespoons Ginger Garlic Paste,Salt - to taste,10 Kashmiri dry red chillies - soaked in water for at least 20 minutes,1 teaspoon Cumin seeds (Jeera),2 Black cardamom (Badi Elaichi),3 Cardamom (Elaichi) Pods/Seeds,1 inch Cinnamon Stick (Dalchini),3 Cloves (Laung),1 Bay leaf (tej patta),1 tablespoon Ghee,3 Onions - thinly sliced,1 teaspoon Garam masala powder,Salt - to taste,2 sprig Coriander (Dhania) Leaves - chopped,Charcoal - pieces for smoking,1/4 cup Ghee,1 Bay leaf (tej patta),2 Kashmiri dry red chillies,1 Black cardamom (Badi Elaichi),2 Cardamom (Elaichi) Pods/Seeds,1 inch Cinnamon Stick (Dalchini),2 Cloves (Laung),2 Onions - thinly sliced,2 tablespoons Ginger - paste,2 tablespoons Garlic - paste,Salt - to taste,2 Green Chillies - slit,2 teaspoons Coriander (Dhania) Powder,1 tablespoons Kashmiri Red Chilli Powder,1/2 teaspoon Turmeric powder (Haldi),2 cups Basmati rice - washed and soaked for 30 minutes,1/4 cup Coriander (Dhania) Leaves - finely chopped,1/4 cup Mint Leaves (Pudina) - finely chopped</t>
  </si>
  <si>
    <t xml:space="preserve">To begin making the Laal Maas Biryani Recipe, we will first make the laal maas. To make the Laal Maas - We will first make the Laal maas masala First, soak the Kashmiri red chillies in water for about 10 minutes.  Once done, heat a saucepan with water, halfway through the pan, on medium flame and bring it to a rolling boil. Once it comes to a rolling boil, reduce the flame, and add all the whole spices - kashmiri red dry chillies, cumin seeds, black cardamom, green cardamom, cinnamon stick, cloves and bay leaf. Let it boil for about 5-7 minutes and then turn off the flame. Drain the excess water and set aside. Do not discard the water.  Cool the boiled spices to room temperature and grind to a smooth paste using very little water.Transfer the Laal Maas Masala to a bowl and set aside. To marinate the mutton for the laal maas In a mixing bowl, combine the washed and cleaned mutton along with yogurt, freshly ground laal maas masala, cumin powder, coriander powder, turmeric powder, salt and ginger garlic paste. Nicely massage the marinade on to the mutton pieces, cover and set aside for a minimum of 30 minutes. To make the Laal Maas Masala CurryIn a kadai heat ghee on medium flame, add the sliced onions and saute until they turn into a lovely brown colour. This will take about 10 minutes on low medium heat stirring continuously, to get an even colour. To the browned onions, now add the ginger garlic paste, and continue to cook for yet another minute. At this stage, add the marinated mutton pieces along with the marinade and give it a good stir. Add salt to taste, and about 1/2 cup of water, and allow the mutton to cook on medium-low heat for about 25 minutes or until the mutton is 85% cooked. Turn on the flame and light a piece of charcoal until burning red hot. Once its well lit, transfer the charcoal piece, into a small katori, and add 2 cloves into this same katori. Now gently place the charcoal katori in the centre of laal maas kadai, pour about 2 teaspoons of ghee over  it and immediately close the kadai with a lid. Allow the smoke to be absorbed by the laal maas. Open the lid after 3-4 minutes, remove the katori with the coal; add the garam masala and mix it properly. Set this laal maas masala curry aside. You can eat this laal maas curry along with rice or even phulka for lunch or dinner.To make the Laal maas biryani Heat a pressure cooker with ghee on medium flame, to this add the whole spices - bay leaf, kashmiri red chilli, big cardamom, small cardamom, cloves and cinnamon. Once these whole spices begin to sizzle, add the thinly sliced onions and saute until they turn into a light brown colour. Once the onions have browned, add the ginger garlic paste, green chillies and salt. Continue to cook for about a minute or two. Then add the coriander powder, turmeric powder and kashmiri red chilli powder. Stir well, now add the pre cooked laal maas, meat and gravy included and give it a good mix until well combined. Finally, add the washed and drained rice, 4 cups of water, coriander and mint leaves and give it a quick stir. Adjust the salt to suit your taste. Close the pressure cooker and pressure cook the Laal Maas Biryani for 2-3 whistles and turn off the flame. Allow the pressure to release naturally and then open the pressure cooker.  Give the Laal Maas Biryani a gentle stir taking care to keep the Biryani rice separate.Transfer the Laal Maas Biryani to a platter and serve piping hot. Serve Laal Maas Biryani Recipe along with some Lachedar Kakdi Pyaz Kachumber Recipe and Onion Raita Recipe - Pyaz Ka Raita Recipe for a complete meal.
</t>
  </si>
  <si>
    <t xml:space="preserve">लाल मास बिरयानी रेसिपी बनाने के लिए सबसे पहले हम लाल मास बनाएंगे। लाल मास बनाने के लिए - हम सबसे पहले लाल मास मसाला बनाएंगे सबसे पहले कश्मीरी लाल मिर्च को लगभग 10 मिनट के लिए पानी में भिगो दें। एक बार हो जाने पर एक सॉस पैन में पानी गर्म करें, आधा पैन पानी में डालें, मध्यम आंच पर इसे उबाल लें। एक बार जब यह उबलने लगे तो आंच धीमी कर दें और सभी खड़े मसाले - कश्मीरी लाल सूखी मिर्च, जीरा, बड़ी इलायची, हरी इलायची, दालचीनी, लौंग और तेज पत्ता डालें। इसे लगभग 5-7 मिनट तक उबलने दें और फिर आंच बंद कर दें। अतिरिक्त पानी निथार लें और एक तरफ रख दें। पानी को न फेंके। उबले हुए मसालों को कमरे के तापमान पर ठंडा करें और बहुत कम पानी का उपयोग करके एक चिकने पेस्ट में पीस लें। लाल मास मसाला को एक कटोरे में डालें और एक तरफ रख दें। लाल मास के लिए मटन को मैरीनेट करने के लिए एक मिक्सिंग बाउल में धुले और साफ मटन को दही, ताजा पिसा हुआ लाल मास मसाला, जीरा पाउडर, धनिया पाउडर, हल्दी पाउडर, नमक और अदरक लहसुन के पेस्ट के साथ मिलाएं। मटन के टुकड़ों पर अच्छी तरह से मैरीनेड लगाएं, ढककर कम से कम 30 मिनट के लिए अलग रख दें। लाल मास मसाला करी बनाने के लिए एक कढ़ाई में मध्यम आंच पर घी गर्म करें, उसमें कटे हुए प्याज डालें और उन्हें प्यारा भूरा रंग होने तक भूनें। एक समान रंग पाने के लिए लगातार हिलाते हुए धीमी मध्यम आंच पर इसमें लगभग 10 मिनट लगेंगे। भूरे हो चुके प्याज में अब अदरक लहसुन का पेस्ट डालें और एक मिनट के लिए पकाते रहें। इस स्तर पर, मैरीनेड के साथ मैरीनेट किए हुए मटन के टुकड़े डालें और इसे अच्छे से हिलाएं। स्वादानुसार नमक और लगभग 1/2 कप पानी डालें और मटन को मध्यम-धीमी आंच पर लगभग 25 मिनट तक पकने दें या जब तक मटन 85% पक न जाए। आंच चालू करें और लकड़ी का कोयला का एक टुकड़ा लाल होने तक जलाएं। जब यह अच्छी तरह से जल जाए तो लकड़ी का कोयला के टुकड़े को एक छोटी कटोरी में डालें और इसी कटोरी में 2 लौंग डाल दें। अब लकड़ी का कोयला कटोरी को लाल मास की कढ़ाई के बीच में धीरे से रखें, इसके ऊपर लगभग 2 चम्मच घी डालें और तुरंत ढक्कन से कढ़ाई को बंद कर दें। धुएं को लाल मास द्वारा सोखने दें। 3-4 मिनट बाद ढक्कन खोलें, कोयले के साथ कटोरी को हटा दें; गरम मसाला डालें और इसे ठीक से मिलाएँ। इस लाल मास मसाला करी को एक तरफ रख दें। आप इस लाल मास करी को चावल या फुल्के के साथ लंच या डिनर में खा सकते हैं। लाल मास बिरयानी बनाने के लिए मध्यम आंच पर घी के साथ प्रेशर कुकर गरम करें जब ये साबुत मसाले चटकने लगें तो इसमें पतले कटे प्याज डालें और हल्का भूरा होने तक भूनें। प्याज के भूरा हो जाने पर इसमें अदरक लहसुन का पेस्ट, हरी मिर्च और नमक डालें। एक या दो मिनट तक पकाते रहें। फिर इसमें धनिया पाउडर, हल्दी पाउडर और कश्मीरी लाल मिर्च पाउडर डालें। अच्छी तरह से हिलाएं, अब इसमें पहले से पका हुआ लाल मास, मीट और ग्रेवी डालें और अच्छी तरह मिलाएँ। अंत में इसमें धुले और सूखे चावल, 4 कप पानी, धनिया और पुदीने के पत्ते डालें और इसे जल्दी से हिलाएं। अपने स्वादानुसार नमक डालें। प्रेशर कुकर को बंद करें और लाल मास बिरयानी को 2-3 सीटी आने तक पकाएं और आंच बंद कर दें। प्रेशर को अपने आप निकलने दें और फिर प्रेशर कुकर खोलें लाल मास बिरयानी रेसिपी को लछेदार ककड़ी प्याज कचुम्बर रेसिपी और प्याज रायता रेसिपी - प्याज का रायता रेसिपी के साथ पूरे भोजन के लिए परोसें।
</t>
  </si>
  <si>
    <t>http://www.archanaskitchen.com/laal-maas-biryani-recipe</t>
  </si>
  <si>
    <t>Rajasthani Kadhi Recipe</t>
  </si>
  <si>
    <t>राजस्थानी कढ़ी रेसिपी</t>
  </si>
  <si>
    <t>1 बड़ा चम्मच घी, 1/2 छोटा चम्मच सरसों के बीज, 1 छोटा चम्मच मेथी के बीज (मेथी के बीज), 1/4 छोटा चम्मच हींग (हिंग), 2 सूखी लाल मिर्च, 2 टहनी करी पत्ता, 2 बड़े चम्मच बेसन, 1 कप दही (दही), 1/4 छोटा चम्मच हल्दी पाउडर (हल्दी), 1/2 छोटा चम्मच लाल मिर्च पाउडर, 2-1/2 कप पानी, 5 लहसुन की कलियां - कुचल, 2 हरी मिर्च - कुचल, नमक - स्वादानुसार</t>
  </si>
  <si>
    <t>1 tablespoon Ghee,1/2 teaspoon Mustard seeds,1 teaspoon Methi Seeds (Fenugreek Seeds),1/4 teaspoon Asafoetida (hing),2 Dry Red Chillies,2 sprig Curry leaves,2 tablespoons Gram flour (besan),1 cup Curd (Dahi / Yogurt),1/4 teaspoon Turmeric powder (Haldi),1/2 teaspoon Red Chilli powder,2-1/2 cups Water,5 cloves Garlic - crushed,2 Green Chillies - crushed,Salt - to taste</t>
  </si>
  <si>
    <t xml:space="preserve">To begin making the Rajasthani Kadhi recipe, first make a coarse paste with garlic and green chilli by crushing them in a mortar and pestle. After crushing it well, transfer it to a bowl and set aside.  In a saucepan, combine the yogurt and gram flour, and whisk until smooth. Add water and continue to whisk the kadhi mixture. Whisk this kadhi mixture vigorously to ensure there are no lumps. This is the base of the kadhi. To the buttermilk - gram flour mixture, add red chilli powder, turmeric powder and salt. Mix well to combine. Pour the Rajasthani Kadhi into a saucepan and place it over medium heat. Keep whisking continuously and bring the kadhi to a brisk boil. After a few minutes of boiling add the freshly crushed garlic and green chilli. Mix well and turn the heat to low and simmer the Rajasthani kadhi for about 12-15 minutes. Keep whisking the khadi as it is boiling - it will prevent curdling and also give a smooth looking kadhi.To make the tadka for the Rajasthani Kadhi Recipe; heat ghee in a tadka pan over medium heat; add mustard seeds, fenugreek seeds and allow it to crackle.Once the seeds crackle add the asafoetida, dry red chillies and curry leaves and stir fry for a few seconds. Turn off the heat. Add this tadka to the Rajasthani kadhi, and continue to boil for about 4-5 minutes.Once it is done, turn off the heat. Transfer the Rajasthani Kadhi to a serving bowl and serve hot.Serve Rajasthani Kadhi along with Bajre Ki Roti, Rajasthani Kaddu Aur Aloo Ki Sabzi and Masala Chaas for a weekday lunch.
</t>
  </si>
  <si>
    <t>राजस्थानी कढ़ी रेसिपी बनाने के लिए सबसे पहले लहसुन और हरी मिर्च को ओखल और मूसल में पीसकर मोटा पेस्ट बना लें। अच्छे से मसलने के बाद इसे एक कटोरे में डालकर अलग रख दें। एक सॉस पैन में दही और बेसन मिलाएं और चिकना होने तक फेंटें। पानी डालें और कढ़ी मिश्रण को फेंटना जारी रखें। इस कढ़ी मिश्रण को अच्छी तरह से फेंटें ताकि कोई गांठ न रहे। यह कढ़ी का बेस है। छाछ-बेसन के मिश्रण में लाल मिर्च पाउडर, हल्दी पाउडर और नमक डालें। अच्छी तरह मिलाएँ। राजस्थानी कढ़ी को सॉस पैन में डालें और मध्यम आँच पर रखें। लगातार फेंटते रहें और कढ़ी को उबाल आने दें। कुछ मिनट उबलने के बाद इसमें ताज़ा कुचला हुआ लहसुन और हरी मिर्च डालें खड़ी को उबालते समय उसे फेंटते रहें - इससे दही नहीं जमेगा और कढ़ी भी मुलायम बनेगी। राजस्थानी कढ़ी रेसिपी के लिए तड़का लगाने के लिए, मध्यम आंच पर एक तड़का पैन में घी गर्म करें; इसमें राई, मेथी दाना डालें और इसे चटकने दें। जब बीज चटकने लगे तो इसमें हींग, सूखी लाल मिर्च और करी पत्ता डालें और कुछ सेकंड के लिए भूनें। आंच बंद कर दें। इस तड़के को राजस्थानी कढ़ी में डालें और लगभग 4-5 मिनट तक उबलने दें। जब यह पक जाए तो आंच बंद कर दें। राजस्थानी कढ़ी को एक सर्विंग बाउल में डालें और गर्मागर्म सर्व करें। राजस्थानी कढ़ी को बाजरे की रोटी, राजस्थानी कद्दू और आलू की सब्जी और मसाला छाछ के साथ सप्ताह के दिनों में लंच के लिए परोसें।</t>
  </si>
  <si>
    <t>http://www.archanaskitchen.com/rajasthani-kadhi-recipe</t>
  </si>
  <si>
    <t>Rabodi Ki Sabzi Recipe – Rabodi Ki Sabzi (Recipe In Hindi)</t>
  </si>
  <si>
    <t>राबोडी की सब्जी रेसिपी - राबोडी की सब्जी (रेसिपी इन हिंदी)</t>
  </si>
  <si>
    <t>1 कप राबोडी, 1/2 कप दही प्याज, 1 - सोडा कट ले, 2 हरी मिर्च, 1 छोटा चम्मच जीरा, 3/4 छोटा चम्मच चम्मच लाल मिर्च पाउडर, 1/4 छोटा चम्मच हल्दी पाउडर, 1 छोटा चम्मच धनिया पाउडर, नमक - स्वाद, 1 बड़ा चम्मच तेल, पानी - गरम पानी</t>
  </si>
  <si>
    <t>1 cup rabodi, 1/2 cup curd, 1 onion - finely chopped, 2 green chillies, 1 teaspoon cumin seeds, 3/4 teaspoon red chilli powder, 1/4 teaspoon turmeric powder, 1 teaspoon coriander powder, salt - Taste, 1 tablespoon oil, water - Hot water</t>
  </si>
  <si>
    <t>To make Rabodi ki Sabzi, first cut the Rabodi into small pieces. Put them in hot water and soak for 1 to 2 hours till they become soft. Now heat oil in a pan. Add cumin seeds and let it cook for 15 seconds. After 15 seconds add onion and green chilies and let it cook till the onion becomes soft. After the onion becomes soft, add red chili powder, turmeric powder, coriander powder, salt and mix. Now add beaten curd and mix. Let it cook on low flame and keep stirring the sabzi. After 3 to 5 minutes add Rabodi. Take out the Rabodi from the water and put it in the pan. Cook for 5 to 7 minutes and then garnish with green coriander. Serve Rabodi ki Sabzi with Palak Raita and Phulkas for lunch.</t>
  </si>
  <si>
    <t xml:space="preserve">राबोडी की सब्जी बनाने के लिए सबसे पहले राबोडी के छोटे टुकड़े कर ले. 1 से 2 घंटे तक गर्म पानी में डाल दीजिए और 1 से 2 घंटे तक के लिए रख लीजिए. अब एक आटे में तेल गरम कीजिए. इसमें जीरा डाला और 15 सेकंड तक का बर्तन दे दिया। 15 सेकंड के बाद इसमें प्याज और हरी मिर्च डाल दी गई और प्याज के नंगा होने तक मंदिर दे दिया गया। प्याज के होने के बाद इसमें लाल मिर्च पाउडर, हल्दी पाउडर, धनिया पाउडर, नमक डाला जाता है और मिलाया जाता है।    अब फटा हुआ इसमें दही रखा और मिला ले। आँच पर मसाला दे और सब्जी को मिलाते रहे। 3 से 5 मिनट बाद इसमें राबोडी डाला गया। राबोडी को पानी से निकालकर प्लेट में डाल दिया। 5 से 7 मिनट तक पकाएं और फिर यहां से गार्निश करें। रबड़ी की सब्जी को पालक रायता और फुलके के साथ दिन के खाने के लिए बनाएं।
</t>
  </si>
  <si>
    <t>http://www.archanaskitchen.com/rabodi-ki-sabzi-recipe-in-hindi</t>
  </si>
  <si>
    <t>Rajasthani Dal Recipe</t>
  </si>
  <si>
    <t>राजस्थानी दाल रेसिपी</t>
  </si>
  <si>
    <t>1/2 कप हरी मूंग दाल (साबुत), 1/4 कप चना दाल (बंगाल ग्राम दाल), 1 चम्मच जीरा, 1 प्याज - कटा हुआ, 4 लहसुन के दाने - बारीक कटा हुआ, 1 इंच अदरक - बारीक कटा हुआ, 2 हरी मिर्च, 1 इंच दालचीनी, 1 तेज पत्ता - तोड़ा हुआ, 1 टमाटर - बारीक कटा हुआ, 1/2 चम्मच हल्दी पाउडर (हल्दी), 1/2 चम्मच लाल मिर्च पाउडर, 1/4 चम्मच हींग, नमक - स्वादानुसार, 6 धनिया पत्ती - गार्निश के लिए, 1 नींबू - रस निकाला हुआ, 1 बड़ा चम्मच घी, 1 चम्मच जीरा, 2 सूखी लाल मिर्च - तोड़ी हुई</t>
  </si>
  <si>
    <t>1/2 cup Green Moong Dal (Whole),1/4 cup Chana dal (Bengal Gram Dal),1 teaspoon Cumin (Jeera) seeds,1 Onion - roughly chopped,4 cloves Garlic - finely chopped,1 inch Ginger - finely chopped,2 Green Chillies,1 inch Cinnamon Stick (Dalchini),1 Bay leaf (tej patta) - torn,1 Tomato - finely chopped,1/2 teaspoon Turmeric powder (Haldi),1/2 teaspoon Red Chilli powder,1/4 teaspoon Asafoetida (hing),Salt - to taste,6 sprig Coriander (Dhania) Leaves - for garnish,1 Lemon - juice extraced,1 tablespoon Ghee,1 teaspoon Cumin (Jeera) seeds,2 Dry Red Chillies - broken</t>
  </si>
  <si>
    <t xml:space="preserve">To begin making the Rajasthani Dal, we will first soak the moong dal and chana dal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Dal to a serving bowl.The next is the tadka, heat ghee in a pan over medium heat. Add the cumin seeds and red chillies and allow it to roast for a few seconds. Turn off the heat and add this tadka to the Rajasthani Dal.Serve the Rajasthani Panchmel Dal along with Bati or eat it along Spicy Paneer Pulao With Vegetables followed by the mouth-watering Traditional Rasmalai Recipe.
</t>
  </si>
  <si>
    <t>राजस्थानी दाल बनाने के लिए सबसे पहले हम मूंग दाल और चना दाल को 3 कप पानी में 3 घंटे के लिए भिगो देंगे। एक प्रेशर कुकर में मध्यम आंच पर घी गर्म करें, उसमें जीरा डालें और उसे चटकने दें। उसमें प्याज, हरी मिर्च, अदरक और लहसुन डालें और प्याज के नरम होने तक भूनें। उसमें तेज पत्ता और दालचीनी डालें और कुछ सेकंड के लिए तब तक भूनें जब तक कि आपको सुगंध आने न लगे। इसके बाद टमाटर, हल्दी पाउडर, लाल मिर्च पाउडर, हींग डालें और लगभग एक मिनट तक भूनें जब तक कि टमाटर थोड़ा नरम न हो जाए। जब ​​टमाटर नरम हो जाए तो उसमें भिगोई हुई दाल, स्वादानुसार नमक डालें और यदि आवश्यक हो तो पानी डालें ताकि पानी दाल के स्तर से कम से कम 2 इंच ऊपर हो। उंगलियों के बीच दबाने पर यह आसानी से मैश हो जाना चाहिए। नींबू और धनिया पत्ती का रस मिलाएँ और राजस्थानी दाल को एक सर्विंग बाउल में डालें। अगला तड़का है, मध्यम आँच पर एक पैन में घी गरम करें। जीरा और लाल मिर्च डालें और इसे कुछ सेकंड के लिए भुनने दें। आँच बंद करें और इस तड़के को राजस्थानी दाल में मिलाएँ। राजस्थानी पंचमेल दाल को बाटी के साथ परोसें या इसे मसालेदार पनीर पुलाव के साथ सब्ज़ियों के साथ खाएँ और फिर मुँह में पानी लाने वाली पारंपरिक रसमलाई रेसिपी खाएँ।</t>
  </si>
  <si>
    <t>http://www.archanaskitchen.com/rajasthani-dal-recipe</t>
  </si>
  <si>
    <t>Mirchi Ke Tipore Recipe - Green Chilli Stir Fry</t>
  </si>
  <si>
    <t>मिर्ची के टिपोरे रेसिपी - हरी मिर्च स्टर फ्राई</t>
  </si>
  <si>
    <t>200 ग्राम हरी मिर्च - (बड़ी), 3 बड़े चम्मच सरसों का तेल, 1 बड़ा चम्मच सरसों के बीज, 2 चुटकी हींग, 1 बड़ा चम्मच जीरा, 2 बड़े चम्मच सौंफ, 1-1/2 बड़ा चम्मच धनिया पाउडर, 1/4 बड़ा चम्मच लाल मिर्च पाउडर, 1/2 बड़ा चम्मच हल्दी पाउडर, 1 बड़ा चम्मच आमचूर, नमक - स्वादानुसार</t>
  </si>
  <si>
    <t>200 grams Green Chillies - (big one),3 tablespoons Mustard oil,1 tablespoon Mustard seeds,2 pinch Asafoetida (hing),1 tablespoon Cumin seeds (Jeera),2 tablespoon Fennel seeds (Saunf),1-1/2 tablespoon Coriander Powder (Dhania),1/4 tablespoon Red Chilli powder,1/2 tablespoon Turmeric powder (Haldi),1 tablespoon Amchur (Dry Mango Powder),Salt - to taste</t>
  </si>
  <si>
    <t xml:space="preserve">To begin making the Mirchi Ke Tipore Recipe, firstly heat oil in a heavy bottomed pan.Once the oil is heated, add asafoetida, mustard seeds, cumin seeds and fennel seeds. Cook them for about 10 to 15 seconds.After 10 to 15 seconds, add the chopped green chillies (big one). Cook them for about 3 minutes or till the green chillies becomes soft.Once they become soft, add all the masalas including turmeric powder, red chilli powder, dry mango powder and salt.Mix everything properly and cook it for more 3 minutes. Once the masala is cooked and well coated with the mirchi, switch off the gas and serve hot.Serve Mirchi Ke Tipore along with Panchmel Dal, Mooli And Wadi Ki Sabzi and Phulkas for a weekday meal with your friends and family.
</t>
  </si>
  <si>
    <t>मिर्ची के टिपोरे रेसिपी बनाने के लिए सबसे पहले एक भारी तले की कड़ाही में तेल गर्म करें। तेल गर्म हो जाने पर उसमें हींग, राई, जीरा और सौंफ डालें। इन्हें करीब 10 से 15 सेकंड तक पकाएं। 10 से 15 सेकंड के बाद इसमें कटी हुई हरी मिर्च (बड़ी वाली) डालें। इन्हें करीब 3 मिनट तक या हरी मिर्च के नरम होने तक पकाएं। नरम हो जाने पर इसमें हल्दी पाउडर, लाल मिर्च पाउडर, अमचूर और नमक सहित सभी मसाले डालें। सारी चीजों को अच्छे से मिलाएं और 3 मिनट तक और पकाएं। जब मसाला पक जाए और मिर्ची अच्छी तरह से लग जाए तो गैस बंद कर दें और गरमागरम सर्व करें। मिर्ची के टिपोरे को पंचमेल दाल, मूली और वड़ी की सब्जी और फुल्के के साथ अपने दोस्तों और परिवार के साथ सप्ताह के दिनों के खाने में परोसें।</t>
  </si>
  <si>
    <t>http://www.archanaskitchen.com/mirchi-ke-tipore-recipe</t>
  </si>
  <si>
    <t>Churma Ladoo Recipe - Atta/Whole Wheat Ladoo</t>
  </si>
  <si>
    <t>चूरमा लड्डू रेसिपी - आटा/साबुत गेहूं के लड्डू</t>
  </si>
  <si>
    <t>2 कप गेहूं का आटा, 1 कप घी, 2 कप गुड़ - कसा हुआ, दूध - आवश्यकतानुसार, 2 चम्मच इलायची पाउडर (इलायची), 1 चम्मच जायफल पाउडर, 1/2 कप खसखस, घी - तलने के लिए</t>
  </si>
  <si>
    <t>2 cups Whole Wheat Flour,1 cup Ghee,2 cups Jaggery - shredded,Milk - as required,2 teaspoons Cardamom Powder (Elaichi),1 teaspoon Nutmeg powder,1/2 cup Poppy seeds,Ghee - for frying</t>
  </si>
  <si>
    <t xml:space="preserve">To begin making the Churma Ladoo recipe, in a large bowl, combine the whole wheat flour and 1/2 cup of the melted ghee and mix well until you get a bread crumb texture. Add a little milk at a time and knead to make a stiff dough.Knead the mixture by hand for about 5 minutes to make firm dough. Use the palm of hands and roll 2 inch diameter size balls from the dough. The balls should be firm such that if you drop them, it should not break or crumble.Pre heat the ghee in a kadai on medium heat making sure the ghee does not get into a smoking point. Turn the heat to low and add two balls at a time into the hot ghee and fry these balls until turn golden brown in color.Don’t get tempted to turn the heat to high to fasten the process; it takes time for the balls need to get cooked from inside as well.Allow the balls to turn brown gradually. The test is done by breaking a fried ball into half and if you notice it is creamy and not browned then you remember to fry the rest of the balls for a longer period of time; hence maintaining low heat during the frying process of absolutely essential.Once you have finished frying all the balls allow them to cool completely. Once cool, crush them in a food processor to form a coarse powder like bread crumbs. Add the cardamom powder and nutmeg powder to the mixture and combine well.In a small pan combine the jaggery and the other 1/2 cup of ghee on low heat. Once the jaggery melts, turn off the heat. Gradually add the melted ghee jaggery mixture to the wheat crumb mixture and combine well but rubbing it between your hands. Once you feel the mixture is reasonably soft, grease your hands with ghee and using the palm of your hands roll it into two inch diameter balls to make the ladoosPlace the poppy seeds on a platter and roll the churma ladoos on the poppy seeds to coat them evenly.Allow the ladoos to set for an hour before serving. You can store the Churma Ladoos in air tight canisters for a couple of weeks in the refrigerator and warm them for a few seconds in the microwave before serving.Serve the Churma Ladoo Recipe (Atta/Whole Wheat Ladoo) as a dessert after your delicious meal of Rajasthani Dal Muthiya, Mirchi Ka Chunda and Masala Chaas.
</t>
  </si>
  <si>
    <t>चूरमा लड्डू रेसिपी बनाने के लिए सबसे पहले एक बड़े बाउल में गेहूं का आटा और आधा कप पिघला हुआ घी डालें और अच्छी तरह मिलाएँ जब तक कि ब्रेड क्रम्ब्स जैसा न हो जाए। इसमें थोड़ा-थोड़ा दूध डालें और सख्त आटा गूंथ लें। सख्त आटा गूंथने के लिए मिश्रण को हाथ से लगभग 5 मिनट तक गूंथ लें। हथेली का प्रयोग करें और आटे से 2 इंच व्यास की लोई बना लें। लोई इतनी सख्त होनी चाहिए कि अगर आप उन्हें गिरा दें तो वे टूटें या बिखरें नहीं। एक कढ़ाई में घी को मध्यम आंच पर गर्म करें लेकिन ध्यान रहे कि घी धुंआ निकलने न पाए। आंच धीमी कर दें और एक बार में दो लोई गरम घी में डालें और इन लोई को सुनहरा भूरा होने तक तल लें। परीक्षण एक तली हुई गेंद को आधा तोड़कर किया जाता है और यदि आप देखते हैं कि यह मलाईदार है और भूरा नहीं हुआ है, तो आप शेष गेंदों को लंबे समय तक तलना याद रखते हैं; इसलिए तलने की प्रक्रिया के दौरान कम गर्मी बनाए रखना बिल्कुल आवश्यक है। एक बार जब आप सभी गेंदों को तलना समाप्त कर देते हैं तो उन्हें पूरी तरह से ठंडा होने देते हैं। ठंडा होने के बाद, उन्हें फूड प्रोसेसर में पीसकर ब्रेड क्रम्ब्स जैसा मोटा पाउडर बना लें। मिश्रण में इलायची पाउडर और जायफल पाउडर डालें और अच्छी तरह मिलाएँ। एक छोटे पैन में धीमी आंच पर गुड़ और अन्य 1/2 कप घी डालें। जब गुड़ पिघल जाए तो आंच बंद कर दें। धीरे-धीरे पिघले हुए घी-गुड़ के मिश्रण को गेहूं के टुकड़ों के मिश्रण में डालें और अच्छी तरह मिलाएँ लेकिन इसे अपने हाथों के बीच रगड़ें। एक बार जब आपको लगे कि मिश्रण काफी नरम हो गया आप चूरमा लड्डू को एयर टाइट डिब्बे में भरकर फ्रिज में कुछ हफ़्तों तक रख सकते हैं और परोसने से पहले माइक्रोवेव में कुछ सेकंड के लिए गर्म कर सकते हैं। चूरमा लड्डू रेसिपी (आटा/गेहूं के लड्डू) को राजस्थानी दाल मुठिया, मिर्ची का चूंडा और मसाला छाछ के अपने स्वादिष्ट भोजन के बाद मिठाई के रूप में परोसें।</t>
  </si>
  <si>
    <t>http://www.archanaskitchen.com/churma-ladoo-recipe</t>
  </si>
  <si>
    <t>Maachli Jaisamandi Recipe - Rajasthani Style Fish In Creamy Gravy</t>
  </si>
  <si>
    <t>मछली जैसमंडी रेसिपी - मलाईदार ग्रेवी में राजस्थानी स्टाइल मछली</t>
  </si>
  <si>
    <t>300 ग्राम मछली का बुरादा, नमक - स्वादानुसार, 4 चम्मच बेसन, 1/8 चम्मच हल्दी, 1/4 चम्मच जीरा, पानी - घोल बनाने के लिए, 4 चम्मच सूरजमुखी का तेल, धनिया पत्ती - आवश्यकतानुसार, पुदीना - आवश्यकतानुसार, 1 हरी मिर्च, 1/2 चम्मच नींबू का रस, 100 मिली ताजा क्रीम, 1 कप दही, 3/4 चम्मच हल्दी, 1/4 चम्मच लाल मिर्च पाउडर, 1/4 चम्मच जीरा, 2 चम्मच सूरजमुखी का तेल</t>
  </si>
  <si>
    <t>300 grams Fish fillet,Salt - to taste,4 teaspoon Gram flour (besan),1/8 teaspoon Turmeric powder (Haldi),1/4 teaspoon Cumin powder (Jeera),Water - to make the batter,4 teaspoon Sunflower Oil,Coriander (Dhania) Leaves - as required,Mint Leaves (Pudina) - as required,1 Green Chilli,1/2 teaspoon Lemon juice,100 ml Fresh cream,1 cup Curd (Dahi / Yogurt),3/4 teaspoon Turmeric powder (Haldi),1/4 teaspoon Red Chilli powder,1/4 teaspoon Cumin seeds (Jeera),2 teaspoon Sunflower Oil</t>
  </si>
  <si>
    <t xml:space="preserve">To begin making the Maachli Jaisamandi recipe, firstly wash the fish fillet and cut into 8 equal pieces. Rub the pieces of fish with salt and rest them for 10 minutes.Take a bowl and mix together the ingredients for batter properly including gram flour, turmeric powder, jeera powder, water.. Make sure that there are no lumps in it. Take a tall glass and beat well all the ingredients for gravy except oil and cumin seeds.Prepare the green chutney by add coriander leaves, mint leaves, green chilies and lemon juice into a mixer. Grind until it forms a smooth paste. Add salt and check for taste. To make the fish sandwich, layer one fish piece with the green chutney, then close with the second one. Finish making with the rest. Dip the fillet in light batter.Heat a heavy bottomed pan with oil. Dip the sandwiched fillets of fish in the batter and add them one by one. Shallow fry the fish sandwiches for a minute and flip onto the other side. Fry the fish for another minute or 2 and take them off the flame and keep aside. In the same wok add some more oil on a low flame and add cumin seeds. Let the cumin seeds crackle. Add the gravy mixture into the wok. Let it cook until a few bubbles start to appear. Turn off the flame. Pour the gravy in a serving bowl and place the fried fish in it. Garnish with coriander leaves and serve hot.Serve Maachli Jaisamandi along with Garlic Naan, Burani Raita and Jeera Rice for a weekday meal and enjoy with your family.
</t>
  </si>
  <si>
    <t>मछली जैसमंडी रेसिपी बनाने के लिए सबसे पहले मछली के टुकड़ों को धोकर 8 बराबर टुकड़ों में काट लें। मछली के टुकड़ों पर नमक लगाकर रगड़ें और 10 मिनट के लिए रख दें। एक बाउल लें और बैटर की सामग्री जैसे बेसन, हल्दी पाउडर, जीरा पाउडर, पानी को अच्छी तरह मिला लें। ध्यान रहे कि इसमें गांठे न हों। एक लंबा गिलास लें और तेल और जीरा को छोड़कर ग्रेवी की सारी सामग्री को अच्छी तरह फेंट लें। एक मिक्सर में धनिया पत्ता, पुदीना पत्ता, हरी मिर्च और नींबू का रस डालकर हरी चटनी तैयार करें। चिकना पेस्ट बनने तक पीसें। नमक डालें और स्वादानुसार जांच लें। फिश सैंडविच बनाने के लिए एक मछली के टुकड़े पर हरी चटनी लगाएं और दूसरे टुकड़े से बंद करें। बाकी के साथ बनाना खत्म करें। फिलेट को हल्के बैटर में डुबोएं मछली को एक या दो मिनट के लिए और तलें और आंच से उतार कर एक तरफ रख दें। उसी कड़ाही में धीमी आंच पर थोड़ा और तेल डालें और जीरा डालें। जीरे को चटकने दें। ग्रेवी वाले मिश्रण को कड़ाही में डालें। इसे तब तक पकने दें जब तक कि कुछ बुलबुले दिखाई न देने लगें। आंच बंद कर दें। ग्रेवी को एक सर्विंग बाउल में डालें और उसमें तली हुई मछली डालें। धनिया पत्ती से गार्निश करें और गरमागरम परोसें। मछली जैसमंडी को गार्लिक नान, बुरानी रायता और जीरा राइस के साथ सप्ताह के दिनों के खाने के लिए परोसें और अपने परिवार के साथ इसका आनंद लें।</t>
  </si>
  <si>
    <t>http://www.archanaskitchen.com/maachli-jaisamandi-recipe-rajasthani-style-fish-in-creamy-gravy</t>
  </si>
  <si>
    <t>Crispy Amla Gawar Phali Sabzi Recipe</t>
  </si>
  <si>
    <t>कुरकुरी आंवला ग्वार फली सब्जी रेसिपी</t>
  </si>
  <si>
    <t>500 ग्राम ग्वार फली (कोथावरंगई / क्लस्टर बीन्स), 2 हरी मिर्च - लंबाई में चीरी हुई (समायोजित करें), 1 चम्मच सरसों के बीज, 1 आंवला (नेल्लिकई / गूजबेरी), 1 चम्मच जीरा (जीरा), 1 चुटकी हींग, 1 चम्मच हल्दी पाउडर (हल्दी), 1 चम्मच धनिया पाउडर (धनिया), 1/2 चम्मच साबुत काली मिर्च - ताजा पिसी हुई, नमक - स्वादानुसार, 3 बड़े चम्मच सरसों का तेल - आप कोई भी तेल इस्तेमाल कर सकते हैं</t>
  </si>
  <si>
    <t>500 grams Gawar Phali (Kothavarangai / Cluster beans),2 Green Chillies - slit lengthwise (adjust),1 teaspoon Mustard seeds,1 Amla (Nellikai/ Gooseberry),1 teaspoon Cumin seeds (Jeera),1 pinch Asafoetida (hing),1 teaspoon Turmeric powder (Haldi),1 teaspoon Coriander Powder (Dhania),1/2 teaspoon Whole Black Peppercorns - freshly ground,Salt - to taste,3 tablespoon Mustard oil - you can use any oil</t>
  </si>
  <si>
    <t xml:space="preserve">To prepare Crispy Gawar Phali Sabzi Recipe, wash the gawar beans well and chop off the ends.If the beans are too long then cut them half lengthwise.Shred amla with a fine grater and keep aside.Heat oil in a Kadai/wok.Add hing, mustard seeds, and cumin seeds and let them splutter.Add green chillies and amla and fry for few seconds.Add the cluster beans/guar/gawar phali.Add dhaniya powder, haldi powder, salt, and stir well.Cover and pour little water on the lid for faster and non-sticky cooking.Cook for 12-20 minutes (Gawar phali may take long time to cook if the beans are thicker. So cooking time may vary).When the gawar phali is fully cooked drain the water on the lid and leave it covered for few minutes so that it turns crispy.Keep stirring in between to avoid burning.For faster cooking, instead of covering for last few minutes, you can sauté the cooked gawar phali on high heat in open wok till it turns crispy while continuously stirring.Add black pepper, stir well and switch off the gas.Serve Crispy Gawar Phali Sabzi Recipe hot with Curry of your choice.
</t>
  </si>
  <si>
    <t>कुरकुरी ग्वार फली सब्ज़ी बनाने के लिए, ग्वार की फलियों को अच्छे से धोकर उसके सिरे काट लें। अगर फलियाँ बहुत लंबी हैं, तो उन्हें लंबाई में आधा काट लें। आंवले को बारीक कद्दूकस से काट लें और एक तरफ रख दें। एक कड़ाही में तेल गरम करें। उसमें हींग, राई और जीरा डालकर चटकने दें। हरी मिर्च और आंवला डालकर कुछ सेकंड के लिए भूनें। इसमें ग्वार फली/क्लस्टर बीन्स/ग्वार/ग्वार फली डालें। धनिया पाउडर, हल्दी पाउडर, नमक डालें और अच्छी तरह मिलाएँ। ढक्कन को ढक दें और तेजी से और चिपचिपाहट रहित पकाने के लिए ढक्कन पर थोड़ा पानी डालें। 12-20 मिनट तक पकाएँ (अगर फलियाँ मोटी हैं, तो ग्वार फली को पकने में लंबा समय लग सकता है। इसलिए पकने का समय अलग-अलग हो सकता है)। जब ग्वार फली पूरी तरह से पक जाए, तो ढक्कन पर लगा पानी निकाल दें और इसे कुछ मिनट के लिए ढककर छोड़ दें, ताकि यह कुरकुरी हो जाए। जलने से बचाने के लिए बीच-बीच में हिलाते रहें। तेजी से पकाने के लिए, आखिरी कुछ मिनटों के लिए ढककर रखने के बजाय, आप पके हुए ग्वार को भून सकते हैं। खुली कड़ाही में तेज़ आंच पर फली को लगातार चलाते हुए कुरकुरा होने तक पकाएं। काली मिर्च डालें, अच्छी तरह से हिलाएं और गैस बंद कर दें। क्रिस्पी ग्वार फली सब्ज़ी रेसिपी को अपनी पसंद की करी के साथ गरमागरम परोसें।</t>
  </si>
  <si>
    <t>https://www.archanaskitchen.com/crispy-gawar-phali-sabzi-recipe</t>
  </si>
  <si>
    <t>Rajasthani Ghevar Recipe</t>
  </si>
  <si>
    <t>राजस्थानी घेवर रेसिपी</t>
  </si>
  <si>
    <t>1-1/2 कप मैदा, 1/2 कप घी - तलने के लिए अधिक, 1/2 कप दूध, 1-1/2 कप पानी, 1 चम्मच हल्दी पाउडर, 1-1/2 कप चीनी, 1 कप पानी</t>
  </si>
  <si>
    <t>1-1/2 cups All Purpose Flour (Maida),1/2 cup Ghee - more to fry,1/2 cup Milk,1-1/2 cups Water,1 teaspoon Turmeric powder (Haldi),1-1/2 cups Sugar,1 cup Water</t>
  </si>
  <si>
    <t xml:space="preserve">To begin making the Rajasthani Ghevar Recipe, get all the ingredients ready. Pour ghee and cold milk in a bowl and whisk it well. You can even use a hand blender to do the same.Blend it till ghee and milk emulsify into a smooth mixture and do not separate. Sieve the maida and add into the mixture above and whisk again.Make sure that no lumps and the batter is smooth. Add turmeric powder for colour and add water little at a time and mix it well into a smooth and pouring consistency.The consistency of the batter should be one string (such that if we drop the batter from the spoon, then it should fall like a string).Heat ghee in a deep frying pan. The quantity of ghee should be half of the density of the vessel. Heat it on high flame till the ghee gets very hot. Check the right temperature by dropping a small amount of the batter and see if it immediately comes up without any delay.Pour batter into the ghee to make a big circle depending on the how thick ghevar you want to make. I used two spoonsful of batter. Pour the batter slowly in one continuous thin stream in the centre of the pan.Bubbles start spluttering all over the surface of oil. Let the foam settle down. If the centre point is totally covered , then use ladle to make little space in the centre and keep on pouring the batter.Take 1- 2 min interval between pouring of batter.Turn the heat to low once you have poured batter into the ghee. Let it fry until it turns light brown in color.Once the ghevar has turned to brown in color, means it is cooked now. Take out the ghevar in a plate lined with tissue paper. A beautiful net shape would have formed.To prepare sugar syrup:Add water and sugar to saucepan. Bring them to boil with occasional stirring. After the boil, heat it on low flame for 5-6 minutes till you get a one-string consistency. Now dip the ghevar into the sugar syrup for 1 to 2 min and take it out. Keep the ghevar dipped in the syrup on a plate and tilt it, so that any excess syrup gets drained.Your delicious Rajasthani Ghevar recipe is ready. Garnish the Ghevar with nuts to make it more tempting.Serve Rajasthani Ghevar Recipe after a festive meal of Aloo Tamatar Ki Sabzi, Ajwain Puri and Boondi Raita.
</t>
  </si>
  <si>
    <t>राजस्थानी घेवर रेसिपी बनाने के लिए, सभी सामग्री तैयार कर लें। एक कटोरे में घी और ठंडा दूध डालें और इसे अच्छी तरह से फेंटें। आप इसे करने के लिए हैंड ब्लेंडर का भी इस्तेमाल कर सकते हैं। इसे तब तक फेंटें जब तक घी और दूध एक चिकने मिश्रण में न बदल जाए और अलग न हो जाए। मैदा को छान लें और उपरोक्त मिश्रण में डालें और फिर से फेंटें। सुनिश्चित करें कि कोई गांठ न हो और बैटर चिकना हो। रंग के लिए हल्दी पाउडर डालें और एक बार में थोड़ा पानी डालते हुए इसे अच्छी तरह से चिकना और डालने योग्य गाढ़ापन में मिलाएँ। बैटर की स्थिरता एक तार की होनी चाहिए (ऐसा कि अगर हम बैटर को चम्मच से गिराएँ, तो यह एक तार की तरह गिरना चाहिए)। एक गहरे फ्राइंग पैन में घी गर्म करें। घी की मात्रा बर्तन के घनत्व की आधी होनी चाहिए। इसे तेज़ आँच पर तब तक गर्म करें जब तक घी बहुत गर्म न हो जाए पैन के बीच में धीरे-धीरे एक पतली धार के साथ घोल डालें। तेल की सतह पर बुलबुले फूटने लगें। झाग को बैठने दें। अगर केंद्र बिंदु पूरी तरह से ढक गया है, तो बीच में थोड़ी जगह बनाने के लिए करछुल का उपयोग करें और घोल डालना जारी रखें। घोल डालने के बीच 1- 2 मिनट का अंतराल रखें। घी में घोल डालने के बाद आंच धीमी कर दें। इसे तब तक भूनें जब तक यह हल्का भूरा न हो जाए। जब ​​घेवर का रंग भूरा हो जाए, इसका मतलब है कि यह अब पक गया है। घेवर को टिशू पेपर बिछी प्लेट में निकाल लें। एक सुंदर जालीदार आकार बन जाएगा। चीनी की चाशनी तैयार करने के लिए: सॉस पैन में पानी और चीनी डालें। बीच-बीच में हिलाते हुए इन्हें उबालें। उबाल आने के बाद इसे धीमी आंच पर 5-6 मिनट तक एक तार की चाशनी मिलने तक गर्म करें। अब घेवर को 1 से 2 मिनट के लिए चाशनी में डुबाएं और बाहर निकाल लें। चाशनी में डूबा हुआ घेवर एक प्लेट में रखें और उसे तिरछा करें, ताकि अतिरिक्त चाशनी निकल जाए। आपकी स्वादिष्ट राजस्थानी घेवर रेसिपी तैयार है। घेवर को और भी लजीज बनाने के लिए मेवे से गार्निश करें। राजस्थानी घेवर रेसिपी को आलू टमाटर की सब्जी, अजवाइन पूरी और बूंदी रायता के त्यौहारी खाने के बाद सर्व करें।</t>
  </si>
  <si>
    <t>https://www.archanaskitchen.com/rajasthani-ghevar-recipe</t>
  </si>
  <si>
    <t>Rajasthani Dal Muthiya Recipe</t>
  </si>
  <si>
    <t>राजस्थानी दाल मुठिया रेसिपी</t>
  </si>
  <si>
    <t>1 कप पीली मूंग दाल, 1/2 चम्मच हल्दी, 1 हरी मिर्च - बारीक कटी हुई, नमक - आवश्यकतानुसार, पानी - आवश्यकतानुसार, घी - आवश्यकतानुसार, 1/2 चम्मच हींग, 1 चम्मच लाल मिर्च पाउडर, 2 सूखी लाल मिर्च, 1/2 चम्मच सरसों के बीज, धनिया के पत्ते - कुछ टहनियाँ, 2 कप गेहूं का आटा, 3 बड़े चम्मच सूरजमुखी तेल - गर्म, नमक - आवश्यकतानुसार, पानी - आवश्यकतानुसार, 1 चम्मच अजवाइन</t>
  </si>
  <si>
    <t>1 cup Yellow Moong Dal (Split),1/2 teaspoon Turmeric powder (Haldi),1 Green Chillies - finely chopped,Salt - as required,Water - as required,Ghee - as required,1/2 teaspoon Asafoetida (hing),1 teaspoon Red Chilli powder,2 Dry Red Chillies,1/2 teaspoon Mustard seeds,Coriander (Dhania) Leaves - Few sprigs,2 cups Whole Wheat Flour,3 tablespoons Sunflower Oil - hot,Salt - as required,Water - as required,1 teaspoon Ajwain (Carom seeds)</t>
  </si>
  <si>
    <t xml:space="preserve">To begin making the Rajasthani Dal Muthiya recipe, firstly we will begin with the dal. Add mogar dal, green chillies, salt and turmeric powder in a pressure cooker with required amount of water.Cook it till the cooker releases 3 whistles. Open the lid and mix it properly using a spoon. (if you want the dal watery, you can add hot water according to your preference)The next step is to temper the dal. Heat ghee in a tadka pan and add mustard seeds, red chili powder, asafoetida, dry red chillies and salt. (You have already added salt while boiling the dal, so make sure that you add extra according to your taste).Pout the tadka on the dal and garnish it with chopped coriander leaves.To make muthiya, add flour, ajwain, salt in a large mixing bowl. Mix it well.Slowly add the oil and water to make a dough out of it. Once it is done, cover it with a cloth and keep aside for 15 minutes.After 15 minutes, make medium sized balls out of the dough and keep it aside.Meanwhile, heat oil in a frying pan. Once the oil is hot, turn the heat to low.Take the flour ball and press it between your hand using your fingers. Once it is done, drop the muthiya into the hot oil and fry it from both sides till it becomes light brown in colour. It will take some time to cook, so don’t be in a hurry to take it out.Take it out on a tissue paper to remove the extra oil.Follow the same process for the remaining dough and serve it hot with the dal.Serve Rajasthani Dal Muthiya on its own with fried chillies and Masala Chaas for a delicious weekend lunch.
</t>
  </si>
  <si>
    <t>राजस्थानी दाल मुठिया रेसिपी बनाने के लिए सबसे पहले हम दाल से शुरुआत करेंगे। एक प्रेशर कुकर में मोगर दाल, हरी मिर्च, नमक और हल्दी पाउडर को आवश्यक मात्रा में पानी के साथ डालें। इसे तब तक पकाएं जब तक कुकर में 3 सीटी न आ जाए। ढक्कन खोलें और एक चम्मच का उपयोग करके इसे ठीक से मिलाएँ। (यदि आप दाल को पानीदार चाहते हैं, तो आप अपनी पसंद के अनुसार गर्म पानी डाल सकते हैं) अगला कदम दाल को तड़का लगाना है। एक तड़के वाले पैन में घी गर्म करें और उसमें राई, लाल मिर्च पाउडर, हींग, सूखी लाल मिर्च और नमक डालें। (आपने दाल उबालते समय पहले ही नमक डाला है, इसलिए सुनिश्चित करें कि आप अपने स्वाद के अनुसार अतिरिक्त डालें)। दाल पर तड़का लगाएँ और इसे कटी हुई धनिया पत्ती से गार्निश करें। मुठिया बनाने के लिए एक बड़े मिक्सिंग बाउल में आटा, अजवाइन, नमक डालें जब यह पक जाए तो इसे कपड़े से ढककर 15 मिनट के लिए अलग रख दें। 15 मिनट बाद आटे से मध्यम आकार की लोइयां बना लें और अलग रख दें। इस बीच एक फ्राइंग पैन में तेल गर्म करें। तेल गर्म हो जाने पर आंच धीमी कर दें। आटे की लोई लें और उसे अपनी उंगलियों का इस्तेमाल करते हुए अपने हाथों के बीच दबाएं। जब यह पक जाए तो मुठिया को गर्म तेल में डालें और दोनों तरफ से हल्का भूरा होने तक तल लें। इसे पकने में थोड़ा समय लगेगा इसलिए इसे निकालने में जल्दबाजी न करें। अतिरिक्त तेल निकालने के लिए इसे टिशू पेपर पर निकाल लें। बचे हुए आटे के लिए भी यही प्रक्रिया अपनाएं और इसे दाल के साथ गर्मागर्म सर्व करें। स्वादिष्ट वीकेंड लंच के लिए राजस्थानी दाल मुठिया को तली हुई मिर्च और मसाला छाछ के साथ अकेले ही परोसें।</t>
  </si>
  <si>
    <t>https://www.archanaskitchen.com/rajasthani-dal-muthiya-recipe</t>
  </si>
  <si>
    <t>Papad Ki Sabzi Recipe – Papad Ki Sabzi (Recipe In Hindi)</t>
  </si>
  <si>
    <t>पापड़ की सब्जी रेसिपी - पापड़ की सब्जी (रेसिपी इन हिंदी)</t>
  </si>
  <si>
    <t>1 बड़ा चमच्च तेल, 2 पापड़ - कट ले, 1/2 छोटा चमच्च राइ, हींग - चुटकी भर, 1 बड़ा चमच्च अदरक लहसुन का पेस्ट, 1 हरी मिर्च - मोटापा, 2 कप - दालचीनी का पेस्ट ले, 1/2 कप दही - फेट ले, 1 छोटा चम्मच लाल मिर्च पाउडर, 1/2 छोटा चमच्च हल्दी पाउडर, 1 छोटा चमच्च धनिया पाउडर, नमक - प्रयोग अनुसार, पानी - प्रयोग अनुसार, 1 कप तेल - पापड़ को तलने के लिए, 3 कप दालचीनी - हरा धनिया कट ले. ले</t>
  </si>
  <si>
    <t>1 tbsp oil, 2 papads - chopped, 1/2 tsp mustard seeds, asafoetida - a pinch, 1 tbsp ginger garlic paste, 1 green chilli - finely chopped, 2 onions - finely chopped, 1/2 cup curd - beaten, 1 tsp red chilli powder, 1/2 tsp turmeric powder, 1 tsp coriander powder, salt - as per requirement, water - as per requirement, 1 cup oil - for frying the papads, 3 sprigs of coriander leaves - finely chopped</t>
  </si>
  <si>
    <t>To make Papad ki Sabzi, first heat oil in a pan. When the oil is hot, add papad and fry it. After frying, take out the papad on a tissue paper so that it absorbs excess oil. Keep the papad aside. Now heat oil in a pan. Add mustard seeds and cook for 10 seconds. After 10 seconds, add asafoetida, green chilies and garlic-ginger paste. Cook it for 1 minute. After 1 minute, add onion and cook till it becomes soft. Meanwhile, whisk curd by adding some water in a bowl. Now add red chili powder, turmeric powder, coriander powder and salt to the curd. Mix well and keep it aside. When the onion becomes soft, reduce the flame and add this curd mixture to it. Keep stirring for 2 minutes. After that, add fried papad and mix it. Cover the pan and let it cook for next 5 minutes. Once cooked, garnish with coriander leaves and serve hot. Serve Papad ki Sabzi with Aloo Gobi ki Sabzi, Tadka Raita and Phulkas for lunch.</t>
  </si>
  <si>
    <t xml:space="preserve">पापड़ की सब्जी बनाने के लिए सबसे पहले तेल में एक मसाला डालकर गरम कर लीजिये. जब तेल गर्म हो जाए तो नारियल तेल डाल दिया जाता है और तल ले लिया जाता है। तलने के बाद पापड़ को टिशू पेपर पर लाया गया ताकि वो और तेल सोक ले। पापड़ को अलग से रख दे. अब एक चटनी में तेल गरम करें। 10 सेकंड तक पकाए गए क्रीड़ा संयंत्र की स्थापना की गई। 10 सेकंड के बाद ही इसमें हरी मिर्च और लहसुन अदरक का पेस्ट डाला गया। 1 मिनट तक पकाए। 1 मिनट के बाद इसमें पेज डाला गया और उसे नग्न होने तक पकाया गया। तब तक एक कटोरी में दही में छोटे पानी के कलाकार उसे फेट ले। अब दही में लाल मिर्च पाउडर, हल्दी पाउडर, धनिया पाउडर और नमक डाला जाता है। अच्छे तरह से मिला ले और अलग से रख दे. जब प्याज नर हो जाए, आँच को धीमा कर दो और ये दही का मिक्सर नारियल डाल दे। 2 मिनट तक हिलते रहे. उसके बाद में पवित्र हुआ पापड़ डाला और मिला लिया। आटे को ढके और अगले 5 मिनट तक मसाले दे. मसालों के बाद, उसपर हरा धनिया डाला और गरमा-गरम बेचा। पापड़ की सब्जी को आलू गोभी की सब्जी, तड़का रायता और फुलके के साथ दिन भर के लिए बनाइये.
</t>
  </si>
  <si>
    <t>https://www.archanaskitchen.com/papad-ki-sabzi-recipe-in-hindi</t>
  </si>
  <si>
    <t>Rajasthani Mirchi Bada Recipe –</t>
  </si>
  <si>
    <t>राजस्थानी मिर्ची बड़ा रेसिपी - राजस्थानी मिर्ची बड़ा रेसिपी</t>
  </si>
  <si>
    <t>8 हरी मिर्च - बड़ी वाली, 2 आलू - मसाला मैश कर ले, 1 कप बेसन, 1 हरी मिर्च - 1 छोटा चम्मच मसाला पाउडर, 1/2 छोटा चम्मच मसाला पाउडर, 1/4 छोटा चम्मच मसाला पाउडर, 1/4 छोटा चम्मच मसाला पाउडर, 1/2 छोटा चम्मच मसाला पाउडर, 1/2 छोटा चम्मच मसाला पाउडर, 1/2 छोटा चम्मच मसाला पाउडर, 1/2 छोटा मसाला पाउडर - नमक - स्वाद अनुसार,तेल - प्रयोग अनुसार</t>
  </si>
  <si>
    <t>8 green chillies - big ones, 2 potatoes - boil and mash, 1 cup gram flour, 1 tsp celery, 1 tsp red chilli powder, 1/2 tsp garam masala powder, 1/2 tsp chaat masala powder, 1/4 tsp dry mango powder, 1/2 tsp black salt or rock salt, 1/2 tsp cumin powder, 2 tbsp coriander leaves - finely chopped, 1 green chilli - finely chopped, 1 tsp chaat masala powder - for garnish, salt - according to taste, oil - according to use</t>
  </si>
  <si>
    <t>To make Rajasthani Mirchi Bada recipe, first wash the chillies thoroughly. Make a slit on them and remove the seeds from inside. Keep aside. Put the potatoes in a pressure cooker with water as per requirement and cook till 3 whistles. Let the pressure release on its own. After it cools down, peel the potatoes and mash them. Keep aside. Take a bowl and mix gram flour, red chilli powder, celery, salt and water as per requirement. Keep aside. In another bowl, add mashed potatoes, red chilli powder, cumin powder, garam masala powder, dry mango powder, black salt, coriander, green chillies and mix. Fill this masala inside the chilli. Fill all the chillies with potato masala in the same way. Now heat oil in a pan. Now dip the stuffed chilli in the gram flour mixture and then put it in hot oil. Fry all the chillies one by one in the same way. Cook till they are cooked well from all sides. Take it out after cooking and add chaat masala and serve. Serve Rajasthani Mirchi Bada with coriander mint chutney and masala tea.</t>
  </si>
  <si>
    <t xml:space="preserve">राजस्थानी मिर्ची बड़ा रेसिपी बनाने के लिए सबसे पहले मिर्ची को अच्छी तरह से धो ले. इन पर चीरा प्लांट और अंदर से बीज निकाले ले। अलग से रख दे.आलू को एक पतला कुकर में प्रयोग के अनुसार पानी के साथ डाला और 3 शहर आने तक पका ले. आलू अपने आप आर्च दे.ठंडा होने के बाद, आलू को छील कर मैश कर ले. अलग से रख दे.एक बाउल ले और बेसन, लाल मिर्च पाउडर, मिश्रण, नमक और प्रयोग पानी के साथ घटक मिला ले. अलग से रख दे. एक दूसरे बाउल में मैश किए हुए आलू, लाल मिर्च पाउडर, जीरा पाउडर, गर्म मसाला पाउडर, अमचूर, काला नमक, धनिया, हरी मिर्च डाला और मिला ले। इस मसाले को काली मिर्च के अंदर भर दे. ऐसे ही सारी मिर्चियों में आलू का मसाला भर दे। अब एक चटनी में तेल गरम करें। अब भरी हुई मिर्ची को बेसन के मसाले में डाला और फिर गरम तेल में डाल दे. ऐसे ही मिर्चियो को एक कर के तल ले. सभी तरफ से अच्छी तरह से पक जाने तक पकाए। मसाले के बाद निकाले और चाट मसाला डाले और बेचे। राजस्थानी मिर्ची बड़ा को धनिया पुदीना और मसाला चाय के साथ बनायें।
</t>
  </si>
  <si>
    <t>http://www.archanaskitchen.com/rajasthani-mirchi-bada-recipe-chilli-fritters-in-hindi</t>
  </si>
  <si>
    <t>Rajasthani Papad Sabzi Recipe</t>
  </si>
  <si>
    <t>राजस्थानी पापड़ की सब्जी रेसिपी</t>
  </si>
  <si>
    <t>1 बड़ा चम्मच घी, 1/2 चम्मच जीरा, 1/4 चम्मच हींग, 1 इंच अदरक - कटी हुई, 1 हरी मिर्च - कटी हुई, 3 कलियाँ लहसुन, 1 बड़ा चम्मच कसूरी मेथी (सूखी मेथी की पत्तियाँ), 2 टमाटर - प्यूरी, 1/4 चम्मच हल्दी पाउडर (हल्दी), 1/2 चम्मच लाल मिर्च पाउडर, 1/2 चम्मच धनिया पाउडर, 1/2 कप दही - फैंटा हुआ, 3 पापड़, नमक - आवश्यकतानुसार, 2 टहनी हरा धनिया - बारीक कटा हुआ</t>
  </si>
  <si>
    <t>1 tablespoon Ghee,1/2 teaspoon Cumin (Jeera) seeds,1/4 teaspoon Asafoetida (hing),1 inch Ginger - chopped,1 Green Chilli - chopped,3 cloves Garlic,1 tablespoon Kasuri Methi (Dried Fenugreek Leaves),2 Tomatoes - pureed,1/4 teaspoon Turmeric powder (Haldi),1/2 teaspoon Red Chilli powder,1/2 teaspoon Coriander Powder (Dhania),1/2 cup Curd (Dahi / Yogurt) - whisked,3 Papad,Salt - as required,2 spoons Coriander (Dhania) Leaves - finely chopped</t>
  </si>
  <si>
    <t xml:space="preserve">To begin making the Papad ki Sabzi recipe, roast the papad on the gas or in the microwave until completely roasted. Break the popad into small quarters and keep aside.Make a paste of the ginger, garlic and green chillies using a pestle and mortar. Keep aside.Heat ghee in a pan over medium heat; add the cumin seeds and allow it to crackle. Add the ginger, garlic green chilli paste and the kasuri methi.Saute for a few seconds. Add the tomato puree, turmeric powder, red chilli powder, coriander powder and give it a brisk boil.After a minute, add the curd, roasted papad and salt. Turn the heat to low, keep mixing the Papad ki sabzi, until all the ingredients are well combine.Simmer the mixture for about 5 minutes. You will notice the curd will begin to curdle a little and this process is natural. Allow it to simmer, until the papad is well soaked into the curry. Once done, check the taste of salt and spices and adjust to taste accordingly.Turn of the heat and transfer the papad ki sabzi to a serving bowl and serve hot.Serve Papad ki Sabzi with Pindi Chole, Jowar Atta Roti and Lacha Pyaz  for a special weekend lunch or dinner.
</t>
  </si>
  <si>
    <t>पापड़ की सब्ज़ी बनाने के लिए, पापड़ को गैस पर या माइक्रोवेव में पूरी तरह से भुनने तक सेकें। पापड़ को छोटे-छोटे टुकड़ों में तोड़कर अलग रख दें। अदरक, लहसुन और हरी मिर्च को मूसल और खरल की मदद से पेस्ट बना लें। अलग रख दें। मध्यम आँच पर एक पैन में घी गरम करें, उसमें जीरा डालें और उसे चटकने दें। अदरक, लहसुन हरी मिर्च का पेस्ट और कसूरी मेथी डालें। कुछ सेकंड के लिए भूनें। टमाटर प्यूरी, हल्दी पाउडर, लाल मिर्च पाउडर, धनिया पाउडर डालें और इसे तेज़ आँच पर उबालें। एक मिनट बाद, दही, भुना हुआ पापड़ और नमक डालें। आँच को कम कर दें, पापड़ की सब्ज़ी को तब तक मिलाते रहें, जब तक कि सभी सामग्री अच्छी तरह से मिल न जाएँ। मिश्रण को लगभग 5 मिनट तक उबालें। आप देखेंगे कि दही थोड़ा सा जमने लगेगा और यह प्रक्रिया स्वाभाविक है। इसे तब तक पकने दें, जब तक कि पापड़ करी में अच्छी तरह से न समा जाए। एक बार हो जाने पर, नमक और मसालों का स्वाद जांचें और स्वाद के अनुसार समायोजित करें। आंच बंद करें और पापड़ की सब्जी को एक सर्विंग बाउल में डालें और गर्मागर्म परोसें। पापड़ की सब्जी को पिंडी छोले, ज्वार आटा रोटी और लच्छा प्याज़ के साथ एक विशेष सप्ताहांत दोपहर के भोजन या रात के खाने के लिए परोसें।</t>
  </si>
  <si>
    <t>https://www.archanaskitchen.com/papad-ki-sabzi-recipe</t>
  </si>
  <si>
    <t>Jodhpuri Kabuli Recipe</t>
  </si>
  <si>
    <t>जोधपुरी काबुली रेसिपी</t>
  </si>
  <si>
    <t>2 कप चावल - धुले और 30 मिनट तक भिगोए हुए, 2 लौंग, 1 नींबू का रस, 1 चम्मच घी, 1 चम्मच सौंफ, 1 चम्मच जीरा, 1 बड़ी इलायची, 1 इलायची के दाने, 1 चम्मच साबुत काली मिर्च, 1 प्याज - कटा हुआ, 1/2 कप गोभी - छोटे-छोटे टुकड़ों में कटी हुई, 1 आलू - छिलका हटाकर छोटा-छोटा कटा हुआ, 1/4 कप हरी मटर, 4 गेहूं की ब्राउन ब्रेड - टुकड़ों में कटी हुई, 1/2 कप दही, 1/4 कप ताजे अनार के दाने, 1 चम्मच हल्दी, 2 चम्मच लाल मिर्च पाउडर, 2 बड़े चम्मच काजू, 2 बड़े चम्मच किशमिश, घी - पकाने के लिए</t>
  </si>
  <si>
    <t>2 cups Rice - washed and soaked for 30 minutes,2 Cloves (Laung),1 Lemon juice,1 teaspoon Ghee,1 teaspoon Fennel seeds (Saunf),1 teaspoon Cumin seeds (Jeera),1 Black cardamom (Badi Elaichi),1 Cardamom (Elaichi) Pods/Seeds,1 teaspoon Whole Black Peppercorns,1 Onion - chopped,1/2 cup Cauliflower (gobi) - cut into small florets,1 Potato (Aloo) - skin peeled and chopped small,1/4 cup Green peas (Matar),4 Whole Wheat Brown Bread - cut into cubes,1/2 cup Curd (Dahi / Yogurt),1/4 cup Fresh Pomegranate Fruit Kernels,1 teaspoon Turmeric powder (Haldi),2 teaspoon Red Chilli powder,2 tablespoon Cashew nuts,2 tablespoon Raisins,Ghee - for cooking</t>
  </si>
  <si>
    <t xml:space="preserve">To begin making the Jodhpuri Kabuli Recipe, first keep the rice in a pressure cooker with ghee, cloves and lemon juice. Add about 4 cups of water and pressure cook for 2 whistle.In the meanwhile, heat a kadai with 2 tablespoon ghee, add bread cubes and toast them till they are light brown and toasty. Keep it aside.Into the same kadai add some more ghee and toast the cashew nuts and raisins and keep them aside.Add little more and all the whole spice and allow it sizzle for few seconds. Add onions and saute till they turn translucent.Add cauliflower, potato and sprinkle with little salt and turmeric. Allow it to cook for few minutes. You can sprinkle with water and cover it with the lid and cook for at least 10 minutes until done.Add all the spice powders along with curd and keep stirring till the water evaporates from the curd.Once that is done add green peas and toasted bread cubes and give it a stir. Add cooked rice as well. Give a stir and check for salt.Switch off the heat, serve it in a bowl and sprinkle with toasted cashew nuts, raisins and pomegranates on top. Serve the Jodhpuri Kabuli Recipe along with raita by the side and Dill Poha Cutlets to begin with for your Sunday lunch.
</t>
  </si>
  <si>
    <t>जोधपुरी काबुली रेसिपी बनाने के लिए सबसे पहले चावल को घी, लौंग और नींबू के रस के साथ प्रेशर कुकर में रखें। लगभग 4 कप पानी डालें और 2 सीटी आने तक प्रेशर कुक करें। इस बीच, एक कढ़ाई में 2 बड़े चम्मच घी डालकर गर्म करें, उसमें ब्रेड क्यूब्स डालें और उन्हें हल्का भूरा और टोस्टी होने तक टोस्ट करें। इसे एक तरफ रख दें। उसी कढ़ाई में थोड़ा और घी डालें और काजू और किशमिश को टोस्ट करके एक तरफ रख दें। थोड़ा और और सभी साबुत मसाले डालें और कुछ सेकंड के लिए इसे पकने दें। प्याज़ डालें और पारदर्शी होने तक भूनें। फूलगोभी, आलू डालें और थोड़ा नमक और हल्दी छिड़कें। इसे कुछ मिनट तक पकने दें। आप पानी छिड़क सकते हैं और इसे ढक्कन से ढक दें और कम से कम 10 मिनट तक पकाएँ। दही के साथ सभी मसाले पाउडर डालें और तब तक हिलाते रहें जब तक कि दही से पानी सूख न जाए। एक बार जब यह हो जाए तो हरी मटर और टोस्टेड ब्रेड क्यूब्स डालें और इसे मिलाएँ। पके हुए चावल भी डालें। इसे चलाएँ और नमक की जाँच करें। आँच बंद कर दें, इसे एक कटोरे में परोसें और ऊपर से भुने हुए काजू, किशमिश और अनार छिड़कें। जोधपुरी काबुली रेसिपी को रायता के साथ परोसें और रविवार के लंच की शुरुआत में डिल पोहा कटलेट खाएँ।</t>
  </si>
  <si>
    <t>http://www.archanaskitchen.com/jodhpuri-kabuli-recipe</t>
  </si>
  <si>
    <t>Spicy Corn Flour Papad Masala Khichia Recipe</t>
  </si>
  <si>
    <t>मसाला खिचिया रेसिपी (मसालेदार मक्के का आटा पापड़)</t>
  </si>
  <si>
    <t>500 ग्राम मक्की का आटा, 1 बड़ा चम्मच जीरा, 1 बड़ा चम्मच हरी मिर्च का पेस्ट, 1 बड़ा चम्मच लाल मिर्च पाउडर, 1 बड़ा चम्मच पापड़ खार, 1 बड़ा चम्मच अजवाइन, नमक - स्वादानुसार, सरसों का तेल - आवश्यकतानुसार, ठंडा पानी - आवश्यकतानुसार, 1 प्याज - बारीक कटा हुआ, 1/2 कप खीरा - बारीक कटा हुआ, 1 टमाटर - बारीक कटा हुआ, 2 हरी मिर्च - बारीक कटी हुई, नमक - आवश्यकतानुसार, लाल मिर्च पाउडर - आवश्यकतानुसार, घी - आवश्यकतानुसार, 2 टहनी धनिया - बारीक कटी हुई</t>
  </si>
  <si>
    <t>500 grams Corn flour - (makki ka aata),1 tablespoon Cumin seeds (Jeera),1 tablespoon Green Chilli Paste,1 tablespoon Red Chilli powder,1 tablespoon Papad khar,1 tablespoon Ajwain (Carom seeds),Salt - to taste,Mustard oil - as required,Chilled water - as required,1 Onion - finely chopped,1/2 cup Cucumber - finely chopped,1 Tomato - finely chopped,2 Green Chillies - finely chopped,Salt - as required,Red Chilli powder - as required,Ghee - as required,2 sprig Coriander (Dhania) Leaves - finely chopped</t>
  </si>
  <si>
    <t>Appetizer</t>
  </si>
  <si>
    <t xml:space="preserve">To begin making the Spicy Masala Khichia recipe, firstly, sieve the corn flour and keep it side.Next, in a saucepan boil the water for double as compare to the flour.When the water comes to a boil, add green chilli paste, red chilli powder, salt, cumin seeds, salt, ajwain, papad khar and mix well.Add two teaspoon of mustard oil in the water mixture and mix it properly.When water is properly hot add corn flour little by little and mix well. Stir it continuously to avoid lumps in the mixture.When water is absorbed, cover it with lid and steam it. Now switch off the flame and again mix the dough and keep it aside for 5 minutes.Make small balls in round shape out of it and keep it between two plastic sheets.Keep it on a rolling board and press it with another rolling board or any heavy plate to form a flat roti. You can even make it in a papad machine.Now take out the plastic sheet and leave this papad on the cloth. Keep in the sun for 2 days. When papad is properly dry then store in airtight container.The next step is to make the masala khichia. Microwave the dry khichia for about 20 seconds or directly roast it on the flame.Once done, spread ghee on the entire khichia and sprinkle some red chilli powder on it.Meanwhile add onion, tomato, cucumber, green chillies and salt in a mixing bowl.Now, spread the vegetable mixture on the khichia and garnish it with chopped green coriander. You can also use sev to garnish the same.Serve Spicy Masala Khichia along with Panchmel Dal and Khooba Roti for as perfect Rajasthani meal.
</t>
  </si>
  <si>
    <t>मसालेदार मसाला खिचिया बनाने के लिए सबसे पहले कॉर्न फ्लोर को छानकर अलग रख लें। अब एक सॉस पैन में पानी को आटे से दुगना तक उबालें। जब पानी उबलने लगे तो इसमें हरी मिर्च का पेस्ट, लाल मिर्च पाउडर, नमक, जीरा, नमक, अजवाइन, पापड़ खार डालकर अच्छी तरह से मिला लें। पानी के मिश्रण में दो चम्मच सरसों का तेल डालकर अच्छी तरह से मिला लें। जब पानी अच्छी तरह से गर्म हो जाए तो इसमें कॉर्न फ्लोर को थोड़ा-थोड़ा करके डालें और अच्छी तरह से मिला लें। मिश्रण में गांठे न पड़ें, इसके लिए इसे लगातार चलाते रहें। जब पानी पूरी तरह से सोख जाए तो इसे ढक्कन से ढक दें और भाप में पका लें। अब आंच बंद कर दें और आटे को फिर से मिला लें और 5 मिनट के लिए अलग रख दें। इसके छोटे-छोटे गोले बनाकर दो प्लास्टिक शीट के बीच में रखें। इसे चकले पर रखें और दूसरे चकले या किसी भारी प्लेट से दबाकर चपटी रोटी बना लें। आप इसे पापड़ बनाने की मशीन में भी बना सकते हैं। अब प्लास्टिक शीट को हटा दें और इस पापड़ को कपड़े पर रख दें। इसे 2 दिन के लिए धूप में रख दें। जब पापड़ अच्छी तरह सूख जाए तो उसे एयरटाइट कंटेनर में भरकर रख दें। अगला स्टेप है मसाला खिचिया बनाना। सूखी खिचिया को लगभग 20 सेकंड के लिए माइक्रोवेव करें या सीधे आंच पर भून लें। एक बार हो जाने पर, पूरी खिचिया पर घी लगाएँ और उस पर थोड़ा लाल मिर्च पाउडर छिड़कें। इस बीच एक मिक्सिंग बाउल में प्याज़, टमाटर, खीरा, हरी मिर्च और नमक डालें। अब खिचिया पर सब्ज़ी का मिश्रण फैलाएँ और ऊपर से कटा हरा धनिया डालकर सजाएँ। आप इसे सजाने के लिए सेव का भी इस्तेमाल कर सकते हैं। मसालेदार मसाला खिचिया को पंचमेल दाल और खूबा रोटी के साथ परोसिए और राजस्थानी खाने का मज़ा लीजिए।</t>
  </si>
  <si>
    <t>http://www.archanaskitchen.com/spicy-masala-khichia-recipe-spicy-corn-flour-papad</t>
  </si>
  <si>
    <t>Methi Dana Sabzi Recipe - Healthy Fenugreek Seeds Stir Fry</t>
  </si>
  <si>
    <t>मेथी दाना सब्ज़ी रेसिपी - स्वास्थ्यवर्धक मेथी के बीज को भून लें</t>
  </si>
  <si>
    <t>1/4 कप मेथी के बीज - रात भर भिगोए हुए, 2 खजूर - लंबाई में कटे हुए, 15 किशमिश, 1/4 चम्मच हींग, 2 चम्मच धनिया पाउडर, 1-1/2 चम्मच सौंफ पाउडर, 1/2 चम्मच जीरा, 1-1/2 चम्मच आमचूर, 1/2 चम्मच लाल मिर्च पाउडर, 1/4 चम्मच हल्दी, 1/2 चम्मच गुड़, 1 बड़ा चम्मच धनिया पत्ते - कटे हुए, 1 बड़ा चम्मच सरसों का तेल, स्वादानुसार नमक</t>
  </si>
  <si>
    <t>1/4 cup Methi Seeds (Fenugreek Seeds) - soaked overnight,2 Dates - cut lengthwise,15 Raisins,1/4 teaspoon Asafoetida (hing),2 teaspoons Coriander (Dhania) Powder,1-1/2 teaspoon Fennel Powder,1/2 teaspoon Cumin powder (Jeera),1-1/2 teaspoon Amchur (Dry Mango Powder),1/2 teaspoon Red Chilli powder,1/4 teaspoon Turmeric powder (Haldi),1/2 teaspoon Jaggery,1 tablespoon Coriander (Dhania) Leaves - chopped,1 tablespoon Mustard oil,Salt to taste</t>
  </si>
  <si>
    <t xml:space="preserve">To begin making Methi Dana Sabzi Recipe first soak the methi seeds overnight. Wash the methi dana couples of times to remove all the debris and then soak it overnight.To make the Methi Dana SabziHeat a pressure cooker and add mustard oil. Once the oil is hot add the cumin seeds and Asafoetida (hing). Allow the cumin seeds to crackle and then reduce the flame to low.Once the cumin seeds have crackled add all the dry spice powders, turmeric powder, coriander powder, cumin powder, red chilli powder and saute for a few seconds. Add the drained methi dana to the spices and saute for two minutes.After the methi dana have combined well with the spices add the dates and the raisins and combine.Next add the amchur powder and the jaggery and one cup of water and mix the Methi Dana Sabji well.Close the pressure cooker and cook the Methi Dana Sabzi for 4 to 5 whistles and turn off the heat. Allow the pressure to release naturally and then open the pressure cooker.Stir in coriander leaves into the Methi Dana Sabzi, check salt and adjust to taste and remove Methi Dana Sabzi into a serving bowl. Serve Methi Dana Sabzi hot along with Rajasthani Dal, Besan Aur Mirch Ki Sabzi and Rajasthani Korma Roti for a wholesome healthy indian lunch. 
</t>
  </si>
  <si>
    <t>मेथी दाना सब्जी बनाने के लिए सबसे पहले मेथी के दानों को रात भर भिगो दें। मेथी दानों को दो बार धोकर सारा कचरा हटा दें और फिर रात भर भिगो दें। मेथी दाना सब्जी बनाने के लिए प्रेशर कुकर गरम करें और उसमें सरसों का तेल डालें। तेल गरम हो जाने पर उसमें जीरा और हींग डालें। जीरे को चटकने दें और फिर आंच धीमी कर दें। जीरा चटकने के बाद सभी सूखे मसाले पाउडर, हल्दी पाउडर, धनिया पाउडर, जीरा पाउडर, लाल मिर्च पाउडर डालें और कुछ सेकेंड के लिए भूनें। मसाले में छाना हुआ मेथी दाना डालें और दो मिनट तक भूनें। मेथी दाना मसालों के साथ अच्छी तरह मिल जाने के बाद उसमें खजूर और किशमिश डालकर मिला लें। प्रेशर को स्वाभाविक रूप से निकलने दें और फिर प्रेशर कुकर खोलें। मेथी दाना सब्ज़ी में धनिया पत्ती डालें, नमक की जाँच करें और स्वादानुसार समायोजित करें और मेथी दाना सब्ज़ी को एक सर्विंग बाउल में निकाल लें। मेथी दाना सब्ज़ी को राजस्थानी दाल, बेसन और मिर्च की सब्ज़ी और राजस्थानी कोरमा रोटी के साथ गरमागरम परोसें और एक पौष्टिक स्वस्थ भारतीय लंच का आनंद लें।</t>
  </si>
  <si>
    <t>https://www.archanaskitchen.com/methi-dana-sabzi-recipe-healthy-fenugreek-seeds-stir-fry</t>
  </si>
  <si>
    <t>Karela Kadhi Recipe - Bitter Gourd Kadhi Recipe</t>
  </si>
  <si>
    <t>करेला कढ़ी रेसिपी - करेला कढ़ी रेसिपी</t>
  </si>
  <si>
    <t>1 छोटा प्याज़, 1 कप दही, 1-1/2 कप दही, नमक - स्वाद, 2 करेला - कटे हुए कटे हुए ले, 1/2 छोटा मोटा जीरा, 1/4 छोटा प्याज़ - 1 कप दही ले, 1/2 प्याज - मसाला काट ले, 3 हरी मिर्च - पेस्ट बना ले, 1/2 इंच अदरक - पास्ता बना ले, 1/2 छोटा मसाला लहसुन - पास्ता बना ले, 1/2 छोटा मसाला लहसुन - पास्ता बना ले</t>
  </si>
  <si>
    <t>1 teaspoon gram flour, 1 cup curd, 1-1 / 2 cup water, salt - as per taste, 2 bitter gourd - peel and chop, 1/2 teaspoon cumin seeds, 1/4 teaspoon mustard seeds, 1 sprig curry leaves, 1/2 onion - finely chopped, 3 green chillies - make paste, 1/2 inch ginger - make paste, 1/2 tsp garlic - make paste</t>
  </si>
  <si>
    <t>To make Karela Kadhi Recipe, first take a bowl and add curd, water, gram flour and beat it well. Make sure that no lumps are left. Keep it aside. Cut the bitter gourd and soak it in salt water. Keep it aside. Now heat oil in a pan. Add mustard seeds, cumin seeds and let it crackle. Add onions and cook till they become soft. After onions become soft, add curry leaves, green chilies, garlic, ginger paste and cook for 2 to 3 minutes. Now add bitter gourd and cook for 5 to 7 minutes. Add salt and gram flour-curd mixture and mix. Let it boil for 10 to 12 minutes on low flame. Turn off the gas and serve. Serve Karela Kadhi Recipe with Jeera Rice, Phulkas and Stuffed Gram Flour Mirchi for lunch.</t>
  </si>
  <si>
    <t xml:space="preserve">करेला कढ़ी रेसिपी बनाने के लिए सबसे पहले एक बाउल में दही, पानी, बेसन डाला और उसे अच्छी तरह से फेट ले। ध्यान रहे कोई गाथे न रह जाये। अलग से रख दे. करेला को काट कर उसे नमक वाले पानी में डुबो दे। अलग से रख दे. अब एक चटनी में तेल गरम करें। इसमें राइ, जीरा डाला और तडकने दे। पेज डाला गया और नर तक पका ले। प्याज के प्राकृतिक के बाद इसमें कढ़ी पत्ता, हरी मिर्च, लहसुन, अदरक होने का पेस्ट डाला और 2 से 3 मिनट तक पका ले। अब इसमें करेला डाल दिया और 5 से 7 मिनट के लिए पका ले. नमक और बेसन दही का मिश्रण और मिला ले.धीमी आर्च 10 से 12 मिनट के लिए सुलगने दे. गैस बंद करो और घर बनाओ। करेला कढ़ी रेसिपी को जीरा राइस, फुल्का और भरवा बेसन मिर्च के साथ दिन के खाने के लिए खरीदें।
</t>
  </si>
  <si>
    <t>https://www.archanaskitchen.com/karela-kadhi-recipe-in-hindi</t>
  </si>
  <si>
    <t>Lauki Ke Gatte Recipe - Whole Wheat Bottle Gourd Dumplings</t>
  </si>
  <si>
    <t>लौकी के गट्टे रेसिपी - गेहूं की लौकी के पकौड़े</t>
  </si>
  <si>
    <t>1/2 लौकी - कद्दूकस की हुई, 1-1/2 कप गेहूं का आटा, 4 हरी मिर्च - बारीक कटी हुई, 6 लहसुन - बारीक कटा हुआ, 1/2 चम्मच हल्दी, 1 चम्मच लाल मिर्च पाउडर, नमक - आवश्यकतानुसार, 1 चम्मच धनिया पाउडर, 1 चम्मच धनिया बीज, 1 चम्मच बेकिंग सोडा, पानी - आवश्यकतानुसार, धनिया पत्ते - कुछ टहनियाँ, 2 प्याज - कटे हुए, करी पत्ता - कुछ टहनियाँ, 1/2 चम्मच जीरा, 1 चम्मच सरसों के बीज, 1/4 चम्मच हींग, 3 सूखी लाल मिर्च, सूरजमुखी तेल - आवश्यकतानुसार</t>
  </si>
  <si>
    <t>1/2 Bottle gourd (lauki) - grated,1-1/2 cup Whole Wheat Flour,4 Green Chillies - finely chopped,6 cloves Garlic - finely chopped,1/2 teaspoon Turmeric powder (Haldi),1 teaspoons Red Chilli powder,Salt - as required,1 teaspoon Coriander Powder (Dhania),1 teaspoon Coriander (Dhania) Seeds,1 teaspoon Baking soda,Water - as required,Coriander (Dhania) Leaves - Few sprigs,2 Onions - chopped,Curry leaves - Few sprigs,1/2 teaspoon Cumin seeds (Jeera),1 teaspoon Mustard seeds,1/4 teaspoon Asafoetida (hing),3 Dry Red Chillies,Sunflower Oil - as required</t>
  </si>
  <si>
    <t xml:space="preserve">To begin making Lauki Ke Gatte Recipe, firstly add all the ingredients under ‘For dumpling dough’ including bottle gourd, whole wheat flour, green chillies, garlic, turmeric powder, red chilli powder, salt, coriander powder, coriander seeds, coriander leaves and baking soda in a mixing bowl.Add some water and mix till everything comes together. Do not knead the dough too much.Pinch medium sized balls from the dough. Using the palms of your hands shape them into elongated dumplings.If they are big enough cut them into half to make small dumplings.Steam the dumplings for about 12 to 15 minutes or till a knife inserted comes out clean.Once it is done, the next step is to temper the dumplings.Heat oil in a heavy bottomed pan and add all the ingredients mentioned under ‘for tempering’ which includes cumin seeds, curry leaves, mustard seeds, asafoetida and dry red chillies.Once the mustard seeds starts crackiling, add the chopped onions.Saute the onions till they become translucent. Once it is done, add the steamed dumplings in to the pan. Mix everything properly. Cook for another minute or two.Once done, switch off the heat and serve hot. Serve Lauki Ke Gatte on its own or with Gujarati Kadhi for a light dinner meal. You can also serve it as a snack with Green Chutney.
</t>
  </si>
  <si>
    <t>लौकी के गट्टे बनाने की विधि शुरू करने के लिए सबसे पहले एक मिक्सिंग बाउल में लौकी, गेहूं का आटा, हरी मिर्च, लहसुन, हल्दी पाउडर, लाल मिर्च पाउडर, नमक, धनिया पाउडर, धनिया के बीज, धनिया पत्ती और बेकिंग सोडा जैसी सभी सामग्री डालें। थोड़ा पानी डालें और तब तक मिलाएँ जब तक कि सभी सामग्री एक साथ न मिल जाएँ। आटे को ज्यादा न गूंदें। आटे से मध्यम आकार की लोइयाँ तोड़ लें। अपनी हथेलियों का उपयोग करके उन्हें लम्बी लोइयाँ बना लें। अगर वे काफी बड़ी हैं तो उन्हें छोटे लोइयाँ बनाने के लिए आधा काट लें। लगभग 12 से 15 मिनट के लिए या जब तक चाकू घुसा हो साफ बाहर न आ जाए तब तक लोइयाँ को भाप में पकाएँ। एक बार यह हो जाने के बाद, अगला कदम लोइयाँ को तड़का लगाना है। एक भारी तले की कड़ाही में तेल गरम करें और 'तड़का लगाने' के लिए बताई गई सभी सामग्री डालें जिसमें जीरा, करी पत्ता, राई, हींग और सूखी लाल मिर्च जब यह पक जाए, तो इसमें उबले हुए पकौड़े डालें। सब कुछ अच्छी तरह से मिला लें। एक या दो मिनट और पकाएँ। पक जाने के बाद, आँच बंद कर दें और गरमागरम परोसें। लौकी के गट्टे को अकेले या गुजराती कढ़ी के साथ हल्के डिनर के लिए परोसें। आप इसे हरी चटनी के साथ नाश्ते के रूप में भी परोस सकते हैं।</t>
  </si>
  <si>
    <t>https://www.archanaskitchen.com/spicy-whole-wheat-bottle-gourd-dumplings-lauki-ke-gatte-recipe</t>
  </si>
  <si>
    <t>Rajasthani Hare Chana Halwa Recipe (Choliya Halwa)</t>
  </si>
  <si>
    <t>राजस्थानी हरे चने का हलवा रेसिपी (छोलिया हलवा)</t>
  </si>
  <si>
    <t>1 कप ताजा हरा चना - प्यूरी किया हुआ, 1 कप चीनी, 1/4 कप घी, 2 इलायची की फली/बीज - बारीक पिसी हुई, 1 चम्मच घी, 6 पिस्ता - कटे हुए, 10 किशमिश</t>
  </si>
  <si>
    <t>1 cup Fresh green chickpeas - pureed,1 cup Sugar,1/4 cup Ghee,2 Cardamom (Elaichi) Pods/Seeds - finely powdered,1 teaspoon Ghee,6 Pistachios - chopped,10 Raisins</t>
  </si>
  <si>
    <t xml:space="preserve">To begin making the Rajasthani Hare Chane Ka Halwa recipe, heat a heavy bottom kadai/pan with ghee.Add the ground choliya mixture and keep stirring over low flame for 7-8 minutes or till the time they are cooked.Now add sugar and cardamom powder and continue to keep stirring till the time all the extra moisture is absorbed and the halwa becomes non sticky and forms a single lump. Switch off. Heat ghee in a small pan and add the dry fruits for garnish and fry till fragrant and pour it over the halwa and mix well.Delicious Rajasthani Choliya Halwa is ready to be served. Serve Rajasthani Hare Chane Ka Halwa as a dessert after your meal of Panchmel Dal, Ker Sangri and Phulka.
</t>
  </si>
  <si>
    <t>राजस्थानी हरे चने का हलवा रेसिपी बनाने के लिए सबसे पहले एक भारी तले की कढ़ाई में घी गर्म करें। इसमें पिसा हुआ छोलिया मिश्रण डालें और धीमी आंच पर 7-8 मिनट तक या जब तक वे पक न जाएं तब तक चलाते रहें। अब इसमें चीनी और इलायची पाउडर डालें और तब तक चलाते रहें जब तक कि सारा अतिरिक्त पानी सोख न ले और हलवा चिपचिपा न हो जाए और एक गांठ न बन जाए। स्विच ऑफ करें। एक छोटे पैन में घी गर्म करें और गार्निश के लिए सूखे मेवे डालें और खुशबू आने तक भूनें और इसे हलवे के ऊपर डालें और अच्छी तरह मिलाएँ। स्वादिष्ट राजस्थानी छोलिया हलवा परोसने के लिए तैयार है। पंचमेल दाल, केर सांगरी और फुल्का के खाने के बाद राजस्थानी हरे चने का हलवा को मिठाई के रूप में परोसें।</t>
  </si>
  <si>
    <t>http://www.archanaskitchen.com/rajasthani-hare-chane-ka-halwa-recipe-choliya-halwa</t>
  </si>
  <si>
    <t>Churma Ladoo Recipe With Almonds &amp; Flaxseeds - High Protein Snack</t>
  </si>
  <si>
    <t>बादाम और अलसी के साथ चूरमा लड्डू रेसिपी - उच्च प्रोटीन स्नैक</t>
  </si>
  <si>
    <t>2 कप गेहूं का आटा, 2 बड़े चम्मच सूजी (सूजी / रवा), 1/2 कप बादाम (बादाम) - पीसा हुआ, 1/4 कप अलसी के बीज - पीसा हुआ, 1/4 कप सूखा नारियल (कोपरा) - इसे लगभग 2 मिनट तक भूनें, 1/2 कप गुड़ - पीसा हुआ, 1/4 कप घी, दूध - आवश्यकतानुसार</t>
  </si>
  <si>
    <t>2 cups Whole Wheat Flour,2 tablespoons Sooji (Semolina/ Rava),1/2 cup Badam (Almond) - powdered,1/4 cup Flax seeds - powdered,1/4 cup Dry coconut (kopra) - roast it for about 2 minutes,1/2 cup Jaggery - powdered,1/4 cup Ghee,Milk - as required</t>
  </si>
  <si>
    <t xml:space="preserve">To begin making the Churma Ladoo Recipe, in a bowl add the wheat flour, sooji, coconut powder, badam powder, flax seed powder, jaggery and ghee.Combine the the Churma Ladoo Mixture to get a consistency like coarse crumbs. Add milk little at a time and make a stiff dough.From the Churma Ladoo dough make small balls and press them with your fist and shape them into Ladoos.Preheat the oven at 180 C. Grease a baking tray with ghee.Place the Churma Ladoo onto the baking tray and bake in the preheated oven for about 15 minutes until you notice the color changing and also light cracks appear.Once done, remove from the oven and allow the Churma Ladoo to cool completely.Store the Churma Ladoo in air tight containers and refrigerate to keep it for 3 to 4 weeks.Serve Churma Ladoo Recipe as a healthy snack for your kids. It makes a perfect brain food. Serve Churma Ladoo along with Dal Baati and Mirchi Lahsun Ka Chunda for a Sunday Lunch with your friends and family.
</t>
  </si>
  <si>
    <t>चूरमा लड्डू रेसिपी बनाने के लिए सबसे पहले एक बाउल में गेहूं का आटा, सूजी, नारियल पाउडर, बादाम पाउडर, अलसी पाउडर, गुड़ और घी डालें। चूरमा लड्डू मिश्रण को मिलाकर मोटे टुकड़ों जैसा गाढ़ापन प्राप्त करें। इसमें थोड़ा-थोड़ा करके दूध डालते हुए सख्त आटा गूंथ लें। चूरमा लड्डू के आटे से छोटी-छोटी लोइयां बना लें और उन्हें मुट्ठी से दबाकर लड्डू का आकार दें। ओवन को 180 डिग्री सेल्सियस पर पहले से गरम कर लें। बेकिंग ट्रे पर घी लगाकर चिकना कर लें। चूरमा लड्डू को बेकिंग ट्रे पर रखें और पहले से गरम ओवन में लगभग 15 मिनट तक बेक करें, जब तक कि आप देखें कि उनका रंग बदल रहा है और हल्की दरारें भी दिखाई देने लगी हैं। हो जाने के बाद, ओवन से निकालें और चूरमा लड्डू को पूरी तरह से ठंडा होने दें। चूरमा लड्डू को एयर टाइट कंटेनर में भरकर फ्रिज में 3 से 4 हफ्ते तक रखें। चूरमा लड्डू रेसिपी को अपने बच्चों को हेल्दी नाश्ते के तौर पर परोसें। यह दिमाग के लिए बेहतरीन भोजन है। रविवार के लंच में अपने दोस्तों और परिवार के साथ दाल बाटी और मिर्ची लहसुन का चूंदा के साथ चूरमा लड्डू परोसें।</t>
  </si>
  <si>
    <t>https://www.archanaskitchen.com/churma-laddu-with-coconut-recipe</t>
  </si>
  <si>
    <t>Palak Kadhi Recipe - Spinach Kadhi</t>
  </si>
  <si>
    <t>पालक कढ़ी रेसिपी - पालक कढ़ी</t>
  </si>
  <si>
    <t>1 कप दही, 2 चम्मच बेसन, 1/2 चम्मच हल्दी, नमक - स्वादानुसार, 1 कप पालक, 1 हरी मिर्च, 1 इंच अदरक, 1 चम्मच जीरा, 1 चम्मच जीरा, 1 चम्मच सरसों, 1 चुटकी हींग, 1 टहनी करी पत्ता, 2 सूखी लाल मिर्च, सूरजमुखी तेल</t>
  </si>
  <si>
    <t>1 cup Curd (Dahi / Yogurt),2 teaspoon Gram flour (besan),1/2 teaspoon Turmeric powder (Haldi),Salt - to taste,1 cup Spinach,1 Green Chilli,1 inch Ginger,1 teaspoon Cumin seeds (Jeera),1 teaspoon Cumin seeds (Jeera),1 teaspoon Mustard seeds,1 pinch Asafoetida (hing),1 sprig Curry leaves,2 Dry Red Chilli,Sunflower Oil</t>
  </si>
  <si>
    <t xml:space="preserve">To begin making the Palak Kadhi Recipe (Spinach Yogurt Curry), we will first pressure cook the spinach, green chillies, ginger and cumin in a pressure cooker with little water for about 1 whistle. Let the pressure release naturally.Once the pressure is released, add the cooked ingredients into a blender and grind to form a smooth paste. Keep it aside.In a sauce pan mix curd, besan, turmeric powder together and whisk well till it combines. Keep the sauce pan on medium heat and add about 1/2 cup of water and pureed spinach paste.Whisk well and bring it to a boil. When it comes to boil, add salt to taste and switch off the heat.The next step is to temper the kadhi. Heat a small tadka pan with oil, add cumin seeds, mustard seeds and allow it to splutter for few seconds.After few seconds, add curry leaves, asafoetida, dry red chillies and saute for few seconds. Add this tadka to the kadhi and give it a mix. Serve the Palak Kadhi along with Phulka, Aloo and Capsicum Sabzi and Aamras for your everyday meals.
</t>
  </si>
  <si>
    <t>पालक कढ़ी रेसिपी (पालक दही करी) बनाना शुरू करने के लिए, हम सबसे पहले पालक, हरी मिर्च, अदरक और जीरा को प्रेशर कुकर में थोड़े पानी के साथ लगभग 1 सीटी आने तक पका लेंगे। प्रेशर को स्वाभाविक रूप से निकलने दें। प्रेशर निकल जाने के बाद, पकी हुई सामग्री को एक ब्लेंडर में डालें और चिकना पेस्ट बनाने के लिए पीस लें। इसे एक तरफ रख दें। एक सॉस पैन में दही, बेसन, हल्दी पाउडर को एक साथ मिलाएं और अच्छी तरह से मिलने तक फेंटें। सॉस पैन को मध्यम आंच पर रखें और लगभग 1/2 कप पानी और प्यूरी पालक का पेस्ट डालें। अच्छी तरह से फेंटें और उबाल लें। जब यह उबल जाए, तो स्वादानुसार नमक डालें और आँच बंद कर दें। अगला कदम कढ़ी को तड़का लगाना है। एक छोटे तड़के वाले पैन में तेल गर्म करें, उसमें जीरा, राई डालें और कुछ सेकंड के लिए इसे फूटने दें पालक कढ़ी को फुल्का, आलू और शिमला मिर्च की सब्जी और आमरस के साथ अपने रोज़ाना के खाने में परोसें।</t>
  </si>
  <si>
    <t>https://www.archanaskitchen.com/palak-kadhi-recipe-spinach-yogurt-curry</t>
  </si>
  <si>
    <t>Jaipuri Potato Onion Sabzi Recipe – Jaipuri Aloo Pyaz Ki Sabzi (Recipe In Hindi)</t>
  </si>
  <si>
    <t>जयपुरी आलू प्याज की सब्जी रेसिपी - जयपुरी आलू प्याज की सब्जी (रेसिपी इन हिंदी)</t>
  </si>
  <si>
    <t>4 आलू - मसाला कट ले, 12 छोटे प्याज़ - चुटकी काट ले, 1 छोटा चमच्च जीरा, 3/4 प्याज़ - काट ले, 1 छोटा चमच्च लाल मिर्च पाउडर, 1 छोटा चमचा धनिया पाउडर, 1 छोटा चम्मच गरम मसाला पाउडर, 1 छोटा चम्मच - मसाला काट ले, 1 छोटा चम्मच मसाला पाउडर, 1 तेज़ पत्ता - प्रयोग दे, नमक - स्वाद अनुसार, तेल - प्रयोग करें, 3 हरा धनिया - धनिया काट ले, 1 प्याज - काट ले, 3 मसाला लाल मिर्च पाउडर, 1 छोटा चम्मच मसाला ले, 2 हरी मिर्च</t>
  </si>
  <si>
    <t>4 Potatoes - boil and chop, 12 small onions - peel and cut in half, 1 teaspoon cumin seeds, 3/4 cup tomato puree, 1 teaspoon turmeric powder, 1 teaspoon Kashmiri red chilli powder, 1 teaspoon coriander powder, 1 small Spoon garam masala powder, 1 bay leaf - break, salt - according to taste, oil - as per use, 3 sprig coriander - finely chopped, 1 onion - chopped, 3 cloves garlic, 1 inch ginger, 2 green chillies</t>
  </si>
  <si>
    <t>To make Jaipuri Aloo Pyaaz ki Sabzi, first boil the potatoes and chop the onions. Make tomato puree and keep it aside. Put the ingredients for making the paste in the mixer grinder and grind it. Now heat oil in a pan. Add cumin seeds and let it cook for 10 seconds. Now add small onions and cook till they become soft. After they become soft, add potatoes and salt and cook for 3 to 4 minutes. After that take them out. Add some more oil in that pan. Add grinded onion, ginger-garlic paste to it. Cook for 3 minutes and then add all the spices and bay leaves. Cook it for another 1 minute. After 1 minute add tomato puree, cooked small onions, potatoes and salt. Cover the pan and cook for 10 minutes on low flame. Turn off the gas after 10 minutes and garnish with coriander leaves. Serve Jaipuri Aloo Pyaaz Sabzi along with Tadka Raita and Phulkas for dinner.</t>
  </si>
  <si>
    <t xml:space="preserve">जयपुरी आलू प्याज की सब्जी बनाने के लिए सबसे पहले आलू प्याज ले और प्याज को काट ले. टमाटर की प्यूरी बना ले और अलग से रख दे. पेस्ट बनाने वाली सामग्री को पीसने वाली मशीन में डालकर पीस ले। अब एक चटनी में तेल गरम करें। नारियल जीरा डाला और 10 सेकंड के लिए मसाला दे. अब इसमें छोटे प्याज और नेचर होने तक पकाए गए हैं। नरम होने के बाद इसमें आलू और नमक डाल दीजिए और 3 से 4 मिनिट तक पका लीजिए. उसके बाद इसे अलग से निकल दे. उस पोटली में थोड़ा और तेल डाला गया। पिसा हुआ प्याज़ में अदरक लहसुन का पेस्ट डाला गया। 3 मिनट के लिए पकाए और फिर सारा आटा और तेज पत्ता डाले। इसे और 1 मिनट तक पकाए। 1 मिनट के बाद टमाटर प्यूरी, कटे हुए छोटे प्याज, आलू और नमक डाल दिया। 10 मिनट तक पकौड़े को ढक ले और अधपका पकाए। 10 मिनट बाद गैस बंद करें और अपने साथ गार्निश करें। जयपुरी आलू प्याज की सब्जी को तड़का रायता और फुलके के साथ दिन के खाने के लिए।
</t>
  </si>
  <si>
    <t>http://www.archanaskitchen.com/jaipuri-aloo-pyaz-ki-sabzi-recipe-in-hindi</t>
  </si>
  <si>
    <t>Bajra Kheech Recipe</t>
  </si>
  <si>
    <t>बाजरे का खीच रेसिपी</t>
  </si>
  <si>
    <t>1 कप बाजरा, 1/4 कप पीली मूंग दाल, 5 कप पानी, 1/2 चम्मच हल्दी, नमक - स्वादानुसार, 1/2 कप मिली-जुली सब्जियाँ - (हरी मटर)</t>
  </si>
  <si>
    <t>1 cup Bajra (seeds),1/4 cup Yellow Moong Dal (Split),5 cup Water,1/2 teaspoon Turmeric powder (Haldi),Salt - as per taste,1/2 Cup Mixed vegetables - (Green peas</t>
  </si>
  <si>
    <t xml:space="preserve">To begin with making Bajra Ka Kheech Recipe, add bajri and 1 tablespoon water in mixer.Grind it only for few seconds and then dry it out for 10 min.Once dried, remove the skin of bajri by rubbing it by hands. Now again grind it till bajri appears to be half broken.Sieve the broken bajri to remove bajri powder, if any. Now put this half broken bajri along with moong dal, water, turmeric powder, chopped vegetables and salt into pressure cooker and wait for 5-6 whistles.Just open the cooker lid &amp; check if it became soft, if not, then give another 2-3 whistles.Once it becomes soft, its ready to serve. It need to be served hot only. For serving, put kheech in bowl/plate with some ghee over it.Serve Bajra Ka Kheech Recipe with Rajasthani Kadhi.
</t>
  </si>
  <si>
    <t>बाजरे की खीच बनाने के लिए सबसे पहले मिक्सर में बाजरे और 1 बड़ा चम्मच पानी डालें। इसे कुछ सेकंड के लिए पीसें और फिर 10 मिनट के लिए सुखा लें। सूख जाने के बाद बाजरे को हाथों से रगड़कर उसका छिलका उतार दें। अब इसे तब तक पीसें जब तक कि बाजरे आधे टूटे हुए न दिखें। अगर बाजरे का पाउडर है तो उसे छान लें। अब इस आधे टूटे हुए बाजरे को मूंग दाल, पानी, हल्दी पाउडर, कटी हुई सब्ज़ियों और नमक के साथ प्रेशर कुकर में डालें और 5-6 सीटी आने तक इंतज़ार करें। कुकर का ढक्कन खोलें और देखें कि यह नरम हो गया है या नहीं, अगर नहीं, तो 2-3 सीटी और लगाएँ। एक बार जब यह नरम हो जाए, तो यह परोसने के लिए तैयार है। इसे गर्म ही परोसना चाहिए। परोसने के लिए खीच को एक कटोरी/प्लेट में रखें और उसके ऊपर थोड़ा सा घी लगाएँ। बाजरे की खीच रेसिपी को राजस्थानी कढ़ी के साथ परोसें।</t>
  </si>
  <si>
    <t>https://www.archanaskitchen.com/bajra-ka-kheech-recipe</t>
  </si>
  <si>
    <t>Besan Capsicum Ki Sabzi Recipe - Besan Capsicum Ki Sabzi (Recipe In Hindi)</t>
  </si>
  <si>
    <t>बेसन और शिमला मिर्च की सब्जी रेसिपी - बेसन शिमला मिर्च की सब्जी (रेसिपी इन हिंदी)</t>
  </si>
  <si>
    <t>तेल - प्रयोग अनुसार, 1-1/2 कप बेसन, 2 प्याज - नमक ले, 1/2 मीठा मिर्च (लाल) - काट ले, 1/2 मीठा मिर्च (पिली) - काट ले, 1 छोटा चमच्च लाल मिर्च पाउडर, 1/2 छोटा चमच्च हल्दी पाउडर, पानी - प्रयोग अनुसार, हरा धनिया - प्रयोग अनुसार (सारी कट ले)</t>
  </si>
  <si>
    <t>Oil - as per requirement, 1-1/2 cup gram flour, 2 onions - finely chopped, 1/2 capsicum (red) - chopped, 1/2 capsicum (yellow) - chopped, 1 teaspoon red chilli powder, 1/2 teaspoon turmeric powder, water - as per requirement, green coriander - as per requirement (finely chopped)</t>
  </si>
  <si>
    <t>To make Gram Flour and Capsicum Sabzi, first take 2 cups of water in a saucepan. Add capsicum and cook it. After the capsicum becomes soft, drain the water and keep it aside. Sieve the gram flour well and keep it aside. Now heat oil in a pan. Add onion and cook till it becomes light brown. After it becomes brown, add all the spices and capsicum. Let it cook for 2 minutes. Now add gram flour and mix it. Sprinkle some water, cover the pan and let it cook for 5 to 6 minutes. After cooking, garnish with coriander leaves and serve. Serve Gram Flour and Capsicum Sabzi with Panchmel Daal and Phulkas for lunch.</t>
  </si>
  <si>
    <t xml:space="preserve">बेसन और सॉसपैन में 2 पानी कप डालने के लिए सबसे पहले काली मिर्च की सब्जी बनाएं। इसमें काली मिर्च डाल कर पका ले. मीठी मिर्च के प्राकृतिक के बाद, पानी निकाल ले हो और अलग से रख दे। बेसन को अच्छी तरह से अच्छा ले और अलग से रख दे। अब एक चटनी में तेल गरम करें। इसमें पेज और भूरा होने तक पका ले। भूरे होने के बाद इसमें सारे अवशेष और साबुत काली मिर्च डाली गई। 2 मिनट तक मसाला दे. अब बेसन डाला और मिला ले. छोटा सा पानी छिड़के, चटनी को 5 से 6 मिनट तक मसाला दे. मसाले के बाद, हरे धनिए से गार्निश करें और बनाएं। बेसन और साबुत काली मिर्च की सब्जी को पंचमेल दाल और फुलके के साथ दिन के लिए बना लें.
</t>
  </si>
  <si>
    <t>http://www.archanaskitchen.com/besan-capsicum-ki-sabzi-recipe-in-hindi</t>
  </si>
  <si>
    <t>Gulkand Kala Jamun Recipe</t>
  </si>
  <si>
    <t>गुलकंद काला जामुन रेसिपी</t>
  </si>
  <si>
    <t>1 कप खोया (मावा), 3 बड़े चम्मच मैदा, 1 बड़ा चम्मच सूजी (सूजी / रवा), 1 चुटकी खाना पकाने वाला सोडा, सूरजमुखी तेल - तलने के लिए, 2 बड़े चम्मच गुलकंद, 1/2 चम्मच इलायची पाउडर (इलायची) - 1/2 छोटा चम्मच इलायची पाउडर, 1 बड़ा चम्मच काजू - बारीक कटा हुआ, 2 कप पानी, 1-1/2 कप चीनी, 1 चुटकी केसर, 1 चम्मच गुलाब जल, 1/2 चम्मच इलायची पाउडर (इलायची), 1 खाने योग्य चांदी की पन्नी / पत्ती (चांदी का वर्क), 10 गुलाब की पंखुड़ियाँ - (सूखी या ताज़ा)</t>
  </si>
  <si>
    <t>1 cup Khoya (Mawa),3 tablespoons All Purpose Flour (Maida),1 tablespoon Sooji (Semolina/ Rava),1 pinch Cooking soda,Sunflower Oil - to deep fry,2 tablespoons Gulkand,1/2 teaspoon Cardamom Powder (Elaichi) - 1/2 tsp Cardamom powder,1 tablespoon Cashew nuts - finely chopped,2 cups Water,1-1/2 cups Sugar,1 pinch Saffron strands,1 teaspoon Rose water,1/2 teaspoon Cardamom Powder (Elaichi),1 Edible Silver Foil/Leaf (Chandi Ka Vark),10 Rose Petals - (dry or fresh)</t>
  </si>
  <si>
    <t xml:space="preserve">To prepare Gulkand Kala Jamun Recipe, proceed with making khoya balls first.How to make Khoya BallsIn a large mixing bowl, add khoya with maida, sooji and baking powder and gently knead to form a soft dough. Do not knead heavily, just gather the mix together and form a lump, cover it with a muslin cloth and keep aside to rest for 10 mins.Heat sufficient oil in a wok for deep frying.Meanwhile prepare the balls.Grease your hands lightly with ghee and pinch a small lemon sized ball from the dough mix.Make a depression in the center with your index finger and drop little gulkand, small pinch of cardamom powder and few chopped nuts in the center.Fold the dough mix from the sides towards inside and seal the ball.Now gently roll the ball between your palm and keep aside in a tray.Similarly make many more balls from the dough mix and line them on a tray.How to make Sugar SyrupTo make sugar syrup, in a saucepan add water and sugar and allow it to come to boil.Now add saffron, rosewater and cardamom powder and let the sugar cook with water till it gets a one string consistency. Turn off heat and keep aside.Frying the khoya ballsWhile the sugar syrup is getting done, start by heating a deep frying pan with enough oil to deep fry. As soon as the oil is medium hot, lower the flames to medium heat and drop in the gulkand stuffed khoya balls in equal batches. Remember not to overcrowd the kadai.Simmer the gas and allow the balls fry from all sides till they turn almost black in color.Transfer the fried balls on a kitchen napkin for about 30 seconds, or until to drop the second batch into oil. Transfer to the prepared sugar syrup.Turn off the gas and drop the fried balls in the syrup and let them rest for sometime so that the syrup gets inside the balls nicely.Gulkand stuffed kala jamun is ready to serve when garnished with edible silver and rose petals. Serve them as dessert during festivals.
</t>
  </si>
  <si>
    <t>गुलकंद काला जामुन रेसिपी तैयार करने के लिए, सबसे पहले खोया बॉल्स बना लें। खोया बॉल्स कैसे बनाएं एक बड़े मिक्सिंग बाउल में, मैदा, सूजी और बेकिंग पाउडर के साथ खोया डालें और धीरे से नरम आटा गूंध लें। बहुत ज्यादा न गूंथें, बस मिश्रण को एक साथ इकट्ठा करें और एक गांठ बनाएं, इसे मलमल के कपड़े से ढक दें और 10 मिनट के लिए अलग रख दें। तलने के लिए एक कड़ाही में पर्याप्त तेल गर्म करें। इस बीच, गोले तैयार करें। अपने हाथों पर घी लगाकर हल्का चिकना करें और आटे के मिश्रण से एक छोटे नींबू के आकार का गोला लें। अपनी तर्जनी से केंद्र में एक गड्ढा बनाएं और केंद्र में थोड़ा गुलकंद, एक चुटकी इलायची पाउडर और कुछ कटे हुए मेवे डालें। आटे के मिश्रण को किनारों से अंदर की तरफ मोड़ें और गोले को सील करें। अब धीरे से अपनी हथेली के बीच में गोले को रोल करें और एक ट्रे में रख दें। इसी तरह आटे के मिश्रण से कई और गोले बनाएं और उन्हें एक ट्रे पर रखें। चीनी की चाशनी कैसे बनाएं आंच बंद कर दें और एक तरफ रख दें।खोया बॉल्स को तलेंजबकि चाशनी बन रही है, एक गहरे फ्राइंग पैन को गरम करके उसमें पर्याप्त तेल डालें। जैसे ही तेल मध्यम गरम हो जाए, आंच को मध्यम कर दें और गुलकंद भरे खोए बॉल्स को बराबर मात्रा में डालें। ध्यान रहे कि कढ़ाई में बहुत सारे बॉल्स न हों।गैस धीमी कर दें और बॉल्स को चारों तरफ से तब तक तलें जब तक उनका रंग लगभग काला न हो जाए।तली हुई बॉल्स को किचन नैपकिन पर लगभग 30 सेकंड के लिए या दूसरी बैच के तेल में डालने तक रखें। तैयार चाशनी में डालें।गैस बंद कर दें और तली हुई बॉल्स को चाशनी में डालें और कुछ देर के लिए रख दें ताकि चाशनी बॉल्स के अंदर अच्छी तरह से समा जाए।गुलकंद भरे काले जामुन खाने योग्य चांदी और गुलाब की पंखुड़ियों से गार्निश करके परोसने के लिए तैयार हैं। इन्हें त्योहारों के दौरान मिठाई के रूप में परोसें।</t>
  </si>
  <si>
    <t>http://www.archanaskitchen.com/gulkand-kala-jamun-recipe</t>
  </si>
  <si>
    <t>Rajasthani Khoya Matar Sabzi Recipe</t>
  </si>
  <si>
    <t>राजस्थानी खोया मटर सब्जी रेसिपी</t>
  </si>
  <si>
    <t>1-1/2 कप हरी मटर, 3 टमाटर - प्यूरी, 1 चम्मच अदरक - पेस्ट, 1 कप खोया (मावा), 1 चम्मच जीरा, 2 लौंग, 1/2 चम्मच हल्दी पाउडर (हल्दी), 1 चम्मच कश्मीरी लाल मिर्च पाउडर, 1 चम्मच गरम मसाला पाउडर, 2 बड़े चम्मच घी, 2 चम्मच हरा धनिया - सजाने के लिए, नमक - स्वादानुसार</t>
  </si>
  <si>
    <t>1-1/2 cups Green peas (Matar),3 Tomatoes - pureed,1 teaspoon Ginger - paste,1 cup Khoya (Mawa),1 teaspoon Cumin seeds (Jeera),2 Cloves (Laung),1/2 teaspoon Turmeric powder (Haldi),1 teaspoon Kashmiri Red Chilli Powder,1 teaspoon Garam masala powder,2 tablespoons Ghee,2 teaspoons Coriander (Dhania) Leaves - to garnish,Salt - to taste</t>
  </si>
  <si>
    <t xml:space="preserve">To begin making the Rajasthani Khoya Matar Sabzi Recipe, make the puree of the tomatoes and keep aside.Heat ghee in a pan on medium heat, add cloves, cumin seeds and let it splutter.Add the ginger paste and tomato puree, saute until the ghee separates.Add the green peas and cook until the peas are well cooked with the lid closed.Add the kashmiri turmeric, red chilli powder, garam masala and mix well. Add the khoya and saute till it comes together.Add a cup of water, season with salt and let it simmer for 10 minutes and switch off the flame. Garnish with coriander leaves and serve hot.Serve the Rajasthani Khoya Matar Sabzi Recipe along with flaky Tawa parathas for the weekend lunch.
</t>
  </si>
  <si>
    <t>राजस्थानी खोया मटर सब्ज़ी रेसिपी बनाने के लिए टमाटर की प्यूरी बना लें और एक तरफ रख दें। मध्यम आँच पर एक पैन में घी गरम करें, उसमें लौंग, जीरा डालें और उसे चटकने दें। अदरक का पेस्ट और टमाटर की प्यूरी डालें, घी अलग होने तक भूनें। हरी मटर डालें और ढक्कन बंद करके मटर के अच्छी तरह पकने तक पकाएँ। कश्मीरी हल्दी, लाल मिर्च पाउडर, गरम मसाला डालें और अच्छी तरह मिलाएँ। खोया डालें और एक साथ आने तक भूनें। एक कप पानी डालें, नमक डालें और इसे 10 मिनट तक उबलने दें और फिर आँच बंद कर दें। धनिया पत्ती से गार्निश करें और गरमागरम परोसें। वीकेंड लंच के लिए राजस्थानी खोया मटर सब्ज़ी रेसिपी को तवा पराठों के साथ परोसें।</t>
  </si>
  <si>
    <t>https://www.archanaskitchen.com/rajasthani-khoya-matar-sabzi-recipe</t>
  </si>
  <si>
    <t>Ghoogri Recipe - Jowar Upma</t>
  </si>
  <si>
    <t>घुघरी रेसिपी - ज्वार उपमा</t>
  </si>
  <si>
    <t>1 कप ज्वार के बीज - 9 से 10 घंटे भिगोए हुए, 1 हरी शिमला मिर्च - कटी हुई, 1 कप हरी मटर - छिली हुई, 1/2 कप गाजर - कटी हुई, 1/3 कप प्याज - बारीक कटा हुआ, 1 छोटा चम्मच जीरा, 1 छोटा चम्मच हरी मिर्च - कुटी हुई, 1 छोटा चम्मच लहसुन - कुटा हुआ, 1 छोटा चम्मच अदरक - कद्दूकस किया हुआ, 1 छोटा चम्मच गरम मसाला पाउडर, 1 छोटा चम्मच नींबू का रस, 1 छोटा चम्मच चीनी, नमक - स्वादानुसार, 2 बड़े चम्मच घी - या तेल, पानी - आवश्यकतानुसार, धनिया पत्ती - कुछ गार्निश के लिए</t>
  </si>
  <si>
    <t>1 cup Jowar Seeds - soaked for 9 to 10 hours,1 Green Bell Pepper (Capsicum) - chopped,1 cup Green peas (Matar) - shelled,1/2 cup Carrot (Gajjar) - chopped,1/3 cup Onions - finely chopped,1 teaspoon Cumin seeds (Jeera),1 teaspoons Green Chillies - crushed,1 teaspoon Garlic - crushed,1 teaspoon Ginger - grated,1 teaspoon Garam masala powder,1 teaspoon Lemon juice,1 teaspoon Sugar,Salt - to taste,2 tablespoons Ghee - or oil,Water - as required,Coriander (Dhania) Leaves - a few for garnish</t>
  </si>
  <si>
    <t xml:space="preserve">To begin making Ghoogri Recipe, firstly boil the soaked jowar in enough water till the cooker releases 8 to 9 whistles The level of the water in the cooker should be approximately 2 inches above.The boiled jowar should be cooked well but chewy and not mushy. Strain out the residual water and use few tablespoons of it while cooking the spices later.In a kadhai heat ghee. Add cumin seeds and allow it to crackle.Add crushed green chilies, ginger and garlic, and saute for few seconds. Add onions and saute them until they are soft and pink.Add carrot and green peas, saute for a minute. Add few tablespoons of water from the boiled jowar, cover and cook for 3 to 4 minutes. Once the carrots and peas are cooked add chopped capsicum, garam masala powder, sugar and mix well.Add boiled jowar and toss well. Cover and cook for a couple of minutes. Lastly, add lemon juice and mix everything well.Transfer the Ghoogri into a serving plate, garnish with green coriander leaves and serve.Serve Ghoogri with a hot cup of Masala Chai for breakfast.
</t>
  </si>
  <si>
    <t>घुघरी रेसिपी बनाने के लिए सबसे पहले भिगोए हुए ज्वार को पर्याप्त पानी में तब तक उबालें जब तक कुकर में 8 से 9 सीटी न आ जाएं। कुकर में पानी का स्तर लगभग 2 इंच ऊपर होना चाहिए। उबला हुआ ज्वार अच्छी तरह से पक जाना चाहिए लेकिन चबाने योग्य और गूदेदार नहीं होना चाहिए। बचे हुए पानी को छान लें और बाद में मसाले पकाते समय इसके कुछ बड़े चम्मच का इस्तेमाल करें। एक कढ़ाई में घी गर्म करें। जीरा डालें और उसे चटकने दें। कुटी हरी मिर्च, अदरक और लहसुन डालें और कुछ सेकंड के लिए भूनें। प्याज डालें और उन्हें नरम और गुलाबी होने तक भूनें। गाजर और हरे मटर डालें, एक मिनट के लिए भूनें। उबले हुए ज्वार से कुछ बड़े चम्मच पानी डालें, ढककर 3 से 4 मिनट तक पकाएं अंत में, नींबू का रस डालें और सब कुछ अच्छी तरह मिलाएँ। घुघरी को एक सर्विंग प्लेट में डालें, हरे धनिये के पत्तों से गार्निश करें और परोसें। नाश्ते के लिए घुघरी को एक गर्म कप मसाला चाय के साथ परोसें।</t>
  </si>
  <si>
    <t>https://www.archanaskitchen.com/ghoogri-recipe</t>
  </si>
  <si>
    <t>Green Chana Chutney Recipe – Green Chana Chutney (Recipe In Hindi)</t>
  </si>
  <si>
    <t>हरे चने की चटनी रेसिपी - हरे चने की चटनी (रेसिपी इन हिंदी)</t>
  </si>
  <si>
    <t>1 कप हरे चने, 3 हरी मिर्च, 6 काली लहसुन, नमक - स्वाद अनुसार, पानी - प्रयोग अनुसार, तेल - प्रयोग, 1/2 चमच बड़ा चम्मच जीरा, 2 चमच्च दही</t>
  </si>
  <si>
    <t>1 cup green gram, 3 green chillies, 6 cloves garlic, salt - as per taste, water - as per use, oil - as per use, 1/2 tablespoon cumin seeds, 2 tablespoons curd</t>
  </si>
  <si>
    <t>To make Green Gram Chutney, first take green gram, green chillies, garlic, salt and some water in a mixer grinder. Grind it well and make a paste. Take out this paste in a bowl. Now heat oil in a pan. Add cumin seeds in it and cook for 10 seconds. After 10 seconds add curd and mix it. After 1 minute add green gram paste and cook for next 2 minutes. After 2 minutes turn off the gas and serve. Serve Green Gram Chutney with Gatte ki Sabzi, Boondi Raita and Phulkas.</t>
  </si>
  <si>
    <t xml:space="preserve">हरे चने की मशीन बनाने के लिए सबसे पहले एक पीस ग्राइंडर में हरे चने, हरी मिर्च, लहसुन, नमक और थोड़ा पानी डालें। अच्छे तरीके से पीस कर पेस्ट बना लें. इस पेस्ट को एक बाउल में निकाल ले.अब एक मसाले में तेल गरम करें. इसमें जीरा डाले और 10 सेकंड तक पका ले। 10 सेकंड के बाद इसमें दही डाला और मिला ले.1 मिनट बाद इसमें हरे चने का पेस्ट डाला और अगले 2 मिनट तक पकाए. 2 मिनट बाद गैस बंद करें और बंद करें।  हरे चने की चटनी को गट्टे की सब्जी, बूंदी रायता और फुलके के साथ बनाएं।
</t>
  </si>
  <si>
    <t>https://www.archanaskitchen.com/green-chana-chutney-recipe-in-hindi</t>
  </si>
  <si>
    <t>Green Chilli Vegetable Recipe</t>
  </si>
  <si>
    <t>हरी मिर्च की सब्जी रेसिपी</t>
  </si>
  <si>
    <t>200 ग्राम हरी मिर्च, 1 बड़ा चम्मच सूरजमुखी तेल, 1 बड़ा चम्मच सरसों के बीज, 1/2 बड़ा चम्मच नमक, 1/2 बड़ा चम्मच हल्दी पाउडर (हल्दी), 1/4 बड़ा चम्मच लाल मिर्च पाउडर, 1/2 बड़ा चम्मच सौंफ़ पाउडर, 1/2 बड़ा चम्मच धनिया पाउडर (धनिया), 1 बड़ा चम्मच नींबू का रस, 1/2 चम्मच चीनी</t>
  </si>
  <si>
    <t>200 grams Green Chillies,1 tablespoon Sunflower Oil,1 tablespoon Mustard seeds,1/2 tablespoon Salt,1/2 tablespoon Turmeric powder (Haldi),1/4 tablespoon Red Chilli powder,1/2 tablespoon Fennel Powder,1/2 tablespoon Coriander Powder (Dhania),1 tablespoon Lemon juice,1/2 teaspoon Sugar</t>
  </si>
  <si>
    <t xml:space="preserve">To begin making the Green Chilli Vegetable recipe, take green chillies and cut into small pieces.Heat oil in a heavy bottomed pan and add mustard seeds. Once the mustard seeds starts to crackle, add green chillies.Add turmeric powder, salt, chilli powder, fennel powder, coriander powder. Mix it well and let it cook for 3 to 4 minutes.Once it is cooked, then add lime juice and sugar. Mix well and cook for another one minute.Serve Green Chilli Vegetable along with Panchmel Dal and Hot Phulkas for a simple and delicious weekday lunch or dinner.
</t>
  </si>
  <si>
    <t>हरी मिर्च की सब्जी बनाने के लिए सबसे पहले हरी मिर्च लें और उसे छोटे-छोटे टुकड़ों में काट लें। एक भारी तले वाली कड़ाही में तेल गरम करें और उसमें राई डालें। जब राई चटकने लगे तो उसमें हरी मिर्च डालें। हल्दी पाउडर, नमक, लाल मिर्च पाउडर, सौंफ पाउडर, धनिया पाउडर डालें। इसे अच्छे से मिलाएँ और 3 से 4 मिनट तक पकने दें। जब यह पक जाए तो इसमें नींबू का रस और चीनी डालें। अच्छे से मिलाएँ और एक मिनट तक पकाएँ। हरी मिर्च की सब्जी को पंचमेल दाल और गरम फुल्के के साथ परोसें और यह एक सरल और स्वादिष्ट वीकडे लंच या डिनर हो सकता है।</t>
  </si>
  <si>
    <t>https://www.archanaskitchen.com/green-chilli-vegetable-recipe</t>
  </si>
  <si>
    <t>Kala Chana Masala Curry Recipe</t>
  </si>
  <si>
    <t>काला चना मसाला करी रेसिपी</t>
  </si>
  <si>
    <t>2 कप काले चने - रातभर भिगोए हुए, सूरजमुखी तेल - आवश्यकतानुसार, 1 तेज पत्ता, 1 छोटा चम्मच जीरा, 1 छोटा चम्मच सरसों, 1/2 छोटा चम्मच हींग, 2 हरी मिर्च - बारीक कटी हुई, 2 टमाटर - कटे हुए, 1/2 बड़ा चम्मच गेहूं का आटा, नमक - आवश्यकतानुसार, पानी - आवश्यकतानुसार, 1 छोटा चम्मच लाल मिर्च पाउडर, 1/2 छोटा चम्मच हल्दी, 1 छोटा चम्मच धनिया पाउडर, 3/4 छोटा चम्मच नींबू का रस, 3 टहनी धनिया - बारीक कटी हुई</t>
  </si>
  <si>
    <t>2 cups Kala Chana (Brown Chickpeas) - soaked overnight,Sunflower Oil - as required,1 Bay leaf (tej patta),1 teaspoon Cumin seeds (Jeera),1 teaspoon Mustard seeds,1/2 teaspoon Asafoetida (hing),2 Green Chillies - finely chopped,2 Tomato - chopped,1/2 tablespoon Whole Wheat Flour,Salt - as required,Water - as required,1 teaspoon Red Chilli powder,1/2 teaspoon Turmeric powder (Haldi),1 teaspoon Coriander Powder (Dhania),3/4 teaspoon Lemon juice,3 sprig Coriander (Dhania) Leaves - finely chopped</t>
  </si>
  <si>
    <t xml:space="preserve">To begin making the Kala Chana Masala recipe, firstly boil the soaked black chickpeas in a pressure cooker until the cooker release at least 3 whistles. When they are soft, drain the water and keep them aside.Heat oil in a heavy bottomed pan. Add cumin seeds, mustard seeds and hing. Let the mustard seeds crackle.Once it is done, add the tomatoes and green chillies and let it cook for about 5 minutes.Meanwhile mix the whole wheat flour properly with 3 tablespoons water. Keep it aside.Add the black chickpeas in the pan. Next, add red chilli powder, turmeric powder, coriander powder, salt and the whole wheat flour mixture.Mix everything properly and let it cook for about 2 to 3 minutes. Once done add the lemon juice and garnish it with chopped coriander leaves.Serve Kalal Chana Masala along with Phulkas and Gujarati Dal for a perfect weekday meal. You can also pack this in your lunch box along with Pudina Tawa Parathas.
</t>
  </si>
  <si>
    <t>काला चना मसाला रेसिपी बनाने के लिए सबसे पहले भीगे हुए काले चने को प्रेशर कुकर में डालकर तब तक उबालें जब तक कुकर में कम से कम 3 सीटी न आ जाएं। जब वे नरम हो जाएं तो पानी निथार कर अलग रख दें। एक भारी तले की कड़ाही में तेल गर्म करें। उसमें जीरा, राई और हींग डालें। राई को चटकने दें। जब यह पक जाए तो इसमें टमाटर और हरी मिर्च डालें और इसे लगभग 5 मिनट तक पकने दें। इस बीच पूरे गेहूं के आटे को 3 बड़े चम्मच पानी के साथ अच्छी तरह मिला लें। इसे अलग रख दें। पैन में काले चने डालें। इसके बाद, लाल मिर्च पाउडर, हल्दी पाउडर, धनिया पाउडर, नमक और पूरे गेहूं के आटे का मिश्रण डालें। सब कुछ अच्छी तरह मिला लें और इसे लगभग 2 से 3 मिनट तक पकने दें। जब यह पक जाए तो इसमें नींबू का रस डालें और कटी हुई धनिया पत्ती से गार्निश करें</t>
  </si>
  <si>
    <t>http://www.archanaskitchen.com/black-chana-masala-recipe</t>
  </si>
  <si>
    <t>Jaisalmer Kala Chana Kadhi Recipe - Rajasthani Chickpea Curry</t>
  </si>
  <si>
    <t>जैसलमेर काला चना कढ़ी रेसिपी - राजस्थानी चना कढ़ी</t>
  </si>
  <si>
    <t>1/2 कप काला चना - रात भर पानी में भिगोया हुआ, 1 कप दही (दही), 2 बड़े चम्मच बेसन, 1/2 चम्मच हल्दी पाउडर, 1 चम्मच धनिया पाउडर (धनिया), 1/4 चम्मच लाल मिर्च पाउडर, 1/2 चम्मच गरम मसाला पाउडर, नमक - स्वादानुसार, 1/4 चम्मच जीरा, 1 हरी मिर्च - कटी हुई, 1 चम्मच घी</t>
  </si>
  <si>
    <t>1/2 cup Kala Chana (Brown Chickpeas) - soaked overnight in water,1 cup Curd (Dahi / Yogurt),2 tablespoons Gram flour (besan),1/2 teaspoon Turmeric powder (Haldi),1 teaspoon Coriander Powder (Dhania),1/4 teaspoon Red Chilli powder,1/2 teaspoon Garam masala powder,Salt - to taste,1/4 teaspoon Cumin seeds (Jeera),1 Green Chilli - chopped,1 teaspoon Ghee</t>
  </si>
  <si>
    <t xml:space="preserve">To begin making the Jaisalmer Kala Chana Kadhi, pressure cook the soaked chickpeas with water and salt for at least 5 to 6 whistles. It will take about 20 minutes to cook the Kala chana. Keep this aside.We will first start by combining all the main ingredients in a large saucepan. Add besan, yogurt, 2 cups of water,salt, turmeric powder, coriander powder, red chilli powder and whisk it all together, until it forms a smooth paste without lumps.Place the saucepan on medium heat and bring the Kadhi mixture to a boil.While the Kadhi is boiling, keep whisking it continuously, so it becomes smooth. Continue to whisk it until you notice it has begun to thicken and the Kadhi is smooth.Once it is beginning to become smooth, add the kala chana into the kadhi. You can optionally mash a few kala chana and add into the Jaisalmer Kala Chana Kadhi.Simmer for a good 10 minutes. The more you simmer, the tastier the kadhi gets.To temper the Jaisalmer Kala Chana Kadhi, heat a small tempering pan with ghee, add cumin seeds and green chilies and pour it on top of the kadhi and serve hot. Serve the Jaisalmeri Kala Chana Kadhi Recipe along hot steamed rice and Instant Raw Mango Pickle for a wholesome weeknight dinner
</t>
  </si>
  <si>
    <t>जैसलमेर काला चना कढ़ी बनाने के लिए, भिगोए हुए छोले को पानी और नमक के साथ कम से कम 5 से 6 सीटी आने तक पका लें। काला चना पकने में लगभग 20 मिनट का समय लगेगा। इसे एक तरफ रख दें। सबसे पहले हम एक बड़े सॉस पैन में सभी मुख्य सामग्री को मिला लेंगे। इसमें बेसन, दही, 2 कप पानी, नमक, हल्दी पाउडर, धनिया पाउडर, लाल मिर्च पाउडर डालें और सबको एक साथ फेंटें, जब तक कि यह बिना गांठ वाला चिकना पेस्ट न बन जाए। सॉस पैन को मध्यम आंच पर रखें और कढ़ी के मिश्रण को उबाल लें। जब कढ़ी उबल रही हो, इसे लगातार फेंटते रहें, ताकि यह चिकना हो जाए। इसे तब तक फेंटते रहें जब तक आप यह न देखें कि यह गाढ़ा होना शुरू हो गया है और कढ़ी चिकनी है। एक बार जब यह चिकना होने लगे, तो कढ़ी में काला चना डालें। जितना ज़्यादा आप इसे पकाएँगे, कढ़ी उतनी ही स्वादिष्ट बनेगी। जैसलमेर काला चना कढ़ी को तड़का लगाने के लिए, एक छोटे से तड़के वाले पैन में घी गरम करें, उसमें जीरा और हरी मिर्च डालें और कढ़ी के ऊपर डालें और गरमागरम परोसें। जैसलमेरी काला चना कढ़ी रेसिपी को गरम उबले चावल और इंस्टेंट कच्चे आम के अचार के साथ परोसें और पूरे हफ़्ते रात का खाना खाएँ।</t>
  </si>
  <si>
    <t>http://www.archanaskitchen.com/jaisalmer-kala-chana-kadhi-recipe</t>
  </si>
  <si>
    <t>Marwadi Gatte Ki Kadhi Recipe</t>
  </si>
  <si>
    <t>मारवाड़ी गट्टे की कढ़ी रेसिपी - मारवाड़ी गट्टे की कढ़ी रेसिपी</t>
  </si>
  <si>
    <t>1/2 छोटा कप बेसन, 1/2 छोटा चम्मच लाल मिर्च पाउडर, 1/2 छोटा चमच्च घी, 1 बड़ा चमच्च दही, नमक - स्वाद अनुसार, 2 बड़ा चमच्च बेसन, 1 कप दही, 4 काली मिर्च, 2 हरी मिर्च, 1/2 छोटा चम्मच हल्दी पाउडर, नमक - स्वाद अनुसार, 1 छोटा चम्मच हल्दी पाउडर, नमक - स्वाद अनुसार, 1 छोटा चमच्च घी, 1/2 छोटा चमच्च घी, 1/2 छोटा चमच्च जीरा, 1 सुखी लाल मिर्च, 1 इंच दालचीनी</t>
  </si>
  <si>
    <t>1/2 cup gram flour, 1/2 teaspoon red chili powder, 1/2 teaspoon celery, 1 tablespoon curd, salt - as per taste, 2 tablespoons gram flour, 1 cup curd, 4 cloves garlic, 2 green chillies, 1 / 2 teaspoon turmeric powder, salt - as per taste, 1 sprig of green coriander - finely chopped, 1 teaspoon ghee, 1/2 teaspoon cumin seeds, 1 dry red chilli, 1 inch cinnamon</t>
  </si>
  <si>
    <t>To make Marwari Gatte ki Kadhi, first we will make Gatte. In a mixing bowl add gram flour, red chili powder, celery, curd and salt. Mix everything well. Add some water and knead it. Divide the Gatte mixture into 8 to 10 parts. Make them in the shape of your choice. Keep it aside. Heat water in a saucepan. After the water boils, add Gatte to it. Cook for 8 to 10 minutes. Remove from water and keep it aside. In a mortar and pestle put garlic, green chilies and grind them. In a bowl add curd, gram flour, turmeric powder and 2 cups of water and mix well. Mix well so that it does not form lumps. Now heat water in a saucepan and add the gram flour and curd mixture to it. Let it boil till the curry thickens. After the curry thickens, add Gatte to it. Let it cook for 5 to 7 minutes. Now for the tempering, heat ghee in a tempering pan. Add cumin seeds, red chilli, cinnamon and cook for 10 seconds. Pour this tempering into the curry and mix well. Garnish with coriander leaves and serve. Serve Marwari Gatte ki Kadhi with Rice or Phulka/Khichdi/Rice and Satvik Carrot Sprout Salad for lunch.</t>
  </si>
  <si>
    <t xml:space="preserve">सबसे पहले हम मारिवारी गट्टे की कढ़ी बनाने के लिए। एक मिक्सिंग बाउल में बेसन, लाल मिर्च पाउडर, अजवायन, दही और नमक डाला गया। सरकारी नौकरी अच्छी तरह से मिला ले. थोड़ा सा पानी डाला और गुंड ले. गट्टे के मिश्रण को 8 से 10 भाग में बात ले. अपने खाते के दस्तावेज़ में ले लें। अलग से रख ले एक सॉसपैन में पानी गर्म करें। पानी के मसाले के बाद इसमें गट्टा डाल दिया। 8 से 10 मिनट तक पका ले. पानी से ले और अलग से रख ले. एक हमनदास्ते में लहसुन, हरी मिर्च डाली और पीस ले. एक कटोरी में दही, बेसन, हल्दी पाउडर और 2 कप पानी के नमूने अच्छी तरह से मिला ले। अच्छी तरह मिलाए ताकि गाठे न पड़े। अब एकपैन में गरम करें और बेसन और दही का मिश्रण डालें। सुलगने दे जब तक कढ़ी गढ़ी न हो जाए। कढ़ी के गट्टे होने के बाद इसमें गट्टा डाला गया। 5 से 7 मिनट के लिए मसाला दे. अब भैया के लिए एक तड़का पैन में घी गरम कर ले. इसमें जीरा, लाल मिर्च, दालचीनी डाला और 10 सेकंड के लिए पका ले. इस दामाद को कढ़ी में रखा और मिला ले. हरे धनिए से गार्निश करें और सजाएं। मैरीनी गट्टे की कढ़ी को चावल या फुल्का/खिचड़ी/चावल और सात्विक गाजर स्प्राउट कुक के साथ दिन के खाने के लिए परोसें।
</t>
  </si>
  <si>
    <t>http://www.archanaskitchen.com/marwadi-gatte-ki-kadhi-recipe-gram-flour-dumpling-in-yogurt-curry-recipe-in-hindi</t>
  </si>
  <si>
    <t>Aal Ke Kofte Recipe – Aal Ke Kofte (Recipe In Hindi)</t>
  </si>
  <si>
    <t>आल के कोफ्ते रेसिपी - आल के कोफ्ते (रेसिपी इन हिंदी)</t>
  </si>
  <si>
    <t>1 बड़ा चम्मच अदरक लहसुन का पेस्ट, 1/2 कप लहसुन का पेस्ट, 2 प्याज - पेस्ट, 2 तेज पत्ते, 2 बड़ी इलाइची, 1/2 इंच दाल चीनी, 1 छोटा चम्मच लाल मिर्च पाउडर, 1/2 छोटा चम्मच हल्दी पाउडर, 1 छोटा चमच्च धनिया पाउडर, नमक - प्रयोग अनुसार, तेल - प्रयोग अनुसार, पानी - प्रयोग अनुसार, 2 तेहिनी हरी धनिया - धनिया कट ले, 250 ग्राम लोकी - कैस ले, 1/2 कप बेसन, 1 छोटा चम्मच हल्दी पाउडर, 2 हरी मिर्च पाउडर, नमक - प्रयोग अनुसार, तेल - प्रयोग अनुसार, पानी काली मिर्च - स्मोकिंग कट ले, नमक - प्रयोग अनुसार, पानी - प्रयोग अनुसार, तेल - प्रयोग अनुसार</t>
  </si>
  <si>
    <t>1 tablespoon ginger garlic paste, 1/2 cup curd, 2 onion - paste, 2 bay leaves, 2 big cardamoms, 1/2 inch cinnamon, 1 teaspoon red chili powder, 1/2 teaspoon turmeric powder, 1 teaspoon coriander powder, salt - as per requirement, oil - as per requirement, water - as per requirement, 2 sprigs of coriander - finely chopped, 250 grams bottle gourd - grated, 1/2 cup gram flour, 1 teaspoon red chili powder, 2 green chilies - finely chopped, salt - as per requirement, water - as per requirement, oil - as per requirement</t>
  </si>
  <si>
    <t>To make Aal ke Kofta, first we will make koftas for gravy. In a bowl add all the ingredients for making koftas and mix well. Add some water for mixing. Now make round pakoras from this mixture and keep aside. Heat oil in a pan. Add these pakoras and cook till they turn golden brown. After both sides are cooked, take out the pakoras on a kitchen scale so that the remaining oil drains out. Make pakoras in the same way and keep aside. Now heat oil in a pan. Add cloves, black cardamom, bay leaves and cinnamon and cook for 1 minute. After 1 minute add ginger garlic paste and cook for 2 more minutes. After 2 minutes add onion paste and cook for 5 to 6 minutes. After 5 minutes add red chili powder, turmeric powder, coriander powder and salt. Cook for 5 minutes. After 5 minutes, reduce the flame and add curd to it. Mix and add water as required. Mix well and cook for 2 to 3 minutes. Add Pakoras, mix and garnish with coriander leaves. Serve Aal ke Kofta with Lauki Raita and Phulkas for lunch.</t>
  </si>
  <si>
    <t xml:space="preserve">सबसे पहले हम ग्रेवी के लिए अल के कोफ्ते बनाते हैं। एक बाउल में कोफ्ते बनाने की सारी सामग्री डाली गई और अच्छी तरह से मिला ली गई। मिलाने के लिए थोड़ा पानी भी डाला। अब इस मिक्स के गोल पकौड़े बनाएं और अलग से रख दें. एक पकौड़ी में तेल गरम करें। इनमें यह पकौड़े डाले और सुनहरा होने तक पकाए। दोनों तरह से पक जाने के बाद, पकौड़े को एक रसोई के बर्तन पर निकाल लिया जाए ताकि बचा हुआ तेल निकल जाए। ऐसे ही पकोड़े बनाएं और अलग से रख दें. अब एक चटनी में तेल गरम करें। इसमें लार्ज, बड़ी इलाइची, तेज पत्ता और दाल चीनी डाली गई और 1 मिनट तक पका ले। 1 मिनट के बाद इसमें अदरक लहुसन का पेस्ट डाला और 2 मिनट और पका ले। 2 मिनट के बाद इसमें प्याज का पेस्ट डाला गया और 5 से 6 मिनट तक पकाया गया। 5 मिनट बाद लाल मिर्च पाउडर, हल्दी पाउडर, धनिया पाउडर और डाला हुआ नमक। 5 मिनट के लिए पकाए। 5 मिनट के बाद, कम करें और आमंत्रित करें। मिला ले और प्रयोग अनुसार पानी डाल दिया। अच्छी तरह मिलाए और 2 से 3 मिनट के लिए व्यंजन दे।  इसमें पकोड़े डाले, मिलाए और हरेये से गार्निश करें। अल के कोफ्ते को लोकी रायता और फुलके के साथ दिन के खाने के लिए। 
</t>
  </si>
  <si>
    <t>http://www.archanaskitchen.com/aal-ke-kofte-bottle-gourd-fritters-in-spicy-gravy-recipe-in-hindi</t>
  </si>
  <si>
    <t>Rajasthani Dal Recipe - Rajasthani Dal Recipe</t>
  </si>
  <si>
    <t>राजस्थानी दाल रेसिपी - राजस्थानी दाल रेसिपी</t>
  </si>
  <si>
    <t>1/4 कप चना दाल, 1/2 कप हरी मूंग दाल, 2 लहसुनकली - कस ले, 1 इंच अदरक - कस ले, 1 छोटा मसाला हल्दी पाउडर, 1 छोटा धनिया पाउडर, 1 छोटा मसाला गरम मसाला पाउडर, नमक - स्वाद के अनुसार, 1 छोटा मसाला जीरा, 2 हरी मिर्च - नमक काली, 1 इंच अदरक - कस ले, प्रयोग के अनुसार, हरा धनिया - गार्निश के लिए</t>
  </si>
  <si>
    <t>1/4 cup chana dal, 1/2 cup green moong dal, 2 cloves garlic - grated, 1 inch ginger - grated, 1 tsp turmeric powder, 1 tsp coriander powder, 1 tsp garam masala powder, salt - according to taste, 1 tsp cumin seeds, 2 green chillies - finely chopped, ghee - according to use, green coriander - for garnish</t>
  </si>
  <si>
    <t>To make Rajasthani Daal Recipe, first wash moong dal and chana dal thoroughly and soak them in 3 cups of water for 3 hours. Heat oil in a pressure cooker. Add ginger, garlic and cook for 20 seconds. Now add soaked dal, water as per requirement, turmeric powder, coriander powder, garam masala powder, salt and mix well. Close the pressure cooker and cook till 3 whistles. After 3 whistles, turn off the gas and let the pressure release automatically. Now for the tempering, heat ghee in a tempering pan. Add cumin seeds, green chillies and cook for 10 seconds. Pour this tempering in the dal and mix well. Garnish with coriander leaves and serve. Rajasthani Daal Recipe can be served with Bhindi Masala, Boondi Raita and Phulkas.</t>
  </si>
  <si>
    <t xml:space="preserve">राजस्थानी दाल रेसिपी बनाने के लिए सबसे पहले मूंग और चना दाल को अच्छी तरह से धोकर 3 कप पानी में 3 घंटे के लिए भिगो दें।  एक कुकर में तेल गरम करें। इसमें अदरक, लहसुन डाला और 20 सेकंड के लिए पका ले। अब इसमें प्रयुक्त हुई दाल, प्रयोग के अनुसार पानी, हल्दी पाउडर, धनिया पाउडर, गर्म मसाला पाउडर, नमक डाला गया और अच्छी तरह से मिला लिया गया। कुछ दिन पहले ही बंद कर दीजिए और 3 सिटी आने तक पका लीजिए। 3 शहर आने के बाद गैस बंद कर दे और अपनी यात्रा दे। अब भैया के लिए, एक तड़का पैन में घी गरम कर ले. इसमें जीरा, हरी मिर्च और 10 सेकंड के लिए पका ले. इस दाल को दाल में डाला और अच्छी तरह से मिला लिया। हरे धनिए से गार्निश करें और बनाएं। राजस्थानी दाल रेसिपी को भिंडी मसाला, बूंदी रायता और फुलके के साथ बना सकते हैं।
</t>
  </si>
  <si>
    <t>http://www.archanaskitchen.com/rajasthani-dal-recipe-in-hindi</t>
  </si>
  <si>
    <t>Rajasthani Gunde Ka Achaar Recipe (Bird Lime Pickle)</t>
  </si>
  <si>
    <t>राजस्थानी गुंडे का अचार रेसिपी (पक्षी नीबू का अचार)</t>
  </si>
  <si>
    <t>500 ग्राम गुंदे, 1 चम्मच हींग, 1 चम्मच मेथी कुरिया, 1 चम्मच राई कुरिया, 1 चम्मच सौंफ - भूनी और पीसी हुई, 1 चम्मच हल्दी, 1/2 चम्मच लाल मिर्च पाउडर, 3 चम्मच सरसों का तेल, नमक - स्वादानुसार</t>
  </si>
  <si>
    <t>500 grams Gunde (bird lime),1 teaspoon Asafoetida (hing),1 teaspoon Split Methi Seeds (Methi Kuria),1 teaspoon Split Mustard Seeds (Rai Kuria),1 teaspoon Fennel seeds (Saunf) - roasted and crushed,1 teaspoon Turmeric powder (Haldi),1/2 tablespoon Red Chilli powder,3 tablespoons Mustard oil,Salt - to taste</t>
  </si>
  <si>
    <t xml:space="preserve">To Prepare Rajasthani Gunde Ka Achaar, boil the gunde ni water until soft, drain the water, remove the seeds and keep it aside to cool down.Once done, heat the mustard oil in a heavy bottomed pan. Once heated, stir in the asafoetida, the achaar masala and red chilli powder. Adjust salt according to taste.After 2 minutes, add the cooked gunde and mix everything well and stir fry for 4 to 5 minutes until the masala gets well coated to make the Gunde Ka Achaar.Once done, turn off the heat.Let the Gunde Ka Achaar cool down completely. Once cooled completely, store the Gunde Ka Achaar in pickle bottle/ceramic/glass container. Store the Gunde Ka Achaar in the refrigerator for 3 to 4 weeks or even upto a month. Since this a more like a fresh pickle, it only stays for a month or two.Serve Rajasthani Gunde Ka Achaar as an accompaniment with along with your meals for breakfast, lunch or dinner.
</t>
  </si>
  <si>
    <t>राजस्थानी गुंदे का अचार बनाने के लिए, गुंदे नी के पानी को नरम होने तक उबालें, पानी निथार लें, बीज निकाल दें और ठंडा होने के लिए अलग रख दें। हो जाने के बाद, एक भारी तले की कड़ाही में सरसों का तेल गर्म करें। गर्म होने पर इसमें हींग, अचार मसाला और लाल मिर्च पाउडर डालें। स्वादानुसार नमक डालें। 2 मिनट के बाद, पके हुए गुंडे डालें और सब कुछ अच्छी तरह मिलाएँ और 4 से 5 मिनट तक भूनें जब तक कि मसाला अच्छी तरह से लेपित न हो जाए और गुंदे का अचार बन जाए। हो जाने के बाद, आँच बंद कर दें। गुंदे के अचार को पूरी तरह से ठंडा होने दें। पूरी तरह से ठंडा होने के बाद, गुंदे के अचार को अचार की बोतल / चीनी मिट्टी / कांच के कंटेनर में भरकर रख दें। गुंदे के अचार को रेफ्रिजरेटर में 3 से 4 सप्ताह या एक महीने तक स्टोर करें। चूंकि यह ताजा अचार की तरह होता है, इसलिए यह केवल एक या दो महीने तक ही टिकता है। राजस्थानी गुंडे का अचार नाश्ते, दोपहर के भोजन या रात के खाने के साथ परोसें।</t>
  </si>
  <si>
    <t>https://www.archanaskitchen.com/rajasthani-gunde-ka-achaar-recipe-bird-lime-pickle</t>
  </si>
  <si>
    <t>Moong Dal Karara Recipe</t>
  </si>
  <si>
    <t>मूंग दाल करारा रेसिपी</t>
  </si>
  <si>
    <t>3/4 कप पीली मूंग दाल, 2 हरी मिर्च, 1/2 इंच अदरक - कटा हुआ, धनिया पत्ती - मुट्ठी भर, नमक - स्वादानुसार, 1/2 छोटा चम्मच इनोस फ्रूट सॉल्ट, सूरजमुखी तेल - पकौड़े तलने के लिए, 1/4 छोटा चम्मच हींग, 1/2 छोटा चम्मच जीरा, 1 इंच दालचीनी, 1 बड़ी इलायची, 1 इंच अदरक - बारीक कटा हुआ, 2 हरी मिर्च - कटी हुई, 1 कप दही, 1 छोटा चम्मच धनिया पाउडर, 1/2 छोटा चम्मच लाल मिर्च पाउडर, 1/2 छोटा चम्मच गरम मसाला पाउडर, धनिया पत्ती - सजाने के लिए</t>
  </si>
  <si>
    <t>3/4 cup Yellow Moong Dal (Split),2 Green Chillies,1/2 inch Ginger - chopped,Coriander (Dhania) Leaves - handful,Salt - to taste,1/2 teaspoon Enos fruit salt,Sunflower Oil - to fry pakodas,1/4 teaspoon Asafoetida (hing),1/2 teaspoon Cumin (Jeera) seeds,1 inch Cinnamon stick,1 Black cardamom (Badi Elaichi),1 inch Ginger - finely chopped,2 Green Chillies - chopped,1 cup Curd (Dahi / Yogurt),1 teaspoon Coriander (Dhania) Powder,1/2 teaspoon Red Chilli powder,1/2 teaspoon Garam masala powder,Coriander (Dhania) Leaves - to garnish</t>
  </si>
  <si>
    <t xml:space="preserve">To begin making Moong Dal Karara Recipe first soak moong dal for four to five hours.Strain the water from the soaked dal and add it to a mixer grinder along with green chillies, ginger, enos fruit salt and salt to make a coarse paste.Remove the ground moong dal paste into a big mixing bowl and add the coriander leaves. Whisk the moong dal mixture well for about three to four minutes until the batter fluffs up. This helps the pakoras to be light, crisp on the outside and soft on the inside. To fry the Moong dal pakorasHeat a paniyaram pan and add little oil in all the cavities. Drop a teaspoon of the moong dal batter in each of the cavities. Cook the moong dal pakoras on medium heat for a couple of minutes on each side till the pakoras are golden brown on the outside.Once it is golden brown and crisp remove them on absorbent paper and keep them aside. Note: Keep two tablespoons of the moong dal pakora batter aside to make the gravy. Add around 500 ml of water to this remaining batter and stir. Whisk the curd with the above batter and keep it aside.To make the gravy for the Moong Dal kararaPreheat a wok or a heavy bottomed pan and add oil. Once the oil is hot add the Asafoetida (hing), and the cumin seeds and let it crackle, add the cinnamon stick and the black cardamom. After the cinnamon and cardamom release the aromas add in all the dry masala, the turmeric powder, coriander powder, garam masala, chilli powder and saute. Add a tablespoon of water so that the dry powders do not burn.Add in the moong dal curd mixture stirring constantly to avoid any lumps from forming.Allow the moong dal mixture to come to a brisk boil until it form a smooth texture.Simmer the gravy and add the moong dal pakodas in the gravy and bring the Moong Dal karara to a boil again for about 2 minutes and turn off the heat.Check the salt and adjust to taste accordingly.Transfer the Moong Dal karara into a serving bowl; garnish Moong Dal karara with coriander leaves and serve hot. Serve Moong Dal karara with Rajasthani Khooba Roti, Carrot Cucumber Tomato Salad with Lemon and Coriander and  Aam Ka Achaar for a delicious meal.
</t>
  </si>
  <si>
    <t>मूंग दाल करारा रेसिपी बनाने के लिए सबसे पहले मूंग दाल को चार से पांच घंटे के लिए भिगो दें। भीगी हुई दाल से पानी निकाल दें और इसे मिक्सर ग्राइंडर में हरी मिर्च, अदरक, इनोस फ्रूट सॉल्ट और नमक के साथ डालकर दरदरा पेस्ट बना लें। पीसे हुए मूंग दाल के पेस्ट को एक बड़े मिक्सिंग बाउल में निकालें और उसमें धनिया पत्ती डालें। मूंग दाल के मिश्रण को लगभग तीन से चार मिनट तक अच्छी तरह से फेंटें जब तक कि घोल फूल न जाए। इससे पकौड़े हल्के, बाहर से कुरकुरे और अंदर से नरम बनते हैं। मूंग दाल के पकौड़े तलने के लिए एक पनियारम पैन गरम करें और सभी गड्ढों में थोड़ा तेल डालें। प्रत्येक गड्ढे में एक चम्मच मूंग दाल का घोल डालें। मूंग दाल के पकौड़ों को मध्यम आंच पर दोनों तरफ से दो मिनट तक पकाएं नोट: ग्रेवी बनाने के लिए मूंग दाल पकौड़े के घोल के दो बड़े चम्मच अलग रख दें। इस बचे हुए घोल में लगभग 500 मिली पानी डालें और मिलाएँ। दही को उपरोक्त घोल के साथ फेंटें और एक तरफ रख दें। मूंग दाल करारा की ग्रेवी बनाने के लिए एक कड़ाही या भारी तले की कढ़ाई गरम करें और उसमें तेल डालें। तेल गरम हो जाने पर उसमें हींग और जीरा डालें और उसे चटकने दें, फिर उसमें दालचीनी और बड़ी इलायची डालें। दालचीनी और इलायची की महक आने के बाद सारे सूखे मसाले, हल्दी पाउडर, धनिया पाउडर, गरम मसाला, मिर्च पाउडर डालें और भूनें। एक बड़ा चम्मच पानी डालें ताकि सूखा पाउडर जल न जाए। मूंग दाल दही मिश्रण डालें और लगातार चलाते रहें ताकि कोई गांठ न बने। मूंग दाल मिश्रण को तब तक उबलने दें जब तक यह चिकना न हो जाए। ग्रेवी को उबालें और ग्रेवी में मूंग दाल के पकौड़े डालें और मूंग दाल करारा को फिर से लगभग 2 मिनट तक उबालें और आँच बंद कर दें। नमक की जाँच करें और स्वादानुसार समायोजित करें। मूंग दाल करारा को एक सर्विंग बाउल में डालें; मूंग दाल करारा को धनिया पत्ती से गार्निश करें और गर्मागर्म परोसें। मूंग दाल करारा को राजस्थानी खूबा रोटी, गाजर ककड़ी टमाटर सलाद नींबू और धनिया के साथ और आम के अचार के साथ स्वादिष्ट भोजन के लिए परोसें।</t>
  </si>
  <si>
    <t>https://www.archanaskitchen.com/moong-dal-karara-recipe</t>
  </si>
  <si>
    <t>Rajasthani Kanji Vada Recipe</t>
  </si>
  <si>
    <t>राजस्थानी कांजी वड़ा रेसिपी</t>
  </si>
  <si>
    <t>1 कप पीली मूंग दाल - 2 घंटे भिगोई हुई, 1/2 कप अंकुरित हरे मूंग, 1 इंच अदरक - कद्दूकस किया हुआ, 2 हरी मिर्च - कटी हुई, 1 चम्मच सौंफ, सूरजमुखी का तेल - पकाने के लिए, करी पत्ते - थोड़े (वैकल्पिक), नमक - स्वादानुसार, 1/4 कप राई-कुरिया, 1 चम्मच काला नमक, 1 चम्मच लाल मिर्च पाउडर, 1/4 चम्मच हींग, नमक - स्वादानुसार</t>
  </si>
  <si>
    <t>1 cup Yellow Moong Dal (Split) - soaked for 2 hours,1/2 cup Green Moong Sprouts,1 inch Ginger - grated,2 Green Chillies - chopped,1 teaspoon Fennel seeds (Saunf),Sunflower Oil - for cooking,Curry leaves - few (optional),Salt - to taste,1/4 cup Mustard seeds - split (rai na kuria),1 teaspoon Black Salt (Kala Namak),1 teaspoon Red Chilli powder,1/4 teaspoon Asafoetida (hing),Salt - to taste</t>
  </si>
  <si>
    <t xml:space="preserve">To begin making the Rajasthani Kanji Vada Recipe, we will first make the Kanji. The kanji once made has to be fermented for at least 24 hours.Combine all the ingredients for the Kanji in the small jar of the blender to make a smooth powder. Transfer the powder to a large bowl that has a lid. Add 1-1/2 liters of water to the powder and stir well to combine. Check the salt and spices and adjust to suit your taste. Cover the Kanji water with a lid and refrigerate for 24 hours.Once you are ready to make the Kanji Vada's we will prepare to make the vada for this recipe.Make sure you have soaked the dal for atleast two hours. Drain the water.Add the soaked dal, the moon sprouts, ginger and green chiles into a food processor and grind to a smooth thick batter without adding any water.Next step is to pan fry the Vada. Heat a Kuzhi Paniyaram Pan on medium heat. Add a few drops of oil into each cavity. Spoon a portion of the vada and add it into the cavity. Cook the vadas evenly on both sides until golden brown on both sides and it is cooked from the inside.You can optionally cover the pan and cook the vadas. Proceed the same way with all the remaining vada batter.Heat a large bowl with water and warm it slightly. Once warm, turn off the heat. Soak the pan fried vadas in the water for about 1/2 an hour. This will soften the vadas as soon as they are fried. Very similar to the dahi vada.Drain off the excess water from the vada and place it in a large serving bowl. Pour the fermented Kanji water into the vadas and refrigerate for a couple of more hours until the vadas get soaked well in the spicy kanji water and serve.Serve the Rajasthani Kanji Vada Recipe as a tea time snack or as a side dish for parties.
</t>
  </si>
  <si>
    <t>राजस्थानी कांजी वड़ा रेसिपी बनाने के लिए, हम सबसे पहले कांजी बनाएंगे। एक बार बनी कांजी को कम से कम 24 घंटे तक किण्वित करना पड़ता है। ब्लेंडर के छोटे जार में कांजी के लिए सभी सामग्री को मिलाकर चिकना पाउडर बना लें। पाउडर को ढक्कन वाले एक बड़े कटोरे में डालें। पाउडर में 1-1/2 लीटर पानी डालें और अच्छी तरह से मिलाएँ। नमक और मसालों की जाँच करें और अपने स्वाद के अनुसार समायोजित करें। कांजी के पानी को ढक्कन से ढक दें और 24 घंटे के लिए फ्रिज में रख दें। एक बार जब आप कांजी वड़ा बनाने के लिए तैयार हो जाते हैं, तो हम इस रेसिपी के लिए वड़ा बनाने की तैयारी करेंगे। सुनिश्चित करें कि आपने दाल को कम से कम दो घंटे के लिए भिगोया है। पानी निथार लें। भिगोई हुई दाल, अंकुरित दाने, अदरक और हरी मिर्च को फूड प्रोसेसर में डालें और बिना पानी डाले चिकना गाढ़ा घोल बना लें। अगला कदम वड़ा को पैन में तलना है। मध्यम आँच पर कुझी पनियारम पैन गरम करें। प्रत्येक गुहा में तेल की कुछ बूँदें डालें। वड़े का एक हिस्सा चम्मच से लें और इसे कैविटी में डालें। वड़ों को दोनों तरफ से समान रूप से तब तक पकाएं जब तक कि वे दोनों तरफ से सुनहरे भूरे रंग के न हो जाएं और अंदर से पक न जाएं। आप चाहें तो पैन को ढककर वड़ों को पका सकते हैं। बचे हुए वड़ों के बैटर के साथ भी इसी तरह आगे बढ़ें। एक बड़े कटोरे में पानी गर्म करें और इसे थोड़ा गर्म करें। गर्म होने के बाद, आँच बंद कर दें। पैन में तले हुए वड़ों को लगभग 1/2 घंटे के लिए पानी में भिगोएँ। इससे वड़े तलते ही नरम हो जाएँगे। दही वड़े की तरह ही। वड़े से अतिरिक्त पानी निकाल दें और इसे एक बड़े सर्विंग बाउल में रखें। वड़ों में किण्वित कांजी पानी डालें और कुछ और घंटों के लिए फ्रिज में रख दें जब तक कि वड़े मसालेदार कांजी पानी में अच्छी तरह से भिगो न जाएँ और परोसें। राजस्थानी कांजी वड़ा रेसिपी को चाय के समय नाश्ते के रूप में या पार्टियों के लिए साइड डिश के रूप में परोसें।</t>
  </si>
  <si>
    <t>https://www.archanaskitchen.com/rajasthani-kanji-vada-recipe</t>
  </si>
  <si>
    <t>Bharma Baingan Ki Sabzi Recipe - Spicy Stuffed Brinjals</t>
  </si>
  <si>
    <t>भरमा बैंगन की सब्जी रेसिपी - मसालेदार भरवां बैंगन</t>
  </si>
  <si>
    <t>6 छोटे बैंगन,सूरजमुखी तेल - आवश्यकतानुसार,12 लहसुन - कलियाँ और उसका पेस्ट बना लें,3 प्याज,3 हरी मिर्च - पेस्ट,1/2 चम्मच अदरक - कद्दूकस किया हुआ,नमक - आवश्यकतानुसार,2 चम्मच जीरा पाउडर (जीरा),2 चम्मच गरम मसाला पाउडर,1 चम्मच आमचूर (सूखा आम पाउडर),1 टहनी पुदीना के पत्ते (पुदीना),नमक - आवश्यकतानुसार</t>
  </si>
  <si>
    <t>6 Small Brinjal (Baingan / Eggplant),Sunflower Oil - as required,12 Garlic - cloves and make a paste of it,3 Onions,3 Green Chillies - paste,1/2 teaspoon Ginger - grated,Salt - as required,2 teaspoons Cumin powder (Jeera),2 teaspoons Garam masala powder,1 teaspoon Amchur (Dry Mango Powder),1 sprig Mint Leaves (Pudina),Salt - as required</t>
  </si>
  <si>
    <t xml:space="preserve">To begin making the Bharma Baingan Ki Sabzi recipe, wash the brinjal well. Cut the brinjal into four peices keeping the stalk intact. Immerse these whole cut brinjal in salted water and set aside. For the Bharma Baingan filling Heat a pan on medium flame, with some oil, once hot, add garlic, ginger, green chilli, onions and fry till they are well roasted. This will take about 5 minutes. Turn off the flame, transfer the ingredients along with some salt into a mixer-jar and grind into a coarse mixture using no water at all. Transfer the masala into a bowl. divide the onion mixture into two bowls. Use one portion to stuff into the brinjals Now drain the brinjals which are immersed, pat dry the brinjals, and stuff the onion mixture into the slits. Heat a skillet with oil, on medium flame, place the stuffed brinjals and allow it to cook until the brinjals soften up. Cover and cook until it is done. Remove the cooked brinjal in a bowl and set aside. In the same pan, add the other portion of the onion masala, and add, cumin powder,  salt, garam masala powder, amchur powder, and finely chopped mint leaves. Mix well. To this mix add 1/3 cup of water and drop the cooked brinjal into this.Cook on high heat till the water evaporates and the masala has coated the brinjal well. Serve Bharma Baingan Ki Sabzi  with Panchmel Dal and hot Phulkas along with Beetroot, Carrot &amp; Cucumber Salad with Peanuts Recipe and Spring Onion and Peanut Raita Recipe for a perfect weekday meal.
</t>
  </si>
  <si>
    <t>भर्मा बैंगन की सब्जी बनाने के लिए सबसे पहले बैंगन को अच्छे से धो लें। डंठल को बरकरार रखते हुए बैंगन को चार टुकड़ों में काट लें। इन पूरे कटे हुए बैंगन को नमकीन पानी में भिगोकर अलग रख दें। भर्मा बैंगन के भरावन के लिए एक पैन को मध्यम आंच पर थोडा तेल डालकर गर्म करें, एक बार गर्म हो जाने पर इसमें लहसुन, अदरक, हरी मिर्च, प्याज डालें और अच्छी तरह भुनने तक भूनें। इसमें लगभग 5 मिनट का समय लगेगा। आंच बंद कर दें, सामग्री को थोड़े नमक के साथ मिक्सर-जार में डालें और बिना पानी का उपयोग किए दरदरा मिश्रण बना लें। मसाले को एक कटोरे में डालें। प्याज के मिश्रण को दो कटोरे में बाँट लें। एक भाग का उपयोग बैंगन में भरने के लिए करें अब डूबे हुए बैंगन को पानी से निकाल लें ढककर तब तक पकाएं जब तक यह पक न जाए। पके हुए बैंगन को एक कटोरे में निकालें और अलग रख दें। उसी पैन में प्याज मसाला का दूसरा भाग डालें और उसमें जीरा पाउडर, नमक, गरम मसाला पाउडर, अमचूर पाउडर और बारीक कटे पुदीने के पत्ते डालें। अच्छी तरह मिलाएँ। इस मिश्रण में 1/3 कप पानी डालें और पके हुए बैंगन को इसमें डालें। तेज आंच पर तब तक पकाएं जब तक पानी सूख न जाए और मसाला बैंगन पर अच्छी तरह से न लग जाए। भर्मा बैंगन की सब्जी को पंचमेल दाल और गर्म फुल्के के साथ चुकंदर, गाजर और खीरे का सलाद मूंगफली रेसिपी और स्प्रिंग अनियन और मूंगफली रायता रेसिपी के साथ परोसिए, जो एक बेहतरीन सप्ताह के दिन का भोजन है।</t>
  </si>
  <si>
    <t>http://www.archanaskitchen.com/bharma-baingan-aur-pyaaz-ki-sabzi-recipe-spicy-stuffed-brinjals-with-onions</t>
  </si>
  <si>
    <t>Recipe for Bada Makhan</t>
  </si>
  <si>
    <t>माखन बड़ा रेसिपी</t>
  </si>
  <si>
    <t>1/2 कप मैदा, 1/6 कप घी - आटे के लिए, घी - तलने के लिए (आवश्यकतानुसार), बेकिंग पाउडर - चुटकी भर, 1 बड़ा चम्मच दही - 1 बड़ा चम्मच, 2 बड़े चम्मच पिस्ता - कटे हुए, 1/4 छोटा चम्मच इलायची पाउडर (इलायची), 1 कप चीनी, 1/2 कप पानी</t>
  </si>
  <si>
    <t>1/2 cup All Purpose Flour (Maida),1/6 cup Ghee - for dough,Ghee - to deep fry (as required),Baking powder - a pinch,1 tablespoon Curd (Dahi / Yogurt) - Yogurt – 1 tablespoon,2 tablespoons Pistachios - chopped,1/4 teaspoons Cardamom Powder (Elaichi),1 cup Sugar,1/2 cup Water</t>
  </si>
  <si>
    <t xml:space="preserve">To begin making the Makhan Bada recipe, In a bowl, add maida, ghee, baking powder and mix it with your hands. Now add yogurt and make a dough like poori dough. Don’t add water and leave it for 10-15 minutes.Heat pan, add sugar, green cardamom powder and water and make one thread sugar syrup.Now divide the dough in small equal portions (i.e. size of small lemon). Round them, press each ball from the center with the help of finger.Heat ghee in a kadhai and deep fry the ball until golden brown and crisp. Drain on an absorbent paper.Soak badas in sugar syrup for 30 minutes. Take them out in a serving plate. Garnish with the chopped pistachios.Serve Makhan Bada as a dessert to your family after your festive meal of Aloo Gobhi Ki Sabzi, Boondi Raita and Puri.
</t>
  </si>
  <si>
    <t>मक्खन बड़ा रेसिपी बनाने के लिए सबसे पहले एक बाउल में मैदा, घी, बेकिंग पाउडर डालकर हाथों से मिला लें। अब इसमें दही डालकर पूरी के आटे जैसा आटा गूंथ लें। पानी न डालें और इसे 10-15 मिनट के लिए छोड़ दें। पैन गरम करें, उसमें चीनी, हरी इलायची पाउडर और पानी डालकर एक तार की चाशनी बनाएं। अब आटे को छोटे बराबर भागों में बांट लें (यानी छोटे नींबू के आकार का)। उन्हें गोल करें, प्रत्येक बॉल को उंगली की मदद से बीच से दबाएं। एक कढ़ाई में घी गर्म करें और बॉल को सुनहरा भूरा और कुरकुरा होने तक तल लें। एक सोखने वाले कागज पर निकाल लें। बड़ों को 30 मिनट के लिए चीनी की चाशनी में भिगो दें। इन्हें एक सर्विंग प्लेट में निकाल लें। कटे हुए पिस्ते से गार्निश करें। आलू गोभी की सब्जी, बूंदी रायता और पूरी के अपने त्योहारी भोजन के बाद अपने परिवार को मिठाई के रूप में मक्खन बड़ा परोसें।</t>
  </si>
  <si>
    <t>https://www.archanaskitchen.com/makhan-bada-recipe</t>
  </si>
  <si>
    <t>Aal Ke Kofte (Bottle Gourd Fritters In Spicy Gravy) Recipe</t>
  </si>
  <si>
    <t>आल के कोफ्ते (मसालेदार ग्रेवी में लौकी के पकौड़े) रेसिपी</t>
  </si>
  <si>
    <t>1 बड़ा चम्मच अदरक लहसुन का पेस्ट, 1/2 कप दही, 2 प्याज - पेस्ट, 2 तेज पत्ता, 2 काली इलायची, 1/2 इंच दालचीनी, 1 चम्मच लाल मिर्च पाउडर, 1/2 चम्मच हल्दी पाउडर, 1 चम्मच धनिया पाउडर, नमक - आवश्यकतानुसार, सूरजमुखी तेल - आवश्यकतानुसार, पानी - आवश्यकतानुसार, 2 टहनी धनिया (धनिया) के पत्ते - बारीक कटे हुए, 250 ग्राम लौकी - कद्दूकस की हुई, 1/2 कप बेसन, 1 चम्मच लाल मिर्च पाउडर, 2 हरी मिर्च - बारीक कटी हुई, नमक - आवश्यकतानुसार, पानी - आवश्यकतानुसार, सूरजमुखी तेल - आवश्यकतानुसार</t>
  </si>
  <si>
    <t>1 tablespoon Ginger Garlic Paste,1/2 cup Curd (Dahi / Yogurt),2 Onion - paste,2 Bay leaf (tej patta),2 Black cardamom (Badi Elaichi),1/2 inch Cinnamon Stick (Dalchini),1 teaspoon Red Chilli powder,1/2 teaspoon Turmeric powder (Haldi),1 teaspoon Coriander Powder (Dhania),Salt - as required,Sunflower Oil - as required,Water - as required,2 sprig Coriander (Dhania) Leaves - finely chopped,250 grams Bottle gourd (lauki) - grated,1/2 cup Gram flour (besan),1 teaspoon Red Chilli powder,2 Green Chillies - finely chopped,Salt - as required,Water - as required,Sunflower Oil - as required</t>
  </si>
  <si>
    <t xml:space="preserve">To begin making the Aal Ke Kofte recipe, firstly we will begin with preparing the koftas.Mix all the ingredients mentioned under ‘for koftas’ in a mixing bowl. Mix them properly. Add a little water to bring the mixture together.Once it is done, make round shaped pakoras out of it and deep fry them in a deep frying pan.When they turn brown from both the sides, take them out to on a kitchen towel to absorb the extra oil. Follow the same process for the reaming mixture and keep them aside.Heat oil in a heavy bottomed pan and add cloves, badi elaichi, tej patta and dal chini.After a minute add the ginger garlic paste and cook it tell the raw smell goes from the mixture.Once it is done add the onion paste and let it cook for 5 to 8 minutes.After 5 to 8 minutes, add red chilli powder, turmeric powder, coriander powder and the required salt. Let it cook for 5 minutes.After 5 minutes, bring the flame to low and add the curd.Mix well and add the required amount of water. Mix well and let it cook till the gravy gets a little thick.Once it is done, add the fried kofta and let it cook for 2 to 3 minutes more.After 2 to 3 minutes, switch off the stove and garnish it with chopped coriander leaves.Serve Aal Ke Kofte with Lauki Raita and Tawa Parathas for a perfect weekday meal.
</t>
  </si>
  <si>
    <t>आल के कोफ्ते बनाने की विधि शुरू करने के लिए, सबसे पहले हम कोफ्ते तैयार करेंगे। एक मिक्सिंग बाउल में ‘कोफ्ते के लिए’ के अंतर्गत बताई गई सभी सामग्री को मिला लें। इन्हें अच्छी तरह मिला लें। मिश्रण को एक साथ लाने के लिए थोड़ा पानी डालें। जब यह हो जाए, तो इसके गोल आकार के पकौड़े बनाएं और उन्हें एक गहरे फ्राइंग पैन में तल लें। जब वे दोनों तरफ से भूरे हो जाएं, तो उन्हें अतिरिक्त तेल को सोखने के लिए किचन टॉवल पर निकाल लें। बचे हुए मिश्रण के लिए भी यही प्रक्रिया अपनाएँ और उन्हें एक तरफ रख दें। एक भारी तले की कड़ाही में तेल गर्म करें और उसमें लौंग, बड़ी इलाइची, तेज पत्ता और दाल चीनी डालें। एक मिनट के बाद अदरक लहसुन का पेस्ट डालें और इसे तब तक पकाएँ जब तक कि मिश्रण से कच्ची महक न चली जाए। एक बार जब यह हो जाए तो इसमें प्याज का पेस्ट डालें और इसे 5 से 8 मिनट तक पकने दें इसे 5 मिनट तक पकने दें। 5 मिनट के बाद, आंच धीमी कर दें और दही डालें। अच्छी तरह मिलाएँ और ज़रूरत के हिसाब से पानी डालें। अच्छी तरह मिलाएँ और तब तक पकाएँ जब तक ग्रेवी थोड़ी गाढ़ी न हो जाए। एक बार जब यह पक जाए, तो तले हुए कोफ्ते डालें और इसे 2 से 3 मिनट और पकने दें। 2 से 3 मिनट के बाद, चूल्हे को बंद कर दें और इसे कटी हुई धनिया पत्ती से गार्निश करें। आल के कोफ्ते को लौकी रायता और तवा पराठों के साथ सर्व करें।</t>
  </si>
  <si>
    <t>https://www.archanaskitchen.com/aal-ke-kofte-bottle-gourd-fritters-in-spicy-gravy-recipe</t>
  </si>
  <si>
    <t>Laal Maas Biryani Recipe - Laal Maas Biryani Recipe</t>
  </si>
  <si>
    <t>लाल मास बिरयानी रेसिपी - लाल मास बिरयानी रेसिपी</t>
  </si>
  <si>
    <t>500 ग्राम मटन - बोन के साथ, 1/2 कप दही, 2 छोटा छोटा जीरा पाउडर, 2 छोटा मसाला पाउडर,नमक - स्वाद के लिए, 2 ताहिनी हरा धनिया - कट कप ले, चारकोल - स्मोक करने के लिए, 1/4 घी, 1 बड़ी इलाइची, 2 इलाइची, 1 इंच पिसा हुआ ले, 2 बड़ी, 2 प्याज - मसाला और तीखा कट ले, 2 बड़ी पिज्जा - पेस्ट बना ले, 2 बड़ी हरी मिर्च - पेस्टी बना ले, नमक - स्वाद के अनुसार, 2 हरी मिर्च - पिस्ता कट ले, 2 बड़ी इलाइची, 2 बड़ी इलाइची, 1 इंच दालचीनी, 2 बड़ी, 2 प्याज - मसाला और तीखा कट ले, 2 बड़ी मिर्च पाउडर - पेस्ट बना ले, 2 बड़ी हरी मिर्च - मसाला कट ले, नमक - स्वाद के अनुसार, 2 हरी मिर्च - पिस्ता कट ले, 2 बड़ी इलाइची, 1 बड़ी मिर्च पाउडर, 1/2 छोटी हल्दी पाउडर, 2 कप चावल - ढोकर 30 मिनट के लिए पतला ले, 1/4 कप हरा कप धनिया - गरमा गरम काट ले, 1/4 कप पुदीना - गरमा गरम काट ले</t>
  </si>
  <si>
    <t>500 gm mutton - with bone, 1/2 cup yogurt, 2 tsp cumin powder, 2 tsp coriander powder, 2 tbsp ginger garlic paste, salt - as per taste, 10 dry kashmiri chillies - hot water for 20 minutes Soak in, 1 teaspoon cumin, 2 big cardamom, 3 cardamom, 1 inch cinnamon, 3 long, 1 bay leaf, 1 tbsp ghee, 3 onions - thin and cut straight, 1 tsp garam masala powder, salt - 2 sprig coriander - chopped, charcoal - to smoke, 1/4 cup ghee, 1 bay leaf, 2 dry kashmiri chillies, 1 big cardamom, 2 cardamom, 1 inch cinnamon, 2 long, 2 onions - as per taste Chop thin and straight, make 2 tablespoons ginger - paste, 2 tablespoons garlic - make paste, salt - as per taste, 2 green chillies - cut straight, 2 tsp coriander powder, 1 tbsp Kashmiri red chili powder , 1/2 teaspoon turmeric powder, 2 cups rice - washed and soaked for 30 minutes, 1/4 cup green coriander - finely chopped, 1/4 cup mint - finely chopped</t>
  </si>
  <si>
    <t>To make Laal Maas Biryani recipe, first we will make Laal Maas. * To make Laal Maas: First of all soak dry Kashmiri red chillies in lukewarm water for 10 minutes. Now heat water in a saucepan. After it starts boiling, reduce the flame of the gas and add Kashmiri red chillies, cumin seeds, big cardamom, cardamom, cinnamon, cloves and bay leaves. Let it boil for 5 to 7 minutes. Turn off the gas and remove the water and keep it in a bowl. Let the whole spices cool down. After cooling, put them in a mixer grinder with some water and grind to make a paste. Take it out in a bowl and keep it aside. For marinating, take mutton, curd, ground masala, cumin powder, coriander powder, turmeric powder, salt, ginger garlic paste in a mixing bowl and mix well. Keep it aside for 30 minutes. * To make curry: Heat ghee in a pan. Add onions and cook till they turn brown. This will take atleast 10 minutes. Now add ginger garlic paste and cook for next 1 minute. Now add marinated mutton and mix it well. Add salt, 1/2 cup water and cook for 25 minutes or till mutton is 85% cooked. Turn off the gas and place heated coal in a bowl in the middle of the pan. Pour ghee on it and close the pan. After 3 to 4 minutes, open the pan and take out the coal. Now add garam masala powder and mix it well. Turn off the gas and keep it aside. * Now to make Red Meat Biryani: Now heat ghee in a pressure cooker. Add bay leaves, Kashmiri red chillies, cardamom, big cardamom, cloves, cinnamon and cook for 1 minute. Now add onions and cook till it becomes light brown. After onions turn brown add ginger garlic paste, green chilies, salt and cook for 1 to 2 minutes. Now add coriander powder, turmeric powder, Kashmiri red chili powder and cook for 2 minutes. Now add red meat curry, rice, 4 cups water, salt according to taste, coriander leaves, mint and mix well. Close the cooker and cook for 2 to 3 whistles. Turn off the gas and let the pressure release. Open the cooker, mix and serve. Serve Laal Maas Biryani Recipe with Coriander Tadka Raita, Mint Onion Kachumber Salad and Papad for a weekend dinner.</t>
  </si>
  <si>
    <t xml:space="preserve">लाल मास बिरयानी रेसिपी बनाने के लिए सबसे पहले हम लाल मॉस मिर्च बनाते हैं। अब एकपैन में पानी गरम करें। 5 से 7 मिनट तक 5 से 7 मिनट तक स्टॉल लगाने दे। गैस बंद करो और पानी निकाल कर एक बाउल में रख दे। आखिरी मसलो को तहंदा होने दे. ठंडा होने के बाद एक मिक्सर ग्राइंडर में तुरंत पानी डाला और पीस कर पेस्ट बना लिया. एक बाउल में और अलग से रख ले। मेरिनेट करने के लाइट एक मिक्सिंग बाउल में मट्टन, दही, पिसा हुआ मसाला, जीरा पाउडर, धनिया पाउडर, हल्दी पाउडर, नमक, अदरक लहसुन का पेस्ट डाला और अच्छी तरह से मिला लिया। 30 मिनट के लिए अलग से रख ले. * केरी बनाने के लिए: एक रोटी में घी गर्म करें. इसमें प्याज और ब्राउन होने तक पका ले। कम से कम 10 मिनट तक प्रोविजनल। अब इसमें सिंगर लहसुन का पेस्ट डाला और अगले 1 मिनट तक पका ले। अब इसमें मेरिनेट किआ हुआ मटन डाला और अच्छी तरह से मिला ले। 1/2 कप पानी डालें और 25 मिनट तक या मटन के 85% नमक तक पका लें। गैस बंद करो और बिच में एक कटोरी में गरम किया हुआ कोयला रख ले. इस पर घी डाल कर प्लेट बंद कर ले. 3 से 4 मिनट के बाद फैक्ट्री और कोयला निकाल लिया गया। अब इसमें गर्म मसाला पाउडर डाला गया है और अच्छी तरह से मिला लिया गया है। गैस बंद करें और अलग से रख दें. *अब लाल मॉस बिरयानी बनाने के लिए :अब एक टुकड़ा कुकर में घी गर्म करें। अब इसमें पेज डाला गया है और रंगीन होने तक पका ले। प्याज के भूरे होने के बाद इसमें अदरक लहसुन का पेस्ट, हरी मिर्च, नमक डाला और 1 से 2 मिनट के लिए पका ले. अब इसमें धनिया पाउडर, हल्दी पाउडर, आठवीं लाल मिर्च पाउडर डाला और 2 मिनट के लिए पका ले. अब इसमें लाल मोस कैरी, चावल, 4 कप पानी, स्वादानुसार नमक, हरा धनियां, पुदीना डाला और अच्छी तरह से मिला लिया. कुकर को बंद करो और 2 से 3 शहर आने तक पका ले। गैस बंद करो और दुकानें छोड़ दो। कुकर कंपनी, मिलाए और टोकरी। लाल मास बिरयानी रेसिपी को धनिए वाला तड़का रायता, पुदीना प्याज कचुम्बर केक और पापड़ के साथ सप्ताह के अंत में खाने के लिए खरीदे। 
</t>
  </si>
  <si>
    <t>https://www.archanaskitchen.com/laal-maas-biryani-recipe-in-hindi</t>
  </si>
  <si>
    <t>Rajasthani Dal Bati Churma Recipe | Dhaba Style recipe</t>
  </si>
  <si>
    <t>राजस्थानी दाल बाटी चूरमा रेसिपी | ढाबा स्टाइल रेसिपी</t>
  </si>
  <si>
    <t>2 कप गेहूं का आटा - (या आटे का एक संयोजन), 1 कप सूजी (सूजी / रवा), 1/2 कप घी, 1 चम्मच अजवाइन (कैरम के बीज), 1 चम्मच बेकिंग पाउडर, नमक - स्वादानुसार, 1/4 कप गुड़ - चूरमा के लिए, 1/4 कप हरी मूंग दाल (विभाजित), 1/4 कप काली उड़द दाल (विभाजित), 1/4 कप चना दाल (बंगाल ग्राम दाल), 1 प्याज - बारीक कटा हुआ, 1 इंच अदरक - बारीक कटा हुआ, 1 हरी मिर्च - चीरा हुआ, 3 लौंग लहसुन - बारीक कटा हुआ, 1 टमाटर - बारीक कटा हुआ, 1 तेज पत्ता (तेज पत्ता), 1 इंच दालचीनी (दालचीनी), 1 चम्मच हल्दी पाउडर (हल्दी), 1 चम्मच गरम मसाला पाउडर, 5 टहनी धनिया (धनिया) पत्तियां - कटी हुई, 1 चम्मच घी, 1 चम्मच जीरा (जीरा), 2 सूखी लाल मिर्च -</t>
  </si>
  <si>
    <t>2 cups Whole Wheat Flour - (or a combination of flours),1 cup Sooji (Semolina/ Rava),1/2 cup Ghee,1 teaspoon Ajwain (Carom seeds),1 teaspoon Baking powder,Salt - to taste,1/4 cup Jaggery - for churma,1/4 cup Green Moong Dal (Split),1/4 cup Black Urad Dal (Split),1/4 cup Chana dal (Bengal Gram Dal),1 Onion - finely chopped,1 inch Ginger - finely chopped,1 Green Chilli - slit,3 clove Garlic - finely chopped,1 Tomato - finely chopped,1 Bay leaf (tej patta),1 inch Cinnamon Stick (Dalchini),1 teaspoon Turmeric powder (Haldi),1 teaspoon Garam masala powder,5 sprig Coriander (Dhania) Leaves - chopped,1 teaspoon Ghee,1 teaspoon Cumin seeds (Jeera),2 Dry Red Chillies - halved</t>
  </si>
  <si>
    <t xml:space="preserve">To begin making the Dal Baati Churma Recipe, we will first making the bati.Combine all the ingredients for the Bati together, except the jaggery until well combined. Add water to combine it well and make a smooth and yet stiff dough. Leave the bati dough aside for 20 minutes so it rests and becomes fluffy with the baking powder that we added. Once the baat dough is well rested, knead again for a few minutes. Divide the dough in large lemon size portions (about 12 to 15 of them). Preheat the oven to 180 C and bake the bati in the oven for about 20 to 30 minutes until browned on both sides.Make sure to keep turning the baatis around, until it is browned from all sides. The batis will tend to crack from the top while it is baking and that's completely natural. Once the batis are golden brown in color from all sides, remove them from the oven.For the churma, I usually make it from the same baked bati balls. Take 3 to 4 of them, crush them and combine them with jaggery in a mixer to make a coarse powder. And that's it, churma is ready. The salt from the batis does not overwhelm the taste and tastes perfectly fine.The next step is to make the dal for the dal bati. To make the dal, add all the ingredients into the pressure cooker, except the ingredients for the tadkaAdd 2-1-/2 cups of water and pressure-cook the dal for two to three whistles. After two whistles, turn the heat to low and simmer for 10 minutes and turn off the heat.Once the pressure is released completely, open the cooker and your dal is ready. Check the salt and spices and adjust to suit your taste. Transfer the dal to a serving bowl.The next step is to make the tadka. Heat ghee in a small pan, add the cumin seeds and red chilies. Allow them to roast and crackle. Once done, turn off the heat and pour the seasoning over the dal and serve with the hot baatis.Serving baatis are usually done in individual portions and bowls.In a small serving bowl, add 2 batis, lightly crush them, drizzle some ghee over the baked baatis. Pour the dal over the baked baatis and serve. I personally like to add the churma over the baatis as well to give it a sweet touch and a delicious taste as well.Serve the Rajasthani Dal Bati Churma for a wholesome weekend lunch or even for parties with friends.
</t>
  </si>
  <si>
    <t>दाल बाटी चूरमा रेसिपी बनाने के लिए सबसे पहले हम बाटी बनाएंगे। गुड़ को छोड़कर बाटी की सारी सामग्री को एक साथ मिला लें। अच्छी तरह मिलाने के लिए पानी डालें और चिकना मगर सख्त आटा गूंथ लें। बाटी के आटे को 20 मिनट के लिए अलग रख दें ताकि वह आराम कर सके और बेकिंग पाउडर के साथ फूल जाए। जब ​​बाट का आटा अच्छी तरह आराम कर ले तो उसे कुछ मिनट के लिए फिर से गूंद लें। आटे को बड़े नींबू के आकार के भागों में विभाजित करें (उनमें से लगभग 12 से 15)। ओवन को 180 डिग्री सेल्सियस पर पहले से गरम करें और बाटी को ओवन में लगभग 20 से 30 मिनट तक दोनों तरफ से भूरा होने तक बेक करें। सुनिश्चित करें कि बाटी को तब तक पलटते रहें जब तक कि वह सभी तरफ से भूरा न हो जाए। उनमें से 3 से 4 लें, उन्हें कुचल दें और एक मोटे पाउडर बनाने के लिए मिक्सर में गुड़ के साथ मिलाएं। और बस, चूरमा तैयार है। बाटी का नमक स्वाद को खराब नहीं करता है और पूरी तरह से अच्छा स्वाद देता है। अगला कदम दाल बाटी के लिए दाल बनाना है। दाल बनाने के लिए, तड़के की सामग्री को छोड़कर, सभी सामग्री को प्रेशर कुकर में डालें, 2-1-/2 कप पानी डालें और दाल को दो से तीन सीटी आने तक पकाएँ। दो सीटी आने के बाद, आँच को कम कर दें और 10 मिनट तक उबालें और आँच बंद कर दें। जब प्रेशर पूरी तरह से निकल जाए, तो कुकर खोलें और आपकी दाल तैयार है। नमक और मसाले की जाँच करें और अपने स्वाद के अनुसार समायोजित करें। दाल को एक सर्विंग बाउल में निकाल लें। अगला कदम तड़का लगाना है। एक छोटे पैन में घी गरम करें, उसमें जीरा और लाल मिर्च डालें। उन्हें भुनने और चटकने दें। एक बार हो जाने पर, आँच बंद कर दें और दाल पर मसाला डालें और गरम बाटियों के साथ परोसें। बाटियों को आम तौर पर अलग-अलग हिस्सों और कटोरों में परोसा जाता है। एक छोटे से परोसने वाले कटोरे में, 2 बाटियाँ डालें, उन्हें हल्का सा कुचलें, पके हुए बाटियों पर थोड़ा घी डालें। पके हुए बाटियों पर दाल डालें और परोसें। मैं व्यक्तिगत रूप से बाटियों पर चूरमा डालना पसंद करता हूँ ताकि इसे एक मीठा स्पर्श और स्वादिष्ट स्वाद मिले। राजस्थानी दाल बाटी चूरमा को एक पौष्टिक सप्ताहांत दोपहर के भोजन के लिए या दोस्तों के साथ पार्टियों के लिए भी परोसें।</t>
  </si>
  <si>
    <t>https://www.archanaskitchen.com/rajasthani-dal-baati-churma-recipe</t>
  </si>
  <si>
    <t>Pitor Ki Sabzi Recipe</t>
  </si>
  <si>
    <t>पिटोर की सब्जी रेसिपी</t>
  </si>
  <si>
    <t>1-1/2 कप बेसन, 1/2 कप दही - अच्छी तरह से फेंटा हुआ, 2-1/2 कप पानी, 3/4 चम्मच हरी मिर्च - कुटी हुई, 1 चम्मच अदरक - कसा हुआ, 1/2 चम्मच हल्दी पाउडर, नमक - स्वादानुसार, 1 बड़ा चम्मच सूरजमुखी तेल, 1 चम्मच जीरा, हींग, सूरजमुखी तेल - हल्का तलने के लिए, 1 चम्मच जीरा, 2-3 सूखी लाल मिर्च, 200 ग्राम दही - अच्छी तरह से फेंटा हुआ, 1/2 चम्मच हरी मिर्च - कटी हुई, 1 चम्मच लाल मिर्च पाउडर, 1/2 चम्मच हल्दी पाउडर, नमक - स्वादानुसार</t>
  </si>
  <si>
    <t>1-1/2 cup Gram flour (besan),1/2 cup Curd (Dahi / Yogurt) - whisked well,2-1/2 cups Water,3/4 teaspoon Green Chilli - crushed,1 teaspoon Ginger - grated,1/2 teaspoon Turmeric powder (Haldi),Salt - to taste,1 tablespoon Sunflower Oil,1 teaspoon Cumin seeds (Jeera),Asafoetida (hing),Sunflower Oil - for shallow frying,1 teaspoon Cumin seeds (Jeera),2-3 Dry Red Chillies,200 grams Curd (Dahi / Yogurt) - whisked very well,1/2 teaspoon Green Chillies - chopped,1 teaspoon Red Chilli powder,1/2 teaspoon Turmeric powder (Haldi),Salt - to taste</t>
  </si>
  <si>
    <t xml:space="preserve">To begin with Pitor Ki Sabzi, we will firstly make pitors. In a large mixing bowl, add besan, yogurt, water, ginger, green chilies and mix everything well to form lump free batter.Heat oil in a deep pan or kadhai, add cumin seeds and allow it to crackle. Add hing and mix.Increase the heat to high and carefully add the besan batter and whisk it continuously to avoid lump formation. Cook the batter until it gets thick and starts leaving the pan.Immediately, transfer the batter on a greased plate or thali and level it up with the help of a flat spoon.Cool the prepared pitor for 45 mins or until it is ready to be cut into pieces.Now, cut the pitor depending upon the shape and size you prefer to make.Heat little oil in a broad flat pan and shallow fry the pitors from both the sides until brown and crisp. Keep the fried pitor aside.The next step is to make the curry. In a bowl, add curd, red chili powder, haldi powder and coriander powder. Beat the mixture very well.Heat oil in a kadhai, add cumin seeds and allow it to crackle. Add broken red chilies and fry for a few seconds. Add green chilies and fry for few more seconds.Reduce the heat to low and add the curd mixture and whisk continuously until everything blends well and the spices are cooked.Add water according to the thickness of the gravy you prefer and bring it to a boil. Add salt and simmer the gravy for about 15 mins.Add fried pitors and simmer for another 3 to 4 mins. Be gentle to avoid breaking the pitors. After 3-4 minutes, switch off the heat and it is ready to be served.Serve Pitor Ki Sabzi with steamed rice or Whole Wheat Lachha Paratha and Lauki raita for a complete meal.
</t>
  </si>
  <si>
    <t>पिटोर की सब्ज़ी बनाने के लिए, हम सबसे पहले पिटोर बनाएंगे। एक बड़े मिक्सिंग बाउल में बेसन, दही, पानी, अदरक, हरी मिर्च डालें और सभी चीजों को अच्छी तरह से मिलाएँ ताकि गांठ रहित घोल तैयार हो जाए। एक गहरे पैन या कढ़ाई में तेल गरम करें, उसमें जीरा डालें और उसे चटकने दें। हींग डालें और मिलाएँ। आँच को तेज़ करें और ध्यान से बेसन का घोल डालें और गांठ बनने से बचाने के लिए इसे लगातार फेंटें। घोल को तब तक पकाएँ जब तक यह गाढ़ा न हो जाए और पैन से अलग न होने लगे। तुरंत, घोल को एक चिकनी प्लेट या थाली में डालें और एक चपटे चम्मच की मदद से इसे समतल करें। तैयार पिटोर को 45 मिनट के लिए ठंडा करें या जब तक यह टुकड़ों में काटने के लिए तैयार न हो जाए। अब, अपनी पसंद के आकार और आकार के अनुसार पिटोर को काटें। एक चौड़े चपटे पैन में थोड़ा तेल गरम करें और पिटोर को दोनों तरफ से भूरा और कुरकुरा होने तक तल लें। तले हुए पिटोर को एक तरफ रख दें। अगला कदम करी बनाना है। एक बाउल में दही, लाल मिर्च पाउडर, हल्दी पाउडर और धनिया पाउडर डालें। मिश्रण को अच्छी तरह से फेंटें। एक कढ़ाई में तेल गर्म करें, उसमें जीरा डालें और उसे चटकने दें। टूटी हुई लाल मिर्च डालें और कुछ सेकंड के लिए भूनें। हरी मिर्च डालें और कुछ सेकंड के लिए भूनें। आँच को कम कर दें और दही का मिश्रण डालें और लगातार चलाते रहें जब तक कि सब कुछ अच्छी तरह से मिल न जाए और मसाले पक न जाएँ। अपनी पसंद की ग्रेवी के गाढ़ेपन के अनुसार पानी डालें और उबाल आने दें। नमक डालें और ग्रेवी को लगभग 15 मिनट तक उबालें। तले हुए पिटोर डालें और 3 से 4 मिनट तक उबालें। पिटोर टूटने से बचाने के लिए धीरे-धीरे पकाएँ। 3-4 मिनट के बाद, आँच बंद कर दें और यह परोसने के लिए तैयार है। पिटोर की सब्जी को उबले हुए चावल या गेहूं के लच्छा पराठे और लौकी के रायते के साथ संपूर्ण भोजन के लिए परोसें।</t>
  </si>
  <si>
    <t>http://www.archanaskitchen.com/pitor-ki-sabzi-recipe</t>
  </si>
  <si>
    <t>Rajasthani Sev Tamatar Ki Sabzi Recipe – Rajasthani Sev Tamatar Ki Sabzi (Recipe In Hindi)</t>
  </si>
  <si>
    <t>राजस्थानी सेव टमाटर की सब्जी रेसिपी - राजस्थानी सेव टमाटर की सब्जी (रेसिपी इन हिंदी)</t>
  </si>
  <si>
    <t>तेल - प्रयोग के अनुसार, 1/2 कप सेव - कोई भी प्रयोग करें,1/2 छोटा चमच्च रायज,1/2 छोटा चमच्च जीरा,हींग -पिंचल भर,1 बड़ा चमच्च अदरक का पेस्ट,2 हरी मिर्च -चपटा लहसुन का पेस्ट ले,2 प्याज -सला कट ले,2 टमाटर -काट ले,1/2 छोटा चमच्च हल्दी पाउडर,1/4 छोटा चमच्च लाल मिर्च पाउडर,1/2 छोटा चमच्च लाल मिर्च पाउडर,1 छोटा चमच्चा लाल मिर्च पाउडर,1 छोटा चमच्च धनिया,नमक - प्रयोग 1,1 छोटा चमच्च ले, निम्बू का रस, पानी - प्रयोग के अनुसार, 3 ताहनी हरा धनिया - नीबू का रस ले</t>
  </si>
  <si>
    <t>Oil - as per use, 1/2 cup save - use any, 1/2 teaspoon mustard, 1/2 teaspoon cumin seeds, asafetida - a pinch, 1 tablespoon ginger garlic paste, 2 green chillies - finely chopped , 2 onions - finely chopped, 2 tomatoes - chopped, 1/2 teaspoon turmeric powder, 1/4 teaspoon red chilli powder, 1/2 teaspoon Kashmiri red chilli powder, 1 teaspoon coriander powder, salt - use According, 1 teaspoon lemon juice, water - as per use, 3 sprig of green coriander - finely chopped</t>
  </si>
  <si>
    <t>To make Rajasthani Sev Tomato Sabzi, heat oil in a pan. Add mustard seeds, cumin seeds, asafoetida and let it cook for 10 seconds. After 10 seconds, add green chillies and garlic ginger paste. Let it cook for 20 to 30 seconds. After 20 to 30 seconds, add chopped onions and cook till they become soft. After they become soft, add chopped tomatoes. Mix everything well and cook till tomatoes become soft. After they become soft, add turmeric powder, red chilli powder, Kashmiri red chilli powder, coriander powder and salt in the pan. Mix well and cook for 4 to 5 minutes. After 4 to 5 minutes, add some water. Let it cook for next 5 minutes. After 5 minutes, add sev, lemon juice and mix everything. Cook for another 30 seconds, turn off the gas and garnish with green coriander. Rajasthani Sev Tomato vegetable is cooked with Rajasthani Kadhi, Kachumber Salad and Roti.</t>
  </si>
  <si>
    <t xml:space="preserve">राजस्थानी सेव टमाटर की सब्जी बनाने के लिए, एक मसाले में तेल गरम कर ले. राय, जीरा, हिंग डाला और 10 सेकंड तक मसाला दे दिया। 10 सेकंड के बाद, इसमें हरी मिर्च और लहसुन अदरक का पेस्ट डाला गया। इसे 20 से 30 सेकंड तक मसाला दे. 20 से 30 सेकंड बाद इसमें कट लगाए गए और उन्हें नग्न होने तक पकाया गया। नर होने के बाद, इसमें कटे हुए टमाटर डाले गए। सबको अच्छी तरह से मिला और टमाटर के नरम होने तक पकाए। नरम होने के बाद मसाले में हल्दी पाउडर, लाल मिर्च पाउडर, हल्दी लाल मिर्च पाउडर, धनिया पाउडर और नमक डाला गया। अच्छे से मिला ले और 4 से 5 मिनट तक पकाए। 4 से 5 मिनट के बाद इसमें छोटा सा पानी डाला गया। अगले 5 मिनट तक मसाला दे. 5 मिनट के बाद इसमें सेव, निम्बू का रास डाला और भाई मिला ले। 30 सेकंड के लिए और पकाएं, गैस बंद करें और हरे धनिए से गार्निश करें। राजस्थानी सेव टमाटर की सब्जी, राजस्थानी कढ़ी, कचुम्बर की सब्जी और रोटी के साथ बनाई जाती है मसाला.
</t>
  </si>
  <si>
    <t>https://www.archanaskitchen.com/rajasthani-sev-tamatar-ki-sabzi-recipe-in-hindi</t>
  </si>
  <si>
    <t>Wheat Bikaneri Khichdi Recipe (Wheat Kernel And Moong Dal Khichdi)</t>
  </si>
  <si>
    <t>गेहूं की बीकानेरी खिचड़ी रेसिपी (गेहूं की गिरी और मूंग दाल की खिचड़ी)</t>
  </si>
  <si>
    <t>1 कप गेहूं के दाने, 1/4 कप पीली मूंग दाल, 1 बड़ा चम्मच घी, 1/2 छोटा चम्मच जीरा, 2 हरी मिर्च - कटी हुई, 1/4 छोटा चम्मच हींग, 1 इंच दालचीनी, नमक - स्वादानुसार</t>
  </si>
  <si>
    <t>1 cup Wheat Berries/ Whole Wheat,1/4 cup Yellow Moong Dal (Split),1 tablespoon Ghee,1/2 teaspoon Cumin seeds (Jeera),2 Green Chillies - slit,1/4 teaspoon Asafoetida (hing),1 inch Cinnamon Stick (Dalchini),Salt - to taste</t>
  </si>
  <si>
    <t xml:space="preserve">To begin making the Gehun ki Bikaneri Khichdi Recipe, we will soak the gehun (whole wheat) in water for at least 8 hours or overnight. Once soaked, drain the water. Blend the wheat in a mixer to a coarse mixture.Add the soaked wheat, moong dal, and all the other remaining ingredients into the pressure cooker.Add 3-1/2 cups of water, add the salt to taste, cover the cooker, and allow it to cook until you hear 3 to 4 whistles.Turn the heat to low after 3 to 4 whistles and allow it to cook on low heat for another 3 to 4 minutes.Once done, turn off the heat and allow the pressure to release naturally.Heat a pan for preparing the tadka ,once done pour it over the Khichidi and serve warm.Serve the Gehun ki Bikaneri Khichdi along with Marwadi Gatte ki Kadhi Recipe for a wholesome lunch or dinner.
</t>
  </si>
  <si>
    <t>गेहूँ की बीकानेरी खिचड़ी रेसिपी बनाने के लिए, हम गेहूँ को कम से कम 8 घंटे या रात भर पानी में भिगोएँगे। भिगोने के बाद, पानी निकाल दें। गेहूँ को मिक्सर में पीसकर दरदरा मिश्रण बना लें। भीगे हुए गेहूँ, मूंग दाल और बाकी बची हुई सामग्री को प्रेशर कुकर में डालें। 3-1/2 कप पानी डालें, स्वादानुसार नमक डालें, कुकर को ढक दें और 3 से 4 सीटी आने तक पकने दें। 3 से 4 सीटी आने के बाद आँच धीमी कर दें और इसे धीमी आँच पर 3 से 4 मिनट तक पकने दें। पकने के बाद, आँच बंद कर दें और प्रेशर को अपने आप निकलने दें। तड़का लगाने के लिए पैन गरम करें, तड़का लगाने के बाद इसे खिचड़ी के ऊपर डालें और गरमागरम परोसें। गेहूँ की बीकानेरी खिचड़ी को मारवाड़ी गट्टे की कढ़ी के साथ लंच या डिनर के लिए सर्व करें।</t>
  </si>
  <si>
    <t>https://www.archanaskitchen.com/gehun-ki-bikaneri-khichdi-recipe-wheat-kernel-and-moong-dal-khichdi</t>
  </si>
  <si>
    <t>Baked Stuffed Baati With Churma And Panchratna Dal Recipe</t>
  </si>
  <si>
    <t>चूरमा और पंचरत्न दाल के साथ बेक की हुई भरवां बाटी रेसिपी</t>
  </si>
  <si>
    <t>1 कप गेहूं का आटा, 1/4 कप सूजी, 4 बड़े चम्मच घी - पिघला हुआ, 1/2 कप कैस्टर शुगर, 1 बड़ा चम्मच बादाम - कटा हुआ, 1 बड़ा चम्मच पिस्ता - कटा हुआ, 1/4 कप चना दाल, 1/4 कप अरहर दाल, 1/4 कप हरी मूंग दाल, 1/4 कप सफेद उड़द दाल, 1 कप टमाटर - कटा हुआ, 1/2 छोटा चम्मच हल्दी, 2 छोटे चम्मच लाल मिर्च पाउडर, 1 छोटा चम्मच धनिया पाउडर, 1/2 छोटा चम्मच गरम मसाला पाउडर, 1 बड़ा चम्मच धनिया - बारीक कटा हुआ, 1 बड़ा चम्मच घी, 1 छोटा चम्मच सरसों के बीज, 2 लौंग, 1/2 छोटा चम्मच जीरा, 1/2 छोटा चम्मच दालचीनी पाउडर, हींग - चुटकीभर, करी पत्ता - आवश्यकतानुसार, 1 कश्मीरी सूखी लाल मिर्च, 1 तेज पत्ता, 1 कप गेहूं का आटा, 1/4 कप सूजी, 2 बड़े चम्मच बेसन, 3 बड़े चम्मच घी - पिघला हुआ, 1 छोटा चम्मच नमक, 1/2 कप दूध, 1 बड़ा चम्मच सूरजमुखी का तेल, 1 हरी मिर्च - बारीक कटी हुई, 1 छोटा चम्मच सौंफ, 1 छोटा चम्मच धनिया, हींग - चुटकीभर, 1 कप मटर - जमी हुई, 1 छोटा चम्मच हल्दी, 1/2 छोटा चम्मच लाल मिर्च पाउडर, 1 छोटा चम्मच धनिया, नमक - स्वादानुसार, नींबू - कटा हुआ, हरी मिर्च - कटी हुई, पापड़, घी - पिघला हुआ (आवश्यकतानुसार)</t>
  </si>
  <si>
    <t>1 cup Whole Wheat Flour,1/4 cup Sooji (Semolina/ Rava),4 tablespoons Ghee - Melted,1/2 cup Caster Sugar,1 tablespoon Badam (Almond) - chopped,1 tablespoon Pistachios - chopped,1/4 cup Chana dal (Bengal Gram Dal),1/4 cup Arhar dal (Split Toor Dal),1/4 cup Green Moong Dal (Split),1/4 cup White Urad Dal (Split),1 cup Tomato - chopped,1/2 teaspoon Turmeric powder (Haldi),2 teaspoons Red Chilli powder,1 teaspoon Coriander Powder (Dhania),1/2 teaspoon Garam masala powder,1 tablespoon Coriander (Dhania) Leaves - finely chopped,1 tablespoon Ghee,1 teaspoon Mustard seeds,2 Cloves (Laung),1/2 teaspoon Cumin seeds (Jeera),1/2 teaspoon Cinnamon Powder (Dalchini),Asafoetida (hing) - a pinch,Curry leaves - as required,1 Kashmiri dry red chilli,1 Bay leaf (tej patta),1 cup Whole Wheat Flour,1/4 cup Sooji (Semolina/ Rava),2 tablespoons Gram flour (besan),3 tablespoon Ghee - melted,1 teaspoon Salt,1/2 cup Milk,1 tablespoon Sunflower Oil,1 Green Chilli - finely chopped,1 teaspoon Fennel seeds (Saunf),1 teaspoon Coriander (Dhania) Seeds,Asafoetida (hing) - a pinch,1 cup Green peas (Matar) - frozen,1 teaspoon Turmeric powder (Haldi),1/2 teaspoon Red Chilli powder,1 teaspoon Coriander Powder (Dhania),Salt - to taste,Lemon - sliced,Green Chilli - sliced,Papad,Ghee - melted (as required)</t>
  </si>
  <si>
    <t xml:space="preserve">To begin making the Baked Stuffed Baati With Churma And Panchratna Dal recipe , firstly we will make the churma. For Churma, in a mixing bowl take wheat flour, semolina and ghee, add water to form a stiff dough.Make patties with your palms with a indentation at the center. Prepare all and keep them aside.The next step is to make the dal. Rinse the daals well and pressure cook for 5 whistles along with a pinch of turmeric powder, salt and 3 cups of water. Once pressure releases, mash it well with a laddle and set aside.In a pan heat ghee, add the items listed under ‘To temper‘ and let it splutter. Then add tomatoes along with red chilli powder, turmeric powder, coriander powder and garam masala along with salt and saute for few minutes until the tomatoes becomes soft.Now add mashed dal and mix well. Let the dal boil for 5 minutes, add little water if its too thick. Finally garnish with coriander leaves.Next, we will make the Baati. In a mixing bowl, take all the ingredients listed under ‘BATI‘, mix well and knead it together to form a stiff dough.Divide the dough into small balls and keep them aside. Now for stuffing, into medium sized pan, heat oil, add fennel seeds and coriander seeds. Add green chillies, and green peas.Add salt, remaining dry ingredients and mix it well. Cook for 5-7 minutes and mash the peas using spatula and mix it well. Cook for another 5 minutes and switch off the flame, allow them to cool down.Once it's completely cool, divide them into equal portions. Now flatten the baati and stuff one portion of the stuffing we made, and again flatten them using your palms. Prepare all the baatis likewise. Make a small indentation in the centre of the baatis using your thumb.Preheat the microwave on 200 degrees. Place the Churma and Baatis into it and bake them first for 15 minutes.When beep sounds, turn over them and bake again for 15 more minutes. Let them cool down at room temperature. So your baatis are ready!For Churma, once it is completely cool, break churma into small pieces and grind it using a mixer. Grind it a little coarse. Collect the mixture in a bowl, add castor sugar and mix well. Add almonds, pistachios along with ghee and give a quick mix. Churma is ready!So your delicious treat is ready! Serve it with papad, green chilli, lemon slice and sudh deshi ghee!Serve Baked Stuffed Baati With Churma And Panchratna Dal with Masala Chaas for a weekend lunch.
</t>
  </si>
  <si>
    <t>बेक्ड स्टफ्ड बाटी विद चूरमा और पंचरत्न दाल रेसिपी बनाने के लिए सबसे पहले हम चूरमा बनाएंगे। चूरमा के लिए एक मिक्सिंग बाउल में गेहूं का आटा, सूजी और घी लें, पानी डालकर सख्त आटा गूंथ लें। अपनी हथेलियों से बीच में गड्ढा बनाते हुए पैटी बनाएं। सबको तैयार कर लें और एक तरफ रख दें। अगला स्टेप है दाल बनाना। दाल को अच्छे से धो लें और एक चुटकी हल्दी पाउडर, नमक और 3 कप पानी के साथ 5 सीटी आने तक पका लें। प्रेशर निकल जाने के बाद इसे एक करछुल से अच्छी तरह मैश करें और एक तरफ रख दें। एक पैन में घी गर्म करें, उसमें ‘तड़का लगाने के लिए‘ के तहत बताई गई चीजें डालें और इसे फूटने दें। फिर टमाटर के साथ लाल मिर्च पाउडर, हल्दी पाउडर, धनिया पाउडर और गरम मसाला और नमक डालें अंत में धनिया पत्ती से गार्निश करें। इसके बाद, हम बाटी बनाएंगे। एक मिक्सिंग बाउल में, ‘बाटी‘ के अंतर्गत बताई गई सभी सामग्री लें, अच्छी तरह मिलाएँ और एक सख्त आटा गूंथने के लिए एक साथ गूंथ लें। आटे को छोटी-छोटी लोईयों में बाँट लें और एक तरफ रख दें। अब भरावन के लिए, मध्यम आकार के पैन में तेल गर्म करें, उसमें सौंफ और धनिया के बीज डालें। हरी मिर्च और हरे मटर डालें। नमक, बची हुई सूखी सामग्री डालें और अच्छी तरह मिलाएँ। 5-7 मिनट तक पकाएं और मटर को स्पैचुला का उपयोग करके मैश करें और अच्छी तरह मिलाएँ। 5 मिनट और पकाएं और आंच बंद कर दें, उन्हें ठंडा होने दें। एक बार जब यह पूरी तरह से ठंडा हो जाए, तो उन्हें बराबर भागों में बांट लें। अब बाटी को चपटा करें और हमने जो भरावन बनाया था उसका एक भाग भरें और फिर उन्हें अपनी हथेलियों का उपयोग करके चपटा करें इसमें चूरमा और बाटी डालें और पहले इन्हें 15 मिनट तक बेक करें। जब बीप की आवाज आए तो इन्हें पलट दें और फिर से 15 मिनट तक बेक करें। इन्हें कमरे के तापमान पर ठंडा होने दें। तो आपकी बाटी तैयार है! चूरमा के लिए, जब यह पूरी तरह से ठंडा हो जाए तो चूरमा को छोटे टुकड़ों में तोड़ लें और मिक्सर का उपयोग करके पीस लें। इसे थोड़ा मोटा पीस लें। मिश्रण को एक कटोरे में इकट्ठा करें, कैस्टर शुगर डालें और अच्छी तरह मिलाएँ। घी के साथ बादाम, पिस्ता डालें और जल्दी से मिलाएँ। चूरमा तैयार है! तो आपकी स्वादिष्ट मिठाई तैयार है! इसे पापड़, हरी मिर्च, नींबू के टुकड़े और शुद्ध देशी घी के साथ परोसें! बेक्ड स्टफ्ड बाटी को चूरमा और पंचरत्न दाल के साथ वीकेंड लंच के लिए मसाला छाछ के साथ परोसें।</t>
  </si>
  <si>
    <t>https://www.archanaskitchen.com/baked-stuffed-baati-with-churma-and-panchratna-dal-recipe</t>
  </si>
  <si>
    <t>Sour-Sweet Mango Murabba Recipe</t>
  </si>
  <si>
    <t>खट्टा-मीठा आम का मुरब्बा रेसिपी</t>
  </si>
  <si>
    <t>2 आम (कच्चे), 1-1/2 कप चीनी, 1/2 कप पानी, 1 चम्मच लाल मिर्च पाउडर, 3 से 4 इलायची पाउडर, नमक - आवश्यकतानुसार, केसर के रेशे - गार्निश के लिए</t>
  </si>
  <si>
    <t>2 Mango (Raw),1-1/2 cups Sugar,1/2 cup Water,1 teaspoon Red Chilli powder,3 to 4 Cardamom Powder (Elaichi),Salt - as required,Saffron strands - few for garnishing</t>
  </si>
  <si>
    <t xml:space="preserve">To begin making the Khatta-Meetha Aam Ka Murabba, keep all the ingredients ready, including the grated raw totapuri mangoes.In a saucepan, add water and sugar on medium heat and bring it to a boil. Once you see it come to a rolling boil. Turn off the flame.  Add the grated mango into the syrup. Bring back to flame and cook it for 5 to 6 minutes and then add red chilli powder, cardamom powder and a pinch of salt.Cook further for 2 more minutes and then switch off the gas. Garnish Khatta-Meetha Aam Ka Murabba with saffron stands and serve it as a side dish with a hearty Rajasthani Thali with rice or Roti and Rajasthani gatte ki sabzi and Dal fry.
</t>
  </si>
  <si>
    <t>खट्टा-मीठा आम का मुरब्बा बनाने के लिए, कद्दूकस किए हुए कच्चे तोतापुरी आम सहित सभी सामग्री तैयार रखें। एक सॉस पैन में मध्यम आंच पर पानी और चीनी डालें और इसे उबाल लें। एक बार जब आप इसे उबलता हुआ देखें। आंच बंद कर दें। कद्दूकस किए हुए आम को चाशनी में मिला दें। वापस आंच पर लाएँ और इसे 5 से 6 मिनट तक पकाएँ और फिर लाल मिर्च पाउडर, इलायची पाउडर और एक चुटकी नमक डालें। 2 मिनट और पकाएँ और फिर गैस बंद कर दें। खट्टा-मीठा आम का मुरब्बा को केसर स्टैंड से गार्निश करें और इसे चावल या रोटी और राजस्थानी गट्टे की सब्जी और दाल फ्राई के साथ एक शानदार राजस्थानी थाली के साथ साइड डिश के रूप में परोसें।</t>
  </si>
  <si>
    <t>https://www.archanaskitchen.com/tangy-aam-ka-murabba-recipe</t>
  </si>
  <si>
    <t>Rajasthani Badi Ki Sabzi Recipe – Rajasthani Badi Ki Sabzi (Recipe In Hindi)</t>
  </si>
  <si>
    <t>राजस्थानी बड़ी की सब्जी रेसिपी - राजस्थानी बड़ी की सब्जी (रेसिपी इन हिंदी)</t>
  </si>
  <si>
    <t>1 कप बड़ी (वड़ी),घी - प्रयोग,3/2 छोटा चम्मच कढ़ी पत्ता,1/2 छोटा चम्मच कढ़ी पत्ता,1/2 छोटा चमच्च धनिया पाउडर,हींग -नमक - प्रयोग अनुसार,1 हरी मिर्च - हीरा कट ले,10 लहसुन - लहसुन कट ले,1 प्याज - काट ले,पानी - प्रयोग,1 छोटा चम्मच लाल मिर्च पाउडर,1/2 छोटा चमच्च हल्दी पाउडर,1 छोटा चमच्च धनिया पाउडर,नमक - प्रयोग अनुसार,2 थानी धनिया हरा - कट ले,पानी - प्रयोग अनुसार,2 छोटी चम्मच हरी मिर्च - कट ले</t>
  </si>
  <si>
    <t>1 cup badi (vadi), ghee - as per requirement, 3 curry leaves, 1/2 teaspoon mustard seeds, a pinch of asafoetida, 1 green chilli - finely chopped, 10 garlic cloves - finely chopped, 1 onion - chopped, water - as per requirement, 1 teaspoon red chilli powder, 1/2 teaspoon turmeric powder, 1 teaspoon coriander powder, salt - as per requirement, 2 sprigs of coriander - finely chopped</t>
  </si>
  <si>
    <t>To make Rajasthani Badi ki Sabzi, first heat ghee in a pan. Add mustard seeds, curry leaves, asafoetida and let it cook for 10 seconds. After 10 seconds add green chillies and garlic, let it cook for 1 to 2 minutes. After 2 minutes add onions and cook till onions become soft. After it is cooked add red chilli powder, turmeric powder, coriander powder and salt. Let it cook for 3 to 4 minutes. After 4 minutes add water as per requirement and cook for 5 to 6 minutes. After 6 minutes add Badi and cook for 2 minutes. After that turn off the gas and garnish with coriander leaves. Serve Rajasthani Badi ki Sabzi with Green Chilli Sabzi, Boondi Raita and Roti for lunch.</t>
  </si>
  <si>
    <t xml:space="preserve">राजस्थानी बड़ी की सब्ज़ी बनाने की सब्ज़ी बनाने से पहले, एक चटनी में घी गरम करले. 10 सेकंड के बाद इसमें हरी मिर्च और लहसुन डाला, 1 से 2 मिनट तक मसाला दे। 2 मिनिट के बाद इसमें प्याज डाल दिया और प्याज के होने तक पका दिया। पाक के बाद इसमें लाल मिर्च पाउडर, हल्दी पाउडर, धनिया पाउडर और नमक डाला जाता है। 3 से 4 मिनट तक मसाला दे.  4 मिनट के बाद इसमें पानी डाला गया और 5 से 6 मिनट तक पकाया गया। 6 मिनट के बाद इसमें पानी डाला गया और 2 मिनट तक पकाया गया। उसके बाद, गैस बंद कर ले और हरे धनिए से गार्निश करें। राजस्थानी बड़ी की सब्जी को हरी मिर्च की सब्जी, सूखे रायता और रोटी के साथ दिन के खाने के लिए परोसें।
</t>
  </si>
  <si>
    <t>http://www.archanaskitchen.com/rajasthani-badi-ki-sabzi-recipe-in-hindi</t>
  </si>
  <si>
    <t>Rajasthani Kachri Phali Sabzi Recipe - Wild Cucumber And Beans Sabzi</t>
  </si>
  <si>
    <t>राजस्थानी कचरी फली की सब्जी रेसिपी - जंगली ककड़ी और बीन्स की सब्जी</t>
  </si>
  <si>
    <t>1 कप ग्वार फली (कोठावरंगई / क्लस्टर बीन्स) - कटी हुई, 9 कचरी (जंगली ककड़ी) - कटी हुई, 1 बड़ा चम्मच सूरजमुखी तेल, 1 बड़ा चम्मच जीरा, 1 चम्मच हींग, 1 बड़ा चम्मच हल्दी पाउडर (हल्दी), 1 बड़ा चम्मच लाल मिर्च पाउडर, नमक - स्वादानुसार, 3/4 बड़ा चम्मच धनिया पाउडर (धनिया), 1 बड़ा चम्मच अमचूर (सूखा आम पाउडर)</t>
  </si>
  <si>
    <t>1 cup Gawar Phali (Kothavarangai / Cluster beans) - chopped,9 Kachri (Wild cucumber) - chopped,1 tablespoon Sunflower Oil,1 tablespoon Cumin seeds (Jeera),1 teaspoon Asafoetida (hing),1 tablespoon Turmeric powder (Haldi),1 tablespoon Red Chilli powder,Salt - to taste,3/4 tablespoon Coriander Powder (Dhania),1 tablespoon Amchur (Dry Mango Powder)</t>
  </si>
  <si>
    <t xml:space="preserve">To begin making Rajasthani Kachri Phali Ki Sabzi Recipe (Wild Cucumber And Beans Sabzi), peel and cut wild cucumber, make sure you taste them before adding with other ingredients as sometimes they can be bitter in taste.Take a pressure cooker. Add gawar phali and pressure cook them for one whistle and release pressure immedietly.Take a strainer and strain water and keep them aside.Heat oil in a pan or kadai on a medium heat, add cumin and asafoetida once the oil is hot.Let cumin crackle and add turmeric powder, red chilli powder, and coriander powder. Mix everything well for few seconds.Add chopped kachri and mix it with masala. Let it cook for about 5-7 minutes.Now add boiled gawar phali to cooked kachri. Let it cook for about 2 minutes on medium heat. Add salt to taste and amchoor powder.Serve Kachri Phali Ki Sabzi Recipe (Wild Cucumber And Beans Sabzi) along with Phulka, and Smoked Dal Makhani Dhaba Style Recipe for a weekday lunch.
</t>
  </si>
  <si>
    <t xml:space="preserve">राजस्थानी कचरी फली की सब्जी रेसिपी (जंगली ककड़ी और बीन्स की सब्जी) बनाने के लिए सबसे पहले जंगली खीरे को छीलकर काट लें, अन्य सामग्री डालने से पहले उन्हें चखना सुनिश्चित करें क्योंकि कभी-कभी वे स्वाद में कड़वे हो सकते हैं। एक प्रेशर कुकर लें। उसमें ग्वार फली डालें और एक सीटी आने तक पका लें और तुरंत प्रेशर छोड़ दें। एक छलनी लें और पानी छान लें और उन्हें एक तरफ रख दें। एक पैन या कढ़ाई में मध्यम आंच पर तेल गर्म करें, तेल गर्म होने पर जीरा और हींग डालें। जीरा चटकने दें और हल्दी पाउडर, लाल मिर्च पाउडर और धनिया पाउडर डालें। कुछ सेकंड के लिए सब कुछ अच्छी तरह से मिलाएं। कटी हुई कचरी डालें और मसाले के साथ मिलाएँ। इसे लगभग 5-7 मिनट तक पकने दें स्वादानुसार नमक और अमचूर पाउडर मिलाएं। कचरी फली की सब्जी रेसिपी (जंगली ककड़ी और बीन्स की सब्जी) को फुल्का और स्मोक्ड दाल मखनी ढाबा स्टाइल रेसिपी के साथ दिन के दोपहर के भोजन के लिए परोसें।
</t>
  </si>
  <si>
    <t>https://www.archanaskitchen.com/kachri-phali-ki-sabzi-recipe-wild-cucumber-and-beans-sabzi</t>
  </si>
  <si>
    <t>Bharwa Besan Mirch Recipe – Stuffed Gram Flour Chilli Recipe</t>
  </si>
  <si>
    <t>भरवा बेसन मिर्च रेसिपी - भरवा बेसन मिर्च रेसिपी</t>
  </si>
  <si>
    <t>6 हरी मिर्च - बड़ी वाली (बीज निकाले हुए), 1/2 कप बेसन, 1 बड़ा चम्मच तेल, 1/2 छोटा चम्मच जीरा, 1/2 छोटा चम्मच हींग, 1 छोटा चम्मच अमचूर, 1/2 छोटा चम्मच हल्दी पाउडर, 1/2 छोटा चम्मच धनिया पाउडर, नमक - स्वाद अनुसार, हरा धनिया - प्रयोग अनुसार, तेल - प्रयोग अनुसार, पानी प्रयोग - अनुसार</t>
  </si>
  <si>
    <t>6 green chillies - big ones (remove seeds), 1/2 cup gram flour, 1 tbsp oil, 1/2 tsp cumin seeds, 1/2 tsp asafoetida, 1 tsp dry mango powder, 1/2 tsp turmeric powder, 1/2 tsp coriander powder, salt - according to taste, green coriander - according to need, oil - according to need, water - according to need</t>
  </si>
  <si>
    <t>To make Bharwa Besan Mirch, first prepare the masala for stuffing the green chillies. Heat oil in a pan. Add cumin seeds, asafoetida and cook for 30 seconds. After 30 seconds add gram flour and cook for 10 to 15 minutes. Keep stirring at times. After cooking, add dried mango powder, turmeric powder, coriander powder, coriander leaves and salt. Mix well and let it cook for 3 to 4 minutes. Keep aside. Stuff the gram flour masala inside the big green chillies. Now heat oil in a pan. Add Bharma Mirch to it. Sprinkle some water and cover the pan. Cook for 10 to 15 minutes till the chillies are done. Serve Bharwa Besan Mirch Sabzi with Panchmel Daal, Palak Raita and Phulkas for lunch.</t>
  </si>
  <si>
    <t xml:space="preserve">भरवा बेसन काली मिर्च बनाने के लिए, सबसे पहले हिम मिर्च के अंदर मसाला बनाएं। एक पकौड़ी में तेल गरम करें। जीरा, इसमें डाला और 30 सेकंड के लिए पका ले। 30 सेकंड के बाद बेसन डाला और 10 से 15 मिनट के लिए पका ले। बिच बिच में मिलाते रहे. मसाले के बाद इसमें अमचूर पाउडर, हल्दी पाउडर, धनिया पाउडर, हरा धनिया और नमक डाला जाता है। बढ़िया तरह मिला ले और 3 से 4 मिनिट के लिए व्यंजन दे. अलग से रख ले. बेसन के मूल को हरी बड़ी मिर्च के अंदर भर ले. अब एक चटनी में तेल गरम करें। इसमें भरमा काली मिर्च डाली गई। थोड़ा पानी छिड़के और मसाले को पका ले. 10 से 15 मिनट तक मिर्च होने तक पका ले. भरवा बेसन काली मिर्च की सब्जी को पंचमेल दाल, पालक रायता और फुलके के साथ दिन के खाने के लिए परोसें.
</t>
  </si>
  <si>
    <t>https://www.archanaskitchen.com/bharwa-besan-mirch-sabzi-recipe-chillies-stuffed-with-spiced-gram-flour-in-hindi</t>
  </si>
  <si>
    <t>Rajasthani Onion Kadhi Recipe - Onion Kadhi Recipe</t>
  </si>
  <si>
    <t>राजस्थानी प्याज की कढ़ी रेसिपी - प्याज की कढ़ी रेसिपी</t>
  </si>
  <si>
    <t>1 कप दही - मुलायम होने तक फेंटा हुआ, 2 बड़े चम्मच बेसन, 1/2 छोटा चम्मच हल्दी, 1 छोटा चम्मच लाल मिर्च पाउडर, 1 कप पानी, 1 प्याज - बारीक कटा हुआ, 1 बड़ा चम्मच अदरक - बारीक कटा हुआ, 1 छोटा चम्मच सरसों के बीज, 1/2 छोटा चम्मच मेथी के बीज, 1 चुटकी एसएसपी हींग, 1 बड़ा चम्मच घी, 1 बड़ा चम्मच घी, 1 छोटा चम्मच जीरा, 1 छोटा चम्मच धनिया के बीज, 1 सूखी लाल मिर्च, 1 टहनी करी पत्ता</t>
  </si>
  <si>
    <t>1 cup Curd (Dahi / Yogurt) - beaten to a smooth texture,2 tablespoons Gram flour (besan),1/2 teaspoon Turmeric powder (Haldi),1 teaspoon Red Chilli powder,1 cup Water,1 Onion - thinly sliced,1 tablespoon Ginger - finely chopped,1 teaspoon Mustard seeds,1/2 teaspoon Methi Seeds (Fenugreek Seeds),1 pinch SSP Asafoetida (Hing),1 tablespoon Ghee,1 tablespoon Ghee,1 teaspoon Cumin seeds (Jeera),1 teaspoon Coriander (Dhania) Seeds,1 Dry Red Chilli,1 sprig Curry leaves</t>
  </si>
  <si>
    <t xml:space="preserve">To begin making Rajasthani Pyaaz Ki Kadhi Recipe, take a big bowl, add curd, chickpeas flour (besan), turmeric powder and red chilli powder and whisk it to a smooth consistency. Add water and mix well to a thin consistency until it smooth.Heat ghee in a heavy bottomed pan on medium flame, add mustard seeds, fenugreek seeds and let it splutter.Add a pinch of asafoetida, sliced onion and saute until the onion turns translucent.Once the onions are soft, add the kadhi mixture that you prepared earlier, enough water and bring it to a rolling boil keeping the flame on high.Lower the heat, season with salt and let the kadhi simmer for 10 minutes until kadhi cooks well. The more you simmer, the more flavours come from the pyaz and the besan mixture to make a delicious tasting pyaz ki kadhi.Turn off the heat and prepare the second tadka.Heat ghee in a small tadka pan on medium heat, add the cumin and whole coriander seeds and let it splutter.Add the curry leaves, dried red chilli, mix and switch off the heat. Add the red chilli powder, mix and pout it over the prepared kadhi.Serve the Rajasthani Pyaz Ki Kadhi Recipe along with Bajri Ki Roti with a dollop of ghee. You can also serve Masala Khichia on the side. This Kadhi tastes great with Steamed Rice or Jeera Rice too.
</t>
  </si>
  <si>
    <t>राजस्थानी प्याज़ की कढ़ी बनाने के लिए सबसे पहले एक बड़ा कटोरा लें, उसमें दही, बेसन, हल्दी पाउडर और लाल मिर्च पाउडर डालें और उसे अच्छी तरह से फेंट लें। पानी डालें और अच्छी तरह से मिलाएँ जब तक कि यह चिकना न हो जाए। मध्यम आँच पर एक भारी तले वाले पैन में घी गरम करें, उसमें सरसों के दाने, मेथी के दाने डालें और उसे चटकने दें। एक चुटकी हींग, कटा हुआ प्याज़ डालें और प्याज़ के पारदर्शी होने तक भूनें। जब प्याज़ नरम हो जाए, तो उसमें पहले से तैयार किया हुआ कढ़ी का मिश्रण और पर्याप्त पानी डालें और आँच तेज़ रखते हुए उबाल आने दें। आँच धीमी कर दें, नमक डालें और कढ़ी को 10 मिनट तक पकने दें जब तक कि कढ़ी अच्छी तरह से पक न जाए। जितना अधिक आप उबालेंगे, उतना अधिक स्वाद प्याज और बेसन के मिश्रण से आएगा और एक स्वादिष्ट प्याज की कढ़ी तैयार होगी। आंच बंद कर दें और दूसरा तड़का तैयार करें। मध्यम आंच पर एक छोटे तड़के वाले पैन में घी गर्म करें, उसमें जीरा और साबुत धनिया डालें और उसे फूटने दें। करी पत्ता, सूखी लाल मिर्च डालें, मिलाएँ और आंच बंद कर दें। लाल मिर्च पाउडर डालें, मिलाएँ और तैयार कढ़ी के ऊपर डालें। राजस्थानी प्याज की कढ़ी रेसिपी को बाजरे की रोटी के साथ घी डालकर परोसें। आप साथ में मसाला खिचिया भी परोस सकते हैं। यह कढ़ी स्टीम्ड राइस या जीरा राइस के साथ भी बहुत अच्छी लगती है।</t>
  </si>
  <si>
    <t>https://www.archanaskitchen.com/rajasthani-pyaz-ki-kadhi-recipe</t>
  </si>
  <si>
    <t>Rajasthani Chawle Wale Dhokla Recipe</t>
  </si>
  <si>
    <t>राजस्थानी चावल वाले ढोकले रेसिपी</t>
  </si>
  <si>
    <t>15 लहसुन की कलियाँ, 6 हरी मिर्च, 6 टहनी धनिया (धनिया) के पत्ते - बारीक कटे हुए, 2 कप मक्की का आटा (पीला मकई का आटा), 1 चम्मच बेकिंग सोडा, नमक - आवश्यकतानुसार, पानी - आवश्यकतानुसार, 1/2 कप लोबिया, 1 चम्मच हल्दी पाउडर (हल्दी), 1 चम्मच धनिया पाउडर (धनिया)</t>
  </si>
  <si>
    <t>15 cloves Garlic,6 Green Chillies,6 sprig Coriander (Dhania) Leaves - finely chopped,2 cups Makki Ka Atta (Yellow Corn Meal Flour),1 teaspoon Baking soda,Salt - as required,Water - as required,1/2 cup Black Eyed Beans (Lobia),1 teaspoon Turmeric powder (Haldi),1 teaspoon Coriander Powder (Dhania)</t>
  </si>
  <si>
    <t xml:space="preserve">To begin making the Rajasthani Chawle Wale Dhokle recipe, Add the black eyed beans in 3 cups water in a pressure cooker. Now add turmeric powder, coriander powder and the required salt. Let it cook till the cooker releases 3 to 4 whistles. Let it release the pressure normally.Meanwhile we will make the dhoklas, add garlic, coriander and green chillies in mortal pestle and crush them together to make a coarse paste.Next, add baking soda, half of the garlic, coriander and green chilli mixture, required salt and maize flour in a mixing bowl.Open the pressure cooker and put the green chilli, garlic and coriander mixture in it and mix it with the black eyed beans.Now, knead the dough properly with the required water and knead until the dough becomes really soft. Make small Dhokla out of it just like we make the south indian wadas.Put the cooker on gas again and add some water. Once it comes to boil, add the uncooked dhokla in the boiling water.Don’t close the lid of the cooker. Just cover it and let it cooker for 40 to 45 minutes on low flame. Once it reaches the right consistency and the dhoklas are cooked switch off the gas. To know if the dhoklas are cooker, insert a fort in the dhokla and if it comes out clean, it means your dhokla is cooked.Once it is cooked, garnish it with coriander leaves and pour some hot ghee on it to serve.Serve Rajasthani Chawle Wale Dhokle on its own with Kachumber Salad  for a wweknight dinner.
</t>
  </si>
  <si>
    <t>राजस्थानी चावल वाले ढोकले बनाने की विधि शुरू करने के लिए, प्रेशर कुकर में 3 कप पानी में उड़द दाल डालें। अब हल्दी पाउडर, धनिया पाउडर और आवश्यकतानुसार नमक डालें। इसे तब तक पकने दें जब तक कुकर में 3 से 4 सीटी न आ जाएँ। इसे सामान्य रूप से प्रेशर निकलने दें। इस बीच हम ढोकला बनाएँगे, लहसुन, धनिया और हरी मिर्च को मूसल में डालकर पीसकर दरदरा पेस्ट बना लें। इसके बाद, एक मिक्सिंग बाउल में बेकिंग सोडा, लहसुन, धनिया और हरी मिर्च के मिश्रण का आधा हिस्सा, आवश्यकतानुसार नमक और मक्के का आटा डालें। प्रेशर कुकर खोलें और उसमें हरी मिर्च, लहसुन और धनिया का मिश्रण डालें और इसे उड़द दाल के साथ मिलाएँ। अब, आटे को आवश्यक पानी से अच्छी तरह गूंथ लें और तब तक गूंथें जब तक आटा बिल्कुल नरम न हो जाए। इससे छोटे-छोटे ढोकला बनाएँ जैसे हम दक्षिण भारतीय वड़े बनाते हैं। कुकर को फिर से गैस पर रखें और थोड़ा पानी डालें। उबाल आने पर, बिना पका हुआ ढोकला उबलते पानी में डालें। कुकर का ढक्कन बंद न करें। बस इसे ढककर धीमी आंच पर 40 से 45 मिनट तक पकने दें। जब यह सही स्थिरता पर आ जाए और ढोकला पक जाए तो गैस बंद कर दें। ढोकला पक गया है या नहीं यह जानने के लिए ढोकला में एक किला डालें और अगर यह साफ बाहर आता है, तो इसका मतलब है कि आपका ढोकला पक गया है। एक बार जब यह पक जाए, तो इसे धनिया पत्ती से गार्निश करें और इस पर थोड़ा गर्म घी डालकर सर्व करें। राजस्थानी चावल वाले ढोकले को कचुम्बर सलाद के साथ सप्ताह के खाने में परोसें।</t>
  </si>
  <si>
    <t>https://www.archanaskitchen.com/rajasthani-chawle-wale-dhokle-recipe</t>
  </si>
  <si>
    <t>Roasted Colocasia Stir Fry With Ajwain (Recipe In Hindi)</t>
  </si>
  <si>
    <t>अरबी अरबी की सब्जी - भुनी हुई अरबी स्टिर फ्राई विद अजवाइन (रेसिपी इन हिंदी)</t>
  </si>
  <si>
    <t>300 ग्राम अरबी, 1 बड़ा चम्मच प्याज़, 1 - बारीक कटे हुए, 2 काली लहसुन - बारिल अनकटा हुआ, 1/2 छोटा चम्मच हल्दी पाउडर, 1 छोटा चमचम लाल मिर्च पाउडर, 1 तहनी कढ़ी पत्ता - मीठा कच्चा, 1 छोटी चम्मच हरी धनिया - बारीक कटा हुआ</t>
  </si>
  <si>
    <t>300 grams arbi, 1 tablespoon celery, 1 onion - finely chopped, 2 cloves garlic - finely chopped, 1/2 teaspoon turmeric powder, 1 teaspoon red chili powder, 1 sprig curry leaves - finely chopped, 1 sprig coriander leaves - finely chopped</t>
  </si>
  <si>
    <t>To make Arbi Celery Sabzi, first wash the Arbi thoroughly. Now add water to the Arbi and cook it till 4 whistles in a pressure cooker. After that take it out and peel it. After it cools down, cut it in round or straight pieces. Heat oil in a wok. Add celery, onion and garlic in it. Cook till the onion becomes soft. After that add curry leaves, Arbi, rest of the ingredients and salt. Cook for 3 to 4 minutes. After cooking, garnish with coriander leaves and serve. Serve Arbi Celery Sabzi hot with Gujarati Daal, Boondi Raita and Phulkas for lunch.</t>
  </si>
  <si>
    <t xml:space="preserve">अरबी की सब्जी बनाने के लिए सबसे पहले अरबी को अच्छे तरीके से धो ले. अब अरब को दस्तावेज़ कुकर में पानी स्टूडियो 4 सिटी आने तक ले पका। उसके बाद उसे मेकर, अरबी का छिल्का निकल ले। ठंडा होने के बाद इस गोल या सीधे काट ले. एक पकौड़ी में तेल गरम कर ले. इसमें विदेशी, प्याज और लहसुन डाला गया। प्याज़ को होना सुरक्षित तक पकाए। उसके बाद कढ़ी पत्ता, अरबी, बाकी सामग्री और सामग्री डाली गई। 3 से 4 मिनट तक पकाए। मसाले के बाद हरा धनिये से गार्निश करें और बनाएं। अरबी बिज़नस की सब्जी को गुजराती दाल, बूंदी रायता और फुलके के साथ दिन के खाने के लिए गरमा गरम करें।
</t>
  </si>
  <si>
    <t>https://www.archanaskitchen.com/roasted-colocasia-stir-fry-with-ajwain-recipe-in-hindi</t>
  </si>
  <si>
    <t>Palak Kadhi Recipe - Spinach Kadhi Recipe</t>
  </si>
  <si>
    <t>पालक कढ़ी रेसिपी - पालक कढ़ी रेसिपी</t>
  </si>
  <si>
    <t>1 कप दही, 2 छोटा मोटा बेसन, 1/2 छोटा मक्खन हल्दी पाउडर, नमक - स्वाद, 1 कप पालक, 1 हरी मिर्च, 1 इंच अदरक, 1 छोटा मोटा जीरा, 1 छोटा मोटा जीरा, 1 छोटा मक्खन अदरक, हींग - छोटा चम्मच भर, 1 तनी दही पत्ता, 2 सुखी लाल मिर्च, तेल</t>
  </si>
  <si>
    <t>1 cup curd, 2 tsp gram flour, 1/2 tsp turmeric powder, salt - as per taste, 1 cup spinach, 1 green chili, 1 inch ginger, 1 tsp cumin, 1 tsp cumin, 1 tsp rye, asafoetida - A pinch, 1 sprig curry leaves, 2 red chillies, oil</t>
  </si>
  <si>
    <t>To make Palak Kadhi Recipe, first of all take a pressure cooker add spinach, green chillies, ginger, cumin seeds, some water and cook till 1 whistle. Let the pressure release automatically. Open the cooker and make a paste with the help of a blender. Keep it aside. Now in a saucepan add curd, gram flour, turmeric powder and beat it well. Turn on the gas, add 1/2 cup water and spinach paste. Mix well. Let it boil. After boiling, add salt as per taste and mix it. Turn off the gas. For Tadka, heat oil in a Tadka pan. Add cumin seeds, mustard seeds and let them crackle. Now add curry leaves, asafoetida, dried red chillies and cook for 10 seconds. Pour the tempering into the Kadhi and mix it well. Serve Palak Kadhi Recipe with Aloo Parwal Sukhi Sabzi and Phulkas for lunch.</t>
  </si>
  <si>
    <t xml:space="preserve">पालक कढ़ी रेसिपी बनाने के लिए सबसे पहले पालक, हरी मिर्च, अदरक, जीरा, थोड़ा पानी डाला और 1 शहर आने तक पका ले। अपने आप को वापस दे दो। कुकर व्यवसायी, व्यवसायी की मदद से एक पेस्ट बना ले. अलग से रख दे. अब एक पैन में दही, बेसन, हल्दी पाउडर डाला गया और अच्छी तरह से फेट ले लिया गया। गैस चालू करें, इसमें 1/2 कप पानी और पालक का पेस्ट डालें। अच्छी तरह से मिला ले.उबलने दे. मिया आने के बाद स्वाद नमक डाला और मिला ले। गैस बंद कर दे. बेबी के लिए, एक तड़का पैन में तेल गरम करें। इसमें जीरा, राइ ने डाला और तड़कने दे। अब इसमें कढ़ी पत्ता, हींग, सुखी लाल मिर्च डाली गई है और 10 सेकंड के लिए पका ले। दादी को कढ़ी में डाला और मिला ले. पालक कढ़ी रेसिपी को आलू परवल की सुखी सब्जी और फुल्के के साथ दिन के खाने के लिए खरीदें।
</t>
  </si>
  <si>
    <t>http://www.archanaskitchen.com/palak-kadhi-recipe-spinach-kadhi-in-hindi</t>
  </si>
  <si>
    <t>Black Chana Masala Recipe – Black Chana Masala (Recipe In Hindi)</t>
  </si>
  <si>
    <t>काला चना मसाला रेसिपी - काला चना मसाला (रेसिपी इन हिंदी)</t>
  </si>
  <si>
    <t>2 कप काला चना - रात भर नमक ले, तेल - प्रयोग अनुसार, 1 छोटा चमच्च जीरा, 1 छोटा चमच्च जीरा, 1/2 छोटा चम्मच चमचे हींग, 2 हरी मिर्च - हीरा कट ले, 1/2 बड़ा चमचा आटा का रस, नमक - स्वाद अनुसार, पानी - प्रयोग अनुसार, 1 छोटा चमच्च लाल मिर्च पाउडर, 1/2 छोटा चम्मच हल्दी पाउडर, 1 छोटा चम्मच चमच्च धनिया पाउडर, 3/4 छोटा चम्मच चमच्च निम्बू का रस, 3 चम्मच हरा धनिया - मसाला काट ले</t>
  </si>
  <si>
    <t>2 cups black chickpeas - soak overnight, oil - as per requirement, 1 tsp cumin seeds, 1 tsp mustard seeds, 1/2 tsp asafoetida, 2 green chillies - finely chopped, 1/2 tbsp wheat flour, salt - as per taste, water - as per requirement, 1 tsp red chilli powder, 1/2 tsp turmeric powder, 1 tsp coriander powder, 3/4 tsp lemon juice, 3 sprigs coriander leaves - finely chopped</t>
  </si>
  <si>
    <t>To make Kala Chana Masala, first cook the chickpeas in a pressure cooker till 3 whistles. Drain the water and keep it aside. Now heat oil in a pan. Add mustard seeds, cumin seeds and asafoetida. After 10 seconds add green chillies and cook for next 30 seconds. Meanwhile mix the flour with water in a bowl. Keep it aside. Now add the chickpeas to the pan and mix it. After 30 seconds add the mixture of red chilli powder, turmeric powder, coriander powder, salt and flour. Mix it well and cook for another 3 minutes. Once cooked add lemon juice and garnish with coriander leaves. Serve Kala Chana Masala with Dal Fry, Boondi Raita and Phulka for lunch.</t>
  </si>
  <si>
    <t xml:space="preserve">काला चना मसाला बनाने के लिए सबसे पहले चने को 3 शहर आने तक पका ले. पानी निकाल दे और उन्हें अलग से रख दे.अब एक मसाले में तेल गरम करें. अक्रिस्टलीय राइ, जीरा और हिंग डाला गया। 10 सेकंड के बाद हरी मिर्च डालें और अगले 30 सेकंड तक पकाएं। तब तक एक कटोरी में पानी के साथ आ जाओ. अलग से रख दे. अब मसाला में चना डाल दिया और मिला दिया. 30 सेकंड बाद लाल मिर्च पाउडर, हल्दी पाउडर, धनिया पाउडर, नमक और मिक्सचर डाला गया। अच्छे से मिला ले और 3 मिनट के लिए और पकाए। पाक के बाद नारियल का रस डालें और हरे धनिए से गार्निश करें। काला चना मसाला को दाल फ्राई, ड्रमी रायता और फुल्का के साथ दिन में खाने के लिए परोसें।
</t>
  </si>
  <si>
    <t>http://www.archanaskitchen.com/black-chana-masala-recipe-in-hindi</t>
  </si>
  <si>
    <t>No Onion No Garlic Rajasthani Gatte Ki Kadhi Recipe</t>
  </si>
  <si>
    <t>बिना प्याज, बिना लहसुन की राजस्थानी गट्टे की कढ़ी रेसिपी</t>
  </si>
  <si>
    <t>1 कप बेसन, 1/2 चम्मच अजवाइन, 1/4 चम्मच लाल मिर्च पाउडर, 2 बड़े चम्मच दही, 1 बड़ा चम्मच सूरजमुखी तेल, नमक - स्वादानुसार, 2 बड़े चम्मच बेसन, 2 कप दही, 1/4 चम्मच हींग, 1 चम्मच हल्दी, 1/4 चम्मच लाल मिर्च पाउडर, 1 तेज पत्ता - तोड़ा हुआ, 1 इंच दालचीनी, नमक - स्वादानुसार, 4 धनिया पत्ते - कटे हुए, 1 बड़ा चम्मच घी, 1/2 चम्मच सरसों के बीज, 1/2 चम्मच जीरा, 1 टहनी करी पत्ता</t>
  </si>
  <si>
    <t>1 cup Gram flour (besan),1/2 teaspoon Ajwain (Carom seeds),1/4 teaspoon Red Chilli powder,2 tablespoons Curd (Dahi / Yogurt),1 tablespoon Sunflower Oil,Salt - to taste,2 tablespoons Gram flour (besan),2 cups Curd (Dahi / Yogurt),1/4 teaspoon Asafoetida (hing),1 teaspoon Turmeric powder (Haldi),1/4 teaspoon Red Chilli powder,1 Bay leaf (tej patta) - torn,1 inch Cinnamon Stick (Dalchini),Salt - to taste,4 sprig Coriander (Dhania) Leaves - chopped,1 tablespoon Ghee,1/2 teaspoon Mustard seeds,1/2 teaspoon Cumin seeds (Jeera),1 sprig Curry leaves</t>
  </si>
  <si>
    <t xml:space="preserve">To begin making the Rajasthani Gatte Ki Kadhi Recipe we will first make the gatte.In a large mixing bowl, combine all the ingredients for the gatta. Add a few teaspoons of water at a time and knead to make a firm dough. Knead well for about 5 minutes to make a very soft melt in the mouth gatta.If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ready.To make the kadhi, in a saucepan, combine the yogurt, gram flour until it becomes a smooth paste. Add 2-1/2 cups of water, asafoetida, turmeric powder and salt. Stir well.Bring the kadhi mixture to a boil. While the kadhi is coming to a boil, keep whisking it until you get a very smooth kadhi.You will notice that the yogurt will stop curdling when you keep whisking. Turn the heat to low, add the bay leaves, cinnamon, red chili powder and simmer the kadhi for about 10 minutes until the kadhi turns slightly thick. Add the cooked gattas at this stage and boil for a few more minutes.  While the Gatte Ki kadhi is boiling, we will proceed to make the tadka for the kadhi.Heat oil in a tadka pan, add the ghee and the remaining ingredients and allow them to crackle. Once they crackle, turn off the heat and add the seasoning to the Gatte Ki Kadhi.Serve the Gatte Ki Kadhi along with millet based rotis or along with steamed rice, Kachumber Salad and Boondi Raita. 
</t>
  </si>
  <si>
    <t>राजस्थानी गट्टे की कढ़ी रेसिपी बनाने के लिए सबसे पहले हम गट्टे बनाएंगे। एक बड़े मिक्सिंग बाउल में गट्टे की सारी सामग्री मिला लें। एक बार में कुछ चम्मच पानी डालें और सख्त आटा गूंथ लें। बहुत नरम और पिघलने वाला गट्टा बनाने के लिए लगभग 5 मिनट तक अच्छी तरह गूंथ लें। अगर आप और पानी डालते हैं और यह आटे जैसा नहीं बनता है, तो आपको और बेसन डालना होगा और इसे अच्छी तरह गूंथना होगा। आटे को एक लंबे सिलेंडर में रोल करें और उन्हें 1 इंच के टुकड़ों में काट लें। अगला स्टेप है उबलते पानी में गट्टे पकाना। एक बड़े सॉस पैन में पानी उबालें जब तक कि यह तेज उबाल न आ जाए। एक बार जब पानी तेज उबाल पर आ जाए, तो गट्टे को पानी में डालें और तब तक उबालें जब तक कि वे ऊपर तैरने न लगें। एक 2-1/2 कप पानी, हींग, हल्दी पाउडर और नमक डालें। अच्छी तरह मिलाएँ। कढ़ी के मिश्रण को उबाल लें। जब कढ़ी उबलने लगे, तब उसे तब तक फेंटते रहें जब तक एकदम मुलायम कढ़ी न बन जाए। आप देखेंगे कि फेंटते रहने पर दही जमना बंद हो जाएगा। आँच धीमी कर दें, तेजपत्ता, दालचीनी, लाल मिर्च पाउडर डालें और कढ़ी को लगभग 10 मिनट तक पकाएँ जब तक कि कढ़ी थोड़ी गाढ़ी न हो जाए। इस अवस्था में पके हुए गट्टे डालें और कुछ और मिनट के लिए उबालें। जब गट्टे की कढ़ी उबल रही हो, हम कढ़ी के लिए तड़का लगाना शुरू कर देंगे। एक तड़का पैन में तेल गर्म करें, उसमें घी और बची हुई सामग्री डालें और उन्हें चटकने दें। जब वे चटकने लगें, तो आँच बंद कर दें और गट्टे की कढ़ी में मसाला मिला दें</t>
  </si>
  <si>
    <t>https://www.archanaskitchen.com/no-onion-no-garlic-rajasthani-gatte-ki-kadhi-recipe</t>
  </si>
  <si>
    <t>Recipe for Big Bottle Gourd Vegetable</t>
  </si>
  <si>
    <t>लौकी बड़ी की सब्जी रेसिपी</t>
  </si>
  <si>
    <t>1/2 लौकी - छिलका उतारकर कटी हुई, 1/2 कप बड़ी, सूरजमुखी तेल - आवश्यकतानुसार, 1 टहनी करी पत्ता, 1/2 छोटा चम्मच जीरा, 1/2 छोटा चम्मच राई, हींग - चुटकी भर, 1 हरी मिर्च - बारीक कटी हुई, 1 इंच अदरक - कद्दूकस किया हुआ, 3 लहसुन के दाने - कद्दूकस किया हुआ, 1 छोटा चम्मच लाल मिर्च पाउडर, 1/2 छोटा चम्मच हल्दी, 1/2 छोटा चम्मच धनिया, 1/4 छोटा चम्मच गरम मसाला पाउडर, 2 बड़े चम्मच दूध - या आवश्यकता अनुसार अधिक</t>
  </si>
  <si>
    <t>1/2 Bottle gourd (lauki) - peel the skin and chopped,1/2 cup Badi (wadi),Sunflower Oil - as required,1 sprig Curry leaves,1/2 teaspoon Cumin seeds (Jeera),1/2 teaspoon Mustard seeds,Asafoetida (hing) - a pinch,1 Green Chilli - finely chopped,1 inch Ginger - grated,3 cloves Garlic - grated,1 teaspoon Red Chilli powder,1/2 teaspoon Turmeric powder (Haldi),1/2 teaspoon Coriander Powder (Dhania),1/4 teaspoon Garam masala powder,2 tablespoons Milk - or more if required</t>
  </si>
  <si>
    <t xml:space="preserve">To begin making the Lauki Badi Ki Sabzi recipe, firstly roast the badi in a pan until it turns brown. Take it out and keep it aside to cool down.Now heat oil or ghee in a wok/kadhai and add cumin seeds, mustard seeds and asafoetida.Once the mustard seeds splutter, add in the green chillies, asafoetida and ginger garlic paste.Add in the chopped lauki and cook till it becomes soft and tender. Once it is done add in the roasted badi and give it a stir.Add in the masalas including red chilli powder, turmeric powder, coriander powder, garam masala and the required salt.Add in the required milk. Don't add too much milk because the bad becomes soft very fast. Cook till the badi becomes soft. Stir in the coriander leaves and transfer the Lauki Badi ki Sabzi to as serving bowl and serve hot.Serve Lauki Badi Ki Sabzi along with Panchmel Dal and Pudina Tawa Paratha for a weekday lunch or dinner.
</t>
  </si>
  <si>
    <t xml:space="preserve">लौकी बड़ी की सब्जी बनाने के लिए सबसे पहले एक पैन में बड़ी को ब्राउन होने तक भून लें। इसे निकाल कर ठंडा होने के लिए अलग रख दें। अब एक कड़ाही में तेल या घी गर्म करें और उसमें जीरा, राई और हींग डालें। राई के चटकने के बाद हरी मिर्च, हींग और अदरक लहसुन का पेस्ट डालें। कटी हुई लौकी डालें और उसके नरम और मुलायम होने तक पकाएँ। जब यह पक जाए तो इसमें भुनी हुई बड़ी डालें और इसे चलाएँ। इसमें लाल मिर्च पाउडर, हल्दी पाउडर, धनिया पाउडर, गरम मसाला और आवश्यकतानुसार नमक डालें। इसमें आवश्यकतानुसार दूध डालें। बहुत अधिक दूध न डालें क्योंकि बड़ी बहुत जल्दी नरम हो जाती है। बड़ी के नरम होने तक पकाएं। धनिया पत्ती डालकर चलाएँ और लौकी बड़ी की सब्जी को एक सर्विंग बाउल में डालें
</t>
  </si>
  <si>
    <t>https://www.archanaskitchen.com/lauki-badi-ki-sabzi-recipe</t>
  </si>
  <si>
    <t>Rajasthani Kachri Chutney Recipe (Wild Cucumber Chutney)</t>
  </si>
  <si>
    <t>राजस्थानी कचरी की चटनी रेसिपी (जंगली खीरे की चटनी)</t>
  </si>
  <si>
    <t>6 कचरी, 12 लहसुन की कलियाँ, 4 सूखी लाल मिर्च, 1 बड़ा चम्मच जीरा - (विभाजित), नमक - स्वादानुसार, 3 बड़े चम्मच दही, 1 छोटा चम्मच घी</t>
  </si>
  <si>
    <t>6 Kachri (Wild cucumber),12 cloves Garlic,4 Dry Red Chillies,1 tablespoon Cumin seeds (Jeera) - (divided),Salt - to taste,3 tablespoons Curd (Dahi / Yogurt),1 teaspoon Ghee</t>
  </si>
  <si>
    <t xml:space="preserve">To prepare Rajasthani Kachri ki Chutney Recipe (Wild Cucumber Chutney), peel and cut wild cucumber; make sure you taste them before adding with other ingredients as sometime they are bitter in taste.Take a mixer grinder Jar, add wild cucumber, garlic cloves, dry red chillies, cumin, salt and curd.Grind it to a fine paste. You can add more curd if you find paste too thick.Heat ghee in a small pan, add cumin seeds, let them splutter.Add chutney mixture, let it cook for 3-4 minutes on medium flame.Serve Rajasthani Kachri ki Chutney Recipe (Wild Cucumber Chutney) with Haldi Ki Sabzi Recipe (Fresh Turmeric Root Vegetable) and Tawa Paratha Recipe.
</t>
  </si>
  <si>
    <t>राजस्थानी कचरी की चटनी रेसिपी (जंगली खीरे की चटनी) तैयार करने के लिए, जंगली खीरे को छीलकर काट लें; सुनिश्चित करें कि आप उन्हें अन्य सामग्री के साथ जोड़ने से पहले चख लें क्योंकि कभी-कभी वे स्वाद में कड़वे होते हैं। एक मिक्सर ग्राइंडर जार लें, उसमें जंगली खीरा, लहसुन की कलियाँ, सूखी लाल मिर्च, जीरा, नमक और दही डालें। इसे बारीक पीस लें। अगर आपको पेस्ट ज़्यादा गाढ़ा लगे तो आप और दही मिला सकते हैं। एक छोटे पैन में घी गरम करें, उसमें जीरा डालें, उन्हें चटकने दें। चटनी का मिश्रण डालें, इसे मध्यम आँच पर 3-4 मिनट तक पकने दें। राजस्थानी कचरी की चटनी रेसिपी (जंगली खीरे की चटनी) को हल्दी की सब्ज़ी रेसिपी (ताज़ी हल्दी की जड़ वाली सब्ज़ी) और तवा पराठा रेसिपी के साथ परोसें।</t>
  </si>
  <si>
    <t>https://www.archanaskitchen.com/rajasthani-kachri-ki-chutney-recipe-wild-cucumber-chutney</t>
  </si>
  <si>
    <t>Rajasthani Bajra's Sour Raabdi Recipe</t>
  </si>
  <si>
    <t>राजस्थानी बाजरे की खट्टी रबड़ी रेसिपी</t>
  </si>
  <si>
    <t>1/2 कप बाजरे का आटा, 3 कप छाछ, जीरा - गार्निश के लिए, नमक - स्वादानुसार।</t>
  </si>
  <si>
    <t>1/2 cup Bajra Flour ( Pearl Millet),3 cup Buttermilk,Cumin seeds (Jeera) - for garnishing,Salt - to taste.</t>
  </si>
  <si>
    <t xml:space="preserve">To begin making the Rajasthani Bajre Ki Khatti Raabdi Recipe, mix buttermilk and bajra flour in a bowl &amp; add salt to it. Mix well so that no lumps are left in the liquid.Cover it with a lid and keep it on side for 1-2 hours. I usually make this mixture ahead of time in the mornings and cook for lunch time.(Traditionally it is made and kept under sun for natural fermentation in an earthen pot)Add it in a saucepan and cook it in on the low flame with continuous stirring, preferably with a wooden ladle for about 25-30 minutes.You will notice it gets thickened when cooked.Stop cooking when it reaches about semi liquid/pouring consistency.Sprinkle raw cumin seeds for garnishing. Raab/Raabdi will be thickened further upon cooling.Serve Rajasthani Bajre Ki Khatti Raabdi Recipe with Bajre Ki Roti and Ker-Sangri Ka Saar for a wholesome weekday lunch. You can also serve it with Rajasthani Gatte Ki Sabzi, Phulka and Masala Khichia.
</t>
  </si>
  <si>
    <t xml:space="preserve">राजस्थानी बाजरे की खट्टी रबड़ी रेसिपी बनाने के लिए एक कटोरे में छाछ और बाजरे का आटा मिलाएँ और इसमें नमक मिलाएँ। अच्छी तरह मिलाएँ ताकि तरल में कोई गांठ न रह जाए। इसे ढक्कन से ढक दें और इसे 1-2 घंटे के लिए एक तरफ रख दें। मैं आमतौर पर सुबह में समय से पहले यह मिश्रण बना लेती हूँ और दोपहर के भोजन के लिए पकाती हूँ। (पारंपरिक रूप से इसे मिट्टी के बर्तन में प्राकृतिक किण्वन के लिए धूप में बनाया और रखा जाता है) इसे एक सॉस पैन में डालें और धीमी आँच पर लगातार हिलाते हुए, हो सके तो लकड़ी के करछुल से लगभग 25-30 मिनट तक पकाएँ। आप देखेंगे कि पकने पर यह गाढ़ा हो गया है। जब यह अर्ध तरल/डालने लायक हो जाए तो खाना बनाना बंद कर दें। गार्निशिंग के लिए कच्चा जीरा छिड़कें। ठंडा होने पर रबड़ी और गाढ़ी हो जाएगी आप इसे राजस्थानी गट्टे की सब्जी, फुल्का और मसाला खिचिया के साथ भी परोस सकते हैं.
</t>
  </si>
  <si>
    <t>https://www.archanaskitchen.com/rajasthani-bajre-ki-khatti-raabdi-recipe</t>
  </si>
  <si>
    <t>Karela Kadhi Recipe</t>
  </si>
  <si>
    <t>करेला कढ़ी रेसिपी</t>
  </si>
  <si>
    <t>1 कप दही, 1 चम्मच बेसन, 1-1/2 कप पानी, नमक - स्वादानुसार, 2 करेला - छिला हुआ, 1/2 चम्मच जीरा, 1/4 चम्मच सरसों के बीज, 1 टहनी करी पत्ता, 1/2 प्याज - बारीक कटा हुआ, 3 हरी मिर्च - पेस्ट करने के लिए कुचल, 1/2 इंच अदरक - पेस्ट करने के लिए कुचल</t>
  </si>
  <si>
    <t>1 cup Curd (Dahi / Yogurt),1 teaspoon Gram flour (besan),1-1/2 cups Water,Salt - to taste,2 Karela (Bitter Gourd/ Pavakkai) - de skinned,1/2 teaspoon Cumin seeds (Jeera),1/4 teaspoon Mustard seeds,1 sprig Curry leaves,1/2 Onion - finely chopped,3 Green Chillies - crushed to paste,1/2 inch Ginger - crushed to paste</t>
  </si>
  <si>
    <t xml:space="preserve">To prepare Karela Kadhi Recipe, whisk together curd, water and besan well making sure no lumps are formed. Keep it aside.Slice bitter gourd, soak them in salted water until use, this will remove some of the bitterness from the gourd.Heat oil in a heavy bottomed pan. Add mustard seeds, cumin seeds and let it splutter. Add onions and sauté until translucent. Once the onions are soft and translucent, add curry leaves, green chilli, garlic paste and sauté until there is no raw smell of ginger left.Add sliced bitter gourd and sauté for about 5 to 7 minutes. Add salt to taste.Finally, add besan yogurt mix and stir. Simmer and let it cook until you it begins to boil. Once done, switch off the heat and serve.Serve Karela Kadhi Recipe along with Jeera Rice, Phulka, Bharwa Besan Mirch and Kachumber Salad for a weekday meal.
</t>
  </si>
  <si>
    <t xml:space="preserve">करेला कढ़ी रेसिपी बनाने के लिए, दही, पानी और बेसन को अच्छी तरह से फेंट लें, ध्यान रहे कि कोई गांठ न बने। इसे एक तरफ रख दें। करेले के टुकड़े करें, उन्हें इस्तेमाल होने तक नमकीन पानी में भिगो दें, इससे करेले की कुछ कड़वाहट दूर हो जाएगी। एक भारी तले की कड़ाही में तेल गर्म करें। उसमें राई, जीरा डालें और उसे फूटने दें। प्याज़ डालें और पारभासी होने तक भूनें। जब प्याज़ नरम और पारभासी हो जाए, तो उसमें करी पत्ता, हरी मिर्च, लहसुन का पेस्ट डालें और तब तक भूनें जब तक कि अदरक की कच्ची महक न रह जाए। कटा हुआ करेला डालें और लगभग 5 से 7 मिनट तक भूनें। स्वादानुसार नमक डालें। अंत में बेसन और दही का मिश्रण डालें और मिलाएँ। धीमी आँच पर पकाएँ और तब तक पकाएँ जब तक यह उबलने न लगे। हो जाने पर, आँच बंद कर दें
</t>
  </si>
  <si>
    <t>http://www.archanaskitchen.com/karela-kadhi-recipe</t>
  </si>
  <si>
    <t>Jaipuri Aloo Pyaz Ki Sabzi Recipe Using Preethi Electric Pressure Cooker</t>
  </si>
  <si>
    <t>प्रीति इलेक्ट्रिक प्रेशर कुकर का उपयोग करके जयपुरी आलू प्याज़ की सब्ज़ी रेसिपी</t>
  </si>
  <si>
    <t>2 कप छोटे आलू - उबले और छिले हुए, 1 कप सांबर प्याज, 6 लहसुन के दाने - बारीक कटा हुआ, 1 इंच अदरक - बारीक कटा हुआ, 2 हरी मिर्च - कटी हुई, 1 तेज पत्ता - फटा हुआ, 1/2 कप घर का बना टमाटर प्यूरी, 1/4 कप दही, 1/2 छोटा चम्मच हल्दी, 1 1/2 छोटा चम्मच कश्मीरी लाल मिर्च पाउडर, 1 छोटा चम्मच धनिया पाउडर, 1 छोटा चम्मच गरम मसाला पाउडर, नमक - स्वादानुसार, धनिया पत्ते - मुट्ठी भर, 1-1/2 बड़ा चम्मच सरसों का तेल - पकाने के लिए</t>
  </si>
  <si>
    <t>2 cups Baby Potatoes - boiled &amp; peeled,1 cup Pearl onions (Sambar Onions),6 cloves Garlic - finely chopped,1 inch Ginger - finely chopped,2 Green Chillies - slit,1 Bay leaf (tej patta) - torn,1/2 cup Homemade tomato puree,1/4 cup Curd (Dahi / Yogurt),1/2 teaspoon Turmeric powder (Haldi),1 1/2 teaspoon Kashmiri Red Chilli Powder,1 teaspoon Coriander Powder (Dhania),1 teaspoon Garam masala powder,Salt - to taste,Coriander (Dhania) Leaves - handful,1-1/2 tablespoons Mustard oil - for cooking</t>
  </si>
  <si>
    <t xml:space="preserve">To begin making the Jaipuri Aloo Pyaz Ki Sabzi, preheat the pan of the Electric pressure cooker by turning on the saute mode. To choose the Saute mode in the pressure cooker press the Menu Option and keep pressing the plus button till you reach P-15 which is the Saute Mode.Allow the pan to preheat for about 4 minutes. Once done add the mustard oil and allow the oil to get hot.Once the oil is hot add the bay leaf, garlic, ginger, green chillies, baby onions and saute the onions until lightly brown. After the onions have turn slightly brown add the baby potatoes and roast the potatoes for 3 to 4 minutes. Once done add the tomato puree, curd, turmeric powder, chili powder, coriander powder, garam masala and salt to taste. Stir well to combine and saute for another 2 to 3 minutes. Cover the pressure cooker and move the Pressure Valve in the "pressure position". Press keep warm on the electric pressure cooker, then press menu button. Keep pressing the plus sign button till you reach P-12 which is the gravy mode. The timer would run for 15 minutes. After the time is up and the pressure has released naturally from the Electric pressure cooker open the pressure cooker and stir in some chopped coriander leaves. Transfer the Jaipuri Aloo Pyaz Ki Sabzi into a serving bowl and serve hot. Serve the Jaipuri Aloo Pyaz Ki Sabzi along with Tawa Paratha and Panchmel Dalfor a delicious Sunday lunch.
</t>
  </si>
  <si>
    <t>जयपुरी आलू प्याज की सब्जी बनाने के लिए, सॉते मोड चालू करके इलेक्ट्रिक प्रेशर कुकर के पैन को पहले से गरम कर लें। प्रेशर कुकर में सॉते मोड चुनने के लिए मेनू विकल्प दबाएँ और प्लस बटन को तब तक दबाते रहें जब तक आप P-15 पर न पहुँच जाएँ जो कि सॉते मोड है। पैन को लगभग 4 मिनट तक गरम होने दें। हो जाने पर सरसों का तेल डालें और तेल को गर्म होने दें। तेल गर्म हो जाने पर तेज पत्ता, लहसुन, अदरक, हरी मिर्च, छोटे प्याज़ डालें और प्याज़ को हल्का भूरा होने तक भूनें। प्याज़ के हल्का भूरा होने के बाद छोटे आलू डालें और आलू को 3 से 4 मिनट तक भूनें। हो जाने पर टमाटर प्यूरी, दही, हल्दी पाउडर, मिर्च पाउडर, धनिया पाउडर, गरम मसाला और स्वादानुसार नमक डालें प्लस साइन बटन को तब तक दबाते रहें जब तक आप P-12 पर न पहुँच जाएँ जो कि ग्रेवी मोड है। टाइमर 15 मिनट तक चलेगा। समय समाप्त होने के बाद और इलेक्ट्रिक प्रेशर कुकर से स्वाभाविक रूप से प्रेशर निकल जाने के बाद प्रेशर कुकर खोलें और उसमें कुछ कटी हुई धनिया पत्ती मिलाएँ। जयपुरी आलू प्याज़ की सब्ज़ी को एक सर्विंग बाउल में डालें और गरमागरम परोसें। जयपुरी आलू प्याज़ की सब्ज़ी को तवा पराठा और पंचमेल दाल के साथ स्वादिष्ट रविवार के लंच के लिए परोसें।</t>
  </si>
  <si>
    <t>https://www.archanaskitchen.com/jaipuri-aloo-pyaz-ki-sabzi-recipe</t>
  </si>
  <si>
    <t>Rajasthani Dal Baaple Churma Recipe</t>
  </si>
  <si>
    <t>राजस्थानी दाल बापले चूरमा रेसिपी</t>
  </si>
  <si>
    <t>1 कप गेहूं का आटा, 1/4 कप सूजी (सूजी / रवा), 4 बड़े चम्मच घी - पिघला हुआ, 1/2 कप कैस्टर चीनी, 1 बड़ा चम्मच बादाम - कटा हुआ, 1 बड़ा चम्मच पिस्ता - कटा हुआ और डीप फ्राई, 1/4 कप चना दाल, 1/4 कप अरहर दाल, 1/4 कप हरी मूंग दाल, 1/4 कप काली उड़द दाल, 1/4 कप गुलाबी मसूर दाल, 1 कप टमाटर - बारीक कटा हुआ, 1/2 चम्मच हल्दी पाउडर, 2 चम्मच लाल मिर्च पाउडर, 1 चम्मच धनिया पाउडर, 1/2 चम्मच गरम मसाला पाउडर, 1 बड़ा चम्मच धनिया पत्ते - कटा हुआ, 1 बड़ा चम्मच घी, 1 चम्मच सरसों के बीज, 1/2 चम्मच जीरा, 2 लौंग, 1/2 दालचीनी (दालचीनी), हींग - चुटकी भर, 6 करी पत्ते, 1 कश्मीरी लाल मिर्च पाउडर, 1 तेज पत्ता, 1 कप गेहूं का आटा, 1/4 कप सूजी, 2 बड़े चम्मच बेसन, 3 बड़े चम्मच घी - पिघला हुआ, नमक - आवश्यकतानुसार, 1/2 कप दूध, पानी - आवश्यकतानुसार, नींबू के टुकड़े - आवश्यकतानुसार, हरी मिर्च - आवश्यकतानुसार, पापड़ - चुरा आवश्यकतानुसार, घी - आवश्यकतानुसार पिघला हुआ</t>
  </si>
  <si>
    <t>1 cup Whole Wheat Flour,1/4 cup Sooji (Semolina/ Rava),4 tablespoons Ghee - melted,1/2 cup Caster Sugar,1 tablespoon Badam (Almond) - chopped,1 tablespoons Pistachios - chopped and deep fried,1/4 cup Chana dal (Bengal Gram Dal),1/4 cup Arhar dal (Split Toor Dal),1/4 cup Green Moong Dal (Split),1/4 cup Black Urad Dal (Split),1/4 cup Pink Masoor Dal (Split),1 cup Tomatoes - finely chopped,1/2 teaspoon Turmeric powder (Haldi),2 teaspoon Red Chilli powder,1 teaspoon Coriander Powder (Dhania),1/2 teaspoon Garam masala powder,1 tablespoons Coriander (Dhania) Leaves - chopped,1 tablespoon Ghee,1 teaspoon Mustard seeds,1/2 teaspoon Cumin seeds (Jeera),2 Cloves (Laung),1/2 Cinnamon Stick (Dalchini),Asafoetida (hing) - a pinch,6 Curry leaves,1 Kashmiri Red Chilli Powder,1 Bay leaf (tej patta),1 cup Whole Wheat Flour,1/4 cup Sooji (Semolina/ Rava),2 tablespoons Gram flour (besan),3 tablespoons Ghee - melted,Salt - as required,1/2 cup Milk,Water - as required,Lemon wedges - as required,Green Chillies - as required,Papad - chura as required,Ghee - melted as required</t>
  </si>
  <si>
    <t xml:space="preserve">To begin making the Rajasthani Daal Baaple Churma recipe, we will first make the churma.In a mixing bowl take wheat flour, semolina and ghee, add water to form a stiff dough. Make patties with your palms with a indentation at the centre as shown in the picture.Heat ghee (you can use oil too) and deep fry the patties in hot oil till golden brown. Turn over and cook for even cooking, cook in low medium flame. Drain in tissue paper and set aside to cool down.Once it is completely cool, break them into small pieces and grind it using a mixer. Grind it a little coarse.Collect the mixture in a bowl, add castor sugar and mix well. Add almonds, pistachios along with ghee and give a quick mix. Your yummy sweet churma is ready!The next step is to make the dal. Rinse the dals well and pressure cook for 5 whistles along with a pinch of turmeric powder, salt and 3 cups of water.Once pressure releases, mash it well with a ladle and set aside.In a pan heat ghee, add the items listed under 'To temper' and let it splutter.Then add tomatoes along with red chilli, turmeric, coriander and garam masala along with salt and saute for few mins until raw smell of tomatoes leave!Now add mashed dal and mix well. Let the dal boil for 5 mins, add little water if its too thick. Finally garnish with coriander leaves.Now, we will make the baaple. In a mixing bowl, take all the ingredients listed under 'Baaple', mix well and knead it together to form a stiff dough.Divide the dough into small balls and flatten them using your palms. Make a small indentation in the centre of the baaple using your thumb.Now boil them into water until they comes up once they are totally boiled! And let them cool completely.Then take a wok, put the ghee to deep fry the baaple until they become golden brown and drain then into tissue paper. (You could also arrange them into microwave are 180 degrees for 20-25 minutes to bake, but I personally prefer deep frying to make it more traditional)So your delicious treat is ready! Serve it with papad chura, green chilli, lemon slice and sudh deshi ghee!Serve Rajasthani Daal Baaple Churma on its own with Rajasthani Gatte Ki Sabzi as a side dish for our festive meal or a weekend lunch.
</t>
  </si>
  <si>
    <t>राजस्थानी दाल बापले चूरमा रेसिपी बनाने के लिए, हम सबसे पहले चूरमा बनाएंगे। एक मिक्सिंग बाउल में गेहूं का आटा, सूजी और घी लें, पानी डालकर सख्त आटा गूंथ लें। बीच में एक गड्ढा बनाते हुए अपनी हथेलियों से पैटी बनाएं जैसा कि चित्र में दिखाया गया है। घी गरम करें (आप तेल का भी उपयोग कर सकते हैं) और पैटी को गर्म तेल में सुनहरा भूरा होने तक तल लें। पलट दें और समान रूप से पकने दें, धीमी मध्यम आंच पर पकाएं। टिशू पेपर पर निकालें और ठंडा होने के लिए अलग रख दें। जब यह पूरी तरह से ठंडा हो जाए, तो इसे छोटे टुकड़ों में तोड़ लें और मिक्सर का उपयोग करके पीस लें। इसे थोड़ा मोटा पीस लें। मिश्रण को एक कटोरे में इकट्ठा करें, कैस्टर शुगर डालें और अच्छी तरह मिलाएँ। घी के साथ बादाम, पिस्ता डालें और जल्दी से मिलाएँ। आपका स्वादिष्ट मीठा चूरमा तैयार है! अगला कदम दाल बनाना है। दाल को अच्छे से धो लें और 5 सीटी आने तक प्रेशर कुकर में रखें। इसमें चुटकी भर हल्दी पाउडर, नमक और 3 कप पानी डालें। प्रेशर निकल जाने पर इसे कलछी से अच्छी तरह मसल लें और अलग रख दें। एक पैन में घी गर्म करें, उसमें 'तड़का लगाने के लिए' बताई गई चीजें डालें और उसे फूटने दें। फिर टमाटर, लाल मिर्च, हल्दी, धनिया और गरम मसाला और नमक डालें और कुछ मिनट तक भूनें जब तक कि टमाटर की कच्ची महक न चली जाए! अब मसली हुई दाल डालें और अच्छी तरह मिलाएँ। दाल को 5 मिनट तक उबलने दें, अगर दाल ज्यादा गाढ़ी हो तो थोड़ा पानी डालें। अंत में धनिया पत्ती से गार्निश करें। अब हम बापू बनाएंगे। एक मिक्सिंग बाउल में 'बापू' में बताई गई सभी सामग्री लें, अच्छी तरह मिलाएँ और सख्त आटा गूंथ लें। आटे को छोटी-छोटी लोई में बाँट लें और उन्हें अपनी हथेलियों से चपटा कर लें। बापू के बीच में अपने अंगूठे से एक छोटा सा गड्ढा बनाएँ। अब उन्हें पानी में तब तक उबालें जब तक कि वे पूरी तरह से उबल न जाएँ! और उन्हें पूरी तरह से ठंडा होने दें। फिर एक कड़ाही लें, उसमें घी डालकर बापले को सुनहरा भूरा होने तक तल लें और फिर टिशू पेपर पर निकाल लें। (आप उन्हें 20-25 मिनट के लिए 180 डिग्री पर माइक्रोवेव में भी रख सकते हैं, लेकिन मैं व्यक्तिगत रूप से इसे अधिक पारंपरिक बनाने के लिए डीप फ्राई करना पसंद करता हूँ) तो आपका स्वादिष्ट व्यंजन तैयार है! इसे पापड़ चूड़ा, हरी मिर्च, नींबू के टुकड़े और शुद्ध देशी घी के साथ परोसें! राजस्थानी दाल बापले चूरमा को राजस्थानी गट्टे की सब्जी के साथ हमारे त्यौहार के भोजन या सप्ताहांत के दोपहर के भोजन के लिए साइड डिश के रूप में परोसें।</t>
  </si>
  <si>
    <t>http://www.archanaskitchen.com/rajasthani-dal-baaple-churma-recipe</t>
  </si>
  <si>
    <t>Besan Aur Mirch Ki Sabzi Recipe - Besan Aur Mirch Ki Sabzi (Recipe In Hindi)</t>
  </si>
  <si>
    <t>बेसन और मिर्च की सब्जी रेसिपी - बेसन और मिर्च की सब्जी (रेसिपी इन हिंदी)</t>
  </si>
  <si>
    <t>1/2 कप बेसन, 10 हरी मिर्च, तेल - प्रयोग अनुसार, 1/2 छोटा चमच्च हींग,पानी - प्रयोग, 1/2 छोटा चम्मच लाल मिर्च पाउडर, 1/4 छोटा चम्मच हल्दी पाउडर, 1 छोटा चम्मच निम्बू का रस, नमक - प्रयोग, हरा धनिया - प्रयोग अनुसार</t>
  </si>
  <si>
    <t>1/2 cup gram flour, 10 green chillies, oil - as per requirement, 1/2 teaspoon asafoetida, water - as per requirement, 1/2 teaspoon red chilli powder, 1/4 teaspoon turmeric powder, 1 teaspoon lemon juice, salt - as per requirement, green coriander - as per requirement</t>
  </si>
  <si>
    <t>To make Gram Flour and Chilli Sabzi, first remove the seeds from the chillies and cut them in half. Now heat oil in a pan. Add asafoetida and after 10 seconds add green chillies. Cook till the chillies become soft. Meanwhile take a bowl and add gram flour, water, red chilli powder, turmeric powder, salt and lemon juice in it. Mix everything well. Once the chillies become soft, add this mixture in it and cook till the gram flour is cooked well. After cooking, garnish with coriander leaves and serve. Serve Gram Flour and Chilli Sabzi with Panchmel Daal and Roti or Dal Baati.</t>
  </si>
  <si>
    <t xml:space="preserve">बेसन और काली मिर्च की सब्जी सबसे पहले बनाने के लिए। काली मिर्च के बीज की रूपरेखा उसे आधा काट ले. अब एक मसाले में तेल गरम कर ले. प्राकृतिक हींग डाला गया और 10 सेकंड बाद हरी मिर्च डाला गया। मिर्च के प्राकृतिक होने तक पकाए। जब तक एक कटोरी ले और क्रीम बेसन, पानी, लाल मिर्च पाउडर, हल्दी पाउडर, नमक और निम्बू का रस डाला जाए। सरकारी नौकरी अच्छी तरह से मिला ले. एक बार काली मिर्च नंगा हो जाए इसमें, ये मिक्सचर दाल दे और तब तक पकाए जब तक बेसन अच्छी तरह से पाक न जाए। मसाले के बाद हरे धनिए से गार्निश करें और बनाएं। बेसन और काली मिर्च की सब्जी को पंचमेल दाल और रोटी या फिर दाल बाटी के साथ बनायें।
</t>
  </si>
  <si>
    <t>https://www.archanaskitchen.com/besan-aur-mirch-ki-sabzi-recipe-in-hindi</t>
  </si>
  <si>
    <t>Crispy Amla Gawar Phali Sabzi Recipe - Crispy Amla Gawar Phali Sabzi (Recipe In Hindi)</t>
  </si>
  <si>
    <t>आंवला ग्वार फली की सब्जी रेसिपी - क्रिस्पी आंवला ग्वार फली सब्जी (रेसिपी इन हिंदी)</t>
  </si>
  <si>
    <t>500 ग्राम ग्वार फली, 2 हरी मिर्च - साबुत और आधा कट ले, 1 आंवला, 1 छोटा चम्मच लाल मिर्च, 1 छोटा चम्मच जीरा, 1 हींग - चटनी भर, 1 छोटा चम्मच हल्दी पाउडर, 1 छोटा चम्मच धनिया पाउडर, 1/2 छोटा चम्मच पूरी काली मिर्च, नमक - स्वादानुसार, 3 बड़ा चम्मच मसाला तेल</t>
  </si>
  <si>
    <t>500 grams Gwar pods, 2 green chillies - straight and cut in half, 1 amla, 1 teaspoon mustard, 1 teaspoon cumin seeds, 1 asafoetida - 1 teaspoon, 1 teaspoon turmeric powder, 1 teaspoon coriander powder, 1/2 teaspoon Spoon whole black pepper, salt - 3 tablespoons mustard oil, as per taste</t>
  </si>
  <si>
    <t>To make Amla Gawar Phali Sabzi, first wash the Gawar Phali and cut it from both the sides. Then cut the pod from the middle and keep it aside. Now take Amla and grate it. Keep it aside. Now heat oil in a pan and add asafoetida, mustard seeds, cumin seeds. Let it cook for 1 minute. After that add green chillies and Amla. Cook for 1 minute and then add Gawar Phali. After 30 seconds add coriander powder, turmeric powder, salt and mix well. Cover the pan and let it cook for 10 to 15 minutes on low flame. Keep stirring the vegetable in between so that it does not burn. At last add black pepper, mix and turn off the gas. Serve Amla Gawar Phali Sabzi with Panchmel Dal, Kachumber Salad and Phulka for lunch.</t>
  </si>
  <si>
    <t xml:space="preserve">आंवला गवार फली की सब्जी बनाने के लिए सबसे पहले गवार फली को धो कर उसकी दोनों तरफ से काट लें. फिर फली को बिच में से कट के अलग रख दे। अब अमला ले और उसे कास ले. अलग से रख ले. अब एक मसाला में तेल गर्म करें और नारियल हींग, राइज, जीरा डालें। 1 मिनट के लिए मसाला दे. उसके बाद हरी मिर्च और आंवला डाला। 1 मिनट तक पकाए और फिर गवार फली डाली। 30 सेकंड बाद धनिया पाउडर, हल्दी पाउडर, नमक डाला गया और अच्छी तरह से मिला लिया गया। 10 से 15 मिनट तक मसाले को ढक ले और मसाले दे. बिच बिच में सब्जी को हिलाते रहे ताकि वो जले न. अंत में काली मिर्च डाल दी, मिलाए और गैस बंद कर ले। आंवला गवारी की सब्जी को पंचमेल दाल, कचुम्बर केक और फुल्का के साथ दिन के खाने के लिए परोसें।
</t>
  </si>
  <si>
    <t>http://www.archanaskitchen.com/crispy-amla-gawar-phali-sabzi-recipe-in-hindi</t>
  </si>
  <si>
    <t>Gavarphali Ki Sabji Recipe - Gavarphali Ki Sabji Recipe</t>
  </si>
  <si>
    <t>गवारफली की सब्जी रेसिपी - गवारफली की सब्जी रेसिपी</t>
  </si>
  <si>
    <t>2 कप ग्वार फली - ढोले और कट ले, 1 - कट ले, 2 टमाटर - कट ले, 3 लहसुन - काली, 1/2 छोटा पिज्जा अदरक - कस ले, 2 छोटा पिज्जा धनिया पाउडर, 1 बड़ा मसाला तेल, 1 छोटा मसाला, 1 छोटा मसाला जीरा, 1-1/2 छोटा मसाला लाल मिर्च पाउडर, 1/2 छोटा मसाला हल्दी पाउडर, 1/2 छोटा मसाला हल्दी पाउडर, नमक - स्वाद अनुसार, हरा धनिया - प्रयोग अनुसार</t>
  </si>
  <si>
    <t>2 cups cluster beans - washed and chopped, 1 onion - chopped, 2 tomatoes - chopped, 3 garlic cloves, 1/2 teaspoon ginger - grated, 2 teaspoon coriander powder, 1 tablespoon oil, 1 teaspoon mustard seeds, 1 teaspoon cumin seeds, 1-1/2 teaspoon red chili powder, 1/2 teaspoon turmeric powder, 1/2 teaspoon asafoetida, salt - according to taste, green coriander - according to use</t>
  </si>
  <si>
    <t>To make Cluster bean sabzi Recipe, first heat oil in a pressure cooker. Now add mustard seeds, cumin seeds and let them crackle. After this add asafoetida, turmeric powder, garlic, onion, red chili powder, ginger, coriander powder, mix and cook for a few seconds. Now add tomatoes, cluster bean sabzi and mix. Add salt, 1/4 cup water, close the cooker and cook till 1 whistle comes. After this reduce the flame and cook on low flame for 5 minutes. Turn off the gas and let the pressure release automatically. Open the cooker, garnish with coriander leaves and serve. Serve Cluster bean sabzi Recipe with Palak Daal, Bottle Gourd Raita and Phulkas for everyday meal.</t>
  </si>
  <si>
    <t xml:space="preserve">ग्वारफली की सब्ज़ी रेसिपी बनाने के लिए सबसे पहले एक स्वादिष्ट कुकर में तेल गरम कर ले। अब राइ, जीरा डाला और तड़कने दे। इसके बाद इसमें हल्दी पाउडर, लहसुन, प्याज, लाल मिर्च पाउडर, अदरक, धनिया पाउडर डाला, मिलाए और कुछ सेकंड के लिए पका ले। अब इसमें टमाटर, गवारफली डाले और मिला ले। नमक, 1/4 कप पानी डाला, कुकर बंद करें और 1 सिटी आने तक पका ले।  इसके बाद डेमो करें और 5 मिनट के लिए मोशन पर पका लें। गैस बंद करो और अपनी यात्रा दे दो। कुकर कंपनी, हरे धनिए से गार्निश करें और बनाएं। ग्वारफली की सब्जी रेसिपी को पालक दाल, लौकी रायता और फुल्के के साथ रोज के खाने के लिए बनाएं।
</t>
  </si>
  <si>
    <t>https://www.archanaskitchen.com/gavar-ki-sabji-recipe-cluster-beans-curry-in-hindi</t>
  </si>
  <si>
    <t>Bharma Baingan Aur Pyaaz Ki Sabzi Recipe - Bharma Baingan Aur Pyaaz Ki Sabzi (Recipe In Hindi)</t>
  </si>
  <si>
    <t>भरमा बैंगन और प्याज की सब्जी रेसिपी - भरमा बैंगन और प्याज की सब्जी (रेसिपी इन हिंदी)</t>
  </si>
  <si>
    <t>6 बैंगन - छोटे प्याज - पेस्ट ले, तेल - प्रयोग अनुसार, 12 काली लहसुन - पेस्ट, 3 हरी मिर्च - पेस्ट, 1/2 छोटा चम्मच अदरक - पेस्ट, 1/2 छोटा चम्मच लाल मिर्च पाउडर, 1/2 छोटा चम्मच धनिया पाउडर, 1/4 छोटा चम्मच धनिया पाउडर, 1/4 छोटा चम्मच हल्दी पाउडर, 1 चम्मच बड़ा चम्मच हरा धनिया - मीठा काट ले, नमक - स्वाद</t>
  </si>
  <si>
    <t>6 brinjals - small, 2 onions - cut straight, oil - as per use, 12 bud garlic - paste, 3 green chillies - paste, 1/2 teaspoon ginger - paste, 1/2 teaspoon red chilli powder, 1/2 Teaspoon coriander powder, 1/4 teaspoon asafoetida, 1/2 teaspoon turmeric powder, 1 tablespoon green coriander - finely chopped, salt - as per taste</t>
  </si>
  <si>
    <t>To make Bharma Baingan and Onion Sabzi, first of all take all the ingredients given for the masala in a bowl and mix them well. Now wash the brinjal with water and cut the top part of the brinjal. Now make 2 cuts on the top of the brinjal while cutting each other. Do not cut till the bottom part otherwise you will not be able to fill the masala in the brinjal. Now fill this masala inside the brinjal and keep it aside. Now heat oil in a pan and add onion to it. Cook till it becomes soft. Now add Bharma Baingan and cook for 2 minutes. Cover the pan and let it cook till the brinjal becomes soft. After it becomes soft, garnish with green coriander and serve. Serve Bharma Baingan and Onion Sabzi with Panchmel Daal, Boondi Raita and Phulkas for lunch.</t>
  </si>
  <si>
    <t xml:space="preserve">भरमा बैंगन और प्याज की सब्जी बनाने के लिए सबसे पहले कुछ सामग्री को एक बाउल में डाला और कुछ इसी तरह से मिला ले।  अब बैंगन को पानी से धो ले और बैंगन के ऊपर के हिस्से को काट ले। अब बैंगन के ऊपर से 2 कटप्लेस एक दूसरे को बदनाम किया गया। आला के हिस्से तक ना काटे अन्यथा आप बैंगन में मसाला नहीं भर सकते। अब इस क्लासिक को बैंगन के अंदर भर ले और अलग से रख दे। अब एक पोटली में तेल गर्म करें और इसमें प्याज डालें। नर होने तक पकाए। अब भरमा बैंगन डाला और 2 मिनट तक पकाए। आटे को ढके और बैंगन के नारियल होने तक मसाला दे. प्राकृतिक होने के बाद, हरे धनिए से गार्निश करें और बनाएं। भरमा बैगन और प्याज की सब्जी को पंचमेल दाल, बूंदी रायता और फुलके के साथ दिन के खाने के लिए।
</t>
  </si>
  <si>
    <t>http://www.archanaskitchen.com/bharma-baingan-aur-pyaaz-ki-sabzi-recipe-spicy-stuffed-brinjals-with-onions-in-hindi</t>
  </si>
  <si>
    <t>Chilli Garlic Chunda Recipe (Chilli Garlic Chunda)</t>
  </si>
  <si>
    <t>मिर्ची लहसुन का चूंडा रेसिपी (मिर्ची लहसुन का चूंदा)</t>
  </si>
  <si>
    <t>6 हरी मिर्च, 15 लहसुन के दाने - कुचले और कटे हुए, 1 बड़ा चम्मच सूरजमुखी तेल, 1 बड़ा चम्मच जीरा, 1/4 बड़ा चम्मच हींग, नमक - स्वादानुसार, 1 छोटा चम्मच नींबू का रस</t>
  </si>
  <si>
    <t>6 Green Chillies,15 cloves Garlic - crushed and chopped,1 tablespoon Sunflower Oil,1 tablespoon Cumin seeds (Jeera),1/4 tablespoon Asafoetida (hing),Salt - to taste,1 teaspoon Lemon juice</t>
  </si>
  <si>
    <t xml:space="preserve">To prepare this easy Mirchi Lahsun Ka Chunda Recipe (Chilli Garlic Chunda), heat oil in a pan.Add cumin seeds and asafoetida .Add garlic and saute it for 1 minute.Add green chillies and saute it for 1-2 minutes or till soft and cooked.Add salt to taste and lemon.Cook for a few more seconds.Mirchi Lahsun Ka Chunda Recipe (Chilli Garlic Chunda) is ready to be served with weekend Rajasthani meal.
</t>
  </si>
  <si>
    <t>इस आसान मिर्ची लहसुन का चुंदा रेसिपी (मिर्च लहसुन चुंदा) को तैयार करने के लिए, एक पैन में तेल गर्म करें। इसमें जीरा और हींग डालें। लहसुन डालें और इसे 1 मिनट तक भूनें। हरी मिर्च डालें और इसे 1-2 मिनट या नरम और पकने तक भूनें। स्वादानुसार नमक और नींबू डालें। कुछ और सेकंड के लिए पकाएं। मिर्ची लहसुन का चुंदा रेसिपी (मिर्च लहसुन चुंदा) वीकेंड राजस्थानी भोजन के साथ परोसने के लिए तैयार है।</t>
  </si>
  <si>
    <t>http://www.archanaskitchen.com/mirchi-lahsun-ka-chunda-recipe-chilli-garlic-chunda</t>
  </si>
  <si>
    <t>Baked Whole Wheat Masala Baati Recipe (Healthy Rajasthani Spiced Wheat Dumplings)</t>
  </si>
  <si>
    <t>बेक्ड होल व्हीट मसाला बाटी रेसिपी (स्वस्थ राजस्थानी मसालेदार गेहूं पकौड़ी)</t>
  </si>
  <si>
    <t>1 कप गेहूं का आटा, 1/2 कप सूजी, 1/2 कप घी, नमक - स्वादानुसार, 2 बड़े चम्मच दही, 1 कप मटर, 1 प्याज, 2 हरी मिर्च, 1 छोटा चम्मच जीरा, 1 छोटा चम्मच अदरक लहसुन का पेस्ट, 1 छोटा चम्मच लाल मिर्च पाउडर, 1/4 छोटा चम्मच हल्दी, 3/4 छोटा चम्मच धनिया, 1 छोटा चम्मच जीरा, नमक - स्वादानुसार, 1-1/2 छोटा चम्मच सूरजमुखी का तेल</t>
  </si>
  <si>
    <t>1 cup Whole Wheat Flour,1/2 cup Sooji (Semolina/ Rava),1/2 cup Ghee,Salt - to taste,2 tablespoon Curd (Dahi / Yogurt),1 cup Green peas (Matar),1 Onion,2 Green Chillies,1 teaspoon Cumin seeds (Jeera),1 teaspoon Ginger Garlic Paste,1 teaspoon Red Chilli powder,1/4 teaspoon Turmeric powder (Haldi),3/4 teaspoon Coriander Powder (Dhania),1 teaspoon Cumin powder (Jeera),Salt - to taste,1-1/2 teaspoon Sunflower Oil</t>
  </si>
  <si>
    <t xml:space="preserve">To begin making the Whole Wheat Masala Baati, first mix all ingredients mentioned under the ‘For baatis’ in a large mixing bowl.Knead them all together to form a soft dough that is pliable, but not sticky. If the dough turns out a touch hard to stiff, add a little milk and knead it till soft to touch.Divide the dough into equal sized portions, place them in a platter or tray. Cover the dough with a damp cloth and let it rest for half an hour.Meanwhile proceed to prepare the masala filling. For this, place a pan on the heat. Add some oil to it and allow it to get warm. Then add cumin seeds, onions and green chilies to the oil and sauté until onions turn light pink.Next, add ginger garlic paste, red chilli powder, turmeric powder, coriander powder, roasted cumin powder and salt to the onions and toss it together. Stir continuously as it cooks, until the raw smell of the spices goes away.Then add peas and cook for 3 minutes until all the ingredients have combined together. Add water to cook the peas, if required, but once they are cooked, cook it till the excess water has evaporated completely.Once peas is cooked and water is completely dry, turn off the heat and set the masala aside so it can cool completely.Now, to make the baatis. Take one portion at a time, and flatten it into a small disc about 2-3 inches in diameter, and keep it in your palm. Scoop some peas masala filling, place it in the center of the disc. Then, bring the ends together, encasing the filling in the centre, seal the opening by pinching the edges together.Press the ball slightly and make a small depression with your thumb, in the center of the ball. Repeat with all the portions of dough.Then, place a heavy bottomed pot on the heat with about 3 litres of water in it. Bring the water to a boil, turn the heat down and gently slide the baatis into the water. Allow them to cook on a low heat for 15 to 20 minutes until they cook and rise to the top.Meanwhile, pre-heat the oven at 200 degrees centigrade.When the baatis are cooked, drain them gently and place them in a platter to cool.Once cooled, place the battis on on a baking sheet lined with parchment paper and place the sheet in the oven.Bake the masala stuffed battis at 200 degrees for about 25 to 35 minutes, turning them over every 10 minutes to ensure an evenly baked through and golden brown in color.Once they’re golden brown and crisp, remove the masala battis baking sheet from the oven and place it on a baking tray to cool slightly.Serve the Baked Whole Wheat Masala Baati while still hot, with ghee. If you are calorie conscious, you can have it with Panchmel Dal, with just a light drizzle of ghee as a meal, or as a light evening snack along with a cup of tea.
</t>
  </si>
  <si>
    <t>गेहूं की मसाला बाटी बनाने के लिए सबसे पहले एक बड़े मिक्सिंग बाउल में ‘बाटी बनाने के लिए’ के तहत बताई गई सभी सामग्री को मिला लें। सभी सामग्री को एक साथ गूंथकर मुलायम आटा गूंथ लें, जो लचीला हो, लेकिन चिपचिपा न हो। अगर आटा थोड़ा सख्त या सख्त हो जाए, तो थोड़ा दूध डालें और इसे तब तक गूंथें जब तक यह छूने पर नरम न हो जाए। आटे को बराबर भागों में बांट लें, उन्हें एक प्लेट या ट्रे में रख दें। आटे को गीले कपड़े से ढककर आधे घंटे के लिए रख दें। इस बीच मसाला भरने की तैयारी करें। इसके लिए, एक पैन को आंच पर रखें। इसमें थोड़ा तेल डालें और इसे गर्म होने दें। फिर तेल में जीरा, प्याज़ और हरी मिर्च डालें और प्याज़ के हल्के गुलाबी होने तक भूनें। इसके बाद, प्याज़ में अदरक लहसुन का पेस्ट, लाल मिर्च पाउडर, हल्दी पाउडर, धनिया पाउडर, भुना जीरा पाउडर और नमक डालें और एक साथ मिलाएँ। इसे पकाते समय लगातार हिलाते रहें, जब तक कि मसालों की कच्ची महक चली न जाए। फिर मटर डालें और 3 मिनट तक पकाएँ जब तक कि सभी सामग्री एक साथ मिल न जाएँ। मटर को पकाने के लिए अगर ज़रूरत हो तो पानी डालें, लेकिन मटर के पक जाने के बाद, तब तक पकाएँ जब तक कि अतिरिक्त पानी पूरी तरह से सूख न जाए। मटर के पक जाने और पानी के पूरी तरह से सूख जाने के बाद, आँच बंद कर दें और मसाले को एक तरफ़ रख दें ताकि यह पूरी तरह से ठंडा हो जाए। अब, बाटी बनाने के लिए। एक बार में एक हिस्सा लें, और इसे 2-3 इंच के व्यास में एक छोटी सी डिस्क में चपटा करें, और इसे अपनी हथेली में रखें। मटर मसाला का कुछ भरावन लें, इसे डिस्क के बीच में रखें। फिर, सिरों को एक साथ लाएँ, बीच में भरावन को रखते हुए, किनारों को एक साथ दबाकर छेद को सील करें। बॉल को थोड़ा दबाएँ और बॉल के बीच में अपने अंगूठे से एक छोटा सा गड्ढा बनाएँ। आटे के सभी हिस्सों के साथ दोहराएँ। फिर, एक भारी तली वाले बर्तन को आँच पर रखें और उसमें लगभग 3 लीटर पानी डालें। पानी को उबालें, आँच को धीमा करें और धीरे से बाटी को पानी में डालें। इन्हें धीमी आंच पर 15 से 20 मिनट तक पकने दें जब तक ये पक कर ऊपर न आ जाएं। इस बीच, ओवन को 200 डिग्री सेंटीग्रेड पर पहले से गरम कर लें। जब बाटी पक जाए तो इन्हें धीरे से छान लें और एक प्लेट में ठंडा होने के लिए रख दें। ठंडा होने पर बाटी को चर्मपत्र कागज से ढकी बेकिंग शीट पर रखें और शीट को ओवन में रख दें। मसाला भरी बाटी को 200 डिग्री पर लगभग 25 से 35 मिनट तक बेक करें, इन्हें हर 10 मिनट में पलटते रहें ताकि ये अच्छी तरह से पक जाएं और इनका रंग सुनहरा भूरा हो जाए। एक बार जब ये सुनहरे भूरे और कुरकुरे हो जाएं तो मसाला बाटी बेकिंग शीट को ओवन से निकालें और इसे बेकिंग ट्रे पर थोड़ा ठंडा होने के लिए रख दें। बेक्ड होल व्हीट मसाला बाटी को घी के साथ गरम ही परोसें।</t>
  </si>
  <si>
    <t>http://www.archanaskitchen.com/baked-whole-wheat-masala-baati-recipe-healthy-rajasthani-spiced-wheat-dumplings</t>
  </si>
  <si>
    <t>Mirchi Ka Kuta Recipe</t>
  </si>
  <si>
    <t>मिर्ची का कुटा रेसिपी</t>
  </si>
  <si>
    <t>20 हरी मिर्च, 1 बड़ा चम्मच सरसों के बीज, 1 बड़ा चम्मच सौंफ, नमक - स्वादानुसार, 2 नींबू - रस निकाला हुआ, 1 बड़ा चम्मच सूरजमुखी तेल</t>
  </si>
  <si>
    <t>20 Green Chillies,1 tablespoon Mustard seeds,1 tablespoon Fennel seeds (Saunf),Salt - to taste,2 Lemon - juiced,1 tablespoon Sunflower Oil</t>
  </si>
  <si>
    <t xml:space="preserve">To begin making Mirchi Ka Kuta Recipe, In a pestle and mortar, crush the mirchi and keep it in a bowl.Grind the mustard seeds and saunf in a grinder or pestle and mortar and keep it aside.Once the mirchi is crushed, to the same bowl, add ground mustard seeds and sauf by adding a little oil.Mix it well and add 2 fresh lemon juice into it.Keep in sun for 2 days. you can eat it immediately also, but pickled version tastes yummier.Serve Mirchi Ka Kuta Recipe along with Lauki Thepla Recipe and a bowl of homemade curd.
</t>
  </si>
  <si>
    <t>मिर्ची का कूटा रेसिपी बनाने के लिए सबसे पहले मिर्ची को मूसल और खरल में पीस लें और एक कटोरे में रख लें। सरसों के बीज और सौंफ को ग्राइंडर या मूसल और खरल में पीस लें और एक तरफ रख दें। मिर्ची के कुचल जाने के बाद उसी कटोरे में पिसी हुई सरसों के बीज और सौंफ डालकर थोड़ा तेल डालें। इसे अच्छे से मिला लें और इसमें 2 ताजे नींबू का रस डालें। इसे 2 दिनों तक धूप में रखें। आप इसे तुरंत भी खा सकते हैं, लेकिन अचार वाला संस्करण अधिक स्वादिष्ट लगता है। मिर्ची का कूटा रेसिपी को लौकी थेपला रेसिपी और एक कटोरी घर के बने दही के साथ परोसें।</t>
  </si>
  <si>
    <t>https://www.archanaskitchen.com/mirchi-ka-kuta-recipe</t>
  </si>
  <si>
    <t>Bharwa Besan Mirch Sabzi Recipe - Chillies Stuffed With Spiced Gram Flour</t>
  </si>
  <si>
    <t>भरवा बेसन मिर्च सब्जी रेसिपी - मसालेदार बेसन से भरी मिर्च</t>
  </si>
  <si>
    <t>6 बड़ी हरी मिर्च - (बिना तीखी) डंठल हटाई हुई, 1/2 कप बेसन, 1 बड़ा चम्मच सूरजमुखी तेल, 1/2 छोटा चम्मच जीरा, 1/2 छोटा चम्मच हींग, 1 छोटा चम्मच आमचूर, 1/2 छोटा चम्मच हल्दी, 1/2 छोटा चम्मच धनिया पाउडर, नमक - आवश्यकतानुसार, धनिया पत्ती - आवश्यकतानुसार, सूरजमुखी तेल - आवश्यकतानुसार, पानी - आवश्यकतानुसार</t>
  </si>
  <si>
    <t>6 Badi hari mirch (Large Green Chilli) - (non spicy) stalk removed,1/2 cup Gram flour (besan),1 tablespoon Sunflower Oil,1/2 teaspoon Cumin seeds (Jeera),1/2 teaspoon SSP Asafoetida (Hing),1 teaspoon Amchur (Dry Mango Powder),1/2 teaspoon Turmeric powder (Haldi),1/2 teaspoon Coriander Powder (Dhania),Salt - salt as required,Coriander (Dhania) Leaves - as required,Sunflower Oil - as required,Water - as required</t>
  </si>
  <si>
    <t xml:space="preserve">To prepare this easy Bharwa Besan Mirch Sabzi Recipe (Chillies Stuffed With Spiced Gram Flour), Firstly make the stuffing.Heat oil in a wok/kadai and add cumin seeds and hing. Sauté for about 30 seconds.Add besan into it and cook for about 10 to 15 minutes on low flame, such that the mixture doesn’t get burnt.Once it is cooked, add the masalas including amchur powder, haldi powder, dhaniya powder, coriander leaves and the required salt.Sauté well and cook for 3 - 4 minutes on low flame. Keep it aside.Fill the besan stuffing inside all the deseeded and slit chilies.Heat a little oil in a wide pan and add the stuffed chilies. Sprinkle some water on them and cover the pan with a lid.Cook it for 10 to 15 minutes or till the Bharwa Besan Mirch Sabzi become soft and appear cooked. Once done transfer the Mirchi ki Sabzi to a serving bowl and serve hot.Serve Bharwa Besan Mirch Sabzi as a side with dal fry and chapatis for a lunch or dinner.
</t>
  </si>
  <si>
    <t>इस आसान भरवा बेसन मिर्च सब्ज़ी रेसिपी (मसालेदार बेसन से भरी मिर्च) को बनाने के लिए, सबसे पहले भरावन तैयार करें। एक कड़ाही में तेल गरम करें और उसमें जीरा और हींग डालें। लगभग 30 सेकंड के लिए भूनें। इसमें बेसन डालें और धीमी आंच पर लगभग 10 से 15 मिनट तक पकाएँ, ताकि मिश्रण जले नहीं। एक बार जब यह पक जाए, तो इसमें अमचूर पाउडर, हल्दी पाउडर, धनिया पाउडर, धनिया पत्ती और आवश्यक नमक सहित मसाले डालें। अच्छी तरह से भूनें और धीमी आंच पर 3-4 मिनट तक पकाएँ। इसे एक तरफ रख दें। सभी बीज निकाली हुई और कटी हुई मिर्चों के अंदर बेसन का भरावन भरें। एक चौड़े पैन में थोड़ा तेल गरम करें और भरी हुई मिर्चें डालें। उन पर थोड़ा पानी छिड़कें और पैन को ढक्कन से ढक दें। इसे 10 से 15 मिनट तक पकाएँ या जब तक भरवा बेसन मिर्च सब्ज़ी नरम न हो जाए और पक गई लगे। एक बार तैयार हो जाने पर मिर्ची की सब्जी को एक सर्विंग बाउल में डालें और गरमागरम परोसें। भरवा बेसन मिर्च सब्जी को दाल फ्राई और चपाती के साथ लंच या डिनर में परोसें।</t>
  </si>
  <si>
    <t>https://www.archanaskitchen.com/bharwa-besan-mirch-sabzi-recipe-chillies-stuffed-with-spiced-gram-flour</t>
  </si>
  <si>
    <t>Spiced Khooba Roti (Rajasthani Pinched Flatbread Recipe)</t>
  </si>
  <si>
    <t>मसालेदार खूबा रोटी (राजस्थानी पिंच्ड फ्लैटब्रेड रेसिपी)</t>
  </si>
  <si>
    <t>1-1/2 कप गेहूं का आटा - 1.5 कप गेहूं का आटा, 1/2 चम्मच नमक, 2 चम्मच जीरा - कुचला हुआ, 2 बड़े चम्मच घी</t>
  </si>
  <si>
    <t>1-1/2 cups Whole Wheat Flour - 1.5 cups Whole wheat flour,1/2 teaspoon Salt,2 teaspoons Cumin seeds (Jeera) - crushed,2 tablespoons Ghee</t>
  </si>
  <si>
    <t xml:space="preserve">To prepare Spiced Khooba Roti (Rajasthani Pinched Flatbread Recipe), in a large mixing bowl, add flour, salt, crushed cumin and ghee.Mix together with your hand to form crumbs.Now gradually add warm water and knead the flour to make a soft and pliable dough.Cover the dough with a muslin cloth and allow it to rest for 10 mins.Heat a flat iron tawa/skillet and meanwhile start making the roti.Pinch a large lemon sized ball from the dough and roll it to make a ball.Dust the counter well and roll out the dough ball to make a thick round roti.Place the thick roti on the tawa and dry roast from bottom side.While the roti is roasting from bottom, start pinching the top and make impressions. You can make impressions in any pattern you want.Flip the roti and again roast from the patterned side.Once both sides are lightly browned hold the roti with a tong, remove it from tawa and place it directly on flames.Flip and roast from both sides till it's evenly cooked from all sides , place it on a plate and brush the patterned side with ghee.Serve Spiced Khooba Roti (Rajasthani Pinched Flatbread Recipe) with with Rabodi Ki Sabzi Recipe and Besan Aur Mirch Ki Sabzi Recipe for dinner or lunch.
</t>
  </si>
  <si>
    <t>मसालेदार खूबा रोटी (राजस्थानी चुटकी भर फ्लैटब्रेड रेसिपी) बनाने के लिए, एक बड़े मिश्रण के कटोरे में आटा, नमक, कुटा हुआ जीरा और घी डालें। अपने हाथ से मिलाकर चूर्ण बना लें। अब धीरे-धीरे गर्म पानी डालें और नरम और लचीला आटा गूंध लें। आटे को मलमल के कपड़े से ढक दें और इसे 10 मिनट तक आराम दें। एक सपाट लोहे का तवा गर्म करें और इस बीच रोटी बनाना शुरू करें। आटे से एक बड़े नींबू के आकार की गेंद को चुटकी से दबाएं और इसे एक गेंद बनाने के लिए रोल करें। काउंटर को अच्छी तरह से धूल दें और एक मोटी गोल रोटी बनाने के लिए आटे की गेंद को रोल करें। मोटी रोटी को तवा पर रखें और नीचे की तरफ से सूखा भूनें। जब रोटी नीचे से सिक रही हो, तो ऊपर से चुटकी बजाना शुरू करें और छापें। आप अपनी इच्छानुसार किसी भी पैटर्न में छाप बना सकते हैं। रोटी को पलटें और फिर से पैटर्न वाली तरफ से सेकें। जब दोनों तरफ से हल्का भूरा हो जाए तो रोटी को चिमटे से पकड़ें, तवे से उतारें और सीधे आंच पर रखें। पलटें और दोनों तरफ से तब तक सेकें जब तक कि यह सभी तरफ से समान रूप से पक न जाए, इसे एक प्लेट में रखें और पैटर्न वाली तरफ घी लगाएं। मसालेदार खूबा रोटी (राजस्थानी पिंच्ड फ्लैटब्रेड रेसिपी) को राबोडी की सब्जी रेसिपी और बेसन और मिर्च की सब्जी रेसिपी के साथ रात के खाने या दोपहर के भोजन के लिए परोसें।</t>
  </si>
  <si>
    <t>http://www.archanaskitchen.com/spiced-khooba-roti-rajasthani-pinched-flatbread-recipe</t>
  </si>
  <si>
    <t>Besan Capsicum Sabzi Recipe</t>
  </si>
  <si>
    <t>बेसन शिमला मिर्च की सब्जी रेसिपी</t>
  </si>
  <si>
    <t>सूरजमुखी तेल - आवश्यकतानुसार, 1-1/2 कप बेसन, 2 प्याज - कटे हुए, 1/2 लाल शिमला मिर्च - कटी हुई, 1/2 पीली शिमला मिर्च - कटी हुई, 1 चम्मच लाल मिर्च पाउडर, 1/2 चम्मच हल्दी पाउडर, पानी - आवश्यकतानुसार, धनिया पत्ती - गार्निश के लिए आवश्यकतानुसार</t>
  </si>
  <si>
    <t>Sunflower Oil - as required,1-1/2 cups Gram flour (besan),2 Onion - sliced,1/2 Red Bell pepper (Capsicum) - chopped,1/2 Yellow Bell Pepper (Capsicum) - chopped,1 teaspoon Red Chilli powder,1/2 teaspoon Turmeric powder (Haldi),Water - as required,Coriander (Dhania) Leaves - as required to garnish</t>
  </si>
  <si>
    <t xml:space="preserve">To begin making the Besan Capsicum Ki Sabzi recipe, in a deep pan, boil the chopped peppers in 2 cups of water and once tender drain and keep aside.Sieve besan twice so that there are no lumps and keep aside.In a heavy bottom pan, heat oil and add sliced onions and fry till slightly browned.Add dry masalas and capsicum to the same and saute for about 2 minutes.Add besan to this with hand slowly and stir using the other, taking care there are no lumps.Sprinkle some water, cover and cook for about 5 to 6 minutes till the sabji is cooked and darker in colour. Garnish with chopped coriander and it is ready to be served.Serve Besan Capsicum Ki Sabzi with Phulka, Pitor Ki Sabzi and rice for a perfect meal.
</t>
  </si>
  <si>
    <t>बेसन शिमला मिर्च की सब्जी बनाने के लिए सबसे पहले एक गहरे पैन में कटी हुई शिमला मिर्च को 2 कप पानी में उबालें और नरम होने पर छानकर अलग रख दें। बेसन को दो बार छान लें ताकि गांठें न रहें और अलग रख दें। एक भारी तले की कड़ाही में तेल गर्म करें और उसमें कटे हुए प्याज डालें और हल्का भूरा होने तक भूनें। इसमें सूखे मसाले और शिमला मिर्च डालें और लगभग 2 मिनट तक भूनें। इसमें धीरे-धीरे हाथ से बेसन डालें और दूसरे हाथ से चलाएँ, ध्यान रहे कि गांठें न रहें। थोड़ा पानी छिड़कें, ढककर लगभग 5 से 6 मिनट तक पकाएँ जब तक कि सब्जी पक न जाए और उसका रंग गहरा न हो जाए। कटा हरा धनिया डालकर गार्निश करें और यह परोसने के लिए तैयार है। बेसन शिमला मिर्च की सब्जी को फुल्का, पिटोर की सब्जी और चावल के साथ परोसिए।</t>
  </si>
  <si>
    <t>https://www.archanaskitchen.com/besan-capsicum-ki-sabzi-recipe</t>
  </si>
  <si>
    <t>Sweet &amp; Spicy Raw Papaya Moongphali Sabzi Recipe</t>
  </si>
  <si>
    <t>मीठी और मसालेदार कच्चे पपीता मूंगफली की सब्जी रेसिपी</t>
  </si>
  <si>
    <t>300 ग्राम कच्चा पपीता - छिला हुआ और चौकोर टुकड़ों में कटा हुआ, 1 चम्मच सरसों के बीज, 1 चम्मच सौंफ के बीज (सौंफ), 1 प्याज - कटा हुआ, 1 इंच अदरक - कटा हुआ, 4 लहसुन के दाने - कटा हुआ, 1 चम्मच लाल मिर्च पाउडर, 1/4 चम्मच हल्दी पाउडर (हल्दी), 2 चम्मच गरम मसाला पाउडर, 1 चम्मच अमचूर (सूखा आम पाउडर), 1 चम्मच गुड़ - कुचला हुआ, 2 चम्मच कच्ची मूंगफली (मूंगफली) - पाउंड, नमक - स्वादानुसार, सूरजमुखी का तेल</t>
  </si>
  <si>
    <t>300 grams Raw papaya - skin peeled and cut into cube,1 teaspoon Mustard seeds,1 teaspoon Fennel seeds (Saunf),1 Onion - chopped,1 inch Ginger - chopped,4 cloves Garlic - chopped,1 teaspoon Red Chilli powder,1/4 teaspoon Turmeric powder (Haldi),2 teaspoons Garam masala powder,1 teaspoon Amchur (Dry Mango Powder),1 teaspoon Jaggery - crushed,2 teaspoons Raw Peanuts (Moongphali) - pound,Salt - to taste,Sunflower Oil</t>
  </si>
  <si>
    <t xml:space="preserve">To begin making the Sweet &amp; Spicy Raw Papaya Moongphali Ki Sabzi Recipe, we will first pressure cook the raw papaya with enough water and salt in a pressure cooker.Pressure cook for about 1 whistle and switch off, allow the pressure to release naturally and drain the water and keep it aside.Heat a skillet with oil, add mustard seeds, fennel seeds and allow it to crackle for few seconds.Add ginger and garlic and saute until it softens. Add onion and saute till they turn translucent.Once the onions turn translucent, add all the spice powders including red chilli powder, turmeric powder, garam masala powder, amchur powder, and give it a mix add cooked raw papaya along with crushed jaggery and salt.Saute well until it all comes together, finally pound raw peanuts to a coarse mixture and add it into the sabzi and mix well.Serve the Sweet &amp; Spicy Raw Papaya Moongphali Ki Sabzi Recipe along with Tawa Paratha, Tomato Onion Tadka Raita and Pudina Rice Recipe (Spicy Mint Pulao) to enjoy your everyday meal.
</t>
  </si>
  <si>
    <t>मीठे और मसालेदार कच्चे पपीते मूंगफली की सब्जी बनाने के लिए, हम सबसे पहले एक प्रेशर कुकर में कच्चे पपीते को पर्याप्त पानी और नमक के साथ पकाएंगे। लगभग 1 सीटी आने तक पकाएं और स्विच ऑफ कर दें, प्रेशर को स्वाभाविक रूप से निकलने दें और पानी निथार कर एक तरफ रख दें। एक कड़ाही में तेल गर्म करें, उसमें राई, सौंफ डालें और कुछ सेकंड के लिए उसे चटकने दें। अदरक और लहसुन डालें और नरम होने तक भूनें। प्याज डालें और पारदर्शी होने तक भूनें। एक बार जब प्याज पारदर्शी हो जाए, तो लाल मिर्च पाउडर, हल्दी पाउडर, गरम मसाला पाउडर, अमचूर पाउडर सहित सभी मसाले पाउडर डालें और इसे पका हुआ कच्चा पपीता, कुचला हुआ गुड़ और नमक डालें। अच्छी तरह से तब तक भूनें जब तक कि यह सब एक साथ न मिल जाए, अंत में कच्ची मूंगफली को दरदरा पीस लें और इसे सब्ज़ी में डालें और अच्छी तरह मिलाएँ। अपने रोज़मर्रा के खाने का आनंद लेने के लिए इस मीठी और मसालेदार कच्चे पपीते मूंगफली की सब्जी को तवा पराठा, टमाटर प्याज तड़का रायता और पुदीना चावल रेसिपी (मसालेदार पुदीना पुलाव) के साथ परोसें।</t>
  </si>
  <si>
    <t>http://www.archanaskitchen.com/sweet-spicy-raw-papaya-moongfali-ki-subzi-recipe</t>
  </si>
  <si>
    <t>Rajasthani Onion Kadhi Recipe – Rajasthani Pyaaz Ki Kadhi Recipe</t>
  </si>
  <si>
    <t>राजस्थानी प्याज की कढ़ी रेसिपी - राजस्थानी प्याज की कढ़ी रेसिपी</t>
  </si>
  <si>
    <t>1 कप दही - अच्छी तरह से फेट ले, 2 बड़े मोटे बेसन, 1/2 छोटा मोटा घी, 1 छोटा कप पानी, 1 प्याज - पतला और कटा ले, 1 बड़ा मोटा अदरक - मोटा कट ले, 1 बड़ा मोटा अदरक - 1/2 छोटा मोटा मेथी के दाने, हींग - पिज़्ज़ा भर, 1 बड़ा बड़ा घी, 1 बड़ा मक्खन घी, 1 छोटा मोटा जीरा, 1 छोटा प्याज - पतला और कटा ले, 1 बड़ा मोटा अदरक - 1 छोटा आटा ले, 1 छोटा आटा ले, 1 छोटा मोटा घी, 1 छोटा आटा ले, 1 छोटा मोटा घी, 1 छोटा मोटा घी, 1 छोटा मोटा घी, 1 छोटा मोटा जीरा, 1 छोटा आटा ले, 1 छोटा आटा ले, 1 छोटा मोटा घी</t>
  </si>
  <si>
    <t>1 cup curd - whisk well, 2 tbsp gram flour, 1/2 tsp turmeric powder, 1 tsp red chilli powder, 1 cup water, 1 onion - sliced ​​thinly and straight, 1 tbsp ginger - finely chopped, 1 tsp mustard seeds, 1/2 tsp fenugreek seeds, asafoetida - a pinch, 1 tbsp ghee, 1 tbsp ghee, 1 tsp cumin seeds, 1 tsp coriander seeds, 1 dried red chilli, 1 sprig curry leaves</t>
  </si>
  <si>
    <t>To make Rajasthani Pyaaz Kadhi Recipe, first take a bowl and add curd, gram flour, turmeric powder, red chilli powder, water as per requirement and mix well. Be careful that it does not form lumps. Heat ghee in a pan. Add mustard seeds, fenugreek seeds and let the mustard seeds crackle. Add asafoetida, onion and cook till onion becomes soft. After onion becomes soft, add curry mixture, water as per requirement and let it boil. After boiling, reduce the flame of the gas, add salt and let the curry cook on a low flame for 10 to 15 minutes. Turn off the gas and take it out in a bowl. For the Tadka, heat ghee in a Tadka pan. Add cumin seeds, coriander seeds and cook for 15 seconds. Now add curry leaves, dry red chillies and turn off the gas after 10 seconds. Add it to the Kadhi, mix and serve. Serve Rajasthani Onion Kadhi Recipe with Makki ki Roti and Sarson Ka Saag. You can also serve it with Rice and Kachumber Salad.</t>
  </si>
  <si>
    <t xml:space="preserve">राजस्थानी प्याज की कढ़ी रेसिपी बनाने के लिए सबसे पहले एक बाउल में दही, बेसन, हल्दी पाउडर, लाल मिर्च पाउडर, प्रयोग पानी डाला और अच्छी तरह से मिला ले। ध्यान रखें गाठें न पड़े. एक चटनी में घी गरम करें। इसमें राइज, मेथी के दानें डाले गए और राइज को तड़काने दे।  हींग, प्याज और प्याज के नर होने तक पका ले प्याज के नर होने के बाद इसमें कढ़ी का मिश्रण, प्रयोग पानी डाला और पतला दे। 10 से 15 मिनट के लिए गैस की आंच कम करें, नमक डालें और कढ़ी को धीमी आंच पर पकाएं। गैस बंद करें और एक बाउल में निकालें ले.तड़के के लिए, एक तड़का में पैन घी गरम करें। जीरा, धनिया के बीज डाले और 15 सेकंड तक गैस बंद कर ले। अब इसमें कढ़ी पत्ता, सुखी लाल मिर्च डाला और 10 सेकंड बाद गैस बंद कर ले। कढ़ी में डाला, मिलाए और बनाए। राजस्थानी प्याज की कढ़ी रेसिपी को मक्की की रोटी और सरसों के साग के साथ बनाएं। आप इसे चावल और कचुम्बर केक के साथ भी बना सकते हैं.
</t>
  </si>
  <si>
    <t>https://www.archanaskitchen.com/rajasthani-pyaaz-ki-kadhi-recipe-onion-kadhi-recipe-in-hindi</t>
  </si>
  <si>
    <t>Bhutte Ka Kees Recipe</t>
  </si>
  <si>
    <t>भुट्टे का कीस रेसिपी</t>
  </si>
  <si>
    <t>1-1/2 कप स्वीट कॉर्न - उबले हुए और पेस्ट की तरह पीसे हुए, 1 चम्मच घी, 1/2 कप दूध, 1/2 चम्मच जीरा, 1/2 चम्मच सरसों के बीज, 1 हरी मिर्च - बारीक कटी हुई, 1 चम्मच अदरक - कसा हुआ, 1/2 चम्मच हल्दी पाउडर (हल्दी), 1/4 चम्मच लाल मिर्च पाउडर, 1/4 चम्मच हींग, 1/2 चम्मच चीनी, 1 चम्मच नींबू का रस, धनिया पत्ती - आवश्यकतानुसार (गार्निश के लिए), नमक - स्वादानुसार</t>
  </si>
  <si>
    <t>1-1/2 cup Sweet corn - steamed and ground to paste,1 teaspoon Ghee,1/2 cup Milk,1/2 teaspoon Cumin seeds (Jeera),1/2 teaspoon Mustard seeds,1 Green Chilli - finely chopped,1 teaspoon Ginger - grated,1/2 teaspoon Turmeric powder (Haldi),1/4 teaspoon Red Chilli powder,1/4 teaspoon Asafoetida (hing),1/2 teaspoon Sugar,1 teaspoon Lemon juice,Coriander (Dhania) Leaves - as required (for garnish),Salt - to taste</t>
  </si>
  <si>
    <t xml:space="preserve">To begin making the Bhutte Ka Kees, firstly we will steam the corn. Add the corn in a pressure cooker with required water and cook it till the pressure cooker releases 2 whistles. Make a paste out of corn and keep it aside.Heat a wok with ghee. Add the steamed corn with a little milk in a food processor and make a coarse paste out of it. Once it is done, keep it aside.Heat a heavy bottomed pan with ghee. Add asafoetida, cumin seeds and mustard seeds. Let it cook for about 15 seconds.After 15 seconds, add ginger, green chillies, turmeric powder, and salt. Cook for about 30 seconds.Mix and after 30 seconds add in the corn paste. Cook for 2 minutes and then add red chilli powder. After 10 seconds add milk and a little sugar. Let it cook for 3 to 5 minutes.Stir in between continuously. Lastly, add lemon juice and coriander leaves. Serve hot.Serve Bhutte Ka Kees along with Masala Chai and Linzer Cookies for your tea time break.
</t>
  </si>
  <si>
    <t>भुट्टे का कीस बनाने के लिए सबसे पहले हम भुट्टे को भाप में पकाएँगे। भुट्टे को प्रेशर कुकर में ज़रूरत के अनुसार पानी के साथ डालें और तब तक पकाएँ जब तक कि प्रेशर कुकर में 2 सीटी न आ जाएँ। भुट्टे का पेस्ट बनाकर अलग रख लें। एक कड़ाही में घी गरम करें। उबले हुए भुट्टे को थोड़े से दूध के साथ फ़ूड प्रोसेसर में डालें और उसका मोटा पेस्ट बना लें। जब यह बन जाए तो इसे अलग रख लें। एक भारी तले वाली कड़ाही में घी गरम करें। उसमें हींग, जीरा और राई डालें। इसे लगभग 15 सेकंड तक पकने दें। 15 सेकंड के बाद अदरक, हरी मिर्च, हल्दी पाउडर और नमक डालें। लगभग 30 सेकंड तक पकाएँ। मिलाएँ और 30 सेकंड के बाद भुट्टे का पेस्ट डालें। 2 मिनट तक पकाएँ और फिर लाल मिर्च पाउडर डालें। 10 सेकंड के बाद दूध और थोड़ी चीनी डालें। इसे 3 से 5 मिनट तक पकने दें। बीच-बीच में लगातार चलाते रहें। आखिर में नींबू का रस और धनिया पत्ती डालें। गरमागरम परोसें। भुट्टे का कीस को मसाला चाय और लिंजर कुकीज़ के साथ चाय के समय परोसें।</t>
  </si>
  <si>
    <t>http://www.archanaskitchen.com/bhutte-ka-kees-recipe</t>
  </si>
  <si>
    <t>Rabi vegetable recipe</t>
  </si>
  <si>
    <t>राबोडी की सब्जी रेसिपी</t>
  </si>
  <si>
    <t>1 कप राबोडी (सूखे मकई पापड़), 1/2 कप दही, 1 प्याज - बारीक कटा हुआ, 2 हरी मिर्च, 1 चम्मच जीरा, 3/4 चम्मच लाल मिर्च पाउडर, 1/4 चम्मच हल्दी, 1 चम्मच धनिया पाउडर, नमक - स्वादानुसार, 1 बड़ा चम्मच सूरजमुखी तेल, पानी - उबलता पानी</t>
  </si>
  <si>
    <t>1 cup Rabodi (dried corn papad),1/2 cup Curd (Dahi / Yogurt),1 Onion - finely chopped,2 Green Chillies,1 teaspoon Cumin seeds (Jeera),3/4 teaspoon Red Chilli powder,1/4 teaspoon Turmeric powder (Haldi),1 teaspoon Coriander Powder (Dhania),Salt - to taste,1 tablespoon Sunflower Oil,Water - Boiling water</t>
  </si>
  <si>
    <t xml:space="preserve">To begin with Rabodi Ki Sabzi, firstly break Rabodi into smaller bite size pieces. Immerse it completely in boiling water and soak it for about 1 to 2 hours or until it becomes soft.Heat oil in a wok. Add cumin seeds and let it splutter. Add finely chopped onions and green chilies and sauté till onions turn soft.Add red chili powder, turmeric powder, coriander powder, salt and mix everything well.Add the whisked curd and cook it on low flame until oil starts to float on top.Drain the softened rabodi from water and add it to the curd mixture. Cook for about 5 to 7 minutes on low flame. Add water as required if the sabzi thickens up.Garnish with fresh chopped coriander leaves and it is ready to be served.Serve Rabodi Ki Sabzi with Phulkas or steamed rice for a healthy lunch or dinner.
</t>
  </si>
  <si>
    <t>राबोडी की सब्जी बनाने के लिए सबसे पहले राबोडी को छोटे-छोटे टुकड़ों में तोड़ लें। इसे पूरी तरह से उबलते पानी में डुबोएं और लगभग 1 से 2 घंटे तक या नरम होने तक भिगो दें। एक कड़ाही में तेल गर्म करें। उसमें जीरा डालें और उसे तड़कने दें। बारीक कटा हुआ प्याज और हरी मिर्च डालें और प्याज के नरम होने तक भूनें। लाल मिर्च पाउडर, हल्दी पाउडर, धनिया पाउडर, नमक डालें और सभी चीजों को अच्छी तरह मिला लें। फेंटा हुआ दही डालें और धीमी आंच पर तब तक पकाएं जब तक कि तेल ऊपर न तैरने लगे। नरम राबोडी को पानी से निकाल लें और दही के मिश्रण में मिला दें। धीमी आंच पर लगभग 5 से 7 मिनट तक पकाएं। अगर सब्जी गाढ़ी हो जाए तो आवश्यकतानुसार पानी डालें। ताजा कटा हरा धनिया से गार्निश करें और यह परोसने के लिए तैयार है। राबोडी की सब्जी को फुल्के या उबले चावल के साथ हेल्दी लंच या डिनर के लिए परोसें।</t>
  </si>
  <si>
    <t>https://www.archanaskitchen.com/rabodi-ki-sabzi-recipe</t>
  </si>
  <si>
    <t>Hare Chana Ki Burfi Recipe</t>
  </si>
  <si>
    <t>हरे चने की बर्फी रेसिपी</t>
  </si>
  <si>
    <t>1 कप ताजे हरे चने, 200 ग्राम मावा, 3/4 कप चीनी - पीसी हुई, 1 बड़ा चम्मच इलायची पाउडर (इलायची), 1/2 कप मिक्स नट्स - पतले कटे हुए + 2 बड़े चम्मच गार्निश के लिए अतिरिक्त, 3/4 कप घी</t>
  </si>
  <si>
    <t>1 cup Fresh green chickpeas,200 grams Khoya (Mawa),3/4 cup Sugar - powdered,1 tablespoon Cardamom Powder (Elaichi),1/2 cup Mixed nuts - sliced thin + 2 tablespoon extra for garnish,3/4 cup Ghee</t>
  </si>
  <si>
    <t xml:space="preserve">To begin making the Hare Chane Ki Burfi Recipe, grind the hare chane in a mixer grinder adding very little water to a smooth paste. Do not add much water; you can use about 1 teaspoon water to help grinding, not more than that. We want a thick, smooth paste.Heat desi ghee in a heavy bottomed pan. Add the ground hare chane paste and cook it on low to medium heat, stirring it constantly for about 15 to 20 minutes until you see the hare chane is getting cooked and changing color, giving out a nice aroma.At this stage, add the crumbled khoya, and keep stirring into the hare chane until the khoya melts and gets well combined into the burfi mixture.Once the khoya has blended well, add the sugar, cardamom powder and thin sliced nuts and mix well. You have to keep on stirring to prevent the mix from changing color to brown or burning.Once the burfi reaches thick consistency and all the ingredients are blended well and the burfi comes of from the sides of the pan, turn off the stove.Grease a plate well with ghee. Transfer the hare chane ki burfi mixture into the greased plate and spread it evenly. Smooth the top and the edges. Sprinkle the extra nuts on top and slightly press, place the burfi in fridge for about 4-6 hours to set.Once Hare Chane Ki Burfi has completely set, cut into desired shape using a sharp knife and serve. You can store these burfis in refrigerator for about a week in air tight container.Serve Hare Chane Ki Burfi as a dessert after your meal of Rajasthani Gatte Ki Sabzi, Phulka and Kachumber Salad for a weekday meal.
</t>
  </si>
  <si>
    <t>हरे चने की बर्फी रेसिपी बनाने के लिए, हरे चने को मिक्सर ग्राइंडर में बहुत कम पानी डालकर मुलायम पेस्ट बनने तक पीस लें। अधिक पानी न डालें; पीसने में मदद के लिए आप लगभग 1 चम्मच पानी का उपयोग कर सकते हैं, इससे अधिक नहीं। हमें गाढ़ा, चिकना पेस्ट चाहिए। एक भारी तले की कड़ाही में देसी घी गर्म करें। पीसा हुआ हरे चने का पेस्ट डालें और इसे धीमी से मध्यम आँच पर लगभग 15 से 20 मिनट तक लगातार चलाते हुए पकाएँ जब तक कि आप देखें कि हरे चने पक रहे हैं और उनका रंग बदल रहा है, और एक अच्छी खुशबू आ रही है। इस स्तर पर, चूरा किया हुआ खोवा डालें, और हरे चने में तब तक हिलाते रहें जब तक कि खोया पिघल न जाए और बर्फी के मिश्रण में अच्छी तरह से मिल न जाए मिश्रण को भूरा या जलने से रोकने के लिए आपको इसे लगातार हिलाते रहना होगा। जब बर्फी गाढ़ी हो जाए और सभी सामग्री अच्छी तरह मिल जाए और बर्फी पैन के किनारों से अलग होने लगे तो गैस बंद कर दें। एक प्लेट को घी से अच्छी तरह चिकना कर लें। हरे चने की बर्फी के मिश्रण को चिकनी की हुई प्लेट में डालें और समान रूप से फैला दें। ऊपर और किनारों को चिकना कर लें। ऊपर से अतिरिक्त मेवे छिड़कें और हल्का सा दबा दें, बर्फी को जमने के लिए 4-6 घंटे के लिए फ्रिज में रख दें। जब हरे चने की बर्फी पूरी तरह जम जाए तो तेज चाकू से मनचाहे आकार में काट लें और परोसें। आप इन बर्फी को एयर टाइट कंटेनर में भरकर एक हफ्ते तक फ्रिज में रख सकते हैं।</t>
  </si>
  <si>
    <t>http://www.archanaskitchen.com/hare-chane-ki-burfi-recipe</t>
  </si>
  <si>
    <t>Rajasthani Dana Methi &amp; Papad Ka Saag Recipe</t>
  </si>
  <si>
    <t>राजस्थानी दाना मेथी और पापड़ का साग रेसिपी</t>
  </si>
  <si>
    <t>1/3 कप मेथी के बीज, 2 मध्यम आकार के पापड़, 1 कप दही, नमक - स्वादानुसार, 1 चम्मच लाल मिर्च पाउडर, 1 चम्मच हल्दी पाउडर, 1 चम्मच जीरा - भुना हुआ, 1 बड़ा चम्मच धनिया पाउडर, 1 बड़ा चम्मच सूरजमुखी तेल, 1 चम्मच कसूरी मेथी, 20 किशमिश - वैकल्पिक, 1/2 चम्मच सरसों के बीज, 1/2 चम्मच जीरा, चुटकी भर हींग</t>
  </si>
  <si>
    <t>1/3 cup Methi Seeds (Fenugreek Seeds),2 Papads - medium sized,1 cup Curd (Dahi / Yogurt),Salt - to taste,1 teaspoon Red Chilli powder,1 teaspoon Turmeric powder (Haldi),1 teaspoon Cumin powder (Jeera) - roasted,1 tablespoon Coriander Powder (Dhania),1 tablespoon Sunflower Oil,1 teaspoon Kasuri Methi (Dried Fenugreek Leaves),20 Raisins - optional,1/2 teaspoon Mustard seeds,1/2 teaspoon Cumin seeds (Jeera),pinch Asafoetida (hing)</t>
  </si>
  <si>
    <t xml:space="preserve">To prepare Rajasthani Dana Methi Papad Ka Saag Recipe, wash and soak Dana methi/fenugreek seeds in clean water for about 15 minutes and bring to a boil till seeds swells up, but not burst out. Drain the water and keep boiled seeds aside.In a bowl, take yogurt and add chilli powder, salt, turmeric powder, cumin powder and mix well to form a paste.Heat oil in a wok, break Papads into pieces and fry in the oil.Take out fried papad pieces on a paper towel.In the same Wok, Add mustard seeds, cumin seeds and asafoetida in hot oil. Add yogurt and spices mix paste and cook for 2-3 minutes, till it comes together and cooks well.Add boiled Dana-Methi/fenugreek seeds and mix well. Add about 1-1.5 cup of water and bring to a boil.Add fried papads and let it simmer for about 2-3 minutes.Add fresh kasoori methi raisins, cover and simmer for 1-2 minutes and switch off the flame.This Saag gravy will be absorbed/reduced further upon cooling. So keep the consistency accordingly while adding water.Serve Rajasthani Dana Methi Papad Ka Saag Recipe hot with Bajri Ki Roti or Missi Roti alongside raita.
</t>
  </si>
  <si>
    <t>राजस्थानी दाना मेथी पापड़ का साग बनाने के लिए, दाना मेथी को धोकर साफ पानी में लगभग 15 मिनट के लिए भिगो दें और तब तक उबालें जब तक कि दाना फूल न जाए, लेकिन फूट न जाए। पानी निथार लें और उबले हुए दानों को एक तरफ रख दें। एक कटोरे में दही लें और उसमें मिर्च पाउडर, नमक, हल्दी पाउडर, जीरा पाउडर डालें और अच्छी तरह से मिलाकर पेस्ट बना लें। एक कड़ाही में तेल गरम करें, पापड़ को टुकड़ों में तोड़कर तेल में तल लें। तले हुए पापड़ के टुकड़ों को टिशू पेपर पर निकाल लें। उसी कड़ाही में गरम तेल में राई, जीरा और हींग डालें। दही और मसाले का पेस्ट डालें और 2-3 मिनट तक पकाएँ, जब तक कि यह एक साथ न आ जाए और अच्छी तरह से पक न जाए। उबले हुए दाना-मेथी / मेथी के दाने डालें और अच्छी तरह से मिलाएँ। लगभग 1-1.5 कप पानी डालें और उबाल लें। तले हुए पापड़ डालें और इसे लगभग 2-3 मिनट तक उबलने दें। ताज़ी कसूरी मेथी किशमिश डालें, ढककर 1-2 मिनट तक उबालें और आँच बंद कर दें। ठंडा होने पर यह साग ग्रेवी और भी कम हो जाएगी। इसलिए पानी डालते समय स्थिरता उसी के अनुसार रखें। राजस्थानी दाना मेथी पापड़ का साग रेसिपी बाजरी की रोटी या मिस्सी रोटी के साथ रायते के साथ गरमागरम परोसें।</t>
  </si>
  <si>
    <t>http://www.archanaskitchen.com/rajasthani-dana-methi-papad-ka-saag-recipe</t>
  </si>
  <si>
    <t>Rajasthani Sweet &amp; Spicy Sangri Sabzi Recipe</t>
  </si>
  <si>
    <t>राजस्थानी मीठी और मसालेदार केर सांगरी सब्जी रेसिपी</t>
  </si>
  <si>
    <t>3/4 कप सांगरी, 2 बड़े चम्मच केर, 2 सूखी लाल मिर्च - टुकड़ों में तोड़ी हुई, 1/2 चम्मच अजवाइन, 1/4 चम्मच हींग, 1/2 चम्मच हल्दी, 1-1/2 चम्मच लाल मिर्च पाउडर, 1 चम्मच आमचूर, 2 चम्मच धनिया पाउडर, 1 बड़ा चम्मच गुड़ - वैकल्पिक, 1/4 कप किशमिश, 4 टहनी धनिया पत्ते, सूरजमुखी तेल - पकाने के लिए</t>
  </si>
  <si>
    <t>3/4 cup Sangri,2 tablespoons Ker,2 Dry Red Chillies - broken into pieces,1/2 teaspoon Ajwain (Carom seeds),1/4 teaspoon Asafoetida (hing),1/2 teaspoon Turmeric powder (Haldi),1-1/2 teaspoons Red Chilli powder,1 teaspoon Amchur (Dry Mango Powder),2 teaspoons Coriander Powder (Dhania),1 tablespoon Jaggery - optional,1/4 cup Raisins,4 sprig Coriander (Dhania) Leaves,Sunflower Oil - for cooking</t>
  </si>
  <si>
    <t xml:space="preserve">To begin making the Ker Sangri Sabzi Recipe, soak the ker and sangri immersed in lot of water for at least 8 hours or overnight. After 8 hours, drain the water and rinse the ker sangri in water a couple of more times, to remove residual dust and dirt.In the next step, we will cook the soaked ker sangri in the pressure cooker. Place the soaked Ker Sangri in the pressure cooker, add 1 cup of water and cook the ker sangri until you hear 3 to 4 whistles.After 3 to 4 whistles, turn off the heat and allow the pressure to release naturally. The next step is to combine it with spices and make the Ker Sangri SabziHeat a tablespoon of oil in a heavy bottomed pan over medium heat. Add the ajwain, the red chillies and allow it to roast a little. Add the cooked raisins, the turmeric powder, asafoetida powder, coriander, amchur powder and finally the Ker Sangri and give all the ingredients a good stir.Stir fry until all the ingredients are combined and allow it to cook for another 5 minutes. Once done, turn off the heat and the Ker Sangri Sabzi is ready to be served.Serve the Ker Sangri Sabzi along with Kadhi, Phulkas and Steamed Rice and not to forget the ghee along with. 
</t>
  </si>
  <si>
    <t>केर सांगरी सब्ज़ी बनाने के लिए केर और सांगरी को कम से कम 8 घंटे या रात भर के लिए ढेर सारे पानी में भिगो दें। 8 घंटे बाद पानी निकाल दें और बची हुई धूल और गंदगी को हटाने के लिए केर सांगरी को पानी में कुछ और बार धो लें। अगले स्टेप में हम भीगी हुई केर सांगरी को प्रेशर कुकर में पकाएंगे। भीगी हुई केर सांगरी को प्रेशर कुकर में रखें, 1 कप पानी डालें और केर सांगरी को 3 से 4 सीटी आने तक पकाएं। 3 से 4 सीटी आने के बाद आंच बंद कर दें और प्रेशर को अपने आप निकलने दें। अगला स्टेप है इसे मसालों के साथ मिलाना और केर सांगरी सब्ज़ी बनाना। मध्यम आंच पर एक भारी तले की कड़ाही में एक बड़ा चम्मच तेल गर्म करें। इसमें अजवाइन, लाल मिर्च डालें और थोड़ा सा भून लें। पके हुए किशमिश, हल्दी पाउडर, हींग पाउडर, धनिया, अमचूर पाउडर और आखिर में केर सांगरी डालें और सभी सामग्री को अच्छी तरह से चलाएँ। सभी सामग्री मिलने तक भूनें और इसे 5 मिनट तक पकने दें। हो जाने पर, आँच बंद कर दें और केर सांगरी सब्ज़ी परोसने के लिए तैयार है। केर सांगरी सब्ज़ी को कढ़ी, फुल्के और उबले चावल के साथ परोसें और साथ में घी डालना न भूलें।</t>
  </si>
  <si>
    <t>http://www.archanaskitchen.com/rajasthani-sweet-spicy-ker-sangri-sabzi-recipe</t>
  </si>
  <si>
    <t>Bharwa Bhindi And Onion Sabzi Recipe</t>
  </si>
  <si>
    <t>भरवा भिंडी और प्याज़ की सब्जी रेसिपी</t>
  </si>
  <si>
    <t>500 ग्राम भिंडी, 7 सांबर प्याज, सूरजमुखी तेल - आवश्यकतानुसार, पानी - छिड़कने के लिए आवश्यकतानुसार, धनिया पत्ते - कुछ टहनियाँ, 1/4 कप लहसुन - पेस्ट, 1/4 कप प्याज - पेस्ट, 1 चम्मच हरी मिर्च - कुटी हुई, 1 चम्मच लाल मिर्च पाउडर, 1 चम्मच हल्दी पाउडर (हल्दी), 1 चम्मच धनिया पाउडर (धनिया), नमक - आवश्यकतानुसार, 1/2 चम्मच सूरजमुखी तेल</t>
  </si>
  <si>
    <t>500 grams Bhindi (Lady Finger/Okra),7 Pearl onions (Sambar Onions),Sunflower Oil - as required,Water - as required to sprinkle,Coriander (Dhania) Leaves - Few sprigs,1/4 cup Garlic - paste,1/4 cup Onion - paste,1 teaspoon Green Chilli - crushed,1 teaspoon Red Chilli powder,1 teaspoon Turmeric powder (Haldi),1 teaspoon Coriander Powder (Dhania),Salt - as required,1/2 teaspoon Sunflower Oil</t>
  </si>
  <si>
    <t xml:space="preserve">To begin making the Bharwa Bhindi And Pyaaz Ki Sabzi, firstly mix all the ingredients mentioned under ‘For filling’ in a mixing bowl to prepare the masala. Keep it aside.Wash the bhindi and make a slit length wise from top to bottom. Fill the masala inside the bhindi and keep them aside for about 5 minutes.Heat oil and add the bhindi in a wide pan. Let it cook for a minute and then add the pearl onions into the pan.Stir it for about 2 minutes and sprinkle a little water on it. Turn the flame on low, cover the lid and cook it till the bhindi is soft and cooked.Once it is done, garnish it with coriander and it is ready to be served.Serve Bharwa Bhindi and Pyaaz Ki Sabzi with Panchmel Dal, Steamed Rice and Phulkas for a delicious meal.
</t>
  </si>
  <si>
    <t>भरवा भिंडी और प्याज की सब्जी बनाने के लिए सबसे पहले एक मिक्सिंग बाउल में ‘भरने के लिए’ के तहत बताई गई सभी सामग्री डालकर मसाला तैयार कर लें। इसे एक तरफ रख दें। भिंडी को धोकर ऊपर से नीचे तक लम्बाई में चीरा लगा लें। भिंडी के अंदर मसाला भरें और करीब 5 मिनट के लिए अलग रख दें। तेल गरम करें और एक चौड़े पैन में भिंडी डालें। इसे एक मिनट तक पकने दें और फिर पैन में प्याज़ डालें। इसे करीब 2 मिनट तक चलाएँ और इस पर थोड़ा पानी छिड़कें। आँच धीमी कर दें, ढक्कन ढक दें और भिंडी के नरम और पकने तक पकाएँ। पक जाने के बाद इसे धनिया से गार्निश करें और यह परोसने के लिए तैयार है। भरवा भिंडी और प्याज की सब्जी को स्वादिष्ट खाने के लिए पंचमेल दाल, स्टीम्ड राइस और फुल्के के साथ परोसें।</t>
  </si>
  <si>
    <t>http://www.archanaskitchen.com/bharwa-bhindi-and-pyaaz-ki-sabzi-recipe</t>
  </si>
  <si>
    <t>Bitter Gourd Besan Sabzi Recipe</t>
  </si>
  <si>
    <t>करेला बेसन सब्जी रेसिपी</t>
  </si>
  <si>
    <t>300 ग्राम करेला, 2 प्याज - पतले कटे हुए, 6 लहसुन के दाने - बारीक कटे हुए, 1 इंच अदरक - बारीक कटा हुआ, 3 बड़े चम्मच बेसन, 1 छोटा चम्मच हल्दी, 1 बड़ा चम्मच धनिया पाउडर, 1 छोटा चम्मच गरम मसाला पाउडर, 1 छोटा चम्मच लाल मिर्च पाउडर, 1 छोटा चम्मच आमचूर, 1/2 छोटा चम्मच अजवाइन, 1 छोटा चम्मच सरसों का तेल, नमक - स्वादानुसार</t>
  </si>
  <si>
    <t>300 grams Karela (Bitter Gourd/ Pavakkai),2 Onions - thinly sliced,6 cloves Garlic - finely chopped,1 inch Ginger - finely chopped,3 tablespoons Gram flour (besan),1 teaspoon Turmeric powder (Haldi),1 tablespoon Coriander (Dhania) Powder,1 teaspoon Garam masala powder,1 teaspoon Red Chilli powder,1 teaspoon Amchur (Dry Mango Powder),1/2 teaspoon Ajwain (Carom seeds),1 teaspoon Mustard oil,Salt - to taste</t>
  </si>
  <si>
    <t xml:space="preserve">To begin making the Karela Besan Sabzi, first prep all the ingredients and keep them ready. It always helps in making the dish in a more organized way.Karela skin does not have to be peeled, it's important to cut it along with its green skin for maximum benefits. Also avoid soaking the karela in water to remove the bitterness. The bitterness is exactly what that adds to the nutrition. Only discard the hard seeds if the pulp is not tender.Into a pressure cooker, add the cut roundels of karela, along with turmeric powder, salt and two tablespoons of water.  Cover the pressure cooker and cook for 2 to 3 whistles and turn off the heat.Once done, release the pressure immediately by running it under cold water or by releasing it with a fork placed under the whistle.The next step is to make the Karela Besan Sabzi masala.Heat oi in a wok or a kadai over medium heat; add the ajwain and allow it to crackle for a few seconds.Add the onion, garlic and ginger and saute until the onions become soft and golden. This will take about 3 to 4 minutes in medium heat.Once the onions are golden, add the cooked karela, besan, amchur powder, red chilli powder, coriander powder and garam masala powder. Stir to combine all the ingredients well. Check the salt and add more if required.Cover the pan, turn the heat to low and simmer the Karela Besan Sabzi for about 3 to 4 minutes and turn off the heat.Check the seasonings and spices and adjust to suit your taste accordingly.You can optionally add jaggery to give it additional taste. If you are diabetic you can avoid the jaggery.Once done, transfer the Karela Besan Sabzi to a serving bowl and serve hot.Serve the Karela Besan Sabzi along with Rajasthani Kadhi and Methi And Palak Paratha for a wholesome weeknight or weekend dinner. 
</t>
  </si>
  <si>
    <t>करेला बेसन की सब्जी बनाने के लिए सबसे पहले सभी सामग्री तैयार करके रख लें. इससे पकवान को अधिक व्यवस्थित तरीके से बनाने में मदद मिलती है. करेला के छिलके को छीलना जरूरी नहीं है, अधिकतम लाभ के लिए इसे हरे छिलके सहित काटना जरूरी है. कड़वाहट दूर करने के लिए करेला को पानी में भिगोने से भी बचें. कड़वाहट ही पोषण बढ़ाती है. अगर गूदा नरम न हो तो ही सख्त बीज निकालें. एक प्रेशर कुकर में कटे हुए करेला के टुकड़े डालें, साथ ही हल्दी पाउडर, नमक और दो बड़े चम्मच पानी डालें. प्रेशर कुकर को ढककर 2 से 3 सीटी आने तक पकाएं और आंच बंद कर दें. एक बार हो जाने पर इसे ठंडे पानी के नीचे चलाकर या सीटी के नीचे रखे कांटे से प्रेशर तुरंत छोड़ दें. अगला कदम करेला बेसन की सब्जी मसाला बनाना है. एक कड़ाही या कड़ाही में मध्यम आंच पर तेल गर्म करें; इसमें अजवाइन डालें और कुछ सेकंड के लिए इसे चटकने दें। इसमें प्याज, लहसुन और अदरक डालें और प्याज के नरम और सुनहरे होने तक भूनें। मध्यम आंच पर इसमें लगभग 3 से 4 मिनट का समय लगेगा। प्याज के सुनहरे हो जाने पर इसमें पका हुआ करेला, बेसन, अमचूर पाउडर, लाल मिर्च पाउडर, धनिया पाउडर और गरम मसाला पाउडर डालें। सभी सामग्री को अच्छी तरह मिलाने के लिए हिलाएं। नमक की जांच करें और यदि आवश्यक हो तो और डालें। पैन को ढक दें, आंच धीमी कर दें और करेला बेसन की सब्जी को लगभग 3 से 4 मिनट तक उबालें और आंच बंद कर दें। मसाले और मसालों की जांच करें और अपने स्वाद के अनुसार समायोजित करें। आप वैकल्पिक रूप से इसे अतिरिक्त स्वाद देने के लिए गुड़ भी मिला सकते हैं। अगर आप मधुमेह रोगी हैं तो आप गुड़ से परहेज कर सकते हैं। एक बार हो जाने पर करेला बेसन की सब्जी को एक सर्विंग बाउल में डालें और गरमागरम परोसें</t>
  </si>
  <si>
    <t>https://www.archanaskitchen.com/karela-besan-sabzi-recipe</t>
  </si>
  <si>
    <t>Pitor Ki Sabzi Recipe – Pitor Ki Sabzi Recipe</t>
  </si>
  <si>
    <t>पिटोर की सब्जी रेसिपी - पिटोर की सब्जी रेसिपी</t>
  </si>
  <si>
    <t>1-1/2 कप बेसन, 1/2 कप दही - अच्छी तरह से फेट ले, 2-1/2 कप पानी, 1 छोटा चमच्च अदरक - कस ले, 1/2 छोटा चमच्च हल्दी पाउडर, नमक - स्वाद ले, 1 चम्मच बड़ा चम्मच तेल, 1 छोटा चमच्च जीरा, 3/4 छोटा चम्मच हरी - मसाला कर ले, हींग, तेल - प्रयोग के अनुसार, 1 छोटा चमच्च जीरा, 2 सुखी लाल मिर्च, 200 ग्राम दही - फेट ले, 1/2 छोटा चमच्च हरी मिर्च - कट ले, 1 छोटा चम्मच चमच्च लाल मिर्च पाउडर, 1/2 छोटा चम्मच चमच्च हल्दी पाउडर,नमक - जायका स्वाद</t>
  </si>
  <si>
    <t>1-1 / 2 cup gram flour, 1/2 cup curd - well beat, 2-1 / 2 cup water, 1 teaspoon ginger - grated, 1/2 teaspoon turmeric powder, salt - as per taste, 1 Tablespoon oil, 1 teaspoon cumin seeds, 3/4 teaspoon green - crush, asafoetida, oil - as per use, 1 teaspoon cumin seeds, 2 dry red chillies, 200 grams curd - beat, 1/2 teaspoon green Chilli - chopped, 1 teaspoon red chilli powder, 1/2 teaspoon turmeric powder, salt - as per taste</t>
  </si>
  <si>
    <t>To make Pitor ki Sabzi recipe, first we will make Pitor. In a large bowl add gram flour, curd, water, ginger, green chillies and mix well. Make the batter. Heat oil in a pan. Add cumin seeds and let them crackle. After crackling add asafoetida and mix well. Now add gram flour batter and keep mixing so that lumps do not form. Cook till it thickens and then turn off the gas. Now take out this gram flour mixture in a plate. Keep in mind to grease the plate well with oil or ghee first. Keep it aside for 1 hour and after it cools down, cut it into square pieces. Now heat oil in a pan. Add pitor in it and cook till it becomes brown and crispy. Take it out and keep it aside. Now to make the curry add curd, red chilli powder, turmeric powder, coriander powder in a bowl and mix well. Heat oil in a pan. After oil is heated add cumin seeds and let them crackle. Now add dried red chillies and cook for 10 seconds. Now add green chillies and cook for another 10 seconds. Lower the flame and add the curd mixture. Keep stirring and cook for 3 to 4 minutes. Now add water and let it boil. Add salt and cook for 15 minutes. Now add pitore and cook for next 3 to 4 minutes. Turn off the gas and serve. Serve pitore ki sabzi with Burani Raita and Phulkas for lunch.</t>
  </si>
  <si>
    <t xml:space="preserve">पिटोर की सब्जी रेसिपी बनाने के लिए सबसे पहले हम पिटोर बनाएंगे। एक बड़े कटोरे में बेसन, दही, पानी, अदरक, हरी मिर्च डाली और अच्छी तरह से मिला ले। नासा बनाएं ले.एक मसाला में तेल गरम करें. इसमें जीरा डाला और तड़कने दे। तड़कने के बाद इसमें हिंग डाल दी और मिला ले. अब बेसन का नासा डाला और मिलाते रहे ताकि गाठें न पड़े। लाभ होने तक पकाए और फिर गैस बंद कर दे।   अब इस बेसन के मिश्रण को प्लेट में रखा जाएगा। ध्यान रखें प्लेट को पहले तेल या घी से अच्छी तरह से ग्रीस कर लें। 1 घंटे के लिए अलग से रख दे और ठंडा होने के बाद चौकोर टुकड़े कर ले. अब एक चटनी में तेल गरम करें। इसमें पिटोर डाला और भूरा और कुरकुरा होने तक पका ले। आगे और अलग से रख दें. अब एक कटोरा दही बनाने के लिए, लाल मिर्च पाउडर, हल्दी पाउडर, धनिया पाउडर डाला और अच्छी तरह से मिला ले। एक पकौड़ी में तेल गरम करें। तेल गरम होने के बाद इसमें जीरा डाला और तड़काने दे। अब इसमें सुखी लाल मिर्च डाली और 10 सेकंड तक पका ले। अब इसमें हरी मिर्च डालें और 10 सेकंड के लिए और पका लें. गैस की तलाश कम करें और दही का मिश्रण डालें। मिलाते रहे और 3 से 4 मिनट तक पका ले. अब पानी डाला और लाहौआ आने दे। नमक डाला और 15 मिनट तक पका ले. अब पिटोर डाला और अगले 3 से 4 मिनट के लिए पका ले. गैस बंद करो और घर बनाओ। पिठोर की सब्जी को बुरानी रायता और फुलके के साथ दिन के खाने के लिए बनाएं।
</t>
  </si>
  <si>
    <t>http://www.archanaskitchen.com/pitor-ki-sabzi-recipe-in-hindi</t>
  </si>
  <si>
    <t>Gavarfali Ki Sukhi Sabzi Recipe</t>
  </si>
  <si>
    <t>गवारफली की सुखी सब्जी रेसिपी</t>
  </si>
  <si>
    <t>1-1/2 कप ग्वार फली (कोथावरंगई / क्लस्टर बीन्स) - छोटे टुकड़ों में कटा हुआ, 1 प्याज - बारीक कटा हुआ, 1/2 चम्मच जीरा (जीरा), 1/2 चम्मच लहसुन - बारीक कटा हुआ, सूरजमुखी तेल - आवश्यकतानुसार, 1/2 चम्मच हल्दी पाउडर (हल्दी), 1 चम्मच धनिया पाउडर (धनिया), 1/2 चम्मच जीरा पाउडर (जीरा), 1 चम्मच लाल मिर्च पाउडर, नमक - आवश्यकतानुसार</t>
  </si>
  <si>
    <t>1-1/2 cup Gawar Phali (Kothavarangai / Cluster beans) - cut into small pieces,1 Onion - finely chopped,1/2 teaspoon Cumin seeds (Jeera),1/2 teaspoon Garlic - minced,Sunflower Oil - as required,1/2 teaspoon Turmeric powder (Haldi),1 teaspoon Coriander Powder (Dhania),1/2 teaspoon Cumin powder (Jeera),1 teaspoon Red Chilli powder,Salt - as required</t>
  </si>
  <si>
    <t xml:space="preserve">To begin making the Gavarfali Ki Sukhi Sabzi, heat oil in a kadai/wok and add cumin seeds.Once the seeds clutter, add minced garlic and saute for about a minute.Add onions and fry until they become translucent. Once it is done, add cluster beans and half a cup of water.Cook until beans become tender and half cooked.Close the lid to speed up the cooking process. Add coriander powder, red chili powder, cumin powder, and salt to the beans.Combine them well and cook the mixture over a medium flame until the spice powders are blended together with the beans and cooked properly.Serve Gavarfali Ki Sukhi Sabzi with Panchmel Dal and Phulka for a healthy weekday lunch.
</t>
  </si>
  <si>
    <t>गवरफली की सुखी सब्ज़ी बनाने के लिए सबसे पहले एक कढ़ाई में तेल गरम करें और उसमें जीरा डालें। जब जीरा चटकने लगे, तो उसमें कटा हुआ लहसुन डालें और लगभग एक मिनट तक भूनें। प्याज़ डालें और उन्हें पारदर्शी होने तक भूनें। जब यह पक जाए, तो इसमें ग्वारफली और आधा कप पानी डालें। तब तक पकाएँ जब तक कि बीन्स नरम और आधी पक न जाएँ। पकाने की प्रक्रिया को तेज़ करने के लिए ढक्कन बंद कर दें। बीन्स में धनिया पाउडर, लाल मिर्च पाउडर, जीरा पाउडर और नमक डालें। इन्हें अच्छी तरह मिलाएँ और मिश्रण को मध्यम आँच पर तब तक पकाएँ जब तक कि मसाले बीन्स के साथ मिल न जाएँ और अच्छी तरह से पक न जाएँ। गवरफली की सुखी सब्ज़ी को पंचमेल दाल और फुल्के के साथ एक स्वस्थ सप्ताह के दिन के दोपहर के भोजन के लिए परोसें।</t>
  </si>
  <si>
    <t>https://www.archanaskitchen.com/gavarfali-ki-sukhi-sabzi-recipe</t>
  </si>
  <si>
    <t>Rajasthani Methi Mangodi Sabzi Recipe</t>
  </si>
  <si>
    <t>राजस्थानी मेथी मंगोड़ी सब्ज़ी रेसिपी</t>
  </si>
  <si>
    <t>1 कप मूंग दाल, 2 कप मेथी के पत्ते - कसकर पैक, 1 प्याज - बारीक कटा हुआ, 2 लहसुन के दाने - बारीक कटा हुआ, 1 चम्मच जीरा, 1/2 चम्मच हल्दी, 1 चम्मच लाल मिर्च पाउडर, 1 चम्मच गरम मसाला पाउडर, 2 बड़े चम्मच दही, 2 सूखी लाल मिर्च, 2 बड़े चम्मच सूरजमुखी तेल, नमक - स्वादानुसार</t>
  </si>
  <si>
    <t>1 cup Mangodi - moong dal,2 cups Methi Leaves (Fenugreek Leaves) - tightly packed,1 Onion - finely chopped,2 cloves Garlic - finely chopped,1 teaspoon Cumin seeds (Jeera),1/2 teaspoon Turmeric powder (Haldi),1 teaspoon Red Chilli powder,1 teaspoon Garam masala powder,2 tablespoons Curd (Dahi / Yogurt),2 Dry Red Chillies,2 tablespoons Sunflower Oil,Salt - to taste</t>
  </si>
  <si>
    <t xml:space="preserve">To begin making the Rajasthani Methi Mangodi Sabzi Recipe, rinse the fenugreek leaves in running water, drain and roughly chop them. Keep it aside.Heat a tablespoon of oil in a pan on medium heat and add the moong dal mangodi.Fry the mangodi's until they turn slightly brown and keep aside.Add the remaining oil in the same pan, add cumin seeds and red chillies.Once the cumin seeds splutters add the finely chopped garlic and onion and saute until the onions are cooked.Add the turmeric, red chilli powder and saute until the oil leaves the sides of the pan.Add the fried mangodi back to the pan and mix well.Now, combine 2 tablespoons of curd in half a cup of water until smooth and add it to the pan.Bring the Rajasthani Methi Mangodi Sabzi to a rolling boil and add the chopped fenugreek leaves and saute until it is well cooked.Season Rajasthani Methi Mangodi Sabzi with salt, garam masala, mix well and switch off the flame.Transfer Rajasthani Methi Mangodi Sabzi into a serving dish and serve.Serve the Rajasthani Methi Mangodi Sabzi Recipe, along with Rajasthani Kadhi and Phulkas for the weeknight dinner.
</t>
  </si>
  <si>
    <t xml:space="preserve">राजस्थानी मेथी मंगोड़ी सब्जी बनाने के लिए सबसे पहले मेथी के पत्तों को बहते पानी में धो लें, पानी निथार लें और मोटा-मोटा काट लें। इसे एक तरफ रख दें। मध्यम आंच पर एक पैन में एक बड़ा चम्मच तेल गर्म करें और उसमें मूंग दाल की मंगोड़ी डालें। मंगोड़ी को हल्का भूरा होने तक तलें और एक तरफ रख दें। उसी पैन में बचा हुआ तेल डालें, जीरा और लाल मिर्च डालें। जीरा चटकने के बाद इसमें बारीक कटा हुआ लहसुन और प्याज डालें और प्याज के पकने तक भूनें। हल्दी, लाल मिर्च पाउडर डालें और तब तक भूनें जब तक कि तेल पैन के किनारों से न निकल जाए। तली हुई मंगोड़ी को वापस पैन में डालें और अच्छी तरह मिलाएँ। अब, 2 बड़े चम्मच दही को आधा कप पानी में चिकना होने तक मिलाएँ और पैन में डालें। राजस्थानी मेथी मंगोड़ी की सब्जी को उबाल लें और इसमें कटी हुई मेथी के पत्ते डालें और अच्छी तरह पकने तक भूनें सप्ताह के रात्रि भोज के लिए राजस्थानी कढ़ी और फुल्के के साथ सब्जी रेसिपी।
</t>
  </si>
  <si>
    <t>https://www.archanaskitchen.com/rajasthani-methi-mangodi-sabzi-recipe</t>
  </si>
  <si>
    <t>Kacche Aam Ki Launji Recipe - Raw Mango Launji Recipe</t>
  </si>
  <si>
    <t>कच्चे आम की लौंजी रेसिपी - कच्चे आम की लौंजी रेसिपी</t>
  </si>
  <si>
    <t>3 कच्चा आम, 1/2 बड़ा चम्मच दालचीनी का तेल, हींग गुड़ कप भर, 1 कप, 1/4 खजूर, 1/4 छोटा चम्मच दालचीनी, 1/4 छोटा चम्मच दालचीनी पाउडर, 1/4 छोटा चम्मच दालचीनी पाउडर, नमक - स्वादानुसार</t>
  </si>
  <si>
    <t>3 raw mangoes, 1/2 tbsp mustard oil, asafoetida - a pinch, 1 cup jaggery, 1/4 cup dates, 1/4 tsp mustard seeds, 1/4 tsp fennel seeds, 1/4 tsp coriander seeds, 1/4 tsp fenugreek seeds, 1/4 tsp nigella seeds, 1/4 tsp turmeric powder, 1/4 tsp red chilli powder, salt - according to taste</t>
  </si>
  <si>
    <t>To make Raw Mango Launji, first cut the raw mangoes. Heat mustard oil in a pan. Add mustard seeds, fennel seeds, coriander seeds, asafoetida, nigella seeds and cook for 10 seconds. After 10 seconds add chopped mangoes and cook for 2 minutes. Now add jaggery and let it cook for 10 to 15 minutes, until the mangoes become soft and the gravy thickens. After the gravy thickens add turmeric powder, red chili powder and mix it. Cook for another 3 to 4 minutes and serve. Serve Raw Mango Launji Recipe with Rajasthani Gatte ki Sabzi and Phulkas for lunch.</t>
  </si>
  <si>
    <t xml:space="preserve">कच्चे आम की लौंजी बनाने के लिए सबसे पहले कच्चे आम को काट लें. एक मसाले में हल्दी का तेल गरम करें. राइज, राइनफ, धानिये के बीज, हींग, कलौंजी डाले और 10 सेकेंड तक पका ले.10 सेकेंड के बाद इसमें कट आम डाला और 2 मिनट के लिए पका ले.अब गुड़ डाला और 10 से 15 मिनट तक सौ बचा दे, जब तक आम अंदर नहीं जाता और ग्रेवी गाढ़ी नहीं होती. ग्रेवी के चॉकलेट के बाद इसमें हल्दी पाउडर, लाल मिर्च पाउडर डाला गया और मिला लिया गया। 3 से 4 मिनट के लिए और पकाए और बनाए। कच्चे आम की लौंजी रेसिपी को राजस्थानी गट्टे की सब्जी और फुलके के साथ दिन के खाने के लिए।
</t>
  </si>
  <si>
    <t>https://www.archanaskitchen.com/kacche-aam-ki-launji-recipe-in-hindi</t>
  </si>
  <si>
    <t>malayalamName</t>
  </si>
  <si>
    <t>ingredients_kl</t>
  </si>
  <si>
    <t>instructions_kl</t>
  </si>
  <si>
    <t>Kerala Palada Pradhaman Recipe</t>
  </si>
  <si>
    <t>കേരള പാലട പ്രധമാൻ റെസിപ്പി</t>
  </si>
  <si>
    <t>ഒരു കപ്പ് അട, 2 ലിറ്റർ പാൽ - ഫുൾ ക്രീം, 3/4 കപ്പ് പഞ്ചസാര, 1 ടേബിൾസ്പൂൺ നെയ്യ്, 1/2 ടീസ്പൂൺ ഏലയ്ക്കാപ്പൊടി (ഇലച്ചി)</t>
  </si>
  <si>
    <t>1 cup Ada,2 liter Milk - full cream,3/4 cup Sugar,1 tablespoon Ghee,1/2 teaspoon Cardamom Powder (Elaichi)</t>
  </si>
  <si>
    <t xml:space="preserve">To begin making the Kerala Palada Pradhaman recipe, first slow boil milk and 1/2 cup sugar on low flame until it reduces lesser than half the quantity.I used pressure cooker with weight on for about 60 minutes and slow cooked/boiled the milk. The milk turned slightly pink in colour by doing this.Cook ada as per packet instructions. Once cooked, drain the ada and rinse it in cold water to stop cooking.Heat ghee in a pan. Add 1/4 cup sugar and saute. Wait till sugar melts and starts to turn slightly brown. Add cooked ada and saute for about 2 minutes.Add about 1 to 1-1/2 cup boiled milk. Mix well. If it need more milk add it.Sprinkle cardamom powder, mix well. Serve hot or cold. Either ways it tastes delicious.Serve Kerala Palada Pradhaman after your meal of Keerai Sambar, Beetroot Thoran and Steamed Rice.
</t>
  </si>
  <si>
    <t xml:space="preserve">കേരള പാലട പ്രധാനൻ റെസിപ്പി ഉണ്ടാക്കാൻ തുടങ്ങാൻ, ആദ്യം പാലും 1/2 കപ്പ് പഞ്ചസാരയും കുറഞ്ഞ തീയിൽ പകുതിയിൽ കുറയുന്നത് വരെ തിളപ്പിക്കുക. ഞാൻ 60 മിനിറ്റ് ഭാരമുള്ള പ്രഷർ കുക്കർ ഉപയോഗിച്ചു, പാൽ പതുക്കെ വേവിച്ചു/തിളപ്പിച്ചു. ഇങ്ങനെ ചെയ്യുന്നതിലൂടെ പാൽ ചെറുതായി പിങ്ക് നിറമായി മാറി. പാക്കറ്റ് നിർദ്ദേശങ്ങൾ അനുസരിച്ച് അട വേവിക്കുക. പാകം ചെയ്തുകഴിഞ്ഞാൽ, അട ഊറ്റി തണുത്ത വെള്ളത്തിൽ കഴുകിക്കളയുക. പാചകം നിർത്തുക. ഒരു പാനിൽ നെയ്യ് ചൂടാക്കുക. 1/4 കപ്പ് പഞ്ചസാര ചേർത്ത് വഴറ്റുക. പഞ്ചസാര ഉരുകി ചെറുതായി തവിട്ടുനിറമാകുന്നത് വരെ കാത്തിരിക്കുക. വേവിച്ച അട ചേർത്ത് ഏകദേശം 2 മിനിറ്റ് വഴറ്റുക. ഏകദേശം 1 മുതൽ 1-1/2 കപ്പ് വരെ തിളപ്പിച്ച പാൽ ചേർക്കുക. നന്നായി ഇളക്കുക. കൂടുതൽ പാൽ വേണമെങ്കിൽ ചേർക്കുക.ഏലയ്ക്കാപ്പൊടി വിതറി നന്നായി ഇളക്കുക. ചൂടോ തണുപ്പോ വിളമ്പുക. ഏതു വിധേനയും ഇത് രുചികരമാണ്. കീരൈ സാമ്പാർ, ബീറ്റ്റൂട്ട് തോരൻ , ആവിയിൽ വേവിച്ച ചോറ് എന്നിവ ഭക്ഷണത്തിന് ശേഷം കേരള പാലട പ്രഥമൻ വിളമ്പുക.
</t>
  </si>
  <si>
    <t>https://www.archanaskitchen.com/kerala-palada-pradhaman-recipe</t>
  </si>
  <si>
    <t>Kerala Recipes</t>
  </si>
  <si>
    <t>White Pumpkin Mor Kuzhambu Recipe - Kerala Style White Pumpkin Curry</t>
  </si>
  <si>
    <t>വെള്ള മത്തങ്ങ മോർ കുഴമ്പു പാചകക്കുറിപ്പ് - കേരള സ്റ്റൈൽ വെള്ള മത്തങ്ങ കറി</t>
  </si>
  <si>
    <t>1-1/2 കപ്പ് തൈര് (ദാഹി / തൈര്) - കട്ടിയുള്ളത്, 1/2 കപ്പ് പുതിയ തേങ്ങ, 1 കപ്പ് വെള്ളൈ പൂശാനിക്കൈ (ചായ, വെള്ള മത്തങ്ങ) - ക്യൂബ്ഡ്, 4 പച്ചമുളക്, 1/4 ടീസ്പൂൺ കുരുമുളക് പൊടി, 1/3 കപ്പ് വെള്ളം, 1/4 ടീസ്പൂൺ മഞ്ഞൾപ്പൊടി, 1 ടീസ്പൂൺ മഞ്ഞൾപ്പൊടി - 4 ടീസ്പൂൺ. കടുക്, 1/4 ടീസ്പൂൺ മേത്തി വിത്ത് (ഉലുവ), 1 തണ്ട് കറിവേപ്പില, 1 ചുവന്ന മുളക്</t>
  </si>
  <si>
    <t>1-1/2 cups Curd (Dahi / Yogurt) - thick,1/2 cup Fresh coconut,1 cup Vellai Poosanikai (Ash gourd/White Pumpkin) - cubed,4 Green Chillies,1/4 teaspoon Black pepper powder,1/3 cup Water,1/4 teaspoon Turmeric powder (Haldi),Salt - as per your taste,1 teaspoon Coconut Oil,1/4 teaspoon Mustard seeds,1/4 teaspoon Methi Seeds (Fenugreek Seeds),1 sprig Curry leaves,1 Dry Red Chilli</t>
  </si>
  <si>
    <t xml:space="preserve">To begin making White Pumpkin Mor Kuzhambu, we need to first cook the pumpkin. Pressure cook the white pumpkin with little water in a pressure cooker for 2 whistles and release the pressure immediately by running the cooker under cold water.  Keep aside.Meanwhile, whisk curd with water in a bowl until the its smooth. Make sure that there are no lumps in the curd.Next, add grated coconut, green chilli, black pepper powder in a mixer grinder and grind it to a smooth paste with a little water. Your Kuzhambu paste is ready.Transfer this kuzhambu paste to the curd and mix well. Once it is mixed properly, add in turmeric powder, cooked white pumpkin, salt and mix everything well. Place this mixture on low heat in a saucepan and allow the mixture to become warm. You will notice a light froth around the edges of the vessel. Do not let the mixture boil, the curd will split on high heat. Turn off the flame the moment you see froth. The next step is to temper the kuzhambu.In a tempering pan/tadka pan, add one teaspoon of coconut oil. Once the oil is hot, add mustard seeds and fenugreek seeds, Once the mustard seeds starts to crackle, add the curry leaves, dry red chilli and give it a mix. Turn off the flame and add this tempering to the Mor Kuzhambu. Your Mor Kuzhambu is ready to be served. Serve Mor Kuzhambu with Steamed Rice and Menthia Keerai Paruppu Usili for a simple weekday lunch.
</t>
  </si>
  <si>
    <t xml:space="preserve">വെള്ള മത്തങ്ങ മോർ കുഴമ്പ് ഉണ്ടാക്കാൻ തുടങ്ങണമെങ്കിൽ ആദ്യം മത്തങ്ങ വേവിക്കുക. വെള്ള മത്തങ്ങ ഒരു പ്രഷർ കുക്കറിൽ കുറച്ച് വെള്ളമൊഴിച്ച് 2 വിസിൽ വരെ പ്രഷർ ചെയ്ത് കുക്കർ തണുത്ത വെള്ളത്തിനടിയിൽ പ്രവർത്തിപ്പിച്ച് ഉടൻ പ്രഷർ റിലീസ് ചെയ്യുക.  മാറ്റി വയ്ക്കുക.അതിനിടെ, ഒരു പാത്രത്തിൽ വെള്ളം ചേർത്ത് തൈര് മിനുസമാർന്നതുവരെ അടിക്കുക. തൈരിൽ കട്ടകളൊന്നുമില്ലെന്ന് ഉറപ്പാക്കുക. അടുത്തതായി, ഒരു മിക്സർ ഗ്രൈൻഡറിൽ തേങ്ങ ചിരകിയത്, പച്ചമുളക്, കുരുമുളക് പൊടി എന്നിവ ചേർത്ത് അൽപം വെള്ളമൊഴിച്ച് മിനുസമാർന്ന പേസ്റ്റിലേക്ക് പൊടിക്കുക. നിങ്ങളുടെ കുഴമ്പു പേസ്റ്റ് തയ്യാർ. ഈ കുഴമ്പു പേസ്റ്റ് തൈരിലേക്ക് മാറ്റി നന്നായി ഇളക്കുക. നന്നായി മിക്സ് ചെയ്തു കഴിഞ്ഞാൽ അതിൽ മഞ്ഞൾപ്പൊടി, വേവിച്ച വെള്ള മത്തങ്ങ, ഉപ്പ് എന്നിവ ചേർത്ത് എല്ലാം നന്നായി ഇളക്കുക. ഈ മിശ്രിതം ഒരു ചീനച്ചട്ടിയിൽ ചെറിയ തീയിൽ വയ്ക്കുക, മിശ്രിതം ചൂടാകാൻ അനുവദിക്കുക. പാത്രത്തിൻ്റെ അരികുകളിൽ ഒരു നേരിയ നുരയെ നിങ്ങൾ ശ്രദ്ധിക്കും. മിശ്രിതം തിളപ്പിക്കാൻ അനുവദിക്കരുത്, ഉയർന്ന ചൂടിൽ തൈര് പിളരും. നുരയെ കാണുമ്പോൾ തന്നെ തീ ഓഫ് ചെയ്യുക. അടുത്ത ഘട്ടം കുഴമ്പു ടെമ്പർ ചെയ്യുക എന്നതാണ്. ഒരു ടെമ്പറിംഗ് പാനിൽ / തഡ്ക പാനിൽ, ഒരു ടീസ്പൂൺ വെളിച്ചെണ്ണ ചേർക്കുക. എണ്ണ ചൂടായിക്കഴിഞ്ഞാൽ, കടുകും ഉലുവയും ചേർക്കുക, കടുക് പൊട്ടിത്തുടങ്ങിക്കഴിഞ്ഞാൽ, കറിവേപ്പില, ഉണങ്ങിയ ചുവന്ന മുളക് എന്നിവ ചേർത്ത് ഇളക്കുക. തീ അണച്ച് മോർ കുഴമ്പിലേക്ക് ഈ ടെമ്പറിംഗ് ചേർക്കുക. നിങ്ങളുടെ മോർ കുഴമ്പ് വിളമ്പാൻ തയ്യാറാണ്.  മോർ കുഴമ്പ് ആവിയിൽ വേവിച്ച ചോറും മെന്തിയ കീരൈ പരുപ്പ് ഉസിലിയും                                 .
</t>
  </si>
  <si>
    <t>http://www.archanaskitchen.com/white-pumpkin-mor-kuzhambu-recipe-kerala-style-white-pumpkin-gravy</t>
  </si>
  <si>
    <t>Kerala Style Plantain &amp; Yam Thoran Recipe - Raw Banana and Suran Kottu Curry Recipe</t>
  </si>
  <si>
    <t>കേരള സ്റ്റൈൽ കച്ച കേളയും സുരൻ കൊടു കറി റെസിപ്പിയും - Kerala Style Plantain &amp; Yam Thoran Recipe</t>
  </si>
  <si>
    <t>1/2 കപ്പ് കച്ച കേള - കാറ്റ് ലെ,1/2 കപ് സുരൻ - കാറ്റ് ലെ,1/2 കപ്പ് കാല ചനാ,1/2 ഛോട്ടാ ചമ്മൽ പൗഡർ,1/2 ഛോട്ട ചമ്മച്ച് ലാൽ മിർച്ച് പൗഡർ,നമക് - സ്വാദ് അനുസാർ,1/2 ചംചംചംചം നാറിയൽ - കസ് ലെ,1/4 ഛോട്ട ചമ്മച് പൂരി കാലി മർച്ച,3 കലി ലഹസുൻ,1 ഹരി മർച്ച,1 ചംഛ ടെൽ,1/2 ഛോട്ട ചമ്മച് റായ്,1 സുഖി ലാൽ മിർച്ച്,1 തഹനി കടത്തി പത്ത</t>
  </si>
  <si>
    <t>1/2 cup raw banana - chopped, 1/2 cup suran - chopped, 1/2 cup black gram, 1/2 teaspoon turmeric powder, 1/2 teaspoon red chili powder, salt - as per taste, 1/2 2 tsp cumin seeds, 1 cup coconut - grated, 1/4 tsp whole black pepper, 3 cloves garlic, 1 green chili, 1 tsp oil, 1/2 tsp mustard</t>
  </si>
  <si>
    <t>To make Kerala Style Raw Banana and Suran Kottu Curry Recipe, first peel the raw banana and yam and chop them into small pieces. Put both in a saucepan with 1/4 tsp turmeric powder, salt and water and cook till they become soft. Keep aside. Put black gram in a cooker with water as per requirement and cook for 30 minutes. Let the pressure release automatically and close the cooker. Grind coconut, cumin seeds, green chillies, black pepper, some water in a mixer grinder and grind it. Keep aside. Keep aside. Now put yam, raw banana, coconut paste, salt, some water in a pan and cook for 2 to 3 minutes. Put coconut in a pan and cook till it turns brown. Keep aside. Heat oil in a tempering pan. Add mustard seeds, dried red chillies, curry leaves and cook till the mustard seeds crackle. Add this tempering and browned coconut to the curry and mix. Switch off the gas after a minute and serve. Serve Kerala Style Raw Banana and Suran Kottu Curry Recipe with Kerala Parotta and Beetroot Pachadi for dinner.</t>
  </si>
  <si>
    <t xml:space="preserve">കേരള സ്‌റ്റൈൽ കച്ച കേളയും സുരൻ കോട്ടു കറി റെസിപ്പി ബനാനെയും കുറിച്ച് ഛിലക നികലെയും ഛോട്ടാ കട്ട് ലെ.എക് സോസ്പൈനിലും ഡോണുകൾ കോം 1/4 ഹൽദി ഔഡർ, നമക് കൂടാതെ പാനി കെ സാത്ത് ദാലെ കൂടാതെ നരം ഹോനെ തക്ക പക്കാ ലെ. അൽഗ സെ രഖ് ദേ. ഒരു കുക്കർ എന്നതിനുള്ള പ്രയോഗം അനുസാർ പാനിയുടെ സാത്ത് ഡാലെ കൂടാതെ 30 മിനിറ്റ് വരെ. പ്രേഷർ അപ്പനേ നിങ്ങൾ നികലാനെ ദേ കൂടാതെ കുക്കർ ബന്ദ് കർ ലെ. ഒരു മിക്‌സർ ഗ്രെയിൻഡറിൽ നാറിയൽ, ജീര, ഹരി മിർച്ച്, കാലി മിർച്ച്, തൊഡാ പാനി അൽഗ സെ രഖ് ദേ. അൽഗ സെ രഖ് ദേ. അബ് ഒരു പൈൻ മെം സുരൻ, കച്ച കേള, നാറിയൽ കാ പെസ്റ്റ്, നമക് , തോഡ പാനി ഡേലെറ്റ് സെർവറുകൾ 2 പക ലെ.എക് കഠായിയിൽ നാറിയൽ ഡാലെയും ഭൂരാ ഹോനെയും തക്ക പക ലേ. അൽഗ സെ രഖ് ദേ. ഒരു തഡക്ക പൈൻ മെം തെൽ ഗരം കരെം. ഇതുപോലെ റായ്, സുഖി ലാൽ മിർച്ച്, കഠി പട്ട ദാലെ കൂടാതെ റായിയുടെ അടുത്ത് തന്നെ. ह दड़का and भूरा नारियल करी में डाले, MILA LE. ഒരു നിമിഷം ബാദ് ഗെയ്സ് ബന്ദ് കരെം ഒപ്പം പരോസ്. കേരള സ്‌റ്റൈൽ കച്ച കേളയും സുരൻ കോട്ടു കറി റെസിപ്പി കോ കേരളാ പൊറോട്ടയും ബീറ്ററുമൊത്ത് ഇതുമായി ബന്ധപ്പെട്ട്.
</t>
  </si>
  <si>
    <t>http://www.archanaskitchen.com/kerala-style-plantain-yam-kootu-curry-recipe-in-hindi</t>
  </si>
  <si>
    <t>Dry Sweet Potato Thoran Recipe</t>
  </si>
  <si>
    <t>ഡ്രൈ സ്വീറ്റ് പൊട്ടറ്റോ തോരൻ റെസിപ്പി</t>
  </si>
  <si>
    <t>2 മധുരക്കിഴങ്ങ് - ഇടത്തരം വലിപ്പം, 1 സവാള, 1/2 ടീസ്പൂൺ രസം പൊടി, മഞ്ഞൾപ്പൊടി (ഹൽദി) - ഒരു നുള്ള്, അസാഫോറ്റിഡ (ഹിംഗ്) - ഒരു നുള്ള്, ഉപ്പ് - പാകത്തിന്, 2 ടീസ്പൂൺ സൂര്യകാന്തി എണ്ണ, 1 ടീസ്പൂൺ കടുക്, 1 ടീസ്പൂൺ വെള്ള ഉരദാപ്പാൽ (പിളർന്നത്), 1 ടീസ്പൂൺ</t>
  </si>
  <si>
    <t>2 Sweet Potatoes - medium size,1 Onion,1/2 teaspoon Rasam Powder,Turmeric powder (Haldi) - a pinch,Asafoetida (hing) - a pinch,Salt - to taste,2 teaspoons Sunflower Oil,1 teaspoon Mustard seeds,1 teaspoon White Urad Dal (Split),1 sprig Curry leaves</t>
  </si>
  <si>
    <t xml:space="preserve">To begin making the Dry Sweet Potato Thoran Recipe, wash and trim the edges of sweet potatoes. Pressure cook in enough water for 1 whistle over medium flame. After the pressure is released, peel the skin and cut into roundels and keep it aside.Heat oil in a heavy bottomed pan, add mustard seeds and urad dal. When the mustard seeds splutter, add curry leaves. Later add chopped onion and saute till soft and translucent.Add the sliced sweet potato to the pan and toss them gently. Add turmeric powder, salt and rasam powder. Mix everything so that sweet potato slices are well coated.Keep the flame on low, close with a lid and let it cook over low flame. Mix in between. The mixture should cook from the steam released by it.When the sweet potato is cooked, sprinkle gram flour and toss gently such that it gets coated well. Add 1-2 teaspoon of oil and let the raw banana pieces get nicely fried on low flame .Let it cook for 5-7 minutes for all the flavors to absorb. Take off stove and serve hot.Serve Dry Sweet Potato Thoran along with Mixed Vegetable Sambar and Steamed Rice for a weekday meal.
</t>
  </si>
  <si>
    <t xml:space="preserve">ഡ്രൈ സ്വീറ്റ് പൊട്ടറ്റോ തോരൻ റെസിപ്പി ഉണ്ടാക്കാൻ തുടങ്ങാൻ, മധുരക്കിഴങ്ങിൻ്റെ അരികുകൾ കഴുകി ട്രിം ചെയ്യുക. മീഡിയം ഫ്ലെയിമിൽ 1 വിസിലിന് ആവശ്യമായ വെള്ളത്തിൽ കുക്ക് ചെയ്യുക. മർദ്ദം വിട്ടശേഷം, തൊലി കളഞ്ഞ് വൃത്താകൃതിയിൽ മുറിച്ച് മാറ്റി വയ്ക്കുക. ചുവടു കട്ടിയുള്ള ഒരു പാത്രത്തിൽ എണ്ണ ചൂടാക്കുക, കടുക്, ഉലുവ എന്നിവ ചേർക്കുക. കടുക് പൊട്ടി വരുമ്പോൾ കറിവേപ്പില ചേർക്കുക. പിന്നീട് അരിഞ്ഞ ഉള്ളി ചേർത്ത് മൃദുവും അർദ്ധസുതാര്യവും വരെ വഴറ്റുക. ചട്ടിയിൽ അരിഞ്ഞ മധുരക്കിഴങ്ങ് ചേർത്ത് പതുക്കെ ടോസ് ചെയ്യുക. മഞ്ഞൾ പൊടി, ഉപ്പ്, രസം പൊടി എന്നിവ ചേർക്കുക. മധുരക്കിഴങ്ങ് കഷ്ണങ്ങൾ നന്നായി പൊതിയുന്ന തരത്തിൽ എല്ലാം മിക്സ് ചെയ്യുക. തീ ചെറുതാക്കി ഒരു ലിഡ് ഉപയോഗിച്ച് അടച്ച് ചെറിയ തീയിൽ വേവിക്കുക. ഇടയ്ക്ക് ഇളക്കുക. മിശ്രിതം അത് പുറത്തുവിടുന്ന ആവിയിൽ നിന്ന് വേവിച്ചെടുക്കണം. മധുരക്കിഴങ്ങ് പാകം ചെയ്യുമ്പോൾ, ചെറുപയർ മാവ് വിതറി, അത് നന്നായി പൊതിയുന്ന തരത്തിൽ മൃദുവായി ടോസ് ചെയ്യുക. 1-2 ടീസ്പൂൺ എണ്ണ ചേർക്കുക, അസംസ്കൃത വാഴപ്പഴം ചെറിയ തീയിൽ നന്നായി വറുത്തെടുക്കാൻ അനുവദിക്കുക. സ്റ്റൗവ് ഓഫ് ചെയ്ത് ചൂടോടെ വിളമ്പുക.ഉണങ്ങിയ മധുരക്കിഴങ്ങ് തോരൻ മിക്‌സ്ഡ് വെജിറ്റബിൾ സാമ്പാർ , ആവിയിൽ വേവിച്ച ചോറ്  എന്നിവയ്‌ക്കൊപ്പം ഒരു ആഴ്‌ചയിലെ ഭക്ഷണത്തിന്  വിളമ്പുക.
</t>
  </si>
  <si>
    <t>https://www.archanaskitchen.com/dry-sweet-potato-thoran-recipe</t>
  </si>
  <si>
    <t>Malabar Kaai Curry Recipe With Nenthrapazham</t>
  </si>
  <si>
    <t>നേന്ത്രപ്പഴം കൊണ്ട് മലബാർ കായ് കറി പാചകക്കുറിപ്പ്</t>
  </si>
  <si>
    <t>2 വാഴപ്പൂവ് (വാഴപ്പൂ) - പഴുത്തത്, 1 കപ്പ് തേങ്ങാപ്പാൽ - കട്ടിയുള്ളത്, 3 കപ്പ് തേങ്ങാപ്പാൽ - കനം, 1/2 കപ്പ് അരി - അസംസ്‌കൃതം, 1/2 കപ്പ് ചണപയർ (ബംഗാൾ പയർ), 1/4 സവാള, 2 ഏലയ്ക്ക (ഇലച്ചി) കായ്കൾ/വിത്ത്, 1 കപ്പ് പഞ്ചസാര, പാകത്തിന് ഉപ്പ് - 3/4 ടീസ്പൂൺ.</t>
  </si>
  <si>
    <t>2 Banana flower (Vazhaipoo) - ripe,1 cup Coconut milk - thick,3 cups Coconut milk - thin,1/2 cup Rice - raw,1/2 cup Chana dal (Bengal Gram Dal),1/4 Onion,2 Cardamom (Elaichi) Pods/Seeds,1 cup Sugar,3/4 teaspoon Salt - and some more for cooking the chana dal,Water - as required</t>
  </si>
  <si>
    <t>Gluten Free</t>
  </si>
  <si>
    <t xml:space="preserve">To begin making the Malabar Kaai Curry, first wash and soak chana dal and raw rice separately in two different bowls for about an hour.After that cook chana dal with little salt in water and once done, drain the water and keep it aside.Slice the bananas, and keep them aside.Now, grind together the rice, onion and cardamom with 1 cup water to a very fine paste.Take the rice batter in a pan and to this, add the thin coconut milk.Switch the flame on, and keep stirring continuously till the mixture thickens and becomes creamy.At this stage, add the sugar, salt, cooked chana dal and sliced bananas and mix well.Stir continuously and let the bananas cook for about 10 minutes.After that, add the thick coconut milk and mix and let it boil for about 2 minutes, before switching the flame off.Serve Malabar Kaai Curry as a dessert during the festive season along with Kandarappam.
</t>
  </si>
  <si>
    <t xml:space="preserve">മലബാർ കായ് കറി ഉണ്ടാക്കാൻ തുടങ്ങാൻ, ആദ്യം രണ്ട് വ്യത്യസ്ത പാത്രങ്ങളിൽ ചേനയും അരിയും വെവ്വേറെ കഴുകി ഒരു മണിക്കൂറോളം കുതിർക്കുക. അതിനുശേഷം ചെറുതായി ഉപ്പ് ചേർത്ത് വെള്ളം വറ്റിച്ച് മാറ്റി വയ്ക്കുക. ഏത്തപ്പഴം അരിഞ്ഞത് മാറ്റി വയ്ക്കുക. ഇപ്പോൾ അരി, ഉള്ളി, ഏലക്ക എന്നിവ ഒരു കപ്പ് വെള്ളത്തിൽ നന്നായി അരച്ചെടുക്കുക. ചട്ടിയിൽ, ഇതിലേക്ക് നേർത്ത തേങ്ങാപ്പാൽ ചേർക്കുക. തീ ഓണാക്കി, മിശ്രിതം കട്ടിയാകുന്നത് വരെ തുടർച്ചയായി ഇളക്കുക ഓഫ്.കന്ദാരപ്പത്തിനൊപ്പം മലബാർ കായ് കറി ഒരു മധുരപലഹാരമായി ഉത്സവ സീസണിൽ വിളമ്പുക.
</t>
  </si>
  <si>
    <t>http://www.archanaskitchen.com/malabar-kaai-curry-recipe-with-nenthrapazham</t>
  </si>
  <si>
    <t>Vendakkai Thoran Recipe - Kerala Style Bhindi Stir Fry</t>
  </si>
  <si>
    <t>വെണ്ടക്കൈ തോരൻ റെസിപ്പി - കേരള സ്റ്റൈൽ ഭിണ്ടി ഇളക്കുക</t>
  </si>
  <si>
    <t>500 ഗ്രാം ഭിണ്ടി (ലേഡി ഫിംഗർ/ഓക്ര) - പകുതിയായി മുറിച്ച് 1 ഇഞ്ച് കഷ്ണങ്ങളാക്കി മുറിക്കുക, 10 മുത്ത് ഉള്ളി (സാമ്പാർ ഉള്ളി) - ചെറുതായി അരിഞ്ഞത്, 1/4 കപ്പ് പുതിയ തേങ്ങ - അരച്ചത്, 2 പച്ചമുളക് - ചെറുതായി അരിഞ്ഞത്, 1 തണ്ട് കറിവേപ്പില, 1/2 ടീസ്പൂൺ കടുക്, 2 ടീസ്പൂൺ കടുക്. രുചി, സൂര്യകാന്തി എണ്ണ - പാചകത്തിന്</t>
  </si>
  <si>
    <t>500 grams Bhindi (Lady Finger/Okra) - slit into half and cut into 1 inch pieces,10 Pearl onions (Sambar Onions) - finely chopped,1/4 cup Fresh coconut - grated,2 Green Chillies - finely chopped,1 sprig Curry leaves,1/2 teaspoon Mustard seeds,1/2 teaspoon Turmeric powder (Haldi),Salt - to taste,Sunflower Oil - for cooking</t>
  </si>
  <si>
    <t xml:space="preserve">To begin making the Vendakkai Thoran Recipe, firstly prepare all the ingredients and keep them ready.Heat a teaspoon of oil in a heavy bottomed wok/kadai; add the mustard seeds, curry leaves and allow it to crackle. Add the chopped onions and saute until the onions become tender. Once the onions are soft and tender, add the green chilies, cut Vendakkai (bhindi) and sprinkle salt.Cover the pan, with the lid slightly ajar and cook the Vendakkai until it is soft. Keep stirring intermittently until it is cooked through.Once the Vendakkai is cooked through, add the turmeric powder, grated coconut and saute for a few more minutes. Check the salt and spices and adjust to suit your taste.Once done, transfer the Vendakkai Thoran to a serving bowl and serve warm.Make the delicious Vendakkai Thoran Recipe and serve it along with Kuruku Kaalan (Raw Bananas in Coconut Curry) and Steamed Rice for a delicious lunch.
</t>
  </si>
  <si>
    <t xml:space="preserve">വെണ്ടക്കൈ തോരൻ റെസിപ്പി ഉണ്ടാക്കാൻ തുടങ്ങുന്നതിന്, ആദ്യം എല്ലാ ചേരുവകളും തയ്യാറാക്കി തയ്യാറാക്കി വെക്കുക. ഒരു ടീസ്പൂൺ എണ്ണ ചുവടു കട്ടിയുള്ള ഒരു വോക്ക്/കടയിൽ ചൂടാക്കുക; കടുക്, കറിവേപ്പില എന്നിവ ചേർത്ത് പൊട്ടിക്കാൻ അനുവദിക്കുക. അരിഞ്ഞ ഉള്ളി ചേർത്ത് ഉള്ളി ഇളകുന്നത് വരെ വഴറ്റുക. ഉള്ളി മൃദുവും മൃദുവും ആയിക്കഴിഞ്ഞാൽ, പച്ചമുളക് ചേർക്കുക, വെണ്ടക്കൈ (ഭിണ്ടി) മുറിച്ച് ഉപ്പ് വിതറുക. പാൻ, ലിഡ് ചെറുതായി തുറന്ന്, വെണ്ടക്കൈ മൃദുവാകുന്നതുവരെ വേവിക്കുക. വെണ്ടക്കായ് പാകമാകുന്നത് വരെ ഇടയ്ക്കിടെ ഇളക്കി കൊണ്ടിരിക്കുക.വെണ്ടക്കൈ പാകം ചെയ്തുകഴിഞ്ഞാൽ, മഞ്ഞൾപൊടി, തേങ്ങ ചിരകിയത് എന്നിവ ചേർത്ത് കുറച്ച് മിനിറ്റ് കൂടി വഴറ്റുക. ഉപ്പും മസാലകളും പരിശോധിച്ച് നിങ്ങളുടെ അഭിരുചിക്കനുസരിച്ച് ക്രമീകരിക്കുക. ചെയ്തുകഴിഞ്ഞാൽ, വെണ്ടക്കൈ തോരൻ ഒരു സെർവിംഗ് പാത്രത്തിലേക്ക് മാറ്റി ചൂടോടെ വിളമ്പുക. സ്വാദിഷ്ടമായ വെണ്ടക്കൈ തോരൻ പാചകക്കുറിപ്പ് ഉണ്ടാക്കി  കുറുക്കു കാലൻ (തേങ്ങാ കറിയിലെ അസംസ്‌കൃത വാഴപ്പഴം) ,  സ്വാദിഷ്ടമായ ഉച്ചഭക്ഷണത്തിനായി ആവിയിൽ വേവിച്ച ചോറ്  എന്നിവയ്‌ക്കൊപ്പം വിളമ്പുക.
</t>
  </si>
  <si>
    <t>https://www.archanaskitchen.com/kerala-style-vendakkai-thoran-recipe-stir-fried-okra-with-ground-coconut-recipe</t>
  </si>
  <si>
    <t>Vendakka Stew Recipe (Kerala Style Okra Stew)</t>
  </si>
  <si>
    <t>വെണ്ടക്ക പായസം (കേരള സ്റ്റൈൽ ഒക്ര സ്റ്റൂ)</t>
  </si>
  <si>
    <t>500 ഗ്രാം ഭിണ്ടി (ലേഡി ഫിംഗർ/ഓക്ര) - 1 ഇഞ്ച് കഷണങ്ങളാക്കിയത്, 1 സവാള - വലുത്, 1 പച്ചമുളക് - കീറിയത്, 1 കപ്പ് തേങ്ങാപ്പാൽ - കട്ടിയുള്ളത്, 2 ടീസ്പൂൺ ഇഞ്ചി - വറ്റൽ, 1 ടീസ്പൂൺ കടുക്, 1 തണ്ട് കറിവേപ്പില, 1 ടേബിൾസ്പൂൺ വെളിച്ചെണ്ണ, ഉപ്പ് - ആവശ്യത്തിന്</t>
  </si>
  <si>
    <t>500 grams Bhindi (Lady Finger/Okra) - cut into 1 inch pieces,1 Onion - big,1 Green Chilli - slit,1 cup Coconut milk - thick,2 teaspoons Ginger - grated,1 teaspoon Mustard seeds,1 sprig Curry leaves,1 tablespoon Coconut Oil,Salt - to taste</t>
  </si>
  <si>
    <t xml:space="preserve">To begin making Vendakka Stew, first wash, dry and cut the okras into 1 inch long pieces and keep aside.Heat coconut oil in a pan on medium heat, add the mustard seeds and let it splutter.Add the curry leaves and let it splutter.Add the sliced onions and saute until it turns translucent.Add the grated ginger, slit green chilli and saute for a minute.Add the cut okras and mix well.Season with salt and saute for around 10 minutes till its half cooked.Close with the lid and let the okras cook well.Once its cooked, add the coconut milk and a cup of water and bring it to a rolling boil.Switch off the flame and serve the Vendakka Stew along with steamed rice or appams for the weeknight dinner.
</t>
  </si>
  <si>
    <t xml:space="preserve">വെണ്ടയ്ക്ക പായസം ഉണ്ടാക്കാൻ തുടങ്ങാൻ, ആദ്യം കഴുകി ഉണക്കി 1 ഇഞ്ച് നീളമുള്ള കഷ്ണങ്ങളാക്കി മുറിക്കുക മിനിറ്റ്.അരിഞ്ഞ ഒണ്ടുകൾ ചേർത്ത് നന്നായി ഇളക്കുക.ഉപ്പ് പാകം ചെയ്ത് ഏകദേശം 10 മിനിറ്റ് വഴറ്റുക.മൂടി കൊണ്ട് അടച്ച് നന്നായി വേവിക്കുക
</t>
  </si>
  <si>
    <t>https://www.archanaskitchen.com/vendakka-stew-recipe-kerala-style-okra-stew</t>
  </si>
  <si>
    <t>Kerala Style Pacha Mango Avial Recipe</t>
  </si>
  <si>
    <t>കേരള സ്റ്റൈൽ പച്ച മാങ്ങ അവിയൽ റെസിപ്പി</t>
  </si>
  <si>
    <t>1 കാരറ്റ് (ഗജ്ജർ) - ചെറുതായി അരിഞ്ഞത്, 1 വഴുതനങ്ങ (ബൈംഗൻ / വഴുതനങ്ങ) - ചെറുതായി അരിഞ്ഞത്, 1 ഉരുളക്കിഴങ്ങ് (ആലു) - ചെറുതായി അരിഞ്ഞത്, 1 ആനക്കീറ (സുരൻ / സെനൈ / റതാലു) - ചെറുതായി അരിഞ്ഞത്, 6 പച്ച പയർ (ഫ്രഞ്ച് പയർ 1 കഷണം - 1 കഷണം) ഇഞ്ച് നീളത്തിൽ, 1/4 ടീസ്പൂൺ മഞ്ഞൾപൊടി (ഹാൽദി), 1 കപ്പ് പുതിയ തേങ്ങ - അരച്ചത്, 1 ടേബിൾസ്പൂൺ ഇഞ്ചി - ജൂലിയൻ, 6 പച്ചമുളക്, 1/2 ടീസ്പൂൺ ജീരകം (ജീര), 1 കപ്പ് മുത്ത് (സാമ്പാർ ഉള്ളി), 2 തണ്ട് കറിവേപ്പില, 1 ടേബിൾസ്പൂൺ വെളിച്ചെണ്ണ, ഉപ്പ് - ആവശ്യത്തിന്</t>
  </si>
  <si>
    <t>1 Carrot (Gajjar) - finely chopped,1 Brinjal (Baingan / Eggplant) - finely chopped,1 Potato (Aloo) - finely diced,1 Elephant yam (Suran/Senai/Ratalu) - finely diced,6 Green beans (French Beans) - cut into 1 inch pieces,1 Mango (Raw) - cut into 1 inch lengthwise,1/4 teaspoon Turmeric powder (Haldi),1 cup Fresh coconut - grated,1 tablespoon Ginger - juliennes,6 Green Chillies,1/2 teaspoon Cumin seeds (Jeera),1 cup Pearl onions (Sambar Onions),2 sprig Curry leaves,1 tablespoon Coconut Oil,Salt - to taste</t>
  </si>
  <si>
    <t xml:space="preserve">To begin making Kerala Style Pacha Mango Avial Recipe, in a mixer grinder, coarsely grind fresh grated coconut, green chillies (reserve a few for later), cumin seeds and shallots with a little water. Keep aside in a bowl.Place a kadai on a medium heat, cook the vegetables with just enough water so that the water should get dried up when the veggies are cooked al dente. (about 70% cooked)Add turmeric powder, give it a quick mix, and cook further.When the vegetables are cooked till firm (do not over cook), add the raw mango pieces and cook for another 7 minutes.Add the coconut mixture and salt to taste stirring carefully.Cook for 2 minutes till dry on a low heat. (If you prefer to make it little gravy type, add few teaspoons of yogurt and mix well, turn off flame immediately)Finally add curry leaves and coconut oil (optional) and switch off.Serve Kerala Style Pacha Mango Avial Recipe with Steamed Rice, Pachai Sundakkai Puli Kuzhambu Recipe (Turkey Berry Tamarind Based Gravy), Cabbage Thoran (Poriyal) Recipe to make a complete lunch meal.
</t>
  </si>
  <si>
    <t xml:space="preserve">കേരള സ്‌റ്റൈൽ പച്ച മാമ്പഴ അവിയൽ പാചകക്കുറിപ്പ് തയ്യാറാക്കാൻ, ഒരു മിക്‌സർ ഗ്രൈൻഡറിൽ, ഫ്രഷ് തേങ്ങ, പച്ചമുളക് (കുറച്ച് പിന്നീട് കരുതിവെക്കുക), ജീരകം, ചെറുപയർ എന്നിവ അൽപം വെള്ളമൊഴിച്ച് നന്നായി പൊടിക്കുക. ഒരു പാത്രത്തിൽ മാറ്റി വയ്ക്കുക. ഒരു ഇടത്തരം ചൂടിൽ ഒരു കടായി വയ്ക്കുക, പച്ചക്കറികൾ ആവശ്യത്തിന് വെള്ളം ഉപയോഗിച്ച് വേവിക്കുക, അങ്ങനെ പച്ചക്കറികൾ അൽ ദന്തം പാകം ചെയ്യുമ്പോൾ വെള്ളം വറ്റിപ്പോകും. (ഏകദേശം 70% വേവിച്ചു) മഞ്ഞൾപ്പൊടി ചേർക്കുക, ഒരു വേഗത്തിലുള്ള മിക്സ് കൊടുക്കുക, കൂടുതൽ വേവിക്കുക. പച്ചക്കറികൾ ഉറച്ചുവരുമ്പോൾ (അധികം വേവിക്കരുത്), അസംസ്കൃത മാങ്ങാ കഷണങ്ങൾ ചേർത്ത് മറ്റൊരു 7 മിനിറ്റ് വേവിക്കുക. തേങ്ങാ മിശ്രിതവും ഉപ്പും ചേർത്ത് നന്നായി ഇളക്കുക. 2 മിനിറ്റ് ചെറിയ തീയിൽ ഉണങ്ങുന്നത് വരെ വേവിക്കുക. (ഇത് ചെറിയ ഗ്രേവി തരത്തിലാക്കാൻ നിങ്ങൾ ആഗ്രഹിക്കുന്നുവെങ്കിൽ, കുറച്ച് ടീസ്പൂൺ തൈര് ചേർത്ത് നന്നായി ഇളക്കുക, ഉടൻ തീ ഓഫ് ചെയ്യുക) ഒടുവിൽ കറിവേപ്പിലയും വെളിച്ചെണ്ണയും ചേർത്ത് സ്വിച്ച് ഓഫ് ചെയ്യുക. ഗ്രേവി), ക്യാബേജ് തോരൻ (പൊരിയൽ) ഒരു സമ്പൂർണ്ണ ഉച്ചഭക്ഷണം ഉണ്ടാക്കുന്നതിനുള്ള പാചകക്കുറിപ്പ്.
</t>
  </si>
  <si>
    <t>http://www.archanaskitchen.com/kerala-style-pacha-mango-avial-recipe</t>
  </si>
  <si>
    <t>Meen Vevichathu Recipe - Kottayam Style Fish Curry</t>
  </si>
  <si>
    <t>മീൻ വേവിച്ചത് റെസിപ്പി - കോട്ടയം സ്റ്റൈൽ മീൻ കറി</t>
  </si>
  <si>
    <t>2 സീർ ​​ഫിഷ് - കഷ്ണങ്ങൾ, 1/2 ടീസ്പൂൺ മഞ്ഞൾപ്പൊടി (ഹാൽദി), ഉപ്പ് - ആവശ്യത്തിന്, 2 ടീസ്പൂൺ ആച്ചി ഫിഷ് മസാല, 1/3 കപ്പ് പുതിയ തേങ്ങ, 6 അല്ലി വെളുത്തുള്ളി, 1 ഇഞ്ച് ഇഞ്ചി, 2 തണ്ട് മല്ലിയില (ധാനിയ) ഇലകൾ - കഴുകി ചെറുതായി അരിഞ്ഞത്, 1 തക്കാളി, ചെറുതായി അരിഞ്ഞത് ഗ്രാമ്പൂ (ലാങ്ങ്), 1 കോക്കും (മലബാർ പുളി), 2 ടേബിൾസ്പൂൺ വെളിച്ചെണ്ണ, 3 തണ്ട് കറിവേപ്പില, 8 മുത്തു സവാള (സാമ്പാർ ഉള്ളി) - 2 ടേബിൾസ്പൂൺ സാമ്പാർ പൊടി</t>
  </si>
  <si>
    <t>2 Seer fish - slices,1/2 teaspoon Turmeric powder (Haldi),Salt - to taste,2 teaspoons Aachi Fish Masala,1/3 cup Fresh coconut,6 cloves Garlic,1 inch Ginger,2 sprig Coriander (Dhania) Leaves - washed and finely chopped,1 Tomato - finely chopped,1 inch Cinnamon Stick (Dalchini),2 Cloves (Laung),1 Kokum (Malabar Tamarind),2 tablespoons Coconut Oil,3 sprig Curry leaves,8 Pearl onions (Sambar Onions) - sliced,2 tablespoons Sambar Powder</t>
  </si>
  <si>
    <t xml:space="preserve">To begin making the Meen Vevichathu Recipe, wash and clean the fish well and drain off the excess water. In a mixing bowl, combine the salt, turmeric powder, and fish masala, mix this well. To this mixing bowl, add the seer fish slices and massage the masala gently into the fish and set aside. *To make the masala In a mixer-jar combine the coconut, coriander leaves, garlic, ginger, tomato, cinnamon, cloves, and kokum. Grind this into a smooth paste, using some water. Transfer into a bowl aside. Soak the kokum pieces in warm water for 10 minutes. Mash the kokum well into the water, strain and set the kokum water aside. *Getting ahead with the Meen Vevichathu recipe:Heat a meen chatti and pour the coconut oil into it. Once the oil is hot, add the curry leaves and allow them to crackle. Next into the meen chetti, add the sliced shallots and fry until it turns transparent. To this add the freshly ground masala, salt and cook until the raw smell goes away, this will take a good 4-6 minutes. Once the masala is well cooked, add in the sambar masala. Then add the prepared kokum water and required amount of water to adjust the thickness of the Meen VevichathuIncrease the flame and bring the Meen Vevichathu to a rolling boil and then reduce the flame to medium.At this stage, add the marinated seer fish slices along with the marinade and cover and cook. Reduce the flame to medium-low and cook until the fish is done. This will take about 12-15 minutes. Turn off the flame and check if the fish is cooked through, if not cook for a few minutes to ensure it's well done. Serve Meen Vevichathu Recipe along with some hot Steamed Rice, Prawn Ghee Pepper Masala Recipe With Garlic for a simple lip smacking meal over the weekend.
</t>
  </si>
  <si>
    <t xml:space="preserve">മീൻ വേവിച്ചതു പാചകക്കുറിപ്പ് തയ്യാറാക്കാൻ, മത്സ്യം നന്നായി കഴുകി വൃത്തിയാക്കുക, അധിക വെള്ളം ഒഴിക്കുക. ഒരു മിക്സിംഗ് ബൗളിൽ, ഉപ്പ്, മഞ്ഞൾപൊടി, മീൻ മസാല എന്നിവ യോജിപ്പിക്കുക, ഇത് നന്നായി ഇളക്കുക. ഈ മിക്സിംഗ് ബൗളിലേക്ക് സീർ ഫിഷ് കഷ്ണങ്ങൾ ചേർത്ത് മസാല മസാജ് ചെയ്ത് മീനിലേക്ക് മാറ്റി വയ്ക്കുക. *മസാല ഉണ്ടാക്കാൻ ഒരു മിക്സർ ജാറിൽ തേങ്ങ, മല്ലിയില, വെളുത്തുള്ളി, ഇഞ്ചി, തക്കാളി, കറുവപ്പട്ട, ഗ്രാമ്പൂ, കോകം എന്നിവ യോജിപ്പിക്കുക. ഇത് കുറച്ച് വെള്ളം ഉപയോഗിച്ച് മിനുസമാർന്ന പേസ്റ്റാക്കി പൊടിക്കുക. ഒരു പാത്രത്തിലേക്ക് മാറ്റി വയ്ക്കുക. കോകം കഷണങ്ങൾ 10 മിനിറ്റ് ചെറുചൂടുള്ള വെള്ളത്തിൽ കുതിർക്കുക. കോകം വെള്ളത്തിൽ നന്നായി കുഴച്ച്, അരിച്ചെടുത്ത് കോക്കം വെള്ളം മാറ്റി വയ്ക്കുക. *മീൻ വേവിച്ചതു പാചകക്കുറിപ്പുമായി മുന്നോട്ട് പോവുക: ഒരു മീൻ ചട്ടി ചൂടാക്കി അതിലേക്ക് വെളിച്ചെണ്ണ ഒഴിക്കുക. എണ്ണ ചൂടായാൽ കറിവേപ്പില ഇട്ട് പൊട്ടിക്കാൻ അനുവദിക്കുക. അടുത്തതായി മീൻചെട്ടിയിലേക്ക്, അരിഞ്ഞത് ചേർത്ത് സുതാര്യമാകുന്നതുവരെ വറുക്കുക. ഇതിലേക്ക് പുതുതായി പൊടിച്ച മസാല, ഉപ്പ് എന്നിവ ചേർത്ത് അസംസ്കൃത മണം മാറുന്നതുവരെ വേവിക്കുക, ഇത് 4-6 മിനിറ്റ് എടുക്കും. മസാല നന്നായി വഴന്നു കഴിഞ്ഞാൽ സാമ്പാർ മസാല ചേർക്കുക. അതിനു ശേഷം തയ്യാറാക്കിയ കൊക്കം വെള്ളവും മീൻ വേവിച്ചതിൻ്റെ കനം ക്രമീകരിക്കാൻ ആവശ്യമായ വെള്ളവും ചേർത്ത് തീ കൂട്ടി മീൻ വേവിച്ചത് തിളപ്പിച്ച് തീ ഇടത്തരം ആക്കുക. ഈ ഘട്ടത്തിൽ മാരിനേറ്റ് ചെയ്ത മത്സ്യ കഷ്ണങ്ങൾ മാരിനേഡിനൊപ്പം ചേർത്ത് അടച്ച് വേവിക്കുക. തീ ഇടത്തരം കുറഞ്ഞ് മീൻ പാകമാകുന്നത് വരെ വേവിക്കുക. ഇത് ഏകദേശം 12-15 മിനിറ്റ് എടുക്കും. തീ ഓഫ് ചെയ്‌ത് മീൻ പാകം ചെയ്‌തിട്ടുണ്ടോയെന്ന് പരിശോധിക്കുക. വാരാന്ത്യത്തിൽ ലളിതമായി ചുണ്ടുകളടയ്ക്കുന്ന ഭക്ഷണത്തിനായി മീൻ വേവിച്ചതു പാചകക്കുറിപ്പ്, കുറച്ച് ചൂടുള്ള ആവിയിൽ വേവിച്ച ചോറ്, കൊഞ്ച് നെയ്യ് കുരുമുളക് മസാല, വെളുത്തുള്ളി എന്നിവയ്‌ക്കൊപ്പം വിളമ്പുക.
</t>
  </si>
  <si>
    <t>https://www.archanaskitchen.com/meen-vevichathu-recipe-kottayam-style-fish-curry</t>
  </si>
  <si>
    <t>Kerala Style Tapioca with Coconut Curd Chutney Recipe</t>
  </si>
  <si>
    <t>കേരള സ്റ്റൈൽ മരച്ചീനി, തേങ്ങാ തൈര് ചട്ണി പാചകക്കുറിപ്പ്</t>
  </si>
  <si>
    <t>ഒരു കിലോ മരച്ചീനി റൂട്ട്, 1 കപ്പ് പുതിയ തേങ്ങ - അരച്ചത്, 4 മുതൽ 5 വരെ ചെറുതായി, 2 പച്ചമുളക് - അരിഞ്ഞത്, 1-1/2 കപ്പ് തൂക്കിയ തൈര് (ഗ്രീക്ക് തൈര്), ഉപ്പ് - ആവശ്യത്തിന്</t>
  </si>
  <si>
    <t>1 kg Tapioca root,1 cup Fresh coconut - grated,4 to 5 Shallots,2 Green Chillies - chopped,1-1/2 cups Hung Curd (Greek Yogurt),Salt - to taste</t>
  </si>
  <si>
    <t>South Indian Breakfast</t>
  </si>
  <si>
    <t xml:space="preserve">To begin making the Tapioca With Coconut Curd Chutney recipe, firstly peel, cut and wash the tapioca well.Take lots of water in a saucepan and bring it to a boil. Add salt and add the tapioca pieces.Once tapioca pieces are cooked, drain the water.For the chutney, in a blender add coconut, green chilli and shallots and blend it finely.Add this mixture to sour curd and add salt and mix properly, season it well according to your palate. Serve the Tapioca With Coconut Curd Chutney as a snack or for a healthy and light breakfast along with Kerala Style Pazham Pori Recipe (Banana Fry) or Kerala Style Appam Recipe (Fermented Rice Pancakes With Coconut).
</t>
  </si>
  <si>
    <t xml:space="preserve">തേങ്ങാ തൈര് ചട്ണി പാചകക്കുറിപ്പ് ഉപയോഗിച്ച് മരച്ചീനി ഉണ്ടാക്കാൻ ആരംഭിക്കുന്നതിന്, ആദ്യം മരച്ചീനി തൊലി കളഞ്ഞ് മുറിച്ച് നന്നായി കഴുകുക. ഒരു ചീനച്ചട്ടിയിൽ ധാരാളം വെള്ളം എടുത്ത് തിളപ്പിക്കുക. ഉപ്പ് ചേർത്ത് മരച്ചീനി കഷണങ്ങൾ ചേർക്കുക. മരച്ചീനി കഷണങ്ങൾ വേവിച്ചുകഴിഞ്ഞാൽ, വെള്ളം വറ്റിക്കുക. ചട്ണിക്ക്, ഒരു ബ്ലെൻഡറിൽ തേങ്ങ, പച്ചമുളക്, ചെറുപയർ എന്നിവ ചേർത്ത് നന്നായി യോജിപ്പിക്കുക. ഈ മിശ്രിതം പുളിച്ച തൈരിൽ ചേർത്ത് ഉപ്പ് ചേർത്ത് നന്നായി ഇളക്കുക. തേങ്ങാ തൈര് ചട്ണിക്കൊപ്പം മരച്ചീനി ഒരു ലഘുഭക്ഷണമായോ ആരോഗ്യകരവും ലഘുവായതുമായ പ്രഭാതഭക്ഷണമായോ,                                                                                                                                                                                                                                         കേരള സ്‌റ്റൈൽ പഴം പൊരി .
</t>
  </si>
  <si>
    <t>http://www.archanaskitchen.com/tapioca-with-coconut-curd-chutney-recipe</t>
  </si>
  <si>
    <t>Kerala Style Appam Recipe</t>
  </si>
  <si>
    <t>കേരള സ്റ്റൈൽ അപ്പം റെസിപ്പി - Kerala Style Appam Recipe</t>
  </si>
  <si>
    <t>2 കപ്പ് ചാവൽ - 3 ഘണ്ടേ ഭിഗോ ദേ,1 കപ്പ് ചാവൽ - പകെ ഹൂഎ,1 കപ നാരിയൽ - കസ് ലെ,1 ചംച ആക്ടിവ് ഡ്രൈവ് ഈസ്റ്റ് -  + 1/2 കപ്പ് ഗുണഗുണ പാനി,2 ബഡേ ചമ്മച്ച് ശക്കർ,നമക് - സവദ്</t>
  </si>
  <si>
    <t>2 cups rice - soaked for 3 hours, 1 cup rice - cooked, 1 cup coconut - tighten, 1 tsp active dry yeast - + 1/2 cup lukewarm water, 2 tbsp sugar, salt - as per taste</t>
  </si>
  <si>
    <t>To make Kerala style appam recipe, first soak the rice in water for 3 to 4 hours. Now add salt, sugar, active dry yeast in a bowl and mix. Keep aside for 5 minutes. Now add soaked rice, cooked rice, coconut, some water, salt in a mixer grinder and grind to make a batter. Add yeast mixture to it and mix. Take out this mixture in a bowl, cover it and keep it aside to ferment for 5 to 6 hours. Now add water as per requirement and dilute the batter as per your requirement. Be careful not to dilute it too much. Now place an appam pan on the gas on medium flame. Now pour the appam batter in this pan and take the pan in your hand and rotate it all around so that the batter spreads well. Appam will be thick in the middle and thin at the corners. Cover the pan for 2 minutes until it becomes light golden brown at the corners. Take out and serve. Serve Kerala Style Appam Recipe with Kadala Curry or Vegetable Stew for your daily lunch.</t>
  </si>
  <si>
    <t xml:space="preserve">കേരള സ്‌റ്റൈൽ അപ്പം റെസിപ്പി ബനാനെ സെബസെ പഹലെ ചാവൽ കോ 3 സെ 4 ഘടികാരങ്ങൾ കണ്ടെത്തുക ദേ. എബി ഒരു ബൗളിൽ നമുക്ക്, ശക്കർ, ആക്റ്റിവ് ഡ്രൈ ഈസ്റ്റ് ഡാലെ കൂടാതെ മില ലെ. 5 മിനിറ്റിനുള്ളിൽ അലഗ് സെ രഖ് ദേ. AB ഒരു മിക്‌സർ ഗ്രൈൻഡറിൽ ഭിഗോയേ ഹ്യൂയേ ചാവൽ, പകെ ഹുഎ ചാവൽ, നാറിയൽ, പദം ഡാലെയും പീസ് കർ ബനാ ലെയും. അതേപോലെ ഈസ്റ്റ് കാ മിശ്രണ ഡാലെയും മിലാ ലെയും. ഈ മിശ്രണം ഒരു ബൌളിൽ നികലെ, ഠകെ കൂടാതെ 5 സെ 6 ഘടങ്ങളുടെ നിർമ്മാണം നടത്തുക രഖ് ലെ. AB പ്രയോഗം അനുസാർ പാനി ഡാലെയും ബേറ്റർ കോ അപ്പനേ ഹിസാബ് സേ പതലാ കർ ലെ. ധ്യാന് രഖേം ജയദാ പതലാ നകരേം. അബ് ഒരു അപ്പം പൈൻ കോ ഗെയ്‌സ് പർ മീഡിയം ആഞ്ച് പർ രഖേം. ഇപ്പോൾ ഈ പൈൻ അപ്പം കാ ബേട്ടർ ഡാലെയും പൈൻ കോയും ഉണ്ട് ബാറ്റർ അച്ഛി തരഹ് സേ ഫെൽ ജാഎ. അപ്പം പോയി പൈൻ കോ 2 മിനിറ്റിനുള്ളിൽ ദക് ലെ ജബ് തക കോണേ സെ ഹൽക്ക സുനഹര ഭൂര ഇല്ല. നിക്കലെയും പരോസും. കേരള സ്‌റ്റൈൽ അപ്പം റെസിപി കോ അപ്പനെ ദിനം ഖാനെ കടല കരി യാ വെജിറ്റേബൽ സ്‌റ്റോക്ക്             
</t>
  </si>
  <si>
    <t>http://www.archanaskitchen.com/kerala-style-appam-recipe-fermented-rice-pancakes-with-coconut-in-hindi</t>
  </si>
  <si>
    <t>Paruppu Payasam Recipe - Stewed Dal Coconut Milk Payasam</t>
  </si>
  <si>
    <t>പരുപ്പ് പായസം പാചകരീതി - പായസം തേങ്ങാപ്പാൽ പായസം</t>
  </si>
  <si>
    <t>1-1/2 കപ്പ് പാൽ, 1 കപ്പ് തേങ്ങാപ്പാൽ, 1/4 കപ്പ് മഞ്ഞ മൂങ്ങാപ്പാൽ (പിളർന്നത്) - കഴുകി കുതിർത്തത്, 2 ടേബിൾസ്പൂൺ ചണപ്പാൽ (ബംഗാൾ ഗ്രാമ്പൂ) - കഴുകി കുതിർത്തത്, 2 ടേബിൾസ്പൂൺ പുതിയ തേങ്ങ - അരച്ചത്, 1/2 കപ്പ് ശർക്കര, 10 കശുവണ്ടിപ്പരിപ്പ് - 2 ടേബിൾസ്പൂൺ.</t>
  </si>
  <si>
    <t>1-1/2 cups Milk,1 cup Coconut milk,1/4 cup Yellow Moong Dal (Split) - washed and soaked,2 tablespoons Chana dal (Bengal Gram Dal) - washed and soaked,2 tablespoons Fresh coconut - grated,1/2 cup Jaggery,10 Cashew nuts - halved,1 teaspoon Cardamom Powder (Elaichi),2 tablespoons Ghee</t>
  </si>
  <si>
    <t xml:space="preserve">To begin making Paruppu Payasam, first heat ghee in a small pan on low heat,  add in the cashew nuts and roast on low heat until golden and crisp. Turn off the heat and keep aside.In a pressure cooker, combine the washed and drained chana dal and moong dal with 1 cup of water and pressure cook for 4 whistles. Turn off the heat and allow the pressure to release naturally. Mash the dals coarsely and keep aside.Once done, transfer the dals to a heavy bottom pan, add in the  milk, coconut milk, coconut, jaggery and cardamom powder.Stir and simmer the dal mixture until the jaggery dissolves and bring the mixture to a brisk boil. Turn the heat to low immediately and simmer for a few more minutes till the payasam reaches the desired consistency. Finally add in the roasted cashew nut and transfer the Paruppu Payasam into serving bowls and serve hot or cold.Serve the Paruppu Payasam Recipe Recipe with an Onam Sadhya made of Chickpea Sundal, Cabbage Thoran/Poriyal, Kuruku Kaalan, Sadya Parippu, Steamed Rice and Elai Vadam.
</t>
  </si>
  <si>
    <t xml:space="preserve">പരുപ്പ് പായസം ഉണ്ടാക്കാൻ തുടങ്ങാൻ, ആദ്യം ഒരു ചെറിയ പാനിൽ നെയ്യ് ചൂടാക്കുക,  കശുവണ്ടിപ്പരിപ്പ് ചേർക്കുക, ചെറിയ തീയിൽ സ്വർണ്ണനിറവും മൊരിഞ്ഞതുമായി വറുക്കുക. തീ ഓഫ് ചെയ്ത് മാറ്റി വയ്ക്കുക. ഒരു പ്രഷർ കുക്കറിൽ, കഴുകി വറ്റിച്ച ചേന പരിപ്പും മൂങ്ങയും 1 കപ്പ് വെള്ളവുമായി യോജിപ്പിച്ച് 4 വിസിൽ പ്രഷർ കുക്ക് ചെയ്യുക. ചൂട് ഓഫ് ചെയ്യുക, മർദ്ദം സ്വാഭാവികമായി പുറത്തുവിടാൻ അനുവദിക്കുക. പരിപ്പ് നന്നായി മാഷ് ചെയ്ത് മാറ്റി വയ്ക്കുക. ചെയ്തുകഴിഞ്ഞാൽ, ഒരു കട്ടിയുള്ള പാത്രത്തിലേക്ക് പരിപ്പ് മാറ്റുക, അതിൽ  പാൽ, തേങ്ങാപ്പാൽ, തേങ്ങ, ശർക്കര, ഏലയ്ക്കാപ്പൊടി എന്നിവ ചേർക്കുക. ശർക്കര അലിഞ്ഞുപോകുന്നതുവരെ പരിപ്പ് മിശ്രിതം ഇളക്കി തിളപ്പിക്കുക. പായസം ആവശ്യമുള്ള സ്ഥിരതയിൽ എത്തുന്നതുവരെ ഉടൻ തീ ചെറുതാക്കി കുറച്ച് മിനിറ്റ് കൂടി മാരിനേറ്റ് ചെയ്യുക. ഒടുവിൽ വറുത്ത കശുവണ്ടിയിൽ ചേർത്ത് പവിപുപാസം വിളമ്പുന്നതിൽ ചേർത്ത് ചൂടുള്ള അല്ലെങ്കിൽ തണുത്ത, കുറുക്കു കലാൻ, സാധന അരി, ആവിയിൽഡ് അരി, എലായ് വതം എന്നിവരുമായി തുറപ്പ് പാരമ്പു പാചകക്കുറിപ്പ്.
</t>
  </si>
  <si>
    <t>http://www.archanaskitchen.com/paruppu-payasam-recipe</t>
  </si>
  <si>
    <t>Nendra Pazham Pulissery Recipe - Ayurvedic Recipe</t>
  </si>
  <si>
    <t>നേന്ത്ര പഴം പുളിശ്ശേരി റെസിപ്പി - ആയുർവേദ പാചകക്കുറിപ്പ്</t>
  </si>
  <si>
    <t>2 നേന്ത്ര പഴം ഏത്തപ്പഴം (പഴുത്തത്) - വട്ടത്തിൽ അരിഞ്ഞത്, 1/4 ടീസ്പൂൺ മഞ്ഞൾപ്പൊടി (ഹാൽദി), ഉപ്പ് - പാകത്തിന്, 1 കപ്പ് തൈര് (ദാഹി / തൈര്), വെളിച്ചെണ്ണ - പാചകത്തിന്, 1/2 കപ്പ് പുതിയ തേങ്ങ, 2 പച്ചമുളക്, 1 തണ്ട് കറിവേപ്പില, 1 ടീസ്പൂൺ കറിവേപ്പില, 1 ടീസ്പൂൺ മുരിങ്ങയില. കറിവേപ്പില, 1 ടീസ്പൂണ് വെള്ള ഉരദാ ദാൽ (പിളർന്നത്), സൂര്യകാന്തി എണ്ണ - ചൂടാക്കാൻ</t>
  </si>
  <si>
    <t>2 Nendra Pazham Banana (Ripe) - sliced into rounds,1/4 teaspoon Turmeric powder (Haldi),Salt - to taste,1 cup Curd (Dahi / Yogurt),Coconut Oil - for cooking,1/2 cup Fresh coconut,2 Green Chilli,1 sprig Curry leaves,1 teaspoon Cumin seeds (Jeera),1 teaspoon Mustard seeds,1 sprig Curry leaves,1 teaspoon White Urad Dal (Split),Sunflower Oil - for tempering</t>
  </si>
  <si>
    <t xml:space="preserve">To begin making the Nendra Pazham Pulissery Recipe, heat oil in heavy bottomed pan; add the turmeric powder and the Nendra Pazham along with the salt. Stir fry and cook the Nendra Pazham until it is soft and cooked through.Meanwhile grind all the ingredients - coconut, green chillies, cumin seeds, curry leaves along with 1/2 cup warm water to make a smooth mixture.Add this coconut mixture along with the yogurt to the cooked Nendra Pazham and bring to a brisk boil. Add salt to taste and adjust according to taste. Boil for about 3 to 4 minutes and then turn off the heat.To temper, heat a small tempering pan on heat with oil and add the mustard seeds and allow it to splutter for few seconds and add the curry leaves and the urad dal and allow the dal to turn crisp and golden brown.Once done, turn off the heat and add the seasoning over the Nendra Pazham Pulissery and transfer to a serving bowl and serve hot.Serve the Nendra Pazham Pulissery Recipe along with Steamed Rice, Pavakkai Poriyal Recipe and Elai Vadam for a wholesome lunch or dinner.
</t>
  </si>
  <si>
    <t xml:space="preserve">നേന്ത്ര പഴം പുളിശ്ശേരി റെസിപ്പി ഉണ്ടാക്കാൻ തുടങ്ങാൻ, അടിയിൽ കട്ടിയുള്ള പാനിൽ എണ്ണ ചൂടാക്കുക; മഞ്ഞൾപ്പൊടിയും നേന്ദ്ര പഴവും ഉപ്പിനൊപ്പം ചേർക്കുക. ഇളക്കി, നേന്ത്ര പഴം മൃദുവാകുന്നത് വരെ വേവിക്കുക. അതിനിടയിൽ എല്ലാ ചേരുവകളും പൊടിക്കുക - തേങ്ങ, പച്ചമുളക്, ജീരകം, കറിവേപ്പില എന്നിവയും 1/2 കപ്പ് ചെറുചൂടുള്ള വെള്ളവും ചേർത്ത് ഒരു മിനുസമാർന്ന മിശ്രിതം ഉണ്ടാക്കുക. ഈ തേങ്ങാ മിശ്രിതം തൈരിനൊപ്പം വേവിച്ച നേന്ദ്ര പഴത്തിൽ ചേർത്ത് വേഗത്തിൽ തിളപ്പിക്കുക. പാകത്തിന് ഉപ്പ് ചേർത്ത് രുചിക്കനുസരിച്ച് ക്രമീകരിക്കുക. ഏകദേശം 3 മുതൽ 4 മിനിറ്റ് വരെ തിളപ്പിച്ച ശേഷം തീ ഓഫ് ചെയ്യുക. ടെമ്പർ ചെയ്യാൻ, ഒരു ചെറിയ ടെമ്പറിംഗ് പാൻ എണ്ണയിൽ ചൂടാക്കി കടുക് ഇട്ട് കുറച്ച് നിമിഷങ്ങൾ തെറിക്കാൻ അനുവദിക്കുക, കറിവേപ്പിലയും ഉലുവയും ചേർത്ത് പരിപ്പ് മൊരിഞ്ഞും സ്വർണ്ണ തവിട്ടുമായും മാറാൻ അനുവദിക്കുക. തീർന്ന്, തീ ഓഫ് ചെയ്ത് പാത്രത്തിലേക്ക് താളിക്കുക. ചൂടോടെ.നേന്ദ്ര പഴം പുളിശ്ശേരി റെസിപ്പി ആവിയിൽ വേവിച്ച ചോറ്, പാവക്കൈ പൊരിയൽ , എലൈ വടം  എന്നിവയ്‌ക്കൊപ്പം ആരോഗ്യകരമായ ഉച്ചഭക്ഷണത്തിനോ അത്താഴത്തിനോ വിളമ്പുക.
</t>
  </si>
  <si>
    <t>http://www.archanaskitchen.com/nendra-vazhaipazham-puliserry-recipe-ripe-banana-cooked-in-curd</t>
  </si>
  <si>
    <t>Kerala Chicken Curry Recipe With Freshly Ground Spices</t>
  </si>
  <si>
    <t>പുതുതായി പൊടിച്ച മസാലകൾ ഉപയോഗിച്ച് കേരള ചിക്കൻ കറി പാചകക്കുറിപ്പ്</t>
  </si>
  <si>
    <t>500 ചിക്കൻ - ഇടത്തരം കഷണങ്ങൾ, 1 സവാള - ഏകദേശം അരിഞ്ഞത്, 1 ഇഞ്ച് ഇഞ്ചി - വറ്റല്, 6 അല്ലി വെളുത്തുള്ളി - ചെറുതായി അരിഞ്ഞത്, 1 ടീസ്പൂൺ കടുക്, 8 കറിവേപ്പില, വെളിച്ചെണ്ണ, ഉപ്പ് - രുചി അനുസരിച്ച്, 1/2 കപ്പ് തേങ്ങാപ്പാൽ - അല്ലെങ്കിൽ ഗ്രേറ്റ് ചെയ്ത ഫ്രഷ് തേങ്ങ, 1 ടീസ്പൂൺ. കറുവപ്പട്ട (ഡാൽചിനി), 1 ടീസ്പൂൺ പെരുംജീരകം (സൗൺഫ്), 2 ഉണങ്ങിയ ചുവന്ന മുളക്</t>
  </si>
  <si>
    <t>500 Chicken - medium sized pieces,1 Onion - roughly chopped,1 inch Ginger - grated,6 cloves Garlic - finely chopped,1 teaspoon Mustard seeds,8 Curry leaves,Coconut Oil,Salt - as per taste,1/2 cup Coconut milk - or grated fresh coconut,1 tablespoon Whole Black Peppercorns,1 teaspoon Coriander (Dhania) Seeds,1 inch Cinnamon Stick (Dalchini),1 teaspoon Fennel seeds (Saunf),2 Dry Red Chillies</t>
  </si>
  <si>
    <t xml:space="preserve">To prepare Kerala Chicken Curry With Freshly Ground Spices, get prep with all the ingredients and marinate chicken with curd and salt for 2 hours.To make the fresh masala.In a shallow frying pan, dry roast the  peppercorns, coriander seeds, cinnamon stick, fennel and dried red chilies.Roast for about 5 minutes on medium-low flame. Then turn off the flame, allow it to cool and grind to a corase powder using a mixer-grinder. Heat oil in kadai, add mustard seeds. When it splutters, add onion and curry leaves. Sauté.When onions are lightly brown, add ginger, garlic, and sauté for a minute.Add chicken, half of the ground masala, and salt. If using grated or desiccated coconut, add in.Mix them, cover with a lid, simmer and cook till the chicken is almost done, for about 15-20 minutes at least. Keep sautéing occasionally to avoid charring.If using coconut milk, add it now, and simmer for five more minutes till well combined and cooked.Lastly, add the reserved half of the ground masala and give it a nice stir.Keep it covered for 5-10 minutes before serving, to help the flavors combine well. Serve the Kerala Chicken Curry With Freshly Ground Spices along with Kerala Style Appam Recipe (Without Yeast) or Ghee Rice Recipe | Neychoru and a side of Meen Varuthathu Recipe - Kerala Style Fish Fry for a complete meal. 
</t>
  </si>
  <si>
    <t xml:space="preserve">പുതുതായി പൊടിച്ച മസാലകൾ ഉപയോഗിച്ച് കേരള ചിക്കൻ കറി തയ്യാറാക്കാൻ, എല്ലാ ചേരുവകളും ചേർത്ത് തയ്യാറാക്കുക, തൈരും ഉപ്പും ചേർത്ത് ചിക്കൻ 2 മണിക്കൂർ മാരിനേറ്റ് ചെയ്യുക. ഫ്രഷ് മസാല ഉണ്ടാക്കാൻ. ഒരു ആഴം കുറഞ്ഞ വറചട്ടിയിൽ, കുരുമുളക്, മല്ലിയില, കറുവപ്പട്ട, പെരുംജീരകം, ഉണങ്ങിയ ചുവന്ന മുളക്-5 മിനിറ്റ് ഇടത്തരം ചുവന്ന മുളക്. എന്നിട്ട് തീ ഓഫ് ചെയ്യുക, ഇത് തണുക്കാൻ അനുവദിക്കുക, മിക്സർ-ഗ്രൈൻഡർ ഉപയോഗിച്ച് കോറസ് പൊടിയായി പൊടിക്കുക. കടായിയിൽ എണ്ണ ചൂടാക്കുക, കടുക് ചേർക്കുക. ഇത് തെളിയുമ്പോൾ ഉള്ളിയും കറിവേപ്പിലയും ചേർക്കുക. വഴറ്റുക. ഉള്ളി ചെറുതായി ബ്രൗൺ നിറമാകുമ്പോൾ, ഇഞ്ചി, വെളുത്തുള്ളി എന്നിവ ചേർത്ത് ഒരു മിനിറ്റ് വഴറ്റുക. ചിക്കൻ, അരച്ച മസാലയുടെ പകുതി, ഉപ്പ് എന്നിവ ചേർക്കുക. വറ്റിച്ചതോ ഉണങ്ങിയതോ ആയ തേങ്ങയാണ് ഉപയോഗിക്കുന്നതെങ്കിൽ, അവ ചേർക്കുക. ഒരു ലിഡ് കൊണ്ട് മൂടി, തിളപ്പിച്ച് ചിക്കൻ ഏകദേശം 15-20 മിനിറ്റെങ്കിലും വേവിക്കുക. കരിഞ്ഞുപോകാതിരിക്കാൻ ഇടയ്ക്കിടെ വഴറ്റുക. തേങ്ങാപ്പാൽ ഇപ്പോൾ ചേർക്കുക, നന്നായി യോജിപ്പിച്ച് വേവുന്നത് വരെ അഞ്ച് മിനിറ്റ് കൂടി തിളപ്പിക്കുക. അവസാനമായി, അരപ്പ് മസാലയുടെ പകുതി ചേർത്ത് ഇളക്കുക. വിളമ്പുന്നതിന് മുമ്പ് 5-10 മിനിറ്റ് മൂടി വയ്ക്കുക, രുചികൾ നന്നായി സംയോജിപ്പിക്കാൻ സഹായിക്കും. കേരള സ്റ്റൈൽ അപ്പം റെസിപ്പി (യീസ്റ്റ് ഇല്ലാതെ) അല്ലെങ്കിൽ നെയ്യ് റൈസ് റെസിപ്പിയ്‌ക്കൊപ്പം ഫ്രഷ്‌ലി ഗ്രൗണ്ട് മസാലകൾക്കൊപ്പം കേരള ചിക്കൻ കറി വിളമ്പുക | നെയ്ച്ചോറും മീൻ വറുത്തതു പാചകത്തിൻ്റെ ഒരു വശവും - ഒരു സമ്പൂർണ്ണ ഭക്ഷണത്തിനുള്ള കേരള സ്റ്റൈൽ ഫിഷ് ഫ്രൈ. 
</t>
  </si>
  <si>
    <t>https://www.archanaskitchen.com/kerala-chicken-curry-recipe-with-freshly-ground-spices</t>
  </si>
  <si>
    <t>Karnataka Special Huli Tovve Recipe</t>
  </si>
  <si>
    <t>കർണാടക സ്പെഷ്യൽ ഹുളി തോവ് റെസിപ്പി</t>
  </si>
  <si>
    <t>1 കപ്പ് മിക്സഡ് പച്ചക്കറികൾ - (ഫ്രഞ്ച് ബീൻസ്, 1/4 കപ്പ് അസംസ്കൃത നിലക്കടല (മൂങ്ങ്ഫാലി), 1/2 കപ്പ് അർഹർ ദാൽ (പിളർന്ന ദാൽ), ഉപ്പ് - പാകത്തിന്, 1 ടേബിൾസ്പൂൺ ശർക്കര, 1/4 കപ്പ് പുതിയ തേങ്ങ - വറ്റൽ, 6 ഉണങ്ങിയ ചുവന്ന മുളക്, 1 ടേബിൾസ്പൂൺ ചണ പയർ (ബംഗാൾ ഉഴുന്ന്), 1 ടേബിൾസ്പൂൺ. (ഡാൽചിനി), 1 ടേബിൾസ്പൂൺ സൂര്യകാന്തി എണ്ണ, 1 ടീസ്പൂൺ കടുക്, അസാഫോറ്റിഡ (ഹിംഗ്) - ഒരു നുള്ള്, കറിവേപ്പില - ആവശ്യത്തിന്</t>
  </si>
  <si>
    <t>1 cup Mixed vegetables - (french beans,1/4 cup Raw Peanuts (Moongphali),1/2 cup Arhar dal (Split Toor Dal),Salt - to taste,1 tablespoon Jaggery,1/4 cup Fresh coconut - grated,6 Dry Red Chillies,1 tablespoon Chana dal (Bengal Gram Dal),1 tablespoon White Urad Dal (Split),1 inch Cinnamon Stick (Dalchini),1 tablespoon Sunflower Oil,1 teaspoon Mustard seeds,Asafoetida (hing) - A pinch,Curry leaves - as required</t>
  </si>
  <si>
    <t xml:space="preserve">To begin with Huli Tovve, wash and soak the toor dal till you prepare your vegetables.Wash and cut the vegetables. Pressure cook Toor dal, mixed vegetables and peanuts till they the cooker releases 3-4 whistles.The next step is to prepare the paste. Dry roast urad dal, chana dal, cinnamon and red chilli separately till they turn light gold. Add coconut to this and grind all of this into a smooth paste.Remove the lid after the cooker cools down. Add the ground paste to this and 2 cups of water, salt and jaggery and boil. Boil till the hulitovve thickens on high flame.For tempering, heat the oil in a tadka pan. Add mustard seeds and let it crackle. Add red chilly and curry leaves. Once they crisp up, add it to the hulitovve.Serve Huli Tovve with hot steamed rice and Elai Vadam.
</t>
  </si>
  <si>
    <t xml:space="preserve">ഹുളി തോവ്വിൽ ആരംഭിക്കുന്നതിന്, നിങ്ങളുടെ പച്ചക്കറികൾ തയ്യാറാക്കുന്നത് വരെ ടൂൾഡൽ കഴുകി കുതിർക്കുക. പച്ചക്കറികൾ കഴുകി മുറിക്കുക. കുക്കറിൽ നിന്ന് 3-4 വിസിൽ വരുന്നത് വരെ പ്രഷർ കുക്ക് ടൂർ ഡാൽ, മിക്സഡ് പച്ചക്കറികൾ, നിലക്കടല എന്നിവ. അടുത്ത ഘട്ടം പേസ്റ്റ് തയ്യാറാക്കലാണ്. വറുത്ത ഉലുവ, ചേന, കറുവപ്പട്ട, ചുവന്ന മുളക് എന്നിവ ഇളം സ്വർണ്ണമാകുന്നതുവരെ പ്രത്യേകം ഉണക്കുക. ഇതിലേക്ക് തേങ്ങ ചേർക്കുക, ഇതെല്ലാം ഒരു മിനുസമാർന്ന പേസ്റ്റിലേക്ക് പൊടിക്കുക. കുക്കർ തണുത്തതിന് ശേഷം അടപ്പ് നീക്കം ചെയ്യുക. ഇതിലേക്ക് അരച്ച പേസ്റ്റ് ചേർത്ത് 2 കപ്പ് വെള്ളവും ഉപ്പും ശർക്കരയും ചേർത്ത് തിളപ്പിക്കുക. ഉയർന്ന തീയിൽ ഹുളിറ്റോവ് കട്ടിയാകുന്നത് വരെ തിളപ്പിക്കുക. ടെമ്പറിങ്ങിനായി, ഒരു തഡ്ക പാനിൽ എണ്ണ ചൂടാക്കുക. കടുക് പൊട്ടിക്കുക. ചുവന്ന മുളകും കറിവേപ്പിലയും ചേർക്കുക. അവ മൊരിഞ്ഞു കഴിഞ്ഞാൽ, അത് ഹുളിതോവ്വിലേക്ക് ചേർക്കുക. ചൂടുള്ള ആവിയിൽ വേവിച്ച ചോറും എലൈ വടവും ഒപ്പം ഹുളി തോവ് വിളമ്പുക.
</t>
  </si>
  <si>
    <t>https://www.archanaskitchen.com/karnataka-special-huli-tovve-recipe</t>
  </si>
  <si>
    <t>Kerala Style Arbi Curry Recipe - Kerala Style Arbi Curry</t>
  </si>
  <si>
    <t>കേരള സ്റ്റൈൽ അറബി കി സബ്ജി റെസിപ്പി - Kerala Style Arbi Curry</t>
  </si>
  <si>
    <t>250 ഗ്രാം അറബി - അഭി കോ ധോ കർ ഛീൽ ലെ,1 ഇമലി - മലബാർ,നമക് - സ്വാദ് അനുസാർ,1/4 കർ ലെ,1 ഛോട്ടാ ചമച്ച ലാൽ മിർച്ച് തൂവാല പ്യാജ് - ഛിലകർ കട് ലെ,1 ഛോട്ട ചമച്ച റായ്,1 ഛോട്ട ചമച്ച ജീര,2 സുഖം തൊഡ് ലെ,7 കഠി പത്ത</t>
  </si>
  <si>
    <t>250 gm arabic - wash now, peel, 1 tamarind - Malabar, salt - as per taste, 1/4 cup coconut - scrape, 1 teaspoon red chilli powder, 2 onions - peeled, 1 tablespoon coconut oil , 2 onions - peel and chop, 1 teaspoon mustard, 1 teaspoon cumin seeds, 2 dry red chillies - break, 7 curry leaves</t>
  </si>
  <si>
    <t>To make Kerala Style Arbi Sabzi, first wash and boil the arbi. Apply some coconut oil on your hands and peel the arbi. Chop the arbi and keep aside. In a pan, add tamarind, salt, arbi and some water. Cook till arbi and tamarind are cooked properly. Now in a mixer grinder, add coconut, red chilli powder and shallots. Grind it and add this mixture to the pan. Add salt, mix and cook for 5 to 6 minutes. Now heat oil in a tempering pan. Add mustard seeds and cumin seeds and cook for 10 seconds. Add onion, curry leaves and cook till onion becomes soft. Add dried red chilli and cook for 10 seconds. Add this tempering to the curry and mix well. Serve Kerala Style Arbi Sabzi with Rice and Cumin Rasam for lunch.</t>
  </si>
  <si>
    <t xml:space="preserve">കേരള സ്‌റ്റൈൽ അറബിക്ക് സബ്ജീ ബനാനെയുടെ ലിയേ സബ്‌സെ പഹലേ അറബിക്ക് കോ അച്ചോർ ടൈം ലെ. അപനേ ഹാഥോ പർ തോഡ നാറിയൽ കാ തെല ലഗാഎ കൂടാതെ അറബി കോ ഛിലക നികാൽ ലെ. അറബി കോ കാറ്റ് ലെയും അലഗ് സെ റഖ് ലെയും. ഒരു കഥയിൽ ഇമലി, നമക്, അറബി, കൂടാതെ തൊഡാ പാനി ഡാലെ. അറബിയും ഇമലിയും ശരി തരാം എബി ഒരു മിക്‌സർ ഗ്രെയിൻഡറിൽ നാറിയൽ, ലാൽ മിർച്ച് പൗഡർ, കൂടാതെ ഛോട്ടേ ആപ്ലിക്കേഷൻ. പീസ് ലെയും ഈ മിശ്രണ കോ കഠായി മെം ഡാൽ ദേ. നമക് ഡാലെ, മിലായേ കൂടാതെ 5 സെ 6 മിനിറ്റ് പകനെ ദേ.അബ് ഒരു തഡക്ക പൈൻ മെൻ ടെൽ ഗരം. ഇതുപോലെ റായ്, ജീര ഡാലെ കൂടാതെ 10 സെക്കണ്ട്സ് തക് പകനെ ദേ. ഇതുപോലെ പ്യാജ്, കഠി പട്ട ദാലെ, കൂടാതെ പ്യാജ് എന്നിവയും ഉൾപ്പെടുന്നു. അതുപോലെ സുഖി ലാൽ മിർച്ച് ഡാലെ കൂടാതെ 10 സെക്കണ്ട്സ് തക് പകനെ ദേ. ഈ അടുത്തേക്ക് കോ കരീ മെം ഡാലെ കൂടാതെ മിലാ ലെ. കേരള സ്‌റ്റൈൽ അറബിക് സബ്ജി കോ ചാവൽ, ജീര രസം എന്നിവയെ കുറിച്ചുള്ള ചർച്ചകൾ നടത്തുക.
</t>
  </si>
  <si>
    <t>http://www.archanaskitchen.com/kerala-style-taroo-root-curry-recipe-colacasia-in-hindi</t>
  </si>
  <si>
    <t>Kerala Style Chicken Chatti Pathiri Recipe</t>
  </si>
  <si>
    <t>കേരള സ്റ്റൈൽ ചിക്കൻ ചട്ടി പത്തിരി റെസിപ്പി</t>
  </si>
  <si>
    <t>300 ഗ്രാം ചിക്കൻ - അരിഞ്ഞത്, 1 സവാള - അരിഞ്ഞത്, 1 തണ്ട് കറിവേപ്പില, 4 അല്ലി വെളുത്തുള്ളി - അരിഞ്ഞത്, 1 ഇഞ്ച് ഇഞ്ചി - 1 ടീസ്പൂൺ മഞ്ഞൾപൊടി (ഹാൽഡി), 2 ടീസ്പൂൺ ചുവന്ന മുളക് പൊടി, 2 ടീസ്പൂൺ ഗരം മസാല പൊടി, 1 ടീസ്പൂൺ കുരുമുളക് പൊടി, 1 ടീസ്പൂൺ കുരുമുളക് പൊടി - 1 കപ്പ്, വെളിച്ചെണ്ണ/ആവശ്യത്തിന്. മാവ്, 1/2 കപ്പ് ഓൾ പർപ്പസ് മാവ് (മൈദ), ഉപ്പ് - പാകത്തിന്</t>
  </si>
  <si>
    <t>300 grams Chicken - minced,1 Onion - sliced,1 sprig Curry leaves,4 cloves Garlic - chopped,1 inch Ginger - chopped,1 teaspoon Turmeric powder (Haldi),2 teaspoons Red Chilli powder,2 teaspoons Garam masala powder,1 teaspoon Black pepper powder,Coconut Oil - for cooking,Salt - to taste,1/2 cup Whole Wheat Flour,1/2 cup All Purpose Flour (Maida),Salt - to taste</t>
  </si>
  <si>
    <t xml:space="preserve">To begin making the Kerala Style Chicken Chatti Pathiri Recipe, we will first heat a saucepan over  medium heat.Add coconut oil, add curry leaves and allow it splutter. Add chopped ginger and garlic and saute for few seconds.Add sliced onions and fry them till they turn translucent. At this point you can add minced chicken along with all the spice powders - turmeric powder, red chilli powder, garam masala powder, pepper powder, salt and give it a toss.Adjust the seasoning according to your taste and saute well till the chicken is cooked. Keep it aside.To make the pathiri batter, in a mixing bowl, combine wheat flour, all purpose flour along with ½ cup of water and mix to form batter that is similar to that of a pancake batter.Now heat up a small flat skillet on medium heat, add a ladle full of the pathiri batter and swirl it around, Shape it like crepes and keep it as thin as possible. Flip and cook, ensuring it is juts about cooked and no brown spots appear. Repeat the same process till you finish the batter, to make enough crepes for layering.Now layer each crepe with the chicken mixture and build it up. Crepe-chicken-crepe, repeat the layers.  Heat a skillet with oil, carefully place the layered Chicken Pathiri and roast till it is light brown. Carefully flip it over and roast it on the other side. Turn off the flame. Serve the Kerala Style Chicken Chatti Pathiri Recipe along with Masala Chai Recipe - Indian Spiced Tea or Ginger Cardamom Chai  to enjoy your evening snack.
</t>
  </si>
  <si>
    <t xml:space="preserve">കേരള സ്റ്റൈൽ ചിക്കൻ ചട്ടി പത്തിരി റെസിപ്പി ഉണ്ടാക്കാൻ തുടങ്ങാൻ, ഞങ്ങൾ ആദ്യം ഒരു ചീനച്ചട്ടി ഇടത്തരം തീയിൽ ചൂടാക്കും. വെളിച്ചെണ്ണ ചേർക്കുക, കറിവേപ്പില ചേർക്കുക, അത് തെറിക്കാൻ അനുവദിക്കുക. അരിഞ്ഞ ഇഞ്ചിയും വെളുത്തുള്ളിയും ചേർത്ത് കുറച്ച് നിമിഷങ്ങൾ വഴറ്റുക. ഉള്ളി അരിഞ്ഞത് ചേർത്ത് അർദ്ധസുതാര്യമാകുന്നതുവരെ വഴറ്റുക. ഈ സമയത്ത് നിങ്ങൾക്ക് എല്ലാ മസാലപ്പൊടികളോടൊപ്പം അരിഞ്ഞ ചിക്കൻ - മഞ്ഞൾപ്പൊടി, ചുവന്ന മുളകുപൊടി, ഗരം മസാലപ്പൊടി, കുരുമുളകുപൊടി, ഉപ്പ്  എന്നിവ ചേർത്ത് ഒരു ടോസ് കൊടുക്കാം. നിങ്ങളുടെ അഭിരുചിക്കനുസരിച്ച് താളിക്കുക ക്രമീകരിച്ച് ചിക്കൻ പാകമാകുന്നതുവരെ നന്നായി വഴറ്റുക. ഇത് മാറ്റിവെക്കുക.പാത്തിരി ബാറ്റർ ഉണ്ടാക്കാൻ, ഒരു മിക്സിംഗ് പാത്രത്തിൽ, ഗോതമ്പ് പൊടിയും, എല്ലാ ആവശ്യത്തിനുള്ള മാവും, ഒന്നര കപ്പ് വെള്ളവും ചേർത്ത്, ഒരു പാൻകേക്ക് ബാറ്ററുടേതിന് സമാനമായ ബാറ്റർ ഉണ്ടാക്കുക. ഇപ്പോൾ ഒരു ചെറിയ പരന്ന ചട്ടി ഇടത്തരം ചൂടിൽ ചൂടാക്കി, പാത്തിരി മാവ് നിറച്ച ഒരു ലഡ്ഡിൽ ചേർത്ത് കഴിയുന്നത്ര നേർത്ത രൂപത്തിൽ ചുറ്റിപ്പിടിക്കുക. ഫ്ലിപ്പ് ചെയ്ത് വേവിക്കുക, ഇത് പാകം ചെയ്തതാണെന്നും തവിട്ട് പാടുകൾ പ്രത്യക്ഷപ്പെടുന്നില്ലെന്നും ഉറപ്പാക്കുക. ലെയറിംഗിന് ആവശ്യമായ ക്രേപ്പുകൾ ഉണ്ടാക്കാൻ, നിങ്ങൾ ബാറ്റർ പൂർത്തിയാകുന്നത് വരെ അതേ പ്രക്രിയ ആവർത്തിക്കുക. ഇപ്പോൾ ഓരോ ക്രേപ്പും ചിക്കൻ മിശ്രിതം ഉപയോഗിച്ച് ലെയർ ചെയ്ത് അത് നിർമ്മിക്കുക. ക്രേപ്പ്-ചിക്കൻ-ക്രേപ്പ്, പാളികൾ ആവർത്തിക്കുക.  ഒരു ചട്ടിയിൽ എണ്ണ ഒഴിച്ച് ചൂടാക്കി, ലേയർ ചെയ്ത ചിക്കൻ പത്തിരി ശ്രദ്ധാപൂർവ്വം വയ്ക്കുക, ഇളം ബ്രൗൺ നിറമാകുന്നതുവരെ വറുക്കുക. ഇത് ശ്രദ്ധാപൂർവ്വം മറിച്ചിട്ട് മറുവശത്ത് വറുക്കുക. തീ ഓഫ് ചെയ്യുക. നിങ്ങളുടെ വൈകുന്നേരത്തെ ലഘുഭക്ഷണം ആസ്വദിക്കാൻ മസാല ചായ് - ഇന്ത്യൻ മസാല ചായ അല്ലെങ്കിൽ ജിഞ്ചർ ഏലക്ക ചായയ്‌ക്കൊപ്പം കേരള സ്‌റ്റൈൽ ചിക്കൻ ചട്ടി പത്തിരി റെസിപ്പിയും വിളമ്പുക.
</t>
  </si>
  <si>
    <t>http://www.archanaskitchen.com/kerala-style-chicken-chatti-pathiri-recipe</t>
  </si>
  <si>
    <t>Kerala Pazham Pori Recipe - Banana Fritters Recipe | Nedra Pazham Fry</t>
  </si>
  <si>
    <t>Kerala Pazham Pori Recipe - ബനാന ഫ്രിട്ടേഴ്സ് റെസിപ്പി | നേദ്ര പഴം ഫ്രൈ</t>
  </si>
  <si>
    <t>2 നേന്ത്ര പഴം വാഴപ്പഴം (പഴുത്തത്), 1 കപ്പ് ഓൾ പർപ്പസ് മാവ് (മൈദ), 1/4 കപ്പ് അരിപ്പൊടി, 1/8 ടീസ്പൂൺ ബേക്കിംഗ് സോഡ, 1/8 ടീസ്പൂൺ ഉപ്പ്, 1/8 ടീസ്പൂൺ മഞ്ഞൾപൊടി (ഹാൽദി), 2 ഏലയ്ക്കാപ്പൊടി (ഇലച്ചി) - പൊടിച്ചത്, 3 ടേബിൾസ്പൂൺ പഞ്ചസാര, സൂര്യകാന്തി എണ്ണ -</t>
  </si>
  <si>
    <t>2 Nendra Pazham Banana (Ripe),1 cup All Purpose Flour (Maida),1/4 cup Rice flour,1/8 teaspoon Baking soda,1/8 teaspoon Salt,1/8 teaspoon Turmeric powder (Haldi),2 Cardamom Powder (Elaichi) - powdered,3 tablespoons Sugar,Sunflower Oil - for deep frying</t>
  </si>
  <si>
    <t xml:space="preserve">We begin making the Kerala Pazham Pori Recipe (Banana Fritters Recipe) by prepping all the ingredients and keeping them ready.First step is to make the batter.In a mixing bowl, combine the rice flour, maida, baking soda, salt, turmeric powder, cardamom powder and sugar. Stir well to combine.Add little water at a time and make a thick batter such that it smoothly coats the back of the spoon. Next, cut the banana into thin long stripes and keep aside.Heat the oil in a kadai for deep frying and keep it ready.Once the oil is hot, dip the banana slices in the batter until well coated and carefully slide it into the hot oil.Deep fry the Kerala Pazham Pori till it is golden brown and crisp on both sides.Drain the Kerala Pazham Pori from the oil and place it on a kitchen paper napkin to drain excess oil and serve hot.Serve the Kerala Style Pazham Pori Recipe can be served as a Tea Time Snack or make it for the festival of Onam.
</t>
  </si>
  <si>
    <t xml:space="preserve">എല്ലാ ചേരുവകളും തയ്യാറാക്കി തയ്യാറാക്കി വച്ചുകൊണ്ട് ഞങ്ങൾ കേരള പഴം പൊരി റെസിപ്പി (ഏത്തപ്പഴം പൊരിച്ചെടുക്കൽ പാചകക്കുറിപ്പ്) ഉണ്ടാക്കാൻ തുടങ്ങുന്നു. ആദ്യ ഘട്ടം ബാറ്റർ ഉണ്ടാക്കുക എന്നതാണ്. ഒരു മിക്സിംഗ് പാത്രത്തിൽ അരിപ്പൊടി, മൈദ, ബേക്കിംഗ് സോഡ, ഉപ്പ്, മഞ്ഞൾപ്പൊടി, ഏലക്കപ്പൊടി, പഞ്ചസാര എന്നിവ യോജിപ്പിക്കുക. യോജിപ്പിക്കാൻ നന്നായി ഇളക്കുക. ഒരു സമയം കുറച്ച് വെള്ളം ചേർത്ത് സ്പൂണിൻ്റെ പിൻഭാഗം സുഗമമായി പൂശുന്ന തരത്തിൽ കട്ടിയുള്ള ഒരു ബാറ്റർ ഉണ്ടാക്കുക. അടുത്തതായി, നേന്ത്രപ്പഴം കനം കുറഞ്ഞ വരകളാക്കി മുറിച്ച് മാറ്റി വയ്ക്കുക.കടയിൽ എണ്ണ ചൂടാക്കി റെഡിയായി വെക്കുക.എണ്ണ ചൂടായ ശേഷം വാഴപ്പഴം കഷ്ണങ്ങൾ മാവിൽ മുക്കി നന്നായി പൊതിഞ്ഞ് ചൂടായ എണ്ണയിലേക്ക് നന്നായി വഴറ്റുക.കേരളപഴംപൊരി ഡീപ് ഫ്രൈ ചെയ്യുക അധിക എണ്ണ ഒഴിച്ച് ചൂടോടെ വിളമ്പാൻ ഇത് ഒരു അടുക്കള പേപ്പർ നാപ്കിനിൽ വയ്ക്കുക. കേരള സ്‌റ്റൈൽ പഴം പൊരി റെസിപ്പി ഒരു ചായ സമയ ലഘുഭക്ഷണമായി അല്ലെങ്കിൽ ഓണത്തിന് ഉണ്ടാക്കാം.
</t>
  </si>
  <si>
    <t>http://www.archanaskitchen.com/kerala-style-pazham-pori-recipe-banana-fritters-recipe</t>
  </si>
  <si>
    <t>Kerala Style Fish Curry Recipe</t>
  </si>
  <si>
    <t>1/2 കിലോ മത്തി - (ഞാൻ മത്തി വൃത്തിയാക്കി അരിഞ്ഞത്), പുളി വെള്ളം - ഒരു വലിയ നാരങ്ങ വലിപ്പമുള്ള പുളി, 2 ചെറുതായി അരിഞ്ഞത്, 2 ടേബിൾസ്പൂൺ വെളിച്ചെണ്ണ, 1 ടീസ്പൂൺ കടുക്, 2 തണ്ട് കറിവേപ്പില, ഉപ്പ് - പാകത്തിന്, 10 ഗ്രാമ്പൂ, വെളുത്തുള്ളി - 1 ടേബിൾസ്പൂൺ വെളുത്തുള്ളി - 2 ടേബിൾസ്പൂൺ വെളുത്തുള്ളി - പി. പൊടി, 1 ടേബിൾസ്പൂൺ മല്ലിപ്പൊടി (ധാനിയ), 1/2 ടീസ്പൂൺ മേത്തിപ്പൊടി (ഉലുവപ്പൊടി)</t>
  </si>
  <si>
    <t>1/2 kg Fish - (I have used sardine cleaned and cut),Tamarind Water - extract from a big lemon sized tamarind,2 Shallots - finely chopped,2 tablespoons Coconut Oil,1 teaspoon Mustard seeds,2 sprig Curry leaves,Salt - to taste,10 cloves Garlic - split length-wise,1 tablespoon Ginger Garlic Paste,2 tablespoons Kashmiri Red Chilli Powder,1 tablespoon Coriander Powder (Dhania),1/2 teaspoon Methi Powder (Fenugreek Powder)</t>
  </si>
  <si>
    <t xml:space="preserve">To begin making Kerala Style Fish Curry Recipe, firstly clean and cut fishes.Take a small bowl and add red chilli powder, coriander powder and fenugreek powder with little water to make slurry. Keep it aside.Heat coconut oil in clay pot earthenware. (If you don’t have one use non-stick kadai)Once hot, crackle mustard seeds. Now add chopped shallots and garlic. Sauté them until translucent or for about 2-3 minutes.After 2 to 3 minutes, add the curry leaves. Once they sizzle, add the ginger-garlic paste. Sauté it till the raw smell leaves.Now, add the chilli coriander fenugreek mixture. Let it cook for about 2 minutes.Now, add 2 cups of water and bring to a boil. Add the tamarind water, salt and fish pieces.Let it cook for 15 minutes. Just give it a slight shake at regular intervals or use the spoon to slowly move the fish pieces around. This is crucial step since the fish being delicate may break if stirred heavily.Kerala style Fish Curry Recipe is ready to enjoy. Serve Kerala Style Fish Curry Recipe along with Steamed Rice and Rava Fried Prawns for a weekday meal.
</t>
  </si>
  <si>
    <t xml:space="preserve">കേരള സ്റ്റൈൽ ഫിഷ് കറി പാചകക്കുറിപ്പ് ഉണ്ടാക്കാൻ തുടങ്ങാൻ, ആദ്യം മീൻ വൃത്തിയാക്കി മുറിക്കുക. ഒരു ചെറിയ പാത്രമെടുത്ത് ചുവന്ന മുളകുപൊടി, മല്ലിപ്പൊടി, ഉലുവപ്പൊടി എന്നിവ കുറച്ച് വെള്ളം ചേർത്ത് സ്ലറി ഉണ്ടാക്കുക. ഇത് മാറ്റി വയ്ക്കുക.മൺ പാത്രത്തിൽ വെളിച്ചെണ്ണ ചൂടാക്കുക. (നിങ്ങൾക്ക് നോൺ-സ്റ്റിക്ക് കടായി ഇല്ലെങ്കിൽ) ചൂടായ ശേഷം കടുക് പൊട്ടിക്കുക. ഇനി ചെറുതായി അരിഞ്ഞതും വെളുത്തുള്ളിയും ചേർക്കുക. അവ അർദ്ധസുതാര്യമാകുന്നതുവരെ അല്ലെങ്കിൽ ഏകദേശം 2-3 മിനിറ്റ് വരെ വഴറ്റുക. 2-3 മിനിറ്റിനു ശേഷം കറിവേപ്പില ചേർക്കുക. അവ വഴന്നു കഴിഞ്ഞാൽ, ഇഞ്ചി-വെളുത്തുള്ളി പേസ്റ്റ് ചേർക്കുക. അസംസ്കൃത മണം വരുന്നതുവരെ വഴറ്റുക. ഇപ്പോൾ, മുളക് മല്ലി ഉലുവ മിശ്രിതം ചേർക്കുക. ഇത് ഏകദേശം 2 മിനിറ്റ് വേവിക്കുക. ഇപ്പോൾ, 2 കപ്പ് വെള്ളം ചേർത്ത് തിളപ്പിക്കുക. പുളി വെള്ളവും ഉപ്പും മീൻ കഷ്ണങ്ങളും ചേർക്കുക.ഇത് 15 മിനിറ്റ് വേവിക്കുക. കൃത്യമായ ഇടവേളകളിൽ അൽപം കുലുക്കുക അല്ലെങ്കിൽ സ്പൂൺ ഉപയോഗിച്ച് മീൻ കഷണങ്ങൾ പതുക്കെ ചലിപ്പിക്കുക. ഇത് വളരെ നിർണായകമായ ഘട്ടമാണ്, കാരണം മീൻ നന്നായി ഇളക്കിയാൽ പൊട്ടാം. കേരള സ്റ്റൈൽ ഫിഷ് കറി റെസിപ്പി ആസ്വദിക്കാൻ തയ്യാറാണ്. കേരള സ്റ്റൈൽ ഫിഷ് കറി പാചകക്കുറിപ്പ്, ആവിയിൽ വേവിച്ച ചോറ്, റവ വറുത്ത ചെമ്മീൻ എന്നിവയ്‌ക്കൊപ്പം ഒരു പ്രവൃത്തിദിവസത്തെ ഭക്ഷണത്തിനായി വിളമ്പുക.
</t>
  </si>
  <si>
    <t>https://www.archanaskitchen.com/kerala-style-fish-curry-recipe</t>
  </si>
  <si>
    <t>Kerala Style Chakka Pal Kozhukattai Recipe-Rice Dumpling In Jackfruit flavored Coconut Milk</t>
  </si>
  <si>
    <t>Kerala Style Chakka Pal Kozhukattai Recipe- Jackfruit flavored Coconut Milk ലെ റൈസ് ഡംപ്ലിംഗ്</t>
  </si>
  <si>
    <t>1 കപ്പ് ചക്ക പഴുത്തത് (കാതൽ) - ചെറുതായി അരിഞ്ഞത്, 1/2 കപ്പ് അരിപ്പൊടി, 1 ടേബിൾസ്പൂൺ സൂര്യകാന്തി എണ്ണ, 1 ടീസ്പൂൺ ഉപ്പ്, ചെറുചൂടുള്ള വെള്ളം - കുഴയ്ക്കാൻ, 1 കപ്പ് പുതിയ തേങ്ങ - അരച്ചത്, 1 ഏലം (ഇലച്ചി) കായ്കൾ/വിത്ത്</t>
  </si>
  <si>
    <t>1 cup Jackfruit Ripe (Kathal) - chopped finely,1/2 cup Rice flour,1 tablespoon Sunflower Oil,1 teaspoon Salt,Lukewarm Water - to knead,1 cup Fresh coconut - grated,1 Cardamom (Elaichi) Pods/Seeds</t>
  </si>
  <si>
    <t>One Pot Dish</t>
  </si>
  <si>
    <t xml:space="preserve">We begin making the Kerala Style Chakka Pal kozhukattai Recipe by boiling the jackfruit. To make the Jackfruit puree for the Chakka Pal kozhukattaiIn a kadai, combine the chopped jackfruit with 1/2 cup water over a medium heat. Leave it on, for about 20 minutes till the jackfruit become soft.Now once the jackfruit is done, allow it to cool down. Transfer the jackfruit into a mixer-jar and grind it  into a smooth puree. Keep it aside.To make the Coconut Milk for the Chakka Pal kozhukattaiNext make coconut milk by combining the grated coconut and 1/2 cup of water in a grinder until smooth. Once done pour it over a strainer and take the first milk out. Once you squeeze out all the water. Add the coconut back into the grinder and add some more water and grind it once again. Squeeze out all the water again into the same bowl and keep it aside.To make the rice dumplings for the Chakka Pal kozhukattaiIn a mixing bowl, add the rice flour, salt oil and 2 tablespoon of the jackfruit puree and water, knead it into a firm dough. Rest it for 20 minutes. After 20 minutes, grease your hands with some ghee and start making the rice dumplings by making small round shaped dumplings with the dough. Make the dumplings using all the dough and keep aside. To assemble the Chakka Pal kozhukattaiHeat a saucepan on medium flame, combin  the coconut milk, jackfruit puree, and cardamom stirring continuously using a whisk.Reduce the heat, and allow the coconut milk to simmer.Next, keep a small bowl of ghee by your side, grease your fingers with it and start making the rice dumplings by rolling small round shaped dumplings with the mixed rice flour dough and drop it into the boiling coconut milk. Gradually drop the rice dumplings into this coconut-jackfruit milkOnce everything is complete you can keep stirring until the milk thickens and then turn off the flame. Serve the Kerala Style Chakka Pal kozhukattai Recipe along with Kerala Style Pazham Pori Recipe (Banana Fry)  to kick start your meal.
</t>
  </si>
  <si>
    <t xml:space="preserve">ചക്ക തിളപ്പിച്ച് ഞങ്ങൾ കേരള സ്റ്റൈൽ ചക്ക പാൽ കൊഴുക്കട്ടൈ റെസിപ്പി ഉണ്ടാക്കാൻ തുടങ്ങുന്നു. ഒരു കടയിൽ ചക്ക പാൽ കൊഴുക്കട്ടയ്‌ക്കുള്ള ചക്ക കുഴമ്പ് ഉണ്ടാക്കാൻ, ഇടത്തരം ചൂടിൽ അരിഞ്ഞ ചക്ക 1/2 കപ്പ് വെള്ളവുമായി യോജിപ്പിക്കുക. ചക്ക മൃദുവാകുന്നത് വരെ ഏകദേശം 20 മിനിറ്റ് നേരം വെക്കുക. ഇപ്പോൾ ചക്ക വെന്തു കഴിഞ്ഞാൽ അത് തണുക്കാൻ അനുവദിക്കുക. ചക്ക ഒരു മിക്‌സർ ജാറിലേക്ക് മാറ്റി  മിനുസമാർന്ന പ്യൂരി ആക്കി പൊടിക്കുക. ഇത് മാറ്റി വയ്ക്കുക.ചക്ക പാൽ കൊഴുക്കട്ടയ്ക്ക് തേങ്ങാപ്പാൽ ഉണ്ടാക്കാൻ അടുത്തതായി അരച്ച തേങ്ങയും 1/2 കപ്പ് വെള്ളവും ഒരു ഗ്രൈൻഡറിൽ യോജിപ്പിച്ച് മിനുസമാർന്നതുവരെ തേങ്ങാപ്പാൽ ഉണ്ടാക്കുക. വെന്തു കഴിഞ്ഞാൽ ഒരു സ്‌ട്രൈനറിൽ ഒഴിച്ച് ഒന്നാം പാൽ പുറത്തെടുക്കുക. ഒരിക്കൽ നിങ്ങൾ മുഴുവൻ വെള്ളവും പിഴിഞ്ഞെടുക്കുക. തേങ്ങ അരച്ച് വീണ്ടും അരച്ച് കുറച്ച് വെള്ളം ചേർത്ത് ഒന്നുകൂടി അരക്കുക. അതേ പാത്രത്തിൽ വീണ്ടും വെള്ളമെല്ലാം പിഴിഞ്ഞ് മാറ്റി വയ്ക്കുക. ചക്ക പാൽ കൊഴുക്കട്ടയ്‌ക്കുള്ള ചോറ് ഉരുള ഉണ്ടാക്കാൻ ഒരു മിക്‌സിംഗ് പാത്രത്തിൽ അരിപ്പൊടി, ഉപ്പ് എണ്ണ, 2 ടേബിൾസ്പൂൺ ചക്ക പാല് എന്നിവയും വെള്ളവും ചേർത്ത് ഉറച്ച മാവിൽ കുഴക്കുക. 20 മിനിറ്റ് വിശ്രമിക്കുക. 20 മിനിറ്റിനു ശേഷം, നിങ്ങളുടെ കൈകളിൽ അൽപം നെയ്യ് പുരട്ടി, കുഴെച്ചതുമുതൽ ചെറിയ വൃത്താകൃതിയിലുള്ള ഉരുളകൾ ഉണ്ടാക്കി അരിപ്പൊടി ഉണ്ടാക്കാൻ തുടങ്ങുക. എല്ലാ മാവും ഉപയോഗിച്ച് പറഞ്ഞല്ലോ ഉണ്ടാക്കി മാറ്റി വയ്ക്കുക. ചക്ക പാൽ കൊഴുക്കട്ട ഇടത്തരം തീയിൽ ഒരു ചീനച്ചട്ടി ചൂടാക്കുക, തേങ്ങാപ്പാൽ, ചക്കപ്പഴം, ഏലക്കായ എന്നിവ യോജിപ്പിച്ച് ഒരു തീയൽ ഉപയോഗിച്ച് തുടർച്ചയായി ഇളക്കുക. തീ കുറയ്ക്കുക, തേങ്ങാപ്പാൽ തിളപ്പിക്കാൻ അനുവദിക്കുക. അടുത്തതായി, ഒരു ചെറിയ പാത്രത്തിൽ നെയ്യ് നിങ്ങളുടെ വശത്ത് വയ്ക്കുക, വിരലുകളിൽ ഗ്രീസ് ചെയ്ത് വൃത്താകൃതിയിൽ പുരട്ടുക. മിക്‌സ് ചെയ്ത അരിമാവ് കുഴച്ച്, തിളയ്ക്കുന്ന തേങ്ങാപ്പാലിൽ ഇടുക. ഈ തേങ്ങ-ചക്ക പാലിലേക്ക് ക്രമേണ അരി പറഞ്ഞല്ലോ ഇടുക, എല്ലാം പൂർത്തിയായ ശേഷം നിങ്ങൾക്ക് പാൽ കട്ടിയാകുന്നത് വരെ ഇളക്കികൊണ്ടിരിക്കാം, തുടർന്ന് തീ ഓഫ് ചെയ്യുക. നിങ്ങളുടെ ഭക്ഷണം ആരംഭിക്കാൻ കേരള സ്‌റ്റൈൽ പഴം പൊരി റെസിപ്പി (ഏത്തപ്പഴം ഫ്രൈ) സഹിതം കേരള സ്റ്റൈൽ ചക്ക പാൽ കൊഴുക്കട്ടൈ റെസിപ്പി വിളമ്പുക.
</t>
  </si>
  <si>
    <t>https://www.archanaskitchen.com/kerala-style-chakka-pal-kozhukattai-recipe-rice-dumpling-in-jackfruit-flavored-coconut-milk-recipe</t>
  </si>
  <si>
    <t>Kerala Style Sugiyan Recipe (Sweet Moong Dal Bondas)</t>
  </si>
  <si>
    <t>കേരള സ്റ്റൈൽ സുഗിയാൻ റെസിപ്പി (മധുരമുള്ള മൂംഗ് ദാൽ ബോണ്ടസ്)</t>
  </si>
  <si>
    <t>1 കപ്പ് ഗ്രീൻ മൂങ്ങ് ദാൽ (മുഴുവൻ) - 2 മണിക്കൂർ കുതിർത്തത്, 1/2 കപ്പ് ശർക്കര, 1 ഏലയ്ക്കാപ്പൊടി (ഇലച്ചി), 1/2 കപ്പ് പുതിയ തേങ്ങ, 1/4 കപ്പ് ചെറുപയർ മാവ് (ബീസാൻ), 1/2 കപ്പ് അരിപ്പൊടി, 1 ടീസ്പൂൺ മഞ്ഞൾപ്പൊടി (ഹാൽദി), ഉപ്പ് - നുള്ള്</t>
  </si>
  <si>
    <t>1 cup Green Moong Dal (Whole) - soaked for 2 hours,1/2 cup Jaggery,1 Cardamom Powder (Elaichi),1/2 cup Fresh coconut,1/4 cup Gram flour (besan),1/2 cup Rice flour,1 teaspoon Turmeric powder (Haldi),Salt - Pinch</t>
  </si>
  <si>
    <t xml:space="preserve">To begin making the Kerala Style Sugiyan Recipe, soak the mung dal and keep it ready. Pressure cook the green mung bean with water for about 4 whistle till it is just cooked. Once the pressure has released naturally, take them out.Heat a saucepan, add jaggery and little bit of water for the jaggery to melt. Once it is completely melted you can add cardamom pods.Leave it to boil for 10 minutes and add cooked green mung bean and coconut and mix well. Make sure the mixture becomes dry.Keep it on a medium heat and allow it to boil so that the water is all evaporated.Cool it down and mix besan flour into the mixture and combine them together. Take little mixture and shape them into small balls.In a mixing bowl, add rice flour, turmeric powder and little water to create a smooth slightly thick batter.Heat a kuzi paniyaram pan with oil, dip the round shaped filling into the rice flour batter and carefully place them in the kuzi paniyaram pan.After 5 minutes flip it over the other side and cook for few minutes until it is evenly crisped on all sides. Serve the Kerala Style Sugiyan Recipe (Sweet Moong Dal Bondas) along with tea or coffee to enjoy your evening snack in a healthy way.
</t>
  </si>
  <si>
    <t xml:space="preserve">കേരള സ്‌റ്റൈൽ സുഗിയാൻ റെസിപ്പി ഉണ്ടാക്കാൻ തുടങ്ങാൻ, മുരിങ്ങയില കുതിർത്ത് തയ്യാറാക്കി വെക്കുക. ചെറുപയർ വെള്ളമൊഴിച്ച് ഏകദേശം 4 വിസിൽ വേവുന്നത് വരെ പ്രഷർ ചെയ്ത് വേവിക്കുക. മർദ്ദം സ്വാഭാവികമായി വിട്ടുകഴിഞ്ഞാൽ, അവ പുറത്തെടുക്കുക. ഒരു ചീനച്ചട്ടി ചൂടാക്കുക, ശർക്കരയും അല്പം വെള്ളവും ചേർത്ത് ശർക്കര ഉരുകുക. ഇത് പൂർണ്ണമായും ഉരുകി കഴിഞ്ഞാൽ നിങ്ങൾക്ക് ഏലക്കാ കായ്കൾ ചേർക്കാം.ഇത് 10 മിനിറ്റ് തിളപ്പിക്കാൻ വിടുക, വേവിച്ച ചെറുപയർ, തേങ്ങ എന്നിവ ചേർത്ത് നന്നായി ഇളക്കുക. മിശ്രിതം ഉണങ്ങുമെന്ന് ഉറപ്പാക്കുക. ഇടത്തരം തീയിൽ സൂക്ഷിക്കുക, തിളപ്പിക്കാൻ അനുവദിക്കുക, അങ്ങനെ വെള്ളം മുഴുവൻ ബാഷ്പീകരിക്കപ്പെടും. ഇത് തണുപ്പിച്ച് ബീസാൻ മാവ് മിശ്രിതത്തിലേക്ക് കലർത്തി അവ ഒരുമിച്ച് യോജിപ്പിക്കുക. കുറച്ച് മിശ്രിതം എടുത്ത് ചെറിയ ഉരുളകളാക്കുക. ഒരു പാത്രത്തിൽ അരിപ്പൊടിയും മഞ്ഞൾപ്പൊടിയും കുറച്ച് വെള്ളവും ചേർത്ത് മിനുസമാർന്ന ചെറുതായി കട്ടിയുള്ള മാവ് ഉണ്ടാക്കുക. ഒരു കുഴി പണിയാരം ചട്ടിയിൽ എണ്ണ ചൂടാക്കി ഉരുണ്ട ആകൃതിയിലുള്ള ഫില്ലിംഗ് അരി മാവിൽ മുക്കി കുഴി പണിയാരം പാത്രത്തിൽ ശ്രദ്ധാപൂർവ്വം വയ്ക്കുക. നിങ്ങളുടെ വൈകുന്നേരത്തെ ലഘുഭക്ഷണം ആരോഗ്യകരമായ രീതിയിൽ ആസ്വദിക്കാൻ കേരള സ്റ്റൈൽ സുഗിയാൻ പാചകക്കുറിപ്പ് (മധുരമുള്ള മൂംഗ് ദാൽ ബോണ്ടകൾ) ചായയോ കാപ്പിയോ കഴിക്കുക.
</t>
  </si>
  <si>
    <t>https://www.archanaskitchen.com/kerala-style-sugian-recipe-sweet-moong-dal-bondas</t>
  </si>
  <si>
    <t>Kerala Style Vedakkai Uppadan Recipe - Okra Curry Without Coconut (Recipe In Hindi)</t>
  </si>
  <si>
    <t>കേരള സ്‌റ്റൈൽ വെദക്കൈ ഉപ്പ് പാചകം - തേങ്ങയില്ലാതെ ഒക്ര കറി (ഹിന്ദിയിൽ പാചകക്കുറിപ്പ്)</t>
  </si>
  <si>
    <t>200 ഗ്രാം ബിണ്ടി - 1 ഇഞ്ച് കാറ്റ് ലെ,ഇമലി - തോട,1/4 ഛോട്ടാ ചമച്ച 1, ബഡാ ചമച്ച നാറിയൽ കാ ടെൽ,1 ഛോട്ടാ ചമച്ച റായ്,1/4 ഛോട്ട ചമച്ചം,1ഗം കഠി പട്ട,നമക് - സ്വാദ് അനുസാർ,1 ഛോട്ട ചമച്ച മേതി,2 ബഡേ ചമച്ചൽ, 2 ചമച്ച ഖസവൽ</t>
  </si>
  <si>
    <t>200 grams ladyfinger - cut into 1 inch pieces, tamarind - a little, 1/4 teaspoon turmeric powder, 1 tablespoon coconut oil, 1 teaspoon mustard, 1/4 teaspoon asafoetida, 1 sprig curry leaves, salt - according to taste, 1 teaspoon fenugreek, 2 tablespoons rice, 2 dried red chillies</t>
  </si>
  <si>
    <t>To make Kerala Style Vedakkai Uppadan, first soak the tamarind in some hot water for 10 minutes. Drain the tamarind water and keep it aside. Now heat a pan. Add all the roasted and ground masalas and roast it for 1 to 2 minutes. Now put it in the mixer grinder and grind it. Keep it aside. In the same pan, add some coconut oil. Add asafoetida, curry leaves and after 10 seconds add okra and let it cook for 2 minutes. After this, add 1 cup water, turmeric powder, salt, cover the pan and cook till okra is cooked. It will take 3-4 minutes. Now add the ground masala and let it cook for 2 to 3 minutes. Serve. Serve Kerala Style Vedakkai Uppadan with Chow Chow Thoran and Rice for lunch.</t>
  </si>
  <si>
    <t xml:space="preserve">കേരള സ്‌റ്റൈൽ വെദക്കൈ ഉപദേഷ്ടാക്കൾ കേ ലിഎ ഭിഗോ ലെ. അതുപോലെ തന്നെ ഇമലി കാ പാനി നികാലേ ഒപ്പം അലഗ് സെ രഖ് ദേ. അബ് ഒരു കഠായി ഗരം കരെം. ഇതുപോലെ സാരെ സെക് കർ പീസനെ വാലെ മസാലെ ഡാലേ കൂടാതെ 1 സെ 2 മിനിറ്റ് സെക് ലേ. ഇപ്പോൾ മിക്‌സർ ഗ്രൈൻഡർ മെം ഡാലെയും പീസ് ലെയും. അൽഗ സെ രഖ് ദേ. उसी कढ़ई में thoda Nariyal Ka tel dale. ഇതുപോലെ ഹിങ്ങ്, കഠി പട്ട ഡാലെ കൂടാതെ 10 സെക്കൻറുകൾ ബാഡ് ഇതുപോലെ ഒകരാ 2 കെഡാൽ ലിഎ പകനെ ദേ. ഇസക്കെ ബാദ് ഇതുപോലെ 1 കപ്പ് പാനി, ഹൽദി പൗഡർ, നമക് ഡാലെ, കടായി കൊതുകരെ കുറിച്ച് പകാഎ. അതുപോലെ 3-4 മിനിറ്റ്. ഇപ്പോൾ തന്നെ പിസ ഹുവാ മസാല ഡാലെ കൂടാതെ 2 സെ 3 മിനിറ്റ് വരെ. പരോസ്. കേരള സ്‌റ്റൈൽ വെദക്കൈ ഉപദേഷ്ടാവ്
</t>
  </si>
  <si>
    <t>http://www.archanaskitchen.com/kerala-style-vendakkai-uppadan-recipe-okra-curry-without-coconut-recipe-in-hindi</t>
  </si>
  <si>
    <t>Kerala Cherupayar Curry Recipe (Green Moong and Yellow Moong Dal Recipe)</t>
  </si>
  <si>
    <t>കേരള ചെറുപയർ കറി പാചകക്കുറിപ്പ് (പച്ച മൂങ്ങ്, മഞ്ഞ മൂങ്ങ ദാൽ പാചകക്കുറിപ്പ്)</t>
  </si>
  <si>
    <t>1 കപ്പ് പച്ച മൂങ്ങ ദാൽ (മുഴുവൻ), 1/2 കപ്പ് മഞ്ഞ മൂങ്ങ ദാൽ (പിളർന്നത്), 10 മുത്ത് ഉള്ളി (സാമ്പാർ ഉള്ളി), 1 ടീസ്പൂൺ കടുക്, 1 തണ്ട് കറിവേപ്പില, 2 ഉണങ്ങിയ ചുവന്ന മുളക്, 1 ടീസ്പൂൺ മഞ്ഞൾപ്പൊടി (ഹാൽദി), ഉപ്പ് - പാകത്തിന്, വെളിച്ചെണ്ണ - 1/2 കപ്പ് പച്ചമുളക്, 1/2 കപ്പ് പച്ചമുളക്, 1/2 കപ്പ്. (ജീര)</t>
  </si>
  <si>
    <t>1 cup Green Moong Dal (Whole),1/2 cup Yellow Moong Dal (Split),10 Pearl onions (Sambar Onions),1 teaspoon Mustard seeds,1 sprig Curry leaves,2 Dry Red Chilli,1 teaspoon Turmeric powder (Haldi),Salt - to taste,Coconut Oil - for cooking,1/2 cup Fresh coconut,2 Green Chilli,1 teaspoon Cumin seeds (Jeera)</t>
  </si>
  <si>
    <t xml:space="preserve">To begin making the Kerala Cherupayar Curry Recipe, soak the green mung bean in water for at least 2 hours.Pressure cook the green mung bean with water for about 4 whistle till it is just cooked. Once the pressure has released naturally, take them out and pressure cook the yellow moong dal now by adding some water, turmeric powder and pressure cook for 4 whistle.Wait for the pressure to release naturally and mash the dal to a smooth paste.Heat a kadai with oil, add mustard seeds and allow it splutter for few seconds and add curry leaves and be careful as it will splutter quickly.Add the whole shallots and saute until they soften. Add mashed yellow moong dal along with cooked green moong dal and mix well. Cook in simmer.Meanwhile grind the coconut, green chilli, cumin seeds in a mixer and grind it into a smooth paste by adding little water. Add this ground paste into the boiling dal, adjust your salt levels and boil for another 10 minutes and serve hot. Serve the Kerala Cherupayar Curry Recipe along with puttu or steamed rice. It can also be paired with phulka for a lunch box.
</t>
  </si>
  <si>
    <t xml:space="preserve">കേരള ചെറുപയർ കറി പാചകക്കുറിപ്പ് തയ്യാറാക്കാൻ ആരംഭിക്കുന്നതിന്, ചെറുപയർ കുറഞ്ഞത് 2 മണിക്കൂർ വെള്ളത്തിൽ കുതിർക്കുക. ചെറുപയർ ഏകദേശം 4 വിസിൽ വെള്ളം ചേർത്ത് വേവിക്കുക. മർദ്ദം സ്വാഭാവികമായി പുറത്തുവന്നുകഴിഞ്ഞാൽ, അവ പുറത്തെടുത്ത് കുറച്ച് വെള്ളവും മഞ്ഞൾപ്പൊടിയും ചേർത്ത് 4 വിസിൽ പ്രഷർ വേവിക്കുക. മർദ്ദം സ്വാഭാവികമായി പുറത്തുവരുന്നത് വരെ കാത്തിരിക്കുക, കടായി ഒരു മിനുസമാർന്ന പേസ്റ്റിലേക്ക് മാഷ് ചെയ്യുക. കടായി എണ്ണ ചൂടാക്കി കടുക് ചേർത്ത് കുറച്ച് നിമിഷങ്ങൾ തെറിക്കാൻ അനുവദിക്കുക, കറിവേപ്പില ചേർക്കുക. മയപ്പെടുത്തുക. വേവിച്ചു വെച്ചിരിക്കുന്ന പച്ച ചക്കപ്പഴത്തിനൊപ്പം പറിച്ചെടുത്ത മഞ്ഞ മൂങ്ങയും ചേർത്ത് നന്നായി ഇളക്കുക. ചെറുതീയിൽ വേവിക്കുക. അതിനിടയിൽ തേങ്ങ, പച്ചമുളക്, ജീരകം എന്നിവ മിക്സിയിൽ പൊടിച്ച് കുറച്ച് വെള്ളം ചേർത്ത് മിനുസമാർന്ന പേസ്റ്റിലേക്ക് പൊടിക്കുക. ചുട്ടുതിളക്കുന്ന പരിപ്പിലേക്ക് ഈ പൊടിച്ച പേസ്റ്റ് ചേർക്കുക, നിങ്ങളുടെ ഉപ്പിൻ്റെ അളവ് ക്രമീകരിച്ച് മറ്റൊരു 10 മിനിറ്റ് തിളപ്പിച്ച് ചൂടോടെ വിളമ്പുക. കേരള ചെറുപയർ കറി പാചകക്കുറിപ്പ് പുട്ടും അല്ലെങ്കിൽ ആവിയിൽ വേവിച്ച ചോറും വിളമ്പുക. ഒരു ലഞ്ച് ബോക്‌സിനായി ഇത് ഫുൽക്കയുമായി ജോടിയാക്കാം.
</t>
  </si>
  <si>
    <t>https://www.archanaskitchen.com/kerala-cherupayar-curry-recipe-green-moong-and-yellow-moong-dal-recipe</t>
  </si>
  <si>
    <t>Nei Appam / Unniyappam Recipe - Coconut Banana Fritters</t>
  </si>
  <si>
    <t>നെയ് അപ്പം / ഉണ്ണിയപ്പം റെസിപ്പി - തേങ്ങാപ്പഴം വറുത്തത്</t>
  </si>
  <si>
    <t>1 കപ്പ് അരി, 3/4 കപ്പ് ശർക്കര - പൊടിച്ചത്, 1 കപ്പ് പഴുത്ത ഏത്തപ്പഴം - ചതച്ചത്, 1/2 കപ്പ് പുതിയ തേങ്ങ - അരച്ചത്, 2 ടീസ്പൂൺ ഏലയ്ക്കാപ്പൊടി (ഇലച്ചി), 1/4 ടീസ്പൂൺ ഇനോസ് ഫ്രൂട്ട് ഉപ്പ് - ഓപ്ഷണൽ, നെയ്യ് - പാചകത്തിന്, ഉപ്പ് - ഒരു നുള്ള്</t>
  </si>
  <si>
    <t>1 cup Rice,3/4 cup Jaggery - powdered,1 cup Ripe Bananas - mashed,1/2 cup Fresh coconut - grated,2 teaspoons Cardamom Powder (Elaichi),1/4 teaspoon Enos fruit salt - optional,Ghee - for cooking,Salt - a pinch</t>
  </si>
  <si>
    <t xml:space="preserve">To begin making the Nei Appam / Unniyappam recipe, wash and soak the rice in water for 2 hours. Strain the water completely. Using a blender, grind the rice with very little water to a thick batter. Melt the jaggery with about 1/4 cup of water. Stir in the jaggery syrup, mashed bananas, coconut, salt, eno and cardamom powder to the rice batter.  Make sure all the ingredients are well combined into the batter.The Nei Appam / Unniyappam batter should be of thick pouring consistency.Now, heat a paniyaram pan (a pan with cup shaped depressions). Add a teaspoon of oil or ghee to each depression. Now drop in a large spoonful of Nei Appam / Unniyappam batter into each depression.Allow it to cook for a few minutes until you notice that the top is getting steamed. You can optionally cover the pan to cook the top of the Nei Appam / Unniyappam faster.Turn over after a few minutes to cook on the other side. Cook the Nei Appam / Unniyappam on medium heat, as you want the batter to get cooked evenly from the inside as well.Once the Nei Appam / Unniyappam is browned well and crisp on both sides, remove from the pan and serve hot. Serve the Kerala Style Nei Appam / Unniyappam Recipe as a Tea time snack or even as a school snack box for kids.
</t>
  </si>
  <si>
    <t xml:space="preserve">നെയ് അപ്പം / ഉണ്ണിയപ്പം റെസിപ്പി ഉണ്ടാക്കാൻ തുടങ്ങാൻ, അരി കഴുകി 2 മണിക്കൂർ വെള്ളത്തിൽ കുതിർക്കുക. വെള്ളം പൂർണ്ണമായും അരിച്ചെടുക്കുക. ഒരു ബ്ലെൻഡർ ഉപയോഗിച്ച്, അരി വളരെ കുറച്ച് വെള്ളം ഉപയോഗിച്ച് കട്ടിയുള്ള മാവിൽ പൊടിക്കുക. ഏകദേശം 1/4 കപ്പ് വെള്ളത്തിൽ ശർക്കര ഉരുക്കുക. ശർക്കര പാനി, ചതച്ച ഏത്തപ്പഴം, തേങ്ങ, ഉപ്പ്, ഈനോ, ഏലയ്ക്കാപ്പൊടി എന്നിവ അരിപ്പൊടിയിലേക്ക് ഇളക്കുക.  എല്ലാ ചേരുവകളും മാവിൽ നന്നായി യോജിപ്പിച്ചിട്ടുണ്ടെന്ന് ഉറപ്പാക്കുക. നെയ് അപ്പം / ഉണ്ണിയപ്പം ബട്ടർ കട്ടിയുള്ള പകരുന്ന സ്ഥിരതയുള്ളതായിരിക്കണം. ഇപ്പോൾ, ഒരു പണിയാരം പാൻ (കപ്പ് ആകൃതിയിലുള്ള ഡിപ്രഷനുകളുള്ള ഒരു പാൻ) ചൂടാക്കുക. ഓരോ വിഷാദത്തിലും ഒരു ടീസ്പൂൺ എണ്ണയോ നെയ്യോ ചേർക്കുക. ഇപ്പോൾ ഒരു വലിയ സ്പൂൺ നെയ് അപ്പം / ഉണ്ണിയപ്പം മാവ് ഓരോ ഡിപ്രഷനിലേക്കും ഒഴിക്കുക. മുകളിൽ ആവിയിൽ വേവിക്കുന്നത് നിങ്ങൾ ശ്രദ്ധിക്കുന്നത് വരെ കുറച്ച് മിനിറ്റ് വേവിക്കാൻ അനുവദിക്കുക. നെയ് അപ്പത്തിൻ്റെ / ഉണ്ണിയപ്പത്തിൻ്റെ മുകൾഭാഗം വേഗത്തിൽ വേവിക്കുന്നതിന് നിങ്ങൾക്ക് ഓപ്ഷണലായി പാൻ കവർ ചെയ്യാം. കുറച്ച് മിനിറ്റുകൾക്ക് ശേഷം മറുവശത്ത് വേവിക്കുക. നെയ് അപ്പം / ഉണ്ണിയപ്പം ഇടത്തരം ചൂടിൽ വേവിക്കുക, മാവ് ഉള്ളിൽ നിന്ന് തുല്യമായി വേവിക്കാൻ നിങ്ങൾ ആഗ്രഹിക്കുന്നു. നെയ് അപ്പം / ഉണ്ണിയപ്പം നന്നായി ബ്രൗൺ ആവുകയും ഇരുവശവും മൊരിഞ്ഞു കഴിഞ്ഞാൽ ചട്ടിയിൽ നിന്ന് മാറ്റി ചൂടോടെ വിളമ്പുക. കേരള സ്റ്റൈൽ നെയ് അപ്പം / ഉണ്ണിയപ്പം റെസിപ്പി ഒരു ചായ സമയ ലഘുഭക്ഷണമായി അല്ലെങ്കിൽ കുട്ടികൾക്കുള്ള സ്‌കൂൾ സ്‌നാക്ക് ബോക്‌സ് ആയി പോലും വിളമ്പുക.
</t>
  </si>
  <si>
    <t>http://www.archanaskitchen.com/nei-appam-recipe-coconut-banana-fritters</t>
  </si>
  <si>
    <t>Biryani Chammanthi Recipe</t>
  </si>
  <si>
    <t>ബിരിയാണി ചമ്മന്തി റെസിപ്പി - Biryani Chammanthi Recipe</t>
  </si>
  <si>
    <t>1 കപ നാറിയൽ,6 തഹനി ഹര ചനാ,10 പുദീന,2 ഹരി മിർച്ച്,4 കലി ലഹസുൻ,1 ഇഞ്ച് അദരക്,1 ചമച്ച ജീര,1 നിംബൂ കാ രസ്,നമക് - സ്വാദ് അനുസാർ</t>
  </si>
  <si>
    <t>1 cup coconut, 6 sprigs of green gram, 10 mint leaves, 2 green chillies, 4 cloves of garlic, 1 inch ginger, 1 teaspoon cumin seeds, juice of 1 lemon, salt - according to taste</t>
  </si>
  <si>
    <t>To make Biryani Chammanthi, first take a mixer grinder and add coconut, green gram, mint, green chillies, garlic, ginger, cumin seeds and salt. Make a paste. Add lemon juice and mix well. Serve. Serve Biryani Chammanthi Recipe with your choice of Biryani and Boondi Raita for dinner.</t>
  </si>
  <si>
    <t xml:space="preserve">ബിരിയാണി ചമ്മന്തി ബനാനെ ഒരു മിക്‌സർ ഗ്രെയിൻഡറിൽ നാരിയൽ, ചര, നര, ചര, മിർച്ച്, ലഹസുൻ, അദരക്, ജീര കൂടാതെ നമക് ദാലെ. പെസ്റ്റ് ബനാ ലെ. അതുപോലെ നിംബു കാ രസ് ദാലെയും മില ലേയും. പരോസ്. ബിരിയാണി ചമ്മന്തി റെസിപ്പി കോ അപ്പനി പസന്ദ് കി ബിരിയാണി കൂടാതെ ബൂന്ദി റായിത്തോൽപ്പം
</t>
  </si>
  <si>
    <t>https://www.archanaskitchen.com/biryani-chammanthi-recipe</t>
  </si>
  <si>
    <t>Kerala Style Vendakka Uppadan Recipe</t>
  </si>
  <si>
    <t>കേരള സ്റ്റൈൽ വെണ്ടക്ക ഉപ്പാടൻ റെസിപ്പി</t>
  </si>
  <si>
    <t>200 ഗ്രാം ഭിണ്ടി (ലേഡി ഫിംഗർ/ഓക്ര) - 1 ഇഞ്ച് കഷണങ്ങളാക്കി മുറിക്കുക, പുളി - ചെറുനാരങ്ങ വലിപ്പം, 1/4 ടീസ്പൂൺ മഞ്ഞൾപൊടി (ഹാൽദി), 1 ടേബിൾസ്പൂൺ വെളിച്ചെണ്ണ, 1 ടീസ്പൂൺ കടുക്, 1/4 ടീസ്പൂൺ അസാഫൊട്ടിഡ (ഹിങ്ങ്) - 1 തണ്ട് കറിവേപ്പില, 2 ടീസ്പൂൺ കറിവേപ്പില, ഉപ്പ് - 2 ടീസ്പൂൺ ടേബിൾസ്പൂൺ അരി - 2-3 ഉണങ്ങിയ ചുവന്ന മുളക്</t>
  </si>
  <si>
    <t>200 grams Bhindi (Lady Finger/Okra) - cut into 1 inch pieces,Tamarind - small lemon sized,1/4 teaspoon Turmeric powder (Haldi),1 tablespoon Coconut Oil,1 teaspoon Mustard seeds,1/4 teaspoon Asafoetida (hing) - powder,1 sprig Curry leaves,Salt - to taste,1 teaspoon Methi Seeds (Fenugreek Seeds),2 tablespoons Rice - raw,2-3 Dry Red Chillies</t>
  </si>
  <si>
    <t xml:space="preserve">To begin making Vendakkai Uppadan Recipe (Kerala Style Okra Curry Without Coconut), soak the lemon sized tamarind in luke warm water in a bowl for 10 minutes and extract the juice out of it and keep aside.In the meantime, heat a Shallow Fry Pan, and dry roast the ingredients listed under “dry roast and ground to a course mix” till fragrant.Grind them to a course mix using a Mixer grinder, and keep aside.Now, heat oil in the shallow fry pan on a medium flame, add the mustard seeds and let it crackle.Add the asafoetida and curry leaves and allow it to crackle.Now, add the cut okra and sauté for a few minutes until the sliminess disappears.Add the tamarind extract and a cup of water, turmeric powder, salt and let the okras cook with the lid closed. This will take around 3-4 minutes.Now, add the spice mix and let it simmer for other 2-3 minutes. Cook until the curry turns thick considerably.Switch off the flame and serve the Vendakkai Uppadan Recipe (Kerala Style Okra Curry)  with Steamed rice, Snake Gourd Thoran Recipe (Turai Thoran) and Paruppu Podi for a weeknight dinner.
</t>
  </si>
  <si>
    <t xml:space="preserve">വെണ്ടക്കായ ഉപ്പാടൻ റെസിപ്പി (കേരള സ്റ്റൈൽ ഓക്ര കറി തേങ്ങാ കറി) ഉണ്ടാക്കാൻ തുടങ്ങാൻ, ചെറുനാരങ്ങാ വലിപ്പമുള്ള പുളി ഒരു പാത്രത്തിൽ 10 മിനിറ്റ് ചെറുചൂടുവെള്ളത്തിൽ കുതിർത്ത് അതിൽ നിന്ന് നീര് എടുത്ത് മാറ്റി വയ്ക്കുക. മിക്‌സർ ഗ്രൈൻഡർ മാറ്റി വയ്ക്കുക.ഇനി, ആഴം കുറഞ്ഞ ഫ്രൈ പാനിൽ ഇടത്തരം തീയിൽ എണ്ണ ചൂടാക്കി കടുക് ഇട്ട് പൊട്ടിക്കുക അടഞ്ഞ മൂടിയോടുകൂടി. ഇതിന് ഏകദേശം 3-4 മിനിറ്റ് എടുക്കും. ഇപ്പോൾ, മസാല മിക്സ് ചേർക്കുക, മറ്റ് 2-3 മിനിറ്റ് വേവിക്കുക. കറി ഗണ്യമായി കട്ടിയാകുന്നത് വരെ വേവിക്കുക. തീ ഓഫ് ചെയ്ത് വെണ്ടക്കൈ ഉപ്പടൻ റെസിപ്പി (കേരള സ്റ്റൈൽ ഓക്ര കറി)  ആവിയിൽ വേവിച്ച ചോറ്, പാമ്പ് തോരൻ പാചകക്കുറിപ്പ് (തുറൈ തോരൻ),                                     പരുപ്പ് പൊടി   എന്നിവയ്‌ക്കൊപ്പം  ഒരു ആഴ്‌ച രാത്രി അത്താഴത്തിന്  വിളമ്പുക.
</t>
  </si>
  <si>
    <t>http://www.archanaskitchen.com/vendakkai-uppadan-recipe-kerala-style-okra-curry-without-coconut</t>
  </si>
  <si>
    <t>Mushroom Thoran Recipe</t>
  </si>
  <si>
    <t>മഷ്റൂം തോരൻ റെസിപ്പി - മഷ്റൂം തോരൻ റെസിപ്പി</t>
  </si>
  <si>
    <t>20 ബട്ടൻ മഷറും - ബാരിക്ക് കാറ്റ് ലെ,1/2 ഛോട്ട ചമ്മച്ച് ഹൽദി പോഡർ,2 ബഡം, ചമത് സ്വാദ് അനുസാർ,4 ബഡേ ചമ്മച് നാറിയൽ - കസ് ലെ,4 ഛോട്ടേ പ്യാജ്,2 ഹരി മിർച്ച്,1,2ത.ക. ഛോട്ട ചമ്മച് ജീര,1 ഛോട്ട ചമ്മച് റായ്,1 ഛോട്ട ചമ്മച് ജീര,2തകത്ത് സുഖി ലാൽ മിർച്ച്</t>
  </si>
  <si>
    <t>20 button mushrooms - finely chopped, 1/2 tsp turmeric powder, 2 tbsp oil, salt - according to taste, 4 tbsp coconut - grated, 4 small onions, 2 green chillies, 5 curry leaves, 1/2 tsp cumin seeds, 1 tsp mustard seeds, 1 tsp cumin seeds, 2 sprigs curry leaves, 2 dried red chillies</t>
  </si>
  <si>
    <t>To make Mushroom Thoran Recipe, first keep all the ingredients ready. In a mixer grinder add coconut, shallots, green chillies, curry leaves, cumin seeds, some water and grind well. Now heat oil in a pan. Add mustard seeds and let it crackle. Now add cumin seeds, curry leaves, dried red chillies and cook for 10 seconds. Now add mushrooms, turmeric powder and mix it. Cook for 10 to 15 minutes. Now add coconut paste, mix it and cover and cook for 10 minutes. Add salt, mix it and serve. Serve Mushroom Thoran Recipe with Chow Chow Sambar Recipe, Rice and Papad for lunch.</t>
  </si>
  <si>
    <t xml:space="preserve">മഷറും തോരൻ റെസിപി ബനാനെ സബ്സെ പഹലെ സാരി സാമഗ്രി തൈയാർ കർ ലെ. ഒരു മിക്‌സർ ഗ്രെയിൻഡറിൽ നാറിയൽ, ഛോട്ടേ പ്യാജ്, ഹരി മിർച്ച്, കട് പട്ട, താജീർ ഡാലെ  കൂടാതെ അച്ഛി തരഹ് സെ പീസ് ലെ. ഇനി ഒരു കഥ ഇതുപോലെ റായ് ഡാലെയും തഡക്കനേയും. ഇപ്പോൾ ജീര, കഠി പത്ത, സുഖി ലാൽ മിർച്ച് ഡാലെ കൂടാതെ 10 സെക്കൻറുകൾ മാത്രം. മഷറും, ഹൽദി പൗഡർ ഡാലെയും മിലാ ലെയും. 10 സെ 15 മിനിറ്റിനുള്ളിൽ ലെ.അബ് ഇതുപോലെ നാറിയൽ കാ പെസ്റ്റ് ഡാലെ, മിലായേ കൂടാതെ ഠക കർ 10 കെ.എം. നമക് ദാലെ, മിലായേ കൂടാതെ പരോസ്. മഷറും തോരൻ റെസിപി കോ ചൗ സാംബർ റെസിപി, ചാവൽ എന്നിവയും പാദങ്ങളും സംബന്ധിച്ച കാര്യങ്ങൾ ശ്രദ്ധിക്കേണ്ടതാണ്.
</t>
  </si>
  <si>
    <t>http://www.archanaskitchen.com/mushroom-thoran-recipe-kerala-style-mushroom-sabzi-in-hindi</t>
  </si>
  <si>
    <t>Kerala Chicken Roast Recipe</t>
  </si>
  <si>
    <t>കേരള ചിക്കൻ റോസ്റ്റ് റെസിപ്പി</t>
  </si>
  <si>
    <t>500 ഗ്രാം ചിക്കൻ, 1/4 ടീസ്പൂൺ മഞ്ഞൾപ്പൊടി (ഹാൽദി), 1 ടീസ്പൂൺ കാശ്മീരി ചുവന്ന മുളക് പൊടി, 1 ടീസ്പൂൺ നാരങ്ങ നീര്, ഉപ്പ് - ആവശ്യത്തിന്, 3 ഉള്ളി - ചെറുതായി അരിഞ്ഞത്, 1 ടേബിൾസ്പൂൺ ഇഞ്ചി - ചെറുതായി അരിഞ്ഞത്, 1 ടേബിൾസ്പൂൺ വെളുത്തുള്ളി - ചെറുതായി അരിഞ്ഞത്, 2-1/2 ടീസ്പൂൺ മല്ലിപ്പൊടി - 1 ടീസ്പൂൺ. ഗരം മസാല പൊടി, 1/2 ടീസ്പൂൺ പെരുംജീരകം പൊടി, 3 തക്കാളി - ചെറുതായി അരിഞ്ഞത്, 2 തണ്ട് കറിവേപ്പില, ഉപ്പ് - ആവശ്യത്തിന്, 2 ടേബിൾസ്പൂൺ വെളിച്ചെണ്ണ - ആവശ്യത്തിന്</t>
  </si>
  <si>
    <t>500 grams Chicken,1/4 teaspoon Turmeric powder (Haldi),1 teaspoon Kashmiri Red Chilli Powder,1 teaspoon Lemon juice,Salt - to taste,3 Onions - thinly sliced,1 tablespoon Ginger - finely chopped,1 tablespoon Garlic - finely chopped,2-1/2 teaspoons Coriander Powder (Dhania),1-1/2 teaspoons Kashmiri Red Chilli Powder,1 teaspoon Garam masala powder,1/2 teaspoon Fennel Powder,3 Tomatoes - thinly sliced,2 sprig Curry leaves,Salt - to taste,2 tablespoons Coconut Oil - as required</t>
  </si>
  <si>
    <t xml:space="preserve">To begin making the Kerala Chicken Roast recipe, wash and clean the chicken pieces.In a mixing bowl marinate the cleaned chicken along with  turmeric powder, kashmiri chili powder, lemon juice and salt to taste and keep in the refrigerator for half an hour. This will help the chicken get tender.Shallow fry the marinated chicken pieces in a heavy bottomed pan on medium heat till it becomes golden brown on either side the chicken is just about cooked. Remove the chicken pieces from the pan.To the same pan, heat oil on medium heat; add the sliced onions with a pinch of salt. Cook till onions turn golden brown. Add the ginger and garlic and cook for a few seconds until the flavours start coming through.Add coriander, red chilli, garam masala fennel powder and saute for a few seconds till masala is cooked through.Add sliced tomatoes and curry leaves along salt and mix well. When the tomatoes become soft, add one or two spoons of water to get a nice paste like consistency.At this stage, add the fried chicken pieces and give a good stir till the masala coats the chicken well.The Kerala Chicken Roast pieces should be succulent coated well with the masala. Stir fry the chicken in the masala for about 4 to 5 minutes. Check the salt and spices and adjust to suit your taste.Once done, turn off the heat and transfer the Kerala Chicken Roast to a serving bowl.Serve Kerala Chicken Roast along with Malabar Parotta, Steamed Rice, Pineapple Rasam and a Cabbage Thoran for a weeknight dinner or even a special weekend lunch.
</t>
  </si>
  <si>
    <t xml:space="preserve">കേരള ചിക്കൻ റോസ്റ്റ് പാചകക്കുറിപ്പ് ആരംഭിച്ച് ചിക്കൻ പീസുകൾ കഴുകി വൃത്തിയാക്കുക. ഇത് ചിക്കൻ മൃദുവാകാൻ സഹായിക്കും. മാരിനേറ്റ് ചെയ്ത ചിക്കൻ കഷണങ്ങൾ അടിയിൽ കട്ടിയുള്ള ഒരു ചട്ടിയിൽ ഇടത്തരം ചൂടിൽ ഇരുവശത്തും ഗോൾഡൻ ബ്രൗൺ നിറമാകുന്നതുവരെ ഫ്രൈ ചെയ്യുക. ചട്ടിയിൽ നിന്ന് ചിക്കൻ കഷണങ്ങൾ നീക്കം ചെയ്യുക. അതേ ചട്ടിയിൽ, ഇടത്തരം ചൂടിൽ എണ്ണ ചൂടാക്കുക; ഒരു നുള്ള് ഉപ്പ് ഉപയോഗിച്ച് അരിഞ്ഞ ഉള്ളി ചേർക്കുക. ഉള്ളി ഗോൾഡൻ ബ്രൗൺ നിറമാകുന്നത് വരെ വേവിക്കുക. ഇഞ്ചിയും വെളുത്തുള്ളിയും ചേർത്ത് കുറച്ച് നിമിഷങ്ങൾ വേവിക്കുക. മല്ലിയില, ചുവന്ന മുളക്, ഗരംമസാല പെരുംജീരകം എന്നിവ ചേർത്ത് മസാല വേവുന്നത് വരെ കുറച്ച് നിമിഷങ്ങൾ വഴറ്റുക. തക്കാളി അരിഞ്ഞതും കറിവേപ്പിലയും ഉപ്പ് ചേർത്ത് നന്നായി ഇളക്കുക. തക്കാളി മൃദുവാകുമ്പോൾ, നല്ല ഒത്തിണക്കം ലഭിക്കാൻ ഒന്നോ രണ്ടോ സ്പൂൺ വെള്ളം ചേർക്കുക. ഈ ഘട്ടത്തിൽ, വറുത്ത ചിക്കൻ കഷണങ്ങൾ ചേർത്ത് മസാല ചിക്കൻ നന്നായി പൊതിയുന്നത് വരെ നന്നായി ഇളക്കുക. കേരള ചിക്കൻ റോസ്റ്റ് കഷണങ്ങൾ മസാലയിൽ നന്നായി പൊതിഞ്ഞതായിരിക്കണം. ഏകദേശം 4 മുതൽ 5 മിനിറ്റ് വരെ മസാലയിൽ ചിക്കൻ ഫ്രൈ ചെയ്യുക. ഉപ്പും സുഗന്ധവ്യഞ്ജനങ്ങളും പരിശോധിച്ച് നിങ്ങളുടെ രുചിയുടെ.
</t>
  </si>
  <si>
    <t>http://www.archanaskitchen.com/kerala-style-chicken-tomato-roast-recipe</t>
  </si>
  <si>
    <t>Kerala Style Taroo Root Curry Recipe (Colacasia)</t>
  </si>
  <si>
    <t>കേരള സ്റ്റൈൽ തരൂ റൂട്ട് കറി പാചകക്കുറിപ്പ് (കൊലക്കേഷ്യ)</t>
  </si>
  <si>
    <t>250 ഗ്രാം കൊളക്കാസിയ റൂട്ട് (അർബി) - നന്നായി കഴുകി തൊലികളഞ്ഞത്, 1 പുളി - മലബാർ, ഉപ്പ് - പാകത്തിന്, 1/4 കപ്പ് പുതിയ തേങ്ങ - ചുരണ്ടിയത്, 1 ടീസ്പൂൺ ചുവന്ന മുളക് പൊടി, 2 ഉള്ളി - തൊലികളഞ്ഞത്, 1 ടേബിൾസ്പൂൺ വെളിച്ചെണ്ണ, 2 ഉള്ളി - തൊലികളഞ്ഞത് - 1 ടീസ്പൂൺ സി വിത്ത്, 2 ടീസ്പൂൺ മ്യൂട്ടർ വിത്ത്, ചുവന്ന മുളക് - പൊട്ടി, 7 കറിവേപ്പില</t>
  </si>
  <si>
    <t>250 grams Colocasia root (Arbi) - washed thoroughly and peeled,1 Tamarind - malabar,Salt - to taste,1/4 cup Fresh coconut - scrapped,1 teaspoon Red Chilli powder,2 Onions - peeled,1 tablespoon Coconut Oil,2 Onions - peeled and chopped,1 teaspoon Mustard seeds,1 teaspoon Cumin seeds (Jeera),2 Dry Red Chilli - broken,7 Curry leaves</t>
  </si>
  <si>
    <t xml:space="preserve">To begin making the Kerala style Taro root curry, first thoroughly wash and scrub theboiled Taro roots. (You can soak them for 20-30 minutes in water, so that the dirt comes off easily)Apply some coconut (or any other) oil to your hands and peel them. Be sure to remove the green layer under the skin too.Cut the Taro root into bite sized pieces.In a sauce pan/Kadai or a seasoned earthen pot add the Taro root, tamarind piece(s), salt and some water. Cook on low flame till it is well cooked.Meanwhile, in a mixer blend together the coconut, chilli powder and small onions.Add this mixture to the cooked Taro roots, add salt if required and cook for 5-6 minutes more.Heat oil in a small pan and add the mustard seeds. Once they splutter add the cumin seeds.Add the onions, curry leaves and sauté for a minute.Add the red chillies, sauté for a few seconds and add this tempering to the Taro root curry.Mix well and cook for 1-2 minutes.Your Kerala Style Taroo Root Curry Recipe Is ready, serve with hot rice or phulkas
</t>
  </si>
  <si>
    <t xml:space="preserve">കേരള സ്‌റ്റൈൽ ടാറോ റൂട്ട് കറി ഉണ്ടാക്കാൻ തുടങ്ങുന്നതിന്, ആദ്യം വേവിച്ച വേരുകൾ നന്നായി കഴുകി സ്‌ക്രബ് ചെയ്യുക. (നിങ്ങൾക്ക് അവ 20-30 മിനിറ്റ് വെള്ളത്തിൽ മുക്കിവയ്ക്കാം, അങ്ങനെ അഴുക്ക് എളുപ്പത്തിൽ പോകും) കുറച്ച് വെളിച്ചെണ്ണ (അല്ലെങ്കിൽ മറ്റേതെങ്കിലും) നിങ്ങളുടെ കൈകളിൽ പുരട്ടി തൊലി കളയുക. ചർമ്മത്തിന് താഴെയുള്ള പച്ച പാളി നീക്കം ചെയ്യുന്നത് ഉറപ്പാക്കുക. ടാറോ റൂട്ട് കഷണങ്ങളായി മുറിക്കുക. ഒരു സോസ് പാനിൽ / കടായി അല്ലെങ്കിൽ താളിച്ച മൺപാത്രത്തിൽ ടാറോ റൂട്ട്, പുളി കഷണം (കൾ), ഉപ്പ്, കുറച്ച് വെള്ളം എന്നിവ ചേർക്കുക. നന്നായി വേവുന്നത് വരെ ചെറിയ തീയിൽ വേവിക്കുക.അതിനിടെ, ഒരു മിക്സിയിൽ തേങ്ങ, മുളകുപൊടി, ചെറിയ ഉള്ളി എന്നിവ യോജിപ്പിക്കുക. ഈ മിശ്രിതം വേവിച്ച പുളി വേരിലേക്ക് ചേർക്കുക, ആവശ്യമെങ്കിൽ ഉപ്പ് ചേർത്ത് 5-6 മിനിറ്റ് കൂടുതൽ വേവിക്കുക. ഒരു ചെറിയ പാനിൽ എണ്ണ ചൂടാക്കി കടുക് ചേർക്കുക. അവർ ജീരകം വിതറിക്കഴിഞ്ഞാൽ, ഉള്ളി, കറിവേപ്പില എന്നിവ ചേർത്ത് ഒരു മിനിറ്റ് വഴറ്റുക. ചുവന്ന മുളക് ചേർത്ത് കുറച്ച് നിമിഷങ്ങൾ വഴറ്റുക, ടാറോ റൂട്ട് കറിയിലേക്ക് ഈ ടെമ്പറിംഗ് ചേർക്കുക. നന്നായി ഇളക്കി 1-2 മിനിറ്റ് വേവിക്കുക. നിങ്ങളുടെ കേരള സ്റ്റൈൽ തരൂ റൂട്ട് കറി പാചകക്കുറിപ്പ് അല്ലെങ്കിൽ ഹോട്ട്സ് റൈസിൻ്റെ കൂടെ വിളമ്പുക.
</t>
  </si>
  <si>
    <t>https://www.archanaskitchen.com/kerala-style-taroo-root-curry-recipe-colacasia</t>
  </si>
  <si>
    <t>Pavakka Pachadi Recipe - Bitter Gourd Pachadi</t>
  </si>
  <si>
    <t>Pavakka Pachadi Recipe - കയ്പക്ക പച്ചടി</t>
  </si>
  <si>
    <t>3 കാരേല (കയ്പ്പ/പാവക്കായ്), 1 സവാള - അരിഞ്ഞത്, 1 കപ്പ് തൈര് (ദാഹി / തൈര്) - അല്ലെങ്കിൽ മോര്, നുള്ള് മഞ്ഞൾപ്പൊടി (ഹാൽദി) - കയ്പേറിയ കയ്പ്പ് കുറയ്ക്കാൻ, ഉപ്പ് - പാകത്തിന്, 1/4 കപ്പ് പുതിയ തേങ്ങ - 1/2 ടീസ്പൂൺ പച്ച കടുക്, 2 ടീസ്പൂൺ. വിത്തുകൾ, 1 ഉണങ്ങിയ ചുവന്ന മുളക്, കറിവേപ്പില - കുറച്ച്</t>
  </si>
  <si>
    <t>3 Karela (Bitter Gourd/ Pavakkai),1 Onion - chopped,1 cup Curd (Dahi / Yogurt) - or buttermilk,pinch Turmeric powder (Haldi) - to reduce bitter from bitter gourd,Salt - to taste,1/4 cup Fresh coconut - grated,1/2 teaspoon Mustard seeds,2 Green Chilli,2 teaspoon Coconut Oil,1 teaspoon Mustard seeds,1 Dry Red Chilli,Curry leaves - few</t>
  </si>
  <si>
    <t xml:space="preserve">To begin making the Pavakka Pachadi Recipe, first wash the bitter gourd, cut it lengthwise and remove all seeds. Chop it to small pieces.Add 1 teaspoon of salt and a pinch of turmeric powder to bitter gourd slices and mix well. Keep it aside for 30 to 40 minutes. Bitter Gourd would have left some water. Discard it. Again sprinkle little water, mix and squeeze the bitter gourd slices with your hand. This helps to reduce the bitterness of bitter gourd.Heat oil in a heay bottomed pan, add chopped bitter gourd and saute. Keep sauteing in low medium flame. When the bitter gourd is 75% done, add chopped onions and saute . Meanwhile, prepare the masala. Grind coconut, mustard, green chillies and salt to a smooth water adding little water. When the bittergourd and onions are done, add the ground paste to the roasted veggies, add curd or buttermilk . Give a mix and allow it to gently boil on a low medium flame. Switch off. The next step is to prepare the tempering. Heat oil in a tadka pan, add mustard seeds, when it splutters, add red chillies, curry leaves and pour it over the pachadi.Pavakka Pachadi is ready to be savoured! Serve Pavakka Pachadi along with Keerai Sambar, Steamed Rice and Raw Banana Thoran for a delicious everyday meal
</t>
  </si>
  <si>
    <t xml:space="preserve">പാവക്ക പച്ചടി റെസിപ്പി ഉണ്ടാക്കാൻ തുടങ്ങാൻ, ആദ്യം കയ്പക്ക കഴുകി, നീളത്തിൽ മുറിച്ച്, എല്ലാ വിത്തുകളും നീക്കം ചെയ്യുക. ഇത് ചെറിയ കഷണങ്ങളായി മുറിക്കുക.കയ്പ്പക്ക കഷ്ണങ്ങളിൽ 1 ടീസ്പൂൺ ഉപ്പും ഒരു നുള്ള് മഞ്ഞൾപ്പൊടിയും ചേർത്ത് നന്നായി ഇളക്കുക. ഇത് 30 മുതൽ 40 മിനിറ്റ് വരെ മാറ്റി വയ്ക്കുക. കയ്പക്ക കുറച്ച് വെള്ളം വിട്ടിട്ടുണ്ടാകും. അത് തള്ളിക്കളയുക. വീണ്ടും അൽപം വെള്ളം തളിക്കുക, കൈകൊണ്ട് കയ്പേറിയ കഷ്ണങ്ങൾ ഇളക്കി പിഴിഞ്ഞെടുക്കുക. ഇത് കയ്പക്കയുടെ കയ്പ്പ് കുറയ്ക്കാൻ സഹായിക്കുന്നു. ചുവടുള്ള ഒരു പാത്രത്തിൽ എണ്ണ ചൂടാക്കി, അരിഞ്ഞ കയ്പേറിയ ചേർത്ത് വഴറ്റുക. ഇടത്തരം തീയിൽ വഴറ്റുന്നത് തുടരുക. കയ്പേറിയ 75% കഴിയുമ്പോൾ ഉള്ളി അരിഞ്ഞത് ചേർത്ത് വഴറ്റുക. അതിനിടയിൽ, മസാല തയ്യാറാക്കുക. തേങ്ങ, കടുക്, പച്ചമുളക്, ഉപ്പ് എന്നിവ ചെറുതായി വെള്ളം ചേർത്ത് ഇളക്കുക. കയ്പ്പയും ഉള്ളിയും വഴന്നു കഴിയുമ്പോൾ, വറുത്ത പച്ചക്കറികളിലേക്ക് പൊടിച്ച പേസ്റ്റ് ചേർക്കുക, തൈര് അല്ലെങ്കിൽ മോര ചേർക്കുക. ഒരു മിക്സ് കൊടുത്ത് ഇടത്തരം തീയിൽ പതുക്കെ തിളപ്പിക്കാൻ അനുവദിക്കുക. സ്വിച്ച് ഓഫ്. അടുത്ത ഘട്ടം ടെമ്പറിംഗ് തയ്യാറാക്കലാണ്. ഒരു തഡ്ക പാനിൽ എണ്ണ ചൂടാക്കി കടുക് പൊട്ടിച്ച്, മുളകും, കറിവേപ്പിലയും ചേർത്ത് പച്ചടിയിൽ ഒഴിക്കുക.പാവക്ക പച്ചടി രുചിക്കാൻ തയ്യാർ! കീരൈ സാമ്പാർ, ആവിയിൽ വേവിച്ച ചോറ് , പച്ച വാഴപ്പഴത്തോരൻ  എന്നിവയ്‌ക്കൊപ്പം പാവക്ക പച്ചടി സേവിക്കുക.
</t>
  </si>
  <si>
    <t>https://www.archanaskitchen.com/pavakka-pachadi-recipe-bitter-gourd-pachadi</t>
  </si>
  <si>
    <t>Biryani Chammanthi Recipe (Green Chutney Recipe)</t>
  </si>
  <si>
    <t>ബിരിയാണി ചമ്മന്തി റെസിപ്പി (ഗ്രീൻ ചട്ണി റെസിപ്പി)</t>
  </si>
  <si>
    <t>1 കപ്പ് പുതിയ തേങ്ങ, 6 തണ്ട് മല്ലിയില (ധാനിയ) ഇല, 10 പുതിനയില (പുദീന), 2 പച്ചമുളക്, 4 ഗ്രാമ്പൂ, 1 ഇഞ്ച് ഇഞ്ചി, 1 ടീസ്പൂൺ ജീരകം (ജീര), 1 നാരങ്ങ നീര്, ഉപ്പ് - ആവശ്യത്തിന്</t>
  </si>
  <si>
    <t>1 cup Fresh coconut,6 sprig Coriander (Dhania) Leaves,10 Mint Leaves (Pudina),2 Green Chillies,4 cloves Garlic,1 inch Ginger,1 teaspoon Cumin seeds (Jeera),1 Lemon juice,Salt - to taste</t>
  </si>
  <si>
    <t xml:space="preserve">To begin making the Biryani Chammanthi Recipe, keep all the ingredients ready and add them into a grinder and grind it into a smooth paste.Once done add lemon juice and salt and mix well and serve. Serve the Biryani Chammanthi Recipe (Green Chutney Recipe) along with Peppery Mushroom Biryani Recipe or Awadhi Style Chickpea Kofta Biryani Recipe.
</t>
  </si>
  <si>
    <t xml:space="preserve">ബിരിയാണി ചമ്മന്തി റെസിപ്പി ഉണ്ടാക്കാൻ തുടങ്ങുന്നതിന്, എല്ലാ ചേരുവകളും തയ്യാറാക്കി വയ്ക്കുക, അവ ഒരു ഗ്രൈൻഡറിൽ ചേർത്ത് മിനുസമാർന്ന പേസ്റ്റായി പൊടിക്കുക. കഴിഞ്ഞാൽ നാരങ്ങാനീരും ഉപ്പും ചേർത്ത് നന്നായി ഇളക്കി വിളമ്പുക. ബിരിയാണി ചമ്മന്തി പാചകക്കുറിപ്പ് (ഗ്രീൻ ചട്ണി റെസിപ്പി) പെപ്പറി മഷ്റൂം ബിരിയാണി റെസിപ്പി അല്ലെങ്കിൽ അവധി സ്റ്റൈൽ ചിക്ക്പീ കോഫ്താ ബിരിയാണി പാചകക്കുറിപ്പ് എന്നിവയ്‌ക്കൊപ്പം വിളമ്പുക.
</t>
  </si>
  <si>
    <t>https://www.archanaskitchen.com/biriyani-chammanthi-recipe-green-chutney-recipe</t>
  </si>
  <si>
    <t>Omakka Curry Recipe - Kerala Style Papaya Curry</t>
  </si>
  <si>
    <t>Omakka Curry Recipe - കേരള സ്റ്റൈൽ പപ്പായ കറി</t>
  </si>
  <si>
    <t>1/2 പച്ച പപ്പായ, 1 പച്ചമുളക് - ക്രമീകരിക്കാവുന്ന, 1 കപ്പ് പുതിയ തേങ്ങ - വറ്റൽ, 3 മുത്ത് ഉള്ളി (സാമ്പാർ ഉള്ളി) - ചെറുതായി അരിഞ്ഞത്, 2 തണ്ട് കറിവേപ്പില, 2 ടീസ്പൂൺ ചുവന്ന മുളകുപൊടി, 1 ടീസ്പൂൺ മഞ്ഞൾപൊടി (ഹാൽദി), 1/2 ടീസ്പൂൺ ജീരകം (ജീര), 1/2 ടീസ്പൂൺ മുളക്, ജീരകം, 1/4 ടീസ്പൂൺ. വലിപ്പം, സൂര്യകാന്തി എണ്ണ - ആവശ്യത്തിന്, ഉപ്പ് - ആവശ്യത്തിന്</t>
  </si>
  <si>
    <t>1/2 Raw papaya,1 Green Chilli - adjustable,1 cup Fresh coconut - grated,3 Pearl onions (Sambar Onions) - thinly sliced,2 sprig Curry leaves,2 teaspoons Red Chilli powder,1 teaspoon Turmeric powder (Haldi),1/2 teaspoon Cumin seeds (Jeera),1/4 teaspoon Mustard seeds,2 Dry Red Chillies,Tamarind - Gooseberry Sized,Sunflower Oil - as required,Salt - to taste</t>
  </si>
  <si>
    <t xml:space="preserve">To begin making the Omakka Curry Recipe, cut the papaya into medium cubes and mix with red chilli powder, turmeric powder and salt with a little water.Add them into a pressure cooker and cook till it releases 1 whistle. After 1 whistle, simmer for 5 minutes on low heat. Switch off the heat and let the pressure release naturally. In the meantime, soak the tamarind in warm water. Take out the pulp after 15 minutes and keep it aside.In a mixie jar, take the grated coconut, green chillies, 1 sambar onion, and cumin seeds with a little water and proceed to make a fine paste. Keep it aside.Open the cooker, mash the cooked papaya into a soft pulp and mix with the coconut green chilli and onion paste. Switch on the heat again. Cook it on a very low flame. Water can be added at this stage if you need less consistency in your curry. Keep stirring for only a few seconds and then add the tamarind pulp to it.Cook this for 3 or 4 minutes on a low flame. Switch off the flame.Heat required oil in a tadka pan. Add mustard seeds and when they crackle, add thinly sliced sambar onions.When the onions turn brown, add the dry red chillies and curry leaves.  Saute for about 15 seconds and turn off the gas.Pour this onto the papaya curry and give it a stir. Serve hot.Serve Omakka Curry along with Kerala Matta Rice/ Steamed Rice for a weekday lunch. You can also serve it with Phulka and Beetroot Raita for your everyday meals.
</t>
  </si>
  <si>
    <t xml:space="preserve">ഓമക്ക കറി പാചകക്കുറിപ്പ് ഉണ്ടാക്കാൻ തുടങ്ങുന്നതിന്, പപ്പായ ഇടത്തരം സമചതുരകളാക്കി മുറിക്കുക, ചുവന്ന മുളകുപൊടി, മഞ്ഞൾപ്പൊടി, ഉപ്പ് എന്നിവ ചേർത്ത് അൽപം വെള്ളം കലർത്തുക. അവ ഒരു പ്രഷർ കുക്കറിൽ ചേർത്ത് 1 വിസിൽ വരുന്നത് വരെ വേവിക്കുക. 1 വിസിലിന് ശേഷം 5 മിനിറ്റ് ചെറുതീയിൽ വേവിക്കുക. ചൂട് ഓഫ് ചെയ്ത് മർദ്ദം സ്വാഭാവികമായി പുറത്തുവിടാൻ അനുവദിക്കുക. ഇതിനിടയിൽ പുളി ചൂടുവെള്ളത്തിൽ മുക്കിവയ്ക്കുക. 15 മിനിറ്റിനു ശേഷം പൾപ്പ് എടുത്ത് മാറ്റി വയ്ക്കുക. ഒരു മിക്‌സി ജാറിൽ തേങ്ങ അരച്ചത്, പച്ചമുളക്, 1 സാമ്പാർ ഉള്ളി, ജീരകം എന്നിവ അല്പം വെള്ളമൊഴിച്ച് നന്നായി പേസ്റ്റ് ഉണ്ടാക്കുക. ഇത് മാറ്റി വയ്ക്കുക.കുക്കർ തുറന്ന് പാകം ചെയ്ത പപ്പായ ഒരു മൃദുവായ പൾപ്പിലേക്ക് മാഷ് ചെയ്ത് തേങ്ങ പച്ചമുളകും ഉള്ളി പേസ്റ്റും ചേർത്ത് ഇളക്കുക. വീണ്ടും ചൂട് ഓണാക്കുക. വളരെ കുറഞ്ഞ തീയിൽ വേവിക്കുക. നിങ്ങളുടെ കറിയിൽ സ്ഥിരത കുറവാണെങ്കിൽ ഈ ഘട്ടത്തിൽ വെള്ളം ചേർക്കാവുന്നതാണ്. കുറച്ച് നിമിഷങ്ങൾ മാത്രം ഇളക്കി കൊണ്ടിരിക്കുക, എന്നിട്ട് അതിലേക്ക് പുളിയുടെ പൾപ്പ് ചേർക്കുക. ഇത് 3 അല്ലെങ്കിൽ 4 മിനിറ്റ് ചെറിയ തീയിൽ വേവിക്കുക. തീ ഓഫ് ചെയ്യുക. ഒരു തഡ്ക പാനിൽ ആവശ്യമായ എണ്ണ ചൂടാക്കുക. കടുക് പൊട്ടിക്കുമ്പോൾ, സാമ്പാർ ഉള്ളി ചെറുതായി അരിഞ്ഞത് ചേർക്കുക. ഉള്ളി ബ്രൗൺ നിറമാകുമ്പോൾ, ഉണങ്ങിയ ചുവന്ന മുളകും കറിവേപ്പിലയും ചേർക്കുക.  ഏകദേശം 15 സെക്കൻഡ് വഴറ്റുക, ഗ്യാസ് ഓഫ് ചെയ്യുക. ഇത് പപ്പായ കറിയിലേക്ക് ഒഴിച്ച് ഇളക്കുക. ചൂടോടെ വിളമ്പുക. ഓമക്ക കറി, കേരള മട്ട റൈസ്/ ആവിയിൽ വേവിച്ച ചോറ് എന്നിവയ്‌ക്കൊപ്പം ഒരു പ്രവൃത്തിദിവസത്തെ ഉച്ചഭക്ഷണത്തിന് വിളമ്പുക. നിങ്ങളുടെ ദൈനംദിന ഭക്ഷണത്തിനായി ഫുൽക്ക, ബീറ്റ്റൂട്ട് റൈത എന്നിവയ്‌ക്കൊപ്പവും നിങ്ങൾക്ക് ഇത് വിളമ്പാം.
</t>
  </si>
  <si>
    <t>https://www.archanaskitchen.com/omakka-curry-recipe-kerala-style-papaya-curry</t>
  </si>
  <si>
    <t>Kerala Special Mambazha Puliserry Recipe</t>
  </si>
  <si>
    <t>കേരള സ്പെഷ്യൽ മാമ്പഴ പുളിശേരി റെസിപ്പി</t>
  </si>
  <si>
    <t>4 മാമ്പഴം (പഴുത്തത്), 2 പച്ചമുളക് - നീളത്തിൽ അരിഞ്ഞത്, 1 കപ്പ് തൈര് (ദാഹി / തൈര്) - ചതച്ചത്, ഉപ്പ് - പാകത്തിന്, 1 കപ്പ് പുതിയ തേങ്ങ - അരച്ചത്, 1 ടീസ്പൂൺ ജീരകം (ജീര), 1/4 ടീസ്പൂൺ മഞ്ഞൾപൊടി (ഹാൽഡി), 1 ടീസ്പൂൺ ചുവന്ന മുളക് പൊടി, 1 ടീസ്പൂൺ മുളകുപൊടി, 1 ടീസ്പൂൺ/2 ടീസ്പൂൺ വെളിച്ചെണ്ണ. (ഉലുവ), 2 ഉണങ്ങിയ ചുവന്ന മുളക് - രണ്ടായി അരിഞ്ഞത്, 1 തണ്ട് കറിവേപ്പില</t>
  </si>
  <si>
    <t>4 Mango (Ripe),2 Green Chillies - sliced lengthwise,1 cup Curd (Dahi / Yogurt) - whisked,Salt - to taste,1 cup Fresh coconut - grated,1 teaspoon Cumin seeds (Jeera),1/4 teaspoon Turmeric powder (Haldi),1 teaspoon Red Chilli powder,2 teaspoon Coconut Oil,1/2 teaspoon Mustard seeds,1/4 teaspoon Methi Seeds (Fenugreek Seeds),2 Dry Red Chilli - cut into halves,1 sprig Curry leaves</t>
  </si>
  <si>
    <t xml:space="preserve">To begin making the Kerala Special Mambazha Puliserry recipe, first heat a heavy bottomed pan with 2 cups of water.Add the mangoes, green chillies and cook covered for 10 to 15 minutes over low flame. You can optionally squeeze out some pulp to make a gravy.When the mangoes are simmering, prepare the masala paste by grinding coconut, cumin seeds, turmeric powder, chilli powder in a mixer jar using 1/4 cup of warm water to a smooth paste.Once the mangoes are cooked, add the ground masala paste and cook the Mambazha Puliserry over low flame for 5 to 7 minutes in the same pan.Now add the whisked curd and give the Mambazha Puliserry a brisk boil and turn off the heat. Check the salt and spices and adjust accordingly. Heat a tadka pan with coconut oil over medium heat; add the mustard seeds, methi seeds and allow them to crackle. Add the dry red chillies and the curry leaves and stir fry for a few seconds.Pour the tempering over the Mambazha Puliserry and transfer to a serving bowl and serve hot.Serve Kerala Special Mambazha Puliserry with hot Steamed Rice and Elai Vadam for a delicious weekday meal.
</t>
  </si>
  <si>
    <t xml:space="preserve">കേരള സ്‌പെഷ്യൽ മാമ്പഴ പുളിശ്ശേരി റെസിപ്പി ഉണ്ടാക്കാൻ തുടങ്ങുന്നതിന്, ആദ്യം അടിയിൽ കട്ടിയുള്ള ഒരു പാൻ 2 കപ്പ് വെള്ളം ഒഴിച്ച് ചൂടാക്കുക. മാങ്ങയും പച്ചമുളകും ചേർത്ത് 10 മുതൽ 15 മിനിറ്റ് വരെ ചെറിയ തീയിൽ മൂടി വെച്ച് വേവിക്കുക. നിങ്ങൾക്ക് വേണമെങ്കിൽ കുറച്ച് പൾപ്പ് പിഴിഞ്ഞ് ഗ്രേവി ഉണ്ടാക്കാം. മാങ്ങ വേവുമ്പോൾ തേങ്ങ, ജീരകം, മഞ്ഞൾപൊടി, മുളകുപൊടി എന്നിവ മിക്‌സർ ജാറിൽ അരച്ച് 1/4 കപ്പ് ചെറുചൂടുള്ള വെള്ളം ഉപയോഗിച്ച് മസാല പേസ്റ്റ് തയ്യാറാക്കുക. മാമ്പഴം വേവിച്ചുകഴിഞ്ഞാൽ, മാമ്പഴം വേവിച്ചുകഴിഞ്ഞാൽ, ഫ്‌ളാമ്പഴം പുരട്ടി പുരട്ടിയെടുക്കുക. അതേ പാത്രത്തിൽ 5 മുതൽ 7 മിനിറ്റ് വരെ. ഇപ്പോൾ തീയൽ തൈര് ചേർത്ത് മാമ്പഴ പുളിശേരി തിളപ്പിച്ച് തീ ഓഫ് ചെയ്യുക. ഉപ്പും മസാലകളും പരിശോധിച്ച് അതിനനുസരിച്ച് ക്രമീകരിക്കുക. ഒരു തഡ്ക പാൻ വെളിച്ചെണ്ണ ഒഴിച്ച് ഇടത്തരം ചൂടിൽ ചൂടാക്കുക; കടുക്, മേത്തി വിത്ത് എന്നിവ ചേർത്ത് പൊട്ടിക്കാൻ അനുവദിക്കുക. ഉണങ്ങിയ ചുവന്ന മുളകും കറിവേപ്പിലയും ചേർത്ത് കുറച്ച് നിമിഷങ്ങൾ വഴറ്റുക. മാമ്പഴ പുളിശേരിയുടെ മേൽ ടെമ്പറിംഗ് ഒഴിച്ച് ഒരു സെർവിംഗ് പാത്രത്തിലേക്ക് മാറ്റി ചൂടോടെ വിളമ്പുക. കേരള സ്‌പെഷ്യൽ മാമ്പഴ പുളിശേരി, ചൂടുള്ള ആവിയിൽ വേവിച്ച ചോറും ഏലൈ വടവും  എന്നിവയ്‌ക്കൊപ്പം ഒരു സ്വാദിഷ്ടമായ ആഴ്‌ചയിലെ ഭക്ഷണത്തിനായി വിളമ്പുക.
</t>
  </si>
  <si>
    <t>http://www.archanaskitchen.com/kerala-special-mambazha-puliserry-recipe</t>
  </si>
  <si>
    <t>Kerala Style Vendakkai Pachadi Recipe - Kerala Style Vendakkai Pachadi (Recipe in Hindi)</t>
  </si>
  <si>
    <t>കേരള സ്റ്റൈൽ വെദക്കൈ പാചകക്കുറിപ്പ് - കേരള സ്റ്റൈൽ വെണ്ടക്കൈ പച്ചടി (ഹിന്ദിയിലെ പാചകക്കുറിപ്പ്)</t>
  </si>
  <si>
    <t>25 ബിന്ഡി,5 ഹരി മർച്ച് - ബാരിക്ക് കാറ്റ് ലെ,1/4 കപ്പ് ദഹി,1 ടഹനി കഠി പത്തൻ,1/2 കപ്പ് ഛോട്ട ചമച്ച ജീര,1/2 ഛോട്ട ചമച്ച റായ്,1 സുഖി ലാൽ മർച്ച - തൊടേ, 2 ചമച്ച തെൽ,നമക് - സ്വാദ് അനുസാർ</t>
  </si>
  <si>
    <t>25 okra, 5 green chillies - finely chopped, 1/4 cup curd, 1 sprig curry leaves, 1/2 cup coconut - grated, 1/2 teaspoon cumin seeds, 1/2 teaspoon mustard, 1 dry red chili - Break it, 2 teaspoons oil, salt - as per taste</t>
  </si>
  <si>
    <t>To make Kerala Style Vedakkai Pachadi, first cut ladyfinger in round shapes. Add salt and 2 teaspoons oil to it. Mix it and spread it on a baking sheet. Preheat oven to 350 degrees. Bake it for 15 to 20 minutes. Now add green chillies to it and bake for another 4 minutes. Remove from the oven and keep it aside. Now take curd in a bowl and beat it well. Now add coconut with cumin seeds and grind it. Now heat oil in a small pan and add mustard seeds to it. After 15 seconds add red chillies and fry for 20 seconds. Now add grinded coconut mixture, salt and cook for 3 minutes. Now add baked okra and cook for 3 minutes. Turn off the gas and let it cool. After cooling add curd and mix it. Serve. Serve Kerala Style Vedakkai Pachadi with Mixed Vegetable Sambar and Rice for dinner.</t>
  </si>
  <si>
    <t xml:space="preserve">കേരള സ്‌റ്റൈൽ വെദക്കൈ പച്ചടി അതുപോലെ നമുക്ക് ഒപ്പം 2 ഛോട്ടേ ചമച്ച ടെൽ ഡാലെ. മിലാ ലെയും ബെക്കിംഗ് ഷീറ്റും ഫൈല ദേ. ഓവൻ കോ 350 ഡിഗ്രി പഹലെ സെ ഹീറ്റ് കരലേ. 15 സെ 20 മിനിറ്റ് വേണ്ടി വരും ഇതുപോലെ ഹരി മിർച്ച് ഡാലെയും 4 മിനിറ്റും കൂടാതെ ബേക് കർ ലേയും. ഓവൻ സെ നികാൽ ലെയും അലഗ് സെ രഖ് ദേ. അബ് ഒരു ബൗൾ മെം ദഹി ലെയും അച്ഛി തരഹ് സെ ഫെറ്റ് ലെ. അബ് നാറിയൽ കോ ജീര കെ സാത്ത് ദാലെ കൂടാതെ പീസ് ലെ. എബി ഒരു ഛോട്ടി കഠായി മെം ടെൽ ഗരം കരെം കൂടാതെ ഇതുപോലെ റായ് ഡാലെ. 15 സെക്കൻറുകൾ ബാദ് ഇതുപോലെ ലാൽ മിർച്ച് ഡാലെ കൂടാതെ 20 സെക്കണ്ട് സെക്കൻറുകൾ. ഇപ്പോൾ പിസ ഹുവാ നാറിയൽ കാ മിശ്രണം, നമക് ഡാലെ കൂടാതെ 3 മിനിറ്റുകൾക്കുള്ളിൽ. ഇനി ഇത് കൂടാതെ 3 മിനിറ്റ് വേണ്ടിവരും. गैस करें और ठरडा होने ഠണ്ടാ ഹോനെയുടെ ബാദ് ഇതുപോലെ ദഹി ഡാലെയും മിലാ ലെയും. പരോസ്. കേരള സ്‌റ്റൈൽ വെജിറ്റബിൾ സാംബറും മറ്റ് ചില കാര്യങ്ങളും പരോസ്.
</t>
  </si>
  <si>
    <t>http://www.archanaskitchen.com/kerala-style-vendakkai-pachadi-recipe-in-hindi</t>
  </si>
  <si>
    <t>Caramel Folded Plum Cake Recipe</t>
  </si>
  <si>
    <t>കാരമൽ ഫോൾഡഡ് പ്ലം കേക്ക് റെസിപ്പി</t>
  </si>
  <si>
    <t>1-1/2 കപ്പ് മിക്സഡ് ഡ്രൈ ഫ്രൂട്ട്സ് - ഞാൻ ആപ്രിക്കോട്ട് ഉപയോഗിച്ചു, 3/4 കപ്പ് റം - അല്ലെങ്കിൽ ഓറഞ്ച് ജ്യൂസ്, 1/2 കപ്പ് പഞ്ചസാര, 1/2 കപ്പ് ചൂടുവെള്ളം, 1 കപ്പ് വിവറ്റ മൈദ, 1/2 ടീസ്പൂൺ ബേക്കിംഗ് പൗഡർ, 1/2 ടീസ്പൂൺ ബേക്കിംഗ് സോഡ, 3 ഗ്രാമ്പൂ (ലൗംഗ്), 3 ഏലയ്ക്കാ (ഇലയ്‌ച്ചി, 1 പീസഞ്ചി) (ഡാൽചിനി), 1 നുള്ള് ജാതിക്ക പൊടി, 5 ടേബിൾസ്പൂൺ വെണ്ണ (ഉപ്പില്ലാത്തത്), 1/2 കപ്പ് പഞ്ചസാര, 2 മുഴുവൻ മുട്ടകൾ, 1-1/2 കപ്പ് മിക്സഡ് നട്സ് - ഞാൻ ബദാം ഉപയോഗിച്ചു, 1/2 കപ്പ് ടുട്ടി ഫ്രൂട്ടി, 1 നുള്ള് ഉപ്പ്</t>
  </si>
  <si>
    <t>1-1/2 cups Mixed dry fruits - I used apricot,3/4 cup Rum - or Double with orange juice,1/2 cup Sugar,1/2 cup Hot water,1 cup Vivatta Maida,1/2 teaspoon Baking powder,1/2 teaspoon Baking soda,3 Cloves (Laung),3 Cardamom (Elaichi) Pods/Seeds,1 pinch Cinnamon Powder (Dalchini),1 pinch Nutmeg powder,5 tablespoons Butter (unsalted),1/2 cup Sugar,2 Whole Eggs,1-1/2 cups Mixed nuts - I used almond,1/2 cup Tutti frutti,1 pinch Salt</t>
  </si>
  <si>
    <t>Eggetarian</t>
  </si>
  <si>
    <t xml:space="preserve">To begin making Caramel Plum Cake Recipe, soak all the dry fruits in rum or fruit juice like apple juice or orange juice. It is best if you soak the dry fruits for at least a week.On the day of baking, preheat the oven at 350F or 180 degree centigrade.Caramel SyrupTake a hard bottom pan, spread sugar and keep on low medium flame. It will melt down and then change its color to brown. Do not use spoon, just swirl the pan.When color changes to brown, take it out of the stove and add same amount of hot water. Sugar syrup will solidify, keep back on stove and slowly allow sugar to dissolve. Now you can use spoon, it will take 10-15 mins. Cool it.Cake:Drain rum/juice from soaked dry fruits, spread 2-3 tablespoon of flour on this to prevent it from settling at the bottom of pan. Also save any drained rum to pour over the cake at the end.Whisk butter and sugar very well in a mixing bowl. Add eggs and again whisk.Take all the dry ingredients separately- flour, spices, salt, baking soda, baking powder- give a nice mix.Now add dry ingredients to wet ingredients slowly folding well with spatula.Add the drained dry fruit/nuts/tutti fruity and caramel syrup, alternately and fold well with spatula.Grease the baking pan with butter. Pour the cake mix to pan.            Now you can pour the drained rum over the mix in pan, this gives a nice color and flavour.Bake for 40-50 minutes in a preheated oven.After about 30-40 minutes, check if the top of the cake is getting very dark, if yes, cover with aluminum foil and bake further. Check with toothpick after 30-40 mins to see if toothpick comes out dry.Cool completely, better when served next day. Serve Caramel Plum Cake Recipe for snacks, along with Masala Chai Recipe - Indian Spiced Tea and Achappam Recipe | Kerala Style Fried Rose Cookies.
</t>
  </si>
  <si>
    <t xml:space="preserve">കാരമൽ പ്ലം കേക്ക് പാചകക്കുറിപ്പ് ഉണ്ടാക്കാൻ തുടങ്ങാൻ, എല്ലാ ഉണങ്ങിയ പഴങ്ങളും റമ്മിലോ ആപ്പിൾ ജ്യൂസോ ഓറഞ്ച് ജ്യൂസോ പോലുള്ള ഫ്രൂട്ട് ജ്യൂസിലോ മുക്കിവയ്ക്കുക. ഉണങ്ങിയ പഴങ്ങൾ ഒരാഴ്ചയെങ്കിലും മുക്കിവയ്ക്കുന്നത് നല്ലതാണ്. ബേക്കിംഗ് ദിവസം, 350F അല്ലെങ്കിൽ 180 ഡിഗ്രി സെൻ്റിഗ്രേഡിൽ ഓവൻ പ്രീഹീറ്റ് ചെയ്യുക. കാരമൽ സിറപ്പ് ഒരു ഹാർഡ് അടിയിൽ പാൻ എടുത്ത് പഞ്ചസാര വിതറി ഇടത്തരം തീയിൽ വയ്ക്കുക. അത് ഉരുകുകയും പിന്നീട് അതിൻ്റെ നിറം തവിട്ടുനിറമാകുകയും ചെയ്യും. സ്പൂൺ ഉപയോഗിക്കരുത്, പാൻ ചുഴറ്റുക. നിറം ബ്രൗൺ നിറമാകുമ്പോൾ, അത് സ്റ്റൗവിൽ നിന്ന് പുറത്തെടുത്ത് അതേ അളവിൽ ചൂടുവെള്ളം ചേർക്കുക. പഞ്ചസാര സിറപ്പ് ദൃഢമാക്കുകയും, സ്റ്റൗവിൽ വീണ്ടും വയ്ക്കുകയും, പഞ്ചസാര സാവധാനം അലിഞ്ഞു ചേരാൻ അനുവദിക്കുകയും ചെയ്യും. ഇപ്പോൾ നിങ്ങൾക്ക് സ്പൂൺ ഉപയോഗിക്കാം, ഇത് 10-15 മിനിറ്റ് എടുക്കും. ഇത് തണുപ്പിക്കുക. കേക്ക്: കുതിർത്ത ഡ്രൈ ഫ്രൂട്ട്സിൽ നിന്ന് റം/ജ്യൂസ് ഒഴിക്കുക, 2-3 ടേബിൾസ്പൂൺ മൈദ ഇതിലേക്ക് പരത്തുക. അവസാനം കേക്കിന് മുകളിൽ ഒഴിക്കാൻ വറ്റിച്ച ഏതെങ്കിലും റം സംരക്ഷിക്കുക. ഒരു മിക്സിംഗ് പാത്രത്തിൽ വെണ്ണയും പഞ്ചസാരയും നന്നായി അടിക്കുക. മുട്ട ചേർത്ത് വീണ്ടും അടിക്കുക.എല്ലാ ഉണങ്ങിയ ചേരുവകളും വെവ്വേറെ എടുക്കുക- മൈദ, മസാലകൾ, ഉപ്പ്, ബേക്കിംഗ് സോഡ, ബേക്കിംഗ് പൗഡർ- ഒരു നല്ല മിക്സ് നൽകുക. ഇപ്പോൾ നനഞ്ഞ ചേരുവകളിലേക്ക് ഡ്രൈ ചേരുവകൾ ചേർക്കുക. സ്പാറ്റുല ഉപയോഗിച്ച് നന്നായി മടക്കിക്കളയുക. ഡ്രൈ ഫ്രൂട്ട് / അണ്ടിപ്പരിപ്പ് / ടുട്ടി ഫ്രൂട്ടി, കാരമൽ സിറപ്പ് എന്നിവ ചേർക്കുക. പാനിലേക്ക് കേക്ക് മിക്സ് ഒഴിക്കുക.            ഇപ്പോൾ നിങ്ങൾക്ക് പാനിൽ മിക്‌സിയിൽ വറ്റിച്ച റം ഒഴിക്കാം, ഇത് നല്ല നിറവും സ്വാദും നൽകുന്നു. പ്രീഹീറ്റ് ചെയ്ത ഓവനിൽ 40-50 മിനിറ്റ് ചുടേണം. ഏകദേശം 30-40 മിനിറ്റിനു ശേഷം, കേക്കിൻ്റെ മുകൾഭാഗം ഇരുണ്ടതാണോയെന്ന് പരിശോധിക്കുക, അതെ എങ്കിൽ, അലുമിനിയം ഫോയിൽ കൊണ്ട് മൂടി കൂടുതൽ ചുടേണം. 30-40 മിനിറ്റിന് ശേഷം ടൂത്ത്പിക്ക് ഉപയോഗിച്ച് ടൂത്ത്പിക്ക് ഉണങ്ങുന്നുണ്ടോ എന്ന് പരിശോധിക്കുക. പൂർണ്ണമായി തണുപ്പിക്കുക, അടുത്ത ദിവസം വിളമ്പുമ്പോൾ നല്ലത്. ലഘുഭക്ഷണത്തിനുള്ള കാരമൽ പ്ലം കേക്ക് പാചകക്കുറിപ്പ്, ഒപ്പം മസാല ചായ് റെസിപ്പി - ഇന്ത്യൻ മസാല ചായയും അച്ചപ്പം പാചകവും | കേരള സ്റ്റൈൽ ഫ്രൈഡ് റോസ് കുക്കീസ്.
</t>
  </si>
  <si>
    <t>http://www.archanaskitchen.com/caramel-folded-plum-cake-recipe</t>
  </si>
  <si>
    <t>Mambazha Pulissery Recipe - Mango Mor Kuzhambu Recipe</t>
  </si>
  <si>
    <t>മാമ്പഴ പുളിശ്ശേരി പാചകക്കുറിപ്പ് - മാമ്പഴം മോർ കുഴമ്പ് പാചകക്കുറിപ്പ്</t>
  </si>
  <si>
    <t>1 മാങ്ങ (പഴുത്തത്) - തൊലി &amp; കഷണങ്ങൾ, 3 പച്ചമുളക് - കീറിയത്, 1/4 കപ്പ് പുതിയ തേങ്ങ - അരച്ചത്, 1 ടീസ്പൂൺ ജീരകം (ജീര), 1 ടേബിൾസ്പൂൺ ശർക്കര, 1/2 ടീസ്പൂൺ മഞ്ഞൾപ്പൊടി (ഹാൽദി), 1/4 കപ്പ് തൈര് (ദാഹി / തൈര്), 1 ടേബിൾസ്പൂൺ വെളിച്ചെണ്ണ, 1 ചുവന്ന മുളക്, 2 മുതൽ 2 വരെ. ടീസ്പൂൺ കടുക്, ഉപ്പ് - ആവശ്യത്തിന്</t>
  </si>
  <si>
    <t>1 Mango (Ripe) - peel &amp; slice,3 Green Chillies - slit,1/4 cup Fresh coconut - grated,1 teaspoon Cumin seeds (Jeera),1 tablespoon Jaggery,1/2 teaspoon Turmeric powder (Haldi),1/4 cup Curd (Dahi / Yogurt),1 tablespoons Coconut Oil,2 to 3 Dry Red Chilli,1 sprig Curry leaves,1/2 teaspoon Mustard seeds,Salt - to taste</t>
  </si>
  <si>
    <t xml:space="preserve">To begin making the Mambazha Pulissery recipe, peel and slice the mango.In a deep pan, add 2 cups of water, mango slices, slit green chillies and turmeric powder and boil till the mangoes are well cooked and soft.In the meantime add the grated coconut, jeera and jaggery along with water into a mixer grinder &amp; grind into a very smooth paste.Once the mangoes are soft, add the ground Pulissery paste to this. After this keep stirring for a while so that the curry does not curdle.Once the Mambazha Pulissery is thick, lower the flame. Beat the yogurt lightly with a fork and add it to the curry. Switch off the flame.Heat oil in a heavy bottomed pan. Add mustard seeds and let it crackle. Add curry leaves and red chillies. Let it crisp up and then add it to the Mambazha Pulissery. Check the salt to taste and adjust accordingly.Serve the Mambazha Pulissery Recipe-Mango Kuzhambu along with Steamed Rice &amp; Kerala Vendakka Thoran Recipe (Okra Stir Fry with Coconut) a for a simple lunch or dinner.
</t>
  </si>
  <si>
    <t xml:space="preserve">മാമ്പഴ പുളിശ്ശേരി റെസിപ്പി ഉണ്ടാക്കാൻ തുടങ്ങാൻ, മാമ്പഴം തൊലി കളഞ്ഞ് അരിഞ്ഞെടുക്കുക. ഒരു ആഴത്തിലുള്ള പാനിൽ 2 കപ്പ് വെള്ളം, മാങ്ങ കഷ്ണങ്ങൾ, പച്ചമുളക് അരിഞ്ഞത്, മഞ്ഞൾപ്പൊടി എന്നിവ ചേർത്ത് മാമ്പഴം നന്നായി വേവുന്നത് വരെ തിളപ്പിക്കുക. അതിനിടയിൽ തേങ്ങ ചിരകിയതും ജീരകവും ശർക്കരയും ചേർത്ത് ഗ്രൈൻഡർ, മാംഗോ മിക്‌സറിലേക്ക് വളരെ മിനുസമാർന്ന മിക്‌സറിലേക്ക് ചേർക്കുക. മൃദുവായ, ഇതിലേക്ക് പൊടിച്ച പുളിശ്ശേരി പേസ്റ്റ് ചേർക്കുക. ഇതിനു ശേഷം കറി കുറുകാതിരിക്കാൻ കുറച്ചു നേരം ഇളക്കി കൊണ്ടിരിക്കുക.മാമ്പഴ പുളിശ്ശേരി കട്ടിയായിക്കഴിഞ്ഞാൽ തീ കുറയ്ക്കുക. തൈര് ഒരു ഫോർക്ക് കൊണ്ട് ചെറുതായി അടിച്ച് കറിയിലേക്ക് ചേർക്കുക. തീ ഓഫ് ചെയ്യുക. അടിയിൽ കട്ടിയുള്ള ഒരു പാത്രത്തിൽ എണ്ണ ചൂടാക്കുക. കടുക് പൊട്ടിക്കുക. കറിവേപ്പിലയും ചുവന്ന മുളകും ചേർക്കുക. ഇത് കുറുകി വരട്ടെ, എന്നിട്ട് മാമ്പഴ പുളിശ്ശേരിയിൽ ചേർക്കുക. രുചിക്ക് ഉപ്പ് പരിശോധിച്ച് അതിനനുസരിച്ച് ക്രമീകരിക്കുക. മാമ്പഴ പുളിശ്ശേരി റെസിപ്പി-മാമ്പഴക്കുഴമ്പ് ആവിയിൽ വേവിച്ച ചോറും കേരള വെണ്ടക്ക തോരൻ പാചകക്കുറിപ്പും (തേങ്ങയോടൊപ്പം വറുത്തെടുക്കുക) ഒരു ലഘുഭക്ഷണത്തിനോ അത്താഴത്തിനോ വേണ്ടി വിളമ്പുക.
</t>
  </si>
  <si>
    <t>https://www.archanaskitchen.com/mambazha-pulissery-recipe-mango-yogurt-curry</t>
  </si>
  <si>
    <t>Neymeen Vatti Pattichathu Recipe - Seer Fish In Spicy Masala</t>
  </si>
  <si>
    <t>Neymeen Vatti Pattichathu Recipe - സീർ ഫിഷ് ഇൻ സ്പൈസി മസാല</t>
  </si>
  <si>
    <t>2 സീർ ​​ഫിഷ് - വൃത്തിയാക്കി അരിഞ്ഞത്, 2 തണ്ട് കറിവേപ്പില, 1 കപ്പ് പുളിവെള്ളം, 1 ടീസ്പൂൺ മഞ്ഞൾപ്പൊടി (ഹൽദി), 1 കപ്പ് തേങ്ങാപ്പാൽ, 1 ചെറുനാരങ്ങാനീര്, ഉപ്പ് - ആവശ്യത്തിന്, വെളിച്ചെണ്ണ - ആവശ്യത്തിന്, 1 സവാള - അരിഞ്ഞത്, 2 ഉണങ്ങിയ ചുവന്ന മുളക്, 4 ഗ്രാമ്പൂ, വെളുത്തുള്ളി - 1 ഇഞ്ച് വെളുത്തുള്ളി - 1 ഇഞ്ച് അരിഞ്ഞത്.</t>
  </si>
  <si>
    <t>2 Seer fish - cleaned and cut,2 sprig Curry leaves,1 cup Tamarind Water,1 teaspoon Turmeric powder (Haldi),1 cup Coconut milk,1 Lemon juice,Salt - to taste,Coconut Oil - as required,1 Onion - sliced,2 Dry Red Chillies,4 cloves Garlic,1 inch Ginger - chopped,1 Green Chilli - chopped</t>
  </si>
  <si>
    <t xml:space="preserve">To begin making the Neymeen Vatti Pattichathu Recipe, we will first grind the ingredients mentioned in the list to a coarse paste including onion, dry red chillies, garlic, ginger, green chillies and keep it aside.Marinate the fish with lemon juice, turmeric powder, salt and keep it aside for 15 minutes.Heat a flat skillet with coconut oil, add curry leaves and allow it crackle for few seconds.Add the ground onion paste and keep stirring till the raw smell goes away. Make sure you do this in low flame and not let the onions burn.Add turmeric powder, tamarind water and give it a stir. Allow the water to reduce and place the marinated fish pieces gently on the gravy.Sprinkle salt and pour half of coconut milk and give it a stir gently. Cover it with the lid and cook for 10 minutes.Add remaining of the coconut milk and cover it and cook for another 20 minutes.Check for salt and give one last stir gently and serve hot.Serve the Neymeen Vatti Pattichathu Recipe along with Steamed Rice and Rava Fried Prawns to form a delicious meal for your Sunday.
</t>
  </si>
  <si>
    <t xml:space="preserve">നെയ്മീൻ വട്ടി പറ്റിച്ചത് റെസിപ്പി ഉണ്ടാക്കാൻ തുടങ്ങുന്നതിന്, ഞങ്ങൾ ആദ്യം പട്ടികയിൽ പറഞ്ഞിരിക്കുന്ന ചേരുവകൾ ഉള്ളി, ഉണങ്ങിയ ചുവന്ന മുളക്, വെളുത്തുള്ളി, ഇഞ്ചി, പച്ചമുളക് എന്നിവയുൾപ്പെടെ ഒരു നാടൻ പേസ്റ്റിൽ പൊടിച്ച് മാറ്റി വയ്ക്കുക. മത്സ്യം നാരങ്ങാനീര്, മഞ്ഞൾപ്പൊടി, ഉപ്പ് എന്നിവ ചേർത്ത് മാരിനേറ്റ് ചെയ്ത് 15 മിനിറ്റ് വയ്ക്കുക. ഉള്ളി അരച്ചത്, അസംസ്കൃത മണം പോകുന്നതുവരെ ഇളക്കുക. നിങ്ങൾ ഇത് ചെറിയ തീയിൽ ചെയ്യുന്നുവെന്ന് ഉറപ്പാക്കുക, ഉള്ളി കത്തിക്കാൻ അനുവദിക്കരുത്. മഞ്ഞൾപ്പൊടി, പുളിവെള്ളം എന്നിവ ചേർത്ത് ഇളക്കുക. വെള്ളം കുറയ്ക്കാൻ അനുവദിക്കുക, മാരിനേറ്റ് ചെയ്ത മീൻ കഷണങ്ങൾ ഗ്രേവിയിൽ വയ്ക്കുക. ഉപ്പ് വിതറി പകുതി തേങ്ങാപ്പാൽ ഒഴിച്ച് പതുക്കെ ഇളക്കുക. ഇത് അടപ്പ് കൊണ്ട് മൂടി 10 മിനിറ്റ് വേവിക്കുക. ബാക്കിയുള്ള തേങ്ങാപ്പാൽ ചേർത്ത് മൂടി വെച്ച് മറ്റൊരു 20 മിനിറ്റ് വേവിക്കുക. ഉപ്പ് പരിശോധിച്ച് അവസാനമായി ഒന്ന് ഇളക്കി ചൂടോടെ വിളമ്പുക. നെയ്മീൻ വട്ടി പട്ടിച്ചാത്ത് പാചകക്കുറിപ്പ്, ആവിയിൽ വേവിച്ച ചോറ്, റവ വറുത്ത ചെമ്മീൻ എന്നിവയ്‌ക്കൊപ്പം സ്വാദിഷ്ടമായ ഞായറാഴ്‌ച വിഭവം തയ്യാറാക്കുക.
</t>
  </si>
  <si>
    <t>http://www.archanaskitchen.com/neymeen-vatti-pattichathu-recipe-seer-fish-with-spicy-masala</t>
  </si>
  <si>
    <t>Mango Coconut Payasam Recipe - Mango Kheer Recipe</t>
  </si>
  <si>
    <t>ആം കി ഖീർ പാചകക്കുറിപ്പ് - മാംഗോ കോക്കനട്ട് പായസം</t>
  </si>
  <si>
    <t>2 മാങ്ങ (പഴുത്തത്), 1 കപ്പ് തേങ്ങാപ്പാൽ, 1/4 കപ്പ് ഈന്തപ്പന പഞ്ചസാര, 1 ടീസ്പൂൺ ഏലയ്ക്കാപ്പൊടി (ഇലച്ചി), 3 ടേബിൾസ്പൂൺ പുതിയ തേങ്ങ - അല്ലെങ്കിൽ ഡെസിക്കേറ്റഡ് തേങ്ങ (ചതച്ചത്), 2 ടേബിൾസ്പൂൺ ബദാം (ബദാം) - അരിഞ്ഞത് അല്ലെങ്കിൽ അരിഞ്ഞത്, 1 ടീസ്പൂൺ നെയ്യ്</t>
  </si>
  <si>
    <t>2 Mango (Ripe),1 cup Coconut milk,1/4 cup Palm sugar,1 teaspoons Cardamom Powder (Elaichi),3 tablespoons Fresh coconut - or dessicated coconut (grated),2 tablespoons Badam (Almond) - sliced or chopped,1 teaspoon Ghee</t>
  </si>
  <si>
    <t xml:space="preserve">To begin making the Aam Ki Kheer/ Mango Coconut Kheer recipe, wash the mangoes and cut the mango into slices. Add it to a blender (reserving few pieces for garnishing) and blend into thick puree adding little water.Heat a heavy bottomed pan with a teaspoon of ghee. Pour the mango puree and cook in low flame until it comes to boil.Add palm sugar and cardamom powder to it. Mix well and boil until sugar dissolves.Switch off the flame, add fresh coconut and coconut milk to make the Aam Ki Kheer. Mix well and add chopped badam. Pour the Aam Ki Kheer/ Mango Coconut Kheer into serving glasses and add fresh mango pieces on top and server chilled. Serve Aam Ki Kheer Recipe/ Mango Coconut Kheer as a dessert after your festive meal of Mixed Vegetable Sambar, Steamed Rice, Pineapple Rasam, Chow Chow Thoran, Yellow Cucumber Pachadi and Elai Vadam.
</t>
  </si>
  <si>
    <t xml:space="preserve">ആം കി ഖീർ/ മാമ്പഴ കോക്കനട്ട് ഖീർ പാചകക്കുറിപ്പ് ഉണ്ടാക്കാൻ തുടങ്ങുന്നതിന്, മാമ്പഴം കഴുകി മാങ്ങ കഷ്ണങ്ങളാക്കി മുറിക്കുക. ഇത് ഒരു ബ്ലെൻഡറിലേക്ക് ചേർക്കുക (അലങ്കാരത്തിനായി കുറച്ച് കഷണങ്ങൾ മാറ്റി വയ്ക്കുക) കുറച്ച് വെള്ളം ചേർത്ത് കട്ടിയുള്ള പ്യൂരിയിലേക്ക് യോജിപ്പിക്കുക. ഒരു ടീസ്പൂൺ നെയ്യ് ഉപയോഗിച്ച് അടിയിൽ കട്ടിയുള്ള ഒരു പാൻ ചൂടാക്കുക. മാമ്പഴം പൂരി ഒഴിച്ച് ചെറിയ തീയിൽ തിളയ്ക്കുന്നത് വരെ വേവിക്കുക. അതിലേക്ക് ഈന്തപ്പഴം പഞ്ചസാരയും ഏലക്കാപ്പൊടിയും ചേർക്കുക. നന്നായി ഇളക്കി പഞ്ചസാര അലിഞ്ഞുപോകുന്നതുവരെ തിളപ്പിക്കുക. തീ ഓഫ് ചെയ്യുക, പുതിയ തേങ്ങയും തേങ്ങാപ്പാലും ചേർത്ത് ആം കി ഖീർ ഉണ്ടാക്കുക. നന്നായി ഇളക്കി അരിഞ്ഞ ബദാം ചേർക്കുക. സെർവിംഗ് ഗ്ലാസുകളിലേക്ക് ആം കി ഖീർ/ മാമ്പഴ കോക്കനട്ട് ഖീർ ഒഴിച്ച് മുകളിൽ ഫ്രഷ് മാമ്പഴ കഷ്ണങ്ങൾ ചേർത്ത് സെർവർ തണുപ്പിക്കുക. മിക്‌സഡ് വെജിറ്റബിൾ സാമ്പാർ, ആവിയിൽ വേവിച്ച ചോറ്, പൈനാപ്പിൾ രസം, ചൗ ചൗ തോരൻ, മഞ്ഞ കുക്കുമ്പർ പച്ചടി , ഇളൈ വടം എന്നിവയുടെ ഉത്സവ ഭക്ഷണത്തിന് ശേഷം ആം കി ഖീർ റെസിപ്പി/ മാമ്പഴ കോക്കനട്ട് ഖീർ ഒരു മധുരപലഹാരമായി വിളമ്പുക.
</t>
  </si>
  <si>
    <t>http://www.archanaskitchen.com/mango-coconut-kheer-recipe</t>
  </si>
  <si>
    <t>Kerala Kadala Curry Recipe – Kerala Kadala Curry (Recipe In Hindi)</t>
  </si>
  <si>
    <t>കേരള കടല കറി റെസിപ്പി - കേരള കടല കറി (ഹിന്ദിയിൽ പാചകക്കുറിപ്പ്)</t>
  </si>
  <si>
    <t>1 കപ്പ് കാല ചന - രാത് ഭർ ഭിഗോ കർ പക ലെ,2 പ്യാജ് - ബാരിക്ക് കാറ്റ് ലെ,1 ടമാറ്റർ - ലബാരിക് ലഹസുൻ - പെസ്റ്റ്,1 ഇഞ്ച് അഡരക് - പെസ്റ്റ്,1/4 ഛോട്ട ചമച്ച ഹൽദി പൗഡർ,2 കപ്പൽ ടെൽ,നമക് - സ്വാദ് അനുസാർ,1 കപ്പ് നാറിയൽ,2 ഹരി മർച്ച്,3 ബഡേ ചമച്ച ധനിയുടെ ബിജ്,1/2 ചമച്ച സൌംഫ്,1/2 ഛോട്ട ചമച്ച ലാൽ മിർച്ച് പൗഡർ,1/2 ഛോട്ടാ ചമച്ച,2ഹട്ട കഠി പത്ത</t>
  </si>
  <si>
    <t>1 cup black chickpeas - soaked overnight and cooked, 2 onions - finely chopped, 1 tomato - finely chopped, 5 cloves garlic - paste, 1 inch ginger - paste, 1/4 teaspoon turmeric powder, 2 cups water, oil - or coconut oil, salt - according to taste, 1 cup coconut, 2 green chillies, 3 tablespoons coriander seeds, 1/2 teaspoon fennel, 1/2 teaspoon red chilli powder, 1/2 teaspoon mustard, 2 sprigs curry leaves</t>
  </si>
  <si>
    <t>To make Kerala Kadla Curry, first soak black chickpeas in water overnight. Now to make a paste put all the ingredients in a mixer grinder and grind them. Keep aside. Heat oil in a pan. Add chopped onions and cook till they become soft. Now add ginger and garlic paste and let it cook for 2 minutes. After 2 minutes add turmeric powder, tomatoes and cook till tomatoes become soft. Add ground coconut mixture and let it cook for 3 to 4 minutes. Now add cooked chickpeas, water and let it cook for 30 minutes. Now add Tadka to it. Heat oil in a small pan. Add mustard seeds, curry leaves and cook for 10 seconds. Pour this tempering over the Kadla Curry, mix and let it cook for another 3 minutes. Serve. Serve Kerala Kadla Curry with Egg Roast and Appam for lunch.</t>
  </si>
  <si>
    <t xml:space="preserve">കേരള കടല കരി ബനാനെ പോലെയുള്ളവയാണ്. അബ് പെസ്റ്റ് ബനാനെ കൂടാതെ ദി ഗർ സാമഗ്രി കോ ഒരു മിക്സർ ഗ്രെയിൻഡർ കൂടാതെ. അൽഗ സെ രഖ് ദേ. ഒരു കഥ ഇതുപോലെ ബാരീക് കാറ്റേ ഹ്യൂഎ പ്യാജ് ഡാലെയും ഉനകെ നരം ഹോനേ തക് പകോ. ഇപ്പോൾ അദരക്, ലഹുസൻ കാ പെസ്റ്റ് ഡാലെ കൂടാതെ 2 മിനിറ്റ് വരെ. 2 മിനിറ്റ് മോശം ഹൽദി പൗഡർ, ടമാറ്റർ ഡാലെ, ടമാറ്റർ എന്നിവയും നർമ്മം പോലെയാണ്. അതുപോലെ തന്നെ പിസ ഹുവാ നാറിയൽ കാ മിശ്രണ ഡാലെയും 3 സെ 4 മിനിറ്റും പകനെ ദേ. ഇതുപോലെ തന്നെ, പാനി ഡാലെ കൂടാതെ 30 മിനിറ്റ് വരെ. അബ് ഇസമെം തഡക ലഗാംഗെ.എക് ഛോട്ടി കഠായി മെം ടെൽ ഗരം കരെം. ഇതുപോലെ റായ്, കഠി പട്ട ദാലെ കൂടാതെ 10 സെക്കണ്ട്സ് തക് പകാഎ. അതെ അടുത്ത കടലാ കറി മെം ഡാലെ, മിലായേ കൂടാതെ 3 മിനിറ്റ് തകും ഒപ്പം പകനെ ദേ. പരോസ്. കേരള കടല കറി കോ എഗ് റോസ്‌റ്റ്, അപ്പം എന്നിവയെക്കുറിച്ചുള്ള വിവരങ്ങൾ
</t>
  </si>
  <si>
    <t>https://www.archanaskitchen.com/kerala-kadala-curry-recipe-spicy-chickpeas-in-coconut-curry-in-hindi</t>
  </si>
  <si>
    <t>Guava And Papaya Mimosa Drink Recipe</t>
  </si>
  <si>
    <t>പേരക്ക, പപ്പായ മിമോസ പാനീയം പാചകക്കുറിപ്പ്</t>
  </si>
  <si>
    <t>1 കപ്പ് പേരക്ക ജ്യൂസ് - തണുപ്പിച്ചത്, 1 കപ്പ് പപ്പായ ജ്യൂസ് - തണുത്തത്, 500 മില്ലി ഷാംപെയ്ൻ - അല്ലെങ്കിൽ തിളങ്ങുന്ന വൈൻ, 1 നാരങ്ങ - നീര്, 1/4 കപ്പ് പേരക്ക - സമചതുര (ഓപ്ഷണൽ), 1/4 കപ്പ് പപ്പായ - സമചതുര (ഓപ്ഷണൽ)</t>
  </si>
  <si>
    <t>1 cup Guava juice - chilled,1 cup Papaya juice - chilled,500 ml Champagne - or Sparkling wine,1 Lemon - juiced,1/4 cup Guava - cubes (optional),1/4 cup Papaya - cubes (optional)</t>
  </si>
  <si>
    <t xml:space="preserve">To begin making Guava And Papaya Mimosa Drink Recipe, get all the ingredients handy and ready.Pour equal quantity of guava and papaya juice into serving glasses.Squeeze equal quantity of lime and orange juice into it.Top the glass with sparkling wine/ champagne.Garnish with few chunks of papaya/ guava if required.Serve Guava And Papaya Mimosa Drink Recipe chilled, along with party appetizers like Assorted Cheese Platter Served With Fruits &amp; Crackers and Protein Fingers Recipe.
</t>
  </si>
  <si>
    <t xml:space="preserve">പേരക്ക, പപ്പായ മിമോസ പാനീയം പാചകക്കുറിപ്പ് ഉണ്ടാക്കാൻ തുടങ്ങുന്നതിന്, എല്ലാ ചേരുവകളും തയ്യാറാക്കി തയ്യാറാക്കുക. സെർവിംഗ് ഗ്ലാസുകളിലേക്ക് തുല്യ അളവിൽ പേരയ്ക്കയും പപ്പായയും ഒഴിക്കുക. അതിലേക്ക് തുല്യ അളവിൽ നാരങ്ങയും ഓറഞ്ചും പിഴിഞ്ഞെടുക്കുക. ഗ്ലാസിന് മുകളിൽ തിളങ്ങുന്ന വൈൻ / ഷാംപെയ്ൻ ഉപയോഗിച്ച് അലങ്കരിക്കുക. ആവശ്യമുണ്ടെങ്കിൽ പവയുടെ / പാവയുടെ കഷണങ്ങൾ കൊണ്ട് അലങ്കരിക്കുക. മിമോസ ഡ്രിങ്ക് റെസിപ്പി ശീതീകരിച്ച്, പഴങ്ങളും പടക്കം വിളമ്പുന്ന പലതരം ചീസ് പ്ലേറ്റർ, പ്രോട്ടീൻ ഫിംഗർസ് റെസിപ്പി എന്നിവയും.
</t>
  </si>
  <si>
    <t>http://www.archanaskitchen.com/guava-and-papaya-mimosa-drink-recipe</t>
  </si>
  <si>
    <t>Kerala Style Christmas Plum Cake Recipe</t>
  </si>
  <si>
    <t>കേരള സ്റ്റൈൽ ക്രിസ്മസ് പ്ലം കേക്ക് റെസിപ്പി</t>
  </si>
  <si>
    <t>100 ഗ്രാം ഉണക്കമുന്തിരി, 100 ഗ്രാം ഗ്ലേസ്ഡ് ചെറി, 100 ഗ്രാം ഉണങ്ങിയ അത്തിപ്പഴം, 100 ഗ്രാം ടുട്ടി ഫ്രൂട്ടി, 50 ഗ്രാം ബദാം (ബദാം), 50 ഗ്രാം കശുവണ്ടിപ്പരിപ്പ്, 100 മില്ലി റം - അല്ലെങ്കിൽ ഓറഞ്ച് ജ്യൂസ് (അഡ്ജസ്റ്റ് ചെയ്യുക), 100 ഗ്രാം വെണ്ണ (ഉപ്പില്ലാത്തത്), 125 ഗ്രാം പഞ്ചസാര, 125 ഗ്രാം, പഞ്ചസാര 4 ഗ്രാം ടീസ്പൂൺ വാനില എക്സ്ട്രാക്റ്റ്, 3 ടേബിൾസ്പൂൺ കാൻഡിഡ് ഓറഞ്ച് പീൽ, 1/4 കപ്പ് കാരമൽ സോസ്, 1 ഓറഞ്ച്, 250 ഗ്രാം ഓൾ പർപ്പസ് മാവ് (മൈദ), 1/2 ടീസ്പൂൺ ബേക്കിംഗ് പൗഡർ, 1/4 ടീസ്പൂൺ ബേക്കിംഗ് സോഡ, 1 ടീസ്പൂൺ കറുവപ്പട്ട പൊടി (ഡാൽചിനി), 1/4 ടീസ്പൂൺ ഗ്രാമ്പൂ പൊടി (1/2 ടീസ്പൂൺ ഗ്രാമ്പൂ, 1/2 ടീസ്പൂൺ) പൊടി, 1/4 കപ്പ് പാൽ, 4 മുട്ടയുടെ വെള്ള, 3 ടേബിൾസ്പൂൺ നാരങ്ങ നീര്, 4 ടേബിൾസ്പൂൺ പഞ്ചസാര</t>
  </si>
  <si>
    <t>100 grams Raisins,100 grams Glazed Cherries,100 grams Dried Figs,100 grams Tutti frutti,50 grams Badam (Almond),50 grams Cashew nuts,100 ml Rum - or orange juice (adjust),100 grams Butter (unsalted),125 grams Ghee,300 grams Caster Sugar,4 Egg yolks,1 teaspoon Vanilla Extract,3 tablespoons Candied orange peel,1/4 cup Caramel Sauce,1 Orange,250 grams All Purpose Flour (Maida),1/2 teaspoon Baking powder,1/4 teaspoon Baking soda,1 teaspoon Cinnamon Powder (Dalchini),1/4 teaspoon Nutmeg powder,1/2 teaspoon Cloves (Laung) - powdered,1/2 teaspoon Dry ginger powder,1/4 cup Milk,4 Egg whites,3 tablespoons Lemon juice,4 tablespoons Sugar</t>
  </si>
  <si>
    <t xml:space="preserve">To begin making the Kerala Style Christmas Plum Cake Recipe first line a 9″ tin with grease proof paper and set it aside for later use.Soak the dry fruits (raisins, dry cherries, cashew, almond, tutti frutti, dry figs, soaked in rum or the juice of 3 oranges, preferably for a month, if not a day in advance, at least)Drain the soaked dry fruits, next and retain the soaked rum in a bottle for later use.Place the soaked dry fruits and the juice of an orange in a sauce pan. Cover it, place it over a medium heat and allow it to cook until the juice is absorbed.If you are making a non-alcoholic version, soak the dry fruits in the juice of 3 oranges overnight or for a couple of hours at least. When baking the cake, cook them in the same juice until all the juices are absorbed.If for some reason you have not pre-soaked the fruit, you can also soak and cook them instantly in 50-50 mix of rum and orange juice to get the intensity of flavour in a shorter time. For best results, pre-soaking the fruit is recommended.Next, spread the cooked dry fruits on a plate and let it cool completely.At this stage, preheat the oven to 180 C.In a large mixing bowl, sieve together the all purpose flour, baking powder, baking soda and all the spice powders.Add the soaked, cooked mixed fruits in the flour and mix well so that the fruit is completely coated. Keep this aside. Tossing fruits in flour is to avoid fruits falling to the bottom of the cake during baking time. It will ensure that the cake remains studded with fruit, right through.Cream together the butter, ghee, egg yolks and the castor sugar until it is light and fluffy.Add flour-fruits to the butter mixture, alternating with milk. Ensure that you begin and end with additions of the fruit mixture. Stir well with spatula to blend uniformly.Next, beat the egg whites till they are stiff peaks. Add 4 tablespoons sugar and lime juice and beat again. Now, fold in the egg whites to the cake mixture. Add the caramel and orange candied peel and mix it using a spatula.Pour plum cake batter into prepared pan. Smoothen it well (If you like an uneven top, save a small handful of floured dry fruits and sprinkle it on top or arrange some blanched and peeled almonds in a pattern or you can sprinkle some dried cherries on top )Place the plum cake in the preheated oven and bake for about 90 - 105 minutes or till a toothpick inserted in center comes out clean.Check for doneness after 60 minutes, as the cooking time will vary from one oven to another.When cooked through, remove the tin from the oven and let it sit in the cake tin to cool slightly.When the cake is still warm pour 1/8th cup rum or brandy over the cake and remove from the tin and cool it over a cooling rack.Serve it at Christmas or slice and store away for a tea time treat. Once the cake has cooled completely, sprinkle some more alcohol over it and cover it tightly with clingfilm. Then wrap it in aluminium foil or brown paper and store it in a dark cool place.Sprinkle some alcohol over the Kerala Style Plum Cake once in 4 days or a week, as this really deepens the flavours.If you do not want to keep it out, you can also refrigerate it, and remember to thaw it a day before Christmas or when you are serving it.The Kerala Style Plum cake keeps refrigerated for at least 3 months.
</t>
  </si>
  <si>
    <t xml:space="preserve">കേരള സ്‌റ്റൈൽ ക്രിസ്‌മസ് പ്ലം കേക്ക് പാചകക്കുറിപ്പ് തയ്യാറാക്കാൻ തുടങ്ങുന്നതിന്, ഗ്രീസ് പ്രൂഫ് പേപ്പറുള്ള 9″ ടിൻ ആദ്യം നിരത്തി പിന്നീടുള്ള ഉപയോഗത്തിനായി മാറ്റിവയ്ക്കുക. ഡ്രൈ ഫ്രൂട്ട്‌സ് (ഉണക്കമുന്തിരി, ഡ്രൈ ചെറി, കശുവണ്ടി, ബദാം, ടുട്ടി ഫ്രൂട്ടി, ഉണങ്ങിയ അത്തിപ്പഴം, റമ്മിൽ കുതിർത്തത് അല്ലെങ്കിൽ 3 ഓറഞ്ചിൻ്റെ നീര്, കുറഞ്ഞത് 3 ദിവസമെങ്കിലും) മുക്കിവയ്ക്കുക. കുതിർത്ത ഡ്രൈ ഫ്രൂട്ട്‌സ്, അടുത്തത്, കുതിർത്ത റം പിന്നീടുള്ള ഉപയോഗത്തിനായി ഒരു കുപ്പിയിൽ സൂക്ഷിക്കുക. കുതിർത്ത ഡ്രൈ ഫ്രൂട്ട്‌സും ഓറഞ്ചിൻ്റെ നീരും സോസ് പാനിൽ വയ്ക്കുക. ഇത് മൂടി, ഇടത്തരം ചൂടിൽ വയ്ക്കുക, ജ്യൂസ് ആഗിരണം ചെയ്യപ്പെടുന്നതുവരെ പാകം ചെയ്യാൻ അനുവദിക്കുക. നിങ്ങൾ ഒരു നോൺ-ആൽക്കഹോൾ പതിപ്പ് ഉണ്ടാക്കുകയാണെങ്കിൽ, ഡ്രൈ ഫ്രൂട്ട്സ് 3 ഓറഞ്ചിൻ്റെ ജ്യൂസിൽ രാത്രി അല്ലെങ്കിൽ കുറഞ്ഞത് രണ്ട് മണിക്കൂറെങ്കിലും മുക്കിവയ്ക്കുക. കേക്ക് ബേക്കിംഗ് ചെയ്യുമ്പോൾ, എല്ലാ ജ്യൂസുകളും ആഗിരണം ചെയ്യപ്പെടുന്നതുവരെ അതേ ജ്യൂസിൽ വേവിക്കുക. ചില കാരണങ്ങളാൽ നിങ്ങൾ പഴങ്ങൾ മുൻകൂട്ടി കുതിർത്തിട്ടില്ലെങ്കിൽ, 50-50 റമ്മും ഓറഞ്ച് ജ്യൂസും ചേർത്ത് തൽക്ഷണം കുതിർത്ത് വേവിച്ചാൽ കുറഞ്ഞ സമയത്തിനുള്ളിൽ രുചിയുടെ തീവ്രത ലഭിക്കും. മികച്ച ഫലം ലഭിക്കുന്നതിന്, പഴം മുൻകൂട്ടി കുതിർത്ത് വയ്ക്കുന്നത് ശുപാർശ ചെയ്യുന്നു. അടുത്തതായി, വേവിച്ച ഡ്രൈ ഫ്രൂട്ട്‌സ് ഒരു പ്ലേറ്റിൽ പരത്തി പൂർണ്ണമായും തണുക്കാൻ അനുവദിക്കുക. ഈ ഘട്ടത്തിൽ, ഓവൻ 180 സി വരെ ചൂടാക്കുക. ഒരു വലിയ മിക്‌സിംഗ് പാത്രത്തിൽ, എല്ലാ ആവശ്യത്തിനും മൈദ, ബേക്കിംഗ് പൗഡർ, ബേക്കിംഗ് സോഡ, എല്ലാ മസാലപ്പൊടികളും ഒരുമിച്ച് അരിച്ചെടുക്കുക. ഇത് മാറ്റി വയ്ക്കുക. ബേക്കിംഗ് സമയത്ത് പഴങ്ങൾ കേക്കിൻ്റെ അടിയിലേക്ക് വീഴാതിരിക്കാനാണ് മാവിൽ പഴങ്ങൾ എറിയുന്നത്. കേക്കിൽ പഴങ്ങൾ പുരട്ടിയിട്ടുണ്ടെന്ന് ഇത് ഉറപ്പാക്കും. വെണ്ണ, നെയ്യ്, മുട്ടയുടെ മഞ്ഞക്കരു, ആവണക്കപ്പൊടി എന്നിവ ഇളം നിറമാകുന്നതുവരെ ക്രീം പുരട്ടുക. വെണ്ണ മിശ്രിതത്തിലേക്ക് മാവ്-പഴങ്ങൾ ചേർക്കുക, പാൽ ഉപയോഗിച്ച് മാറിമാറി ചേർക്കുക. ഫ്രൂട്ട് മിശ്രിതത്തിൻ്റെ കൂട്ടിച്ചേർക്കലുകളോടെ നിങ്ങൾ ആരംഭിക്കുന്നതും അവസാനിക്കുന്നതും ഉറപ്പാക്കുക. സ്പാറ്റുല ഉപയോഗിച്ച് നന്നായി ഇളക്കുക. 4 ടേബിൾസ്പൂൺ പഞ്ചസാരയും നാരങ്ങാനീരും ചേർത്ത് വീണ്ടും അടിക്കുക. ഇനി മുട്ടയുടെ വെള്ള കേക്ക് മിശ്രിതത്തിലേക്ക് മടക്കുക. കാരമലും ഓറഞ്ച് കാൻഡിഡ് പീലും ചേർത്ത് ഒരു സ്പാറ്റുല ഉപയോഗിച്ച് ഇളക്കുക. തയ്യാറാക്കിയ പാത്രത്തിലേക്ക് പ്ലം കേക്ക് ബാറ്റർ ഒഴിക്കുക. ഇത് നന്നായി മിനുസപ്പെടുത്തുക (നിങ്ങൾക്ക് തുല്യമല്ലാത്ത ടോപ്പ് ഇഷ്ടമാണെങ്കിൽ, ഒരു ചെറിയ പിടി മൈദ ഡ്രൈ ഫ്രൂട്ട്‌സ് സംഭരിച്ച് മുകളിൽ വിതറുക അല്ലെങ്കിൽ കുറച്ച് ബ്ലാഞ്ച് ചെയ്ത് തൊലി കളഞ്ഞ ബദാം ഒരു പാറ്റേണിൽ നിരത്തുക അല്ലെങ്കിൽ മുകളിൽ കുറച്ച് ഉണങ്ങിയ ചെറി വിതറാം ) പ്ലം കേക്ക് പ്രീ ഹീറ്റ് ചെയ്ത ഓവനിൽ വെച്ച് ഏകദേശം 90 - 105 മിനുട്ട് സെൻ്റർ വരെ ബേക്ക് ചെയ്യുക. 60 മിനിറ്റിനു ശേഷം, പാചക സമയം ഒരു അടുപ്പിൽ നിന്ന് മറ്റൊന്നിലേക്ക് വ്യത്യാസപ്പെടും. പാകം ചെയ്യുമ്പോൾ, അടുപ്പിൽ നിന്ന് ടിൻ മാറ്റി ചെറുതായി തണുക്കാൻ കേക്ക് ടിന്നിൽ വയ്ക്കുക. കേക്ക് ഇപ്പോഴും ചൂടായിരിക്കുമ്പോൾ 1/8 കപ്പ് റമ്മോ ബ്രാണ്ടിയോ കേക്കിന് മുകളിൽ ഒഴിച്ച് ടിന്നിൽ നിന്ന് മാറ്റി തണുപ്പിക്കുക. കേക്ക് പൂർണ്ണമായും തണുത്തുകഴിഞ്ഞാൽ, അതിന്മേൽ അൽപ്പം ആൽക്കഹോൾ വിതറി ക്ളിംഗ്ഫിലിം കൊണ്ട് ദൃഡമായി മൂടുക. പിന്നീട് ഇത് അലുമിനിയം ഫോയിലിലോ ബ്രൗൺ പേപ്പറിലോ പൊതിഞ്ഞ് ഇരുണ്ട തണുത്ത സ്ഥലത്ത് സൂക്ഷിക്കുക.കേരള സ്റ്റൈൽ പ്ലം കേക്കിന് മുകളിൽ 4 ദിവസത്തിലോ ആഴ്ചയിലോ ഒരിക്കൽ അൽപ്പം മദ്യം വിതറുക, ഇത് രുചിയുടെ ആഴം കൂട്ടുന്നു. നിങ്ങൾക്ക് ഇത് സൂക്ഷിക്കാൻ താൽപ്പര്യമില്ലെങ്കിൽ, നിങ്ങൾക്ക് ഇത് ഫ്രിഡ്ജിൽ വയ്ക്കാം, കൂടാതെ ക്രിസ്മസിന് മുമ്പോ കേക്കറിക്ക് വിളമ്പാൻ മറക്കരുത്. കുറഞ്ഞത് 3 മാസം.
</t>
  </si>
  <si>
    <t>https://www.archanaskitchen.com/kerala-style-christmas-plum-cake-recipe</t>
  </si>
  <si>
    <t>Kerala Style Chemmeen Moilee Recipe - Prawn Curry</t>
  </si>
  <si>
    <t>Kerala Style Chemmeen Moilee Recipe - കൊഞ്ച് കറി</t>
  </si>
  <si>
    <t>500 ഗ്രാം ചെമ്മീൻ - വൃത്തിയാക്കി വേവിച്ചെടുത്തത്, 1/2 കപ്പ് മുത്ത് ഉള്ളി (സാമ്പാർ ഉള്ളി), 1 തക്കാളി - അരിഞ്ഞത്, 1 പച്ചമുളക് - കീറിയത്, 1 ഇഞ്ച് ഇഞ്ചി, 4 ഗ്രാമ്പൂ വെളുത്തുള്ളി, 1 ഇഞ്ച് കറുവപ്പട്ട (ഡാൽചിനി), 1 ഏലം (ഇലച്ചി) കായ്കൾ / വിത്ത് 1 ടീസ്പൂൺ ഇലകൾ, ഒരു കപ്പ് തേങ്ങാപ്പാൽ, 1 ടീസ്പൂൺ മഞ്ഞൾപ്പൊടി (ഹാൽദി), 1 നാരങ്ങ നീര്, 1 ടീസ്പൂൺ പഞ്ചസാര, ഉപ്പ് - പാകത്തിന്, വെളിച്ചെണ്ണ - പാചകത്തിന്</t>
  </si>
  <si>
    <t>500 grams Shrimps - cleaned and deveined,1/2 cup Pearl onions (Sambar Onions),1 Tomato - chopped,1 Green Chilli - slit,1 inch Ginger,4 cloves Garlic,1 inch Cinnamon Stick (Dalchini),1 Cardamom (Elaichi) Pods/Seeds,1 teaspoon Whole Black Peppercorns,1 sprig Curry leaves,1 cup Coconut milk,1 teaspoon Turmeric powder (Haldi),1 Lemon juice,1 teaspoon Sugar,Salt - to taste,Coconut Oil - for cooking</t>
  </si>
  <si>
    <t xml:space="preserve">To begin making the Kerala Style Chemmeen Moilee Recipe - Prawn Curry, marinate the shrimps with turmeric powder and lemon juice and keep it aside for at least 15 minutes.Heat a kadai with oil, add cinnamon, cardamom pods, pepper corns and allow it to sizzle. Add whole shallots and saute until they turn slightly brown.Once done add chopped ginger, garlic and saute until they soften. Now add the tomatoes and salt to taste. Do not mash them completely. Cook till the tomatoes just turn soft.Once done add coconut milk along with turmeric powder and salt and bring it to a boil. Stir in the sugar and slowly drop in the shrimps and cook in a medium heat for about 20 minutes till the shrimp are cooked.Once done turn off the heat and transfer the Kerala Style Chemmeen Moilee to a serving bowl and serve hot.Serve the Kerala Style Chemmeen Moilee Recipe along with Steamed Rice or kerala parotta and Cabbage Thoran.
</t>
  </si>
  <si>
    <t xml:space="preserve">കേരള സ്റ്റൈൽ ചെമ്മീൻ മൊയ്‌ലി റെസിപ്പി - കൊഞ്ച് കറി ഉണ്ടാക്കാൻ തുടങ്ങാൻ, ചെമ്മീൻ മഞ്ഞൾപ്പൊടിയും നാരങ്ങാനീരും ചേർത്ത് മാരിനേറ്റ് ചെയ്ത് 15 മിനിറ്റെങ്കിലും വയ്ക്കുക. ഒരു കടായി എണ്ണയിൽ ചൂടാക്കുക, കറുവാപ്പട്ട, ഏലക്ക കായ്കൾ, കുരുമുളക് ചോളം എന്നിവ ചേർത്ത് ഇളക്കാൻ അനുവദിക്കുക. ചെറുതായി ബ്രൗൺ നിറമാകുന്നത് വരെ മുഴുവൻ ചെറുപയർ ചേർത്ത് വഴറ്റുക. കഴിഞ്ഞാൽ അരിഞ്ഞ ഇഞ്ചി, വെളുത്തുള്ളി എന്നിവ ചേർത്ത് മൃദുവാകുന്നത് വരെ വഴറ്റുക. ഇനി തക്കാളിയും പാകത്തിന് ഉപ്പും ചേർക്കുക. അവയെ മുഴുവനായി മാഷ് ചെയ്യരുത്. തക്കാളി മൃദുവാകുന്നത് വരെ വേവിക്കുക. കഴിഞ്ഞാൽ തേങ്ങാപ്പാലും മഞ്ഞൾപ്പൊടിയും ഉപ്പും ചേർത്ത് തിളപ്പിക്കുക. പഞ്ചസാര ചേർത്ത് ഇളക്കി, ചെമ്മീൻ പതിയെ ഇട്ട്, ചെമ്മീൻ പാകമാകുന്നതുവരെ ഏകദേശം 20 മിനിറ്റ് ഇടത്തരം ചൂടിൽ വേവിക്കുക. തീർന്ന് കഴിഞ്ഞാൽ, കേരള സ്റ്റൈൽ ചെമ്മീൻ മൊയ്‌ലി ഒരു സെർവിംഗ് ബൗളിലേക്ക് മാറ്റി ചൂടോടെ വിളമ്പുക. കേരള സ്‌റ്റൈൽ ചെമ്മീൻ മൊയ്‌ലി റെസിപ്പിയും ഓർട്ടാ ആവിയത്തൊഴിലാളി അബോട്ടാ അബോട്ടാ അബോട്ടാ റീസ്  എന്നിവയ്‌ക്കൊപ്പം വിളമ്പുക.
</t>
  </si>
  <si>
    <t>http://www.archanaskitchen.com/kerala-style-chemeen-moilee-recipe-prawn-curry</t>
  </si>
  <si>
    <t>Eggplant Foot Yam Stir Fry Recipe - Chhena Upperi Recipe</t>
  </si>
  <si>
    <t>ഛേന ഉപ്പേരി റെസിപ്പി - വഴുതന കാൽ യാം സ്റ്റിർ ഫ്രൈ റെസിപ്പി</t>
  </si>
  <si>
    <t>2 കപ് സുരൻ - കാറ്റ് ലെ,2-1/2 കപ് പാനി,8 കലി ലഹസുൻ,1 പയജ് - ബാരിക്ക് കാറ്റ് ലെ,1/2 ഛോട്ടാ ഹചം പൗഡർ,1-1/2 ഛോട്ട ചമച്ച ലാൽ മിർച്ച് പൗഡർ,1/2 ഛോട്ടാ ചമച്ച കാലി/2പറച്ചിൽ ഛോട്ട ചമച്ച സൌംഫ് പൗഡർ,1 ബഡ ചമച്ച ടെൽ,1 ഛോട്ട ചമച്ച, 6 പത്ത</t>
  </si>
  <si>
    <t>2 cups suran - chopped, 2-1 / 2 cups water, 8 cloves garlic, 1 onion - finely chopped, 1/2 teaspoon turmeric powder, 1-1 / 2 teaspoon red chilli powder, 1/2 teaspoon Black pepper powder, 1/2 teaspoon fennel powder, 1 tablespoon oil, 1 teaspoon mustard, 6 curry leaves</t>
  </si>
  <si>
    <t>To make Chhena Upperi recipe, first take a saucepan and add water and salt. Let it boil. Now add yam and cook till it is half cooked. Drain the water and keep the yam on a paper towel to dry. Heat oil in a pan. Add mustard seeds, curry leaves and let the mustard seeds crackle. After the mustard seeds crackle, add garlic, onion and cook till the onion becomes soft. Now add turmeric powder, red chili powder, fennel powder and black pepper powder. Cook for 2 minutes. After 2 minutes, add yam and mix well. Cover the pan and let it cook. If it is sticking to the bottom, add some water. Cook till the yam is cooked well. Once cooked, turn off the gas and serve. Serve Chhena Upperi recipe with curd rice or keerai sambar, rice and papad for lunch.</t>
  </si>
  <si>
    <t xml:space="preserve">ഛേന ഉപ്പേരി റെസിപ്പി ബനാനെ ഒരു സബ്സെ പഹലെ ഒരു സോസ്പൈൻ മെം പാനി ആൻഡ് നമക് ഡാലെ. ഇസക്കോ ഉബലനെ ദേ. അബ് ഇസമെം സുരൻ ഡാലെയും ആധാ പകനെ തക്ക പക ലേ. പാനി നികാൽ ലെയും സുരൻ കോ സുഖനെയും കുറിച്ച് പെപ്പർ ടവൽ പർ രഖ് ദേ. ഒരു കഥ അതുപോലെ റായ്, കഠി പട്ട ദാലെ കൂടാതെ റായ് കോ തഡകനേ ദേ. ലഹസുൻ, പ്യാജ് ഡാലെ, കൂടാതെ പ്യാജ് എന്നിവയും വായിക്കുക. അബ് ഇതുപോലെ ഹൽദി പോഡർ, ലാൽ മിർച്ച് പൗഡർ, സൗംഫ് പൗഡർ കൂടാതെ കാലി മിർച്ച് പാടും. 2 മിനിറ്റിനുള്ളിൽ. 2 മിനിറ്റ് ബാദ്, സുരൻ ഡാലെ കൂടാതെ മില ലെ. കഠൈ കോ ഠകെ ഒപ്പം പകനെ ദേ. അഗർ നിച്ചേ സേ ചിപക് രഹാ ഹേ തോ തൊഡാ പാനി ഡാലേ. സുരൻ കെ അച്ഛി തരഹ് സെ പക് ജാനേ തക് പകോ. പക് ജാനെ കെ ബാദ്, ഗെയ്സ് ബന്ദ് കരെം കൂടാതെ പരോസ്. ചാവലും പാപവും ദിനം പ്രതി. 
</t>
  </si>
  <si>
    <t>http://www.archanaskitchen.com/chena-mezhukuparrati-recipe-eggplant-foot-yam-stir-fry-in-hindi</t>
  </si>
  <si>
    <t>Prawns Theeyal Recipe (Chemeen Theeyal)</t>
  </si>
  <si>
    <t>ചെമ്മീൻ തീയൽ റെസിപ്പി (ചെമീൻ തീയൽ)</t>
  </si>
  <si>
    <t>500 ഗ്രാം കൊഞ്ച് - കടുവ, 1 കപ്പ് പുതിയ തേങ്ങ - അരച്ചത്, 2 ടേബിൾസ്പൂൺ മല്ലി (ധാനിയ) വിത്തുകൾ, 4 ഉണക്കമുളക്, 8 ഗ്രാമ്പൂ വെളുത്തുള്ളി - നീളത്തിൽ പിളർന്നത്, 1 ടീസ്പൂൺ മേത്തി വിത്ത് (ഉലുവ), 1-1/2 ടീസ്പൂൺ ജീരകം (ജീരകം), മഞ്ഞൾപ്പൊടി - 1 ടീസ്പൂൺ വിത്ത്, കറിവേപ്പില - കുറച്ച്, 30 ഗ്രാം പുളി, ഉപ്പ് - പാകത്തിന്</t>
  </si>
  <si>
    <t>500 grams Prawns - tiger,1 cup Fresh coconut - grated,2 tablespoons Coriander (Dhania) Seeds,4 Dry Red Chillies,8 Shallots,8 cloves Garlic - split lengthwise,1 teaspoon Methi Seeds (Fenugreek Seeds),1-1/2 teaspoon Cumin seeds (Jeera),Turmeric powder (Haldi) - a pinch (optional),1 teaspoon Mustard seeds,Curry leaves - Few,30 grams Tamarind,Salt - to taste</t>
  </si>
  <si>
    <t xml:space="preserve">To begin making the Prawns Theeyal recipe, start by taking grated coconuts in a blender and blending it so it becomes fine.This will help the coconut to brown evenly and faster.In a wok/kadhai, take coconuts and start roasting on medium flame. Stir every 10 seconds to avoid burning.Once the coconuts have achieved light brown colour add coriander seeds, red chilly, some curry leaves, 2-3 shallots, cumin seeds, fenugreek, turmeric powder and roast.Once the coconut mixture is nicely roasted and achieved a deep brown colour take it off heat to cool.Once cooled blend the mixture in blender. First blend it to powder everything. Then add the tamarind pulp and little water and blend. Blend till it becomes a cohesive smooth paste.In the same wok/kadai, heat some coconut oil. Once hot, splutter some mustard seeds.Add the remaining shallots and garlic and sauté till everything turns translucent.Add curry leaves and sauté for another minute. Add the coconut paste in and give a good mix. Add 1 cup water and bring to a boil.Add salt as per taste and let it boil until the oil starts appearing on top. This will take 5-10 minutes.Now add cleaned prawns and let it cook for 3-5 minutes before switching off the flame.Serve Prawns Theeyal Recipe with hot steamed rice for a perfect weekday meal.
</t>
  </si>
  <si>
    <t xml:space="preserve">കൊഞ്ച് തീയൽ റെസിപ്പി ഉണ്ടാക്കാൻ തുടങ്ങാൻ, ഒരു ബ്ലെൻഡറിൽ അരച്ച തേങ്ങ എടുത്ത് യോജിപ്പിക്കുക, അങ്ങനെ അത് നന്നായി മാറും. ഇത് തേങ്ങ തുല്യമായും വേഗത്തിലും ബ്രൗൺ ആകാൻ സഹായിക്കും. ഒരു വോക്ക്/കടായിയിൽ, തേങ്ങ എടുത്ത് മീഡിയം തീയിൽ വറുത്ത് തുടങ്ങുക. ഓരോ 10 സെക്കൻഡിലും ഇളക്കുക. തേങ്ങയ്ക്ക് ഇളം തവിട്ട് നിറം ലഭിച്ചുകഴിഞ്ഞാൽ, മല്ലിയില, ചുവന്ന മുളക്, കുറച്ച് കറിവേപ്പില, 2-3 ചെറുപയർ, ജീരകം, ഉലുവ, മഞ്ഞൾപൊടി, വറുത്ത് എന്നിവ ചേർക്കുക. തേങ്ങാ മിശ്രിതം നന്നായി വറുത്ത് തവിട്ട് നിറത്തിൽ വന്നതിന് ശേഷം മിശ്രിതം തണുക്കാൻ ചൂടിൽ നിന്ന് എടുക്കുക. ആദ്യം എല്ലാം പൊടിച്ചെടുക്കുക. അതിനുശേഷം പുളിയുടെ പൾപ്പും കുറച്ച് വെള്ളവും ചേർത്ത് ഇളക്കുക. ഇത് യോജിച്ച മിനുസമാർന്ന പേസ്റ്റ് ആകുന്നതുവരെ ഇളക്കുക. അതേ വോക്കിൽ/കടയിൽ, കുറച്ച് വെളിച്ചെണ്ണ ചൂടാക്കുക. ചൂടായിക്കഴിഞ്ഞാൽ, കുറച്ച് കടുക് പൊട്ടിക്കുക. ബാക്കിയുള്ള ചെറുപയർ, വെളുത്തുള്ളി എന്നിവ ചേർത്ത് എല്ലാം അർദ്ധസുതാര്യമാകുന്നതുവരെ വഴറ്റുക. കറിവേപ്പില ചേർത്ത് മറ്റൊരു മിനിറ്റ് വഴറ്റുക. ഇതിലേക്ക് തേങ്ങാ പേസ്റ്റ് ചേർത്ത് നന്നായി മിക്സ് ചെയ്യുക. 1 കപ്പ് വെള്ളം ചേർത്ത് തിളപ്പിക്കുക. പാകത്തിന് ഉപ്പ് ചേർക്കുക, എണ്ണ മുകളിൽ പ്രത്യക്ഷപ്പെടുന്നത് വരെ തിളപ്പിക്കുക. ഇതിന് 5-10 മിനിറ്റ് എടുക്കും. ഇപ്പോൾ വൃത്തിയാക്കിയ ചെമ്മീൻ ചേർക്കുക, തീ ഓഫ് ചെയ്യുന്നതിന് മുമ്പ് 3-5 മിനിറ്റ് വേവിക്കുക. പ്രൗൺസ് തീയൽ പാചകക്കുറിപ്പ് ചൂടുള്ള ആവിയിൽ വേവിച്ച ചോറിനൊപ്പം വിളമ്പുക.
</t>
  </si>
  <si>
    <t>http://www.archanaskitchen.com/prawns-theeyal-recipe-chemeen-theeyal</t>
  </si>
  <si>
    <t>Kerala Style Eggplant Curry Recipe</t>
  </si>
  <si>
    <t>കേരള സ്റ്റൈൽ വഴുതനങ്ങ കറി പാചകക്കുറിപ്പ്</t>
  </si>
  <si>
    <t>2 വഴുതനങ്ങ (ബൈംഗൻ / വഴുതനങ്ങ) - ചെറുതായി അരിഞ്ഞത് (സാധാരണ ചെറിയ വഴുതനങ്ങ ഉപയോഗിക്കുക, ബൈംഗൻ ഭർത്തയിലല്ല ഉപയോഗിക്കുക), 1/4 ടീസ്പൂൺ കടുക്, 1 സവാള - ചെറുതായി അരിഞ്ഞത്, 1 മുതൽ 2 വരെ പച്ചമുളക് - നീളത്തിൽ കീറിയത് (മസാലകൾ സഹിഷ്ണുത അനുസരിച്ച് ഉപയോഗിക്കുക), 1/2 ടേബിൾസ്പൂൺ കാശ്മീരി മഞ്ഞൾപ്പൊടി (ഹാൽദി), 1/2 ടേബിൾസ്പൂൺ മല്ലിപ്പൊടി (ധാനിയ), 1/2 ടീസ്പൂൺ പെരുംജീരകം (സൗൻഫ്) - നിങ്ങൾക്ക് ജീരകം, 1/2 ടീസ്പൂൺ മേത്തി വിത്ത് (ഉലുവ) - പൊടിച്ചത്, 1 തക്കാളി - ചെറുതായി അരിഞ്ഞത്, 1/2 കപ്പ് വെളിച്ചെണ്ണ - 2 കപ്പ്, വെളിച്ചെണ്ണ - 2 കപ്പ്. തണ്ട് കറിവേപ്പില, 3 തണ്ട് മല്ലി (ധാനിയ) ഇല - ചെറുതായി അരിഞ്ഞത് (ഓപ്ഷണൽ)</t>
  </si>
  <si>
    <t>2 Brinjal (Baingan / Eggplant) - finely chopped (use the regular small eggplant and not the ones used for baingan bhartha),1/4 teaspoon Mustard seeds,1 Onion - finely chopped,1 to 2 Green Chillies - slit lengthwise (use as per spice tolerance) 1/2 tablespoon kashmiri chili powder (use as per spice tolerance),1 pinch Turmeric powder (Haldi),1/2 tablespoon Coriander Powder (Dhania),1/2 teaspoon Fennel seeds (Saunf) - in case you don't have fennel seeds you could use cumin seeds,1/2 teaspoon Methi Seeds (Fenugreek Seeds) - grounded,1 Tomatoes - finely chopped,1/2 cup Coconut milk - thick,Coconut Oil - or vegetable oil as required,2 sprig Curry leaves,3 sprig Coriander (Dhania) Leaves - finely chopped (optional)</t>
  </si>
  <si>
    <t xml:space="preserve">To begin making the Kerala Style Eggplant Curry recipe, heat oil in a heavy bottomed pan and shallow fry the eggplant till slightly crisp.Remove the fried eggplant from the oil and drain on kitchen towel. Keep it aside.Into the same wok, add the mustard seeds and allow it to splutter.Add the fennel seeds and saute till raw smell disappears. Now add the green chillies, onions and curry leaves and saute till onions turn light brown.Once the onions have browned well, add the chilli powder, coriander powder and turmeric powder and saute till raw smell disappears.Add the chopped tomato and saute for a few seconds till all the ingredients have combined well.Add enough water (add according to how much gravy you would want. I like a thick curry, so did not add too much water) and cover and cook for a few minutes. Allow the curry to boil well and eggplant to soften a little.Now add the thick coconut milk and stir well. Cook till small bubbles appear here and there. Switch off flame and add the chopped coriander leaves. (optional)Your Kerala Style Eggplant Curry is ready to be served.Serve Kerala Style Eggplant Curry with Roti or steamed rice for a weekday lunch.
</t>
  </si>
  <si>
    <t xml:space="preserve">കേരള സ്‌റ്റൈൽ വഴുതന കറി പാചകക്കുറിപ്പ് തയ്യാറാക്കാൻ തുടങ്ങുന്നതിന്, അടിയിൽ കട്ടിയുള്ള ഒരു പാനിൽ എണ്ണ ചൂടാക്കി വഴുതനങ്ങ ചെറുതായി മൊരിഞ്ഞത് വരെ വറുത്തെടുക്കുക. വറുത്ത വഴുതനങ്ങ എണ്ണയിൽ നിന്ന് മാറ്റി അടുക്കള ടവ്വലിൽ വറ്റിക്കുക. ഇത് മാറ്റി വയ്ക്കുക.അതേ ചീനച്ചട്ടിയിൽ കടുക് പൊട്ടിക്കാൻ അനുവദിക്കുക. പെരുംജീരകം ചേർത്ത് അസംസ്കൃത മണം മാറുന്നത് വരെ വഴറ്റുക. ഇനി പച്ചമുളക്, ഉള്ളി, കറിവേപ്പില എന്നിവ ചേർത്ത് സവാള ഇളം ബ്രൗൺ നിറമാകുന്നതുവരെ വഴറ്റുക. ഉള്ളി നന്നായി ബ്രൗൺ നിറമാകുമ്പോൾ മുളകുപൊടി, മല്ലിപ്പൊടി, മഞ്ഞൾപൊടി എന്നിവ ചേർത്ത് അസംസ്കൃത മണം മാറുന്നത് വരെ വഴറ്റുക. തക്കാളി അരിഞ്ഞത് ചേർത്ത് എല്ലാ ചേരുവകളും നന്നായി ചേരുന്നത് വരെ കുറച്ച് നിമിഷങ്ങൾ വഴറ്റുക. ധാരാളം വെള്ളം) കൂടാതെ കുറച്ച് മിനിറ്റ് അടച്ച് വേവിക്കുക. കറി നന്നായി തിളപ്പിക്കാനും വഴുതനങ്ങ അൽപം മൃദുവാക്കാനും അനുവദിക്കുക.ഇപ്പോൾ കട്ടിയുള്ള തേങ്ങാപ്പാൽ ചേർത്ത് നന്നായി ഇളക്കുക. ചെറിയ കുമിളകൾ അവിടെയും ഇവിടെയും പ്രത്യക്ഷപ്പെടുന്നതുവരെ വേവിക്കുക. തീ ഓഫ് ചെയ്ത് അരിഞ്ഞ മല്ലിയില ചേർക്കുക. (ഓപ്ഷണൽ) നിങ്ങളുടെ കേരള സ്‌റ്റൈൽ വഴുതനങ്ങ കറി വിളമ്പാൻ തയ്യാറാണ്. കേരള സ്‌റ്റൈൽ വഴുതനങ്ങ കറി റൊട്ടിയ്‌ക്കൊപ്പം അല്ലെങ്കിൽ ആവിയിൽ വേവിച്ച ചോറിനൊപ്പം ഒരു പ്രവൃത്തിദിവസത്തെ ഉച്ചഭക്ഷണത്തിന് വിളമ്പുക.
</t>
  </si>
  <si>
    <t>https://www.archanaskitchen.com/kerala-style-eggplant-curry-recipe</t>
  </si>
  <si>
    <t>Kerala Style Jack Fruit Seeds Stir Fry (Recipe In Hindi)</t>
  </si>
  <si>
    <t>കേരള സ്റ്റൈൽ ജാക്ക് ഫ്രൂട്ട് സീഡ്സ് സ്റ്റൈർ ഫ്രൈ (ഹിന്ദിയിൽ പാചകക്കുറിപ്പ്)</t>
  </si>
  <si>
    <t>3 കപ്പ്  കടൽ ബീജ് - സ്‌റ്റീം കിയേ ഹ്യൂഎ,1 പ്യാജ് - പാതാള കട ഹുയാ,4 ലോങ്ങ് ലോട്ടുകൾ, 1 ചമച്ച ലാൽ മിർച്ച് പൗഡർ,1/2 ഛോട്ടാ ചമച്ച ഹൽദി പോഡർ,1/2 ഛൊചട പൗഡർ,1/2 ഛോട്ട ചമച്ച ജീര,1/2 ഛോട്ട ചമച്ച റായ്,1/4 കപ്പ് നാരിയൽ - കസ ആ, അനുസാർ,തെൽ - പ്രയോഗം അനുസാർ</t>
  </si>
  <si>
    <t>3 cups jackfruit seeds - steamed, 1 onion - thinly sliced, 4 cloves garlic, 1 tsp red chili powder, 1/2 tsp turmeric powder, 1/2 tsp coriander powder, 1/2 tsp cumin seeds, 1/2 tsp mustard seeds, 1/4 cup coconut - grated, Salt - according to taste, Oil - as per use</t>
  </si>
  <si>
    <t>To make Kerala Jackfruit Sabzi, first steam the jackfruit seeds. Once it is steamed well, remove its peel. Keep the jackfruit seeds aside in a bowl. Now heat oil in a pan. Add mustard seeds to it and let it cook for 10 to 15 seconds. After that add onions to it and cook it till it becomes little soft. Add jackfruit to the pan and mix it well. Add the remaining masalas, add some water and mix it once again. Cover the pan and cook well till the masala and jackfruit are cooked. After cooking, add coconut, mix it and serve hot.</t>
  </si>
  <si>
    <t xml:space="preserve">കേരളത്തിൻ്റെ കടൽ സബ്‌ജി ബനനെ പോലെയുള്ളവയാണ് ഒരു ബാർ വോ അഛി തരഹ് സെ സ്‌റ്റീം ഹോ ജാഎ, ഉസക ഛിലക നികൽ ലെ.കോട്ടഹൽ ബികോം ഞാൻ അൽഗ സേ രഖ് ദേ.അബ് ഒരു കഠായി മെം ടെൽ ഗരം കരെ. ഉസമേ റായ് ഡാലെയും ഉസെ 10 സെ 15 സെകണ്ട്സ് തക്ക പകനേ ദേ. ഉസകെ ബാദ് ഉസമേ പ്യാജ് ദാലെയും ഉസെ തൊഡാ നരം ഹോനേ തക് പകയേ. കഥയിൽ കടൽ വിലയേ കൂടാതെ അച്ഛി തരഹ് സെ മിലാ ലെ. മിലായെം ഒപ്പം ഒരു ബാർ ഫിർ മിലാ ലെ. കഠൈ കോ ഠകെയും മസാലയും കടഹൽ പകനേ തക്ക അച്ഛി തരഹ് സെ പകയേ. പകനെ കെ ബാദ് നാറിയൽ ഡാലെ, മിലായെ കൂടാതെ ഗരമ ഗരം പരോസ്. 
</t>
  </si>
  <si>
    <t>https://www.archanaskitchen.com/kerala-style-jack-fruit-seeds-stir-fry-recipe-in-hindi</t>
  </si>
  <si>
    <t>Mulakushyam Recipe - A Mixed Vegetable Lentil Curry</t>
  </si>
  <si>
    <t>മുളകുഷ്യം റെസിപ്പി - ഒരു മിക്സഡ് വെജിറ്റബിൾ ലെൻ്റൽ കറി</t>
  </si>
  <si>
    <t>1/2 കപ്പ് മഞ്ഞ മൂങ്ങ ദാൽ (പിളർന്നത്), 1 ചായോട്ടെ - തൊലികളഞ്ഞ് ചെറുതായി അരിഞ്ഞത്, 1 ഉരുളക്കിഴങ്ങ് (ആലു) - തൊലികളഞ്ഞ് ചെറുതായി അരിഞ്ഞത്, 2 കാരറ്റ് (ഗജ്ജർ) - തൊലികളഞ്ഞ് ചെറുതായി അരിഞ്ഞത്, 1/4 കപ്പ് ഗ്രീൻ പീസ് (മറ്റാർ), 2 പച്ചമുളക് - കഷണം, 1 ടീസ്പൂൺ മഞ്ഞൾപ്പൊടി - ഒരു ടീസ്പൂൺ മഞ്ഞൾപ്പൊടി തണ്ട്, 1/4 ടീസ്പൂൺ കുരുമുളക് പൊടി, 1 ടേബിൾസ്പൂൺ വെളിച്ചെണ്ണ</t>
  </si>
  <si>
    <t>1/2 cup Yellow Moong Dal (Split),1 Chayote - peeled and diced,1 Potato (Aloo) - peeled and diced,2 Carrot (Gajjar) - peeled and diced,1/4 cup Green peas (Matar),2 Green Chillies - slit,1 teaspoon Turmeric powder (Haldi),Salt - to taste,Curry leaves - a sprig,1/4 teaspoon Black pepper powder,1 tablespoon Coconut Oil</t>
  </si>
  <si>
    <t xml:space="preserve">To begin making the Mulakushyam Recipe - A Mixed Vegetable Lentil Curry, first prepare the vegetables by peeling and cutting them. Wash the dal and keep aside.We will now cook everything a single pot, by either using a pressure cooker or using a sauce pan method. If using the sauce pan method, follow the same instructions as below and cook until the dal is soft and cooked through.Place the washed dal, the chopped vegetable, slit green chillies into the pressure cooker. Add the turmeric,salt and about 2 cups of water. Place the weight on and pressure cook until you hear two whistles. After 2 whistles, turn the heat to low and simmer for a couple of minutes and turn off the heat.Allow the pressure to release naturally. Once the pressure has released, add the curry leaves, the coconut oil, salt and pepper to taste. Stir and give the Mulakushyama brisk boil. Turn off the heat and transfer to a serving bowl.Serve the Mulakushyam along with Steamed Rice , Elai Vadam and Pisarna Manga Recipe for a quick and wholesome weeknight dinner.
</t>
  </si>
  <si>
    <t xml:space="preserve">മുളകുഷ്യം റെസിപ്പി - ഒരു മിക്സഡ് വെജിറ്റബിൾ ലെൻ്റിൽ കറി ഉണ്ടാക്കാൻ തുടങ്ങാൻ, ആദ്യം പച്ചക്കറികൾ തൊലി കളഞ്ഞ് മുറിച്ച് തയ്യാറാക്കുക. പരിപ്പ് കഴുകി മാറ്റി വയ്ക്കുക. ഞങ്ങൾ ഇപ്പോൾ എല്ലാം ഒരു പാത്രത്തിൽ ഒരു പ്രഷർ കുക്കർ ഉപയോഗിച്ചോ സോസ് പാൻ രീതി ഉപയോഗിച്ചോ പാകം ചെയ്യും. സോസ് പാൻ രീതിയാണ് ഉപയോഗിക്കുന്നതെങ്കിൽ, ചുവടെയുള്ള അതേ നിർദ്ദേശങ്ങൾ പാലിക്കുക, പരിപ്പ് മൃദുവായതും പാകം ചെയ്യുന്നതുവരെ വേവിക്കുക. കഴുകിയ പരിപ്പ്, അരിഞ്ഞ പച്ചക്കറികൾ, പച്ചമുളക് എന്നിവ പ്രഷർ കുക്കറിൽ വയ്ക്കുക. മഞ്ഞൾ, ഉപ്പ്, ഏകദേശം 2 കപ്പ് വെള്ളം എന്നിവ ചേർക്കുക. രണ്ട് വിസിലുകൾ കേൾക്കുന്നത് വരെ വെയ്റ്റ് ഓൺ ചെയ്ത് പ്രഷർ കുക്ക് ചെയ്യുക. 2 വിസിലുകൾക്ക് ശേഷം, തീ ചെറുതാക്കി കുറച്ച് മിനിറ്റ് മാരിനേറ്റ് ചെയ്യുക, തീ ഓഫ് ചെയ്യുക. മർദ്ദം സ്വാഭാവികമായി പുറത്തുവരാൻ അനുവദിക്കുക. മർദ്ദം വിട്ടുകഴിഞ്ഞാൽ, കറിവേപ്പില, വെളിച്ചെണ്ണ, ഉപ്പ്, കുരുമുളക് എന്നിവ ചേർക്കുക. ഇളക്കി മുളകുശ്യാമ വേഗത്തിൽ തിളപ്പിക്കുക. തീ ഓഫ് ചെയ്‌ത് സെർവിംഗ് ബൗളിലേക്ക് മാറ്റുക. വേഗത്തിലുള്ളതും ആരോഗ്യകരവുമായ ആഴ്‌ച രാത്രി അത്താഴത്തിന് മുളകുഷ്യം ആവിയിൽ വേവിച്ച ചോറ് , എലൈ വടം , പിസാർണ മാങ്ങാ പാചകക്കുറിപ്പ് എന്നിവയ്‌ക്കൊപ്പം വിളമ്പുക.
</t>
  </si>
  <si>
    <t>https://www.archanaskitchen.com/molagooshyam-recipe-a-mixed-vegetable-lentil-curry</t>
  </si>
  <si>
    <t>Cabbage Thoran Recipe - Cabbage Thoran/Poriyal Recipe</t>
  </si>
  <si>
    <t>പത്ത ഗോഭി തോരൻ റെസിപ്പി - Cabbage Thoran/Poriyal Recipe</t>
  </si>
  <si>
    <t>1 പട്ട ഗോഭി - ധോക്കർ ബാരിക്ക് കാറ്റ് ലെ,1/2 കപ ഹരേ മട്ടർ - വൈകൽപിക്,1 ടഹനി കത്ത്, 1 പഠ് ഛോട്ട ചമ്മച് റായ്,1 സുഖി ലാൽ മിർച്ച്,1 ഛോട്ട ചമ്മച് സഫോദ് ഉരദ, 1/4 ഛ ചമ്മച് ഹൽദി പൗഡർ,നമക് - സ്വാദ് അനുസാർ,1 ഛോട്ട ചമ്മച് ടെൽ - പ്രയോഗ് അനുസാർ,5 ചമ്മച് നാരിയൽ - കസ് ലെ,6 ഛോട്ടേ പയജ് - കാറ്റ് ലെ,3 കലി ലഹസുൻ - കാട്ട് ലെ,ഹരി മിർച്ച്,3 ട കഠി പത്ത</t>
  </si>
  <si>
    <t>1 cabbage - finely chopped, 1/2 cup green peas - optional, 1 sprig curry leaf, 1/4 tsp rye, 1 red chili, 1 tsp white urad dal, 1/4 tsp turmeric powder, Salt - as per taste, 1 tsp oil - as per use, 5 tbsp coconut - grated, 6 small onions - chopped, 3 cloves garlic - chopped, green chili - chopped, 3 sprig curry leaves</t>
  </si>
  <si>
    <t>To make Cabbage Thoran Recipe, first take coconut, shallots, garlic, green chillies, curry leaves in a mixer grinder and grind it. Keep it aside. Now heat oil in a pan. Add urad dal and cook till it becomes golden brown. Now add mustard seeds and let it crackle. Now add dried red chillies and cook for 10 seconds. After 10 seconds add cabbage and cook till it becomes soft. After it becomes soft add coconut paste, salt, turmeric powder and curry leaves and mix it. Cook for 3 to 5 minutes and turn off the gas. Serve Cabbage Thoran Recipe with Mixed Vegetable Sambar and Rice for lunch.</t>
  </si>
  <si>
    <t xml:space="preserve">പട്ടാ ഗോഭി തോരൻ റെസിപി ബനാനെ ഒരു സബ്സെ പഹലെ ഒരു മിക്സർ ഗ്രെയിൻഡറിൽ, നാരിയിൽ പ്യാജ്, ലഹസുൻ, ഹരി മിർച്ച്, കഠി പത്ത ദാലെ കൂടാതെ പീസ് ലെ. അൽഗ സെ രഖ് ലെ. ഇനി ഒരു കഥ അതുപോലെ ഉരദ ദാൽ ദാലെയും ഉസകെ സുനഹര ഭൂരാ ഹോനെ തക്ക പക്കാ ലേ. അബ് ഇസമെൻ റായ് ഡാലെയും തഡകനേയും ദേ.അബ് ഇസമെം സുഖി ലാൽ മിർച്ച് ഡാലെ കൂടാതെ 10 എണ്ണം പക ലെ. 10 സെക്കണ്ടുകളുടെ ബാദ് ഇതുപോലെ പത്തഗോഭി ഡാലെയും കൂടാതെ ഉസ്കെ നരം ഹോനെ തക്ക പക്ക ലേ.  നരം ഹോനെയുടെ ബാദ് ഇതുപോലെ നാറിയൽ കാ പെസ്റ്റ്, നമക്, ഹൽദി പാദർ എന്നിവയും കടപ്പാടും. 3 സെ 5 മിനിറ്റിനുള്ളിൽ പക ലെയും ഗെയ്സ് ബന്ദ് കർ ലെയും. പട്ടാ ഗോഭി തോറൻ റെസിപി കോ മിക്‌സ്ഡ് വെജിറ്റേബൽ സാംബറും ചാവലും ദിനം പ്രതി. 
</t>
  </si>
  <si>
    <t>http://www.archanaskitchen.com/cabbage-thoran-poriyal-recipe-south-indian-style-cabbage-sabzi-in-hindi</t>
  </si>
  <si>
    <t>Carrot and Beans Thoran Recipe - Carrot and Beans Thoran (Recipe In Hindi)</t>
  </si>
  <si>
    <t>गजर और बीन्स का तोरन रेसिपी - കാരറ്റും ബീൻസ് തോരനും (ഹിന്ദിയിലെ പാചകക്കുറിപ്പ്)</t>
  </si>
  <si>
    <t>3 ഗജർ - കാറ്റ് ലെ,20 ഹര ബിൻസ് - കാറ്റ് ലെ,1 പ്യാജ് - കാറ്റ് ലെ,3 ഹരി മർച്ച - സീധാ ക,1 ചമച്ച ജീര പൌഡർ,1/2 ഛോട്ട ചമച്ച ഹൽദി പാവ്ഡർ,1 ഛോട്ടാ - ചമചംചമചംചമചംചംചമചംചമച്ഛം അനുസാർ,1 ബഡാ ചമച്ച ടെൽ,1/4 ഛോട്ടാ ചമച്ച റായ്,10 കഠി പത്ത</t>
  </si>
  <si>
    <t>3 carrots - chop, 20 green beans - chop, 1 onion - chop, 3 green chillies - cut straight, 1 teaspoon cumin powder, 1/2 teaspoon turmeric powder, 1 teaspoon salt - as per taste, 1 Tablespoon oil, 1/4 teaspoon mustard, 10 curry leaves</t>
  </si>
  <si>
    <t>To make Carrot Beans Thoran, first wash and chop the carrots and beans. Now take a bowl and add chopped vegetables, onion, green chilies, cumin powder, turmeric powder, salt and mix them. Now heat oil in a pan. Add mustard seeds and curry leaves and cook for 10 seconds. After 10 seconds, add the vegetable mixture, mix it and push the pan. When the vegetables become soft, add grated coconut and mix it. Cook for another 3 minutes and then turn off the gas. Serve Carrot Beans Thoran with Mixed Vegetable Sambar and Rice for dinner.</t>
  </si>
  <si>
    <t xml:space="preserve">ഗജറും ബിൻസ് കാ തോറൻ ബനാനെയും സബ്സെ പഹലെ ഗാജറും ബീൻസ് കോ. അബ് ഒരു ബൗൾ ലെ, ഉസമേ കടി ഹ്യൂ സബ്ജി, പ്യാജ്, ഹരി മിർച്ച്, ജീരാ പാഡ, ഔദ പൌഡർ, നമക് ഡാലെ, കൂടാതെ മില ലെ.അബ് ഒരു കഥാൈ മെം ടെൽ ഗരം കരെം. ഇതുപോലെ റായ്, കഠി പട്ട ഡാലെ കൂടാതെ 10 സെക്കൻറ്സ് തക പകാഎ.10 സെക്കണ്ട്സ്, ബൈഡ് സബ്ജിയോ കാ മിക്‌സചർ ഡാലെ, മിലായേ കൂടാതെ കഠായി കോ ധക്ലെ. ജബ് സബ്ജിയ നരം ഹോ ജാഎ, അതുപോലെ തന്നെ കൈസാ ഹൂയാ നാറിയൽ ഡാലെ കൂടാതെ മിലാ ലെ. അഗേൾ 3 മിനിറ്റും പക്കായും ഫിർ ഗെയ്‌സ് ബന്ദ് കരഡെ.ഗാജറും ബീൻസ് കെ തോറൻ കോഴ്‌സും വെജിറ്റേബൽ സാംബറും ചാവലും ദിനം പ്രതി.
</t>
  </si>
  <si>
    <t>http://www.archanaskitchen.com/carrot-and-beans-thoran-recipe-in-hindi</t>
  </si>
  <si>
    <t>Baked Banana Chips Recipe</t>
  </si>
  <si>
    <t>ചുട്ടുപഴുത്ത ബനാന ചിപ്സ് പാചകക്കുറിപ്പ്</t>
  </si>
  <si>
    <t>3 പച്ച ഏത്തപ്പഴം - തൊലികളഞ്ഞ് ചെറുതായി അരിഞ്ഞത്, 1/2 ടേബിൾസ്പൂൺ കുരുമുളക് പൊടി, 1/4 ടേബിൾസ്പൂൺ കുരുമുളക് പൊടി, ഉപ്പ് - പാകത്തിന്, 1 ടേബിൾസ്പൂൺ എക്സ്ട്രാ വെർജിൻ ഒലിവ് ഓയിൽ - ടോസ് ചെയ്യാൻ</t>
  </si>
  <si>
    <t>3 Raw Banana - peeled and thinly sliced,1/2 tablespoon Paprika powder,1/4 tablespoon Black pepper powder,Salt - to taste,1 tablespoon Extra Virgin Olive Oil - to toss</t>
  </si>
  <si>
    <t>To begin making Baked Banana Chips Recipe, take a bowl, add sliced banana, paprika powder, black pepper powder, salt to taste and a bit of olive oil to coat.Mix everything well and make sure that the banana slice gets coated well with oil and masala.Preheat the oven to 200 degree celcius for about 10 minutes. Meanwhile, spread coated banana slices over the baking sheet lined with a parchment paper.Bake at 200 degree celcius for 20-25 minutes or till they become crisp. Keep checking them as different oven takes different time to bake.Serve Baked Banana Chips Recipe along with Tomato and Sunflower Seed Dip Recipe or Coconut &amp; Ricotta Dip with Banana Chips Recipe during tea time for snacking, along with a Smoothie</t>
  </si>
  <si>
    <t>ബേക്ക്ഡ് ബനാന ചിപ്‌സ് റെസിപ്പി ഉണ്ടാക്കാൻ തുടങ്ങാൻ, ഒരു ബൗളിൽ ഏത്തപ്പഴം അരിഞ്ഞത്, കുരുമുളക് പൊടി, കുരുമുളക് പൊടി, പാകത്തിന് ഉപ്പ്, ഒലീവ് ഓയിൽ എന്നിവ ചേർക്കുക.എല്ലാം നന്നായി മിക്‌സ് ചെയ്ത് ഏത്തപ്പഴ കഷ്ണം എണ്ണയും മസാലയും പുരട്ടിയതായി ഉറപ്പാക്കുക. ഏകദേശം 200 ഡിഗ്രി സെൽഷ്യസിൽ അടുപ്പ് 200 ഡിഗ്രി സെൽഷ്യസിൽ ചൂടാക്കുക. ഇതിനിടയിൽ, ഒരു കടലാസ് പേപ്പർ കൊണ്ട് പൊതിഞ്ഞ ബേക്കിംഗ് ഷീറ്റിന് മുകളിൽ പൊതിഞ്ഞ വാഴപ്പഴം പരത്തുക. വ്യത്യസ്‌ത ഓവനിൽ ബേക്ക് ചെയ്യാൻ വ്യത്യസ്‌ത സമയമെടുക്കുന്നതിനാൽ അവ പരിശോധിച്ച് കൊണ്ടിരിക്കുക. തക്കാളി, സൂര്യകാന്തി വിത്ത് ഡിപ്പ് പാചകക്കുറിപ്പ് അല്ലെങ്കിൽ കോക്കനട്ട് &amp; റിക്കോട്ട ഡിപ്പ്, ബനാന ചിപ്‌സ് എന്നിവയ്‌ക്കൊപ്പം ബേക്കഡ് ബനാന ചിപ്‌സ് പാചകക്കുറിപ്പ് ചായ സമയത്ത് ലഘുഭക്ഷണത്തിന് ഒരു സ്മൂത്തിക്കൊപ്പം വിളമ്പുക.</t>
  </si>
  <si>
    <t>http://www.archanaskitchen.com/baked-banana-chips-recipe</t>
  </si>
  <si>
    <t>Achappam Recipe | Kerala Style Fried Rose Cookies</t>
  </si>
  <si>
    <t>അച്ചപ്പം റെസിപ്പി | കേരള സ്റ്റൈൽ ഫ്രൈഡ് റോസ് കുക്കീസ്</t>
  </si>
  <si>
    <t>3 കപ്പ് അരിപ്പൊടി, 1 കപ്പ് ഐസിംഗ് പഞ്ചസാര - പൊടിച്ചത്, 1 ടീസ്പൂൺ പെരുംജീരകം (സൗൺഫ്), 1 നുള്ള് ഉപ്പ്, 1 3/4 കപ്പ് തേങ്ങാപ്പാൽ, 1 മുഴുവൻ മുട്ട, സൂര്യകാന്തി എണ്ണ - ആഴത്തിൽ വറുക്കാൻ</t>
  </si>
  <si>
    <t>3 cups Rice flour,1 cup Icing Sugar - powdered,1 teaspoon Fennel seeds (Saunf),1 pinch Salt,1 3/4 cup Coconut milk,1 Whole Eggs,Sunflower Oil - for deep frying</t>
  </si>
  <si>
    <t>To prepare Achappam Recipe | Kerala Style Fried Rose Cookies, sift flour through a sieve.In a large mixing bowl, add coconut milk and transfer the flour slowly while you keep stirring in a spatula to make a fine batter.Beat eggs in a bowl till fluffy and add it into the flour batter.Now start adding powdered sugar gradually and whisk the batter using an electric blender to avoid lumps and make a fine and smooth batter.If you find the batter to be too thick, you can adjust it with more coconut milk.Add fennel seeds and pinch of salt and give a quick stir to the batter.The consistency of the batter should neither be too thick nor too thin. Now take a thick bottomed broad frying pan and heat oil. As soon as the oil gets heated up nicely, immerse the iron/steel mold into it completely and hold on for a minute.Now take out the hot mold and immediately immerse it in the flour batter. Make sure the mold is only 3/4 immersed in batter, to ease the cookies to to transferred to oil when they are being fried.Now again dip the batter coated on the mold in hot oil completely and hold on for a minute or two, till the batter gets golden and crispy. As soon as the batter is cooked it will detach from the mold itself. Remove the mold and carefully take out the achappam from oil using a perforated ladle.Transfer the achappam to a kitchen towel to absorb excess oil.Repeat the same process with rest of the batter.Serve these Kerala Style Fried Rose Cookies (Achappam) as an evening snack along with smoothie</t>
  </si>
  <si>
    <t>അച്ചപ്പം റെസിപ്പി തയ്യാറാക്കാൻ | കേരള സ്‌റ്റൈൽ ഫ്രൈഡ് റോസ് കുക്കീസ്, ഒരു അരിപ്പയിലൂടെ മാവ് അരിച്ചെടുക്കുക.ഒരു വലിയ മിക്‌സിംഗ് പാത്രത്തിൽ തേങ്ങാപ്പാൽ ചേർത്ത് മാവ് സാവധാനം കൈമാറ്റം ചെയ്യുക. മാവ് വളരെ കട്ടിയുള്ളതായി നിങ്ങൾ കാണുന്നു, കൂടുതൽ തേങ്ങാപ്പാൽ ഉപയോഗിച്ച് നിങ്ങൾക്ക് ഇത് ക്രമീകരിക്കാം. പെരുംജീരകം വിത്തും നുള്ള് ഉപ്പും ചേർത്ത് മാവ് പെട്ടെന്ന് ഇളക്കുക. മാവിൻ്റെ സ്ഥിരത വളരെ കട്ടിയുള്ളതോ വളരെ നേർത്തതോ ആയിരിക്കരുത്. ഇനി കട്ടിയുള്ള അടിയിൽ പരന്ന ഫ്രയിംഗ് പാൻ എടുത്ത് എണ്ണ ചൂടാക്കുക. എണ്ണ നന്നായി ചൂടായാലുടൻ, ഇരുമ്പ് / സ്റ്റീൽ പൂപ്പൽ അതിൽ മുഴുവനായി മുക്കി ഒരു മിനിറ്റ് പിടിക്കുക. ഇപ്പോൾ ചൂടുള്ള പൂപ്പൽ പുറത്തെടുത്ത് ഉടൻ മൈദ മാവിൽ മുക്കുക. കുക്കികൾ വറുക്കുമ്പോൾ എണ്ണയിലേക്ക് മാറ്റുന്നത് എളുപ്പമാക്കാൻ, അച്ചിൽ 3/4 മാത്രമേ മുക്കിയിട്ടുള്ളൂവെന്ന് ഉറപ്പാക്കുക. ഇപ്പോൾ വീണ്ടും അച്ചിൽ പുരട്ടിയ ബാറ്റർ പൂർണ്ണമായും ചൂടായ എണ്ണയിൽ മുക്കി, ഒന്നോ രണ്ടോ മിനിറ്റ് പിടിക്കുക. മാവ് പാകം ചെയ്ത ഉടൻ തന്നെ അത് അച്ചിൽ നിന്ന് വേർപെടുത്തും. പൂപ്പൽ നീക്കം ചെയ്‌ത്, സുഷിരങ്ങളുള്ള കലശ ഉപയോഗിച്ച് എണ്ണയിൽ നിന്ന് അച്ചപ്പം ശ്രദ്ധാപൂർവ്വം പുറത്തെടുക്കുക. അധിക എണ്ണ ആഗിരണം ചെയ്യാൻ അച്ചപ്പം ഒരു അടുക്കള തൂവാലയിലേക്ക് മാറ്റുക. ബാക്കിയുള്ള മാവ് ഉപയോഗിച്ച് അതേ പ്രക്രിയ ആവർത്തിക്കുക. ഈ കേരള സ്‌റ്റൈൽ ഫ്രൈഡ് റോസ് കുക്കികൾ (അച്ചപ്പം) സ്മൂത്തിയ്‌ക്കൊപ്പം വൈകുന്നേരത്തെ ലഘുഭക്ഷണമായി വിളമ്പുക.</t>
  </si>
  <si>
    <t>https://www.archanaskitchen.com/achappam-recipe-kerala-style-fried-rose-cookies</t>
  </si>
  <si>
    <t>Kerala Style Mutton Stew Recipe</t>
  </si>
  <si>
    <t>കേരള സ്റ്റൈൽ മട്ടൺ സ്റ്റ്യൂ റെസിപ്പി</t>
  </si>
  <si>
    <t>250 ഗ്രാം മട്ടൺ, 2 ടേബിൾസ്പൂൺ പുതിയ തേങ്ങ - അരച്ചത്, 2 ഉള്ളി, 2 ഉരുളക്കിഴങ്ങ് (ആലു), 3 തക്കാളി, 6 പച്ചമുളക്, 8 അല്ലി വെളുത്തുള്ളി, 1 ഇഞ്ച് ഇഞ്ചി, 1 ടീസ്പൂൺ പോപ്പി വിത്ത്, 1 ഇഞ്ച് കറുവപ്പട്ട (ഡാൽചിനി), 4 ഗ്രാമ്പൂ (ലൗംഗ്), 1 ടീസ്പൂൺ മല്ലി, മല്ലിയ അരിഞ്ഞത്, സൂര്യകാന്തി എണ്ണ - ആവശ്യത്തിന്</t>
  </si>
  <si>
    <t>250 grams Mutton,2 tablespoon Fresh coconut - grated,2 Onions,2 Potatoes (Aloo),3 Tomatoes,6 Green Chillies,8 cloves Garlic,1 inch Ginger,1 teaspoon Poppy seeds,1 inch Cinnamon Stick (Dalchini),4 Cloves (Laung),1 teaspoon Coriander (Dhania) Seeds,4 sprig Coriander (Dhania) Leaves - chopped,Sunflower Oil - as required</t>
  </si>
  <si>
    <t xml:space="preserve">To begin making the Kerala Style Mutton Stew Recipe, clean and wash the mutton pieces and keep them aside.Dice the onion, chillies, and tomatoes into small pieces.Peel and dice the potatoes into four pieces and keep it aside. Grind the coriander seeds and poppy seeds separately to a fine paste. Grind the ginger and garlic together. Next add onions, chilies, tomatoes, spices and salt to the mutton and give it a good stir so that mutton pieces are coated properly.Heat the oil and add spices including poppy seeds, cinnamon, cloves and coriander seeds. Cook it for few minutes and make sure that spices are not getting burnt.Add the mutton and fry it for a while. Add just sufficient water to cook the mutton; cook till the time mutton pieces become tender and cooked.Next, add the grated coconut &amp; chopped coriander leaves. Cook it for 7 to 9 minutes on low heat and serve it hot.Serve Kerala Style Mutton Stew along with Kerala Pumpkin Pachadi and Kerala Parotta for a weekday meal.
</t>
  </si>
  <si>
    <t xml:space="preserve">കേരള സ്റ്റൈൽ മട്ടൺ സ്റ്റ്യൂ റെസിപ്പി ഉണ്ടാക്കാൻ തുടങ്ങാൻ, മട്ടൺ കഷണങ്ങൾ വൃത്തിയാക്കി കഴുകി മാറ്റി വയ്ക്കുക. ഉള്ളി, മുളക്, തക്കാളി എന്നിവ ചെറിയ കഷ്ണങ്ങളാക്കുക. ഉരുളക്കിഴങ്ങുകൾ തൊലി കളഞ്ഞ് നാല് കഷ്ണങ്ങളാക്കി മാറ്റി വയ്ക്കുക. മല്ലിയിലയും പോപ്പി വിത്തും വെവ്വേറെ നന്നായി പൊടിക്കുക. ഇഞ്ചിയും വെളുത്തുള്ളിയും ഒന്നിച്ച് പൊടിക്കുക. അടുത്തതായി മട്ടണിൽ ഉള്ളി, മുളക്, തക്കാളി, മസാലകൾ, ഉപ്പ് എന്നിവ ചേർത്ത് നന്നായി ഇളക്കുക, അങ്ങനെ ആട്ടിറച്ചി കഷണങ്ങൾ ശരിയായി പൂശുന്നു. എണ്ണ ചൂടാക്കി പോപ്പി വിത്തുകൾ, കറുവപ്പട്ട, ഗ്രാമ്പൂ, മല്ലിയില എന്നിവ ഉൾപ്പെടെയുള്ള മസാലകൾ ചേർക്കുക. കുറച്ച് മിനിറ്റ് വേവിക്കുക, മസാലകൾ കത്തുന്നില്ലെന്ന് ഉറപ്പാക്കുക. മട്ടൺ ചേർത്ത് കുറച്ച് നേരം ഫ്രൈ ചെയ്യുക. മട്ടൺ വേവിക്കാൻ ആവശ്യത്തിന് വെള്ളം ചേർക്കുക; മട്ടൺ കഷണങ്ങൾ ഇളകി വേവുന്നത് വരെ വേവിക്കുക. അടുത്തതായി, തേങ്ങ ചിരകിയതും മല്ലിയില അരിഞ്ഞതും ചേർക്കുക. കുറഞ്ഞ ചൂടിൽ 7 മുതൽ 9 മിനിറ്റ് വരെ വേവിക്കുക, അത് ഹോട്ട് സെറൈസ് ചെയ്യുക കേരള മത്തങ്ങ പച്ചടിയും കേരള മത്തങ്ങ പച്ചടിയും കേരള മത്തങ്ങ പച്ചടിയും കേരളത്തെ പരോട്ടയും ഒരു പ്രവൃത്തിദിന ഭക്ഷണത്തിനായി.
</t>
  </si>
  <si>
    <t>http://www.archanaskitchen.com/mutton-stew-kerala-style-recipe</t>
  </si>
  <si>
    <t>Chemba Arisi Thengai Paal Payasam Recipe- Red Rice Payasam</t>
  </si>
  <si>
    <t>ചെമ്പ അരിസി തേങ്ങൈ പാൽ പായസം റെസിപ്പി- റെഡ് റൈസ് പായസം</t>
  </si>
  <si>
    <t>1 കപ്പ് ചുവന്ന മട്ട അരി, 3 1/2 കപ്പ് വെള്ളം, 1/2 കപ്പ് ശർക്കര, 1 ടീസ്പൂൺ ഏലയ്ക്ക (ഇലച്ചി) പരിപ്പ്/വിത്ത്, 1 കപ്പ് തേങ്ങാപ്പാൽ, 1/4 കപ്പ് വെള്ളം, 1 ടേബിൾസ്പൂൺ നെയ്യ്, 12 കശുവണ്ടിപ്പരിപ്പ്, 2 ടേബിൾസ്പൂൺ ഉണങ്ങിയ തേങ്ങ (കൊപ്ര) - ചെറിയ കഷണങ്ങളായി മുറിക്കുക.</t>
  </si>
  <si>
    <t>1 cup Red matta rice,3 1/2 cups Water,1/2 cup Jaggery,1 teaspoon Cardamom (Elaichi) Pods/Seeds,1 cup Coconut milk,1/4 cup Water,1 tablespoon Ghee,12 Cashew nuts,2 tablespoons Dry coconut (kopra) - cut into small pieces</t>
  </si>
  <si>
    <t xml:space="preserve">To begin making Chemba Arisi Thengai Paal Payasam first wash Chemba rice well in water and soak for half an hour.Add soaked rice in a pressure cooker and add three and a half cups of water.Pressure cook rice for five whistles to get soft well cooked rice.While the rice is getting cooked keep a saucepan on medium flame add one fourth cup water and half a cup of jaggery and let the jaggery melt.This will take about five minutes on medium flame. If you like your payasam to be more sweet then u can add more jaggery.Open the pressure cooker and mash the rice lightly using a potato masher or the back of a spoon.Strain the jaggery water and mix it in with the rice. Add the cardamom powder to rice and jaggery mix. Simmer the rice and jaggery mixture for about 5 mins and add coconut milk.Simmer till the Chemba Arisi Thengai Paal Payasam becomes thick and creamy in consistency - about 5 minutes.In a tadka pan add ghee and once the ghee is hot first fry cut coconut pieces till it turns light brown in colour and then add cashew nuts in the  pan and fry till they turn golden brown.Add the fried cashew nut and coconut pieces to the Chemba Arisi Thengai Paal and serve hot. Serve Chemba Arisi Thengai Paal as a dessert with a meal of White Pumpkin Mor Kuzhambu , Steamed Rice and Kerala Style Karamani Thoran for a delicious weekend lunch.
</t>
  </si>
  <si>
    <t xml:space="preserve">ചെമ്പ അരിശി തേങ്ങാ പാൽ പായസം ഉണ്ടാക്കാൻ തുടങ്ങാൻ ആദ്യം ചെമ്പ അരി നന്നായി വെള്ളത്തിൽ കഴുകി അര മണിക്കൂർ കുതിർക്കുക. ഒരു പ്രഷർ കുക്കറിൽ കുതിർത്ത അരി ചേർത്ത് മൂന്നര കപ്പ് വെള്ളം ചേർക്കുക ഉരുകുക.ഇത് ഇടത്തരം തീയിൽ ഏകദേശം അഞ്ച് മിനിറ്റ് എടുക്കും. നിങ്ങളുടെ പായസം കൂടുതൽ മധുരമുള്ളതായിരിക്കാൻ നിങ്ങൾ ആഗ്രഹിക്കുന്നുവെങ്കിൽ, നിങ്ങൾക്ക് കൂടുതൽ ശർക്കര ചേർക്കാം. പ്രഷർ കുക്കർ തുറന്ന് ഒരു ഉരുളക്കിഴങ്ങ് മാഷോ ഒരു സ്പൂണിൻ്റെ പിൻഭാഗമോ ഉപയോഗിച്ച് അരി ചെറുതായി മാഷ് ചെയ്യുക. ശർക്കര വെള്ളം അരിച്ചെടുത്ത് ചോറുമായി കലർത്തുക. അരിയും ശർക്കരയും മിക്സിലേക്ക് ഏലയ്ക്കാപ്പൊടി ചേർക്കുക. അരിയും ശർക്കരയും മിശ്രിതം ഏകദേശം 5 മിനിറ്റ് തിളപ്പിച്ച് തേങ്ങാപ്പാൽ ചേർക്കുക. ചെമ്പ അരിസി തേങ്ങായ പാൽ പായസം കട്ടിയുള്ളതും ക്രീം പോലെയും ആകുന്നതുവരെ തിളപ്പിക്കുക - ഏകദേശം 5 മിനിറ്റ്. ഒരു തഡ്ക പാനിൽ നെയ്യ് ചേർക്കുക, നെയ്യ് ചൂടായ ശേഷം ആദ്യം തേങ്ങാ കഷണങ്ങൾ ഇളം ബ്രൗൺ നിറമാകുന്നതുവരെ വറുത്തെടുക്കുക. കശുവണ്ടിപ്പരിപ്പ് ചേർക്കുക. വറുത്ത കശുവണ്ടിയും തേങ്ങാ കഷ്ണങ്ങളും ചെമ്പ അരിസി തേങ്ങായ് പാലിലേക്ക് ചൂടാക്കി വിളമ്പുക. കിരണ അരിസി തെൻഗായ് പാൽ, വൈറ്റ് മത്തങ്ങ മോർ കുഷാംബു, ആവിയിൽ വേവിച്ച അരി, കേരള ശൈലി കരമനി തോറൻ എന്നിവ ഒരു രുചികരമായ വാരാന്ത്യ ഉച്ചഭക്ഷണത്തിനായി കരമനി തോറൻ വിളമ്പുക.
</t>
  </si>
  <si>
    <t>https://www.archanaskitchen.com/chemba-arisi-thengai-paal-payasam-recipe-red-rice-payasam</t>
  </si>
  <si>
    <t>Mulangi Thoran Recipe - Radish Stir Fry With Coconut</t>
  </si>
  <si>
    <t>മുളങ്ങി തോരൻ റെസിപ്പി - റാഡിഷ് സ്റ്റിർ ഫ്രൈ വിത്ത് തേങ്ങ</t>
  </si>
  <si>
    <t>2 മൂളി/ മുള്ളങ്കി (റാഡിഷ്) - ചതച്ചതും ആവിയിൽ വേവിച്ചതും, 1 ടീസ്പൂൺ വെളിച്ചെണ്ണ, 1 ടീസ്പൂൺ കടുക്, 1 ടീസ്പൂൺ ജീരകം (ജീര), 8 കറിവേപ്പില, 1/2 ടീസ്പൂൺ മഞ്ഞൾപ്പൊടി (ഹാൽദി), 1/4 കപ്പ് പുതിയ തേങ്ങ - അരച്ചത്, 2 പച്ചമുളക്, 2 തണ്ട് കറിവേപ്പില, കറിവേപ്പില - 1 കറിവേപ്പില -</t>
  </si>
  <si>
    <t>2 Mooli/ Mullangi (Radish) - julienned and steamed,1 teaspoon Coconut Oil,1 teaspoon Mustard seeds,1 teaspoon Cumin seeds (Jeera),8 Curry leaves,1/2 teaspoon Turmeric powder (Haldi),1/4 cup Fresh coconut - grated,2 Green Chillies,2 sprig Curry leaves,1 inch Ginger,Salt - to taste,Sunflower Oil</t>
  </si>
  <si>
    <t xml:space="preserve">To begin making the Mulangi Thoran Recipe (Raddish Stir Fry with Coconut), we will first steam the radish in a vegetable steamer and keep it ready.Blend all the ingredients "to be ground" including fresh coconut, green chillies, curry leaves, ginger, salt into a coarse paste and keep aside.In a heavy bottom pan, add mustard seeds, cumin seeds, and allow it to crackle. When they crackle, add curry leaves.Add the cooked radish, the ground coconut mixture and give it a stir.Add turmeric powder, salt to taste and stir fry for about 3 to 4 minutes until the Radish thoran is well incorporated. Once done, serve warm.Serve the Mulangi Thoran Recipe along with Steamed Rice, Dal Palak Recipe or Mango Rasam Recipe to complete your lunch plate.
</t>
  </si>
  <si>
    <t xml:space="preserve">മുളങ്ങി തോരൻ റെസിപ്പി ഉണ്ടാക്കാൻ തുടങ്ങാൻ, റാഡിഷ് ആദ്യം വെജിറ്റബിൾ സ്റ്റീമറിൽ ആവിയിൽ വേവിച്ച് റെഡിയായി വെക്കും. തേങ്ങ, പച്ചമുളക്, കറിവേപ്പില, ഇഞ്ചി, ഉപ്പ് തുടങ്ങി എല്ലാ ചേരുവകളും "അരയ്ക്കാൻ" യോജിപ്പിച്ച് ഒരു നാടൻ പേസ്റ്റാക്കി മാറ്റി വയ്ക്കുക. പൊട്ടുമ്പോൾ, കറിവേപ്പില ചേർക്കുക. വേവിച്ച മുള്ളങ്കി, അരച്ച തേങ്ങാ മിശ്രിതം ചേർത്ത് ഇളക്കുക. മഞ്ഞൾപ്പൊടി, പാകത്തിന് ഉപ്പ് എന്നിവ ചേർത്ത് 3 മുതൽ 4 മിനിറ്റ് വരെ റാഡിഷ് തോരൻ നന്നായി ചേരുന്നത് വരെ വഴറ്റുക. ചെയ്തുകഴിഞ്ഞാൽ, ചൂടോടെ വിളമ്പുക. നിങ്ങളുടെ ലഞ്ച് പ്ലേറ്റ് പൂർത്തിയാക്കാൻ മുളങ്ങി തോരൻ പാചകക്കുറിപ്പ് ആവിയിൽ വേവിച്ച ചോറ്, ദാൽ പാലക്  അല്ലെങ്കിൽ മാമ്പഴ രസം പാചകക്കുറിപ്പ്  എന്നിവയ്‌ക്കൊപ്പം  വിളമ്പുക.
</t>
  </si>
  <si>
    <t>http://www.archanaskitchen.com/mulangi-thoran-recipe-raddish-stir-fry-with-coconut</t>
  </si>
  <si>
    <t>Kerala Style Appam Recipe Without Yeast</t>
  </si>
  <si>
    <t>യീസ്റ്റ് ഇല്ലാത്ത കേരള സ്റ്റൈൽ അപ്പം റെസിപ്പി</t>
  </si>
  <si>
    <t>500 ഗ്രാം അരി - 2 ടീസ്പൂൺ മേത്തി വിത്ത് (ഉലുവ), 1 കപ്പ് പുതിയ തേങ്ങ - അരച്ചത്, ഒരു കപ്പ് വേവിച്ച അരി, 4 ടേബിൾസ്പൂൺ പഞ്ചസാര, 1/4 ടീസ്പൂൺ ബേക്കിംഗ് സോഡ, 1 ടീസ്പൂൺ ഉപ്പ്</t>
  </si>
  <si>
    <t>500 grams Rice - raw,2 teaspoon Methi Seeds (Fenugreek Seeds),1 cup Fresh coconut - grated,1 cup Cooked rice,4 tablespoons Sugar,1/4 teaspoon Baking soda,1 teaspoon Salt</t>
  </si>
  <si>
    <t xml:space="preserve">To begin making the Kerala Style Appam, we need to first soak the rice along with the fenugreek seeds in water for at least 3 to 4 hours.Once soaked, grind the rice along with the grated coconut and the cooked rice. Add very little water to make a thick and smooth batter. Once ground into a batter. Add a little salt and sugar to taste and allow the appam rice batter to ferment for about 6 hours in a warm place. The fenugreek in the batter, will help in light fermentation of the batter.After 6 hours, the appam batter is now ready to be used. When you are ready to make the appams, stir in the baking soda and allow it to rest in the batter for about 5 minutes.Preheat the Appachetty or the Appam pan on medium high heat. Pour a ladle of batter on the Appachetty and swirl the pan in circular fashion to spread the batter.The batter will be thick in the center and thin on the sides. Cover the pan with a lid for approximately 2 minutes until it is crisped and golden brown on the sides and the centre is steamed and cooked.Serve the Kerala Style Appam along with Kadala Curry or Kerala Style Vegetable Stew for breakfast or a wholesome weeknight dinner.
</t>
  </si>
  <si>
    <t xml:space="preserve">കേരള സ്‌റ്റൈൽ അപ്പം ഉണ്ടാക്കാൻ തുടങ്ങുന്നതിന്, ആദ്യം അരി ഉലുവയ്‌ക്കൊപ്പം കുറഞ്ഞത് 3 മുതൽ 4 മണിക്കൂർ വരെ വെള്ളത്തിൽ കുതിർത്ത് വെക്കണം. കുതിർത്തു കഴിഞ്ഞാൽ അരിയും തേങ്ങയും വേവിച്ച അരിയും ചേർത്ത് അരച്ചെടുക്കുക. കട്ടിയുള്ളതും മിനുസമാർന്നതുമായ ബാറ്റർ ഉണ്ടാക്കാൻ വളരെ കുറച്ച് വെള്ളം ചേർക്കുക. ഒരിക്കൽ ഒരു ബാറ്ററിലേക്ക് പൊടിക്കുക. പാകത്തിന് അല്പം ഉപ്പും പഞ്ചസാരയും ചേർത്ത് അപ്പം റൈസ് മാവ് ഏകദേശം 6 മണിക്കൂർ ചൂടുള്ള സ്ഥലത്ത് പുളിക്കാൻ അനുവദിക്കുക. മാവിൽ അടങ്ങിയിരിക്കുന്ന ഉലുവ, മാവ് ചെറുതായി അഴുകാൻ സഹായിക്കും. 6 മണിക്കൂറിന് ശേഷം, അപ്പം ബാറ്റർ ഇപ്പോൾ ഉപയോഗിക്കാൻ തയ്യാറാണ്. നിങ്ങൾ അപ്പം ഉണ്ടാക്കാൻ തയ്യാറാകുമ്പോൾ, ബേക്കിംഗ് സോഡ ചേർത്ത് ഇളക്കി, ഏകദേശം 5 മിനിറ്റ് ബട്ടറിൽ വിശ്രമിക്കാൻ അനുവദിക്കുക. അപ്പച്ചേട്ടിയുടെ മേൽ ഒരു ലഡ്ഡിൽ മാവ് ഒഴിക്കുക, വൃത്താകൃതിയിൽ പാൻ ചുഴറ്റുക. ഏകദേശം 2 മിനിറ്റ് പാൻ ഒരു ലിഡ് കൊണ്ട് മൂടി വശങ്ങളിലായി സ്വർണ്ണ തവിട്ട് നിറമാകുന്നത് വരെ മധ്യഭാഗം ആവിയിൽ വേവിച്ച് വേവിക്കുക. കേരള സ്റ്റൈൽ അപ്പം കടല കറി അല്ലെങ്കിൽ കേരള സ്റ്റൈൽ വെജിറ്റബിൾ പായസത്തോടൊപ്പം പ്രഭാതഭക്ഷണത്തിനോ ആഴ്ച രാത്രി അത്താഴത്തിനോ വിളമ്പുക.
</t>
  </si>
  <si>
    <t>https://www.archanaskitchen.com/no-yeast-kerala-style-appam-recipe</t>
  </si>
  <si>
    <t>Moru Kachiyathu Recipe - Kerala Style Seasoned Buttermilk</t>
  </si>
  <si>
    <t>Moru Kachiyathu Recipe - Kerala Style താളിച്ച മോര്</t>
  </si>
  <si>
    <t>2 കപ്പ് തൈര് (ദാഹി / തൈര്), 1-1/2 കപ്പ് വെള്ളം, 5 ചെറിയ ഉള്ളി - (മുത്ത് ഉള്ളി), 1 ഇഞ്ച് ഇഞ്ചി - ചെറുതായി അരിഞ്ഞത്, 3 വെളുത്തുള്ളി - ഗ്രാമ്പൂ, 1 പച്ചമുളക് - ചെറുതായി അരിഞ്ഞത്, 1/2 ടീസ്പൂൺ മഞ്ഞൾപൊടി (ഹാൽദി), 1 ടീസ്പൂൺ കടുക് വിത്ത്, 1/2 ടീസ്പൂൺ കടുക് വിത്ത്, 1/2 ടീസ്പൂൺ ഇലകൾ, 2 ഉണങ്ങിയ ചുവന്ന മുളക്, 2 ടീസ്പൂൺ വെളിച്ചെണ്ണ, ഉപ്പ് - ആവശ്യത്തിന്</t>
  </si>
  <si>
    <t>2 cups Curd (Dahi / Yogurt),1-1/2 cups Water,5 Shallots - (pearl onions),1 inch Ginger - finely chopped,3 Garlic - cloves,1 Green Chilli - finely chopped,1/2 teaspoon Turmeric powder (Haldi),1 teaspoon Mustard seeds,1/2 teaspoon Methi Seeds (Fenugreek Seeds),1 sprig Curry leaves,2 Dry Red Chillies,2 teaspoons Coconut Oil,Salt - to taste</t>
  </si>
  <si>
    <t xml:space="preserve">To begin making the Moru Kachiyathu Recipe (Kerala Style Seasoned Buttermilk), add the curd into a big bowl and whisk it to a silky texture.To this add water and whisk it to get to a semi thick buttermilk consistency. Heat coconut oil in a wok, add the mustard seeds and let it crackle.Add the methi seeds, curry leaves, red chillies and let it splutter.To this add the finely sliced shallots, garlic and saute until the onions turn translucent.Add the chopped ginger, green chillies, turmeric powder and flash fry it.Keep the heat to low, and slowly add the buttermilk into the wok.Keep stirring, until the buttermilk get just warm and starts to bubble. Make sure you don't bring it to a boil to avoid curdling.Switch off the flame, season with salt and mix well. Serve the Moru Kachiyathu Recipe (Kerala Style Seasoned Buttermilk) along with Mixed Vegetable Sambar, Steamed Rice and Beetroot Thoran to make it a perfect simple meal for a weekday lunch.
</t>
  </si>
  <si>
    <t xml:space="preserve">മോരു കാച്ചിയത്തു പാചകക്കുറിപ്പ് (കേരള സ്റ്റൈൽ സീസൺഡ് മോർ) ഉണ്ടാക്കാൻ തുടങ്ങാൻ, ഒരു വലിയ പാത്രത്തിൽ തൈര് ചേർത്ത് സിൽക്ക് ടെക്സ്ചറിൽ അടിക്കുക. ഇതിലേക്ക് വെള്ളം ചേർത്ത് അടിക്കുക. ഒരു ചീനച്ചട്ടിയിൽ വെളിച്ചെണ്ണ ചൂടാക്കി കടുക് പൊട്ടിച്ച് പൊട്ടിക്കാൻ അനുവദിക്കുക.മേത്തി, കറിവേപ്പില, ചുവന്ന മുളക് എന്നിവ ചേർത്ത് വഴറ്റുക. ഇതിലേക്ക് ചെറുതായി അരിഞ്ഞത്, വെളുത്തുള്ളി എന്നിവ ചേർത്ത് സവാള അരിഞ്ഞത് അരിഞ്ഞത്, പച്ചമുളക്, മഞ്ഞൾപൊടി എന്നിവ ചേർത്ത് വഴറ്റുക. മോര് ചൂടാകുകയും കുമിളയാകാൻ തുടങ്ങുകയും ചെയ്യുന്നത് വരെ ഇളക്കി കൊണ്ടിരിക്കുക. തൈര് ആകാതിരിക്കാൻ ഇത് തിളപ്പിക്കുന്നില്ലെന്ന് ഉറപ്പാക്കുക. തീ ഓഫ് ചെയ്യുക, ഉപ്പ് ചേർത്ത് നന്നായി ഇളക്കുക. മോരു കാച്ചിയത്തു പാചകരീതി (കേരളാ സ്‌റ്റൈൽ സീസൺഡ് മോർ) മിക്‌സ്ഡ് വെജിറ്റബിൾ സാമ്പാർ, ആവിയിൽ വേവിച്ച ചോറ് , ബീറ്റ്‌റൂട്ട് തോരൻ  എന്നിവയ്‌ക്കൊപ്പം ഉപയോഗിക്കുക.
</t>
  </si>
  <si>
    <t>https://www.archanaskitchen.com/moru-kachiyathu-recipe-kerala-style-seasoned-buttermilk</t>
  </si>
  <si>
    <t>Raw Banana Thoran Recipe</t>
  </si>
  <si>
    <t>2 പച്ച ഏത്തപ്പഴം - തിളപ്പിച്ച് ചെറുതായി അരിഞ്ഞത്, 1 ടീസ്പൂൺ വെളിച്ചെണ്ണ, 1 ടീസ്പൂൺ കടുക്, 2 ഉണക്കമുളക്, 8 കറിവേപ്പില, 10 സവാള (സാമ്പാർ ഉള്ളി) - ചെറുതായി അരിഞ്ഞത്, 2 അല്ലി വെളുത്തുള്ളി - ചെറുതായി അരിഞ്ഞത്, 1/2 ടീസ്പൂൺ മഞ്ഞൾപൊടി (ഹാൽദി), 1/4 കപ്പ് പച്ചമുളക്, പച്ച തേങ്ങ 1/4 കപ്പ് (ധാനിയ) ഇലകൾ - ഏകദേശം അരിഞ്ഞത്, ഉപ്പ് - പാകത്തിന്</t>
  </si>
  <si>
    <t>2 Raw Banana - boiled and diced,1 teaspoon Coconut Oil,1 teaspoon Mustard seeds,2 Dry Red Chillies,8 Curry leaves,10 Pearl onions (Sambar Onions) - finely chopped,2 cloves Garlic - finely chopped,1/2 teaspoon Turmeric powder (Haldi),1/4 cup Fresh coconut - grated,2 Green Chillies,1/4 cup Coriander (Dhania) Leaves - roughly chopped,Salt - to taste</t>
  </si>
  <si>
    <t xml:space="preserve">To begin with, the Raw banana Thoran first, cut the raw banana into half and boil it in the pressure cooker for 3 to 4 whistles and turn off the heat. Once cooked, through, peel the skin and cut into dices.Blend all the ingredients "to be ground" into a coarse paste and keep aside.In a heavy bottom pan, add mustard seeds and allow it to cracke. When they crackle add dry red chillies, curry leaves, onions and garlic. Sauté until the onions soften. Add the cooked banana, the ground coconut mixture and give it a stir.Add the salt to taste and stir fry for about 3 to 4 minutes until the raw banana thoran is well incorporated. Once done, serve warm.Serve the Raw Banana Thoran along with Steamed Rice, Beetroot Sambar and Yogurt for a comforting meal.
</t>
  </si>
  <si>
    <t xml:space="preserve">ആരംഭിക്കുന്നതിന്, അസംസ്കൃത വാഴപ്പഴം തോരൻ ആദ്യം, പച്ച വാഴപ്പഴം പകുതിയായി മുറിച്ച് പ്രഷർ കുക്കറിൽ 3 മുതൽ 4 വരെ വിസിൽ വരെ തിളപ്പിച്ച് തീ ഓഫ് ചെയ്യുക. പാകം ചെയ്തുകഴിഞ്ഞാൽ, തൊലി കളഞ്ഞ് സമചതുരകളാക്കി മുറിക്കുക. എല്ലാ ചേരുവകളും ഒരു നാടൻ പേസ്റ്റിലേക്ക് യോജിപ്പിച്ച് മാറ്റിവെക്കുക. ഒരു കനത്ത താഴത്തെ ചട്ടിയിൽ കടുക് ചേർത്ത് പൊട്ടിക്കാൻ അനുവദിക്കുക. അവ പൊട്ടിക്കുമ്പോൾ ഉണങ്ങിയ ചുവന്ന മുളക്, കറിവേപ്പില, ഉള്ളി, വെളുത്തുള്ളി എന്നിവ ചേർക്കുക. ഉള്ളി മൃദുവാകുന്നത് വരെ വഴറ്റുക. വേവിച്ച ഏത്തപ്പഴം, അരച്ച തേങ്ങാ മിശ്രിതം ചേർത്ത് ഇളക്കുക. പാകത്തിന് ഉപ്പ് ചേർക്കുക, അസംസ്കൃത വാഴപ്പഴം തോരൻ നന്നായി ചേരുന്നത് വരെ ഏകദേശം 3 മുതൽ 4 മിനിറ്റ് വരെ ഇളക്കുക. ചെയ്തുകഴിഞ്ഞാൽ, ചെറുചൂടോടെ വിളമ്പുക. ആവിയിൽ വേവിച്ച ചോറ്, ബീറ്റ്റൂട്ട് സാമ്പാർ, തൈര് എന്നിവയ്‌ക്കൊപ്പം അസംസ്‌കൃത വാഴത്തോരനും ആശ്വാസകരമായ ഭക്ഷണത്തിനായി വിളമ്പുക.
</t>
  </si>
  <si>
    <t>http://www.archanaskitchen.com/raw-banana-thoran-recipe</t>
  </si>
  <si>
    <t>Kerala Thenga Chammanthi Recipe- Coconut Onion Chutney</t>
  </si>
  <si>
    <t>കേരള തേങ്ങ ചമ്മന്തി റെസിപ്പി- തേങ്ങ ഉള്ളി ചട്ണി</t>
  </si>
  <si>
    <t>1 കപ്പ് പുതിയ തേങ്ങ - അരച്ചത്, 3 ചെറുപയർ, 20 ഗ്രാം പുളി, 3 ഉണങ്ങിയ ചുവന്ന മുളക്, 1/2 ഇഞ്ച് ഇഞ്ചി, 3 ഉണങ്ങിയ ചുവന്ന മുളക്, 1 തണ്ട് കറിവേപ്പില, ഉപ്പ് - ആവശ്യത്തിന്</t>
  </si>
  <si>
    <t>1 cup Fresh coconut - grated,3 Shallots,20 grams Tamarind,3 Dry Red Chilli,1/2 inch Ginger,3 Dry Red Chillies,1 sprig Curry leaves,Salt - to taste</t>
  </si>
  <si>
    <t xml:space="preserve">To begin making Kerala Thenga Chammanthi Recipe, prep up all the ingredients first.In a mixer grinder add coconut, shallots, tamarind, dry red chillies, ginger, curry leaves and salt to taste. Add about 2-4 tablespoons of water and grind the chammanthi to get a coarse mixture. Once done transfer the Thenga Chammanthi into a serving bowl and serve.Serve Kerala Thenga Chammanthi Recipe with Steamed rice or Kerala Style Kanji Payar Recipe,  Egg White Omelette Recipe With Spinach and curd for lunch or dinner. You can also serve it with Ragi and Oats Dosa or Homemade Soft Idli for healthy breakfast.
</t>
  </si>
  <si>
    <t xml:space="preserve">കേരള തേങ്ങ ചമ്മന്തി റെസിപ്പി ഉണ്ടാക്കാൻ തുടങ്ങുന്നതിന്, ആദ്യം എല്ലാ ചേരുവകളും തയ്യാറാക്കുക. ഒരു മിക്സർ ഗ്രൈൻഡറിൽ തേങ്ങ, ചെറുപയർ, പുളി, ഉണങ്ങിയ ചുവന്ന മുളക്, ഇഞ്ചി, കറിവേപ്പില, ഉപ്പ് എന്നിവ ചേർക്കുക. ഏകദേശം 2-4 ടേബിൾസ്പൂൺ വെള്ളം ചേർത്ത് ചമ്മന്തി പൊടിച്ചത് ഒരു നാടൻ മിശ്രിതം ലഭിക്കും. കഴിഞ്ഞാൽ തേങ്ങാ ചമ്മന്തി ഒരു സെർവിംഗ് ബൗളിലേക്ക് മാറ്റി വിളമ്പുക. കേരള തേങ്ങാ ചമ്മന്തി റെസിപ്പി, ആവിയിൽ വേവിച്ച ചോറ് അല്ലെങ്കിൽ                                                                                                                           *********************************************യ്***********യ്**** പാചക* പാചകത്തോടുകൂടിയ  കേരള തേങ്ങ ചമ്മന്തി* ഉച്ചഭക്ഷണത്തിനോ അത്താഴ*ത്തിനോ അത്താഴത്തിനോ ആയി* വിളമ്പുക. ആരോഗ്യകരമായ പ്രഭാതഭക്ഷണത്തിനായി നിങ്ങൾക്ക് ഇത് റാഗി, ഓട്‌സ് ദോശ അല്ലെങ്കിൽ വീട്ടിലുണ്ടാക്കുന്ന സോഫ്റ്റ് ഇഡ്‌ലി എന്നിവയ്‌ക്കൊപ്പവും വിളമ്പാം.
</t>
  </si>
  <si>
    <t>http://www.archanaskitchen.com/kerala-style-coconut-dry-chammanthi-recipe-with-shallots</t>
  </si>
  <si>
    <t>Sweet &amp; Spicy Kadala Curry (Recipe In Hindi)</t>
  </si>
  <si>
    <t>തീഖീ മീഠി കടല കറി റെസിപ്പി - മധുരവും എരിവും നിറഞ്ഞ കടല കറി (ഹിന്ദിയിലെ പാചകക്കുറിപ്പ്)</t>
  </si>
  <si>
    <t>1 കപ്പ് കാല ചന - 8 ഘണ്ടേ ഭിഗോ ലെ,1 പ്യാജ് - പതലാ കാറ്റ് ലെ,4 കലി ലഹസുൻ - കസ് ലെ,2 കാറ്റ് ലെ,1/2 കപ് ടമാറ്റർ പ്യുരി,1/2 ഛോട്ടാ ചമച്ച ലാൽ മിർച്ച് പൗഡർ,1 ഛൊചട പൗഡർ,1/2 ഛോട്ട ചമച്ച ഗരം മസാല പൗഡർ,1 ടഹനി കടത്തി പട്ട,1/2 കപ്പ് നാർ ഛോട്ട ചമച്ച ഇമലി കാ പെസ്റ്റ് - പാനി മെം ബിഗോ ലെ,1 ബഡാ ചമച്ച - ഗുഡ്, അനുസാർ,തെൽ - പ്രയോഗം അനുസാർ</t>
  </si>
  <si>
    <t>1 cup black chickpeas - soaked for 8 hours, 1 onion - finely chopped, 4 cloves garlic - grated, 2 green chillies - finely chopped, 1/2 cup tomato puree, 1/2 tsp red chilli powder, 1 tsp coriander powder, 1/2 tsp garam masala powder, 1 sprig curry leaves, 1/2 cup coconut milk, 1 tsp tamarind paste - soaked in water, 1 tbsp jaggery, salt - according to taste, oil - according to use</t>
  </si>
  <si>
    <t>To make Sweet Spicy Kadla Curry, first put black chickpeas in a pressure cooker along with 2 cups of water and salt. After 3 to 4 whistles, cook it on low flame for 15 minutes. After cooking, turn off the gas and let the pressure release on its own. Keep it aside. In a bowl, take 3 tbsp tamarind paste and mix it with it. Keep it aside. Heat oil in a pan. Add onion, garlic, green chilli and cook till onion becomes soft. After onion becomes soft, add curry leaves, tamarind mixture, tomato puree, jaggery, salt, coconut milk and cook for 1 minute. Now add red chilli powder, coriander powder, garam masala powder and cook on low flame for 10 to 12 minutes. Turn off the gas and serve. Serve Sweet Spicy Kadla Curry with Laccha Paratha. You can serve it with Cabbage and Carrot Thoran and Rice.</t>
  </si>
  <si>
    <t xml:space="preserve">തീഖി മീഠി കടലാ കരി ബനാനെ കുറിച്ച് 2 കാര്യങ്ങൾ പറയുന്നു ഡാലെ. 3 സെ 4 സിറ്റി ആൻ്റെ ബാദ് 15 മിനിറ്റിനുള്ളിൽ ധീമി ആഞ്ച് പകനെ ദേ. കൂടാതെ, ഗെയ്‌സ് ബന്ദ് കരെം ആൻഡ് പ്രെഷർ അപ്പനെ നിങ്ങൾ നിക്കലനെ ദേ. അൽഗ സെ രഖ് ദേ. ഒരു കട്ടോറിയിൽ ഇമലി കേ പെസ്റ്റ് കോ 3 ബഡേ ചമച്ചിൻ്റെ സാത്ത് മിലാ ലെ. അൽഗ സെ രഖ് ദേ. ഒരു കഥ അതുപോലെ തന്നെ പ്യാജ്, ലഹസുൻ, ഹരി മിർച്ച് ഡാലെ, കൂടാതെ യാത്രകൾ എന്നിവയും ഉൾപ്പെടുന്നു. ഇത് പോലെ തന്നെ കഠി പത്ത, ഇമലി കാ മിശ്രണം, ടമാറ്റർ, പ്രി, ഗര്, നരിയൽ കാ ദൂധ ദാലെ കൂടാതെ 1 മിനിറ്റ് തക പക ലെ.അബ് ഇതുപോലെ ലാൽ മിർച്ച് പൗഡർ, ധനിയ പാടം പൌഡർ ഡാലെയും ധീമി ആഞ്ചും 10 സെ 12 മിനിറ്റിനുള്ളിൽ. ഗെയ്സ് ബന്ദ് കരെം ആൻഡ് പരോസ്. തീഖി മീഠി കടലാ കരി കോ ലച്ഛാ പരാതയുടെ സാത്ത് പരോസേ. നിങ്ങൾ ഈ പത്ത ഗോഭിയും ഗാജർ തോരനും ചാവൽ കെ സാത്ത് പരോസേ.
</t>
  </si>
  <si>
    <t>http://www.archanaskitchen.com/sweet-spicy-kadala-curry-recipe-with-tamarind-and-coconut-milk-in-hindi</t>
  </si>
  <si>
    <t>Malabar Parotta Recipe - Kerala Parotta Recipe</t>
  </si>
  <si>
    <t>2 കപ്പ് ഓൾ പർപ്പസ് മാവ് (മൈദ), 2 ടേബിൾസ്പൂൺ നെയ്യ്, 1/2 കപ്പ് പാൽ, 1/2 ടീസ്പൂൺ പഞ്ചസാര, 1 ടീസ്പൂൺ ഉപ്പ് - പാകത്തിന്, ചെറുചൂടുള്ള വെള്ളം - ആവശ്യത്തിന്</t>
  </si>
  <si>
    <t>2 cups All Purpose Flour (Maida),2 tablespoons Ghee,1/2 cup Milk,1/2 teaspoon Sugar,1 teaspoon Salt - to taste,Lukewarm Water - as required</t>
  </si>
  <si>
    <t xml:space="preserve">To begin making the Malabar/Kerala Parotta recipe, in a mixing bowl or a food processor, add the maida, ghee, milk, sugar, salt and sufficient lukewarm water and make a firm dough.Cover the malabar parotta dough and allow it to rest 15 to 20 minutes.Divide the malabar parotta dough into equal portions and roll them into balls.Place a ball on a worktop and roll the malabar/kerala parotta with the help of a rolling pin into thin sheet.Now apply some ghee on the rolled malabar parotta and dust it with the little maida.Make small pleats like an accordian and then bring the pleats together. Start to roll the malabar parotta into a round pinwheel from one end. Dust in flour and roll into a circular shape.Do the same with the remaining portion of the malabar parotta dough. Heat the tawa over medium heat; add the rolled out malabar/ kerala parotta and cook without ghee for a few seconds until the raw look goes away. Drizzle little ghee and cook the malabar parotta from both sides until lightly brown and crisp.Serve Malabar Parotta with Vegetable Kurma and Kerala Style Egg Roast Curry Recipe as a weeknight dinner or as a paratha for and indian party menu with friends and family.
</t>
  </si>
  <si>
    <t xml:space="preserve">മലബാർ/കേരളാ പറോട്ട റെസിപ്പി ഉണ്ടാക്കാൻ തുടങ്ങുന്നതിന്, ഒരു മിക്സിംഗ് പാത്രത്തിലോ ഫുഡ് പ്രൊസസറിലോ മൈദ, നെയ്യ്, പാൽ, പഞ്ചസാര, ഉപ്പ്, ആവശ്യത്തിന് ഇളം ചൂടുവെള്ളം എന്നിവ ചേർത്ത് ഉറച്ച മാവ് ഉണ്ടാക്കുക. മലബാർ പരോട്ട മാവ് മൂടി 15 മുതൽ 20 മിനിറ്റ് വരെ വിശ്രമിക്കാൻ അനുവദിക്കുക. മലബാർ പരോട്ട മാവ് തുല്യ ഭാഗങ്ങളായി വിഭജിക്കുക മലബാർ/കേരള പരോട്ട ഒരു റോളിംഗ് പിൻ ഉപയോഗിച്ച് നേർത്ത ഷീറ്റിലേക്ക് ചുരുട്ടുക. ഇപ്പോൾ ഉരുട്ടിയ മലബാർ പരോട്ടയിൽ കുറച്ച് നെയ്യ് പുരട്ടി ചെറിയ മൈദ ഉപയോഗിച്ച് പൊടിക്കുക. അക്കോഡിയൻ പോലെ ചെറിയ പ്ലീറ്റുകൾ ഉണ്ടാക്കുക, തുടർന്ന് പ്ലീറ്റുകൾ ഒരുമിച്ച് കൊണ്ടുവരിക. മലബാർ പരോട്ട ഒരറ്റത്ത് നിന്ന് വൃത്താകൃതിയിലുള്ള പിൻവീലിലേക്ക് ഉരുട്ടാൻ തുടങ്ങുക. മൈദ പൊടിച്ച് വൃത്താകൃതിയിൽ ഉരുട്ടിയെടുക്കുക. മലബാർ പരോട്ട മാവിൻ്റെ ബാക്കി ഭാഗവും ഇതുപോലെ ചെയ്യുക. ഇടത്തരം ചൂടിൽ തവ ചൂടാക്കുക; ഉരുട്ടിയ മലബാർ/ കേരളാ പറോട്ട ചേർക്കുക, അസംസ്കൃത രൂപം മാറുന്നത് വരെ കുറച്ച് നിമിഷങ്ങൾ നെയ്യില്ലാതെ വേവിക്കുക. ചെറിയ നെയ്യ് ഡ്രാബൽ, മലബാർ പാരോട്ടയെ ഇരുവശത്തുനിന്നും പാചകം ചെയ്യുക, പച്ചക്കറി കുർമ, കേരള ശൈലിയിലുള്ള കറി പാചകക്കുറിപ്പ് അല്ലെങ്കിൽ സുഹൃത്തുക്കളോടും കുടുംബത്തോടും കൂടിയാണ്.
</t>
  </si>
  <si>
    <t>http://www.archanaskitchen.com/malabari-parotta-without-egg-recipe-kerala-parotta</t>
  </si>
  <si>
    <t>Kerala Style Tomato Fry Recipe</t>
  </si>
  <si>
    <t>കേരള സ്റ്റൈൽ തക്കാളി ഫ്രൈ റെസിപ്പി</t>
  </si>
  <si>
    <t>4 തക്കാളി - അരിഞ്ഞത് (വലിയ കഷണങ്ങൾ), സൂര്യകാന്തി എണ്ണ - ആവശ്യത്തിന്, 1 ടേബിൾസ്പൂൺ കടുക്, 3 ചുവന്ന മുളക് - കഷ്ണങ്ങളാക്കിയത്, 5 കറിവേപ്പില, 2 ഉള്ളി - ചെറുതായി അരിഞ്ഞത്, 1 ടേബിൾസ്പൂൺ ഇഞ്ചി വെളുത്തുള്ളി പേസ്റ്റ്, 2 പച്ചമുളക് - 1/2 ടേബിൾസ്പൂൺ കശ്മീരി ചുവന്ന മുളക് പൊടി, 2 ടേബിൾസ്പൂൺ കശ്മീരി ചുവന്ന മുളക് പൊടി, 1/2 ടേബിൾസ്പൂൺ ടേബിൾസ്പൂൺ മല്ലിയില (ധാനിയ) - ചെറുതായി അരിഞ്ഞത്</t>
  </si>
  <si>
    <t>4 Tomatoes - chopped (big pieces),Sunflower Oil - as required,1 tablespoon Mustard seeds,3 Dry Red Chillies - torn into pieces,5 Curry leaves,2 Onions - thinly sliced,1 tablespoon Ginger Garlic Paste,2 Green Chillies - chopped,1/2 tablespoon Kashmiri Red Chilli Powder,1/2 tablespoon Turmeric powder (Haldi),Salt - to taste,2 tablespoons Coriander (Dhania) Leaves - finely chopped</t>
  </si>
  <si>
    <t xml:space="preserve">To begin making the Kerala Tomato Fry Recipe, heat oil in a heavy bottomed pan. Add mustard seeds, dry red chillies and let the mustard seeds crackle.Once mustard seeds start to crackle, add curry leaves, green chillies and onions. Saute it for 1 minute and add ginger garlic paste.Saute it again till onion turn into golden brown in colour. Next add kashmiri red chilli and turmeric powder.Mix well and add the chopped tomatoes. Let it cook 5 for 7 minutes till the tomatoes turn soft. Add the required salt and cook for another few seconds.Turn off the flame, transfer it in a bowl and garnish it with fresh chopped coriander leaves. Our Kerala Style Tomato Fry is ready to serve.Serve Kerala Tomato Fry Recipe along with Tomato Onion Sambar and Homemade Soft Idlis for breakfast or for a light dinner.
</t>
  </si>
  <si>
    <t xml:space="preserve">കേരള ടൊമാറ്റോ ഫ്രൈ റെസിപ്പി ഉണ്ടാക്കാൻ തുടങ്ങാൻ, അടിയിൽ കട്ടിയുള്ള ഒരു പാനിൽ എണ്ണ ചൂടാക്കുക. കടുക്, ഉണങ്ങിയ ചുവന്ന മുളക് എന്നിവ ചേർത്ത് കടുക് പൊട്ടിക്കാൻ അനുവദിക്കുക. കടുക് പൊട്ടിത്തുടങ്ങിക്കഴിഞ്ഞാൽ, കറിവേപ്പില, പച്ചമുളക്, ഉള്ളി എന്നിവ ചേർക്കുക. 1 മിനിറ്റ് വഴറ്റുക, ഇഞ്ചി വെളുത്തുള്ളി പേസ്റ്റ് ചേർക്കുക. സവാള ഗോൾഡൻ ബ്രൗൺ നിറമാകുന്നതുവരെ വീണ്ടും വഴറ്റുക. അടുത്തതായി കാശ്മീരി ചുവന്ന മുളകും മഞ്ഞൾപ്പൊടിയും ചേർക്കുക. നന്നായി ഇളക്കി അരിഞ്ഞ തക്കാളി ചേർക്കുക. തക്കാളി മൃദുവാകുന്നത് വരെ 5 7 മിനിറ്റ് വേവിക്കുക. ആവശ്യമുള്ള ഉപ്പ് ചേർത്ത് കുറച്ച് നിമിഷങ്ങൾ വേവിക്കുക. തീ ഓഫ് ചെയ്യുക, ഒരു പാത്രത്തിലേക്ക് മാറ്റി പുതിയ അരിഞ്ഞ മല്ലിയില കൊണ്ട് അലങ്കരിക്കുക. ഞങ്ങളുടെ കേരള സ്റ്റൈൽ തക്കാളി ഫ്രൈ വിളമ്പാൻ തയ്യാർ. കേരള തക്കാളി ഫ്രൈ റെസിപ്പി, തക്കാളി ഉള്ളി സാമ്പാർ, കൂടാതെ വീട്ടിലുണ്ടാക്കിയ സോഫ്‌റ്റ് ഇഡ്‌ലി എന്നിവയ്‌ക്കൊപ്പം പ്രഭാതഭക്ഷണത്തിനോ ലഘു അത്താഴത്തിനോ വിളമ്പുക.
</t>
  </si>
  <si>
    <t>http://www.archanaskitchen.com/kerala-tomato-fry-recipe</t>
  </si>
  <si>
    <t>Kerala Chicken Curry Recipe - Nadan Kozhi Curry</t>
  </si>
  <si>
    <t>Kerala Chicken Curry Recipe - നാടൻ കോഴിക്കറി</t>
  </si>
  <si>
    <t>500 ഗ്രാം ചിക്കൻ - എല്ലുകൾ മുറിച്ച കറി, 2 ടീസ്പൂൺ ചുവന്ന മുളകുപൊടി, 1 ടീസ്പൂൺ മഞ്ഞൾപൊടി (ഹാൽദി), 1-1/2 ടീസ്പൂൺ ഉപ്പ്, 2 ഉള്ളി - ചെറുതായി അരിഞ്ഞത്, 1 തണ്ട് കറിവേപ്പില, 2 പച്ചമുളക്, 1 ഇഞ്ച് ഇഞ്ചി - ചതച്ചത് അല്ലെങ്കിൽ നാടൻ വെളുത്തുള്ളി - 6 ഗ്രാമ്പൂ അല്ലെങ്കിൽ വെളുത്തുള്ളി ചതച്ചത് - 6 ഗ്രാമ്പൂ - 1 ഗ്രാമ്പൂ അല്ലെങ്കിൽ വെളുത്തുള്ളി ചതച്ചത്. അരിഞ്ഞത്, 2 ടേബിൾസ്പൂൺ ചുവന്ന മുളകുപൊടി, 1 ടേബിൾസ്പൂൺ മല്ലിപ്പൊടി (ധാനിയ), 1 ടീസ്പൂൺ മഞ്ഞൾപ്പൊടി (ഹാൽദി), 1 ടീസ്പൂൺ പെരുംജീരകം, 1 ടീസ്പൂൺ ഗരം മസാല പൊടി, 1 കപ്പ് തേങ്ങാപ്പാൽ - കട്ടിയുള്ളത്, ഉപ്പ് - നിങ്ങളുടെ അഭിരുചിക്കനുസരിച്ച്, 2 ടേബിൾസ്പൂൺ വെളിച്ചെണ്ണ</t>
  </si>
  <si>
    <t>500 grams Chicken - curry-cut with bones,2 teaspoons Red Chilli powder,1 teaspoon Turmeric powder (Haldi),1-1/2 teaspoons Salt,2 Onions - thinly sliced,1 sprig Curry leaves,2 Green Chillies,1 inch Ginger - crushed or a coarse paste,6 cloves Garlic - crushed or a coarse paste,1 Tomato - chopped,2 tablespoon Red Chilli powder,1 tablespoon Coriander Powder (Dhania),1 teaspoon Turmeric powder (Haldi),1 tablespoon Fennel Powder,1 teaspoon Garam masala powder,1 cup Coconut milk - thick,Salt - as per your taste,2 tablespoons Coconut Oil</t>
  </si>
  <si>
    <t xml:space="preserve">To begin making Kerala Chicken Curry Recipe, we need to first marinate the chicken. In a mixing bowl, combine the chicken pieces along with red chilli powder, turmeric powder, salt and rub the spices well on the chicken pieces. Set aside for an hour. In a kadai, add 2 tablespoons of coconut oil and heat on medium heat. When the oil is hot, add thinly sliced onions and the curry leaves. Add a pinch of salt while sautéing the onions, this helps in speeding up the process of the onions browning. This will take about 5-7 minutes.Once the onions are brown, add crushed ginger and garlic. Stir till the raw smell goes away.Add in chopped tomatoes, saute till tomatoes turn mushy. Next add in the spices- red chilli powder, coriander powder, fennel powder, turmeric powder, garam masala, salt and mix the ingredients well. Once the oil starts to separate from the sides, add in the marinated chicken pieces along with the marinade and toss gently until the Kerala chicken is well coated with the masalas.Cover with a lid and cook the Kerala Chicken Curry on low flame for about 10 to 12 minutes.Stir in between. If it's dry, add two tablespoons of water and give a stir. Pour thick coconut milk and adjust salt and allow to boil on medium flame. Adjust the consistency of the Kerala Chicken Curry to your choice, and switch off the flame. Garnish with chopped coriander leaves. Cover the Kerala Chicken Curry and allow to rest for the flavours to get incorporated into the chicken. Serve Kerala Chicken Curry Recipe along with Nei Choru or even Malabar Parotta for a delicious weekday lunch. 
</t>
  </si>
  <si>
    <t xml:space="preserve">കേരള ചിക്കൻ കറിയുടെ പാചകക്കുറിപ്പ് തയ്യാറാക്കാൻ, ആദ്യം ചിക്കൻ മാരിനേറ്റ് ചെയ്യണം. ഒരു മിക്സിംഗ് പാത്രത്തിൽ, ചിക്കൻ കഷണങ്ങൾ ചുവന്ന മുളകുപൊടി, മഞ്ഞൾപ്പൊടി, ഉപ്പ് എന്നിവ ചേർത്ത് ചിക്കൻ കഷണങ്ങളിൽ മസാലകൾ നന്നായി പുരട്ടുക. ഒരു മണിക്കൂർ മാറ്റിവെക്കുക. ഒരു കടയിൽ 2 ടേബിൾസ്പൂൺ വെളിച്ചെണ്ണ ഒഴിച്ച് ഇടത്തരം ചൂടിൽ ചൂടാക്കുക. എണ്ണ ചൂടാകുമ്പോൾ സവാളയും കറിവേപ്പിലയും ചെറുതായി അരിഞ്ഞത് ചേർക്കുക. ഉള്ളി വഴറ്റുമ്പോൾ ഒരു നുള്ള് ഉപ്പ് ചേർക്കുക, ഇത് ഉള്ളി ബ്രൗണിംഗ് പ്രക്രിയ വേഗത്തിലാക്കാൻ സഹായിക്കുന്നു. ഇത് ഏകദേശം 5-7 മിനിറ്റ് എടുക്കും. ഉള്ളി ബ്രൗൺ നിറമാകുമ്പോൾ, ചതച്ച ഇഞ്ചിയും വെളുത്തുള്ളിയും ചേർക്കുക. അസംസ്കൃത മണം മാറുന്നത് വരെ ഇളക്കുക. തക്കാളി അരിഞ്ഞത് ചേർക്കുക, തക്കാളി ചതച്ചത് വരെ വഴറ്റുക. അടുത്തതായി മസാലകൾ- ചുവന്ന മുളക് പൊടി, മല്ലിപ്പൊടി, പെരുംജീരകം പൊടി, മഞ്ഞൾപൊടി, ഗരം മസാല, ഉപ്പ് എന്നിവ ചേർത്ത് ചേരുവകൾ നന്നായി ഇളക്കുക. വശങ്ങളിൽ നിന്ന് എണ്ണ വേർപെടുത്താൻ തുടങ്ങിയാൽ, മാരിനേഡിനൊപ്പം മാരിനേറ്റ് ചെയ്ത ചിക്കൻ കഷണങ്ങൾ ചേർത്ത് കേരള ചിക്കൻ നന്നായി മസാലകൾ പൂശുന്നത് വരെ പതുക്കെ ടോസ് ചെയ്യുക. ഒരു ലിഡ് കൊണ്ട് മൂടി ഏകദേശം 10 മുതൽ 12 മിനിറ്റ് വരെ ചെറിയ തീയിൽ കേരള ചിക്കൻ കറി വേവിക്കുക. ഇടയിൽ ഇളക്കുക. ഇത് ഉണങ്ങിയാൽ, രണ്ട് ടേബിൾസ്പൂൺ വെള്ളം ചേർത്ത് ഇളക്കുക. കട്ടിയുള്ള തേങ്ങാപ്പാൽ ഒഴിച്ച് ഉപ്പ് ക്രമീകരിച്ച് ഇടത്തരം തീയിൽ തിളപ്പിക്കാൻ അനുവദിക്കുക. കേരള ചിക്കൻ കറിയുടെ സ്ഥിരത നിങ്ങളുടെ ഇഷ്ടത്തിനനുസരിച്ച് ക്രമീകരിക്കുക, തീ ഓഫ് ചെയ്യുക. അരിഞ്ഞ മല്ലിയില കൊണ്ട് അലങ്കരിക്കുക. കേരള ചിക്കൻ കറി മൂടിവെച്ച്, ചിക്കനിൽ രുചികൾ ലയിക്കുന്നതിനായി വിശ്രമിക്കാൻ അനുവദിക്കുക. ഒരു സ്വാദിഷ്ടമായ പ്രവൃത്തിദിവസത്തെ ഉച്ചഭക്ഷണത്തിനായി, നെയ് ചോറുമൊത്ത് അല്ലെങ്കിൽ മലബാർ പറോട്ടയ്‌ക്കൊപ്പമോ കേരള ചിക്കൻ കറി റെസിപ്പി വിളമ്പുക. 
</t>
  </si>
  <si>
    <t>https://www.archanaskitchen.com/kerala-chicken-curry-recipe-nadan-kozhi-curry</t>
  </si>
  <si>
    <t>Kerala Pumpkin Black Eyed Beans Erissery Recipe</t>
  </si>
  <si>
    <t>2 കപ്പ് കടു (പറങ്കിക്കൈ/ മത്തങ്ങ) - അരിഞ്ഞത്, 1/2 കപ്പ് ബ്ലാക്ക് ഐഡ് ബീൻസ് (ലോബിയ), 1/2 ടീസ്പൂൺ ചുവന്ന മുളകുപൊടി, 1/2 ടീസ്പൂൺ മഞ്ഞൾപ്പൊടി (ഹാൽദി), ഉപ്പ് - ആവശ്യത്തിന്, 1/2 കപ്പ് പുതിയ തേങ്ങ - അരച്ചത്, 1/2 ടീസ്പൂൺ ജീരകം, 1 ടീസ്പൂൺ ജീരകം, 1 ടീസ്പൂൺ പച്ചമുളക്, 1 ടീസ്പൂൺ. കറിവേപ്പില, 2 ഉണങ്ങിയ ചുവന്ന മുളക്, 1 ടേബിൾസ്പൂൺ പുതിയ തേങ്ങ, 4 മുത്ത് ഉള്ളി (സാമ്പാർ ഉള്ളി) - അരിഞ്ഞത്</t>
  </si>
  <si>
    <t>2 cups Kaddu (Parangikai/ Pumpkin) - chopped,1/2 cup Black Eyed Beans (Lobia),1/2 teaspoon Red Chilli powder,1/2 teaspoon Turmeric powder (Haldi),Salt - to taste,1/2 cup Fresh coconut - grated,1/2 teaspoon Cumin seeds (Jeera),1 Green Chilli,1 tablespoon Coconut Oil,1/2 teaspoon Mustard seeds,1 sprig Curry leaves,2 Dry Red Chillies,1 tablespoon Fresh coconut,4 Pearl onions (Sambar Onions) - sliced</t>
  </si>
  <si>
    <t xml:space="preserve">To begin making Kerala Pumpkin Black Eyed Beans Erissery Recipe first soak he black eyed beans for an hour and after an hour add it to a pressure cooker with half a cup of water and pressure cook for 3 to 5 whistles. Let the pressure release on its own.Next grind the ingredients - coconut, cumin and green chillies with a little water to make a coarse paste and keep aside.Now in a wok add the pumpkins, turmeric powder, red chilli powder and salt and sprinkle some water and cook on medium heat till the pumpkins are nearly cooked.Add the ground coconut masala and the boiled black eyed peas to the pumpkin and stir and mix everything well.Cook the Kerala Pumpkin Black Eyed Beans Erissery mixture on medium heat for another five minutes till the pumpkins are completely cooked. Switch of the heat. Check the salt and seasonings and adjust the taste of the Kerala Pumpkin Black Eyed Beans Erissery accordingly.Next in a tadka pan heat oil and add the ingredients listed under tadka. First add the mustard seeds and let it splutter, then add the curry leaves and red chillies.Add the sliced onions to the tadka pan till they turn golden brown in colour and finally add the coconut and saute till the coconut turns golden brown in colour as well.Add this to the Kerala Pumpkin Black Eyed Beans Erissery and serve hot.Serve Kerala Pumpkin Black Eyed Beans Erissery as a side to a Kerala Sadhya of Vellarikka Manga Curry, Kootu Curry, Matta Rice and Ada Pradhaman.
</t>
  </si>
  <si>
    <t xml:space="preserve">കേരള മത്തങ്ങ ബ്ലാക്ക് ഐഡ് ബീൻസ് എരിശ്ശേരി റെസിപ്പി ഉണ്ടാക്കാൻ തുടങ്ങുന്നതിന് ആദ്യം ബ്ലാക്ക് ഐഡ് ബീൻസ് ഒരു മണിക്കൂർ കുതിർത്ത് ഒരു മണിക്കൂറിന് ശേഷം ഒരു പ്രഷർ കുക്കറിൽ അര കപ്പ് വെള്ളം ചേർത്ത് 3 മുതൽ 5 വിസിൽ വരെ പ്രഷർ കുക്ക് ചെയ്യുക. മർദ്ദം സ്വയം മാറട്ടെ.അടുത്ത ചേരുവകൾ - തേങ്ങ, ജീരകം, പച്ചമുളക് എന്നിവ അൽപം വെള്ളം ചേർത്ത് അരച്ച് പേസ്റ്റ് രൂപത്തിലാക്കി മാറ്റിവെക്കുക.ഇനി ഒരു വോക്കിൽ മത്തങ്ങ, മഞ്ഞൾപൊടി, ചുവന്ന മുളകുപൊടി, ഉപ്പ് എന്നിവ ചേർത്ത് കുറച്ച് വെള്ളം തളിച്ച് ഇടത്തരം ചൂടിൽ വേവിക്കുക. എല്ലാം നന്നായി ഇളക്കുക. കേരള മത്തങ്ങ ബ്ലാക്ക് ഐഡ് ബീൻസ് എരിശ്ശേരി മിശ്രിതം മത്തങ്ങകൾ പൂർണ്ണമായും വേവിക്കുന്നതുവരെ അഞ്ച് മിനിറ്റ് കൂടി ഇടത്തരം ചൂടിൽ വേവിക്കുക. ചൂട് സ്വിച്ച്. ഉപ്പ്, താളിക്കുക എന്നിവ പരിശോധിച്ച്, കേരള മത്തങ്ങ ബ്ലാക്ക് ഐഡ് ബീൻസ് എരിശ്ശേരിയുടെ രുചി ക്രമീകരിക്കുക. അടുത്തതായി ഒരു തഡ്ക പാനിൽ എണ്ണ ചൂടാക്കി തഡ്കയുടെ കീഴിൽ ലിസ്റ്റുചെയ്തിരിക്കുന്ന ചേരുവകൾ ചേർക്കുക. ആദ്യം കടുക് പൊട്ടിച്ച് വിതറാൻ അനുവദിക്കുക, എന്നിട്ട് കറിവേപ്പിലയും ചുവന്ന മുളകും ചേർക്കുക. സവാള അരിഞ്ഞത് തഡ്ക പാനിൽ ഗോൾഡൻ ബ്രൗൺ നിറമാകുന്നത് വരെ ചേർത്ത് അവസാനം തേങ്ങ ചേർത്ത് തേങ്ങ ഗോൾഡൻ ബ്രൗൺ നിറമാകുന്നത് വരെ വഴറ്റുക. ഇത് കേരള മത്തങ്ങ ബ്ലാക്ക് ഐഡ് ബീൻസ് എരിശ്ശേരി ഇ കെ ചൂടോടെ വിളമ്പുക. വെള്ളരിക്ക മാങ്ങ കറി, കൂട്ടുകറി, മട്ട ചോറ്, അട പ്രധാനൻ എന്നിവയുടെ കേരള സദ്യയുടെ ഒരു വശം.
</t>
  </si>
  <si>
    <t>http://www.archanaskitchen.com/kerala-pumpkin-black-eyed-beans-erissery-recipe</t>
  </si>
  <si>
    <t>Kerala Style Vattayapam Recipe (Steamed Coconut Rice Cakes Recipe)</t>
  </si>
  <si>
    <t>കേരള സ്റ്റൈൽ വട്ടയപ്പം റെസിപ്പി (ആവിയിൽ വേവിച്ച കോക്കനട്ട് റൈസ് കേക്ക് റെസിപ്പി)</t>
  </si>
  <si>
    <t>1 കപ്പ് അരി, 1/4 കപ്പ് വേവിച്ച അരി, 1/2 കപ്പ് പുതിയ തേങ്ങ - അരച്ചത്, 1/4 ടീസ്പൂൺ ജീരകം (ജീര), 1 ടീസ്പൂൺ സജീവമായ ഉണങ്ങിയ യീസ്റ്റ് - ചെറുചൂടുള്ള വെള്ളത്തിൽ കുതിർത്തത് (2 ടേബിൾസ്പൂൺ), 5 ടേബിൾസ്പൂൺ പഞ്ചസാര, 1/4 ടീസ്പൂൺ ഉപ്പ്, 2 ഏലക്ക (ഇലച്ചി) കായ്കൾ/വിത്ത് - 2 ടീസ്പൂൺ.</t>
  </si>
  <si>
    <t>1 cup Rice,1/4 cup Cooked rice,1/2 cup Fresh coconut - grated,1/4 teaspoon Cumin seeds (Jeera),1 teaspoon Active dry yeast - soaked in luke warm water (2 tablespoon),5 tablespoon Sugar,1/4 teaspoon Salt,2 Cardamom (Elaichi) Pods/Seeds - powdered,1 tablespoon Ghee,2 teaspoons Raisins</t>
  </si>
  <si>
    <t xml:space="preserve">We begin making the Kerala Style Vattayapam Recipe (Steamed Coconut Rice Cakes Recipe) by soaking the broken rice in water for about 8 hours. Then grinding it into a smooth paste along with cumin seeds.In a bowl add the rest of the ingredients, including yeast. Mix well and rest for overnight to get a nice fermented batter or else you can rest for 4 hours.Heat a steamer, add the batter to a greased tray, pour in the batter and steam it for about 45 minutes till it is done. You can add raisins on the top, half the way while it is steaming.In order to check if it is done, the cake should not stick to your hand once you touch it and if you insert a knife it has to come out clean.Serve the Kerala Style Vattayappam Recipe (Steamed Coconut Rice Cakes Recipe) as a healthy Tea Time Snack.
</t>
  </si>
  <si>
    <t xml:space="preserve">ഉടച്ച അരി ഏകദേശം 8 മണിക്കൂർ വെള്ളത്തിൽ കുതിർത്തുകൊണ്ട് ഞങ്ങൾ കേരള സ്റ്റൈൽ വട്ടയപ്പം പാചകക്കുറിപ്പ് (ആവിയിൽ വേവിച്ച കോക്കനട്ട് റൈസ് കേക്ക് പാചകക്കുറിപ്പ്) ഉണ്ടാക്കാൻ തുടങ്ങുന്നു. എന്നിട്ട് ജീരകത്തോടൊപ്പം മിനുസമാർന്ന പേസ്റ്റായി പൊടിക്കുക. ഒരു പാത്രത്തിൽ യീസ്റ്റ് ഉൾപ്പെടെയുള്ള ബാക്കി ചേരുവകൾ ചേർക്കുക. നന്നായി ഇളക്കി ഒരു രാത്രി മുഴുവൻ വിശ്രമിക്കുക, അല്ലാത്തപക്ഷം നിങ്ങൾക്ക് 4 മണിക്കൂർ വിശ്രമിക്കാം. ഒരു സ്റ്റീമർ ചൂടാക്കി, നെയ്യ് പുരട്ടിയ ട്രേയിലേക്ക് ബാറ്റർ ചേർക്കുക, മാവ് ഒഴിച്ച് ഏകദേശം 45 മിനിറ്റ് ആവിയിൽ വേവിക്കുക. ആവിയിൽ വേവുമ്പോൾ പകുതി വരെ ഉണക്കമുന്തിരി മുകളിൽ ചേർക്കാം. കേക്ക് കഴിഞ്ഞോ എന്ന് പരിശോധിക്കാൻ, കേക്ക് കൈയിൽ പറ്റിപ്പിടിക്കരുത്, കത്തി കയറ്റിയാൽ അത് വൃത്തിയായി വരണം. കേരള സ്റ്റൈൽ വട്ടയപ്പം റെസിപ്പി (ആവിയിൽ വേവിച്ച കോക്കനട്ട് റൈസ് കേക്ക് റെസിപ്പി) ആരോഗ്യകരമായി വിളമ്പുക.
</t>
  </si>
  <si>
    <t>https://www.archanaskitchen.com/kerala-style-vattayapam-recipe-steamed-coconut-rice-cakes-recipe</t>
  </si>
  <si>
    <t>Nadan Meen Curry Recipe (Kerala Style Fish Curry)</t>
  </si>
  <si>
    <t>നാടൻ മീൻ കറി (കേരള സ്റ്റൈൽ മീൻ കറി)</t>
  </si>
  <si>
    <t>500 ഗ്രാം മത്തി മീൻ - (മത്തി, 1 കപ്പ് ചെറുതായി അരിഞ്ഞത്, 2 തക്കാളി - അരച്ചത്, 1-1/2 ടീസ്പൂൺ ഇഞ്ചി വെളുത്തുള്ളി പേസ്റ്റ്, 1/2 മഞ്ഞൾപൊടി (ഹാൽദി), 1 ടേബിൾസ്പൂൺ ചുവന്ന മുളകുപൊടി - (എരിവ് വേണമെങ്കിൽ കൂടുതൽ ചേർക്കുക), 1 ടേബിൾസ്പൂൺ കോരിയൻ്റർ പൗഡർ (1 ടേബിൾസ്പൂൺ മല്ലിപ്പൊടി, 1 ടേബിൾസ്പൂൺ, പെപ്പർ പൗഡർ, 1 ടീസ്പൂൺ. (മലബാർ പുളി), 4 ടേബിൾസ്പൂൺ വെളിച്ചെണ്ണ, 1 ടീസ്പൂൺ കടുക്, 1 തണ്ട് കറിവേപ്പില, ഉപ്പ് - പാകത്തിന്, വെള്ളം - ആവശ്യത്തിന്</t>
  </si>
  <si>
    <t>500 grams Sardine fish - (mathi,1 cup Shallots - chopped,2 Tomatoes - pureed,1-1/2 teaspoon Ginger Garlic Paste,1/2 Turmeric powder (Haldi),1 tablespoon Red Chilli powder - (add more if you like more spicy),1 tablespoon Coriander Powder (Dhania),1 teaspoon Fennel Powder,1-1/2 teaspoon Black pepper powder,4 Kokum (Malabar Tamarind),4 tablespoon Coconut Oil,1 teaspoon Mustard seeds,1 sprig Curry leaves,Salt - to taste,Water - as required</t>
  </si>
  <si>
    <t xml:space="preserve">To prepare Nadan Meen Curry or Kerala Style Fish Curry, Clean the fish well and cut into pieces. Add salt and turmeric powder to the fish and let it sit for 15 minutes.Then wash the fish again well. Add 1 teaspoon of salt, 1 teaspoon red chili powder and 1/4 teaspoon turmeric powder. Rub it all over the fish, place them inside the fridge and leave it to marinade for 30 minutes to 1 hour.Heat coconut oil in a clay pot. When oil turns hot add mustard seeds and wait till it crackles. Then add chopped shallots and sauté till onions turn pink.Add ginger-garlic paste and cook till raw smell of the paste is gone.Add tomato puree and cook until the puree turns thick and oil separates from the sides of the pan.Mix all the spice powder with 1 tablespoon water into a thick paste. Add this paste into the pan and cook for about 3 minutes.Add 1 cup water and bring it to boil. Add salt to taste and continue to boil for another 3 minutes.Now add kodumpuli and boil for another 10 to 15 minutes until the curry turns a little thick.Now add the marinated fish, reduce flame, cover and continue to cook on low flame for about 7 to 10 minutes or until the fish is cooked well.Turn off flame. Nadan meen kari is ready to be served with steamed rice.
</t>
  </si>
  <si>
    <t xml:space="preserve">നാടൻ മീൻ കറി അല്ലെങ്കിൽ കേരള സ്റ്റൈൽ മീൻ കറി തയ്യാറാക്കാൻ, മീൻ നന്നായി വൃത്തിയാക്കി കഷണങ്ങളായി മുറിക്കുക. മീനിൽ ഉപ്പും മഞ്ഞൾപ്പൊടിയും ചേർത്ത് 15 മിനിറ്റ് ഇരിക്കട്ടെ. എന്നിട്ട് മീൻ വീണ്ടും നന്നായി കഴുകുക. 1 ടീസ്പൂൺ ഉപ്പ്, 1 ടീസ്പൂൺ ചുവന്ന മുളകുപൊടി, 1/4 ടീസ്പൂൺ മഞ്ഞൾപ്പൊടി എന്നിവ ചേർക്കുക. മത്സ്യം മുഴുവൻ പുരട്ടി ഫ്രിഡ്ജിനുള്ളിൽ വയ്ക്കുക, 30 മിനിറ്റ് മുതൽ 1 മണിക്കൂർ വരെ പഠിയ്ക്കാന് വയ്ക്കുക. ഒരു മൺപാത്രത്തിൽ വെളിച്ചെണ്ണ ചൂടാക്കുക. എണ്ണ ചൂടാകുമ്പോൾ കടുക് പൊട്ടിച്ച് പൊട്ടിക്കുന്നതുവരെ കാത്തിരിക്കുക. അതിനുശേഷം അരിഞ്ഞു വച്ചിരിക്കുന്ന സവാള ചേർത്ത് സവാള പിങ്ക് നിറമാകുന്നത് വരെ വഴറ്റുക. ഇഞ്ചി-വെളുത്തുള്ളി പേസ്റ്റ് ചേർത്ത് പേസ്റ്റിൻ്റെ അസംസ്കൃത മണം മാറുന്നത് വരെ വേവിക്കുക. തക്കാളി പ്യൂരി ചേർത്ത് പാലിൻ്റെ വശങ്ങളിൽ നിന്ന് എണ്ണ വേർപെടുത്തുന്നത് വരെ വേവിക്കുക. എല്ലാ മസാലപ്പൊടികളും 1 ടേബിൾസ്പൂൺ വെള്ളത്തിൽ 1 ടേബിൾസ്പൂൺ വെള്ളത്തിൽ കലർത്തുക. ഈ പേസ്റ്റ് ചട്ടിയിൽ ചേർത്ത് ഏകദേശം 3 മിനിറ്റ് വേവിക്കുക. 1 കപ്പ് വെള്ളം ചേർത്ത് തിളപ്പിക്കുക. പാകത്തിന് ഉപ്പ് ചേർത്ത് 3 മിനിറ്റ് തിളപ്പിക്കുക. ഇപ്പോൾ കൊടുമ്പുളി ചേർത്ത് 10 മുതൽ 15 മിനിറ്റ് വരെ തിളപ്പിക്കുക. ഇപ്പോൾ മാരിനേറ്റ് ചെയ്ത മീൻ ചേർക്കുക, തീ കുറയ്ക്കുക, മൂടിവെച്ച് ഏകദേശം 7 മുതൽ 10 മിനിറ്റ് വരെ ചെറിയ തീയിൽ വേവിക്കുക അല്ലെങ്കിൽ മീൻ നന്നായി വേവുന്നത് വരെ. തീ ഓഫ് ചെയ്യുക. ആവിയിൽ വേവിച്ച ചോറിനൊപ്പം വിളമ്പാൻ നാടൻ മീൻ കറി തയ്യാർ.
</t>
  </si>
  <si>
    <t>http://www.archanaskitchen.com/nadan-meen-kari-kerala-style-fish-curry-recipe</t>
  </si>
  <si>
    <t>Pazhutha Manga Pachadi Recipe - Kerala Style Ripe Mango Curry</t>
  </si>
  <si>
    <t>Pazhutha Manga Pachadi Recipe - Kerala Style Repe Mango Curry</t>
  </si>
  <si>
    <t>2 മാങ്ങ (പഴുത്തത്) - തൊലികളഞ്ഞ് ചെറുതായി അരിഞ്ഞത് (വിത്ത് കരുതിവെക്കുക), ഉപ്പ് - പാകത്തിന്, 1 ടീസ്പൂൺ മഞ്ഞൾപ്പൊടി (ഹാൽദി), 1 ടീസ്പൂൺ ചുവന്ന മുളക് പൊടി - (രുചിക്കനുസരിച്ച് ചേർക്കുക), 2 തണ്ട് കറിവേപ്പില, 2 ടീസ്പൂൺ കടുക് - ഒരു മോർട്ടാർ പേസ്റ്റ് / മസാല അരക്കൽ ഉപയോഗിച്ച് നന്നായി പൊടിച്ചത് - 2 ടേബിൾസ്പൂൺ, ചതച്ചത് / മസാല അരച്ചത് - 2 ടേബിൾസ്പൂൺ.</t>
  </si>
  <si>
    <t>2 Mango (Ripe) - peeled and chopped roughly (reserve the seeds),Salt - to taste,1 teaspoon Turmeric powder (Haldi),1 teaspoon Red Chilli powder - (add according to taste),2 sprig Curry leaves,2 teaspoons Mustard seeds - ground coarsely using a mortar pestle/ spice grinder,3 tablespoons Fresh coconut - grated,1/2 tablespoon Jaggery - powdered</t>
  </si>
  <si>
    <t xml:space="preserve">To make the Pazhutha Manga Pachadi Recipe, first place the chopped mangoes, salt, red chilli powder, haldi powder, mustard powder, curry stalks, coconut and jaggery in a saucepan, along with 1 cup water.Place the saucepan on high heat and bring it to a boil. Lower the heat to medium, cover the saucepan and cook for about 10 minutes until the mangoes are softened.Next, stir it, check for salt and mash the mangoes lightly, still leaving some chunks and the seeds in the pan. Turn off the heat and serveServe Pazhutha Manga Pachadi along with Steamed Rice and Kerala Style Kappa Ulathiyathu Recipe (Tapioca Stir Fry Recipe) for a complete meal.
</t>
  </si>
  <si>
    <t xml:space="preserve">പഴുത്ത മാങ്ങാ പച്ചടി റെസിപ്പി ഉണ്ടാക്കാൻ ആദ്യം അരിഞ്ഞ മാങ്ങ, ഉപ്പ്, മുളകുപൊടി, ഹാൽദിപ്പൊടി, കടുക് പൊടി, കറിവേപ്പില, തേങ്ങ, ശർക്കര എന്നിവ ഒരു ചീനച്ചട്ടിയിൽ 1 കപ്പ് വെള്ളത്തോടൊപ്പം വയ്ക്കുക. ചീനച്ചട്ടി ഉയർന്ന ചൂടിൽ വെച്ച് തിളപ്പിക്കുക. തീ ഇടത്തരം ആക്കി, ചീനച്ചട്ടി മൂടി, മാമ്പഴം മൃദുവാകുന്നത് വരെ ഏകദേശം 10 മിനിറ്റ് വേവിക്കുക. അടുത്തതായി, ഇളക്കി, ഉപ്പ് പരിശോധിക്കുക, മാങ്ങ ചെറുതായി മാഷ് ചെയ്യുക, ഇപ്പോഴും കുറച്ച് കഷ്ണങ്ങളും വിത്തുകളും ചട്ടിയിൽ വയ്ക്കുക. ചൂട് ഓഫ് ചെയ്യുകയും വേവിത്ത അരിയും കേരള ശൈലികളും ഒപ്പം വേവിച്ച അരിയും കേരള ശൈലികളും കഫ ഉലാത്തിയത്തു പാചകക്കുറിപ്പ് (തപിയോക ഇളക്കുക) പൂർണ്ണ ഭക്ഷണത്തിനായി.
</t>
  </si>
  <si>
    <t>http://www.archanaskitchen.com/pazhutha-manga-pachadi-recipe-kerala-style-ripe-mango-curry</t>
  </si>
  <si>
    <t>Kerala Style Egg Roast Curry Recipe</t>
  </si>
  <si>
    <t>കേരള സ്റ്റൈൽ എഗ് റോസ്റ്റ് കറി റെസിപ്പി - Kerala Style Egg Roast Curry Recipe</t>
  </si>
  <si>
    <t>2 ആൻഡേ - ഉബാലകർ ബിച്ച് മെൻ സെ കാറ്റ് ലെ,2 പ്യാജ് - ബാരിക്ക് കാറ്റ് ലെ,2 ടമാറ്റർ - ബാരിക്ക്,2 ബാരിക്ക് - ബാരിക്ക് കാറ്റ് ലെ,1 അദരക് - ബാരിക്ക് കാറ്റ് ലെ,1 തഹനി കടത്തി പട്ട,3/4 ഛോട്ടാ ചമച്ചങ്ങ് പൗഡർ,1/4 ഛോട്ട ചമച്ച കാലി മിർച്ച് പൗഡർ,1 ഛോട്ട ചമച്ച കശ്മീരി പാടർ,1/4 ഛോട്ടാ ചമച്ച ധനിയ പൗഡർ,1/4 ഛോട്ടാ ചമച്ച ഹൽദി പാദം, ബാരിക്ക് കാറ്റ് ലെ,1/4 കപ്പ് പാനി,2 ബഡേ ചമച്ച നാറിയൽ കാ തെൽ,നമക് - സ്വാദ് അനുസാർ</t>
  </si>
  <si>
    <t>2 eggs - boiled and cut into pieces, 2 onions - finely chopped, 2 tomatoes - finely chopped, 2 cloves garlic - finely chopped, 1 ginger - finely chopped, 1 sprig curry leaves, 3/4 teaspoon hot Masala powder, 1/4 teaspoon black pepper powder, 1 teaspoon Kashmiri red chilli powder, 1/4 teaspoon coriander powder, 1/4 teaspoon turmeric powder, coriander leaves - finely chopped, 1/4 cup water, 2 Tablespoon coconut oil, salt - to taste</t>
  </si>
  <si>
    <t>To make Kerala Style Egg Roast Curry, first heat oil in a pan. Add ginger, garlic, onion and curry leaves. Keep the flame on medium and cook till onion becomes soft and light brown. Now add garam masala powder, black pepper powder, red chili powder, coriander powder, turmeric powder and mix well. Let it cook for 2 minutes. After 2 minutes add tomatoes and salt. Let it cook for 3 to 4 minutes. After 3 to 4 minutes add 1/4 cup water and let it boil. After boiling, reduce the flame and add boiled eggs to it. Cover the pan and let it cook for 10 to 15 minutes on low flame. Turn off the gas and garnish with green coriander. Serve Kerala Style Egg Roast Curry Recipe with Tawa Paratha or Appam for breakfast. You can also serve this curry with rice and salad for lunch.</t>
  </si>
  <si>
    <t xml:space="preserve">കേരള സ്‌റ്റൈൽ എഗ് റോസ്‌റ്റ് കരി ബനാനെ സെബസെ പഹലെ കഠായിയിൽ ടെൽ ഗരം കർ ലെ. ഇതുപോലെ അദരക്, ലഹസുൻ, പ്യാജ്, കഠി പട്ട ദാലെ. आँच को मध्यम पर रखें गर्खें गर्खें गरें हल्का भूरा होने.  ഇതുപോലെ ഗരം മസാല പൗഡർ, കാലി മിർച്ച് പൌഡർ, ലാൽ മിർച്ച് പൌഡർ, ധനിയാ ബോർഡ്, പൌഡർ ഡാലെ കൂടാതെ അച്ഛി തരഹ് സെ മിലാ ലെ. 2 മിനിറ്റ് തക്ക പകനെ ദേ. 2 മിനിറ്റ് മോശം ഇതുപോലെ ടമാറ്റർ കൂടാതെ നമക് ഡാലെ. 3 സെ 4 മിനിറ്റിനുള്ളിൽ.  3 സെ 4 മിനിറ്റ് बबाला आने की बाद, आंच को धीम करें बादेखें उबले കഠായി കോ ഠകെയും ധീമി ആഞ്ചും 10 സെ 15 മിനിറ്റ് വരെ. गैस करें और हरे धनिये से गार्निश करें കേരള സ്‌റ്റൈൽ എഗ് റോസ്‌റ്റ് കരി റെസിപ്പി കോ തവാ പഠിതാവ് അല്ലെങ്കിൽ അപ്പം എന്നതിൽ നിന്ന് വളരെ മോശം കാര്യം. നിങ്ങൾ ഈ കാരി കോ ചാവലും സലാദും ദിവസവും കഴിക്കുന്നു.
</t>
  </si>
  <si>
    <t>http://www.archanaskitchen.com/kerala-style-egg-roast-curry-recipe-in-hindi</t>
  </si>
  <si>
    <t>Spicy Crab Masala Recipe</t>
  </si>
  <si>
    <t>സ്‌പൈസി ക്രാബ് മസാല റെസിപ്പി</t>
  </si>
  <si>
    <t>4 ഞണ്ടുകൾ, 6 പുതിയ തേങ്ങ - കഷണങ്ങൾ, 5 തണ്ട് മല്ലിയില (ധാനിയ) ഇലകൾ, 1 ഇഞ്ച് കറുവപ്പട്ട (ഡാൽചിനി), 1 കായം (തേജ് പട്ട), 2 ഇഞ്ച് ഇഞ്ചി, 4 അല്ലി വെളുത്തുള്ളി, 3/4 കപ്പ് ഉള്ളി - വറുത്തത്, 1 ഉള്ളി - അരിഞ്ഞത്, 2 തക്കാളി - ചെറുതായി അരിഞ്ഞത്, 2 ടീസ്പൂൺ ടീസ്പൂൺ ചുവന്ന മുളക് പൊടി - ക്രമീകരിക്കാവുന്ന, 1 ടേബിൾസ്പൂൺ മല്ലിപ്പൊടി (ധാനിയ), 1 ടീസ്പൂൺ മഞ്ഞൾപൊടി (ഹാൽദി), ഉപ്പ് - ആവശ്യത്തിന്, സൂര്യകാന്തി എണ്ണ - ആവശ്യത്തിന്</t>
  </si>
  <si>
    <t>4 Crabs,6 Fresh coconut - chunks,5 sprig Coriander (Dhania) Leaves,1 inch Cinnamon Stick (Dalchini),1 Bay leaf (tej patta),2 inch Ginger,4 cloves Garlic,3/4 cup Onion - fried,1 Onion - chopped,2 Tomato - finely chopped,2 teaspoons Kashmiri Red Chilli Powder - adjustable,1 teaspoons Red Chilli powder - adjustable,1 tablespoon Coriander Powder (Dhania),1 teaspoon Turmeric powder (Haldi),Salt - to taste,Sunflower Oil - as required</t>
  </si>
  <si>
    <t xml:space="preserve">To prepare Spicy Masala Crab Recipe, get all the ingredients handy and grind the masala ingredients fried onion, coconut, cinnamon, bay leaf, ginger, garlic &amp; coriander leaves - to a fine paste.In a kadai/wok, heat some oil and saute the onion.Add the crabs and sauté to coat them with oil.After the crab changes it color to deeper in 10 minutes on a medium heat, start adding the dry spice powders - turmeric powder, coriander powder, Kashmiri red chilli, red chilli powder and salt as per taste. Stir in all the spices to ensure that the crab is coated well with spices.Add the chopped tomato, stir them into the crab mixture. Add 1/2 cup of water, since crab cooks in its own moisture in meat as well.Cover with a lid and cook on simmered flame for 5-6 minutes, until the water from the meat starts oozing out.Remove the lid and check for the spice levels, and adjust.Pour in the ground masala and cook on a low flame with lid closed, for another 15-20 minutes.You may continue cooking to adjust the consistency of the gravy as desired.Once done- Serve Spicy Masala Crab Recipe hot with steamed rice and rotis with Dal tadka and Carrot Ribbon Salad With Asian Sesame Dressing.
</t>
  </si>
  <si>
    <t xml:space="preserve">എരിവുള്ള മസാല ക്രാബ് റെസിപ്പി തയ്യാറാക്കാൻ, എല്ലാ ചേരുവകളും കൈയ്യിൽ കരുതുക, മസാല ചേരുവകൾ വറുത്ത ഉള്ളി, തേങ്ങ, കറുവാപ്പട്ട, കായം, ഇഞ്ചി, വെളുത്തുള്ളി, മല്ലിയില എന്നിവ നന്നായി പൊടിക്കുക. ഒരു കടയിൽ/വാക്കിൽ, കുറച്ച് എണ്ണ ചൂടാക്കി സവാള വഴറ്റുക. ഞണ്ടുകൾ ചേർത്ത് 1 മിനിറ്റ് നിറത്തിൽ വഴറ്റുക. ഇടത്തരം ചൂടിൽ, ഉണങ്ങിയ മസാലപ്പൊടികൾ - മഞ്ഞൾപ്പൊടി, മല്ലിപ്പൊടി, കാശ്മീരി ചുവന്ന മുളക്, ചുവന്ന മുളക് പൊടി, ഉപ്പ് എന്നിവ ചേർത്ത് തുടങ്ങുക. ഞണ്ട് മസാലകൾ കൊണ്ട് നന്നായി പൊതിഞ്ഞിട്ടുണ്ടെന്ന് ഉറപ്പാക്കാൻ എല്ലാ മസാലകളും ഇളക്കുക. അരിഞ്ഞ തക്കാളി ചേർക്കുക, അവയെ ഞണ്ട് മിശ്രിതത്തിലേക്ക് ഇളക്കുക. 1/2 കപ്പ് വെള്ളം ചേർക്കുക. ആവശ്യമുള്ള ഗ്രേവി.ഇ.ഇ.ഇ.
</t>
  </si>
  <si>
    <t>http://www.archanaskitchen.com/spicy-crab-masala-recipe</t>
  </si>
  <si>
    <t>Chukku Kaapi Recipe - Dry Ginger Coffee</t>
  </si>
  <si>
    <t>ചുക്കു കാപ്പി റെസിപ്പി - ഡ്രൈ ജിഞ്ചർ കോഫി</t>
  </si>
  <si>
    <t>4 കപ്പ് വെള്ളം, 1 ടേബിൾസ്പൂൺ ഉണങ്ങിയ ഇഞ്ചിപ്പൊടി, 1 ടീസ്പൂൺ കുരുമുളക് പൊടി, 1 ടേബിൾസ്പൂൺ ഇൻസ്റ്റൻ്റ് കാപ്പി പൊടി, 20 തുളസി (വിശുദ്ധ തുളസി), 1 ടീസ്പൂൺ ജീരകം (ജീര), 4 ഏലം (ഇലച്ചി) കായ്കൾ/വിത്ത്, 3 ടേബിൾസ്പൂൺ ശർക്കര - (രുചിക്കനുസരിച്ച് ക്രമീകരിക്കുക), 1/4 ടീസ്പൂൺ ഉപ്പ് - അല്ലെങ്കിൽ ആവശ്യത്തിന്</t>
  </si>
  <si>
    <t>4 cups Water,1 tablespoon Dry ginger powder,1 teaspoon Black pepper powder,1 tablespoon Instant Coffee Powder,20 Tulsi (holy basil),1 teaspoon Cumin seeds (Jeera),4 Cardamom (Elaichi) Pods/Seeds,3 tablespoons Jaggery - (adjust to taste),1/4 teaspoon Salt - or to taste</t>
  </si>
  <si>
    <t xml:space="preserve">To begin making Chukku Kaapi Recipe (Dry Ginger Coffee), in a saucepan, boil enough water.Add in jaggery once the water is boiling and stir till it dissolves.Once jaggery is dissolved, add in dry ginger powder, cumin seeds, coffee powder, black pepper and boil for about 4 minutes to make the brew even and effective.Now add Tulsi (holy basil) leaves and let the mixture boil for 2-3 minutes.Once done add cardamom powder, a bit of salt and switch off heat.Strain the Chukku Kaapi into serving cups and serve hot in mornings and evenings to get rid of common cough and cold.
</t>
  </si>
  <si>
    <t xml:space="preserve">ചുക്കു കാപ്പി (ഉണങ്ങിയ ഇഞ്ചി കാപ്പി) ഉണ്ടാക്കാൻ തുടങ്ങുന്നതിന്, ഒരു ചീനച്ചട്ടിയിൽ ആവശ്യത്തിന് വെള്ളം തിളപ്പിക്കുക. വെള്ളം തിളച്ചുകഴിഞ്ഞാൽ ശർക്കര ചേർക്കുക, അലിഞ്ഞുപോകുന്നതുവരെ ഇളക്കുക. ശർക്കര അലിഞ്ഞുകഴിഞ്ഞാൽ, ഉണങ്ങിയ ഇഞ്ചിപ്പൊടി, ജീരകം, കാപ്പിപ്പൊടി, കുരുമുളക് എന്നിവ ചേർത്ത് 4 മിനിറ്റ് തിളപ്പിക്കുക. മിശ്രിതം 2-3 മിനിറ്റ് തിളപ്പിക്കുക. കഴിഞ്ഞാൽ ഏലയ്ക്കാപ്പൊടിയും അൽപം ഉപ്പും ചേർത്ത് തീ ഓഫ് ചെയ്യുക. ചുക്കു കാപ്പി സെർവിംഗ് കപ്പുകളിലേക്ക് അരിച്ചെടുത്ത് രാവിലെയും വൈകുന്നേരവും ചൂടോടെ വിളമ്പുക, സാധാരണ ചുമയും ജലദോഷവും അകറ്റാൻ.
</t>
  </si>
  <si>
    <t>https://www.archanaskitchen.com/chukku-kaapi-recipe-dry-ginger-coffee</t>
  </si>
  <si>
    <t>Kerala Style Chena Mezhukkupuratty Recipe - Yam Stir Fry</t>
  </si>
  <si>
    <t>2 കപ്പ് ആനക്കറി (സുരൻ/സേനൈ/രതാലു) - ചെറുതായി അരിഞ്ഞത്, 1 ടേബിൾസ്പൂൺ ചുവന്ന മുളകുപൊടി, 1 ടീസ്പൂൺ മഞ്ഞൾപൊടി (ഹാൽദി), 1 ടേബിൾസ്പൂൺ പെരുംജീരകം (സൗൺഫ്) - പൗണ്ട്, 1 ടീസ്പൂൺ കുരുമുളക് പൊടി, 1 ടീസ്പൂൺ കടുക്, 1 കപ്പ് കറിവേപ്പില, 1 ടേബിൾസ്പൂൺ കറിവേപ്പില. ഗ്രാമ്പൂ വെളുത്തുള്ളി</t>
  </si>
  <si>
    <t>2 cups Elephant yam (Suran/Senai/Ratalu) - chopped into small cubes,1 tablespoon Red Chilli powder,1 teaspoon Turmeric powder (Haldi),1 tablespoon Fennel seeds (Saunf) - pound,1 teaspoon Black pepper powder,1 teaspoon Mustard seeds,1 sprig Curry leaves,1 tablespoon Coconut Oil,1 cup Pearl onions (Sambar Onions),6 cloves Garlic</t>
  </si>
  <si>
    <t xml:space="preserve">To begin making the Kerala Style Chena Mezhukkupuratty Recipe, firstly boil the yam in a pressure cooker with water, salt and turmeric for about 3 whistle. Do not boil it till it becomes mushy. Strain the water and keep it aside.In a mixer, add in the onions and garlic and grind it into a coarse paste.Heat a kadai with oil, splutter the mustard seeds, curry leaves and then add in the ground onions and garlic. Add in the spice powders including red chilli powder, turmeric powder, fennel seeds, black pepper powder and fry till the raw smell goes away.Once done add in the boiled yam and coat the mixture well into the yam. Stir fry till it crisps up and check for seasoning by adding salt. Serve the Kerala Style Chena Mezhukkupuratty Recipe along with Thandu Keerai Sambar, Steamed Rice and Elai Vadam for your everyday meals.
</t>
  </si>
  <si>
    <t xml:space="preserve">കേരള സ്റ്റൈൽ ചേന മെഴുക്കുപുരട്ടി റെസിപ്പി ഉണ്ടാക്കാൻ തുടങ്ങാൻ, ആദ്യം ഒരു പ്രഷർ കുക്കറിൽ വെള്ളവും ഉപ്പും മഞ്ഞളും ചേർത്ത് ഏകദേശം 3 വിസിൽ വേവിക്കുക. ഇത് ചീഞ്ഞളിഞ്ഞത് വരെ തിളപ്പിക്കരുത്. വെള്ളം അരിച്ചെടുത്ത് മാറ്റി വയ്ക്കുക. ഒരു മിക്സിയിൽ, ഉള്ളിയും വെളുത്തുള്ളിയും ചേർത്ത് ഒരു നാടൻ പേസ്റ്റായി പൊടിക്കുക. ഒരു കടായി എണ്ണ ചൂടാക്കി, കടുക്, കറിവേപ്പില എന്നിവ വിതറുക, തുടർന്ന് ഉള്ളി, വെളുത്തുള്ളി എന്നിവ ചേർക്കുക. ചുവന്ന മുളകുപൊടി, മഞ്ഞൾപ്പൊടി, പെരുംജീരകം, കുരുമുളക് പൊടി എന്നിവയുൾപ്പെടെയുള്ള മസാലപ്പൊടികൾ ചേർത്ത് അസംസ്കൃത മണം മാറുന്നതുവരെ വഴറ്റുക. കഴിഞ്ഞാൽ വേവിച്ച ചേന ചേർത്ത് മിശ്രിതം നന്നായി യോജിപ്പിക്കുക. വഴറ്റുന്നത് വരെ വഴറ്റുക, ഉപ്പ് ചേർത്ത് താളിക്കുക. തണ്ടു കീരൈ സാമ്പാർ, ആവിയിൽ വേവിച്ച ചോറ് , ഏലയ് വടം  എന്നിവയ്‌ക്കൊപ്പം കേരള സ്റ്റൈൽ ചേന മെഴുക്കുപുരട്ടി റെസിപ്പി നിങ്ങളുടെ ദൈനംദിന ഭക്ഷണത്തിനായി വിളമ്പുക.
</t>
  </si>
  <si>
    <t>https://www.archanaskitchen.com/kerala-style-chena-mezhukkupuratty-recipe-yam-stir-fry-recipe</t>
  </si>
  <si>
    <t>Kerala Style Chakka Varattiyathu Ari Payasam Recipe - Jackfruit Brown Rice Kheer</t>
  </si>
  <si>
    <t>കേരള സ്റ്റൈൽ ചക്ക വരട്ടിയത്ത് അരി പായസം റെസിപ്പി - ചക്ക ബ്രൗൺ റൈസ് ഖീർ</t>
  </si>
  <si>
    <t>1 കപ്പ് ചക്ക അസംസ്‌കൃതം (കാതൽ) - ചെറുതായി അരിഞ്ഞത്, 1 കപ്പ് ബ്രൗൺ റൈസ്, 1 കപ്പ് പാൽ, 1 ഏലയ്ക്ക (ഏലയ്ക്ക) കായ്കൾ/വിത്ത്, 1 ടേബിൾസ്പൂൺ നെയ്യ്, 2 ടീസ്പൂൺ കശുവണ്ടിപ്പരിപ്പ് - അരിഞ്ഞത്</t>
  </si>
  <si>
    <t>1 cup Jackfruit Raw (Kathal) - chopped finely,1 cup Brown Rice,1 cup Milk,1 Cardamom (Elaichi) Pods/Seeds,1 tablespoon Ghee,2 teaspoon Cashew nuts - chopped</t>
  </si>
  <si>
    <t xml:space="preserve">To begin making the Kerala Style Chakka varattiyathu Ari Payasam Recipe, we will first boil the jackfruit. Boil the chopped jackfruit with 1/2 cup water in a saucepan over medium heat.Leave it on medium-low heat for about 20 minutes, till the jackfruit become soft and turns pulpy. Switch off the flame, and allow it to cool down. Transfer this into a a mixer-jar and grind it into a smooth paste.Heat a saucepan, add in the brown rice, milk, jackfruit puree, and 1 cup water, cardamom pod and allow it to boil on medium-low heat.You can keep stirring till the milk thickens and rice is boiled. This is a slow process that will take sometime. the brown rice that needs to be fully cooked. Check the Chakka varattiyathu Ari Payasam after 25 - 30 minutes to see if its done. If ts cooked, switch off the heat and serve.Serve the Kerala Style Chakka varattiyathu Ari Payasam Recipe after a nice Kerala meal like Kerala Avial Recipe and Kerala Style Egg Roast Curry and Malabari Parotta .
</t>
  </si>
  <si>
    <t xml:space="preserve">കേരള സ്‌റ്റൈൽ ചക്ക വരട്ടിയത് അരി പായസം ഉണ്ടാക്കാൻ തുടങ്ങാൻ, ഞങ്ങൾ ആദ്യം ചക്ക പാകം ചെയ്യും. ചക്ക അരിഞ്ഞത് 1/2 കപ്പ് വെള്ളം ഒരു ചീനച്ചട്ടിയിൽ ഇടത്തരം ചൂടിൽ തിളപ്പിക്കുക. ഏകദേശം 20 മിനിറ്റ് ഇടത്തരം കുറഞ്ഞ ചൂടിൽ വയ്ക്കുക, ചക്ക മൃദുവായതും പൾപ്പി ആയി മാറുന്നതു വരെ. തീ ഓഫ് ചെയ്യുക, അത് തണുക്കാൻ അനുവദിക്കുക. ഇത് ഒരു മിക്‌സർ ജാറിലേക്ക് മാറ്റി മിനുസമാർന്ന പേസ്റ്റാക്കി പൊടിക്കുക. ഒരു ചീനച്ചട്ടി ചൂടാക്കി, അതിൽ മട്ട അരി, പാല്, ചക്ക പാല്, 1 കപ്പ് വെള്ളം, ഏലക്കായപ്പൊടി എന്നിവ ചേർത്ത് ഇടത്തരം ചൂടിൽ തിളപ്പിക്കാൻ അനുവദിക്കുക. പാൽ കട്ടിയാകുന്നതുവരെയും അരി തിളപ്പിക്കുന്നതുവരെയും ഇളക്കിക്കൊണ്ടേയിരിക്കാം. ഇത് മന്ദഗതിയിലുള്ള പ്രക്രിയയാണ്, അത് കുറച്ച് സമയമെടുക്കും. പൂർണ്ണമായും പാകം ചെയ്യേണ്ട തവിട്ട് അരി. ചക്ക വരട്ടിയതു അരി പായസം 25 - 30 മിനിറ്റിനു ശേഷം, അത് പൂർത്തിയായോ എന്ന് പരിശോധിക്കുക. ടിഎഎസ് വേവിച്ചുകളയുകയും ചൂടിൽ നിന്ന് മാറുകയും സേവിക്കുകയും ചെയ്യുക. കേരളത്തിലെ ചക്ക വരട്ടിയതി പാചകക്കുറിപ്പ് കേരളത്തിലെ ചക്ക വരച്ചതി പാചകക്കുറിപ്പ്. കേരള സൗകര്യങ്ങൾ
</t>
  </si>
  <si>
    <t>http://www.archanaskitchen.com/kerala-style-chakka-varattiyathuari-payasam-recipe-jackfruit-brown-rice-kheer-pudding-recipe</t>
  </si>
  <si>
    <t>Kerala Style Appam Recipe - Fermented Rice Pancakes With Coconut</t>
  </si>
  <si>
    <t>കേരള സ്റ്റൈൽ അപ്പം റെസിപ്പി - തേങ്ങയോടൊപ്പം പുളിപ്പിച്ച റൈസ് പാൻകേക്കുകൾ</t>
  </si>
  <si>
    <t>2 കപ്പ് അരി - അസംസ്കൃത , 1 കപ്പ് വേവിച്ച അരി, 1 കപ്പ് പുതിയ തേങ്ങ - പുതുതായി അരച്ചത്, 1 ടീസ്പൂൺ സജീവമായ ഉണങ്ങിയ യീസ്റ്റ് -  + 1/2 കപ്പ് ചെറുചൂടുള്ള വെള്ളം, 2 ടേബിൾസ്പൂൺ പഞ്ചസാര, ഉപ്പ് - ആസ്വദിപ്പിക്കുന്നതാണ്</t>
  </si>
  <si>
    <t>2 cups Rice - raw ,1 cup Cooked rice,1 cup Fresh coconut - freshly grated,1 teaspoon Active dry yeast -  + 1/2 cup of luke warm water,2 tablespoons Sugar,Salt - to taste</t>
  </si>
  <si>
    <t xml:space="preserve">To begin making the Kerala Style Appam Recipe, we need to first soak the rice in water for at least 3 to 4 hours.Next combine the salt, sugar and yeast in the warm water and allow it to proof for 5 minutes. I used an instant dry yeast, a variety that does not need proofing, hence I add it directly to the Appam batter.Grind the soaked rice, cooked rice and coconut, adding just a little water and salt to make a thick batter. Add in the proofed yeast to the batter and stir well to combine. Transfer the Appam batter to a bowl. Cover the bowl and allow it to ferment for 5 to 6 hours or overnight.Adjust the consistency of the fermented Appam batter, adding water a little at a time to make it of thick pouring consistency. If you make it too watery, then the Appams will not be as soft and will not spread well.Preheat the Appachetty or the Appam pan on medium high heat. Pour a ladle of batter on the Appachetty and swirl the pan in circular fashion to spread the batter.The batter will be thick in the center and thin on the sides. Cover the pan with a lid for approximately 2 minutes until it is crisped and golden brown on the sides and the centre is steamed and cooked.Serve the Kerala Appams along with Kadala Curry or Kerala Style Vegetable Stew.
</t>
  </si>
  <si>
    <t xml:space="preserve">കേരള സ്‌റ്റൈൽ അപ്പം റെസിപ്പി ഉണ്ടാക്കാൻ തുടങ്ങുന്നതിന്, ആദ്യം അരി കുറഞ്ഞത് 3 മുതൽ 4 മണിക്കൂർ വരെ വെള്ളത്തിൽ കുതിർത്ത് വെയ്ക്കണം.അടുത്തതായി ഉപ്പ്, പഞ്ചസാര, യീസ്റ്റ് എന്നിവ ചെറുചൂടുള്ള വെള്ളത്തിൽ യോജിപ്പിച്ച് 5 മിനിറ്റ് പ്രൂഫ് ചെയ്യാൻ അനുവദിക്കുക. ഞാൻ ഒരു തൽക്ഷണ ഡ്രൈ യീസ്റ്റ് ഉപയോഗിച്ചു, പ്രൂഫിംഗ് ആവശ്യമില്ലാത്ത ഒരു ഇനം, അതിനാൽ ഞാൻ ഇത് നേരിട്ട് അപ്പം ബാറ്ററിലേക്ക് ചേർക്കുന്നു. കുതിർത്ത അരിയും വേവിച്ച അരിയും തേങ്ങയും പൊടിച്ച് കുറച്ച് വെള്ളവും ഉപ്പും ചേർത്ത് കട്ടിയുള്ള മാവ് ഉണ്ടാക്കുക. മാവിൽ പ്രൂഫ് ചെയ്ത യീസ്റ്റ് ചേർത്ത് നന്നായി ഇളക്കുക. അപ്പം ബാറ്റർ ഒരു പാത്രത്തിലേക്ക് മാറ്റുക. പാത്രം മൂടി 5 മുതൽ 6 മണിക്കൂർ വരെ അല്ലെങ്കിൽ ഒറ്റരാത്രികൊണ്ട് പുളിക്കാൻ അനുവദിക്കുക. പുളിപ്പിച്ച അപ്പം ബട്ടറിൻ്റെ സ്ഥിരത ക്രമീകരിക്കുക, കട്ടിയുള്ള പകരുന്ന സ്ഥിരതയുള്ളതാക്കി മാറ്റാൻ കുറച്ച് സമയം വെള്ളം ചേർക്കുക. നിങ്ങൾ ഇത് വളരെ വെള്ളമുള്ളതാക്കുകയാണെങ്കിൽ, അപ്പങ്ങൾ അത്ര മൃദുവായതായിരിക്കില്ല, നന്നായി പടരുകയുമില്ല. ഇടത്തരം ചൂടിൽ അപ്പച്ചെട്ടി അല്ലെങ്കിൽ അപ്പം പാൻ മുൻകൂട്ടി ചൂടാക്കുക. അപ്പച്ചെട്ടിയുടെ മേൽ ഒരു ലഡ്ഡിൽ മാവ് ഒഴിക്കുക, വൃത്താകൃതിയിലുള്ള രീതിയിൽ പാൻ കറക്കുക. ഏകദേശം 2 മിനിറ്റ് പാൻ ഒരു ലിഡ് കൊണ്ട് മൂടി വശങ്ങളിലായി സ്വർണ്ണ തവിട്ട് നിറമാകുന്നത് വരെ മധ്യഭാഗം ആവിയിൽ വേവിച്ച് വേവിക്കുക.കടല കറി അല്ലെങ്കിൽ കേരള സ്റ്റൈൽ വെജിറ്റബിൾ സ്റ്റൂ എന്നിവയ്‌ക്കൊപ്പം കേരള അപ്പം വിളമ്പുക.
</t>
  </si>
  <si>
    <t>http://www.archanaskitchen.com/kerala-style-appam-recipe-fermented-rice-pancakes-with-coconut</t>
  </si>
  <si>
    <t>Muringakka Manga Mulakushyam - Mango &amp; Drumstick Kootu Curry</t>
  </si>
  <si>
    <t>മുരിങ്ങക്കാ മാങ്ങ മുളകുഷ്യം - മാമ്പഴവും മുരിങ്ങയും കൂട്ടുകറി</t>
  </si>
  <si>
    <t>1 മുരിങ്ങയില - ഏകദേശം 1.5 ഇഞ്ച് നീളത്തിൽ അരിഞ്ഞത്, 1 മാങ്ങ (പച്ച) - തൊലികളഞ്ഞത്, കടിയോളം വലുപ്പത്തിൽ അരിഞ്ഞത്, 1 പച്ചമുളക്, 1 കപ്പ് വെള്ളം, ഉപ്പ് - പാകത്തിന്, 1/2 കപ്പ് അർഹർ പയർ (തൂർക്ക പിളർന്നത്) - 30 മിനിറ്റ് കുതിർത്തത്, 1/4 ടീസ്പൂൺ മഞ്ഞൾപ്പൊടി, 1 കപ്പ് മഞ്ഞൾപ്പൊടി, 1 കപ്പ്, തേങ്ങാപ്പൊടി - 4 ടീസ്പൂൺ ജീരകം (ജീര), 2 പച്ചമുളക്, 2-1/2 ടേബിൾസ്പൂൺ വെള്ളം, 1-1/2 ടീസ്പൂൺ വെളിച്ചെണ്ണ, 1/4 ടീസ്പൂൺ കടുക്, 1/4 ടീസ്പൂൺ വെള്ള ഉറാദ് ദാൽ (പിളർന്നത്), 2 ഉണങ്ങിയ ചുവന്ന മുളക്, 1 തണ്ട് കറിവേപ്പില</t>
  </si>
  <si>
    <t>1 Drumstick - chopped to about 1.5 inch,1 Mango (Raw) - peeled &amp; chopped to bite-size,1 Green Chilli,1 cup Water,Salt - to taste,1/2 cup Arhar dal (Split Toor Dal) - soaked for 30 minutes,1/4 teaspoon Turmeric powder (Haldi),2 cups Water,1/4 cup Fresh coconut - grated,1 teaspoon Cumin seeds (Jeera),2 Green Chillies,2-1/2 tablespoons Water,1-1/2 teaspoons Coconut Oil,1/4 teaspoon Mustard seeds,1/4 teaspoon White Urad Dal (Split),2 Dry Red Chillies,1 sprig Curry leaves</t>
  </si>
  <si>
    <t xml:space="preserve">To begin making the Muringakka Manga Mulakushyam get all the ingredients ready, so it will be easy to get started.In a pressure cooker, add toor dal, drumstick, mango &amp; 2 cups of water, salt &amp; turmeric powder. Pressure cook dal for 3 to 4 whistles or till soft and mushy.  Let the pressure release completely.In a mixer, add coconut, green chilies, jeera, water, and grind them into fine paste.Add the coconut to the dal, mango &amp; drumstick mixture. Combine all the ingredients well.Simmer the flame and cook the Muringakka Manga Mulakushyam for about 3 to 4 minutes. Adjust the consistency of the Mulakushyam, by adding a little water. Check the salt and adjust to suit your taste.In a tadka pan, add a little coconut oil. Once the oil is hot, add mustard seeds. As soon as oil splutters, add urad dhal, red chilies, and curry leaves.Pour the tadka over the curry and serve steaming Muringakka Manga Mulakushyam.Serve the Muringakka Manga Mulakushyam along with Dondakaya / Kovakkai Poriyal and Jowar Roti for lunch
</t>
  </si>
  <si>
    <t xml:space="preserve">മുരിങ്ങക്കാ മാങ്ങ മുളകുഷ്യം ഉണ്ടാക്കാൻ തുടങ്ങുന്നതിന് എല്ലാ ചേരുവകളും തയ്യാറാക്കുക, അതിനാൽ ഇത് ആരംഭിക്കുന്നത് എളുപ്പമായിരിക്കും. ഒരു പ്രഷർ കുക്കറിൽ, പാവൽ, മുരിങ്ങയില, മാങ്ങ &amp; 2 കപ്പ് വെള്ളം, ഉപ്പ്, മഞ്ഞൾപ്പൊടി എന്നിവ ചേർക്കുക. 3 മുതൽ 4 വരെ വിസിൽ അല്ലെങ്കിൽ മൃദുവും മൃദുവും വരെ പ്രഷർ കുക്ക്.  മർദ്ദം പൂർണ്ണമായും വിടുക. ഒരു മിക്സിയിൽ, തേങ്ങ, പച്ചമുളക്, ജീര, വെള്ളം എന്നിവ ചേർത്ത് നന്നായി പേസ്റ്റ് ആക്കുക. തേങ്ങ, മാങ്ങ, മുരിങ്ങയില എന്നിവയുടെ മിശ്രിതത്തിലേക്ക് ചേർക്കുക. എല്ലാ ചേരുവകളും നന്നായി യോജിപ്പിക്കുക. തീ അരിച്ചെടുത്ത് മുരിങ്ങക്കാ മാങ്ങ മുളകുഷ്യം ഏകദേശം 3 മുതൽ 4 മിനിറ്റ് വരെ വേവിക്കുക. അൽപം വെള്ളം ചേർത്ത് മുളകുഷ്യത്തിൻ്റെ സ്ഥിരത ക്രമീകരിക്കുക. ഉപ്പ് പരിശോധിച്ച് നിങ്ങളുടെ അഭിരുചിക്കനുസരിച്ച് ക്രമീകരിക്കുക. ഒരു തഡ്ക പാനിൽ അല്പം വെളിച്ചെണ്ണ ചേർക്കുക. എണ്ണ ചൂടായ ശേഷം കടുക് പൊട്ടിക്കുക. എണ്ണ തെറിച്ചുകഴിഞ്ഞാൽ, ഉലുവ, ചുവന്ന മുളക്, കറിവേപ്പില എന്നിവ ചേർക്കുക. കറിക്ക് മുകളിൽ തഡ്ക ഒഴിച്ച് ആവിയിൽ വേവിച്ച മുരിങ്ങക്കാ മാങ്ങ മുളകുഷ്യം വിളമ്പുക. മുരിങ്ങക്കാ മാങ്ങ മുളകുഷ്യം, ദോണ്ടക്കായ / കോവക്കൈ പൊരിയൽ, ജോവർ റൊട്ടി എന്നിവയ്‌ക്കൊപ്പം ഉച്ചഭക്ഷണത്തിന് വിളമ്പുക.
</t>
  </si>
  <si>
    <t>https://www.archanaskitchen.com/mango-drumstick-mulakushyam-recipe-coconut-based-curry</t>
  </si>
  <si>
    <t>Kerala Style Banana Dosa Recipe</t>
  </si>
  <si>
    <t>കേരള സ്റ്റൈൽ ബനാന ദോശ റെസിപ്പി</t>
  </si>
  <si>
    <t>1 കപ്പ് അരിപ്പൊടി, 1/2 കപ്പ് ഓൾ പർപ്പസ് മാവ് (മൈദ), 1 ടീസ്പൂൺ ഉണങ്ങിയ ഇഞ്ചിപ്പൊടി, 1/2 ടീസ്പൂൺ ഏലയ്ക്കാപ്പൊടി (ഇലച്ചി), 2 പഴുത്ത ഏത്തപ്പഴം - ചതച്ചത്, 4 ടേബിൾസ്പൂൺ ശർക്കര, 2 ടേബിൾസ്പൂൺ കശുവണ്ടിപ്പരിപ്പ് - പൊടിച്ചത്, 1 നുള്ള് ഉപ്പ്, നെയ്യ് - പാചകത്തിന്</t>
  </si>
  <si>
    <t>1 cup Rice flour,1/2 cup All Purpose Flour (Maida),1 teaspoon Dry ginger powder,1/2 teaspoon Cardamom Powder (Elaichi),2 Ripe Bananas - mashed,4 tablespoon Jaggery,2 tablespoon Cashew nuts - ground,1 pinch Salt,Ghee - for cooking</t>
  </si>
  <si>
    <t xml:space="preserve">We begin making the Kerala Style Banana Dosa Recipe by heating jaggery with ¼ cup water into a sauce pan till it dissolves.Mash the bananas into a bowl, add all the other ingredients including the jaggery syrup and add 1 cup water and mix well to form a thick pancake batter.Heat a nonstick pan with ghee and pour a ladle on the hot pan and cook for about 2 minutes on either side and flip it over. Do the rest to remaining batter.Serve the Kerala Style Banana Dosa Recipe as a snack after school with glass of buttermilk or Mango Lassi Recipe (A Refreshing Mango Drink with Yogurt).
</t>
  </si>
  <si>
    <t xml:space="preserve">¼ കപ്പ് വെള്ളവും ശർക്കരയും ഒരു സോസ് പാനിൽ ചൂടാക്കി ഞങ്ങൾ കേരള സ്‌റ്റൈൽ ബനാന ഡോസ ഉണ്ടാക്കാൻ തുടങ്ങുന്നു. ഒരു പാത്രത്തിൽ വാഴപ്പഴം മാഷ് ചെയ്യുക, ശർക്കര സിറപ്പ് ഉൾപ്പെടെയുള്ള മറ്റെല്ലാ ചേരുവകളും ചേർത്ത് 1 കപ്പ് വെള്ളം ചേർത്ത് നന്നായി ഇളക്കുക. ഇരുവശത്തും അത് മറിച്ചിടുക. ബാക്കിയുള്ളത് ബാക്കിയുള്ള ബാറ്ററിലേക്ക് ചെയ്യുക. സ്‌കൂൾ കഴിഞ്ഞ് ഒരു സ്‌നാക്‌സായി കേരള സ്‌റ്റൈൽ ബനാന ദോസ റെസിപ്പി ഒരു ഗ്ലാസ് മോര് അല്ലെങ്കിൽ മാംഗോ ലസ്സി റെസിപ്പി (തൈരിനൊപ്പമുള്ള ഉന്മേഷദായകമായ മാംഗോ ഡ്രിങ്ക്) ഉപയോഗിച്ച് വിളമ്പുക.
</t>
  </si>
  <si>
    <t>https://www.archanaskitchen.com/kerala-style-banana-dosa-recipe</t>
  </si>
  <si>
    <t>Kerala Mutton Roast Recipe - Kerala Mutton Masala</t>
  </si>
  <si>
    <t>500 ഗ്രാം മട്ടൺ - എല്ലിനൊപ്പം (സ്വാദും ചേർക്കുന്നു), 1/2 ടീസ്പൂൺ കുരുമുളകുപൊടി, ഉപ്പ് - നിങ്ങളുടെ അഭിരുചിക്കനുസരിച്ച്, 1/4 ടീസ്പൂൺ മഞ്ഞൾപൊടി (ഹാൽദി), 3 ടേബിൾസ്പൂൺ വെളിച്ചെണ്ണ, 1 സവാള - ചെറുതായി അരിഞ്ഞത്, 1 തക്കാളി - ചെറുതായി അരിഞ്ഞത്, 2 ഇഞ്ച് ഇഞ്ചി - ചെറുതായി അരിഞ്ഞത്, 4 ഗ്രാമ്പൂ / വെളുത്തുള്ളി - 4 ടീസ്പൂൺ. മഞ്ഞൾപ്പൊടി (ഹാൽദി), 1/4 ടീസ്പൂൺ മല്ലിപ്പൊടി (ധാനിയ), 1/2 ടീസ്പൂൺ ഗരം മസാല പൊടി, 1/2 ടീസ്പൂൺ പെരുംജീരകം (സൗൺഫ്), 2 തണ്ട് കറിവേപ്പില, ഉപ്പ് - നിങ്ങളുടെ അഭിരുചിക്കനുസരിച്ച്</t>
  </si>
  <si>
    <t>500 grams Mutton - with bone (adds flavour),1/2 teaspoon Black pepper powder,Salt - as per your taste,1/4 teaspoon Turmeric powder (Haldi),3 tablespoons Coconut Oil,1 Onion - finely chopped,1 Tomato - finely chopped,2 inch Ginger - finely chopped,6 cloves Garlic - finely chopped,3/4 teaspoon Red Chilli powder,1/4 teaspoon Turmeric powder (Haldi),1/4 teaspoon Coriander Powder (Dhania),1/2 teaspoon Garam masala powder,1/2 teaspoon Fennel seeds (Saunf),2 sprig Curry leaves,Salt - as per your taste</t>
  </si>
  <si>
    <t xml:space="preserve">To begin making Kerala Mutton Roast Recipe, wash and clean the mutton pieces well. In a pressure cooker, combine the mutton pieces, pepper powder, salt, turmeric powder and mix well.Add 1 cup of water. Close the pressure cooker and place on high flame.Once the first whistle blows, reduce the flame to low and then let it continue to be on low flame for another 30 minutes. After 30 minutes, turn off the heat and allow the pressure to release naturally. Transfer the mutton pieces in a bowl and keep the stock aside. The stock will be utilized later. In a deep pan or wok add coconut oil on medium heat. Once the oil is hot, add sliced onion and saute for about 3-4 minutes until the onions become soft and translucent.Now add fennel seeds, ginger, garlic and curry leaves and let it cook for 2 minutes. To the onion mix, add red chilli powder, turmeric powder, coriander powder, garam masala powder salt and stir well. Saute for a couple of minutes until the Kerala Mutton Roast masala comes together.Once the raw smell of the masala is gone, add the chopped tomatoes and cook until soft and mushy. This will take about 2 to 3 minutes.At this stage add the mutton stock and the mutton pieces into this Mutton Roast masala. Let this cook on medium to high flame until the Kerala Mutton Roast becomes semi dry.Once the Kerala Mutton Roast Recipe is done, turn off the heat, check the salt and spice levels and adjust to suit your taste.Serve Kerala Mutton Roast along with Kerala Style Pulissery Recipe (Mor Kuzhambu) and Steamed rice for a complete meal or can be eaten along with Rotis, Ghee Roast Dosa or Kerala Style Appams.
</t>
  </si>
  <si>
    <t xml:space="preserve">കേരള മട്ടൺ റോസ്റ്റ് റെസിപ്പി ഉണ്ടാക്കാൻ തുടങ്ങാൻ, മട്ടൺ കഷണങ്ങൾ നന്നായി കഴുകി വൃത്തിയാക്കുക. ഒരു പ്രഷർ കുക്കറിൽ, മട്ടൺ കഷണങ്ങൾ, കുരുമുളക് പൊടി, ഉപ്പ്, മഞ്ഞൾ പൊടി എന്നിവ യോജിപ്പിച്ച് നന്നായി ഇളക്കുക. 1 കപ്പ് വെള്ളം ചേർക്കുക. പ്രഷർ കുക്കർ അടച്ച് ഉയർന്ന തീയിൽ വയ്ക്കുക. ആദ്യത്തെ വിസിൽ അടിച്ചുകഴിഞ്ഞാൽ, തീ ചെറുതാക്കി ഒരു 30 മിനിറ്റ് കൂടി കുറഞ്ഞ തീയിൽ തുടരട്ടെ. 30 മിനിറ്റിനു ശേഷം, ചൂട് ഓഫ് ചെയ്ത് മർദ്ദം സ്വാഭാവികമായി പുറത്തുവിടാൻ അനുവദിക്കുക. മട്ടൺ കഷണങ്ങൾ ഒരു ബൗളിലേക്ക് മാറ്റി സ്റ്റോക്ക് മാറ്റി വയ്ക്കുക. സ്റ്റോക്ക് പിന്നീട് ഉപയോഗിക്കും. ആഴത്തിലുള്ള പാത്രത്തിലോ ചീനച്ചട്ടിയിലോ ഇടത്തരം ചൂടിൽ വെളിച്ചെണ്ണ ചേർക്കുക. എണ്ണ ചൂടായാൽ, ഉള്ളി അരിഞ്ഞത് ചേർക്കുക, ഉള്ളി മൃദുവും അർദ്ധസുതാര്യവുമാകുന്നതുവരെ ഏകദേശം 3-4 മിനിറ്റ് വഴറ്റുക. ഇപ്പോൾ പെരുംജീരകം, ഇഞ്ചി, വെളുത്തുള്ളി, കറിവേപ്പില എന്നിവ ചേർത്ത് 2 മിനിറ്റ് വേവിക്കുക. ഉള്ളി മിക്‌സിലേക്ക് ചുവന്ന മുളക് പൊടി, മഞ്ഞൾ പൊടി, മല്ലിപ്പൊടി, ഗരം മസാല പൊടി ഉപ്പ് എന്നിവ ചേർത്ത് നന്നായി ഇളക്കുക. കേരള മട്ടൺ റോസ്റ്റ് മസാല ഒരുമിച്ചു വരുന്നത് വരെ കുറച്ച് മിനിറ്റ് വഴറ്റുക. മസാലയുടെ അസംസ്കൃത മണം പോയിക്കഴിഞ്ഞാൽ, തക്കാളി അരിഞ്ഞത് ചേർത്ത് മൃദുവും മൃദുവും വരെ വേവിക്കുക. ഇത് ഏകദേശം 2 മുതൽ 3 മിനിറ്റ് വരെ എടുക്കും. ഈ ഘട്ടത്തിൽ മട്ടൺ സ്റ്റോക്കും മട്ടൺ കഷണങ്ങളും ഈ മട്ടൺ റോസ്റ്റ് മസാലയിലേക്ക് ചേർക്കുക. കേരള മട്ടൺ റോസ്റ്റ് പകുതി ഡ്രൈ ആകുന്നത് വരെ ഇത് മീഡിയം മുതൽ ഉയർന്ന തീയിൽ വേവിക്കാൻ അനുവദിക്കുക. കേരള മട്ടൺ റോസ്റ്റ് റെസിപ്പി ചെയ്തുകഴിഞ്ഞാൽ, തീ അണച്ച്, ഉപ്പും മസാലയും പരിശോധിച്ച് നിങ്ങളുടെ അഭിരുചിക്കനുസരിച്ച് ക്രമീകരിക്കുക. കേരള മട്ടൺ റോസ്റ്റിനൊപ്പം കേരള സ്റ്റൈൽ പുളിശ്ശേരി റെസിപ്പിയും (മോർ കുഴമ്പു) ഒപ്പം ആവിയിൽ വേവിച്ച ചോറിനൊപ്പം കഴിക്കാം അല്ലെങ്കിൽ കേരള സ്റ്റൈൽ അപ്പങ്ങൾ.
</t>
  </si>
  <si>
    <t>https://www.archanaskitchen.com/kerala-style-mutton-roast-recipe-mutton-masala-in-semi-gravy</t>
  </si>
  <si>
    <t>Chicken Kappa Biryani Recipe</t>
  </si>
  <si>
    <t>ചിക്കൻ കപ്പ ബിരിയാണി റെസിപ്പി</t>
  </si>
  <si>
    <t>500 ഗ്രാം മരച്ചീനി വേര് - തൊലി കളഞ്ഞ് ചെറുതായി അരിഞ്ഞത്, 250 ഗ്രാം ചിക്കൻ - അരിഞ്ഞത്, 1 സവാള - 5 അല്ലി വെളുത്തുള്ളി - അരിഞ്ഞത്, 1 ഇഞ്ച് ഇഞ്ചി - 1 അരിഞ്ഞത്, 1 തണ്ട് കറിവേപ്പില, 1 പച്ചമുളക് - 1 ടീസ്പൂൺ മഞ്ഞൾപ്പൊടി, 2 ടീസ്പൂൺ. പൊടി, 1 ടീസ്പൂൺ കുരുമുളക് പൊടി, 3 ടേബിൾസ്പൂൺ പുതിയ തേങ്ങ - അരച്ചത്, ഉപ്പ് - പാകത്തിന്, വെളിച്ചെണ്ണ - പാചകത്തിന്</t>
  </si>
  <si>
    <t>500 grams Tapioca root - skin peeled and chopped into small cubes,250 grams Chicken - minced,1 Onion - sliced,5 cloves Garlic - chopped,1 inch Ginger - chopped,1 sprig Curry leaves,1 Green Chilli - sliced,1 teaspoon Turmeric powder (Haldi),1 teaspoon Red Chilli powder,2 teaspoons Garam masala powder,1 teaspoon Black pepper powder,3 tablespoons Fresh coconut - grated,Salt - to taste,Coconut Oil - for cooking</t>
  </si>
  <si>
    <t xml:space="preserve">To begin making the Chicken Kappa Biryani Recipe, we will first pressure cook the tapioca in pressure cooker with salt to 6 whistles.The tapioca must be boiled enough so that it is easy for you to mash it.  Once done allow the pressure cooker to release the pressure naturally.Drain the water, transfer the tapioca in a bowl and mash it well, leaving it a bit chunky as well. Set aside. Heat a kadai with coconut oil, add curry leaves and allow it splutter. Add ginger, garlic and saute for a few minutes. Add sliced onions and saute till they turn translucent. Now add all the spice powders-  turmeric powder, red chilli powder, garam masala powder and pepper powder, give it a good stir.Add minced chicken and cook until the chicken is done. This will take about 18-20 minutes. Add the cooked and mashed tapioca, mix them well.By using a masher try to mash the tapioca a little more and also keep few chunks as well for a good texture.Serve the Chicken Kappa Biryani Recipe along with potato theeyal or Tomato Onion Cucumber Raita to enjoy your Sunday lunch.
</t>
  </si>
  <si>
    <t xml:space="preserve">ചിക്കൻ കപ്പ ബിരിയാണി റെസിപ്പി ഉണ്ടാക്കാൻ തുടങ്ങുന്നതിന്, ഞങ്ങൾ ആദ്യം മരച്ചീനി പ്രഷർ കുക്കറിൽ ഉപ്പ് ചേർത്ത് 6 വിസിൽ വരെ പാകം ചെയ്യും. മരച്ചീനി ആവശ്യത്തിന് വേവിച്ചിരിക്കണം, അതിനാൽ നിങ്ങൾക്ക് ഇത് മാഷ് ചെയ്യാൻ എളുപ്പമാണ്.  ചെയ്തുകഴിഞ്ഞാൽ പ്രഷർ കുക്കറിനെ സ്വാഭാവികമായി മർദ്ദം വിടാൻ അനുവദിക്കുക. വെള്ളം വറ്റിക്കുക, മരച്ചീനി ഒരു പാത്രത്തിലേക്ക് മാറ്റി നന്നായി മാഷ് ചെയ്യുക, അത് അൽപ്പം കട്ടിയുള്ളതാക്കി മാറ്റുക. മാറ്റിവെക്കുക. വെളിച്ചെണ്ണയിൽ കടായി ചൂടാക്കുക, കറിവേപ്പില ചേർക്കുക, അത് തെറിക്കാൻ അനുവദിക്കുക. ഇഞ്ചി, വെളുത്തുള്ളി എന്നിവ ചേർത്ത് കുറച്ച് മിനിറ്റ് വഴറ്റുക. അരിഞ്ഞ ഉള്ളി ചേർത്ത് അർദ്ധസുതാര്യമാകുന്നതുവരെ വഴറ്റുക. ഇപ്പോൾ എല്ലാ മസാലപ്പൊടികളും ചേർക്കുക-  മഞ്ഞൾപ്പൊടി, ചുവന്ന മുളകുപൊടി, ഗരം മസാലപ്പൊടി, കുരുമുളകുപൊടി, ഇത് നന്നായി ഇളക്കി കൊടുക്കുക.അരിഞ്ഞ ചിക്കൻ ചേർത്ത് ചിക്കൻ വേവുന്നത് വരെ വേവിക്കുക. ഇത് ഏകദേശം 18-20 മിനിറ്റ് എടുക്കും. വേവിച്ചതും ചതച്ചതുമായ മരച്ചീനി ചേർക്കുക, നന്നായി ഇളക്കുക. ഒരു മാഷർ ഉപയോഗിച്ച് മരച്ചീനി കുറച്ചുകൂടി മാഷ് ചെയ്യാൻ ശ്രമിക്കുക, കൂടാതെ കുറച്ച് കഷ്ണങ്ങൾ നല്ല ഘടനയ്ക്കായി സൂക്ഷിക്കുക. നിങ്ങളുടെ ഞായറാഴ്ച ഉച്ചഭക്ഷണം ആസ്വദിക്കാൻ ചിക്കൻ കപ്പ ബിരിയാണി  ഉരുളക്കിഴങ്ങ് തീയൽ അല്ലെങ്കിൽ തക്കാളി ഉള്ളി വെള്ളരി റൈത്ത  എന്നിവയ്ക്കൊപ്പം വിളമ്പുക.
</t>
  </si>
  <si>
    <t>http://www.archanaskitchen.com/chicken-kappa-biryani-recipe</t>
  </si>
  <si>
    <t>Kerala Style Nadan Tomato Curry Recipe (Recipe In Hindi)</t>
  </si>
  <si>
    <t>നാടൻ ടമാറ്റർ കറി റെസിപ്പി - കേരള സ്റ്റൈൽ നാടൻ തക്കാളി കറി പാചകക്കുറിപ്പ് (ഹിന്ദിയിലെ പാചകക്കുറിപ്പ്)</t>
  </si>
  <si>
    <t>5 ടമാറ്റർ - ബാരിക് കാറ്റേ ഹുഎ,2 ഹരി മർച്ച് - കടി ഹുയി,1/4 ഛോട്ടി ചമച്ച/12പട,1 ഛോട്ടി ചമച്ച ലാൽ മിർച്ച് പോഡർ,നമക് - സ്വാദനുസാർ,1 ഛോട്ടി ചമച്ച നാറിയൽ,1/2 ചമച്ച റായ്,1 ഡാലി കഠി പട്ട,1/4 കപ്പ് നാറിയൽ - കട ഹുയാ,1 ഛോട്ടി ചമച്ച, 5പച്ച ആധേ കിയേ ഹുഎ</t>
  </si>
  <si>
    <t>5 tomatoes - finely chopped, 2 green chillies - chopped, 1/4 teaspoon turmeric powder, 1/2 teaspoon red chilli powder, salt - to taste, 1 teaspoon coconut oil, 1/2 teaspoon mustard, 1 cast Curry leaves, 1/4 cup coconut - chopped, 1 teaspoon cumin seeds, 5 onions - halved</t>
  </si>
  <si>
    <t>To make Nadan Tomato Curry, first heat oil in a pan and add mustard seeds and curry leaves. Now add green chillies, tomatoes, turmeric, red chili powder and salt. Cook on low flame till tomatoes turn soft. While tomatoes are cooking, grind the grinding ingredients with 1/2 cup water. When tomatoes turn soft, mix the ground paste with it and cook for 3-4 minutes and turn off the gas. Serve Nadan Tomato Curry with Rice for dinner.</t>
  </si>
  <si>
    <t xml:space="preserve">നദാൻ ടമാറ്റർ കാരി ബനാനെ, സബ്സെ പഹലെ കടായി ഞാൻ ടെൽ ഗരമ് കറെ കൂടാതെ കൂടുതൽ രസകരം പത്തേ ഡാലേ. അബ് ഹരി മിർച്ച്, ടമാറ്റർ, ഹൽദി, ലാൽ മിർച്ച് പൗഡർ, നമക് ഡാലെ.  കാം ആഞ്ച് പര പകനേ ദേ ജബ് തക് ടമാറ്റർ നരം ന ഹോ ജാഏ. ജബ് തക് ടമാറ്റർ പകെ, പീസനെ കി സാമഗ്രി കോ 1/2 കപ്പ് പാനി കെ സാത്ത് പീസലെ. ജബ് ടമാറ്റർ നരം ഹോ ജാഎ, പീസെ ഹ്യൂ പെസ്‌റ്റ് കോ ഉസ്‌കെയ്‌ക്ക് മിലായേ കൂടാതെ 3-4 മിനറുകളും ഗെസ് ബന്ദ് കരലേ. നദാൻ ടമാറ്റർ കാരി കോ ചാവൽ കെ സാത്ത് ദിനർ ഞാൻ പരോസ്.  
</t>
  </si>
  <si>
    <t>http://www.archanaskitchen.com/kerala-style-nadan-tomato-curry-recipe-recipe-in-hindi</t>
  </si>
  <si>
    <t>Kerala Style Okra Thoran Recipe - Kerala Style Vendakkai Thoran (Recipe In Hindi)</t>
  </si>
  <si>
    <t>കേരള സ്റ്റൈൽ ഓകര തോരൻ റെസിപ്പി - കേരള സ്റ്റൈൽ വെണ്ടക്കൈ തോരൻ (ഹിന്ദിയിലെ പാചകക്കുറിപ്പ്)</t>
  </si>
  <si>
    <t>500 ഗ്രാം ബിണ്ടി - കാറ്റ് ലെ,10 ഛോട്ടേ പ്യാജ് - ബാരിക്ക് കാറ്റ് ലെ,1/4 കപ്പ് നാറിയൽ - കസ് ലെ,2 ബാരിക്ക് കാറ്റ് ലെ,1 തഹനി കഠി പട്ട,1/2 ഛോട്ട ചമച്ച റൈ,1/2 ഛോട്ടാ ഹചം പൌഡർ,നമക് - സ്വാദ് അനുസാർ,തെൽ - പ്രയോഗം അനുസാർ</t>
  </si>
  <si>
    <t>500 grams okra - cut, 10 small onions - finely chopped, 1/4 cup coconut - grated, 2 green chillies - finely chopped, 1 sprig curry leaves, 1/2 teaspoon mustard, 1/2 teaspoon turmeric Powder, salt - as per taste, oil - as per use</t>
  </si>
  <si>
    <t>To make Kerala Style Okra Thoran, first prepare all the ingredients and keep them aside. Now heat oil in a pan. Add mustard seeds, curry leaves and let it cook for 15 seconds. After 15 seconds add onions and cook till they become soft. After onions become soft, add green chilies, okra, salt and mix well. Cover the pan and cook till okra becomes soft. Now add turmeric powder, coconut and cook for another 2 minutes. Turn off the gas and serve. Serve Kerala Style Okra Thoran with Tomato Onion Sambar and Rice for dinner.</t>
  </si>
  <si>
    <t xml:space="preserve">കേരള സ്‌റ്റൈൽ ഒകാര തോരൻ ബനാനെ കൂടാതെ സബ്‌സെ പഹലെ സാഡി സാമഗ്രി തൈയാർ കർ. ലേഔർ ഇനി ഒരു കഥ ഇതുപോലെ റായ്, കഠി പട്ട ദാലെ കൂടാതെ 15 സെക്കണ്ട്സ് തക്ക പകനെ ദേ. 15 സെക്കണ്ട്സ് ബാദ് ഇസമെം പ്യാജ് ഡാലെയും ഉനകെ നരം ഹോനെ തക്ക പക ലെ. ഹരീഷ് മിർച്ച്, ഓകാര, നമക് ഡാലെ കൂടാതെ മില ലേ. കഠൈ കോ ഠകെയും ബിണ്ടിയും നരം ഹോനേ തക്ക പകോ. ഇപ്പോൾ ഹൽദി പോഡർ, നാറിയൽ ഡാലെ, കൂടാതെ 2 മിനിറ്റ് കൂടാതെ പക്കാ. ഗെയ്സ് ബന്ദ് കരെം ആൻഡ് പരോസ്. കേരള സ്‌റ്റൈൽ ഒകാര തോരൻ കോ ടമാറ്റർ യാത്രാ സാംബറും ചാവലും ദിനങ്ങൾക്കായി.
</t>
  </si>
  <si>
    <t>http://www.archanaskitchen.com/kerala-style-vendakkai-thoran-recipe-stir-fried-okra-with-ground-coconut-recipe-in-hindi</t>
  </si>
  <si>
    <t>Kerala Tomato Fry Recipe – Kerala Tomato Fry (Recipe In Hindi)</t>
  </si>
  <si>
    <t>കേരള ടമാറ്റർ ഫ്രൈ റെസിപ്പി - കേരള തക്കാളി ഫ്രൈ (ഹിന്ദിയിൽ പാചകക്കുറിപ്പ്)</t>
  </si>
  <si>
    <t>4 ടമാറ്റർ - കാറ്റേ ഹുഎ,തെൽ - പ്രയോഗം അനുസാർ,1 ബഡാ ചമച്ച റായ്,3 സുഖി ലാൽ ഹുയി,5 കഠി പത്ത,2 പയാജ് - പതലെ കാറ്റേ ഹുഎ,1 ബഡാ ചമച്ച അദരക് ലഹസുൻ,2 മർച്ച് - കാറ്റേ ഹുഎ,1/2 ബഡാ ചമച്ച കശ്മീരി ലാൽ മിർച്ച് പൗഡർ,1/2 ബാഡ്‌ചാറ്റ് ഹൽദി പോഡർ,നമക് - സ്വാദ് അനുസാർ,2 ബഡ ചമച്ച ഹര ധനിയ - ബാരീക് കാഹട്ടെ</t>
  </si>
  <si>
    <t>4 tomatoes - chopped, oil - as per use, 1 tablespoon rye, 3 dry red chillies - broken, 5 curry leaves, 2 onions - finely chopped, 1 tablespoon ginger garlic paste, 2 green chillies - chopped, 1/2 tablespoon Kashmiri red chilli powder, 1/2 tablespoon turmeric powder, salt - as per taste, 2 tablespoons green coriander - finely chopped</t>
  </si>
  <si>
    <t>To make Kerala Tomato Fry, first heat oil in a pan. Add mustard seeds and dried red chillies. When the mustard seeds crackle, add curry leaves, green chillies and onions. After 1 minute add ginger garlic paste. Cook till onions turn soft and brown in color. After that add Kashmiri red chilli powder and turmeric powder. Mix well and add chopped tomatoes. Cook for 5 to 7 minutes. After tomatoes turn soft, add salt and mix well. Cook for 1 more minute and garnish with coriander leaves. For lunch, serve Kerala Tomato Fry with Beetroot Sambar and Rice.</t>
  </si>
  <si>
    <t xml:space="preserve">കേരള ടമാറ്റർ ഫ്രെയി ബനാനെ, സബ്സെ പഹലെ ഒരു കഥായ് മെം ടെൽ ഗരം കരെം. അതുപോലെ റായ്, സുഖി ലാൽ മിർച്ച് ഡാലേ. ജബ് റായ് തഡകനേ ലഗെ, ഇതുപോലെ കഠി പത്ത, ഹരി മിർച്ച്, കൂടാതെ പ്യാജ് ഡാലെ. 1 മിനിറ്റ് ബാദ് ഇതുപോലെ അദരക് ലഹസുൻ കാ പെസ്റ്റ് ഡാലേ. പ്രാർത്ഥനയുടെ നരം കൂടാതെ ഭൂരെ ഹോനെ തക്ക പകോ. ഉസ്കെ ബാദ് ഇതുപോലെ കശ്മീരി ലാൽ മിർച്ച് പൗഡർ കൂടാതെ ഹൽദി പൌഡർ ഡാലെ. അച്ഛി തരഃ 5 സെ 7 മിനിറ്റിനുള്ളിൽ ദേ.ടമാറ്റർ എന്നതിൻ്റെ പേരിലുള്ള ബാദ് നമക് ഡാലെയും മില ലെയും. 1 മിനിറ്റും പക്കായും ഫിർ ഹരെ ധനിയേ സേ ഗാർനിഷ് കരെം. ദിനം പ്രതി, കേരള ടമാറ്റർ ഫ്രൈ കോ ബീറ്റ്റൂട്ട് സാംബറും ചാവലും പോലെ.
</t>
  </si>
  <si>
    <t>https://www.archanaskitchen.com/kerala-tomato-fry-recipe-in-hindi</t>
  </si>
  <si>
    <t>Kerala Style Rich Creamy Egg Cashew Curry Recipe</t>
  </si>
  <si>
    <t>2 മുട്ട മുഴുവനായും വേവിച്ച് പകുതിയായി അരിഞ്ഞത്, 7 കശുവണ്ടിപ്പരിപ്പ്, 1 സവാള - 1 അരിഞ്ഞത്, 1 തക്കാളി - അരിഞ്ഞത്, 2 ഉരുളക്കിഴങ്ങ് (ആലൂ), 1 ഇഞ്ച് ഇഞ്ചി, 3 വെളുത്തുള്ളി, 2 ടീസ്പൂൺ മല്ലിപ്പൊടി (ധാനിയ), 1 ടീസ്പൂൺ ചുവന്ന മുളകുപൊടി, 1/2 ടീസ്പൂൺ മഞ്ഞൾപ്പൊടി (ഹാൽദി), 1/4 ടീസ്പൂൺ. (സൗൺഫ്), 2 ടേബിൾസ്പൂൺ മല്ലിയില (ധാനിയ) ഇല - അരിഞ്ഞത്, 2 തണ്ട് കറിവേപ്പില, സൂര്യകാന്തി എണ്ണ - ആവശ്യത്തിന്, ഉപ്പ് - ആവശ്യത്തിന്</t>
  </si>
  <si>
    <t>2 Whole Eggs - hard boiled and cut to half,7 Cashew nuts,1 Onion - chopped,1 Tomato - chopped,2 Potato (Aloo),1 inch Ginger,3 Garlic,2 teaspoon Coriander Powder (Dhania),1 teaspoon Red Chilli powder,1/2 teaspoon Turmeric powder (Haldi),1/4 teaspoon Garam masala powder,1 tablespoon Fennel seeds (Saunf),2 tablespoons Coriander (Dhania) Leaves - chopped,2 sprig Curry leaves,Sunflower Oil - as required,Salt - to taste</t>
  </si>
  <si>
    <t xml:space="preserve">To prepare Rich Creamy Egg Cashew Curry Recipe, soak cashews in hot water for 15-20 minutes.Hard boil the eggs, peel and keep aside.Grind the cashews to a smooth paste in a mixer adding a little water.In a blender, take chopped onions, tomatoes, ginger, garlic, chilly, turmeric, coriander, garam masala, and fennel seeds.Blend it to a smooth paste.In a kadai, add oil. Once the oil is hot, splutter mustard seeds.Add the curry leaves. Let them splutter for a few seconds.Add the onion-tomato paste and roast till the raw smell leaves.Add 1 cup water and chopped potatoes and bring it to a boil.Add salt, close the lid of the kadai, and let the potatoes cook.Once the potatoes are cooked soft, add the cashew paste and mix well. Make sure that it comes to boil but does not boil much, since there is risk of cashew paste causing the gravy char.Take it off heat and add the slit egg pieces.Garnish Rich Creamy Egg Cashew Curry with chopped coriander leaves. Serve hot with rotis/phulkas.
</t>
  </si>
  <si>
    <t xml:space="preserve">റിച്ച് ക്രീം എഗ് കശുവണ്ടി കറി പാചകക്കുറിപ്പ് തയ്യാറാക്കാൻ, കശുവണ്ടി ചൂടുവെള്ളത്തിൽ 15-20 മിനിറ്റ് കുതിർക്കുക. മുട്ട നന്നായി തിളപ്പിച്ച് തൊലി കളഞ്ഞ് മാറ്റി വയ്ക്കുക. കശുവണ്ടി അല്പം വെള്ളം ചേർത്ത് മിക്സിയിൽ മിനുസമാർന്ന പേസ്റ്റായി പൊടിക്കുക. ഒരു ബ്ലെൻഡറിൽ അരിഞ്ഞ ഉള്ളി, തക്കാളി, ഇഞ്ചി, വെളുത്തുള്ളി, ചെറുപയർ, കുരുമുളക്, വെളുത്തുള്ളി, കുരുമുളക് എന്നിവ എടുക്കുക. വിത്തുകൾ.ഇത് മിനുസമാർന്ന പേസ്റ്റിലേക്ക് യോജിപ്പിക്കുക.കടയിൽ എണ്ണ ചേർക്കുക. എണ്ണ ചൂടായാൽ കടുക് പൊട്ടിക്കുക.കറിവേപ്പില ചേർക്കുക. അവ കുറച്ച് നിമിഷങ്ങൾ തെറിക്കാൻ അനുവദിക്കുക.സവാള-തക്കാളി പേസ്റ്റ് ചേർത്ത് അസംസ്കൃത മണം വരുന്നതുവരെ വറുക്കുക. 1 കപ്പ് വെള്ളവും അരിഞ്ഞ ഉരുളക്കിഴങ്ങും ചേർത്ത് തിളപ്പിക്കുക. ഉപ്പ് ചേർക്കുക, കടായിയുടെ മൂടി അടച്ച് ഉരുളക്കിഴങ്ങ് വേവിക്കുക. ഉരുളക്കിഴങ്ങ് മൃദുവായിക്കഴിഞ്ഞാൽ, കശുവണ്ടി പേസ്റ്റ് ചേർത്ത് നന്നായി ഇളക്കുക. കശുവണ്ടി പേസ്റ്റ് ഗ്രേവി ചാറിന് കാരണമാകുന്നതിനാൽ ഇത് തിളച്ചുമറിയുന്നുണ്ടെങ്കിലും അധികം തിളയ്ക്കുന്നില്ലെന്ന് ഉറപ്പാക്കുക. ഇത് ചൂടാക്കി അരിഞ്ഞ മുട്ട കഷണങ്ങൾ ചേർക്കുക. റിച്ച് ക്രീം മുട്ട കശുവണ്ടി കറി അരിഞ്ഞ മല്ലിയില കൊണ്ട് അലങ്കരിക്കുക. റൊട്ടി/ഫുൽക്കകൾക്കൊപ്പം ചൂടോടെ വിളമ്പുക.
</t>
  </si>
  <si>
    <t>https://www.archanaskitchen.com/rich-creamy-egg-cashew-curry-recipe</t>
  </si>
  <si>
    <t>Raw Banana Thoran Recipe - Raw Banana Thoran (Recipe In Hindi)</t>
  </si>
  <si>
    <t>കച്ചെ കേളേ കാ തോരൻ റെസിപ്പി - അസംസ്കൃത വാഴ തോരൻ (ഹിന്ദിയിലെ പാചകക്കുറിപ്പ്)</t>
  </si>
  <si>
    <t>2 കച്ച കേള - ഉബാലകർ കാറ്റ് ലെ,1 ഛോട്ട ചമച്ച നാറിയൽ തേൾ,1 ഛോട്ട ചമച്ചല,2 മർച്ച്,8 കഠി പട്ട,10 ഛോട്ടേ പ്യാജ് - ബാരിക്ക് കാറ്റ് ലെ,2 കലി ലഹസുൻ - ബാരിക്ക് കാറ്റ്,1/2 ലെ ചമച്ച ഹൽദി പൌഡർ,1/4 കപ്പ് നാറിയൽ - കസ് ലെ,2 ഹരി മിർച്ച്,1/4 കപ് ഹര ധനിയ - ദംഗൽ കാ, അനുസാർ</t>
  </si>
  <si>
    <t>2 raw bananas - boiled and chopped, 1 teaspoon coconut oil, 1 teaspoon mustard seeds, 2 dried red chillies, 8 curry leaves, 10 small onions - finely chopped, 2 cloves garlic - finely chopped, 1/2 teaspoon turmeric powder, 1/4 cup coconut - grated, 2 green chillies, 1/4 cup coriander leaves - chopped, salt - according to taste</t>
  </si>
  <si>
    <t>To make Raw Banana Thoran, first cut the raw banana in half and cook it in a pressure cooker for 3 to 4 whistles. Once cooked, peel it and chop it. Put the ingredients to be ground in a mixer grinder and make a paste. Now heat oil in a pan and add mustard seeds. After 15 seconds, add dried red chillies, curry leaves, onion and garlic. Cook till the onions become soft. After the onions become soft, add raw banana and grated coconut and mix it. Add salt and cook for 3 to 4 minutes. After that, turn off the gas and serve hot. Serve Raw Banana Thoran with Tomato Onion Sambar, Rice and Papad for lunch.</t>
  </si>
  <si>
    <t xml:space="preserve">കച്ചെ കേളേ കാ തോരൻ ബനാനെ കേ ലിയേ സബ്സെ പഹലെ കച്ചെ കേലെ കോ ആധാ കാറ്റ് ലെ 4കർഷേർ സിറ്റി ആനെ തക്ക പക ലെ. പക ജാനേ കെ ബാദ്, ഉസക ചില്ലക നികൽ ലെയും കൂടാതെ കാറ്റ ലെയും. പീസനെ വാലി സാമഗ്രി കോ മിക്‌സർ ഗ്രൈൻഡർ മെം ഡേലെയും ഉസകാ പെസ്റ്റ് ബനാ ലെയും. അബ് ഒരു കഠായി മെം തെൽ ഗരം കറം കൂടാതെ ഉസമേ റായ് ഡാലെ. 15 സെക്കണ്ടുകളുടെ ബാദ് ഉസമേ സുഖി ലാൽ മിർച്ച്, കടപ്പാട്, പ്യാജ്, ലഹസുൻ ഡാലേ. പ്രയോഗത്തിൻ്റെ നരം ഹോനെ തക്ക പകാഎ കൂടാതെ മില ലെ. നമക് ഡാലെയും 3 സെ 4 4 മിനിറ്റും. ഉസകെ ബാദ് ഗെയ്‌സ് ബന്ദ് കരേം കൂടാതെ ഗരമ ഗരം പരോസേ. കച്ചെ കേളേ തോരൻ കോ ടമാറ്റർ യാത്ര സാംബർ, ചാവൽ കൂടാതെ പാദങ്ങളും ദിനംപ്രതി അറിയിക്കുക.
</t>
  </si>
  <si>
    <t>http://www.archanaskitchen.com/raw-banana-thoran-recipe-in-hindi</t>
  </si>
  <si>
    <t>Kerala Style Eggplant Curry Recipe - Kerala Style Eggplant Curry (Recipe In Hindi)</t>
  </si>
  <si>
    <t>കേരള സ്റ്റൈൽ ബാങ്ക് കറി റെസിപ്പി - കേരള സ്റ്റൈൽ വഴുതനങ്ങ കറി (ഹിന്ദിയിൽ പാചകക്കുറിപ്പ്)</t>
  </si>
  <si>
    <t>2 ബംഗൻ - ബാരിക്ക് കാറ്റ് ലെ,1/4 ഛോട്ടാ ചമച്ച റൈ,1 പ്യാജ് - ബാരിക്ക് കാറ്റ് ലെ,2 കൂടാതെ സിധ കാറ്റ് ലെ,ഹൽദി പൗഡർ - ചുടകി ഭർ,1/2 ബഡാ ചമച്ച ധനിയ/2പാഡ,12. ചമച്ച സൌംഫ് - യാ ജീര,1/2 ഛോട്ടാ ചമച്ച മേത്തിയുടെ ദാനെ - പീസ ലെ,1 ടമാടർ, 1 ടമാറ്റർ - നാറിയൽ കാ ദൂധ - ഗാഢ,നാരിയൽ കാ തെൽ  - പ്രയോഗം അനുസാർ,2 തഹനി കഠി പത്ത,3 - ബാരിക്ക് കാറ്റ് ലെ</t>
  </si>
  <si>
    <t>2 brinjals - finely chopped, 1/4 teaspoon mustard, 1 onion - finely chopped, 2 green chillies - thin and straight cut, turmeric powder - a pinch, 1/2 tablespoon coriander powder, 1/2 teaspoon Fennel - or cumin, 1/2 teaspoon fenugreek seeds - grind, 1 tomato - finely chopped, 1/2 cup coconut milk - thick, coconut oil - as per use, 2 sprig curry leaves, 3 sprig coriander - Finely chop</t>
  </si>
  <si>
    <t>To make Kerala Style Brinjal Curry, first heat oil in a pan. Add brinjals and cook till they become crisp. Remove the brinjals and place on a kitchen towel to drain out the oil. Heat some more oil in the same pan. Add mustard seeds and cook for 20 seconds. Add fennel seeds, green chilies, onions, curry leaves and cook till onions turn brown. Add red chili powder, coriander powder, turmeric powder and cook for 3 minutes. Add tomatoes, brinjals and mix. After 1 minute, add water as required and cook for 4 minutes. Cook till brinjals become soft. After brinjals become soft, add coconut milk and mix. Cook for 2 minutes and finally garnish with coriander leaves. Serve Kerala Style Brinjal Curry with Chow Chow Thoran and Kerala Parotta for lunch.</t>
  </si>
  <si>
    <t xml:space="preserve">കേരള സ്‌റ്റൈൽ ബാങ്കിൻ്റെ അടിസ്ഥാന സൗകര്യങ്ങൾ ഇതുപോലെ ബാങ്ക് ഡേലെയും ഉനകെ ക്രിസ്പ് ഹോനേയും. ബാങ്ക് കോ നികലെ കൂടാതെ കിച്ചൻ ടവൽ പർ തെൽ നികലെന് വേണ്ടി രഖ് ദേ. उसी कढ़ई में ठोड़ा ओर देल गरम करें. ഇതുപോലെ റായ് ഡാലെ കൂടാതെ 20 സെക്കൻറുകൾ തക്ക പകനെ ദേ. ഇതുപോലെ സൌംഫ്, ഹരി മിർച്ച്, പ്യാജ്, കട പട്ട ദാലെ, കൂടാതെ യാത്രയുടെ ഭൂരിഭാഗവും. അബ് ഇതുപോലെ ലാൽ മർച്ച് പൗഡർ, ധനിയ പൗഡർ, ഹൽഡി പൗഡർ ഡാലെ കൂടാതെ 3 മിനിറ്റുകൾ. ഇതുപോലെ ടമാറ്റർ, ബാങ്കൻ ഡാലെ, കൂടാതെ മിലാ ലെ. 1 മിനിറ്റ് ബാദ് പ്രയോഗം അനുസാർ പാനി ഡാലെ കൂടാതെ 4 മിനിറ്റ് വരെ. ബാങ്കിൻ്റെ നരം ഹോനെ തക് പകാഎ. ലെ. രണ്ട് മിനിറ്റ് ചാവു തോരൻ ഒപ്പം കേരളാ പറോട്ടയും ദിനം പ്രതി. 
</t>
  </si>
  <si>
    <t>http://www.archanaskitchen.com/kerala-style-eggplant-curry-recipe-in-hindi</t>
  </si>
  <si>
    <t>Meen Varuthathu Recipe - Kerala Style Fish Fry</t>
  </si>
  <si>
    <t>മീൻ വറുത്തതു പാചകക്കുറിപ്പ് - കേരള സ്റ്റൈൽ ഫിഷ് ഫ്രൈ</t>
  </si>
  <si>
    <t>5 ഫിഷ് ഫില്ലറ്റ്, 1 ടീസ്പൂൺ ഇഞ്ചി വെളുത്തുള്ളി പേസ്റ്റ്, 1 ടേബിൾസ്പൂൺ ചുവന്ന മുളകുപൊടി - (ക്രമീകരിക്കുക), 1/2 ടീസ്പൂൺ മഞ്ഞൾപ്പൊടി (ഹാൽദി), കുരുമുളക് പൊടി - പാകത്തിന് പൊടിച്ചത്, 1/2 നാരങ്ങ - നീര്, ഉപ്പ് - പാകത്തിന്, വെളിച്ചെണ്ണ - ആഴം കുറഞ്ഞ വറുത്തതിന്, കറിവേപ്പില - കുറച്ച് തണ്ട്</t>
  </si>
  <si>
    <t>5 Fish fillet,1 teaspoon Ginger Garlic Paste,1 tablespoon Red Chilli powder - (adjust),1/2 teaspoon Turmeric powder (Haldi),Black pepper powder - freshly ground to taste,1/2 Lemon - juiced,Salt - to taste,Coconut Oil - for shallow frying,Curry leaves - a few sprigs</t>
  </si>
  <si>
    <t xml:space="preserve">To begin making the Meen Varuthathu Recipe - Kerala Style Fish Fry, wash and clean the fish well. Drain off the excess water. Set aside.In a mixing bowl, make a thick paste of all the ingredients under “for the Marinade” including ginger garlic paste, red chilli powder, turmeric powder, black pepper powder, lemon, salt adding a little water.Coat the spice mixture over the fish steaks well. Set aside for 30-40 minutes.Heat a frying pan with the oil, add the curry leaves and allow to splutter for a few seconds.Once the curry leaves are spluttered, immediately add the fish fillets, and shallow fry the fish till done and crisp on the outside. Flip the fillet to even brown on the other side also. Make sure to fry the fish over medium low heat so that they crisp up.Serve Meen Varuthathu Recipe as an appetiser with Steamed Rice, Kerala Chicken Curry and Snake Gourd Thoran and Paruppu Podi.
</t>
  </si>
  <si>
    <t xml:space="preserve">മീൻ വറുത്തത് റെസിപ്പി - കേരള സ്റ്റൈൽ ഫിഷ് ഫ്രൈ ഉണ്ടാക്കാൻ തുടങ്ങാൻ, മത്സ്യം നന്നായി കഴുകി വൃത്തിയാക്കുക. അധിക വെള്ളം കളയുക. മാറ്റിവെക്കുക.ഒരു മിക്സിംഗ് പാത്രത്തിൽ, ഇഞ്ചി വെളുത്തുള്ളി പേസ്റ്റ്, ചുവന്ന മുളകുപൊടി, മഞ്ഞൾപൊടി, കുരുമുളക് പൊടി, നാരങ്ങ, ഉപ്പ് എന്നിവയുൾപ്പെടെ "മാരിനഡിനുള്ള" എല്ലാ ചേരുവകളും ചേർത്ത് കട്ടിയുള്ള പേസ്റ്റ് ഉണ്ടാക്കുക. മസാല മിശ്രിതം മീൻ സ്റ്റീക്കിന് മുകളിൽ നന്നായി പുരട്ടുക. 30-40 മിനിറ്റ് മാറ്റിവെക്കുക.ഒരു ഫ്രൈയിംഗ് പാൻ എണ്ണയിൽ ചൂടാക്കി, കറിവേപ്പില ചേർക്കുക, കുറച്ച് നിമിഷങ്ങൾ തെറിക്കാൻ അനുവദിക്കുക. കറിവേപ്പില തെറിച്ചുകഴിഞ്ഞാൽ, ഉടൻ തന്നെ മീൻ കഷണങ്ങൾ ചേർക്കുക, കൂടാതെ മീൻ നന്നായി വറുത്തെടുക്കുകയും പുറത്ത് നന്നായി വറുക്കുകയും ചെയ്യുക. മറുവശത്തും ഫില്ലറ്റ് ബ്രൗൺ നിറത്തിലേക്ക് ഫ്ലിപ്പുചെയ്യുക. മീഡിയം കുറഞ്ഞ ചൂടിൽ മത്സ്യം വറുത്തെടുക്കുമെന്ന് ഉറപ്പാക്കുക, അങ്ങനെ അവ ശരിയായി ഉയർത്തിപ്പിടിക്കുന്നതിനായി. വേവിച്ച അരി, കേരള ചിക്കൻ കറി, പാമ്പ് പൊള്ളൻ, പാമ്പ് പോഡി എന്നിവയെന്ന വിശപ്പ്.
</t>
  </si>
  <si>
    <t>http://www.archanaskitchen.com/meen-varuthathu-recipe-kerala-style-fish-fry</t>
  </si>
  <si>
    <t>Chow Chow Thoran (Poriyal) Recipe</t>
  </si>
  <si>
    <t>ചൗ ചൗ തോരൻ (പൊരിയൽ) റെസിപ്പി</t>
  </si>
  <si>
    <t>3 ചായ, 1/2 കപ്പ് പുതിയ തേങ്ങ - അരച്ചത്, 2 പച്ചമുളക്, 2 തണ്ട് കറിവേപ്പില, ജീരകം (ജീര), 1/2 ടീസ്പൂൺ കടുക്, 1/2 ടീസ്പൂൺ മഞ്ഞൾപൊടി (ഹാൽദി), ഉപ്പ് - ആവശ്യത്തിന്</t>
  </si>
  <si>
    <t>3 Chayote,1/2 cup Fresh coconut - grated,2 Green Chillies,2 sprig Curry leaves,Cumin seeds (Jeera),1/2 teaspoon Mustard seeds,1/2 teaspoon Turmeric powder (Haldi),Salt - to taste</t>
  </si>
  <si>
    <t xml:space="preserve">To begin making the Chow Chow Thoran Recipe, peel the chow chow and cut them into medium size dices.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chow chow and keep aside.The final step is to make the seasoning. Heat a small pan with a teaspoon of oil; add in the mustard seeds and allow it to crackle.Once it crackles, stir in the other sprig of curry leaves and the turmeric powder.Turn off the heat and pour this seasoning into the Chow Chow Thoran mixture. Stir to come well and check the salt levels and adjust to suit your taste.You can serve Chow Chow Thoran along with Steamed Rice, Tomato Rasam, Mixed Vegetable Sambar and Elai Vadam for an everyday meal.
</t>
  </si>
  <si>
    <t xml:space="preserve">ചൗ ചൗ തോരൻ റെസിപ്പി ഉണ്ടാക്കാൻ തുടങ്ങാൻ, ചൗ ചൗവ് തൊലി കളഞ്ഞ് ഇടത്തരം വലിപ്പമുള്ള കഷ്ണങ്ങളാക്കി മുറിക്കുക. പ്രഷർ കുക്കറിൽ പച്ചക്കറികൾ ഉപ്പ് ചേർത്ത് 2 ടേബിൾസ്പൂൺ വെള്ളമോ ഒരു സ്റ്റീമറോ ചേർത്ത് ആവിയിൽ വേവിക്കുക. ഒരു ബ്ലെൻഡറിൽ തേങ്ങ, ഒരു തണ്ട് കറിവേപ്പില, പച്ചമുളക്, ജീരകം എന്നിവ ചേർത്ത് ഒരു നാടൻ മിശ്രിതം ഉണ്ടാക്കുക. തേങ്ങാ മിശ്രിതം ആവിയിൽ വേവിച്ച ചൗ ചൗവിൽ യോജിപ്പിച്ച് മാറ്റി വയ്ക്കുക. ഒരു ടീസ്പൂൺ എണ്ണയിൽ ഒരു ചെറിയ പാൻ ചൂടാക്കുക; കടുക് ചേർത്ത് പൊട്ടിക്കാൻ അനുവദിക്കുക. അത് പൊട്ടിച്ചാൽ, കറിവേപ്പിലയുടെ മറ്റൊരു തണ്ട്, മഞ്ഞൾപ്പൊടി എന്നിവ ചേർത്ത് ഇളക്കുക. തീ ഓഫ് ചെയ്ത് ചൗ ചൗ തോരൻ മിശ്രിതത്തിലേക്ക് ഈ താളിക്കുക. നന്നായി വരാൻ ഇളക്കി, ഉപ്പിൻ്റെ അളവ് പരിശോധിച്ച് നിങ്ങളുടെ അഭിരുചിക്കനുസരിച്ച് ക്രമീകരിക്കുക. ആവിയിൽ വേവിച്ച ചോറ്,  തക്കാളി രസം,  മിക്സഡ് വെജിറ്റബിൾ സാമ്പാർ , എളൈ വടം  എന്നിവയ്‌ക്കൊപ്പം നിങ്ങൾക്ക് ചൗ ചൗ തോരൻ  നിത്യേനയുള്ള ഭക്ഷണത്തിനായി വിളമ്പാം.
</t>
  </si>
  <si>
    <t>http://www.archanaskitchen.com/chow-chow-thoran-poriyal-recipe</t>
  </si>
  <si>
    <t>Kerala Style Kanji Payar Recipe</t>
  </si>
  <si>
    <t>കേരള സ്റ്റൈൽ കഞ്ഞി പയർ റെസിപ്പി</t>
  </si>
  <si>
    <t>1 കപ്പ് ചുവന്ന മട്ട അരി, 1 കപ്പ് ഗ്രീൻ മൂങ്ങ് ദാൽ (മുഴുവൻ), 1/2 കപ്പ് പുതിയ തേങ്ങ - അരച്ചത്, 2 അല്ലി വെളുത്തുള്ളി, 1 ടീസ്പൂൺ ജീരകം (ജീര), 1 പച്ചമുളക് - ചെറുതായി അരിഞ്ഞത്, 1 ടീസ്പൂൺ മഞ്ഞൾപൊടി (ഹാൽദി), 2 തണ്ട് കറിവേപ്പില, ഉപ്പ് - പാകത്തിന്, 4 പപ്പടം</t>
  </si>
  <si>
    <t>1 cup Red matta rice,1 cup Green Moong Dal (Whole),1/2 cup Fresh coconut - grated,2 cloves Garlic,1 teaspoon Cumin seeds (Jeera),1 Green Chilli - finely chopped,1 teaspoon Turmeric powder (Haldi),2 sprig Curry leaves,Salt - to taste,4 Papad</t>
  </si>
  <si>
    <t xml:space="preserve">To begin making the Kanji Payar Recipe, wash and add rice and salt to a pressure cooker along with 4 cups of water.Pressure cook for 6 -7 whistle on high heat and lower the heat and cook for 15 minutes. After 15 minutes turn off the heat. Let the pressure release naturally and then open the pressure cooker. Add more water if required to adjust the consistency of the rice Kanji.To make the Payar ThoranAdd the green gram in pressure cooker with 2 cups of water and salt.Pressure cook for 4-5 whistles and turn off the heat.Once the pressure is released cook off the excess water if any.In a blender add coconut, garlic, cumin seeds, green chilly, turmeric and blend. The mixture should be coarse.Add the coconut mixture and curry leaves to the cooked green gram and mix well. Roast the papad on low flame.To serve the Kanji Payar transfer the hot boiled rice to a serving bowl or a plate. Add some ghee to the rice Kanji if you like. Check the salt and adjust to suit your taste. Serve the Payar and papad on the side and enjoy.Serve Kanji Payar with Tomato Garlic Chutney Recipe or Kerala Vendakka Thoran and Elai Vadam Recipe
</t>
  </si>
  <si>
    <t xml:space="preserve">കഞ്ഞി പയർ റെസിപ്പി ഉണ്ടാക്കാൻ തുടങ്ങുന്നതിന്, അരിയും ഉപ്പും ഒരു പ്രഷർ കുക്കറിൽ 4 കപ്പ് വെള്ളവും ചേർത്ത് കഴുകുക. ഉയർന്ന തീയിൽ 6 -7 വിസിൽ പ്രഷർ കുക്ക് ചെയ്ത് തീ താഴ്ത്തി 15 മിനിറ്റ് വേവിക്കുക. 15 മിനിറ്റിനു ശേഷം തീ ഓഫ് ചെയ്യുക. പ്രഷർ സ്വാഭാവികമായി റിലീസ് ചെയ്യട്ടെ, എന്നിട്ട് പ്രഷർ കുക്കർ തുറക്കുക. അരി കഞ്ഞിയുടെ സ്ഥിരത ക്രമീകരിക്കാൻ ആവശ്യമെങ്കിൽ കൂടുതൽ വെള്ളം ചേർക്കുക.പയർ തോരൻ ഉണ്ടാക്കാൻ 2 കപ്പ് വെള്ളവും ഉപ്പും ചേർത്ത് പ്രഷർ കുക്കറിൽ ചെറുപയർ ചേർക്കുക. 4-5 വിസിലുകൾക്ക് പ്രഷർ കുക്ക് ചെയ്ത് തീ ഓഫ് ചെയ്യുക. പ്രഷർ വിട്ടാൽ അധിക വെള്ളം ഉണ്ടെങ്കിൽ വേവിക്കുക. ഒരു ബ്ലെൻഡറിൽ തേങ്ങ, വെളുത്തുള്ളി, ജീരകം, പച്ചമുളക്, പച്ചമുളക് എന്നിവ ചേർക്കുക. ഈ മിശ്രിതം പരുഷമായിരിക്കണം. വേവിച്ച പച്ചപ്പിലേക്ക് തേങ്ങാ മിശ്രിതവും കറിവേപ്പിലയും ചേർത്ത് നന്നായി ഇളക്കുക. ചെറിയ തീയിൽ പപ്പടം വറുക്കുക. കഞ്ഞിപ്പയർ വിളമ്പാൻ ചൂടുള്ള വേവിച്ച ചോറ് വിളമ്പുന്ന പാത്രത്തിലേക്കോ പ്ലേറ്റിലേക്കോ മാറ്റുക. നിങ്ങൾക്ക് ഇഷ്ടമാണെങ്കിൽ അരി കഞ്ഞിയിൽ കുറച്ച് നെയ്യ് ചേർക്കുക. ഉപ്പ് പരിശോധിച്ച് നിങ്ങളുടെ അഭിരുചിക്കനുസരിച്ച് ക്രമീകരിക്കുക. വശത്ത് പായറും പപ്പടവും വിളമ്പുക, ആസ്വദിക്കുക. തക്കാളി വെളുത്തുള്ളി ചട്ണി പാചകക്കുറിപ്പ് അല്ലെങ്കിൽ കേരള വെണ്ടക്ക തോരൻ , എളൈ വടം എന്നിവയ്‌ക്കൊപ്പം കഞ്ഞി പായറും വിളമ്പുക
</t>
  </si>
  <si>
    <t>http://www.archanaskitchen.com/kanji-payar-recipe</t>
  </si>
  <si>
    <t>Recipe Coating Pattern (Green Pea Curry)</t>
  </si>
  <si>
    <t>പട്ടാണി കൂട്ട് റെസിപ്പി (ഗ്രീൻ പീസ് കറി)</t>
  </si>
  <si>
    <t>1-1/2 ഗ്രീൻ പീസ് (മാറ്റർ), 1 സവാള - ചെറുതായി അരിഞ്ഞത്, 1/2 കപ്പ് പുതിയ തേങ്ങ - വറ്റൽ, 4 പച്ചമുളക്, 1 ടീസ്പൂൺ ജീരകം (ജീര), 1 തണ്ട് കറിവേപ്പില, 1 ടീസ്പൂൺ പെരുംജീരകം (സാൻഫ്), 1 ടീസ്പൂൺ കടുക്, ഉപ്പ് - ആവശ്യത്തിന്, 1 ടീസ്പൂൺ സൂര്യകാന്തി എണ്ണ</t>
  </si>
  <si>
    <t>1-1/2 Green peas (Matar),1 Onion - finely chopped,1/2 cup Fresh coconut - grated,4 Green Chillies,1 teaspoon Cumin seeds (Jeera),1 sprig Curry leaves,1 teaspoon Fennel seeds (Saunf),1 teaspoon Mustard seeds,Salt - to taste,1 teaspoon Sunflower Oil</t>
  </si>
  <si>
    <t xml:space="preserve">To begin making Pattani Kootu Recipe (Green Peas Curry), in a mixer grinder, grind grated coconut, green chillies and cumin seeds into a thick paste. Keep aside till required.Heat oil in a kadai. Add mustard seeds and wait until they splutters.Add fennel seeds, curry leaves, and finely chopped onions and saute until the onions turn pinkish.Add the ground coconut masala reserved earlier and cook further until the coconut paste comes together from the sides of the pan.Add green peas and cook for about 3 minutes or till they are almost a bit soft and looks a little cooked. Add salt and stir.Now add about 1/2 cup water and cook covered until the green peas are well cooked, and are almost mashable.Adjust salt if required and cook until the dish is thick in consistency, now turn off heat.Serve Pattani Kootu Recipe (Green Peas Curry) with Pudina Tawa Paratha Recipe (Mint Leaf Skillet Flat Bread), steamed rice, Varutharachu Sambar Recipe for a simple weeknight dinner.
</t>
  </si>
  <si>
    <t xml:space="preserve">പട്ടാണി കൂട്ട് പാചകക്കുറിപ്പ് (ഗ്രീൻ പീസ് കറി) ഉണ്ടാക്കാൻ തുടങ്ങാൻ, ഒരു മിക്സർ ഗ്രൈൻഡറിൽ, തേങ്ങ ചിരകിയത്, പച്ചമുളക്, ജീരകം എന്നിവ കട്ടിയുള്ള പേസ്റ്റിൽ പൊടിക്കുക. ആവശ്യമുള്ളത് വരെ മാറ്റി വയ്ക്കുക.കടയിൽ എണ്ണ ചൂടാക്കുക. കടുക് ചേർത്ത് അവ തെളിയുന്നത് വരെ കാത്തിരിക്കുക. പെരുംജീരകം, കറിവേപ്പില, ചെറുതായി അരിഞ്ഞ ഉള്ളി എന്നിവ ചേർത്ത് സവാള പിങ്ക് നിറമാകുന്നത് വരെ വഴറ്റുക. നേരത്തെ കരുതി വെച്ച തേങ്ങാ മസാല അരച്ചത് ചേർത്ത് പാനിൻ്റെ വശങ്ങളിൽ നിന്ന് തേങ്ങാ പേസ്റ്റ് വരുന്നത് വരെ വേവിക്കുക. ഗ്രീൻ പീസ് ചേർത്ത് ഏകദേശം 3 മിനിറ്റ് വേവിക്കുക. ഉപ്പ് ചേർത്ത് ഇളക്കുക.ഇപ്പോൾ ഏകദേശം 1/2 കപ്പ് വെള്ളം ചേർത്ത് ഗ്രീൻ പീസ് നന്നായി വേവുന്നത് വരെ മൂടി വെച്ച് വേവിക്കുക അരി, വരുത്തറച്ചു സാമ്പാർ പാചകക്കുറിപ്പ് ഒരു ലളിതമായ ആഴ്‌ചരാത്രി അത്താഴത്തിന്.
</t>
  </si>
  <si>
    <t>https://www.archanaskitchen.com/pattani-kootu-recipe-green-peas-curry</t>
  </si>
  <si>
    <t>Nandan Kozhi Recipe  - Kerala Style Chicken Curry</t>
  </si>
  <si>
    <t>Nandan Kozhi Recipe - Kerala Style Chicken Curry</t>
  </si>
  <si>
    <t>500 ഗ്രാം ചിക്കൻ - കറി കട്ട്, 3 ഉള്ളി - അരിഞ്ഞത്, 4 തക്കാളി - അരിഞ്ഞത്, 1 ഇഞ്ച് ഇഞ്ചി - അരിഞ്ഞത്, 10 അല്ലി വെളുത്തുള്ളി - 1/2 ടീസ്പൂൺ ചുവന്ന മുളക് പൊടി, 1/4 ടീസ്പൂൺ മഞ്ഞൾപൊടി (ഹാൽദി), 2 ടീസ്പൂൺ ചിക്കൻ മസാല - (ഈസ്റ്റ് കപ്പ് തയ്യാറാക്കാൻ നിങ്ങൾക്ക് 1 തേങ്ങാ മസാല ഉപയോഗിക്കാം) - വറ്റൽ, 2 ഗ്രാമ്പൂ (ലൗംഗ്), 1 ഇഞ്ച് കറുവപ്പട്ട (ഡാൽചിനി), കറിവേപ്പില - ഒരു പിടി, 2 ടേബിൾസ്പൂൺ വെളിച്ചെണ്ണ</t>
  </si>
  <si>
    <t>500 grams Chicken - curry cut,3 Onions - sliced,4 Tomatoes - chopped,1 inch Ginger - minced,10 cloves Garlic - minced,1/2 teaspoon Red Chilli powder,1/4 teaspoon Turmeric powder (Haldi),2 teaspoon Chicken masala - (you can use other too but I prefer eastern masalas for kerala style preparations),1 cup Fresh coconut - grated,2 Cloves (Laung),1 inch Cinnamon Stick (Dalchini),Curry leaves - Handful,2 tablespoons Coconut Oil</t>
  </si>
  <si>
    <t xml:space="preserve">To begin making the Nandan Kozhi recipe, firstly heat oil in a large heavy bottom pan heat oil on medium flame. Add onions, ginger, and garlic and sauté till the onion is deep brown and well cooked. While the onions are being sauted, in a separate pan, on slow flame dry roast the grated coconut to a golden brown colour.Add the whole spices - cloves and cinnamon , mix well and turn off the heat. Keep aside to cool slightly. This is will also help in dry spices infusing some of their flavour in the roasted coconut. Once cool, grind to a smooth paste using little water.Once the onions have turned deep brown, add the dry spices - chicken masala, turmeric powder, chilli powder, salt and sauté for one minute. Add tomatoes and fry till the oil separates.Add the coconut and spice paste along with chicken pieces, mix and sauté till the chicken is well coated with spices.Add about 1 cup water and cook covered on low flame for about 15 to 18 mins or the chicken pieces are cooked thoroughly.Garnish it with curry leaves on top and it is ready to be served.Serve Nandan Kozhi  as a Sunday brunch along with appam or Kerala Style Whole Wheat Parotta Recipe and Seer Fish Fry Recipe by the side to enjoy your meal.
</t>
  </si>
  <si>
    <t xml:space="preserve">നന്ദൻ കോഴി പാചകക്കുറിപ്പ് ഉണ്ടാക്കാൻ തുടങ്ങുന്നതിന്, ആദ്യം ഒരു വലിയ കട്ടിയുള്ള പാത്രത്തിൽ എണ്ണ ചൂടാക്കുക, ഇടത്തരം തീയിൽ എണ്ണ ചൂടാക്കുക. ഉള്ളി, ഇഞ്ചി, വെളുത്തുള്ളി എന്നിവ ചേർത്ത് സവാള ആഴത്തിലുള്ള ബ്രൗൺ നിറമാകുന്നതുവരെ വഴറ്റുക, നന്നായി വേവിക്കുക. ഉള്ളി വഴറ്റുമ്പോൾ, ഒരു പ്രത്യേക പാനിൽ, സ്ലോ ഫ്ലേമിൽ, വറുത്ത തേങ്ങ ഒരു ഗോൾഡൻ ബ്രൗൺ നിറത്തിൽ വറുത്തെടുക്കുക. മുഴുവൻ മസാലകളും - ഗ്രാമ്പൂ, കറുവപ്പട്ട എന്നിവ ചേർത്ത് നന്നായി ഇളക്കി തീ ഓഫ് ചെയ്യുക. ചെറുതായി തണുക്കാൻ മാറ്റി വയ്ക്കുക. വറുത്ത തേങ്ങയിൽ ഉണങ്ങിയ മസാലകൾ അവയുടെ ചില സ്വാദുകൾ ചേർക്കുന്നതിനും ഇത് സഹായിക്കും. തണുത്ത ശേഷം, കുറച്ച് വെള്ളം ഉപയോഗിച്ച് മിനുസമാർന്ന പേസ്റ്റിലേക്ക് പൊടിക്കുക. ഉള്ളി ബ്രൗൺ നിറമാകുമ്പോൾ, ഉണങ്ങിയ മസാലകൾ - ചിക്കൻ മസാല, മഞ്ഞൾപ്പൊടി, മുളകുപൊടി, ഉപ്പ്, ഒരു മിനിറ്റ് വഴറ്റുക. തക്കാളി ചേർക്കുക, എണ്ണ വേർപെടുന്നത് വരെ വഴറ്റുക. തേങ്ങയും മസാല പേസ്റ്റും ചിക്കൻ കഷ്ണങ്ങളോടൊപ്പം ചേർക്കുക, ചിക്കൻ നന്നായി മസാലകൾ പൂശുന്നത് വരെ ഇളക്കി വഴറ്റുക. ഏകദേശം 1 കപ്പ് വെള്ളം ചേർത്ത് ചെറിയ തീയിൽ ഏകദേശം 15 മുതൽ 18 മിനിറ്റ് വരെ വേവിക്കുക അല്ലെങ്കിൽ ചിക്കൻ കഷണങ്ങൾ നന്നായി വേവിക്കുക. മുകളിൽ കറിവേപ്പില കൊണ്ട് അലങ്കരിക്കുക. നിങ്ങളുടെ ഭക്ഷണം ആസ്വദിക്കാൻ അപ്പം അല്ലെങ്കിൽ കേരള സ്റ്റൈൽ ഹോൾ ഗോതമ്പ് പരോട്ട റെസിപ്പി , സീർ ഫിഷ് ഫ്രൈ റെസിപ്പി  എന്നിവയ്‌ക്കൊപ്പം ബ്രഞ്ച് ചെയ്യുക.
</t>
  </si>
  <si>
    <t>http://www.archanaskitchen.com/nandan-kozhi-recipe-kerala-style-chicken-curry</t>
  </si>
  <si>
    <t>Kerala Chicken Curry Recipe</t>
  </si>
  <si>
    <t>400 ഗ്രാം ചിക്കൻ - ഇടത്തരം കഷ്ണങ്ങളാക്കി മുറിച്ചത്, 1/2 കപ്പ് തൈര് (ദാഹി / തൈര്), 1 ടീസ്പൂൺ മഞ്ഞൾപ്പൊടി (ഹാൽദി), 1 ടീസ്പൂൺ സൂര്യകാന്തി എണ്ണ, 1 ടീസ്പൂൺ കടുക്, 10 കറിവേപ്പില, 1 സവാള - ഏകദേശം അരിഞ്ഞത്, 1 ഇഞ്ച് ഇഞ്ചി - അരച്ചത്, 6 മുതൽ 7 ഗ്രാമ്പൂ - 4 ഗ്രാമ്പൂ - 4 ഗ്രാമ്പൂ ചെറുതായി അരിഞ്ഞത്. ഓട്സ് (ഓട്സ്) - മസാല ഒന്ന്, 1 ടേബിൾസ്പൂൺ മുഴുവൻ കുരുമുളക്, 1 ടീസ്പൂൺ മല്ലി (ധാനിയ) വിത്തുകൾ, 1 ഇഞ്ച് കറുവപ്പട്ട (ഡാൽചിനി), 1 ടീസ്പൂൺ പെരുംജീരകം (സൗൺഫ്), 2 ഉണങ്ങിയ ചുവന്ന മുളക്</t>
  </si>
  <si>
    <t>400 grams Chicken - cut into medium sized pieces,1/2 cup Curd (Dahi / Yogurt),1 teaspoon Turmeric powder (Haldi),1 teaspoon Sunflower Oil,1 teaspoon Mustard seeds,10 Curry leaves,1 Onion - roughly chopped,1 inch Ginger - grated,6 to 7 cloves Garlic - finely chopped,Salt - as per taste,40 grams Instant Oats (Oatmeal) - Masala one,1 tablespoon Whole Black Peppercorns,1 teaspoon Coriander (Dhania) Seeds,1 inch Cinnamon Stick (Dalchini),1 teaspoon Fennel seeds (Saunf),2 Dry Red Chillies</t>
  </si>
  <si>
    <t xml:space="preserve">To prepare the Kerala Chicken Curry, in a mixing bowl, marinate the chicken with curd, turmeric powder and salt for about 2 hours.To make the masala for the Kerala Chicken curry Heat a skillet on medium low flame and dry roast the peppercorns, coriander seeds, cinnamon stick, fennel seeds and dried red chilies. This will take about 4-5 minutes. Once the aroma of the spices begins to waft in the air, turn off the flame and allow it to cool down. Transfer to a mixer jar and grind to a corse powder. Heat oil in kadai/wok, add mustard seeds. When it splutters, add onion and curry leaves. Sauté.When onions are lightly brown, add ginger, garlic, and sauté for a minute.Add chicken, half of the freshly ground masala, and salt. Mix them, add 1/2 cup of water, cover with a lid, simmer and cook till the chicken is almost done, for about 15 to 20 minutes at least.Keep sautéing occasionally. Once the chicken is cooked, add the oats and add 1-1/2 cups of more water and cook the chicken until the curry thickens a little (about 5 minutes).Lastly, add the reserved half of the ground masala and give it a nice stir.Keep it covered for 5 to 10 minutes before serving, to help the flavours combine well.Serve Kerala Chicken Curry along with Kerala Style Appam Recipe (Without Yeast) and a side of Seer Fish Fry Recipe for a lip smacking Sunday lunch.
</t>
  </si>
  <si>
    <t xml:space="preserve">കേരള ചിക്കൻ കറി തയ്യാറാക്കാൻ, ഒരു മിക്സിംഗ് പാത്രത്തിൽ, തൈര്, മഞ്ഞൾപ്പൊടി, ഉപ്പ് എന്നിവ ചേർത്ത് ചിക്കൻ ഏകദേശം 2 മണിക്കൂർ മാരിനേറ്റ് ചെയ്യുക. കേരള ചിക്കൻ കറിക്ക് മസാല ഉണ്ടാക്കാൻ ഒരു പാത്രം ഇടത്തരം തീയിൽ ചൂടാക്കി കുരുമുളക്, മല്ലിയില, കറുവാപ്പട്ട, പെരുഞ്ചീരകം, കരിഞ്ചീരകം എന്നിവ വറുക്കുക. ഇത് ഏകദേശം 4-5 മിനിറ്റ് എടുക്കും. സുഗന്ധവ്യഞ്ജനങ്ങളുടെ സുഗന്ധം വായുവിൽ വീശാൻ തുടങ്ങിയാൽ, തീ ഓഫ് ചെയ്ത് തണുക്കാൻ അനുവദിക്കുക. ഒരു മിക്‌സർ ജാറിലേക്ക് മാറ്റി അരച്ചെടുക്കുക. കടായി/വാക്ക് എന്നിവയിൽ എണ്ണ ചൂടാക്കുക, കടുക് ചേർക്കുക. ഇത് തെളിയുമ്പോൾ ഉള്ളിയും കറിവേപ്പിലയും ചേർക്കുക. വഴറ്റുക. ഉള്ളി ചെറുതായി ബ്രൗൺ നിറമാകുമ്പോൾ, ഇഞ്ചി, വെളുത്തുള്ളി എന്നിവ ചേർത്ത് ഒരു മിനിറ്റ് വഴറ്റുക. ചിക്കൻ, പുതുതായി പൊടിച്ച മസാലയുടെ പകുതി, ഉപ്പ് എന്നിവ ചേർക്കുക. ഇവ മിക്സ് ചെയ്യുക, 1/2 കപ്പ് വെള്ളം ചേർക്കുക, ഒരു ലിഡ് കൊണ്ട് മൂടി, തിളപ്പിക്കുക, ചിക്കൻ ഏകദേശം തീരുന്നതുവരെ വേവിക്കുക, കുറഞ്ഞത് 15 മുതൽ 20 മിനിറ്റ് വരെ. ഇടയ്ക്കിടെ വഴറ്റുക. ചിക്കൻ വേവിച്ചു കഴിഞ്ഞാൽ, ഓട്‌സ് ചേർത്ത് 1-1/2 കപ്പ് കൂടുതൽ വെള്ളം ചേർത്ത്, കറി അൽപ്പം കട്ടിയാകുന്നത് വരെ (ഏകദേശം 5 മിനിറ്റ്) ചിക്കൻ വേവിക്കുക. അവസാനമായി, മസാല ഗ്രൗണ്ടിൻ്റെ പകുതി ചേർത്ത് നന്നായി ഇളക്കുക. വിളമ്പുന്നതിന് മുമ്പ് 5 മുതൽ 10 മിനിറ്റ് വരെ മൂടി വെക്കുക, കേരളത്തിൻ്റെ രുചികൾ കൂടിച്ചേരുന്നതിന്, കേരളത്തിൻ്റെ രുചികൾ നന്നായി ചേരാൻ സഹായിക്കും. ഞായറാഴ്ച ഉച്ചഭക്ഷണത്തിനുള്ള അപ്പം പാചകക്കുറിപ്പും (യീസ്റ്റ് ഇല്ലാതെ) സീർ ഫിഷ് ഫ്രൈ റെസിപ്പിയുടെ ഒരു വശവും.
</t>
  </si>
  <si>
    <t>https://www.archanaskitchen.com/kerala-chicken-curry-recipe</t>
  </si>
  <si>
    <t>Baby Potato Theeyal Recipe - Kerala Style Potatoes In Shallots And Roasted Coconut</t>
  </si>
  <si>
    <t>Baby Potato Theeyal Recipe - കേരള സ്‌റ്റൈൽ ഉരുളക്കിഴങ്ങിലും വറുത്ത തേങ്ങയിലും</t>
  </si>
  <si>
    <t>250 ഗ്രാം ബേബി ഉരുളക്കിഴങ്ങ് - പകുതിയായി അരിഞ്ഞത്, 1/2 കപ്പ് മുത്ത് ഉള്ളി (സാമ്പാർ ഉള്ളി), 1 തക്കാളി - ചെറുതായി അരിഞ്ഞത്, 5 പച്ചമുളക് - കീറിയത്, 1 ഇഞ്ച് ഇഞ്ചി - അരിഞ്ഞത്, 5 അല്ലി വെളുത്തുള്ളി - അരിഞ്ഞത്, 2 ടീസ്പൂൺ മല്ലിപ്പൊടി (ധാനിയ), 2 ടീസ്പൂൺ ചുവന്ന മുളകുപൊടി, 2 ടീസ്പൂൺ ചുവന്ന മുളക് പൊടി, 1/2 ടീസ്പൂൺ പൊടി, 2 തണ്ട് കറിവേപ്പില, 1 കപ്പ് മുത്ത് ഉള്ളി (സാമ്പാർ ഉള്ളി), 1 കപ്പ് പുതിയ തേങ്ങ - അരച്ചത്, 1/2 ടീസ്പൂൺ ജീരകം (ജീര), 1 ടീസ്പൂൺ മുഴുവൻ കുരുമുളക് - ചതച്ചത്, വെളിച്ചെണ്ണ - പാചകത്തിന്, ഉപ്പ് - പാകത്തിന്</t>
  </si>
  <si>
    <t>250 grams Baby Potatoes - halved,1/2 cup Pearl onions (Sambar Onions),1 Tomato - finely chopped,5 Green Chillies - slit,1 inch Ginger - chopped,5 cloves Garlic - chopped,2 teaspoon Coriander Powder (Dhania),2 tablespoon Red Chilli powder,1/2 teaspoon Turmeric powder (Haldi),1/2 teaspoon Garam masala powder,2 sprig Curry leaves,1 cup Pearl onions (Sambar Onions),1 cup Fresh coconut - grated,1/2 teaspoon Cumin seeds (Jeera),1 teaspoon Whole Black Peppercorns - crushed,Coconut Oil - for cooking,Salt - to taste</t>
  </si>
  <si>
    <t xml:space="preserve">To begin making the Potato Theeyal Recipe (Potatoes in shallots and roasted coconut Recipe) by dry roasting the onion, coconut and cumin seeds on a medium pan till it is nice and brown. Once done let it cool down and then blend it using a hand blender into a fine paste.Pressure cook the baby potatoes with the skin in a pressure cooker with 1 cup water till it is half done, leave it for about 3 whistles. Once done release the pressure naturally by take it away from the heat. Drain all the water and wash the potatoes under cold water, so once it cools down, it will be easy to remove the skin from the potato.In another pan heat oil, add curry leaves,let the leaves splutter for few seconds and add pearl onion, ginger, garlic, green chili and sauté till it is golden brown. Then add the tomato and sauté till it is cooked and the raw smell goes away.Stir in coriander powder, red chilli powder, turmeric powder, garam masala powder, curry leaves and the coconut paste and fry till the aroma comes out. You can add water if you feel if it is too thick. Let it cook for 2 minutes.Finally, add the boiled baby potatoes, season it according to your taste. Simmer for 3 to 4 more minutes.Serve Potato Theeyal Recipe along with Whole Wheat Lachha Paratha and Palak Raita for an everyday meal with family.
</t>
  </si>
  <si>
    <t xml:space="preserve">ഉള്ളി, തേങ്ങ, ജീരകം എന്നിവ ഇടത്തരം ചട്ടിയിൽ നല്ലതും ബ്രൗൺ നിറവും ആകുന്നതുവരെ ഉണക്കി വറുത്ത് ഉരുളക്കിഴങ്ങ് തീയൽ പാചകക്കുറിപ്പ് (ഉരുളക്കിഴങ്ങ്, വറുത്ത തേങ്ങ പാചകക്കുറിപ്പ്) ഉണ്ടാക്കാൻ ആരംഭിക്കുക. ചെയ്തു കഴിഞ്ഞാൽ അത് തണുക്കുക, എന്നിട്ട് ഒരു ഹാൻഡ് ബ്ലെൻഡർ ഉപയോഗിച്ച് നല്ല പേസ്റ്റ് രൂപത്തിലാക്കുക. 1 കപ്പ് വെള്ളം ഒരു പ്രഷർ കുക്കറിൽ ബേബി ഉരുളക്കിഴങ്ങിൻ്റെ തൊലി ഉപയോഗിച്ച് പകുതി വേവുന്നത് വരെ വേവിക്കുക, ഏകദേശം 3 വിസിൽ വിടുക. ചെയ്തുകഴിഞ്ഞാൽ, ചൂടിൽ നിന്ന് നീക്കം ചെയ്തുകൊണ്ട് സ്വാഭാവികമായി സമ്മർദ്ദം ഒഴിവാക്കുക. എല്ലാ വെള്ളവും ഊറ്റി ഉരുളക്കിഴങ്ങുകൾ തണുത്ത വെള്ളത്തിനടിയിൽ കഴുകുക, അങ്ങനെ അത് തണുത്തുകഴിഞ്ഞാൽ, ഉരുളക്കിഴങ്ങിൽ നിന്ന് തൊലി നീക്കം ചെയ്യാൻ എളുപ്പമാണ്. മറ്റൊരു പാനിൽ എണ്ണ ചൂടാക്കുക, കറിവേപ്പില ചേർക്കുക, കുറച്ച് നിമിഷങ്ങൾ ഇലകൾ തെറിക്കാൻ അനുവദിക്കുക, അതിൽ മുത്ത് ഉള്ളി, ഇഞ്ചി, വെളുത്തുള്ളി, പച്ചമുളക് എന്നിവ ചേർത്ത് സ്വർണ്ണ തവിട്ട് വരെ വഴറ്റുക. ശേഷം തക്കാളി ചേർത്ത് വഴറ്റുന്നത് വരെ വഴറ്റുക, അസംസ്കൃത മണം പോകും. മല്ലിപ്പൊടി, മുളകുപൊടി, മഞ്ഞൾപൊടി, ഗരംമസാലപ്പൊടി, കറിവേപ്പില, തേങ്ങാ പേസ്റ്റ് എന്നിവ ചേർത്ത് മണം വരുന്നത് വരെ വഴറ്റുക. കട്ടി കൂടുതലാണെന്ന് തോന്നിയാൽ വെള്ളം ചേർക്കാം. ഇത് 2 മിനിറ്റ് വേവിക്കുക.അവസാനം, വേവിച്ച ബേബി ഉരുളക്കിഴങ്ങ് ചേർക്കുക, നിങ്ങളുടെ അഭിരുചിക്കനുസരിച്ച് സീസൺ ചെയ്യുക. 3 മുതൽ 4 മിനിറ്റ് വരെ തിളപ്പിക്കുക. കുടുംബത്തോടൊപ്പമുള്ള ദൈനംദിന ഭക്ഷണത്തിന് ഉരുളക്കിഴങ്ങ് തീയൽ പാചകക്കുറിപ്പ് മുഴുവൻ ഗോതമ്പ് ലച്ച പറത്ത , പാലക് റൈത  എന്നിവയ്‌ക്കൊപ്പം  വിളമ്പുക.
</t>
  </si>
  <si>
    <t>http://www.archanaskitchen.com/baby-potato-theeyal-recipe-kerala-style-potatoes-in-shallots-and-roasted-coconut-recipe</t>
  </si>
  <si>
    <t>Pumpkin Erissery Recipe - Kerala Pumpkin Coconut Curry</t>
  </si>
  <si>
    <t>മത്തങ്ങ എറിശ്ശേരി റെസിപ്പി - കേരള മത്തങ്ങ തേങ്ങ കറി</t>
  </si>
  <si>
    <t>300 ഗ്രാം കടു (പറങ്കിക്കൈ/ മത്തങ്ങ) - തൊലികളഞ്ഞ് അരിഞ്ഞത്, 1/2 കപ്പ് പുതിയ തേങ്ങ - അരച്ച തേങ്ങ അരക്കേണ്ടത്, 1/4 കപ്പ് പുതിയ തേങ്ങ - വറുക്കാൻ, 1 പച്ചമുളക്, 1-1/2 ടീസ്പൂൺ കടുക്, 2 ടീസ്പൂൺ വെള്ള ഉറാഡ് ദാൽ (പിളർന്നത്), 2 തണ്ട് ചുവന്ന മുളക്, 3 ടീസ്പൂൺ കറിവേപ്പില / 4 ടീസ്പൂൺ (ഹാൽദി), 1 ടീസ്പൂൺ ജീരകം (ജീര), 1 ടീസ്പൂൺ വെളിച്ചെണ്ണ, ഉപ്പ് - ആവശ്യത്തിന്</t>
  </si>
  <si>
    <t>300 grams Kaddu (Parangikai/ Pumpkin) - peeled and chopped,1/2 cup Fresh coconut - grated coconut to be ground,1/4 cup Fresh coconut - to be roasted,1 Green Chilli,1-1/2 teaspoons Mustard seeds,2 teaspoons White Urad Dal (Split),2 sprig Curry leaves,3 Dry Red Chillies,3/4 teaspoon Turmeric powder (Haldi),1 teaspoon Cumin seeds (Jeera),1 tablespoon Coconut Oil,Salt - to taste</t>
  </si>
  <si>
    <t xml:space="preserve">To begin making the Pumpkin Erissery Recipe, we will first make the spice paste by grinding together coconut, cumin seeds and green chilli in a mixer grinder.Add a little water if required, and make it into a fine paste. Keep aside till needed.In a heavy bottomed pan, add the chopped pumpkin pieces along with little water, salt and turmeric. Close the lid and cook till the pumpkin is tender yet firm by mixing occasionally and the water has almost dried up.Add the coconut and spice mixture and let the Pumpkin Erissery cook for about 4-5 minutes at low heat till a nice aroma is released. Check the taste of the Pumpkin Erissery and see if you need to adjust the spices etc according to your taste.Once done turn off the heat.In a small tadka pan, heat oil, add mustard seeds, when they crackle, add urad dal, and once the urad dal has turned golden brown add curry leaves and dry red chillies.Add coconut by constantly stirring over a medium low flame. Let it brown slightly till aromatic. This takes about 3-4 minutes. Once done, add this to the Pumpkin Erissery, give it a stir and serve hot. Serve Pumpkin Erissery with Steamed rice,  Thakkali Vengaya Sambar, Vazhakkai Varuval Recipe for a weeknight dinner or even a special weekend lunch.
</t>
  </si>
  <si>
    <t xml:space="preserve">മത്തങ്ങ എരിശ്ശേരി റെസിപ്പി ഉണ്ടാക്കാൻ തുടങ്ങുന്നതിന്, തേങ്ങ, ജീരകം, പച്ചമുളക് എന്നിവ ഒരു മിക്‌സർ ഗ്രൈൻഡറിൽ അരച്ച് ആദ്യം ഞങ്ങൾ മസാല പേസ്റ്റ് ഉണ്ടാക്കും. ആവശ്യമെങ്കിൽ കുറച്ച് വെള്ളം ചേർത്ത് നന്നായി പേസ്റ്റ് ആക്കുക. ആവശ്യമുള്ളത് വരെ മാറ്റിവെക്കുക. അടിഭാഗം കട്ടിയുള്ള ഒരു പാത്രത്തിൽ, അരിഞ്ഞ മത്തങ്ങ കഷണങ്ങൾ, അല്പം വെള്ളം, ഉപ്പ്, മഞ്ഞൾ എന്നിവ ചേർക്കുക. ലിഡ് അടച്ച് ഇടയ്ക്കിടെ ഇളക്കി, വെള്ളം ഏതാണ്ട് വറ്റുന്നത് വരെ മത്തങ്ങ ഇളകുന്നത് വരെ വേവിക്കുക. തേങ്ങയും സുഗന്ധവ്യഞ്ജന മിശ്രിതവും ചേർത്ത് മത്തങ്ങ എരിശ്ശേരി ചെറിയ തീയിൽ 4-5 മിനിറ്റ് നല്ല മണം വരുന്നതുവരെ വേവിക്കുക. മത്തങ്ങ എരിശ്ശേരിയുടെ രുചി പരിശോധിച്ച് നിങ്ങളുടെ അഭിരുചിക്കനുസരിച്ച് സുഗന്ധവ്യഞ്ജനങ്ങളും മറ്റും ക്രമീകരിക്കേണ്ടതുണ്ടോയെന്ന് നോക്കുക. തീർന്ന് കഴിഞ്ഞാൽ തീ ഓഫ് ചെയ്യുക. ഒരു ചെറിയ തഡ്ക പാനിൽ എണ്ണ ചൂടാക്കി കടുക് പൊട്ടിക്കുക, പൊട്ടുമ്പോൾ ഉലുവ ചേർക്കുക, ഉലുവ പൊൻ തവിട്ട് നിറമാകുമ്പോൾ കറിവേപ്പിലയും ഉണങ്ങിയ ചുവന്ന മുളകും ഇടത്തരം ചുരണ്ടിയെടുക്കുക. ഇത് അൽപ്പം ബ്രൗൺ നിറമാകുന്നത് വരെ ആരോമാറ്റിക് ആകട്ടെ. ഇത് ഏകദേശം 3-4 മിനിറ്റ് എടുക്കും. ചെയ്തു കഴിഞ്ഞാൽ, ഇത് മത്തങ്ങ എരിശ്ശേരിയിൽ ചേർത്ത് ഇളക്കി ചൂടോടെ വിളമ്പുക. മത്തങ്ങ എരിശ്ശേരി, ആവിയിൽ വേവിച്ച ചോറ്,  തക്കളി വേങ്ങായ സാമ്പാർ, വാഴക്കൈ വരുവൽ റെസിപ്പി എന്നിവ ഒരു ആഴ്‌ച രാത്രി അത്താഴത്തിന് അല്ലെങ്കിൽ ഒരു പ്രത്യേക വാരാന്ത്യ ഉച്ചഭക്ഷണത്തിന് പോലും വിളമ്പുക.
</t>
  </si>
  <si>
    <t>https://www.archanaskitchen.com/pumpkin-errisery-recipe-kerala-style-pumpkin-sabzi-with-coconut</t>
  </si>
  <si>
    <t>ബേക്ക്ഡ് ബനാന ചിപ്സ് റെസിപ്പി</t>
  </si>
  <si>
    <t>3 കച്ച കേള - ഛീലകർ പാതാള കാറ്റ് ലെ,1/2 ബഡാ ചമച്ച പൈപരിക പൌഡർ,1/4 ചബാഡ് മിർച്ച് ഔഡർ,നമക് - സ്വാദ് അനുസാർ,1 ബഡാ ചമച്ച ഒലിവ് കാ തെൽ - പ്രയോഗം അനുസാർ</t>
  </si>
  <si>
    <t>3 raw bananas - peeled and cut into thin, 1/2 tablespoon paprika powder, 1/4 tablespoon pepper powder, salt - as per taste, 1 tablespoon olive oil - as per use</t>
  </si>
  <si>
    <t>To begin making Baked Banana Chips Recipe, first take banana, paprika powder, black pepper powder, salt, olive oil in a bowl and mix well. Mix everything and see if the bananas are well coated with the spices. Preheat the oven at 200 degree Celsius for 10 minutes. Spread the bananas on a baking sheet covered with parchment paper. Bake for 20 to 25 minutes. Check if the chips are crisp, if not then bake till they are crisp. Serve Baked Banana Chips in the evening with Masala Chai.</t>
  </si>
  <si>
    <t xml:space="preserve">ബേക്ഡ് കേലെ ചിപ്സ് റെസിപ്പി ബനാനെ ഒരു സബ്സെ പഹലെ ഒരു ബൗൾ മെൻ കെല, പൈപരിക പാരഡർ, പൌഡർ, നമക്, ഒലിവ് കാ തെൽ ദാലെ കൂടാതെ മില ലെ.  സബകോ മിലാ ലെയും ദേഖേ കേലെയും അച്ഛി തരഹ് സെ മസാലെ മെം മിൽ ഗേ ഹോ.ഓവൻ കോഡ് 20 10 മിനിറ്റിനുള്ളിൽ ഗരം കർ ലേ 20 സെപ്തംബർ 25 മുതൽ ദേഖേ കി ചിപ്സ് ക്രിസ്പ് ഹുയി, അഗർ നഹീം തോഹ് ക്രിസ്പ് ഹോനേ തക് കൂടാതെ ബേക് കരെം. ബേക്ഡ് കേലെയുടെ ചിപ്സ് കോ ഷാം കെ വക്ത് മസാല ചായയുടെ സാത്ത് പരോസ്.
</t>
  </si>
  <si>
    <t>http://www.archanaskitchen.com/baked-banana-chips-recipe-in-hindi</t>
  </si>
  <si>
    <t>Nei Appam Recipe Using Rice Flour</t>
  </si>
  <si>
    <t>നെയ് അപ്പം റെസിപ്പി ഉപയോഗിച്ച് അരിമാവ്</t>
  </si>
  <si>
    <t>ഒരു കപ്പ് അരിപ്പൊടി, 1 കപ്പ് ശർക്കര, 1/2 കപ്പ് വെള്ളം, 5 ഏലയ്ക്ക (ഇലച്ചി) കായ്കൾ/വിത്ത്, 2 പഴുത്ത ഏത്തപ്പഴം, 1 ടീസ്പൂൺ ബേക്കിംഗ് സോഡ, നെയ്യ് - ആവശ്യത്തിന്</t>
  </si>
  <si>
    <t>1 cup Rice flour,1 cup Jaggery,1/2 cup Water,5 Cardamom (Elaichi) Pods/Seeds,2 Ripe Bananas,1 teaspoon Baking soda,Ghee - as required</t>
  </si>
  <si>
    <t xml:space="preserve">To begin making the Nei Appam recipe, firstly take water and jaggery in a saucepan and boil it till the jaggery dissolves.Once the mixture comes to a rolling boil, switch off the flame. Let it cool completely.Mash the bananas using a fork well. Add this to the rice flour and give it a good mix.Add jaggery syrup, cardamom powder and baking soda and give it a good mix. Cover it and let it rest for 2 hours.After 2 hours, mix the mixture using a spoon. If it has thickened, add a little water to loosen the mixture. The batter should be a thick batter but in pouring consistency.Heat the paniyaram pan on a flame that can heat it evenly. Add 1/2 teaspoon of ghee into every slot.Add a tablespoon of batter into each slot. Cover it and cook for 1/2 a minute or till it is golden and crisp. But the centre should be still runny.Carefully using a spoon flip the appams. Fry the other side till it turns golden in colour as well and crisp. Serve hot with ghee.Flipping the appams when the centre is still runny will get nice round appams. If the centre is cooked, then you get one side flat.Serve hot Nei Appams on it's own for breakfast or snacks as they are perfect to have while enjoying the rains this monsoon season.
</t>
  </si>
  <si>
    <t xml:space="preserve">നെയ് അപ്പം റെസിപ്പി ഉണ്ടാക്കാൻ തുടങ്ങാൻ, ആദ്യം ഒരു ചീനച്ചട്ടിയിൽ വെള്ളവും ശർക്കരയും എടുത്ത് ശർക്കര അലിയുന്നത് വരെ തിളപ്പിക്കുക. മിശ്രിതം തിളച്ചുമറിയുമ്പോൾ, തീ ഓഫ് ചെയ്യുക. ഇത് പൂർണ്ണമായും തണുക്കാൻ അനുവദിക്കുക.ഒരു നാൽക്കവല ഉപയോഗിച്ച് വാഴപ്പഴം നന്നായി മാഷ് ചെയ്യുക. ഇത് അരിപ്പൊടിയിൽ ചേർത്ത് നല്ല മിക്സ് കൊടുക്കുക. ശർക്കര പാനി, ഏലയ്ക്കാപ്പൊടി, ബേക്കിംഗ് സോഡ എന്നിവ ചേർത്ത് നല്ല മിക്സ് കൊടുക്കുക. ഇത് മൂടി 2 മണിക്കൂർ വിശ്രമിക്കാൻ അനുവദിക്കുക. 2 മണിക്കൂറിന് ശേഷം ഒരു സ്പൂൺ ഉപയോഗിച്ച് മിശ്രിതം ഇളക്കുക. ഇത് കട്ടിയായി മാറിയെങ്കിൽ, മിശ്രിതം അഴിക്കാൻ കുറച്ച് വെള്ളം ചേർക്കുക. ബാറ്റർ കട്ടിയുള്ള ബാറ്ററായിരിക്കണം, പക്ഷേ പകർന്നു തരുന്ന തരത്തിലായിരിക്കണം. പണിയാരം പാൻ തുല്യമായി ചൂടാക്കാൻ കഴിയുന്ന തീയിൽ ചൂടാക്കുക. ഓരോ സ്ലോട്ടിലേക്കും 1/2 ടീസ്പൂൺ നെയ്യ് ചേർക്കുക. ഓരോ സ്ലോട്ടിലേക്കും ഒരു ടേബിൾ സ്പൂൺ ബാറ്റർ ചേർക്കുക. ഇത് മൂടിവെച്ച് 1/2 മിനിറ്റ് വേവിക്കുക അല്ലെങ്കിൽ ഇത് സ്വർണ്ണവും മൊരിഞ്ഞതുമാകുന്നതുവരെ വേവിക്കുക. എന്നാൽ മധ്യഭാഗം അപ്പോഴും ഒഴുകുന്ന നിലയിലായിരിക്കണം. ഒരു സ്പൂൺ ഉപയോഗിച്ച് അപ്പങ്ങൾ ശ്രദ്ധാപൂർവ്വം ഫ്ലിപ്പുചെയ്യുക. മറുവശവും ഗോൾഡൻ നിറമാകുന്നത് വരെ വഴറ്റുക. ചൂടോടെ നെയ്യിൽ വിളമ്പുക.അപ്പം മദ്ധ്യഭാഗത്ത് ഒഴുകുമ്പോൾ ഫ്ലിപ്പിംഗ് ചെയ്താൽ നല്ല ഉരുണ്ട അപ്പം ലഭിക്കും. മധ്യഭാഗം പാകം ചെയ്തതാണെങ്കിൽ, നിങ്ങൾക്ക് ഒരു വശം ഫ്ലാറ്റ് ലഭിക്കും. ചൂടുള്ള നെയ് അപ്പങ്ങൾ പ്രഭാതഭക്ഷണത്തിനോ ലഘുഭക്ഷണത്തിനോ സ്വന്തമായി വിളമ്പുക, ഈ മൺസൂൺ സീസണിൽ മഴ ആസ്വദിക്കുമ്പോൾ അവ കഴിക്കാൻ അനുയോജ്യമാണ്.
</t>
  </si>
  <si>
    <t>http://www.archanaskitchen.com/nei-appam-recipe-rice-flour-appam</t>
  </si>
  <si>
    <t>Kerala Style Avial Recipe - Onam Sadya Recipe</t>
  </si>
  <si>
    <t>1 കപ്പ് വെള്ളൈ പൂസാനിക്കൈ (ചമ്മന്തി/വെളുത്ത മത്തങ്ങ) - നീളത്തിൽ അരിഞ്ഞത്, 2 മുരിങ്ങയില - നീളത്തിൽ അരിഞ്ഞത്, 2 കാരറ്റ് (ഗജ്ജർ) - നീളത്തിൽ അരിഞ്ഞത്, 10 പച്ച പയർ (ഫ്രഞ്ച് ബീൻസ്) -  നീളത്തിൽ അരിഞ്ഞത്, 1 അസംസ്‌കൃത വാഴപ്പഴം - തൊലികളഞ്ഞത് - നീളത്തിൽ അരിഞ്ഞത് നീളത്തിൽ അരിഞ്ഞത്, 1 കപ്പ് ആനക്കറി (സുരൻ/സേനൈ/രതാലു) - തൊലികളഞ്ഞ് നീളത്തിൽ അരിഞ്ഞത്, 1/2 ടീസ്പൂൺ മഞ്ഞൾപൊടി (ഹാൽദി), ഉപ്പ് - പാകത്തിന്, 1-1/2 കപ്പ് പുതിയ തേങ്ങ - അരച്ചത്, 3 പച്ചമുളക്, 1 തണ്ട് കറിവേപ്പില - 1 ടേബിൾസ്പൂൺ കറിവേപ്പില, 1 ടീസ്പൂൺ കറിവേപ്പില രുചി</t>
  </si>
  <si>
    <t>1 cup Vellai Poosanikai (Ash gourd/White Pumpkin) - cut lengthwise,2 Drumstick - cut lengthwise,2 Carrots (Gajjar) - cut lengthwise,10 Green beans (French Beans) -  cut lengthwise,1 Raw Banana - peeled and cut lengthwise,2 Potatoes (Aloo) - peeled and cut lengthwise,1 cup Elephant yam (Suran/Senai/Ratalu) - peeled and cut lengthwise,1/2 teaspoon Turmeric powder (Haldi),Salt - to taste,1-1/2 cups Fresh coconut - grated,3 Green Chillies,1 sprig Curry leaves,1 teaspoon Cumin seeds (Jeera),1 tablespoons Coconut Oil,Salt - to taste</t>
  </si>
  <si>
    <t xml:space="preserve">To begin making the Kerala Style Avial Recipe, we will first steam all the vegetables along with salt.I like to cook the vegetables together in a pressure cooker.To do this, place all the cut vegetables into the pressure cooker, sprinkle some salt, add 1/4 cup of water and cover the pressure cooker. Place the weight on and allow the vegetables to pressure cook for about 2 two whistles. After two whistles, turn the heat to low and simmer for about 3 to 4 minutes and turn off the heat.Release the pressure immediately, by placing the pressure cooker under running water. Once the pressure is released, open the cooker. Transfer the steamed vegetables to a serving bowl.Our next step, we will make the Coconut Base for the Kerala Avial. To do this, place the coconut, green chillies, cumin seeds into the mixer. Add a little warm water and blend to make an almost smooth paste.Add the coconut mixture to the steamed vegetables, add a tablespoon of coconut oil, torn curry leaves and give the Kerala Avial a stir. Adjust the salt to suit your taste.When you are ready to serve, warm the Kerala Avial in the microwave and serve along with steamed rice and Vathal Kuzhambu
</t>
  </si>
  <si>
    <t xml:space="preserve">കേരള സ്‌റ്റൈൽ അവിയൽ റെസിപ്പി ഉണ്ടാക്കാൻ തുടങ്ങുന്നതിന്, ഞങ്ങൾ ആദ്യം എല്ലാ പച്ചക്കറികളും ഉപ്പിനൊപ്പം ആവിയിൽ വേവിച്ചെടുക്കും. ഒരു പ്രഷർ കുക്കറിൽ പച്ചക്കറികൾ ഒരുമിച്ച് വേവിക്കാനാണ് എനിക്കിഷ്ടം. ഇത് ചെയ്യുന്നതിന്, മുറിച്ച എല്ലാ പച്ചക്കറികളും പ്രഷർ കുക്കറിൽ വയ്ക്കുക, കുറച്ച് ഉപ്പ് വിതറുക, 1/4 കപ്പ് വെള്ളം ചേർത്ത് പ്രഷർ കുക്കർ മൂടുക. വെയ്റ്റ് വയ്ക്കുക, ഏകദേശം 2 രണ്ട് വിസിൽ വരെ പച്ചക്കറികൾ മർദ്ദം പാകം ചെയ്യാൻ അനുവദിക്കുക. രണ്ട് വിസിലുകൾക്ക് ശേഷം, തീ ചെറുതാക്കി ഏകദേശം 3 മുതൽ 4 മിനിറ്റ് വരെ മാരിനേറ്റ് ചെയ്യുക, തീ ഓഫ് ചെയ്യുക. പ്രഷർ കുക്കർ ഒഴുകുന്ന വെള്ളത്തിനടിയിൽ വെച്ച് ഉടൻ തന്നെ പ്രഷർ റിലീസ് ചെയ്യുക. പ്രഷർ പുറത്തിറങ്ങിയാൽ കുക്കർ തുറക്കുക. ആവിയിൽ വേവിച്ച പച്ചക്കറികൾ ഒരു വിളമ്പുന്ന പാത്രത്തിലേക്ക് മാറ്റുക. ഞങ്ങളുടെ അടുത്ത ഘട്ടം, ഞങ്ങൾ കേരള അവിയലിനുള്ള തേങ്ങാ ബേസ് ഉണ്ടാക്കും. ഇത് ചെയ്യുന്നതിന്, തേങ്ങ, പച്ചമുളക്, ജീരകം എന്നിവ മിക്സിയിൽ ഇടുക. അൽപം ചെറുചൂടുള്ള വെള്ളം ചേർത്ത് ഇളക്കി ഏകദേശം മിനുസമാർന്ന പേസ്റ്റ് ഉണ്ടാക്കുക. ആവിയിൽ വേവിച്ച പച്ചക്കറികളിലേക്ക് തേങ്ങാ മിശ്രിതം ചേർക്കുക, ഒരു ടേബിൾ സ്പൂൺ വെളിച്ചെണ്ണ, കീറിയ കറിവേപ്പില എന്നിവ ചേർത്ത് കേരള അവിയൽ ഇളക്കുക. നിങ്ങളുടെ അഭിരുചിക്കനുസരിച്ച് ഉപ്പ് ക്രമീകരിക്കുക. നിങ്ങൾ വിളമ്പാൻ തയ്യാറാകുമ്പോൾ, മൈക്രോവേവിൽ കേരള അവിയൽ ചൂടാക്കി ആവിയിൽ വേവിച്ച ചോറും വത്തൽ കുഴമ്പും ചേർത്ത് വിളമ്പുക.
</t>
  </si>
  <si>
    <t>https://www.archanaskitchen.com/kerala-avial-recipe</t>
  </si>
  <si>
    <t>Chakka Erissery Recipe - Kerala Style Coconut Laced Jackfruit Sabzi</t>
  </si>
  <si>
    <t>ചക്ക എരിശ്ശേരി റെസിപ്പി - കേരള സ്റ്റൈൽ കോക്കനട്ട് ലേസ്ഡ് ജാക്ക്ഫ്രൂട്ട് സബ്സി</t>
  </si>
  <si>
    <t>300 ഗ്രാം പഴുത്ത ചക്ക (കാതൽ) - ചെറുതായി അരിഞ്ഞത്, 1 കപ്പ് വെള്ളം, 1 ടീസ്പൂൺ ചുവന്ന മുളക് പൊടി, 1/2 ടീസ്പൂൺ മഞ്ഞൾ പൊടി (ഹാൽദി), 1/2 ടീസ്പൂൺ കുരുമുളക് പൊടി, ഉപ്പ് - ആവശ്യത്തിന്, 1/2 കപ്പ് പുതിയ തേങ്ങ - അരച്ചത്, 1 ടീസ്പൂൺ ജീരകം (ജീര), 1/2 കപ്പ് ഫ്രഷ്‌പ്രിസ്, 1/2 കപ്പ്. ഗ്രാമ്പൂ വെളുത്തുള്ളി, 1 ടീസ്പൂൺ കടുക്, 3 ടീസ്പൂൺ വെളിച്ചെണ്ണ</t>
  </si>
  <si>
    <t>300 grams Jackfruit Ripe (Kathal) - chopped coarsely,1 cup Water,1 teaspoon Red Chilli powder,1/2 teaspoon Turmeric powder (Haldi),1/2 teaspoon Black pepper powder,Salt - to taste,1/2 cup Fresh coconut - grated,1 teaspoon Cumin seeds (Jeera),1/2 cup Fresh coconut - pieces,1 sprig Curry leaves,2 Dry Red Chillies,6 cloves Garlic,1 teaspoon Mustard seeds,3 teaspoon Coconut Oil</t>
  </si>
  <si>
    <t xml:space="preserve">To begin making Chakka Erissery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turmeric powder, red chilli powder, pepper powder and salt.Pressure cook for 1 whistle and turn off the heat.Allow the pressure to release naturally. In a mixer grinder, combine the grated coconut, and cumin seeds into a fine smooth paste along with some water. Once the pressure from the pressure cooker has released naturally, open the lid, add the coconut masala and return to flame.Cook on medium low heat for 3-4 minutes with no lid on, stirring continuously so that it does not get burnt down. turn off the flame.Heat coconut oil in a tadka pan on low heat. Once the oil is hot, add mustard seeds, when they splutter, add garlic, dry red chillies, curry leaves and coconut pieces and fry  for 2-3 minutes and turn off the in a few seconds. Add this tadka to the Chakka Erissery. Serve Chakka Erissery Recipe along with hot Steamed Rice Recipe, Kerala Style Pulissery Recipe (Mor Kuzhambu), Kerala Style Pazham Pori Recipe (Banana Fry)to make it a complete meal.If you are looking for an Indian Diabetic meal, serve this Chakka Erissery Recipe along with Masala Jowar Bhakri Recipe, Horsegram Dal Recipe and Spinach And Millet Pulav Recipe for a complete meal. 
</t>
  </si>
  <si>
    <t xml:space="preserve">ചക്ക എരിശ്ശേരി റെസിപ്പി ഉണ്ടാക്കാൻ തുടങ്ങാൻ, ആദ്യം നമുക്ക് അസംസ്കൃത ചക്ക മുറിക്കാം. അതിനായി ആദ്യം, നമ്മുടെ കൈകളിലും ഞങ്ങൾ ഉപയോഗിക്കാൻ പോകുന്ന കത്തിയിലും കുറച്ച് എണ്ണ പുരട്ടണം. ഈ സുപ്രധാന നുറുങ്ങ്, പഴത്തിൽ അടങ്ങിയിരിക്കുന്ന പ്രകൃതിദത്ത ഫ്രൂട്ട് ലാറ്റക്‌സ്/സ്രവം നിങ്ങളുടെ കൈകളിൽ എത്താതെ കൈകൾ ഒട്ടിപ്പിടിക്കുന്നില്ലെന്ന് ഉറപ്പാക്കുകയും മുറിക്കൽ പ്രക്രിയ തടസ്സരഹിതമാക്കുകയും ചെയ്യുന്നു. പഴത്തിൻ്റെ നിറവ്യത്യാസം ഒഴിവാക്കാൻ അരിഞ്ഞുവച്ച ചക്ക കഷണങ്ങൾ പാകത്തിന് കുറച്ച് ഉപ്പ് കലർത്തിയ ഒരു പാത്രത്തിൽ വയ്ക്കുക. ഇപ്പോൾ നിങ്ങളുടെ കൈയിലും കത്തിയിലും നന്നായി നെയ്യ് പുരട്ടിയ ശേഷം ചക്ക പകുതിയായി മുറിച്ച് തൊലി കളഞ്ഞ് 1 ഇഞ്ച് കഷണങ്ങളാക്കി ഉപ്പിട്ട വെള്ളത്തിൽ മുക്കിവയ്ക്കുക പൊടി, കുരുമുളക് പൊടി, ഉപ്പ്. 1 വിസിൽ പ്രഷർ ചെയ്ത് തീ ഓഫ് ചെയ്യുക. മർദ്ദം സ്വാഭാവികമായി പുറത്തുവിടാൻ അനുവദിക്കുക. ഒരു മിക്സർ ഗ്രൈൻഡറിൽ, തേങ്ങ ചിരകിയതും ജീരകവും യോജിപ്പിച്ച് കുറച്ച് വെള്ളത്തോടൊപ്പം നല്ല മിനുസമാർന്ന പേസ്റ്റാക്കി മാറ്റുക. പ്രഷർ കുക്കറിൽ നിന്നുള്ള മർദ്ദം സ്വാഭാവികമായി പുറത്തുവന്നുകഴിഞ്ഞാൽ, മൂടി തുറന്ന്, തേങ്ങാ മസാല ചേർത്ത് തീയിലേക്ക് മടങ്ങുക. 3-4 മിനിറ്റ് ഇടത്തരം തീയിൽ ഒരു ലിഡ് ഓണാക്കാതെ, തുടർച്ചയായി ഇളക്കുക, അങ്ങനെ അത് പൊള്ളലേറ്റില്ല. തീ ഓഫ് ചെയ്യുക.ഒരു തഡ്ക പാനിൽ വെളിച്ചെണ്ണ ചെറു തീയിൽ ചൂടാക്കുക. എണ്ണ ചൂടായിക്കഴിഞ്ഞാൽ, കടുക് പൊട്ടിക്കുമ്പോൾ, വെളുത്തുള്ളി, ഉണങ്ങിയ ചുവന്ന മുളക്, കറിവേപ്പില, തേങ്ങാ കഷണങ്ങൾ എന്നിവ ചേർത്ത് 2-3 മിനിറ്റ് വറുത്ത് കുറച്ച് നിമിഷങ്ങൾക്കുള്ളിൽ ഓഫ് ചെയ്യുക. ചക്ക എരിശ്ശേരിയിൽ ഈ തഡ്ക ചേർക്കുക. ചൂടുള്ള ആവിയിൽ അരി പാചകക്കുറിപ്പ് ഉപയോഗിച്ച് ചാക്ക ഇറേസ്റി പാചകക്കുറിപ്പ് നൽകുക, കേരള ശൈലിയിലുള്ള പുലിസെറി പാചകക്കുറിപ്പ് (നിങ്ങൾ ഒരു ഇന്ത്യൻ പ്രമേഹ ഭക്ഷണത്തിനായി തിരയുകയാണെങ്കിൽ, മസാലയ്ക്കൊപ്പം ഈ ചക്ക ഇറേസിസെറി പാചകക്കുറിപ്പ് നൽകുക ഒരു സമ്പൂർണ്ണ ഭക്ഷണത്തിനായുള്ള ജോവർ ഭക്രി പാചകക്കുറിപ്പ്, കുതിരഗ്രാം ദാൽ പാചകക്കുറിപ്പ്, ചീര, മില്ലറ്റ് പുലാവ് പാചകക്കുറിപ്പ്. 
</t>
  </si>
  <si>
    <t>https://www.archanaskitchen.com/chakka-erissery-recipe-kerala-style-coconut-laced-jackfruit-sabzi</t>
  </si>
  <si>
    <t>Ada Pradhaman Recipe - Kerala Style Rice Ada Pudding With Jaggery &amp; Coconut Milk</t>
  </si>
  <si>
    <t>Ada Pradhaman Recipe - Kerala Style Rice ശർക്കരയും തേങ്ങാപ്പാലും അട പുഡ്ഡിംഗ്</t>
  </si>
  <si>
    <t>1 കപ്പ് അരി അട, 1 കപ്പ് ശർക്കര - അരച്ചത്, 1/2 കപ്പ് വെള്ളം, 1 കപ്പ് തേങ്ങാപ്പാൽ - കട്ടിയുള്ളത് (ഒന്നാം സത്ത്), 1-1/2 കപ്പ് തേങ്ങാപ്പാൽ - (രണ്ടാം &amp; മൂന്നാം സത്ത്), 5 കശുവണ്ടിപ്പരിപ്പ്, 7 ഉണക്കമുന്തിരി, 2 ടീസ്പൂൺ പുതിയ തേങ്ങ - കഷ്ണങ്ങൾ, 1/2 ടീസ്പൂൺ ഏലയ്ക്കാപ്പൊടി (ഏലയ്ക്കാപ്പൊടി)</t>
  </si>
  <si>
    <t>1 cup Rice ada,1 cup Jaggery - grated,1/2 cup Water,1 cup Coconut milk - thick (1st extract),1-1/2 cups Coconut milk - (2nd &amp; 3rd extract),5 Cashew nuts,7 Raisins,2 teaspoons Fresh coconut - slices,1/2 teaspoon Cardamom Powder (Elaichi),Ghee - as required</t>
  </si>
  <si>
    <t xml:space="preserve">To begin making the Ada Pradhaman, boil sufficient water in a pan, add rice ada and turn off the gas immediately.Let the ada soak for 30 minutes. Later drain the water, wash the ada in cold water 2-3 times, strain and keep aside.Take a small bowl and soak grated jaggery in 1/2 cup of clean water till jaggery melts. Strain through a fine sieve and collect the syrup and discard the impurities. Keep it aside.Heat 2 tablespoons ghee in a wok/kadai and add cashews, raisins and coconut pieces. Fry them till they turn golden and keep it aside.In the same wok, add 1 tablespoon ghee and saute the rice ada for a minute.After a minute, add the jaggery syrup in the ada and allow it to cook on medium flame till the jaggery starts to thicken.Now, add the thin coconut milk and cook again on medium flame till it thickens.Add some cardamom powder, fried cashews, raisins and thick coconut milk and turn off the gas immediately. Don't boil or cook after adding the thick milk.Garnish Ada Pradhaman with few fried cashews and serve hot or chilled.Serve Ada Pradhaman with Kerala Style Onam meal and enjoy warm or cold.
</t>
  </si>
  <si>
    <t xml:space="preserve">അട പ്രധാനൻ ഉണ്ടാക്കാൻ തുടങ്ങാൻ, ഒരു പാനിൽ ആവശ്യത്തിന് വെള്ളം തിളപ്പിക്കുക, അരി അട ചേർക്കുക, ഉടൻ ഗ്യാസ് ഓഫ് ചെയ്യുക. അട 30 മിനിറ്റ് കുതിർക്കാൻ അനുവദിക്കുക. പിന്നീട് വെള്ളം കളയുക, അട 2-3 തവണ തണുത്ത വെള്ളത്തിൽ കഴുകുക, അരിച്ചെടുത്ത് മാറ്റി വയ്ക്കുക. ഒരു ചെറിയ പാത്രം എടുത്ത് 1/2 കപ്പ് ശുദ്ധമായ വെള്ളത്തിൽ ശർക്കര ഉരുകുന്നത് വരെ മുക്കിവയ്ക്കുക. ഒരു നല്ല അരിപ്പയിലൂടെ അരിച്ചെടുത്ത് സിറപ്പ് ശേഖരിച്ച് മാലിന്യങ്ങൾ ഉപേക്ഷിക്കുക. ഇത് മാറ്റിവെക്കുക.ഒരു വോക്ക്/കടയിൽ 2 ടേബിൾസ്പൂൺ നെയ്യ് ചൂടാക്കി കശുവണ്ടി, ഉണക്കമുന്തിരി, തേങ്ങാ കഷ്ണങ്ങൾ എന്നിവ ചേർക്കുക. ഇവ സ്വർണ്ണനിറം ആകുന്നത് വരെ വറുത്ത് മാറ്റി വയ്ക്കുക.അതേ ചീനച്ചട്ടിയിൽ 1 ടേബിൾസ്പൂൺ നെയ്യൊഴിച്ച് അരി അട ഒരു മിനിറ്റ് വഴറ്റുക.ഒരു മിനിറ്റിന് ശേഷം ശർക്കരപ്പാനി അടയിൽ ചേർത്ത് മീഡിയം തീയിൽ ശർക്കര കട്ടിയാകുന്നത് വരെ വേവിക്കാൻ അനുവദിക്കുക.ഇപ്പോൾ കനംകുറഞ്ഞ തേങ്ങാപ്പാൽ ചേർക്കുക ഉണക്കമുന്തിരിയും കട്ടിയുള്ള തേങ്ങാപ്പാലും ഉടൻ ഗ്യാസ് ഓഫ് ചെയ്യുക. കട്ടിയുള്ള പാൽ ചേർത്തതിന് ശേഷം തിളപ്പിക്കുകയോ വേവിക്കുകയോ ചെയ്യരുത്. കുറച്ച് വറുത്ത കശുവണ്ടി കൊണ്ട് അലങ്കരിച്ച് ചൂടോ തണുപ്പിച്ചോ വിളമ്പുക. കേരള സ്‌റ്റൈൽ ഓണസദ്യയ്‌ക്കൊപ്പം അട പ്രധാനൻ  വിളമ്പുക, ചൂടോ തണുപ്പോ ആസ്വദിക്കൂ.
</t>
  </si>
  <si>
    <t>https://www.archanaskitchen.com/ada-pradhaman-recipe-kerala-style-rice-flake-pudding-with-jaggery-coconut-milk</t>
  </si>
  <si>
    <t>Banana Stem Thoran Recipe - Ayurvedic No Onion No Garlic Recipe</t>
  </si>
  <si>
    <t>വാഴത്തണ്ട് തോരൻ പാചകക്കുറിപ്പ് - ആയുർവേദത്തിൽ ഉള്ളി ഇല്ല വെളുത്തുള്ളി പാചകക്കുറിപ്പ്</t>
  </si>
  <si>
    <t>300 ഗ്രാം ഏത്തപ്പഴം - തൊലികളഞ്ഞ് സമചതുരയായി അരിഞ്ഞത്, 1/2 കപ്പ് പുതിയ തേങ്ങ - അരച്ചത്, 2 പച്ചമുളക്, 2 തണ്ട് കറിവേപ്പില, ഉപ്പ് - ആവശ്യത്തിന്, 1 ടീസ്പൂൺ വെളിച്ചെണ്ണ, 1/2 ടീസ്പൂൺ കടുക്, 1 ടീസ്പൂൺ വെള്ള ഉറാഡ് ദാൽ (പിളർന്നത്), 1 തണ്ട് കറിവേപ്പില</t>
  </si>
  <si>
    <t>300 grams Banana Stem - peeled and cut into dices,1/2 cup Fresh coconut - grated,2 Green Chillies,2 sprig Curry leaves,Salt - to taste,1 teaspoon Coconut Oil,1/2 teaspoon Mustard seeds,1 teaspoon White Urad Dal (Split),1 sprig Curry leaves</t>
  </si>
  <si>
    <t xml:space="preserve">To begin making the Banana Stem Thoran Recipe, prepare all the ingredients and keep them aside.Add the banana stem into the pressure cooker, add 1/4 cup of water and salt and pressure cook for 2 whistles.Release the pressure immediately, by placing the cooker under cold running water.It is important to release the pressure immediately, so the banana stem does not become soggy.Into a blender, blend the coconut, curry leaves and green chillies into a coarse mixture.Stir this mixture into the cooked banana stem and keep aside.Heat oil in a tadka pan; add the mustard seeds and urad dal. Allow it to crackle and the dal to turn crisp and golden brown.Once done, stir in the curry leaves and turn off the heat.Pour the tadka over the banana stem thoran and stir. Check the salt and adjust to suit your taste.Serve the Banana Stem Thoran along with Nellikai Rasam (Whole Gooseberry Rasam) Recipe and Steamed Rice for lunch or even pack it into your lunch box along with Phulkas.
</t>
  </si>
  <si>
    <t xml:space="preserve">വാഴത്തണ്ട തോരൻ റെസിപ്പി ഉണ്ടാക്കാൻ തുടങ്ങുന്നതിന്, എല്ലാ ചേരുവകളും തയ്യാറാക്കി മാറ്റി വയ്ക്കുക. പ്രഷർ കുക്കറിൽ വാഴപ്പഴം ചേർത്ത് 1/4 കപ്പ് വെള്ളവും ഉപ്പും ചേർത്ത് 2 വിസിൽ വരെ പ്രഷർ കുക്ക് ചെയ്യുക. കുക്കർ തണുത്ത വെള്ളത്തിനടിയിൽ വെച്ചുകൊണ്ട് ഉടൻ പ്രഷർ റിലീസ് ചെയ്യുക. പെട്ടെന്ന് മർദ്ദം വിടുക, തേങ്ങാ തണ്ട് പെട്ടെന്ന് കറങ്ങാതിരിക്കുക. ഇലകളും പച്ചമുളകും ഒരു നാടൻ മിശ്രിതത്തിലേക്ക്. വേവിച്ച വാഴത്തണ്ടിലേക്ക് ഈ മിശ്രിതം ഇളക്കി മാറ്റി വയ്ക്കുക. ഒരു തഡ്ക പാനിൽ എണ്ണ ചൂടാക്കുക; കടുക്, ഉലുവ പരിപ്പ് എന്നിവ ചേർക്കുക. ഇത് പൊട്ടിക്കാൻ അനുവദിക്കുക, പരിപ്പ് നല്ല തവിട്ട് നിറമാകാൻ അനുവദിക്കുക. ചെയ്തുകഴിഞ്ഞാൽ, കറിവേപ്പില ഇളക്കി തീ ഓഫ് ചെയ്യുക. വാഴത്തണ്ടിൻ്റെ തോരനിൽ തഡ്ക ഒഴിച്ച് ഇളക്കുക. ഉപ്പ് പരിശോധിച്ച് നിങ്ങളുടെ അഭിരുചിക്കനുസരിച്ച് ക്രമീകരിക്കുക. നെല്ലിക്കൈ രസം (മുഴുവൻ നെല്ലിക്ക രസം) റെസിപ്പിയും ആവിയിൽ വേവിച്ച ചോറും ഉച്ചഭക്ഷണത്തിന് ഒപ്പം ഏത്തപ്പഴത്തോരൻ ഉപയോഗിക്കുക അല്ലെങ്കിൽ ഫുൽക്കാസ് സഹിതം നിങ്ങളുടെ ലഞ്ച് ബോക്‌സിൽ പാക്ക് ചെയ്യുക.
</t>
  </si>
  <si>
    <t>http://www.archanaskitchen.com/banana-stem-thoran-recipe-ayurvedic-no-onion-no-garlic-recipe</t>
  </si>
  <si>
    <t>Chow Chow Thoran Recipe - Chow Chow Thoran (Recipe In Hindi)</t>
  </si>
  <si>
    <t>ചാവു ചാവു തോരൻ റെസിപ്പി - ചൗ ചൗ തോരൻ (ഹിന്ദിയിലെ പാചകക്കുറിപ്പ്)</t>
  </si>
  <si>
    <t>3 ചാവു ചാവു,1/2 കപ്പ് നാറിയൽ - കസ് ലെ,2 ഹരി മിർച്ച്,2 തഹനി കഠി പത്ത, ജീര,1/2 ചട്ട റായ്,1/2 ഛോട്ടാ ചമച്ച ഹൽദി പൌഡർ,നമക് - സ്വാദ് അനുസാർ</t>
  </si>
  <si>
    <t>3 chow chow, 1/2 cup coconut - grated, 2 green chillies, 2 sprigs curry leaves, cumin seeds, 1/2 tsp mustard seeds, 1/2 tsp turmeric powder, salt - according to taste</t>
  </si>
  <si>
    <t>To make Chow Chow Thoran, first peel and chop the chow chow. Now add some water and cook it in a pressure cooker till it becomes soft. Now put coconut, curry leaves, green chillies and cumin seeds in a blender. Grind it and keep it aside. Now heat oil in a small pan. Add mustard seeds and let it cook for 10 seconds. After 10 seconds, add curry leaves and turmeric powder. After 10 seconds, add this tempering and coconut mixture to the chow chow and mix it well. Serve Chow Chow Thoran with Mixed Vegetable Sambar and Rice for lunch.</t>
  </si>
  <si>
    <t xml:space="preserve">ചാവു ചാവു തോരൻ ബനാനെ സബസെ പഹലെ ചാവു ചാവു കോ ഛീലകർ കട് ലെ. അബ് ഒരു പ്രെഷർ കുക്കർ മെം തൊഡാ പാനി ഡാലകർ നരം ഹോനെ തക്ക പക ലെ. എബി ഒരു ബ്ലെൻഡറിൽ നാറിയൽ, കഠി പട്ട, ഹരി മിർച്ച് എന്നിവയും ജീര ഡാലെയും. പീസ് ലെയും അലഗ് സെ രഖ് ദേ. അബ് ഒരു ഛോട്ടി കഥയായി ഞാൻ തെൽ ഗരം കരെം. ഇതുപോലെ റായ് ഡാലെയും 10 സെക്കണ്ടുകളും പത്ത് സെക്കൻ്റുകൾ 10 സെക്കണ്ട് ബാദ് ഇസ് തഡ്‌കെ കോ ആൻഡ് നാരിയൽ മിശ്രണം കോ ചാവു ചാവു മെൻ റൗഡ് ലെ സെ മിലാ ലെ. ചാവു ചാവു തോറൻ കോ മിക്‌സ്‌ഡ് വെജിറ്റബൽ സാംബറും ചാവലും ദിനംപ്രതി പരിഗണിക്കുക.
</t>
  </si>
  <si>
    <t>http://www.archanaskitchen.com/chow-chow-thoran-recipe-in-hindi</t>
  </si>
  <si>
    <t>Mushroom Thoran Recipe – Mushroom Thoran (Recipe In Hindi)</t>
  </si>
  <si>
    <t>മഷ്റൂം തോരൻ - മഷ്റൂം തോരൻ (ഹിന്ദിയിലെ പാചകക്കുറിപ്പ്)</t>
  </si>
  <si>
    <t>20 ബട്ടൻ മഷറും - ബാരിക്ക് കാറ്റ് ലെ,1/2 ഛോട്ട ചമച്ച ഹൽദി ഔഡർ,2 ബഡചംചതർ - സ്വാദ് അനുസാർ,4 ബഡ ചമച്ച നാറിയൽ - കസ് ലെ,4 ഛോട്ടേ പ്യാജ്,2 ഹരി മിർച്ച്,1ത,5 ഛോട്ട ചമച്ച ജീര,1 ഛോട്ട ചമച്ച റൈ,1 ഛോട്ട ചമച്ച ജീര,2 പത്താ,2 സുഖി ലാൽ മിർച്ച്</t>
  </si>
  <si>
    <t>To make Mushroom Thoran, first prepare all the ingredients. Grind the ingredients mentioned in the paste in a mixer grinder along with 1/3 cup water and make a paste. Now heat oil in a pan and add mustard seeds to it. After 10 seconds, add all the tempering ingredients. Mix it and after another 10 seconds add finely chopped mushrooms, turmeric powder and mix it. Cook till the mushrooms become soft. After they become soft, add coconut and cook for next 5 to 8 minutes. After that, turn off the gas and serve it hot. Serve Mushroom Thoran with Mixed Vegetable Sambar, Rice and Ghee for lunch.</t>
  </si>
  <si>
    <t xml:space="preserve">മഷറും തോരൻ ബനാനേയും പെസ്റ്റ് മെൻ ലിഖി ഹ്യൂയി സാമഗ്രി കോ ഒരു മിക്‌സർ ഗ്രെയിൻഡറിൽ 1/3 കപ്പ് പാനിക്ക് ഒരു ഗ്രാൻ്റ് പെസ്റ്റ് ബനാ ലെ.അബ് ഒരു കഥായ് മെം ടെൽ ഗരം കരെം കൂടാതെ ഉസമേ റായ് ഡാലെ. 10 സെക്കണ്ട്സ് ബാദ് ഇസമെം ടഡേ വാലി സാഡി സാമഗ്രി ഡാലെ. മിലായേ കൂടാതെ 10 സെക്കണ്ട്സ് ബാദ് ബാരിക്ക് കാറ്റേ ഹ്യൂഎ മഷറും, ഹൽഡി പൗഡർ വിതരണവും. മഷറും നരം ഹോനേ തക്ക പകോ. നർമ്മം ഹോനെയുടെ ബാദ് ഇതുപോലെ നാറിയൽ ഡാലെയും അഗലെ 5 സെ 8 മിനിറ്റും വരെ. ഇസകെ ബാദ് ഗെയ്‌സ് ബന്ദ് കരേ കൂടാതെ ഗരമ ഗരം പരോസേ. മഷറും തോരൻ കോ മിക്‌സ്‌ഡ് വെജിറ്റേബൽ സാംബർ, ചാവൽ, ഘി എന്നിവയും ദിനംപ്രതി പരിഗണിക്കുക.
</t>
  </si>
  <si>
    <t>http://www.archanaskitchen.com/kerala-style-mushroom-sabzi-recipe-in-hindi</t>
  </si>
  <si>
    <t>Kerala Style Cauliflower Kurma Recipe - Kerala Style Cauliflower Kurma (Recipe In Hindi)</t>
  </si>
  <si>
    <t>കേരള സ്റ്റൈൽ ഫൂൾ ഗോഭി കുരമ റെസിപ്പി - കേരള സ്റ്റൈൽ കോളിഫ്ലവർ കുർമ (ഹിന്ദിയിൽ പാചകക്കുറിപ്പ്)</t>
  </si>
  <si>
    <t>1 കപ്പ് ഗോഭി - കാറ്റ് ലെ,1/2 കപ് ഗജർ - കാറ്റ് ലെ,3 ബഡേ ചമച്ച ഹരാ മട്ടർ,1 പയറ്റ് ലെ,1-1/2 ബഡേ ചമച്ച അദരക് ലഹസുൻ കാ പെസ്റ്റ്,2 ഹരി മിർച്ച് - സീധ കാറ്റ് ലെ,2പട്ട്/1 ഛോട്ട ചമച്ച ഹൽഡി പൗഡർ,1 ഛോട്ട ചമച്ച ലാൽ മിർച്ച് പൗഡർ,2 ചട്ച ധനിയാ പാടർ,1/2 ഛോട്ടാ ചമച്ച ജീര പൗഡർ,1 ഇഞ്ച് ദാൽ ചീനി,2 തക, ഠഹനി നാറിയൽ കാ ദൂധ - പാതാള,1/2 കപ്പ് നാരിയൽ കാ ദൂധ - ഗാഢ,നമക് - സ്വാദ് അനുസാർ,5 കാജടങ്ങൾ ലേ,തെൽ - പ്രയോഗം അനുസാർ,2 ബഡേ ചമച്ച ഹര ധനിയ - ബാരിക്ക് കാറ്റ് ലെ</t>
  </si>
  <si>
    <t>1 cup cabbage - chopped, 1/2 cup carrot - chopped, 3 tbsp green peas, 1 onion - finely chopped, 1-1/2 tbsp ginger garlic paste, 2 green chilli - chopped straight, 1 tomato - puree, 1/2 tsp turmeric powder, 1 tsp red chilli powder, 2 tsp coriander powder, 1/2 tsp cumin powder, 1 inch cinnamon, 2 sprigs curry leaves, 1 cup coconut milk - thin, 1/2 cup coconut milk - thick, salt - according to taste, 5 cashews - cut into pieces, oil - according to use, 2 tbsp coriander leaves - finely chopped</t>
  </si>
  <si>
    <t>To make Kerala Style Cauliflower Kurma, first, heat water in a saucepan. Add chopped vegetables and bring to a boil. Drain the water and transfer the vegetables to a bowl. Heat oil in a pan. Add cinnamon and curry leaves. Cook for 10 seconds. After 10 seconds, add onions and cook till they turn soft. After they turn soft, add garlic ginger paste, green chillies and cook for 30 seconds. After 30 seconds, add tomato puree along with red chilli powder, turmeric powder, cumin powder and coriander powder. Mix and cook for 3 to 5 minutes. After 5 minutes, add thin coconut milk, cooked vegetables and salt. Mix and cook for 5 minutes. After 5 minutes, add thick coconut milk, cashews, mix and turn off the gas. Garnish with coriander leaves and grated coconut. Serve Kerala Style Cauliflower Kurma along with Beetroot Thoran, Rice and Papad for dinner.</t>
  </si>
  <si>
    <t xml:space="preserve">കേരള സ്‌റ്റൈൽ ഫൂൾ ഗോഭി കുരമ ബനാനെയുടെ സബ്‌സെ പഹലെ, ഒരു സോസ്‌പൈൻ എന്നിവയിൽ പാനി. ഇപ്പോൾ കടി ഹൂയി സബ്ജിയ ഡാലെയും ഉബാൽ ലെയും. പാനി നിക്കൽ ദേ കൂടാതെ സബ്ജിയോ കോ ഒരു ബൗൾ മെം ഡാൽ ദേ. ഇനി ഒരു കഥ ഇതുപോലെ ദാൽ ചീനിയും കടും പട്ട ദാലെ. 10 സെക്കൻറുകൾ മാത്രം. 10 സെക്കണ്ടുകളുടെ ബാദ് ഇതുപോലെ തന്നെ യാത്രാ ദാലെയും ഉനകെ നരം ഹോനെ തക്ക പകോ. നർമ്മ ഹോനെയുടെ ബാദ് ഇതുപോലെ ലഹസുൻ ആദരക് പെസ്റ്റ്, ഹരി മിർച്ച് ഡാലെ കൂടാതെ 30 സെക്കണ്ടറികൾ. 30 സെക്കൻറുകൾ ബാദ് ഇതുപോലെ ടമാറ്റർ പ്യൂരിയുടെ സാത്ത് ലാൽ മിർച്ച് പൌഡർ, ഹൽഡി പാദർ, പാവാടും ധനിയാ പൗഡർ ഡാലെ. മിലായേ കൂടാതെ 3 സെ 5 മിനിറ്റ് വരെ. 5 മിനിറ്റ് ബദൽ പാതാള നാറിയൽ കാ ദൂധ, പക്കി ഹുയി സബ്ജിയ കൂടാതെ നമക് ഡാലെ. മിലാ ലെയും 5 മിനിറ്റും.  5 മിനിറ്റുകൾക്കപ്പുറം ഗാഢ നാറിയൽ കാ ദൂധ, കാജൂ ഡാലെ, മിലായേ കൂടാതെ ഗെയ്സ് हरे धनिये आगरें है കേരള സ്റ്റൈൽ ഫൂൾ ഗോഭി കുരമ കോ ബീറ്ററൂട്ട് തോരൻ, ചാവൽ എന്നിവയും പാപവും ഒരു കാര്യം. പരോസ്.
</t>
  </si>
  <si>
    <t>https://www.archanaskitchen.com/kerala-style-cauliflower-kurma-recipe-in-hindi</t>
  </si>
  <si>
    <t>Kerala Style Chakka Adai Recipe-Rice Flour and Jackfruit Flatbread</t>
  </si>
  <si>
    <t>കേരള സ്‌റ്റൈൽ ചക്ക അടായി റെസിപ്പി-അരിപ്പൊടിയും ചക്ക അപ്പവും</t>
  </si>
  <si>
    <t>2 കപ്പ് അരിപ്പൊടി, 1/4 കപ്പ് പുതിയ തേങ്ങ - അരച്ചത്, 1 കപ്പ് ചക്ക (കാതൽ) - വിത്തുകൾ നീക്കം ചെയ്ത് അരിഞ്ഞത്, 5 ടേബിൾസ്പൂൺ പഞ്ചസാര, 1/4 ടീസ്പൂൺ ഉപ്പ്, 2 ഏലയ്ക്ക (ഇലച്ചി) കായ്കൾ/വിത്ത് - പൊടിച്ചത്</t>
  </si>
  <si>
    <t>2 cup Rice flour,1/4 cup Fresh coconut - grated,1 cup Jackfruit Ripe (Kathal) - seeds removed and chopped,5 tablespoon Sugar,1/4 teaspoon Salt,2 Cardamom (Elaichi) Pods/Seeds - powdered</t>
  </si>
  <si>
    <t>Indian Breakfast</t>
  </si>
  <si>
    <t xml:space="preserve">To begin making Kerala Style Chakka Adai Recipe, chop the jackfruit flesh and add it in a sauce pan with ¼ cup water and boil it till it gets soft and mushy.In a mixing bowl, combine all the ingredients - rice flour, fresh coconut, sugar, salt and powdered cardamom pods including the cooked jackfruit and add little water and knead it to form a soft and firm Chakka Adai dough.Add a little ghee to the dough, mix it in well and cover with a muslin cloth and let rest for 10 minutes. Meanwhile heat a tawa over medium heat. Take a plastic sheet to flatten the Chakka Adai. Divide the dough into 6 - 8 equal portions. Use a plastic sheet to flatten these Adais, grease the sheet  with some oil and take one Chakka Adai ball and pat it on the sheet, grease your fingers with oil to do this, pat until you get an adai of medium thickness, ensuring it is evenly shaped. Place the Chakka Adai on the preheated tawa, carefully lifting off the paper off before placing it on the skillet. Drizzle a little bit of oil along the edges and the centre of the chakka adai and allow it to sizzle and crisp up. When it seems half cooked, flip the adai over with a spatula to cook the other side. Cook well till you have brown patches on both sides. Then, take the adai off the skillet, add a dollop of butter or ghee, and serve. Serve the Kerala Style Chakka Adai Recipe as a snack with a glass of Muskmelon (Kharbuj) Juice Recipe for your evening snack or even as your breakfast.
</t>
  </si>
  <si>
    <t xml:space="preserve">കേരള സ്‌റ്റൈൽ ചക്ക അടായി റെസിപ്പി ഉണ്ടാക്കാൻ തുടങ്ങുന്നതിന്, ചക്കയുടെ മാംസം അരിഞ്ഞ് ഒരു സോസ് പാനിൽ ¼ കപ്പ് വെള്ളം ചേർത്ത് മൃദുവും മൃദുവും ആകുന്നതുവരെ തിളപ്പിക്കുക. ഒരു മിക്സിംഗ് പാത്രത്തിൽ, അരിപ്പൊടി, പുതിയ തേങ്ങ, പഞ്ചസാര, ഉപ്പ്, പൊടിച്ച ഏലയ്ക്കാ കായ്കൾ എന്നിവയെല്ലാം ചേർത്ത്, ചക്ക പാകം ചെയ്ത ചക്ക, ചെറുതായി വെള്ളം ചേർത്ത് ഒരു മൃദുവായ മുട്ടയിലേക്ക് ചേർക്കുക. കുഴെച്ചതുമുതൽ നെയ്യ്, നന്നായി ഇളക്കി ഒരു മസ്ലിൻ തുണികൊണ്ട് മൂടി 10 മിനിറ്റ് വിശ്രമിക്കട്ടെ. ഇതിനിടയിൽ ഒരു തവ ഇടത്തരം ചൂടിൽ ചൂടാക്കുക. ചക്ക അടൈ പരത്താൻ ഒരു പ്ലാസ്റ്റിക് ഷീറ്റ് എടുക്കുക. കുഴെച്ചതുമുതൽ 6-8 തുല്യ ഭാഗങ്ങളായി വിഭജിക്കുക. ഈ അഡൈകൾ പരത്താൻ ഒരു പ്ലാസ്റ്റിക് ഷീറ്റ് ഉപയോഗിക്കുക, ഷീറ്റ് അൽപം എണ്ണ പുരട്ടി ഒരു ചക്ക അടയ് ബോൾ എടുത്ത് ഷീറ്റിൽ തട്ടുക, ഇത് ചെയ്യുന്നതിന് നിങ്ങളുടെ വിരലുകൾ എണ്ണ പുരട്ടുക, ഇടത്തരം കട്ടിയുള്ള ഒരു ആഡായി ലഭിക്കുന്നത് വരെ പാറ്റ് ചെയ്യുക, അത് തുല്യ ആകൃതിയിലാണെന്ന് ഉറപ്പാക്കുക. ചക്ക അടയ് മുൻകൂട്ടി ചൂടാക്കിയ തവയിൽ വയ്ക്കുക, ചട്ടിയിൽ വയ്ക്കുന്നതിന് മുമ്പ് പേപ്പർ ശ്രദ്ധാപൂർവ്വം ഉയർത്തുക. ചക്ക അടയുടെ അരികുകളിലും മധ്യഭാഗത്തും അൽപം എണ്ണ ഒഴിക്കുക, അത് ചുരണ്ടാനും ക്രിസ്പ് ചെയ്യാനും അനുവദിക്കുക. പകുതി വേവിച്ചതായി തോന്നുമ്പോൾ, മറുവശം വേവിക്കാൻ ഒരു സ്പാറ്റുല ഉപയോഗിച്ച് അടയ് മറിക്കുക. ഇരുവശത്തും തവിട്ട് നിറമുള്ള പാടുകൾ ഉണ്ടാകുന്നതുവരെ നന്നായി വേവിക്കുക. തുടർന്ന്, ചട്ടിയിൽ നിന്ന് അടയ് എടുത്ത് ഒരു കഷ്ണം വെണ്ണയോ നെയ്യോ ചേർത്ത് വിളമ്പുക. നിങ്ങളുടെ വൈകുന്നേരത്തെ ലഘുഭക്ഷണത്തിനോ പ്രഭാതഭക്ഷണത്തിനോ ഒരു ഗ്ലാസ് മസ്‌ക്‌മെലൺ (ഖർബുജ്) ജ്യൂസിനൊപ്പം കേരള സ്‌റ്റൈൽ ചക്ക അടായി റെസിപ്പി ഒരു ലഘുഭക്ഷണമായി വിളമ്പുക.
</t>
  </si>
  <si>
    <t>https://www.archanaskitchen.com/kerala-style-chakka-adai-recipe-rice-flour-and-jackfruit-flatbread-recipe</t>
  </si>
  <si>
    <t>Kerala Pumpkin Pachadi Recipe (Parangikai Pachadi)</t>
  </si>
  <si>
    <t>കേരള മത്തങ്ങ പച്ചടി (പറങ്കിക്കൈ പച്ചടി)</t>
  </si>
  <si>
    <t>300 ഗ്രാം കടു (പറങ്കിക്കൈ/ മത്തങ്ങ), 1/2 ടീസ്പൂൺ മഞ്ഞൾപ്പൊടി (ഹാൽദി), 2 ടീസ്പൂൺ ശർക്കര, ഉപ്പ് - ആവശ്യത്തിന്, 1/2 കപ്പ് പുതിയ തേങ്ങ - അരച്ചത്, 1 പച്ചമുളക്, 1 ഇഞ്ച് ഇഞ്ചി - വറ്റല്, 1 തണ്ട് കറിവേപ്പില, 1 ടീസ്പൂൺ സൂര്യകാന്തി എണ്ണ, 1 ടീസ്പൂൺ 1/2 ടീസ്പൂൺ കടുക്, 1 ടീസ്പൂൺ. തളിരില കറിവേപ്പില</t>
  </si>
  <si>
    <t>300 grams Kaddu (Parangikai/ Pumpkin),1/2 teaspoon Turmeric powder (Haldi),2 teaspoons Jaggery,Salt - to taste,1/2 cup Fresh coconut - grated,1 Green Chilli,1 inch Ginger - grated,1 sprig Curry leaves,1 teaspoon Sunflower Oil,1/2 teaspoon Mustard seeds,1/2 teaspoon White Urad Dal (Split),1 sprig Curry leaves</t>
  </si>
  <si>
    <t xml:space="preserve">To begin making the Kerala Pumpkin Pachadi Recipe (Parangikai Pachadi), place the cut pumpkins in the pressure cooker, sprinkle the salt and turmeric powder, add a tablespoon of water and cook for just one whistle.After the whistle, turn off the heat and release the pressure immediately by running it under cold water. Open the cooker and keep the pumpkin aside.The next step is to grind the ingredients into a coarse paste (mentioned in the "To Grind" section).Once ground, add the coconut mixture to the cooked pumpkin and give it a stir. Check the salt and spices and adjust accordingly.The final step is the seasoning. Heat oil in a small pan, add the mustard seeds, urad dal and curry leaves. Allow the urad dal to get roasted until golden in color.Add the seasoning over the Kerala Pumpkin Pachadi and serve.Serve the Kerala Pumpkin Pachadi, as a side dish along with Kerala Style Pulissery Recipe (Mor Kuzhambu), Phulka and Spicy Potato Roast Recipe (Urulaikizhangu Poriyal) for a comforting meal.
</t>
  </si>
  <si>
    <t xml:space="preserve">കേരള മത്തങ്ങ പച്ചടി പാചകക്കുറിപ്പ് (പറങ്കിക്കൈ പച്ചടി) ഉണ്ടാക്കാൻ തുടങ്ങാൻ, മത്തങ്ങകൾ പ്രഷർ കുക്കറിൽ വയ്ക്കുക, ഉപ്പും മഞ്ഞൾപ്പൊടിയും വിതറി, ഒരു ടേബിൾസ്പൂൺ വെള്ളവും ചേർത്ത് ഒരു വിസിൽ മാത്രം വേവിക്കുക. വിസിലിന് ശേഷം, തീ ഓഫ് ചെയ്ത് തണുത്ത വെള്ളത്തിനടിയിൽ ഓടിച്ച് ഉടൻ പ്രഷർ ഒഴിവാക്കുക. കുക്കർ തുറന്ന് മത്തങ്ങ മാറ്റി വയ്ക്കുക. അടുത്ത ഘട്ടം ചേരുവകൾ ഒരു നാടൻ പേസ്റ്റിലേക്ക് പൊടിക്കുക എന്നതാണ് ("ഗ്രൈൻഡ് ചെയ്യാൻ" എന്ന വിഭാഗത്തിൽ സൂചിപ്പിച്ചിരിക്കുന്നു) പൊടിച്ചതിന് ശേഷം, വേവിച്ച മത്തങ്ങയിലേക്ക് തേങ്ങാ മിശ്രിതം ചേർത്ത് ഇളക്കുക. ഉപ്പും മസാലകളും പരിശോധിച്ച് അതിനനുസരിച്ച് ക്രമീകരിക്കുക. അവസാന ഘട്ടം താളിക്കുക എന്നതാണ്. ഒരു ചെറിയ പാനിൽ എണ്ണ ചൂടാക്കി കടുക്, ഉലുവ, കറിവേപ്പില എന്നിവ ചേർക്കുക. ഉലുവ പൊൻ നിറമാകുന്നത് വരെ വറുത്തെടുക്കാൻ അനുവദിക്കുക. കേരള മത്തങ്ങ പച്ചടിയുടെ മുകളിൽ താളിക്കുക ചേർത്ത് വിളമ്പുക. കേരള സ്‌റ്റൈൽ പുളിശ്ശേരി റെസിപ്പി (മോർ കുഴമ്പ്), ഫുൾക്ക, എരിവുള്ള ഉരുളക്കിഴങ്ങ് വിഭവം എന്നിവയ്‌ക്കൊപ്പം ഒരു സൈഡ് ഡിഷായി കേരള മത്തങ്ങ പച്ചടി വിളമ്പുക.
</t>
  </si>
  <si>
    <t>https://www.archanaskitchen.com/kerala-pumpkin-pachadi-recipe-parangikai-pachadi</t>
  </si>
  <si>
    <t>Kerala Style Kappa Ulathiyathu Recipe - Tapioca Stir Fry Recipe</t>
  </si>
  <si>
    <t>2 മരച്ചീനി റൂട്ട്, 1 ടീസ്പൂൺ കടുക്, 1 കപ്പ് കടുക് - അരിഞ്ഞത്, 1 ഇഞ്ച് ഇഞ്ചി - അരിഞ്ഞത്, 1 തണ്ട് കറിവേപ്പില, 2 ഉണങ്ങിയ ചുവന്ന മുളക്, 2 ടേബിൾസ്പൂൺ പുതിയ തേങ്ങ - അരച്ചത്, 1/2 ടീസ്പൂൺ മഞ്ഞൾപ്പൊടി (ഹാൽദി), ഉപ്പ് - ആവശ്യത്തിന്, വെളിച്ചെണ്ണ - പാചകത്തിന്</t>
  </si>
  <si>
    <t>2 Tapioca root,1 teaspoon Mustard seeds,1 cup Shallots - chopped,1 inch Ginger - chopped,1 sprig Curry leaves,2 Dry Red Chilli,2 tablespoon Fresh coconut - grated,1/2 teaspoon Turmeric powder (Haldi),Salt - to taste,Coconut Oil - for cooking</t>
  </si>
  <si>
    <t xml:space="preserve">To begin making the Kerala Style Kappa Ularthiyathu Recipe, firstly cut the tapioca and boiling them in a pressure cooker with water and salt for about 3 whistle.Once done release the pressure naturally and drain the water and peel off the skin, cut them into big chunks and keep it aside.We begin by heating kadai with oil, crackle the mustard seeds, and curry leaves and dry red chillies.Then add in the onions and ginger and fry them till it is translucent, you can add the turmeric powder.Once that is done, add in the boiled tapioca and salt and fry them till it evenly coated. Cook for 2 minutes, switch off the gas and serve hot.Serve the Kerala Style Kappa Ularthiyathu Recipe along with Kerala Style Fish Curry Recipe or Chettinad Muttai Masala Recipe and Kerala Parotta for an everyday meal.
</t>
  </si>
  <si>
    <t xml:space="preserve">കേരള സ്‌റ്റൈൽ കപ്പ ഉലർത്തിയതു പാചകക്കുറിപ്പ് തയ്യാറാക്കാൻ, ആദ്യം മരച്ചീനി വെട്ടി വെള്ളവും ഉപ്പും ചേർത്ത് പ്രഷർ കുക്കറിൽ 3 വിസിൽ തിളപ്പിക്കുക. ശേഷം സ്വാഭാവികമായും മർദ്ദം ഒഴിവാക്കി വെള്ളം വറ്റി തൊലി കളഞ്ഞ് വലിയ കഷ്ണങ്ങളാക്കി മാറ്റി വയ്ക്കുക. കടായിയിൽ എണ്ണ, കടായി, കറിവേപ്പില എന്നിവ ചൂടാക്കി, കടായി, കറിവേപ്പില എന്നിവ ചേർത്ത് ഉണക്കുക. ഇഞ്ചിയും അർദ്ധസുതാര്യമാകുന്നതുവരെ വഴറ്റുക, നിങ്ങൾക്ക് മഞ്ഞൾപ്പൊടി ചേർക്കാം. അത് കഴിഞ്ഞാൽ, വേവിച്ച മരച്ചീനിയും ഉപ്പും ചേർത്ത് തുല്യമായി പൂശുന്നത് വരെ വറുക്കുക. 2 മിനിറ്റ് വേവിക്കുക, ഗ്യാസ് ഓഫ് ചെയ്ത് ചൂടോ നിറയ്ക്കുക. കേരള ശൈലിയിലുള്ള കാപ്പ ഉൽരാഥു പാചകക്കുറിച്ചോ കേരള ശൈലിയിലുള്ളത് ദൈനംദിന ഭക്ഷണത്തിനായി കേരള രീതിയിലുള്ള കേരള രീതിയിലുള്ള കാപ്പ ഉൽരാഥു പാചകക്കുറിപ്പ്.
</t>
  </si>
  <si>
    <t>http://www.archanaskitchen.com/kerala-style-kappa-ulathiyatu-recipe-tapioca-stir-fry-recipe</t>
  </si>
  <si>
    <t>Kerala Style Cauliflower Kurma Recipe</t>
  </si>
  <si>
    <t>കേരള സ്റ്റൈൽ കോളിഫ്ലവർ കുർമ പാചകക്കുറിപ്പ്</t>
  </si>
  <si>
    <t>1 കപ്പ് കോളിഫ്ലവർ (ഗോബി) - പൂങ്കുലകൾ, 1/2 കപ്പ് കാരറ്റ് (ഗജ്ജർ) - ചെറുതായി അരിഞ്ഞത്, 2 മുതൽ 3 ടേബിൾസ്പൂൺ ഗ്രീൻ പീസ് (മറ്റാർ) - ഫ്രഷ് അല്ലെങ്കിൽ ഫ്രോസൺ, 1 സവാള - ചെറുതായി അരിഞ്ഞത്, 2 ടേബിൾസ്പൂൺ ഇഞ്ചി വെളുത്തുള്ളി പേസ്റ്റ്, 2 പച്ചമുളക് - കീറിയത്, 1 തക്കാളി - 1 ടീസ്പൂൺ (ചുവന്ന പൊടി, 1 ടീസ്പൂൺ), 1/2 ടീസ്പൂൺ മല്ലിപ്പൊടി (ധാനിയ), 1/2 ടീസ്പൂൺ ജീരകപ്പൊടി (ജീര), 1 ഇഞ്ച് കറുവാപ്പട്ട (ഡാൽചിനി), 2 തണ്ട് കറിവേപ്പില, 1 കപ്പ് തേങ്ങാപ്പാൽ - നേർത്തത്, 1/2 കപ്പ് തേങ്ങാപ്പാൽ - കട്ടി, ഉപ്പ് - ആവശ്യത്തിന്, 4 മുതൽ 5 വരെ കശുവണ്ടിപ്പരിപ്പ് - പൊട്ടി, സൂര്യകാന്തി - 2 ടേബിൾസ്പൂൺ. അരിഞ്ഞത്</t>
  </si>
  <si>
    <t>1 cup Cauliflower (gobi) - florets,1/2 cup Carrots (Gajjar) - diced,2 to 3 tablespoons Green peas (Matar) - fresh or frozen,1 Onion - finely chopped,2 tablespoons Ginger Garlic Paste,2 Green Chillies - slit,1 Tomato - pureed,1/2 teaspoon Turmeric powder (Haldi),1 teaspoon Red Chilli powder,2 teaspoons Coriander Powder (Dhania),1/2 teaspoon Cumin powder (Jeera),1 inch Cinnamon Stick (Dalchini),2 sprig Curry leaves,1 cup Coconut milk - thin,1/2 cup Coconut milk - thick,Salt - as required,4 to 5 Cashew nuts - broken,Sunflower Oil - as required,2 tablespoons Coriander (Dhania) Leaves - finely chopped</t>
  </si>
  <si>
    <t xml:space="preserve">To begin making the Kerala Style Cauliflower Kurma recipe, firstly heat sufficient water in a saucepan and add chopped vegetables and boil them.Drain water and collect the vegetables in a mixing bowl. (Do not over cook the veggies)Heat some oil in a heavy bottomed pan and add cinnamon stick and curry leaves.Now add finely chopped onion and saute till they turn translucent.Add ginger garlic paste, green chilies and fry till golden.Now add pureed tomato along with red chilli powder, turmeric powder, cumin powder and coriander powder and fry till the oil starts leaving the sides.Pour in the thin coconut milk, cooked veggies and adjust salt. Cook for 5 to 6 minutes on low flame.Once the curry is done, add thick coconut milk, some chopped cashews and turn off the gas.Garnish with fresh chopped coriander and some grated coconut.Serve Kerala Style Cauliflower Kurma with steamed rice and Elai Vadam for a comfort meal. Cauliflower Kurma also goes well with Whole Wheat Lachha Parathas.
</t>
  </si>
  <si>
    <t xml:space="preserve">കേരള സ്‌റ്റൈൽ കോളിഫ്‌ളവർ കുർമ പാചകക്കുറിപ്പ് തയ്യാറാക്കാൻ ആരംഭിക്കുന്നതിന്, ആദ്യം ഒരു ചീനച്ചട്ടിയിൽ ആവശ്യത്തിന് വെള്ളം ചൂടാക്കി അരിഞ്ഞ പച്ചക്കറികൾ ചേർത്ത് തിളപ്പിക്കുക. വെള്ളം ഒഴിച്ച് പച്ചക്കറികൾ ഒരു മിക്സിംഗ് പാത്രത്തിൽ ശേഖരിക്കുക. (പച്ചക്കറികൾ അധികം വേവിക്കരുത്) ചുവട് കട്ടിയുള്ള ഒരു പാനിൽ കുറച്ച് എണ്ണ ചൂടാക്കി കറുവാപ്പട്ടയും കറിവേപ്പിലയും ചേർക്കുക. ഇപ്പോൾ ചെറുതായി അരിഞ്ഞ ഉള്ളി ചേർത്ത് അർദ്ധസുതാര്യമാകുന്നതുവരെ വഴറ്റുക. ഇഞ്ചി വെളുത്തുള്ളി പേസ്റ്റ്, പച്ചമുളക് എന്നിവ ചേർത്ത് സ്വർണ്ണ നിറം വരെ വഴറ്റുക. വശങ്ങൾ. നേർത്ത തേങ്ങാപ്പാൽ ഒഴിക്കുക, വേവിച്ച പച്ചക്കറികൾ, ഉപ്പ് ക്രമീകരിക്കുക. ചെറിയ തീയിൽ 5 മുതൽ 6 മിനിറ്റ് വരെ വേവിക്കുക.കറി വെന്തു കഴിഞ്ഞാൽ, കട്ടിയേറിയ തേങ്ങാപ്പാലും കുറച്ച് കശുവണ്ടിയും ചേർത്ത് ഗ്യാസ് ഓഫ് ചെയ്യുക.പുതുതായി അരിഞ്ഞ മല്ലിയിലയും കുറച്ച് തേങ്ങയും ഇട്ട് അലങ്കരിക്കുക.കേരള സ്റ്റൈൽ കോളിഫ്‌ളവർ കുർമ്മ ആവിയിൽ വേവിച്ച ചോറും ഇലൈ വടവും ചേർത്ത് വിളമ്പുക. ഹോൾ ഗോതമ്പ് ലച്ച പറാത്തയ്‌ക്കൊപ്പം കോളിഫ്‌ളവർ കുർമ്മയും നന്നായി ചേരുന്നു.
</t>
  </si>
  <si>
    <t>https://www.archanaskitchen.com/kerala-style-cauliflower-kurma-recipe</t>
  </si>
  <si>
    <t>Malabar Prawn Curry Recipe</t>
  </si>
  <si>
    <t>മലബാർ ചെമ്മീൻ കറി റെസിപ്പി</t>
  </si>
  <si>
    <t>250 ഗ്രാം ചെമ്മീൻ, 1 കപ്പ് തേങ്ങാപ്പാൽ, 1 ടീസ്പൂൺ പുളി പേസ്റ്റ്, 1 തണ്ട് കറിവേപ്പില, 1/2 ടീസ്പൂൺ കടുക്, 1/2 ടീസ്പൂൺ മേത്തി വിത്ത് (ഉലുവ), 2 ഉണങ്ങിയ ചുവന്ന മുളക്, 3 മുത്തു ഉള്ളി (സാമ്പാർ ഉള്ളി), 1 ടീസ്പൂൺ മഞ്ഞൾപ്പൊടി, 1 ടീസ്പൂൺ മഞ്ഞൾപ്പൊടി, ചുവന്ന മുളക്, 1 ടീസ്പൂൺ. ജ്യൂസ്, 3 ടീസ്പൂൺ കടുക് എണ്ണ, 3/4 കപ്പ് പുതിയ തേങ്ങ - അരച്ചത്, 1 ടീസ്പൂൺ ഇഞ്ചി - അരിഞ്ഞത്, 2 ടീസ്പൂൺ വെളുത്തുള്ളി - അരിഞ്ഞത്, 2 പച്ചമുളക്, 1/2 ടീസ്പൂൺ മഞ്ഞൾപ്പൊടി (ഹാൽദി), 1/2 ടീസ്പൂൺ ജീരകപ്പൊടി (ജീര), 1 ടീസ്പൂൺ മല്ലിപ്പൊടി (ധാനിയ)</t>
  </si>
  <si>
    <t>250 grams Prawns,1 cup Coconut milk,1 teaspoon Tamarind Paste,1 sprig Curry leaves,1/2 teaspoon Mustard seeds,1/2 teaspoon Methi Seeds (Fenugreek Seeds),2 Dry Red Chillies,3 Pearl onions (Sambar Onions),1 teaspoon Turmeric powder (Haldi),1 teaspoon Kashmiri Red Chilli Powder,Salt - to taste,1 teaspoon Lemon juice,3 teaspoon Mustard oil,3/4 cup Fresh coconut - grated,1 teaspoon Ginger - chopped,2 teaspoon Garlic - chopped,2 Green Chillies,1/2 teaspoon Turmeric powder (Haldi),1/2 teaspoon Cumin powder (Jeera),1 teaspoon Coriander Powder (Dhania)</t>
  </si>
  <si>
    <t xml:space="preserve">To begin making the Malabar Prawn Curry recipe, wash and clean the prawns.Marinate the prawn with 1 teaspoon turmeric powder, 1 teaspoon red chilli powder, 1 teaspoon salt and a juice of half a lemon for 30 minutes.Take 1 cup of grated coconut and pour over 1 cup of boiling water and extract the coconut milk through a sieve.Grind all the ingredients marked under ‘For the Paste’ with some water and keep it aside in a grinder.In a heavy bottomed pan, fry the prawns on both sides in mustard oil for 3 to 4 minutes. Remove and keep aside.In the same pan, add a little more oil, when it is hot, add the mustard and fenugreek seeds, once they start to splutter, add the curry leaves, dry red chillies, and the onions.Fry till the onions turns a little brown and then add the ground masala. Saute for 5 to 6 minutes or till oil comes out from it on medium heat.Add salt and tamarind paste and cook for further 3 to 4 minutes.Now add the prawns and cook for 3 to 4 minutes and then add the coconut milk.Let it comes to a boil and then lower the heat and let the curry cook for 2 to 3 minutes more.Switch off the gas and keep it covered to trap the aroma of the curry inside. Serve Malabar Prawn Curry with hot steamed rice and any raita of your choice for a delicious meal.
</t>
  </si>
  <si>
    <t xml:space="preserve">മലബാർ ചെമ്മീൻ കറി തയ്യാറാക്കാൻ തുടങ്ങുന്നതിന്, കൊഞ്ച് കഴുകി വൃത്തിയാക്കുക. 1 ടീസ്പൂൺ മഞ്ഞൾപൊടി, 1 ടീസ്പൂൺ ചുവന്ന മുളകുപൊടി, 1 ടീസ്പൂൺ ഉപ്പ്, അര നാരങ്ങ നീര് എന്നിവ ചേർത്ത് 30 മിനിറ്റ് മാരിനേറ്റ് ചെയ്യുക. 1 കപ്പ് തേങ്ങ ചിരകിയത് 1 കപ്പ് തിളപ്പിച്ച് വെള്ളം ഒഴിച്ച് തേങ്ങാപ്പാൽ ഒഴിക്കുക. ഇത് ഒരു ഗ്രൈൻഡറിൽ മാറ്റി വയ്ക്കുക. അടിയിൽ കട്ടിയുള്ള ഒരു പാത്രത്തിൽ, കടുകെണ്ണയിൽ 3 മുതൽ 4 മിനിറ്റ് വരെ ചെമ്മീൻ ഇരുവശത്തും വറുത്തെടുക്കുക. നീക്കം ചെയ്ത് മാറ്റി വയ്ക്കുക.അതേ പാനിൽ അൽപം കൂടി എണ്ണ ഒഴിച്ച് ചൂടാകുമ്പോൾ കടുകും ഉലുവയും ഇട്ട് പൊട്ടിക്കാൻ തുടങ്ങിയാൽ കറിവേപ്പില,ഉണങ്ങിയ ചുവന്നമുളക്,ഉള്ളി എന്നിവ ചേർത്ത് വഴറ്റുക.സവാള ചെറുതായി ബ്രൗൺ നിറമാകുന്നത് വരെ വഴറ്റുക, എന്നിട്ട് പൊടിച്ച മസാല ചേർക്കുക. ഇടത്തരം തീയിൽ 5 മുതൽ 6 മിനിറ്റ് വരെ വഴറ്റുക അല്ലെങ്കിൽ അതിൽ നിന്ന് എണ്ണ പുറത്തുവരുന്നത് വരെ വഴറ്റുക. ഉപ്പും പുളിയും ചേർത്ത് 3 മുതൽ 4 മിനിറ്റ് വരെ വേവിക്കുക. ഇപ്പോൾ ചെമ്മീൻ ചേർത്ത് 3 മുതൽ 4 മിനിറ്റ് വരെ വേവിക്കുക, തേങ്ങാപ്പാൽ ചേർക്കുക. ഇത് തിളപ്പിക്കാൻ അനുവദിക്കുക, എന്നിട്ട് തീ കുറച്ച് കറി 2 മുതൽ 3 മിനിറ്റ് വരെ അടച്ചു വയ്ക്കുക. മലബാർ ചെമ്മീൻ കറി ചൂടുള്ള ആവിയിൽ വേവിച്ച ചോറും നിങ്ങൾക്ക് ഇഷ്ടമുള്ള ഏതെങ്കിലും റൈത്തയും രുചികരമായ ഭക്ഷണത്തിനായി വിളമ്പുക.
</t>
  </si>
  <si>
    <t>https://www.archanaskitchen.com/malabar-prawn-curry-recipe</t>
  </si>
  <si>
    <t>Thalassery Chicken Biriyani Recipe</t>
  </si>
  <si>
    <t>തലശ്ശേരി ചിക്കൻ ബിരിയാണി റെസിപ്പി</t>
  </si>
  <si>
    <t>2 കായം (തേജ് പട്ട), 1 ഏലം (ഇലച്ചി) കായ്കൾ/വിത്ത്, 1 ടേബിൾസ്പൂൺ മുഴുവൻ കുരുമുളക്, 5 ഗ്രാമ്പൂ (ലാംഗ്), 1 ഇഞ്ച് കറുവപ്പട്ട (ഡാൽചിനി), 1 കപ്പ് ചുവന്ന മട്ട അരി - നന്നായി കഴുകി, ഉപ്പ് - ആവിശ്യത്തിന്, 1 ഇഞ്ച് ഇഞ്ചി, വെളുത്തുള്ളി, 3 ഗ്രാമ്പൂ, വെളുത്തുള്ളി, 3 ഗ്രാമ്പൂ ഉള്ളി - അരിഞ്ഞത്, 3 തക്കാളി - അരിഞ്ഞത്, 1 ടീസ്പൂൺ ചുവന്ന മുളക് പൊടി, 1/2 ടീസ്പൂൺ മഞ്ഞൾ പൊടി (ഹാൽദി), 2 ടേബിൾസ്പൂൺ ഗരം മസാല പൊടി, 1/4 കപ്പ് മല്ലി (ധാനിയ) ഇല - അരിഞ്ഞത്, 1/4 കപ്പ് പുതിനയില (പുദീന) - അരിഞ്ഞത്, 1 നാരങ്ങ നീര്, 1/2 കപ്പ് മിൽക്ക്, 1 ടേബിൾസ്പൂൺ നെയ്യ്</t>
  </si>
  <si>
    <t>2 Bay leaves (tej patta),1 Cardamom (Elaichi) Pods/Seeds,1 tablespoon Whole Black Peppercorns,5 Cloves (Laung),1 inch Cinnamon Stick (Dalchini),1 cup Red matta rice - washed thoroughly,Salt - to taste,1 inch Ginger,5 cloves Garlic,3 Green Chilli,300 grams Chicken - curry cut,2 Onions - sliced,3 Tomatoes - chopped,1 teaspoon Red Chilli powder,1/2 teaspoon Turmeric powder (Haldi),2 tablespoon Garam masala powder,1/4 cup Coriander (Dhania) Leaves - chopped,1/4 cup Mint Leaves (Pudina) - chopped,1 Lemon juice,1/2 cup Milk,5 Saffron strands,1 tablespoon Cashew nuts,1 tablespoon Ghee</t>
  </si>
  <si>
    <t xml:space="preserve">To begin making the Thalassery Chicken Biriyani Recipe, wash the chicken pieces thoroughly, We will first par boil the rice in the pressure cooker. Heat the pressure cooker with oil on medium heat, add bay leaf, cardamom, peppercorns, cinnamon stick and allow the spices to sizzle. Add washed and drained rice and 2 1/2 cups of water with salt and pressure cook for 3 whistle and switch off the heat. Allow the pressure to release naturally, remove the lid and drizzle some oil over the rice and mix it so that the rice grains will separate from each other.In a mixer-jar combine the ginger, garlic and green chilli and grind into a smooth paste using very little water. Heat another pressure cooker with oil on medium flame, add chopped onions and saute till they turn brown and are well caramelized. This will take about 5-7 minutes. Transfer to a bowl and set aside. Now add in the chopped tomatoes and a pinch of salt for the tomatoes to cook. Mash the tomatoes with the back of your spatula and cook until the oil is released from the sides.At this stage add the ground ginger garlic and green chilli paste, chilli powder, salt (keep in mind the rice has salt as well), turmeric powder and the chopped herbs. Saute well for another 10 more minutes.Add the chicken pieces and mix well. Squeeze in lemon juice add about 1/2 cup of water cover and cook on low heat for 20 minutes.Open the lid, add caramelized onions and mix well. Saute until the masala thickens little. Meanwhile heat the milk with saffron strands and keep it readyOnce that gravy is thickened, layer the par boiled rice over the masala carefully. Pour warm saffron milk over the rice and sprinkle with little herbs on top.Pressure cook the rice for about 1 whistle and turn it off. Allow the pressure to release naturally and open the lid and mix the Thalassery Biryani and serve it over a plate.In a small pan, heat ghee and toast the cashew nuts and top it over the Biriyani and serve hot.Serve the Thalassery Chicken Biriyani Recipe along with raita, carrot and cucumber salad for a lazy sunday lunch with your family.
</t>
  </si>
  <si>
    <t xml:space="preserve">തലശ്ശേരി ചിക്കൻ ബിരിയാണി റെസിപ്പി ഉണ്ടാക്കാൻ തുടങ്ങാൻ, ചിക്കൻ കഷണങ്ങൾ നന്നായി കഴുകുക, ഞങ്ങൾ ആദ്യം പ്രഷർ കുക്കറിൽ അരി പാകം ചെയ്യും. പ്രഷർ കുക്കർ ഇടത്തരം ചൂടിൽ എണ്ണ ഒഴിച്ച് ചൂടാക്കുക, ബേ ഇല, ഏലം, കുരുമുളക്, കറുവപ്പട്ട എന്നിവ ചേർത്ത് മസാലകൾ ഇളക്കാൻ അനുവദിക്കുക. കഴുകി വറ്റിച്ച അരിയും 2 1/2 കപ്പ് വെള്ളവും ഉപ്പും പ്രഷറും ചേർത്ത് 3 വിസിൽ വേവിച്ച് തീ ഓഫ് ചെയ്യുക. മർദ്ദം സ്വാഭാവികമായി പുറത്തുവരാൻ അനുവദിക്കുക, അടപ്പ് നീക്കം ചെയ്ത് അരിയുടെ മുകളിൽ കുറച്ച് എണ്ണ ഒഴിച്ച് ഇളക്കുക, അങ്ങനെ അരിയുടെ ധാന്യങ്ങൾ പരസ്പരം വേർപെടുത്തുക. ഒരു മിക്സർ ജാറിൽ ഇഞ്ചി, വെളുത്തുള്ളി, പച്ചമുളക് എന്നിവ യോജിപ്പിച്ച് വളരെ കുറച്ച് വെള്ളം ഉപയോഗിച്ച് മിനുസമാർന്ന പേസ്റ്റായി പൊടിക്കുക. മറ്റൊരു പ്രഷർ കുക്കർ എണ്ണയൊഴിച്ച് മീഡിയം ഫ്ലെമിൽ ചൂടാക്കി അരിഞ്ഞ ഉള്ളി ചേർത്ത് ബ്രൗൺ നിറമാകുന്നത് വരെ വഴറ്റുക. ഇത് ഏകദേശം 5-7 മിനിറ്റ് എടുക്കും. ഒരു പാത്രത്തിലേക്ക് മാറ്റി വയ്ക്കുക. ഇനി തക്കാളി വേവാൻ പാകത്തിന് അരിഞ്ഞ തക്കാളിയും ഒരു നുള്ള് ഉപ്പും ചേർക്കുക. നിങ്ങളുടെ സ്പാറ്റുലയുടെ പിൻഭാഗത്ത് തക്കാളി ചതച്ച്, വശങ്ങളിൽ നിന്ന് എണ്ണ പുറത്തുവരുന്നത് വരെ വേവിക്കുക. ഈ ഘട്ടത്തിൽ ഇഞ്ചി വെളുത്തുള്ളി, പച്ചമുളക് പേസ്റ്റ്, മുളകുപൊടി, ഉപ്പ് (അരിയിൽ ഉപ്പും ഉണ്ടെന്ന് ഓർമ്മിക്കുക), മഞ്ഞൾപ്പൊടി, അരിഞ്ഞ പച്ചമരുന്നുകൾ എന്നിവ ചേർക്കുക. മറ്റൊരു 10 മിനിറ്റ് കൂടി നന്നായി വഴറ്റുക. ചിക്കൻ കഷണങ്ങൾ ചേർത്ത് നന്നായി ഇളക്കുക. ചെറുനാരങ്ങാനീരിൽ പിഴിഞ്ഞെടുക്കുക, ഏകദേശം 1/2 കപ്പ് വെള്ളം കവർ ചെയ്ത് 20 മിനിറ്റ് ചെറിയ തീയിൽ വേവിക്കുക. ലിഡ് തുറന്ന് കാരമലൈസ് ചെയ്ത ഉള്ളി ചേർത്ത് നന്നായി ഇളക്കുക. മസാല അല്പം കട്ടിയാകുന്നത് വരെ വഴറ്റുക. ഇതിനിടയിൽ പാൽ കുങ്കുമപ്പൂവ് ഇട്ട് ചൂടാക്കി തയ്യാറാക്കി വെക്കുക, ഗ്രേവി കട്ടിയായിക്കഴിഞ്ഞാൽ, പാകം ചെയ്ത അരി മസാലയ്ക്ക് മുകളിൽ ശ്രദ്ധാപൂർവ്വം നിരത്തുക. കുങ്കുമപ്പൂ ചൂടുള്ള പാൽ ചോറിന് മുകളിൽ ഒഴിച്ച് മുകളിൽ ചെറിയ പച്ചമരുന്നുകൾ വിതറുക. ഏകദേശം 1 വിസിൽ വരെ അരി പാകം ചെയ്ത് ഓഫ് ചെയ്യുക. സമ്മർദ്ദം സ്വാഭാവികമായി പുറത്തുവരാൻ അനുവദിക്കുക, ലിഡ് തുറന്ന് തലശ്ശേരി ബിരിയാണി കലർത്തി ഒരു പ്ലേറ്റിൽ വിളമ്പുക. ഒരു ചെറിയ പാനിൽ നെയ്യ് ചൂടാക്കി കശുവണ്ടിപ്പരിപ്പ് വറുത്ത് ബിരിയാണിക്ക് മുകളിൽ വെച്ച് ചൂടോടെ വിളമ്പുക. തലശ്ശേരി ചിക്കൻ ബിരിയാണി പാചകക്കുറിപ്പ് റൈത, ക്യാരറ്റ്, കുക്കുമ്പർ സാലഡ് എന്നിവയ്‌ക്കൊപ്പം നിങ്ങളുടെ കുടുംബ ഉച്ചഭക്ഷണത്തിന് വിളമ്പുക.
</t>
  </si>
  <si>
    <t>https://www.archanaskitchen.com/thalassery-chicken-biriyani-recipe</t>
  </si>
  <si>
    <t>Dry Ginger Coffee Recipe - Chukku Kaapi Recipe</t>
  </si>
  <si>
    <t>ചുക്കു കാപ്പി റെസിപ്പി - Dry Ginger Coffee Recipe</t>
  </si>
  <si>
    <t>4 കപ് പാനി,1 ബഡാ ചമ്മച് അദരക് ഔഡർ,1 ഛോട്ട ചമ്മച്ച് കാലി മർച്ച പാദർ,1 ചമ്മച്ച് ഇൻസ്‌റ്റൻ്റ് കോഫി പൗഡർ,20 തുളസി,1 ഛോട്ട ചമ്മച്ച് ജീര,1/2 ചാംച ഇലൈച്ചി പൗഡർ - ജ്യാദ യാ കാം കരെം,3 ബഡേ ചമ്മച് ഗുഡ - ജ്യാദ -സമകരം അനുസാർ</t>
  </si>
  <si>
    <t>4 cups water, 1 tbsp ginger powder, 1 tsp black pepper powder, 1 tbsp instant coffee powder, 20 tulsi, 1 tsp cumin seeds, 1/2 tsp cardamom powder - more or less, 3 tbsp jaggery - Add more or less salt to taste</t>
  </si>
  <si>
    <t>To make Chukku Kaapi Recipe, first heat water in a saucepan. After it is heated add jaggery and keep stirring till it dissolves. After the jaggery melts add ginger powder, cumin powder, coffee powder, black pepper and boil for 4 minutes. Now add basil leaves and boil for 2 to 3 minutes. Add cardamom powder, salt and turn off the gas. Serve. You can drink it as medicine on a winter day; it also cures your cold and cough.</t>
  </si>
  <si>
    <t xml:space="preserve">ചുക്കു കാപ്പി റെസിപ്പി ബനാനെ ഒരു സബ്സെ പഹലെ ഒരു സോസ്പൈൻ മെം പാനി ഗരം ചെയ്യുന്നു. ഗരം ഹോനെ കെ ബാദ് ഇതുപോലെ ഗുഡ് ഡാലെയും ഗുൽ ജാനേ തക് മിലാതേ രഹേ. അദരക് പൌഡർ, ജീര പൗഡർ, കോഫി ചക്കപ്പഴം, ഡേലെയും 4 മിനിറ്റും ഉബാൽ ലെ.അബ് ഇസമെൻ തുളസിയുടെ ഡേലെയും 2 സെ 3 മിനിറ്റും കണ്ടെത്തുക. ഇലൈച്ചി പൗഡർ, നമക് ഡാലെ, ഗെയ്സ് ബന്ദ് കർ ദേ. പരോസ്. നിങ്ങൾ ഈ ദിവസങ്ങളിൽ ദാവായി കി തരാ ഭീ പി സകതേ ഉണ്ട് भी ठीक करता है.
</t>
  </si>
  <si>
    <t>http://www.archanaskitchen.com/dry-ginger-coffee-recipe-in-hindi</t>
  </si>
  <si>
    <t>Vellarikka Manga Curry Recipe - Cucumber Mango Pulissery</t>
  </si>
  <si>
    <t>വെള്ളരിക്ക മാങ്ങാ കറി പാചകക്കുറിപ്പ് - വെള്ളരിക്ക മാങ്ങാ പുളിശ്ശേരി</t>
  </si>
  <si>
    <t>1 കുക്കുമ്പർ - തൊലികളഞ്ഞ് ചെറുതായി അരിഞ്ഞത്, 1 മാങ്ങ (പച്ച) - തൊലികളഞ്ഞ് ചെറുതായി അരിഞ്ഞത്, 2 പച്ചമുളക് - കീറിയത്, 1/4 ടീസ്പൂൺ മഞ്ഞൾപൊടി (ഹാൽദി), 1 കപ്പ് വെള്ളം, 1/4 കപ്പ് പുതിയ തേങ്ങ - അരച്ചത്, 2 ടീസ്പൂൺ ജീരകം (ജീരകം), 1 ടീസ്പൂൺ കടുക്, 1 ടീസ്പൂൺ കടുക്, 1 ടീസ്പൂൺ കടുക്, 1/2 ടീസ്പൂൺ ചുവന്ന മുളക്, ഉപ്പ് - ആവശ്യത്തിന്</t>
  </si>
  <si>
    <t>1 Cucumber - peeled and diced,1 Mango (Raw) - peeled and diced,2 Green Chillies - slit,1/4 teaspoon Turmeric powder (Haldi),1 cup Water,1/4 cup Fresh coconut - grated,2 teaspoons Cumin seeds (Jeera),1 teaspoon Mustard seeds,1/2 teaspoon White Urad Dal (Split),1 sprig Curry leaves,1 Dry Red Chilli,Salt - to taste</t>
  </si>
  <si>
    <t xml:space="preserve">To begin making Vellarikka Manga Curry Recipe - Cucumber Mango Pulissery, grind grated coconut, cumin seeds and a green chilli, by adding little water into a smooth paste using a mixer grinder and keep aside.Heat a pan, add the diced cucumber, raw mango, green chilli, turmeric powder, salt and 1 cup water and cook the vegetables till they retain the firm texture. You can also cook them in the pressure cooker for 1 whistle.Add the coconut mix into the cooked vegetables and mix well.Simmer the Cucumber Mango Pulissery for 2 minutes and switch off the flame.Now, heat oil in a small tadka pan, add the mustard seeds an urad dal and let it crackle.Add the dried red chilli and curry leaves and let it splutter.Pour this tadka over the Cucumber Mango Pulissery.Serve the Vellarikka Manga Curry Recipe - Cucumber Mango Pulissery along with steamed rice and Idichakka Thoran Recipe (Young Jackfruit With Spiced Coconut) for the weeknight dinner.
</t>
  </si>
  <si>
    <t xml:space="preserve">വെള്ളരിക്ക മാങ്ങ കറി ഉണ്ടാക്കാൻ തുടങ്ങാൻ - വെള്ളരിക്ക മാങ്ങാ പുളിശ്ശേരി, തേങ്ങ, ജീരകം, പച്ചമുളക് എന്നിവ അരച്ച് മിക്സർ ഗ്രൈൻഡർ ഉപയോഗിച്ച് മിനുസമാർന്ന പേസ്റ്റിലേക്ക് കുറച്ച് വെള്ളം ചേർത്ത് മാറ്റി വയ്ക്കുക. ടെക്സ്ചർ. പ്രഷർ കുക്കറിൽ 1 വിസിൽ വേവിക്കുക വെള്ളരിക്ക മാങ്ങാ പുളിശ്ശേരി. വെള്ളരിക്കാ മാങ്ങാ കറി പാചകക്കുറിപ്പ് - വെള്ളരിക്ക മാങ്ങാ പുളിശ്ശേരി, ആവിയിൽ വേവിച്ച ചോറ്, ഇടിച്ചക്ക തോരൻ പാചകക്കുറിപ്പ് (മസാല ചേർത്ത തേങ്ങയുടെ ഇളം ചക്ക) എന്നിവ ആഴ്ചയിലെ അത്താഴത്തിന് വിളമ്പുക.
</t>
  </si>
  <si>
    <t>http://www.archanaskitchen.com/vellarikka-manga-curry-recipe-kerala-style-cucumber-and-raw-mango-curry</t>
  </si>
  <si>
    <t>Kerala Potato Theeyal Recipe - Kerala Style Potatoes In Shallots And Roasted Coconut (Recipe In Hindi)</t>
  </si>
  <si>
    <t>keral आलू तियल रेसिपी - കേരളാ സ്റ്റൈൽ ഉരുളക്കിഴങ്ങിൽ ചെറുപയർ, വറുത്ത തേങ്ങ (ഹിന്ദിയിൽ പാചകക്കുറിപ്പ്)</t>
  </si>
  <si>
    <t>250 ഗ്രാം ഛോട്ടേ ആലൂ - ആധേ കാറ്റേ ഹ്യൂഎ,1/2 കപ്പ് ഛോട്ടേ മദ്യം സാംബർ വാലെ, 1 കരട - ഹുഎ,5 ഹരി മിർച്ച് - ചീരി ഹുയി,1 ഇഞ്ച് അദരക് - കട ഹുവാ,5 തുകഡേ ലഹസുൻ - ഛോട്ടി ചമച്ച ധനിയ പൗഡർ,2 ബഡ ചമച്ച ലാൽ മിർച്ച് പൗഡർ,1/2 ചട്ചീ ഹൽദി,1/2 ഛൊട്ടി ചമച്ച ഗരം മസാല പൗഡർ,2 ഡാലി കരി പത്തെ,1 കപ്പ് ഛോട്ടേയ്‌ക്ക് വാലെ,1 കപ്പ് നാറിയൽ - കസ ഹുയാ,1/2 ഛൊട്ടി ചമച്ച ജീര,1 ഛോട്ടി ചമച്ച പൂരി കൂട്ടി ഹുയി,നാരിയൽ കാ തെൽ  - പക്കാനെ കുറിച്ച്,നമക് - സ്വാദനുസാർ</t>
  </si>
  <si>
    <t>250 grams small potatoes - half cut, 1/2 cup small onion sambar, 1 tomato - finely chopped, 5 green chillies - sliced, 1 inch ginger - chopped, 5 pieces garlic - chopped, 2 teaspoon coriander Powder, 2 tablespoons red chilli powder, 1/2 teaspoon turmeric, 1/2 teaspoon garam masala powder, 2 nuggets curry leaves, 1 cup small onion sambar ones, 1 cup coconut - grated, 1/2 teaspoon cumin , 1 teaspoon whole pepper - ground, coconut oil - to cook, salt - to taste</t>
  </si>
  <si>
    <t>To make Kerala Aloo Theel, first roast onion, coconut and cumin seeds on medium heat till everything turns brown. Once cooled, grind it well in a blender. Pressure cook the potatoes with the skin on along with 1 cup water till it is half cooked. Let it whistle thrice. Drain all the water and wash the potatoes once under cold water so that it will be easy to peel. Heat oil in a pan and add curry leaves and let it temper. Now add onion, ginger, garlic, green chilli and cook till it is well browned. Then add tomatoes and cook till the raw smell goes away. Mix all the spices and coconut paste in a pan and cook well. If you find the curry too thick, you can add some water. Finally add boiled potatoes and cook for 2 minutes. Kerala Aloo Theel is now ready and you can serve it with rice or phulkas for lunch.</t>
  </si>
  <si>
    <t xml:space="preserve">കേരളത്തിലെ ആലു തിയൽ ബനാനെ പോലെയുള്ളവ ആഞ്ച് പർ ജബ് തക് സബ് ഭൂരാ ന ഹോ ജാഏ. തണ്ട ഹോനെ പർ ബ്ലെൻഡർ ഞാൻ ഈ അച്ഛേ സെ പീസലെ.  ആലൂ കോ ചില്ലകെ സമേത് 1 കപ് പാനി കെ സാത്ത് പ്രെഷർ കുക്ക് കരലെ ജബ് തക് വഹ് ആധാ പകനാ ജാഏ. ഇസക്കെ ലിയേ തീൻ സീറ്റി ആനെ ദേ.  സാരാ പാനി നികാൽ ലെയും ആലൂ കോ ഒരു ബാർ തണ്ടേ പാനി നീചേ ധോ ലെ താക്കി ഛിലക ന് ജാഗ.  ഒരു കഠായി ഞാൻ തേൾ ഗരം കരളെ കൂടാതെ ഉസമേ കരി പട്ട ദാലകർ ഛങ്ക് ആനെ ദേ. ഇപ്പോൾ അപേക്ഷ, ആദരവ്, ലഹസുൻ, ഹരി മിർച്ച് മിലാകർ അച്ഛേ സെ ബൂരാ ഹോനെ തക്ക. ഫിർ ഉസമേ ടമാറ്റർ മിലാകർ കച്ചി ഗന്ദ ജാനേ തക പകാലേ.  സാരെ മസാലെയും നാറിയലും പേസ്റ്റ് കോ കഠായി മെം മിലാലേ ഒപ്പം അച്ചെ സെ പകയേ. അഗർ ആപകോ കരി ബഹുത് ഗാഡി ലഗെ തോഹ് ആപ് തോഡാ പാനി മിലാ സകതേ  ആഖിർ ഞാൻ ഉബലേ ഹുഎ ആലൂ മിലാകർ 2 മിനിറ്റ് പകലെ. കേരളം ആലൂ തിയൽ അബ് തയ്യാർ ആണ് ഹായ്. 
</t>
  </si>
  <si>
    <t>http://www.archanaskitchen.com/baby-potato-theeyal-recipe-kerala-style-potatoes-in-shallots-and-roasted-coconut-recipe-2</t>
  </si>
  <si>
    <t>Homemade Rice Puttu Recipe | Kerala Matta Rice or Basmati Rice</t>
  </si>
  <si>
    <t>Homemade Rice Puttu Recipe | കേരള മട്ട റൈസ് അല്ലെങ്കിൽ ബസ്മതി റൈസ്</t>
  </si>
  <si>
    <t>1 കപ്പ് ചുവന്ന മട്ട അരി - അല്ലെങ്കിൽ ബസ്മതി അരി, 1-1/2 കപ്പ് പുതിയ തേങ്ങ - അരച്ചത്, 1/2 ടീസ്പൂൺ ഉപ്പ്</t>
  </si>
  <si>
    <t>1 cup Red matta rice - or Basmati Rice,1-1/2 cups Fresh coconut - grated,1/2 teaspoon Salt</t>
  </si>
  <si>
    <t xml:space="preserve">To begin making the Kerala Rice Puttu, wash and soak the rice overnight or for about 8 hours. Once the rice has soaked well drain the water and spread the rice on a kitchen towel and dry it out.Allow the rice to dry for about 20 minutes but ensure it retains a bit of the moisture, else the rice will not grind well in mixer-blender.Grind the rice till it is mildly coarse. Do not grind the rice too much as it may get lumpy. In a large mixing bowl, combine the powdered rice, salt and 1/2 cup of the grated coconut. Sprinkle 4 tablespoons of water on to the rice mixture and stir to combine well with your fingers. The puttu mixture will be crumbly. When you hold the puttu mixture tightly in the palm of your hands it will hold together like a ball, when you release it, it will break apart. That's the consistency we want to make the Puttu.Keep the Puttu Rice Mix aside for 10-15 minutes. Take a Puttu mould and place a 3 or 4 tablespoons of the prepared Puttu mixture and a 1 or 2 tablespoons of coconut in the centre and a few more tablespoons of the Puttu mixture on the top. Lightly press it and cover the pan.Prepare the Puttu steamer with water at the bottom, and place the puttu mold and steam on high heat for about 10 minutes. You will notice that after 5 to 6 minutes the steam will start releasing from holes in the top of the mold.This is when you know that the puttu is getting steamed from the inside. Allow this steam to escape for at least 5 minutes. In total the Puttu is steaming for a good 10 minutes.Once done, turn off the heat. remove the mold from the steamer and open the lid, and using a spoon of a blunt knife, push the steamed Kerala Puttu of the mold into a plate.Continue the same process with the remaining Puttu Mixture.Serve Kerala Rice Puttu Kadala Curry or with sugar &amp; chopped bananas for a wholesome meal.
</t>
  </si>
  <si>
    <t xml:space="preserve">കേരള റൈസ് പുട്ട് ഉണ്ടാക്കാൻ തുടങ്ങാൻ, അരി കഴുകി രാത്രി മുഴുവൻ അല്ലെങ്കിൽ ഏകദേശം 8 മണിക്കൂർ കുതിർക്കുക. അരി നന്നായി കുതിർത്തു കഴിഞ്ഞാൽ വെള്ളം ഊറ്റി ഒരു അടുക്കള തൂവാലയിൽ വിരിച്ച് ഉണക്കുക. ഏകദേശം 20 മിനിറ്റ് അരി ഉണങ്ങാൻ അനുവദിക്കുക, പക്ഷേ ഈർപ്പം അൽപ്പം നിലനിർത്തുന്നുവെന്ന് ഉറപ്പാക്കുക, അല്ലാത്തപക്ഷം അരി മിക്‌സർ-ബ്ലെൻഡറിൽ നന്നായി പൊടിക്കില്ല. അരി ചെറുതായി പരുക്കനാകുന്നതുവരെ പൊടിക്കുക. അരി കൂടുതൽ പൊടിക്കരുത്, കാരണം അത് കട്ടയാകാം. ഒരു വലിയ മിക്സിംഗ് പാത്രത്തിൽ പൊടിച്ച അരിയും ഉപ്പും 1/2 കപ്പ് തേങ്ങയും യോജിപ്പിക്കുക. അരി മിശ്രിതത്തിലേക്ക് 4 ടേബിൾസ്പൂൺ വെള്ളം തളിക്കുക, നിങ്ങളുടെ വിരലുകൾ കൊണ്ട് നന്നായി യോജിപ്പിക്കുക. പുട്ടു മിശ്രിതം പൊടിഞ്ഞിരിക്കും. പുട്ടു മിശ്രിതം കൈപ്പത്തിയിൽ മുറുകെ പിടിക്കുമ്പോൾ അത് ഒരു പന്ത് പോലെ ഒരുമിച്ച് പിടിക്കും, നിങ്ങൾ വിടുമ്പോൾ അത് പൊട്ടിപ്പോകും. അതാണ് പുട്ട് ഉണ്ടാക്കാൻ ഞങ്ങൾ ആഗ്രഹിക്കുന്നത്. പുട്ട് റൈസ് മിക്സ് 10-15 മിനിറ്റ് മാറ്റി വയ്ക്കുക. ഒരു പുട്ട് മോൾഡ് എടുത്ത് ഒരു 3 അല്ലെങ്കിൽ 4 ടേബിൾസ്പൂൺ തയ്യാറാക്കിയ പുട്ടു മിശ്രിതവും ഒരു 1 അല്ലെങ്കിൽ 2 ടേബിൾസ്പൂൺ തേങ്ങയും നടുവിൽ വയ്ക്കുക, മുകളിൽ കുറച്ച് ടേബിൾസ്പൂൺ പുട്ടു മിശ്രിതം വയ്ക്കുക. ഇത് ചെറുതായി അമർത്തി പാൻ മൂടുക. ചുവട്ടിൽ വെള്ളം ഉപയോഗിച്ച് പുട്ട് സ്റ്റീമർ തയ്യാറാക്കുക, ഏകദേശം 10 മിനിറ്റ് ഉയർന്ന തീയിൽ പുട്ടു മോൾഡും ആവിയും വയ്ക്കുക. 5-6 മിനിറ്റിനു ശേഷം പൂപ്പലിൻ്റെ മുകളിലെ ദ്വാരങ്ങളിൽ നിന്ന് നീരാവി പുറത്തുവരാൻ തുടങ്ങുന്നത് നിങ്ങൾ ശ്രദ്ധിക്കും. കുറഞ്ഞത് 5 മിനിറ്റെങ്കിലും ഈ നീരാവി രക്ഷപ്പെടാൻ അനുവദിക്കുക. മൊത്തത്തിൽ പുട്ട് ഒരു 10 മിനിറ്റ് നന്നായി ആവികൊള്ളുന്നു. കഴിഞ്ഞാൽ, തീ ഓഫ് ചെയ്യുക. സ്റ്റീമറിൽ നിന്ന് പൂപ്പൽ നീക്കം ചെയ്‌ത് മൂടി തുറന്ന്, ഒരു സ്പൂൺ മൂർച്ചയുള്ള കത്തി ഉപയോഗിച്ച്, ആവിയിൽ വേവിച്ച കേരളാ പുട്ട് ഒരു പ്ലേറ്റിലേക്ക് തള്ളുക. ബാക്കിയുള്ള പുട്ട് മിശ്രിതം ഉപയോഗിച്ച് അതേ പ്രക്രിയ തുടരുക. കേരള റൈസ് പുട്ട് കടല കറി അല്ലെങ്കിൽ പഞ്ചസാരയും നേന്ത്രപ്പഴവും ചേർത്ത് മൊത്തത്തിലുള്ള ഭക്ഷണത്തിനായി വിളമ്പുക.
</t>
  </si>
  <si>
    <t>http://www.archanaskitchen.com/kerala-matta-rice-puttu-recipe</t>
  </si>
  <si>
    <t>Kerala Style Chicken Stew Recipe</t>
  </si>
  <si>
    <t>കേരള സ്റ്റൈൽ ചിക്കൻ സ്റ്റ്യൂ റെസിപ്പി</t>
  </si>
  <si>
    <t>300 ഗ്രാം ചിക്കൻ - എല്ലുകൾ ചെറുതായി അരിഞ്ഞത്, 1 ഇഞ്ച് കറുവപ്പട്ട (ഡാൽചിനി), 1 ടേബിൾസ്പൂൺ മുഴുവൻ കുരുമുളക്, 1 കാരറ്റ് (ഗജ്ജർ) - തൊലികളഞ്ഞ് സമചതുരയായി അരിഞ്ഞത്, 100 ഗ്രാം ചെറുപയർ (ഫ്രഞ്ച് ബീൻസ്) - ചെറുതായി അരിഞ്ഞത്, 1 ഉരുളക്കിഴങ്ങ് (ആലൂ) - തൊലികളഞ്ഞത്, ഉള്ളി 1, തൊലികളഞ്ഞത് വെളുത്തുള്ളി - 1 ഇഞ്ച് അരിഞ്ഞത്, 1 ഇഞ്ച് ഇഞ്ചി - അരിഞ്ഞത്, 10 കശുവണ്ടിപ്പരിപ്പ് - വെള്ളത്തിൽ തിളപ്പിച്ച് പേസ്റ്റ് രൂപത്തിലാക്കുക, 1/2 ടീസ്പൂൺ മഞ്ഞൾപ്പൊടി (ഹാൽദി), 1 ടീസ്പൂൺ കുരുമുളക് പൊടി, വെളിച്ചെണ്ണ - പാചകത്തിന്, ഉപ്പ് - പാകത്തിന്, 1 സവാള - അരിഞ്ഞത്, 2 ഗ്രാമ്പൂ, വെളുത്തുള്ളി - 1 ഗ്രാമ്പൂ, വെളുത്തുള്ളി - 1 ഗ്രാമ്പൂ, വെളുത്തുള്ളി - 1 വെളുത്തുള്ളി - ചെറുതായി അരിഞ്ഞത്</t>
  </si>
  <si>
    <t>300 grams Chicken - with bone cut into small pieces,1 inch Cinnamon Stick (Dalchini),1 tablespoon Whole Black Peppercorns,1 Carrot (Gajjar) - peeled and cubed,100 grams Green beans (French Beans) - chopped small,1 Potato (Aloo) - skin peeled and cubed,1 Onion - sliced,1 Green Chilli,4 cloves Garlic - chopped,1 inch Ginger - chopped,10 Cashew nuts - boiled in water and ground to a paste,1/2 teaspoon Turmeric powder (Haldi),1 teaspoon Black pepper powder,Coconut Oil - for cooking,Salt - to taste,1 Onion - sliced,2 cloves Garlic - chopped,1 sprig Curry leaves,Coconut Oil - for cooking</t>
  </si>
  <si>
    <t xml:space="preserve">To begin making the Kerala Style Chicken Stew Recipe, wash the chicken pieces and cut them to small pieces. Keep all the vegetables prepped.Heat a pressure cooker with coconut oil, add cinnamon stick, cloves, and peppercorns and let them fry for few seconds.Add in the onions, garlic and ginger. Saute until they soften. Add vegetables- carrots, beans, potatoes and saute for 10 minutes.Add chicken, cashew nut paste, turmeric powder and salt. Saute well until it is evenly coated. Add half of the coconut milk and some water. Pressure cook for 1 whistle.Allow the pressure to release naturally and pour in the reaming coconut milk and give it a stir.Heat a sauce pan with oil, add curry leaves and allow it to splutter. Add onions and garlic and saute until they turn brown.Sprinkle the browned onions over the curry and serve.Serve the Kerala Style Chicken Stew Recipe along with Appam or How To Make Homemade Idiyappam Recipe - Rice Sevai Recipe and Kerala Style Egg Roast Curry Recipe by the side for a complete meal.
</t>
  </si>
  <si>
    <t xml:space="preserve">കേരള സ്റ്റൈൽ ചിക്കൻ സ്റ്റ്യൂ റെസിപ്പി ഉണ്ടാക്കാൻ തുടങ്ങാൻ, ചിക്കൻ കഷണങ്ങൾ കഴുകി ചെറിയ കഷണങ്ങളായി മുറിക്കുക. എല്ലാ പച്ചക്കറികളും മുൻകൂട്ടി തയ്യാറാക്കി വയ്ക്കുക. വെളിച്ചെണ്ണയിൽ ഒരു പ്രഷർ കുക്കർ ചൂടാക്കുക, കറുവപ്പട്ട, ഗ്രാമ്പൂ, കുരുമുളക് എന്നിവ ചേർത്ത് കുറച്ച് നിമിഷങ്ങൾ വഴറ്റാൻ അനുവദിക്കുക. ഉള്ളി, വെളുത്തുള്ളി, ഇഞ്ചി എന്നിവ ചേർക്കുക. അവ മൃദുവാകുന്നത് വരെ വഴറ്റുക. പച്ചക്കറികൾ- കാരറ്റ്, ബീൻസ്, ഉരുളക്കിഴങ്ങ് എന്നിവ ചേർത്ത് 10 മിനിറ്റ് വഴറ്റുക. ചിക്കൻ, കശുവണ്ടി പേസ്റ്റ്, മഞ്ഞൾപ്പൊടി, ഉപ്പ് എന്നിവ ചേർക്കുക. ഇത് തുല്യമായി പൂശുന്നത് വരെ നന്നായി വഴറ്റുക. തേങ്ങാപ്പാൽ പകുതിയും കുറച്ച് വെള്ളവും ചേർക്കുക. 1 വിസിലിന് പ്രഷർ കുക്ക് ചെയ്യുക. മർദ്ദം സ്വാഭാവികമായി പുറത്തുവരാൻ അനുവദിക്കുക, തേങ്ങാപ്പാൽ ഒഴിച്ച് ഇളക്കുക ഉള്ളിയും വെളുത്തുള്ളിയും ചേർത്ത് ബ്രൗൺ നിറമാകുന്നത് വരെ വഴറ്റുക. ബ്രൗൺ നിറത്തിലുള്ള ഉള്ളി കറിക്ക് മുകളിൽ വിതറി വിളമ്പുക. കേരള സ്റ്റൈൽ ചിക്കൻ സ്റ്റ്യൂ റെസിപ്പിയും അപ്പവും അല്ലെങ്കിൽ വീട്ടിലുണ്ടാക്കുന്ന ഇടിയപ്പം റെസിപ്പിയും വിളമ്പുക - റൈസ് സേവായി പാചകക്കുറിപ്പും കേരള സ്റ്റൈൽ എഗ് റോസ്റ്റ് കറി.
</t>
  </si>
  <si>
    <t>https://www.archanaskitchen.com/kerala-style-chicken-stew-recipe</t>
  </si>
  <si>
    <t>Kurukku Kaalan Recipe - Kurukku Kaalan Recipe</t>
  </si>
  <si>
    <t>കുറുക്കു കാളൻ റെസിപ്പി - Kurukku Kaalan Recipe</t>
  </si>
  <si>
    <t>2 കച്ച കേള - ഛീലകർ കട് ലെ,1 ഛോട്ട ചമച്ച ഹൽദി പൌഡർ,1 കപ്പ് ദോഹി,1/2 ചമച്ച ഹൽദി പോഡർ,1/2 ഛോട്ടാ ചമച്ച ലാൽ മർച്ച് പൌഡർ,നമക് - സ്വാദ്,2 മർച്ച,1 ഛോട്ട ചമച്ച ജീര,1 കപ് നാറിയൽ - കസ് ലെ,1 ഛോട്ട ചമച്ച നാറിയൽ,1 ക ചമച്ച ജീര,1/2 ഛോട്ടാ ചമച്ച റായ്,1/8 ഛോട്ടാ ചമച്ച മേത്തി - ദാനെ,2 ബിച്ച് മെം സെ തൊഡ് ലെ,2 ടഹനി കഠി പത്ത</t>
  </si>
  <si>
    <t>2 raw banana - peel and cut, 1 tsp turmeric powder, 1 cup curd, 1/2 tsp turmeric powder, 1/2 tsp red chili powder, salt - according to taste, 2 green chilies, 1 tsp cumin seeds, 1 cup coconut - grated, 1 tsp coconut oil, 1 tsp cumin seeds, 1/2 tsp mustard seeds, 1/8 tsp fenugreek seeds, 2 dry red chilies - break from the middle, 2 sprigs curry leaves</t>
  </si>
  <si>
    <t>To make Kuruku Kalan, first of all, take a pressure cooker and add raw banana, turmeric powder, curry leaves, salt, 1/4 cup water and cook till 2 whistles. Let the pressure release automatically. Open the cooker, add curd and red chili powder and mix well. Keep it aside. Now in a mixer grinder, add coconut, green chilies, cumin seeds and make a paste. Put this ground masala in the cooker, turn on the gas and let it boil. While the kalan is boiling, we will prepare the Tadka for it. Heat coconut oil in a Tadka pan. Add mustard seeds, cumin seeds, fenugreek seeds, curry leaves and dried red chilies. After 15 to 20 seconds, turn off the gas. After the kalan boils, add this tempering to the gravy and mix it. Turn off the gas and serve hot. Serve Kuruku Kallan with Rice, Beetroot Thoran, Pachadi and Papad for dinner.</t>
  </si>
  <si>
    <t xml:space="preserve">കുറുക്കു കാലൻ ബനാനെ കൂടാതെ ഒരു പ്രെഷർ കുക്കറിൽ കച്ച കേള, ഹൽദി പാ, ഠ, നമുക്ക്, 1/4 കപ്പ് പാനി ഡാലെ കൂടാതെ 2 സിറ്റി ആനെ തക്ക പക ലെ. പ്രേഷർ അപ്പനേ നിങ്ങൾ നിക്കലനെ ദേ.കുകർ കോ ​​ഖോലെ, ഇതുപോലെ ദഹി കൂടാതെ ലാൽ മിർച്ച് ഡൗൺലോഡ് ചെയ്യൂ തരഹ സെ മിലാ ലെ. അൽഗ സെ രഖ് ദേ. AB ഒരു മിക്‌സർ ഗ്രെയിൻഡർ, നാറിയൽ എന്നിവിടങ്ങളിൽ ഹരി മിർച്ച്, ജീര ഡാലെ കൂടാതെ പെസ്‌റ്റ് ലേബന ഈ പിസെ ഹുഎ മസാലെ കോ കുക്കർ മെം ഡാലെ, ഗെയ്സ് ചാലു കരെം ആൻഡ് യൂബലനെ ദേ. ജബ് തക കാലൻ ഉബാൽ രഹാ ഹേ, ഹമ് ഇസകെ ലിഎ തഡക ബനാങേ. ഒരു തഡക്ക പൈൻ മെം നാരിയൽ കാ തെൽ ഗരം കരെം. അതുപോലെ റായ് , ജീര, മേത്തി കെ ദാനെ, കഠി പട്ട, സുഖി ലാൽ മിർച്ച് ഡാലെ. 15 സെ 20 സെക്കൻറുകൾ ബാദ്, ഗെയ്സ് ബന്ദ് കർ ദേ. കാലൻ കെ ഉബാല ആ ജാനെ കെ ബാദ് ഈ തഡാക്കെ കോ ഗ്രെവി മെം ഡാലെ കൂടാതെ മില ലേ.ഗേംസ് ഗരമ ഗരം പരോസ്. കുരുക്കു കാലൻ കോ ചാവൽ, ബീറ്ററൂട്ട് തോരൻ, പച്ചടി, ഒപ്പം പാദങ്ങൾ എന്നിവയും ദിനം പ്രതി
</t>
  </si>
  <si>
    <t>https://www.archanaskitchen.com/kuruku-kaalan-recipe-raw-bananas-in-coconut-curry-in-hindi</t>
  </si>
  <si>
    <t>Baked Chinese Potato Recipe</t>
  </si>
  <si>
    <t>ബെക്ഡ് ചൈനീജ് ആലൂ റെസിപ്പി - ചുട്ടുപഴുത്ത ചൈനീസ് ഉരുളക്കിഴങ്ങ് പാചകക്കുറിപ്പ്</t>
  </si>
  <si>
    <t>250 ഗ്രാം ആലൂ - സീധയും മൊട്ട കാറ്റും കൂടാതെ പാതാള കാറ്റ് ലെ,3 കലി ലഹസുൻ - ബാരിക്ക് കാറ്റ് ലെ,1 ഛോട്ട ചമച്ച റെഡ് ചില്ലി - മക്‌സ്‌ഫല്, അനുസാർ,1 തഹനി കഠി പട്ട,നാരിയൽ കാ തെൽ  - പ്രയോഗം അനുസാർ,2 ബഡേ ചമച്ചിൽ - നാർ ലെ</t>
  </si>
  <si>
    <t>250 g potato - cut straight and thick, turmeric powder - a pinch, 10 small onions - cut it straight and thin, 3 cloves garlic - finely chopped, 1 teaspoon red chilli flax, salt - 1 sprig curry leaves, as per taste , Coconut oil - as per use, 2 tablespoons coconut - cut into pieces</t>
  </si>
  <si>
    <t>To make Baked Chinese Potato Recipe, first wash the potatoes and cut them straight and thick. Preheat the oven to 150 degree celsius. Meanwhile in a pressure cooker put turmeric powder, onion, garlic, red chilli flakes, salt, curry leaves, coconut along with potatoes and close the cooker. Close it after 1 whistle. Let the pressure release automatically. Now grease a baking tray. Spread the potato mixture in it. Pour some coconut oil over it. Cook for 8 to 10 minutes. Remove and serve hot. Serve Baked Chinese Potato Recipe with Panchmel Daal and Jeera Rice for lunch.</t>
  </si>
  <si>
    <t xml:space="preserve">ബെക്ഡ് ചൈനീജ് ആലൂ റെസിപി ബനാനെയുടെ സബ്സെ പഹലെ ആലു കോ ധോ കർ ധാ സി കാട്ട് ലെ. ഓവൻ കോ 150 ഡിഗ്രി സെൽഷ്യസ് പഹലെ സെ ഗരം കർ ലെ. തബ് തക് ഒരു പ്രേഷർ കുക്കറിൽ ആലു കൊണ്ട് ഹൽദി പൌഡർ, പ്യാജ്, ലഹസുൻ, റെഡ്, ചില്ല്, കരീ പത്ത, നാറിയൽ ഡാലെ കൂടാതെ കൂക്കർ ബന്ദ് കർ ലേ. 1 സിറ്റി ആനെ ബദ ബന്ദ് കർ ലെ. പ്രേഷർ അപ്പനേ നിങ്ങൾ നികലാനെ ദേ. AB ഒരു ബേക്കിംഗ് ട്രെ കോ ഗ്രീസ് കരെം. അതുപോലെ ആലൂ മിശ്രണം കോ ഫൈല ലെ. തോഡ നാറിയൽ കാ തെൽ ഊപർ സേ ദാലേ. 8 സെ 10 മിനിറ്റിനുള്ളിൽ ലേ.നികലെയും ഗരമ ഗരം പരോസും. ബെക്‌ഡ് ചൈനീജ് ആലൂ റെസിപ്പി കോ പഞ്ചമേൽ ദാൽ കൂടാതെ ജീര റൈസ് ദിനം പ്രതി.
</t>
  </si>
  <si>
    <t>http://www.archanaskitchen.com/baked-chinese-potato-recipe-koorka-mezhukuperatti-in-hindi</t>
  </si>
  <si>
    <t>Kerala Style Chakkakuru Mezhukkupuratti Recipe-Jackfruit Seed Poriyal</t>
  </si>
  <si>
    <t>കേരള സ്റ്റൈൽ ചക്കക്കുരു മെഴുക്കുപുരട്ടി റെസിപ്പി-ചക്ക വിത്ത് പൊരിയൽ</t>
  </si>
  <si>
    <t>1 കപ്പ് ചക്ക വിത്ത് (കാതൽ) - വൃത്തിയാക്കി അരിഞ്ഞത്, 8 മുത്ത് ഉള്ളി (സാമ്പാർ ഉള്ളി) - അരിഞ്ഞത്, 4 അല്ലി വെളുത്തുള്ളി - ചെറുതായി അരിഞ്ഞത്, 1/2 ടീസ്പൂൺ കശ്മീരി ചുവന്ന മുളക് പൊടി, 1/4 ടീസ്പൂൺ കുരുമുളക് പൊടി, 1 തണ്ട് കറിവേപ്പില, 1/2 കപ്പ് ഫ്രഷ്‌ഫ്ലോർ - തേങ്ങ - അരച്ചത്. രുചി, ഉപ്പ് - ആസ്വദിപ്പിക്കുന്നതാണ്</t>
  </si>
  <si>
    <t>1 cup Jackfruit Seeds (Kathal) - cleaned and sliced,8 Pearl onions (Sambar Onions) - sliced,4 cloves Garlic - chopped finely,1/2 teaspoon Kashmiri Red Chilli Powder,1/4 teaspoon Black pepper powder,1 sprig Curry leaves,1/2 cup Fresh coconut - grated,Sunflower Oil - as required,Salt - to taste,Salt - to taste</t>
  </si>
  <si>
    <t xml:space="preserve">To begin making the Kerala Style Chakkakuru Mezhukkupuratti  Recipe we will first boil the jackfruit seeds. In a pressure cooker, add the jackfruit seeds, water and pressure cook for about 3 whistles. Turn off the flame, and allow the pressure to release naturally.Drain the water and peel of  the skin of the jack fruit skin carefully. Now slice them into thin slivers.Heat a kadai on medium flame, add mustard seeds and curry leaves, let them splutter. Next, add in the onions and add the red chilli powder and black pepper powder.Finally add in the jackfruit seeds and saute them till it is coated well. At the end add grated coconut and give the Chakkakuru Mezhukkupuratti  a stir.Serve the Kerala Style Chakkakuru Mezhukkupuratti  Recipe along with Kerala Style Kanji Payar Recipe.
</t>
  </si>
  <si>
    <t xml:space="preserve">കേരള സ്‌റ്റൈൽ ചക്കക്കുരു മെഴുക്കുപുരട്ടി  പാചകക്കുറിപ്പ്  ഉണ്ടാക്കാൻ തുടങ്ങാൻ  ഞങ്ങൾ ആദ്യം ചക്കയുടെ കുരു പാകം ചെയ്യും. ഒരു പ്രഷർ കുക്കറിൽ, ചക്ക വിത്തും വെള്ളവും ചേർത്ത് ഏകദേശം 3 വിസിൽ വരെ പ്രഷർ കുക്ക് ചെയ്യുക. തീ ഓഫ് ചെയ്യുക, മർദ്ദം സ്വാഭാവികമായി പുറത്തുവരാൻ അനുവദിക്കുക. ചക്കയുടെ തൊലിയിലെ വെള്ളവും തൊലിയും ശ്രദ്ധാപൂർവ്വം കളയുക. ഇനി അവയെ നേർത്ത കഷ്ണങ്ങളാക്കി മുറിക്കുക. ഒരു കടായി ഇടത്തരം തീയിൽ ചൂടാക്കുക, കടുകും കറിവേപ്പിലയും ചേർക്കുക, അവ തെറിക്കാൻ അനുവദിക്കുക. അടുത്തതായി, ഉള്ളി ചേർക്കുക, ചുവന്ന മുളക് പൊടി, കുരുമുളക് പൊടി എന്നിവ ചേർക്കുക. അവസാനം ചക്ക വിത്ത് ചേർത്ത് നന്നായി പൂശുന്നത് വരെ വഴറ്റുക. അവസാനം തേങ്ങ ചിരകിയ ശേഷം ചക്കക്കുരു മെഴുക്കുപുരട്ടി  ഇളക്കുക
</t>
  </si>
  <si>
    <t>http://www.archanaskitchen.com/kerala-style-chakkakuru-mezhukkupuratti-recipe-jackfruit-seed-poriyal</t>
  </si>
  <si>
    <t>Raw Papaya Thoran Recipe</t>
  </si>
  <si>
    <t>റവ പപ്പായ തോരൻ റെസിപ്പി</t>
  </si>
  <si>
    <t>300 ഗ്രാം പച്ച പപ്പായ - തൊലി കളഞ്ഞ് ഇടത്തരം കഷ്ണങ്ങളാക്കി മുറിച്ചത്, 1 ടീസ്പൂൺ കടുക്, 1 ടീസ്പൂൺ വെള്ള ഉറാഡ് ദാൽ (പിളർന്നത്), 1 നുള്ള് കറിവേപ്പില, 1 പച്ചമുളക് - അരിഞ്ഞത്, 2 ടേബിൾസ്പൂൺ പുതിയ തേങ്ങ - അരച്ചത്, ഉപ്പ് - ആവശ്യത്തിന്, സൂര്യകാന്തി ഓയിൽ</t>
  </si>
  <si>
    <t>300 grams Raw papaya - skin peeled and cut into medium sized pieces,1 teaspoon Mustard seeds,1 teaspoon White Urad Dal (Split),1 sprig Curry leaves,1 pinch Asafoetida (hing),1 Green Chilli - chopped,2 tablespoon Fresh coconut - grated,Salt - to taste,Sunflower Oil</t>
  </si>
  <si>
    <t xml:space="preserve">To begin making the Raw Papaya Thoran Recipe, we will first pressure cook the raw papaya with enough water and salt in a pressure cooker.Pressure cook for about 1 whistle and switch off, allow the pressure to release naturally and drain the water and keep it aside.Heat a skillet with oil, add mustard seeds, urad dal and allow them to crackle for few seconds.Add a pinch of hing and curry leaves and wait till you hear the sputtering sound. Reduce the heat and add green chilli along with the cooked raw papaya.Sprinkle salt and give it a toss. Switch off the heat and finally add grated coconut and mix well and serve hot.Serve the Raw Papaya Thoran Recipe along with Tomato Jeera And Paruppu Rasam, Steamed Rice, or with Phulka and Smoked Dal Makhani Dhaba Style Recipe for a weekday lunch or dinner.
</t>
  </si>
  <si>
    <t xml:space="preserve">അസംസ്കൃത പപ്പായ തോരൻ റെസിപ്പി ഉണ്ടാക്കാൻ തുടങ്ങുന്നതിന്, ഞങ്ങൾ ആദ്യം ഒരു പ്രഷർ കുക്കറിൽ ആവശ്യത്തിന് വെള്ളവും ഉപ്പും ചേർത്ത് വേവിക്കുക തുപ്പുന്ന ശബ്ദം കേൾക്കുന്നതുവരെ കാത്തിരിക്കുക. തീ കുറച്ച്, പച്ചമുളക് ചേർത്ത് വേവിച്ച പപ്പായയ്‌ക്കൊപ്പം ചേർക്കുക. ഉപ്പ് വിതറി ടോസ് ചെയ്യുക. തീ ഓഫ് ചെയ്‌ത് അവസാനം തേങ്ങ ചിരകിയതും ചേർത്ത് നന്നായി ഇളക്കി ചൂടോടെ വിളമ്പുക. തക്കാളി ജീര, പരുപ്പ് രസം, ആവിയിൽ വേവിച്ച ചോറ്, അല്ലെങ്കിൽ ഫുൽക്ക ,  സ്മോക്ക്ഡ് ദാൽ മഖാനി ധാബ സ്‌റ്റൈൽ പാചകക്കുറിപ്പ് എന്നിവയ്‌ക്കൊപ്പം പപ്പായ തോരൻ പാചകക്കുറിപ്പ് ഒരു ആഴ്‌ചയിലെ ഉച്ചഭക്ഷണം അല്ലെങ്കിൽ അത്താഴത്തിന്  വിളമ്പുക.
</t>
  </si>
  <si>
    <t>http://www.archanaskitchen.com/raw-papaya-thoran-recipe</t>
  </si>
  <si>
    <t>Kerala Avial Recipe – Kerala Avial (Recipe In Hindi)</t>
  </si>
  <si>
    <t>കേരള അവിയൽ റെസിപ്പി - കേരള അവിയൽ (ഹിന്ദിയിൽ പാചകക്കുറിപ്പ്)</t>
  </si>
  <si>
    <t>250 ഗ്രാം ആഷ് ലൗകി - സീധ കാറ്റിൽ ബിൻസ് - സീധ കാറ്റ് ലെ,1 കച്ച കേള - ഛീലകർ സീധ കാറ്റ് ലെ,2 ആലു - ഛീലകർ സീധാ കാറ്റ് 20 കാറ്റ്,20 രതാലൂ - ചീലകർ കട് ലെ,1-1/2 കപ നാറിയൽ - കസ് ലെ,3 ഹരി മിർച്ച്,1 തഹനി കഠി പത്ത, 1 ചട ജീര,1 ബഡാ ചമച്ച നാറിയൽ കാ തെൽ,നമക് - സ്വാദ് അനുസാർ</t>
  </si>
  <si>
    <t>250 grams Ash gourd - cut straight, 2 drumsticks - cut straight, 2 carrots - cut straight, 10 green beans - cut straight, 1 raw banana - peel and chop straight, 2 potatoes - peel and chop straight, 250 grams Yam - peel and chop, 1-1 / 2 cup coconut - grated, 3 green chillies, 1 sprig curry leaves, 1 teaspoon cumin seeds, 1 tablespoon coconut oil, salt - as per taste</t>
  </si>
  <si>
    <t>To make Kerala Aviyal, first steam all the vegetables with salt. Put all the vegetables in a pressure cooker. Add salt, 1/4 cup water and cook till 2 whistles. After 2 whistles, reduce the flame and cook for 3 to 4 minutes. Place it under cold water and let the pressure release. Keep it aside. Now in a mixer grinder put coconut, green chillies, cumin seeds, curry leaves. Add some hot water and make a paste. Add this coconut mixture to the steamed vegetables. Add 1 tsp coconut oil, salt and mix it. Serve. Serve Kerala Aviyal with Keerai Sambar and Rice for lunch.</t>
  </si>
  <si>
    <t xml:space="preserve">കേരള അവിയൽ ബനാനെയുടെ അടിസ്ഥാനത്തിലുള്ള സാരി സബ്ജയോ കോ നമക് സാത്ത് ഭാപ ലെ. സാരി സബ്ജിയോ കോ പ്രെഷർ കുക്കർ മെം ഡാൽ ദേ. അതുപോലെ നമുക്ക്, 1/4 കപ്പ് പാനി ഡാലെ കൂടാതെ 2 സിറ്റി ആനെ തക്ക പക്ക ലെ. 2 സിറ്റി ആനെ ബാദ് ആഞ്ച് ധീമി കരേം കൂടാതെ 3 സെ 4 മിനിറ്റ് വരെ. തണ്ഡാ പാനിയുടെ നിഷേ രഖേ കൂടാതെ പ്രേഷർ നികലാനെ ദേ. അൽഗ സെ രഖ് ദേ. AB ഒരു മിക്‌സർ ഗ്രെയിൻഡറിൽ നാറിയൽ, ഹരി മിർച്ച്, ജീര, കടപ്പാട് പട്ടാളം. അതുപോലെ തന്നെ തോഡ ഗരം പാനി ഡാലെയും പെസ്റ്റ് ബനാ ലെയും.ഇത് നാറിയൽ മിശ്രണം കോ ഹാപ്പി സബ്ജിയോ മെം ഡാലെ. 1 ചമച്ച നാറിയൽ കാ തെൽ, നമക് ഡാലെ കൂടാതെ മില ലേ. പരോസ്. കേരള അവിയൽ കോ കീറൈ സാമ്പർ  കൂടാതെ ചാവൽ ദിനം പ്രതിനിധീകരിക്കുന്നു. 
</t>
  </si>
  <si>
    <t>https://www.archanaskitchen.com/kerala-avial-recipe-in-hindi</t>
  </si>
  <si>
    <t>Whole Wheat Flour Puttu Recipe</t>
  </si>
  <si>
    <t>മുഴുവൻ ഗോതമ്പ് ഫ്ലോർ പുട്ട് പാചകക്കുറിപ്പ്</t>
  </si>
  <si>
    <t>3/4 കപ്പ് മുഴുവൻ ഗോതമ്പ് മാവ്, 2 ടേബിൾസ്പൂൺ ബസ്മതി അരി - വേവിച്ചത്, 1/4 കപ്പ് പുതിയ തേങ്ങ - അരച്ചത്, ഉപ്പ് - പാകത്തിന്, 1 ടേബിൾസ്പൂൺ പഞ്ചസാര</t>
  </si>
  <si>
    <t>3/4 cup Whole Wheat Flour,2 tablespoons Basmati rice - boiled,1/4 cup Fresh coconut - grated,Salt - to taste,1 tablespoon Sugar</t>
  </si>
  <si>
    <t xml:space="preserve">To begin making Whole Wheat Flour Puttu Recipe, dry roast atta on low flame until the flour releases a pleasant aroma. Take off the heat before the flour starts browning.Drain all the water from steamed rice and grind it in a mixer grinder into a crumby mixture. Then add roasted whole wheat flour and pulse for less than half a minute. Do not over blend it. The end result of this grinding should be a crumbly well-mixed mixture of soaked rice and whole wheat flour.Put the crumbly flour to a wide mixing bowl. Add little salt, sugar, and a tablespoon of grated coconut to the flour mix.Boil enough water in a pressure cooker (without the weight). In a puttu maker, add a thin layer of freshly grated coconut, top it with wheat-rice flour mix. If you are using the long cylindrical puttu maker, add 2 to 3 layers of grated coconut and flour mix. Cover the puttu maker with lid.Place the puttu maker on top of the cooker (sits on the hole where you put the weight). Steam for about 5 to 10 minutes until cooked. Once cooked, carefully slide Whole Wheat Flour Puttu from the puttu maker and serve hot.Serve Whole Wheat Flour Puttu with Kerala Kadala Curry Recipe (Spicy Chickpeas in Coconut Curry) or bananas and a dollop of ghee for a yummy breakfast.
</t>
  </si>
  <si>
    <t xml:space="preserve">ഹോൾ ഗോതമ്പ് ഫ്ലോർ പുട്ട് റെസിപ്പി ഉണ്ടാക്കാൻ തുടങ്ങാൻ, മാവിൽ നിന്ന് നല്ല മണം വരുന്നത് വരെ ചെറിയ തീയിൽ ആട്ട ഡ്രൈ റോസ്റ്റ് ചെയ്യുക. മാവ് ബ്രൗൺ നിറമാകുന്നതിന് മുമ്പ് തീയിൽ നിന്ന് എടുക്കുക. ആവിയിൽ വേവിച്ച അരിയിലെ വെള്ളം മുഴുവൻ ഊറ്റി ഒരു മിക്‌സർ ഗ്രൈൻഡറിൽ പൊടിച്ച മിശ്രിതത്തിലേക്ക് പൊടിക്കുക. അതിനുശേഷം വറുത്ത ഗോതമ്പ് പൊടി ചേർത്ത് അര മിനിറ്റിൽ താഴെ നേരം പൾസ് ചെയ്യുക. ഇത് അമിതമായി ഇളക്കരുത്. ഈ പൊടിക്കുന്നതിൻ്റെ അന്തിമഫലം, കുതിർത്ത അരിയും ഗോതമ്പ് പൊടിയും ചേർത്ത് നന്നായി കലക്കിയ മിശ്രിതമായിരിക്കണം. ഒരു വീതിയുള്ള മിക്സിംഗ് പാത്രത്തിലേക്ക് പൊടിച്ച മാവ് ഇടുക. മൈദ മിക്‌സിലേക്ക് അല്പം ഉപ്പും പഞ്ചസാരയും ഒരു ടേബിൾസ്പൂൺ തേങ്ങയും ചേർക്കുക. ഒരു പ്രഷർ കുക്കറിൽ ആവശ്യത്തിന് വെള്ളം തിളപ്പിക്കുക (ഭാരം കൂടാതെ). ഒരു പുട്ടു മേക്കറിൽ, പുതുതായി അരച്ച തേങ്ങയുടെ നേർത്ത പാളി ചേർക്കുക, അതിന് മുകളിൽ ഗോതമ്പ്-അരിപ്പൊടി മിക്സ് ചെയ്യുക. നീളമുള്ള സിലിണ്ടർ ആകൃതിയിലുള്ള പുട്ടു മേക്കറാണ് നിങ്ങൾ ഉപയോഗിക്കുന്നതെങ്കിൽ, 2 മുതൽ 3 ലെയർ വരെ അരച്ച തേങ്ങയും മൈദയും മിക്സ് ചെയ്യുക. പുട്ടു മേക്കർ ലിഡ് കൊണ്ട് മൂടുക. കുക്കറിൻ്റെ മുകളിൽ പുട്ടു മേക്കർ സ്ഥാപിക്കുക (നിങ്ങൾ ഭാരം വെച്ചിരിക്കുന്ന ദ്വാരത്തിൽ ഇരിക്കുക). വേവിക്കുന്നതുവരെ ഏകദേശം 5 മുതൽ 10 മിനിറ്റ് വരെ ആവിയിൽ വേവിക്കുക. പാകം ചെയ്തുകഴിഞ്ഞാൽ, പുട്ടു മേക്കറിൽ നിന്ന് ഹോൾ ഗോതമ്പ് ഫ്ലോർ പുട്ട് ശ്രദ്ധാപൂർവ്വം സ്ലൈഡുചെയ്‌ത് ചൂടോടെ വിളമ്പുക. ഹോൾ ഗോതമ്പ് ഫ്ലോർ പുട്ടിനൊപ്പം കേരള കടല കറി പാചകക്കുറിപ്പ് (തേങ്ങാ കറിയിലെ എരിവുള്ള ചെറുപയർ) അല്ലെങ്കിൽ ഏത്തപ്പഴവും ഒരു കപ്പ് നെയ്യും ഒരു സ്വാദിഷ്ടമായ പ്രഭാതഭക്ഷണത്തിന്.
</t>
  </si>
  <si>
    <t>https://www.archanaskitchen.com/vivatta-whole-wheat-flour-puttu-recipe</t>
  </si>
  <si>
    <t>Kerala Style Mutton Pepper Fry Recipe</t>
  </si>
  <si>
    <t>കേരള സ്റ്റൈൽ മട്ടൺ പെപ്പർ ഫ്രൈ റെസിപ്പി</t>
  </si>
  <si>
    <t>400 ഗ്രാം മട്ടൺ, 1 ടീസ്പൂൺ ജീരകപ്പൊടി (ജീര), 1 ടീസ്പൂൺ ചുവന്ന മുളകുപൊടി, 1 ടീസ്പൂൺ മല്ലിപ്പൊടി (ധാനിയ), 1/2 ടീസ്പൂൺ മഞ്ഞൾപൊടി (ഹാൽദി), 1 ടീസ്പൂൺ ഉപ്പ്, 2 ടീസ്പൂൺ നാരങ്ങ നീര്, 1 സവാള - ചെറുതായി അരിഞ്ഞത്, 5 അല്ലി വെളുത്തുള്ളി - ചെറുതായി അരിഞ്ഞത്, 1 ഇഞ്ച് കുരുമുളക് പൊടി, 1 ഇഞ്ച് കുരുമുളക് പൊടി 2 ടീസ്പൂൺ തേങ്ങ - (1/2 ഇഞ്ച് വലിപ്പം), 3/4 ടീസ്പൂൺ ഉപ്പ്, 1/4 കപ്പ് വെള്ളം, 2 ടേബിൾസ്പൂൺ വെളിച്ചെണ്ണ</t>
  </si>
  <si>
    <t>400 grams Mutton,1 teaspoon Cumin powder (Jeera),1 teaspoon Red Chilli powder,1 teaspoon Coriander Powder (Dhania),1/2 teaspoon Turmeric powder (Haldi),1 teaspoon Salt,2 teaspoon Lemon juice,1 Onion - finely chopped,5 cloves Garlic - finely chopped,1 inch Ginger - thin slices,10 Curry leaves,4 tablespoon Black pepper powder,2 teaspoon Fresh coconut - (1/2 inch size),3/4 teaspoon Salt,1/4 cup Water,2 tablespoons Coconut Oil</t>
  </si>
  <si>
    <t xml:space="preserve">To begin making the Kerala Style Mutton Pepper Fry recipe, wash mutton pieces well and marinate it with all the spices mentioned in the list.Heat coconut oil in a pan. Add garlic and ginger pieces. Fry for 1 minute.Add finely chopped onions and curry leaves. Cook till onions turn soft.Add marinated mutton and 3/4 teaspoon salt.Add pepper powder, coconut pieces, mix well. Continue to cook for 4 minutes.Add 2 cups water and mix well. Cover and let it cook until mutton gets cooked well and water is fully evaporated. Kerala style mutton sukka/fry is ready.Kerala Style Mutton Pepper Fry as a side dish along with Kerala Varutharacha Mutton Curry and Steamed Rice for a weekday dinner with family.
</t>
  </si>
  <si>
    <t xml:space="preserve">കേരള സ്റ്റൈൽ മട്ടൺ പെപ്പർ ഫ്രൈ പാചകക്കുറിപ്പ് തയ്യാറാക്കാൻ ആരംഭിക്കുന്നതിന്, മട്ടൺ കഷണങ്ങൾ നന്നായി കഴുകി ലിസ്റ്റിൽ പറഞ്ഞിരിക്കുന്ന എല്ലാ മസാലകളും ചേർത്ത് മാരിനേറ്റ് ചെയ്യുക. ഒരു പാനിൽ വെളിച്ചെണ്ണ ചൂടാക്കുക. വെളുത്തുള്ളി, ഇഞ്ചി കഷണങ്ങൾ ചേർക്കുക. 1 മിനിറ്റ് വഴറ്റുക. ചെറുതായി അരിഞ്ഞ ഉള്ളിയും കറിവേപ്പിലയും ചേർക്കുക. ഉള്ളി മൃദുവാകുന്നത് വരെ വേവിക്കുക. മാരിനേറ്റ് ചെയ്ത മട്ടണും 3/4 ടീസ്പൂൺ ഉപ്പും ചേർക്കുക. കുരുമുളക് പൊടി, തേങ്ങാ കഷണങ്ങൾ എന്നിവ ചേർത്ത് നന്നായി ഇളക്കുക. 4 മിനിറ്റ് വേവിക്കുന്നത് തുടരുക.2 കപ്പ് വെള്ളം ചേർത്ത് നന്നായി ഇളക്കുക. ആട്ടിറച്ചി നന്നായി വേവുകയും വെള്ളം പൂർണ്ണമായി ബാഷ്പീകരിക്കപ്പെടുകയും ചെയ്യുന്നതുവരെ മൂടി വെച്ച് വേവിക്കുക. കേരള സ്‌റ്റൈൽ മട്ടൺ സക്ക/ഫ്രൈ തയ്യാർ. ഒരു സൈഡ് ഡിഷായി കേരള സ്‌റ്റൈൽ മട്ടൺ പെപ്പർ ഫ്രൈ, ഒപ്പം കേരളം വറുത്തരാച്ച മട്ടൺ കറി , ആവിയിൽ വേവിച്ച ചോറ്  എന്നിവയ്‌ക്കൊപ്പം ഒരു ആഴ്‌ചയിലെ അത്താഴത്തിന് കുടുംബവുമൊത്ത്.
</t>
  </si>
  <si>
    <t>https://www.archanaskitchen.com/kerala-mutton-pepper-fry-recipe</t>
  </si>
  <si>
    <t>Meen Varuthathu Recipe - Kerala Style Fish Fry Recipe</t>
  </si>
  <si>
    <t>മീൻ വറുത്തൂ റെസിപ്പി - Kerala Style Fish Fry Recipe</t>
  </si>
  <si>
    <t>5 ഫിഷ്,1 ഛോട്ട ചമ്മച് അദരക് ലഹസുൻ കാ പെസ്റ്റ്,1 ബഡാ ചമ്മച്ച് ലാൽ മിർച്ച്,1/2പ ഛോട്ട ചമ്മച്ച് ഹൽദി പൗഡർ,കാലി മിർച്ച് പൌഡർ - പീസ് ലെ,1/2 നിമ്പൂ - രസ്ല നികാ, അനുസാർ,നാരിയൽ കാ തെൽ  - പ്രയോഗം അനുസാർ,കഠി പത്ത - തോഡേ</t>
  </si>
  <si>
    <t>5 fish, 1 tsp ginger garlic paste, 1 tbsp red chilli powder, 1/2 tsp turmeric powder, black pepper powder - grind, 1/2 lemon - extract juice, salt - according to taste, coconut oil - according to need, curry leaves - few</t>
  </si>
  <si>
    <t>To make Meen Varuthathu Recipe, first wash and clean the fish thoroughly. Keep it aside. Now in a mixing bowl add ginger garlic paste, red chili powder, turmeric powder, black pepper powder, lemon, salt, some water and mix it well. Coat the fish well with this masala and keep it aside for 30 to 40 minutes. Now heat oil in a pan. Add curry leaves and let it crackle. Now add fish and cook it till it becomes crispy and brown from both the sides. Serve. Serve Meen Varuthathu Recipe with Tomato Onion Sambar, Rice and Papad for dinner.</t>
  </si>
  <si>
    <t xml:space="preserve">മീൻ വറുത്തൂ റെസിപ്പി ബനാനെ സബസെ പഹലെ ഫിഷ് കോ അച്ചീ തരഹ് സെ ധോ കർ സ. അൽഗ സെ രഖ് ദേ. ഒരു മിക്സിംഗ് ബൗളിൽ അദരക് ലഹസുൻ കാ പെസ്റ്റ്, ലാൽ മിർച്ച് പൗഡർ, ഹൽദി പൌഡർ മിർച്ച് ഔഡർ, നിമ്പൂ, നമക്, തൊഡാ പാനി ഡാലെ, കൂടാതെ അച്ഛി തരഹ് സെ മിലാ ലെ. ഫിഷ് കോ ഈ മസാലെ സെ അച്ഛി തരഹ സെ കോട് കർ ലെ കൂടാതെ 30 സെ 40 മിനിറ്റ് വരെ അല. ഇനി ഒരു കഥ അതുപോലെ കഠി പട്ട ദാലെയും തഡകനേ ദേ. ഇപ്പോൾ ഫിഷ് ഡാലെയും ഡോണും തരഫ് സെ കുറകുറയും ഭൂരാ ഹോനേയും തക്ക ലേ. പരോസ്. മീൻ വറുത്തൂ റെസിപി കോ ടമാറ്റർ യാത്ര സാംബർ, ചാവൽ കൂടാതെ പാട്ട് എന്നിവയും ശ്രദ്ധിക്കേണ്ടതാണ്.
</t>
  </si>
  <si>
    <t>http://www.archanaskitchen.com/meen-varuthathu-recipe-kerala-style-fish-fry-in-hindi</t>
  </si>
  <si>
    <t>Oats Unni Appam/ Nei Appam Recipe</t>
  </si>
  <si>
    <t>1 കപ്പ് തൽക്ഷണ ഓട്സ് (ഓട്ട്സ്), 1/8 കപ്പ് മുഴുവൻ ഗോതമ്പ് മാവ്, 1/8 കപ്പ് അരിപ്പൊടി, 3/4 കപ്പ് ശർക്കര - പൊടിച്ചത്, 1 പഴുത്ത ഏത്തപ്പഴം - ചതച്ചത്, 1/4 കപ്പ് വെള്ളം, 1/4 ടീസ്പൂൺ ബേക്കിംഗ് സോഡ, 4 ടേബിൾസ്പൂൺ നെയ്യ്</t>
  </si>
  <si>
    <t>1 cup Instant Oats (Oatmeal),1/8 cup Whole Wheat Flour,1/8 cup Rice flour,3/4 cup Jaggery - powdered,1 Ripe Bananas - mashed,1/4 cup Water,1/4 teaspoon Baking soda,4 tablespoon Ghee</t>
  </si>
  <si>
    <t xml:space="preserve">To prepare 10 Minutes Oats Unni Appam/ Nei Appam Recipe, grind the oats to powder it.Blend the powdered oats, jaggery, rice flour, wheat flour, baking soda and chopped banana together.Add water and blend again to make the appam batter.The consistency of the appam batter should be similar to that of idly batter.Add ghee in the paniyaram pan and heat over medium flame.Add about 1/4 teaspoon of ghee in each appam-cup.Drop a spoonful of batter in the hot ghee. Similarly, fill the rest of the pan with the batter to fry the appams.Once the edges start to turn golden brown, flip the appams using a greased spoon to cook the other side.Fry for another minute or so until the appam turns crispy golden all over. Repeat frying in batches.Repeat the same with the remaining batter. You may add lesser ghee while frying the second batch of appams as the pan will be well greased.10 Minutes Oats Unni Appam/ Nei Appam Recipe are ready to be served as a snack on a weekend or along with a nice Kerala meal.
</t>
  </si>
  <si>
    <t xml:space="preserve">10 മിനിറ്റ് ഓട്സ് ഉണ്ണി അപ്പം / നെയ് അപ്പം റെസിപ്പി തയ്യാറാക്കാൻ, ഓട്സ് പൊടിച്ച് പൊടിക്കുക. പൊടിച്ച ഓട്സ്, ശർക്കര, അരിപ്പൊടി, ഗോതമ്പ് പൊടി, ബേക്കിംഗ് സോഡ, അരിഞ്ഞ വാഴപ്പഴം എന്നിവ ഒന്നിച്ച് യോജിപ്പിക്കുക. വെള്ളം ചേർത്ത് വീണ്ടും യോജിപ്പിക്കുക. പണിയാരം പാൻ ഇടത്തരം തീയിൽ ചൂടാക്കുക. ഓരോ അപ്പം-കപ്പിലും ഏകദേശം 1/4 ടീസ്പൂൺ നെയ്യ് ചേർക്കുക. ചൂടുള്ള നെയ്യിൽ ഒരു സ്പൂൺ മാവ് ഒഴിക്കുക. അതുപോലെ, അപ്പം വറുക്കാൻ ബാക്കിയുള്ള മാവ് നിറയ്ക്കുക. അരികുകൾ ഗോൾഡൻ ബ്രൗൺ നിറമാകാൻ തുടങ്ങിയാൽ, മറുവശം വേവിക്കാൻ നെയ്യ് പുരട്ടിയ തവി ഉപയോഗിച്ച് അപ്പം ഫ്ലിപ്പുചെയ്യുക. അപ്പം മുഴുവനും ക്രിസ്പി ഗോൾഡൻ ആകുന്നത് വരെ മറ്റൊരു മിനിറ്റോ മറ്റോ ഫ്രൈ ചെയ്യുക. ബാച്ചുകളിൽ ഫ്രൈ ചെയ്യൽ ആവർത്തിക്കുക. ബാക്കിയുള്ള ബാറ്റർ ഉപയോഗിച്ച് അതേ ആവർത്തിക്കുക. രണ്ടാമത്തെ ബാച്ച് അപ്പം വറുക്കുമ്പോൾ കുറച്ച് നെയ്യ് ചേർക്കാം.
</t>
  </si>
  <si>
    <t>http://www.archanaskitchen.com/10-minutes-oats-unni-appam-nei-appam-recipe</t>
  </si>
  <si>
    <t>Chow Chow Thoran Recipe</t>
  </si>
  <si>
    <t>ചാവു ചാവു തോരൻ റെസിപ്പി - ചൗ ചൗ തോരൻ റെസിപ്പി</t>
  </si>
  <si>
    <t>3 ചാവു ചാവു,1/2 കപ്പ് നാറിയൽ - കസ് ലെ,2 ഹരി മിർച്ച്,2 തഹനി കഠി പത്ത, ജീര,1/2 ചാം റായ്,1/2 ഛോട്ട ചമ്മച്ച് ഹൽദി പോഡർ,നമക് - സ്വാദ് അനുസാർ</t>
  </si>
  <si>
    <t>To make Chow Chow Thoran Recipe, first peel the chow chow and chop it. Put it in a pressure cooker with 2 tbsp water and cook till 2 whistles. Let the pressure release on its own. Now take a blender and grind coconut, curry leaves, green chillies, cumin seeds and grind them. Add this mixture and salt to the chow chow and mix well. Keep it aside. Now for the tempering, heat oil in a tempering pan. Add mustard seeds and let it crackle. Now add curry leaves and turmeric powder. Mix it for 15 seconds and add it to the thoran and mix well. Serve Chow Chow Thoran Recipe with Mixed Vegetable Sambar, Rice and Papad for lunch.</t>
  </si>
  <si>
    <t xml:space="preserve">ചാവു ചാവു തോരൻ റെസിപി ബനാനെ സബ്സെ പഹലെ ചാവു ചാവു കാ ഛിളക നികത്തുക. ഇത് ഒരു പ്രെഷർ കുക്കറിൽ 2 ബഡേ ചമ്മച്ച് പാനിയുടെ സാത്ത് ഡാലെ കൂടാതെ 2 സീറ്റുകൾ ആണ്. പ്രേഷർ അപ്പനേ നിങ്ങൾ നികലാനെ ദേ. എബി ഒരു ബ്ലെൻഡറിൽ നാറിയൽ, കഠി പട്ട, ഹരി മിർച്ച്, ജീര ഡാലെ കൂടാതെ പീസ് ലെ. ഈ മിശ്രണും നമക് കോ ചാവു ചാവു മെൻ ഡാലെയും മിലാ ലേയും. അൽഗ സെ രഖ് ദേ. ഒരു തഡക്ക പൈൻ മെം ടെൽ ഗരം കരെം. ഇതുപോലെ റായ് ഡാലെയും തഡക്കനേയും. അബ് ഇസമെം കഠി പത്തയും ഹൽദി പൌഡർ ഡാലെ. 15 സെക്കൻറുകൾ കൂടാതെ ഈ തോരൻ മെൻ ഡാലെ കൂടാതെ മിലാ ലെ.ചൗ ചാവു കഥോരൻ മിക്‌സ്‌ഡ് വെജിറ്റേബൽ സാംബർ, ചാവൽ, കൂടാതെ പാപ്‌ഡിനും വേണ്ടിയുള്ള ദിനചര്യകൾക്കായി. 
</t>
  </si>
  <si>
    <t>http://www.archanaskitchen.com/chow-chow-thoran-poriyal-recipe-in-hindi</t>
  </si>
  <si>
    <t>Calicut Payyoli Chicken Fry Recipe</t>
  </si>
  <si>
    <t>കാലിക്കറ്റ് പയ്യോളി ചിക്കൻ ഫ്രൈ റെസിപ്പി</t>
  </si>
  <si>
    <t>500 ഗ്രാം ചിക്കൻ - വൃത്തിയാക്കി 1 ഇഞ്ച് സമചതുരയായി അരിഞ്ഞത്, 1 ടീസ്പൂൺ വെളുത്തുള്ളി - 1 ടീസ്പൂൺ ഇഞ്ചി - അരിഞ്ഞത്, 2 ടീസ്പൂൺ കശ്മീരി ചുവന്ന മുളക് പൊടി, 1/2 ടീസ്പൂൺ മഞ്ഞൾപ്പൊടി (ഹാൽദി), 2 ടേബിൾസ്പൂൺ വിനാഗിരി, 1 പച്ചമുളക് - നീളത്തിൽ കീറിയത്, 1 ടേബിൾസ്പൂൺ ഇറച്ചി മസാല - 2 ടേബിൾസ്പൂൺ. കറിവേപ്പില, 3 ടേബിൾസ്പൂൺ വെളിച്ചെണ്ണ, 100 മില്ലി വെള്ളം</t>
  </si>
  <si>
    <t>500 grams Chicken - cleaned and cut into 1 inch cubes,1 teaspoon Garlic - minced,1 teaspoon Ginger - minced,2 teaspoons Kashmiri Red Chilli Powder,1/2 teaspoon Turmeric powder (Haldi),2 tablespoon Vinegar,1 Green Chilli - slit lengthwise,1 tablespoon Meat masala,3 tablespoons Fresh coconut - grated,Salt - to taste,2 sprig Curry leaves,3 tablespoons Coconut Oil,100 ml Water</t>
  </si>
  <si>
    <t xml:space="preserve">To begin making the Calicut Payyoli Chicken Fry recipe, in a mixing bowl, marinate the chicken pieces with minced ginger, minced garlic, 1 tablespoon vinegar, turmeric powder and salt. Keep it aside for 15 minutes.For the second marination, to the already marinated chicken, add half the kashmiri red chilli powder, meat masala powder, remaining vinegar and mix well. Keep aside for 1 hour.Take grated coconut in a small bowl, add remaining kashmiri red chilli powder and mix well. Keep aside.Heat coconut oil in a pan, add the marinated chicken pieces in oil along with slit green chilly. Fry well on low flame.Once the chicken pieces are half cooked, add the grated coconut mix, and curry leaves to it. Add 100 ml water to allow the chicken to cook well. Fry until the water is fully absorbed, and the chicken is well cooked.Serve Calicut Payyoli Chicken Fry as a starter for your house parties. You can serve it as part of a meal that includes,  South Indian Style Fish Curry Recipe and Steamed Rice 
</t>
  </si>
  <si>
    <t xml:space="preserve">കാലിക്കറ്റ് പയ്യോളി ചിക്കൻ ഫ്രൈ പാചകക്കുറിപ്പ് തയ്യാറാക്കാൻ ആരംഭിക്കുന്നതിന്, ഒരു മിക്സിംഗ് പാത്രത്തിൽ, ചിക്കൻ കഷണങ്ങൾ അരിഞ്ഞ ഇഞ്ചി, വെളുത്തുള്ളി അരിഞ്ഞത്, 1 ടേബിൾസ്പൂൺ വിനാഗിരി, മഞ്ഞൾപ്പൊടി, ഉപ്പ് എന്നിവ ഉപയോഗിച്ച് മാരിനേറ്റ് ചെയ്യുക. 15 മിനിറ്റ് മാറ്റി വയ്ക്കുക. രണ്ടാമത്തെ മാരിനേഷനായി, ഇതിനകം മാരിനേറ്റ് ചെയ്ത ചിക്കൻ, പകുതി കാശ്മീരി ചുവന്ന മുളക് പൊടി, ഇറച്ചി മസാല പൊടി, ശേഷിക്കുന്ന വിനാഗിരി എന്നിവ ചേർത്ത് നന്നായി ഇളക്കുക. 1 മണിക്കൂർ മാറ്റിവെക്കുക.ഒരു ചെറിയ പാത്രത്തിൽ അരച്ച തേങ്ങ എടുത്ത് ബാക്കിയുള്ള കാശ്മീരി ചുവന്ന മുളകുപൊടി ചേർത്ത് നന്നായി ഇളക്കുക. മാറ്റി വയ്ക്കുക.ഒരു പാനിൽ വെളിച്ചെണ്ണ ചൂടാക്കുക, പച്ചമുളക് കീറിയതിനൊപ്പം എണ്ണയിൽ മാരിനേറ്റ് ചെയ്ത ചിക്കൻ കഷണങ്ങൾ ചേർക്കുക. ചെറിയ തീയിൽ നന്നായി വഴറ്റുക. ചിക്കൻ കഷണങ്ങൾ പകുതി വേവിച്ചു കഴിഞ്ഞാൽ, അതിലേക്ക് അരച്ച തേങ്ങാ മിക്സ്, കറിവേപ്പില എന്നിവ ചേർക്കുക. ചിക്കൻ നന്നായി വേവാൻ അനുവദിക്കുന്നതിന് 100 മില്ലി വെള്ളം ചേർക്കുക. വെള്ളം പൂർണ്ണമായി ആഗിരണം ചെയ്യപ്പെടുന്നതുവരെ ഫ്രൈ ചെയ്യുക, ചിക്കൻ നന്നായി വേവിക്കുക. നിങ്ങളുടെ വീട്ടിലെ പാർട്ടികൾക്ക് ഒരു തുടക്കമായി കാലിക്കറ്റ് പയ്യോളി ചിക്കൻ ഫ്രൈ വിളമ്പുക. ദക്ഷിണേന്ത്യൻ സ്റ്റൈൽ ഫിഷ് കറി റെസിപ്പിയും ആവിയിൽ വേവിച്ച ചോറും ഉൾപ്പെടുന്ന ഭക്ഷണത്തിൻ്റെ ഭാഗമായി നിങ്ങൾക്ക് ഇത് വിളമ്പാം 
</t>
  </si>
  <si>
    <t>http://www.archanaskitchen.com/calicut-payyoli-chicken-fry-recipe</t>
  </si>
  <si>
    <t>Cabbage And Carrot Thoran Recipe - Cabbage And Carrot Thoran (Recipe In Hindi)</t>
  </si>
  <si>
    <t>പത്ത ഗോഭിയും ഗാജർ കാ തോരൻ റെസിപ്പി - കാബേജും കാരറ്റ് തോരനും (ഹിന്ദിയിൽ പാചകക്കുറിപ്പ്)</t>
  </si>
  <si>
    <t>3 ഗജർ - കസാ ഹുയാ,1/2 പട്ട ഗോഭി - ബാരിക്ക് കാറ്റ് ലെ,1 പ്യാജ് - ബാരിക്ക് കാറ്റ് ലെ,4 മെൻ സെ കാറ്റ് ലെ,1/2 ഛോട്ടാ ചമച്ച ഹൽദി പൌഡർ,1 ഛോട്ട ചമച്ച പാത്രം,1 ചമച്ച ടെൽ,1/2 ഛോട്ട ചമച്ച റായ്,1/2 കപ് നാറിയൽ - കസ ഹുയാ,6 കഠ്പ,നമകൻ</t>
  </si>
  <si>
    <t>3 carrots - grated, 1/2 cabbage - finely chopped, 1 onion - finely chopped, 4 green chillies - cut in the middle, 1/2 teaspoon turmeric powder, 1 teaspoon cumin powder, 1 tablespoon oil, 1/2 teaspoon mustard seeds, 1/2 cup coconut - grated, 6 curry leaves, salt - as per requirement</t>
  </si>
  <si>
    <t>To make Cabbage Carrot Thoran, first wash and chop the cabbage and carrot. Now take a bowl. Add carrot, cabbage, onion, green chilies, cumin powder, turmeric powder and salt in it. Mix everything. Now heat oil in a pan. Add mustard seeds and cook for 10 seconds. After that add curry leaves and vegetable mixture. Mix it, cover the pan and let it cook for 10 to 12 minutes. When the vegetables become soft, add grated coconut to it. Mix it and cook for next 3 minutes. Turn off the gas after 3 minutes and serve. Serve Cabbage Carrot Thoran with Mixed Vegetable Sambar, Rice and Ghee for lunch.</t>
  </si>
  <si>
    <t xml:space="preserve">പത്താ ഗോഭിയും ഗാജർ കാ തോരൻ ബനാനേയും കൂടാതെ കാറ്റ് ലെ. അബ് ഒരു ബൗൾ ലെ. ഉസമേ ഗജർ, പട്ടാ ഗോഭി, പ്യാജ്, ഹരി മർച്ച്, ജീരാ പൗഡർ, ഹൽദി ഔഡ് ബോർഡ് സബക്കോ മിലാ ലെ. ഇനി ഒരു കഥ ഇതുപോലെ റായ് ഡാലെയും 10 സെക്കൻറുകളും. ഉസകെ ബാദ് ഇസമെം കഠി പട്ടയും സബ്ജിയോ കാ മിക്‌സചർ ഡാലെ. മിലോ, കടായി കോ ഠകെ കൂടാതെ ഇസെസ് 10 സെ 12 മിനിറ്റ് വരെ. ജബ് സബ്ജിയ നരം ഹോ ജാഎ, അതുപോലെ തന്നെ കൈസാ ഹൂയാ നാറിയൽ ഡാലേ.മില ലെ 3 അഗത പകാഎ. 3 മിനിറ്റ് ബാദ് ഗെയ്‌സ് ബന്ദ് കരേം കൂടാതെ പരോസ്. പട്ടാ ഗോഭിയും ഗാജർ കെ തോരൻ കോ മിക്‌സ്ഡ് വെജിറ്റബിൾ സാംബർ, ചാവൽ എന്നിവയും മറ്റ് കാര്യങ്ങളും ലിഎ പരോസ്.
</t>
  </si>
  <si>
    <t>https://www.archanaskitchen.com/cabbage-and-carrot-thoran-recipe-in-hindi</t>
  </si>
  <si>
    <t>Matta Rice/ Chemba Rice Recipe-Pressure Cooker Method</t>
  </si>
  <si>
    <t>മട്ട റൈസ്/ ചെമ്പ റൈസ് റെസിപ്പി-പ്രഷർ കുക്കർ രീതി</t>
  </si>
  <si>
    <t>1 കപ്പ് ചുവന്ന മട്ട അരി, 3-1/2 കപ്പ് വെള്ളം, ഉപ്പ് - (ആവശ്യമെങ്കിൽ)</t>
  </si>
  <si>
    <t>1 cup Red matta rice,3-1/2 cups Water,Salt - (if required)</t>
  </si>
  <si>
    <t xml:space="preserve">To begin making the Matta Rice first wash the rice in a saucepan three times and soak the rice in water for half an hour.Drain the soaked rice and transfer it to a pressure cooker. Add 3 cups of water in the pan of the pressure cooker, cover and place the weight on.Cook the matta rice in the pressure cooker on medium high heat for 3 to 4 whistles; after the 3 to 4 whistles turn the heat to low. Pressure cook the rice for another 5 to 8 minutes and turn off the heat.Allow the pressure to release naturally. Wait for the pressure to release completely and then open the cooker.The Matta rice takes a little longer to cook than the traditional rice and hence the cooking time is much longer. Serve Matta rice with Mixed Vegetable Sambar, Cabbage Thoran/Poriyal and Spicy Lime Pickle for a vegetarian option or you can serve it with Kerala style Fish Curry for a non vegetarian option.
</t>
  </si>
  <si>
    <t xml:space="preserve">മട്ട റൈസ് ഉണ്ടാക്കാൻ തുടങ്ങാൻ ആദ്യം അരി ഒരു ചീനച്ചട്ടിയിൽ മൂന്ന് പ്രാവശ്യം കഴുകി അരി അര മണിക്കൂർ വെള്ളത്തിൽ കുതിർത്ത് വയ്ക്കുക. കുതിർത്ത അരി ഊറ്റി പ്രഷർ കുക്കറിലേക്ക് മാറ്റുക. പ്രഷർ കുക്കറിൻ്റെ പാനിൽ 3 കപ്പ് വെള്ളം ചേർത്ത് മൂടി വെയ്റ്റ് വെയ്‌ക്കുക 3-4 വിസിലുകൾക്ക് ശേഷം ചൂട് ചെറുതാക്കുക. മറ്റൊരു 5 മുതൽ 8 മിനിറ്റ് വരെ അരി പാകം ചെയ്ത് തീ ഓഫ് ചെയ്യുക. മർദ്ദം സ്വാഭാവികമായി പുറത്തുവിടാൻ അനുവദിക്കുക. മർദ്ദം പൂർണമായി പുറത്തുവരുന്നത് വരെ കാത്തിരിക്കുക, തുടർന്ന് കുക്കർ തുറക്കുക. പരമ്പരാഗത അരിയെക്കാൾ മട്ട അരി പാകം ചെയ്യാൻ കുറച്ച് സമയമെടുക്കും, അതിനാൽ പാചക സമയം വളരെ കൂടുതലാണ്. വെജിറ്റേറിയൻ ഓപ്‌ഷനായി മിക്‌സഡ് വെജിറ്റബിൾ സാമ്പാർ, ക്യാബേജ് തോരൻ/പൊരിയൽ , എരിവുള്ള നാരങ്ങാ അച്ചാർ  എന്നിവയ്‌ക്കൊപ്പം മട്ടാ ചോറ് വിളമ്പുക അല്ലെങ്കിൽ നിങ്ങൾക്ക്                                                                                                        .
</t>
  </si>
  <si>
    <t>https://www.archanaskitchen.com/matta-rice-chemba-rice-recipe-pressure-cooker-method</t>
  </si>
  <si>
    <t>Baked Chinese Potato Recipe (Koorka Mezhukuperatti)</t>
  </si>
  <si>
    <t>ചുട്ടുപഴുത്ത ചൈനീസ് ഉരുളക്കിഴങ്ങ് പാചകക്കുറിപ്പ് (കൂർക്ക മെഴുകുപേരട്ടി)</t>
  </si>
  <si>
    <t>250 ഗ്രാം ചൈനീസ് ഉരുളക്കിഴങ്ങ് - ഇടത്തരം വലിപ്പമുള്ള കഷണങ്ങളാക്കി മുറിച്ചത്, 1 നുള്ള് മഞ്ഞൾപ്പൊടി (ഹാൽദി), 10 ചെറിയ ഉള്ളി - അല്ലെങ്കിൽ 1 വലിയ ഉള്ളി, 3 അല്ലി വെളുത്തുള്ളി - ചെറുതായി അരിഞ്ഞത്, 1 ടീസ്പൂൺ ചുവന്ന മുളക് അടരുകളായി - മസാലകൾ സഹിഷ്ണുതയ്ക്ക് അനുസരിച്ച് ക്രമീകരിക്കുക, ഉപ്പ് - പാകത്തിന്, 1 തണ്ട് കറിവേപ്പില, തേങ്ങാ - 2 ടേബിൾസ്പൂൺ - 2 ടേബിൾസ്പൂൺ</t>
  </si>
  <si>
    <t>250 grams Chinese Potato - cut into medium size pieces,1 pinch Turmeric powder (Haldi),10 Shallots - or 1 large onion,3 cloves Garlic - finely chopped,1 teaspoon Red Chilli flakes - adjust as per spice tolerance,Salt - as per taste,1 sprig Curry leaves,Coconut Oil - enough to shallow fry,2 tablespoons Fresh coconut - pieces</t>
  </si>
  <si>
    <t xml:space="preserve">Baked Chinese Potato Recipe also called Koorka Mezhukuperatti in Malayalam is an easy recipe. Firstly, clean the koorka/ Chinese potatoes and cut them into medium sized pieces.Pre-heat oven to 150 degree Celsius.Meanwhile, pressure cook the Chinese potato/ koorka with turmeric powder, shallots/ onions, garlic, chili flakes, salt, curry leaves and coconut pieces (if using). Since these koorkas should be firm yet cooked, switch off flame just before the whistle and let the pressure cooker cool by itself.Grease a baking tray. Spread the cooked koorka on the baking tray.Drizzle a little coconut oil over the vegetable in the tray (or brush the oil to the potatoes with the help of a cooking brush).Bake in the oven at 150 degree Celsius for 8 to 10 minutes until lightly browned and crisp. I don't like mine too crisp, so didn't keep in oven for too long. But if you prefer it nice and crisp, bake for extra 4-5 minutes in the oven.Serve hot with rice plain rice and Avial or a curry of your choice, to make a Kerala style dinner at home.
</t>
  </si>
  <si>
    <t xml:space="preserve">ചുട്ടുപഴുത്ത ചൈനീസ് ഉരുളക്കിഴങ്ങ് പാചകക്കുറിപ്പ് മലയാളത്തിൽ കൂർക്ക മെഴുക്കുപെരട്ടി എന്നും അറിയപ്പെടുന്നു. ആദ്യം കൂർക്ക/ചൈനീസ് ഉരുളക്കിഴങ്ങുകൾ വൃത്തിയാക്കി ഇടത്തരം കഷ്ണങ്ങളാക്കി മുറിക്കുക. അടുപ്പിൽ 150 ഡിഗ്രി സെൽഷ്യസിൽ ചൂടാക്കുക. അതിനിടയിൽ, ചൈനീസ് ഉരുളക്കിഴങ്ങ്/കൂർക്ക മഞ്ഞൾപ്പൊടി, ചെറുപയർ/ ഉള്ളി, വെളുത്തുള്ളി, മുളക് അടരുകൾ, ഉപ്പ്, കറിവേപ്പില, തേങ്ങാ കഷണങ്ങൾ എന്നിവ ചേർത്ത് വേവിക്കുക. ഈ കൂർക്കകൾ ഉറച്ചതും വേവിച്ചതുമായിരിക്കേണ്ടതിനാൽ, വിസിലിന് തൊട്ടുമുമ്പ് ഫ്ലേം ഓഫ് ചെയ്ത് പ്രഷർ കുക്കർ തനിയെ തണുക്കാൻ അനുവദിക്കുക. ഒരു ബേക്കിംഗ് ട്രേയിൽ ഗ്രീസ് ചെയ്യുക. ബേക്കിംഗ് ട്രേയിൽ വേവിച്ച കൂർക്ക വിതറുക. ട്രേയിലെ പച്ചക്കറിയിൽ അല്പം വെളിച്ചെണ്ണ ഒഴിക്കുക (അല്ലെങ്കിൽ ഒരു കുക്കിംഗ് ബ്രഷിൻ്റെ സഹായത്തോടെ ഉരുളക്കിഴങ്ങിലേക്ക് എണ്ണ തേക്കുക). 150 ഡിഗ്രി സെൽഷ്യസിൽ 8 മുതൽ 10 മിനിറ്റ് വരെ ചെറുതായി തവിട്ട് നിറമാകുന്നതുവരെ അടുപ്പത്തുവെച്ചു ചുടേണം. എൻ്റേത് വളരെ ക്രിസ്പ് ആയത് എനിക്ക് ഇഷ്ടമല്ല, അതിനാൽ കൂടുതൽ നേരം അടുപ്പിൽ വെച്ചില്ല. എന്നാൽ നിങ്ങൾക്ക് ഇത് നല്ലതും ചടുലവും ഇഷ്ടമാണെങ്കിൽ, ഓവനിൽ 4-5 മിനിറ്റ് അധികമായി ബേക്ക് ചെയ്യുക. റൈസ് പ്ലെയിൻ റൈസ്, അവിയൽ അല്ലെങ്കിൽ നിങ്ങൾക്ക് ഇഷ്ടമുള്ള ഒരു കറി എന്നിവയ്‌ക്കൊപ്പം ചൂടോടെ വിളമ്പുക, വീട്ടിൽ ഒരു കേരള സ്റ്റൈൽ ഡിന്നർ ഉണ്ടാക്കാം.
</t>
  </si>
  <si>
    <t>https://www.archanaskitchen.com/baked-chinese-potato-recipe-koorka-mezhukuperatti</t>
  </si>
  <si>
    <t>Kerala Style Puttu Upma Recipe With Scrambled Eggs</t>
  </si>
  <si>
    <t>കേരള സ്റ്റൈൽ പുട്ട് ഉപ്പുമാ പാചകക്കുറിപ്പ് ചുരണ്ടിയ മുട്ടകൾ</t>
  </si>
  <si>
    <t>1 കപ്പ് അരി പുട്ട് - അല്ലെങ്കിൽ ഗോതമ്പ് പുട്ട്, 1 മുഴുവൻ മുട്ട, 1 ടീസ്പൂൺ ജീരകം (ജീര), 1/4 ടീസ്പൂൺ കടുക്, 1 തണ്ട് കറിവേപ്പില, 1 നുള്ള് മഞ്ഞൾപൊടി (ഹാൽദി), 2 പച്ചമുളക് - കീറി/അരിഞ്ഞത്, 1/4 ടീസ്പൂൺ കറുത്ത ഉരദാപ്പാൽ (പിളർന്നത്), 2 ടീസ്പൂൺ സൂര്യകാന്തി എണ്ണ - രുചി.</t>
  </si>
  <si>
    <t>1 cup Rice puttu - or wheat puttu,1 Whole Egg,1 teaspoon Cumin seeds (Jeera),1/4 teaspoon Mustard seeds,1 sprig Curry leaves,1 pinch Turmeric powder (Haldi),2 Green Chilli - slit/cut,1/4 teaspoon Black Urad Dal (Split),2 teaspoon Sunflower Oil,Salt - to taste</t>
  </si>
  <si>
    <t xml:space="preserve">To prepare Kerala Style Puttu Upma Recipe With Scrambled Eggs, heat oil in a kadai on medium heat, add the mustard seeds and allow them to crackle, next add the cumin seeds and allow them to sizzle. To this add urad dal and saute till it turns into a light brown colour. Now add green chilli, curry leaves, turmeric powder and crack open the egg and scramble it for about half a minute.Once the eggs are nicely scrambled, add the crumbled puttu.Add salt and mix well. Sprinkle some water and mix well. Close with a lid and cook on low flame for a minute. This will make the puttu softer.Serve Kerala Style Puttu Upma Recipe With Scrambled Eggs along with a Cocoa Banana Almond Date Smoothie Recipe for a wholesome breakfast.
</t>
  </si>
  <si>
    <t xml:space="preserve">ചുരണ്ടിയ മുട്ടകൾക്കൊപ്പം കേരള സ്റ്റൈൽ പുട്ട് ഉപ്പുമാ പാചകക്കുറിപ്പ് തയ്യാറാക്കാൻ, ഇടത്തരം ചൂടിൽ കടായിയിൽ എണ്ണ ചൂടാക്കി കടുക് ചേർത്ത് പൊട്ടിക്കാൻ അനുവദിക്കുക, അടുത്തതായി ജീരകം ചേർത്ത് ഇളക്കാൻ അനുവദിക്കുക. ഇതിലേക്ക് ഉലുവ ചേർത്ത് ഇളം ബ്രൗൺ നിറമാകുന്നത് വരെ വഴറ്റുക. ഇനി പച്ചമുളക്, കറിവേപ്പില, മഞ്ഞൾപ്പൊടി എന്നിവ ചേർത്ത് മുട്ട പൊട്ടിച്ച് ഏകദേശം അര മിനിറ്റോളം സ്‌ക്രംബിൾ ചെയ്യുക. മുട്ട നന്നായി സ്‌ക്രംബ്ലിംഗ് ചെയ്തുകഴിഞ്ഞാൽ, പൊടിച്ച പുട്ടു ചേർക്കുക. ഉപ്പ് ചേർത്ത് നന്നായി ഇളക്കുക. കുറച്ച് വെള്ളം തളിച്ച് നന്നായി ഇളക്കുക. ഒരു ലിഡ് ഉപയോഗിച്ച് അടച്ച് ഒരു മിനിറ്റ് ചെറിയ തീയിൽ വേവിക്കുക. ഇത് പുട്ടിനെ മൃദുലമാക്കും. കേരള സ്‌റ്റൈൽ പുട്ട് ഉപ്പുമാ പാചകക്കുറിപ്പ് സ്‌ക്രാംബിൾഡ് എഗ്ഗ്‌സ് സഹിതം കൊക്കോ ബനാന ബദാം ഡേറ്റ് സ്മൂത്തി റെസിപ്പി സഹിതം ആരോഗ്യകരമായ പ്രഭാതഭക്ഷണത്തിന്.
</t>
  </si>
  <si>
    <t>http://www.archanaskitchen.com/kerala-style-puttu-upma-recipe-with-scrambled-eggs</t>
  </si>
  <si>
    <t>Sprouted Horse Gram Thoran Recipe - No Onion No Garlic</t>
  </si>
  <si>
    <t>മുളപ്പിച്ച കുതിര ഗ്രാം തോരൻ പാചകക്കുറിപ്പ് - ഉള്ളി ഇല്ല വെളുത്തുള്ളി ഇല്ല</t>
  </si>
  <si>
    <t>250 ഗ്രാം കുതിരപ്പയർ (കൊല്ലു/ കുളിത്) - മുളപ്പിച്ചത്, 1/2 കപ്പ് പുതിയ തേങ്ങ - വറ്റൽ, 1 പച്ചമുളക്, 1 ടീസ്പൂൺ ജീരകം (ജീര), 1/2 ഇഞ്ച് ഇഞ്ചി, 1 ടീസ്പൂൺ ജീരകം (ജീര), 1/4 ടീസ്പൂൺ മഞ്ഞൾപ്പൊടി (ഹാൽദി), 1/2 ടീസ്പൂൺ ചുവന്ന മുളക് - പാകത്തിന് അരിഞ്ഞുവച്ച കുരുമുളക് - 1/2 ടീസ്പൂൺ.</t>
  </si>
  <si>
    <t>250 grams Horse Gram Dal (Kollu/ Kulith) - Sprouted,1/2 cup Fresh coconut - grated,1 Green Chilli,1 teaspoon Cumin seeds (Jeera),1/2 inch Ginger,1 teaspoon Cumin seeds (Jeera),1/4 teaspoon Turmeric powder (Haldi),1/2 teaspoon Red Chilli powder,Salt - to taste,1 Tomato - chopped - optional</t>
  </si>
  <si>
    <t xml:space="preserve">To begin making Sprouted Horse Gram Thoran Recipe first sprout the horsegram if you are not buying store bought sprouts.Follow How to make SproutsAdd the horse gram sprouts into the pressure cooker, sprinkle some salt, and 3 tablespoons of water. Pressure cook it for 3 to 4 whistles and turn off the heat. Allow the pressure to release naturally. Grind coconut, green chilli, cumin seeds, ginger to a course paste with little water in a mixer grinder. Heat oil in pan, add the tomato and add the ground paste and mix. Stir in the turmeric powder and red chilli powder and saute for a minute.Add the sprouted horse gram dal and salt to taste and stir fry for a about a minute. Check the salt and adjust to taste accordingly.Transfer the Sprouted Horse Gram Thoran to a serving bowl and serve hot.Serve Sprouted Horse gram Thoran along with a Kerala Avial, Rasam, Rice and Homemade Yogurt for a nice sattvik meal. 
</t>
  </si>
  <si>
    <t xml:space="preserve">മുളപ്പിച്ച കുതിരത്തോരൻ റെസിപ്പി ഉണ്ടാക്കാൻ തുടങ്ങാൻ, നിങ്ങൾ കടയിൽ നിന്ന് വാങ്ങിയ മുളകൾ വാങ്ങുന്നില്ലെങ്കിൽ, ആദ്യം കുതിരപ്പായ മുളപ്പിക്കുക. മുളകൾ ഉണ്ടാക്കുന്ന വിധം പിന്തുടരുക, പ്രഷർ കുക്കറിൽ കുതിരപ്പായമുളകൾ ചേർക്കുക, കുറച്ച് ഉപ്പും 3 ടേബിൾസ്പൂൺ വെള്ളവും വിതറുക. 3 മുതൽ 4 വിസിൽ വരെ ഇത് പ്രഷർ ചെയ്ത് വേവിച്ച് തീ ഓഫ് ചെയ്യുക. സമ്മർദ്ദം സ്വാഭാവികമായി പുറത്തുവരാൻ അനുവദിക്കുക. തേങ്ങ, പച്ചമുളക്, ജീരകം, ഇഞ്ചി എന്നിവ മിക്‌സർ ഗ്രൈൻഡറിൽ കുറച്ച് വെള്ളമൊഴിച്ച് കോഴ്‌സ് പേസ്റ്റിലേക്ക് പൊടിക്കുക. ചട്ടിയിൽ എണ്ണ ചൂടാക്കി തക്കാളി ചേർത്ത് പൊടിച്ച പേസ്റ്റ് ചേർത്ത് ഇളക്കുക. മഞ്ഞൾപ്പൊടിയും ചുവന്ന മുളകുപൊടിയും ചേർത്ത് ഇളക്കി ഒരു മിനിറ്റ് വഴറ്റുക. മുളപ്പിച്ച കുതിരപ്പരിപ്പും രുചിക്ക് ഉപ്പും ചേർത്ത് ഒരു മിനിറ്റ് വറുക്കുക. ഉപ്പ് പരിശോധിച്ച് അതനുസരിച്ച് രുചി ക്രമീകരിക്കുക. മുളപ്പിച്ച കുതിരത്തോരൻ ഒരു സെർവിംഗ് പാത്രത്തിലേക്ക് മാറ്റി ചൂടോടെ വിളമ്പുക. ഒരു  കേരള അവിയൽ, രസം, ചോറ്  വീട്ടിലുണ്ടാക്കിയ തൈര്  എന്നിവയ്‌ക്കൊപ്പം ഒരു നല്ല സാത്വിക ഭക്ഷണത്തിനായി മുളപ്പിച്ച കുതിരത്തോരൻ വിളമ്പുക. 
</t>
  </si>
  <si>
    <t>https://www.archanaskitchen.com/sprouted-horsegram-thoran-recipe-no-onion-no-garlic</t>
  </si>
  <si>
    <t>Kaya Tholi Thoran Recipe (Raw Banana Thoran)</t>
  </si>
  <si>
    <t>കായ തോളി തോരൻ പാചകക്കുറിപ്പ് (പച്ച വാഴ തോരൻ)</t>
  </si>
  <si>
    <t>2 അസംസ്‌കൃത വാഴപ്പഴത്തോൽ, 1/4 ടീസ്പൂൺ മഞ്ഞൾപ്പൊടി (ഹാൽദി), 2 കപ്പ് വെള്ളം, ഉപ്പ്, 1/2 കപ്പ് പുതിയ തേങ്ങ - അരച്ചത്, 3 വെളുത്തുള്ളി - ഗ്രാമ്പൂ, 1/2 ടീസ്പൂൺ ജീരകം (ജീര), 4 പച്ചമുളക്, 6 ചെറുപയർ, ഉപ്പ്, 1 ടേബിൾസ്പൂൺ സൂര്യകാന്തി എണ്ണ, 1/4 ടീസ്പൂൺ മുളക്, 8 ടീസ്പൂൺ കടുക്</t>
  </si>
  <si>
    <t>2 Raw banana peel,1/4 teaspoon Turmeric powder (Haldi),2 cups Water,Salt,1/2 cup Fresh coconut - grated,3 Garlic - cloves,1/2 teaspoon Cumin seeds (Jeera),4 Green Chillies,6 Shallots,Salt,1 tablespoon Sunflower Oil,1/4 teaspoon Mustard seeds,2 Dry Red Chillies,8 Curry leaves</t>
  </si>
  <si>
    <t xml:space="preserve">To begin with, the Kaya Tholi Thoran Recipe, Remove the peel from raw plantain. Wash the peel thoroughly with water. Chop the plantain peel finely into pieces.Add turmeric powder and cook chopped plantain peel with 2 cups of water. Cook until they become tender. Drain the excess water from the peel.Meanwhile, grind coarsely all the ingredients mentioned under To Grind.In a small pan, heat oil over medium heat and add mustard seeds once the oil is hot.Add curry leaves, followed by red chilies once the seeds splutter.Add the grounded paste and cook until the raw smell goes off.Now, to the fried coconut mixture, add chopped plantain peel to the mixture and cook until moisture is completely absorbed.Serve the Kaya Tholi Thoran Recipe with cooked rice and puliserry for a yummy lunch.
</t>
  </si>
  <si>
    <t xml:space="preserve">ആരംഭിക്കുന്നതിന്, കായ തോളി തോരൻ പാചകക്കുറിപ്പ്, അസംസ്കൃത വാഴപ്പഴത്തിൽ നിന്ന് തൊലി നീക്കം ചെയ്യുക. തൊലി വെള്ളം ഉപയോഗിച്ച് നന്നായി കഴുകുക. വാഴത്തോൽ നന്നായി കഷണങ്ങളാക്കുക.മഞ്ഞൾപ്പൊടി ചേർത്ത് 2 കപ്പ് വെള്ളം ചേർത്ത് അരിഞ്ഞ വാഴത്തോൽ വേവിക്കുക. അവ മൃദുവാകുന്നതുവരെ വേവിക്കുക. തൊലിയിലെ അധിക വെള്ളം ഊറ്റിയെടുക്കുക.അതിനിടെ, പൊടിക്കാൻ താഴെ പറഞ്ഞിരിക്കുന്ന എല്ലാ ചേരുവകളും നന്നായി പൊടിക്കുക. ഒരു ചെറിയ പാനിൽ, ഇടത്തരം ചൂടിൽ എണ്ണ ചൂടാക്കി, എണ്ണ ചൂടായ ശേഷം കടുക് ചേർക്കുക. കറിവേപ്പില ചേർക്കുക, ശേഷം ചുവന്ന മുളക് വിത്ത് തെറിച്ചുകഴിഞ്ഞാൽ. പൊടിച്ച പേസ്റ്റ് ചേർത്ത്, പച്ച മണം മാറുന്നത് വരെ വേവിക്കുക. മിശ്രിതത്തിലേക്ക് തൊലി കളഞ്ഞ് ഈർപ്പം പൂർണ്ണമായും ആഗിരണം ചെയ്യുന്നതുവരെ വേവിക്കുക. പാകം ചെയ്ത ചോറും പുളിശേരിയും ചേർത്ത് കായ തോളി തോരൻ പാചകക്കുറിപ്പ് ഒരു സ്വാദിഷ്ടമായ ഉച്ചഭക്ഷണത്തിനായി വിളമ്പുക.
</t>
  </si>
  <si>
    <t>http://www.archanaskitchen.com/kaya-tholi-thoran-recipe</t>
  </si>
  <si>
    <t>Andi Unda (Kerala Special Cashew &amp; Rice Balls) Recipe</t>
  </si>
  <si>
    <t>ആണ്ടി ഉണ്ട (കേരള സ്പെഷ്യൽ കശുവണ്ടി &amp; അരി ഉരുളകൾ) റെസിപ്പി</t>
  </si>
  <si>
    <t>1/2 കപ്പ് ചുവന്ന മട്ട അരി, 1 കപ്പ് കശുവണ്ടിപ്പരിപ്പ് - ഉപ്പില്ലാത്തത്, 1 കപ്പ് ശർക്കര - പൊടിച്ച അല്ലെങ്കിൽ തവിട്ട് പഞ്ചസാര, 1 കപ്പ് ഉണങ്ങിയ തേങ്ങ (കൊപ്ര)</t>
  </si>
  <si>
    <t>1/2 cup Red matta rice,1 cup Cashew nuts - unsalted,1 cup Jaggery - powdered or brown sugar,1 cup Dry coconut (kopra)</t>
  </si>
  <si>
    <t xml:space="preserve">To begin making the Andi Unda recipe, roast the red matta rice in a wide pan without oil. The rice will become crispy and starts crackling. Once you start hearing the sound of crackle, take it off the stove and let it cool on a flat plate.In the same wide pan, add the cashew-nuts and dry roast them until they turn brown. Take care not to burn or black them. Once roasted, spread them on a flat plate to cool down.In a mixer grinder, first, grind the rice to a fine powder. Next grind the cashew-nuts. Do not run the mixer continuously, it will result in cashew butter, we don't need cashew paste, we need powdered cashews, so just pulse it 4-5 times.Mix powdered cashews, powdered rice, powdered jaggery and coconut together. Transfer the mixture to a mixer grinder and pulse them together 4-5 times to mix it well. This will help to bind them easily into balls.Transfer the contents to a clean bowl, take fist pull of powder and start making balls by pressing it tightly in your palms, shaping them like laddus. Keep the balls in a clean flat plate. Follow the same process with the remaining mixture.Andi Unda tastes best within 2-3 days. If you are planning to store for more days, then keep them in an air-tight container in the refrigerator. But then too, it is best to consume them within a week or 10 days.Serve them as a snack during hunger-pangs or even as a regular addition to your kids lunch box to improve their nutrient intake.
</t>
  </si>
  <si>
    <t xml:space="preserve">അണ്ടി ഉണ്ട റെസിപ്പി ഉണ്ടാക്കാൻ തുടങ്ങാൻ, ചുവന്ന മട്ട അരി ഒരു വിശാലമായ പാനിൽ എണ്ണയില്ലാതെ വറുത്തു കോരുക. ചോറ് ക്രിസ്പി ആകുകയും പൊട്ടിക്കാൻ തുടങ്ങുകയും ചെയ്യും. പൊട്ടുന്ന ശബ്ദം കേൾക്കാൻ തുടങ്ങിയാൽ, അത് സ്റ്റൗവിൽ നിന്ന് ഇറക്കി ഒരു പരന്ന പ്ലേറ്റിൽ തണുക്കാൻ അനുവദിക്കുക. അതേ വിശാലമായ പാനിൽ കശുവണ്ടിപ്പരിപ്പ് ചേർത്ത് ബ്രൗൺ നിറമാകുന്നതുവരെ വറുത്ത് വറുക്കുക. അവ കത്തുകയോ കറുപ്പിക്കുകയോ ചെയ്യാതിരിക്കാൻ ശ്രദ്ധിക്കുക. വറുത്തു കഴിഞ്ഞാൽ, തണുക്കാൻ ഒരു പരന്ന പ്ലേറ്റിൽ പരത്തുക. ഒരു മിക്സർ ഗ്രൈൻഡറിൽ, ആദ്യം, അരി നല്ല പൊടിയായി പൊടിക്കുക. അടുത്തതായി കശുവണ്ടിപ്പരിപ്പ് പൊടിക്കുക. മിക്‌സർ തുടർച്ചയായി പ്രവർത്തിപ്പിക്കരുത്, അത് കശുവണ്ടിപ്പരിപ്പിന് കാരണമാകും, നമുക്ക് കശുവണ്ടി പേസ്റ്റ് ആവശ്യമില്ല, കശുവണ്ടി പൊടിച്ചത് ആവശ്യമാണ്, അതിനാൽ ഇത് 4-5 തവണ പൾസ് ചെയ്യുക. പൊടിച്ച കശുവണ്ടി, പൊടിച്ച അരി, പൊടിച്ച ശർക്കര, തേങ്ങ എന്നിവ ഒരുമിച്ച് ഇളക്കുക. മിശ്രിതം ഒരു മിക്സർ ഗ്രൈൻഡറിലേക്ക് മാറ്റി നന്നായി ഇളക്കുന്നതിന് 4-5 പ്രാവശ്യം പൾസ് ചെയ്യുക. ഇത് അവയെ എളുപ്പത്തിൽ ബോളുകളായി ബന്ധിപ്പിക്കാൻ സഹായിക്കും. വൃത്തിയുള്ള ഒരു പാത്രത്തിലേക്ക് ഉള്ളടക്കങ്ങൾ മാറ്റുക, പൊടി മുഷ്ടി വലിച്ചെടുത്ത് നിങ്ങളുടെ കൈപ്പത്തിയിൽ മുറുകെപ്പിടിച്ച് ലഡ്ഡു പോലെ രൂപപ്പെടുത്തിക്കൊണ്ട് പന്തുകൾ ഉണ്ടാക്കാൻ തുടങ്ങുക. വൃത്തിയുള്ള ഫ്ലാറ്റ് പ്ലേറ്റിൽ പന്തുകൾ സൂക്ഷിക്കുക. ബാക്കിയുള്ള മിശ്രിതം ഉപയോഗിച്ച് അതേ പ്രക്രിയ പിന്തുടരുക. 2-3 ദിവസത്തിനുള്ളിൽ ആണ്ടി ഉണ്ടയ്ക്ക് മികച്ച രുചി ലഭിക്കും. കൂടുതൽ ദിവസത്തേക്ക് സൂക്ഷിക്കാൻ നിങ്ങൾ ആഗ്രഹിക്കുന്നുവെങ്കിൽ, അവ എയർടൈറ്റ് കണ്ടെയ്നറിൽ റഫ്രിജറേറ്ററിൽ സൂക്ഷിക്കുക. എന്നാൽ, അവ ഒരാഴ്ചയ്‌ക്കോ 10 ദിവസത്തിനോ ഉള്ളിൽ കഴിക്കുന്നതാണ് നല്ലത്. വിശപ്പുള്ള സമയത്ത് ലഘുഭക്ഷണമായോ അല്ലെങ്കിൽ നിങ്ങളുടെ കുട്ടികളുടെ ലഞ്ച് ബോക്‌സിന് അവരുടെ പോഷകാംശം മെച്ചപ്പെടുത്തുന്നതിന് ഒരു സാധാരണ കൂട്ടിച്ചേർക്കലായി പോലും അവ വിളമ്പുക.
</t>
  </si>
  <si>
    <t>https://www.archanaskitchen.com/andi-unda-kerala-special-cashew-rice-balls-recipe</t>
  </si>
  <si>
    <t>Chemmeen Muringakka Curry Recipe -Prawn Drumstick Curry</t>
  </si>
  <si>
    <t>ചെമ്മീൻ മുരിങ്ങക്കാക്ക കറി -Prawn Drumstick Curry</t>
  </si>
  <si>
    <t>1 സവാള - അരിഞ്ഞത്, 4 അല്ലി വെളുത്തുള്ളി - 2 ടേബിൾസ്പൂൺ മല്ലിയില (ധാനിയ) വിത്ത്, 1 ടീസ്പൂൺ ജീരകം (ജീര), 1/4 കപ്പ് പുതിയ തേങ്ങ - അരച്ചത്, 4 ഉണങ്ങിയ ചുവന്ന മുളക്, 1/2 ടീസ്പൂൺ മഞ്ഞൾപൊടി (ഹാൽദി), 300 ഗ്രാം കൊഞ്ച് - തൊലികളഞ്ഞ് - 1 പച്ചമുളക് - 3 കഷണങ്ങളായി മുറിച്ചത് അരിഞ്ഞത്, 1 സവാള - 1/2 ടീസ്പൂൺ ചുവന്ന മുളക് പൊടി, 1 ടീസ്പൂൺ കടുക്, 1 തണ്ട് കറിവേപ്പില, വെളിച്ചെണ്ണ - പാചകത്തിന്, ഉപ്പ് - പാകത്തിന്</t>
  </si>
  <si>
    <t>1 Onion - chopped,4 cloves Garlic - chopped,2 tablespoon Coriander (Dhania) Seeds,1 teaspoon Cumin seeds (Jeera),1/4 cup Fresh coconut - grated,4 Dry Red Chillies,1/2 teaspoon Turmeric powder (Haldi),300 grams Prawns - shells removed and deveined,1 Drumstick - cut into 3 inch pieces,1 Green Chilli - slit,1 Onion - sliced,1/2 teaspoon Red Chilli powder,1 teaspoon Mustard seeds,1 sprig Curry leaves,Coconut Oil - for cooking,Salt - to taste</t>
  </si>
  <si>
    <t xml:space="preserve">To begin making the Chemmeen Muringakka Curry Recipe/ Prawn &amp; Drumstick Curry, we will first pressure cook the drumstick in a pressure cooker, with 2 tablespoons of water and  a pinch of salt for just 2 whistles. After 2 whistles turn off the heat and release the pressure immediately. Releasing the pressure immediately, will retain the fresh green color of the drumstick. To make the ground masala for the Chemmeen Muringakka CurryHeat a pan along with a teaspoon of oil over medium heat; add the cumin seeds, coriander seeds, dry red chillies and saute for 2 minutes till you get a roasted aroma and the seeds get crackling.Add in chopped garlic and onions into the pan. Saute until the onions turn translucent and soft.Stir in the grated coconut and turmeric powder and saute until the coconut changes the colour slightly. This will take about 2 to 3 minutes.Once it has sautéed well, turn off the heat and allow the masala to cool.Once the above ingredients are cooled, add it into a grinder along with a little water to make a smooth paste. Keep this aside.To make the curryHeat a kadai with coconut oil, add mustard seeds and allow it to crackle for few seconds. Add in curry leaves and allow it to crackle for few seconds.Add in sliced onions and sauté till they turn translucent, add in chopped green chillies and sauté for another 2 minutes.Add the ground coconut onion paste and mix. Stir in 1 cup of water and bring the mixture to a brisk boil.At this stage, drop in the washed and cleaned prawns, cooked drumstick, sprinkle red chilli powder and salt to taste. Simmer the Chemmeen Muringakka Curry for at least 10 minutes until the prawns are well done.Check the salt and spices and adjust to taste accordingly. Turn off the heat and transfer the Chemmeen Muringakka Curry to a serving bowl and serve hot.Serve the Chemmeen Muringakka Curry/ Prawn &amp; Drumstick Curry along with steamed or ghee rice, or with some flaky Kerala parotta and Meen Varuthathu to make your Sunday lunch special.
</t>
  </si>
  <si>
    <t xml:space="preserve">ചെമ്മീൻ മുരിങ്ങക്ക കറി പാചകരീതി/ പ്രോൺ &amp; ഡ്രംസ്റ്റിക് കറി ഉണ്ടാക്കാൻ തുടങ്ങാൻ, ഞങ്ങൾ ആദ്യം ഒരു പ്രഷർ കുക്കറിൽ 2 ടേബിൾസ്പൂൺ വെള്ളവും  ഒരു നുള്ള് ഉപ്പും ചേർത്ത് വെറും 2 വിസിലുകളോടെ മുരിങ്ങക്കറി പാകം ചെയ്യും. 2 വിസിലുകൾക്ക് ശേഷം തീ ഓഫ് ചെയ്ത് പ്രഷർ ഉടൻ വിടുക. മർദ്ദം ഉടനടി ഒഴിവാക്കുന്നത് മുരിങ്ങയുടെ പുതിയ പച്ച നിറം നിലനിർത്തും. ചെമ്മീൻ മുരിങ്ങക്ക കറിക്ക് വേണ്ടി പൊടിച്ച മസാല ഉണ്ടാക്കാൻ ഒരു പാൻ ഇടത്തരം ചൂടിൽ ഒരു ടീസ്പൂൺ എണ്ണയും ചേർത്ത് ചൂടാക്കുക; ജീരകം, മല്ലിയില, ഉണങ്ങിയ ചുവന്ന മുളക് എന്നിവ ചേർത്ത് വറുത്ത മണം ലഭിക്കുന്നതുവരെ 2 മിനിറ്റ് വഴറ്റുക, വിത്തുകൾ പൊട്ടിച്ചെടുക്കുക. അരിഞ്ഞ വെളുത്തുള്ളിയും ഉള്ളിയും ചട്ടിയിൽ ചേർക്കുക. ഉള്ളി അർദ്ധസുതാര്യവും മൃദുവും ആകുന്നത് വരെ വഴറ്റുക. തേങ്ങ അരച്ചതും മഞ്ഞൾ പൊടിയും ചേർത്ത് ഇളക്കി തേങ്ങയുടെ നിറം ചെറുതായി മാറുന്നത് വരെ വഴറ്റുക. ഇത് ഏകദേശം 2 മുതൽ 3 മിനിറ്റ് വരെ എടുക്കും. ഇത് നന്നായി വഴന്നു കഴിഞ്ഞാൽ, തീ ഓഫ് ചെയ്ത് മസാല തണുക്കാൻ അനുവദിക്കുക. മുകളിൽ പറഞ്ഞ ചേരുവകൾ തണുത്തു കഴിഞ്ഞാൽ, ഒരു മിനുസമാർന്ന പേസ്റ്റ് ഉണ്ടാക്കാൻ അല്പം വെള്ളത്തോടൊപ്പം ഒരു ഗ്രൈൻഡറിൽ ചേർക്കുക. ഇത് മാറ്റിവെക്കുക.കറി വെളിച്ചെണ്ണയിൽ കടായി ചൂടാക്കാൻ, കടുക് ചേർത്ത് കുറച്ച് നിമിഷങ്ങൾ പൊട്ടിക്കാൻ അനുവദിക്കുക. കറിവേപ്പില ചേർത്ത് കുറച്ച് നിമിഷങ്ങൾ പൊട്ടിക്കാൻ അനുവദിക്കുക. ഉള്ളി അരിഞ്ഞത് ചേർത്ത് അർദ്ധസുതാര്യമാകുന്നതുവരെ വഴറ്റുക, അരിഞ്ഞ പച്ചമുളക് ചേർത്ത് 2 മിനിറ്റ് കൂടി വഴറ്റുക. അരച്ച തേങ്ങ ഉള്ളി പേസ്റ്റ് ചേർത്ത് ഇളക്കുക. 1 കപ്പ് വെള്ളത്തിൽ ഇളക്കി മിശ്രിതം തിളപ്പിക്കുക. ഈ ഘട്ടത്തിൽ, കഴുകി വൃത്തിയാക്കിയ ചെമ്മീൻ, വേവിച്ച മുരിങ്ങയില, ചുവന്ന മുളകുപൊടി, ഉപ്പ് എന്നിവ വിതറുക. ചെമ്മീൻ മുരിങ്ങക്ക കറി കുറഞ്ഞത് 10 മിനിറ്റെങ്കിലും ചെമ്മീൻ നന്നായി വേവുന്നത് വരെ വേവിക്കുക. ഉപ്പും മസാലയും പരിശോധിച്ച് അതിനനുസരിച്ച് രുചി ക്രമീകരിക്കുക. ചൂട് ഓഫ് ചെയ്ത് ചെമ്മീൻ മുരിംഗക്ക കറി ഒരു സേവിക്കുന്ന പാത്രത്തിലേക്ക് മാറ്റുകയും ചൂടോവയ്ക്കുകയും ചെയ്യുക.
</t>
  </si>
  <si>
    <t>http://www.archanaskitchen.com/chemmeen-muringakka-curry-recipe-prawn-drumstick-curry</t>
  </si>
  <si>
    <t>Mambhazam Pulissery Recipe</t>
  </si>
  <si>
    <t>മാമ്പഴം പുളിശ്ശേരി റെസിപ്പി</t>
  </si>
  <si>
    <t>2 മാമ്പഴം (പഴുത്തത്) - ഇടത്തരം സമചതുരയായി അരിഞ്ഞത്, 1 ടേബിൾസ്പൂൺ വെളിച്ചെണ്ണ, 1/2 ടീസ്പൂൺ മഞ്ഞൾപ്പൊടി (ഹാൽദി), ഉപ്പ് - പാകത്തിന്, 1/2 കപ്പ് പുതിയ തേങ്ങ - അരച്ചത്, 1 കപ്പ് തൈര് (ദാഹി / തൈര്) - കട്ടിയുള്ളതും പുളിച്ചതും, 1/2 ടീസ്പൂൺ ജീരകം, 1 ടീസ്പൂൺ മ്യൂക്കൺ, 1 ടീസ്പൂൺ കോക്കോൺ, 1 ടീസ്പൂൺ. വിത്തുകൾ, 1/4 ടീസ്പൂണ് വെള്ള ഉരദാ ദാൽ (പിളർന്നത്), 2 തണ്ട് കറിവേപ്പില, 1/2 ടീസ്പൂൺ മേത്തിപ്പൊടി (ഉലുവപ്പൊടി), 2 തണ്ട് കറിവേപ്പില, 2 ഉണങ്ങിയ ചുവന്ന മുളക്</t>
  </si>
  <si>
    <t>2 Mango (Ripe) - cut into medium sized cubes,1 tablespoon Coconut Oil,1/2 teaspoon Turmeric powder (Haldi),Salt - to taste,1/2 cup Fresh coconut - grated,1 cup Curd (Dahi / Yogurt) - thick and sour,1/2 teaspoon Cumin seeds (Jeera),3 Green Chillies,1 teaspoon Coconut Oil,1/4 teaspoon Mustard seeds,1/4 teaspoon White Urad Dal (Split),2 sprig Curry leaves,1/2 teaspoon Methi Powder (Fenugreek Powder),2 sprig Curry leaves,2 Dry Red Chillies</t>
  </si>
  <si>
    <t xml:space="preserve">To begin with Mambazha Pulissery, in a kadai, add, coconut oil, turmeric powder, salt, mangoes and a cup of water. Cook them over medium flame until the mango pieces become soft.Stir them often to avoid sticking at the bottom of the pan. The gravy becomes thickened once cooled down. Hence, adjust water level as per your required consistency.Once mango pieces are cooked, gently mash them with the back of the ladle.In a mixer, combine coconut, yogurt, cumin seeds, curry leaves add all of them and ground them to fine smooth pasteAdd the grounded paste to the mango gravy and cook over medium flame until the raw smell of the paste leaves, about 8-10 minutes.Switch off the flame and keep the gravy aside.In a small pan, add coconut oil and add mustard seeds, urad dal, curry leaves and wait till the mustard seeds splutter.Add seasoning to the Pulissery. Allow the gravy to settle down for about 20 minutesSeason the gravy with the roasted fenugreek powder at the time of servingServe your Mambazha Pulissery with Steamed Rice, Cabbage And Carrot Thoran Recipe, and Elai Vadam Recipe (A Traditional South Indian Rice Papad) for a complete South Indian meal. 
</t>
  </si>
  <si>
    <t xml:space="preserve">മാമ്പഴ പുളിശ്ശേരിയിൽ തുടങ്ങാൻ, ഒരു കടയിൽ, വെളിച്ചെണ്ണ, മഞ്ഞൾപൊടി, ഉപ്പ്, മാങ്ങ, ഒരു കപ്പ് വെള്ളം എന്നിവ ചേർക്കുക. മാങ്ങ കഷണങ്ങൾ മൃദുവാകുന്നത് വരെ ഇടത്തരം തീയിൽ വേവിക്കുക. ചട്ടിയുടെ അടിയിൽ ഒട്ടിപ്പിടിക്കുന്നത് ഒഴിവാക്കാൻ ഇടയ്ക്കിടെ ഇളക്കുക. ഗ്രേവി തണുത്തു കഴിഞ്ഞാൽ കട്ടിയാകും. അതിനാൽ, ആവശ്യാനുസരണം ജലനിരപ്പ് ക്രമീകരിക്കുക. മാങ്ങാ കഷണങ്ങൾ വേവിച്ചുകഴിഞ്ഞാൽ, ലാഡിൻറെ പിൻഭാഗത്ത് മൃദുവായി മാഷ് ചെയ്യുക. ഒരു മിക്സിയിൽ, തേങ്ങ, തൈര്, ജീരകം, കറിവേപ്പില ഇവയെല്ലാം ചേർത്ത് നന്നായി മിനുസമാർന്ന പേസ്റ്റ് മാങ്ങാ ഗ്രേവിയിൽ ചേർത്ത് മിതമായ തീയിൽ വേവിക്കുക. തീ കൊളുത്തി ഗ്രേവി മാറ്റി വയ്ക്കുക.ഒരു ചെറിയ പാനിൽ വെളിച്ചെണ്ണ ഒഴിച്ച് കടുക്, ഉലുവ, കറിവേപ്പില എന്നിവ ചേർത്ത് കടുക് പൊട്ടിക്കുന്നത് വരെ കാത്തിരിക്കുക.പുളിശ്ശേരിയിൽ താളിക്കുക. ഗ്രേവി ഏകദേശം 20 മിനിറ്റ് നേരം വറുത്തെടുക്കുക 
</t>
  </si>
  <si>
    <t>http://www.archanaskitchen.com/mambhazam-pulissery-recipe</t>
  </si>
  <si>
    <t>Kerala Style Varutharacha Mutton Curry Recipe</t>
  </si>
  <si>
    <t>500 ഗ്രാം മട്ടൺ, 1/2 കപ്പ്, തക്കാളി, 1/3 കപ്പ്, 2 തണ്ട് കറിവേപ്പില, 1 പച്ചമുളക്, 1 ടീസ്പൂൺ ജീരകം (ജീര), 1/4 ടീസ്പൂൺ മഞ്ഞൾപൊടി (ഹാൽഡി), 1 ടേബിൾസ്പൂൺ ചുവന്ന മുളകുപൊടി, പുതിയ തേങ്ങ - കുറച്ച് കഷണങ്ങൾ, ഉപ്പ് - 1 ടേബിൾസ്പൂൺ ചുവന്ന മുളക്, 1 ടേബിൾസ്പൂൺ മല്ലിപ്പൊടി മുളക്, 8 അല്ലി വെളുത്തുള്ളി, 2 ഇഞ്ച് ഇഞ്ചി, 1 ടീസ്പൂൺ ജീരകം (ജീര), 1 ടീസ്പൂൺ പെരുംജീരകം (സൗൺഫ്), 1-1/2 ടീസ്പൂൺ മുഴുവൻ കുരുമുളക്, 1 ഇഞ്ച് കറുവപ്പട്ട (ഡാൽചിനി), 3 ഗ്രാമ്പൂ (ലൗംഗ്), 2 ഏലയ്ക്കാപ്പൊടി (ഇലച്ചി), 2 ഏലയ്ക്കാപ്പൊടി (ഏലയ്ക്കാപ്പൊടി) - 1 കപ്പ്, 1 കപ്പ്. ചെറുപയർ, 1 ടീസ്പൂൺ വെളിച്ചെണ്ണ</t>
  </si>
  <si>
    <t>500 grams Mutton,1/2 cup Shallots,1/3 cup Tomatoes,2 sprig Curry leaves,1 Green Chilli,1 teaspoon Cumin seeds (Jeera),1/4 teaspoon Turmeric powder (Haldi),1 tablespoon Red Chilli powder,Fresh coconut - few sliced pieces,Salt - to taste,1 tablespoon Coconut Oil,1 tablespoon Coriander (Dhania) Seeds,8 Dry Red Chillies,8 cloves Garlic,2 inch Ginger,1 teaspoon Cumin seeds (Jeera),1 teaspoon Fennel seeds (Saunf),1-1/2 teaspoon Whole Black Peppercorns,1 inch Cinnamon Stick (Dalchini),3 Cloves (Laung),2 Cardamom Powder (Elaichi),1 sprig Curry leaves,1/2 cup Fresh coconut - grated,1/2 cup Shallots,1 teaspoon Coconut Oil</t>
  </si>
  <si>
    <t xml:space="preserve">To prepare Kerala Varutharacha Mutton Curry Recipe, mash mutton pieces well. Add the mutton pieces into pressure cooker along with cumin seeds and little shallot slices, turmeric powder and salt. Add ½ cup water and pressure cook for 1 whistle.Now in a wok add 1 teaspoon coconut oil. Add shallots, ginger and garlic pieces and sauté for 2 minutes.  Remove it from the pan and keep aside. Add dried red chilies, coriander seeds, cumin seeds, fennel seeds, cinnamon, cloves, cardamom seeds, and roast.After add grated coconut and sauté till spices are roasted well and coconut turns golden brown. Make sure not to burn the spices. Remove from the pan.Transfer shallots, ginger garlic mix, roasted spice-coconut mix into a blender. Add little water and grind into smooth paste.In a wok add coconut oil. Saute sliced shallots until translucent. Add the coconut slices.Add the cooked mutton pieces and roast for 5 minutes.Next add tomato slices and continue to cook.After some time add red chili powder, salt to taste and mix.Add the ground masala paste and cook until oil separates from the sides of the pan.Add the water in which mutton was cooked into the wok and bring it to boil.Sprinkle curry leaves. Check for seasoning.Once fully cooked turn off flame and serve Kerala Varutharacha Mutton Curry Recipe hot with steamed rice.Serve Kerala Varutharacha Mutton Curry along with appam, idiyappam or rice for a weekend lunch or dinner.
</t>
  </si>
  <si>
    <t xml:space="preserve">കേരള വരുത്തരാച്ച മട്ടൺ കറി റെസിപ്പി തയ്യാറാക്കാൻ, മട്ടൺ കഷണങ്ങൾ നന്നായി മാഷ് ചെയ്യുക. മട്ടൺ കഷണങ്ങൾ പ്രഷർ കുക്കറിൽ ജീരകം, ചെറിയ കഷ്ണങ്ങൾ, മഞ്ഞൾപ്പൊടി, ഉപ്പ് എന്നിവ ചേർക്കുക. ½ കപ്പ് വെള്ളം ചേർത്ത് 1 വിസിൽ പ്രഷർ വേവിക്കുക. ഇപ്പോൾ ഒരു വോക്കിൽ 1 ടീസ്പൂൺ വെളിച്ചെണ്ണ ചേർക്കുക. ചെറുപയർ, ഇഞ്ചി, വെളുത്തുള്ളി കഷണങ്ങൾ എന്നിവ ചേർത്ത് 2 മിനിറ്റ് വഴറ്റുക.  ചട്ടിയിൽ നിന്ന് മാറ്റി വയ്ക്കുക. ഉണക്കമുളക്, മല്ലിയില, ജീരകം, പെരുംജീരകം, കറുവാപ്പട്ട, ഗ്രാമ്പൂ, ഏലക്ക, വറുത്ത് എന്നിവ ചേർക്കുക. തേങ്ങ അരച്ചത് ചേർത്ത് മസാലകൾ നന്നായി വറുത്ത് തേങ്ങ സ്വർണ്ണ തവിട്ട് നിറമാകുന്നതുവരെ വഴറ്റുക. സുഗന്ധവ്യഞ്ജനങ്ങൾ കത്തിക്കുന്നില്ലെന്ന് ഉറപ്പാക്കുക. ചട്ടിയിൽ നിന്ന് നീക്കം ചെയ്യുക. വെണ്ടയ്ക്ക, ഇഞ്ചി വെളുത്തുള്ളി മിക്സ്, വറുത്ത മസാല-തേങ്ങാ മിക്സ് എന്നിവ ഒരു ബ്ലെൻഡറിലേക്ക് മാറ്റുക. അല്പം വെള്ളം ചേർത്ത് മിനുസമാർന്ന പേസ്റ്റിലേക്ക് പൊടിക്കുക. ഒരു വോക്കിൽ വെളിച്ചെണ്ണ ചേർക്കുക. അരിഞ്ഞ സവാള അർദ്ധസുതാര്യമാകുന്നതുവരെ വഴറ്റുക. തേങ്ങാ കഷ്ണങ്ങൾ ചേർക്കുക. വേവിച്ച മട്ടൺ കഷണങ്ങൾ ചേർത്ത് 5 മിനിറ്റ് വറുക്കുക. അടുത്തതായി തക്കാളി കഷണങ്ങൾ ചേർത്ത് വേവിക്കുക. കുറച്ച് സമയത്തിന് ശേഷം ചുവന്ന മുളക് പൊടിയും പാകത്തിന് ഉപ്പും ചേർത്ത് ഇളക്കുക. പൊടിച്ച മസാല പേസ്റ്റ് ചേർത്ത് പാനിൻ്റെ വശങ്ങളിൽ നിന്ന് എണ്ണ വേർപെടുന്നത് വരെ വേവിക്കുക. മട്ടൺ വേവിച്ച വെള്ളം ചേർത്ത് തിളപ്പിക്കുക. താളിക്കുക പരിശോധിക്കുക. പൂർണ്ണമായി വേവിച്ച ശേഷം തീ ഓഫ് ചെയ്ത്, ആവിയിൽ വേവിച്ച ചോറിനൊപ്പം ചൂടോടെ കേരള വറത്തറച്ച മട്ടൺ കറി വിളമ്പുക. വാരാന്ത്യ ഉച്ചഭക്ഷണത്തിനോ അത്താഴത്തിനോ വേണ്ടി കേരള വറത്തറച്ച മട്ടൺ കറി, അപ്പം, ഇഡിയപ്പം അല്ലെങ്കിൽ അരിയ്‌ക്കൊപ്പം സേവിക്കുക.
</t>
  </si>
  <si>
    <t>https://www.archanaskitchen.com/kerala-varutharacha-mutton-curry-recipe</t>
  </si>
  <si>
    <t>Chena Kaya Erissery Recipe</t>
  </si>
  <si>
    <t>ചേന കായ എരിശ്ശേരി റെസിപ്പി</t>
  </si>
  <si>
    <t>250 ഗ്രാം ആനക്കയം (സുരൻ/സേനൈ/രതാലു) - തൊലികളഞ്ഞ് അരിഞ്ഞത്, 2 പച്ച ഏത്തപ്പഴം - തൊലികളഞ്ഞ് അരിഞ്ഞത്, 1/4 ടീസ്പൂൺ മഞ്ഞൾപൊടി (ഹാൽദി), 1/4 ടീസ്പൂൺ കശ്മീരി ചുവന്ന മുളകുപൊടി, 4-5 കുരുമുളക് പൊടി, 1 ടീസ്പൂൺ വെളിച്ചെണ്ണ, ഉപ്പ് - 1 കപ്പ് - 1 ടീസ്പൂൺ. (ജീര), 1/2 കപ്പ് വെള്ളം, 1/4 കപ്പ് പുതിയ തേങ്ങ - അരച്ചത്, 1 ടീസ്പൂൺ വെളിച്ചെണ്ണ, 1/2 ടീസ്പൂൺ ജീരകം (ജീര), 1/4 ടീസ്പൂൺ കടുക്, 1/4 ടീസ്പൂൺ മഞ്ഞൾപൊടി (ഹാൽദി), 1/4 ടീസ്പൂൺ ചുവന്ന മുളക്, 2 ഉണങ്ങിയ ചുവന്ന മുളക് - ചെറുതായി അരിഞ്ഞത്, 1 കറി കറിവേപ്പില</t>
  </si>
  <si>
    <t>250 grams Elephant yam (Suran/Senai/Ratalu) - peeled and chopped,2 Raw Banana - peeled and chopped,1/4 teaspoon Turmeric powder (Haldi),1/4 teaspoon Kashmiri Red Chilli Powder,4-5 Black pepper powder,1 teaspoon Coconut Oil,Salt - to taste,1 cup Fresh coconut - grated,1 teaspoon Cumin seeds (Jeera),1/2 cup Water,1/4 cup Fresh coconut - grated,1 teaspoon Coconut Oil,1/2 teaspoon Cumin seeds (Jeera),1/4 teaspoon Mustard seeds,1/4 teaspoon Turmeric powder (Haldi),1/4 teaspoon Red Chilli powder,2 Dry Red Chillies - cut into small pieces,1 sprig Curry leaves</t>
  </si>
  <si>
    <t xml:space="preserve">To begin the preparation of Chana Kaya Erissery, first soft boil the yam and raw banana, mash and keep them aside.Grind the coconut and jeera to a fine paste by adding water, little at a time. Heat a pan/kadai with oil and add the boiled and mashed vegetables. Add salt, turmeric powder, peppercorns, chilli powder and the ground coconut paste.Let it simmer for 3-4 minutes only ( adjust water levels) and switch off.In a small pan, heat the coconut oil and temper with cumin, mustard seeds and red chillies.When the mustard seeds splutter add the grated coconut.Add curry leaves, turmeric powder, chilli powder and fry the coconut till they turn crunchy and light brown. Switch off and pour this tempering over the erissery.Your delicious Chena Kaya Erissery is ready to be relished!
</t>
  </si>
  <si>
    <t xml:space="preserve">ചണക്കായ എരിശ്ശേരി തയ്യാറാക്കുന്നത് ആരംഭിക്കുന്നതിന്, ആദ്യം ചേനയും പച്ച വാഴപ്പഴവും മൃദുവായി തിളപ്പിച്ച്, ചതച്ച് മാറ്റി വയ്ക്കുക. തേങ്ങയും ജീരയും വെള്ളം ചേർത്ത് നന്നായി പേസ്റ്റ് രൂപത്തിലാക്കുക. ഒരു പാൻ/കടൈ എണ്ണ ഒഴിച്ച് ചൂടാക്കി വേവിച്ചതും പറിച്ചെടുത്തതുമായ പച്ചക്കറികൾ ചേർക്കുക. ഉപ്പ്, മഞ്ഞൾപൊടി, കുരുമുളക്, മുളകുപൊടി, അരച്ച തേങ്ങാ പേസ്റ്റ് എന്നിവ ചേർക്കുക. ഇത് 3-4 മിനിറ്റ് മാത്രം വേവിക്കുക (വെള്ളത്തിൻ്റെ അളവ് ക്രമീകരിക്കുക) സ്വിച്ച് ഓഫ് ചെയ്യുക. ഒരു ചെറിയ പാനിൽ വെളിച്ചെണ്ണ ചൂടാക്കി ജീരകം, കടുക്, ചുവന്ന മുളക് എന്നിവ ചേർക്കുക. ഇളം തവിട്ട്. സ്വിച്ച് ഓഫ് ചെയ്ത് എരിശ്ശേരിക്ക് മുകളിൽ ഈ ടെമ്പറിംഗ് ഒഴിക്കുക. നിങ്ങളുടെ സ്വാദിഷ്ടമായ ചേന കായ എരിശ്ശേരി ആസ്വദിക്കാൻ തയ്യാറാണ്!
</t>
  </si>
  <si>
    <t>http://www.archanaskitchen.com/chena-kaya-erissery-recipe</t>
  </si>
  <si>
    <t>Meen Peera (Kerala Style Fish Recipe With Shredded Coconut)</t>
  </si>
  <si>
    <t>മീൻ പീര (കേരള സ്റ്റൈൽ ഫിഷ് റെസിപ്പി, തേങ്ങ ചിരകിയത്)</t>
  </si>
  <si>
    <t>500 ഗ്രാം മത്തി മീൻ, 1 കപ്പ് പുതിയ തേങ്ങ അരച്ചത്, 10 ചെറുപയർ, 3 പച്ചമുളക്, 1/4 ടേബിൾസ്പൂൺ ചുവന്ന മുളക് - ചതച്ചത്, 2 ഇഞ്ച് ഇഞ്ചി, 3 അല്ലി വെളുത്തുള്ളി, 1/4 ടീസ്പൂൺ മേത്തിപ്പൊടി (ഉലുവപ്പൊടി), 1/4 ടീസ്പൂൺ മഞ്ഞൾപ്പൊടി (ഹൽദി, 1 ടീസ്പൂൺ) കോകം (മലബാർ പുളി) - കുതിർത്തത്, 2 കോകം (മലബാർ പുളി) - കറിക്ക്, ഉപ്പ് - പാകത്തിന്</t>
  </si>
  <si>
    <t>500 grams Sardine fish,1 cup Fresh coconut - grated,10 Shallots,3 Green Chillies,1/4 tablespoon Dry Red Chilli - crushed,2 inch Ginger,3 clove Garlic,1/4 teaspoon Methi Powder (Fenugreek Powder),1/4 teaspoon Turmeric powder (Haldi),1 teaspoon Coconut Oil - adjustable,1 sprig Curry leaves,1 Kokum (Malabar Tamarind) - soaked,2 Kokum (Malabar Tamarind) - for the curry,Salt - to taste</t>
  </si>
  <si>
    <t xml:space="preserve">To prepare Meen Peera (Kerala Style Fish Recipe with shredded coconut), wash and clean the sardines and marinate it with 1 small piece of kudampuli and salt. Keep aside for 10 minutes.Throw away the kudampuli and wash the fish under running water till cleaned well. Drain all the water. Cut each fish into 3 pieces for better incorporation of flavor.Add the cleaned sardines into a meen chatti (earthenware) or a pan. Keep aside.Crush or coarsely grind (if you are using a mixer grinder for this process, just pulse it 1 or 2 times till you get a coarsely crushed mixture) together coconut, ginger, garlic, green chilies, shallots, 2 to 3 curry leaves and crushed dry red chili.Add the coconut mix and 2 big pieces of kudampuli into the sardines and mix well. (I used my hands, but you could always use a wooden spoon to do this)Add salt, coconut oil, fenugreek powder, turmeric powder and the rest of the curry leaves and mix well.Now add a little water, just enough to cover the fish.Bring the mixture together with a wooden spoon and press down firmly.Cover with a lid and cook on a high flame. When the mixture is boiling, lower the flame and cook for about 5-6 minutes.Now continue to cook the fish with the lid slightly open. Sauté occasionally and cook till water has reduced.Open the lid completely and continue to cook the fish a medium high flame until most of the liquid has dried up. (Take care not to burn the dish).Serve Meen Peera (Kerala Style Fish Recipe with shredded coconut) with steamed rice and Whole wheat lachha paratha for a wholesome lunch.
</t>
  </si>
  <si>
    <t xml:space="preserve">മീൻ പീര (തേങ്ങ ചിരകിയ കേരള സ്റ്റൈൽ ഫിഷ് റെസിപ്പി) തയ്യാറാക്കാൻ മത്തി കഴുകി വൃത്തിയാക്കി 1 ചെറിയ കഷണം കുടംപുളിയും ഉപ്പും ചേർത്ത് മാരിനേറ്റ് ചെയ്യുക. 10 മിനിറ്റ് മാറ്റി വയ്ക്കുക. കുടംപുളി വലിച്ചെറിയുക, നന്നായി വൃത്തിയാക്കുന്നത് വരെ ഒഴുകുന്ന വെള്ളത്തിനടിയിൽ മത്സ്യം കഴുകുക. എല്ലാ വെള്ളവും ഒഴിക്കുക. മികച്ച രുചി സംയോജിപ്പിക്കുന്നതിന് ഓരോ മീനും 3 കഷണങ്ങളായി മുറിക്കുക. വൃത്തിയാക്കിയ മത്തി ഒരു മീൻ ചട്ടിയിലേക്കോ (മൺപാത്രം) അല്ലെങ്കിൽ ഒരു ചട്ടിയിലേക്കോ ചേർക്കുക. മാറ്റി വെയ്ക്കുക.ചതക്കുകയോ നന്നായി അരയ്ക്കുകയോ ചെയ്യുക (ഇതിനായി മിക്സർ ഗ്രൈൻഡറാണ് ഉപയോഗിക്കുന്നതെങ്കിൽ, ഒന്നോ രണ്ടോ തവണ നന്നായി ചതച്ച മിശ്രിതം ലഭിക്കുന്നത് വരെ) തേങ്ങ, ഇഞ്ചി, വെളുത്തുള്ളി, പച്ചമുളക്, ചെറുപയർ, 2 മുതൽ 3 വരെ കറിവേപ്പില, 2 മുതൽ 3 വരെ കറിവേപ്പില, ഉണക്കമുളക് എന്നിവ ചേർത്ത് നന്നായി ഇളക്കുക. (ഞാൻ എൻ്റെ കൈകൾ ഉപയോഗിച്ചു, പക്ഷേ നിങ്ങൾക്ക് ഇത് ചെയ്യാൻ എപ്പോഴും ഒരു മരം സ്പൂൺ ഉപയോഗിക്കാം) ഉപ്പ്, വെളിച്ചെണ്ണ, ഉലുവപ്പൊടി, മഞ്ഞൾപൊടി, ബാക്കി കറിവേപ്പില എന്നിവ ചേർത്ത് നന്നായി ഇളക്കുക. ഇപ്പോൾ കുറച്ച് വെള്ളം ചേർക്കുക, മത്സ്യം മൂടാൻ മതിയാകും. മിശ്രിതം ഒരു മരത്തവി ഉപയോഗിച്ച് കൊണ്ടുവന്ന് ദൃഢമായി അമർത്തുക. ഒരു ലിഡ് മൂടി ഉയർന്ന തീയിൽ വേവിക്കുക. മിശ്രിതം തിളച്ചുമറിയുമ്പോൾ, തീ താഴ്ത്തി ഏകദേശം 5-6 മിനിറ്റ് വേവിക്കുക. ഇപ്പോൾ ലിഡ് ചെറുതായി തുറന്ന് മീൻ പാകം ചെയ്യുന്നത് തുടരുക. ഇടയ്ക്കിടെ വഴറ്റുക, വെള്ളം കുറയുന്നത് വരെ വേവിക്കുക. ലിഡ് പൂർണ്ണമായും തുറന്ന്, ദ്രാവകത്തിൻ്റെ ഭൂരിഭാഗവും ഉണങ്ങുന്നത് വരെ മത്സ്യം ഇടത്തരം ഉയർന്ന തീയിൽ വേവിക്കുക. (വിഭവം കത്തിക്കാതിരിക്കാൻ ശ്രദ്ധിക്കുക).ആവിയിൽ വേവിച്ച അരിയും മുഴുവൻ ഗോതമ്പും ലച്ച പറത്തയും കൂടെ മീൻപീര (കേരള സ്‌റ്റൈൽ ഫിഷ് റെസിപ്പി തേങ്ങ ചിരകിയതിനൊപ്പം) ഉച്ചഭക്ഷണത്തിന് വിളമ്പുക.
</t>
  </si>
  <si>
    <t>http://www.archanaskitchen.com/meen-peera-kerala-style-fish-recipe-with-shredded-coconut</t>
  </si>
  <si>
    <t>Chenakayi Erissery Recipe - Yam Erissery</t>
  </si>
  <si>
    <t>2 കപ്പ് ആനക്കീറ (സുരൻ/സേനൈ/രതാലു) - നന്നായി ചുരണ്ടിയത്, കടിയ്ക്ക് പാകത്തിന് ക്യൂബ് ചെയ്യുക, 1/4 ടീസ്പൂൺ മഞ്ഞൾപ്പൊടി (ഹാൽദി), ഉപ്പ് - പാകത്തിന്, 1 കപ്പ് പുതിയ തേങ്ങ - അരച്ചത്, 3 പച്ചമുളക് - (ക്രമീകരിക്കുക), 1 ടീസ്പൂൺ ജീരകം (ജീര), 1 ടീസ്പൂൺ കോക്കൺ (ജീരകം), 1/2 ടീസ്പൂൺ. വിത്തുകൾ, 1 തണ്ട് കറിവേപ്പില</t>
  </si>
  <si>
    <t>2 cups Elephant yam (Suran/Senai/Ratalu) - scraped well and cubed to bite size,1/4 teaspoon Turmeric powder (Haldi),Salt - to taste,1 cup Fresh coconut - grated,3 Green Chillies - (adjust),1 teaspoon Cumin seeds (Jeera),1/2 teaspoon Whole Black Peppercorns,1 teaspoons Coconut Oil,1 teaspoon Mustard seeds,1 sprig Curry leaves</t>
  </si>
  <si>
    <t xml:space="preserve">To begin making the Chenakayi Erissery Recipe, prepare all the ingredients required to make this dish.Take a heavy bottomed pan, add yam along with little water, turmeric and salt. Cover the pan and cook till it becomes soft.Meanwhile, prepare the masala. Take half of the coconut mentioned along with cumin, pepper, green chilli and grind to a coarse paste adding 2-3 tablespoon of water. Keep it aside.When the yam pieces are cooked well, mash them lightly using the back of the ladle.To the semi-mashed yam pieces, add the ground masala, salt and sprinkle a little water (if the water added initially has dried out). Mix everything well. Keep the flame on low and cover and cook for 4-5 minutes so that all the flavors are infused. Meanwhile, heat another pan and toast the coconut on low flame until golden brown. Keep aside. Next, Prepare the tempering. Add coconut oil. When it is hot, add mustard seeds. Once they splutter, add curry leaves and switch off. Finally, mix both the roasted coconut and tempering to the Yam erissery and gently give a stir. Reserve a little amount of roasted coconut for garnish.Garnish with roasted coconut and serve Chenakayi Erissery Recipe along with Steamed Rice, Malabari Parotta and Kerala Kadala Curry Recipe.
</t>
  </si>
  <si>
    <t xml:space="preserve">ചേനക്കായ് എരിശ്ശേരി റെസിപ്പി ഉണ്ടാക്കാൻ തുടങ്ങാൻ, ഈ വിഭവം ഉണ്ടാക്കാൻ ആവശ്യമായ എല്ലാ ചേരുവകളും തയ്യാറാക്കുക. അടിയിൽ കട്ടിയുള്ള ഒരു പാത്രം എടുക്കുക, അല്പം വെള്ളം, മഞ്ഞൾ, ഉപ്പ് എന്നിവയ്‌ക്കൊപ്പം ചേന ചേർക്കുക. പാൻ മൂടി മൃദുവാകുന്നത് വരെ വേവിക്കുക. അതിനിടയിൽ മസാല തയ്യാറാക്കുക. ജീരകം, കുരുമുളക്, പച്ചമുളക് എന്നിവയ്‌ക്കൊപ്പം സൂചിപ്പിച്ച തേങ്ങയുടെ പകുതി എടുത്ത് 2-3 ടേബിൾസ്പൂൺ വെള്ളം ചേർത്ത് ഒരു നാടൻ പേസ്റ്റിലേക്ക് പൊടിക്കുക. ഇത് മാറ്റി വെയ്ക്കുക. ചേന കഷണങ്ങൾ നന്നായി പാകമാകുമ്പോൾ, ചട്ടിയുടെ പിൻഭാഗം ഉപയോഗിച്ച് ചെറുതായി മാഷ് ചെയ്യുക. പകുതി മാഷ് ചെയ്ത ചേന കഷണങ്ങളിലേക്ക്, പൊടിച്ച മസാലയും ഉപ്പും ചേർത്ത് കുറച്ച് വെള്ളം തളിക്കുക (ആദ്യം ചേർത്ത വെള്ളം വറ്റിപ്പോയെങ്കിൽ). എല്ലാം നന്നായി ഇളക്കുക. തീ കുറച്ച് വെച്ച് അടച്ച് 4-5 മിനിറ്റ് വേവിക്കുക, അങ്ങനെ എല്ലാ രുചികളും സന്നിവേശിപ്പിക്കപ്പെടും. അതിനിടയിൽ മറ്റൊരു പാൻ ചൂടാക്കി തേങ്ങ ചെറു തീയിൽ ഗോൾഡൻ ബ്രൗൺ നിറമാകുന്നത് വരെ വറുക്കുക. മാറ്റി വയ്ക്കുക. അടുത്തതായി, ടെമ്പറിംഗ് തയ്യാറാക്കുക. വെളിച്ചെണ്ണ ചേർക്കുക. ചൂടാകുമ്പോൾ കടുക് ചേർക്കുക. അവ തെറിച്ചുകഴിഞ്ഞാൽ, കറിവേപ്പില ചേർത്ത് സ്വിച്ച് ഓഫ് ചെയ്യുക. അവസാനം, വറുത്ത തേങ്ങയും തേങ്ങയും യാം എരിശ്ശേരിയിലേക്ക് മിക്സ് ചെയ്ത് പതുക്കെ ഇളക്കുക. വറുത്ത തേങ്ങ അൽപം അലങ്കരിക്കാൻ കരുതിവെക്കുക. വറുത്ത തേങ്ങ കൊണ്ട് അലങ്കരിച്ച് ചേനക്കായി എരിശ്ശേരി റെസിപ്പി, ആവിയിൽ വേവിച്ച ചോറ്, മലബാറി പറോട്ട, കേരള കടല കറി എന്നിവയ്‌ക്കൊപ്പം വിളമ്പുക.
</t>
  </si>
  <si>
    <t>http://www.archanaskitchen.com/chenakayi-erissery-recipe-yam-erissery</t>
  </si>
  <si>
    <t>Kerala Style Karamani Thoran Recipe - Yard Beans Stir Fry With Coconut</t>
  </si>
  <si>
    <t>കേരള സ്റ്റൈൽ കരമണി തോരൻ റെസിപ്പി - യാർഡ് ബീൻസ് തേങ്ങയോടൊപ്പം വറുക്കുക</t>
  </si>
  <si>
    <t>300 ഗ്രാം ഗ്രീൻ ചൗളി ബീൻസ് (മുറ്റം നീളമുള്ള ബീൻസ്/കരമണി/ബർബത്തി) - അരിഞ്ഞത്, 1 ടീസ്പൂൺ വെളിച്ചെണ്ണ, 1 ടീസ്പൂൺ കടുക്, 1 ടീസ്പൂൺ ജീരകം (ജീര), 8 കറിവേപ്പില, 1/2 ടീസ്പൂൺ മഞ്ഞൾപൊടി (ഹാൽദി), 1/4 കപ്പ് പുതിയ തേങ്ങ - ഗ്രേറ്റ്, 2 പച്ചമുളക് - 2 പച്ചമുളക് വരെ.</t>
  </si>
  <si>
    <t>300 grams Green Chawli Beans (Yard long beans/Karamani/Barbati) - chopped,1 teaspoon Coconut Oil,1 teaspoon Mustard seeds,1 teaspoon Cumin seeds (Jeera),8 Curry leaves,1/2 teaspoon Turmeric powder (Haldi),1/4 cup Fresh coconut - grated,2 Green Chillies,2 sprig Curry leaves,Salt - to taste</t>
  </si>
  <si>
    <t xml:space="preserve">To begin making the Kerala Style Karamani Thoran Recipe, blend all the ingredients "to be ground" including coconut, green chillies, curry leaves, salt in a mixer grinder and make a coarse paste. Keep it aside.In a heavy bottom pan, add mustard seeds, cumin seeds, and allow it to crackle. When they crackle, add curry leaves.Add chopped yard beans, the ground coconut mixture and give it a stir.Add salt to taste and stir fry for about 3 to 4 minutes until the Karamani is well incorporated. Once done, serve warm.Serve the Kerala Style Karamani Thoran Recipe along withMixed Vegetable Sambar, Steamed Rice and South Indian Papad to enjoy your everyday meal.
</t>
  </si>
  <si>
    <t xml:space="preserve">കേരള സ്‌റ്റൈൽ കരമണി തോരൻ റെസിപ്പി ഉണ്ടാക്കാൻ തുടങ്ങുന്നതിന്, തേങ്ങ, പച്ചമുളക്, കറിവേപ്പില, ഉപ്പ് എന്നിവയുൾപ്പെടെ എല്ലാ ചേരുവകളും മിക്‌സർ ഗ്രൈൻഡറിൽ യോജിപ്പിച്ച് നാടൻ പേസ്റ്റ് ഉണ്ടാക്കുക. ഇത് മാറ്റിവെക്കുക.ഒരു കട്ടിയുള്ള പാത്രത്തിൽ കടുക്, ജീരകം എന്നിവ ചേർത്ത് പൊട്ടിക്കാൻ അനുവദിക്കുക. പൊട്ടിക്കുമ്പോൾ കറിവേപ്പില ചേർക്കുക.അരിഞ്ഞ മുറ്റം ബീൻസ്, തേങ്ങ അരച്ച മിശ്രിതം എന്നിവ ചേർത്ത് ഇളക്കുക. ആവശ്യത്തിന് ഉപ്പ് ചേർത്ത് കരമണി നന്നായി ചേരുന്നത് വരെ ഏകദേശം 3 മുതൽ 4 മിനിറ്റ് വരെ വഴറ്റുക. ചെയ്തുകഴിഞ്ഞാൽ, ഊഷ്മളമായി വിളമ്പുക. നിങ്ങളുടെ ദൈനംദിന ഭക്ഷണം ആസ്വദിക്കാൻ മിക്‌സ്ഡ് വെജിറ്റബിൾ സാമ്പാർ, ആവിയിൽ വേവിച്ച ചോറ്, ദക്ഷിണേന്ത്യൻ പപ്പഡ് എന്നിവയ്‌ക്കൊപ്പം കേരള സ്റ്റൈൽ കരമണി തോരൻ പാചകക്കുറിപ്പ് സേവിക്കുക.
</t>
  </si>
  <si>
    <t>https://www.archanaskitchen.com/kerala-style-karamani-thoran-recipe-yard-beans-stir-fry-with-coconut</t>
  </si>
  <si>
    <t>Nadan Tomato Curry Recipe (Kerala Style Tomato Curry)</t>
  </si>
  <si>
    <t>നാടൻ തക്കാളി കറി പാചകക്കുറിപ്പ് (കേരള സ്റ്റൈൽ തക്കാളി കറി)</t>
  </si>
  <si>
    <t>5 തക്കാളി - ചെറുതായി അരിഞ്ഞത്, 2 പച്ചമുളക് - അരിഞ്ഞത്, 1/4 ടീസ്പൂൺ മഞ്ഞൾപൊടി (ഹാൽദി), 1/2 ടീസ്പൂൺ ചുവന്ന മുളകുപൊടി, ഉപ്പ് - ആവശ്യത്തിന്, 1 ടീസ്പൂൺ വെളിച്ചെണ്ണ, 1/2 ടീസ്പൂൺ കടുക്, 1 തണ്ട് കറിവേപ്പില, 1/4 കപ്പ് പുതിയ തേങ്ങ - 1 ടീസ്പൂൺ ജീരകം - 5 ടീസ്പൂൺ. പകുതിയായി</t>
  </si>
  <si>
    <t>5 Tomatoes - finely chopped,2 Green Chillies - chopped,1/4 teaspoon Turmeric powder (Haldi),1/2 teaspoon Red Chilli powder,Salt - to taste,1 teaspoon Coconut Oil,1/2 teaspoon Mustard seeds,1 sprig Curry leaves,1/4 cup Fresh coconut - chopped,1 teaspoon Cumin seeds (Jeera),5 Pearl onions (Sambar Onions) - halved</t>
  </si>
  <si>
    <t xml:space="preserve">To begin making the Nadan Tomato Curry recipe, heat a pan with oil and temper with mustard seeds and curry leaves.Add the green chillies, tomatoes, turmeric powder, chilli powder and salt.Let the tomatoes cook over low flame, till they become soft and mushy.While the tomatoes cook, grind the ingredients given under 'ground mixture' along with 1/2 cup water .Once the tomatoes are soft, add the ground mixture and cook over low flame for another 3 to 4 minutes and switch off.Serve Nadan Tomato Curry along with Steamed Rice for light dinner or Mangalorean Neer Dosa for breakfast.
</t>
  </si>
  <si>
    <t xml:space="preserve">നാടൻ തക്കാളി കറി പാചകക്കുറിപ്പ് തയ്യാറാക്കാൻ തുടങ്ങാൻ, ഒരു പാൻ എണ്ണയൊഴിച്ച് കടുകും കറിവേപ്പിലയും ഇട്ട് ചൂടാക്കുക.പച്ചമുളക്, തക്കാളി, മഞ്ഞൾപൊടി, മുളകുപൊടി, ഉപ്പ് എന്നിവ ചേർക്കുക. തക്കാളി ചെറുചൂടിൽ വേവിക്കുക, മൃദുവും മൃദുവും ആകുന്നതുവരെ. പൊടിച്ച മിശ്രിതം ചേർത്ത് 3 മുതൽ 4 മിനിറ്റ് വരെ ചെറിയ തീയിൽ വേവിക്കുക, സ്വിച്ച് ഓഫ് ചെയ്യുക. നാടൻ തക്കാളി കറി ആവിയിൽ വേവിച്ച ചോറിനൊപ്പം ലഘു അത്താഴത്തിന് അല്ലെങ്കിൽ പ്രഭാതഭക്ഷണത്തിന് മംഗലാപുരം നീർ ദോശ.
</t>
  </si>
  <si>
    <t>http://www.archanaskitchen.com/nadan-tomato-curry-recipe-kerala-style-tomato-curry</t>
  </si>
  <si>
    <t>Kerala Special Vegetable Stew Recipe</t>
  </si>
  <si>
    <t>കേരള സ്പെഷ്യൽ വെജിറ്റബിൾ സ്റ്റ്യൂ റെസിപ്പി</t>
  </si>
  <si>
    <t>1 ഉരുളക്കിഴങ്ങ് (ആലൂ) - തൊലികളഞ്ഞ് നീളത്തിൽ അരിഞ്ഞത്, 1 കാരറ്റ് (ഗജ്ജർ) - തൊലികളഞ്ഞ് നീളത്തിൽ അരിഞ്ഞത്, 15 ചെറുപയർ (ഫ്രഞ്ച് ബീൻസ്) - നീളത്തിൽ അരിഞ്ഞത്, 1/4 കപ്പ് ഗ്രീൻ പീസ് (മറ്റാർ), 1 സവാള - ചുവപ്പ്, 1 വെളുത്തുള്ളി - വറ്റല്, 1/2 ഇഞ്ച് ഇഞ്ചി - 3 കപ്പ്, കനം/2 കപ്പ് തേങ്ങാപ്പാൽ - കട്ടി, ഉപ്പ് - ആവിശ്യത്തിന്, 1/2 ഇഞ്ച് കറുവപ്പട്ട (ഡാൽചിനി), 1 ബേ ഇല (തേജ് പട്ട), 10 മുതൽ 12 വരെ മുഴുവൻ കുരുമുളക്, 1 ഏലം (ഇലച്ചി) കായ്കൾ/വിത്ത്, 1 തണ്ട് കറിവേപ്പില, 1 ടീസ്പൂൺ വെളിച്ചെണ്ണ</t>
  </si>
  <si>
    <t>1 Potato (Aloo) - peeled and cut lengthwise,1 Carrot (Gajjar) - peeled and cut lengthwise,15 Green beans (French Beans) - cut lengthwise,1/4 cup Green peas (Matar),1 Onions - red,1 Garlic - grated,1/2 inch Ginger - peeled and grated (optional),1/2 cup Coconut milk - thin,3/4 cup Coconut milk - thick,Salt - to taste,1/2 inch Cinnamon Stick (Dalchini),1 Bay leaf (tej patta),10 to 12 Whole Black Peppercorns,1 Cardamom (Elaichi) Pods/Seeds,1 sprig Curry leaves,1 teaspoon Coconut Oil</t>
  </si>
  <si>
    <t xml:space="preserve">To begin making the Kerala Special Vegetable Stew recipe, firstly wash and steam the vegetables (including onion) till they are fork tender.Heat a heavy bottomed pan with coconut oil and temper with the whole spices and curry leaves.Now add the grated ginger and garlic and saute' for 20 seconds only.Add the steamed vegetables and the thin coconut milk. Cook covered over low flame for 5 to 7 minutes.After 5 to 7 minutes, add the thick coconut milk, stir to mix and switch off.Add salt and it is ready to be served. Using fresh whole spices and fresh coconut gives the stew it's authentic taste.Serve Kerala Special Vegetable Stew with Appam or Idiyappam for a perfect South Indian meal.
</t>
  </si>
  <si>
    <t xml:space="preserve">കേരള സ്‌പെഷ്യൽ വെജിറ്റബിൾ പായസം ഉണ്ടാക്കാൻ തുടങ്ങാൻ, ആദ്യം പച്ചക്കറികൾ (ഉള്ളി ഉൾപ്പെടെ) കഴുകി ആവിയിൽ വേവിക്കുക 5 മുതൽ 7 മിനിറ്റ് വരെ ചെറിയ തീയിൽ മൂടി വെച്ച് വേവിക്കുക. 5 മുതൽ 7 മിനിറ്റ് വരെ കട്ടിയുള്ള തേങ്ങാപ്പാൽ ചേർക്കുക, ഇളക്കി ഇളക്കി സ്വിച്ച് ഓഫ് ചെയ്യുക. ഉപ്പ് ചേർക്കുക, ഇത് വിളമ്പാൻ തയ്യാറാണ്. പുതിയ മുഴുവൻ സുഗന്ധവ്യഞ്ജനങ്ങളും പുതിയ തേങ്ങയും ഉപയോഗിക്കുന്നത് പായസത്തിന് ആധികാരികമായ രുചി നൽകുന്നു. ഒരു തികഞ്ഞ ദക്ഷിണേന്ത്യൻ ഭക്ഷണത്തിനായി കേരള സ്‌പെഷ്യൽ വെജിറ്റബിൾ പായസം അപ്പം അല്ലെങ്കിൽ ഇഡിയപ്പം ഉപയോഗിക്കുക.
</t>
  </si>
  <si>
    <t>http://www.archanaskitchen.com/kerala-special-vegetable-stew-recipe</t>
  </si>
  <si>
    <t>Varutharacha Mutta Curry Recipe</t>
  </si>
  <si>
    <t>വറുത്തരാച്ച മുട്ട കറി റെസിപ്പി</t>
  </si>
  <si>
    <t>4 മുഴുവൻ മുട്ടകൾ, 1-1/2 ടേബിൾസ്പൂൺ സൂര്യകാന്തി എണ്ണ, 1/2 ടീസ്പൂൺ കടുക്, കറിവേപ്പില - കുറച്ച് തണ്ട്, 1 സവാള - ചെറുതായി അരിഞ്ഞത്, 1/2 ഇഞ്ച് ഇഞ്ചി - വറ്റല്, 3 അല്ലി വെളുത്തുള്ളി, 1 തക്കാളി - ചെറുതായി അരിഞ്ഞത്, 6 ഉണങ്ങിയ ചുവന്ന മുളക്, 1 ഇഞ്ച് കറുവപ്പട്ട (ഇഞ്ച് കറുവപ്പട്ട) കായ്കൾ/വിത്ത്, 3 ഗ്രാമ്പൂ (ലാങ്), 2 ടേബിൾസ്പൂൺ മല്ലി (ധാനിയ) വിത്തുകൾ, 1/2 ടീസ്പൂൺ മുഴുവൻ കുരുമുളക്, 7 ഷാലറ്റ്, 1/4 കപ്പ് പുതിയ തേങ്ങ, 1/2 ടീസ്പൂൺ പെരുംജീരകം (സൗൺഫ്)</t>
  </si>
  <si>
    <t>4 Whole Eggs,1-1/2 tablespoons Sunflower Oil,1/2 teaspoon Mustard seeds,Curry leaves - few sprigs,1 Onion - finely chopped,1/2 inch Ginger - grated,3 cloves Garlic,1 Tomato - finely chopped,6 Dry Red Chillies,1 inch Cinnamon Stick (Dalchini),1 Cardamom (Elaichi) Pods/Seeds,3 Cloves (Laung),2 tablespoons Coriander (Dhania) Seeds,1/2 teaspoon Whole Black Peppercorns,7 Shallots,1/4 cup Fresh coconut,1/2 teaspoon Fennel seeds (Saunf)</t>
  </si>
  <si>
    <t xml:space="preserve">To begin making Varutharacha Mutta Curry Recipe, hard boil eggs in a saucepan. Once they cool down a bit, peel the outer shell and keep the eggs aside. Get ready with all the other ingredients as well.In a shallow frying pan, dry roast dry red chilli, cinnamon, cardamom, cloves, coriander seeds, peppercorns, shallots, grated coconut, fennel seeds, on a low flame till all the ingredients get roasted well and become golden color.  Keep aside till cooled.Once they are cooled, wet grind the spices to a smooth paste by adding a little water.  Heat oil in a shallow frying pan.  Splutter mustard seeds when the oil is hot. Add finely chopped onion, ginger garlic paste, curry leaves and saute well on a low-medium heat till onion turns translucent and the raw smell completely vanishes.Add chopped tomato and saute till they turn mushy and sort of comes together in the pan. Add ground coconut masala with salt, and enough water.  Bring it to a boil.  Once the gravy starts boiling, make slits on the surface of hard boiled eggs such that the masala of the curry seeps into it and add one after one, carefully to the boiling gravy. Allow the gravy to boil for 2-3 minutes.  Add few curry leaves and then turn off the heat.Serve Varutharacha Mutta Curry Recipe as a side dish along with No Yeast Kerala Style Appam Recipe, as traditionally served for breakfast in Kerala, or pair it up with Kerala parotta for simple dinner.
</t>
  </si>
  <si>
    <t xml:space="preserve">വറുത്തരാച്ച മുട്ട കറി പാചകക്കുറിപ്പ് തയ്യാറാക്കാൻ ആരംഭിക്കുന്നതിന്, ഒരു ചീനച്ചട്ടിയിൽ മുട്ട നന്നായി തിളപ്പിക്കുക. അവ അൽപ്പം തണുത്തുകഴിഞ്ഞാൽ, പുറംതോട് തൊലി കളഞ്ഞ് മുട്ടകൾ മാറ്റി വയ്ക്കുക. മറ്റെല്ലാ ചേരുവകളും തയ്യാറാക്കുക. ഒരു ആഴം കുറഞ്ഞ ഫ്രയിംഗ് പാനിൽ, ഉണങ്ങിയ ചുവന്ന മുളക്, കറുവപ്പട്ട, ഏലക്ക, ഗ്രാമ്പൂ, മല്ലി, കുരുമുളക്, ചെറുപയർ, വറ്റൽ തേങ്ങ, പെരുംജീരകം, എല്ലാ ചേരുവകളും നന്നായി വറുത്ത് സ്വർണ്ണ നിറമാകുന്നതുവരെ ചെറിയ തീയിൽ വറുത്തെടുക്കുക.  തണുക്കുന്നത് വരെ മാറ്റി വയ്ക്കുക. അവ തണുത്തുകഴിഞ്ഞാൽ, മസാലകൾ നനച്ച് കുറച്ച് വെള്ളം ചേർത്ത് മിനുസമാർന്ന പേസ്റ്റിലേക്ക് പൊടിക്കുക.  ആഴം കുറഞ്ഞ വറചട്ടിയിൽ എണ്ണ ചൂടാക്കുക.  എണ്ണ ചൂടാകുമ്പോൾ കടുക് പൊട്ടിക്കുക. ചെറുതായി അരിഞ്ഞ ഉള്ളി, ഇഞ്ചി വെളുത്തുള്ളി പേസ്റ്റ്, കറിവേപ്പില എന്നിവ ചേർത്ത് ചെറിയ തീയിൽ നന്നായി വഴറ്റുക, ഉള്ളി അർദ്ധസുതാര്യമാകുന്നതുവരെ അസംസ്കൃത മണം പൂർണ്ണമായും അപ്രത്യക്ഷമാകും. തക്കാളി അരിഞ്ഞത് ചേർത്ത് ചതച്ചതും ചട്ടിയിൽ ഒരു തരത്തിൽ വരുന്നതു വരെ വഴറ്റുക. അരച്ച തേങ്ങ മസാലയും ഉപ്പും ആവശ്യത്തിന് വെള്ളവും ചേർക്കുക.  ഇത് തിളപ്പിക്കുക.  ഗ്രേവി തിളച്ചുതുടങ്ങിയാൽ, വേവിച്ച മുട്ടയുടെ പ്രതലത്തിൽ കറിയുടെ മസാല ഒലിച്ചിറങ്ങുന്ന തരത്തിൽ സ്ലിറ്റുകൾ ഉണ്ടാക്കി തിളയ്ക്കുന്ന ഗ്രേവിയിലേക്ക് ശ്രദ്ധാപൂർവ്വം ഒന്നൊന്നായി ചേർക്കുക. ഗ്രേവി 2-3 മിനിറ്റ് തിളപ്പിക്കാൻ അനുവദിക്കുക.  കുറച്ച് കറിവേപ്പില ചേർക്കുക, തുടർന്ന് തീ ഓഫ് ചെയ്യുക. പരമ്പരാഗതമായി കേരളത്തിൽ പ്രാതലിന് വിളമ്പുന്നത് പോലെ, യീസ്റ്റ് കേരള സ്‌റ്റൈൽ അപ്പം റെസിപ്പിയ്‌ക്കൊപ്പം ഒരു സൈഡ് ഡിഷായി വരൂതരച്ച മുട്ടക്കറി റെസിപ്പി വിളമ്പുക, അല്ലെങ്കിൽ ലളിതമായ അത്താഴത്തിന് കേരള പരോട്ടയുമായി ജോടിയാക്കുക.
</t>
  </si>
  <si>
    <t>http://www.archanaskitchen.com/varutharacha-mutta-curry-recipe</t>
  </si>
  <si>
    <t>Cabbage Thoran Recipe - Cabbage Thoran (Recipe In Hindi)</t>
  </si>
  <si>
    <t>പത്തഗോബി തോരൻ റെസിപ്പി - കാബേജ് തോരൻ (ഹിന്ദിയിൽ പാചകക്കുറിപ്പ്)</t>
  </si>
  <si>
    <t>1 കപ പട്ട ഗോഭി - ധോക്കർ ബാരിക്ക് കാറ്റ് ലെ,1 തഹനി കഠി പട്ട,1/4 ഛോട്ടാ, 1 ചംചം ലാൽ മിർച്ച്,1 ഛോട്ട ചമച്ച സഫേദ് ഉറദ് ദാൽ (വിഭജനം),1/4 ഛോട്ട ചമച്ച, ദഹൽ സ്വാദ് അനുസാർ,തെൽ - പ്രയോഗം അനുസാർ,5 ബഡേ ചമച്ച നാറിയൽ - കസ് ലെ,6 ഛോട്ടേ -ചായം കാറ്റ് ലെ,3 കലി ലഹസുൻ - കാറ്റ് ലെ,2 ഹരി മിർച്ച് - കാട്ട് ലെ,3 ടഹനി കടത്തി പത്ത,പച്ച മുളക് - 3 shalved, Curry ഇലകൾ</t>
  </si>
  <si>
    <t>1 cup cabbage - wash and chop finely, 1 sprig curry leaves, 1/4 teaspoon mustard, 1 red chili, 1 teaspoon white urad dal (split), 1/4 teaspoon turmeric powder, salt - as per taste, Oil - 5 tablespoons coconut - as per use, tighten it, 6 small onions - cut it from the middle, 3 cloves garlic - chop, 2 green chillies - chop, 3 sprig curry leaves, Green Chillies - halved, 3 sprig curry leaves</t>
  </si>
  <si>
    <t>To make Cabbage Thoran, first make a paste. Put all the ingredients required for making the paste in a mixer grinder and grind it well. Keep it aside. Now heat oil in a pan. Add urad dal and cook till it becomes light brown. Now add mustard seeds and let it cook for 15 seconds. After 15 seconds add dried red chillies and cook for 10 seconds. After 10 seconds add Cabbage, mix it and let it cook till it becomes soft. After this add ground coconut paste, salt, turmeric powder and curry leaves. Mix it and let it cook for 3 to 5 minutes. Turn off the gas and serve hot. Serve Cabbage Thoran with Mixed Vegetable Sambar and Rice for lunch.</t>
  </si>
  <si>
    <t xml:space="preserve">പത്താഗോബി തോരൻ ബനാനെയുടെ സബ്സ്സെ പഹലെ പെസ്റ്റ് ബനാ ലെ. ഒരു മിക്‌സർ ഗ്രെയിൻഡർ പെസ്റ്റ് ബനാനെ കി സാമഗ്രി ഡാലെ കൂടാതെ മികച്ച തരത്തിൽ പീസ് ലേക്കുള്ള. അൽഗ സെ രഖ് ദേ.അബ് ഒരു കഥാൈ മെം ടെൽ ഗരം കർ ലെ. അതുപോലെ ഉരദ ദാൽ ദാലെയും ഹൽക്ക ഭൂരാ ഹോനേയും തക്ക പക്കാ ലേ. ഇപ്പോൾ റായ് ഡാലെ കൂടാതെ 15 സെക്കണ്ട്സ് തക പകനെ ദേ. 15 സെക്കണ്ടുകളുടെ ബാദ് ഇസമെം സുഖി ലാൽ മിർച്ച് ഡാലെ കൂടാതെ 10 സെക്കണ്ട്സ് തക ൾ. 10 സെക്കണ്ടുകളുടെ ബാദ് ഇതുപോലെ പട്ടാഗോബി ഡാലെ, മിലായെ കൂടാതെ നരം ഹോനെ തന്നെ. അതുപോലെ തന്നെ പിസാ ഹുസ് നാറിയൽ കാ പെസ്റ്റ്, നമക്, ഹൽദി പൌഡർ, കടത്തി പട്ട ദാലെ. മിലാ ലെയും 3 സെ 5 മിനിറ്റും. ഗൈസ് ബന്ദ് കരേം കൂടാതെ ഗരമ ഗരം പരോസ്.  പട്ടാഗോബി തോരൻ കോ മിക്സ്ഡ് വെജിറ്റേബൽ സാംബറും ചാവലും ദിനം പ്രതിനിധീകരിക്കുന്നു പരോസ്.
</t>
  </si>
  <si>
    <t>https://www.archanaskitchen.com/cabbage-thoran-recipe-in-hindi</t>
  </si>
  <si>
    <t>Calamari Roast Recipe (Kerala Style Squid)</t>
  </si>
  <si>
    <t>കലമാരി റോസ്റ്റ് റെസിപ്പി (കേരള സ്റ്റൈൽ സ്ക്വിഡ്)</t>
  </si>
  <si>
    <t>250 ഗ്രാം കണവ - (വൃത്തിയാക്കി വളയങ്ങളാക്കി മുറിച്ചത്), 10 ചെറുപയർ, 2 തക്കാളി, 1/2 ഇഞ്ച് ഇഞ്ചി - വറ്റൽ, 4 അല്ലി വെളുത്തുള്ളി - അരിഞ്ഞത്, 3 തണ്ട് കറിവേപ്പില, 1 ടീസ്പൂൺ മല്ലിപ്പൊടി (ധാനിയ), 1 ടീസ്പൂൺ ചുവന്ന മുളക് പൊടി, 1/4 ടീസ്പൂൺ മഞ്ഞൾപ്പൊടി), 1 ടീസ്പൂൺ കുരുമുളക്, 1/2 ടീസ്പൂൺ ഇറച്ചി മസാല, 1 ടീസ്പൂൺ കടുക്, 1 ടീസ്പൂൺ വെളിച്ചെണ്ണ</t>
  </si>
  <si>
    <t>250 grams Squid - (Cleaned and cut into rings),10 Shallots,2 Tomatoes,1/2 inch Ginger - grated,4 cloves Garlic - minced,3 sprig Curry leaves,1 teaspoon Coriander Powder (Dhania),1 teaspoon Red Chilli powder,1/4 teaspoon Turmeric powder (Haldi),1 teaspoon Fennel seeds (Saunf),1 teaspoon Whole Black Peppercorns,1/2 teaspoon Meat masala,1 teaspoon Mustard seeds,1 tablespoon Coconut Oil</t>
  </si>
  <si>
    <t xml:space="preserve">To begin making Calamari Roast Recipe (Kerala Style Squid), in a pressure cooker, take cleaned squid rings with turmeric, salt and ¼ cup water.Pressure cook for 1 whistle. Lower the flame and cook for 10 minutes.In a pan, dry roast fennel and black pepper for a minute. Move it to the blender.Add meat masala along with fennel and black pepper and make a fine powder.In a blender, coarsely blend together shallots, ginger and garlic.Heat oil in a pan. (Preferably cook in an earthenware for that extra flavour and aroma) Add mustard seeds and allow them to splutter.Once they splutter, add the shallot-ginger-garlic mix in and stir well.Tear the curry leaves and add them in the pan. You can add in the whole sprig too. Stir and cook well on medium heat till the onions turn translucent.Now add chopped tomatoes. Cook till the tomatoes have softened.Mash the tomatoes nicely.Now add chilli powder, coriander powder and mix well for 30 seconds.Add the cooked squid from the pressure cooker. If there is any water add that in too. Do not discard this since a unique taste is delectable in the stock.Mix well. Keep mixing at intervals till the water has evaporated a little. You neither want a gravy consistency nor should it be very dry.Now add fennel, black pepper, meat masala in. Mix properly. Adjust the salt.Serve Calamari Roast Recipe (Kerala Style Squid) as a side dish along with Malabari Parotta Without Egg Recipe, Steamed Rice and Kerala Style Vegetable Stew Recipe with Coconut Milk and Meen Varuthathu Recipe | Kerala Style Fish Fry for a complete spicy treat on a weekend with family.
</t>
  </si>
  <si>
    <t xml:space="preserve">കലമാരി റോസ്റ്റ് റെസിപ്പി (കേരള സ്റ്റൈൽ സ്ക്വിഡ്) ഉണ്ടാക്കാൻ തുടങ്ങാൻ, ഒരു പ്രഷർ കുക്കറിൽ, മഞ്ഞൾ, ഉപ്പ്, ¼ കപ്പ് വെള്ളം എന്നിവ ഉപയോഗിച്ച് വൃത്തിയാക്കിയ കണവ വളയങ്ങൾ എടുക്കുക. 1 വിസിൽ പ്രഷർ കുക്ക്. തീ താഴ്ത്തി 10 മിനിറ്റ് വേവിക്കുക. ഒരു ചട്ടിയിൽ, ഒരു മിനിറ്റ് ഉണക്കിയ വറുത്ത പെരുംജീരകം, കുരുമുളക് എന്നിവ. ഇത് ബ്ലെൻഡറിലേക്ക് നീക്കുക. പെരുംജീരകം, കുരുമുളക് എന്നിവയ്‌ക്കൊപ്പം ഇറച്ചി മസാലയും ചേർത്ത് നന്നായി പൊടിച്ചെടുക്കുക. ഒരു ബ്ലെൻഡറിൽ, ചെറുപയർ, ഇഞ്ചി, വെളുത്തുള്ളി എന്നിവ ഒരുമിച്ച് യോജിപ്പിക്കുക. ഒരു പാനിൽ എണ്ണ ചൂടാക്കുക. (അതിലധികമായ സ്വാദും മണവും കിട്ടാൻ മൺപാത്രത്തിൽ വേവിച്ചെടുക്കുന്നതാണ് അഭികാമ്യം) കടുക് ചേർത്ത് അവ തെറിക്കാൻ അനുവദിക്കുക. അവ തെറിച്ചുകഴിഞ്ഞാൽ, ചെറുപയർ-ഇഞ്ചി-വെളുത്തുള്ളി മിക്സ് ചേർത്ത് നന്നായി ഇളക്കുക. കറിവേപ്പില കീറി ചട്ടിയിൽ ചേർക്കുക. നിങ്ങൾക്ക് മുഴുവൻ സ്പ്രിംഗിലും ചേർക്കാം. ഇളക്കി, ഉള്ളി അർദ്ധസുതാര്യമാകുന്നതുവരെ ഇടത്തരം ചൂടിൽ നന്നായി വേവിക്കുക. ഇപ്പോൾ അരിഞ്ഞ തക്കാളി ചേർക്കുക. തക്കാളി മൃദുവാകുന്നത് വരെ വേവിക്കുക.തക്കാളി നന്നായി മാഷ് ചെയ്യുക.ഇനി മുളകുപൊടിയും മല്ലിപ്പൊടിയും ചേർത്ത് നന്നായി ഇളക്കി 30 സെക്കൻഡ് നേരം വെക്കുക.പ്രഷർ കുക്കറിൽ നിന്ന് വേവിച്ച മത്തി ചേർക്കുക. വെള്ളമുണ്ടെങ്കിൽ അതും ചേർക്കുക. സ്റ്റോക്കിൽ ഒരു തനതായ രുചി സ്വാദിഷ്ടമായതിനാൽ ഇത് തള്ളിക്കളയരുത്. നന്നായി ഇളക്കുക. വെള്ളം അൽപ്പം ബാഷ്പീകരിക്കപ്പെടുന്നതുവരെ ഇടവിട്ട് ഇളക്കുക. നിങ്ങൾക്ക് ഗ്രേവി സ്ഥിരത ആവശ്യമില്ല, അത് വളരെ വരണ്ടതായിരിക്കരുത്. ഇപ്പോൾ പെരുംജീരകം, കുരുമുളക്, ഇറച്ചി മസാല എന്നിവ ചേർക്കുക. ശരിയായി ഇളക്കുക. ഉപ്പ് ക്രമീകരിക്കുക.മുട്ട പാചകക്കുറിപ്പ് കൂടാതെ മലബാരി പറോട്ടയ്‌ക്കൊപ്പം ഒരു സൈഡ് വിഭവമായി കലമാരി റോസ്റ്റ് റെസിപ്പി (കേരള സ്റ്റൈൽ സ്‌ക്വിഡ്) വിളമ്പുക, ആവിയിൽ വേവിച്ച ചോറും കേരള സ്റ്റൈൽ വെജിറ്റബിൾ സ്റ്റൂ പാചകരീതിയും തേങ്ങാപ്പാലും മീൻ വറുത്തതു പാചകക്കുറിപ്പും | കുടുംബത്തോടൊപ്പം ഒരു വാരാന്ത്യത്തിൽ പൂർണ്ണമായ എരിവുള്ള ട്രീറ്റിനായി കേരള സ്റ്റൈൽ ഫിഷ് ഫ്രൈ.
</t>
  </si>
  <si>
    <t>http://www.archanaskitchen.com/calamari-roast-recipe-kerala-style-squid</t>
  </si>
  <si>
    <t>Carrot Beans Thoran Recipe - Kerala Thoran For Onam Sadya</t>
  </si>
  <si>
    <t>കാരറ്റ് ബീൻസ് തോരൻ റെസിപ്പി - കേരള തോരൻ ഓണ സദ്യ</t>
  </si>
  <si>
    <t>1/2 കപ്പ് പുതിയ തേങ്ങ - അരച്ചത്, 2 പച്ചമുളക് - ഏകദേശം അരിഞ്ഞത്, 1 ടീസ്പൂൺ ജീരകം (ജീര), 3 കാരറ്റ് (ഗജ്ജർ) - അരിഞ്ഞത്, 1 കപ്പ് പച്ച പയർ (ഫ്രഞ്ച് ബീൻസ്) - അരിഞ്ഞത്, 1 ടീസ്പൂൺ വെളിച്ചെണ്ണ - അല്ലെങ്കിൽ സാധാരണ എണ്ണ, 1/2 ടീസ്പൂൺ കടുക്, 1 കപ്പ് ഉറാദിൽ, 1 ടീസ്പൂൺ. - ചെറുതായി അരിഞ്ഞത്, 2 തണ്ട് കറിവേപ്പില, 1/2 ടീസ്പൂൺ മഞ്ഞൾ പൊടി (ഹാൽദി), 1 ടീസ്പൂൺ ഉപ്പ് - നിങ്ങളുടെ അഭിരുചിക്കനുസരിച്ച് ക്രമീകരിക്കുക</t>
  </si>
  <si>
    <t>1/2 cup Fresh coconut - grated,2 Green Chillies - roughly chopped,1 teaspoon Cumin seeds (Jeera),3 Carrots (Gajjar) - chopped,1 cup Green beans (French Beans) - chopped,1 teaspoon Coconut Oil - or regular oil,1/2 teaspoon Mustard seeds,1 teaspoon White Urad Dal (Split),1/4 cup Pearl onions (Sambar Onions) - finely chopped,2 sprig Curry leaves,1/2 teaspoon Turmeric powder (Haldi),1 teaspoon Salt - adjust as per your taste</t>
  </si>
  <si>
    <t xml:space="preserve">To prepare Carrot And Beans Thoran (Sabzi Recipe), wash carrot and beans thoroughly with water and chop all them finely.Into a pressure cooker, add the carrot and beans, along with a little salt and 3 tablespoons water and pressure cooker for 2 whistles and turn off the heat. Release the pressure immediately, to avoid discoloration of the vegetables. Keep the vegetables for the thoran aside.Into a mixer grinder, add the fresh coconut, green chillies and cumin seeds and blend without any water to make a coarse mixture. Keep this thoran masala aside.Heat oil in a kadai over medium heat; add the mustard seeds and urad dal and allow it to crackle.Once the urad dal turns light golden brown, add the chopped pearl onions and curry leaves.Saute the onions, until they turn soft and translucent over medium heat. Once done, add the turmeric powder and the ground thoran masala. Saute for a few seconds.Stir in the steamed carrot and beans into the above thoran mixture. Check the salt and add more if required.Stir the Carrot And Beans Thoran for about minute and turn off the heat. Transfer to a serving bowl and serve hot. Try our Carrot Beans Thoran Recipe, it's the best!  Serve the Carrot Beans Thoran Recipe along with Arachuvitta Sambar and Steamed Rice for a traditional south indian lunch. Thoran can be packed into kids lunch box as well, along with Phulka and Dahi.
</t>
  </si>
  <si>
    <t xml:space="preserve">കാരറ്റ്, ബീൻസ് തോരൻ (സബ്സി റെസിപ്പി) തയ്യാറാക്കാൻ, കാരറ്റ്, ബീൻസ് എന്നിവ നന്നായി വെള്ളത്തിൽ കഴുകി നന്നായി മൂപ്പിക്കുക. ഒരു പ്രഷർ കുക്കറിൽ ക്യാരറ്റും ബീൻസും ചേർത്ത് അൽപ്പം ഉപ്പും 3 ടേബിൾസ്പൂൺ വെള്ളവും പ്രഷർ കുക്കറും ചേർത്ത് 2 വിസിലുകൾക്ക് ശേഷം തീ ഓഫ് ചെയ്യുക. പച്ചക്കറികളുടെ നിറവ്യത്യാസം ഒഴിവാക്കാൻ, സമ്മർദ്ദം ഉടനടി വിടുക. തോരനുള്ള പച്ചക്കറികൾ മാറ്റി വയ്ക്കുക. ഒരു മിക്സർ ഗ്രൈൻഡറിലേക്ക് പുതിയ തേങ്ങയും പച്ചമുളകും ജീരകവും ചേർത്ത് വെള്ളമൊഴിച്ച് ഒരു നാടൻ മിശ്രിതം ഉണ്ടാക്കുക. ഈ തോരൻ മസാല മാറ്റി വയ്ക്കുക. ഇടത്തരം ചൂടിൽ ഒരു കടയിൽ എണ്ണ ചൂടാക്കുക; കടുകും ഉഴുന്ന് പരിപ്പും ചേർത്ത് പൊട്ടിക്കാൻ അനുവദിക്കുക. ഉരങ്ങ് ഇളം തവിട്ട് നിറമാകുമ്പോൾ, അരിഞ്ഞ മുത്ത് ഉള്ളിയും കറിവേപ്പിലയും ചേർക്കുക. ഉള്ളി ഇടത്തരം ചൂടിൽ മൃദുവും അർദ്ധസുതാര്യവുമാകുന്നതുവരെ വഴറ്റുക. വെന്തു കഴിഞ്ഞാൽ മഞ്ഞൾ പൊടിയും തോരൻ മസാല പൊടിച്ചതും ചേർക്കുക. കുറച്ച് നിമിഷങ്ങൾ വഴറ്റുക. മുകളിൽ പറഞ്ഞ തോരൻ മിശ്രിതത്തിലേക്ക് ആവിയിൽ വേവിച്ച കാരറ്റും ബീൻസും ചേർത്ത് ഇളക്കുക. ഉപ്പ് പരിശോധിച്ച് ആവശ്യമെങ്കിൽ കൂടുതൽ ചേർക്കുക. കാരറ്റും ബീൻസ് തോരനും ഒരു മിനിറ്റ് ഇളക്കി തീ ഓഫ് ചെയ്യുക. സെർവിംഗ് ബൗളിലേക്ക് മാറ്റി ചൂടോടെ വിളമ്പുക. ഞങ്ങളുടെ കാരറ്റ് ബീൻസ് തോരൻ റെസിപ്പി പരീക്ഷിച്ചുനോക്കൂ, ഇത് മികച്ചതാണ്!  ഒരു പരമ്പരാഗത ദക്ഷിണേന്ത്യൻ ഉച്ചഭക്ഷണത്തിന് കാരറ്റ് ബീൻസ് തോരൻ പാചകക്കുറിപ്പ് അരച്ചുവിട്ട സാമ്പാർ , ആവിയിൽ വേവിച്ച ചോറ് എന്നിവയ്‌ക്കൊപ്പം വിളമ്പുക. തോരൻ കുട്ടികളുടെ ലഞ്ച് ബോക്‌സിലും ഫുൽക്ക , ദാഹി എന്നിവയ്‌ക്കൊപ്പം പാക്ക് ചെയ്യാം.
</t>
  </si>
  <si>
    <t>https://www.archanaskitchen.com/carrot-and-beans-thoran-subzi-recipe</t>
  </si>
  <si>
    <t>Kerala Style Konju Curry With Thengakothu Recipe (Kerala Style Prawn Curry)</t>
  </si>
  <si>
    <t>തേങ്ങാക്കൊത്ത് പാചകക്കുറിപ്പിനൊപ്പം കേരള സ്റ്റൈൽ കൊഞ്ചുകറി (കേരള സ്റ്റൈൽ കൊഞ്ച് കറി)</t>
  </si>
  <si>
    <t>500 ഗ്രാം കൊഞ്ച്, 2 ഉള്ളി - ചെറുതായി അരിഞ്ഞത്, 1 ഇഞ്ച് ഇഞ്ചി - ചെറുതായി അരിഞ്ഞത്, 6 അല്ലി വെളുത്തുള്ളി, 1 ടേബിൾസ്പൂൺ ചുവന്ന മുളകുപൊടി, 3/4 ടേബിൾസ്പൂൺ മല്ലിപ്പൊടി (ധാനിയ), 1/4 ടീസ്പൂൺ മഞ്ഞൾപ്പൊടി (ഹൽദി), 1/4 കപ്പ് പുതിയ തേങ്ങ - കഷണങ്ങൾ, 1 കോക്കും (മലബാർ പുളിമരം) - കുതിർത്തത് (കറിക്ക്), 1 തണ്ട് കറിവേപ്പില, വെള്ളം - കൊഞ്ച് വേവിക്കാൻ ആവശ്യത്തിന്, ഉപ്പ് - പാകത്തിന്, 1 ടേബിൾസ്പൂൺ വെളിച്ചെണ്ണ, 1/4 ടീസ്പൂൺ കടുക്, 1 നുള്ള് മേത്തിപ്പൊടി (ഉലുവപ്പൊടി), 1 തണ്ട് കറിവേപ്പില</t>
  </si>
  <si>
    <t>500 grams Prawns,2 Onions - finely chopped,1 inch Ginger - finely chopped,6 cloves Garlic,1 tablespoons Red Chilli powder,3/4 tablespoon Coriander Powder (Dhania),1/4 teaspoon Turmeric powder (Haldi),1/4 cup Fresh coconut - pieces,1 Kokum (Malabar Tamarind) - soaked,2 Kokum (Malabar Tamarind) - soaked (for the curry),1 sprig Curry leaves,Water - enough to cook the prawns,Salt - to taste,1 tablespoon Coconut Oil,1/4 teaspoon Mustard seeds,1 pinch Methi Powder (Fenugreek Powder),1 sprig Curry leaves</t>
  </si>
  <si>
    <t xml:space="preserve">To begin making the Kerala Style Konju Curry With Thengakothu recipe, wash, clean and devein the prawns.Marinate it with 1 small piece of kudampuli and salt. Keep aside for 10 minutes.Throw away the kudampuli and wash the prawns under running water till cleaned well. Drain away all the water.Take a heavy bottomed pan and add the cleaned prawns into it.Into the prawns, add all the ingredients except the coconut oil.Mix well with hands (or with a wooden spoon) till masala has coated the prawns completely. [add just enough water to cover the prawns or a little lesser, because prawns releases it's own juices while cooking]Cover and cook the prawns for 10 to 12 minutes approximately or till its done. The cooking time depends on the prawns.Do not over cook the prawns. Over cooked prawns turns rubbery and under cooked prawns can make you sick. So be careful while cooking it.If there is too much gravy, reduce it a little. Switch off the flame.Heat coconut oil in a small pan. Add the mustard and allow it to splutter. Now add the curry leaves and fenugreek powder. (optional) Switch off flame.Pour the seasoning into the curry, mix well and serve hot. Kerala Style Konju Curry With Thengakothu is best served with hot rice, appams or neer dosa.
</t>
  </si>
  <si>
    <t xml:space="preserve">തേങ്ങാക്കൊത്ത് പാചകക്കുറിപ്പ് ഉപയോഗിച്ച് കേരള സ്‌റ്റൈൽ കൊഞ്ചുകറി ഉണ്ടാക്കാൻ തുടങ്ങാൻ, കൊഞ്ച് കഴുകി വൃത്തിയാക്കി വേവിക്കുക. 1 ചെറിയ കഷ്ണം കുടംപുളിയും ഉപ്പും ചേർത്ത് മാരിനേറ്റ് ചെയ്യുക. 10 മിനിറ്റ് മാറ്റി വയ്ക്കുക.കുടംപുളി വലിച്ചെറിയുക, നന്നായി വൃത്തിയാക്കുന്നത് വരെ ഒഴുകുന്ന വെള്ളത്തിനടിയിൽ കൊഞ്ച് കഴുകുക. വെള്ളമെല്ലാം വറ്റിച്ചുകളയുക. അടിയിൽ കട്ടിയുള്ള ഒരു പാൻ എടുത്ത് അതിൽ വൃത്തിയാക്കിയ ചെമ്മീൻ ചേർക്കുക. കൊഞ്ചിലേക്ക് വെളിച്ചെണ്ണ ഒഴികെയുള്ള എല്ലാ ചേരുവകളും ചേർക്കുക. മസാല പൂർണ്ണമായി പൊതിയുന്നത് വരെ കൈകൾ (അല്ലെങ്കിൽ ഒരു മരം സ്പൂൺ കൊണ്ട്) നന്നായി ഇളക്കുക. [കൊഞ്ച് പൊതിയാൻ ആവശ്യത്തിന് വെള്ളം ചേർക്കുക അല്ലെങ്കിൽ കുറച്ച് കുറച്ച് ചേർക്കുക, കാരണം കൊഞ്ച് പാചകം ചെയ്യുമ്പോൾ സ്വന്തം ജ്യൂസ് പുറത്തുവിടുന്നു] കൊഞ്ച് ഏകദേശം 10 മുതൽ 12 മിനിറ്റ് വരെ അല്ലെങ്കിൽ അത് തീരുന്നത് വരെ മൂടി വേവിക്കുക. പാചക സമയം ചെമ്മീനിനെ ആശ്രയിച്ചിരിക്കുന്നു. കൊഞ്ച് അധികം വേവിക്കരുത്. വേവിച്ച ചെമ്മീൻ റബ്ബറായി മാറുകയും വേവിച്ച ചെമ്മീനിന് കീഴിൽ നിങ്ങളെ രോഗിയാക്കുകയും ചെയ്യും. അതിനാൽ പാചകം ചെയ്യുമ്പോൾ ശ്രദ്ധിക്കുക.ഗ്രേവി കൂടുതലാണെങ്കിൽ അൽപ്പം കുറയ്ക്കുക. തീ ഓഫ് ചെയ്യുക.ഒരു ചെറിയ പാനിൽ വെളിച്ചെണ്ണ ചൂടാക്കുക. കടുക് ചേർത്ത് അത് പൊടിക്കാൻ അനുവദിക്കുക. ഇനി കറിവേപ്പിലയും ഉലുവപ്പൊടിയും ചേർക്കുക. (ഓപ്ഷണൽ) തീ ഓഫ് ചെയ്യുക. കറിയിലേക്ക് താളിക്കുക, നന്നായി ഇളക്കി ചൂടോടെ വിളമ്പുക. തേങ്ങാക്കൊത്തോടുകൂടിയ കേരള സ്‌റ്റൈൽ കൊഞ്ചുകറി ചൂടുള്ള ചോറിനോപ്പമോ അപ്പമോ നീർദോശയോടൊപ്പമാണ് വിളമ്പുന്നത്.
</t>
  </si>
  <si>
    <t>https://www.archanaskitchen.com/kerala-style-konju-curry-with-thengakothu-recipe-kerala-style-prawn-curry</t>
  </si>
  <si>
    <t>Mint Vegetables Moilee Recipe (Mixed Vegetables Cooked In Minty Coconut Milk)</t>
  </si>
  <si>
    <t>പുതിന വെജിറ്റബിൾസ് മൊയ്‌ലി റെസിപ്പി (മിൻറി കോക്കനട്ട് പാലിൽ പാകം ചെയ്ത മിക്സഡ് പച്ചക്കറികൾ)</t>
  </si>
  <si>
    <t>1-1/2 കപ്പ് മിക്സഡ് പച്ചക്കറികൾ - (ഉരുളക്കിഴങ്ങ്, 1 സവാള - ചെറുതായി അരിഞ്ഞത്, 1 തക്കാളി - ഏകദേശം അരിഞ്ഞത്, 1 പച്ചമുളക് - അരിഞ്ഞത്, 1 ഇഞ്ച് ഇഞ്ചി - ചെറുതായി അരിഞ്ഞത്, 2 വെളുത്തുള്ളി - അരിഞ്ഞത്, 1 തണ്ട് കറിവേപ്പില, 1 കപ്പ് തേങ്ങാപ്പാൽ - 1 കപ്പ്, തേങ്ങാപ്പാൽ - 1 ടീസ്പൂൺ, കുരുമുളക് / 2 ടീസ്പൂൺ. പൊടി, 2 ടീസ്പൂൺ സൂര്യകാന്തി എണ്ണ, 1 ടീസ്പൂൺ വെളിച്ചെണ്ണ, 1 ടീസ്പൂൺ നാരങ്ങ നീര്, 2 തണ്ട് പുതിനയില (പുദീന) - പേസ്റ്റ്, ഉപ്പ് - പാകത്തിന്</t>
  </si>
  <si>
    <t>1-1/2 cups Mixed vegetables - (potatoes,1 Onion - thinly sliced,1 Tomato - roughly chopped,1 Green Chilli - slit,1 inch Ginger - thinly sliced,2 Garlic - sliced,1 sprig Curry leaves,1 cup Coconut milk - thin,1 cup Coconut milk - thick,1/2 teaspoon Mustard seeds,1/2 teaspoon Black pepper powder,2 teaspoon Sunflower Oil,1 teaspoon Coconut Oil,1 teaspoon Lemon juice,2 sprig Mint Leaves (Pudina) - made to paste,Salt - to taste</t>
  </si>
  <si>
    <t xml:space="preserve">To begin making the Mint Vegetables Moilee recipe, scrape the coconut and extract the thick and thin coconut milk and keep aside.Heat oil in a wok/kadhai, once heated add the mustard seeds and let it splutter.Add the curry leaves and the thinly sliced onions and sauté till it gets translucent.Add the ginger and the sliced garlic pods and cook until the raw smell evaporates.Add the cubes vegetables, pepper powder and turmeric powder, and sauté for a minute.Add the thin coconut milk and let the vegetables cook with the lid on. This will take 5 to 6 minutes.Add the chopped tomatoes and let it cook for a minute.Once the vegetables are cooked, add the thick coconut milk and the mint paste and heat it for 2 minutes.Make sure you don't bring this mix to a boil at this stage else the coconut milk the curdle.Switch off the flame, season with salt and add the lemon juice.Serve the Mint Vegetables Moilee Recipe with Appams or Idiyappams or Steamed Rice for Sunday brunch.
</t>
  </si>
  <si>
    <t xml:space="preserve">പുതിന വെജിറ്റബിൾസ് മൊയിലി റെസിപ്പി ഉണ്ടാക്കാൻ തുടങ്ങാൻ, തേങ്ങ ചുരണ്ടുക, കട്ടിയുള്ളതും കനം കുറഞ്ഞതുമായ തേങ്ങാപ്പാൽ എടുത്ത് മാറ്റി വയ്ക്കുക. ഒരു വോക്ക് / കടായിയിൽ എണ്ണ ചൂടാക്കി, കടുക് പൊട്ടിച്ച് അത് തെറിക്കാൻ അനുവദിക്കുക. കറിവേപ്പിലയും കനംകുറഞ്ഞ സവാളയും ചേർത്ത് അർദ്ധസുതാര്യം വരുന്നത് വരെ വഴറ്റുക. ബാഷ്പീകരിക്കപ്പെടുന്നു. ക്യൂബ്സ് പച്ചക്കറികൾ, കുരുമുളക് പൊടി, മഞ്ഞൾപ്പൊടി എന്നിവ ചേർത്ത് ഒരു മിനിറ്റ് വഴറ്റുക. നേരിയ തേങ്ങാപ്പാൽ ചേർക്കുക, പച്ചക്കറികൾ മൂടിവെച്ച് വേവിക്കുക. ഇത് 5 മുതൽ 6 മിനിറ്റ് വരെ എടുക്കും. തക്കാളി അരിഞ്ഞത് ചേർത്ത് ഒരു മിനിറ്റ് വേവിക്കുക. പച്ചക്കറികൾ വേവിച്ചുകഴിഞ്ഞാൽ, കട്ടിയുള്ള തേങ്ങാപ്പാലും പുതിന പേസ്റ്റും ചേർത്ത് 2 മിനിറ്റ് ചൂടാക്കുക. ഈ മിശ്രിതം ഈ ഘട്ടത്തിൽ തിളപ്പിക്കാതിരിക്കാൻ ശ്രദ്ധിക്കുക, അല്ലാത്തപക്ഷം തേങ്ങാപ്പാൽ തൈര്. തീ ഓഫ് ചെയ്യുക, ചെറുനാരങ്ങാനീര് ചേർക്കുക. ഞായറാഴ്ച ബ്രഞ്ചിനുള്ള അപ്പം അല്ലെങ്കിൽ ഇടിയപ്പം അല്ലെങ്കിൽ ആവിയിൽ വേവിച്ച ചോറിനൊപ്പം.
</t>
  </si>
  <si>
    <t>http://www.archanaskitchen.com/mint-vegetables-moilee-recipe-mixed-vegetables-cooked-in-minty-coconut-milk</t>
  </si>
  <si>
    <t>Mushroom Thoran Recipe-Kerala Style Mushroom Sabzi</t>
  </si>
  <si>
    <t>മഷ്റൂം തോരൻ റെസിപ്പി-കേരള സ്റ്റൈൽ മഷ്റൂം സബ്സി</t>
  </si>
  <si>
    <t>20 ബട്ടൺ കൂൺ - ചെറുതായി അരിഞ്ഞത്, 1/2 ടീസ്പൂൺ മഞ്ഞൾപൊടി (ഹാൽദി), 2 ടേബിൾസ്പൂൺ സൂര്യകാന്തി എണ്ണ, ഉപ്പ് - പാകത്തിന്, 4 ടേബിൾസ്പൂൺ പുതിയ തേങ്ങ - വറ്റൽ, 4 ചെറുപയർ, 2 പച്ചമുളക്, 5 കറിവേപ്പില, 1/2 ടീസ്പൂൺ ജീരകം (ജീര), 1 ടീസ്പൂൺ കടുക്, 2 ടീസ്പൂൺ കടുക്, 2 ടീസ്പൂൺ. മുളക്</t>
  </si>
  <si>
    <t>20 Button mushrooms - finely chopped,1/2 teaspoon Turmeric powder (Haldi),2 tablespoon Sunflower Oil,Salt - to taste,4 tablespoon Fresh coconut - grated,4 Shallots,2 Green Chillies,5 Curry leaves,1/2 teaspoon Cumin seeds (Jeera),1 teaspoon Mustard seeds,1 teaspoon Cumin seeds (Jeera),2 sprig Curry leaves,2 Dry Red Chillies</t>
  </si>
  <si>
    <t xml:space="preserve">To prepare this easy Mushroom thoran Recipe-Kerala Style Mushroom Sabzi, prep up with all the ingredients first.Grind all the ingredients meant for spice paste into a thick coarse paste by adding 1/3 cup water.Heat a kadai and add oil. Add mustard seeds and after they splutter, one by one add the other ingredients meant for tempering and mix well.Add the finely chopped mushrooms and turmeric powder and mix well. After some time water will be released from the mushrooms. Cook it for 10 to 15 minutes till the mushrooms appear tender.Now add the ground coconut paste to the mushrooms and cook uncovered for 10 minutes.Add salt to taste and give it a stir. Serve Kerala Style Mushroom thoran Recipe-Kerala Style Mushroom Sabzi with Steamed rice and Cheriya Ulli Sambar.
</t>
  </si>
  <si>
    <t xml:space="preserve">ഈ എളുപ്പമുള്ള മഷ്റൂം തോരൻ റെസിപ്പി-കേരള സ്റ്റൈൽ മഷ്റൂം സബ്സി തയ്യാറാക്കാൻ, ആദ്യം എല്ലാ ചേരുവകളും ഉപയോഗിച്ച് തയ്യാറാക്കുക. മസാല പേസ്റ്റിനുള്ള എല്ലാ ചേരുവകളും 1/3 കപ്പ് വെള്ളം ചേർത്ത് കട്ടിയുള്ള നാടൻ പേസ്റ്റിലേക്ക് പൊടിക്കുക. ഒരു കടായി ചൂടാക്കി എണ്ണ ചേർക്കുക. കടുക് ചേർക്കുക, അവ തെറിച്ചതിന് ശേഷം, ടെമ്പറിംഗിനുള്ള മറ്റ് ചേരുവകൾ ഓരോന്നായി ചേർത്ത് നന്നായി ഇളക്കുക. ചെറുതായി അരിഞ്ഞ കൂൺ, മഞ്ഞൾപ്പൊടി എന്നിവ ചേർത്ത് നന്നായി ഇളക്കുക. കുറച്ച് സമയത്തിന് ശേഷം കൂണിൽ നിന്ന് വെള്ളം പുറത്തുവരും. കൂൺ ഇളകുന്നത് വരെ 10 മുതൽ 15 മിനിറ്റ് വരെ വേവിക്കുക. ഇപ്പോൾ അരച്ചെടുത്ത തേങ്ങാ പേസ്റ്റ് കൂണിൽ ചേർത്ത് 10 മിനിറ്റ് മൂടി വയ്ക്കാതെ വേവിക്കുക. പാകത്തിന് ഉപ്പ് ചേർത്ത് ഇളക്കുക. കേരള സ്റ്റൈൽ മഷ്‌റൂം തോരൻ റെസിപ്പി-കേരള സ്റ്റൈൽ മഷ്‌റൂം സബ്‌സി ആവിയിൽ വേവിച്ച ചോറും ചെറിയ ഉള്ളി സാമ്പാറും.
</t>
  </si>
  <si>
    <t>http://www.archanaskitchen.com/mushroom-thoran-recipe-kerala-style-mushroom-sabzi</t>
  </si>
  <si>
    <t>Murungai Keerai Puttu - Drumstick Leaves Puttu Recipe</t>
  </si>
  <si>
    <t>മുരുങ്കൈ കീരൈ പുട്ട് - മുരിങ്ങയില പുട്ട് പാചകരീതി</t>
  </si>
  <si>
    <t>1/2 കപ്പ് റാഗി മാവ് (ഫിംഗർ മില്ലറ്റ് / നാഗ്ലി), 1/2 കപ്പ് ബജ്‌റ മാവ് (പേൾ മില്ലറ്റ്), ഒരു കപ്പ് അരിപ്പൊടി, 1 കപ്പ് മുരിങ്ങയില (മുരിങ്ങ / മുരുങ്ങൈ കീരൈ), ഉപ്പ് - ആവശ്യത്തിന്, വെള്ളം - ആവശ്യത്തിന്, 2 ടീസ്പൂൺ നെയ്യ്, 1 കപ്പ് പുതിയ തേങ്ങ - അരച്ചത്</t>
  </si>
  <si>
    <t>1/2 cup Ragi Flour (Finger Millet/ Nagli),1/2 cup Bajra Flour ( Pearl Millet),1 cup Rice flour,1 cup Drumstick Leaves (Moringa/Murungai Keerai),Salt - as required,Water - as required,2 teaspoons Ghee,1 cup Fresh coconut - grated</t>
  </si>
  <si>
    <t xml:space="preserve">To begin making the Murungai Keerai Puttu recipe, heat ghee in a heavy bottomed pan.Add the drumstick leaves to it and saute for a minute until it shrinks. Keep aside.Add ragi flour, bajra flour and rice flour in a mixing bowl. Add salt to it and mix well. Sprinkle water little by little and rub into flour to make it crumbly.It has to be in puttu consistency. That is, if small amount of flour is taken and pressed in palm it has to hold shape and crumble if pressed further tightly.Add water to the base vessel of puttu maker until 3/4th and place it on stove. Now place the disc with holes at bottom of top cylindrical vessel.Add 3 teaspoons of coconut to the cylindrical vessel, followed by 2 teaspoons of sauteed drumstick leaves and half of the prepared puttu flour.Layer it again with coconut, drumstick leaves and remaining puttu flour until it reaches top. Close with lid and place the cylindrical vessel on top of base vessel on stove.Steam the Murungai Keerai Puttu for 10 minutes on medium flame or until the top starts releasing steam.Once done, allow Murungai Keerai Puttu to cool and remove the puttu from cylindrical vessel using the stick that accompanied the puttu maker.The healthy drumstick leaves puttu is ready to serve. Serve Murungai Keerai Puttu along with Kerala Kadala Curry for a healthy breakfast meal or you can also relish it for lunch.
</t>
  </si>
  <si>
    <t xml:space="preserve">മുരുങ്കൈ കീരൈ പുട്ട് പാചകക്കുറിപ്പ് തയ്യാറാക്കാൻ ആരംഭിക്കുന്നതിന്, അടിയിൽ കട്ടിയുള്ള ഒരു പാത്രത്തിൽ നെയ്യ് ചൂടാക്കുക. അതിലേക്ക് മുരിങ്ങയില ചേർക്കുക, അത് ചുരുങ്ങുന്നത് വരെ ഒരു മിനിറ്റ് വഴറ്റുക. ഒരു മിക്സിംഗ് പാത്രത്തിൽ റാഗി മാവ്, ബജ്റ മാവ്, അരിപ്പൊടി എന്നിവ ചേർക്കുക. ഇതിലേക്ക് ഉപ്പ് ചേർത്ത് നന്നായി ഇളക്കുക. ചെറുതായി വെള്ളം തളിച്ച് പൊടിച്ച മാവിൽ പുരട്ടുക. ഇത് പുട്ടിൻ്റെ സ്ഥിരതയിലായിരിക്കണം. അതായത്, ചെറിയ അളവിൽ മാവ് എടുത്ത് ഈന്തപ്പനയിൽ അമർത്തിയാൽ അതിൻ്റെ ആകൃതി പിടിക്കുകയും കൂടുതൽ ശക്തമായി അമർത്തിയാൽ പൊടിക്കുകയും വേണം. ഇപ്പോൾ മുകളിലെ സിലിണ്ടർ പാത്രത്തിൻ്റെ അടിയിൽ ദ്വാരങ്ങളുള്ള ഡിസ്ക് വയ്ക്കുക. സിലിണ്ടർ പാത്രത്തിൽ 3 ടീസ്പൂൺ തേങ്ങ ചേർക്കുക, തുടർന്ന് 2 ടീസ്പൂൺ വറുത്ത മുരിങ്ങയിലയും തയ്യാറാക്കിയ പുട്ടു മാവിൻ്റെ പകുതിയും ചേർക്കുക. തേങ്ങ, മുരിങ്ങയില, ബാക്കിയുള്ള പുട്ടു മാവ് എന്നിവ ഉപയോഗിച്ച് വീണ്ടും വയ്ക്കുക. ലിഡ് ഉപയോഗിച്ച് അടച്ച് സിലിണ്ടർ ആകൃതിയിലുള്ള പാത്രം സ്റ്റൗവിലെ ബേസ് പാത്രത്തിന് മുകളിൽ വയ്ക്കുക.മുരുങ്കൈ കീരൈ പുട്ട് 10 മിനിറ്റ് ഇടത്തരം തീയിലോ മുകളിൽ നിന്ന് നീരാവി പുറപ്പെടുവിക്കുന്നത് വരെയോ ആവിയിൽ വേവിക്കുക. കഴിഞ്ഞാൽ മുരുങ്ങൈ കീരൈ പുട്ട് തണുത്ത് മാറ്റാൻ അനുവദിക്കുക. സേവിക്കുക. ആരോഗ്യകരമായ പ്രഭാതഭക്ഷണത്തിനായി മുരുങ്കൈ കീരൈ പുട്ടും കേരള കടല കറിയും സേവിക്കുക അല്ലെങ്കിൽ ഉച്ചഭക്ഷണത്തിനും നിങ്ങൾക്ക് അത് ആസ്വദിക്കാം.
</t>
  </si>
  <si>
    <t>http://www.archanaskitchen.com/murungai-keerai-puttu-drumstick-leaves-puttu-recipe</t>
  </si>
  <si>
    <t>Kerala Style Whole Wheat Parotta Recipe</t>
  </si>
  <si>
    <t>കേരള സ്റ്റൈൽ ഹോൾ വീറ്റ് പരോട്ട റെസിപ്പി</t>
  </si>
  <si>
    <t>2 കപ്പ് മുഴുവൻ ഗോതമ്പ് മാവ്, 1 ടേബിൾസ്പൂൺ നെയ്യ് - കുഴെച്ചതിന്, 1/2 കപ്പ് പാൽ, 1/2 ടീസ്പൂൺ പഞ്ചസാര, വെള്ളം - ഇളം ചൂട്, നെയ്യ് - ഉരുകിയത്, ഉപ്പ് - പാകത്തിന്</t>
  </si>
  <si>
    <t>2 cups Whole Wheat Flour,1 tablespoon Ghee - for dough,1/2 cup Milk,1/2 teaspoon Sugar,Water - Lukewarm,Ghee - Melted,Salt - to taste</t>
  </si>
  <si>
    <t xml:space="preserve">To begin making the Kerala Style Whole Wheat Parotta Recipe , in a mixing bowl add the flour, 1 tablespoon ghee, milk, sugar, salt and sufficient lukewarm water and make a hard dough.Cover it and keep it aside for 15-20 minutes.Divide the dough into equal portions and roll them into balls.Apply some oil on the balls and cover it. Keep it aside for another 5 to 10 minutes.Spread a little oil or ghee on the table top. Place ball on it and roll it with the help of a rolling pin into thin sheet.Now apply some ghee or oil on the rolled sheet and dust it with the little refined flour.Make small pleats and roll into a round ball. Do the same with the remaining balls. Cover it and leave it aside for 5 minutes.Now take the rested balls and roll like chapati.Heat non-sticky tawa and place the rolled chapati on it.Drizzle little ghee or oil and cook it from both sides until lightly brown and crisp.Serve the Kerala Style Whole Wheat Parotta Recipe with Kappa stew or Kerala Kadala Curry Recipe (Spicy Chickpeas in Coconut Curry) to enjoy your meal.
</t>
  </si>
  <si>
    <t xml:space="preserve">കേരള സ്‌റ്റൈൽ ഹോൾ ഗോതമ്പ് പരോട്ട റെസിപ്പി ഉണ്ടാക്കാൻ തുടങ്ങുന്നതിന്, ഒരു പാത്രത്തിൽ മൈദ, 1 ടേബിൾസ്പൂൺ നെയ്യ്, പാൽ, പഞ്ചസാര, ഉപ്പ്, ആവശ്യത്തിന് ഇളം ചൂടുവെള്ളം എന്നിവ ചേർത്ത് കട്ടിയുള്ള മാവ് ഉണ്ടാക്കുക. ഇത് മൂടി 15-20 മിനിറ്റ് വയ്ക്കുക. കുഴെച്ചതുമുതൽ തുല്യ ഭാഗങ്ങളായി വിഭജിച്ച് ഉരുളകളാക്കി ഉരുളകളാക്കി ഉരുളകളാക്കി ഉരുളകളിൽ പുരട്ടുക. മറ്റൊരു 5 മുതൽ 10 മിനിറ്റ് വരെ മാറ്റി വയ്ക്കുക. മേശയുടെ മുകളിൽ അല്പം എണ്ണയോ നെയ്യോ വിതറുക. അതിൽ പന്ത് വയ്ക്കുക, ഒരു റോളിംഗ് പിന്നിൻ്റെ സഹായത്തോടെ നേർത്ത ഷീറ്റിലേക്ക് ഉരുട്ടുക. ഇപ്പോൾ ഉരുട്ടിയ ഷീറ്റിൽ കുറച്ച് നെയ്യോ എണ്ണയോ പുരട്ടി കുറച്ച് ശുദ്ധീകരിച്ച മാവ് ഉപയോഗിച്ച് പൊടിക്കുക. ചെറിയ പ്ലീറ്റുകൾ ഉണ്ടാക്കി വൃത്താകൃതിയിലുള്ള ബോൾ ആക്കുക. ബാക്കിയുള്ള ബോളുകളിലും ഇത് ചെയ്യുക. ഇത് മൂടി 5 മിനിറ്റ് മാറ്റി വെക്കുക. ഇപ്പോൾ വിശ്രമിച്ച ഉരുളകൾ എടുത്ത് ചപ്പാത്തി പോലെ ഉരുട്ടുക. നോൺ-സ്റ്റിക്കി തവ ചൂടാക്കി ഉരുട്ടിയ ചപ്പാത്തി അതിന്മേൽ വയ്ക്കുക. കുറച്ച് നെയ്യോ എണ്ണയോ ഒഴിച്ച് ഇരുവശത്തും ഇളം ബ്രൗൺ നിറമാകുന്നത് വരെ വേവിക്കുക. കേരള സ്റ്റൈൽ കപ്പേരി ഹോൾ ഗോതമ്പ് പരോട്ട പാചകക്കുറിപ്പ് കപ്പല പായലിനൊപ്പം വിളമ്പുക. (തേങ്ങാ കറിയിലെ എരിവുള്ള ചെറുപയർ) നിങ്ങളുടെ ഭക്ഷണം ആസ്വദിക്കാൻ.
</t>
  </si>
  <si>
    <t>https://www.archanaskitchen.com/kerala-style-whole-wheat-parotta-recipe</t>
  </si>
  <si>
    <t>Kerala Style Vegetable Stew Recipe – Kerala Style Vegetable Stew (Recipe In Hindi)</t>
  </si>
  <si>
    <t>കേരള സ്റ്റൈൽ വെജിറ്റബിൾ സ്റ്റൂ റെസിപ്പി - കേരള സ്റ്റൈൽ വെജിറ്റബിൾ സ്റ്റ്യൂ (ഹിന്ദിയിൽ പാചകക്കുറിപ്പ്)</t>
  </si>
  <si>
    <t>1 ആലൂ - ഛീലകർ ലംബ കാറ്റ് ലെ,1 ഗജർ - ഛീലകർ ലംബ കാറ്റ് ലെ,15 ഹര ബീൻസ് - ലംബ, 4പത്, ഹരേ മട്ടർ,1 പ്യാജ് - ലാൽ,1 ലഹസുൻ - കസ് ലെ,1/2 ഇഞ്ച് അദരക് - ഛീലകർ കസ് ലെ,1/2 കപ നാറിയൽ -4, തക, 4000 നാറിയൽ കാ ദൂധ - മൊട്ട,നമക് - സ്വാദ് അനുസാർ,1/2 ഇഞ്ച് ഡാൾ ചീനി,1 തേജ് പത്ത,2 മുതൽ 12,10 വരെ കാലി മർച്ച,1 ഇലൈച്ചി,1 തഹനി കഠി പട്ട,1 ഛോട്ട ചമച്ച നാറിയൽ കാ ടെൽ</t>
  </si>
  <si>
    <t>1 potato - peeled and cut into long pieces, 1 carrot - peeled and cut into long pieces, 15 green beans - cut into long pieces, 1/4 cup green peas, 1 red onion, 1 garlic - grated, 1/2 inch ginger - peeled and grated, 1/2 cup coconut milk - thin, 3/4 cup coconut milk - thick, salt - according to taste, 1/2 inch cinnamon stick, 1 bay leaf, 2 cloves, 10 to 12 whole black pepper, 1 cardamom, 1 sprig curry leaves, 1 teaspoon coconut oil</t>
  </si>
  <si>
    <t>To make Kerala Style Vegetable Stew, first wash the vegetables and steam them. Steam till they become soft and keep aside. Heat coconut oil in a pan. Add all the dry spices and curry leaves given for tempering. After 10 seconds, add ginger and garlic and let it cook for 20 seconds. After 20 seconds, add steamed vegetables and thin coconut milk. Cover it and let it cook for 5 minutes. After 5 minutes, add thick coconut milk, mix it and let it cook for 1 minute. Turn off the gas and serve hot. Serve Kerala Style Vegetable Stew with Appam or Dosa for your breakfast or for lunch.</t>
  </si>
  <si>
    <t xml:space="preserve">കേരള സ്‌റ്റൈൽ വെജിറ്റബിൾ സ്റ്റൂ ബനാനെയുടെ സബ്‌സി പഹലെ സബ്‌ജിയോ കോ കർധോ. നരം ഹോനെ തക് ഭാപേ കൂടാതെ അലഗ് സെ രഖ് ദേ. ഒരു കഥയിൽ നാരിയൽ കാ തെൽ ഗരം ചെയ്യുന്നു. ഇത് പോലെ തന്നെ ... 10 സെക്കണ്ട്സ് ബാദ് ഇസമെം അദരക്, ലഹസുൻ ഡാലെ കൂടാതെ 20 സെക്കണ്ട്സ് തക്ക് പകനെ ദേ. 20 സെക്കണ്ടുകളുടെ ബാദ് ഇതുപോലെ തന്നെ ഭാപി ഹ്യൂ സബ്ജിയാ ഒപ്പം പാതാള നാറിയൽ കാ ദൂധേ. ഠക് ലെ കൂടാതെ 5 മിനിറ്റ് തക്ക പകനെ ദേ. 5 മിനിറ്റ് ബാദ്, ഗാഢാ നാറിയൽ കാ ദൂധ ദാലെ, മിലായേ കൂടാതെ 1 മിനിറ്റ് തക്ക പകനേ ദേ. ഗെയ്‌സ് ബന്ദ് കരെം ആൻഡ് ഗരമ ഗരം പരോസ്.കേരള സ്റ്റൈൽ വെജിറ്റബിൾ സ്റ്റൂ കോപ്പ് സത്ത് അപനേ സുബഹയുടെ നഷ്ടം അല്ലെങ്കിൽ ദിനം ഖാനെ കുറിച്ച്.
</t>
  </si>
  <si>
    <t>http://www.archanaskitchen.com/kerala-style-vegetable-stew-recipe-in-hindi</t>
  </si>
  <si>
    <t>Kerala Vendakkai Thoran Recipe</t>
  </si>
  <si>
    <t>കേരള വെണ്ടക്കൈ തോരൻ റെസിപ്പി - Kerala Vendakkai Thoran Recipe</t>
  </si>
  <si>
    <t>350 ഗ്രാം ബിണ്ടി - സ്‌റ്റം നികൽ പോലെ കട്ട് ലെ,1/2 കപ്പ് നാറിയൽ - കസ് ലെ,2 ഹരിക -ചീർ ലെ,10 ഛോട്ടേ പ്യാജ് - കാറ്റ് ലെ,1 ഇഞ്ച് അദരക് - ഛീലകർ കസ് ലെ,1 ഛോട്ട ചംച റായ്,1 ചമ്മച് സഫേദ് ഉരദ ദാൽ,നമക് - സ്വാദ് അനുസാർ,6 കഠി പട്ട,2 ബഡേ ചമ്മൽ</t>
  </si>
  <si>
    <t>350 grams ladyfinger - remove the stem and cut it from the middle, 1/2 cup coconut - grated, 2 green chillies - finely chopped, 10 small onions - chopped, 1 inch ginger - peeled and grated, 1 teaspoon mustard seeds, 1 teaspoon white urad dal, salt - according to taste, 6 curry leaves, 2 tablespoons oil</t>
  </si>
  <si>
    <t>To make Kerala Vendaikai Thoran Recipe, first grind coconut, green chillies, some water in a mixer grinder. Transfer the paste to a bowl and keep aside. Now heat oil in a pan. Add mustard seeds, urad dal, curry leaves and let them crackle. After crackling, add onion, ginger and cook till onion becomes soft. After onion becomes soft, add ladyfinger, curry leaves and salt. Cover the pan and cook till ladyfingers become soft. After ladyfingers become soft, add coconut and green chilli paste. Mix the vegetables and let it cook for 5 to 10 minutes. Turn off the gas and serve. Serve Kerala Vendaikai Thoran Recipe with Chow Chow Sambar, Rice and Papad for lunch.</t>
  </si>
  <si>
    <t xml:space="preserve">കേരള വെണ്ടകൈ തോരൻ റെസിപ്പി ബനാനെ ഒരു സബ്സെ പഹലെ ഒരു മിക്സർ ഗ്രെയിൻഡറിൽ, നാറിയൽ, തോഡ പാനി ഡാലെ കൂടാതെ പീസ് ലെ. ഈ പെസ്റ്റ് കോ ബൗൾ മെം ഡാലെ ആൻഡ് അലഗ് സെ രഖ് ദേ. ഇനി ഒരു കഥ അതുപോലെ റായ്, ഉരദ് ദാൽ, കഠി പട്ട ദാലെ കൂടാതെ തടക്കനെ ദേ. അധികം വൈകാതെ യാത്ര, അദരക് ഡാലെ, കൂടാതെ പ്യാജ് എന്നിവയും ശ്രദ്ധിക്കേണ്ടതാണ്. ഇത് പോലെ തന്നെ ഭിണ്ടി, കടപ്പാട്, നമക് ഡാലെ. കഠായി കോ ഠകെയും ബിന്ദിയും നരം ഹോനെ തക പക ലെ. മിർച്ച് കാ പെസ്റ്റ് ഡാലെ. സബ്ജി കോ മിലാ ലെയും 5 സെ 10 മിനിറ്റും. ഗെയ്സ് ബന്ദ് കരെം ആൻഡ് പരോസ്. കേരള വെണ്ടകൈ തോരൻ റെസിപ്പി കോ ചൗ സാംബർ, ചാവൽ, കൂടാതെ പാട്ട് എന്നിവയും ശ്രദ്ധിക്കേണ്ടതാണ്.
</t>
  </si>
  <si>
    <t>https://www.archanaskitchen.com/kerala-vendakkai-thoran-recipe-okra-stir-fry-with-coconut-in-hindi</t>
  </si>
  <si>
    <t>Kerala Style Prawns &amp; Shrimp Biryani  -Chemmeen Biryani Recipe</t>
  </si>
  <si>
    <t>കേരള സ്റ്റൈൽ കൊഞ്ച് &amp; ചെമ്മീൻ ബിരിയാണി -ചെമ്മീൻ ബിരിയാണി</t>
  </si>
  <si>
    <t>3 കപ്പ് ബസ്മതി അരി - 25-35 മിനിറ്റ് കുതിർത്തത്, 6 ഏലം (ഇലച്ചി) കായ്കൾ/വിത്ത്, 6 ഗ്രാമ്പൂ (ലൗംഗ്), 1 കറുവാപ്പട്ട (ഡാൽചിനി), 1 ടീസ്പൂൺ മല്ലി (ധാനിയ) ഇലകൾ - ചെറുതായി അരിഞ്ഞത്, 1 ടീസ്പൂൺ പുതിനയില (പുദീന) - 3 ടേബിൾസ്പൂൺ ചെറുതായി അരിഞ്ഞത്. നീര്, ഉപ്പ് - പാകത്തിന്, 1/2 കി.ഗ്രാം കൊഞ്ച് - വൃത്തിയാക്കി വേവിച്ചെടുത്തത്, 1 ടേബിൾസ്പൂൺ ഇഞ്ചി വെളുത്തുള്ളി പേസ്റ്റ്, 1/2 ടേബിൾസ്പൂൺ ചുവന്ന മുളക് പൊടി, 1/2 ടീസ്പൂൺ മുഴുവൻ കുരുമുളക് - പൊടിച്ചത്, ഉപ്പ് - പാകത്തിന്, 3 ഉള്ളി - ചെറുതായി അരിഞ്ഞത്, 1/2 ടേബിൾസ്പൂൺ ഇഞ്ചി - പേസ്റ്റ്, 1/2 ടേബിൾസ്പൂൺ വെളുത്തുള്ളി - 2 ടേബിൾസ്പൂൺ - 2 ടേബിൾസ്പൂൺ വെളുത്തുള്ളി - പേസ്റ്റ് അരിഞ്ഞത്, 1 പുതിയ തേങ്ങ - ഒരു പിടി, 1 മല്ലിയില (ധാനിയ) - ഒരു പിടി, 1/4 കപ്പ് പുതിനയില (പുദീന) - ചെറുതായി അരിഞ്ഞത്, 1/2 കപ്പ് തൈര് (ദാഹി / തൈര്), 6 - 8 കശുവണ്ടിപ്പരിപ്പ് - 2 ടേബിൾസ്പൂൺ വെള്ളത്തിൽ കുതിർത്തത്, 1 ടീസ്പൂൺ ഗരം മസാലപ്പൊടി - 1 ടേബിൾസ്പൂൺ ഗരം മസാലപ്പൊടി - 1 ടേബിൾസ്പൂൺ. അണ്ടിപ്പരിപ്പ് - പിടി, 1 ഉണക്കമുന്തിരി - പിടി, 1 സവാള - ചെറുതായി അരിഞ്ഞത്, 1 ടീസ്പൂൺ മല്ലിയില (ധാനിയ) - ചെറുതായി അരിഞ്ഞത്, 1 ടീസ്പൂൺ പുതിനയില (പുദീന) - ചെറുതായി അരിഞ്ഞത്, 1 ടീസ്പൂൺ പുതിനയില (പുദീന) - ചെറുതായി അരിഞ്ഞത്</t>
  </si>
  <si>
    <t>3 cups Basmati rice - soaked for 25-35 minutes,6 Cardamom (Elaichi) Pods/Seeds,6 Cloves (Laung),1 Cinnamon Stick (Dalchini),1 teaspoon Coriander (Dhania) Leaves - finely chopped,1 teaspoon Mint Leaves (Pudina) - finely chopped,3 tablespoons Ghee,3-4 tablespoons Lemon juice,Salt - to taste,1/2 kg Prawns - cleaned and deveined,1 tablespoon Ginger Garlic Paste,1/2 tablespoon Red Chilli powder,1/2 teaspoon Whole Black Peppercorns - ground,Salt - to taste,3 Onions - finely chopped,1/2 tablespoon Ginger - paste,1/2 tablespoon Garlic - paste,5 - 6 Green Chillies,2 - 3 Tomatoes - finely chopped,1 Fresh coconut - handful,1 Coriander (Dhania) Leaves - handful,1/4 cup Mint Leaves (Pudina) - finely chopped,1/2 cup Curd (Dahi / Yogurt),6 - 8 Cashew nuts - soaked in 2 tablespoons water,1 teaspoon Garam masala powder,Sunflower Oil - vegetable oil,1 Salt - to taste,1 Cashew nuts - handful,1 Raisins - handful,1 Onion - finely sliced,1 teaspoon Coriander (Dhania) Leaves - finely chopped,1 teaspoon Mint Leaves (Pudina) - finely chopped,1 teaspoon Mint Leaves (Pudina) - finely chopped</t>
  </si>
  <si>
    <t xml:space="preserve">Start making Kerala Style Prawns &amp; Shrimp Biryani (Chemmeen Biryani Recipe) by mixing prawns with ingredients mentioned under marinating prawns, and refrigerate for 2-3 hours. Meanwhile you can prepare basmati rice for biryani.Meanwhile, grind grated coconut and coriander leaves into a smooth paste.Also grind soaked cashews and keep aside.Heat oil in a Stir-fry pan and shallow fry marinated prawns and keep aside.In the same pan, heat oil and add onions, 1 tablespoon ginger-garlic paste and green chillies, sauté till done.Once the onions are soft, add chopped tomatoes and sauté till cooked.Now add curd, ground paste of coconut-coriander and stir well.Once it comes to boil and the raw smell disappears, add shallow fried prawns and cook on low flame and sauté for 5-6 minutes till the prawns are well-coated with masala.Add the cashew paste and garam masala. Combine well and cook for another 2 to 3 minutes till the mixture thickens slightly. Switch off flame and allow the pan to cool.Instruction for RiceWhile the prawn is getting marinated, drain all water from soaked basmati rice.Meanwhile, heat ghee/oil in a pressure cooker and splutter cardamom, cloves and cinnamon till aromatic and add rice to fry for 5 minutes or until rice starts cracking.Add the water, lemon juice, salt and leaves. Stir well. Cover the pressure cooker with lid without weight.Cook on a high flame till a strong steam comes through. Turn the flame to a complete sim and cook for 5 minutes.Switch off flame and leave to cook on residual heat of the stove for 30 minutes.Once the rice is ready, fluff the rice with a fork or spread the rice on a tray &amp; keep aside.Instruction For GarnishHeat ghee/oil in a pan and fry the cashews and raisins. Remove them from the pan and fry the onions till golden brown.Drain any excess ghee on a paper towel.Layering The Biryani - Stove Top MethodGrease a thick bottomed Biryani pot/Stew pot with ghee.Add a layer of the prawns masala as the bottom layer. Next add a layer of rice as the second layer. Repeat layers till the masala and rice is used up completely. The top most layer of the biriyani must be the rice. Drizzle a little ghee between each layer. Sprinkle coriander and mint leaves on top.Cover with lid and cook for 15 to 20 minutes on lowest flame.Once the biriyani is done, spread the garnish all over and cover again and keep closed for at least 15 minutes to cook in residual heat.Layering The Biryani – Oven MethodPreheat Oven at 180 degree Celsius for 10 minutes.Grease a baking dish with ghee and add layers and garnishing like mentioned above under stove top method.Cover dish with aluminium foil or wet cloth and bake for 25-30 minutes.Serve Chemmeen Biryani hot with papad and Burani Raita or Lauki Raita.
</t>
  </si>
  <si>
    <t xml:space="preserve">മാരിനേറ്റ് ചെമ്മീനിൽ പറഞ്ഞിരിക്കുന്ന ചേരുവകളോടൊപ്പം ചെമ്മീൻ മിക്‌സ് ചെയ്ത് 2-3 മണിക്കൂർ ഫ്രിഡ്ജിൽ വെക്കുക, കേരള സ്‌റ്റൈൽ കൊഞ്ചും ചെമ്മീൻ ബിരിയാണിയും ഉണ്ടാക്കാൻ തുടങ്ങുക. ഇതിനിടയിൽ ബിരിയാണിക്ക് ബസുമതി റൈസ് തയ്യാറാക്കാം.അതേസമയം, തേങ്ങയും മല്ലിയിലയും അരച്ചത് നന്നായി അരച്ചെടുക്കുക.ഒപ്പം കുതിർത്ത കശുവണ്ടിയും പൊടിച്ച് മാറ്റിവെക്കുക.ഒരു പാത്രത്തിൽ എണ്ണ ചൂടാക്കി മാരിനേറ്റ് ചെയ്ത ചെമ്മീൻ വറുത്ത് വറുത്ത് മാറ്റി വയ്ക്കുക. പാകമാകുന്നത് വരെ വഴറ്റുക.ഉള്ളി നന്നായി വഴന്നു കഴിഞ്ഞാൽ തക്കാളി അരിഞ്ഞത് ചേർത്ത് വഴറ്റുക.ഇപ്പോൾ തൈരും തേങ്ങ-മല്ലിയില അരച്ച പേസ്റ്റും ചേർത്ത് നന്നായി ഇളക്കുക.ഇത് തിളച്ചു വരുമ്പോൾ അസംസ്കൃതമായ ചെമ്മീൻ ചേർത്ത് ചെറിയ തീയിൽ വേവിച്ച് 5-6 മിനിറ്റ് കാശ് വേവിക്കുക. മസാല. നന്നായി യോജിപ്പിച്ച് മിശ്രിതം ചെറുതായി കട്ടിയാകുന്നതുവരെ മറ്റൊരു 2-3 മിനിറ്റ് വേവിക്കുക. തീ ഓഫ് ചെയ്ത് പാൻ തണുക്കാൻ അനുവദിക്കുക.അരിക്കുള്ള നിർദ്ദേശം കൊഞ്ച് മാരിനേറ്റ് ചെയ്യുമ്പോൾ കുതിർത്ത ബസുമതി അരിയിൽ നിന്ന് വെള്ളമെല്ലാം വറ്റിക്കുക. അതിനിടയിൽ ഒരു പ്രഷർ കുക്കറിൽ നെയ്യ്/എണ്ണ ചൂടാക്കി ഏലക്ക, ഗ്രാമ്പൂ, കറുവപ്പട്ട എന്നിവ ആരോമാറ്റിക് ആയി വിതറുക. അരി ചേർക്കുക. ഇലകൾ. നന്നായി ഇളക്കുക. ഭാരമില്ലാതെ പ്രഷർ കുക്കർ മൂടിവയ്ക്കുക. ശക്തമായ ആവി വരുന്നതുവരെ ഉയർന്ന തീയിൽ വേവിക്കുക. തീ പൂർണ്ണമായും സിമ്മിൽ ആക്കി 5 മിനിറ്റ് വേവിക്കുക. തീ ഓഫ് ചെയ്ത് 30 മിനിറ്റ് സ്റ്റൗവിൽ നിന്ന് വേവിക്കുക. അരി തയ്യാറായിക്കഴിഞ്ഞാൽ, അരി ഒരു ഫോർക്ക് ഉപയോഗിച്ച് ഫ്ലഫ് ചെയ്യുക അല്ലെങ്കിൽ ഒരു ട്രേയിൽ അരി വിതറി മാറ്റി വയ്ക്കുക. ചട്ടിയിൽ നിന്ന് മാറ്റി, ഉള്ളി സ്വർണ്ണ തവിട്ട് വരെ വറുത്തെടുക്കുക. ഒരു പേപ്പർ ടവലിൽ അധികമുള്ള നെയ്യ് ഒഴിക്കുക. ബിരിയാണി ലെയറിംഗ് - സ്റ്റൗ ടോപ്പ് രീതി നെയ്യിൽ കട്ടിയുള്ള ഒരു ബിരിയാണി പാത്രം / പായസം പാത്രം ഗ്രീസ് ചെയ്യുക. താഴത്തെ പാളിയായി കൊഞ്ച് മസാലയുടെ ഒരു പാളി ചേർക്കുക. അടുത്തതായി രണ്ടാമത്തെ ലെയറായി ഒരു ലെയർ അരി ചേർക്കുക. മസാലയും അരിയും പൂർണ്ണമായും ഉപയോഗിക്കുന്നതുവരെ പാളികൾ ആവർത്തിക്കുക. ബിരിയാണിയുടെ ഏറ്റവും മുകളിലെ പാളി അരി ആയിരിക്കണം. ഓരോ ലെയറിനുമിടയിൽ അല്പം നെയ്യ് ഒഴിക്കുക. മുകളിൽ മല്ലിയിലയും പുതിനയിലയും വിതറുക. ലിഡ് കൊണ്ട് മൂടി ഏറ്റവും കുറഞ്ഞ തീയിൽ 15 മുതൽ 20 മിനിറ്റ് വരെ വേവിക്കുക. ബിരിയാണി കഴിഞ്ഞാൽ, ഗാർണിഷ് എല്ലായിടത്തും വിതറി വീണ്ടും മൂടി 15 മിനിറ്റെങ്കിലും അടച്ച് ബാക്കിയുള്ള ചൂടിൽ വേവിക്കുക. നെയ്യ് കൊണ്ടുള്ള ബേക്കിംഗ് ഡിഷ്, സ്റ്റൗ ടോപ്പ് രീതിക്ക് കീഴിൽ മുകളിൽ പറഞ്ഞിരിക്കുന്നതുപോലെ ലെയറുകളിട്ട് അലങ്കരിക്കുക. അലുമിനിയം ഫോയിലോ നനഞ്ഞ തുണിയോ ഉപയോഗിച്ച് വിഭവം പൊതിഞ്ഞ് 25-30 മിനിറ്റ് ചുടേണം. ചെമ്മീൻ ബിരിയാണി ചൂടോടെ പപ്പടും ബുരാനി റൈത്തയും ലൗകി റൈതയും ചേർത്ത് വിളമ്പുക.
</t>
  </si>
  <si>
    <t>https://www.archanaskitchen.com/kerala-style-prawns-shrimp-biryani-chemmeen-biryani-recipe</t>
  </si>
  <si>
    <t>Kerala Style Vettu Cake Recipe (Eggless Wholewheat Tea Shop Cake)</t>
  </si>
  <si>
    <t>Kerala Style Vettu Cake Recipe (മുട്ടയില്ലാത്ത ഹോൾവീറ്റ് ടീ ​​ഷോപ്പ് കേക്ക്)</t>
  </si>
  <si>
    <t>2 കപ്പ് മുഴുവൻ ഗോതമ്പ് മാവ്, 1 കപ്പ് പഞ്ചസാര, 1/2 ടീസ്പൂൺ പാചക സോഡ, 1 ടീസ്പൂൺ വെണ്ണ, 1/4 ടീസ്പൂൺ ഉപ്പ്, 1 ടീസ്പൂൺ ഏലയ്ക്കാപ്പൊടി (ഇലച്ചി), 1/2 കപ്പ് പാൽ, വെള്ളം - ആവശ്യത്തിന്, സൂര്യകാന്തി എണ്ണ - ആഴത്തിൽ വറുക്കാൻ</t>
  </si>
  <si>
    <t>2 cups Whole Wheat Flour,1 cup Sugar,1/2 teaspoon Cooking soda,1 teaspoon Butter,1/4 teaspoon Salt,1 teaspoon Cardamom Powder (Elaichi),1/2 cup Milk,Water - as required,Sunflower Oil - to deep fry</t>
  </si>
  <si>
    <t xml:space="preserve">To prepare Kerala Style Vettu Cake Recipe (Eggless Wholewheat Tea Shop Cake), sift in wheat flour into a mixing bowl. Add salt, cooking soda, sugar, cardamom powder and butter to the flour.Mix everything well and add milk to it. Mix to form crumbs. You can also powder sugar before adding.Then add water little by little and knead into smooth dough. The dough has to be non sticky. Add little flour if needed.Keep the dough covered for 45 minutes. After resting time, roll the dough into a log and cut into 2 inch square pieces.Make a small cut in "X" or "+" mark in the center with a knife. See the picture for reference.Heat oil for deep frying, check the temperature by dropping a small piece of dough. It has to rise to top immediately.Reduce the flame and drop the pieces slowly and fry for 4-5 minutes in batches keeping in low flame. It has to turn golden brown on all sides.Drain the oil using kitchen tissues. Serve Kerala Style Vettu Cake Recipe (Eggless Wholewheat Tea Shop Cake) with Coconut Kewra Drink or Ginger Cardamom Chai.
</t>
  </si>
  <si>
    <t xml:space="preserve">കേരള സ്റ്റൈൽ വെട്ടു കേക്ക് റെസിപ്പി (മുട്ടയില്ലാത്ത ഹോൾവീറ്റ് ടീ ​​ഷോപ്പ് കേക്ക്) തയ്യാറാക്കാൻ, ഗോതമ്പ് പൊടി ഒരു മിക്സിംഗ് പാത്രത്തിലേക്ക് അരിച്ചെടുക്കുക. മാവിൽ ഉപ്പ്, പാചക സോഡ, പഞ്ചസാര, ഏലക്കപ്പൊടി, വെണ്ണ എന്നിവ ചേർക്കുക.എല്ലാം നന്നായി ഇളക്കി അതിൽ പാൽ ചേർക്കുക. നുറുക്കുകൾ രൂപപ്പെടുത്തുന്നതിന് ഇളക്കുക. പഞ്ചസാര ചേർക്കുന്നതിന് മുമ്പ് നിങ്ങൾക്ക് പൊടിച്ചെടുക്കാം. എന്നിട്ട് കുറച്ച് വെള്ളം ചേർത്ത് മിനുസമാർന്ന മാവ് ആക്കുക. മാവ് ഒട്ടിക്കാത്തതായിരിക്കണം. ആവശ്യമെങ്കിൽ അല്പം മൈദ ചേർക്കുക.മാവ് 45 മിനിറ്റ് മൂടി വയ്ക്കുക. വിശ്രമ സമയത്തിന് ശേഷം, കുഴെച്ചതുമുതൽ ഒരു ലോഗ് ആയി ഉരുട്ടി 2 ഇഞ്ച് ചതുര കഷ്ണങ്ങളാക്കി മുറിക്കുക. കത്തി ഉപയോഗിച്ച് മധ്യഭാഗത്ത് "X" അല്ലെങ്കിൽ "+" അടയാളത്തിൽ ഒരു ചെറിയ കട്ട് ഉണ്ടാക്കുക. റഫറൻസിനായി ചിത്രം കാണുക. ആഴത്തിൽ വറുക്കാൻ എണ്ണ ചൂടാക്കുക, ഒരു ചെറിയ കഷണം കുഴച്ചുകൊണ്ട് താപനില പരിശോധിക്കുക. ഇത് ഉടൻ മുകളിലേക്ക് ഉയരണം. തീ കുറച്ച് കഷണങ്ങൾ സാവധാനം ഇറക്കി ചെറിയ തീയിൽ 4-5 മിനിറ്റ് ബാച്ചുകളായി ഫ്രൈ ചെയ്യുക. ഇത് എല്ലാ വശങ്ങളിലും ഗോൾഡൻ ബ്രൗൺ നിറമാകണം.അടുക്കളയിലെ ടിഷ്യൂകൾ ഉപയോഗിച്ച് എണ്ണ കളയുക. കേരള സ്റ്റൈൽ വെട്ടു കേക്ക് റെസിപ്പി (മുട്ടയില്ലാത്ത ഹോൾവീറ്റ് ടീ ​​ഷോപ്പ് കേക്ക്) കോക്കനട്ട് കെവ്ര ഡ്രിങ്ക് അല്ലെങ്കിൽ ജിഞ്ചർ ഏലക്ക ചായയ്‌ക്കൊപ്പം വിളമ്പുക.
</t>
  </si>
  <si>
    <t>https://www.archanaskitchen.com/kerala-style-vettu-cake-recipe-eggless-wholewheat-tea-shop-cake</t>
  </si>
  <si>
    <t>Kerala Style Varutharacha Sambar Recipe - Tangy Coconut Sambar Recipe</t>
  </si>
  <si>
    <t>1/2 കപ്പ് അർഹർ ദാൽ (പിളർന്ന ടൂൾഡാൽ), 2 ഉരുളക്കിഴങ്ങ് (ആലു) - തൊലി കളഞ്ഞ് വലിയ സമചതുരയായി അരിഞ്ഞത്, 1 മുരിങ്ങയില - 2 ഇഞ്ച് കഷണങ്ങളായി അരിഞ്ഞത്, 2 കപ്പ് വെള്ളൈ പൂശാനിക്കായ് (ചായ, വെള്ള മത്തങ്ങ) - ഇടത്തരം സമചതുരയായി അരിഞ്ഞത് (ജിഡി എൽ, 2 കാരറ്റ്) വിരൽ/ഓക്ര) - 1, ½ ഇഞ്ച് കഷണങ്ങളായി മുറിക്കുക, 1 തക്കാളി - ചെറുതായി അരിഞ്ഞത്, 10 ചെറുപയർ - മുഴുവനായോ അല്ലെങ്കിൽ പകുതിയായി അരിഞ്ഞത്, 1-1/2 കപ്പ് പുളിവെള്ളം, 1 ടീസ്പൂൺ മഞ്ഞൾപൊടി (ഹാൽദി), 2 പച്ചമുളക് - നീളത്തിൽ കീറി, 1 തണ്ട് കറിവേപ്പില, 5 തണ്ട് മല്ലിയില - ചെറുതായി അരിഞ്ഞത്. രുചി, 1/2 കപ്പ് പുതിയ തേങ്ങ - അരച്ചത്, 3 ടീസ്പൂൺ മല്ലി (ധാനിയ) വിത്തുകൾ, 4 ഉണങ്ങിയ ചുവന്ന മുളക്, 1 ടീസ്പൂൺ ഉറാദ് ദാൽ (പിളർന്നത്), 1 ടീസ്പൂൺ ചന പരിപ്പ് (ബംഗാൾ പയർ), 1/4 ടീസ്പൂൺ മേത്തി വിത്ത് (ഉലുവ), 1/4 ടീസ്പൂൺ അസഫോറ്റിഡ (ഹിംഗ്), 1 ടീസ്പൂൺ കോക്കൺ, 1 ടീസ്പൂൺ കോക്കൺ, 1 ടീസ്പൂൺ കോക്കൺ, 2 ടീസ്പൂൺ എണ്ണ, 1/2 ടീസ്പൂൺ കടുക്, 2 ചെറുപയർ - ചെറുതായി അരിഞ്ഞത് (ഓപ്ഷണൽ), 2 ഉണങ്ങിയ ചുവന്ന മുളക്, 1 തണ്ട് കറിവേപ്പില</t>
  </si>
  <si>
    <t>1/2 cup Arhar dal (Split Toor Dal),2 Potato (Aloo) - peel the skin and cut into large cubes,1 Drumstick - cut into 2 inch pieces,2 cups Vellai Poosanikai (Ash gourd/White Pumpkin) - cut into medium sized cubes,2 Carrots (Gajjar) - cubed,6 Bhindi (Lady Finger/Okra) - cut into 1 and ½ inch pieces,1 Tomato - diced,10 Shallots - whole or cut into half,1-1/2 cup Tamarind Water,1 teaspoon Turmeric powder (Haldi),2 Green Chillies - slit lengthwise,1 sprig Curry leaves,5 sprig Coriander (Dhania) Leaves - freshly chopped,Salt - to taste,1/2 cup Fresh coconut - grated,3 teaspoon Coriander (Dhania) Seeds,4 Dry Red Chillies,1 teaspoon Black Urad Dal (Split),1 teaspoon Chana dal (Bengal Gram Dal),1/4 teaspoon Methi Seeds (Fenugreek Seeds),1/4 teaspoon Asafoetida (hing),1 Curry leaves - few,1 teaspoon Coconut Oil,2 teaspoons Coconut Oil,1/2 teaspoon Mustard seeds,2 Shallots - finely sliced (optional),2 Dry Red Chillies,1 sprig Curry leaves</t>
  </si>
  <si>
    <t xml:space="preserve">To begin making the Kerala Style Varutharacha Sambar recipe, we will first prepare the Homemade Roasted Coconut Sambar Powder.Heat oil in a heavy bottomed pan and add fenugreek seeds. Roast till lightly browned. Add in the split urad dal and chana dal. Roast until they turn golden brown.Once the dals turn brown add the asafoetida and fry for a few seconds till aroma comes through. Transfer this to a bowl and leave to cool.In the same pan, roast the coriander seeds and dry red chillies. Roast until till they give out a nice aroma and  and the red chillies are lightly browned and roasted. Now add in the curry leaves and grated coconut and fry till the coconut turns brown (take care not to burn the coconut). Keep aside to cool.Once cooled grind all the ingredients in a spice grinder until all the dals and spices are ground into a coarse powder like texture. You can optionally add some water to grind to a fine paste. Once the powder is ready, the next step is to prepare the Varutharacha Sambar.In a pressure cooker add in the tamarind water, turmeric powder, salt and all the vegetables. Add a cup of water and cook until you hear two whistles. Turn off the heat and allow the pressure to release naturally.In a large sauce pan, combine the lentils, the cooked vegetables in tamarind water and the sambar powder. Stir to combine all the ingredients well. Check for the salt and spice levels and adjust according to taste. You can also adjust the consistency of the sambar by adding water if you like it thinner. Turn the heat on medium and begin to simmer the Varutharacha Sambar for about 5 to 6 minutes. While the sambar is simmering, we will now get the seasoning ready. Heat coconut oil in a small pan; add in the mustard seeds and allow it to crackle.Add finely sliced pearl onions and saute until they turn soft and light brown in colour.Add the dry red chillies and curry leaves and fry for a few seconds until the red chillies are roasted. This will take about 20 seconds.Pour the seasoning over the simmering Varutharacha Sambar and garnish with chopped coriander leaves.Turn off the heat and keep the sambar covered for about 10 to 15 minutes before you serve.Serve Varutharacha Sambar along with Carrot and Beans Thoran, Steamed Rice and Elai Vadam for a weekday meal.Note:1. Coconut oil enhances the flavour of the curry and lifts it to a whole new level. For health benefits, I tend to use a lesser quantity of coconut oil in my cooking. I avoided using coconut oil while frying the spices and grated coconut for the ground mixture. I only added it while preparing the seasoning/tempering. Please feel free to add more if you like the flavor.2. Don’t limit your use of veggies to those I have mentioned in the recipe. You can add whichever vegetables are available in your refrigerator.
</t>
  </si>
  <si>
    <t xml:space="preserve">കേരള സ്‌റ്റൈൽ വരുതരാച്ച സാമ്പാർ പാചകക്കുറിപ്പ് തയ്യാറാക്കാൻ തുടങ്ങുന്നതിന്, ഞങ്ങൾ ആദ്യം വീട്ടിൽ വറുത്ത തേങ്ങാ സാമ്പാർ പൊടി തയ്യാറാക്കും. അടിയിൽ കട്ടിയുള്ള ഒരു പാനിൽ എണ്ണ ചൂടാക്കി ഉലുവ ചേർക്കുക. ഇളം ബ്രൗൺ നിറമാകുന്നത് വരെ വറുക്കുക. അതിലേക്ക് പിളർന്ന ഉരങ്ങ് പരിപ്പും ചേനയും ചേർക്കുക. ഗോൾഡൻ ബ്രൗൺ നിറമാകുന്നത് വരെ വറുത്തെടുക്കുക. പരിപ്പ് ബ്രൗൺ നിറമാകുമ്പോൾ അസാഫോറ്റിഡ ചേർത്ത് മണം വരുന്നത് വരെ കുറച്ച് നിമിഷങ്ങൾ ഫ്രൈ ചെയ്യുക. ഇത് ഒരു പാത്രത്തിലേക്ക് മാറ്റി തണുപ്പിക്കാൻ വിടുക. അതേ പാനിൽ മല്ലിയിലയും ഉണങ്ങിയ ചുവന്ന മുളകും വറുത്ത് വറുക്കുക. നല്ല മണം കിട്ടുന്നത് വരെ വറുത്ത് ചുവന്ന മുളക് ചെറുതായി തവിട്ട് വറുത്ത് വറുത്തു കോരുക. ഇനി ഇതിലേക്ക് കറിവേപ്പിലയും അരച്ച തേങ്ങയും ചേർത്ത് തേങ്ങ ബ്രൗൺ നിറമാകുന്നത് വരെ വഴറ്റുക (തേങ്ങാ കരിഞ്ഞുപോകാതിരിക്കാൻ ശ്രദ്ധിക്കുക). തണുക്കാൻ മാറ്റി വയ്ക്കുക. തണുത്ത ശേഷം എല്ലാ ചേരുവകളും ഒരു മസാല ഗ്രൈൻഡറിൽ പൊടിക്കുക, എല്ലാ പരിപ്പുകളും മസാലകളും ഒരു നാടൻ പൊടിയായി പൊടിക്കുന്നു. നല്ല പേസ്റ്റിലേക്ക് പൊടിക്കാൻ നിങ്ങൾക്ക് ഓപ്ഷണലായി കുറച്ച് വെള്ളം ചേർക്കാം. പൊടി തയ്യാറായിക്കഴിഞ്ഞാൽ, അടുത്ത ഘട്ടം വറുത്തരാച്ച സാമ്പാർ തയ്യാറാക്കുക എന്നതാണ്. ഒരു പ്രഷർ കുക്കറിൽ പുളിവെള്ളം, മഞ്ഞൾപ്പൊടി, ഉപ്പ്, എല്ലാ പച്ചക്കറികളും ചേർക്കുക. ഒരു കപ്പ് വെള്ളം ചേർത്ത് രണ്ട് വിസിൽ കേൾക്കുന്നത് വരെ വേവിക്കുക. തീ ഓഫ് ചെയ്ത് മർദ്ദം സ്വാഭാവികമായി പുറത്തുവിടാൻ അനുവദിക്കുക. ഒരു വലിയ സോസ് പാനിൽ, പയറും പുളിവെള്ളത്തിൽ വേവിച്ച പച്ചക്കറികളും സാമ്പാർ പൊടിയും യോജിപ്പിക്കുക. എല്ലാ ചേരുവകളും നന്നായി യോജിപ്പിക്കാൻ ഇളക്കുക. ഉപ്പിൻ്റെയും മസാലയുടെയും അളവ് പരിശോധിച്ച് രുചിക്കനുസരിച്ച് ക്രമീകരിക്കുക. നിങ്ങൾക്ക് കനം കുറഞ്ഞതാണെങ്കിൽ വെള്ളം ചേർത്ത് സാമ്പാറിൻ്റെ സ്ഥിരത ക്രമീകരിക്കാനും കഴിയും. ചൂട് ഇടത്തരം ഓണാക്കി ഏകദേശം 5 മുതൽ 6 മിനിറ്റ് വരെ വരുതരാച്ച സാമ്പാർ വേവിക്കാൻ തുടങ്ങുക. സാമ്പാർ വേവുമ്പോൾ, ഞങ്ങൾ ഇപ്പോൾ താളിക്കുക തയ്യാറാണ്. ഒരു ചെറിയ ചട്ടിയിൽ വെളിച്ചെണ്ണ ചൂടാക്കുക; കടുക് ചേർത്ത് പൊട്ടിക്കാൻ അനുവദിക്കുക. നന്നായി അരിഞ്ഞ മുത്ത് ഉള്ളി ചേർത്ത് ഇളം തവിട്ട് നിറമാകുന്നത് വരെ വഴറ്റുക. ഉണങ്ങിയ ചുവന്ന മുളകും കറിവേപ്പിലയും ചേർത്ത് ചുവന്ന മുളക് വറുക്കുന്നത് വരെ കുറച്ച് നിമിഷങ്ങൾ ഫ്രൈ ചെയ്യുക. ഇതിന് ഏകദേശം 20 സെക്കൻഡ് എടുക്കും. വറുത്തറച്ച സാമ്പാറിന് മുകളിൽ താളിക്കുക ഒഴിച്ച് അരിഞ്ഞ മല്ലിയില കൊണ്ട് അലങ്കരിക്കുക. തീ ഓഫ് ചെയ്യുക, നിങ്ങൾ വിളമ്പുന്നതിന് മുമ്പ് ഏകദേശം 10 മുതൽ 15 മിനിറ്റ് വരെ സാമ്പാർ മൂടി വയ്ക്കുക. ഒരു ആഴ്ചയിൽ കാരറ്റ്, ബീൻസ് തോരൻ എന്നിവയ്‌ക്കൊപ്പം വരുത്തരാച്ച സാമ്പാറും ഒരു ദിവസത്തേക്ക് വരുത്തരാച്ച സാമ്പാറും സേവിക്കുക. ഭക്ഷണം.കുറിപ്പ്:1. വെളിച്ചെണ്ണ കറിയുടെ രുചി വർദ്ധിപ്പിക്കുകയും അതിനെ ഒരു പുതിയ തലത്തിലേക്ക് ഉയർത്തുകയും ചെയ്യുന്നു. ആരോഗ്യ ആനുകൂല്യങ്ങൾക്കായി, എൻ്റെ പാചകത്തിൽ വെളിച്ചെണ്ണ കുറച്ച് മാത്രമേ ഉപയോഗിക്കുന്നുള്ളൂ. അരച്ച മിശ്രിതത്തിന് മസാലയും അരച്ച തേങ്ങയും വറുക്കുമ്പോൾ ഞാൻ വെളിച്ചെണ്ണ ഉപയോഗിക്കുന്നത് ഒഴിവാക്കി. താളിക്കുക/ടെമ്പറിംഗ് തയ്യാറാക്കുമ്പോൾ മാത്രമാണ് ഞാൻ ഇത് ചേർത്തത്. നിങ്ങൾക്ക് രസം ഇഷ്ടമാണെങ്കിൽ കൂടുതൽ ചേർക്കാൻ മടിക്കേണ്ടതില്ല.2. ഞാൻ പാചകക്കുറിപ്പിൽ സൂചിപ്പിച്ചിട്ടുള്ളവയിലേക്ക് നിങ്ങളുടെ പച്ചക്കറികളുടെ ഉപയോഗം പരിമിതപ്പെടുത്തരുത്. നിങ്ങളുടെ റഫ്രിജറേറ്ററിൽ ലഭ്യമായ പച്ചക്കറികൾ നിങ്ങൾക്ക് ചേർക്കാം.
</t>
  </si>
  <si>
    <t>https://www.archanaskitchen.com/kerala-style-varutharacha-sambar-recipe-tangy-coconut-sambar-recipe</t>
  </si>
  <si>
    <t>Kerala Kadala Curry Recipe - Spicy Chickpeas in Coconut Curry</t>
  </si>
  <si>
    <t>Kerala Kadala Curry Recipe - തേങ്ങാ കറിയിലെ എരിവുള്ള ചെറുപയർ</t>
  </si>
  <si>
    <t>1 കപ്പ് കാലാചന (ബ്രൗൺ കടല) - രാത്രി കുതിർത്ത് വേവിച്ചത്, 1 ടേബിൾസ്പൂൺ വെളിച്ചെണ്ണ, 1/2 ടീസ്പൂൺ കടുക്, 2 തണ്ട് കറിവേപ്പില - ചെറുതായി അരിഞ്ഞത്, 2 പച്ചമുളക് - കീറിയത്, 15 മുത്തുമുളക് (സാമ്പാർ ഉള്ളി) - ചെറുതായി അരിഞ്ഞത്, 5 ഗ്രാമ്പൂ ചെറുതായി അരിഞ്ഞത് - 1 വെളുത്തുള്ളി - 1 എണ്ണം അരിഞ്ഞത്, 1/2 കപ്പ് വീട്ടിലുണ്ടാക്കിയ തക്കാളി പ്യൂരി, 1/4 ടീസ്പൂൺ മഞ്ഞൾപ്പൊടി (ഹാൽദി), 1/2 ടീസ്പൂൺ ചുവന്ന മുളക് പൊടി, ഉപ്പ് - പാകത്തിന്, 1 കപ്പ് പുതിയ തേങ്ങ, 2 ടേബിൾസ്പൂൺ മല്ലി (ധാനിയ) വിത്തുകൾ, 1 ടീസ്പൂൺ പെരുംജീരകം (സൗൺഫ്)</t>
  </si>
  <si>
    <t>1 cup Kala Chana (Brown Chickpeas) - soaked overnight and cooked,1 tablespoon Coconut Oil,1/2 teaspoon Mustard seeds,2 sprig Curry leaves - finely chopped,2 Green Chillies - slit,15 Pearl onions (Sambar Onions) - finely chopped,5 cloves Garlic - finely chopped,1 inch Ginger - finely chopped,1/2 cup Homemade tomato puree,1/4 teaspoon Turmeric powder (Haldi),1/2 teaspoon Red Chilli powder,Salt - to taste,1 cup Fresh coconut,2 tablespoons Coriander (Dhania) Seeds,1 teaspoon Fennel seeds (Saunf)</t>
  </si>
  <si>
    <t xml:space="preserve">To begin making the Kerala Kadala Curry Recipe, soak chickpeas overnight or for at least 8 hours.Place the soaked chickpeas in the pressure cooker along with a little salt and 2-1/2 cups of water and cook until for 4 to 5 whistles. After 5 whistles, turn the heat to low and simmer for 20 minutes and turn the off the heat.Allow the pressure to release naturally. Ensure the kadal is completely cooked and has a soft bite. If not cook it for a longer time. Next to make the coconut paste, into a mixer grinder jar, add the coconut, fennel seeds and coriander seeds. Add 1/2 cup of warm water and blend to make a smooth paste. Heat oil in a heavy bottomed pan over medium heat.Add the mustard seeds and allow it to crackle. Once it crackles, add the onion, garlic, ginger and green chillies and saute until the onion is soft and translucent. Add the curry leaves and saute for a few seconds. Stir in the tomato puree, turmeric powder, red chilli powder and the coconut puree and give the curry mixture a stir.Finally add the cooked chickpeas, a little salt to taste and bring the Kadala Curry to a boil.Add a cup of water, give the Kadala Curry a stir and turn the heat to low. Simmer the Kadala Curry for a good 15 minutes until all the masala is well absorbed to make a delicious taste Kadala Curry.Give it a taste and adjust the salt and chilli accordingly. Turn off the heat and transfer the Kerala Kadala Curry to a serving bowl and serve hot.Serve the Kerala Kadala Curry along with Puttu for a delicious breakfast, lunch or dinner or even make it for the festival of Onam.
</t>
  </si>
  <si>
    <t xml:space="preserve">കേരള കടല കറി പാചകക്കുറിപ്പ് തയ്യാറാക്കാൻ ആരംഭിക്കുന്നതിന്, കടല രാത്രി മുഴുവൻ അല്ലെങ്കിൽ കുറഞ്ഞത് 8 മണിക്കൂറെങ്കിലും കുതിർക്കുക. കുതിർത്ത കടല പ്രഷർ കുക്കറിൽ അല്പം ഉപ്പും 2-1/2 കപ്പ് വെള്ളവും ചേർത്ത് 4 മുതൽ 5 വരെ വിസിൽ വരെ വേവിക്കുക. 5 വിസിലുകൾക്ക് ശേഷം, തീ ചെറുതാക്കി 20 മിനിറ്റ് മാരിനേറ്റ് ചെയ്യുക, തീ ഓഫ് ചെയ്യുക. മർദ്ദം സ്വാഭാവികമായി പുറത്തുവരാൻ അനുവദിക്കുക. കടൽ പൂർണ്ണമായും വേവിച്ചിട്ടുണ്ടെന്നും മൃദുവായ കടിയുണ്ടെന്നും ഉറപ്പാക്കുക. ഇല്ലെങ്കിൽ കൂടുതൽ നേരം വേവിക്കുക. തേങ്ങ പേസ്റ്റ് ഉണ്ടാക്കാൻ അടുത്തതായി, ഒരു മിക്സർ ഗ്രൈൻഡർ ജാറിലേക്ക്, തേങ്ങ, പെരുംജീരകം, മല്ലിയില എന്നിവ ചേർക്കുക. 1/2 കപ്പ് ചെറുചൂടുള്ള വെള്ളം ചേർത്ത് മിനുസമാർന്ന പേസ്റ്റ് ഉണ്ടാക്കുക. ഇടത്തരം ചൂടിൽ കട്ടിയുള്ള ഒരു പാനിൽ എണ്ണ ചൂടാക്കുക. കടുക് പൊട്ടിക്കാൻ അനുവദിക്കുക. പൊട്ടുമ്പോൾ, ഉള്ളി, വെളുത്തുള്ളി, ഇഞ്ചി, പച്ചമുളക് എന്നിവ ചേർത്ത് സവാള മൃദുവും അർദ്ധസുതാര്യവും ആകുന്നതുവരെ വഴറ്റുക. കറിവേപ്പില ചേർത്ത് കുറച്ച് നിമിഷങ്ങൾ വഴറ്റുക. തക്കാളി അരച്ചത്, മഞ്ഞൾപ്പൊടി, ചുവന്ന മുളക് പൊടി, തേങ്ങാപ്പൊടി എന്നിവ ചേർത്ത് ഇളക്കുക, കറി മിശ്രിതം ഇളക്കുക.അവസാനം വേവിച്ച ചെറുപയർ, പാകത്തിന് അല്പം ഉപ്പ് എന്നിവ ചേർത്ത് തിളപ്പിക്കുക എല്ലാ മസാലയും നന്നായി ആഗിരണം ചെയ്യപ്പെടുന്നതുവരെ കടല കറി ഒരു 15 മിനിറ്റ് വേവിക്കുക. കടല കറി ഒരു രുചികരമായ രുചി ഉണ്ടാക്കാം. അതിന് ഒരു രുചി നൽകി ഉപ്പും മുളകും അതിനനുസരിച്ച് ക്രമീകരിക്കുക. തീ ഓഫ് ചെയ്‌ത്, കേരള കടല കറി ഒരു സെർവിംഗ് പാത്രത്തിലേക്ക് മാറ്റി ചൂടോടെ വിളമ്പുക. കേരള കടല കറി, പുട്ടിനൊപ്പം സ്വാദിഷ്ടമായ പ്രഭാതഭക്ഷണത്തിനോ ഉച്ചഭക്ഷണത്തിനോ അത്താഴത്തിനോ അല്ലെങ്കിൽ ഓണത്തിൻ്റെ ഉത്സവത്തിന് പോലും വിളമ്പുക.
</t>
  </si>
  <si>
    <t>https://www.archanaskitchen.com/sweet-and-spicy-kadala-curry-recipe-with-tamarind-and-coconut-milk</t>
  </si>
  <si>
    <t>Pulikuthi Upperi Recipe - Spicy &amp; Tangy Palakkad Poriyal Recipe</t>
  </si>
  <si>
    <t>പുളികുത്തി ഉപ്പേരി റെസിപ്പി - എരിവും പുളിയും ഉള്ള പാലക്കാട് പൊറിയൽ റെസിപ്പി</t>
  </si>
  <si>
    <t>1 വാഴപ്പഴം - തൊലികളഞ്ഞ് ചെറിയ സമചതുരയായി അരിഞ്ഞത്, 1 കപ്പ് കടു (പറങ്കിക്കൈ / മത്തങ്ങ) - ചെറിയ സമചതുരയായി അരിഞ്ഞത്, 6 ഭിണ്ടി (ലേഡി ഫിംഗർ / ഓക്ര) - 1 ഇഞ്ച് കഷണങ്ങളായി അരിഞ്ഞത്, 20 ഗ്രാം പുളി - ചെറുനാരങ്ങ വലിപ്പം, 1/2 ടീസ്പൂൺ മഞ്ഞൾപ്പൊടി (1 ടീസ്പൂൺ ശർക്കര, 1 ടീസ്പൂൺ. (ഉലുവ), 7 ഉണങ്ങിയ ചുവന്ന മുളക്, 1 ടീസ്പൂണ് കടുക്, 1 തണ്ട് കറിവേപ്പില, 1/4 ടീസ്പൂൺ അസാഫോറ്റിഡ (ഹിംഗ്), വെളിച്ചെണ്ണ - പാചകത്തിന്, ഉപ്പ് - ആവശ്യത്തിന്</t>
  </si>
  <si>
    <t>1 Raw Banana - peeled and cut into small cubes,1 cup Kaddu (Parangikai/ Pumpkin) - cut into small cubes,6 Bhindi (Lady Finger/Okra) - cut into 1 inch pieces,20 grams Tamarind - lemon sized,1/2 teaspoon Turmeric powder (Haldi),1 teaspoon Jaggery,2 tablespoons Rice,1 teaspoon Methi Seeds (Fenugreek Seeds),7 Dry Red Chillies,1 teaspoon Mustard seeds,1 sprig Curry leaves,1/4 teaspoon Asafoetida (hing),Coconut Oil - for cooking,Salt - to taste</t>
  </si>
  <si>
    <t xml:space="preserve">To begin making Pulikuthi Upperi Recipe, soak the tamarind in 1/2 cup of hot water for 5 minutes, squeeze out the pulp and keep aside.Dry roast the raw rice, fenugreek seeds and dried red chilies in a small pan on low heat until it turns golden and aromatic. Grind it into a fine powder using a mixer grinder and keep aside.Since all the vegetables have different cooking times, we will cook each of them separately.Into a kadai, heat 1 teaspoon of oil add the raw banana, sprinkle some salt and stir fry until the raw banana is tender and cooked. You can can cover the pan and cook the raw banana until done. Keep this aside.Into the same kadai, add 1/2 teaspoon oil; add the pumpkin, sprinkle salt, the tamarind pulp, jaggery, turmeric powder and stir fry until the pumpkin is tender and cooked. You can can cover the pan and cook the pumpkin until done. Keep this aside.Lastly for the Pulikuthi Upperi, into a new kadai, add 1/2 teaspoon oil; add the mustard seeds and allow them to crackle. Add the hing and curry leaves and saute for a few seconds.Add the bhindi, sprinkle salt and stir fry until the bhindi is tender and cooked. You can can cover the pan and cook the bhindi until done. Add the cooked pumpkin, the raw banana and the ground spiced into the cooked bhindi and stir until well combined. Check the salt and chillies and adjust to suit your taste. Once done, turn off the heat and serve the Pulikuthi Upperi hot.Serve the Pulikuthi Upperi Recipe along with Steamed Rice, Thakkali Vengaya Sambar, Curd and Appalam for a delectable weeknight dinner.
</t>
  </si>
  <si>
    <t xml:space="preserve">പുളികുത്തി ഉപ്പേരി റെസിപ്പി ഉണ്ടാക്കാൻ തുടങ്ങുന്നതിന്, പുളി 1/2 കപ്പ് ചൂടുവെള്ളത്തിൽ 5 മിനിറ്റ് മുക്കിവയ്ക്കുക, പൾപ്പ് പിഴിഞ്ഞ് മാറ്റി വയ്ക്കുക. അരി, ഉലുവ, ഉണക്കമുളക് എന്നിവ ചെറിയ ചൂടിൽ സ്വർണ്ണവും സുഗന്ധവും ആകുന്നത് വരെ ഉണക്കിയെടുക്കുക. മിക്‌സർ ഗ്രൈൻഡർ ഉപയോഗിച്ച് നന്നായി പൊടിച്ച് മാറ്റി വയ്ക്കുക. എല്ലാ പച്ചക്കറികൾക്കും വ്യത്യസ്ത പാചക സമയം ഉള്ളതിനാൽ ഞങ്ങൾ ഓരോന്നും പ്രത്യേകം വേവിക്കും. ഒരു കടായിയിൽ 1 ടീസ്പൂൺ എണ്ണ ചൂടാക്കുക, അസംസ്കൃത വാഴപ്പഴം ചേർക്കുക, കുറച്ച് ഉപ്പ് വിതറി, അസംസ്കൃത വാഴപ്പഴം ഇളകി വേവുന്നത് വരെ വറുക്കുക. നിങ്ങൾക്ക് പാൻ മൂടി, പൂർത്തിയാകുന്നതുവരെ അസംസ്കൃത വാഴപ്പഴം വേവിക്കാം. ഇത് മാറ്റിവെക്കുക. അതേ കടയിൽ 1/2 ടീസ്പൂൺ എണ്ണ ചേർക്കുക; മത്തങ്ങ, ഉപ്പ്, പുളി വിതറി, ശർക്കര, മഞ്ഞൾപ്പൊടി എന്നിവ ചേർത്ത് മത്തങ്ങ ഇളക്കി പാകം ചെയ്യുന്നതുവരെ വഴറ്റുക. നിങ്ങൾക്ക് പാൻ മൂടി കഴിയും വരെ മത്തങ്ങ പാകം ചെയ്യാം. ഇത് മാറ്റിവെക്കുക.അവസാനം പുലികുത്തി ഉപ്പേരിക്ക്, ഒരു പുതിയ കടായി, 1/2 ടീസ്പൂൺ എണ്ണ ചേർക്കുക; കടുക് ചേർത്ത് പൊട്ടിക്കാൻ അനുവദിക്കുക. ഹിംഗും കറിവേപ്പിലയും ചേർത്ത് കുറച്ച് നിമിഷങ്ങൾ വഴറ്റുക. ഭിണ്ടി ചേർക്കുക, ഉപ്പ് വിതറി, ഭിണ്ടി ഇളകി പാകമാകുന്നതുവരെ വറുക്കുക. നിങ്ങൾക്ക് പാൻ മൂടി  ഭിണ്ടി പാകം ചെയ്യാവുന്നതാണ്. വേവിച്ച ഭിണ്ടിയിലേക്ക് വേവിച്ച മത്തങ്ങ, പച്ച വാഴപ്പഴം, മസാലകൾ പൊടിച്ചത് എന്നിവ ചേർത്ത് നന്നായി യോജിപ്പിക്കുന്നത് വരെ ഇളക്കുക. ഉപ്പും മുളകും പരിശോധിച്ച് നിങ്ങളുടെ അഭിരുചിക്കനുസരിച്ച് ക്രമീകരിക്കുക. ചെയ്തു കഴിഞ്ഞാൽ, തീ ഓഫ് ചെയ്ത് പുളികുത്തി ഉപ്പേരി ചൂടോടെ വിളമ്പുക. ആവിയിൽ വേവിച്ച ചോറ്, തക്കളി വേങ്ങായ സാമ്പാർ, തൈര്, അപ്പളം എന്നിവയ്‌ക്കൊപ്പം പുലികുത്തി ഉപ്പേരി റെസിപ്പിയും ഒരു ആഴ്‌ച രാത്രി അത്താഴത്തിന് വിളമ്പുക.
</t>
  </si>
  <si>
    <t>http://www.archanaskitchen.com/pulikuthi-upperi-recipe-spicy-tangy-palakkad-poriyal-recipe</t>
  </si>
  <si>
    <t>Kaya Tholi Thoran Recipe - Raw Banana Thoran (Recipe In Hindi)</t>
  </si>
  <si>
    <t>കായാ തോളി തോരൻ റെസിപ്പി - അസംസ്‌കൃത വാഴത്തോരൻ (ഹിന്ദിയിലെ പാചകക്കുറിപ്പ്)</t>
  </si>
  <si>
    <t>2 കച്ച കേള കാ ചില്ലക,1/4 ഛോട്ട ചമച്ച ഹൽദി പൌഡർ,2 കപ് പാനി,നമക്,1/3 കപ്പൽ - ലഹസുൻ,1/2 ഛോട്ട ചമച്ച ജീര,4 ഹരി മിർച്ച്,6 ഛോട്ടേ അപേക്ഷ,നമക്,1 ബഡച/1 ഛോട്ടാ ചമച്ച റായ്,2 സുഖി ലാൽ മിർച്ച്,8 കഠി പത്ത</t>
  </si>
  <si>
    <t>2 raw banana peel, 1/4 teaspoon turmeric powder, 2 cups water, salt, 1/2 cup coconut - grated, 3 cloves garlic, 1/2 teaspoon cumin, 4 green chillies, 4 small onions, salt, 1 tablespoon oil, 1/4 teaspoon mustard, 2 dry red chillies, 8 curry leaves</t>
  </si>
  <si>
    <t>To make Kaya Tholi Thoran, first peel the raw banana and chop it into small pieces. Add it in a saucepan with turmeric powder and 2 cups of water and cook till it becomes soft. Now add the ingredients to be ground in a mixer grinder and grind it. Heat oil in a small pan. Add mustard seeds and cook for 10 seconds. Add curry leaves, dried red chillies and cook for 10 seconds. Now add the ground masala and cook for 2 to 3 minutes. After 3 minutes add raw banana and mix it. Cook for 1 to 2 minutes and serve. Serve Kaya Tholi Thoran with Kirai Sambar and Rice for lunch.</t>
  </si>
  <si>
    <t xml:space="preserve">കായ തോളി തോരൻ ബനാനെ പോലെ തന്നെ കാട്ട് ലെ. ഇത് ഒരു സോസ് പാനിൽ ഹൽദി പൗഡറും കൂടാതെ 2 കപ്പ് പാനികളും ഡേലെയും നർമ്മവും പോലെയാണ്. AB ഒരു മിക്‌സർ ഗ്രെയിൻഡറിൽ നിന്നും പിസനെയും സാമഗ്രി ദാലെയും പീസ് ലേയും. ഒരു ഛോട്ടേ പൈൻ മെം ടെൽ ഗരം കരെം. ഇതുപോലെ റായ് ഡാലെയും കൂടാതെ 10 സെക്കൻറുകളും. ഇതുപോലെ കഠി പത്ത, സുഖി ലാൽ മിർച്ച് ഡാലെ കൂടാതെ 10 സെക്കണ്ട്സ് തക പകാഎ. ഇപ്പോൾ പിസ ഹുവാ മസാല ഡാലെ കൂടാതെ 2 സെ 3 മിനിറ്റ് വരെ. 3 മിനിറ്റിനുള്ളിൽ ഇത് പോലെ തന്നെ. 1 സെ 2 മിനിറ്റ് കായ തോളി തോരൻ കോ കിറൈ സാംബറും ചാവലും ദിനം പ്രതി.
</t>
  </si>
  <si>
    <t>https://www.archanaskitchen.com/kaya-tholi-thoran-recipe-raw-banana-thoran-in-hindi</t>
  </si>
  <si>
    <t>Idichakka Thoran Recipe (Young Jack Fruit With Spiced Coconut)</t>
  </si>
  <si>
    <t>ഇടിച്ചക്ക തോരൻ പാചകക്കുറിപ്പ് (മസാല ചേർത്ത തേങ്ങയോടുകൂടിയ ഇളം ചക്ക)</t>
  </si>
  <si>
    <t>1 ചക്ക അസംസ്‌കൃതം (കാതൽ) - തൊലികളഞ്ഞത്, 1 ടീസ്പൂൺ മഞ്ഞൾപ്പൊടി (ഹാൽദി), 1/2 കപ്പ് പുതിയ തേങ്ങ - അരച്ചത്, 3 ഉണങ്ങിയ ചുവന്ന മുളക്, 1 സവാള - ചെറുതായി അരിഞ്ഞത്, 2 പച്ചമുളക് - ചെറുതായി അരിഞ്ഞത്, 1/2 ടീസ്പൂൺ ജീരകം (ജീര), 1/2 ടീസ്പൂൺ വെള്ള കടുക്, 1 ടീസ്പൂൺ കടുക്, 1 ടീസ്പൂൺ. ഇലകൾ, 1/2 ടീസ്പൂൺ അസഫോറ്റിഡ (ഹിംഗ്), ഉപ്പ് - ആവശ്യത്തിന്</t>
  </si>
  <si>
    <t>1 Jackfruit Raw (Kathal) - with skin shaved off,1 teaspoon Turmeric powder (Haldi),1/2 cup Fresh coconut - grated,3 Dry Red Chillies,1 Onion - finely chopped,2 Green Chillies - finely chopped,1/2 teaspoon Cumin seeds (Jeera),1/2 teaspoon Mustard seeds,1 teaspoon White Urad Dal (Split),1 sprig Curry leaves,1/2 teaspoon Asafoetida (hing),Salt - to taste</t>
  </si>
  <si>
    <t xml:space="preserve">To begin making the Idichakka Thoran Recipe (Young Jack Fruit With Spiced Coconut), we will first shave off the skin of the Idichakka (Jackfruit). To do that, apply oil in your knife and palms. Using the oiled knife scrape the skin off the Jackfruit.Next step is to cut the Idichakka (Jackfruit), into half and remove the middle portion of the fruit from both the halves. Oil and grease your hands and knife once again and cut the Idichakka (Jackfruit) into chunks.We will now cook the Idichakka (Jackfruit) until it is soft and tender. I like using the pressure cooker to cook the jackfruit. Grease the pressure cooker with oil on all sides. Place the Idichakka (Jackfruit), along with salt and a teaspoon of turmeric powder. Add 1/4 cup of water and cover the pressure cooker with its weight on. Allow it to cook under pressure until you hear two whistles. After couple of whistles, turn off the heat. Allow the pressure to release naturally, as the Idichakka (Jackfruit) will continue to cook under the pressure. Once the pressure is released, open the pressure cooker. Using a fork or the back of the knife mash the Idichakka (Jackfruit) into crumbled. You will notice it splitting into think lengthy strips like shredded cabbage. That's the texture we are looking to get. Keep the crumbled Idichakka (Jackfruit) aside.In our next step, grind the coconut and red chillies, adding water little at a time to make a coarse paste. Keep this aside.In our final step; heat a tablespoon of oil in a work or a kadai; add the mustard seeds, cumin seeds and halved urad dal. Allow them to crackle and roast well. Next add the onion, green chillies and saute until the onions are tender. Finally add the curry leaves, asafoetida powder, coconut mixture and the cooked Idichakka (Jackfruit). Stir well until all the ingredients are well combined. Check the salt and spice levels and adjust to suit your taste. Cover the pan, and allow the Idichakka (Jackfruit) Thoran to simmer and absorb the flavors. Turn off the heat.Serve Idichakka Thoran Recipe along with Mixed Vegetable Sambar and Steamed Rice for a weeknight dinner.  
</t>
  </si>
  <si>
    <t xml:space="preserve">ഇടിച്ചക്ക തോരൻ പാചകക്കുറിപ്പ് (മസാല തേങ്ങയോടുകൂടിയ ഇളം ചക്ക) ഉണ്ടാക്കാൻ തുടങ്ങുന്നതിന്, ഞങ്ങൾ ആദ്യം ഇടിച്ചക്കയുടെ (ചക്ക) തൊലി കളഞ്ഞ് എടുക്കും. അതിനായി കത്തിയിലും കൈപ്പത്തിയിലും എണ്ണ പുരട്ടുക. എണ്ണ പുരട്ടിയ കത്തി ഉപയോഗിച്ച് ചക്കയുടെ തൊലി ചുരണ്ടുക. അടുത്ത ഘട്ടം ഇടിച്ചക്ക (ചക്ക) പകുതിയായി മുറിച്ച് രണ്ട് ഭാഗങ്ങളിൽ നിന്നും പഴത്തിൻ്റെ മധ്യഭാഗം നീക്കം ചെയ്യുക. നിങ്ങളുടെ കൈകളിലും കത്തിയിലും വീണ്ടും എണ്ണയും എണ്ണയും പുരട്ടി ഇടിച്ചക്ക (ചക്ക) കഷ്ണങ്ങളാക്കി മുറിക്കുക. ഞങ്ങൾ ഇടിച്ചക്ക (ചക്ക) മൃദുവും മൃദുവും ആകുന്നതുവരെ പാകം ചെയ്യും. ചക്ക വേവിക്കാൻ പ്രഷർ കുക്കർ ഉപയോഗിക്കുന്നത് എനിക്കിഷ്ടമാണ്. പ്രഷർ കുക്കറിൽ എല്ലാ വശത്തും എണ്ണ പുരട്ടുക. ഇടിച്ചക്ക (ചക്ക), ഉപ്പും ഒരു ടീസ്പൂൺ മഞ്ഞൾപ്പൊടിയും ചേർത്ത് വയ്ക്കുക. 1/4 കപ്പ് വെള്ളം ചേർത്ത് പ്രഷർ കുക്കർ അതിൻ്റെ ഭാരം കൊണ്ട് മൂടുക. രണ്ട് വിസിലുകൾ കേൾക്കുന്നത് വരെ സമ്മർദ്ദത്തിൽ വേവിക്കാൻ അനുവദിക്കുക. ഒന്നുരണ്ട് വിസിലുകൾക്ക് ശേഷം തീ ഓഫ് ചെയ്യുക. ഇടിച്ചക്ക (ചക്ക) സമ്മർദ്ദത്തിൻ കീഴിൽ പാചകം ചെയ്യുന്നത് തുടരുന്നതിനാൽ സ്വാഭാവികമായും സമ്മർദ്ദം പുറത്തുവരാൻ അനുവദിക്കുക. പ്രഷർ പുറത്തിറങ്ങിയാൽ പ്രഷർ കുക്കർ തുറക്കുക. ഒരു നാൽക്കവലയോ കത്തിയുടെ പിൻഭാഗമോ ഉപയോഗിച്ച് ഇടിച്ചക്ക (ചക്ക) പൊടിച്ചെടുക്കുക. കീറിമുറിച്ച കാബേജ് പോലെ നീളമുള്ള സ്ട്രിപ്പുകളായി ഇത് വിഭജിക്കുന്നത് നിങ്ങൾ ശ്രദ്ധിക്കും. അതാണ് ഞങ്ങൾ ലഭിക്കാൻ ആഗ്രഹിക്കുന്ന ടെക്സ്ചർ. തകർന്ന ഇടിച്ചക്ക (ചക്ക) മാറ്റി വയ്ക്കുക. ഞങ്ങളുടെ അടുത്ത ഘട്ടത്തിൽ, തേങ്ങയും ചുവന്ന മുളകും അരച്ച്, കുറച്ച് വെള്ളം ചേർത്ത് ഒരു നാടൻ പേസ്റ്റ് ഉണ്ടാക്കുക. ഇത് മാറ്റി വയ്ക്കുക. ഞങ്ങളുടെ അവസാന ഘട്ടത്തിൽ; ഒരു ജോലിയിലോ കടയിലോ ഒരു ടേബിൾ സ്പൂൺ എണ്ണ ചൂടാക്കുക; കടുക്, ജീരകം, പകുതിയാക്കിയ ഉരങ്ങ് എന്നിവ ചേർക്കുക. നന്നായി പൊട്ടാനും വറുക്കാനും അനുവദിക്കുക. അടുത്തതായി ഉള്ളി, പച്ചമുളക് എന്നിവ ചേർത്ത് സവാള ഇളകുന്നത് വരെ വഴറ്റുക. അവസാനം കറിവേപ്പില, അയലപ്പൊടി, തേങ്ങാ മിശ്രിതം, വേവിച്ച ഇടിച്ചക്ക (ചക്ക) എന്നിവ ചേർക്കുക. എല്ലാ ചേരുവകളും നന്നായി ചേരുന്നത് വരെ നന്നായി ഇളക്കുക. ഉപ്പിൻ്റെയും മസാലയുടെയും അളവ് പരിശോധിച്ച് നിങ്ങളുടെ അഭിരുചിക്കനുസരിച്ച് ക്രമീകരിക്കുക. പാൻ മൂടുക, ഇടിച്ചക്ക (ചക്ക) തോരൻ തിളപ്പിക്കാനും സ്വാദുകൾ ആഗിരണം ചെയ്യാനും അനുവദിക്കുക. തീ അണയ്ക്കുക. ഇടിച്ചക്ക തോരൻ പാചകക്കുറിപ്പ്  മിക്സഡ് വെജിറ്റബിൾ സാമ്പാർ , ആവിയിൽ വേവിച്ച ചോറ് എന്നിവയ്‌ക്കൊപ്പം ഒരു ആഴ്‌ച രാത്രി അത്താഴത്തിന് വിളമ്പുക.  
</t>
  </si>
  <si>
    <t>https://www.archanaskitchen.com/idichakka-thoran-recipe-young-jack-fruit-with-spiced-coconut</t>
  </si>
  <si>
    <t>Kerala Style Murungai Keerai Thoran Recipe</t>
  </si>
  <si>
    <t>കേരള സ്റ്റൈൽ മുരുങ്ങൈ കീരൈ തോരൻ റെസിപ്പി</t>
  </si>
  <si>
    <t>2 കപ്പ് മുരിങ്ങയില (മുരിങ്ങയില/മുരുങ്കൈ കീരൈ) - അല്ലെങ്കിൽ മുരിങ്ങക്കീരൈ, 1 കപ്പ് മുത്ത് ഉള്ളി (സാമ്പാർ ഉള്ളി) - അരിഞ്ഞത്, 1 ഇഞ്ച് ഇഞ്ചി - അരിഞ്ഞത്, 1 തണ്ട് കറിവേപ്പില, 1 ടീസ്പൂൺ കടുക്, ഉപ്പ് - പാകത്തിന്, വെളിച്ചെണ്ണ 1 ടേബിൾസ്പൂൺ, 1 ടേബിൾസ്പൂൺ എഫ്. (ജീര), 1 ടേബിൾസ്പൂൺ മഞ്ഞൾപൊടി (ഹാൽദി), 1 ടേബിൾസ്പൂൺ ചുവന്ന മുളകുപൊടി</t>
  </si>
  <si>
    <t>2 cups Drumstick Leaves (Moringa/Murungai Keerai) - or Murrungai Keerai,1 cup Pearl onions (Sambar Onions) - chopped,1 inch Ginger - chopped,1 sprig Curry leaves,1 teaspoon Mustard seeds,Salt - to taste,Coconut Oil - for cooking,1/2 cup Fresh coconut,1 tablespoon Cumin seeds (Jeera),1 tablespoon Turmeric powder (Haldi),1 tablespoon Red Chilli powder</t>
  </si>
  <si>
    <t xml:space="preserve">To begin making the Kerala Style Murungai Keerai Thoran Recipe, firstly clean the leaves first, try removing twigs and use only the leaves and wash it thoroughly.Then in a mixer grinder, add all the ingredients that are mentioned in the list (fresh coconut, cumin, turmeric powder and chilli powder). Keep it aside.Heat a kadai, add oil, splutter mustard seeds and curry leaves. Add in ginger and onions and fry till it becomes translucent.Then add in the ground masala and fry them for 2 minutes and then add in the washed drumstick leaves. Sauté and combine the masala with the leaves.Sprinkle some water, cover it and cook for about 10 minutes. Then check for seasonings by adding some salt, give it one last stir and serve.Serve the Kerala Style Murungai Keerai Thoran Recipe along with some Steamed Rice and Kerala Style Ulli Theeyal Recipe (Small Onions Roasted in Spicy Tamarind Recipe) for your lunch.
</t>
  </si>
  <si>
    <t xml:space="preserve">കേരള സ്‌റ്റൈൽ മുരുങ്ങൈ കീരൈ തോരൻ പാചകക്കുറിപ്പ് ഉണ്ടാക്കാൻ തുടങ്ങുന്നതിന്, ആദ്യം ഇലകൾ വൃത്തിയാക്കുക, തണ്ടുകൾ നീക്കം ചെയ്ത് ഇലകൾ മാത്രം ഉപയോഗിച്ച് നന്നായി കഴുകുക. പിന്നീട് ഒരു മിക്‌സർ ഗ്രൈൻഡറിൽ, പട്ടികയിൽ പറഞ്ഞിരിക്കുന്ന എല്ലാ ചേരുവകളും ചേർക്കുക (പുതിയ തേങ്ങ, ജീരകം, മഞ്ഞൾപ്പൊടി, മുളകുപൊടി). ഇത് മാറ്റി വയ്ക്കുക.കടൈ ചൂടാക്കി എണ്ണ, കടുക് പൊട്ടിക്കുക, കറിവേപ്പില എന്നിവ ചേർക്കുക. ഇതിലേക്ക് ഇഞ്ചിയും ഉള്ളിയും ചേർത്ത് അർദ്ധസുതാര്യമാകുന്നതുവരെ വഴറ്റുക. ശേഷം പൊടിച്ച മസാലയിൽ ചേർത്ത് 2 മിനിറ്റ് വഴറ്റുക, തുടർന്ന് കഴുകിയ മുരിങ്ങയില ചേർക്കുക. വഴറ്റുക, മസാല ഇലകളുമായി യോജിപ്പിക്കുക. കുറച്ച് വെള്ളം തളിക്കുക, മൂടിവെച്ച് ഏകദേശം 10 മിനിറ്റ് വേവിക്കുക. അതിനുശേഷം കുറച്ച് ഉപ്പ് ചേർത്ത് താളിക്കുകയാണോയെന്ന് പരിശോധിക്കുക, അവസാനമായി ഒന്ന് ഇളക്കി വിളമ്പുക. കേരള സ്റ്റൈൽ മുരുങ്കൈ കീരൈ തോരൻ പാചകക്കുറിപ്പ്, കുറച്ച് ആവിയിൽ വേവിച്ച ചോറ് ,                                                   കേരള ഉള്ളി ഉള്ളി ഉള്ളി തിയ്‌യ്        നിങ്ങളുടെ ഉച്ചഭക്ഷണത്തിന് ഉപയോഗിക്കൂ.
</t>
  </si>
  <si>
    <t>http://www.archanaskitchen.com/kerala-style-murungai-keerai-thoran-recipe</t>
  </si>
  <si>
    <t>Kerala Style Egg Cashew Curry Recipe</t>
  </si>
  <si>
    <t>കേരള സ്റ്റൈൽ അണ്ട കാജൂ കറി റെസിപ്പി - Kerala Style Egg Cashew Curry Recipe</t>
  </si>
  <si>
    <t>2 ആണ്ടെ - ഉബാൽ കർ,7 കാജൂ,1 പ്യാജ് - കാറ്റ് ലെ,1 ടമാറ്റർ - കാറ്റ് ലെ,2 ആലു - ഛീലകർ, 1 ടീച്ചർ അദരക്,3 ലഹസുൻ,2 ഛോട്ടേ ചമ്മച് ധനിയ പൗഡർ,1 ഛോട്ട ചമ്മച്ച് ലാൽ മിർച്ച്,1/2പാ ചമ്മച് ഹൽദി പൗഡർ,1/4 ഛോട്ട ചമ്മച്ച് ഗരം മസാല പൗഡർ,1 ബഡ ചംചം,2 ബഡേ ചമ്മച് ഹര ധനിയ - കാട്ട് ലെ,2 ടഹനി കടത്തി പട്ട,തേൽ - പ്രയോഗ് അനുസാർ, നൻമ</t>
  </si>
  <si>
    <t>2 eggs - boiled, 7 cashews, 1 onion - chopped, 1 tomato - chopped, 2 potatoes - peeled and chopped, 1 inch ginger, 3 garlic cloves, 2 teaspoons coriander powder, 1 teaspoon red chili powder, 1/2 teaspoon turmeric powder, 1/4 teaspoon garam masala powder, 1 tablespoon fennel, 2 tablespoons coriander leaves - chopped, 2 sprigs curry leaves, oil - as per requirement, salt - as per taste</t>
  </si>
  <si>
    <t>To make Kerala Style Egg Cashew Curry Recipe, first soak cashews in hot water for 15 to 20 minutes. Now heat water in a saucepan. Add eggs and cook for 15 minutes. Remove the peel, cut them in half and keep aside. Now in a mixer grinder add some water with cashews and make a paste. Keep aside. Now in a blender add onion, tomato, ginger, garlic, green chilli, turmeric powder, coriander powder, garam masala powder, fennel seeds, add some water and grind it. Keep aside. Now heat oil in a pan. Add mustard seeds and cook till they crackle. Now add curry leaves and cook for 10 seconds. After 10 seconds add onion tomato paste and cook for 4 to 5 minutes. Add 1 cup water, potatoes and let it boil. Add salt, cover the pan and cook till potatoes become soft. After potatoes become soft add cashew paste to it and mix it. Cook for 3 to 4 minutes. Keep mixing. Turn off the gas and add eggs to it and garnish with green coriander. Serve Kerala Style Egg Cashew Curry Recipe with Laccha Paratha and Boondi Raita for dinner.</t>
  </si>
  <si>
    <t xml:space="preserve">കേരള സ്‌റ്റൈൽ ആൻഡ കാജൂ കരി റെസിപ്പി ബനാനെ സെബസ് പഹലെ കാജൂ കോ 15 സെ 20 ന് പനേ മെം ബിഗോ ലെ. അബ് ഒരു സോസ്പൈനിലും പാനി ഗരം കരെം. അതുപോലെ തന്നെ ആൻഡേ ഡാലെയും 15 മിനിറ്റും. ഛിലക നികാലേ, ആധാ കാറ്റേ കൂടാതെ അലഗ് സെ രഖ് ദേ. AB ഒരു മിക്‌സർ ഗ്രെയിൻഡറിൽ കാജുവിൻ്റെ കൂടെ തോഡ പാനി ഡാലെയും പെസ്റ്റ് ബനാ ലേയും. അൽഗ സെ രഖ് ദേ. AB ഒരു ബ്ലെൻഡറിൽ യാത്ര, ടമാറ്റർ, അദരക്, ലഹസുൻ, ഹരി മിർച്ച്, ഹൽദി പായ, പൌഡർ, ഗരം മസാല പൗഡർ, സൌംഫ് ഡാലെ, തോഡ പാനി ഡാലെ കൂടാതെ പീസ് ലെ. അൽഗ സെ രഖ് ദേ. ഇനി ഒരു കഥ ഇതുപോലെ റായ് ഡാലെയും ഉസ്കെ തഡകനേയും തക്ക പക ലേ. ഇപ്പോൾ കഠി പട്ട ദാലെ കൂടാതെ 10 സെക്കൻറ്സ് വരെ. 10 സെക്കൻറുകളുടെ ബാദ് ഇതുപോലെ യാത്ര ടമാറ്റർ കാ പെസ്റ്റ് ഡേലെ കൂടാതെ 4 സെ 5 മിനിറ്റ് വരെ. 1 കപ് പാനി, ആലു ഡാലെ, കൂടാതെ ഉബാല ആനെ ദേ.നമക് ഡാലേ, കടായി കോ ഠാകെ എന്നിവയും പകനെ ദേ. അതുപോലെ തന്നെ കാജൂ കാ പെസ്റ്റ് ഡാലെയും മില ലേയും. 3 സെ 4 മിനിറ്റ് വരെ. മിലത്തേ രഹേ. ഗെയ്‌സ് ബന്ദ് കരേം കൂടാതെ ഇതുപോലെ ആൻഡേ ഡാലെയും ഹരേ ധനിയേ സേ ഗാർനിഷ് കരെം. കേരള സ്‌റ്റൈൽ അണ്ട കാജൂ കരി റെസിപ്പി കോ ലച്ഛാ പരാത കൂടാതെ ബൂന്ദി രായത് കഥകൾ പരോസ്.
</t>
  </si>
  <si>
    <t>https://www.archanaskitchen.com/kerala-style-rich-creamy-egg-cashew-curry-recipe-in-hindi</t>
  </si>
  <si>
    <t>Fish Molee Recipe - Kerala Style Fish Curry</t>
  </si>
  <si>
    <t>300 ഗ്രാം മീൻ, 3 ടീസ്പൂൺ സൂര്യകാന്തി എണ്ണ, 1/2 ടീസ്പൂൺ ജീരകം (ജീര), 1 സവാള - അരിഞ്ഞത്, 1 ടീസ്പൂൺ ഇഞ്ചി - പേസ്റ്റ്, 2 തക്കാളി - അരിഞ്ഞത്, 3 അല്ലി വെളുത്തുള്ളി - ചെറുതായി അരിഞ്ഞത്, 1/4 ടീസ്പൂൺ മഞ്ഞൾ പൊടി (ഹാൽഡി), 1/2 ടീസ്പൂൺ ചുവന്ന മുളകുപൊടി, 1/4 ടീസ്പൂൺ ചുവന്ന മുളക് പൊടി, 1/5 മില്ലി ലിറ്റർ പാൽ, ഉപ്പ് - പാകത്തിന്</t>
  </si>
  <si>
    <t>300 gram Fish,3 teaspoon Sunflower Oil,1/2 teaspoon Cumin seeds (Jeera),1 Onion - chopped,1 teaspoon Ginger - paste,2 Tomatoes - chopped,3 cloves Garlic - finely chopped,1/4 teaspoon Turmeric powder (Haldi),1/2 teaspoon Red Chilli powder,1/4 teaspoon Vinegar,1/4 Lemon juice,50 ml Coconut milk,Salt - to taste</t>
  </si>
  <si>
    <t xml:space="preserve">To begin making the Fish Molee Recipe, firstly wash the fish cutlet pieces and season with salt. In a heavy bottomed pan, heat some oil on medium flame. Add cumin seeds and let it crackle. Add chopped onion and saute until the onions are translucent. Add garlic, ginger paste and saute until the raw smell of garlic and ginger goes away.Add in the chopped tomatoes and saute until the tomatoes are mushy and oil starts to leave from the sides. This will take 3 to 4 minutes.After 3 to4 minutes add in turmeric powder and red chili powder, mix well and pour a cup of water into the pan. Once the water reaches the boiling point, lower the flame, add coconut milk and the fish pieces.When the fish is fully cooked, add lime juice and vinegar. Add appropriate amount of salt and give the curry a good stir. Turn off the flame.Serve Fish Molee along with Appams or Steamed Rice for a simple weekday Lunch. You can also make it for your weekend Lunch with other Kerala recipes.
</t>
  </si>
  <si>
    <t xml:space="preserve">ഫിഷ് മോളി റെസിപ്പി ഉണ്ടാക്കാൻ തുടങ്ങാൻ, ആദ്യം മീൻ കട്ലറ്റ് കഷണങ്ങൾ കഴുകി ഉപ്പ് ചേർത്ത് താളിക്കുക. അടിയിൽ കട്ടിയുള്ള ഒരു പാത്രത്തിൽ, ഇടത്തരം തീയിൽ കുറച്ച് എണ്ണ ചൂടാക്കുക. ജീരകം ചേർത്ത് പൊട്ടിക്കാൻ അനുവദിക്കുക. അരിഞ്ഞ ഉള്ളി ചേർത്ത് ഉള്ളി അർദ്ധസുതാര്യമാകുന്നതുവരെ വഴറ്റുക. വെളുത്തുള്ളി, ഇഞ്ചി പേസ്റ്റ് എന്നിവ ചേർത്ത് വെളുത്തുള്ളിയുടെയും ഇഞ്ചിയുടെയും അസംസ്കൃത മണം മാറുന്നത് വരെ വഴറ്റുക. തക്കാളി അരിഞ്ഞത് ചേർത്ത് തക്കാളി ചതച്ച് വശങ്ങളിൽ നിന്ന് എണ്ണ ഒഴുകുന്നത് വരെ വഴറ്റുക. ഇത് 3 മുതൽ 4 മിനിറ്റ് വരെ എടുക്കും. 3-4 മിനിറ്റിനു ശേഷം മഞ്ഞൾപ്പൊടിയും ചുവന്ന മുളകുപൊടിയും ചേർത്ത് നന്നായി ഇളക്കി ഒരു കപ്പ് വെള്ളം പാനിൽ ഒഴിക്കുക. വെള്ളം തിളയ്ക്കുന്ന ഘട്ടത്തിൽ എത്തിക്കഴിഞ്ഞാൽ, തീ കുറയ്ക്കുക, തേങ്ങാപ്പാലും മീൻ കഷണങ്ങളും ചേർക്കുക. മത്സ്യം പൂർണ്ണമായും വേവുമ്പോൾ, നാരങ്ങ നീരും വിനാഗിരിയും ചേർക്കുക. ആവശ്യത്തിന് ഉപ്പ് ചേർത്ത് കറി നന്നായി ഇളക്കുക. ഒരു ലളിതമായ പ്രവൃത്തിദിന ഉച്ചഭക്ഷണത്തിനായി അപ്പാമുകളോ ആവിയിൽ അരിയോടും ഒപ്പം ഫ്ലെയ്ൻ ഓഫ് ചെയ്യുക. മറ്റ് കേരള പാചകക്കുറിപ്പുകൾക്കൊപ്പം നിങ്ങളുടെ വാരാന്ത്യ ഉച്ചഭക്ഷണത്തിനും ഇത് ഉണ്ടാക്കാം.
</t>
  </si>
  <si>
    <t>http://www.archanaskitchen.com/fish-molee-recipe</t>
  </si>
  <si>
    <t>Beans Mezhukkupuratti Recipe - Kerala Style Stir Fried Beans</t>
  </si>
  <si>
    <t>ബീൻസ് മെഴുക്കുപുരട്ടി റെസിപ്പി - കേരള സ്റ്റൈൽ വറുത്ത ബീൻസ് ഇളക്കുക</t>
  </si>
  <si>
    <t>300 ഗ്രാം ചെറുപയർ (ഫ്രഞ്ച് ബീൻസ്) - ഇഞ്ച് നീളത്തിൽ അരിഞ്ഞത്, 2 സവാള - ചെറുതായി അരിഞ്ഞത്, 1 ടീസ്പൂൺ കടുക്, 1 തണ്ട് കറിവേപ്പില, 1/2 ടീസ്പൂൺ മഞ്ഞൾപ്പൊടി (ഹാൽദി), 1 ടീസ്പൂൺ കുരുമുളക് പൊടി, 1 ടീസ്പൂൺ വെളിച്ചെണ്ണ, ഉപ്പ് - ആവശ്യത്തിന്</t>
  </si>
  <si>
    <t>300 grams Green beans (French Beans) - cut into inch long pieces,2 Onion - thinly sliced,1 teaspoon Mustard seeds,1 sprig Curry leaves,1/2 teaspoon Turmeric powder (Haldi),1 teaspoon Black pepper powder,1 teaspoon Coconut Oil,Salt - to taste</t>
  </si>
  <si>
    <t xml:space="preserve">To begin making the Beans Mezhukkupuratti Recipe (Kerala Poriyal), wash and discard the ends of the french beans. Cut them into inch long pieces and keep aside.Place the beans in a pressure cooker, add two tablespoon of water and sprinkle some salt. Pressure cook the beans for just one whistle and turn off the heat.Release the pressure immediately from the pressure cooker by running it under cold water, to prevent the beans from getting over cooked and losing its green color.Heat oil in a heavy bottomed pan, add the mustard seeds and let it crackle. Add the curry leaves and let it splutter. Once the curry leaves have spluttered, add the onions and saute the onions until they are tender.Add the steamed beans, turmeric powder, pepper powder, season with salt, mix well and stir fry the Beans Mezhukkupuratti for a couple of minutes. Check the salt to taste and adjust accordingly. Once done, turn off the heat and transfer the Beans Mezhukkupuratti to a serving bowl. Serve the Beans Mezhukkupuratti Recipe (Kerala Beans Poriyal) along with Kerala Red or White Rice, Arachuvitta Sambar Recipe, and Elai Vadam for a simple yet delicious Kerala inspired weeknight dinner.
</t>
  </si>
  <si>
    <t xml:space="preserve">ബീൻസ് മെഴുക്കുപുരട്ടി റെസിപ്പി (കേരള പൊരിയൽ) ഉണ്ടാക്കാൻ തുടങ്ങാൻ, ഫ്രഞ്ച് ബീൻസിൻ്റെ അറ്റം കഴുകി കളയുക. അവ ഇഞ്ച് നീളമുള്ള കഷണങ്ങളായി മുറിച്ച് മാറ്റി വയ്ക്കുക. ബീൻസ് ഒരു പ്രഷർ കുക്കറിൽ വയ്ക്കുക, രണ്ട് ടേബിൾസ്പൂൺ വെള്ളം ചേർത്ത് കുറച്ച് ഉപ്പ് വിതറുക. ബീൻസ് ഒരു വിസിൽ മാത്രം പ്രഷർ ചെയ്ത് വേവിക്കുക, തീ ഓഫ് ചെയ്യുക. തണുത്ത വെള്ളത്തിനടിയിൽ ഓടിച്ച് പ്രഷർ കുക്കറിൽ നിന്ന് ഉടൻ പ്രഷർ റിലീസ് ചെയ്യുക, ബീൻസ് വേവിച്ച് അതിൻ്റെ പച്ച നിറം നഷ്ടപ്പെടുന്നത് തടയുക. അടിയിൽ കട്ടിയുള്ള ഒരു പാത്രത്തിൽ എണ്ണ ചൂടാക്കുക, കടുക് പൊട്ടിക്കുക. കറിവേപ്പില ചേർക്കുക, അത് തെറിക്കാൻ അനുവദിക്കുക. കറിവേപ്പില പൊട്ടിച്ചു കഴിഞ്ഞാൽ ഉള്ളി ചേർത്ത് വഴറ്റുക ഉപ്പ് രുചി പരിശോധിച്ച് അതിനനുസരിച്ച് ക്രമീകരിക്കുക. വെന്തു കഴിഞ്ഞാൽ തീ ഓഫ് ചെയ്ത് ബീൻസ് മെഴുക്കുപുരട്ടി സെർവിംഗ് ബൗളിലേക്ക് മാറ്റുക. ബീൻസ് മെഴുക്കുപുരട്ടി റെസിപ്പിയും (കേരള ബീൻസ് പൊരിയൽ) കേരള റെഡ് അല്ലെങ്കിൽ വൈറ്റ് റൈസ്, അരച്ചുവിട്ട സാമ്പാർ റെസിപ്പി, എളൈ വടം എന്നിവയ്‌ക്കൊപ്പം ലളിതവും എന്നാൽ രുചികരവുമായ കേരള പ്രചോദിത ആഴ്‌ചരാത്രി അത്താഴത്തിന് വിളമ്പുക.
</t>
  </si>
  <si>
    <t>https://www.archanaskitchen.com/beans-mezhukkupuratti-recipe-kerala-style-stir-fried-beans</t>
  </si>
  <si>
    <t>Chena Mezhukuparrati Recipe (Eggplant Foot Yam Stir Fry)</t>
  </si>
  <si>
    <t>ചേന മെഴുക്കുപറത്തി റെസിപ്പി ( വഴുതന കാല് വറുത്തത് )</t>
  </si>
  <si>
    <t>2 കപ്പ് ആനക്കറി (സുരൻ/സേനൈ/രതാലു) - ക്യൂബ്ഡ്, 2-1/2 കപ്പ് വെള്ളം, 8 വെളുത്തുള്ളി - ഗ്രാമ്പൂ, 1 സവാള - ചെറുതായി അരിഞ്ഞത്, 1/2 ടീസ്പൂൺ മഞ്ഞൾപൊടി (ഹാൽഡി), 1-1/2 ടീസ്പൂൺ ചുവന്ന മുളകുപൊടി, 1/2 ടീസ്പൂൺ കറുത്ത കുരുമുളക്, 1/2 ടീസ്പൂൺ കുരുമുളക് പൊടി, 1/2 ടീസ്പൂൺ കുരുമുളക് പൊടി, 1/2 ടീസ്പൂൺ. കറിവേപ്പില</t>
  </si>
  <si>
    <t>2 cups Elephant yam (Suran/Senai/Ratalu) - cubed,2-1/2 cups Water,8 Garlic - cloves,1 Onion - finely chopped,1/2 teaspoon Turmeric powder (Haldi),1-1/2 teaspoon Red Chilli powder,1/2 teaspoon Black pepper powder,1/2 teaspoon Fennel Powder,1 tablespoon Sunflower Oil,1 teaspoon Mustard seeds,6 Curry leaves</t>
  </si>
  <si>
    <t xml:space="preserve">To begin with the Chena Mezhukuparrati Recipe ( Eggplant Foot Yam Stir Fry) first, in a medium sized pot, add water and salt; Bring it to a boil. Add the chopped Elephant foot yam in the boiling water and cook them until they are half cooked. Do not cook the yam pieces completely.Drain the excess water from the cooked yam pieces and set them aside on a paper towel; allow them to dry until we prepare the other spicy mixture.In a nonstick Kadai, add oil and heat on a medium flame.Once the oil is hot, add mustard seeds followed by curry leaves. Let the seeds splutter.While keeping the Kadai in medium flame, add garlic, onion and let them fry. Now add turmeric powder, red chili powder, fennel powder, and pepper powder. Give them a stir so that they blended together. Do not burn the spices.Add the cooked yam pieces to the spicy mixture in the Kadai.Cook yam with the lid covered. If it sticks at the bottom of the pan, add 2- 3 tablespoons of hot water.Once the yam pieces are completely cooked and the raw smell of spice powders goes off, switch off the flame.Serve the Chena Mezhukuparrati Recipe ( Eggplant Foot Yam Stir Fry) as a  side for white rice . To make it more authentic, use coconut oil for the recipe.
</t>
  </si>
  <si>
    <t xml:space="preserve">ചേന മെഴുക്കുപറത്തി പാചകക്കുറിപ്പ് (വഴുതന കാൽ യാം ഇളക്കുക) ഉപയോഗിച്ച് ആരംഭിക്കുന്നതിന് ആദ്യം, ഒരു ഇടത്തരം വലിപ്പമുള്ള പാത്രത്തിൽ, വെള്ളവും ഉപ്പും ചേർക്കുക; ഇത് തിളപ്പിക്കുക. ചുട്ടുതിളക്കുന്ന വെള്ളത്തിൽ അരിഞ്ഞു വച്ചിരിക്കുന്ന ആനക്കാൽ ചേന ചേർത്ത് പകുതി വേവുന്നത് വരെ വേവിക്കുക. ചേന കഷണങ്ങൾ പൂർണ്ണമായും വേവിക്കരുത്. വേവിച്ച ചേന കഷണങ്ങളിൽ നിന്ന് അധിക വെള്ളം ഊറ്റി ഒരു പേപ്പർ ടവലിൽ മാറ്റി വയ്ക്കുക; ഞങ്ങൾ മറ്റ് മസാല മിശ്രിതം തയ്യാറാക്കുന്നത് വരെ അവ ഉണങ്ങാൻ അനുവദിക്കുക. ഒരു നോൺസ്റ്റിക് കടായിയിൽ, എണ്ണ ചേർത്ത് ഇടത്തരം തീയിൽ ചൂടാക്കുക. എണ്ണ ചൂടായ ശേഷം, കടുക്, കറിവേപ്പില എന്നിവ ചേർക്കുക. വിത്തുകൾ പൊട്ടിത്തെറിക്കാൻ അനുവദിക്കുക.കടായി ഇടത്തരം തീയിൽ സൂക്ഷിക്കുമ്പോൾ, വെളുത്തുള്ളി, ഉള്ളി എന്നിവ ചേർത്ത് വഴറ്റാൻ അനുവദിക്കുക. ഇനി മഞ്ഞൾപ്പൊടി, ചുവന്ന മുളകുപൊടി, പെരുംജീരകം പൊടി, കുരുമുളക് പൊടി എന്നിവ ചേർക്കുക. അവ ഒന്നിച്ചു ചേരുന്ന തരത്തിൽ ഇളക്കി കൊടുക്കുക. മസാലകൾ കത്തിക്കരുത്.കടൈയിലെ മസാല മിശ്രിതത്തിലേക്ക് വേവിച്ച ചേന കഷണങ്ങൾ ചേർക്കുക.മൂടി മൂടി വെച്ച് വേവിക്കുക. ഇത് പാനിൻ്റെ അടിയിൽ പറ്റിപ്പിടിച്ചാൽ, 2- 3 ടേബിൾസ്പൂൺ ചൂടുവെള്ളം ചേർക്കുക. ചേന കഷണങ്ങൾ പൂർണ്ണമായും വേവിച്ചു, മസാലപ്പൊടികളുടെ അസംസ്കൃത ഗന്ധം പോയിക്കഴിഞ്ഞാൽ, തീ ഓഫ് ചെയ്യുക. ചേന മെഴുക്കുപറത്തി പാചകരീതി (വഴുതന കാൽ യാം ഇളക്കുക) വെളുത്ത അരിക്ക്    വിളമ്പുക. ഇത് കൂടുതൽ ആധികാരികമാക്കുന്നതിന്, പാചകത്തിന് വെളിച്ചെണ്ണ ഉപയോഗിക്കുക.
</t>
  </si>
  <si>
    <t>https://www.archanaskitchen.com/chena-mezhukuparrati-recipe-eggplant-foot-yam-stir-fry</t>
  </si>
  <si>
    <t>Kerala Style Ulli Theeyal Recipe - Kerala Style Ulli Theeyal Recipe</t>
  </si>
  <si>
    <t>കേരള സ്റ്റൈൽ ഉള്ളി തിയൽ റെസിപ്പി - Kerala Style Ulli Theeyal Recipe</t>
  </si>
  <si>
    <t>200 ഗ്രാം ഛോട്ടേ പയജ്,2 ടഹനി കഠി പട്ട,2 കപ്പ് ഇമലി കാ പാനി,1/2 ഛോട്ട,1ചമ,1 ഛോട്ട ചമച്ച ഹിങ്ങ്,1/4 ഛോട്ടാ ചമച്ച ഹൽദി പൌഡർ,3 ബഡം -ചമച്ച സ്വാദ് അനുസാർ,1 ബഡേ ചമച്ച ധനിയേ ബീജ്,1/2 ഛോട്ടാ ചമച്ച ജീര,1 ശുക്ല നാറിയൽ - കസ് ലെ</t>
  </si>
  <si>
    <t>200 gms small onions, 2 sprigs curry leaves, 2 cups tamarind water, 1/2 tsp mustard seeds, 1/4 tsp asafoetida, 1/4 tsp turmeric powder, 3 tbsp oil, salt - according to taste, 1 tbsp coriander seeds, 1/2 tsp cumin seeds, 6 dried red chillies, 1 cup coconut - grated</t>
  </si>
  <si>
    <t>To make Kerala Style Ulli Thiyal Recipe, first heat a small pan. Add coriander seeds, cumin seeds, dried red chillies, coconut and cook till the coconut turns golden brown. Cool it and add some water to make a paste. Heat oil in a pan. Add mustard seeds and let it crackle. After crackling, add curry leaves and shallots. Cook till the onions turn slightly soft and golden. This will take at least 10 minutes. After the onions are cooked, add tamarind water, asafoetida, turmeric powder, salt and coconut paste. Mix everything well and cook on a low flame for 10 minutes. After 10 minutes, turn off the gas and transfer it to a bowl. Serve Kerala Style Ulli Thiyal with Rice, Chow Chow Thoran and Papad for lunch.</t>
  </si>
  <si>
    <t xml:space="preserve">കേരള സ്‌റ്റൈൽ ഉള്ളി തിയൽ റെസിപ്പി ബനാനെ സെബസ് പഹലെ ഒരു ഛോട്ടി കഠായി ഗര്യായ്. അതുപോലെ ധന്യയുടെ ബീജ്, ജീര, സുഖി ലാൽ മിർച്ച്, നാറിയൽ ഡാലെ കൂടാതെ നാറിയൽ സുനഹര ഭ്രംശം ലെ.തണ്ടാ കരെം കൂടാതെ തോഡ പാനി ദാലകർ പെസ്റ്റ് ബനാ ലെ.  ഒരു കഥ ഇതുപോലെ റായ് ഡാലെയും തഡക്കനേയും. ഇതുകൂടാതെ കഠി പട്ടയും ഛോട്ടേ പ്യാജ് ഡാലെയും. പ്യാജ് കെ തൊഡാ നരം കൂടാതെ സുനഹര ഹോനെ തക പക ലേ. ഇതുപോലെ തന്നെ 10 മിനിറ്റ് ലഗേംഗേ.  ഇമലി കാ പാനി, ഹീങ്ങ്, ഹൽഡി പൗഡർ, നമക് പവർ നാർ ഡാലെ. സബക്കോ അച്ഛി തരഹ് സെ മിലാ ലെയും ധീമി ആഞ്ചും 10 മിനിറ്റിനുള്ളിൽ പകനെ ദേ. 10 മിനിറ്റ് ബാദ് ഗെയ്‌സ് ബാൻഡ് കറും ഒരു ബൗളും നിക്കൽ ദേ.കേരള സ്‌റ്റൈൽ തഥൈൽ ചാവൽ, ചാവു ചാവു തോരൻ ഒപ്പം പാപങ്ങളും ദിനങ്ങൾക്കായി. 
</t>
  </si>
  <si>
    <t>http://www.archanaskitchen.com/kerala-style-ulli-theeyal-recipe-small-onions-roasted-in-spicy-tamarind-coconut-gravy-in-hindi</t>
  </si>
  <si>
    <t>Cabbage And Carrot Thoran Recipe</t>
  </si>
  <si>
    <t>ക്യാബേജ്, കാരറ്റ് തോരൻ റെസിപ്പി</t>
  </si>
  <si>
    <t>3 കാരറ്റ് (ഗജ്ജർ) - വറ്റൽ, 1/2 കാബേജ് (പട്ട ഗോബി/ മുട്ടായിക്കോസ്) - ചെറുതായി അരിഞ്ഞത്, 1 സവാള - ചെറുതായി അരിഞ്ഞത്, 4 പച്ചമുളക് - അരിഞ്ഞത്, 1/2 ടീസ്പൂൺ മഞ്ഞൾപ്പൊടി (ഹാൽദി), 1 ടീസ്പൂൺ ജീരകപ്പൊടി (ജീര), 1 ടേബിൾസ്പൂൺ ജീരകപ്പൊടി (ജീര), 1 ടേബിൾസ്പൂൺ മത്തൻ വിത്ത് - 1 കപ്പ്, വെളിച്ചെണ്ണ 6 കപ്പ്, 1/2 ടീസ്പൂൺ ഇലകൾ, ഉപ്പ് - ആവശ്യത്തിന്</t>
  </si>
  <si>
    <t>3 Carrots (Gajjar) - grated,1/2 Cabbage (Patta Gobi/ Muttaikose) - finely chopped,1 Onion - finely chopped,4 Green Chillies - slit,1/2 teaspoon Turmeric powder (Haldi),1 teaspoon Cumin powder (Jeera),1 tablespoon Sunflower Oil,1/2 teaspoon Mustard seeds,1/2 cup Fresh coconut - grated,6 Curry leaves,Salt - as required</t>
  </si>
  <si>
    <t xml:space="preserve">To prepare this easy Cabbage And Carrot Thoran Recipe, wash and prepare carrots and cabbage first.In a bowl, add grated carrots and chopped cabbage. Add onions, green chilies, cumin powder, turmeric powder and required salt to the vegetable mixture.Toss them well so that they are mixed well together.In a kadai, add oil and heat over a medium flame.Add mustard seeds once the oil is hot.Once the mustards splutter, add curry leaves and the vegetable mixture.Cook the mixture over the medium flame with the lid covered. This may take 10-12 minutes.Once the vegetables become tender and cooked, add grated coconut to the mixture.Combine them well and cook with the lid open for about 3 minutes till the dish is cooked.Switch off the flame. Serve the carrot and cabbage thoran with hot boiled rice, Cheriya ulli sambar and fried papad for a perfect meal.
</t>
  </si>
  <si>
    <t xml:space="preserve">ഈ എളുപ്പമുള്ള ക്യാബേജ്, ക്യാരറ്റ് തോരൻ പാചകക്കുറിപ്പ് തയ്യാറാക്കാൻ, ആദ്യം ക്യാരറ്റും കാബേജും കഴുകി തയ്യാറാക്കുക. ഒരു പാത്രത്തിൽ വറ്റല് കാരറ്റും അരിഞ്ഞ കാബേജും ചേർക്കുക. സവാള, പച്ചമുളക്, ജീരകപ്പൊടി, മഞ്ഞൾപൊടി, ആവശ്യത്തിന് ഉപ്പ് എന്നിവ പച്ചക്കറി മിശ്രിതത്തിലേക്ക് ചേർക്കുക. അവ നന്നായി യോജിപ്പിക്കുക. ഒരു കടയിൽ, എണ്ണ ചേർത്ത് മീഡിയം തീയിൽ ചൂടാക്കുക. എണ്ണ ചൂടായ ശേഷം കടുക് ചേർക്കുക. കടുക് പൊട്ടിച്ചശേഷം, കറിവേപ്പില, പച്ചക്കറി മിശ്രിതം ചേർക്കുക. ഇതിന് 10-12 മിനിറ്റ് എടുത്തേക്കാം.പച്ചക്കറികൾ ഇളകി പാകമായിക്കഴിഞ്ഞാൽ, തേങ്ങ അരച്ച മിശ്രിതത്തിലേക്ക് ചേർക്കുക. അവ നന്നായി യോജിപ്പിച്ച് വിഭവം പാകമാകുന്നത് വരെ ഏകദേശം 3 മിനിറ്റ് ലിഡ് തുറന്ന് വേവിക്കുക. തീ ഓഫ് ചെയ്യുക. ചൂടുള്ള വേവിച്ച ചോറിനൊപ്പം ക്യാരറ്റും കാബേജ് തോരനും, ചെറിയ ഉള്ളി സാമ്പാർ , വറുത്ത പപ്പടം  എന്നിവ ഒരു തികഞ്ഞ ഭക്ഷണത്തിനായി വിളമ്പുക.
</t>
  </si>
  <si>
    <t>https://www.archanaskitchen.com/cabbage-and-carrot-thoran-recipe</t>
  </si>
  <si>
    <t>Perum Payaru Theeyal Recipe (Kerala Style Black Eyed Bean Curry)</t>
  </si>
  <si>
    <t>Perum Payaru Theeyal Recipe (കേരള സ്റ്റൈൽ ബ്ലാക്ക് ഐഡ് ബീൻസ് കറി)</t>
  </si>
  <si>
    <t>1.5 കപ്പ് റെഡ് ബ്ലാക്ക് ഐഡ് ബീൻസ് (അസുക്കി), 1/2 കപ്പ് പുതിയ തേങ്ങ - അരച്ചത്, 3 ടേബിൾസ്പൂൺ മല്ലി (ധാനിയ) വിത്ത്, 4 ഉണങ്ങിയ ചുവന്ന മുളക്, 2 ടേബിൾസ്പൂൺ പുളി പേസ്റ്റ്, മല്ലി (ധാനിയ) ഇലകൾ - കുറച്ച് തണ്ട്, 1 ടേബിൾസ്പൂൺ സൂര്യകാന്തി എണ്ണ, ഉപ്പ് - ആവശ്യത്തിന്</t>
  </si>
  <si>
    <t>1.5 cups Red Black Eyed Beans (Azuki),1/2 cup Fresh coconut - grated,3 tablespoons Coriander (Dhania) Seeds,4 Dry Red Chillies,2 tablespoons Tamarind Paste,Coriander (Dhania) Leaves - few sprigs,1 tablespoon Sunflower Oil,Salt - to taste</t>
  </si>
  <si>
    <t xml:space="preserve">To begin the preparation of Perum Payaru Theeyal, dry roast the cow peas in a wok in medium heat till fragrant. This will take around 10 minutes.Now, cook the dry roasted red cow peas with 2 cups of water using a pressure cooker for 3 whistles and keep aside.Heat oil in small pan, add the dry chillies and coriander seeds and roast till fragrant.Add the grated coconut and roast until it turns light brown.Once the roasted mixture is cooled, grind it to a smooth paste with little water using a mixer grinder.Now bring the pressure cooker back on heat in which the red cow peas were cooked.Add the ground coconut paste, tamarind paste and mix well. Season with salt, simmer for 5 minutes and switch off the flame.Garnish with chopped coriander on top and serve the Perum Payaru Theeyal along with steamed rice and beetroot thoran for a weekday lunch.
</t>
  </si>
  <si>
    <t xml:space="preserve">പെരും പയറു തീയൽ തയ്യാറാക്കാൻ തുടങ്ങുന്നതിന്, ചെറുപയർ ഒരു ചീനച്ചട്ടിയിൽ ഇടത്തരം ചൂടിൽ മണമുള്ളതുവരെ വറുത്ത് വറുക്കുക. ഇത് ഏകദേശം 10 മിനിറ്റ് എടുക്കും.ഇനി, 2 കപ്പ് വെള്ളത്തിൽ ഒരു പ്രഷർ കുക്കർ ഉപയോഗിച്ച് 2 കപ്പ് വെള്ളം ചേർത്ത് വറുത്ത് വറുത്ത് വെച്ചത് മാറ്റി വയ്ക്കുക.ചെറിയ പാനിൽ എണ്ണ ചൂടാക്കി, ഉണക്കമുളകും മല്ലിയിലയും ചേർത്ത് മണം വരുന്നത് വരെ വറുത്തു കോരുക ഗ്രൈൻഡർ.ഇപ്പോൾ പ്രഷർ കുക്കർ ചൂടാക്കി തിരികെ കൊണ്ടുവരിക, അതിൽ ചുവന്ന പശുവിൻ പീസ് വേവിക്കുക. പൊടിച്ച തേങ്ങാ പേസ്റ്റും പുളി പേസ്റ്റും ചേർത്ത് നന്നായി ഇളക്കുക. ഉപ്പ് ചേർത്ത് 5 മിനിറ്റ് മാരിനേറ്റ് ചെയ്യുക, തീ ഓഫ് ചെയ്യുക. മുകളിൽ അരിഞ്ഞ മല്ലിയില കൊണ്ട് അലങ്കരിക്കുക, പെരും പയറു തീയൽ ആവിയിൽ വേവിച്ച ചോറും ബീറ്റ്റൂട്ട് തോരനും ചേർത്ത് ഒരു പ്രവൃത്തിദിവസത്തെ ഉച്ചഭക്ഷണത്തിന് വിളമ്പുക.
</t>
  </si>
  <si>
    <t>https://www.archanaskitchen.com/perum-payaru-theeyal-recipe-kerala-style-black-eyed-bean-curry</t>
  </si>
  <si>
    <t>kannadaName</t>
  </si>
  <si>
    <t>ingredients_kn</t>
  </si>
  <si>
    <t>instructions_kn</t>
  </si>
  <si>
    <t>Udupi Style Ash Gourd Coconut Curry Recipe</t>
  </si>
  <si>
    <t>ಉಡುಪಿ ಶೈಲಿಯ ಬೂದಿ ಸೋರೆ ತೆಂಗಿನಕಾಯಿ ಕರಿ ರೆಸಿಪಿ</t>
  </si>
  <si>
    <t>500 ಗ್ರಾಂ ವೆಲ್ಲೈ ಪೂಸನಿಕಾಯಿ (ಬೂದಿ ಸೋರೆಕಾಯಿ/ಬಿಳಿ ಕುಂಬಳಕಾಯಿ), 1/2 ಚಮಚ ಅರಿಶಿನ ಪುಡಿ (ಹಲ್ದಿ), ಉಪ್ಪು - ರುಚಿಗೆ, ಸೂರ್ಯಕಾಂತಿ ಎಣ್ಣೆ - ಅಡುಗೆಗೆ, 4 ಒಣ ಕೆಂಪು ಮೆಣಸಿನಕಾಯಿಗಳು, 1/2 ಕಪ್ ತಾಜಾ ತೆಂಗಿನಕಾಯಿ - ತುರಿದ, 30 ಗ್ರಾಂ ಹುಣಸೆ ಬೀಜಗಳು, 1/2 ಟೀಚಮಚ 2 ಚಮಚ ಮೆಂತ್ಯೆ ಬೀಜಗಳು (ಜೀರಾ), 2 ಚಮಚ ಕೊತ್ತಂಬರಿ (ಧನಿಯಾ) ಬೀಜಗಳು, 2 ಚಮಚ ಎಳ್ಳು ಬೀಜಗಳು (ಟಿಲ್ ಬೀಜಗಳು), 3 ಚಮಚ ಬೆಲ್ಲ, 1 ಕಪ್ ಹುಣಸೆ ನೀರು, 1 ಚಮಚ ಸೂರ್ಯಕಾಂತಿ ಎಣ್ಣೆ, 1/2 ಚಮಚ ಸಾಸಿವೆ, 2 ಚಿಗುರು ಕರಿಬೇವಿನ ಎಲೆಗಳು - ಸರಿಸುಮಾರು ಹರಿದ, 1 ಒಣ ಕೆಂಪು ಮೆಣಸಿನಕಾಯಿಗಳು</t>
  </si>
  <si>
    <t>500 grams Vellai Poosanikai (Ash gourd/White Pumpkin),1/2 teaspoon Turmeric powder (Haldi),Salt - to taste,Sunflower Oil - for cooking,4 Dry Red Chillies,1/2 cup Fresh coconut - grated,30 grams Tamarind Water,1/2 teaspoon Methi Seeds (Fenugreek Seeds),1/2 teaspoon Cumin seeds (Jeera),2 teaspoons Coriander (Dhania) Seeds,2 teaspoons Sesame seeds (Til seeds),3 tablespoons Jaggery,1 cup Tamarind Water,1 teaspoon Sunflower Oil,1/2 teaspoon Mustard seeds,2 sprig Curry leaves - roughly torn,1 Dry Red Chillies</t>
  </si>
  <si>
    <t xml:space="preserve">To begin making the Udupi Style Ash Gourd Coconut Curry Recipe  cook the ash gourd in the pressure cooker with little water, turmeric powder and salt for just 1 whistle. Release the pressure naturally.Soak the tamarind ball in hot water for about 15 minutes, and squeeze and keep the water.Then dry roast the spices and other ingredients for the ground paste in a pan except the coconut. Then grind it along with coconut to a smooth paste.In same pressure cooker which has the ash gourd add the paste and little water and give it stir. Keep the Udupi Ash Gourd Coconut Curry on the medium heat, Adjust the seasoning and texture if required. Once done transfer it in a bowl.For the seasoning, heat oil in a small skillet and add mustard seeds and let it crackle. After the mustard seeds have crackled add the curry leaves and red chillies. Tun off the heat after the red chillies have darkened and add it on top of the Udupi Style Ash Gourd Coconut Curry and serve. Serve the Udupi Style Ash Gourd Coconut Curry Recipe along with steamed rice, Elai Vadam  and Pisarna Manga for lunch.
</t>
  </si>
  <si>
    <t xml:space="preserve">ಉಡುಪಿ ಶೈಲಿಯ ಬೂದಿ ಸೋರೆ ತೆಂಗಿನಕಾಯಿ ಕರಿ ರೆಸಿಪಿಯನ್ನು ತಯಾರಿಸಲು ಪ್ರಾರಂಭಿಸಲು  ಬೂದಿ ಸೋರೆಕಾಯಿಯನ್ನು ಪ್ರೆಶರ್ ಕುಕ್ಕರ್‌ನಲ್ಲಿ ಸ್ವಲ್ಪ ನೀರು, ಅರಿಶಿನ ಪುಡಿ ಮತ್ತು ಉಪ್ಪಿನೊಂದಿಗೆ ಕೇವಲ 1 ಸೀಟಿಗೆ ಬೇಯಿಸಿ. ನೈಸರ್ಗಿಕವಾಗಿ ಒತ್ತಡವನ್ನು ಬಿಡುಗಡೆ ಮಾಡಿ. ಹುಣಸೆಹಣ್ಣಿನ ಉಂಡೆಯನ್ನು ಸುಮಾರು 15 ನಿಮಿಷಗಳ ಕಾಲ ಬಿಸಿ ನೀರಿನಲ್ಲಿ ನೆನೆಸಿ, ಮತ್ತು ನೀರನ್ನು ಹಿಂಡಿ ಮತ್ತು ಇಟ್ಟುಕೊಳ್ಳಿ. ನಂತರ ತೆಂಗಿನಕಾಯಿ ಹೊರತುಪಡಿಸಿ ರುಬ್ಬಿದ ಪೇಸ್ಟ್‌ಗೆ ಮಸಾಲೆಗಳು ಮತ್ತು ಇತರ ಪದಾರ್ಥಗಳನ್ನು ಒಣಗಿಸಿ. ನಂತರ ಅದನ್ನು ತೆಂಗಿನಕಾಯಿಯೊಂದಿಗೆ ನಯವಾದ ಪೇಸ್ಟ್‌ಗೆ ರುಬ್ಬಿಕೊಳ್ಳಿ. ಬೂದಿ ಸೋರೆಕಾಯಿಯನ್ನು ಹೊಂದಿರುವ ಅದೇ ಪ್ರೆಶರ್ ಕುಕ್ಕರ್‌ನಲ್ಲಿ ಪೇಸ್ಟ್ ಮತ್ತು ಸ್ವಲ್ಪ ನೀರು ಸೇರಿಸಿ ಮತ್ತು ಬೆರೆಸಿ. ಮಧ್ಯಮ ಉರಿಯಲ್ಲಿ ಉಡುಪಿ ಬೂದಿ ಸೋರೆ ತೆಂಗಿನಕಾಯಿ ಕರಿಯನ್ನು ಇರಿಸಿ, ಅಗತ್ಯವಿದ್ದರೆ ಮಸಾಲೆ ಮತ್ತು ವಿನ್ಯಾಸವನ್ನು ಹೊಂದಿಸಿ. ಒಮ್ಮೆ ಮಾಡಿದ ನಂತರ ಅದನ್ನು ಒಂದು ಬಟ್ಟಲಿನಲ್ಲಿ ವರ್ಗಾಯಿಸಿ. ಒಗ್ಗರಣೆಗಾಗಿ, ಸಣ್ಣ ಬಾಣಲೆಯಲ್ಲಿ ಎಣ್ಣೆಯನ್ನು ಬಿಸಿ ಮಾಡಿ ಮತ್ತು ಸಾಸಿವೆ ಹಾಕಿ ಮತ್ತು ಅದನ್ನು ಸಿಡಿಸಲು ಬಿಡಿ. ಸಾಸಿವೆ ಸಿಡಿದ ನಂತರ ಕರಿಬೇವಿನ ಎಲೆಗಳು ಮತ್ತು ಕೆಂಪು ಮೆಣಸಿನಕಾಯಿಗಳನ್ನು ಸೇರಿಸಿ. ಕೆಂಪು ಮೆಣಸಿನಕಾಯಿಗಳು ಕಪ್ಪಾಗಿಸಿದ ನಂತರ ಉರಿಯನ್ನು ಆಫ್ ಮಾಡಿ ಮತ್ತು ಅದನ್ನು ಉಡುಪಿ ಶೈಲಿಯ ಬೂದಿ ಸೋರೆಕಾಯಿ ಕೊಬ್ಬರಿ ಕರಿ ಮೇಲೆ ಸೇರಿಸಿ ಮತ್ತು ಬಡಿಸಿ. ಮಧ್ಯಾಹ್ನದ ಊಟಕ್ಕೆ ಆವಿಯಲ್ಲಿ ಬೇಯಿಸಿದ ಅನ್ನ, ಎಲೈ ವಡಂ  ಮತ್ತು ಪಿಸರ್ನಾ ಮಂಗಾ ಜೊತೆಗೆ ಉಡುಪಿ ಶೈಲಿಯ ಬೂದಿ ಸೋರೆ ತೆಂಗಿನಕಾಯಿ ಕರಿ ರೆಸಿಪಿಯನ್ನು ಬಡಿಸಿ.
</t>
  </si>
  <si>
    <t>http://www.archanaskitchen.com/udupi-style-ash-gourd-coconut-curry-recipe</t>
  </si>
  <si>
    <t>Udupi</t>
  </si>
  <si>
    <t>Udupi Style Red Parboiled Rice Sevai Recipe (Red Rice Vermicelli)</t>
  </si>
  <si>
    <t>ಉಡುಪಿ ಸ್ಟೈಲ್ ರೆಡ್ ಪಾರ್ಬಾಯಿಲ್ಡ್ ರೈಸ್ ಸೇವಾಯಿ ರೆಸಿಪಿ (ಕೆಂಪು ಅಕ್ಕಿ ವರ್ಮಿಸೆಲ್ಲಿ)</t>
  </si>
  <si>
    <t>3 ಕಪ್ ಕೆಂಪು ಮತ್ತಾ ಅಕ್ಕಿ - ಬೇಯಿಸಿದ, 1 ಕಪ್ ತಾಜಾ ತೆಂಗಿನಕಾಯಿ - ತುರಿದ, 2-1/4 ಕಪ್ ನೀರು, ಉಪ್ಪು - ರುಚಿಗೆ</t>
  </si>
  <si>
    <t>3 cups Red matta rice - parboiled,1 cup Fresh coconut - grated,2-1/4 cups Water,Salt - to taste</t>
  </si>
  <si>
    <t xml:space="preserve">To begin making the Udupi Style Red Parboiled Rice Sevai Recipe, wash and soak the red parboiled rice in enough water overnight.In the morning, drain the water and grind it along with the grated coconut, salt using a mixer grinder adding water little at a time, remove it in a bowl.The dough should be tight to hold a shape. Now, knead the dough till it soft and divide it into four equal portions.Heat water in a steamer, bring it to a rolling boil, before you proceed further to make the sevai.Grease the steamer plate with a little oil. Place a portion of the dough in the chakli / murruku maker, to which the sevai mould is attached.Make small roundels on the steamer plate and place it inside the steamer.Let the sevai steam for 10 minutes, remove and proceed to make sevai with the remaining dough.Garnish a little grated fresh coconut on top before serving. Serve the Udupi Style Red Parboiled Rice Sevai Recipe along with Spicy Coconut Chutney and Filter Coffee for the breakfast.
</t>
  </si>
  <si>
    <t xml:space="preserve">ಉಡುಪಿ ಸ್ಟೈಲ್ ರೆಡ್ ಪಾರಬಾಯಿಲ್ಡ್ ರೈಸ್ ಸೇವಾಯಿ ರೆಸಿಪಿಯನ್ನು ತಯಾರಿಸಲು ಪ್ರಾರಂಭಿಸಲು, ಕೆಂಪು ಅಕ್ಕಿಯನ್ನು ರಾತ್ರಿಯಿಡೀ ಸಾಕಷ್ಟು ನೀರಿನಲ್ಲಿ ತೊಳೆದು ನೆನೆಸಿಡಿ. ಬೆಳಿಗ್ಗೆ, ನೀರನ್ನು ಹರಿಸುತ್ತವೆ ಮತ್ತು ಮಿಕ್ಸರ್ ಗ್ರೈಂಡರ್ ಬಳಸಿ ಮಿಕ್ಸರ್ ಗ್ರೈಂಡರ್ ಬಳಸಿ ಉಪ್ಪು ಸೇರಿಸಿ ರುಬ್ಬಿಕೊಳ್ಳಿ. ಹಿಟ್ಟು ಆಕಾರವನ್ನು ಹಿಡಿದಿಡಲು ಬಿಗಿಯಾಗಿರಬೇಕು. ಈಗ, ಹಿಟ್ಟನ್ನು ಮೃದುವಾಗುವವರೆಗೆ ಬೆರೆಸಿ ಮತ್ತು ಅದನ್ನು ನಾಲ್ಕು ಸಮಾನ ಭಾಗಗಳಾಗಿ ವಿಂಗಡಿಸಿ. ಸ್ಟೀಮರ್‌ನಲ್ಲಿ ನೀರನ್ನು ಬಿಸಿ ಮಾಡಿ, ಅದನ್ನು ರೋಲಿಂಗ್ ಕುದಿಯಲು ತನ್ನಿ, ನೀವು ಸೇವೆ ಮಾಡಲು ಮುಂದುವರಿಯುವ ಮೊದಲು. ಸ್ಟೀಮರ್ ಪ್ಲೇಟ್ ಅನ್ನು ಸ್ವಲ್ಪ ಎಣ್ಣೆಯಿಂದ ಗ್ರೀಸ್ ಮಾಡಿ. ಹಿಟ್ಟಿನ ಒಂದು ಭಾಗವನ್ನು ಚಕ್ಲಿ / ಮುರುಕು ಮೇಕರ್‌ನಲ್ಲಿ ಇರಿಸಿ, ಅದಕ್ಕೆ ಸೇವಿಯ ಅಚ್ಚು ಜೋಡಿಸಲಾಗಿದೆ. ಸ್ಟೀಮರ್ ಪ್ಲೇಟ್‌ನಲ್ಲಿ ಸಣ್ಣ ರೌಂಡಲ್‌ಗಳನ್ನು ಮಾಡಿ ಮತ್ತು ಸ್ಟೀಮರ್‌ನ ಒಳಗೆ ಇರಿಸಿ. ಸೇವಿಯನ್ನು 10 ನಿಮಿಷಗಳ ಕಾಲ ಹಬೆಯಾಡಲು ಬಿಡಿ, ತೆಗೆದುಹಾಕಿ ಮತ್ತು ಉಳಿದ ಹಿಟ್ಟಿನಿಂದ ಸೇವಾಯಿ ಮಾಡಲು ಮುಂದುವರಿಯಿರಿ. ಸ್ವಲ್ಪ ತುರಿದ ತೆಂಗಿನಕಾಯಿಯನ್ನು ಬಡಿಸುವ ಮೊದಲು ಸ್ವಲ್ಪ ಅಲಂಕರಿಸಿ. ಬೆಳಗಿನ ಉಪಾಹಾರಕ್ಕಾಗಿ ಉಡುಪಿ ಸ್ಟೈಲ್ ರೆಡ್ ಪಾರ್ಬಾಯಿಲ್ಡ್ ರೈಸ್ ಸೇವೈ ರೆಸಿಪಿಯನ್ನು ಮಸಾಲೆಯುಕ್ತ ತೆಂಗಿನಕಾಯಿ ಚಟ್ನಿ ಮತ್ತು ಫಿಲ್ಟರ್ ಕಾಫಿ ಯೊಂದಿಗೆ ಬಡಿಸಿ.
</t>
  </si>
  <si>
    <t>https://www.archanaskitchen.com/udupi-style-red-parboiled-rice-sevai-recipe-red-rice-vermicelli</t>
  </si>
  <si>
    <t>Padipe Saasmi Recipe - Udupi Style Amaranth Leaves Curry With Coconut &amp; Tamarind</t>
  </si>
  <si>
    <t>ಪಡಿಪೆ ಸಾಸ್ಮಿ ರೆಸಿಪಿ - ಉಡುಪಿ ಶೈಲಿಯ ಅಮರಂಥ್ ತೆಂಗಿನಕಾಯಿ ಮತ್ತು ಹುಣಸೆಹಣ್ಣಿನೊಂದಿಗೆ ಕರಿಬೇವು</t>
  </si>
  <si>
    <t>12 ಚಿಗುರು ಕೆಂಪು ಅಮರಂಥ್ ಎಲೆಗಳು - ನೀವು ಪಾಲಕ್ ಅನ್ನು ಸಹ ಬಳಸಬಹುದು, 1 ಕಪ್ ತಾಜಾ ತೆಂಗಿನಕಾಯಿ - ತುರಿದ, 4 ಒಣ ಕೆಂಪು ಮೆಣಸಿನಕಾಯಿಗಳು, 2 ಹಸಿರು ಮೆಣಸಿನಕಾಯಿಗಳು, 1 ಟೀಚಮಚ ಸಾಸಿವೆ, 1 ಟೀಚಮಚ ಜೀರಿಗೆ (ಜೀರಾ), 1 ಹುಣಸೆಹಣ್ಣು - ಅಮೃತಶಿಲೆ ಗಾತ್ರದ, ಉಪ್ಪು - ರುಚಿಗೆ, 1-1/2 ಟೀಚಮಚ ಸೂರ್ಯಕಾಂತಿ ಎಣ್ಣೆ, 1 ಟೀಸ್ಪೂನ್ ಸೂರ್ಯಕಾಂತಿ ಎಣ್ಣೆ, 1 ಟೀಸ್ಪೂನ್. ಮೆಣಸಿನಕಾಯಿಗಳು, 1 ಟೀಚಮಚ ಬಿಳಿ ಉರಡ್ ದಾಲ್ (ಒಡೆದ), 1 ಚಿಗುರು ಕರಿಬೇವಿನ ಎಲೆಗಳು</t>
  </si>
  <si>
    <t>12 sprig Red Amaranth Leaves - You can use spinach also,1 cup Fresh coconut - grated,4 Dry Red Chillies,2 Green Chillies,1 teaspoon Mustard seeds,1 teaspoon Cumin seeds (Jeera),1 Tamarind - marble sized,Salt - to taste,1-1/2 teaspoon Sunflower Oil,1 teaspoon Sunflower Oil,1 teaspoon Mustard seeds,2 Dry Red Chillies,1 teaspoon White Urad Dal (Split),1 sprig Curry leaves</t>
  </si>
  <si>
    <t xml:space="preserve">To begin making the Padipe Saasmi Recipe, pluck the amaranth leaves, include some of the tender stem as well. Wash the leaves and stem well in water. Drain the leaves from water. Chop them finely. Soak tamarind in 1/2 cup water for about 30 minutes.Grind together coconut, dry red chilies, green chillies, mustard seeds and cumin seeds into a thick and smooth paste.Heat oil in a heavy bottomed pan. Add the ground paste and cook until the raw smell is gone.Add chopped spinach/amaranth leaves and saute for about 5 to 7 minutes. Add salt to taste and tamarind extract or juice to the curry.Heat oil in a tadka pan. Add mustard seeds and allow it to splutter. Add dry red chilies, urad dal and curry leaves. Once urad dal begin to turn golden brown remove the pan from heat and pour it into the spinach curry. Turn off flame and serve hot.Serve Padipe Saasmi along with Mixed Vegetable Sambar and Steamed Rice for a weekday meal.
</t>
  </si>
  <si>
    <t xml:space="preserve">ಪಡಿಪೆ ಸಾಸ್ಮಿ ಪಾಕವಿಧಾನವನ್ನು ತಯಾರಿಸಲು ಪ್ರಾರಂಭಿಸಲು, ಅಮರಂಥ್ ಎಲೆಗಳನ್ನು ಕಿತ್ತುಕೊಳ್ಳಿ, ಕೆಲವು ಕೋಮಲ ಕಾಂಡವನ್ನು ಸೇರಿಸಿ. ಎಲೆಗಳು ಮತ್ತು ಕಾಂಡವನ್ನು ನೀರಿನಲ್ಲಿ ಚೆನ್ನಾಗಿ ತೊಳೆಯಿರಿ. ನೀರಿನಿಂದ ಎಲೆಗಳನ್ನು ಹರಿಸುತ್ತವೆ. ಅವುಗಳನ್ನು ನುಣ್ಣಗೆ ಕತ್ತರಿಸಿ. ಹುಣಸೆಹಣ್ಣನ್ನು ಸುಮಾರು 30 ನಿಮಿಷಗಳ ಕಾಲ 1/2 ಕಪ್ ನೀರಿನಲ್ಲಿ ನೆನೆಸಿಡಿ. ತೆಂಗಿನಕಾಯಿ, ಒಣ ಕೆಂಪು ಮೆಣಸಿನಕಾಯಿಗಳು, ಹಸಿರು ಮೆಣಸಿನಕಾಯಿಗಳು, ಸಾಸಿವೆ ಮತ್ತು ಜೀರಿಗೆಯನ್ನು ಒಟ್ಟಿಗೆ ರುಬ್ಬಿಕೊಳ್ಳಿ ಮತ್ತು ದಪ್ಪ ಮತ್ತು ನಯವಾದ ಪೇಸ್ಟ್ ಆಗಿ. ರುಬ್ಬಿದ ಪೇಸ್ಟ್ ಅನ್ನು ಸೇರಿಸಿ ಮತ್ತು ಹಸಿ ವಾಸನೆ ಹೋಗುವವರೆಗೆ ಬೇಯಿಸಿ. ಕತ್ತರಿಸಿದ ಪಾಲಕ್ / ಅಮರಂಥ್ ಎಲೆಗಳನ್ನು ಸೇರಿಸಿ ಮತ್ತು ಸುಮಾರು 5 ರಿಂದ 7 ನಿಮಿಷಗಳ ಕಾಲ ಹುರಿಯಿರಿ. ರುಚಿಗೆ ತಕ್ಕಷ್ಟು ಉಪ್ಪು ಮತ್ತು ಕರಿಬೇವಿಗೆ ಹುಣಸೆಹಣ್ಣಿನ ಸಾರ ಅಥವಾ ರಸವನ್ನು ಸೇರಿಸಿ.ತಡ್ಕಾ ಪ್ಯಾನ್‌ನಲ್ಲಿ ಎಣ್ಣೆಯನ್ನು ಬಿಸಿ ಮಾಡಿ. ಸಾಸಿವೆ ಕಾಳುಗಳನ್ನು ಸೇರಿಸಿ ಮತ್ತು ಅದನ್ನು ಚೆಲ್ಲಲು ಬಿಡಿ. ಒಣ ಕೆಂಪು ಮೆಣಸಿನಕಾಯಿಗಳು, ಉದ್ದಿನ ಬೇಳೆ ಮತ್ತು ಕರಿಬೇವಿನ ಎಲೆಗಳನ್ನು ಸೇರಿಸಿ. ಉದ್ದಿನಬೇಳೆ ಗೋಲ್ಡನ್ ಬ್ರೌನ್ ಆಗಲು ಪ್ರಾರಂಭಿಸಿದ ನಂತರ ಪ್ಯಾನ್ ಅನ್ನು ಶಾಖದಿಂದ ತೆಗೆದುಹಾಕಿ ಮತ್ತು ಅದನ್ನು ಪಾಲಕ ಮೇಲೋಗರಕ್ಕೆ ಸುರಿಯಿರಿ. ಉರಿಯನ್ನು ಆಫ್ ಮಾಡಿ ಮತ್ತು ಬಿಸಿಯಾಗಿ ಬಡಿಸಿ. ವಾರದ ದಿನದ ಊಟಕ್ಕೆ ಮಿಶ್ರಿತ ತರಕಾರಿ ಸಾಂಬಾರ್ ಮತ್ತು ಬೇಯಿಸಿದ ಅನ್ನದೊಂದಿಗೆ ಪಡಿಪೆ ಸಾಸ್ಮಿಯನ್ನು ಬಡಿಸಿ.
</t>
  </si>
  <si>
    <t>http://www.archanaskitchen.com/padipe-saasmi-recipe-udupi-style-amaranth-leaves-curry-with-coconut-tamarind</t>
  </si>
  <si>
    <t>Udupi Red Parboiled Rice Shavige Recipe</t>
  </si>
  <si>
    <t>ಉಡುಪಿ ರೆಡ್ ಪಾರ್ಬಾಯಿಲ್ಡ್ ರೈಸ್ ಶ್ಯಾವಿಗೆ ರೆಸಿಪಿ</t>
  </si>
  <si>
    <t>4 ಕಪ್ ಕೆಂಪು ಮತ್ತಾ ಅಕ್ಕಿ - ಬೇಯಿಸಿದ, 1 ಕಪ್ ದೋಸೆ ಅಕ್ಕಿ, 1/2 ಕಪ್ ತಾಜಾ ತೆಂಗಿನಕಾಯಿ - ತುರಿದ, ಉಪ್ಪು - ರುಚಿಗೆ, 3 ಕಪ್ ನೀರು -</t>
  </si>
  <si>
    <t>4 cups Red matta rice - boiled,1 cup Dosa rice,1/2 cup Fresh coconut - grated,Salt - to taste,3 cups Water -</t>
  </si>
  <si>
    <t xml:space="preserve">To begin making the Udupi Red Parboiled Rice Shavige recipe, soak red parboiled rice and dosa rice in water for 8 to 10 hours.Drain water and grind it to very smooth paste adding little water along with grated coconut. Add salt to taste. Don't make thin paste, the batter should be spoonable thick. To a greased container, fill the ground thick batter. Place it in a steamer and cook for 30 to 35 minutes. Check if its cooked by piercing a toothpick. If it is done, the toothpick will come out clean. Unmould from the container and place the cooked dough into the idiyappam press when it is hot. Press in a circular shape. You will see strands of Red Parboiled Rice Shavige coming. Serve Red Parboiled Rice Shavige with fresh coconut milk / season it as lemon sevai.Serve Shavige along with South Indian Coconut Chutney or you can make other recipes like Kara Sevai.
</t>
  </si>
  <si>
    <t xml:space="preserve">ಉಡುಪಿ ರೆಡ್ ಪಾರ್ಬಾಯಿಲ್ಡ್ ರೈಸ್ ಶ್ಯಾವಿಗೆ ರೆಸಿಪಿಯನ್ನು ತಯಾರಿಸಲು ಪ್ರಾರಂಭಿಸಲು, ಕೆಂಪು ಅಕ್ಕಿ ಮತ್ತು ದೋಸೆ ಅಕ್ಕಿಯನ್ನು ನೀರಿನಲ್ಲಿ 8 ರಿಂದ 10 ಗಂಟೆಗಳ ಕಾಲ ನೆನೆಸಿಡಿ. ನೀರನ್ನು ಒಣಗಿಸಿ ಮತ್ತು ತುರಿದ ತೆಂಗಿನಕಾಯಿಯೊಂದಿಗೆ ಸ್ವಲ್ಪ ನೀರು ಸೇರಿಸಿ ತುಂಬಾ ನಯವಾದ ಪೇಸ್ಟ್ ಆಗಿ ರುಬ್ಬಿಕೊಳ್ಳಿ. ರುಚಿಗೆ ಉಪ್ಪು ಸೇರಿಸಿ. ತೆಳುವಾದ ಪೇಸ್ಟ್ ಮಾಡಬೇಡಿ, ಹಿಟ್ಟು ಚಮಚದಷ್ಟು ದಪ್ಪವಾಗಿರಬೇಕು. ಗ್ರೀಸ್ ಮಾಡಿದ ಧಾರಕಕ್ಕೆ, ನೆಲದ ದಪ್ಪ ಹಿಟ್ಟನ್ನು ತುಂಬಿಸಿ. ಇದನ್ನು ಸ್ಟೀಮರ್ನಲ್ಲಿ ಇರಿಸಿ ಮತ್ತು 30 ರಿಂದ 35 ನಿಮಿಷ ಬೇಯಿಸಿ. ಟೂತ್‌ಪಿಕ್ ಚುಚ್ಚುವ ಮೂಲಕ ಅದನ್ನು ಬೇಯಿಸಲಾಗಿದೆಯೇ ಎಂದು ಪರಿಶೀಲಿಸಿ. ಹಾಗೆ ಮಾಡಿದರೆ ಟೂತ್ ಪಿಕ್ ಕ್ಲೀನ್ ಆಗಿ ಬರುತ್ತದೆ. ಧಾರಕದಿಂದ ಬಿಚ್ಚಿ ಮತ್ತು ಬೇಯಿಸಿದ ಹಿಟ್ಟನ್ನು ಬಿಸಿಯಾಗಿರುವಾಗ ಇಡಿಯಪ್ಪಂ ಪ್ರೆಸ್‌ನಲ್ಲಿ ಇರಿಸಿ. ವೃತ್ತಾಕಾರದ ಆಕಾರದಲ್ಲಿ ಒತ್ತಿರಿ. ರೆಡ್ ಪಾರ್ಬಾಯಿಲ್ಡ್ ರೈಸ್ ಶ್ಯಾವಿಗೆ ಬರುತ್ತಿರುವುದನ್ನು ನೀವು ನೋಡುತ್ತೀರಿ. ತಾಜಾ ತೆಂಗಿನಕಾಯಿ ಹಾಲಿನೊಂದಿಗೆ ರೆಡ್ ಪಾರ್ಬಾಯಿಲ್ಡ್ ರೈಸ್ ಶ್ಯಾವಿಗೆ ಬಡಿಸಿ / ನಿಂಬೆ ಸೇವಿನಂತೆ ಒಗ್ಗರಣೆ ಮಾಡಿ
</t>
  </si>
  <si>
    <t>http://www.archanaskitchen.com/udupi-red-parboiled-rice-shavige-recipe</t>
  </si>
  <si>
    <t>Kottambari Tambuli Recipe - Udupi Style Raw Coriander Kadhi</t>
  </si>
  <si>
    <t>ಕೊಟ್ಟಂಬರಿ ತಂಬುಳಿ ರೆಸಿಪಿ - ಉಡುಪಿ ಶೈಲಿಯ ಹಸಿ ಕೊತ್ತಂಬರಿ ಸೊಪ್ಪು</t>
  </si>
  <si>
    <t>1 ಕಪ್ ಮೊಸರು (ದಹಿ / ಮೊಸರು), 1 ಕಪ್ ಕೊತ್ತಂಬರಿ (ಧನಿಯಾ) ಎಲೆಗಳು - ಬಿಗಿಯಾಗಿ ಪ್ಯಾಕ್ ಮಾಡಿದ, 4 ಟೇಬಲ್ಸ್ಪೂನ್ ತಾಜಾ ತೆಂಗಿನಕಾಯಿ - ತುರಿದ, 1 ಹಸಿರು ಮೆಣಸಿನಕಾಯಿ, 1 ಟೀಚಮಚ ಜೀರಿಗೆ (ಜೀರಾ), 1 ಟೀಚಮಚ ಸಾಸಿವೆ, 1/2 ಟೀಚಮಚ ಬಿಳಿ ಉದ್ದಿನ ಬೇಳೆ (ಒಡೆ), 1 ಒಣ ಕೆಂಪು ಮೆಣಸಿನಕಾಯಿ, 1 ಚಮಚ ಇಂಗು, 2 ಚಮಚ</t>
  </si>
  <si>
    <t>1 cup Curd (Dahi / Yogurt),1 cup Coriander (Dhania) Leaves - tightly packed,4 tablespoons Fresh coconut - grated,1 Green Chilli,1 teaspoon Cumin seeds (Jeera),1 teaspoon Mustard seeds,1/2 teaspoon White Urad Dal (Split),1 Dry Red Chilli,1 teaspoon Asafoetida (hing),2 teaspoons Sunflower Oil,Salt - to taste</t>
  </si>
  <si>
    <t xml:space="preserve">To begin making Kottambari Tambuli Recipe, whisk the yogurt to smooth consistency in a big bowl. Add about 3 cups of water, mix well and keep aside.Heat a teaspoon of oil in a small kadai, add the cumin seeds and let it splutter.Once they splutter, add the green chilli, coriander leaves and fry for a minute.Once cool, grind it to a smooth paste along with the grated coconut using a mixer grinder adding little water.Add this ground coriander mixture to the yogurt mixture and mix well. Add water to your desired consistency and season with salt.Now, to prepare the tadka, in a small tadka pan, heat the remaining oil, and add the mustard seeds once the oil is hot.Once they splutter, add the urad dal and stir a bit. Once they are golden in color and are fried, add the hing, dry red chilli, and stir.Once the hing seizes sizzling, switch off heat and pour this tadka over the Kottambari Tambuli. Serve the Kottambari Tambuli Recipe (Udupi Style Raw Coriander Kadhi) along with Steamed Rice, Udupi Style Bende Kayi Palya Recipe or Spicy Potato Roast Recipe and Karnataka Style Aralu Sandige Recipe for a simple summer weekday lunch.
</t>
  </si>
  <si>
    <t xml:space="preserve">ಕೊತ್ತಂಬರಿ ತಂಬುಳಿ ಪಾಕವಿಧಾನವನ್ನು ತಯಾರಿಸಲು ಪ್ರಾರಂಭಿಸಲು, ದೊಡ್ಡ ಬಟ್ಟಲಿನಲ್ಲಿ ಮೊಸರನ್ನು ಮೃದುವಾದ ಸ್ಥಿರತೆಗೆ ಪೊರಕೆ ಹಾಕಿ. ಸುಮಾರು 3 ಕಪ್ ನೀರು ಸೇರಿಸಿ, ಚೆನ್ನಾಗಿ ಮಿಶ್ರಣ ಮಾಡಿ ಮತ್ತು ಪಕ್ಕಕ್ಕೆ ಇರಿಸಿ. ಒಂದು ಚಿಕ್ಕ ಕಡಾಯಿಯಲ್ಲಿ ಒಂದು ಚಮಚ ಎಣ್ಣೆಯನ್ನು ಬಿಸಿ ಮಾಡಿ, ಜೀರಿಗೆ ಸೇರಿಸಿ ಮತ್ತು ಅದನ್ನು ಚಿಮುಕಿಸಲು ಬಿಡಿ. ಅವರು ಚಿಮುಕಿಸಿದ ನಂತರ, ಹಸಿರು ಮೆಣಸಿನಕಾಯಿ, ಕೊತ್ತಂಬರಿ ಸೊಪ್ಪುಗಳನ್ನು ಸೇರಿಸಿ ಮತ್ತು ಒಂದು ನಿಮಿಷ ಫ್ರೈ ಮಾಡಿ. ಚೆನ್ನಾಗಿ. ನಿಮ್ಮ ಅಪೇಕ್ಷಿತ ಸ್ಥಿರತೆಗೆ ನೀರನ್ನು ಸೇರಿಸಿ ಮತ್ತು ಉಪ್ಪಿನೊಂದಿಗೆ ಋತುವನ್ನು ಸೇರಿಸಿ. ಈಗ, ತಡ್ಕಾವನ್ನು ತಯಾರಿಸಲು, ಸಣ್ಣ ತಡ್ಕಾ ಪ್ಯಾನ್ನಲ್ಲಿ, ಉಳಿದ ಎಣ್ಣೆಯನ್ನು ಬಿಸಿ ಮಾಡಿ ಮತ್ತು ಎಣ್ಣೆ ಬಿಸಿಯಾದ ನಂತರ ಸಾಸಿವೆ ಸೇರಿಸಿ. ಅವರು ಚೆಲ್ಲಿದಾಗ, ಉದ್ದಿನಬೇಳೆ ಸೇರಿಸಿ ಮತ್ತು ಸ್ವಲ್ಪ ಬೆರೆಸಿ. ಅವು ಗೋಲ್ಡನ್ ಬಣ್ಣಕ್ಕೆ ಬಂದ ನಂತರ ಮತ್ತು ಹುರಿದ ನಂತರ, ಹಿಂಗನ್ನು ಸೇರಿಸಿ, ಒಣ ಕೆಂಪು ಮೆಣಸಿನಕಾಯಿಯನ್ನು ಸೇರಿಸಿ ಮತ್ತು ಬೆರೆಸಿ. ಹಿಂಗನ್ನು ಸಿಜ್ಲಿಂಗ್ ಅನ್ನು ಹಿಡಿದ ನಂತರ, ಶಾಖವನ್ನು ಆಫ್ ಮಾಡಿ ಮತ್ತು ಕೊಟ್ಟಂಬರಿ ತಂಬುಳಿಯ ಮೇಲೆ ಈ ತಡ್ಕಾವನ್ನು ಸುರಿಯಿರಿ. ಕೊತ್ತಂಬರಿ ತಂಬುಳಿ ರೆಸಿಪಿ (ಉಡುಪಿ ಸ್ಟೈಲ್ ಹಸಿ ಕೊತ್ತಂಬರಿ ಕಡಿ) ಜೊತೆಗೆ ಸ್ಟೀಮ್ಡ್ ರೈಸ್, ಉಡುಪಿ ಸ್ಟೈಲ್ ಬೆಂಡೆ ಕಾಯಿ ಪಲ್ಯ ರೆಸಿಪಿ ಅಥವಾ ಮಸಾಲೆಯುಕ್ತ ಆಲೂಗಡ್ಡೆ ರೋಸ್ಟ್ ರೆಸಿಪಿ ಮತ್ತು ಕರ್ನಾಟಕ ಶೈಲಿಯ ಅರಳು ಸಂಡಿಗೆ ರೆಸಿಪಿ ಯನ್ನು ಬೇಸಿಗೆಯ ವಾರದ ಊಟಕ್ಕೆ ಬಡಿಸಿ.
</t>
  </si>
  <si>
    <t>https://www.archanaskitchen.com/kottambari-tambuli-recipe-udupi-style-raw-coriander-kadhi</t>
  </si>
  <si>
    <t>Udupi Style Sannappa Recipe (Brown Rice and Banana Fritters Recipe)</t>
  </si>
  <si>
    <t>ಉಡುಪಿ ಸ್ಟೈಲ್ ಸಣ್ಣಪ್ಪ ರೆಸಿಪಿ (ಬ್ರೌನ್ ರೈಸ್ ಮತ್ತು ಬನಾನಾ ಫ್ರಿಟರ್ಸ್ ರೆಸಿಪಿ)</t>
  </si>
  <si>
    <t>1 ಕಪ್ ಬ್ರೌನ್ ರೈಸ್, 1 ಕಪ್ ಪುಫ್ಡ್ ರೈಸ್, 2 ಮಾಗಿದ ಬಾಳೆಹಣ್ಣು - ಕತ್ತರಿಸಿದ, 4 ಚಮಚ ಬೆಲ್ಲ, 4 ಚಮಚ ತಾಜಾ ತೆಂಗಿನಕಾಯಿ, 1 ಚಿಟಿಕೆ ಉಪ್ಪು, ಸೂರ್ಯಕಾಂತಿ ಎಣ್ಣೆ - ಹುರಿಯಲು</t>
  </si>
  <si>
    <t>1 cup Brown Rice,1 cup Puffed rice,2 Ripe Bananas - chopped,4 tablespoon Jaggery,4 tablespoon Fresh coconut,1 pinch Salt,Sunflower Oil - for frying</t>
  </si>
  <si>
    <t xml:space="preserve">We begin making the Udupi Style Sannappa Recipe (Brown Rice and Banana Fritters Recipe) by soaking the brown rice in water for about 1 hour.Then grind it along with the rest of the ingredients with 1/2 cup water. It should be quiet a thick batter.Heat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Udupi Style Sannappa Recipe (Brown Rice and Banana Fritters Recipe) along with some Adrak Chai Recipe (Indian Style Ginger Tea ) and Ribbon Pakoda Recipe (South Indian Tea Time Snack).
</t>
  </si>
  <si>
    <t xml:space="preserve">ನಾವು ಉಡುಪಿ ಸ್ಟೈಲ್ ಸಣ್ಣಪ್ಪ ರೆಸಿಪಿ (ಬ್ರೌನ್ ರೈಸ್ ಮತ್ತು ಬಾಳೆಹಣ್ಣು ಫ್ರಿಟರ್ಸ್ ರೆಸಿಪಿ) ತಯಾರಿಸಲು ಪ್ರಾರಂಭಿಸುತ್ತೇವೆ, ಬ್ರೌನ್ ರೈಸ್ ಅನ್ನು ಸುಮಾರು 1 ಗಂಟೆ ನೀರಿನಲ್ಲಿ ನೆನೆಸಿ. ನಂತರ ಅದನ್ನು 1/2 ಕಪ್ ನೀರಿನೊಂದಿಗೆ ಉಳಿದ ಪದಾರ್ಥಗಳೊಂದಿಗೆ ಪುಡಿಮಾಡಿ. ಇದು ದಟ್ಟವಾದ ಹಿಟ್ಟನ್ನು ಶಾಂತವಾಗಿರಬೇಕು. ಪನಿಯಾರಮ್ ಪ್ಯಾನ್ ಅನ್ನು ಬಿಸಿ ಮಾಡಿ, ಪ್ರತಿ ಖಿನ್ನತೆಗೆ ತುಪ್ಪ ಅಥವಾ ಎಣ್ಣೆಯನ್ನು ಸೇರಿಸಿ ಮತ್ತು ಅದರಲ್ಲಿ ಸ್ವಲ್ಪ ಹಿಟ್ಟನ್ನು ಸುರಿಯಿರಿ. ಸಿಹಿ ಪನಿಯಾರಮ್ ಅನ್ನು ಒಂದು ಕಡೆಯಿಂದ ತಿಳಿ ಕಂದು ಬಣ್ಣಕ್ಕೆ ಬರುವವರೆಗೆ ಬೇಯಿಸಿ, ನಂತರ ಪ್ರತಿ ಪನಿಯಾರಮ್ ಅನ್ನು ಓರೆಯಾಗಿ ತಿರುಗಿಸಿ ಮತ್ತು ಇನ್ನೊಂದು ಬದಿಯಲ್ಲಿ ಬೇಯಿಸಿ. ಅಗತ್ಯವಿರುವಂತೆ ತುಪ್ಪ ಅಥವಾ ಎಣ್ಣೆಯನ್ನು ಸೇರಿಸಿ. ಬೇಯಿಸಿದ ನಂತರ ಅವು ಎರಡೂ ಬದಿಗಳಿಂದ ತಿಳಿ ಕಂದು ಬಣ್ಣಕ್ಕೆ ಬಂದ ನಂತರ, ಅವುಗಳನ್ನು ಪ್ಲೇಟ್‌ಗೆ ವರ್ಗಾಯಿಸಿ ಮತ್ತು ಬಿಸಿಯಾಗಿ ಬಡಿಸಿ. ಉಡುಪಿ ಸ್ಟೈಲ್ ಸಣ್ಣಪ್ಪ ರೆಸಿಪಿ (ಬ್ರೌನ್ ರೈಸ್ ಮತ್ತು ಬನಾನಾ ಫ್ರಿಟರ್ಸ್ ರೆಸಿಪಿ) ಜೊತೆಗೆ ಕೆಲವು ಅಡ್ರಾಕ್ ಚಾಯ್ ರೆಸಿಪಿ (ಇಂಡಿಯನ್ ಸ್ಟೈಲ್ ಜಿಂಜರ್ ಟೀ ) ಮತ್ತು ರಿಬ್ಬನ್ ಟೈಮ್ ಪಾಕೋಡಾ ರಿಬ್ಬನ್ ಅನ್ನು ಬಡಿಸಿ.
</t>
  </si>
  <si>
    <t>https://www.archanaskitchen.com/udupi-style-sannappa-recipe-brown-rice-and-banana-fritters-recipe</t>
  </si>
  <si>
    <t>Udupi Style Sambar Recipe - Masala Huli With Mixed Vegetables</t>
  </si>
  <si>
    <t>ಉಡುಪಿ ಸ್ಟೈಲ್ ಸಾಂಬಾರ್ ರೆಸಿಪಿ - ಮಿಶ್ರ ತರಕಾರಿಗಳೊಂದಿಗೆ ಮಸಾಲೆ ಹುಲಿ</t>
  </si>
  <si>
    <t>1/2 ಕಪ್ ಅರಹರ್ ದಾಲ್ (ಒಡೆದ ದಾಲ್) - 90 ನಿಮಿಷಗಳ ಕಾಲ ನೆನೆಸಿ, 1/2 ಟೀಚಮಚ ಅರಿಶಿನ ಪುಡಿ (ಹಲ್ದಿ), 1 ಚಿಟಿಕೆ ಇಂಗು (ಹಿಂಗ್), 3 ಟೇಬಲ್ಸ್ಪೂನ್ ತಾಜಾ ತೆಂಗಿನಕಾಯಿ - ತುರಿದ, 2 ಟೀ ಚಮಚ ಕೊತ್ತಂಬರಿ (ಧನಿಯಾ) ಬೀಜಗಳು, 1/2 ಟೀಚಮಚ ಜೀರಿಗೆ ಬೀಜಗಳು (ಜೀರಿಗೆ), 1/4 ಟೀಚಮಚ ಮೆತ್ತನೆ ಬೀಜಗಳು (ಬಂಗಾಳ ಬೇಳೆ), 1 ಟೀಚಮಚ ಬಿಳಿ ಉದ್ದಿನ ಬೇಳೆ (ಒಡೆದ), 4 ಬ್ಯಾಡಗಿ ಒಣ ಮೆಣಸಿನಕಾಯಿಗಳು, 12 ಕರಿಬೇವಿನ ಎಲೆಗಳು - ಅಥವಾ ಕೆಲವು ಚಿಗುರುಗಳು, 1 ಚಮಚ ಸೂರ್ಯಕಾಂತಿ ಎಣ್ಣೆ, 1 ಈರುಳ್ಳಿ - ನುಣ್ಣಗೆ ಕತ್ತರಿಸಿದ, 1 ಟೊಮೇಟೊ - ಘನಗಳು, 2 ಡ್ರಮ್ ಸ್ಟಿಕ್ - ಮೊದಲ ಪದರದ ಸಿಪ್ಪೆ ಸುಲಿದ ಮತ್ತು 2 ಇಂಚು ತುಂಡುಗಳಾಗಿ ಕತ್ತರಿಸಿ. ಚೂರು, 1 ಚಮಚ ಹುಣಸೆಹಣ್ಣಿನ ಪೇಸ್ಟ್, 1 ಚಮಚ ಬೆಲ್ಲ - ಅಥವಾ ರುಚಿಗೆ, 1/4 ಟೀಚಮಚ ಅರಿಶಿನ ಪುಡಿ (ಹಲ್ದಿ), 1/2 ಟೀಚಮಚ ಕೆಂಪು ಮೆಣಸಿನ ಪುಡಿ - (ಹೊಂದಾಣಿಕೆ), ಉಪ್ಪು - ರುಚಿಗೆ, 1/2 ಟೀಚಮಚ ಸಾಸಿವೆ ಕಾಳುಗಳು, 1/4 ಟೀಚಮಚ ಮೇಥಿ ಕಾಳುಗಳು (ಮೆಂತ್ಯ ಬೀಜಗಳು), 1/2 ಟೀಚಮಚ ಬಿಳಿ ಉದ್ದಿನಬೇಳೆ, 1/2 ಟೀಚಮಚ ಕೆಂಪು ಮೆಣಸಿನಕಾಯಿ, 2 ಟೀಸ್ಪೂನ್. ಚಿಟಿಕೆ ಇಂಗು (ಹಿಂಗ್)</t>
  </si>
  <si>
    <t>1/2 cup Arhar dal (Split Toor Dal) - soaked for 90 minutes,1/2 teaspoon Turmeric powder (Haldi),1 pinch Asafoetida (hing),3 tablespoons Fresh coconut - grated,2 teaspoons Coriander (Dhania) Seeds,1/2 teaspoon Cumin seeds (Jeera),1/4 teaspoon Methi Seeds (Fenugreek Seeds),1 teaspoon Chana dal (Bengal Gram Dal),1 teaspoon White Urad Dal (Split),4 Byadagi Dried Chillies,12 Curry leaves - or a few sprigs,1 tablespoon Sunflower Oil,1 Onion - finely sliced,1 Tomato - cubed,2 Drumstick - first layer peeled and cut into 2 inch pieces,100 grams Kaddu (Parangikai/ Pumpkin) - cubed,1 tablespoon Tamarind Paste,1 tablespoon Jaggery - or to taste,1/4 teaspoon Turmeric powder (Haldi),1/2 teaspoon Red Chilli powder - (adjust),Salt - to taste,1/2 teaspoon Mustard seeds,1/4 teaspoon Methi Seeds (Fenugreek Seeds),1/2 teaspoon White Urad Dal (Split),2 Dry Red Chillies,1 sprig Curry leaves,2 pinch Asafoetida (hing)</t>
  </si>
  <si>
    <t xml:space="preserve">To begin making Udupi Style Sambar Recipe-Masala Huli With Mixed Vegetables, firstly soak the toor dal in sufficient water for about an hour and a half.At the time of cooking, wash the dal thoroughly and drain. Add dal, a pinch of asafoetida, turmeric powder and 1 1 1/2 cups water to the dal and pressure cook till done. (about 2 whistles will do), allow the pressure to release naturally. Heat about a teaspoon of oil in a heavy bottoemed pan and roast the ingredients given for the masala including coriander seeds, cumin seeds, fenugreek seeds, chana dal, white urad dal, bydagi red chillies, curry leaves except the coconut till they change little colour. This will take about a minute and keep it aside to cool.Grind them together with the coconut using sufficient water to get a smooth paste.Heat oil in a heavy bottomed pan and add mustard seeds, fenugreek seeds, urad dal, red chillies broken into pieces, asafoetida and curry leaves. Allow them to sizzle for few seconds. Add sliced onions and cook for a minute. Add the turmeric powder and saute.When onions turn translucent, add peeled drumsticks and add 1 cup water for them to cook by covering it with a lid for 15 minutes. Add the pumpkin pieces, red chilli powder and cook further 15 more minutes. When all vegetables are cooked, add the tomato cubes and cook for a while till tomatoes are cooked well.Meanwhile, mash the cooked dal in pressure cooker. Add tamarind paste, salt, jaggery and the ground masala to the cooked vegetables. Add the mashed dal and water if required to adjust the consistency.Mix well and bring Masala Huli to a boil. Adjust salt and jaggery if needed.Reduce flame and simmer the Udupi sambar for few minutes for other ingredients to cook completely. Once done, switch off the stove and it is ready to be served.Serve Udupi Style Sambar Recipe - Masala Huli With Mixed Vegetables along with Homemade Soft Idli Recipe and Red Chilli Coconut Chutney Recipe (South Indian Chutney) for breakfast.
</t>
  </si>
  <si>
    <t xml:space="preserve">ಉಡುಪಿ ಸ್ಟೈಲ್ ಸಾಂಬಾರ್ ರೆಸಿಪಿ-ಮಸಾಲಾ ಹುಲಿಯನ್ನು ಮಿಶ್ರ ತರಕಾರಿಗಳೊಂದಿಗೆ ತಯಾರಿಸಲು ಪ್ರಾರಂಭಿಸಲು, ಮೊದಲು ಬೇಳೆಯನ್ನು ಸಾಕಷ್ಟು ನೀರಿನಲ್ಲಿ ಸುಮಾರು ಒಂದೂವರೆ ಗಂಟೆಗಳ ಕಾಲ ನೆನೆಸಿಡಿ. ಅಡುಗೆಯ ಸಮಯದಲ್ಲಿ, ಬೇಲ್ ಅನ್ನು ಚೆನ್ನಾಗಿ ತೊಳೆದು ಒಣಗಿಸಿ. ದಾಲ್, ಒಂದು ಚಿಟಿಕೆ ಇಂಗು, ಅರಿಶಿನ ಪುಡಿ ಮತ್ತು 1 1 1/2 ಕಪ್ ನೀರನ್ನು ದಾಲ್‌ಗೆ ಸೇರಿಸಿ ಮತ್ತು ಮುಗಿಯುವವರೆಗೆ ಕುಕ್ ಮಾಡಿ. (ಸುಮಾರು 2 ಸೀಟಿಗಳು ಮಾಡುತ್ತವೆ), ಒತ್ತಡವನ್ನು ನೈಸರ್ಗಿಕವಾಗಿ ಬಿಡುಗಡೆ ಮಾಡಲು ಅವಕಾಶ ಮಾಡಿಕೊಡಿ. ದಪ್ಪ ತಳವಿರುವ ಬಾಣಲೆಯಲ್ಲಿ ಸುಮಾರು ಒಂದು ಟೀಚಮಚ ಎಣ್ಣೆಯನ್ನು ಬಿಸಿ ಮಾಡಿ ಮತ್ತು ಕೊತ್ತಂಬರಿ ಬೀಜಗಳು, ಜೀರಿಗೆ, ಮೆಂತ್ಯ ಬೀಜಗಳು, ಹಸಿಮೆಣಸು, ಬಿಳಿ ಉದ್ದಿನ ಬೇಳೆ, ಬೈಡಗಿ ಕೆಂಪು ಮೆಣಸಿನಕಾಯಿಗಳು, ಕರಿಬೇವಿನ ಎಲೆಗಳು ಸೇರಿದಂತೆ ಮಸಾಲೆಗೆ ನೀಡಿದ ಪದಾರ್ಥಗಳನ್ನು ಸ್ವಲ್ಪ ಬಣ್ಣ ಬದಲಾಗುವವರೆಗೆ ಹುರಿಯಿರಿ. ಇದು ಸುಮಾರು ಒಂದು ನಿಮಿಷ ತೆಗೆದುಕೊಳ್ಳುತ್ತದೆ ಮತ್ತು ಅದನ್ನು ತಣ್ಣಗಾಗಲು ಪಕ್ಕಕ್ಕೆ ಇರಿಸಿ. ನಯವಾದ ಪೇಸ್ಟ್ ಪಡೆಯಲು ಸಾಕಷ್ಟು ನೀರನ್ನು ಬಳಸಿ ತೆಂಗಿನಕಾಯಿಯೊಂದಿಗೆ ರುಬ್ಬಿಕೊಳ್ಳಿ. ಭಾರೀ ತಳದ ಬಾಣಲೆಯಲ್ಲಿ ಎಣ್ಣೆಯನ್ನು ಬಿಸಿ ಮಾಡಿ ಮತ್ತು ಸಾಸಿವೆ ಕಾಳುಗಳು, ಮೆಂತ್ಯ ಕಾಳುಗಳು, ಉದ್ದಿನಬೇಳೆ, ತುಂಡುಗಳಾಗಿ ಕತ್ತರಿಸಿದ ಕೆಂಪು ಮೆಣಸಿನಕಾಯಿಗಳು, ಇಂಗು ಮತ್ತು ಕರಿಬೇವಿನ ಎಲೆಗಳನ್ನು ಸೇರಿಸಿ. ಅವುಗಳನ್ನು ಕೆಲವು ಸೆಕೆಂಡುಗಳ ಕಾಲ ಕುಗ್ಗಿಸಲು ಅನುಮತಿಸಿ. ಕತ್ತರಿಸಿದ ಈರುಳ್ಳಿ ಸೇರಿಸಿ ಮತ್ತು ಒಂದು ನಿಮಿಷ ಬೇಯಿಸಿ. ಅರಿಶಿನ ಪುಡಿಯನ್ನು ಸೇರಿಸಿ ಮತ್ತು ಹುರಿಯಿರಿ. ಈರುಳ್ಳಿ ಅರೆಪಾರದರ್ಶಕವಾದಾಗ, ಸಿಪ್ಪೆ ಸುಲಿದ ಡ್ರಮ್‌ಸ್ಟಿಕ್‌ಗಳನ್ನು ಸೇರಿಸಿ ಮತ್ತು ಅವುಗಳನ್ನು 15 ನಿಮಿಷಗಳ ಕಾಲ ಮುಚ್ಚಳದಿಂದ ಮುಚ್ಚಿ ಬೇಯಿಸಲು 1 ಕಪ್ ನೀರು ಸೇರಿಸಿ. ಕುಂಬಳಕಾಯಿ ತುಂಡುಗಳು, ಕೆಂಪು ಮೆಣಸಿನ ಪುಡಿ ಸೇರಿಸಿ ಮತ್ತು ಇನ್ನೂ 15 ನಿಮಿಷ ಬೇಯಿಸಿ. ಎಲ್ಲಾ ತರಕಾರಿಗಳು ಬೇಯಿಸಿದಾಗ, ಟೊಮೆಟೊ ತುಂಡುಗಳನ್ನು ಸೇರಿಸಿ ಮತ್ತು ಟೊಮ್ಯಾಟೊ ಚೆನ್ನಾಗಿ ಬೇಯಿಸುವವರೆಗೆ ಸ್ವಲ್ಪ ಸಮಯ ಬೇಯಿಸಿ. ಈ ಮಧ್ಯೆ, ಬೇಯಿಸಿದ ದಾಲ್ ಅನ್ನು ಪ್ರೆಶರ್ ಕುಕ್ಕರ್‌ನಲ್ಲಿ ಮ್ಯಾಶ್ ಮಾಡಿ. ಬೇಯಿಸಿದ ತರಕಾರಿಗಳಿಗೆ ಹುಣಸೆಹಣ್ಣಿನ ಪೇಸ್ಟ್, ಉಪ್ಪು, ಬೆಲ್ಲ ಮತ್ತು ರುಬ್ಬಿದ ಮಸಾಲೆ ಸೇರಿಸಿ. ಸ್ಥಿರತೆಯನ್ನು ಸರಿಹೊಂದಿಸಲು ಹಿಸುಕಿದ ದಾಲ್ ಮತ್ತು ನೀರನ್ನು ಸೇರಿಸಿ. ಚೆನ್ನಾಗಿ ಮಿಶ್ರಣ ಮಾಡಿ ಮತ್ತು ಮಸಾಲಾ ಹುಲಿಯನ್ನು ಕುದಿಸಿ. ಅಗತ್ಯವಿದ್ದರೆ ಉಪ್ಪು ಮತ್ತು ಬೆಲ್ಲವನ್ನು ಹೊಂದಿಸಿ. ಜ್ವಾಲೆಯನ್ನು ಕಡಿಮೆ ಮಾಡಿ ಮತ್ತು ಇತರ ಪದಾರ್ಥಗಳು ಸಂಪೂರ್ಣವಾಗಿ ಬೇಯಿಸಲು ಕೆಲವು ನಿಮಿಷಗಳ ಕಾಲ ಉಡುಪಿ ಸಾಂಬಾರ್ ಅನ್ನು ಕುದಿಸಿ. ಒಮ್ಮೆ ಮಾಡಿದ ನಂತರ, ಸ್ಟವ್ ಆಫ್ ಮಾಡಿ ಮತ್ತು ಅದು ಬಡಿಸಲು ಸಿದ್ಧವಾಗಿದೆ. ಉಡುಪಿ ಸ್ಟೈಲ್ ಸಾಂಬಾರ್ ರೆಸಿಪಿ - ಮಸಾಲಾ ಹುಲಿ ಜೊತೆಗೆ ಮಿಶ್ರ ತರಕಾರಿಗಳೊಂದಿಗೆ ಮನೆಯಲ್ಲಿ ತಯಾರಿಸಿದ ಮೃದುವಾದ ಇಡ್ಲಿ ರೆಸಿಪಿ ಮತ್ತು ಕೆಂಪು ಮೆಣಸಿನಕಾಯಿ ತೆಂಗಿನಕಾಯಿ ಚಟ್ನಿ ರೆಸಿಪಿ (ದಕ್ಷಿಣ ಭಾರತೀಯ ಚಟ್ನಿ) ಉಪಹಾರಕ್ಕಾಗಿ ಬಡಿಸಿ.
</t>
  </si>
  <si>
    <t>http://www.archanaskitchen.com/udupi-style-sambar-recipe-masala-huli-with-mixed-vegetables</t>
  </si>
  <si>
    <t>Uddina Hittu Recipe (Udnittu) | Urad Dal Flour In Spiced Buttermilk</t>
  </si>
  <si>
    <t>ಉದ್ದಿನ ಹಿಟ್ಟು ರೆಸಿಪಿ (ಉದ್ನಿಟ್ಟು) | ಮಸಾಲೆಯುಕ್ತ ಮಜ್ಜಿಗೆಯಲ್ಲಿ ಉರಾದ್ ದಾಲ್ ಹಿಟ್ಟು</t>
  </si>
  <si>
    <t>4 ಚಮಚ ಉದ್ದಿನಬೇಳೆ ಹಿಟ್ಟು, 1 ಕಪ್ ಮಜ್ಜಿಗೆ - ಹುಳಿ, 5 ಹಸಿರು ಮೆಣಸಿನಕಾಯಿಗಳು, 1 ಇಂಚು ಶುಂಠಿ - ತುರಿದ, ಉಪ್ಪು - ರುಚಿಗೆ ತಕ್ಕಷ್ಟು, 2 ಚಮಚ ತೆಂಗಿನ ಎಣ್ಣೆ - ತೆಂಗಿನ ಎಣ್ಣೆ - 2-3 ಚಮಚ, 1 ಚಮಚ ಸಾಸಿವೆ, 2 ಮೊರ್ ಮಿಲಗಿ (ಒಣಗಿದ ಹಸಿರು ಮೆಣಸಿನಕಾಯಿಗಳು) - 2 ತುಂಡುಗಳು (ಹಿಂಗ್)</t>
  </si>
  <si>
    <t>4 tablespoons Urad Dal Flour,1 cup Buttermilk - sour,5 Green Chillies,1 inch Ginger - grated,Salt - to taste,2 tablespoons Coconut Oil - Coconut oil - 2-3 tbsp,1 teaspoon Mustard seeds,2 Mor Milagai (Dried Green Chillies) - broken to piece,Curry leaves - a few,2 pinch Asafoetida (hing)</t>
  </si>
  <si>
    <t xml:space="preserve">To begin making Uddina Hittu Recipe (Udnittu) | Urad Dal Flour In Spiced Buttermilk, take a big mixing bowl and add sour buttermilk to it. Crush green chillies, grated ginger and salt into it. Add urad dal flour to it and mix such that there are no lumps in it. Prepare tempering. Heat a small tadka pan, heat coconut oil and when the oil is hot, add mustard seeds.When the mustard seeds splutter, add generous pinches of hing, curry leaves and broken mor milagai. Pour the tempering over the curd-urad dal mixture and mix well.Serve Uddina Hittu Recipe (Udnittu) | Urad Dal Flour In Spiced Buttermilk topped with mor milagai (majjige menasinakai) along with steamed rice for lunch.
</t>
  </si>
  <si>
    <t xml:space="preserve">ಉದ್ದಿನ ಹಿಟ್ಟು ರೆಸಿಪಿ (ಉದ್ನಿಟ್ಟು) ಮಾಡಲು ಆರಂಭಿಸಲು | ಮಸಾಲೆ ಮಜ್ಜಿಗೆಯಲ್ಲಿ ಉರಾದ್ ದಾಲ್ ಹಿಟ್ಟು, ಒಂದು ದೊಡ್ಡ ಮಿಕ್ಸಿಂಗ್ ಬೌಲ್ ತೆಗೆದುಕೊಂಡು ಅದಕ್ಕೆ ಹುಳಿ ಮಜ್ಜಿಗೆ ಸೇರಿಸಿ. ಇದಕ್ಕೆ ಹಸಿರು ಮೆಣಸಿನಕಾಯಿ, ತುರಿದ ಶುಂಠಿ ಮತ್ತು ಉಪ್ಪನ್ನು ರುಬ್ಬಿಕೊಳ್ಳಿ. ಇದಕ್ಕೆ ಉದ್ದಿನಬೇಳೆ ಹಿಟ್ಟನ್ನು ಸೇರಿಸಿ ಮತ್ತು ಅದರಲ್ಲಿ ಯಾವುದೇ ಉಂಡೆಗಳಿಲ್ಲದಂತೆ ಮಿಶ್ರಣ ಮಾಡಿ. ಟೆಂಪರಿಂಗ್ ತಯಾರಿಸಿ. ಸಣ್ಣ ತಡ್ಕಾ ಪ್ಯಾನ್ ಅನ್ನು ಬಿಸಿ ಮಾಡಿ, ತೆಂಗಿನ ಎಣ್ಣೆಯನ್ನು ಬಿಸಿ ಮಾಡಿ ಮತ್ತು ಎಣ್ಣೆ ಬಿಸಿಯಾದಾಗ, ಸಾಸಿವೆ ಸೇರಿಸಿ. ಸಾಸಿವೆ ಕಾಳುಗಳು ಚಿಮುಕಿಸಿದಾಗ, ಉದಾರವಾದ ಚಿಟಿಕೆ ಹಿಂಗ್, ಕರಿಬೇವಿನ ಎಲೆಗಳು ಮತ್ತು ಮುರಿದ ಮೋರ್ ಮಿಲಗಾಯಿ ಸೇರಿಸಿ. ಮೊಸರು-ಉರದ ದಾಲ್ ಮಿಶ್ರಣದ ಮೇಲೆ ಹದಗೊಳಿಸುವಿಕೆಯನ್ನು ಸುರಿಯಿರಿ ಮತ್ತು ಚೆನ್ನಾಗಿ ಮಿಶ್ರಣ ಮಾಡಿ.ಉದ್ದಿನ ಹಿಟ್ಟು ರೆಸಿಪಿ (ಉದ್ನಿಟ್ಟು) | ಮಸಾಲೆಯುಕ್ತ ಮಜ್ಜಿಗೆಯಲ್ಲಿ ಉರಾದ್ ದಾಲ್ ಹಿಟ್ಟು ಮಧ್ಯಾಹ್ನದ ಊಟಕ್ಕೆ ಆವಿಯಲ್ಲಿ ಬೇಯಿಸಿದ ಅನ್ನದ ಜೊತೆಗೆ ಮೋರ್ ಮಿಲಗಾಯಿ (ಮಜ್ಜಿಗೆ ಮೆಣಸಿನಕಾಯಿ) ಯೊಂದಿಗೆ ಅಗ್ರಸ್ಥಾನದಲ್ಲಿದೆ.
</t>
  </si>
  <si>
    <t>http://www.archanaskitchen.com/uddina-hittu-recipe-udnittu-urad-dal-flour-in-spiced-buttermilk</t>
  </si>
  <si>
    <t>Udupi Style Pelakai Teepe Dose Recipe (Halasina Hanina Dose Recipe)</t>
  </si>
  <si>
    <t>ಉಡುಪಿ ಸ್ಟೈಲ್ ಪೆಲಕಾಯಿ ಟೀಪೆ ದೋಸೆ ರೆಸಿಪಿ (ಹಲಸಿನ ಹನಿನ ದೋಸೆ ರೆಸಿಪಿ)</t>
  </si>
  <si>
    <t>1 ಕಪ್ ಹಲಸಿನ ಹಣ್ಣು ಕಚ್ಚಾ (ಕಥಲ್) - ಕತ್ತರಿಸಿದ, 1 ಕಪ್ ತ್ವರಿತ ದೋಸೆ ಮಿಕ್ಸ್ ಪೌಡರ್ - ಅಥವಾ ನೀವು ಇದನ್ನು ಬಿಟ್ಟು 2 ಕಪ್ ಮುರಿದ ಅಕ್ಕಿ, 1/2 ಕಪ್ ಮೊಸರು (ದಹಿ / ಮೊಸರು), 4 ಚಮಚ ತಾಜಾ ತೆಂಗಿನಕಾಯಿ - ತುರಿದ, 2 ಚಮಚ ಬೆಲ್ಲ - 1 ಪಿಂಚ್ ಉಪ್ಪು ಸೇರಿಸಿ.</t>
  </si>
  <si>
    <t>1 cup Jackfruit Raw (Kathal) - chopped,1 cup Instant dosa Mix Powder - or you can skip this and add 2 cups broken rice,1/2 cup Curd (Dahi / Yogurt),4 tablespoon Fresh coconut - grated,2 tablespoon Jaggery - can be adjusted,1 pinch Salt</t>
  </si>
  <si>
    <t xml:space="preserve">To begin making the Udupi Style Pelakai Teepe Dose Recipe (Halasina Hannina Dosa Recipe) by making the  instant dosa mix powder. Click on the recipe link and follow the steps. Mix about 1/2 cup water and curd to the instant dosa mix powder to form a thick dosa batter consistency. Boil the chopped jackfruit with 1/2 cup water on a kadai over a medium heat.Leave it on the heat, for about 20 minutes till the jackfruit become soft. Then switch off the heat. Grind it into a smooth paste.Dissolve the jaggery with 1/4 cup water and keep it on a low heat for few minutes till all the jaggery melts.Once the batter has rested you can add the jackfruit puree, dissolved jaggery water, coconut, salt and mix well. Make sure the batter does not become runny.Preheat a griddle or nonstick tawa on a medium heat. Take 1 ladle of batter and pour it on the griddle. Slightly spread it around in concentric circles like you would make a dosa, but ensure that you’re making a thick pancake.Next, drizzle a little oil or ghee to allow it to cook well. Cover the dosa with a lid and cook on medium heat for 2 to 3 minutes or until the base is cooked.Flip the dosa when the base is cooked to cook the reverse side as well. Then remove from griddle and serve immediatelySoak the rice if you are using the broken rice instead of the dosa mix powder 2 hours in advanceIf you are using the broken rice, after it has soaked, you can grind all the ingredients together at one go and make a batter.Serve the Udupi Style Pelakai Teepe Dose Recipe  topped with some jackfruit and along with a refreshing drink like Nongu Paal - Palm Fruit Drink or Masala Chai Recipe - Indian Spiced Tea for you morning Breakfast.
</t>
  </si>
  <si>
    <t xml:space="preserve">ಉಡುಪಿ ಸ್ಟೈಲ್ ಪೆಲಕೈ ಟೀಪ್ ದೋಸೆ ರೆಸಿಪಿ (ಹಲಸಿನ ಹಣ್ಣಿನ ದೋಸೆ ರೆಸಿಪಿ) ಅನ್ನು  ಇನ್‌ಸ್ಟಂಟ್ ದೋಸೆ ಮಿಕ್ಸ್ ಪೌಡರ್ ಮಾಡುವ ಮೂಲಕ ತಯಾರಿಸಲು ಆರಂಭಿಸಲು. ಪಾಕವಿಧಾನ ಲಿಂಕ್ ಅನ್ನು ಕ್ಲಿಕ್ ಮಾಡಿ ಮತ್ತು ಹಂತಗಳನ್ನು ಅನುಸರಿಸಿ. ದಪ್ಪ ದೋಸೆ ಹಿಟ್ಟಿನ ಸ್ಥಿರತೆಯನ್ನು ರೂಪಿಸಲು ತ್ವರಿತ ದೋಸೆ ಮಿಶ್ರಣದ ಪುಡಿಗೆ ಸುಮಾರು 1/2 ಕಪ್ ನೀರು ಮತ್ತು ಮೊಸರನ್ನು ಮಿಶ್ರಣ ಮಾಡಿ. ಕತ್ತರಿಸಿದ ಹಲಸಿನ ಹಣ್ಣನ್ನು 1/2 ಕಪ್ ನೀರಿನೊಂದಿಗೆ ಕಡಾಯಿಯಲ್ಲಿ ಮಧ್ಯಮ ಉರಿಯಲ್ಲಿ ಕುದಿಸಿ. ಹಲಸು ಮೃದುವಾಗುವವರೆಗೆ ಸುಮಾರು 20 ನಿಮಿಷಗಳ ಕಾಲ ಅದನ್ನು ಶಾಖದ ಮೇಲೆ ಬಿಡಿ. ನಂತರ ಶಾಖವನ್ನು ಆಫ್ ಮಾಡಿ. ಇದನ್ನು ನಯವಾದ ಪೇಸ್ಟ್ ಆಗಿ ರುಬ್ಬಿಕೊಳ್ಳಿ. ಬೆಲ್ಲವನ್ನು 1/4 ಕಪ್ ನೀರಿನಲ್ಲಿ ಕರಗಿಸಿ ಮತ್ತು ಎಲ್ಲಾ ಬೆಲ್ಲ ಕರಗುವವರೆಗೆ ಕೆಲವು ನಿಮಿಷಗಳ ಕಾಲ ಕಡಿಮೆ ಉರಿಯಲ್ಲಿ ಇರಿಸಿ. ಬ್ಯಾಟರ್ ವಿಶ್ರಾಂತಿ ಪಡೆದ ನಂತರ ನೀವು ಹಲಸಿನ ಹಣ್ಣಿನ ಪ್ಯೂರಿ, ಕರಗಿದ ಬೆಲ್ಲದ ನೀರು, ತೆಂಗಿನಕಾಯಿ, ಉಪ್ಪು ಮತ್ತು ಚೆನ್ನಾಗಿ ಮಿಶ್ರಣ ಮಾಡಬಹುದು. ಬ್ಯಾಟರ್ ಹರಿಯದಂತೆ ನೋಡಿಕೊಳ್ಳಿ. ಮಧ್ಯಮ ಉರಿಯಲ್ಲಿ ಗ್ರಿಡಲ್ ಅಥವಾ ನಾನ್‌ಸ್ಟಿಕ್ ತವಾವನ್ನು ಪೂರ್ವಭಾವಿಯಾಗಿ ಕಾಯಿಸಿ. ಹಿಟ್ಟಿನ 1 ಲೋಟವನ್ನು ತೆಗೆದುಕೊಂಡು ಅದನ್ನು ಗ್ರಿಡಲ್ ಮೇಲೆ ಸುರಿಯಿರಿ. ನೀವು ದೋಸೆಯನ್ನು ತಯಾರಿಸುವಂತೆ ಕೇಂದ್ರೀಕೃತ ವಲಯಗಳಲ್ಲಿ ಸ್ವಲ್ಪ ಹರಡಿ, ಆದರೆ ನೀವು ದಪ್ಪವಾದ ಪ್ಯಾನ್‌ಕೇಕ್ ಅನ್ನು ಮಾಡುತ್ತಿದ್ದೀರಿ ಎಂದು ಖಚಿತಪಡಿಸಿಕೊಳ್ಳಿ. ಮುಂದೆ, ಚೆನ್ನಾಗಿ ಬೇಯಿಸಲು ಸ್ವಲ್ಪ ಎಣ್ಣೆ ಅಥವಾ ತುಪ್ಪವನ್ನು ಸವಿಯಿರಿ. ದೋಸೆಯನ್ನು ಒಂದು ಮುಚ್ಚಳದಿಂದ ಮುಚ್ಚಿ ಮತ್ತು ಮಧ್ಯಮ ಉರಿಯಲ್ಲಿ 2 ರಿಂದ 3 ನಿಮಿಷಗಳ ಕಾಲ ಅಥವಾ ಬೇಸ್ ಬೇಯಿಸುವವರೆಗೆ ಬೇಯಿಸಿ. ಹಿಮ್ಮುಖ ಭಾಗದಲ್ಲಿ ಬೇಯಿಸಲು ಬೇಸ್ ಬೇಯಿಸಿದಾಗ ದೋಸೆಯನ್ನು ತಿರುಗಿಸಿ. ನಂತರ ಗ್ರಿಡಲ್‌ನಿಂದ ತೆಗೆದು ಬಡಿಸಿ ಅನ್ನವನ್ನು 2 ಗಂಟೆ ಮುಂಚಿತವಾಗಿ ದೋಸೆ ಮಿಕ್ಸ್ ಪೌಡರ್ ಬದಲಿಗೆ ಒಡೆದ ಅಕ್ಕಿಯನ್ನು ಬಳಸುತ್ತಿದ್ದರೆ ಅಕ್ಕಿಯನ್ನು ನೆನೆಸಿಡಿ, ನೀವು ಒಡೆದ ಅಕ್ಕಿಯನ್ನು ಬಳಸುತ್ತಿದ್ದರೆ, ಅದು ನೆನೆಸಿದ ನಂತರ, ನೀವು ಎಲ್ಲಾ ಪದಾರ್ಥಗಳನ್ನು ಒಟ್ಟಿಗೆ ಸೇರಿಸಿ ಮತ್ತು ಬ್ಯಾಟರ್ ಮಾಡಿ. ಪಾಮ್ ಫ್ರೂಟ್ ಡ್ರಿಂಕ್ ಅಥವಾ ಮಸಾಲಾ ಚಾಯ್ ರೆಸಿಪಿ - ಭಾರತೀಯ ಮಸಾಲೆಯುಕ್ತ ಚಹಾ ನಿಮಗಾಗಿ ಬೆಳಗಿನ ಉಪಹಾರ.
</t>
  </si>
  <si>
    <t>https://www.archanaskitchen.com/udupi-style-pelakai-teepe-dose-recipe-halasina-hanina-dose-recipe</t>
  </si>
  <si>
    <t>Udupi Style Huli Podi Recipe (Sambar Powder)</t>
  </si>
  <si>
    <t>ಉಡುಪಿ ಶೈಲಿಯ ಹುಲಿ ಪೋಡಿ ರೆಸಿಪಿ (ಸಾಂಬಾರ್ ಪೌಡರ್)</t>
  </si>
  <si>
    <t>6 ಟೀಚಮಚ ಬಿಳಿ ಉರಡ್ ದಾಲ್ (ಒಡೆದ), 3 ಟೀಚಮಚ ಚನಾ ದಾಲ್ (ಬಂಗಾಳ ಬೇಳೆ), 8 ಟೀ ಚಮಚ ಕೊತ್ತಂಬರಿ (ಧನಿಯಾ) ಬೀಜಗಳು, 2 ಟೀ ಚಮಚ ಜೀರಿಗೆ (ಜೀರಾ), 1 ಟೀಚಮಚ ಮೇಥಿ ಬೀಜಗಳು (ಮೆಂತ್ಯ ಬೀಜಗಳು), 2 ಚಿಗುರು ಕರಿಬೇವಿನ ಎಲೆಗಳು, 20 ಒಣ ಕೆಂಪು ಮೆಣಸಿನಕಾಯಿಗಳು, 1 ಟೀಚಮಚ ಇಂಗು (ಸೂರ್ಯಕಾಂತಿ)</t>
  </si>
  <si>
    <t>6 teaspoon White Urad Dal (Split),3 teaspoon Chana dal (Bengal Gram Dal),8 teaspoon Coriander (Dhania) Seeds,2 teaspoon Cumin seeds (Jeera),1 teaspoon Methi Seeds (Fenugreek Seeds),2 sprig Curry leaves,20 Dry Red Chillies,1 teaspoon Asafoetida (hing),2 tablespoons Sunflower Oil</t>
  </si>
  <si>
    <t xml:space="preserve">To begin making the Udupi Style Huli Pudi Recipe, heat oil in a sauce pan over a medium heat.Add the chana dal first and roast them for 10 seconds. Then you can go ahead and add the urad dal and roast it for 5 more seconds.Add the coriander seeds, cumin seeds, fenugreek seeds and roast for 5 seconds till the aroma is released.Go ahead and add the dry red chillies, hing and curry leaves and roast these for another 10 seconds. Serve the Udupi Style Huli Pudi in Udupi sambar and enjoy your meal with some steamed rice.
</t>
  </si>
  <si>
    <t xml:space="preserve">ಉಡುಪಿ ಶೈಲಿಯ ಹುಲಿ ಪುಡಿ ರೆಸಿಪಿಯನ್ನು ತಯಾರಿಸಲು ಪ್ರಾರಂಭಿಸಲು, ಮಧ್ಯಮ ಉರಿಯಲ್ಲಿ ಸಾಸ್ ಪ್ಯಾನ್‌ನಲ್ಲಿ ಎಣ್ಣೆಯನ್ನು ಬಿಸಿ ಮಾಡಿ. ಮೊದಲು ಚನಾ ದಾಲ್ ಅನ್ನು ಸೇರಿಸಿ ಮತ್ತು ಅವುಗಳನ್ನು 10 ಸೆಕೆಂಡುಗಳ ಕಾಲ ಹುರಿಯಿರಿ. ನಂತರ ನೀವು ಮುಂದೆ ಹೋಗಿ ಉದ್ದಿನಬೇಳೆಯನ್ನು ಸೇರಿಸಿ ಮತ್ತು ಅದನ್ನು ಇನ್ನೂ 5 ಸೆಕೆಂಡುಗಳ ಕಾಲ ಹುರಿಯಬಹುದು. ಕೊತ್ತಂಬರಿ ಬೀಜಗಳು, ಜೀರಿಗೆ, ಮೆಂತ್ಯ ಬೀಜಗಳನ್ನು ಸೇರಿಸಿ ಮತ್ತು ಪರಿಮಳ ಬರುವವರೆಗೆ 5 ಸೆಕೆಂಡುಗಳ ಕಾಲ ಹುರಿಯಿರಿ. ಮುಂದೆ ಹೋಗಿ ಒಣ ಕೆಂಪು ಮೆಣಸಿನಕಾಯಿಗಳು, ಹಿಂಗ್ ಮತ್ತು ಕರಿಬೇವಿನ ಎಲೆಗಳನ್ನು ಸೇರಿಸಿ ಮತ್ತು ಇನ್ನೊಂದು 10 ಸೆಕೆಂಡುಗಳ ಕಾಲ ಹುರಿಯಿರಿ. ಉಡುಪಿ ಸಾಂಬಾರ್‌ನಲ್ಲಿ ಉಡುಪಿ ಶೈಲಿಯ ಹುಲಿ ಪುಡಿಯನ್ನು ಬಡಿಸಿ ಮತ್ತು ಸ್ವಲ್ಪ ಬೇಯಿಸಿದ ಅನ್ನದೊಂದಿಗೆ ನಿಮ್ಮ ಊಟವನ್ನು ಆನಂದಿಸಿ.
</t>
  </si>
  <si>
    <t>http://www.archanaskitchen.com/udupi-style-huli-pudi-recipe-sambar-mix-recipe</t>
  </si>
  <si>
    <t>Udupi Style Thondekayi And Badnekayi Sambar Recipe - Ivy Gourd &amp; Brinjal Sambar</t>
  </si>
  <si>
    <t>ಉಡುಪಿ ಸ್ಟೈಲ್ ತೊಂಡೆಕಾಯಿ ಮತ್ತು ಬದನೆಕಾಯಿ ಸಾಂಬಾರ್ ರೆಸಿಪಿ - ಐವಿ ಸೋರೆಕಾಯಿ ಮತ್ತು ಬದನೆಕಾಯಿ ಸಾಂಬಾರ್</t>
  </si>
  <si>
    <t>6 ತಿಂದೋರ (ದೊಂಡಕಾಯ/ ಕೋವಕ್ಕೈ) - ದುಂಡಗೆ ಕತ್ತರಿಸಿದ, 2 ಬದನೆ (ಬೈಂಗನ್ / ಬದನೆ) - ಮಧ್ಯಮ ತುಂಡುಗಳಾಗಿ ಕತ್ತರಿಸಿದ, 1 ಕ್ಯಾರೆಟ್ (ಗಜ್ಜರ್) - ಉದ್ದವಾಗಿ ಕತ್ತರಿಸಿದ, 1 ಕಪ್ ಅರ್ಹರ್ ದಾಲ್ (ಒಡೆದ ದಾಲ್), 2 ಚಮಚ ಉಡುಪಿ ಸಾಂಬಾರ್ ಪುಡಿ, 2 ಚಮಚ ಹಲಸಿನ ಪುಡಿ, 1 ಚಮಚ ನೀರು, 1/2 ಚಮಚ (ಹಲ್ದಿ), ಉಪ್ಪು - ರುಚಿಗೆ ತಕ್ಕಷ್ಟು, 1 ಟೀಚಮಚ ಸಾಸಿವೆ, 1 ಟೀಚಮಚ ಬಿಳಿ ಉದ್ದಿನ ಬೇಳೆ (ಒಡೆದ), 2 ಒಣ ಕೆಂಪು ಮೆಣಸಿನಕಾಯಿಗಳು, 2 ಚಿಗುರು ಕರಿಬೇವಿನ ಎಲೆಗಳು, ಸೂರ್ಯಕಾಂತಿ ಎಣ್ಣೆ - ಅಡುಗೆಗೆ</t>
  </si>
  <si>
    <t>6 Tindora (Dondakaya/ Kovakkai) - cut into roundeles,2 Brinjal (Baingan / Eggplant) - chopped into medium chunks,1 Carrot (Gajjar) - chopped lengthwise,1 cup Arhar dal (Split Toor Dal),2 tablespoons Udupi Sambar Powder,1/2 cup Tamarind Water,2 teaspoon Jaggery,1 teaspoon Turmeric powder (Haldi),Salt - to taste,1 teaspoon Mustard seeds,1 teaspoon White Urad Dal (Split),2 Dry Red Chillies,2 sprig Curry leaves,Sunflower Oil - for cooking</t>
  </si>
  <si>
    <t xml:space="preserve">To begin making the Udupi Style Thondekayi And Badnekayi Sambar Recipe, keep all the ingredients ready.Add toor dal to boil in a pressure cooker with 2 cups water so that dal is fully immersed, add salt and turmeric powder. Close the cooker with lid and let it cook for 4 whistles. Let the pressure release naturally. Keep it aside.Meanwhile, heat saucepan with 2 cups water, boil the vegetables with salt and turmeric powder for 25 minutes.Once that is boiled, add the cooked dal along with udupi sambar powder, tamarind water and jaggery. Give it a stir. Check for salt and adjust according to your taste.Leave the sambar to boil over a medium heat for 5 more minutes and switch it off.The next step is to temper the Sambar. Heat a tadka pan with oil, add mustard seeds, urad dal and leave it to splutter.Add asafoetida, dry red chilli, curry leaves and keep it for about 10 seconds and pour it over the sambar. Give it a mix and it is ready to be served.Serve the Udupi Style Thondekayi And Badnekayi Sambar with Steamed Rice, Cabbage Palya and a dollop of ghee for your vegetarian weekday meal.
</t>
  </si>
  <si>
    <t xml:space="preserve">ಉಡುಪಿ ಶೈಲಿಯ ತೊಂಡೆಕಾಯಿ ಮತ್ತು ಬದನೆಕಾಯಿ ಸಾಂಬಾರ್ ರೆಸಿಪಿಯನ್ನು ತಯಾರಿಸಲು ಪ್ರಾರಂಭಿಸಲು, ಎಲ್ಲಾ ಪದಾರ್ಥಗಳನ್ನು ಸಿದ್ಧವಾಗಿಡಿ. 2 ಕಪ್ ನೀರಿನೊಂದಿಗೆ ಪ್ರೆಶರ್ ಕುಕ್ಕರ್‌ನಲ್ಲಿ ಕುದಿಸಲು ಟೋರ್ ದಾಲ್ ಸೇರಿಸಿ, ಇದರಿಂದ ದಾಲ್ ಸಂಪೂರ್ಣವಾಗಿ ಮುಳುಗಿ, ಉಪ್ಪು ಮತ್ತು ಅರಿಶಿನ ಪುಡಿಯನ್ನು ಸೇರಿಸಿ. ಕುಕ್ಕರ್ ಅನ್ನು ಮುಚ್ಚಳದಿಂದ ಮುಚ್ಚಿ ಮತ್ತು 4 ಸೀಟಿಗಳವರೆಗೆ ಬೇಯಿಸಲು ಬಿಡಿ. ಒತ್ತಡವು ನೈಸರ್ಗಿಕವಾಗಿ ಬಿಡುಗಡೆಯಾಗಲಿ. ಅದನ್ನು ಪಕ್ಕಕ್ಕೆ ಇರಿಸಿ. ಏತನ್ಮಧ್ಯೆ, 2 ಕಪ್ ನೀರಿನೊಂದಿಗೆ ಲೋಹದ ಬೋಗುಣಿ ಬಿಸಿ ಮಾಡಿ, ತರಕಾರಿಗಳನ್ನು ಉಪ್ಪು ಮತ್ತು ಅರಿಶಿನ ಪುಡಿಯೊಂದಿಗೆ 25 ನಿಮಿಷಗಳ ಕಾಲ ಕುದಿಸಿ. ಅದು ಕುದಿಸಿದ ನಂತರ, ಬೇಯಿಸಿದ ದಾಲ್ ಅನ್ನು ಉಡುಪಿ ಸಾಂಬಾರ್ ಪುಡಿ, ಹುಣಸೆ ನೀರು ಮತ್ತು ಬೆಲ್ಲವನ್ನು ಸೇರಿಸಿ. ಒಂದು ಸ್ಟಿರ್ ನೀಡಿ. ಉಪ್ಪನ್ನು ಪರಿಶೀಲಿಸಿ ಮತ್ತು ನಿಮ್ಮ ರುಚಿಗೆ ತಕ್ಕಂತೆ ಹೊಂದಿಸಿ. ಸಾಂಬಾರ್ ಅನ್ನು ಮಧ್ಯಮ ಉರಿಯಲ್ಲಿ 5 ನಿಮಿಷಗಳ ಕಾಲ ಕುದಿಸಿ ಮತ್ತು ಅದನ್ನು ಆಫ್ ಮಾಡಿ. ಮುಂದಿನ ಹಂತವೆಂದರೆ ಸಾಂಬಾರ್ ಅನ್ನು ಹದಗೊಳಿಸುವುದು. ತಡ್ಕಾ ಪ್ಯಾನ್ ಅನ್ನು ಎಣ್ಣೆಯಿಂದ ಬಿಸಿ ಮಾಡಿ, ಸಾಸಿವೆ, ಉದ್ದಿನಬೇಳೆ ಸೇರಿಸಿ ಮತ್ತು ಅದನ್ನು ಚೆಲ್ಲಲು ಬಿಡಿ. ಇಂಗು, ಒಣ ಮೆಣಸಿನಕಾಯಿ, ಕರಿಬೇವಿನ ಎಲೆಗಳನ್ನು ಸೇರಿಸಿ ಮತ್ತು ಸುಮಾರು 10 ಸೆಕೆಂಡುಗಳ ಕಾಲ ಇರಿಸಿ ಮತ್ತು ಸಾಂಬಾರ್ ಮೇಲೆ ಸುರಿಯಿರಿ. ಇದಕ್ಕೆ ಮಿಶ್ರಣವನ್ನು ನೀಡಿ ಮತ್ತು ಅದು ಬಡಿಸಲು ಸಿದ್ಧವಾಗಿದೆ.ಉಡುಪಿ ಶೈಲಿಯ ತೊಂಡೆಕಾಯಿ ಮತ್ತು ಬದನೆಕಾಯಿ ಸಾಂಬಾರ್ ಅನ್ನು ಆವಿಯಲ್ಲಿ ಬೇಯಿಸಿದ ಅನ್ನ, ಕೋಸು ಪಲ್ಯ ಮತ್ತು ಒಂದು ಗೊಂಬೆ ತುಪ್ಪದೊಂದಿಗೆ ನಿಮ್ಮ ಸಸ್ಯಾಹಾರಿ ವಾರದ ಊಟಕ್ಕೆ ಬಡಿಸಿ.
</t>
  </si>
  <si>
    <t>http://www.archanaskitchen.com/udupi-style-sambar-with-thondekayi-badnekayi-recipe-sambar-with-ivy-gourd-brinjal</t>
  </si>
  <si>
    <t>Udupi Tomato Rasam Recipe</t>
  </si>
  <si>
    <t>ಉಡುಪಿ ಟೊಮೆಟೊ ರಸಂ ರೆಸಿಪಿ</t>
  </si>
  <si>
    <t>1/2 ಕಪ್ ಅರ್ಹರ್ ದಾಲ್ (ಒಡೆದ ದಾಲ್) - ಬೇಯಿಸಿದ, 2 ಟೊಮ್ಯಾಟೊ - ತುಂಡುಗಳಾಗಿ ಕತ್ತರಿಸಿ, 1 ಕಪ್ ಹುಣಸೆ ನೀರು, 1 ಚಮಚ ಬೆಲ್ಲ, 2 ಕೊತ್ತಂಬರಿ ಸೊಪ್ಪು (ಧನಿಯಾ) ಎಲೆಗಳು - ನುಣ್ಣಗೆ ಕತ್ತರಿಸಿದ, 1/2 ಟೀಚಮಚ ಮೇಥಿ ಬೀಜಗಳು (ಮೆಂತ್ಯ ಬೀಜಗಳು), 1/2 ಟೀಚಮಚ ಕೊತ್ತಂಬರಿ ಬೀಜಗಳು, 1 ಚಮಚ ಸೀಗಡಿ ಬೀಜಗಳು, (ಧನಿಯಾ) ಬೀಜಗಳು, 1 ಚಮಚ ತಾಜಾ ತೆಂಗಿನಕಾಯಿ - ತುರಿದ, 4 ಒಣ ಮೆಣಸಿನಕಾಯಿಗಳು, 1/4 ಟೀಚಮಚ ಇಂಗು (ಹಿಂಗ್), 1 ಚಿಗುರು ಕರಿಬೇವಿನ ಎಲೆಗಳು, 1 ಚಮಚ ತುಪ್ಪ, 1/2 ಟೀಚಮಚ ಸಾಸಿವೆ ಬೀಜಗಳು, 1 ಒಣ ಕೆಂಪು ಮೆಣಸಿನಕಾಯಿ, 1 ಚಿಗುರು ಕರಿಬೇವಿನ ಎಲೆಗಳು</t>
  </si>
  <si>
    <t>1/2 cup Arhar dal (Split Toor Dal) - cooked,2 Tomatoes - cut into cubes,1 cup Tamarind Water,1 tablespoon Jaggery,2 sprig Coriander (Dhania) Leaves - finely chopped,1/2 teaspoon Methi Seeds (Fenugreek Seeds),1/2 teaspoon Mustard seeds,1 teaspoon Cumin seeds (Jeera),2 tablespoons Coriander (Dhania) Seeds,1 tablespoon Fresh coconut - grated,4 Dry Red Chillies,1/4 teaspoon Asafoetida (hing),1 sprig Curry leaves,1 tablespoon Ghee,1/2 teaspoon Mustard seeds,1 Dry Red Chilli,1 sprig Curry leaves</t>
  </si>
  <si>
    <t xml:space="preserve">We begin making the Udupi Tomato Rasam Recipe by pressure cooking the toor dal with water in a pressure for 4 whistle. Allow the pressure to release naturally, and once done mash the dal using a muddler.To make the rasam powder, dry roast the fenugreek seeds, mustard seeds, cumin seeds, coriander seeds, fresh coconut, dry red chilies, asafoetida, curry leaves in a small skillet on medium-low flame. Then grind into a smooth powder using a Mixer.In a large sauce pan, boil the tamarind water with tomatoes, green chillies, curry leaves, rasam powder and jaggery. Let it boil for at least 25 minutes. You can add sufficient water if it reduces.Then later on add the dal, check for the seasoning and mix well. Boil for another 10 minutes and then add the chopped coriander leaves.Heat another pan for tempering, add ghee, crackle mustard seeds and add the dry red chili and curry leaves. Pour it over the rasam and serve. Serve the Udupi Tomato Rasam Recipe along with steamed rice and Sabudana Sandige | Fryums Recipe to enjoy your week Night Dinner.
</t>
  </si>
  <si>
    <t xml:space="preserve">ನಾವು ಉಡುಪಿ ಟೊಮೇಟೊ ರಸಂ ರೆಸಿಪಿಯನ್ನು 4 ಸೀಟಿಯ ಒತ್ತಡದಲ್ಲಿ ನೀರಿನೊಂದಿಗೆ ಬೇಯಿಸುವ ಮೂಲಕ ತಯಾರಿಸಲು ಪ್ರಾರಂಭಿಸುತ್ತೇವೆ. ಒತ್ತಡವನ್ನು ಸ್ವಾಭಾವಿಕವಾಗಿ ಬಿಡುಗಡೆ ಮಾಡಲು ಅನುಮತಿಸಿ ಮತ್ತು ಒಮ್ಮೆ ಮಡ್ಲರ್ ಬಳಸಿ ದಾಲ್ ಅನ್ನು ಮ್ಯಾಶ್ ಮಾಡಿ. ರಸಂ ಪುಡಿಯನ್ನು ತಯಾರಿಸಲು, ಮೆಂತ್ಯ ಬೀಜಗಳು, ಸಾಸಿವೆ, ಜೀರಿಗೆ, ಕೊತ್ತಂಬರಿ ಬೀಜಗಳು, ತಾಜಾ ತೆಂಗಿನಕಾಯಿ, ಒಣ ಕೆಂಪು ಮೆಣಸಿನಕಾಯಿಗಳು, ಇಸನ, ಕರಿಬೇವಿನ ಎಲೆಗಳನ್ನು ಮಧ್ಯಮ-ಕಡಿಮೆ ಉರಿಯಲ್ಲಿ ಸಣ್ಣ ಬಾಣಲೆಯಲ್ಲಿ ಹುರಿದುಕೊಳ್ಳಿ. ನಂತರ ಮಿಕ್ಸರ್ ಬಳಸಿ ನಯವಾದ ಪುಡಿಯಾಗಿ ರುಬ್ಬಿಕೊಳ್ಳಿ. ದೊಡ್ಡ ಸಾಸ್ ಪ್ಯಾನ್‌ನಲ್ಲಿ ಹುಣಸೆಹಣ್ಣಿನ ನೀರನ್ನು ಟೊಮ್ಯಾಟೊ, ಹಸಿರು ಮೆಣಸಿನಕಾಯಿಗಳು, ಕರಿಬೇವಿನ ಎಲೆಗಳು, ರಸಂ ಪುಡಿ ಮತ್ತು ಬೆಲ್ಲದೊಂದಿಗೆ ಕುದಿಸಿ. ಇದನ್ನು ಕನಿಷ್ಠ 25 ನಿಮಿಷಗಳ ಕಾಲ ಕುದಿಸೋಣ. ಅದು ಕಡಿಮೆಯಾದರೆ ನೀವು ಸಾಕಷ್ಟು ನೀರನ್ನು ಸೇರಿಸಬಹುದು. ನಂತರ ದಾಲ್ ಅನ್ನು ಸೇರಿಸಿ, ಮಸಾಲೆಗಾಗಿ ಪರಿಶೀಲಿಸಿ ಮತ್ತು ಚೆನ್ನಾಗಿ ಮಿಶ್ರಣ ಮಾಡಿ. ಇನ್ನೊಂದು 10 ನಿಮಿಷಗಳ ಕಾಲ ಕುದಿಸಿ ಮತ್ತು ನಂತರ ಕತ್ತರಿಸಿದ ಕೊತ್ತಂಬರಿ ಸೊಪ್ಪನ್ನು ಸೇರಿಸಿ. ಹದಗೊಳಿಸಲು ಮತ್ತೊಂದು ಪ್ಯಾನ್ ಅನ್ನು ಬಿಸಿ ಮಾಡಿ, ತುಪ್ಪ ಸೇರಿಸಿ, ಸಾಸಿವೆಯನ್ನು ಸಿಡಿಸಿ ಮತ್ತು ಒಣ ಕೆಂಪು ಮೆಣಸಿನಕಾಯಿ ಮತ್ತು ಕರಿಬೇವಿನ ಎಲೆಗಳನ್ನು ಸೇರಿಸಿ. ಇದನ್ನು ರಸದ ಮೇಲೆ ಸುರಿಯಿರಿ ಮತ್ತು ಬಡಿಸಿ. ಆವಿಯಲ್ಲಿ ಬೇಯಿಸಿದ ಅನ್ನ ಮತ್ತು ಸಾಬುದಾನ ಸಂಡಿಗೆ ಜೊತೆಗೆ ಉಡುಪಿ ಟೊಮೆಟೊ ರಸಂ ರೆಸಿಪಿಯನ್ನು ಬಡಿಸಿ | ನಿಮ್ಮ ವಾರದ ರಾತ್ರಿ ಭೋಜನವನ್ನು ಆನಂದಿಸಲು ಫ್ರೈಮ್ಸ್ ರೆಸಿಪಿ.
</t>
  </si>
  <si>
    <t>http://www.archanaskitchen.com/udupi-tomato-rasam-recipe</t>
  </si>
  <si>
    <t>Batani Gassi Recipe - Udupi Style Potatoes And Peas Curry</t>
  </si>
  <si>
    <t>ಬಟಾನಿ ಗಸ್ಸಿ ರೆಸಿಪಿ - ಉಡುಪಿ ಶೈಲಿಯ ಆಲೂಗಡ್ಡೆ ಮತ್ತು ಬಟಾಣಿ ಕರಿ</t>
  </si>
  <si>
    <t>1 ಕಪ್ ಒಣಗಿದ ಹಸಿರು ಬಟಾಣಿ (ವಾತನ) - ರಾತ್ರಿ ನೆನೆಸಿದ, 3 ಆಲೂಗಡ್ಡೆ (ಆಲೂ) - ಘನಗಳಾಗಿ ಕತ್ತರಿಸಿ, 1/2 ಟೀಚಮಚ ಅರಿಶಿನ ಪುಡಿ (ಹಲ್ದಿ), 1/2 ಕಪ್ ತಾಜಾ ತೆಂಗಿನಕಾಯಿ - ತುರಿದ, 2 ಟೇಬಲ್ಸ್ಪೂನ್ ಕೊತ್ತಂಬರಿ (ಧನಿಯಾ) ಬೀಜಗಳು, 1 ಟೇಬಲ್ಸ್ಪೂನ್ ಬಿಳಿ ಉರಡ್ ದಾಲ್ (ಒಡೆದ), 2 ಚಮಚ ಕೆಂಪು ಮೆಣಸು, 2 ಟೀ ಚಮಚ ಜೀರಿಗೆ ಬೆಲ್ಲ - (ಪುಡಿ), 2 ಚಮಚ ಹುಣಸೆ ಪೇಸ್ಟ್, 1 ಚಮಚ ಸಾಸಿವೆ, 1 ಚಿಗುರು ಕರಿಬೇವಿನ ಸೊಪ್ಪು, ಉಪ್ಪು - ರುಚಿಗೆ ತಕ್ಕಷ್ಟು</t>
  </si>
  <si>
    <t>1 cup Dried Green Peas (Vatana) - soaked overnight,3 Potatoes (Aloo) - cut into cubes,1/2 teaspoon Turmeric powder (Haldi),1/2 cup Fresh coconut - grated,2 tablespoons Coriander (Dhania) Seeds,1 tablespoon White Urad Dal (Split),2 teaspoons Cumin seeds (Jeera),2 Dry Red Chillies - broken,2 teaspoons Jaggery - (powdered),2 teaspoons Tamarind Paste,1 teaspoon Mustard seeds,1 sprig Curry leaves,Salt - to taste</t>
  </si>
  <si>
    <t xml:space="preserve">To begin making Batani Gassi Recipe (Udupi Style Potatoes and Peas Curry), wash and soak the dried green peas overnight.Pressure cook the soaked dried peas along with potatoes cubes adding a cup of water for one whistle and keep aside.Heat a small pan, add a teaspoon of oil and roast urad dal to golden colour.Add the coriander seeds, cumin seeds, red chillies and saute till aromatic.When it is cool, make a fine paste along with grated coconut using a mixer grinder adding little water.Bring the pressure pan with cooked dried peas and potatoes on heat, add the ground masala, about 2 cups of water, turmeric powder, tamarind and jaggery powder. Let it cook for about a minute.Next, season with salt and let it simmer for 10 minutes until the raw smell of the tamarind goes away. Check for seasoning and adjust salt.Once done, switch off the gas and transfer the curry into a bowl.Now, heat oil in a small tadka pan, add the mustard seeds, curry leaves and let it splutter.Add this tadka over the bubbling Batani Gassi curry and give it a mix. Serve hot.Serve Batani Gassi Recipe (Udupi Style Potatoes and Peas Curry) with Steamed Rice, Methi And Palak Paratha Recipe, and Udupi Style Southekayi Palya Recipe for a complete meal.
</t>
  </si>
  <si>
    <t xml:space="preserve">ಬಟಾನಿ ಗ್ಯಾಸಿ ರೆಸಿಪಿ (ಉಡುಪಿ ಸ್ಟೈಲ್ ಆಲೂಗಡ್ಡೆ ಮತ್ತು ಬಟಾಣಿ ಕರಿ) ತಯಾರಿಸಲು ಪ್ರಾರಂಭಿಸಲು, ಒಣಗಿದ ಹಸಿರು ಬಟಾಣಿಗಳನ್ನು ರಾತ್ರಿಯಿಡೀ ತೊಳೆದು ನೆನೆಸಿಡಿ. ನೆನೆಸಿದ ಒಣ ಅವರೆಕಾಳುಗಳನ್ನು ಆಲೂಗಡ್ಡೆ ಘನಗಳ ಜೊತೆಗೆ ಒಂದು ಕಪ್ ನೀರು ಸೇರಿಸಿ ಒಂದು ಸೀಟಿಗೆ ಬೇಯಿಸಿ ಮತ್ತು ಪಕ್ಕಕ್ಕೆ ಇರಿಸಿ. ಸಣ್ಣ ಪ್ಯಾನ್ ಬಿಸಿ ಮಾಡಿ, ಒಂದು ಟೀಚಮಚ ಎಣ್ಣೆಯನ್ನು ಸೇರಿಸಿ ಮತ್ತು ಕಾಳುಗಳನ್ನು ಹುರಿಯಿರಿ. ಬೀಜಗಳು, ಕೆಂಪು ಮೆಣಸಿನಕಾಯಿಗಳು ಮತ್ತು ಸುವಾಸನೆಯ ತನಕ ಹುರಿಯಿರಿ. ಅದು ತಣ್ಣಗಾದಾಗ, ಮಿಕ್ಸರ್ ಗ್ರೈಂಡರ್ ಬಳಸಿ ಸ್ವಲ್ಪ ನೀರು ಸೇರಿಸಿ ತುರಿದ ತೆಂಗಿನಕಾಯಿಯೊಂದಿಗೆ ಉತ್ತಮವಾದ ಪೇಸ್ಟ್ ಮಾಡಿ. ಬೇಯಿಸಿದ ಒಣಗಿದ ಬಟಾಣಿ ಮತ್ತು ಆಲೂಗಡ್ಡೆಗಳೊಂದಿಗೆ ಪ್ರೆಶರ್ ಪ್ಯಾನ್ ಅನ್ನು ಶಾಖದ ಮೇಲೆ ತನ್ನಿ, ನೆಲದ ಮಸಾಲಾ, ಸುಮಾರು 2 ಕಪ್ ನೀರು, ಅರಿಶಿನ ಪುಡಿ, ಹುಣಸೆಹಣ್ಣು ಮತ್ತು ಬೆಲ್ಲದ ಪುಡಿ ಸೇರಿಸಿ. ಇದು ಸುಮಾರು ಒಂದು ನಿಮಿಷ ಬೇಯಿಸಲು ಬಿಡಿ.ಮುಂದೆ, ಉಪ್ಪಿನೊಂದಿಗೆ ಮಸಾಲೆ ಹಾಕಿ ಮತ್ತು ಹುಣಸೆಹಣ್ಣಿನ ಹಸಿ ವಾಸನೆ ಹೋಗುವವರೆಗೆ 10 ನಿಮಿಷಗಳ ಕಾಲ ಕುದಿಸಿ. ಮಸಾಲೆಗಾಗಿ ಪರಿಶೀಲಿಸಿ ಮತ್ತು ಉಪ್ಪನ್ನು ಹೊಂದಿಸಿ. ಮುಗಿದ ನಂತರ, ಗ್ಯಾಸ್ ಅನ್ನು ಸ್ವಿಚ್ ಆಫ್ ಮಾಡಿ ಮತ್ತು ಮೇಲೋಗರವನ್ನು ಬೌಲ್‌ಗೆ ವರ್ಗಾಯಿಸಿ. ಈಗ, ಸಣ್ಣ ತಡ್ಕಾ ಪ್ಯಾನ್‌ನಲ್ಲಿ ಎಣ್ಣೆಯನ್ನು ಬಿಸಿ ಮಾಡಿ, ಸಾಸಿವೆ ಕಾಳುಗಳು, ಕರಿಬೇವಿನ ಎಲೆಗಳನ್ನು ಸೇರಿಸಿ ಮತ್ತು ಅದನ್ನು ಚೆಲ್ಲಲು ಬಿಡಿ. ಈ ತಡ್ಕಾವನ್ನು ಬಬ್ಲಿಂಗ್ ಬಟಾನಿ ಗಸ್ಸಿ ಕರಿ ಮೇಲೆ ಸೇರಿಸಿ ಮತ್ತು ಅದನ್ನು ಮಿಶ್ರಣ ಮಾಡಿ. ಬಿಸಿಯಾಗಿ ಬಡಿಸಿ.ಬಟಾನಿ ಗಸ್ಸಿ ರೆಸಿಪಿ (ಉಡುಪಿ ಸ್ಟೈಲ್ ಆಲೂಗಡ್ಡೆ ಮತ್ತು ಬಟಾಣಿ ಕರಿ) ಜೊತೆಗೆ ಬೇಯಿಸಿದ ಅನ್ನ, ಮೇಥಿ ಮತ್ತು ಪಾಲಕ್ ಪರಾಠ ರೆಸಿಪಿ, ಮತ್ತು ಉಡುಪಿ ಸ್ಟೈಲ್ ಸೌತೆಕಾಯಿ ಪಲ್ಯ ರೆಸಿಪಿಯನ್ನು ಸಂಪೂರ್ಣ ಊಟಕ್ಕಾಗಿ ಬಡಿಸಿ.
</t>
  </si>
  <si>
    <t>https://www.archanaskitchen.com/batani-gassi-recipe-udupi-style-potatoes-and-peas-curry</t>
  </si>
  <si>
    <t>Udupi Style Alsande Kayi Saaru Recipe (Long Beans Gravy Recipe)</t>
  </si>
  <si>
    <t>ಉಡುಪಿ ಸ್ಟೈಲ್ ಅಲ್ಸಂಡೆ ಕಾಯಿ ಸಾರು ರೆಸಿಪಿ (ಉದ್ದದ ಬೀನ್ಸ್ ಗ್ರೇವಿ ರೆಸಿಪಿ)</t>
  </si>
  <si>
    <t>1 ಕಪ್ ಉದ್ದಿನ ಬೇಳೆ (ಚವ್ಲಿ) - ಕತ್ತರಿಸಿದ, 1/2 ಕಪ್ ಹುಣಸೆ ನೀರು, ಉಪ್ಪು - ರುಚಿಗೆ, 2 ಟೀಚಮಚ ಅಕ್ಕಿ, 4 ಒಣ ಮೆಣಸಿನಕಾಯಿ, 2 ಚಮಚ ಕೊತ್ತಂಬರಿ (ಧನಿಯಾ) ಬೀಜಗಳು, 1 ಚಮಚ ಮೆಂತ್ಯ ಬೀಜಗಳು (ಮೆಂತ್ಯ ಬೀಜಗಳು), 1 ಚಮಚ ಸಾಸಿವೆ, 4 ಲವಂಗ ಬೆಳ್ಳುಳ್ಳಿ - 1 ಚಮಚ ಸಾಸಿವೆ, 1 ಚಮಚ ಸಾಸಿವೆ, 1 ಚಮಚ ಸಾಸಿವೆ, ಬೀಜಗಳು, 1 ಒಣ ಕೆಂಪು ಮೆಣಸಿನಕಾಯಿ</t>
  </si>
  <si>
    <t>1 cup Long String Bean (chavli) - chopped,1/2 cup Tamarind Water,Salt - to taste,2 teaspoon Rice,4 Dry Red Chilli,2 tablespoon Coriander (Dhania) Seeds,1 teaspoon Methi Seeds (Fenugreek Seeds),1 teaspoon Mustard seeds,4 cloves Garlic - crushed,1 teaspoon Mustard seeds,1 sprig Curry leaves,1 teaspoon Mustard seeds,1 Dry Red Chilli</t>
  </si>
  <si>
    <t xml:space="preserve">We begin making the Udupi Style Alsande Kayi Saaru Recipe (Long Beans Gravy Recipe) by pressure cooking the long beans in a pressure cooker with 1/2 cup water for about 1 whistle.In the meantime, dry roast the ingredients to be ground. Then Powder it finely using a mixer.Now open the cooker once all the pressure is released. Add the powdered masala, tamarind and salt to taste.Keep string till it thickens little. Then to make the tempering heat a kadai with oil, crackle the mustard seeds, garlic cloves, cumin seeds and curry leaves.Then add the dry red chilli also. Once aroma is released pour it over the curry and serve. Serve the Udupi Style Alsande Kayi Saaru Recipe (Long Beans Gravy Recipe) can be had along with steamed rice and Yellow Pumpkin Dal Recipe for a comforting Sunday lunch.
</t>
  </si>
  <si>
    <t xml:space="preserve">ನಾವು ಉಡುಪಿ ಸ್ಟೈಲ್ ಅಲ್ಸಂಡೆ ಕಾಯಿ ಸಾರು ರೆಸಿಪಿ (ಉದ್ದದ ಬೀನ್ಸ್ ಗ್ರೇವಿ ರೆಸಿಪಿ) ಅನ್ನು ಪ್ರೆಶರ್ ಕುಕ್ಕರ್‌ನಲ್ಲಿ 1/2 ಕಪ್ ನೀರಿನೊಂದಿಗೆ ಸುಮಾರು 1 ಸೀಟಿಗೆ ಬೇಯಿಸುವ ಮೂಲಕ ತಯಾರಿಸಲು ಪ್ರಾರಂಭಿಸುತ್ತೇವೆ. ಈ ಮಧ್ಯೆ, ಪದಾರ್ಥಗಳನ್ನು ರುಬ್ಬಲು ಡ್ರೈ ರೋಸ್ಟ್ ಮಾಡಿ. ನಂತರ ಅದನ್ನು ಮಿಕ್ಸರ್ ಬಳಸಿ ನುಣ್ಣಗೆ ಪುಡಿಮಾಡಿ. ಈಗ ಎಲ್ಲಾ ಒತ್ತಡವು ಬಿಡುಗಡೆಯಾದ ನಂತರ ಕುಕ್ಕರ್ ಅನ್ನು ತೆರೆಯಿರಿ. ಪುಡಿ ಮಾಡಿದ ಮಸಾಲಾ, ಹುಣಸೆಹಣ್ಣು ಮತ್ತು ರುಚಿಗೆ ಉಪ್ಪು ಸೇರಿಸಿ. ಸ್ವಲ್ಪ ದಪ್ಪವಾಗುವವರೆಗೆ ದಾರವನ್ನು ಇರಿಸಿ. ನಂತರ ಟೆಂಪರಿಂಗ್ ಅನ್ನು ಎಣ್ಣೆಯಿಂದ ಕಡಾಯಿಯನ್ನು ಬಿಸಿ ಮಾಡಲು, ಸಾಸಿವೆ, ಬೆಳ್ಳುಳ್ಳಿ ಎಸಳು, ಜೀರಿಗೆ ಮತ್ತು ಕರಿಬೇವಿನ ಎಲೆಗಳನ್ನು ಸಿಡಿಸಿ. ನಂತರ ಒಣ ಕೆಂಪು ಮೆಣಸಿನಕಾಯಿಯನ್ನು ಕೂಡ ಸೇರಿಸಿ. ಪರಿಮಳ ಹೊರಬಂದ ನಂತರ ಅದನ್ನು ಮೇಲೋಗರದ ಮೇಲೆ ಸುರಿಯಿರಿ ಮತ್ತು ಬಡಿಸಿ. ಉಡುಪಿ ಸ್ಟೈಲ್ ಅಲ್ಸಂದೆ ಕಾಯಿ ಸಾರು ರೆಸಿಪಿ (ಉದ್ದದ ಬೀನ್ಸ್ ಗ್ರೇವಿ ರೆಸಿಪಿ) ಅನ್ನು ಆವಿಯಲ್ಲಿ ಬೇಯಿಸಿದ ಅನ್ನ ಮತ್ತು ಹಳದಿ ಕುಂಬಳಕಾಯಿ ದಾಲ್ ರೆಸಿಪಿಯೊಂದಿಗೆ ಸೇವಿಸಬಹುದು.
</t>
  </si>
  <si>
    <t>https://www.archanaskitchen.com/udupi-style-alsande-kayi-sarru-recipe-long-beans-gravy-recipe</t>
  </si>
  <si>
    <t>Udupi Style Bendekayi Palya Recipe - Ladies Finger With Coconut</t>
  </si>
  <si>
    <t>ಉಡುಪಿ ಸ್ಟೈಲ್ ಬೆಂಡೆಕಾಯಿ ಪಲ್ಯ ರೆಸಿಪಿ - ಲೇಡೀಸ್ ಫಿಂಗರ್ ವಿತ್ ತೆಂಗಿನಕಾಯಿ</t>
  </si>
  <si>
    <t>20 ಬಿಂದಿ (ಲೇಡಿ ಫಿಂಗರ್ / ಬೆಂಡೆಕಾಯಿ), 1/2 ಕಪ್ ತಾಜಾ ತೆಂಗಿನಕಾಯಿ - ತುರಿದ, 3 ಒಣ ಕೆಂಪು ಮೆಣಸಿನಕಾಯಿಗಳು, 18 ಗ್ರಾಂ ಹುಣಸೆಹಣ್ಣು - ನೀರಿನಲ್ಲಿ ನೆನೆಸಿದ, 1 ಟೀಚಮಚ ಬೆಲ್ಲ, ಉಪ್ಪು - ರುಚಿಗೆ, 1 ಚಮಚ ಸೂರ್ಯಕಾಂತಿ ಎಣ್ಣೆ, 1 ಚಮಚ ಸಾಸಿವೆ ಬೀಜಗಳು, 1/2 ಚಮಚ ಬಿಳಿ ಉದ್ದಿನ ಬೇಳೆ (ಒಡೆದ ಎಲೆಗಳು), 2 ಸಿ.</t>
  </si>
  <si>
    <t>20 Bhindi (Lady Finger/Okra),1/2 cup Fresh coconut - grated,3 Dry Red Chillies,18 grams Tamarind - soaked in water,1 teaspoon Jaggery,Salt - to taste,1 tablespoon Sunflower Oil,1 teaspoon Mustard seeds,1/2 teaspoon White Urad Dal (Split),2 Dry Red Chillies,Curry leaves - a handful</t>
  </si>
  <si>
    <t xml:space="preserve">To begin making Udupi Style Bendekayi Palya Recipe, wash okra with water and allow them to dry completely. Once dried chop them into small pieces.Soak tamarind in a cup of warm water and extract its juice and set it aside. Discard the pulp.In a non-stick kadai, heat a little oil. Once the oil is hot, add mustard seeds, Allow to splutter. Add urad dal and allow it to turn golden and sizzle.Add in curry leaves and red chillies. Let it sizzle for a couple of seconds.Now, add the okra pieces and cook with the lid opened until the okra is half cooked and stickiness/sliminess goes off. Ensure to fry them in high heat and stir continually, but careful enough to not break them.Meanwhile, let’s prepare masala for palya. In a mixer, grind coconut and dried red chilies into coarse powder without the addition of water. The paste has to be coarse.Once the okras are half cooked, add jaggery, salt, and tamarind juice. Add little amount of water and cook with the lid covered until the okras are completely cooked and the water is absorbed.Now, add the freshly grounded coconut paste to the okra pieces and cook them on low heat.Cook Udupi Style Bendekayi Palya Recipe until the raw smell of coconut goes off, for about 5 minutes. Switch off the heat and it is ready to be served.Prepare this simple Udupi Style Bendekayi Palya Recipe, and serve it with hot piping Udupi Style Mixed Vegetable Sambar Recipe and Steamed Rice for lunch.
</t>
  </si>
  <si>
    <t xml:space="preserve">ಉಡುಪಿ ಶೈಲಿಯ ಬೆಂಡೆಕಾಯಿ ಪಲ್ಯವನ್ನು ತಯಾರಿಸಲು ಪ್ರಾರಂಭಿಸಲು, ಬೆಂಡೆಕಾಯಿಯನ್ನು ನೀರಿನಿಂದ ತೊಳೆಯಿರಿ ಮತ್ತು ಸಂಪೂರ್ಣವಾಗಿ ಒಣಗಲು ಬಿಡಿ. ಒಣಗಿದ ನಂತರ ಅವುಗಳನ್ನು ಸಣ್ಣ ತುಂಡುಗಳಾಗಿ ಕತ್ತರಿಸಿ. ಹುಣಸೆಹಣ್ಣನ್ನು ಒಂದು ಕಪ್ ಬೆಚ್ಚಗಿನ ನೀರಿನಲ್ಲಿ ನೆನೆಸಿ ಮತ್ತು ಅದರ ರಸವನ್ನು ಹೊರತೆಗೆಯಿರಿ ಮತ್ತು ಅದನ್ನು ಪಕ್ಕಕ್ಕೆ ಇರಿಸಿ. ತಿರುಳನ್ನು ತಿರಸ್ಕರಿಸಿ. ನಾನ್-ಸ್ಟಿಕ್ ಕಡಾಯಿಯಲ್ಲಿ, ಸ್ವಲ್ಪ ಎಣ್ಣೆಯನ್ನು ಬಿಸಿ ಮಾಡಿ. ಎಣ್ಣೆ ಬಿಸಿಯಾದ ನಂತರ, ಸಾಸಿವೆ ಹಾಕಿ, ಚೆಲ್ಲಲು ಅನುಮತಿಸಿ. ಉದ್ದಿನಬೇಳೆಯನ್ನು ಸೇರಿಸಿ ಮತ್ತು ಅದನ್ನು ಗೋಲ್ಡನ್ ಮತ್ತು ಸಿಜ್ಲ್ ಮಾಡಲು ಅನುಮತಿಸಿ. ಕರಿಬೇವಿನ ಎಲೆಗಳು ಮತ್ತು ಕೆಂಪು ಮೆಣಸಿನಕಾಯಿಗಳನ್ನು ಸೇರಿಸಿ. ಒಂದೆರಡು ಸೆಕೆಂಡ್‌ಗಳ ಕಾಲ ಅದು ಕುಗ್ಗಲು ಬಿಡಿ. ಈಗ, ಬೆಂಡೆಕಾಯಿ ತುಂಡುಗಳನ್ನು ಸೇರಿಸಿ ಮತ್ತು ಮುಚ್ಚಳವನ್ನು ತೆರೆದು ಬೆಂಡೆಕಾಯಿ ಅರ್ಧ ಬೇಯಿಸುವವರೆಗೆ ಮತ್ತು ಜಿಗುಟುತನ/ಸ್ಲಿಮಿನೆಸ್ ಹೋಗುವವರೆಗೆ ಬೇಯಿಸಿ. ಹೆಚ್ಚಿನ ಶಾಖದಲ್ಲಿ ಅವುಗಳನ್ನು ಹುರಿಯಲು ಮತ್ತು ನಿರಂತರವಾಗಿ ಬೆರೆಸಲು ಖಚಿತಪಡಿಸಿಕೊಳ್ಳಿ, ಆದರೆ ಅವುಗಳನ್ನು ಒಡೆಯದಂತೆ ಸಾಕಷ್ಟು ಜಾಗರೂಕರಾಗಿರಿ. ಅಷ್ಟರಲ್ಲಿ, ಪಲ್ಯಕ್ಕೆ ಮಸಾಲಾವನ್ನು ತಯಾರಿಸೋಣ. ಮಿಕ್ಸಿಯಲ್ಲಿ ತೆಂಗಿನಕಾಯಿ ಮತ್ತು ಒಣ ಮೆಣಸಿನಕಾಯಿಯನ್ನು ನೀರು ಹಾಕದೆ ರುಬ್ಬಿಕೊಳ್ಳಿ. ಪೇಸ್ಟ್ ಒರಟಾಗಿರಬೇಕು. ಬೆಂಡೆಕಾಯಿ ಅರ್ಧ ಬೇಯಿಸಿದ ನಂತರ, ಬೆಲ್ಲ, ಉಪ್ಪು ಮತ್ತು ಹುಣಸೆ ರಸವನ್ನು ಸೇರಿಸಿ. ಸ್ವಲ್ಪ ಪ್ರಮಾಣದ ನೀರನ್ನು ಸೇರಿಸಿ ಮತ್ತು ಬೆಂಡೆಕಾಯಿಗಳು ಸಂಪೂರ್ಣವಾಗಿ ಬೇಯಿಸಿ ಮತ್ತು ನೀರು ಹೀರಿಕೊಳ್ಳುವವರೆಗೆ ಮುಚ್ಚಳವನ್ನು ಮುಚ್ಚಿ ಬೇಯಿಸಿ. ಈಗ, ಬೆಂಡೆಕಾಯಿ ತುಂಡುಗಳಿಗೆ ಹೊಸದಾಗಿ ರುಬ್ಬಿದ ತೆಂಗಿನಕಾಯಿ ಪೇಸ್ಟ್ ಅನ್ನು ಸೇರಿಸಿ ಮತ್ತು ಅವುಗಳನ್ನು ಕಡಿಮೆ ಉರಿಯಲ್ಲಿ ಬೇಯಿಸಿ. ಉಡುಪಿ ಶೈಲಿಯ ಬೆಂಡೆಕಾಯಿ ಪಲ್ಯ ರೆಸಿಪಿಯನ್ನು ತೆಂಗಿನಕಾಯಿಯ ಹಸಿ ವಾಸನೆ ಹೋಗುವವರೆಗೆ ಸುಮಾರು 5 ನಿಮಿಷಗಳ ಕಾಲ ಬೇಯಿಸಿ. ಉರಿಯನ್ನು ಆಫ್ ಮಾಡಿ ಮತ್ತು ಅದು ಬಡಿಸಲು ಸಿದ್ಧವಾಗಿದೆ. ಈ ಸರಳವಾದ ಉಡುಪಿ ಸ್ಟೈಲ್ ಬೆಂಡೆಕಾಯಿ ಪಲ್ಯ ರೆಸಿಪಿಯನ್ನು ತಯಾರಿಸಿ, ಮತ್ತು ಬಿಸಿ ಪೈಪಿಂಗ್ ಉಡುಪಿ ಶೈಲಿಯ ಮಿಶ್ರ ತರಕಾರಿ ಸಾಂಬಾರ್ ರೆಸಿಪಿ ಮತ್ತು ಆವಿಯಲ್ಲಿ ಬೇಯಿಸಿದ ಅನ್ನವನ್ನು ಮಧ್ಯಾಹ್ನದ ಊಟಕ್ಕೆ ಬಡಿಸಿ.
</t>
  </si>
  <si>
    <t>https://www.archanaskitchen.com/udupi-style-bende-kayi-palya-recipe-ladies-finger-dry-with-coconut</t>
  </si>
  <si>
    <t>Tindora Sambharo Recipe - Instant Tendli Pickle</t>
  </si>
  <si>
    <t>टिंडोरा सांभरो रेसिपी - झटपट तेंडली अचार</t>
  </si>
  <si>
    <t>1 कप टिंडोरा (डोंडाकाया/कोवक्कई) - बारीक कटा हुआ, 1 चम्मच लाल मिर्च पाउडर, 1/4 चम्मच विभाजित मेथी बीज (मेथी कुरिया), 1/2 चम्मच विभाजित सरसों के बीज (राई कुरिया), 1/4 चम्मच हल्दी पाउडर (हल्दी), 1/4 चम्मच हींग (हिंग), 1 बड़ा चम्मच सूरजमुखी तेल, नींबू - रस निकाला हुआ, नमक - स्वादानुसार</t>
  </si>
  <si>
    <t>1 cup Tindora (Dondakaya/ Kovakkai) - finely chopped,1 teaspoon Red Chilli powder,1/4 teaspoon Split Methi Seeds (Methi Kuria),1/2 teaspoon Split Mustard Seeds (Rai Kuria),1/4 teaspoon Turmeric powder (Haldi),1/4 teaspoon Asafoetida (hing),1 tablespoon Sunflower Oil,Lemon - juice extracted,Salt - to taste</t>
  </si>
  <si>
    <t xml:space="preserve">To begin making the Tindora Sambharo Recipe - Instant Tendli Pickle, combine all the ingredients including the carrot and capsicum pieces in a bowl.Stir well until all the ingredients are well combined.Store the Tindora Sambharo Recipe in the refrigerator and use as and when required.Serve Tindora Sambharo Recipe with dals, parathas or rice.Note: Gingely oil/Sesame oil or Mustard oil can be used for better taste.
</t>
  </si>
  <si>
    <t>टिंडोरा संभारो रेसिपी - इंस्टेंट टेंडली अचार बनाने के लिए, गाजर और शिमला मिर्च के टुकड़ों सहित सभी सामग्री को एक कटोरे में मिलाएँ। जब तक सभी सामग्री अच्छी तरह से मिल न जाएँ, तब तक अच्छी तरह मिलाएँ। टिंडोरा संभारो रेसिपी को रेफ्रिजरेटर में स्टोर करें और आवश्यकता पड़ने पर उपयोग करें। टिंडोरा संभारो रेसिपी को दाल, पराठे या चावल के साथ परोसें। नोट: बेहतर स्वाद के लिए तिल का तेल / तिल का तेल या सरसों का तेल इस्तेमाल किया जा सकता है।</t>
  </si>
  <si>
    <t>https://www.archanaskitchen.com/tindora-sambharo-recipe-instant-tendli-pickle</t>
  </si>
  <si>
    <t>Gujarati Recipes﻿</t>
  </si>
  <si>
    <t>Cabbage and Carrot Sambharo Recipe - Gujarati Vegetable Stir Fry</t>
  </si>
  <si>
    <t>गोभी और गाजर संभारो रेसिपी - गुजराती सब्जी स्टर फ्राई</t>
  </si>
  <si>
    <t>3 गाजर - कद्दूकस की हुई, 3 कप पत्तागोभी - कद्दूकस की हुई, 1 हरी शिमला मिर्च - पतली कटी हुई, 1/2 छोटा चम्मच हल्दी, 1 छोटा चम्मच चीनी, 1 छोटा चम्मच नींबू का रस, नमक - स्वादानुसार, 1 छोटा चम्मच सूरजमुखी तेल, 1 छोटा चम्मच सरसों के बीज, 1/4 छोटा चम्मच हींग, 1 टहनी करी पत्ता, 3 हरी मिर्च - लम्बाई में कटी हुई</t>
  </si>
  <si>
    <t>3 Carrots (Gajjar) - grated,3 cups Cabbage (Patta Gobi/ Muttaikose) - shredded,1 Green Bell Pepper (Capsicum) - thinly sliced,1/2 teaspoon Turmeric powder (Haldi),1 teaspoon Sugar,1 teaspoon Lemon juice,Salt - to taste,1 teaspoon Sunflower Oil,1 teaspoon Mustard seeds,1/4 teaspoon Asafoetida (hing),1 sprig Curry leaves,3 Green Chillies - slit lengthwise</t>
  </si>
  <si>
    <t xml:space="preserve">To begin making the Cabbage and Carrot Sambharo Recipe, heat oil in a heavy bottomed pan on medium heat. Add the mustard seeds and allow it to crackle. Once it crackles, add the asafoetida, green chilies, curry leaves and saute for a few seconds.  At this stage add the turmeric powder and the chopped vegetables, salt and stir to combine all the ingredients well. Turn the heat to low, cover the pan and allow the vegetables to cook in its own steam for about 3 to 4 minutes, until just about cooked.  You want the vegetables to remain little firm and crunchy and not too soft.Once done, turn off the heat and the Cabbage and Carrot Sambharo is ready to be served.Serve Cabbage And Carrot Sambharo along with Palak Ragi &amp; Oats Wheat Thepla Recipe or Beetroot &amp; Sesame Thepla Recipe for a simple mean. 
</t>
  </si>
  <si>
    <t>गोभी और गाजर संभारो रेसिपी बनाने के लिए, मध्यम आंच पर एक भारी तले वाले पैन में तेल गर्म करें। इसमें राई डालें और इसे चटकने दें। एक बार जब यह चटकने लगे तो इसमें हींग, हरी मिर्च, करी पत्ता डालें और कुछ सेकंड के लिए भूनें। इस स्तर पर हल्दी पाउडर और कटी हुई सब्जियां, नमक डालें और सभी सामग्री को अच्छी तरह से मिलाने के लिए हिलाएं। आंच धीमी कर दें, पैन को ढक दें और सब्जियों को लगभग 3 से 4 मिनट तक अपने आप भाप में पकने दें, जब तक कि वे लगभग पक न जाएं। आप चाहते हैं कि सब्जियां थोड़ी सख्त और कुरकुरी रहें और बहुत नरम न हों। एक बार हो जाने पर, आंच बंद कर दें और गोभी और गाजर संभारो परोसने के लिए तैयार है। गोभी और गाजर संभारो को पालक रागी और ओट्स गेहूं थेपला रेसिपी या चुकंदर और तिल थेपला रेसिपी के साथ परोसें।</t>
  </si>
  <si>
    <t>http://www.archanaskitchen.com/cabbage-and-carrot-sambharo-recipe-gujarati-vegetable-stirfry</t>
  </si>
  <si>
    <t>Crispy Masala Peanuts Recipe - Gujarati Sing Bhujia</t>
  </si>
  <si>
    <t>कुरकुरी मसाला मूंगफली रेसिपी - गुजराती सिंग भुजिया</t>
  </si>
  <si>
    <t>1 कप कच्ची मूंगफली, 2 बड़े चम्मच बेसन, 1 बड़ा चम्मच चावल का आटा, 1/2 छोटा चम्मच लाल मिर्च पाउडर, 1/2 धनिया पाउडर, 2 चुटकी चाट मसाला पाउडर, 1/4 कप पानी, 2 चुटकी काली मिर्च पाउडर, 1 छोटा चम्मच सूरजमुखी तेल, नमक - स्वादानुसार, सूरजमुखी तेल - तलने के लिए</t>
  </si>
  <si>
    <t>1 cup Raw Peanuts (Moongphali),2 tablespoons Gram flour (besan),1 tablespoon Rice flour,1/2 teaspoon Red Chilli powder,1/2 Coriander Powder (Dhania),2 pinch Chaat Masala Powder,1/4 cup Water,2 pinch Black pepper powder,1 teaspoon Sunflower Oil,Salt - to taste,Sunflower Oil - to fry</t>
  </si>
  <si>
    <t xml:space="preserve">To begin making the Crispy Masala Peanuts recipe, First we need to take a big bowl, mix together peanuts, gram flour, rice flour, red chilly powder, coriander powder, chat masala, water, black pepper powder, oil and salt to tasteMix all nicely using little water.Remember add less water and making sure the spices and flour stick to the peanuts uniformly.Heat the oil in a kadai/wok on medium heat. Fry the peanuts until they turn golden brown.When they are done, take them out from the oil and place them on a absorbent paper.At this time these are not much crispy but after cooling to room temperature, the peanuts should be crispy.Now Crispy Masala Peanuts are ready, sprinkle some chat masala with dry mint and serve.Serve Crispy Masala Peanuts along with Masala Chai during your tea time break. You can also serve it as a snack with your drinks for house parties.
</t>
  </si>
  <si>
    <t>क्रिस्पी मसाला मूंगफली रेसिपी बनाने के लिए सबसे पहले हमें एक बड़ा कटोरा लेना होगा, उसमें मूंगफली, बेसन, चावल का आटा, लाल मिर्च पाउडर, धनिया पाउडर, चाट मसाला, पानी, काली मिर्च पाउडर, तेल और स्वादानुसार नमक मिलाना होगा। थोड़े पानी का उपयोग करके सभी को अच्छी तरह से मिलाना होगा। याद रखें कि कम पानी डालें और सुनिश्चित करें कि मसाले और आटा मूंगफली पर समान रूप से चिपके। मध्यम आँच पर एक कड़ाही में तेल गर्म करें। मूंगफली को सुनहरा भूरा होने तक तलें। जब वे पक जाएँ, तो उन्हें तेल से निकाल लें और एक सोखने वाले कागज पर रखें। इस समय ये बहुत कुरकुरी नहीं हैं, लेकिन कमरे के तापमान पर ठंडा होने के बाद, मूंगफली कुरकुरी होनी चाहिए। अब क्रिस्पी मसाला मूंगफली तैयार है, थोड़ा चाट मसाला और सूखा पुदीना छिड़कें और परोसें</t>
  </si>
  <si>
    <t>http://www.archanaskitchen.com/crispy-masala-peanuts-recipe-gujarati-sing-bhujia</t>
  </si>
  <si>
    <t>Gehu Bajra Thepla Recipe - Bajra Masala Paratha</t>
  </si>
  <si>
    <t>गेहू बाजरा थेपला रेसिपी - बाजरा मसाला पराठा</t>
  </si>
  <si>
    <t>1 कप बाजरे का आटा, 1/2 कप गेहूं का आटा, 1/2 चम्मच हल्दी पाउडर, 1/2 चम्मच काली मिर्च पाउडर, 1 इंच अदरक - कसा हुआ, 1 हरी मिर्च - बारीक कटी हुई, 4 टहनी धनिया - बारीक कटी हुई, सूरजमुखी तेल - आवश्यकतानुसार</t>
  </si>
  <si>
    <t>1 cup Bajra Flour ( Pearl Millet),1/2 cup Whole Wheat Flour,1/2 teaspoon Turmeric powder (Haldi),1/2 teaspoon Black pepper powder,1 inch Ginger - grated,1 Green Chilli - finely chopped,4 sprig Coriander (Dhania) Leaves - finely chopped,Sunflower Oil - as required</t>
  </si>
  <si>
    <t xml:space="preserve">To begin making the Gehu Bajra Thepla Recipe, combine the bajra flour, whole wheat flour, turmeric powder, black pepper powder, ginger, green chilli, and coriander leaves, in a large mixing bowl. Add little water at a time and knead to make a smooth and firm dough. Drizzle some oil on the top and knead for a few more minutes until smooth. Cover the thepla dough and allow it to rest for half an hour.Preheat the iron skillet on medium heat. Divide the dough into 6 to 8 portions.Roll the thepla portions into balls; flatten them with the palm of your hand. Toss the thepla dough on flour and roll them out into thin circles to approximately 6 inches in diameter.As you roll them out, you can keep tossing the dough in dry flour to prevent sticking when rolling them out.Continue the same process of rolling the thepla dough out with the remaining balls. It is ideal when you can roll out the all portions of dough before you can start cooking them. Method of Cooking the Gehu Bajra TheplaWith skillet on high heat, place the rolled out Gehu Bajra thepla on the skillet. After a few seconds you will notice small air pockets popping out.At this point flip the Gehu Bajra thepla and smear about half a teaspoon of oil and using a flat spatula and do a light pressing and turning motion to cook to the thepla.Flip to the other side and press and turn in a similar way. You will notice brown spots around the cooked Gehu Bajra thepla. Remove from heat and place the thepla on a flat plate. Continue the similar process with the remaining rolled out portions and stack the cooked Gehu Bajra thepla one above the other. Stacking them maintains softness and prevents the thepla’s from drying out, preserving moisture.Serve the Gehu Bajra Thepla with Bangain Bharta and Jaggery for dinner. 
</t>
  </si>
  <si>
    <t>गेहूं बाजरा थेपला रेसिपी बनाने के लिए सबसे पहले एक बड़े कटोरे में बाजरे का आटा, गेहूं का आटा, हल्दी पाउडर, काली मिर्च पाउडर, अदरक, हरी मिर्च और धनिया पत्ती मिलाएं। थोड़ा-थोड़ा पानी डालते हुए चिकना और सख्त आटा गूंथ लें। ऊपर से थोड़ा तेल छिड़कें और चिकना होने तक कुछ और मिनट तक गूंथें। थेपला के आटे को ढककर आधे घंटे के लिए रख दें। लोहे की कड़ाही को मध्यम आंच पर गर्म करें। आटे को 6 से 8 भागों में बांट लें। थेपला के हिस्सों को गोल आकार में बेल लें और हथेली से उन्हें चपटा कर लें। थेपला के आटे को आटे पर डालें और उन्हें लगभग 6 इंच व्यास के पतले गोल आकार में बेल लें यह आदर्श है जब आप उन्हें पकाने से पहले आटे के सभी भागों को बेल सकते हैं। गेहू बाजरा थेपला पकाने की विधि तेज आंच पर कड़ाही में, बेले हुए गेहू बाजरा थेपला को कड़ाही में रखें। कुछ सेकंड के बाद आप छोटी-छोटी हवा की जेबों को बाहर निकलते हुए देखेंगे। इस बिंदु पर गेहू बाजरा थेपला को पलटें और लगभग आधा चम्मच तेल लगाएं और एक सपाट स्पैटुला का उपयोग करके थेपला को पकाने के लिए हल्का दबाने और मोड़ने की गति करें। दूसरी तरफ पलटें और उसी तरह दबाएं और मोड़ें। आप पके हुए गेहू बाजरा थेपला के चारों ओर भूरे रंग के धब्बे देखेंगे। गर्मी से निकालें और थेपला को एक सपाट प्लेट पर रखें। शेष बेले हुए हिस्सों के साथ समान प्रक्रिया जारी रखें और पके हुए गेहू बाजरा थेपला को एक के ऊपर एक रखें। उन्हें ढेर करने से कोमलता बनी रहती है और थेपला सूखने से बचता है,</t>
  </si>
  <si>
    <t>https://www.archanaskitchen.com/gehun-bhajra-thepla-recipe-spiced-wheat-millet-flat-bread</t>
  </si>
  <si>
    <t>Gujarati Methi Na Dhebra Recipe</t>
  </si>
  <si>
    <t>गुजराती मेथी ना ढेबरा रेसिपी</t>
  </si>
  <si>
    <t>1/2 कप बाजरा का आटा, 1/2 कप ज्वार का आटा, 1/2 कप गेहूं का आटा - छिड़कने के लिए अधिक, 2 कप मेथी के पत्ते - बारीक कटे हुए, 2 इंच अदरक - पेस्ट बनाने के लिए पिसा हुआ, 3 हरी मिर्च - बारीक कटी हुई, 1 बड़ा चम्मच तिल, 2 छोटे चम्मच लाल मिर्च पाउडर, 2 छोटे चम्मच हल्दी पाउडर, 1/4 छोटा चम्मच हींग, 5 बड़े चम्मच दही, 1 छोटा चम्मच चीनी - (वैकल्पिक), नमक - स्वादानुसार, 1 बड़ा चम्मच सूरजमुखी का तेल</t>
  </si>
  <si>
    <t>1/2 cup Bajra Flour ( Pearl Millet),1/2 cup Jowar Flour (Sorghum),1/2 cup Whole Wheat Flour - More for dusting,2 cups Methi Leaves (Fenugreek Leaves) - finely chopped,2 inch Ginger - ground to paste,3 Green Chillies - finely chopped,1 tablespoon Sesame seeds (Til seeds),2 teaspoons Red Chilli powder,2 teaspoons Turmeric powder (Haldi),1/4 teaspoon Asafoetida (hing),5 tablespoons Curd (Dahi / Yogurt),1 teaspoon Sugar - (optional),Salt - to taste,1 tablespoon Sunflower Oil</t>
  </si>
  <si>
    <t xml:space="preserve">To prepare Gujarati Methi Na Dhebra Recipe, get all the ingredients ready.In a large bowl, mix fenugreek leaves, ginger paste, green chilies, sesame seeds, chili powder, turmeric powder, asafoetida. Mix it well with a teaspoon of oil. Keep aside for 5 minutes to help fenugreek leaves soften a bit.Add millet flour, whole wheat flour, sugar and salt.Mix well using your finger so fenugreek mixture will incorporate well with flours. It will look crumbly texture.Add tablespoon yogurt at a time and knead to form soft dough.  You will need 5 or 6 tablespoon of yogurt depends on your flour or depends on the consistency of your yogurt . So add little yogurt at a time so will come to know how much you need. Cover it and let it stand for 10-15 minutes.After 15 minutes, knead it again to make it smooth.Divide it into 10 equal portions. Roll each portion between your palm and press into a circle.Heat the tawa on medium heat.Dip the flattened ball into dry chapati flour and coat well. Roll it gently in to circle about 6 inch in diameter.Once hot placed rolled dhebra on the skillet. When you see bubbles on it flip it. After few seconds apply some oil on it and flip it again and press gently using spatula and cook until you see some brown spot on bottom side.Apply some oil again (optional) on other side and flip and cook on that side.When done, take it out from skillet/tawa proceed similarly till all the dough is used up.Serve Gujarati Methi Na Dhebra recipe dabbed with homemade ghee along with a cup of pounded jaggery, Naranga Achaar, yogurt and Sev Tamatar Ki Sabzi
</t>
  </si>
  <si>
    <t>गुजराती मेथी ना ढेबरा रेसिपी बनाने के लिए सभी सामग्री तैयार कर लें। एक बड़े कटोरे में मेथी के पत्ते, अदरक का पेस्ट, हरी मिर्च, तिल, मिर्च पाउडर, हल्दी पाउडर, हींग डालें। एक चम्मच तेल के साथ इसे अच्छी तरह मिला लें। मेथी के पत्तों को थोड़ा नरम होने के लिए 5 मिनट के लिए अलग रख दें। इसमें बाजरे का आटा, गेहूं का आटा, चीनी और नमक डालें। अपनी उंगली का उपयोग करके अच्छी तरह मिलाएं ताकि मेथी मिश्रण आटे के साथ अच्छी तरह मिल जाए। यह भुरभुरा दिखेगा। एक बार में एक बड़ा चम्मच दही डालें और नरम आटा गूंथ लें। आपको 5 या 6 बड़े चम्मच दही की आवश्यकता होगी जो आपके आटे पर निर्भर करता है या आपके दही की स्थिरता पर निर्भर करता है। इसलिए एक बार में थोड़ा दही डालें ताकि आपको पता चल जाए कि आपको कितना चाहिए। इसे ढककर 10-15 मिनट तक रहने दें प्रत्येक भाग को अपनी हथेली के बीच रोल करें और एक गोलाकार में दबाएं। मध्यम आंच पर तवा गरम करें। चपटी गेंद को सूखे चपाती के आटे में डुबोएं और अच्छी तरह से लपेटें। इसे धीरे से लगभग 6 इंच व्यास के गोले में रोल करें। गर्म होने पर रोल्ड ढेबरा को तवे पर रखें। जब आप इस पर बुलबुले देखें तो इसे पलट दें। कुछ सेकंड के बाद इस पर थोड़ा तेल लगाएं और इसे फिर से पलट दें और स्पैटुला का उपयोग करके धीरे से दबाएं और तब तक पकाएं जब तक कि आपको नीचे की तरफ कुछ भूरे रंग के धब्बे न दिखाई दें। दूसरी तरफ फिर से थोड़ा तेल (वैकल्पिक) लगाएं और पलट दें और उस तरफ से पकाएं। जब पक जाए, तो इसे तवे/तवे से निकाल लें और इसी तरह से तब तक पकाएं जब तक कि सारा आटा खत्म न हो जाए। गुजराती मेथी ना ढेबरा रेसिपी को घर के बने घी में डुबोकर एक कप पिसा हुआ गुड़, नरंगा अचार, दही और सेव टमाटर की सब्जी के साथ परोसें।</t>
  </si>
  <si>
    <t>http://www.archanaskitchen.com/gujarati-methi-na-dhebra-recipe</t>
  </si>
  <si>
    <t>Ripe banana vegetable recipe | Ripe banana and green leafy vegetable | Gujarati Jain recipe</t>
  </si>
  <si>
    <t>पका केला की सब्जी रेसिपी | पका केला नु शाक | गुजराती जैन रेसिपी</t>
  </si>
  <si>
    <t>3 कप पके केले - टुकड़ों में कटे हुए, 1/4 कप बेसन, 1/4 छोटा चम्मच हींग, 1/2 छोटा चम्मच हल्दी, 1/2 छोटा चम्मच लाल मिर्च पाउडर, 1/4 छोटा चम्मच जीरा, 1/4 छोटा चम्मच सरसों, 1 टहनी करी पत्ता - बारीक कटा हुआ, 2 छोटे चम्मच सूरजमुखी तेल, नमक - स्वादानुसार</t>
  </si>
  <si>
    <t>3 cups Ripe Bananas - cubed,1/4 cup Gram flour (besan),1/4 teaspoon Asafoetida (hing),1/2 teaspoon Turmeric powder (Haldi),1/2 teaspoon Red Chilli powder,1/4 teaspoon Cumin seeds (Jeera),1/4 teaspoon Mustard seeds,1 sprig Curry leaves - finely chopped,2 teaspoons Sunflower Oil,Salt - to taste</t>
  </si>
  <si>
    <t xml:space="preserve">To begin making the Paka Kela Nu Shaak; prepare all the ingredients and keep them ready.Heat oil in a pan on medium high; add the mustard seeds, cumin seeds and curry leaves and allow it to crackle.Add the asafoetida, turmeric powder, red chilli powder and give it a stir.Stir in the banana and the besan into the above seasoning and stir gently until the gram flour and condiments gets well coated around the ripe banana, for about 3 to 4 minutes. Turn off heat and transfer to a serving dish.Serve Paka Kela Ki Sabzi along with of Phulka, Gujarati Dal and a bowl of dahi. Note: The Paka Kela Ki Sabzi has to be prepared just a few minutes before you are ready to serve your meal. When it stays for a longer time, the bananas tend  to lose their texture and the dish can get too soggy.
</t>
  </si>
  <si>
    <t>पका केला नू शाक बनाने के लिए, सभी सामग्री तैयार करके रख लें। एक कड़ाही में मध्यम आंच पर तेल गर्म करें, उसमें राई, जीरा और करी पत्ता डालकर चटकने दें। हींग, हल्दी पाउडर, लाल मिर्च पाउडर डालकर चलाएँ। केले और बेसन को उपरोक्त मसाले में मिलाएँ और तब तक धीरे-धीरे चलाएँ जब तक कि बेसन और मसाले पके केले के चारों ओर अच्छी तरह से न लग जाएँ, लगभग 3 से 4 मिनट तक। आँच बंद कर दें और एक सर्विंग डिश में निकाल लें। पका केला की सब्जी को फुल्का, गुजराती दाल और एक कटोरी दही के साथ परोसें। नोट: पका केला की सब्जी को खाना परोसने से कुछ मिनट पहले ही तैयार करना होता है। जब यह लंबे समय तक रहता है, तो केले अपनी बनावट खो देते हैं और डिश बहुत गीली हो सकती है।</t>
  </si>
  <si>
    <t>http://www.archanaskitchen.com/paka-kela-ki-sabzi-gujarati-jain-recipe</t>
  </si>
  <si>
    <t>No Onion No Garlic Lobia Masala Recipe In Electric Pressure Cooker</t>
  </si>
  <si>
    <t>प्याज़ लहसुन रहित लोबिया मसाला रेसिपी इलेक्ट्रिक प्रेशर कुकर में</t>
  </si>
  <si>
    <t>1 कप लोबिया - दो घंटे भिगोया हुआ, 1 इंच अदरक - बारीक कटा हुआ, 2 हरी मिर्च, 2 टहनी करी पत्ता, 1 छोटा चम्मच जीरा, 1/2 छोटा चम्मच हल्दी, 1 छोटा चम्मच लाल मिर्च पाउडर, 1 छोटा चम्मच धनिया पाउडर, 1 बड़ा चम्मच बेसन, 1 बड़ा चम्मच इमली का पेस्ट, 1 छोटा चम्मच गुड़, नमक - स्वादानुसार</t>
  </si>
  <si>
    <t>1 cup Black Eyed Beans (Lobia) - soaked for two hours,1 inch Ginger - finely chopped,2 Green Chillies,2 sprig Curry leaves,1 teaspoon Cumin seeds (Jeera),1/2 teaspoon Turmeric powder (Haldi),1 teaspoon Red Chilli powder,1 teaspoon Coriander Powder (Dhania),1 tablespoon Gram flour (besan),1 tablespoon Tamarind Paste,1 teaspoon Jaggery,Salt - to taste</t>
  </si>
  <si>
    <t xml:space="preserve">To begin making the No Onion No Garlic Lobia Masala Recipe, wash lobia and soak in water for about 2 hours.Heat oil in saute mode of the electric pressure cooker over medium heat; add the cumin seeds, ginger, green chillies and fry for few seconds. Then add besan and roast it for two minutes stirring continuously. Add half cup of water and make a smooth paste.Next add the turmeric powder, coriander powder, red chilli powder, jaggery, salt, tamarind paste and the soaked beans with 2 cups of water.Stir to combine and cover the pressure cooker.Change the mode of the electric pressure cooker to dal mode and just let the pressure cooker to its job.If you are cooking in a regular pressure cooker, pressure cook Jain Style lobia curry for 4 to 5 whistles on medium heat and turn off the heat. Open the pressure cooker after the pressure releases on its own. Adjust the consistency of the dish according to your taste, by adding more or less water. Once done, check the taste and adjust the salt and seasonings accordingly.Serve No Onion No Garlic Lobia Masala along with a Jain meal made up of Paka Kela Ki Sabzi, Masala Jowar Methi Roti and Beetroot Carrot Raita for a weeknight dinner or a sunday lunch.
</t>
  </si>
  <si>
    <t>प्याज लहसुन लोबिया मसाला रेसिपी बनाने के लिए सबसे पहले लोबिया को धोकर करीब 2 घंटे के लिए पानी में भिगो दें। इलेक्ट्रिक प्रेशर कुकर में मध्यम आंच पर तेल गर्म करें, उसमें जीरा, अदरक, हरी मिर्च डालकर कुछ सेकेंड के लिए भूनें। फिर उसमें बेसन डालकर दो मिनट तक लगातार चलाते हुए भून लें। आधा कप पानी डालकर चिकना पेस्ट बना लें। इसके बाद उसमें हल्दी पाउडर, धनिया पाउडर, लाल मिर्च पाउडर, गुड़, नमक, इमली का पेस्ट और भीगी हुई दाल को 2 कप पानी के साथ डालें। अच्छी तरह मिलाएँ और प्रेशर कुकर को ढक दें। इलेक्ट्रिक प्रेशर कुकर का मोड बदलकर दाल मोड कर दें और प्रेशर कुकर को अपना काम करने दें। अगर आप नियमित प्रेशर कुकर में खाना बना रहे हैं, तो जैन स्टाइल लोबिया करी को मध्यम आंच पर 4 से 5 सीटी आने तक पका लें एक बार हो जाने पर, स्वाद की जांच करें और नमक और मसाला को तदनुसार समायोजित करें। बिना प्याज लहसुन लोबिया मसाला को जैन भोजन के साथ परोसें, जिसमें पका केला की सब्जी, मसाला ज्वार मेथी रोटी और चुकंदर गाजर रायता शामिल है, जो सप्ताह के रात के खाने या रविवार के दोपहर के भोजन के लिए है।</t>
  </si>
  <si>
    <t>https://www.archanaskitchen.com/no-onion-no-garlic-lobia-masala-recipe-in-electric-pressure-cooker</t>
  </si>
  <si>
    <t>Fansi Muthia Nu Shaak Recipe - Green Beans With Gram Flour Dumplings</t>
  </si>
  <si>
    <t>फंसी मुठिया नू शाक रेसिपी - हरी बीन्स बेसन पकौड़ी के साथ</t>
  </si>
  <si>
    <t>400 ग्राम हरी बीन्स (फ्रेंच बीन्स) - 1 इंच के टुकड़ों में कटी हुई, 1/2 चम्मच सरसों के बीज, 1 चम्मच अजवाइन (कैरम के बीज), 1/4 चम्मच एसएसपी हींग (हिंग), 1 चम्मच धनिया पाउडर (धनिया), 1 चम्मच लाल मिर्च पाउडर, 1/2 चम्मच हल्दी पाउडर (हल्दी), 1/2 चम्मच आमचूर (सूखा आम पाउडर), 1 चम्मच गुड़, नमक - स्वादानुसार, 1 चम्मच सूरजमुखी तेल, 1/2 कप बेसन, 2 बड़े चम्मच कसूरी मेथी (सूखी मेथी के पत्ते), 1/2 चम्मच हल्दी पाउडर (हल्दी), 1 चम्मच चीनी, 1/4 चम्मच एसएसपी हींग (हिंग), 1/2 चम्मच इनोस फ्रूट सॉल्ट, 1 बड़ा चम्मच नींबू का रस, 1 बड़ा चम्मच सूरजमुखी तेल, नमक - स्वादानुसार</t>
  </si>
  <si>
    <t>400 grams Green beans (French Beans) - cut into 1 inch pieces,1/2 teaspoon Mustard seeds,1 teaspoon Ajwain (Carom seeds),1/4 teaspoon SSP Asafoetida (Hing),1 teaspoon Coriander Powder (Dhania),1 teaspoon Red Chilli powder,1/2 teaspoon Turmeric powder (Haldi),1/2 teaspoon Amchur (Dry Mango Powder),1 teaspoon Jaggery,Salt - to taste,1 teaspoon Sunflower Oil,1/2 cup Gram flour (besan),2 tablespoons Kasuri Methi (Dried Fenugreek Leaves),1/2 teaspoon Turmeric powder (Haldi),1 teaspoon Sugar,1/4 teaspoon SSP Asafoetida (Hing),1/2 teaspoon Enos fruit salt,1 tablespoon Lemon juice,1 tablespoon Sunflower Oil,Salt - to taste</t>
  </si>
  <si>
    <t xml:space="preserve">To begin making the Fansi Muthia Nu Shaak Recipe, add the green beans into a pressure cooker, with 1/4 cup of water, salt to taste and pressure cook for 2 whistles. Turn off the heat and release the pressure immediately to retain the bright green color of the beans. Open the pressure cooker and keep aside.*To make the Muthia:In a small bowl combine the ingredients for the muthia - Gram flour, kasuri methi, turmeric powder, sugar, asafoetida, enos fruit salt, lemon juice, cooking oil and salt. Combine to make a firm dough by adding little water. Divide the dough into equal small portions. Shape them in ovals and lightly press them down. Preheat a paniyaram pan and add little oil into each cavity. Place the muthia in each cavity and pan fry until golden and crisp on all sides. Once done remove and keep aside.*The next step is to make the Fansi Muthia Nu Shaak:Heat a teaspoon of oil in a heavy bottomed pan over medium heat; add the ajwain seeds,  mustard seeds and allow them to crackle.After the seeds crackle, add asafoetida and the cooked green beans.After a minute, add the coriander powder, red chilli powder, amchur powder, turmeric powder, jaggery, muthia and saute until well combine. Cover and allow it to steam cook for two minutes and turn off the heat. Transfer Fansi Muthia Nu Shaak into a serving bowl and serve.Serve the Fansi Muthia Nu Shaak Recipe along with Gujarati Kadhi, Phulka and Steamed Rice to enjoy your everyday simple lunch.
</t>
  </si>
  <si>
    <t>फंसी मुठिया नू शाक रेसिपी बनाने के लिए सबसे पहले एक प्रेशर कुकर में हरी बीन्स, 1/4 कप पानी, स्वादानुसार नमक डालें और 2 सीटी आने तक प्रेशर कुक करें। आंच बंद कर दें और बीन्स का चमकीला हरा रंग बरकरार रखने के लिए तुरंत प्रेशर छोड़ दें। प्रेशर कुकर खोलें और एक तरफ रख दें। *मुठिया बनाने के लिए: एक छोटे कटोरे में मुठिया बनाने की सामग्री मिलाएं - बेसन, कसूरी मेथी, हल्दी पाउडर, चीनी, हींग, इनोस फ्रूट सॉल्ट, नींबू का रस, खाना पकाने का तेल और नमक। थोड़ा पानी डालकर सख्त आटा गूंथ लें। आटे को बराबर छोटे भागों में बाँट लें। इन्हें अंडाकार आकार दें और हल्का सा दबा दें। एक पनियारम पैन को पहले से गरम करें और प्रत्येक गुहा में थोड़ा तेल डालें। प्रत्येक गुहा में मुठिया रखें अजवाइन, सरसों के बीज डालें और उन्हें चटकने दें। बीज चटकने के बाद, हींग और पकी हुई हरी बीन्स डालें। एक मिनट के बाद, धनिया पाउडर, लाल मिर्च पाउडर, अमचूर पाउडर, हल्दी पाउडर, गुड़, मुठिया डालें और अच्छी तरह मिलाएँ। ढककर दो मिनट तक भाप में पकने दें और आँच बंद कर दें। फांसी मुठिया नू शाक को एक सर्विंग बाउल में डालें और परोसें। फांसी मुठिया नू शाक रेसिपी को गुजराती कढ़ी, फुल्का और स्टीम्ड राइस के साथ परोसें और अपने रोज़मर्रा के साधारण लंच का आनंद लें।</t>
  </si>
  <si>
    <t>http://www.archanaskitchen.com/fansi-muthia-nu-shaak-recipe</t>
  </si>
  <si>
    <t>Aamras Ki Kadhi Recipe - Mango Kadhi Recipe</t>
  </si>
  <si>
    <t>आमरस की कढ़ी रेसिपी - आम की कढ़ी रेसिपी</t>
  </si>
  <si>
    <t>1 कप आमरस - (आम की प्यूरी), 1/4 कप दही (दही), 2 बड़े चम्मच बेसन (बेसन), 1/4 छोटा चम्मच हल्दी पाउडर (हल्दी), 3 कप पानी, 2 सूखी लाल मिर्च, 1/4 छोटा चम्मच हींग (हिंग), 1/4 छोटा चम्मच जीरा (जीरा), 1/2 छोटा चम्मच लाल मिर्च पाउडर, 1 इंच अदरक - बारीक कटा हुआ, 1 टहनी करी पत्ता, 2 चम्मच घी, नमक - स्वादानुसार</t>
  </si>
  <si>
    <t>1 cup Aamras - (mango puree),1/4 cup Curd (Dahi / Yogurt),2 tablespoon Gram flour (besan),1/4 teaspoon Turmeric powder (Haldi),3 cups Water,2 Dry Red Chilli,1/4 teaspoon Asafoetida (hing),1/4 teaspoon Cumin seeds (Jeera),1/2 teaspoon Red Chilli powder,1 inch Ginger - finely chopped,1 sprig Curry leaves,2 teaspoon Ghee,Salt - to taste</t>
  </si>
  <si>
    <t xml:space="preserve">To begin making the Aamras Ki Kadhi recipe, first whip up the aamras, curd, besan, turmeric powder and water in a medium bowl to a fine paste with no lumps.Pour the Aamras mixture into a saucepan, add the salt and whisk continuously until the aamras kadhi begins to thicken. It is important to keep whisking it until the kadhi thickens, to prevent lump formation.Bring the Aamras Kadhi into a roaring bowl for a couple of minutes. After that, turn the heat to low and simmer for a good 10 minutes, so all the flavors come together.Heat ghee in a tadka pan over medium heat; add cumin seeds, dry red chilli and curry leaves. Allow the mustard seeds to crackle. Once it crackles, add the chopped ginger red chilli powder, asafoetida and saute for a few seconds.Pour this tadka over the Aamras Kadhi and give it a quick stir.Check the salt to taste and adjust accordingly. Once done, turn off the heat and transfer the Aamras Kadhi into a serving bowl and serve hot.Serve Aamras Ki Kadhi along with Aloo Na Shaak, Methi Thepla and Steamed Rice for a comforting weekday lunch or dinner.                
</t>
  </si>
  <si>
    <t>आमरस की कढ़ी बनाने की विधि शुरू करने के लिए सबसे पहले एक मध्यम आकार के कटोरे में आमरस, दही, बेसन, हल्दी पाउडर और पानी को डालकर बारीक पीस लें और उसमें कोई गांठ न रह जाए। आमरस के मिश्रण को सॉस पैन में डालें, नमक डालें और तब तक लगातार फेंटें जब तक आमरस कढ़ी गाढ़ी न होने लगे। गांठ बनने से रोकने के लिए कढ़ी के गाढ़ी होने तक इसे फेंटते रहना जरूरी है। आमरस कढ़ी को एक दो मिनट के लिए गरम होने के लिए कटोरे में रखें। उसके बाद, आंच धीमी कर दें और 10 मिनट तक धीमी आंच पर पकाएं, ताकि सभी स्वाद एक साथ आ जाएं। मध्यम आंच पर एक तड़का पैन में घी गर्म करें, उसमें जीरा, सूखी लाल मिर्च और करी पत्ता डालें। राई को चटकने दें। एक बार जब यह चटकने लगे एक बार हो जाने पर, आंच बंद कर दें और आमरस कढ़ी को एक सर्विंग बाउल में डालें और गरमागरम परोसें। आमरस की कढ़ी को आलू ना शाक, मेथी थेपला और उबले हुए चावल के साथ आरामदेह सप्ताह के दिनों के लंच या डिनर के लिए परोसें।</t>
  </si>
  <si>
    <t>https://www.archanaskitchen.com/aamras-ki-kadhi-recipe</t>
  </si>
  <si>
    <t>Farali Pattice Recipe - A Popular Fasting Food</t>
  </si>
  <si>
    <t>फराली पैटीस रेसिपी - एक लोकप्रिय उपवास भोजन</t>
  </si>
  <si>
    <t>3 से 4 आलू - उबले हुए, 1/4 कप अरारोट का आटा - या मकई का आटा, 1 बड़ा चम्मच मक्खन, 1 कप गेहूं के ब्रेड के टुकड़े - या तिल या खसखस ​​या राजगिरा लहिया, नमक - स्वादानुसार, 1/4 कप भुनी हुई मूंगफली - दरदरा पाउडर, 1/4 कप ताजा नारियल - कद्दूकस किया हुआ, 1 बड़ा चम्मच चीनी, 2 बड़े चम्मच किशमिश - बारीक कटी हुई, 1 नींबू - रस निकाला हुआ, 1 बड़ा चम्मच काजू - बारीक कटे हुए, 2 हरी मिर्च - बारीक कटी हुई, 1 इंच अदरक - कद्दूकस किया हुआ, 1/2 छोटा चम्मच गरम मसाला पाउडर, धनिया के पत्ते - छोटा गुच्छा, नमक - स्वादानुसार</t>
  </si>
  <si>
    <t>3 to 4 Potatoes (Aloo) - boiled,1/4 cup Arrowroot flour - or corn flour,1 tablespoon Butter,1 cup Whole Wheat Bread crumbs - or sesame seeds or poppy seeds or even  rajgira lahyas,Salt - to taste,1/4 cup Roasted Peanuts (Moongphali) - coarsely powdered,1/4 cup Fresh coconut - grated,1 tablespoon Sugar,2 tablespoons Raisins - finely chopped,1 Lemon - juiced,1 tablespoon Cashew nuts - finely chopped,2 Green Chillies - finely chopped,1 inch Ginger - grated,1/2 teaspoon Garam masala powder,Coriander (Dhania) Leaves - small bunch,Salt - to taste</t>
  </si>
  <si>
    <t xml:space="preserve">To begin making the Farali Pattice, into a bowl we will first combine all the ingredients for the filling and bring them together to form a nutty dough.In another bowl combine the potato, arrowroot powder and butter together to form potato dough.To make the filling in a mixing bowl combine the roasted peanuts, freshly grated coconut, sugar, lemon juice, raisins, cashew nut, green chillies, grated ginger, garam masala powder and a small bunch of coriander leaves, finely chopped. Mix well to combine. Divide the potato mixture and the filling mixture each into 8 equal portions. Grease your palm with oil and flatten a portion of the potato mixture on your palm and place a portion of the filling mixture in the centre.Bring together the edges to seal. Roll the filled potato balls between the palms of your hands to a round shape and set aside. Repeat the above procedure with the remaining potato and filling and make the pattice.Now we will prepare to bake the Farali Pattice in the oven.  So for that first preheat the oven to 180 C.Roll the filled farali pattice on the bread crumbs (or sesame seeds or poppy seeds or even  rajgira lahyas) until it is well coated on all sides and place these filled potato balls on a cookie sheet lined with parchment paper.Place the bread crumb coated pattice in the oven and bake for 30 minutes, until crust turns golden and crisp evenly on all sides.Take the patties out from the oven place them on the serving platter.Serve the Farali Pattice as a fasting food during Healthy Appetizer for your parties.Serve Farali Pattice Recipe along with Green Chutney and Adrak Chai. 
</t>
  </si>
  <si>
    <t>फराली पेटिस बनाने के लिए सबसे पहले एक कटोरे में फिलिंग की सारी सामग्री डालकर उसे एक साथ मिलाकर मेवे जैसा आटा गूंथ लें। दूसरे कटोरे में आलू, अरारोट पाउडर और मक्खन मिलाकर आलू का आटा गूंथ लें। फिलिंग बनाने के लिए एक कटोरे में भुनी हुई मूंगफली, ताजा कसा हुआ नारियल, चीनी, नींबू का रस, किशमिश, काजू, हरी मिर्च, कसा हुआ अदरक, गरम मसाला पाउडर और थोड़ा सा बारीक कटा धनिया पत्ता मिलाएं। अच्छी तरह मिलाएं। आलू के मिश्रण और फिलिंग के मिश्रण को आठ बराबर हिस्सों में बांट लें। अपनी हथेली पर तेल लगाएं और आलू के मिश्रण का एक हिस्सा हथेली पर फैलाकर उसके बीच में फिलिंग मिश्रण का एक हिस्सा रखें। किनारों को साथ लाकर सील करें। भरे हुए आलू के बॉल्स को अपनी हथेलियों के बीच गोल करके रोल करें और एक तरफ रख दें। बचे हुए आलू और फिलिंग के साथ भी यही प्रक्रिया दोहराएं और पेटिस बना लें। अब हम फराली पेटिस को ओवन में बेक करने की तैयारी करेंगे। तो इसके लिए सबसे पहले ओवन को 180 डिग्री सेल्सियस पर गर्म कर लें। भरी हुई फराली पैटी को ब्रेड क्रम्ब्स (या तिल या खसखस ​​या राजगिरा लहिया) पर तब तक रोल करें जब तक कि यह सभी तरफ से अच्छी तरह से लेपित न हो जाए और इन भरे हुए आलू के बॉल्स को चर्मपत्र पेपर से ढकी कुकी शीट पर रखें। ब्रेड क्रम्ब कोटेड पैटी को ओवन में रखें और 30 मिनट तक बेक करें, जब तक कि क्रस्ट सभी तरफ से समान रूप से सुनहरा और कुरकुरा न हो जाए। पैटी को ओवन से बाहर निकालें और उन्हें सर्विंग प्लैटर पर रखें। अपनी पार्टियों के लिए हेल्दी ऐपेटाइज़र के रूप में फराली पैटी को व्रत के भोजन के रूप में परोसें। फराली पैटी रेसिपी को हरी चटनी और अदरक चाय के साथ परोसें।</t>
  </si>
  <si>
    <t>http://www.archanaskitchen.com/farali-pattice-recipe-a-popular-fasting-food</t>
  </si>
  <si>
    <t>Keri Na Gotla Nu Shaak Recipe - Gujarati Style Ripe Mango Curry</t>
  </si>
  <si>
    <t>केरी ना गोटला नू शाक रेसिपी - गुजराती स्टाइल पके आम की करी</t>
  </si>
  <si>
    <t>3 आम (पके हुए), 1 1/2 बड़ा चम्मच बेसन, 1 छोटा चम्मच लाल मिर्च पाउडर, 1/2 छोटा चम्मच जीरा, 1/2 छोटा चम्मच धनिया पाउडर, 2 बड़े चम्मच गुड़ - आम के खट्टेपन के अनुसार, नमक - स्वादानुसार, 3/4 कप पानी, 1 छोटा चम्मच सूरजमुखी तेल, 1 छोटा चम्मच सरसों के बीज, 1/2 छोटा चम्मच सफेद उड़द दाल, 1/2 छोटा चम्मच हल्दी, 1 चुटकी हींग, 1 सूखी लाल मिर्च, 1 टहनी करी पत्ता</t>
  </si>
  <si>
    <t>3 Mango (Ripe),1 1/2 tablespoons Gram flour (besan),1 teaspoon Red Chilli powder,1/2 teaspoon Cumin powder (Jeera),1/2 teaspoon Coriander Powder (Dhania),2 tablespoons Jaggery - adjust as per sourness of mango,Salt - to taste,3/4 cup Water,1 teaspoon Sunflower Oil,1 teaspoon Mustard seeds,1/2 teaspoon White Urad Dal (Split),1/2 teaspoon Turmeric powder (Haldi),1 pinch Asafoetida (hing),1 Dry Red Chilli,1 sprig Curry leaves</t>
  </si>
  <si>
    <t xml:space="preserve">To begin making the Keri Na Gotla Nu Shaak Recipe, we need to soften the whole mangoes by rolling it in between your palms.In a mixing bowl, squeeze out the the mango pulp and the seeds. To this bowl, add besan and fold it in gently. Make sure that there should be any no lumps in the mixture. Next add 3/4 cup of water, along with the red chili powder, roasted cumin powder, coriander powder, jaggery and salt.Transfer this entire mixture into a saucepan and bring it boil on medium flame. Once the Keri Na Gotla Nu Shaak gets a single boil, reduce the flame, and let it simmer for 10 minutes and turn off the flame. Heat oil in a tadka pan on medium flame, add mustard seeds, curry leaves and allow them to crackle. Next add the urad dal, and allow it to turn into a lovely golden brown colour, after which you need to add turmeric powder, asafoetida and dry red chili. Turn off the flame. Add this tempering to mango curry. The Keri Na Gotla Nu Shaak is ready to be served. Serve this Keri Na Gotla Nu Shaak Recipe along with hot Steamed Rice and Puri or Phulkas and Boondi Raita for a simple Summer Weeknight dinner.
</t>
  </si>
  <si>
    <t>केरी ना गोटला नू शाक रेसिपी बनाना शुरू करने के लिए, हमें पूरे आम को हथेलियों के बीच रोल करके नरम करना होगा। एक मिक्सिंग बाउल में आम का गूदा और बीज निचोड़ लें। इस बाउल में बेसन डालें और इसे धीरे से फोल्ड करें। सुनिश्चित करें कि मिश्रण में कोई गांठ नहीं होनी चाहिए। इसके बाद लाल मिर्च पाउडर, भुना जीरा पाउडर, धनिया पाउडर, गुड़ और नमक के साथ 3/4 कप पानी डालें। इस पूरे मिश्रण को सॉस पैन में डालें और मध्यम आंच पर उबाल लें। केरी ना गोटला नू शाक में एक उबाल आने के बाद, आंच कम कर दें और इसे 10 मिनट तक उबलने दें और आंच बंद कर दें। मध्यम आंच पर एक तड़का पैन में तेल गर्म करें, उसमें राई, करी पत्ता डालें और उन्हें चटकने दें इस तड़के को आम की सब्जी में मिलाएँ। केरी ना गोटला नू शाक परोसने के लिए तैयार है। इस केरी ना गोटला नू शाक रेसिपी को गरम उबले चावल और पूरी या फुल्के और बूंदी रायता के साथ एक साधारण गर्मी के सप्ताहांत के खाने के लिए परोसें।</t>
  </si>
  <si>
    <t>https://www.archanaskitchen.com/keri-na-gotla-nu-shaak-recipe-gujarati-style-ripe-mango-curry</t>
  </si>
  <si>
    <t>Dal Dhokli Recipe With Sprouted Moong Dal</t>
  </si>
  <si>
    <t>अंकुरित मूंग दाल के साथ दाल ढोकली रेसिपी</t>
  </si>
  <si>
    <t>3/4 कप गेहूं का आटा, 1/4 कप बेसन, 1 चम्मच लाल मिर्च पाउडर, 1/2 चम्मच हल्दी पाउडर, 4 टहनी धनिया (धनिया) पत्तियां - बारीक कटी हुई, 1 कप हरी मूंग अंकुरित - उबले हुए, 1 चम्मच धनिया पाउडर (धनिया), 1/2 चम्मच हल्दी पाउडर (हल्दी), 1 चम्मच लाल मिर्च पाउडर, 1 इंच दालचीनी, 1 कोकम (मालाबार इमली), 2 बड़े चम्मच गुड़ - पाउडर, 2 बड़े चम्मच कच्ची मूंगफली (मूंगफली), 1 बड़ा चम्मच धनिया (धनिया) पत्तियां - बारीक कटी हुई, 1/2 बड़ा चम्मच नींबू का रस, नमक - स्वादानुसार, 1/2 छोटा चम्मच जीरा (जीरा), 1/2 छोटा चम्मच सरसों के बीज, 2 हरी मिर्च - कटी हुई, 1 टहनी करी पत्ता, 1/4 छोटा चम्मच हींग, 2 बड़े चम्मच घी</t>
  </si>
  <si>
    <t>3/4 cup Whole Wheat Flour,1/4 cup Gram flour (besan),1 teaspoon Red Chilli powder,1/2 teaspoon Turmeric powder (Haldi),4 sprig Coriander (Dhania) Leaves - finely chopped,1 cup Green Moong Sprouts - steamed,1 teaspoon Coriander Powder (Dhania),1/2 teaspoon Turmeric powder (Haldi),1 teaspoon Red Chilli powder,1 inch Cinnamon Stick (Dalchini),1 Kokum (Malabar Tamarind),2 tablespoons Jaggery - powdered,2 tablespoons Raw Peanuts (Moongphali),1 tablespoon Coriander (Dhania) Leaves - finely chopped,1/2 tablespoon Lemon juice,Salt - to taste,1/2 teaspoon Cumin seeds (Jeera),1/2 teaspoon Mustard seeds,2 Green Chillies - slit,1 sprig Curry leaves,1/4 teaspoon Asafoetida (hing),2 tablespoon Ghee</t>
  </si>
  <si>
    <t xml:space="preserve">To begin making the Dal Dhokli Recipe With Sprouted Moong Dal, we will first make the dal. To Make The DhokliIn a large mixing bowl, combine the wheat flour, gram flour, red chilli powder, turmeric powder, salt , and coriander leaves. Add water little by little and make a firm and smooth dough. Dust the dough in flour and roll out the dough into a large circle and cut the dough into desired shape (either into strips or into a flower using a cookie cutter).Keep the dhokli aside.To Make Dal DhokliInto a pressure cooker, add the sprouts, turmeric powder, salt, cinnamon stick, kokum , jaggery, salt and 2 cups of water.Close the pressure cooker and pressure cook for two whistles.Turn off the heat and allow the pressure to release naturally. Once we open the pressure cooker, add in the lemon juice and coriander leaves, check the salt and spices. Add 1 cup of water to the dal and then turn the heat back on to high heat until it come to brisk boil.Once the dal comes to a boil, add the dhokli into the dal and allow it to simmer and get cooked in the dal. This will not take more than 5 minutes to cook the dhokli. Adjust the consistency of the Dal Dhokli, by adding more water if required. In the meantime, in a tadka pan heat a tablespoon of ghee. Add the mustard seeds, cumin seeds and allow it to crackle. Once it crackles, add the green chilies, curry leaves and add to the add.Finally squeeze in the lemon and stir in the coriander leaves and serve. Serve the Dal Dhokli With Sprouted Moong Dal topped with melted ghee and Kachumber Salad, papad, for a simple sunday lunch.  
</t>
  </si>
  <si>
    <t>अंकुरित मूंग दाल के साथ दाल ढोकली रेसिपी बनाने के लिए सबसे पहले हम दाल बनाएंगे। ढोकली बनाने के लिए एक बड़े मिक्सिंग बाउल में गेहूं का आटा, बेसन, लाल मिर्च पाउडर, हल्दी पाउडर, नमक और धनिया पत्ती मिलाएं। थोड़ा-थोड़ा करके पानी डालें और सख्त और चिकना आटा गूंथ लें। आटे को आटे में लपेटें और आटे को एक बड़े गोले में बेल लें और आटे को मनचाहे आकार में काट लें (या तो स्ट्रिप्स में या कुकी कटर का उपयोग करके फूल के आकार में)। ढोकली को एक तरफ रख दें। दाल ढोकली बनाने के लिए एक प्रेशर कुकर में अंकुरित अनाज, हल्दी पाउडर, नमक, दालचीनी, कोकम, गुड़, नमक और 2 कप पानी डालें। प्रेशर कुकर को बंद करें और दो सीटी आने तक पकाएं। आंच बंद कर दें और प्रेशर को अपने आप निकलने दें। प्रेशर कुकर खोलने के बाद, इसमें नींबू का रस और धनिया पत्ती डालें, नमक और मसाले चैक करें। दाल में 1 कप पानी डालें और उबाल आने तक आँच को तेज़ कर दें। दाल में उबाल आने पर ढोकली को दाल में डालें और धीमी आँच पर पकने दें। ढोकली पकने में 5 मिनट से ज़्यादा समय नहीं लगेगा। ज़रूरत पड़ने पर और पानी डालकर दाल ढोकली का गाढ़ापन एडजस्ट करें। इस बीच एक तड़का पैन में एक बड़ा चम्मच घी गर्म करें। उसमें राई, जीरा डालें और चटकने दें। जब यह चटकने लगे तो हरी मिर्च, करी पत्ता डालें और मिलाएँ। अंत में नींबू निचोड़ें और धनिया पत्ती डालकर मिलाएँ और परोसें। अंकुरित मूंग दाल के साथ दाल ढोकली को पिघले हुए घी और कचुम्बर सलाद, पापड़ के साथ एक साधारण रविवार के दोपहर के भोजन के लिए परोसें।</t>
  </si>
  <si>
    <t>https://www.archanaskitchen.com/dal-dhokli-recipe-with-sprouted-moong-dal</t>
  </si>
  <si>
    <t>Oil Free Gujarati Undhiyu Recipe - No Onion No Garlic</t>
  </si>
  <si>
    <t>तेल रहित गुजराती उंधियू रेसिपी - बिना प्याज़ और लहसुन के</t>
  </si>
  <si>
    <t>1 कप बेसन - या हांडवा आटा मिश्रण, 1/2 कप मेथी की पत्तियां - कटी हुई, 1 बड़ा चम्मच लाल मिर्च पाउडर, 1 चम्मच हल्दी पाउडर, 1/2 चम्मच हींग, 1 चम्मच चीनी, 1 चुटकी खाना पकाने का सोडा, 1-1/2 कप धनिया की पत्तियां - कटी हुई, 2 चम्मच हरी मिर्च - बारीक कटी, 2 बड़े चम्मच सूखी हुई नारियल, 3 चम्मच लाल मिर्च पाउडर, 1-1/2 चम्मच हल्दी पाउडर (हल्दी), 4 चम्मच धनिया पाउडर (धनिया), 2 चम्मच गरम मसाला पाउडर, नमक - स्वाद के लिए, 2 चम्मच चीनी - (वैकल्पिक), 1 कप अवारेकालु / लिल्वा बीन्स - स्ट्रिंग, 1 कप टिंडोरा (डोंडाकाया / कोवक्कई) - कटा हुआ, 1 कप कच्चा केला - कटा हुआ, 1/2 कप हरी मटर (मटर), 1/2 कप पत्तागोभी (पत्ता गोभी/ मुत्तईकोसे) - कटा हुआ, 1/2 कप बैंगनी गोभी - कटा हुआ, 3 बैंगन - 4 स्लिट्स, धनिया (धनिया) पत्तियां - कुछ</t>
  </si>
  <si>
    <t>1 cup Gram flour (besan) - or handwa flour mix,1/2 cup Methi Leaves (Fenugreek Leaves) - chopped,1 tablespoon Red Chilli powder,1 teaspoon Turmeric powder (Haldi),1/2 teaspoon Asafoetida (hing),1 teaspoon Sugar,1 pinch Cooking soda,1-1/2 cups Coriander (Dhania) Leaves - chopped,2 teaspoons Green Chillies - finely chopped,2 tablespoons Dessicated Coconut,3 teaspoons Red Chilli powder,1-1/2 teaspoons Turmeric powder (Haldi),4 teaspoons Coriander Powder (Dhania),2 teaspoons Garam masala powder,Salt - to taste,2 teaspoons Sugar - (optional),1 cup Avarekalu / Lilva Beans - stringed,1 cup Tindora (Dondakaya/ Kovakkai) - sliced,1 cup Raw Banana - chopped,1/2 cup Green peas (Matar),1/2 cup Cabbage (Patta Gobi/ Muttaikose) - shredded,1/2 cup Purple cabbage - shredded,3 Brinjal (Baingan / Eggplant) - make 4 slits,Coriander (Dhania) Leaves - few</t>
  </si>
  <si>
    <t xml:space="preserve">To prepare Oil Free Gujarati Undhiyu Recipe (No Onion No Garlic), prep up with all the ingredients required and proceed with making muthiya.To make muthiya, mix all the ingredients - besan, fenugreek leaves, red chilli powder, turmeric powder, hing,  sugar, salt, soda along with some water required to make a stiff dough.Once the dough ahs come together, form small round dumpling of the size of muthiyas.Steam them in a preheated steamer for 10-15 minutes on medium-low heat, or until the dumplings are steamed. Keep aside.In a large bowl, mix all the ingredients of dry masala which include - coriander leaves, green chillies, coconut powder, red chilli powder, turmeric powder, coriander powder, garam masala, salt to taste, sugar and mix them well with a little water just enough to bind it. Fill this dry masala into the eggplants. Similarly, rub the same masala on to other vegetables except cabbage. Keep the veggies to marinate in the masala for 30 minutes.In a pressure cooker, add all the veggies - lilva, tindora, raw banana, and the green peas with a glass (240ml) of water and salt to taste. Pressure cook for 2 whistles and turn off the flame. Allow the pressure to release naturally. Bake cabbage in a preheated oven, at 375 degrees fahrenheit for 10 minutes or till done. You can steam it as well.Bake filled eggplants for about 10-15 minutes in oven at 375 degrees fahrenheit. Now take a large kadai or saucepan and add all the vegetables, except the eggplants  and mix well. Adjust water only if required.Add in the steamed muthia and eggplants and give a quick and careful mix. Garnish it with coriander leaves.Serve Gujarati Undhiyu along with Gujarati Puran Poli Recipe, Gujarati Kadhi Recipe - Sweet And Spicy Gujarati Kadhi and some steamed rice  and finish the meal with a dessert of Golpapdi Recipe.
</t>
  </si>
  <si>
    <t>तेल मुक्त गुजराती उंधियू रेसिपी (प्याज नहीं लहसुन) बनाने के लिए, आवश्यक सभी सामग्री के साथ तैयारी करें और मुठिया बनाना शुरू करें। मुठिया बनाने के लिए, सभी सामग्री - बेसन, मेथी के पत्ते, लाल मिर्च पाउडर, हल्दी पाउडर, हिंग, चीनी, नमक, सोडा को थोड़े पानी के साथ मिलाकर सख्त आटा गूंथ लें। जब आटा एक साथ आ जाए, तो मुठिया के आकार के छोटे गोल पकौड़े बना लें। इन्हें पहले से गरम स्टीमर में 10-15 मिनट के लिए मध्यम-धीमी आंच पर या पकौड़ों के पकने तक स्टीम करें। एक तरफ रख दें। एक बड़े कटोरे में सूखे मसाले की सभी सामग्री मिलाएं जिसमें शामिल हैं - धनिया पत्ती, हरी मिर्च, नारियल पाउडर, लाल मिर्च पाउडर, हल्दी पाउडर, धनिया पाउडर, गरम मसाला, स्वादानुसार नमक, चीनी सब्जियों को मसाले में 30 मिनट तक मैरीनेट होने के लिए रख दें। एक प्रेशर कुकर में सभी सब्जियां - लिलवा, टिंडोरा, कच्चा केला, और हरी मटर के साथ एक गिलास (240 मिली) पानी और स्वादानुसार नमक डालें। 2 सीटी आने तक प्रेशर कुक करें और आंच बंद कर दें। प्रेशर को अपने आप निकलने दें। गोभी को पहले से गरम ओवन में 375 डिग्री फारेनहाइट पर 10 मिनट या पकने तक बेक करें। आप इसे भाप में भी पका सकते हैं। भरे हुए बैंगन को ओवन में 375 डिग्री फारेनहाइट पर लगभग 10-15 मिनट तक बेक करें। अब एक बड़ी कड़ाही लें और उसमें बैंगन को छोड़कर सभी सब्जियां डालें और अच्छी तरह मिलाएँ। यदि आवश्यक हो तो ही पानी समायोजित करें। इसमें उबले हुए मुठिया और बैंगन डालें और जल्दी और सावधानी से मिलाएँ। इसे धनिया पत्ती से गार्निश करें। गुजराती उंधियू को गुजराती पूरन पोली रेसिपी, गुजराती कढ़ी रेसिपी - मीठी और मसालेदार गुजराती कढ़ी और कुछ उबले हुए चावल के साथ परोसें और गोलपापड़ी रेसिपी की मिठाई के साथ भोजन का समापन करें।</t>
  </si>
  <si>
    <t>http://www.archanaskitchen.com/oil-free-gujarati-undhiyu-recipe-no-onion-no-garlic</t>
  </si>
  <si>
    <t>Saragva Nu Shaak Recipe-Drumstick Masala Sabzi</t>
  </si>
  <si>
    <t>सरगवा नु शाक रेसिपी-ड्रमस्टिक मसाला सब्जी</t>
  </si>
  <si>
    <t>4 सहजन - 1-1/2 इंच के टुकड़ों में कटा हुआ, 1 चम्मच कलौंजी, 1 इंच अदरक - बारीक कटा हुआ, 1 टहनी करी पत्ता - मोटे तौर पर तोड़े हुए, 2 तेज पत्ते - मोटे तौर पर तोड़े हुए, 1 इंच दालचीनी - टूटी हुई, 3 टमाटर - बारीक कटा हुआ, 1/2 चम्मच हल्दी पाउडर, लाल मिर्च पाउडर - स्वादानुसार, 1 चम्मच धनिया पाउडर, 1/2 चम्मच जीरा, 1 बड़ा चम्मच गुड़, नमक - स्वादानुसार, 6 टहनी धनिया - बारीक कटा हुआ, 1 चम्मच सूरजमुखी का तेल</t>
  </si>
  <si>
    <t>4 Drumstick - cut into 1-1/2 inch size pieces,1 teaspoon Kalonji (Onion Nigella Seeds),1 inch Ginger - finely chopped,1 sprig Curry leaves - roughly torn,2 Bay leaves (tej patta) - roughly torn,1 inch Cinnamon Stick (Dalchini) - broken,3 Tomatoes - finely chopped,1/2 teaspoon Turmeric powder (Haldi),Red Chilli powder - to taste,1 teaspoon Coriander Powder (Dhania),1/2 teaspoon Cumin powder (Jeera),1 tablespoon Jaggery,Salt - to taste,6 sprig Coriander (Dhania) Leaves - finely chopped,1 teaspoon Sunflower Oil</t>
  </si>
  <si>
    <t xml:space="preserve">To make the Saragva Nu Shaak Recipe, we will first cook the drumsticks in a pressure cooker or a steamer.Heat the oil in a pressure cooker over medium heat; add the kalonji seeds, ginger curry leaves, bay leaves and cinnamon stick.Sauté for a few seconds and add the chopped tomatoes, turmeric powder, coriander powder, cumin powder, red chili powder, salt , jaggery and saute the tomatoes until they soften just a bit.Add the drumstick and 1/4 cup of water and cover the pressure cooker.Pressure cook the Saragva Nu Shaak for about 3 to 4 whistles and turn off the heat. Allow the pressure to release naturally.Once the pressure has released, open the cooker, give the Saragva Nu Shaak a stir.  Check the salt and spices and adjust to suit your taste. Stir in the chopped coriander leaves and transfer the Saragva nu Shaak to a serving bowl and serve hot.Serve the Saragva Nu Shaak along with Gujarati Dal or Gujarati Kadhi along with a hot Phulkas for lunch or dinner.
</t>
  </si>
  <si>
    <t>सरगवा नु शाक रेसिपी बनाने के लिए, हम सबसे पहले प्रेशर कुकर या स्टीमर में ड्रमस्टिक को पकाएंगे। मध्यम आंच पर प्रेशर कुकर में तेल गर्म करें; कलौंजी के बीज, अदरक करी पत्ते, तेज पत्ते और दालचीनी छड़ी जोड़ें। कुछ सेकंड के लिए भूनें और कटे हुए टमाटर, हल्दी पाउडर, धनिया पाउडर, जीरा पाउडर, लाल मिर्च पाउडर, नमक, गुड़ डालें और टमाटर को थोड़ा नरम होने तक भूनें। ड्रमस्टिक और 1/4 कप पानी डालें और प्रेशर कुकर को ढक दें। लगभग 3 से 4 सीटी के लिए सरगवा नु शाक को पकाएं और आंच बंद कर दें। दबाव को स्वाभाविक रूप से रिलीज होने दें। दबाव निकल जाने के बाद, कुकर खोलें और सरगवा नु शाक को हिलाएं। नमक और मसालों की जांच करें और अपने स्वाद के अनुसार समायोजित करें। कटी हुई धनिया पत्ती डालकर हिलाएं और सरगवा नू शाक को एक सर्विंग बाउल में डालें और गरमागरम परोसें। सरगवा नू शाक को गुजराती दाल या गुजराती कढ़ी के साथ गरम फुल्के के साथ लंच या डिनर में परोसें।</t>
  </si>
  <si>
    <t>http://www.archanaskitchen.com/saragvo-nu-shaak-recipe-drumstick-masala-sabzi</t>
  </si>
  <si>
    <t>Chiba Dhokli Recipe</t>
  </si>
  <si>
    <t>चिबा ढोकली रेसिपी - चिबा ढोकली रेसिपी</t>
  </si>
  <si>
    <t>1/2 कप बेसन, 1 छोटा चम्मच हरी मिर्च, 2 छोटे चम्मच कसूरी मेथी, 1/2 छोटा चमच्च हींग, हल्दी पाउडर - पिंच भर, 2 छोटे चम्मच चम्मच, 7 नमक - स्वाद, 1 छोटा चम्मच निम्बू का रस, 1 छोटा चम्मच तेल, 2 छोटे चम्मच तेल, 2 छोटे चम्मच दालचीनी, 2 छोटे चम्मच चम्मच, अचार का मसाला</t>
  </si>
  <si>
    <t>1/2 cup gram flour, 1 teaspoon green chili, 2 teaspoons kasuri methi, 1/2 teaspoon asafoetida, turmeric powder - a pinch, 2 teaspoons caster sugar, 7 salt - according to taste, 1 teaspoon lemon juice, 1 teaspoon oil, 2 teaspoons oil, 2 teaspoons mustard, 2 teaspoons sesame (white), pickle masala</t>
  </si>
  <si>
    <t>To make Chiba Dhokli recipe, first sieve the gram flour properly. Heat a saucepan and add water to it. Let the water boil. In a bowl, add gram flour, green chillies, fenugreek leaves, asafoetida, turmeric powder, caster sugar, lemon juice and some water and mix well. Now take a plate of the size of the saucepan. Pour this gram flour mixture in this plate and spread it. Place this plate on top of the saucepan. Let it cook for 4 to 5 minutes. Once the dhokli is cooked, keep it aside to cool. After cooling, apply some oil and cut it straight with the help of a knife and take it out in a plate. Now for tempering, heat oil in a tempering pan. Add mustard seeds and sesame seeds to it and let it cook for 10 seconds. Pour this tempering over the dhokli and serve. Serve Chiba Dhokli recipe with masala tea for evening snack.</t>
  </si>
  <si>
    <t xml:space="preserve">चिबा डोलकली रेसिपी बनाने के लिए सबसे पहले बेसन को अच्छी तरह से गुड ले. एक सॉसपैन को गर्म करें और उसमें पानी डाल दें। पानी को भरने दे.एक बाउल में बेसन, हरी मिर्च, कसूरी मेथी, हींग, हल्दी पाउडर, कास्टर पाउडर, निम्बू का रस और थोड़ा सा पानी का मिश्रण अच्छी तरह से मिला ले. अब सॉसपैन के नैप की एक प्लेट ले. यह बेसन का मिश्रण इस प्लेट में डाला और फैलाया गया। इस प्लेट को सॉसपैन के ऊपर रखें। 4 से 5 मिनट तक मसाला दे. ढोलकली के पक जाने के बाद इसे ठंडा होने के लिए अलग से रख लीजिये. ठंडा होने के बाद थोड़ा तेल प्लांट और चाकू की मदद से सीधा कट ले और एक प्लेट में निकाला हुआ ले। अब ठंडा होने के लिए एक तड़का पैन में तेल गरम करें। इसमें राइज और तिल डाले और 10 सेकंड तक मसाला दे। इस प्रयोगशाला को ढोलकली पर स्थापित और प्रदर्शित किया गया। चिबा ढोलकली रेसिपी को मसाला चाय के साथ शाम के लिए पेश करें।
</t>
  </si>
  <si>
    <t>http://www.archanaskitchen.com/chiba-dhokli-recipe-gujarati-snack-with-besan-in-hindi</t>
  </si>
  <si>
    <t>Golpapdi Recipe | Gur Papdi | Sukhdi recipe | Gujarati Gol Papdi</t>
  </si>
  <si>
    <t>गोलपापड़ी रेसिपी | गुड़ पापड़ी | सुखड़ी रेसिपी | गुजराती गोल पापड़ी</t>
  </si>
  <si>
    <t>1 कप गेहूं का आटा, 1/4 कप घी, 1/2 कप गुड़ - पाउडर / कसा हुआ, 1 चम्मच इलायची पाउडर (इलायची) - ताजा पीसा हुआ, 1 चम्मच सूखा अदरक पाउडर, 2 बड़े चम्मच सूखा नारियल, 1/4 कप बादाम (बादाम) - बारीक कटा हुआ</t>
  </si>
  <si>
    <t>1 cup Whole Wheat Flour,1/4 cup Ghee,1/2 cup Jaggery - powdered/ grated,1 teaspoon Cardamom Powder (Elaichi) - freshly ground,1 teaspoon Dry ginger powder,2 tablespoons Dessicated Coconut,1/4 cup Badam (Almond) - fine sliced</t>
  </si>
  <si>
    <t xml:space="preserve">To begin making the Golpapdi Recipe (Gol Papdi/ Sukhdi), melt the ghee in a frying pan and add the wheat flour and cardamom powder and ginger stirring constantly till it turns golden brown and releases the roasted aroma. This process takes about 10 minutes on medium heat. Ensure the heat is not on high as it will burn the wheat flour too quickly.Once the wheat flour has turned a good brown color, turn off the heat and quickly add the jaggery and stir well, so the jaggery melts quickly in the heat into the wheat flour.Note: The addition of jaggery to the wheat flour mixture is a tricky procedure. The whole mixture can get brittle and gooey. So use caution, and turn off heat just before adding jaggery.As soon as the jaggery melts, and the mixture is still warm, pour the mixture into a greased baking sheet and spread it evenly with a 3/4th inch thickness.Sprinkle the sliced almonds and coconut and cut into diamond/square shapes while it is still warm. Set the Golpapdi / Gur Papdi / Sukhdi aside and allow it to sit untouched, you can also refrigerate it for it to set faster. After about an hour, once the it has cooled, you will find that the crisp Golpapdi is ready.Store the Golpapdi / Gur Papdi / Sukhdi in airtight containers for about 2 weeks in the refrigerator for maximum freshness.Serve the Golpapdi Recipe / Gur Papdi / Sukhdi as a delicious Tea Time Snack or After School Snacks. 
</t>
  </si>
  <si>
    <t>गोल पापड़ी रेसिपी (गोल पापड़ी/ सुखदी) बनाना शुरू करने के लिए, एक फ्राइंग पैन में घी पिघलाएं और उसमें गेहूं का आटा, इलायची पाउडर और अदरक डालें, लगातार चलाते रहें जब तक कि यह सुनहरा भूरा न हो जाए और भुने हुए सुगंध न आने लगे। इस प्रक्रिया में मध्यम आंच पर लगभग 10 मिनट लगते हैं। सुनिश्चित करें कि आंच तेज न हो क्योंकि इससे गेहूं का आटा बहुत जल्दी जल जाएगा। जब गेहूं का आटा अच्छे से भूरा हो जाए, तो आंच बंद कर दें और जल्दी से गुड़ डालें और अच्छी तरह से हिलाएं, ताकि गुड़ गर्मी में जल्दी से गेहूं के आटे में पिघल जाए। नोट: गेहूं के आटे के मिश्रण में गुड़ मिलाना एक मुश्किल प्रक्रिया है। पूरा मिश्रण भंगुर और चिपचिपा हो सकता है। इसलिए सावधानी बरतें और गुड़ डालने से ठीक पहले आंच बंद कर दें। जैसे ही गुड़ पिघल जाए और मिश्रण अभी भी गर्म हो, मिश्रण को एक चिकनी की हुई बेकिंग शीट पर डालें और इसे समान रूप से 3/4 इंच की मोटाई में फैला दें। कटे हुए बादाम और नारियल छिड़कें और गर्म रहते हुए हीरे/चौकोर आकार में काट लें। गोलपापड़ी / गुड़ पापड़ी / सुखड़ी को एक तरफ रख दें और इसे बिना छुए ही रहने दें, आप इसे तेजी से सेट करने के लिए फ्रिज में भी रख सकते हैं। लगभग एक घंटे के बाद, जब यह ठंडा हो जाए, तो आप पाएंगे कि कुरकुरी गोलपापड़ी तैयार है। अधिकतम ताजगी के लिए गोलपापड़ी / गुड़ पापड़ी / सुखड़ी को एयरटाइट कंटेनर में लगभग 2 सप्ताह के लिए फ्रिज में स्टोर करें। गोलपापड़ी रेसिपी / गुड़ पापड़ी / सुखड़ी को स्वादिष्ट चाय के समय के नाश्ते या स्कूल के बाद के नाश्ते के रूप में परोसें।</t>
  </si>
  <si>
    <t>http://www.archanaskitchen.com/golpapdi-recipe-a-traditional-gujarati-indian-sweet</t>
  </si>
  <si>
    <t>Green Chutney Rava Dhokla Recipe - Sooji Dhokla</t>
  </si>
  <si>
    <t>हरी चटनी रवा ढोकला रेसिपी - सूजी ढोकला</t>
  </si>
  <si>
    <t>1/4 कप हरी चटनी (धनिया और पुदीना), 1 कप सूजी, 1/4 कप दही, 1 बड़ा चम्मच सूरजमुखी तेल, नमक - स्वादानुसार, 1 छोटा चम्मच इनोस फ्रूट सॉल्ट, धनिया पत्ती - गार्निश करने के लिए, 1 छोटा चम्मच सूरजमुखी तेल, 1/2 छोटा चम्मच सरसों के बीज, 1/2 छोटा चम्मच जीरा, 1 चुटकी हींग, 1/2 छोटा चम्मच तिल, 1 टहनी करी पत्ता</t>
  </si>
  <si>
    <t>1/4 cup Green Chutney (Coriander &amp; Mint),1 cup Sooji (Semolina/ Rava),1/4 cup Curd (Dahi / Yogurt),1 tablespoon Sunflower Oil,Salt - to taste,1 teaspoon Enos fruit salt,Coriander (Dhania) Leaves - to garnish,1 teaspoon Sunflower Oil,1/2 teaspoon Mustard seeds,1/2 teaspoon Cumin seeds (Jeera),1 pinch Asafoetida (hing),1/2 teaspoon Sesame seeds (Til seeds),1 sprig Curry leaves</t>
  </si>
  <si>
    <t>North Indian Breakfast</t>
  </si>
  <si>
    <t xml:space="preserve">To begin making the Green Chutney Rava Dhokla Recipe keep the green chutney ready. To make the green chutney, follow this recipe - Green Chutney Recipe - Coriander Mint Chutney Recipe. In a mixing bowl, combine the sooji, green chutney, curd, cooking oil and salt to taste.Mix vigorously and allow it to sit for a good 30 minutes. After the 30 minutes you will see the sooji has fluffed up well. Add a little water if required to make a thick dhokla batter.Preheat the steamer with water and keep it ready.Grease a dhokla plate generously with oil. Add eno's fruit salt and give it a good mixPour the Green Chutney Rava Dhokla batter into the grease dhokla plate.Now place the plate in the steamer, cover and steam the Green Chutney Rava Dhokla for 10-12 minutes until firm. Open the lid, insert a greased knife to check if its done. If the greased knife comes out clean the dhokla is steamed. De-mould and transfer to a serving plate. To make the tadka for the Green Chutney Rava Dhokla RecipeIn a tadka pan, heat oil on medium high flame, add the mustard seeds and allow them to crackle, next add the asafoetida, cumin seeds, sesame seeds, and curry leaves. Once the curry leaves crackle, turn off the flame. Pour this tadka over the Green Chutney Rava Dhokla along with coriander leaves and serve. Serve this Green Chutney Rava Dhokla Recipe as is with a cup of Adrak Chai Recipe - Indian Style Ginger Tea. You could also serve Green Chutney Rava Dhokla Recipe as breakfast along with Tomato Garlic Chutney Recipe, a side of fresh cut fruits and Cocoa Banana Almond Date Smoothie Recipe. 
</t>
  </si>
  <si>
    <t>हरी चटनी रवा ढोकला रेसिपी बनाने के लिए हरी चटनी तैयार रखें। हरी चटनी बनाने के लिए, इस रेसिपी का पालन करें - हरी चटनी रेसिपी - धनिया पुदीना चटनी रेसिपी। एक मिक्सिंग बाउल में सूजी, हरी चटनी, दही, खाना पकाने का तेल और स्वादानुसार नमक मिलाएं। अच्छी तरह मिलाएं और इसे 30 मिनट तक बैठने दें। 30 मिनट के बाद आप देखेंगे कि सूजी अच्छी तरह से फूल गई है। गाढ़ा ढोकला बैटर बनाने के लिए यदि आवश्यक हो तो थोड़ा पानी डालें। स्टीमर को पानी से पहले से गरम करें और इसे तैयार रखें। एक ढोकला प्लेट को तेल से चिकना करें। इसमें ईनो फ्रूट सॉल्ट डालें और इसे अच्छे से मिलाएँ। हरी चटनी रवा ढोकला बैटर को ग्रीस की हुई ढोकला प्लेट में डालें। ढक्कन खोलें, एक चिकना चाकू डालकर देखें कि यह पक गया है या नहीं। अगर चिकना चाकू साफ बाहर आता है तो ढोकला भाप से पक गया है। मोल्ड से निकालें और एक सर्विंग प्लेट में निकाल लें। हरी चटनी रवा ढोकला रेसिपी के लिए तड़का लगाने के लिए एक तड़का पैन में मध्यम आंच पर तेल गर्म करें, उसमें राई डालें और उन्हें चटकने दें, इसके बाद हींग, जीरा, तिल और करी पत्ता डालें। जब करी पत्ता चटकने लगे तो आंच बंद कर दें। इस तड़के को हरी चटनी रवा ढोकला के ऊपर धनिया पत्ती के साथ डालें और परोसें। इस हरी चटनी रवा ढोकला रेसिपी को एक कप अदरक की चाय के साथ परोसें। आप हरी चटनी रवा ढोकला रेसिपी को टमाटर लहसुन की चटनी, ताजे कटे फलों और कोको केला बादाम खजूर स्मूदी के साथ नाश्ते में भी परोस सकते हैं।</t>
  </si>
  <si>
    <t>http://www.archanaskitchen.com/green-chutney-rava-dhokla-recipe-sooji-dhokla</t>
  </si>
  <si>
    <t>Stuffed Mango Pickle Recipe - Gujarati Dabla Keri Nu Athanu</t>
  </si>
  <si>
    <t>भरवां आम का अचार रेसिपी - गुजराती डाबला केरी नु अथानु</t>
  </si>
  <si>
    <t>10 कच्चे आम - मध्यम आकार के, 150 ग्राम मेथी के बीज, 150 ग्राम लाल मिर्च पाउडर, नमक - स्वादानुसार (मैंने 150 ग्राम इस्तेमाल किया), 2 बड़े चम्मच मूंगफली का तेल, 1 छोटा चम्मच हींग - (मैंने अचार वाली हींग इस्तेमाल की), 300 ग्राम मूंगफली का तेल</t>
  </si>
  <si>
    <t>10 Mango (Raw) - medium sized,150 grams Methi Seeds (Fenugreek Seeds),150 grams Red Chilli powder,Salt - to taste (I used 150 grams),2 tablespoons Peanut oil,1 teaspoon Asafoetida (hing) - (I used pickle asafoetida),300 grams Peanut oil</t>
  </si>
  <si>
    <t xml:space="preserve">To prepare this easy and long staying Gujarati Dabla Keri Nu Athanu/ Whole Stuffed Mango Pickle Recipe, get all the ingredients handy and wash the mango and pat them dry completely.In a bowl, mix all the spices along with salt and keep it aside.Take a pan, heat oil and add asafoetida. Let it cool completely.Pour in 2 tablespoons of oil with the prepared pickle masala and give it a nice stir.Prepare the mangoes by giving a vertical slit to remove the stone within and slit perpendicularly, keeping the base of the mango intact.Start stuffing all the mangoes with pickle masala by gently pressing the masala within to leave no air gap inside. Take care to keep the mangoes intact during the whole process of stuffing.Transfer thus filled raw mangoes in a glass jar, closing the lid tightly and keep without disturbing for 24 hours.After a day, heat 300 grams oil in a pan and cool it completely. Pour oil into the bottle such that the pickle masala stuffed mangoes are submerged.Relish Whole Stuffed Mango Pickle Recipe with a clean spoon every time, with hot khichdi or a hearty Gujarati thali for lunch.
</t>
  </si>
  <si>
    <t>इस आसान और लंबे समय तक रहने वाले गुजराती डबला केरी नू अथानू / पूरे भरवां आम का अचार बनाने की विधि, सभी सामग्री को तैयार करें और आम को धो लें और उन्हें अच्छी तरह से सुखा लें। एक कटोरे में, नमक के साथ सभी मसाले मिलाएं और इसे एक तरफ रख दें। एक पैन लें, तेल गरम करें और हींग डालें। इसे पूरी तरह से ठंडा होने दें। तैयार अचार के मसाले में 2 बड़े चम्मच तेल डालें और इसे अच्छी तरह से हिलाएं। आमों को तैयार करने के लिए अंदर की गुठली निकालने के लिए एक लंबवत भट्ठा देकर आमों को तैयार करें और आम के आधार को बरकरार रखते हुए लंबवत चीरा लगाएं। मसाले को धीरे से दबाकर सभी आमों को अचार के मसाले से भरना शुरू करें ताकि अंदर कोई हवा न रहे। भराई की पूरी प्रक्रिया के दौरान आमों को बरकरार रखने का ध्यान रखें। बोतल में तेल इस तरह डालें कि अचार मसाला भरवां आम उसमें डूब जाए। पूरे भरवां आम का अचार रेसिपी को हर बार साफ चम्मच से, गरम खिचड़ी या दोपहर के भोजन के लिए एक हार्दिक गुजराती थाली के साथ खाएँ।</t>
  </si>
  <si>
    <t>https://www.archanaskitchen.com/whole-stuffed-mango-pickle-recipe-guajarati-dabla-kairi-nu-athanu</t>
  </si>
  <si>
    <t>Gujarati Vaghareli Mag Recipe - Whole Green Moong Dal Sabzi Recipe</t>
  </si>
  <si>
    <t>गुजराती वाघरेली मैग रेसिपी - साबुत हरी मूंग दाल सब्जी रेसिपी</t>
  </si>
  <si>
    <t>1 कप हरी मूंग दाल (साबुत) - रातभर भिगोई हुई, 1 छोटा चम्मच जीरा, 1 टहनी करी पत्ता - तोड़ा हुआ, 2 इंच अदरक - बारीक कटा हुआ, 1 हरी मिर्च - बारीक कटी हुई या कटी हुई, 1/2 छोटा चम्मच हल्दी पाउडर, 1 नींबू - रस निकाला हुआ, 6 टहनी धनिया - बारीक कटा हुआ, 1 छोटा चम्मच सूरजमुखी तेल, 1 छोटा चम्मच नमक - या स्वादानुसार</t>
  </si>
  <si>
    <t>1 cup Green Moong Dal (Whole) - soaked overnight,1 teaspoon Cumin seeds (Jeera),1 sprig Curry leaves - torn,2 inch Ginger - finely chopped,1 Green Chillies - finely chopped or slit,1/2 teaspoon Turmeric powder (Haldi),1 Lemon - juice extracted,6 sprig Coriander (Dhania) Leaves - finely chopped,1 teaspoon Sunflower Oil,1 teaspoon Salt - or to taste</t>
  </si>
  <si>
    <t xml:space="preserve">To begin making the Jain Style Whole Green Moong Dal Sabzi or Vagharela Mag, soak the moong dal overnight for about 6-7 hours.Once soaked, cook the moong dal along with salt and with 1 of water including the water that it was soaked in. Pressure cook for 3-4 whistles and turn off the heat. Allow the pressure to release naturally, ensuring the moong dal is soft, tender and still remains grainy but not mushy. Heat oil in a pan on medium heat; add the cumin seeds and allow them to crackle. Stir in the green chillies, curry leaves ginger and turmeric powder, sauté for a few seconds. Add the cooked moong dal and stir gently to combine all the ingredients.Taste and adjust the salt to suit your taste.Cover Whole Green Moong Dal Sabzi / Vagharela Mag with a light fitting lid and simmer for 4 to 5 minutes until tender and all the ingredients are well combined.Finally squeeze the lemon juice, add the coriander leaves and give the Vagharela Mag a gentle stir. Turn off the heat and serve warm.Serve Jain Style Whole Green Moong Dal Sabzi Recipe / Vagharela Mag with hot Tawa Parathas make a rich, wholesome and nutritious breakfast. Serve Jain Style Whole Green Moong Dal Sabzi for lunch along with Pudina Lahsun Laccha Paratha, Gujarati Wadi Pulao Recipe, Boondi Raita. 
</t>
  </si>
  <si>
    <t>जैन स्टाइल साबुत हरी मूंग दाल सब्ज़ी या वघरेला मग बनाना शुरू करने के लिए, मूंग दाल को रात भर लगभग 6-7 घंटे के लिए भिगोएँ। भिगोने के बाद, मूंग दाल को नमक और 1/2 कप पानी के साथ पकाएँ, जिसमें भिगोया हुआ पानी भी शामिल है। 3-4 सीटी आने तक प्रेशर कुक करें और आँच बंद कर दें। प्रेशर को स्वाभाविक रूप से निकलने दें, सुनिश्चित करें कि मूंग दाल नरम, कोमल हो और अभी भी दानेदार हो लेकिन गूदेदार न हो। मध्यम आँच पर एक पैन में तेल गरम करें, उसमें जीरा डालें और उन्हें चटकने दें। हरी मिर्च, करी पत्ता, अदरक और हल्दी पाउडर डालकर कुछ सेकंड के लिए भूनें। पकी हुई मूंग दाल डालें और सभी सामग्री को मिलाने के लिए धीरे से हिलाएं। स्वाद लें और अपने स्वाद के अनुसार नमक को समायोजित करें। साबुत हरी मूंग दाल सब्ज़ी / वघरेला मैग को एक हल्के फिटिंग वाले ढक्कन से ढक दें और 4 से 5 मिनट तक उबालें जब तक कि यह नरम न हो जाए और सभी सामग्री अच्छी तरह से मिल न जाए। अंत में नींबू का रस निचोड़ें, धनिया पत्ती डालें और वघरेला मैग को धीरे से हिलाएं। आँच बंद करें और गर्म परोसें। जैन स्टाइल साबुत हरी मूंग दाल सब्ज़ी रेसिपी / वघरेला मैग को गर्म तवा पराठों के साथ परोसें, यह एक समृद्ध, पौष्टिक और पौष्टिक नाश्ता है। जैन स्टाइल साबुत हरी मूंग दाल सब्ज़ी को दोपहर के भोजन के साथ पुदीना लहसुन लच्छा पराठा, गुजराती वड़ी पुलाव रेसिपी, बूंदी रायता के साथ परोसें।</t>
  </si>
  <si>
    <t>http://www.archanaskitchen.com/jain-style-whole-green-moong-dal-subzi-recipe-gujarati-vaghareli-mag</t>
  </si>
  <si>
    <t>Gujarati Adadiya Ladwa Recipe - Urad Dal Halwa with Nuts &amp; Spices</t>
  </si>
  <si>
    <t>गुजराती अड़दिया लाडवा रेसिपी - मेवे और मसालों के साथ उड़द दाल का हलवा</t>
  </si>
  <si>
    <t>2 कप उड़द दाल का आटा - दरदरा पिसा हुआ, 2 कप घी - + 1/4 कप घी, 1/2 कप दूध - गुनगुना, 1 कप चीनी, 1-3/4 कप मावा - चूर्ण किया हुआ, 2 बड़े चम्मच गोंद - घी में भून कर चूर्ण किया हुआ, 1/4 कप किशमिश - कटी हुई, 1/3 कप काजू - कटे हुए, 1/2 कप बादाम - कटे हुए, 2 बड़े चम्मच पिस्ते - कटे हुए, 4 बड़े चम्मच सोंठ पाउडर, 2 बड़े चम्मच इलायची पाउडर, 2 बड़े चम्मच दालचीनी पाउडर, 2 बड़े चम्मच लौंग - पीसी हुई, 1-1/2 बड़ा चम्मच काली मिर्च पाउडर, 1 1/2 बड़ा चम्मच पीपरामूल पाउडर (गन्थोड़ा), 2 बादाम - कटे हुए या गार्निश के लिए पिस्ते भी चलेंगे</t>
  </si>
  <si>
    <t>2 cups Urad Dal Flour - coarsely ground to a flour,2 cups Ghee - + 1/4 cup ghee,1/2 cup Milk - lukewarm,1 cup Sugar,1-3/4 cups Khoya (Mawa) - crumbled,2 tablespoon Gond (natural gum) - shallow fried in ghee and crushed,1/4 cup Raisins - chopped,1/3 cup Cashew nuts - chopped,1/2 cup Badam (Almond) - chopped,2 tablespoons Pistachios - chopped,4 tablespoons Dry ginger powder,2 tablespoons Cardamom Powder (Elaichi),2 tablespoons Cinnamon Powder (Dalchini),2 tablespoons Cloves (Laung) - powdered,1-1/2 tablespoon Black pepper powder,1 1/2 tablespoon Peepramul powder (ganthoda),2 Badam (Almond) - sliced or pistachois will also do for garnishing</t>
  </si>
  <si>
    <t xml:space="preserve">To begin making the Gujarati Adadiya Ladwa Recipe, sieve the flour in a broad flat dish. Sprinkle the lukewarm milk and ghee over the flour a little at a time.With gentle palm pressure of both hands, combine the flour along with the ghee and milk until well combined. The mixture should be such that it should form a lump when you hold it firmly with closed fist.This entire procedure which is called ‘Drabo Devo’ would take about 8 to 10 minutes. Cover it and keep it in a warm place for at least 3 hours. The purpose of this is to let the flour bind well together.After 3 hours have passed, gently crumble the mixture and then sieve it in a medium sized sieve. If you don't have a sieve crumble it between your palms until the mixture feels like coarse crumbs. Keep aside.In a sauce pan add 1 cup of water and prepare sugar syrup of less than 1 thread consistency and keep aside. The purpose of preparing the syrup first is that it cools down before you finally pour it over the hot Adadiya Ladwa mixture.Heat a heavy bottomed sauce pan; add the Adadiya Ladwa crumb mixture and saute on medium heat for about 5 minutes. Stir in the crumbled khoya and continue to saute on low heat. Gradually add a little ghee at a time and keep stirring the mixture until you get a roasted aroma. The mixture you have turned a light golden brown.At this stage add in the chopped nuts, raisins and continue to keep stirring. You will notice that that ghee begins to leave the sides of the pan. Add the crushed edible gum and sauté on low or medium flame till it turns golden brown. Finally add the almonds, pistachios and the rest of the spice powders. Stir all ingredients until well combined and turn off the heat. After about a minute, stir in the sugar syrup to the above ladva mixture.Spread the mixture into a flat dish and allow it to cool completely ( 8 - 10 hours or overnight). After it has cooled completely, stir the mixture once again and check if you need any more additions to suit your taste. Shape the ladva mixture into balls or a desired shape. Garnish with finely sliced badam and pistachios.You can store the Gujarati Adadiya Ladwa for upto a month in the refrigerator in an airtight container. Serve the Gujarati Adadiya Ladwa as warm Dessert for the winter months along with a warm glass if milk.Serve it after a meal of Gujarati Dal Recipe - Sweet Tangy and Spicy Dal, Steamed Rice, Gujarati Kobi Marcha No Sambharo Recipe,  Phulka
</t>
  </si>
  <si>
    <t>गुजराती अडाडिया लाडवा रेसिपी बनाने के लिए, एक चौड़े चपटे बर्तन में मैदा छान लें। मैदा पर गुनगुना दूध और घी थोड़ा-थोड़ा करके छिड़कते रहें। दोनों हाथों से हल्के हाथों से दबाव डालते हुए, मैदा, घी और दूध को अच्छी तरह मिलाएँ। मिश्रण ऐसा होना चाहिए कि जब आप इसे बंद मुट्ठी से मजबूती से पकड़ें तो यह गांठ जैसा दिखे। इस पूरी प्रक्रिया को 'द्राबो देवो' कहा जाता है, इसमें लगभग 8 से 10 मिनट का समय लगता है। इसे ढककर कम से कम 3 घंटे के लिए किसी गर्म जगह पर रख दें। इसका उद्देश्य मैदा को अच्छी तरह से बांधना है। 3 घंटे बीत जाने के बाद, मिश्रण को धीरे से मसल लें और फिर इसे एक मध्यम आकार की छलनी में छान लें। अगर आपके पास छलनी नहीं है, तो इसे अपनी हथेलियों के बीच मसलते रहें जब तक कि मिश्रण मोटे टुकड़ों जैसा न लगने लगे। एक तरफ रख दें। एक सॉस पैन में 1 कप पानी डालें और 1 तार से कम की चाशनी तैयार करें और एक तरफ रख दें। पहले चाशनी तैयार करने का उद्देश्य यह है कि यह ठंडी हो जाए, उसके बाद आप इसे गरम अडाडिया लाडवा मिश्रण पर डालें। एक भारी तले की सॉस पैन गरम करें; अडाडिया लाडवा टुकड़ों वाला मिश्रण डालें और मध्यम आँच पर लगभग 5 मिनट तक भूनें। चूरा किया हुआ खोवा डालकर चलाएँ और धीमी आँच पर भूनना जारी रखें। धीरे-धीरे एक बार में थोड़ा घी डालें और मिश्रण को तब तक चलाते रहें जब तक आपको भुने हुए की सुगंध न आ जाए। मिश्रण हल्का सुनहरा भूरा हो गया है। इस स्तर पर कटे हुए मेवे, किशमिश डालें और लगातार चलाते रहें। आप देखेंगे कि घी पैन के किनारों से निकलने लगा है। कुचला हुआ गोंद डालें और धीमी या मध्यम आँच पर सुनहरा भूरा होने तक भूनें। अंत में बादाम, पिस्ता और बाकी मसाले पाउडर डालें पूरी तरह से ठंडा होने के बाद, मिश्रण को एक बार फिर से चलाएँ और जाँच लें कि आपको अपने स्वाद के अनुसार कुछ और मिलाने की ज़रूरत है या नहीं। लाडवे के मिश्रण को बॉल या मनचाहा आकार दें। बारीक कटे हुए बादाम और पिस्ते से सजाएँ। आप गुजराती अडाडिया लाडवा को एक एयरटाइट कंटेनर में रेफ्रिजरेटर में एक महीने तक स्टोर कर सकते हैं। गुजराती अडाडिया लाडवा को सर्दियों के महीनों में गर्म मिठाई के रूप में एक गिलास गर्म दूध के साथ परोसें। इसे गुजराती दाल रेसिपी - मीठी तीखी और तीखी दाल, स्टीम्ड राइस, गुजराती कोबी मार्चा नो संभारो रेसिपी, फुल्का के खाने के बाद परोसें।</t>
  </si>
  <si>
    <t>https://www.archanaskitchen.com/adadiya-ladwa-recipe-urad-dal-halwa-with-nuts-spices</t>
  </si>
  <si>
    <t>Kesar Shrikhand Recipe - Greek Yogurt Pudding With Saffron</t>
  </si>
  <si>
    <t>केसर श्रीखंड रेसिपी - केसर के साथ ग्रीक योगर्ट पुडिंग</t>
  </si>
  <si>
    <t>2 कप हंग कर्ड (ग्रीक योगर्ट) - (अधिमानतः कम वसा वाला), 1 कप कैस्टर शुगर, 1 चम्मच इलायची पाउडर (इलायची), 6 केसर के रेशे, 1/4 कप पिस्ता - कटे हुए या बादाम भी चलेंगे, 1 कप ताजे फल - अपनी पसंद के अनुसार</t>
  </si>
  <si>
    <t>2 cups Hung Curd (Greek Yogurt) - (use low fat preferably),1 cup Caster Sugar,1 teaspoon Cardamom Powder (Elaichi),6 Saffron strands,1/4 cup Pistachios - sliced  or almonds will also do,1 cup Fresh fruits - of your choice</t>
  </si>
  <si>
    <t xml:space="preserve">To begin making the Kesar Shrikhand Recipe, pour the yogurt into a cloth sieve or a sieve which has the tiniest of the holes.Take a large enough container where the rim of the sieve will sit on the mouth of the container. Place the sieve with yogurt to sit on the container.Place this container along with the yogurt in the fridge for 5-6 hours or overnight. Doing this strains all the water from the yogurt into the container below and makes the yogurt thick and creamy. The yogurt does not get sour as it is kept refrigerated.Remove the fully strained whey free yogurt from the fridge and discard collected the whey.Place another large clean container where the sieve can sit on. With the yogurt still on sieve; rub the saffron into the yogurt with the tips of your fingers until the color and flavor of the saffron get into the yogurt.Add the sugar to the yogurt sitting on the sieve. Now using a large flat spoon; briskly mix the yogurt mixture such that all the ingredients strain out through the sieve into the container below, making the yogurt smooth and well blended with the sugar. With the yogurt mixture in the large container now; add the cardamom powder and whisk it well until well blended. Stir in the nuts and refrigerate well for 5-6 hours before serving.Serve the Kesar Shrikhand topped with nuts, fruits like pomegranate, sliced green grapes, chopped mangoes and many more to enhance the taste and making it rich and festive. It makes a great dessert for parties when you cook an Indian menu.
</t>
  </si>
  <si>
    <t>केसर श्रीखंड रेसिपी बनाने के लिए सबसे पहले दही को कपड़े की छलनी या ऐसी छलनी में डालें जिसमें बहुत छोटा छेद हो। एक बड़ा बर्तन लें जिसमें छलनी का किनारा बर्तन के मुँह पर आ जाए। दही वाली छलनी को बर्तन के ऊपर रख दें। इस बर्तन को दही के साथ 5-6 घंटे या पूरी रात के लिए फ्रिज में रख दें। ऐसा करने से दही का सारा पानी नीचे वाले बर्तन में चला जाएगा और दही गाढ़ा और मलाईदार हो जाएगा। फ्रिज में रखने से दही खट्टा नहीं होता। पूरी तरह से छानी हुई छाछ रहित दही को फ्रिज से निकालें और इकट्ठा हुआ छाछ फेंक दें। एक और बड़ा साफ बर्तन रखें जहाँ छलनी बैठ सके। दही को छलनी पर ही रखते हुए, केसर को अपनी उँगलियों के पोरों से दही में तब तक रगड़ें जब तक केसर का रंग और स्वाद दही में न मिल जाए दही के मिश्रण को इस तरह तेजी से मिलाएँ कि सारी सामग्री छलनी से छानकर नीचे रखे बर्तन में चली जाए, जिससे दही मुलायम हो जाए और चीनी के साथ अच्छी तरह मिल जाए। अब बड़े बर्तन में दही का मिश्रण होने पर, इलायची पाउडर डालें और अच्छी तरह से मिल जाने तक फेंटें। मेवे डालकर अच्छी तरह मिलाएँ और परोसने से पहले 5-6 घंटे के लिए फ्रिज में रख दें। केसर श्रीखंड को मेवे, अनार जैसे फल, कटे हुए हरे अंगूर, कटे हुए आम और कई अन्य चीज़ों के साथ परोसें, इससे इसका स्वाद बढ़ेगा और यह स्वादिष्ट और उत्सवी लगेगा। जब आप कोई भारतीय व्यंजन बनाते हैं तो यह पार्टियों के लिए एक बेहतरीन मिठाई बनती है।</t>
  </si>
  <si>
    <t>http://www.archanaskitchen.com/kesar-shrikhand-recipe</t>
  </si>
  <si>
    <t>Instant Khaman Dhokla Recipe</t>
  </si>
  <si>
    <t>झटपट खमन ढोकला रेसिपी</t>
  </si>
  <si>
    <t>2 हरी मिर्च - कटी हुई, 1 इंच अदरक - कटा हुआ, 1/4 कप पानी, 1-1/2 कप बेसन, 1/2 कप पानी - या अधिक यदि आवश्यक हो, 1 चम्मच नमक - स्वादानुसार, 1/4 चम्मच खाना पकाने का सोडा, 1 चम्मच इनोस फ्रूट साल्ट, 1 चम्मच चीनी, 1/4 चम्मच हल्दी पाउडर (हल्दी), 1 बड़ा चम्मच सूरजमुखी तेल, 1 बड़ा चम्मच नींबू का रस, 1 चम्मच सूरजमुखी तेल, 1 चम्मच सरसों के बीज, 1 चम्मच जीरा (जीरा), 4 हरी मिर्च - कटी हुई, 2 टहनी करी पत्ता, 2 बड़े चम्मच चीनी, 1/4 चम्मच नमक, 1/2 कप पानी, 2 बड़े चम्मच नींबू का रस, 1/4 कप ताजा नारियल - कसा हुआ, 6 टहनी धनिया (धनिया) पत्तियां - बारीक कटा हुआ</t>
  </si>
  <si>
    <t>2 Green Chillies - chopped,1 inch Ginger - chopped,1/4 cup Water,1-1/2 cups Gram flour (besan),1/2 cup Water - or more if required,1 teaspoon Salt - to taste,1/4 teaspoon Cooking soda,1 teaspoon Enos fruit salt,1 teaspoon Sugar,1/4 teaspoon Turmeric powder (Haldi),1 tablespoon Sunflower Oil,1 tablespoon Lemon juice,1 teaspoon Sunflower Oil,1 teaspoon Mustard seeds,1 teaspoon Cumin (Jeera) seeds,4 Green Chillies - slit,2 sprig Curry leaves,2 tablespoons Sugar,1/4 teaspoon Salt,1/2 cup Water,2 tablespoons Lemon juice,1/4 cup Fresh coconut - grated,6 sprig Coriander (Dhania) Leaves - finely chopped</t>
  </si>
  <si>
    <t xml:space="preserve">To begin preparing the Khaman Dhokla, prepare all the ingredients and keep them ready.Grease a 7 inch cake tin or a dhokla pan and keep aside. Prepare a steamer with water and keep it ready. First, make the green chilli ginger mixture. Into a small jar of mixer grinder, add the green chillies, ginger and water and blend to make a puree. Keep this aside.Into a large mixing bowl, add all the ingredients along with the above green chilli ginger paste and keep aside.Whisk well to combine, the addition of lemon juice and soda will make the Khaman Dhokla batter froth up.It is important you steam the batter immediately once it is well combined, so that the Khaman Dhokla remains fluffy when steamed.Pour the Khaman Dhokla batter into the greased pan and place it in the prepared steamer. Cover the steamer and turn on the heat to high and steam for 10 minutes until done.You will know when it is done, when you insert a knife in the centre and around the edges and it comes out clean.Remove the Khaman Dhokla from the steamer and allow it to cool completely. Do not cut it while it is warm or hot as it will crumble.The next step is to prepare the tadka along with the sugar lemon water.Preheat a pan with oil over medium heat; add the mustard seeds and cumin seeds and allow it to crackle. Once it crackles, add the green chillies and curry leaves and stir for about a minute. Once done, add the water, lemon juice, sugar and salt. Stir well until the sugar has dissolved and turn off the heat. Allow the tadka to cool a bit. Once the Khaman Dhokla has cooled completely, cut it into squares or diamonds. Spoon the tadka over the Khaman Dhokla so it gets soaked well. If there is more tadka water remaining, just keep it aside and pour it later when you feel it has become dry or you want it more juicy.Remove the Khaman Dhokla from the pan and place it on a serving platter. Sprinkle freshly grated coconut and chopped coriander leaves and serve. Serve it along with Green Chutney and Adrak Chai as an evening snack.
</t>
  </si>
  <si>
    <t>खमन ढोकला तैयार करने के लिए, सभी सामग्री तैयार कर लें और उन्हें तैयार रख लें। एक 7 इंच के केक टिन या ढोकला पैन को चिकना करें और एक तरफ रख दें। एक स्टीमर में पानी डालकर उसे तैयार रखें। सबसे पहले हरी मिर्च अदरक का मिश्रण बना लें। मिक्सर ग्राइंडर के एक छोटे जार में हरी मिर्च, अदरक और पानी डालें और प्यूरी बनाने के लिए ब्लेंड करें। इसे एक तरफ रख दें। एक बड़े मिक्सिंग बाउल में उपरोक्त हरी मिर्च अदरक के पेस्ट के साथ सभी सामग्री डालें और एक तरफ रख दें। अच्छी तरह मिलाने के लिए फेंटें, नींबू का रस और सोडा डालने से खमन ढोकला बैटर में झाग बन जाएगा। यह महत्वपूर्ण है कि आप बैटर के अच्छी तरह मिल जाने के तुरंत बाद उसे स्टीम कर लें, ताकि स्टीम करने पर खमन ढोकला फूला हुआ रहे। स्टीमर को ढक दें और आंच को तेज़ कर दें और 10 मिनट तक स्टीम करें जब तक कि यह पक न जाए। आपको पता चल जाएगा कि यह कब पक गया है, जब आप केंद्र में और किनारों के चारों ओर एक चाकू घुसाएंगे और यह साफ बाहर आएगा। खमन ढोकला को स्टीमर से निकालें और इसे पूरी तरह से ठंडा होने दें। इसे गर्म या गरम होने पर न काटें क्योंकि यह टूट जाएगा। अगला कदम चीनी नींबू पानी के साथ तड़के को तैयार करना है। एक पैन में मध्यम आंच पर तेल गरम करें; उसमें सरसों के बीज और जीरा डालें और उसे चटकने दें। जब वह चटकने लगे, तो हरी मिर्च और करी पत्ता डालें और लगभग एक मिनट तक हिलाएं। जब हो जाए, तो पानी, नींबू का रस, चीनी और नमक डालें। अच्छी तरह से हिलाएं जब तक कि चीनी घुल न जाए और आंच बंद कर दें। तड़के को थोड़ा ठंडा होने दें। अगर तड़का पानी ज़्यादा बचा है, तो उसे एक तरफ़ रख दें और बाद में जब आपको लगे कि यह सूख गया है या आप इसे ज़्यादा रसदार बनाना चाहते हैं, तब इसे डालें। खमन ढोकला को पैन से निकालें और इसे एक सर्विंग प्लेट पर रखें। ऊपर से ताज़ा कसा हुआ नारियल और कटी हुई धनिया पत्ती छिड़कें और परोसें। इसे हरी चटनी और अदरक चाय के साथ शाम के नाश्ते के तौर पर परोसें।</t>
  </si>
  <si>
    <t>http://www.archanaskitchen.com/instant-sandwich-khaman-dhokla-recipe</t>
  </si>
  <si>
    <t>Lauki Chana Dal Recipe (Recipe In Hindi)</t>
  </si>
  <si>
    <t>लौकी चना दाल रेसिपी - लौकी चना दाल (रेसिपी इन हिंदी)</t>
  </si>
  <si>
    <t>1 लोकी - चम्मच कट ले, 1 कप चना दाल, 1 छोटा चमच्च जीरा, 1 तेज पत्ता, 1 छोटा चमच्च अदरक - कैस ले, 1 टमाटर - हीरा कट ले, 1 छोटा चमच्च धनिया पाउडर, 1/4 छोटा चमच्च धनिया पाउडर, 1/2 छोटा चमच्च लाल मिर्च पाउडर - स्वाद अनुसार, 1 छोटा चम्मच चमच्च जीरा, 1 हरा धनियां - छोटा, 1 छोटा चम्मच चमच्च तेल, 1 छोटा चमच्च जीरा, 2 चम्मच लाल मिर्च, नमक - स्वाद.</t>
  </si>
  <si>
    <t>1 bottle gourd - peel and chop, 1 cup gram dal, 1 teaspoon cumin seeds, 1 bay leaf, 1 teaspoon ginger - grate, 1 tomato - finely chopped, 1 teaspoon coriander powder, 1/4 teaspoon turmeric powder, 1/2 teaspoon red chilli powder - according to taste, 1 teaspoon sugar, 1 green coriander - a little, 1 teaspoon oil, 1 teaspoon cumin seeds, 2 dried red chillies, salt - according to taste</t>
  </si>
  <si>
    <t>To make Lauki Chana Dal, first soak chana dal in 1-1/2 cup water for 1 hour. Now put chopped bottle gourd, 1/4 cup water, salt and turmeric powder in a pressure cooker. Cook till 2 whistles. Let the pressure release and keep it aside. Now put chana dal and remaining ingredients in the same pressure cooker and cook till 2 whistles. After 2 whistles, reduce the flame and let it cook for 3 to 4 minutes. Let the pressure release and keep it aside. Open the cooker and add bottle gourd to it. Now add Tadka to it. Heat oil in a small pan. Add cumin seeds, red chili powder and dry red chilies to it. Turn off the gas after 15 seconds and pour in the dal. Garnish with green coriander and serve. Serve Lauki Chana Dal with Boondi Raita and Phulkas for lunch.</t>
  </si>
  <si>
    <t xml:space="preserve"> लोकी चना दाल बनाने के लिए सबसे पहले चना दाल को 1-1/2 कप पानी में 1 घंटे के लिये धीमी दे दीजिये. अब कुकर कटी हुई लौकी, 1/4 कप पानी, नमक और हल्दी पाउडर डाला गया। 2 शहर आने तक पक ले. सामान छोड़ दे और अलग से रख दे। अब इसी तरह कुकर में चना दाल और बेची गई सामग्री डाली गई और 2 सिटी आने तक पका ले। 2 शहर आने के बाद धीमी गति से कर ले और 3 से 4 मिनट तक मसाला दे। सामान को छोड़ दे और अलग से रख दे। कुकर को खोला गया और उसमें लोकी डाल दी गई। अब तड़का लगाएंगे। एक छोटी सी चटनी में तेल गरम करें। इसमें जीरा, लाल मिर्च पाउडर और सूखी लाल मिर्च डाली जाती है। 15 सेकंड बाद गैस बंद करें और दाल में डाल दें। हरे धनिए से गार्निश करें और बनाएं। लौकी चना दाल को बूंदी रायता और फुलके के साथ दिन के खाने के लिए परोसें।
</t>
  </si>
  <si>
    <t>https://www.archanaskitchen.com/lauki-chana-dal-recipe-in-hindi</t>
  </si>
  <si>
    <t>Mutton Khurdi Recipe - Bohra Style White Mutton Stock Soup</t>
  </si>
  <si>
    <t>मटन खुर्दी रेसिपी - बोहरा स्टाइल व्हाइट मटन स्टॉक सूप</t>
  </si>
  <si>
    <t>300 ग्राम मटन - हड्डी सहित, 1 प्याज - कटा हुआ, 2 तेजपत्ता, 2 हरी मिर्च - कटी हुई, 1/2 बड़ा चम्मच अदरक - पेस्ट, 1/2 बड़ा चम्मच लहसुन - पेस्ट, नमक - स्वादानुसार, 1 कप पानी, 1 बड़ा चम्मच सूरजमुखी तेल, 1 छोटा चम्मच जीरा, 4 साबुत काली मिर्च, 2 लौंग - 2 लौंग, 1 इंच दालचीनी, 1 बड़ा चम्मच गेहूं का आटा, 1 कप दूध, नमक - स्वादानुसार, 1 छोटा चम्मच काली मिर्च पाउडर, 2 टहनी पुदीना - बारीक कटा हुआ, नींबू - परोसने के लिए</t>
  </si>
  <si>
    <t>300 grams Mutton - on the bone,1 Onion - sliced,2 Bay leaves (tej patta),2 Green Chillies - slit,1/2 tablespoon Ginger - paste,1/2 tablespoon Garlic - paste,Salt - to taste,1 cup Water,1 tablespoon Sunflower Oil,1 teaspoon Cumin seeds (Jeera),4 Whole Black Pepper Corns,2 Cloves (Laung) - 2 cloves,1 inch Cinnamon Stick (Dalchini),1 tablespoon Whole Wheat Flour,1 cup Milk,Salt - to taste,1 teaspoon Black pepper powder,2 sprig Mint Leaves (Pudina) - finely chopped,Lemon - wedges to serve</t>
  </si>
  <si>
    <t xml:space="preserve">To begin making the Mutton Khurdi Recipe, we will first cook the mutton. In a pressure cooker, combine the mutton, onion, bay leaves, green chillies, ginger, garlic, salt, water. Pressure cook for three whistles and turn off the flame.  Allow the pressure to release naturally.In a kadai, heat oil on medium flame, once the oil is hot, add the whole spices- cumin seeds, peppercorns, cinnamon, cloves.Once the spices begin to sizzle, add the whole wheat flour and mix well along with the oil and spices. To the kadai add the milk, whisking continuously, ensuring no lumps are formed and allow the bhora soup to thicken.Once it thickens, add salt and pepper, and mutton and all the contents of the pressure cooker into the kadai.  Give the Mutton Khurdi/ Bohra Style White Mutton Soup a brisk boil for 3 to 4 minutes until all the flavours get into the mutton.Once done, turn off the heat, check the salt and seasonings and adjust to suit your taste.Serve the Mutton Khurdi/ Bohra Style White Mutton Soup hot along with some mint leaves and lemon wedges. Serve this lip smacking Mutton Khurdi Recipe over a weekend meal along with Kalmi Kabab Recipe - Mughlai Style Chicken Tangdi Kebab and Prawns Biryani Recipe followed by a dessert of Rose Flavoured Shahi Tukda Recipe
</t>
  </si>
  <si>
    <t>मटन खुर्दी रेसिपी बनाने के लिए सबसे पहले हम मटन को पकाएंगे। एक प्रेशर कुकर में मटन, प्याज, तेज पत्ता, हरी मिर्च, अदरक, लहसुन, नमक और पानी मिलाएं। तीन सीटी आने तक प्रेशर कुक करें और आंच बंद कर दें। प्रेशर को अपने आप निकलने दें। एक कढ़ाई में मध्यम आंच पर तेल गर्म करें, तेल गर्म होने के बाद इसमें साबुत मसाले- जीरा, काली मिर्च, दालचीनी, लौंग डालें। जब मसाले चटकने लगे तो इसमें गेहूं का आटा डालें और तेल और मसालों के साथ अच्छी तरह मिलाएँ। कढ़ाई में दूध डालें, लगातार चलाते रहें, ध्यान रखें कि गांठ न बने और भोरा सूप को गाढ़ा होने दें। जब यह गाढ़ा हो जाए तो इसमें नमक और काली मिर्च डालें और मटन के साथ प्रेशर कुकर का सारा सामान कढ़ाई में डालें। मटन खुर्दी/ बोहरा स्टाइल व्हाइट मटन सूप को 3 से 4 मिनट तक उबालें जब तक कि सभी फ्लेवर मटन में न मिल जाएँ। एक बार हो जाने पर, आँच बंद कर दें, नमक और मसालों की जाँच करें और अपने स्वाद के अनुसार समायोजित करें। मटन खुर्दी/ बोहरा स्टाइल व्हाइट मटन सूप को पुदीने की कुछ पत्तियों और नींबू के टुकड़ों के साथ गरमागरम परोसें। इस स्वादिष्ट मटन खुर्दी रेसिपी को वीकेंड मील के साथ कलमी कबाब रेसिपी - मुगलई स्टाइल चिकन टंगड़ी कबाब और प्रॉन्स बिरयानी रेसिपी के साथ परोसें और उसके बाद रोज़ फ्लेवर्ड शाही टुकड़ा रेसिपी की मिठाई खाएँ।</t>
  </si>
  <si>
    <t>http://www.archanaskitchen.com/mutton-khurdi-recipe-bohra-style-white-mutton-stock-soup</t>
  </si>
  <si>
    <t>Gujarati Kadhi With Milk And Mint Recipe</t>
  </si>
  <si>
    <t>दूध वाली गुजराती कढ़ी रेसिपी - दूध और पुदीना के साथ गुजराती कढ़ी रेसिपी</t>
  </si>
  <si>
    <t>1 कप दही, 2 कप पानी, 2 बड़े बेसन, 1/4 कप दूध, 1 बड़ा छोटा चम्मच, 1 बड़ा चम्मच हरी मिर्च - कस ले, 1 छोटा मोटा घी - कस ले, 2 छोटा मक्खन, 2 छोटा मोटा घी, 1/2 छोटा मोटा मेथी के दाने, 1 छोटा बड़ा जीरा, 2 सुखी लाल मिर्च, 2 बड़ा चम्मच, 1 इंच मोटा मसाला, 1 थानी कढ़ी पत्ता, 1 छोटा मोटा घी, हींग - आधा गिलास</t>
  </si>
  <si>
    <t>1 cup curd, 2 cups water, 2 tbsp gram flour, 1/4 cup milk, 1 tbsp cream, 1 tsp green chilli - grated, 1 tsp ginger - grated, 2 tsp sugar, 2 tsp ghee, 1/2 tsp fenugreek seeds, 1 tsp cumin seeds, 2 dried red chilli, 2 cloves, 1 inch cinnamon, 1 sprig curry leaves, 1 sprig mint, asafoetida - a pinch</t>
  </si>
  <si>
    <t>To make Doodh Wali Gujarati Kadhi recipe, first of all, take curd, cream and gram flour and mix it well in a bowl. Make sure it does not form lumps. Now add some water and mix it well again. Pour this mixture in a saucepan and turn on the gas. Now add sugar, salt, ginger, green chillies and let it boil. Keep stirring. Now heat ghee in another pan. Now add cumin seeds, dried red chillies, cinnamon, cloves, asafoetida, curry leaves and cook till the cumin seeds crackle. Pour the seasoning in the kadhi and let it boil for 3 minutes. Now add mint, milk, mix and let it cook for 8 to 10 minutes. Turn off the gas and garnish with coriander leaves. Serve. Serve Doodh Wali Gujarati Kadhi recipe with Aloo Shimla Mirch ki Sabzi, Phulka and Papad for lunch.</t>
  </si>
  <si>
    <t xml:space="preserve">दूध वाली गुजराती कढ़ी रेसिपी बनाने के लिए सबसे पहले एक बाउल में दही, क्रीम और बेसन को अच्छी तरह से मिला ले। ध्यान रहे गाथे न रहे. अब इसमें थोड़ा सा पानी डाला और फिर से अच्छे से मिला ले। इस मिक्स को एक सॉसपैन में डाला और गैस चालू कर दे। अब इसमें शकेर, नमक, अदरक, हरी मिर्च डाला और आ गया दे। मिलाते रहे.अब एक दूसरी चटनी में घी गर्म करें. अब इसमें जीरा, सुखी लाल मिर्च, दालचीनी, लॉन्ग, हींग, कढ़ी पत्ता डाला गया और जीरा के तड़काने तक पका ले। दादी को कढ़ी में डाला और 3 मिनट तक स्टॉलने दे। अब इसमें पुदीना, दूध डाला, मिलाए और 8 से 10 मिनट के लिए मसाला दे। गैस बंद करें और हरे धनिये से गार्निश करें। मकाने. दूध वाली गुजराती कढ़ी रेसिपी को आलू, मिर्च की सब्जी, फुल्का और पापड़ के साथ दिन के खाने के लिए।
</t>
  </si>
  <si>
    <t>http://www.archanaskitchen.com/gujarati-kadhi-with-milk-and-mint-recipe-in-hindi</t>
  </si>
  <si>
    <t>Gujarati Style Multigrain Masala Kadak Puri Recipe - Masala Mathri</t>
  </si>
  <si>
    <t>गुजराती स्टाइल मल्टीग्रेन मसाला कड़क पूरी रेसिपी - मसाला मठरी</t>
  </si>
  <si>
    <t>1-1/2 कप गेहूं का आटा - या मल्टीग्रेन आटा, 1/2 कप चावल का आटा, 3 बड़े चम्मच घी, 1 चम्मच लाल मिर्च पाउडर, 1 चम्मच जीरा, 1/4 चम्मच हींग, 1 बड़ा चम्मच धनिया के बीज - भुना हुआ, नमक - स्वादानुसार, सूरजमुखी का तेल - तलने के लिए</t>
  </si>
  <si>
    <t>1-1/2 cup Whole Wheat Flour - or multigrain flour,1/2 cup Rice flour,3 tablespoons Ghee,1 teaspoon Red Chilli powder,1 teaspoon Cumin seeds (Jeera),1/4 teaspoon Asafoetida (hing),1 tablespoon Coriander (Dhania) Seeds - roasted,Salt - as per taste,Sunflower Oil - for deep frying</t>
  </si>
  <si>
    <t xml:space="preserve">To begin making the Gujarati Style Multigrain Masala Kadak Puri Recipe, in a large bowl combine multigrain flour, rice flour, haldi, crushed coriander seeds, cumin seeds, asafoetida, red chili powder, salt and 3 tablespoons ghee. Bring the dough together with your fingers. Add little water to the kadak puri (mathri) flour mixture and knead to make a firm dough. The dough should be of stiff consistency. Cover the kadak puri dough and keep it aside for 25 to 30 minutes.Once the dough is well rested, knead again to bring it together.Preheat the oil in the deep frying pan on medium heat. Roll the dough into a large circle of about 1/2 inch thickness. Use a cookie cutter to make small circles of 1-1/2 inch diameter. Prick the circles with a fork and keep aside. You can alternatively make tiny balls and roll each ball of dough into circles.Once the oil is hot, deep fry the puris on medium heat until crisp and golden. Once done, drain the Masala Kadak Puri (Mathri) on an absorbent paper.Repeat the same for the rest of the mathri dough and allow them to cool completely before storing.Store the Gujarati Style Multigrain Masala Kadak Puri  in a clean airtight container up to 2 weeks.Serve Gujarati Style Multigrain Masala Kadak Puri at tea time along with chai with Achar and Chai.
</t>
  </si>
  <si>
    <t>गुजराती स्टाइल मल्टीग्रेन मसाला कड़क पूरी रेसिपी बनाने के लिए सबसे पहले एक बड़े बाउल में मल्टीग्रेन आटा, चावल का आटा, हल्दी, कुटा हुआ धनिया, जीरा, हींग, लाल मिर्च पाउडर, नमक और 3 बड़े चम्मच घी मिलाएं। आटे को अपनी उंगलियों की मदद से एक साथ गूंथ लें। कड़क पूरी (मठरी) के आटे के मिश्रण में थोड़ा पानी डालें और सख्त आटा गूंथ लें। आटा सख्त होना चाहिए। कड़क पूरी के आटे को ढककर 25 से 30 मिनट के लिए रख दें। जब आटा अच्छी तरह से बैठ जाए तो इसे एक साथ मिलाने के लिए फिर से गूंथ लें। मध्यम आंच पर गहरे फ्राइंग पैन में तेल गरम करें। आटे को लगभग 1/2 इंच मोटाई के बड़े गोले में बेल लें। एक बार हो जाने पर, मसाला कड़क पूरी (मठरी) को एक सोखने वाले कागज पर निकाल लें। बाकी मठरी के आटे के लिए भी यही दोहराएं और भंडारण से पहले उन्हें पूरी तरह से ठंडा होने दें। गुजराती स्टाइल मल्टीग्रेन मसाला कड़क पूरी को एक साफ एयरटाइट कंटेनर में 2 सप्ताह तक स्टोर करें। गुजराती स्टाइल मल्टीग्रेन मसाला कड़क पूरी को चाय के समय अचार और चाय के साथ परोसें।</t>
  </si>
  <si>
    <t>http://www.archanaskitchen.com/gujarati-style-multigrain-masala-kadak-puri-recipe-masala-mathri</t>
  </si>
  <si>
    <t>Ringan Methi Nu Shaak Recipe - Gujarati Style Eggplant &amp; Fenugreek Leaves Sabzi</t>
  </si>
  <si>
    <t>रिंगन मेथी नू शाक रेसिपी - गुजराती स्टाइल बैंगन और मेथी के पत्तों की सब्जी</t>
  </si>
  <si>
    <t>15 छोटे बैंगन - लंबी स्ट्रिप्स में कटे हुए, 2 कप मेथी के पत्ते (मेथी के पत्ते) - बारीक कटे हुए, 1/2 चम्मच हल्दी पाउडर (हल्दी), 1 चम्मच लाल मिर्च पाउडर, 2 चम्मच धनिया पाउडर (धनिया), 1 चम्मच जीरा (जीरा), 2 चम्मच गुड़ - पाउडर, 2 चम्मच अमचूर (सूखा आम पाउडर), 1/2 चम्मच सरसों के बीज, 1/2 चम्मच जीरा (जीरा), 1 बड़ा चम्मच सूरजमुखी तेल, नमक - स्वादानुसार</t>
  </si>
  <si>
    <t>15 Small Brinjal (Baingan / Eggplant) - cut into long strips,2 cups Methi Leaves (Fenugreek Leaves) - finely chopped,1/2 teaspoon Turmeric powder (Haldi),1 teaspoon Red Chilli powder,2 teaspoons Coriander Powder (Dhania),1 teaspoon Cumin powder (Jeera),2 teaspoons Jaggery - powdered,2 teaspoon Amchur (Dry Mango Powder),1/2 teaspoon Mustard seeds,1/2 teaspoon Cumin seeds (Jeera),1 tablespoon Sunflower Oil,Salt - to taste</t>
  </si>
  <si>
    <t xml:space="preserve">To begin making the Ringan Methi Nu Shaak Recipe (Gujarati Style Eggplant and Fenugreek Leaves Sabzi), wash and cut the brinjals into long strips and keep them immersed in a bowl of salted water to avoid discolouration.Heat oil in a heavy bottomed pan on medium flame, add in the mustard seeds, cumin seeds and let it crackle.Drain the eggplants from water and add it to the pan.Season with little salt, mix well and let the eggplants cook in its own water until its half cooked. This will take around 5 minutes. Now, add in the fenugreek leaves and saute for a minute.Cover the pan and allow the brinjal and methi to completely cook through. Add the turmeric, cumin, coriander, red chilli powder and mix well. Saute the vegetables occasionally and let the water dry out completely.Add the jaggery, amchur powder to Ringan Methi Nu Shaak and mix well. Once the vegetables comes together, switch off the heat.Serve this Ringan Methi Nu Shaak Recipe (Gujarati Style Eggplant and Fenugreek Leaves Sabzi) along with Phulkas, Gujarati Dal and Kachumber Salad for a delicious weekday lunch.
</t>
  </si>
  <si>
    <t>रिंगन मेथी नू शाक रेसिपी (गुजराती स्टाइल बैंगन और मेथी के पत्ते की सब्जी) बनाना शुरू करने के लिए, बैंगन को धोकर लंबी पट्टियों में काट लें और उन्हें रंग बदलने से बचाने के लिए नमकीन पानी की कटोरी में डुबो कर रखें। मध्यम आंच पर एक भारी तले की कड़ाही में तेल गर्म करें, उसमें राई, जीरा डालें और उसे चटकने दें। बैंगन को पानी से निकालकर कड़ाही में डालें। थोड़ा नमक डालकर अच्छी तरह मिलाएँ और बैंगन को अपने पानी में आधा पकने तक पकने दें। इसमें लगभग 5 मिनट का समय लगेगा। अब इसमें मेथी के पत्ते डालें और एक मिनट के लिए भूनें। पैन को ढक दें और बैंगन और मेथी को पूरी तरह से पकने दें। हल्दी, जीरा, धनिया, लाल मिर्च पाउडर डालें और अच्छी तरह मिलाएँ जब सब्ज़ियाँ एक साथ मिल जाएँ, तो आँच बंद कर दें। इस रिंगन मेथी नू शाक रेसिपी (गुजराती स्टाइल बैंगन और मेथी के पत्तों की सब्ज़ी) को फुल्के, गुजराती दाल और कचुम्बर सलाद के साथ स्वादिष्ट सप्ताह के दिन के दोपहर के भोजन के लिए परोसें।</t>
  </si>
  <si>
    <t>https://www.archanaskitchen.com/ringan-methi-nu-shaak-recipe-gujarati-style-eggplant-and-fenugreek-leaves-sabzi</t>
  </si>
  <si>
    <t>Gujarati Wadi Pulao Recipe</t>
  </si>
  <si>
    <t>गुजराती वडी पुलाव रेसिपी</t>
  </si>
  <si>
    <t>3/4 कप बासमती चावल, 1/2 कप बड़ी, 2 हरी मिर्च - बारीक कटी हुई, 1 टहनी करी पत्ता, 1 बड़ा चम्मच चना दाल, 1 बड़ा चम्मच सफेद उड़द दाल, 1 छोटा चम्मच सरसों के बीज, 1/2 छोटा चम्मच हल्दी, 1/2 छोटा चम्मच नींबू का रस, 1 हींग, नमक - स्वादानुसार, सूरजमुखी तेल - पकाने के लिए</t>
  </si>
  <si>
    <t>3/4 cup Basmati rice,1/2 cup Badi (wadi),2 Green Chillies - finely chopped,1 sprig Curry leaves,1 tablespoon Chana dal (Bengal Gram Dal),1 tablespoon White Urad Dal (Split),1 teaspoon Mustard seeds,1/2 teaspoon Turmeric powder (Haldi),1/2 teaspoon Lemon juice,1 Asafoetida (hing),Salt - to taste,Sunflower Oil - for cooking</t>
  </si>
  <si>
    <t xml:space="preserve">To begin making the Gujarati Wadi Pulao Recipe, wash and soak the rice for 10 to 15 minutes.Heat 2 tablespoons of oil in a wok or a kadai and stir fry the wadi until golden brown in color. Once done, remove the wadi from the oil and keep aside.In the same kadai, heat a teaspoon of oil; add the mustard seeds, urad dal, chana dal and fry until the dals have slightly changed color and are well roasted. Add asafoetida, green chilies and curry leaves and saute for a few seconds.Add the fried wadi, soaked rice and salt. Give it a good stir. Add 2 cups of water and bring the pulao to a brisk boil.Once the rice comes to a brisk boil, turn the heat to low, cover the pan and cook until all the water is absorbed and the rice is completely cooked. Once cooked, turn off the heat and allow the rice to rest for another 10 minutes.After 10 minutes stir in a tablespoon of ghee and the juice from the lemon. Serve Gujarati Wadi Pulao along with Tomato Onion Tadka Raita and a roasted Papad for a weekday meal. You can also pack this in your Lunch Box.
</t>
  </si>
  <si>
    <t>गुजराती वड़ी पुलाव रेसिपी बनाने के लिए सबसे पहले चावल को धोकर 10 से 15 मिनट के लिए भिगो दें। एक कड़ाही या कड़ाही में 2 बड़े चम्मच तेल गर्म करें और वड़ी को सुनहरा भूरा होने तक तल लें। जब हो जाए तो वड़ी को तेल से निकाल कर एक तरफ रख दें। उसी कढ़ाई में एक चम्मच तेल गर्म करें; उसमें राई, उड़द दाल, चना दाल डालें और तब तक भूनें जब तक दाल का रंग हल्का बदल जाए और अच्छी तरह से भुन न जाए। इसमें हींग, हरी मिर्च और करी पत्ता डालें और कुछ सेकंड के लिए भूनें। इसमें तली हुई वड़ी, भिगोया हुआ चावल और नमक डालें। इसे अच्छे से हिलाएं। 2 कप पानी डालें और पुलाव को उबाल आने दें। पक जाने के बाद, आँच बंद कर दें और चावल को 10 मिनट के लिए और पकने दें। 10 मिनट के बाद इसमें एक बड़ा चम्मच घी और नींबू का रस मिलाएँ। गुजराती वड़ी पुलाव को टमाटर प्याज तड़का रायता और भुने हुए पापड़ के साथ सप्ताह के दिनों में परोसें। आप इसे अपने लंच बॉक्स में भी रख सकते हैं।</t>
  </si>
  <si>
    <t>http://www.archanaskitchen.com/gujarati-wadi-pulao-recipe</t>
  </si>
  <si>
    <t>Gujarati Style Lapsi Recipe - Millet Sweet Pudding</t>
  </si>
  <si>
    <t>गुजराती स्टाइल लापसी रेसिपी - बाजरे की मीठी खीर</t>
  </si>
  <si>
    <t>1 कप फॉक्सटेल बाजरा, 1/4 कप पीली मूंग दाल (विभाजित), 1 चम्मच इलायची पाउडर (इलायची), 1/4 कप गुड़, 1 बड़ा चम्मच घी, 2 बड़े चम्मच काजू - टूटे हुए</t>
  </si>
  <si>
    <t>1 cup Foxtail Millet,1/4 cup Yellow Moong Dal (Split),1 teaspoon Cardamom Powder (Elaichi),1/4 cup Jaggery,1 tablespoon Ghee,2 tablespoons Cashew nuts - broken</t>
  </si>
  <si>
    <t xml:space="preserve">To begin making the Gujarati Style Lapsi Recipe, heat a pan on medium heat and roast the yellow moong dal until a lightly roasted aroma is released. Don’t allow the moong dal to turn brown.Place the roasted moong dal and the millet along with jaggery and cardamom into the pressure cooker. Add 2 cups of water, cover the pan, place the weight on and pressure cook until you heat one whistle.After the first whistle, turn the heat to low and simmer for 3 to 4 minutes. After 3 to 4 minutes, turn off the heat and allow the pressure to release naturally. Keep this aside.Now heat a tablespoon of ghee in a small pan and roast the cashew nuts until golden and crisp. Turn off the heat and keep aside.In the final steps to make Lapsi, add the roasted cashew nuts into the cooked millet and dal.Stir well on medium heat for about 5 minutes until the jaggery has got well blended with the millet and dal mixture. The Millet Lapsi is now ready. Turn off the heat and transfer the Lapsi to a serving bowl.Serve the Gujarati Style Lapsi Recipe Recipe as a dessert of  after a meal of Steamed Rice, Gujarati Kadhi Recipe - Sweet And Spicy Gujarati Kadhi, Phulkas, Fansi Nu Muthia Nu Shaak
</t>
  </si>
  <si>
    <t>गुजराती स्टाइल लापसी रेसिपी बनाने के लिए, मध्यम आँच पर एक पैन गरम करें और पीली मूंग दाल को हल्का भुनने की महक आने तक भूनें। मूंग दाल को भूरा न होने दें। भुनी हुई मूंग दाल और बाजरे को गुड़ और इलायची के साथ प्रेशर कुकर में डालें। 2 कप पानी डालें, पैन को ढक दें, वज़न रखें और एक सीटी आने तक प्रेशर कुक करें। पहली सीटी आने के बाद, आँच धीमी कर दें और 3 से 4 मिनट तक पकाएँ। 3 से 4 मिनट के बाद, आँच बंद कर दें और प्रेशर को अपने आप निकलने दें। इसे एक तरफ रख दें। अब एक छोटे पैन में एक बड़ा चम्मच घी गर्म करें और काजू को सुनहरा और कुरकुरा होने तक भूनें। आँच बंद कर दें और एक तरफ रख दें। लापसी बनाने के अंतिम चरण में, भुने हुए काजू को पके हुए बाजरे और दाल में मिला दें। मध्यम आँच पर लगभग 5 मिनट तक अच्छी तरह हिलाएँ जब तक कि गुड़ बाजरे और दाल के मिश्रण में अच्छी तरह से मिल न जाए। अब बाजरे की लापसी तैयार है। आंच बंद कर दें और लापसी को एक सर्विंग बाउल में डालें। गुजराती स्टाइल लापसी रेसिपी को स्टीम्ड राइस, गुजराती कढ़ी रेसिपी - मीठी और मसालेदार गुजराती कढ़ी, फुल्का, फंसी नू मुठिया नू शाक के खाने के बाद मिठाई के रूप में परोसें।</t>
  </si>
  <si>
    <t>https://www.archanaskitchen.com/gujarati-style-lapsi-recipe-millet-sweet-pudding</t>
  </si>
  <si>
    <t>Raw Mango Dhokla Recipe Topped With Sweet Mango Chutney</t>
  </si>
  <si>
    <t>कच्चे आम का ढोकला रेसिपी मीठी आम की चटनी के साथ</t>
  </si>
  <si>
    <t>1 आम (कच्चा) - छिला और कटा हुआ, 1/2 चम्मच सरसों के बीज, 2 सूखी लाल मिर्च, 1 चम्मच पंच फोरन मसाला, 1/2 चम्मच जीरा, 1/2 चम्मच सौंफ, 1/4 चम्मच कलौंजी, 1/4 चम्मच मेथी के बीज, 1/2 चम्मच सरसों के बीज, 2 बड़े चम्मच सूरजमुखी तेल, 1/4 कप गुड़ - (समायोजित), 1 चम्मच नमक, 1 कप बेसन, 1/2 चम्मच हल्दी पाउडर (हल्दी), 1/2 चम्मच नमक, 1 चम्मच चीनी, 1 चम्मच इनोस फल नमक, 1/2 कप आम (कच्चा) - कसा हुआ, 1 बड़ा चम्मच सूरजमुखी तेल</t>
  </si>
  <si>
    <t>1 Mango (Raw) - peeled and chopped,1/2 teaspoon Mustard seeds,2 Dry Red Chillies,1 teaspoon Panch Phoran Masala,1/2 teaspoon Cumin seeds (Jeera),1/2 teaspoon Fennel seeds (Saunf),1/4 teaspoon Kalonji (Onion Nigella Seeds),1/4 teaspoon Methi Seeds (Fenugreek Seeds),1/2 teaspoon Mustard seeds,2 tablespoons Sunflower Oil,1/4 cup Jaggery - (adjust),1 teaspoon Salt,1 cup Gram flour (besan),1/2 teaspoon Turmeric powder (Haldi),1/2 teaspoon Salt,1 teaspoon Sugar,1 teaspoon Enos fruit salt,1/2 cup Mango (Raw) - grated,1 tablespoon Sunflower Oil</t>
  </si>
  <si>
    <t xml:space="preserve">To begin making the Raw Mango Dhokla Recipe Topped With Sweet Mango Chutney, we will first make the chutneyIn a pressure cooker, add mustard seeds and dried red chillies.Then add the mango pieces, jaggery, panch phoran salt and turmeric powder. Add little water and cook the mangoes for 3 to 4 whistles.Once done, open the cooker and check the salt and spices and adjust accordingly. Keep the Sweet and Spicy Mango Chutney aside.The next step is to make the Raw Mango DhoklaIn a bowl, add besan, salt, sugar, turmeric powder, and add water and mix it well to make a thick Khaman Dhokla Batter. Stir in the grated raw mangoes, oil and the eno's fruit salt.The Raw Mango Khaman Dhokla batter should be of idli batter consistency.Now grease a dhokla plate with oil and also preheat the dhokla steamer with water and keep ready.Spoon the Raw Mango Dhokla Batter into the dhokla plates, place them in the steamer and steam the dhokla on high heat for about 10 to 12 minutes until done.When you insert a knife inside, it should come out clean. Turn off the heat and allow the Raw Mango Dhokla to cool down. Now, once the Raw Mango Dhokla is cooled, loosen the sides and invert the bowl to unmold dhokla on a plate and cut them into diamonds.Place them on a serving platter and spoon the Sweet and Spicy Raw Mango Chutney over the dhokla and serve.The Raw Mango Dhokla Recipe makes a great party starter recipe or even serve for an evening snack during the summers.
</t>
  </si>
  <si>
    <t>कच्चे आम का ढोकला रेसिपी टॉपिंग स्वीट मैंगो चटनी बनाने के लिए सबसे पहले हम चटनी बनाएंगे प्रेशर कुकर में राई और सूखी लाल मिर्च डालें। फिर आम के टुकड़े, गुड़, पंच फोरन नमक और हल्दी पाउडर डालें। थोड़ा पानी डालें और आमों को 3 से 4 सीटी आने तक पकाएँ। हो जाने के बाद, कुकर खोलें और नमक और मसाले की जाँच करें और तदनुसार समायोजित करें। मीठी और तीखी आम की चटनी को एक तरफ रख दें। अगला कदम कच्चे आम का ढोकला बनाना है एक कटोरे में बेसन, नमक, चीनी, हल्दी पाउडर डालें और पानी डालें और इसे अच्छी तरह मिलाएँ और गाढ़ा खमन ढोकला बैटर बनाएँ। कद्दूकस किया हुआ कच्चा आम, तेल और इनो फ्रूट सॉल्ट डालकर मिलाएँ। कच्चे आम का खमन ढोकला बैटर इडली बैटर की तरह होना चाहिए। अब एक ढोकला प्लेट को तेल से चिकना करें और ढोकला स्टीमर को पानी से गर्म करके तैयार रखें। कच्चे आम के ढोकला बैटर को ढोकला प्लेट में डालें, उन्हें स्टीमर में रखें और ढोकला को तेज़ आँच पर लगभग 10 से 12 मिनट तक पकाएँ जब तक वह पक न जाए। जब ​​आप चाकू अंदर डालें, तो वह साफ बाहर आना चाहिए। आँच बंद कर दें और कच्चे आम के ढोकला को ठंडा होने दें। अब, जब कच्चा आम का ढोकला ठंडा हो जाए, तो किनारों को ढीला करें और ढोकला को प्लेट में निकालने के लिए कटोरे को उलट दें और उन्हें हीरे के आकार में काट लें। उन्हें एक सर्विंग प्लेट पर रखें और ढोकला के ऊपर मीठी और तीखी कच्चे आम की चटनी डालें और परोसें</t>
  </si>
  <si>
    <t>https://www.archanaskitchen.com/raw-mango-dhokla-recipe-topped-with-sweet-mango-chutney</t>
  </si>
  <si>
    <t>Vatana Bateta Na Rotla Recipe - Gujarati Peas and Potato Roti</t>
  </si>
  <si>
    <t>वताना बटेटा ना रोटला रेसिपी - गुजराती मटर और आलू की रोटी</t>
  </si>
  <si>
    <t>4 आलू - उबले और कसे हुए, 1 कप मटर - दरदरा पिसा हुआ, 3/4 कप चावल का आटा, 1/2 कप ताजा नारियल - बारीक कसा हुआ, 1/4 कप धनिया - बारीक कटा हुआ, 3 हरी मिर्च - बारीक कटी हुई, 2 इंच अदरक - कसा हुआ, 1 चम्मच चीनी, 2 चम्मच नींबू का रस, 1 बड़ा चम्मच तिल, 1/2 चम्मच हल्दी, 1/4 चम्मच हींग, सूरजमुखी तेल - आवश्यकतानुसार, नमक - स्वादानुसार</t>
  </si>
  <si>
    <t>4 Potatoes (Aloo) - boiled and grated,1 cup Green peas (Matar) - coarsely ground,3/4 cup Rice flour,1/2 cup Fresh coconut - finely grated,1/4 cup Coriander (Dhania) Leaves - finely chopped,3 Green Chillies - finely chopped,2 inch Ginger - grated,1 teaspoon Sugar,2 teaspoon Lemon juice,1 tablespoon Sesame seeds (Til seeds),1/2 teaspoon Turmeric powder (Haldi),1/4 teaspoon Asafoetida (hing),Sunflower Oil - as needed,Salt - to taste</t>
  </si>
  <si>
    <t xml:space="preserve">To begin making the Vatana Bateta Na Rotla Recipe, in a mixing bowl, add the rice flour and add 1 tablespoon oil to it. Using your hand rub the oil to the flour to make a coarse crumb like mixture.Add the grated potatoes, grated coconut, green chili, ginger, coriander leaves, lemon juice, sesame seeds, sugar, salt, turmeric powder and asafetida. Combine all the ingredients, check the salt and adjust to suit your taste. Now add the coarsely ground peas to the mixture and give it a gentle mix.Place a flat non stick skillet pan on medium heat and add 1 or 2 tablespoons oil. Once the oil heats up, put the Vatana Bateta No Rotla mixture in the pan and flatten it down so that the mixture fills up the pan, touches the sides of the pan.Allow it to cook so that it forms a golden crust. once you notice the rotla is getting set and is getting baked in the pan, using a flat spatula and flip to cook on the other side. (It's tricky but you should be able to get it right with practice).Let the crust form on the other side as well. If necessary add few drops of oil on the sides of the Rotla.We are looking for even golden crust on all sides, once that is done allow the Rotla to rest for a few minutes in the pan.Transfer the Vatana Bateta Na Rotla to a plate and serve warm by cutting into squares or wedges.Serve the Vatana Bateta Na Rotla Recipe qualifies to be an absolutely guilt free tea time snack along with Green Chutney and Date Tamarind Chutney  and a cup of Masala Chai.
</t>
  </si>
  <si>
    <t>वटाना बटेटा ना रोटला रेसिपी बनाने के लिए सबसे पहले एक मिक्सिंग बाउल में चावल का आटा और 1 बड़ा चम्मच तेल डालें। हाथ से आटे में तेल रगड़ कर मोटा मिश्रण बना लें। इसमें कद्दूकस किया हुआ आलू, कसा हुआ नारियल, हरी मिर्च, अदरक, धनिया पत्ती, नींबू का रस, तिल, चीनी, नमक, हल्दी पाउडर और हींग डालें। सभी सामग्री को मिला लें, नमक चेक करें और अपने स्वादानुसार मिला लें। अब मिश्रण में दरदरी पिसी मटर डालें और हल्का सा मिला लें। एक फ्लैट नॉन स्टिक कड़ाही को मध्यम आंच पर रखें और 1 या 2 बड़े चम्मच तेल डालें। तेल के गर्म हो जाने पर, पैन में वटाना बटेटा नो रोटला मिश्रण डालें और इसे नीचे चपटा करें ताकि मिश्रण पैन को भर दे और पैन के किनारों को छू ले (यह मुश्किल है लेकिन अभ्यास से आप इसे सही कर पाएंगे)। दूसरी तरफ भी क्रस्ट बनने दें। यदि आवश्यक हो तो रोटला के किनारों पर तेल की कुछ बूँदें डालें। हम सभी तरफ एक समान सुनहरा क्रस्ट चाहते हैं, एक बार ऐसा हो जाने पर रोटला को पैन में कुछ मिनट के लिए आराम करने दें। वटाना बटेटा ना रोटला को एक प्लेट में निकाल लें और चौकोर या वेजेज में काटकर गर्मागर्म सर्व करें। वटाना बटेटा ना रोटला रेसिपी एक बिल्कुल गिल्ट फ्री टी टाइम स्नैक है जिसे हरी चटनी और खजूर इमली की चटनी और एक कप मसाला चाय के साथ सर्व करें।</t>
  </si>
  <si>
    <t>https://www.archanaskitchen.com/vatana-bateta-no-rotla-recipe-gujarati-peas-and-potato-cake</t>
  </si>
  <si>
    <t>Uparghi Laadu Recipe - Whole Wheat Flour &amp; Banana Squares</t>
  </si>
  <si>
    <t>उपरघी लाडू रेसिपी - साबुत गेहूं का आटा और केले के टुकड़े</t>
  </si>
  <si>
    <t>2 कप गेहूं का आटा, 1 बड़ा चम्मच सूरजमुखी तेल, 1 बड़ा चम्मच घी, पानी - गूंधने के लिए, 1/3 कप गुड़, 1/4 कप घी, 2 पके केले - छिले और कटे हुए, 2 बड़े चम्मच कैस्टर चीनी - (पाउडर चीनी) (समायोजित करें)</t>
  </si>
  <si>
    <t>2 Cups Whole Wheat Flour,1 tablespoon Sunflower Oil,1 tablespoon Ghee,Water - for kneading,1/3 cup Jaggery,1/4 cup Ghee,2 Ripe Bananas - peeled and chopped,2 tablespoons Caster Sugar - (powdered sugar) (adjust)</t>
  </si>
  <si>
    <t xml:space="preserve">To prepare Uparghi Laadu Recipe, combine the whole wheat flour, oil and ghee in a deep bowl and knead into a stiff dough adding water gradually. Dough should be firm, hard and stiff. It should not be soft and sticky.Divide the dough into 4 equal portions and make balls out of it.Dust a little flour and roll out the dough into a circle of medium thickness like that of a bhakhri. Prick with the help of a fork or make small cuts with a knife.Traditionally bhakris for this ladoo are cooked on an earthen tawa. But if we don’t have one, we can make them on a non stick tava/griddle.Heat a tawa and place the bhakri. Cook on a low to medium flame from both sides till golden brown spots appear on it. While cooking, press it with the help of a flat spoon or spatula. Make all the 4 bhakris like this.Let them cool down. Once it cools down, make small pieces with hands and put them into a mixer jar and grind. Once it is coarsely crushed, add jaggery and grind again to make a smooth mixture.Take out the mixture in a wide bowl and add chopped bananas to it. Mix well. Heat ghee in a small pan. Now add melted ghee and mix everything well by hand. Be sure jaggery and ghee are blended well with the mixture.In a greased plate, spread the mixture evenly.Sprinkle powdered sugar on it.Cut into square or diamond shaped pieces with a knife.Uparghi Laadu Recipe  can be stored for 1-2 days at room temperature and 2-3 in refrigerator.
</t>
  </si>
  <si>
    <t>उपरघी लाडू रेसिपी बनाने के लिए, एक गहरे बर्तन में गेहूं का आटा, तेल और घी मिलाएँ और धीरे-धीरे पानी डालते हुए सख्त आटा गूंथ लें। आटा सख्त, कड़ा और दृढ़ होना चाहिए। यह नरम और चिपचिपा नहीं होना चाहिए। आटे को 4 बराबर भागों में बाँट लें और उसकी लोइयाँ बना लें। थोड़ा सा आटा छिड़कें और आटे को भाखरी की तरह मध्यम मोटाई के गोले में बेल लें। कांटे की मदद से चुभोएँ या चाकू से छोटे-छोटे कट लगाएँ। पारंपरिक रूप से इस लड्डू के लिए भाखरी मिट्टी के तवे पर पकाई जाती है। लेकिन अगर हमारे पास यह नहीं है, तो हम इन्हें नॉन स्टिक तवे पर बना सकते हैं। तवा गरम करें और भाखरी को रखें। धीमी से मध्यम आँच पर दोनों तरफ से सुनहरे भूरे रंग के धब्बे आने तक पकाएँ। पकाते समय इसे चपटे चम्मच या स्पैटुला की मदद से दबाएँ। इसी तरह सभी 4 भाखरी बना लें। उन्हें ठंडा होने दें। ठंडा होने के बाद, हाथों से छोटे-छोटे टुकड़े करें और उन्हें मिक्सर जार में डालें और पीस लें। जब यह दरदरा पिस जाए तो इसमें गुड़ डालें और फिर से पीसकर चिकना मिश्रण बना लें। मिश्रण को एक बड़े प्याले में निकाल लें और इसमें कटे हुए केले मिला दें। अच्छी तरह मिला लें। एक छोटे पैन में घी गर्म करें। अब पिघला हुआ घी डालें और हाथ से सब कुछ अच्छी तरह मिला लें। सुनिश्चित करें कि गुड़ और घी मिश्रण में अच्छी तरह मिल जाए। एक चिकनी प्लेट में मिश्रण को समान रूप से फैलाएँ। इस पर पिसी चीनी छिड़कें। चाकू से चौकोर या हीरे के आकार के टुकड़ों में काट लें। उपरघी लाडू रेसिपी को कमरे के तापमान पर 1-2 दिन और फ्रिज में 2-3 दिन तक रखा जा सकता है।</t>
  </si>
  <si>
    <t>http://www.archanaskitchen.com/uparghi-laadu-recipe-whole-wheat-flour-banana-squares</t>
  </si>
  <si>
    <t>Batata Nu Shaak Recipe – Batata Nu Shaak (Recipe In Hindi)</t>
  </si>
  <si>
    <t>बटाटा नुटा शाक रेसिपी - बटाटा नु शाक (रेसिपी इन हिंदी)</t>
  </si>
  <si>
    <t>4 आलू - चमच्च कर कट ले, 1 इंच अदरक - कस ले, 2 टमाटर प्यूरी, 1/2 छोटा चमच्च जीरा, 1/4 छोटा चमच्च लाल मिर्च, 1/2 छोटा चमच्च हल्दी पाउडर, 1/4 चमच्च हींग, 1 छोटा चमच्च लाल मिर्च पाउडर, 1 छोटा चमच्च धनिया पाउडर, 2 छोटे चमच्च तेल, 1 हरा धनिया - कसा हुआ ले, काला नमक या सेंधा नमक - स्वाद अनुसार, नमक - स्वादानुसार, काला नमक (काला नमक) - स्वादानुसार, नमक - स्वाद के लिए</t>
  </si>
  <si>
    <t>4 Potatoes - peel and chop, 1 inch ginger - tighten, 2 tomato puree, 1/2 teaspoon cumin seeds, 1/4 teaspoon mustard, 1/2 teaspoon turmeric powder, 1/4 teaspoon asafoetida, 1 teaspoon Red chili powder, 1 teaspoon coriander powder, 2 teaspoons oil, 1 green coriander - finely chopped, black salt or rock salt - as per taste, salt - as per taste, Black Salt (Kala Namak) - to taste, Salt - to taste</t>
  </si>
  <si>
    <t>To make Batata Nu Shaak, first heat oil in a pan. Add mustard seeds, cumin seeds, cinnamon and let it cook for 30 seconds. Add asafoetida, turmeric powder, red chili powder, ginger, tomato puree and let it cook for 2 minutes. Now add coriander powder, garam masala powder, potatoes, salt, black salt and 2 cups of water. Let it boil and then cover the pan. Let it cook for 15 minutes or until the potatoes become soft. After cooking, mash some potatoes so that the gravy becomes a little thick. After cooking, garnish with coriander leaves and serve. Serve Batata Nu Shaak with Boondi Raita and Puri for lunch.</t>
  </si>
  <si>
    <t xml:space="preserve">बटा नुटा शेक बनाने के लिए सबसे पहले एक मसाला तेल गरम कर ले. इसमें राइ, जीरा, पियानो डाला गया और 30 सेकंड तक मसाला दे दिया गया। इसमें हींग, हल्दी पाउडर, लाल मिर्च पाउडर, अदरक, टमाटर प्यूरी डाला और 2 मिनट तक मसाला दे। अब इसमें धनिया पाउडर, गरम मसाला पाउडर, आलू, नमक, काला नमक और 2 कप पानी डाल दीजिये. लाउआ आने दे और फिर चटनी को ढक ले। 15 मिनट या आलू के टुकड़े होने तक मसाला दे. मसाले के बाद कच्चे आलू को मैश कर ले ताकि ग्रेवी थोड़ी गाढ़ी हो जाए. बनाने के बाद हरे धनिए से गार्निश करें और बनाएं। बटा नुटा शेक को बूंदी रायता और पूरे के साथ दिन के खाने के लिए बनाएं।
</t>
  </si>
  <si>
    <t>https://www.archanaskitchen.com/batata-nu-shaak-recipe-in-hindi</t>
  </si>
  <si>
    <t>Karela Muthia Recipe - Bitter Gourd Steamed Dumplings</t>
  </si>
  <si>
    <t>करेला मुठिया रेसिपी - करेला उबले हुए पकौड़े</t>
  </si>
  <si>
    <t>3 करेला - छीलकर कद्दूकस किया हुआ, 4 बड़े चम्मच बेसन, 2 बड़े चम्मच चावल का आटा, 2 बड़े चम्मच ज्वार का आटा, 1/2 छोटा चम्मच अदरक - कद्दूकस किया हुआ, 1/2 छोटा चम्मच लहसुन - कटा हुआ, 1/2 छोटा चम्मच हरी मिर्च का पेस्ट, 2 चुटकी खाना पकाने का सोडा, 1/2 छोटा चम्मच हल्दी, 1/2 छोटा चम्मच जीरा, 1/2 छोटा चम्मच गरम मसाला पाउडर, नमक - आवश्यकतानुसार, 1 छोटा चम्मच जीरा, 1/2 छोटा चम्मच सरसों के बीज, 1 छोटा चम्मच तिल, 2 सूखी लाल मिर्च, सूरजमुखी का तेल - आवश्यकतानुसार</t>
  </si>
  <si>
    <t>3 Karela (Bitter Gourd/ Pavakkai) - peeled and grated,4 tablespoons Gram flour (besan),2 tablespoons Rice flour,2 tablespoons Jowar Flour (Sorghum) - white millet flour,1/2 teaspoon Ginger - grated,1/2 teaspoon Garlic - chopped,1/2 teaspoon Green Chilli Paste,2 pinch Cooking soda,1/2 teaspoon Turmeric powder (Haldi),1/2 teaspoon Cumin powder (Jeera),1/2 teaspoon Garam masala powder,Salt - as required,1 teaspoon Cumin seeds (Jeera),1/2 teaspoon Mustard seeds,1 teaspoon Sesame seeds (Til seeds),2 Dry Red Chillies,Sunflower Oil - as required</t>
  </si>
  <si>
    <t xml:space="preserve">To begin making the Karela Muthia Recipe, wash karelas and grate them along with the peel.Squeeze the grated karela with hand to remove excess water content and collect the greens in a mixing bowl.Add besan, jowar atta, rice atta, ginger, garlic, green chilli paste, cooking soda, turmeric powder, cumin powder, garam masala powder, salt and mix with a hand whisk.Now slowly add little water and knead to make a firm dough. Grease your palm and divide the dough into four equal portions.Roll each portion between your palm to shape into a thick log. Make four logs and keep aside.Heat water in a steamer (Idli or Dhokla steamer) and place the logs on the steamer plate and steam for 15 minutes or more till the flour cooks well.Remove and keep aside to cool. Cut into 1 inch pieces and collect them in a bowl.For tempering, heat oil in a tadka pan and add cumin, mustard seeds, dry red chilies and asafoetida and allow them to splutter.Now add the muthia pieces and shallow fry them for 5 to 6 minutes.Serve Karela Muthia as a snack along with Green Chutney with a cup of Punjabi Style Espresso Coffee Recipe for your evening.
</t>
  </si>
  <si>
    <t>करेला मुठिया रेसिपी बनाने के लिए सबसे पहले करेलों को धोकर छिलके समेत कद्दूकस कर लें। कद्दूकस किए हुए करेलों को हाथ से दबाकर अतिरिक्त पानी निकाल दें और हरे पत्तों को एक मिक्सिंग बाउल में इकट्ठा कर लें। इसमें बेसन, ज्वार का आटा, चावल का आटा, अदरक, लहसुन, हरी मिर्च का पेस्ट, खाना पकाने का सोडा, हल्दी पाउडर, जीरा पाउडर, गरम मसाला पाउडर, नमक डालें और हाथ से फेंट लें। अब इसमें धीरे-धीरे थोड़ा पानी डालते हुए सख्त आटा गूंथ लें। अपनी हथेली पर तेल लगाएं और आटे को चार बराबर भागों में बांट लें। प्रत्येक भाग को अपनी हथेली के बीच रोल करके एक मोटे लट्ठे का आकार दें। चार लट्ठे बनाएं और एक तरफ रख दें। एक स्टीमर (इडली या ढोकला स्टीमर) में पानी गर्म करें 1 इंच के टुकड़ों में काट लें और उन्हें एक कटोरे में इकट्ठा करें। तड़के के लिए, एक तड़का पैन में तेल गरम करें और उसमें जीरा, सरसों के बीज, सूखी लाल मिर्च और हींग डालें और उन्हें फूटने दें। अब मुठिया के टुकड़े डालें और उन्हें 5 से 6 मिनट के लिए भूनें। करेला मुठिया को नाश्ते के रूप में हरी चटनी के साथ एक कप पंजाबी स्टाइल एस्प्रेसो कॉफी रेसिपी के साथ शाम को परोसें।</t>
  </si>
  <si>
    <t>http://www.archanaskitchen.com/karela-muthia-recipe-bitter-gourd-steamed-dumplings</t>
  </si>
  <si>
    <t>Pomegranate Flavoured Stuffed Khandvi Recipe</t>
  </si>
  <si>
    <t>अनार के स्वाद वाली भरवां खांडवी रेसिपी</t>
  </si>
  <si>
    <t>1/2 कप बेसन, 1/2 कप दही, 1 कप अनार का रस, 1-1/2 चम्मच लाल मिर्च पाउडर, नमक - स्वादानुसार, 2 बड़े चम्मच पनीर - कद्दूकस किया हुआ, 2 बड़े चम्मच ताजा नारियल - कद्दूकस किया हुआ, 1-2 चम्मच चीनी, 1 हरी मिर्च - कटी हुई, 1 बड़ा चम्मच धनिया - बारीक कटा हुआ, 1/2 चम्मच तिल, नमक - स्वादानुसार, 1/2 बड़ा चम्मच सूरजमुखी तेल, 1 चम्मच सरसों के बीज, हींग - चुटकी भर, 1 हरी मिर्च - कटी हुई, धनिया - कुछ टहनियाँ कटी हुई, ताजा नारियल - कद्दूकस किया हुआ</t>
  </si>
  <si>
    <t>1/2 cup Gram flour (besan),1/2 cup Curd (Dahi / Yogurt),1 cup Pomegranate juice,1-1/2 teaspoon Red Chilli powder,Salt - to taste.,2 tablespoons Paneer (Homemade Cottage Cheese) - grated,2 tablespoons Fresh coconut - grated,1-2 teaspoons Sugar,1 Green Chilli - chopped,1 tablespoon Coriander (Dhania) Leaves - finely chopped,1/2 teaspoon Sesame seeds (Til seeds),Salt - to taste,1/2 tablespoon Sunflower Oil,1 teaspoon Mustard seeds,Asafoetida (hing) - a pinch,1 Green Chilli - chopped,Coriander (Dhania) Leaves - Few sprigs chopped,Fresh coconut - grated</t>
  </si>
  <si>
    <t xml:space="preserve">To begin making Pomegranate Flavoured Stuffed Khandvi, in a mixing bowl, combine the paneer, along with fresh coconut, sugar, green chilli, cilantro, sesame seeds and salt to taste. The next step is to make the Pomegranate Khandvi.In a mixing bowl, combine besan, yogurt, pomegranate juice, red chilli powder and salt to taste.Using a whisk, mix well to form a smooth batter.Rest it for about 20-25 minutes. After this cook the mixture in a pan and stir constantly so that no lumps are formed. Cook it till it becomes really thick and soft.Once it is very thick, spread just a little on the kitchen counter to check the batter is ready or not). If you are able to roll it than the batter is ready. If not, then cook it for some more time.Once the batter is ready, spread it on the kitchen counter or on the greased inverted Thali. Spread into a thin layer using a bowl or a palette knife. Once it is cool, cut it into strips. Once it is done spread the stuffing mixture all over the khandvi and roll them tightly.Heat 1 tablespoon of oil in a pan and add mustard seeds, chopped green chillies and asafoetida.When they splutter, pour it over the Pomegranate flavoured khandvi. Garnish it with chopped cilantro and grated coconut.Serve Pomegranate flavoured khandvi with Dhaniya Pudina Chutney and hot Masala Chai. 
</t>
  </si>
  <si>
    <t>अनार के स्वाद वाली भरवां खांडवी बनाने के लिए सबसे पहले एक मिक्सिंग बाउल में पनीर, ताजा नारियल, चीनी, हरी मिर्च, धनिया, तिल और स्वादानुसार नमक डालें। अगला कदम अनार की खांडवी बनाना है। एक मिक्सिंग बाउल में बेसन, दही, अनार का जूस, लाल मिर्च पाउडर और स्वादानुसार नमक मिलाएं। एक व्हिस्क का उपयोग करके, एक चिकना घोल बनाने के लिए अच्छी तरह मिलाएं। इसे लगभग 20-25 मिनट के लिए रख दें। इसके बाद मिश्रण को पैन में पकाएं और लगातार हिलाते रहें ताकि कोई गांठ न बने। इसे तब तक पकाएं जब तक यह वास्तव में गाढ़ा और मुलायम न हो जाए। एक बार जब यह बहुत गाढ़ा हो जाए, तो बैटर तैयार है या नहीं यह जांचने के लिए इसे किचन काउंटर पर थोड़ा सा फैला दें। एक कटोरी या पैलेट चाकू का उपयोग करके एक पतली परत में फैलाएं। ठंडा होने के बाद, इसे स्ट्रिप्स में काट लें। एक बार जब यह हो जाए तो स्टफिंग मिश्रण को खांडवी पर फैला दें और उन्हें कसकर रोल करें। एक पैन में 1 बड़ा चम्मच तेल गरम करें और उसमें सरसों के बीज, कटी हरी मिर्च और हींग डालें। जब वे फूटने लगें, तो इसे अनार के स्वाद वाली खांडवी के ऊपर डालें। इसे कटे हुए धनिया और कद्दूकस किए हुए नारियल से गार्निश करें। अनार के स्वाद वाली खांडवी को धनिया पुदीना चटनी और गरम मसाला चाय के साथ परोसें।</t>
  </si>
  <si>
    <t>http://www.archanaskitchen.com/pomegranate-flavoured-stuffed-khandvi-recipe</t>
  </si>
  <si>
    <t>Aloo Beans Sabzi Recipe - Potato &amp; Beans Stir Fry</t>
  </si>
  <si>
    <t>आलू बीन्स सब्ज़ी रेसिपी - आलू और बीन्स स्टर फ्राई</t>
  </si>
  <si>
    <t>3 आलू - उबले हुए, 250 ग्राम हरी बीन्स (फ्रेंच बीन्स) - कटी और उबली हुई, 1 चम्मच सरसों के बीज, 1 चम्मच जीरा (जीरा), 1 चम्मच धनिया पाउडर (धनिया), 1/2 चम्मच हल्दी पाउडर (हल्दी), 1 चुटकी हींग (हिंग), 1/4 चम्मच लाल मिर्च पाउडर - स्वादानुसार, 1 टहनी करी पत्ता, सूरजमुखी का तेल - पकाने के लिए</t>
  </si>
  <si>
    <t>3 Potatoes (Aloo) - boiled,250 grams Green beans (French Beans) - chopped and steamed,1 teaspoon Mustard seeds,1 teaspoon Cumin seeds (Jeera),1 teaspoon Coriander Powder (Dhania),1/2 teaspoon Turmeric powder (Haldi),1 pinch Asafoetida (hing),1/4 teaspoon Red Chilli powder - according to taste,1 sprig Curry leaves,Sunflower Oil - for cooking</t>
  </si>
  <si>
    <t xml:space="preserve">To begin making the Aloo Beans Sabzi Recipe, we will first cook the potatoes and beans separately.See video recipe of how to cook the potatoes in a pressure cooker and beans in a pressure cooker.Once the potatoes are cooked, allow it to cool and remove the skin and dice them into chunks. Keep the steamed beans and potatoes aside while we proceed to make the masala for the sabzi.Heat a teaspoon of oil in a heavy bottomed pan; add the mustard seeds and cumin seeds and allow them to crackle. Next add the chopped curry leaves, turmeric powder, asafoetida powder, coriander powder, red chilli powder to the oil. Stir for a few seconds. Finally add the cooked potatoes and steamed green beans into the sabzi masala, sprinkle salt and give it a stir. Cover the pan, turn the heat to low and simmer the Aloo Beans Sabzi for about 3 to 4 minutes, so all the masalas get well coated with the sabzi. Check the salt and spice levels, and adjust to suit your taste.Transfer the Aloo Beans Sabzi to a bowl and serve it along with Gujarati Dal and Phulka's for a wholesome weeknight dinner or even a weekend brunch with family.
</t>
  </si>
  <si>
    <t>आलू बीन्स की सब्जी बनाने के लिए सबसे पहले हम आलू और बीन्स को अलग-अलग पकाएंगे। प्रेशर कुकर में आलू और बीन्स को पकाने की वीडियो रेसिपी देखें। आलू पक जाने के बाद इसे ठंडा कर लें और इसका छिलका हटाकर छोटे टुकड़ों में काट लें। सब्जी के लिए मसाला बनाने के दौरान उबले हुए बीन्स और आलू को एक तरफ रख दें। एक भारी तले की कड़ाही में एक चम्मच तेल गर्म करें, उसमें राई और जीरा डालें और उन्हें चटकने दें। इसके बाद तेल में कटे हुए करी पत्ते, हल्दी पाउडर, हींग पाउडर, धनिया पाउडर, लाल मिर्च पाउडर डालें। कुछ सेकेंड के लिए हिलाएं। आखिर में पके हुए आलू और उबले हुए हरे बीन्स को सब्जी मसाले में डालें, नमक छिड़कें और इसे हिलाएं। नमक और मसाले के स्तर की जाँच करें, और अपने स्वाद के अनुसार समायोजित करें। आलू बीन्स की सब्जी को एक कटोरे में डालें और इसे गुजराती दाल और फुल्के के साथ परोसें, जो पूरे सप्ताह के खाने या परिवार के साथ सप्ताहांत के नाश्ते के लिए एक बढ़िया विकल्प है।</t>
  </si>
  <si>
    <t>http://www.archanaskitchen.com/aloo-beans-sabzi-recipe-potato-beans-stir-fry</t>
  </si>
  <si>
    <t>Lapsi Recipe  - Sweetened Gujarati Broken Wheat</t>
  </si>
  <si>
    <t>लापसी रेसिपी - मीठा गुजराती गेहूं का आटा</t>
  </si>
  <si>
    <t>1 कप टूटा हुआ गेहूं (दलिया / गोदुमई रवा), 1 कप गुड़, 1/2 चम्मच इलायची पाउडर (इलायची), 1/4 कप किशमिश, 1/4 कप काजू - टूटे हुए, 2 बड़े चम्मच घी</t>
  </si>
  <si>
    <t>1 cup Broken Wheat (Dalia/ Godumai Rava),1 cup Jaggery,1/2 teaspoon Cardamom Powder (Elaichi),1/4 cup Raisins,1/4 cup Cashew nuts - broken,2 tablespoons Ghee</t>
  </si>
  <si>
    <t xml:space="preserve">To begin making the Lapsi Recipe, dissolve the jaggery in 2 cups of hot water, strain to remove any residue and set aside.Heat one tablespoon of ghee in a pan on medium heat; add the cashew nuts and roast until the color changes to light golden. Turn off the heat and keep the roasted cashew nuts aside.Heat another tablespoon of ghee in a wide pan on medium heat; stir in the broken wheat and roast the wheat until it gets a roasted aroma and the color changes to golden orange.Pour in the jaggery mixture and cardamom powder stirring continuously until well combined. Reduce the heat to low and cover the pan with a lid and simmer for 10 minutes; stirring occasionally until the wheat is cooked to tender.When done the grains should be separate and not mushy and sticking together. Allow the Lapsi to rest covered for five minutes. Stir in the cashew nuts and the raisins to the above mixture and serveServe the Lapsi warm as a Dessert or a sweet for special occasions. 
</t>
  </si>
  <si>
    <t>लापसी रेसिपी बनाने के लिए, 2 कप गर्म पानी में गुड़ को घोलें, किसी भी अवशेष को हटाने के लिए छान लें और अलग रख दें। मध्यम आंच पर एक पैन में एक बड़ा चम्मच घी गर्म करें; काजू डालें और रंग बदलने तक हल्का सुनहरा होने तक भूनें। आंच बंद कर दें और भुने हुए काजू को अलग रख दें। मध्यम आंच पर एक चौड़े पैन में घी का एक और बड़ा चम्मच गर्म करें; टूटे हुए गेहूं को हिलाएं और गेहूं को तब तक भूनें जब तक कि इसमें भुने हुए सुगंध न आ जाए और रंग सुनहरे नारंगी रंग में बदल जाए। गुड़ का मिश्रण और इलायची पाउडर डालें, अच्छी तरह से मिश्रित होने तक लगातार हिलाते रहें। आंच को कम करें और पैन को ढक्कन से ढक दें और 10 मिनट तक उबालें, जब तक गेहूं नरम न हो जाए, तब तक कभी-कभी हिलाते रहें। जब पक जाए तो दाने अलग-अलग होने चाहिए</t>
  </si>
  <si>
    <t>http://www.archanaskitchen.com/lapsi-recipe</t>
  </si>
  <si>
    <t>Spinach Khandvi Recipe - Savory Gram Flour Pinwheels With Spinach</t>
  </si>
  <si>
    <t>पालक खांडवी रेसिपी - पालक के साथ स्वादिष्ट बेसन की पिनव्हील्स</t>
  </si>
  <si>
    <t>1 कप बेसन, 1 कप दही, 100 ग्राम पालक - कटा हुआ, 1-1/4 कप पानी, 1/2 छोटा चम्मच हल्दी, 1/4 छोटा चम्मच हींग, 1/4 छोटा चम्मच चीनी, नमक - स्वादानुसार, 1/2 छोटा चम्मच सरसों के बीज, 1/2 छोटा चम्मच जीरा, 1 छोटा चम्मच तिल, 6 करी पत्ते, 2 बड़े चम्मच ताजा नारियल - कसा हुआ, 2 बड़े चम्मच धनिया - कटा हुआ, 2 चम्मच सूरजमुखी का तेल</t>
  </si>
  <si>
    <t>1 cup Gram flour (besan),1 cup Curd (Dahi / Yogurt),100 grams Spinach Leaves (Palak) - roughly chopped,1-1/4 cups Water,1/2 teaspoon Turmeric powder (Haldi),1/4 teaspoon Asafoetida (hing),1/4 teaspoon Sugar,Salt - to taste,1/2 teaspoon Mustard seeds,1/2 teaspoon Cumin seeds (Jeera),1 teaspoon Sesame seeds (Til seeds),6 Curry leaves,2 tablespoons Fresh coconut - grated,2 tablespoons Coriander (Dhania) Leaves - chopped,2 teaspoons Sunflower Oil</t>
  </si>
  <si>
    <t xml:space="preserve">To begin making the Spinach Khandvi Recipe, into a blender combine the besan, curd, spinach leaves, turmeric powder, asafoetida powder,  sugar, salt  and blitz it once, once it has all come together. Open the mixer jar add about a cup of water and blitz the mixture once again. When you blend, add the water little at a time, so we get a finely pureed spinach mixture.Before we proceed to the next step, we need to prepare the work surface to make Khandvi. It is important to have a smooth surface and the ideal is granite counter top. Clean the counter top thoroughly as you will be spreading the cooked gram flour mixture. If you don't have a granite counter top, then you can use a flat plate or a smooth cookie sheet big enough to spread the mixture. If you do it on plates, or cookie sheets, you will probably have to spread the mixture in multiple rounds. The number of these plates you need will depend on how thin you spread the mixture. My estimate is about 3-4 plates of 12 inch diameter. Also if you use plates or cookie sheets, spread them on the back side.Transfer the khandvi batter into a non-stick pan and heat on low to medium heat, stirring constantly to prevent lump formation. Continue stirring on low heat, till the mixture thickens for 15 minutes.The mixture will begin to attain a shine. Once you notice the Khandvi batter has a shine to it and has thickened, turn off the heat. Keep the mixture covered, so it remains hot while you proceed to the steps below, as it will not spread when it cools down.Spread the hot mixture on the prepared surface as thinly as possible, with a flat spatula. When you have finished spreading the batter, allow it to cool a little and settle down about three minutes and not less. Repeat this process and continue to spread the entire mixture, before it cools down.After about 10 minutes have passed begin rolling the mixture into a log starting from the top. Once the rolls have been made, cut the rolls into one inch size logs. Place the cut rolls on a serving platter.Heat oil in a pan for seasoning; add mustard seeds, cumin seeds, sesame seeds, curry leaves allow them to crackle.Sprinkle the seasoning over the rolls and garnish with coriander leaves and coconut. This can be made one day ahead and kept in the refrigerator and warmed up in the microwave before serving.Serve Spinach Khandvi as a side dish along with Gujarati Dal, Aloo Bhindi and Hot Phulkas for your weekday lunch.
</t>
  </si>
  <si>
    <t>पालक खांडवी रेसिपी बनाने के लिए, एक ब्लेंडर में बेसन, दही, पालक के पत्ते, हल्दी पाउडर, हींग पाउडर, चीनी, नमक मिलाएं और सब कुछ एक साथ आने पर इसे एक बार ब्लेंड करें। मिक्सर जार खोलें, लगभग एक कप पानी डालें और मिश्रण को एक बार फिर ब्लेंड करें। जब आप ब्लेंड करते हैं, तो थोड़ा-थोड़ा करके पानी डालें, ताकि हमें एक बारीक प्यूरी किया हुआ पालक मिश्रण मिले। अगले चरण पर आगे बढ़ने से पहले, हमें खांडवी बनाने के लिए काम की सतह तैयार करने की जरूरत है। एक चिकनी सतह का होना महत्वपूर्ण है और इसके लिए ग्रेनाइट काउंटर टॉप आदर्श है। काउंटरटॉप को अच्छी तरह से साफ करें क्योंकि आप पके हुए बेसन के मिश्रण को फैलाएंगे। यदि आपके पास ग्रेनाइट काउंटरटॉप नहीं है, तो आप मिश्रण को फैलाने के लिए एक सपाट प्लेट या चिकनी कुकी शीट का उपयोग कर सकते मेरा अनुमान है कि 12 इंच व्यास की लगभग 3-4 प्लेटें बनेंगी। इसके अलावा, यदि आप प्लेट या कुकी शीट का उपयोग करते हैं, तो उन्हें पीछे की तरफ फैलाएँ। खांडवी बैटर को नॉन-स्टिक पैन में डालें और धीमी से मध्यम आँच पर गर्म करें, गांठ बनने से रोकने के लिए लगातार हिलाते रहें। धीमी आँच पर तब तक हिलाते रहें, जब तक कि मिश्रण 15 मिनट तक गाढ़ा न हो जाए। मिश्रण में चमक आनी शुरू हो जाएगी। जब आपको लगे कि खांडवी बैटर में चमक आ गई है और यह गाढ़ा हो गया है, तो आँच बंद कर दें। मिश्रण को ढककर रखें, ताकि जब आप नीचे दिए गए चरणों पर आगे बढ़ें, तो यह गर्म रहे, क्योंकि ठंडा होने पर यह फैलेगा नहीं। तैयार सतह पर गर्म मिश्रण को एक सपाट स्पैटुला से जितना संभव हो उतना पतला फैलाएँ। जब आप बैटर को फैलाना समाप्त कर लें, तो इसे थोड़ा ठंडा होने दें और लगभग तीन मिनट तक बैठने दें, इससे कम नहीं। इस प्रक्रिया को दोहराएँ और पूरे मिश्रण को फैलाना जारी रखें, जब तक कि यह ठंडा न हो जाए। लगभग 10 मिनट बीत जाने के बाद मिश्रण को ऊपर से शुरू करके एक लॉग में रोल करना शुरू करें। रोल बन जाने के बाद, रोल को एक इंच के लॉग में काट लें। कटे हुए रोल को सर्विंग प्लेट पर रखें। मसाले के लिए एक पैन में तेल गरम करें; राई, जीरा, तिल, करी पत्ता डालें और उन्हें चटकने दें। रोल पर मसाला छिड़कें और धनिया पत्ती और नारियल से सजाएँ। इसे एक दिन पहले बनाकर फ्रिज में रखा जा सकता है और परोसने से पहले माइक्रोवेव में गर्म किया जा सकता है। पालक खांडवी को गुजराती दाल, आलू भिंडी और गरम फुल्के के साथ अपने सप्ताह के दोपहर के भोजन के लिए साइड डिश के रूप में परोसें।</t>
  </si>
  <si>
    <t>http://www.archanaskitchen.com/spinach-khandvi-recipe-gujarati-snack-savory-gram-flour-pinwheels</t>
  </si>
  <si>
    <t>Pudina Sooji &amp; Oats Dhokla Recipe - Steamed Semolina Cake With Oats &amp; Mint Leaves</t>
  </si>
  <si>
    <t>पुदीना सूजी और ओट्स ढोकला रेसिपी - ओट्स और पुदीने की पत्तियों के साथ स्टीम्ड सूजी केक</t>
  </si>
  <si>
    <t>2 कप सूजी, 40 ग्राम रोल्ड ओट्स या इंस्टेंट ओट्स, 1/4 कप पुदीना - बारीक कटा हुआ, 1 कप दही, 2 छोटे चम्मच इनोस फ्रूट साल्ट, 1/2 छोटा चम्मच हींग, 1 अदरक - कद्दूकस किया हुआ, 1 छोटा चम्मच सूरजमुखी तेल, लाल मिर्च पाउडर - गार्निश के लिए, नमक - स्वादानुसार, 1 छोटा चम्मच सरसों के बीज, 1 छोटा चम्मच तिल, 1 छोटा चम्मच सूरजमुखी तेल, 1 टहनी करी पत्ता</t>
  </si>
  <si>
    <t>2 cups Sooji (Semolina/ Rava),40 grams Rolled Oats Or Instant Oats,1/4 cup Mint Leaves (Pudina) - finely chopped,1 cup Curd (Dahi / Yogurt),2 teaspoons Enos fruit salt,1/2 teaspoon Asafoetida (hing),1 Ginger - grated,1 teaspoon Sunflower Oil,Red Chilli powder - for garnish,Salt - to taste,1 teaspoon Mustard seeds,1 teaspoon Sesame seeds (Til seeds),1 teaspoon Sunflower Oil,1 sprig Curry leaves</t>
  </si>
  <si>
    <t xml:space="preserve">To begin making the Pudina Sooji &amp; Oats Dhokla Recipe, we will first roast the semolina (sooji).In a wok, dry roast the semolina until you get a slightly roasted flavor. Roast on medium heat in a kadai for about 3 to 4 minutes taking care not to brown the semolina (sooji). Once roasted, transfer to a large mixing bowl and keep aside.In a large mixing bowl where you have kept the roasted semolina, add the oats, the asafoetida, the mint leaves, the ginger, the salt, the teaspoon of oil and yogurt. Add water little at a time and stir to make a thick batter (about 2-1/2 cups). Check the salt and adjust to suit your tastePudina Sooji Oats Dhokla batter to rest for about 10 minutes.Once the batter is well rested, add the eno fruit salt and mix vigorously. The next step is to steam the Pudina Sooji &amp; Oats Dhokla. Preheat a steamer with water on medium-high heat. Grease the Dhokla Plates with oil and pour the Pudina Sooji &amp; Oats Dhokla batter evenly into the plates. Fill it only up to 3/4th level of the plates. Sprinkle just a little red chilli powder over the dhokla batter to add to the taste of the dhoklaPlace the filled dhokla plates in the steamer and steamer on high for 10 minutes. After 10 minutes turn off the heat and remove the dhokla from the steamer and set aside for 5 minutes before you can cut them into shapes.The final step is to season the Pudina Sooji &amp; Oats Dhokla. Heat a teaspoon of oil in a tadka pan; add the mustard and cumin seeds and allow it to crackle. Add the curry leaves and give it a stir. Turn off the heat.Drizzle the seasoning over the Pudina Sooji &amp; Oats Dhokla and serve it along with Green Chutney for breakfast or dinner
</t>
  </si>
  <si>
    <t>पुदीना सूजी और ओट्स ढोकला रेसिपी बनाने के लिए सबसे पहले हम सूजी को भूनेंगे। एक कड़ाही में सूजी को तब तक भूनें जब तक कि हल्का भुनने का स्वाद न आ जाए। एक कढ़ाई में मध्यम आँच पर 3 से 4 मिनट तक भूनें, ध्यान रखें कि सूजी भूरी न हो जाए। भुन जाने के बाद एक बड़े मिक्सिंग बाउल में डालें और एक तरफ रख दें। एक बड़े मिक्सिंग बाउल में जहां आपने भुनी हुई सूजी रखी है, उसमें ओट्स, हींग, पुदीने के पत्ते, अदरक, नमक, एक चम्मच तेल और दही डालें। थोड़ा-थोड़ा करके पानी डालें और गाढ़ा घोल (लगभग 2-1/2 कप) बनाने के लिए चलाएँ। नमक की जाँच करें और अपने स्वादानुसार समायोजित करें पुदीना सूजी ओट्स ढोकला बैटर को लगभग 10 मिनट तक आराम करने दें मध्यम-तेज़ आंच पर पानी के साथ स्टीमर को पहले से गरम कर लें। ढोकला प्लेटों को तेल से चिकना करें और पुदीना सूजी और ओट्स ढोकला बैटर को प्लेटों में समान रूप से डालें। इसे प्लेटों के केवल 3/4 वें स्तर तक ही भरें। ढोकला के स्वाद को बढ़ाने के लिए ढोकला बैटर के ऊपर थोड़ा सा लाल मिर्च पाउडर छिड़कें, भरे हुए ढोकला प्लेटों को स्टीमर में रखें और 10 मिनट के लिए तेज आंच पर स्टीमर रखें। 10 मिनट के बाद आंच बंद कर दें और ढोकला को स्टीमर से हटा दें और 5 मिनट के लिए अलग रख दें, इससे पहले कि आप उन्हें आकार में काट सकें। अंतिम चरण पुदीना सूजी और ओट्स ढोकला को मसाला देना है। एक तड़के पैन में एक चम्मच तेल गर्म करें, इसमें सरसों और जीरा डालें और इसे चटकने दें आंच बंद कर दें। पुदीना सूजी और ओट्स ढोकला पर मसाला छिड़कें और इसे नाश्ते या रात के खाने के लिए हरी चटनी के साथ परोसें।</t>
  </si>
  <si>
    <t>http://www.archanaskitchen.com/pudina-sooji-oats-dhokla-recipe-steamed-semolina-cake-with-oats-mint-leaves</t>
  </si>
  <si>
    <t>Potato Capsicum Vegetable Recipe - Aloo Simla Mirch Ki Sabzi (Recipe In Hindi)</t>
  </si>
  <si>
    <t>आलू शिमला मिर्च की सब्जी रेसिपी - आलू शिमला मिर्च की सब्जी (रेसिपी इन हिंदी)</t>
  </si>
  <si>
    <t>4 आलू - नमक मिर्च (हरी) - काट ले, 1 प्याज - काट ले, 1 इंच अदरक - कस ले, 1 छोटा चमच्च धनिया पाउडर, 1 छोटा चम्मच हल्दी पाउडर, 1 छोटा चम्मच गरम मसाला पाउडर, नमक - स्वाद, लाल मिर्च पाउडर - स्वाद के अनुसार, तेल - प्रयोग के अनुसार, 4 थनी हरा धनिया - काट ले</t>
  </si>
  <si>
    <t>4 Potatoes - boiled and chopped, 1 capsicum (green) - cut, 1 onion - cut, 1 inch ginger - tighten, 1 teaspoon coriander powder, 1 teaspoon turmeric powder, 1 teaspoon garam masala powder, salt - according to taste, red chili powder - according to taste, oil - as per use, 4 sprig coriander - chop</t>
  </si>
  <si>
    <t>To make Aloo Capsicum Sabzi, first boil the potatoes in a pressure cooker. Peel and chop them. Now heat oil in a pan. Add ginger, onion and capsicum in it. Cook till onion and capsicum become soft. After this add potatoes, turmeric powder, coriander powder, garam masala powder, red chili powder and salt. Mix everything well. Cover the pan, reduce the flame and let it cook for 5 minutes. Turn off the gas after cooking and garnish with green coriander. Serve Aloo Capsicum with Garlic Daal and Phulkas for lunch.</t>
  </si>
  <si>
    <t xml:space="preserve">आलू आलू काली मिर्च की सब्जी बनाने के लिए सबसे पहले आलू को स्वादिष्ट कुकर में डालिये. झटपट कर काट ले. अब एक चटनी में तेल गरम करें। इसमें अदरक, प्याज और टमाटर काली मिर्च डाली गई। प्याज और मिर्च के प्राकृतिक तक पकाए। इसके बाद इसमें आलू, हल्दी पाउडर, धनिया पाउडर, गर्म मसाला पाउडर, लाल मिर्च पाउडर और नमक डाला जाता है। सबसे अच्छी तरह से मिला ले. मसाले को पका ले, आंच को धीमा कर लीजिये और 5 मिनट तक मसाला दे दीजिये. रेस्तरां के बाद गैस बंद करें और हरे धनिए से गार्निश करें। आलू साबुत मिर्च को लहसुनी दाल और फुलके के साथ दिन के खाने के लिए बनायें।
</t>
  </si>
  <si>
    <t>https://www.archanaskitchen.com/aloo-simla-mirch-ki-sabzi-recipe-in-hindi</t>
  </si>
  <si>
    <t>Gujarati Mooli Bajra Muthia Recipe - Radish And Bajra-Besan Dmplings</t>
  </si>
  <si>
    <t>गुजराती मूली बाजरा मुठिया रेसिपी - मूली और बाजरा-बेसन के पकौड़े</t>
  </si>
  <si>
    <t>2 मूली - छीलकर कद्दूकस कर लें, मूली के पत्ते - मुट्ठी भर, 3/4 कप बाजरे का आटा, 1/2 कप गेहूं का आटा, 1/4 कप बेसन, 2 छोटे चम्मच अजवाइन, 1 छोटा चम्मच धनिया, 1 छोटा चम्मच जीरा, 1/2 छोटा चम्मच हींग, 1 छोटा चम्मच हल्दी, 2-3 छोटे चम्मच हरी मिर्च का पेस्ट - या लाल मिर्च पाउडर, 2 छोटे चम्मच अदरक लहसुन का पेस्ट, धनिया के पत्ते - मुट्ठी भर, 1 बड़ा चम्मच सूरजमुखी का तेल, 2 छोटे चम्मच नींबू का रस, 1 छोटा चम्मच चीनी, नमक - स्वादानुसार, 1 बड़ा चम्मच सूरजमुखी का तेल, 2 छोटे चम्मच जीरा, 1 छोटा चम्मच सौंफ, 2 छोटे चम्मच तिल, 10 करी पत्ते - (वैकल्पिक)</t>
  </si>
  <si>
    <t>2 Mooli/ Mullangi (Radish) - peeled and grated,Mooli Ke Patte (Radish Greens) - a handful,3/4 cup Bajra Flour ( Pearl Millet),1/2 cup Whole Wheat Flour,1/4 cup Gram flour (besan),2 teaspoons Ajwain (Carom seeds),1 teaspoon Coriander Powder (Dhania),1 teaspoon Cumin powder (Jeera),1/2 teaspoon Asafoetida (hing),1 teaspoon Turmeric powder (Haldi),2-3 teaspoons Green Chilli Paste - or red chilli powder,2 teaspoon Ginger Garlic Paste,Coriander (Dhania) Leaves - a handful,1 tablespoon Sunflower Oil,2 teaspoons Lemon juice,1 teaspoon Sugar,Salt - to taste,1 tablespoon Sunflower Oil,2 teaspoons Cumin powder (Jeera),1 teaspoon Fennel seeds (Saunf),2 teaspoons Sesame seeds (Til seeds),10 Curry leaves - (optional)</t>
  </si>
  <si>
    <t xml:space="preserve">To begin making Gujarati Mooli Bajra Muthia Recipe, we will first make the Muthia dough.To make the muthiya dough, in a mixing bowl, combine the radish, radish leaves, bajra flour, whole wheat flour, besan, ajwain, dhaniya-jeera powder, hing, turmeric powder, green chilli paste, ginger garlic paste, coriander leaves, oil, lime juice, sugar and salt to taste. Add some water and mix till everything just comes together. Do not knead the dough too much. We are looking for a stiff firm dough. Prepare logs of dough that are 1-1/2 inch thick. you can form around 2-3 logs as per convenience of kneading lightly with palms.Prepare a steamer and keep it on medium heat to preheat.Grease the steamer plate with some oil.Place the logs on it and steam covered for about 15-20 minutes. Insert a knife to check if they are done. The knife should come out clean when the Muthia is steamed. Allow them to cool and slice the logs to about 1 inch thick. In a non-stick pan, heat cooking oil. Once the oil is hot, add the cumin seeds and once they sizzle, add in the curry leaves, fennel seeds and sesame seeds.Add the sliced Mooli Bajra Muthia and fry them on medium heat till they turn to a light golden colour.Serve Gujarati Mooli Bajra Muthia Recipe (Steamed and Tempered Grated Radish And Bajra-Besan Dumplings) on its own or with chutney of choice, like Dhaniya Pudina Chutney Recipe (Green Chutney) or Lahsun ki Chutney for snacks.
</t>
  </si>
  <si>
    <t>गुजराती मूली बाजरा मुठिया रेसिपी बनाने के लिए सबसे पहले हम मुठिया का आटा बनायेंगे। मुठिया का आटा बनाने के लिए एक मिक्सिंग बाउल में मूली, मूली के पत्ते, बाजरे का आटा, गेहूं का आटा, बेसन, अजवाइन, धनिया-जीरा पाउडर, हिंग, हल्दी पाउडर, हरी मिर्च का पेस्ट, अदरक लहसुन का पेस्ट, धनिया पत्ती, तेल, नींबू का रस, चीनी और स्वादानुसार नमक मिलाएं। थोड़ा पानी डालें और तब तक मिलाएँ जब तक कि सब कुछ एक साथ न आ जाए। आटे को ज्यादा न गूंथें। हम एक सख्त सख्त आटे की तलाश में हैं। आटे की 1-1/2 इंच मोटी लोइयां तैयार करें। आप अपनी सुविधानुसार हथेलियों से हल्का गूंथ कर 2-3 लोइयां बना सकते हैं। एक स्टीमर तैयार करें और इसे मध्यम आंच पर पहले से गरम होने के लिए रखें मुठिया को भाप में पकाने पर चाकू साफ बाहर आना चाहिए। इन्हें ठंडा होने दें और लट्ठों को लगभग 1 इंच मोटा काट लें। एक नॉन-स्टिक पैन में खाना पकाने का तेल गर्म करें। तेल गर्म हो जाने पर इसमें जीरा डालें और जब वे तड़कने लगें तो इसमें करी पत्ता, सौंफ और तिल डालें। इसमें कटी हुई मूली बाजरा मुठिया डालें और मध्यम आंच पर हल्के सुनहरे रंग के होने तक भूनें। गुजराती मूली बाजरा मुठिया रेसिपी (स्टीम्ड और तड़के वाली कद्दूकस की हुई मूली और बाजरा-बेसन के पकौड़े) को अकेले या अपनी पसंद की चटनी जैसे धनिया पुदीना चटनी रेसिपी (हरी चटनी) या लहसुन की चटनी के साथ नाश्ते में परोसें।</t>
  </si>
  <si>
    <t>https://www.archanaskitchen.com/gujarati-mooli-bajra-muthia-recipe-steamed-and-tempered-grated-radish-and-bajra-besan-dumplings</t>
  </si>
  <si>
    <t>Gujarati Badshahi Pulao Recipe - A Rich Preparation Of Rice, Vegetables, Nuts And Spices</t>
  </si>
  <si>
    <t>गुजराती बादशाही पुलाव रेसिपी - चावल, सब्ज़ियाँ, मेवे और मसालों से बनी एक समृद्ध रेसिपी</t>
  </si>
  <si>
    <t>2 कप बासमती चावल, 1/4 कप गाजर - कटी हुई, 1/4 कप हरी बीन्स (फ्रेंच बीन्स), 1 कप फूलगोभी (गोबी) - छोटे फूल, 1/4 कप हरी मटर (मटर), 1 कप टमाटर - कटा हुआ, 2 प्याज - कटा हुआ, 1 इंच अदरक - कटा हुआ, 3 लहसुन के दाने, 3 हरी मिर्च, 1/2 चम्मच हल्दी पाउडर (हल्दी), 3 इलायची की फली / बीज, 3 लौंग (लौंग), 1 इंच दालचीनी (दालचीनी), 1 तेज पत्ता (तेज पत्ता), 2 चम्मच साबुत काली मिर्च, 2 बड़े चम्मच बादाम - कटा हुआ, 2 बड़े चम्मच काजू, 1/4 कप किशमिश - सूताना किस्म, 4 बड़े चम्मच घी, 1/4 कप पुदीना के पत्ते (कटे हुए), नमक - स्वादानुसार</t>
  </si>
  <si>
    <t>2 cups Basmati rice,1/4 cup Carrots (Gajjar) - chopped,1/4 cup Green beans (French Beans),1 cup Cauliflower (gobi) - florets,1/4 cup Green peas (Matar),1 cup Tomatoes - chopped,2 Onions - chopped,1 inch Ginger - chopped,3 cloves Garlic,3 Green Chillies,1/2 teaspoon Turmeric powder (Haldi),3 Cardamom (Elaichi) Pods/Seeds,3 Cloves (Laung),1 inch Cinnamon Stick (Dalchini),1 Bay leaf (tej patta),2 teaspoons Whole Black Peppercorns,2 tablespoons Badam (Almond) - sliced,2 tablespoons Cashew nuts,1/4 cup Raisins - sutana variety,4 tablespoons Ghee,1/4 cup Mint Leaves (Pudina) - chopped,Salt - to taste</t>
  </si>
  <si>
    <t xml:space="preserve">To begin making the Gujarati Badshahi Pulao Recipe, wash and soak rice in 4 cups of water for half an hour.Steam the vegetables -  carrots, beans, florets and peas and set aside. Using the pestle and mortar, pound together the cinnamon, cloves and cardamom to a fine powder.Heat 1 tablespoon of ghee in a small pan on medium heat, roast the nuts and raisins and set aside.Make a paste of the onions, ginger, garlic and green chillies.Heat the remaining 3 tablespoons of ghee on medium heat; add onion-ginger-garlic paste and sauté until they turn light golden brown in colour.Add the pounded spice powder, bay leaves, crushed peppercorns, tomatoes, turmeric powder and sauté until the tomatoes are tender and soft. Stir in the rice along with the water it was soaked in, salt, and chopped mint leaves.Allow the Badshahi Pulao mixture to come to a boil and then turn the heat to low. Cover the pan and simmer for approximately 30 minutes until the rice has absorbed all the water and cooked to the desired texture.Once cooked, turn off the heat and allow the Badshahi Pulao to rest for 15 minutes. Gently stir in the steamed vegetables, roasted nuts and serve hot.Serve the Badshahi Pulao with Gujarati Kadhi and Papad and Boondi Raita for your everyday meals.
</t>
  </si>
  <si>
    <t>गुजराती बादशाही पुलाव रेसिपी बनाने के लिए सबसे पहले चावल को धोकर 4 कप पानी में आधे घंटे के लिए भिगो दें।सब्जियों - गाजर, बीन्स, फूलगोभी और मटर को भाप में पका लें और एक तरफ रख दें। मूसल और खरल का प्रयोग करते हुए, दालचीनी, लौंग और इलायची को एक साथ पीसकर बारीक पाउडर बना लें।मध्यम आंच पर एक छोटे पैन में 1 बड़ा चम्मच घी गर्म करें, मेवे और किशमिश को भून लें और एक तरफ रख दें।प्याज, अदरक, लहसुन और हरी मिर्च का पेस्ट बना लें।मध्यम आंच पर बचे हुए 3 बड़े चम्मच घी गर्म करें, इसमें प्याज-अदरक-लहसुन का पेस्ट डालें और तब तक भूनें जब तक कि वे हल्के सुनहरे भूरे रंग के न हो जाएं।पीसी हुई मसाला पाउडर, तेजपत्ता, कुटी काली मिर्च, टमाटर, हल्दी पाउडर डालें और तब तक भूनें जब तक कि टमाटर नरम न हो जाएं। पैन को ढक दें और लगभग 30 मिनट तक पकाएँ जब तक कि चावल सारा पानी सोख न ले और मनचाही बनावट में पक न जाए। पकने के बाद, आँच बंद कर दें और बादशाही पुलाव को 15 मिनट के लिए आराम करने दें। उबली हुई सब्ज़ियाँ, भुने हुए मेवे डालकर धीरे-धीरे चलाएँ और गरमागरम परोसें। बादशाही पुलाव को गुजराती कढ़ी और पापड़ और बूंदी रायता के साथ अपने रोज़ाना के खाने में परोसें।</t>
  </si>
  <si>
    <t>http://www.archanaskitchen.com/gujarati-badshahi-pulao-recipe-a-rich-preparation-of-rice-vegetables-nuts-and-spices</t>
  </si>
  <si>
    <t>Gujarati Style Adadiya Pak Recipe</t>
  </si>
  <si>
    <t>गुजराती स्टाइल अदाडिया पाक रेसिपी</t>
  </si>
  <si>
    <t>2 कप काली उड़द दाल (साबुत) - आटा बनाने के लिए पीसा हुआ, 1/4 कप दूध, 1/4 कप घी, 1 कप घी, 250 ग्राम खोया (मावा), 1 बड़ा चम्मच गोंद (प्राकृतिक गोंद) - घी में कुरकुरा होने तक तला हुआ, 1 कप मिले-जुले मेवे - (मैंने बादाम का उपयोग किया है, 1-1/2 कप चीनी, 1 कप पानी, 1-1/2 बड़े चम्मच इलायची पाउडर (इलायची), 1-1/2 बड़े चम्मच लौंग (लौंग) - पीसी हुई, 3 बड़े चम्मच सोंठ पाउडर, 1 बड़ा चम्मच पीपरामूल पाउडर (गंठोड़ा), काजू - कुछ</t>
  </si>
  <si>
    <t>2 cups Black Urad Dal (Whole) - ground to make atta,1/4 cup Milk,1/4 cup Ghee,1 cup Ghee,250 grams Khoya (Mawa),1 tablespoon Gond (natural gum) - fried in ghee till crisp,1 cup Mixed nuts - (I used almonds,1-1/2 cups Sugar,1 cup Water,1-1/2 tablespoons Cardamom Powder (Elaichi),1-1/2 tablespoons Cloves (Laung) - powdered,3 tablespoons Dry ginger powder,1 tablespoon Peepramul powder (ganthoda),Cashew nuts - a few</t>
  </si>
  <si>
    <t xml:space="preserve">To prepare Gujarati Style Adadiya Pak Recipe, in a mixing bowl combine, urad dal atta, milk, ghee.Mix well.Rub flour with palm for 3-4 minutes.Heat the ghee in kadai or heavy bottom kadai. Add flour mixture.Continuously stir it on medium flame till the mixture is brown in color.Meanwhile, combine sugar and water in a saucepan. Prepare a sugar syrup of 1 string consistency and keep ready.When flour starts to get brown color, add fried edible gum(gond) and grated khoya. Saute for a couple of minutes.Turn off the flame and add chopped nuts. Mix well.Allow the mixture to cool a bit. When mixture is lukewarm, combine it with sugar syrup. Mix well.Allow it to set for a while. Give a shape of your choice.Garnish Gujarati Style Adadiya Pak Recipe with cashew nuts and serve with coffee or masala chai.
</t>
  </si>
  <si>
    <t>गुजराती स्टाइल अडाडिया पाक रेसिपी बनाने के लिए, एक मिक्सिंग बाउल में उड़द दाल आटा, दूध, घी मिलाएं। अच्छी तरह मिला लें। आटे को हथेली से 3-4 मिनट तक मलें। एक कढ़ाई या भारी तले की कढ़ाई में घी गर्म करें। आटे का मिश्रण डालें। मिश्रण को भूरा होने तक मध्यम आंच पर लगातार चलाते रहें। इस बीच, एक सॉस पैन में चीनी और पानी मिलाएं। एक तार की चाशनी तैयार कर लें और तैयार रखें। जब आटा भूरा रंग का होने लगे तो इसमें तला हुआ गोंद और कसा हुआ खोवा मिलाएं। कुछ मिनट तक भूनें। आंच बंद कर दें और कटे हुए मेवे डालें। अच्छी तरह मिला लें। मिश्रण को थोड़ा ठंडा होने दें। जब मिश्रण गुनगुना हो जाए तो इसे चीनी की चाशनी में मिला दें। अच्छी तरह मिला लें। इसे थोड़ी देर के लिए सेट होने दें। अपनी पसंद का आकार दें। गुजराती स्टाइल अडाडिया पाक रेसिपी को काजू से गार्निश करें और कॉफी या मसाला चाय के साथ परोसें।</t>
  </si>
  <si>
    <t>http://www.archanaskitchen.com/gujarati-style-adadiya-pak-recipe</t>
  </si>
  <si>
    <t>Amaranth Sooji &amp; Oats Dhokla Recipe</t>
  </si>
  <si>
    <t>अमरंथ सूजी और ओट्स ढोकला रेसिपी</t>
  </si>
  <si>
    <t>2 कप सूजी, 40 ग्राम रोल्ड ओट्स या इंस्टेंट ओट्स, 200 ग्राम हरी अमरंथ पत्तियां - बारीक कटी हुई, 1 कप दही, 2 छोटे चम्मच इनोस फ्रूट साल्ट, 1/2 छोटा चम्मच हींग, 1 अदरक - कद्दूकस किया हुआ, 1 छोटा चम्मच सूरजमुखी तेल, लाल मिर्च पाउडर - गार्निश के लिए, नमक - स्वादानुसार, 1 छोटा चम्मच सरसों के बीज, 1 छोटा चम्मच तिल, 1 छोटा चम्मच सूरजमुखी तेल, 1 टहनी करी पत्ता</t>
  </si>
  <si>
    <t>2 cups Sooji (Semolina/ Rava),40 grams Rolled Oats Or Instant Oats,200 grams Green Amaranth Leaves - finely chopped,1 cup Curd (Dahi / Yogurt),2 teaspoons Enos fruit salt,1/2 teaspoon Asafoetida (hing),1 Ginger - grated,1 teaspoon Sunflower Oil,Red Chilli powder - for garnish,Salt - to taste,1 teaspoon Mustard seeds,1 teaspoon Sesame seeds (Til seeds),1 teaspoon Sunflower Oil,1 sprig Curry leaves</t>
  </si>
  <si>
    <t xml:space="preserve">To begin making the Amaranth Sooji &amp; Oats Dhokla Recipe, we will first roast the semolina (sooji). In a wok, dry roast the semolina until you get a slightly roasted flavor. Roast on medium heat for about 3 to 4 minutes taking care not to brown the semolina (sooji). Once roasted, transfer to a large mixing bowl and keep aside.Next we will cook the amarath leaves. Add the chopped amaranth leaves into the same heavy bottomed pan or wok, sprinkle some salt and stir-fry the leaves until it becomes soft and cooked. Make sure to evaporate any excess water that gets released while cooking the greens. Once cooked, allow the amaranth leaves to cool down and keep aside.Once the leaves are cooled, we will make the sooji oats dhokla batter. In a large mixing bowl where you have kept the roasted semolina, add the oats, the salt, the asafoetida, the cooked amaranth, the ginger, the salt, the teaspoon of oil and yogurt. Add water little at a time and stir to make a thick batter (about 2-1/2 cups). Check the salt and adjust to suit your tasteSooji Oats Dhokla batter to rest for about 5 minutes.The next step is to steam the Amaranth Sooji &amp; Oats Dhokla. Preheat a steamer with water on medium-high heat. Grease the Dhokla Plates with oil and pour the Amaranth Sooji &amp; Oats Dhokla batter evenly into the plates. Fill it only up to 3/4th level of the plates. Sprinkle just a little red chilli powder over the dhokla batter to add to the taste of the dhoklaPlace the filled dhokla plates in the steamer and steamer on high for 10 minutes. After 10 minutes turn off the heat and remove the dhokla from the steamer and set aside for 5 minutes before you can cut them into shapes.The final step is to season the Amaranth Sooji &amp; Oats Dhokla. Heat a teaspoon of oil in a tadka pan; add the mustard and cumin seeds and allow it to crackle. Add the curry leaves and give it a stir. Turn off the heat.Drizzle the seasoning over the Amaranth Sooji &amp; Oats Dhokla and serve it along with Green Chutney for breakfast or dinner
</t>
  </si>
  <si>
    <t>अमरनाथ सूजी और ओट्स ढोकला रेसिपी बनाने के लिए सबसे पहले हम सूजी को भूनेंगे। एक कड़ाही में सूजी को तब तक भूनें जब तक कि हल्का भुनने का स्वाद न आ जाए। मध्यम आँच पर लगभग 3 से 4 मिनट तक भूनें, ध्यान रखें कि सूजी को भूरा न करें। भुन जाने के बाद, एक बड़े मिक्सिंग बाउल में डालें और एक तरफ रख दें। अब हम अमरनाथ के पत्ते पकाएंगे। कटे हुए अमरनाथ के पत्तों को उसी भारी तले वाले पैन या कड़ाही में डालें, थोड़ा नमक छिड़कें और पत्तों को तब तक भूनें जब तक यह नरम और पक न जाए। साग को पकाते समय निकलने वाले अतिरिक्त पानी को वाष्पित करना सुनिश्चित करें। पकने के बाद, अमरनाथ के पत्तों को ठंडा होने दें और एक तरफ रख दें एक बड़े मिक्सिंग बाउल में जिसमें आपने भुनी हुई सूजी रखी है, ओट्स, नमक, हींग, पका हुआ अमरंथ, अदरक, नमक, एक चम्मच तेल और दही डालें। थोड़ा-थोड़ा करके पानी डालें और गाढ़ा घोल (लगभग 2-1/2 कप) बनाने के लिए चलाएँ। नमक की जाँच करें और अपने स्वाद के अनुसार सूजी ओट्स ढोकला बैटर को लगभग 5 मिनट के लिए आराम देने दें। अगला कदम अमरंथ सूजी और ओट्स ढोकला को भाप में पकाना है। मध्यम-तेज़ आँच पर पानी के साथ स्टीमर को पहले से गरम कर लें। ढोकला प्लेटों को तेल से चिकना करें और अमरंथ सूजी और ओट्स ढोकला बैटर को प्लेटों में समान रूप से डालें। इसे प्लेटों के केवल 3/4 वें स्तर तक भरें। ढोकला के स्वाद को बढ़ाने के लिए ढोकला बैटर के ऊपर थोड़ा सा लाल मिर्च पाउडर छिड़कें 10 मिनट के बाद आँच बंद कर दें और ढोकला को स्टीमर से निकाल कर 5 मिनट के लिए अलग रख दें, उसके बाद आप उसे आकार में काट सकते हैं। अंतिम चरण अमरनाथ सूजी और ओट्स ढोकला को मसाला देना है। तड़का पैन में एक चम्मच तेल गरम करें, उसमें सरसों और जीरा डालें और उसे चटकने दें। करी पत्ता डालें और उसे चलाएँ। आँच बंद कर दें। अमरनाथ सूजी और ओट्स ढोकला पर मसाला छिड़कें और इसे नाश्ते या रात के खाने के लिए हरी चटनी के साथ परोसें।</t>
  </si>
  <si>
    <t>https://www.archanaskitchen.com/amaranth-sooji-oats-dhokla-recipe</t>
  </si>
  <si>
    <t>Gujarati Tawa Handvo Recipe - Healthy Pan Fried Lentil Cake</t>
  </si>
  <si>
    <t>गुजराती तवा हांडवो रेसिपी - हेल्दी पैन फ्राइड दाल केक</t>
  </si>
  <si>
    <t>1 कप चावल - (कच्चा चावल), 1/2 कप अरहर दाल, 1/2 कप हरी मूंग दाल (साबुत), 1/2 कप चना दाल, 1/4 कप सफेद उड़द दाल (साबुत), 2 हरी मिर्च, 1 बड़ा चम्मच अदरक - कटा हुआ, 1 कप दही, 2-1/2 चम्मच इनोस फ्रूट सॉल्ट, 1/2 चम्मच हल्दी पाउडर, 2 कप लौकी - कद्दूकस की हुई, सूरजमुखी तेल - पकाने के लिए, नमक - स्वादानुसार, 1/2 चम्मच सरसों के बीज, 1/2 चम्मच तिल के बीज, 1 चम्मच करी पत्ता - बारीक कटा हुआ, 1/4 चम्मच हींग, 1/4 चम्मच लाल मिर्च पाउडर, 1 बड़ा चम्मच सूरजमुखी तेल, 1/2 कप हरी बीन्स (फ्रेंच बीन्स) - बारीक कटी हुई, 1/2 कप गाजर (गज्जर) - बारीक कटी हुई, 1/2 कप प्याज - बारीक कटा हुआ</t>
  </si>
  <si>
    <t>1 cup Rice - (raw rice),1/2 cup Arhar dal (Split Toor Dal),1/2 cup Green Moong Dal (Whole),1/2 cup Chana dal (Bengal Gram Dal),1/4 cup White Urad Dal (Whole),2 Green Chillies,1 tablespoon Ginger - chopped,1 cup Curd (Dahi / Yogurt),2-1/2 teaspoons Enos fruit salt,1/2 teaspoon Turmeric powder (Haldi),2 cups Bottle gourd (lauki) - grated,Sunflower Oil - to cooking,Salt - to taste,1/2 teaspoon Mustard seeds,1/2 teaspoon Sesame seeds (Til seeds),1 teaspoon Curry leaves - finely chopped,1/4 teaspoon Asafoetida (hing),1/4 teaspoon Red Chilli powder,1 tablespoon Sunflower Oil,1/2 cup Green beans (French Beans) - finely chopped,1/2 cup Carrots (Gajjar) - finely chopped,1/2 cup Onions - finely chopped</t>
  </si>
  <si>
    <t xml:space="preserve">To begin making the Tawa Handvo recipe we first need to wash and soak the rice and lentils together in 3 cups of water for 4 to 5 hours.Grind the rice, lentils, green chillies, ginger and salt along with the soaked water and yogurt to make a thick batter that is slightly coarse. The coarseness should feel like fine semolina.The consistency of the batter should be such that when you use a ladle to pour it should fall in dollops. Stir in the salt and allow the mixture to ferment for 8 hours.Once fermented you will notice the dough has risen.  Gently stir in a tablespoon of oil to the batter. If your batter for some reason did not rise; stir 2 teaspoons of enos fruit salt into the batter and you will notice the air bubbles start popping out from the batter. Finally stir in the grated bottle gourd and turmeric. (This is the time you would stir in the other vegetables you would use)Heat one tablespoon of oil in a nonstick skillet (8 inches diameter) on medium high heat; add the mustard seeds, sesame seeds and curry leaves; allow them to crackle. Turn the heat to low and sprinkle the red chilli powder and asafoedita into the oil.Pour two ladles of batter into the pan and gently spread the batter evenly onto the pan. As you spread the batter the seasoning mixture will spread to the side; allow the seasoning to rest in places where it has spread as this gives a special crunchiness to the sides of the Handvo.Turn the heat low, drizzle a teaspoon of oil around the batter and cover the pan. Simmer for 3-4 minutes until the top feels cooked and steamed.Once you notice the top is cooked and there is no trace of raw batter, gently flip the Handvo with the help of a broad flat spatula to the opposite side and turn the heat to medium high.Allow it to turn golden brown and crisp. Flip over once again and allow the other side to brown and crisp slightly. Continue making similar cakes with the rest of the batter and serve hot.Serve Tawa Handvo lentil skillet pancakes along with Gor Keri pickle or with Gor (jaggery) and homemade butter for breakfast or a weeknight dinner.
</t>
  </si>
  <si>
    <t>तवा हांडवो रेसिपी बनाने के लिए सबसे पहले चावल और दाल को धोकर 4 से 5 घंटे के लिए 3 कप पानी में भिगो दें। चावल, दाल, हरी मिर्च, अदरक और नमक को भिगोए हुए पानी और दही के साथ पीसकर गाढ़ा घोल बनाएं जो थोड़ा दरदरा हो। दरदरापन बारीक सूजी जैसा होना चाहिए। घोल की स्थिरता ऐसी होनी चाहिए कि जब आप डालने के लिए करछुल का उपयोग करें तो यह छोटी-छोटी मात्रा में गिरना चाहिए। नमक डालकर हिलाएं और मिश्रण को 8 घंटे के लिए खमीर उठने दें। खमीर उठने के बाद आप देखेंगे कि आटा फूल गया है। घोल में एक बड़ा चम्मच तेल धीरे से मिलाएं। अगर किसी कारण से आपका घोल नहीं फूला है; तो घोल में 2 छोटे चम्मच इनोस फ्रूट सॉल्ट मिलाएं और आप देखेंगे कि हवा के बुलबुले घोल से बाहर निकलने लगे सरसों के बीज, तिल और करी पत्ता डालें; उन्हें चटकने दें। आँच को धीमा कर दें और तेल में लाल मिर्च पाउडर और हींग छिड़कें। पैन में दो चमच्च घोल डालें और धीरे से घोल को पैन पर समान रूप से फैलाएँ। जैसे ही आप घोल फैलाएँगे, मसाला मिश्रण किनारे पर फैल जाएगा; मसाले को जहाँ फैला है वहाँ आराम करने दें क्योंकि इससे हांडवो के किनारों को एक विशेष कुरकुरापन मिलता है। आँच को धीमा कर दें, घोल के चारों ओर एक चम्मच तेल छिड़कें और पैन को ढक दें। 3-4 मिनट तक पकाएँ जब तक कि ऊपरी हिस्सा पक न जाए और भाप न बन जाए। जब ​​आप देखें कि ऊपरी हिस्सा पक गया है और कच्चे घोल का कोई निशान नहीं है, तो हांडवो को एक चौड़े चपटे स्पैचुला की मदद से धीरे से दूसरी तरफ पलट दें और आँच को मध्यम तेज़ कर दें। इसे सुनहरा भूरा और कुरकुरा होने दें। एक बार फिर पलटें और दूसरी तरफ से भी हल्का भूरा और कुरकुरा होने दें। बचे हुए बैटर से इसी तरह के केक बनाते रहें और गरमागरम परोसें। तवा हांडवो दाल के पैनकेक को गोर केरी अचार के साथ या गोर (गुड़) और घर के बने मक्खन के साथ नाश्ते या रात के खाने में परोसें।</t>
  </si>
  <si>
    <t>https://www.archanaskitchen.com/gujarati-tawa-handvo-recipe-healthy-pan-fried-lentil-cakes</t>
  </si>
  <si>
    <t>Vagharelo Bhaat Recipe - Gujarati Masala Rice</t>
  </si>
  <si>
    <t>वाघरेलो भात रेसिपी - गुजराती मसाला चावल</t>
  </si>
  <si>
    <t>3 कप पके हुए चावल - मसले हुए, 3 कप दही, 2 बड़े चम्मच बेसन, 1/2 छोटा चम्मच जीरा, 1/2 छोटा चम्मच सरसों के बीज, 3-4 करी पत्ते - बारीक कटे हुए, 1/2 छोटा चम्मच हींग, 1/2 छोटा चम्मच हल्दी, 1/2 छोटा चम्मच लाल मिर्च पाउडर, 1/2 छोटा चम्मच सूरजमुखी तेल, 1 धनिया पत्ता - कटा हुआ (एक छोटा गुच्छा), नमक - स्वादानुसार</t>
  </si>
  <si>
    <t>3 cups Cooked rice - mashed,3 cups Curd (Dahi / Yogurt),2 tablespoons Gram flour (besan),1/2 teaspoon Cumin seeds (Jeera),1/2 teaspoon Mustard seeds,3-4 Curry leaves - finely chopped,1/2 teaspoon Asafoetida (hing),1/2 teaspoon Turmeric powder (Haldi),1/2 teaspoon Red Chilli powder,1/2 teaspoon Sunflower Oil,1 Coriander (Dhania) Leaves - chopped (a small bunch),Salt - to taste</t>
  </si>
  <si>
    <t xml:space="preserve">To begin making the Vagharelo Bhaat Recipe, we will first whisk the gram flour, yogurt, salt, asafoetida, red chilli powder and turmeric powder in a mixing bowl, until well combined. Heat oil in a pan on medium heat; add the mustard seeds, cumin seeds and curry leaves and allow them to crackle.At this stage, stir in the cooked rice and the gram flour yogurt mixture mish-mashing them together until well combined.  Continue to stir so the mixture does not stick to the bottom of the pan.You will notice the mixture begins to thicken and comes to a bubbling state. Allow it to be in the bubbling state for about two minutes stirring continuously. Finally garnish with coriander leaves and serve hot.Serve the Vagharelo Bhaat as a one dish meal as it is or along with Dill Cucumber Raita Recipe,  Aam Ka Achaar Recipe - North Indian Spicy Raw Mango Pickle, Papad as a complete meal. 
</t>
  </si>
  <si>
    <t>वघारेलो भात रेसिपी बनाने के लिए सबसे पहले हम एक मिक्सिंग बाउल में बेसन, दही, नमक, हींग, लाल मिर्च पाउडर और हल्दी पाउडर डालकर अच्छी तरह मिला लेंगे। एक कड़ाही में मध्यम आंच पर तेल गर्म करें, उसमें राई, जीरा और करी पत्ता डालकर चटकने दें। इस अवस्था में, पके हुए चावल और बेसन दही के मिश्रण को अच्छी तरह मिलाते हुए मिला लें। लगातार चलाते रहें ताकि मिश्रण पैन के तले में चिपके नहीं। आप देखेंगे कि मिश्रण गाढ़ा होने लगा है और बुलबुले बनने लगे हैं। इसे लगातार चलाते हुए लगभग दो मिनट तक बुलबुले बनने दें। अंत में धनिया पत्ती से गार्निश करें और गर्मागर्म सर्व करें। वघारेलो भात को ऐसे ही एक डिश मील के रूप में या डिल ककड़ी रायता रेसिपी, आम का अचार रेसिपी - उत्तर भारतीय मसालेदार कच्चे आम का अचार, पापड़ के साथ संपूर्ण मील के रूप में परोसें।</t>
  </si>
  <si>
    <t>https://www.archanaskitchen.com/vagharelo-bhaat-recipe-gujarati-masala-rice</t>
  </si>
  <si>
    <t>Paka Kela Ki Sabzi Recipe - Ripe Banana Vegetable Recipe (Recipe In Hindi)</t>
  </si>
  <si>
    <t>पका केला की सब्जी रेसिपी - पका केला की सब्जी (रेसिपी इन हिंदी)</t>
  </si>
  <si>
    <t>3 कप केला - कट ले, 2 बड़े चम्मच बेसन, 1/4 छोटा चम्मच चम्मच हींग, 1/2 छोटा चम्मच हल्दी पाउडर, 1/2 छोटा चम्मच लाल मिर्च पाउडर, 1/4 छोटा चम्मच जीरा, 1/4 छोटा चम्मच जीरा, 5 कढ़ी पत्ता - स्वादिष्ट कट ले, 2 छोटे चम्मच तेल, नमक - स्वाद अनुसार</t>
  </si>
  <si>
    <t>3 cups banana - chopped, 2 tablespoons gram flour, 1/4 teaspoon asafoetida, 1/2 teaspoon turmeric powder, 1/2 teaspoon red chilli powder, 1/4 teaspoon cumin seeds, 1/4 teaspoon mustard seeds, 5 curry leaves - finely chopped, 2 teaspoons oil, salt - as per taste</t>
  </si>
  <si>
    <t>To make Ripe Banana Sabzi, first take a large bowl and add banana, asafoetida, turmeric powder, red chilli powder, salt, gram flour, mix well and keep aside. Now heat oil in a pan. Add mustard seeds, cumin seeds, curry leaves and let it cook for 10 seconds. Now add banana mixture and let it cook for 3 to 4 minutes. After cooking, turn off the gas and serve hot. Serve Ripe Banana Sabzi with Gujarati Daal and Methi Thepla for lunch.</t>
  </si>
  <si>
    <t xml:space="preserve">पका केला की सब्जी बनाने के लिए सबसे पहले एक बड़े बाउल में केला, हींग, हल्दी पाउडर, लाल मिर्च पाउडर, नमक, बेसन डाला, मिलाए और अलग से रख दे। अब एक चटनी में तेल गरम करें। इसमें राय, जीरा, कढ़ी पत्ता डाला गया और 10 सेकंड तक मसाला दे दिया गया। अब इसमें केला का मिश्रण डाला गया और 3 से 4 मिनट तक मसाला दे दिया गया. मसालों के बाद, गैस बंद करें और गरमा गरम बेचें। पका केला की सब्जी को गुजराती दाल और मेथी थेपला के साथ दिन के खाने के लिए परोसें।
</t>
  </si>
  <si>
    <t>https://www.archanaskitchen.com/paka-kela-ki-sabzi-recipe-in-hindi</t>
  </si>
  <si>
    <t>Carrot Methi Jowar Thepla Recipe</t>
  </si>
  <si>
    <t>गाजर मेथी ज्वार थेपला रेसिपी</t>
  </si>
  <si>
    <t>2 गाजर - कद्दूकस की हुई, 1 कप मेथी के पत्ते - कटे हुए, 2 चम्मच जीरा, 1 चम्मच लाल मिर्च पाउडर, 1/2 चम्मच हल्दी पाउडर, 2 चम्मच जीरा, 1-1/2 कप ज्वार का आटा, 1 कप गेहूं का आटा, नमक - स्वादानुसार, सूरजमुखी का तेल</t>
  </si>
  <si>
    <t>2 Carrot (Gajjar) - grated,1 cup Methi Leaves (Fenugreek Leaves) - chopped,2 teaspoon Cumin seeds (Jeera),1 teaspoon Red Chilli powder,1/2 teaspoon Turmeric powder (Haldi),2 teaspoon Cumin seeds (Jeera),1-1/2 cups Jowar Flour (Sorghum),1 cup Whole Wheat Flour,Salt - to taste,Sunflower Oil</t>
  </si>
  <si>
    <t xml:space="preserve">To begin making the Carrot Methi Jowar Thepla, in a large mixing bowl add grated carrot, chopped methi leaves, cumin seeds, turmeric, red chilli powder, salt, whole wheat flour and the jowar flour.Add water, little at a time and form a firm dough which is not sticky. Knead it well, rest the thepla dough for at least 10 minutes and shape them into medium sized balls.Dust it with wheat flour and roll dough gently to make the dough to a thin circular thepla.The diameter of the Carrot Methi Jowar Thepla depends on how thin or thick you want it to be. Repeat the same process with the remaining dough portions.Preheat the skillet and let it get hot. Place the rolled Carrot Methi Jowar Thepla gently on the tawa and cook on both sides, drizzle oil or ghee and cook till the thepla have brown spots on either side. Cook on high heat as the theplas are thin and gets cooked fast.Once done, stack the Carrot Methi Jowar Thepla one over the other and serve hot.Serve Carrot Methi Jowar Thepla Recipe along with Kesar Elaichi Aam Chunda Pickle Recipe,Boondi Raita and Lauki Tamatar Ki Sabzi to make your breakfast or lunch complete.
</t>
  </si>
  <si>
    <t>गाजर मेथी ज्वार थेपला बनाने के लिए सबसे पहले एक बड़े मिक्सिंग बाउल में कद्दूकस की हुई गाजर, कटे हुए मेथी के पत्ते, जीरा, हल्दी, लाल मिर्च पाउडर, नमक, गेहूं का आटा और ज्वार का आटा डालें। थोड़ा-थोड़ा करके पानी डालें और एक सख्त आटा गूंथ लें जो चिपचिपा न हो। इसे अच्छी तरह से गूंथ लें, थेपला के आटे को कम से कम 10 मिनट के लिए रख दें और उनसे मध्यम आकार की गेंदें बना लें। इस पर गेहूं का आटा छिड़कें और आटे को धीरे से बेलकर पतला गोलाकार थेपला बना लें। गाजर मेथी ज्वार थेपला का व्यास इस बात पर निर्भर करता है कि आप इसे कितना पतला या मोटा बनाना चाहते हैं। बचे हुए आटे के हिस्सों के साथ भी यही प्रक्रिया दोहराएं। तवे को पहले से गरम कर लें और इसे गर्म होने दें। बेले हुए गाजर मेथी ज्वार थेपला को धीरे से तवे पर रखें और दोनों तरफ से पकाएँ, तेल या घी छिड़कें और तब तक पकाएँ जब तक थेपला के दोनों तरफ भूरे धब्बे न आ जाएँ। तेज़ आंच पर पकाएं क्योंकि थेपले पतले होते हैं और जल्दी पक जाते हैं। एक बार हो जाने पर, गाजर मेथी ज्वार थेपला को एक के ऊपर एक रखें और गरमागरम परोसें। अपने नाश्ते या दोपहर के भोजन को संपूर्ण बनाने के लिए गाजर मेथी ज्वार थेपला रेसिपी को केसर इलायची आम चूंडा अचार रेसिपी, बूंदी रायता और लौकी टमाटर की सब्जी के साथ परोसें।</t>
  </si>
  <si>
    <t>https://www.archanaskitchen.com/carrot-methi-jowar-thepla-recipe</t>
  </si>
  <si>
    <t>Tindora Sambharo Recipe</t>
  </si>
  <si>
    <t>टिंडोरा संभारो रेसिपी - टिंडोरा संभारो रेसिपी</t>
  </si>
  <si>
    <t>1 कप टिंडोरा-काट ले, 1 छोटा मोटा लाल मिर्च पाउडर, 1/4 छोटा मोटा मेथी के दाने, 1/2 छोटा मोटा राइन, 1/4 छोटा मोटा हींग, 1 बड़ा बड़ा तेल, 1 निम्बू - रस निकाला हुआ ले, 1/4 छोटा मोटा हल्दी पाउडर, नमक - स्वाद, 1/2 गाजर, 1/2 मीठा मिर्च (हरी)</t>
  </si>
  <si>
    <t>1 cup tindora - finely chopped, 1 tsp red chilli powder, 1/4 tsp fenugreek seeds, 1/2 tsp rye, 1/4 tsp asafoetida, 1 tbsp oil, 1 lemon - juice, 1/4 tsp turmeric powder, salt - as per taste, 1/2 carrot, 1/2 capsicum (green)</t>
  </si>
  <si>
    <t>To make Tindora Sambharo Recipe, first of all take carrot, capsicum, tindora, red chili powder, fenugreek seeds, mustard seeds, asafoetida, oil, lemon juice, turmeric powder, salt in a bowl and mix well. Store this pickle in the refrigerator and use it whenever required. Serve Tindora Sambharo Recipe with Panchmel Daal, Bhindi Masala and Phulkas for lunch.</t>
  </si>
  <si>
    <t xml:space="preserve">टिंडोरा सांभारो रेसिपी बनाने के लिए सबसे पहले एक बाउल में अदरक, मीठी मिर्च, टिंडोरा, लाल मिर्च पाउडर, मेथी के दाने, राइन, हींग, तेल, निम्बू का रस, हल्दी पाउडर, नमक डाला और अच्छी तरह से मिलाया गया। इस आचार्य को फ़र्ज़ी स्टोर में रखें और जब चाहें इसका उपयोग करें। टिंडोरा सांभारो रेसिपी को पंचमेल दाल, भिंडी मसाला और फुलके के साथ दिन के लिए बनाएं।
</t>
  </si>
  <si>
    <t>http://www.archanaskitchen.com/tindora-sambharo-recipe-instant-tendli-pickle-in-hindi</t>
  </si>
  <si>
    <t>Aloo Baingan Ki Sabzi Recipe - Aloo Baingan Ki Sabzi (Recipe In Hindi)</t>
  </si>
  <si>
    <t>आलू बैंगन की सब्जी रेसिपी - आलू बैंगन की सब्जी (रेसिपी इन हिंदी)</t>
  </si>
  <si>
    <t>3 कप बैंगन - कट ले, 1 कप आलू - चमच्च कर कट ले, 1/2 छोटा चमच्च कलौंजी के बीज, 1 छोटा चमच्च अदरक - कट ले, 1/2 छोटा चमच्च जीरा, 1/2 कप टमाटर प्यूरी, 1/2 छोटा चमच्च हल्दी पाउडर, 1/2 छोटा चमच्च हींग, 1 छोटा चमच्च लाल मिर्च पाउडर, 1 छोटा चमच्च धनिया पाउडर, 1/2 छोटा चमच्च गरम मसाला पाउडर, 1/2 छोटा चम्मच चमच्च जीरा, 2 बड़े चमच्च हरा धनिया - कट ले,2 छोटे चम्मच तेल,नमक - स्वाद के अनुसार</t>
  </si>
  <si>
    <t>3 cups brinjal - chopped, 1 cup potatoes - peeled and chopped, 1/2 teaspoon nigella seeds, 1 teaspoon ginger - chopped, 1/2 teaspoon cumin seeds, 1/2 cup tomato puree, 1/2 teaspoon turmeric powder, 1/2 teaspoon asafoetida, 1 teaspoon red chili powder, 1 teaspoon coriander powder, 1/2 teaspoon garam masala powder, 1/2 teaspoon sugar, 2 tablespoons coriander leaves - chopped, 2 teaspoons oil, salt - according to taste</t>
  </si>
  <si>
    <t>To make Aloo Baingan ki Sabzi, first heat oil in a pan. Add cumin seeds, nigella seeds and let it cook for 15 seconds. Now add ginger, tomatoes, turmeric powder, asafoetida, red chilli powder, garam masala powder and cook till tomatoes become soft. Add potatoes, brinjals, salt and 2 cups of water. Reduce the flame and cover the pan. Let the vegetables cook till they become soft. Keep stirring at times. After cooking, turn off the gas and garnish with coriander leaves. Serve. Serve Aloo Baingan ki Sabzi with Gujarati Kadhi and Methi Thepla for lunch.</t>
  </si>
  <si>
    <t xml:space="preserve">आलू बैंगन की सब्जी बनाने के लिए सबसे पहले एक चटनी में तेल गरम करें। जीरा, कलौंजी डाला और 15 सेकंड तक मसाला दे दिया। अब इसमें अदरक, टमाटर, हल्दी पाउडर, हींग, लाल मिर्च पाउडर, गर्म मसाला पाउडर डाला जाता है और टमाटर के प्राकृतिक होने तक पकाया जाता है। इसमें आलू, बैंगन, नमक और 2 कप पानी डाला गया है। आटे को धीमा कर लीजिए और आटे को पका लीजिए. सब्ज़ियो के प्राकृतिक पदार्थ तक होने वाले हैं मसाला दे. बिच बिच में हिलाते रहे. पाक जाने के बाद गैस बंद करें और हरे धनिए से गार्निश करें। घरेलु।  आलू बैंगन की सब्जी को गुजराती कढ़ी और मेथी थेपला के साथ दिन भर के लिए खायें।
</t>
  </si>
  <si>
    <t>https://www.archanaskitchen.com/aloo-baingan-ki-sabzi-recipe-in-hindi</t>
  </si>
  <si>
    <t>Gujarati Kobi Marcha No Sambharo Recipe - Cabbage &amp; Bell Pepper Stir Fry</t>
  </si>
  <si>
    <t>गुजराती कोबी मार्चा नो संभरो रेसिपी - पत्तागोभी और बेल मिर्च को भून लें</t>
  </si>
  <si>
    <t>2 कप पत्तागोभी - बारीक कटा हुआ, 1 प्याज - पतले टुकड़ों में कटा हुआ, 1 हरी शिमला मिर्च - पतली स्ट्रिप्स में कटी हुई, 1 चम्मच सरसों के बीज, 1/2 चम्मच मेथी के बीज (मेथी के बीज), 1/2 चम्मच हल्दी पाउडर (हल्दी), 2 चम्मच सूरजमुखी तेल, 1 चम्मच नींबू का रस, नमक - स्वादानुसार</t>
  </si>
  <si>
    <t>2 cups Cabbage (Patta Gobi/ Muttaikose) - thinly shredded,1 Onion - thinly sliced,1 Green Bell Pepper (Capsicum) - cut into thin strips,1 teaspoon Mustard seeds,1/2 teaspoon Methi Seeds (Fenugreek Seeds),1/2 teaspoon Turmeric powder (Haldi),2 teaspoons Sunflower Oil,1 teaspoon Lemon juice,Salt - to taste</t>
  </si>
  <si>
    <t xml:space="preserve">To begin making Gujarati Kobi Marcha No Sambharo Recipe, heat oil in a pan on medium flame.Once the oil is hot, add the fenugreek and mustard seeds and let it splutter.After the mustard seeds have spluttered add the sliced onions and saute until it turns translucent.Add the shredded cabbage, turmeric powder and saute a little until the cabbages are half cooked.Once done add the capsicum and saute until the vegetables are cooked yet retaining their crunch . Add salt, turmeric powder, mix well and check for taste. Saute for half a minute till the haldi is uniformly mixed in the Gujarati Kobi Marcha No Sambharo.Switch off the heat, add lemon juice and give Gujarati Kobi Marcha No Sambharo a quick stir.Serve the Kobi Marcha No Sambharo (Gujarati Style Cabbage and Bell Pepper Stir Fry) rolled in the Methi Ragi Soy Wheat Thepla Recipe or tawa paratha for kids lunch boxes.
</t>
  </si>
  <si>
    <t xml:space="preserve">गुजराती कोबी मार्चा नो संभारो रेसिपी बनाने के लिए सबसे पहले एक पैन में मध्यम आंच पर तेल गर्म करें। तेल गर्म हो जाए तो उसमें मेथी और राई डालकर चटकाएं। राई के चटकने के बाद इसमें कटे हुए प्याज डालें और पारदर्शी होने तक भूनें। इसमें कटी हुई पत्तागोभी, हल्दी पाउडर डालें और थोड़ा सा तब तक भूनें जब तक कि पत्तागोभी आधी पक न जाए। जब ​​यह पक जाए तो इसमें शिमला मिर्च डालें और तब तक भूनें जब तक कि सब्जियां पक न जाएं लेकिन उनका कुरकुरापन बरकरार रहे। इसमें नमक, हल्दी पाउडर डालें, अच्छी तरह मिलाएँ और स्वाद चखें। आधे मिनट तक भूनें जब तक कि हल्दी गुजराती कोबी मार्चा नो संभारो में समान रूप से मिल न जाए। आंच बंद कर दें, नींबू का रस डालें और गुजराती कोबी मार्चा नो संभारो को जल्दी से हिलाएं
</t>
  </si>
  <si>
    <t>http://www.archanaskitchen.com/gujarati-kobi-marcha-no-sambharo-recipe-cabbage-bell-pepper-stir-fry</t>
  </si>
  <si>
    <t>Gujarati Palak Dhokla Recipe –</t>
  </si>
  <si>
    <t>गुजराती पालक ढोकला रेसिपी - गुजराती पालक ढोकला रेसिपी</t>
  </si>
  <si>
    <t>1 कप बेसन, 300 ग्राम हैंग दही - फेट ले, 1 इंच अदरक, 3 हरी मिर्च, 2 बड़ा मसाला निम्बू का रस, 1 बड़ा मसाला नमक - वैकल्पिक, नमक - स्वाद, 1 छोटा चम्मच इनो नारियल, 2 छोटा मसाला तेल, 1 छोटा मसाला मक्खन, 2 छोटा मक्खन, 3 हरी मिर्च, 5 बड़ा मसाला नमक, 1/4 छोटा मसाला हींग, 3 बड़ा पानी</t>
  </si>
  <si>
    <t>1 cup gram flour, 300 grams spinach, 1/4 cup Hung curd - whisk, 1 inch ginger, 3 green chillies, 2 tbsp oil, 1 tbsp lemon juice, 1 tbsp sugar - optional, salt - as per taste, 1 tsp ino fruit salt, 2 tsp oil, 1 tsp rye, 2 tsp sesame seeds (white), 5 kadhi leaves, 1/4 tsp asafoetida, 3 tbsp water</t>
  </si>
  <si>
    <t>To make Gujarati Palak Dhokla recipe, first boil water in a saucepan. After boiling, turn off the gas and add spinach to it and let it sit for 4 to 5 minutes. Remove and let it cool. After cooling, put it in a mixer grinder and make a puree. Keep it aside. Now add gram flour, spinach puree, curd, oil, some water in a bowl and make the batter. Make sure not to make it too thin. Now add salt, sugar, lemon juice and mix well. Make sure there are no lumps in this mixture. Keep it aside for 5 to 10 minutes. Now take a steamer and grease its plate with ghee or oil. Pour water at the bottom of the steamer and keep it aside. After 10 minutes, add Eno fruit salt to the dhokla mixture and mix it. Pour this mixture in the steamer plate and steam it for 15 to 20 minutes. After it is steamed well, keep it aside for 10 minutes to cool. Meanwhile, for the tempering, heat oil in a tempering pan. Add asafoetida, mustard seeds, sesame seeds, curry leaves and cook till the mustard seeds crackle. Turn off the gas and add 3 tbsp of water to the tempering. Pour this tempering mixture over the dhokla and serve. Serve Gujarati Palak Dhokla Recipe with Coriander Mint Chutney and Masala Chai for breakfast.</t>
  </si>
  <si>
    <t xml:space="preserve">गुजराती पालक ढोलकला रेसिपी बनाने की विधि सबसे पहले एक सॉस पैन में पानी भरकर ले लीजिए। व्होइला आने के बाद गैस बंद कर दीजिए और 4 से 5 मिनट तक रुकिए। छोड़ो और ठंडा हो जाओ। ठंडा होने के बाद एक मिक्सर ग्राइंडर में डाला गया और प्यूरी बना लिया गया। अलग से रख दे. अब एक बाउल में बेसन, पालक की प्यूरी, दही, तेल, थोड़ा पानी डाला और बैटर बना लिया। ध्यान रखें अधिकांश नमक न बनायें। अब इसमें नमक, शकर, निम्बू का रस डाला गया और अच्छी तरह से मिला लिया गया। ध्यान रखें इस मिश्रण में गाठें न हो। 5 से 10 मिनट के लिए अलग से रख दे. अब एक स्टीमर ले और उसकी प्लेट को घी या तेल से ग्रीक कर ले। स्टीमर में आला पानी डाला और अलग से रख दे। 10 मिनट बाद ढोलकले के मिश्रण में इनो खोखा साल्ट डाला और मिला ले। इस मिक्स को स्टीमर प्लेट में डाला और 15 से 20 मिनट के लिए स्टीम कर ले। अच्छी तरह से स्टीम हो जाने के बाद 10 मिनट ठंडा होने के लिए अलग से रख दे। इस बिच बॉय के लिए एक तड़का पैन में तेल गरम करें। इसमें हींग, राइज, तिल, कढ़ी पत्ता डाला और राइज के तड़काने तक पका ले। गैस बंद करें और 3 बड़े घरों में पानी डालें। इस तरह के मिश्रण को ढोलकले पर रखा और बेचा गया। गुजराती पालक ढोलकला रेसिपी को धनिया पुदीना चिप्स और मसाला चाय के साथ सुबह के लॉन्च के लिए खरीदें।
</t>
  </si>
  <si>
    <t>https://www.archanaskitchen.com/gujarati-palak-dhokla-recipe-steamed-spinach-lentil-cakes-in-hindi</t>
  </si>
  <si>
    <t>Kathiyawadi Shake Recipe</t>
  </si>
  <si>
    <t>काठियावाड़ी शाक रेसिपी</t>
  </si>
  <si>
    <t>300 ग्राम छोटे हरे बैंगन - बारीक कटे हुए, 15 लहसुन के दाने - बारीक कटे हुए, 2 प्याज - बारीक कटे हुए, 1 कप भुनी हुई मूंगफली, 2 कप दही, 1 बड़ा चम्मच लाल मिर्च पाउडर, 2 बड़े चम्मच धनिया पाउडर, 2 छोटे चम्मच जीरा, 1 छोटा चम्मच हल्दी, 2 छोटे चम्मच गरम मसाला पाउडर, 1 बड़ा चम्मच धनिया पत्ता - गार्निश के लिए, 1 बड़ा चम्मच सूरजमुखी का तेल</t>
  </si>
  <si>
    <t>300 grams Small Green brinjal (green aubergine) - finely chopped,15 cloves Garlic - finely chopped,2 Onions - finely chopped,1 cups Roasted Peanuts (Moongphali),2 cups Curd (Dahi / Yogurt),1 tablespoon Red Chilli powder,2 tablespoons Coriander Powder (Dhania),2 teaspoons Cumin powder (Jeera),1 teaspoon Turmeric powder (Haldi),2 teaspoons Garam masala powder,1 tablespoon Coriander (Dhania) Leaves - for garnish,1 tablespoon Sunflower Oil</t>
  </si>
  <si>
    <t xml:space="preserve">To begin making Kathiyawadi Shaak Recipe, wash and finely chop the aubergines, keep it soaked in water until cooking further to avoid the oxidation.Roughly crush the peanuts in a mixer grinder and keep aside.Heat oil in a pan on medium heat, add in the garlic and saute until it flavours the oil. This will take about 2-3 minutes. Add the onions and saute until the mixture turns golden brown. This will take close to 5 minutes. Drain the water from the aubergines and add it to the pan and mix well. Let the aubergines cook till 3/4th in its own moisture.Add the red chilli, turmeric, cumin, coriander powder and mix well. Add the crushed peanuts, season with salt and cook until the aubergines are well cooked.Now, whisk in the curd to smooth consistency and add it to the pan. Turn the heat to low, and mix the whole mixture together. This will avoid the curd to curdle.Let the mixture simmer for 5 minutes and switch off the heat. Garnish with coriander leaves.Serve the Kathiyawadi Shaak Recipe along with Phulka, Gujarati Kadhi and Kachumber Salad for a delightful weeknight dinner.
</t>
  </si>
  <si>
    <t>काठियावाड़ी शाक रेसिपी बनाने के लिए सबसे पहले बैंगन को धोकर बारीक काट लें और पकने तक पानी में भिगोकर रखें ताकि ऑक्सीकरण से बचा जा सके। मूंगफली को मिक्सर ग्राइंडर में दरदरा पीस लें और एक तरफ रख दें। मध्यम आंच पर एक पैन में तेल गर्म करें, उसमें लहसुन डालें और तेल का स्वाद आने तक भूनें। इसमें लगभग 2-3 मिनट का समय लगेगा। इसमें प्याज डालें और मिश्रण को सुनहरा भूरा होने तक भूनें। इसमें करीब 5 मिनट का समय लगेगा। बैंगन से पानी निकाल दें और पैन में डालकर अच्छी तरह मिला लें। बैंगन को 3/4 तक अपनी नमी में पकने दें। लाल मिर्च, हल्दी, जीरा, धनिया पाउडर डालें और अच्छी तरह मिला लें। कुटी हुई मूंगफली डालें, नमक डालें और बैंगन के अच्छी तरह पकने तक पकाएं धनिया पत्ती से गार्निश करें। काठियावाड़ी शाक रेसिपी को फुल्का, गुजराती कढ़ी और कचुम्बर सलाद के साथ रात के खाने के लिए परोसें।</t>
  </si>
  <si>
    <t>https://www.archanaskitchen.com/kathiyawadi-shaak-recipe</t>
  </si>
  <si>
    <t>Baked Chevdo Recipe (Chivda Mixture -Tea Time Snack)</t>
  </si>
  <si>
    <t>बेक्ड चेवडो रेसिपी (चिवड़ा मिश्रण - चाय के समय का नाश्ता)</t>
  </si>
  <si>
    <t>500 ग्राम पोहा - बहुत पतला और चपटा, 1/4 कप तिल, 12 टहनियाँ करी पत्ते - बारीक कटे हुए, 1/4 कप भुनी हुई मूंगफली - आधी कटी हुई और बिना छिलके वाली, 1/4 कप कटे हुए बादाम - भुने हुए, 1/4 कप किशमिश, 4 हरी मिर्च - बारीक कटी हुई (समायोजित करें), 2 छोटे चम्मच हल्दी, 1/2 छोटा चम्मच लाल मिर्च पाउडर - (समायोजित करें), 1 छोटा चम्मच हींग, 2 बड़े चम्मच चीनी - दरदरा पिसी हुई, नमक - स्वादानुसार, सूरजमुखी का तेल - भूनने के लिए</t>
  </si>
  <si>
    <t>500 grams Poha (Flattened rice) - the super thin and flat variety,1/4 cup Sesame seeds (Til seeds),12 sprig Curry leaves - finely chopped,1/4 cup Roasted Peanuts (Moongphali) - halved and without skin,1/4 cup Slivered Almonds (Badam) - roasted,1/4 cup Raisins,4 Green Chillies - finely chopped (adjust),2 teaspoons Turmeric powder (Haldi),1/2 teaspoon Red Chilli powder - (adjust),1 teaspoon Asafoetida (hing),2 tablespoons Sugar - coarsely powdered,Salt - to taste,Sunflower Oil - for roasting</t>
  </si>
  <si>
    <t xml:space="preserve">To begin with the Baked Chevdo Recipe, first preheat the oven to 220 C.Sift the beaten rice using a large sieve sifter to remove any fine excess powders.Do it in batches.Next, depending on the size of the oven, place the beaten rice on the baking sheet, drizzle a little bit of oil based on the quantity and then a little bit of salt.Now stir to combine the oil and salt into the beaten rice. The oil we add is just to make sure the salt gets coated onto the beaten rice to give a nice taste.Place the beaten rice into the oven and bake for 5 to 7 minutes until very very lightly browned. Monitor closely as each oven works differently.Proceed the same way with the remaining beaten rice and then keep them all together in a large bowl or a baking tray.Our next step is to roast each on the individual ingredients.In a small pan, dry roast the sesame seeds until it crackles. Once it does, then add it to the baked beaten rice.Add in the roasted peanuts and almonds into the beaten rice as well.(Dont stir as yet, the more you keep stirring, the beaten rice will tend to crumble.)Next heat half a teaspoon of oil in the same small pan; add in the raisins and roast until it bloats up. Remove from the heat and pour it over the beaten rice. If you let it roast for longer than the bloating stage, then the raisins will become stiff.Next add in half a teaspoon of oil into the above pan and roast the green chillies, until lightly crisp and browned. Pour this over the beaten rice again.Finally heat a teaspoon of oil in the above pan; once the oil is heated, turn off the heat - add to this oil - the turmeric powder, red chilli powder and asafoetida powder. Stir to mix well.Pour this over the beaten rice.Finally, add the powdered sugar and the curry leaf powder over the beaten rice.Now stir all the ingredients that you poured over the rice. The stirring has to be a folding action - gentle and more gentle. The nylon poha also known as the thin poha breaks apart very easily. Although in the process of mixing all the ingredient you will notice that some crumble, but that's ok.Make sure you mix the and finally check for the salt levels, adjust the spices like salt, sugar, chilli and asafoetida according to your taste.The Baked Chevdo (Chivda Mixture)is now ready to be served along with tea time snack.
</t>
  </si>
  <si>
    <t>बेक्ड शेवडो रेसिपी से शुरू करने के लिए, सबसे पहले ओवन को 220 डिग्री सेल्सियस पर गर्म कर लें। किसी भी अतिरिक्त बारीक पाउडर को हटाने के लिए एक बड़ी छलनी का उपयोग करके पीटा हुआ चावल छान लें। इसे बैचों में करें। अगला, ओवन के आकार के आधार पर, पीटा हुआ चावल को बेकिंग शीट पर रखें, मात्रा के आधार पर थोड़ा सा तेल छिड़कें और फिर थोड़ा सा नमक। अब पीटा हुआ चावल में तेल और नमक को मिलाने के लिए हिलाएं। हम जो तेल डालते हैं वह यह सुनिश्चित करने के लिए है कि नमक पीटा हुआ चावल पर लेपित हो जाए ताकि एक अच्छा स्वाद आए। पीटा हुआ चावल ओवन में रखें और 5 से 7 मिनट तक बहुत हल्का भूरा होने तक बेक करें। बारीकी से निगरानी करें क्योंकि प्रत्येक ओवन अलग तरीके से काम करता है। शेष पीटा हुआ चावल के साथ उसी तरह आगे बढ़ें और फिर उन्हें एक बड़े कटोरे या बेकिंग ट्रे में एक साथ रखें। जब यह पक जाए, तो इसे पके हुए चावल में मिला दें। भुनी हुई मूंगफली और बादाम को भी चावल में मिला दें। (अभी हिलाएँ नहीं, जितना ज़्यादा आप हिलाते रहेंगे, चावल टूटने लगेंगे।) अब उसी छोटे पैन में आधा चम्मच तेल गरम करें, उसमें किशमिश डालें और तब तक भूनें जब तक कि यह फूल न जाए। आँच से उतार लें और चावल के ऊपर डाल दें। अगर आप इसे फूलने से ज़्यादा देर तक भुनते हैं, तो किशमिश सख्त हो जाएँगी। अब ऊपर वाले पैन में आधा चम्मच तेल डालें और हरी मिर्च को हल्का कुरकुरा और भूरा होने तक भूनें। इसे फिर से चावल के ऊपर डालें। आखिर में ऊपर वाले पैन में एक चम्मच तेल गरम करें, जब तेल गरम हो जाए, आँच बंद कर दें - इस तेल में हल्दी पाउडर, लाल मिर्च पाउडर और हींग पाउडर डालें। अच्छी तरह से मिलाएँ। इसे चावल के ऊपर डालें। आखिर में चावल के ऊपर पिसी चीनी और करी पत्ता पाउडर डालें। अब चावल के ऊपर डाली गई सभी सामग्री को मिलाएँ। मिश्रण को मोड़ने की क्रिया के साथ-साथ धीरे-धीरे और अधिक धीरे-धीरे हिलाना चाहिए। नायलॉन पोहा जिसे पतला पोहा भी कहा जाता है, बहुत आसानी से टूट जाता है। हालाँकि सभी सामग्री को मिलाने की प्रक्रिया में आप देखेंगे कि कुछ टूट जाते हैं, लेकिन यह ठीक है। सुनिश्चित करें कि आप मिश्रण को मिलाएँ और अंत में नमक के स्तर की जाँच करें, अपने स्वाद के अनुसार नमक, चीनी, मिर्च और हींग जैसे मसालों को समायोजित करें। बेक्ड शेवडो (चिवड़ा मिश्रण) अब चाय के नाश्ते के साथ परोसने के लिए तैयार है।</t>
  </si>
  <si>
    <t>https://www.archanaskitchen.com/farali-batata-chivda-potato-chevda-fasting-recipe</t>
  </si>
  <si>
    <t>Puran Poli Recipe | Gujarati &amp; Maharastrian | Sweet Spiced Stuffed Paratha With Jaggery</t>
  </si>
  <si>
    <t>पूरन पोली रेसिपी | गुजराती और महाराष्ट्रियन | गुड़ के साथ मीठा मसालेदार भरवां पराठा</t>
  </si>
  <si>
    <t>2 कप गेहूं का आटा, 1/4 चम्मच नमक, 2 बड़े चम्मच सूरजमुखी तेल, घी - पकाने / परोसने के लिए, 1 कप अरहर दाल, 3/4 कप गुड़, 10 केसर, 1 चम्मच इलायची पाउडर, 1/2 चम्मच जायफल पाउडर, 2 बड़े चम्मच बेसन - या अधिक यदि आवश्यक हो</t>
  </si>
  <si>
    <t>2 cups Whole Wheat Flour,1/4 teaspoon Salt,2 tablespoons Sunflower Oil,Ghee - for cooking/ serving,1 cup Arhar dal (Split Toor Dal),3/4 cup Jaggery,10 Saffron strands,1 teaspoon Cardamom Powder (Elaichi),1/2 teaspoon Nutmeg powder,2 tablespoons Gram flour (besan) - or more if required</t>
  </si>
  <si>
    <t xml:space="preserve">To begin making the Gujarati Puran Poli Recipe, we will first make the dough. Add whole wheat flour into a large bowl; add salt and combine it with little water at a time and knead until the dough gathers together to form a firm dough yet soft dough. Add the 2 tablespoons of oil to coat the dough and knead for a couple of more minutes until smooth and firm. Cover and let the dough sit in a cool place until we get the puran filling ready. Divide the dough into 6 portions.Soak the dal for 15 to 20 minutes in water.Add the soaked dal with 1-1/4 cups of water (includes the soaked water) into the pressure cooker and pressure cook for 4 to 5 whisltes and turn off the heat. Allow the pressure to release naturally. Once the pressure releases, give the dal a quick mash.The next step is the make the puran filling. Into a heavy bottomed pan, add the cooked dal, and jaggery.Keep stirring until the jaggery dissolves completely.Stir in the saffron, cardamom and nutmeg to the jaggery mixture until well combined to make the puran poli filling. Add the besan at this point and mix it into the dal mixture and ensure it blends well without any lumps.Continue stirring the puran poli mixture until the dal mixture begins to thicken and leaves the sides of the pan.At this point turn off the heat and allow the puran poli mixture to cool completely. Divide the dough and puran mixture into 6 portions.Keeping a little flour for dusting handy on a plate; roll out the puran poli dough into 3 inch diameter circles.Place a portion of the puran poli mixture into the center of the circle.Bring edges of the circle towards the center and fold over to cover the entire filling; making sure the edges are all sealed well by pinching them together if there is any opening.Flatten the stuffed dough; dust over a little flour and roll gently into a 4 to 6 inch diameter circle taking care not to put too much pressure as the puran can come out of the dough.Preheat a skillet on medium high; place the rolled puran poli onto the skillet to cook until golden brown on both sides. At this point you can cook it along with ghee to make the puran poli crisp and delicious. Or you can make a dry puran poli and serve it along with ghee.Repeat the above process for all the remaining dough and puran portions.Serve the Gujarati Puran Poli hot with ghee smeared on the top as it is or along with Undhiyu and Gujarati Kadhi to make a delicious meal. 
</t>
  </si>
  <si>
    <t>गुजराती पूरन पोली रेसिपी बनाने के लिए सबसे पहले हम आटा गूंथेंगे। एक बड़े कटोरे में गेहूं का आटा लें, नमक डालें और इसे थोड़ा-थोड़ा पानी के साथ मिलाते हुए तब तक गूंथें जब तक आटा एक सख्त और मुलायम आटा न बन जाए। आटे को कोट करने के लिए 2 बड़े चम्मच तेल डालें और कुछ और मिनट तक गूंथें जब तक यह चिकना और सख्त न हो जाए। आटे को ढककर ठंडी जगह पर रख दें जब तक कि पूरन का भरावन तैयार न हो जाए। आटे को 6 भागों में बाँट लें। दाल को 15 से 20 मिनट के लिए पानी में भिगो दें। भीगी हुई दाल को 1-1/4 कप पानी (भिगोया हुआ पानी भी शामिल है) के साथ प्रेशर कुकर में डालें और 4 से 5 सीटी तक पकाएँ और आँच बंद कर दें। एक भारी तले की कड़ाही में पकी हुई दाल और गुड़ डालें। गुड़ के पूरी तरह घुलने तक हिलाते रहें। केसर, इलायची और जायफल को गुड़ के मिश्रण में डालकर अच्छी तरह मिलाएँ और पूरन पोली का भरावन तैयार करें। इस समय बेसन डालें और इसे दाल के मिश्रण में मिलाएँ और सुनिश्चित करें कि यह बिना किसी गांठ के अच्छी तरह मिल जाए। पूरन पोली के मिश्रण को तब तक हिलाते रहें जब तक दाल का मिश्रण गाढ़ा न होने लगे और पैन के किनारों से अलग न होने लगे। इस समय आँच बंद कर दें और पूरन पोली के मिश्रण को पूरी तरह से ठंडा होने दें। आटे और पूरन के मिश्रण को 6 भागों में बाँट लें। एक प्लेट में छिड़कने के लिए थोड़ा आटा रखकर पूरन पोली के आटे को 3 इंच व्यास के गोल आकार में बेल लें थोड़ा सा मैदा छिड़कें और धीरे से 4 से 6 इंच व्यास के गोले में बेल लें, ध्यान रखें कि ज़्यादा दबाव न डालें क्योंकि पूरन आटे से बाहर आ सकता है। एक कड़ाही को मध्यम आँच पर गरम करें; रोल की हुई पूरन पोली को दोनों तरफ से सुनहरा भूरा होने तक पकाने के लिए कड़ाही में रखें। इस बिंदु पर आप पूरन पोली को कुरकुरा और स्वादिष्ट बनाने के लिए इसे घी के साथ पका सकते हैं। या आप एक सूखी पूरन पोली बना सकते हैं और इसे घी के साथ परोस सकते हैं। शेष सभी आटे और पूरन भागों के लिए उपरोक्त प्रक्रिया को दोहराएं। गुजराती पूरन पोली को ऊपर से घी लगाकर गरमागरम परोसें या स्वादिष्ट भोजन बनाने के लिए उंधियू और गुजराती कढ़ी के साथ परोसें।</t>
  </si>
  <si>
    <t>https://www.archanaskitchen.com/puran-poli-recipe-with-toor-dal-and-chana-dal</t>
  </si>
  <si>
    <t>Gujarati Style Osaman Dal Recipe</t>
  </si>
  <si>
    <t>गुजराती स्टाइल ओसमान दाल रेसिपी</t>
  </si>
  <si>
    <t>1 कप अरहर दाल, 1/2 चम्मच हल्दी, नमक - स्वादानुसार, 1 चम्मच सरसों के बीज, 1 चम्मच जीरा, 2 लौंग, 1 इंच दालचीनी, 1 चम्मच इलायची, 1 हरी मिर्च - कटी हुई, 4 लहसुन के टुकड़े - कटे हुए, 1 टहनी करी पत्ता, 1 बड़ा चम्मच गुड़, घी - तड़के के लिए</t>
  </si>
  <si>
    <t>1 cup Arhar dal (Split Toor Dal),1/2 teaspoon Turmeric powder (Haldi),Salt - to taste,1 teaspoon Mustard seeds,1 teaspoon Cumin seeds (Jeera),2 Cloves (Laung),1 inch Cinnamon Stick (Dalchini),1 teaspoon Cardamom Powder (Elaichi),1 Green Chilli - chopped,4 cloves Garlic - sliced,1 sprig Curry leaves,1 tablespoon Jaggery,Ghee - for tempering</t>
  </si>
  <si>
    <t xml:space="preserve">To begin making the Gujarati Osaman Dal Recipe, in a pressure cooker combine the toor dal with water, turmeric powder and salt, pressure cook for 4 whistles.Once done, switch off the heat, allow the pressure to release naturally. Open the lid and start mashing the dal to bring the dal and water together. Heat a tadka pan with ghee on medium flame, add mustard seeds, cumin seeds, cloves, cinnamon stick and cardamom powder and allow it to splutter in the oil for a few seconds. Add the jaggery and allow it to melt into the mixture. Once the jaggery has melted, add curry leaves, green chillies,and garlic and saute for few seconds. Add toor dal mixture and mix well. Add salt as needed and stir into the Gujarati Osaman Dal. Serve the Gujarati Osaman Dal Recipe along with Steamed Rice, Sweet &amp; Spicy Raw Papaya Moongfali Ki Subzi Recipe by the side.
</t>
  </si>
  <si>
    <t>गुजराती उस्मान दाल रेसिपी बनाने के लिए सबसे पहले एक प्रेशर कुकर में तूअर दाल को पानी, हल्दी पाउडर और नमक के साथ मिलाएं और 4 सीटी आने तक पकाएं। जब यह हो जाए तो आंच बंद कर दें और प्रेशर को अपने आप निकलने दें। ढक्कन खोलें और दाल को मैश करना शुरू करें ताकि दाल और पानी एक साथ आ जाएं। एक तड़का पैन में घी डालकर मध्यम आंच पर गर्म करें, उसमें राई, जीरा, लौंग, दालचीनी और इलायची पाउडर डालें और कुछ सेकेंड के लिए तेल में इसे फूटने दें। इसमें गुड़ डालें और इसे मिश्रण में पिघलने दें। गुड़ के पिघल जाने पर इसमें करी पत्ता, हरी मिर्च और लहसुन डालें और कुछ सेकेंड के लिए भूनें। इसमें तूअर दाल का मिश्रण डालें और अच्छी तरह मिला लें। आवश्यकतानुसार नमक डालें और गुजराती उस्मान दाल में मिला दें</t>
  </si>
  <si>
    <t>http://www.archanaskitchen.com/gujarati-style-osaman-dal-recipe</t>
  </si>
  <si>
    <t>Recipe for Kathiawadi Dhokli</t>
  </si>
  <si>
    <t>काठियावाड़ी ढोकली नू शाक रेसिपी</t>
  </si>
  <si>
    <t>1 कप बेसन, नमक - स्वादानुसार, हल्दी - चुटकीभर, 1/2 छोटा चम्मच लाल मिर्च पाउडर, 1 छोटा चम्मच अजवाइन, 1-1/2 कप पानी, 1 बड़ा चम्मच सूरजमुखी तेल, करी पत्ता - थोड़े, 1 छोटा चम्मच जीरा, 1/2 छोटा चम्मच सरसों के बीज, हींग - चुटकीभर, नमक - स्वादानुसार, 1/2 छोटा चम्मच गरम मसाला पाउडर, 1/2 छोटा चम्मच लाल मिर्च पाउडर, 1 कप छाछ, धनिया पत्ता - सजाने के लिए</t>
  </si>
  <si>
    <t>1 cup Gram flour (besan),Salt - to taste,Turmeric powder (Haldi) - a pinch,1/2 teaspoon Red Chilli powder,1 teaspoon Ajwain (Carom seeds),1-1/2 cup Water,1 tablespoon Sunflower Oil,Curry leaves - few,1 teaspoon Cumin seeds (Jeera),1/2 teaspoon Mustard seeds,Asafoetida (hing) - a pinch,Salt - to taste,1/2 teaspoon Garam masala powder,1/2 teaspoon Red Chilli powder,1 cup Buttermilk,Coriander (Dhania) Leaves - to garnish</t>
  </si>
  <si>
    <t xml:space="preserve">To begin making the Kathiyawadi Dhokli Nu Shaak, firstly we will make the dhokli. In a mixing bowl, mix gram flour, salt, red chilli powder, turmeric powder and carom seeds. Add required water and mix to make a batter. Next, grease a dhokla plate. Transfer the dhokli batter into the plate and steam cook it for 10 to 15 minutes.Later remove from the steamer and allow it to cool. Once it cools down, cut it into small pieces and keep them aside. The next step is to make the curry. Heat oil in a heavy bottomed pan on medium flame.Add mustard seeds and once it splutters add cumin seeds, asafoetida and curry leaves. Saute for about a minute.After a minute, add butter milk, salt, red chilli powder and garam masala into it. Mix everything and cook on sim till the curry starts boiling. This may take 2 to 3 minutes. Now add the diced dhokli, simmer and allow to boil for 3 to 4 minutes. Switch off and garnish with coriander leaves. Serve Kathiawadi Dhokli Nu Shaak along with Aloo Bhindi Ki Sabzi, Cucumber Green Chilli Raita and Phulka for a weekday meal.
</t>
  </si>
  <si>
    <t>काठियावाड़ी ढोकली नू शाक बनाने के लिए सबसे पहले हम ढोकली बनाएंगे। एक मिक्सिंग बाउल में बेसन, नमक, लाल मिर्च पाउडर, हल्दी पाउडर और अजवायन मिलाएँ। आवश्यकतानुसार पानी डालें और घोल बनाने के लिए मिलाएँ। इसके बाद एक ढोकला प्लेट को चिकना करें। ढोकली के घोल को प्लेट में डालें और इसे 10 से 15 मिनट तक भाप में पकाएँ। बाद में स्टीमर से निकालें और ठंडा होने दें। ठंडा होने के बाद इसे छोटे टुकड़ों में काट लें और एक तरफ रख दें। अगला स्टेप करी बनाना है। मध्यम आँच पर एक भारी तले की कड़ाही में तेल गरम करें। उसमें राई डालें और जब यह फूटने लगे तो जीरा, हींग और करी पत्ता डालें। लगभग एक मिनट तक भूनें। एक मिनट बाद इसमें छाछ, नमक, लाल मिर्च पाउडर और गरम मसाला डालें अब इसमें कटे हुए ढोकली डालें, धीमी आँच पर 3 से 4 मिनट तक उबलने दें। गैस बंद कर दें और धनिया पत्ती से गार्निश करें। काठियावाड़ी ढोकली नू शाक को आलू भिंडी की सब्ज़ी, खीरा हरी मिर्च रायता और फुल्का के साथ दिन के खाने में परोसें।</t>
  </si>
  <si>
    <t>http://www.archanaskitchen.com/kathiawadi-dhokli-nu-shaak-recipe</t>
  </si>
  <si>
    <t>Makai Dhokla Recipe - Savoury Steamed Corn Cake</t>
  </si>
  <si>
    <t>मकई ढोकला रेसिपी - स्वादिष्ट स्टीम्ड कॉर्न केक</t>
  </si>
  <si>
    <t>1 कप स्वीट कॉर्न, 1 कप मकई का आटा, 1/2 कप दही - फेंटा हुआ, 2-3 हरी मिर्च - कटी हुई, 1 इंच अदरक - कटा हुआ, 1/4 छोटा चम्मच हींग, 1/4 छोटा चम्मच हल्दी पाउडर, 1 छोटा चम्मच इनोस फ्रूट सॉल्ट, 1/2 छोटा चम्मच नींबू का रस, 1/2 छोटा चम्मच चीनी, नमक - स्वादानुसार, धनिया पत्ती - सजाने के लिए कटी हुई, सूरजमुखी तेल - प्लेटों/सांचों को चिकना करने के लिए, 2 बड़े चम्मच सूरजमुखी तेल, 1/2 छोटा चम्मच सरसों के बीज, 1/2 छोटा चम्मच जीरा, 1 टहनी करी पत्ता - तोड़ा हुआ, 1/4 छोटा चम्मच हींग, 1/2 छोटा चम्मच लाल मिर्च पाउडर</t>
  </si>
  <si>
    <t>1 cup Sweet corn,1 cup Corn meal,1/2 cup Curd (Dahi / Yogurt) - whisked,2-3 Green Chillies - chopped,1 inch Ginger - sliced,1/4 teaspoon Asafoetida (hing),1/4 teaspoon Turmeric powder (Haldi),1 teaspoon Enos fruit salt,1/2 teaspoon Lemon juice,1/2 teaspoon Sugar,Salt - to taste,Coriander (Dhania) Leaves - Chopped for garnishing,Sunflower Oil - for greasing the plates/moulds,2 tablespoon Sunflower Oil,1/2 teaspoon Mustard seeds,1/2 teaspoon Cumin seeds (Jeera),1 sprig Curry leaves - torn,1/4 teaspoon Asafoetida (hing),1/2 teaspoon Red Chilli powder</t>
  </si>
  <si>
    <t xml:space="preserve">To begin making the Makai Dhokla, firstly crush the sweet corn in a blender along with green chilies and ginger.In a mixing bowl add the crushed corn paste, corn dalia and sour curd. Add asafoetida, turmeric powder, salt, sugar, lime juice and mix everything well.Add water to make a thick, dropping consistency batter and keep it aside for 30 minutes.Meanwhile, prepare the steamer and grease two 8 inch steel plates or any moulds of choice with a little oil.Add the fruit salt to the Dhokla batter, mix well and immediately pour the batter into the prepared plates/moulds.Steam for 12-15 minutes or till a knife/ tester inserted comes out clean.The next step is tempering. In a small pan heat the oil and add the mustard seeds and once they crackle, add the cumin seeds.Add the curry leaves, asafoetida and red chilli powder and take the pan off the heat.Drizzle this tempering (tadka) over the steamed dhokla using a spoon.Serve Makai Dhokla with Dhaniya Pudina Chutney and hot Masala chai.
</t>
  </si>
  <si>
    <t>मकई ढोकला बनाने के लिए सबसे पहले स्वीट कॉर्न को ब्लेंडर में डालकर हरी मिर्च और अदरक के साथ पीस लें। एक मिक्सिंग बाउल में पिसा हुआ कॉर्न पेस्ट, कॉर्न दलिया और खट्टा दही डालें। हींग, हल्दी पाउडर, नमक, चीनी, नींबू का रस डालें और सभी चीजों को अच्छी तरह से मिलाएँ। गाढ़ा घोल बनाने के लिए पानी डालें और 30 मिनट के लिए अलग रख दें। इस बीच, स्टीमर तैयार करें और दो 8 इंच की स्टील प्लेट या अपनी पसंद के किसी भी सांचे को थोड़े से तेल से चिकना करें। ढोकला बैटर में फ्रूट सॉल्ट डालें, अच्छी तरह मिलाएँ और तुरंत बैटर को तैयार प्लेट/मोल्ड में डालें। 12-15 मिनट तक स्टीम करें या जब तक चाकू/टेस्टर साफ बाहर न आ जाए। अगला चरण तड़का लगाना है। एक छोटे पैन में तेल गरम करें और उसमें राई डालें और जब वे चटकने लगें तो जीरा डालें। करी पत्ता, हींग और लाल मिर्च पाउडर डालें और पैन को आंच से उतार लें। इस तड़के को एक चम्मच की मदद से उबले हुए ढोकले पर डालें। मकई ढोकला को धनिया पुदीना चटनी और गरम मसाला चाय के साथ परोसें।</t>
  </si>
  <si>
    <t>http://www.archanaskitchen.com/makai-dhokla-savoury-steamed-corn-cake-recipe</t>
  </si>
  <si>
    <t>Fada Ni Khichdi Recipe</t>
  </si>
  <si>
    <t>फाडा नी खिचड़ी रेसिपी</t>
  </si>
  <si>
    <t>1 कप टूटा हुआ गेहूं (दलिया / गोदुमई रवा), 1/4 कप पीली मूंग दाल (स्प्लिट), 1/2 चम्मच हल्दी पाउडर (हल्दी), 1/2 चम्मच गरम मसाला पाउडर, 1 बड़ा चम्मच घी, 1 गाजर (गज्जर) - बारीक कटा हुआ, 1/4 कप हरी बीन्स (फ्रेंच बीन्स) - बारीक कटी हुई, नमक - स्वादानुसार, 1/2 चम्मच साबुत काली मिर्च - मोटे तौर पर कुचल, 2 लौंग (लौंग), 1 इलायची (इलायची) फली / बीज, 1/2 इंच दालचीनी (दालचीनी), 1 टहनी करी पत्ता, 1/2 इंच अदरक - कसा हुआ, 2 हरी मिर्च - चीरी हुई, 1/2 बड़ा चम्मच जीरा (जीरा), 1 सूखी लाल मिर्च, 1/4 चम्मच हींग</t>
  </si>
  <si>
    <t>1 cup Broken Wheat (Dalia/ Godumai Rava),1/4 cup Yellow Moong Dal (Split),1/2 teaspoon Turmeric powder (Haldi),1/2 teaspoon Garam masala powder,1 tablespoon Ghee,1 Carrot (Gajjar) - finely chopped,1/4 cup Green beans (French Beans) - finely chopped,Salt - to taste,1/2 teaspoon Whole Black Peppercorns - coarsely crushed,2 Cloves (Laung),1 Cardamom (Elaichi) Pods/Seeds,1/2 inch Cinnamon Stick (Dalchini),1 sprig Curry leaves,1/2 inch Ginger - grated,2 Green Chillies - slit,1/2 tablespoon Cumin seeds (Jeera),1 Dry Red Chilli,1/4 teaspoon Asafoetida (hing)</t>
  </si>
  <si>
    <t xml:space="preserve">To begin making Fada Ni Khichdi recipe, firstly soak the moong dal in warm water for 15 mins. In a small pressure cooker, heat half of the ghee. After adding the ghee, add cloves, cardamom, cinnamon stick, curry leaves, ginger, green chillies, cumin seeds, dry red chilli, asafoetida, shahi jeera. Once these begin tgo sizzle add in the lapsi.Fry the lapsi in the ghee for 2 mins till a nice aroma comes out.After 2 minutes, add the soaked and drained moong dal and fry for 1-2 mins.Add the veggies- carrots, beans and saute again for 3-4 mins and add salt according to your taste.Once it is done, add the turmeric powder and garam masala powder.Now add 2-3 cups of water for a slightly runny khichdi or 2 cups of water for a grainy khichdi. Pressure cook it till the cooker releases 2-3 whistles. Let the pressure come down on its own.Now add the black pepper and stir. Adjust salt and spices according to your taste and mix it properly.Serve Fada Ni Khichdi along with Coriander Tadka Raita Recipe, Gujarati Gor Keri Recipe - Sweet And Spicy Raw Mango Pickle, and papad by the side. 
</t>
  </si>
  <si>
    <t>फाडा नी खिचड़ी रेसिपी बनाने के लिए सबसे पहले मूंग दाल को 15 मिनट के लिए गर्म पानी में भिगो दें। एक छोटे प्रेशर कुकर में घी का आधा हिस्सा गर्म करें। घी डालने के बाद उसमें लौंग, इलायची, दालचीनी, करी पत्ता, अदरक, हरी मिर्च, जीरा, सूखी लाल मिर्च, हींग, शाही जीरा डालें। जब ये तड़कने लगे तो इसमें लापसी डालें। लापसी को घी में 2 मिनट तक अच्छी खुशबू आने तक भूनें। 2 मिनट के बाद इसमें भिगोई और पानी निकाला हुआ मूंग दाल डालें और 1-2 मिनट तक भूनें। इसमें सब्जियां- गाजर, बीन्स डालें और फिर से 3-4 मिनट तक भूनें और स्वादानुसार नमक डालें। जब ये पक जाए तो इसमें हल्दी पाउडर और गरम मसाला पाउडर डालें कुकर में 2-3 सीटी आने तक प्रेशर कुकर में पकाएँ। प्रेशर अपने आप कम होने दें। अब काली मिर्च डालें और चलाएँ। अपने स्वाद के अनुसार नमक और मसाले डालें और अच्छी तरह मिलाएँ। फाडा नी खिचड़ी को धनिया तड़का रायता रेसिपी, गुजराती गोर केरी रेसिपी - मीठा और मसालेदार कच्चे आम का अचार और पापड़ के साथ परोसें।</t>
  </si>
  <si>
    <t>http://www.archanaskitchen.com/fada-ni-khichdi-recipe</t>
  </si>
  <si>
    <t>Gujarati Valsadi Vada Recipe - Multigrain Masala Vada</t>
  </si>
  <si>
    <t>गुजराती वलसाडी वड़ा रेसिपी - मल्टीग्रेन मसाला वड़ा</t>
  </si>
  <si>
    <t>1 कप गेहूं के दाने, 1 कप चावल, 1 बड़ा चम्मच ज्वार के बीज, 1 बड़ा चम्मच अरहर दाल, 1 बड़ा चम्मच चना दाल, 1 बड़ा चम्मच सफेद उड़द दाल, 1 कप दही, 1 इंच अदरक - कद्दूकस किया हुआ, 2 हरी मिर्च - बारीक कटी हुई, 1/4 छोटा चम्मच हल्दी, 1/4 छोटा चम्मच हींग, नमक - स्वादानुसार, सूरजमुखी तेल - तलने के लिए</t>
  </si>
  <si>
    <t>1 cup Wheat Berries/ Whole Wheat,1 cup Rice,1 tablespoon Jowar Seeds - grains,1 tablespoon Arhar dal (Split Toor Dal),1 tablespoon Chana dal (Bengal Gram Dal),1 tablespoon White Urad Dal (Split),1 cup Curd (Dahi / Yogurt),1 inch Ginger - grated,2 Green Chillies - finely chopped,1/4 teaspoon Turmeric powder (Haldi),1/4 teaspoon Asafoetida (hing),Salt - to taste,Sunflower Oil - for frying</t>
  </si>
  <si>
    <t xml:space="preserve">To begin making the Gujarati Valsadi Vada Recipe take a heavy bottom pan and dry roast all the grains and dals separately on a low to medium heat till they turn light brown. Once roasted, keep it aside for coolingStart with whole wheat, next rice, then jowar, tuvar dal chana dal and finally urad dal.Grind the mix grains into a coarse Powder in a Flour Mill. Store them in an Airtight container for increasing its shelf life.For making Gujarati Valsadi Vada, take a cup of roasted flour and add turmeric powder , asafoetida, salt, ginger, chili and yogurt.The consistency of Valsadi Vada batter should be of thick consistency. Give it a good mix and keep aside for two hours.Heat oil in a deep frying pan over medium heat.  Once the oil is preheated, spoon or make small rounds of the vada and slide it into the hot oil. Deep fry the alsadi Vada medium heat till crisp and browned on all sides.Transfer the Valsadi Vada on a plate lined with kitchen towel for removing excess oil. Fry the remaining batches of vadas in the same wayServe the Gujarati Valsadi Vada along with a spicy Pudina Chutney Recipe as a tea time snack along with Masala Chai.
</t>
  </si>
  <si>
    <t>गुजराती वलसाडी वड़ा रेसिपी बनाने के लिए सबसे पहले एक भारी तले की कढ़ाई लें और सभी अनाजों और दालों को अलग-अलग धीमी से मध्यम आंच पर हल्का भूरा होने तक भून लें। भुन जाने के बाद इसे ठंडा होने के लिए अलग रख दें। सबसे पहले गेहूं, उसके बाद चावल, फिर ज्वार, तुवर दाल, चना दाल और अंत में उड़द दाल डालें। मिक्स अनाजों को आटा चक्की में दरदरा पीस लें। इसकी शेल्फ लाइफ बढ़ाने के लिए इसे एक एयरटाइट कंटेनर में स्टोर करें। गुजराती वलसाडी वड़ा बनाने के लिए एक कप भुना हुआ आटा लें और उसमें हल्दी पाउडर, हींग, नमक, अदरक, मिर्च और दही मिलाएं। वलसाडी वड़ा बैटर की स्थिरता गाढ़ी होनी चाहिए। इसे अच्छे से मिलाएं और दो घंटे के लिए अलग रख दें। एक गहरे फ्राइंग पैन में मध्यम आंच पर तेल गर्म करें। जब तेल गर्म हो जाए तो वड़ा को चमच्च से या छोटे-छोटे गोल आकार में बनाकर गर्म तेल में डालें। अलसड़ी वड़ा को मध्यम आंच पर चारों तरफ से कुरकुरा और भूरा होने तक तल लें। वलसाड़ी वड़ा को अतिरिक्त तेल निकालने के लिए किचन टॉवल से ढकी प्लेट पर निकाल लें। इसी तरह से बाकी वड़े भी तल लें। गुजराती वलसाड़ी वड़ा को मसालेदार पुदीना चटनी रेसिपी के साथ चाय के समय नाश्ते के तौर पर मसाला चाय के साथ परोसें।</t>
  </si>
  <si>
    <t>https://www.archanaskitchen.com/gujarati-valsadi-vada-recipe-multigrain-masala-vada</t>
  </si>
  <si>
    <t>Ratalu Pakora Recipe - Purple Yam Pakora/Fritters</t>
  </si>
  <si>
    <t>रतालु पकौड़ा रेसिपी - बैंगनी रतालू पकौड़ा/पकौड़े</t>
  </si>
  <si>
    <t>1 कप बैंगनी रतालू, 1 कप बेसन, 1/2 कप पानी, 1/2 चम्मच नमक, 1 चम्मच हल्दी, 1 चम्मच लाल मिर्च पाउडर, 1/4 चम्मच हींग, चुटकी भर बेकिंग सोडा, सूरजमुखी तेल - तलने के लिए</t>
  </si>
  <si>
    <t>1 cup Purple yam,1 cup Gram flour (besan),1/2 cup Water,1/2 teaspoon Salt,1 teaspoon Turmeric powder (Haldi),1 teaspoon Red Chilli powder,1/4 teaspoon Asafoetida (hing),pinch Baking soda,Sunflower Oil - for deep frying</t>
  </si>
  <si>
    <t xml:space="preserve">To begin making the Ratalu Pakora recipe, firstly if you are using fresh yam, wash them in water and slice them into long slices. In a bowl, add besan flour, salt, spice powders, hing, baking soda and mix them well.Now, add water to the flour mixture little by little and mix them with a spatula.The batter should be thick and should be in the consistency of dosa batter. Meanwhile, heat oil in Wok/Kadai over medium heat. Once the oil is and reached required consistency such that a ball dropped into it rises steadily, take a slice of yam, dip it in the batter and drop it into the oil. Fry until they turn golden in color flipping through half way. Repeat the same for the remaining available yam slices.Prepare this Ratalu Pakoras and serve with Dhaniya Pudina Chutney, or Tomato Chutney on the side. 
</t>
  </si>
  <si>
    <t>रतालू पकौड़ा रेसिपी बनाने के लिए सबसे पहले अगर आप ताजा रतालू का उपयोग कर रहे हैं तो उसे पानी से धोकर लंबे टुकड़ों में काट लें। एक बाउल में बेसन, नमक, मसाला पाउडर, हिंग, बेकिंग सोडा डालकर अच्छी तरह मिला लें। अब आटे के मिश्रण में थोड़ा-थोड़ा करके पानी डालें और एक स्पैटुला से मिला लें। घोल गाढ़ा होना चाहिए और डोसा बैटर की स्थिरता का होना चाहिए। इस बीच, मध्यम आंच पर कड़ाही में तेल गर्म करें। जब तेल आवश्यक स्थिरता तक पहुंच जाए और इसमें डाली गई गेंद लगातार ऊपर उठे तो रतालू का एक टुकड़ा लें, उसे बैटर में डुबोएं और तेल में डालें। उन्हें तब तक तलें जब तक वे सुनहरे रंग के न हो जाएं और बीच में पलट दें। शेष उपलब्ध रतालू स्लाइस के लिए भी यही दोहराएं।</t>
  </si>
  <si>
    <t>http://www.archanaskitchen.com/ratalu-pakora-recipe-purple-yam-fritters</t>
  </si>
  <si>
    <t>Recipe for Rasawala Dhokla</t>
  </si>
  <si>
    <t>रसावाला ढोकला रेसिपी</t>
  </si>
  <si>
    <t>2 कप बेसन, 1/2 कप दही, 2 हरी मिर्च - पेस्ट बनाई हुई, 1 इंच अदरक - पेस्ट बनाई हुई, 1 बड़ा चम्मच नींबू का रस, 1 छोटा चम्मच इनोस फ्रूट सॉल्ट, नमक - स्वादानुसार, 1 बड़ा चम्मच सूरजमुखी तेल, 1 छोटा चम्मच सरसों के बीज, 1/2 छोटा चम्मच जीरा, 1/2 छोटा चम्मच हींग, 2 हरी मिर्च, 1 छोटा चम्मच लाल मिर्च पाउडर, 1/4 छोटा चम्मच हल्दी पाउडर, 2 बड़ा चम्मच गुड़ - कसा हुआ, 1 बड़ा चम्मच इमली का पेस्ट, नमक - स्वादानुसार, 4 टहनी धनिया - कटा हुआ, 1 बड़ा चम्मच सूरजमुखी तेल, 1 छोटा चम्मच सरसों के बीज, 1/2 छोटा चम्मच जीरा, 1/2 छोटा चम्मच हींग, 2 हरी मिर्च, 1 छोटा चम्मच लाल मिर्च पाउडर, 1/4 छोटा चम्मच हल्दी पाउडर, 2 बड़ा चम्मच गुड़ - कसा हुआ, 1 बड़ा चम्मच इमली पेस्ट, नमक - स्वादानुसार, 4 टहनियाँ धनिया पत्ती - कटी हुई</t>
  </si>
  <si>
    <t>2 cups Gram flour (besan),1/2 cup Curd (Dahi / Yogurt),2 Green Chillies - made into paste,1 inch Ginger - made into paste,1 tablespoons Lemon juice,1 teaspoon Enos fruit salt,Salt - to taste,1 tablespoon Sunflower Oil,1 teaspoon Mustard seeds,1/2 teaspoon Cumin seeds (Jeera),1/2 teaspoon Asafoetida (hing),2 Green Chillies,1 teaspoon Red Chilli powder,1/4 teaspoon Turmeric powder (Haldi),2 tablespoon Jaggery - grated,1 tablespoon Tamarind Paste,Salt - to taste,4 sprig Coriander (Dhania) Leaves - chopped,1 tablespoon Sunflower Oil,1 teaspoon Mustard seeds,1/2 teaspoon Cumin seeds (Jeera),1/2 teaspoon Asafoetida (hing),2 Green Chillies,1 teaspoon Red Chilli powder,1/4 teaspoon Turmeric powder (Haldi),2 tablespoon Jaggery - grated,1 tablespoon Tamarind Paste,Salt - to taste,4 sprig Coriander (Dhania) Leaves - chopped</t>
  </si>
  <si>
    <t xml:space="preserve">To begin making the Rasawala Dhokla recipe, in a large bowl combine the salt, yogurt and besan, whisk it  together along with water to make a thick batter.Set the batter aside for 3 to 4 hours and allow it to ferment. After 3 to 4 hours, all the lemon juice, ginger garlic paste and enos fruit salt. Whisk well to combine.Prepare the steamer by preheating it with 1 cup water at its bottom. Grease the dhokla plates with oil.Pour the dhokla batter into each plate, filling only up to half its level.Steam for about 12 to 15 minutes on high heat with the lid covered, until the dhoklas are cooked, that when a tester like a clean knife when inserted into the centre comes out clean. Turn off the heat and allow it to rest for 5 minutes in the steamer.Take out the dholka plates from the steamer and allow it to cool completely before you can cut them into square or diamond pieces. Arrange them on a serving platter.The next step is to make the rasa. Heat oil in a heavy bottomed pan. Add mustard seeds, cumin seeds, hing and green chillies.Once it splutter add turmeric powder, red chilli powder, tamarind pulp, jaggery and salt.Add water as required and make a thin sauce. Bring to boil.Drop the dhoklas and allow them to simmer in the rasa for 3 to 4 minutes.Garnish with coriander and serve immediately. Serve Rasawala Dhokla along with Gujarati Methi Thepla and Masala Chai for a filling and delicious breakfast with your family.
</t>
  </si>
  <si>
    <t>रसवाला ढोकला रेसिपी बनाने के लिए सबसे पहले एक बड़े बाउल में नमक, दही और बेसन डालकर फेंट लें और पानी के साथ गाढ़ा घोल बना लें। घोल को 3 से 4 घंटे के लिए अलग रख दें और इसे जमने दें। 3 से 4 घंटे बाद इसमें नींबू का रस, अदरक लहसुन का पेस्ट और इनोस फ्रूट सॉल्ट डालें और अच्छी तरह से मिला लें। स्टीमर को पहले से गरम करके इसके तले में 1 कप पानी डालकर तैयार कर लें। ढोकला प्लेट्स को तेल से चिकना कर लें। ढोकला बैटर को हर प्लेट में डालें और आधा ही भरें। ढोकला पक जाने तक, ढक्कन ढककर तेज आंच पर लगभग 12 से 15 मिनट तक पकाएं, ताकि जब एक साफ चाकू बीच में डाला जाए तो वह साफ बाहर आए। आंच बंद कर दें और इसे स्टीमर में 5 मिनट के लिए रख दें इन्हें सर्विंग प्लेट पर सजाएँ। अगला चरण रसा बनाना है। एक भारी तले वाली कड़ाही में तेल गरम करें। उसमें राई, जीरा, हींग और हरी मिर्च डालें। जब यह चटकने लगे तो हल्दी पाउडर, लाल मिर्च पाउडर, इमली का गूदा, गुड़ और नमक डालें। आवश्यकतानुसार पानी डालें और एक पतली चटनी बनाएँ। उबाल आने दें। ढोकला डालें और रसा में 3 से 4 मिनट तक पकने दें। धनिया से गार्निश करें और तुरंत परोसें। रसावाला ढोकला को गुजराती मेथी थेपला और मसाला चाय के साथ अपने परिवार के साथ भरपेट और स्वादिष्ट नाश्ते के लिए परोसें।</t>
  </si>
  <si>
    <t>http://www.archanaskitchen.com/rasawala-dhokla-recipe</t>
  </si>
  <si>
    <t>Oats Methi Muthia Recipe-Healthy Diabetic Friendly Muthia</t>
  </si>
  <si>
    <t>ओट्स मेथी मुठिया रेसिपी-स्वस्थ मधुमेह अनुकूल मुठिया</t>
  </si>
  <si>
    <t>1/4 कप इंस्टेंट ओट्स (दलिया) - पाउडर, 1/4 कप ज्वार का आटा (सोरघम), 1/4 कप बेसन (बेसन), 2 बड़े चम्मच सूजी (सूजी / रवा), 2 बड़े चम्मच दही (दही / योगर्ट), 1/2 कप मेथी के पत्ते (मेथी के पत्ते) - बारीक कटे हुए, 2 हरी मिर्च - बारीक कटी हुई, 1 इंच अदरक - बारीक कटा हुआ, 1/4 चम्मच हल्दी पाउडर (हल्दी), नमक - स्वादानुसार, 1 चम्मच सूरजमुखी तेल, 1/2 चम्मच सरसों के बीज, 1 चम्मच तिल (तिल के बीज), 1/2 चम्मच हींग (हिंग), 1 टहनी करी पत्ता</t>
  </si>
  <si>
    <t>1/4 cup Instant Oats (Oatmeal) - powdered,1/4 cup Jowar Flour (Sorghum),1/4 cup Gram flour (besan),2 tablespoons Sooji (Semolina/ Rava),2 tablespoons Curd (Dahi / Yogurt),1/2 cup Methi Leaves (Fenugreek Leaves) - finely chopped,2 Green Chillies - finely chopped,1 inch Ginger - finely chopped,1/4 teaspoon Turmeric powder (Haldi),Salt - to taste,1 teaspoon Sunflower Oil,1/2 teaspoon Mustard seeds,1 teaspoon Sesame seeds (Til seeds),1/2 teaspoon Asafoetida (hing),1 sprig Curry leaves</t>
  </si>
  <si>
    <t xml:space="preserve">For the Oats Methi MuthiaTo begin making the Oats Methi Muthia Recipe, powder the oats in a mixer grinder and keep it ready.In a large mixing bowl, combine, the powdered oats, jowar flour, besan flour, sooji, dahi, methi, green chillies, ginger, turmeric powder, and salt.Add very little water just to bring the Methi Muthia dough together. We need a nice, firm dough. Do not knead the dough too much.Once the muthia dough has come together, divide the dough into three parts, now shape them into long hot dog style rolls and set aside.Heat a steamer on high heat, place these muthia rolls on the steamer plate and cover and cook for 15 minutes.After 15 minutes, open the lid, insert a greased knife into one of the rolls to check if the Oats Methi Muthia has cooked, if the knife comes out clean it is steamed well.If not continue to cook for a few more minutes until done. Remove these Oats Methi Muthia from the steamer and allow it to cool.Once the Oats Methi Muthia have cooled, cut them into roundels and set aside.For the tadkaIn a pan heat oil, on medium heat, add mustard seeds, and curry leaves and allow them to crackle.Next add the sesame seeds and asafoetida, add the Oats Methi Muthia and toss for a few seconds.Serve this Oats Methi Muthia Recipe along with Lehsuni Pudina Chutney Recipe and Irani Chai Recipe as an evening snack.
</t>
  </si>
  <si>
    <t>ओट्स मेथी मुठिया बनाने के लिएओट्स मेथी मुठिया रेसिपी बनाने के लिए सबसे पहले ओट्स को मिक्सर ग्राइंडर में पीस लें और इसे तैयार कर लें। एक बड़े मिक्सिंग बाउल में पीसा हुआ ओट्स, ज्वार का आटा, बेसन का आटा, सूजी, दही, मेथी, हरी मिर्च, अदरक, हल्दी पाउडर और नमक मिलाएं। मेथी मुठिया के आटे को एक साथ लाने के लिए बहुत कम पानी डालें। हमें एक अच्छा, सख्त आटा चाहिए। आटे को ज्यादा न गूंथें। मुठिया का आटा एक साथ आ जाने के बाद, आटे को तीन भागों में विभाजित करें, अब उन्हें लंबे हॉट डॉग स्टाइल रोल का आकार दें और एक तरफ रख दें। एक स्टीमर को तेज़ आँच पर गर्म करें, इन मुठिया रोल को स्टीमर प्लेट पर रखें और ढककर 15 मिनट तक पकाएं। 15 मिनट के बाद, ढक्कन खोलें, एक रोल में चिकना किया हुआ चाकू डालकर देखें कि ओट्स मेथी मुठिया पक गया है या नहीं, इन ओट्स मेथी मुठिया को स्टीमर से निकालें और ठंडा होने दें। जब ओट्स मेथी मुठिया ठंडी हो जाए तो इन्हें गोल टुकड़ों में काट लें और एक तरफ रख दें। तड़के के लिए एक पैन में मध्यम आंच पर तेल गर्म करें, इसमें राई और करी पत्ता डालें और इन्हें चटकने दें। इसके बाद इसमें तिल और हींग डालें, ओट्स मेथी मुठिया डालें और कुछ सेकंड के लिए टॉस करें। इस ओट्स मेथी मुठिया रेसिपी को लहसुनी पुदीना चटनी रेसिपी और ईरानी चाय रेसिपी के साथ शाम के नाश्ते में परोसें।</t>
  </si>
  <si>
    <t>http://www.archanaskitchen.com/oats-methi-muthia-recipe-healthy-diabetic-friendly-muthia</t>
  </si>
  <si>
    <t>Batata nu Shaak Recipe - Aloo Tamatar Ki Sabzi</t>
  </si>
  <si>
    <t>बटाटा नू शाक रेसिपी - आलू टमाटर की सब्जी</t>
  </si>
  <si>
    <t>4 आलू - छीलकर 1 इंच के टुकड़ों में कटे हुए, 2 चम्मच सूरजमुखी तेल, 1 चम्मच कलौंजी, 1 इंच अदरक - कद्दूकस किया हुआ, 1 प्याज - बारीक कटा हुआ, 1 इंच दालचीनी, 1 तेज पत्ता, 2 टमाटर - बारीक कटा हुआ, 1/2 चम्मच हल्दी, 1 चम्मच लाल मिर्च पाउडर, 1 चम्मच गरम मसाला पाउडर, 1 चम्मच धनिया पाउडर, नमक - स्वादानुसार</t>
  </si>
  <si>
    <t>4 Potatoes (Aloo) - peeled and cut in 1 inch cubes,2 teaspoon Sunflower Oil,1 teaspoon Kalonji (Onion Nigella Seeds),1 inch Ginger - grated,1 Onion - finely chopped,1 inch Cinnamon Stick (Dalchini),1 Bay leaf (tej patta),2 Tomatoes - finely chopped,1/2 teaspoon Turmeric powder (Haldi),1 teaspoon Red Chilli powder,1 teaspoon Garam masala powder,1 teaspoon Coriander Powder (Dhania),Salt - to taste</t>
  </si>
  <si>
    <t xml:space="preserve">To begin making the Batata Nu Shaak Recipe/ Aloo Tamatar Sabzi, heat a pressure cooker with oil on medium heat; add the kalon, and allow the kalonji seeds and allow it to crackle.Add ginger, onion, cinnamon stick, bay leaf and saute until the onions soften.Once the onion softends, add the tomatoes, turmeric powder, red chilli powder, coriander powder, garam masala powder and salt.Saute the tomatoes until it becomes soft.Once soft, stir in the aloo/ batata and add water till it covers the potato.Cover the pressure cooker and pressure cook the batata nu shaak/ aloo tamatar sabzi for 4 to 5 whistles. After 4 to 5 whistles turn off the heat and allow the pressure to release naturally.Once the pressure releases, check the taste and adjust the salt and spices accordingly.Stir in the chopped coriander leaves and transfer the Batata Nu Shaak / Aloo Tamatar Sabzi  to as serving bowl and serve hot.Serve Batata nu Shaak  / Aloo Tamatar Sabzi along with Methi Thepla or Puri, Kadhi, Desi Chana, and steamed rice for a delicious lunch or dinner.
</t>
  </si>
  <si>
    <t>बटाटा नु शाक रेसिपी / आलू टमाटर सब्ज़ी बनाने के लिए, मध्यम आँच पर एक प्रेशर कुकर में तेल गर्म करें; कलौंजी डालें और कलौंजी के बीजों को चटकने दें। अदरक, प्याज, दालचीनी, तेज पत्ता डालें और प्याज के नरम होने तक पकाएँ। प्याज के नरम हो जाने पर, टमाटर, हल्दी पाउडर, लाल मिर्च पाउडर, धनिया पाउडर, गरम मसाला पाउडर और नमक डालें। टमाटर को नरम होने तक पकाएँ। नरम होने के बाद, आलू / बटाटा को मिलाएँ और पानी डालें जब तक कि यह आलू को ढक न दे। प्रेशर कुकर को ढक दें और बटाटा नु शाक / आलू टमाटर की सब्जी को 4 से 5 सीटी आने तक पकाएँ। 4 से 5 सीटी आने के बाद आंच बंद कर दें और प्रेशर को अपने आप निकलने दें। प्रेशर निकलने के बाद स्वाद चेक करें और नमक और मसाले को उसी के अनुसार एडजस्ट करें। कटी हुई धनिया पत्ती डालकर चलाएं और बटाटा नू शाक / आलू टमाटर की सब्जी को एक सर्विंग बाउल में डालें और गरमागरम परोसें। बटाटा नू शाक / आलू टमाटर की सब्जी को मेथी थेपला या पूरी, कढ़ी, देसी चना और उबले चावल के साथ स्वादिष्ट लंच या डिनर के लिए परोसें।</t>
  </si>
  <si>
    <t>http://www.archanaskitchen.com/batata-nu-shaak-recipe-aloo-tamatar-ki-sabzi</t>
  </si>
  <si>
    <t>Gujarati Lasaniya Batata Recipe - Garlic Potato Curry</t>
  </si>
  <si>
    <t>गुजराती लसानिया बटाटा रेसिपी - लहसुन आलू करी</t>
  </si>
  <si>
    <t>250 ग्राम बेबी आलू, 12 लहसुन की कलियाँ - कटी हुई, 1 बड़ा चम्मच सूरजमुखी तेल, 1 छोटा चम्मच जीरा, 3/4 कप बेसन, 1 बड़ा चम्मच धनिया पाउडर, 1 छोटा चम्मच गरम मसाला पाउडर, 1 बड़ा चम्मच लाल मिर्च पाउडर, 1/2 छोटा चम्मच हल्दी पाउडर, 1/2 कप दही, नमक - स्वादानुसार, 1 बड़ा चम्मच धनिया पत्ता - कटा हुआ</t>
  </si>
  <si>
    <t>250 grams Baby Potatoes,12 cloves Garlic - chopped,1 tablespoon Sunflower Oil,1 teaspoon Cumin seeds (Jeera),3/4 cup Gram flour (besan),1 tablespoon Coriander Powder (Dhania),1 teaspoon Garam masala powder,1 tablespoon Red Chilli powder,1/2 teaspoon Turmeric powder (Haldi),1/2 cup Curd (Dahi / Yogurt),Salt - to taste,1 tablespoon Coriander (Dhania) Leaves - chopped</t>
  </si>
  <si>
    <t xml:space="preserve">To begin making the Gujarati Lasaniya Batata Recipe (Garlic Potato Curry), boil and peel the baby potatoes and keep aside.Heat oil in a heavy bottomed pan and fry till golden on medium heat.In the same wok heat 2 tablespoons of oil, add cumin seeds and wait till they crackle. Add chopped garlic and sauté for a while.Now add gram flour and cook for another five minutes on a slow heat.Add coriander powder, garam masala powder, red chilli powder, turmeric powder and cook for another minute.Remove the wok from heat and then add whisked yogurt, a little water and place the wok on fire again and cook. When the curry starts to thicken add fried baby potatoes and mix well such that the masala coats well. Season with salt as needed and turn off the gas. Garnish with chopped coriander and serve hot. Serve Gujarati Lasaniya Batata along with Palak Dal, Lauki Raita and Phulka for an everyday meal. 
</t>
  </si>
  <si>
    <t>गुजराती लसनिया बटाटा रेसिपी (लहसुन आलू करी) बनाने के लिए, छोटे आलू को उबालें और छीलें और एक तरफ रख दें। एक भारी तले की कड़ाही में तेल गर्म करें और मध्यम आंच पर सुनहरा होने तक तलें। उसी कड़ाही में 2 बड़े चम्मच तेल गर्म करें, उसमें जीरा डालें और उनके चटकने का इंतज़ार करें। कटा हुआ लहसुन डालें और थोड़ी देर के लिए भूनें। अब बेसन डालें और धीमी आंच पर और पांच मिनट तक पकाएं। धनिया पाउडर, गरम मसाला पाउडर, लाल मिर्च पाउडर, हल्दी पाउडर डालें और एक मिनट के लिए पकाएं। कड़ाही को आंच से उतार लें और फिर उसमें फेंटा हुआ दही, थोड़ा पानी डालें और कड़ाही को फिर से आग पर रखें और पकाएं। जब करी गाढ़ी होने लगे तो तले हुए छोटे आलू डालें और अच्छी तरह मिलाएँ ताकि मसाला अच्छी तरह से कोट हो जाए। आवश्यकतानुसार नमक डालें और गैस बंद कर दें।</t>
  </si>
  <si>
    <t>https://www.archanaskitchen.com/gujarati-lasaniya-batata-recipe-garlic-potato-curry</t>
  </si>
  <si>
    <t>Gujarati Meetha Pudla Recipe With Caramelized Bananas</t>
  </si>
  <si>
    <t>कारमेलाइज़्ड केले के साथ गुजराती मीठा पुडला रेसिपी</t>
  </si>
  <si>
    <t>1/2 कप गुड़ - कसा हुआ, 1/3 कप पानी, 1 कप गेहूं का आटा, न्यूट्रालाइट क्लासिक स्प्रेड - आवश्यकतानुसार, न्यूट्रालाइट क्लासिक स्प्रेड - आवश्यकतानुसार, 1 पका हुआ केला - गोल टुकड़ों में कटा हुआ (बड़ा केला), 2 बड़े चम्मच गुड़ - पाउडर, 1 चम्मच इलायची पाउडर (इलायची), 1/2 कप ताजा नारियल, 1/4 कप काजू</t>
  </si>
  <si>
    <t>1/2 Cup Jaggery - grated,1/3 cup Water,1 cup Whole Wheat Flour,Nutralite Classic Spread - as required,Nutralite Classic Spread - as required,1 Ripe Bananas - sliced into rounds (large banana),2 tablespoons Jaggery - powdered,1 teaspoon Cardamom Powder (Elaichi),1/2 cup Fresh coconut,1/4 cup Cashew nuts</t>
  </si>
  <si>
    <t xml:space="preserve">To prepare Gujarati Meetha Pudla Recipe, in a mixing bowl, soak jaggery in water for few minutes to be dissolved.Add whole wheat flour into jaggery water and blend it using blender or you can use your fingers to mix the jaggery well into the batter. Pudla Batter should not be thin, but instead of a thick spreading consistency.Heat a flat skillet and melt the Nutralite Classic on the pan over medium heat. Spoon the pudla batter and make mini pancakes with the pudla batter. Allow the meetha pudla to look on medium heat and you will notice the top of the pudla getting cooked.  Once the top is cooked, flip over and cook on the other side until golden brown.To make the stuffing, heat a skillet and met the Nutralite classic and jaggery. Once melted, add the bananas and the cardamom powder. Gently caramelize the bananas in the jaggery until it gets well coated and sticky.Once done, turn off the heat.In another small pan, melt a little Nutralite Classic again, add the cashew nuts and roast on medium heat until light browned and crisp.Place these mini meetha pudla on a serving platter, spoon the caramelized bananas with jaggery, sprinkle some coconut and top it with roasted cashew nuts and serve the Meetha Pudla as a sweet for parties and festivals.
</t>
  </si>
  <si>
    <t>गुजराती मीठा पुडला रेसिपी बनाने के लिए, एक मिक्सिंग बाउल में गुड़ को कुछ मिनट के लिए पानी में भिगो दें। गुड़ के पानी में साबुत गेहूं का आटा डालें और इसे ब्लेंडर का उपयोग करके ब्लेंड करें या आप गुड़ को बैटर में अच्छी तरह मिलाने के लिए अपनी उंगलियों का उपयोग कर सकते हैं। पुडला बैटर पतला नहीं होना चाहिए, बल्कि गाढ़ा फैलने वाला होना चाहिए। एक सपाट कड़ाही गरम करें और मध्यम आँच पर पैन में न्यूट्रालाइट क्लासिक को पिघलाएं। पुडला बैटर को चम्मच से डालें और पुडला बैटर से मिनी पैनकेक बनाएं। मीठे पुडला को मध्यम आँच पर पकने दें और आप देखेंगे कि पुडला का ऊपरी भाग पक रहा है। ऊपरी भाग पक जाने पर, पलट दें और दूसरी तरफ भी सुनहरा भूरा होने तक पका लें। केले को गुड़ में धीरे-धीरे तब तक कैरामेलाइज़ करें जब तक कि यह अच्छी तरह से लेपित और चिपचिपा न हो जाए। एक बार हो जाने पर, आँच बंद कर दें। एक अन्य छोटे पैन में, थोड़ा न्यूट्रालाइट क्लासिक फिर से पिघलाएँ, काजू डालें और मध्यम आँच पर हल्का भूरा और कुरकुरा होने तक भूनें। इन मिनी मीठे पुडला को एक सर्विंग प्लेट पर रखें, गुड़ के साथ कैरामेलाइज़ किए गए केले को चम्मच से डालें, थोड़ा नारियल छिड़कें और ऊपर से भुने हुए काजू डालें और मीठे पुडला को पार्टियों और त्योहारों के लिए मिठाई के रूप में परोसें।</t>
  </si>
  <si>
    <t>https://www.archanaskitchen.com/gujarati-meetha-pudla-recipe-sweet-whole-wheat-pancake</t>
  </si>
  <si>
    <t>Green Moong Dal Sabzi (Recipe In Hindi)</t>
  </si>
  <si>
    <t>हरे मूंग की सब्जी - हरी मूंग दाल की सब्जी (रेसिपी इन हिंदी)</t>
  </si>
  <si>
    <t>1/2 कप हरी मूंग दाल - या हरा मूंग, 1 छोटा चम्मच चमचा जीरा, 3-4 कढ़ी पत्ता - बारीक कटा हुआ, 1/2 छोटा चम्मच अदरक, 1 छोटा चम्मच हरी मिर्च, 1/2 छोटा चम्मच हल्दी पाउडर, 1 छोटा चम्मच नींबू का रस, 2 बड़ा चमचा हरा धनियां - ले काट, 1 छोटा चमचा अदरक, नमक - स्वाद अनुसार</t>
  </si>
  <si>
    <t>1/2 cup green moong dal - or green moong, 1 teaspoon cumin seeds, 3-4 curry leaves - finely chopped, 1/2 teaspoon ginger, 1 teaspoon green chilli, 1/2 teaspoon turmeric powder, 1 teaspoon Lemon juice, 2 tablespoons coriander - chopped, 1 teaspoon oil, salt - as per taste</t>
  </si>
  <si>
    <t>To make Green Moong Sabzi, first soak the moong beans for 6 to 7 hours. After that, put both the moong beans and water in a pressure cooker. Add 1-1/4 cups water, salt and cook till 3 whistles. Let the pressure release on its own. Now heat oil in a pan. Add cumin seeds and let it cook for 10 seconds. Now add green chilies, curry leaves, ginger, turmeric powder and let it cook for 30 seconds. Now add cooked green moong beans, mix and cover the pan. Let it cook for 5 to 10 minutes. After that add lemon juice, mix and garnish with coriander leaves. Serve Green Moong Sabzi with Gujarati Kadhi and Methi Thepla for lunch.</t>
  </si>
  <si>
    <t xml:space="preserve">हरे मूंग की सब्जी बनाने के लिए, सबसे पहले मूंग को 6 से 7 घंटे के लिए प्याज दे. उसके बाद, हांगकांग और पानी दोनों को एक काला कुकर में डाला गया। 1-1/4 कप पानी, कलर डाला और 3 सिटी आने तक पका ले. अपने आप को आशियाने दे.अब एक रोटी में तेल गर्म करो. इसमें जीरा डाला और 10 सेकंड तक का बर्तन दे दिया। अब इसमें हरी मिर्च, कढ़ी पत्ता, अदरक, हल्दी पाउडर डाला गया और 30 सेकंड तक मसाला दे दिया गया.   अब इसमें हरे मूंग डाला, मिलाए और मसाले को पकाया ले। 5 से 10 मिनट तक मसाला दे. उसके बाद निम्बू का रस डाला, मिलाए और हरे धनिए से गार्निश करें। हरे मूंग की सब्जी को गुजराती कढ़ी और मेथी थेपला के साथ दिन के खाने के लिए परोसें।
</t>
  </si>
  <si>
    <t>https://www.archanaskitchen.com/green-moong-dal-sabzi-recipe-in-hindi</t>
  </si>
  <si>
    <t>Basundi / Rabri Recipe</t>
  </si>
  <si>
    <t>बासुंदी / रबड़ी रेसिपी</t>
  </si>
  <si>
    <t>2 लीटर दूध, 3/4 कप चीनी - (मुझे थोड़ी कम चीनी डालना पसंद है कृपया अपने स्वाद के अनुसार समायोजित करें), 1 चम्मच इलायची पाउडर (इलायची), 2 केसर के रेशे, 1/4 कप बादाम - या पिस्ता</t>
  </si>
  <si>
    <t>2 liter Milk,3/4 cup Sugar - (I like adding a little less sugar please adjust according to your taste),1 teaspoon Cardamom Powder (Elaichi),2 Saffron strands,1/4 cup Badam (Almond) - or pistachios</t>
  </si>
  <si>
    <t xml:space="preserve">To begin making the Basundi Recipe, we will first have to condense the milk. To do this, place the milk on high heat over a heavy bottomed sauce 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The Basundi (Rabri) is almost ready. All you have to do now is to  stir in the cardamom powder and the finely chopped nuts.Transfer the Basundi (Rabri) to a serving dish and allow it to cool before you can refrigerate for 3-4 hours. Serve the Basundi (Rabri) hot or cold, during any season or serve it as a party dessert and enjoy.Note: You can add fruits like Lychee's and Strawberries to make a delicious Strawberry Rabri or Lychee Rabri. And serve the Rabri chilled for the warm winter nights or after a spicy Indian Meal.Serve the Basundi as part of a dessert along with Badam Elaichi Kulfi Recipe With Condensed Milk, Pista ice cream and Falooda to make a quick Indian sundae. Likewise you can serve Rabri with Homemade Jalebi Recipe or Malpua With Rose And Saffron Syrup Recipe
</t>
  </si>
  <si>
    <t>बासुंदी रेसिपी बनाने के लिए, हमें सबसे पहले दूध को गाढ़ा करना होगा। ऐसा करने के लिए, दूध को भारी तली वाले सॉस पैन पर तेज़ आँच पर रखें और इसे उबालें। चीनी डालें और चीनी घुलने तक लगातार हिलाएँ। एक बार जब चीनी घुल जाए और दूध कुछ मिनटों तक तेज़ी से उबलने लगे, तो आँच को कम कर दें और दूध के मिश्रण को लगातार हिलाते हुए तब तक पकाएँ जब तक कि यह अपनी मूल मात्रा का तीन चौथाई न रह जाए। संघनन के कारण दूध से क्रीम पैन के किनारों और तल पर जम जाएगी। क्रीम को खुरचते रहना और इसे वापस संघनित दूध में डालना महत्वपूर्ण है। मिश्रण गाढ़ा होना शुरू हो जाएगा और एक मलाईदार बनावट प्राप्त करेगा। संघनन प्रक्रिया के अंत में यह सुनिश्चित करना महत्वपूर्ण है कि आप स्टोव के पास रहें और दूध की निगरानी करें और इसे लगातार हिलाते रहें। अंतिम चरण वह है जब गाढ़ा दूध पैन के नीचे जल सकता है और बासुंदी का स्वाद पूरी तरह से बदल सकता है। फिर से ध्यान दें: दूध के संघनन की प्रक्रिया के दौरान, बनने वाली क्रीम को हिलाते रहें, क्योंकि यह पैन के किनारों और नीचे चिपक जाएगी, जबकि क्रीम को जलने से बचाने के लिए किनारों और नीचे को खुरचते रहें। जब दूध अपनी मूल मात्रा से आधा रह जाए तो आंच बंद कर दें। बासुंदी (राबड़ी) लगभग तैयार है। अब आपको बस इलायची पाउडर और बारीक कटे मेवे डालकर हिलाना है। बासुंदी (राबड़ी) को एक सर्विंग डिश में डालें और इसे 3-4 घंटे के लिए फ्रिज में रखने से पहले ठंडा होने दें। बासुंदी (राबड़ी) को किसी भी मौसम में गर्म या ठंडा परोसें या इसे पार्टी की मिठाई के रूप में परोसें और आनंद लें। और रबड़ी को ठंडी सर्दियों की रातों में या मसालेदार भारतीय भोजन के बाद परोसें। बासुंदी को मिठाई के हिस्से के रूप में बादाम इलायची कुल्फी रेसिपी के साथ कंडेंस्ड मिल्क, पिस्ता आइसक्रीम और फालूदा के साथ परोसें और झटपट भारतीय सनडे बनाएँ। इसी तरह आप रबड़ी को घर पर बनी जलेबी रेसिपी या गुलाब और केसर सिरप वाली मालपुआ रेसिपी के साथ परोस सकते हैं।</t>
  </si>
  <si>
    <t>http://www.archanaskitchen.com/basundi-recipe-a-nutty-condensed-milk-pudding</t>
  </si>
  <si>
    <t>Healthy Carrot Methi &amp; Mooli Thepla Recipe</t>
  </si>
  <si>
    <t>स्वस्थ गाजर मेथी और मूली थेपला रेसिपी</t>
  </si>
  <si>
    <t>2 कप गेहूं का आटा, 1 चम्मच हल्दी पाउडर, 1 चम्मच लाल मिर्च पाउडर - (वैकल्पिक), 1 चम्मच जीरा, 1/2 चम्मच हींग, 1/2 कप गाजर - कद्दूकस की हुई, 1/2 कप मूली - कद्दूकस की हुई, 1/2 कप मेथी के पत्ते - बारीक कटे हुए, 1 हरी मिर्च - बारीक कटी हुई, सूरजमुखी का तेल - थेपला पकाने के लिए, नमक - स्वादानुसार</t>
  </si>
  <si>
    <t>2 cups Whole Wheat Flour,1 teaspoon Turmeric powder (Haldi),1 teaspoon Red Chilli powder - (optional),1 teaspoon Cumin powder (Jeera),1/2 teaspoon Asafoetida (hing),1/2 cup Carrot (Gajjar) - grated,1/2 cup Mooli/ Mullangi (Radish) - grated,1/2 cup Methi Leaves (Fenugreek Leaves) -  finely chopped,1 Green Chilli - finely chopped,Sunflower Oil - for cooking the thepla,Salt - to taste</t>
  </si>
  <si>
    <t xml:space="preserve">To begin making the Carrot Methi &amp; Mooli Thepla Recipe, in a large bowl combine all the dry ingredients - whole wheat flour, cumin seeds, turmeric powder, chilli powder, asafoetida powder, fenugreek leaves and mix well. Add the yogurt to the flour mixture and knead into a firm smooth dough adding little water only if required. Finally add the two tablespoons of oil to coat the dough and knead until it is firm and smooth.Cover and allow the dough to rest for 15 minutes. Preheat the iron skillet on medium heat. Divide the thepla dough into equal portions.Roll the thepla portions into balls; flatten them with the palm of your hand.Dust the thepla dough with flour and roll them out into thin circles to approximately 6 inches in diameter. As you roll them out, you can keep dusting  the dough in dry flour to prevent sticking when rolling them out.Continue the same process of rolling the thepla dough out with the remaining dough balls. It is ideal when you can roll out the all portions of thepla dough before you can start cooking them.Method of Cooking the TheplaHeat a skillet on high heat, place the rolled out dough on the skillet. After a few seconds you will notice small air pockets popping out. At this point flip the methi thepla and smear about 1/2 a teaspoon of oil and using a flat spatula, lightly press and turning motion to cook to the thepla.Flip to the other side and press and turn in a similar way. You will notice brown spots around the cooked thepla. Remove from heat and place on a flat plate.Continue the similar process with the remaining rolled out portions and stack the cooked theplas one above the other. Stacking them maintains softness and prevents the methi theplas from drying out, preserving moisture, keeping their texture super soft.Note that the theplas are cooked on high heat and hence cook very fast; if you find the high heat inconvenient reduce heat to medium. Make sure you have your exhaust on or windows open, as cooking on high heat on an iron skillet causes a little smoke.Serve the delicious Carrot Methi &amp; Mooli Thepla Recipe along with Batata Nu Shaak | Aloo Ki Sabzi or just rolled up with pickle. 
</t>
  </si>
  <si>
    <t>गाजर मेथी और मूली थेपला रेसिपी बनाने के लिए सबसे पहले एक बड़े कटोरे में सभी सूखी सामग्री - गेहूं का आटा, जीरा, हल्दी पाउडर, मिर्च पाउडर, हींग पाउडर, मेथी के पत्ते डालें और अच्छी तरह मिला लें। आटे के मिश्रण में दही डालें और थोड़ा पानी डालते हुए सख्त चिकना आटा गूंथ लें। अंत में आटे को कोट करने के लिए दो बड़े चम्मच तेल डालें और इसे सख्त और चिकना होने तक गूंथ लें। आटे को ढककर 15 मिनट के लिए रख दें। मध्यम आंच पर लोहे की कड़ाही को पहले से गरम कर लें। थेपला के आटे को बराबर भागों में बांट लें। थेपला के हिस्सों को बॉल्स में रोल करें; उन्हें अपने हाथ की हथेली से चपटा करें। थेपला के आटे को आटे से डस्ट करें और उन्हें लगभग 6 इंच व्यास के पतले सर्कल में रोल करें यह आदर्श है जब आप थेपला के सभी भागों को बेलकर उन्हें पकाने से पहले उन्हें पका सकते हैं। थेपला पकाने की विधि एक कड़ाही को तेज़ आँच पर गर्म करें, बेले हुए आटे को तवे पर रखें। कुछ सेकंड के बाद आप देखेंगे कि उसमें से छोटी-छोटी हवा की जेबें बाहर निकल रही हैं। इस बिंदु पर मेथी थेपला को पलटें और लगभग 1/2 चम्मच तेल लगाएँ और एक सपाट स्पैटुला का उपयोग करके, हल्के से दबाएँ और थेपला को पकाने के लिए घुमाएँ। दूसरी तरफ पलटें और इसी तरह दबाएँ और पलटें। आपको पके हुए थेपला के चारों ओर भूरे रंग के धब्बे दिखाई देंगे। गर्मी से निकालें और एक सपाट प्लेट पर रखें। बचे हुए बेले हुए हिस्सों के साथ भी इसी तरह की प्रक्रिया जारी रखें और पके हुए थेपला को एक के ऊपर एक रखें। उन्हें एक के ऊपर एक रखने से नरमता बनी रहती है और मेथी थेपला सूखने से बचता है, नमी को संरक्षित करता है, और उनकी बनावट को बहुत नरम रखता है। ध्यान दें कि थेपला उच्च गर्मी पर पकाया जाता है और इसलिए बहुत तेजी से पकता है; अगर आपको उच्च गर्मी असुविधाजनक लगती है तो गर्मी को मध्यम कर दें। सुनिश्चित करें कि आपका एग्जॉस्ट चालू हो या खिड़कियाँ खुली हों, क्योंकि लोहे की कड़ाही पर तेज़ आँच पर खाना पकाने से थोड़ा धुआँ निकलता है। स्वादिष्ट गाजर मेथी और मूली थेपला रेसिपी को बटाटा नू शाक | आलू की सब्जी के साथ परोसें या अचार के साथ परोसें।</t>
  </si>
  <si>
    <t>http://www.archanaskitchen.com/healthy-carrot-methi-mooli-thepla-recipe</t>
  </si>
  <si>
    <t>Kathiyawadi Adad Dal Recipe- Spicy Urad Dal</t>
  </si>
  <si>
    <t>काठियावाड़ी अदद दाल रेसिपी- मसालेदार उड़द दाल</t>
  </si>
  <si>
    <t>1 कप सफेद उड़द दाल, 2 टमाटर - कटे हुए, 1 चम्मच अदरक लहसुन का पेस्ट, 4 हरी मिर्च - कटी हुई (स्वादानुसार), 1/2 चम्मच हल्दी पाउडर, नींबू का रस - स्वादानुसार, करी पत्ते - थोड़े से, धनिया पत्ते - एक छोटा गुच्छा, नमक - स्वादानुसार, 2 चम्मच घी, 1 चम्मच सरसों के बीज, 1/2 चम्मच जीरा, 1 चुटकी हींग - (एक चुटकी भर), 1/2 चम्मच लाल मिर्च पाउडर</t>
  </si>
  <si>
    <t>1 cup White Urad Dal (Split),2 Tomatoes - chopped,1 teaspoon Ginger Garlic Paste,4 Green Chillies - slit (adjust to taste),1/2 teaspoon Turmeric powder (Haldi),Lemon juice - to taste,Curry leaves - a few,Coriander (Dhania) Leaves - a small bunch,Salt - to taste,2 teaspoons Ghee,1 teaspoon Mustard seeds,1/2 teaspoon Cumin seeds (Jeera),1 pinch Asafoetida (hing) - (a generous pinch),1/2 teaspoon Red Chilli powder</t>
  </si>
  <si>
    <t xml:space="preserve">To begin making Kathiyawadi Adad Dal Recipe, wash urad dal and add in a pressure cooker, along with about 4 cups of water and turmeric. Pressure cook on medium high heat for a whistle or two, till the dal is almost mushy. Get prep with all other ingredients as well, while the dal is cooking. Once the dal is pressure cooked, allow the cooker to release pressure by itself.Once the pressure in the cooker is released, open the lid and mash the dal with a masher/ladle/hand blender. Keep this aside.In a saucepan, heat cooking oil/ghee on a medium heat. Once hot, add the mustard seeds and allow it to crackle. Once they crackle, add the cumin seeds and allow them to sizzle. Immediately add in the hing (asafoetida) and curry leaves and allow the curry leaves to splutter for a couple of seconds.To the saucepan, add ginger garlic paste, and green chillies, fry for about 1-2 minutes on medium heat or till teh raw smell disappears.Add chopped tomatoes, red chilli powder , salt and saute till tomatoes are mushy.Now add the mashed urad dal, remaining salt and turn the heat to high. Bring to a rolling boil.Once everything is combined well, switch off heat, add lemon juice and coriander leaves . Stir well to combine.Serve Kathiyawadi Adad Dal Recipe with Whole Wheat Palak Naan Recipe, Gujarati Lasaniya Batata Recipe  to make a complete weekday dinner menu.
</t>
  </si>
  <si>
    <t>काठियावाड़ी अदद दाल रेसिपी बनाने के लिए, उड़द दाल को धोकर प्रेशर कुकर में डालें, साथ ही लगभग 4 कप पानी और हल्दी डालें। मध्यम आँच पर एक या दो सीटी आने तक पकाएँ, जब तक दाल लगभग नरम न हो जाए। दाल पकते समय अन्य सभी सामग्री भी तैयार कर लें। दाल के प्रेशर कुक हो जाने पर, कुकर को अपने आप प्रेशर छोड़ने दें। कुकर में प्रेशर निकल जाने पर, ढक्कन खोलें और दाल को मैशर/कछुआ/हैंड ब्लेंडर से मैश करें। इसे एक तरफ रख दें। एक सॉस पैन में मध्यम आँच पर खाना पकाने का तेल/घी गरम करें। गरम होने पर, राई डालें और उसे चटकने दें। जब वे चटकने लगें, तो जीरा डालें और उन्हें तड़कने दें। तुरंत हींग और करी पत्ता डालें और करी पत्तों को कुछ सेकंड के लिए फूटने दें। सॉस पैन में अदरक लहसुन का पेस्ट और हरी मिर्च डालें, मध्यम आँच पर लगभग 1-2 मिनट तक भूनें या जब तक कच्ची महक गायब न हो जाए। कटे हुए टमाटर, लाल मिर्च पाउडर, नमक डालें और टमाटर के नरम होने तक भूनें। अब मसली हुई उड़द दाल, बचा हुआ नमक डालें और आँच को तेज़ कर दें। उबाल आने दें। जब सब कुछ अच्छी तरह मिल जाए, तो आँच बंद कर दें, नींबू का रस और धनिया पत्ती डालें। अच्छी तरह मिलाएँ। काठियावाड़ी अदद दाल रेसिपी को गेहूं की पालक नान रेसिपी, गुजराती लसनिया बटाटा रेसिपी के साथ परोसें और पूरे सप्ताह के खाने का मेनू बनाएँ।</t>
  </si>
  <si>
    <t>http://www.archanaskitchen.com/kathiyawadi-adad-dal-recipe</t>
  </si>
  <si>
    <t>Bardoli Khichdi Recipe</t>
  </si>
  <si>
    <t>बारडोली की खिचड़ी रेसिपी</t>
  </si>
  <si>
    <t>2 कप चावल, 1.5 कप अरहर दाल, 2 आलू - क्यूब्स में कटे हुए, 1/2 कप हरी मटर, 1/2 कप आम (कच्चा) - कद्दूकस किया हुआ, 1 प्याज - बारीक कटा हुआ, 2 इंच अदरक - बारीक कटा हुआ, 2 हरी मिर्च - बारीक कटी हुई, 1 चम्मच हल्दी पाउडर, 1 चम्मच लाल मिर्च पाउडर, 1 चम्मच जीरा, 1/4 चम्मच हींग, 1.5 बड़ा चम्मच घी, 1 बड़ा चम्मच धनिया पत्ती - गार्निश के लिए बारीक कटी हुई, नमक - स्वादानुसार</t>
  </si>
  <si>
    <t>2 cups Rice,1.5 cups Arhar dal (Split Toor Dal),2 Potatoes (Aloo) - Cut into cubes,1/2 cup Green peas (Matar),1/2 cup Mango (Raw) - grated,1 Onion - finely chopped,2 inch Ginger - finely chopped,2 Green Chillies - finely chopped,1 teaspoon Turmeric powder (Haldi),1 teaspoon Red Chilli powder,1 teaspoon Cumin seeds (Jeera),1/4 teaspoon Asafoetida (hing),1.5 tablespoon Ghee,1 tablespoon Coriander (Dhania) Leaves - finely chopped for garnish,Salt - to taste</t>
  </si>
  <si>
    <t xml:space="preserve">To begin making Bardoli Ki Khichdi Recipe, wash and soak the rice and dal separately for 30 minutes.In a pressure cooker pan, heat a tablespoon of ghee, add in the cumin seeds and let it sizzle.Add the asafoetida, onion and saute until it turns translucent. Add the ginger, green chilies and saute for a minute. Add the grated raw mango and mix well.Now to the pressure cooker add in the cubed potatoes, green peas, turmeric, red chilli powder, mix well and let it cook for 2 minutes.Drain the water from the soaked rice, tur dal and add it to the pressure cooker.Add 4 cups of water, season with salt, close it with a lid and cook the khichdi for 4 whistles.Once the pressure has released naturally, open the pressure cooker lid, mix the khichdi well, add in the remaining 1/2 tablespoon ghee, garnish with coriander leaves.Serve the Bardoli Ki Khichdi along with Tomato Onion Cucumber Raita and Papad for a simple wholesome weekday lunch.
</t>
  </si>
  <si>
    <t>बारडोली की खिचड़ी रेसिपी बनाने के लिए चावल और दाल को धोकर अलग-अलग 30 मिनट के लिए भिगो दें। प्रेशर कुकर में एक बड़ा चम्मच घी गर्म करें, उसमें जीरा डालें और उसे तड़कने दें। हींग, प्याज़ डालें और पारदर्शी होने तक भूनें। अदरक, हरी मिर्च डालें और एक मिनट तक भूनें। इसमें कद्दूकस किया हुआ कच्चा आम डालें और अच्छी तरह मिलाएँ। अब प्रेशर कुकर में कटे हुए आलू, हरी मटर, हल्दी, लाल मिर्च पाउडर डालें, अच्छी तरह मिलाएँ और 2 मिनट तक पकने दें। भिगोए हुए चावल, अरहर दाल से पानी निकाल दें और प्रेशर कुकर में डालें। 4 कप पानी डालें, नमक डालें, ढक्कन से बंद करें और खिचड़ी को 4 सीटी आने तक पकाएँ। जब प्रेशर अपने आप निकल जाए, प्रेशर कुकर का ढक्कन खोलें, खिचड़ी को अच्छी तरह मिलाएँ, बचा हुआ 1/2 बड़ा चम्मच घी डालें, धनिया पत्ती से गार्निश करें। बारडोली की खिचड़ी को टमाटर प्याज खीरा रायता और पापड़ के साथ एक साधारण पौष्टिक सप्ताह के दिन के दोपहर के भोजन के लिए परोसें।</t>
  </si>
  <si>
    <t>https://www.archanaskitchen.com/bardoli-ki-khichdi-recipe</t>
  </si>
  <si>
    <t>Kaju Karela Recipe - Bitter Gourd And Cashew Nuts Stir Fry</t>
  </si>
  <si>
    <t>काजू करेला रेसिपी - करेला और काजू फ्राई</t>
  </si>
  <si>
    <t>2 करेला, 1 आलू - लम्बाई में कटा हुआ, 15 काजू, 1 सूखी लाल मिर्च - तोड़ी हुई और बीज निकाली हुई, 1/4 छोटा चम्मच सरसों के बीज, 1 हरी मिर्च - कटी हुई या बारीक कटी हुई, 1 चुटकी हींग, 1/4 छोटा चम्मच लाल मिर्च पाउडर, 1/2 छोटा चम्मच धनिया पाउडर, 1/2 छोटा चम्मच जीरा पाउडर, 1/2 छोटा चम्मच आमचूर, 1/2 छोटा चम्मच कैस्टर शुगर, 1 बड़ा चम्मच तिल, 1 बड़ा चम्मच नारियल, नमक - स्वादानुसार, सूरजमुखी तेल - पकाने के लिए</t>
  </si>
  <si>
    <t>2 Karela (Bitter Gourd/ Pavakkai),1 Potato (Aloo) - cut lengthwise,15 Cashew nuts,1 Dry Red Chilli - broken &amp; deseeded,1/4 teaspoon Mustard seeds,1 Green Chilli - slit or finely chopped,1 pinch Asafoetida (hing),1/4 teaspoon Red Chilli powder,1/2 teaspoon Coriander Powder (Dhania),1/2 teaspoon Cumin powder (Jeera),1/2 teaspoon Amchur (Dry Mango Powder),1/2 teaspoon Caster Sugar,1 tablespoon Sesame seeds (Til seeds),1 tablespoon Dessicated Coconut,Salt - to taste,Sunflower Oil - to cook</t>
  </si>
  <si>
    <t xml:space="preserve">To begin making Kaju Karela Recipe (Bitter Gourd And Cashew Nuts Stir Fry), scrape the skin of bitter gourd and cut them lengthwise. Remove the seeds. You can opt to keep the seeds if they are tender.Now soak them in a bowl of salt water for about 30 minutes to remove the bitterness. Wash them thoroughly and drain excess water. Pat them dry on a kitchen towel.Heat a little oil in a kadai. Add the potatoes that are thinly sliced and saute on medium heat till they crisp up and are golden brown.Once the potatoes are brownish, add karela/bitter gourd pieces and saute further till all the pieces are cooked and crisped up. Once done, switch off heat.In another pan, heat a bit of oil, add mustard seeds and allow them to crackle.Once the mustard crackles, immediately add dry red chilli, green chilli, hing and cashews. Saute till the cashews are fried. Use a low heat throughout after the oil is heated, since all of these ingredients gets cooked very fast.Now to this, add fried potatoes and bitter gourd.Add all the spices - red chilli powder, cumin powder, coriander powder, amchur powder, powdered sugar and salt. Mix well and saute for about 1-2 minutes. Check for spices and adjust to taste.Then add sesame seeds and desiccated coconut. Give a quick mix and remove from heat.Serve Kaju Karela Recipe (Bitter Gourd And Cashew Nuts Stir Fry) with Gujarati Dal Recipe and Phulka or Gehun Bhajra Thepla Recipe for your everyday lunch.
</t>
  </si>
  <si>
    <t>काजू करेला रेसिपी (करेला और काजू स्टर फ्राई) बनाना शुरू करने के लिए, करेले का छिलका उतारें और उन्हें लम्बाई में काट लें। बीज निकाल दें। अगर वे नरम हैं तो आप बीज रखने का विकल्प चुन सकते हैं। अब कड़वाहट को दूर करने के लिए उन्हें लगभग 30 मिनट के लिए नमक के पानी के एक कटोरे में भिगोएँ। उन्हें अच्छी तरह से धो लें और अतिरिक्त पानी निकाल दें। उन्हें रसोई के तौलिये पर सुखाएं। एक कढ़ाई में थोड़ा तेल गर्म करें। पतले कटे हुए आलू डालें और मध्यम आँच पर उन्हें कुरकुरा और सुनहरा भूरा होने तक भूनें। आलू के भूरे होने के बाद, करेला / करेला के टुकड़े डालें और तब तक भूनें जब तक कि सभी टुकड़े पक न जाएं और कुरकुरे न हो जाएं। हो जाने के बाद, आँच बंद कर दें। एक अन्य पैन में थोड़ा तेल गर्म करें, उसमें राई डालें और उन्हें चटकने दें तेल गरम होने के बाद धीमी आंच पर पकाएं, क्योंकि ये सभी सामग्री बहुत जल्दी पक जाती है। अब इसमें तले हुए आलू और करेला डालें। सभी मसाले - लाल मिर्च पाउडर, जीरा पाउडर, धनिया पाउडर, अमचूर पाउडर, पिसी चीनी और नमक डालें। अच्छी तरह से मिलाएँ और लगभग 1-2 मिनट तक भूनें। मसालों की जाँच करें और स्वादानुसार समायोजित करें। फिर तिल और सूखा नारियल डालें। जल्दी से मिलाएँ और आँच से उतार लें। काजू करेला रेसिपी (करेला और काजू स्टिर फ्राई) को गुजराती दाल रेसिपी और फुल्का या गेहूँ भाजरा थेपला रेसिपी के साथ अपने रोज़ाना के लंच में परोसें।</t>
  </si>
  <si>
    <t>https://www.archanaskitchen.com/kaju-karela-recipe-bitter-gourd-and-cashew-nuts-stir-fry</t>
  </si>
  <si>
    <t>Gujarati Kachariyu Recipe - Spiced Sesame And Coconut Ladoos</t>
  </si>
  <si>
    <t>गुजराती कचरियु रेसिपी - मसालेदार तिल और नारियल के लड्डू</t>
  </si>
  <si>
    <t>1 कप तिल, 3/4 कप कसा हुआ नारियल, 1/4 कप बादाम - कटा हुआ, 1/4 कप खरबूजे के बीज, 1/2 कप गुड़, 1 चम्मच सूखा अदरक पाउडर, 1/2 चम्मच इलायची पाउडर, जायफल पाउडर - एक चुटकी, 12 खजूर - काले, 5-6 सूखे अंजीर - कटे हुए, 2 बड़े चम्मच घी</t>
  </si>
  <si>
    <t>1 cup Sesame seeds (Til seeds),3/4 cup Dessicated Coconut,1/4 cup Badam (Almond) - chopped,1/4 cup Melon seeds,1/2 cup Jaggery,1 teaspoon Dry ginger powder,1/2 teaspoon Cardamom Powder (Elaichi),Nutmeg powder - A generous pinch,12 Dates - black one,5-6 Dried Figs - chopped,2 tablespoons Ghee</t>
  </si>
  <si>
    <t xml:space="preserve">To begin making Gujarati Kachariyu Recipe, first we will prepare the filling.Place a skillet or kadai on the heat. Add ghee, once melted add chopped dates and figs to it. Cook this, stirring sometimes, till they turn mushy and stewed, and start leaving sides of pan to come together as a ball.Turn the heat off and set the pan aside to cool. Once cool make small marble sized balls of the mix and set aside.To prepare the rest of the Kachariyu, in a pan or kadai lightly toast sesame seeds, coconut, almonds and melon seeds.While it is still warm transfer the mixture to a grinder add jaggery and grind finely.To this, add the dried ginger powder, cardamom powder and nutmeg powder. Pulse it again a couple of times till it mixes well.You will notice that the sesame seeds and coconut has released its oil and the mixture gets crumbly. If held in a fist the mixture should come together lightly. If this does not happen pulse it a few more times.Put a spoonful of Kachariyu mixture in the well of your palm, lightly press it and place the filling in the center and bring the Kachariyu together to form a small ladoo. Repeat till you have formed all the ladoos.You can roll them in desiccated coconut or finely chopped almonds for garnish too. Store the Kachariyu in an airtight box and serve them as a festive ladoo on any occasion or enjoy them as a mid-morning pick-me-up, or snack box treat.Serve Gujarati Kachariyu as a snack along with your morning or evening cup of Masala Chai.
</t>
  </si>
  <si>
    <t>गुजराती कचरियु रेसिपी बनाने के लिए, सबसे पहले हम फिलिंग तैयार करेंगे। एक कड़ाही को आंच पर रखें। घी डालें, पिघलने के बाद इसमें कटे हुए खजूर और अंजीर डालें। इसे कभी-कभी हिलाते हुए तब तक पकाएं जब तक कि वे नरम और भुन न जाएं और पैन के किनारों को एक साथ बॉल के रूप में इकट्ठा करना शुरू न कर दें। आंच बंद कर दें और पैन को ठंडा होने के लिए अलग रख दें। ठंडा होने के बाद मिश्रण से छोटे-छोटे मार्बल के आकार के बॉल बनाएं और अलग रख दें। बाकी कचरियु तैयार करने के लिए, एक पैन या कढ़ाई में तिल, नारियल, बादाम और खरबूजे के बीज को हल्का सा भून लें। जब यह अभी भी गर्म हो, तो मिश्रण को ग्राइंडर में डालें और गुड़ डालें और बारीक पीस लें। इसमें सूखा अदरक पाउडर, इलायची पाउडर और जायफल पाउडर डालें। इसे अच्छी तरह से मिक्स होने तक फिर से दो बार चलाएँ। आप देखेंगे कि तिल और नारियल ने अपना तेल छोड़ दिया है और मिश्रण बिखरा हुआ है। अगर मुट्ठी में पकड़ा जाए तो मिश्रण हल्का सा एक साथ आ जाना चाहिए। अगर ऐसा नहीं होता है तो इसे कुछ और बार पल्स करें। अपनी हथेली के गड्ढे में एक चम्मच कचरियू मिश्रण डालें, इसे हल्के से दबाएं और बीच में भरावन रखें और कचरियू को एक साथ लाकर एक छोटा लड्डू बनाएं। तब तक दोहराएं जब तक कि आप सभी लड्डू नहीं बना लेते। आप उन्हें गार्निश के लिए सूखे नारियल या बारीक कटे बादाम में भी लपेट सकते हैं। कचरियू को एक एयरटाइट बॉक्स में स्टोर करें और उन्हें किसी भी अवसर पर उत्सव के लड्डू के रूप में परोसें या उन्हें सुबह-सुबह पिक-मी-अप या स्नैक बॉक्स ट्रीट के रूप में आनंद लें। गुजराती कचरियू को नाश्ते के रूप में अपनी सुबह या शाम की मसाला चाय के साथ परोसें।</t>
  </si>
  <si>
    <t>https://www.archanaskitchen.com/gujarati-kachariyu-recipe-traditional-spiced-sesame-and-coconut-ladoos-with-dates-and-figs</t>
  </si>
  <si>
    <t>Mango Chunda Pickle Recipe - Gujarati Mango Chunda Recipe</t>
  </si>
  <si>
    <t>आम चूंडा अचार रेसिपी - गुजराती आम चूंडा रेसिपी</t>
  </si>
  <si>
    <t>5 कप कच्चे आम - छिले और कसे हुए (1 किलो छिले और कसे हुए आम), 2 छोटे चम्मच नमक, 1 छोटा चम्मच हल्दी, 4 कप चीनी - 840 ग्राम चीनी, 1 छोटा चम्मच लाल मिर्च पाउडर - वैकल्पिक, 2 छोटे चम्मच जीरा - भुना और कुचला हुआ</t>
  </si>
  <si>
    <t>5 cups Mango (Raw) - peeled and grated (1 kg of peeled and grated mango),2 teaspoons Salt,1 teaspoon Turmeric powder (Haldi),4 cups Sugar - 840 grams of sugar,1 teaspoon Red Chilli powder - optional,2 teaspoons Cumin seeds (Jeera) - roasted &amp; crushed</t>
  </si>
  <si>
    <t xml:space="preserve">To begin making the Aam Ka Chunda Recipe, wash the mangoes and dry them completely. Peel the skin of the mangoes and then grate them.Combine the grated mangoes, salt and turmeric powder and leave aside for 2 hours.Once the mangoes have been marinated you will find that the mango has released some water.At this point stir in the sugar little by little to the mango mixture continuously until all the sugar is nearly dissolved. There are two different ways you can make this pickle.Sun Method for the Chunda PicklePlace the mango mixture in the steel vessel with a rim. Wrap the vessel with muslin or cheesecloth and tie it with a thick thread/lace to fit tightly around the vessel.Keep it under sunlight for about 7 days or until the sugar and jaggery melts and reaches a double string consistency, stirring it well at the end of every day.Bring it back inside once the sun sets.Stir well the next morning and place it under the sun again.Continue this process until the double string consistency has been reached.Stove top method for Chunda PickleHeat a heavy bottomed pan on low heat; add the mango and sugar mixture to the pan and stir continuously until the sugar has dissolved completely.You will find bubbles frothing up on the surface, but continue stirring until the sugar syrup reaches the single string consistency. This takes about 5 to 8 minutes.This step is crucial as over-cooking will make the sugar crystallize later. Remove from the flame and let the mixture cool completely.Continue stirring the chunda pickle while it is cooling occasionally to prevent the sugar from crystallizing. Roast the cumin seeds in the pan until it starts crackling. Coarsely pound it and keep aside.Once the Mango Chunda pickle is cooled completely, stir in the chilli powder and crushed cumin seeds until well combined into the pickle.The Mango Chunda Pickle can be consumed immediately.Store the Mango Chunda Pickle in sterilized glass jars and it will last for about one year without refrigeration.Serve Aam Ka Chunda Recipe with Thelpas or with just about anything on your plate.
</t>
  </si>
  <si>
    <t>आम का चुन्दा रेसिपी बनाने के लिए सबसे पहले आमों को धोकर सुखा लें। आमों का छिलका उतारकर कद्दूकस कर लें। कद्दूकस किए हुए आम, नमक और हल्दी पाउडर को मिलाकर 2 घंटे के लिए रख दें। आमों को मैरीनेट करने के बाद आप पाएंगे कि आम ने थोड़ा पानी छोड़ दिया है। इस समय चीनी को आम के मिश्रण में थोड़ा-थोड़ा करके मिलाते रहें जब तक कि सारी चीनी लगभग घुल न जाए। इस अचार को बनाने के दो अलग-अलग तरीके हैं। चुन्दा अचार बनाने की विधि आम के मिश्रण को किनारे वाले स्टील के बर्तन में रखें। बर्तन को मलमल या चीज़क्लोथ से लपेटें और इसे मोटे धागे/फीते से बांधकर बर्तन के चारों ओर कसकर फिट कर दें। इसे लगभग 7 दिनों तक या जब तक चीनी और गुड़ पिघल कर दो तार की स्थिरता तक नहीं पहुंच जाते, तब तक इसे सूर्य की रोशनी में रखें, इसे हर दिन के अंत में अच्छी तरह से हिलाएं। सूरज ढलने के बाद इसे वापस अंदर ले आएं। अगली सुबह अच्छी तरह से हिलाएं और इसे फिर से धूप में रख दें। जब तक दो तार की स्थिरता नहीं मिल जाती, तब तक इस प्रक्रिया को जारी रखें। चूंदा अचार के लिए स्टोव टॉप विधि धीमी आंच पर एक भारी तले की कड़ाही गरम करें, पैन में आम और चीनी का मिश्रण डालें और तब तक लगातार हिलाएं जब तक कि चीनी पूरी तरह से घुल न जाए। आप सतह पर बुलबुले उठते हुए पाएंगे, लेकिन तब तक हिलाते रहें जब तक कि चीनी की चाशनी एक तार की स्थिरता तक न पहुंच जाए। इसमें लगभग 5 से 8 मिनट लगते हैं। इसे दरदरा पीस लें और एक तरफ रख दें। जब आम का चुंदा अचार पूरी तरह से ठंडा हो जाए, तो इसमें मिर्च पाउडर और पिसा हुआ जीरा डालकर अच्छी तरह मिलाएँ। आम का चुंदा अचार तुरंत खाया जा सकता है। आम का चुंदा अचार को स्टेरलाइज़्ड ग्लास जार में स्टोर करें और यह बिना फ्रिज में रखे लगभग एक साल तक चलेगा। आम का चुंदा रेसिपी को थालपा या अपनी प्लेट में किसी भी चीज़ के साथ परोसें।</t>
  </si>
  <si>
    <t>https://www.archanaskitchen.com/chundo-chunda-a-classic-sweet-mango-gujarati-pickle-recipe</t>
  </si>
  <si>
    <t>Buckwheat Corn Dhokla Recipe</t>
  </si>
  <si>
    <t>कुट्टू कॉर्न ढोकला रेसिपी</t>
  </si>
  <si>
    <t>1 कप कुट्टू का आटा, 1 कप स्वीट कॉर्न, 1/2 कप खट्टा दही, 2 बड़े चम्मच समा का आटा, 2-1/2 चम्मच हरी मिर्च का पेस्ट, नमक - स्वादानुसार, 1/4 चम्मच इनोस फ्रूट सॉल्ट, सूरजमुखी तेल - आवश्यकतानुसार, 1/4 चम्मच तिल, 1/4 चम्मच जीरा, 1/4 चम्मच सरसों के बीज, 1/2 नींबू का रस, 2 टहनी धनिया - बारीक कटा हुआ</t>
  </si>
  <si>
    <t>1 cup Buckwheat Flour (Kuttu Ka Atta),1 cup Sweet corn -,1/2 cup Curd (Dahi / Yogurt) - sour,2 tablespoons Sama Flour (Little Millet),2-1/2 teaspoon Green Chilli Paste,Salt - to taste,1/4 teaspoon Enos fruit salt,Sunflower Oil - as required,Sunflower Oil - as required,1/4 teaspoon Sesame seeds (Til seeds),1/4 teaspoon Cumin seeds (Jeera),1/4 teaspoon Mustard seeds,1/2 Lemon juice,2 sprig Coriander (Dhania) Leaves - finely chopped</t>
  </si>
  <si>
    <t xml:space="preserve">To begin making the Buckwheat Corn Dhokla recipe, In a bowl, combine buckwheat flour, sama flour, green chilli paste, salt and fruit salt. Mix them together.Add corn kernels to the flour mixture and keep it aside for an hour.Grease the dhokla plate with oil and pour the buckwheat wet mixture to the plate.Steam in idli cooker for 20 minutes. Buckwheat takes longer time to cook than the usual sooji or besan.Hence, check dhokla often and water in the vessel. Cook until the dhoklas are cooked well. The dhokla is cooked when a toothpick inserted in the center of the dhokla comes out clean.In a small tadka pan, heat oil over medium heat. Add mustard seeds once the oil is hot.Once the seeds splutter, add cumin seeds and sesame seeds. Cook until they turn slightly brownish.Pour the tempering on top of the dhokla. Squeeze lemon at the time of serving.Serve Buckwheat Corn Dhokla with Dhaniya Pudina Chutney and have it with cup of Ginger-Holy Basil Tisane | Adrak Tulsi Chai Recipe and enjoy a nutrient rich breakfast
</t>
  </si>
  <si>
    <t xml:space="preserve">कुट्टू का ढोकला रेसिपी बनाने के लिए, एक कटोरे में कुट्टू का आटा, समा का आटा, हरी मिर्च का पेस्ट, नमक और फ्रूट सॉल्ट मिलाएँ। इन्हें एक साथ मिलाएँ। आटे के मिश्रण में मकई के दाने डालें और एक घंटे के लिए अलग रख दें। ढोकला प्लेट को तेल से चिकना करें और कुट्टू का गीला मिश्रण प्लेट में डालें। 20 मिनट के लिए इडली कुकर में भाप में पकाएँ। कुट्टू को सामान्य सूजी या बेसन की तुलना में पकने में अधिक समय लगता है। इसलिए, ढोकला को बार-बार चेक करते रहें और बर्तन में पानी भरते रहें। ढोकला के अच्छी तरह से पकने तक पकाएँ। ढोकला तब पक जाता है जब ढोकला के बीच में डाली गई टूथपिक साफ़ बाहर आ जाती है। एक छोटे तड़का पैन में मध्यम आँच पर तेल गरम करें। तेल गरम होने पर राई डालें। जब राई चटकने लगे, तो जीरा और तिल डालें। उन्हें हल्का भूरा होने तक पकाएँ। तड़के को ढोकला के ऊपर डालें। परोसते समय नींबू निचोड़ें। बकव्हीट कॉर्न ढोकला को धनिया पुदीना चटनी के साथ परोसें और इसे अदरक-पवित्र तुलसी टिसेन के कप के साथ लें | अदरक तुलसी चाय रेसिपी और पोषक तत्वों से भरपूर नाश्ते का आनंद लें
</t>
  </si>
  <si>
    <t>https://www.archanaskitchen.com/buckwheat-corn-dhokla-recipe</t>
  </si>
  <si>
    <t>Recipe for fresh and tomato vegetables</t>
  </si>
  <si>
    <t>लौकी टमाटर की सब्जी रेसिपी</t>
  </si>
  <si>
    <t>1 लौकी - (लगभग 4 कप कटी हुई लौकी), 1 प्याज - बारीक कटा हुआ, 3 लहसुन - कसा हुआ, 1 टमाटर - बारीक कटा हुआ, 1 छोटा चम्मच जीरा, 1 छोटा चम्मच हल्दी, 1/2 छोटा चम्मच लाल मिर्च पाउडर, 1 टहनी करी पत्ता, 1 धनिया पत्ता - बारीक कटा हुआ, सूरजमुखी तेल - पकाने के लिए, नमक - स्वादानुसार</t>
  </si>
  <si>
    <t>1 Bottle gourd (lauki) - (about 4 cups of diced bottle gourd),1 Onion - finely chopped,3 Garlic - grated,1 Tomato - finely chopped,1 teaspoon Cumin seeds (Jeera),1 teaspoon Turmeric powder (Haldi),1/2 teaspoon Red Chilli powder,1 sprig Curry leaves,1 Coriander (Dhania) Leaves - finely chopped,Sunflower Oil - to cook,Salt - to taste</t>
  </si>
  <si>
    <t xml:space="preserve">To begin making the Lauki Tamatar Ki Sabzi Recipe, firstly prepare and get all the ingredients ready. We will be using the pressure cooker method to cook lauki tamatar ki sabzi recipe. Start with heating oil in cooker.To the hot oil, add cumin seeds, onions, garlic and tomatoes; sauté for a few minutes. Add turmeric powder, chilli powder, curry leaves, salt and lauki.Add 1/4 cup of water and pressure cook for about 3 whistles. Turn off heat.Once the pressure is released, open the cooker. You will notice that the lauki has given out a lot more water.Turn heat on, stir the lauki in the cooker. Some of the water would have evaporated. You can boil it till you get the consistency that you desire and the ingredients would have all bound together. At this point, turn off heat.Garnish the Lauki Tamatar ki sabzi with coriander leaves and serve hot.Serve the Lauki Tamatar Ki Sabzi along with Phulkas and Mint Raita for a wholesome dinner or a lunch.
</t>
  </si>
  <si>
    <t>लौकी टमाटर की सब्जी बनाने के लिए सबसे पहले सारी सामग्री तैयार कर लें। लौकी टमाटर की सब्जी बनाने के लिए हम प्रेशर कुकर विधि का उपयोग करेंगे। सबसे पहले कुकर में तेल गर्म करें। गर्म तेल में जीरा, प्याज, लहसुन और टमाटर डालें; कुछ मिनट के लिए भूनें। हल्दी पाउडर, लाल मिर्च पाउडर, करी पत्ता, नमक और लौकी डालें। 1/4 कप पानी डालें और लगभग 3 सीटी आने तक प्रेशर कुक करें। आँच बंद कर दें। प्रेशर निकल जाने पर कुकर खोलें। आप देखेंगे कि लौकी ने बहुत अधिक पानी दिया है। आँच चालू करें, कुकर में लौकी को चलाएँ। कुछ पानी वाष्पित हो गया होगा। आप इसे तब तक उबाल सकते हैं जब तक आपको मनचाहा गाढ़ापन न मिल जाए और सभी सामग्री एक साथ बंध न जाएँ। इस बिंदु पर, गर्मी बंद करें। लौकी टमाटर की सब्जी को धनिया पत्ती से गार्निश करें और गर्म परोसें। लौकी टमाटर की सब्जी को फुल्के और पुदीने के रायते के साथ एक पौष्टिक रात के खाने या दोपहर के भोजन के लिए परोसें।</t>
  </si>
  <si>
    <t>https://www.archanaskitchen.com/lauki-tamatar-ki-sabzi-recipe-doodhi-ghiya-sabzi</t>
  </si>
  <si>
    <t>Gujarati Style Sev Tomato Sabzi Recipe - Sev Tamatar Ki Sabzi (Recipe In Hindi)</t>
  </si>
  <si>
    <t>गुजराती स्टाइल सेव टमाटर की सब्जी रेसिपी - सेव टमाटर की सब्जी (रेसिपी इन हिंदी)</t>
  </si>
  <si>
    <t>4 कप टमाटर - कट ले, 1 छोटा चमच्च अदरक - कस ले, 1/2 छोटा चमच्च हल्दी पाउडर, 1/2 छोटा चमच्च लाल मिर्च पाउडर, 1/4 छोटा चमच्च हींग, 1 हरी मिर्च - काट ले, 1/2 छोटा चमच्च अदरक, 1/2 छोटा चमच्च जीरा, 1 बड़ा चमच्च गुड़, 1 थानी कढ़ी पत्ता - सोया कट ले, 1 कप सेव, 2 छोटे चमच्च तेल, नमक - स्वाद</t>
  </si>
  <si>
    <t>4 cups tomato - chopped, 1 teaspoon ginger - grated Spoon mustard, 1/2 teaspoon cumin seeds, 1 tablespoon jaggery, 1 sprig curry leaves - finely chopped, 1 cup save, 2 teaspoons oil, salt - as per taste</t>
  </si>
  <si>
    <t>To make Gujarati Style Sev Tomato Sabzi, first heat oil in a pan. Add mustard seeds, cumin seeds and let it cook for 10 seconds. After 10 seconds, add curry leaves, asafoetida, turmeric powder, red chili powder, ginger, tomatoes and salt. Mix everything well. After 2 minutes, add 1/4 cup water and jaggery. Cover the pan and let it cook for 3 to 4 minutes. Add sev before eating and serve. Serve Gujarati Style Sev Tomato Sabzi with Gujarati Kadhi and Bhakri for lunch.</t>
  </si>
  <si>
    <t xml:space="preserve">गुजराती स्टाइल सेव टमाटर की सब्जी बनाने के लिए सबसे पहले एक चटनी में तेल गरम कर ले. इसमें राइ, जीरा और 10 सेकंड तक मसाला दे.10 सेकंड के बाद इसमें कढ़ी पत्ता, हींग, हल्दी पाउडर, लाल मिर्च पाउडर, अदरक, टमाटर और नमक डाला जाता है. सबसे अच्छी तरह से मिला ले. 2 मिनट बाद 1/4 कप पानी और गुड़ डाल दिया. 3 से 4 मिनट के लिए मसाला तैयार कर लीजिए. खाने से पहले सेव डाला और रखा। गुजराती स्टाइल सेव टमाटर की सब्जी को गुजराती कढ़ी और भाकरी के साथ दिन के खाने के लिए खरीदें।
</t>
  </si>
  <si>
    <t>http://www.archanaskitchen.com/sev-tamatar-ki-sabzi-recipe-sev-tamta-nu-shaak-in-hindi</t>
  </si>
  <si>
    <t>Dudhi Dhokli Nu Shaak Recipe - Bottle Gourd And Steamed Dumplings Curry</t>
  </si>
  <si>
    <t>दूधी ढोकली नू शाक रेसिपी - लौकी और उबली हुई पकौड़ी करी</t>
  </si>
  <si>
    <t>1 कप लौकी - कद्दूकस की हुई, 1 बेसन - बेसन, नमक - स्वादानुसार, हल्दी - चुटकी भर, 1/2 छोटा चम्मच लाल मिर्च पाउडर, 1 छोटा चम्मच अजवाइन, 1 छोटा चम्मच धनिया - कटा हुआ, एनोस फ्रूट साल्ट - चुटकी भर, 1-1/2 कप पानी, 1 बड़ा चम्मच सूरजमुखी तेल, करी पत्ता - थोड़े से, 1 छोटा चम्मच जीरा, 1/2 छोटा चम्मच सरसों के बीज, हींग - हींग, 1 छोटा चम्मच अदरक लहसुन पेस्ट, 1 टमाटर - कटा हुआ, नमक - स्वादानुसार, 1/2 छोटा चम्मच गरम मसाला पाउडर, 1/2 छोटा चम्मच लाल मिर्च पाउडर, 1 बड़ा चम्मच बेसन, 1 कप छाछ, धनिया - गार्निश करने के लिए (कटा हुआ)</t>
  </si>
  <si>
    <t>1 cup Bottle gourd (lauki) - grated,1 Gram flour (besan) - besan,Salt - to taste,Turmeric powder (Haldi) - a pinch,1/2 teaspoon Red Chilli powder,1 teaspoon Ajwain (Carom seeds),1 teaspoon Coriander (Dhania) Leaves - chopped,Enos fruit salt - a pinch,1-1/2 cup Water,1 tablespoon Sunflower Oil,Curry leaves - few,1 teaspoon Cumin seeds (Jeera),1/2 teaspoon Mustard seeds,Asafoetida (hing) - Asafoetida,1 teaspoon Ginger Garlic Paste,1 Tomato - chopped,Salt - to taste,1/2 teaspoon Garam masala powder,1/2 teaspoon Red Chilli powder,1 tablespoon Gram flour (besan),1 cup Buttermilk,Coriander (Dhania) Leaves - to garnish (chopped)</t>
  </si>
  <si>
    <t xml:space="preserve">To begin making the Dudhi Dhokli Nu Shaak recipe, firstly we will make the dhokli. In a mixing bowl, mix grated bottle gourd, coriander leaves, gram flour, salt, red chilli powder, turmeric powder and carom seeds.Add water and mix to make a batter. When the batter is done, add a pinch of fruit salt and mix it properly.Preheat a steamer, filled halfway with water. Next, grease a dhokla plate. Transfer the dhokli batter into the plate and steam cook it for 10 to 15 minutes.  Later remove from the steamer and allow it to cool. Once it is cooled down, cut into small pieces.Now take a shallow frying pan and grease it with oil. Shallow fry the dhokli from both the sides to enhance the taste. Once done, keep it aside.The next step is to make the curry. In a mixing bowl, add a tablespoon of gram flour in butter milk and keep it aside.Heat oil in a heavy bottomed pan on medium flame. Add mustard seeds and once it splutters add cumin seeds, asafoetida, ginger garlic paste and curry leaves. Saute for about a minute. Add chopped tomatoes and cook them till they become soft and mushy.Once they become mushy, add gram flour, butter milk mixture, salt, red chilli powder and garam masala into it. Mix everything and cook on sim till the curry starts boiling. This may take 2 to 3 minutes.After 2 to 3 minutes, add the diced shallow fried dhokli, mix and allow it to boil for 3 to 4 minutes. Switch off and garnish with coriander leaves.Serve Dudhi Dhokli Nu Shaak with Steamed Rice for a weekday lunch. you can also serve Masala Khichiya Churi along with your meal as a side dish.
</t>
  </si>
  <si>
    <t>दूधी ढोकली नू शाक रेसिपी बनाने के लिए सबसे पहले हम ढोकली बनाएंगे। एक मिक्सिंग बाउल में कद्दूकस की हुई लौकी, धनिया पत्ती, बेसन, नमक, लाल मिर्च पाउडर, हल्दी पाउडर और अजवायन डालें। पानी डालकर घोल तैयार करें। जब घोल तैयार हो जाए तो इसमें चुटकी भर फ्रूट सॉल्ट डालें और अच्छी तरह मिलाएँ। एक स्टीमर को आधा पानी से गर्म करें। इसके बाद एक ढोकला प्लेट को चिकना करें। ढोकली के घोल को प्लेट में डालें और 10 से 15 मिनट तक भाप में पकाएँ। बाद में स्टीमर से निकालें और ठंडा होने दें। ठंडा होने के बाद छोटे टुकड़ों में काट लें। अब एक उथला फ्राइंग पैन लें और इसे तेल से चिकना करें। स्वाद बढ़ाने के लिए ढोकली को दोनों तरफ से हल्का तल लें। हो जाने के बाद इसे एक तरफ रख दें। अगला कदम करी बनाना है। एक मिक्सिंग बाउल में बटर मिल्क में एक बड़ा चम्मच बेसन मिलाएं और एक तरफ रख दें। मध्यम आंच पर एक भारी तले की कड़ाही में तेल गर्म करें। इसमें राई डालें और जब यह फूटने लगे तो इसमें जीरा, हींग, अदरक लहसुन का पेस्ट और करी पत्ता डालें। लगभग एक मिनट तक भूनें। कटे हुए टमाटर डालें और उन्हें नरम और गूदेदार होने तक पकाएं। जब वे गूदेदार हो जाएं तो इसमें बेसन, बटर मिल्क मिश्रण, नमक, लाल मिर्च पाउडर और गरम मसाला डालें। सब कुछ मिलाएं और धीमी आंच पर तब तक पकाएं जब तक कि करी उबलने न लगे। इसमें 2 से 3 मिनट लग सकते हैं। 2 से 3 मिनट के बाद, कटे हुए उथले तले हुए ढोकली डालें, मिलाएं और इसे 3 से 4 मिनट तक उबलने दें। बंद करें और धनिया पत्ती से गार्निश करें। दूधी ढोकली नू शाक को सप्ताह के दिनों के दोपहर के भोजन के लिए उबले हुए चावल के साथ परोसें। आप साइड डिश के रूप में अपने भोजन के साथ मसाला खिचिया चूरी भी परोस सकते हैं।</t>
  </si>
  <si>
    <t>https://www.archanaskitchen.com/dudhi-dhokli-nu-shaak-recipe-bottle-gourd-and-steamed-dumplings-curry</t>
  </si>
  <si>
    <t>Gujarati Khichu Recipe - Steamed Rice Flour Savory Donuts</t>
  </si>
  <si>
    <t>गुजराती खीचू रेसिपी - उबले हुए चावल के आटे के स्वादिष्ट डोनट्स</t>
  </si>
  <si>
    <t>2 कप पानी, 1 कप चावल का आटा, 1/2 चम्मच अजवाइन, 2 चम्मच जीरा, नमक - स्वादानुसार, 2 हरी मिर्च - बारीक कटी हुई, 1 इंच अदरक - बारीक कटा हुआ</t>
  </si>
  <si>
    <t>2 Cups Water,1 cup Rice flour,1/2 teaspoon Ajwain (Carom seeds),2 teaspoons Cumin seeds (Jeera),Salt - to taste,2 Green Chillies - finely chopped,1 inch Ginger - finely chopped</t>
  </si>
  <si>
    <t xml:space="preserve">To begin making Gujarati Khichu recipe, we have to first get the dough for the khichu ready. Preheat a steamer with water in it.  Meanwhile, in another pan heat 2 cups of water and add ajwain, cumin  seeds along with salt, ginger &amp; green chillies.Let the water come to a rolling boil.Without reducing the heat, quickly dust the rice flour all over the boiling water. (It is important that you scatter the flour all over the boiling water) Do not stir. Allow the water to rise up on its own. It will begin to moisten the rice flour within 30 seconds or so.Using the back of a wooden ladle carefully (so as not to splatter the hot water) and vigorously stir the mix for a minute.Remove the Khichu from the heat and pour the Khichu mixture in a bowl. When the Khichu dough is hot yet but easy to handle, pinch the dough in 12 balls of equal size.Make an indent in the centre like that of a doughnut. Transfer these Khichu onto the steamer and steam them for 5 – 7 minutesRemove the Khichu from the steamer and serve hot.Serve Gujarati Khichu Recipe as a healthy evening snack along with a hot cup of Masala Chai or by itself as a light evening snack.
</t>
  </si>
  <si>
    <t>गुजराती खीचू रेसिपी बनाने के लिए सबसे पहले हमें खीचू के लिए आटा तैयार करना होगा। एक स्टीमर में पानी डालकर उसे गर्म कर लें। इस बीच, दूसरे पैन में 2 कप पानी गर्म करें और उसमें अजवाइन, जीरा, नमक, अदरक और हरी मिर्च डालें। पानी को उबलने दें। आंच कम किए बिना, उबलते पानी में जल्दी से चावल का आटा छिड़कें। (यह महत्वपूर्ण है कि आप आटे को उबलते पानी में छिड़क दें) हिलाएं नहीं। पानी को अपने आप ऊपर आने दें। यह चावल के आटे को 30 सेकंड के भीतर गीला करना शुरू कर देगा। लकड़ी के करछुल के पिछले हिस्से का सावधानी से उपयोग करें (ताकि गर्म पानी न फैले) और मिश्रण को एक मिनट तक जोर से हिलाएं। खीचू को आंच से उतार लें और खीचू मिश्रण को एक कटोरे में डालें। जब खीचू का आटा गर्म हो जाए लेकिन संभालने में आसान हो, तो आटे को बराबर आकार की 12 गेंदों में काट लें। केंद्र में डोनट की तरह एक इंडेंट बनाएं। इन खिचुओं को स्टीमर में डालें और 5 - 7 मिनट तक भाप में पकाएँ। खिचुओं को स्टीमर से निकालें और गरमागरम परोसें। गुजराती खिचू रेसिपी को शाम के स्वस्थ नाश्ते के रूप में गरम मसाला चाय के साथ या अकेले ही हल्के शाम के नाश्ते के रूप में परोसें।</t>
  </si>
  <si>
    <t>https://www.archanaskitchen.com/gujarati-khichu-recipe-steamed-rice-flour-savory-donuts</t>
  </si>
  <si>
    <t>Gujarati Trevti Dal Recipe (Creamy Lentils Cooked In Mild Spices)</t>
  </si>
  <si>
    <t>गुजराती त्रेवटी दाल रेसिपी (हल्के मसालों में पकाई गई मलाईदार दाल)</t>
  </si>
  <si>
    <t>1/4 कप पीली मूंग दाल - 30 मिनट के लिए भिगोई हुई, 1/4 कप चना दाल - 30 मिनट के लिए भिगोई हुई, 1/4 कप अरहर दाल - 30 मिनट के लिए भिगोई हुई, 1 इंच अदरक - कद्दूकस किया हुआ, 4 लहसुन के दाने - बारीक कटा हुआ, 1 प्याज - बारीक कटा हुआ, 1 टमाटर - बारीक कटा हुआ, 1 हरी मिर्च - बारीक कटी हुई, 2 सूखी लाल मिर्च, 1/2 छोटा चम्मच हल्दी पाउडर, 1/2 छोटा चम्मच लाल मिर्च पाउडर, 1 छोटा चम्मच जीरा, 1/2 नींबू - रस निकाला हुआ, धनिया के पत्ते - कुछ टहनियाँ, 1 बड़ा चम्मच सूरजमुखी का तेल, नमक - स्वादानुसार</t>
  </si>
  <si>
    <t>1/4 cup Yellow Moong Dal (Split) - soaked for 30 minutes,1/4 cup Chana dal (Bengal Gram Dal) - soaked for 30 minutes,1/4 cup Arhar dal (Split Toor Dal) - soaked for 30 minutes,1 inch Ginger - grated,4 cloves Garlic - minced,1 Onion - finely chopped,1 Tomato - finely chopped,1 Green Chilli - finely chopped,2 Dry Red Chillies,1/2 teaspoon Turmeric powder (Haldi),1/2 teaspoon Red Chilli powder,1 teaspoon Cumin seeds (Jeera),1/2 Lemon - juiced,Coriander (Dhania) Leaves - few sprigs,1 tablespoon Sunflower Oil,Salt - to taste</t>
  </si>
  <si>
    <t xml:space="preserve">To begin making Gujarati Trevti Dal Recipe (Creamy Lentils Cooked In Mild Spices), wash and soak the dal in water for half an hour and then pressure cook along with turmeric and salt for 3 whistles, mash and keep aside. Prep with all the other ingredients in the meanwhile.Now heat oil in a kadai on medium heat, add the cumin seeds, dried red chillies and let it crackle.Add the onion and saute until it turns translucent.Once the onion is translucent, add the grated ginger and minced garlic cloves and cook until the raw smell goes away.Now add the chillies and tomatoes, saute occasionally and cook until the tomatoes turns soft and mushy.Once the tomatoes are mushy, add in the red chilli powder and saute for a minute.Now, add the mashed dals, about 2 cups of water, season with salt and let it simmer for 10 minutes. After 10 minutes, check for salt and adjustGarnish with lemon juice, coriander leaves, mix and switch off the flame.Serve the Gujarati Trevti Dal Recipe (Creamy Lentils Cooked In Mild Spices) along with Phulkas and Batata nu Shaak (Aloo Tamatar Ki Sabzi) Recipe or with Steamed Rice and Crispy Crunchy Roti Ke Papad Recipe for a comforting weeknight dinner.
</t>
  </si>
  <si>
    <t>गुजराती त्रेवटी दाल रेसिपी (हल्के मसालों में पकी हुई मलाईदार दाल) बनाने के लिए, दाल को धोकर आधे घंटे के लिए पानी में भिगो दें और फिर हल्दी और नमक के साथ 3 सीटी आने तक पका लें, मैश करें और एक तरफ रख दें। इस बीच अन्य सभी सामग्री के साथ तैयारी करें। अब मध्यम आँच पर एक कड़ाही में तेल गर्म करें, उसमें जीरा, सूखी लाल मिर्च डालें और उसे चटकने दें। प्याज़ डालें और पारदर्शी होने तक भूनें। जब प्याज़ पारदर्शी हो जाए, तो उसमें कसा हुआ अदरक और बारीक कटा हुआ लहसुन डालें और कच्ची महक जाने तक पकाएँ। अब मिर्च और टमाटर डालें, बीच-बीच में भूनें और टमाटर के नरम और गूदेदार होने तक पकाएँ। जब टमाटर गूदेदार हो जाएँ, तो उसमें लाल मिर्च पाउडर डालें और एक मिनट के लिए भूनें। अब, मसली हुई दाल, लगभग 2 कप पानी, नमक डालें और इसे 10 मिनट तक उबलने दें। 10 मिनट के बाद, नमक की जांच करें और नींबू के रस, धनिया पत्ती से गार्निश करें, मिलाएँ और आंच बंद कर दें। गुजराती त्रेवटी दाल रेसिपी (हल्के मसालों में पकी हुई मलाईदार दाल) को फुल्के और बटाटा नू शाक (आलू टमाटर की सब्जी) रेसिपी के साथ या स्टीम्ड राइस और कुरकुरी रोटी के पापड़ रेसिपी के साथ रात के खाने के लिए परोसें।</t>
  </si>
  <si>
    <t>https://www.archanaskitchen.com/gujarati-trevti-dal-recipe-creamy-lentils-cooked-in-mild-spices</t>
  </si>
  <si>
    <t>Recipe for Chiba Dhokli</t>
  </si>
  <si>
    <t>चिबा ढोकली रेसिपी</t>
  </si>
  <si>
    <t>1/2 कप बेसन, 1 चम्मच हरी मिर्च, 2 चम्मच कसूरी मेथी, 1/2 चम्मच हींग, 1 चुटकी हल्दी, 2 चम्मच कैस्टर शुगर, 7 नमक - स्वादानुसार, 1 चम्मच नींबू का रस, 1 चम्मच सूरजमुखी तेल, 2 चम्मच सूरजमुखी तेल, 2 चम्मच सरसों के बीज, 2 चम्मच तिल, अचार मसाला - मेथी अचार सांभर</t>
  </si>
  <si>
    <t>1/2 cup Gram flour (besan),1 teaspoon Green Chillies,2 teaspoons Kasuri Methi (Dried Fenugreek Leaves),1/2 teaspoon Asafoetida (hing),1 pinch Turmeric powder (Haldi),2 teaspoons Caster Sugar,7 Salt - to taste,1 teaspoon Lemon juice,1 teaspoon Sunflower Oil,2 teaspoons Sunflower Oil,2 teaspoons Mustard seeds,2 teaspoons Sesame seeds (Til seeds),Pickle masala - Methi Achar Sambhar</t>
  </si>
  <si>
    <t xml:space="preserve">To begin making Chiba Dhokli Recipe, sieve gram flour/besan first.In a saucepan, heat sufficient water till boiling.In a bowl, mix together gram flour, green chillies, kasuri methi, hing, haldi, salt, caster sugar, lemon juice and a bit of water to make a no-dropping batter of a thick consistency.Take a plate which has almost the same diameter as the saucepan with boiling water.Spread this batter into the plate with your hand and flatten using a brush.Place this plate upside down on the boiling saucepan, so that the chiba dhokli do not come in direct contact with water.After about 3-4 minutes in this set up, the dhokli will be done and steam-cooked.After it cools a bit, brush some cooking oil on the plate.Cut the steamed dhokli into even strips with a knife or back of a spoon and put on serving plate.For TemperingHeat a bit of oil in a tadka pan for tempering.Once the oil is hot, add mustard seeds and allow them to splutter.Soon after they splutter, add the sesame seeds and saute a bit and switch off.Pour this tempering on the chiba dhokli. Sprinkle methi pickle masala on the recipe and serve immediately.Serve Chiba Dhokli Recipe along with Cinnamon Spiced Black Lemon Tea Recipe and Gujarati Patra | Alu Vadi.
</t>
  </si>
  <si>
    <t>चिबा ढोकली रेसिपी बनाने के लिए सबसे पहले बेसन को छान लें। एक सॉस पैन में पानी उबाल आने तक गर्म करें। एक कटोरी में बेसन, हरी मिर्च, कसूरी मेथी, हिंग, हल्दी, नमक, कैस्टर शुगर, नींबू का रस और थोड़ा पानी मिलाकर गाढ़ा घोल बनाएं। एक प्लेट लें जिसका व्यास सॉस पैन के समान हो और उसमें उबलते पानी डालें। इस घोल को अपने हाथ से प्लेट में फैलाएं और ब्रश का उपयोग करके चपटा करें। इस प्लेट को उबलते सॉस पैन पर उल्टा रखें, ताकि चिबा ढोकली पानी के सीधे संपर्क में न आए। इस सेटअप में लगभग 3-4 मिनट के बाद ढोकली बनकर भाप से पक जाएगी। थोड़ा ठंडा होने के बाद प्लेट पर थोड़ा खाना पकाने का तेल लगाएं। उबली हुई ढोकली को चाकू या चम्मच के पिछले हिस्से से समान स्ट्रिप्स में काट लें सरसों के बीज डालें और उन्हें फूटने दें। उनके फूटने के तुरंत बाद, तिल डालें और थोड़ा सा भूनें और बंद कर दें। इस तड़के को चिबा ढोकली पर डालें। रेसिपी पर मेथी अचार मसाला छिड़कें और तुरंत परोसें। चिबा ढोकली रेसिपी को दालचीनी मसालेदार काली नींबू चाय रेसिपी और गुजराती पात्रा | आलू वडी के साथ परोसें।</t>
  </si>
  <si>
    <t>https://www.archanaskitchen.com/chiba-dhokli-recipe-gujarati-snack-with-besan</t>
  </si>
  <si>
    <t>Kela Methi Bhajiya Recipe</t>
  </si>
  <si>
    <t>केला मेथी भजिया रेसिपी</t>
  </si>
  <si>
    <t>3 पके केले - पूरी तरह से पके हुए, 1/2 कप मेथी के पत्ते (मेथी के पत्ते) - धोए और बारीक कटे हुए, 1/2 कप बेसन, 3 बड़े चम्मच गेहूं का आटा, खाना पकाने का सोडा - एक चुटकी, 1 चम्मच जीरा, 1 चम्मच लाल मिर्च पाउडर, 1/2 चम्मच काली मिर्च पाउडर, 1/4 चम्मच हल्दी पाउडर (हल्दी), हींग, नमक - स्वादानुसार, 1 बड़ा चम्मच चीनी, 1/4 कप पानी - घोल बनाने के लिए, सूरजमुखी का तेल - तलने के लिए</t>
  </si>
  <si>
    <t>3 Ripe Bananas - fully ripe,1/2 cup Methi Leaves (Fenugreek Leaves) - washed and finely chopped,1/2 cup Gram flour (besan),3 tablespoons Whole Wheat Flour,Cooking soda - a pinch,1 teaspoon Cumin seeds (Jeera),1 teaspoon Red Chilli powder,1/2 teaspoon Black pepper powder,1/4 teaspoon Turmeric powder (Haldi),Asafoetida (hing),Salt - as per taste,1 tablespoon Sugar,1/4 cup Water - for making the batter,Sunflower Oil - for frying</t>
  </si>
  <si>
    <t xml:space="preserve">To begin making Kela Methi Bhajiya Recipe, in a large mixing bowl, add besan flour, wheat flour, cooking soda, asafoetida, chilli powder, pepper powder, turmeric powder, cumin seeds, sugar and required amount of salt to it. Mix everything well.Add the ripe banana and methi leaves to it and mash the bananas with your hands or with the back of a wooden ladle. Now add water little by little and mix to make a smooth thick batter. Let the mixture rest for about an hour.In a heavy bottomed pan, heat oil on a medium flame. Mix the batter well again and drop small dollops of batter into oil. Keep flipping the fritters around in the oil and fry until it turns golden on all sides.Remove from oil and drain excess oil in kitchen tissues. If you do not want to deep fry, you can alternatively fry the batter in a paniyaram pan.Heat a paniyaram pan with a few drops of oil in each of the cavities, drop in the Banana Methi Fritters batter in the cavities, turn the flame to medium and close the lid. After 3 to 4 minutes, you will notice the top of the paniyarams getting cooked.At this point, turn over each paniyaram and allow it to cook the other side. This time around don't cover with a lid. Allow it to cook on medium low heat until the bottom is browned and crisp. Serve Banana Methi Fritters along with a cup of Tea and Dhaniya Pudina Chutney at your Tea time or give your kids as an after school snack.
</t>
  </si>
  <si>
    <t>केला मेथी भजिया रेसिपी बनाने के लिए सबसे पहले एक बड़े कटोरे में बेसन, गेहूं का आटा, खाने का सोडा, हींग, लाल मिर्च पाउडर, काली मिर्च पाउडर, हल्दी पाउडर, जीरा, चीनी और आवश्यकतानुसार नमक डालें। सारी चीजों को अच्छे से मिला लें। इसमें पका हुआ केला और मेथी के पत्ते डालें और केले को हाथों से या लकड़ी के करछुल के पिछले हिस्से से मसल लें। अब इसमें थोड़ा-थोड़ा करके पानी डालते हुए चिकना गाढ़ा घोल तैयार कर लें। मिश्रण को लगभग एक घंटे के लिए रख दें। एक भारी तले की कड़ाही में मध्यम आंच पर तेल गर्म करें। घोल को फिर से अच्छे से मिला लें और तेल में थोड़ा-थोड़ा घोल डालते जाएं। पकौड़ों को तेल में पलट-पलट कर चारों तरफ से सुनहरा होने तक तल लें। तेल से निकाल लें और अतिरिक्त तेल को किचन टिश्यू में निकाल लें। अगर आप डीप फ्राई नहीं करना चाहते हैं, तो आप वैकल्पिक रूप से बैटर को पनियारम पैन में फ्राई कर सकते हैं। एक पनियारम पैन को गर्म करें और प्रत्येक कैविटी में तेल की कुछ बूंदें डालें, केले के मेथी फ्रिटर्स बैटर को कैविटी में डालें, आंच को मध्यम कर दें और ढक्कन को बंद कर दें। 3 से 4 मिनट के बाद, आप देखेंगे कि पनियारम का ऊपरी हिस्सा पक रहा है। इस बिंदु पर, प्रत्येक पनियारम को पलट दें और इसे दूसरी तरफ पकने दें। इस बार ढक्कन से न ढकें। इसे मध्यम धीमी आंच पर तब तक पकने दें जब तक कि नीचे का हिस्सा भूरा और कुरकुरा न हो जाए। केले के मेथी फ्रिटर्स को एक कप चाय और धनिया पुदीना चटनी के साथ चाय के समय परोसें या अपने बच्चों को स्कूल के बाद नाश्ते के रूप में दें।</t>
  </si>
  <si>
    <t>https://www.archanaskitchen.com/kela-methi-bhajiya-recipe</t>
  </si>
  <si>
    <t>Gehun Ka Halwa Recipe – Wheat Pudding Recipe (Recipe In Hindi)</t>
  </si>
  <si>
    <t>गेहूं का हलवा रेसिपी - गेहूं का हलवा (रेसिपी इन हिंदी)</t>
  </si>
  <si>
    <t>1 कप आटे का आटा, 1 कप चीनी, 1 कप घी - 1 बड़ा चम्मच और, 3 कप पानी, 2 छोटे चम्मच इलाइची पाउडर - पीस ले, 1/4 कप काजू - आधा कर ले</t>
  </si>
  <si>
    <t>1 cup wheat flour, 1 cup sugar, 1 cup ghee - 1 tablespoon and, 3 cups water, 2 teaspoons of cardamom powder - grind it, 1/4 cup cashews - halved</t>
  </si>
  <si>
    <t>To make wheat halwa, first heat water and sugar in a sauce pan. Keep stirring till the sugar dissolves well. Lower the flame and let it cook for 2 more minutes. Heat ghee in a pan. Add wheat flour and fry on medium flame. Keep frying till it turns light brown. It will take 5 minutes. Keep stirring till the mixture becomes a little coarse. Now lower the flame and add cardamom powder to it. Slowly add sugar water to it. Keep stirring so that it does not form lumps. Cook for 10 to 15 minutes and then turn off the gas. Keep stirring for 5 minutes. Now heat ghee in a tadka pan. Add cashew nuts and let them cook till they turn golden. After they turn golden, turn off the gas and add it to the halwa. Mix and serve hot. Serve wheat halwa as dessert after dinner.</t>
  </si>
  <si>
    <t xml:space="preserve">आटे का हलवा बनाने के लिए सबसे पहले एक सॉसपैन में पानी और शार्क को गर्म कर लें. मिलते रहे जब तक की शक्ल अच्छी तरह से नज़र न आये। 2 मिनट तक धीमी गति से शुरू करें और मसाला दे दें। एक चटनी में घी गरम करें। इसमें आटे का आटा डाला गया और मद्धम आँच पर सेके। हलके भूरे होने तक सेकते रहे. यह 5 मिनट का अनुभव है।  मिलते रहे जब तक यह मिक्स लिटिल कोर्स न हो जाए। अब टच को धीमा करें और इसमें इलाइची पाउडर डाल दें। धीरे-धीरे शक्र का पानी इसमें डाला गया। क्लासिक डेट रहे ताकि इसमें गणित न पड़े. 10 से 15 मिनट तक पकाते रहे और उसके बाद गैस बंद कर दे। 5 मिनट तक धक् कर रख दे. अब एक तड़का पैन में घी गर्म करें। इसमें काजू ने अपने सोनार होने तक के बर्तन दे दिए। सुनहरा होने के बाद, गैस बंद करे और इसे हलवे में डाल दे। मिलाए और गरम गरम जोड़े। आटे के हलवे को चूहे के खाने के बाद मिठाई के लिए बेचें।
</t>
  </si>
  <si>
    <t>http://www.archanaskitchen.com/gehun-ka-halwa-recipe-in-hindi</t>
  </si>
  <si>
    <t>Gujarati Batata Pulao Recipe - Sweet And Spicy Pulao With Lentils And Potatoes</t>
  </si>
  <si>
    <t>गुजराती बटाटा पुलाव रेसिपी - दाल और आलू के साथ मीठा और मसालेदार पुलाव</t>
  </si>
  <si>
    <t>1 कप बासमती चावल, 1/2 कप पीली मूंग दाल, 2 आलू - छीलकर कटे हुए, 1 प्याज - पतले कटे हुए, 1/2 कप हरी मटर - उबले हुए, 1/4 कप ताजा नारियल - बारीक कटा हुआ, 1 चम्मच चीनी, 2 लौंग, 1 इंच दालचीनी, 1 तेज पत्ता, 3 इलायची, 1 चम्मच जीरा, 1/2 चम्मच हल्दी, 3 हरी मिर्च, 3 लहसुन के दाने, 1 इंच अदरक - कटा हुआ, 3 बड़े चम्मच घी, 1 चम्मच सूरजमुखी तेल, 2 बड़े चम्मच पुदीना - कटा हुआ, नमक - स्वादानुसार</t>
  </si>
  <si>
    <t>1 cup Basmati rice,1/2 cup Yellow Moong Dal (Split),2 Potatoes (Aloo) - peeled and diced,1 Onion - thinly sliced,1/2 cup Green peas (Matar) - steamed,1/4 cup Fresh coconut - finely diced,1 teaspoon Sugar,2 Cloves (Laung),1 inch Cinnamon Stick (Dalchini),1 Bay leaf (tej patta),3 Cardamom (Elaichi) Pods/Seeds,1 teaspoon Cumin seeds (Jeera),1/2 teaspoon Turmeric powder (Haldi),3 Green Chillies,3 cloves Garlic,1 inch Ginger - chopped,3 tablespoons Ghee,1 teaspoon Sunflower Oil,2 tablespoon Mint Leaves (Pudina) - chopped,Salt - to taste</t>
  </si>
  <si>
    <t xml:space="preserve">To begin making the Gujarati Batata Pulao Recipe, wash and soak rice and lentil in 3 cups of water for half an hour.Using the pestle and mortar, pound together the cinnamon, cloves and cardamom to a fine powder.Heat oil in a small pan; add the sliced onions and sauté until tender and caramelized and keep aside.Make a paste of the ginger, garlic and green chillies in a mixer grinder and keep aside.Heat ghee in a large soup pot or handi on medium heat; add the cumin seeds, ginger garlic paste, and sauté until the raw smell from the ginger garlic paste turns to a roasted aroma and changes color.Stir in the pounded spice powder, bay leaf, potatoes, turmeric powder, sugar, coconut, salt and sauté for a few seconds. Finally stir in the soaked rice and lentils along with the water.Allow the mixture to come to a boil and then turn the heat to low.Cover the pan and simmer for approximately 30 minutes until the rice has absorbed all the water and cooked to the desired texture.Once cooked, turn off the heat and allow the Batata Pulao Recipe to rest for 15 minutes. Stir in the caramelized onions, peas, chopped mint and serve warm. Serve the Gujarati Batata Pulao as it is or along with a Palak Raita for a quick and easy weeknight dinner. You can also serve it with Gujarati Kadhi and a roasted papad.
</t>
  </si>
  <si>
    <t>गुजराती बटाटा पुलाव रेसिपी बनाने के लिए सबसे पहले चावल और दाल को धोकर 3 कप पानी में आधे घंटे के लिए भिगो दें। मूसल और खरल का प्रयोग करते हुए दालचीनी, लौंग और इलायची को एक साथ पीसकर बारीक पाउडर बना लें। एक छोटे पैन में तेल गर्म करें, उसमें कटे हुए प्याज डालें और नरम और कैरामेलाइज़्ड होने तक भूनें और एक तरफ रख दें। एक मिक्सर ग्राइंडर में अदरक, लहसुन और हरी मिर्च का पेस्ट बनाकर एक तरफ रख दें। एक बड़े सूप पॉट या हांडी में मध्यम आंच पर घी गर्म करें, उसमें जीरा, अदरक लहसुन का पेस्ट डालें और तब तक भूनें जब तक कि अदरक लहसुन के पेस्ट की कच्ची महक भुनी हुई सुगंध में न बदल जाए और उसका रंग न बदल जाए। इसमें पीसा हुआ मसाला पाउडर, तेज पत्ता, आलू, हल्दी पाउडर, चीनी, नारियल, नमक डालें और कुछ सेकंड के लिए भूनें। आखिर में पानी के साथ भिगोए हुए चावल और दाल को मिलाएँ। मिश्रण को उबलने दें और फिर आँच को धीमा कर दें। पैन को ढक दें और लगभग 30 मिनट तक पकाएँ जब तक कि चावल सारा पानी सोख न ले और मनचाही बनावट तक पक न जाए। पकने के बाद, आँच बंद कर दें और बटाटा पुलाव रेसिपी को 15 मिनट के लिए आराम करने दें। इसमें कैरामेलाइज़्ड प्याज़, मटर, कटा हुआ पुदीना मिलाएँ और गरमागरम परोसें। गुजराती बटाटा पुलाव को ऐसे ही या पालक रायता के साथ परोसें, जो हफ़्ते के दिनों में बनने वाला एक आसान और झटपट बनने वाला डिनर है। आप इसे गुजराती कढ़ी और भुने हुए पापड़ के साथ भी परोस सकते हैं।</t>
  </si>
  <si>
    <t>http://www.archanaskitchen.com/gujarati-batata-pulao-recipe-sweet-and-spicy-pulav-made-with-lentils-and-potatoes</t>
  </si>
  <si>
    <t>Khatta Meetha Pudla Recipe - Gujarati Style Sweet &amp; Savory Pancake</t>
  </si>
  <si>
    <t>खट्टा मीठा पुडला रेसिपी - गुजराती शैली का मीठा और नमकीन पैनकेक</t>
  </si>
  <si>
    <t>1-1/2 कप बेसन, 1/2 कप टमाटर - बहुत बारीक कटा हुआ, 1 हरी मिर्च - बारीक कटी हुई, 1/4 चम्मच हल्दी पाउडर, 1/2 चम्मच लाल मिर्च पाउडर, 1 चुटकी हींग, 1/4 चम्मच आमचूर - (वैकल्पिक), नमक - स्वादानुसार, 1 कप पानी, सूरजमुखी तेल - खाना बनाते समय छिड़कने के लिए, 1 कप गुड़ - कद्दूकस किया हुआ, 1 कप गेहूं का आटा, 1/3 कप पानी - (समायोजित करें), सूरजमुखी तेल - छिड़कने के लिए, भुना हुआ टमाटर पास्ता सॉस - आवश्यकतानुसार, हरी चटनी (धनिया और पुदीना) - आवश्यकतानुसार, धनिया पत्ते - कुछ</t>
  </si>
  <si>
    <t>1-1/2 cup Gram flour (besan),1/2 cup Tomatoes - very finely chopped,1 Green Chilli - finely chopped,1/4 teaspoon Turmeric powder (Haldi),1/2 teaspoon Red Chilli powder,1 pinch Asafoetida (hing),1/4 teaspoon Amchur (Dry Mango Powder) - (optional),Salt - to taste,1 cup Water,Sunflower Oil - to drizzile while cooking,1 cup Jaggery - grated,1 cup Whole Wheat Flour,1/3 cup Water - (adjust),Sunflower Oil - to drizzle,Roasted tomato pasta sauce - as needed,Green Chutney (Coriander &amp; Mint) - as needed,Coriander (Dhania) Leaves - a few</t>
  </si>
  <si>
    <t xml:space="preserve">To begin making the Khatta Meetha Pudla Recipe, we will make Khatta pudla and meetha pudla separately to prepare Khatta Meetha Pudla RecipeTo Make Khatta Pudla:In a mixing bowl, combine the gram flour, tomatoes, green chillies, turmeric powder, red chilli powder, a pinch of asafetida, salt to taste, water  and mix it well and set aside for 10 mins.Heat a non-stick tawa on a medium flame and grease it lightly with oil.Pour 1/4th portion of the mixture on it and spread it evenly using a ladle to make a thin pancake.Sprinkle few chopped coriander leaves and cook on both the sides until it become golden brown. Repeat to prepare pudla from the rest of the batter.To make Meetha Pudla:In a mixing bowl, soak jaggery in water for few mins until it melts properly.Now add whole wheat flour and mix it well using whisk so no lumps arise.Heat non stick tawa and grease a oil on it on medium flame.Pour 1/4th portion of mixture using ladle and spread it evenly to make thin pancake.Cook on both the sides until it becomes golden brown. Repeat to use all the batter.Serving:Place one khatta pudla, apply some tomato ketchup and green chutney on it, sprinkle coriander leaves. On top, place meetha pudla and cut them into pieces or serve as whole.Serve Khatta Meetha Pudla Recipe as an evening snack with masala chai.
</t>
  </si>
  <si>
    <t>खट्टा मीठा पुडला रेसिपी बनाने के लिए सबसे पहले हम खट्टा पुडला और मीठा पुडला अलग-अलग बनाएंगे। खट्टा पुडला बनाने के लिए: एक मिक्सिंग बाउल में बेसन, टमाटर, हरी मिर्च, हल्दी पाउडर, लाल मिर्च पाउडर, एक चुटकी हींग, स्वादानुसार नमक, पानी डालकर अच्छी तरह मिला लें और 10 मिनट के लिए अलग रख दें। एक नॉन-स्टिक तवा को मध्यम आंच पर गर्म करें और उसे हल्का तेल लगाकर चिकना कर लें। इस पर मिश्रण का 1/4 भाग डालें और एक पतली पैनकेक बनाने के लिए करछुल का उपयोग करके इसे समान रूप से फैलाएं। कुछ कटा हुआ हरा धनिया छिड़कें और दोनों तरफ से सुनहरा भूरा होने तक पकाएं। बचे हुए बैटर से पुडला बनाने के लिए दोहराएं। मीठा पुडला बनाने के लिए: एक मिक्सिंग बाउल में गुड़ को कुछ मिनट के लिए पानी में भिगोएँ जब तक कि वह अच्छी तरह से पिघल न जाए। अब उसमें गेहूं का आटा डालें और अच्छी तरह से फेंट लें ताकि गांठ न पड़े। नॉन स्टिक तवा गरम करें और मध्यम आँच पर उस पर तेल लगाएँ। करछुल का उपयोग करके मिश्रण का 1/4 भाग डालें और इसे समान रूप से फैलाकर पतला पैनकेक बनाएँ। दोनों तरफ से सुनहरा भूरा होने तक पकाएँ। पूरे बैटर का उपयोग करने के लिए दोहराएं। परोसने के लिए: एक खट्टा पुडला रखें, उस पर थोड़ा टोमैटो केचप और हरी चटनी लगाएँ, धनिया पत्ती छिड़कें। ऊपर से मीठा पुडला रखें और उन्हें टुकड़ों में काट लें या पूरा परोसें। खट्टा मीठा पुडला रेसिपी को शाम के नाश्ते में मसाला चाय के साथ परोसें।</t>
  </si>
  <si>
    <t>http://www.archanaskitchen.com/khatta-meetha-pudla-recipe-gujarati-style-sweetish-savoury-pancake</t>
  </si>
  <si>
    <t>Fajeto Recipe - Gujarati Ripe Mango Curry Recipe</t>
  </si>
  <si>
    <t>फजेटो रेसिपी - गुजराती पके आम की करी रेसिपी</t>
  </si>
  <si>
    <t>1 कप पका हुआ आम - प्यूरी किया हुआ, 1 कप दही, 3 बड़े चम्मच बेसन, 1/2 छोटा चम्मच लाल मिर्च पाउडर, 1/2 छोटा चम्मच हल्दी, 2 छोटे चम्मच गुड़, 1/4 छोटा चम्मच हींग, नमक - स्वादानुसार, 1 बड़ा चम्मच घी, 1/2 छोटा चम्मच राई, 1/2 छोटा चम्मच जीरा, 1 इंच दालचीनी, 1 सूखी लाल मिर्च, 1 छोटा चम्मच अदरक - कद्दूकस किया हुआ (अगर अदरक न हो तो काट लें), 2 हरी मिर्च - चीरी हुई, 6 करी पत्ते - बारीक कटे हुए, 1 बड़ा चम्मच धनिया पत्ता - कटा हुआ</t>
  </si>
  <si>
    <t>1 cup Mango (Ripe) - pureed,1 cup Curd (Dahi / Yogurt),3 tablespoons Gram flour (besan),1/2 teaspoon Red Chilli powder,1/2 teaspoon Turmeric powder (Haldi),2 teaspoons Jaggery,1/4 teaspoon Asafoetida (hing),Salt - to taste,1 tablespoon Ghee,1/2 teaspoon Mustard seeds,1/2 teaspoon Cumin seeds (Jeera),1 inch Cinnamon Stick (Dalchini),1 Dry Red Chilli,1 teaspoon Ginger - grated (omit ginger if jain),2 Green Chilli - slit,6 Curry leaves - finely chopped,1 tablespoon Coriander (Dhania) Leaves - chopped</t>
  </si>
  <si>
    <t xml:space="preserve">To begin making the Gujarati Fajeto (Mango Kadhi) recipe, into a saucepan combine all the main ingredients along with 2 cups of water and whisk them together until well combined. Bring the mixture to come to a boil whisking occasionally. Once the mixture begins to boil, turn the heat to low and simmer for 10 minutes. To make the seasoning for the Fajeto Mango Kadhi; Heat ghee in a large saucepan on medium heat; add mustard seeds and cumin seeds allow them to crackle.Add the cinnamon, dry red chilli, curry leaves, ginger and green chillies and stir for a few seconds. Check the salt and spice levels and adjust to suit your taste.Pour the seasoning over the simmering Fajeto Kadhi. Turn off the heat and garnish the Kadhi with chopped coriander leaves.Serve the Fajeto (Gujarati Mango Kadhi) along with Phulka's, Stuffed Bhindi and Steamed Rice for a weekend lunch
</t>
  </si>
  <si>
    <t>गुजराती फजेटो (मैंगो कढ़ी) रेसिपी बनाने के लिए, एक सॉस पैन में सभी मुख्य सामग्री को 2 कप पानी के साथ मिलाएं और अच्छी तरह से मिलने तक एक साथ फेंटें। मिश्रण को उबाल आने दें और बीच-बीच में चलाते रहें। जब मिश्रण उबलने लगे, तो आँच धीमी कर दें और 10 मिनट तक उबालें। फजेटो मैंगो कढ़ी के लिए मसाला बनाने के लिए; मध्यम आँच पर एक बड़े सॉस पैन में घी गर्म करें; राई और जीरा डालें और उन्हें चटकने दें। दालचीनी, सूखी लाल मिर्च, करी पत्ता, अदरक और हरी मिर्च डालें और कुछ सेकंड के लिए हिलाएँ। नमक और मसाले के स्तर की जाँच करें और अपने स्वाद के अनुसार समायोजित करें। उबलती हुई फजेटो कढ़ी पर मसाला डालें। आँच बंद करें और कढ़ी को कटी हुई धनिया पत्ती से सजाएँ। वीकेंड लंच के लिए फुल्का, भरवां भिंडी और स्टीम्ड राइस के साथ फजेटो (गुजराती मैंगो कढ़ी) परोसें।</t>
  </si>
  <si>
    <t>https://www.archanaskitchen.com/fajeto-gujarati-mango-kadhi-recipe</t>
  </si>
  <si>
    <t>Semolina Gujiya Recipe</t>
  </si>
  <si>
    <t>सूजी गुजिया रेसिपी</t>
  </si>
  <si>
    <t>1-1/2 कप मैदा, 3 बड़े चम्मच घी, 1/2 कप दूध, 1/2 कप सूजी (सूजी/रवा), 1/2 कप ताजा नारियल - कसा हुआ, 1 कप चीनी - बारीक, 2 बड़े चम्मच खसखस, 1 बड़ा चम्मच इलायची पाउडर, 1/2 बड़ा चम्मच जायफल पाउडर, 1/4 कप किशमिश - कटा हुआ, 1/4 कप बादाम (बादाम) - कटा हुआ, घी - के लिए तलना</t>
  </si>
  <si>
    <t>1-1/2 cup All Purpose Flour (Maida),3 tablespoons Ghee,1/2 cup Milk,1/2 cup Onions (Semolina/ Rava),1/2 cup Fresh coconut - grated,1 cup Sugar - fine,2 tablespoons Coconut,1 tablespoon Cardamom Powder (Elaichi),1/2 tablespoon Nutmeg powder,1/4 cup Raisins - chopped,1/4 cup Almonds - chopped,Ghee - for frying</t>
  </si>
  <si>
    <t xml:space="preserve">To begin with Semolina Gujiya, heat heavy bottomed pan with 1 tablespoon of ghee and add Sooji. Saute the Sooji/semolina till it turns golden or light brown in colour. Once the colour is changed, add in the grated coconut. Once the sooji is cooked, remove it from the heat and transfer it in a bowl. Add sugar, cardamom powder, nutmeg powder, khus khus and dry fruits. Mix everything properly and allow it to cool for a few minutes.The next step is to make dough for the gujiyas.In a bowl add the maida along with salt and  2 tablespoons of ghee Add the cold milk little by little to make a firm ball of dough.  Divide the dough into equal portion, dust in flour and roll them out into 2 inch diameter flattened rotis. Place them in a Gujiya mould or Calzone maker and place a portion of the stuffing in the hollow part.Apply a little milk on the edges, close the mould and press firmly.Deep fry in the ghee or cooking oil, to your liking and place it on an absorbent tissue paper. Once done, it is ready to be served. Serve Semolina Gujiya as a sweet dish along with your festive meal - 4 - Course Diwali Party Menu To Celebrate the Festive Season.
</t>
  </si>
  <si>
    <t>सूजी की गुजिया बनाने के लिए सबसे पहले एक भारी तले वाले पैन में 1 बड़ा चम्मच घी गर्म करें और उसमें सूजी डालें। सूजी को सुनहरा या हल्का भूरा होने तक भूनें। रंग बदलने के बाद इसमें कसा हुआ नारियल डालें। सूजी पक जाने पर इसे आंच से उतार लें और एक प्याले में निकाल लें। इसमें चीनी, इलायची पाउडर, जायफल पाउडर, खसखस ​​और ड्राई फ्रूट्स डालें। सभी चीजों को अच्छी तरह मिलाएं और कुछ मिनट के लिए ठंडा होने दें। अगला स्टेप है गुजिया के लिए आटा गूंथना। एक प्याले में मैदा, नमक और 2 बड़े चम्मच घी डालें और इसमें थोड़ा-थोड़ा करके ठंडा दूध डालकर सख्त आटा गूंथ लें। आटे को बराबर भागों में बांट लें, उस पर आटा छिड़कें और 2 इंच व्यास की चपटी रोटियां बेल लें। इन्हें गुजिया मोल्ड या कैलज़ोन मेकर में रखें और स्टफ़िंग का एक हिस्सा खोखले हिस्से में रखें। किनारों पर थोड़ा दूध लगाएँ, मोल्ड को बंद करें और मजबूती से दबाएँ। अपनी पसंद के अनुसार घी या खाना पकाने के तेल में डीप फ्राई करें और इसे सोखने वाले टिशू पेपर पर रखें। एक बार हो जाने पर, यह परोसने के लिए तैयार है। सूजी की गुजिया को अपने त्यौहार के खाने के साथ एक मीठे व्यंजन के रूप में परोसें - 4 - त्यौहारी सीज़न का जश्न मनाने के लिए कोर्स दिवाली पार्टी मेनू।</t>
  </si>
  <si>
    <t>https://www.archanaskitchen.com/semolina-gujiya-recipe</t>
  </si>
  <si>
    <t>Achari Masala Recipe For Fresh Pickles</t>
  </si>
  <si>
    <t>अचारी मसाला रेसिपी - ताजा अचार के लिए अचारी मसाला रेसिपी</t>
  </si>
  <si>
    <t>1 बड़ा चम्मच हल्दी पाउडर, 1/2 कप राइन - स्प्लिट, 1/4 कप मेथी के दाने - स्प्लिट, 1 छोटा चम्मच हल्दी पाउडर, 1/2 छोटा चम्मच हल्दी पाउडर, नमक - स्वाद</t>
  </si>
  <si>
    <t>1 tablespoon red chili powder, 1/2 cup mustard seeds - split, 1/4 cup fenugreek seeds - split, 1 teaspoon turmeric powder, 1/2 teaspoon asafoetida, salt - according to taste</t>
  </si>
  <si>
    <t>To make Achari Masala recipe, first of all, put red chili powder, mustard seeds, fenugreek seeds, turmeric powder, asafoetida, salt in a mixing bowl and mix everything well. Put this masala in an air tight container and store it in the freezer. Use it whenever you want to make pickle.</t>
  </si>
  <si>
    <t xml:space="preserve">अचारी मसाला रेसिपी बनाने के लिए सबसे पहले एक मिक्सिंग बाउल में लाल मिर्च पाउडर, राइज, मेथी के दाने, हल्दी पाउडर, हींग, नमक डाला और अच्छे से मिला लिया। इस एरियल को एक एयर टाइट को सूचीबद्ध किया गया और रेफ्रिजरेटर में स्टोर किया गया। जब भी आपको आचार्य बनाना हो तो इसका प्रयोग करें। 
</t>
  </si>
  <si>
    <t>http://www.archanaskitchen.com/achari-masala-recipe-for-fresh-pickles-sambharo-masala-in-hindi</t>
  </si>
  <si>
    <t>Gujarati Biraj Recipe - Saffron Flavored Sweet Lentil Rice With Dry Fruits &amp; Coconut</t>
  </si>
  <si>
    <t>गुजराती बिरज रेसिपी - केसर के स्वाद वाले मीठे दाल चावल, सूखे मेवे और नारियल के साथ</t>
  </si>
  <si>
    <t>1 कप बासमती चावल, 1/2 कप चना दाल, 1/4 कप ताजा नारियल - कसा हुआ, 1 कप चीनी, 1 चम्मच इलायची पाउडर (इलायची) - ताजा कुटी हुई, 3 केसर, 2 बड़े चम्मच बादाम - पतले कटे हुए, 2 बड़े चम्मच पिस्ता - पतले कटे हुए, 2 बड़े चम्मच काजू - पतले कटे हुए, 2 बड़े चम्मच किशमिश, 4 बड़े चम्मच घी</t>
  </si>
  <si>
    <t>1 cup Basmati rice,1/2 cup Chana dal (Bengal Gram Dal),1/4 cup Fresh coconut - grated,1 cup Sugar,1 teaspoon Cardamom Powder (Elaichi) - freshly pounded,3 Saffron strands,2 tablespoons Badam (Almond) - thinly sliced,2 tablespoons Pistachios - thinly sliced,2 tablespoons Cashew nuts - thinly sliced,2 tablespoons Raisins,4 tablespoons Ghee</t>
  </si>
  <si>
    <t xml:space="preserve">To begin making the Gujarati Biraj Recipe, wash and soak the rice and dal in 3 cups of water for an hour.Heat 1 tablespoon of ghee in a small pan on medium heat; add the nuts and sauté them until well roasted. Keep aside.Heat 3 tablespoons ghee on medium heat; add the soaked rice and chana dal along with the water it was soaked in, cardamom powder, saffron and sugar. Stir well, until the sugar is dissolved.Turn the heat to low, cover the pan and simmer until the rice and gram dal is cooked and the water is fully absorbed.  Once the water is fully absorbed and the rice and chana dal are cooked turn off the heat.Allow the Biraj to rest for 15 minutes. Finally stir in the freshly grated coconut, roasted nuts and raisins. Serve the Gujarati Biraj along with hot Gujarati Kadhi and Desi Kala Chana Curry.
</t>
  </si>
  <si>
    <t>गुजराती बिरज रेसिपी बनाने के लिए सबसे पहले चावल और दाल को धोकर 3 कप पानी में एक घंटे के लिए भिगो दें। मध्यम आंच पर एक छोटे पैन में 1 बड़ा चम्मच घी गर्म करें, उसमें मेवे डालें और अच्छी तरह भुनने तक भूनें। एक तरफ रख दें। मध्यम आंच पर 3 बड़े चम्मच घी गर्म करें, इसमें भिगोए हुए चावल और चना दाल के साथ पानी, इलायची पाउडर, केसर और चीनी डालें। अच्छी तरह हिलाएं, जब तक कि चीनी घुल न जाए। आंच धीमी कर दें, पैन को ढक दें और तब तक पकाएं, जब तक कि चावल और चना दाल पक न जाए और पानी पूरी तरह सोख न ले। जब पानी पूरी तरह सोख जाए और चावल और चना दाल पक जाएं, तो आंच बंद कर दें। बिरज को 15 मिनट के लिए रख दें। अंत में ताजा कसा हुआ नारियल, भुने हुए मेवे और किशमिश डालकर हिलाएं। गुजराती बिरज को गरमागरम गुजराती कढ़ी और देसी काला चना करी के साथ परोसें।</t>
  </si>
  <si>
    <t>http://www.archanaskitchen.com/gujarati-biraj-recipe-saffron-flavored-sweet-lentil-rice-with-dry-fruits-and-coconut</t>
  </si>
  <si>
    <t>Instant Sooji Oats Dhokla Recipe - Steamed Semolina &amp; Oats Dhokla</t>
  </si>
  <si>
    <t>झटपट सूजी ओट्स ढोकला रेसिपी - उबली हुई सूजी और ओट्स ढोकला</t>
  </si>
  <si>
    <t>1 कप सूजी - भुना हुआ, 1/2 कप इंस्टेंट ओट्स (दलिया), 1/2 कप दही, 1 छोटा चम्मच इनोस फ्रूट साल्ट, नमक - स्वादानुसार, लाल मिर्च पाउडर - छिड़कने के लिए, 1 बड़ा चम्मच सूरजमुखी तेल - चिकना करने के लिए अतिरिक्त तेल, 1/2 छोटा चम्मच सरसों के बीज, 1 छोटा चम्मच तिल के बीज, 1/4 छोटा चम्मच एसएसपी हींग, 2 हरी मिर्च - कटी हुई, 5 करी पत्ते, ताजा नारियल - कसा हुआ, धनिया पत्ते - कुछ</t>
  </si>
  <si>
    <t>1 cup Sooji (Semolina/ Rava) - roasted,1/2 cup Instant Oats (Oatmeal),1/2 cup Curd (Dahi / Yogurt),1 teaspoons Enos fruit salt,Salt - to taste,Red Chilli powder - for sprinkling,1 tablespoons Sunflower Oil - plus extra oil for greasing,1/2 teaspoon Mustard seeds,1 teaspoon Sesame seeds (Til seeds),1/4 teaspoon SSP Asafoetida (Hing),2 Green Chillies - slit,5 Curry leaves,Fresh coconut - grated,Coriander (Dhania) Leaves - a few</t>
  </si>
  <si>
    <t xml:space="preserve">To begin making the Instant Sooji Oats Dhokla Recipe, add the roasted sooji, instant oats, yogurt, salt to taste in a bowl. Add little water at a time and stir to make a thick batter.Allow the batter to rest for 5 minutes and add enos salt. Stir well to combine.Prepare the steamer by pouring water and preheating it on medium heat. Grease the dhokla pans with a little oil.Pour the dhokla batter into the greased dhokla plates. Sprinkle some chilli powder over the dhokla and place in dhokla steamer.Cover the steamer and let it steam for about 10-15 minutes until a tester, like a butter knife, when inserted comes out clean. Once done turn off the heat. Remove the stand from the steamer and allow it to rest for a couple of minutes.Cut the Sooji Oats Dhokla  into squares or diamonds and arrange them on a serving platter and keep aside.Into a preheated pan add oil. Once the oil is hot add the mustard seeds, sesame seeds and asafoetida. Allow the seeds to crackle.Once done add the green chillies, curry leaves. Stir for a few seconds and turn off the heat. Spread the seasoning over the Sooji Oats Dhokla. Garnish with a few chopped coriander leaves and grated coconut and serve. Serve this Instant Sooji Oats Dhokla Recipe - Steamed Semolina &amp; Oats Dhokla with Green Chutney and Masala Chai for breakfast or a tea time snack.
</t>
  </si>
  <si>
    <t>इंस्टेंट सूजी ओट्स ढोकला रेसिपी बनाने के लिए एक कटोरे में भूनी हुई सूजी, इंस्टेंट ओट्स, दही, स्वादानुसार नमक डालें। थोड़ा-थोड़ा पानी डालें और गाढ़ा घोल बनाने के लिए चलाएँ। घोल को 5 मिनट तक ठंडा होने दें और इसमें इनोस साल्ट मिला दें। अच्छी तरह मिलाने के लिए हिलाएँ। पानी डालकर स्टीमर तैयार करें और इसे मध्यम आँच पर पहले से गरम कर लें। ढोकला पैन को थोड़े से तेल से चिकना करें। ढोकला के घोल को चिकनी की हुई ढोकला प्लेट में डालें। ढोकला के ऊपर थोड़ा मिर्च पाउडर छिड़कें और ढोकला स्टीमर में रखें। स्टीमर को ढक दें और इसे लगभग 10-15 मिनट तक भाप में पकने दें, जब तक कि बटर नाइफ जैसा कोई टेस्टर डालने पर साफ़ बाहर न आ जाए स्टैंड को स्टीमर से हटा दें और इसे कुछ मिनटों के लिए आराम दें। सूजी ओट्स ढोकला को चौकोर या हीरे के आकार में काटें और उन्हें एक सर्विंग प्लेट पर व्यवस्थित करें और एक तरफ रख दें। पहले से गरम किए हुए पैन में तेल डालें। तेल गर्म हो जाने पर सरसों के बीज, तिल और हींग डालें। बीजों को चटकने दें। एक बार हो जाने पर हरी मिर्च, करी पत्ता डालें। कुछ सेकंड के लिए हिलाएं और गर्मी बंद कर दें। सूजी ओट्स ढोकला के ऊपर मसाला फैलाएं। कुछ कटा हरा धनिया और कसा हुआ नारियल से गार्निश करें और परोसें। इस इंस्टेंट सूजी ओट्स ढोकला रेसिपी - स्टीम्ड सूजी और ओट्स ढोकला को हरी चटनी और मसाला चाय के साथ नाश्ते या चाय के समय के नाश्ते के लिए परोसें।</t>
  </si>
  <si>
    <t>http://www.archanaskitchen.com/oats-rava-dhokla-recipe-steamed-semolina-oat-cake</t>
  </si>
  <si>
    <t>Gujarati Sev Tameta Nu Shaak | Sev Tamatar Ki Sabzi Recipe</t>
  </si>
  <si>
    <t>गुजराती सेव तमेता नु शाक | सेव टमाटर की सब्जी रेसिपी</t>
  </si>
  <si>
    <t>6 टमाटर - आधे कटे हुए, 1 बड़ा चम्मच घी, 1/2 छोटा चम्मच राई, 1/2 छोटा चम्मच जीरा, 1 टहनी करी पत्ता - बारीक कटा हुआ, 2 हरी मिर्च - कटी हुई, 1 इंच अदरक - बारीक कटा हुआ, 1/2 छोटा चम्मच हल्दी पाउडर, 1/2 छोटा चम्मच लाल मिर्च पाउडर, 1 बड़ा चम्मच गुड़, 1/2 कप सेव, नमक - स्वादानुसार</t>
  </si>
  <si>
    <t>6 Tomatoes - halved,1 tablespoon Ghee,1/2 teaspoon Mustard seeds,1/2 teaspoon Cumin seeds (Jeera),1 sprig Curry leaves - finely chopped,2 Green Chilli - slit,1 inch Ginger - finely chopped,1/2 teaspoon Turmeric powder (Haldi),1/2 teaspoon Red Chilli powder,1 tablespoon Jaggery,1/2 cup Sev,Salt - to taste</t>
  </si>
  <si>
    <t xml:space="preserve">To begin making the Sev Tamatar Ki Sabzi Recipe / Sev Tameta Nu Shaak, prepare all the ingredients and keep ready.Place the tomatoes in the pressure cooker along with 2 tablespoons of water and pressure cook for 2 whistles and turn off the heat. Allow the pressure to release naturally.Once the pressure releases, transfer to a wide plate and allow the tomatoes to cool. Peel the skin off the tomatoes and finely chop them and keep aside.Heat oil in a saucepan on medium heat; add the mustard seeds, cumin seeds, curry leaves, green chillies and ginger and allow them to crackle and saute for a few seconds.Add cooked tomatoes, turmeric powder, red chilli powder, jaggery and salt. Sauté until all the ingredients are well combined.Give the Sev Tameta nu shaak a brisk boil for 3 to 4 minutes. Once done, add half of the sev, along with 1/4 cup of water and bring it to a boil and turn off the heat.Check the taste of the Sev Tameta Nu Shaak and adjust the salt and spices accordingly.Once done, stir in the chopped coriander leaves and serve hot.Serve the delicious Jain Style Sev Tameta Nu Shaak along with freshly made Gujarati Thepla for lunch or dinner.
</t>
  </si>
  <si>
    <t>सेव टमाटर की सब्जी रेसिपी / सेव तमेता नू शाक बनाने के लिए सबसे पहले सारी सामग्री तैयार कर लें और तैयार रख लें। टमाटर को प्रेशर कुकर में 2 बड़े चम्मच पानी के साथ डालें और 2 सीटी आने तक पका लें और आंच बंद कर दें। प्रेशर को अपने आप निकलने दें। प्रेशर निकल जाने पर इसे एक चौड़ी प्लेट में निकाल लें और टमाटर को ठंडा होने दें। टमाटर का छिलका उतार लें और उन्हें बारीक काट कर एक तरफ रख दें। एक सॉस पैन में मध्यम आंच पर तेल गर्म करें, उसमें राई, जीरा, करी पत्ता, हरी मिर्च और अदरक डालें और उन्हें चटकने दें और कुछ सेकंड के लिए भूनें। पके हुए टमाटर, हल्दी पाउडर, लाल मिर्च पाउडर, गुड़ और नमक डालें। सभी सामग्री के अच्छी तरह मिल जाने तक भूनें। सेव तमेता नू शाक को 3 से 4 मिनट तक उबालें। एक बार हो जाने पर, आधे सेव और 1/4 कप पानी डालकर उबाल लें और आँच बंद कर दें। सेव तमेता नू शाक का स्वाद जाँचें और नमक और मसाले को उसी के अनुसार समायोजित करें। एक बार हो जाने पर, कटा हुआ धनिया पत्ता मिलाएँ और गरमागरम परोसें। स्वादिष्ट जैन स्टाइल सेव तमेता नू शाक को ताज़े बने गुजराती थेपले के साथ दोपहर या रात के खाने में परोसें।</t>
  </si>
  <si>
    <t>http://www.archanaskitchen.com/rajasthani-sev-tamatar-ki-sabzi-recipe</t>
  </si>
  <si>
    <t>Gujarati Dal Recipe – Gujarati Dal (Recipe In Hindi)</t>
  </si>
  <si>
    <t>गुजराती दाल रेसिपी - गुजराती दाल (रेसिपी इन हिंदी)</t>
  </si>
  <si>
    <t>1/2 कप ​ तुअर दाल, 1/2 छोटा चम्मच दालचीनी, 1/2 छोटा चमचम ​ जीरा, 4 करी पत्ते - छोटा चम्मच, 1 छोटा चमचम ​ - कसा हुआ, 1 टमाटर - काट ले, 2 कोकम - या 1 निम्बू का रस, 1 इंच चम्मच, 1/4 छोटा चम्मच हींग, 1/2 छोटा चमचम हल्दी पाउडर -, 1/2 छोटा चमचम ​ लाल मिर्च पाउडर, 1 बड़ा चमचम ​ - कसा हुआ, 1 टमाटर - काट ले, 2 कोकम - या 1 निम्बू का रस, 1 इंच चम्मच, 1/4 छोटा चम्मच हल्दी पाउडर -, 1/2 छोटा चमचम ​ लाल मिर्च पाउडर, 1 बड़ा चमचम ​, 2 बड़ा चमचम ​, 1 बड़ा चमचम तेल, हरा धनियां - मीठा कटा हुआ,नमक - स्वाद के अनुसार</t>
  </si>
  <si>
    <t>1/2 cup tur dal, 1/2 teaspoon mustard, 1/2 teaspoon cumin seeds, 4 curry leaves - finely chopped, 1 teaspoon ginger - grated, 1 tomato - chopped, 2 kokum - or 1 lemon Juice, 1 inch cinnamon, 1/4 teaspoon asafoetida, 1/2 teaspoon turmeric powder -, 1/2 teaspoon red chili powder, 1 tablespoon peanuts, 2 tablespoons jaggery, 1 tablespoon oil, green coriander - finely Chopped, salt - as per taste</t>
  </si>
  <si>
    <t>To make Gujarati Daal, first cook Tuvar Daal in 2 cups of water till it becomes soft. Watch this video to know how to cook Daal in pressure cooker. After cooking, mix Daal well and make sure that it does not form lumps and it becomes soft. Now heat oil in a pan on low flame and add mustard seeds, cumin seeds, curry leaves, ginger, cinnamon and let it cook. Now add tomatoes, turmeric powder, asafoetida, red chili powder and fry the spices on low flame. When tomatoes become soft, cook it well and add mixed Daal, salt, jaggery, peanuts and 1 cup water and cook till it boils. After Daal comes to a boil, boil it on low flame for 5 to 10 minutes and turn off the gas and garnish with finely chopped coriander leaves. Serve Gujarati Daal with Stuffed Bhindi and Roti. Keep in mind: do not make Daal too thick and add water as per requirement.</t>
  </si>
  <si>
    <t xml:space="preserve">गुजराती दाल बनाने के लिए सबसे पहले तुवर दाल को 2 पानी कप में पतला होने तक पकाए। दाल को कुकर में पकाने की विधि के लिए यह वीडियो देखें. पाक जाने पर दाल को अच्छे से मिलाए और ध्यान रखें कि दाल में पेट न पड़े और दाल नरम हो।    अब तेल को प्रोटोटाइप में मध्यम आंच पर गर्म करे और उसमें राइ, जीरा, कढ़ी पत्ता, अदरक, पियानो को दाल कर मसाला दे।  अब टमाटर, हल्दी पाउडर, हींग, लाल मिर्च पाउडर डाला जाता है और थोड़ा-थोड़ा मिलाकर इस्तेमाल किया जाता है। जब टमाटर नरम हो जाए तो अच्छे से पका कर मिलाई हुई दाल, नमक, गुड़, मूंगफली और 1 कप पानी दाल कर मसाले तक पकाये। दाल में आटा आने के बाद उसे 5 से 10 मिनट तक मसाले और गैस बंद करके कटे हुए धनिये से गार्निश करें। गुजराती दाल को भरवा भिंडी और रोटी के साथ पकाए ध्यान रखें: दाल को बहुत न गाड़ी बनाएं और जगह पर पानी डालें। 
</t>
  </si>
  <si>
    <t>http://www.archanaskitchen.com/gujarati-dal-recipe-in-hindi</t>
  </si>
  <si>
    <t>Roasted Pumpkin Rava Dhokla Recipe - Sooji Dhokla</t>
  </si>
  <si>
    <t>भुना हुआ कद्दू रवा ढोकला रेसिपी - सूजी ढोकला</t>
  </si>
  <si>
    <t>1 कप कद्दू - छिला और कटा हुआ, 1 चम्मच सूरजमुखी तेल, 1 कप सूजी, 1/4 कप दही, नमक - स्वादानुसार, 1 चम्मच हरी मिर्च - पेस्ट बना लें, 1 चम्मच इनोस फ्रूट सॉल्ट, 1 बड़ा चम्मच सूरजमुखी तेल, 1/2 चम्मच सरसों के बीज, 1/2 चम्मच जीरा, 1 चुटकी हींग, 1/2 चम्मच तिल, 1 टहनी करी पत्ता, धनिया पत्ता - सजाने के लिए</t>
  </si>
  <si>
    <t>1 cup Kaddu (Parangikai/ Pumpkin) - peeled and diced,1 teaspoon Sunflower Oil,1 cup Sooji (Semolina/ Rava),1/4 cup Curd (Dahi / Yogurt),Salt - to taste,1 teaspoon Green Chilli - made into paste using pestle and motor,1 teaspoon Enos fruit salt,1 tablespoon Sunflower Oil,1/2 teaspoon Mustard seeds,1/2 teaspoon Cumin seeds (Jeera),1 pinch Asafoetida (hing),1/2 teaspoon Sesame seeds (Til seeds),1 sprig Curry leaves,Coriander (Dhania) Leaves - to garnish</t>
  </si>
  <si>
    <t xml:space="preserve">To begin making the Roasted Pumpkin Rava Dhokla Recipe, heat a skillet with with oil on medium heat. Once the oil is hot, add in the pumpkin, sprinkle a little salt and roast for 4-5 minutes until it becomes soft and tender. Do not add any water while roasting the pumpkin. Cover the pan and allow the pumpkin to cook in it's own steam.Once done turn off the heat, and allow the pumpkin to cool. Once the pumpkin has cooled, transfer the pumpkin to a mixer jar and grind to a smooth paste. Transfer the pumpkin puree to a mixing bowl. In the bowl with with the pumpkin puree add and combine the rava, curd, cooking oil, salt and  green chilliMix vigorously and allow it to rest for a good 30 minutes. After the 30 minutes you will see the sooji has fluffed up well. Preheat the steamer with water and keep it ready.Grease a plate generously with oil. Add eno's fruit salt and give it a good mix. Pour the Roasted Pumpkin Rava Dhokla batter into the plate mouldNow place the plate in the steamer, cover and steam for 10-12 minutes until firm. Open the lid, insert a greased knife to check if its done. If the greased knife comes out clean the dhokla is steamed. Demould and transfer Roasted Pumpkin Rava Dhokla to a serving plate. To make the tadkaIn a tadka pan, heat oil on medium heat, add the mustard seeds and allow them to crackle, next add the asafoetida, cumin seeds, sesame seeds, and curry leaves. Once the curry leaves crackle, turn off the heat. Pour this tadka over the Roasted Pumpkin Rava dhokla, garnish with coriander leaves and serve. Serve Roasted Pumpkin Rava Dhokla Recipe for breakfast along with Green Chutney Recipe - Coriander Mint Chutney Recipe and Masala Chai Recipe - Indian Spiced Tea.
</t>
  </si>
  <si>
    <t>भुने कद्दू रवा ढोकला रेसिपी बनाने के लिए सबसे पहले एक कड़ाही में मध्यम आंच पर तेल गर्म करें। तेल गर्म हो जाए तो उसमें कद्दू डालें, थोड़ा नमक छिड़कें और 4-5 मिनट तक भूनें जब तक कि वह नरम और कोमल न हो जाए। कद्दू भूनते समय उसमें पानी न डालें। पैन को ढक दें और कद्दू को अपनी भाप में पकने दें। हो जाने पर आंच बंद कर दें और कद्दू को ठंडा होने दें। कद्दू के ठंडा होने के बाद उसे मिक्सर जार में डालें और मुलायम पेस्ट होने तक पीस लें। कद्दू की प्यूरी को मिक्सिंग बाउल में डालें। कद्दू की प्यूरी वाले बाउल में रवा, दही, कुकिंग ऑयल, नमक और हरी मिर्च डालकर अच्छी तरह मिलाएं और 30 मिनट के लिए रख दें। भुने हुए कद्दू रवा ढोकला के घोल को प्लेट के सांचे में डालें, अब प्लेट को स्टीमर में रखें, ढक दें और 10-12 मिनट तक जमने तक भाप में पकाएँ। ढक्कन खोलें, एक चिकना किया हुआ चाकू डालकर जाँच करें कि यह पक गया है या नहीं। अगर चिकना किया हुआ चाकू साफ बाहर आता है तो ढोकला भाप में पक गया है। सांचे से निकालें और भुने हुए कद्दू रवा ढोकला को एक सर्विंग प्लेट में निकाल लें। तड़का लगाने के लिए एक तड़का पैन में मध्यम आँच पर तेल गर्म करें, उसमें राई डालें और उन्हें चटकने दें, इसके बाद हींग, जीरा, तिल और करी पत्ता डालें। जब करी पत्ता चटकने लगे तो आँच बंद कर दें। इस तड़के को भुने हुए कद्दू रवा ढोकला के ऊपर डालें, धनिया पत्ती से गार्निश करें और परोसें</t>
  </si>
  <si>
    <t>https://www.archanaskitchen.com/roasted-pumpkin-rava-dhokla-recipe-sooji-dhokla</t>
  </si>
  <si>
    <t>Raw Paprika No Sambharo Recipe</t>
  </si>
  <si>
    <t>कच्चा पपीता नो सांभरो रेसिपी</t>
  </si>
  <si>
    <t>1 चम्मच सूरजमुखी तेल, 1 चम्मच सरसों के बीज, 1 चम्मच जीरा, 1/4 चम्मच हींग, 1 चम्मच हल्दी पाउडर, 2 हरी मिर्च - कटी हुई, 250 ग्राम कच्चा पपीता - कसा हुआ, नमक - स्वादानुसार</t>
  </si>
  <si>
    <t>1 teaspoon Sunflower Oil,1 teaspoon Mustard seeds,1 teaspoon Cumin seeds (Jeera),1/4 teaspoon Asafoetida (hing),1 teaspoon Turmeric powder (Haldi),2 Green Chillies - slit,250 gram Raw papaya - grated,Salt - to taste</t>
  </si>
  <si>
    <t xml:space="preserve">To begin making the Papitha No Sambharo, first prep all the ingredients and keep them ready. Grate the papaya and keep it aside.Heal oil in a pan over medium heat; add the mustard seeds and cumin seeds. Allow them to crackle. Add the hing, green chillies, turmeric powder and the raw grated papaya along with salt.Stir fry until the papaya softens just a bit. Once done, turn off the heat and transfer the papitha nu sambharo to a bowl and serve.Serve Raw Papitha No Sambharo along with Khaman Dhokla, Fafda, and Green Chutney for a high protein breakfast.
</t>
  </si>
  <si>
    <t>पपीता नो संभारो बनाने के लिए सबसे पहले सभी सामग्री तैयार करके रख लें। पपीते को कद्दूकस करके अलग रख लें। मध्यम आंच पर एक पैन में तेल गरम करें, उसमें राई और जीरा डालें। उन्हें चटकने दें। हींग, हरी मिर्च, हल्दी पाउडर और कच्चा कसा हुआ पपीता नमक के साथ डालें। पपीता के नरम होने तक भूनें। जब यह पक जाए, तो आंच बंद कर दें और पपीता नू संभारो को एक कटोरे में डालें और परोसें। कच्चे पपीता नो संभारो को खमन ढोकला, फाफड़ा और हरी चटनी के साथ उच्च प्रोटीन वाले नाश्ते के लिए परोसें।</t>
  </si>
  <si>
    <t>https://www.archanaskitchen.com/raw-papitha-no-sambharo-recipe</t>
  </si>
  <si>
    <t>Gujarati Lasaniya Batata Recipe</t>
  </si>
  <si>
    <t>गुजराती लसनिया बटाटा रेसिपी - गुजराती लसनिया बटाटा रेसिपी</t>
  </si>
  <si>
    <t>250 ग्राम आलू, 12 काली मिर्च - कट ले, 1 बड़ा चम्मच तेल, 1 छोटा जीरा, 3/4 कप बेसन, 1 बड़ा धनिया पाउडर, 1 छोटा मसाला गरम मसाला पाउडर, 1 बड़ा लाल मिर्च पाउडर, 1/2 छोटा काली मिर्च पाउडर, 1/2 कप दही, नमक - स्वादानुसार, 1 बड़ा हरा धनिया पाउडर - काट ले</t>
  </si>
  <si>
    <t>250 g small potatoes, 12 cloves garlic - chopped, 1 tbsp oil, 1 tsp cumin, 3/4 cup gram flour, 1 tbsp coriander powder, 1 tsp garam masala powder, 1 tbsp red chilli powder, 1 / 2 tsp turmeric powder, 1/2 cup yogurt, salt - as per taste, 1 tbsp green coriander - cut</t>
  </si>
  <si>
    <t xml:space="preserve">To make Gujarati Lasaniya Batata Recipe, first boil the potatoes, remove the peel and keep aside. Now heat oil in a pan. Add potatoes and cook till they turn golden brown. Keep aside. Heat some more oil in the same pan. Add cumin seeds and let them crackle. After cumin seeds crackle, add garlic and cook for 30 to 40 seconds. Now add gram flour and fry on low flame for 5 minutes. After 5 minutes add coriander powder, garam masala powder, red chilli powder, turmeric powder and cook for 1 minute. Turn off the gas, add curd, some water and mix. Turn on the gas again. After the gravy thickens, add fried potatoes, add salt and mix. Turn off the gas and serve. Serve Gujarati Lasaniya Batata Recipe with Palak Daal, Lauki Raita and Phulkas for lunch.
</t>
  </si>
  <si>
    <t xml:space="preserve">गुजराती लसनिया बटाटा रेसिपी बनाने के लिए सबसे पहले आलू को नमक कर, छिलका निकाल ले और अलग से रख दे। अब एक चटनी में तेल गरम करें। इसमें आलू डाले गए और उनके चिप्स होने तक पक ले गए। अलग से रख दे. वही कटोरी में थोड़ा और तेल गरम करें। इसमें जीरा डाला और तड़कने दे. जीरा के तड़के के बाद लहुसन डाला और 30 से 40 सेकेंड के लिए पका ले। अब इसमें बेसन लगाया और 5 मिनट के लिए लहुसन पर सेक ले। 5 मिनट के बाद इसमें धनिया पाउडर, गर्म मसाला पाउडर, लाल मिर्च पाउडर, हल्दी पाउडर डाला जाता है और 1 मिनट के लिए पका ले. गैस बंद कर लें, दही, थोड़ा पानी डाल दिया जाता है और मिला ले. गैस फिर से चालू करें। ग्रेवी के गाड़े होने के बाद इसमें प्रतिष्ठित आलू डाले, डाले और मिला ले। गैस बंद करो और घर बनाओ। गुजराती लसनिया बटाटा रेसिपी को पालक दाल, लौकी रायता और फुलके के साथ दिन के खाने के लिए।
</t>
  </si>
  <si>
    <t>https://www.archanaskitchen.com/gujarati-lasaniya-batata-recipe-garlic-potato-curry-in-hindi</t>
  </si>
  <si>
    <t>Achari Masala Recipe For Fresh Pickles - Sambharo Masala</t>
  </si>
  <si>
    <t>ताज़ा अचार के लिए अचारी मसाला रेसिपी - साम्भारो मसाला</t>
  </si>
  <si>
    <t>1 बड़ा चम्मच लाल मिर्च पाउडर, 1/4 कप मेथी कुरिया, 1/2 कप राई कुरिया, 1 छोटा चम्मच हल्दी पाउडर, 1/2 छोटा चम्मच हींग, नमक - स्वादानुसार</t>
  </si>
  <si>
    <t>1 tablespoon Red Chilli powder,1/4 cup Split Methi Seeds (Methi Kuria),1/2 cup Split Mustard Seeds (Rai Kuria),1 teaspoon Turmeric powder (Haldi),1/2 teaspoon Asafoetida (hing),Salt - to taste</t>
  </si>
  <si>
    <t xml:space="preserve">To begin making the Achari Masala Recipe - combine all the ingredients in a mixing bowl.Stir well until all the ingredients are well combined.Store the Achari Masala Recipe/ Sambharo Masala in an air tight bottle and into the freezer.Use the Achari Masala Recipe/ Sambharo Masala to make instant pickles as and when required.
</t>
  </si>
  <si>
    <t>अचारी मसाला रेसिपी बनाने के लिए सबसे पहले सभी सामग्री को एक मिक्सिंग बाउल में मिला लें। जब तक सभी सामग्री अच्छी तरह से मिल न जाए, तब तक अच्छी तरह से हिलाएँ। अचारी मसाला रेसिपी/संभारो मसाला को एक एयर टाइट बोतल में भरकर फ्रीजर में रख दें। जब भी आवश्यकता हो, तुरंत अचार बनाने के लिए अचारी मसाला रेसिपी/संभारो मसाला का उपयोग करें।</t>
  </si>
  <si>
    <t>http://www.archanaskitchen.com/achari-masala-recipe-for-fresh-pickles-sambharo-masala</t>
  </si>
  <si>
    <t>Mixed Vegetable Handvo Recipe - Savory Rice &amp; Lentil Cake</t>
  </si>
  <si>
    <t>मिक्स वेजिटेबल हांडवो रेसिपी - स्वादिष्ट चावल और दाल केक</t>
  </si>
  <si>
    <t>1/2 कप बासमती चावल - दरदरा पीसा हुआ (मोटे सूजी के समान), 1/4 कप सफेद उड़द दाल (साबुत) - दरदरा पीसा हुआ, 1/4 कप हरी मूंग दाल (विभाजित) - दरदरा पीसा हुआ, 1/4 कप चना दाल (बंगाल ग्राम दाल) - दरदरा पीसा हुआ, 1/2 कप दही, 1 कप लौकी - कसा हुआ, 1/2 कप गाजर (गज्जर) - कसा हुआ, 1 प्याज - बारीक कटा हुआ, 1 चम्मच इनोस फ्रूट साल्ट, 1 बड़ा चम्मच नींबू का रस, 1 चम्मच कैस्टर शुगर, 1/4 चम्मच लाल मिर्च पाउडर, 1/2 चम्मच हल्दी पाउडर (हल्दी), 2 हरी मिर्च - पेस्ट करने के लिए पीसा हुआ (मैंने 2 बड़े इस्तेमाल किए), 2 चम्मच अदरक लहसुन पेस्ट, नमक - स्वाद के लिए, 2 चम्मच सूरजमुखी तेल, 1 चम्मच सरसों के बीज, 10 करी पत्ते - टूटे हुए, 3 सूखी लाल मिर्च - उन्हें फाड़कर बीज निकालें, 1/2 1/2 चम्मच तिल - छिड़कने के लिए अतिरिक्त, 1/2 चम्मच काले तिल - छिड़कने के लिए अतिरिक्त</t>
  </si>
  <si>
    <t>1/2 cup Basmati rice - coarsely ground (similar to coarse semolina),1/4 cup White Urad Dal (Whole) - coarsely ground,1/4 cup Green Moong Dal (Split) - coarsely ground,1/4 cup Chana dal (Bengal Gram Dal) - coarsely ground,1/2 cup Curd (Dahi / Yogurt),1 cup Bottle gourd (lauki) - shredded,1/2 cup Carrots (Gajjar) - shredded,1 Onion - finely chopped,1 teaspoon Enos fruit salt,1 tablespoon Lemon juice,1 teaspoon Caster Sugar,1/4 teaspoon Red Chilli powder,1/2 teaspoon Turmeric powder (Haldi),2 Green Chillies - ground to paste (I used 2 large ones),2 teaspoons Ginger Garlic Paste,Salt - to taste,2 teaspoons Sunflower Oil,1 teaspoon Mustard seeds,10 Curry leaves - broken,3 Dry Red Chillies - tore them and take out the seeds,1/2 teaspoon Black sesame seeds - extra for sprinkling,1/2 teaspoon Sesame seeds (Til seeds) - extra for sprinkling</t>
  </si>
  <si>
    <t xml:space="preserve">To begin making the Vegetable Handvo recipe, soak the coarsely ground rice and lentils overnight using yogurt (curd/ dahi) in a bowl.Add some warm water (1 tablespoon at a time) to bring the batter to a very thick consistency. Ferment the batter overnight or for 10-12 hours. Once it is fermented, add shredded veggies in the morning along with chopped onion, lemon juice, sugar, red chili powder, turmeric powder, salt and ginger garlic green chili paste. Mix well.Mix Enos fruit salt with 1 tablespoon of water and add to the batter. Bring the batter to a thick consistency using a little water. Heat oil in a heavy bottomed pan on low heat and add mustard seeds and red chilies. Fry them till they attain a deep color and a smoky flavor. Next, add in the sesame seeds. Add curry leaves and once everything starts crackling, remove from the heat and add it to the batter. To make handvo, grease a medium sized non stick pan with a little oil. Heat it and pour in the batter. Sprinkle the black and white sesame seeds, cover the pan and reduce the heat.Cook for approximately 10 minutes. When cooked, it will leave sides. Turn it over and cook for another 5 minutes. Remove from the pan and slightly cool the handvo. It is ready to be served.Vegetable Handvo Recipe is easy to make and you can also pack it in your and your kid's lunch box with Dhaniya Pudina Chutney or Lahsuni Pudina Chutney.
</t>
  </si>
  <si>
    <t>वेजिटेबल हांडवो रेसिपी बनाने के लिए, एक कटोरे में दही का उपयोग करके चावल और दाल को रात भर भिगोएँ। घोल को बहुत गाढ़ा बनाने के लिए थोड़ा गर्म पानी (एक बार में 1 बड़ा चम्मच) डालें। रात भर या 10-12 घंटे के लिए घोल को फर्मेंट करें। एक बार जब यह फर्मेंट हो जाए, तो सुबह में कटी हुई सब्जियों के साथ कटा हुआ प्याज, नींबू का रस, चीनी, लाल मिर्च पाउडर, हल्दी पाउडर, नमक और अदरक लहसुन हरी मिर्च का पेस्ट डालें। अच्छी तरह मिलाएँ। 1 बड़ा चम्मच पानी में एनोस फ्रूट साल्ट मिलाएँ और घोल में डालें। थोड़े पानी का उपयोग करके घोल को गाढ़ा होने तक पकाएँ। धीमी आँच पर एक भारी तले की कड़ाही में तेल गर्म करें और उसमें राई और लाल मिर्च डालें। उन्हें तब तक भूनें जब तक उनका रंग गहरा न हो जाए और उनमें धुएँ जैसा स्वाद न आ जाए। इसे गर्म करें और बैटर डालें। काले और सफेद तिल छिड़कें, पैन को ढक दें और आँच कम कर दें। लगभग 10 मिनट तक पकाएँ। जब पक जाए, तो यह किनारे छोड़ देगा। इसे पलट दें और 5 मिनट तक पकाएँ। पैन से निकालें और हांडवो को थोड़ा ठंडा करें। यह परोसने के लिए तैयार है। वेजिटेबल हांडवो रेसिपी बनाना आसान है और आप इसे अपने और अपने बच्चे के लंच बॉक्स में धनिया पुदीना चटनी या लहसुनी पुदीना चटनी के साथ भी रख सकते हैं।</t>
  </si>
  <si>
    <t>http://www.archanaskitchen.com/mixed-vegetable-handvo-recipe-savory-rice-lentil-cake</t>
  </si>
  <si>
    <t>Bhaat Na Rasawala Muthia Dhokla Recipe | Gujarati Rasiya Dhokla</t>
  </si>
  <si>
    <t>भात ना रसावाला मुठिया ढोकला रेसिपी | गुजराती रसिया ढोकला</t>
  </si>
  <si>
    <t>1-1/2 कप पके हुए चावल, 1/2 कप बेसन, 1/2 चम्मच लाल मिर्च पाउडर, 1/4 चम्मच हल्दी पाउडर, 1 चम्मच नमक, 2 बड़े चम्मच बेसन, 1 कप दही, 3-1/2 कप पानी, 1/2 चम्मच हल्दी पाउडर, 1/2 चम्मच लाल मिर्च पाउडर, नमक - स्वादानुसार, 1 हरी मिर्च - कटी हुई, 1 इंच अदरक - बारीक कटा हुआ, 1 तेज पत्ता - फटा हुआ, 1 इंच दालचीनी - टूटी हुई, 1 बड़ा चम्मच घी, 1 चम्मच जीरा, 1 इंच दालचीनी - टूटी हुई, 1 टहनी करी पत्ता - फटा हुआ</t>
  </si>
  <si>
    <t>1-1/2 cups Cooked rice,1/2 cup Gram flour (besan),1/2 teaspoon Red Chilli powder,1/4 teaspoon Turmeric powder (Haldi),1 teaspoon Salt,2 tablespoons Gram flour (besan),1 cup Curd (Dahi / Yogurt),3-1/2 cups Water,1/2 teaspoon Turmeric powder (Haldi),1/2 teaspoon Red Chilli powder,Salt - to taste,1 Green Chilli - slit,1 inch Ginger - finely chopped,1 Bay leaf (tej patta) - torn,1 inch Cinnamon stick - broken,1 tablespoon Ghee,1 teaspoon Cumin seeds (Jeera),1 inch Cinnamon stick - broken,1 sprig Curry leaves - torn</t>
  </si>
  <si>
    <t xml:space="preserve">To make Bhaat Na Rasawala Muthia Dhokla, prep all the ingredients and keep them ready.Into a large mixing bowl, combine all the muthia dhokla ingredients and mash the rice well until it forms a dough like consistency.Grease your palms, shape into small ovals (muthias) and keep aside.For kadhi, into a sauce pan combine the dahi, besan, turmeric powder, salt and red chilli powder and mix well to combine until there are no lumps.Add the 3 cups of water and bring to a brisk boil. Keep whisking the Kadhi as it continues to boil, as this makes it smooth and creamy, thus giving it a perfect texture.Once the kadhi has come together into a smooth and creamy mixture while it is boiling, turn the heat to low, add the ginger garlic, green chillies, cinnamon stick and simmer kadhi while we add the muthias.Add the muthia into the kadhi. Simmer for at least 5 minutes and you will notice the muthia‘s rising to the top and floating. Once it begins to float to the top, simmer the Bhaat Na Rasawala Muthia Dhokla for another 2 minutes.The final step is to prepare the tadka. Heat ghee in a saucepan on medium heat; add the cumin seeds and allow them to crackle. Stir in the curry leaves, cinnamon and give it a stir. Gradually, add the seasoning mixture to the above Rasiya Dhokla/Bhaat Na Rasawala Muthia Dhokla and allow the mixture to come to a brisk boil and turn off the heat.Serve the Bhaat Na Rasawala Muthia Dhokla as a one dish meal for any weeknight dinner when you are looking for a comforting meal.
</t>
  </si>
  <si>
    <t>भात ना रसावाला मुठिया ढोकला बनाने के लिए सभी सामग्री तैयार करके रख लें। एक बड़े मिक्सिंग बाउल में मुठिया ढोकला की सभी सामग्री मिला लें और चावल को अच्छी तरह मैश कर लें जब तक कि यह आटे जैसा न हो जाए। अपनी हथेलियों पर तेल लगाकर छोटे अंडाकार (मुठिया) का आकार दें और एक तरफ रख दें। कढ़ी के लिए एक सॉस पैन में दही, बेसन, हल्दी पाउडर, नमक और लाल मिर्च पाउडर डालें और अच्छी तरह मिलाएँ जब तक कि गांठ न रह जाए। 3 कप पानी डालें और उबाल लें। कढ़ी को उबालते समय उसे फेंटते रहें, क्योंकि इससे यह चिकनी और मलाईदार बनती है, जिससे इसे एक उत्तम बनावट मिलती है। जब कढ़ी उबलते समय एक चिकनी और मलाईदार मिश्रण में आ जाए, तो आँच को कम कर दें कम से कम 5 मिनट तक उबालें और आप देखेंगे कि मुठिया ऊपर आ रही है और तैरने लगी है। एक बार जब यह ऊपर तैरने लगे, तो भात ना रसावाला मुठिया ढोकला को और 2 मिनट के लिए उबालें। अंतिम चरण तड़का तैयार करना है। मध्यम आंच पर एक सॉस पैन में घी गर्म करें; जीरा डालें और उन्हें चटकने दें। करी पत्ता, दालचीनी डालकर हिलाएं। धीरे-धीरे, उपरोक्त रसिया ढोकला/भात ना रसावाला मुठिया ढोकला में मसाला मिश्रण डालें और मिश्रण को तेज उबाल आने दें और आंच बंद कर दें। जब आप आरामदायक भोजन की तलाश में हों तो भात ना रसावाला मुठिया ढोकला को किसी भी सप्ताह की रात के खाने के लिए एक डिश भोजन के रूप में परोसें।</t>
  </si>
  <si>
    <t>https://www.archanaskitchen.com/bhaat-na-rasawala-muthia-dhokla-recipe-gujarati-rasiya-dhokla</t>
  </si>
  <si>
    <t>Turai Moong Dal Recipe – Turai Moong Dal (Recipe In Hindi)</t>
  </si>
  <si>
    <t>तुरई मूंग दाल रेसिपी - तुरई मूंग दाल (रेसिपी इन हिंदी)</t>
  </si>
  <si>
    <t>2 तुरई - चुटकी भर कट ले, 1/2 कप पिली मूंग दाल, 1/2 छोटा चम्मच हल्दी पाउडर, 2 हरी मिर्च - काली मिर्च पाउडर, 1/2 छोटा चमच्च लाल मिर्च पाउडर, 1 छोटा चम्मच चम्मच निम्बू का रस, नमक - स्वाद, हरा धनियां - थोड़ा, 1 छोटा चम्मच चम्मच तेल, 1/2 छोटा चम्मच चमच्च राई, 1/2 छोटा चम्मच चमच्च जीरा, 1/2 चम्मच जीरा (जीरा)</t>
  </si>
  <si>
    <t>2 Ridge gourd - peel and chop, 1/2 cup yellow moong dal, 1/2 teaspoon turmeric powder, 2 green chillies - chop, 1/2 teaspoon sugar, 1/2 teaspoon red chilli powder, 1 teaspoon lemon juice, salt - according to taste, green coriander - a little, 1 teaspoon oil, 1/2 teaspoon mustard, 1/2 teaspoon cumin, 1/2 teaspoon Cumin seeds (Jeera)</t>
  </si>
  <si>
    <t>To make Ridge gourd moong dal, first put ridge gourd, moong dal in cooker with salt, green chillies, turmeric powder, sugar and 1 cup water. Close the cooker and cook till 2 whistles. After 2 whistles, reduce the heat and let it cook for 3 minutes. Turn off the gas after 3 minutes. Let the pressure release on its own. Now we will make its tempering. Heat oil in a small pan. Add mustard seeds and cumin seeds in it. After 15 seconds, pour this tempering in the dal. Mix it. Add lemon juice and coriander leaves in it. Mix and serve. Serve Ridge gourd moong dal with Palak Raita, Phulka and Green gram Pulao for lunch.</t>
  </si>
  <si>
    <t xml:space="preserve">तुरई मूंग दाल बनाने के लिए सबसे पहले तुरई, मूंग दाल कप में नमक, हरी मिर्च, हल्दी पाउडर, चीनी और 1 पानी के साथ कुकर में डालें। कुकर को बंद करो और 2 सिटी आने तक पकाओ। 2 शहर आने के बाद, गैस को कम कर दे और 3 मिनट के लिए मसाला दे। 3 मिनट बाद गैस बंद कर दे. वुल्फ को अपने आँचल दे. अब हम इसका तड़का बनाएंगे। एक छोटी सी चटनी में तेल गरम करें। इसमें राइ और जीरा को डाला गया। 15 सेकंड बाद यह तड़का में दाल डाल दे। मिला ले.इसमें नींबू का रस और हरा धनिया डाल दिया. मिलाए और बनाए। तुरई मूंग दाल को पालक रायता, फुल्का और हरे चने के पुलाव के साथ दिन के खाने के लिए।
</t>
  </si>
  <si>
    <t>https://www.archanaskitchen.com/turai-moong-dal-recipe-in-hindi</t>
  </si>
  <si>
    <t>Gujarati Tindora Nu Vegetable Recipe - Khatti Meethi Tinda Recipe (Recipe In Hindi)</t>
  </si>
  <si>
    <t>गुजराती टिंडोरा नु शाक रेसिपी - खट्टी मीठी टिंडा रेसिपी (रेसिपी इन हिंदी)</t>
  </si>
  <si>
    <t>500 ग्राम टिंडोरा - गोल या कटा हुआ, 1/2 छोटा चमच्च राइज, 1/2 छोटा चम्मच चमच्च जीरा, 1 छोटा चमच्च धनिया पाउडर, 1 छोटा चम्मच चमच्च जीरा पाउडर, 1/2 छोटा चम्मच लाल मिर्च पाउडर, 1 छोटा चम्मच हल्दी पाउडर, हींग, 1-1/2 छोटा चमच्च अमचूर पाउडर, 1 बड़ा चमच्च गुड़, 4 चम्मच -च में से तोड़ा हुआ, तेल - प्रयोग अनुसार, हरा धनिया - छोटी,मूंगफली - थोड़ा सा भर,नमक - स्वाद के अनुसार</t>
  </si>
  <si>
    <t>500 grams tindora - round or straight cut, 1/2 tsp mustard seeds, 1/2 tsp cumin seeds, 1 tsp coriander powder, 1 tsp cumin powder, 1/2 tsp red chilli powder, 1 tsp turmeric powder, asafoetida, 1-1/2 tsp dried mango powder, 1 tbsp jaggery, 4 curry leaves - broken from the middle, oil - as per need, coriander leaves - a little, peanuts - a handful, salt - according to taste</t>
  </si>
  <si>
    <t>To make Tindora nu Shaak, firstly cook the chopped tindori in a pressure cooker with water and salt. Cook it till 2 whistles and then turn off the gas. After that keep the cooker under cold water to release the pressure. Once the pressure of the cooker is released keep it aside. After that heat oil in a pan. When the oil is hot, add mustard seeds and cumin seeds to it. After that add curry leaves, roasted vegetables and all other ingredients to it. Take care not to add peanuts and coriander leaves. Mix everything well and then check the salt and masala once again. Cook for 3 to 4 minutes and then add roasted peanuts and coriander leaves and mix once again. Serve hot.</t>
  </si>
  <si>
    <t xml:space="preserve">टिंडो नूरा शेक बनाने के लिए, सबसे पहले स्वादिष्ट कुकर में ताजा हुई टिंडोरी को पानी और नमक के साथ कुक कर ले.  कुकर में 2 शहर बजने तक उसे पकाये और गैस बंद कर ले। उसके बाद कुकर को ठंडे पानी के नीचे राखे ताकि उसका पुतला निकल जाए। इसके बाद एक मसाला में तेल गरम करे. जब तेल गर्म हो जाए, तो नारियल तेल और जीरा डाल दिया गया। ध्यान रखें पके और हरा धनिया ना देल.सबको बिल्कुल अलग तरह से मिलाये और उसके बाद नमक और मसाला एक बार फिर चेक कर ले.3 से 4 मिनट के पकाये और फिर पकाये और हरा धनिया दाल कर एक बार और मिक्स कर ले. गरमा गरम बंगले 
</t>
  </si>
  <si>
    <t>http://www.archanaskitchen.com/khatti-meethi-tinda-recipe-recipe-in-hindi</t>
  </si>
  <si>
    <t>Thabdi Peda Recipe – Thabdi Peda (Recipe In Hindi)</t>
  </si>
  <si>
    <t>थबड़ी पेंदा रेसिपी - थबड़ी पेड़ा (रेसिपी इन हिंदी)</t>
  </si>
  <si>
    <t>2 कप दूध, 3 बड़े चम्मच घी, 1 बड़ा चम्मच घी, 1 फिटकरी, 1 छोटा चम्मच इलाइची पाउडर, 1 बड़ा चम्मच ग्लूकोज - मिक्स</t>
  </si>
  <si>
    <t>2 cups milk, 3 tablespoons sugar, 1 tablespoon ghee, 1 alum, 1 teaspoon cardamom powder, 1 teaspoon glucose - liquid</t>
  </si>
  <si>
    <t>To make Thabadi Penda, first boil milk in a pan, add 1 small piece of alum and let the milk curdle. In another pan melt 3 tablespoons of sugar. Once the sugar melts turn off the gas immediately. Mix the melted sugar with the curdled milk. Keep stirring for 2 minutes. Now add 1 tablespoon of ghee. Add 1 spoon of liquid glucose. Add 1 spoon of cardamom powder. Keep stirring and cook the mixture till it releases ghee. Remove from the flame and take it out in a plate. You can serve this Thabadi hot like this also and let the Thabadi cool down a bit for making Penda. Then make Pedas. Garnish with pistachios. Store in a closed box. Serve Thabadi Penda as Prasad or as a sweet after the meal.</t>
  </si>
  <si>
    <t xml:space="preserve">थाबड़ी पेंडा बनाने के लिए सबसे पहले पेन मे दूध के टुकड़े, 1 छोटा टुकड़ा फिटकरी के साथ दूध को मिलाकर दे। बाकी पेन में 3 बड़े चीनी मिश्रण। चीनी पिघले तुरंत गेस ऑफ कर दे।पिघली चीनी को फटे हुए दूध में मिला। 2 मिनट तक हिलाते रहे। अब 1 बड़ा चम्मच घी डालें। 1 बड़ा इलाइची पाउडर डालें। घी छोड़ने तक मिश्रण को हिलाते रहे और मित्र। आँच से बाहर कर प्लेट में छोड़ें। आप भी इसी तरह थाबड़ी को ठंडा कर सकते हैं और पेन्डा बनाने के लिए थाबड़ी को ठंडा कर सकते हैं। फिर पेड़ बना लें। पिस्ता से सजाए। बंद डब्बे में स्टोर करें।थाबडी पेंडा को प्रसाद के रूप में बनाएं या फिर खाने के बाद खरीदें।
</t>
  </si>
  <si>
    <t>https://www.archanaskitchen.com/thabdi-peda-recipe-in-hindi</t>
  </si>
  <si>
    <t>Sweet and Spicy Tomato Chutney Recipe</t>
  </si>
  <si>
    <t>मीठी और तीखी टमाटर चटनी रेसिपी</t>
  </si>
  <si>
    <t>2-1/2 कप टमाटर - बारीक कटा हुआ, 1/2 चम्मच सरसों के बीज, 1/2 चम्मच जीरा (जीरा), 4 करी पत्ते - बारीक कटा हुआ, 1/4 चम्मच हींग (हिंग), 2 हरी मिर्च - बारीक कटी हुई, 1 चम्मच अदरक - कसा हुआ, 1/2 चम्मच हल्दी पाउडर (हल्दी), 1/2 चम्मच लाल मिर्च पाउडर, 1 चम्मच चीनी, 2 चम्मच सूरजमुखी तेल, नमक - स्वादानुसार</t>
  </si>
  <si>
    <t>2-1/2 cups Tomatoes - finely chopped,1/2 teaspoon Mustard seeds,1/2 teaspoon Cumin seeds (Jeera),4 Curry leaves - finely chopped,1/4 teaspoon Asafoetida (hing),2 Green Chillies - finely chopped,1 teaspoon Ginger - grated,1/2 teaspoon Turmeric powder (Haldi),1/2 teaspoon Red Chilli powder,1 teaspoon Sugar,2 teaspoons Sunflower Oil,Salt - to taste</t>
  </si>
  <si>
    <t xml:space="preserve">To make the Sweet and Spicy Tomato Chutney recipe, heat oil in a skillet on medium heat; add the mustard seeds, cumin seeds, asafoetida and curry leaves and allow them to crackle.Stir in the chopped tomatoes, green chillies, grated ginger, turmeric powder, red chilli powder, sugar and simmer with the pan covered for about 10 to 15 minutes until the tomatoes are tender, soft and released juices.Turn off heat and serve the he Sweet and Spicy Tomato Chutney at room temperature.Serve the Sweet and Spicy Tomato Chutney along with Moong Dal Chillas for breakfast.
</t>
  </si>
  <si>
    <t>मीठी और तीखी टमाटर की चटनी बनाने के लिए, मध्यम आंच पर एक कड़ाही में तेल गर्म करें; इसमें सरसों के बीज, जीरा, हींग और करी पत्ते डालें और उन्हें चटकने दें। कटे हुए टमाटर, हरी मिर्च, कसा हुआ अदरक, हल्दी पाउडर, लाल मिर्च पाउडर, चीनी डालें और पैन को ढककर लगभग 10 से 15 मिनट तक उबालें जब तक कि टमाटर नरम, मुलायम न हो जाए और उनका रस निकल जाए। आंच बंद कर दें और मीठी और तीखी टमाटर की चटनी को कमरे के तापमान पर परोसें। मीठी और तीखी टमाटर की चटनी को नाश्ते में मूंग दाल के चीले के साथ परोसें।</t>
  </si>
  <si>
    <t>http://www.archanaskitchen.com/sweet-and-spicy-tomato-chutney-recipe</t>
  </si>
  <si>
    <t>Gujarati Kadhi Recipe –</t>
  </si>
  <si>
    <t>गुजराती कढ़ी रेसिपी - गुजराती कढ़ी रेसिपी</t>
  </si>
  <si>
    <t>1 कप दही, 2 बड़े चम्मच बेसन, 1/4 छोटा चमच्च हल्दी पाउडर, 1 बड़ा चम्मच गुड़ - पाउडर कर ले, नमक - स्वाद, 1/4 छोटा चमच्च जीरा, 1/4 लाल मिर्च, 1 इंच दाल चीनी, 1 छोटा चमच्च बेसन - कस ले, 2 हरी मिर्च - कट ले, 1 बड़ा चमच्च घी, 5 थानी कढ़ी पत्ता - धनिया काट ले, 1 बड़ा चम्मच हरा धनियां - काट ले</t>
  </si>
  <si>
    <t>1 cup curd, 2 tbsp gram flour, 1/4 tsp asafoetida, 1/4 tsp turmeric powder, 1 tbsp jaggery - powdered, salt - according to taste, 1/4 tsp cumin seeds, 1/4 mustard seeds, 1 inch cinnamon, 1 tsp ginger - grated, 2 green chillies - chopped, 1 tbsp ghee, 5 sprigs curry leaves - finely chopped, 1 tbsp coriander leaves - chopped</t>
  </si>
  <si>
    <t>To make Gujarati Kadhi, first add 2 cups of water, turmeric powder, gram flour, asafoetida, jaggery and salt to the curd. Mix well so that it does not form lumps. Pour this mixture into a sauce pan and let it boil. Let it boil for 8 to 10 minutes. Now heat ghee in a small pan. Add mustard seeds, cumin seeds and let it cook for 15 seconds. After 15 seconds, add curry leaves, cinnamon, green chillies and ginger. Pour this seasoning into the curry and let it cook for 2 minutes. Turn off the gas and garnish with coriander leaves. Serve Gujarati Kadhi with rice or khichdi for dinner.</t>
  </si>
  <si>
    <t xml:space="preserve">गुजराती कढ़ी बनाने के लिए सबसे पहले दही में 2 कप पानी, हल्दी पाउडर, बेसन, हींग, गुड़ और डाला हुआ नमक। अच्छी तरह से मिलाए ताकि गाथ न पड़े. इस मिश्रण को एक सॉस पैन में डाला और मसाले देने दे। 8 से 10 मिनट तक फिसलने दे. अब एक छोटी चटनी में घी गर्म करें। इसमें राइ, जीरा डाला और 15 सेकंड तक मसाला दे। 15 सेकंड बाद इसमें कढ़ी पत्ता, दालचीनी, हरी मिर्च और अदरक डाला गया। इस दामाद को कढ़ी में डाला और 2 मिनट तक मसाला दे. गैस बंद करें और हरे धनिए से गार्निश करें। गुजराती कढ़ी को चावल या आटे के साथ रात भर खाने के लिए परोसें.
</t>
  </si>
  <si>
    <t>https://www.archanaskitchen.com/sweet-and-spicy-yogurt-curry-recipe-in-hindi</t>
  </si>
  <si>
    <t>Lauki Tamatar Ki Sabzi Recipe (Recipe In Hindi)</t>
  </si>
  <si>
    <t>लौकी टमाटर की सब्जी रेसिपी - लौकी टमाटर की सब्जी (रेसिपी इन हिंदी)</t>
  </si>
  <si>
    <t>1 लोकी - चमचमाता कट ले, 1 प्याज - हरा धनिया काट ले, 3 लहसुन - कास ले, 1 टमाटर - हीरा काट ले, 1 छोटा चम्मच जीरा, 1 छोटा चम्मच हल्दी पाउडर, 1/2 छोटा चम्मच लाल मिर्च पाउडर, 1 थन कढ़ी पत्ता, 1 हरा धनिया - हीरा काट ले, तेल - स्वादानुसार प्रयोग, नमक - स्वादानुसार</t>
  </si>
  <si>
    <t>1 bottle gourd - peel and chop, 1 onion - finely chop, 3 garlic cloves - grate, 1 tomato - finely chop, 1 teaspoon cumin seeds, 1 teaspoon turmeric powder, 1/2 teaspoon red chilli powder, 1 sprig curry leaves, 1 green coriander - finely chopped, oil - as per requirement, salt - according to taste</t>
  </si>
  <si>
    <t>To make Lauki Tomato Sabzi, first heat oil in a pressure cooker. Add mustard seeds, cumin seeds, onion, garlic and tomatoes. Cook for 2 minutes. Now add turmeric powder, red chili powder, curry leaves, salt and bottle gourd. Add 1/4 cup water and cook till 3 whistles. After 3 whistles, open the cooker and garnish with coriander leaves. Serve hot. Serve Lauki Tomato Sabzi with Burani Raita and Tawa Paratha for dinner.</t>
  </si>
  <si>
    <t xml:space="preserve">लौकी टमाटर की सब्जी बनाने के लिए सबसे पहले एक टुकड़ा कुकर में तेल गरम कर ले. इसमें राइ, जीरा, प्याज, लहसुन और टमाटर डाले गए हैं। 2 मिनट के लिए पका ले. अब इसमें हल्दी पाउडर, लाल मिर्च पाउडर, कढ़ी पत्ता, नमक और लोकी डाली गई है। 1/4 कप पानी डाला और 3 शहर आने तक पका ले।  3 शहर आने के बाद कुकर कंपनी और हरे धनिए से गार्निश करें। गरमा गरम घरे। लौकी खाने की टमाटर की सब्जी को बुरानी रायता और तवा पराठा के साथ रात के खाने के लिए.
</t>
  </si>
  <si>
    <t>http://www.archanaskitchen.com/lauki-tamatar-ki-sabzi-recipe-in-hindi</t>
  </si>
  <si>
    <t>Saragavo Nu Vegetable Recipe - Drumstick Masala Sabzi</t>
  </si>
  <si>
    <t>सरगवो नु शाक रेसिपी - सहजन मसाला सब्जी</t>
  </si>
  <si>
    <t>4 ड्रमस्टिक - 2 इंच के बड़े कट ले, 1 छोटा चम्मच कलौंजी के बीज, 1 इंच अदरक - कस ले, 1 तनी कढ़ी पत्ता - टुकड़े ले, 2 तेज पत्ता - टुकड़े ले, 1 इंच दाल चीनी, 3 टमाटर - धनिया काट ले, 1 छोटा चमच्च हल्दी पाउडर, 1 छोटा चम्मच धनिया पाउडर, 1/4 छोटा चम्मच कलौंजी के बीज, नमक - स्वाद अनुसार, लाल मिर्च पाउडर - स्वाद अनुसार, 3 तनी हरी धनिया - मसाला कट ले, 1 छोटा चम्मच तेल</t>
  </si>
  <si>
    <t>4 drumsticks - cut into 2 inch pieces, 1 teaspoon kalonji seeds, 1 inch ginger - grate, 1 sprig curry leaves - break, 2 bay leaves - break, 1 inch cinnamon, 3 tomatoes - finely chopped, 1 teaspoon turmeric powder, 1 teaspoon coriander powder, 1/4 teaspoon asafoetida, salt - according to taste, red chilli powder - according to taste, 3 sprigs coriander leaves - finely chopped, 1 teaspoon oil</t>
  </si>
  <si>
    <t>To make Saragvo Nu Shaak, first add drumsticks in a pressure cooker along with 1/4 cup water. Cook till 2 whistles. Turn off the gas and release the pressure. Open the cooker, take out the drumsticks and keep aside. To prepare the masala, heat oil in a pan. Add kalonji, ginger and cook for 20 seconds. After 20 seconds, add tomatoes, bay leaves, cinnamon and curry leaves. Cook till tomatoes turn soft. After tomatoes turn soft, add turmeric powder, coriander powder, asafoetida, red chili powder, salt and cooked drumsticks. Mix everything well. Reduce the heat, cover the pan and cook for 5 minutes. Check for salt and spices. Turn off the gas after 5 minutes and serve hot. Serve Saragvo Nu Shaak with Gujarati Kadhi and Methi Thepla for lunch.</t>
  </si>
  <si>
    <t xml:space="preserve">सारागवो नू शेक बनाने के लिए सबसे पहले, ड्रमस्टिक को 1/4 कप पानी के साथ डालें। 2 शहर आने तक पक ले. गैस बंद करें और ले.कुकर को कैरी, ड्रमस्टिक और अलग से राख ले.मसाला निकालने के लिए मसाले में तेल गर्म करें। इसमें कलौंजी, अजिगर और 20 सेकंड के लिए पोस्ट किया गया। 20 सेकंड के बाद, इसमें टमाटर, तेज़ पत्ता, पैन और कढ़ी पत्ता डाला गया। टमाटर के होने को नरम तक पकाए। टमाटर के प्राकृतिक होने के बाद इसमें हल्दी पाउडर, धनिया पाउडर, हींग, लाल मिर्च पाउडर, नमक और गाढ़ा पाउडर स्टिक मिलाया जाता है। सबसे अच्छी तरह से मिला ले. गैस कम करें, मसाले को ढ़के और 5 मिनिट तक पका लीजिये. नमक और नमूना चेक करें। 5 मिनट के बाद गैस बंद करें और गरमा-गरम दिखाएं। सरगवो नु शक को गुजराती कढ़ी और मेथी थेपला के साथ दिन के खाने के लिए।
</t>
  </si>
  <si>
    <t>https://www.archanaskitchen.com/saragvo-nu-shaak-recipe-drumstick-masala-sabzi-in-hindi</t>
  </si>
  <si>
    <t>Turai Moong Dal Recipe - Turia Mag Ni Dal</t>
  </si>
  <si>
    <t>तुरई मूंग दाल रेसिपी - तुरिया मग नी दाल</t>
  </si>
  <si>
    <t>1 कप पीली मूंग दाल, 2 कप पानी, 1/2 चम्मच हल्दी, 1/2 चम्मच नमक, 1 चम्मच सूरजमुखी तेल, 1 चम्मच जीरा, 1 इंच अदरक - बारीक कटा हुआ, 1 हरी मिर्च - कटी हुई, 1 टमाटर - बारीक कटा हुआ, 1 चम्मच लाल मिर्च पाउडर, 1/2 चम्मच हल्दी, 1 चम्मच धनिया पाउडर, 1 तेज पत्ता - फटा हुआ, 1 इंच दालचीनी - टूटी हुई, 1 तुरई - छीलकर टुकड़ों में कटी हुई, 1/2 नींबू - रस निकाला हुआ, नमक - स्वादानुसार, 6 टहनी धनिया - बारीक कटी हुई</t>
  </si>
  <si>
    <t>1 cup Yellow Moong Dal (Split),2 cups Water,1/2 teaspoon Turmeric powder (Haldi),1/2 teaspoon Salt,1 teaspoon Sunflower Oil,1 teaspoon Cumin seeds (Jeera),1 inch Ginger - finely chopped,1 Green Chillies - slit,1 Tomato - finely chopped,1 teaspoon Red Chilli powder,1/2 teaspoon Turmeric powder (Haldi),1 teaspoon Coriander (Dhania) Powder,1 Bay leaf (tej patta) - torn,1 inch Cinnamon Stick (Dalchini) - broken,1 Ridge Gourd (Turai/ Peerkangai) - peeled and diced,1/2 Lemon - juice extracted,Salt - to taste,6 sprig Coriander (Dhania) Leaves - finely chopped</t>
  </si>
  <si>
    <t xml:space="preserve">To begin making the Turai Moong Dal Recipe, first prep all the ingredients and keep them ready.Add the  moong dal in the pressure cooker along with salt and turmeric powder. Cover the cooker and pressure cook the dal for 3-4 whistles and turn off the heat. Allow the pressure to release naturally. Keep this cooked dal to the side. You don't have to mash the dalNext to make the Turai Masala, heat oil in a pressure cooker; add the cumin seeds, ginger and green chillies and give it a stir.Add the tomatoes, turmeric powder, red chilli powder, coriander powder and salt to taste. Saute the tomatoes until it slightly softens.Next add the cut ridge gourd/ turai sabzi and give it a stir. Add 1/4 cup of water, cover the pressure cooker and cook for 2 whistles and turn off the heat. Allow the pressure to release naturally.Once both the cookers have released the pressure, open and add the cooked moong dal to the turai masala.Give it a stir and taste and check if it needs more salt and adjust to taste accordingly.Give the Turai Moong Dal a brisk boil for 2 minutes and turn off the heat.Stir in the chopped coriander leaves and the lemon juice and transfer the Turai Moong Dal/ Turia Mug Ni Dal to a serving bowl and serve hot.Serve this Turia Mug Ni Dal/ Turai Moong Dal along with Sukhi Aloo Sabzi and Thepla that are almost necessity to be made along with this dish.Another favorite combination that we love is to pour a ladle full of Turai Moong Dal over hot bowl rice topped with melted ghee.
</t>
  </si>
  <si>
    <t>तुरई मूंग दाल रेसिपी बनाने के लिए सबसे पहले सभी सामग्री तैयार करके रख लें। मूंग दाल को नमक और हल्दी पाउडर के साथ प्रेशर कुकर में डालें। कुकर को ढक दें और दाल को 3-4 सीटी आने तक पका लें और आँच बंद कर दें। प्रेशर को अपने आप निकलने दें। इस पकी हुई दाल को एक तरफ रख दें। आपको दाल को मैश करने की ज़रूरत नहीं है। इसके बाद तुरई मसाला बनाने के लिए, प्रेशर कुकर में तेल गर्म करें; उसमें जीरा, अदरक और हरी मिर्च डालें और इसे चलाएँ। टमाटर, हल्दी पाउडर, लाल मिर्च पाउडर, धनिया पाउडर और स्वादानुसार नमक डालें। टमाटर को हल्का नरम होने तक भूनें। इसके बाद कटी हुई तुरई/ तुरई की सब्जी डालें और इसे चलाएँ। 1/4 कप पानी डालें, प्रेशर कुकर को ढक दें प्रेशर को स्वाभाविक रूप से निकलने दें। जब दोनों कुकर का प्रेशर निकल जाए, तो खोलें और पकी हुई मूंग दाल को तुरई मसाले में मिला दें। इसे चलाएँ और चखें और जाँचें कि इसमें और नमक की ज़रूरत है या नहीं और स्वादानुसार इसे समायोजित करें। तुरई मूंग दाल को 2 मिनट तक उबलने दें और आँच बंद कर दें। कटी हुई धनिया पत्ती और नींबू का रस डालकर चलाएँ और तुरई मूंग दाल/ तुरिया मग नी दाल को एक सर्विंग बाउल में डालें और गरमागरम परोसें। इस तुरिया मग नी दाल/ तुरई मूंग दाल को सूखी आलू सब्ज़ी और थेपले के साथ परोसें, जो इस व्यंजन के साथ बनाना लगभग ज़रूरी है। एक और पसंदीदा संयोजन जो हमें पसंद है, वह है गरम चावल के ऊपर एक करछुल तुरई मूंग दाल डालना और ऊपर से पिघला हुआ घी डालना।</t>
  </si>
  <si>
    <t>http://www.archanaskitchen.com/turai-moong-dal-recipe</t>
  </si>
  <si>
    <t>Cauliflower Palak Methi Muthia Recipe</t>
  </si>
  <si>
    <t>फूलगोभी पालक मेथी मुठिया रेसिपी</t>
  </si>
  <si>
    <t>1/2 कप फूलगोभी - कद्दूकस की हुई, 1/2 कप पालक - बारीक कटी हुई, 1/3 कप मेथी - बारीक कटी हुई, 3/4 कप बेसन, 1/2 कप गेहूं का आटा, 1 चम्मच लाल मिर्च पाउडर, 1/2 चम्मच हल्दी पाउडर, नमक - स्वादानुसार, 1 बड़ा चम्मच सूरजमुखी तेल, 1 चम्मच चीनी, 1/4 कप धनिया - बारीक कटा हुआ, 1 चम्मच सूरजमुखी तेल, 1 चम्मच सरसों के बीज, 1 चम्मच जीरा, 1 टहनी करी पत्ता</t>
  </si>
  <si>
    <t>1/2 cup Cauliflower (gobi) - grated,1/2 cup Spinach Leaves (Palak) - finely chopped,1/3 cup Methi Leaves (Fenugreek Leaves) - finely chopped,3/4 cup Gram flour (besan),1/2 cup Whole Wheat Flour,1 teaspoon Red Chilli powder,1/2 teaspoon Turmeric powder (Haldi),Salt - to taste,1 tablespoon Sunflower Oil,1 teaspoon Sugar,1/4 cup Coriander (Dhania) Leaves - finely chopped,1 teaspoon Sunflower Oil,1 teaspoon Mustard seeds,1 teaspoon Cumin seeds (Jeera),1 sprig Curry leaves</t>
  </si>
  <si>
    <t xml:space="preserve">To begin making the Cauliflower Palak Methi Muthia Recipe, in a large mixing bowl, combine the cauliflower, spinach leaves, methi leaves, gram flour, whole wheat flour, red chilli powder, turmeric powder, salt, cooking oil, sugar and coriander leaves. Mix well to combine, and add water to bring the Cauliflower Palak Methi Muthia dough together. We need a nice, firm dough. Do not knead the dough too much.Once the muthia dough has come together, divide the dough into three parts, now shape them into long hot dog style rolls and set aside.Heat a steamer on high heat, place these muthia rolls on a greased steamer plate and cover and cook for 15 minutes.After 15 minutes, open the lid, insert a greased knife into one of the rolls to check if the Cauliflower Palak Methi Muthia has cooked, if the knife comes out clean it is steamed well.If not continue to cook for a few more minutes until done. Remove these Cauliflower Palak Methi Muthia from the steamer and allow it to cool.Once the Cauliflower Palak Methi Muthia have cooled, cut them into roundels and set aside.To temperIn a pan heat oil, on medium heat, add mustard seeds, and curry leaves and allow them to crackle.Next add the cumin seeds, add the Cauliflower Palak Methi Muthia and toss for a few seconds.Serve Cauliflower Palak Methi Muthia Recipe along with Green chutney and masala chai for a tea time snack.
</t>
  </si>
  <si>
    <t>फूलगोभी पालक मेथी मुठिया रेसिपी बनाने के लिए सबसे पहले एक बड़े मिक्सिंग बाउल में फूलगोभी, पालक के पत्ते, मेथी के पत्ते, बेसन, गेहूं का आटा, लाल मिर्च पाउडर, हल्दी पाउडर, नमक, खाना पकाने का तेल, चीनी और धनिया पत्ती डालें। अच्छी तरह मिलाएँ और फूलगोभी पालक मेथी मुठिया के आटे को एक साथ लाने के लिए पानी डालें। हमें एक अच्छा, सख्त आटा चाहिए। आटे को ज्यादा न गूंथें। मुठिया का आटा एक साथ आ जाने के बाद, आटे को तीन भागों में विभाजित करें, अब उन्हें लंबे हॉट डॉग स्टाइल रोल का आकार दें और एक तरफ रख दें। एक स्टीमर को तेज़ आँच पर गर्म करें, इन मुठिया रोल को एक चिकनाई लगी स्टीमर प्लेट पर रखें और ढककर 15 मिनट तक पकाएं। इन फूलगोभी पालक मेथी मुठिया को स्टीमर से निकालें और ठंडा होने दें। जब फूलगोभी पालक मेथी मुठिया ठंडी हो जाए तो इन्हें गोल टुकड़ों में काट लें और एक तरफ रख दें। तड़का लगाने के लिए एक पैन में तेल गर्म करें, मध्यम आंच पर इसमें राई और करी पत्ता डालें और इन्हें चटकने दें। इसके बाद इसमें जीरा डालें, फूलगोभी पालक मेथी मुठिया डालें और कुछ सेकंड के लिए टॉस करें। फूलगोभी पालक मेथी मुठिया रेसिपी को हरी चटनी और मसाला चाय के साथ चाय के समय नाश्ते के रूप में परोसें।</t>
  </si>
  <si>
    <t>http://www.archanaskitchen.com/cauliflower-palak-methi-muthia-recipe</t>
  </si>
  <si>
    <t>दूध और पुदीने के साथ गुजराती कढ़ी रेसिपी</t>
  </si>
  <si>
    <t>1 कप दही - हल्का खट्टा, 2 कप पानी, 2 बड़े चम्मच बेसन, 1/4 कप दूध, 1 बड़ा चम्मच ताजा क्रीम - (क्लॉटेड क्रीम) या खट्टी क्रीम, 1 चम्मच हरी मिर्च - बारीक कटी हुई, 1 चम्मच अदरक - बारीक कटा हुआ, 2 चम्मच चीनी - आवश्यकतानुसार, 2 चम्मच घी, 1/2 चम्मच मेथी के बीज (मेथी के बीज), 1 चम्मच जीरा, 2 सूखी लाल मिर्च - साबूत, 2 लौंग, 1 इंच दालचीनी, 1 टहनी करी पत्ता, 1 टहनी पुदीना, हींग - चुटकी भर</t>
  </si>
  <si>
    <t>1 cup Curd (Dahi / Yogurt) - mildly soured,2 cups Water,2 tablespoons Gram flour (besan),1/4 cup Milk,1 tablespoon Fresh cream - (clotted cream) or sour cream,1 teaspoon Green Chilli - minced,1 teaspoon Ginger - minced,2 teaspoons Sugar - adjustable,2 teaspoons Ghee,1/2 teaspoon Methi Seeds (Fenugreek Seeds),1 teaspoon Cumin seeds (Jeera),2 Dry Red Chillies - whole,2 Cloves (Laung),1 inch Cinnamon Stick (Dalchini),1 sprig Curry leaves,1 sprig Mint Leaves (Pudina),Asafoetida (hing) - a pinch</t>
  </si>
  <si>
    <t xml:space="preserve">To begin making the Gujarati Kadhi With Milk And Mint recipe, in a bowl whisk together the yogurt, sour cream/clotted cream and chickpea flour.Whisk until it turns into a smooth and lump free mixture. Add a little water and mix well. Transfer this yogurt mix to a heavy bottom saucepan and place the saucepan on medium flame.Add sugar, salt, ginger, green chillies and bring the mixture to a boil. The chickpea flour has a tendency to settle at the bottom so keep the flame gentle and continue to stir continuously.In another small wok/kadhai prepare the tempering. Place this wok on slow flame, add ghee. To the ghee, add cumin seeds, red chilies, cinnamon, cloves, asafoetida and curry leaves. Once the cumin seeds starts spluttering, add the tempering to the boiling kadhi. Add the mint leaves and the milk.  After 8-9 minutes of gentle boiling turn off the flame. Just before serving add the chopped coriander.Serve Gujarati Kadhi With Milk And Mint along with Gujarati Undhiyu and Methi Thepla for a weekday lunch or dinner.
</t>
  </si>
  <si>
    <t>दूध और पुदीने वाली गुजराती कढ़ी बनाने के लिए एक कटोरी में दही, खट्टी क्रीम और बेसन को एक साथ फेंट लें। तब तक फेंटें जब तक यह एक चिकना और गांठ रहित मिश्रण न बन जाए। थोड़ा पानी डालें और अच्छी तरह मिला लें। इस दही के मिश्रण को एक भारी तले के सॉस पैन में डालें और सॉस पैन को मध्यम आंच पर रखें। इसमें चीनी, नमक, अदरक, हरी मिर्च डालें और मिश्रण को उबाल लें। बेसन के नीचे बैठने की प्रवृत्ति होती है इसलिए आंच धीमी रखें और लगातार हिलाते रहें। एक अन्य छोटी कड़ाही में तड़का तैयार करें। इस कड़ाही को धीमी आंच पर रखें और घी डालें। घी में जीरा, लाल मिर्च, दालचीनी, लौंग, हींग और करी पत्ता डालें परोसने से ठीक पहले कटा हुआ धनिया डालें। दूध और पुदीने के साथ गुजराती कढ़ी को गुजराती उंधियू और मेथी थेपला के साथ सप्ताह के दिनों में दोपहर के भोजन या रात के खाने के लिए परोसें।</t>
  </si>
  <si>
    <t>http://www.archanaskitchen.com/gujarati-kadhi-with-milk-mint-recipe</t>
  </si>
  <si>
    <t>Gujarati Vaghareli Mag Recipe - Gujarati Vaghareli Mag (Recipe in Hindi)</t>
  </si>
  <si>
    <t>गुजराती वाघरेली मग रेसिपी - गुजराती वाघरेली मग (रेसिपी हिंदी में)</t>
  </si>
  <si>
    <t>1/2 कप हरी मूंग दाल, 1/2 छोटा चमच्च जीरा, 4 कढ़ी पत्ता - कट ले, 1/2 छोटा चमच्च अदरक - कस ले, 1 छोटा चमच्च हरी मिर्च - स्वाद ले, 1/2 छोटा चमच्च हरी मिर्च - स्वाद अनुसार</t>
  </si>
  <si>
    <t>1/2 cup green moong dal, 1/2 teaspoon cumin seeds, 4 curry leaves - chopped, 1/2 teaspoon ginger - grated, 1 teaspoon green chilli - finely chopped, 1/2 teaspoon turmeric powder, 1 teaspoon lemon juice, 2 tablespoons coriander leaves - finely chopped, 1 teaspoon oil, salt - as per taste</t>
  </si>
  <si>
    <t>To make Gujarati Vaghareli Mag, first soak moong dal for 6 to 7 hours. Now put moong dal in pressure cooker with salt and 1-1/4 cup water and cook till 2 whistles. Let the pressure release automatically. Now heat oil in a pan. Add cumin seeds and cook for 10 seconds. Now add green chilies, curry leaves, ginger and turmeric powder. Add moong dal and mix well. Add salt, cover the pan and let it cook for 5 to 10 minutes. Now add lemon juice, coriander leaves and mix. Turn off the gas and serve. Serve Gujarati Vaghareli Mag with Gujarati Kadhi and Methi Thepla for lunch.</t>
  </si>
  <si>
    <t xml:space="preserve">गुजराती वाघरेली मग बनाने के लिए सबसे पहले मूंग दाल को 6 से 7 टुकड़ों में काट लें. अब मूंग दाल को नमक और 1-1/4 कप पानी के साथ कुकर में डाल दिया और 2 सिटी आने तक पका ले. अपने आप को आशियाने दे.अब एक रोटी में तेल गर्म करो. इसमें जीरा डाला और 10 सेकंड तक पकाए। अब इसमें हरी मिर्च, कढ़ी पत्ता, अदरक और हल्दी पाउडर डाला गया है। इसमें मूंग दाल डाली और अच्छी तरह से मिला ले. नमक डालें, मसाले को मसाले और 5 से 10 मिनट तक मसाला दे दें. अब इसमें निम्बू का रस, हरा धनिया डाला और मिला ले। गैस बंद करो और घर बनाओ. गुजराती वाघरेली मग को गुजराती कढ़ी और मेथी थेपला के साथ दिन के खाने के लिए।
</t>
  </si>
  <si>
    <t>https://www.archanaskitchen.com/jain-style-whole-green-moong-dal-subzi-recipe-gujarati-vaghareli-mag-in-hindi</t>
  </si>
  <si>
    <t>Gujarati Vagharela Mag Recipe - Moong Sprouts Sabzi Recipe</t>
  </si>
  <si>
    <t>गुजराती वाघरेला मैग रेसिपी - मूंग स्प्राउट्स सब्जी रेसिपी</t>
  </si>
  <si>
    <t>1 कप अंकुरित हरे मूंग, 1 छोटा चम्मच जीरा, 1 टहनी करी पत्ता - मोटा तोड़ा हुआ, 1 इंच अदरक - बारीक कटा हुआ, 1 हरी मिर्च - कटी हुई या कटी हुई, 1/2 छोटा चम्मच हल्दी पाउडर, 2 नींबू - नींबू का रस, धनिया पत्ती - एक छोटा गुच्छा, 1/2 छोटा चम्मच सूरजमुखी तेल, नमक - स्वादानुसार</t>
  </si>
  <si>
    <t>1 cup Green Moong Sprouts,1 teaspoon Cumin seeds (Jeera),1 sprig Curry leaves - roughly torn,1 inch Ginger - finely chopped,1 Green Chillies - chopped or slit,1/2 teaspoon Turmeric powder (Haldi),2 Lemon - juice from the lemon,Coriander (Dhania) Leaves - a small bunch,1/2 teaspoon Sunflower Oil,Salt - to taste</t>
  </si>
  <si>
    <t xml:space="preserve">To begin making the Gujarati Vagharela Mag Recipe - Moong Sprouts Sabzi,  you need to have the moong sprouts ready.Place the moong sprouts in the pressure cooker along with 2 tablespoons of water, a pinch of salt and pressure cook for 2 whistles and turn off the heat.Allow the pressure to release naturally. Heat oil in a pan on medium heat; add the cumin seeds and allow them to crackle.Stir in the green chillies, curry leaves ginger and turmeric powder, sauté for a few seconds. Add the cooked moong sprouts and stir gently to combine all the ingredients.Taste and adjust the salt to suit your taste. Stir fry the Vagharela Mag for about a minute and turn off the heat, Finally squeeze the lemon juice, add the coriander leaves and give it a gentle stir.Serve the Gujarati Vagharela Mag Recipe - Moong Sprouts Sabzi along with Tawa paratha to make a rich, wholesome and nutritious breakfast.
</t>
  </si>
  <si>
    <t>गुजराती वघारेला मैग रेसिपी - मूंग स्प्राउट्स सब्ज़ी बनाने के लिए आपको मूंग स्प्राउट्स तैयार करने होंगे. मूंग स्प्राउट्स को प्रेशर कुकर में 2 बड़े चम्मच पानी, एक चुटकी नमक के साथ डालें और 2 सीटी आने तक पकाएँ और आँच बंद कर दें. प्रेशर को अपने आप निकलने दें. एक कड़ाही में मध्यम आँच पर तेल गरम करें, उसमें जीरा डालें और उसे चटकने दें. हरी मिर्च, करी पत्ता, अदरक और हल्दी पाउडर डालकर कुछ सेकंड के लिए भूनें. पके हुए मूंग स्प्राउट्स डालें और सभी सामग्री को मिलाने के लिए धीरे से चलाएँ. स्वाद लें और अपने स्वाद के अनुसार नमक डालें. वघारेला मैग को लगभग एक मिनट तक भूनें और आँच बंद कर दें. अंत में नींबू का रस निचोड़ें, धनिया पत्ती डालें और इसे धीरे से चलाएँ. गुजराती वघारेला मैग रेसिपी - मूंग स्प्राउट्स सब्ज़ी को तवा पराठे के साथ परोसें और एक पौष्टिक, पौष्टिक और पौष्टिक नाश्ता बनाएँ.</t>
  </si>
  <si>
    <t>http://www.archanaskitchen.com/whole-green-moong-dal-sabzi-recipe-vagharela-mag</t>
  </si>
  <si>
    <t>Methi Missi Roti Recipe</t>
  </si>
  <si>
    <t>मेथी मिस्सी रोटी रेसिपी</t>
  </si>
  <si>
    <t>1-1/2 कप बेसन, 1/2 गेहूं का आटा, 1 कप मेथी के पत्ते - धुले हुए, 2 हरी मिर्च - बारीक कटी हुई, 1 प्याज - बारीक कटा हुआ, 1 इंच अदरक - कद्दूकस किया हुआ, 1 चम्मच हल्दी पाउडर, 1/2 चम्मच साबुत काली मिर्च - दरदरी कुटी हुई, 1/2 चम्मच काला नमक, नमक - स्वादानुसार, सूरजमुखी का तेल - या घी लगाने के लिए</t>
  </si>
  <si>
    <t>1-1/2 cups Gram flour (besan),1/2 Whole Wheat Flour,1 cup Methi Leaves (Fenugreek Leaves) - washed,2 Green Chillies - finely chopped,1 Onion - finely chopped,1 inch Ginger - grated,1 teaspoon Turmeric powder (Haldi),1/2 teaspoon Whole Black Peppercorns - coarsely pounded,1/2 teaspoon Black Salt (Kala Namak),Salt - to taste,Sunflower Oil - or ghee for smearing</t>
  </si>
  <si>
    <t xml:space="preserve">To begin making the Missi Roti Recipe, combine all the ingredients together in a large bowl. Add a little water at a time and knead to make a firm and smooth dough.Once the dough has come together, drizzle a little oil over the dough and knead to make it smooth and soft.Cover the dough and allow it to rest for at least 15 minutes.Divide the dough into 10 equal portions and shape into balls. Dust in a little flour and roll out each portion of dough into a 4-inch diameter circle.Place the missi roti dough on a preheated iron skillet and cook on both sides using a little oil or ghee. Cook until lightly browned and cooked through. The missi roti will be little crisp from the outside and yet soft inside.Proceed the same way with the remaining dough portions.Serve it hot along with butter and jaggery, accompanied with Sev usal or Palak Makhana Recipe.
</t>
  </si>
  <si>
    <t>मिस्सी रोटी रेसिपी बनाने के लिए, एक बड़े कटोरे में सभी सामग्री को एक साथ मिलाएँ। एक बार में थोड़ा पानी डालें और सख्त और चिकना आटा गूंथ लें। एक बार जब आटा एक साथ आ जाए, तो आटे पर थोड़ा सा तेल छिड़कें और इसे चिकना और मुलायम बनाने के लिए गूंथ लें। आटे को ढककर कम से कम 15 मिनट के लिए रख दें। आटे को 10 बराबर भागों में बाँट लें और बॉल्स का आकार दें। थोड़ा सा आटा छिड़कें और आटे के प्रत्येक भाग को 4 इंच व्यास के गोले में बेल लें। मिस्सी रोटी के आटे को पहले से गरम लोहे की कड़ाही में रखें और थोड़ा तेल या घी का उपयोग करके दोनों तरफ से पकाएँ। हल्का भूरा होने और पकने तक पकाएँ। मिस्सी रोटी बाहर से थोड़ी कुरकुरी और अंदर से नरम होगी। बचे हुए आटे के हिस्सों के साथ भी यही प्रक्रिया अपनाएँ। इसे मक्खन और गुड़ के साथ गरमागरम परोसें, साथ में सेव उसल या पालक मखाना रेसिपी भी खाएँ।</t>
  </si>
  <si>
    <t>http://www.archanaskitchen.com/methi-missi-roti-recipe</t>
  </si>
  <si>
    <t>Sprouted Moong Dhokla Recipe</t>
  </si>
  <si>
    <t>अंकुरित मूंग ढोकला रेसिपी</t>
  </si>
  <si>
    <t>250 ग्राम अंकुरित हरे मूंग, 120 ग्राम बेसन, 1 गाजर, 3 हरी मिर्च, 1 इंच अदरक, 1-1/2 बड़ा चम्मच सूरजमुखी तेल, नमक - स्वादानुसार, 1/2 छोटा चम्मच जीरा पाउडर, 1/2 कप छाछ, 1/2 छोटा चम्मच बेकिंग सोडा, 2 बड़े चम्मच धनिया पत्ती, 1/2 छोटा चम्मच सरसों के बीज, 1/2 छोटा चम्मच तिल, 1 टहनी करी पत्ता</t>
  </si>
  <si>
    <t>250 grams Green Moong Sprouts,120 grams Gram flour (besan),1 Carrot (Gajjar),3 Green Chillies,1 inch Ginger,1-1/2 tablespoon Sunflower Oil,Salt - to taste,1/2 teaspoon Cumin powder (Jeera),1/2 cup Buttermilk,1/2 teaspoon Baking soda,2 tablespoon Coriander (Dhania) Leaves,1/2 teaspoon Mustard seeds,1/2 teaspoon Sesame seeds (Til seeds),1 sprig Curry leaves</t>
  </si>
  <si>
    <t xml:space="preserve">To begin making the Sprouted Moong Dhokla recipe, wash the whole moong and soak them in water for overnight.Rinse again the soaked Moong and place them in a wet muslin cloth and again put them for 6 to 8 hours without disturbing the position.Untie the cloth and check the Moong, The sprouted Moong are ready to use. If they are not sprouted properly, sprinkle some water on them and again tie the cloth for 3 to 4 more hours.Now to make dhokla, first crush the sprouted Moong coarsely and put the paste aside. (Note: To crush the Moong, you can use little amount of water to make coarse paste.)Now, cut the carrot roughly, and add green chilies, ginger and some roughly chopped coriander leaves and make churn them in a mixer grinder.Add this carrot mixture paste in sprouted Moong paste and make a Dhokla batter by adding buttermilk and Gram flour.Season the batter with salt, red chili powder, and cumin seed powder and keep the batter aside.Now heat a dhokla maker with some amount of water in it, and grease the dhokla plate with oil.Let the water starts boiling, Now add Soda bicarb in dhokla batter and 1 tablespoon of oil and mix the batter properly, and place this mixture on dhokla plate, cover it with lid and steam the dhokla at least for 15-20 minutes.If you don't have dhokla maker, simply take a big deep vessel and add water in it, let it starts boiling and place the plate on it which has the exact diameter of that vessel, and spread the dhokla mixture in that plate and cover it with another big size of plate tied with muslin cloth.Serve Sprouted Moong Dhokla along with Dhaniya Pudina Chutney for breakfast or serve as a tea time snack.
</t>
  </si>
  <si>
    <t>अंकुरित मूंग ढोकला बनाने के लिए सबसे पहले साबुत मूंग को धोकर रात भर के लिए पानी में भिगो दें। भीगे हुए मूंग को फिर से धोकर गीले मलमल के कपड़े में बांधकर 6 से 8 घंटे के लिए बिना हिलाए रख दें। कपड़ा खोलकर मूंग को चेक करें, अंकुरित मूंग खाने के लिए तैयार हैं। अगर वे ठीक से अंकुरित नहीं हुए हैं, तो उन पर थोड़ा पानी छिड़कें और फिर से कपड़े को 3 से 4 घंटे के लिए बांध दें। अब ढोकला बनाने के लिए सबसे पहले अंकुरित मूंग को दरदरा पीस लें और पेस्ट को एक तरफ रख दें। (नोट: मूंग को पीसने के लिए, आप थोड़ा पानी डालकर दरदरा पेस्ट बना सकते हैं।) अब गाजर को मोटा-मोटा काट लें, और उसमें हरी मिर्च, अदरक और कुछ मोटा कटा हरा धनिया डालकर मिक्सर ग्राइंडर में पीस लें। इस गाजर के मिश्रण के पेस्ट को अंकुरित मूंग के पेस्ट में मिलाएँ और छाछ और बेसन डालकर ढोकला का घोल बनाएँ। घोल में नमक, लाल मिर्च पाउडर और जीरा पाउडर डालकर सीज़न करें और एक तरफ रख दें। अब एक ढोकला मेकर में थोड़ा पानी डालकर गर्म करें और ढोकला प्लेट को तेल से चिकना करें। पानी में उबाल आने दें, अब ढोकला बैटर में सोडा बाइकार्ब और 1 बड़ा चम्मच तेल डालकर बैटर को अच्छी तरह मिलाएँ और इस मिश्रण को ढोकला प्लेट पर रखें, इसे ढक्कन से ढक दें और ढोकला को कम से कम 15-20 मिनट तक भाप में पकाएँ उस प्लेट में ढोकला मिश्रण डालें और इसे मलमल के कपड़े से बंधी एक और बड़ी प्लेट से ढक दें। अंकुरित मूंग ढोकला को धनिया पुदीना चटनी के साथ नाश्ते में परोसें या चाय के समय नाश्ते के रूप में परोसें।</t>
  </si>
  <si>
    <t>https://www.archanaskitchen.com/sprouted-moong-dhokla-recipe</t>
  </si>
  <si>
    <t>Kathiyawadi Stuffed Onion Recipe</t>
  </si>
  <si>
    <t>काठियावाड़ी भरवां प्याज रेसिपी</t>
  </si>
  <si>
    <t>300 ग्राम सांबर प्याज, 3/4 कप भुनी मूंगफली, 10 लहसुन की कलियां, 2 बड़े चम्मच धनिया पाउडर, 2 बड़े चम्मच लाल मिर्च पाउडर, 1 छोटा चम्मच जीरा, 1/2 छोटा चम्मच हल्दी, 4 बड़े चम्मच धनिया पत्ते - बारीक कटे हुए, 2 छोटे चम्मच सूरजमुखी तेल - भरावन के लिए, नमक - स्वादानुसार</t>
  </si>
  <si>
    <t>300 grams Pearl onions (Sambar Onions),3/4 cup Roasted Peanuts (Moongphali),10 cloves Garlic,2 tablespoons Coriander Powder (Dhania),2 tablespoons Red Chilli powder,1 teaspoon Cumin powder (Jeera),1/2 teaspoon Turmeric powder (Haldi),4 tablespoons Coriander (Dhania) Leaves - finely chopped,2 teaspoons Sunflower Oil - for the stuffing,Salt - to taste</t>
  </si>
  <si>
    <t xml:space="preserve">To begin making Kathiyawadi Stuffed Onion Recipe, peel the baby onions, keeping the base intact make 4 slits in the shape of a cross to help us fill the stuffing. Keep aside.For the stuffing, make a coarse dry mix of the roasted peanuts, garlic cloves, coriander powder, red chilli powder, cumin, turmeric and salt using a mixer grinder and transfer into a bowl.Now add the chopped coriander, about 2 teaspoons oil to the filling mixture and mix well till the mixture turns crumbly.Take the baby onions and carefully fill in the ground mixture into the slits of each one of them.Heat oil in a non stick pan on medium flame, place the stuffed onions on the surface of the pan and let it cook on low heat for 5 minutes.Add about 1/4 cup of water, add the remaining stuffing mix, close it with a lid and let the onions cook in the steam. This will take about 10 minutes.Saute sparingly if required in between. Make sure the onions are cooked well while still retaining its shape.Once the onions are cooked, switch off the heat and garnish Kathiyawadi Stuffed Onion with coriander leaves.Serve the Kathiyawadi Stuffed Onion Recipe along with Methi Jowar Roti Recipe and Gujarati Dal Recipe for a delightful weeknight dinner.
</t>
  </si>
  <si>
    <t>काठियावाड़ी भरवां प्याज बनाने के लिए सबसे पहले छोटे प्याज को छील लें, और बेस को बरकरार रखते हुए 4 क्रॉस के आकार में चीरा लगाएं ताकि भरावन भरने में हमारी मदद हो सके। एक तरफ रख दें। भरावन के लिए, भुनी हुई मूंगफली, लहसुन, धनिया पाउडर, लाल मिर्च पाउडर, जीरा, हल्दी और नमक को मिक्सर ग्राइंडर में डालकर मोटा सूखा मिश्रण बना लें और एक बाउल में निकाल लें। अब भरावन के मिश्रण में कटा हरा धनिया और लगभग 2 चम्मच तेल डालें और अच्छी तरह मिलाएँ जब तक मिश्रण चूर्ण जैसा न हो जाए। छोटे प्याज लें और उनमें से प्रत्येक के चीरों में सावधानी से पिसा हुआ मिश्रण भरें। एक नॉन स्टिक पैन में मध्यम आंच पर तेल गर्म करें, भरे हुए प्याज को पैन की सतह पर रखें और धीमी आंच पर 5 मिनट तक पकने दें सुनिश्चित करें कि प्याज अच्छी तरह से पका हो और उसका आकार बरकरार रहे। प्याज पक जाने के बाद, आंच बंद कर दें और काठियावाड़ी भरवां प्याज को धनिया पत्ती से गार्निश करें। काठियावाड़ी भरवां प्याज रेसिपी को मेथी ज्वार रोटी रेसिपी और गुजराती दाल रेसिपी के साथ एक शानदार रात के खाने के लिए परोसें।</t>
  </si>
  <si>
    <t>http://www.archanaskitchen.com/kathiyawadi-stuffed-onion-recipe</t>
  </si>
  <si>
    <t>Gujarati Tawa Handvo Recipe With Sweet Corn</t>
  </si>
  <si>
    <t>मीठे मकई के साथ गुजराती तवा हांडवो रेसिपी</t>
  </si>
  <si>
    <t>1/2 कप चावल - (कच्चा चावल), 1/2 कप चना दाल, 1/2 कप सफेद उड़द दाल (साबुत), 1 हरी मिर्च, 1 इंच अदरक - कटा हुआ, नमक - स्वादानुसार, 1/2 चम्मच तिल, 1 चम्मच करी पत्ता - बारीक कटा हुआ, 1/4 चम्मच एसएसपी हींग, 1/4 चम्मच लाल मिर्च पाउडर, 1 बड़ा चम्मच सूरजमुखी तेल, 2 कप स्वीट कॉर्न</t>
  </si>
  <si>
    <t>1/2 cup Rice - (raw rice),1/2 cup Chana dal (Bengal Gram Dal),1/2 cup White Urad Dal (Whole),1 Green Chillies,1 inch Ginger - chopped,Salt - to taste,1/2 teaspoon Sesame seeds (Til seeds),1 teaspoon Curry leaves - finely chopped,1/4 teaspoon SSP Asafoetida (Hing),1/4 teaspoon Red Chilli powder,1 tablespoon Sunflower Oil,2 cups Sweet corn</t>
  </si>
  <si>
    <t xml:space="preserve">To begin making the Tawa Handvo With Corn recipe we first need to wash and soak the rice and dal together for at least 4 to 5 hours.Grind the rice, dal, green chillies, ginger along with the soaked water to make a thick batter that is slightly coarse. The coarseness should feel like fine semolina.The consistency of the batter should be such that when you use a ladle to pour it should fall in dollops. Stir in the salt and allow the mixture to ferment for 8 hours.Once fermented you will notice the handvo  batter has risen.  Gently stir in a tablespoon of oil to the batter. If your batter for some reason did not rise; stir 2 teaspoons of eno fruit salt into the batter and you will notice the air bubbles start popping out from the batter.Heat one tablespoon of oil in a nonstick skillet (8 inches diameter) on medium high heat; add the sesame seeds curry leaves; allow them to crackle. Turn the heat to low and sprinkle the red chilli powder and asafoetida into the oil.Sprinkle and spread some sweet corn evenly around the bottom of the pan.Pour two ladles of batter into the pan and gently spread the batter evenly onto the pan. As you spread the batter the seasoning mixture will spread to the side; allow the seasoning to rest in place where it has spread as this gives a special crunchiness to the sides of the Tawa Handvo.Turn the heat low, drizzle a teaspoon of oil around the batter and cover the pan. Simmer for 3-4 minutes until the top feels cooked and steamed.Once you notice the top is cooked and there is no trace of raw batter, gently flip the Tawa Handvo with the help of a broad flat spatula to the opposite side and turn the heat to medium high.Allow the Tawa Handvo to turn golden brown and crisp. Flip over once again and allow the other side to brown and crisp slightly. Continue making similar Tawa Handvo with Corn with the rest of the batter and serve hot.Serve Tawa Handvo With Corn along with Gor Keri pickle or with Gor (jaggery) and homemade butter for breakfast or a weeknight dinner.
</t>
  </si>
  <si>
    <t>तवा हांडवो विद कॉर्न रेसिपी बनाने के लिए सबसे पहले चावल और दाल को धोकर कम से कम 4 से 5 घंटे के लिए भिगो दें। चावल, दाल, हरी मिर्च, अदरक को भिगोए हुए पानी के साथ पीसकर गाढ़ा घोल बना लें जो थोड़ा दरदरा हो। यह दरदरापन बारीक सूजी जैसा महसूस होना चाहिए। घोल की स्थिरता ऐसी होनी चाहिए कि जब आप इसे डालने के लिए करछुल का उपयोग करें तो यह छोटी-छोटी बूंदों में गिरना चाहिए। नमक डालकर हिलाएं और मिश्रण को 8 घंटे के लिए खमीर उठने दें। खमीर उठने के बाद आप पाएंगे कि हांडवो का घोल फूल गया है। घोल में एक बड़ा चम्मच तेल धीरे से मिलाएं। अगर किसी कारण से आपका घोल नहीं फूला है; तो घोल में 2 छोटे चम्मच इनो फ्रूट सॉल्ट मिलाएं और आप देखेंगे कि घोल से हवा के बुलबुले निकलने लगे आँच को धीमा कर दें और तेल में लाल मिर्च पाउडर और हींग छिड़क दें। पैन के नीचे कुछ स्वीट कॉर्न समान रूप से छिड़कें और फैलाएँ। पैन में दो चमच्च घोल डालें और धीरे से पैन पर समान रूप से घोल फैलाएँ। जैसे ही आप घोल फैलाएँगे, मसाला मिश्रण किनारे पर फैल जाएगा; मसाले को जहाँ फैला है, वहीं रहने दें क्योंकि इससे तवा हांडवो के किनारों को एक विशेष कुरकुरापन मिलता है। आँच को धीमा कर दें, घोल के चारों ओर एक चम्मच तेल छिड़कें और पैन को ढक दें। 3-4 मिनट तक पकाएँ जब तक कि ऊपरी हिस्सा पक न जाए और भाप न बन जाए। जब ​​आप देखें कि ऊपरी हिस्सा पक गया है और कच्चे घोल का कोई निशान नहीं है, तो तवा हांडवो को एक चौड़े चपटे स्पैचुला की मदद से धीरे से दूसरी तरफ पलट दें और आँच को मध्यम तेज़ कर दें। तवा हांडवो को सुनहरा भूरा और कुरकुरा होने दें। एक बार फिर पलटें और दूसरी तरफ से भी भूरा और कुरकुरा होने दें। बचे हुए बैटर के साथ कॉर्न के साथ इसी तरह तवा हांडवो बनाना जारी रखें और गरमागरम परोसें। कॉर्न के साथ तवा हांडवो को गोर केरी अचार के साथ या गोर (गुड़) और घर के बने मक्खन के साथ नाश्ते या रात के खाने के लिए परोसें।</t>
  </si>
  <si>
    <t>http://www.archanaskitchen.com/gujarati-tawa-handvo-recipe-with-sweet-corn</t>
  </si>
  <si>
    <t>Kuvar Pak Recipe</t>
  </si>
  <si>
    <t>कुवार पाक रेसिपी</t>
  </si>
  <si>
    <t>500 मिली दूध - फुल फैट, 1/2 कप एलोवेरा एक्सट्रैक्ट - (एलोवेरा के पत्तों के अंदर सफेद जेली), 1/2 कप ताजा क्रीम, 1 बड़ा चम्मच घी, 2 बड़े चम्मच चीनी, 2 बड़े चम्मच पिस्ता - उबालकर कटा हुआ</t>
  </si>
  <si>
    <t>500 ml Milk - full fat,1/2 cup Aloe vera extract - (white jelly within aloe vera leaves),1/2 cup Fresh cream,1 tablespoon Ghee,2 tablespoons Sugar,2 tablespoons Pistachios - blanched and sliced</t>
  </si>
  <si>
    <t xml:space="preserve">To prepare Kuvar Pak Recipe take 500 ml of full fat milk in a thick bottomed pan &amp; start to heat the milk on a low to medium flame, till the milk starts to froth or form a layer of cream/malai on top.Once a layer of cream is started to form, add aloe-vera extract in milk and stir with spatula.Keep on simmering the milk, stir it until milk gets reduced to 1/3rd or 1/4th of its original quantity. Milk reduced to white thick cream consistency.Meanwhile, dissolve sugar in a little water and heat in a saucepan till you get sugar syrup of one string-consistency. Also grease a plate with ghee or butter and keep ready to pour the aloe vera sweet when done.When the milk is reduced to almost 1/4th its initial quantity, add fresh cream and stir it, after some time, the milk starts to get brownish colour. That's the right time to add sugar syrup. Mix well until combined.Switch off flame and spread this aloe vera mixture evenly on the greased plate.After five minutes or when still the kuvar pak is hot, pour melted butter or ghee on top, such that it forms a top most layer.When it cools down completely, refrigerate the plate with the aloe vera sweet for an hour, such that the butter/ghee on the top solidifies.Run a knife around the edges and cut the sweet to desired shapes, before demoulding them. you can garnish with the sliced pistachios and serve during evening or after lunch.
</t>
  </si>
  <si>
    <t>कुँवर पाक रेसिपी बनाने के लिए एक मोटे तले वाले पैन में 500 मिली फुल फैट दूध लें और दूध को धीमी से मध्यम आँच पर तब तक गर्म करना शुरू करें जब तक कि दूध में झाग न आने लगे या ऊपर क्रीम/मलाई की एक परत न बन जाए। जब ​​क्रीम की एक परत बननी शुरू हो जाए, तो दूध में एलोवेरा का अर्क डालें और स्पैचुला से चलाएँ। दूध को उबालते रहें, इसे तब तक हिलाते रहें जब तक कि दूध अपनी मूल मात्रा का 1/3 या 1/4 न हो जाए। दूध सफेद गाढ़ी क्रीम की स्थिरता में आ जाए। इस बीच, चीनी को थोड़े से पानी में घोलें और एक सॉस पैन में तब तक गर्म करें जब तक कि एक तार की चाशनी न बन जाए। इसके अलावा एक प्लेट को घी या मक्खन से चिकना करें और तैयार रखें जब एलोवेरा की मिठाई तैयार हो जाए। जब ​​दूध अपनी प्रारंभिक मात्रा के लगभग 1/4 तक कम हो जाए, अच्छी तरह से मिलाएँ। आंच बंद कर दें और इस एलोवेरा मिश्रण को चिकनी की हुई प्लेट पर समान रूप से फैलाएँ। पाँच मिनट के बाद या जब कुँवर पाक अभी भी गर्म हो, तो ऊपर पिघला हुआ मक्खन या घी डालें, ताकि यह सबसे ऊपर की परत बन जाए। जब ​​यह पूरी तरह से ठंडा हो जाए, तो एलोवेरा मिठाई वाली प्लेट को एक घंटे के लिए ठंडा करें, ताकि ऊपर का मक्खन/घी जम जाए। किनारों पर चाकू चलाएँ और मिठाई को मनचाहे आकार में काट लें, फिर उन्हें मोल्ड से निकालें। आप कटे हुए पिस्ते से गार्निश कर सकते हैं और शाम को या दोपहर के भोजन के बाद परोस सकते हैं।</t>
  </si>
  <si>
    <t>https://www.archanaskitchen.com/kuvar-pak-recipe-aloe-vera-sweet-recipe</t>
  </si>
  <si>
    <t>tamilname</t>
  </si>
  <si>
    <t>ingredients_ta</t>
  </si>
  <si>
    <t>instructions_tn</t>
  </si>
  <si>
    <t>Kongunadu Style Vetrilai Sadam Recipe - Betel Leaves Rice</t>
  </si>
  <si>
    <t>கொங்குநாடு ஸ்டைல் ​​வெற்றிலை சாதம் செய்முறை - வெற்றிலை சாதம்</t>
  </si>
  <si>
    <t>5 வெற்றிலை (பான்), 2 கப் சமைத்த அரிசி, 10 கிராம்பு பூண்டு - நசுக்கியது, 2 டீஸ்பூன் சூரியகாந்தி எண்ணெய், 1 டீஸ்பூன் கடுகு, 1/2 டீஸ்பூன் சனா பருப்பு (வங்காளப் பருப்பு), 1/2 டீஸ்பூன் வெள்ளை உளுத்தம் பருப்பு (பிளவு), 1 துளிர் கறிவேப்பிலை, 1/4 கப் (வறுத்த சிகப்பு, 4 கப்), மிளகாய் - நறுக்கியது, உப்பு - தேவைக்கேற்ப, 1 டேபிள் ஸ்பூன் சீரகம் (ஜீரா), 1 டேபிள் ஸ்பூன் பெருஞ்சீரகம் (சான்ஃப்), 1 டீஸ்பூன் முழு கருப்பு மிளகு, 2 டேபிள் ஸ்பூன் எள் (தில் விதைகள்), 1 துளிர் கறிவேப்பிலை</t>
  </si>
  <si>
    <t>5 Betel leaves (paan),2 cups Cooked rice,10 cloves Garlic - crushed,2 teaspoons Sunflower Oil,1 teaspoon Mustard seeds,1/2 teaspoon Chana dal (Bengal Gram Dal),1/2 teaspoon White Urad Dal (Split),1 sprig Curry leaves,1/4 cup Roasted Peanuts (Moongphali),10 Cashew nuts,4 Fresh Red chillies - chopped,Salt - as required,1 tablespoon Cumin seeds (Jeera),1 tablespoon Fennel seeds (Saunf),1 teaspoon Whole Black Peppercorns,2 tablespoons Sesame seeds (Til seeds),1 sprig Curry leaves</t>
  </si>
  <si>
    <t xml:space="preserve">To begin making Kongunadu Style Vetrilai Sadam Recipe, wash and cook rice adding just sufficient water so that the rice is not sticky and the grains are cooked yet separate. You can also use leftover rice for preparing this.Next, we will prepare the masala for the rice.Dry roast Cumin seeds, Fennel seeds, Pepper seeds and Sesame seeds until golden.Add the curry leaves and roast for another minute. Allow it to cool completely and grind into a coarse powder. Heat a Kadai with oil, add mustard seeds, chana dal and Urad dal. Once the dals turn golden brown add curry leaves, chopped red chillies, peanuts and cashews.Saute until the cashews and peanuts turn golden color. Add crushed garlic and saute until raw smell goes away. Tear the betel leaves roughly and add it to the pan and saute until the leaves shrink. Now add the ground masala powder and stir all ingredients well for a minute. Turn off the heat and add cooked rice along with required salt. Toss and mix well until everything is combined. Check for salt an serve Kongunadu Style Vetrilai Sadam hot.Serve Vetrilai Sadam or Betel Nut Leaves Sadam along with Tomato Cucumber Raita and Masala Vadai for a wonderful Sunday lunch.
</t>
  </si>
  <si>
    <t xml:space="preserve">கொங்குநாடு ஸ்டைல் ​​வெற்றிலை சாதம் ரெசிபியைத் தொடங்க, அரிசியைக் கழுவி, தேவையான அளவு தண்ணீர் சேர்த்து சமைக்கவும், அதனால் அரிசி ஒட்டாமல் இருக்கும் மற்றும் தானியங்கள் தனித்தனியாக சமைக்கப்படும். இதைத் தயாரிக்க மீதமுள்ள அரிசியையும் பயன்படுத்தலாம்.அடுத்து, அரிசிக்கு மசாலாவை தயார் செய்வோம்.உலர்ந்த வறுத்த சீரகம், பெருஞ்சீரகம், மிளகுத்தூள் மற்றும் எள்ளை பொன்னிறமாக வறுக்கவும். கறிவேப்பிலை சேர்த்து மற்றொரு நிமிடம் வறுக்கவும். அதை முழுமையாக ஆறவைத்து, கரடுமுரடான பொடியாக அரைக்கவும். கடாயை எண்ணெயுடன் சூடாக்கி, கடுகு, சனா பருப்பு மற்றும் உளுத்தம் பருப்பு சேர்க்கவும். பருப்புகள் பொன்னிறமாக மாறியதும் கறிவேப்பிலை, நறுக்கிய சிவப்பு மிளகாய், வேர்க்கடலை மற்றும் முந்திரி சேர்க்கவும். முந்திரி மற்றும் வேர்க்கடலை பொன்னிறமாகும் வரை வதக்கவும். நறுக்கிய பூண்டு சேர்த்து பச்சை வாசனை போகும் வரை வதக்கவும். வெற்றிலையை தோராயமாக கிழித்து வாணலியில் சேர்த்து இலைகள் சுருங்கும் வரை வதக்கவும். இப்போது அரைத்த மசாலா தூள் சேர்த்து அனைத்து பொருட்களையும் ஒரு நிமிடம் நன்கு கிளறவும். அடுப்பை அணைத்து, தேவையான உப்பு சேர்த்து வேகவைத்த அரிசியை சேர்க்கவும். எல்லாம் ஒன்று சேரும் வரை நன்றாக கலக்கவும். கொங்குநாடு ஸ்டைல் ​​வெற்றிலைச் சாதம் சூடாகப் பரிமாறவும்
</t>
  </si>
  <si>
    <t>https://www.archanaskitchen.com/kongunadu-style-vetrilai-sadam-recipe-betel-leaves-rice</t>
  </si>
  <si>
    <t>Kongunadu</t>
  </si>
  <si>
    <t>Kongunadu Special Pattani Biryani Recipe (Green Peas Biryani From Kongunadu)</t>
  </si>
  <si>
    <t>கொங்குநாடு ஸ்பெஷல் பட்டாணி பிரியாணி செய்முறை (Green Peas Biryani From Kogunadu)</t>
  </si>
  <si>
    <t>2 கப் பாசுமதி அரிசி, 2 டேபிள் ஸ்பூன் சூரியகாந்தி எண்ணெய், 2 பே இலைகள் (தேஜ் பட்டா), 3-4 ஏலக்காய் (எலைச்சி) காய்கள்/விதைகள், 1 இன்ச் இலவங்கப்பட்டை (டால்சினி), 3 கிராம்பு (லாங்), 1 தேக்கரண்டி பெருஞ்சீரகம் விதைகள் (சான்ஃப்), 1 கப் முத்து வெங்காயம் - 1 கப் முத்து வெங்காயம், முழு வெங்காயம் (சாம்பார் 3 வெங்காயம்) இஞ்சி - துருவியது, 4 பச்சை மிளகாய் - நீளவாக்கில் கீறியது, 2 தக்காளி - பொடியாக நறுக்கியது, 1/2 கப் புதினா இலைகள் (புதினா) - பொடியாக நறுக்கியது, 1/2 டீஸ்பூன் மஞ்சள் தூள் (ஹால்டி), 1-1/2 கப் பச்சை பட்டாணி (மத்தர்), உப்பு - சுவைக்கேற்ப, கொத்தமல்லி (தானியா) - பொடியாக நறுக்கியது.</t>
  </si>
  <si>
    <t>2 cups Basmati rice,2 tablespoons Sunflower Oil,2 Bay leaves (tej patta),3-4 Cardamom (Elaichi) Pods/Seeds,1 inch Cinnamon Stick (Dalchini),3 Cloves (Laung),1 teaspoon Fennel seeds (Saunf),1 cup Pearl onions (Sambar Onions) - peeled and kept whole,3 cloves Garlic - grated,1 Ginger - grated,4 Green Chillies - slit lengthwise,2 Tomatoes - finely chopped,1/2 cup Mint Leaves (Pudina) - finely chopped,1/2 teaspoon Turmeric powder (Haldi),1-1/2 cups Green peas (Matar),Salt - to taste,Coriander (Dhania) Leaves - small bunch finely chopped</t>
  </si>
  <si>
    <t xml:space="preserve">To begin making the Kongunadu Special Pattani Biryani Recipe, wash rice and soak in water for 30 minutes. Drain and set it aside.Heat a tablespoon of oil in a heavy bottomed pan over medium heat. Add chopped mint leaves, bay leaves, cardamom, cinnamon, cloves and fennel seeds. Saute for a minute.Add Shallots (sambar onions) and fry for about 5 minutes till golden. Add the ginger, garlic and green chillies. Cook for another 2 minutes, stirring continuously until you can smell a good aroma.Add in the tomatoes, turmeric and saute until the tomato softens. Finally add in the green peas, the washed rice and 4 cups of water. Add salt to taste. Bring the Pattani Biryani to a brisk boil. Once the rice comes to a brisk boil, turn the heat to low, cover the pan and cook the Pattani Biryani until all the water is absorbed and rice is tender and fluffy.Once done, turn off the heat and allow the Kongunadu Special Pattani Biryani to rest in the pan for 5 minutes and then open to stir in lime juice and coriander leaves. Serve the Kongunadu Special Pattani Biryani along with a Thakkali Vengaya Pachadi for lunch or a weeknight dinner.
</t>
  </si>
  <si>
    <t xml:space="preserve">கொங்குநாடு ஸ்பெஷல் பட்டாணி பிரியாணி செய்முறையைத் தொடங்க, அரிசியைக் கழுவி தண்ணீரில் 30 நிமிடம் ஊற வைக்கவும். அதை இறக்கி ஒதுக்கி வைக்கவும். மிதமான தீயில் அடி கனமான பாத்திரத்தில் ஒரு தேக்கரண்டி எண்ணெயை சூடாக்கவும். நறுக்கிய புதினா இலைகள், வளைகுடா இலைகள், ஏலக்காய், இலவங்கப்பட்டை, கிராம்பு மற்றும் பெருஞ்சீரகம் விதைகள் சேர்க்கவும். ஒரு நிமிடம் வதக்கவும். வெண்டைக்காயை (சாம்பார் வெங்காயம்) சேர்த்து சுமார் 5 நிமிடங்கள் பொன்னிறமாகும் வரை வறுக்கவும். இஞ்சி, பூண்டு மற்றும் பச்சை மிளகாய் சேர்க்கவும். ஒரு நல்ல வாசனை வரும் வரை தொடர்ந்து கிளறி மற்றொரு 2 நிமிடங்களுக்கு சமைக்கவும். தக்காளி, மஞ்சள்தூள் சேர்த்து தக்காளி மென்மையாகும் வரை வதக்கவும். இறுதியாக பச்சை பட்டாணி, கழுவிய அரிசி மற்றும் 4 கப் தண்ணீர் சேர்க்கவும். சுவைக்கு உப்பு சேர்க்கவும். பட்டாணி பிரியாணியை வேகவைத்து கொதிக்க வைக்கவும். அரிசி கொதித்ததும், தீயைக் குறைத்து, கடாயை மூடி, தண்ணீர் முழுவதும் உறிஞ்சப்பட்டு, அரிசி மென்மையாகவும், பஞ்சுபோன்றதாகவும் இருக்கும் வரை பட்டாணி பிரியாணியை சமைக்கவும். முடிந்ததும், வெப்பத்தை அணைத்து, கொங்குநாடு ஸ்பெஷல் பட்டாணி பிரியாணியை 5 நிமிடம் வாணலியில் வைத்து, பின்னர் சுண்ணாம்பு சாறு மற்றும் கொத்தமல்லி இலைகளை கிளறவும். கொங்குநாடு ஸ்பெஷல் பட்டாணி பிரியாணியை தக்கலி வெங்கையா பச்சடியுடன் மதிய உணவு அல்லது வார இரவு உணவாக பரிமாறவும்.
</t>
  </si>
  <si>
    <t>http://www.archanaskitchen.com/kongunadu-special-pattani-biryani-recipe-green-peas-biryani-from-kongunadu</t>
  </si>
  <si>
    <t>Kongunadu Style Kalan kuzhambu Recipe - Mushroom Curry</t>
  </si>
  <si>
    <t>கொங்குநாடு ஸ்டைல் ​​கலன் குழம்பு செய்முறை - காளான் குழம்பு</t>
  </si>
  <si>
    <t>500 கிராம் பட்டன் காளான் - கால், 1 வெங்காயம் - நறுக்கியது, 1 பச்சை மிளகாய் - கீறல், 1 துளிர் கறிவேப்பிலை, 1 டீஸ்பூன் கடுகு, உப்பு - ருசிக்கேற்ப, சூரியகாந்தி எண்ணெய், 2 தேக்கரண்டி கொத்தமல்லி (தானியா) விதைகள், 3 காய்ந்த மிளகாய், 1 இன்ச் இலவங்கப்பட்டை (டால்சீனி விதைகள்), 2 தேக்கரண்டி (ஜீரா), 1 தேக்கரண்டி பெருஞ்சீரகம் விதைகள் (சான்ஃப்), 1 தேக்கரண்டி முழு கருப்பு மிளகு, 1 வெங்காயம் - நறுக்கிய, 4 பல் பூண்டு, 1 இன்ச் இஞ்சி, 4 தேக்கரண்டி புதிய தேங்காய் - துருவல், 2 தேக்கரண்டி கரம் மசாலா தூள்</t>
  </si>
  <si>
    <t>500 grams Button mushrooms - quartered,1 Onion - chopped,1 Green Chilli - slit,1 sprig Curry leaves,1 teaspoon Mustard seeds,Salt - to taste,Sunflower Oil,2 tablespoon Coriander (Dhania) Seeds,3 Dry Red Chilli,1 inch Cinnamon Stick (Dalchini),2 Cloves (Laung),1 teaspoon Cumin seeds (Jeera),1 teaspoon Fennel seeds (Saunf),1 teaspoon Whole Black Peppercorns,1 Onion - chopped,4 cloves Garlic,1 inch Ginger,4 tablespoon Fresh coconut - grated,2 tablespoons Garam masala powder</t>
  </si>
  <si>
    <t xml:space="preserve">To begin making the Kongunadu Style Kalan kuzhambu Recipe, we will heat a skillet with oil, add cloves, cinnamon stick, peppercorns, fennel seeds and cumin seeds.Allow it to sizzle for few seconds. Add ginger and garlic and saute till they soften.Add chopped onions and saute till they turn translucent and add grated coconut and saute till they turn light brown. Add garam masala and mix well, cook for another 10 minutes and switch off the heat.Rest for few seconds and grind it along with water to a smooth paste.Heat a kadai with oil, add mustard seeds and allow it to splutter for few seconds, add curry leaves and allow it to crackle.Add onions and saute till they turn translucent. Add in chopped green chillies and mushroom and toss well till the mushroom has cooked.You can add the freshly ground paste now and mix well, check for salt and add 1 cup of water and cook for around 10 minutes a until it becomes to a rolling boil, turn off the flame, transfer into a serving bowl and serve hot. Serve the Kongunadu Style Kalan kuzhambu Recipe along with parotta and Moong Sprouts Usal Recipe (Indian Salad Chaat).
</t>
  </si>
  <si>
    <t xml:space="preserve">கொங்குநாடு ஸ்டைல் ​​காளான் குழம்பு செய்முறையைத் தொடங்க, ஒரு வாணலியை எண்ணெயுடன் சூடாக்கி, கிராம்பு, இலவங்கப்பட்டை, மிளகுத்தூள், பெருஞ்சீரகம் மற்றும் சீரகம் ஆகியவற்றைச் சேர்த்து, சில நொடிகள் சிஸ்ஸில் விடவும். இஞ்சி மற்றும் பூண்டு சேர்த்து மென்மையாகும் வரை வதக்கவும். நறுக்கிய வெங்காயத்தைச் சேர்த்து, அவை ஒளிரும் வரை வதக்கி, தேங்காய் துருவலைச் சேர்த்து, வெளிர் பழுப்பு நிறமாக மாறும் வரை வதக்கவும். கரம் மசாலாவை சேர்த்து நன்கு கலக்கவும், மேலும் 10 நிமிடம் சமைக்கவும், வெப்பத்தை அணைக்கவும். சில நொடிகள் ஓய்வெடுத்து, தண்ணீர் சேர்த்து ஒரு மென்மையான பேஸ்ட்டாக அரைக்கவும். கடாயை எண்ணெயுடன் சூடாக்கி, கடுகு சேர்த்து சில நொடிகள் துடைக்க அனுமதிக்கவும், கறிவேப்பிலை சேர்த்து வெடிக்க அனுமதிக்கவும். வெங்காயம் சேர்த்து அவை ஒளிரும் வரை வதக்கவும். நறுக்கிய பச்சை மிளகாய் மற்றும் காளான் சேர்த்து, காளான் வேகும் வரை நன்கு கிளறவும். நீங்கள் இப்போது புதிதாக அரைத்த விழுதைச் சேர்த்து நன்கு கலக்கலாம், உப்பு சரிபார்த்து, 1 கப் தண்ணீர் சேர்த்து, ஒரு கொதி நிலைக்கு வரும் வரை சுமார் 10 நிமிடங்கள் சமைக்கவும், தீயை அணைத்து, பரிமாறும் பாத்திரத்தில் மாற்றி சூடாக பரிமாறவும். கொங்குநாடு ஸ்டைல் ​​கலன் குழம்பு ரெசிபியை பரோட்டா மற்றும் மூங் ஸ்ப்ரூட்ஸ் உசல் ரெசிபியுடன் (இந்திய சாலட் சாட்) பரிமாறவும்.
</t>
  </si>
  <si>
    <t>http://www.archanaskitchen.com/kongunadu-style-kalan-kauzhambu-recipe-mushroom-curry</t>
  </si>
  <si>
    <t>germanName</t>
  </si>
  <si>
    <t>frenchName</t>
  </si>
  <si>
    <t>spanishName</t>
  </si>
  <si>
    <t>ingredients_french</t>
  </si>
  <si>
    <t>ingredients_spanish</t>
  </si>
  <si>
    <t>instructions_spanish</t>
  </si>
  <si>
    <t>instructions_french</t>
  </si>
  <si>
    <t>Homemade Tater Tots Recipe</t>
  </si>
  <si>
    <t>Rezept für hausgemachte Tater Tots</t>
  </si>
  <si>
    <t>Recette de tater tots maison</t>
  </si>
  <si>
    <t>Receta de Tater Tots Caseros</t>
  </si>
  <si>
    <t>10 pommes de terre (Aloo), 1 cuillère à café de poudre d'ail, 1 cuillère à café de poudre d'oignon, 1 cuillère à café d'origan séché, 1 cuillère à soupe de feuilles de coriandre (Dhania) - finement hachées, 1 cuillère à café de flocons de piment rouge, 2 cuillères à soupe de farine tout usage (Maida), 1 cuillère à soupe de farine de riz, sel - au goût, huile de tournesol - pour faire frire les tater tots</t>
  </si>
  <si>
    <t>10 Potatoes (Aloo),1 teaspoon Garlic powder,1 teaspoon Onion powder,1 teaspoon Dried oregano,1 tablespoon Coriander (Dhania) Leaves - finely chopped,1 teaspoon Red Chilli flakes,2 tablespoon All Purpose Flour (Maida),1 tablespoon Rice flour,Salt - to taste,Sunflower Oil - for deep frying the tater tots</t>
  </si>
  <si>
    <t>10 papas (Aloo), 1 cucharadita de ajo en polvo, 1 cucharadita de cebolla en polvo, 1 cucharadita de orégano seco, 1 cucharada de hojas de cilantro (Dhania) finamente picadas, 1 cucharadita de hojuelas de chile rojo, 2 cucharadas de harina multiusos (Maida), 1 cucharada de harina de arroz, sal - al gusto, aceite de girasol - para freír los tater tots</t>
  </si>
  <si>
    <t xml:space="preserve">To begin making the Homemade Tater Tots Recipe, scrub potatoes thoroughly and wash them until clean. Peel the skin of the potatoes and we will not parboil the potatoes in hot water. In a large saucepan, add the potatoes and boil it brisk for about 5 to 7 minutes. After 5 to 7 minutes the potatoes would have boiled through slightly, but firm.Once boiled, water the potatoes until cold water and pat dry. This process will cool the potatoes a little. Once slightly cooled, grate the potatoes into a large mixing bowl. Add the garlic powder, onion powder, dried oregano, red chili flakes, fresh coriander leaves, salt to taste, all purpose flour, rice flour and mix well to form a dough like consistency.The next step is to shape the potatoes and deep fry the tater tots. Grease your fingers and palm with oil and shape the potatoes into bite size ovals (cylinders).Heat oil in a pan for deep frying over medium heat. Carefully drop each one of the shaped Tater Tots in oil and fry them on medium heat until golden brown on all sides.Once done, remove the Tater Tots from the oil and place it on kitchen paper towels to absorb the excess oil.Serve the Tater Tots with tomato ketchup or a Sichuan Style Bird Eye Chili Sauce as a tea time snack or as an appetizer for parties.
</t>
  </si>
  <si>
    <t>Para comenzar a hacer la Receta de Tater Tots Caseros, frote bien las papas y lávelas hasta que estén limpias. Pele la piel de las papas y no las herviremos en agua caliente. En una cacerola grande, agregue las papas y hiérvalas a fuego rápido durante unos 5 a 7 minutos. Después de 5 a 7 minutos, las papas se habrán hervido ligeramente, pero firmes. Una vez hervidas, riegue las papas hasta que estén frías y séquelas. Este proceso enfriará un poco las papas. Una vez que se hayan enfriado un poco, ralle las papas en un tazón grande. Agregue el ajo en polvo, la cebolla en polvo, el orégano seco, las hojuelas de chile rojo, las hojas de cilantro fresco, la sal al gusto, la harina para todo uso, la harina de arroz y mezcle bien hasta formar una consistencia similar a la de una masa. El siguiente paso es dar forma a las papas y freír los tater tots. Engrase sus dedos y palma con aceite y dé forma a las papas en óvalos del tamaño de un bocado (cilindros). Caliente el aceite en una sartén para freír a fuego medio. Con cuidado, coloca cada Tater Tots en aceite y fríelos a fuego medio hasta que estén dorados por todos lados. Una vez listos, retira los Tater Tots del aceite y colócalos sobre papel absorbente para absorber el exceso de aceite. Sirve los Tater Tots con kétchup de tomate o salsa de chile Bird Eye al estilo Sichuan como refrigerio para la hora del té o como aperitivo para fiestas.</t>
  </si>
  <si>
    <t>Pour commencer à préparer la recette de Tater Tots maison, frottez soigneusement les pommes de terre et lavez-les jusqu'à ce qu'elles soient propres. Épluchez la peau des pommes de terre et nous ne les blanchirons pas à l'eau chaude. Dans une grande casserole, ajoutez les pommes de terre et faites-les bouillir à feu vif pendant environ 5 à 7 minutes. Après 5 à 7 minutes, les pommes de terre auront légèrement bouilli, mais seront fermes. Une fois bouillies, arrosez les pommes de terre jusqu'à ce qu'elles soient froides et séchez-les. Ce processus refroidira un peu les pommes de terre. Une fois légèrement refroidies, râpez les pommes de terre dans un grand saladier. Ajoutez la poudre d'ail, la poudre d'oignon, l'origan séché, les flocons de piment rouge, les feuilles de coriandre fraîche, le sel au goût, la farine tout usage, la farine de riz et mélangez bien pour obtenir une consistance pâteuse. L'étape suivante consiste à façonner les pommes de terre et à faire frire les tater tots. Graissez vos doigts et votre paume avec de l'huile et façonnez les pommes de terre en ovales de la taille d'une bouchée (cylindres). Faites chauffer l'huile dans une poêle pour la friture à feu moyen. Déposez délicatement chaque Tater Tots façonné dans l'huile et faites-les frire à feu moyen jusqu'à ce qu'ils soient dorés de tous les côtés. Une fois cuits, retirez les Tater Tots de l'huile et placez-les sur du papier absorbant pour absorber l'excès d'huile. Servez les Tater Tots avec du ketchup ou une sauce chili Bird Eye à la sichuanaise comme collation à l'heure du thé ou comme apéritif pour les fêtes.</t>
  </si>
  <si>
    <t>http://www.archanaskitchen.com/homemade-tater-tots-recipe</t>
  </si>
  <si>
    <t>Continental</t>
  </si>
  <si>
    <t xml:space="preserve">Cabbage, Spinach, Pomegranate Slaw with Lemon Dressing Recipe </t>
  </si>
  <si>
    <t>Rezept für Krautsalat mit Spinat und Granatapfel und Zitronendressing</t>
  </si>
  <si>
    <t>Recette de salade de chou aux épinards et vinaigrette à la grenade et au citron</t>
  </si>
  <si>
    <t>Receta de ensalada de col con espinacas, granada y vinagreta de limón</t>
  </si>
  <si>
    <t>1 tasse de chou (Patta Gobi/Muttaikose) - râpé, 1 tasse d'épinards - râpés, 1 tasse de noyaux de grenade frais, 2 jus de citron, 2 cuillères à soupe d'huile d'olive extra vierge, sel et poivre - au goût</t>
  </si>
  <si>
    <t>1 cup Cabbage (Patta Gobi/ Muttaikose) - shredded,1 cup Spinach - shredded,1 cup Fresh Pomegranate Fruit Kernels,2 Lemon juice,2 tablespoons Extra Virgin Olive Oil,Salt and Pepper - to taste</t>
  </si>
  <si>
    <t>1 taza de repollo (Patta Gobi/Muttaikose) rallado, 1 taza de espinaca rallada, 1 taza de semillas de granada fresca, 2 jugos de limones, 2 cucharadas de aceite de oliva virgen extra, sal y pimienta al gusto</t>
  </si>
  <si>
    <t xml:space="preserve">To begin making the Cabbage, Spinach, Pomegranate Slaw with Lemon Dressing Recipe, we will first whisk in the dressing in a bowl. Combine lemon juice, olive oil, salt and pepper well and keep aside.Using a fork emulsify the lemon and oil together and add in your fresh vegetables and fruits.Mix well, check for seasonings, if your require anything more you can add and mix again.Serve the Cabbage, Spinach, Pomegranate Slaw with Lemon Dressing Recipe along with Baked Chicken or a Grilled Vegetable Sandwich Recipe With Herb Goat Cheese with a glass of freshly made Carrot Pineapple Orange Juice Recipe.
</t>
  </si>
  <si>
    <t>Para empezar a preparar la receta de ensalada de col, espinacas, granada y aderezo de limón, primero batiremos el aderezo en un tazón. Mezclaremos bien el jugo de limón, el aceite de oliva, la sal y la pimienta y reservaremos. Con un tenedor, emulsionaremos el limón y el aceite y agregaremos las verduras y frutas frescas. Mezclaremos bien, probaremos los condimentos; si necesita algo más, puede agregar y mezclar de nuevo. Sirva la receta de ensalada de col, espinacas, granada y aderezo de limón junto con pollo al horno o un sándwich de verduras a la parrilla con queso de cabra y hierbas, con un vaso de jugo de zanahoria, piña y naranja recién hecho.</t>
  </si>
  <si>
    <t>Pour commencer la recette de salade de chou, épinards et grenade avec vinaigrette au citron, fouettez d'abord la vinaigrette dans un bol. Mélangez bien le jus de citron, l'huile d'olive, le sel et le poivre, puis réservez. À l'aide d'une fourchette, émulsionnez le citron et l'huile, puis ajoutez les légumes et fruits frais. Mélangez bien, rectifiez l'assaisonnement et, si besoin, ajoutez-en et mélangez à nouveau. Servez la salade de chou, épinards et grenade avec vinaigrette au citron accompagnée de poulet au four ou d'un sandwich aux légumes grillés et au fromage de chèvre aux herbes, accompagné d'un verre de jus de carotte, d'ananas et d'orange fraîchement préparé.</t>
  </si>
  <si>
    <t>https://www.archanaskitchen.com/cabbage-spinach-pomegranate-slaw-with-lemon-dressing-recipe</t>
  </si>
  <si>
    <t>Eggless Chocolate Cupcakes With Raspberry &amp; Cheese Frosting</t>
  </si>
  <si>
    <t>Eifreie Schokoladen-Cupcakes mit Himbeer-Käse-Zuckerguss</t>
  </si>
  <si>
    <t>Cupcakes au chocolat sans œufs avec glaçage au fromage et à la framboise</t>
  </si>
  <si>
    <t>Cupcakes de chocolate sin huevo con glaseado de tarta de queso y frambuesa</t>
  </si>
  <si>
    <t>1 tasse de farine tout usage (Maida), 1/2 tasse de sucre, 1 tasse de chocolat noir, 1/2 tasse de cacao en poudre, 1/2 tasse de beurre salé, 3/4 tasse de lait, 1/2 cuillère à soupe de levure chimique, 1/2 cuillère à café de bicarbonate de soude, 1/2 cuillère à soupe d'extrait de vanille, 1 tasse de fromage à la crème Britannia, 3/4 tasse de sucre en poudre, 1 cuillère à café d'extrait de vanille, 8 framboises fraîches</t>
  </si>
  <si>
    <t>1 cup All Purpose Flour (Maida),1/2 cup Sugar,1 cup Dark chocolate,1/2 cup Cocoa Powder,1/2 cup Salted butter,3/4 cup Milk,1/2 tablespoon Baking powder,1/2 teaspoon Baking soda,1/2 tablespoon Vanilla Extract,1 cup Britannia Cream Cheese,3/4 cup Caster Sugar,1 teaspoon Vanilla Extract,8 Fresh raspberries</t>
  </si>
  <si>
    <t>1 taza de harina para todo uso (Maida), 1/2 taza de azúcar, 1 taza de chocolate negro, 1/2 taza de cacao en polvo, 1/2 taza de mantequilla salada, 3/4 taza de leche, 1/2 cucharada de polvo para hornear, 1/2 cucharadita de bicarbonato de sodio, 1/2 cucharada de extracto de vainilla, 1 taza de queso crema Britannia, 3/4 taza de azúcar extrafino, 1 cucharadita de extracto de vainilla, 8 frambuesas frescas</t>
  </si>
  <si>
    <t xml:space="preserve">To begin with the Eggless Chocolate Cupcakes With Raspberry And Cream Cheese Frosting Recipe first, sieve flour, cocoa powder, baking powder, baking soda and keep aside.Take a bowl and whisk butter for 5 minutes, make sure that it is light and fluffy. Then add vegetable oil and sugar and whisk for another 3 minutes.Further, add vanilla extract and milk (half) and whisk.In double boiling method melt the dark chocolate and Now, add in rounds the dry ingredients and fold them nicely. Keep adding rest milk as required.Preheat the oven at 200 degree Celsius for 10 min.Pour the batter into the cup cake mould. I used silicon mould) and bake for 15 minutes at 150 degree Celsius.Let it cool properly before frosting else the frosting will melt.For the frosting:Whisk the soft cream cheese till you get pointed peaks.Whisk in low pace to get peaks.As you whisk add sugar and vanilla extract and mix well.Grind few raspberries and add in the cream cheese mixture.Fill the icing in the piping bag with your favourite nozzle and do the icing on top of the cupcake.After icing it with cream cheese place a raspberry on it and serve it. Serve the Eggless Chocolate Cupcakes With Raspberry And Cream Cheese Frosting Recipe for an Evening Snack or as a Dessert in a party.
</t>
  </si>
  <si>
    <t>Para comenzar con la receta de cupcakes de chocolate sin huevo con glaseado de frambuesa y queso crema, primero tamice la harina, el cacao en polvo, el polvo para hornear, el bicarbonato de sodio y reserve. Tome un tazón y bata la mantequilla durante 5 minutos, asegúrese de que esté ligera y esponjosa. Luego agregue el aceite vegetal y el azúcar y bata durante otros 3 minutos. Además, agregue el extracto de vainilla y la leche (la mitad) y bata. En el método de baño maría, derrita el chocolate negro y ahora, agregue en rondas los ingredientes secos y dóblelos bien. Siga agregando la leche restante según sea necesario. Precaliente el horno a 200 grados Celsius durante 10 minutos. Vierta la masa en el molde para cupcakes. Usé un molde de silicona) y horneé durante 15 minutos a 150 grados Celsius. Déjalo enfriar completamente antes de glasear, de lo contrario, el glaseado se derretirá. Para el glaseado: bate el queso crema suave hasta obtener picos puntiagudos. Bate a velocidad baja para obtener picos. Mientras bates, agrega el azúcar y el extracto de vainilla y mezcla bien. Muele algunas frambuesas y agrega la mezcla de queso crema. Llena el glaseado en la manga pastelera con tu boquilla favorita y glasea encima del cupcake. Después de glasear con queso crema, coloca una frambuesa encima y sirve. Sirve la receta de cupcakes de chocolate sin huevo con glaseado de frambuesa y queso crema para una merienda o como postre en una fiesta.</t>
  </si>
  <si>
    <t>Pour commencer avec la recette de cupcakes au chocolat sans œufs avec glaçage aux framboises et au fromage à la crème, tamisez d'abord la farine, la poudre de cacao, la levure chimique, le bicarbonate de soude et réservez.Prenez un bol et fouettez le beurre pendant 5 minutes, assurez-vous qu'il soit léger et mousseux. Ajoutez ensuite l'huile végétale et le sucre et fouettez pendant encore 3 minutes.En outre, ajoutez l'extrait de vanille et le lait (la moitié) et fouettez.Dans la méthode de double ébullition, faites fondre le chocolat noir et maintenant, ajoutez en rondelles les ingrédients secs et pliez-les bien. Continuez à ajouter le reste du lait si nécessaire.Préchauffez le four à 200 degrés Celsius pendant 10 minutes.Versez la pâte dans le moule à cupcake. J'ai utilisé un moule en silicone) et j'ai fait cuire au four pendant 15 minutes à 150 degrés Celsius. Laissez-le refroidir complètement avant de glacer, sinon le glaçage fondra. Pour le glaçage : Fouettez le fromage à la crème mou jusqu'à obtenir des pics pointus. Fouettez à faible vitesse pour obtenir des pics. Pendant que vous fouettez, ajoutez le sucre et l'extrait de vanille et mélangez bien. Broyez quelques framboises et ajoutez le mélange de fromage à la crème. Remplissez le glaçage dans la poche à douille avec votre douille préférée et faites le glaçage sur le dessus du cupcake. Après l'avoir glacé avec du fromage à la crème, placez une framboise dessus et servez. Servez la recette de cupcakes au chocolat sans œufs avec glaçage aux framboises et au fromage à la crème pour une collation en soirée ou comme dessert lors d'une fête.</t>
  </si>
  <si>
    <t>http://www.archanaskitchen.com/eggless-chocolate-cupcakes-with-raspberry-and-cream-cheese-frosting-recipe</t>
  </si>
  <si>
    <t>Whole Wheat Pita Bread Recipe</t>
  </si>
  <si>
    <t>Rezept für Vollkorn-Pitabrot</t>
  </si>
  <si>
    <t>Recette de pain pita au blé entier</t>
  </si>
  <si>
    <t>Receta de pan pita integral</t>
  </si>
  <si>
    <t>1-1/2 tasse de farine tout usage (Maida), 1-1/2 tasse de farine de blé entier, 2 cuillères à café de levure sèche active, 1/2 cuillère à café de sel, 1-1/2 cuillère à café de sucre, 1-1/4 tasse d'eau tiède, 2 cuillères à soupe d'huile d'olive extra vierge</t>
  </si>
  <si>
    <t>1-1/2 cups All Purpose Flour (Maida),1-1/2 cups Whole Wheat Flour,2 teaspoons Active dry yeast,1/2 teaspoons Salt,1-1/2 teaspoons Sugar,1-1/4 cups Lukewarm Water,2 tablespoons Extra Virgin Olive Oil</t>
  </si>
  <si>
    <t>1-1/2 tazas de harina para todo uso (Maida), 1-1/2 tazas de harina integral, 2 cucharaditas de levadura seca activa, 1/2 cucharadita de sal, 1-1/2 cucharaditas de azúcar, 1-1/4 tazas de agua tibia, 2 cucharadas de aceite de oliva virgen extra</t>
  </si>
  <si>
    <t xml:space="preserve">To begin making the Pita bread we will first have to get your ingredients ready especially the yeast. If you are using active dry yeast (look like small round balls) - follow the instructions given in the packet.If you are using fast action yeast (looks more like fine semolina) then in a large bowl combine the flours, salt and sugar and gradually add in the yeast and knead the dough until smooth and elastic, adding little flour if it tends to get sticky. Once all of the ingredients form a ball; add the olive oil and place the ball on a work surface and knead the dough for approximately 10 minutes. Repeated kneading combines all the ingredients well and will help the bread rise well in the oven.Once you have finished kneading and gained enough arm muscle; place the dough in a large bowl coated with olive oil and cover it with cling wrap/plastic wrap and allow it to rise for about 2 hours.After two hours you will notice that the dough has doubled. At this point punch the dough down and knead gently. Divide the dough into 10 portions and roll each portion into a ball. Place the balls on a baking sheet and cover them with a damp cloth and let them sit for another 30 minutes.While the dough is resting, preheat the oven to 250 C. The oven should be preheated for at least half an hour before you can bake the pitas in them. Now it should be time to work your dough into flat bread. Take one ball, dust it with a little flour and dust the work surface as well. Using a rolling pin, roll the pita into an oval or a circle. Make sure the pitas are thin; about 1/8th inch or 1/4 inch thick. Continue the same with the remaining dough balls.Place the rolled portion of pita bread on dusted baking sheets and place it inside the oven. Bake the pita dough until they puff - you will see them rising forming bubbles, to slowly puffing and fully puffing up.The whole process takes a maximum or 3-5 minutes and not more than 5 minutes. If the pita bread does not rise in 5 minutes, then take them out. The Pita Bread will still be cooked, but just wont have pockets and will still taste just as good.You can serve Whole Wheat Pita Bread Recipe along with soups or make it into sandwiches like Egg Bhurji Stuffed Pita Pockets Recipe, Aloo Tikki Stuffed Pita Sandwich Recipe, Pita Sandwich With Cauliflower Falafel And Roasted Vegetables Recipe and more.
</t>
  </si>
  <si>
    <t>Para empezar a hacer el pan pita, primero tendremos que preparar los ingredientes, especialmente la levadura. Si usa levadura seca activa (parece bolitas redondas), siga las instrucciones del paquete. Si usa levadura de acción rápida (parece más bien sémola fina), en un tazón grande combine las harinas, la sal y el azúcar, agregue gradualmente la levadura y amase la masa hasta que esté suave y elástica, agregando un poco de harina si tiende a pegarse. Una vez que todos los ingredientes formen una bola, agregue el aceite de oliva y coloque la bola sobre una superficie de trabajo. Amase la masa durante aproximadamente 10 minutos. Amasar repetidamente combina bien todos los ingredientes y ayudará a que el pan suba bien en el horno. Una vez que haya terminado de amasar y haya ganado suficiente fuerza en los brazos, coloque la masa en un tazón grande untado con aceite de oliva, cúbrala con film transparente y déjela levar durante aproximadamente 2 horas. Después de dos horas, notará que la masa ha duplicado su tamaño. En este punto, presione la masa y amásela suavemente. Divide la masa en 10 porciones y forma una bola con cada una. Coloca las bolas en una bandeja para hornear, cúbrelas con un paño húmedo y déjalas reposar durante 30 minutos más. Mientras reposa la masa, precalienta el horno a 250 °C. El horno debe estar precalentado durante al menos media hora antes de poder hornear las pitas. Ahora debería ser el momento de trabajar la masa en pan plano. Toma una bola, espolvoréala con un poco de harina y espolvorea también la superficie de trabajo. Con un rodillo, extiende la pita formando un óvalo o un círculo. Asegúrate de que las pitas sean delgadas, de aproximadamente 3 mm o 6 mm de grosor. Continúa con las bolas de masa restantes. Coloca la porción enrollada de pan pita en bandejas para hornear espolvoreadas y colócala dentro del horno. Hornea la masa de pita hasta que se infle; verás que sube formando burbujas, se infla lentamente y se hincha por completo. Todo el proceso toma un máximo de 3 a 5 minutos y no más de 5 minutos. Si el pan pita no sube en 5 minutos, sáquelo. El pan pita seguirá cocido, pero no tendrá bolsitas y seguirá teniendo el mismo sabor. Puede servir la receta de pan pita integral con sopas o preparar sándwiches como la receta de bolsitas de pita rellenas de huevo bhurji, la receta de sándwich de pita relleno de aloo tikki, la receta de sándwich de pita con coliflor, falafel y verduras asadas, y más.</t>
  </si>
  <si>
    <t>Pour préparer le pain pita, il faut d'abord préparer les ingrédients, notamment la levure. Si vous utilisez de la levure sèche active (qui ressemble à de petites boules rondes), suivez les instructions sur le paquet. Si vous utilisez de la levure à action rapide (qui ressemble plutôt à de la semoule fine), mélangez les farines, le sel et le sucre dans un grand saladier. Ajoutez progressivement la levure et pétrissez la pâte jusqu'à obtenir une pâte lisse et élastique. Ajoutez un peu de farine si elle a tendance à coller. Une fois que tous les ingrédients forment une boule, ajoutez l'huile d'olive, déposez la boule sur un plan de travail et pétrissez la pâte pendant environ 10 minutes. Pétrir plusieurs fois permet de bien mélanger tous les ingrédients et d'aider le pain à bien lever au four. Une fois le pétrissage terminé et la musculature des bras renforcée, placez la pâte dans un grand saladier huilé, couvrez-la de film alimentaire et laissez-la lever environ 2 heures. Au bout de deux heures, vous remarquerez que la pâte a doublé de volume. Dégonflez-la alors et pétrissez-la délicatement. Divisez la pâte en 10 portions et roulez chaque portion en boule. Placez les boules sur une plaque de cuisson, couvrez-les d'un linge humide et laissez reposer 30 minutes supplémentaires. Pendant que la pâte repose, préchauffez le four à 250 °C. Il est nécessaire de préchauffer le four pendant au moins une demi-heure avant de pouvoir y cuire les pitas. Il est maintenant temps de travailler la pâte en pain plat. Prenez une boule, farinez-la légèrement et saupoudrez également le plan de travail. À l'aide d'un rouleau à pâtisserie, étalez la pita en un ovale ou un cercle. Assurez-vous que les pitas soient minces, d'environ 3 à 6 mm d'épaisseur. Procédez de même avec les autres boules de pâte. Placez la portion de pain pita roulée sur des plaques de cuisson farinées et enfournez. Faites cuire la pâte à pita jusqu'à ce qu'elle gonfle : vous la verrez gonfler en formant des bulles, puis gonfler lentement et enfin gonfler complètement. L'opération prend entre 3 et 5 minutes maximum, sans dépasser 5 minutes. Si le pain pita ne lève pas en 5 minutes, sortez-le. Il sera cuit, mais sans poches et aura tout aussi bon goût. Vous pouvez servir la recette de pain pita complet avec des soupes ou en faire des sandwichs comme la recette de poches de pita farcies aux œufs bhurji, la recette de sandwich pita farci à l'aloo tikki, la recette de sandwich pita aux falafels de chou-fleur et aux légumes rôtis, et bien plus encore.</t>
  </si>
  <si>
    <t>http://www.archanaskitchen.com/whole-wheat-pita-bread-recipe</t>
  </si>
  <si>
    <t>Herbed Brown Rice Recipe</t>
  </si>
  <si>
    <t>Kräuter-Naturreis-Rezept – Rezept für Naturreis</t>
  </si>
  <si>
    <t>Recette de riz brun aux herbes – recette de riz brun</t>
  </si>
  <si>
    <t>Receta de arroz integral con hierbas – Receta de arroz integral</t>
  </si>
  <si>
    <t>1-1 / 2 tasse de riz brun, 2 oignons - finement hachés, 4 gousses d'ail - finement hachées, 3 cuillères à café d'origan, 3 cuillères à café de romarin, 4 cuillères à café de flocons de piment rouge, sel - selon le goût, huile, eau - selon l'utilisation</t>
  </si>
  <si>
    <t>1-1 / 2 cup brown rice, 2 onions - finely chopped, 4 long garlic - finely chopped, 3 tsp oregano, 3 tsp rosemary, 4 tsp red chilli flakes, salt - as per taste, oil, water - According to use</t>
  </si>
  <si>
    <t>1-1 / 2 taza de arroz integral, 2 cebollas - finamente picadas, 4 ajos largos - finamente picados, 3 cucharaditas de orégano, 3 cucharaditas de romero, 4 cucharaditas de hojuelas de chile rojo, sal - al gusto, aceite, agua - Según uso</t>
  </si>
  <si>
    <t>To make Herb Brown Rice Recipe, first soak the brown rice in 2-1/2 cups of water for 1/2 hour. Heat oil in a pressure cooker. Add garlic and cook for 30 seconds. Now add onions and cook till they turn golden brown. After onions are cooked, add brown rice, water, red chilli flakes, oregano, thyme, salt and mix well. Close the cooker and cook till 3 whistles. Reduce the flame and cook for 5 minutes and then turn off the gas. Let the pressure release automatically. Open the cooker, mix the rice and serve. Serve Herb Brown Rice Recipe with Chicken Curry with Sweet Potato and any salad of your choice.</t>
  </si>
  <si>
    <t>Para preparar la Receta de Arroz Integral con Hierbas, primero remoje el arroz integral en 2 1/2 tazas de agua durante media hora. Caliente el aceite en una olla a presión. Añada el ajo y cocine durante 30 segundos. A continuación, agregue la cebolla y cocine hasta que esté dorada. Una vez cocida la cebolla, añada el arroz integral, el agua, las hojuelas de chile rojo, el orégano, el tomillo, la sal y mezcle bien. Cierre la olla y cocine hasta que suene 3 silbidos. Reduzca el fuego y cocine durante 5 minutos; luego, apague el gas. Deje que la presión se libere automáticamente. Abra la olla, mezcle el arroz y sirva. Sirva la Receta de Arroz Integral con Hierbas con pollo al curry con boniato y la ensalada que prefiera.</t>
  </si>
  <si>
    <t>Pour préparer le riz brun aux herbes, faites d'abord tremper le riz brun dans 600 ml d'eau pendant 30 minutes. Faites chauffer l'huile dans une cocotte-minute. Ajoutez l'ail et faites cuire 30 secondes. Ajoutez ensuite les oignons et faites-les dorer. Une fois les oignons cuits, ajoutez le riz brun, l'eau, les flocons de piment rouge, l'origan, le thym, le sel et mélangez bien. Fermez la cocotte et laissez cuire jusqu'à 3 sifflements. Réduisez le feu et laissez cuire 5 minutes, puis coupez le gaz. Laissez la pression se relâcher automatiquement. Ouvrez la cocotte, mélangez le riz et servez. Accompagnez le riz brun aux herbes d'un curry de poulet à la patate douce et de la salade de votre choix.</t>
  </si>
  <si>
    <t>https://www.archanaskitchen.com/herbed-brown-rice-recipe-in-hindi</t>
  </si>
  <si>
    <t>Pan Fried Rice Balls Filled With Cheese Recipe</t>
  </si>
  <si>
    <t>Rezept für gebratene Reisbällchen mit Käsefüllung</t>
  </si>
  <si>
    <t>Recette de boulettes de riz frites fourrées au fromage</t>
  </si>
  <si>
    <t>Receta de bolas de arroz frito rellenas de queso</t>
  </si>
  <si>
    <t>2 cuillères à soupe d'huile d'olive extra vierge, 2 cuillères à soupe de beurre (non salé), 1 oignon finement haché, 2 tasses de riz au jasmin, 1 cuillère à café de sel, 1 tasse de maïs doux, 1/4 tasse de feuilles de persil finement hachées, 1 tasse de parmesan râpé, 1 tasse de mozzarella coupée en petits cubes, 1 tasse de farine tout usage (Maida), 3 œufs entiers battus à la fourchette, 1 tasse de chapelure de blé entier, huile de tournesol pour la friture</t>
  </si>
  <si>
    <t>2 tablespoon Extra Virgin Olive Oil,2 tablespoon Butter (unsalted),1 Onion - finely chopped,2 cups Jasmine Rice,1 teaspoon Salt,1 cup Sweet corn,1/4 cup Parsley leaves - finely chopped,1 cup Parmesan cheese - grated,1 cup Mozzarella cheese - cut into small cubes,1 cup All Purpose Flour (Maida),3 Whole Eggs - beaten with a fork,1 cup Whole Wheat Bread crumbs,Sunflower Oil - for deep frying</t>
  </si>
  <si>
    <t>2 cucharadas de aceite de oliva virgen extra, 2 cucharadas de mantequilla (sin sal), 1 cebolla finamente picada, 2 tazas de arroz jazmín, 1 cucharadita de sal, 1 taza de maíz dulce, 1/4 taza de hojas de perejil finamente picadas, 1 taza de queso parmesano rallado, 1 taza de queso mozzarella cortado en cubos pequeños, 1 taza de harina para todo uso (Maida), 3 huevos enteros batidos con un tenedor, 1 taza de pan rallado integral, aceite de girasol para freír</t>
  </si>
  <si>
    <t xml:space="preserve">To begin with the Pan Fried Rice Balls Filled With Cheese Recipe, first in a heavy bottomed pot, heat oil over medium heat and add some butter. As the butter melts, add diced onion and saute until soft for about 4-5 minutesAdd rice and give a stir to coat with oil.Now add 5 cups of water to the rice and 1 teaspoon of salt. Cover and cook until water has been completely absorbed by the rice.Stir in the corn and cook covered for another 5 minutes and check if the rice has cooked and absorbed all the water. Allow it to cool. Once cooled, combine parsley and parmesan cheese to the mixture.Make rice balls using hand and stuff each ball with a small cube of mozzarella cheese in the centre. The cheese cube should be totally covered with the rice mixture.Arrange flour in a bowl, 3 beaten eggs in another and breadcrumbs in the third ballCoat the rice balls with all purpose flour. Shake off the excess flour. Dip the balls in the beaten egg. Finally, roll balls in breadcrumbs until it is evenly coated with it. Repeat for the remaining balls. Heat some oil in skillet over medium flame. Once hot add the coated rice balls in batches and cook until they turn golden brown.Your Pan Fried Rice Balls Filled With Cheese Recipe is ready to be served.Serve the Pan Fried Rice Balls Filled With Cheese Recipe with classic Marinara sauce or ranch for evening snack.
</t>
  </si>
  <si>
    <t>Para empezar con la receta de bolas de arroz fritas rellenas de queso, en una olla de fondo grueso, calienta el aceite a fuego medio y añade un poco de mantequilla. Mientras la mantequilla se derrite, añade cebolla picada y sofríe durante 4-5 minutos hasta que esté blanda. Añade el arroz y remueve para que se impregne de aceite. Añade 5 tazas de agua al arroz y 1 cucharadita de sal. Tapa y cocina hasta que el arroz absorba completamente el agua. Incorpora el maíz y cocina tapado durante 5 minutos más. Comprueba si el arroz se ha cocinado y ha absorbido toda el agua. Deja enfriar. Una vez frío, añade perejil y queso parmesano. Forma bolas de arroz con las manos y rellena cada una con un cubo pequeño de queso mozzarella en el centro. El cubo de queso debe quedar completamente cubierto con la mezcla de arroz. Coloca la harina en un bol, 3 huevos batidos en otro y pan rallado en el tercero. Cubre las bolas de arroz con harina común. Escurre el exceso de harina. Sumerge las bolas en el huevo batido. Finalmente, reboza las bolitas de arroz en pan rallado hasta que estén bien cubiertas. Repite el proceso con las demás. Calienta un poco de aceite en una sartén a fuego medio. Una vez caliente, añade las bolitas de arroz rebozadas por tandas y cocina hasta que estén doradas. Tu receta de bolitas de arroz rellenas de queso fritas está lista para servir. Sirve las bolitas de arroz rellenas de queso fritas con salsa marinara clásica o salsa ranch para la cena.</t>
  </si>
  <si>
    <t>Pour commencer la recette des boulettes de riz poêlées fourrées au fromage, faites chauffer l'huile à feu moyen dans une casserole à fond épais et ajoutez un peu de beurre. Lorsque le beurre fond, ajoutez l'oignon émincé et faites-le revenir jusqu'à ce qu'il soit tendre pendant environ 4 à 5 minutes. Ajoutez le riz et remuez pour bien l'enrober d'huile. Ajoutez ensuite 1,5 l d'eau et 1 cuillère à café de sel. Couvrez et laissez cuire jusqu'à ce que le riz ait complètement absorbé l'eau. Incorporez le maïs et laissez cuire à couvert pendant 5 minutes supplémentaires. Vérifiez que le riz est cuit et a absorbé toute l'eau. Laissez refroidir. Une fois refroidi, ajoutez le persil et le parmesan au mélange. Façonnez des boulettes de riz à la main et garnissez chaque boule d'un petit cube de mozzarella au centre. Le cube de fromage doit être entièrement recouvert de riz. Disposez la farine dans un bol, 3 œufs battus dans un autre et la chapelure dans la troisième boule. Enrobez les boulettes de riz de farine blanche. Secouez l'excédent de farine. Trempez les boulettes dans l'œuf battu. Enfin, roulez les boules dans la chapelure jusqu'à ce qu'elles soient uniformément enrobées. Répétez l'opération pour les boules restantes. Faites chauffer un peu d'huile dans une poêle à feu moyen. Une fois chaude, ajoutez les boules de riz panées par lots et faites-les dorer. Votre recette de boulettes de riz poêlées fourrées au fromage est prête à être servie. Servez-les avec une sauce marinara classique ou une sauce ranch pour le goûter.</t>
  </si>
  <si>
    <t>http://www.archanaskitchen.com/pan-fried-rice-balls-filled-with-cheese-recipe</t>
  </si>
  <si>
    <t>Tomato Relish Recipe</t>
  </si>
  <si>
    <t>Rezept für Tomatenrelish</t>
  </si>
  <si>
    <t>Recette de relish aux tomates</t>
  </si>
  <si>
    <t>Receta de salsa de tomate</t>
  </si>
  <si>
    <t>2 tasses de tomates hachées, 1/2 oignon finement haché, 1/2 tasse de vinaigrette au vin rouge, 1/2 origan séché, 2 gousses d'ail hachées, 1/2 poudre de poivre noir, 1/2 moutarde de Dijon, 3 cuillères à soupe de sucre de canne, 2 à 3 cuillères à soupe d'huile d'olive extra vierge, sel au goût</t>
  </si>
  <si>
    <t>2 cups Tomatoes - chopped,1/2 Onion - finely chopped,1/2 cup Red Wine Vinaigrette,1/2 Dried oregano,2 cloves Garlic - minced,1/2 Black pepper powder,1/2 Dijon Mustard,3 tablespoon Cane sugar,2 to 3 tablespoons Extra Virgin Olive Oil,Salt - to taste</t>
  </si>
  <si>
    <t>2 tazas de tomates picados, 1/2 cebolla finamente picada, 1/2 taza de vinagreta de vino tinto, 1/2 orégano seco, 2 dientes de ajo picados, 1/2 pimienta negra en polvo, 1/2 mostaza Dijon, 3 cucharadas de azúcar de caña, 2 a 3 cucharadas de aceite de oliva virgen extra, sal al gusto</t>
  </si>
  <si>
    <t xml:space="preserve">To begin making the Tomato Relish Recipe, heat oil in a heavy bottomed pan. Add onions, garlic and saute it until translucent.Add the tomatoes, red wine vinegar and cook on low to medium heat for 10 to 15 minutes until its all softened and mushy.Cook further to see all the liquid is evaporating. Next, add mustard, black pepper powder, oregano, sugar and salt and cook until the sauce comes together.Turn off the heat, let the Tomato Relish Recipe cool and store it in the fridge in a glass container. Serve Tomato Relish as a dip or use it as a sauce while making sandwiches and rolls.
</t>
  </si>
  <si>
    <t>Para empezar a preparar la receta de salsa de tomate, calienta el aceite en una sartén de fondo grueso. Agrega la cebolla y el ajo y sofríe hasta que estén transparentes. Agrega los tomates, el vinagre de vino tinto y cocina a fuego lento-medio de 10 a 15 minutos hasta que estén blandos y pastosos. Cocina más para ver si se evapora todo el líquido. A continuación, agrega la mostaza, la pimienta negra en polvo, el orégano, el azúcar y la sal y cocina hasta que la salsa esté bien integrada. Apaga el fuego, deja enfriar la receta de salsa de tomate y guárdala en el refrigerador en un recipiente de vidrio. Sirve la salsa de tomate como dip o úsala como salsa para preparar sándwiches y panecillos.</t>
  </si>
  <si>
    <t>Pour préparer la recette de relish aux tomates, faites chauffer l'huile dans une poêle à fond épais. Ajoutez les oignons et l'ail et faites revenir jusqu'à ce qu'ils soient translucides. Ajoutez les tomates et le vinaigre de vin rouge et laissez cuire à feu doux à moyen pendant 10 à 15 minutes, jusqu'à ce que le mélange soit tendre et pâteux. Poursuivez la cuisson pour voir si tout le liquide s'évapore. Ajoutez ensuite la moutarde, le poivre noir en poudre, l'origan, le sucre et le sel, et laissez cuire jusqu'à ce que la sauce soit homogène. Éteignez le feu, laissez refroidir la recette de relish aux tomates et conservez-la au réfrigérateur dans un récipient en verre. Servez la relish aux tomates en trempette ou utilisez-la comme sauce pour préparer des sandwichs et des petits pains.</t>
  </si>
  <si>
    <t>http://www.archanaskitchen.com/tomato-relish-recipe</t>
  </si>
  <si>
    <t>Mango Donut Cake Recipe With Chocolate Glaze</t>
  </si>
  <si>
    <t>Mango-Donut-Kuchen-Rezept mit Schokoladenglasur</t>
  </si>
  <si>
    <t>Recette de gâteau aux beignets à la mangue avec glaçage au chocolat</t>
  </si>
  <si>
    <t>Receta de pastel de donut de mango con glaseado de chocolate</t>
  </si>
  <si>
    <t>1-1/2 tasse de Vivatta Maida, 3/4 tasse de pulpe de mangue (purée), 1-1/2 cuillère à café de levure chimique, 1/4 cuillère à café de bicarbonate de soude, 1/4 tasse d'huile de tournesol, 1/4 tasse de sucre, 1/4 cuillère à café de sel, 1 cuillère à café d'extrait de vanille, 150 grammes de chocolat noir - haché, 1/4 tasse de crème fraîche, 2 cuillères à soupe de cacao en poudre, 3 sucres - en poudre</t>
  </si>
  <si>
    <t>1-1/2 cups Vivatta Maida,3/4 cup Mango Pulp (Puree),1-1/2 teaspoons Baking powder,1/4 teaspoon Baking soda,1/4 cup Sunflower Oil,1/4 cup Sugar,1/4 teaspoon Salt,1 teaspoon Vanilla Extract,150 grams Dark chocolate - chopped,1/4 cup Fresh cream,2 tablespoons Cocoa Powder,3 Sugar - powdered</t>
  </si>
  <si>
    <t>1-1/2 tazas de Vivatta Maida, 3/4 taza de pulpa de mango (puré), 1-1/2 cucharadita de polvo para hornear, 1/4 cucharadita de bicarbonato de sodio, 1/4 taza de aceite de girasol, 1/4 taza de azúcar, 1/4 cucharadita de sal, 1 cucharadita de extracto de vainilla, 150 gramos de chocolate negro - picado, 1/4 taza de crema fresca, 2 cucharadas de cacao en polvo, 3 de azúcar - en polvo</t>
  </si>
  <si>
    <t xml:space="preserve">To begin making the Mango Donut Cake Recipe With Chocolate Glaze, preheat the oven to 180 deg C. Grease a donut (doughnut) pan with oil or line up with butter paper.Sift the maida baking powder, baking soda and salt in a bowl. Mix everything and keep it aside.In a mixing bowl, take mango puree along with sugar. Mix well until sugar dissolves completely. Next add oil, vanilla essence and mix well again.Add the mango mixture into the sifted dry flour mixture, fold gently until a smooth batter texture. Now pour the Mango donut cake batter equally into the donut pan slots.Bake for 25 minutes in the preheated oven at 180 degree C. Take the Mango Donut Cake from the oven and let them cool down a bit.While the Mango Donut Cake is baking, add the chocolates and the cream into the saucepan. Melt the dark chocolate until you get a smooth Chocolate Glaze.Once the Mango Donut Cake is done, remove from the pan and allow it to cool. Once cooled, hold the mango donut cake upside down, dip the top surface of the cake in the glaze and pull it up.Let the extra glaze dribble and then immediately turn glaze side up and keep on a cooling rack for the glaze to harden. Repeat this process for rest of the Mango Donut Cake. Serve the donut cake after the glaze hardens.Serve Mango Donut Cake Recipe With Chocolate Glaze along with Grilled Stuffed Mushrooms Recipe With Onion Parmesan &amp; Herbs, Heart Shaped Tea Sandwiches and Adrak Chai for your next tea party.
</t>
  </si>
  <si>
    <t>Para comenzar a hacer la Receta de Pastel de Dona de Mango con Glaseado de Chocolate, precaliente el horno a 180 grados C. Engrase un molde para donas (donas) con aceite o forre con papel manteca. Tamice el polvo para hornear maida, el bicarbonato de sodio y la sal en un tazón. Mezcle todo y déjelo a un lado. En un tazón, tome el puré de mango junto con el azúcar. Mezcle bien hasta que el azúcar se disuelva completamente. Luego agregue el aceite, la esencia de vainilla y mezcle bien nuevamente. Agregue la mezcla de mango a la mezcla de harina seca tamizada, doble suavemente hasta obtener una textura de masa suave. Ahora vierta la masa de pastel de dona de mango de manera uniforme en las ranuras del molde de donas. Hornee durante 25 minutos en el horno precalentado a 180 grados C. Retire el Pastel de Dona de Mango del horno y déjelo enfriar un poco. Mientras se hornea el Pastel de Dona de Mango, agregue los chocolates y la crema a la cacerola. Derrite el chocolate negro hasta obtener un glaseado de chocolate suave. Una vez que el pastel de donut de mango esté listo, retíralo del molde y déjalo enfriar. Una vez enfriado, sostén el pastel de donut de mango boca abajo, sumerge la superficie superior del pastel en el glaseado y sácalo. Deja que el glaseado sobrante gotee y luego voltea inmediatamente el glaseado hacia arriba y déjalo enfriar en una rejilla para que se endurezca. Repite este proceso para el resto del pastel de donut de mango. Sirve el pastel de donut después de que el glaseado se endurezca. Sirve la receta de pastel de donut de mango con glaseado de chocolate junto con la receta de champiñones rellenos a la parrilla con cebolla, parmesano y hierbas, sándwiches de té en forma de corazón y Adrak Chai para tu próxima fiesta de té.</t>
  </si>
  <si>
    <t>Pour commencer à préparer la recette du gâteau aux beignets à la mangue avec glaçage au chocolat, préchauffez le four à 180 degrés C. Graissez un moule à beignets (beignets) avec de l'huile ou recouvrez-le de papier sulfurisé. Tamisez la levure chimique, le bicarbonate de soude et le sel dans un bol. Mélangez le tout et réservez. Dans un saladier, prenez la purée de mangue avec le sucre. Bien mélanger jusqu'à ce que le sucre soit complètement dissous. Ajoutez ensuite l'huile, l'essence de vanille et mélangez bien à nouveau. Ajoutez le mélange de mangue au mélange de farine sèche tamisée, incorporez délicatement jusqu'à obtenir une texture de pâte lisse. Versez maintenant la pâte à gâteau aux beignets à la mangue uniformément dans les fentes du moule à beignets. Faites cuire au four pendant 25 minutes dans le four préchauffé à 180 degrés C. Sortez le gâteau aux beignets à la mangue du four et laissez-le refroidir un peu. Pendant que le gâteau aux beignets à la mangue cuit, ajoutez les chocolats et la crème dans la casserole. Faites fondre le chocolat noir jusqu'à obtenir un glaçage au chocolat lisse. Une fois le gâteau aux beignets à la mangue cuit, retirez-le du moule et laissez-le refroidir. Une fois refroidi, tenez le gâteau aux beignets à la mangue à l'envers, trempez la surface supérieure du gâteau dans le glaçage et tirez-le vers le haut. Laissez le glaçage supplémentaire couler, puis retournez immédiatement le côté glacé vers le haut et conservez-le sur une grille de refroidissement pour que le glaçage durcisse. Répétez ce processus pour le reste du gâteau aux beignets à la mangue. Servez le gâteau aux beignets une fois le glaçage durci. Servez la recette du gâteau aux beignets à la mangue avec glaçage au chocolat avec la recette des champignons farcis grillés avec oignon, parmesan et herbes, les sandwichs au thé en forme de cœur et l'Adrak Chai pour votre prochain goûter.</t>
  </si>
  <si>
    <t>http://www.archanaskitchen.com/mango-donut-cake-with-chocolate-glaze-recipe</t>
  </si>
  <si>
    <t>Zucchini Roll Up Lasagne Recipe</t>
  </si>
  <si>
    <t>Rezept für Zucchini-Roll-Up-Lasagne</t>
  </si>
  <si>
    <t>Recette de lasagnes roulées aux courgettes</t>
  </si>
  <si>
    <t>Receta de rollo de lasaña de calabacín</t>
  </si>
  <si>
    <t>3 courgettes vertes - finement tranchées, sel - au goût, huile d'olive extra vierge - pour la cuisson, 1/2 tasse de mozzarella - râpée, 1-1/2 courgette verte - finement hachée, 1 poivron rouge (Capsicum) - finement haché, 1 oignon - finement haché, 4 gousses d'ail - finement coupées en dés, 1 cuillère à café de feuilles de thym séchées, 1 cuillère à café de romarin, 1 cuillère à café de flocons de piment rouge, sel - au goût, 500 grammes de tomates, 1 oignon - finement haché, 8 gousses d'ail - finement hachées, 2 cuillères à café de grains de poivre noir - écrasés, 2 cuillères à café de flocons de piment rouge, 1 cuillère à café de sucre, 1/4 tasse de feuilles de basilic - hachées, sel - au goût</t>
  </si>
  <si>
    <t>3 Green zucchini - thinly sliced,Salt - to taste,Extra Virgin Olive Oil - for cooking,1/2 cup Mozzarella cheese - grated,1-1/2 Green zucchini - finely chopped,1 Red Bell pepper (Capsicum) - finely chopped,1 Onion - finely  chopped,4 cloves Garlic - finely diced,1 teaspoon Dried Thyme Leaves,1 teaspoon Rosemary,1 teaspoon Red Chilli flakes,Salt - to taste,500 grams Tomatoes,1 Onion - finely chopped,8 cloves Garlic - finely chopped,2 teaspoons Black pepper corns - crushed,2 teaspoon Red Chilli flakes,1 teaspoon Sugar,1/4 cup Basil leaves - chopped,Salt - to taste</t>
  </si>
  <si>
    <t>3 calabacines verdes en rodajas finas, sal al gusto, aceite de oliva virgen extra para cocinar, 1/2 taza de queso mozzarella rallado, 1 1/2 calabacín verde picado fino, 1 pimiento rojo picado fino, 1 cebolla picada fina, 4 dientes de ajo picados finamente, 1 cucharadita de hojas de tomillo seco, 1 cucharadita de romero, 1 cucharadita de hojuelas de chile rojo, sal al gusto, 500 gramos de tomates, 1 cebolla picada fina, 8 dientes de ajo picados finamente, 2 cucharaditas de granos de pimienta negra triturados, 2 cucharaditas de hojuelas de chile rojo, 1 cucharadita de azúcar, 1/4 taza de hojas de albahaca picadas, sal al gusto</t>
  </si>
  <si>
    <t xml:space="preserve">To begin making the Zucchini Roll Up Lasagne Recipe, we will prep the zucchini, cut them vertically long to thin stripes.Grill the zucchini over a grill pan, until you notice grill marks on either side. Once you have finished grilling all the zucchini stripes, keep them aside to cool down. To make the stuffing for the Zucchini Roll Up LasagneHeat a sauce pan with oil, add chopped garlic and saute till they soften. Add in chopped onions and saute till the onions turn translucent.Add in chopped zucchini and bell peppers and saute for another 5 minutes, sprinkle all the seasonings like thyme, rosemary and dried red chilli flakes and salt to taste.Give it a toss and sauté for another 2 minutes and turn off the heat and allow it to cool.To make the Tomato Basil SauceBoil the tomatoes with required water in a saucepan.Once you see the tomato skin peeling, turn off the heat.When the skin peel off, then you know the tomatoes are ready. Peel the skin off the tomatoes, remove the seeds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water.Add salt to taste, red chilli flakes for the punch and give it a stir. Turn off the heat and set aside.To Make the Zucchini Roll Up LasagnePreheat the oven to 180 degree celsius for 10 minutes. Place one of the zucchini sheet and add a tablespoon of the filling on one corner and roll it tightly. Do the same for the rest of the zucchini sheets.Take out a baking dish, pour the tomato basil sauce on to the tray and place Rolled Zucchini next to each other inside the tray. Fill it up completely.Top each zucchini roll with cheese and bake the Zucchini Roll Up Lasagne till the cheese melts. Once done, remove from the oven and serve hot.Serve the Zucchini Roll Up Lasagne Recipe along with Garlic Bread With Herb Butter , Chickpea Orange Salad Recipe with Sun Dried Tomatoes by the side to make a delicious meal.
</t>
  </si>
  <si>
    <t>Para empezar a hacer la Receta de Lasaña de Calabacín Enrollada, prepararemos el calabacín, lo cortaremos verticalmente en tiras largas a delgadas. Asa el calabacín sobre una parrilla, hasta que notes marcas de parrilla en ambos lados. Una vez que hayas terminado de asar todas las tiras de calabacín, déjalas a un lado para que se enfríen. Para hacer el relleno para la Lasaña de Calabacín Enrollada, calienta una cacerola con aceite, agrega ajo picado y saltea hasta que se ablande. Añade cebolla picada y saltea hasta que esté translúcida. Agrega calabacín picado y pimientos morrones y saltea durante 5 minutos más. Espolvorea todos los condimentos como tomillo, romero y hojuelas de chile rojo seco y sal al gusto. Revuelve y saltea durante 2 minutos más. Apaga el fuego y deja enfriar. Para hacer la salsa de tomate y albahaca: Hierve los tomates con el agua necesaria en una cacerola. Una vez que veas que la piel del tomate se pela, apaga el fuego. Cuando la piel se desprenda, sabrás que los tomates están listos. Pela los tomates, retira las semillas y pícalos en trozos grandes. Guarda todo el jugo que sueltan los tomates, esto le dará cuerpo a la salsa de tomate. Reserva los tomates picados. En una cacerola grande, calienta el aceite de oliva a fuego medio. Agrega el ajo y la cebolla picados. Revuelva durante unos segundos hasta que comience a chisporrotear en el aceite y las cebollas se ablanden. En esta etapa, agregue los tomates picados y las hojas de albahaca picadas gruesas, un poco de sal, azúcar, granos de pimienta negra y revuelva para combinar bien. Ahora usaremos una licuadora de mano para hacer puré grueso de los ingredientes para obtener una textura de salsa. Cubra la sartén con la tapa ligeramente entreabierta y cocine a fuego lento la mezcla durante 20 a 30 minutos hasta que la salsa espese. Mantener la tapa ligeramente entreabierta ayuda a espesar la salsa al evaporar el exceso de agua. Agregue sal al gusto, hojuelas de chile rojo para el toque y revuelva. Apague el fuego y reserve. Para hacer la lasaña enrollada de calabacín Precaliente el horno a 180 grados centígrados durante 10 minutos. Coloque una de las hojas de calabacín y agregue una cucharada del relleno en una esquina y enróllela firmemente. Haz lo mismo con el resto de las láminas de calabacín. Saca una fuente para horno, vierte la salsa de tomate y albahaca y coloca los calabacines enrollados uno al lado del otro dentro. Llénala completamente. Cubre cada rollo de calabacín con queso y hornea la lasaña de calabacín enrollada hasta que el queso se derrita. Una vez lista, retira del horno y sirve caliente. Sirve la receta de lasaña de calabacín enrollada junto con el pan de ajo con mantequilla de hierbas y la receta de ensalada de garbanzos y naranja con tomates secos para preparar una comida deliciosa.</t>
  </si>
  <si>
    <t>Pour commencer à préparer la recette de lasagnes roulées aux courgettes, nous allons préparer les courgettes, les couper verticalement en fines lanières. Faites griller les courgettes sur une poêle à griller, jusqu'à ce que vous remarquiez des marques de gril de chaque côté. Une fois que vous avez fini de griller toutes les lanières de courgettes, gardez-les de côté pour les laisser refroidir. Pour préparer la farce des lasagnes roulées aux courgettes, faites chauffer une poêle avec de l'huile, ajoutez l'ail haché et faites revenir jusqu'à ce qu'ils ramollissent. Ajoutez les oignons hachés et faites revenir jusqu'à ce qu'ils deviennent translucides. Ajoutez les courgettes et les poivrons hachés et faites revenir pendant 5 minutes supplémentaires, saupoudrez de tous les assaisonnements comme le thym, le romarin et les flocons de piment rouge séchés et salez à votre goût. Remuez et faites revenir pendant 2 minutes supplémentaires, puis éteignez le feu et laissez refroidir. Pour préparer la sauce tomate basilic, faites bouillir les tomates avec l'eau nécessaire dans une casserole. Dès que vous voyez la peau des tomates peler, éteignez le feu. Lorsque la peau se pèle, vous savez que les tomates sont prêtes. Pelez la peau des tomates, retirez les graines de la tomate et hachez-les grossièrement. Gardez tout le jus que les tomates libèrent, cela donnera du corps à la sauce tomate. Réservez les tomates hachées. Dans une grande casserole, faites chauffer l'huile d'olive à feu moyen. Ajoutez l'ail et les oignons hachés. Remuez pendant quelques secondes jusqu'à ce qu'il commence à grésiller dans l'huile et que les oignons ramollissent. À ce stade, ajoutez les tomates hachées et les feuilles de basilic grossièrement hachées, un peu de sel, de sucre, de grains de poivre noir et remuez pour bien mélanger. Nous allons maintenant utiliser un mixeur plongeant pour réduire en purée grossière les ingrédients afin d'obtenir une texture de sauce. Couvrez la casserole avec le couvercle légèrement entrouvert et laissez mijoter le mélange pendant 20 à 30 minutes jusqu'à ce que la sauce soit épaisse. Garder le couvercle légèrement entrouvert aide à épaissir la sauce en évaporant l'excès d'eau. Ajoutez du sel au goût, des flocons de piment rouge pour le punch et remuez. Éteignez le feu et réservez. Pour préparer les lasagnes roulées aux courgettes Préchauffez le four à 180 degrés Celsius pendant 10 minutes. Placez une des feuilles de courgettes et ajoutez une cuillère à soupe de garniture dans un coin et roulez-la fermement. Procédez de même pour le reste des feuilles de courgettes. Sortez un plat allant au four, versez la sauce tomate basilic dessus et disposez les courgettes roulées les unes à côté des autres. Remplissez-le entièrement. Garnissez chaque rouleau de courgette de fromage et faites cuire les lasagnes roulées aux courgettes jusqu'à ce que le fromage fonde. Une fois cuites, retirez du four et servez chaudes. Servez la recette de lasagnes roulées aux courgettes avec du pain à l'ail au beurre aux herbes et une salade de pois chiches à l'orange et aux tomates séchées pour un délicieux repas.</t>
  </si>
  <si>
    <t>http://www.archanaskitchen.com/zucchini-roll-up-lasagne-recipe</t>
  </si>
  <si>
    <t>Walnut and Flax Seed Trail Mix Recipe With Figs and Honey</t>
  </si>
  <si>
    <t>Rezept für Studentenfutter mit Walnüssen, Leinsamen, Feigen und Honig</t>
  </si>
  <si>
    <t>Recette de mélange montagnard aux noix, graines de lin, figues et miel</t>
  </si>
  <si>
    <t>Receta de mezcla de frutos secos con nueces, semillas de lino, higos y miel</t>
  </si>
  <si>
    <t>1 tasse de noix, 1 tasse de figues séchées, 1/3 tasse de graines de lin, 1/3 tasse de miel, 1/2 tasse de cacahuètes grillées (Moongphali), 1 cuillère à café de cannelle en poudre (Dalchini)</t>
  </si>
  <si>
    <t>1 cup Walnuts,1 cup Dried Figs,1/3 cup Flax seeds,1/3 cup Honey,1/2 cup Roasted Peanuts (Moongphali),1 teaspoon Cinnamon Powder (Dalchini)</t>
  </si>
  <si>
    <t>1 taza de nueces, 1 taza de higos secos, 1/3 de taza de semillas de lino, 1/3 de taza de miel, 1/2 taza de cacahuetes tostados (Moongphali), 1 cucharadita de canela en polvo (Dalchini)</t>
  </si>
  <si>
    <t>World Breakfast</t>
  </si>
  <si>
    <t xml:space="preserve">To begin making the Walnut and Flax Seed Trail Mix Recipe With Figs &amp; Honey, in a mixing bowl, combine the walnuts, figs, flax seeds, honey, roasted peanuts and the cinnamon powder. Preheat an oven to 190 degree celsius. Transfer the Walnut and Flax Seed Trail Mix onto a baking tray and bake for 12 to 15 minutes until they are crisp.Remove the tray from the oven. Allow the Walnut and Flax Seed Trail Mix to cool and transfer to an airtight jar and store.Serve Walnut and Flax Seed Trail Mix Recipe With Figs &amp; Honey along with  Watermelon Smoothie Recipe as an after school snack for your kids.
</t>
  </si>
  <si>
    <t>Para empezar a preparar la receta de mezcla de frutos secos con nueces, linaza, higos y miel, en un bol, mezcla las nueces, los higos, las semillas de linaza, la miel, los cacahuetes tostados y la canela en polvo. Precalienta el horno a 190 grados centígrados. Transfiere la mezcla de frutos secos con nueces, linaza y miel a una bandeja para hornear y hornea de 12 a 15 minutos hasta que esté crujiente. Retira la bandeja del horno. Deja que la mezcla de frutos secos con nueces, linaza y semillas se enfríe, transfiérela a un frasco hermético y guárdala. Sirve la receta de mezcla de frutos secos con nueces, linaza y semillas con higos y miel junto con la receta de batido de sandía como refrigerio después de la escuela para tus hijos.</t>
  </si>
  <si>
    <t>Pour commencer à préparer la recette de mélange montagnard aux noix et graines de lin avec figues et miel, dans un saladier, mélangez les noix, les figues, les graines de lin, le miel, les cacahuètes grillées et la cannelle en poudre. Préchauffez le four à 190 degrés Celsius. Transférez le mélange montagnard aux noix et graines de lin sur une plaque de cuisson et faites cuire pendant 12 à 15 minutes jusqu'à ce qu'ils soient croustillants. Retirez la plaque du four. Laissez refroidir le mélange montagnard aux noix et graines de lin, puis transférez-le dans un bocal hermétique et conservez-le. Servez la recette de mélange montagnard aux noix et graines de lin avec figues et miel avec la recette de smoothie à la pastèque comme collation après l'école pour vos enfants.</t>
  </si>
  <si>
    <t>https://www.archanaskitchen.com/walnut-and-flax-seed-trail-mix-recipe-with-figs-and-honey</t>
  </si>
  <si>
    <t>Carrot Corn Mayo Pancake Recipe With Sandwich Spread</t>
  </si>
  <si>
    <t>Rezept für Pfannkuchen mit Karotten-Mais-Mayo und Brotaufstrich</t>
  </si>
  <si>
    <t>Recette de crêpes à la mayonnaise carotte-maïs et tartinade</t>
  </si>
  <si>
    <t>Receta de crepe de zanahoria y maíz con mayonesa y untable</t>
  </si>
  <si>
    <t>2 carottes (Gajjar) - pelées et râpées, 3/4 tasse de maïs doux - blanchi, 1 tasse de farine de blé entier, 1 oignon - finement haché, 5 cuillères à soupe de tartinade à sandwich Del Monte, 1/4 tasse de feuilles de coriandre (Dhania) - finement hachées, 1/3 tasse de caillé (Dahi / Yaourt) - fouetté, 3 œufs entiers, 1 cuillère à café de levure chimique, 1/4 cuillère à café de bicarbonate de soude, 1 piment vert - finement haché, beurre - selon les besoins, sel - au goût, poivre noir en poudre - au goût</t>
  </si>
  <si>
    <t>2 Carrot (Gajjar) - peeled and grated,3/4 cup Sweet corn - blanched,1 cup Whole Wheat Flour,1 Onion - finely chopped,5 tablespoons Del Monte Sandwich Spread,1/4 cup Coriander (Dhania) Leaves - finely chopped,1/3 cup Curd (Dahi / Yogurt) - whisked,3 Whole Eggs,1 teaspoon Baking powder,1/4 teaspoon Baking soda,1 Green Chillies - finely chopped,Butter - as required,Salt - to taste,Black pepper powder - to taste</t>
  </si>
  <si>
    <t>2 zanahorias (Gajjar) - peladas y ralladas, 3/4 taza de maíz dulce - blanqueado, 1 taza de harina integral, 1 cebolla - finamente picada, 5 cucharadas de Del Monte Sandwich Spread, 1/4 taza de hojas de cilantro (Dhania) - finamente picadas, 1/3 taza de cuajada (Dahi / Yogur) - batida, 3 huevos enteros, 1 cucharadita de polvo para hornear, 1/4 cucharadita de bicarbonato de sodio, 1 chile verde - finamente picado, mantequilla - al gusto, sal - al gusto, pimienta negra en polvo - al gusto</t>
  </si>
  <si>
    <t xml:space="preserve">To begin making the Carrot Corn Mayo Pancake Recipe With Sandwich Spread, first prep all the ingredients and keep them ready to make the pancakes. In a large mixing bowl, add eggs, yogurt and sandwich spread. Combine very well until creamy. Stir in the grated carrot, onions, chilies, corn and season with Salt and pepper. Mix very well.In another bowl, add flour, baking soda and baking powder, mix well.Now add the dry flour mixture to the carrot mayo mixture. Mix to form a thick pancake batter.  The pancake batter should be of thick creamy consistency. Stir in the chopped coriander leaves and mix well. Check the salt and seasonings and adjust to taste accordingly. Heat flat griddle or pan over medium heat and grease it with a little butter.Pour a ladle full of pancake batter and cook for a couple of minutes. Gently flip to cook on the other side for another 2 to 3 minutes.  Once you notice the pancake is lightly browned on both sides and cooked through, remove from the pan.Repeat the same for the rest of the pancake batter. Once done, serve the pancakes warm.Serve the Carrot Corn Mayo Pancake as a wholesome breakfast on a sunday along with a Bullseye On Toast and bowl of fruits with a cup of Espresso Coffee.
</t>
  </si>
  <si>
    <t>Para comenzar a hacer la receta de panqueques de zanahoria, maíz y mayonesa con pasta para sándwich, primero prepare todos los ingredientes y téngalos listos para hacer los panqueques. En un tazón grande, agregue los huevos, el yogur y la pasta para sándwich. Combine muy bien hasta que esté cremoso. Agregue la zanahoria rallada, las cebollas, los chiles, el maíz y sazone con sal y pimienta. Mezcle muy bien. En otro tazón, agregue la harina, el bicarbonato de sodio y el polvo para hornear, mezcle bien. Ahora agregue la mezcla de harina seca a la mezcla de mayonesa de zanahoria. Mezcle para formar una masa espesa para panqueques. La masa para panqueques debe tener una consistencia espesa y cremosa. Agregue las hojas de cilantro picadas y mezcle bien. Verifique la sal y los condimentos y ajuste al gusto según corresponda. Caliente una plancha o sartén plana a fuego medio y engrásela con un poco de mantequilla. Vierta un cucharón lleno de masa para panqueques y cocine por un par de minutos. Voltee suavemente para cocinar por el otro lado durante otros 2 a 3 minutos. Una vez que notes que el panqueque está ligeramente dorado por ambos lados y bien cocido, retíralo de la sartén. Repite el mismo procedimiento con el resto de la masa. Una vez listo, sirve los panqueques calientes. Sirve el Panqueque de Zanahoria, Maíz y Mayonesa como un desayuno saludable un domingo junto con una tostada Bullseye y un tazón de frutas con una taza de café expreso.</t>
  </si>
  <si>
    <t>Pour commencer à préparer la recette de crêpes à la carotte, au maïs et à la mayonnaise avec tartinade à sandwich, préparez d'abord tous les ingrédients et gardez-les prêts pour faire les crêpes. Dans un grand bol, ajoutez les œufs, le yaourt et la tartinade à sandwich. Mélangez très bien jusqu'à obtenir une consistance crémeuse. Incorporez la carotte râpée, les oignons, les piments, le maïs et assaisonnez de sel et de poivre. Mélangez très bien. Dans un autre bol, ajoutez la farine, le bicarbonate de soude et la levure chimique, mélangez bien. Ajoutez maintenant le mélange de farine sèche au mélange de carotte et de mayonnaise. Mélangez pour former une pâte à crêpes épaisse. La pâte à crêpes doit avoir une consistance épaisse et crémeuse. Incorporez les feuilles de coriandre hachées et mélangez bien. Vérifiez le sel et les assaisonnements et ajustez au goût en conséquence. Chauffez une plaque chauffante ou une poêle à feu moyen et graissez-la avec un peu de beurre. Versez une louche de pâte à crêpes et faites cuire pendant quelques minutes. Retournez délicatement pour cuire l'autre côté pendant encore 2 à 3 minutes. Une fois que vous constatez que la crêpe est légèrement dorée des deux côtés et bien cuite, retirez-la de la poêle. Répétez l'opération pour le reste de la pâte à crêpes. Une fois cuites, servez les crêpes chaudes. Servez la crêpe carottes-maïs-mayo comme petit-déjeuner sain le dimanche, accompagnée d'un toast Bullseye et d'un bol de fruits avec une tasse d'espresso.</t>
  </si>
  <si>
    <t>http://www.archanaskitchen.com/carrot-corn-mayo-pancake-recipe-with-sandwich-spread</t>
  </si>
  <si>
    <t>Lemon Frozen Yogurt Recipe</t>
  </si>
  <si>
    <t>Rezept für gefrorenen Zitronenjoghurt</t>
  </si>
  <si>
    <t>Recette de yaourt glacé au citron</t>
  </si>
  <si>
    <t>Receta de yogur helado de limón</t>
  </si>
  <si>
    <t>1/4 tasse de jus de citron, 500 grammes de caillé (Dahi / Yaourt), 1/4 tasse de sucre en poudre, 2 cuillères à soupe de crème fraîche, 1/8 cuillère à café de poudre de curcuma (Haldi), extrait de vanille - quelques gouttes, 1 cuillère à café de zeste d'orange (écorce), orange - deux quartiers</t>
  </si>
  <si>
    <t>1/4 cup Lemon juice,500 grams Curd (Dahi / Yogurt),1/4 cup Sugar - powdered,2 tablespoons Fresh cream,1/8 teaspoon Turmeric powder (Haldi),Vanilla Extract - few drops,1 teaspoon Orange Zest (Rind),Orange - two wedges</t>
  </si>
  <si>
    <t>1/4 taza de jugo de limón, 500 gramos de cuajada (Dahi / yogur), 1/4 taza de azúcar - en polvo, 2 cucharadas de crema fresca, 1/8 cucharadita de cúrcuma en polvo (Haldi), extracto de vainilla - unas gotas, 1 cucharadita de ralladura de naranja (cáscara), naranja - dos gajos</t>
  </si>
  <si>
    <t xml:space="preserve">To begin making the Lemon Frozen Yogurt recipe, take a medium bowl and beat yogurt and turmeric powder for about 4 minutes. Into the bowl of yogurt, add cream, powdered sugar, 2-3 drops of vanilla essence and squeeze out the lemon juice. Pour the yogurt mixture in a freezing bowl and freeze it for 2 hours. Take the frozen yogurt bowl out of the freezer and stir well, return to the freezer and keep overnight.Take out of freezer 30-40 minutes before serving. Serve in fancy bowl with few big scoops of Lemon Frozen Yogurt with orange zest on top and a slice of orange for garnishing.Serve Lemon Frozen Yogurt on its own as a snack or serve it with your meal.
</t>
  </si>
  <si>
    <t>Para empezar a preparar la receta de yogur helado de limón, tome un tazón mediano y bata el yogur y la cúrcuma en polvo durante unos 4 minutos. En el tazón de yogur, agregue crema, azúcar glas, 2-3 gotas de esencia de vainilla y exprima el jugo de limón. Vierta la mezcla de yogur en un tazón congelador y congélelo durante 2 horas. Saque el tazón de yogur helado del congelador y revuelva bien, regréselo al congelador y consérvelo durante la noche. Sáquelo del congelador 30-40 minutos antes de servir. Sirva en un tazón elegante con algunas bolas grandes de yogur helado de limón con ralladura de naranja por encima y una rodaja de naranja para decorar. Sirva el yogur helado de limón solo como refrigerio o sírvalo con su comida.</t>
  </si>
  <si>
    <t>Pour commencer à préparer la recette de yaourt glacé au citron, prenez un bol moyen et battez le yaourt et la poudre de curcuma pendant environ 4 minutes. Dans le bol de yaourt, ajoutez la crème, le sucre en poudre, 2 à 3 gouttes d'essence de vanille et pressez le jus de citron. Versez le mélange de yaourt dans un bol de congélation et congelez-le pendant 2 heures. Sortez le bol de yaourt glacé du congélateur et remuez bien, remettez-le au congélateur et conservez-le toute la nuit. Sortez du congélateur 30 à 40 minutes avant de servir. Servez dans un bol fantaisie avec quelques grosses boules de yaourt glacé au citron avec du zeste d'orange sur le dessus et une tranche d'orange pour la garniture. Servez le yaourt glacé au citron seul en collation ou accompagnez-le de votre repas.</t>
  </si>
  <si>
    <t>https://www.archanaskitchen.com/lemon-frozen-yogurt-recipe</t>
  </si>
  <si>
    <t>Paneer Capsicum Sandwich Recipe</t>
  </si>
  <si>
    <t>Rezept für Paneer-Paprika-Sandwich</t>
  </si>
  <si>
    <t>Recette de sandwich au paneer et au poivre</t>
  </si>
  <si>
    <t>Receta de sándwich de paneer y pimiento</t>
  </si>
  <si>
    <t>8 pains complets bruns, 200 grammes de paneer (fromage cottage fait maison) râpé, 1 poivron vert finement haché, 1 piment vert finement haché, 1 cuillère à café de poudre de chaat masala, 1/2 cuillère à café de poudre de poivre noir, 2 cuillères à soupe de beurre, sel au goût</t>
  </si>
  <si>
    <t>8 Whole Wheat Brown Bread,200 grams Paneer (Homemade Cottage Cheese) - grated,1 Green Bell Pepper (Capsicum) - finely chopped,1 Green Chilli - finely chopped,1 teaspoon Chaat Masala Powder,1/2 teaspoon Black pepper powder,2 tablespoons Butter,Salt - to taste</t>
  </si>
  <si>
    <t>8 panes integrales, 200 gramos de paneer (requesón casero) rallado, 1 pimiento verde (capsicum) finamente picado, 1 chile verde finamente picado, 1 cucharadita de polvo de chaat masala, 1/2 cucharadita de pimienta negra en polvo, 2 cucharadas de mantequilla, sal - al gusto</t>
  </si>
  <si>
    <t xml:space="preserve">To begin making the Paneer Capsicum Sandwich Recipe, grate the paneer using a handy grater and place it in a big bowl.To this add the finely chopped capsicum, green chilli, chaat masala, pepper powder, salt and mix well.Now place a small portion of this mixture on a bread slice, spread it evenly and place another bread slice over it and press it gently to seal it.Similarly prepare the rest of the bread slices with the fillings.To make the sandwiches, heat a skillet on medium heat, apply a little butter and place two sets of the sandwich prepared over it and toast it until it turns light brown. This will take around 2 minutes.Apply a little butter on the top layer of the bread, flip over and cook the other side for 2 more minutes to turn it brown and crisp.Similarly, toast the other two sets of the sandwiches.Serve the Paneer Capsicum Sandwich Recipe along with Papaya Banana Shake for a quick breakfast or along with Masala Tea for an evening snacks.
</t>
  </si>
  <si>
    <t xml:space="preserve">Para comenzar a hacer la Receta del Sándwich de Paneer y Pimiento, ralle el paneer con un rallador práctico y colóquelo en un tazón grande. A esto, agregue el pimiento finamente picado, el chile verde, el chaat masala, la pimienta en polvo, la sal y mezcle bien. Ahora coloque una pequeña porción de esta mezcla en una rebanada de pan, extiéndala uniformemente y coloque otra rebanada de pan sobre ella y presione suavemente para sellarla. De manera similar, prepare el resto de las rebanadas de pan con los rellenos. Para hacer los sándwiches, caliente una sartén a fuego medio, aplique un poco de mantequilla y coloque dos juegos de sándwiches preparados sobre ella y tuéstelos hasta que se doren. Esto tomará alrededor de 2 minutos. Aplique un poco de mantequilla en la capa superior del pan, voltee y cocine el otro lado durante 2 minutos más para que se dore y quede crujiente. De manera similar, tueste los otros dos juegos de sándwiches. Sirva la Receta del Sándwich de Paneer y Pimiento junto con un Batido de Papaya y Plátano para un desayuno rápido o junto con un Té Masala para un refrigerio por la noche.
</t>
  </si>
  <si>
    <t>Pour commencer à préparer la recette du sandwich au paneer et au poivron, râpez le paneer à l'aide d'une râpe pratique et placez-le dans un grand bol. Ajoutez à cela le poivron finement haché, le piment vert, le chaat masala, la poudre de poivre, le sel et mélangez bien. Placez maintenant une petite portion de ce mélange sur une tranche de pain, étalez-la uniformément et placez une autre tranche de pain dessus et appuyez doucement pour la sceller. Préparez de la même manière le reste des tranches de pain avec la garniture. Pour faire les sandwichs, faites chauffer une poêle à feu moyen, appliquez un peu de beurre et placez deux ensembles du sandwich préparé dessus et faites-le griller jusqu'à ce qu'il devienne légèrement brun. Cela prendra environ 2 minutes. Appliquez un peu de beurre sur la couche supérieure du pain, retournez-le et faites cuire l'autre côté pendant 2 minutes supplémentaires pour le rendre brun et croustillant. De même, faites griller les deux autres séries de sandwichs. Servez la recette du sandwich au paneer et au poivron avec un shake à la papaye et à la banane pour un petit-déjeuner rapide ou avec du thé Masala pour une collation en soirée.</t>
  </si>
  <si>
    <t>https://www.archanaskitchen.com/paneer-capsicum-sandwich-recipe</t>
  </si>
  <si>
    <t>Oreo Milkshake Recipe</t>
  </si>
  <si>
    <t>Oreo-Milchshake-Rezept</t>
  </si>
  <si>
    <t>recette de milkshake Oreo</t>
  </si>
  <si>
    <t>Receta de batido de Oreo</t>
  </si>
  <si>
    <t>8 biscuits Oreo - cassés en morceaux, 1/2 tasse de crème glacée à la vanille - 2 boules, 1/4 tasse de lait, 1 cuillère à soupe de sauce au chocolat, sauce au chocolat - selon les besoins pour la garniture, crème à fouetter épaisse - selon les besoins pour la garniture</t>
  </si>
  <si>
    <t>8 Oreo biscuits - broken into pieces,1/2 cup Vanilla Ice cream - 2 scoops,1/4 cup Milk,1 tablespoon Chocolate sauce,Chocolate sauce - as required for garnishing,Heavy whipping cream - as required for garnishing</t>
  </si>
  <si>
    <t>8 galletas Oreo - cortadas en pedazos, 1/2 taza de helado de vainilla - 2 bolas, 1/4 taza de leche, 1 cucharada de salsa de chocolate, salsa de chocolate - la necesaria para decorar, crema batida espesa - la necesaria para decorar</t>
  </si>
  <si>
    <t xml:space="preserve">To begin making Oreo Milkshake Recipe prep up to make Oreo milkshake with all the ingredients mentioned. Take a powerful hand blender to blend everything.Blend Oreo biscuits, milk, ice cream and chocolate syrup until everything very well combined and smooth textured.Pour into glasses, top it up with some whipped cream and chocolate syrup for garnishing and serve immediately.Serve Oreo Milkshake along With Grilled Mushroom Sandwich to kids for their after school snacks.
</t>
  </si>
  <si>
    <t>Para empezar a preparar la malteada de Oreo, prepara todos los ingredientes mencionados. Usa una batidora de mano potente para batirlo todo. Licúa las galletas Oreo, la leche, el helado y el sirope de chocolate hasta que todo esté bien combinado y tenga una textura suave. Vierte la mezcla en vasos, añade un poco de crema batida y sirope de chocolate para decorar y sirve inmediatamente. Sirve la malteada de Oreo junto con el sándwich de champiñones a la parrilla a los niños para la merienda después de la escuela.</t>
  </si>
  <si>
    <t>Pour commencer la recette du milkshake Oreo, préparez un milkshake Oreo avec tous les ingrédients mentionnés. Utilisez un mixeur plongeant puissant pour mixer le tout. Mixez les biscuits Oreo, le lait, la glace et le sirop de chocolat jusqu'à obtenir une texture lisse et homogène. Versez dans des verres, ajoutez de la crème fouettée et du sirop de chocolat pour la décoration et servez immédiatement. Servez le milkshake Oreo accompagné d'un sandwich aux champignons grillés aux enfants pour leur goûter après l'école.</t>
  </si>
  <si>
    <t>http://www.archanaskitchen.com/oreo-milkshake-recipe</t>
  </si>
  <si>
    <t>Eggless Devil's Food Cake Recipe</t>
  </si>
  <si>
    <t>Rezept für Devil's Food Cake ohne Eier</t>
  </si>
  <si>
    <t>Recette de gâteau du diable sans œufs</t>
  </si>
  <si>
    <t>Receta de pastel del diablo sin huevo</t>
  </si>
  <si>
    <t>2 tasses de farine tout usage (Maida), 2/3 tasse de poudre de cacao, 1-1/2 cuillères à café de levure chimique, 1/4 cuillère à café de sel, 3/4 tasse de beurre - ramolli, 1-1/2 tasse de sucre en poudre, 1-1/2 cuillère à café d'extrait de vanille, 3 œufs entiers - ou substitut d'œuf à base de farine de lin, 3/4 tasse de caillé (Dahi / Yaourt), 1/2 cuillère à café de colorant alimentaire rouge - (facultatif), ganache au chocolat - au besoin, 3 cuillères à soupe de poudre de graines de lin (farine de lin), 9 cuillères à soupe d'eau glacée</t>
  </si>
  <si>
    <t>2 cups All Purpose Flour (Maida),2/3 cup Cocoa Powder,1-1/2 teaspoons Baking powder,1/4 teaspoon Salt,3/4 cup Butter - softened,1-1/2 cups Caster Sugar,1-1/2 teaspoon Vanilla Extract,3 Whole Eggs - or Flaxmeal Egg Replacer,3/4 cup Curd (Dahi / Yogurt),1/2 teaspoon Red Food Color - (only optional),Chocolate ganache - as needed,3 tablespoons Flax seed powder (flax meal),9 tablespoons Chilled water</t>
  </si>
  <si>
    <t>2 tazas de harina para todo uso (Maida), 2/3 taza de cacao en polvo, 1-1/2 cucharadita de polvo para hornear, 1/4 cucharadita de sal, 3/4 taza de mantequilla - ablandada, 1-1/2 tazas de azúcar extrafino, 1-1/2 cucharadita de extracto de vainilla, 3 huevos enteros - o sustituto de huevo de harina de lino, 3/4 taza de cuajada (Dahi / yogur), 1/2 cucharadita de colorante alimentario rojo - (solo opcional), ganache de chocolate - según sea necesario, 3 cucharadas de polvo de semilla de lino (harina de lino), 9 cucharadas de agua fría</t>
  </si>
  <si>
    <t xml:space="preserve">To begin making the Rich Dark Devil's Food Cake Recipe, we will first preheat the oven to 180 C. Grease and flour 2 - 8 inch cake round cake pans. Keep aside.To make the Flax Meal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 Sift the flour, baking powder, salt and cocoa powder and keep aside.In a large bowl or the bowl of the stand mixer, beat in the softened butter, vanilla and sugar until light and fluffy. Add an egg at a time, whisking it into the butter mixture until light and fluffy(if making eggless, add the flaxmeal egg replacer)Gradually add in the butter milk and food coloring. And finally, gradually fold in the flour mixture and continue to fold until the mixture is well blended and smooth.Divide the chocolate cake batter into 2 greased baking pans and place in the preheated oven to bake for about 35 to 45 minutes, until a tester when inserted in the center comes out clean.Once the cakes are baked, remove them from the oven and cool them completely. While the cake is cooling, prepare the Chocolate Ganache recipe. Place one cake on the serving tray in which you plan to set the cake. Spread a generous portion of the chocolate ganache on the top of the cake. Place the other cake over the bottom one and lightly press down. Finally cover the whole cake with the Chocolate Ganache including the sides and the top. Refrigerate the cake for at least 4 to 5 hours.Serve the Rich Dark Chocolate Devils Food Cake along with a cup of coffee or as a dessert for parties.
</t>
  </si>
  <si>
    <t>Para comenzar a hacer la Receta del Pastel Oscuro Rico del Diablo, primero precalentaremos el horno a 180 C. Engrase y enharine 2 moldes para pastel redondos de 8 pulgadas. Déjelos a un lado. Para hacer el Sustituto de Huevo de Harina de Lino Si su receta pide 3 huevos, mida 3 cucharadas de harina de lino junto con 9 cucharadas de agua. Revuelva bien y deje reposar la mezcla durante unos 15 minutos. Este proceso de reposo ayuda a que la mezcla de harina de lino desarrolle una consistencia gelatinosa similar a los huevos. Para hacer la Masa Tamice la harina, el polvo para hornear, la sal y el cacao en polvo y reserve. En un tazón grande o en el tazón de la batidora de pie, bata la mantequilla suavizada, la vainilla y el azúcar hasta que esté suave y esponjoso. Agregue un huevo a la vez, batiéndolo en la mezcla de mantequilla hasta que esté suave y esponjoso (si lo hace sin huevo, agregue el sustituto de huevo de harina de lino) Agregue gradualmente el suero de mantequilla y el colorante de alimentos. Y finalmente, incorpore gradualmente la mezcla de harina y continúe mezclando hasta que la mezcla esté bien incorporada y suave. Divida la masa del pastel de chocolate en 2 moldes para hornear engrasados ​​y colóquelos en el horno precalentado para hornear durante unos 35 a 45 minutos, hasta que al insertar un palillo en el centro, este salga limpio. Una vez horneados los pasteles, sáquelos del horno y déjelos enfriar por completo. Mientras se enfría el pastel, prepare la receta de ganache de chocolate. Coloque un pastel en la bandeja para servir en la que planea colocar el pastel. Extienda una porción generosa de ganache de chocolate en la parte superior del pastel. Coloque el otro pastel sobre el de abajo y presione ligeramente hacia abajo. Finalmente, cubra todo el pastel con el ganache de chocolate, incluidos los lados y la parte superior. Refrigere el pastel durante al menos 4 a 5 horas. Sirva el pastel Devils Food de chocolate negro intenso junto con una taza de café o como postre para fiestas.</t>
  </si>
  <si>
    <t>Pour commencer à préparer la recette du gâteau Rich Dark Devil's Food, nous allons d'abord préchauffer le four à 180 °C. Graisser et fariner 2 moules à gâteau ronds de 8 pouces. Réserver. Pour préparer le substitut d'œuf à la farine de lin Si votre recette demande 3 œufs, mesurez 3 cuillères à soupe de farine de lin avec 9 cuillères à soupe d'eau. Bien mélanger et laisser reposer le mélange pendant environ 15 minutes. Ce processus de repos aide le mélange de farine de lin à développer une consistance gélatineuse semblable à celle des œufs. Pour préparer la pâte Tamisez la farine, la levure chimique, le sel et le cacao en poudre et réservez. Dans un grand bol ou le bol du batteur sur socle, incorporez le beurre ramolli, la vanille et le sucre jusqu'à consistance légère et mousseuse. Ajoutez un œuf à la fois, en le fouettant dans le mélange de beurre jusqu'à consistance légère et mousseuse (si vous faites sans œufs, ajoutez le substitut d'œuf à la farine de lin) Ajoutez graduellement le babeurre et le colorant alimentaire. Enfin, incorporez progressivement le mélange de farine et continuez à mélanger jusqu'à ce que le mélange soit homogène et lisse. Répartissez la pâte à gâteau au chocolat dans deux moules à pâtisserie graissés et placez-les dans le four préchauffé pour cuire pendant environ 35 à 45 minutes, jusqu'à ce qu'un cure-dent inséré au centre en ressorte propre. Une fois les gâteaux cuits, retirez-les du four et laissez-les refroidir complètement. Pendant que le gâteau refroidit, préparez la recette de ganache au chocolat. Placez un gâteau sur le plateau de service où vous prévoyez de le placer. Étalez une généreuse portion de ganache au chocolat sur le dessus du gâteau. Placez l'autre gâteau sur celui du dessous et appuyez légèrement. Enfin, recouvrez tout le gâteau de ganache au chocolat, y compris les côtés et le dessus. Réfrigérez le gâteau pendant au moins 4 à 5 heures. Servez le gâteau au chocolat noir riche Devils Food avec une tasse de café ou comme dessert pour les fêtes.</t>
  </si>
  <si>
    <t>https://www.archanaskitchen.com/devils-food-cake-recipe-with-eggless-egg-free-option</t>
  </si>
  <si>
    <t>Chicken Sausages, Baked Beans and Stir Fried Broccoli Recipe</t>
  </si>
  <si>
    <t>Rezept für Hühnerwürstchen, gebackene Bohnen und gebratenen Brokkoli</t>
  </si>
  <si>
    <t>Recette de saucisses de poulet, haricots blancs au four et brocoli rôti</t>
  </si>
  <si>
    <t>Receta de salchicha de pollo, frijoles horneados y brócoli asado</t>
  </si>
  <si>
    <t>2 saucisses de poulet, 1 cuillère à café de beurre, 250 grammes de haricots secs (comme les cannellini ou les graines de soja), 1 cuillère à café d'huile d'olive extra vierge, 1 oignon finement haché, 1 gousse d'ail râpée, 500 grammes de tomates en purée, 1 cuillère à soupe de miel ou plus au goût, 1 cuillère à café de cumin en poudre (Jeera), 1 cuillère à café d'origan séché, 1/4 cuillère à café de poudre de piment rouge ou de poivre de Cayenne, sel et poivre, 1 tasse de brocoli coupé en petits fleurons, 2 gousses d'ail hachées, 1 cuillère à café de feuilles de thym séchées, 1 cuillère à café d'origan séché, sel au goût, poivre noir en poudre pour l'assaisonnement</t>
  </si>
  <si>
    <t>2 Chicken sausage,1 teaspoon Butter,250 grams Dry beans - (such as cannellini or soya beans),1 teaspoon Extra Virgin Olive Oil,1 Onion - finely chopped,1 clove Garlic - grated,500 grams Tomatoes - pureed,1 tablespoon Honey - or more to taste,1 teaspoon Cumin powder (Jeera),1 teaspoon Dried oregano,1/4 teaspoon Red Chilli powder - or cayenne pepper,Salt and Pepper - ,1 cup Broccoli - cut into small florets,2 cloves Garlic - chopped,1 teaspoon Dried Thyme Leaves,1 teaspoon Dried oregano,Salt - to taste,Black pepper powder - for seasoning</t>
  </si>
  <si>
    <t>2 salchichas de pollo, 1 cucharadita de mantequilla, 250 gramos de frijoles secos (como cannellini o frijoles de soja), 1 cucharadita de aceite de oliva virgen extra, 1 cebolla finamente picada, 1 diente de ajo rallado, 500 gramos de tomates hechos puré, 1 cucharada de miel (o más al gusto), 1 cucharadita de comino en polvo (Jeera), 1 cucharadita de orégano seco, 1/4 cucharadita de chile rojo en polvo o pimienta de cayena, sal y pimienta, 1 taza de brócoli cortado en floretes pequeños, 2 dientes de ajo picados, 1 cucharadita de hojas de tomillo secas, 1 cucharadita de orégano seco, sal al gusto, pimienta negra en polvo para condimentar</t>
  </si>
  <si>
    <t xml:space="preserve">To begin making the Chicken Sausages, Baked Beans and Stir Fried Broccoli Recipe, we will first make the baked beans. Soak the beans overnight for about 8 hours in water.We also have to make the cooked tomato puree. Once the beans are soaked well, our next step is to cook them.  Place the beans in the pressure, place the weight on, cover the pan and cook it along with 2-1/2 cups of water. After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taste.To Stir fry the BroccoliHeat a sauce pan with oil, add garlic and sauté them till they soften. Add broccoli and season it well with all the seasonings.Sprinkle little water and cook the broccoli for about 5 more minutes till they become quiet tender. Check for salt and switch off the heat.To Cook the sausagesBefore you fry the sausages over a pan, make sure the sausages are not frozen and they are thawed well.Prick the sausages with the fork, place a wide pan with 1 inch water and butter. Bring it to a boil.Once it begins to boil, place the sausages inside. Keep turning them until all the water is evaporated and till you can deglaze the pan. Brown the sausages well on all the sides.The sausages will take about 10 minutes to cook and you can serve it over a plate.To plate, place the sausages over the side, add baked beans, place the stir fried broccoli and keep a garlic bread next to it and serve. Serve the Chicken Sausages, Baked Beans and Stir Fried Broccoli Recipe along with a glass of Cantaloupe Pomegranate and Mint Juice Recipe for your Sunday brunch.
</t>
  </si>
  <si>
    <t>Para comenzar a hacer la receta de salchichas de pollo, frijoles horneados y brócoli salteado, primero haremos los frijoles horneados. Remoje los frijoles durante la noche durante aproximadamente 8 horas en agua. También tenemos que hacer el puré de tomate cocido. Una vez que los frijoles estén bien remojados, nuestro siguiente paso es cocinarlos. Coloque los frijoles en la presión, coloque el peso, cubra la olla y cocínelos junto con 2-1/2 tazas de agua. Después de 4 a 5 silbidos, baje el fuego y cocine durante otros 15 minutos. Apague el fuego y permita que la olla a presión libere su presión naturalmente. Esto tomaría otros 10 minutos. Los frijoles continúan cocinándose bajo presión incluso cuando está apagada. Una vez que se libera la presión, abra la olla y escurra el exceso de líquido. Guarde este líquido y úselo en el caldo de verduras o risotto. Una vez que los frijoles estén cocidos, nuestro siguiente paso es condimentarlos para hacer los frijoles horneados. Caliente el aceite en una cacerola a fuego medio; Añade la cebolla y el ajo y sofríelos ligeramente hasta que la cebolla esté tierna. Agrega los tomates, la miel y las especias y remueve. Incorpora las judías cocidas y escurridas a la salsa de tomate. Saltea las judías hasta que estén bien cubiertas con los tomates. Tapa la sartén, baja el fuego y cocina a fuego lento durante unos 30 minutos hasta que notes que están bien cubiertas con las especias y los tomates. Ajusta el punto de sal y condimento a tu gusto. Para saltear el brócoli: Calienta una sartén con aceite, añade el ajo y sofríe hasta que se ablande. Agrega el brócoli y sazónalo bien con todos los condimentos. Espolvorea con un poco de agua y cocina el brócoli durante unos 5 minutos más hasta que esté tierno. Comprueba el punto de sal y apaga el fuego. Para cocinar las salchichas: Antes de freír las salchichas en una sartén, asegúrate de que no estén congeladas y que estén bien descongeladas. Pincha las salchichas con un tenedor y coloca una sartén ancha con 2,5 cm de agua y mantequilla. Ponlo a hervir. Una vez que empiece a hervir, coloca las salchichas dentro. Sigue dándoles vuelta hasta que se evapore toda el agua y hasta que puedas desglasar la sartén. Dora bien las salchichas por todos lados. Las salchichas tardarán unos 10 minutos en cocinarse y puedes servirlas en un plato. Para emplatar, coloca las salchichas a un lado, agrega frijoles horneados, coloca el brócoli salteado y mantén un pan de ajo al lado y sirve. Sirve la receta de salchichas de pollo, frijoles horneados y brócoli salteado junto con un vaso de jugo de melón, granada y menta para tu brunch dominical.</t>
  </si>
  <si>
    <t>Pour commencer à préparer la recette de saucisses de poulet, haricots blancs à la sauce tomate et brocoli sauté, nous allons d'abord préparer les haricots blancs à la sauce tomate. Faites tremper les haricots pendant environ 8 heures dans l'eau pendant la nuit. Nous devons également préparer la purée de tomates cuite. Une fois les haricots bien trempés, notre prochaine étape consiste à les cuire. Placez les haricots dans l'autocuiseur, placez le poids dessus, couvrez la casserole et faites-les cuire avec 2-1/2 tasses d'eau. Après 4 à 5 sifflements, baissez le feu et laissez cuire encore 15 minutes. Éteignez le feu et laissez l'autocuiseur relâcher sa pression naturellement. Cela prendrait encore 10 minutes. Les haricots continuent de cuire sous la pression même lorsqu'il est éteint. Une fois la pression relâchée, ouvrez l'autocuiseur et égouttez l'excès de liquide. Vous conservez ce liquide et l'utilisez dans le bouillon de légumes ou le risotto. Une fois les haricots cuits, notre prochaine étape consiste à les pimenter pour préparer les haricots blancs à la sauce tomate. Faites chauffer l'huile dans une casserole à feu moyen ; Ajoutez les oignons et l'ail et faites revenir légèrement jusqu'à ce que les oignons soient tendres. Ajoutez les tomates, le miel et les épices et remuez. Ajoutez les haricots cuits et égouttés à la sauce tomate. Faites sauter les haricots jusqu'à ce qu'ils soient bien enrobés de tomates. Couvrez la casserole, baissez le feu et laissez mijoter les haricots pendant environ 30 minutes, jusqu'à ce qu'ils soient bien enrobés d'épices et de tomates. Vérifiez le sel et l'assaisonnement et ajustez à votre goût. Pour faire sauter le brocoli : Faites chauffer une casserole avec de l'huile, ajoutez l'ail et faites-le revenir jusqu'à ce qu'il soit tendre. Ajoutez le brocoli et assaisonnez bien avec tous les assaisonnements. Arrosez légèrement d'eau et faites cuire le brocoli pendant environ 5 minutes supplémentaires, jusqu'à ce qu'il soit tendre. Vérifiez la quantité de sel et éteignez le feu. Pour cuire les saucisses : Avant de faire frire les saucisses à la poêle, assurez-vous qu'elles ne sont pas congelées et qu'elles sont bien décongelées. Piquez les saucisses avec une fourchette, placez une grande casserole avec 2,5 cm d'eau et du beurre. Portez à ébullition. Dès que l'eau bout, placez les saucisses à l'intérieur. Continuez à les retourner jusqu'à ce que toute l'eau soit évaporée et que vous puissiez déglacer la poêle. Faites bien dorer les saucisses de tous les côtés. Les saucisses prendront environ 10 minutes à cuire et vous pouvez les servir sur une assiette. Pour dresser l'assiette, placez les saucisses à côté, ajoutez les haricots blancs à la sauce tomate, placez le brocoli sauté et gardez un pain à l'ail à côté et servez. Servez la recette de saucisses de poulet, haricots blancs à la sauce tomate et brocoli sauté avec un verre de jus de cantaloup, grenade et menthe pour votre brunch du dimanche.</t>
  </si>
  <si>
    <t>https://www.archanaskitchen.com/chicken-sausages-baked-beans-and-stir-fried-broccoli-recipe</t>
  </si>
  <si>
    <t>Homemade Granola Mix Recipe with Oats &amp; Wheat Flakes</t>
  </si>
  <si>
    <t>Rezept für selbstgemachtes Granola-Mix mit Hafer und Weizenflocken</t>
  </si>
  <si>
    <t>Recette de mélange de granola maison à l'avoine et aux flocons de blé</t>
  </si>
  <si>
    <t>Receta casera de granola de avena y hojuelas de trigo</t>
  </si>
  <si>
    <t>1/2 tasse d'avoine instantanée (gruau), 1/2 tasse de flocons de blé (céréales), 3 cuillères à soupe de pignons de pin, 3 cuillères à soupe de graines de citrouille, 3 cuillères à soupe de dattes (séchées) finement hachées, 3 cuillères à soupe de framboises séchées, 3 cuillères à soupe de raisins secs (sultana), 3 cuillères à soupe de badam (amande), 3 cuillères à soupe de noix, 1/2 cuillère à café de cannelle en poudre (dalchini), 1/2 cuillère à café de noix de muscade en poudre, 1/2 cuillère à soupe d'extrait de vanille, 1/2 cuillère à café d'huile de tournesol, 1 cuillère à soupe de miel</t>
  </si>
  <si>
    <t>1/2 cup Instant Oats (Oatmeal),1/2 cup Wheat Flakes (Cereal),3 tablespoon Pine nuts,3 tablespoons Pumpkin seeds,3 tablespoon Dates - (dried ones) finely chopped,3 tablespoon Dried raspberries,3 tablespoons Raisins - (sultana),3 tablespoon Badam (Almond),3 tablespoon Walnuts,1/2 teaspoon Cinnamon Powder (Dalchini),1/2 teaspoon Nutmeg powder,1/2 tablespoon Vanilla Extract,1/2 teaspoon Sunflower Oil,1 tablespoon Honey</t>
  </si>
  <si>
    <t>1/2 taza de avena instantánea (avena), 1/2 taza de hojuelas de trigo (cereal), 3 cucharadas de piñones, 3 cucharadas de semillas de calabaza, 3 cucharadas de dátiles (secos) finamente picados, 3 cucharadas de frambuesas secas, 3 cucharadas de pasas (sultaninas), 3 cucharadas de Badam (almendras), 3 cucharadas de nueces, 1/2 cucharadita de canela en polvo (dalchini), 1/2 cucharadita de nuez moscada en polvo, 1/2 cucharada de extracto de vainilla, 1/2 cucharadita de aceite de girasol, 1 cucharada de miel</t>
  </si>
  <si>
    <t xml:space="preserve">To begin making the Homemade Granola Mix Recipe with Oats &amp; Wheat Flakes, heat a wok or a heavy bottomed pan over medium heat and gently roast the oats until they turn crisp and lightly golden.Once roasted, remove from the pan and keep aside. Heat the vegetable oil in the same pan over medium heat.  Add all the nuts and seeds and roast them for about 5 minutes.Once the nuts and seeds are roasted, add the dried dates, raspberries and sultanas along with the honey and vanilla essence. Roast for another couple of minutes. Finally add in the tossed oats, wheat flakes, cinnamon and nutmeg powderUsing a spatula mix everything thoroughlyOnce they are cooled down the Homemade Granola Mix with Oats &amp; Wheat Flakes is ready. Store them in an airtight container for a few weeks.Serve the Homemade Granola Mix with Oats &amp; Wheat Flakes crunchy for breakfast along with fresh milk &amp; fruits or as an evening snack for kids or can be even used as a topping for smoothies. 
</t>
  </si>
  <si>
    <t>Para comenzar a hacer la Receta de Mezcla de Granola Casera con Avena y Hojuelas de Trigo, calienta un wok o una sartén de fondo grueso a fuego medio y tuesta suavemente la avena hasta que se vuelva crujiente y ligeramente dorada. Una vez tostada, retírala de la sartén y reserva. Calienta el aceite vegetal en la misma sartén a fuego medio. Agrega todas las nueces y semillas y tuéstalas durante unos 5 minutos. Una vez que las nueces y las semillas estén tostadas, agrega los dátiles secos, las frambuesas y las pasas sultanas junto con la miel y la esencia de vainilla. Tuesta por un par de minutos más. Finalmente, agrega la avena mezclada, las hojuelas de trigo, la canela y la nuez moscada en polvo. Usando una espátula, mezcla todo bien. Una vez que se hayan enfriado, la Mezcla de Granola Casera con Avena y Hojuelas de Trigo está lista. Guárdelos en un recipiente hermético durante algunas semanas. Sirva la mezcla de granola casera con avena y hojuelas de trigo crujientes en el desayuno junto con leche fresca y frutas, o como refrigerio para niños por la noche o incluso puede usarse como aderezo para batidos.</t>
  </si>
  <si>
    <t>Pour commencer à préparer la recette de mélange de granola maison avec de l'avoine et des flocons de blé, faites chauffer un wok ou une poêle à fond épais à feu moyen et faites griller doucement l'avoine jusqu'à ce qu'elle devienne croustillante et légèrement dorée. Une fois grillée, retirez-la de la poêle et réservez. Faites chauffer l'huile végétale dans la même poêle à feu moyen. Ajoutez toutes les noix et les graines et faites-les griller pendant environ 5 minutes. Une fois les noix et les graines grillées, ajoutez les dattes séchées, les framboises et les raisins secs ainsi que le miel et l'essence de vanille. Faites griller pendant encore quelques minutes. Enfin, ajoutez l'avoine mélangée, les flocons de blé, la cannelle et la poudre de muscade. À l'aide d'une spatule, mélangez bien le tout. Une fois refroidi, le mélange de granola maison avec de l'avoine et des flocons de blé est prêt. Conservez-les dans un récipient hermétique pendant quelques semaines. Servez le mélange de granola maison avec flocons d'avoine et de blé croquants au petit-déjeuner avec du lait frais et des fruits ou comme collation du soir pour les enfants ou peut même être utilisé comme garniture pour les smoothies.</t>
  </si>
  <si>
    <t>https://www.archanaskitchen.com/homemade-granola-mix-recipe-with-oats-wheat-flakes</t>
  </si>
  <si>
    <t>Chocolate Chip &amp; Raisin Rolls Recipe</t>
  </si>
  <si>
    <t>Rezept für Schoko-Rosinen-Brötchen</t>
  </si>
  <si>
    <t>Recette de rouleaux de raisins secs au chocolat</t>
  </si>
  <si>
    <t>Receta de rollos de chocolate y pasas</t>
  </si>
  <si>
    <t>2 tasses de farine de blé entier, 2 tasses de farine tout usage (Maida), 1 tasse de lait tiède, 3 cuillères à café de levure sèche active, 2 cuillères à soupe de miel, ou de jaggery ou de sucre, 1 cuillère à soupe de beurre ramolli, 1 cuillère à café de sel, 1 1/2 tasse d'eau ou selon les besoins, 1/2 tasse de raisins secs, 3/4 tasse de pépites de chocolat noir et blanc, 3 à 4 cuillères à soupe de beurre, de ricotta, de fromage à la crème ou de paneer mou, zeste d'orange (écorce) d'une orange, sucre à saupoudrer sur le dessus</t>
  </si>
  <si>
    <t>2 cups Whole Wheat Flour,2 cups All Purpose Flour (Maida),1 cup Milk - luke warm,3 teaspoons Active dry yeast,2 tablespoons Honey - or jaggery or sugar,1 tablespoon Butter - softened,1 teaspoon Salt,1 1/2 cups Water - or as required,1/2 cup Raisins,3/4 cup Chocolate chips - dark and white,3-4 tablespoons Butter - ricotta cheese or cream cheese or soft paneer,Orange Zest (Rind) - of 1 orange,Sugar - to sprinkle on top</t>
  </si>
  <si>
    <t>2 tazas de harina integral, 2 tazas de harina para todo uso (Maida), 1 taza de leche tibia, 3 cucharaditas de levadura seca activa, 2 cucharadas de miel, o azúcar moreno o azúcar, 1 cucharada de mantequilla ablandada, 1 cucharadita de sal, 1 1/2 tazas de agua, o según se requiera, 1/2 taza de pasas, 3/4 taza de chispas de chocolate, oscuras y blancas, 3-4 cucharadas de mantequilla, queso ricotta o queso crema o paneer suave, ralladura de naranja (cáscara) - de 1 naranja, azúcar - para espolvorear por encima</t>
  </si>
  <si>
    <t xml:space="preserve">To begin making the Chocolate Chip &amp; Raisin Rolls first mix the flours and salt in a mixing bowl or the bowl of a food processor or stand mixer. Blend them together briefly.Next, in a large measuring cup, measure 1 cup lukewarm milk. To this add honey, butter and whisk together. Sprinkle the yeast over the milk and allow it to get frothy for about 3-4 minutes.If using a food processor/stand mixer; with the food processor/stand mixer running on low speed, gradually pour the milk mixture into the processor over the flour.Slowly add in the water (as much required) and allow the flour to form a soft dough within the bowl of the processor/mixer.If using a mixing bowl; add the frothy yeast and milk mixture to the flour and begin to knead with your hands.Add water gradually, only as much as needed and keep kneading it till the flour forms a soft and pliable dough.Take care not to add too much water or you will have a sticky unmanageable dough.Turn dough out onto a floured surface and knead again for 8-10 minutes, working the dough very well, until it is smooth and elastic. (If using the stand mixer, knead on medium speed using the dough hook)Transfer the formed dough to a lightly greased bowl, turning once to coat all over. Cover with a wet kitchen towel or plastic wrap and set it aside in a warm place for about 1 - 1 1/2 hours until it has risen and doubled in size.Meanwhile, mix together the butter, chocolate chips, raisins and orange zest. Grease and line a baking sheet or a tray with parchment paper and set it aside for later use.Once the dough has doubled, dust a working surface again with flour and gently roll the dough into a rough 9x12 inch rectangle on it.Spread the butter chocolate chip raisin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C.When the rolls have risen for 30 minutes, reduce the heat to 180 degrees C, sprinkle the rolls with granulated sugar and place them to bake until they are are golden brown.Remove the Chocolate Chip and Raisin Rolls from the oven, allow them to rest for 5-10 minutes.Serve Chocolate Chip &amp; Raisin Rolls along with your evening masala chai or as an after school snack.
</t>
  </si>
  <si>
    <t>Para preparar los rollos de chispas de chocolate y pasas, mezcle las harinas y la sal en un tazón o en el tazón de un procesador de alimentos o batidora. Mezcle brevemente. Luego, en una taza medidora grande, mida 1 taza de leche tibia. Añada la miel y la mantequilla y bata. Espolvoree la levadura sobre la leche y deje que forme espuma durante unos 3-4 minutos. Si usa un procesador de alimentos o una batidora, con el procesador funcionando a baja velocidad, vierta gradualmente la mezcla de leche sobre la harina. Agregue lentamente el agua (la cantidad necesaria) y deje que la harina forme una masa suave dentro del tazón del procesador o batidora. Si usa un tazón, Añade la mezcla espumosa de levadura y leche a la harina y empieza a amasar con las manos. Añade agua poco a poco, solo la necesaria, y sigue amasando hasta que la harina forme una masa suave y maleable. Ten cuidado de no añadir demasiada agua o la masa quedará pegajosa e inmanejable. Vuelca la masa sobre una superficie enharinada y vuelve a amasar durante 8-10 minutos, trabajando bien la masa, hasta que esté suave y elástica. (Si usas la batidora de pedestal, amasa a velocidad media con el gancho de amasar). Transfiere la masa formada a un bol ligeramente engrasado, volteándola una vez para cubrirla por completo. Cúbrela con un paño de cocina húmedo o film transparente y déjala reposar en un lugar cálido durante 1-1 1/2 horas, hasta que haya levado y doblado su volumen. Mientras tanto, mezcla la mantequilla, las chispas de chocolate, las pasas y la ralladura de naranja. Engrase y cubra una bandeja para hornear o una bandeja con papel pergamino y déjela a un lado para usarla más tarde. Una vez que la masa se haya duplicado, espolvoree nuevamente una superficie de trabajo con harina y enrolle suavemente la masa en un rectángulo irregular de 9x12 pulgadas sobre ella. Extienda la mezcla de mantequilla, chispas de chocolate y pasas de manera uniforme sobre la masa extendida. Luego, comenzando con el extremo más largo, enrolle la masa en un pergamino, asegurándose de mantenerla apretada para que el relleno permanezca adentro. Use un cuchillo afilado para cortar el tronco en rondas de 1 pulgada. Coloque los rollos individuales en la bandeja preparada, con el lado cortado hacia abajo. Cubra la bandeja con un paño de cocina húmedo y deje que los rollos suban una segunda vez, durante unos 30 minutos. Mientras tanto, precaliente el horno a 200 grados C. Cuando los rollos hayan subido durante 30 minutos, reduzca el fuego a 180 grados C, espolvoree los rollos con azúcar granulada y colóquelos en el horno hasta que estén dorados. Retire los rollos de chocolate con chispas y pasas del horno y déjelos reposar de 5 a 10 minutos. Sirva los rollos de chocolate con chispas y pasas junto con su masala chai de la tarde o como refrigerio después de la escuela.</t>
  </si>
  <si>
    <t>Pour préparer les roulés aux pépites de chocolat et aux raisins secs, mélangez d'abord les farines et le sel dans un saladier ou dans le bol d'un robot culinaire ou d'un batteur sur socle. Mixez brièvement. Ensuite, dans un grand verre doseur, versez 250 ml de lait tiède. Ajoutez le miel et le beurre et fouettez. Saupoudrez la levure sur le lait et laissez mousser pendant 3 à 4 minutes. Si vous utilisez un robot culinaire/batteur sur socle, versez progressivement le mélange de lait dans le bol du robot, sur la farine, en tournant à basse vitesse. Ajoutez lentement l'eau (quantité nécessaire) et laissez la farine former une pâte souple dans le bol du robot/batteur. Si vous utilisez un saladier, Ajoutez le mélange mousseux de levure et de lait à la farine et commencez à pétrir à la main. Ajoutez progressivement de l'eau, juste ce qu'il faut, et continuez à pétrir jusqu'à ce que la farine forme une pâte souple et malléable. Veillez à ne pas en ajouter trop, sinon vous obtiendrez une pâte collante et difficile à travailler. Déposez la pâte sur un plan de travail fariné et pétrissez à nouveau pendant 8 à 10 minutes, en la travaillant bien, jusqu'à ce qu'elle soit lisse et élastique. (Si vous utilisez un robot pâtissier, pétrissez à vitesse moyenne avec le crochet pétrisseur.) Transférez la pâte formée dans un saladier légèrement huilé, en la retournant une fois pour bien l'enrober. Couvrez d'un torchon humide ou d'un film plastique et réservez dans un endroit chaud pendant environ 1 heure à 1 heure 30, jusqu'à ce qu'elle ait doublé de volume. Pendant ce temps, mélangez le beurre, les pépites de chocolat, les raisins secs et le zeste d'orange. Graisser et tapisser une plaque à pâtisserie ou un plateau de papier sulfurisé et le mettre de côté pour une utilisation ultérieure. Une fois que la pâte a doublé de volume, saupoudrer à nouveau une surface de travail de farine et rouler délicatement la pâte en un rectangle grossier de 9 x 12 pouces. Étaler uniformément le mélange de beurre, de pépites de chocolat et de raisins secs sur la pâte étalée. Ensuite, en commençant par l'extrémité la plus longue, rouler la pâte en un rouleau, en veillant à la maintenir serrée afin que la garniture reste à l'intérieur. Utiliser un couteau bien aiguisé pour couper la bûche en rondelles de 1 pouce. Placez les rouleaux individuels sur la plaque préparée, côté coupé vers le bas. Couvrez la plaque avec un torchon humide et laissez les rouleaux lever une deuxième fois, pendant environ 30 minutes. Pendant ce temps, préchauffez votre four à 200 degrés C. Lorsque les rouleaux ont levé pendant 30 minutes, réduisez le feu à 180 degrés C, saupoudrez les rouleaux de sucre cristallisé et placez-les au four jusqu'à ce qu'ils soient dorés. Retirez les rouleaux aux pépites de chocolat et aux raisins secs du four, laissez-les reposer pendant 5 à 10 minutes. Servez les rouleaux aux pépites de chocolat et aux raisins secs avec votre masala chai du soir ou comme collation après l'école.</t>
  </si>
  <si>
    <t>http://www.archanaskitchen.com/chocolate-chip-and-raisin-rolls-recipe</t>
  </si>
  <si>
    <t>Masala Carrot And Peas Sandwich Recipe</t>
  </si>
  <si>
    <t>Rezept für ein Masala-Sandwich mit Karotten und Erbsen</t>
  </si>
  <si>
    <t>Recette de sandwich masala aux carottes et aux petits pois</t>
  </si>
  <si>
    <t>Receta de sándwich de masala de zanahoria y guisantes</t>
  </si>
  <si>
    <t>6 pains bruns de blé entier, 1 tasse de carottes (Gajjar) - râpées, 1 tasse de pois verts (Matar) - bouillis, 5 gousses d'ail - finement hachées, 2 piments verts - finement hachés, 1/2 cuillère à café de poudre de poivre noir, 1 cuillère à café de poudre de Chaat Masala, 1/4 tasse de fromage - râpé, sel - au goût</t>
  </si>
  <si>
    <t>6 Whole Wheat Brown Bread,1 cup Carrot (Gajjar) - grated,1 cup Green peas (Matar) - boiled,5 cloves Garlic - finely chopped,2 Green Chillies - finely chopped,1/2 teaspoon Black pepper powder,1 teaspoon Chaat Masala Powder,1/4 cup Cheese - grated,Salt - to taste</t>
  </si>
  <si>
    <t>6 panes integrales, 1 taza de zanahoria (Gajjar) - rallada, 1 taza de guisantes verdes (Matar) - hervidos, 5 dientes de ajo - finamente picados, 2 chiles verdes - finamente picados, 1/2 cucharadita de pimienta negra en polvo, 1 cucharadita de Chaat Masala en polvo, 1/4 taza de queso - rallado, sal - al gusto</t>
  </si>
  <si>
    <t xml:space="preserve">To begin making Carrot and Peas Sandwich Recipe, heat 1 tablespoon oil in a pan. Once the oil is heated, add finely chopped garlic and green chillies in the pan.Saute for a few seconds and add the grated carrots and boiled green peas and let it cook for 10 minutes or till the vegetables are cooked through.Once done add black pepper powder and chaat masala and stir. Add salt according to your taste and mix everything properly. Turn off the heat and keep aside. Now to prepare the sandwich, take a slice of bread and spread some filling evenly on the slice.Garnish the carrot and peas mixture layer with grated cheese. Close it with another slice of bread. Grill the sandwich in a grilling pan from both the sides till golden brown. Cut the sandwhich diagonally and serve hot.Serve Carrot and Peas Sandwich along with a hot cup of Masala Chai or Cantaloupe Pomegranate and Mint Juice .
</t>
  </si>
  <si>
    <t>Para empezar a preparar la receta del sándwich de zanahoria y guisantes, calienta 1 cucharada de aceite en una sartén. Una vez caliente el aceite, añade ajo finamente picado y chiles verdes. Saltea durante unos segundos y añade las zanahorias ralladas y los guisantes verdes hervidos. Deja cocinar durante 10 minutos o hasta que las verduras estén bien cocidas. Una vez hecho esto, añade pimienta negra en polvo y chaat masala y remueve. Agrega sal a tu gusto y mezcla todo bien. Apaga el fuego y reserva. Ahora, para preparar el sándwich, toma una rebanada de pan y extiende un poco de relleno uniformemente sobre ella. Decora la capa de mezcla de zanahoria y guisantes con queso rallado. Ciérrala con otra rebanada de pan. Asa el sándwich en una sartén para asar por ambos lados hasta que esté dorado. Corta el sándwich en diagonal y sirve caliente. Sirve el sándwich de zanahoria y guisantes junto con una taza caliente de Masala Chai o jugo de melón, granada y menta.</t>
  </si>
  <si>
    <t>Pour commencer la recette du sandwich aux carottes et aux petits pois, faites chauffer 1 cuillère à soupe d'huile dans une poêle. Une fois l'huile chaude, ajoutez l'ail finement haché et les piments verts. Faites revenir quelques secondes, puis ajoutez les carottes râpées et les petits pois bouillis. Laissez cuire 10 minutes ou jusqu'à ce que les légumes soient bien cuits. Ajoutez ensuite le poivre noir en poudre et le chaat masala, puis remuez. Salez à votre goût et mélangez bien le tout. Éteignez le feu et réservez. Pour préparer le sandwich, prenez une tranche de pain et étalez-y uniformément la garniture. Garnissez la couche de mélange de carottes et de petits pois de fromage râpé. Refermez avec une autre tranche de pain. Faites griller le sandwich dans une poêle à griller des deux côtés jusqu'à ce qu'il soit doré. Coupez le sandwich en diagonale et servez chaud. Servez le sandwich aux carottes et aux petits pois avec une tasse chaude de chai masala ou de jus de melon, grenade et menthe.</t>
  </si>
  <si>
    <t>http://www.archanaskitchen.com/carrot-and-peas-sandwich-recipe</t>
  </si>
  <si>
    <t>Whole Wheat Espresso Chocolate Streusel Cake Recipe</t>
  </si>
  <si>
    <t>Rezept für Vollkorn-Espresso-Schokoladenstreuselkuchen</t>
  </si>
  <si>
    <t>Recette de gâteau crumble au chocolat et expresso complet</t>
  </si>
  <si>
    <t>Receta de pastel de chocolate integral y crumble de espresso</t>
  </si>
  <si>
    <t>1 tasse d'abricots finement hachés, 3/4 tasse de farine de blé entier, 3/4 tasse de cassonade (sucre Demerara), 1/2 tasse de beurre (non salé) froid et coupé en petits morceaux, 1 cuillère à café de cannelle en poudre (Dalchini), 4 cuillères à soupe de sucre, 3/4 tasse de pacanes grossièrement hachées, 1-3/4 tasse de farine de blé entier, 125 grammes de beurre (non salé) à température ambiante, 1/4 tasse de cacao en poudre, 225 grammes de chocolat noir grossièrement haché, 1 tasse de cassonade (sucre Demerara), 1/4 tasse de décoction de café, 2 œufs entiers, 2 cuillères à café d'extrait de vanille, 3/4 tasse de crème sure, 1-1/2 cuillère à café de levure chimique, 3/4 cuillère à café de bicarbonate de soude</t>
  </si>
  <si>
    <t>1 cup Apricots - finely chopped,3/4 cup Whole Wheat Flour,3/4 cup Brown Sugar (Demerara Sugar),1/2 cup Butter (unsalted) - cold and cut in a small chunks,1 teaspoon Cinnamon Powder (Dalchini),4 tablespoon Sugar,3/4 cup Pecans - chopped coarsely,1-3/4 cup Whole Wheat Flour,125 grams Butter (unsalted) - at room temperature,1/4 cup Cocoa Powder,225 grams Dark chocolate - coarsely chopped,1 cup Brown Sugar (Demerara Sugar),1/4 cup Coffee Decoction,2 Whole Eggs,2 teaspoon Vanilla Extract,3/4 cup Sour cream,1-1/2 teaspoon Baking powder,3/4 teaspoon Baking soda</t>
  </si>
  <si>
    <t>1 taza de albaricoques - finamente picados, 3/4 taza de harina integral, 3/4 taza de azúcar morena (azúcar Demerara), 1/2 taza de mantequilla (sin sal) - fría y cortada en trozos pequeños, 1 cucharadita de canela en polvo (dalchini), 4 cucharadas de azúcar, 3/4 taza de nueces pecanas - picadas gruesamente, 1-3/4 taza de harina integral, 125 gramos de mantequilla (sin sal) - a temperatura ambiente, 1/4 taza de cacao en polvo, 225 gramos de chocolate negro - picado grueso, 1 taza de azúcar morena (azúcar Demerara), 1/4 taza de decocción de café, 2 huevos enteros, 2 cucharaditas de extracto de vainilla, 3/4 taza de crema agria, 1-1/2 cucharadita de polvo para hornear, 3/4 cucharadita de bicarbonato de sodio</t>
  </si>
  <si>
    <t xml:space="preserve">To begin making the Whole Wheat Espresso Chocolate Streusel Cake Recipe, first get all the ingredients ready for all the steps.To make the Streusel topping, combine all the ingredients in a bowl. Using your fingers make a coarse crumble of the mixture. Refrigerate the crumble until we are ready to use it.To make the center layer of the Streusel, combine the sugar and nuts in a bowl and keep it aside.The next step is the make the cake. Preheat the oven at 180 C. Grease and line 9-inch round cake pan.In a double boiler, melt the chocolate. Once the chocolate melts, add the espresso to the melted chocolate and stir well to combine until it looks creamy and smooth. Keep the melted chocolate sauce aside.Sift in a bowl, flour, baking powder, baking soda and cocoa powder and keep aside.Beat together sugar, butter and sour cream using a hand mixer until just creamy. Do not over beat it. Add one egg and continue to beat until the eggs are fluffy. Gradually beat in the vanilla essence and espresso chocolate mixture. Finally gradually fold in the flour mixture and beat until the cake mixture is just about combined. Don't overbeat at this stage.Pour 1/2 of the cake batter in into the cake pan. Spread the nuts and sugar over this layer and finally top it with the remaining cake batter. Finally sprinkle the refrigerated streusel topping evenly on the top and press it slightly.Place the cake in the preheated oven and bake for about 55 to 60 minutes, until a tester inserted in the center comes out clean. Note: After 30 minutes, if you find the top over browning, just cover with aluminium foil to avoid burning.Once done, remove from the oven and allow the cake to cool. Once cooled, the Whole Wheat Espresso Chocolate Cake is ready to be served.
</t>
  </si>
  <si>
    <t>Para comenzar a hacer la Receta de Pastel de Streusel de Chocolate y Espresso de Trigo Integral, primero prepare todos los ingredientes para todos los pasos. Para hacer la cobertura de Streusel, combine todos los ingredientes en un tazón. Usando los dedos haga un crumble grueso de la mezcla. Refrigerar el crumble hasta que estemos listos para usarlo. Para hacer la capa central del Streusel, combine el azúcar y las nueces en un tazón y déjelo a un lado. El siguiente paso es hacer el pastel. Precaliente el horno a 180 C. Engrase y forre un molde para pastel redondo de 9 pulgadas. En baño maría, derrita el chocolate. Una vez que el chocolate se derrita, agregue el espresso al chocolate derretido y revuelva bien para combinar hasta que se vea cremoso y suave. Mantenga la salsa de chocolate derretida a un lado. Tamice en un tazón, la harina, el polvo para hornear, el bicarbonato de sodio y el cacao en polvo y reserve. Bata juntos el azúcar, la mantequilla y la crema agria con una batidora de mano hasta que esté cremoso. No lo bata demasiado. Añade un huevo y sigue batiendo hasta que esté esponjoso. Incorpora gradualmente la esencia de vainilla y la mezcla de chocolate espresso. Finalmente, incorpora gradualmente la mezcla de harina y bate hasta que la mezcla del pastel esté casi combinada. No batas demasiado en esta etapa. Vierte la mitad de la masa del pastel en el molde. Esparce las nueces y el azúcar sobre esta capa y finalmente cúbrela con el resto de la masa del pastel. Finalmente, espolvorea la cobertura de streusel refrigerada uniformemente sobre la parte superior y presiona ligeramente. Coloca el pastel en el horno precalentado y hornea durante unos 55 a 60 minutos, hasta que al insertar un palillo en el centro, este salga limpio. Nota: Después de 30 minutos, si ves que la parte superior se está dorando, cúbrela con papel aluminio para evitar que se queme. Una vez hecho esto, retira del horno y deja que el pastel se enfríe. Una vez enfriado, el pastel de chocolate espresso de trigo integral está listo para servir.</t>
  </si>
  <si>
    <t>Pour commencer à préparer la recette du gâteau streusel au chocolat et à l'espresso au blé entier, préparez d'abord tous les ingrédients pour toutes les étapes. Pour faire la garniture du streusel, mélangez tous les ingrédients dans un bol. À l'aide de vos doigts, faites un crumble grossier du mélange. Réfrigérez le crumble jusqu'à ce que nous soyons prêts à l'utiliser. Pour faire la couche centrale du streusel, mélangez le sucre et les noix dans un bol et réservez. L'étape suivante consiste à préparer le gâteau. Préchauffez le four à 180 °C. Graissez et chemisez un moule à gâteau rond de 9 pouces. Au bain-marie, faites fondre le chocolat. Une fois le chocolat fondu, ajoutez l'espresso au chocolat fondu et remuez bien pour mélanger jusqu'à ce qu'il soit crémeux et lisse. Gardez la sauce au chocolat fondue de côté. Tamisez dans un bol, la farine, la levure chimique, le bicarbonate de soude et la poudre de cacao et réservez. Battez ensemble le sucre, le beurre et la crème sure à l'aide d'un batteur à main jusqu'à ce que le mélange soit crémeux. Ne le battez pas trop. Ajoutez un œuf et continuez de battre jusqu'à ce que les œufs soient mousseux. Incorporer progressivement l'essence de vanille et le mélange chocolat-expresso. Incorporer ensuite progressivement le mélange de farine et battre jusqu'à ce que le mélange soit homogène. Ne pas trop battre à ce stade. Verser la moitié de la pâte à gâteau dans le moule à gâteau. Répartir les noix et le sucre sur cette couche, puis recouvrir du reste de pâte à gâteau. Enfin, saupoudrer uniformément le streusel réfrigéré sur le dessus et appuyer légèrement. Placer le gâteau dans le four préchauffé et cuire pendant environ 55 à 60 minutes, jusqu'à ce qu'un cure-dent inséré au centre en ressorte propre. Remarque : après 30 minutes, si le dessus est trop doré, recouvrir simplement de papier aluminium pour éviter qu'il ne brûle. Une fois cuit, retirer du four et laisser refroidir le gâteau. Une fois refroidi, le gâteau au chocolat et expresso au blé entier est prêt à être servi.</t>
  </si>
  <si>
    <t>http://www.archanaskitchen.com/whole-wheat-espresso-chocolate-streusel-cake-recipe</t>
  </si>
  <si>
    <t>Coffee Chocolate Truffles Recipe</t>
  </si>
  <si>
    <t>Rezept für Kaffee-Schokoladentrüffel</t>
  </si>
  <si>
    <t>Recette de truffes au chocolat et au café</t>
  </si>
  <si>
    <t>Receta de trufas de chocolate y café</t>
  </si>
  <si>
    <t>150 grammes de crème à fouetter épaisse, 1 cuillère à soupe de café instantané en poudre, 200 grammes de chocolat noir, 50 grammes de beurre (non salé) - à température ambiante, 7 à 8 cuillères à soupe de cacao en poudre</t>
  </si>
  <si>
    <t>150 grams Heavy whipping cream,1 tablespoon Instant Coffee Powder,200 grams Dark chocolate,50 grams Butter (unsalted) - at room temperature,7-8 tablespoons Cocoa Powder</t>
  </si>
  <si>
    <t>150 gramos de crema batida espesa, 1 cucharada de café instantáneo en polvo, 200 gramos de chocolate negro, 50 gramos de mantequilla (sin sal) - a temperatura ambiente, 7-8 cucharadas de cacao en polvo</t>
  </si>
  <si>
    <t xml:space="preserve">To begin making Coffee Chocolate Truffles Recipe, take a saucepan and add the heavy cream and bring it to a boil on low heat. Once the heavy cream has come to a boil, add the Instant Coffee Powder and mix it well. Once coffee powder and heavy cream have combined well, turn off the flame. Break dark chocolate in small pieces in a heatproof bowl. Add the softened butter to this bowl.Pour the hot cream and coffee mixture to the chocolate and butter. Let it rest for one or two minutes. We will see that chocolate has started melting. Stir the mixture until it forms a smooth consistency Pour the mixture in a shallow dish,cover it with a cling wrap and keep it in fridge for an hour. After an hour take truffle mixture out of the fridge. Scoop out some mixture using a spoon and roll them with your palm, do it quickly as if you keep rolling them, they might start melting.Toss the truffle in cocoa powder and keep aside. Repeat the same process for the rest of the mixture. Once done keep the Truffle in the fridge until they feel firm.Serve these Coffee Chocolate Truffles as a dessert with your continental meal of Spinach Corn Pasta In Whole Wheat White Sauce, Garlic Bread With Herb Butter and Roasted Garlic Potato Soup
</t>
  </si>
  <si>
    <t>Para comenzar a hacer la Receta de Trufas de Chocolate y Café, tome una cacerola y agregue la crema espesa y póngala a hervir a fuego lento. Una vez que la crema espesa haya hervido, agregue el Café en Polvo Instantáneo y mézclelo bien. Una vez que el café en polvo y la crema espesa se hayan combinado bien, apague el fuego. Rompa el chocolate negro en trozos pequeños en un recipiente resistente al calor. Agregue la mantequilla ablandada a este recipiente. Vierta la mezcla caliente de crema y café al chocolate y la mantequilla. Déjelo reposar durante uno o dos minutos. Veremos que el chocolate ha comenzado a derretirse. Revuelva la mezcla hasta que forme una consistencia suave. Vierta la mezcla en un plato poco profundo, cúbralo con una envoltura adhesiva y manténgalo en el refrigerador durante una hora. Después de una hora, saque la mezcla de trufa del refrigerador. Saque un poco de la mezcla con una cuchara y enróllelos con la palma de la mano, hágalo rápidamente ya que si sigue enrollándolos, podrían comenzar a derretirse. Mezcle la trufa con cacao en polvo y reserve. Repita el mismo proceso con el resto de la mezcla. Una vez lista, guarde las trufas en el refrigerador hasta que estén firmes. Sirva estas trufas de chocolate y café como postre con su comida continental de pasta de maíz y espinacas en salsa blanca integral, pan de ajo con mantequilla de hierbas y sopa de papa con ajo asado.</t>
  </si>
  <si>
    <t>Pour commencer à préparer la recette des truffes au chocolat et au café, prenez une casserole et ajoutez la crème épaisse et portez-la à ébullition à feu doux. Une fois que la crème épaisse est arrivée à ébullition, ajoutez la poudre de café instantané et mélangez bien. Une fois que la poudre de café et la crème épaisse sont bien mélangées, éteignez le feu. Cassez le chocolat noir en petits morceaux dans un bol résistant à la chaleur. Ajoutez le beurre ramolli dans ce bol. Versez le mélange chaud de crème et de café sur le chocolat et le beurre. Laissez reposer une ou deux minutes. Nous verrons que le chocolat a commencé à fondre. Remuez le mélange jusqu'à ce qu'il forme une consistance lisse. Versez le mélange dans un plat peu profond, couvrez-le d'un film alimentaire et conservez-le au réfrigérateur pendant une heure. Au bout d'une heure, sortez le mélange de truffes du réfrigérateur. Prélevez un peu de mélange à l'aide d'une cuillère et roulez-les avec votre paume, faites-le rapidement car si vous continuez à les rouler, ils pourraient commencer à fondre. Enrobez la truffe de cacao en poudre et réservez. Répétez le même processus pour le reste du mélange. Une fois cuites, conservez les truffes au réfrigérateur jusqu'à ce qu'elles soient fermes. Servez ces truffes au café et au chocolat en dessert avec votre repas continental composé de pâtes aux épinards et au maïs dans une sauce blanche au blé entier, de pain à l'ail avec du beurre aux herbes et de soupe de pommes de terre à l'ail rôti.</t>
  </si>
  <si>
    <t>https://www.archanaskitchen.com/coffee-chocolate-truffles-recipe</t>
  </si>
  <si>
    <t>Potato Pancakes Recipe</t>
  </si>
  <si>
    <t>Rezept für Kartoffelpuffer</t>
  </si>
  <si>
    <t>Recette de galettes de pommes de terre</t>
  </si>
  <si>
    <t>Receta de panqueques de papa</t>
  </si>
  <si>
    <t>5-6 pommes de terre (Aloo), jus de citron - d'un demi-citron, 1 oignon - finement tranché, 2 gousses d'ail - hachées, 1 œuf entier - légèrement battu (ou 1/4 tasse de yaourt), 1/4 tasse de farine tout usage (Maida), 1/2 tasse de chapelure de blé entier, feuilles de persil - un demi-bouquet, 3-4 brins de ciboulette - finement hachés (ou toute autre herbe), sel et poivre - au goût, huile d'arachide - pour la poêle</t>
  </si>
  <si>
    <t>5-6 Potato (Aloo),Lemon juice - of half a lemon,1 Onion - thinly sliced,2 cloves Garlic - minced,1 Whole Egg - lightly beaten (or 1/4 cup yogurt),1/4 cup All Purpose Flour (Maida),1/2 cup Whole Wheat Bread crumbs,Parsley leaves - half a bunch,3-4 sprig Chives - finely chopped (or any other herb),Salt and Pepper - to taste,Peanut oil - for pan frying</t>
  </si>
  <si>
    <t>5-6 papas (Aloo), jugo de limón - de medio limón, 1 cebolla - en rodajas finas, 2 dientes de ajo - picados, 1 huevo entero - ligeramente batido (o 1/4 taza de yogur), 1/4 taza de harina para todo uso (Maida), 1/2 taza de pan rallado integral, hojas de perejil - medio manojo, 3-4 ramitas de cebollino - finamente picado (o cualquier otra hierba), sal y pimienta - al gusto, aceite de maní - para freír en sartén</t>
  </si>
  <si>
    <t xml:space="preserve">To begin making Potato Pancakes, peel the potatoes. Soak in water after peeling to prevent browning of the potatoes.Using a grater attachment of the food processor, shred the potatoes into a medium bowl.Add lemon juice and onions to the shredded potatoes. Toss to coat evenly.Let this onion potato mixture sit for about 10 minutes. Drain the potatoes and squeeze out the excess liquid. Place the squeezed potatoes in a muslin cloth or on a metal sieve.In a large mixing bowl, combine the potato mixture, minced garlic, egg (or yogurt), flour, bread crumbs, parsley and chives.Season with salt and pepper. Combine the ingredients to form a thick paste like mixture. Fill the frying pan an inch deep with oil.Heat the oil over medium heat. Take a small portion from the potato mixture and shape it into flat patties of medium thickness.Shallow fry the pancakes from both the sides until crisp and golden. This might take about 5 to 7 minutes each side. Drain on paper towels and similarly prepare remaining pancakes. Serve Potato Pancakes hot along with Spicy Mexican Salsa for a delicious weekend breakfast or as a tea time snack along with masala chai.
</t>
  </si>
  <si>
    <t>Para empezar a preparar los panqueques de papa, pela las papas. Remójalas en agua después de pelarlas para evitar que se doren. Con el accesorio rallador del procesador de alimentos, ralla las papas en un tazón mediano. Agrega jugo de limón y cebolla a las papas ralladas. Revuelve para cubrirlas uniformemente. Deja reposar esta mezcla de cebolla y papa durante unos 10 minutos. Escurre las papas y exprime el exceso de líquido. Coloca las papas exprimidas en una muselina o en un colador metálico. En un tazón grande, mezcla la mezcla de papa, el ajo picado, el huevo (o yogur), la harina, el pan rallado, el perejil y el cebollino. Sazona con sal y pimienta. Mezcla los ingredientes hasta formar una pasta espesa. Llena una sartén con aceite hasta 2,5 cm de profundidad. Calienta el aceite a fuego medio. Toma una pequeña porción de la mezcla de papa y dale forma de hamburguesas planas de grosor medio. Fríe los panqueques ligeramente por ambos lados hasta que estén crujientes y dorados. Esto puede tomar de 5 a 7 minutos por cada lado. Escurrir sobre toallas de papel y preparar de manera similar el resto de los panqueques. Sirva los panqueques de papa calientes junto con salsa mexicana picante para un delicioso desayuno de fin de semana o como refrigerio para la hora del té junto con masala chai.</t>
  </si>
  <si>
    <t>Pour préparer des galettes de pommes de terre, épluchez les pommes de terre. Faites-les tremper dans l'eau après les avoir épluchées pour éviter qu'elles ne brunissent. À l'aide de la râpe d'un robot culinaire, râpez les pommes de terre dans un bol moyen. Ajoutez le jus de citron et les oignons aux pommes de terre râpées. Mélangez pour bien les enrober. Laissez reposer le mélange d'oignons et de pommes de terre environ 10 minutes. Égouttez les pommes de terre et pressez-les pour en extraire l'excédent de liquide. Placez les pommes de terre pressées dans une mousseline ou sur une passoire métallique. Dans un grand saladier, mélangez le mélange de pommes de terre, l'ail haché, l'œuf (ou le yaourt), la farine, la chapelure, le persil et la ciboulette. Salez et poivrez. Mélangez les ingrédients jusqu'à obtenir une pâte épaisse. Remplissez une poêle d'huile sur 2,5 cm de profondeur. Faites chauffer l'huile à feu moyen. Prélevez une petite portion du mélange de pommes de terre et façonnez-la en galettes plates d'épaisseur moyenne. Faites frire les galettes des deux côtés jusqu'à ce qu'elles soient croustillantes et dorées. Cela peut prendre environ 5 à 7 minutes de chaque côté. Égouttez-les sur du papier absorbant et préparez les galettes restantes de la même manière. Servez des galettes de pommes de terre chaudes accompagnées de salsa mexicaine épicée pour un délicieux petit-déjeuner de week-end ou comme collation à l'heure du thé avec du masala chai.</t>
  </si>
  <si>
    <t>http://www.archanaskitchen.com/potato-pancakes-recipe</t>
  </si>
  <si>
    <t>Barley Whole Wheat Coffee Marble Cake Recipe</t>
  </si>
  <si>
    <t>Rezept für Gerstenvollkorn-Kaffee-Marmorkuchen</t>
  </si>
  <si>
    <t>Recette de gâteau marbré au café et à l'orge complète</t>
  </si>
  <si>
    <t>Receta de pastel marmolado de café integral y cebada</t>
  </si>
  <si>
    <t>1 tasse de farine de blé entier, 3/4 tasse de farine d'orge, 1 tasse de beurre (non salé), 1 tasse de sucre en poudre - (ajuster), 4 œufs entiers, 1-1/2 cuillères à café de levure chimique, 1 pincée de sel, 2 cuillères à café de poudre de café instantané - (ajuster en fonction de sa force), 4 cuillères à soupe d'eau tiède - (ajuster)</t>
  </si>
  <si>
    <t>1 cup Whole Wheat Flour,3/4 cup Barley flour,1 cup Butter (unsalted),1 cup Caster Sugar - (adjust),4 Whole Eggs,1-1/2 teaspoons Baking powder,1 pinch Salt,2 teaspoons Instant Coffee Powder - (adjust based on its strength),4 tablespoons Lukewarm Water - (adjust)</t>
  </si>
  <si>
    <t>1 taza de harina integral, 3/4 taza de harina de cebada, 1 taza de mantequilla (sin sal), 1 taza de azúcar extrafino (ajustar), 4 huevos enteros, 1-1/2 cucharadita de polvo para hornear, 1 pizca de sal, 2 cucharaditas de café instantáneo en polvo (ajustar según su concentración), 4 cucharadas de agua tibia (ajustar)</t>
  </si>
  <si>
    <t xml:space="preserve">To prepare Barley Wholewheat Coffee Marble Cake Recipe, preheat oven to 180 degree Celsius.In a large mixing bowl, beat together the sieved sugar and butter until the mixture turns pale, creamy and fluffy. [I used an electric beater for the whole process]Add the eggs one by one and continue to beat on low speed. Once all the eggs have been added, beat for a few seconds on medium speed till all the ingredients have been mixed well.Sift together the flours, baking powder and salt.Now add the sifted flour mixture little by little and gently fold it in using a rubber spatula to form a creamy batter. [please note: do not use your electric beater for this process]Grease and line a cake tin.Now divide the prepared cake batter into 2 equal parts and add into 2 bowls.Mix the instant coffee powder in 2.5 tablespoons water to form a thick creamy coffee paste.Add the coffee paste into one portion of cake batter and gently fold it in till well incorporated. [do a taste test once fully mixed and add more coffee-warm water paste if you like a stronger flavor]Add the rest of the warm water to the plain cake batter and mix well.Now you have both your cake mixes ready.Into the prepared cake tin, first add a dollop of plain cake batter. Follow it up by a dollop of coffee flavored cake batter. Continue this process till you have used up your entire cake batter.Tap the bottom of your cake tin on your work surface, to ensure there are no air bubbles.Take a skewer/ toothpick and swirl it around the mixture in the tin a few times to create a marbled effect.Bake the cake at 180 degree Celsius for 40 to 45 minutes or until a skewer inserted into the center comes out clean. [oven times may vary, so be careful not to burn your cake]Turn out onto a cooling rack and leave to cool.Slice and serve Barley Whole wheat Coffee Marble Cake Recipe with a glass of milk or just as it is. Enjoy!
</t>
  </si>
  <si>
    <t>Para preparar la receta del pastel marmolado de café integral con cebada, precaliente el horno a 180 °C. En un tazón grande, bata el azúcar tamizado y la mantequilla hasta que la mezcla adquiera una textura pálida, cremosa y esponjosa. [Usé una batidora eléctrica para todo el proceso]. Agregue los huevos uno a uno y continúe batiendo a velocidad baja. Una vez agregados todos los huevos, bata durante unos segundos a velocidad media hasta que todos los ingredientes estén bien integrados. Tamice las harinas, la levadura química y la sal. Agregue la mezcla de harina tamizada poco a poco e incorpórela con movimientos envolventes con una espátula de goma hasta formar una masa cremosa. [Nota: No use la batidora eléctrica para este proceso]. Engrase y forre un molde para pastel. Divida la masa preparada en dos partes iguales y viértala en dos tazones. Mezcle el café instantáneo en polvo con 2,5 cucharadas de agua para formar una pasta de café espesa y cremosa. Agregue la pasta de café a una porción de masa de pastel e incorpórela con movimientos envolventes hasta que esté bien incorporada. [Prueba una vez que esté completamente mezclado y añade más pasta de café y agua tibia si prefieres un sabor más intenso]. Añade el resto del agua tibia a la masa de pastel y mezcla bien. Ya tienes ambas mezclas listas. En el molde preparado, añade primero una cucharada de masa de pastel. A continuación, una cucharada de masa de pastel con sabor a café. Repite este proceso hasta terminar toda la masa. Golpea el fondo del molde contra la superficie de trabajo para asegurarte de que no queden burbujas. Con un palillo, haz círculos alrededor de la mezcla para crear un efecto marmolado. Hornea el pastel a 180 °C durante 40 a 45 minutos o hasta que, al insertar un palillo en el centro, este salga limpio. [El tiempo de horneado puede variar, así que ten cuidado de no quemar el pastel]. Desmolda sobre una rejilla y deja enfriar. Corta y sirve la receta de pastel marmolado de café integral con cebada y trigo con un vaso de leche o solo. ¡Disfruta!</t>
  </si>
  <si>
    <t>Pour préparer le gâteau marbré au café et à l'orge, préchauffez le four à 180 °C. Dans un grand saladier, battez le sucre et le beurre tamisés jusqu'à obtenir une pâte pâle, crémeuse et mousseuse. [J'ai utilisé un batteur électrique pour l'ensemble du processus.] Ajoutez les œufs un à un et continuez de battre à basse vitesse. Une fois tous les œufs ajoutés, battez quelques secondes à vitesse moyenne jusqu'à ce que tous les ingrédients soient bien mélangés. Tamisez les farines, la levure chimique et le sel. Ajoutez ensuite le mélange de farine tamisé petit à petit et incorporez-le délicatement à l'aide d'une spatule en caoutchouc pour obtenir une pâte onctueuse. [Attention : n'utilisez pas de batteur électrique pour cette opération.] Beurrez et chemisez un moule à gâteau. Divisez la pâte à gâteau préparée en deux parts égales et versez-la dans deux bols. Mélangez le café instantané en poudre avec 2,5 cuillères à soupe d'eau pour obtenir une pâte de café épaisse et crémeuse. Ajoutez la pâte de café à une portion de pâte à gâteau et incorporez-la délicatement jusqu'à ce qu'elle soit bien incorporée. [Faites un test de dégustation une fois le mélange bien mélangé et ajoutez plus de pâte café-eau tiède si vous préférez un goût plus prononcé.] Ajoutez le reste de l'eau tiède à la pâte à gâteau nature et mélangez bien. Vos deux préparations sont maintenant prêtes. Dans le moule préparé, versez d'abord une noisette de pâte à gâteau nature, puis une noisette de pâte à gâteau aromatisée au café. Continuez ainsi jusqu'à épuisement de la pâte. Tapotez le fond du moule sur votre plan de travail pour éviter les bulles d'air. Prenez une brochette ou un cure-dent et faites-la tourner autour du mélange dans le moule plusieurs fois pour créer un effet marbré. Faites cuire le gâteau à 180 °C pendant 40 à 45 minutes ou jusqu'à ce qu'une brochette insérée au centre en ressorte propre. [La durée de cuisson peut varier, veillez à ne pas brûler le gâteau.] Démoulez sur une grille et laissez refroidir. Coupez et servez le gâteau marbré à l'orge, au blé entier et au café avec un verre de lait ou tel quel. Bon appétit !</t>
  </si>
  <si>
    <t>https://www.archanaskitchen.com/barley-whole-wheat-coffee-marble-cake-recipe</t>
  </si>
  <si>
    <t>Rich Dark Chocolate Mousse Recipe</t>
  </si>
  <si>
    <t>Rezept für reichhaltige dunkle Schokoladenmousse</t>
  </si>
  <si>
    <t>Recette de mousse au chocolat noir riche</t>
  </si>
  <si>
    <t>Receta de mousse de chocolate negro intenso</t>
  </si>
  <si>
    <t>160 grammes de chocolat noir haché, 1 cuillère à café d'extrait de brin de vanille Bourbon naturelle, 3 jaunes d'œufs, 3 blancs d'œufs, 1/2 tasse de sucre en poudre + 3 cuillères à soupe, 1/4 tasse de crème fraîche refroidie et filtrée de l'eau</t>
  </si>
  <si>
    <t>160 grams Dark chocolate - chopped,1 teaspoon Sprig Extract of Natural Bourbon Vanilla,3 Egg yolks,3 Egg whites,1/2 cup Caster Sugar - + 3 Tablespoons,1/4 cup Fresh cream - chilled and strained from water</t>
  </si>
  <si>
    <t>160 gramos de chocolate negro picado, 1 cucharadita de extracto de ramita de vainilla Bourbon natural, 3 yemas de huevo, 3 claras de huevo, 1/2 taza de azúcar extrafino + 3 cucharadas, 1/4 taza de crema fresca fría y colada del agua</t>
  </si>
  <si>
    <t xml:space="preserve">To begin making the Rich Dark Chocolate Mousse Recipe, we will first melt the chocolate. For this, heat about 1 inch of water in a large pan till it boils. Reduce the heat to low and maintain the temperature. We will use this skillet water for double boiling and melting the chocolate.In a sauce pan add the chocolate and vanilla essence . Set the bowl in the water bath and stir until the chocolate is melted and smooth. Remove from the water bath and set aside to cool.In a heat proof bowl whisk together the egg yolks, coffee and 3 tablespoons of sugar. Set the bowl in the same water bath, whisking constantly until thick and fluffy almost like a marshmallow. Remove from the water bath and whisk this mixture into the chocolate mixture thoroughly. Allow it to cool completely.While the above mixture is cooling. In a large bowl, whisk together the egg whites and cream of tartar and gradually beat in the powdered sugar, until stiff peaks are formed.Using a wooden or rubber spatula, stir half of the egg whites into the chocolate egg mixture to lighten it. Then gently fold in the remaining whites. Gradually add in the heavy cream and whisk gently until soft peaks form.Transfer the Rich Dark Chocolate Mousse into eight 6 oz ramekins or mini cups or a large bowl. Refrigerate for at least 6 hours or up to one day.Serve the Rich Dark Chocolate Mousse cold as it is or with whipped cream and berries. You can also sprinkle the mousse with grated chocolate.For the Eggless MousseHeat about 1 inch of water in a large skillet/pan until bubbles form. Reduce the heat to low and maintain the temperature. We will use this skillet water for double boiling.In a sauce pan add the chocolate and vanilla essence . Set the bowl in the water bath and stir until the coffee and chocolate is melted and smooth. Remove from the water bath and set aside to cool. Once cooled, stir in the dissolved agar agar/china grass.Once cooled completely add in the heavy cream and whisk gently to combine all the ingredients well.Transfer the Rich Dark Chocolate Mousse into ramekins or mini cups or a large bowl. Refrigerate for at least 6 hours or up to one day.Serve this Dark Chocolate Mousse after a meal of Lemon Coriander Soup Recipe, Mozzarella Basil Sandwiches Recipe.
</t>
  </si>
  <si>
    <t>Para empezar a preparar la receta de Mousse de Chocolate Negro, primero derretiremos el chocolate. Para ello, calentamos aproximadamente 2,5 cm de agua en una olla grande hasta que hierva. Bajamos el fuego y mantenemos la temperatura. Usaremos el agua de la olla para hervir a baño maría y derretir el chocolate. En una cacerola, añadimos el chocolate y la esencia de vainilla. Ponemos el recipiente al baño maría y removemos hasta que el chocolate se derrita y quede suave. Retiramos del baño maría y dejamos enfriar. En un recipiente resistente al calor, batimos las yemas de huevo, el café y 3 cucharadas de azúcar. Colocamos el recipiente en el mismo baño maría, batiendo constantemente hasta que la mezcla esté espesa y esponjosa, casi como un malvavisco. Retiramos del baño maría e incorporamos esta mezcla a la de chocolate. Dejamos enfriar por completo. Mientras la mezcla anterior se enfría, en un recipiente grande, batimos las claras de huevo y el crémor tártaro e incorporamos gradualmente el azúcar glas, batiendo hasta que se formen picos firmes. Con una espátula de madera o goma, incorporamos la mitad de las claras de huevo a la mezcla de chocolate y huevo para aligerarla. Luego, incorpore suavemente las claras restantes. Agregue gradualmente la crema espesa y bata suavemente hasta que se formen picos suaves. Transfiera el Mousse de Chocolate Oscuro Rico a ocho moldes de 6 oz o mini tazas o un tazón grande. Refrigere durante al menos 6 horas o hasta un día. Sirva el Mousse de Chocolate Oscuro Rico frío como está o con crema batida y bayas. También puede espolvorear el mousse con chocolate rallado. Para el Mousse sin Huevo Caliente aproximadamente 1 pulgada de agua en una sartén/cacerola grande hasta que se formen burbujas. Reduzca el fuego a bajo y mantenga la temperatura. Usaremos esta agua de la sartén para hervir a doble ebullición. En una cacerola agregue el chocolate y la esencia de vainilla. Coloque el tazón en el baño de agua y revuelva hasta que el café y el chocolate se derritan y estén suaves. Retire del baño de agua y deje enfriar. Una vez enfriado, incorpore el agar-agar/china grass disuelto. Una vez enfriado por completo, agregue la crema espesa y bata suavemente para mezclar bien todos los ingredientes. Transfiera el Mousse de Chocolate Oscuro a ramequines, mini tazas o un tazón grande. Refrigere durante al menos 6 horas o hasta un día. Sirva este Mousse de Chocolate Oscuro después de una comida como la Receta de Sopa de Limón y Cilantro o la Receta de Sándwiches de Mozzarella y Albahaca.</t>
  </si>
  <si>
    <t>Pour préparer la mousse au chocolat noir, commencez par faire fondre le chocolat. Pour cela, faites chauffer environ 2,5 cm d'eau dans une grande casserole jusqu'à ébullition. Réduisez le feu et maintenez la température. Utilisez l'eau de la casserole pour faire fondre le chocolat. Dans une casserole, ajoutez le chocolat et l'extrait de vanille. Placez le bol au bain-marie et remuez jusqu'à ce que le chocolat soit fondu et lisse. Retirez du bain-marie et laissez refroidir. Dans un bol résistant à la chaleur, fouettez les jaunes d'œufs, le café et 3 cuillères à soupe de sucre. Placez le bol dans le même bain-marie en fouettant constamment jusqu'à obtenir une consistance épaisse et mousseuse, presque comme une guimauve. Retirez du bain-marie et incorporez ce mélange au chocolat en fouettant. Laissez refroidir complètement. Pendant ce temps, dans un grand bol, fouettez les blancs d'œufs et la crème de tartre, puis incorporez progressivement le sucre glace jusqu'à formation de pics fermes. À l'aide d'une spatule en bois ou en caoutchouc, incorporez la moitié des blancs d'œufs au mélange chocolat-œufs pour l'alléger. Incorporez ensuite délicatement les blancs restants. Ajoutez graduellement la crème épaisse et fouettez doucement jusqu'à formation de pics mous. Transférez la mousse au chocolat noir riche dans huit ramequins ou mini-tasses de 6 oz ou un grand bol. Réfrigérez pendant au moins 6 heures ou jusqu'à une journée. Servez la mousse au chocolat noir riche froide telle quelle ou avec de la crème fouettée et des fruits rouges. Vous pouvez également saupoudrer la mousse de chocolat râpé. Pour la mousse sans œufs Faites chauffer environ 1 pouce d'eau dans une grande poêle/casserole jusqu'à ce que des bulles se forment. Réduisez le feu à doux et maintenez la température. Nous utiliserons cette eau de poêle pour une double ébullition. Dans une casserole, ajoutez le chocolat et l'essence de vanille. Placez le bol au bain-marie et remuez jusqu'à ce que le café et le chocolat soient fondus et lisses. Retirez du bain-marie et laissez refroidir. Une fois refroidi, incorporez l'agar-agar/herbe de Chine dissous. Une fois refroidi, ajoutez la crème épaisse et fouettez délicatement pour bien mélanger tous les ingrédients. Versez la mousse au chocolat noir dans des ramequins, des mini-coupelles ou un grand bol. Réfrigérez au moins 6 heures ou jusqu'à une journée. Servez cette mousse au chocolat noir après un repas composé d'une soupe citron-coriandre ou d'un sandwich mozzarella-basilic.</t>
  </si>
  <si>
    <t>http://www.archanaskitchen.com/rich-dark-chocolate-mousse-recipe</t>
  </si>
  <si>
    <t>Broccoli Corn &amp; Barley Soup Recipe</t>
  </si>
  <si>
    <t>Rezept für Brokkoli-Mais-Gersten-Suppe</t>
  </si>
  <si>
    <t>Recette de soupe au brocoli, au maïs et à l'orge</t>
  </si>
  <si>
    <t>Receta de sopa de brócoli, maíz y cebada</t>
  </si>
  <si>
    <t>1 tasse d'orge (graines) - trempée pendant 2 à 6 heures, 1 tasse de brocoli - fleurons, 1/4 tasse de pois verts (Matar) - frais ou congelés, 1/4 tasse de maïs doux, 1/4 tasse de haricots verts (haricots verts) - hachés, 1/2 tasse de carottes (Gajjar) - finement tranchées en lanières, 1 tasse de feuilles de roquette - ou de feuilles d'épinards, 2 tomates - hachées, 1 oignon - haché, 4 gousses d'ail - hachées, 1 cuillère à soupe d'huile d'olive extra vierge, 1 cuillère à café de feuilles de basilic, 1 cuillère à café de feuilles de thym frais, 1 cuillère à café de flocons de piment rouge, sel - au goût, poudre de poivre noir - au goût, 2 cuillères à café de farine de maïs, eau - au besoin, crème sure - pour servir</t>
  </si>
  <si>
    <t>1 cup Barley (seeds) - soaked for 2-6 hours,1 cup Broccoli - florets,1/4 cup Green peas (Matar) - fresh or frozen,1/4 cup Sweet corn,1/4 cup Green beans (French Beans) - chopped,1/2 cup Carrots (Gajjar) - thinly sliced in strips,1 cup Rocket leaves - or spinach leaves,2 Tomatoes - chopped,1 Onion - chopped,4 cloves Garlic - minced,1 tablespoon Extra Virgin Olive Oil,1 teaspoon Basil leaves,1 teaspoon Fresh Thyme leaves,1 teaspoon Red Chilli flakes,Salt - to taste,Black pepper powder - to taste,2 teaspoons Corn flour,Water - as required,Sour cream - to serve</t>
  </si>
  <si>
    <t>1 taza de cebada (semillas) - remojadas durante 2-6 horas, 1 taza de brócoli - floretes, 1/4 taza de guisantes verdes (Matar) - frescos o congelados, 1/4 taza de maíz dulce, 1/4 taza de judías verdes (judías verdes) - picadas, 1/2 taza de zanahorias (Gajjar) - cortadas en tiras finas, 1 taza de hojas de rúcula - u hojas de espinaca, 2 tomates - picados, 1 cebolla - picada, 4 dientes de ajo - picados, 1 cucharada de aceite de oliva virgen extra, 1 cucharadita de hojas de albahaca, 1 cucharadita de hojas de tomillo fresco, 1 cucharadita de hojuelas de chile rojo, sal - al gusto, pimienta negra en polvo - al gusto, 2 cucharaditas de harina de maíz, agua - según se requiera, crema agria - para servir</t>
  </si>
  <si>
    <t xml:space="preserve">To prepare Broccoli Corn &amp; Barley Soup Recipe, wash and soak pearl barley in 2 cups of water for 2 to 6 hours.Drain and place them in a saucepan with 2 cups of water and a dash of salt. Bring it to boil and then simmer and let it cook for 15 minutes.Once cooked drain the excess water and set it aside.In another saucepan, heat olive oil. Add minced garlic and onion and saute for 2-3 minutes until slightly brown in colour.Now add all the chopped vegetables except rocket leaves, tomatoes, salt, pepper, basil, thyme and chilli flakes. Stir and cook for a minute.Add in 4 cups of water and let it boil. Once boiled keep the heat on low to medium and cook for 15 minutes.Now add the drained pearl barley and rocket leaves. Stir and add cornstarch mixed with 2 tablespoons of water.Stir and let the soup thickened a little.Remove from heat. Season with more salt and pepper if desired.Serve Broccoli Corn &amp; Barley Soup Recipe warm with a dollop of sour cream, pair it up with Cauliflower Chutney Grilled Sandwich or any sandwich of your choice.
</t>
  </si>
  <si>
    <t>Para preparar la receta de sopa de brócoli, maíz y cebada, lava y remoja la cebada perlada en 2 tazas de agua durante 2 a 6 horas. Escúrrela y colócala en una cacerola con 2 tazas de agua y una pizca de sal. Lleva a ebullición y luego cocina a fuego lento durante 15 minutos. Una vez cocida, escurre el exceso de agua y reserva. En otra cacerola, calienta el aceite de oliva. Agrega el ajo y la cebolla picados y saltea durante 2-3 minutos hasta que estén ligeramente dorados. Ahora agrega todas las verduras picadas excepto las hojas de rúcula, los tomates, la sal, la pimienta, la albahaca, el tomillo y las hojuelas de chile. Revuelve y cocina durante un minuto. Agrega 4 tazas de agua y deja que hierva. Una vez que hierva, mantén el fuego bajo a medio y cocina durante 15 minutos. Ahora agrega la cebada perlada y las hojas de rúcula escurridas. Revuelve y agrega la maicena mezclada con 2 cucharadas de agua. Revuelve y deja que la sopa espese un poco. Retira del fuego. Sazone con más sal y pimienta si lo desea. Sirva la receta de sopa de brócoli, maíz y cebada caliente con una cucharada de crema agria. Acompáñela con un sándwich a la parrilla con chutney de coliflor o cualquier sándwich de su elección.</t>
  </si>
  <si>
    <t>Pour préparer la soupe au brocoli, maïs et orge, lavez et faites tremper l'orge perlé dans 500 ml d'eau pendant 2 à 6 heures. Égouttez-le et placez-le dans une casserole avec 500 ml d'eau et une pincée de sel. Portez à ébullition, puis laissez mijoter 15 minutes. Une fois cuit, égouttez l'excédent d'eau et réservez. Dans une autre casserole, faites chauffer l'huile d'olive. Ajoutez l'ail et l'oignon émincés et faites-les revenir 2 à 3 minutes jusqu'à ce qu'ils soient légèrement dorés. Ajoutez ensuite tous les légumes hachés, sauf la roquette, les tomates, le sel, le poivre, le basilic, le thym et les flocons de piment. Remuez et laissez cuire une minute. Ajoutez 1,50 ml d'eau et laissez bouillir. Une fois l'ébullition atteinte, maintenez le feu à moyen-doux et laissez cuire 15 minutes. Ajoutez ensuite l'orge perlé et les feuilles de roquette égouttés. Remuez et ajoutez la fécule de maïs mélangée à 2 cuillères à soupe d'eau. Remuez et laissez la soupe épaissir légèrement. Retirez du feu. Assaisonnez avec plus de sel et de poivre si vous le souhaitez. Servez la recette de soupe au brocoli, au maïs et à l'orge chaude avec une cuillerée de crème sure, accompagnez-la d'un sandwich grillé au chutney de chou-fleur ou de tout autre sandwich de votre choix.</t>
  </si>
  <si>
    <t>https://www.archanaskitchen.com/broccoli-corn-barley-soup-recipe</t>
  </si>
  <si>
    <t>Asian Style Honey Soy Sticky Chicken Recipe</t>
  </si>
  <si>
    <t>Rezept für klebriges Hähnchen mit Honig und Soja nach asiatischer Art</t>
  </si>
  <si>
    <t>Recette de poulet collant au miel et au soja, à l'asiatique</t>
  </si>
  <si>
    <t>Receta de pollo pegajoso con miel y soja al estilo asiático</t>
  </si>
  <si>
    <t>1/2 poulet - cuisses/ailes, 2 cuillères à soupe de sauce soja, 1,5 cuillère à soupe de miel, 1/2 cuillère à soupe de vinaigre, 1 cuillère à café d'ail - haché, 1 cuillère à café de gingembre - râpé, 1 cuillère à café d'huile de sésame (gingembre) - ou d'huile d'olive, sel - au goût, 1 cuillère à café de poivre noir en poudre, graines de sésame (graines de Til) - pour la garniture</t>
  </si>
  <si>
    <t>1/2 Chicken - Thighs/Wings,2 Tablespoon Soy sauce,1.5 Tablespoon Honey,1/2 Tablespoon Vinegar,1 teaspoon Garlic - Minced,1 teaspoon Ginger - Grated,1 teaspoon Sesame (Gingelly) Oil - or Olive Oil,Salt - to taste,1 teaspoon Black pepper powder,Sesame seeds (Til seeds) - for garnishing</t>
  </si>
  <si>
    <t>1/2 Pollo - Muslos/Alas, 2 cucharadas de salsa de soja, 1.5 cucharadas de miel, 1/2 cucharada de vinagre, 1 cucharadita de ajo - picado, 1 cucharadita de jengibre - rallado, 1 cucharadita de aceite de sésamo (Gingelly) - o aceite de oliva, sal - al gusto, 1 cucharadita de pimienta negra en polvo, semillas de sésamo (semillas de Til) - para decorar</t>
  </si>
  <si>
    <t xml:space="preserve">To begin making Asian Style Honey Soy Sticky Chicken Recipe, Preheat oven at 220 C. Sprinkle salt and pepper on chicken and rub it with your hands.Take a baking tray layered with parchment paper and bake the chicken for about 30 minutes.Next, take a saucepan and combine garlic, ginger, soy sauce,  honey,vinegar and oil together.Cook it on low heat and keep stirring to make sure that it is not getting burnt or sticking to the bottom.Add about 2 teaspoons water into the cornflour powder to make a slurry. Add this slurry to the saucepan and mix it well.Cook it till it starts boiling and the sauce will become thick and sticky.Switch off the heat and keep it aside. After 30 minutes, take the chicken out of the oven and keep it in a separate bowl. Pour the sauce over the chicken but make sure you are saving few tablespoons of sauce for glazing the chicken later on.Put the chicken back in the oven and cook it for 10 more minutes.After 10 minutes, take the chicken out on a serving plate and glaze the chicken with the leftover sauce using a brush. Garnish it with some sesame seeds and serve. Serve Asian Style Honey Soy Sticky Chicken Recipe alongside Asian Style Mixed Fried Rice Recipe for a lovely Sunday meal.
</t>
  </si>
  <si>
    <t>Para comenzar a hacer la receta de pollo pegajoso con soja y miel al estilo asiático, precaliente el horno a 220 C. Espolvoree sal y pimienta sobre el pollo y frótelo con las manos. Tome una bandeja para hornear cubierta con papel pergamino y hornee el pollo durante unos 30 minutos. Luego, tome una cacerola y combine el ajo, el jengibre, la salsa de soja, la miel, el vinagre y el aceite. Cocínelo a fuego lento y siga revolviendo para asegurarse de que no se queme ni se pegue al fondo. Agregue aproximadamente 2 cucharaditas de agua al polvo de harina de maíz para hacer una papilla. Agregue esta papilla a la cacerola y mézclela bien. Cocínela hasta que comience a hervir y la salsa se vuelva espesa y pegajosa. Apague el fuego y déjela a un lado. Después de 30 minutos, saque el pollo del horno y guárdelo en un recipiente aparte. Vierta la salsa sobre el pollo, pero asegúrese de guardar algunas cucharadas de salsa para glasear el pollo más tarde. Vuelva a colocar el pollo en el horno y cocínelo durante 10 minutos más. Después de 10 minutos, retire el pollo a un plato para servir y glasee el pollo con la salsa sobrante con un pincel. Decórelo con algunas semillas de sésamo y sirva. Sirva la Receta de Pollo Pegajoso con Soja y Miel al Estilo Asiático junto con la Receta de Arroz Frito Mixto al Estilo Asiático para una deliciosa comida de domingo.</t>
  </si>
  <si>
    <t>Pour commencer à préparer la recette de poulet collant au miel et au soja à l'asiatique, préchauffez le four à 220 °C. Saupoudrez de sel et de poivre sur le poulet et frottez-le avec vos mains. Prenez une plaque de cuisson recouverte de papier sulfurisé et faites cuire le poulet pendant environ 30 minutes. Ensuite, prenez une casserole et mélangez l'ail, le gingembre, la sauce soja, le miel, le vinaigre et l'huile. Faites cuire à feu doux et continuez à remuer pour vous assurer qu'il ne brûle pas ou ne colle pas au fond. Ajoutez environ 2 cuillères à café d'eau dans la poudre de fécule de maïs pour faire une bouillie. Ajoutez cette bouillie dans la casserole et mélangez bien. Faites cuire jusqu'à ce qu'elle commence à bouillir et que la sauce devienne épaisse et collante. Éteignez le feu et réservez. Après 30 minutes, sortez le poulet du four et conservez-le dans un bol séparé. Versez la sauce sur le poulet, mais assurez-vous de garder quelques cuillères à soupe de sauce pour glacer le poulet plus tard. Remettez le poulet au four et faites-le cuire pendant 10 minutes supplémentaires. Après 10 minutes, sortez le poulet sur une assiette de service et glacez-le avec le reste de sauce à l'aide d'un pinceau. Garnissez de graines de sésame et servez. Servez la recette de poulet collant au miel et au soja à l'asiatique avec la recette de riz frit mixte à l'asiatique pour un délicieux repas du dimanche.</t>
  </si>
  <si>
    <t>http://www.archanaskitchen.com/asian-style-honey-soy-sticky-chicken-recipe</t>
  </si>
  <si>
    <t>Pomegranate Frozen Margarita Recipe</t>
  </si>
  <si>
    <t>Rezept für Frozen Margarita mit Granatapfel</t>
  </si>
  <si>
    <t>Recette de Margarita glacée à la grenade</t>
  </si>
  <si>
    <t>Receta de margarita de granada congelada</t>
  </si>
  <si>
    <t>300 ml de jus de grenade fraîchement pressé, 1/4 tasse de jus d'orange frais, jus de citron de 2 citrons, 10 à 12 glaçons, noyaux de grenade frais pour la garniture, sel pour le bord du verre (sel de Margarita), 400 ml de jus de grenade fraîchement pressé, 1/4 tasse de jus de citron, 1/3 tasse de tequila, 1/8 tasse de triple sec, noyaux de grenade frais pour la garniture, 10 à 12 glaçons, sel pour le bord du verre (sel de Margarita)</t>
  </si>
  <si>
    <t>300 ml Pomegranate juice - freshly squeezed,1/4 cup Fresh orange juice,Lemon juice - from 2 lemons,10 to 12 Ice cubes,Fresh Pomegranate Fruit Kernels - for garnish,Salt - for rimming the glass (Margarita Salt,400 ml Pomegranate juice - freshly squeezed,1/4 cup Lemon juice,1/3 cup Tequila,1/8 cup Triple sec,Fresh Pomegranate Fruit Kernels - for garnish,10 to 12 Ice cubes,Salt - for rimming the glass (Margarita Salt</t>
  </si>
  <si>
    <t>300 ml de jugo de granada recién exprimido, 1/4 taza de jugo de naranja fresco, jugo de limón - de 2 limones, 10 a 12 cubos de hielo, semillas de granada fresca - para decorar, sal - para escarchar el vaso (sal margarita), 400 ml de jugo de granada recién exprimido, 1/4 taza de jugo de limón, 1/3 taza de tequila, 1/8 taza de triple sec, semillas de granada fresca - para decorar, 10 a 12 cubos de hielo, sal - para escarchar el vaso (sal margarita).</t>
  </si>
  <si>
    <t xml:space="preserve">To begin making the Pomegranate Margarita Recipe, keep all the ingredients ready. If you are using a store-bought pomegranate juice then you might want to check the concentration before you add the required quality. Next step, combine all ingredients in a blender and pulse until frothy and well combined. Keep the salt and the seeds for garnish aside, we will be using the salt to rim the glass. Do this only when you are ready to serve the Pomegranate MargaritaYou can either serve these as it is or rim your Margarita Glasses. To rim your glasses with salt, pour the Margarita Salt or the regular salt on a flat plate. Wet the glasses with some lemon juice using lemon wedges, then dip the rim of the glass on the salt and press it in, so the salt sticks all around. Pour the Prepared Pomegranate Margaritas into the glasses and serve, garnished with pomegranate seeds on a hot summer afternoon along with some hummus and lavash.
</t>
  </si>
  <si>
    <t>Para comenzar a preparar la Receta de Margarita de Granada, tenga todos los ingredientes listos. Si está usando un jugo de granada comprado en la tienda, es posible que desee verificar la concentración antes de agregar la calidad requerida. El siguiente paso, combine todos los ingredientes en una licuadora y pulse hasta que esté espumoso y bien combinado. Mantenga la sal y las semillas para decorar a un lado, usaremos la sal para bordear el vaso. Haga esto solo cuando esté listo para servir la Margarita de Granada. Puede servirlos como están o bordear sus Copas de Margarita. Para bordear sus vasos con sal, vierta la Sal de Margarita o la sal regular en un plato plano. Moje los vasos con un poco de jugo de limón usando gajos de limón, luego sumerja el borde del vaso en la sal y presiónelo, para que la sal se adhiera por todos lados. Vierta las margaritas de granada preparadas en los vasos y sirva, adornadas con semillas de granada en una calurosa tarde de verano, junto con un poco de hummus y lavash.</t>
  </si>
  <si>
    <t>Pour commencer à préparer la recette de la margarita à la grenade, préparez tous les ingrédients. Si vous utilisez du jus de grenade du commerce, vérifiez la concentration avant d'ajouter la qualité requise. Étape suivante : mélangez tous les ingrédients dans un mixeur et mixez jusqu'à obtenir une consistance mousseuse et homogène. Réservez le sel et les graines pour la garniture ; nous utiliserons le sel pour givrer le verre. Ne le faites qu'au moment de servir la margarita à la grenade. Vous pouvez la servir telle quelle ou givrer vos verres à margarita. Pour givrer vos verres, versez du sel pour margarita ou du sel ordinaire sur une assiette plate. Humidifiez les verres avec un peu de jus de citron à l'aide de quartiers de citron, puis trempez le bord du verre dans le sel et appuyez dessus pour que le sel adhère tout autour. Versez les margaritas à la grenade préparées dans les verres et servez, garnies de graines de grenade, par un chaud après-midi d'été, accompagnées de houmous et de lavash.</t>
  </si>
  <si>
    <t>https://www.archanaskitchen.com/pomegranate-frozen-margarita-recipe-with-non-alcoholic-options</t>
  </si>
  <si>
    <t>Flourless Orange Cake With Cream Cheese Frosting Recipe</t>
  </si>
  <si>
    <t>Rezept für Orangenkuchen ohne Mehl mit Frischkäse-Zuckerguss</t>
  </si>
  <si>
    <t>Recette de gâteau à l'orange sans farine avec glaçage au fromage à la crème</t>
  </si>
  <si>
    <t>Receta de pastel de naranja sin harina con glaseado de queso crema</t>
  </si>
  <si>
    <t>3 oranges pelées, 2 cuillères à soupe de zeste d'orange (écorce), 3 cuillères à soupe de sucre, 6 œufs entiers, 175 grammes de sucre en poudre, 150 grammes de poudre d'amandes (poudre de badam), 100 grammes de poudre de noisettes, 1 cuillère à café de levure chimique, 200 grammes de fromage à la crème Britannia, 3 cuillères à soupe de crème fouettée épaisse, 3 cuillères à soupe de jus d'orange frais, 75 grammes de sucre glace</t>
  </si>
  <si>
    <t>3 Oranges - peeled,2 tablespoons Orange Zest (Rind),3 tablespoons Sugar,6 Whole Eggs,175 grams Caster Sugar,150 grams Almond Meal (Badam Powder),100 grams Hazelnut Meal (Powder),1 teaspoon Baking powder,200 grams Britannia Cream Cheese,3 tablespoons Heavy whipping cream,3 tablespoons Fresh orange juice,75 grams Icing Sugar</t>
  </si>
  <si>
    <t>3 naranjas peladas, 2 cucharadas de ralladura de naranja, 3 cucharadas de azúcar, 6 huevos enteros, 175 gramos de azúcar extrafino, 150 gramos de harina de almendras, 100 gramos de harina de avellanas, 1 cucharadita de polvo para hornear, 200 gramos de queso crema Britannia, 3 cucharadas de crema batida espesa, 3 cucharadas de jugo de naranja fresco, 75 gramos de azúcar glas</t>
  </si>
  <si>
    <t xml:space="preserve">To begin making the Flourless Orange Cake With Cream Cheese Frosting Recipe first prepare the orange pureeTo do this, combine the zest, sugar and orange chunks in a pan. Place the pan over a medium heat and cook, covered, for 6 to 8 mins or until the sugar is dissolved well and oranges have turned very soft and pulpy.Mix and take the mixture off the heat. Cool it completely and then add it to a blender and blend it to a fine puree. Set it aside for later use.Proceed to make the flourless cake, next. To do that, first set the oven to pre heat at 170 degrees C. Grease and line a 9 inch spring-form pan and set it aside.In a large mixing bowl, add sugar and eggs and using a stand mixer or hand mixer, beat well on a high speed until the eggs are pale and fluffy. This will take approximately 5 to 6 minutes.Next, add in the baking powder and stir to combine.Gently fold in the measured out almond meal, hazelnut meal and orange puree. Do this gently, by folding it in with a spatula rather than thoroughly mixing it with a whisk or spoon, taking care not to deflate the egg and sugar mixture.Pour the batter in the lined cake pan and bake it in the preheated oven for about 25 minutes until the top looks set and gets a golden brown hue.If you feel the top is cooking too fast, place a sheet of aluminium foil over it to avoid burning.Bake it for another 25 minutes. As the baking continues, the sides of the cake will start leaving the pan and will shrink a bit.After about 40-50 minutes of baking, insert a skewer into the centre of the cake and if it comes out free of batter, the cake is done.Remove it from the oven and set it on a cooling rack to cool completely, while you prepare the cream cheese frosting.To prepare the frosting, beat together all the ingredients mentioned for frosting until soft and smooth.When the Orange cake has cooled completely, release it from the springform tin and place it on a cake plate or tray.Frost the cake as you wish by slathering the cream cheese topping on it. Then, place it in the refrigerator for a few hours before serving.You can garnish the Flourless Orange Cake with almond flakes, orange slices and mint leaves.Serve the Flourless Orange Cake chilled or at room temperature.
</t>
  </si>
  <si>
    <t>Para preparar la receta de pastel de naranja sin harina con glaseado de queso crema, primero prepare el puré de naranja. Para ello, combine la ralladura, el azúcar y los trozos de naranja en una sartén. Coloque la sartén a fuego medio y cocine, tapada, de 6 a 8 minutos o hasta que el azúcar se disuelva bien y las naranjas estén muy suaves y pulposas. Mezcle y retire la mezcla del fuego. Deje enfriar completamente y luego agréguela a una licuadora para obtener un puré fino. Resérvela para usarla más tarde. A continuación, prepare el pastel sin harina. Para ello, precaliente el horno a 170 °C. Engrase y forre un molde desmontable de 23 cm y resérvelo. En un tazón grande, agregue el azúcar y los huevos y, con una batidora de pedestal o de mano, bata bien a alta velocidad hasta que los huevos estén pálidos y esponjosos. Esto tomará aproximadamente de 5 a 6 minutos. A continuación, agregue el polvo para hornear y revuelva para mezclar. Incorpore suavemente la harina de almendras, la harina de avellanas y el puré de naranja medidos. Hazlo con cuidado, doblándolo con una espátula en lugar de mezclarlo completamente con un batidor o una cuchara, teniendo cuidado de no desinflar la mezcla de huevo y azúcar. Vierte la masa en el molde para pastel forrado y hornéalo en el horno precalentado durante unos 25 minutos hasta que la parte superior se vea firme y adquiera un tono marrón dorado. Si sientes que la parte superior se está cocinando demasiado rápido, coloca una hoja de papel de aluminio sobre ella para evitar que se queme. Hornéalo durante otros 25 minutos. A medida que avanza la cocción, los lados del pastel comenzarán a separarse del molde y se encogerán un poco. Después de unos 40-50 minutos de horneado, inserte un palillo en el centro del pastel y, si sale sin masa, el pastel está listo. Retírelo del horno y colóquelo sobre una rejilla para que se enfríe por completo, mientras prepara el glaseado de queso crema. Para preparar el glaseado, bata todos los ingredientes mencionados para el glaseado hasta que esté suave y liso. Cuando el pastel de naranja se haya enfriado por completo, desmóldelo del molde desmontable y colóquelo en un plato o bandeja para pasteles. Glasee el pastel a su gusto untándole la cobertura de queso crema. Luego, póngalo en el refrigerador durante unas horas antes de servir. Puede decorar el pastel de naranja sin harina con almendras en láminas, rodajas de naranja y hojas de menta. Sirva el pastel de naranja sin harina frío o a temperatura ambiente.</t>
  </si>
  <si>
    <t>Pour commencer la recette du gâteau à l'orange sans farine avec glaçage au fromage frais, préparez d'abord la purée d'orange. Pour cela, mélangez le zeste, le sucre et les morceaux d'orange dans une casserole. Placez la casserole sur feu moyen et faites cuire à couvert pendant 6 à 8 minutes, jusqu'à ce que le sucre soit bien dissous et que les oranges soient très tendres et pulpeuses. Mélangez et retirez du feu. Laissez refroidir complètement, puis passez au mixeur et mixez jusqu'à obtenir une purée fine. Réservez. Procédez ensuite à la préparation du gâteau sans farine. Pour cela, préchauffez le four à 170 °C. Beurrez et chemisez un moule à charnière de 23 cm et réservez. Dans un grand saladier, ajoutez le sucre et les œufs. À l'aide d'un batteur sur socle ou d'un batteur électrique, battez vigoureusement à vitesse élevée jusqu'à ce que les œufs soient pâles et mousseux. Cela prendra environ 5 à 6 minutes. Ajoutez ensuite la levure chimique et mélangez. Incorporez délicatement la poudre d'amandes, la poudre de noisettes et la purée d'orange. Faites-le délicatement, en l'incorporant à l'aide d'une spatule plutôt qu'en le mélangeant soigneusement avec un fouet ou une cuillère, en prenant soin de ne pas dégonfler le mélange d'œufs et de sucre.Versez la pâte dans le moule à gâteau chemisé et faites-la cuire au four préchauffé pendant environ 25 minutes jusqu'à ce que le dessus soit pris et prenne une teinte brun doré.Si vous sentez que le dessus cuit trop vite, placez une feuille de papier d'aluminium dessus pour éviter qu'il ne brûle.Faites-le cuire encore 25 minutes. Au fur et à mesure de la cuisson, les bords du gâteau commenceront à se décoller du moule et rétréciront légèrement. Après environ 40 à 50 minutes de cuisson, insérez une brochette au centre du gâteau et si elle ressort sans pâte, le gâteau est cuit. Retirez-le du four et placez-le sur une grille de refroidissement pour qu'il refroidisse complètement, pendant que vous préparez le glaçage au fromage frais. Pour préparer le glaçage, battez tous les ingrédients mentionnés pour le glaçage jusqu'à ce qu'ils soient mous et lisses. Lorsque le gâteau à l'orange a complètement refroidi, démoulez-le et placez-le sur une assiette à gâteau ou un plateau. Glacez le gâteau selon votre goût en l'étalant avec la garniture au fromage frais. Ensuite, placez-le au réfrigérateur pendant quelques heures avant de servir. Vous pouvez garnir le gâteau à l'orange sans farine d'amandes effilées, de tranches d'orange et de feuilles de menthe. Servez le gâteau à l'orange sans farine frais ou à température ambiante.</t>
  </si>
  <si>
    <t>http://www.archanaskitchen.com/flourless-orange-cake-with-cream-cheese-frosting-recipe</t>
  </si>
  <si>
    <t>Savoury Bread Pudding Recipe</t>
  </si>
  <si>
    <t>Rezept für herzhaften Brotpudding</t>
  </si>
  <si>
    <t>Recette de pudding au pain salé</t>
  </si>
  <si>
    <t>Receta de budín de pan sabroso</t>
  </si>
  <si>
    <t>6 pains complets bruns (de préférence un pain rassis), 1/2 courgette verte râpée, 1 carotte râpée, 1 poivron rouge finement haché, 1 tasse de feuilles d'épinards hachées, 6 champignons de Paris finement hachés, 1 oignon finement haché, 3 gousses d'ail finement hachées, 2 cuillères à café d'huile d'olive extra vierge, 4 cuillères à soupe de moutarde de Dijon, 1 brin de feuilles de thym frais (ou d'origan ou d'herbes de votre choix), 2 cuillères à café de poivre noir en poudre (ou flocons de piment rouge), 2 tasses de lait, 2 œufs entiers légèrement fouettés, 1 tasse de cheddar râpé et pour la garniture également, 4 cuillères à soupe de beurre (+ 1 cuillère à soupe pour graisser le plat de cuisson), sel au goût</t>
  </si>
  <si>
    <t>6 Whole Wheat Brown Bread - preferably a day-old bread,1/2 Green zucchini - grated,1 Carrot (Gajjar) - grated,1 Red Bell pepper (Capsicum) - finely chopped,1 cup Spinach Leaves (Palak) - chopped,6 Button mushrooms - finely chopped,1 Onion - finely chopped,3 cloves Garlic - finely minced,2 teaspoon Extra Virgin Olive Oil,4 tablespoon Dijon Mustard,1 sprig Fresh Thyme leaves - or oregano or any herbs of choice,2 teaspoon Black pepper powder - crushed (or red chilli flakes),2 cups Milk,2 Whole Eggs - lightly whisked,1 cup Cheddar cheese - grated and for topping as well,4 tablespoon Butter - + 1 tablespoon for greasing the baking dish,Salt - to taste</t>
  </si>
  <si>
    <t>6 panes integrales (preferiblemente del día anterior), 1/2 calabacín verde rallado, 1 zanahoria (Gajjar) rallada, 1 pimiento morrón rojo picado finamente, 1 taza de hojas de espinaca (Palak) picadas, 6 champiñones picados finamente, 1 cebolla picada finamente, 3 dientes de ajo picados finamente, 2 cucharaditas de aceite de oliva virgen extra, 4 cucharadas de mostaza Dijon, 1 ramita de hojas de tomillo fresco, orégano o cualquier hierba de su elección, 2 cucharaditas de pimienta negra en polvo triturada (o hojuelas de chile rojo), 2 tazas de leche, 2 huevos enteros ligeramente batidos, 1 taza de queso cheddar rallado y también para decorar, 4 cucharadas de mantequilla + 1 cucharada para engrasar la fuente para hornear, sal al gusto</t>
  </si>
  <si>
    <t xml:space="preserve">To begin making the Savoury Bread Pudding, first grease a 7 inch baking dish with butter. Preheat the oven to 180 degree Celsius.Heat olive oil in a small pan and add onion, garlic and sauté for a few seconds, till the onions turn translucent.Add the mushrooms and stir fry till they begin sweat. Add the rest of the vegetables - zucchini, carrots, bell peppers and spinach, salt and 2 teaspoon pepper and give it a good mix. Take off the heat and add the herbs.Butter 3 slices of bread and spread the english mustard paste over it. Spread 1-2 tablespoon vegetable mixture on each slice and top it with some grated cheese.Cover with another bread slice to form a sandwich. Cut each sandwich diagonally into 4 triangles.Place each triangle vertically in a baking dish. Cut edge placed down.Sprinkle the leftover vegetable mixture over the bread slices.In a small mixing bowl add the whisked eggs. Add the milk and whisk till it blends in with the eggs. Add salt and whisk again.Pour this egg-milk mixture over the arranged sandwich slices and sprinkle herbs, cheese, pepper on top.Bake in the oven till the custard sets, for about 18-20 minutes. Do not over bake as the pudding will get too dry.If you think the top of the pudding browns faster cover it with an aluminium foil. Serve hot.Serve the Savoury Bread Pudding as dinner on a cold winter evening, along with a glass Lavender Lemonade Cooler Recipe and Eggless Choco Lava Cake Recipe for dessert.
</t>
  </si>
  <si>
    <t>Para preparar el pudín de pan salado, engrase con mantequilla una fuente para horno de 18 cm. Precaliente el horno a 180 °C. Caliente aceite de oliva en una sartén pequeña, añada la cebolla y el ajo y sofría durante unos segundos, hasta que la cebolla esté translúcida. Añada los champiñones y saltéelos hasta que empiecen a sudar. Añada el resto de las verduras (calabacín, zanahoria, pimiento y espinacas), sal y 2 cucharaditas de pimienta, y mezcle bien. Retire del fuego y añada las hierbas aromáticas. Unte con mantequilla 3 rebanadas de pan y extienda la pasta de mostaza inglesa por encima. Extienda 1 o 2 cucharadas de la mezcla de verduras sobre cada rebanada y cúbralas con un poco de queso rallado. Cubra con otra rebanada de pan para formar un sándwich. Corte cada sándwich en diagonal en 4 triángulos. Coloque cada triángulo verticalmente en una fuente para horno, con el borde cortado hacia abajo. Espolvoree la mezcla de verduras sobrante sobre las rebanadas de pan. En un tazón pequeño, agregue los huevos batidos. Añada la leche y bata hasta que se integre con los huevos. Añade sal y vuelve a batir. Vierte esta mezcla de huevo y leche sobre las rebanadas de sándwich dispuestas y espolvorea con hierbas, queso y pimienta por encima. Hornea hasta que la crema cuaje, durante unos 18-20 minutos. No hornees demasiado, ya que el pudín se secará demasiado. Si crees que la parte superior del pudín se dora más rápido, cúbrelo con papel aluminio. Sirve caliente. Sirve el pudín de pan salado como cena en una fría noche de invierno, junto con un vaso de limonada refrescante de lavanda y un pastel de lava de chocolate sin huevo de postre.</t>
  </si>
  <si>
    <t>Pour préparer le pouding au pain salé, commencez par beurrer un plat allant au four de 18 cm. Préchauffez le four à 180 °C. Faites chauffer l'huile d'olive dans une petite poêle et ajoutez l'oignon et l'ail. Faites revenir quelques secondes, jusqu'à ce que les oignons deviennent translucides. Ajoutez les champignons et faites-les revenir jusqu'à ce qu'ils commencent à suer. Ajoutez le reste des légumes (courgettes, carottes, poivrons et épinards), du sel et 2 cuillères à café de poivre, puis mélangez bien. Retirez du feu et ajoutez les herbes. Beurrez 3 tranches de pain et tartinez-les de pâte de moutarde anglaise. Étalez 1 à 2 cuillères à soupe de mélange de légumes sur chaque tranche et parsemez de fromage râpé. Recouvrez d'une autre tranche de pain pour former un sandwich. Coupez chaque sandwich en 4 triangles en diagonale. Placez chaque triangle verticalement dans un plat allant au four, bord coupé vers le bas. Parsemez les tranches de pain du reste de mélange de légumes. Dans un petit saladier, ajoutez les œufs battus. Ajoutez le lait et fouettez jusqu'à ce qu'il soit bien mélangé. Salez et fouettez à nouveau. Versez ce mélange œufs-lait sur les tranches de sandwich et parsemez d'herbes, de fromage et de poivre. Faites cuire au four jusqu'à ce que la crème prenne, pendant environ 18 à 20 minutes. Ne pas trop cuire, car le pudding deviendrait trop sec. Si vous pensez que le dessus du pudding brunit plus vite, couvrez-le de papier aluminium. Servez chaud. Servez le pudding au pain salé au dîner lors d'une froide soirée d'hiver, accompagné d'un verre de recette de rafraîchissement à la limonade à la lavande et d'une recette de gâteau fondant au chocolat sans œufs pour le dessert.</t>
  </si>
  <si>
    <t>https://www.archanaskitchen.com/savoury-bread-pudding-recipe</t>
  </si>
  <si>
    <t>Orange Peppermint Green Tea Punch Recipe</t>
  </si>
  <si>
    <t>Rezept für Orangen-Pfefferminz-Grüntee-Punsch</t>
  </si>
  <si>
    <t>Recette de punch au thé vert à l'orange et à la menthe poivrée</t>
  </si>
  <si>
    <t>Receta de ponche de té verde con naranja y menta</t>
  </si>
  <si>
    <t>2 tasses de jus d'orange frais, 2 cuillères à café de gingembre râpé, 2 cuillères à soupe de thé vert à la menthe poivrée Tea Monk Seiki, 4 tasses d'eau glacée</t>
  </si>
  <si>
    <t>2 cups Fresh orange juice,2 teaspoons Ginger - grated,2 tablespoons Tea Monk Seiki Peppermint Green Tea,4 cups Chilled water</t>
  </si>
  <si>
    <t>2 tazas de jugo de naranja fresco, 2 cucharaditas de jengibre rallado, 2 cucharadas de té verde de menta Tea Monk Seiki, 4 tazas de agua fría</t>
  </si>
  <si>
    <t xml:space="preserve">To begin making the Orange Green Tea Punch Recipe, in a large saucepan, bring water to a boil and turn off the heat.Add the Seiki Peppermint Green Tea leaves, grated ginger to the boiled water and stir. Let the tea brew for 5 minutes.Strain the tea into a pitcher and discard the tea leaves. Allow the tea to cool and refrigerate for 2 hours.After 2 hours stir in the orange juice. Pour the Orange Green Tea Punch into serving glass, add ice cubes and serve chilled.Serve the Orange Green Tea Punch Recipe along with Roasted Vegetable Pesto Tart or a Indian Spicy Masala Cookie (Khara Biscuit) .
</t>
  </si>
  <si>
    <t>Para preparar la receta de ponche de té verde con naranja, en una cacerola grande, hierva agua y apague el fuego. Añada las hojas de té verde de menta Seiki y el jengibre rallado al agua hervida y remueva. Deje reposar el té durante 5 minutos. Cuele el té en una jarra y deseche las hojas. Deje enfriar el té y refrigérelo durante 2 horas. Después de 2 horas, incorpore el jugo de naranja. Vierta el ponche de té verde con naranja en un vaso para servir, añada cubitos de hielo y sirva frío. Sirva la receta de ponche de té verde con naranja junto con una tarta de pesto de verduras asadas o una galleta masala picante india (galleta khara).</t>
  </si>
  <si>
    <t>Pour préparer le punch au thé vert et à l'orange, portez l'eau à ébullition dans une grande casserole, puis éteignez le feu. Ajoutez les feuilles de thé vert à la menthe poivrée Seiki et le gingembre râpé à l'eau bouillante et remuez. Laissez infuser 5 minutes. Filtrez le thé dans un pichet et jetez les feuilles. Laissez refroidir et placez au réfrigérateur pendant 2 heures. Au bout de 2 heures, ajoutez le jus d'orange. Versez le punch au thé vert et à l'orange dans un verre, ajoutez des glaçons et servez frais. Servez le punch au thé vert et à l'orange accompagné d'une tarte au pesto de légumes rôtis ou d'un biscuit masala épicé indien (biscuit khara).</t>
  </si>
  <si>
    <t>http://www.archanaskitchen.com/orange-peppermint-green-tea-punch-recipe</t>
  </si>
  <si>
    <t>Zucchini Tater Tots Recipe - A Delicious Party Appetizer</t>
  </si>
  <si>
    <t>Rezept für Zucchini-Tater Tots – eine köstliche Party-Vorspeise</t>
  </si>
  <si>
    <t>Recette de Tater Tots aux courgettes – un délicieux apéritif de fête</t>
  </si>
  <si>
    <t>Receta de Tater Tots de Calabacín: Un Deliciosos Aperitivos para Fiestas</t>
  </si>
  <si>
    <t>3 pommes de terre (Aloo) - peau pelée et bouillie, 2 courgettes vertes - râpées, 1 cuillère à soupe de flocons de piment rouge, 1 cuillère à soupe d'origan séché, 1 cuillère à soupe de feuilles de thym séchées, 1 cuillère à soupe de poudre de poivre noir, 1/4 tasse de fromage cheddar - râpé, 1/2 tasse de chapelure de blé entier - chapelure, sel - au goût</t>
  </si>
  <si>
    <t>3 Potatoes (Aloo) - skin peeled and boiled,2 Green zucchini - grated,1 tablespoon Red Chilli flakes,1 tablespoon Dried oregano,1 tablespoon Dried Thyme Leaves,1 tablespoon Black pepper powder,1/4 cup Cheddar cheese - grated,1/2 cup Whole Wheat Bread crumbs - bread crumbs,Salt - to taste</t>
  </si>
  <si>
    <t>3 papas (Aloo) - peladas y hervidas, 2 calabacines verdes - rallados, 1 cucharada de hojuelas de chile rojo, 1 cucharada de orégano seco, 1 cucharada de hojas de tomillo secas, 1 cucharada de pimienta negra en polvo, 1/4 taza de queso cheddar - rallado, 1/2 taza de pan rallado integral - pan rallado, sal - al gusto</t>
  </si>
  <si>
    <t xml:space="preserve">To begin making the Zucchini Tater Tots Recipe, pressure cook the potatoes in a pressure cooker with 1/4 cup of water and cook it for at least 4 whistles.Allow the pressure to release naturally. Peel the skin of the potatoes, mash them and keep aside in a mixing bowl.Grate the zucchini and keep aside, heat a flat skillet add in grated zucchini and saute for at least 5 minutes until the moisture has evaporated.Once done add the zucchini into a bowl with mashed potatoes, sprinkle all the seasonings, (dry red chilli powder, oregano, thyme, pepper powder and salt to taste).Add in grated cheese as well and mix well till the Zucchini Tater Tots mixture comes together. Taste and see if you require any more seasonings.Start shaping them into a small rectangular shaped cutlets, coat Zucchini Tater Tots mixture evenly with bread crumbs and set aside to pan fry them.Heat a flat skillet over medium heat, place the shaped Zucchini Tater Tots on to the hot pan. Drizzle a few drops of oil over the Zucchini Tater Tots mixture and pan fry on either side till you notice a golden brown colour.The Tots will slowly crisp up and get a golden colour on all sides.Once done, remove the Zucchini Tater Tots from the pan, drain the excess oil by placing them on paper towels and transfer it to serving platter and serve hot.Serve the Zucchini Tater Tots Recipe along with a Cottage Cheese Dip Recipe With Pepper and Olives, and a Vegetarian Wrap With Olives And Cottage Cheese and serve it as an appetizer for parties.
</t>
  </si>
  <si>
    <t>Para comenzar a hacer la Receta de Tater Tots de Calabacín, cocine a presión las papas en una olla a presión con 1/4 de taza de agua y cocínelas durante al menos 4 silbidos. Deje que la presión se libere naturalmente. Pele la piel de las papas, tritúrelas y resérvelas en un tazón. Ralle el calabacín y resérvelo, caliente una sartén plana, agregue el calabacín rallado y saltee durante al menos 5 minutos hasta que la humedad se haya evaporado. Una vez hecho esto, agregue el calabacín a un tazón con puré de papas, espolvoree todos los condimentos (chile rojo seco en polvo, orégano, tomillo, pimienta en polvo y sal al gusto). Agregue queso rallado también y mezcle bien hasta que la mezcla de Tater Tots de Calabacín se una. Prueba y ve si necesitas más condimentos. Empieza a darles forma de pequeñas chuletas rectangulares, cubre la mezcla de Tater Tots de calabacín uniformemente con pan rallado y reserva para freírlos en la sartén. Calienta una sartén plana a fuego medio, coloca los Tater Tots de calabacín formados en la sartén caliente. Rocía unas gotas de aceite sobre la mezcla de Tater Tots de calabacín y fríelos en la sartén por cada lado hasta que notes un color marrón dorado. Los Tots se dorarán lentamente y adquirirán un color dorado por todos lados. Una vez listo, retira los Tater Tots de calabacín de la sartén, escurre el exceso de aceite colocándolos sobre toallas de papel y transfiérelos a una fuente para servir y sirve calientes. Sirve la Receta de Tater Tots de calabacín junto con una Receta de Dip de Queso Cottage con Pimienta y Aceitunas, y un Wrap Vegetariano con Aceitunas y Queso Cottage y sírvelo como aperitivo para fiestas.</t>
  </si>
  <si>
    <t>Pour commencer à préparer la recette des Zucchini Tater Tots, faites cuire les pommes de terre sous pression dans un autocuiseur avec 1/4 tasse d'eau et faites-les cuire pendant au moins 4 sifflements. Laissez la pression se relâcher naturellement. Pelez la peau des pommes de terre, écrasez-les et réservez-les dans un bol à mélanger. Râpez les courgettes et réservez-les, faites chauffer une poêle plate, ajoutez les courgettes râpées et faites sauter pendant au moins 5 minutes jusqu'à ce que l'humidité se soit évaporée. Une fois terminé, ajoutez les courgettes dans un bol avec la purée de pommes de terre, saupoudrez tous les assaisonnements (poudre de piment rouge sec, origan, thym, poudre de poivre et sel au goût). Ajoutez également le fromage râpé et mélangez bien jusqu'à ce que le mélange de Zucchini Tater Tots se forme. Goûtez et voyez si vous avez besoin d'assaisonnements supplémentaires. Commencez à les façonner en petites escalopes rectangulaires, enrobez uniformément le mélange de croquettes de courgettes de chapelure et réservez pour les faire frire à la poêle. Faites chauffer une poêle plate à feu moyen, placez les croquettes de courgettes façonnées sur la poêle chaude. Versez quelques gouttes d'huile sur le mélange de croquettes de courgettes et faites-les frire de chaque côté jusqu'à ce que vous remarquiez une couleur brun doré. Les croquettes deviendront lentement croustillantes et dorées de tous les côtés. Une fois cuites, retirez les croquettes de courgettes de la poêle, égouttez l'excédent d'huile en les plaçant sur du papier absorbant, transférez-les dans un plat de service et servez chaud. Servez la recette de croquettes de courgettes avec une recette de trempette au fromage cottage au poivre et aux olives, et un wrap végétarien aux olives et au fromage cottage et servez-la en apéritif pour les fêtes.</t>
  </si>
  <si>
    <t>http://www.archanaskitchen.com/zucchini-tater-tots-recipe-a-delicious-party-appetizer</t>
  </si>
  <si>
    <t>Pear And Walnut Salad Recipe</t>
  </si>
  <si>
    <t>Rezept für Birnen-Walnuss-Salat</t>
  </si>
  <si>
    <t>Recette de salade de poires et de noix</t>
  </si>
  <si>
    <t>Receta de ensalada de pera y nueces</t>
  </si>
  <si>
    <t xml:space="preserve">To begin making the Pear And Walnut Salad Recipe, first dry roast the walnuts in a pan or skillet for few seconds. Once the walnuts have become lightly crisp, turn off the heat and keep it aside.Tear the lettuce leaves into bite size pieces and keep aside.To prepare the dressing for the salad, in a small bowl whisk together olive oil, lemon juice, dijon mustard, tarragon leaves, salt and red chili.Next in a salad mixing bowl add the lettuce, diced cucumber, sliced pear. Pour the dressing and gently toss the salad in the dressing. Season with salt and pepper to taste. Finally toasted walnuts to the salad. Gently toss the salad.  Check the salt and seasonings and adjust to suit your taste.Serve Pear And Walnut Salad for the light weekday lunch or the summer healthy supper along with Spinach And Soya Sub (Sandwich) immediately after tossing in the dressing. If the salad is not consumed immediately the lettuce leaves and the walnuts will become soggy.
</t>
  </si>
  <si>
    <t>Para comenzar a hacer la Receta de Ensalada de Pera y Nueces, primero tuesta las nueces en una sartén o sartén durante unos segundos. Una vez que las nueces estén ligeramente crujientes, apaga el fuego y déjalo a un lado. Corta las hojas de lechuga en trozos pequeños y déjalas a un lado. Para preparar el aderezo para la ensalada, en un tazón pequeño, mezcla el aceite de oliva, el jugo de limón, la mostaza Dijon, las hojas de estragón, la sal y el chile rojo. Luego, en un tazón para mezclar ensaladas, agrega la lechuga, el pepino cortado en cubitos y la pera en rodajas. Vierte el aderezo y mezcla suavemente la ensalada con el aderezo. Sazona con sal y pimienta al gusto. Finalmente, tuesta las nueces en la ensalada. Mezcla suavemente la ensalada. Revisa la sal y los condimentos y ajústalos a tu gusto. Sirve la Ensalada de Pera y Nueces para el almuerzo ligero de entre semana o la cena saludable de verano junto con el Sub (Sándwich) de Espinacas y Soja inmediatamente después de mezclar el aderezo. Si la ensalada no se consume inmediatamente, las hojas de lechuga y las nueces quedarán blandas.</t>
  </si>
  <si>
    <t>Pour commencer à préparer la recette de salade de poires et de noix, faites d'abord griller à sec les noix dans une poêle ou une poêle pendant quelques secondes. Une fois que les noix sont devenues légèrement croustillantes, éteignez le feu et réservez. Déchirez les feuilles de laitue en morceaux de la taille d'une bouchée et réservez. Pour préparer la vinaigrette pour la salade, dans un petit bol, fouettez ensemble l'huile d'olive, le jus de citron, la moutarde de Dijon, les feuilles d'estragon, le sel et le piment rouge. Ensuite, dans un saladier, ajoutez la laitue, le concombre en dés et la poire en tranches. Versez la vinaigrette et mélangez délicatement la salade dans la vinaigrette. Assaisonnez avec du sel et du poivre au goût. Enfin, ajoutez les noix grillées à la salade. Mélangez délicatement la salade. Vérifiez le sel et les assaisonnements et ajustez à votre goût. Servez la salade de poires et de noix pour le déjeuner léger en semaine ou le souper sain d'été avec un sandwich aux épinards et au soja immédiatement après avoir ajouté la vinaigrette. Si la salade n'est pas consommée immédiatement, les feuilles de laitue et les noix deviendront molles.</t>
  </si>
  <si>
    <t>https://www.archanaskitchen.com/pear-and-walnut-salad-recipe</t>
  </si>
  <si>
    <t>Papaya Orange Pomegranate Salad Recipe With Roasted Peanuts</t>
  </si>
  <si>
    <t>Papaya-Orangen-Granatapfel-Salat-Rezept mit gerösteten Erdnüssen</t>
  </si>
  <si>
    <t>Recette de salade de papaye, d'orange et de grenade avec des cacahuètes grillées</t>
  </si>
  <si>
    <t>Receta de ensalada de papaya, naranja y granada con cacahuetes tostados</t>
  </si>
  <si>
    <t>1 tasse de papaye - pelée et coupée en morceaux, 1/4 tasse de noyaux de grenade frais, 2 oranges - pelées et coupées en dés, 1 concombre - pelé et coupé en dés ou haché, 1 cuillère à café de miel, sel et poivre - au goût, 2 cuillères à café de jus de citron - (ajouter plus si nécessaire), 1/4 tasse de cacahuètes grillées (Moongphali) - écrasées ou entières ou coupées en deux, poudre de Chaat Masala - (facultatif)</t>
  </si>
  <si>
    <t>1 cup Papaya - peeled and diced into chunks,1/4 cup Fresh Pomegranate Fruit Kernels,2 Oranges - peeled and diced,1 Cucumber - peeled and diced or chopped,1 teaspoon Honey,Salt and Pepper - to taste,2 teaspoons Lemon juice - (add more if needed),1/4 cup Roasted Peanuts (Moongphali) - crushed or whole or halved,Chaat Masala Powder - (optional)</t>
  </si>
  <si>
    <t>1 taza de papaya, pelada y cortada en trozos, 1/4 taza de semillas de granada fresca, 2 naranjas, peladas y cortadas en cubitos, 1 pepino, pelado y cortado en cubitos o picado, 1 cucharadita de miel, sal y pimienta (al gusto), 2 cucharaditas de jugo de limón (agregue más si es necesario), 1/4 taza de maní tostado (Moongphali), triturado, entero o cortado por la mitad, polvo de Chaat Masala (opcional)</t>
  </si>
  <si>
    <t xml:space="preserve">To begin making Papaya Orange Pomegranate Salad Recipe With Roasted Peanuts, we will first prepare the fruits and keep them ready.In a large bowl add all the ingredients listed and give it a toss with a your fingers. Add the chaat masala if needed.Check for the salt levels, add chaat masala if you like and serve the fruit salad immediately.Serve Papaya Orange Pomegranate Salad Recipe With Roasted Peanuts as a snack or as a light lunch or dinner along with Light And Healthy Spinach Soup Recipe and Garlic Bread With Herb Butter Recipe.
</t>
  </si>
  <si>
    <t>Para empezar a preparar la ensalada de papaya, naranja y granada con cacahuetes tostados, primero prepararemos las frutas y las tendremos listas. En un bol grande, añadir todos los ingredientes mencionados y mezclar bien. Añadir el chaat masala si es necesario. Verificar el punto de sal, añadir chaat masala si se desea y servir la ensalada de frutas inmediatamente. Servir la ensalada de papaya, naranja y granada con cacahuetes tostados como tentempié, almuerzo o cena ligera junto con la sopa de espinacas ligera y saludable y el pan de ajo con mantequilla de hierbas.</t>
  </si>
  <si>
    <t>Pour commencer à préparer la salade de papaye, orange et grenade aux cacahuètes grillées, nous allons d'abord préparer les fruits et les garder prêts. Dans un grand bol, ajoutez tous les ingrédients listés et mélangez avec les doigts. Ajoutez le chaat masala si nécessaire. Vérifiez la teneur en sel, ajoutez du chaat masala si vous le souhaitez et servez la salade de fruits immédiatement. Servez la salade de papaye, orange et grenade aux cacahuètes grillées en collation, pour un déjeuner ou un dîner léger, accompagnée de la soupe aux épinards légère et saine et du pain à l'ail au beurre aux herbes.</t>
  </si>
  <si>
    <t>https://www.archanaskitchen.com/papaya-orange-pomegranate-salad-recipe-with-roasted-peanuts</t>
  </si>
  <si>
    <t>Chocolate Tart Recipe</t>
  </si>
  <si>
    <t>Rezept für Schokoladentorte</t>
  </si>
  <si>
    <t>Recette de gâteau au chocolat</t>
  </si>
  <si>
    <t>Receta de pastel de chocolate</t>
  </si>
  <si>
    <t>2 tasses de farine tout usage (Maida) - plus pour saupoudrer, 3 cuillères à soupe de sucre, 1/4 cuillère à café de sel, 3/4 tasse de beurre (non salé) - froid et coupé en morceaux de la taille d'un petit pois, 2 cuillères à soupe d'eau - à température glacée plus si nécessaire, 1 tasse de crème à fouetter épaisse - (j'ai utilisé de la crème amul en Inde), 1/2 tasse de lait, 300 grammes de chocolat noir - haché (j'ai utilisé du Bournville), 2 cuillères à soupe de sucre, 1/4 cuillère à café de sel, 2 œufs entiers - à température ambiante</t>
  </si>
  <si>
    <t>2 cups All Purpose Flour (Maida) - plus more for dusting,3 tablespoons Sugar,1/4 teaspoon Salt,3/4 cup Butter (unsalted) - cold and cut into pea size pieces,2 tablespoons Water - temperature to be at ice cold plus more if needed,1 cup Heavy whipping cream - (I used amul cream in india),1/2 cup Milk,300 grams Dark chocolate - chopped (I used bournville),2 tablespoons Sugar,1/4 teaspoon Salt,2 Whole Eggs - at room temperature</t>
  </si>
  <si>
    <t>2 tazas de harina para todo uso (Maida) - más para espolvorear, 3 cucharadas de azúcar, 1/4 cucharadita de sal, 3/4 taza de mantequilla (sin sal) - fría y cortada en trozos del tamaño de un guisante, 2 cucharadas de agua - temperatura para estar helada más si es necesario, 1 taza de crema batida espesa - (usé crema amul en la India), 1/2 taza de leche, 300 gramos de chocolate negro - picado (usé bournville), 2 cucharadas de azúcar, 1/4 cucharadita de sal, 2 huevos enteros - a temperatura ambiente</t>
  </si>
  <si>
    <t xml:space="preserve">We begin making the Chocolate Tart Recipe by following the below procedures:Method for making the tart crustIn a large mixing bowl; combine the flour, sugar, and salt. Add the butter and mix the butter into the flour with your fingers until the mixture resembles coarse crumbs. Add in a tablespoon of ice water at a time and knead to bring the flour together.Knead to form a firm dough that is firm and does not break apart when you try to press it. Make sure you only add a tablespoon of water at a time, as the warmth of your hand will help bring the flour together to form a dough. Wrap the pastry crust dough in cling wrap and refrigerate for at least 30 minutes.After 30 minutes, roll out the pastry dough on a lightly floured surface. Roll it out to make a circle of 12 inch diameter that is about 1/4 inch thick. Lift the dough carefully from the floured surface and place it in a 9 inch tart pan with a removable base.Press the dough into the pan so it fits tightly; press the edges into the sides of the pan. It is important to press the dough evenly into every nook and corner of the pan's ring. Remove the excess dough that is hanging off the sides of the pan. Place the tart crust in the freezer for atleast another 15 minutes. This process of chilling the crust, helps make the crust flaky when baked.Prebaking the Tart CrustPreheat the oven to 180 C. Once the oven is preheated, Prick the chilled tart crust with a fork, so it does not puff up while in the oven. Cover the tart crust with foil, place pie weights or beans on the crust and prebake the crust for about 25 minutes. The tart will look golden brown but not completely baked. Remove the tart crust from the oven and allow the oven to be on at 180C.Remove the foil and pie weights/ beans and keep the crust aside while we prepare the filling.Method for Chocolate FillingWhisk the eggs in a bowl until light and flully. Keep aside.To make the chocolate filling for the tart, place the heavy cream and milk in a sauce pan over medium heat, add in the chopped chocolate and keep stirring on low heat till you see the chocolate melting half way through. Turn off the heat and proceed to melt the chocolate into the milk and cream mixture in the existing heat. Add in the sugar and salt and whisk the chocolate cream mixture until well combined.Next add in the whisked eggs into the chocolate cream mixture and whisk it in well until well combined. The chocolate cream filling mixture is now ready to be poured into the tart crust.Pour the filling into the tart crust and place it back into the oven and bake for about 15 minutes until the filling is set and the surface is glossy. If you see any bubbles or cracks forming on the surface, take the tart out right away as this indicates that the tart is getting overbaked.Keep monitoring the Chocolate Tart while its in the oven, as the baking times differ from oven to oven. It is important to monitor so you don't over bake the chocolate.Remove the Chocolate Tart from the oven, and allow it to cool completely. Refrigerate the Chocolate Tart for about 8 hours until set and serve it along with fresh fruits, like strawberries.Serve the Chocolate Tart Recipe as a Dessert for a Get together Party to amuse your guest.
</t>
  </si>
  <si>
    <t>Comenzamos a hacer la Receta de tarta de chocolate siguiendo los siguientes procedimientos: Método para hacer la corteza de la tarta En un tazón grande, combine la harina, el azúcar y la sal. Agregue la mantequilla y mezcle la mantequilla con la harina con los dedos hasta que la mezcla parezca migas gruesas. Agregue una cucharada de agua helada a la vez y amase para unir la harina. Amase para formar una masa firme que no se deshaga cuando intente presionarla. Asegúrese de agregar solo una cucharada de agua a la vez, ya que el calor de su mano ayudará a unir la harina para formar una masa. Envuelva la masa de la corteza de hojaldre en film transparente y refrigere durante al menos 30 minutos. Después de 30 minutos, extienda la masa de hojaldre sobre una superficie ligeramente enharinada. Estírela para hacer un círculo de 12 pulgadas de diámetro que tenga aproximadamente 1/4 de pulgada de grosor. Levante la masa con cuidado de la superficie enharinada y colóquela en un molde para tarta de 9 pulgadas con una base removible. Presione la masa en el molde para que encaje bien; Presiona los bordes contra los lados del molde. Es importante presionar la masa uniformemente en cada rincón del aro del molde. Retira el exceso de masa que sobresale de los lados. Coloca la base de tarta en el congelador durante al menos 15 minutos más. Este proceso de enfriamiento ayuda a que la base quede hojaldrada al hornearse. Precocción de la base de tarta: Precalienta el horno a 180 °C. Una vez precalentado, pincha la base de tarta fría con un tenedor para que no se hinche. Cubre la base con papel aluminio, coloca pesas o frijoles sobre ella y precocina durante unos 25 minutos. La tarta se verá dorada, pero no completamente horneada. Retira la base del horno y deja que el horno esté encendido a 180 °C. Retira el papel aluminio y las pesas o frijoles y reserva la base mientras preparamos el relleno. Preparación del relleno de chocolate: Bate los huevos en un bol hasta que la masa esté ligera y esponjosa. Reserva. Para preparar el relleno de chocolate para la tarta, coloca la nata espesa y la leche en una cacerola a fuego medio, añade el chocolate picado y sigue removiendo a fuego lento hasta que veas que el chocolate se derrite a la mitad. Apaga el fuego y procede a derretir el chocolate en la mezcla de leche y nata con el calor existente. Añade el azúcar y la sal y bate la mezcla de crema de chocolate hasta que esté bien combinada. A continuación, añade los huevos batidos a la mezcla de crema de chocolate y bate bien hasta que esté bien combinada. La mezcla de relleno de crema de chocolate ya está lista para ser vertida en la corteza de la tarta. Vierte el relleno en la corteza de la tarta y vuelve a colocarla en el horno y hornea durante unos 15 minutos hasta que el relleno esté cuajado y la superficie esté brillante. Si ves que se forman burbujas o grietas en la superficie, saca la tarta de inmediato, ya que esto indica que se está horneando demasiado. Sigue supervisando la tarta de chocolate mientras está en el horno, ya que los tiempos de horneado varían de un horno a otro. Es importante vigilar que el chocolate no se hornee demasiado. Retira la tarta de chocolate del horno y déjala enfriar por completo. Refrigera la tarta de chocolate durante unas 8 horas hasta que cuaje y sírvela acompañada de frutas frescas, como fresas. Sirve la receta de tarta de chocolate como postre en una fiesta para divertir a tus invitados.</t>
  </si>
  <si>
    <t>Nous commençons à préparer la recette de tarte au chocolat en suivant les procédures ci-dessous : Méthode de préparation de la croûte de tarte Dans un grand saladier, mélanger la farine, le sucre et le sel. Ajouter le beurre et mélanger le beurre à la farine avec les doigts jusqu'à ce que le mélange ressemble à de la chapelure grossière. Ajouter une cuillère à soupe d'eau glacée à la fois et pétrir pour rassembler la farine. Pétrir pour former une pâte ferme qui ne se brise pas lorsque vous essayez de la presser. Assurez-vous de n'ajouter qu'une cuillère à soupe d'eau à la fois, car la chaleur de votre main aidera à rassembler la farine pour former une pâte. Envelopper la pâte à tarte dans du film alimentaire et réfrigérer pendant au moins 30 minutes. Après 30 minutes, étaler la pâte sur une surface légèrement farinée. L'étaler pour former un cercle de 12 pouces de diamètre et d'environ 1/4 de pouce d'épaisseur. Soulever délicatement la pâte de la surface farinée et la placer dans un moule à tarte de 9 pouces avec un fond amovible. Presser la pâte dans le moule pour qu'elle s'adapte bien ; Presser les bords contre les parois du moule. Il est important de bien tasser la pâte dans tous les recoins du cercle. Retirer l'excédent de pâte qui dépasse. Placer la pâte au congélateur pendant au moins 15 minutes supplémentaires. Ce refroidissement permet de la rendre feuilletée à la cuisson. Précuire la pâte : Préchauffer le four à 180 °C. Une fois le four préchauffé, piquer la pâte refroidie à la fourchette pour éviter qu'elle ne gonfle. Recouvrir la pâte de papier aluminium, y placer des poids ou des haricots et la précuire pendant environ 25 minutes. La tarte sera dorée, mais pas complètement cuite. Retirer la pâte du four et laisser chauffer à 180 °C. Retirer le papier aluminium et les poids/haricots et réserver la pâte pendant la préparation de la garniture. Préparation : Fouetter les œufs dans un saladier jusqu'à ce qu'ils soient légers et onctueux. Réservez. Pour préparer la garniture au chocolat de la tarte, versez la crème épaisse et le lait dans une casserole sur feu moyen. Ajoutez le chocolat haché et continuez à remuer à feu doux jusqu'à ce que le chocolat fonde à moitié. Éteignez le feu et faites fondre le chocolat dans le mélange lait-crème, à feu moyen. Ajoutez le sucre et le sel, puis fouettez le mélange de crème au chocolat jusqu'à ce qu'il soit bien mélangé. Ajoutez ensuite les œufs battus au mélange de crème au chocolat et fouettez bien jusqu'à ce que le mélange soit homogène. La garniture est prête à être versée dans le fond de tarte. Versez la garniture dans le fond de tarte, remettez au four et faites cuire environ 15 minutes, jusqu'à ce que la garniture soit prise et la surface brillante. Si vous voyez des bulles ou des fissures se former à la surface, sortez immédiatement la tarte, car cela indique qu'elle est trop cuite. Surveillez la cuisson de la tarte au chocolat pendant qu'elle est au four, car les temps de cuisson varient d'un four à l'autre. Il est important de surveiller la cuisson du chocolat afin de ne pas le faire trop cuire. Retirez la tarte au chocolat du four et laissez-la refroidir complètement. Réfrigérez la tarte au chocolat pendant environ 8 heures jusqu'à ce qu'elle soit prise et servez-la avec des fruits frais, comme des fraises. Servez la recette de tarte au chocolat en dessert pour une fête entre amis afin de divertir vos invités.</t>
  </si>
  <si>
    <t>http://www.archanaskitchen.com/chocolate-tart-recipe</t>
  </si>
  <si>
    <t>Four Cheese and Spinach Stuffed Mushrooms Recipe</t>
  </si>
  <si>
    <t>Rezept für mit vier Käsesorten und Spinat gefüllte Champignons</t>
  </si>
  <si>
    <t>Recette de champignons farcis aux quatre fromages et aux épinards</t>
  </si>
  <si>
    <t>Receta de champiñones rellenos de cuatro quesos y espinacas</t>
  </si>
  <si>
    <t>12 champignons de Paris (variété de Paris ou de Crimini), 2 cuillères à café d'huile d'olive extra vierge (pour la cuisson), 1/2 tasse d'oignons (finement hachés), 2 cuillères à soupe d'ail (finement râpé), 2 tasses de feuilles d'épinards (Palak) (grossièrement hachées), 1/2 cuillère à café de poivre blanc en poudre, 1/4 cuillère à café de feuilles de persil, 1/2 cuillère à café de feuilles de basilic, 1/2 cuillère à café de poivre noir en poudre, 1/4 cuillère à café de sel, 1/2 cuillère à café de poudre d'ail, 2 cuillères à café de parmesan (râpé, à teneur réduite en matières grasses), 1/2 tasse de mascarpone, 1/4 tasse de fromage à la crème Britannia (à teneur réduite en matières grasses ou sans matières grasses), 2 cuillères à soupe de mozzarella (râpée, partiellement écrémée)</t>
  </si>
  <si>
    <t>12 Button mushrooms - (button or crimini variety),2 teaspoon Extra Virgin Olive Oil - for cooking,1/2 cup Onions - finely chopped,2 tablespoon Garlic - finely grated,2 cup Spinach Leaves (Palak) - roughly chopped,1/2 teaspoon White pepper powder,1/4 teaspoon Parsley leaves,1/2 teaspoon Basil leaves,1/2 teaspoon Black pepper powder,1/4 teaspoon Salt,1/2 teaspoon Garlic powder,2 teaspoon Parmesan cheese - grated  (reduced fat),1/2 cup Mascarpone Cheese,1/4 cup Britannia Cream Cheese - (reduced fat or fat free),2 tablespoon Mozzarella cheese - shredded (part-skimmed)</t>
  </si>
  <si>
    <t>12 champiñones (variedad botón o crimini), 2 cucharaditas de aceite de oliva virgen extra (para cocinar), 1/2 taza de cebollas finamente picadas, 2 cucharadas de ajo finamente rallado, 2 tazas de hojas de espinaca (Palak) picadas gruesamente, 1/2 cucharadita de pimienta blanca en polvo, 1/4 cucharadita de hojas de perejil, 1/2 cucharadita de hojas de albahaca, 1/2 cucharadita de pimienta negra en polvo, 1/4 cucharadita de sal, 1/2 cucharadita de ajo en polvo, 2 cucharaditas de queso parmesano rallado (bajo en grasa), 1/2 taza de queso mascarpone, 1/4 taza de queso crema Britannia (bajo en grasa o sin grasa), 2 cucharadas de queso mozzarella rallado (parcialmente descremado)</t>
  </si>
  <si>
    <t xml:space="preserve">To prepare Four Cheese and Spinach Stuffed Mushrooms, preheat Oven to 375 degrees Fahrenheit.Grease a Baking sheet with cooking oil spray. Keep it aside.Gently remove the stems of the mushrooms.Keep the caps and the stems separately aside. Wash and clean the caps. Pat it dry with kitchen paper towel.Arrange it on the greased baking sheet, rounded side down.Bake in the preheated oven for 12-14 minutes.Finely chop the mushrooms stems.Heat a pan and add 2 teaspoon oil into it.When the oil is hot, add the onions, chopped stems and garlic.Stir fry on medium high heat till the onions and the mushrooms become soft. Mushrooms contain moisture; hence they are cooked at medium high heat to lose the water content.Add the spinach leaves and the white pepper powder into the pan.Mix and stir fry until the spinach leaves are wilted. Turn off the heat. Allow the mixture to cool for 3-4 minutes.In a separate bowl, combine mascarpone cheese, cream cheese, mozzarella cheese, parsley, basil, black pepper, and salt.Whisk by hand till it forms a smooth creamy mixture.Add in the vegetable mixture. Stir and mix well.In another separate bowl, mix the parmesan cheese with garlic powder. Keep it aside.Take out the baked mushrooms and allow it to cool. Keep the oven preheated for cooking later.Remove any water or moisture inside and outside the mushroom caps using kitchen paper towel. The mushrooms caps should be absolutely dry.Fill the mushroom caps with generous amount of cheese-veggie mixture such that they are piled even on top of the mushroom caps. Sprinkle the parmesan garlic mixture over the stuffed mushroom caps.Arrange these creamy cheese spinach stuffed mushrooms on a greased baking sheet and bake in the preheated oven for 8-10 minutes until the topping begins to brown.Take it out and allow them to cool slightly.Serve these Four Cheese and Spinach Stuffed Mushrooms along with other appetizers like Baked Potato Thyme Rolls Recipe and a bread Whole Wheat Bread Recipe With Oatmeal And Flaxseeds on side during tea time or serve it alone as an appetizers.
</t>
  </si>
  <si>
    <t>Para preparar los champiñones rellenos de cuatro quesos y espinacas, precaliente el horno a 190 °C. Engrase una bandeja para hornear con aceite en aerosol. Resérvela. Retire con cuidado los tallos de los champiñones. Guarde los sombreros y los tallos por separado. Lave y limpie los sombreros. Séquelos con papel absorbente. Colóquelos en la bandeja para hornear engrasada, con el redondeo hacia abajo. Hornee en el horno precalentado durante 12-14 minutos. Pique finamente los tallos de los champiñones. Caliente una sartén y agregue 2 cucharaditas de aceite. Cuando el aceite esté caliente, agregue la cebolla, los tallos picados y el ajo. Saltee a fuego medio-alto hasta que la cebolla y los champiñones se ablanden. Los champiñones contienen humedad; por lo tanto, se cocinan a fuego medio-alto para que pierdan el agua. Agregue las hojas de espinaca y la pimienta blanca en polvo a la sartén. Mezcle y saltee hasta que las hojas de espinaca se ablanden. Apague el fuego. Deja enfriar la mezcla de 3 a 4 minutos. En un recipiente aparte, combina el queso mascarpone, el queso crema, el queso mozzarella, el perejil, la albahaca, la pimienta negra y la sal. Bate a mano hasta obtener una mezcla suave y cremosa. Incorpora la mezcla de verduras. Remueve y mezcla bien. En otro recipiente aparte, mezcla el queso parmesano con el ajo en polvo. Reserva. Retira los champiñones horneados y deja que se enfríen. Mantén el horno precalentado para cocinarlos más tarde. Retira el agua y la humedad del interior y el exterior de los sombreros de los champiñones con papel absorbente. Los sombreros de los champiñones deben estar completamente secos. Rellena los sombreros de los champiñones con una cantidad generosa de la mezcla de queso y verduras, de modo que queden apilados uniformemente sobre ellos. Espolvorea la mezcla de parmesano y ajo sobre las tapas de los champiñones rellenos. Coloca estos champiñones rellenos de espinacas y queso cremoso en una bandeja para hornear engrasada y hornea en el horno precalentado durante 8 a 10 minutos hasta que la cobertura comience a dorarse. Sácalos y déjalos enfriar un poco. Sirve estos champiñones rellenos de espinacas y cuatro quesos junto con otros aperitivos como la receta de rollitos de tomillo y papa al horno y un pan a un lado durante la hora del té o sírvelos solos como aperitivo.</t>
  </si>
  <si>
    <t>Pour préparer les champignons farcis aux quatre fromages et aux épinards, préchauffez le four à 190 °C. Graissez une plaque de cuisson avec un spray d'huile de cuisson. Réservez-la. Retirez délicatement les pieds des champignons. Réservez les chapeaux et les pieds séparément. Lavez et nettoyez les chapeaux. Séchez-les avec du papier absorbant. Disposez-les sur la plaque de cuisson graissée, côté bombé vers le bas. Enfournez au four préchauffé pendant 12 à 14 minutes. Hachez finement les pieds des champignons. Faites chauffer une poêle et ajoutez 2 cuillères à café d'huile. Lorsque l'huile est chaude, ajoutez les oignons, les pieds hachés et l'ail. Faites sauter à feu moyen-vif jusqu'à ce que les oignons et les champignons soient tendres. Les champignons contiennent de l'eau ; il est donc préférable de les cuire à feu moyen-vif pour les faire fondre. Ajoutez les feuilles d'épinards et le poivre blanc en poudre dans la poêle. Mélangez et faites sauter jusqu'à ce que les feuilles d'épinards soient fanées. Éteignez le feu. Laisser refroidir le mélange 3 à 4 minutes. Dans un autre bol, mélanger le mascarpone, le fromage frais, la mozzarella, le persil, le basilic, le poivre noir et le sel. Fouetter à la main jusqu'à obtenir une consistance lisse et crémeuse. Ajouter le mélange de légumes. Bien mélanger. Dans un autre bol, mélanger le parmesan et l'ail en poudre. Réserver. Sortir les champignons cuits et les laisser refroidir. Garder le four préchauffé pour une cuisson ultérieure. Retirer l'eau et l'humidité à l'intérieur et à l'extérieur des chapeaux de champignons à l'aide d'essuie-tout. Les chapeaux de champignons doivent être parfaitement secs. Garnir généreusement les chapeaux de champignons du mélange fromage-légumes de manière à ce qu'ils soient bien répartis sur les chapeaux. Saupoudrez le mélange de parmesan et d'ail sur les chapeaux de champignons farcis. Disposez ces champignons farcis au fromage crémeux et aux épinards sur une plaque à pâtisserie graissée et faites-les cuire au four préchauffé pendant 8 à 10 minutes jusqu'à ce que la garniture commence à dorer. Sortez-les et laissez-les refroidir légèrement. Servez ces champignons farcis aux quatre fromages et aux épinards avec d'autres entrées comme la recette de rouleaux de pommes de terre au four et au thym et un pain à côté pendant l'heure du thé ou servez-le seul en entrée.</t>
  </si>
  <si>
    <t>https://www.archanaskitchen.com/four-cheese-and-spinach-stuffed-mushrooms-recipe</t>
  </si>
  <si>
    <t>Roasted Vegetable Pasta Primavera Recipe</t>
  </si>
  <si>
    <t>Rezept für geröstete Gemüsepasta Primavera</t>
  </si>
  <si>
    <t>Recette de pâtes aux légumes rôtis Primavera</t>
  </si>
  <si>
    <t>Receta de pasta con verduras asadas Primavera</t>
  </si>
  <si>
    <t>https://www.archanaskitchen.com/weekly-lunch-box-recipes-ideas-from-grilled-sandwich-rava-rotti-to-chickpea-crepe-with-salad-and-chutney-and-more</t>
  </si>
  <si>
    <t>Spinach And Corn Sandwich Recipe Flavored With Sandwich Spread</t>
  </si>
  <si>
    <t>Rezept für Spinat-Mais-Sandwich mit Brotaufstrich</t>
  </si>
  <si>
    <t>Recette de sandwich aux épinards et au maïs avec tartinade</t>
  </si>
  <si>
    <t>Receta de sándwich de espinacas y maíz con untable</t>
  </si>
  <si>
    <t>4 pains bruns de blé entier, 2 tasses de feuilles d'épinards (Palak) blanchies, 1/4 tasse de maïs doux cuit à la vapeur, 4 cuillères à soupe de tartinade à sandwich Del Monte, 2 cuillères à soupe de beurre</t>
  </si>
  <si>
    <t>4 Whole Wheat Brown Bread,2 cups Spinach Leaves (Palak) - blanched,1/4 cup Sweet corn - steamed,4 tablespoons Del Monte Sandwich Spread,2 tablespoons Butter</t>
  </si>
  <si>
    <t>4 panes integrales, 2 tazas de hojas de espinaca (Palak) blanqueadas, 1/4 taza de maíz dulce al vapor, 4 cucharadas de pasta para sándwich Del Monte, 2 cucharadas de mantequilla</t>
  </si>
  <si>
    <t xml:space="preserve">To begin making the Spinach And Corn Sandwich Recipe Flavored With Sandwich Spread recipe, wash and add the spinach in a saucepan with some water. Cook for 2 minutes and then switch off the stove. Cool and finely chop the spinach and keep aside.Collect the chopped spinach in a bowl and add corn kernels, 2 tablespoons sandwich spread and mix well.Take a slice of bread, spread 1 tablespoon of del monte sandwich spread all over and place spinach mix generously all over the slice.Take another slice and place over. Keep aside and make another sandwich from rest of the two slices.Heat a grill pan or a grill sandwich maker with butter. Place the prepared sandwich and grill from both sides till crisp and golden in colour.Transfer on a serving plate, cut into two diagonally and serve hot. Serve Spinach And Corn Sandwich Recipe Flavored With Sandwich Spread along with Tomato Garlic Chutney for the breakfast and a cup of Masala Chai.
</t>
  </si>
  <si>
    <t>Para empezar a preparar la receta de Sándwich de Espinacas y Maíz con Sabor a Sándwich de Untable, lava y añade las espinacas a una cacerola con un poco de agua. Cocina durante 2 minutos y luego apaga el fuego. Enfría y pica finamente las espinacas y reserva. Reúne las espinacas picadas en un bol y añade los granos de maíz, 2 cucharadas de untable y mezcla bien. Toma una rebanada de pan, unta 1 cucharada de untable del monte por encima y coloca la mezcla de espinacas generosamente por toda la rebanada. Toma otra rebanada y colócala encima. Reserva y haz otro sándwich con el resto de las dos rebanadas. Calienta una sartén grill o una sandwichera grill con mantequilla. Coloca el sándwich preparado y ásalo por ambos lados hasta que esté crujiente y dorado. Transfiere a un plato para servir, córtalo en dos en diagonal y sirve caliente. Sirve la Receta de Sándwich de Espinacas y Maíz con Sabor a Sándwich de Untable junto con Chutney de Tomate y Ajo para el desayuno y una taza de Masala Chai.</t>
  </si>
  <si>
    <t>Pour commencer à préparer le sandwich aux épinards et au maïs aromatisé à la pâte à tartiner, lavez les épinards et ajoutez-les dans une casserole avec un peu d'eau. Faites cuire 2 minutes, puis éteignez le feu. Laissez refroidir, hachez finement les épinards et réservez. Récupérez les épinards hachés dans un bol, ajoutez les grains de maïs et 2 cuillères à soupe de pâte à tartiner. Mélangez bien. Prenez une tranche de pain, étalez 1 cuillère à soupe de pâte à tartiner Del Monte et disposez généreusement le mélange d'épinards sur la tranche. Prenez une autre tranche et placez-la par-dessus. Réservez et préparez un autre sandwich avec les deux autres tranches. Faites chauffer du beurre dans une poêle à griller ou un appareil à sandwich. Placez le sandwich préparé et faites-le griller des deux côtés jusqu'à ce qu'il soit croustillant et doré. Transférez sur une assiette de service, coupez-le en deux en diagonale et servez chaud. Servez le sandwich aux épinards et au maïs aromatisé à la pâte à tartiner avec du chutney à la tomate et à l'ail au petit-déjeuner et une tasse de masala chai.</t>
  </si>
  <si>
    <t>https://www.archanaskitchen.com/spinach-and-corn-sandwich-recipe-flavored-with-sandwich-spread</t>
  </si>
  <si>
    <t>Cold Potato Salad With Cilantro Dressing Recipe</t>
  </si>
  <si>
    <t>Rezept für kalten Kartoffelsalat mit Korianderdressing</t>
  </si>
  <si>
    <t>Recette de salade de pommes de terre froide avec vinaigrette à la coriandre</t>
  </si>
  <si>
    <t>Receta de ensalada fría de papa con aderezo de cilantro</t>
  </si>
  <si>
    <t>600 grammes de pommes de terre grenaille - bouillies et coupées en deux, 1/2 tasse de Hung Curd (yaourt grec), 1 cuillère à soupe de sauce moutarde, feuilles de coriandre (Dhania) - petit bouquet, 1 cuillère à soupe de vinaigre de cidre de pomme, 1 cuillère à soupe d'huile d'olive extra vierge, 1/2 cuillère à café de flocons de piment rouge, sel - au goût</t>
  </si>
  <si>
    <t>600 grams Baby Potatoes - boiled and cut into halves,1/2 cup Hung Curd (Greek Yogurt),1 tablespoon Mustard sauce,Coriander (Dhania) Leaves - small bunch,1 tablespoon Apple cider vinegar,1 tablespoon Extra Virgin Olive Oil,1/2 teaspoon Red Chilli flakes,Salt - to taste</t>
  </si>
  <si>
    <t>600 gramos de papas baby hervidas y cortadas en mitades, 1/2 taza de cuajada Hung (yogur griego), 1 cucharada de salsa de mostaza, hojas de cilantro (Dhania) - manojo pequeño, 1 cucharada de vinagre de sidra de manzana, 1 cucharada de aceite de oliva virgen extra, 1/2 cucharadita de hojuelas de chile rojo, sal - al gusto</t>
  </si>
  <si>
    <t xml:space="preserve">To begin making Cold Potato Salad with Cilantro Dressing Recipe, wash and pressure cook the baby potatoes using a pressure cooker for 2 whistles. Peel, cut it into halves and keep aside.Take a medium bowl, add the hung curd, apple cider vinegar, kasundi mustard sauce and whisk it to a smooth consistency.To this add the finely chopped cilantro, red chilli flakes, salt, olive oil and whisk again till it all comes together to a easy pouring light dressing.Now, take the baby potatoes in a big salad bowl, add the prepared salad dressing and mix well.Refrigerate the salad for an hour before serving.Serve the Cold Potato Salad with Cilantro Dressing Recipe along with French Onion Soup Recipe for a light weeknight dinner.
</t>
  </si>
  <si>
    <t>Para empezar a preparar la receta de ensalada fría de papa con aderezo de cilantro, lava y cocina a presión las papas baby en una olla a presión durante 2 silbidos. Pélalas, córtalas en mitades y reserva. Toma un tazón mediano, agrega la cuajada colgada, el vinagre de sidra de manzana, la salsa de mostaza kasundi y bate hasta obtener una consistencia suave. A esto, agrega el cilantro finamente picado, las hojuelas de chile rojo, la sal, el aceite de oliva y bate nuevamente hasta que todo se combine para formar un aderezo ligero y fácil de verter. Ahora, coloca las papas baby en una ensaladera grande, agrega el aderezo preparado y mezcla bien. Refrigera la ensalada durante una hora antes de servir. Sirve la receta de ensalada fría de papa con aderezo de cilantro junto con la receta de sopa de cebolla francesa para una cena ligera entre semana.</t>
  </si>
  <si>
    <t>Pour commencer à préparer la salade de pommes de terre froide avec vinaigrette à la coriandre, lavez et faites cuire les pommes de terre grenaille à l'aide d'un autocuiseur pendant 2 sifflets. Épluchez-les, coupez-les en deux et réservez. Prenez un bol moyen, ajoutez le caillé de hung, le vinaigre de cidre de pomme, la sauce moutarde kasundi et fouettez jusqu'à obtenir une consistance lisse. Ajoutez à cela la coriandre finement hachée, les flocons de piment rouge, le sel, l'huile d'olive et fouettez à nouveau jusqu'à obtenir une vinaigrette légère et facile à verser. Maintenant, prenez les pommes de terre grenaille dans un grand saladier, ajoutez la vinaigrette préparée et mélangez bien. Réfrigérez la salade pendant une heure avant de servir. Servez la salade de pommes de terre froide avec vinaigrette à la coriandre avec la recette de soupe à l'oignon française pour un dîner léger en semaine.</t>
  </si>
  <si>
    <t>https://www.archanaskitchen.com/cold-potato-salad-with-cilantro-dressing-recipe</t>
  </si>
  <si>
    <t>Chocolate Glazed Coconut Macaroons Recipe</t>
  </si>
  <si>
    <t>Rezept für Kokosmakronen mit Schokoladenglasur</t>
  </si>
  <si>
    <t>Recette de macarons à la noix de coco et glaçage au chocolat</t>
  </si>
  <si>
    <t>Receta de macarrones de coco con glaseado de chocolate</t>
  </si>
  <si>
    <t>4 tasses de flocons de noix de coco sucrés, 400 grammes de lait concentré, 1 cuillère à soupe d'extrait de vanille, 2 blancs d'œufs, 1 pincée de sel, barre de chocolat - hachée (au besoin)</t>
  </si>
  <si>
    <t>4 cups Sweetened coconut flakes,400 grams Condensed Milk,1 tablespoon Vanilla Extract,2 Egg whites,1 pinch Salt,Chocolate Bar - chopped (as needed)</t>
  </si>
  <si>
    <t>4 tazas de hojuelas de coco endulzadas, 400 gramos de leche condensada, 1 cucharada de extracto de vainilla, 2 claras de huevo, 1 pizca de sal, barra de chocolate picada (según sea necesario)</t>
  </si>
  <si>
    <t xml:space="preserve">To begin making Chocolate Glazed Coconut Macaroons Recipe, Preheat oven at 180 degree celcius.In a bowl, add shredded coconut, sweet condensed milk, vanilla extract, salt, mix to combine and keep it aside.Take another bowl and beat egg whites until it becomes fluffy.Slowly mix egg white into coconut mixture. Fold and mix in order to get a light airy mixture.Preheat the oven at 180 degree C for 10 minutes.Drop the coconut mixture on baking sheet with help of tablespoon, spacing one inch apart.Bake Coconut Macaroons for 10-15 minutes or till the bottoms &amp; sides are deeply golden and top is lightly golden.Take the baking tray out and let it cool down.Now melt the chocolate in microwave (low temperature for 2 minutes) or in a double boiler. Dip the bottoms of the macaroons in chocolate and place them on a parchment paper.Refrigerate Chocolate Glazed Coconut Macaroons for about 10 minutes or till the chocolate solidifies.Serve Chocolate Glazed Coconut Macaroons Recipe with a cup of hot Masala Chai at a tea party or with Peanut Butter Oats &amp; Banana Smoothie for an after school snack.
</t>
  </si>
  <si>
    <t>Para comenzar a hacer la receta de macarrones de coco glaseados con chocolate, precaliente el horno a 180 grados centígrados. En un tazón, agregue el coco rallado, la leche condensada dulce, el extracto de vainilla, la sal, mezcle para combinar y déjelo a un lado. Tome otro tazón y bata las claras de huevo hasta que se vuelva esponjosa. Mezcle lentamente la clara de huevo en la mezcla de coco. Doble y mezcle para obtener una mezcla ligera y aireada. Precaliente el horno a 180 grados C durante 10 minutos. Deje caer la mezcla de coco en una bandeja para hornear con la ayuda de una cucharada, espaciando una pulgada de distancia. Hornee los macarrones de coco durante 10-15 minutos o hasta que la parte inferior y los lados estén bien dorados y la parte superior esté ligeramente dorada. Retire la bandeja para hornear y déjela enfriar. Ahora derrita el chocolate en el microondas (temperatura baja durante 2 minutos) o en baño maría. Sumerge la base de los macarrones en chocolate y colócalos sobre papel vegetal. Refrigera los macarrones de coco glaseados con chocolate durante unos 10 minutos o hasta que el chocolate se solidifique. Sirve la receta de macarrones de coco glaseados con chocolate con una taza de Masala Chai caliente en una fiesta de té o con un batido de avena, mantequilla de cacahuete y plátano para una merienda después de la escuela.</t>
  </si>
  <si>
    <t>Pour commencer à préparer la recette des macarons à la noix de coco glacés au chocolat, préchauffez le four à 180 degrés Celsius. Dans un bol, ajoutez la noix de coco râpée, le lait concentré sucré, l'extrait de vanille, le sel, mélangez et réservez. Prenez un autre bol et battez les blancs d'œufs jusqu'à ce qu'ils deviennent mousseux. Incorporez lentement le blanc d'œuf au mélange de noix de coco. Pliez et mélangez afin d'obtenir un mélange léger et aéré. Préchauffez le four à 180 degrés C pendant 10 minutes. Déposez le mélange de noix de coco sur une plaque à pâtisserie à l'aide d'une cuillère à soupe, en les espaçant d'un pouce. Faites cuire les macarons à la noix de coco pendant 10 à 15 minutes ou jusqu'à ce que le dessous et les côtés soient bien dorés et que le dessus soit légèrement doré. Retirez la plaque de cuisson et laissez-la refroidir. Faites maintenant fondre le chocolat au micro-ondes (basse température pendant 2 minutes) ou au bain-marie. Trempez le dessous des macarons dans le chocolat et placez-les sur du papier sulfurisé. Réfrigérez les macarons à la noix de coco glacés au chocolat pendant environ 10 minutes ou jusqu'à ce que le chocolat se solidifie. Servez la recette de macarons à la noix de coco glacés au chocolat avec une tasse de chai masala chaud lors d'un goûter ou avec un smoothie au beurre de cacahuète, à l'avoine et à la banane pour une collation après l'école.</t>
  </si>
  <si>
    <t>https://www.archanaskitchen.com/chocolate-glazed-coconut-macaroons-recipe</t>
  </si>
  <si>
    <t>Coconut Chocolate Balls Recipe</t>
  </si>
  <si>
    <t>Rezept für Kokos-Schokoladenbällchen</t>
  </si>
  <si>
    <t>Recette de boules de chocolat à la noix de coco</t>
  </si>
  <si>
    <t>Receta de bolitas de chocolate y coco</t>
  </si>
  <si>
    <t>200 grammes de noix de coco râpée, 250 grammes de lait concentré, 150 grammes de chocolat au lait fondu</t>
  </si>
  <si>
    <t>200 grams Dessicated Coconut,250 grams Condensed Milk,150 grams Milk chocolate - melted</t>
  </si>
  <si>
    <t>200 gramos de coco deshidratado, 250 gramos de leche condensada, 150 gramos de chocolate con leche derretido</t>
  </si>
  <si>
    <t xml:space="preserve">To begin making the Coconut Chocolate Balls recipe, take a mixing bowl and add dessicated coconut powder and condensed milk. Mix everything well and make a dough.Keep the dough in a bowl and put it in the fridge for about 15 to 20 minutes.After 15 to 20 minutes, take out the coconut dough and using your hands, squeeze the mixture and make small small balls out of it. Once the balls are formed, place these small coconut balls on a baking tray covered with parchment paper.Keep them back in fridge for 15 to 20 minutes. Meanwhile, add the milk chocolate in a saucepan and melt it fully. Keep it aside.After 15 to 20 minutes, take out the coconut balls and dip each coconut ball in melted chocolate using two forks.Let the excess chocolate drip off the fork. Place the dipped coconut ball on a parchment paper.Once all the balls are covered with the milk chocolate, keep them in the freezer for about half an hour. The yummy Chocolate Balls are ready to be served.Serve Coconut Chocolate Balls during festivals to your guests with other snacks and mithais like Palak And Peas Kachori, Farali Batata Chivda and Kaju Katli.You can also pack Coconut Chocolate Balls in gift boxes and gift them to your friends and family on Diwali or Christmas.
</t>
  </si>
  <si>
    <t>Para comenzar a hacer la receta de Bolitas de Chocolate y Coco, toma un tazón y agrega coco rallado en polvo y leche condensada. Mezcla todo bien y haz una masa. Mantén la masa en un tazón y pónla en el refrigerador durante unos 15 a 20 minutos. Después de 15 a 20 minutos, saca la masa de coco y usando tus manos, aprieta la mezcla y haz pequeñas bolitas con ella. Una vez que las bolitas estén formadas, coloca estas pequeñas bolitas de coco en una bandeja para hornear cubierta con papel pergamino. Mantenlas nuevamente en el refrigerador durante 15 a 20 minutos. Mientras tanto, agrega el chocolate con leche en una cacerola y derrítelo completamente. Mantenlo a un lado. Después de 15 a 20 minutos, saca las bolitas de coco y sumerge cada bolita de coco en chocolate derretido usando dos tenedores. Deja que el exceso de chocolate gotee del tenedor. Coloca la bola de coco sumergida en un papel pergamino. Una vez que todas las bolas estén cubiertas con el chocolate con leche, guárdalas en el congelador durante media hora aproximadamente. Las deliciosas bolas de chocolate están listas para servir. Sirva bolas de chocolate con coco durante los festivales a sus invitados con otros bocadillos y mithais como Palak And Peas Kachori, Farali Batata Chivda y Kaju Katli. También puede empacar bolas de chocolate con coco en cajas de regalo y regalárselas a sus amigos y familiares en Diwali o Navidad.</t>
  </si>
  <si>
    <t>Pour commencer à préparer la recette des boules de chocolat à la noix de coco, prenez un bol à mélanger et ajoutez la poudre de noix de coco desséchée et le lait concentré. Mélangez bien le tout et faites une pâte. Gardez la pâte dans un bol et mettez-la au réfrigérateur pendant environ 15 à 20 minutes. Après 15 à 20 minutes, sortez la pâte de noix de coco et, à l'aide de vos mains, pressez le mélange et faites-en de petites boules. Une fois les boules formées, placez ces petites boules de noix de coco sur une plaque de cuisson recouverte de papier sulfurisé. Gardez-les au réfrigérateur pendant 15 à 20 minutes. Pendant ce temps, ajoutez le chocolat au lait dans une casserole et faites-le fondre complètement. Réservez-le. Après 15 à 20 minutes, sortez les boules de noix de coco et trempez chaque boule de noix de coco dans le chocolat fondu à l'aide de deux fourchettes. Laissez l'excédent de chocolat s'égoutter de la fourchette. Placez la boule de noix de coco trempée sur un papier sulfurisé. Une fois toutes les boules recouvertes de chocolat au lait, conservez-les au congélateur pendant environ une demi-heure. Les délicieuses boules de chocolat sont prêtes à être servies. Servez des boules de chocolat à la noix de coco pendant les festivals à vos invités avec d'autres collations et mithais comme le Palak And Peas Kachori, le Farali Batata Chivda et le Kaju Katli. Vous pouvez également emballer des boules de chocolat à la noix de coco dans des coffrets cadeaux et les offrir à vos amis et à votre famille à Diwali ou à Noël.</t>
  </si>
  <si>
    <t>https://www.archanaskitchen.com/coconut-chocolate-balls-recipe</t>
  </si>
  <si>
    <t>Quick Masala French Toast Recipe</t>
  </si>
  <si>
    <t>Schnelles Masala-French-Toast-Rezept</t>
  </si>
  <si>
    <t>Recette rapide de pain perdu au masala</t>
  </si>
  <si>
    <t>Receta rápida de tostadas francesas masala</t>
  </si>
  <si>
    <t>3 pains complets de blé brun, 4 œufs entiers, huile de tournesol - ou beurre selon les besoins, 2 cuillères à soupe de lait, 1 cuillère à soupe de flocons de piment rouge, sel - selon votre goût, 3 brins de feuilles de coriandre (Dhania) - finement hachées, 1/4 cuillère à soupe de poudre de poivre noir, 1 oignon - finement haché, 2 à 3 piments verts - finement hachés</t>
  </si>
  <si>
    <t>3 Whole Wheat Brown Bread,4 Whole Eggs,Sunflower Oil - or butter as required,2 tablespoons Milk,1 tablespoon Red Chilli flakes,Salt - as per your taste,3 sprig Coriander (Dhania) Leaves - finely chopped,1/4 tablespoon Black pepper powder,1 Onion - finely chopped,2 to 3 Green Chillies - finely chopped</t>
  </si>
  <si>
    <t>3 panes integrales, 4 huevos enteros, aceite de girasol (o mantequilla según sea necesario), 2 cucharadas de leche, 1 cucharada de hojuelas de chile rojo, sal (a su gusto), 3 ramitas de hojas de cilantro (Dhania) finamente picadas, 1/4 cucharada de pimienta negra en polvo, 1 cebolla finamente picada, 2 a 3 chiles verdes finamente picados</t>
  </si>
  <si>
    <t xml:space="preserve">To begin making the Quick Masala French Toast recipe, beat the eggs in a mixing bowl.Add milk, beat it again and make sure that it is mixed properly. Add chilli flakes, salt and black pepper.Once it is done, heat oil in a wide pan. Take a bread slice, dip it in the egg mixture and put it on the pan.Spread some onion, green chillies and coriander on the top of bread and pour some egg mixture on it again.Turn the bread and let the other side also cooked properly. Once it turns light brown in colour, take it out of the stove and it is ready to be served.Serve Quick Masala French Toast on its own with a cup of hot Espresso Coffee or Masala Tea for a filling breakfast.
</t>
  </si>
  <si>
    <t>Para empezar a preparar la receta de tostadas francesas rápidas Masala, bate los huevos en un bol. Añade la leche, vuelve a batir y asegúrate de que esté bien mezclado. Agrega hojuelas de chile, sal y pimienta negra. Una vez hecho, calienta aceite en una sartén amplia. Toma una rebanada de pan, sumérgela en la mezcla de huevo y colócala en la sartén. Unta un poco de cebolla, chiles verdes y cilantro por encima del pan y vuelve a verter un poco de la mezcla de huevo. Dale la vuelta al pan y deja que el otro lado también se cocine bien. Una vez que adquiera un color marrón claro, retíralo del fuego y estará listo para servir. Sirve las tostadas francesas rápidas Masala solas con una taza de café expreso caliente o té Masala para un desayuno completo.</t>
  </si>
  <si>
    <t>Pour commencer la recette de pain perdu masala rapide, battez les œufs dans un saladier. Ajoutez le lait, battez à nouveau et mélangez bien. Ajoutez les flocons de piment, le sel et le poivre noir. Une fois la cuisson terminée, faites chauffer l'huile dans une grande poêle. Trempez une tranche de pain dans le mélange d'œufs et déposez-la dans la poêle. Répartissez un peu d'oignon, de piments verts et de coriandre sur le pain, puis versez à nouveau le mélange d'œufs. Retournez le pain et laissez-le cuire de l'autre côté. Une fois légèrement doré, retirez-le du feu et il est prêt à être servi. Servez le pain perdu masala rapide seul avec une tasse d'expresso chaud ou de thé masala pour un petit-déjeuner copieux.</t>
  </si>
  <si>
    <t>http://www.archanaskitchen.com/quick-masala-french-toast-recipe</t>
  </si>
  <si>
    <t>Grilled Eggplant With Tahini &amp; Yogurt Dip Recipe</t>
  </si>
  <si>
    <t>Rezept für gegrillte Auberginen mit Tahini-Joghurt-Dip</t>
  </si>
  <si>
    <t>Recette d'aubergines grillées avec trempette au yaourt et au tahini</t>
  </si>
  <si>
    <t>Receta de berenjena a la parrilla con salsa de yogur y tahini</t>
  </si>
  <si>
    <t>2 aubergines (Baingan), 1/2 tasse de tzatziki, 1/2 tasse de tahini, 12 à 15 tomates séchées au soleil - trempées dans l'huile d'olive, 1 sauce à la grenade - recette, 1 brin de feuilles de menthe (Pudina), sel et poivre, huile d'olive extra vierge - pour la cuisson</t>
  </si>
  <si>
    <t>2 Brinjal (Baingan / Eggplant),1/2 cup Tzatziki,1/2 cup Tahini,12 to 15 Sun Dried Tomatoes - dipped in olive oil,1 Pomegranate Sauce - recipe,1 sprig Mint Leaves (Pudina),Salt and Pepper,Extra Virgin Olive Oil - for cooking</t>
  </si>
  <si>
    <t>2 berenjenas (Baingan / Berenjenas), 1/2 taza de Tzatziki, 1/2 taza de Tahini, 12 a 15 tomates secos - sumergidos en aceite de oliva, 1 salsa de granada (receta), 1 ramita de hojas de menta (Pudina), sal y pimienta, aceite de oliva virgen extra - para cocinar</t>
  </si>
  <si>
    <t xml:space="preserve">To begin making the Grilled Eggplant in Tahini &amp; Yogurt Recipe, we will first have to roast the eggplants. I personally like to roast it on the pan, but you can roast them in the oven too.First, slice the eggplant lengthwise into 1/4-inch thick slices, sprinkle some salt and drizzle some olive oil over the eggplants and toss them well until well coated. Roasting Eggplants in the Oven - Preheat oven to 180 CArrange the eggplants on a baking tray and loosely cover the tray with foil and roast the eggplants in the preheated oven roast until they are soft and pliable, about 15 to 20 minutes, turning them halfway through while it is roasting. Roasting Eggplants on a Cast Iron SkilletPreheat a skillet on medium heat; place the eggplant slices on the cast iron skillet and roast them until soft and cooked on both sides. Proceed the same way to roast the remaining eggplants.Now, we will use only the eggplant that have the largest rounds, as we will be able to stuff and roll only the larger rounds. The smaller rounds you can chop them fine and use them as you wish.Assembling the Grilled EggplantOnce grilled place the eggplants on a serving platter. Arrange the eggplants, flat on the surface. Spread a spoon of Tahini on each of the grilled eggplants. Place the sun-dried tomatoes over the eggplant, next spoon the greek dip and finally drizzle the pomegranate sauce. Garnish with mint leaves or thyme leaves and serve. Serve the Grilled Eggplant with Tahini &amp; Yogurt Dip as an appetizer for parties or as a side dish for dinner.
</t>
  </si>
  <si>
    <t>Para comenzar a hacer la Receta de Berenjenas a la Parrilla con Tahini y Yogur, primero tendremos que asar las berenjenas. Personalmente, me gusta asarlas en la sartén, pero también puedes asarlas en el horno. Primero, corta la berenjena a lo largo en rodajas de 1/4 de pulgada de grosor, espolvorea un poco de sal y rocía un poco de aceite de oliva sobre las berenjenas y revuélvelas bien hasta que estén bien cubiertas. Asar Berenjenas en el Horno - Precalienta el horno a 180 C Coloca las berenjenas en una bandeja para hornear y cubre la bandeja sin apretar con papel de aluminio y asa las berenjenas en el horno precalentado hasta que estén suaves y flexibles, aproximadamente de 15 a 20 minutos, dándoles la vuelta a la mitad mientras se asan. Asar Berenjenas en una Sartén de Hierro Fundido Precalienta una sartén a fuego medio; coloca las rodajas de berenjena en la sartén de hierro fundido y ásalas hasta que estén suaves y cocidas por ambos lados. Proceda de la misma manera para asar las berenjenas restantes. Ahora, usaremos solo las berenjenas con los círculos más grandes, ya que podremos rellenar y enrollar solo los círculos más grandes. Los círculos más pequeños los puede picar finamente y usarlos como desee. Montaje de la berenjena a la parrilla Una vez asadas, coloque las berenjenas en una fuente para servir. Coloque las berenjenas planas sobre la superficie. Unte una cucharada de tahini en cada una de las berenjenas a la parrilla. Coloque los tomates secos sobre la berenjena, luego vierta la salsa griega y finalmente rocíe la salsa de granada. Decore con hojas de menta o de tomillo y sirva. Sirva la berenjena a la parrilla con tahini y salsa de yogur como aperitivo para fiestas o como guarnición para la cena.</t>
  </si>
  <si>
    <t>Pour commencer à préparer la recette d'aubergines grillées au tahini et au yaourt, nous devrons d'abord rôtir les aubergines. Personnellement, j'aime les rôtir à la poêle, mais vous pouvez aussi les rôtir au four. Tout d'abord, coupez l'aubergine dans le sens de la longueur en tranches de 1/4 de pouce d'épaisseur, saupoudrez de sel et arrosez d'un filet d'huile d'olive sur les aubergines et mélangez-les bien jusqu'à ce qu'elles soient bien enrobées. Rôtir les aubergines au four - Préchauffer le four à 180 C. Disposer les aubergines sur une plaque de cuisson et recouvrir légèrement la plaque de papier d'aluminium et rôtir les aubergines dans le four préchauffé jusqu'à ce qu'elles soient tendres et souples, environ 15 à 20 minutes, en les retournant à mi-cuisson pendant la cuisson. Rôtir les aubergines dans une poêle en fonte Préchauffer une poêle à feu moyen ; placer les tranches d'aubergines sur la poêle en fonte et les rôtir jusqu'à ce qu'elles soient tendres et cuites des deux côtés. Procédez de la même manière pour rôtir les aubergines restantes. Nous n'utiliserons que les aubergines les plus rondes, car nous ne pourrons farcir et rouler que les plus grosses. Les plus petites, vous pouvez les hacher finement et les utiliser comme vous le souhaitez. Assemblage des aubergines grillées : Une fois grillées, placez les aubergines sur un plat de service. Disposez-les à plat. Étalez une cuillère de tahini sur chacune des aubergines grillées. Disposez les tomates séchées au soleil sur l'aubergine, puis versez la sauce grecque et enfin, arrosez de sauce à la grenade. Décorez de feuilles de menthe ou de thym et servez. Servez les aubergines grillées avec sauce tahini et yaourt en apéritif pour les fêtes ou en accompagnement pour le dîner.</t>
  </si>
  <si>
    <t>https://www.archanaskitchen.com/grilled-eggplant-with-yogurt-dip-recipe</t>
  </si>
  <si>
    <t>Baked Muesli Tart with Strawberry Yogurt and Chia Seeds Recipe</t>
  </si>
  <si>
    <t>Rezept für gebackene Müslitorte mit Erdbeerjoghurt und Chiasamen</t>
  </si>
  <si>
    <t>Recette de gâteau au muesli cuit au four avec yaourt à la fraise et graines de chia</t>
  </si>
  <si>
    <t>Receta de pastel de muesli horneado con yogur de fresa y semillas de chía</t>
  </si>
  <si>
    <t>1/3 tasse de yaourt grec nature sans matières grasses, 1 cuillère à soupe de beurre, 1 blanc d'œuf, 1 cuillère à café d'extrait de vanille, 1 cuillère à café de cannelle en poudre (Dalchini), 1/4 cuillère à café de sel, 2 tasses de muesli, 2 cuillères à soupe de poudre d'amandes (Badam Powder), 1 tasse de yaourt grec faible en matières grasses, 200 grammes de fraises hachées, 1 cuillère à soupe de miel, 1/4 tasse de graines de chia</t>
  </si>
  <si>
    <t>1/3 cup Hung Curd (Greek Yogurt) - fat-free plain,1 tablespoon Butter,1 Egg white,1 teaspoon Vanilla Extract,1 teaspoon Cinnamon Powder (Dalchini),1/4 teaspoon Salt,2 cups Muesli,2 tablespoons Almond Meal (Badam Powder),1 cup Hung Curd (Greek Yogurt) - low fat,200 grams Strawberries - chopped,1 tablespoon Honey,1/4 cup Chia Seeds</t>
  </si>
  <si>
    <t>1/3 taza de cuajada Hung (yogur griego) - sin grasa natural, 1 cucharada de mantequilla, 1 clara de huevo, 1 cucharadita de extracto de vainilla, 1 cucharadita de canela en polvo (dalchini), 1/4 cucharadita de sal, 2 tazas de muesli, 2 cucharadas de harina de almendras (polvo de Badam), 1 taza de cuajada Hung (yogur griego) - bajo en grasa, 200 gramos de fresas - picadas, 1 cucharada de miel, 1/4 taza de semillas de chía</t>
  </si>
  <si>
    <t xml:space="preserve">We begin making the Baked Muesli Tart with Strawberry Yogurt and Chia Seeds Recipe by mixing all the ingredients mentioned in the list to make tart into a big bowl till it all combines.It will form a thick texture and then later add it into your tart pans and press them with the help of your finger and make sure it forms a tart shell.Pre heat the oven to 180 degree Celsius for about 10 minutes. Then place these tarts into the oven and bake it for about 10 minutes.In the meantime, wash the strawberries and blitz them in the mixer till it forms a smooth paste and mix it with the hung curd. Mix well till it combines and blends.Once the tart is baked take them out and keep the yogurt as well as the tart in the fridge for about 20 minutes till it cools down.Then later take them out and slowly pour the yogurt into the tart shell and set it again in the fridge for about 10 more minutes and serve.Serve the Baked Muesli Tart with Strawberry Yogurt and Chia Seeds Recipe as dessert or as a healthy snack during the tea time.
</t>
  </si>
  <si>
    <t>Para preparar la receta de tarta de muesli horneada con yogur de fresa y semillas de chía, mezclamos todos los ingredientes mencionados en la lista en un tazón grande hasta que estén bien integrados. Se formará una textura espesa. Luego, los colocamos en los moldes y los presionamos con los dedos para formar la base. Precalentamos el horno a 180 °C durante unos 10 minutos. Luego, horneamos durante 10 minutos. Mientras tanto, lavamos las fresas y las trituramos en la batidora hasta obtener una pasta suave. La mezclamos con la cuajada. Mezclar bien hasta que se combine. Una vez horneada la tarta, sacarla y guardar el yogur junto con la tarta en el refrigerador durante unos 20 minutos hasta que se enfríe. Luego, sacarla y verter lentamente el yogur en la base de la tarta y volver a meterla en el refrigerador durante unos 10 minutos más y servir. Servir la receta de tarta de muesli horneada con yogur de fresa y semillas de chía como postre o como un refrigerio saludable durante la hora del té.</t>
  </si>
  <si>
    <t>Pour préparer la tarte au muesli, yaourt à la fraise et graines de chia, mélangez tous les ingrédients dans un grand saladier. La pâte doit former une pâte épaisse. Versez-la ensuite dans vos moules à tarte et tassez-les avec vos doigts pour former une croûte. Préchauffez le four à 180 °C pendant environ 10 minutes. Enfournez ensuite et laissez cuire 10 minutes. Pendant ce temps, lavez les fraises et mixez-les jusqu'à obtenir une pâte lisse. Incorporez-la au caillé. Bien mélanger jusqu'à ce que le tout soit bien mélangé. Une fois la tarte cuite, sortez-la et conservez le yaourt ainsi que la tarte au réfrigérateur pendant environ 20 minutes jusqu'à ce qu'elle refroidisse. Ensuite, sortez-la et versez lentement le yaourt dans la croûte de tarte et remettez-la au réfrigérateur pendant environ 10 minutes supplémentaires et servez. Servez la recette de tarte au muesli cuite au four avec yaourt à la fraise et graines de chia en dessert ou en collation saine à l'heure du thé.</t>
  </si>
  <si>
    <t>http://www.archanaskitchen.com/baked-muesli-tart-with-strawberry-yogurt-and-chia-seeds-recipe</t>
  </si>
  <si>
    <t>Coriander Prawn Cakes Recipe</t>
  </si>
  <si>
    <t>Rezept für Koriander-Garnelenkuchen</t>
  </si>
  <si>
    <t>Recette de gâteau aux crevettes à la coriandre</t>
  </si>
  <si>
    <t>Receta de pastel de camarones con cilantro</t>
  </si>
  <si>
    <t>500 grammes de crevettes décortiquées, 1 oignon finement haché, 1 poireau émincé, 2 cuillères à café d'origan séché, 1 cuillère à café de feuilles de thym séchées, 1 cuillère à café de romarin, 2 cuillères à café de flocons de piment rouge, 1/4 tasse de Makki Ka Atta (farine de maïs jaune), 4 brins de feuilles de coriandre (Dhania), sel au goût, huile de tournesol</t>
  </si>
  <si>
    <t>500 grams Prawns - shelled,1 Onion - finely chopped,1 Leek - sliced,2 teaspoons Dried oregano,1 teaspoon Dried Thyme Leaves,1 teaspoon Rosemary,2 teaspoons Red Chilli flakes,1/4 cup Makki Ka Atta (Yellow Corn Meal Flour),4 sprig Coriander (Dhania) Leaves,Salt - to taste,Sunflower Oil</t>
  </si>
  <si>
    <t>500 gramos de camarones pelados, 1 cebolla finamente picada, 1 puerro en rodajas, 2 cucharaditas de orégano seco, 1 cucharadita de hojas de tomillo seco, 1 cucharadita de romero, 2 cucharaditas de hojuelas de chile rojo, 1/4 taza de Makki Ka Atta (harina de maíz amarillo), 4 ramitas de hojas de cilantro (Dhania), sal al gusto, aceite de girasol</t>
  </si>
  <si>
    <t xml:space="preserve">To begin making the Coriander Prawn Cakes, we will heat a skillet with oil. Add onions and saute until they turn translucent.Add leeks as well along with prawns. Cook until the prawns curl up. Add all of the seasoning along with maize flour.Keep mixing till it comes together and forms a sticky mixture. Allow it cool down and start shaping them into a flat cake.Heat a flat skillet, drizzle some oil, place the cakes and carefully cook on either side till it golden brown.Serve the Coriander Prawn Cakes along with a Tzatziki dip or dips of your choice to create a wonderful appetizer.
</t>
  </si>
  <si>
    <t>Para empezar a preparar las Tortitas de Langostino con Cilantro, calentaremos una sartén con aceite. Agregaremos la cebolla y la saltearemos hasta que esté translúcida. Agregaremos también los puerros junto con las gambas. Cocinaremos hasta que las gambas se enrollen. Agregaremos todos los condimentos junto con la harina de maíz. Seguiremos mezclando hasta que se integre y forme una masa pegajosa. Dejaremos enfriar y comenzaremos a darles forma de torta plana. Calentaremos una sartén plana, rociaremos con un chorrito de aceite, colocaremos las tortas y las cocinaremos con cuidado por ambos lados hasta que estén doradas. Serviremos las Tortitas de Langostino con una salsa tzatziki o las salsas que prefieran para crear un aperitivo maravilloso.</t>
  </si>
  <si>
    <t>Pour préparer les beignets de crevettes à la coriandre, faites chauffer une poêle avec de l'huile. Ajoutez les oignons et faites-les revenir jusqu'à ce qu'ils deviennent translucides. Ajoutez les poireaux et les crevettes. Faites cuire jusqu'à ce que les crevettes se recroquevillent. Ajoutez tous les assaisonnements et la farine de maïs. Continuez à mélanger jusqu'à obtenir une pâte homogène et collante. Laissez refroidir et façonnez-les en beignets. Faites chauffer une poêle, arrosez d'un filet d'huile, déposez les beignets et faites-les dorer délicatement de chaque côté. Servez les beignets de crevettes à la coriandre avec une ou plusieurs sauces tzatziki de votre choix pour un apéritif réussi.</t>
  </si>
  <si>
    <t>https://www.archanaskitchen.com/coriander-prawn-cakes-recipe</t>
  </si>
  <si>
    <t>Delicious Skillet Plum Cake Recipe</t>
  </si>
  <si>
    <t>Rezept für köstlichen Pflaumenkuchen aus der Pfanne</t>
  </si>
  <si>
    <t>Recette de délicieux gâteau aux prunes à la poêle</t>
  </si>
  <si>
    <t>Deliciosa receta de pastel de ciruelas en molde</t>
  </si>
  <si>
    <t>1-1/2 tasse de farine tout usage (Maida), 3/4 tasse de cassonade (sucre Demerara), 1-1/2 cuillère à café de levure chimique, 1/4 cuillère à café de sel, 1/2 tasse de beurre, 2/3 tasse de lait, 1/2 cuillère à café de zeste d'orange (écorce), 2 œufs entiers, 1/2 cuillère à café d'essence d'amande (essence de Badam), 6 prunes - finement tranchées</t>
  </si>
  <si>
    <t>1-1/2 cups All Purpose Flour (Maida),3/4 cup Brown Sugar (Demerara Sugar),1-1/2 teaspoon Baking powder,1/4 teaspoon Salt,1/2 cup Butter,2/3 cup Milk,1/2 teaspoon Orange Zest (Rind),2 Whole Eggs,1/2 teaspoon Almond essence (Badam Essence),6 Plums - thinly sliced</t>
  </si>
  <si>
    <t>1-1/2 tazas de harina para todo uso (Maida), 3/4 taza de azúcar morena (azúcar Demerara), 1-1/2 cucharadita de polvo para hornear, 1/4 cucharadita de sal, 1/2 taza de mantequilla, 2/3 taza de leche, 1/2 cucharadita de ralladura de naranja (cáscara), 2 huevos enteros, 1/2 cucharadita de esencia de almendra (esencia de Badam), 6 ciruelas en rodajas finas</t>
  </si>
  <si>
    <t xml:space="preserve">To begin making the Skillet Plum Cake Recipe, we will first make the brown butter for the cake. Heat the butter in a small skillet on medium-low heat, stirring continuously.  The butter will begin to froth and will start turning brown after about 3-4 minutes. At this stage turn off the heat and set it aside. To make the batter for the Skillet Plum Cake Recipe, in a mixing bowl, combine the milk, eggs and almond essence, and whisk them together and set aside. In another mixing bowl, combine the all purpose flour, demerara sugar, baking powder, salt.Now add the orange zest and rub it along with the flour using your fingers. This will help the zest release its flavour into the flour. Now pour in the egg-milk mixture into the dry ingredients bowl and whisk until you get a smooth batter. Finally whisk in the brown butter into the fresh plum skillet cake batter. Preheat the oven to 180 degree celsius. Generously grease a 10" skillet with soft butter, and pour the fresh plum skillet cake batter into it. Arrange the sliced plums on the surface of the cake. Place the Skillet Plum Cake in the oven for 30-35 minutes, or until a skewer inserted into the plum cake comes out clean. Remove from the oven and allow the Skillet Plum Cake Recipe to cool. Serve this warm Skillet Plum Cake Recipe as an evening snack along with Hot Coffee Latte Recipe. You could also serve it as a dessert along with a scoop of vanilla ice cream and a generous topping of Caramel Sauce. It makes a great dessert idea after a delicious weekend dinner.
</t>
  </si>
  <si>
    <t>Para comenzar a hacer la Receta de pastel de ciruelas en sartén, primero haremos la mantequilla marrón para el pastel. Calentamos la mantequilla en una sartén pequeña a fuego medio-bajo, revolviendo continuamente. La mantequilla comenzará a hacer espuma y comenzará a dorarse después de unos 3-4 minutos. En esta etapa, apague el fuego y déjelo a un lado. Para hacer la masa para la Receta de pastel de ciruelas en sartén, en un tazón, combine la leche, los huevos y la esencia de almendra, y bátalos juntos y déjelos a un lado. En otro tazón, combine la harina para todo uso, el azúcar demerara, el polvo para hornear, la sal. Ahora agregue la ralladura de naranja y frótela junto con la harina con los dedos. Esto ayudará a que la ralladura libere su sabor en la harina. Ahora vierta la mezcla de huevo y leche en el tazón de ingredientes secos y bata hasta obtener una masa suave. Finalmente, bata la mantequilla marrón en la masa fresca del pastel de ciruelas en sartén. Precaliente el horno a 180 grados centígrados. Engrase generosamente una sartén de 25 cm con mantequilla blanda y vierta la masa fresca del pastel de ciruelas en ella. Coloque las ciruelas rebanadas sobre la superficie del pastel. Coloque el pastel de ciruelas en sartén en el horno durante 30-35 minutos, o hasta que al insertar un palillo en el pastel, este salga limpio. Retire del horno y deje que la receta del pastel de ciruelas en sartén se enfríe. Sirva esta receta de pastel de ciruelas en sartén caliente como refrigerio por la noche junto con la receta de café con leche caliente. También puede servirlo como postre junto con una bola de helado de vainilla y una generosa cobertura de salsa de caramelo. Es una excelente idea de postre después de una deliciosa cena de fin de semana.</t>
  </si>
  <si>
    <t>Pour commencer à préparer la recette du gâteau aux prunes à la poêle, nous allons d'abord préparer le beurre noisette pour le gâteau. Chauffer le beurre dans une petite poêle à feu moyen-doux en remuant continuellement. Le beurre commencera à mousser et commencera à brunir après environ 3 à 4 minutes. À ce stade, éteignez le feu et réservez. Pour préparer la pâte pour la recette du gâteau aux prunes à la poêle, dans un saladier, mélanger le lait, les œufs et l'essence d'amande, fouetter le tout et réserver. Dans un autre saladier, mélanger la farine tout usage, le sucre demerara, la levure chimique et le sel. Ajoutez maintenant le zeste d'orange et frottez-le avec la farine avec vos doigts. Cela aidera le zeste à libérer sa saveur dans la farine. Versez maintenant le mélange œufs-lait dans le bol des ingrédients secs et fouettez jusqu'à obtenir une pâte lisse. Enfin, incorporez le beurre noisette à la pâte fraîche du gâteau aux prunes à la poêle. Préchauffez le four à 180 degrés Celsius. Graisser généreusement une poêle de 25 cm avec du beurre mou et y verser la pâte à gâteau aux prunes fraîches. Disposer les prunes tranchées sur la surface du gâteau. Placer le gâteau aux prunes à la poêle au four pendant 30 à 35 minutes, ou jusqu'à ce qu'une brochette insérée dans le gâteau aux prunes en ressorte propre. Retirer du four et laisser refroidir la recette de gâteau aux prunes à la poêle. Servir cette recette de gâteau aux prunes à la poêle chaude comme collation du soir avec la recette de café latte chaud. Vous pouvez également le servir en dessert avec une boule de glace à la vanille et une généreuse garniture de sauce au caramel. C'est une excellente idée de dessert après un délicieux dîner de week-end.</t>
  </si>
  <si>
    <t>http://www.archanaskitchen.com/delicious-skillet-plum-cake-recipe</t>
  </si>
  <si>
    <t>Nutty Oats Almond Truffle Recipe - A Healthy Snack</t>
  </si>
  <si>
    <t>Rezept für nussige Hafer-Mandel-Trüffel – ein gesunder Snack</t>
  </si>
  <si>
    <t>Recette de truffes aux noix, à l'avoine et aux amandes – une collation saine</t>
  </si>
  <si>
    <t>Trufa de nueces, avena y almendras: un snack saludable</t>
  </si>
  <si>
    <t>1 tasse de dattes - trempées dans de l'eau tiède pendant 10 minutes, 1/4 tasse de poudre de cacao, 1/2 tasse de poudre d'amandes (poudre de badam), 1/4 tasse de poudre de graines de lin (farine de lin), 1 cuillère à café d'extrait de vanille, 4 biscuits digestifs multigrains à l'avoine - cassés, 1/2 tasse de chocolat noir - haché, 1/2 tasse de noix de coco desséchée</t>
  </si>
  <si>
    <t>1 cup Dates - soaked in warm water for 10 minutes,1/4 cup Cocoa Powder,1/2 cup Almond Meal (Badam Powder),1/4 cup Flax seed powder (flax meal),1 teaspoon Vanilla Extract,4 Multigrain Digestive Oat Biscuits - broken,1/2 cup Dark chocolate - chopped,1/2 cup Dessicated Coconut</t>
  </si>
  <si>
    <t>1 taza de dátiles - remojados en agua tibia durante 10 minutos, 1/4 taza de cacao en polvo, 1/2 taza de harina de almendras (Badam Powder), 1/4 taza de polvo de semillas de lino (harina de lino), 1 cucharadita de extracto de vainilla, 4 galletas de avena digestivas multigrano - rotas, 1/2 taza de chocolate negro - picado, 1/2 taza de coco deshidratado</t>
  </si>
  <si>
    <t xml:space="preserve">To begin making the Nutty Oats Almond Truffle Recipe, first prep all the ingredients and keep them ready.Soak the dates in warm water and keep aside.Place the dates, almond powder, flax seed powder, cocoa powder, NutriChoice Oats Almond &amp; Milk Biscuits, Vanilla Extract into the food processor. Pulse entire the entire mixture comes together. Finally add in the Dark Chocolate chips and pulse again.Once done, grease your fingers and make small bite size balls with the truffle mixture.Once you have the Nutty Oats Almond Truffle Recipe ready, roll them over the dessicated coconut and serve.Store the Nutty Oats Almond Truffle Recipe in the refrigerator for 2 to 3 weeks and serve them as a wholesome mid morning snack, evening snack or even pack it into your office lunch dabba or kids school lunch box.
</t>
  </si>
  <si>
    <t>Para empezar a hacer la Receta de Trufa de Almendras y Avena Nutty, primero prepara todos los ingredientes y tenlos listos. Remoja los dátiles en agua tibia y resérvalos. Coloca los dátiles, el polvo de almendras, el polvo de semillas de lino, el cacao en polvo, las Galletas de Avena NutriChoice de Almendras y Leche y el Extracto de Vainilla en el procesador de alimentos. Pulsa hasta que se integre toda la mezcla. Finalmente, añade las chispas de chocolate negro y pulsa de nuevo. Una vez hecho esto, engrasa tus dedos y forma pequeñas bolitas del tamaño de un bocado con la mezcla de trufa. Una vez que tengas lista la Receta de Trufa de Almendras y Avena Nutty, rebózalas sobre el coco rallado y sirve. Guarda la Receta de Trufa de Almendras y Avena Nutty en el refrigerador durante 2 a 3 semanas y sírvelas como un refrigerio saludable a media mañana, un refrigerio por la noche o incluso empaquétala en la lonchera de la oficina o en la lonchera escolar de los niños.</t>
  </si>
  <si>
    <t>Pour commencer à préparer la recette de truffes aux amandes et à l'avoine, préparez d'abord tous les ingrédients et gardez-les prêts. Faites tremper les dattes dans de l'eau tiède et réservez. Placez les dattes, la poudre d'amande, la poudre de graines de lin, la poudre de cacao, les biscuits NutriChoice Oats aux amandes et au lait, l'extrait de vanille dans le robot culinaire. Mixez jusqu'à ce que le mélange soit homogène. Ajoutez enfin les pépites de chocolat noir et mixez à nouveau. Une fois terminé, graissez vos doigts et formez de petites boules de la taille d'une bouchée avec le mélange de truffes. Une fois la recette de truffes aux amandes et à l'avoine prête, roulez-les sur la noix de coco râpée et servez. Conservez la recette de truffes aux amandes et à l'avoine au réfrigérateur pendant 2 à 3 semaines et servez-les comme collation saine en milieu de matinée, en soirée ou même dans votre dabba de déjeuner au bureau ou la boîte à lunch des enfants à l'école.</t>
  </si>
  <si>
    <t>https://www.archanaskitchen.com/nutty-oats-almond-truffle-recipe-healthy-snack</t>
  </si>
  <si>
    <t>Chicken and Mushroom Pot Pie Recipe</t>
  </si>
  <si>
    <t>Rezept für Hühnchen-Pilz-Pastete</t>
  </si>
  <si>
    <t>Recette de pâté de poulet et champignons</t>
  </si>
  <si>
    <t>Receta de paté de pollo y champiñones</t>
  </si>
  <si>
    <t>300 grammes de poulet coupé en morceaux, 500 grammes de champignons de Paris coupés en quartiers, 1 oignon émincé, 4 gousses d'ail hachées, 3 brins de feuilles de basilic, 1 cuillère à café d'origan séché, 1 cuillère à café de romarin, 1 cuillère à café de poivre noir en poudre, 1/4 tasse de crème fraîche, sel au goût, huile de tournesol, 1 croûte à tarte tout usage</t>
  </si>
  <si>
    <t>300 grams Chicken - cut into pieces,500 grams Button mushrooms - quartered,1 Onion - sliced,4 cloves Garlic - chopped,3 sprig Basil leaves,1 teaspoon Dried oregano,1 teaspoon Rosemary,1 teaspoon Black pepper powder,1/4 cup Fresh cream,Salt - to taste,Sunflower Oil,1 All Purpose Pie Crust</t>
  </si>
  <si>
    <t>300 gramos de pollo cortado en trozos, 500 gramos de champiñones cortados en cuartos, 1 cebolla cortada en rodajas, 4 dientes de ajo picados, 3 ramitas de hojas de albahaca, 1 cucharadita de orégano seco, 1 cucharadita de romero, 1 cucharadita de pimienta negra en polvo, 1/4 taza de crema fresca, sal al gusto, aceite de girasol, 1 masa de tarta multiusos</t>
  </si>
  <si>
    <t xml:space="preserve">To begin making the Chicken and Mushroom Pot Pie Recipe, make the pie pastry and keep it ready to be used. To make the filling, heat a pan with oil on medium heat, add garlic and onions and saute until the onions get caramelized. This will take about 4-5 minutes.  Add chicken pieces and give it a toss until the chicken is almost tender.This will take about 12-15 minutes.  Now add the mushrooms and saute till the mushrooms are almost done. Add all the seasonings- dried oregano, dried rosemary,  black pepper powder, salt and saute well.Reduce the flame and add cream at the end and basil leaves and mix well. Check for seasoning. Pre heat the oven to 180 degree Celsius for 10 minutes. Start rolling the pastry dough by dusting some flour over your kitchen table.Roll it about 0.5 centimeter thick to a round shaped flat dough. Carefully Place it over the pan that contains the filling and press the edges.Cross it in the center and egg wash the pie pastry using a pastry brush and bake it in the oven for about 25 minutes. Serve the Chicken and Mushroom Pot Pie Recipe along with Garlic bread, salad by the side to make a complete wholesome meal.
</t>
  </si>
  <si>
    <t>Para comenzar a hacer la Receta de Pastel de Pollo y Champiñones, prepare la masa del pastel y téngala lista para usar. Para hacer el relleno, caliente una sartén con aceite a fuego medio, agregue ajo y cebolla y saltee hasta que las cebollas se caramelicen. Esto tomará alrededor de 4-5 minutos. Agregue los trozos de pollo y revuelva hasta que el pollo esté casi tierno. Esto tomará alrededor de 12-15 minutos. Ahora agregue los champiñones y saltee hasta que los champiñones estén casi listos. Agregue todos los condimentos: orégano seco, romero seco, pimienta negra en polvo, sal y saltee bien. Reduzca el fuego y agregue crema al final y hojas de albahaca y mezcle bien. Verifique el condimento. Precaliente el horno a 180 grados Celsius durante 10 minutos. Comience a extender la masa de hojaldre espolvoreando un poco de harina sobre la mesa de la cocina. Extiéndala aproximadamente 0,5 centímetros de grosor hasta obtener una masa plana y redonda. Colóquelo con cuidado sobre el molde que contiene el relleno y presione los bordes. Crúcelo por el centro y pinte con huevo la masa de pastel con un pincel de repostería y hornéelo en el horno durante unos 25 minutos. Sirva la receta de pastel de pollo y champiñones junto con pan de ajo y ensalada para hacer una comida completa y saludable.</t>
  </si>
  <si>
    <t>Pour commencer à préparer la recette de tourte au poulet et aux champignons, préparez la pâte à tarte et gardez-la prête à être utilisée. Pour faire la garniture, faites chauffer une poêle avec de l'huile à feu moyen, ajoutez l'ail et les oignons et faites revenir jusqu'à ce que les oignons soient caramélisés. Cela prendra environ 4 à 5 minutes. Ajoutez les morceaux de poulet et remuez jusqu'à ce que le poulet soit presque tendre. Cela prendra environ 12 à 15 minutes. Ajoutez maintenant les champignons et faites revenir jusqu'à ce qu'ils soient presque cuits. Ajoutez tous les assaisonnements - origan séché, romarin séché, poudre de poivre noir, sel et faites bien revenir. Réduisez le feu et ajoutez la crème à la fin et les feuilles de basilic et mélangez bien. Vérifiez l'assaisonnement. Préchauffez le four à 180 degrés Celsius pendant 10 minutes. Commencez à étaler la pâte en saupoudrant un peu de farine sur votre table de cuisine. Étalez-la sur environ 0,5 centimètre d'épaisseur pour obtenir une pâte plate et ronde. Placez-le délicatement sur le plat contenant la garniture et appuyez sur les bords. Croisez-le au centre et badigeonnez la pâte à tarte d'œuf à l'aide d'un pinceau à pâtisserie et faites-la cuire au four pendant environ 25 minutes. Servez la recette de tourte au poulet et aux champignons avec du pain à l'ail et de la salade à côté pour préparer un repas complet et sain.</t>
  </si>
  <si>
    <t>http://www.archanaskitchen.com/chicken-and-mushroom-pot-pie-recipe</t>
  </si>
  <si>
    <t>Roasted Potatoes &amp; Zucchini Bake Recipe In A Creamy Parsley Sauce</t>
  </si>
  <si>
    <t>Rezept für Bratkartoffeln und Zucchini-Auflauf in einer cremigen Petersiliensauce</t>
  </si>
  <si>
    <t>Recette de gratin de pommes de terre frites et de courgettes dans une sauce crémeuse au persil</t>
  </si>
  <si>
    <t>Receta de gratinado de patatas fritas y calabacín en salsa cremosa de perejil</t>
  </si>
  <si>
    <t>3 courgettes vertes - tranchées, 2 pommes de terre (Aloo) - bouillies fermes et tranchées, 2 gousses d'ail - finement hachées, 1/2 tasse de fromage à la crème Britannia - (j'aime utiliser un fromage aromatisé ou aux herbes), 1 tasse de Hung Curd (yaourt grec), feuilles de persil - petit bouquet, 1 tasse de fromage feta - émietté, 1/2 tasse de parmesan - râpé, sel et poivre - au goût, huile d'olive extra vierge - pour cuire</t>
  </si>
  <si>
    <t>3 Green zucchini - sliced,2 Potatoes (Aloo) - boiled firm and sliced,2 cloves Garlic - finely chopped,1/2 cup Britannia Cream Cheese - (I like to use a flavored or herbed cheese),1 cup Hung Curd (Greek Yogurt),Parsley leaves - small bunch,1 cup Feta Cheese - crumbled,1/2 cup Parmesan cheese - grated,Salt and Pepper - to taste,Extra Virgin Olive Oil - to cook</t>
  </si>
  <si>
    <t>3 calabacines verdes en rodajas, 2 papas (Aloo) hervidas firmes y en rodajas, 2 dientes de ajo picados finamente, 1/2 taza de queso crema Britannia (me gusta usar un queso saborizado o con hierbas), 1 taza de cuajada Hung (yogur griego), hojas de perejil en un manojo pequeño, 1 taza de queso feta desmenuzado, 1/2 taza de queso parmesano rallado, sal y pimienta al gusto, aceite de oliva virgen extra para cocinar.</t>
  </si>
  <si>
    <t xml:space="preserve">To begin making the Roasted Potatoes &amp; Zucchini Bake Recipe. first get all the ingredients ready. Boil the potatoes firm, peel the skin and slice them to an inch thickness.Preheat the oven to 190 C.In a wide saute pan; heat a tablespoon of olive oil on medium heat. Add the chopped garlic, potatoes, and zucchini. Sprinkle some salt and pepper and stir-fry them until the zucchini and the potatoes are lightly roasted. Take care not to overcook the zucchini and not stir too much; as this will break the slices and make them mushy.In a small bowl, whisk the cream cheese, Greek yogurt, salt, pepper, parsley until light and fluffy. Check the salt and spice levels and adjust to suit your taste.Arrange the sauteed zucchini and potatoes placing them alternatively on a baking dish. Sprinkle the feta cheese all around and pour the creamy parsley sauce. Finally, sprinkle the parmesan cheese evenly all over on the top.Place the Roasted Potatoes &amp; Zucchini into the preheated oven. Bake for 40-45 minutes, or until the mixture is bubbling, slightly set, and top is lightly browned.Serve Roasted Potatoes &amp; Zucchini Bake Recipe In A Creamy Parsley Sauce with Vegetable Clear Soup With Lemon Grass Recipe or Herbed Dinner Rolls Recipe and Tiramisu Recipe (A Classic and Quick Italian Dessert) for dinner.
</t>
  </si>
  <si>
    <t>Para empezar a preparar la receta de patatas y calabacín asados ​​al horno, primero prepare todos los ingredientes. Hierva las patatas hasta que estén firmes, pélelas y córtelas en rodajas de 2,5 cm de grosor. Precaliente el horno a 190 °C. En una sartén ancha, caliente una cucharada de aceite de oliva a fuego medio. Añada el ajo picado, las patatas y el calabacín. Espolvoree con un poco de sal y pimienta y saltee hasta que el calabacín y las patatas estén ligeramente asados. Tenga cuidado de no cocinar demasiado el calabacín ni de remover demasiado, ya que esto romperá las rodajas y las hará blandas. En un tazón pequeño, bata el queso crema, el yogur griego, la sal, la pimienta y el perejil hasta que la mezcla esté ligera y esponjosa. Compruebe el punto de sal y especias y ajuste a su gusto. Coloque el calabacín y las patatas salteados, colocándolos alternativamente en una fuente para horno. Espolvoree con queso feta y vierta la salsa cremosa de perejil. Finalmente, espolvorea el queso parmesano uniformemente por encima. Coloca las papas y el calabacín asados ​​en el horno precalentado. Hornea durante 40-45 minutos, o hasta que la mezcla burbujee, esté ligeramente cuajada y la superficie esté ligeramente dorada. Sirve la receta de papas y calabacín asados ​​al horno con salsa cremosa de perejil, sopa clara de verduras con limoncillo, panecillos con hierbas y tiramisú (un postre italiano clásico y rápido) para cenar.</t>
  </si>
  <si>
    <t>Pour préparer le gratin de pommes de terre et courgettes rôties, préparez tous les ingrédients. Faites cuire les pommes de terre à l'eau, épluchez-les et coupez-les en tranches de 2,5 cm d'épaisseur. Préchauffez le four à 190 °C. Dans une grande sauteuse, faites chauffer une cuillère à soupe d'huile d'olive à feu moyen. Ajoutez l'ail haché, les pommes de terre et les courgettes. Salez et poivrez, puis faites revenir jusqu'à ce que les courgettes et les pommes de terre soient légèrement rôties. Veillez à ne pas trop cuire les courgettes et à ne pas trop remuer, car cela briserait les tranches et les rendrait molles. Dans un petit bol, fouettez le fromage frais, le yaourt grec, le sel, le poivre et le persil jusqu'à obtenir une consistance légère et mousseuse. Vérifiez la quantité de sel et d'épices et ajustez à votre goût. Disposez les courgettes et les pommes de terre sautées en les alternant sur un plat allant au four. Parsemez de feta et versez la sauce crémeuse au persil. Enfin, saupoudrez uniformément de parmesan. Enfournez les pommes de terre et courgettes rôties et laissez cuire 40 à 45 minutes, jusqu'à ce que le mélange bouillonne, prenne légèrement et soit légèrement doré. Servez la recette de gratin de pommes de terre et courgettes rôties dans une sauce crémeuse au persil avec une soupe de légumes à la citronnelle, des petits pains aux herbes et un tiramisu (un dessert italien classique et rapide) pour le dîner.</t>
  </si>
  <si>
    <t>http://www.archanaskitchen.com/roasted-potatoes-zucchini-bake-recipe-in-a-creamy-parsley-sauce</t>
  </si>
  <si>
    <t>Spiced Whole Wheat Carrot Cake Recipe</t>
  </si>
  <si>
    <t>Rezept für gewürzten Vollkorn-Karottenkuchen</t>
  </si>
  <si>
    <t>Recette de gâteau aux carottes complet épicé</t>
  </si>
  <si>
    <t>Receta de pastel de zanahoria integral picante</t>
  </si>
  <si>
    <t>2 tasses de farine de blé entier, 2 cuillères à café de cannelle en poudre (Dalchini), 1 cuillère à café de gingembre en poudre sec, 1/2 cuillère à café de sel, 2 cuillères à café de levure chimique, 1 tasse de sucre, 1/2 tasse de tartinade classique Nutralite, 3 œufs entiers, 1/4 tasse de lait, 2 tasses de carottes (Gajjar) - râpées, 1/4 tasse de noix - hachées, 2 cuillères à soupe de sucre glace - pour saupoudrer</t>
  </si>
  <si>
    <t>2 cups Whole Wheat Flour,2 teaspoons Cinnamon Powder (Dalchini),1 teaspoon Dry ginger powder,1/2 teaspoon Salt,2 teaspoons Baking powder,1 cup Sugar,1/2 cup Nutralite Classic Spread,3 Whole Eggs,1/4 cup Milk,2 cups Carrots (Gajjar) - grated,1/4 cup Walnuts - chopped,2 tablespoons Icing Sugar - for dusting</t>
  </si>
  <si>
    <t>2 tazas de harina integral, 2 cucharaditas de canela en polvo (dalchini), 1 cucharadita de jengibre en polvo seco, 1/2 cucharadita de sal, 2 cucharaditas de levadura en polvo, 1 taza de azúcar, 1/2 taza de crema untable clásica Nutralite, 3 huevos enteros, 1/4 taza de leche, 2 tazas de zanahorias (gajjar) ralladas, 1/4 taza de nueces picadas, 2 cucharadas de azúcar glas para espolvorear</t>
  </si>
  <si>
    <t xml:space="preserve">To begin making the Spiced Whole Wheat Carrot Cake, first preheat oven 180 C. Grease and flour a 9-inch springform pan or a bread loaf pan or a Bundt pan.Keep aside. Mix the flour, baking powder, salt, cinnamon, ginger and keep aside.In a large bowl or the bowl of the stand mixer add the nutralite classic, sugar and eggs and beat them until light and fluffy. Add the milk and beat it into the egg mixture.Gradually add in the flour mixture and the carrots and beat until well combined. Fold in the walnuts and spoon the Spiced Whole Wheat Carrot Cake batter and place it to bake in the preheated oven.Bake the Spiced Whole Wheat Carrot Cake for about 35 to 40 minutes or until when a tester inserted in the center of the cake comes out clean. Once the Spiced Whole Wheat Carrot Cake is baked, remove from the oven.Allow the Spiced Whole Wheat Carrot Cake to cool for a little bit and serve.Serve the Spiced Whole Wheat Carrot Cake warm along with a cup of chai, pack it into a kid's lunch box or even along with glass milk for breakfast. 
</t>
  </si>
  <si>
    <t>Para comenzar a hacer el pastel de zanahoria integral especiado, primero precaliente el horno a 180 C. Engrase y enharine un molde desmontable de 9 pulgadas o un molde para pan o un molde Bundt. Déjelo a un lado. Mezcle la harina, el polvo para hornear, la sal, la canela, el jengibre y reserve. En un tazón grande o en el tazón de la batidora de pie agregue el nutralite classic, el azúcar y los huevos y bátalos hasta que estén ligeros y esponjosos. Agregue la leche y bátala en la mezcla de huevo. Agregue gradualmente la mezcla de harina y las zanahorias y bata hasta que estén bien combinadas. Incorpore las nueces y vierta con una cuchara la masa del pastel de zanahoria integral especiado y colóquela para hornear en el horno precalentado. Hornee el pastel de zanahoria integral especiado durante aproximadamente 35 a 40 minutos o hasta que un probador insertado en el centro del pastel salga limpio. Una vez horneado el pastel de zanahoria integral especiado, sáquelo del horno. Deje que se enfríe un poco y sirva. Sirva el pastel de zanahoria integral especiado tibio con una taza de chai, póngalo en la lonchera de un niño o incluso con un vaso de leche para el desayuno.</t>
  </si>
  <si>
    <t>Français Pour commencer à préparer le gâteau aux carottes au blé entier épicé, préchauffez d'abord le four à 180 °C. Graissez et farinez un moule à charnière de 9 pouces ou un moule à pain ou un moule Bundt. Réservez. Mélangez la farine, la levure chimique, le sel, la cannelle, le gingembre et réservez. Dans un grand bol ou le bol du batteur sur socle, ajoutez le Nutralite Classic, le sucre et les œufs et battez-les jusqu'à ce qu'ils soient légers et mousseux. Ajoutez le lait et battez-le dans le mélange d'œufs. Ajoutez graduellement le mélange de farine et les carottes et battez jusqu'à ce que le tout soit bien mélangé. Incorporez les noix et déposez la pâte à gâteau aux carottes au blé entier épicé à la cuillère et placez-la à cuire dans le four préchauffé. Faites cuire le gâteau aux carottes au blé entier épicé pendant environ 35 à 40 minutes ou jusqu'à ce qu'un testeur inséré au centre du gâteau en ressorte propre. Une fois le gâteau aux carottes au blé entier épicé cuit, retirez-le du four. Laissez le gâteau aux carottes au blé entier épicé refroidir un peu et servez. Servez le gâteau aux carottes au blé entier épicé chaud avec une tasse de chai, mettez-le dans une boîte à lunch pour enfant ou même avec un verre de lait au petit-déjeuner.</t>
  </si>
  <si>
    <t>https://www.archanaskitchen.com/spiced-oat-whole-wheat-carrot-cake-recipe-egg-free-recipe-eggless</t>
  </si>
  <si>
    <t>Grilled Tangy Lime Salmon Steak Recipe</t>
  </si>
  <si>
    <t>Rezept für gegrilltes Lachssteak mit würziger Limette</t>
  </si>
  <si>
    <t>Recette de pavé de saumon grillé au citron vert épicé</t>
  </si>
  <si>
    <t>Receta de filete de salmón a la parrilla con lima picante</t>
  </si>
  <si>
    <t>500 grammes de filet de saumon, 1 oignon haché, 2 cuillères à soupe de zeste de citron, 1 cuillère à soupe de grains de poivre noir entiers concassés, 2 cuillères à café de poudre d'ail, 1 cuillère à soupe d'huile d'olive extra vierge, 1 cuillère à soupe de poudre de paprika, sel au goût, 3 cuillères à soupe de jus de citron, 1 cuillère à soupe de moutarde de Dijon, 1 cuillère à soupe de jus de citron, 1 cuillère à soupe de Sambal oelek</t>
  </si>
  <si>
    <t>500 grams Salmon fillet,1 Onion - chopped,2 tablespoon Lemon zest,1 tablespoon Whole Black Peppercorns - crushed,2 teaspoons Garlic powder,1 tablespoon Extra Virgin Olive Oil,1 tablespoon Paprika powder,Salt - to taste,3 tablespoons Lemon juice,1 tablespoon Dijon Mustard,1 tablespoon Lemon juice,1 tablespoon Sambal oelek</t>
  </si>
  <si>
    <t>500 gramos de filete de salmón, 1 cebolla picada, 2 cucharadas de ralladura de limón, 1 cucharada de granos de pimienta negra enteros triturados, 2 cucharaditas de ajo en polvo, 1 cucharada de aceite de oliva virgen extra, 1 cucharada de pimentón en polvo, sal al gusto, 3 cucharadas de jugo de limón, 1 cucharada de mostaza Dijon, 1 cucharada de jugo de limón, 1 cucharada de Sambal oelek</t>
  </si>
  <si>
    <t xml:space="preserve">To begin making the Grilled Tangy Lime Salmon Steak Recipe, preheat the oven to 175 degrees. Meanwhile, chop the onions and keep it aside. Next take a bowl and add onions, lemon zest, crushed black pepper, garlic powder, olive oil, paprika powder, salt and lemon juice.  Mix the ingredients well.Place the fish in an oven-proof form and pour the mixture over the salmon. If the mixture stays on a salmon in one area use a brush to dispense the lemon bath.When the oven has reached its temperature, put the salmon in the oven. It should be in the oven for 15 minutes or until it has a nice light pink color.The next step is to make the sauce for the Salmon. In another bowl, add dijon mustard, lemon juice and sambal oelek. Mix everything thoroughly.Once the fish is done, take it out and cut it into 4 pieces. Serve each piece of fish with a small serving of the sauce on or beside the fish.Serve Grilled Tangy Lime Salmon Steak Recipe along with Roasted Tomato and Pumpkin Soup for a healthy weeknight dinner.
</t>
  </si>
  <si>
    <t>Para comenzar a hacer la Receta de Filete de Salmón a la Parrilla con Lima Ácida, precaliente el horno a 175 grados. Mientras tanto, pique las cebollas y déjelas a un lado. Luego tome un tazón y agregue las cebollas, la ralladura de limón, la pimienta negra triturada, el ajo en polvo, el aceite de oliva, el pimentón en polvo, la sal y el jugo de limón. Mezcle bien los ingredientes. Coloque el pescado en un molde apto para horno y vierta la mezcla sobre el salmón. Si la mezcla se queda en un área del salmón, use un cepillo para dispensar el baño de limón. Cuando el horno haya alcanzado su temperatura, coloque el salmón en el horno. Debería estar en el horno durante 15 minutos o hasta que tenga un bonito color rosa claro. El siguiente paso es hacer la salsa para el salmón. En otro tazón, agregue la mostaza de Dijon, el jugo de limón y el sambal oelek. Mezcle todo bien. Una vez que el pescado esté listo, sáquelo y córtelo en 4 trozos. Sirva cada pieza de pescado con una pequeña porción de salsa encima o al lado. Sirva la receta de filete de salmón a la parrilla con lima picante junto con sopa de tomate asado y calabaza para una cena saludable entre semana.</t>
  </si>
  <si>
    <t>Pour commencer à préparer la recette de steak de saumon grillé au citron vert acidulé, préchauffez le four à 175 degrés. Pendant ce temps, hachez les oignons et réservez-les. Ensuite, prenez un bol et ajoutez les oignons, le zeste de citron, le poivre noir concassé, la poudre d'ail, l'huile d'olive, la poudre de paprika, le sel et le jus de citron. Bien mélanger les ingrédients. Placez le poisson dans un plat allant au four et versez le mélange sur le saumon. Si le mélange reste sur un saumon à un endroit, utilisez un pinceau pour répartir le bain de citron. Lorsque le four a atteint sa température, mettez le saumon au four. Il devrait rester au four pendant 15 minutes ou jusqu'à ce qu'il ait une belle couleur rose clair. L'étape suivante consiste à préparer la sauce pour le saumon. Dans un autre bol, ajoutez la moutarde de Dijon, le jus de citron et le sambal oelek. Mélangez bien le tout. Une fois le poisson cuit, sortez-le et coupez-le en 4 morceaux. Servez chaque morceau de poisson avec une petite portion de sauce sur ou à côté du poisson. Servez la recette de steak de saumon grillé au citron vert acidulé avec une soupe de tomates rôties et de potiron pour un dîner sain en semaine.</t>
  </si>
  <si>
    <t>http://www.archanaskitchen.com/zingy-lime-and-salmon-recipe</t>
  </si>
  <si>
    <t>Egg White Spinach Omelette Recipe With Garlic &amp; Oregano</t>
  </si>
  <si>
    <t>Rezept für Eiweiß-Spinat-Omelett mit Knoblauch und Oregano</t>
  </si>
  <si>
    <t>Recette d'omelette aux épinards et aux blancs d'œufs, à l'ail et à l'origan</t>
  </si>
  <si>
    <t>Receta de tortilla de espinacas y claras de huevo con ajo y orégano</t>
  </si>
  <si>
    <t>4 œufs entiers - blancs d'œufs séparés, 1 oignon - finement haché, 50 grammes d'épinards - lavés et finement hachés, 2 piments verts - finement hachés, sel et poivre - au goût, 1 cuillère à café de tartinade à l'ail et à l'origan Nutralite</t>
  </si>
  <si>
    <t>4 Whole Eggs - egg whites separated,1 Onion - finely chopped,50 grams Spinach - washed and finely chopped,2 Green Chillies - finely chopped,Salt and Pepper - to taste,1 teaspoon Nutralite Garlic &amp; Oregano Spread</t>
  </si>
  <si>
    <t>4 huevos enteros (claras separadas), 1 cebolla finamente picada, 50 gramos de espinaca lavada y finamente picada, 2 chiles verdes finamente picados, sal y pimienta al gusto, 1 cucharadita de pasta para untar de ajo y orégano Nutralite.</t>
  </si>
  <si>
    <t xml:space="preserve">To begin making the Egg White Spinach Omelette Recipe With Garlic &amp; Oregano, get all the ingredients ready before you begin making the omelette.Since we are using whites from 4 eggs, this can at most serve 2 people of you plan to split the omelette into half or just about one large omelette for one person.If you are making this for more people, then you would need to make it in batches of similar quantity as mentioned in the above ingredient list. Take a large bowl, add all the ingredients together and whisk well with a fork until combined. The egg whites would have blended well and turned little fluffy.Preheat an 8 inch Omelette Skillet,  spoon the Nutralite Garlic &amp; Oregano Spread in the skillet.Once the skillet is heated, pour the whisked egg white omelette mixture onto the skillet. Turn the heat to medium low, else the omelette will brown faster at the bottom than it can get cooked on the top.Once you notice the top of the Omelette begins to get cooked (you will know when the wetness has turned to dry), using a flat spatula, flip the omelette and cook the opposite side as well.Allow it to cook for a about a minute and once cooked well on both sides as per your preference, slide the omelette to the serving platter.Serve Egg White Spinach Omelette Recipe With Garlic &amp; Oregano with with slices of buttered whole wheat bread, a glass of Carrot Pineapple Orange Juice Recipe or Cantaloupe (Melon) Juice Recipe for breakfast or for  an after school snack.
</t>
  </si>
  <si>
    <t>Para comenzar a hacer la Receta de Tortilla de Espinacas con Claras de Huevo, Ajo y Orégano, prepare todos los ingredientes antes de comenzar a hacer la tortilla. Dado que estamos usando claras de 4 huevos, esto puede servir como máximo para 2 personas si planea dividir la tortilla en dos o aproximadamente una tortilla grande para una persona. Si está haciendo esto para más personas, entonces necesitará hacerlo en lotes de cantidad similar a la mencionada en la lista de ingredientes anterior. Tome un tazón grande, agregue todos los ingredientes juntos y bata bien con un tenedor hasta que se combinen. Las claras de huevo se habrán mezclado bien y se habrán vuelto un poco esponjosas. Precaliente una sartén para tortillas de 8 pulgadas, vierta con una cuchara la pasta de ajo y orégano Nutralite en la sartén. Una vez que la sartén esté caliente, vierta la mezcla de tortilla de claras de huevo batida en la sartén. Baja el fuego a medio bajo, de lo contrario la tortilla se dorará más rápido en la parte inferior de lo que se cocinará en la parte superior. Una vez que notes que la parte superior de la tortilla comienza a cocinarse (sabrás cuando la humedad se haya secado), con una espátula plana, voltea la tortilla y cocina también el lado opuesto. Déjala cocinar durante aproximadamente un minuto y una vez que esté bien cocida por ambos lados, según tu preferencia, desliza la tortilla a la fuente para servir. Sirve la Receta de Tortilla de Espinacas y Claras de Huevo con Ajo y Orégano con rebanadas de pan integral con mantequilla, un vaso de Receta de Jugo de Zanahoria, Piña y Naranja o Receta de Jugo de Melón (Cantalupo) para el desayuno o para una merienda después de la escuela.</t>
  </si>
  <si>
    <t>Pour commencer à préparer la recette d'omelette aux épinards et aux blancs d'œufs avec ail et origan, préparez tous les ingrédients avant de commencer à préparer l'omelette. Puisque nous utilisons les blancs de 4 œufs, cela peut servir au maximum 2 personnes si vous prévoyez de diviser l'omelette en deux ou à peu près une grande omelette pour une personne. Si vous la préparez pour plus de personnes, vous devrez la préparer par lots de quantité similaire à celle mentionnée dans la liste des ingrédients ci-dessus. Prenez un grand bol, ajoutez tous les ingrédients ensemble et fouettez bien avec une fourchette jusqu'à ce que le tout soit bien mélangé. Les blancs d'œufs se seront bien mélangés et seront devenus un peu mousseux. Préchauffez une poêle à omelette de 8 pouces, versez la tartinade à l'ail et à l'origan Nutralite dans la poêle. Une fois la poêle chauffée, versez le mélange d'omelette aux blancs d'œufs fouettés dans la poêle. Baissez le feu à moyen-doux, sinon l'omelette brunira plus vite en dessous qu'elle ne pourra cuire sur le dessus. Une fois que vous remarquez que le dessus de l'omelette commence à cuire (vous saurez quand l'humidité est devenue sèche), à ​​l'aide d'une spatule plate, retournez l'omelette et faites cuire également le côté opposé. Laissez cuire pendant environ une minute et une fois bien cuite des deux côtés selon vos préférences, faites glisser l'omelette sur le plat de service. Servez la recette d'omelette aux épinards et aux blancs d'œufs avec de l'ail et de l'origan avec des tranches de pain de blé entier beurrées, un verre de jus de carotte, d'ananas et d'orange ou de jus de cantaloup (melon) pour le petit-déjeuner ou pour une collation après l'école.</t>
  </si>
  <si>
    <t>http://www.archanaskitchen.com/egg-white-omelette-recipe-with-spinach</t>
  </si>
  <si>
    <t>Cauliflower Croquettes Recipe</t>
  </si>
  <si>
    <t>Rezept für Blumenkohlkroketten</t>
  </si>
  <si>
    <t>Recette de croquettes de chou-fleur</t>
  </si>
  <si>
    <t>Receta de croquetas de coliflor</t>
  </si>
  <si>
    <t>1 chou-fleur (gobi) - coupé en petits morceaux, 1/2 tasse de farine tout usage (Maida), 1 tasse de lait, 2 cuillères à soupe de beurre, 4 gousses d'ail - hachées, 1 cuillère à soupe de romarin, 1 cuillère à soupe de feuilles de thym séchées, 3 cuillères à soupe de Tabasco Original - Sauce piquante, Sel - au goût, 1 œuf entier, 1/2 tasse de chapelure de blé entier, Huile de tournesol - pour la friture</t>
  </si>
  <si>
    <t>1 Cauliflower (gobi) - cut into small pieces,1/2 cup All Purpose Flour (Maida),1 cup Milk,2 tablespoon Butter,4 cloves Garlic - chopped,1 tablespoon Rosemary,1 tablespoon Dried Thyme Leaves,3 tablespoon Tabasco Original - Hot Sauce,Salt - to taste,1 Whole Egg,1/2 cup Whole Wheat Bread crumbs,Sunflower Oil - for frying</t>
  </si>
  <si>
    <t>1 coliflor (gobi) - cortada en trozos pequeños, 1/2 taza de harina para todo uso (Maida), 1 taza de leche, 2 cucharadas de mantequilla, 4 dientes de ajo picados, 1 cucharada de romero, 1 cucharada de hojas de tomillo secas, 3 cucharadas de Tabasco Original - salsa picante, sal - al gusto, 1 huevo entero, 1/2 taza de pan rallado integral, aceite de girasol - para freír</t>
  </si>
  <si>
    <t xml:space="preserve">To begin making the Cauliflower Croquettes Recipe, we will first pressure cook the cauliflower with little water and sprinkle some salt and cook it for 2 whistles.Keep it aside and allow the pressure to release naturally.In a sauce pan, heat milk, add butter, garlic and little salt and bring it to a boil. Once it starts boiling, slowly add flour and keep whisking till it comes together and forms a lump.Set aside and rest for few minutes till the mixture cools down.In the mean while take the cauliflower out and blitz it in a blender to a coarse mixture.Heat a saucepan, add a little butter and some chopped garlic and allow it to sizzle for few seconds.Add the ground cauliflower mixture, sprinkle the seasonings like rosemary, oregano and tabasco sauce and check for salt as well.Keep cooking the mixture for around 10 – 15 minutes and set aside to cool down.Once done, mix the cauliflower into the flour and milk mixture and shape them into cylindrical shapes.Refrigerate the croquettes for at least 15 minutes in the freezer before you fry them.Whisk the egg in a plate and keep it ready, keep the bread crumbs also by the side.Heat a flat skillet and add some oil to shallow fry the croquettes.Take the croquettes out and dip them in egg and coat evenly with bread crumbs and shake off any excess crumbs. Drop them into the hot oil carefully and shallow fry the till they turn golden brown. Skim the croquettes and drain it over a paper napkin. Serve the Cauliflower Croquettes Recipe along with Tzatziki Recipe - A Greek Yogurt Dip or Cottage Cheese Dip Recipe With Pepper and Olives to make it even more appetizing during any house parties.
</t>
  </si>
  <si>
    <t>Para comenzar a hacer la Receta de Croquetas de Coliflor, primero cocinaremos a presión la coliflor con poca agua y espolvorearemos un poco de sal y la cocinaremos por 2 silbidos. La reservamos y dejamos que la presión se libere naturalmente. En una cacerola, calentamos la leche, agregamos la mantequilla, el ajo y un poco de sal y la llevamos a ebullición. Una vez que empiece a hervir, agregue lentamente la harina y siga batiendo hasta que se una y forme un grumo. Deje reposar durante unos minutos hasta que la mezcla se enfríe. Mientras tanto, saque la coliflor y licúela en una licuadora hasta obtener una mezcla gruesa. Caliente una cacerola, agregue un poco de mantequilla y un poco de ajo picado y deje que chisporrotee durante unos segundos. Agregue la mezcla de coliflor molida, espolvoree los condimentos como romero, orégano y salsa tabasco y verifique también la sal. Siga cocinando la mezcla durante unos 10 a 15 minutos y deje enfriar. Una vez hecho esto, mezcle la coliflor con la mezcla de harina y leche y déles forma cilíndrica. Refrigere las croquetas durante al menos 15 minutos en el congelador antes de freírlas. Bata el huevo en un plato y manténgalo listo, mantenga las migas de pan también a un lado. Caliente una sartén plana y agregue un poco de aceite para freír las croquetas. Saque las croquetas y sumérjalas en huevo y cúbralas Rebozar uniformemente con pan rallado y retirar el exceso. Colocarlas en el aceite caliente con cuidado y freírlas hasta que se doren. Retirar la espuma de las croquetas y escurrirlas sobre una servilleta de papel. Servir la receta de croquetas de coliflor junto con la receta de tzatziki (una salsa de yogur griego) o la receta de salsa de requesón con pimienta y aceitunas para hacerlas aún más apetitosas en cualquier fiesta en casa.</t>
  </si>
  <si>
    <t>Pour commencer à préparer la recette de croquettes de chou-fleur, nous allons d'abord cuire le chou-fleur sous pression avec un peu d'eau et saupoudrer un peu de sel et le cuire pendant 2 sifflets. Gardez-le de côté et laissez la pression se relâcher naturellement. Dans une casserole, faites chauffer le lait, ajoutez le beurre, l'ail et un peu de sel et portez à ébullition. Une fois que ça commence à bouillir, ajoutez lentement la farine et continuez à fouetter jusqu'à ce que le mélange se rassemble et forme un grumeau. Réservez et laissez reposer quelques minutes jusqu'à ce que le mélange refroidisse. Pendant ce temps, sortez le chou-fleur et mixez-le dans un mixeur jusqu'à obtenir un mélange grossier. Faites chauffer une casserole, ajoutez un peu de beurre et un peu d'ail haché et laissez grésiller pendant quelques secondes. Ajoutez le mélange de chou-fleur moulu, saupoudrez d'assaisonnements comme le romarin, l'origan et la sauce Tabasco et vérifiez également le sel. Continuez à cuire le mélange pendant environ 10 à 15 minutes et laissez refroidir. Une fois terminé, mélangez le chou-fleur au mélange de farine et de lait et façonnez-les en formes cylindriques. Réfrigérez les croquettes pendant au moins 15 minutes au congélateur avant de les faire frire. Fouettez l'œuf dans une assiette et réservez-le, gardez également la chapelure à côté. Faites chauffer une poêle plate et ajoutez un peu d'huile pour faire frire les croquettes. Sortez les croquettes et trempez-les dans l'œuf et enrobez-les uniformément de chapelure et Secouez l'excédent de miettes. Plongez-les délicatement dans l'huile chaude et faites-les frire jusqu'à ce qu'elles soient dorées. Écumez les croquettes et égouttez-les sur une serviette en papier. Servez la recette de croquettes de chou-fleur avec la recette de tzatziki - une trempette au yaourt grec - ou une recette de trempette au fromage cottage avec du poivre et des olives - pour la rendre encore plus appétissante lors de toutes les fêtes à la maison.</t>
  </si>
  <si>
    <t>https://www.archanaskitchen.com/cauliflower-croquettes-recipe</t>
  </si>
  <si>
    <t>Rosemary And Thyme Chicken Recipe</t>
  </si>
  <si>
    <t>Rezept für Hühnchen mit Rosmarin und Thymian</t>
  </si>
  <si>
    <t>Recette de poulet au romarin et au thym</t>
  </si>
  <si>
    <t>Receta de pollo con romero y tomillo</t>
  </si>
  <si>
    <t>2 blancs de poulet, 2 cuillères à soupe de romarin, 2 cuillères à soupe de feuilles de thym frais ou séchées, 4 gousses d'ail hachées, 2 cuillères à soupe de jus de citron, 1 cuillère à soupe de miel, 4 cuillères à soupe d'huile d'olive extra vierge, 2 cuillères à soupe de zeste de citron, 1/2 cuillère à soupe de poivre noir en poudre, 5 quartiers de citron</t>
  </si>
  <si>
    <t>2 Chicken breasts,2 tablespoon Rosemary,2 tablespoon Fresh Thyme leaves - or dried,4 cloves Garlic - minced,2 tablespoon Lemon juice,1 tablespoon Honey,4 tablespoon Extra Virgin Olive Oil,2 tablespoon Lemon zest,1/2 tablespoon Black pepper powder,5 Lemon wedges</t>
  </si>
  <si>
    <t>2 pechugas de pollo, 2 cucharadas de romero, 2 cucharadas de hojas de tomillo fresco (o secas), 4 dientes de ajo picados, 2 cucharadas de jugo de limón, 1 cucharada de miel, 4 cucharadas de aceite de oliva virgen extra, 2 cucharadas de ralladura de limón, 1/2 cucharada de pimienta negra en polvo, 5 gajos de limón</t>
  </si>
  <si>
    <t xml:space="preserve">To begin making the Rosemary And Thyme Chicken recipe, take a big bowl and mix everything together except lemon slices and chicken breast. Now add the chicken breast and rub the marinate on chicken so that is it completely covered.Cover the bowl with a plastic wrap and marinate this in the fridge for at least one hour.After one hour take the chicken out of the fridge and keep it aside.Heat up a skillet and put the chicken breast on it. Arrange the lemon slices beside chicken and pour the left over marinate all over chicken and let it cook on slow heat in the marinade itself.Keep flipping the chicken and cook for 15-20 minutes until the chicken gets cooked. Overcooking might make the chicken chewy and tough. Serve it hot.Serve Rosemary And Thyme Chicken along with Farm Fresh Vegetarian Pasta Salad for a weekday dinner.
</t>
  </si>
  <si>
    <t>Para empezar a preparar la receta de Pollo al Romero y Tomillo, toma un tazón grande y mezcla todo excepto las rodajas de limón y la pechuga de pollo. Ahora agrega la pechuga de pollo y frota la marinada sobre el pollo hasta que esté completamente cubierto. Cubre el tazón con una envoltura de plástico y marina esto en el refrigerador durante al menos una hora. Después de una hora, saca el pollo del refrigerador y déjalo a un lado. Calienta una sartén y coloca la pechuga de pollo sobre ella. Coloca las rodajas de limón al lado del pollo y vierte la marinada sobrante por todo el pollo y déjalo cocinar a fuego lento en la misma marinada. Sigue volteando el pollo y cocina durante 15-20 minutos hasta que el pollo esté cocido. Cocinar demasiado puede hacer que el pollo quede masticable y duro. Sírvelo caliente. Sirve el Pollo al Romero y Tomillo junto con la Ensalada de Pasta Vegetariana Fresca de Granja para una cena entre semana.</t>
  </si>
  <si>
    <t>Pour commencer à préparer la recette de poulet au romarin et au thym, prenez un grand bol et mélangez tous les ingrédients sauf les tranches de citron et le blanc de poulet. Ajoutez ensuite le blanc de poulet et frottez la marinade sur le poulet pour le recouvrir complètement. Couvrez le bol d'un film plastique et laissez mariner au réfrigérateur pendant au moins une heure. Après une heure, sortez le poulet du réfrigérateur et réservez-le. Faites chauffer une poêle et déposez-y le blanc de poulet. Disposez les tranches de citron à côté du poulet et versez le reste de marinade sur le poulet. Laissez cuire à feu doux dans la marinade elle-même. Retournez le poulet et faites-le cuire pendant 15 à 20 minutes jusqu'à ce qu'il soit cuit. Une cuisson excessive pourrait le rendre caoutchouteux et dur. Servez chaud. Servez le poulet au romarin et au thym avec une salade de pâtes végétariennes fraîches de la ferme pour un dîner de semaine.</t>
  </si>
  <si>
    <t>https://www.archanaskitchen.com/rosemary-and-thyme-chicken-recipe</t>
  </si>
  <si>
    <t>Apple Tart with Puff Pastry Recipe (Open Pie)</t>
  </si>
  <si>
    <t>Apfelkuchen mit Blätterteig Rezept (offener Kuchen)</t>
  </si>
  <si>
    <t>Recette de tarte aux pommes feuilletée (tarte ouverte)</t>
  </si>
  <si>
    <t>Receta de pastel de manzana con hojaldre (pastel abierto)</t>
  </si>
  <si>
    <t>1 feuille de pâte feuilletée, 1 pomme coupée en tranches, 1/4 cuillère à café de cannelle en poudre (Dalchini), 1/3 tasse de cassonade (sucre Demerara)</t>
  </si>
  <si>
    <t>1 Puff Pastry Sheet,1 Apple - sliced,1/4 teaspoon Cinnamon Powder (Dalchini),1/3 cup Brown Sugar (Demerara Sugar)</t>
  </si>
  <si>
    <t>1 lámina de hojaldre, 1 manzana en rodajas, 1/4 cucharadita de canela en polvo (dalchini), 1/3 taza de azúcar moreno (azúcar demerara)</t>
  </si>
  <si>
    <t xml:space="preserve">We begin making the Apple Tart with Puff Pastry Recipe (Open Pie) by preheating your oven to 200 C. Line up the baking tray with parchment paper. Clean and remove the core from the apple and slice the apple thin.Stir in the cinnamon powder and brown sugar together and keep aside.Cut the pastry sheet into 2 equal portions and fold in the borders of each by 1/4 inch (we can trim the edges too). Place the pastry sheets on lined up baking trays and top the pastry with a layer of apples down in the middle. Sprinkle the apples with brown sugar.Bake the Apple Tarts in the oven for 15 minutes or until puffed and golden on all the sides. Once baked, remove from the oven.Serve the Apple Tart with Puff Pastry Recipe warm along with a scoop of vanilla ice cream for parties for a delicious Dessert. 
</t>
  </si>
  <si>
    <t>Comenzamos preparando la receta de tarta de manzana con hojaldre (tarta abierta) precalentando el horno a 200 °C. Cubrimos la bandeja con papel vegetal. Limpiamos y descorazonamos la manzana y la cortamos en rodajas finas. Incorporamos la canela en polvo y el azúcar moreno y reservamos. Cortamos la hojaldre en dos porciones iguales y doblamos los bordes de cada una 0,6 cm (también podemos recortar los bordes). Colocamos las hojas de hojaldre en bandejas alineadas y cubrimos la masa con una capa de manzanas en el centro. Espolvoreamos las manzanas con azúcar moreno. Horneamos las tartas de manzana durante 15 minutos o hasta que estén infladas y doradas por todos lados. Una vez horneadas, retiramos del horno. Sirve la receta de tarta de manzana con hojaldre caliente junto con una bola de helado de vainilla para fiestas como un delicioso postre.</t>
  </si>
  <si>
    <t>Pour préparer la tarte aux pommes feuilletée (tarte ouverte), préchauffez votre four à 200 °C. Recouvrez la plaque de cuisson de papier sulfurisé. Nettoyez et épépinez la pomme, puis coupez-la en fines tranches. Incorporez la cannelle en poudre et la cassonade et réservez. Coupez la pâte feuilletée en deux portions égales et repliez les bords de chaque portion sur 6 mm (vous pouvez également couper les bords). Disposez les feuilles de pâte feuilletée sur des plaques de cuisson alignées et recouvrez la pâte d'une couche de pommes au milieu. Saupoudrez les pommes de cassonade. Faites cuire les tartelettes aux pommes au four pendant 15 minutes ou jusqu'à ce qu'elles soient gonflées et dorées sur toutes les faces. Une fois cuites, retirez-les du four. Servez la tarte aux pommes feuilletée tiède avec une boule de glace à la vanille pour un délicieux dessert.</t>
  </si>
  <si>
    <t>http://www.archanaskitchen.com/apple-tart-recipe-with-puff-pastry-open-pie</t>
  </si>
  <si>
    <t>Broccoli Soup Recipe - For Babies/Toddlers above 7 months</t>
  </si>
  <si>
    <t>Brokkolisuppe Rezept - Für Babys/Kleinkinder ab 7 Monaten</t>
  </si>
  <si>
    <t>Recette de soupe au brocoli - Pour bébés/tout-petits à partir de 7 mois</t>
  </si>
  <si>
    <t>Receta de sopa de brócoli para bebés y niños pequeños de 7 meses en adelante</t>
  </si>
  <si>
    <t>1 tasse de brocoli - 10 fleurons environ, sel - une pincée, poivre noir en poudre - une pincée, 1/2 cuillère à café de beurre (non salé), 3 Badam (amandes) - trempées dans de l'eau chaude</t>
  </si>
  <si>
    <t>1 cup Broccoli - 10 florets approximately,Salt - a pinch,Black pepper powder - a pinch,1/2 teaspoon Butter (unsalted),3 Badam (Almond) - soaked in hot water</t>
  </si>
  <si>
    <t>1 taza de brócoli - 10 floretes aproximadamente, sal - una pizca, pimienta negra en polvo - una pizca, 1/2 cucharadita de mantequilla (sin sal), 3 Badam (almendras) - remojadas en agua caliente</t>
  </si>
  <si>
    <t xml:space="preserve">To begin making the Broccoli Soup, we begin by washing the broccoli florets thoroughly. Once the Broccoli is washed, add this to a pressure cooker with 1/4 cup of water and a pinch of salt. Close the lid and pressure cook for 1 whistle. Release the pressure immediately as broccoli cooks very fast and if it cooks any further, the broccoli florets will lose the nutrition that it has to offer to your baby.Soak the almonds in hot water for 15 minutes and remove the skin.Transfer the broccoli florets along with the water into a bowl and allow it to cool. Add the cooled Broccoli florets along with the water that it was cooked in and the almonds into a mixer and blend until it forms a smooth texture. Place a pan on low heat and add half a teaspoon of butter to the pan. Once the butter melts, add the blended broccoli to the pan and sprinkle a pinch of pepper.Stir well until all the ingredients are well combined. Let the broccoli soup for the baby stay on low heat for 2-3 minutes, turn off the heat. Serve this Broccoli soup to you baby or toddler who is over 7 months for lunch or dinner. For a child above 1 year serve this soup with a small piece of whole wheat bread toast. 
</t>
  </si>
  <si>
    <t>Para comenzar a hacer la sopa de brócoli, comenzamos lavando bien los floretes de brócoli. Una vez lavado el brócoli, agréguelo a una olla a presión con 1/4 de taza de agua y una pizca de sal. Cierre la tapa y cocine a presión durante 1 silbato. Libere la presión inmediatamente ya que el brócoli se cocina muy rápido y si se cocina más, los floretes de brócoli perderán la nutrición que tiene para ofrecerle a su bebé. Remoje las almendras en agua caliente durante 15 minutos y retire la piel. Transfiera los floretes de brócoli junto con el agua a un tazón y deje que se enfríe. Agregue los floretes de brócoli enfriados junto con el agua en la que se cocinó y las almendras a una batidora y mezcle hasta que forme una textura suave. Coloque una sartén a fuego lento y agregue media cucharadita de mantequilla a la sartén. Una vez que la mantequilla se derrita, agregue el brócoli licuado a la sartén y espolvoree una pizca de pimienta. Revuelva bien hasta que todos los ingredientes estén bien combinados. Deje la sopa de brócoli para bebés a fuego lento durante 2-3 minutos y luego apague el fuego. Sirva esta sopa de brócoli a su bebé o niño pequeño mayor de 7 meses para el almuerzo o la cena. Para niños mayores de 1 año, sírvala con una tostada de pan integral.</t>
  </si>
  <si>
    <t>Pour commencer à préparer la soupe au brocoli, nous commençons par bien laver les fleurons de brocoli. Une fois le brocoli lavé, ajoutez-le dans un autocuiseur avec 1/4 tasse d'eau et une pincée de sel. Fermez le couvercle et faites cuire sous pression pendant 1 sifflet. Relâchez la pression immédiatement car le brocoli cuit très vite et s'il cuit plus longtemps, les fleurons de brocoli perdront les nutriments qu'il a à offrir à votre bébé. Faites tremper les amandes dans de l'eau chaude pendant 15 minutes et retirez la peau. Transférez les fleurons de brocoli avec l'eau dans un bol et laissez-le refroidir. Ajoutez les fleurons de brocoli refroidis avec l'eau dans laquelle ils ont été cuits et les amandes dans un mixeur et mixez jusqu'à obtenir une texture lisse. Placez une casserole sur feu doux et ajoutez une demi-cuillère à café de beurre dans la casserole. Une fois le beurre fondu, ajoutez le brocoli mixé dans la casserole et saupoudrez d'une pincée de poivre. Remuez bien jusqu'à ce que tous les ingrédients soient bien mélangés. Laissez la soupe de brocoli pour bébé sur feu doux pendant 2 à 3 minutes, puis éteignez le feu. Servez cette soupe de brocoli à votre bébé ou à votre tout-petit de plus de 7 mois pour le déjeuner ou le dîner. Pour un enfant de plus d'un an, servez-la avec une petite tranche de pain complet grillé.</t>
  </si>
  <si>
    <t>https://www.archanaskitchen.com/broccoli-soup-recipe-for-babies-toddlers-above-7-months</t>
  </si>
  <si>
    <t>Spinach &amp; Garlic Potato Patties Recipe</t>
  </si>
  <si>
    <t>Rezept für Kartoffelpuffer mit Spinat und Knoblauch</t>
  </si>
  <si>
    <t>Recette de galettes de pommes de terre aux épinards et à l'ail</t>
  </si>
  <si>
    <t>Receta de panqueques de papa con espinacas y ajo</t>
  </si>
  <si>
    <t>4 pommes de terre (Aloo) - bouillies et pelées, 1/4 tasse de lait, 1 cuillère à soupe de beurre, 4 gousses d'ail - finement hachées, 1 oignon - finement haché, sel - au goût, 1 tasse de feuilles d'épinards (Palak) - finement hachées, 1 cuillère à café de poudre de poivre noir, 3/4 tasse de chapelure de blé entier, 1/2 tasse de fromage, 1 cuillère à soupe de jus de citron, 1 cuillère à café de poudre de cumin (Jeera), huile d'olive extra vierge - pour faire frire les galettes</t>
  </si>
  <si>
    <t>4 Potatoes (Aloo) - boiled and peeled,1/4 cup Milk,1 tablespoon Butter,4 cloves Garlic - finely chopped,1 Onion - finely chopped,Salt - to taste,1 cup Spinach Leaves (Palak) - finely chopped,1 teaspoon Black pepper powder,3/4 cup Whole Wheat Bread crumbs,1/2 cup Cheese,1 tablespoon Lemon juice,1 teaspoon Cumin powder (Jeera),Extra Virgin Olive Oil - to shallow fry the patties</t>
  </si>
  <si>
    <t>4 papas (Aloo) - hervidas y peladas, 1/4 taza de leche, 1 cucharada de mantequilla, 4 dientes de ajo - finamente picados, 1 cebolla - finamente picada, sal - al gusto, 1 taza de hojas de espinaca (Palak) - finamente picadas, 1 cucharadita de pimienta negra en polvo, 3/4 taza de pan rallado integral, 1/2 taza de queso, 1 cucharada de jugo de limón, 1 cucharadita de comino en polvo (Jeera), aceite de oliva virgen extra - para freír las hamburguesas</t>
  </si>
  <si>
    <t xml:space="preserve">To begin making the Spinach &amp; Garlic Potato Patties Recipe heat a skillet with butter on medium-low flame, add the butter. Once the butter is melted, add in the garlic and saute for about a minute. To this add onions, salt and cook until they turn translucent, this will take about 2-3 minutes on medium flame. Next add the washed and chopped spinach leaves and cook on medium-high heat for a good 2-3 minutes, until the spinach leaves wilt down. Turn of the flame, add the black pepper powder and lemon juice. Set aside to cool. In a mixing bowl, add the boiled potatoes and mash them well, to this add the milk, bread crumbs, cheese, lemon juice, cumin powder, salt to taste and the cooked spinach mixture. Mix the spinach garlic potato patty mixture until well combined. Heat a skillet on medium heat and brush with a little oil. Grease your palms with oil as well and shape the spinach garlic potato patty mixture into medium sized discs. Place these spinach garlic potato patties on the preheated skillet and cook for about 3-4 minutes on each side or until it achieves a nice brown colour. Once done, remove the spinach garlic potato patty from the heat and place it in a serving platter and serve hot.Serve the Spinach &amp; Garlic Potato Patties along with Tzatziki Recipe - A Greek Yogurt Dip or simple tomato ketchup as a party appetizer. 
</t>
  </si>
  <si>
    <t>Para comenzar a hacer la Receta de Tortitas de Papa con Espinacas y Ajo, calienta una sartén con mantequilla a fuego medio-bajo, agrega la mantequilla. Una vez que la mantequilla se haya derretido, agrega el ajo y saltea durante aproximadamente un minuto. A esto agrega cebollas, sal y cocina hasta que se vuelvan translúcidas, esto tomará alrededor de 2-3 minutos a fuego medio. Luego agrega las hojas de espinaca lavadas y picadas y cocina a fuego medio-alto durante unos buenos 2-3 minutos, hasta que las hojas de espinaca se marchiten. Apaga el fuego, agrega la pimienta negra en polvo y el jugo de limón. Deja enfriar. En un tazón, agrega las papas hervidas y tritúralas bien, a esto agrega la leche, el pan rallado, el queso, el jugo de limón, el comino en polvo, la sal al gusto y la mezcla de espinacas cocidas. Mezcla la mezcla de espinacas, ajo y papas hasta que esté bien combinado. Calienta una sartén a fuego medio y pincela con un poco de aceite. Unta tus palmas con aceite y forma discos medianos con la mezcla de espinacas, ajo y papa. Coloca las espinacas, ajo y papa en la sartén precalentada y cocina de 3 a 4 minutos por cada lado o hasta que adquieran un bonito color marrón. Una vez listas, retira las espinacas del fuego, colócalas en una fuente y sírvelas calientes. Sirve las espinacas y ajo con la receta de tzatziki (una salsa de yogur griego) o con kétchup de tomate como aperitivo.</t>
  </si>
  <si>
    <t>Pour commencer à préparer la recette des galettes de pommes de terre aux épinards et à l'ail, faites chauffer une poêle avec du beurre à feu moyen-doux, ajoutez le beurre. Une fois le beurre fondu, ajoutez l'ail et faites revenir pendant environ une minute. Ajoutez les oignons, le sel et faites cuire jusqu'à ce qu'ils deviennent translucides, cela prendra environ 2 à 3 minutes à feu moyen. Ajoutez ensuite les feuilles d'épinards lavées et hachées et faites cuire à feu moyen-vif pendant 2 à 3 bonnes minutes, jusqu'à ce que les feuilles d'épinards se fanent. Éteignez le feu, ajoutez la poudre de poivre noir et le jus de citron. Laissez refroidir. Dans un saladier, ajoutez les pommes de terre bouillies et écrasez-les bien, ajoutez le lait, la chapelure, le fromage, le jus de citron, la poudre de cumin, le sel au goût et le mélange d'épinards cuits. Mélangez le mélange de galettes de pommes de terre aux épinards et à l'ail jusqu'à ce que le tout soit bien mélangé. Faites chauffer une poêle à feu moyen et badigeonnez-la d'un peu d'huile. Huilez vos paumes et façonnez le mélange de galettes de pommes de terre à l'ail et aux épinards en disques de taille moyenne. Déposez ces galettes dans la poêle préchauffée et faites-les cuire 3 à 4 minutes de chaque côté, jusqu'à ce qu'elles soient bien dorées. Une fois cuites, retirez-les du feu, placez-les dans un plat de service et servez chaud. Servez les galettes de pommes de terre à l'ail et aux épinards accompagnées de sauce tzatziki (une trempette au yaourt grec) ou de ketchup en entrée.</t>
  </si>
  <si>
    <t>http://www.archanaskitchen.com/spinach-garlic-potato-patties-recipe</t>
  </si>
  <si>
    <t>How To Boil Eggs At Home - Boiled Eggs Recipe</t>
  </si>
  <si>
    <t>Wie man Eier zu Hause kocht - Rezept für gekochte Eier</t>
  </si>
  <si>
    <t>Comment faire cuire des œufs à la maison - recette d'œufs durs</t>
  </si>
  <si>
    <t>Cómo cocinar huevos en casa: receta de huevos duros</t>
  </si>
  <si>
    <t>2 œufs entiers, eau - (2 pouces au-dessus des œufs dans la poêle)</t>
  </si>
  <si>
    <t>2 Whole Eggs,Water - (2 inches above eggs in the pan)</t>
  </si>
  <si>
    <t>2 huevos enteros, agua (2 pulgadas por encima de los huevos en la sartén)</t>
  </si>
  <si>
    <t xml:space="preserve">To Boil Eggs, take whole eggs in a saucepan. You can check the freshness of eggs by putting them carefully and slowly in a glass of plain water. If the egg settles at the bottom, they're fresh and are good to consume. If they float partially or completely, discard them as they are stale already. Do this check before you do any egg recipe so that the recipe will not be any affected with stale eggs.Add enough water into it so that the eggs are immersed completely and in a single layer. Do not pile the eggs one on top of another. Also, also make sure that the water level is about inches above the eggs, failing which the gradual evaporation of water during rolling boil will leave the eggs imperfectly cooked and eggs may develop a greenish layer.Keep the saucepan on medium heat and let the water boil. Boil the contents for 8-12 minutes with or without covering the pan. If you need soft boiled eggs, switch off at 8 minutes; or you can continue to boil eggs for 12 minutes for perfectly cooked hard boiled eggs.You can immediately take the eggs out from a slotted spoon and put them in ice cold water to curb further cooking.Peel off the skin, cut to half, season with salt and pepper and the boiled eggs recipe is good to be eaten.These boiled eggs can also be included in making Nargisi Kofta Recipe, Egg Roast Curry Recipe or in making simple Stuffed Deviled Eggs with Parsley and Mayonnaise.
</t>
  </si>
  <si>
    <t>Para hervir huevos, tome huevos enteros en una cacerola. Puede comprobar la frescura de los huevos colocándolos cuidadosa y lentamente en un vaso de agua corriente. Si el huevo se asienta en el fondo, está fresco y es bueno para consumir. Si flota parcial o completamente, deséchelos ya que están rancios. Haga esta comprobación antes de hacer cualquier receta de huevos para que la receta no se vea afectada por huevos rancios. Agregue suficiente agua para que los huevos queden completamente sumergidos y en una sola capa. No apile los huevos uno encima del otro. Además, asegúrese de que el nivel del agua esté aproximadamente a pulgadas por encima de los huevos, de lo contrario, la evaporación gradual del agua durante el hervor dejará los huevos imperfectamente cocidos y los huevos pueden desarrollar una capa verdosa. Mantenga la cacerola a fuego medio y deje que el agua hierva. Hierva el contenido durante 8-12 minutos con o sin cubrir la cacerola. Si necesita huevos pasados ​​por agua, apáguelos a los 8 minutos; o puedes continuar hirviendo los huevos durante 12 minutos para obtener huevos duros perfectamente cocidos. Puedes sacar inmediatamente los huevos de una espumadera y ponerlos en agua helada para frenar la cocción. Pela la piel, córtalos por la mitad, sazona con sal y pimienta y la receta de huevos duros estará lista para comer. Estos huevos duros también se pueden incluir en la preparación de la Receta de Nargisi Kofta, la Receta de Curry Asado con Huevo o en la preparación de unos sencillos Huevos Rellenos en Diablito con Perejil y Mayonesa.</t>
  </si>
  <si>
    <t>Pour faire bouillir des œufs, prenez des œufs entiers dans une casserole. Vous pouvez vérifier la fraîcheur des œufs en les mettant soigneusement et lentement dans un verre d'eau plate. Si l'œuf se dépose au fond, ils sont frais et sont bons à consommer. S'ils flottent partiellement ou complètement, jetez-les car ils sont déjà rassis. Faites cette vérification avant de faire une recette d'œufs afin que la recette ne soit pas affectée par des œufs rassis. Ajoutez suffisamment d'eau pour que les œufs soient complètement immergés et en une seule couche. N'empilez pas les œufs les uns sur les autres. Assurez-vous également que le niveau d'eau est d'environ quelques centimètres au-dessus des œufs, sinon l'évaporation progressive de l'eau pendant l'ébullition laissera les œufs imparfaitement cuits et les œufs pourraient développer une couche verdâtre. Gardez la casserole sur feu moyen et laissez l'eau bouillir. Faites bouillir le contenu pendant 8 à 12 minutes avec ou sans couvrir la casserole. Si vous avez besoin d'œufs à la coque, éteignez le feu au bout de 8 minutes ; ou vous pouvez continuer à faire bouillir les œufs pendant 12 minutes pour des œufs durs parfaitement cuits. Vous pouvez immédiatement retirer les œufs d'une écumoire et les mettre dans de l'eau glacée pour freiner la cuisson. Retirez la peau, coupez-les en deux, assaisonnez de sel et de poivre et la recette d'œufs durs est bonne à manger. Ces œufs durs peuvent également être inclus dans la préparation de la recette de Nargisi Kofta, de la recette de curry d'œufs rôtis ou dans la préparation de simples œufs farcis au persil et à la mayonnaise.</t>
  </si>
  <si>
    <t>http://www.archanaskitchen.com/boiled-eggs-recipe</t>
  </si>
  <si>
    <t>Microwaved Egg-Omelette-In-A-Mug Recipe</t>
  </si>
  <si>
    <t>Rezept für ein Eieromelett in einer Tasse aus der Mikrowelle</t>
  </si>
  <si>
    <t>Recette d'omelette aux œufs dans une tasse au micro-ondes</t>
  </si>
  <si>
    <t>Receta de tortilla de huevo en taza para microondas</t>
  </si>
  <si>
    <t>4 œufs entiers, 4 blancs d'œufs, 1/2 cuillère à café de poudre de poivre noir, sel - au goût, 1/4 tasse de poivron vert (Capsicum) - ou de n'importe quelle couleur, 1/4 cuillère à soupe d'oignons - finement hachés, huile de tournesol - pour graisser les tasses</t>
  </si>
  <si>
    <t>4 Whole Eggs,4 Egg whites,1/2 teaspoon Black pepper powder,Salt - to taste,1/4 cup Green Bell Pepper (Capsicum) - or any colour,1/4 tablespoon Onions - finely chopped,Sunflower Oil - for greasing the cups</t>
  </si>
  <si>
    <t>4 huevos enteros, 4 claras de huevo, 1/2 cucharadita de pimienta negra en polvo, sal - al gusto, 1/4 taza de pimiento verde (Capsicum) - o cualquier color, 1/4 cucharada de cebollas - finamente picadas, aceite de girasol - para engrasar los moldes</t>
  </si>
  <si>
    <t xml:space="preserve">To make the Microwaved Egg-Omlette-In-A-Mug first grease 4 microwaveable cups with oil.Then, crack the eggs and add additional egg whites from 4 eggs into a mixing bowl. Add pepper powder, salt, finely chopped bell peppers and onions into the same bowl and whisk well until combined and frothy.Pour the egg mixture into the greased cups, equally, taking care to fill only 3/4 of the cup.One at a time, place the cups in the microwave and cook on high power for 2 minutes each. If you see the mix bubbling out of the cup, stop the microwave, remove the cup out and mix once, place it back into the microwave and cook.Insert a fork into the cup and if it comes out clean the omelette is cooked and ready. If the fork comes out eggy, you need to cook the egg for a minute or two more. Mix it once and place it back into the microwave. Cook until the fork comes out clean.Serve the Egg-Omelette-In-A-Mug along with some toast and Banana Almond &amp; Prunes Smoothie for a hearty breakfast.
</t>
  </si>
  <si>
    <t>Para preparar la tortilla de huevo en taza al microondas, engrasa 4 tazas aptas para microondas con aceite. Luego, rompe los huevos y añade las claras de huevo de 4 huevos a un bol. Agrega pimienta en polvo, sal, pimientos morrones finamente picados y cebollas en el mismo bol y bate bien hasta que se combinen y forme una espuma. Vierte la mezcla de huevo en las tazas engrasadas, a partes iguales, procurando llenar solo 3/4 de la taza. Una a la vez, coloca las tazas en el microondas y cocina a alta potencia durante 2 minutos cada una. Si ves que la mezcla burbujea fuera de la taza, apaga el microondas, retira la taza y mezcla una vez, vuelve a colocarla en el microondas y cocina. Inserta un tenedor en la taza y, si sale limpio, la tortilla está cocida y lista. Si el tenedor sale con huevo, debes cocinar el huevo durante uno o dos minutos más. Mezcla una vez y vuelve a colocarla en el microondas. Cocine hasta que al insertar un tenedor, este salga limpio. Sirva la tortilla de huevo en taza junto con unas tostadas y un batido de plátano, almendras y ciruelas pasas para un desayuno abundante.</t>
  </si>
  <si>
    <t>Pour préparer l'omelette aux œufs dans une tasse au micro-ondes, graissez d'abord 4 tasses allant au micro-ondes avec de l'huile. Cassez ensuite les œufs et ajoutez les blancs d'œufs de 4 autres dans un saladier. Ajoutez le poivre en poudre, le sel, les poivrons et les oignons finement hachés dans le même saladier et fouettez bien jusqu'à obtenir une consistance mousseuse. Versez le mélange d'œufs dans les tasses graissées, en veillant à ne remplir qu'aux 3/4. Placez les tasses une à une au micro-ondes et faites cuire à puissance maximale pendant 2 minutes chacune. Si vous voyez le mélange bouillonner, arrêtez le micro-ondes, retirez la tasse, mélangez une fois, remettez-la au micro-ondes et faites cuire. Insérez une fourchette dans la tasse : si elle ressort propre, l'omelette est cuite et prête. Si la fourchette ressort pleine, vous devez cuire l'œuf une minute ou deux de plus. Mélangez une fois, puis remettez-la au micro-ondes. Faites cuire jusqu'à ce que la fourchette ressorte propre. Servez l'omelette aux œufs dans une tasse avec du pain grillé et un smoothie banane, amandes et pruneaux pour un petit-déjeuner copieux.</t>
  </si>
  <si>
    <t>https://www.archanaskitchen.com/microwaved-egg-omlette-in-a-mug-recipe</t>
  </si>
  <si>
    <t>Banana Digestive Pudding Recipe With Pistachios</t>
  </si>
  <si>
    <t>Rezept für Bananen-Digestive-Pudding mit Pistazien</t>
  </si>
  <si>
    <t>Recette de pudding digestif à la banane et aux pistaches</t>
  </si>
  <si>
    <t>Receta de pudín digestivo de plátano y pistacho</t>
  </si>
  <si>
    <t>2 bananes mûres écrasées, 1 tasse de yaourt grec, 2 cuillères à soupe de miel, 4 biscuits digestifs à l'avoine multigrains, 2 cuillères à soupe de pistaches hachées</t>
  </si>
  <si>
    <t>2 Ripe Bananas - mashed,1 cup Hung Curd (Greek Yogurt),2 tablespoons Honey,4 Multigrain Digestive Oat Biscuits,2 tablespoons Pistachios - chopped</t>
  </si>
  <si>
    <t>2 plátanos maduros machacados, 1 taza de yogur griego, 2 cucharadas de miel, 4 galletas de avena digestivas multigrano, 2 cucharadas de pistachos picados</t>
  </si>
  <si>
    <t xml:space="preserve">To begin making Banana Digestive Pudding Recipe With Pistachios, combine the mashed bananas, hung curd and honey in a bowl.To assemble the Banana Digestive Pudding Recipe With Pistachios, take a jar of your choice and add crushed NutriChoice Diabetic friendly essentials Oats cookies at the bottom of the jar.Next spoon the banana pudding on top of the cookie crumbles and add chopped pistachio nuts on the top.Refrigerate for two hours before serving the Banana Digestive Pudding Recipe With Pistachios.Serve Banana Digestive Pudding Recipe With Pistachios Recipe along with Rock Toast Recipe - Semolina Bread Toast or pack it as a snack along with a lunch box menu of Matar Paneer, Phulka and Fresh &amp; Juicy Chickpea Salad with Fruits &amp; Vegetables.
</t>
  </si>
  <si>
    <t>Para empezar a preparar la Receta de Pudín Digestivo de Plátano con Pistachos, combine los plátanos machacados, la cuajada colgada y la miel en un tazón. Para armar la Receta de Pudín Digestivo de Plátano con Pistachos, tome un frasco de su elección y agregue galletas de avena NutriChoice Diabetic friendly essentials trituradas en el fondo del frasco. Luego, coloque el pudín de plátano sobre las migas de galletas y agregue pistachos picados en la parte superior. Refrigere durante dos horas antes de servir la Receta de Pudín Digestivo de Plátano con Pistachos. Sirva la Receta de Pudín Digestivo de Plátano con Pistachos junto con la Receta de Tostada de Roca - Tostada de Pan de Sémola o empaquételo como un refrigerio junto con un menú de lonchera de Matar Paneer, Phulka y Ensalada de Garbanzos Frescos y Jugosos con Frutas y Verduras.</t>
  </si>
  <si>
    <t>Pour commencer à préparer la recette de pudding digestif à la banane et aux pistaches, mélangez les bananes écrasées, le caillé et le miel dans un bol. Pour assembler la recette de pudding digestif à la banane et aux pistaches, prenez un pot de votre choix et ajoutez des biscuits à l'avoine NutriChoice Diabetic friendly essentials écrasés au fond du pot. Ensuite, déposez le pudding à la banane sur les miettes de biscuits et ajoutez des pistaches hachées sur le dessus. Réfrigérez pendant deux heures avant de servir la recette de pudding digestif à la banane et aux pistaches. Servez la recette de pudding digestif à la banane et aux pistaches avec la recette de pain grillé Rock Toast - Pain grillé à la semoule ou emportez-la comme collation avec un menu de boîte à lunch composé de Matar Paneer, Phulka et Salade de pois chiches frais et juteux avec fruits et légumes.</t>
  </si>
  <si>
    <t>http://www.archanaskitchen.com/banana-digestive-pudding-recipe-with-pistachios</t>
  </si>
  <si>
    <t>Paneer Mushroom Stuffed Spinach Wrap Flavoured With Prunes</t>
  </si>
  <si>
    <t>Mit Paneer-Pilzen gefüllter Spinat-Wrap mit Pflaumengeschmack</t>
  </si>
  <si>
    <t>Wrap aux épinards à la prune farci de paneer et de champignons</t>
  </si>
  <si>
    <t>Wrap de espinacas y ciruelas relleno de paneer y champiñones</t>
  </si>
  <si>
    <t>1/2 cuillère à café d'huile d'olive extra vierge, 1 tasse de sauce au basilic et aux épinards - grossièrement hachée, 1 piment vert - finement haché, 1-1/2 tasse de farine de blé entier, sel - sel au goût, 1 cuillère à café d'huile d'olive extra vierge, 6 gousses d'ail - finement hachées, 1 poivron rouge (Capsicum) - finement tranché, 1 oignon - finement tranché, 2 tiges d'oignon nouveau (bulbe et vert) - finement hachées, 2 tasses de champignons de Paris - tranchés, 1 tasse de tofu - coupé en lanières, 1 cuillère à café de sauce soja, 1 cuillère à café de sauce au piment rouge, 1 cuillère à café d'herbes mélangées (séchées), huile de tournesol - sel au goût</t>
  </si>
  <si>
    <t>1/2 teaspoon Extra Virgin Olive Oil,1 cup Spinach Basil Sauce - roughly chopped,1 Green Chilli - finely chopped,1-1/2 cups Whole Wheat Flour,Salt - salt to taste,1 teaspoon Extra Virgin Olive Oil,6 cloves Garlic - finely chopped,1 Red Bell pepper (Capsicum) - thinly sliced,1 Onion - thinly sliced,2 Stalks Spring Onion (Bulb &amp; Greens) - finely chopped,2 cups Button mushrooms - sliced,1 cup Tofu - cut into strips,1 teaspoon Soy sauce,1 teaspoon Red Chilli sauce,1 teaspoon Mixed Herbs (Dried),Sunflower Oil - Salt to taste</t>
  </si>
  <si>
    <t>1/2 cucharadita de aceite de oliva virgen extra, 1 taza de salsa de albahaca y espinacas (picada gruesa), 1 chile verde (picado fino), 1 1/2 tazas de harina integral, sal (sal al gusto), 1 cucharadita de aceite de oliva virgen extra, 6 dientes de ajo (picados finos), 1 pimiento morrón rojo (capsicum) (picado fino), 1 cebolla (picada finamente), 2 tallos de cebolleta (bulbo y hojas verdes) (picados finos), 2 tazas de champiñones (picados), 1 taza de tofu (cortado en tiras), 1 cucharadita de salsa de soja, 1 cucharadita de salsa de chile rojo, 1 cucharadita de hierbas mixtas (secas), aceite de girasol (sal al gusto)</t>
  </si>
  <si>
    <t xml:space="preserve">To begin making the spinach wrap, heat oil in a preheated pan on medium heat. Add the spinach and green chillies and saute until spinach wilts completely and has softened.Once softened turn off the heat and allow it to cool. Once cooled, add into a blender to make a smooth puree.Into a large mixing bowl, add wheat flour, salt and spinach puree. Add a little water if required and knead to make a smooth and firm dough. Drizzle a little oil on the top and knead again to make a smooth dough. Cover the dough and rest for 5 minutes.Divide the rested dough into 4 large balls. Dust the dough in flour, flatten it and roll it into a large 8 inch circle.Place it on a preheated pan and cook on both sides until golden spots appear and puffs up a little. Ensure the spinach roti is well cooked. Proceed to cook the remaining portions of the dough in the similar way and stack them one over the other, so it remains soft.To make the filling, heat oil in a preheated pan over medium heat. Add garlic, red bell peppers, onion and saute until the onion &amp; peppers are evenly roasted until lightly golden. Once golde, add the mushrooms and spring onions and saute on high heat until the mushrooms have softened.  At this stage at the tofu, soy sauce, chilli sauce and oregano and optionally salt to taste and toss all the ingredients on high heat until well combined. Turn off the heat and stir in the prunes and the parsley leaves. Set the filling aside to cool a little.To assemble the wrap, place the spinach roti on the flat surface, smear a tablespoon of hung curd on the spinach roti. Spoon a large tablespoon of the roasted vegetables.Once filled, roll to make a wrap and serve.
</t>
  </si>
  <si>
    <t>Para comenzar a hacer el wrap de espinacas, calienta el aceite en una sartén precalentada a fuego medio. Agrega las espinacas y los chiles verdes y saltea hasta que las espinacas se marchiten completamente y se hayan ablandado. Una vez ablandadas, apaga el fuego y deja que se enfríen. Una vez enfriadas, agrégalas a una licuadora para hacer un puré suave. En un tazón grande, agrega la harina de trigo, la sal y el puré de espinacas. Agrega un poco de agua si es necesario y amasa para hacer una masa suave y firme. Rocía un poco de aceite en la parte superior y amasa de nuevo para hacer una masa suave. Cubre la masa y deja reposar durante 5 minutos. Divide la masa reposada en 4 bolas grandes. Espolvorea la masa con harina, aplánala y enróllala en un círculo grande de 8 pulgadas. Colócala en una sartén precalentada y cocina por ambos lados hasta que aparezcan manchas doradas y se hinche un poco. Asegúrate de que el roti de espinacas esté bien cocido. Proceda a cocinar las porciones restantes de la masa de manera similar y apílelas una sobre otra, para que permanezcan suaves. Para hacer el relleno, caliente el aceite en una sartén precalentada a fuego medio. Agregue el ajo, los pimientos rojos, la cebolla y saltee hasta que la cebolla y los pimientos estén asados ​​​​de manera uniforme hasta que estén ligeramente dorados. Una vez dorados, agregue los champiñones y las cebolletas y saltee a fuego alto hasta que los champiñones se hayan suavizado. En esta etapa, agregue el tofu, la salsa de soja, la salsa de chile y el orégano y, opcionalmente, sal al gusto y mezcle todos los ingredientes a fuego alto hasta que estén bien combinados. Apague el fuego y agregue las ciruelas pasas y las hojas de perejil. Deje que el relleno se enfríe un poco. Para armar la tortilla, coloque el roti de espinacas en la superficie plana, unte una cucharada de cuajada colgada sobre el roti de espinacas. Vierta una cucharada grande de las verduras asadas. Una vez relleno, enrolle para hacer una tortilla y sirva.</t>
  </si>
  <si>
    <t>Pour commencer à préparer le wrap aux épinards, faites chauffer l'huile dans une poêle préchauffée à feu moyen. Ajoutez les épinards et les piments verts et faites revenir jusqu'à ce que les épinards soient complètement flétris et ramollis. Une fois ramollis, éteignez le feu et laissez refroidir. Une fois refroidi, ajoutez-les dans un mélangeur pour faire une purée lisse. Dans un grand bol, ajoutez la farine de blé, le sel et la purée d'épinards. Ajoutez un peu d'eau si nécessaire et pétrissez pour obtenir une pâte lisse et ferme. Versez un peu d'huile sur le dessus et pétrissez à nouveau pour obtenir une pâte lisse. Couvrez la pâte et laissez reposer 5 minutes. Divisez la pâte reposée en 4 grosses boules. Saupoudrez la pâte de farine, aplatissez-la et roulez-la en un grand cercle de 20 cm. Placez-la sur une poêle préchauffée et faites-la cuire des deux côtés jusqu'à ce que des taches dorées apparaissent et gonflent un peu. Assurez-vous que le roti aux épinards est bien cuit. Procédez de la même manière à la cuisson des autres portions de pâte, en les superposant pour qu'elles restent moelleuses. Pour la garniture, faites chauffer l'huile dans une poêle préchauffée à feu moyen. Ajoutez l'ail, les poivrons rouges et l'oignon et faites revenir jusqu'à ce qu'ils soient légèrement dorés. Une fois dorés, ajoutez les champignons et les oignons nouveaux et faites revenir à feu vif jusqu'à ce que les champignons soient tendres. À ce stade, ajoutez le tofu, la sauce soja, la sauce chili et l'origan, et éventuellement du sel à votre goût, puis mélangez tous les ingrédients à feu vif jusqu'à ce que le tout soit bien mélangé. Éteignez le feu et incorporez les pruneaux et les feuilles de persil. Laissez refroidir légèrement la garniture. Pour assembler le wrap, placez le roti aux épinards sur une surface plane, étalez une cuillère à soupe de lait caillé sur le roti aux épinards. Déposez une grosse cuillère à soupe de légumes rôtis. Une fois garni, roulez-le pour former un wrap et servez.</t>
  </si>
  <si>
    <t>http://www.archanaskitchen.com/prunes-spread-with-crumbled-paneer-mushroom-spinach-wrap-recipe</t>
  </si>
  <si>
    <t>Chicken With Mushroom Sauce Recipe</t>
  </si>
  <si>
    <t>Rezept für Hühnchen mit Pilzsauce</t>
  </si>
  <si>
    <t>Recette de poulet à la sauce aux champignons</t>
  </si>
  <si>
    <t>Receta de pollo con salsa de champiñones</t>
  </si>
  <si>
    <t>1 poitrine de poulet, 1 tasse de champignons de Paris - tranchés, 1 oignon - haché, 4 gousses d'ail - hachées, 1 cuillère à café de feuilles de thym séchées, 1 cuillère à café de flocons de piment rouge, 1 cuillère à café de poudre de poivre noir, 1 tasse de lait, 2 cuillères à café de farine de maïs, sel - au goût, beurre (non salé) - pour la cuisson</t>
  </si>
  <si>
    <t>1 Chicken breasts,1 cup Button mushrooms - sliced,1 Onion - chopped,4 cloves Garlic - chopped,1 teaspoon Dried Thyme Leaves,1 teaspoon Red Chilli flakes,1 teaspoon Black pepper powder,1 cup Milk,2 teaspoon Corn flour,Salt - to taste,Butter (unsalted) - for cooking</t>
  </si>
  <si>
    <t>1 pechuga de pollo, 1 taza de champiñones rebanados, 1 cebolla picada, 4 dientes de ajo picados, 1 cucharadita de hojas de tomillo seco, 1 cucharadita de hojuelas de chile rojo, 1 cucharadita de pimienta negra en polvo, 1 taza de leche, 2 cucharaditas de harina de maíz, sal - al gusto, mantequilla (sin sal) - para cocinar</t>
  </si>
  <si>
    <t xml:space="preserve">To begin making the Chicken With Mushroom Sauce Recipe, we will first wash the chicken breast and mash it with a meat shredder. Make sure the thickness is about 1-1/2 inches.Marinate the chicken breast with salt, black pepper powder and keep it aside for 10 minutes.Heat a skillet with the required butter. Once the butter starts to melt, you can place the chicken breast and cook it from both the sides. This will take abou 5 to 6 minutes.Remove the chicken breast from the pan and keep it aside. In to the same pan, add some more butter and add chopped garlic. Saute until it softens.Add chopped onions and sauté till they caramelize. Next, add chopped mushroom, salt and dried herbs and cook till the mushroom losses all its moisture and becomes a little soft.In a separate bowl, mix milk and corn flour till it combines. Make sure there are no lumps in this mixture.Reduce the flame and pour the milk mixture and gently swirl. You will see the sauce starts to thicken up.Once the sauce thickens up, switch off the heat.Add the chicken breast into the sauce mixture and soak it well. Cover the pan with the help of a foil and leave the chicken to rest in the sauce for at least 10 minutes.Serve the Chicken With Mushroom Sauce Recipe along with Toasted Bread,Bunsor Garlic Bread and a glass of chilled wine for a Sunday brunch or a Saturday dinner.
</t>
  </si>
  <si>
    <t>Para comenzar a hacer la Receta de Pollo con Salsa de Champiñones, primero lavaremos la pechuga de pollo y la trituraremos con una trituradora de carne. Asegúrese de que el grosor sea de aproximadamente 1-1/2 pulgadas. Marine la pechuga de pollo con sal, pimienta negra en polvo y déjela reposar durante 10 minutos. Caliente una sartén con la mantequilla necesaria. Una vez que la mantequilla comience a derretirse, puede colocar la pechuga de pollo y cocinarla por ambos lados. Esto tomará unos 5 a 6 minutos. Retire la pechuga de pollo de la sartén y déjela a un lado. En la misma sartén, agregue un poco más de mantequilla y agregue ajo picado. Saltee hasta que se ablande. Agregue cebollas picadas y saltee hasta que se caramelicen. Luego, agregue champiñones picados, sal y hierbas secas y cocine hasta que los champiñones pierdan toda su humedad y se ablanden un poco. En un recipiente aparte, mezcle la leche y la harina de maíz hasta que se combinen. Asegúrese de que no haya grumos en esta mezcla. Reduzca el fuego y vierta la mezcla de leche y revuelva suavemente. Verás que la salsa empieza a espesar. Una vez que espese, apaga el fuego. Agrega la pechuga de pollo a la mezcla de salsa y remójala bien. Cubre la sartén con papel aluminio y deja reposar el pollo en la salsa durante al menos 10 minutos. Sirve la receta de pollo con salsa de champiñones con pan tostado, bollos o pan de ajo y una copa de vino frío para un brunch dominical o una cena de sábado.</t>
  </si>
  <si>
    <t>Pour commencer à préparer la recette de poulet à la sauce aux champignons, nous allons d'abord laver la poitrine de poulet et l'écraser avec un râpe à viande. Assurez-vous que l'épaisseur est d'environ 1-1/2 pouces. Faites mariner la poitrine de poulet avec du sel, du poivre noir en poudre et réservez-la pendant 10 minutes. Faites chauffer une poêle avec le beurre requis. Une fois que le beurre commence à fondre, vous pouvez placer la poitrine de poulet et la cuire des deux côtés. Cela prendra environ 5 à 6 minutes. Retirez la poitrine de poulet de la poêle et réservez-la. Dans la même poêle, ajoutez un peu de beurre et ajoutez l'ail haché. Faites revenir jusqu'à ce qu'il ramollisse. Ajoutez les oignons hachés et faites revenir jusqu'à ce qu'ils caramélisent. Ensuite, ajoutez les champignons hachés, le sel et les herbes séchées et faites cuire jusqu'à ce que les champignons perdent toute leur humidité et deviennent un peu mous. Dans un autre bol, mélangez le lait et la fécule de maïs jusqu'à ce que le tout soit bien mélangé. Assurez-vous qu'il n'y a pas de grumeaux dans ce mélange. Réduisez le feu et versez le mélange de lait et remuez doucement. Vous verrez la sauce commencer à épaissir. Une fois la sauce épaissie, éteignez le feu. Ajoutez le blanc de poulet au mélange de sauce et imbibez-le bien. Couvrez la poêle d'une feuille d'aluminium et laissez reposer le poulet dans la sauce pendant au moins 10 minutes. Servez la recette de poulet à la sauce aux champignons avec du pain grillé, des petits pains ou du pain à l'ail et un verre de vin frais pour un brunch du dimanche ou un dîner du samedi.</t>
  </si>
  <si>
    <t>https://www.archanaskitchen.com/chicken-with-mushroom-sauce-recipe</t>
  </si>
  <si>
    <t>Whole Wheat Eggless Cinnamon &amp; Raisin Swirl Bread Recipe</t>
  </si>
  <si>
    <t>Rezept für Vollkorn-Wirbelbrot mit Zimt und Rosinen ohne Ei</t>
  </si>
  <si>
    <t>Recette de pain tourbillon complet à la cannelle et aux raisins secs sans œufs</t>
  </si>
  <si>
    <t>Receta de pan integral con pasas y canela sin huevo</t>
  </si>
  <si>
    <t>1-1/2 tasse de farine de blé entier, 1/2 cuillère à soupe de levure sèche active, 1 cuillère à soupe de sucre, 1/2 tasse d'eau tiède, huile d'olive extra vierge - pour badigeonner, 1/2 cuillère à café de sel, 4 cuillères à soupe de sucre glace, 2 cuillères à soupe de cannelle en poudre (Dalchini), 1/2 tasse de raisins secs - une poignée</t>
  </si>
  <si>
    <t>1-1/2 cups Whole Wheat Flour,1/2 tablespoon Active dry yeast,1 tablespoon Sugar,1/2 cup Lukewarm Water,Extra Virgin Olive Oil - for brushing,1/2 teaspoon Salt,4 tablespoon Confectioners sugar,2 tablespoon Cinnamon Powder (Dalchini),1/2 cup Raisins - handful</t>
  </si>
  <si>
    <t>1-1/2 tazas de harina integral, 1/2 cucharada de levadura seca activa, 1 cucharada de azúcar, 1/2 taza de agua tibia, aceite de oliva virgen extra - para pincelar, 1/2 cucharadita de sal, 4 cucharadas de azúcar glas, 2 cucharadas de canela en polvo (Dalchini), 1/2 taza de pasas - un puñado</t>
  </si>
  <si>
    <t xml:space="preserve">To prepare Whole Wheat, Eggless Cinnamon &amp; Raisin Swirl Bread Recipe, firstly get prep with all the ingredients. In luke warm water, add yeast and sugar, and give a quick stir with a fork and keep aside for 10 mins to activate the mixture.Meanwhile, sift flour and keep aside.Once the yeast is activated, add it in the flour. Knead to make a smooth and soft dough. Brush a teaspoon of olive oil on the dough and keep aside in a large greased bowl.Cover the bowl with a cling foil or a moist kitchen towel. Allow it to rest and double its size for one and half hours.While the dough is resting, mix powdered sugar, cinnamon powder, and raisins with a fork and leave aside.Grease and dust a Loaf pan and keep aside.When the dough doubles its initial size after one and half hours, transfer it on the clean whole wheat flour dusted kitchen platform and deflate it by punching. Knead by sprinkling salt for another 5-6 minutes.To shape the bread, dust the platform well and roll out the dough with a rolling pin to make a broad flat base.Cut the rolled part into two equal halves and spread the sugar, raisin and cinnamon mix all over both the halves, evenly. Reserve about a tablespoon of the cinnamon-raisin-sugar mixture to sprinkle on top.To fold, take the first half and start folding it inwards first and then outwards like a Japanese hand Fan, or you can say the same way as we make folds for Lachcha Paratha.Similarly fold the other half as well.Join the first ends of both the folded dough and shape it taking the two lined dough criss-cross or two liner braid. Make sure the dough passes well through the gap within each other.It’s absolutely okay even if the twists are uneven. But twists are important for the texture and aeration.Place the dough on the baking tray, brush a little olive oil and allow it to rest again for 30 minutes. Cover the tray with a moist kitchen towel.Preheat the Oven at 180 degree Celsius for 10-12 minutes.Now sprinkle cinnamon-raisin-sugar mixture on the top of the risen dough.Bake the Whole Wheat, Eggless Cinnamon &amp; Raisin Swirl Bread Recipe for about 30-35 minutes.Serve warm slices of Whole Wheat Eggless Cinnamon &amp; Raisin Swirl Bread Recipe  with Masala Chai and Phool Makhana for a healthy evening snack. It can be served cooled to room temperature also.
</t>
  </si>
  <si>
    <t>Para preparar la receta de pan integral con remolino de canela y pasas sin huevo, primero prepare todos los ingredientes. En agua tibia, agregue la levadura y el azúcar, revuelva rápidamente con un tenedor y deje reposar durante 10 minutos para que la mezcla se active. Mientras tanto, tamice la harina y reserve. Una vez que la levadura se active, agréguela a la harina. Amase hasta obtener una masa suave y homogénea. Unte la masa con una cucharadita de aceite de oliva y reserve en un tazón grande engrasado. Cubra el tazón con papel film o un paño de cocina húmedo. Déjela reposar hasta que doble su volumen durante una hora y media. Mientras la masa reposa, mezcle el azúcar glas, la canela en polvo y las pasas con un tenedor y reserve. Engrase y espolvoree un molde para pan y reserve. Cuando la masa doble su volumen inicial después de una hora y media, transfiérala a una superficie de cocina limpia y espolvoreada con harina integral y desgasifíquela golpeándola. Amasar espolvoreando sal durante otros 5-6 minutos. Para dar forma al pan, espolvorear bien la plataforma y extender la masa con un rodillo para hacer una base ancha y plana. Cortar la parte enrollada en dos mitades iguales y esparcir la mezcla de azúcar, pasas y canela por todas las mitades, de manera uniforme. Reservar aproximadamente una cucharada de la mezcla de canela, pasas y azúcar para espolvorear por encima. Para doblar, tomar la primera mitad y comenzar a doblarla hacia adentro primero y luego hacia afuera como un abanico japonés, o puedes decir de la misma manera que hacemos los pliegues para Lachcha Paratha. De manera similar, doblar la otra mitad también. Unir los primeros extremos de ambas masas dobladas y darles forma tomando las dos masas entrecruzadas o dos trenzas de revestimiento. Asegúrate de que la masa pase bien a través del espacio entre sí. Está absolutamente bien incluso si los giros son desiguales. Pero los giros son importantes para la textura y la aireación. Colocar la masa en la bandeja para hornear, untar con un poco de aceite de oliva y dejar reposar nuevamente durante 30 minutos. Cubre la bandeja con un paño de cocina húmedo. Precalienta el horno a 180 °C durante 10-12 minutos. Espolvorea la masa levada con la mezcla de canela, pasas y azúcar. Hornea el pan integral de canela y pasas sin huevo durante unos 30-35 minutos. Sirve rebanadas calientes de pan integral de canela y pasas sin huevo con masala chai y phool makhana para una merienda saludable. También se puede servir frío a temperatura ambiente.</t>
  </si>
  <si>
    <t>Pour préparer le pain tourbillon complet, sans œufs, à la cannelle et aux raisins secs, préparez tous les ingrédients. Dans de l'eau tiède, ajoutez la levure et le sucre, remuez rapidement à la fourchette et laissez reposer 10 minutes pour activer le mélange. Pendant ce temps, tamisez la farine et réservez. Une fois la levure activée, ajoutez-la à la farine. Pétrissez jusqu'à obtenir une pâte lisse et souple. Badigeonnez la pâte d'une cuillère à café d'huile d'olive et réservez-la dans un grand saladier graissé. Couvrez le saladier d'une feuille de papier aluminium ou d'un torchon humide. Laissez reposer et doubler de volume pendant une heure et demie. Pendant ce temps, mélangez le sucre glace, la cannelle en poudre et les raisins secs à la fourchette et réservez. Graissez et saupoudrez un moule à cake et réservez. Lorsque la pâte a doublé de volume au bout d'une heure et demie, transférez-la sur une surface de travail propre et saupoudrée de farine complète et dégonflez-la en la frappant. Pétrir en saupoudrant de sel pendant encore 5 à 6 minutes. Pour façonner le pain, bien saupoudrer la plate-forme et étaler la pâte avec un rouleau à pâtisserie pour faire une base large et plate. Couper la partie roulée en deux moitiés égales et étaler le mélange de sucre, de raisins secs et de cannelle sur les deux moitiés, uniformément. Réserver environ une cuillère à soupe du mélange cannelle-raisins secs-sucre pour saupoudrer sur le dessus. Pour plier, prendre la première moitié et commencer à la plier vers l'intérieur d'abord, puis vers l'extérieur comme un éventail à main japonais, ou vous pouvez dire de la même manière que nous faisons des plis pour Lachcha Paratha. Pliez également l'autre moitié de la même manière. Joindre les premières extrémités des deux pâtes pliées et la façonner en croisant les deux pâtes doublées ou en tresses de deux doublures. Assurez-vous que la pâte passe bien à travers l'espace l'une dans l'autre. Ce n'est pas grave même si les torsions sont inégales. Mais les torsions sont importantes pour la texture et l'aération. Placer la pâte sur la plaque de cuisson, badigeonner d'un peu d'huile d'olive et laisser reposer à nouveau pendant 30 minutes. Couvrir la plaque avec un torchon humide. Préchauffer le four à 180 °C pendant 10 à 12 minutes. Saupoudrer ensuite le mélange cannelle-raisins-sucre sur la pâte levée. Cuire le pain tourbillon complet sans œufs à la cannelle et aux raisins secs pendant environ 30 à 35 minutes. Servir des tranches chaudes de pain tourbillon complet sans œufs à la cannelle et aux raisins secs avec du masala chai et du phool makhana pour une collation saine en soirée. Il peut également être servi refroidi à température ambiante.</t>
  </si>
  <si>
    <t>https://www.archanaskitchen.com/whole-wheat-eggless-cinnamon-raisin-swirl-bread-recipe</t>
  </si>
  <si>
    <t>Carrot and Oats  Whole Wheat Bread Recipe</t>
  </si>
  <si>
    <t>Rezept für Vollkornbrot mit Karotten und Hafer</t>
  </si>
  <si>
    <t>Recette de pain complet aux carottes et à l'avoine</t>
  </si>
  <si>
    <t>Receta de pan integral de zanahoria y avena</t>
  </si>
  <si>
    <t>1 tasse de carottes (Gajjar) - râpées, 1/2 tasse de Sooji (semoule/Rava), 1/2 tasse d'avoine instantanée (gruau), 1 tasse de farine de blé entier, 2 cuillères à café de levure chimique, 3/4 tasse de lait, 2 cuillères à soupe de miel, 2 œufs entiers - légèrement battus, 2 cuillères à soupe d'huile de tournesol</t>
  </si>
  <si>
    <t>1 cup Carrots (Gajjar) - grated,1/2 cup Sooji (Semolina/ Rava),1/2 cup Instant Oats (Oatmeal),1 cup Whole Wheat Flour,2 teaspoons Baking powder,3/4 cup Milk,2 tablespoons Honey,2 Whole Eggs - slightly beaten,2 tablespoons Sunflower Oil</t>
  </si>
  <si>
    <t>1 taza de zanahorias (Gajjar) - ralladas, 1/2 taza de Sooji (sémola/rava), 1/2 taza de avena instantánea (avena), 1 taza de harina integral, 2 cucharaditas de polvo para hornear, 3/4 taza de leche, 2 cucharadas de miel, 2 huevos enteros - ligeramente batidos, 2 cucharadas de aceite de girasol</t>
  </si>
  <si>
    <t xml:space="preserve">We begin making the Carrot and Oats Bread Recipe by heating the oven at 180 degree Celsius to 20 minutes. Grease a rectangular loaf tin with parchment paper and keep it ready.Mix all the dry ingredients in a small bowl first and keep it ready.In another bowl, whisk egg, oil and honey using a blender till it is fluffy. Then add the grated carrot and whist once more.Add the dry ingredients slowly and using a palate knife fold in the ingredients. Finally add the milk and mix well.Serve the Carrot and Oats Bread Whole wheat Recipe along with a smoothie or just drizzle some honey and can be relished for your morning breakfast.
</t>
  </si>
  <si>
    <t>Comenzamos preparando el pan de zanahoria y avena calentando el horno a 180 grados Celsius durante 20 minutos. Engrasamos un molde rectangular para pan con papel vegetal y lo reservamos. Mezclamos todos los ingredientes secos en un tazón pequeño y lo reservamos. En otro tazón, batimos el huevo, el aceite y la miel con una licuadora hasta que la mezcla esté esponjosa. Luego, agregamos la zanahoria rallada y volvemos a batir. Agregamos los ingredientes secos lentamente y, con una espátula, los mezclamos. Finalmente, agregamos la leche y mezclamos bien. Sirve el pan de zanahoria y avena integral con un batido o simplemente rociamos con un poco de miel para disfrutarlo en el desayuno.</t>
  </si>
  <si>
    <t>Nous commençons à préparer le pain aux carottes et à l'avoine en préchauffant le four à 180 °C pendant 20 minutes. Graissez un moule à cake rectangulaire avec du papier sulfurisé et réservez-le. Mélangez d'abord tous les ingrédients secs dans un petit bol et réservez-le. Dans un autre bol, fouettez l'œuf, l'huile et le miel à l'aide d'un mixeur jusqu'à obtenir une consistance mousseuse. Ajoutez ensuite la carotte râpée et fouettez à nouveau. Ajoutez lentement les ingrédients secs et incorporez-les à l'aide d'un couteau à palette. Ajoutez enfin le lait et mélangez bien. Servez le pain complet aux carottes et à l'avoine avec un smoothie ou arrosez-le simplement de miel. Vous pourrez le savourer au petit-déjeuner.</t>
  </si>
  <si>
    <t>https://www.archanaskitchen.com/carrot-and-oats-whole-wheat-bread-recipe</t>
  </si>
  <si>
    <t>Herbed Butter Garlic Quinoa Recipe</t>
  </si>
  <si>
    <t>Rezept für Quinoa mit Kräuterbutter und Knoblauch</t>
  </si>
  <si>
    <t>Recette de quinoa au beurre aux herbes et à l'ail</t>
  </si>
  <si>
    <t>Receta de quinoa con mantequilla de hierbas y ajo</t>
  </si>
  <si>
    <t>1-1/2 tasse de quinoa, 6 gousses d'ail finement hachées, 1 oignon finement haché, 1 cuillère à café de flocons de piment rouge, 1-1/2 cuillère à soupe d'herbes mélangées (séchées), 1 cuillère à café d'huile d'olive extra vierge, 1 cuillère à soupe de beurre, sel - au goût, 1 cuillère à café de jus de citron</t>
  </si>
  <si>
    <t>1-1/2 cups Quinoa,6 cloves Garlic - finely chopped,1 Onion - finely chopped,1 teaspoon Red Chilli flakes,1-1/2 tablespoon Mixed Herbs (Dried),1 teaspoon Extra Virgin Olive Oil,1 tablespoon Butter,Salt - to taste,1 teaspoon Lemon juice</t>
  </si>
  <si>
    <t>1-1/2 tazas de quinoa, 6 dientes de ajo finamente picados, 1 cebolla finamente picada, 1 cucharadita de hojuelas de chile rojo, 1-1/2 cucharada de hierbas mixtas (secas), 1 cucharadita de aceite de oliva virgen extra, 1 cucharada de mantequilla, sal - al gusto, 1 cucharadita de jugo de limón</t>
  </si>
  <si>
    <t xml:space="preserve">To begin making the Herbed Butter Garlic Quinoa Recipe, firstly wash the quinoa in water, drain and set aside. Heat a pressure cooker with olive and butter on medium flame, to this add the chopped garlic until it turns into a golden brown colour.  This will take about a minute or so.Next, into the pressure cooker, add the onions and cook until it turns transparent. Reduce the flame, add the salt, mixed herbs, red chilli flakes and mix well. Finally add in the washed and drained quinoa, 3 cups of water and close the pressure cooker. Pressure cook for 2 whistles and turn off the flame. Allow the pressure to release naturally and only then open the pressure cooker. Transfer the Herbed Butter Garlic Quinoa into a serving platter, sprinkle some mixed herbs, lemon juice and top with a dollop of butter. Serve Herbed Butter Garlic Quinoa along with Roasted Chicken Curry Recipe In Spinach Parmesan Sauce or Spinach Ricotta Balls in Garlic Tomato Basil Sauce Recipe , Delicious Avocado Salad Recipe with Vegetables. Finish the meal with a dessert of Greek Yogurt Chocolate Mousse Recipe. 
</t>
  </si>
  <si>
    <t>Para comenzar a hacer la Receta de Quinoa con Ajo y Mantequilla con Hierbas, primero lave la quinoa en agua, escúrrala y déjela a un lado. Caliente una olla a presión con aceite de oliva y mantequilla a fuego medio, a esto agregue el ajo picado hasta que se vuelva de color marrón dorado. Esto tomará aproximadamente un minuto. Luego, en la olla a presión, agregue las cebollas y cocine hasta que se vuelva transparente. Reduzca el fuego, agregue la sal, las hierbas mixtas, las hojuelas de chile rojo y mezcle bien. Finalmente, agregue la quinoa lavada y escurrida, 3 tazas de agua y cierre la olla a presión. Cocine a presión durante 2 silbidos y apague el fuego. Deje que la presión se libere naturalmente y solo entonces abra la olla a presión. Transfiera la quinoa con ajo y mantequilla con hierbas a una fuente para servir, espolvoree algunas hierbas mixtas, jugo de limón y cubra con una cucharada de mantequilla. Sirva la quinoa con mantequilla y hierbas junto con la receta de pollo asado al curry en salsa de espinacas y parmesano, o las bolitas de espinacas y ricotta en salsa de ajo, tomate y albahaca, o la deliciosa ensalada de aguacate con verduras. Para terminar, disfrute de un postre como la mousse de chocolate con yogur griego.</t>
  </si>
  <si>
    <t>Pour commencer à préparer la recette de quinoa à l'ail et au beurre aux herbes, lavez d'abord le quinoa à l'eau, égouttez-le et réservez-le. Faites chauffer un autocuiseur avec de l'huile d'olive et du beurre à feu moyen, ajoutez-y l'ail haché jusqu'à ce qu'il prenne une couleur brun doré. Cela prendra environ une minute. Ensuite, dans l'autocuiseur, ajoutez les oignons et faites-les cuire jusqu'à ce qu'ils deviennent transparents. Réduisez le feu, ajoutez le sel, les herbes mélangées, les flocons de piment rouge et mélangez bien. Ajoutez enfin le quinoa lavé et égoutté, 3 tasses d'eau et fermez l'autocuiseur. Faites cuire sous pression pendant 2 sifflets et éteignez le feu. Laissez la pression se relâcher naturellement et ouvrez ensuite l'autocuiseur. Transférez le quinoa à l'ail et au beurre aux herbes dans un plat de service, saupoudrez d'herbes mélangées, de jus de citron et garnissez d'une cuillerée de beurre. Servez le quinoa à l'ail et au beurre aux herbes avec un curry de poulet rôti à la sauce parmesan et aux épinards, des boulettes d'épinards et de ricotta à la sauce tomate-basilic et à l'ail, ou une délicieuse salade d'avocat aux légumes. Terminez le repas avec une mousse au chocolat et au yaourt grec.</t>
  </si>
  <si>
    <t>http://www.archanaskitchen.com/herbed-butter-garlic-quinoa-recipe</t>
  </si>
  <si>
    <t>Grilled Paneer Pineapple Sandwich Recipe</t>
  </si>
  <si>
    <t>Rezept für gegrilltes Paneer-Ananas-Sandwich</t>
  </si>
  <si>
    <t>Recette de sandwich au paneer grillé et à l'ananas</t>
  </si>
  <si>
    <t>Receta de sándwich de paneer y piña a la parrilla</t>
  </si>
  <si>
    <t>4 pains complets bruns, beurre (selon les besoins), 2 cuillères à soupe de tartinade au fromage Britannia (Tango aux quatre poivres), 1/4 cuillère à café de flocons de piment rouge, 4 tranches d'ananas, 50 grammes de paneer (fromage cottage fait maison) finement haché, 1/2 poivron vert (Capsicum) finement haché, sel (selon les besoins), fromage (selon les besoins) à tartiner sur le pain</t>
  </si>
  <si>
    <t>4 Whole Wheat Brown Bread,Butter - as required,2 tablespoons Britannia Cheese Spread - Four Pepper Tango,1/4 teaspoon Red Chilli flakes,4 Pineapple - slices,50 grams Paneer (Homemade Cottage Cheese) - finely chopped,1/2 Green Bell Pepper (Capsicum) - finely chopped,Salt - to taste,Cheese - as required to spread over the bread</t>
  </si>
  <si>
    <t>4 panes integrales, mantequilla (cantidad necesaria), 2 cucharadas de queso untable Britannia (cuatro pimientos Tango), 1/4 cucharadita de hojuelas de chile rojo, 4 rodajas de piña, 50 gramos de paneer (requesón casero) finamente picado, 1/2 pimiento verde (Capsicum) finamente picado, sal (al gusto), queso (cantidad necesaria para untar sobre el pan).</t>
  </si>
  <si>
    <t xml:space="preserve">To begin making the Grilled Paneer Pineapple Sandwich Recipe, in a small mixing bowl, combine all the ingredients for the filling including four pepper tango cheese, red chilli flakes, pineapple, paneer, green bell pepper, salt and stir well. Check the salt and cheese and adjust to suit your taste.Note: It's important to use cooked pineapple or canned pineapple to get the best taste for this sandwich. To cook the pineapple, you can use a pressure cooker and cook it along with some sugar, water and pinch of salt for a few whistles and turn off the heat.The next is to fill it into whole wheat bread slices and grill them.Place the bread slices on a working surface. Spoon a large tablespoon of the filling onto a slice of bread and spread it evenly. Spread the four pepper cheese spread on the other slice. Once spread, cover with the other slice of bread and spread butter on the top of the slice.Place the sandwich in pre-heated Sandwich Maker or Cast iron Grill such that butter side facing downwards. Apply butter on the slice that is facing the top and grill till light brown and crisp on both sides.Done done, remove from the grill and serve.Serve the Grilled Pineapple Paneer Sandwich along with a glass of Cocoa Banana Almond Date Smoothie or Watermelon Carrot Radish Juice Recipe and serve it to your kids as an after school snack.
</t>
  </si>
  <si>
    <t>Para comenzar a hacer la Receta de Sándwich de Piña y Paneer a la Parrilla, en un tazón pequeño, combine todos los ingredientes para el relleno, incluyendo queso tango de cuatro pimientas, hojuelas de chile rojo, piña, paneer, pimiento verde, sal y revuelva bien. Verifique la sal y el queso y ajuste a su gusto. Nota: Es importante usar piña cocida o piña enlatada para obtener el mejor sabor para este sándwich. Para cocinar la piña, puede usar una olla a presión y cocinarla junto con un poco de azúcar, agua y una pizca de sal durante algunos silbidos y apagar el fuego. El siguiente es rellenarla en rebanadas de pan integral y asarlas. Coloque las rebanadas de pan en una superficie de trabajo. Coloque una cucharada grande del relleno en una rebanada de pan y extiéndala uniformemente. Extienda la pasta de queso de cuatro pimientas en la otra rebanada. Una vez untada, cubra con la otra rebanada de pan y unte mantequilla en la parte superior de la rebanada. Coloque el sándwich en una sandwichera precalentada o en una parrilla de hierro fundido de manera que el lado de la mantequilla mire hacia abajo. Unte mantequilla en la rebanada que está hacia arriba y cocine a la parrilla hasta que esté ligeramente dorada y crujiente por ambos lados. Una vez listo, retire de la parrilla y sirva. Sirva el sándwich de piña y paneer a la parrilla junto con un vaso de batido de cacao, plátano, almendras y dátiles o una receta de jugo de sandía, zanahoria y rábano y sírvaselo a sus hijos como refrigerio después de la escuela.</t>
  </si>
  <si>
    <t>Pour commencer à préparer la recette du sandwich au paneer grillé et à l'ananas, dans un petit bol, mélanger tous les ingrédients de la garniture, y compris le fromage tango aux quatre poivres, les flocons de piment rouge, l'ananas, le paneer, le poivron vert, le sel et bien mélanger. Vérifier le sel et le fromage et ajuster selon votre goût.Remarque : il est important d'utiliser de l'ananas cuit ou de l'ananas en conserve pour obtenir le meilleur goût pour ce sandwich. Pour cuire l'ananas, vous pouvez utiliser un autocuiseur et le faire cuire avec du sucre, de l'eau et une pincée de sel pendant quelques sifflements, puis éteindre le feu. L'étape suivante consiste à le remplir dans des tranches de pain de blé entier et à les griller. Placer les tranches de pain sur une surface de travail. Déposer une grande cuillère à soupe de garniture sur une tranche de pain et l'étaler uniformément. Étaler la tartinade au fromage aux quatre poivres sur l'autre tranche. Une fois étalée, recouvrir avec l'autre tranche de pain et tartiner de beurre sur le dessus de la tranche. Placer le sandwich dans un appareil à sandwich préchauffé ou un gril en fonte de manière à ce que le côté beurré soit vers le bas. Appliquez du beurre sur la tranche tournée vers le haut et faites griller jusqu'à ce qu'elle soit légèrement dorée et croustillante des deux côtés. Une fois terminé, retirez du gril et servez. Servez le sandwich au paneer à l'ananas grillé avec un verre de smoothie au cacao, à la banane, aux amandes et aux dattes ou de jus de pastèque, de carotte et de radis et servez-le à vos enfants comme collation après l'école.</t>
  </si>
  <si>
    <t>http://www.archanaskitchen.com/grilled-paneer-pineapple-sandwich-recipe</t>
  </si>
  <si>
    <t>Strawberry Chocolate Loaf Cake Recipe</t>
  </si>
  <si>
    <t>Rezept für Erdbeer-Schokoladen-Kastenkuchen</t>
  </si>
  <si>
    <t>Recette de gâteau au chocolat et aux fraises</t>
  </si>
  <si>
    <t>Receta de pastel de chocolate y fresa</t>
  </si>
  <si>
    <t>3/4 tasse de farine de blé entier, 1 cuillère à café de levure chimique, 1/4 cuillère à café de bicarbonate de soude, 1/2 cuillère à café d'extrait de vanille, 1 cuillère à soupe de poudre de cacao - mélangée à 2 cuillères à soupe d'eau tiède, 1/2 tasse de compote de fraises - ou de purée fraîche, 1/4 tasse de caillé (dahi / yaourt), 2 cuillères à soupe d'huile d'olive extra vierge, 1/2 tasse de lait concentré, 1 cuillère à soupe de pépites de caramel écossais - ou d'amandes</t>
  </si>
  <si>
    <t>3/4 cup Whole Wheat Flour,1 teaspoon Baking powder,1/4 teaspoon Baking soda,1/2 teaspoon Vanilla Extract,1 tablespoon Cocoa Powder - mixed with 2 tbsp. warm water,1/2 cup Strawberry Compote - or fresh puree,1/4 cup Curd (Dahi / Yogurt),2 tablespoon Extra Virgin Olive Oil,1/2 cup Condensed Milk,1 tablespoon Butterscotch Chips - or almonds</t>
  </si>
  <si>
    <t>3/4 taza de harina integral, 1 cucharadita de polvo para hornear, 1/4 cucharadita de bicarbonato de sodio, 1/2 cucharadita de extracto de vainilla, 1 cucharada de cacao en polvo - mezclado con 2 cucharadas de agua tibia, 1/2 taza de compota de fresa - o puré fresco, 1/4 taza de cuajada (Dahi / yogur), 2 cucharadas de aceite de oliva virgen extra, 1/2 taza de leche condensada, 1 cucharada de chips de caramelo - o almendras</t>
  </si>
  <si>
    <t xml:space="preserve">To begin making Strawberry Chocolate Loaf Cake Recipe, in a large mixing bowl, add curd. Beat it using a hand whisk or hand blender for half a minute. Add vanilla essence and condensed milk. Whisk it again for 2-3 minutes.At this stage, add olive oil. Beat it again till smooth.In another mixing bowl, Sieve wheat flour, baking powder and baking soda. Add this dry mixture to the wet mixture and fold everything well. Divide batter into two equal portions and transfer to separate bowls.Add cocoa powder to one portion of the batter and mix well. Adjust the consistency of the batter using some milk. Add strawberry puree to the other portion and mix well. Add butterscotch nuts/ almonds to both the cake mixtures and mix well.Meanwhile, Preheat oven to 180 degree.Take a loaf pan and grease with oil and dust with flour. Pour strawberry cake mixture first and then pour in chocolate batter. Using a toothpick, make swirls.Bake for 30 minutes or till cake is done. Remove pan from the oven and transfer to a cooling rack. After 10 minutes , remove cake carefully from the pan and cut into slices. Drizzle with honey and serve.Surprise your valentine with the Strawberry Chocolate Loaf Cake Recipe or pep up your tea parties or pack it for your kids snack box.
</t>
  </si>
  <si>
    <t>Para preparar la receta de pastel de chocolate con fresas, en un tazón grande, agregue la cuajada. Bátala con una batidora de mano durante medio minuto. Agregue la esencia de vainilla y la leche condensada. Vuelva a batir durante 2-3 minutos. En este punto, agregue el aceite de oliva. Vuelva a batir hasta que esté suave. En otro tazón, tamice la harina de trigo, el polvo para hornear y el bicarbonato de sodio. Agregue esta mezcla seca a la mezcla húmeda e incorpórela bien. Divida la masa en dos porciones iguales y transfiéralas a tazones separados. Agregue cacao en polvo a una porción de la masa y mezcle bien. Ajuste la consistencia de la masa con un poco de leche. Agregue puré de fresa a la otra porción y mezcle bien. Agregue nueces o almendras con caramelo a ambas mezclas para pastel y mezcle bien. Mientras tanto, precaliente el horno a 180 grados. Tome un molde para pan, engráselo con aceite y espolvoréelo con harina. Vierta primero la mezcla de pastel de fresa y luego la masa de chocolate. Con un palillo, haga remolinos. Hornee durante 30 minutos o hasta que el pastel esté listo. Saca el molde del horno y pásalo a una rejilla para enfriar. Después de 10 minutos, desmolda con cuidado el pastel y córtalo en rebanadas. Rocía con miel y sirve. Sorprende a tu pareja con la receta de pastel de chocolate y fresa, anima tus fiestas de té o llévalo para la merienda de tus hijos.</t>
  </si>
  <si>
    <t>Pour commencer la recette du cake au chocolat et aux fraises, dans un grand saladier, ajoutez le lait caillé. Battez-le au fouet ou au mixeur plongeant pendant 30 secondes. Ajoutez l'extrait de vanille et le lait concentré. Fouettez à nouveau pendant 2 à 3 minutes. Ajoutez ensuite l'huile d'olive et battez à nouveau jusqu'à obtenir une consistance lisse. Dans un autre saladier, tamisez la farine de blé, la levure chimique et le bicarbonate de soude. Ajoutez ce mélange sec au mélange humide et incorporez bien le tout. Divisez la pâte en deux portions égales et transvasez-la dans des bols séparés. Ajoutez le cacao en poudre à une portion et mélangez bien. Ajustez la consistance avec un peu de lait. Ajoutez la purée de fraises à l'autre portion et mélangez bien. Ajoutez les noix et les amandes au caramel et mélangez bien. Pendant ce temps, préchauffez le four à 180 °C. Prenez un moule à cake, graissez-le d'huile et saupoudrez-le de farine. Versez d'abord la pâte à gâteau aux fraises, puis la pâte au chocolat. À l'aide d'un cure-dent, dessinez des tourbillons. Enfournez pour 30 minutes ou jusqu'à ce que le gâteau soit cuit. Retirez le moule du four et transférez-le sur une grille. Au bout de 10 minutes, démoulez délicatement le gâteau et coupez-le en parts. Arrosez de miel et servez. Surprenez votre Valentin(e) avec cette recette de gâteau au chocolat et aux fraises, agrémentez vos goûters ou offrez-le au goûter de vos enfants.</t>
  </si>
  <si>
    <t>https://www.archanaskitchen.com/strawberry-chocolate-loaf-cake-recipe</t>
  </si>
  <si>
    <t>Cheddar Beer Bread Recipe - Cheesy Bread Recipe</t>
  </si>
  <si>
    <t>Cheddar-Bierbrot-Rezept - Käsebrot-Rezept</t>
  </si>
  <si>
    <t>Recette de pain au cheddar et à la bière - Recette de pain au fromage</t>
  </si>
  <si>
    <t>Pan con queso cheddar y cerveza - Receta de pan de queso</t>
  </si>
  <si>
    <t>1-1/2 tasse de farine tout usage (Maida), 1/2 tasse de cheddar râpé, 4 gousses d'ail finement hachées, 1 cuillère à soupe de sucre, 2 cuillères à café de levure chimique, 1 cuillère à café de sel, 1-1/4 tasse de bière, 2 cuillères à soupe de beurre, 2 cuillères à café d'herbes mélangées (séchées)</t>
  </si>
  <si>
    <t>1-1 /2 cups All Purpose Flour (Maida),1/2 cup Cheddar cheese - shredded,4 cloves Garlic - finely chopped,1 tablespoon Sugar,2 teaspoons Baking powder,1 teaspoon Salt,1-1/4 cups Beer,2 Tablespoons Butter,2 teaspoons Mixed Herbs (Dried)</t>
  </si>
  <si>
    <t>1-1/2 tazas de harina para todo uso (Maida), 1/2 taza de queso cheddar rallado, 4 dientes de ajo finamente picados, 1 cucharada de azúcar, 2 cucharaditas de polvo para hornear, 1 cucharadita de sal, 1-1/4 tazas de cerveza, 2 cucharadas de mantequilla, 2 cucharaditas de hierbas mixtas (secas)</t>
  </si>
  <si>
    <t xml:space="preserve">To begin making the Cheddar Beer Bread Recipe, grease a loaf pan with butter and dust it with flour and keep it ready.Preheat the oven to 180 degree Celsius.Heat butter in a pan on medium flame, add the garlic and fry until it turns light brown. This will take a couple of minutes.Once the garlic is brown, turn off the flame and add the mixed herbs. Set aside. In a mixing bowl, combine flour, sugar, salt, baking powder, 1/4 cup of cheese, and the herb garlic butter. Gently mix these Beer Bread ingredients.Finally, add in the beer (freshly opened can/bottle with all its fizz) and mix using a whisk. Continue to whisk till you get a smooth batter.Transfer this Cheddar Beer Bread batter to the prepared loaf tin, top it with the remaining cheese and place the Cheddar Beer Bread tin in the oven.Bake the Cheddar Beer Bread Recipe for 25 minutes or until a pricked toothpick comes out clean.Serve this Cheddar Beer Bread Recipe along with some Tzatziki Recipe - A Greek Yogurt Dip and Hot Coffee Latte Recipe for an evening snack. If you are having this Cheddar Beer Bread Recipe as part of breakfast then serve it along with Spicy Moroccan Eggs Recipe or Spicy Jalapeno Scrambled Eggs Recipe and Chopped Spinach And Pomegranate Salad Recipe for a Sunday morning breakfast. 
</t>
  </si>
  <si>
    <t>Para comenzar a hacer la Receta de Pan de Cerveza con Cheddar, engrase un molde para pan con mantequilla y espolvoréelo con harina y téngalo listo. Precaliente el horno a 180 grados Celsius. Caliente la mantequilla en una sartén a fuego medio, agregue el ajo y fría hasta que se dore. Esto tomará un par de minutos. Una vez que el ajo esté dorado, apague el fuego y agregue las hierbas mixtas. Deje de lado. En un tazón, combine la harina, el azúcar, la sal, el polvo para hornear, 1/4 de taza de queso y la mantequilla de ajo con hierbas. Mezcle suavemente estos ingredientes del Pan de Cerveza. Finalmente, agregue la cerveza (lata / botella recién abierta con toda su efervescencia) y mezcle con un batidor. Continúa batiendo hasta obtener una masa suave. Transfiere esta masa de pan de cerveza con queso cheddar al molde de pan preparado, cúbrelo con el queso restante y coloca el molde de pan de cerveza con queso cheddar en el horno. Hornea la receta de pan de cerveza con queso cheddar durante 25 minutos o hasta que al pinchar con un palillo, este salga limpio. Sirve esta receta de pan de cerveza con queso cheddar junto con una receta de tzatziki (una salsa de yogur griego) y una receta de café con leche caliente para un refrigerio por la noche. Si comes esta receta de pan de cerveza con queso cheddar como parte del desayuno, sírvela junto con la receta de huevos marroquíes picantes o la receta de huevos revueltos con jalapeño picante y la receta de ensalada de espinacas picadas y granada para un desayuno de domingo por la mañana.</t>
  </si>
  <si>
    <t>Pour commencer à préparer la recette du pain à la bière et au cheddar, graissez un moule à pain avec du beurre, saupoudrez-le de farine et gardez-le prêt. Préchauffez le four à 180 degrés Celsius. Faites chauffer le beurre dans une poêle à feu moyen, ajoutez l'ail et faites-le revenir jusqu'à ce qu'il devienne légèrement brun. Cela prendra quelques minutes. Une fois l'ail brun, éteignez le feu et ajoutez les herbes mélangées. Réservez. Dans un bol, mélangez la farine, le sucre, le sel, la levure chimique, 1/4 tasse de fromage et le beurre à l'ail et aux herbes. Mélangez délicatement ces ingrédients du pain à la bière. Enfin, ajoutez la bière (canette/bouteille fraîchement ouverte avec tout son pétillant) et mélangez à l'aide d'un fouet. Continuez à fouetter jusqu'à obtenir une pâte lisse. Transférez cette pâte à pain au cheddar et à la bière dans le moule à pain préparé, recouvrez-la du reste de fromage et placez le moule au four. Faites cuire la recette de pain au cheddar et à la bière pendant 25 minutes ou jusqu'à ce qu'un cure-dent piqué en ressorte propre. Servez cette recette de pain au cheddar et à la bière avec une recette de tzatziki (trempette au yaourt grec) et un café latte chaud pour une collation en soirée. Si vous prenez cette recette de pain au cheddar et à la bière au petit-déjeuner, servez-la avec une recette d'œufs marocains épicés ou une recette d'œufs brouillés au jalapeño épicé et une recette de salade d'épinards hachés et de grenade pour un petit-déjeuner du dimanche matin.</t>
  </si>
  <si>
    <t>https://www.archanaskitchen.com/cheddar-beer-bread-recipe-cheesy-bread-recipe</t>
  </si>
  <si>
    <t>Healthy Fruit &amp; Nut Watermelon Dessert Recipe With Greek Yogurt</t>
  </si>
  <si>
    <t>Gesundes Obst- und Nuss-Wassermelonen-Dessert-Rezept mit griechischem Joghurt</t>
  </si>
  <si>
    <t>Recette de dessert sain à la pastèque et aux fruits et noix avec du yaourt grec</t>
  </si>
  <si>
    <t>Receta saludable de postre de sandía, frutas y nueces con yogur griego</t>
  </si>
  <si>
    <t>1 pastèque coupée en quartiers, 1/4 tasse de raisins noirs épépinés et coupés en deux, 1/4 tasse de noix coupées en deux, 4 amandes effilées, feuilles de menthe pour garnir, 1 tasse de yaourt grec, 1 cuillère à soupe de crème fraîche, 3 cuillères à soupe de sucre en poudre, 1 cuillère à café d'extrait de vanille</t>
  </si>
  <si>
    <t>1 Watermelon - cut into wedges,1/4 cup Black grapes - deseeded &amp; cut into halves,1/4 cup Walnuts - cut into half,4 Badam (Almond) - slivered,Mint Leaves (Pudina) - to garnish,1 cup Hung Curd (Greek Yogurt),1 tablespoon Fresh cream,3 tablespoons Sugar - powdered,1 teaspoon Vanilla Extract</t>
  </si>
  <si>
    <t>1 sandía - cortada en gajos, 1/4 taza de uvas negras - sin semillas y cortadas en mitades, 1/4 taza de nueces - cortadas en mitades, 4 Badam (almendras) - en rodajas, hojas de menta (pudina) - para decorar, 1 taza de Hung Curd (yogur griego), 1 cucharada de crema fresca, 3 cucharadas de azúcar - en polvo, 1 cucharadita de extracto de vainilla</t>
  </si>
  <si>
    <t xml:space="preserve">To begin making the Healthy Fruit &amp; Nut Topped Watermelon Recipe, cut the watermelon into slices and completely remove the skin. Now cut the watermelon into bite sized triangles. To make the yogurt toppingIn a mixing bowl, combine the greek yogurt along with the cream, sugar and vanilla extract and whisk well. To assemble the Healthy Fruit &amp; Nut Topped Watermelon DessertPlace the watermelon wedges on a serving platter, spoon some of the vanilla yogurt topping on each of the watermelon wedges. Next place walnuts, almonds and grapes on each of the water melon wedges. Garnish with mint leaves and serve.Serve this Healthy Fruit &amp; Nut Topped Watermelon Dessert Recipe, after a meal of Broccoli Almond Soup Recipe, Lettuce, Apple And Carrot Salad With Chilli Dressing Recipe and Delicious &amp; Cheesy Spaghetti Sandwich Recipe. 
</t>
  </si>
  <si>
    <t>Para empezar a preparar la Receta de Sandía Saludable con Frutos Secos y Nueces, corta la sandía en rodajas y quítale la piel por completo. Ahora, corta la sandía en triángulos pequeños. Para la cobertura de yogur: En un bol, mezcla el yogur griego con la nata, el azúcar y el extracto de vainilla y bate bien. Para montar el Postre de Sandía Saludable con Frutos Secos y Nueces: Coloca los gajos de sandía en una fuente y vierte un poco de la cobertura de yogur de vainilla sobre cada uno. A continuación, coloca nueces, almendras y uvas sobre cada uno. Decora con hojas de menta y sirve. Sirve esta Receta de Postre de Sandía Saludable con Frutos Secos y Nueces después de una comida con la Receta de Sopa de Brócoli y Almendras, la Receta de Ensalada de Lechuga, Manzana y Zanahoria con Aderezo de Chile y la Receta de Sándwich de Espagueti Delicioso con Queso.</t>
  </si>
  <si>
    <t>Pour commencer à préparer la recette de pastèque saine aux fruits et aux noix, coupez la pastèque en tranches et retirez complètement la peau. Coupez ensuite la pastèque en triangles de la taille d'une bouchée. Pour préparer la garniture au yaourt : Dans un saladier, mélangez le yaourt grec avec la crème, le sucre et l'extrait de vanille, puis fouettez bien. Pour assembler le dessert sain à la pastèque : Placez les quartiers de pastèque sur un plat de service, puis versez un peu de garniture au yaourt à la vanille sur chacun d'eux. Disposez ensuite des noix, des amandes et des raisins sur chacun des quartiers de pastèque. Décorez de feuilles de menthe et servez. Servez ce dessert sain à la pastèque après un repas composé de soupe au brocoli et aux amandes, de salade de laitue, de pommes et de carottes avec vinaigrette chili et de délicieux sandwichs aux spaghettis au fromage.</t>
  </si>
  <si>
    <t>https://www.archanaskitchen.com/healthy-fruit-nut-watermelon-dessert-recipe-with-greek-yogurt</t>
  </si>
  <si>
    <t>Chocolate Coffee Sticky Cake Recipe</t>
  </si>
  <si>
    <t>Rezept für klebrigen Schokoladen-Kaffee-Kuchen</t>
  </si>
  <si>
    <t>Recette de gâteau au café et au chocolat fondant</t>
  </si>
  <si>
    <t>Receta de pastel de café con dulce de chocolate</t>
  </si>
  <si>
    <t>3/4 tasse de farine tout usage (Maida), 1 tasse de cassonade (sucre Demerara), 2 cuillères à café de poudre de café instantané, 2/3 tasse de pépites de chocolat noir, 1/2 cuillère à café de poudre de cannelle (Dalchini), 1/4 cuillère à café de poudre de muscade, 1,5 cuillère à café de levure chimique, 1/4 cuillère à café de sel, 3/4 tasse de noix - grossièrement hachées, 1/2 tasse de beurre - ramolli, 2 œufs entiers - + 2 cuillères à soupe d'un œuf battu, 1/4 cuillère à café d'extrait de vanille, 1/2 tasse d'eau - (ajuster)</t>
  </si>
  <si>
    <t>3/4 cup All Purpose Flour (Maida),1 cup Brown Sugar (Demerara Sugar),2 teaspoons Instant Coffee Powder,2/3 cup Dark Chocolate Chips,1/2 teaspoon Cinnamon Powder (Dalchini),1/4 teaspoon Nutmeg powder,1.5 teaspoons Baking powder,1/4 teaspoon Salt,3/4 cup Walnuts - roughly chopped,1/2 cup Butter - softened,2 Whole Eggs - +2 tablespoons of one beaten egg,1/4 teaspoon Vanilla Extract,1/2 cup Water - (adjust)</t>
  </si>
  <si>
    <t>3/4 taza de harina para todo uso (Maida), 1 taza de azúcar morena (azúcar Demerara), 2 cucharaditas de café instantáneo en polvo, 2/3 taza de chispas de chocolate negro, 1/2 cucharadita de canela en polvo (Dalchini), 1/4 cucharadita de nuez moscada en polvo, 1,5 cucharaditas de polvo para hornear, 1/4 cucharadita de sal, 3/4 taza de nueces - picadas gruesamente, 1/2 taza de mantequilla - ablandada, 2 huevos enteros - + 2 cucharadas de un huevo batido, 1/4 cucharadita de extracto de vainilla, 1/2 taza de agua - (ajustar)</t>
  </si>
  <si>
    <t xml:space="preserve">To begin making Chocolate Coffee Sticky Cake Recipe, first set your oven to pre-heat at 180 degrees C for 15-20 minutes while you get the ingredients and the batter ready.Next, prepare your 9" bundt pan by thoroughly buttering it. Smear butter all over the insides of the pan, spreading it with your fingers. Next, sprinkle flour all over the buttered surface, tapping it with the heel of your palm so the butter spreads evenly. Set this aside till you are ready to use it.Take a mixing bowl and sift together the flour, baking soda, ground cinnamon, ground nutmeg baking powder and salt into it. Mix well and set this aside.In saucepan melt the chocolate chips, coffee powder and water over a medium-low heat, while stirring constantly. Turn off the heat and set the saucepan aside to cool.Meanwhile, in a mixing bowl, cream the softened butter and brown sugar, using a hand-beater, on a high speed till it looks light and fluffy. To this, add the melted chocolate mixture and beat briefly, till well combined.Next, add the eggs one at a time, beating well after each addition. Also add the vanilla extract and mix well.Now, reduce the speed to low and gradually add the flour mixture and beat well till well combined and no lumps remain. The batter will be runny, this is how it is meant to be, so do not panic.Lastly, fold the walnuts in to the batter using a spatula and pour the batter into the bundt pan.Set the pan into the oven to bake at 180 degrees C, for 35-40 minutes or until a toothpick inserted into the pan comes out clean.Once baked, remove the bundt pan from the oven and set it aside for 10 minutes to cool slightly, on a wire rack. When cooled, gently place a plate over the pan and swiftly turn the pan over to release the cake onto the plate.Chocolate Coffee Sticky Cake is ready to be served. It tastes wonderful served warm, straight out of the oven, and goes well with a hot cup of tea or coffee. Perk up your Dinner Party Dessert. 
</t>
  </si>
  <si>
    <t>Para preparar la receta de pastel pegajoso de chocolate y café, precalienta el horno a 180 °C durante 15-20 minutos mientras preparas los ingredientes y la masa. Prepara un molde Bundt de 23 cm untándolo bien con mantequilla. Unta la mantequilla por todo el interior, extendiéndola con los dedos. Espolvorea harina por toda la superficie enmantecada, dándole golpecitos con la palma de la mano para que la mantequilla se extienda uniformemente. Reserva hasta que estés listo para usar. En un bol, mezcla la harina, el bicarbonato, la canela molida, la nuez moscada molida, el polvo para hornear y la sal. Mezcla bien y reserva. En una cacerola, derrite las chispas de chocolate, el café en polvo y el agua a fuego medio-bajo, removiendo constantemente. Apaga el fuego y deja enfriar la cacerola. Mientras tanto, en un bol, bate la mantequilla ablandada y el azúcar moreno a alta velocidad con una batidora de mano hasta obtener una mezcla ligera y esponjosa. Agrega la mezcla de chocolate derretido y bate. Brevemente, hasta que estén bien combinados. A continuación, añade los huevos uno a uno, batiendo bien después de cada adición. Añade también el extracto de vainilla y mezcla bien. Reduce la velocidad y añade gradualmente la mezcla de harina, batiendo bien hasta que esté bien combinada y no queden grumos. La masa quedará líquida, así es como debe quedar, así que no te asustes. Por último, incorpora las nueces a la masa con una espátula y vierte la masa en el molde Bundt. Hornea a 180 °C durante 35-40 minutos o hasta que al insertar un palillo, este salga limpio. Una vez horneado, retira el molde Bundt del horno y déjalo enfriar un poco durante 10 minutos sobre una rejilla. Cuando se haya enfriado, coloca con cuidado un plato sobre el molde y dale la vuelta rápidamente para desmoldar el pastel. El Pastel Pegajoso de Chocolate y Café está listo para servir. Está delicioso caliente, recién salido del horno, y combina muy bien con una taza de té o café caliente. Dale vida a tu postre para la cena.</t>
  </si>
  <si>
    <t>Pour commencer la recette du gâteau collant chocolat-café, préchauffez votre four à 180 °C pendant 15 à 20 minutes, le temps de préparer les ingrédients et la pâte. Ensuite, préparez un moule à savarin de 23 cm en le beurrant soigneusement. Beurrez l'intérieur du moule avec les doigts. Saupoudrez ensuite de farine la surface beurrée en tapotant du plat de la main pour répartir uniformément le beurre. Réservez le tout jusqu'à utilisation. Dans un saladier, tamisez la farine, le bicarbonate de soude, la cannelle moulue, la levure chimique à la noix de muscade moulue et le sel. Mélangez bien et réservez. Dans une casserole, faites fondre les pépites de chocolat, le café en poudre et l'eau à feu moyen-doux en remuant constamment. Éteignez le feu et laissez refroidir. Pendant ce temps, dans un saladier, battez le beurre ramolli et la cassonade à grande vitesse au batteur électrique jusqu'à obtenir une consistance légère et mousseuse. Ajoutez le mélange de chocolat fondu et battez brièvement. Ajoutez ensuite les œufs un à un en battant bien après chaque ajout. Ajoutez également l'extrait de vanille et mélangez bien. Réduisez la vitesse au minimum et ajoutez progressivement le mélange de farine en fouettant jusqu'à obtenir une pâte homogène et sans grumeaux. La pâte sera liquide, c'est normal ; pas de panique ! Enfin, incorporez les noix à la pâte à l'aide d'une spatule et versez la pâte dans le moule à savarin. Enfournez le moule à savarin pour une cuisson à 180 °C pendant 35 à 40 minutes, ou jusqu'à ce qu'un cure-dent inséré dans le moule en ressorte propre. Une fois cuit, retirez le moule du four et laissez-le refroidir légèrement 10 minutes sur une grille. Une fois refroidi, placez délicatement une assiette sur le moule et retournez-le rapidement pour démouler le gâteau. Le gâteau collant chocolat-café est prêt à être servi. Il est délicieux servi chaud, dès la sortie du four, et se marie parfaitement avec une tasse de thé ou de café chaud. Reprenez des forces ! votre dessert de dîner.</t>
  </si>
  <si>
    <t>http://www.archanaskitchen.com/chocolate-coffee-sticky-cake-recipe</t>
  </si>
  <si>
    <t>Date, Nuts And Quinoa Energy Bite Recipe</t>
  </si>
  <si>
    <t>Rezept für Energiebissen mit Datteln, Nüssen und Quinoa</t>
  </si>
  <si>
    <t>Recette de bouchées énergétiques aux dattes, noix et quinoa</t>
  </si>
  <si>
    <t>Receta de bocaditos energéticos con dátiles, frutos secos y quinoa</t>
  </si>
  <si>
    <t>1 tasse de noix de cajou, 1 tasse d'arachides crues (Moongphali), 1 tasse de quinoa, 1 tasse de flocons d'avoine instantanés (gruau), 2 tasses de dattes - (environ 20 dattes, 1/2 tasse de miel, 1 tasse de noix de coco râpée, 1/2 tasse de cacao en poudre - (vous pouvez également utiliser du cacao mi-sucré), 1 cuillère à café de ghee - à température ambiante</t>
  </si>
  <si>
    <t>1 cup Cashew nuts,1 cup Raw Peanuts (Moongphali),1 cup Quinoa,1 cup Instant Oats (Oatmeal),2 cups Dates - (about 20 dates,1/2 cup Honey,1 cup Dessicated Coconut,1/2 cup Cocoa Powder - (you can use semi sweet cocoa also),1 teaspoon Ghee - at room temperature</t>
  </si>
  <si>
    <t>1 taza de anacardos, 1 taza de cacahuetes crudos (Moongphali), 1 taza de quinua, 1 taza de avena instantánea (avena), 2 tazas de dátiles (unos 20 dátiles), 1/2 taza de miel, 1 taza de coco deshidratado, 1/2 taza de cacao en polvo (también puedes usar cacao semidulce), 1 cucharadita de ghee a temperatura ambiente</t>
  </si>
  <si>
    <t xml:space="preserve">To prepare Date, Nuts And Quinoa Energy Bite Recipe, dry roast the cashews, peanuts, quinoa and oats in a kadai. you can also microwave them for about 2 minutes on high. Set aside to cool.Pulse the mixture in a processor, into crunchy bits. Set aside.Pulse the dates and coconut in a processor until they form a crumbly dough. Add in the nuts mixture. Pulse to form a dough. Finally add honey, cocoa powder and ghee. Pulse until they all come together to form a dough.Line and grease a wax sheet lined baking pan. Press the dough flat and cut into square of desired size. Refrigerate for an hour.Store Date, Nuts And Quinoa Energy Bite Recipe in an airtight container at room temperature for about 10 days. It will stay longer or in the fridge. Enjoy!
</t>
  </si>
  <si>
    <t>Para preparar la Receta de Bocadito Energético de Dátiles, Nueces y Quinoa, tuesta los anacardos, los cacahuetes, la quinoa y la avena en un horno kadai. También puedes calentarlos en el microondas durante unos 2 minutos a alta potencia. Deja enfriar. Tritura la mezcla en un procesador de alimentos hasta obtener trocitos crujientes. Reserva. Tritura los dátiles y el coco en un procesador de alimentos hasta formar una masa desmenuzable. Agrega la mezcla de nueces. Tritura hasta formar una masa. Finalmente, agrega la miel, el cacao en polvo y el ghee. Tritura hasta que todo se integre. Forra y engrasa un molde para hornear forrado con papel de horno. Aplana la masa y córtala en cuadrados del tamaño deseado. Refrigera durante una hora. Guarda la Receta de Bocadito Energético de Dátiles, Nueces y Quinoa en un recipiente hermético a temperatura ambiente durante unos 10 días. Se conservará más tiempo o en el refrigerador. ¡Disfruta!</t>
  </si>
  <si>
    <t>Pour préparer la recette de bouchées énergétiques aux dattes, noix et quinoa, faites griller à sec les noix de cajou, les cacahuètes, le quinoa et les flocons d'avoine dans un kadai. Vous pouvez également les passer au micro-ondes pendant environ 2 minutes à puissance maximale. Laissez refroidir. Mixez le mélange au robot jusqu'à obtenir des morceaux croustillants. Réservez. Mixez les dattes et la noix de coco au robot jusqu'à obtenir une pâte friable. Ajoutez le mélange de noix et mixez jusqu'à obtenir une pâte. Ajoutez enfin le miel, le cacao en poudre et le ghee. Mixez jusqu'à obtenir une pâte homogène. Chemisez et graissez un moule à pâtisserie recouvert de papier sulfurisé. Aplatissez la pâte et découpez-la en carrés de la taille souhaitée. Réfrigérez pendant une heure. Conservez la recette de bouchées énergétiques aux dattes, noix et quinoa dans un récipient hermétique à température ambiante pendant environ 10 jours. Elle se conservera plus longtemps ou au réfrigérateur. Bon appétit !</t>
  </si>
  <si>
    <t>https://www.archanaskitchen.com/date-nuts-and-quinoa-energy-bite-recipe</t>
  </si>
  <si>
    <t>Roasted Garlic Potato Soup Recipe</t>
  </si>
  <si>
    <t>Rezept für geröstete Knoblauchkartoffelsuppe</t>
  </si>
  <si>
    <t>Recette de soupe de pommes de terre à l'ail rôti</t>
  </si>
  <si>
    <t>Receta de sopa de papa con ajo asado</t>
  </si>
  <si>
    <t>2 pommes de terre (Aloo) - bouillies et coupées en dés, 3 gousses d'ail, 1 cuillère à café de romarin - séché, 1 cuillère à café de poudre de poivre noir, sel - au goût, 1 cuillère à café d'huile d'olive extra vierge, 4 gousses d'ail - finement tranchées, 1 cuillère à café d'huile d'olive extra vierge</t>
  </si>
  <si>
    <t>2 Potatoes (Aloo) - boiled and cubed,3 cloves Garlic,1 teaspoon Rosemary - dried,1 teaspoon Black pepper powder,Salt - to taste,1 teaspoon Extra Virgin Olive Oil,4 cloves Garlic - thinly sliced,1 teaspoon Extra Virgin Olive Oil</t>
  </si>
  <si>
    <t>2 patatas (Aloo) - hervidas y cortadas en cubos, 3 dientes de ajo, 1 cucharadita de romero - seco, 1 cucharadita de pimienta negra en polvo, sal - al gusto, 1 cucharadita de aceite de oliva virgen extra, 4 dientes de ajo - en rodajas finas, 1 cucharadita de aceite de oliva virgen extra</t>
  </si>
  <si>
    <t xml:space="preserve">To begin making the Roasted Garlic Potato Soup, into a small skillet add the olive oil and garlic. Roast the garlic until it changes color and also gives out a good aroma. Once roasted, turn off the heat.Blend the potatoes, the roasted garlic, rosemary, salt and pepper adding water to get a smooth soup puree. Add just enough water to get the desired consistency. If you like it thicker then you can add less water.Once well blended, pour the Roasted Garlic Potato soup into a saucepan and bring it to a boil and turn off the heat. Check the salt and pepper, adjust to suit your taste.While the soup is boiling, we will roast the garlic for garnishing.In the same skillet we roasted the garlic above, add the olive oil and the sliced garlic. Roast until the garlic turns golden brown.Pour the Roasted Garlic Potato soup into bowl and garnish it with more roasted garlic. Serve Roasted Garlic Potato Soup warm along with Chickpea Orange Salad with Sun Dried Tomatoes and Garlic Bread with Herb Butter for a quick weeknight dinner.
</t>
  </si>
  <si>
    <t>Para comenzar a hacer la sopa de papa con ajo asado, en una sartén pequeña agregue el aceite de oliva y el ajo. Ase el ajo hasta que cambie de color y también desprenda un buen aroma. Una vez asado, apague el fuego. Licúe las papas, el ajo asado, el romero, la sal y la pimienta agregando agua para obtener un puré de sopa suave. Agregue solo el agua suficiente para obtener la consistencia deseada. Si lo prefiere más espeso, puede agregar menos agua. Una vez bien mezclado, vierta la sopa de papa con ajo asado en una cacerola y llévela a ebullición y apague el fuego. Verifique la sal y la pimienta, ajuste a su gusto. Mientras la sopa hierve, asaremos el ajo para decorar. En la misma sartén asamos el ajo arriba, agregue el aceite de oliva y el ajo en rodajas. Ase hasta que el ajo se dore. Vierta la sopa de papa con ajo asado en un tazón y decórela con más ajo asado. Sirva la sopa de papa con ajo asado caliente junto con ensalada de garbanzos y naranja con tomates secos y pan de ajo con mantequilla de hierbas para una cena rápida entre semana.</t>
  </si>
  <si>
    <t>Pour commencer à préparer la soupe de pommes de terre à l'ail rôti, dans une petite poêle, ajoutez l'huile d'olive et l'ail. Rôtissez l'ail jusqu'à ce qu'il change de couleur et dégage également un bon arôme. Une fois rôti, éteignez le feu. Mixez les pommes de terre, l'ail rôti, le romarin, le sel et le poivre en ajoutant de l'eau pour obtenir une purée de soupe lisse. Ajoutez juste assez d'eau pour obtenir la consistance désirée. Si vous l'aimez plus épaisse, vous pouvez ajouter moins d'eau. Une fois bien mélangé, versez la soupe de pommes de terre à l'ail rôti dans une casserole et portez-la à ébullition puis éteignez le feu. Vérifiez le sel et le poivre, ajustez à votre goût. Pendant que la soupe bout, nous allons rôtir l'ail pour la garniture. Dans la même poêle que nous avons rôti l'ail ci-dessus, ajoutez l'huile d'olive et l'ail émincé. Rôtissez jusqu'à ce que l'ail devienne doré. Versez la soupe de pommes de terre à l'ail rôti dans un bol et garnissez-la d'ail rôti. Servez la soupe de pommes de terre à l'ail rôti chaude avec une salade de pois chiches à l'orange avec des tomates séchées au soleil et du pain à l'ail avec du beurre aux herbes pour un dîner rapide en semaine.</t>
  </si>
  <si>
    <t>http://www.archanaskitchen.com/roasted-garlic-potato-soup-recipe</t>
  </si>
  <si>
    <t>Vegetable Filled Souffle Recipe</t>
  </si>
  <si>
    <t>Rezept für ein mit Gemüse gefülltes Soufflé</t>
  </si>
  <si>
    <t>Recette de soufflé aux légumes</t>
  </si>
  <si>
    <t>Receta de soufflé de verduras</t>
  </si>
  <si>
    <t>1/8 tasse de margarine (à teneur réduite en calories), 1/8 tasse de farine tout usage (Maida), 1/4 cuillère à café de sel, 1/4 cuillère à café de poivre de Cayenne moulu, 3/4 tasse de lait écrémé, 3 blancs d'œufs, 2 jaunes d'œufs, 1/4 cuillère à café de vinaigre blanc, feuilles de basilic préparées précédemment, 1 oignon finement haché, 1 gousse d'ail hachée, 1 cuillère à soupe d'huile d'olive extra vierge, 3/4 tasse de courgettes jaunes râpées, 1/8 tasse de feuilles de basilic ciselées, 1/8 tasse de parmesan râpé</t>
  </si>
  <si>
    <t>1/8 cup Margarine (Reduced Calorie),1/8 cup All Purpose Flour (Maida),1/4 teaspoon Salt,1/4 teaspoon Cayenne Pepper - ground,3/4 cup Milk - skim milk,3 Egg whites,2 Egg yolks,1/4 teaspoon White vinegar,Basil leaves - prepared earlier,1 Onion - finely chopped,1 clove Garlic - minced,1 tablespoon Extra Virgin Olive Oil,3/4 cup Yellow Zucchini - grated,1/8 cup Basil leaves - sniped,1/8 cup Parmesan cheese - grated</t>
  </si>
  <si>
    <t>1/8 taza de margarina (reducida en calorías), 1/8 taza de harina para todo uso (Maida), 1/4 cucharadita de sal, 1/4 cucharadita de pimienta de cayena molida, 3/4 taza de leche descremada, 3 claras de huevo, 2 yemas de huevo, 1/4 cucharadita de vinagre blanco, hojas de albahaca preparadas previamente, 1 cebolla finamente picada, 1 diente de ajo picado, 1 cucharada de aceite de oliva virgen extra, 3/4 taza de calabacín amarillo rallado, 1/8 taza de hojas de albahaca picadas, 1/8 taza de queso parmesano rallado</t>
  </si>
  <si>
    <t xml:space="preserve">To start making Vegetable Filled Souffle Roll, heat a heavy bottomed pan over medium heat and add oil. Add onion, garlic and cook for 2 minutes or until onion is tender.Stir in zucchini and basil. Reduce heat and simmer until zucchini is lightly cooked and not too soft.  Turn off the heat and stir in cheese.To start making soufflé, spray non-stick cooking spray on a jelly roll pan or a baking sheet with rim. Line bottom of pan with parchment paper.Heat margarine in a small saucepan over low heat until melted. Stir in flour, salt and red pepper. Cook stirring constantly until smooth and bubbly.Remove the pan from the heat. Stir in milk until well combined into the flour mixture. Use a whisk to make the process easier. Cook and stir the mixture until thick and bubbly. Turn off the heat and cool slightly.Once cooled, add the egg yolks one at a time and whisk it.In another bowl beat egg whites and white vinegar until stiff but not dry. Gradually stir beaten egg whites to the prepared flour mixture and combine well.Preheat oven to 180 C.Spread the prepared mixture to the prepared jelly roll pan or a baking sheet evenly.Bake in the preheated oven until puffed and golden brown or about 35 to 40 minutes.While the souffle is baking, place a long piece of foil on a large baking sheet and grease the foil.Once the souffle is done and is fluffy,  Immediately loosen the baked souffle from the pan. Place the foil lined baking sheet over the souffle. Invert souffle onto the foil lined baking sheet. Carefully peel off parchment paper on top of souffle.Spread the basil flavored vegetables evenly on the souffle and roll up from narrow end. Don't roll the souffle along with the foil. Once you have a souffle roll, slice them to 1-inch thickness and serve immediately.Serve these Vegetable Filled Souffle Rolls along with a tomato basil sauce for a tasty meal.
</t>
  </si>
  <si>
    <t>Para empezar a hacer el rollo de soufflé relleno de verduras, calienta una sartén de fondo grueso a fuego medio y agrega aceite. Agrega la cebolla, el ajo y cocina durante 2 minutos o hasta que la cebolla esté tierna. Agrega el calabacín y la albahaca. Reduce el fuego y cocina a fuego lento hasta que el calabacín esté ligeramente cocido y no demasiado blando. Apaga el fuego y agrega el queso. Para empezar a hacer el soufflé, rocía aerosol antiadherente para cocinar en un molde para rollo de gelatina o una bandeja para hornear con borde. Cubre el fondo del molde con papel pergamino. Calienta la margarina en una cacerola pequeña a fuego lento hasta que se derrita. Agrega la harina, la sal y la pimienta roja. Cocina revolviendo constantemente hasta que esté suave y burbujeante. Retira la sartén del fuego. Agrega la leche hasta que esté bien combinado con la mezcla de harina. Usa un batidor para facilitar el proceso. Cocina y revuelve la mezcla hasta que espese y burbujee. Apaga el fuego y deja enfriar un poco. Una vez enfriado, agrega las yemas de huevo una a la vez y bátelo. En otro tazón bate las claras de huevo y el vinagre blanco hasta que estén firmes pero no secas. Poco a poco incorpora las claras de huevo batidas a la mezcla de harina preparada y combina bien. Precalienta el horno a 180 C. Extiende la mezcla preparada en el molde para rollo de gelatina preparado o en una bandeja para hornear de manera uniforme. Hornea en el horno precalentado hasta que esté inflado y dorado o aproximadamente de 35 a 40 minutos. Mientras se hornea el suflé, coloca un trozo largo de papel de aluminio en una bandeja para hornear grande y engrasa el papel de aluminio. Una vez que el suflé esté listo y esponjoso, afloja inmediatamente el suflé horneado del molde. Coloca la bandeja para hornear forrada con papel de aluminio sobre el suflé. Invierte el suflé sobre la bandeja para hornear forrada con papel de aluminio. Retira con cuidado el papel pergamino de la parte superior del suflé. Extiende las verduras con sabor a albahaca de manera uniforme sobre el suflé y enrolla desde el extremo angosto. No enrolles el suflé junto con el papel de aluminio. Una vez que tenga un rollo de soufflé, córtelo en rodajas de 1 pulgada de grosor y sírvalo inmediatamente. Sirva estos rollos de soufflé rellenos de vegetales junto con una salsa de tomate y albahaca para una comida sabrosa.</t>
  </si>
  <si>
    <t>Pour commencer à préparer un soufflé aux légumes, faites chauffer une poêle à fond épais à feu moyen et ajoutez l'huile. Ajoutez l'oignon et l'ail et faites cuire pendant 2 minutes ou jusqu'à ce que l'oignon soit tendre. Incorporez les courgettes et le basilic. Réduisez le feu et laissez mijoter jusqu'à ce que les courgettes soient légèrement cuites et pas trop molles. Éteignez le feu et incorporez le fromage. Pour commencer à préparer un soufflé, vaporisez un moule à gâteau roulé ou une plaque à pâtisserie avec rebord d'un enduit à cuisson antiadhésif. Tapissez le fond du moule de papier sulfurisé. Faites chauffer la margarine dans une petite casserole à feu doux jusqu'à ce qu'elle soit fondue. Incorporez la farine, le sel et le poivron rouge. Faites cuire en remuant constamment jusqu'à consistance lisse et bouillonnante. Retirez la casserole du feu. Incorporez le lait jusqu'à ce qu'il soit bien incorporé au mélange de farine. Utilisez un fouet pour faciliter le processus. Faites cuire et remuez le mélange jusqu'à ce qu'il soit épais et bouillonnant. Éteignez le feu et laissez refroidir légèrement. Une fois refroidi, ajoutez les jaunes d'œufs un à un et fouettez. Dans un autre bol, battez les blancs d'œufs et le vinaigre blanc jusqu'à ce qu'ils soient fermes mais pas secs. Incorporer graduellement les blancs d'œufs battus au mélange de farine préparé et bien mélanger. Préchauffer le four à 180 °C. Étaler uniformément le mélange préparé sur le moule à gâteau roulé ou sur une plaque à pâtisserie. Cuire au four préchauffé jusqu'à ce que le soufflé soit gonflé et doré, soit environ 35 à 40 minutes. Pendant la cuisson du soufflé, placer un long morceau de papier aluminium sur une grande plaque à pâtisserie et graisser le papier aluminium. Une fois le soufflé cuit et moelleux, décoller immédiatement le soufflé cuit du moule. Placer la plaque à pâtisserie recouverte de papier aluminium sur le soufflé. Retourner le soufflé sur la plaque à pâtisserie recouverte de papier aluminium. Décoller délicatement le papier sulfurisé sur le soufflé. Étaler uniformément les légumes parfumés au basilic sur le soufflé et rouler à partir de l'extrémité étroite. Ne pas rouler le soufflé avec le papier aluminium. Une fois que vous avez un rouleau à soufflé, coupez-le en tranches de 2,5 cm d'épaisseur et servez immédiatement. Servez ces rouleaux de soufflé fourrés aux légumes avec une sauce tomate au basilic pour un repas savoureux.</t>
  </si>
  <si>
    <t>https://www.archanaskitchen.com/vegetable-filled-souffle-recipe</t>
  </si>
  <si>
    <t>Vegan Burger Recipe With Beans And Tofu Patty</t>
  </si>
  <si>
    <t>Veganes Burger-Rezept mit Bohnen und Tofu-Patty</t>
  </si>
  <si>
    <t>Recette de burger végétalien avec galette de haricots et de tofu</t>
  </si>
  <si>
    <t>Receta de hamburguesa vegana con frijoles y tofu</t>
  </si>
  <si>
    <t>1 tasse de Moth Dal (Matki) - trempé toute la nuit, 1 tasse de Kala Chana (pois chiches bruns) - trempé toute la nuit ou des haricots moong, 1 oignon - haché, 1/2 tasse de carotte (Gajjar) - râpée, 1 tasse de champignons de Paris - finement hachés, 2 pommes de terre (Aloo) - ou banane crue, 3-4 cuillères à soupe de tofu - râpé, 2 cuillères à café de pâte d'ail et de gingembre, 1 cuillère à café de poudre de coriandre (Dhania), 1 cuillère à café de poudre de cumin (Jeera), 1/2 tasse de feuilles de coriandre (Dhania) - finement hachées, 1/2 tasse de feuilles de menthe (Pudina) - finement hachées, 1/4 tasse de chapelure de blé entier, 2 cuillères à café de poudre de piment rouge, 1-1/2 cuillère à café de poudre de garam masala, 2-3 cuillères à soupe de farine de riz, 1/2 cuillère à soupe de jus de citron, 2 cuillères à soupe d'huile de tournesol, sel et poivre - au goût, 6-7 pains à hamburger, 1 tomate - tranchée, 1 oignon - coupé en rondelles, 1/2 tasse Laitue iceberg - râpée, 1/4 tasse de sauce pour pâtes aux tomates rôties</t>
  </si>
  <si>
    <t>1 cup Moth Dal (Matki) - soaked overnight,1 cup Kala Chana (Brown Chickpeas) - soaked overnight or any moong beans,1 Onion - chopped,1/2 cup Carrot (Gajjar) - grated,1 cup Button mushrooms - finely chopped,2 Potatoes (Aloo) - or raw banana,3-4 tablespoon Tofu - grated,2 teaspoon Ginger Garlic Paste,1 teaspoon Coriander Powder (Dhania),1 teaspoon Cumin powder (Jeera),1/2 cup Coriander (Dhania) Leaves - finely chopped,1/2 cup Mint Leaves (Pudina) - finely chopped,1/4 cup Whole Wheat Bread crumbs,2 teaspoon Red Chilli powder,1-1/2 teaspoon Garam masala powder,2-3 tablespoon Rice flour,1/2 tablespoon Lemon juice,2 tablespoon Sunflower Oil,Salt and Pepper - to taste,6-7 Burger buns,1 Tomato - sliced,1 Onion - cut into rings,1/2 cup Iceberg lettuce - shredded,1/4 cup Roasted tomato pasta sauce</t>
  </si>
  <si>
    <t>1 taza de Moth Dal (Matki) - remojado durante la noche, 1 taza de Kala Chana (garbanzos marrones) - remojado durante la noche o cualquier frijol moong, 1 cebolla - picada, 1/2 taza de zanahoria (Gajjar) - rallada, 1 taza de champiñones - finamente picados, 2 papas (Aloo) - o plátano crudo, 3-4 cucharadas de tofu - rallado, 2 cucharaditas de pasta de ajo y jengibre, 1 cucharadita de cilantro en polvo (Dhania), 1 cucharadita de comino en polvo (Jeera), 1/2 taza de hojas de cilantro (Dhania) - finamente picadas, 1/2 taza de hojas de menta (Pudina) - finamente picadas, 1/4 taza de pan rallado integral, 2 cucharaditas de chile rojo en polvo, 1-1/2 cucharadita de garam masala en polvo, 2-3 cucharadas de harina de arroz, 1/2 cucharada de jugo de limón, 2 cucharadas de aceite de girasol, sal y pimienta - al gusto, 6-7 panecillos de hamburguesa, 1 tomate - en rodajas, 1 cebolla - cortada en aros, 1/2 taza Lechuga iceberg - rallada, 1/4 taza de salsa de pasta de tomate asado</t>
  </si>
  <si>
    <t>Vegan</t>
  </si>
  <si>
    <t xml:space="preserve">To begin making the Vegan Burger Recipe With Beans And Tofu Patty firstly, pressure cook the overnight soaked mixed beans with 1/2 cup of water  and pressure cook for about 6 whistles.Turn off the flame. Allow the pressure to release naturally.Open the cooker and drain the water completely.Heat 1 tablespoon oil in a Wok/pan.Add the chopped onions and ginger garlic paste.Sauté for a minute or till the onion just softens.Now add mushrooms and carrots.Stir and cook till water evaporates.To this add the coriander, cumin powder, garam masala, red chilli powder, and sauté for a few seconds.Add the cooked beans and salt. Stir and sauté for another minute or till all the water evaporates.Take it off the heat. Cool slightly.Pulse this bean-vegetable mixture coarsely in a food processor. In a mixing bowl, add bean mixture, potatoes, tofu, herbs, lime juice, rice flour and bread crumbs.Mix and knead lightly till it everything comes together. Adjust the amount of salt or masala if required.Make equal portions of the patty. Drizzle some oil on a grill pan and cook them on medium flame until the patties on both sides till they turn golden brown.To ServeWarm/grill the burger buns on a pan. Slice them and spread some roasted tomato sauce on one slice.Place lettuce leaf, tomato, onion and cucumber slices on it, next a patty over the salad.Drizzle more sauce and top with the other half of the bun. Serve Vegan Burger Recipe With Beans And Tofu Patty immediately with Vegan Mayonnaise with more tomato sauce and Vegan Guilt Free Chocolate Espresso Mousse Recipe.
</t>
  </si>
  <si>
    <t>Para comenzar a hacer la Receta de Hamburguesa Vegana con Frijoles y Tortita de Tofu primero, cocine a presión los frijoles mixtos remojados durante la noche con 1/2 taza de agua y cocine a presión durante aproximadamente 6 silbidos. Apague la llama. Deje que la presión se libere naturalmente. Abra la olla y escurra el agua por completo. Caliente 1 cucharada de aceite en un Wok / sartén. Agregue las cebollas picadas y la pasta de ajo y jengibre. Saltee durante un minuto o hasta que la cebolla se ablande. Ahora agregue los champiñones y las zanahorias. Revuelva y cocine hasta que el agua se evapore. A esto agregue el cilantro, el comino en polvo, el garam masala, el chile rojo en polvo y saltee durante unos segundos. Agregue los frijoles cocidos y la sal. Revuelva y saltee durante otro minuto o hasta que se evapore toda el agua. Retire del fuego. Deje enfriar un poco. Pulse esta mezcla de frijoles y vegetales en un procesador de alimentos. En un tazón, agregue la mezcla de frijoles, papas, tofu, hierbas, jugo de lima, harina de arroz y pan rallado. Mezcle y amase ligeramente hasta que todo se integre. Ajuste la cantidad de sal o masala si es necesario. Prepare porciones iguales de la hamburguesa. Rocíe un poco de aceite en una sartén para parrilla y cocínelas a fuego medio hasta que las hamburguesas se doren por ambos lados. Para servir: Caliente/ase los panecillos de hamburguesa en una sartén. Córtelos en rodajas y unte un poco de salsa de tomate asado en una rebanada. Coloque una hoja de lechuga, tomate, cebolla y rodajas de pepino encima, luego una hamburguesa sobre la ensalada. Rocíe más salsa y cubra con la otra mitad del pan. Sirva la Receta de Hamburguesa Vegana con Frijoles y Tortita de Tofu inmediatamente con Mayonesa Vegana con más salsa de tomate y Receta de Mousse de Chocolate Espresso Vegano Sin Culpa.</t>
  </si>
  <si>
    <t>Pour commencer à préparer la recette de burger végétalien avec des haricots et une galette de tofu, faites d'abord cuire sous pression les haricots mélangés trempés pendant la nuit avec 1/2 tasse d'eau et faites cuire sous pression pendant environ 6 sifflements. Éteignez le feu. Laissez la pression se relâcher naturellement. Ouvrez la cocotte et égouttez complètement l'eau. Faites chauffer 1 cuillère à soupe d'huile dans un wok/poêle. Ajoutez les oignons hachés et la pâte d'ail au gingembre. Faites sauter pendant une minute ou jusqu'à ce que l'oignon soit tendre. Ajoutez maintenant les champignons et les carottes. Remuez et faites cuire jusqu'à ce que l'eau s'évapore. Ajoutez à cela la coriandre, la poudre de cumin, le garam masala, la poudre de piment rouge et faites sauter pendant quelques secondes. Ajoutez les haricots cuits et le sel. Remuez et faites sauter pendant une minute supplémentaire ou jusqu'à ce que toute l'eau s'évapore. Retirez du feu. Laissez refroidir légèrement. Mixez grossièrement ce mélange de haricots et de légumes dans un robot culinaire. Dans un saladier, ajoutez le mélange de haricots, les pommes de terre, le tofu, les herbes, le jus de citron vert, la farine de riz et la chapelure. Mélangez et pétrissez légèrement jusqu'à ce que le tout soit homogène. Ajustez la quantité de sel ou de masala si nécessaire. Préparez des portions égales de galette. Versez un filet d'huile sur une poêle à griller et faites-les cuire à feu moyen jusqu'à ce que les galettes des deux côtés soient dorées. Pour servir : faites chauffer/griller les pains à hamburger dans une poêle. Coupez-les en tranches et étalez un peu de sauce tomate rôtie sur une tranche. Déposez dessus une feuille de laitue, des tranches de tomate, d'oignon et de concombre, puis une galette sur la salade. Arrosez de sauce et recouvrez avec l'autre moitié du pain. Servez immédiatement la recette de burger végétalien avec des haricots et une galette de tofu avec de la mayonnaise végétalienne, plus de sauce tomate et une recette de mousse au chocolat et expresso végétalienne sans culpabilité.</t>
  </si>
  <si>
    <t>https://www.archanaskitchen.com/vegan-burger-recipe-with-beans-and-tofu-patty</t>
  </si>
  <si>
    <t>Eggless Fudgy Chocolate Chunk Brownie Recipe</t>
  </si>
  <si>
    <t>Rezept für einen eifreien, fudgy Chocolate Chunk Brownie</t>
  </si>
  <si>
    <t>Recette de brownie fondant aux pépites de chocolat sans œufs</t>
  </si>
  <si>
    <t>Receta de brownie dulce con chispas de chocolate y sin huevo</t>
  </si>
  <si>
    <t>3/4 tasse de farine tout usage (Maida), 1/4 cuillère à café de levure chimique, 1/2 tasse de poudre de cacao, 1/4 cuillère à café de sel, 1/2 tasse de sucre, 1/2 tasse de beurre, 1 cuillère à café d'extrait de vanille, 1 tasse de barre de chocolat - coupée en morceaux, 2 cuillères à soupe de poudre de graines de lin (farine de lin), 6 cuillères à soupe d'eau glacée</t>
  </si>
  <si>
    <t>3/4 cup All Purpose Flour (Maida),1/4 teaspoon Baking powder,1/2 cup Cocoa Powder,1/4 teaspoon Salt,1/2 cup Sugar,1/2 cup Butter,1 teaspoon Vanilla Extract,1 cup Chocolate Bar - chopped to chunks,2 tablespoons Flax seed powder (flax meal),6 tablespoons Chilled water</t>
  </si>
  <si>
    <t>3/4 taza de harina para todo uso (Maida), 1/4 cucharadita de polvo para hornear, 1/2 taza de cacao en polvo, 1/4 cucharadita de sal, 1/2 taza de azúcar, 1/2 taza de mantequilla, 1 cucharadita de extracto de vainilla, 1 taza de barra de chocolate - picada en trozos, 2 cucharadas de polvo de semilla de lino (harina de lino), 6 cucharadas de agua fría</t>
  </si>
  <si>
    <t xml:space="preserve">To begin making the Fudgy Chocolate Chunk Brownie Recipe, preheat the oven to 180C and grease and dust a square baking dish. Keep it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In a large mixing bowl. sift the flour, cocoa powder, baking powder and salt. Keep it aside.In another bowl or the bowl of the stand mixer, beat the butter and sugar until light and fluffy. Add the flax meal egg replacer and beat until light and fluffy. Gradually beat in the vanilla extract, the flour mixture and beat until all the ingredients have come together. Don't over beat at this stage.Once done, fold in the chocolate chunks and pour the Fudgy Chocolate Chunk Brownie Batter into the prepared cake pan. Bake the chocolate chunk brownie for 25 mins or until a tester inserted inside comes out clean with cooked crumbs sticking to it. The cake should not be raw and its ok to have crumbs sticking to the tester.Once done, remove the Fudgy Chocolate Chunk Brownie from the oven and allow it to cool a bit. Cut the Fudgy Chocolate Chunk Brownie into squares and serve warm along with vanilla ice cream or as it is.Serve the Fudgy Brownie Recipe with Chocolate Chunks along with a glass of Oreo Milkshake Recipe or just serve it plain with a scoop of Icecream to make a nice comforting dessert.
</t>
  </si>
  <si>
    <t>Para comenzar a hacer la receta de brownie con trozos de chocolate fudgy, precaliente el horno a 180 °C y engrase y espolvoree un molde para hornear cuadrado. Déjelo a un lado. Para hacer el sustituto de huevo de harina de lino Si su receta pide 2 huevos, mida 2 cucharadas de harina de lino junto con 6 cucharadas de agua. Revuelva bien y deje reposar la mezcla durante unos 15 minutos. Este proceso de reposo ayuda a que la mezcla de harina de lino desarrolle una consistencia gelatinosa similar a los huevos. Para hacer la masa En un tazón grande, tamice la harina, el cacao en polvo, el polvo para hornear y la sal. Déjelo a un lado. En otro tazón o en el tazón de la batidora de pie, bata la mantequilla y el azúcar hasta que esté suave y esponjoso. Agregue el sustituto de huevo de harina de lino y bata hasta que esté suave y esponjoso. Poco a poco, incorpore el extracto de vainilla, la mezcla de harina y bata hasta que todos los ingredientes se hayan unido. No batas demasiado en esta etapa. Una vez hecho esto, incorpora los trozos de chocolate y vierte la masa de brownie con trozos de chocolate en el molde preparado. Hornea el brownie con trozos de chocolate durante 25 minutos o hasta que al insertar un palillo, este salga limpio con migas cocidas pegadas. El pastel no debe estar crudo y es normal que se peguen migas al palillo. Una vez hecho esto, retira el brownie con trozos de chocolate del horno y déjalo enfriar un poco. Corta el brownie con trozos de chocolate en cuadritos y sírvelo caliente con helado de vainilla o solo. Sirve la receta de brownie con trozos de chocolate con un vaso de batido de Oreo o sírvelo solo con una bola de helado para un postre reconfortante.</t>
  </si>
  <si>
    <t>Pour commencer à préparer la recette de brownie aux pépites de chocolat fondant, préchauffez le four à 180 °C, graissez et saupoudrez un plat de cuisson carré. Réservez-le. Pour préparer le substitut d'œuf à la farine de lin Si votre recette demande 2 œufs, mesurez 2 cuillères à soupe de farine de lin avec 6 cuillères à soupe d'eau. Remuez bien et laissez reposer le mélange pendant environ 15 minutes. Ce processus de repos aide le mélange de farine de lin à développer une consistance gélatineuse semblable à celle des œufs. Pour préparer la pâte Dans un grand bol, tamisez la farine, le cacao en poudre, la levure chimique et le sel. Réservez. Dans un autre bol ou dans le bol du batteur sur socle, battez le beurre et le sucre jusqu'à ce que le mélange soit léger et mousseux. Ajoutez le substitut d'œuf à la farine de lin et battez jusqu'à ce que le mélange soit léger et mousseux. Incorporez graduellement l'extrait de vanille, le mélange de farine et battez jusqu'à ce que tous les ingrédients soient bien mélangés. Ne battez pas trop à ce stade. Une fois terminé, incorporez les morceaux de chocolat et versez la pâte à brownie aux pépites de chocolat fondant dans le moule à gâteau préparé. Faites cuire le brownie aux pépites de chocolat pendant 25 minutes ou jusqu'à ce qu'un cure-dent inséré à l'intérieur en ressorte propre et que des miettes cuites y adhèrent. Le gâteau ne doit pas être cru et il est normal que des miettes collent au cure-dent. Une fois cuit, retirez le brownie aux pépites de chocolat fondant du four et laissez-le refroidir un peu. Coupez le brownie aux pépites de chocolat fondant en carrés et servez-le chaud avec de la glace à la vanille ou tel quel. Servez la recette de brownie fondant aux pépites de chocolat avec un verre de milkshake Oreo ou servez-le simplement nature avec une boule de glace pour un dessert réconfortant.</t>
  </si>
  <si>
    <t>http://www.archanaskitchen.com/fudgy-chocolate-chunk-brownie-recipe-with-egg-free-eggless-option</t>
  </si>
  <si>
    <t>Chocolate Banana Smoothie Bowl Recipe</t>
  </si>
  <si>
    <t>Rezept für eine Schokoladen-Bananen-Smoothie-Bowl</t>
  </si>
  <si>
    <t>Recette de smoothie bowl chocolat-banane</t>
  </si>
  <si>
    <t>Receta de batido de chocolate y plátano</t>
  </si>
  <si>
    <t>3 bananes mûres coupées en morceaux, 1 tasse de lait, 2 cuillères à soupe de beurre de cacahuète, 2 cuillères à soupe de flocons d'avoine instantanés (gruau), 1 cuillère à soupe de cacao en poudre, 4 dattes dénoyautées et hachées, 4 cuillères à soupe de noix hachées, 1 banane mûre tranchée, 1/4 tasse de son de blé, 2 cuillères à soupe de canneberges ou de raisins secs</t>
  </si>
  <si>
    <t>3 Ripe Bananas - chopped into chunks,1 cup Milk,2 tablespoons Peanut Butter,2 tablespoon Instant Oats (Oatmeal),1 tablespoon Cocoa Powder,4 Dates - pitted and chopped,4 tablespoons Walnuts - chopped,1 Ripe Bananas - sliced,1/4 cup Wheat Bran,2 tablespoons Cranberries - or raisins</t>
  </si>
  <si>
    <t>3 plátanos maduros picados en trozos, 1 taza de leche, 2 cucharadas de mantequilla de maní, 2 cucharadas de avena instantánea (avena), 1 cucharada de cacao en polvo, 4 dátiles sin hueso y picados, 4 cucharadas de nueces picadas, 1 plátano maduro en rodajas, 1/4 taza de salvado de trigo, 2 cucharadas de arándanos o pasas</t>
  </si>
  <si>
    <t xml:space="preserve">To begin making the Chocolate Banana Smoothie Bowl Recipe into a tall jar of the blender add the ripe bananas, milk, peanut butter, oats, cocoa powder and soft pitted dates. Blend well to make a smooth puree.Once all the ingredients are blended well transfer the Chocolate Banana Smoothie into a smoothie bowl. Top the Chocolate Banana Smoothie with chopped walnuts, banana slices, wheat bran flakes and few cranberries or raisins.Serve the Chocolate Banana Smoothie Bowl immediately or chilled. Serve Chocolate Banana Smoothie Bowl Recipe on its own for breakfast to give you a healthy start to your day.
</t>
  </si>
  <si>
    <t>Para empezar a preparar la receta del Smoothie de Chocolate y Plátano en Tazón, en un vaso alto de la licuadora, añade los plátanos maduros, la leche, la mantequilla de cacahuete, la avena, el cacao en polvo y los dátiles blandos sin hueso. Licúa bien hasta obtener un puré suave. Una vez que todos los ingredientes estén bien mezclados, transfiere el Smoothie de Chocolate y Plátano a un tazón para batidos. Cubre el Smoothie de Chocolate y Plátano con nueces picadas, rodajas de plátano, hojuelas de salvado de trigo y algunos arándanos o pasas. Sirve el Smoothie de Chocolate y Plátano en Tazón inmediatamente o frío. Sirve el Smoothie de Chocolate y Plátano en Tazón solo para el desayuno para empezar el día de forma saludable.</t>
  </si>
  <si>
    <t>Pour commencer à préparer la recette du bol de smoothie chocolat-banane, ajoutez les bananes mûres, le lait, le beurre de cacahuète, les flocons d'avoine, le cacao en poudre et les dattes dénoyautées dans un grand bol du mixeur. Mixez bien pour obtenir une purée lisse. Une fois tous les ingrédients bien mélangés, transférez le smoothie chocolat-banane dans un bol à smoothie. Garnissez le smoothie chocolat-banane de noix hachées, de tranches de banane, de flocons de son de blé et de quelques canneberges ou raisins secs. Servez le bol de smoothie chocolat-banane immédiatement ou frais. Servez la recette du bol de smoothie chocolat-banane seule au petit-déjeuner pour bien commencer la journée.</t>
  </si>
  <si>
    <t>http://www.archanaskitchen.com/chocolate-banana-smoothie-bowl-recipe</t>
  </si>
  <si>
    <t>Stuffed Omelette Recipe With Cheesy Garlic Mushroom &amp; Corn</t>
  </si>
  <si>
    <t>Rezept für gefülltes Omelett mit Käse, Knoblauch, Pilzen und Mais</t>
  </si>
  <si>
    <t>Recette d'omelette farcie au fromage, à l'ail, aux champignons et au maïs</t>
  </si>
  <si>
    <t>Receta de tortilla rellena de queso, ajo, champiñones y maíz</t>
  </si>
  <si>
    <t>100 grammes de champignons de Paris - tranchés, 1/4 tasse de maïs doux, 1 cuillère à soupe de mayonnaise à l'ail et au fromage Nutralite, 1 brin de feuilles de basilic, 1 cuillère à soupe de tartinade à l'ail et à l'origan Nutralite, 1 cuillère à café de tartinade à l'ail et à l'origan Nutralite, 4 œufs entiers, sel et poivre - au goût</t>
  </si>
  <si>
    <t>100 grams Button mushrooms - sliced,1/4 cup Sweet corn,1 tablespoon Nutralite Cheesy Garlic Mayo,1 sprig Basil leaves,1 tablespoon Nutralite Garlic &amp; Oregano Spread,1 teaspoon Nutralite Garlic &amp; Oregano Spread,4 Whole Eggs,Salt and Pepper - to taste</t>
  </si>
  <si>
    <t>100 gramos de champiñones rebanados, 1/4 taza de maíz dulce, 1 cucharada de mayonesa de ajo y queso Nutralite, 1 ramita de hojas de albahaca, 1 cucharada de pasta para untar de ajo y orégano Nutralite, 1 cucharadita de pasta para untar de ajo y orégano Nutralite, 4 huevos enteros, sal y pimienta - al gusto</t>
  </si>
  <si>
    <t xml:space="preserve">To begin making the Stuffed Omelette Recipe With Cheesy Garlic Mushroom &amp; Corn, break the eggs into a bowl sprinkle some salt, pepper and whisk till it combines well. Heat a flat skillet with oil, add mushroom and saute until all the water has been evaporated. Add sweet corn along with Nutralite Cheesy Garlic Mayo. Toss well to combine. Keep the stuffing aside.Heat a another flat nonstick skillet to make the omelette, Add a tablespoon of Nutralite Garlic &amp; Oregano Spread. Keep the heat to medium and slowly add the whisked eggs.Allow the egg to cook for 5 minutes until both sides are cooked. Once done,  add sautéed mushroom and sweet corn to one side and fold. Turn off the heat and transfer the Stuffed Omelette Recipe With Cheesy Garlic Mushroom &amp; Corn to a serving platter and serve hot.Serve the Stuffed Omelette Recipe With Cheesy Garlic Mushroom &amp; Corn along with some baked beans, Semolina French Toast Recipe and warm chai to make your breakfast complete.
</t>
  </si>
  <si>
    <t>Para comenzar a hacer la Receta de Omelette Rellena con Champiñones, Maíz y Queso con Ajo, rompe los huevos en un tazón, espolvorea un poco de sal, pimienta y bate hasta que se combine bien. Calienta una sartén plana con aceite, agrega los champiñones y saltea hasta que toda el agua se haya evaporado. Agrega el maíz dulce junto con la Mayonesa de Ajo y Queso Nutralite. Revuelve bien para combinar. Deja el relleno a un lado. Calienta otra sartén antiadherente plana para hacer la tortilla, agrega una cucharada de Nutralite Garlic &amp; Oregano Spread. Mantén el fuego a medio y agrega lentamente los huevos batidos. Deja que el huevo se cocine durante 5 minutos hasta que ambos lados estén cocidos. Una vez hecho esto, agrega los champiñones salteados y el maíz dulce a un lado y dobla. Apaga el fuego y transfiere la receta de tortilla rellena con queso, champiñones, ajo y maíz a una fuente para servir y sirve caliente. Sirve la receta de tortilla rellena con queso, champiñones, ajo y maíz junto con frijoles horneados, tostadas francesas de sémola y chai caliente para completar tu desayuno.</t>
  </si>
  <si>
    <t>Pour commencer à préparer la recette d'omelette farcie aux champignons à l'ail et au maïs, cassez les œufs dans un bol, saupoudrez de sel, de poivre et fouettez jusqu'à ce que le tout soit bien mélangé. Faites chauffer une poêle plate avec de l'huile, ajoutez les champignons et faites revenir jusqu'à ce que toute l'eau soit évaporée. Ajoutez le maïs sucré avec la mayonnaise à l'ail et au fromage Nutralite. Bien mélanger. Gardez la farce de côté. Faites chauffer une autre poêle plate antiadhésive pour faire l'omelette, ajoutez une cuillère à soupe de tartinade à l'ail et à l'origan Nutralite. Gardez le feu à moyen et ajoutez lentement les œufs battus. Laissez l'œuf cuire pendant 5 minutes jusqu'à ce que les deux côtés soient cuits. Une fois terminé, ajoutez les champignons sautés et le maïs sucré d'un côté et pliez. Éteignez le feu et transférez la recette d'omelette farcie aux champignons à l'ail et au maïs au fromage dans un plat de service et servez chaud. Servez la recette d'omelette farcie aux champignons à l'ail et au maïs avec des haricots blancs au four, une recette de pain perdu à la semoule et du chai chaud pour compléter votre petit-déjeuner.</t>
  </si>
  <si>
    <t>https://www.archanaskitchen.com/mushroom-corn-basil-stuffed-omelette-recipe</t>
  </si>
  <si>
    <t>Vegetarian Sloppy Joe Recipe</t>
  </si>
  <si>
    <t>Vegetarisches Sloppy Joe Rezept</t>
  </si>
  <si>
    <t>Recette de Sloppy Joe végétarien</t>
  </si>
  <si>
    <t>Receta de Sloppy Joe vegetariano</t>
  </si>
  <si>
    <t>2 pains à hamburger, 1 concombre tranché, 4 cuillères à soupe de mayonnaise à l'ail et au fromage Del Monte, 1 oignon finement haché, 4 gousses d'ail hachées, 1 tasse de Masoor Dal (entier) trempé pendant environ 2 heures, 1/2 tasse de purée de tomates maison, 2 cuillères à soupe de sauce chili rouge douce et épicée (sauce tomate et piment), 1 cuillère à café de sucre, 1 cuillère à café de cumin en poudre (Jeera), sel au goût</t>
  </si>
  <si>
    <t>2 Burger buns,1 Cucumber - sliced,4 tablespoon Del Monte Cheesy Garlic Mayo,1 Onion - finely chopped,4 cloves Garlic - chopped,1 cup Masoor Dal (Whole) - soaked for about 2 hours,1/2 cup Homemade tomato puree,2 tablespoon Sweet and Spicy Red Chilli Sauce (Tomato Chilli Sauce),1 teaspoon Sugar,1 teaspoon Cumin powder (Jeera),Salt - to taste</t>
  </si>
  <si>
    <t>2 panecillos de hamburguesa, 1 pepino en rodajas, 4 cucharadas de mayonesa de ajo y queso Del Monte, 1 cebolla finamente picada, 4 dientes de ajo picados, 1 taza de Masoor Dal (entero) remojado durante aproximadamente 2 horas, 1/2 taza de puré de tomate casero, 2 cucharadas de salsa de chile rojo agridulce (salsa de chile y tomate), 1 cucharadita de azúcar, 1 cucharadita de comino en polvo (Jeera), sal al gusto</t>
  </si>
  <si>
    <t xml:space="preserve">To begin making the Vegetarian Sloppy Joe Recipe, soak the lentils for at least 2 hours and keep it ready.Pressure cook the lentil with 1 cup water and salt for about 3 whistle and allow it to release the pressure by itself. Drain the water out and keep the masoor dal aside.Heat a sauce pan with oil, add onions and garlic and sauté till the onions turn translucent.Add the tomato puree along with sugar, chilli sauce, sugar, and cumin powder.Allow it cook for 2 minutes, add the cooked lentils and salt. Keep stirring till the gravy becomes thick and turn off the heat.Take the burger buns, slit them into half and toast it with butter till golden brown and crispy on both sides.To assemble the burger, spread the lentil filling on top of the base, place the sliced cucumber over it and drop a heap tablespoon of the Del Monte Cheesy Garlic Mayo, cover the sloppy joe and serve.Serve the Vegetarian Sloppy Joe Recipe along with a glass of Homemade Fresh Orange Juice to make whole dinner with friends and family.
</t>
  </si>
  <si>
    <t>Para empezar a preparar la receta de Sloppy Joe vegetariano, remoje las lentejas durante al menos 2 horas y manténgalas listas. Cocine a presión las lentejas con 1 taza de agua y sal durante unos 3 silbidos y deje que suelten la presión por sí solas. Escurra el agua y reserve el masoor dal. Caliente una cacerola con aceite, agregue cebolla y ajo y saltee hasta que la cebolla esté translúcida. Agregue el puré de tomate junto con el azúcar, la salsa picante, el azúcar y el comino en polvo. Deje cocinar durante 2 minutos, agregue las lentejas cocidas y la sal. Sigue revolviendo hasta que la salsa espese y apaga el fuego. Toma los panecillos de hamburguesa, córtalos por la mitad y tuéstalos con mantequilla hasta que estén dorados y crujientes por ambos lados. Para armar la hamburguesa, extiende el relleno de lentejas sobre la base, coloca el pepino en rodajas encima y vierte una cucharada colmada de mayonesa de ajo y queso Del Monte, cubre el sloppy joe y sirve. Sirve la receta de sloppy joe vegetariano junto con un vaso de jugo de naranja fresco casero para preparar una cena completa con amigos y familiares.</t>
  </si>
  <si>
    <t>Pour préparer le Sloppy Joe végétarien, faites tremper les lentilles pendant au moins 2 heures et réservez-les. Faites-les cuire sous pression avec 250 ml d'eau et du sel pendant environ 3 minutes, puis laissez-les se détendre. Égouttez l'eau et réservez le masoor dal. Faites chauffer de l'huile dans une poêle, ajoutez les oignons et l'ail et faites-les revenir jusqu'à ce qu'ils deviennent translucides. Ajoutez le concentré de tomates, le sucre, la sauce chili, le sucre et le cumin en poudre. Laissez cuire 2 minutes, puis ajoutez les lentilles cuites et le sel. Continuez à remuer jusqu'à ce que la sauce devienne épaisse et éteignez le feu. Prenez les pains à hamburger, coupez-les en deux et faites-les griller avec du beurre jusqu'à ce qu'ils soient dorés et croustillants des deux côtés. Pour assembler le hamburger, étalez la garniture aux lentilles sur la base, placez le concombre tranché dessus et déposez une cuillère à soupe bombée de mayonnaise à l'ail et au fromage Del Monte, couvrez le sloppy joe et servez. Servez la recette de Sloppy Joe végétarien avec un verre de jus d'orange frais fait maison pour préparer un dîner complet entre amis et en famille.</t>
  </si>
  <si>
    <t>https://www.archanaskitchen.com/vegetarian-sloppy-joe-recipe-kids-recipes-made-with-del-monte</t>
  </si>
  <si>
    <t>Healthy Aloo Roll Recipe (Baked Bread Potato Roll)</t>
  </si>
  <si>
    <t>Rezept für gesunde Aloo-Rollen (gebackene Brot-Kartoffel-Rolle)</t>
  </si>
  <si>
    <t>Recette de rouleaux d'aloo sains (rouleaux de pain et de pommes de terre cuits au four)</t>
  </si>
  <si>
    <t>Receta de panecillos Aloo saludables (panecillos horneados con patata)</t>
  </si>
  <si>
    <t>8 tranches de pain complet, beurre (selon les besoins pour graisser les pains), 4 patates douces bouillies, 1 oignon finement haché, 4 brins de coriandre (Dhania), 2 piments verts finement hachés, 1 poivron vert finement haché, 1/4 tasse de cacahuètes crues (Moongphali) grillées, 1 cuillère à café de cumin en poudre (Jeera) grillé, 1 cuillère à café de poudre de chaat masala, 1 jus de citron, poudre de piment rouge (au goût), sel (au goût), graines de sésame (Til) pour la croûte</t>
  </si>
  <si>
    <t>8 Whole Wheat Brown Bread - slices,Butter - as required for greasing the breads,4 Sweet Potatoes - boiled ,1 Onion - finely chopped,4 sprig Coriander (Dhania) Leaves,2 Green Chillies - finely chopped,1 Green Bell Pepper (Capsicum) - finely chopped,1/4 cup Raw Peanuts (Moongphali) - roasted,1 teaspoon Cumin powder (Jeera) - roasted,1 teaspoon Chaat Masala Powder,1 Lemon juice,Red Chilli powder - to taste,Salt - to taste,Sesame seeds (Til seeds) - for the crust</t>
  </si>
  <si>
    <t>8 rebanadas de pan integral, mantequilla (la necesaria para engrasar el pan), 4 batatas hervidas, 1 cebolla finamente picada, 4 ramitas de cilantro (Dhania), 2 chiles verdes finamente picados, 1 pimiento verde (Capsicum) finamente picado, 1/4 taza de cacahuetes crudos (Moongphali) tostados, 1 cucharadita de comino en polvo (Jeera) tostado, 1 cucharadita de Chaat Masala en polvo, 1 jugo de limón, chile rojo en polvo al gusto, sal al gusto, semillas de sésamo (semillas de Til) para la corteza</t>
  </si>
  <si>
    <t xml:space="preserve">We begin making the Healthy Aloo Roll Recipe (Baked Bread Potato Roll) by pre heating the oven to 200 C and grease a baking sheet with butter.Combine the mashed potatoes, bell peppers, onions, green chillies, coriander, cumin powder, chaat masala powder, salt, juice from one lemon and the pounded peanuts.Stir to combine all the ingredients well.Using a rolling pin roll the bread slice to stretch it a bit, this we do so we can roll the bread over the filling with ease. Spoon a teaspoon of the filling towards the centre, roll it up tightly; press and seal the edges and cut the excess away.Proceed the same way with the remaining slices of bread to make the bread rolls.To get crusty top we will dip the rolls in the melted butter, then roll this over the sesame seeds and place it on the greased baking sheet.Proceed the same way with the remaining rolls and place them on a greased baking sheet. Place the rolls in the preheated oven and bake for about 15 to 20 minutes until the crust turns golden brown in colour.Serve the Healthy Aloo Roll Recipe (Baked Bread Potato Roll) along with Date Tamarind Chutney or Spicy Strawberry Chutney.
</t>
  </si>
  <si>
    <t>Para preparar la receta de Aloo Roll (pan de patata horneado), precalentamos el horno a 200 °C y engrasamos una bandeja para hornear con mantequilla. Mezclamos el puré de patata, los pimientos, las cebollas, los chiles verdes, el cilantro, el comino en polvo, el chaat masala en polvo, la sal, el zumo de un limón y los cacahuetes machacados. Revolvemos para integrar bien todos los ingredientes. Con un rodillo, estiramos la rebanada de pan un poco para que quede bien estirada y así poder cubrir el relleno fácilmente. Colocamos una cucharadita del relleno en el centro, enrollamos bien; presionamos y sellamos los bordes y cortamos el exceso. Procedemos del mismo modo con las rebanadas de pan restantes para formar los panecillos. Para que queden crujientes, los sumergimos en la mantequilla derretida, luego los pasamos por las semillas de sésamo y los colocamos en una bandeja para hornear engrasada. Procedemos del mismo modo con los panecillos restantes y los colocamos en una bandeja para hornear engrasada. Coloque los panecillos en el horno precalentado y hornéelos durante unos 15 a 20 minutos hasta que la corteza adquiera un color dorado. Sirva la receta de panecillos saludables Aloo (panecillos de patata horneados) junto con chutney de dátiles y tamarindo o chutney de fresa picante.</t>
  </si>
  <si>
    <t>Pour préparer la recette du rouleau de pain sain Aloo (rouleau de pommes de terre au four), préchauffez le four à 200 °C et graissez une plaque de cuisson avec du beurre. Mélangez la purée de pommes de terre, les poivrons, les oignons, les piments verts, la coriandre, le cumin en poudre, le chaat masala en poudre, le sel, le jus d'un citron et les cacahuètes pilées. Remuez pour bien mélanger tous les ingrédients. À l'aide d'un rouleau à pâtisserie, étalez la tranche de pain pour l'étirer légèrement afin de pouvoir l'enrouler facilement sur la garniture. Déposez une cuillère à café de garniture au centre, roulez fermement ; appuyez pour sceller les bords et coupez l'excédent. Procédez de la même manière avec les tranches de pain restantes pour former les petits pains. Pour obtenir un dessus croustillant, trempez les petits pains dans le beurre fondu, puis étalez-les sur les graines de sésame et déposez-les sur une plaque de cuisson graissée. Procédez de la même manière avec les petits pains restants et déposez-les sur une plaque de cuisson graissée. Placez les petits pains dans le four préchauffé et faites-les cuire pendant environ 15 à 20 minutes jusqu'à ce que la croûte devienne dorée. Servez la recette de petit pain Aloo sain (petit pain aux pommes de terre cuit au four) avec du chutney aux dattes et au tamarin ou du chutney aux fraises épicé.</t>
  </si>
  <si>
    <t>http://www.archanaskitchen.com/video-recipe-spicy-baked-potato-rolls</t>
  </si>
  <si>
    <t>Fruit And Nut Lauki Brownies Recipe</t>
  </si>
  <si>
    <t>Rezept für Lauki-Brownies mit Früchten und Nüssen</t>
  </si>
  <si>
    <t>Recette de brownies Lauki aux fruits et noix</t>
  </si>
  <si>
    <t>Receta de brownie de frutos secos y lauki</t>
  </si>
  <si>
    <t>3/4 tasse de flocons d'avoine moulus en farine, 1/2 tasse de cacao en poudre + 2 cuillères à café, 1 cuillère à café de bicarbonate de soude, une pincée de sel, 1/2 tasse de beurre d'arachide ou de beurre d'amande, 1/2 tasse de purée de pommes (pelée), 1-1/2 tasse de courge bouteille (lauki) râpée, 1/4 tasse de noix hachées, 1/4 tasse de canneberges hachées, 1/2 tasse de pépites de chocolat, 4 cuillères à soupe de miel, 1 cuillère à café d'extrait de vanille, ganache au chocolat ou sauce au chocolat au besoin (facultatif)</t>
  </si>
  <si>
    <t>3/4 cup Rolled Oats - ground to flour,1/2 cup Cocoa Powder - +2 teaspoons,1 teaspoon Baking soda,Salt - a pinch,1/2 cup Peanut Butter - or almond butter,1/2 cup Apple puree - (peeled,1-1/2 cups Bottle gourd (lauki) - grated,1/4 cup Walnuts - chopped,1/4 cup Cranberries - chopped,1/2 cup Chocolate chips,4 tablespoons Honey,1 teaspoon Vanilla Extract,Chocolate ganache - or Chocolate sauce as needed (optional)</t>
  </si>
  <si>
    <t>3/4 taza de avena arrollada - molida hasta convertirla en harina, 1/2 taza de cacao en polvo - +2 cucharaditas, 1 cucharadita de bicarbonato de sodio, sal - una pizca, 1/2 taza de mantequilla de maní - o mantequilla de almendras, 1/2 taza de puré de manzana - (pelada, 1-1/2 tazas de calabaza de botella (lauki) - rallada, 1/4 taza de nueces - picadas, 1/4 taza de arándanos - picados, 1/2 taza de chispas de chocolate, 4 cucharadas de miel, 1 cucharadita de extracto de vainilla, ganache de chocolate - o salsa de chocolate según sea necesario (opcional)</t>
  </si>
  <si>
    <t xml:space="preserve">To begin making Fruit And Nut Lauki Brownies Recipe, prep all the ingredients and keep them ready and handy.Grease and line a square brownie dish and set aside. Also keep the oven on preheating mode at 175 C for about 10 minutes.Meanwhile, beat the nut butter (peanut butter or almond butter, apple sauce made by cooking the apple, grinding and pureeing them, vanilla extract and honey together in a bowl till it looks and feels homogenous.Add grated lauki into this and mix well.In another mixing bowl, mix together oat flour, salt, cocoa powder and baking soda.Combine the wet and dry ingredients together. This should yield a thick batter.Toss the walnuts, cranberries and chocolate chips in 1-2 teaspoons cocoa powder and incorporate into the batter. The batter should not be very runny. You can adjust consistency with one or two teaspoons of oats flour if the batter is thin.Transfer the batter into the brownie dish and bake in a 175 C preheated oven for 28-30 minutes or until done.Insert a skewer in the middle of the dish to check if it is baked thoroughly. If the skewer comes clean, the brownie is done. Or else, you can continue baking for a couple of more minutes till done.Cool on a wired rack. Cut into slices and then top the brownie with chocolate sauce/ganache and serve.This Fruit And Nut Lauki Brownies Recipe can also be served as a party dessert after a meal like Orange Flavored Barbecue Chicken With Fresh Salad Recipe during a barbeque party at home, or after a meal of Fettuccine Pasta with Roasted Red Bell Pepper Sauce Recipe with your family and friends.
</t>
  </si>
  <si>
    <t>Para comenzar a preparar la receta de Brownies de Lauki con Frutas y Nueces, prepare todos los ingredientes y téngalos listos y a mano. Engrase y forre un molde cuadrado para brownies y reserve. También mantenga el horno en modo de precalentamiento a 175 °C durante unos 10 minutos. Mientras tanto, bata la mantequilla de nueces (mantequilla de cacahuete o mantequilla de almendras, puré de manzana hecho cocinando la manzana, moliéndolas y haciéndolas puré, extracto de vainilla y miel juntos en un tazón hasta que se vea y se sienta homogéneo. Agregue lauki rallado a esto y mezcle bien. En otro tazón, mezcle la harina de avena, la sal, el cacao en polvo y el bicarbonato de sodio. Combine los ingredientes húmedos y secos. Esto debe dar como resultado una masa espesa. Mezcle las nueces, los arándanos y las chispas de chocolate en 1-2 cucharaditas de cacao en polvo e incorpórelos a la masa. La masa no debe ser muy líquida. Puede ajustar la consistencia con una o dos cucharaditas de harina de avena si la masa es líquida. Transfiera la masa al molde para brownie y hornee en un horno precalentado a 175 °C durante 28-30 minutos o hasta que esté listo. Inserte una brocheta en el centro del molde para verificar si está bien horneado. Si el Si la brocheta sale limpia, el brownie está listo. Si no, puedes continuar horneando un par de minutos más hasta que esté listo. Deja enfriar sobre una rejilla. Córtalo en rebanadas, cúbrelo con salsa de chocolate o ganache y sírvelo. Esta receta de brownies de frutas y nueces con lauki también se puede servir como postre después de una comida, como el pollo a la barbacoa con sabor a naranja y ensalada fresca, durante una barbacoa en casa, o después de una comida de fettuccine con salsa de pimiento rojo asado con familiares y amigos.</t>
  </si>
  <si>
    <t>Pour commencer à préparer la recette de brownies aux fruits et aux noix Lauki, préparez tous les ingrédients et gardez-les prêts et à portée de main. Graissez et tapissez un plat à brownie carré et réservez. Préchauffez également le four à 175 °C pendant environ 10 minutes. Pendant ce temps, battez le beurre de noix (beurre de cacahuète ou beurre d'amande), la compote de pommes obtenue en cuisant les pommes, en les broyant et en les réduisant en purée, l'extrait de vanille et le miel dans un bol jusqu'à obtenir une consistance homogène. Ajoutez le lauki râpé et mélangez bien. Dans un autre saladier, mélangez la farine d'avoine, le sel, le cacao en poudre et le bicarbonate de soude. Mélangez les ingrédients secs et humides. Vous devriez obtenir une pâte épaisse. Mélangez les noix, les canneberges et les pépites de chocolat avec 1 à 2 cuillères à café de cacao en poudre et incorporez-les à la pâte. La pâte ne doit pas être trop liquide. Vous pouvez ajuster la consistance avec une ou deux cuillères à café de farine d'avoine si la pâte est liquide. Transférez la pâte dans le moule à brownie et faites cuire dans un four préchauffé à 175 °C pendant 28 à 30 minutes ou jusqu'à cuisson complète. Insérez une brochette au centre du moule pour vérifier la cuisson. Si la Lorsque la brochette est propre, le brownie est cuit. Vous pouvez également poursuivre la cuisson quelques minutes supplémentaires. Laissez refroidir sur une grille. Coupez en tranches, nappez le brownie de sauce au chocolat/ganache et servez. Cette recette de brownies aux fruits et aux noix peut également être servie comme dessert de fête après un repas, comme le poulet barbecue à l'orange avec salade fraîche, lors d'un barbecue à la maison, ou après un repas de fettuccine à la sauce aux poivrons rouges rôtis en famille ou entre amis.</t>
  </si>
  <si>
    <t>http://www.archanaskitchen.com/fruit-and-nut-lauki-brownies-recipe</t>
  </si>
  <si>
    <t>Corn Cheese Balls Recipe</t>
  </si>
  <si>
    <t>Rezept für Maiskäsebällchen</t>
  </si>
  <si>
    <t>Recette de boulettes de fromage de maïs</t>
  </si>
  <si>
    <t>Receta de bolitas de maíz con queso</t>
  </si>
  <si>
    <t>1/2 tasse de fromage râpé, 1 pomme de terre (Aloo) bouillie et écrasée, 1/2 tasse de grains de maïs bouillis, 3 cuillères à soupe de poivron vert (Capsicum) finement haché, feuilles de coriandre (Dhania) hachées, 1 cuillère à soupe de flocons de piment rouge, 1/2 cuillère à soupe d'origan séché, 1/2 cuillère à soupe de poudre de poivre noir, 1/8 cuillère à soupe d'ail, 1-1/2 cuillère à soupe de farine de maïs, sel au goût, 2 cuillères à soupe de farine tout usage (Maida), 1 tasse de chapelure de blé entier, huile de tournesol (selon les besoins pour la friture)</t>
  </si>
  <si>
    <t>1/2 cup Cheese - grated,1 Potato (Aloo) - boiled and mashed,1/2 cup Corn Kernels - boiled,3 tablespoon Green Bell Pepper (Capsicum) - finely chopped,Coriander (Dhania) Leaves - chopped,1 tablespoon Red Chilli flakes,1/2 tablespoon Dried oregano,1/2 tablespoon Black pepper powder,1/8 tablespoon Garlic,1-1/2 tablespoon Corn flour,Salt - to taste,2 tablespoons All Purpose Flour (Maida),1 cup Whole Wheat Bread crumbs,Sunflower Oil - as required for deep frying</t>
  </si>
  <si>
    <t>1/2 taza de queso rallado, 1 papa (Aloo) hervida y machacada, 1/2 taza de granos de maíz hervidos, 3 cucharadas de pimiento verde (Capsicum) finamente picado, hojas de cilantro (Dhania) picadas, 1 cucharada de hojuelas de chile rojo, 1/2 cucharada de orégano seco, 1/2 cucharada de pimienta negra en polvo, 1/8 cucharada de ajo, 1-1/2 cucharada de harina de maíz, sal al gusto, 2 cucharadas de harina para todo uso (Maida), 1 taza de pan rallado integral, aceite de girasol, según sea necesario para freír</t>
  </si>
  <si>
    <t xml:space="preserve">To prepare Corn Cheese Balls Recipe, get all the ingredients handy- grate the cheese, boil veggies and mash boiled potatoes.In a mixing bowl, add the grated cheese, boiled and mashed potato, boiled yellow corn, green capsicum, coriander leaves, red chili flakes, crushed oregano, a little pepper, garlic paste, cornflour and salt and mix everything well.Apply a little oil on your palm and make about 1/2 inches balls from the mixture.In a bowl, add all-purpose flour and water and mix them to get pouring consistency batter.In a kadai, heat enough oil to deep fry.Put some plain flour on one side and bread crumbs on the other side on your work surface.Roll the cheese balls in plain flour, dip them in all-purpose flour batter and then in bread crumbs.Repeat the same process to coat all corn and cheese balls in a similar way.Deep fry coated cheese balls on a medium flame.Serve Corn Cheese Balls Recipe hot with dips like Cottage Cheese Dip, Tzatziki or Peanut Chilli Dipping Sauce.
</t>
  </si>
  <si>
    <t>Para preparar la receta de bolas de maíz con queso, tenga todos los ingredientes a mano: ralle el queso, hierva las verduras y haga puré las papas hervidas. En un tazón, agregue el queso rallado, la papa hervida y hecha puré, el maíz amarillo hervido, el pimiento verde, las hojas de cilantro, las hojuelas de chile rojo, el orégano triturado, un poco de pimienta, pasta de ajo, harina de maíz y sal y mezcle todo bien. Aplique un poco de aceite en la palma de su mano y haga bolas de aproximadamente 1/2 pulgada con la mezcla. En un tazón, agregue harina para todo uso y agua y mézclelos para obtener una masa consistente. En un kadai, caliente suficiente aceite para freír. Coloque un poco de harina común en un lado y pan rallado en el otro lado de su superficie de trabajo. Enrolle las bolas de queso en harina común, sumérjalas en la masa de harina para todo uso y luego en pan rallado. Repita el mismo proceso para cubrir todas las bolas de maíz y queso de manera similar. Fría las bolas de queso cubiertas a fuego medio. Sirva la receta de bolas de maíz con queso caliente con salsas como Cottage Dip de queso, tzatziki o salsa de chile y cacahuete.</t>
  </si>
  <si>
    <t>Pour préparer la recette des boules de maïs et de fromage, rassemblez tous les ingrédients : râpez le fromage, faites bouillir les légumes et écrasez les pommes de terre bouillies. Dans un saladier, ajoutez le fromage râpé, les pommes de terre bouillies et écrasées, le maïs jaune bouilli, le poivron vert, les feuilles de coriandre, les flocons de piment rouge, l'origan écrasé, un peu de poivre, la pâte d'ail, la fécule de maïs et le sel et mélangez bien le tout. Appliquez un peu d'huile sur votre paume et faites des boules d'environ 1/2 pouce à partir du mélange. Dans un bol, ajoutez la farine tout usage et l'eau et mélangez-les pour obtenir une pâte consistante. Dans un kadai, faites chauffer suffisamment d'huile pour faire frire. Mettez de la farine ordinaire d'un côté et de la chapelure de l'autre côté sur votre plan de travail. Roulez les boules de fromage dans la farine ordinaire, trempez-les dans la pâte à base de farine tout usage, puis dans la chapelure. Répétez le même processus pour enrober toutes les boules de maïs et de fromage de la même manière. Faites frire les boules de fromage enrobées à feu moyen. Servez la recette des boules de maïs et de fromage chaudes avec des trempettes comme la trempette au fromage cottage, Sauce tzatziki ou sauce chili aux cacahuètes.</t>
  </si>
  <si>
    <t>https://www.archanaskitchen.com/corn-cheese-balls-recipe</t>
  </si>
  <si>
    <t>Tomato Basil Chicken Recipe</t>
  </si>
  <si>
    <t>Rezept für Hühnchen mit Tomaten und Basilikum</t>
  </si>
  <si>
    <t>Recette de poulet aux tomates et au basilic</t>
  </si>
  <si>
    <t>Receta de pollo con tomates y albahaca</t>
  </si>
  <si>
    <t>2 poitrines de poulet, 2 cuillères à café d'herbes mélangées (séchées), 3 cuillères à soupe de jus de citron, 2 cuillères à café d'huile d'olive extra vierge, sel - au goût, 1 brin de feuilles de basilic - finement hachées, 2 cuillères à soupe d'huile d'olive extra vierge, 3 tasses de purée de tomates maison, 1/4 tasse de feuilles de basilic - feuilles fraîches, 1 oignon - finement haché, 10 gousses d'ail - finement hachées, 1 cuillère à soupe d'herbes mélangées (séchées), 1 cuillère à café de poudre de piment rouge, sel - au goût, sucre - au goût</t>
  </si>
  <si>
    <t>2 Chicken breasts,2 teaspoons Mixed Herbs (Dried),3 tablespoons Lemon juice,2 teaspoons Extra Virgin Olive Oil,Salt - to taste,1 sprig Basil leaves - finely chopped,2 tablespoons Extra Virgin Olive Oil,3 cups Homemade tomato puree,1/4 cup Basil leaves - fresh leaves,1 Onion - finely chopped,10 cloves Garlic - finely chopped,1 tablespoon Mixed Herbs (Dried),1 teaspoon Red Chilli powder,Salt - to taste,Sugar - to taste</t>
  </si>
  <si>
    <t>2 pechugas de pollo, 2 cucharaditas de hierbas mixtas (secas), 3 cucharadas de jugo de limón, 2 cucharaditas de aceite de oliva virgen extra, sal - al gusto, 1 ramita de hojas de albahaca - finamente picadas, 2 cucharadas de aceite de oliva virgen extra, 3 tazas de puré de tomate casero, 1/4 taza de hojas de albahaca - hojas frescas, 1 cebolla - finamente picada, 10 dientes de ajo - finamente picados, 1 cucharada de hierbas mixtas (secas), 1 cucharadita de chile rojo en polvo, sal - al gusto, azúcar - al gusto</t>
  </si>
  <si>
    <t xml:space="preserve">To begin making the Tomato Basil Chicken Recipe, wash and thoroughly clean the chicken breasts. Into the bowl add the chicken, add mixed herbs, lemon juice, olive oil and salt. Mix well. Heat a skillet on medium-high heat to pan sear the chicken pieces. Place the chicken pieces and cook only for a minute on both sides till it gets a light brown colour and is just about cooked.To make the tomato basil sauceHeat a saucepan with olive oil, add the garlic and onions and saute till until the onions soften and till the aroma wafts in the air. Next add the torn basil leaves, tomato puree, herbs, red chilli powder, salt and sugar . Bring the tomato basil sauce to a brisk boil. After a few minutes, add the grilled chicken breasts into the tomato basil sauce. Turn the heat to low, cover the pan and cook the Tomato Basil Chicken for about 10 minutes, until the chicken has absorbed all the flavours and is cooked through as well.Once done, turn off the heat and transfer the Tomato Basil Chicken Recipe to a serving bowl and serve hot.Serve  Tomato Basil Chicken Recipe along with some Garlic Bread With Herb Butter Recipe and Fizzy Pomegranate &amp; Mint Mocktail Recipe for a weekend dinner or even for your house parties along with Herbed Buttered Rice Recipe With Green Peas and a Savory Melon Salad Recipe (Spiced with Ginger &amp; Mint).
</t>
  </si>
  <si>
    <t>Para comenzar a hacer la Receta de Pollo con Tomate y Albahaca, lava y limpia completamente las pechugas de pollo. En el tazón agrega el pollo, agrega hierbas mixtas, jugo de limón, aceite de oliva y sal. Mezcla bien. Calienta una sartén a fuego medio-alto para sellar los trozos de pollo. Coloca los trozos de pollo y cocina solo por un minuto por cada lado hasta que adquiera un color marrón claro y esté casi cocido. Para hacer la salsa de tomate y albahaca Calienta una cacerola con aceite de oliva, agrega el ajo y las cebollas y saltea hasta que las cebollas se ablanden y hasta que el aroma flote en el aire. Luego agrega las hojas de albahaca rotas, el puré de tomate, las hierbas, el chile rojo en polvo, la sal y el azúcar. Lleva la salsa de tomate y albahaca a ebullición rápida. Después de unos minutos, agrega las pechugas de pollo a la parrilla a la salsa de tomate y albahaca. Baja el fuego, tapa la sartén y cocina el pollo con tomate y albahaca durante unos 10 minutos, hasta que el pollo haya absorbido todos los sabores y esté bien cocido. Una vez hecho esto, apaga el fuego y transfiere la receta de pollo con tomate y albahaca a un tazón para servir y sirve caliente. Sirve la receta de pollo con tomate y albahaca junto con un poco de pan de ajo con mantequilla de hierbas y una receta de cóctel sin alcohol de granada y menta con gas para una cena de fin de semana o incluso para tus fiestas en casa junto con una receta de arroz con mantequilla de hierbas con guisantes verdes y una receta de ensalada de melón sabrosa (condimentada con jengibre y menta).</t>
  </si>
  <si>
    <t>Pour commencer à préparer la recette de poulet à la tomate et au basilic, lavez et nettoyez soigneusement les poitrines de poulet. Dans le bol, ajoutez le poulet, ajoutez les herbes mélangées, le jus de citron, l'huile d'olive et le sel. Bien mélanger. Faites chauffer une poêle à feu moyen-vif pour saisir les morceaux de poulet. Placez les morceaux de poulet et faites-les cuire seulement une minute de chaque côté jusqu'à ce qu'ils prennent une couleur brun clair et soient presque cuits. Pour préparer la sauce tomate et basilic Faites chauffer une casserole avec de l'huile d'olive, ajoutez l'ail et les oignons et faites revenir jusqu'à ce que les oignons ramollissent et que l'arôme flotte dans l'air. Ajoutez ensuite les feuilles de basilic déchirées, la purée de tomates, les herbes, la poudre de piment rouge, le sel et le sucre. Portez la sauce tomate et basilic à ébullition vive. Après quelques minutes, ajoutez les poitrines de poulet grillées dans la sauce tomate et basilic. Baissez le feu, couvrez la casserole et faites cuire le poulet à la tomate et au basilic pendant environ 10 minutes, jusqu'à ce que le poulet ait absorbé toutes les saveurs et soit bien cuit. Une fois terminé, éteignez le feu et transférez la recette de poulet à la tomate et au basilic dans un bol de service et servez chaud. Servez la recette de poulet à la tomate et au basilic avec du pain à l'ail et du beurre aux herbes et du cocktail sans alcool pétillant à la grenade et à la menthe pour un dîner de week-end ou même pour vos fêtes à la maison, accompagnés d'une recette de riz au beurre aux herbes et aux petits pois et d'une recette de salade de melon savoureuse (épicée au gingembre et à la menthe).</t>
  </si>
  <si>
    <t>http://www.archanaskitchen.com/baked-tomato-basil-chicken-recipe</t>
  </si>
  <si>
    <t>How to Cook Root Vegetables like Potatoes using a Pressure Cooker</t>
  </si>
  <si>
    <t>So kochen Sie Wurzelgemüse wie Kartoffeln im Schnellkochtopf</t>
  </si>
  <si>
    <t>Comment cuire des légumes racines comme des pommes de terre dans un autocuiseur</t>
  </si>
  <si>
    <t>Cómo cocinar tubérculos como patatas en una olla a presión</t>
  </si>
  <si>
    <t>300 grammes de pommes de terre, 1/4 tasse d'eau</t>
  </si>
  <si>
    <t>300 grams Potatoes,1/4 cup Water</t>
  </si>
  <si>
    <t>300 gramos de papas, 1/4 taza de agua</t>
  </si>
  <si>
    <t xml:space="preserve">To begin pressure cooking the potatoes, first thoroughly clean them under running water. You can lightly scrub them too, to remove all the excess soil and grime that is usually present on the peels of potatoes and other underground spuds.Next, you can either cut the potatoes into half or place the whole potato into the pressure cooker.Add 1/4 cup of water into the cooker. Place the lid over it along with the weight. Cover and cook on a high heat until you hear the about two whistles.After the first two whistles, turn the heat to low and simmer for three minutes, after which you can turn the heat off.Once you turn the heat off, wait for the pressure to release naturally as the steam present inside continues to cook the potatoes for a while longer. This may take up to 10 minutes. Once the pressure has released, you will be able to lift the weight easily and open the lid of the cooker.You can test the potatoes for done-ness by inserting a knife into them. If the knife passes in easily, the potatoes are cooked. Cool them completely to make peeling them easier for you.Once peeled, you can either use as is, or mash them up for recipes like Rajma Galouti Kebab or other even other spuds like Arbi/Colocasia used in Arbi Ke Kebab or yams, as used in this Jimikand Ke Kebab.
</t>
  </si>
  <si>
    <t>Para empezar a cocinar las papas a presión, lávelas bien con agua corriente. También puede frotarlas ligeramente para eliminar el exceso de tierra y suciedad que suele estar presente en las cáscaras de las papas y otras plantas subterráneas. A continuación, puede cortar las papas por la mitad o colocarlas enteras en la olla a presión. Añada 1/4 de taza de agua a la olla. Tape la olla con la pesa. Tape y cocine a fuego alto hasta que oiga dos silbidos. Después de los dos primeros silbidos, baje el fuego y cocine a fuego lento durante tres minutos, después de lo cual puede apagar el fuego. Una vez apagado el fuego, espere a que la presión se libere naturalmente, ya que el vapor del interior continúa cocinando las papas un poco más. Esto puede tardar hasta 10 minutos. Una vez liberada la presión, podrá levantar la pesa fácilmente y abrir la tapa de la olla. Puede comprobar si las papas están cocidas insertando un cuchillo. Si el cuchillo entra fácilmente, las papas están cocidas. Déjalas enfriar completamente para que te sea más fácil pelarlas. Una vez peladas, puedes usarlas tal cual o machacarlas para recetas como Rajma Galouti Kebab u otras, incluso otras papas como Arbi/Colocasia, que se usan en Arbi Ke Kebab, o ñames, como los que se usan en este Jimikand Ke Kebab.</t>
  </si>
  <si>
    <t>Pour commencer la cuisson sous pression des pommes de terre, nettoyez-les soigneusement à l'eau courante. Vous pouvez également les frotter légèrement pour éliminer toute la terre et les impuretés qui se trouvent généralement sur la peau des pommes de terre et autres patates douces. Ensuite, vous pouvez couper les pommes de terre en deux ou les placer entières dans l'autocuiseur. Ajoutez 60 ml d'eau dans l'autocuiseur. Couvrez-le avec le poids. Couvrez et laissez cuire à feu vif jusqu'à environ deux sifflements. Après les deux premiers sifflements, baissez le feu et laissez mijoter trois minutes, puis éteignez le feu. Une fois le feu éteint, attendez que la pression se relâche naturellement, la vapeur à l'intérieur continuant de cuire les pommes de terre. Cela peut prendre jusqu'à 10 minutes. Une fois la pression retombée, vous pourrez facilement soulever le poids et ouvrir le couvercle de l'autocuiseur. Vous pouvez vérifier la cuisson des pommes de terre en y insérant un couteau. Si le couteau s'enfonce facilement, les pommes de terre sont cuites. Laissez-les refroidir complètement pour les peler plus facilement. Une fois pelés, vous pouvez les utiliser tels quels ou les écraser pour des recettes comme le Rajma Galouti Kebab ou d'autres pommes de terre comme l'Arbi/Colocasia utilisé dans l'Arbi Kebab ou les ignames, comme celles utilisées dans ce Jimikand Ke Kebab.</t>
  </si>
  <si>
    <t>http://www.archanaskitchen.com/video-recipe-how-to-cook-root-vegetables-like-potatoes-using-a-pressure-cooker</t>
  </si>
  <si>
    <t>Cucumber Honey Limeade Recipe</t>
  </si>
  <si>
    <t>Rezept für Gurken-Honig-Limonade</t>
  </si>
  <si>
    <t>Recette de limonade au concombre et au miel</t>
  </si>
  <si>
    <t>Receta de limonada de pepino y miel</t>
  </si>
  <si>
    <t>1 concombre - pressé et égoutté, 2 cuillères à soupe de miel - (ajuster), 1 cuillère à café de sel - (ajuster), 2 cuillères à soupe de jus de citron, 1/4 tasse d'eau gazeuse (eau gazeuse), 2 cuillères à soupe d'eau, glaçons - pour servir</t>
  </si>
  <si>
    <t>1 Cucumber - juiced and strained,2 tablespoons Honey - (adjust),1 teaspoon Salt - (adjust),2 tablespoons Lemon juice,1/4 cup Aerated water (Soda Water),2 tablespoons Water,Ice cubes - to serve</t>
  </si>
  <si>
    <t>1 pepino - exprimido y colado, 2 cucharadas de miel - (ajustar), 1 cucharadita de sal - (ajustar), 2 cucharadas de jugo de limón, 1/4 taza de agua gasificada (agua con gas), 2 cucharadas de agua, cubitos de hielo - para servir</t>
  </si>
  <si>
    <t xml:space="preserve">To begin making Cucumber Honey Limeade Recipe, peel a cucumber and cut into small pieces.In a blender blend cucumber, strain in a strainer and extract the juice.In a mixing jar add honey, lemon juice, salt, cucumber juice and water. Mix it well.Pour in a serving glass living 1/4 space for club soda. Fill with chill club soda and add ice cube. Cucumber Honey Limeade is ready to serve and enjoy.Serve Cucumber Honey Limeade Recipe as an energy drink on a summer evening with Tea Sandwich Recipe With Beets, Radish, Avocado and Arugula or Grilled Tofu Satay Recipe (Wrapped in Lettuce with Peanut Dipping Sauce).
</t>
  </si>
  <si>
    <t>Para preparar la receta de limonada de pepino y miel, pela un pepino y córtalo en trozos pequeños. Licúa el pepino en una licuadora, cuélalo y extrae el jugo. En un vaso mezclador, añade miel, jugo de limón, sal, jugo de pepino y agua. Mezcla bien. Vierte el contenido en un vaso para servir, dejando 1/4 del espacio para el agua con gas. Llénalo con agua con gas fría y añade un cubo de hielo. La limonada de pepino y miel está lista para servir y disfrutar. Sirve la limonada de pepino y miel como bebida energética en una tarde de verano con la receta de sándwich de té con remolacha, rábano, aguacate y rúcula o la receta de satay de tofu a la parrilla (envuelto en lechuga con salsa de cacahuete).</t>
  </si>
  <si>
    <t>Pour commencer la recette de concombre, miel et citron vert, épluchez un concombre et coupez-le en petits morceaux. Dans un mixeur, mixez le concombre, passez-le au chinois et extrayez-en le jus. Dans un bol, ajoutez le miel, le jus de citron, le sel, le jus de concombre et l'eau. Mélangez bien. Versez dans un verre de service en laissant un quart de l'espace pour l'eau gazeuse. Remplissez de soda froid et ajoutez des glaçons. La recette de concombre, miel et citron vert est prête à être servie et dégustée. Servez la recette de concombre, miel et citron vert comme boisson énergisante lors d'une soirée d'été, avec la recette de sandwich au thé aux betteraves, radis, avocat et roquette ou la recette de satay de tofu grillé (enveloppé de laitue avec une sauce aux cacahuètes).</t>
  </si>
  <si>
    <t>http://www.archanaskitchen.com/cucumber-honey-limeade-recipe</t>
  </si>
  <si>
    <t>Eggplant Steaks Recipe</t>
  </si>
  <si>
    <t>Rezept für Auberginensteaks</t>
  </si>
  <si>
    <t>Recette de steaks d'aubergines</t>
  </si>
  <si>
    <t>Receta de filetes de berenjena</t>
  </si>
  <si>
    <t>2 aubergines (Baingan / Aubergines) - coupées en tranches dans le sens de la longueur, 1/2 tasse de Kabuli Chana (pois chiches blancs) - trempés toute la nuit et cuits jusqu'à tendreté, 1 poivron rouge, jaune ou vert (Capsicum) - rôti et haché, 1/2 tasse de fromage feta - émietté, feuilles de persil - une poignée, sel - au goût, 1-1/2 cuillère à café de poivre noir en poudre - fraîchement concassé, 1-1/2 cuillère à soupe d'huile d'olive extra vierge, 3 cuillères à soupe de ketchup, 1-1/2 cuillère à soupe de sauce Worcestershire, 1/2 cuillère à café d'origan séché, 1/2 cuillère à café de paprika en poudre, 1/2 cuillère à café de cassonade (sucre Demerara), sel - au goût</t>
  </si>
  <si>
    <t>2 Brinjal (Baingan / Eggplant) - sliced lengthwise,1/2 cup Kabuli Chana (White Chickpeas) - soaked overnight &amp; cooked till tender,1 Red Yellow or Green Bell Pepper (Capsicum) - roasted and chopped,1/2 cup Feta Cheese - crumbled,Parsley leaves - a handful,Salt - to taste,1-1/2 teaspoons Black pepper powder - freshly crushed,1-1/2 tablespoon Extra Virgin Olive Oil,3 tablespoons Tomato Ketchup,1-1/2 tablespoons Worcestershire sauce,1/2 teaspoon Dried oregano,1/2 teaspoon Paprika powder,1/2 teaspoon Brown Sugar (Demerara Sugar),Salt - to taste</t>
  </si>
  <si>
    <t>2 berenjenas (Baingan / berenjenas) - cortadas a lo largo, 1/2 taza de garbanzos Kabuli (garbanzos blancos) - remojados durante la noche y cocidos hasta que estén tiernos, 1 pimiento morrón rojo amarillo o verde (Capsicum) - asado y picado, 1/2 taza de queso feta - desmenuzado, hojas de perejil - un puñado, sal - al gusto, 1-1/2 cucharaditas de pimienta negra en polvo - recién triturada, 1-1/2 cucharadas de aceite de oliva virgen extra, 3 cucharadas de ketchup de tomate, 1-1/2 cucharadas de salsa Worcestershire, 1/2 cucharadita de orégano seco, 1/2 cucharadita de pimentón en polvo, 1/2 cucharadita de azúcar moreno (azúcar Demerara), sal - al gusto</t>
  </si>
  <si>
    <t xml:space="preserve">To begin making the Eggplant steaks first Rub the eggplant with salt and pepper and keep in a colander for 15-20 minutes.Mix all the ingredients under ‘For the sauce’ in a small mixing bowlHeat a grill pan and drizzle some oil on it.Place the Eggplant slices on it and grill on both sides till it becomes soft.Brush the eggplant slices with some sauce.Place the slices on a serving plate.Top with the chickpeas and bell pepper.Drizzle some sauce over it.Top with feta cheese and garnish with parsley leaves.Serve Eggplant Steaks Recipe hot or cold. Make a meal with Pita wedges and Tomato Noodle Soup.
</t>
  </si>
  <si>
    <t>Para preparar los filetes de berenjena, primero frote la berenjena con sal y pimienta y déjela en un colador durante 15-20 minutos. Mezcle todos los ingredientes de la sección "Para la salsa" en un tazón pequeño. Caliente una sartén para parrilla y rocíe con un poco de aceite. Coloque las rodajas de berenjena sobre ella y áselas por ambos lados hasta que estén tiernas. Unte las rodajas de berenjena con un poco de salsa. Coloque las rodajas en un plato para servir. Cubra con los garbanzos y el pimiento morrón. Rocíe con un poco de salsa por encima. Cubra con queso feta y adorne con hojas de perejil. Sirva la receta de filetes de berenjena caliente o fría. Prepare una comida con pan pita y sopa de fideos con tomate.</t>
  </si>
  <si>
    <t>Pour commencer la préparation des steaks d'aubergines, frottez-les de sel et de poivre et réservez-les dans une passoire pendant 15 à 20 minutes. Mélangez tous les ingrédients de la section « Pour la sauce » dans un petit saladier. Faites chauffer une poêle à griller et versez un filet d'huile dessus. Déposez les tranches d'aubergines dessus et faites-les griller des deux côtés jusqu'à ce qu'elles soient tendres. Badigeonnez les tranches d'aubergines de sauce. Disposez les tranches sur une assiette de service. Garnissez de pois chiches et de poivrons. Arrosez de sauce. Garnissez de feta et de feuilles de persil. Servez la recette des steaks d'aubergines chaude ou froide. Préparez un repas avec des quartiers de pita et une soupe de nouilles à la tomate.</t>
  </si>
  <si>
    <t>http://www.archanaskitchen.com/eggplant-steaks-recipe</t>
  </si>
  <si>
    <t>Savory Waffles With Roasted Peppers In Sun Dried Tomato Pesto Recipe</t>
  </si>
  <si>
    <t>Rezept für herzhafte Waffeln mit gerösteten Paprikaschoten in sonnengetrocknetem Tomatenpesto</t>
  </si>
  <si>
    <t>Recette de gaufres salées aux poivrons rôtis au pesto de tomates séchées</t>
  </si>
  <si>
    <t>Waffles salados con pimientos asados ​​y pesto de tomates secos</t>
  </si>
  <si>
    <t>50 grammes de tomates séchées au soleil - égouttez l'excédent d'huile, 1 brin de feuilles de basilic - grossièrement hachées, 2 gousses d'ail - finement hachées, 1 cuillère à soupe de Badam (amande) - rôtie, 1 cuillère à soupe de fromage Parmigiano Reggiano - râpé, 2 cuillères à soupe d'huile d'olive extra vierge, 1/2 cuillère à soupe de grains de poivre noir entiers, sel - au goût, 1 cuillère à soupe d'huile d'olive extra vierge, 1/2 poivron rouge (Capsicum) - en dés, 1/2 poivron vert (Capsicum) - en dés, 1/2 poivron jaune (Capsicum) - en dés, 2 cuillères à soupe d'olives noires - tranchées, 2 cuillères à soupe de jalapeños marinés - tranchés, 3 cuillères à soupe de pesto de tomates séchées au soleil, 1 œuf entier, 3/4 tasse de lait, 1/4 tasse d'huile de tournesol, 1 cuillère à café de sucre, 2 cuillères à café de levure chimique, sel - au goût, 1 tasse de farine de blé entier, 1 cuillère à café de poudre de poivre noir, 1 cuillère à café d'origan séché</t>
  </si>
  <si>
    <t>50 grams Sun Dried Tomatoes - drain the excess oil,1 sprig Basil leaves - roughly chopped,2 cloves Garlic - finely chopped,1 tablespoon Badam (Almond) - roasted,1 tablespoon Parmigiano reggiano cheese - grated,2 tablespoons Extra Virgin Olive Oil,1/2 tablespoon Whole Black Peppercorns,Salt - to taste,1 tablespoon Extra Virgin Olive Oil,1/2 Red Bell pepper (Capsicum) - diced,1/2 Green Bell Pepper (Capsicum) - diced,1/2 Yellow Bell Pepper (Capsicum) - diced,2 tablespoons Black olives - sliced,2 tablespoons Pickled Jalapenos - sliced,3 tablespoons Sun Dried Tomato Pesto,1 Whole Egg,3/4 cup Milk,1/4 cup Sunflower Oil,1 teaspoon Sugar,2 teaspoons Baking powder,Salt - to taste,1 cup Whole Wheat Flour,1 teaspoon Black pepper powder,1 teaspoon Dried oregano</t>
  </si>
  <si>
    <t>50 gramos de tomates secos - escurrir el exceso de aceite, 1 ramita de hojas de albahaca - picadas gruesamente, 2 dientes de ajo - picados finamente, 1 cucharada de Badam (almendra) - tostada, 1 cucharada de queso Parmigiano reggiano - rallado, 2 cucharadas de aceite de oliva virgen extra, 1/2 cucharada de granos de pimienta negra enteros, sal - al gusto, 1 cucharada de aceite de oliva virgen extra, 1/2 pimiento rojo (Capsicum) - picado, 1/2 pimiento verde (Capsicum) - picado, 1/2 pimiento amarillo (Capsicum) - picado, 2 cucharadas de aceitunas negras - en rodajas, 2 cucharadas de jalapeños encurtidos - en rodajas, 3 cucharadas de pesto de tomates secos, 1 huevo entero, 3/4 taza de leche, 1/4 taza de aceite de girasol, 1 cucharadita de azúcar, 2 cucharaditas de polvo para hornear, sal - al gusto, 1 taza de harina integral, 1 cucharadita de pimienta negra en polvo, 1 cucharadita de orégano seco</t>
  </si>
  <si>
    <t xml:space="preserve">To begin making the Savory Waffles with Roasted Peppers in Sundried tomato Pesto, we need to firsts make the Sun Dried Tomato PestoFor the Sun Dried Tomato PestoTo begin making the Sundried Tomato Pesto, we have to put all the ingredients together and put them into your blender and make a coarse paste.In a blender combine sundried tomatoes, basil leaves, garlic, almonds, parmigiano reggiano cheese, whole black peppercorns and salt.While you blitz, keep adding a little olive oil at a time if the paste if too firm to grind. If your sundried tomatoes are too firm, then its a good idea to soak it in a little warm water for about 15 minutes, then grind it to make a pesto.For Roasted Peppers and Sun dried tomatoes toppingIn a pan heat olive oil on medium flame, add  mixed bell peppers, black olives and pickled jalapenos. Switch to high heat and pan fry them for 2-3 minutes.Finally add in the sundried tomato pesto and give it a good stir. Turn off the flame.For the savoury wafflesPreheat waffle iron. Beat eggs in large bowl with hand beater until fluffy. Beat in milk, vegetable oil, sugar, baking powder, pepper, oregano and salt, just until smooth. Finally add in the flour and stir to combine well, until it is smooth with no lumpsGrease the waffle iron pan with oil. Pour mix on to hot waffle iron. Cook until golden brown. To assemble, place the waffles on a plate, top with mixed bell peppers. Serve Savory Waffles with Roasted Peppers in Sundried tomato Pesto along with Fried Egg Recipe (Sunny Side Up) and Refreshing Smoothie Recipe With Cucumber &amp; Kiwi and fresh fruits for a Sunday brunch.
</t>
  </si>
  <si>
    <t>Para empezar a hacer los Waffles Salados con Pimientos Asados ​​en Pesto de Tomate Seco, primero necesitamos hacer el Pesto de Tomate SecoPara el Pesto de Tomate SecoPara empezar a hacer el Pesto de Tomate Seco, tenemos que juntar todos los ingredientes y ponerlos en tu licuadora para hacer una pasta gruesa.En una licuadora combina los tomates secos, las hojas de albahaca, el ajo, las almendras, el queso parmesano reggiano, los granos de pimienta negra enteros y la sal.Mientras licúas, sigue agregando un poco de aceite de oliva a la vez si la pasta está demasiado firme para molerla. Si tus tomates secos están demasiado firmes, entonces es una buena idea remojarlos en un poco de agua tibia durante unos 15 minutos, luego molerlos para hacer un pesto.Para la cobertura de Pimientos Asados ​​y Tomate SecoEn una sartén calienta el aceite de oliva a fuego medio, agrega pimientos morrones mixtos, aceitunas negras y jalapeños encurtidos. Sube el fuego y fríelos en la sartén durante 2-3 minutos. Finalmente, añade el pesto de tomate seco y remueve bien. Apaga el fuego. Para los waffles salados: Precalienta la waflera. Bate los huevos en un tazón grande con una batidora de mano hasta que estén esponjosos. Incorpora la leche, el aceite vegetal, el azúcar, la levadura en polvo, la pimienta, el orégano y la sal, batiendo hasta que esté suave. Finalmente, añade la harina y remueve para combinar bien, hasta que esté suave y sin grumos. Engrasa la sartén de la waflera con aceite. Vierte la mezcla sobre la waflera caliente. Cocina hasta que estén dorados. Para armar, coloca los waffles en un plato, cubre con pimientos morrones mixtos. Sirve los waffles salados con pimientos asados ​​en pesto de tomate seco junto con la receta de huevo frito (soleado) y la receta de batido refrescante con pepino y kiwi y frutas frescas para un brunch dominical.</t>
  </si>
  <si>
    <t>Pour commencer à préparer les gaufres salées aux poivrons rôtis au pesto de tomates séchées au soleil, nous devons d'abord préparer le pesto de tomates séchées au soleil. Pour le pesto de tomates séchées au soleil, nous devons rassembler tous les ingrédients et les mettre dans votre mixeur pour obtenir une pâte grossière. Dans un mixeur, mélanger les tomates séchées au soleil, les feuilles de basilic, l'ail, les amandes, le parmesan reggiano, les grains de poivre noir entiers et le sel. Pendant que vous mixez, continuez à ajouter un peu d'huile d'olive à la fois si la pâte est trop ferme pour être broyée. Si vos tomates séchées au soleil sont trop fermes, c'est une bonne idée de les faire tremper dans un peu d'eau tiède pendant environ 15 minutes, puis de les broyer pour faire un pesto. Pour la garniture aux poivrons rôtis et aux tomates séchées au soleil Dans une poêle, chauffer l'huile d'olive à feu moyen, ajouter les poivrons mélangés, les olives noires et les jalapeños marinés. Passez à feu vif et faites-les revenir à la poêle pendant 2 à 3 minutes. Ajoutez enfin le pesto de tomates séchées et remuez bien. Éteignez le feu. Pour les gaufres salées : Préchauffez le gaufrier. Battez les œufs dans un grand bol avec un batteur à main jusqu'à ce qu'ils soient mousseux. Incorporez le lait, l'huile végétale, le sucre, la levure chimique, le poivre, l'origan et le sel, jusqu'à obtenir une consistance lisse. Ajoutez enfin la farine et mélangez bien jusqu'à obtenir une consistance lisse et sans grumeaux. Graissez le gaufrier avec de l'huile. Versez le mélange sur le gaufrier chaud. Faites cuire jusqu'à ce qu'ils soient dorés. Pour assembler, disposez les gaufres sur une assiette et garnissez de poivrons mélangés. Servez les gaufres salées aux poivrons rôtis au pesto de tomates séchées avec la recette d'œufs au plat (miroir) et la recette de smoothie rafraîchissant au concombre et au kiwi, ainsi que des fruits frais pour un brunch du dimanche.</t>
  </si>
  <si>
    <t>http://www.archanaskitchen.com/savory-waffles-with-roasted-peppers-in-sun-dried-tomato-pesto-recipe</t>
  </si>
  <si>
    <t>Orange Lemon Tea Cake Recipe</t>
  </si>
  <si>
    <t>Rezept für Orangen-Zitronen-Teekuchen</t>
  </si>
  <si>
    <t>Recette de gâteau au thé à l'orange et au citron</t>
  </si>
  <si>
    <t>Receta de pastel de té de naranja y limón</t>
  </si>
  <si>
    <t>2-1/2 tasses de farine de blé entier, 1 tasse de sucre en poudre, 2 cuillères à café de levure chimique, 1/4 cuillère à café de sel, 1/4 cuillère à café de zeste d'orange (écorce), 1/4 tasse de jus d'orange frais, 1 cuillère à café de jus de citron, 1/4 tasse de lait, 1/2 tasse d'huile d'olive extra vierge, 4 œufs entiers</t>
  </si>
  <si>
    <t>2-1/2 cups Whole Wheat Flour,1 cup Caster Sugar,2 teaspoons Baking powder,1/4 teaspoon Salt,1/4 teaspoon Orange Zest (Rind),1/4 cup Fresh orange juice,1 teaspoon Lemon juice,1/4 cup Milk,1/2 cup Extra Virgin Olive Oil,4 Whole Eggs</t>
  </si>
  <si>
    <t>2-1/2 tazas de harina integral, 1 taza de azúcar extrafino, 2 cucharaditas de polvo para hornear, 1/4 cucharadita de sal, 1/4 cucharadita de ralladura de naranja, 1/4 taza de jugo de naranja fresco, 1 cucharadita de jugo de limón, 1/4 taza de leche, 1/2 taza de aceite de oliva virgen extra, 4 huevos enteros</t>
  </si>
  <si>
    <t xml:space="preserve">To begin making the Orange Lemon Tea Cake Recipe, preheat the oven to 180 degree Celsius for 10 minutes.In a mixing bowl, mix all the dry ingredients like the flour, baking powder, sugar, salt.Add milk, olive oil and eggs at one shot and mix well till it fluffs up.Add freshly squeezed lemon juice and orange juice into the cake mixture and mix it for one last time.Grease a spring form cake pan with butter, dust it with flour and slowly add the cake mixture into the tin and bake it in the oven for at least 30 minutes.Insert a knife in the center to check if the cake is cooked, if it comes out clean then it is baked otherwise keep it for 10 more minutes.Serve the Orange Lemon Tea Cake Recipe along with masala chai, lemon tea or green tea by the side as a healthy evening dessert.
</t>
  </si>
  <si>
    <t>Para empezar a preparar la receta de pastel de té de naranja y limón, precalienta el horno a 180 grados Celsius durante 10 minutos. En un tazón, mezcla todos los ingredientes secos como la harina, el polvo para hornear, el azúcar y la sal. Agrega la leche, el aceite de oliva y los huevos de una sola vez y mezcla bien hasta que se esponje. Agrega jugo de limón recién exprimido y jugo de naranja a la mezcla para pastel y mézclalo por última vez. Engrasa un molde para pastel con aro de resorte con mantequilla, espolvoréalo con harina y agrega lentamente la mezcla para pastel en el molde y hornéalo en el horno durante al menos 30 minutos. Inserta un cuchillo en el centro para verificar si el pastel está cocido, si sale limpio, entonces está horneado; de lo contrario, déjalo por 10 minutos más. Sirve la receta de pastel de té de naranja y limón junto con masala chai, té de limón o té verde como un postre saludable para la noche.</t>
  </si>
  <si>
    <t>Pour commencer à préparer la recette du gâteau au thé à l'orange et au citron, préchauffez le four à 180 degrés Celsius pendant 10 minutes. Dans un saladier, mélangez tous les ingrédients secs comme la farine, la levure chimique, le sucre et le sel. Ajoutez le lait, l'huile d'olive et les œufs en une seule fois et mélangez bien jusqu'à ce qu'ils gonflent. Ajoutez le jus de citron fraîchement pressé et le jus d'orange au mélange à gâteau et mélangez une dernière fois. Graissez un moule à gâteau à charnière avec du beurre, saupoudrez-le de farine et ajoutez lentement le mélange à gâteau dans le moule et faites-le cuire au four pendant au moins 30 minutes. Insérez un couteau au centre pour vérifier si le gâteau est cuit. S'il ressort propre, il est cuit, sinon gardez-le pendant 10 minutes supplémentaires. Servez la recette du gâteau au thé à l'orange et au citron avec du masala chai, du thé au citron ou du thé vert à côté comme dessert sain en soirée.</t>
  </si>
  <si>
    <t>https://www.archanaskitchen.com/orange-lemon-tea-cake-recipe</t>
  </si>
  <si>
    <t>Watermelon Carrot Radish Juice Recipe</t>
  </si>
  <si>
    <t>Rezept für Wassermelonen-Karotten-Rettich-Saft</t>
  </si>
  <si>
    <t>Recette de jus de pastèque, carotte et radis</t>
  </si>
  <si>
    <t>Receta de jugo de sandía, zanahoria y rábano</t>
  </si>
  <si>
    <t>1 pastèque - pelée et coupée en dés, 500 grammes de carottes (Gajjar) - coupées en dés, 250 grammes de Mooli/Mullangi (radis) - coupés en dés, 1 pincée de sel, jus de citron - au goût</t>
  </si>
  <si>
    <t>1 Watermelon - peeled and cubed,500 grams Carrots (Gajjar) - diced,250 grams Mooli/ Mullangi (Radish) - diced,1 pinch Salt,Lemon juice - to taste</t>
  </si>
  <si>
    <t>1 sandía - pelada y cortada en cubos, 500 gramos de zanahorias (Gajjar) - cortadas en cubos, 250 gramos de Mooli/ Mullangi (rábano) - cortado en cubos, 1 pizca de sal, jugo de limón - al gusto</t>
  </si>
  <si>
    <t xml:space="preserve">To begin making the Watermelon Carrot Radish Juice Recipe, first prepare the fruits and vegetables. You can either use a juicer or a blender to make the juice. If you use a blender, then you will have to strain the juice to consume.Place the watermelon, carrots and radish in the juicer and blend to extract the juice. Once done, pour it into a glass jar, stir in a pinch of salt and squeeze some lemon to taste and serve.Serve Watermelon Carrot Radish Juice in the morning along with Grilled Rajma Masala Sandwich breakfast to give your day a refreshing start.
</t>
  </si>
  <si>
    <t>Para empezar a preparar el jugo de sandía, zanahoria y rábano, primero prepara las frutas y verduras. Puedes usar un exprimidor o una licuadora. Si usas una licuadora, tendrás que colar el jugo para consumirlo. Coloca la sandía, las zanahorias y el rábano en el exprimidor y licúa para extraer el jugo. Una vez hecho esto, viértelo en un frasco de vidrio, añade una pizca de sal y exprime un poco de limón al gusto. Sirve el jugo de sandía, zanahoria y rábano por la mañana junto con el desayuno de sándwich Rajma Masala a la parrilla para empezar el día con energía.</t>
  </si>
  <si>
    <t>Pour commencer à préparer la recette de jus de pastèque, carotte et radis, préparez d'abord les fruits et légumes. Vous pouvez utiliser un extracteur de jus ou un mixeur pour préparer le jus. Si vous utilisez un mixeur, vous devrez filtrer le jus avant de le consommer. Placez la pastèque, les carottes et les radis dans l'extracteur de jus et mixez pour en extraire le jus. Une fois terminé, versez le jus dans un bocal en verre, ajoutez une pincée de sel et pressez un citron selon votre goût, puis servez. Servez le jus de pastèque, carotte et radis le matin avec un sandwich Rajma Masala grillé au petit-déjeuner pour bien commencer la journée.</t>
  </si>
  <si>
    <t>https://www.archanaskitchen.com/watermelon-carrot-radish-juice-recipe</t>
  </si>
  <si>
    <t>Fennel Potato Croquettes With Paneer Recipe</t>
  </si>
  <si>
    <t>Fenchel-Kartoffelkroketten mit Paneer-Rezept</t>
  </si>
  <si>
    <t>Recette de croquettes de fenouil et de pommes de terre au paneer</t>
  </si>
  <si>
    <t>Receta de croquetas de hinojo y patata con paneer</t>
  </si>
  <si>
    <t>100 grammes de paneer (fromage cottage fait maison) émietté, 4 pommes de terre (Aloo) bouillies, 1 oignon finement haché, 1 cuillère à café de cumin en poudre (Jeera), 2 cuillères à café de graines de fenouil (Saunf) grossièrement pilées, 2 piments verts finement hachés, feuilles de coriandre (Dhania) - petit bouquet, sel - au goût, 2 cuillères à soupe de farine tout usage (Maida), chapelure de blé entier, huile de tournesol - pour l'enrobage, 1 blanc d'œuf - (facultatif)</t>
  </si>
  <si>
    <t>100 grams Paneer (Homemade Cottage Cheese) - crumbled,4 Potatoes (Aloo) - boiled,1 Onion - finely chopped,1 teaspoon Cumin powder (Jeera),2 teaspoons Fennel seeds (Saunf) - coarsely pounded,2 Green Chillies - finely chopped,Coriander (Dhania) Leaves - small bunch,Salt - to taste,2 tablespoons All Purpose Flour (Maida),Whole Wheat Bread crumbs,Sunflower Oil - for coating,1 Egg white - (optional)</t>
  </si>
  <si>
    <t>100 gramos de Paneer (queso cottage casero) - desmenuzado, 4 papas (Aloo) - hervidas, 1 cebolla - finamente picada, 1 cucharadita de comino en polvo (Jeera), 2 cucharaditas de semillas de hinojo (Saunf) - machacadas gruesas, 2 chiles verdes - finamente picados, cilantro (Dhania) Hojas - pequeño manojo, sal - al gusto, 2 cucharadas de harina para todo uso (Maida), pan rallado integral, aceite de girasol - para rebozar, 1 clara de huevo - (opcional)</t>
  </si>
  <si>
    <t xml:space="preserve">To begin making the Fennel Potato Croquettes with Paneer recipe, we will first get all the ingredients ready. In a bowl, make a dough of the paneer by combining it with a pinch of salt. Divide the paneer into 6 portions and shape them into ovals.In another bowl, combine the remaining ingredients except the dried bread crumbs and the oil.  Combine well, so the potatoes are mashed and well combined. Divide the potato mixture into 6 portions.Oil the palm of your hands, take a portion of the potato and flatten it on the palm. Place a portion of the paneer in the center and cover back with the potato as its cover. Seal it well. Proceed the similar way with the remaining potatoes and the paneer portions.Preheat the airfryer or your oven at 200 C and then proceed to the next steps.Next roll the potatoes on the bread crumbs and coat them well.  If you eat eggs, then first dip the potato croquette into the egg whites then roll through the bread crumbs. Cut the aluminium foil to the size of the air fryer basket. Grease and dust the foil with a little flour so the croquettes don’t stick while getting fried. Pinch its edges of the foil and fit into the basket in such a way that there is some opening for air circulation.Place the croquettes on to the foil and air fry them for 12 to 15 minutes at 200 C. Half way through the process of frying, drizzle 1/8th spoon of oil over each croquette and put it back in again until golden brown.Serve Fennel Potato Croquettes With Paneer Recipe with Roasted Tomato Sauce, Spicy Mexican Salsa Recipe or Creamed Spinach Recipe for an evening snack.
</t>
  </si>
  <si>
    <t>Para comenzar a hacer la receta de Croquetas de Papa con Hinojo y Paneer, primero prepararemos todos los ingredientes. En un tazón, haga una masa de paneer combinándola con una pizca de sal. Divida el paneer en 6 porciones y forme óvalos. En otro tazón, combine los ingredientes restantes excepto las migas de pan secas y el aceite. Combine bien, para que las papas estén machacadas y bien combinadas. Divida la mezcla de papa en 6 porciones. Engrase la palma de sus manos, tome una porción de la papa y aplánela sobre la palma. Coloque una porción del paneer en el centro y cúbrala con la papa como tapa. Séllela bien. Proceda de manera similar con las papas restantes y las porciones de paneer. Precaliente la freidora de aire o su horno a 200 C y luego continúe con los siguientes pasos. Luego enrolle las papas en las migas de pan y cúbralas bien. Si comes huevos, primero sumerge la croqueta de patata en las claras de huevo y luego pásala por el pan rallado. Corta el papel de aluminio del tamaño de la cesta de la freidora de aire. Engrasa y espolvorea el papel de aluminio con un poco de harina para que las croquetas no se peguen al freírse. Pellizca los bordes del papel de aluminio y colócalos en la cesta de forma que haya una abertura para la circulación del aire. Coloca las croquetas sobre el papel de aluminio y fríelas al aire durante 12 a 15 minutos a 200 °C. A la mitad del proceso de fritura, rocía 1/8 de cucharada de aceite sobre cada croqueta y vuelve a meterlas hasta que estén doradas. Sirve las croquetas de patata con hinojo y paneer con salsa de tomate asado, salsa mexicana picante o espinacas a la crema como refrigerio por la noche.</t>
  </si>
  <si>
    <t>Pour commencer à préparer la recette de croquettes de pommes de terre au fenouil et au paneer, nous allons d'abord préparer tous les ingrédients. Dans un bol, faites une pâte de paneer en la combinant avec une pincée de sel. Divisez le paneer en 6 portions et façonnez-les en ovales. Dans un autre bol, mélangez les ingrédients restants, sauf la chapelure séchée et l'huile. Bien mélanger, afin que les pommes de terre soient écrasées et bien mélangées. Divisez le mélange de pommes de terre en 6 portions. Huilez la paume de vos mains, prenez une portion de pomme de terre et aplatissez-la sur la paume. Placez une portion de paneer au centre et recouvrez avec la pomme de terre comme couvercle. Scellez bien. Procédez de la même manière avec les pommes de terre restantes et les portions de paneer. Préchauffez la friteuse à air ou votre four à 200 °C, puis passez aux étapes suivantes. Ensuite, roulez les pommes de terre sur la chapelure et enrobez-les bien. Si vous mangez des œufs, trempez d'abord la croquette de pommes de terre dans les blancs d'œufs, puis roulez-la dans la chapelure. Découpez le papier aluminium à la taille du panier de la friteuse. Graissez-le et saupoudrez-le d'un peu de farine pour que les croquettes ne collent pas pendant la friture. Pincez les bords du papier aluminium et insérez-le dans le panier de manière à laisser une ouverture pour la circulation de l'air. Placez les croquettes sur le papier aluminium et faites-les frire à l'air libre pendant 12 à 15 minutes à 200 °C. À mi-cuisson, versez 1/8 de cuillère à soupe d'huile sur chaque croquette et remettez-la dans le panier jusqu'à ce qu'elle soit dorée. Servez les croquettes de pommes de terre au fenouil et au paneer avec une sauce tomate rôtie, une salsa mexicaine épicée ou une crème d'épinards pour un en-cas du soir.</t>
  </si>
  <si>
    <t>http://www.archanaskitchen.com/fennel-potato-croquettes-with-paneer-recipe</t>
  </si>
  <si>
    <t>Mango Chia Seeds Smoothie Topped with Muesli Recipe</t>
  </si>
  <si>
    <t>Rezept für Mango-Chiasamen-Smoothie mit Müsli</t>
  </si>
  <si>
    <t>Recette de smoothie mangue-graines de chia avec muesli</t>
  </si>
  <si>
    <t>Receta de batido de mango y semillas de chía con muesli</t>
  </si>
  <si>
    <t>1 tasse de mangue (mûre) - en purée, 4 cuillères à soupe de lait, 2 cuillères à café de graines de chia, 2 cuillères à soupe de muesli, 2 pruneaux - hachés, 1 cuillère à café de canneberges - séchées</t>
  </si>
  <si>
    <t>1 cup Mango (Ripe) - pureed,4 tablespoon Milk,2 teaspoon Chia Seeds,2 tablespoon Muesli,2 Prunes - chopped,1 teaspoon Cranberries - dried</t>
  </si>
  <si>
    <t>1 taza de mango (maduro) - hecho puré, 4 cucharadas de leche, 2 cucharaditas de semillas de chía, 2 cucharadas de muesli, 2 ciruelas pasas picadas, 1 cucharadita de arándanos secos</t>
  </si>
  <si>
    <t>Sugar Free Diet</t>
  </si>
  <si>
    <t xml:space="preserve">To begin making the Mango Chia Seeds Smoothie Topped with Muesli Recipe by soak the chia seeds in milk for about 25 minutes.Peel the mangoes and chop them into small pieces and blitz using a hand blender into a smooth puree. Keep it aside in a bowl. Add the milk and chia seed mixture  to your mango puree mix well and serve it in a bowl. Top it up with muesli, prunes and cranberries and serve.Serve the Mango Chia Seeds Smoothie Topped with Muesli Recipe for your morning Breakfast. Have  a small portion of it with a No Bake Peanut Butter Granola Bar or Broccoli Pesto Open Toast for a filling brunch.
</t>
  </si>
  <si>
    <t>Para empezar a preparar el batido de mango, semillas de chía y muesli, remoja las semillas de chía en leche durante unos 25 minutos. Pela los mangos, córtalos en trozos pequeños y tritúralos con una batidora de mano hasta obtener un puré suave. Reserva en un bol. Añade la mezcla de leche y semillas de chía al puré de mango, mezcla bien y sírvelo en un bol. Adereza con muesli, ciruelas pasas y arándanos rojos y sirve. Sirve el batido de mango, semillas de chía y muesli en tu desayuno. Acompaña una pequeña porción con una barra de granola de mantequilla de cacahuete sin horno o una tostada abierta con pesto de brócoli para un brunch abundante.</t>
  </si>
  <si>
    <t>Pour commencer à préparer le smoothie mangue-graines de chia garni de muesli, faites tremper les graines de chia dans du lait pendant environ 25 minutes. Pelez les mangues, coupez-les en petits morceaux et mixez-les à l'aide d'un mixeur plongeant jusqu'à obtenir une purée lisse. Réservez dans un bol. Ajoutez le mélange de lait et de graines de chia à votre purée de mangue, mélangez bien et servez dans un bol. Complétez avec du muesli, des pruneaux et des canneberges et servez. Servez le smoothie mangue-graines de chia garni de muesli pour votre petit-déjeuner. Prenez-en une petite portion avec une barre granola au beurre de cacahuète sans cuisson ou un toast au pesto de brocoli pour un brunch copieux.</t>
  </si>
  <si>
    <t>http://www.archanaskitchen.com/mango-chia-seeds-smoothie-topped-with-muesli-recipe</t>
  </si>
  <si>
    <t>Egg And Spinach Breakfast Pizza Recipe</t>
  </si>
  <si>
    <t>Rezept für Frühstückspizza mit Ei und Spinat</t>
  </si>
  <si>
    <t>Recette de pizza petit-déjeuner aux œufs et aux épinards</t>
  </si>
  <si>
    <t>Receta de pizza de desayuno con huevo y espinacas</t>
  </si>
  <si>
    <t>1 tasse de farine tout usage (Maida), 1 tasse de farine de blé entier, 1 cuillère à soupe de levure sèche active, 1/2 tasse d'eau tiède, 1 cuillère à café de sucre, 1 cuillère à café de sel, 1 tasse de fromage mozzarella râpé, 1 tasse d'épinards, 1/2 tasse de tomates cerises coupées en deux dans le sens de la longueur, 1/2 tasse d'oignons caramélisés, 4 œufs entiers, 1 cuillère à café de flocons de piment rouge, 1 cuillère à café d'origan séché</t>
  </si>
  <si>
    <t>1 cup All Purpose Flour (Maida),1 cup Whole Wheat Flour,1 tablespoon Active dry yeast,1/2 cup Lukewarm Water,1 teaspoon Sugar,1 teaspoon Salt,1 cup Mozzarella cheese - grated,1 cup Spinach,1/2 cup Cherry tomatoes - halved lengthwise,1/2 cup Caramelized onions,4 Whole Eggs,1 teaspoon Red Chilli flakes,1 teaspoon Dried oregano</t>
  </si>
  <si>
    <t>1 taza de harina para todo uso (Maida), 1 taza de harina integral, 1 cucharada de levadura seca activa, 1/2 taza de agua tibia, 1 cucharadita de azúcar, 1 cucharadita de sal, 1 taza de queso mozzarella rallado, 1 taza de espinacas, 1/2 taza de tomates cherry cortados a lo largo por la mitad, 1/2 taza de cebollas caramelizadas, 4 huevos enteros, 1 cucharadita de hojuelas de chile rojo, 1 cucharadita de orégano seco</t>
  </si>
  <si>
    <t xml:space="preserve">To begin making the Egg And Spinach Breakfast Pizza recipe, get prepped up with all the ingredients first.Start by adding yeast and sugar in a bowl and pour lukewarm water to let it sit for 5-10 minutes until the yeast starts bubbling.In another bowl, add all-purpose flour, wheat flour, salt and mix with your fingers, dig a well in its center and pour in the yeast mixture. Mix well. Knead in the same bowl for about 5-10 minutes.Clean thoroughly counter surface, dust with flour, transfer the dough to the counter and start kneading. Knead until smooth, soft and shiny dough.Place the dough in the bowl used for kneading, and cover it with a damp cloth. Set it aside for 1 to 1.5 hours, for the dough to prove. After 1 to 1.5 hours dough would have risen and it would be double the initial size.Cut onions in slices and fry it in oil until it caramelizes. Remove from pan and keep aside.Chop spinach into small pieces and sauté it too for about a minute or two. Remove from pan and keep aside.Preheat oven at 180-degree centigrade. Once the dough is proven, knock down the down (punch it with your fist), this is done to release all the air that would have collected. Gently knead for another 2 minutes and pizza dough is ready to use.Make two equal portions of the dough. Take a portion and flatten the pizza base to the shape and size you wish. Using a fork prick holes on the base to allow it to bake uniform all over the dough.Apply olive oil on the baking tray. Place the flattened pizza crust on the baking tray.Sprinkle cheese, add spinach, and sprinkle caramelized onions, place cherry tomatoes, sprinkle red chili flakes, oregano. Finally, break eggs on the top.Bake in preheated oven for 30 to 35 minutes until fully cooked.Serve Egg and Spinach Breakfast Pizza Recipe along with a bowl of fruits and a Espresso Coffee.
</t>
  </si>
  <si>
    <t>Para empezar a preparar la receta de pizza de desayuno con huevo y espinacas, primero prepara todos los ingredientes. Empieza añadiendo la levadura y el azúcar en un bol y vierte agua tibia. Deja reposar de 5 a 10 minutos, hasta que la levadura empiece a burbujear. En otro bol, añade harina común, harina de trigo y sal. Mezcla con los dedos. Haz un hueco en el centro y vierte la mezcla de levadura. Mezcla bien. Amasa en el mismo bol durante unos 5 a 10 minutos. Limpia bien la encimera, espolvorea con harina, transfiere la masa a la encimera y empieza a amasar. Amasa hasta obtener una masa suave, lisa y brillante. Coloca la masa en el bol que usaste para amasar y cúbrela con un paño húmedo. Déjala reposar de 1 a 1,5 horas para que la masa leude. Después de 1 a 1,5 horas, la masa habrá levado y doblará su tamaño inicial. Corta la cebolla en rodajas y fríela en aceite hasta que se caramelice. Retire de la sartén y reserve. Corte las espinacas en trozos pequeños y saltéelas también durante aproximadamente un minuto o dos. Retire de la sartén y reserve. Precaliente el horno a 180 grados centígrados. Una vez que la masa esté lista, golpéela (golpéela con el puño), esto se hace para liberar todo el aire que se habría acumulado. Amase suavemente durante otros 2 minutos y la masa de pizza estará lista para usar. Haga dos porciones iguales de masa. Tome una porción y aplane la base de pizza con la forma y el tamaño que desee. Con un tenedor, haga agujeros en la base para permitir que se hornee de manera uniforme por toda la masa. Aplique aceite de oliva en la bandeja para hornear. Coloque la corteza de pizza aplanada en la bandeja para hornear. Espolvoree queso, agregue espinacas y espolvoree cebollas caramelizadas, coloque tomates cherry, espolvoree hojuelas de chile rojo, orégano. Finalmente, rompa los huevos por encima. Hornee en horno precalentado durante 30 a 35 minutos hasta que esté completamente cocido. Sirva la receta de pizza de desayuno con huevo y espinacas junto con un tazón de frutas y un café expreso.</t>
  </si>
  <si>
    <t>Pour préparer la pizza petit-déjeuner aux œufs et aux épinards, préparez tous les ingrédients. Commencez par ajouter la levure et le sucre dans un bol, puis versez de l'eau tiède et laissez reposer 5 à 10 minutes, jusqu'à ce que la levure commence à bouillonner. Dans un autre bol, ajoutez la farine tout usage, la farine de blé et le sel. Mélangez avec les doigts. Creusez un puits au centre et versez le mélange à base de levure. Bien mélanger. Pétrissez dans le même bol pendant 5 à 10 minutes. Nettoyez soigneusement le plan de travail, saupoudrez de farine, transférez la pâte sur le plan de travail et commencez à pétrir. Pétrissez jusqu'à obtenir une pâte lisse, souple et brillante. Placez la pâte dans le bol utilisé pour le pétrissage et couvrez-la d'un torchon humide. Laissez reposer 1 heure à 1 heure 30 pour que la pâte lève. Au bout de 1 heure à 1 heure 30, la pâte aura levé et aura doublé de volume. Coupez les oignons en rondelles et faites-les revenir dans l'huile jusqu'à ce qu'ils caramélisent. Retirer de la poêle et réserver. Couper les épinards en petits morceaux et les faire revenir également pendant environ une minute ou deux. Retirer de la poêle et réserver. Préchauffer le four à 180 degrés centigrades. Une fois la pâte levée, abattre le bas (le frapper avec votre poing), ceci est fait pour libérer tout l'air qui se serait accumulé. Pétrir doucement pendant encore 2 minutes et la pâte à pizza est prête à être utilisée. Faire deux portions égales de pâte. Prendre une portion et aplatir la base de la pizza à la forme et à la taille souhaitées. À l'aide d'une fourchette, piquer des trous sur la base pour permettre une cuisson uniforme sur toute la pâte. Appliquer de l'huile d'olive sur la plaque de cuisson. Placer la croûte de pizza aplatie sur la plaque de cuisson. Saupoudrer de fromage, ajouter les épinards et saupoudrer d'oignons caramélisés, placer les tomates cerises, saupoudrer de flocons de piment rouge, d'origan. Enfin, cassez les œufs sur le dessus. Faites cuire au four préchauffé pendant 30 à 35 minutes jusqu'à ce qu'ils soient complètement cuits. Servez la recette de pizza petit-déjeuner aux œufs et aux épinards avec un bol de fruits et un café expresso.</t>
  </si>
  <si>
    <t>http://www.archanaskitchen.com/egg-and-spinach-breakfast-pizza-recipe</t>
  </si>
  <si>
    <t>Quick and Easy Eggless Whole Wheat Chocolate Cupcake Recipe</t>
  </si>
  <si>
    <t>Schnelles und einfaches Rezept für Vollkorn-Schokoladen-Cupcakes ohne Eier</t>
  </si>
  <si>
    <t>Recette rapide et facile de cupcakes au chocolat complet sans œufs</t>
  </si>
  <si>
    <t>Receta fácil y rápida de cupcakes de chocolate integral sin huevo</t>
  </si>
  <si>
    <t>2 tasses de farine de blé entier, 1/4 tasse de poudre de cacao, 1/2 cuillère à café de bicarbonate de soude, 1/2 tasse d'huile de tournesol - ou d'huile de canola ou d'olive, 3/4 tasse de sucre en poudre, 1 cuillère à café d'extrait de vanille, 3/4 tasse de caillé (Dahi / Yaourt)</t>
  </si>
  <si>
    <t>2 cups Whole Wheat Flour,1/4 cup Cocoa Powder,1/2 teaspoon Baking soda,1/2 cup Sunflower Oil - or canola or olive oil,3/4 cup Caster Sugar,1 teaspoon Vanilla Extract,3/4 cup Curd (Dahi / Yogurt)</t>
  </si>
  <si>
    <t>2 tazas de harina integral, 1/4 taza de cacao en polvo, 1/2 cucharadita de bicarbonato de sodio, 1/2 taza de aceite de girasol (o aceite de canola o de oliva), 3/4 taza de azúcar extrafino, 1 cucharadita de extracto de vainilla, 3/4 taza de cuajada (Dahi / yogur)</t>
  </si>
  <si>
    <t xml:space="preserve">To begin making the Whole Wheat Chocolate Cupcake Recipe preheat the oven to 180 C and line the cupcake molds with liners and keep aside.Sift the flour, baking soda and cocoa powder and keep aside.Into a large mixing bowl, add the flour mixture, oil, yogurt/curd and vanilla extract. Beat well until fluffy and all the ingredients are well combined.If you don't have cupcake liners, grease and flour the cupcake cavities with oil or butter and dust it with flour. Spoon the Whole Wheat Chocolate Cupcake batter into the cupcake cavities.Place the tray in the preheated oven. Bake the Whole Wheat Chocolate Cupcake Recipe about 15 minutes or or until the cake is cooked when tested with a skewer comes out clean.Remove the Whole Wheat Chocolate Cupcake Recipe from the oven and serve.Serve the Quick and Easy Eggless Whole Wheat Chocolate Cupcake Recipe  as a snack for the family along with green tea, coffee or even plain hot milk.
</t>
  </si>
  <si>
    <t>Para empezar a preparar la Receta de Cupcakes de Chocolate con Trigo Integral, precalienta el horno a 180 °C y forra los moldes para cupcakes con capacillos y reserva. Tamiza la harina, el bicarbonato de sodio y el cacao en polvo y reserva. En un tazón grande, agrega la mezcla de harina, el aceite, el yogur/cuajada y el extracto de vainilla. Bate bien hasta que esté esponjoso y todos los ingredientes estén bien combinados. Si no tienes capacillos para cupcakes, engrasa y enharina las cavidades para cupcakes con aceite o mantequilla y espolvoréalas con harina. Vierte la masa de Cupcakes de Chocolate con Trigo Integral en las cavidades para cupcakes. Coloca la bandeja en el horno precalentado. Hornea la Receta de Cupcakes de Chocolate con Trigo Integral durante unos 15 minutos o hasta que el pastel esté cocido cuando, al probar con un palillo, este salga limpio. Retira la Receta de Cupcakes de Chocolate con Trigo Integral del horno y sirve. Sirve la Receta de Cupcakes de Chocolate con Trigo Integral Sin Huevo, Rápida y Fácil, como un refrigerio para la familia junto con té verde, café o incluso leche caliente sola.</t>
  </si>
  <si>
    <t>Pour commencer à préparer la recette de cupcakes au chocolat et au blé entier, préchauffez le four à 180 °C et chemisez les moules à cupcakes de caissettes et réservez. Tamisez la farine, le bicarbonate de soude et le cacao en poudre et réservez. Dans un grand saladier, ajoutez le mélange de farine, l'huile, le yaourt/caillé et l'extrait de vanille. Battez bien jusqu'à obtenir une consistance mousseuse et que tous les ingrédients soient bien mélangés. Si vous n'avez pas de caissettes à cupcakes, graissez et farinez les cavités des cupcakes avec de l'huile ou du beurre et saupoudrez-les de farine. Déposez la pâte à cupcakes au chocolat et au blé entier dans les cavités des cupcakes. Placez la plaque dans le four préchauffé. Faites cuire la recette de cupcakes au chocolat et au blé entier environ 15 minutes ou jusqu'à ce que le gâteau soit cuit lorsqu'il ressort propre avec une brochette. Retirez la recette de cupcakes au chocolat et au blé entier du four et servez. Servez la recette de cupcakes au chocolat et au blé entier sans œufs, rapide et facile, comme collation pour la famille, accompagnée de thé vert, de café ou même de lait chaud nature.</t>
  </si>
  <si>
    <t>https://www.archanaskitchen.com/quick-and-easy-chocolate-cupcake-recipe-with-eggless-option</t>
  </si>
  <si>
    <t>Broccoli &amp; Water Chestnut Soup Recipe</t>
  </si>
  <si>
    <t>Rezept für Brokkoli-Wasserkastaniensuppe</t>
  </si>
  <si>
    <t>Recette de soupe au brocoli et aux châtaignes d'eau</t>
  </si>
  <si>
    <t>Receta de sopa de brócoli y castañas de agua</t>
  </si>
  <si>
    <t>300 grammes de Singhade (châtaigne d'eau) - bouillie et pelée, 1 brocoli - tête, 3 gousses d'ail - hachées, 1 tasse de lait, 1 cuillère à café d'origan séché, 1 cuillère à café de romarin, 1 cuillère à café de poivre noir en poudre, sel - au goût, 2 cuillères à soupe de germes de soja - pour garnir</t>
  </si>
  <si>
    <t>300 grams Singhade (water chestnut) - boiled and peeled,1 Broccoli - head,3 cloves Garlic - chopped,1 cup Milk,1 teaspoon Dried oregano,1 teaspoon Rosemary,1 teaspoon Black pepper powder,Salt - to taste,2 tablespoon Bean Sprouts - to garnish</t>
  </si>
  <si>
    <t>300 gramos de Singhade (castaña de agua) - hervida y pelada, 1 brócoli - cabeza, 3 dientes de ajo - picados, 1 taza de leche, 1 cucharadita de orégano seco, 1 cucharadita de romero, 1 cucharadita de pimienta negra en polvo, sal - al gusto, 2 cucharadas de brotes de soja - para decorar</t>
  </si>
  <si>
    <t xml:space="preserve">To begin making the Broccoli &amp; Water Chestnut Soup Recipe, we will pressure cook the water chestnuts with water for at least 8 whistle and allow it to rest for few seconds until pressure releases naturally.Once done take the water chestnuts out and peel off the black skin and keep the seeds aside. Chop them into half.Pressure cook the broccoli with little water separately for 1 whistle and set aside.Blitz the broccoli and water chest nut into a blender along with ½ cup milk to a smooth paste.Transfer the blended paste to a saucepan, add a little more milk to adjust the consistency, season well with salt and dried herbs and bring it to a boil.Before serving sprinkle some pepper powder and add beans sprouts and serve.Serve the Broccoli &amp; Water Chestnut Soup Recipe along with garlic bread or Crispy Eggless Pinwheels Bread to enjoy your meal.
</t>
  </si>
  <si>
    <t>Para empezar a preparar la receta de sopa de brócoli y castañas de agua, cocinaremos a presión las castañas de agua con agua durante al menos 8 silbidos y las dejaremos reposar unos segundos hasta que la presión se libere naturalmente. Una vez hecho esto, saca las castañas de agua, pélalas y reserva las semillas. Córtalas por la mitad. Cocina a presión el brócoli con un poco de agua por separado durante 1 silbido y reserva. Licúa el brócoli y las castañas de agua en una licuadora junto con ½ taza de leche hasta obtener una pasta suave. Transfiere la pasta licuada a una cacerola, agrega un poco más de leche para ajustar la consistencia, sazona bien con sal y hierbas secas y llévala a ebullición. Antes de servir, espolvorea un poco de pimienta en polvo y agrega brotes de soja y sirve. Sirve la receta de sopa de brócoli y castañas de agua junto con pan de ajo o pan crujiente sin huevo para disfrutar de tu comida.</t>
  </si>
  <si>
    <t>Pour commencer à préparer la recette de soupe au brocoli et aux châtaignes d'eau, nous allons cuire les châtaignes d'eau sous pression avec de l'eau pendant au moins 8 sifflements et laisser reposer quelques secondes jusqu'à ce que la pression se relâche naturellement. Une fois terminé, retirez les châtaignes d'eau, pelez la peau noire et gardez les graines de côté. Coupez-les en deux. Faites cuire le brocoli sous pression avec un peu d'eau séparément pendant 1 sifflement et réservez. Mixez le brocoli et les châtaignes d'eau dans un mixeur avec 120 ml de lait jusqu'à obtenir une pâte lisse. Transférez la pâte mixée dans une casserole, ajoutez un peu de lait pour ajuster la consistance, assaisonnez bien avec du sel et des herbes séchées et portez à ébullition. Avant de servir, saupoudrez de poivre en poudre, ajoutez des germes de soja et servez. Servez la recette de soupe au brocoli et aux châtaignes d'eau avec du pain à l'ail ou du pain croustillant aux roulés sans œufs pour savourer votre repas.</t>
  </si>
  <si>
    <t>http://www.archanaskitchen.com/broccoli-water-chestnut-soup-recipe</t>
  </si>
  <si>
    <t>Eggless Oats Cranberry Almond Cookies Recipe</t>
  </si>
  <si>
    <t>Rezept für Cranberry-Mandel-Kekse ohne Ei aus Hafer</t>
  </si>
  <si>
    <t>Recette de biscuits aux canneberges et aux amandes sans œufs à base d'avoine</t>
  </si>
  <si>
    <t>Receta de galletas de almendras y arándanos sin huevo hechas con avena</t>
  </si>
  <si>
    <t>3/4 tasse de sucre glace, 75 grammes de beurre - coupé en dés et froid, 1 cuillère à café d'extrait de vanille - ou d'essence d'amande, 1 tasse de farine de blé entier, 1 tasse de farine d'avoine - grillée, 1/4 cuillère à café de sel, 1/4 tasse de canneberges - séchées, 1/4 tasse de badam (amande) - légèrement grillées et hachées grossièrement</t>
  </si>
  <si>
    <t>3/4 cup Icing Sugar,75 grams Butter - cubed and cold,1 teaspoon Vanilla Extract - or Almond Essence,1 cup Whole Wheat Flour,1 cup Oats Flour - toasted,1/4 teaspoon Salt,1/4 cup Cranberries - dried,1/4 cup Badam (Almond) - light toasted and coarsely chopped</t>
  </si>
  <si>
    <t>3/4 taza de azúcar glas, 75 gramos de mantequilla cortada en cubos y fría, 1 cucharadita de extracto de vainilla o esencia de almendras, 1 taza de harina integral, 1 taza de harina de avena tostada, 1/4 cucharadita de sal, 1/4 taza de arándanos secos, 1/4 taza de almendras tostadas y picadas gruesas</t>
  </si>
  <si>
    <t xml:space="preserve">To begin making Eggless Oats Cranberry Almond Cookie Recipe, preheat your oven at 180 deg for 20 minutes. Line a baking tray with parchment paper and keep aside. In a bowl, cream together icing sugar and cold cubed butter until the sugar and butter are well combined with a wooden spatula. Next add in the vanilla essence to the sugar and butter mixture. Mix well and keep asideIn another bowl, sieve the whole wheat flour, toasted oats , cranberries and almonds along with a pinch of salt. Knead this mixture like a dough and add a tablespoon of milk if necessary to bind it together. Mix the ingredients well until you get a tough dough like texture. Make small balls out the cookie dough and place it on the baking tray. Make sure the Eggless Oats Cranberry Almond Cookie dough are not rolled too tight, else it might not bake evenly. Initially bake the Eggless Oats Cranberry Almond Cookie for 15 minutes at 180 degrees. After 15 minutes, increase the temperature to 200 degrees and bake for an additional 5 minutes until the cookie has a golden crust.Remove the Eggless Oats Cranberry Almond Cookie from the oven and allow the cookie to cool on a wire rack. Once cooled, store the Eggless Oats Cranberry Almond Cookie in air tight containers.Serve these delicious Oats Cranberry Almond Cookies as an evening snack along with a cup of Punjabi Style Espresso Coffee or Golden Detox Tea. You can also pack these cookies as a delicious snacks in your kids snack boxes.
</t>
  </si>
  <si>
    <t>Para comenzar a hacer la Receta de Galletas de Avena, Arándanos y Almendras sin Huevo, precalienta tu horno a 180 grados durante 20 minutos. Cubre una bandeja para hornear con papel pergamino y reserva. En un tazón, bate el azúcar glas y la mantequilla fría en cubos hasta que el azúcar y la mantequilla estén bien combinados con una espátula de madera. Luego agrega la esencia de vainilla a la mezcla de azúcar y mantequilla. Mezcla bien y reserva. En otro tazón, tamiza la harina integral, la avena tostada, los arándanos y las almendras junto con una pizca de sal. Amasa esta mezcla como una masa y agrega una cucharada de leche si es necesario para unirla. Mezcla bien los ingredientes hasta obtener una textura similar a una masa dura. Haz pequeñas bolas con la masa de galletas y colócalas en la bandeja para hornear. Asegúrate de que la masa de Galletas de Avena, Arándanos y Almendras sin Huevo no esté demasiado apretada, de lo contrario, es posible que no se hornee de manera uniforme. Hornee inicialmente la galleta de avena, arándanos y almendras sin huevo durante 15 minutos a 180 grados. Después de 15 minutos, aumente la temperatura a 200 grados y hornee durante 5 minutos más hasta que la galleta tenga una corteza dorada. Retire la galleta de avena, arándanos y almendras sin huevo del horno y deje que se enfríe sobre una rejilla de alambre. Una vez enfriada, guarde la galleta de avena, arándanos y almendras sin huevo en recipientes herméticos. Sirva estas deliciosas galletas de avena, arándanos y almendras como una merienda junto con una taza de café expreso estilo punjabi o té Golden Detox. También puede empacar estas galletas como un delicioso refrigerio en las cajas de refrigerios de sus hijos.</t>
  </si>
  <si>
    <t>Pour commencer à préparer la recette de biscuits aux amandes et aux canneberges sans œufs, préchauffez votre four à 180 degrés pendant 20 minutes. Tapissez une plaque de cuisson de papier sulfurisé et réservez. Dans un bol, crémez le sucre glace et le beurre froid en dés jusqu'à ce que le sucre et le beurre soient bien mélangés à l'aide d'une spatule en bois. Ajoutez ensuite l'essence de vanille au mélange de sucre et de beurre. Bien mélanger et réserver. Dans un autre bol, tamisez la farine de blé entier, les flocons d'avoine grillés, les canneberges et les amandes avec une pincée de sel. Pétrissez ce mélange comme une pâte et ajoutez une cuillère à soupe de lait si nécessaire pour le lier. Mélangez bien les ingrédients jusqu'à obtenir une texture de pâte dure. Faites de petites boules de pâte à biscuits et placez-les sur la plaque de cuisson. Assurez-vous que la pâte à biscuits aux amandes et aux canneberges sans œufs ne soit pas trop serrée, sinon elle risque de ne pas cuire uniformément. Faites d'abord cuire le biscuit aux amandes et aux canneberges sans œufs pendant 15 minutes à 180 degrés. Après 15 minutes, augmentez la température à 200 degrés et laissez cuire 5 minutes supplémentaires jusqu'à ce que le biscuit soit doré. Retirez le biscuit à l'avoine sans œufs, aux canneberges et aux amandes du four et laissez-le refroidir sur une grille. Une fois refroidi, conservez-le dans des contenants hermétiques. Servez ces délicieux biscuits à l'avoine, aux canneberges et aux amandes en guise de collation du soir, accompagnés d'une tasse de café expresso punjabi ou de thé détox doré. Vous pouvez également emballer ces biscuits comme délicieuses collations dans les boîtes à goûter de vos enfants.</t>
  </si>
  <si>
    <t>http://www.archanaskitchen.com/eggless-oats-cranberry-almond-cookies-recipe</t>
  </si>
  <si>
    <t>Arugula &amp; Fig Salad Recipe</t>
  </si>
  <si>
    <t>Rezept für Rucola-Feigen-Salat</t>
  </si>
  <si>
    <t>Recette de salade de roquette et de figues</t>
  </si>
  <si>
    <t>Receta de ensalada de rúcula e higos</t>
  </si>
  <si>
    <t>2 tasses de feuilles de roquette - racines enlevées et lavées, 10 figues fraîches - coupées en quartiers, 1 tasse de haricots verts (haricots verts) - coupés en morceaux de 2 pouces dans le sens de la longueur, 2 cuillères à soupe de vinaigrette au vin rouge, 2 cuillères à soupe de graines de tournesol, 1/2 tasse de jus de citron, 1 cuillère à soupe d'huile d'olive extra vierge, 1 cuillère à soupe de miel, 2 cuillères à soupe de Tabasco Original - Sauce piquante, Sel - au goût, Poudre de poivre noir - pour l'assaisonnement</t>
  </si>
  <si>
    <t>2 cups Arugula leaves - roots removed and washed,10 Fresh Figs - quatered,1 cup Green beans (French Beans) - cut into 2 inch lengthwise,2 tablespoon Red Wine Vinaigrette,2 tablespoon Sunflower seeds,1/2 cup Lemon juice,1 tablespoon Extra Virgin Olive Oil,1 tablespoon Honey,2 tablespoon Tabasco Original - Hot Sauce,Salt - to taste,Black pepper powder - for seasoning</t>
  </si>
  <si>
    <t>2 tazas de hojas de rúcula (raíces removidas y lavadas), 10 higos frescos (en cuartos), 1 taza de judías verdes (judías verdes) cortadas en rodajas de 2 pulgadas a lo largo, 2 cucharadas de vinagreta de vino tinto, 2 cucharadas de semillas de girasol, 1/2 taza de jugo de limón, 1 cucharada de aceite de oliva virgen extra, 1 cucharada de miel, 2 cucharadas de salsa picante Tabasco Original, sal (al gusto), pimienta negra en polvo (para condimentar)</t>
  </si>
  <si>
    <t xml:space="preserve">We begin making the Arugula &amp; Fig Salad Recipe by washing the arugula leaves well with water and drain all the water and keep it aside.Next heat a small skillet, add the figs and let it sizzle for few minutes and a tablespoon of red wine vinaigrette and toss it over. Cook for 2 more minutes and set aside. Do the same thing for green beans as well.Then to make the dressing squeeze in the lemon juice and whisk in all the other ingredients till it it emulsifies.Drizzle half of it on the arugula leaves and toss over, check for seasonings. Drizzle the remaining over the green beans and figs.To serve carefully place the tossed arugula leaves on a serving plate and drop in the figs and green beans and sprinkle few sunflower seeds as well. Serve the Arugula &amp; Fig Salad Recipe as a healthy appetizer during any party occasion.
</t>
  </si>
  <si>
    <t>Comenzamos haciendo la Receta de Ensalada de Rúcula e Higos lavando bien las hojas de rúcula con agua, escurriendo toda el agua y reservando. Luego, calentamos una sartén pequeña, agregamos los higos y dejamos que se cocinen durante unos minutos, junto con una cucharada de vinagreta de vino tinto y lo mezclamos. Cocinamos durante 2 minutos más y reservamos. Hacemos lo mismo con las judías verdes. Luego, para hacer el aderezo, exprimimos el jugo de limón y batimos con todos los demás ingredientes hasta que emulsione. Rociamos la mitad sobre las hojas de rúcula y mezclamos, comprobando los condimentos. Rociamos el resto sobre las judías verdes y los higos. Para servir, colocamos con cuidado las hojas de rúcula mezcladas en un plato, echamos los higos y las judías verdes y espolvoreamos también algunas semillas de girasol. Sirve la Receta de Ensalada de Rúcula e Higos como un aperitivo saludable en cualquier fiesta.</t>
  </si>
  <si>
    <t>Pour préparer la salade de roquette et de figues, lavez soigneusement les feuilles de roquette à l'eau, égouttez-les et réservez-les. Faites chauffer une petite poêle, ajoutez les figues et laissez mijoter quelques minutes. Ajoutez une cuillère à soupe de vinaigrette au vin rouge et mélangez. Laissez cuire encore 2 minutes et réservez. Faites de même pour les haricots verts. Pour la vinaigrette, pressez le jus de citron et fouettez tous les autres ingrédients jusqu'à émulsion. Versez-en la moitié sur les feuilles de roquette et mélangez. Vérifiez l'assaisonnement. Versez le reste sur les haricots verts et les figues. Pour servir, disposez délicatement les feuilles de roquette mélangées sur une assiette de service, ajoutez les figues et les haricots verts et parsemez de quelques graines de tournesol. Servez la salade de roquette et de figues comme un apéritif sain pour toute occasion festive.</t>
  </si>
  <si>
    <t>https://www.archanaskitchen.com/arugula-fig-salad-recipe</t>
  </si>
  <si>
    <t>French Toast BLT Bagel Sandwich Recipe</t>
  </si>
  <si>
    <t>French Toast BLT Bagel Sandwich Rezept</t>
  </si>
  <si>
    <t>Recette de sandwich bagel BLT au pain doré</t>
  </si>
  <si>
    <t>Receta de sándwich de bagel BLT con tostadas francesas</t>
  </si>
  <si>
    <t>1 bagel coupé en deux, 1 œuf entier, 4 cuillères à soupe de lait, sel au goût, 3 tranches de bacon, 1 tomate coupée en tranches, 2 feuilles de roquette hachées, 2 cuillères à soupe de fromage, 1 cuillère à café d'huile d'olive extra vierge pour arroser, 1 cuillère à café d'origan séché, sel et poivre pour l'assaisonnement</t>
  </si>
  <si>
    <t>1 Bagel - cut into half,1 Whole Egg,4 tablespoons Milk,Salt - to taste,3 Bacon strips,1 Tomato - sliced,2 Arugula leaves - chopped,2 tablespoons Cheese,1 teaspoon Extra Virgin Olive Oil - for drizzling,1 teaspoon Dried oregano,Salt and Pepper - for seasoning</t>
  </si>
  <si>
    <t>1 bagel cortado por la mitad, 1 huevo entero, 4 cucharadas de leche, sal al gusto, 3 tiras de tocino, 1 tomate en rodajas, 2 hojas de rúcula picadas, 2 cucharadas de queso, 1 cucharadita de aceite de oliva virgen extra para rociar, 1 cucharadita de orégano seco, sal y pimienta para condimentar.</t>
  </si>
  <si>
    <t xml:space="preserve">To begin making the French Toast BLT Bagel Sandwich Recipe, pre heat the oven to 180 degree Celsius for about 10 minutes.Keep the bacon strips over a baking tray and place it in the oven. Bake till the bacon crisp up this will take about 15 minutes.Meanwhile, add egg, milk and pinch of salt in a bowl and whip it up till it combines. Cut the bread into half.Heat a sauce pan with little oil, once hot, dunk the bread in the egg mixture on either side till the bread soaks in all the mixture. Slowly add it on to the hot pan.Toast the bread till it is light brown on either side by flipping it over. Do the same thing for the other slice as well.Sprinkle cheese on top and bake the bread also in the oven till the cheese melts.Take the bread and bacon out.  Take the bread out and place sliced tomatoes over the bread, then the bacon striped, sprinkle with chopped arugula, dried oregano and serve by covering it over with another toasted slice.Serve the French Toast BLT Bagel Sandwich Recipe along with a glass of Plum Ginger Juice Recipe, Grilled Winter Vegetable Salad Recipe by the side to enjoy your morning breakfast.
</t>
  </si>
  <si>
    <t>Para comenzar a hacer la Receta de Sándwich de Bagel BLT con Tostada Francesa, precaliente el horno a 180 grados Celsius durante unos 10 minutos. Mantenga las tiras de tocino sobre una bandeja para hornear y colóquela en el horno. Hornee hasta que el tocino esté crujiente, esto tomará unos 15 minutos. Mientras tanto, agregue el huevo, la leche y una pizca de sal en un tazón y bata hasta que se combine. Corte el pan por la mitad. Caliente una cacerola con un poco de aceite, una vez caliente, sumerja el pan en la mezcla de huevo por cada lado hasta que el pan absorba toda la mezcla. Agréguelo lentamente a la sartén caliente. Tueste el pan hasta que esté ligeramente dorado por ambos lados dándole la vuelta. Haga lo mismo con la otra rebanada también. Espolvoree queso por encima y hornee el pan también en el horno hasta que el queso se derrita. Saque el pan y el tocino. Saque el pan y coloque encima rodajas de tomate, luego el tocino en tiras, espolvoree con rúcula picada, orégano seco y sirva cubriéndolo con otra rebanada tostada. Sirva la receta de sándwich de bagel BLT con tostadas francesas junto con un vaso de jugo de ciruela y jengibre o una ensalada de verduras de invierno a la parrilla al lado para disfrutar de su desayuno matutino.</t>
  </si>
  <si>
    <t>Pour commencer à préparer la recette du sandwich bagel BLT au pain perdu, préchauffez le four à 180 degrés Celsius pendant environ 10 minutes. Gardez les tranches de bacon sur une plaque de cuisson et placez-la au four. Faites cuire jusqu'à ce que le bacon soit croustillant, cela prendra environ 15 minutes. Pendant ce temps, ajoutez l'œuf, le lait et une pincée de sel dans un bol et fouettez jusqu'à ce que le tout soit combiné. Coupez le pain en deux. Faites chauffer une casserole avec un peu d'huile, une fois chaude, trempez le pain dans le mélange d'œufs de chaque côté jusqu'à ce que le pain soit imprégné de tout le mélange. Ajoutez-le lentement sur la poêle chaude. Faites griller le pain jusqu'à ce qu'il soit légèrement doré de chaque côté en le retournant. Faites de même pour l'autre tranche. Saupoudrez de fromage sur le dessus et faites cuire le pain également au four jusqu'à ce que le fromage fonde. Retirez le pain et le bacon. Retirez le pain et placez les tranches de tomates sur le pain, puis le bacon en tranches, saupoudrez de roquette hachée, d'origan séché et servez en recouvrant d'une autre tranche grillée. Servez la recette de sandwich bagel BLT au pain perdu avec un verre de jus de prune et de gingembre, une recette de salade de légumes d'hiver grillés à côté pour savourer votre petit-déjeuner du matin.</t>
  </si>
  <si>
    <t>http://www.archanaskitchen.com/french-toast-blt-bagel-sandwich-recipe</t>
  </si>
  <si>
    <t>Parmesan Cheese Biscuits Recipe</t>
  </si>
  <si>
    <t>Rezept für Parmesan-Käse-Kekse</t>
  </si>
  <si>
    <t>Recette de biscuits au parmesan</t>
  </si>
  <si>
    <t>Receta de galletas de parmesano</t>
  </si>
  <si>
    <t>150 grammes de farine tout usage (Maida), 150 grammes de parmesan râpé, 150 grammes de beurre (non salé) coupé en dés, 1 cuillère à café de flocons de piment rouge (ajuster)</t>
  </si>
  <si>
    <t>150 grams All Purpose Flour (Maida),150 grams Parmesan cheese - grated,150 grams Butter (unsalted) - cut in cubes,1 teaspoons Red Chilli flakes - (adjust)</t>
  </si>
  <si>
    <t>150 gramos de harina para todo uso (Maida), 150 gramos de queso parmesano rallado, 150 gramos de mantequilla (sin sal) cortada en cubos, 1 cucharadita de hojuelas de chile rojo (ajustar)</t>
  </si>
  <si>
    <t xml:space="preserve">To begin making the Parmesan Cheese Biscuits recipe, in a bowl add the flour and butter (you can do this step using a food processor or by hand like I did). Rub the cold butter into the flour till it resembles bread crumbs, if small pieces of butter remain, that’s ok.Add cheese and chilli flakes to the flour and butter and mix till it comes together into a ball.Roll the dough into a log shape (make two logs so it’s easier to roll), wrap in cling film and chill in the refrigerator for an hour or until firm.Preheat oven to 180C. Cut the dough log in to rounds of 1/3rd inch thickness and place on a baking sheet leaving an inch between each biscuit.Put the baking tray in the freezer for 10 minutes. Place in the oven straight from the freezer and bake for 12-15 minutes or until golden.Serve Parmesan Cheese Biscuits along with Hot Masala Tea as your tea time snack.
</t>
  </si>
  <si>
    <t>Para empezar a hacer la receta de Galletas de Queso Parmesano, en un bol añade la harina y la mantequilla (puedes hacer este paso con un procesador de alimentos o a mano, como hice yo). Frota la mantequilla fría con la harina hasta que parezca pan rallado; si quedan pequeños trozos de mantequilla, no hay problema. Añade el queso y las hojuelas de chile a la harina y la mantequilla y mezcla hasta formar una bola. Estira la masa en forma de cilindro (haz dos cilindros para que sea más fácil de estirar), envuélvela en film transparente y refrigera durante una hora o hasta que esté firme. Precalienta el horno a 180 °C. Corta el cilindro de masa en círculos de 0,6 cm de grosor y colócalos en una bandeja para hornear dejando 2,5 cm entre cada galleta. Mete la bandeja para hornear en el congelador durante 10 minutos. Colócala en el horno directamente del congelador y hornea durante 12-15 minutos o hasta que estén doradas. Sirve las Galletas de Queso Parmesano junto con Té Masala Caliente como aperitivo para la hora del té.</t>
  </si>
  <si>
    <t>Pour commencer la recette des biscuits au parmesan, ajoutez la farine et le beurre dans un bol (vous pouvez réaliser cette étape au robot culinaire ou à la main, comme je l'ai fait). Frottez le beurre froid dans la farine jusqu'à obtenir une consistance de chapelure. S'il reste des petits morceaux de beurre, ce n'est pas grave. Ajoutez le fromage et les flocons de piment à la farine et au beurre et mélangez jusqu'à obtenir une boule. Roulez la pâte en forme de bûche (faites-en deux pour faciliter l'étalage), enveloppez-la de film alimentaire et placez-la au réfrigérateur pendant une heure ou jusqu'à ce qu'elle soit ferme. Préchauffez le four à 180 °C. Coupez la bûche de pâte en rondelles de 0,6 cm d'épaisseur et placez-les sur une plaque de cuisson en laissant 2,5 cm entre chaque biscuit. Placez la plaque de cuisson au congélateur pendant 10 minutes. Enfournez directement à la sortie du congélateur et faites cuire pendant 12 à 15 minutes ou jusqu'à ce qu'elles soient dorées. Servez les biscuits au parmesan accompagnés de thé masala chaud pour le goûter.</t>
  </si>
  <si>
    <t>http://www.archanaskitchen.com/parmesan-cheese-biscuits-recipe</t>
  </si>
  <si>
    <t>Eggless Beetroot Brownie Recipe Made With Amaranth Flour</t>
  </si>
  <si>
    <t>Rezept für Rote-Bete-Brownies ohne Ei mit Amaranthmehl</t>
  </si>
  <si>
    <t>Recette de brownies à la betterave sans œufs et à la farine d'amarante</t>
  </si>
  <si>
    <t>Receta de brownies de remolacha sin huevo con harina de amaranto</t>
  </si>
  <si>
    <t>1/2 tasse de purée de betteraves cuites à la vapeur et réduites en purée, 1/2 tasse de pépites de chocolat mi-sucrées, 1/2 tasse de cassonade (sucre Demerara) (ajuster), 1/4 tasse de cacao en poudre, 2 cuillères à soupe de beurre ramolli, 1 cuillère à café d'extrait de vanille, 1/4 tasse de bananes mûres écrasées, 3/4 tasse de farine Rajgira (farine d'amarante), 3/4 cuillère à café de levure chimique, 1/2 tasse de noix hachées, 1/4 cuillère à café de sel</t>
  </si>
  <si>
    <t>1/2 cup Beetroot Puree - steamed and pureed,1/2 cup Chocolate chips - semisweet,1/2 cup Brown Sugar (Demerara Sugar) - (adjust),1/4 cup Cocoa Powder,2 tablespoons Butter - softened,1 teaspoon Vanilla Extract,1/4 cup Ripe Bananas - mashed,3/4 cup Rajgira Flour (Amaranth Flour),3/4 teaspoon Baking powder,1/2 cup Walnuts - chopped,1/4 teaspoon Salt</t>
  </si>
  <si>
    <t>1/2 taza de puré de remolacha al vapor y en puré, 1/2 taza de chispas de chocolate semidulce, 1/2 taza de azúcar morena (azúcar Demerara) (ajustar), 1/4 taza de cacao en polvo, 2 cucharadas de mantequilla ablandada, 1 cucharadita de extracto de vainilla, 1/4 taza de plátanos maduros machacados, 3/4 taza de harina Rajgira (harina de amaranto), 3/4 cucharadita de polvo para hornear, 1/2 taza de nueces picadas, 1/4 cucharadita de sal</t>
  </si>
  <si>
    <t xml:space="preserve">To begin making the Eggless Beetroot Brownie Recipe Made With Amaranth Flour, first get all the ingredients prepped and ready.Steam the beetroots using the steamer or a pressure cooker until very soft and cooked. Once cooked, cool the beetroot and puree the beetroot. Keep aside.Preheat the oven to 180C/ 350F. Line a 8 inch square pan with parchment paper or if using an aluminum foil, grease it with cooking spray. The size of parchment paper or the aluminum foil should be big enough that later on, you can hold along the sides and take it out from the hot pan easily, carrying out the baked brownie for cooling.Melt the chocolate in a double boiler or in the microwave oven, in a medium size bowl. Heat on high for 1 minute and then mix it using a spoon. Take care not to burn the chocolate. Stir it well, it should be smooth.In the same bowl, combine the beet puree, sugar, cocoa powder, unsalted butter, vanilla extract and mashed bananas and whisk it well. I usually beat in a mixer at a low pulse for a minute or so till the mixture is smooth and creamy.In a mixing bowl, sieve the amaranth flour along with baking powder. Add the smooth and creamy beetroot mixture. Add the chopped walnuts and salt. Stir and mix the beetroot brownie batter well with a spatula but do not overbeat.Pour the beetroot brownie batter into the prepared pan and bake for 35-40 minutes. When done, the edges of the beetroot brownies will be visibly baked through and the center will be set (that is, not wiggly) when you shake the pan.Try to look for the first sign of cracking on the brownie’s top which should be shiny and set which means that the brownies are cooked and then pull them out.Cool the beetroot brownies with amaranth flour completely in the pan on a wire . After the brownies are completely cooled, after an hour, cut them into neat squares.Serve the Eggless Beetroot Brownie along with a plate of Baked Potato &amp; Peas Samosa with Phyllo Pastry and a hot cup of Masala Chai.
</t>
  </si>
  <si>
    <t>Para comenzar a hacer la Receta de Brownie de Remolacha Sin Huevo Hecho con Harina de Amaranto, primero tenga todos los ingredientes preparados y listos. Cocine al vapor las remolachas usando la vaporera o una olla a presión hasta que estén muy suaves y cocidas. Una vez cocidas, enfríe las remolachas y haga puré con ellas. Reserve. Precaliente el horno a 180 °C / 350 °F. Cubra un molde cuadrado de 8 pulgadas con papel pergamino o si usa papel aluminio, engráselo con aceite en aerosol. El tamaño del papel pergamino o el papel aluminio debe ser lo suficientemente grande como para que luego pueda sujetarlo por los lados y sacarlo del molde caliente fácilmente, llevando el brownie horneado a enfriar. Derrita el chocolate a baño maría o en el horno microondas, en un tazón mediano. Caliente a alta potencia durante 1 minuto y luego mézclelo con una cuchara. Tenga cuidado de no quemar el chocolate. Remueve bien hasta que quede una mezcla suave. En el mismo bol, mezcla el puré de remolacha, el azúcar, el cacao en polvo, la mantequilla sin sal, el extracto de vainilla y el plátano machacado y bate bien. Normalmente, bato en la batidora a pulso bajo durante aproximadamente un minuto hasta que la mezcla esté suave y cremosa. En un bol, tamiza la harina de amaranto junto con la levadura en polvo. Agrega la mezcla suave y cremosa de remolacha. Agrega las nueces picadas y la sal. Remueve y mezcla bien la masa de brownie de remolacha con una espátula, pero sin batir demasiado. Vierte la masa de brownie de remolacha en el molde preparado y hornea durante 35-40 minutos. Cuando estén listos, los bordes de los brownies de remolacha estarán visiblemente horneados y el centro estará firme (es decir, no se moverá) al agitar el molde. Intente buscar la primera señal de grietas en la superficie del brownie, que debe ser brillante y firme, lo que significa que los brownies están cocidos, y luego sáquelos. Enfríe completamente los brownies de remolacha con harina de amaranto en el molde sobre una rejilla. Después de que los brownies se hayan enfriado por completo, después de una hora, córtelos en cuadrados limpios. Sirva el brownie de remolacha sin huevo junto con un plato de samosa de papa y guisantes al horno con pasta filo y una taza caliente de Masala Chai.</t>
  </si>
  <si>
    <t>Pour commencer à préparer la recette de brownie à la betterave sans œufs à base de farine d'amarante, préparez d'abord tous les ingrédients. Faites cuire les betteraves à la vapeur à l'aide d'un cuiseur vapeur ou d'un autocuiseur jusqu'à ce qu'elles soient très tendres et cuites. Une fois cuites, laissez refroidir les betteraves et réduisez-les en purée. Réservez. Préchauffez le four à 180 °C / 350 °F. Tapissez un moule carré de 8 pouces de papier sulfurisé ou, si vous utilisez du papier d'aluminium, graissez-le avec un enduit à cuisson. La taille du papier sulfurisé ou du papier d'aluminium doit être suffisamment grande pour que vous puissiez plus tard le tenir par les côtés et le retirer facilement de la poêle chaude, en transportant le brownie cuit pour le refroidir. Faites fondre le chocolat au bain-marie ou au four à micro-ondes, dans un bol de taille moyenne. Chauffez à puissance maximale pendant 1 minute, puis mélangez à l'aide d'une cuillère. Veillez à ne pas brûler le chocolat. Bien mélanger, le mélange doit être lisse. Dans le même bol, mélanger la purée de betterave, le sucre, le cacao en poudre, le beurre doux, l'extrait de vanille et les bananes écrasées, puis bien fouetter. Je mixe généralement au batteur à faible vitesse pendant environ une minute jusqu'à obtenir un mélange lisse et crémeux. Dans un saladier, tamiser la farine d'amarante et la levure chimique. Ajouter le mélange de betteraves lisse et crémeux. Ajouter les noix hachées et le sel. Bien mélanger la pâte à brownie à la betterave avec une spatule, sans trop la battre. Verser la pâte à brownie dans le moule préparé et enfourner pour 35 à 40 minutes. Une fois cuits, les bords des brownies à la betterave seront visiblement cuits et le centre sera pris (c'est-à-dire non ondulé) lorsque vous secouerez le moule. Essayez de repérer les premiers signes de fissures sur le dessus du brownie, qui doit être brillant et pris, ce qui signifie que les brownies sont cuits, puis retirez-les. Laissez refroidir complètement les brownies à la betterave avec la farine d'amarante dans le moule sur une grille. Une fois les brownies complètement refroidis, après une heure, coupez-les en carrés bien nets. Servez le brownie à la betterave sans œufs avec une assiette de samosas de pommes de terre et de petits pois au four avec de la pâte phyllo et une tasse chaude de masala chai.</t>
  </si>
  <si>
    <t>https://www.archanaskitchen.com/eggless-beetroot-brownie-recipe-gluten-free</t>
  </si>
  <si>
    <t>Coconut Thumbprint Cookies With Pineapple And Apricot Preserve Recipe</t>
  </si>
  <si>
    <t>Rezept für Kokos-Daumenabdruck-Kekse mit Ananas-Aprikosen-Konfitüre</t>
  </si>
  <si>
    <t>Recette de biscuits à la noix de coco avec confiture d'ananas et d'abricot</t>
  </si>
  <si>
    <t>Receta de galletas de coco con mermelada de piña y albaricoque</t>
  </si>
  <si>
    <t>1 ananas, 1 tasse de sucre, 1 tasse d'eau, 1 cuillère à café de jus de citron, 1 tasse d'abricots séchés, 3/4 tasse de sucre, 1 tasse d'eau, 1 cuillère à café de jus de citron, 1 tasse de farine tout usage (Maida), 100 grammes de beurre ramolli, 1/2 tasse de sucre en poudre, 1/4 cuillère à café de sel, 1/2 cuillère à café de levure chimique, 1/2 cuillère à café d'extrait de vanille, 1 tasse de noix de coco fraîche râpée</t>
  </si>
  <si>
    <t>1 Pineapple,1 cup Sugar,1 cup Water,1 teaspoon Lemon juice,1 cup Apricots - dried,3/4 cup Sugar,1 cup Water,1 teaspoon Lemon juice,1 cup All Purpose Flour (Maida),100 grams Butter - softened,1/2 cup Caster Sugar,1/4 teaspoon Salt,1/2 teaspoon Baking powder,1/2 teaspoon Vanilla Extract,1 cup Fresh coconut - grated</t>
  </si>
  <si>
    <t>1 piña, 1 taza de azúcar, 1 taza de agua, 1 cucharadita de jugo de limón, 1 taza de albaricoques secos, 3/4 taza de azúcar, 1 taza de agua, 1 cucharadita de jugo de limón, 1 taza de harina para todo uso (Maida), 100 gramos de mantequilla ablandada, 1/2 taza de azúcar extrafino, 1/4 cucharadita de sal, 1/2 cucharadita de polvo para hornear, 1/2 cucharadita de extracto de vainilla, 1 taza de coco fresco rallado</t>
  </si>
  <si>
    <t xml:space="preserve">To begin making the Coconut Thumbprint Cookies With Pineapple And Apricot Preserve recipe, we will start with Pineapple preserve.For pineapple preserve – Peel the skin on the pineapple. Grate the flesh into a bowl. Add grated pineapple along with it’s juice and water into a sauce pan and bring it to boil. Continue to cook until pineapple is fully cooked. Will take about 30 minutes. Now add sugar and lime juice and cook till it reaches thick jam consistency (this will take about 25-35 minutes more). Let the preserve cool down and then transfer it into sterile dry bottles and store in cool dry place.For apricot preserve – chop the apricots into very fine pieces. Add water and apricot pieces into a sauce pan and cook until apricot is cooked fully. Then add sugar, lime juice and continue the cooking process until it reaches jam like consistency. Turn off heat and let it cool completely. Then transfer to a sterile dry bottle and store in cool dry place.To make the cookies, into a whisking bowl add butter and sugar, whisk until the mixture turns pale yellow and fluffy. Now add vanilla extract and mix once.Sieve flour, salt and baking powder into a bowl.Add flour in 3 parts into sugar-butter mix, whisk until just combined. Do not over beat the mixture. Once the cookie dough is ready, cover the dough in cling film and store in fridge for about 30 minutes. Then take the dough from fridge, take 1 tablespoon of the mixture, roll into small balls. Make a small well in the centre using your thumb, and then gently roll the cookie dough into grated coconut. Place them of baking sheet lined with parchment paper about 1 inch apart. Repeat same process for rest of the dough. Scoop a teaspoon of pineapple preserve and fill the centre of half the cookies with it. The remaining half we will fill it with apricot preserve. Place the cookies in fridge for 20 minutes. Meanwhile pre heat oven to 150 degree centigrade.Remove chilled cookies from fridge and bake in pre heated oven for about 17 to 20 minutes, until coconuts are toasted well and start to brown on the edges.Remove from oven and let the cookies sit on the baking sheet for 10 minutes, then carefully transfer to wire rack and cool completely.Store the cookies in air tight containers and use it with in a week.
</t>
  </si>
  <si>
    <t>Para empezar a preparar las Galletas de Coco con Huellas Digitales y Mermelada de Piña y Albaricoque, empezaremos con la mermelada de piña. Para la mermelada de piña: pela la piña. Ralla la pulpa en un bol. Agrega la piña rallada junto con su jugo y agua a una cacerola y lleva a ebullición. Cocina hasta que la piña esté completamente cocida. Tardará unos 30 minutos. Agrega el azúcar y el jugo de lima y cocina hasta que alcance la consistencia de una mermelada espesa (esto tomará unos 25-35 minutos más). Deja enfriar la mermelada y luego viértela en botellas secas y estériles y guárdala en un lugar fresco y seco. Para la mermelada de albaricoque: pica los albaricoques en trozos muy finos. Agrega el agua y los trozos de albaricoque a una cacerola y cocina hasta que estén completamente cocidos. Luego, agrega el azúcar, el jugo de lima y cocina hasta que alcance la consistencia de una mermelada. Apaga el fuego y deja enfriar por completo. Luego, viértela en una botella seca y estéril y guárdala en un lugar fresco y seco. Para las galletas, en un bol, agrega la mantequilla y el azúcar, batiendo hasta que la mezcla adquiera un color amarillo pálido y una consistencia esponjosa. Ahora agregue el extracto de vainilla y mezcle una vez. Tamice la harina, la sal y el polvo para hornear en un tazón. Agregue la harina en 3 partes a la mezcla de azúcar y mantequilla, bata hasta que se combine. No bata demasiado la mezcla. Una vez que la masa de galletas esté lista, cubra la masa con film transparente y guárdela en el refrigerador durante unos 30 minutos. Luego, saque la masa del refrigerador, tome 1 cucharada de la mezcla, forme bolitas pequeñas. Haga un pequeño hueco en el centro con el pulgar y luego enrolle suavemente la masa de galletas en coco rallado. Colóquelas en una bandeja para hornear forrada con papel pergamino a una distancia de aproximadamente 1 pulgada. Repita el mismo proceso para el resto de la masa. Saque una cucharadita de mermelada de piña y rellene el centro de la mitad de las galletas con ella. La mitad restante la rellenaremos con mermelada de albaricoque. Coloque las galletas en el refrigerador durante 20 minutos. Mientras tanto, precaliente el horno a 150 grados centígrados. Retire las galletas frías del refrigerador y hornéelas en un horno precalentado durante aproximadamente 17 a 20 minutos, hasta que los cocos estén bien tostados y comiencen a dorarse en los bordes. Retire del horno y deje reposar las galletas en la bandeja para hornear durante 10 minutos, luego transfiéralas con cuidado a una rejilla de alambre y déjelas enfriar por completo. Guarde las galletas en recipientes herméticos y úselas en una semana.</t>
  </si>
  <si>
    <t>Pour commencer la recette des biscuits à la noix de coco, à l'ananas et à la confiture d'abricots, nous commencerons par la confiture d'ananas. Pour la confiture d'ananas : épluchez l'ananas. Râpez la chair dans un bol. Ajoutez l'ananas râpé, son jus et l'eau dans une casserole et portez à ébullition. Poursuivez la cuisson jusqu'à ce que l'ananas soit bien cuit. Comptez environ 30 minutes. Ajoutez ensuite le sucre et le jus de citron vert et laissez cuire jusqu'à obtenir une consistance de confiture épaisse (comptez environ 25 à 35 minutes supplémentaires). Laissez refroidir la confiture, puis transvasez-la dans des bouteilles stériles et conservez-la dans un endroit frais et sec. Pour la confiture d'abricots : coupez les abricots en très petits morceaux. Ajoutez l'eau et les morceaux d'abricots dans une casserole et faites cuire jusqu'à ce que l'abricot soit bien cuit. Ajoutez ensuite le sucre, le jus de citron vert et poursuivez la cuisson jusqu'à obtenir une consistance de confiture. Éteignez le feu et laissez refroidir complètement. Français Transférez ensuite dans une bouteille stérile et sèche et conservez-la dans un endroit frais et sec. Pour faire les biscuits, dans un bol à fouetter, ajoutez le beurre et le sucre, fouettez jusqu'à ce que le mélange devienne jaune pâle et mousseux. Ajoutez maintenant l'extrait de vanille et mélangez une fois. Tamisez la farine, le sel et la levure chimique dans un bol. Ajoutez la farine en 3 parties au mélange sucre-beurre, fouettez jusqu'à ce que le tout soit bien mélangé. Ne battez pas trop le mélange. Une fois la pâte à biscuits prête, couvrez-la de film alimentaire et conservez-la au réfrigérateur pendant environ 30 minutes. Ensuite, sortez la pâte du réfrigérateur, prenez 1 cuillère à soupe du mélange, roulez-la en petites boules. Faites un petit puits au centre avec votre pouce, puis roulez délicatement la pâte à biscuits dans la noix de coco râpée. Placez-les sur une plaque à pâtisserie recouverte de papier sulfurisé à environ 2,5 cm d'intervalle. Répétez le même processus pour le reste de la pâte. Prélevez une cuillère à café de confiture d'ananas et remplissez le centre de la moitié des biscuits avec. La moitié restante sera remplie de confiture d'abricot. Placez les biscuits au réfrigérateur pendant 20 minutes. Pendant ce temps, préchauffez le four à 150 degrés centigrades. Retirez les biscuits refroidis du réfrigérateur et faites-les cuire au four préchauffé pendant environ 17 à 20 minutes, jusqu'à ce que les noix de coco soient bien grillées et commencent à dorer sur les bords. Retirez du four et laissez reposer les biscuits sur la plaque de cuisson pendant 10 minutes, puis transférez-les délicatement sur une grille et laissez-les refroidir complètement. Conservez les biscuits dans des contenants hermétiques et utilisez-les dans la semaine.</t>
  </si>
  <si>
    <t>http://www.archanaskitchen.com/eggless-almond-coconut-cookies-recipe</t>
  </si>
  <si>
    <t>Eggless Christmas Tree Chocolate Cookies Recipe</t>
  </si>
  <si>
    <t>Rezept für Weihnachtsbaum-Schokoladenkekse ohne Eier</t>
  </si>
  <si>
    <t>Recette de biscuits au chocolat en forme de sapin de Noël sans œufs</t>
  </si>
  <si>
    <t>Receta de galletas de chocolate y árbol de Navidad sin huevo</t>
  </si>
  <si>
    <t>2-1/4 tasses de farine tout usage (Maida), 1/4 tasse de poudre de cacao, 1 tasse de beurre, 1/2 tasse de sucre en poudre, 1 cuillère à café de levure chimique, 1 cuillère à café d'huile de tournesol, 1 cuillère à café d'extrait de vanille, 2 cuillères à soupe d'eau, 1/2 tasse de beurre, 1-1/2 tasse de sucre en poudre, 1/2 cuillère à café d'extrait de vanille, 1 cuillère à soupe d'eau, sucre décoratif (paillettes pour gâteaux/bonbons) - (de préférence</t>
  </si>
  <si>
    <t>2-1/4 cups All Purpose Flour (Maida),1/4 cup Cocoa Powder,1 cup Butter,1/2 cup Caster Sugar,1 teaspoon Baking powder,1 teaspoon Sunflower Oil,1 teaspoon Vanilla Extract,2 tablespoons Water,1/2 cup Butter,1-1/2 cup Caster Sugar,1/2 teaspoon Vanilla Extract,1 tablespoon Water,Decorative sugar (Cake/ Candy Sprinkles) - (preferably</t>
  </si>
  <si>
    <t>2-1/4 tazas de harina para todo uso (Maida), 1/4 taza de cacao en polvo, 1 taza de mantequilla, 1/2 taza de azúcar extrafino, 1 cucharadita de polvo para hornear, 1 cucharadita de aceite de girasol, 1 cucharadita de extracto de vainilla, 2 cucharadas de agua, 1/2 taza de mantequilla, 1-1/2 taza de azúcar extrafino, 1/2 cucharadita de extracto de vainilla, 1 cucharada de agua, azúcar decorativa (chispas para pastel/dulces) - (preferiblemente</t>
  </si>
  <si>
    <t xml:space="preserve">To prepare Eggless Christmas Tree Chocolate Cookies Recipe, get prep with all the ingredients required and sift all purpose flour and cocoa powder in a bowl. Keep aside.Take butter (at room temperature) and sugar in a large bowl. Whisk until light and fluffy using hand/electric whisk.Next, add baking powder, oil, water and vanilla essence. Whisk again until everything incorporates well.Now, add dry ingredients to the fluffy mixture and mix well to get a sticky dough.Wrap the dough with a cling film and freeze for 10-15 minutes. After 10-15 minutes, take out the dough from the refrigerator. Divide the dough into about 1 tablespoon size balls (makes 60 such balls).Flatten 10 such balls to get the smallest of the cookies. You can either just flatten with fingers or shape it the way you like, in the cookie cutter.Combine 2 such balls and flatten to get the 10 medium sized layer of the Christmas tree cookie recipe.Combine 3 such balls and flatten to get the base of the Christmas tree cookie recipe (10 in number again).Remember, there should be an equal number of each sized balls and they all should be similarly shaped. The measurements given here result into 10 big balls, 10 medium balls and 10 small balls.Transfer the big flattened balls to a baking sheet leaving 1 inch space between each cookie as these tend to expand. Bake in a preheated oven at 180 deg C. for 15 minutes. Transfer the medium flattened balls to another baking sheet leaving 1 inch space between and bake for 15 minutes.Transfer the small flattened balls to another baking sheet leaving 1 inch space between and bake for 11-12 minutes. Remove from oven, place all the cookies on a wire rack to cool down completely.Meanwhile, start to make the frosting. Take butter (at room temperature) in a bowl and whisk until pale and yellow using hand / electric blender.Add caster sugar (1 cup), whisk until light and fluffy. Next, add water and vanilla essence. Whisk for 2-3 minutes. Now, add the rest of caster sugar and whisk again until everything incorporates well. The frosting is ready now.To assemble the Christmas tree, take a large serving plate. Place all the big cookies on the plate leaving 1/2 inch space in between.Take a piping bag fitted with a medium star nozzle. Fill it with frosting.Pipe a swirl of frosting on top of the big cookies. Then place the medium cookies over the frosting of big cookies and pipe a swirl of frosting on top of the medium cookies.Then place the small cookies over the frosting of medium cookies and pipe a swirl of frosting on top of the small cookies. Decorate each layer of frosting with Christmas tree sprinkles. Keep the Eggless Christmas Tree Chocolate Cookies Recipe in refrigerator until its time to serve.
</t>
  </si>
  <si>
    <t>Para preparar la receta de galletas de chocolate con forma de árbol de Navidad sin huevo, prepare todos los ingredientes necesarios y tamice la harina común y el cacao en polvo en un tazón. Reserve. En un tazón grande, mezcle la mantequilla (a temperatura ambiente) y el azúcar. Bata con una batidora manual o eléctrica hasta obtener una mezcla ligera y esponjosa. A continuación, agregue el polvo para hornear, el aceite, el agua y la esencia de vainilla. Vuelva a batir hasta que todo esté bien integrado. Añada los ingredientes secos a la mezcla esponjosa y mezcle bien hasta obtener una masa pegajosa. Envuelva la masa con film transparente y congélela de 10 a 15 minutos. Después de 10 a 15 minutos, saque la masa del refrigerador. Divida la masa en bolitas del tamaño de una cucharada (rinden 60 bolitas). Aplane 10 bolitas para obtener las galletas más pequeñas. Puedes simplemente aplanarlas con los dedos o darles la forma que más te guste, en el cortador de galletas. Combina 2 de estas bolas y aplánalas para obtener las 10 capas medianas de la receta de galletas de árbol de Navidad. Combina 3 de estas bolas y aplánalas para obtener la base de la receta de galletas de árbol de Navidad (10 en número nuevamente). Recuerda, debe haber un número igual de bolas de cada tamaño y todas deben tener una forma similar. Las medidas dadas aquí dan como resultado 10 bolas grandes, 10 bolas medianas y 10 bolas pequeñas. Transfiere las bolas grandes aplanadas a una bandeja para hornear dejando 1 pulgada de espacio entre cada galleta, ya que tienden a expandirse. Hornea en un horno precalentado a 180 grados C durante 15 minutos. Transfiere las bolas medianas aplanadas a otra bandeja para hornear dejando 1 pulgada de espacio entre ellas y hornea durante 15 minutos. Transfiere las bolas pequeñas aplanadas a otra bandeja para hornear dejando 1 pulgada de espacio entre ellas y hornea durante 11-12 minutos. Retire del horno, coloque todas las galletas en una rejilla para que se enfríen por completo. Mientras tanto, comience a hacer el glaseado. Tome la mantequilla (a temperatura ambiente) en un tazón y bata hasta que esté pálida y amarilla usando una batidora de mano / eléctrica. Agregue el azúcar extrafino (1 taza), bata hasta que esté ligero y esponjoso. A continuación, agregue el agua y la esencia de vainilla. Bata durante 2-3 minutos. Ahora, agregue el resto del azúcar extrafino y bata de nuevo hasta que todo se incorpore bien. El glaseado está listo ahora. Para armar el árbol de Navidad, tome un plato grande para servir. Coloque todas las galletas grandes en el plato dejando 1/2 pulgada de espacio entre ellas. Tome una manga pastelera equipada con una boquilla de estrella mediana. Llénela con glaseado. Haga un remolino de glaseado sobre las galletas grandes. Luego, coloque las galletas medianas sobre el glaseado de las galletas grandes y haga un remolino de glaseado sobre las galletas medianas. Luego, coloque las galletas pequeñas sobre el glaseado de las galletas medianas y haga un remolino de glaseado sobre las galletas pequeñas. Decore cada capa de glaseado con chispas de árbol de Navidad. Conserve la receta de galletas de chocolate con forma de árbol de Navidad sin huevo en el refrigerador hasta el momento de servir.</t>
  </si>
  <si>
    <t>Pour préparer la recette des biscuits au chocolat « Sapin de Noël sans œufs », préparez tous les ingrédients nécessaires et tamisez la farine blanche et le cacao en poudre dans un bol. Réservez. Dans un grand bol, mélangez le beurre (à température ambiante) et le sucre jusqu'à obtenir une consistance légère et mousseuse à l'aide d'un fouet manuel ou électrique. Ajoutez ensuite la levure chimique, l'huile, l'eau et l'extrait de vanille. Fouettez à nouveau jusqu'à ce que le tout soit bien incorporé. Ajoutez ensuite les ingrédients secs au mélange mousseux et mélangez bien pour obtenir une pâte collante. Enveloppez la pâte dans un film alimentaire et placez-la au congélateur pendant 10 à 15 minutes. Après 10 à 15 minutes, sortez-la du réfrigérateur. Divisez la pâte en boules d'environ 1 cuillère à soupe (pour 60 boules). Aplatissez 10 boules pour obtenir les plus petites. Vous pouvez soit simplement l'aplatir avec les doigts, soit lui donner la forme que vous souhaitez, dans l'emporte-pièce. Combinez 2 de ces boules et aplatissez-les pour obtenir les 10 couches de taille moyenne de la recette de biscuits en forme d'arbre de Noël. Combinez 3 de ces boules et aplatissez-les pour obtenir la base de la recette de biscuits en forme d'arbre de Noël (10 au nombre de nouveau). N'oubliez pas qu'il doit y avoir un nombre égal de boules de chaque taille et qu'elles doivent toutes avoir une forme similaire. Les mesures données ici donnent 10 grosses boules, 10 boules moyennes et 10 petites boules. Transférez les grosses boules aplaties sur une plaque à pâtisserie en laissant 1 pouce d'espace entre chaque biscuit car elles ont tendance à gonfler. Cuire au four préchauffé à 180 °C pendant 15 minutes. Transférez les boules moyennes aplaties sur une autre plaque à pâtisserie en laissant 1 pouce d'espace entre elles et faites cuire au four pendant 15 minutes. Transférez les petites boules aplaties sur une autre plaque à pâtisserie en laissant 1 pouce d'espace entre elles et faites cuire au four pendant 11 à 12 minutes. Retirez du four et placez tous les biscuits sur une grille pour les laisser refroidir complètement. Pendant ce temps, commencez à préparer le glaçage. Mettez du beurre (à température ambiante) dans un bol et fouettez-le jusqu'à ce qu'il soit pâle et jaune à l'aide d'un mixeur plongeant ou électrique. Ajoutez le sucre semoule (250 ml) et fouettez jusqu'à obtenir une consistance légère et mousseuse. Ajoutez ensuite l'eau et l'extrait de vanille. Fouettez pendant 2 à 3 minutes. Ajoutez ensuite le reste du sucre semoule et fouettez à nouveau jusqu'à ce que le tout soit bien incorporé. Le glaçage est prêt. Pour assembler le sapin de Noël, prenez une grande assiette de service. Disposez tous les gros biscuits sur l'assiette en les espaçant de 1,25 cm. Prenez une poche à douille munie d'une douille cannelée moyenne et remplissez-la de glaçage. Déposez un tourbillon de glaçage sur les gros biscuits. Placez ensuite les biscuits moyens sur le glaçage des gros biscuits et déposez un tourbillon de glaçage sur les biscuits moyens. Placez ensuite les petits biscuits sur le glaçage des biscuits moyens et déposez un tourbillon de glaçage sur les petits biscuits. Décorez chaque couche de glaçage avec des vermicelles en forme de sapin de Noël. Conservez la recette de biscuits au chocolat sans œufs en forme de sapin de Noël au réfrigérateur jusqu'au moment de servir.</t>
  </si>
  <si>
    <t>https://www.archanaskitchen.com/eggless-christmas-tree-chocolate-cookies-recipe</t>
  </si>
  <si>
    <t>Watermelon, Chena, Cucumber With Soy Dressing Recipe</t>
  </si>
  <si>
    <t>Rezept für Wassermelone, Chena, Gurke mit Sojadressing</t>
  </si>
  <si>
    <t>Recette de pastèque, chena, concombre avec vinaigrette au soja</t>
  </si>
  <si>
    <t>Receta de sandía, chena, pepino con aderezo de soja</t>
  </si>
  <si>
    <t>1/2 pastèque - coupée en triangles, 1 concombre - tranché, 1 tasse de Chenna (fromage cottage fait maison), 1/2 tasse de feuilles de menthe (Pudina), 10 pistaches - concassées, 2 cuillères à soupe de sauce soja, 1 cuillère à café de miel, sel et poivre - au goût</t>
  </si>
  <si>
    <t>1/2 Watermelon - cut into triangles,1 Cucumber - sliced,1 cup Chenna (Homemade Cottage Cheese),1/2 cup Mint Leaves (Pudina),10 Pistachios - crushed,2 tablespoon Soy sauce,1 teaspoon Honey,Salt and Pepper - to taste</t>
  </si>
  <si>
    <t>1/2 Sandía - cortada en triángulos, 1 Pepino - en rodajas, 1 taza de Chenna (Requesón casero), 1/2 taza de Hojas de menta (Pudina), 10 Pistachos - triturados, 2 cucharadas de Salsa de soja, 1 cucharadita de Miel, Sal y Pimienta - al gusto</t>
  </si>
  <si>
    <t xml:space="preserve">To begin making the Watermelon, Chena Cucumber With Soy Dressing Recipe, prep all the ingredients and keep it ready.Mix in all the ingredients for the dressing in a bowl and add the water melon and cucumber. Mix well.Serve it on a plate and place some crumbled chena over it and sprinkle with mint leaves and pistachios.Serve the Watermelon, Chena Cucumber With Soy Dressing Recipe along with quiche or tossed Mexican rice.
</t>
  </si>
  <si>
    <t>Para preparar el aderezo de sandía, pepino y chena con soya, prepare todos los ingredientes y téngalos listos. Mezcle todos los ingredientes del aderezo en un tazón y agregue la sandía y el pepino. Mezcle bien. Sírvalo en un plato, cubra con chena desmenuzada y espolvoree con hojas de menta y pistachos. Sirva el aderezo de sandía, pepino y chena con soya acompañado de quiche o arroz mexicano.</t>
  </si>
  <si>
    <t>Pour commencer la recette de pastèque, concombre chena et vinaigrette au soja, préparez tous les ingrédients et réservez-les. Mélangez tous les ingrédients de la vinaigrette dans un bol, puis ajoutez la pastèque et le concombre. Bien mélanger. Servez sur une assiette, disposez dessus du chena émietté et parsemez de feuilles de menthe et de pistaches. Servez la recette de pastèque, concombre chena et vinaigrette au soja avec une quiche ou du riz mexicain.</t>
  </si>
  <si>
    <t>http://www.archanaskitchen.com/watermelon-chena-cucumber-with-soy-dressing-recipe</t>
  </si>
  <si>
    <t>Apple Upside Down Cake Recipe</t>
  </si>
  <si>
    <t>Rezept für Apfelkuchen</t>
  </si>
  <si>
    <t>Recette de tarte aux pommes</t>
  </si>
  <si>
    <t>Receta de tarta de manzana</t>
  </si>
  <si>
    <t>2 pommes - tranchées, 1/4 tasse de beurre (non salé) - (plus pour badigeonner et préparer), 5 cuillères à soupe de sucre, 1 cuillère à soupe de cannelle en poudre (Dalchini), 1 pincée de jus de citron, 1/3 tasse de beurre (non salé), 5 cuillères à soupe de sucre, 2 œufs entiers, 10 grammes d'extrait de vanille, 1/2 tasse de fromage à la crème Britannia, 3/4 tasse de Vivatta Maida, 1 cuillère à soupe de levure chimique, amandes effilées (Badam) - une poignée, raisins secs - une poignée</t>
  </si>
  <si>
    <t>2 Apples - sliced,1/4 cup Butter (unsalted) - (more to brush and prep),5 tablespoons Sugar,1 tablespoon Cinnamon Powder (Dalchini),1 pinch Lemon juice,1/3 cup Butter (unsalted),5 tablespoons Sugar,2 Whole Eggs,10 grams Vanilla Extract,1/2 cup Britannia Cream Cheese,3/4 cup Vivatta Maida,1 tablespoon Baking powder,Slivered Almonds (Badam) - a handful,Raisins - a handful</t>
  </si>
  <si>
    <t>2 manzanas en rodajas, 1/4 taza de mantequilla (sin sal) (más para pincelar y preparar), 5 cucharadas de azúcar, 1 cucharada de canela en polvo (dalchini), 1 pizca de jugo de limón, 1/3 taza de mantequilla (sin sal), 5 cucharadas de azúcar, 2 huevos enteros, 10 gramos de extracto de vainilla, 1/2 taza de queso crema Britannia, 3/4 taza de Vivatta Maida, 1 cucharada de polvo para hornear, almendras fileteadas (badam) - un puñado, pasas - un puñado</t>
  </si>
  <si>
    <t xml:space="preserve">To begin making Apple Upside Down Cake Recipe, prep by peeling the skin of apples. Remove the core of the apples and cut the apples to long thin slices. Squeeze pinch of lime juice on sliced apples and keep aside till called for.Grease the cake pan with butter and flour. Also preheat the oven to 180 degree celsius.To prepare the sauce, in a saucepan, add butter on low heat. When the butter melts, add sugar. The sugar melts gradually and the colour changes to brownish. Thats when you take out the caramel sauce and pour it in the prepared cake pan.Arranges sliced apples on it. You can use more apple slices if you prefer. Sprinkle a little sugar, about 1-2 tablespoons on the apples.Brush generously with melted butter. Now place the pan in oven at 180 degrees for about 7 minutes until we prepare cake batter.Cake BatterSieve All purpose flour and baking powder into a mixing bowl and keep aside.Break two eggs carefully and separate egg white and yolk in different bowls.In another bowl whisk together sugar and butter until they are mixed properly.Now beat by adding egg yolk, vanilla extract, and cream cheese. Now add flour mixture to it and mix well.Whip egg whites separately till fluffy and stiff peaks appear and add to this mixture and fold in till combined. Finally add almonds, raisins and mix well.Baking the upside down cakeTake out the Pan from oven that has caramelised apples and sprinkle ground cinnamon on it.Pour the batter on apples and bake for about 25-30 minutes or until cake turns light brown in color. When you insert a toothpick it should come out clear when done. Now remove the baked cake from oven and set aside for 5 minutes. and then invert the pan and tap to unmold the cake.Serve Apple Upside Down Cake Recipe along with Banana Coconut Milk Ice Cream or vanilla icecream.
</t>
  </si>
  <si>
    <t>Para comenzar a hacer la receta del pastel de manzana al revés, prepare pelando la piel de las manzanas. Retire el corazón de las manzanas y córtelas en rodajas finas y largas. Exprima una pizca de jugo de limón sobre las manzanas en rodajas y reserve hasta que se requiera. Engrase el molde para pastel con mantequilla y harina. También precaliente el horno a 180 grados centígrados. Para preparar la salsa, en una cacerola, agregue la mantequilla a fuego lento. Cuando la mantequilla se derrita, agregue el azúcar. El azúcar se derrite gradualmente y el color cambia a marrón. Es entonces cuando saca la salsa de caramelo y la vierte en el molde para pastel preparado. Coloque las manzanas en rodajas sobre ella. Puede usar más rodajas de manzana si lo prefiere. Espolvoree un poco de azúcar, aproximadamente 1-2 cucharadas sobre las manzanas. Unte generosamente con mantequilla derretida. Ahora coloque el molde en el horno a 180 grados durante unos 7 minutos hasta que preparemos la masa del pastel. Masa del pastel Tamice la harina para todo uso y el polvo de hornear en un tazón y reserve. Rompa dos huevos con cuidado y separe la clara y la yema en tazones diferentes. En otro tazón, bata el azúcar y la mantequilla hasta que estén bien mezclados. Ahora bata agregando la yema de huevo, el extracto de vainilla y el queso crema. Ahora agregue la mezcla de harina y mezcle bien. Bata las claras de huevo por separado hasta que aparezcan picos esponjosos y rígidos y agréguelas a esta mezcla y doble hasta que se combinen. Finalmente agregue las almendras, las pasas y mezcle bien. Horneando el pastel invertido Saque del horno el molde que tiene manzanas caramelizadas y espolvoree canela molida. Vierta la masa sobre las manzanas y hornee durante unos 25-30 minutos o hasta que el pastel se vuelva de color marrón claro. Cuando inserte un palillo, debe salir transparente cuando esté listo. Ahora retire el pastel horneado del horno y déjelo reposar durante 5 minutos. y luego invierte el molde y golpéalo para desmoldar el pastel. Sirve la receta de pastel de manzana invertido junto con helado de plátano, leche de coco o helado de vainilla.</t>
  </si>
  <si>
    <t>Pour commencer à préparer la recette du gâteau renversé aux pommes, commencez par peler la peau des pommes. Retirez le cœur des pommes et coupez-les en longues tranches fines. Pressez une pincée de jus de citron vert sur les tranches de pommes et réservez jusqu'à ce que vous en ayez besoin. Graissez le moule à gâteau avec du beurre et de la farine. Préchauffez également le four à 180 degrés Celsius. Pour préparer la sauce, dans une casserole, ajoutez le beurre à feu doux. Lorsque le beurre fond, ajoutez le sucre. Le sucre fond progressivement et la couleur devient brunâtre. C'est à ce moment-là que vous retirez la sauce au caramel et la versez dans le moule à gâteau préparé. Disposez les tranches de pommes dessus. Vous pouvez utiliser plus de tranches de pommes si vous préférez. Saupoudrez un peu de sucre, environ 1 à 2 cuillères à soupe sur les pommes. Badigeonnez généreusement de beurre fondu. Français Placez maintenant le moule au four à 180 degrés pendant environ 7 minutes jusqu'à ce que nous préparions la pâte à gâteau. Pâte à gâteau Tamisez la farine tout usage et la levure chimique dans un bol à mélanger et réservez. Cassez soigneusement deux œufs et séparez le blanc et le jaune d'œufs dans des bols différents. Dans un autre bol, fouettez ensemble le sucre et le beurre jusqu'à ce qu'ils soient bien mélangés. Battez maintenant en ajoutant le jaune d'œuf, l'extrait de vanille et le fromage à la crème. Ajoutez maintenant le mélange de farine et mélangez bien. Fouettez les blancs d'œufs séparément jusqu'à ce que des pics mousseux et fermes apparaissent et ajoutez-les à ce mélange et incorporez jusqu'à ce que le tout soit combiné. Enfin, ajoutez les amandes, les raisins secs et mélangez bien. Cuisson du gâteau renversé Sortez le moule du four contenant les pommes caramélisées et saupoudrez-le de cannelle moulue. Versez la pâte sur les pommes et faites cuire pendant environ 25 à 30 minutes ou jusqu'à ce que le gâteau devienne brun clair. Lorsque vous insérez un cure-dent, il doit ressortir transparent une fois cuit. Retirez maintenant le gâteau cuit du four et réservez pendant 5 minutes. puis retournez le moule et tapotez pour démouler le gâteau. Servez la recette du gâteau renversé aux pommes avec de la glace à la banane et au lait de coco ou de la glace à la vanille.</t>
  </si>
  <si>
    <t>https://www.archanaskitchen.com/apple-upside-down-cake-recipe</t>
  </si>
  <si>
    <t>Strawberry Brownie Bars Recipe</t>
  </si>
  <si>
    <t>Rezept für Erdbeer-Brownie-Riegel</t>
  </si>
  <si>
    <t>Recette de barres brownies aux fraises</t>
  </si>
  <si>
    <t>Receta de barra de brownie de fresa</t>
  </si>
  <si>
    <t>200 grammes de chocolat noir, 250 grammes de beurre (non salé), 80 grammes de cacao en poudre, 360 grammes de sucre en poudre, 60 grammes de farine de blé entier, 1 cuillère à café de levure chimique, 1 cuillère à café d'extrait de vanille, 4 œufs entiers, 1 tasse de fraises hachées</t>
  </si>
  <si>
    <t>200 grams Dark chocolate,250 grams Butter (unsalted),80 grams Cocoa Powder,360 grams Caster Sugar,60 grams Whole Wheat Flour,1 teaspoon Baking powder,1 teaspoon Vanilla Extract,4 Whole Eggs,1 cup Strawberries - chopped</t>
  </si>
  <si>
    <t>200 gramos de chocolate negro, 250 gramos de mantequilla (sin sal), 80 gramos de cacao en polvo, 360 gramos de azúcar extrafino, 60 gramos de harina integral, 1 cucharadita de polvo para hornear, 1 cucharadita de extracto de vainilla, 4 huevos enteros, 1 taza de fresas picadas</t>
  </si>
  <si>
    <t xml:space="preserve">To begin with Strawberry Brownie Bars, grease and line a baking pan of 9"X10" size. Preheat the oven to 170 C.Add chocolate and butter in a saucepan. Place the saucepan on a utensil with boiling water. Stir it till the chocolate and butter melts together and comes together as a silky mixture. Set it aside.Whisk Eggs in a small bowl and set aside. Then, whisk together flour, sugar powder, baking powder in a large bowl.Add the melted chocolate-butter mixture to this. Mix it till the mixture is smooth.Once the mixture is smooth, add the beaten egg and mix till everything comes together. Pour the mixture into the prepared tin and top it with chopped strawberries.Bake for 45 minutes or till the skewer comes out clean when inserted in the center.Let it cool in the tin for 10 mins and then cut it into bars.Serve Strawberry Brownie Bar with Paneer Pav Bhaji as a dessert after a light weekday dinner.
</t>
  </si>
  <si>
    <t>Para preparar las barras de brownie de fresa, engrase y forre un molde para hornear de 23 x 25 cm. Precaliente el horno a 170 °C. Añada el chocolate y la mantequilla a una cacerola. Coloque la cacerola sobre un utensilio con agua hirviendo. Remueva hasta que el chocolate y la mantequilla se derritan y formen una mezcla sedosa. Reserve. Bata los huevos en un tazón pequeño y reserve. Luego, bata la harina, el azúcar en polvo y la levadura en polvo en un tazón grande. Añada la mezcla de chocolate y mantequilla derretida. Mezcle hasta que la mezcla esté suave. Una vez que la mezcla esté suave, agregue el huevo batido y mezcle hasta que todo esté integrado. Vierta la mezcla en el molde preparado y cúbralo con fresas picadas. Hornee durante 45 minutos o hasta que al insertar un palillo en el centro, este salga limpio. Deje enfriar en el molde durante 10 minutos y luego córtelo en barras. Sirva la barra de brownie de fresa con paneer pav bhaji como postre después de una cena ligera entre semana.</t>
  </si>
  <si>
    <t>Pour commencer les barres de brownie aux fraises, graissez et chemisez un moule à pâtisserie de 23 x 25 cm. Préchauffez le four à 170 °C. Ajoutez le chocolat et le beurre dans une casserole. Placez la casserole sur un ustensile rempli d'eau bouillante. Remuez jusqu'à ce que le chocolat et le beurre fondent et forment une pâte onctueuse. Réservez. Fouettez les œufs dans un petit bol et réservez. Ensuite, fouettez la farine, le sucre en poudre et la levure chimique dans un grand bol. Ajoutez le mélange chocolat-beurre fondu. Mélangez jusqu'à obtenir une consistance lisse. Une fois la préparation lisse, ajoutez l'œuf battu et mélangez jusqu'à obtenir une consistance lisse. Versez la préparation dans le moule préparé et garnissez de fraises hachées. Enfournez pour 45 minutes ou jusqu'à ce qu'une brochette en ressorte propre. Laissez refroidir dans le moule pendant 10 minutes, puis découpez en barres. Servez les barres de brownie aux fraises avec du Paneer Pav Bhaji en dessert après un dîner léger en semaine.</t>
  </si>
  <si>
    <t>http://www.archanaskitchen.com/strawberry-brownie-bars-recipe</t>
  </si>
  <si>
    <t>Spicy Mixed Vegetable Lollipop Recipe</t>
  </si>
  <si>
    <t>Rezept für würzige Lutscher mit gemischtem Gemüse</t>
  </si>
  <si>
    <t>Recette de sucettes épicées aux légumes variés</t>
  </si>
  <si>
    <t>Receta de piruletas picantes con verduras mixtas</t>
  </si>
  <si>
    <t>4 pommes de terre (Aloo) - bouillies, 1 carotte (Gajjar) - râpée, 1 tasse de chou (Patta Gobi/Muttaikose) - finement haché, 1 oignon - finement haché, 1/2 cuillère à café de poudre de piment rouge, 1/4 cuillère à café de poudre de curcuma (Haldi), 1 cuillère à café de poudre de coriandre (Dhania), 1 cuillère à café de poudre de garam masala, sel - au goût, huile de tournesol - pour la cuisson</t>
  </si>
  <si>
    <t>4 Potatoes (Aloo) - boiled,1 Carrot (Gajjar) - grated,1 cup Cabbage (Patta Gobi/ Muttaikose) - finely chopped,1 Onion - finely chopped,1/2 teaspoon Red Chilli powder,1/4 teaspoon Turmeric powder (Haldi),1 teaspoon Coriander Powder (Dhania),1 teaspoon Garam masala powder,Salt - to taste,Sunflower Oil - for cooking</t>
  </si>
  <si>
    <t>4 papas (Aloo) - hervidas, 1 zanahoria (Gajjar) - rallada, 1 taza de repollo (Patta Gobi/ Muttaikose) - picado fino, 1 cebolla - picada fina, 1/2 cucharadita de chile rojo en polvo, 1/4 cucharadita de cúrcuma en polvo (Haldi), 1 cucharadita de cilantro en polvo (Dhania), 1 cucharadita de garam masala en polvo, sal - al gusto, aceite de girasol - para cocinar</t>
  </si>
  <si>
    <t xml:space="preserve">To begin making the Spicy Mixed Vegetable Lollipop Recipe add oil into a pre heated pan and add onions. Saute the onions till they turn translucent and once done add the carrot and cabbage.Saute the vegetables for 2 to three minutes till they get cooked.Once the vegetables are cooked, add all the spice powders like the red chili powder, turmeric powder,coriander powder and the garam masala and mix well to combine. Season it with salt and pepper. Cover and cook it for 2 more minutes. Turn off the heat.Add these sautéed vegetables to the boiled potatoes and give it a nice mash using a potato masher and combine all the ingredients well.Divide the mixture into lemon sized balls. Heat a paniyaram pan, add oil into each cavity and place these small balls in each cavity and cook the potato lollipops till it is golden brown on one side. Turn the Spicy Mixed Vegetable balls and cook on the other side as well.Once the Spicy Mixed Vegetable balls are evenly browned and cooked through remove them onto an oil absorbent paper. Insert a tooth pick into each ball and place on a serving platter and serve.Serve the  Spicy Mixed Vegetable Lollipop Recipe as a party appetizers along with Green Chutney and a meal of Spicy Paneer Pulao With Vegetables, Navratan Korma and Burani Raita.
</t>
  </si>
  <si>
    <t>Para comenzar a hacer la Receta de Piruleta de Verduras Mixtas Picantes, agregue aceite a una sartén precalentada y agregue cebollas. Saltee las cebollas hasta que se vuelvan translúcidas y una vez hecho esto agregue la zanahoria y el repollo. Saltee las verduras durante 2 a tres minutos hasta que estén cocidas. Una vez que las verduras estén cocidas, agregue todos los polvos de especias como el polvo de chile rojo, el polvo de cúrcuma, el polvo de cilantro y el garam masala y mezcle bien para combinar. Sazone con sal y pimienta. Cubra y cocine por 2 minutos más. Apague el fuego. Agregue estas verduras salteadas a las papas hervidas y triture con un machacador de papas y combine bien todos los ingredientes. Divida la mezcla en bolas del tamaño de un limón. Caliente una sartén paniyaram, agregue aceite en cada cavidad y coloque estas pequeñas bolas en cada cavidad y cocine las piruletas de papa hasta que estén doradas por un lado. Voltee las bolas de verduras mixtas picantes y cocínelas también por el otro lado. Una vez que estén doradas y cocidas uniformemente, retírelas a un papel absorbente. Inserte un palillo en cada bola y colóquelas en una fuente para servir. Sirva la receta de piruleta de verduras mixtas picantes como aperitivo para fiestas junto con chutney verde y una comida de paneer pulao picante con verduras, Navratan korma y burani raita.</t>
  </si>
  <si>
    <t>Pour commencer à préparer la recette de sucettes aux légumes épicés, ajoutez de l'huile dans une poêle préchauffée et ajoutez les oignons. Faites revenir les oignons jusqu'à ce qu'ils deviennent translucides et une fois cuits, ajoutez la carotte et le chou. Faites sauter les légumes pendant 2 à 3 minutes jusqu'à ce qu'ils soient cuits. Une fois les légumes cuits, ajoutez toutes les poudres d'épices comme la poudre de piment rouge, la poudre de curcuma, la poudre de coriandre et le garam masala et mélangez bien. Assaisonnez avec du sel et du poivre. Couvrez et laissez cuire 2 minutes de plus. Éteignez le feu. Ajoutez ces légumes sautés aux pommes de terre bouillies et écrasez-les bien à l'aide d'un presse-purée et mélangez bien tous les ingrédients. Divisez le mélange en boules de la taille d'un citron. Faites chauffer une poêle à paniyaram, ajoutez de l'huile dans chaque cavité et placez ces petites boules dans chaque cavité et faites cuire les sucettes de pommes de terre jusqu'à ce qu'elles soient dorées d'un côté. Retournez les boulettes de légumes épicés et faites-les cuire de l'autre côté également. Une fois les boulettes de légumes épicés uniformément dorées et cuites, retirez-les sur un papier absorbant. Insérez un cure-dent dans chaque boule et placez-la sur un plat de service. Servez la recette de sucettes aux légumes épicés en apéritif, accompagnée de chutney vert et d'un plat de paneer pulao épicé aux légumes, de navratan korma et de burani raita.</t>
  </si>
  <si>
    <t>http://www.archanaskitchen.com/spicy-mixed-vegetable-lollipop-recipe</t>
  </si>
  <si>
    <t>Whole Wheat Zucchini Cake Recipe</t>
  </si>
  <si>
    <t>Rezept für Vollkorn-Zucchinikuchen</t>
  </si>
  <si>
    <t>Recette de gâteau aux courgettes au blé complet</t>
  </si>
  <si>
    <t>Receta de pastel de calabacín de trigo integral</t>
  </si>
  <si>
    <t>1 tasse de farine de blé entier, 3/4 cuillère à café de levure chimique, 1/2 cuillère à café de sel, 1/2 cuillère à café de bicarbonate de soude, 1/2 cuillère à café de cannelle en poudre (Dalchini), 3/4 tasse de sucre en poudre, 2 œufs entiers, 1/4 tasse d'huile de tournesol, 1/4 tasse de caillé (Dahi / Yaourt) - épais, 1 tasse de courgettes vertes - râpées avec la peau (pressez les courgettes râpées pour enlever l'excès d'humidité), 1 cuillère à café d'extrait de vanille, 1/4 tasse de noix - (hachées) ou de pépites de chocolat (facultatif)</t>
  </si>
  <si>
    <t>1 cup Whole Wheat Flour,3/4 teaspoon Baking powder,1/2 teaspoon Salt,1/2 teaspoon Baking soda,1/2 teaspoon Cinnamon Powder (Dalchini),3/4 cup Sugar - powdered,2 Whole Eggs,1/4 cup Sunflower Oil,1/4 cup Curd (Dahi / Yogurt) - thick,1 cup Green zucchini - grated with peel (squeeze the grated zucchini to take out excess moisture,1 teaspoon Vanilla Extract,1/4 cup Walnuts - (chopped) or chocolate chips (optional)</t>
  </si>
  <si>
    <t>1 taza de harina integral, 3/4 cucharadita de polvo para hornear, 1/2 cucharadita de sal, 1/2 cucharadita de bicarbonato de sodio, 1/2 cucharadita de canela en polvo (dalchini), 3/4 taza de azúcar en polvo, 2 huevos enteros, 1/4 taza de aceite de girasol, 1/4 taza de cuajada (dahi/yogur) espesa, 1 taza de calabacín verde rallado con cáscara (apriete el calabacín rallado para eliminar el exceso de humedad), 1 cucharadita de extracto de vainilla, 1/4 taza de nueces (picadas) o chispas de chocolate (opcional)</t>
  </si>
  <si>
    <t xml:space="preserve">To begin making the Whole Wheat Zucchini Cake recipe, put the oven on preheat at 180°C and grease your cake mould with oil.In a bowl, add flour, baking powder, baking soda, salt, and cinnamon powder. Sift this dry mixture through a fine sieve and keep it aside.In a separate bowl, add eggs and beat with an electric beater at high speed for a minute. You can use a hand whisk also. Add sugar to the beaten eggs and again beat at high till the mixture becomes pale and fluffy.Once it is done, add oil, curd, and vanilla essence to the egg mixture and beat at medium speed till well combined.Next, gradually add the sifted flour mixture and beat at the lowest speed until just combined. Do not overmix.With the help of a spatula, fold in the grated zucchini until well incorporated. If using walnuts or chocolate chips, add them also along with the zucchini.Pour the batter into the prepared mould and bake at 180°C for 30-35 minutes or until a toothpick inserted comes out clean.Serve Whole Wheat Zucchini Cake along with Espresso Coffee and Scrambled Egg Sandwich with Cucumber for your tea time break.
</t>
  </si>
  <si>
    <t>Para empezar a hacer la receta de Pastel de Calabacín Integral, pon el horno a precalentar a 180°C y engrasa tu molde para pastel con aceite. En un tazón, agrega la harina, el polvo para hornear, el bicarbonato de sodio, la sal y la canela en polvo. Tamiza esta mezcla seca a través de un colador fino y déjala a un lado. En un tazón aparte, agrega los huevos y bate con una batidora eléctrica a alta velocidad durante un minuto. También puedes usar un batidor de mano. Agrega azúcar a los huevos batidos y vuelve a batir a alta velocidad hasta que la mezcla se vuelva pálida y esponjosa. Una vez hecho esto, agrega el aceite, la cuajada y la esencia de vainilla a la mezcla de huevo y bate a velocidad media hasta que esté bien combinado. Luego, agrega gradualmente la mezcla de harina tamizada y bate a la velocidad más baja hasta que se combine. No mezcles demasiado. Con la ayuda de una espátula, incorpora el calabacín rallado hasta que esté bien incorporado. Si usa nueces o chispas de chocolate, agréguelas también junto con el calabacín. Vierta la masa en el molde preparado y hornee a 180 °C durante 30-35 minutos o hasta que al insertar un palillo, este salga limpio. Sirva el pastel de calabacín integral junto con café expreso y un sándwich de huevos revueltos con pepino para la hora del té.</t>
  </si>
  <si>
    <t>Pour commencer à préparer la recette du gâteau aux courgettes au blé entier, préchauffez le four à 180 °C et graissez votre moule à gâteau avec de l'huile. Dans un bol, ajoutez la farine, la levure chimique, le bicarbonate de soude, le sel et la cannelle en poudre. Tamisez ce mélange sec à travers un tamis fin et réservez-le. Dans un autre bol, ajoutez les œufs et battez avec un batteur électrique à grande vitesse pendant une minute. Vous pouvez également utiliser un fouet à main. Ajoutez le sucre aux œufs battus et battez à nouveau à grande vitesse jusqu'à ce que le mélange devienne pâle et mousseux. Une fois terminé, ajoutez l'huile, le caillé et l'essence de vanille au mélange d'œufs et battez à vitesse moyenne jusqu'à ce que le tout soit bien mélangé. Ensuite, ajoutez progressivement le mélange de farine tamisé et battez à la vitesse la plus basse jusqu'à ce que le tout soit bien mélangé. Ne mélangez pas trop. À l'aide d'une spatule, incorporez les courgettes râpées jusqu'à ce qu'elles soient bien incorporées. Si vous utilisez des noix ou des pépites de chocolat, ajoutez-les également avec les courgettes. Versez la pâte dans le moule préparé et faites cuire au four à 180 °C pendant 30 à 35 minutes ou jusqu'à ce qu'un cure-dent inséré en ressorte propre. Servez le gâteau aux courgettes au blé entier avec un café expresso et un sandwich aux œufs brouillés au concombre pour votre pause thé.</t>
  </si>
  <si>
    <t>https://www.archanaskitchen.com/whole-wheat-zucchini-cake-recipe</t>
  </si>
  <si>
    <t>Dairy Free Chocolate Pudding Recipe</t>
  </si>
  <si>
    <t>Rezept für milchfreien Schokoladenpudding</t>
  </si>
  <si>
    <t>Recette de pudding au chocolat sans produits laitiers</t>
  </si>
  <si>
    <t>Receta de pudín de chocolate sin lácteos</t>
  </si>
  <si>
    <t>1/2 tasse de sucre en poudre, 1/3 tasse de cacao en poudre non sucré, 1/4 tasse de farine de maïs, 1/2 cuillère à café de sel, 2 tasses de lait d'amande (lait de Badam) non sucré, 1 cuillère à café d'extrait de vanille</t>
  </si>
  <si>
    <t>1/2 cup Sugar - powdered,1/3 cup Cocoa Powder - unsweetened,1/4 cup Corn flour,1/2 teaspoon Salt,2 cup Almond Milk (Badam Milk) - unsweetened,1 teaspoon Vanilla Extract</t>
  </si>
  <si>
    <t>1/2 taza de azúcar en polvo, 1/3 taza de cacao en polvo sin azúcar, 1/4 taza de harina de maíz, 1/2 cucharadita de sal, 2 tazas de leche de almendras (leche de almendras) sin azúcar, 1 cucharadita de extracto de vainilla</t>
  </si>
  <si>
    <t xml:space="preserve">To begin making the Dairy Free Chocolate Pudding sift cocoa powder.In a bowl combine cocoa powder, powdered sugar, cornstarch and salt together.Now, add the almond milk to the dry powder and stir them well to ensure there are no lumps.Over medium heat, bring the mixture to boil. Whisk them occasionally to avoid sticking to the bottom of the pan and avoid lumps.Once it starts boiling, reduce the flame. Add vanilla extract and stir them well.Let it boil for 3-4 minutes until the mixture thickens. Whisk continuously to prevent lumps.Pour the mixture into bowls. Allow the mixture to cool down at least for about two hours.Cover the pudding with foil to prevent the formation of the layer on the top. Ensure there are no air bubbles.Once the mixture cools down, enjoy the Dairy Free Chocolate Pudding with a scoop of vanilla ice cream.Serve Dairy Free Chocolate Pudding as dessert after a meal of Moroccan Chicken Burgers With Feta And Carrot Recipe and Zucchini Parmesan Fritters Recipe.
</t>
  </si>
  <si>
    <t>Para preparar el pudín de chocolate sin lácteos, tamiza el cacao en polvo. En un tazón, mezcla el cacao en polvo, el azúcar glas, la maicena y la sal. Agrega la leche de almendras al polvo seco y revuelve bien para asegurar que no queden grumos. Lleva la mezcla a ebullición a fuego medio. Bate de vez en cuando para evitar que se pegue al fondo y que se formen grumos. Una vez que hierva, reduce el fuego. Agrega el extracto de vainilla y revuelve bien. Deja hervir de 3 a 4 minutos hasta que la mezcla espese. Bate continuamente para evitar grumos. Vierte la mezcla en tazones. Deja enfriar al menos dos horas. Cubre el pudín con papel aluminio para evitar que se forme una capa en la superficie. Asegúrese de que no queden burbujas de aire. Una vez que la mezcla se haya enfriado, disfrute del pudín de chocolate sin lácteos con una bola de helado de vainilla. Sirva el pudín de chocolate sin lácteos como postre después de una comida de hamburguesas de pollo marroquíes con queso feta y zanahoria y una receta de buñuelos de calabacín y parmesano.</t>
  </si>
  <si>
    <t>Pour préparer le pouding au chocolat sans produits laitiers, tamisez le cacao en poudre. Dans un bol, mélangez le cacao en poudre, le sucre glace, la fécule de maïs et le sel. Ajoutez ensuite le lait d'amande à la poudre sèche et remuez bien pour éviter les grumeaux. Portez le mélange à ébullition à feu moyen. Fouettez de temps en temps pour éviter que le mélange n'attache au fond de la casserole et les grumeaux. Dès que l'ébullition commence, réduisez le feu. Ajoutez l'extrait de vanille et remuez bien. Laissez bouillir 3 à 4 minutes jusqu'à ce que le mélange épaississe. Fouettez constamment pour éviter les grumeaux. Versez le mélange dans des bols. Laissez refroidir pendant au moins deux heures. Couvrez le pouding de papier aluminium pour éviter la formation d'une couche sur le dessus. Assurez-vous qu'il n'y a pas de bulles d'air. Une fois le mélange refroidi, dégustez le pudding au chocolat sans produits laitiers avec une boule de glace à la vanille. Servez le pudding au chocolat sans produits laitiers en dessert après un repas composé de burgers de poulet marocains avec feta et carottes et de beignets de courgettes au parmesan.</t>
  </si>
  <si>
    <t>http://www.archanaskitchen.com/diary-free-chocolate-pudding-recipe</t>
  </si>
  <si>
    <t>Strawberry Banana Sorbet Recipe</t>
  </si>
  <si>
    <t>Erdbeer-Bananen-Sorbet-Rezept</t>
  </si>
  <si>
    <t>Recette de sorbet fraise-banane</t>
  </si>
  <si>
    <t>Receta de sorbete de fresa y plátano</t>
  </si>
  <si>
    <t>2 bananes mûres - coupées en morceaux et congelées, 500 grammes Fraises - congelées, 1/3 tasse Jus d'orange frais, 1/3 tasse Jus de citron - frais, 1/4 tasse Sucre</t>
  </si>
  <si>
    <t>2 Ripe Bananas - cut into chunks and frozen,500 grams Strawberries - frozen,1/3 cup Fresh orange juice,1/3 cup Lemon juice - fresh,1/4 cup Sugar</t>
  </si>
  <si>
    <t>2 plátanos maduros - cortados en trozos y congelados, 500 gramos Fresas - congeladas, 1/3 taza Jugo de naranja fresco, 1/3 taza Jugo de limón - fresco, 1/4 taza Azúcar</t>
  </si>
  <si>
    <t xml:space="preserve">To begin making the Strawberry Banana Sorbet recipe, blend together all the frozen fruits and juices along with the sugar until you get a smooth puree. Check the sugar and adjust to suit your taste.Process strawberry and banana mixture in ice cream maker according to manufacturer's instructions. If you don't have an ice cream maker then place sorbet mixture in shallow freezer-proof glass container and freeze, stirring every hour until set, about 10 hours.Once the sorbet is frozen, you can make the sorbet 3 days ahead and cover and freeze into an airtight container. Serve the Strawberry Banana Sorbet for your holiday parties with family and friends
</t>
  </si>
  <si>
    <t>Para preparar el sorbete de fresa y plátano, licúe todas las frutas congeladas y sus jugos junto con el azúcar hasta obtener un puré suave. Revise el azúcar y ajuste a su gusto. Procese la mezcla de fresa y plátano en una heladera según las instrucciones del fabricante. Si no tiene heladera, coloque la mezcla de sorbete en un recipiente de vidrio poco profundo apto para congelador y congélelo, revolviendo cada hora hasta que cuaje, aproximadamente 10 horas. Una vez congelado el sorbete, puede prepararlo con 3 días de anticipación, cúbralo y congélelo en un recipiente hermético. Sirva el sorbete de fresa y plátano en sus fiestas navideñas con familiares y amigos.</t>
  </si>
  <si>
    <t>Pour préparer le sorbet fraise-banane, mixez tous les fruits et jus congelés avec le sucre jusqu'à obtenir une purée lisse. Vérifiez la quantité de sucre et ajustez à votre goût. Passez le mélange fraise-banane à la sorbetière selon les instructions du fabricant. Si vous n'avez pas de sorbetière, versez le mélange dans un récipient en verre peu profond allant au congélateur et congelez-le en remuant toutes les heures jusqu'à ce qu'il soit pris, soit environ 10 heures. Une fois le sorbet congelé, vous pouvez le préparer 3 jours à l'avance, le couvrir et le congeler dans un récipient hermétique. Servez le sorbet fraise-banane pour vos fêtes de fin d'année en famille ou entre amis.</t>
  </si>
  <si>
    <t>https://www.archanaskitchen.com/strawberry-banana-sorbet-recipe</t>
  </si>
  <si>
    <t>Fruit Sandwich Recipe</t>
  </si>
  <si>
    <t>Rezept für Fruchtsandwiches</t>
  </si>
  <si>
    <t>Recette de sandwichs aux fruits</t>
  </si>
  <si>
    <t>Receta de sándwich de frutas</t>
  </si>
  <si>
    <t>3 pains bruns de blé entier, 2 bananes mûres - pelées et tranchées, 2 ananas - tranchés finement, 1 pomme - ou poulet, 2 cuillères à soupe de confiture - Fruits mélangés</t>
  </si>
  <si>
    <t>3 Whole Wheat Brown Bread,2 Ripe Bananas - peeled and sliced,2 Pineapple - sliced thin,1 Apple - or chickoo,2 tablespoon Jam - Mixed fruit</t>
  </si>
  <si>
    <t>3 panes integrales, 2 plátanos maduros (pelados y en rodajas), 2 piñas (en rodajas finas), 1 manzana (o chicle), 2 cucharadas de mermelada de frutas mixtas.</t>
  </si>
  <si>
    <t xml:space="preserve">To prepare Fruit Sandwich Recipe, get all the ingredients handy. Apply jam to one side of 2 bread slices.To assemble the sandwich, take one bread with jam applied and over it place the fruit slices of pineapple, bananas, chickoo or apple in any order. Arrange the fruits slices completely on the bread.Over this, place another bread slice. The jam side should be facing on the top.Over this arrange the sliced fruits again and close the sandwich with a slice to which no jam has been applied.Grill this fruit sandwich on a Grill sandwich toaster till the topmost slice of bread turns brownish. If you don’t like to grill, simply have the sandwich as it is.To serve, cut the sandwich into 2 triangles and serve Fruit Sandwich with a cup of Espresso Coffee for your weekday breakfast.
</t>
  </si>
  <si>
    <t>Para preparar la receta del sándwich de frutas, ten todos los ingredientes a mano. Unta con mermelada un lado de dos rebanadas de pan. Para armar el sándwich, toma un pan con mermelada y coloca encima las rodajas de fruta (piña, plátano, garbanzo o manzana) en cualquier orden. Coloca las rodajas de fruta completamente sobre el pan. Sobre esta, coloca otra rebanada de pan. La parte con mermelada debe quedar hacia arriba. Sobre esta, coloca de nuevo las rodajas de fruta y cierra el sándwich con una rebanada sin mermelada. Asa este sándwich de frutas en una tostadora hasta que la rebanada superior se dore. Si no te gusta asarlo, simplemente come el sándwich así. Para servir, corta el sándwich en dos triángulos y acompaña el sándwich de frutas con una taza de café expreso para tu desayuno entre semana.</t>
  </si>
  <si>
    <t>Pour préparer le sandwich aux fruits, munissez-vous de tous les ingrédients. Enrobez de confiture deux tranches de pain. Pour assembler le sandwich, prenez une tranche de pain confiture et disposez dessus les tranches de fruits (ananas, banane, poulet ou pomme) dans l'ordre de votre choix. Disposez les tranches de fruits sur le pain. Placez ensuite une autre tranche de pain par-dessus, la confiture étant tournée vers le haut. Disposez à nouveau les tranches de fruits par-dessus et refermez le sandwich avec une tranche non confiture. Faites griller ce sandwich aux fruits au grille-pain jusqu'à ce que la tranche de pain supérieure brunisse. Si vous n'aimez pas griller, dégustez le sandwich tel quel. Pour servir, coupez le sandwich en deux triangles et servez le sandwich aux fruits avec une tasse d'expresso pour votre petit-déjeuner en semaine.</t>
  </si>
  <si>
    <t>https://www.archanaskitchen.com/fruit-sandwich-recipe</t>
  </si>
  <si>
    <t>Grilled Tomato And Cheese Sandwich Recipe</t>
  </si>
  <si>
    <t>Rezept für gegrilltes Tomaten-Käse-Sandwich</t>
  </si>
  <si>
    <t>Recette de sandwich grillé aux tomates et au fromage</t>
  </si>
  <si>
    <t>Receta de sándwich de tomate y queso a la parrilla</t>
  </si>
  <si>
    <t>4 pains bruns de blé entier, 2 cuillères à soupe de beurre, 2 tomates - tranchées, 2 fromages, sel - au goût, poivre noir en poudre - au goût, origan séché - au besoin</t>
  </si>
  <si>
    <t>4 Whole Wheat Brown Bread,2 tablespoon Butter,2 Tomatoes - sliced,2 Cheese,Salt - to taste,Black pepper powder - to taste,Dried oregano - as required</t>
  </si>
  <si>
    <t>4 panes integrales, 2 cucharadas de mantequilla, 2 tomates en rodajas, 2 quesos, sal al gusto, pimienta negra en polvo al gusto, orégano seco al gusto.</t>
  </si>
  <si>
    <t xml:space="preserve">To begin making the Grilled Tomato and Cheese Sandwich Recipe by spreading the butter evenly on both the side of the bread.First place the bread on the sandwich toaster, then place the tomato, sprinkle the seasoning over it and place the cheese slice over it and then cover it. Toast the sandwich till you get grill marks over the bread.Serve the Grilled Tomato and Cheese Sandwich Recipe along with some glass of juice like Gajjar Lauki Juice Recipe (Bottle Gourd Carrot Juice) to kick start your breakfast with a satisfying meal.
</t>
  </si>
  <si>
    <t>Para empezar a preparar el sándwich de tomate y queso a la parrilla, unta la mantequilla uniformemente por ambos lados del pan. Primero, coloca el pan en la tostadora, luego el tomate, espolvorea el condimento y coloca la loncha de queso encima. Tuesta el sándwich hasta que se formen marcas de la parrilla. Sirve el sándwich de tomate y queso a la parrilla con un vaso de jugo, como el de Gajjar Lauki (jugo de calabaza y zanahoria), para empezar el desayuno con una comida abundante.</t>
  </si>
  <si>
    <t>Pour commencer la recette du sandwich grillé aux tomates et au fromage, étalez le beurre uniformément sur les deux côtés du pain. Placez d'abord le pain dans le grille-pain, puis placez la tomate, saupoudrez d'assaisonnement et placez la tranche de fromage dessus, puis recouvrez. Faites griller le sandwich jusqu'à obtenir des marques de gril sur le pain. Servez la recette du sandwich grillé aux tomates et au fromage avec un verre de jus comme la recette de jus de carotte de courge en bouteille (Gajjar Lauki Juice Recipe) pour démarrer votre petit-déjeuner avec un repas satisfaisant.</t>
  </si>
  <si>
    <t>http://www.archanaskitchen.com/grilled-tomato-and-cheese-sandwich-recipe</t>
  </si>
  <si>
    <t>Apple Roses Recipe With Homemade Puff Pastry Sheets (Eggless)</t>
  </si>
  <si>
    <t>Apfelrosen-Rezept mit selbstgemachtem Blätterteig (ohne Ei)</t>
  </si>
  <si>
    <t>Recette de rose aux pommes avec pâte feuilletée maison (sans œuf)</t>
  </si>
  <si>
    <t>Receta de Rosa de Manzana con Hojaldre Casero (Sin Huevo)</t>
  </si>
  <si>
    <t>1 tasse de farine tout usage (Maida), 75 grammes de beurre (à température ambiante), brins de safran - une pincée, 1 cuillère à café de cannelle en poudre (Dalchini), 2 cuillères à soupe de sucre en poudre, 3 cuillères à soupe d'eau, 1 pomme - coupée en tranches très fines, 1 cuillère à soupe de jus de citron, 1-1/2 tasse d'eau, 40 grammes de beurre - pour badigeonner, 3 cuillères à soupe de sucre en poudre - pour garnir, 2 cuillères à café de cannelle en poudre (Dalchini) - pour garnir</t>
  </si>
  <si>
    <t>1 cup All Purpose Flour (Maida),75 gram Butter - (at room temperature),Saffron strands - a pinch,1 teaspoon Cinnamon Powder (Dalchini),2 tablespoon Caster Sugar,3 tablespoon Water,1 Apple - cut into to very thin slices,1 tablespoon Lemon juice,1-1/2 cup Water,40 gram Butter - to brush,3 tablespoon Caster Sugar - to garnsih,2 teaspoon Cinnamon Powder (Dalchini) - to garnish</t>
  </si>
  <si>
    <t>1 taza de harina para todo uso (Maida), 75 gramos de mantequilla (a temperatura ambiente), hebras de azafrán (una pizca), 1 cucharadita de canela en polvo (dalchini), 2 cucharadas de azúcar extrafino, 3 cucharadas de agua, 1 manzana cortada en rodajas muy finas, 1 cucharada de jugo de limón, 1-1/2 taza de agua, 40 gramos de mantequilla (para pincelar), 3 cucharadas de azúcar extrafino (para decorar), 2 cucharaditas de canela en polvo (dalchini) para decorar</t>
  </si>
  <si>
    <t xml:space="preserve">To prepare Apple Roses Recipe With Homemade Puff Pastry Sheets (Eggless), start by preparing the puff pastry dough.In a bowl, add butter (at room temperature) and whisk it with a fork.Mix saffron, castor sugar and cinnamon powder in a bowl and keep it ready for later use.Add all-purpose flour in a Mixing bowl. Add required water to make a smooth but tight dough.To prepare the apple roses now, add apple slices, sprinkle lemon and water into a glass/ceramic microwave safe bowl and microwave it on medium for 4 minutes or until cooked.To soften the apple slices while making the roses, cool the apple slices to room temperature.Now roll the dough out to make long rectangular sheet and cut strips of 8-inch long and about less than an inch wide.Apply butter and sugar cinnamon powder on it.On the upper half of the stip, arrange the apple slices side by side to make half of the sheet overlapped with arranged apple slices.Now fold bottom part of the sheet once.Apply more butter and sugar cinnamon powder on it.Now roll the sheet with arranged apple slices gently, to make a beautiful rose!Repeat the process to make other eggless apple roses as well.Preheat Oven to 200 degrees Celsius for 10 minutes. Meanwhile you can Repeat the process to make other eggless apple roses as well.To bake, arrange the roses on a parchment paper lined Baking sheet and bake for 30-35 minutes or until the edges appear brownish and crisp.Serve it these delicious Apple Roses Recipe With Homemade Puff Pastry Sheets (Eggless) with more cinnamon-sugar powder sprinkled on them, during tea time with Masala Chai or Coffee.
</t>
  </si>
  <si>
    <t>Para preparar la Receta de Rosas de Manzana Con Láminas de Hojaldre Caseras (Sin Huevo), comience preparando la masa de hojaldre. En un bol, agregue la mantequilla (a temperatura ambiente) y bátela con un tenedor. Mezcle el azafrán, el azúcar glas y la canela en polvo en un bol y manténgalo listo para usar más tarde. Agregue la harina para todo uso en un tazón para mezclar. Agregue el agua necesaria para hacer una masa suave pero compacta. Para preparar las rosas de manzana ahora, agregue rodajas de manzana, espolvoree limón y agua en un recipiente apto para microondas de vidrio / cerámica y caliéntelo en el microondas a potencia media durante 4 minutos o hasta que esté cocido. Para ablandar las rodajas de manzana mientras hace las rosas, enfríe las rodajas de manzana a temperatura ambiente. Ahora extienda la masa para hacer una lámina rectangular larga y corte tiras de 8 pulgadas de largo y menos de una pulgada de ancho. Aplique mantequilla y canela en polvo de azúcar en ella. En la mitad superior de la punta, coloque las rodajas de manzana una al lado de la otra para que la mitad de la lámina se superponga con las rodajas de manzana dispuestas. Ahora doble la parte inferior de la lámina una vez. Aplique más mantequilla y canela en polvo de azúcar en ella. ¡Ahora enrolle la lámina con las rodajas de manzana dispuestas suavemente, para hacer una hermosa rosa! Repita el proceso para hacer otras rosas de manzana sin huevo también. Precaliente el horno a 200 grados Celsius durante 10 minutos. Mientras tanto, puedes repetir el proceso para hacer otras rosas de manzana sin huevo. Para hornear, coloca las rosas en una bandeja para hornear forrada con papel pergamino y hornea durante 30-35 minutos o hasta que los bordes se vean dorados y crujientes. Sirve estas deliciosas rosas de manzana con láminas de hojaldre caseras (sin huevo) con más canela y azúcar en polvo espolvoreadas sobre ellas, durante la hora del té con Masala Chai o café.</t>
  </si>
  <si>
    <t>Pour préparer la recette de roses aux pommes avec des feuilles de pâte feuilletée maison (sans œufs), commencez par préparer la pâte feuilletée. Dans un bol, ajoutez le beurre (à température ambiante) et fouettez-le avec une fourchette. Mélangez le safran, le sucre en poudre et la cannelle en poudre dans un bol et gardez-le prêt pour une utilisation ultérieure. Ajoutez la farine tout usage dans un bol à mélanger. Ajoutez l'eau nécessaire pour faire une pâte lisse mais serrée. Pour préparer les roses de pomme maintenant, ajoutez des tranches de pomme, saupoudrez de citron et d'eau dans un bol en verre/céramique allant au micro-ondes et faites-le chauffer au micro-ondes à puissance moyenne pendant 4 minutes ou jusqu'à ce qu'il soit cuit. Pour ramollir les tranches de pomme pendant la préparation des roses, laissez-les refroidir à température ambiante. Maintenant, étalez la pâte pour former une longue feuille rectangulaire et coupez des bandes de 8 pouces de long et d'environ moins d'un pouce de large. Appliquez du beurre et du sucre en poudre de cannelle dessus. Sur la moitié supérieure de la bande, disposez les tranches de pomme côte à côte pour que la moitié de la feuille se chevauche avec les tranches de pomme disposées. Maintenant, pliez la partie inférieure de la feuille une fois. Appliquez plus de beurre et de sucre en poudre de cannelle dessus. Maintenant, roulez doucement la feuille avec les tranches de pomme disposées, pour faire une belle rose ! Répétez le processus pour faire d'autres roses de pomme sans œufs également. Préchauffez le four à 200 degrés Celsius pendant 10 minutes. Pendant ce temps, vous pouvez répéter le processus pour faire d'autres roses aux pommes sans œufs. Pour la cuisson, disposez les roses sur une plaque à pâtisserie recouverte de papier sulfurisé et faites cuire pendant 30 à 35 minutes ou jusqu'à ce que les bords soient brunâtres et croustillants. Servez cette délicieuse recette de roses aux pommes avec des feuilles de pâte feuilletée maison (sans œufs) avec plus de poudre de cannelle et de sucre saupoudrées dessus, à l'heure du thé avec du Masala Chai ou du café.</t>
  </si>
  <si>
    <t>http://www.archanaskitchen.com/apple-roses-recipe-with-homemade-puff-pastry-sheets-eggless</t>
  </si>
  <si>
    <t>Dry Fruits Spongy Cake Recipe</t>
  </si>
  <si>
    <t>Rezept für Biskuitkuchen mit Trockenfrüchten</t>
  </si>
  <si>
    <t>Recette de génoise aux fruits secs</t>
  </si>
  <si>
    <t>Receta de bizcocho de frutos secos</t>
  </si>
  <si>
    <t>1-1/2 tasse de farine tout usage (Maida), 3/4 tasse de sucre en poudre, 1 cuillère à café de levure chimique, 1/2 cuillère à café de bicarbonate de soude, 1/4 cuillère à café de sel, 3 cuillères à soupe de fruits secs mélangés - grossièrement hachés, 3/4 tasse d'eau, 1/4 tasse d'huile de tournesol, 3/4 cuillères à soupe de vinaigre, 1 cuillère à café d'extrait de vanille, huile de tournesol - pour graisser le moule à gâteau</t>
  </si>
  <si>
    <t>1-1/2 cup All Purpose Flour (Maida),3/4 cup Caster Sugar,1 teaspoon Baking powder,1/2 teaspoon Baking soda,1/4 teaspoon Salt,3 tablespoons Mixed dry fruits - roughly chopped,3/4 cup Water,1/4 cup Sunflower Oil,3/4 tablespoons Vinegar,1 teaspoon Vanilla Extract,Sunflower Oil - to grease the cake tin</t>
  </si>
  <si>
    <t>1-1/2 taza de harina para todo uso (Maida), 3/4 taza de azúcar extrafino, 1 cucharadita de polvo para hornear, 1/2 cucharadita de bicarbonato de sodio, 1/4 cucharadita de sal, 3 cucharadas de frutas secas mixtas - picadas gruesamente, 3/4 taza de agua, 1/4 taza de aceite de girasol, 3/4 cucharadas de vinagre, 1 cucharadita de extracto de vainilla, aceite de girasol - para engrasar el molde para pastel</t>
  </si>
  <si>
    <t xml:space="preserve">To begin making the Dry Fruits Spongy Cake recipe, first mix all the dry ingredients in a mixing bowl. Sieve it so that if any coarse particle is there, it can easily be separated except dryfruits.Next, add 2 tablespoons of dry fruits to this. Now in another mixing bowl mix all wet ingredients.Now slowly pour the wet mixture to dry mixture and mix this using a spatula.Don't over mix, otherwise the aeration will be gone. Meanwhile preheat the oven at 150 degree for 10 minutes.Put an aluminium foil on the baking tray. Grease the cake tin with oil and then spread dry flour all over it and remove the extra flour.Pour the cake mix and fill it up to 3/4th level of tin. Sprinkle the rest 1 tablespoons of dryfruits on the cake batter.When u bake, it will rise up. Bake at 150 degree for about 30 minutes.Insert a toothpick to check if the cake is cooked. If it comes out clean its ready. Serve Dry Fruits Spongy Cake along with Cold Coffee Smoothie and Aloo Tikki Stuffed Pita Sandwich during your tea time parties.
</t>
  </si>
  <si>
    <t>Para comenzar a hacer la receta de pastel esponjoso de frutos secos, primero mezcle todos los ingredientes secos en un tazón. Tamícelo de modo que si hay alguna partícula gruesa, se pueda separar fácilmente excepto los frutos secos. Luego, agregue 2 cucharadas de frutos secos a esto. Ahora, en otro tazón, mezcle todos los ingredientes húmedos. Ahora vierta lentamente la mezcla húmeda a la mezcla seca y mezcle esto con una espátula. No mezcle demasiado, de lo contrario se perderá la aireación. Mientras tanto, precaliente el horno a 150 grados durante 10 minutos. Coloque una hoja de aluminio en la bandeja para hornear. Engrase el molde para pastel con aceite y luego extienda harina seca por todas partes y retire la harina adicional. Vierta la mezcla para pastel y llénela hasta el nivel de 3/4 del molde. Espolvoree las 1 cucharadas restantes de frutos secos sobre la masa del pastel. Cuando hornee, subirá. Hornee a 150 grados durante unos 30 minutos. Inserte un palillo para verificar si el pastel está cocido. Si sale limpio, está listo. Sirva bizcocho esponjoso de frutos secos junto con batido de café frío y sándwich de pita relleno de aloo tikki durante sus fiestas de té.</t>
  </si>
  <si>
    <t>Pour commencer à préparer la recette du gâteau spongieux aux fruits secs, mélangez d'abord tous les ingrédients secs dans un saladier. Tamisez-le pour que les particules grossières puissent être facilement séparées, à l'exception des fruits secs. Ajoutez ensuite 2 cuillères à soupe de fruits secs. Dans un autre saladier, mélangez tous les ingrédients humides. Versez lentement le mélange humide dans le mélange sec et mélangez à l'aide d'une spatule. Ne mélangez pas trop, sinon l'aération disparaîtra. Pendant ce temps, préchauffez le four à 150 degrés pendant 10 minutes. Placez une feuille d'aluminium sur la plaque de cuisson. Graissez le moule à gâteau avec de l'huile, puis étalez de la farine sèche partout et retirez l'excédent de farine. Versez la préparation pour gâteau et remplissez-le jusqu'aux 3/4 du moule. Saupoudrez le reste des 1 cuillère à soupe de fruits secs sur la pâte à gâteau. À la cuisson, elle lèvera. Faites cuire au four à 150 degrés pendant environ 30 minutes. Insérez un cure-dent pour vérifier si le gâteau est cuit. S'il ressort propre, c'est prêt. Servez un gâteau spongieux aux fruits secs accompagné d'un smoothie au café froid et d'un sandwich pita farci à l'Aloo Tikki lors de vos goûters.</t>
  </si>
  <si>
    <t>http://www.archanaskitchen.com/dry-fruits-spongy-cake-recipe</t>
  </si>
  <si>
    <t>Eggless Tutti Frutti Cake Recipe</t>
  </si>
  <si>
    <t>Tutti-Frutti-Kuchenrezept ohne Ei</t>
  </si>
  <si>
    <t>Recette de gâteau tutti-frutti sans œufs</t>
  </si>
  <si>
    <t>Receta de pastel de tutti-frutti sin huevo</t>
  </si>
  <si>
    <t>1 tasse de farine tout usage (Maida), 2 cuillères à soupe de farine de blé entier, 1 cuillère à café de Sooji (semoule/Rava), 2 cuillères à soupe de lait en poudre, 1 cuillère à café de farine de maïs, 1/3 tasse de sucre, 80 grammes de beurre - à température ambiante, lait - lait selon les besoins, 1/2 tasse de caillé (Dahi / Yaourt) - fouetté, 1/2 tasse de lait concentré, 1 cuillère à café de levure chimique, 1/2 cuillère à café de bicarbonate de soude, 1/2 tasse de Tutti frutti, 2 cuillères à soupe de raisins secs, une pincée de colorant alimentaire - une pincée de colorant alimentaire jaune (facultatif), 1 cuillère à café d'extrait de vanille, 1 cuillère à café de gousses/graines de cardamome (Elaichi) - écrasées (facultatif), 1 cuillère à soupe de vinaigre blanc, une pincée de sel - une pincée de sel, 1 cuillère à soupe de farine tout usage (Maida) - pour saupoudrer</t>
  </si>
  <si>
    <t>1 cup All Purpose Flour (Maida),2 tablespoons Whole Wheat Flour,1 teaspoon Sooji (Semolina/ Rava),2 tablespoon Milk Powder,1 teaspoon Corn flour,1/3 cup Sugar,80 grams Butter - at room temperature,Milk - milk as required,1/2 cup Curd (Dahi / Yogurt) - whisked,1/2 cup Condensed Milk,1 teaspoon Baking powder,1/2 teaspoon Baking soda,1/2 cup Tutti frutti,2 tablespoons Raisins,pinch Food Color - pinch of yellow food colour (optional),1 teaspoon Vanilla Extract,1 teaspoon Cardamom (Elaichi) Pods/Seeds - crushed (optional),1 tablespoon White vinegar,pinch Salt - pinch of salt,1 tablespoon All Purpose Flour (Maida) - for dusting</t>
  </si>
  <si>
    <t>1 taza de harina para todo uso (Maida), 2 cucharadas de harina integral, 1 cucharadita de Sooji (sémola/rava), 2 cucharadas de leche en polvo, 1 cucharadita de harina de maíz, 1/3 taza de azúcar, 80 gramos de mantequilla - a temperatura ambiente, leche - leche según sea necesario, 1/2 taza de cuajada (Dahi/yogur) - batida, 1/2 taza de leche condensada, 1 cucharadita de polvo para hornear, 1/2 cucharadita de bicarbonato de sodio, 1/2 taza de Tutti frutti, 2 cucharadas de pasas, pizca de colorante alimentario - pizca de colorante alimentario amarillo (opcional), 1 cucharadita de extracto de vainilla, 1 cucharadita de vainas/semillas de cardamomo (Elaichi) - trituradas (opcional), 1 cucharada de vinagre blanco, pizca de sal - pizca de sal, 1 cucharada de harina para todo uso (Maida) - para espolvorear</t>
  </si>
  <si>
    <t xml:space="preserve">To prepare Eggless Tutti frutti cake, prep up all the ingredients and preheat oven to 180 degrees Celsius. Prepare a loaf tin by applying oil on it and dusting with flour.Sift together the dry ingredients- all-purpose flour, wheat flour, semolina, cornstarch, baking powder, baking soda and a pinch of salt. Mix well.Take a big mixing bowl and add butter, condensed milk, sugar, yogurt, vanilla essence and mix it well until it forms a creamy texture.Now sprinkle some plain flour over the tutti frutti and spread it well (Dusting the tutti frutti with some flour before incorporating them into the batter helps in even distribution preventing them from sinking to the bottom of the cake).Now add the dry ingredients to the wet mixture. Mix very well. For the right consistency, add milk if needed. Add tutti frutti and raisins and at last add white vinegar and then mix it well.Pour the batter into the prepared loaf tin and tap well. Sprinkle some crushed cardamom if using.Bake in the preheated oven for 30 to 35 minutes at the same temperature.The top needs to turn golden brown and a tester (toothpick) should come out clean.Allow the Eggless Tutti Frutti Cake to cool for 1 hour. Then slice and enjoy with Masala Chai or Filter Coffee.
</t>
  </si>
  <si>
    <t>Para preparar el pastel de tutti frutti sin huevo, prepare todos los ingredientes y precaliente el horno a 180 grados centígrados. Prepare un molde para pan aplicándole aceite y espolvoreándolo con harina. Tamice juntos los ingredientes secos: harina para todo uso, harina de trigo, sémola, maicena, polvo para hornear, bicarbonato de sodio y una pizca de sal. Mezcle bien. Tome un tazón grande y agregue mantequilla, leche condensada, azúcar, yogur, esencia de vainilla y mezcle bien hasta que forme una textura cremosa. Ahora espolvoree un poco de harina común sobre el tutti frutti y extiéndalo bien (espolvorear el tutti frutti con un poco de harina antes de incorporarlos a la masa ayuda a una distribución uniforme evitando que se hundan al fondo del pastel). Ahora agregue los ingredientes secos a la mezcla húmeda. Mezcle muy bien. Para obtener la consistencia adecuada, agregue leche si es necesario. Agregue el tutti frutti y las pasas y, por último, agregue vinagre blanco y luego mezcle bien. Vierta la masa en el molde para pan preparado y golpee bien. Espolvorea un poco de cardamomo triturado si lo usas. Hornea en el horno precalentado durante 30 a 35 minutos a la misma temperatura. La parte superior debe dorarse y al insertar un palillo, este debe salir limpio. Deja enfriar el pastel Tutti Frutti sin huevo durante 1 hora. Luego, córtalo en rebanadas y disfrútalo con Masala Chai o café de filtro.</t>
  </si>
  <si>
    <t>Français Pour préparer le gâteau Tutti frutti sans œufs, préparez tous les ingrédients et préchauffez le four à 180 degrés Celsius. Préparez un moule à cake en appliquant de l'huile dessus et en le saupoudrant de farine. Tamisez ensemble les ingrédients secs - farine tout usage, farine de blé, semoule, fécule de maïs, levure chimique, bicarbonate de soude et une pincée de sel. Bien mélanger. Prenez un grand saladier et ajoutez le beurre, le lait concentré, le sucre, le yaourt, l'essence de vanille et mélangez bien jusqu'à obtenir une texture crémeuse. Saupoudrez maintenant un peu de farine nature sur les tutti frutti et étalez-la bien (saupoudrer les tutti frutti d'un peu de farine avant de les incorporer à la pâte permet une répartition uniforme et les empêche de couler au fond du gâteau). Ajoutez maintenant les ingrédients secs au mélange humide. Mélangez très bien. Pour obtenir la bonne consistance, ajoutez du lait si nécessaire. Ajoutez les tutti frutti et les raisins secs et enfin ajoutez le vinaigre blanc, puis mélangez bien. Versez la pâte dans le moule à cake préparé et tapotez bien. Saupoudrez de cardamome concassée si vous en utilisez. Faites cuire au four préchauffé pendant 30 à 35 minutes à la même température. Le dessus doit être doré et un cure-dent doit en ressortir propre. Laissez refroidir le gâteau Tutti Frutti sans œufs pendant 1 heure. Découpez-le ensuite en tranches et dégustez-le avec du Masala Chai ou du café filtre.</t>
  </si>
  <si>
    <t>http://www.archanaskitchen.com/eggless-tutti-frutti-cake-recipe</t>
  </si>
  <si>
    <t>Kiwi Basil Lemonade Recipe</t>
  </si>
  <si>
    <t>Rezept für Kiwi-Basilikum-Limonade</t>
  </si>
  <si>
    <t>Recette de limonade au kiwi et au basilic</t>
  </si>
  <si>
    <t>Receta de limonada de kiwi y albahaca</t>
  </si>
  <si>
    <t>2 kiwis pelés, 2 cuillères à soupe de sirop de sucre, 2 cuillères à soupe de jus de citron, 5 tasses d'eau, sel noir (Kala Namak) au goût, quelques feuilles de basilic, glaçons au besoin</t>
  </si>
  <si>
    <t>2 Kiwi - peeled,2 tablespoons Sugar syrup,2 tablespoons Lemon juice,5 cups Water,Black Salt (Kala Namak) - to taste,Basil leaves - few,Ice cubes - as required</t>
  </si>
  <si>
    <t>2 kiwis pelados, 2 cucharadas de jarabe de azúcar, 2 cucharadas de jugo de limón, 5 tazas de agua, sal negra (Kala Namak) - al gusto, algunas hojas de albahaca, cubitos de hielo - según sea necesario</t>
  </si>
  <si>
    <t xml:space="preserve">To begin making the Kiwi Basil Lemonade recipe, peel the kiwis and keep them aside.Now add the kiwis along with some basil leaves and puree them in a mixer grinder.Now in a big jug, add in the lemon juice, sugar syrup, black salt and water. Mix everything properly.Now in the same jug, add in the kiwi and basil puree. Mix it well and make sure the puree is mixed with the flavoured water properly.Add in the ice cubes and serve. You can also keep it in the refrigerator to make it chilled. Serve Kiwi Basil Lemonade along with some snacks like Instant Nimbe Avalakki and Baked Masala Namak Para to your guest when they visit you at your home.
</t>
  </si>
  <si>
    <t>Para empezar a preparar la receta de limonada de kiwi y albahaca, pela los kiwis y resérvalos. Añade los kiwis junto con algunas hojas de albahaca y haz un puré con una batidora. En una jarra grande, añade el zumo de limón, el jarabe de azúcar, la sal negra y el agua. Mezcla todo bien. En la misma jarra, añade el puré de kiwi y albahaca. Mezcla bien y asegúrate de que el puré se integre bien con el agua saborizada. Añade los cubitos de hielo y sirve. También puedes guardarlo en el refrigerador para que esté frío. Sirve la limonada de kiwi y albahaca junto con algunos aperitivos como Nimbe Avalakki instantáneo y Masala Namak Para horneado a tus invitados cuando te visiten en casa.</t>
  </si>
  <si>
    <t>Pour commencer à préparer la recette de limonade au kiwi et au basilic, épluchez les kiwis et réservez-les. Ajoutez-les ensuite avec quelques feuilles de basilic et réduisez-les en purée au mixeur. Dans un grand pichet, ajoutez le jus de citron, le sirop de sucre, le sel noir et l'eau. Mélangez bien le tout. Dans le même pichet, ajoutez la purée de kiwi et de basilic. Mélangez bien et assurez-vous que la purée soit bien mélangée à l'eau aromatisée. Ajoutez les glaçons et servez. Vous pouvez également la conserver au réfrigérateur pour la rafraîchir. Servez la limonade au kiwi et au basilic accompagnée de quelques en-cas comme l'Instant Nimbe Avalakki et le Baked Masala Namak Para à vos invités lorsqu'ils vous rendent visite.</t>
  </si>
  <si>
    <t>http://www.archanaskitchen.com/kiwi-basil-lemonade-recipe</t>
  </si>
  <si>
    <t>Buckwheat Apple Cinnamon Loaf Cake Recipe</t>
  </si>
  <si>
    <t>Rezept für Buchweizen-Apfel-Zimt-Kastenkuchen</t>
  </si>
  <si>
    <t>Recette de gâteau au sarrasin, aux pommes et à la cannelle</t>
  </si>
  <si>
    <t>Receta de pastel de trigo sarraceno, manzana y canela</t>
  </si>
  <si>
    <t>11/4 tasse de farine de sarrasin (Kuttu Ka Atta), 5 cuillères à soupe de farine de maïs, 1/2 tasse de cassonade (sucre Demerara) - (alternativement du sucre glace), 1 pomme - pelée, 1-1/2 cuillère à café de levure chimique, 1-1/2 cuillère à café de cannelle en poudre (Dalchini), 1-1/2 cuillère à café d'extrait de vanille, 100 grammes de beurre - mou faible en gras, 2/3 tasse de sucre glace, 1/2 tasse de lait - faible en gras</t>
  </si>
  <si>
    <t>11/4 cup Buckwheat Flour (Kuttu Ka Atta),5 tablespoon Corn flour,1/2 cup Brown Sugar (Demerara Sugar) - (alternatively icing sugar),1 Apple - peeled,1-1/2 teaspoon Baking powder,1-1/2 teaspoon Cinnamon Powder (Dalchini),1-1/2 teaspoon Vanilla Extract,100 gram Butter - soft low fat,2/3 cup Icing Sugar,1/2 cup Milk - low fat</t>
  </si>
  <si>
    <t>1 1/4 taza de harina de trigo sarraceno (Kuttu Ka Atta), 5 cucharadas de harina de maíz, 1/2 taza de azúcar morena (azúcar Demerara) - (alternativamente azúcar glas), 1 manzana - pelada, 1-1/2 cucharadita de polvo para hornear, 1-1/2 cucharadita de canela en polvo (Dalchini), 1-1/2 cucharadita de extracto de vainilla, 100 gramos de mantequilla - suave baja en grasa, 2/3 taza de azúcar glas, 1/2 taza de leche - baja en grasa</t>
  </si>
  <si>
    <t xml:space="preserve">To begin making the Buckwheat Apple Cinnamon Loaf Cake recipe, sieve all dry ingredients and keep it aside.Preheat the oven to 180. Mix brown sugar, cinnamon and keep it aside.In a bowl, add butter and sugar and blend it until creamy. Add eggs, 1 at a time and blend until pale yellow in colour. Add vanilla extract and mix. Now add dry ingredients and milk alternately. Using cut and fold method mix well.Pour the half batter in greased loaf pan, add half of apples evenly all over. Sprinkle half of cinnamon sugar on top of apple. Now pour remaining batter and add rest of apple on top. Sprinkle remaining Cinnamon sugar on top.Bake for 25 to 40 minute until done. Once it is done, allow it to cool completely. Cut and serve these delicious cakes.Serve Buckwheat Apple Cinnamon Loaf Cake along with Espresso Coffee and Shredded Chicken Cheese Sandwich for your tea party.
</t>
  </si>
  <si>
    <t xml:space="preserve">Para comenzar a hacer la receta de pastel de pan de trigo sarraceno, manzana y canela, tamice todos los ingredientes secos y déjelos a un lado. Precaliente el horno a 180. Mezcle el azúcar moreno, la canela y déjelo a un lado. En un tazón, agregue la mantequilla y el azúcar y mezcle hasta que esté cremoso. Agregue los huevos, 1 a la vez y mezcle hasta que estén de color amarillo pálido. Agregue el extracto de vainilla y mezcle. Ahora agregue los ingredientes secos y la leche alternativamente. Usando el método de cortar y doblar, mezcle bien. Vierta la mitad de la masa en un molde para pan engrasado, agregue la mitad de las manzanas uniformemente por todas partes. Espolvoree la mitad del azúcar con canela encima de la manzana. Ahora vierta la masa restante y agregue el resto de la manzana encima. Espolvoree el azúcar con canela restante en la parte superior. Hornee durante 25 a 40 minutos hasta que esté listo. Una vez hecho, déjelo enfriar por completo. Corte y sirva estos deliciosos pasteles. Sirva el pastel de pan de trigo sarraceno, manzana y canela junto con café expreso y sándwich de pollo desmenuzado con queso para su fiesta de té.
</t>
  </si>
  <si>
    <t>Pour commencer à préparer la recette du gâteau au sarrasin, aux pommes et à la cannelle, tamisez tous les ingrédients secs et réservez. Préchauffez le four à 180 °C. Mélangez la cassonade et la cannelle et réservez. Dans un bol, ajoutez le beurre et le sucre et mixez jusqu'à obtenir une consistance crémeuse. Ajoutez les œufs, un à un, et mixez jusqu'à obtenir une couleur jaune pâle. Ajoutez l'extrait de vanille et mélangez. Ajoutez ensuite les ingrédients secs et le lait en alternance. En utilisant la méthode du couper-plier, mélangez bien. Versez la moitié de la pâte dans un moule à cake graissé, ajoutez la moitié des pommes uniformément. Saupoudrez la moitié du sucre à la cannelle sur les pommes. Versez ensuite le reste de la pâte et ajoutez le reste des pommes par-dessus. Saupoudrez le reste du sucre à la cannelle sur le dessus. Faites cuire au four pendant 25 à 40 minutes jusqu'à ce que ce soit cuit. Une fois cuit, laissez refroidir complètement. Coupez et servez ces délicieux gâteaux. Servez le gâteau au sarrasin, aux pommes et à la cannelle avec un café expresso et un sandwich au poulet et au fromage effiloché pour votre goûter.</t>
  </si>
  <si>
    <t>https://www.archanaskitchen.com/buckwheat-apple-cinnamon-loaf-cake-recipe</t>
  </si>
  <si>
    <t>Strawberry &amp; Chocolate Rolls Recipe With Vanilla Glaze</t>
  </si>
  <si>
    <t>Rezept für Erdbeer-Schokoladen-Rollen mit Vanilleglasur</t>
  </si>
  <si>
    <t>Recette de rouleaux de chocolat aux fraises avec glaçage à la vanille</t>
  </si>
  <si>
    <t>Receta de rollos de chocolate y fresa con glaseado de vainilla</t>
  </si>
  <si>
    <t>1 tasse de fraises hachées, 1/4 tasse de sucre en poudre, 2 cuillères à café de farine de maïs, 120 grammes de chocolat noir râpé, 150 grammes de farine tout usage (Maida), 25 grammes de beurre fondu et refroidi, 1 cuillère à soupe de sucre en poudre, 1 œuf entier, 1/4 cuillère à café de sel, 1/4 tasse de lait, 2 cuillères à café de levure sèche active, 1/2 tasse de sucre glace, 1-1/2 cuillères à soupe de lait, 1/2 cuillère à café d'extrait de vanille</t>
  </si>
  <si>
    <t>1 cup Strawberries - chopped,1/4 cup Caster Sugar,2 teaspoons Corn flour,120 grams Dark chocolate - grated,150 grams All Purpose Flour (Maida),25 grams Butter - melted and cooled,1 tablespoon Sugar - powdered,1 Whole Egg,1/4 teaspoon Salt,1/4 cup Milk,2 teaspoons Active dry yeast,1/2 cup Icing Sugar,1-1/2 tablespoons Milk,1/2 teaspoon Vanilla Extract</t>
  </si>
  <si>
    <t>1 taza de fresas picadas, 1/4 taza de azúcar extrafino, 2 cucharaditas de harina de maíz, 120 gramos de chocolate negro rallado, 150 gramos de harina para todo uso (Maida), 25 gramos de mantequilla derretida y enfriada, 1 cucharada de azúcar en polvo, 1 huevo entero, 1/4 cucharadita de sal, 1/4 taza de leche, 2 cucharaditas de levadura seca activa, 1/2 taza de azúcar glas, 1-1/2 cucharadas de leche, 1/2 cucharadita de extracto de vainilla</t>
  </si>
  <si>
    <t xml:space="preserve">To begin making the Strawberry &amp; Chocolate Rolls Recipe With Vanilla Glaze, we have to first make the strawberry filling for the roll. For the strawberry filling:In a pan, add the chopped strawberries and cook over medium-heat. Cook for 5-6 minutes, stirring constantly, or until the strawberries become soft and mushy, and have released their juices.Add in the sugar and cornstarch stir vigorously to avoid forming lumps.  Continue to cook - and stir - for another 1-2 minutes. Remove pan from heat when the mixture thickens up and transfer the filling into a small bowl. Set aside.*To make the dough:In a pan, add the milk and heat on low flame for 1 minute until it becomes lukewarm. Turn off the flame. Now add a pinch of sugar and yeast to the lukewarm milk and stir it for few seconds. Keep aside undisturbed for 10 minutes or until froth appears on top of the milk. While adding the yeast to the milk, ensure that your milk is lukewarm and not hot, because if it is hot then chances are that your yeast will die.In a separate bowl, add sugar, egg, salt, melted butter, and the milk-yeast mixture. Whisk until all ingredients are well combined.Start adding the flour, 1/3rd at a time, and gently mix it with a spatula. Mix well, until a thick, sticky dough forms and all the flour is incorporated.Dump the dough on a well-floured surface and knead just until the dough is no longer sticky and forms a ball.This will take about 10-15 minutes.Alternatively you can even knead the dough in a food processor .Place the dough into a greased bowl. Put little bit oil on top of the dough, cover the bowl with a wet muslin cloth or a towel and allow the dough to rise at a warm place for at least an hour or until doubled in size.*To make the rolls:Once the dough has risen, put it on a lightly floured surface and gently squish the dough ball with your hands to make a rectangular shape. Now using a rolling pin, start rolling the dough while maintaining the rectangular shape. Roll it to a size of about 14 X 6" rectangle.Now spread the cooled strawberry filling on the rolled out dough leaving about 1/2 inch border. On top of the strawberry filling, spread the grated chocolate.Start making the roll by rolling from the long side. (You have to roll length wise). Now using a serrated knife, cut out about 8 rolls and place them in a greased baking pan.Cover the pan with a wet muslin cloth or a towel and place it at a warm place to rise for about 45 minutes or until the rolls have doubled up in size.Once the rolls have risen, bake them in the preheated oven at 180°C for about 25 minutes or until they become golden brown.Once your rolls are baked, remove them from the baking pan while they are still warm. Otherwise they will stick to the bottom due to sticky strawberry and chocolate filling.*For the glaze:In a bowl, add icing sugar, milk, and vanilla essence.Mix well using a whisk or a spoon until you get a smooth and lump free glaze.Drizzle the glaze over warm rollsServe this Strawberry &amp; Chocolate Rolls With Vanilla Glaze as a Tea Time Cake along with a cup of Golden Detox Tea or even Qahwa - Arabic Coffee if you fancy it.
</t>
  </si>
  <si>
    <t>Para comenzar a hacer la Receta de Rollos de Fresa y Chocolate con Glaseado de Vainilla, primero tenemos que hacer el relleno de fresa para el rollo. Para el relleno de fresa: En una sartén, agrega las fresas picadas y cocina a fuego medio. Cocina durante 5-6 minutos, revolviendo constantemente, o hasta que las fresas se vuelvan suaves y blandas, y hayan liberado sus jugos. Agrega el azúcar y la maicena revuelve vigorosamente para evitar que se formen grumos. Continúa cocinando, y revolviendo, durante otros 1-2 minutos. Retira la sartén del fuego cuando la mezcla espese y transfiere el relleno a un tazón pequeño. Reserva. *Para hacer la masa: En una sartén, agrega la leche y calienta a fuego lento durante 1 minuto hasta que esté tibia. Apaga el fuego. Ahora agrega una pizca de azúcar y levadura a la leche tibia y revuelve durante unos segundos. Deja reposar sin tocar durante 10 minutos o hasta que aparezca espuma en la parte superior de la leche. Al agregar la levadura a la leche, asegúrese de que esté tibia, no caliente, ya que si está caliente, la levadura podría morir. En un recipiente aparte, agregue el azúcar, el huevo, la sal, la mantequilla derretida y la mezcla de leche y levadura. Bata hasta que todos los ingredientes estén bien combinados. Comience a agregar la harina, 1/3 a la vez, y mezcle suavemente con una espátula. Mezcle bien hasta que se forme una masa espesa y pegajosa, y toda la harina esté incorporada. Vierta la masa sobre una superficie bien enharinada y amase hasta que la masa ya no esté pegajosa y forme una bola. Esto tomará entre 10 y 15 minutos. Alternativamente, puede amasar la masa en un procesador de alimentos. Coloque la masa en un recipiente engrasado. Unta un poco de aceite sobre la masa, cubre el bol con una muselina húmeda o una toalla y deja reposar la masa en un lugar cálido durante al menos una hora o hasta que doble su tamaño. *Para hacer los rollitos: Una vez que la masa haya levado, colócala sobre una superficie ligeramente enharinada y aplánala suavemente con las manos para formar un rectángulo. Con un rodillo, empieza a extender la masa manteniendo la forma rectangular. Extiéndalo hasta formar un rectángulo de aproximadamente 35 x 15 cm. Extienda el relleno de fresa frío sobre la masa extendida, dejando un borde de aproximadamente 1,25 cm. Sobre el relleno de fresa, extienda el chocolate rallado. Comience a enrollar el rollo desde el lado largo (a lo largo). Con un cuchillo de sierra, corte unos 8 rollos y colóquelos en una bandeja para hornear engrasada. Cubra la bandeja con una muselina húmeda o una toalla y déjela reposar en un lugar cálido durante unos 45 minutos o hasta que los rollos hayan doblado su tamaño. Una vez que los rollos hayan levado, hornéelos en el horno precalentado a 180 °C durante unos 25 minutos o hasta que estén dorados. Una vez horneados, retírelos de la bandeja mientras aún estén calientes. De lo contrario, se pegarán al fondo debido al relleno de fresa y chocolate. *Para el glaseado: En un tazón, agregue el azúcar glas, la leche y la esencia de vainilla. Mezcle bien con unas varillas o una cuchara hasta obtener una masa homogénea. Glaseado suave y sin grumos. Rocíe el glaseado sobre los panecillos calientes. Sirva estos rollos de fresa y chocolate con glaseado de vainilla como un pastel para la hora del té junto con una taza de té desintoxicante dorado o incluso Qahwa (café árabe) si lo desea.</t>
  </si>
  <si>
    <t>Pour commencer à préparer la recette des rouleaux aux fraises et au chocolat avec glaçage à la vanille, nous devons d'abord préparer la garniture aux fraises pour le rouleau. Pour la garniture aux fraises : Dans une casserole, ajoutez les fraises hachées et faites cuire à feu moyen. Cuire pendant 5 à 6 minutes en remuant constamment, ou jusqu'à ce que les fraises deviennent molles et molles et aient libéré leur jus. Ajoutez le sucre et la fécule de maïs en remuant vigoureusement pour éviter la formation de grumeaux. Continuez à cuire - et remuez - pendant encore 1 à 2 minutes. Retirez la casserole du feu lorsque le mélange épaissit et transférez la garniture dans un petit bol. Réservez. * Pour faire la pâte : Dans une casserole, ajoutez le lait et faites chauffer à feu doux pendant 1 minute jusqu'à ce qu'il devienne tiède. Éteignez le feu. Ajoutez maintenant une pincée de sucre et de levure au lait tiède et remuez pendant quelques secondes. Laissez reposer sans remuer pendant 10 minutes ou jusqu'à ce que de la mousse apparaisse sur le dessus du lait. Lorsque vous ajoutez la levure au lait, assurez-vous que le lait soit tiède et non chaud, car s'il est chaud, la levure risque de mourir. Dans un autre bol, ajoutez le sucre, l'œuf, le sel, le beurre fondu et le mélange lait-levure. Fouettez jusqu'à ce que tous les ingrédients soient bien mélangés. Commencez à ajouter la farine, 1/3 à la fois, et mélangez délicatement avec une spatule. Mélangez bien jusqu'à obtenir une pâte épaisse et collante, et que toute la farine soit incorporée. Déposez la pâte sur un plan de travail bien fariné et pétrissez jusqu'à ce qu'elle ne colle plus et forme une boule. Cela prendra environ 10 à 15 minutes. Vous pouvez également la pétrir au robot culinaire. Placez la pâte dans un bol graissé. Huilez légèrement la pâte, couvrez le bol d'une mousseline humide ou d'un torchon et laissez lever la pâte dans un endroit chaud pendant au moins une heure ou jusqu'à ce qu'elle double de volume. *Pour faire les rouleaux : Une fois la pâte levée, déposez-la sur un plan de travail légèrement fariné et écrasez-la délicatement avec les mains pour lui donner une forme rectangulaire. À l'aide d'un rouleau à pâtisserie, étalez la pâte en maintenant la forme rectangulaire. Étalez-la en un rectangle d'environ 35 x 15 cm. Étalez ensuite la garniture aux fraises refroidie sur la pâte étalée en laissant une bordure d'environ 1,25 cm. Par-dessus, étalez le chocolat râpé. Commencez par abaisser le rouleau dans le sens de la longueur. À l'aide d'un couteau dentelé, découpez environ 8 rouleaux et placez-les dans un moule à pâtisserie graissé. Couvrez le moule d'une mousseline humide ou d'un torchon et placez-le dans un endroit chaud pour qu'il lève pendant environ 45 minutes ou jusqu'à ce que les rouleaux aient doublé de volume. Une fois les rouleaux levés, enfournez-les dans un four préchauffé à 180 °C pendant environ 25 minutes ou jusqu'à ce qu'ils soient dorés. Une fois cuits, retirez-les du moule tant qu'ils sont encore chauds. Sinon, ils colleront au fond à cause de la garniture aux fraises et au chocolat. *Pour le glaçage : Dans un bol, ajoutez le sucre glace, le lait et l'extrait de vanille. Mélangez bien à l'aide d'un fouet ou d'une cuillère jusqu'à obtenir un mélange homogène. un glaçage lisse et sans grumeaux.Versez le glaçage sur les petits pains chauds.Servez ces petits pains aux fraises et au chocolat avec glaçage à la vanille comme un gâteau à l'heure du thé accompagné d'une tasse de thé détox doré ou même de Qahwa - café arabe si vous en avez envie.</t>
  </si>
  <si>
    <t>http://www.archanaskitchen.com/strawberry-chocolate-rolls-recipe-with-vanilla-glaze</t>
  </si>
  <si>
    <t>Broccoli Almond Soup Recipe - Broccoli Almond Soup Recipe</t>
  </si>
  <si>
    <t>Brokkoli-Mandel-Suppe-Rezept – Brokkoli-Mandel-Suppe-Rezept</t>
  </si>
  <si>
    <t>Recette de soupe au brocoli et aux amandes – Recette de soupe au brocoli et aux amandes</t>
  </si>
  <si>
    <t>Receta de sopa de brócoli y almendras – Receta de sopa de brócoli y almendras</t>
  </si>
  <si>
    <t>2 tasses de brocoli - haché, 1 oignon - coupé fin et droit, 4 gousses d'ail - finement hachées, 1 tasse de lait, 1/4 tasse d'amandes, sel - au goût, moudre 1 poivre entier - 1 cuillère à café d'huile d'olive</t>
  </si>
  <si>
    <t>2 cups broccoli - chopped, 1 onion - thin and straight cut, 4 cloves garlic - finely chopped, 1 cup milk, 1/4 cup almonds, salt - to taste, grind 1 whole pepper - 1 teaspoon Olive oil</t>
  </si>
  <si>
    <t>2 tazas de brócoli picado, 1 cebolla fina y cortada recta, 4 dientes de ajo finamente picados, 1 taza de leche, 1/4 taza de almendras, sal al gusto, molida, 1 pimienta entera, 1 cucharadita de aceite de oliva.</t>
  </si>
  <si>
    <t>To make Broccoli Almond Soup recipe, first wash the broccoli and prepare the other ingredients. Soak the almonds in hot water for 10 minutes. Remove the peel and keep aside. Heat oil in a pan. Add garlic, onion and cook till onion becomes soft. After onion becomes soft, add broccoli and cook for 1 minute, add salt, cover the pan and cook for 3 to 4 minutes. Turn off the gas and let the mixture cool down. After cooling, put this mixture in a mixer grinder along with almonds and grind it. After grinding, put this puree in a saucepan and boil it. After boiling, turn off the gas. Add salt and pepper as per taste and serve. Serve Broccoli Almond Soup with Garlic Bread, Zucchini Salad and Pesto Pasta for dinner.</t>
  </si>
  <si>
    <t>Para hacer la receta de Sopa de Brócoli y Almendras, primero lava el brócoli y prepara los demás ingredientes. Remoja las almendras en agua caliente durante 10 minutos. Retira la cáscara y reserva. Calienta el aceite en una sartén. Agrega el ajo, la cebolla y cocina hasta que la cebolla esté suave. Después de que la cebolla esté suave, agrega el brócoli y cocina durante 1 minuto, agrega sal, tapa la sartén y cocina durante 3 a 4 minutos. Apaga el gas y deja que la mezcla se enfríe. Después de enfriar, pon esta mezcla en una licuadora junto con las almendras y muélela. Después de moler, pon este puré en una cacerola y hiérvelo. Después de que hierva, apaga el gas. Agrega sal y pimienta al gusto y sirve. Sirve la Sopa de Brócoli y Almendras con Pan de Ajo, Ensalada de Calabacín y Pasta con Pesto para la cena.</t>
  </si>
  <si>
    <t>Pour préparer la soupe au brocoli et aux amandes, lavez d'abord le brocoli et préparez les autres ingrédients. Faites tremper les amandes dans de l'eau chaude pendant 10 minutes. Pelez-les et réservez-les. Faites chauffer l'huile dans une poêle. Ajoutez l'ail et l'oignon et faites-les revenir jusqu'à ce que l'oignon soit tendre. Une fois l'oignon tendre, ajoutez le brocoli et faites-le cuire 1 minute. Salez, couvrez et laissez cuire 3 à 4 minutes. Coupez le feu et laissez refroidir. Une fois refroidi, versez le mélange dans un mixeur avec les amandes et mixez-le. Une fois la purée broyée, versez-la dans une casserole et portez-la à ébullition. Après ébullition, coupez le feu. Salez et poivrez à votre goût et servez. Servez la soupe au brocoli et aux amandes avec du pain à l'ail, une salade de courgettes et des pâtes au pesto pour le dîner.</t>
  </si>
  <si>
    <t>https://www.archanaskitchen.com/broccoli-almond-soup-recipe-healthy-soup-weight-loss-in-hindi</t>
  </si>
  <si>
    <t>Spinach Potato Frittata Bites Recipe</t>
  </si>
  <si>
    <t>Rezept für Spinat-Kartoffel-Frittata-Häppchen</t>
  </si>
  <si>
    <t>Recette de bouchées de frittata aux épinards et aux pommes de terre</t>
  </si>
  <si>
    <t>Receta de bocaditos de frittata de espinacas y papa</t>
  </si>
  <si>
    <t>1 tasse de feuilles d'épinards (Palak) - grossièrement hachées, 2 pommes de terre (Aloo) - coupées en petits cubes, 4 gousses d'ail - finement hachées, 1 oignon - finement haché, 4 œufs entiers, 2 cuillères à soupe de lait, 1/4 tasse de cheddar - râpé, 1 cuillère à café de flocons de piment rouge, 1 cuillère à soupe d'huile d'olive extra vierge, sel et poivre - au goût</t>
  </si>
  <si>
    <t>1 cup Spinach Leaves (Palak) - roughly chopped,2 Potatoes (Aloo) - diced in small cubes,4 cloves Garlic - finely chopped,1 Onion - finely chopped,4 Whole Eggs,2 tablespoon Milk,1/4 cup Cheddar cheese - grated,1 teaspoon Red Chilli flakes,1 tablespoon Extra Virgin Olive Oil,Salt and Pepper - to taste</t>
  </si>
  <si>
    <t>1 taza de hojas de espinaca (Palak) - picadas gruesamente, 2 papas (Aloo) - cortadas en cubos pequeños, 4 dientes de ajo - picados finamente, 1 cebolla - picada finamente, 4 huevos enteros, 2 cucharadas de leche, 1/4 taza de queso cheddar - rallado, 1 cucharadita de hojuelas de chile rojo, 1 cucharada de aceite de oliva virgen extra, sal y pimienta - al gusto</t>
  </si>
  <si>
    <t xml:space="preserve">To begin making Spinach Potato Frittata Bites, preheat the oven at 180 degrees centigrade. Grease a mini muffin pan and keep aside.Place a pan on medium heat and add a tablespoon of butter in it. Once the oil is warm, add garlic cloves and fry until golden and aromatic.Add onions and saute for half a minute.Once the onions become translucent, add potatoes and toss it very well on high heat for 2 to 3 minutes such that they are seared well and remain intact.Add spinach and toss on high heat for a minute.Turn off the heat and allow it to cool for few minutes.In a mixing bowl, whisk together eggs, milk, cheddar, flakes, salt and pepper. Add the tossed spinach potato mixture and mix well. Pour a spoonful or two in the greased mini muffin pan. Do not overfill the pan. bake them in the preheated oven for 9 to 10 minutes or until done.Bake the frittatas in the preheated oven for 9 to 10 minutes or until done.Take out the muffin pan and let it cool for few minutes.Gently take the Frittata bites from the muffin pan and serve it with toasted bread like Chilli Garlic Toast Recipe of your choice along some salad greens or steamed vegetables on the side.Spinach Potato Frittata Bites
</t>
  </si>
  <si>
    <t>Para comenzar a hacer los bocados de frittata de espinacas y papas, precaliente el horno a 180 grados centígrados. Engrase un molde para mini muffins y déjelo a un lado. Coloque una sartén a fuego medio y agregue una cucharada de mantequilla. Una vez que el aceite esté caliente, agregue los dientes de ajo y fría hasta que estén dorados y aromáticos. Agregue las cebollas y saltee durante medio minuto. Una vez que las cebollas se vuelvan translúcidas, agregue las papas y revuelva muy bien a fuego alto durante 2 a 3 minutos para que se sellen bien y permanezcan intactas. Agregue las espinacas y revuelva a fuego alto durante un minuto. Apague el fuego y deje que se enfríe durante unos minutos. En un tazón, bata los huevos, la leche, el queso cheddar, las hojuelas, la sal y la pimienta. Agregue la mezcla de espinacas y papas y mezcle bien. Vierta una o dos cucharadas en el molde para mini muffins engrasado. No llene demasiado el molde. Hornéalas en el horno precalentado durante 9 a 10 minutos o hasta que estén listas. Retira el molde para muffins y déjalo enfriar unos minutos. Retira con cuidado los bocados de frittata del molde y sírvelos con pan tostado, como la receta de tostadas de ajo y chile, de tu elección, acompañado de ensalada verde o verduras al vapor. Bocados de frittata de espinacas y papas.</t>
  </si>
  <si>
    <t>Pour commencer à préparer des bouchées de frittata aux épinards et aux pommes de terre, préchauffez le four à 180 degrés centigrades. Graissez un moule à mini-muffins et réservez. Placez une poêle sur feu moyen et ajoutez-y une cuillère à soupe de beurre. Une fois l'huile chaude, ajoutez les gousses d'ail et faites-les revenir jusqu'à ce qu'elles soient dorées et aromatiques. Ajoutez les oignons et faites revenir pendant une demi-minute. Une fois que les oignons deviennent translucides, ajoutez les pommes de terre et mélangez bien à feu vif pendant 2 à 3 minutes afin qu'elles soient bien saisies et restent intactes. Ajoutez les épinards et mélangez à feu vif pendant une minute. Éteignez le feu et laissez refroidir quelques minutes. Dans un saladier, fouettez ensemble les œufs, le lait, le cheddar, les flocons, le sel et le poivre. Ajoutez le mélange d'épinards et de pommes de terre et mélangez bien. Versez une ou deux cuillères à soupe dans le moule à mini-muffins graissé. Ne remplissez pas trop le moule. Faites-les cuire au four préchauffé pendant 9 à 10 minutes ou jusqu'à ce qu'elles soient cuites. Faites cuire les frittatas au four préchauffé pendant 9 à 10 minutes ou jusqu'à ce qu'elles soient cuites. Retirez le moule à muffins et laissez-le refroidir quelques minutes. Retirez délicatement les bouchées de frittata du moule à muffins et servez-les avec du pain grillé comme la recette de pain grillé à l'ail et au piment de votre choix, accompagné de salade verte ou de légumes cuits à la vapeur. Bouchées de frittata aux épinards et aux pommes de terre</t>
  </si>
  <si>
    <t>http://www.archanaskitchen.com/spinach-potato-frittata-bites-recipe</t>
  </si>
  <si>
    <t>Soft and Crispy Cheese Stuffed Puff Sticks Recipe</t>
  </si>
  <si>
    <t>Rezept für mit weichem und knusprigem Käse gefüllte Blätterteigstangen</t>
  </si>
  <si>
    <t>Recette de bâtonnets de pâte feuilletée fourrés au fromage moelleux et croustillant</t>
  </si>
  <si>
    <t>Receta de palitos de hojaldre rellenos de queso suaves y crujientes</t>
  </si>
  <si>
    <t>1/4 tasse de cheddar, 1/4 tasse de mozzarella, 2 cuillères à café d'huile d'olive extra vierge, 2 brins de feuilles de basilic, 75 grammes de pâte feuilletée, farine tout usage (Maida) - pour saupoudrer</t>
  </si>
  <si>
    <t>1/4 cup Cheddar cheese,1/4 cup Mozzarella cheese,2 teaspoons Extra Virgin Olive Oil,2 sprigs Basil leaves,75 grams Puff Pastry Sheet,All Purpose Flour (Maida) - for dusting</t>
  </si>
  <si>
    <t>1/4 taza de queso cheddar, 1/4 taza de queso mozzarella, 2 cucharaditas de aceite de oliva virgen extra, 2 ramitas de hojas de albahaca, 75 gramos de hojaldre, harina para todo uso (Maida) - para espolvorear</t>
  </si>
  <si>
    <t xml:space="preserve">To begin making the Soft and Crispy Cheese Stuffed Puff Sticks Recipe, follow the recipe on how to make the puff pastry dough Croissant Recipe.Defrost the puff block and bring it to room temperature before you start working. Chop the basil leaves finely and keep it aside. Take the puff block. Dust it with wheat flour to roll the pastry. Roll the pastry into a thin sheet. You will get about 20 of 20 cm squares.Preheat oven to 180 C for 5 minutes.Take an oven tray and place Baking Paper on top of the tray. This is needed to place the Cheese and Bread Stuffed Puff Sticks.Take out one of the puff pastry square, brush them with the olive oil and sprinkle chopped basil leaves. Sprinkle the cheese and roll it to make a stick.Place the stuffed cheese puff pastry sticks on the oven tray placed with Baking Paper sheet.Place the cheese stuffed puff pastry sticks in the oven and bake for 20 minutes turning in between so that all sides are cooked evenly, golden brown and crisp.Once done, remove from the oven and serve warm.Serve the Soft and Crispy Cheese Stuffed Puff Sticks Recipe as it is or along with Mexican Salsa, Guacamole and a Yogurt dip as an appetizer for parties.
</t>
  </si>
  <si>
    <t>Para empezar a hacer la Receta de Palitos de Hojaldre Rellenos de Queso Suaves y Crujientes, sigue la receta de cómo hacer la Receta de Croissant de masa de hojaldre. Descongela el bloque de hojaldre y llévalo a temperatura ambiente antes de empezar a trabajar. Pica las hojas de albahaca finamente y déjalas a un lado. Toma el bloque de hojaldre. Espolvoréalo con harina de trigo para extender la masa. Enrolla la masa en una lámina fina. Obtendrás unos 20 cuadrados de 20 cm. Precalienta el horno a 180 C durante 5 minutos. Toma una bandeja de horno y coloca papel de horno encima de la bandeja. Esto es necesario para colocar los Palitos de Hojaldre Rellenos de Queso y Pan. Saca uno de los cuadrados de hojaldre, úntalos con aceite de oliva y espolvorea hojas de albahaca picadas. Espolvoree el queso y enróllelo para hacer un palito. Coloque los palitos de hojaldre rellenos de queso en la bandeja del horno cubierta con papel de horno. Coloque los palitos de hojaldre rellenos de queso en el horno y hornee durante 20 minutos, dándoles vuelta para que todos los lados se cocinen uniformemente, queden dorados y crujientes. Una vez listo, retire del horno y sirva caliente. Sirva la receta de palitos de hojaldre rellenos de queso suaves y crujientes tal como está o con salsa mexicana, guacamole y un dip de yogur como aperitivo para fiestas.</t>
  </si>
  <si>
    <t>Pour commencer à préparer la recette des bâtonnets feuilletés fourrés au fromage moelleux et croustillants, suivez la recette de la recette du croissant en pâte feuilletée. Décongelez le bloc feuilleté et amenez-le à température ambiante avant de commencer à travailler. Hachez finement les feuilles de basilic et réservez-les. Prenez le bloc feuilleté. Saupoudrez-le de farine de blé pour rouler la pâte. Roulez la pâte en une fine feuille. Vous obtiendrez environ 20 carrés de 20 cm. Préchauffez le four à 180 °C pendant 5 minutes. Prenez une plaque de four et placez du papier sulfurisé sur le dessus de la plaque. Ceci est nécessaire pour placer les bâtonnets feuilletés fourrés au fromage et au pain. Sortez un carré de pâte feuilletée, badigeonnez-le d'huile d'olive et saupoudrez de feuilles de basilic hachées. Saupoudrez le fromage et roulez-le pour faire un bâtonnet. Placez les bâtonnets de pâte feuilletée farcis au fromage sur la plaque du four recouverte d'une feuille de papier sulfurisé. Placez les bâtonnets de pâte feuilletée farcis au fromage au four et faites cuire pendant 20 minutes en les retournant entre les cuissons afin que tous les côtés soient cuits uniformément, dorés et croustillants. Une fois cuits, retirez du four et servez chaud. Servez la recette de bâtonnets de pâte feuilletée farcis au fromage moelleux et croustillants tels quels ou accompagnés de salsa mexicaine, de guacamole et d'une trempette au yaourt en apéritif pour les fêtes.</t>
  </si>
  <si>
    <t>http://www.archanaskitchen.com/soft-and-crispy-cheese-stuffed-puff-sticks-recipe</t>
  </si>
  <si>
    <t>Broad Bean And Courgette Zucchini Pilaf Recipe</t>
  </si>
  <si>
    <t>Rezept für Zucchini-Pilaw mit Saubohnen und Zucchini</t>
  </si>
  <si>
    <t>Recette de pilaf de courgettes aux fèves et aux courgettes</t>
  </si>
  <si>
    <t>Receta de pilaf de calabacín con habas y calabacín</t>
  </si>
  <si>
    <t>1 tasse de riz basmati, 1 courgette verte - tranchée ou coupée en dés, 1 piment vert - fendu, 2 gousses d'ail, 1/4 tasse de pois verts (Matar) - cuits à la vapeur, 1/2 tasse de fèves blanches - cuites à la vapeur, 50 grammes de feuilles de menthe (Pudina), sel - au goût, huile d'olive extra vierge - pour la cuisson</t>
  </si>
  <si>
    <t>1 cup Basmati rice,1 Green zucchini - sliced or diced,1 Green Chilli - slit,2 cloves Garlic,1/4 cup Green peas (Matar) - steamed,1/2 cup White broad beans - steamed,50 grams Mint Leaves (Pudina),Salt - to taste,Extra Virgin Olive Oil - for cooking</t>
  </si>
  <si>
    <t>1 taza de arroz basmati, 1 calabacín verde (en rodajas o dados), 1 chile verde (ranurado), 2 dientes de ajo, 1/4 taza de guisantes verdes (Matar) (cocidos al vapor), 1/2 taza de habas blancas (cocidas al vapor), 50 gramos de hojas de menta (Pudina), sal (al gusto), aceite de oliva virgen extra (para cocinar)</t>
  </si>
  <si>
    <t xml:space="preserve">To begin making the Broad Bean and Courgette Zucchini Pilaf Recipe, first get all the ingredients ready.To begin, we will first cook the rice. Into a saucepan, add the rice, along with green chilli, salt, a tablespoon of olive oil and 2 cups of water. Bring the rice to a brisk boil.Once the rice comes to a brisk boil, turn the heat to low, cover the pan and cook the rice until all the water is absorbed. This will take about 15 to 20 minutes. Once all the water is absorbed, turn off the heat and allow the rice to rest for another 15 minutes.After 15 minute of resting, use a fork and fluff the rice up. Keep the rice aside.Next step, steam the green peas and broad beans along with a little salt until soft. Keep this aside.Next, we will roast the zucchini along with the garlic. Heat a teaspoon of oil in a wok; add the zucchini and the whole garlic, sprinkle some salt and stir fry on high heat until the zucchini has slightly softened. Once the zucchini is cooked, turn off the heat.Our final step is to combine all the ingredients to make the Broad Bean and Courgette Zucchini Pilaf Recipe.Into a large mixing bowl, add layers of the rice, broad beans, peas, zucchini and the mint. When you add them in layers, it becomes easy to combine them well.Drizzle a teaspoon or more of olive oil and stir gently to combine. Check the salt levels and adjust to suit your taste.Serve the Broad Bean and Courgette Zucchini Pilaf along with Greek Yogurt Dip - Tzatziki for a Sunday Lunch or a Weeknight Dinner.
</t>
  </si>
  <si>
    <t>Para empezar a hacer la Receta de Pilaf de Habas y Calabacín, primero prepare todos los ingredientes. Para comenzar, cocinaremos el arroz. En una cacerola, agregue el arroz, junto con el chile verde, la sal, una cucharada de aceite de oliva y 2 tazas de agua. Lleve el arroz a ebullición rápida. Una vez que el arroz hierva rápidamente, baje el fuego, cubra la cacerola y cocine el arroz hasta que se absorba toda el agua. Esto tomará alrededor de 15 a 20 minutos. Una vez que se absorba toda el agua, apague el fuego y deje reposar el arroz durante otros 15 minutos. Después de 15 minutos de reposo, use un tenedor y esponje el arroz. Deje el arroz a un lado. El siguiente paso, cocine al vapor los guisantes y las habas junto con un poco de sal hasta que estén suaves. Deje esto a un lado. A continuación, asaremos el calabacín junto con el ajo. Caliente una cucharadita de aceite en un wok; Añade el calabacín y el ajo entero, espolvorea un poco de sal y saltea a fuego alto hasta que el calabacín se haya ablandado ligeramente. Una vez que el calabacín esté cocido, apaga el fuego. Nuestro paso final es combinar todos los ingredientes para hacer la Receta de Pilaf de Habas, Calabacín y Calabacín. En un tazón grande, agrega capas de arroz, habas, guisantes, calabacín y menta. Al agregarlos en capas, se vuelve más fácil combinarlos bien. Rocía una cucharadita o más de aceite de oliva y revuelve suavemente para combinar. Comprueba los niveles de sal y ajusta a tu gusto. Sirve el Pilaf de Habas, Calabacín y Calabacín junto con la Salsa de Yogur Griego - Tzatziki para un Almuerzo de Domingo o una Cena entre Semana.</t>
  </si>
  <si>
    <t>Pour commencer à préparer la recette de pilaf de fèves et de courgettes, préparez d'abord tous les ingrédients. Pour commencer, nous allons d'abord cuire le riz. Dans une casserole, ajoutez le riz, le piment vert, le sel, une cuillère à soupe d'huile d'olive et 2 tasses d'eau. Portez le riz à ébullition rapide. Une fois que le riz bout rapidement, baissez le feu, couvrez la casserole et faites cuire le riz jusqu'à ce que toute l'eau soit absorbée. Cela prendra environ 15 à 20 minutes. Une fois toute l'eau absorbée, éteignez le feu et laissez le riz reposer pendant 15 minutes supplémentaires. Après 15 minutes de repos, utilisez une fourchette et égrainez le riz. Réservez le riz. Étape suivante, faites cuire les petits pois et les fèves à la vapeur avec un peu de sel jusqu'à ce qu'ils soient tendres. Réservez. Ensuite, nous allons rôtir les courgettes avec l'ail. Faites chauffer une cuillère à café d'huile dans un wok ; Ajoutez les courgettes et l'ail entier, salez et faites sauter à feu vif jusqu'à ce que les courgettes soient légèrement tendres. Une fois les courgettes cuites, éteignez le feu. Notre dernière étape consiste à mélanger tous les ingrédients pour réaliser la recette de pilaf de fèves et de courgettes. Dans un grand saladier, ajoutez des couches de riz, de fèves, de petits pois, de courgettes et de menthe. En les superposant, il devient facile de bien mélanger. Arrosez d'une cuillère à café ou plus d'huile d'olive et remuez délicatement pour mélanger. Vérifiez la quantité de sel et ajustez à votre goût. Servez le pilaf de fèves et de courgettes accompagné d'une sauce au yaourt grec - Tzatziki - pour un déjeuner du dimanche ou un dîner en semaine.</t>
  </si>
  <si>
    <t>http://www.archanaskitchen.com/broad-bean-and-courgette-zucchini-pilaf-pulao-recipe</t>
  </si>
  <si>
    <t>Muesli Oats Cupcake Filled with Yogurt and Strawberries Recipe</t>
  </si>
  <si>
    <t>Müsli-Hafer-Cupcake gefüllt mit Joghurt und Erdbeeren Rezept</t>
  </si>
  <si>
    <t>Recette de cupcake muesli-avoine fourré au yaourt et aux fraises</t>
  </si>
  <si>
    <t>Receta de cupcakes de avena y muesli con yogur y fresas</t>
  </si>
  <si>
    <t>1 tasse de farine d'avoine, 1 tasse de muesli - Saffola Fruit Rush, 1/4 tasse de farine de ragi (millet des doigts / Nagli), 1 blanc d'œuf, 1 cuillère à soupe d'huile de tournesol, 1/2 tasse de lait, 1/2 tasse de caillé (dahi / yaourt), 1 cuillère à café de levure chimique, 1 tasse de caillé Hung (yaourt grec) - faible en gras et fouetté, 200 grammes de fraises - coupées en dés</t>
  </si>
  <si>
    <t>1 cup Oats Flour,1 cup Muesli - Saffola Fruit Rush,1/4 cup Ragi Flour (Finger Millet/ Nagli),1 Egg white,1 tablespoon Sunflower Oil,1/2 cup Milk,1/2 cup Curd (Dahi / Yogurt),1 teaspoon Baking powder,1 cup Hung Curd (Greek Yogurt) - low fat &amp; whisked,200 grams Strawberries - cut into dices</t>
  </si>
  <si>
    <t>1 taza de harina de avena, 1 taza de muesli - Saffola Fruit Rush, 1/4 taza de harina de ragi (mijo de dedo/nagli), 1 clara de huevo, 1 cucharada de aceite de girasol, 1/2 taza de leche, 1/2 taza de cuajada (dahi/yogur), 1 cucharadita de polvo para hornear, 1 taza de cuajada colgada (yogur griego) - baja en grasa y batida, 200 gramos de fresas - cortadas en cubitos</t>
  </si>
  <si>
    <t>We begin making the Muesli Oats Cupcake Filled with Yogurt and Strawberries Recipe pre heat the oven at 180 degree Celsius for about 10 minutes. Add egg, oil and yogurt in a bowl and whisk it till it fluffs up.Then later slowly add in the dry ingredients such as oats flour, ragi flour, muesli and baking powder. Combine them slowly using a spoon.The mixture will thicken up as the oats and muesli will absorb moisture. So you can add some milk and adjust the consistency of the batter. It should be quiet thick and not too thin.Grease your cupcake tray, and add a heap tablespoon of the batter in each of the cupcake molds, do not over fill it.Bake the cupcake at 180 degree Celsius for about 25 minutes. To check, insert a knife and if it comes out clean then it is done.Keep it outside to cool down, once it is done, add a dollop of yogurt on each cupcake and top it with some strawberries and serve.Serve the Muesli Oats Cupcake Filled with Yogurt and Strawberries Recipe as a healthy breakfast </t>
  </si>
  <si>
    <t>Para preparar la receta de cupcakes de avena con muesli rellenos de yogur y fresas, precalentamos el horno a 180 grados Celsius durante unos 10 minutos. En un bol, añadimos el huevo, el aceite y el yogur y batimos hasta que la mezcla esté esponjosa. Después, añadimos lentamente los ingredientes secos, como la harina de avena, la harina de ragi, el muesli y la levadura química. Los mezclamos lentamente con una cuchara. La mezcla espesará a medida que la avena y el muesli absorban la humedad. Podemos añadir un poco de leche para ajustar la consistencia de la masa. Debe quedar bastante espesa, no demasiado líquida. Engrasamos el molde para cupcakes y vertemos una cucharada colmada de masa en cada uno, sin sobrellenarlo. Horneamos el cupcake a 180 grados Celsius durante unos 25 minutos. Para comprobarlo, inserte un cuchillo y si sale limpio, entonces está listo. Déjelo afuera para que se enfríe, una vez que esté listo, agregue una cucharada de yogur en cada cupcake y cúbralo con algunas fresas y sirva. Sirva la receta de cupcakes de avena y muesli rellenos de yogur y fresas como un desayuno saludable.</t>
  </si>
  <si>
    <t>Pour préparer le cupcake muesli-avoine fourré au yaourt et aux fraises, préchauffez le four à 180 °C pendant environ 10 minutes. Dans un bol, mélangez l'œuf, l'huile et le yaourt, puis fouettez jusqu'à ce que le mélange soit léger. Ajoutez ensuite progressivement les ingrédients secs, comme la farine d'avoine, la farine de ragi, le muesli et la levure chimique. Mélangez délicatement à l'aide d'une cuillère. Le mélange épaissira au fur et à mesure que l'avoine et le muesli absorberont l'humidité. Vous pouvez ajouter du lait pour ajuster la consistance de la pâte. Elle doit être assez épaisse, mais pas trop liquide. Graissez votre moule à cupcakes et versez une cuillère à soupe bombée de pâte dans chaque moule à cupcakes, sans trop remplir. Enfournez à 180 °C pendant environ 25 minutes. Pour vérifier, insérez un couteau et s'il ressort propre, c'est prêt. Laissez-le refroidir à l'extérieur, une fois cuit, ajoutez une cuillerée de yaourt sur chaque cupcake, garnissez-le de quelques fraises et servez. Servez la recette de cupcake au muesli et à l'avoine fourré au yaourt et aux fraises comme un petit-déjeuner sain.</t>
  </si>
  <si>
    <t>http://www.archanaskitchen.com/muesli-oats-cupcake-filled-with-yogurt-and-strawberries-recipe</t>
  </si>
  <si>
    <t>Nutty Oats and Berry Truffle Recipe</t>
  </si>
  <si>
    <t>Rezept für nussige Hafer- und Beerentrüffel</t>
  </si>
  <si>
    <t>Recette de truffes aux noix, à l'avoine et aux baies</t>
  </si>
  <si>
    <t>Receta de trufa de nueces, avena y bayas</t>
  </si>
  <si>
    <t>1 tasse de flocons d'avoine instantanés (gruau) - instantané, 1 tasse de cassonade (sucre Demerara), 2 cuillères à soupe de myrtilles - sèches, 12 Badam (amandes) - grillées et hachées, 1/4 tasse de ghee - ou de beurre, 1 cuillère à café de poudre d'épices</t>
  </si>
  <si>
    <t>1 cup Instant Oats (Oatmeal) - instant one,1 cup Brown Sugar (Demerara Sugar),2 tablespoon Blueberries - dry,12 Badam (Almond) - roasted and chopped,1/4 cup Ghee - or butter,1 teaspoon All spice powder</t>
  </si>
  <si>
    <t>1 taza de avena instantánea (avena) - instantánea, 1 taza de azúcar morena (azúcar Demerara), 2 cucharadas de arándanos secos, 12 Badam (almendras) tostadas y picadas, 1/4 taza de ghee o mantequilla, 1 cucharadita de especias en polvo</t>
  </si>
  <si>
    <t xml:space="preserve">To prepare the Nutty Oats and Berry Truffle Recipe, in a food processor transfer oats and sugar and bringing to a fine crumb. Set aside.Transfer this mixture into a large bowl and add the all-spice powder, blueberries, almonds and mix well. Stir in the ghee or butter and combine well.You will now need to work quickly and shape them into round bite size balls. The mixture will begin to sort of harden, so quickly shape them into small round balls.Roll the oat bites onto slivered almonds and the Nutty Oats and Berry Truffle are now ready to snack on or packed into the snack box for kids.
</t>
  </si>
  <si>
    <t>Para preparar la receta de avena con nueces y trufa de frutos rojos, en un procesador de alimentos, mezcla la avena con el azúcar hasta obtener una miga fina. Reserva. Vierte la mezcla en un tazón grande y añade la pimienta negra en polvo, los arándanos y las almendras; mezcla bien. Incorpora el ghee o la mantequilla y mezcla bien. Ahora tendrás que trabajar rápido y darles forma de bolitas redondas del tamaño de un bocado. La mezcla comenzará a endurecerse, así que dales forma rápidamente. Enrolla los bocados de avena sobre almendras fileteadas y la avena con nueces y trufa de frutos rojos estará lista para picar o para llevar en la caja de refrigerios de los niños.</t>
  </si>
  <si>
    <t>Pour préparer la recette de truffes aux flocons d'avoine et aux baies, transvasez les flocons d'avoine et le sucre dans un robot culinaire et réduisez-les en miettes fines. Réservez. Transférez ce mélange dans un grand bol, ajoutez le piment de la Jamaïque, les myrtilles et les amandes et mélangez bien. Incorporez le ghee ou le beurre et mélangez bien. Travaillez rapidement et façonnez des boules rondes. Le mélange commencera à durcir ; façonnez-les donc rapidement en petites boules rondes. Roulez les boules d'avoine sur des amandes effilées et la truffe aux flocons d'avoine et aux baies est prête à être dégustée ou emballée dans la boîte à goûter pour les enfants.</t>
  </si>
  <si>
    <t>http://www.archanaskitchen.com/nutty-oats-and-berry-truffle-recipe</t>
  </si>
  <si>
    <t>Roasted Bell Pepper Quinoa Recipe</t>
  </si>
  <si>
    <t>Rezept für gerösteten Paprika-Quinoa – Rezept für bestes Paprika-Quinoa</t>
  </si>
  <si>
    <t>Recette de quinoa aux poivrons grillés – Recette du meilleur quinoa aux poivrons</t>
  </si>
  <si>
    <t>Quinoa con pimientos asados: la mejor receta de quinoa con pimientos</t>
  </si>
  <si>
    <t>1 tasse de quinoa, 2 tasses d'eau, sel - selon le goût, 1 cuillère à café d'huile d'olive, 1 cuillère à soupe d'huile d'olive, 1 cuillère à café de romarin, 1 poivron (vert), 1 poivron (rouge), 1 cuillère à soupe d'ail - finement haché, sel - selon le goût, 1 cuillère à café de poudre de poivre noir, 1 cuillère à café de jus de citron</t>
  </si>
  <si>
    <t>1 cup quinoa, 2 cups water, salt - according to taste, 1 tsp olive oil, 1 tbsp olive oil, 1 tsp rosemary, 1 capsicum (green), 1 capsicum (red), 1 tbsp garlic - finely chopped, salt - according to taste, 1 tsp black pepper powder, 1 tsp lemon juice</t>
  </si>
  <si>
    <t>1 taza de quinua, 2 tazas de agua, sal - al gusto, 1 cucharadita de aceite de oliva, 1 cucharada de aceite de oliva, 1 cucharadita de romero, 1 pimiento (verde), 1 pimiento (rojo), 1 cucharada de ajo - finamente picado, sal - al gusto, 1 cucharadita de pimienta negra en polvo, 1 cucharadita de jugo de limón</t>
  </si>
  <si>
    <t>To make Roasted Bell Pepper Quinoa Recipe wash the quinoa and keep it aside. Now in a pressure cooker add quinoa, water as per requirement, 1 tsp olive oil, salt and close the pressure cooker. Cook till 4 whistles and then turn off the gas. Let the pressure release automatically. Now heat oil in a pan. Add garlic in it and cook till it becomes light brown. Now add rosemary, capsicum, salt and cook till the capsicum becomes soft. After the capsicum becomes soft, add black pepper powder and turn off the gas. Now add lemon juice and mix it. Transfer it to a bowl and serve. Serve Roasted Bell Pepper Quinoa Recipe with Tomato Onion Cucumber Raita for your lunch.</t>
  </si>
  <si>
    <t>Para preparar la receta de quinoa con pimientos morrones asados, lava la quinoa y resérvala. En una olla a presión, añade la quinoa, el agua necesaria, 1 cucharadita de aceite de oliva y sal. Cierra la olla. Cocina hasta que suene 4 silbidos y apaga el fuego. Deja que la presión se libere automáticamente. Calienta el aceite en una sartén. Agrega el ajo y cocina hasta que esté ligeramente dorado. Agrega el romero, el pimiento morrón y la sal, y cocina hasta que el pimiento esté suave. Una vez suave, añade pimienta negra en polvo y apaga el fuego. Agrega el jugo de limón y mezcla. Vierte la mezcla en un tazón y sirve. Sirve la receta de quinoa con pimientos morrones asados ​​con raita de tomate, cebolla y pepino como almuerzo.</t>
  </si>
  <si>
    <t>Pour préparer la recette de quinoa aux poivrons grillés, lavez le quinoa et réservez-le. Dans une cocotte-minute, ajoutez le quinoa, l'eau selon vos besoins, 1 cuillère à café d'huile d'olive et le sel. Fermez l'autocuiseur. Faites cuire jusqu'à 4 sifflements, puis coupez le gaz. Laissez la pression retomber automatiquement. Faites chauffer l'huile dans une poêle. Ajoutez l'ail et faites-le dorer légèrement. Ajoutez ensuite le romarin, le poivron, le sel et faites cuire jusqu'à ce que le poivron soit tendre. Une fois le poivron tendre, ajoutez le poivre noir en poudre et coupez le gaz. Ajoutez le jus de citron et mélangez. Transférez dans un bol et servez. Servez la recette de quinoa aux poivrons grillés avec raïta tomate, oignon, concombre pour votre déjeuner.</t>
  </si>
  <si>
    <t>https://www.archanaskitchen.com/roasted-bell-pepper-quinoa-recipe-in-hindi</t>
  </si>
  <si>
    <t>Egg Muffin With Vegetables Recipe</t>
  </si>
  <si>
    <t>Eiermuffin mit Gemüse Rezept</t>
  </si>
  <si>
    <t>Recette de muffins aux œufs et aux légumes</t>
  </si>
  <si>
    <t>Receta de muffins de huevo y verduras</t>
  </si>
  <si>
    <t>5 œufs entiers, 1 tasse d'épinards hachés, 1/2 tasse de poivron rouge haché, poivron vert haché, 2 piments verts hachés, 1/2 tasse d'oignons verts hachés, 1/2 cuillère à soupe de poudre de poivre noir, 1/2 cuillère à soupe de poudre de chaat masala, sel au goût, 3 à 4 cuillères à soupe de fromage râpé, huile de tournesol au besoin</t>
  </si>
  <si>
    <t>5 Whole Eggs,1 cup Spinach - chopped,1/2 cup Red Bell pepper (Capsicum) - chopped,Green Bell Pepper (Capsicum) - chopped,2 Green Chillies - chopped,1/2 cup Spring Onion Greens - chopped,1/2 tablespoon Black pepper powder,1/2 tablespoon Chaat Masala Powder,Salt - to taste,3 to 4 tablespoons Cheese - grated,Sunflower Oil - as required</t>
  </si>
  <si>
    <t>5 huevos enteros, 1 taza de espinacas picadas, 1/2 taza de pimiento morrón rojo picado, pimiento morrón verde picado, 2 chiles verdes picados, 1/2 taza de cebolletas picadas, 1/2 cucharada de pimienta negra en polvo, 1/2 cucharada de Chaat Masala en polvo, sal al gusto, 3 a 4 cucharadas de queso rallado, aceite de girasol (según se requiera)</t>
  </si>
  <si>
    <t xml:space="preserve">To begin making the Egg Muffin With Vegetables recipe, preheat the oven at 200 degree.Heat 1/2 tablespoon oil in a wok/kadai. Add all vegetables including red and green capsicum, spring onion and spinach. Saute for 2 minutes and turn off the flame.Let it cool down. On other hand, take a bowl and crack all the eggs. Beat them properly.Add green chillies, black pepper powder, chaat masala and salt to taste. Grease muffin tray with rest of oil.Once the vegetables cool down, mix them with eggs. Add the egg mixture in the muffin tray using a spoon. Sprinkle some grated cheese on it.Pop the tray into the oven for 15 to 18 minutes until the tops are firm to touch.Once its done, take them out and enjoy hot fluffy egg muffin. Serve Egg Muffin With Vegetables along with a toast and Masala Chai for breakfast.
</t>
  </si>
  <si>
    <t>Para empezar a preparar la receta de Muffins de Huevo con Verduras, precalienta el horno a 200 grados. Calienta 1/2 cucharada de aceite en un wok/kadai. Agrega todas las verduras, incluyendo el pimiento rojo y verde, la cebolleta y las espinacas. Saltea durante 2 minutos y apaga el fuego. Deja enfriar. Por otro lado, toma un bol y rompe todos los huevos. Bátelos bien. Agrega chiles verdes, pimienta negra en polvo, chaat masala y sal al gusto. Engrasa la bandeja de muffins con el resto del aceite. Una vez que las verduras se hayan enfriado, mézclalas con los huevos. Agrega la mezcla de huevo a la bandeja de muffins con una cuchara. Espolvorea un poco de queso rallado. Mete la bandeja en el horno durante 15 a 18 minutos hasta que la superficie esté firme al tacto. Una vez listo, sácalos y disfruta de un muffin de huevo caliente y esponjoso. Sirve el Muffin de Huevo con Verduras junto con una tostada y Masala Chai para desayunar.</t>
  </si>
  <si>
    <t>Pour commencer la recette de muffins aux œufs et légumes, préchauffez le four à 200 degrés. Faites chauffer 1/2 cuillère à soupe d'huile dans un wok/kadai. Ajoutez tous les légumes, y compris les poivrons rouges et verts, l'oignon vert et les épinards. Faites revenir 2 minutes, puis éteignez le feu. Laissez refroidir. Prenez un bol et cassez tous les œufs. Battez-les bien. Ajoutez les piments verts, le poivre noir en poudre, le chaat masala et le sel à votre goût. Graissez le moule à muffins avec le reste d'huile. Une fois les légumes refroidis, mélangez-les aux œufs. Versez le mélange d'œufs dans le moule à muffins à l'aide d'une cuillère. Saupoudrez de fromage râpé. Enfournez pendant 15 à 18 minutes, jusqu'à ce que le dessus soit ferme au toucher. Une fois cuit, sortez les muffins et dégustez-les chauds et moelleux. Servez les muffins aux œufs et légumes avec du pain grillé et du masala chai au petit-déjeuner.</t>
  </si>
  <si>
    <t>http://www.archanaskitchen.com/egg-muffin-with-vegetables-recipe</t>
  </si>
  <si>
    <t>Healthy Vegetable Fries Recipe (Oven roasted Potato, Zucchini and Carrot Fries)</t>
  </si>
  <si>
    <t>Rezept für gesunde Gemüsepommes (im Ofen geröstete Kartoffel-, Zucchini- und Karottenpommes)</t>
  </si>
  <si>
    <t>Recette de frites de légumes saines (frites de pommes de terre, de courgettes et de carottes rôties au four)</t>
  </si>
  <si>
    <t>Receta de papas fritas de verduras saludables (papas fritas de papa, calabacín y zanahoria asadas al horno)</t>
  </si>
  <si>
    <t>1 courgette verte - coupée en bâtonnets de 2 pouces, 1 courgette jaune - coupée en bâtonnets de 2 pouces, 2 carottes (Gajjar) - coupées en bâtonnets de 2 pouces, 2 pommes de terre (Aloo) - pelées et coupées en bâtonnets de 2 pouces, 1 tasse de chapelure de blé entier - pain brun, 2 cuillères à café d'assaisonnement italien, 1/2 cuillère à café de poudre d'ail, 1 blanc d'œuf, 1/2 cuillère à café de poudre de poivre noir - écrasé, 1 cuillère à café de flocons de piment rouge, sel - au goût</t>
  </si>
  <si>
    <t>1 Green zucchini - cut into 2 inch sticks,1 Yellow Zucchini - cut into 2 inch sticks,2 Carrots (Gajjar) - cut into 2 inch sticks,2 Potatoes (Aloo) - peeled and cut into 2 inch sticks,1 cup Whole Wheat Bread crumbs - brown bread,2 teaspoon Italian seasoning,1/2 teaspoon Garlic powder,1 Egg white,1/2 teaspoon Black pepper powder - crushed,1 teaspoon Red Chilli flakes,Salt - to taste</t>
  </si>
  <si>
    <t>1 calabacín verde - cortado en palitos de 2 pulgadas, 1 calabacín amarillo - cortado en palitos de 2 pulgadas, 2 zanahorias (Gajjar) - cortadas en palitos de 2 pulgadas, 2 papas (Aloo) - peladas y cortadas en palitos de 2 pulgadas, 1 taza de pan rallado integral - pan integral, 2 cucharaditas de condimento italiano, 1/2 cucharadita de ajo en polvo, 1 clara de huevo, 1/2 cucharadita de pimienta negra en polvo - triturada, 1 cucharadita de hojuelas de chile rojo, sal - al gusto</t>
  </si>
  <si>
    <t xml:space="preserve">To begin making the Healthy Vegetable Fries Recipe, first preheat the oven to 220 C.Prepare a baking sheet by greasing it with oil or butter.Whisk the egg white along with salt and pepper and keep aside.In another mixing bowl, combine the breadcrumbs with italian seasoning mix, garlic powder, red chilli flakes and place them in a small flat tray or plate.Brush the vegetable sticks with the egg white and then roll them in the breadcrumb mixture such that they are coated evenly.Arrange the spice coated vegetables on the baking sheet and bake in the preheated oven for about 15 to 20 minutes, until the vegetable fires are well browned and golden. Halfway through the baking, use a pair of tongs and flip the vegetable sticks to ensure even baking.Once done, remove the vegetable fries from the oven and arrange on a serving platter.Serve the Healthy Vegetable Fries Recipe along with Tzatziki Recipe - A Greek Yogurt Dip as a side dish or an appetizer for parties.
</t>
  </si>
  <si>
    <t>Para comenzar a hacer la Receta de Papas Fritas de Verduras Saludables, primero precaliente el horno a 220 C. Prepare una bandeja para hornear engrasándola con aceite o mantequilla. Bata la clara de huevo junto con la sal y la pimienta y reserve. En otro tazón, combine las migas de pan con la mezcla de condimentos italianos, ajo en polvo, hojuelas de chile rojo y colóquelas en una bandeja o plato plano pequeño. Pincele los palitos de vegetales con la clara de huevo y luego rebócelos en la mezcla de pan rallado de manera que queden cubiertos de manera uniforme. Coloque las verduras cubiertas de especias en la bandeja para hornear y hornee en el horno precalentado durante aproximadamente 15 a 20 minutos, hasta que los palitos de vegetales estén bien dorados. A la mitad del horneado, use unas pinzas y voltee los palitos de vegetales para asegurar una cocción uniforme. Una vez listo, retire las papas fritas de vegetales del horno y colóquelas en una fuente para servir. Sirva la Receta de Papas Fritas de Vegetales Saludables junto con la Receta de Tzatziki - Una salsa de yogur griego como guarnición o aperitivo para fiestas.</t>
  </si>
  <si>
    <t xml:space="preserve">Pour commencer à préparer la recette de frites de légumes saines, préchauffez d'abord le four à 220 °C. Préparez une plaque à pâtisserie en la graissant avec de l'huile ou du beurre. Fouettez le blanc d'œuf avec du sel et du poivre et réservez. Dans un autre bol, mélangez la chapelure avec le mélange d'assaisonnement italien, la poudre d'ail, les flocons de piment rouge et placez-les dans un petit plateau ou une assiette plate. Badigeonnez les bâtonnets de légumes avec le blanc d'œuf, puis roulez-les dans le mélange de chapelure de manière à ce qu'ils soient enrobés uniformément. Disposez les légumes enrobés d'épices sur la plaque à pâtisserie et faites cuire au four préchauffé pendant environ 15 à 20 minutes, jusqu'à ce que les feux de légumes soient bien dorés. À mi-cuisson, utilisez une paire de pinces et retournez les bâtonnets de légumes pour assurer une cuisson uniforme. Une fois terminé, retirez les frites de légumes du four et disposez-les sur un plat de service. Servez la recette de frites de légumes saines avec la recette de tzatziki - une trempette au yaourt grec - en accompagnement ou en apéritif pour les fêtes.
</t>
  </si>
  <si>
    <t>http://www.archanaskitchen.com/healthy-vegetable-fries-recipe-oven-roasted-potato-zucchini-and-carrot-fries</t>
  </si>
  <si>
    <t>Broccoli Salad Recipe with Roasted Onion &amp; Peppers</t>
  </si>
  <si>
    <t>Brokkolisalat-Rezept mit gerösteten Zwiebeln und Paprika</t>
  </si>
  <si>
    <t>Recette de salade de brocoli aux oignons et poivrons rôtis</t>
  </si>
  <si>
    <t>Receta de ensalada de brócoli con cebollas y pimientos asados</t>
  </si>
  <si>
    <t>1 tasse de brocoli, 1 oignon coupé en dés, 1/4 tasse de poivron rouge (Capsicum) coupé dans le sens de la longueur, 1/4 tasse de poivron jaune (Capsicum) coupé dans le sens de la longueur, 2 cuillères à café de sauce Veeba Harissa, 1 cuillère à café de cassonade (sucre Demerara), 1 cuillère à café de vinaigre, 2 cuillères à café d'huile d'olive extra vierge, sel au goût</t>
  </si>
  <si>
    <t>1 cup Broccoli,1 Onion - diced,1/4 cup Red Bell pepper (Capsicum) - cut lengthwise,1/4 cup Yellow Bell Pepper (Capsicum) - cut lengthwise,2 teaspoons Veeba Harissa Sauce,1 teaspoon Brown Sugar (Demerara Sugar),1 teaspoon Vinegar,2 teaspoons Extra Virgin Olive Oil,Salt - to taste</t>
  </si>
  <si>
    <t>1 taza de brócoli, 1 cebolla cortada en cubitos, 1/4 taza de pimiento morrón rojo (Capsicum) cortado a lo largo, 1/4 taza de pimiento morrón amarillo (Capsicum) cortado a lo largo, 2 cucharaditas de salsa Veeba Harissa, 1 cucharadita de azúcar morena (azúcar Demerara), 1 cucharadita de vinagre, 2 cucharaditas de aceite de oliva virgen extra, sal - al gusto</t>
  </si>
  <si>
    <t xml:space="preserve">To begin making the Broccoli Salad Recipe with Roasted Onion &amp; Peppers, cut the vegetables and make the harissa sauce and keep it ready.You can either use store bought harissa sauce or make it home, using this recipe Homemade Harissa Paste RecipeHeat a wok on high heat, add in the broccoli, onions yellow and red bell peppers. Cook them on high heat and stir continuously for 5-7 minutes until lightly tender.We want the vegetables to be cooked yet crunchy. Turn off the flame. Transfer the Broccoli and Roasted Onion &amp; Peppers to a mixing bowl and set aside.For the DressingIn a small mixing bowl, combine the harissa sauce, brown sugar, vinegar, olive oil and salt. Mix well.Pout this dressing over the Broccoli and Roasted Onion &amp; Peppers and serve at room temperature.Serve this Broccoli and Roasted Onion &amp; Peppers Recipe along with Chicken And Cheese Sandwich With Avocado Recipe and Blueberry and Lemon Iced Tea Recipe for a  complete meal. 
</t>
  </si>
  <si>
    <t>Para comenzar a hacer la Receta de Ensalada de Brócoli con Cebolla Asada y Pimientos, corta las verduras y prepara la salsa harissa y ténla lista. Puedes usar salsa harissa comprada en la tienda o hacerla en casa, usando esta receta Receta de Pasta Harissa Casera Calienta un wok a fuego alto, agrega el brócoli, las cebollas, los pimientos amarillos y rojos. Cocínalos a fuego alto y revuelve continuamente durante 5-7 minutos hasta que estén ligeramente tiernos. Queremos que las verduras estén cocidas pero crujientes. Apaga el fuego. Transfiere el brócoli y la cebolla asada y los pimientos a un tazón y reserva. Para el aderezo En un tazón pequeño, combina la salsa harissa, el azúcar moreno, el vinagre, el aceite de oliva y la sal. Mezclar bien. Verter este aderezo sobre el brócoli, la cebolla y los pimientos asados ​​y servir a temperatura ambiente. Servir esta receta de brócoli, cebolla y pimientos asados ​​junto con la receta de sándwich de pollo y queso con aguacate y la receta de té helado de arándanos y limón para una comida completa.</t>
  </si>
  <si>
    <t>Pour commencer à préparer la recette de salade de brocoli avec oignons et poivrons rôtis, coupez les légumes et préparez la sauce harissa et gardez-la prête. Vous pouvez utiliser de la sauce harissa du commerce ou la préparer maison en utilisant cette recette. Recette de pâte d'harissa maison Faites chauffer un wok à feu vif, ajoutez le brocoli, les oignons et les poivrons jaunes et rouges. Faites-les cuire à feu vif et remuez continuellement pendant 5 à 7 minutes jusqu'à ce qu'ils soient légèrement tendres. Nous voulons que les légumes soient cuits mais croquants. Éteignez le feu. Transférez le brocoli, l'oignon et les poivrons rôtis dans un bol à mélanger et réservez. Pour la vinaigrette Dans un petit bol à mélanger, mélangez la sauce harissa, la cassonade, le vinaigre, l'huile d'olive et le sel. Bien mélanger. Verser cette vinaigrette sur le brocoli, l'oignon rôti et les poivrons et servir à température ambiante. Servir cette recette de brocoli, d'oignon rôti et de poivrons avec la recette de sandwich au poulet et au fromage avec avocat et la recette de thé glacé aux myrtilles et au citron pour un repas complet.</t>
  </si>
  <si>
    <t>http://www.archanaskitchen.com/broccoli-salad-recipe-with-roasted-onion-peppers</t>
  </si>
  <si>
    <t>Spinach, Apple and Walnut Salad Recipe</t>
  </si>
  <si>
    <t>Rezept für Spinat-, Apfel- und Walnusssalat</t>
  </si>
  <si>
    <t>Recette de salade d'épinards, de pommes et de noix</t>
  </si>
  <si>
    <t>Receta de ensalada de espinacas, manzana y nueces</t>
  </si>
  <si>
    <t>3 tasses de jeunes pousses d'épinards, 1/2 tasse de noix grossièrement hachées, 1/2 tasse de raisins secs, 1 pomme évidée et coupée en fines tranches, 2 cuillères à soupe de graines de tournesol, 4 cuillères à soupe d'huile de tournesol, 1 cuillère à soupe de jus de citron, sel au goût, 1/4 cuillère à café de poivre noir en poudre, 1 cuillère à soupe de moutarde de Dijon, 2 cuillères à soupe de miel</t>
  </si>
  <si>
    <t>3 cups Baby spinach,1/2 cup Walnuts - roughly chopped,1/2 cup Raisins,1 Apple - cored and cut into thin slices,2 tablespoons Sunflower seeds,4 tablespoons Sunflower Oil,1 tablespoon Lemon juice,Salt - to taste,1/4 teaspoon Black pepper powder,1 tablespoon Dijon Mustard,2 tablespoons Honey</t>
  </si>
  <si>
    <t>3 tazas de espinacas baby, 1/2 taza de nueces picadas gruesas, 1/2 taza de pasas, 1 manzana sin corazón y cortada en rodajas finas, 2 cucharadas de semillas de girasol, 4 cucharadas de aceite de girasol, 1 cucharada de jugo de limón, sal al gusto, 1/4 cucharadita de pimienta negra en polvo, 1 cucharada de mostaza Dijon, 2 cucharadas de miel</t>
  </si>
  <si>
    <t xml:space="preserve">To begin making the Spinach, Apple and Walnut Salad recipe, we will firstly make the Honey Mustard dressing.In a mason jar or any bottle with a tight fitting lid, add all the ingredients of the dressing. Close the lid tightly and shake the bottle to blend the dressing well.The next step is to make a salad. In a large salad bowl, toss together spinach, walnuts, raisins and apples slices. Drizzle with the honey-mustard dressing, toss to coat evenly and serve immediately.Serve Spinach, Apple and Walnut Salad along with Minestrone Soup for a weekday dinner.
</t>
  </si>
  <si>
    <t>Para empezar a preparar la receta de ensalada de espinacas, manzana y nueces, primero prepararemos el aderezo de miel y mostaza. En un frasco de vidrio o cualquier botella con tapa hermética, agregue todos los ingredientes del aderezo. Cierre bien la tapa y agite la botella para mezclar bien el aderezo. El siguiente paso es preparar la ensalada. En una ensaladera grande, mezcle las espinacas, las nueces, las pasas y las rodajas de manzana. Rocíe con el aderezo de miel y mostaza, revuelva para cubrir uniformemente y sirva inmediatamente. Sirva la ensalada de espinacas, manzana y nueces junto con la sopa minestrone para una cena entre semana.</t>
  </si>
  <si>
    <t>Pour commencer à préparer la recette de salade d'épinards, de pommes et de noix, nous allons d'abord préparer la vinaigrette au miel et à la moutarde. Dans un pot Mason ou dans une bouteille avec un couvercle hermétique, ajoutez tous les ingrédients de la vinaigrette. Fermez bien le couvercle et secouez la bouteille pour bien mélanger la vinaigrette. L'étape suivante consiste à préparer une salade. Dans un grand saladier, mélangez les épinards, les noix, les raisins secs et les tranches de pommes. Arrosez de vinaigrette au miel et à la moutarde, mélangez pour enrober uniformément et servez immédiatement. Servez la salade d'épinards, de pommes et de noix avec la soupe minestrone pour un dîner de semaine.</t>
  </si>
  <si>
    <t>https://www.archanaskitchen.com/spinach-apple-and-walnut-salad-recipe</t>
  </si>
  <si>
    <t>Whole Wheat Buttermilk Vanilla Waffles Recipe</t>
  </si>
  <si>
    <t>Rezept für Vollkorn-Buttermilch-Vanille-Waffeln</t>
  </si>
  <si>
    <t>Recette de gaufres au babeurre et à la vanille au blé entier</t>
  </si>
  <si>
    <t>Receta de waffles de vainilla con suero de leche y trigo integral</t>
  </si>
  <si>
    <t>1 tasse de farine de blé entier, 1 cuillère à café de levure chimique, 1/4 cuillère à café de sel, 2 œufs entiers - bien battus ou substitut d'œuf à base de farine de lin, 1 cuillère à café d'extrait de vanille, 1/2 tasse de caillé (Dahi / Yaourt), 1 cuillère à soupe d'huile de tournesol, sirop d'érable - pour servir, fruits frais - ou pommes pour servir</t>
  </si>
  <si>
    <t>1 cup Whole Wheat Flour,1 teaspoon Baking powder,1/4 teaspoon Salt,2 Whole Eggs - well beaten or Flax meal Egg Replacer,1 teaspoon Vanilla Extract,1/2 cup Curd (Dahi / Yogurt),1 tablespoon Sunflower Oil,Maple syrup - for serving,Fresh fruits - or apples for serving</t>
  </si>
  <si>
    <t>1 taza de harina integral, 1 cucharadita de polvo para hornear, 1/4 cucharadita de sal, 2 huevos enteros bien batidos o sustituto de huevo de harina de lino, 1 cucharadita de extracto de vainilla, 1/2 taza de cuajada (Dahi / yogur), 1 cucharada de aceite de girasol, jarabe de arce - para servir, frutas frescas - o manzanas para servir</t>
  </si>
  <si>
    <t xml:space="preserve">To begin making the Whole Wheat Buttermilk Vanilla Waffles Recipe, stir together the wheat flour, baking powder and salt.Add eggs (or the flax eggs), yogurt, vanilla extract, and oil and whisk until well blended. You should have a thick batter that coats well on the back of a spoon.Pour a ladleful of batter into the waffle maker and cook until the waffles are browned and crisp.Serve these Whole Wheat Buttermilk Vanilla Waffles for breakfast topped with butter, maple syrup and some fruits along with Banana Almond &amp; Prunes Smoothie, or in the kids' snack box.
</t>
  </si>
  <si>
    <t>Para empezar a preparar la receta de waffles de vainilla con suero de leche y trigo integral, mezcla la harina de trigo, el polvo para hornear y la sal. Agrega los huevos (o los huevos de linaza), el yogur, el extracto de vainilla y el aceite, y bate hasta que estén bien mezclados. Debes obtener una masa espesa que cubra bien el dorso de una cuchara. Vierte un cucharón de masa en la waflera y cocina hasta que los waffles estén dorados y crujientes. Sirve estos waffles de vainilla con suero de leche y trigo integral para desayunar, cubiertos con mantequilla, jarabe de arce y algunas frutas, junto con un batido de plátano, almendras y ciruelas pasas, o en la caja de refrigerios de los niños.</t>
  </si>
  <si>
    <t>Pour préparer les gaufres au babeurre et à la vanille, mélangez la farine de blé, la levure chimique et le sel. Ajoutez les œufs (ou les œufs de lin), le yaourt, l'extrait de vanille et l'huile, puis fouettez jusqu'à obtenir une pâte épaisse qui nappe bien le dos d'une cuillère. Versez une louche de pâte dans le gaufrier et faites cuire jusqu'à ce que les gaufres soient dorées et croustillantes. Servez ces gaufres au babeurre et à la vanille au petit-déjeuner, garnies de beurre, de sirop d'érable et de fruits, accompagnées d'un smoothie banane, amandes et pruneaux, ou dans le panier à goûter des enfants.</t>
  </si>
  <si>
    <t>https://www.archanaskitchen.com/whole-wheat-buttermilk-vanilla-waffles-recipe</t>
  </si>
  <si>
    <t>Coleslaw Salad on Sliced Apple Recipe</t>
  </si>
  <si>
    <t>Krautsalat mit Apfelscheiben Rezept</t>
  </si>
  <si>
    <t>Recette de salade de chou aux tranches de pomme</t>
  </si>
  <si>
    <t>Receta de ensalada de col con rodajas de manzana</t>
  </si>
  <si>
    <t>1 pomme, 1/2 tasse de chou violet finement haché, 1 pomme de terre (Aloo) bouillie, 10 noix concassées, 1 cuillère à café d'origan séché, 2 cuillères à soupe de flocons de piment rouge, 2 cuillères à soupe de miel, 1 cuillère à soupe de Tabasco Original - sauce piquante, 1/4 tasse de Hung Curd (yaourt grec), 5 tiges d'oignon nouveau (bulbe et feuilles) hachées, 1 citron - jus extrait, sel - au goût</t>
  </si>
  <si>
    <t>1 Apple,1/2 cup Purple cabbage - finely chopped,1 Potato (Aloo) - boiled,10 Walnuts - crushed,1 teaspoon Dried oregano,2 tablespoon Red Chilli flakes,2 tablespoon Honey,1 tablespoon Tabasco Original - Hot Sauce,1/4 cup Hung Curd (Greek Yogurt),5 Stalks Spring Onion (Bulb &amp; Greens) - chopped,1 Lemon - juice extracted,Salt - to taste</t>
  </si>
  <si>
    <t>1 manzana, 1/2 taza de repollo morado finamente picado, 1 papa hervida, 10 nueces trituradas, 1 cucharadita de orégano seco, 2 cucharadas de hojuelas de chile rojo, 2 cucharadas de miel, 1 cucharada de salsa picante Tabasco Original, 1/4 taza de yogur griego (Hung Curd), 5 tallos de cebolla de verdeo (bulbo y hojas verdes) picados, 1 limón (jugo extraído), sal al gusto</t>
  </si>
  <si>
    <t xml:space="preserve">To begin making the Coleslaw Salad on Sliced Apple Recipe, we will first make the coleslaw  and keep it ready.In a mixing bowl, add hung yogurt, squeeze lemon juice, a pinch of salt and whisk well till it combines and becomes nice and creamy.Add chopped cabbage leaves, boiled potato, drizzle honey,  chopped walnuts, dried herbs and tobacco sauce to the whisked yogurt and mix well to combine. Check for salt and add if required. Keep it aside. Refrigerate till you serve the salad.Cut the apples into thin roundels and soak them in ice water, so that it stays fresh and crispy.When you are going to assemble the Coleslaw Salad on Sliced Apple, place one apple slice on a serving platter and top it up with a tablespoon of coleslaw and garnish it with some chopped spring onions and serve.Serve the Coleslaw Salad on Sliced Apple Recipe along with Penne Pasta Recipe in Spinach Basil Pesto Sauce and Cheese Garlic Bread Recipe.
</t>
  </si>
  <si>
    <t>Para empezar a preparar la receta de ensalada de col con manzana en rodajas, primero haremos la ensalada de col y la tendremos lista. En un bol, añadir yogur helado, exprimir zumo de limón, una pizca de sal y batir bien hasta que se integre y quede agradable y cremoso. Añadir hojas de col picadas, patata hervida, un chorrito de miel, nueces picadas, hierbas secas y salsa de tabaco al yogur batido y mezclar bien. Comprobar la sal y añadir si es necesario. Reservar. Refrigerar hasta servir la ensalada. Cortar las manzanas en rodajas finas y remojarlas en agua helada para que se mantengan frescas y crujientes. Cuando vayas a montar la ensalada de col con manzana en rodajas, colocar una rodaja de manzana en una fuente para servir, cubrirla con una cucharada de ensalada de col y decorarla con cebolletas picadas y servir. Servir la receta de ensalada de col con manzana en rodajas junto con la receta de pasta penne con salsa de pesto de espinacas y albahaca y la receta de pan de ajo con queso.</t>
  </si>
  <si>
    <t>Pour commencer à préparer la recette de salade de chou sur des tranches de pomme, nous allons d'abord préparer la salade de chou et la garder prête. Dans un saladier, ajoutez le yaourt glacé, pressez le jus de citron, une pincée de sel et fouettez bien jusqu'à ce que le mélange soit bien crémeux. Ajoutez les feuilles de chou hachées, les pommes de terre bouillies, un filet de miel, les noix hachées, les herbes séchées et la sauce au tabac au yaourt fouetté et mélangez bien. Vérifiez la présence de sel et ajoutez-en si nécessaire. Réservez. Réfrigérez jusqu'au moment de servir la salade. Coupez les pommes en fines rondelles et faites-les tremper dans de l'eau glacée pour qu'elles restent fraîches et croustillantes. Lorsque vous assemblez la salade de chou sur des tranches de pomme, placez une tranche de pomme sur un plat de service, ajoutez une cuillère à soupe de salade de chou, garnissez-la d'oignons nouveaux hachés et servez. Servez la salade de chou sur des tranches de pomme avec la recette de pâtes penne à la sauce pesto aux épinards et au basilic et la recette de pain à l'ail et au fromage.</t>
  </si>
  <si>
    <t>https://www.archanaskitchen.com/coleslaw-salad-on-sliced-apple-recipe</t>
  </si>
  <si>
    <t>Cream Cheese Swirl Brownies Recipes</t>
  </si>
  <si>
    <t>Rezepte für Brownies mit Frischkäse-Wirbel</t>
  </si>
  <si>
    <t>Recettes de brownies avec tourbillon de fromage à la crème</t>
  </si>
  <si>
    <t>Recetas de brownies con remolino de queso crema</t>
  </si>
  <si>
    <t>540 grammes de tartinade au fromage Britannia - Classique - à température ambiante, 1/4 tasse de sucre en poudre, 1/2 cuillère à café d'extrait de vanille, 1 œuf entier - à température ambiante, 1/2 tasse de beurre (non salé), 2 tasses de chocolat noir, 1/2 tasse de sucre en poudre, 1 cuillère à café d'extrait de vanille, 2 gros œufs entiers, 1/2 tasse de farine tout usage (Maida), 1/4 cuillère à café de sel</t>
  </si>
  <si>
    <t>540 grams Britannia Cheese Spread - Classic - at room temperature,1/4 cup Caster Sugar,1/2 teaspoon Vanilla Extract,1 Whole Egg - at room temperature,1/2 cup Butter (unsalted),2 cups Dark chocolate,1/2 cup Caster Sugar,1 teaspoon Vanilla Extract,2 large Whole Eggs,1/2 cup All Purpose Flour (Maida),1/4 teaspoon Salt</t>
  </si>
  <si>
    <t>540 gramos de queso untable Britannia - Clásico - a temperatura ambiente, 1/4 taza de azúcar extrafino, 1/2 cucharadita de extracto de vainilla, 1 huevo entero - a temperatura ambiente, 1/2 taza de mantequilla (sin sal), 2 tazas de chocolate negro, 1/2 taza de azúcar extrafino, 1 cucharadita de extracto de vainilla, 2 huevos enteros grandes, 1/2 taza de harina multiusos (Maida), 1/4 cucharadita de sal</t>
  </si>
  <si>
    <t xml:space="preserve">To begin making the Cream Cheese Swirl Brownies Recipe, prep all the ingredients and keep them ready. For the cream cheese layerInto a large mixing bowl add the cream cheese, castor sugar, vanilla extract,egg and beat well until soft and fluffy peaks form. This will take about two minutes. Keep aside.For the Brownie LayerInto a double boiler place a heat proof bowl. Into the bowl add the butter and dark chocolate and melt the chocolate and butter until creamy and smooth. Once done remove from heat and add castor sugar, eggs, vanilla extract, all purpose flour and salt to it.Beat well for about a minute until the batter is smooth and glossy.Remove half a cup of the brownie batter and keep aside.Pour the brownie batter into the prepared cake pan.Pour the cream cheese layer on the top and spread evenly. Add dollops of the remaining brownie batter on top of the cream cheese layer. Use a knife and create swirls.Place the pan in a preheated oven at 180 C.Bake for about 30 minutes or until the brownies are set and the cream cheese is just beginning to brown.To check insert a toothpick into the brownie. If it comes out with just a few moist crumbs then it is done. Remove the Cream Cheese Swirl Brownies from the oven and allow to cool. Cut the Cream Cheese Swirl Brownies  into desired shape and serve. Serve Cream Cheese Swirl Brownies along with Espresso Coffee/Masala Tea and Grilled Paneer Pineapple Sandwich for your next tea party.
</t>
  </si>
  <si>
    <t>Para comenzar a hacer la Receta de Brownies con Remolino de Queso Crema, prepara todos los ingredientes y tenlos listos. Para la capa de queso crema En un tazón grande para mezclar agrega el queso crema, el azúcar extrafino, el extracto de vainilla, el huevo y bate bien hasta que se formen picos suaves y esponjosos. Esto tomará aproximadamente dos minutos. Reserva. Para la capa de brownie En una caldera doble coloca un tazón resistente al calor. En el tazón agrega la mantequilla y el chocolate negro y derrite el chocolate y la mantequilla hasta que esté cremoso y suave. Una vez hecho esto, retira del fuego y agrega el azúcar extrafino, los huevos, el extracto de vainilla, la harina para todo uso y la sal. Bate bien durante aproximadamente un minuto hasta que la masa esté suave y brillante. Retira media taza de la masa de brownie y reserva. Vierte la masa de brownie en el molde para pastel preparado. Vierte la capa de queso crema en la parte superior y extiéndela uniformemente. Agrega cucharadas de la masa de brownie restante en la parte superior de la capa de queso crema. Usa un cuchillo y crea remolinos. Coloca la bandeja en un horno precalentado a 180 °C. Hornea durante unos 30 minutos o hasta que los brownies estén listos y el queso crema comience a dorarse. Para comprobarlo, inserta un palillo en el brownie. Si sale con solo unas pocas migas húmedas, está listo. Retira los brownies con remolino de queso crema del horno y deja enfriar. Corta los brownies con remolino de queso crema en la forma deseada y sirve. Sirve los brownies con remolino de queso crema junto con café expreso/té masala y un sándwich de piña paneer a la parrilla para tu próxima fiesta de té.</t>
  </si>
  <si>
    <t>Pour commencer à préparer la recette des brownies tourbillonnés au fromage à la crème, préparez tous les ingrédients et gardez-les prêts. Pour la couche de fromage à la crème Dans un grand bol à mélanger, ajoutez le fromage à la crème, le sucre en poudre, l'extrait de vanille, l'œuf et battez bien jusqu'à ce que des pics mous et moelleux se forment. Cela prendra environ deux minutes. Réservez. Pour la couche de brownie Dans un bain-marie, placez un bol résistant à la chaleur. Dans le bol, ajoutez le beurre et le chocolat noir et faites fondre le chocolat et le beurre jusqu'à ce qu'ils soient crémeux et lisses. Une fois terminé, retirez du feu et ajoutez le sucre en poudre, les œufs, l'extrait de vanille, la farine tout usage et le sel. Battez bien pendant environ une minute jusqu'à ce que la pâte soit lisse et brillante. Retirez une demi-tasse de pâte à brownie et réservez. Versez la pâte à brownie dans le moule à gâteau préparé. Versez la couche de fromage à la crème sur le dessus et étalez uniformément. Ajoutez des cuillerées de la pâte à brownie restante sur la couche de fromage à la crème. Utilisez un couteau et créez des tourbillons. Placez le moule dans un four préchauffé à 180 °C. Faites cuire pendant environ 30 minutes ou jusqu'à ce que les brownies soient pris et que le fromage à la crème commence à dorer. Pour vérifier la cuisson, insérez un cure-dent dans le brownie. S'il en ressort avec seulement quelques miettes humides, c'est qu'il est cuit. Retirez les brownies tourbillonnés au fromage à la crème du four et laissez-les refroidir. Coupez les brownies tourbillonnés au fromage à la crème selon la forme souhaitée et servez. Servez les brownies tourbillonnés au fromage à la crème avec du café expresso/thé masala et un sandwich au paneer grillé et à l'ananas pour votre prochain goûter.</t>
  </si>
  <si>
    <t>https://www.archanaskitchen.com/brondies-recipe</t>
  </si>
  <si>
    <t>Breakfast Bar Recipe With Berries Quinoa &amp; Oats</t>
  </si>
  <si>
    <t>Frühstücksriegel-Rezept mit Beeren, Quinoa und Hafer</t>
  </si>
  <si>
    <t>Recette de barre de petit-déjeuner avec des baies, du quinoa et de l'avoine</t>
  </si>
  <si>
    <t>Receta de barra de desayuno con frutos rojos, quinoa y avena</t>
  </si>
  <si>
    <t>1/2 tasse de quinoa, 1/2 tasse de flocons d'avoine instantanés (gruau), 2 tasses de son d'avoine, 2 tasses de son de blé, 4 tasses de beurre d'arachide, 1 tasse de miel, 2 tasses de canneberges - ou de raisins secs, 2 tasses de badam (amandes) - tranchées</t>
  </si>
  <si>
    <t>1/2 cup Quinoa,1/2 cup Instant Oats (Oatmeal),2 cups Oat bran,2 cups Wheat Bran,4 cups Peanut Butter,1 cup Honey,2 cups Cranberries - or raisins,2 cups Badam (Almond) - sliced</t>
  </si>
  <si>
    <t>1/2 taza de quinua, 1/2 taza de avena instantánea (avena), 2 tazas de salvado de avena, 2 tazas de salvado de trigo, 4 tazas de mantequilla de maní, 1 taza de miel, 2 tazas de arándanos o pasas, 2 tazas de almendras en rodajas</t>
  </si>
  <si>
    <t xml:space="preserve">To prepare Breakfast Bar Recipe With Berries Quinoa &amp; Oats, dry roast the quinoa, oats, oat bran and wheat bran on high, for 90 to 120 seconds; or stove stop. Set aside.In a large pan, add honey and peanut butter, set it on a low heat.Once they melt together together, add the roasted oat bran, wheat bran, quinoa, and oats. Combine well.Add the almonds and cranberries. Turn off heat and combine until they come together.Line a baking pan (I used 12 x 10 inches) with parchment paper.Press the berries, quinoa, nuts &amp; oats mixture flat with your hands. Let it freeze for about 4 hours.Cut Breakfast Bar Recipe With Berries Quinoa &amp; Oats into squares or rectangular bars, as desired. Store them in the refrigerator, for best taste. Serve with a healthy smoothie or lots of fresh fruits and haldi doodh.
</t>
  </si>
  <si>
    <t>Para preparar la receta de barra de desayuno con frutos rojos, quinoa y avena, tuesta la quinoa, la avena, el salvado de avena y el salvado de trigo a alta potencia durante 90 a 120 segundos o apaga la estufa. Reserva. En una sartén grande, agrega la miel y la mantequilla de maní a fuego lento. Una vez que se hayan derretido, agrega el salvado de avena tostado, el salvado de trigo, la quinoa y la avena. Mezcla bien. Agrega las almendras y los arándanos. Apaga el fuego y mezcla hasta que se integren. Cubre un molde para hornear (yo usé uno de 30 x 25 cm) con papel vegetal. Presiona la mezcla de frutos rojos, quinoa, nueces y avena con las manos. Deja congelar durante unas 4 horas. Corta la receta de barra de desayuno con frutos rojos, quinoa y avena en cuadrados o barras rectangulares, al gusto. Guárdalas en el refrigerador para un mejor sabor. Sírvelas con un batido saludable o con abundante fruta fresca y haldi doodh.</t>
  </si>
  <si>
    <t>Pour préparer la recette de barre de petit-déjeuner aux fruits rouges, quinoa et avoine, faites griller à sec le quinoa, l'avoine, le son d'avoine et le son de blé à feu vif pendant 90 à 120 secondes, ou éteignez le feu. Réservez. Dans une grande casserole, ajoutez le miel et le beurre de cacahuète, puis faites chauffer à feu doux. Une fois le mélange fondu, ajoutez le son d'avoine grillé, le son de blé, le quinoa et l'avoine. Bien mélanger. Ajoutez les amandes et les canneberges. Éteignez le feu et mélangez jusqu'à obtenir une consistance homogène. Recouvrez un moule à pâtisserie (j'ai utilisé 30 x 25 cm) de papier sulfurisé. Aplatissez le mélange de fruits rouges, de quinoa, de noix et d'avoine avec vos mains. Laissez congeler environ 4 heures. Découpez la recette de barre de petit-déjeuner aux fruits rouges, quinoa et avoine en carrés ou en barres rectangulaires, selon votre goût. Conservez-les au réfrigérateur pour un goût optimal. Servez avec un smoothie sain ou beaucoup de fruits frais et du haldi doodh.</t>
  </si>
  <si>
    <t>http://www.archanaskitchen.com/breakfast-bar-recipe-with-berries-quinoa-oats</t>
  </si>
  <si>
    <t>Zucchini And Bell Pepper Stir Fry Recipe</t>
  </si>
  <si>
    <t>Rezept für gebratene Zucchini und Paprika</t>
  </si>
  <si>
    <t>Recette de courgettes et poivrons frits</t>
  </si>
  <si>
    <t>Receta de calabacín y pimiento fritos</t>
  </si>
  <si>
    <t>2 courgettes vertes - coupées en longues lanières, 2 poivrons rouges (Capsicum) - épépinés et coupés en lanières, 1 oignon - finement tranché, 3 gousses d'ail - finement hachées, 1 cuillère à café de feuilles de thym frais, 1 cuillère à café d'origan séché, 1 cuillère à café de flocons de piment rouge, 1 cuillère à soupe d'huile d'olive extra vierge, sel - au goût</t>
  </si>
  <si>
    <t>2 Green zucchini - cut into long stripes,2 Red Bell pepper (Capsicum) - de-seeded and cut into stripes,1 Onion - thinly sliced,3 cloves Garlic - finely chopped,1 teaspoon Fresh Thyme leaves,1 teaspoon Dried oregano,1 teaspoon Red Chilli flakes,1 tablespoon Extra Virgin Olive Oil,Salt - to taste</t>
  </si>
  <si>
    <t>2 calabacines verdes cortados en tiras largas, 2 pimientos morrones rojos (Capsicum) sin semillas y cortados en tiras, 1 cebolla en rodajas finas, 3 dientes de ajo picados finamente, 1 cucharadita de hojas de tomillo fresco, 1 cucharadita de orégano seco, 1 cucharadita de hojuelas de chile rojo, 1 cucharada de aceite de oliva virgen extra, sal al gusto</t>
  </si>
  <si>
    <t xml:space="preserve">To begin making Zucchini and Bell Pepper Stir Fry Recipe, wash, dry and cut the zucchinis and bell peppers into long stripes and keep aside.Heat olive oil in a wok, add the finely chopped garlic and saute till it turns golden colour.Add the sliced onion and saute until it turns translucent.Add in the zucchini and red bell pepper stripes, season with salt and flash fry them for a minute.Add in the oregano, thyme and red chilli flakes and saute for another minute and switch off the flame.Flavour it with your favourite herbs and serve the Zucchini and Bell Pepper Stir Fry Recipe along with Beetroot soup for a light yet nutritious weeknight dinner.
</t>
  </si>
  <si>
    <t>Para empezar a preparar la receta de salteado de calabacín y pimiento morrón, lava, seca y corta los calabacines y pimientos morrones en tiras largas y reserva. Calienta el aceite de oliva en un wok, añade el ajo finamente picado y saltea hasta que se dore. Agrega la cebolla en rodajas y saltea hasta que se vuelva translúcida. Agrega las tiras de calabacín y pimiento morrón rojo, sazona con sal y fríelos durante un minuto. Agrega el orégano, el tomillo y las hojuelas de chile rojo y saltea durante un minuto más y apaga el fuego. Condiméntalo con tus hierbas favoritas y sirve la receta de salteado de calabacín y pimiento morrón junto con sopa de remolacha para una cena ligera pero nutritiva entre semana.</t>
  </si>
  <si>
    <t>Pour commencer à préparer la recette de sauté de courgettes et de poivrons, lavez, séchez et coupez les courgettes et les poivrons en longues lanières et réservez. Faites chauffer l'huile d'olive dans un wok, ajoutez l'ail finement haché et faites revenir jusqu'à ce qu'il devienne doré. Ajoutez l'oignon émincé et faites revenir jusqu'à ce qu'il devienne translucide. Ajoutez les lanières de courgettes et de poivrons rouges, assaisonnez de sel et faites-les revenir pendant une minute. Ajoutez l'origan, le thym et les flocons de piment rouge et faites revenir pendant une minute supplémentaire, puis éteignez le feu. Assaisonnez avec vos herbes préférées et servez la recette de sauté de courgettes et de poivrons avec une soupe de betteraves pour un dîner de semaine léger mais nutritif.</t>
  </si>
  <si>
    <t>http://www.archanaskitchen.com/zucchini-and-bell-pepper-stir-fry-recipe</t>
  </si>
  <si>
    <t>Oven Baked Sweet Potato Fries Recipe</t>
  </si>
  <si>
    <t>Rezept für im Ofen gebackene Süßkartoffelpommes</t>
  </si>
  <si>
    <t>Recette de frites de patates douces au four</t>
  </si>
  <si>
    <t>Receta de patatas fritas de boniato al horno</t>
  </si>
  <si>
    <t>4 patates douces - pelées et coupées en quartiers de 3 pouces, 3 cuillères à soupe d'huile d'olive extra vierge, 5 gousses d'ail - râpées ou finement hachées, 1 cuillère à café de poudre de paprika - (ou de poudre de piment rouge), 2 cuillères à soupe d'herbes fraîches - hachées (ou séchées), 1-1/2 cuillère à soupe de farine de maïs, sel gemme - au goût</t>
  </si>
  <si>
    <t>4 Sweet Potatoes - peeled and cut into 3 inch wedges,3 tablespoon Extra Virgin Olive Oil,5 cloves Garlic - grated or finely minced,1 teaspoon Paprika powder - (or red chilli powder),2 tablespoon Fresh Herbs - chopped (or dried),1-1/2 tablespoon Corn flour,Rock Salt - to taste</t>
  </si>
  <si>
    <t>4 batatas (peladas y cortadas en gajos de 3 pulgadas), 3 cucharadas de aceite de oliva virgen extra, 5 dientes de ajo (rallados o picados finamente), 1 cucharadita de pimentón en polvo (o chile rojo en polvo), 2 cucharadas de hierbas frescas picadas (o secas), 1-1/2 cucharada de harina de maíz, sal de roca (al gusto)</t>
  </si>
  <si>
    <t xml:space="preserve">To begin making the Oven baked Sweet Potato fries, first preheat the oven to 230 C.Prepare 2 baking sheets greased with oil or butter.In a small mixing bowl, mix together the oil, garlic, paprika, salt and herbsPlace the sweet potato sticks in a large bowl and drizzle the oil and spice mixture over it. Use your fingers and mix to coat all the sweet potato sticks evenly. Sprinkle the cornstarch over the sweet potatoes and mix again.Place the spice coated sweet potato sticks on the baking sheet and bake for about 20-25 minutes till well browned and crisp. Halfway through the baking, stir the fries to ensure even baking.Once done, remove from the oven and transfer to a serving platter.Serve the Oven Baked Sweet Potato Fries along with a Spicy Mexican Salsa or Cottage Cheese Dip or Peanut Chilli Dipping Sauce.
</t>
  </si>
  <si>
    <t>Para empezar a preparar las patatas fritas de boniato al horno, primero precalienta el horno a 230 °C. Prepara 2 bandejas para hornear engrasadas con aceite o mantequilla. En un tazón pequeño, mezcla el aceite, el ajo, el pimentón, la sal y las hierbas. Coloca los palitos de boniato en un tazón grande y rocía la mezcla de aceite y especias por encima. Usa los dedos y mezcla para cubrir todos los palitos de boniato uniformemente. Espolvorea la maicena sobre las patatas dulces y vuelve a mezclar. Coloca los palitos de boniato cubiertos de especias en la bandeja para hornear y hornea durante unos 20-25 minutos hasta que estén bien dorados y crujientes. A la mitad del horneado, revuelve las patatas fritas para asegurar una cocción uniforme. Una vez hecho esto, retira del horno y transfiere a una fuente para servir. Sirve las patatas fritas de boniato al horno junto con una salsa mexicana picante, una salsa de requesón o una salsa de chile y cacahuete.</t>
  </si>
  <si>
    <t>Pour commencer à préparer les frites de patates douces au four, préchauffez d'abord le four à 230 °C. Préparez 2 plaques de cuisson graissées avec de l'huile ou du beurre. Dans un petit saladier, mélangez l'huile, l'ail, le paprika, le sel et les herbes. Placez les bâtonnets de patates douces dans un grand bol et arrosez-les du mélange d'huile et d'épices. Utilisez vos doigts et mélangez pour enrober uniformément tous les bâtonnets de patates douces. Saupoudrez la fécule de maïs sur les patates douces et mélangez à nouveau. Placez les bâtonnets de patates douces enrobés d'épices sur la plaque de cuisson et faites cuire pendant environ 20 à 25 minutes jusqu'à ce qu'ils soient bien dorés et croustillants. À mi-cuisson, remuez les frites pour assurer une cuisson uniforme. Une fois cuites, retirez-les du four et transférez-les dans un plat de service. Servez les frites de patates douces au four avec une salsa mexicaine épicée, une sauce au fromage cottage ou une sauce chili aux cacahuètes.</t>
  </si>
  <si>
    <t>https://www.archanaskitchen.com/oven-baked-sweet-potato-fries-recipe</t>
  </si>
  <si>
    <t>Mango, Avocado And Chickpea Salad Recipe</t>
  </si>
  <si>
    <t>Rezept für Mango-, Avocado- und Kichererbsensalat</t>
  </si>
  <si>
    <t>Recette de salade de mangue, d'avocat et de pois chiches</t>
  </si>
  <si>
    <t>Receta de ensalada de mango, aguacate y garbanzos</t>
  </si>
  <si>
    <t>2 mangues (mûres) - pelées et coupées en dés, 1 avocat - pelé et coupé en dés, 1 tasse de Kabuli Chana (pois chiches blancs) - cuits, 1 tasse de laitue romaine rouge, jus de citron - 1 gros citron, 1 cuillère à soupe d'huile d'olive extra vierge, 1 piment rouge sec - finement haché, sel et poivre - au goût</t>
  </si>
  <si>
    <t>2 Mango (Ripe) - peeled and diced,1 Avocado - peeled and diced,1 cup Kabuli Chana (White Chickpeas) - cooked,1 cup Red Romaine lettuce,Lemon juice - 1 large lemon,1 tablespoon Extra Virgin Olive Oil,1 Dry Red Chilli - finely chopped,Salt and Pepper - to taste</t>
  </si>
  <si>
    <t>2 mangos (maduros) - pelados y cortados en cubitos, 1 aguacate - pelado y cortado en cubitos, 1 taza de Kabuli Chana (garbanzos blancos) - cocidos, 1 taza de lechuga romana roja, jugo de limón - 1 limón grande, 1 cucharada de aceite de oliva virgen extra, 1 chile rojo seco - finamente picado, sal y pimienta - al gusto</t>
  </si>
  <si>
    <t xml:space="preserve">To begin making the Mango, Avocado And Chickpea Salad Recipe, first prep all the ingredients. Having a day old chickpeas, that has been refrigerated helps in making this salad faster.In a small mixing bowl, combine the ingredients for the dressing and whisk it well and keep it aside.In a large mixing bowl, add the mangoes, avocados, cooked chickpeas and lettuce. Mix well to combine them all together. When you are ready to serve the Mango, Avocado and Chickpea Salad, drizzle the dressing over the salad, give it a gentle mix.Serve the Mango, Avocado And Chickpea Salad along with Light And Creamy Broccoli Soup and Herb Mushroom Bruschetta.
</t>
  </si>
  <si>
    <t>Para empezar a preparar la receta de ensalada de mango, aguacate y garbanzos, primero prepare todos los ingredientes. Tener garbanzos del día anterior, refrigerados, ayuda a hacer esta ensalada más rápido. En un tazón pequeño, combine los ingredientes para el aderezo, bátalos bien y resérvelos. En un tazón grande, agregue los mangos, los aguacates, los garbanzos cocidos y la lechuga. Mezcle bien para combinarlos todos. Cuando esté listo para servir la ensalada de mango, aguacate y garbanzos, rocíe el aderezo sobre la ensalada y mezcle suavemente. Sirva la ensalada de mango, aguacate y garbanzos junto con la sopa ligera y cremosa de brócoli y la bruschetta de champiñones con hierbas.</t>
  </si>
  <si>
    <t>Pour commencer à préparer la salade de mangue, d'avocat et de pois chiches, préparez d'abord tous les ingrédients. Des pois chiches de la veille, conservés au réfrigérateur, permettent de préparer cette salade plus rapidement. Dans un petit saladier, mélangez les ingrédients de la vinaigrette, fouettez bien et réservez. Dans un grand saladier, ajoutez les mangues, les avocats, les pois chiches cuits et la laitue. Mélangez bien pour bien mélanger le tout. Lorsque vous êtes prêt à servir la salade de mangue, d'avocat et de pois chiches, versez la vinaigrette sur la salade et mélangez délicatement. Servez la salade de mangue, d'avocat et de pois chiches avec la soupe légère et crémeuse au brocoli et la bruschetta aux champignons et aux herbes.</t>
  </si>
  <si>
    <t>http://www.archanaskitchen.com/mango-avocado-and-chickpea-salad-recipe</t>
  </si>
  <si>
    <t>Mung Bean &amp; Tofu Salad Recipe With Sweet Potatoes, Cucumbers &amp; Tomatoes</t>
  </si>
  <si>
    <t>Rezept für Mungobohnen-Tofu-Salat mit Süßkartoffeln, Gurken und Tomaten</t>
  </si>
  <si>
    <t>Recette de salade de haricots mungo et de tofu avec patates douces, concombres et tomates</t>
  </si>
  <si>
    <t>Ensalada de frijoles mungo y tofu con batatas, pepinos y tomates</t>
  </si>
  <si>
    <t>1 tasse de pousses de moong vertes, 1/2 tasse de tofu en cubes, 1/2 tasse de patate douce en cubes, 1/4 tasse d'oignons, 1/4 tasse de concombre haché, 6 tomates cerises coupées en quartiers, 2 cuillères à soupe de feuilles de coriandre (Dhania) finement hachées, 1 piment vert finement haché, 1 cuillère à soupe de jus de citron, 1 cuillère à soupe de chutney vert (coriandre et menthe), 1 cuillère à café de chutney sucré (dattes et tamarin), sel au goût, 2 cuillères à soupe de jus de citron divisé, 1/2 cuillère à café de poudre de chaat masala, 1/2 cuillère à café de poudre de cumin (Jeera), 1/2 cuillère à café de poudre de coriandre (Dhania), 1/4 cuillère à café de poudre de piment rouge, noyaux de grenade frais, sev (facultatif), 2 à 3 feuilles de laitue pour servir</t>
  </si>
  <si>
    <t>1 cup Green Moong Sprouts,1/2 cup Tofu - cubed,1/2 cup Sweet Potato - cubed,1/4 cup Onions,1/4 cup Cucumber - chopped,6 Cherry tomatoes - quartered,2 tablespoons Coriander (Dhania) Leaves - finely chopped,1 Green Chilli - finely chopped,1 tablespoon Lemon juice,1 tablespoon Green Chutney (Coriander &amp; Mint),1 teaspoon Sweet Chutney (Date &amp; Tamarind),Salt - to taste,2 tablespoons Lemon juice - divided,1/2 teaspoon Chaat Masala Powder,1/2 teaspoon Cumin powder (Jeera),1/2 teaspoon Coriander Powder (Dhania),1/4 teaspoon Red Chilli powder,Fresh Pomegranate Fruit Kernels,Sev - (optional),2 to 3 Lettuce leaves - to serve</t>
  </si>
  <si>
    <t>1 taza de brotes verdes de Moong, 1/2 taza de tofu en cubos, 1/2 taza de batata en cubos, 1/4 taza de cebollas, 1/4 taza de pepino picado, 6 tomates cherry en cuartos, 2 cucharadas de hojas de cilantro (Dhania) finamente picadas, 1 chile verde finamente picado, 1 cucharada de jugo de limón, 1 cucharada de chutney verde (cilantro y menta), 1 cucharadita de chutney dulce (dátil y tamarindo), sal al gusto, 2 cucharadas de jugo de limón dividido, 1/2 cucharadita de polvo de Chaat Masala, 1/2 cucharadita de polvo de comino (Jeera), 1/2 cucharadita de polvo de cilantro (Dhania), 1/4 cucharadita de polvo de chile rojo, semillas de granada fresca, Sev (opcional), 2 a 3 hojas de lechuga para servir</t>
  </si>
  <si>
    <t xml:space="preserve">To begin making the Mung Bean &amp; Tofu Salad with sweet potatoes, cucumbers and tomatoes, first place a pan on the heat.Add 1/2 teaspoon of oil, add in the sprouted mung beans and saute them well, on a medium heat for 2 to 3 minutes. Once they are just tossed slightly, transfer them into a bowl.In the same pan add another ½ teaspoon of oil and add the cubed tofu. Stir fry gently till slightly brown on all sides.Turn off the heat, add ½ teaspoon of lime juice and toss.Then, combine all the masalas under “Dry Masalas” in a small bowl. Sprinkle a generous pinch of the masalas into the tofu and toss well. Set aside till later use.In a salad bowl add sautéed sprouts, stir fried and spiced tofu, and the rest of the chopped vegetables.Add the green chutney and sweet chutney to the salad, add extra lime juice and a pinch of the dry masala mix over it and toss well once more, will well combined.Arrange lettuce leaves like cups in a platter and scoop spoonfuls of the salad onto them, garnished with pomegranate arils and sev (optional) if you wish to.Serve the Mung Bean &amp; Tofu Salad along with Cream of Celery Soup for a weeknight dinner.
</t>
  </si>
  <si>
    <t>Para empezar a hacer la ensalada de frijol mungo y tofu con batatas, pepinos y tomates, primero coloque una sartén al fuego. Agregue 1/2 cucharadita de aceite, agregue los frijoles mungo germinados y saltéelos bien, a fuego medio durante 2 a 3 minutos. Una vez que estén ligeramente mezclados, transfiéralos a un tazón. En la misma sartén, agregue otra ½ cucharadita de aceite y agregue el tofu en cubos. Saltee suavemente hasta que esté ligeramente dorado por todos lados. Apague el fuego, agregue ½ cucharadita de jugo de limón y mezcle. Luego, combine todas las masalas bajo "Malasas secas" en un tazón pequeño. Espolvoree una pizca generosa de las masalas en el tofu y mezcle bien. Reservar para usar más tarde. En una ensaladera, añadir los brotes salteados, el tofu frito y especiado, y el resto de las verduras picadas. Añadir el chutney verde y el chutney dulce a la ensalada, añadir más zumo de lima y una pizca de la mezcla de masala seca por encima y mezclar bien una vez más, hasta que esté bien combinado. Disponer las hojas de lechuga como tazas en una fuente y servir cucharadas de ensalada sobre ellas, adornadas con arilos de granada y sev (opcional) si se desea. Servir la ensalada de frijoles mungo y tofu junto con la sopa crema de apio para una cena entre semana.</t>
  </si>
  <si>
    <t>Pour commencer à préparer la salade de haricots mungo et de tofu avec des patates douces, des concombres et des tomates, placez d'abord une poêle sur le feu. Ajoutez 1/2 cuillère à café d'huile, ajoutez les haricots mungo germés et faites-les bien revenir, à feu moyen pendant 2 à 3 minutes. Une fois qu'ils sont légèrement mélangés, transférez-les dans un bol. Dans la même poêle, ajoutez une autre ½ cuillère à café d'huile et ajoutez le tofu en cubes. Faites revenir doucement jusqu'à ce qu'il soit légèrement doré de tous les côtés. Éteignez le feu, ajoutez ½ cuillère à café de jus de citron vert et mélangez. Ensuite, mélangez tous les masalas sous « Dry Masalas » dans un petit bol. Saupoudrez une généreuse pincée de masalas dans le tofu et mélangez bien. Réservez jusqu'à une utilisation ultérieure. Dans un saladier, ajoutez les pousses sautées, le tofu sauté et épicé et le reste des légumes hachés. Ajoutez le chutney vert et le chutney sucré à la salade, ajoutez du jus de citron vert supplémentaire et une pincée du mélange de masala sec par-dessus et mélangez bien une fois de plus, le tout sera bien mélangé. Disposez les feuilles de laitue comme des tasses dans un plat et déposez-y des cuillerées de salade, garnies d'arilles de grenade et de sev (facultatif) si vous le souhaitez. Servez la salade de haricots mungo et de tofu avec une soupe à la crème de céleri pour un dîner de semaine.</t>
  </si>
  <si>
    <t>https://www.archanaskitchen.com/mung-bean-sprouts-tofu-salad-recipe-with-sweet-potatoes-cucumbers-tomatoes</t>
  </si>
  <si>
    <t>Vegetarian Pot Pie Recipe</t>
  </si>
  <si>
    <t>Vegetarisches Pot Pie Rezept</t>
  </si>
  <si>
    <t>Recette de tourte végétarienne</t>
  </si>
  <si>
    <t>Receta de pastel vegetariano</t>
  </si>
  <si>
    <t>1 1/2 tasse de farine de blé entier, 1/2 tasse de farine tout usage (Maida), 100 grammes de beurre - froid, 1/2 cuillère à café de sel, 3 cuillères à soupe d'eau glacée, 1 cuillère à café de feuilles de thym frais - écrasées, 1 cuillère à café de feuilles de persil - hachées, 2 carottes (Gajjar) - coupées en dés, 10 haricots verts (haricots verts) - extrémités retirées et coupées en morceaux de 1 pouce, 1/4 tasse de pois verts (Matar), 1/4 tasse de grains de maïs, 7 champignons de Paris - tranchés, 1 oignon - haché, 3 gousses d'ail - écrasées, 1/2 tasse de brocoli - ou de fleurons de chou-fleur, 1 poivron rouge (Capsicum) - haché, 1 poivron jaune (Capsicum) - haché, 1 pomme de terre (Aloo) - coupée en dés (ou patate douce), 3 cuillères à soupe de farine de blé entier, 1 1/2 tasse de bouillon de légumes, 2 feuilles de laurier (tej patta), 3 cuillères à soupe de sauce Worcestershire - (facultatif), 1 cuillère à soupe de Tabasco Original - Sauce piquante - 3/4 cuillère à café de poudre de piment rouge, 1/2 tasse de crème fraîche - (ou de lait), 2 cuillères à café de beurre, 2 cuillères à café d'huile de tournesol, 3 brins de feuilles de thym frais - hachées, 3 brins de feuilles de persil - hachées, sel - au goût, œuf entier - battu</t>
  </si>
  <si>
    <t>1 1/2 cups Whole Wheat Flour,1/2 cup All Purpose Flour (Maida),100 grams Butter - cold,1/2 teaspoon Salt,3 tablespoons Chilled water,1 teaspoon Fresh Thyme leaves - crushed,1 teaspoon Parsley leaves - chopped,2 Carrots (Gajjar) - diced,10 Green beans (French Beans) - ends removed and cut into 1" pieces,1/4 cup Green peas (Matar),1/4 cup Corn Kernels,7 Button mushrooms - sliced,1 Onion - chopped,3 cloves Garlic - crushed,1/2 cup Broccoli - or cauliflower florets,1 Red Bell pepper (Capsicum) - chopped,1 Yellow Bell Pepper (Capsicum) - chopped,1 Potato (Aloo) - diced (or sweet potato),3 tablespoon Whole Wheat Flour,1 1/2 cups Vegetable stock,2 Bay leaves (tej patta),3 tablespoon Worcestershire sauce - (optional),1 tablespoon Tabasco Original - Hot Sauce - 3/4 teaspoon red chilli powder,1/2 cup Fresh cream - (or milk),2 teaspoon Butter,2 teaspoon Sunflower Oil,3 sprig Fresh Thyme leaves - chopped,3 sprig Parsley leaves - chopped,Salt - to taste,Whole Egg - whisked</t>
  </si>
  <si>
    <t>1 1/2 tazas de harina integral, 1/2 taza de harina para todo uso (Maida), 100 gramos de mantequilla fría, 1/2 cucharadita de sal, 3 cucharadas de agua fría, 1 cucharadita de hojas de tomillo fresco trituradas, 1 cucharadita de hojas de perejil picadas, 2 zanahorias (Gajjar) cortadas en cubitos, 10 judías verdes (judías verdes) sin los extremos y cortadas en trozos de 1 pulgada, 1/4 taza de guisantes verdes (Matar), 1/4 taza de granos de maíz, 7 champiñones rebanados, 1 cebolla picada, 3 dientes de ajo machacados, 1/2 taza de brócoli o coliflor, 1 pimiento rojo picado, 1 pimiento amarillo picado, 1 patata cortada en cubitos (o boniato), 3 cucharadas de harina integral, 1 1/2 tazas de caldo de verduras, 2 hojas de laurel (tej patta), 3 cucharadas de salsa Worcestershire (opcional), 1 cucharada de salsa picante Tabasco Original. 3/4 cucharadita de chile rojo en polvo, 1/2 taza de crema fresca (o leche), 2 cucharaditas de mantequilla, 2 cucharaditas de aceite de girasol, 3 ramitas de hojas de tomillo fresco picadas, 3 ramitas de hojas de perejil picadas, sal al gusto, huevo entero batido</t>
  </si>
  <si>
    <t xml:space="preserve">To begin making the Vegetarian Pot Pies, first make the crust. To do this, mix the flours, herbs and salt under “For the flaky crust” into a mixing bowl. Using your finger tips, rub the butter into the flour so it breaks down and the flour resembles resembles bread crumbs.Next, add ice cold water, 1 tablespoon at a time, and bring the dough together, gradually till the mixture comes together to form a ball.Do not knead the dough, it should just come together and hold shape. Flatten the dough into a small disc, wrap it in plastic wrap and refrigerate for 30 minutes.Meanwhile, proceed to make the filling. To do this, place a wok on the heat. Melt the butter in the wok along with a dash of oil.Add the onions and garlic to the wok and sauté for 1-2 minutes, till the onions turn soft and translucent.Next, add the bay leaves, carrots, green beans, green peas and potatoes. Sprinkle some salt and cook for a 3-4 minutes, stirring once or twice in between. Add the other vegetables next and mix together.Then, sprinkle the whole wheat flour on the vegetables and stir in the vegetable stock and the cream. Mix well so it turns glossy.Add the Worcestershire sauce (if using) and the hot sauce (or the red chilli powder). At this stage you can check the salt and spice levels and adjust according to your taste.Cook the mix together for a few more minutes. Then take it off the heat and add the herbs.To assemble the Vegetarian Pot Pies first of all, pre-heat the oven to 190 degrees celsius.If you are cooking a large batch for a large crowd, use a 8” baking dish or a pie plate. If you are making individual servings, use small ramekins. Fill the choice of your bakeware with the vegetable filling, right to the top.Then, take the dough out of the dough and place it on a well-floured work surface. Gently, but swiftly roll it out to a large piece of about 1/4" thickness.If using a large baking dish, carefully drape it over the dish to cover the filling. Allow it to hang over the sides. Trip off the excess dough, leaving a margin overhanging, which you can pinch/crimp to make a pretty edge.If you are using individual ramekins, cut the large piece of dough into smaller pieces and drape them over the ramekins and seal, the same way.Using a sharp knife, make small slits on the top of the crust, to allow the steam to escape when it will bake.Brush the tops of the Pot Pie with whisked egg or milk and place the baking dish or ramekins on a baking sheet/tray (since the liquid may bubble from the edges and spill) and into the oven to bake for 35-40 minutes.Bake until the crust is golden brown. Remove the pot pies from the oven.Serve the Vegetarian Pot Pie hot along with Garlic Bread for a dinner party.
</t>
  </si>
  <si>
    <t>Para empezar a preparar los pasteles vegetarianos, primero prepare la masa. Para ello, mezcle las harinas, las hierbas y la sal (para la masa hojaldrada) en un bol. Con las yemas de los dedos, frote la mantequilla con la harina hasta que se deshaga y la harina parezca pan rallado. A continuación, añada agua helada, cucharada a cucharada, y amase la masa gradualmente hasta formar una bola. No amase la masa, simplemente debe unirse y mantener su forma. Aplane la masa formando un disco pequeño, envuélvala en film transparente y refrigérela durante 30 minutos. Mientras tanto, prepare el relleno. Para ello, ponga un wok al fuego. Derrita la mantequilla en el wok con un chorrito de aceite. Añada la cebolla y el ajo al wok y saltee durante 1 o 2 minutos, hasta que la cebolla esté blanda y translúcida. A continuación, añada las hojas de laurel, las zanahorias, las judías verdes, los guisantes y las patatas. Espolvorea un poco de sal y cocina de 3 a 4 minutos, removiendo una o dos veces entre cada cocción. Agrega las demás verduras y mézclalas. Luego, espolvorea la harina integral sobre las verduras e incorpora el caldo de verduras y la nata. Mezcla bien hasta que la mezcla adquiera un brillo brillante. Agrega la salsa Worcestershire (si la usas) y la salsa picante (o el chile rojo en polvo). En este punto, puedes ajustar la sal y las especias a tu gusto. Cocina la mezcla durante unos minutos más. Luego, retira del fuego y añade las hierbas. Para armar los pasteles vegetarianos, precalienta el horno a 190 grados Celsius. Si cocinas una gran cantidad para mucha gente, usa un molde para hornear de 20 cm o un molde para tarta. Si preparas porciones individuales, usa ramequines pequeños. Rellena el molde que prefieras con el relleno de verduras hasta arriba. Luego, separa la masa y colócala sobre una superficie de trabajo bien enharinada. Extiéndela con cuidado, pero con rapidez, hasta formar un trozo grande de aproximadamente 6 mm de grosor. Si usas un molde grande, cúbrelo con cuidado para cubrir el relleno. Deja que sobresalga por los lados. Retira el exceso de masa, dejando un margen que puedas pellizcar o rizar para crear un borde bonito. Si usas moldes individuales, corta la masa grande en trozos más pequeños, colócalos sobre los moldes y séllalos de la misma manera. Con un cuchillo afilado, haz pequeños cortes en la parte superior de la masa para que escape el vapor al hornearse. Pincela la parte superior del pastel de olla con huevo batido o leche y coloca la fuente o los moldes en una bandeja para hornear (ya que el líquido podría burbujear por los bordes y derramarse) y hornéalos durante 35-40 minutos. Hornea hasta que la masa esté dorada. Retira los pasteles de olla del horno. Sirve el pastel vegetariano caliente con pan de ajo para una cena.</t>
  </si>
  <si>
    <t>Pour préparer les tourtes végétariennes, commencez par préparer la pâte. Pour cela, mélangez les farines, les herbes et le sel (voir « Pour la pâte feuilletée ») dans un saladier. Du bout des doigts, incorporez le beurre à la farine pour qu'elle se dissolve et prenne l'aspect de chapelure. Ajoutez ensuite de l'eau glacée, 1 cuillère à soupe à la fois, et pétrissez la pâte progressivement jusqu'à former une boule. Ne la pétrissez pas, elle doit juste se former et se former. Aplatissez la pâte en un petit disque, enveloppez-la de film alimentaire et réservez au réfrigérateur 30 minutes. Pendant ce temps, préparez la garniture. Pour cela, placez un wok sur le feu. Faites fondre le beurre avec un filet d'huile. Ajoutez les oignons et l'ail et faites-les revenir 1 à 2 minutes, jusqu'à ce que les oignons soient tendres et translucides. Ajoutez ensuite les feuilles de laurier, les carottes, les haricots verts, les petits pois et les pommes de terre. Salez et laissez cuire 3 à 4 minutes en remuant une ou deux fois. Ajoutez ensuite les autres légumes et mélangez. Saupoudrez ensuite la farine complète sur les légumes, puis incorporez le bouillon de légumes et la crème. Mélangez bien jusqu'à obtenir une texture brillante. Ajoutez la sauce Worcestershire (si vous en utilisez) et la sauce piquante (ou le piment rouge en poudre). Vous pouvez alors vérifier la quantité de sel et d'épices et ajuster selon votre goût. Laissez cuire le tout encore quelques minutes. Retirez ensuite du feu et ajoutez les herbes. Pour assembler les tourtes végétariennes, préchauffez le four à 190 °C. Si vous préparez une grande quantité pour une grande tablée, utilisez un plat de cuisson de 20 cm ou un moule à tarte. Pour des portions individuelles, utilisez de petits ramequins. Remplissez le moule de votre choix avec la garniture de légumes, jusqu'en haut. Ensuite, sortez la pâte et placez-la sur un plan de travail bien fariné. Étalez-la délicatement mais rapidement pour obtenir une grande feuille d'environ 6 mm d'épaisseur. Si vous utilisez un grand plat de cuisson, drapez-la délicatement sur le plat pour recouvrir la garniture. Laissez-la dépasser sur les côtés. Coupez l'excédent de pâte en laissant dépasser une marge que vous pouvez pincer ou sertir pour obtenir un joli bord. Si vous utilisez des ramequins individuels, coupez le gros morceau de pâte en plus petits morceaux et disposez-les sur les ramequins, puis fermez-les de la même manière. À l'aide d'un couteau bien aiguisé, faites de petites incisions sur le dessus de la croûte pour permettre à la vapeur de s'échapper pendant la cuisson. Badigeonnez le dessus du pâté en croûte d'œuf battu ou de lait, puis placez le plat ou les ramequins sur une plaque de cuisson (le liquide pouvant déborder sur les bords) et enfournez pour 35 à 40 minutes. Faites cuire jusqu'à ce que la croûte soit dorée. Retirez les pâtés du four. Servez le pâté végétarien chaud accompagné de pain à l'ail pour un dîner entre amis.</t>
  </si>
  <si>
    <t>https://www.archanaskitchen.com/vegetarian-pot-pie-recipe</t>
  </si>
  <si>
    <t>Cuban Black Bean Salad Recipe</t>
  </si>
  <si>
    <t>Rezept für kubanischen Schwarzbohnensalat</t>
  </si>
  <si>
    <t>Recette de salade de haricots noirs cubaine</t>
  </si>
  <si>
    <t>Receta de ensalada cubana de frijoles negros</t>
  </si>
  <si>
    <t>1 haricot noir en conserve - (en conserve) égoutté et rincé, 2 tomates - coupées en dés (ou tomates cerises), 1 poivron rouge, jaune et vert (Capsicum) - finement haché, 1 oignon rouge - haché, 1 tasse de maïs doux - cuit à la vapeur, 1 cuillère à café d'origan séché, feuilles de persil - petit bouquet, sel - au goût, 2 cuillères à soupe d'huile d'olive extra vierge, 3 cuillères à soupe de jus d'orange frais, 2 gousses d'ail - hachées, 1/2 cuillère à café de zeste d'orange (écorce), 1/2 cuillère à café d'origan séché, 2 cuillères à café de cumin en poudre (Jeera), 1/2 cuillère à café de poivre noir en poudre, sel - au goût</t>
  </si>
  <si>
    <t>1 Canned black beans - (canned) drained &amp; rinsed,2 Tomatoes - diced (or cherry tomatoes),1 Red Yellow and Green Bell Peppers (Capsicum) - finely chopped,1 Red onion - chopped,1 cup Sweet corn - steamed,1 teaspoon Dried oregano,Parsley leaves - small bunch,Salt - to taste,2 tablespoons Extra Virgin Olive Oil,3 tablespoons Fresh orange juice,2 cloves Garlic - minced,1/2 teaspoon Orange Zest (Rind),1/2 teaspoon Dried oregano,2 teaspoon Cumin powder (Jeera),1/2 teaspoon Black pepper powder,Salt - to taste</t>
  </si>
  <si>
    <t>1 frijol negro enlatado (enlatado) escurrido y enjuagado, 2 tomates picados (o tomates cherry), 1 pimiento morrón rojo, amarillo y verde (Capsicum) finamente picado, 1 cebolla roja picada, 1 taza de maíz dulce al vapor, 1 cucharadita de orégano seco, hojas de perejil (un pequeño manojo), sal al gusto, 2 cucharadas de aceite de oliva virgen extra, 3 cucharadas de jugo de naranja fresco, 2 dientes de ajo picados, 1/2 cucharadita de ralladura de naranja (cáscara), 1/2 cucharadita de orégano seco, 2 cucharaditas de comino en polvo (Jeera), 1/2 cucharadita de pimienta negra en polvo, sal al gusto</t>
  </si>
  <si>
    <t xml:space="preserve">To begin making the Cuban Black Bean Salad Recipe, first get all the ingredients ready. If you don't find black beans, you can also cook Rajma (red kidney beans) ahead of time and use it in this salad.In a small mixing bowl, whisk all the ingredients for the mojo sauce until smooth.In a large salad mixing bowl, add all the ingredients for the salad and the mojo sauce and stir well to combine. Check the salt and seasonings and adjust to suit your taste.Serve the Cuban Black Bean Salad along with a bowl of soup and a crusted bread for a weeknight dinner or pack it into your lunch box for work as well. 
</t>
  </si>
  <si>
    <t>Para empezar a preparar la receta de ensalada cubana de frijoles negros, primero prepara todos los ingredientes. Si no encuentras frijoles negros, también puedes cocinar rajma (frijoles rojos) con antelación y usarlos en esta ensalada. En un tazón pequeño, bate todos los ingredientes de la salsa mojo hasta que quede una mezcla suave. En un tazón grande, añade todos los ingredientes de la ensalada y la salsa mojo y revuelve bien. Ajusta la sal y los condimentos a tu gusto. Sirve la ensalada cubana de frijoles negros con un tazón de sopa y pan con costra para una cena entre semana o llévala en la lonchera para el trabajo.</t>
  </si>
  <si>
    <t>Pour préparer la salade cubaine de haricots noirs, préparez tous les ingrédients. Si vous ne trouvez pas de haricots noirs, vous pouvez préparer des Rajma (haricots rouges) à l'avance et les utiliser dans cette salade. Dans un petit saladier, fouettez tous les ingrédients de la sauce mojo jusqu'à obtenir une consistance lisse. Dans un grand saladier, ajoutez tous les ingrédients de la salade et la sauce mojo et mélangez bien. Vérifiez le sel et l'assaisonnement et ajustez à votre goût. Servez la salade cubaine de haricots noirs avec un bol de soupe et du pain croustillant pour un dîner en semaine, ou emportez-la dans votre boîte à lunch pour le travail.</t>
  </si>
  <si>
    <t>http://www.archanaskitchen.com/cuban-black-bean-salad-recipe</t>
  </si>
  <si>
    <t>Grilled Herring With Kasundi Mustard And Wild Celery Recipe</t>
  </si>
  <si>
    <t>Rezept für gegrillten Hering mit Kasundi-Senf und wildem Sellerie</t>
  </si>
  <si>
    <t>Recette de hareng grillé à la moutarde Kasundi et au céleri sauvage</t>
  </si>
  <si>
    <t>Receta de arenque a la parrilla con mostaza Kasundi y apio silvestre</t>
  </si>
  <si>
    <t>4 steaks de hareng, 1 cuillère à café de pâte d'ail et de gingembre, 2 cuillères à soupe de vinaigre de cidre de pomme, 1 cuillère à soupe d'huile d'olive extra vierge, 1/2 cuillère à café de céleri (céleri sauvage), 1 cuillère à soupe de sauce moutarde Kasundi, 1 cuillère à café de jus de citron, sel (au goût), 1 cuillère à café de flocons de piment rouge</t>
  </si>
  <si>
    <t>4 Herring Fish Steaks,1 teaspoon Ginger Garlic Paste,2 tablespoons Apple cider vinegar,1 tablespoon Extra Virgin Olive Oil,1/2 teaspoon Celery - (wild celery),1 tablespoon Kasundi mustard sauce,1 teaspoon Lemon juice,Salt - to taste,1 teaspoon Red Chilli flakes</t>
  </si>
  <si>
    <t>4 filetes de arenque, 1 cucharadita de pasta de jengibre y ajo, 2 cucharadas de vinagre de sidra de manzana, 1 cucharada de aceite de oliva virgen extra, 1/2 cucharadita de apio (apio silvestre), 1 cucharada de salsa de mostaza Kasundi, 1 cucharadita de jugo de limón, sal - al gusto, 1 cucharadita de hojuelas de chile rojo</t>
  </si>
  <si>
    <t xml:space="preserve">To begin making Grilled Herring With Kasundi Mustard And Wild Celery Recipe, in a mixing bowl, mix all the ingredients mentioned under marinade.Rub the fish steaks with the marinade well and keep for 1-2 hours in the refrigerator. Heat the cast iron grill pan to smoking hot then place the fish and grill on both sides till done. Takes about 10 minutes on medium heat.Serve Grilled Herring With Kasundi Mustard And Wild Celery Recipe along with Roasted Mushroom Zucchini Salad Recipe with Goat Cheese and a Red Wine Sangria Cocktail Recipe for a quiet weekend meal with your family members.
</t>
  </si>
  <si>
    <t>Para empezar a preparar la receta de arenque a la parrilla con mostaza Kasundi y apio silvestre, en un bol, mezcla todos los ingredientes mencionados en la marinada. Unta bien los filetes de pescado con la marinada y guárdalos de 1 a 2 horas en el refrigerador. Calienta la parrilla de hierro fundido hasta que esté humeante, luego coloca el pescado y ásalo por ambos lados hasta que esté listo. Tarda unos 10 minutos a fuego medio. Sirve la receta de arenque a la parrilla con mostaza Kasundi y apio silvestre junto con la receta de ensalada de calabacín con champiñones asados ​​y queso de cabra y una receta de cóctel de sangría de vino tinto para una cena tranquila de fin de semana con tus familiares.</t>
  </si>
  <si>
    <t>Pour commencer à préparer la recette de hareng grillé à la moutarde Kasundi et au céleri sauvage, dans un saladier, mélangez tous les ingrédients mentionnés sous la marinade. Frottez bien les steaks de poisson avec la marinade et réservez 1 à 2 heures au réfrigérateur. Chauffez la poêle en fonte à feu vif, puis placez le poisson et faites-le griller des deux côtés jusqu'à ce qu'il soit cuit. La cuisson prend environ 10 minutes à feu moyen. Servez la recette de hareng grillé à la moutarde Kasundi et au céleri sauvage avec une salade de courgettes aux champignons rôtis et au fromage de chèvre et un cocktail de sangria au vin rouge pour un repas de week-end tranquille en famille.</t>
  </si>
  <si>
    <t>http://www.archanaskitchen.com/grilled-herring-with-kasundi-mustard-and-wild-celery-recipe</t>
  </si>
  <si>
    <t>Creamy Coconut Poached Pears Recipe</t>
  </si>
  <si>
    <t>Rezept für cremige, in Kokosnuss pochierte Birnen</t>
  </si>
  <si>
    <t>Recette de poires pochées crémeuses à la noix de coco</t>
  </si>
  <si>
    <t>Receta de peras escalfadas con coco cremoso</t>
  </si>
  <si>
    <t>250 ml de lait de coco, 1 cuillère à soupe de sucre de coco, 2 poires, 1/2 pouce de bâton de cannelle (Dalchini), 1 gousse/graine de cardamome (Elaichi), 1 cuillère à soupe d'amandes effilées (Badam)</t>
  </si>
  <si>
    <t>250 ml Coconut milk,1 tablespoon Coconut Sugar,2 Pears,1/2 inch Cinnamon Stick (Dalchini),1 Cardamom (Elaichi) Pods/Seeds,1 tablespoon Slivered Almonds (Badam)</t>
  </si>
  <si>
    <t>250 ml de leche de coco, 1 cucharada de azúcar de coco, 2 peras, 1/2 pulgada de rama de canela (Dalchini), 1 vaina/semilla de cardamomo (Elaichi), 1 cucharada de almendras fileteadas (Badam)</t>
  </si>
  <si>
    <t xml:space="preserve">To begin making Creamy Coconut Poached Pears Recipe, we will first get the fruit ready for poaching.eel the skin of pears keeping the stem. Place the coconut milk, sugar, cinnamon and cardamon in a saucepan over low heat.Peel the skin of pears, keeping the stem. Place the coconut milk, sugar, cinnamon and cardamon in a saucepan over low heat.When the coconut milk is warm add the pears with shaved almonds and cook for about 20 minutes, stirring the pear just once. Take care not to let the coconut milk come to a boil. After about 20 minutes, when you notice the pulp of the pear lightly softened, turn off the heat.Place the Poached Pear on the serving platter and pour the spiced creamy coconut sauce over the pears. Top it off with slivered almonds.You can serve the Creamy Coconut Poached Pears warm or cold. If you plan to serve it chilled, then allow the poached pears to cool down and the chill the creamy coconut sauce in the refrigerator. Once you are ready to serve, plate the pear and pour the sauce over. 
</t>
  </si>
  <si>
    <t>Para comenzar a hacer la receta de peras escalfadas cremosas con coco, primero prepararemos la fruta para escalfar. Pele las peras conservando el tallo. Coloque la leche de coco, el azúcar, la canela y el cardamomo en una cacerola a fuego lento. Pele la piel de las peras, conservando el tallo. Coloque la leche de coco, el azúcar, la canela y el cardamomo en una cacerola a fuego lento. Cuando la leche de coco esté tibia, agregue las peras con las almendras raspadas y cocine durante unos 20 minutos, revolviendo la pera solo una vez. Tenga cuidado de que la leche de coco no hierva. Después de unos 20 minutos, cuando note que la pulpa de la pera se ablanda ligeramente, apague el fuego. Coloque la pera escalfada en la fuente para servir y vierta la salsa cremosa de coco especiada sobre las peras. Cúbrala con almendras fileteadas. Puede servir las peras escalfadas cremosas con coco calientes o frías. Si planea servirlo frío, deje que las peras escalfadas se enfríen y luego enfríe la salsa cremosa de coco en el refrigerador. Una vez listo para servir, sirva la pera en un plato y vierta la salsa por encima.</t>
  </si>
  <si>
    <t>Pour commencer à préparer la recette de poires pochées à la noix de coco crémeuse, nous allons d'abord préparer les fruits pour le pochage. Épluchez la peau des poires en gardant la tige. Placez le lait de coco, le sucre, la cannelle et la cardamome dans une casserole à feu doux. Pelez la peau des poires en gardant la tige. Placez le lait de coco, le sucre, la cannelle et la cardamome dans une casserole à feu doux. Lorsque le lait de coco est chaud, ajoutez les poires avec les amandes effilées et faites cuire pendant environ 20 minutes, en remuant la poire une seule fois. Veillez à ne pas laisser le lait de coco bouillir. Après environ 20 minutes, lorsque vous remarquez que la pulpe de la poire est légèrement ramollie, éteignez le feu. Placez la poire pochée sur le plat de service et versez la sauce crémeuse épicée à la noix de coco sur les poires. Garnissez d'amandes effilées. Vous pouvez servir les poires pochées à la noix de coco crémeuses tièdes ou froides. Si vous prévoyez de les servir fraîches, laissez les poires pochées refroidir et mettez la sauce crémeuse à la noix de coco au réfrigérateur. Une fois prêt à servir, dressez la poire et versez la sauce dessus.</t>
  </si>
  <si>
    <t>https://www.archanaskitchen.com/creamy-coconut-poached-pears-recipe</t>
  </si>
  <si>
    <t>Spiced Coconut Oatmeal With Assorted Fruits Recipe</t>
  </si>
  <si>
    <t>Rezept für gewürzten Kokos-Haferbrei mit verschiedenen Früchten</t>
  </si>
  <si>
    <t>Recette de porridge épicé à la noix de coco et aux fruits variés</t>
  </si>
  <si>
    <t>Receta de gachas de coco picantes con frutas mixtas</t>
  </si>
  <si>
    <t>1/2 tasse de flocons d'avoine instantanés (gruau), 1 tasse d'eau tiède, 1/4 tasse de lait de coco, 2 cuillères à café de miel, 1/4 cuillère à café de cannelle en poudre (Dalchini), 1/8 cuillère à café de gingembre sec en poudre, 2 bananes mûres - tranchées, 3 dattes - tranchées, 2 cuillères à soupe de poudre d'Anardana (poudre de graines de grenade), 2 cuillères à soupe de noix, sel - une pincée</t>
  </si>
  <si>
    <t>1/2 cup Instant Oats (Oatmeal),1 cup Lukewarm Water,1/4 cup Coconut milk,2 teaspoons Honey,1/4 teaspoon Cinnamon Powder (Dalchini),1/8 teaspoon Dry ginger powder,2 Ripe Bananas - sliced,3 Dates - sliced,2 tablespoon Anardana Powder (Pomegranate Seed Powder),2 tablespoons Walnuts,Salt - a pinch</t>
  </si>
  <si>
    <t>1/2 taza de avena instantánea (avena), 1 taza de agua tibia, 1/4 taza de leche de coco, 2 cucharaditas de miel, 1/4 cucharadita de canela en polvo (dalchini), 1/8 cucharadita de jengibre seco en polvo, 2 plátanos maduros en rodajas, 3 dátiles en rodajas, 2 cucharadas de polvo de anardana (polvo de semilla de granada), 2 cucharadas de nueces, sal - una pizca</t>
  </si>
  <si>
    <t xml:space="preserve">To begin making Spiced Coconut Oatmeal with Assorted Fruits Recipe by boiling the oats with water, pinch of salt and spice powders in a saucepan till it thickens and gets cooked. This will take about 10- 12 minutes. Take it out from heat and transfer it into a serving bowl.Add coconut milk , top it up with fruits, and drizzle some honey and give it a stir.Serve Spiced Coconut Oatmeal with Assorted Fruits topped with some more fruits during a quick morning breakfast along with Cantaloupe (Melon) Juice.
</t>
  </si>
  <si>
    <t>Para empezar a preparar la receta de avena con coco y especias con frutas variadas, hierva la avena con agua, una pizca de sal y especias en polvo en una cacerola hasta que espese y esté cocida. Esto tomará unos 10 a 12 minutos. Retire del fuego y transfiérala a un tazón para servir. Agregue leche de coco, cubra con frutas, rocíe un poco de miel y revuelva. Sirva la avena con coco y especias con frutas variadas cubierta con más frutas durante un desayuno rápido junto con jugo de melón.</t>
  </si>
  <si>
    <t>Pour commencer à préparer la recette de flocons d'avoine épicés à la noix de coco et aux fruits assortis, faites bouillir les flocons d'avoine avec de l'eau, une pincée de sel et des épices en poudre dans une casserole jusqu'à ce qu'ils épaississent et soient cuits. Cela prendra environ 10 à 12 minutes. Retirez du feu et transférez dans un bol de service. Ajoutez du lait de coco, ajoutez des fruits, arrosez de miel et remuez. Servez les flocons d'avoine épicés à la noix de coco et aux fruits assortis, garnis de quelques fruits supplémentaires, lors d'un petit-déjeuner rapide accompagné de jus de cantaloup (melon).</t>
  </si>
  <si>
    <t>http://www.archanaskitchen.com/spiced-coconut-oatmeal-with-assorted-fruits-recipe</t>
  </si>
  <si>
    <t>Mushroom &amp; Goat Cheese Omelette with Spinach Recipe</t>
  </si>
  <si>
    <t>Pilz-Ziegenkäse-Omelett mit Spinat-Rezept</t>
  </si>
  <si>
    <t>Recette d'omelette aux champignons et au fromage de chèvre avec épinards</t>
  </si>
  <si>
    <t>Receta de tortilla de champiñones, queso de cabra y espinacas</t>
  </si>
  <si>
    <t>2 œufs entiers, 1/4 tasse de lait, 100 grammes de champignons de Paris - coupés en quartiers, 1 cuillère à café d'origan séché, 1 cuillère à café de poudre de poivre noir, sel - au goût, 4 feuilles d'épinards (Palak) - déchirées, 50 grammes de fromage de chèvre, 1 cuillère à soupe de beurre, huile de tournesol</t>
  </si>
  <si>
    <t>2 Whole Eggs,1/4 cup Milk,100 grams Button mushrooms - quatered,1 teaspoon Dried oregano,1 teaspoon Black pepper powder,Salt - to taste,4 Spinach Leaves (Palak) - torn,50 grams Goat Cheese,1 tablespoon Butter,Sunflower Oil</t>
  </si>
  <si>
    <t>2 huevos enteros, 1/4 taza de leche, 100 gramos de champiñones cortados en cuartos, 1 cucharadita de orégano seco, 1 cucharadita de pimienta negra en polvo, sal al gusto, 4 hojas de espinaca (Palak) desgarradas, 50 gramos de queso de cabra, 1 cucharada de mantequilla, aceite de girasol</t>
  </si>
  <si>
    <t xml:space="preserve">To begin making the Mushroom &amp; Goat Cheese Omeltte with Spinach Recipe, break the eggs into a bowl, add milk and sprinkle some salt and whisk till it combines well.Heat a flat skillet with oil, add mushroom and saute until all the water has been evaporated. Sprinkle with little salt.Once the mushroom is cooked, add dried oregano and pepper powder and mix well. Toss well and transfer it to a bowl.Heat a flat nonstick skillet to make the omelette, add a tablespoon of butter. Keep the heat to medium and slowly add the whisked eggs.Allow the egg to cook for 5 minutes. Add sautéed mushroom, torn spinach leaves and crumbled goat cheese to one side and fold the omelette and serve warm.Serve the Mushroom &amp; Goat Cheese Omelette with Spinach Recipe along with Zucchini Pancake Recipe With Tomato Salsa and Quick Strawberry Yogurt Smoothie Recipe.
</t>
  </si>
  <si>
    <t>Para empezar a preparar la receta de tortilla de champiñones, queso de cabra y espinacas, rompe los huevos en un bol, añade la leche, espolvorea un poco de sal y bate hasta que se combinen bien. Calienta una sartén plana con aceite, añade los champiñones y saltea hasta que se haya evaporado toda el agua. Espolvorea con un poco de sal. Una vez que los champiñones estén cocidos, añade orégano seco y pimienta en polvo y mezcla bien. Revuelve bien y transfiere a un bol. Calienta una sartén antiadherente plana para hacer la tortilla, añade una cucharada de mantequilla. Mantén el fuego a medio y añade lentamente los huevos batidos. Deja que el huevo se cocine durante 5 minutos. Añade los champiñones salteados, las hojas de espinaca desgarradas y el queso de cabra desmenuzado a un lado, dobla la tortilla y sirve caliente. Sirve la receta de tortilla de champiñones, queso de cabra y espinacas junto con la receta de panqueques de calabacín con salsa de tomate y la receta de batido rápido de yogur de fresa.</t>
  </si>
  <si>
    <t>Pour préparer l'omelette aux champignons, au fromage de chèvre et aux épinards, cassez les œufs dans un bol, ajoutez le lait, salez et fouettez jusqu'à ce que le tout soit bien mélangé. Faites chauffer une poêle plate avec de l'huile, ajoutez les champignons et faites-les revenir jusqu'à évaporation complète de l'eau. Saupoudrez d'un peu de sel. Une fois les champignons cuits, ajoutez l'origan séché et le poivre en poudre et mélangez bien. Mélangez bien et transférez dans un bol. Faites chauffer une poêle plate antiadhésive pour faire l'omelette, ajoutez une cuillère à soupe de beurre. Maintenez le feu à moyen et ajoutez lentement les œufs battus. Laissez cuire l'œuf 5 minutes. Ajoutez les champignons sautés, les feuilles d'épinards déchirées et le fromage de chèvre émietté d'un côté, repliez l'omelette et servez chaud. Servez l'omelette aux champignons, au fromage de chèvre et aux épinards avec la recette de crêpes aux courgettes avec salsa de tomates et la recette de smoothie rapide au yaourt et aux fraises.</t>
  </si>
  <si>
    <t>http://www.archanaskitchen.com/mushroom-goat-cheese-omeltte-with-spinach-recipe</t>
  </si>
  <si>
    <t>Chocolate Ganache Tart Recipe</t>
  </si>
  <si>
    <t>Rezept für Schokoladen-Ganache-Torte</t>
  </si>
  <si>
    <t>Recette de gâteau ganache au chocolat</t>
  </si>
  <si>
    <t>Receta de pastel de ganache de chocolate</t>
  </si>
  <si>
    <t>1 pâte à tarte tout usage, 200 ml de crème à fouetter épaisse (crème Amul), 340 grammes de chocolat noir (le cacao riche de Bournville en Inde fonctionne à merveille), 1 cuillère à café de sel gemme, 4 cerises fraîches (ou fruits ou crème fouettée de votre choix)</t>
  </si>
  <si>
    <t>1 All Purpose Pie Crust,200 ml Heavy whipping cream - (Amul Cream),340 grams Dark chocolate - (bournville rich cocoa from india works fantastic),1 teaspoon Rock Salt,4 Fresh Cherries - (or fruits or whipped cream of your choice)</t>
  </si>
  <si>
    <t>1 masa de tarta multiusos, 200 ml de crema batida espesa (crema Amul), 340 gramos de chocolate negro (el cacao rico Bournville de la India funciona fantástico), 1 cucharadita de sal de roca, 4 cerezas frescas (o frutas o crema batida de su elección)</t>
  </si>
  <si>
    <t xml:space="preserve">To begin making the Chocolate Ganache Tart Recipe, first make the crust according to the recipe. Here is the recipe to make the all purpose pie crust. Once the crust is chilled, roll it out into the size to fit the size of a mini tart pan or a 9 inch tart pan. Take care to roll, life and carefully place the pie crust into the tart pan.Preheat the oven to 180 C.Place the pie crust in the preheated and bake for 12 to 15 minutes or until the crust is lightly golden brown. Once the crust is baked, remove from the oven and allow crust to cool in pan while the ganache is prepared.To begin making the Chocolate Ganache Recipe, first place the cream in a saucepan over medium heat and bring to boil.Remove from heat and add the chopped dark chocolate into the cream. Bring the saucepan, back to the heat and keep stirring the chocolate and the cream on low flame until the chocolate melts and until the mixture is glossy and smooth.Once you have a smooth chocolate and cream mixture, set the ganache aside to cool completely.Pour chocolate ganache into cooled crust and chill in refrigerator for a minimum of 4 hours or until set.When set, sprinkle sea salt flakes over the top.Top the Chocolate Ganache Tart with fresh cherries or whipped cream and serve.Serve the Chocolate Ganache Tart Recipe for a quick Dessert for a Special Dinner.
</t>
  </si>
  <si>
    <t>Para comenzar a hacer la Receta de Tarta de Ganache de Chocolate, primero haga la corteza según la receta. Aquí está la receta para hacer la corteza de tarta para todo uso. Una vez que la corteza esté fría, extiéndala del tamaño adecuado para un molde para tarta mini o un molde para tarta de 9 pulgadas. Tenga cuidado de extenderla y colocar con cuidado la corteza de tarta en el molde para tarta. Precaliente el horno a 180 C. Coloque la corteza de tarta en el horno precalentado y hornee durante 12 a 15 minutos o hasta que la corteza esté ligeramente dorada. Una vez que la corteza esté horneada, retírela del horno y deje que la corteza se enfríe en el molde mientras se prepara el ganache. Para comenzar a hacer la Receta de Ganache de Chocolate, primero coloque la crema en una cacerola a fuego medio y deje que hierva. Retire del fuego y agregue el chocolate negro picado a la crema. Vuelva a poner la cacerola al fuego y siga revolviendo el chocolate y la crema a fuego lento hasta que el chocolate se derrita y la mezcla esté brillante y suave. Una vez que tenga una mezcla suave de chocolate y crema, deje que el ganache se enfríe por completo. Vierta el ganache de chocolate en la corteza fría y enfríe en el refrigerador durante un mínimo de 4 horas o hasta que esté listo. Cuando esté listo, espolvoree escamas de sal marina por encima. Cubra la tarta de ganache de chocolate con cerezas frescas o crema batida y sirva. Sirva la receta de tarta de ganache de chocolate para un postre rápido para una cena especial.</t>
  </si>
  <si>
    <t>Pour commencer à préparer la recette de tarte à la ganache au chocolat, préparez d'abord la croûte selon la recette. Voici la recette pour réaliser la croûte à tarte tout usage. Une fois la croûte refroidie, étalez-la à la taille d'un mini moule à tarte ou d'un moule à tarte de 9 pouces. Prenez soin de rouler, de vivre et de placer soigneusement la croûte à tarte dans le moule à tarte. Préchauffez le four à 180 °C. Placez la croûte à tarte dans le four préchauffé et faites cuire pendant 12 à 15 minutes ou jusqu'à ce que la croûte soit légèrement dorée. Une fois la croûte cuite, retirez-la du four et laissez-la refroidir dans le moule pendant que la ganache se prépare. Pour commencer à préparer la recette de ganache au chocolat, placez d'abord la crème dans une casserole à feu moyen et portez à ébullition. Retirez du feu et ajoutez le chocolat noir haché dans la crème. Remettez la casserole sur le feu et continuez à remuer le chocolat et la crème à feu doux jusqu'à ce que le chocolat fonde et que le mélange soit brillant et lisse. Une fois que vous avez obtenu un mélange lisse de chocolat et de crème, laissez la ganache refroidir complètement. Versez la ganache au chocolat dans la croûte refroidie et laissez refroidir au réfrigérateur pendant au moins 4 heures ou jusqu'à ce qu'elle soit prise. Une fois prise, saupoudrez de flocons de sel de mer sur le dessus. Garnissez la tarte au chocolat et à la ganache de cerises fraîches ou de crème fouettée et servez. Servez la recette de tarte au chocolat et à la ganache pour un dessert rapide pour un dîner spécial.</t>
  </si>
  <si>
    <t>https://www.archanaskitchen.com/chocolate-ganache-tart-recipe</t>
  </si>
  <si>
    <t>Eggless Whole wheat And Orange Almond Cake Recipe</t>
  </si>
  <si>
    <t>Rezept für Vollkorn-Orangen-Mandelkuchen ohne Eier</t>
  </si>
  <si>
    <t>Recette de gâteau complet aux amandes et à l'orange sans œufs</t>
  </si>
  <si>
    <t>Receta de pastel de naranja y almendras sin huevo</t>
  </si>
  <si>
    <t>1-1/2 tasse de farine de blé entier, 1/2 tasse de poudre d'amandes (poudre de badam), 1/2 tasse de lait concentré, 1/2 tasse de jus d'orange frais - frais ou en conserve, 50 grammes de beurre - froid, 2/3 tasse d'huile de tournesol, 1 cuillère à café de bicarbonate de soude, 1 cuillère à soupe de levure chimique, une pincée de sel, 1/2 cuillère à café de cannelle en poudre (Dalchini), 1/2 cuillère à soupe d'extrait de vanille, 1/2 tasse de babeurre, 1 tasse de badam (amandes) - tranchées ou blanchies, 1/4 tasse de pistaches, 1/4 tasse de noix - coupées en dés</t>
  </si>
  <si>
    <t>1-1/2 cups Whole Wheat Flour,1/2 cup Almond Meal (Badam Powder),1/2 cup Condensed Milk,1/2 cup Fresh orange juice - fresh or canned,50 grams Butter - cold,2/3 cup Sunflower Oil,1 teaspoon Baking soda,1 tablespoon Baking powder,pinch Salt,1/2 teaspoon Cinnamon Powder (Dalchini),1/2 tablespoon Vanilla Extract,1/2 cup Buttermilk,1 cup Badam (Almond) - sliced or blanched,1/4 cup Pistachios,1/4 cup Walnuts - diced</t>
  </si>
  <si>
    <t>1-1/2 tazas de harina integral, 1/2 taza de harina de almendras (Badam en polvo), 1/2 taza de leche condensada, 1/2 taza de jugo de naranja fresco - fresco o enlatado, 50 gramos de mantequilla - fría, 2/3 taza de aceite de girasol, 1 cucharadita de bicarbonato de sodio, 1 cucharada de polvo para hornear, pizca de sal, 1/2 cucharadita de canela en polvo (Dalchini), 1/2 cucharada de extracto de vainilla, 1/2 taza de suero de leche, 1 taza de Badam (almendra) - rebanada o blanqueada, 1/4 taza de pistachos, 1/4 taza de nueces - cortadas en cubitos</t>
  </si>
  <si>
    <t xml:space="preserve">To begin making the Eggless Whole Wheat And Orange Almond Cake, firstly sift the flour with baking soda, salt and baking powder. Cream the butter and oil. Add the almond meal and mix everything well.Pre-heat an oven to 180 degree C, line a cake pan and grease/line with parchment.The next step is to mix the liquids. Mix buttermilk, orange juice, condensed milk and oil, vanilla essence and cinnamon together in a mixing bowl.Add the above flour mixture and some of the nuts in the liquid. Make sure that everything is mixed well.Transfer the lumpy mass into a cake pan and top it with chopped almond.Bake for 30 mins or till done. After 30 minutes, cool the cake for a few minutes and it is ready to be served.Enjoy the Eggless Whole Wheat And Orange Almond Cake with hot Masala chai and Carrot and Peas Sandwich during your tea time.
</t>
  </si>
  <si>
    <t>Para empezar a preparar el pastel de almendras integrales con naranja y sin huevo, primero tamiza la harina con el bicarbonato, la sal y la levadura química. Bate la mantequilla y el aceite. Agrega la harina de almendras y mezcla todo bien. Precalienta el horno a 180 grados C, forra un molde para pastel y engrásalo/cúbrelo con papel vegetal. El siguiente paso es mezclar los líquidos. Mezcla el suero de leche, el jugo de naranja, la leche condensada y el aceite, la esencia de vainilla y la canela en un tazón. Agrega la mezcla de harina anterior y un poco de las nueces al líquido. Asegúrate de que todo esté bien mezclado. Transfiere la masa grumosa a un molde para pastel y cúbrela con almendras picadas. Hornea durante 30 minutos o hasta que esté listo. Después de 30 minutos, deja enfriar el pastel durante unos minutos y estará listo para servir. Disfruta del pastel de almendras integrales con naranja y sin huevo con Masala chai caliente y un sándwich de zanahoria y guisantes durante la hora del té.</t>
  </si>
  <si>
    <t>Pour commencer à préparer le gâteau aux amandes et à l'orange sans œufs, tamisez d'abord la farine avec le bicarbonate de soude, le sel et la levure chimique. Battez le beurre et l'huile en crème. Ajoutez la poudre d'amandes et mélangez bien le tout. Préchauffez le four à 180 °C, chemisez un moule à gâteau et graissez-le de papier sulfurisé. L'étape suivante consiste à mélanger les liquides. Mélangez le babeurre, le jus d'orange, le lait concentré, l'huile, l'essence de vanille et la cannelle dans un saladier. Ajoutez le mélange de farine ci-dessus et quelques noix dans le liquide. Assurez-vous que tout est bien mélangé. Transférez la masse grumeleuse dans un moule à gâteau et garnissez-le d'amandes hachées. Faites cuire au four pendant 30 minutes ou jusqu'à ce qu'il soit cuit. Après 30 minutes, laissez refroidir le gâteau quelques minutes et il est prêt à être servi. Savourez le gâteau aux amandes et à l'orange sans œufs avec du chai masala chaud et un sandwich aux carottes et aux petits pois pendant votre goûter.</t>
  </si>
  <si>
    <t>http://www.archanaskitchen.com/eggless-wholewheat-and-orange-almond-cake-recipe</t>
  </si>
  <si>
    <t>Strawberry Smoothie Bowl with chia seeds and Muesli Recipe</t>
  </si>
  <si>
    <t>Erdbeer-Smoothie-Bowl mit Chiasamen und Müsli Rezept</t>
  </si>
  <si>
    <t>Recette de smoothie bowl aux fraises, graines de chia et muesli</t>
  </si>
  <si>
    <t>Receta de batido de fresa, semillas de chía y muesli</t>
  </si>
  <si>
    <t>2 cuillères à soupe d'avoine instantanée (gruau), 2 pruneaux finement hachés, 1 cuillère à soupe de badam (amande) finement hachée, 1 cuillère à café de miel, 1 tasse de caillé (dahi / yaourt) faible en gras, eau (pour la cuisson), 2 cuillères à soupe de muesli (Saffola Nutty Crunch), 2 cuillères à soupe de fraises hachées, 1 cuillère à soupe de graines de chia</t>
  </si>
  <si>
    <t>2 tablespoons Instant Oats (Oatmeal),2 Prunes - finely chopped,1 tablespoon Badam (Almond) - finely chopped,1 teaspoon Honey,1 cup Curd (Dahi / Yogurt) - low fat,Water - for cooking,2 tablespoons Muesli - Saffola Nutty Crunch,2 tablespoons Strawberries - chopped,1 tablespoon Chia Seeds</t>
  </si>
  <si>
    <t>2 cucharadas de avena instantánea (avena), 2 ciruelas pasas finamente picadas, 1 cucharada de Badam (almendras) finamente picadas, 1 cucharadita de miel, 1 taza de cuajada (dahi/yogur) baja en grasa, agua para cocinar, 2 cucharadas de muesli Saffola Nutty Crunch, 2 cucharadas de fresas picadas, 1 cucharada de semillas de chía</t>
  </si>
  <si>
    <t xml:space="preserve">We begin making the Strawberry Smoothie Bowl with chia seeds and Muesli Recipe by combining oats, honey, yogurt and water in a saucepan. Cook them for about 5 minutes till the oats get cooked.To this stir in the prunes and almonds and mix well.  Transfer the smoothie to a serving bowl.Top it up with some chopped strawberries, Muesli and crunchy chia seeds.Serve the Strawberry Smoothie Bowl with chia seeds and Muesli Recipe as your favorite Breakfast in the morning.
</t>
  </si>
  <si>
    <t>Comenzamos preparando el Smoothie Bowl de Fresa con Semillas de Chía y Muesli mezclando avena, miel, yogur y agua en una cacerola. Cocinamos durante unos 5 minutos hasta que la avena esté cocida. Añadimos las ciruelas pasas y las almendras y mezclamos bien. Pasamos el smoothie a un tazón. Añadimos fresas picadas, muesli y semillas de chía crujientes. Sirve el Smoothie Bowl de Fresa con Semillas de Chía y Muesli como tu desayuno favorito.</t>
  </si>
  <si>
    <t>Nous commençons à préparer le Smoothie Bowl aux fraises, graines de chia et muesli en mélangeant les flocons d'avoine, le miel, le yaourt et l'eau dans une casserole. Faites cuire pendant environ 5 minutes, jusqu'à ce que les flocons d'avoine soient cuits. Ajoutez les pruneaux et les amandes et mélangez bien. Transférez le smoothie dans un bol de service. Garnissez de fraises hachées, de muesli et de graines de chia croquantes. Servez le Smoothie Bowl aux fraises, graines de chia et muesli comme votre petit-déjeuner préféré le matin.</t>
  </si>
  <si>
    <t>https://www.archanaskitchen.com/strawberry-smoothie-bowl-with-chia-seeds-and-muesli-recipe</t>
  </si>
  <si>
    <t>Oven Roasted Peaches And Cream Recipe</t>
  </si>
  <si>
    <t>Rezept für im Ofen geröstete Pfirsiche mit Sahne</t>
  </si>
  <si>
    <t>Recette de pêches rôties au four à la crème</t>
  </si>
  <si>
    <t>Receta de duraznos asados ​​al horno con crema</t>
  </si>
  <si>
    <t>6 pêches mûres, 1 cuillère à soupe de beurre ramolli, 1 cuillère à soupe de sucre, 1 pincée de cannelle en poudre (Dalchini), noix grillées, feuilles de menthe (Pudina) pour la garniture, 200 ml de crème fouettée épaisse, 3 cuillères à soupe de sucre glace, 1 cuillère à café d'extrait de vanille</t>
  </si>
  <si>
    <t>6 Peaches - ripe,1 tablespoon Butter - softened,1 tablespoon Sugar,1 pinch Cinnamon Powder (Dalchini),Walnuts - roasted,Mint Leaves (Pudina) - for garnish,200 ml Heavy whipping cream,3 tablespoons Icing Sugar,1 teaspoon Vanilla Extract</t>
  </si>
  <si>
    <t>6 duraznos maduros, 1 cucharada de mantequilla ablandada, 1 cucharada de azúcar, 1 pizca de canela en polvo (dalchini), nueces tostadas, hojas de menta (pudina) para decorar, 200 ml de crema batida espesa, 3 cucharadas de azúcar glas, 1 cucharadita de extracto de vainilla</t>
  </si>
  <si>
    <t xml:space="preserve">To begin making the Peaches and Cream Recipe, preheat the oven to 180 C. Cut peaches into half and remove the seeds and toss the peaches in some softened butter, cinnamon and sugar. Place the peaches on a baking sheet and bake it in the preheated oven for about 25 minutes, until the peaches have softened and look tender.  Once done, remove from the oven and keep aside.In the next step, we will prepare the whipped cream. Place some whipped cream in a large mixing bowl or in the bowl of a stand mixer. Add the icing sugar and vanilla extract and using the whip attachment, whip the cream until you get stiff peaks. To serve the Oven Roasted Peaches and Cream, scoop the whipped cream into individual serving glass, place a few oven roasted peaches on the top of the cream. Garnish it with mint or slivered almonds and serve.Serve Oven Roasted Peaches and Cream Recipe as a party dessert after a meal of Ultimate Potato Gratin Dauphinois and Mung Bean Sprouts Salad Recipe With Brussel Sprouts and Pomegranate.
</t>
  </si>
  <si>
    <t>Para comenzar a hacer la Receta de Duraznos con Crema, precaliente el horno a 180 C. Corte los duraznos por la mitad, retire las semillas y mezcle los duraznos con un poco de mantequilla suavizada, canela y azúcar. Coloque los duraznos en una bandeja para hornear y hornéela en el horno precalentado durante unos 25 minutos, hasta que los duraznos se hayan suavizado y se vean tiernos. Una vez hecho esto, retírelos del horno y déjelos a un lado. En el siguiente paso, prepararemos la crema batida. Coloque un poco de crema batida en un tazón grande para mezclar o en el tazón de una batidora de pie. Agregue el azúcar glas y el extracto de vainilla y, con el accesorio para batir, bata la crema hasta obtener picos rígidos. Para servir los duraznos asados ​​al horno con crema, vierta la crema batida en vasos individuales para servir, coloque algunos duraznos asados ​​al horno en la parte superior de la crema. Decorar con menta o almendras fileteadas y servir. Sirva la receta de duraznos asados ​​al horno con crema como postre de fiesta después de una comida de gratinado de papas dauphinois y ensalada de brotes de soja mungo con coles de Bruselas y granada.</t>
  </si>
  <si>
    <t>Pour commencer à préparer la recette de pêches et de crème, préchauffez le four à 180 °C. Coupez les pêches en deux, retirez les graines et mélangez-les avec du beurre ramolli, de la cannelle et du sucre. Placez les pêches sur une plaque à pâtisserie et faites-les cuire au four préchauffé pendant environ 25 minutes, jusqu'à ce que les pêches soient ramollies et tendres. Une fois cuites, retirez-les du four et réservez. À l'étape suivante, nous préparerons la crème fouettée. Placez un peu de crème fouettée dans un grand saladier ou dans le bol d'un batteur sur socle. Ajoutez le sucre glace et l'extrait de vanille et, à l'aide du fouet, fouettez la crème jusqu'à obtenir des pics fermes. Pour servir les pêches et la crème rôties au four, versez la crème fouettée dans un verre de service individuel, placez quelques pêches rôties au four sur le dessus de la crème. Garnissez-le de menthe ou d'amandes effilées et servez. Servez la recette de pêches rôties au four et de crème comme dessert de fête après un repas de gratin dauphinois ultime et de salade de germes de haricots mungo avec choux de Bruxelles et grenade.</t>
  </si>
  <si>
    <t>http://www.archanaskitchen.com/oven-roasted-peaches-and-cream-recipe</t>
  </si>
  <si>
    <t>Arugula Watermelon and Feta Salad Recipe</t>
  </si>
  <si>
    <t>Rezept für Rucola-Wassermelonen-Feta-Salat</t>
  </si>
  <si>
    <t>Recette de salade de roquette, pastèque et feta</t>
  </si>
  <si>
    <t>Receta de ensalada de rúcula, sandía y queso feta</t>
  </si>
  <si>
    <t>2 tasses de feuilles de roquette, 2 tasses de pastèque - épépinée et coupée en cubes, 3 cuillères à soupe de fromage feta, 1 cuillère à soupe d'huile d'olive extra vierge, 2 cuillères à café de vinaigrette au vin rouge, 1 cuillère à café de miel, sel - au goût, 1/2 cuillère à café de poudre de poivre noir, 1/4 cuillère à café de Tabasco Original - Sauce piquante</t>
  </si>
  <si>
    <t>2 cups Arugula leaves,2 cups Watermelon - deseeded and cut into cubes,3 tablespoons Feta Cheese,1 tablespoon Extra Virgin Olive Oil,2 teaspoons Red Wine Vinaigrette,1 teaspoon Honey,Salt - to taste,1/2 teaspoon Black pepper powder,1/4 teaspoon Tabasco Original - Hot Sauce</t>
  </si>
  <si>
    <t>2 tazas de hojas de rúcula, 2 tazas de sandía - sin semillas y cortada en cubos, 3 cucharadas de queso feta, 1 cucharada de aceite de oliva virgen extra, 2 cucharaditas de vinagreta de vino tinto, 1 cucharadita de miel, sal - al gusto, 1/2 cucharadita de pimienta negra en polvo, 1/4 cucharadita de salsa picante Tabasco Original</t>
  </si>
  <si>
    <t xml:space="preserve">To begin making the Arugula Watermelon and Feta Salad Recipe, pick the arugula leaves and thoroughly wash them to ensure they are clean. In a mixing bowl, combine the watermelon along with the arugula leaves and allow it to chill in the refrigerator. To make the salad dressing In a small mixing bowl, combine the olive oil along with red wine vinegar, honey, salt, pepper and Tabasco sauce. Whisk and allow it to chill. Just before serving, toss the Arugula Watermelon Feta Salad along with the dressing and serve chilled. Although the Arugula Watermelon and Feta Salad tastes best chilled, you could also serve it at room temperature. Serve this Arugula Watermelon and Feta Salad Recipe along with Sweet Potato, Celery &amp; Peanut Soup Recipe and Bruschetta with Olives &amp; Raisins for a light summer snack. 
</t>
  </si>
  <si>
    <t>Para comenzar a hacer la receta de ensalada de rúcula, sandía y queso feta, escoja las hojas de rúcula y lávelas bien para asegurarse de que estén limpias. En un tazón, combine la sandía junto con las hojas de rúcula y déjela enfriar en el refrigerador. Para hacer el aderezo para ensaladas En un tazón pequeño, combine el aceite de oliva junto con el vinagre de vino tinto, la miel, la sal, la pimienta y la salsa Tabasco. Bata y deje que se enfríe. Justo antes de servir, mezcle la ensalada de rúcula, sandía y queso feta con el aderezo y sirva fría. Aunque la ensalada de rúcula, sandía y queso feta sabe mejor fría, también puede servirla a temperatura ambiente. Sirva esta receta de ensalada de rúcula, sandía y queso feta junto con la receta de sopa de boniato, apio y cacahuete y la receta de bruschetta con aceitunas y pasas para un refrigerio ligero de verano.</t>
  </si>
  <si>
    <t>Pour commencer à préparer la salade de roquette, pastèque et feta, cueillez les feuilles de roquette et lavez-les soigneusement pour vous assurer qu'elles sont propres. Dans un saladier, mélangez la pastèque et les feuilles de roquette et laissez refroidir au réfrigérateur. Pour préparer la vinaigrette, dans un petit saladier, mélangez l'huile d'olive, le vinaigre de vin rouge, le miel, le sel, le poivre et la sauce Tabasco. Fouettez et laissez refroidir. Juste avant de servir, mélangez la salade de roquette, pastèque et feta avec la vinaigrette et servez frais. Bien que la salade de roquette, pastèque et feta soit meilleure fraîche, vous pouvez également la servir à température ambiante. Servez cette salade de roquette, pastèque et feta avec la soupe de patates douces, céleri et arachides et la bruschetta aux olives et aux raisins secs pour une collation estivale légère.</t>
  </si>
  <si>
    <t>https://www.archanaskitchen.com/arugula-watermelon-and-feta-salad-recipe</t>
  </si>
  <si>
    <t>Roasted Walnut Zucchini Carrot Salad in Red Wine Vinaigrette Recipe</t>
  </si>
  <si>
    <t>Rezept für gerösteten Walnuss-Zucchini-Karottensalat in Rotwein-Vinaigrette</t>
  </si>
  <si>
    <t>Recette de salade de noix rôties, courgettes et carottes à la vinaigrette au vin rouge</t>
  </si>
  <si>
    <t>Receta de ensalada de nueces asadas, calabacín y zanahoria con vinagreta de vino tinto</t>
  </si>
  <si>
    <t>1 tasse de courgettes vertes - tranchées, 1 tasse de carottes (Gajjar) - coupées en bâtonnets fins de 1/2 pouce, 1 tasse de poivron rouge (Capsicum) - coupé en bâtonnets de 1/2 pouce, 1/4 tasse de noix - grossièrement hachées, 1 cuillère à soupe d'huile d'olive extra vierge, 1 cuillère à café de vinaigrette au vin rouge, 1 cuillère à café d'huile d'olive extra vierge, 1/2 cuillère à café de poudre de poivre noir, sel - au goût</t>
  </si>
  <si>
    <t>1 cup Green zucchini - sliced,1 cup Carrot (Gajjar) - cut into 1/2 inch thin sticks,1 cup Red Bell pepper (Capsicum) - cut into 1/2 inch sticks,1/4 cup Walnuts - roughly chopped,1 tablespoon Extra Virgin Olive Oil,1 teaspoon Red Wine Vinaigrette,1 teaspoon Extra Virgin Olive Oil,1/2 teaspoon Black pepper powder,Salt - to taste</t>
  </si>
  <si>
    <t>1 taza de calabacín verde en rodajas, 1 taza de zanahoria (Gajjar) cortada en palitos finos de 1/2 pulgada, 1 taza de pimiento rojo (Capsicum) cortado en palitos de 1/2 pulgada, 1/4 taza de nueces picadas gruesas, 1 cucharada de aceite de oliva virgen extra, 1 cucharadita de vinagreta de vino tinto, 1 cucharadita de aceite de oliva virgen extra, 1/2 cucharadita de pimienta negra en polvo, sal al gusto</t>
  </si>
  <si>
    <t xml:space="preserve">To begin making Roasted Walnut Zucchini Carrot Salad in Red Wine Vinaigrette Recipe first heat oil in a pan on medium heat.Add capsicum and saute and cook till the capsicum are softened and browned on all sides. This will take about 5 minutes. Transfer to a medium sized bowl. To the same pan add the zucchini and cook until softened and light brown in colour. Make sure that you do not crowd the pan. If you want you can cook zucchini in batches. Add the cooked zucchini to the bowl along with capsicum.At last in the same pan add the carrots and cook until soft for about 5 minutes. Remove the carrots into the bowl with the zucchini and capsicum. Next make the dressing. Take a bowl and olive oil, red wine vinaigrette, salt and pepper. Stir to combine all the ingredients. Add the dressing to the roasted zucchini. carrots and capsicum.  Toss well. Check the seasoning. Now add the Chopped walnuts and toss the salad again. Serve Roasted Walnut Zucchini Carrot Salad in Red Wine Vinaigrette as a side along with Vegetable Au Gratin with Cauliflower Carrots and Beans and Whole Wheat Rosemary Focaccia Bread for a weekend meal.
</t>
  </si>
  <si>
    <t>Para comenzar a hacer la receta de ensalada de zanahoria, calabacín y nueces asadas en vinagreta de vino tinto, primero caliente el aceite en una sartén a fuego medio. Agregue el pimiento y saltee y cocine hasta que el pimiento esté suave y dorado por todos lados. Esto tomará unos 5 minutos. Transfiera a un tazón mediano. A la misma sartén agregue el calabacín y cocine hasta que esté suave y de color marrón claro. Asegúrese de no amontonar la sartén. Si lo desea, puede cocinar el calabacín en tandas. Agregue el calabacín cocido al tazón junto con el pimiento. Por último, en la misma sartén agregue las zanahorias y cocine hasta que estén suaves durante unos 5 minutos. Retire las zanahorias al tazón con el calabacín y el pimiento. Luego prepare el aderezo. Tome un tazón y aceite de oliva, vinagreta de vino tinto, sal y pimienta. Revuelva para combinar todos los ingredientes. Agregue el aderezo al calabacín asado, las zanahorias y el pimiento. Mezcle bien. Compruebe el condimento. Ahora agregue las nueces picadas y mezcle la ensalada nuevamente. Sirva la ensalada de zanahoria, calabacín y nueces asadas en vinagreta de vino tinto como acompañamiento junto con el gratinado de verduras con coliflor, zanahorias y frijoles y el pan focaccia integral con romero para una comida de fin de semana.</t>
  </si>
  <si>
    <t>Pour commencer à préparer la salade de carottes et courgettes aux noix rôties dans une vinaigrette au vin rouge, faites d'abord chauffer l'huile dans une poêle à feu moyen. Ajoutez le poivron et faites-le revenir jusqu'à ce qu'il soit tendre et doré de tous les côtés. Cela prendra environ 5 minutes. Transférez dans un bol de taille moyenne. Dans la même poêle, ajoutez les courgettes et faites-les cuire jusqu'à ce qu'elles soient tendres et d'une couleur brun clair. Assurez-vous de ne pas surcharger la poêle. Si vous le souhaitez, vous pouvez cuire les courgettes par lots. Ajoutez les courgettes cuites dans le bol avec le poivron. Enfin, dans la même poêle, ajoutez les carottes et faites-les cuire jusqu'à ce qu'elles soient tendres pendant environ 5 minutes. Retirez les carottes dans le bol avec les courgettes et le poivron. Préparez ensuite la vinaigrette. Prenez un bol et de l'huile d'olive, de la vinaigrette au vin rouge, du sel et du poivre. Remuez pour mélanger tous les ingrédients. Ajoutez la vinaigrette aux courgettes rôties, aux carottes et au poivron. Bien mélanger. Vérifier l'assaisonnement. Ajouter les noix hachées et mélanger à nouveau la salade. Servir la salade de courgettes et carottes aux noix rôties dans une vinaigrette au vin rouge en accompagnement avec un gratin de légumes avec chou-fleur, carottes et haricots et du pain focaccia complet au romarin pour un repas de week-end.</t>
  </si>
  <si>
    <t>http://www.archanaskitchen.com/roasted-walnut-zucchini-carrot-salad-in-red-wine-vinaigrette-recipe</t>
  </si>
  <si>
    <t>No-Bake Tangy Lemon Pie Recipe</t>
  </si>
  <si>
    <t>Rezept für würzigen Zitronenkuchen ohne Backen</t>
  </si>
  <si>
    <t>Recette de gâteau au citron épicé sans cuisson</t>
  </si>
  <si>
    <t>Receta de pastel de limón especiado sin horno</t>
  </si>
  <si>
    <t>1 1/2 tasse de biscuit digestif écrasé, 80 grammes de beurre fondu, 1 boîte de lait concentré (voir notes), 110 grammes de beurre fondu, 3 jus de citron fraîchement pressés (utilisez-en plus si vous aimez un peu plus de piquant), 1 cuillère à soupe de zeste de citron râpé (ajoutez ou réduisez la quantité selon votre goût), 4 cuillères à soupe de sucre (ajoutez ou réduisez la quantité selon votre goût), 3 cuillères à café de gélatine (en poudre)</t>
  </si>
  <si>
    <t>1 1/2 cups Digestive biscuit - crushed,80 grams Butter - melted,1 can Condensed Milk - (refer notes),110 grams Butter - melted,3 Lemon - juice freshly squeezed (use more if you like a little more tanginess),1 tablespoon Lemon zest - grated (add or reduce quantity as per taste),4 tablespoons Sugar - (add or reduce quantity as per taste),3 teaspoons Gelatin - (powder)</t>
  </si>
  <si>
    <t>1 1/2 tazas de galleta digestiva triturada, 80 gramos de mantequilla derretida, 1 lata de leche condensada (ver notas), 110 gramos de mantequilla derretida, 3 limones recién exprimidos (use más si le gusta un toque más ácido), 1 cucharada de ralladura de limón (agregue o reduzca la cantidad según su gusto), 4 cucharadas de azúcar (agregue o reduzca la cantidad según su gusto), 3 cucharaditas de gelatina (en polvo)</t>
  </si>
  <si>
    <t xml:space="preserve">To begin preparing this easy No-Bake Tangy Lemon Pie recipe, keep all the ingredients ready.Instruction To Prepare The CrustHeat butter in a saucepan till completely melted.Add the melted butter to the crushed digestive biscuits in a bowl and mix well to form a crumble.Grease a springform pan or any pan with a removable base or a pie plate.Spread the digestive biscuit mix evenly all over the pan. Press gently with fingers to seal the biscuit in.Grate a little lemon rind on the biscuit base and place in the freezer. (Refer notes)Instruction To Prepare The Pie FillingDissolve the gelatin powder in the freshly squeezed lemon juice. Keep aside. (If the gelatin is not getting dissolved, lightly warm up the lemon juice and add the gelatin to it and stir properly)In a large mixing bowl, blend together all the ingredients listed under "For The Pie Filling" including the dissolved gelatin and lemon juice mixture. Do a taste test and adjust flavours. (Adjust sugar, lemon juice and rind if need be) I whisked it by hand using a balloon whisk, but you could use a hand blender for the same. Make sure no lumps are present.Pour the pie filling into the digestive biscuit crust and sprinkle some more grated lemon rind. Chill in the refrigerator for a few hours.Once set and ready to serve, gently unmold the pie from the pan. If you are using a simple pie mould without a removable base, there is no need to unmold, just cut up a piece and serve.Serve chilled with a cup of green tea or coffee to bring out the flavours of the no-bake tangy lemon pie.No-Bake Tangy Lemon Pie Recipe can also be served as a dessert for a dinner party or during a tea party with coffee or green tea.
</t>
  </si>
  <si>
    <t>Para comenzar a preparar esta receta fácil de pastel de limón agridulce sin horno, tenga todos los ingredientes listos. Instrucciones para preparar la corteza Caliente la mantequilla en una cacerola hasta que se derrita por completo. Agregue la mantequilla derretida a las galletas digestivas trituradas en un tazón y mezcle bien para formar un crumble. Engrase un molde desmontable o cualquier molde con base removible o un molde para pastel. Extienda la mezcla de galletas digestivas uniformemente por todo el molde. Presione suavemente con los dedos para sellar la galleta. Ralle un poco de ralladura de limón en la base de la galleta y colóquela en el congelador. (Consulte las notas) Instrucciones para preparar el relleno de pastel Disuelva la gelatina en polvo en el jugo de limón recién exprimido. Reserve. (Si la gelatina no se disuelve, caliente ligeramente el jugo de limón y agregue la gelatina y revuelva bien) En un tazón grande, mezcle todos los ingredientes enumerados en "Para el relleno de pastel", incluida la gelatina disuelta y la mezcla de jugo de limón. Haga una prueba de sabor y ajuste los sabores. (Ajusta el azúcar, el jugo de limón y la ralladura si es necesario). Lo batí a mano con un batidor de varillas, pero puedes usar una batidora de mano para lo mismo. Asegúrate de que no queden grumos. Vierte el relleno de tarta en la base de galleta digestiva y espolvorea un poco más de ralladura de limón. Enfría en el refrigerador durante unas horas. Una vez listo para servir, desmolda con cuidado la tarta del molde. Si usas un molde de tarta simple sin base desmontable, no es necesario desmoldar, solo corta un trozo y sirve. Sírvelo frío con una taza de té verde o café para realzar los sabores de la tarta de limón agridulce sin horno. La receta de tarta de limón agridulce sin horno también se puede servir como postre para una cena o durante una merienda con café o té verde.</t>
  </si>
  <si>
    <t>Pour commencer à préparer cette recette facile de tarte au citron acidulée sans cuisson, gardez tous les ingrédients prêts.Instructions pour préparer la croûteFaites chauffer le beurre dans une casserole jusqu'à ce qu'il soit complètement fondu.Ajoutez le beurre fondu aux biscuits digestifs écrasés dans un bol et mélangez bien pour former un crumble.Graissez un moule à charnière ou tout autre moule à fond amovible ou un plat à tarte.Étalez le mélange de biscuits digestifs uniformément sur tout le moule. Appuyez doucement avec les doigts pour sceller le biscuit.Râpez un peu de zeste de citron sur la base du biscuit et placez au congélateur. (Voir les notes)Instructions pour préparer la garniture pour tarteDissoudre la gélatine en poudre dans le jus de citron fraîchement pressé. Réserver. (Si la gélatine ne se dissout pas, réchauffez légèrement le jus de citron et ajoutez-y la gélatine et remuez bien)Dans un grand bol, mélangez tous les ingrédients énumérés sous « Pour la garniture pour tarte », y compris le mélange de gélatine dissoute et de jus de citron. Faites un test de goût et ajustez les saveurs. (Ajustez le sucre, le jus de citron et le zeste si nécessaire) Je l'ai fouetté à la main à l'aide d'un fouet ballon, mais vous pouvez utiliser un mixeur plongeant pour la même chose. Assurez-vous qu'il n'y a pas de grumeaux. Versez la garniture à tarte dans la croûte de biscuit digestif et saupoudrez d'un peu plus de zeste de citron râpé. Laissez refroidir au réfrigérateur pendant quelques heures. Une fois prise et prête à servir, démoulez délicatement la tarte du moule. Si vous utilisez un moule à tarte simple sans fond amovible, il n'est pas nécessaire de démouler, il suffit de couper un morceau et de servir. Servez frais avec une tasse de thé vert ou de café pour faire ressortir les saveurs de la tarte au citron acidulée sans cuisson. La recette de tarte au citron acidulée sans cuisson peut également être servie en dessert pour un dîner ou lors d'un goûter avec du café ou du thé vert.</t>
  </si>
  <si>
    <t>https://www.archanaskitchen.com/no-bake-tangy-lemon-pie-recipe</t>
  </si>
  <si>
    <t>Orange Mocktail Recipe</t>
  </si>
  <si>
    <t>Orangen-Mocktail-Rezept</t>
  </si>
  <si>
    <t>Recette de cocktail sans alcool à l'orange</t>
  </si>
  <si>
    <t>Receta de cóctel sin alcohol de naranja</t>
  </si>
  <si>
    <t>1 tasse de jus d'orange frais, 1 cuillère à soupe de jus de citron, 1 tasse de Sprite - ou 7 up ou soda club ou soda au gingembre, sucre - au besoin (facultatif), feuilles de menthe (Pudina) - quelques-unes, glaçons - au besoin, sel - au goût</t>
  </si>
  <si>
    <t>1 cup Fresh orange juice,1 tablespoon Lemon juice,1 cup Sprite - or 7 up or club soda or ginger ale,Sugar - as required (optional),Mint Leaves (Pudina) - few,Ice cubes - as required,Salt - to taste</t>
  </si>
  <si>
    <t>1 taza de jugo de naranja fresco, 1 cucharada de jugo de limón, 1 taza de Sprite, o 7 up, o soda o ginger ale, azúcar, según se requiera (opcional), hojas de menta (pudina), algunas, cubitos de hielo, según se requiera, sal, al gusto.</t>
  </si>
  <si>
    <t xml:space="preserve">To begin making Orange Mocktail, firstly mix the orange juice with lime/lemon juice in a mixing bowl.Take two glasses and put some ice cubes in it. Pour the juice mixture in the glass till it is half full. Pour some sprite or 7up in the same glass and a pinch of salt.Crush some mint leaves from hand and add in the juice. Add some more ice cubes if needed.Serve Orange Mocktail along with Cheese Stuffed Aloo Bonda and Sabudana Vada for your house parties.
</t>
  </si>
  <si>
    <t>Para preparar un cóctel de naranja sin alcohol, mezcla el jugo de naranja con el de lima o limón en un tazón. Agrega cubitos de hielo en dos vasos. Vierte la mezcla de jugo en el vaso hasta la mitad. Agrega un poco de Sprite o 7Up al mismo vaso y una pizca de sal. Machaca unas hojas de menta con las manos y agrega el jugo. Agrega más cubitos de hielo si es necesario. Sirve el cóctel de naranja sin alcohol junto con Aloo Bonda relleno de queso y Sabudana Vada en tus fiestas en casa.</t>
  </si>
  <si>
    <t>Pour préparer un cocktail sans alcool à l'orange, mélangez d'abord le jus d'orange avec le jus de citron vert/citron vert dans un saladier. Prenez deux verres et ajoutez-y des glaçons. Versez le mélange jusqu'à la moitié du verre. Versez un peu de Sprite ou de 7up dans le même verre et une pincée de sel. Écrasez quelques feuilles de menthe à la main et ajoutez le jus. Ajoutez des glaçons si nécessaire. Servez le cocktail sans alcool à l'orange accompagné d'Aloo Bonda fourré au fromage et de Sabudana Vada pour vos réceptions.</t>
  </si>
  <si>
    <t>http://www.archanaskitchen.com/orange-mocktail-recipe</t>
  </si>
  <si>
    <t>Basil Pesto Grilled Chicken Recipe</t>
  </si>
  <si>
    <t>Rezept für gegrilltes Hähnchen mit Basilikumpesto</t>
  </si>
  <si>
    <t>Recette de poulet grillé au pesto de basilic</t>
  </si>
  <si>
    <t>Receta de pollo a la parrilla con pesto de albahaca</t>
  </si>
  <si>
    <t>1 poitrine de poulet, 1 cuillère à soupe de crème fraîche, 1 cuillère à café de jus de citron, 2 cuillères à soupe de beurre à l'ail, 250 grammes de feuilles de basilic - sans les tiges, 1/4 tasse de noix - grillées, 4 gousses d'ail - finement hachées, sel - au goût, 1 cuillère à soupe de grains de poivre noir entiers - grossièrement pilés, 2 cuillères à soupe d'huile d'olive extra vierge, 1/2 tasse de parmesan - râpé</t>
  </si>
  <si>
    <t>1 Chicken breasts,1 tablespoon Fresh cream,1 teaspoon Lemon juice,2 tablespoons Garlic Butter,250 grams Basil leaves - with stems removed,1/4 cup Walnuts - toasted,4 cloves Garlic - finely chopped,Salt - to taste,1 tablespoon Whole Black Peppercorns - coarsely pounded,2 tablespoons Extra Virgin Olive Oil,1/2 cup Parmesan cheese - grated</t>
  </si>
  <si>
    <t>1 pechuga de pollo, 1 cucharada de crema fresca, 1 cucharadita de jugo de limón, 2 cucharadas de mantequilla de ajo, 250 gramos de hojas de albahaca - sin tallos, 1/4 taza de nueces - tostadas, 4 dientes de ajo - finamente picados, sal - al gusto, 1 cucharada de granos de pimienta negra enteros - machacados gruesos, 2 cucharadas de aceite de oliva virgen extra, 1/2 taza de queso parmesano - rallado</t>
  </si>
  <si>
    <t xml:space="preserve">To begin making the Basil Pesto Grilled Chicken Recipe, make the fresh basil pesto and keep it ready.For the Basil PestoPlace the walnuts,garlic, basil leaves, salt, and pepper in the food processor and churn until coarse. With the processor running, slowly pour the olive oil into the bowl through the feed tube and process until the pesto is thoroughly pureed.Add the Parmesan and puree for a minute. In a mixing bowl, marinade the chicken breast along with the basil pesto, cream, and lemon juice. Let it sit for about an hour.Heat a grill pan/skillet on medium flame, put some garlic butter and place the chicken breast on it. Cook till the chicken is completely cooked through. IT will take about 8 to ten minutes on either sides to cook the chicken. Once done transfer the Basil Pesto Grilled Chicken onto a serving plate and serve hot.Serve Basil Pesto Grilled Chicken Recipe with Summer Lettuce Salad Recipe and French Onion Soup Recipe for lunch or dinner.
</t>
  </si>
  <si>
    <t>Para empezar a hacer la Receta de Pollo a la Parrilla con Pesto de Albahaca, prepare el pesto de albahaca fresca y téngalo listo. Para el Pesto de Albahaca Coloque las nueces, el ajo, las hojas de albahaca, la sal y la pimienta en el procesador de alimentos y bata hasta que esté grueso. Con el procesador en funcionamiento, vierta lentamente el aceite de oliva en el tazón a través del tubo de alimentación y procese hasta que el pesto esté completamente hecho puré. Agregue el parmesano y haga puré durante un minuto. En un tazón, marine la pechuga de pollo junto con el pesto de albahaca, la crema y el jugo de limón. Deje reposar durante aproximadamente una hora. Caliente una sartén/parrilla a fuego medio, ponga un poco de mantequilla de ajo y coloque la pechuga de pollo sobre ella. Cocine hasta que el pollo esté completamente cocido. Tomará alrededor de 8 a diez minutos por cada lado para cocinar el pollo. Una vez listo, transfiera el pollo a la parrilla con pesto de albahaca a un plato para servir y sirva caliente. Sirva la receta de pollo a la parrilla con pesto de albahaca con la receta de ensalada de lechuga de verano y la receta de sopa de cebolla francesa para el almuerzo o la cena.</t>
  </si>
  <si>
    <t xml:space="preserve">Pour commencer à préparer la recette de poulet grillé au pesto de basilic, préparez le pesto de basilic frais et gardez-le prêt. Pour le pesto de basilic Placez les noix, l'ail, les feuilles de basilic, le sel et le poivre dans le robot culinaire et barattez jusqu'à obtenir une consistance grossière. Pendant que le robot fonctionne, versez lentement l'huile d'olive dans le bol par le tube d'alimentation et mixez jusqu'à ce que le pesto soit complètement réduit en purée. Ajoutez le parmesan et réduisez en purée pendant une minute. Dans un saladier, faites mariner la poitrine de poulet avec le pesto de basilic, la crème et le jus de citron. Laissez reposer environ une heure. Faites chauffer une poêle à griller/poêle à feu moyen, mettez un peu de beurre à l'ail et placez la poitrine de poulet dessus. Faites cuire jusqu'à ce que le poulet soit complètement cuit. Il faudra environ 8 à 10 minutes de chaque côté pour cuire le poulet. Une fois terminé, transférez le poulet grillé au pesto de basilic sur une assiette de service et servez chaud. Servez la recette de poulet grillé au pesto de basilic avec la recette de salade de laitue d'été et la recette de soupe à l'oignon française pour le déjeuner ou le dîner.
</t>
  </si>
  <si>
    <t>https://www.archanaskitchen.com/basil-pesto-grilled-chicken-recipe</t>
  </si>
  <si>
    <t>Whole Wheat And Ragi Crepe With Muesli And Strawberry Recipe</t>
  </si>
  <si>
    <t>Vollkorn-Ragi-Crêpe mit Müsli und Erdbeeren Rezept</t>
  </si>
  <si>
    <t>Recette de crêpes au ragi de blé entier avec muesli et fraises</t>
  </si>
  <si>
    <t>Receta de panqueques de ragi de trigo integral con muesli y fresas</t>
  </si>
  <si>
    <t>1 tasse de farine de blé entier, 1/4 tasse de farine de ragi (millet des doigts/Nagli), 1 œuf entier, 1 cuillère à soupe d'extrait de vanille, 1 cuillère à café de levure chimique, 1 cuillère à café de poudre de muscade, sel - au goût, 1 tasse de fraises - tranchées, 1/2 tasse de muesli, 4 cuillères à soupe de beurre d'amande</t>
  </si>
  <si>
    <t>1 cup Whole Wheat Flour,1/4 cup Ragi Flour (Finger Millet/ Nagli),1 Whole Egg,1 tablespoon Vanilla Extract,1 teaspoon Baking powder,1 teaspoon Nutmeg powder,Salt - to taste,1 cup Strawberries - sliced,1/2 cup Muesli,4 tablespoons Almond butter</t>
  </si>
  <si>
    <t>1 taza de harina integral, 1/4 taza de harina de ragi (mijo de dedo/nagli), 1 huevo entero, 1 cucharada de extracto de vainilla, 1 cucharadita de polvo para hornear, 1 cucharadita de nuez moscada en polvo, sal - al gusto, 1 taza de fresas - en rodajas, 1/2 taza de muesli, 4 cucharadas de mantequilla de almendras</t>
  </si>
  <si>
    <t xml:space="preserve">To begin making the Whole Wheat And Ragi Crepe With Muesli And Strawberry Recipe, we wiil first mix all the ingredients mentioned in the list for crepes including Whole Wheat Flour, Ragi Flour, Whole Egg, Vanilla Extract, Baking Powder, Nutmeg Powder and Salt.Add about 1/2 cup water and mix it to a thin batter. Heat a flat pan to a medium heat.Pour about one ladle and swirl it around till you get a thin layer on the pan. After 1 minute, flip it over and cook on the other side for 1 more minute.Take the crepe out of the pan, and then spread a tablespoon of almond spread evenly and then sprinkle the muesli and layer it with strawberries and serve. Serve the Whole Wheat And Ragi Crepe With Muesli And Strawberry Recipe along with a hot cup of Espresso Coffee for your Weekend Breakfast.
</t>
  </si>
  <si>
    <t>Para empezar a preparar la receta de crepe de trigo integral y ragi con muesli y fresas, primero mezclaremos todos los ingredientes mencionados en la lista para crepes, incluyendo harina integral, harina de ragi, huevo entero, extracto de vainilla, polvo para hornear, nuez moscada en polvo y sal. Agregue aproximadamente 1/2 taza de agua y mezcle hasta obtener una masa ligera. Caliente una sartén plana a fuego medio. Vierta aproximadamente un cucharón y gírelo hasta obtener una capa fina en la sartén. Después de 1 minuto, voltee y cocine por el otro lado durante 1 minuto más. Retire el crepe de la sartén y luego extienda una cucharada de pasta de almendras uniformemente y luego espolvoree el muesli y cubra con fresas y sirva. Sirva la receta de crepe de trigo integral y ragi con muesli y fresas junto con una taza de café expreso caliente para su desayuno de fin de semana.</t>
  </si>
  <si>
    <t>Pour commencer à préparer la recette de crêpes au blé entier et au ragi, muesli et fraises, nous allons d'abord mélanger tous les ingrédients mentionnés dans la liste pour les crêpes, y compris la farine de blé entier, la farine de ragi, l'œuf entier, l'extrait de vanille, la levure chimique, la poudre de muscade et le sel. Ajoutez environ 1/2 tasse d'eau et mélangez jusqu'à obtenir une pâte fine. Chauffez une poêle plate à feu moyen. Versez environ une louche et faites tourner jusqu'à obtenir une fine couche sur la poêle. Après 1 minute, retournez-la et faites cuire de l'autre côté pendant 1 minute supplémentaire. Retirez la crêpe de la poêle, puis étalez uniformément une cuillère à soupe de pâte à tartiner aux amandes, puis saupoudrez de muesli et de fraises et servez. Servez la recette de crêpes au blé entier et au ragi, muesli et fraises avec une tasse de café expresso chaud pour votre petit-déjeuner du week-end.</t>
  </si>
  <si>
    <t>https://www.archanaskitchen.com/whole-wheat-crepe-with-muesli-strawberry-recipe</t>
  </si>
  <si>
    <t>Red Velvet Cake Recipe</t>
  </si>
  <si>
    <t>Rezept für Red Velvet Cake</t>
  </si>
  <si>
    <t>Recette du gâteau Red Velvet</t>
  </si>
  <si>
    <t>Receta de pastel de terciopelo rojo</t>
  </si>
  <si>
    <t>75 grammes de beurre ramolli, 150 grammes de sucre en poudre, 1/2 cuillère à café d'extrait de vanille, 2 œufs entiers séparés, 125 grammes de farine tout usage (Maida), 12 grammes de farine de maïs, 1/2 cuillère à café de levure chimique, 1 cuillère à soupe de cacao en poudre, 125 ml de babeurre, 1 cuillère à soupe de colorant alimentaire rouge, 1/2 cuillère à café de vinaigre blanc, 1/2 cuillère à café de bicarbonate de soude, 1 tasse de fromage à la crème Britannia, 1 tasse de crème à fouetter épaisse, 1/2 tasse de sucre glace</t>
  </si>
  <si>
    <t>75 grams Butter - softened,150 grams Caster Sugar,1/2 teaspoon Vanilla Extract,2 Whole Eggs - separated,125 grams All Purpose Flour (Maida),12 grams Corn flour,1/2 teaspoon Baking powder,1 tablespoon Cocoa Powder,125 ml Buttermilk,1 tablespoons Red Food Color,1/2 teaspoon White vinegar,1/2 teaspoon Baking soda,1 cup Britannia Cream Cheese,1 cup Heavy whipping cream,1/2 cup Icing Sugar</t>
  </si>
  <si>
    <t>75 gramos de mantequilla - ablandada, 150 gramos de azúcar extrafino, 1/2 cucharadita de extracto de vainilla, 2 huevos enteros - separados, 125 gramos de harina para todo uso (Maida), 12 gramos de harina de maíz, 1/2 cucharadita de polvo de hornear, 1 cucharada de cacao en polvo, 125 ml de suero de leche, 1 cucharada de colorante alimentario rojo, 1/2 cucharadita de vinagre blanco, 1/2 cucharadita de bicarbonato de sodio, 1 taza de queso crema Britannia, 1 taza de crema batida espesa, 1/2 taza de azúcar glas</t>
  </si>
  <si>
    <t xml:space="preserve">To begin making the Red Velvet Cake Recipe, preheat the oven to 180°C.Grease and line the sides of a 6″cake tin with parchment paper.Cream the butter in the bowl of the stand mixer until creamy. Add the sugar and beat until the mixture is pale and fluffy. For about 3 minutes. Add the vanilla extract and the egg yolks, one by one, beating well after each addition till well combined. Do not over beat. That will curdle the mixture.Sieve the flour, cornflour, baking powder and cocoa powder in a sieve resting on a plate.Add the buttermilk with the food colouring and mix together. It should be very red, so add more if you need to.Sift one-third of the dry ingredients into the butter and eggs mixture and fold until just combined, then pour in one-third of the buttermilk mixture and mix until just combined. Continue, combining a third at a time, until both are incorporated.Whisk the egg whites and salt in a separate clean bowl until stiff peaks form. Add 1/3rd to the batter and mix. Add the remaining egg whites in three stages, folding them in gently with a spatula until just incorporated, without knocking off too much air from the egg whites.In a small bowl, mix the vinegar and baking soda until it bubbles up, then gently fold this into the batter.Quickly pour the batter into the prepared tin and smooth the top. Bake in the oven for 25–30 minutes or until a skewer inserted into the middle comes out clean .Rest the cake in the tin 15 minutes, then carefully remove the cake from the tin and cool it completely.For the frosting, whip the heavy cream with 1/4 cup icing sugar till stiff peaks form.Whip cream cheese with the remaining icing sugar in a separate bowl till smooth.Fold in whipping cream and cream cheese together.And now to assemble the Red Velvet cake. Slice the cake into three equal parts. Cut these slices equal to the diameter of the glass used for serving.Layer the cake as the bottom most layer in the glass.Pipe frosting on the cake evenly. Place the next slices of cake and repeat it with frosting. Top the Red Velvet Cake with some crumbs of the cake and serve.Note: Instead of layers you can even crumble the cake and layer it in the glass.
</t>
  </si>
  <si>
    <t>Para empezar a preparar la receta del Pastel Red Velvet, precalienta el horno a 180 °C. Engrasa y forra un molde para pastel de 15 cm con papel vegetal. Bate la mantequilla en el bol de la batidora hasta que esté cremosa. Agrega el azúcar y bate hasta que la mezcla esté pálida y esponjosa, durante unos 3 minutos. Agrega el extracto de vainilla y las yemas de huevo, una a una, batiendo bien después de cada adición hasta que estén bien integradas. No batas demasiado, ya que esto cortaría la mezcla. Tamiza la harina, la maicena, la levadura química y el cacao en polvo en un colador sobre un plato. Agrega el suero de leche con el colorante alimentario y mezcla. Debe quedar muy rojo, así que añade más si es necesario. Tamiza un tercio de los ingredientes secos con la mezcla de mantequilla y huevos y mezcla con movimientos envolventes hasta que se integren. Luego, vierte un tercio de la mezcla de suero de leche y mezcla hasta que esté bien integrada. Continúa mezclando un tercio a la vez, hasta que ambos ingredientes estén bien integrados. Bate las claras de huevo y la sal en un bol limpio aparte hasta que se formen picos firmes. Añade 1/3 a la masa y mezcla. Agrega las claras de huevo restantes en tres etapas, doblándolas suavemente con una espátula hasta que se incorporen, sin quitarles demasiado aire. En un tazón pequeño, mezcla el vinagre y el bicarbonato de sodio hasta que burbujee, luego incorpóralos suavemente a la masa. Vierte rápidamente la masa en el molde preparado y alisa la parte superior. Hornea en el horno durante 25 a 30 minutos o hasta que un palillo insertado en el medio salga limpio. Deja reposar el pastel en el molde 15 minutos, luego retira con cuidado el pastel del molde y enfríalo por completo. Para el glaseado, bate la crema espesa con 1/4 de taza de azúcar glas hasta que se formen picos rígidos. Bate el queso crema con el azúcar glas restante en un tazón aparte hasta que quede suave. Incorpora la crema batida y el queso crema juntos. Y ahora para armar el pastel Red Velvet. Corta el pastel en tres partes iguales. Corte estas rebanadas del mismo diámetro del vaso que usará para servir. Coloque el pastel en la capa más baja del vaso. Aplique el glaseado uniformemente sobre el pastel. Coloque las siguientes rebanadas de pastel y repita el proceso con el glaseado. Cubra el pastel Red Velvet con algunas migas de pastel y sirva. Nota: En lugar de capas, puede desmenuzar el pastel y colocarlo en capas en el vaso.</t>
  </si>
  <si>
    <t>Pour commencer la recette du gâteau Red Velvet, préchauffez le four à 180 °C. Graissez et chemisez les bords d'un moule à gâteau de 15 cm de papier sulfurisé. Battez le beurre dans le bol du robot jusqu'à obtenir une consistance crémeuse. Ajoutez le sucre et battez jusqu'à ce que le mélange blanchisse et soit mousseux. Pendant environ 3 minutes. Ajoutez l'extrait de vanille et les jaunes d'œufs, un par un, en battant bien après chaque ajout jusqu'à ce que le tout soit bien mélangé. Ne battez pas trop, car cela ferait cailler le mélange. Tamisez la farine, la maïzena, la levure chimique et le cacao en poudre dans une passoire posée sur une assiette. Ajoutez le babeurre avec le colorant alimentaire et mélangez. Le mélange doit être bien rouge ; ajoutez-en si nécessaire. Tamisez un tiers des ingrédients secs dans le mélange beurre-œufs et incorporez jusqu'à ce que le tout soit bien mélangé, puis versez un tiers du mélange babeurre et mélangez jusqu'à ce que le tout soit bien mélangé. Continuez en mélangeant un tiers à la fois, jusqu'à ce que les deux soient bien incorporés. Dans un autre bol propre, montez les blancs en neige ferme avec le sel. Ajoutez 1/3 à la pâte et mélangez. Ajoutez les blancs d'œufs restants en trois étapes, en les incorporant délicatement à l'aide d'une spatule jusqu'à ce qu'ils soient juste incorporés, sans trop chasser l'air des blancs d'œufs. Dans un petit bol, mélangez le vinaigre et le bicarbonate de soude jusqu'à ce qu'il bouillonne, puis incorporez délicatement le tout à la pâte. Versez rapidement la pâte dans le moule préparé et lissez le dessus. Faites cuire au four pendant 25 à 30 minutes ou jusqu'à ce qu'une brochette insérée au milieu en ressorte propre. Laissez reposer le gâteau dans le moule 15 minutes, puis retirez-le délicatement du moule et laissez-le refroidir complètement. Pour le glaçage, fouettez la crème épaisse avec 1/4 tasse de sucre glace jusqu'à formation de pics fermes. Fouettez le fromage à la crème avec le reste du sucre glace dans un bol séparé jusqu'à consistance lisse. Incorporez la crème fouettée et le fromage à la crème ensemble. Et maintenant, pour assembler le gâteau Red Velvet, coupez le gâteau en trois parties égales. Coupez ces tranches de la même taille que le diamètre du verre utilisé pour servir. Disposez le gâteau comme couche inférieure dans le verre. Déposez le glaçage uniformément sur le gâteau. Placez les tranches de gâteau suivantes et répétez l'opération avec le glaçage. Garnissez le gâteau Red Velvet de quelques miettes de gâteau et servez. Remarque : au lieu de couches, vous pouvez même émietter le gâteau et le superposer dans le verre.</t>
  </si>
  <si>
    <t>http://www.archanaskitchen.com/red-velvet-cake-recipe</t>
  </si>
  <si>
    <t>Cream Cheese Scrambled Eggs Recipe</t>
  </si>
  <si>
    <t>Rezept für Rührei mit Frischkäse</t>
  </si>
  <si>
    <t>Recette d'œufs brouillés au fromage frais</t>
  </si>
  <si>
    <t>Receta de huevos revueltos con queso crema</t>
  </si>
  <si>
    <t>3 œufs entiers, 2 oignons finement hachés, 2 piments verts finement hachés, 1 poivron vert finement haché, 2 cuillères à soupe de fromage à tartiner Britannia's Classic Cheese Spreadz, sel au goût, poivre noir en poudre pour l'assaisonnement, huile de tournesol pour la cuisson</t>
  </si>
  <si>
    <t>3 Whole Eggs,2 Onions - finely chopped,2 Green Chillies - finely chopped,1 Green Bell Pepper (Capsicum) - finely chopped,2 tablespoons Cheese spread - Britannia's Classic Cheese Spreadz,Salt - to taste,Black pepper powder - for seasoning,Sunflower Oil - for cooking</t>
  </si>
  <si>
    <t>3 huevos enteros, 2 cebollas finamente picadas, 2 chiles verdes finamente picados, 1 pimiento verde (Capsicum) finamente picado, 2 cucharadas de queso para untar (Britannia's Classic Cheese Spreadz), sal al gusto, pimienta negra en polvo para condimentar, aceite de girasol para cocinar.</t>
  </si>
  <si>
    <t xml:space="preserve">To begin making the Cream Cheese Scrambled Eggs Recipe, whisk the eggs along with the salt until light and fluffy.Heat oil in a skillet, add the onions and saute them on low to medium heat until they become caramelized.Once the onions are browned well, add the capsicum and green chilies and saute until the capsicum becomes tender. Now add the beaten eggs and stir. Allow the eggs to get scrambled. Stir in the cheese spread and turn off the heat. Check the salt to taste and adjust accordinglyServe the Cream Cheese Scrambled Eggs along with a toasted bread and a glass of orange juice for breakfast or even as a high protein snack for kids.
</t>
  </si>
  <si>
    <t>Para empezar a preparar la receta de huevos revueltos con queso crema, bate los huevos con la sal hasta que estén ligeros y esponjosos. Calienta el aceite en una sartén, añade las cebollas y saltéalas a fuego lento o medio hasta que se caramelicen. Una vez que las cebollas estén bien doradas, añade el pimiento morrón y los chiles verdes y saltea hasta que el pimiento esté tierno. Ahora añade los huevos batidos y revuelve. Deja que los huevos se revuelvan. Incorpora el queso para untar y apaga el fuego. Rectifica la sal al gusto y ajusta según corresponda. Sirve los huevos revueltos con queso crema junto con un pan tostado y un vaso de zumo de naranja para el desayuno o incluso como una merienda rica en proteínas para los niños.</t>
  </si>
  <si>
    <t>Pour commencer à préparer la recette d'œufs brouillés au fromage frais, fouettez les œufs avec le sel jusqu'à obtenir une consistance légère et mousseuse. Faites chauffer l'huile dans une poêle, ajoutez les oignons et faites-les revenir à feu doux à moyen jusqu'à ce qu'ils soient caramélisés. Une fois les oignons bien dorés, ajoutez le poivron et les piments verts et faites revenir jusqu'à ce que le poivron soit tendre. Ajoutez ensuite les œufs battus et remuez. Laissez les œufs brouillés. Incorporez le fromage à tartiner et éteignez le feu. Vérifiez le sel à votre goût et ajustez en conséquence. Servez les œufs brouillés au fromage frais avec du pain grillé et un verre de jus d'orange au petit-déjeuner ou même comme collation riche en protéines pour les enfants.</t>
  </si>
  <si>
    <t>http://www.archanaskitchen.com/cream-cheese-scrambled-eggs-recipe</t>
  </si>
  <si>
    <t>Zoodles Salad Recipe - Zucchini Noodles</t>
  </si>
  <si>
    <t>Zoodles-Salat-Rezept – Zucchini-Nudeln</t>
  </si>
  <si>
    <t>Recette de salade de zoodles – Nouilles de courgettes</t>
  </si>
  <si>
    <t>Receta de ensalada de zoodles: fideos de calabacín</t>
  </si>
  <si>
    <t>1 courgette verte, 1 cuillère à soupe d'huile d'olive extra vierge, sel - au goût, 1 cuillère à café de poudre de poivre noir, 1 cuillère à café de jus de citron, feuilles de basilic - une poignée, 5 tomates cerises - coupées en deux</t>
  </si>
  <si>
    <t>1 Green zucchini,1 tablespoon Extra Virgin Olive Oil,Salt - to taste,1 teaspoon Black pepper powder,1 teaspoon Lemon juice,Basil leaves - a handful,5 Cherry tomatoes - cut into halves</t>
  </si>
  <si>
    <t>1 calabacín verde, 1 cucharada de aceite de oliva virgen extra, sal - al gusto, 1 cucharadita de pimienta negra en polvo, 1 cucharadita de jugo de limón, hojas de albahaca - un puñado, 5 tomates cherry - cortados en mitades</t>
  </si>
  <si>
    <t xml:space="preserve">To begin making the Zoodles Salad, take one zucchini, chop both the ends. Place it in the spiralizer, in between the spiked handle and the end of the blade.Then by spinning the handle you get noodles of Zucchini.If not using the spiralizer,  cut thin slices of zucchini lengthwise and then cut them into thin long julienne to get your desired shape.Heat a pan, on medium flame, add olive oil, mixed herbs, salt and pepper, tomatoes and basil leaves.Toss the zoodles for a couple of minutes till cooked through but still el dente. Turn off the heat. Squeeze fresh lemon juice over the zoodles.Transfer Zoodles Salad into a serving bowl and serve warm or cold.Serve the Zoodles Salad along with Potato Spinach Roulade Recipe With Parmesan Cheese &amp; Herbed Butter Sauce  or Chicken in Lemon Butter Sauce Recipe for weekend lunch or dinner.
</t>
  </si>
  <si>
    <t>Para empezar a preparar la ensalada de zoodles, toma un calabacín y córtalo por ambos extremos. Colócalo en el espiralizador, entre el mango con púas y el extremo de la cuchilla. Luego, al girar el mango, obtienes fideos de calabacín. Si no usas el espiralizador, corta rodajas finas de calabacín a lo largo y luego córtalas en juliana fina y larga para obtener la forma deseada. Calienta una sartén a fuego medio, agrega aceite de oliva, hierbas mixtas, sal y pimienta, tomates y hojas de albahaca. Revuelve los zoodles durante un par de minutos hasta que estén cocidos pero aún al dente. Apaga el fuego. Exprime jugo de limón fresco sobre los zoodles. Transfiere la ensalada de zoodles a un tazón para servir y sirve caliente o fría. Sirve la ensalada de zoodles junto con la receta de arrollado de espinacas y patata con queso parmesano y salsa de mantequilla con hierbas o la receta de pollo en salsa de mantequilla y limón para el almuerzo o la cena del fin de semana.</t>
  </si>
  <si>
    <t>Pour commencer à préparer la salade de zucchinis, prenez une courgette, coupez les deux extrémités. Placez-la dans le spiraliseur, entre le manche pointu et l'extrémité de la lame. Ensuite, en tournant le manche, vous obtenez des nouilles de courgettes. Si vous n'utilisez pas le spiraliseur, coupez de fines tranches de courgettes dans le sens de la longueur, puis coupez-les en julienne fine et longue pour obtenir la forme souhaitée. Faites chauffer une poêle à feu moyen, ajoutez l'huile d'olive, les herbes mélangées, le sel et le poivre, les tomates et les feuilles de basilic. Remuez les zoodles pendant quelques minutes jusqu'à ce qu'ils soient bien cuits mais encore al dente. Éteignez le feu. Pressez du jus de citron frais sur les zoodles. Transférez la salade de zoodles dans un bol de service et servez tiède ou froid. Servez la salade de zoodles avec la recette de roulade de pommes de terre aux épinards avec parmesan et sauce au beurre aux herbes ou la recette de poulet à la sauce au beurre citronné pour le déjeuner ou le dîner du week-end.</t>
  </si>
  <si>
    <t>http://www.archanaskitchen.com/zoodles-zucchini-noodles-recipe</t>
  </si>
  <si>
    <t>Apple Pancake Mess Recipe</t>
  </si>
  <si>
    <t>Rezept für Apfelpfannkuchen-Chaos</t>
  </si>
  <si>
    <t>Recette du chaos des crêpes aux pommes</t>
  </si>
  <si>
    <t>Receta de panqueques de manzana caóticos</t>
  </si>
  <si>
    <t>2 pommes, 2 cuillères à soupe de beurre (non salé), 1/2 cuillère à soupe de cannelle en poudre (Dalchini), 2 cuillères à soupe de cassonade (sucre Demerara), 2 cuillères à soupe de caillé (Dahi / Yaourt), 1 cuillère à soupe de graines de chia, 1 cuillère à soupe de noix de coco fraîche - râpée, 1 cuillère à soupe de noyaux de grenade frais, 1 tasse de farine tout usage (Maida), 2 cuillères à soupe de sucre, 2 cuillères à café de levure chimique, 1 tasse de lait, sel - une pincée, 3 cuillères à soupe de beurre - fondu, 1 œuf entier</t>
  </si>
  <si>
    <t>2 Apple,2 Tablespoon Butter (unsalted),1/2 Tablespoon Cinnamon Powder (Dalchini),2 Tablespoon Brown Sugar (Demerara Sugar),2 Tablespoon Curd (Dahi / Yogurt),1 Tablespoon Chia Seeds,1 Tablespoon Fresh coconut - grated,1 tablespoon Fresh Pomegranate Fruit Kernels,1 Cup All Purpose Flour (Maida),2 tablespoons Sugar,2 teaspoons Baking powder,1 Cup Milk,Salt - a pinch,3 tablespoons Butter - melted,1 Whole Egg</t>
  </si>
  <si>
    <t>2 manzanas, 2 cucharadas de mantequilla (sin sal), 1/2 cucharada de canela en polvo (dalchini), 2 cucharadas de azúcar morena (azúcar demerara), 2 cucharadas de cuajada (dahi/yogur), 1 cucharada de semillas de chía, 1 cucharada de coco fresco rallado, 1 cucharada de semillas de granada fresca, 1 taza de harina para todo uso (maida), 2 cucharadas de azúcar, 2 cucharaditas de levadura en polvo, 1 taza de leche, sal - una pizca, 3 cucharadas de mantequilla derretida, 1 huevo entero</t>
  </si>
  <si>
    <t xml:space="preserve">To begin making Apple Pancake Mess Recipe, firstly prepare the pancakes.In order to make the pancakes, take a mixing bowl, crack open eggs and sugar. Beat till it turns light fluffy.Add in milk and beat well. Add in melted butter and mix well.Add in flour, salt, baking powder and mix gently.Once it is combined. Set aside for a minute.Heat a nonstick pan. Once it is hot, pour batter in the middle and let it spread and make sure it covers the whole pan.Cook this on medium high heat till small bubbles form on top. Now flip over and cook for few more seconds till it becomes golden.These pancakes should be thin as keep them warm in a kitchen towel until your start plating.Slice Apples into thin pieces.In a large skillet, heat the butter until bubbling. Add the apple wedges to the skillet and cook over medium high heat for approximately 4-5 minutes or until tender and beginning to brown.Turn several times to brown evenly. Add powdered cinnamon and brown sugar and continue to cook until the syrup starts to caramelize. Add sea salt and turn off the heat.Now tear the pancakes into thin strips using your hands and start plating.You have a make a layer a layer of pancake strips followed by caramalized apples.Repeat the process until you consume all the strips and apples.In the end, sprinkle chia seeds, pomegranate, coconut flakes and then add dollops of yogurt. Enjoy !Serve Apple Pancake Mess Recipe along with a healthy smoothie like Peanut Butter Oats &amp; Banana Smoothie Recipe for breakfast.
</t>
  </si>
  <si>
    <t>Para preparar la receta de Panqueques de Manzana, primero prepara los panqueques. Para prepararlos, toma un tazón, rompe los huevos y añade el azúcar. Bate hasta que la mezcla esté ligera y esponjosa. Agrega la leche y bate bien. Agrega la mantequilla derretida y mezcla bien. Agrega la harina, la sal y la levadura en polvo y mezcla suavemente. Una vez integrados, reserva un minuto. Calienta una sartén antiadherente. Una vez caliente, vierte la masa en el centro y deja que se extienda, asegurándote de que cubra toda la sartén. Cocina a fuego medio-alto hasta que se formen pequeñas burbujas en la superficie. Ahora, voltea y cocina unos segundos más hasta que se doren. Estos panqueques deben ser finos, así que mantenlos calientes en un paño de cocina hasta que comiences a emplatarlos. Corta las manzanas en rodajas finas. En una sartén grande, calienta la mantequilla hasta que burbujee. Agrega los gajos de manzana a la sartén y cocina a fuego medio-alto durante aproximadamente 4-5 minutos o hasta que estén tiernos y comiencen a dorarse. Voltéalos varias veces para que se doren uniformemente. Añade canela en polvo y azúcar morena y continúa cocinando hasta que el jarabe comience a caramelizarse. Agrega sal marina y apaga el fuego. Ahora, corta los panqueques en tiras finas con las manos y comienza a emplatar. Tienes que hacer una capa de tiras de panqueque seguidas de manzanas caramelizadas. Repite el proceso hasta consumir todas las tiras y manzanas. Al final, espolvorea semillas de chía, granada, coco rallado y luego agrega cucharadas de yogur. ¡Disfruta! Sirve la Receta de Panqueques de Manzana Lío junto con un batido saludable como la Receta de Batido de Avena con Mantequilla de Cacahuete y Plátano para el desayuno.</t>
  </si>
  <si>
    <t>Pour préparer la recette de pancakes aux pommes, commencez par préparer les pancakes. Pour cela, prenez un saladier, cassez les œufs et le sucre. Battez jusqu'à obtenir une consistance légère et mousseuse. Ajoutez le lait et battez bien. Ajoutez le beurre fondu et mélangez bien. Ajoutez la farine, le sel et la levure chimique et mélangez délicatement. Une fois le mélange homogène, réservez une minute. Faites chauffer une poêle antiadhésive. Versez la pâte au centre et étalez-la bien pour bien la recouvrir. Faites cuire à feu moyen-vif jusqu'à ce que de petites bulles se forment sur le dessus. Retournez-les et laissez-les dorer quelques secondes. Ces pancakes doivent être fins : gardez-les au chaud dans un torchon jusqu'au moment de les dresser. Coupez les pommes en fines lamelles. Dans une grande poêle, faites chauffer le beurre jusqu'à ce qu'il bouillonne. Ajoutez les quartiers de pommes et faites-les cuire à feu moyen-vif pendant environ 4 à 5 minutes, jusqu'à ce qu'ils soient tendres et commencent à dorer. Retournez-les plusieurs fois pour les faire dorer uniformément. Ajoutez la cannelle en poudre et la cassonade et poursuivez la cuisson jusqu'à ce que le sirop commence à caraméliser. Ajoutez du sel de mer et éteignez le feu. Déchirez ensuite les crêpes en fines lamelles à la main et dressez-les. Vous devez former une couche de lamelles de crêpes, puis ajouter les pommes caramélisées. Répétez l'opération jusqu'à ce que vous ayez consommé toutes les lamelles et les pommes. Enfin, saupoudrez de graines de chia, de grenade, de flocons de noix de coco, puis ajoutez quelques cuillerées de yaourt. Bon appétit ! Servez la recette de crêpes aux pommes avec un smoothie sain comme le smoothie au beurre de cacahuète, à l'avoine et à la banane pour le petit-déjeuner.</t>
  </si>
  <si>
    <t>http://www.archanaskitchen.com/apple-pancake-mess-recipe</t>
  </si>
  <si>
    <t>French Onion Tart Recipe</t>
  </si>
  <si>
    <t>Rezept für französische Zwiebeltarte</t>
  </si>
  <si>
    <t>Recette de tarte à l'oignon française</t>
  </si>
  <si>
    <t>Receta de tarta de cebolla francesa</t>
  </si>
  <si>
    <t>750 grammes d'oignon rouge - finement tranché, 2 cuillères à soupe de vinaigre balsamique, 1 cuillère à soupe de sucre, sel - une pincée ou deux (ajuster), feuilles de thym frais - quelques brins, 1 citron - pressé, 2 cuillères à soupe de beurre (non salé), 2 tasses de farine tout usage (Maida), 150 grammes de beurre réfrigéré - en cubes, sel - au goût, 1 cuillère à soupe de sucre, 1/2 tasse d'eau réfrigérée</t>
  </si>
  <si>
    <t>750 grams Red onion - thin sliced,2 tablespoons Balsamic Vinegar,1 tablespoon Sugar,Salt - a pinch or two (adjust),Fresh Thyme leaves - few sprigs,1 Lemon - juiced,2 tablespoons Butter (unsalted),2 cups All Purpose Flour (Maida),150 grams Chilled butter - cubed,Salt - to taste,1 tablespoon Sugar,1/2 cup Chilled water</t>
  </si>
  <si>
    <t>750 gramos de cebolla roja - cortada en rodajas finas, 2 cucharadas de vinagre balsámico, 1 cucharada de azúcar, sal - una pizca o dos (ajustar), hojas de tomillo fresco - algunas ramitas, 1 limón - jugo, 2 cucharadas de mantequilla (sin sal), 2 tazas de harina para todo uso (Maida), 150 gramos de mantequilla fría - cortada en cubos, sal - al gusto, 1 cucharada de azúcar, 1/2 taza de agua fría</t>
  </si>
  <si>
    <t xml:space="preserve">To begin making French Onion Tart Recipe, make pastry dough first. Add flour, salt, sugar  and butter cubes into a wide bowl. Using your fingertips break all the butter cubes and rub it with flour. Add chilled water little at a time and knead to make a smooth dough.Roll the dough and cover it with cling wrap and place it in fridge for about 1 hour.To make caramelized onions, heat butter in a wide pan. Add thin sliced onions into the pan and sweat the onions. Add salt and sugar, cook until onions are nice softened and browned evenly.Add balsamic vinegar, lime juice and thyme; increase heat to high; boil for 2--3 minutes to reduce, stirring occasionally.Take off the heat and set aside to cool.To prepare the tart preheat the oven to 200 degrees centigrade and line a tart sheet pan with parchment paper.Remove pastry from refrigerator and allow it to come to room temperature for 10 minutes. Divide the dough into equal portions and roll the dough to about 2-3 mm thick.Place the dough on the prepared sheet pan and trim the edges. Refrigerate again for 10 minutes.Fill a parchment sheet with uncooked beans (This is only to avoid the tart to puff up and later the uncooked beans are removed and are not the part of the recipe). Place it over the tart dough that will be baked.Pop this into an own and bake for about 10 minutes or until you see brown spots on the tart.Remove the uncooked beans parchment filling, and fill it with caramelized onions, sprinkle some more salt and pepper powder over the top and sprinkle some thyme leaves.Bake in oven for about 15 minutes.Serve French Onion Tart Recipe along with tomato ketchup.
</t>
  </si>
  <si>
    <t>Para comenzar a hacer la receta de tarta de cebolla francesa, primero haga la masa de hojaldre. Agregue harina, sal, azúcar y cubos de mantequilla en un tazón ancho. Con las yemas de los dedos, rompa todos los cubos de mantequilla y frótelos con harina. Agregue agua fría poco a poco y amase para hacer una masa suave. Estire la masa, cúbrala con film transparente y colóquela en el refrigerador durante aproximadamente 1 hora. Para hacer cebollas caramelizadas, caliente la mantequilla en una sartén ancha. Agregue cebollas en rodajas finas a la sartén y sude las cebollas. Agregue sal y azúcar, cocine hasta que las cebollas estén bien suaves y doradas de manera uniforme. Agregue vinagre balsámico, jugo de lima y tomillo; aumente el fuego a alto; hierva durante 2-3 minutos para reducir, revolviendo ocasionalmente. Retire del fuego y deje enfriar. Para preparar la tarta, precaliente el horno a 200 grados centígrados y cubra una bandeja para tartas con papel pergamino. Retire la masa del refrigerador y deje que alcance la temperatura ambiente durante 10 minutos. Divida la masa en porciones iguales y extiéndala hasta que tenga un grosor de 2-3 mm. Coloque la masa en la bandeja para hornear preparada y recorte los bordes. Refrigere de nuevo durante 10 minutos. Rellene una hoja de papel pergamino con frijoles crudos (esto es solo para evitar que la tarta se hinche y luego retire los frijoles crudos y no formen parte de la receta). Colóquela sobre la masa de tarta que se horneará. Coloque esto en una bandeja para hornear y hornee durante unos 10 minutos o hasta que vea manchas marrones en la tarta. Retire el relleno de frijoles crudos del pergamino y rellénelo con cebollas caramelizadas, espolvoree un poco más de sal y pimienta en polvo por encima y espolvoree algunas hojas de tomillo. Hornee en el horno durante unos 15 minutos. Sirva la receta de tarta de cebolla francesa junto con kétchup de tomate.</t>
  </si>
  <si>
    <t>Pour commencer à préparer la recette de tarte à l'oignon française, préparez d'abord la pâte feuilletée. Ajoutez la farine, le sel, le sucre et les cubes de beurre dans un grand bol. Du bout des doigts, cassez tous les cubes de beurre et frottez-les avec de la farine. Ajoutez de l'eau froide petit à petit et pétrissez pour obtenir une pâte lisse. Roulez la pâte, couvrez-la d'un film alimentaire et placez-la au réfrigérateur pendant environ 1 heure. Pour faire des oignons caramélisés, faites chauffer le beurre dans une grande poêle. Ajoutez les oignons finement émincés dans la poêle et faites suer les oignons. Ajoutez le sel et le sucre, faites cuire jusqu'à ce que les oignons soient bien ramollis et dorés uniformément. Ajoutez le vinaigre balsamique, le jus de citron vert et le thym ; augmentez le feu à vif ; faites bouillir pendant 2 à 3 minutes pour réduire, en remuant de temps en temps. Retirez du feu et laissez refroidir. Pour préparer la tarte, préchauffez le four à 200 degrés centigrades et tapissez une plaque à tarte de papier sulfurisé. Retirez la pâte du réfrigérateur et laissez-la revenir à température ambiante pendant 10 minutes. Divisez la pâte en portions égales et étalez-la sur une épaisseur d'environ 2 à 3 mm. Placez la pâte sur la plaque préparée et coupez les bords. Réfrigérez à nouveau pendant 10 minutes. Remplissez une feuille de papier sulfurisé de haricots crus (ceci sert uniquement à éviter que la tarte ne gonfle. Plus tard, les haricots crus sont retirés et ne font pas partie de la recette). Placez-la sur la pâte à tarte qui sera cuite. Mettez-la dans un plat et faites cuire pendant environ 10 minutes ou jusqu'à ce que vous voyiez des taches brunes sur la tarte. Retirez la garniture de haricots crus et remplissez-la d'oignons caramélisés, saupoudrez d'un peu plus de sel et de poivre en poudre sur le dessus et parsemez de quelques feuilles de thym. Faites cuire au four pendant environ 15 minutes. Servez la recette de tarte à l'oignon française avec du ketchup.</t>
  </si>
  <si>
    <t>http://www.archanaskitchen.com/french-onion-tart-recipe</t>
  </si>
  <si>
    <t>Garlic And Mushroom Soup Recipe</t>
  </si>
  <si>
    <t>Rezept für Knoblauch-Pilz-Suppe</t>
  </si>
  <si>
    <t>Recette de soupe aux champignons et à l'ail</t>
  </si>
  <si>
    <t>Receta de sopa de champiñones y ajo</t>
  </si>
  <si>
    <t>200 grammes de champignons de Paris, 7 gousses d'ail finement hachées, 1 poireau nettoyé et finement haché, 1 litre de bouillon de légumes, 3 brins de feuilles de thym frais, 2 cuillères à soupe d'huile d'olive extra vierge, 2 tranches de pain complet, 3 champignons de Paris hachés, 1 tomate hachée, 1 oignon haché, sel et poivre selon votre goût, 1 cuillère à soupe d'huile d'olive extra vierge, une poignée de feuilles de persil, 2 quartiers de citron</t>
  </si>
  <si>
    <t>200 grams Button mushrooms,7 cloves Garlic - finely chopped,1 Leek - cleaned and finely chopped,1 liter Vegetable stock,3 sprig Fresh Thyme leaves,2 tablespoon Extra Virgin Olive Oil,2 Whole Wheat Brown Bread - (slices),3 Button mushrooms - chopped,1 Tomato - chopped,1 Onion - chopped,Salt and Pepper - as per taste,1 tablespoon Extra Virgin Olive Oil,Parsley leaves - A fistful,2 Lemon wedges</t>
  </si>
  <si>
    <t>200 gramos de champiñones, 7 dientes de ajo finamente picados, 1 puerro limpio y finamente picado, 1 litro de caldo de verduras, 3 ramitas de tomillo fresco, 2 cucharadas de aceite de oliva virgen extra, 2 rebanadas de pan integral (rebanadas), 3 champiñones picados, 1 tomate picado, 1 cebolla picada, sal y pimienta al gusto, 1 cucharada de aceite de oliva virgen extra, un puñado de hojas de perejil, 2 rodajas de limón</t>
  </si>
  <si>
    <t xml:space="preserve">To begin making the Garlic and Mushroom Soup Recipe, we will first clean, wash and chop the button mushrooms.Finely chop the garlic and fresh thyme leaves. Set aside.In a saucepan heat 2 tablespoon olive oil; add in chopped garlic and thyme, saute for about a minute until you get the flavors of the garlic. Dont over brown the garlic.Add chopped leek and saute for another 2 - 3 minutes until leeks turn tender and translucent.Finally add in the chopped mushroom and start sauteeing over medium high heat until the mushrooms become soft and cooked. This process takes about 5 to 10 minutes. Saute the mushrooms until most of the moisture is evaporated.Add in the salt and pepper to taste and add hot vegetable stock to the above mushrooms garlic, leek mixture. Once the mixture cools a bit, blend using a blender or a hand mixer until you get a smooth soup like consistency.Give the Garlic and Mushroom Soup a quick boil just before you are ready to serve. Check the salt and pepper levels and adjust to suit your taste.Method to make the Grilled Toast Topped with MushroomsMeanwhile grill toast in the oven or toaster. Once grilled cut slices into triangles.For the topping, heat olive oil in a frying pan. Saute the chopped onion until tender and lightly browned. Add in the chopped tomato, mushroom, salt and pepper. Mix well and stir fry for a couple of minutes on high heat just so all of them get cooked just a bit.Dont over cook them, as the tomatoes and the mushrooms will release a lot of water and you will have to cook a lot more to evaporate its liquids if that happens.To serve the Garlic and Mushroom Soup, pour a ladle of soup in serving bowl and place the grilled toast topped with mushroom topping by the side.Sprinkle chopped parsley over soup and toast, squeeze lemon juice on topping. Serve hot.If you like mascorpone cheese than a dollop of it can be added to the soup before serving, making it creamy and deliciousYou can also serve the Garlic and Mushroom Soup along with grilled toast topped with sauteed Mushrooms, along with a bread like Muesli Pumpkin Bread Recipe or Roasted Apple, Onions and Cheese Focaccia Recipe that makes a perfect weeknight dinner.
</t>
  </si>
  <si>
    <t>Para preparar la receta de sopa de ajo y champiñones, primero limpiamos, lavamos y picamos los champiñones. Picamos finamente el ajo y las hojas de tomillo fresco. Reservamos. En una cacerola, calentamos 2 cucharadas de aceite de oliva; añadimos el ajo y el tomillo picados y sofreímos durante un minuto aproximadamente hasta que el ajo se impregne del sabor. No doremos demasiado el ajo. Añadimos el puerro picado y sofreímos durante 2 o 3 minutos más, hasta que los puerros estén tiernos y translúcidos. Finalmente, añadimos los champiñones picados y sofreímos a fuego medio-alto hasta que estén blandos y cocidos. Este proceso dura entre 5 y 10 minutos. Salteamos los champiñones hasta que se evapore la mayor parte de la humedad. Salpimentamos al gusto y añadimos caldo de verduras caliente a la mezcla de champiñones, ajo y puerro. Una vez que la mezcla se enfríe un poco, trituramos con una batidora o batidora de mano hasta obtener una consistencia suave. Hervimos la sopa de ajo y champiñones justo antes de servir. Revisa el punto de sal y pimienta y ajústalo a tu gusto. Preparación de la Tostada a la Parrilla con Champiñones: Mientras tanto, asa la tostada en el horno o tostadora. Una vez asada, corta las rebanadas en triángulos. Para la cobertura, calienta aceite de oliva en una sartén. Sofríe la cebolla picada hasta que esté tierna y ligeramente dorada. Agrega el tomate picado, los champiñones, la sal y la pimienta. Mezcla bien y saltea durante un par de minutos a fuego alto, solo para que se cocinen un poco. No los cocines demasiado, ya que los tomates y los champiñones soltarán mucha agua y tendrás que cocinarlos mucho más para que se evaporen. Para servir la Sopa de Ajo y Champiñones, vierte un cucharón de sopa en un tazón y coloca la tostada a la parrilla con la cobertura de champiñones a un lado. Espolvorea perejil picado sobre la sopa y la tostada, y exprime jugo de limón sobre la cobertura. Sirva caliente. Si le gusta el queso mascorpone, puede agregar una cucharada a la sopa antes de servirla, lo que la hará cremosa y deliciosa. También puede servir la sopa de ajo y champiñones con tostadas a la parrilla cubiertas con champiñones salteados, junto con un pan como la receta de pan de calabaza con muesli o la receta de focaccia de manzana asada, cebolla y queso, que es una cena perfecta entre semana.</t>
  </si>
  <si>
    <t>Pour préparer la soupe à l'ail et aux champignons, commencez par nettoyer, laver et émincer les champignons de Paris. Hachez finement l'ail et les feuilles de thym frais. Réservez. Dans une casserole, faites chauffer 2 cuillères à soupe d'huile d'olive ; ajoutez l'ail et le thym hachés et faites revenir environ une minute jusqu'à ce que l'ail se parfume. Veillez à ne pas trop colorer l'ail. Ajoutez le poireau haché et faites revenir 2 à 3 minutes supplémentaires, jusqu'à ce qu'il soit tendre et translucide. Ajoutez enfin les champignons hachés et faites revenir à feu moyen-vif jusqu'à ce qu'ils soient tendres et cuits. Comptez 5 à 10 minutes. Faites revenir les champignons jusqu'à ce qu'ils soient presque entièrement évaporés. Salez et poivrez à votre goût, puis ajoutez le bouillon de légumes chaud au mélange champignons-ail-poireaux. Une fois le mélange refroidi, mixez au mixeur plongeant jusqu'à obtenir une consistance lisse. Portez la soupe à ébullition juste avant de servir. Vérifiez les quantités de sel et de poivre et ajustez à votre goût. Préparation du toast grillé aux champignons : Pendant ce temps, faites griller le toast au four ou au grille-pain. Une fois grillé, coupez les tranches en triangles. Pour la garniture, faites chauffer l'huile d'olive dans une poêle. Faites revenir l'oignon haché jusqu'à ce qu'il soit tendre et légèrement doré. Ajoutez les tomates et les champignons coupés en dés, salez et poivrez. Mélangez bien et faites revenir quelques minutes à feu vif pour que le tout soit légèrement cuit. Ne les faites pas trop cuire, car les tomates et les champignons rendront beaucoup d'eau et vous devrez poursuivre la cuisson pour que leur liquide s'évapore. Pour servir la soupe à l'ail et aux champignons, versez une louche de soupe dans un bol et disposez le toast grillé garni de champignons à côté. Parsemez de persil haché sur la soupe et le toast, et pressez le jus de citron sur la garniture. Servez chaud. Si vous aimez le mascorpone, vous pouvez en ajouter une cuillerée à la soupe avant de servir, la rendant crémeuse et délicieuse. Vous pouvez également servir la soupe à l'ail et aux champignons avec du pain grillé garni de champignons sautés, ainsi qu'un pain comme la recette de pain à la citrouille et au muesli ou la recette de focaccia aux pommes rôties, aux oignons et au fromage, qui constitue un dîner parfait en semaine.</t>
  </si>
  <si>
    <t>https://www.archanaskitchen.com/garlic-and-mushroom-soup-recipe</t>
  </si>
  <si>
    <t>Millet Cottage Cheese Fritters Recipe-Flavored With  Za'atar,</t>
  </si>
  <si>
    <t>Rezept für Hirse-Hüttenkäse-Krapfen – gewürzt mit Za'atar,</t>
  </si>
  <si>
    <t>Recette de beignets de millet et de fromage blanc – assaisonnés au zaatar,</t>
  </si>
  <si>
    <t>Receta de buñuelos de mijo y requesón, condimentados con zaatar,</t>
  </si>
  <si>
    <t>8 tranches de pain complet, beurre pour graisser les pains, 200 grammes de paneer (fromage cottage fait maison) émietté, 60 ml de millet queue de renard cuit (donne 250 ml de millet cuit), 2 brins de coriandre (Dhania), zaatar au goût, sel au goût, graines de sésame (Til) à rouler</t>
  </si>
  <si>
    <t>8 Whole Wheat Brown Bread - slices,Butter - for greasing the breads,200 grams Paneer (Homemade Cottage Cheese) - crumbled,1/4 cup Foxtail Millet - cooked (yields 1 cup of cooked millet ),2 sprig Coriander (Dhania) Leaves,Za'atar - to taste,Salt - to taste,Sesame seeds (Til seeds) - to roll</t>
  </si>
  <si>
    <t>8 rebanadas de pan integral, mantequilla para engrasar los panes, 200 gramos de paneer (requesón casero) desmenuzado, 1/4 taza de mijo de cola de zorra cocido (rinde 1 taza de mijo cocido), 2 ramitas de hojas de cilantro (Dhania), za'atar al gusto, sal al gusto, semillas de sésamo (semillas de Til) para enrollar</t>
  </si>
  <si>
    <t xml:space="preserve">To begin making the Millet Cottage Cheese Rolls, Preheat the oven to 200 C and grease a baking sheet with butter.We will first cook the millets with 3/4 cup of water until soft and mushy. The millets should have absorbed all the water. If there is any excess water, drain in and you could use it for soups.NOTE: Millets are like lentils or broken wheat and you have to cook them in a similar way. In a large mixing bowl, combine all the ingredients together and stir well to bring them all together. Keep the millet cheese filling aside.Using a rolling pin roll the bread slice to stretch it a bit this we do so we can roll the bread and its filling with ease. Place a spoon of the millet cheese mixture in the center, wet the edges with a little water and roll it up tightly. Press and seal the edges and cut the excess away.  Place the millet and cheese rolls on the greased baking sheet. Proceed the same way with the remaining slices of bread.To get crusty top  dip the rolls in the melted butter, then roll this over the zaatar spice mix. Proceed the same way with the remaining rolls and place them on a greased baking sheet.Place the rolls in the preheated oven and bake for about 15 to 20 minutes until the crust turns golden brown in color. Place the delicious Millet Cottage Cheese Rolls on a party platte and serve along with date sauce or a strawberry chutney.Serve the Baked Millet Cottage Cheese Fritters as Party Appetizer for any Special Occasion.
</t>
  </si>
  <si>
    <t>Para comenzar a hacer los rollos de requesón y mijo, precalienta el horno a 200 C y engrasa una bandeja para hornear con mantequilla. Primero cocinaremos los mijos con 3/4 de taza de agua hasta que estén suaves y blandos. Los mijos deberían haber absorbido toda el agua. Si hay exceso de agua, escúrrelo y puedes usarlo para sopas. NOTA: Los mijos son como las lentejas o el trigo partido y debes cocinarlos de manera similar. En un tazón grande, combina todos los ingredientes y revuelve bien para unirlos. Deja el relleno de queso de mijo a un lado. Usando un rodillo, enrolla la rebanada de pan para estirarla un poco, esto lo hacemos para poder enrollar el pan y su relleno con facilidad. Coloca una cucharada de la mezcla de queso de mijo en el centro, humedece los bordes con un poco de agua y enróllalo firmemente. Presiona y sella los bordes y corta el exceso. Coloca los rollos de mijo y queso en la bandeja para hornear engrasada. Proceda de la misma manera con las rebanadas de pan restantes. Para obtener una superficie crujiente, sumerja los panecillos en la mantequilla derretida y luego páselos por la mezcla de especias zaatar. Proceda de la misma manera con los panecillos restantes y colóquelos en una bandeja para hornear engrasada. Coloque los panecillos en el horno precalentado y hornee durante unos 15 a 20 minutos hasta que la corteza se dore. Coloque los deliciosos rollos de mijo y queso cottage en una bandeja para fiestas y sirva junto con salsa de dátiles o un chutney de fresa. Sirva los buñuelos de mijo y queso cottage horneados como aperitivo para cualquier ocasión especial.</t>
  </si>
  <si>
    <t>Pour commencer à préparer les petits pains au fromage cottage au millet, préchauffez le four à 200 °C et graissez une plaque à pâtisserie avec du beurre. Nous allons d'abord cuire les millets avec 3/4 tasse d'eau jusqu'à ce qu'ils soient tendres et pâteux. Les millets devraient avoir absorbé toute l'eau. S'il y a un excès d'eau, égouttez-le et vous pourrez l'utiliser pour les soupes. REMARQUE : Les millets sont comme les lentilles ou le blé brisé et vous devez les cuire de la même manière. Dans un grand bol, mélanger tous les ingrédients et bien mélanger pour les rassembler. Gardez la garniture au fromage de millet de côté. À l'aide d'un rouleau à pâtisserie, roulez la tranche de pain pour l'étirer un peu, ce qui nous permet de pouvoir rouler le pain et sa garniture facilement. Placez une cuillère du mélange de fromage de millet au centre, mouillez les bords avec un peu d'eau et roulez-le fermement. Appuyez et scellez les bords et coupez l'excédent. Placez les petits pains au millet et au fromage sur la plaque à pâtisserie graissée. Procédez de la même manière avec les tranches de pain restantes. Pour obtenir un dessus croustillant, trempez les petits pains dans le beurre fondu, puis roulez-les sur le mélange d'épices zaatar. Procédez de la même manière avec les petits pains restants et placez-les sur une plaque à pâtisserie graissée. Placez les petits pains dans le four préchauffé et faites cuire pendant environ 15 à 20 minutes jusqu'à ce que la croûte devienne dorée. Placez les délicieux petits pains au fromage cottage au millet sur une assiette de fête et servez avec une sauce aux dattes ou un chutney de fraises. Servez les beignets de fromage cottage au millet cuits au four comme apéritif de fête pour toute occasion spéciale.</t>
  </si>
  <si>
    <t>http://www.archanaskitchen.com/video-recipe-millet-cottage-cheese-rolls-flavored-with-zaatar</t>
  </si>
  <si>
    <t>Pineapple Carpaccio Recipe - Spiced Pineapple Salad with Ginger &amp; Mint</t>
  </si>
  <si>
    <t>Ananas-Carpaccio Rezept - Würziger Ananassalat mit Ingwer &amp; Minze</t>
  </si>
  <si>
    <t>Recette de carpaccio d'ananas - Salade d'ananas épicée au gingembre et à la menthe</t>
  </si>
  <si>
    <t>Receta de carpaccio de piña: ensalada picante de piña con jengibre y menta</t>
  </si>
  <si>
    <t>1 ananas - pelé et finement tranché, 1 pincée de sel de mer - ou de sel ordinaire, 1 brin de feuilles de menthe (Pudina) - pour la garniture, des fruits frais - comme la grenade ou les fraises pour la garniture, 1 cuillère à soupe d'huile d'olive extra vierge, 60 ml de jus d'orange frais, jus de citron - d'un citron, 1 cuillère à soupe de miel, 1 piment rouge sec - finement tranché, 2,5 cm de gingembre - râpé</t>
  </si>
  <si>
    <t>1 Pineapple - peeled and thinly sliced,1 pinch Sea salt - or regular salt,1 sprig Mint Leaves (Pudina) - for garnish,Fresh fruits - like pomegranate or strawberries for topping,1 tablespoon Extra Virgin Olive Oil,60 ml Fresh orange juice,Lemon juice - from one lemon,1 tablespoon Honey,1 Dry Red Chilli - thinly sliced,1 inch Ginger - grated</t>
  </si>
  <si>
    <t>1 piña - pelada y cortada en rodajas finas, 1 pizca de sal marina - o sal común, 1 ramita de hojas de menta (Pudina) - para decorar, frutas frescas - como granada o fresas para cubrir, 1 cucharada de aceite de oliva virgen extra, 60 ml de jugo de naranja fresco, jugo de limón - de un limón, 1 cucharada de miel, 1 chile rojo seco - en rodajas finas, 1 pulgada de jengibre - rallado</t>
  </si>
  <si>
    <t xml:space="preserve">To begin making  the Pineapple Carpaccio, first prepare the dressing for the carpaccio so that flavors of the ingredients get infused nicely into the dressing.Add all the ingredients for dressing in a bottle with the lid. Tightly close the lid and shake the bottle so all the ingredients get well combined. Keep the dressing in the fridge for 3-4 hours or overnight to infuse all the flavors nicely.To assemble the Pineapple Carpaccio, first peel the pineapple skin and cut the pineapple into thin slices. Arrange the pineapple slices on a serving plate.Season the pineapple slices with salt. Bring out the dressing from the fridge, shake it one more time and strain the dressing in a bowl to get rid of red chili slices. Pour the strained dressing over the pineapple slices. Sprinkle seasonal fruits like pomegranate or strawberries over the salad. Garnish with fresh mint leaves and serveServe Pineapple Carpaccio Recipe along with Vegetable Sizzler With Potato Tikki, Mint Rice &amp; Corn and Spinach Sauce for a weeknight dinner.
</t>
  </si>
  <si>
    <t>Para comenzar a hacer el Carpaccio de Piña, primero prepare el aderezo para el carpaccio para que los sabores de los ingredientes se infundan bien en el aderezo. Agregue todos los ingredientes para el aderezo en una botella con tapa. Cierre bien la tapa y agite la botella para que todos los ingredientes se combinen bien. Mantenga el aderezo en el refrigerador durante 3-4 horas o durante la noche para infundir bien todos los sabores. Para armar el Carpaccio de Piña, primero pele la piel de la piña y corte la piña en rodajas finas. Coloque las rodajas de piña en un plato para servir. Sazone las rodajas de piña con sal. Saque el aderezo del refrigerador, agítelo una vez más y cuele el aderezo en un tazón para deshacerse de las rodajas de chile rojo. Vierta el aderezo colado sobre las rodajas de piña. Espolvoree frutas de temporada como granada o fresas sobre la ensalada. Decorar con hojas de menta fresca y servir. Sirva la receta de carpaccio de piña junto con la salsa de verduras Sizzler con tikki de patata, arroz con menta, maíz y salsa de espinacas para una cena entre semana.</t>
  </si>
  <si>
    <t>Pour commencer à préparer le carpaccio d'ananas, préparez d'abord la vinaigrette pour le carpaccio afin que les saveurs des ingrédients s'infusent bien dans la vinaigrette. Ajoutez tous les ingrédients de la vinaigrette dans une bouteille avec le couvercle. Fermez hermétiquement le couvercle et secouez la bouteille pour que tous les ingrédients soient bien mélangés. Gardez la vinaigrette au réfrigérateur pendant 3 à 4 heures ou toute la nuit pour bien infuser toutes les saveurs. Pour assembler le carpaccio d'ananas, épluchez d'abord la peau de l'ananas et coupez-le en fines tranches. Disposez les tranches d'ananas sur une assiette de service. Assaisonnez les tranches d'ananas avec du sel. Sortez la vinaigrette du réfrigérateur, secouez-la une fois de plus et filtrez-la dans un bol pour éliminer les tranches de piment rouge. Versez la vinaigrette filtrée sur les tranches d'ananas. Saupoudrez de fruits de saison comme de la grenade ou des fraises sur la salade. Garnir de feuilles de menthe fraîche et servir. Servir la recette de carpaccio d'ananas avec un grésillement de légumes avec des pommes de terre Tikki, du riz à la menthe et du maïs et une sauce aux épinards pour un dîner en semaine.</t>
  </si>
  <si>
    <t>https://www.archanaskitchen.com/pineapple-carpaccio-recipe-spiced-pineapple-salad-with-ginger-mint</t>
  </si>
  <si>
    <t>Sweet Potato &amp; Green Bean Salad Recipe</t>
  </si>
  <si>
    <t>Rezept für Süßkartoffel- und grüne Bohnensalat</t>
  </si>
  <si>
    <t>Recette de salade de patates douces et haricots verts</t>
  </si>
  <si>
    <t>Receta de ensalada de boniato y judías verdes</t>
  </si>
  <si>
    <t>250 grammes de patates douces bouillies, 10 tomates cerises coupées en deux (ou 2 grosses tomates), 15 haricots verts cuits à la vapeur et coupés en deux, 1 oignon rouge finement haché, 1 piment vert finement haché, 1 cuillère à café d'huile d'olive extra vierge, 1 cuillère à soupe de jus de citron fraîchement pressé, sel et poivre au goût</t>
  </si>
  <si>
    <t>250 grams Sweet Potatoes - boiled,10 Cherry tomatoes - halved (or 2 large tomatoes,15 Green beans (French Beans) - steamed and halved,1 Red onion - finely chopped,1 Green Chilli - finely chopped,1 teaspoon Extra Virgin Olive Oil,1 tablespoon Lemon juice - freshly squeezed,Salt and Pepper - to taste</t>
  </si>
  <si>
    <t>250 gramos de batatas hervidas, 10 tomates cherry cortados por la mitad (o 2 tomates grandes), 15 judías verdes (judías verdes) cocidas al vapor y cortadas por la mitad, 1 cebolla roja finamente picada, 1 chile verde finamente picado, 1 cucharadita de aceite de oliva virgen extra, 1 cucharada de jugo de limón recién exprimido, sal y pimienta al gusto</t>
  </si>
  <si>
    <t xml:space="preserve">To begin making the Sweet Potato &amp; Green Bean Salad Recipe, first get all the ingredients ready.Boil the sweet potatoes ahead of time, peel and refrigerate. Steam the green beans using a steamer for just about 4 minutes and turn off and allow it to cool.Finally combine all the ingredients in a large mixing bowl, check the salt and spices and adjust to suit your taste. Refrigerate the Sweet Potato &amp; Green Bean Salad or serve immediately.Serve Sweet Potato &amp; Green Bean Salad Recipe along with a soup like Sweet Corn Vegetable Soup Recipe or French Onion Soup Recipe for lunch.
</t>
  </si>
  <si>
    <t>Para empezar a preparar la receta de ensalada de boniato y judías verdes, primero prepare todos los ingredientes. Hierva los boniatos con antelación, pélelos y refrigérelos. Cocine al vapor los ejotes usando una vaporera durante unos 4 minutos, apáguela y déjela enfriar. Finalmente, combine todos los ingredientes en un tazón grande, pruebe la sal y las especias y ajuste a su gusto. Refrigere la ensalada de boniato y judías verdes o sirva inmediatamente. Sirva la receta de ensalada de boniato y judías verdes junto con una sopa como la receta de sopa de verduras con maíz dulce o la receta de sopa de cebolla francesa para el almuerzo.</t>
  </si>
  <si>
    <t>Pour commencer à préparer la recette de salade de patates douces et de haricots verts, préparez d'abord tous les ingrédients. Faites bouillir les patates douces à l'avance, épluchez-les et réfrigérez-les. Faites cuire les haricots verts à la vapeur à l'aide d'un cuiseur vapeur pendant environ 4 minutes, puis éteignez-le et laissez-le refroidir. Enfin, mélangez tous les ingrédients dans un grand bol, vérifiez le sel et les épices et ajustez à votre goût. Réfrigérez la salade de patates douces et de haricots verts ou servez immédiatement. Servez la recette de salade de patates douces et de haricots verts avec une soupe comme la recette de soupe de légumes au maïs doux ou la recette de soupe à l'oignon française pour le déjeuner.</t>
  </si>
  <si>
    <t>http://www.archanaskitchen.com/sweet-potato-green-bean-salad-recipe</t>
  </si>
  <si>
    <t>Healthy Black Bean Burger Recipe Without Bun</t>
  </si>
  <si>
    <t>Gesundes Black Bean Burger Rezept ohne Brötchen</t>
  </si>
  <si>
    <t>Recette de burger aux haricots noirs sain sans pain</t>
  </si>
  <si>
    <t>Receta saludable de hamburguesa de frijoles negros sin pan</t>
  </si>
  <si>
    <t>1-1/2 tasse de haricots noirs - cuits/en conserve (égouttés), 1 tasse de riz brun - cuit, 1 oignon - finement coupé en dés, 1/2 tasse de feuilles de coriandre (Dhania) - hachées, 1/2 tasse de chapelure de blé entier, 1 tasse de noix - grillées, 2 cuillères à café de poudre de cumin (Jeera), 1 cuillère à soupe de jaggery - ou de sucre de coco, 1/2 cuillère à soupe de poudre de piment rouge, 5-6 jalapeños marinés - marinés et hachés, 1 cuillère à soupe de ketchup, 1 cuillère à soupe de sauce chili rouge - ou sriracha, 1/2 cuillère à soupe de sirop d'érable - ou de miel, 1 cuillère à soupe de vinaigre de cidre de pomme - ou n'importe quel vinaigre, 1/2 cuillère à café de poudre de poivre noir, sel - au goût, huile d'olive extra vierge - au besoin, 8 ananas - tranches, 8 betteraves - tranchées et cuites, 1 oignon - coupé en rondelles, 8 tomates - tranchées, olives noires - au besoin, 1 tasse de laitue iceberg - au besoin, 1 avocat - mûr et dénoyauté, 1 cuillère à soupe de jus de citron</t>
  </si>
  <si>
    <t>1-1/2 cups Black beans - cooked/canned (drained),1 cup Brown Rice - cooked,1 Onion - finely diced,1/2 cup Coriander (Dhania) Leaves - chopped,1/2 cup Whole Wheat Bread crumbs,1 cup Walnuts - roasted,2 teaspoons Cumin powder (Jeera),1 tablespoon Jaggery - or coconut sugar,1/2 tablespoon Red Chilli powder,5-6 Pickled Jalapenos - pickled and chopped,1 tablespoon Tomato Ketchup,1 tablespoon Red Chilli sauce - or sriracha,1/2 tablespoon Maple syrup - or honey,1 tablespoon Apple cider vinegar - or any vinegar,1/2 teaspoon Black pepper powder,Salt - to taste,Extra Virgin Olive Oil - as needed,8 Pineapple - slices,8 Beetroot - sliced and cooked,1 Onion - cut into rings,8 Tomato - sliced,Black olives - as needed,1 cup Iceberg lettuce - as needed,1 Avocado - ripened and pitted,1 tablespoon Lemon juice</t>
  </si>
  <si>
    <t>1-1/2 tazas de frijoles negros - cocidos/enlatados (escurridos), 1 taza de arroz integral - cocido, 1 cebolla - finamente picada, 1/2 taza de hojas de cilantro (Dhania) - picadas, 1/2 taza de pan rallado integral, 1 taza de nueces - tostadas, 2 cucharaditas de comino en polvo (Jeera), 1 cucharada de jaggery - o azúcar de coco, 1/2 cucharada de chile rojo en polvo, 5-6 jalapeños encurtidos - encurtidos y picados, 1 cucharada de ketchup de tomate, 1 cucharada de salsa de chile rojo - o sriracha, 1/2 cucharada de jarabe de arce - o miel, 1 cucharada de vinagre de sidra de manzana - o cualquier vinagre, 1/2 cucharadita de pimienta negra en polvo, sal - al gusto, aceite de oliva virgen extra - según sea necesario, 8 piñas - rodajas, 8 remolachas - rebanadas y cocidas, 1 cebolla - cortada en aros, 8 tomates - rebanadas, aceitunas negras - según sea necesario, 1 taza de lechuga iceberg - según sea necesario, 1 aguacate - maduro y sin hueso, 1 cucharada de jugo de limón</t>
  </si>
  <si>
    <t xml:space="preserve">To prepare this Healthy Black Bean Burger Recipe Without Bun, get prep with all the ingredients mentioned. In a mixing bowl combine avocado, lemon juice and a pinch of salt and mash with a fork. Cover with cling wrap and refrigerate until needed.In a bowl combine apple cider Vinegar, honey, tomato sauce, hot sauce and pepper and whisk them together with a fork and set aside this sauce mixture when combined. In a pan, sauté diced onion using little oil on medium-high flame until brown and set aside. In a blender, add roasted walnuts, cumin powder, chilli powder, raw sugar and a pinch of salt and blend to a coarse powder. In a large mixing bowl add black beans and mash it well using a masher.To this, add cooked brown rice, walnut powder, chopped coriander, sautéed onion, chopped jalapenos, bread crumbs, sauce mixture and salt to taste.Mix all the ingredients until they are well combined, cover and set aside for at least 1/2 an hour. This helps the flavor soak into the burgers.Divide this mixture into 8 equal portions and shape them into burger patties. Grill them on a pan using a little olive oil, flipping both sides.On a platter, lay the salad leaves and place pineapple, beetroot, tomato, mashed Avocado, the grilled patty on top of the other and secure these, using a skewer or a toothpick. Place onion rings on top and insert olives from above.Enjoy this Healthy Black Bean Burger Recipe Without Bun with sauce or dip of your choice.Serve the Healthy Black Bean Burger Recipe Without Bun along with Oven Baked Sweet Potato Fries Recipe and a glass of  Mango Iced Tea Recipe to complete your meal.
</t>
  </si>
  <si>
    <t>Para preparar esta receta saludable de hamburguesa de frijoles negros sin pan, prepárese con todos los ingredientes mencionados. En un tazón, combine el aguacate, el jugo de limón y una pizca de sal y triture con un tenedor. Cubra con film transparente y refrigere hasta que lo necesite. En un tazón, combine el vinagre de sidra de manzana, la miel, la salsa de tomate, la salsa picante y la pimienta y bátalos juntos con un tenedor y reserve esta mezcla de salsa cuando esté combinada. En una sartén, saltee la cebolla picada con un poco de aceite a fuego medio-alto hasta que se dore y reserve. En una licuadora, agregue nueces tostadas, comino en polvo, chile en polvo, azúcar sin refinar y una pizca de sal y mezcle hasta obtener un polvo grueso. En un tazón grande, agregue los frijoles negros y tritúrelos bien con un machacador. A esto, agregue arroz integral cocido, nuez en polvo, cilantro picado, cebolla salteada, jalapeños picados, pan rallado, mezcla de salsa y sal al gusto. Mezcle todos los ingredientes hasta que estén bien combinados, cubra y deje reposar durante al menos 1/2 hora. Esto ayuda a que el sabor penetre en las hamburguesas. Divida esta mezcla en 8 porciones iguales y forme hamburguesas. Áselas en una sartén con un poco de aceite de oliva, volteando ambos lados. En una fuente, coloque las hojas de ensalada y coloque la piña, la remolacha, el tomate, el aguacate machacado, la hamburguesa a la parrilla encima de la otra y asegúrelas con una brocheta o un palillo. Coloque aros de cebolla encima e inserte aceitunas desde arriba. Disfrute de esta saludable hamburguesa de frijoles negros sin pan con la salsa o aderezo de su elección. Sirva la saludable hamburguesa de frijoles negros sin pan junto con las papas fritas de camote al horno y un vaso de té helado de mango para completar su comida.</t>
  </si>
  <si>
    <t>Pour préparer cette recette de burger aux haricots noirs sains sans pain, préparez-vous avec tous les ingrédients mentionnés. Dans un bol, mélanger l'avocat, le jus de citron et une pincée de sel et écraser à la fourchette. Couvrir d'un film alimentaire et réfrigérer jusqu'à utilisation. Dans un bol, mélanger le vinaigre de cidre de pomme, le miel, la sauce tomate, la sauce piquante et le poivre et les fouetter avec une fourchette et réserver ce mélange de sauce une fois combiné. Dans une poêle, faire revenir l'oignon coupé en dés avec un peu d'huile à feu moyen-vif jusqu'à ce qu'il soit doré et réserver. Dans un mixeur, ajouter les noix grillées, la poudre de cumin, la poudre de chili, le sucre brut et une pincée de sel et mélanger jusqu'à obtenir une poudre grossière. Dans un grand bol, ajouter les haricots noirs et bien les écraser à l'aide d'un pilon. À cela, ajouter le riz brun cuit, la poudre de noix, la coriandre hachée, l'oignon sauté, les jalapeños hachés, la chapelure, le mélange de sauce et le sel au goût. Mélanger tous les ingrédients jusqu'à ce qu'ils soient bien mélangés, couvrir et réserver pendant au moins 1/2 heure. Cela permet aux saveurs de s'imprégner dans les hamburgers. Divisez ce mélange en 8 portions égales et façonnez-les en galettes de hamburger. Faites-les griller à la poêle avec un peu d'huile d'olive, en retournant les deux côtés. Sur un plat, disposez les feuilles de salade et placez l'ananas, la betterave, la tomate, l'avocat écrasé, la galette grillée les unes sur les autres et fixez-les à l'aide d'une brochette ou d'un cure-dent. Placez les rondelles d'oignon dessus et insérez les olives par-dessus. Savourez cette recette de burger aux haricots noirs sain sans pain avec la sauce ou la trempette de votre choix. Servez la recette de burger aux haricots noirs sain sans pain avec la recette de frites de patates douces au four et un verre de recette de thé glacé à la mangue pour compléter votre repas.</t>
  </si>
  <si>
    <t>https://www.archanaskitchen.com/healthy-black-bean-burger-recipe-without-bun</t>
  </si>
  <si>
    <t>Cumin Spiced Potato And Leek Soup Recipe</t>
  </si>
  <si>
    <t>Rezept für Kartoffel-Lauch-Suppe mit Kreuzkümmel</t>
  </si>
  <si>
    <t>Recette de soupe de pommes de terre et poireaux au cumin</t>
  </si>
  <si>
    <t>Receta de sopa de patata y puerro con comino</t>
  </si>
  <si>
    <t>4 tasses de pommes de terre (Aloo) - grossièrement hachées, 2 tasses de poireaux - tranchés et hachés, 2 oignons - grossièrement hachés, 3 tasses de bouillon de légumes, eau - selon les besoins, 1 cuillère à café de graines de cumin (Jeera), 1/2 cuillère à café de flocons de piment rouge, huile d'olive extra vierge - pour la cuisson, sel - selon le goût</t>
  </si>
  <si>
    <t>4 cups Potatoes (Aloo) - roughly chopped,2 cups Leek - sliced and chopped,2 Onions - roughly chopped,3 cups Vegetable stock,Water - as required,1 teaspoon Cumin seeds (Jeera),1/2 teaspoon Red Chilli flakes,Extra Virgin Olive Oil - for cooking,Salt - as per taste</t>
  </si>
  <si>
    <t>4 tazas de papas (Aloo) - picadas gruesas, 2 tazas de puerro - en rodajas y picado, 2 cebollas - picadas gruesas, 3 tazas de caldo de verduras, agua - la necesaria, 1 cucharadita de semillas de comino (Jeera), 1/2 cucharadita de hojuelas de chile rojo, aceite de oliva virgen extra - para cocinar, sal - al gusto</t>
  </si>
  <si>
    <t xml:space="preserve">To begin making the Cumin Spiced Potato And Leek Soup, we have to wash all the vegetables required to make the soup. After cleaning the vegetables it is important to chop out the green ends and the roots of the leeks.Slice the leeks and then chop them roughly to break them up a little.Peel the potatoes and cut them into about 1/2 inch chunks, chop onions finely and set aside.Now place a medium sized soup pot and heat olive oil. Add chopped leeks and finely chopped onions to the pot and saute them until soft.Once done add chopped potatoes and cook it for about 10 minutes on medium heat by covering the pot.After the leeks and potatoes are softened add 3 cups of vegetable stock with 3 cups of water and salt to taste. Now let it cook for about 30 minutes until the potatoes are completely boiled and the soup starts to smell delicious.Take an immersion blender or you can use your normal blender to blend the soup. Blend the soup in batches until you feel it is creamy and has uniform texture to it.Pour Potato And Leek Soup into the serving bowl.Now for the Cumin Spice, take a small pan and heat 1 teaspoon of olive oil and add red chilli flakes and cumin powder. Allow the spice to sizzle for just 10 – 15 seconds and don’t let them to burn. Sizzle this “tadka” over the soup in the bowl itself and serve.Serve Cumin Spiced Potato And Leek Soup with slices of cheese garlic bread and Spaghetti Pomodoro Recipe (Pasta in Tomato Basil Sauce) for a complete meal.
</t>
  </si>
  <si>
    <t>Para empezar a hacer la sopa de papa y puerro con especias de comino, tenemos que lavar todas las verduras necesarias para hacer la sopa. Después de limpiar las verduras, es importante cortar los extremos verdes y las raíces de los puerros. Cortar los puerros en rodajas y luego picarlos toscamente para romperlos un poco. Pelar las papas y cortarlas en trozos de aproximadamente 1/2 pulgada, picar las cebollas finamente y reservar. Ahora coloque una olla de sopa de tamaño mediano y calentar el aceite de oliva. Agregar los puerros picados y las cebollas finamente picadas a la olla y saltearlos hasta que estén suaves. Una vez hecho esto, agregar las papas picadas y cocinar durante unos 10 minutos a fuego medio tapando la olla. Después de que los puerros y las papas se ablanden, agregar 3 tazas de caldo de verduras con 3 tazas de agua y sal al gusto. Ahora dejar cocinar durante unos 30 minutos hasta que las papas estén completamente hervidas y la sopa comience a oler deliciosa. Tome una licuadora de inmersión o puede usar su licuadora normal para licuar la sopa. Licúa la sopa en tandas hasta que esté cremosa y tenga una textura uniforme. Vierte la sopa de papa y puerro en el tazón para servir. Ahora, para el comino, calienta una cucharadita de aceite de oliva en una sartén pequeña y agrega hojuelas de chile rojo y comino en polvo. Deja que la especia chisporrotee durante 10 a 15 segundos y no dejes que se queme. Vierte este "tadka" sobre la sopa en el mismo tazón y sirve. Sirve la sopa de papa y puerro con especias de comino con rebanadas de pan de ajo con queso y espaguetis Pomodoro (pasta en salsa de tomate y albahaca) para una comida completa.</t>
  </si>
  <si>
    <t>Pour commencer à préparer la soupe de pommes de terre et de poireaux épicée au cumin, nous devons laver tous les légumes nécessaires à la préparation de la soupe. Après avoir nettoyé les légumes, il est important de couper les extrémités vertes et les racines des poireaux. Tranchez les poireaux puis hachez-les grossièrement pour les casser un peu. Épluchez les pommes de terre et coupez-les en morceaux d'environ 1/2 pouce, hachez finement les oignons et réservez. Placez maintenant une marmite à soupe de taille moyenne et faites chauffer l'huile d'olive. Ajoutez les poireaux hachés et les oignons finement hachés dans la marmite et faites-les revenir jusqu'à ce qu'ils soient tendres. Une fois terminé, ajoutez les pommes de terre hachées et faites-les cuire pendant environ 10 minutes à feu moyen en couvrant la marmite. Une fois les poireaux et les pommes de terre ramollis, ajoutez 3 tasses de bouillon de légumes avec 3 tasses d'eau et du sel au goût. Laissez maintenant cuire pendant environ 30 minutes jusqu'à ce que les pommes de terre soient complètement bouillies et que la soupe commence à sentir délicieux. Prenez un mixeur plongeant ou vous pouvez utiliser votre mixeur normal pour mélanger la soupe. Mixez la soupe par lots jusqu'à obtenir une texture crémeuse et uniforme. Versez la soupe de pommes de terre et de poireaux dans le bol de service. Pour le cumin, faites chauffer une cuillère à café d'huile d'olive dans une petite casserole, ajoutez les flocons de piment rouge et le cumin en poudre. Laissez grésiller les épices pendant 10 à 15 secondes, sans les brûler. Versez ce « tadka » sur la soupe dans le bol et servez. Servez la soupe de pommes de terre et de poireaux au cumin avec des tranches de pain à l'ail et du fromage et des spaghettis pomodoro (pâtes à la sauce tomate et basilic) pour un repas complet.</t>
  </si>
  <si>
    <t>http://www.archanaskitchen.com/cumin-spiced-potato-and-leek-soup-recipe</t>
  </si>
  <si>
    <t>Sugar Free Pineapple Dates Cake Recipe</t>
  </si>
  <si>
    <t>Rezept für zuckerfreien Ananas-Dattel-Kuchen</t>
  </si>
  <si>
    <t>Recette de gâteau à l'ananas et aux dattes sans sucre</t>
  </si>
  <si>
    <t>Receta de pastel de piña y dátiles sin azúcar</t>
  </si>
  <si>
    <t>1 1/2 tasse de farine tout usage (Maida), 1 tasse d'ananas haché, 20 dattes sans pépins, 1 tasse d'eau, 1 cuillère à café de bicarbonate de soude, 2 œufs entiers, 1 cuillère à café d'extrait de vanille, 100 grammes de beurre salé, raisins secs - une poignée</t>
  </si>
  <si>
    <t>1 1/2 cups All Purpose Flour (Maida),1 cup Pineapple - chopped,20 Dates - seedless,1 cup Water,1 teaspoon Baking soda,2 Whole Eggs,1 teaspoon Vanilla Extract,100 grams Salted butter,Raisins - handful</t>
  </si>
  <si>
    <t>1 1/2 tazas de harina para todo uso (Maida), 1 taza de piña picada, 20 dátiles sin semillas, 1 taza de agua, 1 cucharadita de bicarbonato de sodio, 2 huevos enteros, 1 cucharadita de extracto de vainilla, 100 gramos de mantequilla salada, pasas - un puñado</t>
  </si>
  <si>
    <t xml:space="preserve">To begin the preparation of Sugar Free Pineapple Dates Cake, make sure you are ready with chopped pineapples and seedless dates along with other ingredients. Pick a kadai and boil the dates with chopped pineapples in a cup of water for 5 minutes on medium flame.Switch off the flame and add salted butter. Let the mixture cool down completely.Once cooled, add the mix to mixer grinder and make a fine puree.In a big mixing bowl, beat the eggs with an electric beater on high for about 2 minutes.Add vanilla essence and fold in.Sift flour and baking soda in egg mixture bit by bit and intermittently mixing with a spatula.Add in the prepared pineapple dates puree and mix well with the spatula. Make sure that there are no lumps.Mix in raisins in this batter.Grease a loaf pan with oil and pour this batter in it.Bake at 375 degree Fahrenheit preheated oven for approximately 30 minutes. (Baking time may vary upon individual oven). Check if the cake is done with the help of a toothpick. If it comes out clean after inserting in the middle of the cake, that means your cake is done, else, keep it for a longer period of time. This cake takes comparatively little longer to bake than cakes without fruits in its ingredients.Remove and keep it on the cooling rack for 15 minutes or until cooled to room temperature.Flip the cake onto a plate, cut and enjoy your guilt free Sugarless Pineapple Dates Cake.
</t>
  </si>
  <si>
    <t>Para preparar el pastel de piña y dátiles sin azúcar, asegúrate de tener piña picada y dátiles sin semillas junto con los demás ingredientes. Escoge un kadai y hierve los dátiles con la piña picada en una taza de agua durante 5 minutos a fuego medio. Apaga el fuego y añade mantequilla con sal. Deja enfriar completamente la mezcla. Una vez fría, agrégala a la batidora y tritura hasta obtener un puré fino. En un bol grande, bate los huevos con una batidora eléctrica a alta velocidad durante unos 2 minutos. Agrega la esencia de vainilla e incorpora con movimientos envolventes. Tamiza la harina y el bicarbonato de sodio en la mezcla de huevo poco a poco, mezclando intermitentemente con una espátula. Incorpora el puré de piña y dátiles preparado y mezcla bien con la espátula, asegurándote de que no queden grumos. Incorpora las pasas a la masa. Engrasa un molde para pan con aceite y vierte la masa. Hornea a 190 °C en un horno precalentado durante aproximadamente 30 minutos. (El tiempo de horneado puede variar según el horno). Comprueba si el pastel está listo con un palillo. Si sale limpio al insertarlo en el centro, significa que está listo; de lo contrario, consérvalo más tiempo. Este pastel tarda un poco más en hornearse que los pasteles sin fruta. Retíralo y déjalo enfriar en una rejilla durante 15 minutos o hasta que alcance la temperatura ambiente. Dale la vuelta al pastel en un plato, córtalo y disfruta de tu pastel de piña y dátiles sin azúcar, sin remordimientos.</t>
  </si>
  <si>
    <t>Pour commencer la préparation du gâteau aux dattes et à l'ananas sans sucre, assurez-vous d'avoir des ananas hachés et des dattes sans pépins, ainsi que les autres ingrédients. Prenez un kadai et faites bouillir les dattes avec les ananas hachés dans une tasse d'eau pendant 5 minutes à feu moyen. Éteignez le feu et ajoutez le beurre salé. Laissez refroidir complètement. Une fois refroidi, versez le mélange dans un mixeur et réduisez-le en purée fine. Dans un grand saladier, battez les œufs au batteur électrique à vitesse maximale pendant environ 2 minutes. Ajoutez l'extrait de vanille et incorporez-le. Tamisez la farine et le bicarbonate de soude dans le mélange d'œufs petit à petit en mélangeant par intermittence à la spatule. Ajoutez la purée d'ananas et de dattes préparée et mélangez bien à la spatule. Assurez-vous qu'il n'y ait pas de grumeaux. Incorporez les raisins secs à la pâte. Graissez un moule à cake avec de l'huile et versez-y la pâte. Enfournez à four préchauffé à 190 °C pendant environ 30 minutes. (Le temps de cuisson peut varier selon le four). Vérifiez la cuisson du gâteau à l'aide d'un cure-dent. S'il ressort propre après l'avoir inséré au milieu, c'est que votre gâteau est cuit. Sinon, prolongez la cuisson. Ce gâteau est relativement plus long à cuire que les gâteaux sans fruits. Retirez-le et laissez-le refroidir sur une grille pendant 15 minutes ou jusqu'à ce qu'il soit à température ambiante. Retournez le gâteau sur une assiette, coupez-le et savourez votre gâteau aux dattes et à l'ananas sans sucre, sans culpabilité.</t>
  </si>
  <si>
    <t>https://www.archanaskitchen.com/sugar-free-pineapple-dates-cake-recipe</t>
  </si>
  <si>
    <t>Muesli Banana Fritters Recipe</t>
  </si>
  <si>
    <t>Rezept für Müsli-Bananen-Krapfen</t>
  </si>
  <si>
    <t>Recette de beignets de banane au muesli</t>
  </si>
  <si>
    <t>Receta de buñuelos de plátano con muesli</t>
  </si>
  <si>
    <t>2 bananes Nendra Pazham (mûres) - coupées en rondelles ou en longs angles, 1 tasse de muesli, 2 cuillères à soupe de poudre de cacao, 1/4 tasse de miel, 1/4 cuillère à café de sel, beurre - selon les besoins</t>
  </si>
  <si>
    <t>2 Nendra Pazham Banana (Ripe) - sliced in rounds or long angles,1 cup Muesli,2 tablespoon Cocoa Powder,1/4 cup Honey,1/4 teaspoon Salt,Butter - as required</t>
  </si>
  <si>
    <t>2 plátanos Nendra Pazham (maduros) cortados en rodajas o ángulos largos, 1 taza de muesli, 2 cucharadas de cacao en polvo, 1/4 taza de miel, 1/4 cucharadita de sal, mantequilla (según se requiera)</t>
  </si>
  <si>
    <t xml:space="preserve">To begin making the Muesli Banana Fritters Recipe into a bowl add the muesli, honey, cocoa powder into a bowl.Slice the bananas. Heat a flat skillet or a grill pan,and grease the pan with some butter. Dip the bananas in the muesli mix and place it on the skillet, cook on a medium heat until both sides are golden brown and crispy.Once done transfer the Muesli Banana Fritters onto a serving plate and serve.Serve the Muesli Banana Fritters Recipe as a dessert with Tender Coconut Ice Cream Recipe and a drizzle of date syrup on top.
</t>
  </si>
  <si>
    <t>Para empezar a preparar la receta de Buñuelos de Plátano con Muesli, añade el muesli, la miel y el cacao en polvo a un bol. Corta los plátanos en rodajas. Calienta una sartén plana o una plancha para asar y engrásala con un poco de mantequilla. Sumerge los plátanos en la mezcla de muesli y colócalos en la sartén. Cocina a fuego medio hasta que ambos lados estén dorados y crujientes. Una vez listos, transfiere los Buñuelos de Plátano con Muesli a un plato para servir. Sirve los Buñuelos de Plátano con Muesli como postre con Helado de Coco Tierno y un chorrito de sirope de dátiles por encima.</t>
  </si>
  <si>
    <t>Pour commencer à préparer la recette des beignets de banane au muesli, ajoutez le muesli, le miel et le cacao en poudre dans un bol. Coupez les bananes en rondelles. Faites chauffer une poêle plate ou une poêle à griller et graissez-la avec un peu de beurre. Trempez les bananes dans le mélange de muesli et placez-les dans la poêle, faites cuire à feu moyen jusqu'à ce que les deux côtés soient dorés et croustillants. Une fois terminé, transférez les beignets de banane au muesli sur une assiette de service et servez. Servez la recette des beignets de banane au muesli en dessert avec la recette de crème glacée à la noix de coco tendre et un filet de sirop de dattes sur le dessus.</t>
  </si>
  <si>
    <t>https://www.archanaskitchen.com/muesli-banana-fritters-with-whole-wheat-recipe</t>
  </si>
  <si>
    <t>Canadian Egg Free Butter Tart Recipe (Eggless)</t>
  </si>
  <si>
    <t>Kanadisches Buttertörtchen-Rezept ohne Eier (ohne Eier)</t>
  </si>
  <si>
    <t>Recette de tarte au beurre canadienne sans œufs (sans œufs)</t>
  </si>
  <si>
    <t>Receta de pastel de mantequilla canadiense sin huevo</t>
  </si>
  <si>
    <t>2 1/2 tasses de farine tout usage (Maida), 230 grammes de beurre - coupé en petits morceaux, 1/2 cuillère à café de sel, 1/2 tasse de raisins secs, 1/4 tasse de beurre - ramolli, 1/4 tasse de cassonade (sucre Demerara), 2 cuillères à café de farine de maïs, 1/2 tasse de Hung Curd (yaourt grec), 1 cuillère à café d'extrait de vanille, 1/2 cuillère à café de cannelle en poudre (Dalchini), 1/4 cuillère à café de noix de muscade en poudre</t>
  </si>
  <si>
    <t>2 1/2 cup All Purpose Flour (Maida),230 grams Butter - cut into small pieces,1/2 teaspoon Salt,1/2 cups Raisins,1/4 cup Butter - softened,1/4 cup Brown Sugar (Demerara Sugar),2 teaspoon Corn flour,1/2 cup Hung Curd (Greek Yogurt),1 teaspoon Vanilla Extract,1/2 teaspoon Cinnamon Powder (Dalchini),1/4 teaspoon Nutmeg powder</t>
  </si>
  <si>
    <t>2 1/2 tazas de harina para todo uso (Maida), 230 gramos de mantequilla - cortada en trozos pequeños, 1/2 cucharadita de sal, 1/2 tazas de pasas, 1/4 taza de mantequilla - ablandada, 1/4 taza de azúcar morena (azúcar Demerara), 2 cucharaditas de harina de maíz, 1/2 taza de cuajada colgada (yogur griego), 1 cucharadita de extracto de vainilla, 1/2 cucharadita de canela en polvo (dalchini), 1/4 cucharadita de nuez moscada en polvo</t>
  </si>
  <si>
    <t xml:space="preserve">To begin making the Canadian Egg Free Butter Tart Recipe (Eggless), preheat oven to 250 C. Grease muffin pans with butter to bake the egg free butter tarts.Cut the butter into small cubes. Add salt into the flour and then add butter into it. Mix it by hand till the flour blends well with the butter. Add a teaspoon of cold water at a time and knead it into a smooth butter pastry dough.Wrap the dough with a plastic cling cover and refrigerate it for 30 minutes. To make the filling, take the raisins in a bowl and soak it with hot water. Keep it soaked for atleast 30 minutes. Drain out the excess water and keep aside.Combine yogurt, butter and corn flour in a medium size mixing bowl . Stir and mix with a wooden spatula till it forms a homogeneous mixture.Add sugar, vanilla extract, cinnamon and nutmeg into the butter mixture. Stir and mix well till it forms a smooth creamy mixture. Drain the raisins and add it to the butter and yogurt mixture.After 30 minutes, take out the pastry dough. Then roll out on a lightly floured surface and cut 4-inch (approximately) circles, fit dough circles into muffin cups and set aside in fridge for another 15 minutes. Take out the butter pastry shells are chilled and divide the butter, yogurt and raisin mixture equally into all cavities. Bake the Canadian Egg Free Butter Tart in the preheated oven for 15-20 minutes or until the filling is lightly browned and bubbling and the tart crust is golden. If you love a gooey filling, bake for 15 minutes and if you like a bit firm, then bake completely for 20 minutes.Once done, remove the Canadian Egg Free Butter Tarts from the oven and allow it to rest for about 10 minutes. Run a butter knife around the outer edges of the butter tart, remove it from the pan and allow it to cool completely on wire racks and serve.Serve the Canadian Egg Free Butter Tart along with a ice cream for a delicious dessert for the party.
</t>
  </si>
  <si>
    <t>Para comenzar a hacer la Receta de Tarta de Mantequilla sin Huevo Canadiense (Sin Huevo), precaliente el horno a 250 C. Engrase moldes para muffins con mantequilla para hornear las tartas de mantequilla sin huevo. Corte la mantequilla en cubos pequeños. Agregue sal a la harina y luego agregue la mantequilla. Mézclelo a mano hasta que la harina se combine bien con la mantequilla. Agregue una cucharadita de agua fría a la vez y amásela hasta obtener una masa suave de hojaldre de mantequilla. Envuelva la masa con una cubierta de plástico transparente y refrigérela durante 30 minutos. Para hacer el relleno, tome las pasas en un tazón y remójelas con agua caliente. Manténgalas remojadas durante al menos 30 minutos. Escurra el exceso de agua y reserve. Combine el yogur, la mantequilla y la harina de maíz en un tazón mediano. Revuelva y mezcle con una espátula de madera hasta formar una mezcla homogénea. Agregue azúcar, extracto de vainilla, canela y nuez moscada a la mezcla de mantequilla. Revuelva y mezcle bien hasta formar una mezcla suave y cremosa. Escurre las pasas y agrégalas a la mezcla de mantequilla y yogur. Después de 30 minutos, saca la masa de hojaldre. Luego, extiéndela sobre una superficie ligeramente enharinada y corta círculos de 4 pulgadas (aproximadamente), coloca los círculos de masa en moldes para muffins y déjalos reposar en el refrigerador durante otros 15 minutos. Saca las cáscaras de hojaldre de mantequilla cuando estén frías y divide la mezcla de mantequilla, yogur y pasas en partes iguales en todas las cavidades. Hornea la tarta de mantequilla sin huevo canadiense en el horno precalentado durante 15-20 minutos o hasta que el relleno esté ligeramente dorado y burbujeante y la corteza de la tarta esté dorada. Si te encanta un relleno pegajoso, hornea durante 15 minutos y si lo prefieres un poco firme, hornea completamente durante 20 minutos. Una vez hecho esto, retira las tartas de mantequilla sin huevo canadienses del horno y déjalas reposar durante unos 10 minutos. Pase un cuchillo de mantequilla por los bordes exteriores de la tarta de mantequilla, retírela del molde y déjela enfriar completamente sobre una rejilla de alambre antes de servirla. Sirva la tarta de mantequilla canadiense sin huevo junto con un helado para disfrutar de un postre delicioso para la fiesta.</t>
  </si>
  <si>
    <t>Pour commencer à préparer la recette de tarte au beurre sans œufs canadienne (sans œufs), préchauffez le four à 250 °C. Graissez les moules à muffins avec du beurre pour cuire les tartelettes au beurre sans œufs. Coupez le beurre en petits cubes. Ajoutez du sel à la farine, puis ajoutez-y du beurre. Mélangez à la main jusqu'à ce que la farine se mélange bien au beurre. Ajoutez une cuillère à café d'eau froide à la fois et pétrissez jusqu'à obtenir une pâte à tarte au beurre lisse. Enveloppez la pâte dans un film plastique et réfrigérez-la pendant 30 minutes. Pour préparer la garniture, prenez les raisins secs dans un bol et faites-les tremper dans de l'eau chaude. Laissez-les tremper pendant au moins 30 minutes. Égouttez l'excédent d'eau et réservez. Mélangez le yaourt, le beurre et la fécule de maïs dans un bol de taille moyenne. Remuez et mélangez avec une spatule en bois jusqu'à obtenir un mélange homogène. Ajoutez le sucre, l'extrait de vanille, la cannelle et la muscade au mélange de beurre. Remuez et mélangez bien jusqu'à obtenir un mélange crémeux et lisse. Égouttez les raisins secs et ajoutez-les au mélange de beurre et de yaourt. Après 30 minutes, sortez la pâte feuilletée. Ensuite, étalez-la sur une surface légèrement farinée et coupez des cercles de 4 pouces (environ), placez les cercles de pâte dans des moules à muffins et réservez au réfrigérateur pendant 15 minutes supplémentaires. Sortez les coquilles de pâte au beurre refroidies et répartissez le mélange de beurre, de yaourt et de raisins secs également dans toutes les cavités. Faites cuire la tarte au beurre canadienne sans œufs au four préchauffé pendant 15 à 20 minutes ou jusqu'à ce que la garniture soit légèrement dorée et bouillonnante et que la croûte de la tarte soit dorée. Si vous aimez une garniture gluante, faites cuire au four pendant 15 minutes et si vous aimez une garniture un peu ferme, faites cuire complètement pendant 20 minutes. Une fois terminé, retirez les tartelettes au beurre canadiennes sans œufs du four et laissez-les reposer pendant environ 10 minutes. Passez un couteau à beurre sur les bords extérieurs de la tarte au beurre, retirez-la du moule et laissez-la refroidir complètement sur des grilles et servez. Servez la tarte au beurre canadienne sans œufs avec une glace pour un délicieux dessert pour la fête.</t>
  </si>
  <si>
    <t>https://www.archanaskitchen.com/canadian-egg-free-butter-tart-recipe-eggless</t>
  </si>
  <si>
    <t>Beet Carrot and Apple Salad in Orange Mustard Vinaigrette Recipe</t>
  </si>
  <si>
    <t>Rote-Bete-Karotten-Apfel-Salat in Orangen-Senf-Vinaigrette-Rezept</t>
  </si>
  <si>
    <t>Recette de salade de betteraves, carottes et pommes à la vinaigrette à l'orange et à la moutarde</t>
  </si>
  <si>
    <t>Receta de ensalada de remolacha, zanahoria y manzana con vinagreta de naranja y mostaza</t>
  </si>
  <si>
    <t>1 betterave - spiralée en fines nouilles, 1 carotte (Gajjar) - spiralée en fines nouilles, 1 pomme - évidée et spiralée en fines nouilles, 6 noix, 5 feuilles de menthe (Pudina), 1 cuillère à café de graines de sésame (graines de Til) - grillées, 2 cuillères à soupe de jus d'orange frais, 1/2 cuillère à café de zeste d'orange (écorce), 1 cuillère à soupe de jus de citron, 1 cuillère à soupe de sauce moutarde, 2 cuillères à soupe d'huile d'olive extra vierge, 1/4 cuillère à café de poivre noir en poudre, sel - au goût</t>
  </si>
  <si>
    <t>1 Beetroot - spiralized to thin noodles,1 Carrot (Gajjar) - spiralized to thin noodles,1 Apple - cored and spiralized to thin noodles,6 Walnuts,5 Mint Leaves (Pudina),1 teaspoon Sesame seeds (Til seeds) - toasted,2 tablespoons Fresh orange juice,1/2 teaspoon Orange Zest (Rind),1 tablespoon Lemon juice,1 tablespoon Mustard sauce,2 tablespoons Extra Virgin Olive Oil,1/4 teaspoon Black pepper powder,Salt - to taste</t>
  </si>
  <si>
    <t>1 remolacha (en espiral) cortada en fideos finos, 1 zanahoria (gajjar) cortada en espiral en fideos finos, 1 manzana (sin corazón) cortada en espiral en fideos finos, 6 nueces, 5 hojas de menta (pudina), 1 cucharadita de semillas de sésamo (semillas de til) tostadas, 2 cucharadas de jugo de naranja fresco, 1/2 cucharadita de ralladura de naranja (cáscara), 1 cucharada de jugo de limón, 1 cucharada de salsa de mostaza, 2 cucharadas de aceite de oliva virgen extra, 1/4 cucharadita de pimienta negra en polvo, sal (al gusto)</t>
  </si>
  <si>
    <t xml:space="preserve">To begin making Beet Carrot and Apple Salad in Orange Mustard Vinaigrette Recipe, wash, peel the skin of beetroot and make spiralized noodles and keep aside.Likewise, make the spiralized noodles of carrot and apple and keep aside.Now, take a small bowl and whisk together all the ingredients listed in the vinaigrette till viscous and keep aside.Take a big bowl, add the spiralized beet, carrot, apple, add the prepared vinaigrette.Place a portion of the salad on the serving plate, garnish with walnuts, mint leaves and toasted sesame.Serve the Beet Carrot and Apple Salad in Orange Mustard Vinaigrette Recipe for light dinner on its own or with a Roasted Tomato and Pumpkin soup for a weeknight dinner.
</t>
  </si>
  <si>
    <t>Para empezar a preparar la receta de ensalada de remolacha, zanahoria y manzana con vinagreta de naranja y mostaza, lava y pela la remolacha, forma fideos en espiral y reserva. Asimismo, haz los fideos en espiral de zanahoria y manzana y reserva. Ahora, toma un tazón pequeño y bate todos los ingredientes enumerados en la vinagreta hasta que quede viscoso y reserva. Toma un tazón grande, agrega la remolacha en espiral, la zanahoria, la manzana y agrega la vinagreta preparada. Coloca una porción de la ensalada en el plato para servir y decora con nueces, hojas de menta y sésamo tostado. Sirve la receta de ensalada de remolacha, zanahoria y manzana con vinagreta de naranja y mostaza para una cena ligera, sola o con una sopa de tomate asado y calabaza para una cena entre semana.</t>
  </si>
  <si>
    <t>Pour commencer à préparer la recette de salade de betteraves, carottes et pommes à la vinaigrette à l'orange et à la moutarde, lavez, épluchez la peau de la betterave et faites des nouilles spiralées et réservez. De même, faites les nouilles spiralées de carotte et de pomme et réservez. Maintenant, prenez un petit bol et fouettez ensemble tous les ingrédients énumérés dans la vinaigrette jusqu'à ce qu'ils soient visqueux et réservez. Prenez un grand bol, ajoutez la betterave spiralée, la carotte, la pomme, ajoutez la vinaigrette préparée. Placez une portion de salade sur l'assiette de service, décorez de noix, de feuilles de menthe et de sésame grillé. Servez la recette de salade de betteraves, carottes et pommes à la vinaigrette à l'orange et à la moutarde pour un dîner léger seul ou avec une soupe de tomates rôties et de potiron pour un dîner de semaine.</t>
  </si>
  <si>
    <t>http://www.archanaskitchen.com/beet-carrot-and-apple-salad-in-orange-mustard-vinaigrette-recipe</t>
  </si>
  <si>
    <t>Carrot Beet Amaranth Super Salad Recipe</t>
  </si>
  <si>
    <t>Rezept für Supersalat mit Karotten, Rote Bete und Amaranth</t>
  </si>
  <si>
    <t>Recette de super salade aux carottes, betteraves et amarante</t>
  </si>
  <si>
    <t>Receta de Súper Ensalada con Zanahoria, Remolacha y Amaranto</t>
  </si>
  <si>
    <t>1 tasse de betteraves rouges coupées en julienne, 1 tasse de carottes (Gajjar) coupées en julienne, 1/4 tasse de graines d'amarante (Rajgira) légèrement grillées, 2 cuillères à soupe de graines de sésame (Til) grillées, 2 cuillères à soupe de tahini pour la vinaigrette, 2 cuillères à soupe de feuilles de basilic, 2 cuillères à soupe de figues séchées hachées</t>
  </si>
  <si>
    <t>1 cup Beetroot - julienned,1 cup Carrots (Gajjar) - julienned,1/4 cup Amaranth Seeds (Rajgira) - lightly toasted,2 tablespoons Sesame seeds (Til seeds) - toasted,2 tablespoons Tahini - for dressing,2 tablespoons Basil leaves,2 tablespoons Dried Figs - chopped</t>
  </si>
  <si>
    <t>1 taza de remolacha cortada en juliana, 1 taza de zanahorias (Gajjar) cortadas en juliana, 1/4 taza de semillas de amaranto (Rajgira) ligeramente tostadas, 2 cucharadas de semillas de sésamo (semillas de Til) tostadas, 2 cucharadas de tahini para aderezo, 2 cucharadas de hojas de albahaca, 2 cucharadas de higos secos picados</t>
  </si>
  <si>
    <t xml:space="preserve">To make the Carrot Beet Amaranth Super Salad Recipe first combine the beets and carrots in a salad bowl.Drizzle in the tahini and extra virgin olive oil to the beets and carrots. Top it with the chopped dried figs, chopped basil leaves and toss it all very well.Toast the amaranth and sesame seeds next. To do this, put them in a non stick pan, and saute them lightly over a low-medium flame. Ensure you do not have the heat too high, so that they do not burn. Set them aside to cool.Once the amaranth is cooled down, add it to the above beet and carrot salad mixture only when you are ready to serve. This is to ensure that they don’t get soggy and lose the crunch.Check the salt and seasoning and adjust to suit your taste. The Carrot Beet Amaranth Super Salad is ready to be served as a meal by itself for a delicious Dinner along with a warm toasted bread and soup.
</t>
  </si>
  <si>
    <t>Para preparar la Super Ensalada de Zanahoria, Remolacha y Amaranto, primero combine la remolacha y la zanahoria en una ensaladera. Rocíe con tahini y aceite de oliva virgen extra. Añada higos secos picados y hojas de albahaca picadas por encima y mezcle bien. A continuación, tueste las semillas de amaranto y sésamo. Para ello, colóquelas en una sartén antiadherente y saltéelas ligeramente a fuego medio-bajo. Asegúrese de que el fuego no sea demasiado alto para que no se quemen. Déjelas enfriar. Una vez que el amaranto se haya enfriado, añádalo a la mezcla de remolacha y zanahoria solo cuando esté listo para servir. Esto es para asegurar que no se ablanden ni pierdan su textura crujiente. Rectifique la sal y el condimento a su gusto. La Super Ensalada de Zanahoria, Remolacha y Amaranto está lista para servirse sola, como plato principal para una deliciosa cena, acompañada de pan tostado caliente y sopa.</t>
  </si>
  <si>
    <t>Pour préparer la super salade de carottes, betteraves et amarante, mélangez d'abord les betteraves et les carottes dans un saladier. Versez le tahini et l'huile d'olive vierge extra sur les betteraves et les carottes. Garnissez de figues sèches hachées et de feuilles de basilic ciselées, puis mélangez bien le tout. Faites ensuite griller l'amarante et les graines de sésame. Pour ce faire, placez-les dans une poêle antiadhésive et faites-les revenir à feu doux-moyen. Veillez à ne pas trop chauffer pour éviter qu'elles ne brûlent. Laissez refroidir. Une fois l'amarante refroidie, ajoutez-la à la salade de betteraves et de carottes ci-dessus au moment de servir. Cela permettra d'éviter que les betteraves ne ramollissent et ne perdent leur croquant. Vérifiez le sel et l'assaisonnement et ajustez à votre goût. La super salade de carottes, betteraves et amarante est prête à être servie seule, pour un délicieux dîner, accompagnée de pain grillé chaud et d'une soupe.</t>
  </si>
  <si>
    <t>https://www.archanaskitchen.com/carrot-beet-amaranth-super-salad-recipe</t>
  </si>
  <si>
    <t>Garlic Spinach Balls Recipe</t>
  </si>
  <si>
    <t>Rezept für Knoblauch-Spinatbällchen</t>
  </si>
  <si>
    <t>Recette de boulettes d'épinards à l'ail</t>
  </si>
  <si>
    <t>Receta de bolitas de espinacas con ajo</t>
  </si>
  <si>
    <t>2 tasses d'épinards hachés, 2 gousses d'ail râpées, 1 oignon finement haché, 2 pommes de terre (Aloo) bouillies et écrasées, 1 cuillère à soupe de farine tout usage (Maida), 1 cuillère à café de poudre de piment rouge, 1/2 cuillère à café d'origan séché, sel au goût, huile de tournesol</t>
  </si>
  <si>
    <t>2 cup Spinach - chopped,2 cloves Garlic - grated,1 Onion - finely chopped,2 Potatoes (Aloo) - boiled and mashed,1 tablespoon All Purpose Flour (Maida),1 teaspoon Red Chilli powder,1/2 teaspoon Dried oregano,Salt - to taste,Sunflower Oil</t>
  </si>
  <si>
    <t>2 tazas de espinacas picadas, 2 dientes de ajo rallados, 1 cebolla finamente picada, 2 papas hervidas y machacadas, 1 cucharada de harina para todo uso (Maida), 1 cucharadita de chile rojo en polvo, 1/2 cucharadita de orégano seco, sal al gusto, aceite de girasol</t>
  </si>
  <si>
    <t xml:space="preserve">To begin making Garlic Spinach Balls, first heat a pan on medium heat and add one teaspoon of oil in it. Add grated garlic and chopped onions to it. Saute them for a couple of minutes till the onions become transparent.Once the onions are cooked, add chopped spinach and saute for 2 to 3 minutes till it softens and most of the water from the spinach is evaporated. Allow this mixture to cool.Once the mixture is cools down, add mashed potatoes, all purpose flour, chilli powder, oregano and salt to taste. Mix well till all ingredients blend together.Make lemon sized balls out of spinach potato mixture. Refrigerate the spinach balls for half an hour. Refrigerating the balls help them to get firm and crunchier while cooking.Finally to cook the Garlic Spinach Balls, heat a paniyaram pan on medium heat. add a few drops of oil into each cavity of the pan. Place the spinach balls into the cavity and cook them on all sides till they become golden brown. (Keep turning them around in the cooking process so they get roasted evenly).Once done, remove from the pan and place on the serving platter and proceed to make the remaining spinach ball the similar way.Serve the Garlic Spinach Balls hot with tomato ketchup or hot Schezwan Sauce as an appetizer for parties or even pack them into the kids school snack box.
</t>
  </si>
  <si>
    <t>Para preparar las bolitas de espinaca con ajo, calienta una sartén a fuego medio y añade una cucharadita de aceite. Agrega el ajo rallado y la cebolla picada. Saltéalas un par de minutos hasta que la cebolla esté transparente. Una vez cocidas las cebollas, añade las espinacas picadas y saltéalas de 2 a 3 minutos hasta que se ablanden y se haya evaporado la mayor parte del agua. Deja enfriar la mezcla. Una vez fría, añade puré de papas, harina común, chile en polvo, orégano y sal al gusto. Mezcla bien hasta que todos los ingredientes se integren. Forma bolitas del tamaño de un limón con la mezcla de espinaca y papa. Refrigera las bolitas de espinaca durante media hora. Refrigerarlas ayuda a que queden firmes y crujientes durante la cocción. Finalmente, para cocinar las bolitas de espinaca con ajo, calienta una sartén paniyaram a fuego medio. Agrega unas gotas de aceite en cada cavidad de la sartén. Coloca las bolitas de espinaca en la cavidad y cocínalas por todos lados hasta que se doren. (Sigue dándoles vueltas durante la cocción para que se tuesten de manera uniforme). Una vez listo, retíralos de la sartén y colócalos en una fuente para servir. Haz las bolas de espinacas restantes de la misma manera. Sirve las bolas de espinacas con ajo calientes con kétchup de tomate o salsa Schezwan picante como aperitivo para fiestas o incluso mételas en la merienda escolar de los niños.</t>
  </si>
  <si>
    <t>Pour préparer des boulettes d'épinards à l'ail, faites chauffer une poêle à feu moyen et ajoutez-y une cuillère à café d'huile. Ajoutez l'ail râpé et les oignons hachés. Faites-les revenir quelques minutes, jusqu'à ce que les oignons deviennent transparents. Une fois les oignons cuits, ajoutez les épinards hachés et faites-les revenir 2 à 3 minutes, jusqu'à ce qu'ils ramollissent et que la majeure partie de leur eau se soit évaporée. Laissez refroidir. Ensuite, ajoutez la purée de pommes de terre, la farine blanche, le piment en poudre, l'origan et du sel à votre goût. Mélangez bien jusqu'à ce que tous les ingrédients soient bien mélangés. Avec le mélange épinards-pommes de terre, façonnez des boulettes de la taille d'un citron. Réservez les boulettes au réfrigérateur pendant une demi-heure. Cela leur permet de devenir fermes et croustillantes pendant la cuisson. Enfin, pour cuire les boulettes d'épinards à l'ail, faites chauffer une poêle à paniyaram à feu moyen. Ajoutez quelques gouttes d'huile dans chaque cavité. Placez les boulettes d'épinards dans chaque cavité et faites-les dorer de tous les côtés. (Continuez à les retourner pendant la cuisson pour qu'ils soient rôtis uniformément). Une fois cuits, retirez-les de la poêle et placez-les sur le plat de service et procédez à la préparation des boulettes d'épinards restantes de la même manière. Servez les boulettes d'épinards à l'ail chaudes avec du ketchup ou de la sauce Schezwan piquante en apéritif pour les fêtes ou même emballez-les dans la boîte à goûter de l'école des enfants.</t>
  </si>
  <si>
    <t>https://www.archanaskitchen.com/garlic-spinach-balls-recipe</t>
  </si>
  <si>
    <t>Jalapeno Potato Cheese Balls Recipe With Four Pepper Cheese Dip</t>
  </si>
  <si>
    <t>Rezept für Jalapeno-Kartoffel-Käsebällchen mit Vier-Pfeffer-Käse-Dip</t>
  </si>
  <si>
    <t>Recette de boulettes de fromage et de pommes de terre au jalapeño avec trempette au fromage et aux quatre poivres</t>
  </si>
  <si>
    <t>Bolitas de papa y queso con jalapeño y salsa de queso con cuatro pimientas</t>
  </si>
  <si>
    <t>2 tasses de pommes de terre (Aloo) - écrasées et réfrigérées, 6 cubes de fromage Britannia - coupés en petits morceaux, 4 gousses d'ail - finement hachées, 2 jalapeños marinés - finement hachés, 3 brins de feuilles de persil - finement hachés, 2 œufs entiers - fouettés, 1 tasse de chapelure de blé entier, 1 cuillère à café d'herbes mélangées (séchées), sel - au goût, huile de tournesol - au besoin, 3 cuillères à soupe de tartinade de fromage Britannia - Tango aux quatre poivres, 3 cuillères à soupe de yaourt grec (Hung Curd), 2 brins de feuilles de persil - finement hachés, sel - au goût</t>
  </si>
  <si>
    <t>2 cups Potatoes (Aloo) - mashed &amp; refrigerated,6 Britannia Cheese Cubes - cut into small pieces,4 cloves Garlic - finely chopped,2 Pickled Jalapenos - finely chopped,3 sprig Parsley leaves - finely chopped,2 Whole Eggs - whisked,1 cup Whole Wheat Bread crumbs,1 teaspoon Mixed Herbs (Dried),Salt - to taste,Sunflower Oil - as required,3 tablespoons Britannia Cheese Spread - Four Pepper Tango,3 tablespoons Hung Curd (Greek Yogurt),2 sprig Parsley leaves - finely chopped,Salt - to taste</t>
  </si>
  <si>
    <t>2 tazas de papas (Aloo) - machacadas y refrigeradas, 6 cubos de queso Britannia - cortados en trozos pequeños, 4 dientes de ajo - finamente picados, 2 jalapeños encurtidos - finamente picados, 3 ramitas de hojas de perejil - finamente picadas, 2 huevos enteros - batidos, 1 taza de pan rallado integral, 1 cucharadita de hierbas mixtas (secas), sal - al gusto, aceite de girasol - según se requiera, 3 cucharadas de queso untable Britannia - Four Pepper Tango, 3 cucharadas de Hung Curd (yogur griego), 2 ramitas de hojas de perejil - finamente picadas, sal - al gusto</t>
  </si>
  <si>
    <t xml:space="preserve">To begin making Jalapeno Potato Cheese Balls Recipe combine the refrigerated mashed potatoes, jalapenos, parsley and salt to taste . Shape the mix into ping pong size balls. Flatten the balls and add the chopped britannia cheese cubes in the center and then fold to make a ball again.Refrigerate the Jalapeno Potato Cheese Balls for 30 minutes.Mix the herbs with the bread crumbs in a plate and keep aside.After 30 minutes remove the potato cheese balls from the fridge. Dip the chilled Potato Cheese Balls into whisked egg and roll over the herbed bread crumbs. Make all the balls and keep aside.Now heat a kuzhi paniyaram pan with little oil in each cavity. Place the Jalapeno Potato Cheese Balls in the pan's cavities; drizzle the Jalapeno Potato Cheese Balls with a little oil and pan fry them until golden brown on both sides.Once done remove the Jalapeno Potato Cheese Balls onto an oil absorbent paper and serve hot. For the Four Pepper Cheese DipCombine Four pepper tango cheese spread, hung curd, salt and parsley in a bowl. Whisk it up well to combine all the ingredients together.Transfer into a dip bowl and serve.Serve Jalapeno Potato Cheese Balls as a party appetizer with Four Pepper Cheese Dip  and a party meal of Classic Caesar Salad , Pumpkin Stew With Chickpeas and Pistachio &amp; Cranberry Broken Wheat Pilaf.
</t>
  </si>
  <si>
    <t>Para comenzar a hacer la receta de bolas de queso y papas jalapeños combine el puré de papas refrigerado, los jalapeños, el perejil y la sal al gusto. Forme la mezcla en bolas del tamaño de una pelota de ping pong. Aplane las bolas y agregue los cubos de queso britannia picados en el centro y luego doble para hacer una bola nuevamente. Refrigere las bolas de queso y papas jalapeños durante 30 minutos. Mezcle las hierbas con el pan rallado en un plato y reserve. Después de 30 minutos, retire las bolas de queso y papas del refrigerador. Sumerja las bolas de queso y papas frías en huevo batido y páselas por el pan rallado con hierbas. Haga todas las bolas y reserve. Ahora caliente una sartén kuzhi paniyaram con un poco de aceite en cada cavidad. Coloque las bolas de queso y papas jalapeños en las cavidades de la sartén; Rocíe las bolas de queso y papa con jalapeño con un poco de aceite y fríalas en la sartén hasta que estén doradas por ambos lados. Una vez listas, retire las bolas de queso y papa con jalapeño sobre un papel absorbente de aceite y sirva calientes. Para la salsa de queso a las cuatro pimientas, combine la crema de queso tango de cuatro pimientas, la cuajada colgada, la sal y el perejil en un tazón. Bata bien para combinar todos los ingredientes. Transfiera a un tazón para salsa y sirva. Sirva las bolas de queso y papa con jalapeño como un aperitivo para fiestas con la salsa de queso a las cuatro pimientas y una comida para fiestas de ensalada César clásica, estofado de calabaza con garbanzos y pilaf de trigo partido con pistachos y arándanos.</t>
  </si>
  <si>
    <t>Pour commencer à préparer la recette des boules de fromage et de pommes de terre au jalapeño, mélangez la purée de pommes de terre réfrigérée, les jalapeños, le persil et le sel au goût. Façonnez le mélange en boules de la taille d'une table de ping-pong. Aplatissez les boules et ajoutez les cubes de fromage Britannia hachés au centre, puis pliez pour former à nouveau une boule. Réfrigérez les boules de fromage et de pommes de terre au jalapeño pendant 30 minutes. Mélangez les herbes avec la chapelure dans une assiette et réservez. Après 30 minutes, retirez les boules de fromage et de pommes de terre du réfrigérateur. Trempez les boules de fromage et de pommes de terre réfrigérées dans l'œuf battu et roulez-les sur la chapelure aux herbes. Faites toutes les boules et réservez. Faites maintenant chauffer une poêle kuzhi paniyaram avec un peu d'huile dans chaque cavité. Placez les boules de fromage et de pommes de terre au jalapeño dans les cavités de la poêle ; arrosez les boules de fromage et de pommes de terre au jalapeño d'un peu d'huile et faites-les frire à la poêle jusqu'à ce qu'elles soient dorées des deux côtés. Une fois terminé, retirez les boules de fromage et de pommes de terre au jalapeño sur un papier absorbant l'huile et servez chaud. Pour la trempette au fromage aux quatre poivres : Mélangez la tartinade au fromage tango aux quatre poivres, le fromage blanc, le sel et le persil dans un bol. Fouettez bien pour mélanger tous les ingrédients. Transférez dans un bol à trempette et servez. Servez les boulettes de fromage et de pommes de terre au jalapeño en entrée avec la trempette au fromage aux quatre poivres et un repas de fête composé d’une salade César classique, d’un ragoût de potiron aux pois chiches et d’un pilaf de blé brisé aux pistaches et aux canneberges.</t>
  </si>
  <si>
    <t>https://www.archanaskitchen.com/jalapeno-potato-cheese-balls-recipe-with-four-pepper-cheese-dip</t>
  </si>
  <si>
    <t>Banana-Almond Butter Bread Recipe</t>
  </si>
  <si>
    <t>Rezept für Bananen-Mandelbutterbrot</t>
  </si>
  <si>
    <t>Recette de pain au beurre d'amandes et à la banane</t>
  </si>
  <si>
    <t>Receta de pan de plátano con mantequilla de almendras</t>
  </si>
  <si>
    <t>1 banane mûre (trop mûre), 1 œuf entier, 1/4 tasse de sucre, 2-1/2 cuillères à soupe de beurre d'amande, 5 cuillères à soupe de Vivatta Maida, 3 cuillères à soupe de poudre d'amande (Badam Powder), 1/2 cuillère à café de levure chimique, 1/4 cuillère à café de bicarbonate de soude, 1/4 cuillère à café de cannelle en poudre (Dalchini), 1 pincée de sel, 1/4 cuillère à café d'extrait de vanille - ou d'extrait d'amande, 2 cuillères à soupe d'amandes effilées (Badam), 2 cuillères à soupe de ganache au chocolat - ou de chocolat fondu</t>
  </si>
  <si>
    <t>1 Ripe Bananas - (over ripe),1 Whole Egg,1/4 cup Sugar,2-1/2 tablespoons Almond butter,5 tablespoons Vivatta Maida,3 tablespoons Almond Meal (Badam Powder),1/2 teaspoon Baking powder,1/4 teaspoon Baking soda,1/4 teaspoon Cinnamon Powder (Dalchini),1 pinch Salt,1/4 teaspoon Vanilla Extract - or almond extract,2 tablespoons Slivered Almonds (Badam),2 tablespoons Chocolate ganache - or melted chocolate</t>
  </si>
  <si>
    <t>1 plátano maduro (demasiado maduro), 1 huevo entero, 1/4 taza de azúcar, 2-1/2 cucharadas de mantequilla de almendras, 5 cucharadas de Vivatta Maida, 3 cucharadas de harina de almendras (Badam en polvo), 1/2 cucharadita de polvo para hornear, 1/4 cucharadita de bicarbonato de sodio, 1/4 cucharadita de canela en polvo (Dalchini), 1 pizca de sal, 1/4 cucharadita de extracto de vainilla o extracto de almendras, 2 cucharadas de almendras fileteadas (Badam), 2 cucharadas de ganache de chocolate o chocolate derretido</t>
  </si>
  <si>
    <t xml:space="preserve">To begin making Banana-Almond Butter Bread Recipe, preheat oven to 170 deg C.In a bowl, mash ripe banana with a fork and keep it aside for later use.Sieve together the flour, almond flour, baking soda, baking powder, cinnamon powder and salt. Keep it aside.In stand mixer, add sugar and egg and beat in medium speed till the sugar is dissolved. Add almond butter and mashed banana and beat again, mixture will still be lumpy due to mashed banana.Gradually add flour mixture in two batches and stir until just combined. Don’t over stir it.Grease the loaf pan or muffin tray and divide the mixture in prepared muffin tray or loaf pan. Drizzle melted chocolate and give a swirl, and also sprinkle almond flakes on top.Place the tray in preheated. oven. Bake for 17-18 minutes, until a toothpick inserted comes out clean and the tops turn golden.Cool in the pan for 10 minutes then transfer it to a cooling rack to cool completely.Moist and flavorful banana almond bread is ready to be sliced. Serve Banana-Almond Butter Bread Recipe along with a cup of Coffee Recipe With Instant Coffee Powder and Elo Jhelo Nimki Recipe during evening.
</t>
  </si>
  <si>
    <t>Para preparar la receta de pan de mantequilla de almendras y plátano, precalienta el horno a 170 °C. En un tazón, machaca el plátano maduro con un tenedor y resérvalo para más adelante. Tamiza la harina, la harina de almendras, el bicarbonato, el polvo para hornear, la canela en polvo y la sal. Reserva. En una batidora de pedestal, agrega el azúcar y el huevo y bate a velocidad media hasta que el azúcar se disuelva. Agrega la mantequilla de almendras y el plátano machacado y vuelve a batir; la mezcla aún estará grumosa debido al plátano machacado. Agrega gradualmente la mezcla de harina en dos tandas y revuelve hasta que se integre. No revuelvas demasiado. Engrasa el molde para pan o para muffins y divide la mezcla en el molde preparado. Rocía chocolate derretido y forma un remolino, y espolvorea almendras en láminas por encima. Coloca la bandeja en el horno precalentado. Hornee durante 17-18 minutos, hasta que al insertar un palillo, este salga limpio y la superficie esté dorada. Deje enfriar en el molde durante 10 minutos y luego transfiéralo a una rejilla para que se enfríe por completo. El húmedo y sabroso pan de plátano y almendras está listo para rebanar. Sirva la receta de pan de plátano y almendras con mantequilla junto con una taza de café instantáneo en polvo y una receta de Elo Jhelo Nimki por la noche.</t>
  </si>
  <si>
    <t>Pour commencer la recette du pain banane-beurre d'amandes, préchauffez le four à 170 °C. Dans un bol, écrasez la banane mûre à la fourchette et réservez. Tamisez ensemble la farine, la farine d'amandes, le bicarbonate de soude, la levure chimique, la cannelle en poudre et le sel. Réservez. Dans un robot pâtissier, ajoutez le sucre et l'œuf et battez à vitesse moyenne jusqu'à dissolution du sucre. Ajoutez le beurre d'amandes et la banane écrasée et battez à nouveau. Le mélange sera encore grumeleux à cause de la banane écrasée. Ajoutez progressivement le mélange de farine en deux fois et mélangez jusqu'à ce que le tout soit homogène. Ne remuez pas trop. Graissez un moule à muffins ou à cake et répartissez la préparation dans le moule à muffins ou à cake préparé. Arrosez de chocolat fondu et faites un tourbillon, puis parsemez d'amandes effilées. Placez le moule dans le four préchauffé. Enfournez pendant 17 à 18 minutes, jusqu'à ce qu'un cure-dent inséré en ressorte propre et que le dessus soit doré. Laissez refroidir dans le moule pendant 10 minutes, puis transférez sur une grille pour un refroidissement complet. Ce pain aux amandes et à la banane, moelleux et savoureux, est prêt à être tranché. Servez la recette du pain aux amandes et à la banane avec une tasse de café instantané et une recette d'Elo Jhelo Nimki le soir.</t>
  </si>
  <si>
    <t>https://www.archanaskitchen.com/banana-almond-butter-bread-recipe</t>
  </si>
  <si>
    <t>Eggless Wholewheat And Custard Powder Coconut Cookies Recipe</t>
  </si>
  <si>
    <t>Rezept für Kokosnusskekse ohne Ei und mit Vanillepuddingpulver</t>
  </si>
  <si>
    <t>Recette de biscuits à la noix de coco sans œufs et avec de la poudre de pudding à la vanille</t>
  </si>
  <si>
    <t>Receta de galletas de coco sin huevo con polvo de pudín de vainilla</t>
  </si>
  <si>
    <t>1-1/2 tasse de farine de blé entier, 3 cuillères à soupe de poudre à crème anglaise, 1/3 tasse d'huile de tournesol, 3 cuillères à soupe de noix de coco desséchée, 1/2 cuillère à soupe d'extrait de vanille, 1/2 tasse de cassonade (sucre Demerara) - en poudre, sel - une pincée, 1/4 cuillère à café de bicarbonate de soude, 3/4 cuillère à café de levure chimique, 1 cuillère à soupe de lait</t>
  </si>
  <si>
    <t>1-1/2 cups Whole Wheat Flour,3 tablespoon Custard powder,1/3 cup Sunflower Oil,3 tablespoon Dessicated Coconut,1/2 tablespoon Vanilla Extract,1/2 cup Brown Sugar (Demerara Sugar) - powdered,Salt - A pinch,1/4 teaspoon Baking soda,3/4 teaspoon Baking powder,1 tablespoon Milk</t>
  </si>
  <si>
    <t>1-1/2 tazas de harina integral, 3 cucharadas de natillas en polvo, 1/3 taza de aceite de girasol, 3 cucharadas de coco deshidratado, 1/2 cucharada de extracto de vainilla, 1/2 taza de azúcar morena (azúcar Demerara) en polvo, sal - una pizca, 1/4 cucharadita de bicarbonato de sodio, 3/4 cucharadita de polvo para hornear, 1 cucharada de leche</t>
  </si>
  <si>
    <t xml:space="preserve">To begin with Eggless Whole Wheat And Custard Powder Coconut Cookies, sieve the dry ingredients which include whole wheat flour, custard powder, salt, baking soda and baking powder. To this add desiccated coconut and mix well.Add the powdered brown sugar, oil and vanilla essence and bring it to a smooth dough. Don’t knead the mixture.Add a tablespoon of milk, and bind it properly. Cover the dough and let it rest for about 5 minutes.Make small roundels of the dough and flatten it with a fork, place them on the lined baking tray. Use the rest of the dough to make similar cookies.Bake for 12-15 mins  or when they start to crinkle and done from the edges in an oven.They will remain slightly soft when taken out and harden within 10 mins on a cooling rack. Store in an airtight container once completely cooled and enjoy it during your tea time breaks.Serve Eggless Wholewheat And Custard Powder Coconut Cookies with Masala Chai and Grilled Spicy Potato sandwiches for your tea parties.
</t>
  </si>
  <si>
    <t>Para comenzar con las galletas de coco con trigo integral y natillas sin huevo, tamice los ingredientes secos que incluyen harina integral, natillas en polvo, sal, bicarbonato de sodio y polvo para hornear. A esto agregue coco rallado y mezcle bien. Agregue el azúcar moreno en polvo, el aceite y la esencia de vainilla y lleve a una masa suave. No amasar la mezcla. Agregue una cucharada de leche y únala adecuadamente. Cubra la masa y déjela reposar durante unos 5 minutos. Haga pequeños círculos de la masa y aplánelos con un tenedor, colóquelos en la bandeja para hornear forrada. Use el resto de la masa para hacer galletas similares. Hornee durante 12-15 minutos o cuando comiencen a arrugarse y estén hechas por los bordes en un horno. Permanecerán ligeramente suaves cuando se saquen y se endurecerán en 10 minutos en una rejilla para enfriar. Guárdelo en un recipiente hermético una vez que se haya enfriado por completo y disfrútelo durante sus pausas para el té. Sirva galletas de coco integrales sin huevo y crema pastelera con sándwiches de chai masala y papas picantes a la parrilla para sus fiestas de té.</t>
  </si>
  <si>
    <t>Pour commencer les biscuits à la noix de coco sans œufs au blé entier et à la poudre à crème anglaise, tamisez les ingrédients secs qui comprennent la farine de blé entier, la poudre à crème anglaise, le sel, le bicarbonate de soude et la levure chimique. Ajoutez à cela la noix de coco râpée et mélangez bien. Ajoutez la cassonade en poudre, l'huile et l'essence de vanille et formez une pâte lisse. Ne pétrissez pas le mélange. Ajoutez une cuillère à soupe de lait et liez bien. Couvrez la pâte et laissez reposer environ 5 minutes. Faites de petits ronds de pâte et aplatissez-les avec une fourchette, placez-les sur la plaque de cuisson recouverte de papier sulfurisé. Utilisez le reste de la pâte pour faire des biscuits similaires. Faites cuire au four pendant 12 à 15 minutes ou lorsqu'ils commencent à se froisser et sont cuits sur les bords. Ils resteront légèrement mous une fois sortis et durciront en 10 minutes sur une grille de refroidissement. Conservez-le dans un récipient hermétique une fois complètement refroidi et dégustez-le pendant vos pauses thé. Servez des biscuits à la noix de coco sans œufs, au blé complet et à la poudre de crème anglaise, avec du Masala Chai et des sandwichs aux pommes de terre épicées grillées pour vos goûters.</t>
  </si>
  <si>
    <t>https://www.archanaskitchen.com/eggless-wholewheat-and-custard-powder-coconut-cookies-recipe</t>
  </si>
  <si>
    <t>Oats And Date Cookie Recipe</t>
  </si>
  <si>
    <t>Rezept für Hafer-Dattel-Kekse</t>
  </si>
  <si>
    <t>Recette de biscuits à l'avoine et aux dattes</t>
  </si>
  <si>
    <t>Receta de galletas de avena y dátiles</t>
  </si>
  <si>
    <t>1 tasse de flocons d'avoine instantanés (variété instantanée), 1/2 tasse de farine de blé entier, 1/2 tasse de dattes hachées, 1/2 tasse de cassonade (sucre Demerara), 1/2 tasse d'huile de tournesol ou de ghee, 1 cuillère à café de levure chimique, 1/2 cuillère à café de bicarbonate de soude, 2 cuillères à café d'extrait de vanille</t>
  </si>
  <si>
    <t>1 cup Instant Oats (Oatmeal) - (instant variety),1/2 cup Whole Wheat Flour,1/2 cup Dates - chopped,1/2 cup Brown Sugar (Demerara Sugar),1/2 cup Sunflower Oil - or Ghee,1 teaspoon Baking powder,1/2 teaspoon Baking soda,2 teaspoons Vanilla Extract</t>
  </si>
  <si>
    <t>1 taza de avena instantánea (variedad instantánea), 1/2 taza de harina integral, 1/2 taza de dátiles picados, 1/2 taza de azúcar morena (azúcar Demerara), 1/2 taza de aceite de girasol o ghee, 1 cucharadita de polvo para hornear, 1/2 cucharadita de bicarbonato de sodio, 2 cucharaditas de extracto de vainilla</t>
  </si>
  <si>
    <t xml:space="preserve">To begin making the Oats And Date Cookie recipe, preheat oven to 180° C. Grind instant oats coarsely in a blender and add it to mixing bowl.Add wheat flour, baking powder and baking soda to oats in the bowl and mix well.In separate bowl, mix together oil, sugar, chopped dates and vanilla essence until the sugar dissolves.Now add the flour into wet ingredients and mix to get crumbs like consistency.Add milk to it and mix well in hand to get soft and sticky dough.Make small balls in dough and press gently to make small circles. Make impressions using a fork and repeat with remaining dough.Arrange them in lined baking tray and bake for 20 to 25 minutes at 180° C in preheated oven.Once baked, let it completely cool and store in airtight container. Serve Oats And Date Cookie along with a hot cup of Masala Chai and Cheese Cucumber sandwich for your tea time break.
</t>
  </si>
  <si>
    <t>Para empezar a hacer la receta de Galletas de Avena y Dátiles, precaliente el horno a 180° C. Muela la avena instantánea en una licuadora y agréguela a un tazón. Agregue harina de trigo, polvo para hornear y bicarbonato de sodio a la avena en el tazón y mezcle bien. En un tazón aparte, mezcle el aceite, el azúcar, los dátiles picados y la esencia de vainilla hasta que el azúcar se disuelva. Ahora agregue la harina a los ingredientes húmedos y mezcle hasta obtener una consistencia similar a las migas. Agregue leche y mezcle bien con la mano para obtener una masa suave y pegajosa. Forme pequeñas bolas en la masa y presione suavemente para formar pequeños círculos. Haga impresiones con un tenedor y repita con la masa restante. Colóquelas en una bandeja para hornear forrada y hornee durante 20 a 25 minutos a 180° C en un horno precalentado. Una vez horneadas, deje que se enfríen por completo y guarde en un recipiente hermético. Sirva las Galletas de Avena y Dátiles junto con una taza caliente de Masala Chai y sándwich de pepino con queso para su hora del té.</t>
  </si>
  <si>
    <t>Pour commencer à préparer la recette de biscuits à l'avoine et aux dattes, préchauffez le four à 180 °C. Broyez grossièrement les flocons d'avoine instantanés dans un mixeur et ajoutez-les au bol. Ajoutez la farine de blé, la levure chimique et le bicarbonate de soude aux flocons d'avoine dans le bol et mélangez bien. Dans un autre bol, mélangez l'huile, le sucre, les dattes hachées et l'essence de vanille jusqu'à dissolution du sucre. Ajoutez ensuite la farine aux ingrédients humides et mélangez jusqu'à obtenir une consistance mijotée. Ajoutez le lait et mélangez bien à la main pour obtenir une pâte souple et collante. Formez de petites boules de pâte et appuyez doucement pour former de petits cercles. Faites des empreintes à l'aide d'une fourchette et répétez l'opération avec le reste de pâte. Disposez-les sur une plaque de cuisson recouverte de papier sulfurisé et faites cuire au four préchauffé pendant 20 à 25 minutes à 180 °C. Une fois cuit, laissez refroidir complètement et conservez-le dans un récipient hermétique. Servez les biscuits à l'avoine et aux dattes avec une tasse de masala chai chaud et un sandwich au concombre et au fromage pour votre pause thé.</t>
  </si>
  <si>
    <t>http://www.archanaskitchen.com/oats-and-date-cookie-recipe</t>
  </si>
  <si>
    <t>Leftover Carrot Cake Mini Trifle Recipe</t>
  </si>
  <si>
    <t>Rezept für Mini-Trifle aus übrig gebliebenem Karottenkuchen</t>
  </si>
  <si>
    <t>Recette de mini trifle à base de restes de gâteau aux carottes</t>
  </si>
  <si>
    <t>Receta de mini postre con restos de pastel de zanahoria</t>
  </si>
  <si>
    <t>Gâteau aux carottes - 1 recette ou restes, 130 grammes de fromage à la crème Britannia - à température ambiante, 50 grammes de beurre (non salé) - à température ambiante, 1 tasse de sucre glace - (220 ml), 1 cuillère à café d'extrait de vanille, 1/3 tasse de farine tout usage (Maida), 1/2 tasse de flocons d'avoine instantanés (gruau), 1/4 tasse de noix - hachées, 1 cuillère à soupe de sucre - en poudre, 30 grammes de beurre - froid et coupé en cubes</t>
  </si>
  <si>
    <t>Carrot Cake - 1 recipe or leftover,130 grams Britannia Cream Cheese - at room temperature,50 grams Butter (unsalted) - at room temperature,1 cup Icing Sugar - (220 ml),1 teaspoon Vanilla Extract,1/3 cup All Purpose Flour (Maida),1/2 cup Instant Oats (Oatmeal),1/4 cup Walnuts - chopped,1 tablespoon Sugar - powdered,30 grams Butter - cold and cubed</t>
  </si>
  <si>
    <t>Pastel de zanahoria - 1 receta o sobras, 130 gramos de queso crema Britannia - a temperatura ambiente, 50 gramos de mantequilla (sin sal) - a temperatura ambiente, 1 taza de azúcar glas - (220 ml), 1 cucharadita de extracto de vainilla, 1/3 taza de harina para todo uso (Maida), 1/2 taza de avena instantánea (avena), 1/4 taza de nueces picadas, 1 cucharada de azúcar en polvo, 30 gramos de mantequilla fría y cortada en cubos</t>
  </si>
  <si>
    <t xml:space="preserve">To begin making the Leftover Carrot Cake Mini Trifle, in a bowl, add the carrot cake and crumble it using a fork. Once done, keep it aside.To make the oats-walnut crumble, first put your oven on preheat at 180°C.Next in a bowl, add all purpose flour, oats, powdered sugar, chopped walnuts and give it a good mix.Next, add 30 grams cubed &amp; cold butter to the oats mixture and rub the mixture with your hands until it resembles bread crumbs.Now spread the mixture in a baking pan and bake at 180°C for 15 minutes or until the crumble becomes golden brown in colour. Once it’s done, keep it aside to cool down.While the crumble is baking in the oven, you can prepare your cream cheese frosting. To make that, add cream cheese, butter, and vanilla essence to a bowl and beat at medium speed until mixture becomes creamy.Now start adding icing sugar, 1/3rd at a time, and beat at medium speed till sugar is well incorporated. Your cream cheese frosting is ready. Put your frosting in a piping bag and keep aside.This recipe makes 6 glasses of trifle (each measuring 250ml and 3 inches long).Now to assemble the trifle, first, divide your carrot cake crumbs into 12 equal parts as you need 12 layers of carrot cake (2 in each trifle glass). Similarly divide your oats-walnut crumble also into 12 equal parts.Next, add a layer of carrot cake crumbs at the bottom of each glass. It should be about half inch thick.Now on top of this first layer, add the layer of your cream cheese frosting.Next, add the third layer of the cooled oats-walnut crumble.Repeat the layers in the same order once more and that will become your 4th, 5th, and 6th layer.Your mini trifle glasses are ready. Keep them in refrigerator for about 2 hours before serving.Serve these delectable Leftover Carrot Cake Mini Trifles as a dessert at your Tea parties along with a cup of Masala Chai or after a delicious meal of Pasta Aglio Olio and Savory Melon Salad.
</t>
  </si>
  <si>
    <t>Para empezar a preparar el minitrifle de pastel de zanahoria sobrante, en un bol, añade el pastel de zanahoria y desmenúzalo con un tenedor. Una vez listo, resérvalo. Para el crumble de avena y nueces, precalienta el horno a 180 °C. En un bol, añade la harina común, la avena, el azúcar glas y las nueces picadas y mezcla bien. A continuación, añade 30 gramos de mantequilla fría en cubos a la mezcla de avena y frota la mezcla con las manos hasta que parezca pan rallado. Extiende la mezcla en un molde para hornear y hornea a 180 °C durante 15 minutos o hasta que el crumble adquiera un color dorado. Una vez listo, resérvalo para que se enfríe. Mientras se hornea el crumble, puedes preparar el glaseado de queso crema. Para prepararlo, añade el queso crema, la mantequilla y la esencia de vainilla a un bol y bate a velocidad media hasta que la mezcla esté cremosa. Ahora, empieza a añadir el azúcar glas, 1/3 a la vez, y bate a velocidad media hasta que el azúcar esté bien incorporado. El glaseado de queso crema está listo. Vierte el glaseado en una manga pastelera y reserva. Esta receta rinde para 6 vasos de trifle (cada uno de 250 ml y 7,5 cm de largo). Para armar el trifle, primero, divide las migas de pastel de zanahoria en 12 partes iguales, ya que necesitas 12 capas de pastel de zanahoria (2 en cada vaso). De igual forma, divide el crumble de avena y nueces en 12 partes iguales. Luego, añade una capa de migas de pastel de zanahoria en el fondo de cada vaso. Debe tener aproximadamente media pulgada de grosor. Ahora, sobre esta primera capa, agrega la capa de glaseado de queso crema. Luego, agrega la tercera capa de crumble de avena y nueces frío. Repite las capas en el mismo orden una vez más y estas se convertirán en tu cuarta, quinta y sexta capa. Tus mini vasitos de trifle están listos. Mantenlos en el refrigerador durante aproximadamente 2 horas antes de servir. Sirve estos deliciosos Mini Trifles de Pastel de Zanahoria Sobrante como postre en tus fiestas de té junto con una taza de Masala Chai o después de una deliciosa comida de Pasta Aglio Olio y Ensalada de Melón Sabrosa.</t>
  </si>
  <si>
    <t>Pour préparer le mini-trifle aux restes de gâteau aux carottes, versez le gâteau aux carottes dans un bol et émiettez-le à la fourchette. Réservez. Pour le crumble avoine-noix, préchauffez votre four à 180 °C. Dans un bol, ajoutez la farine blanche, les flocons d'avoine, le sucre glace et les noix hachées, puis mélangez bien. Ajoutez ensuite 30 g de beurre froid coupé en dés au mélange d'avoine et malaxez le mélange avec vos mains jusqu'à obtenir une consistance de chapelure. Étalez la préparation dans un moule et enfournez à 180 °C pendant 15 minutes ou jusqu'à ce que le crumble soit doré. Réservez ensuite pour qu'il refroidisse. Pendant que le crumble cuit au four, préparez le glaçage au fromage frais. Pour ce faire, ajoutez le fromage frais, le beurre et l'extrait de vanille dans un bol et battez à vitesse moyenne jusqu'à obtenir une consistance crémeuse. Ajoutez ensuite le sucre glace, 1/3 à la fois, et battez à vitesse moyenne jusqu'à ce que le sucre soit bien incorporé. Votre glaçage au fromage frais est prêt. Versez le glaçage dans une poche à douille et réservez. Cette recette permet de préparer 6 verrines de trifle (250 ml et 7,5 cm de long chacune). Pour assembler le trifle, divisez d'abord vos miettes de gâteau aux carottes en 12 parts égales, car vous aurez besoin de 12 couches de gâteau aux carottes (2 dans chaque verrine). Divisez également votre crumble flocons d'avoine-noix en 12 parts égales. Ensuite, ajoutez une couche de miettes de gâteau aux carottes au fond de chaque verrine. Elle doit avoir une épaisseur d'environ 1,25 cm. Ajoutez ensuite la couche de glaçage au fromage frais sur cette première couche. Ajoutez ensuite la troisième couche de crumble aux flocons d'avoine et aux noix refroidi. Répétez les couches dans le même ordre une fois de plus et cela deviendra votre 4e, 5e et 6e couche. Vos mini-trifles sont prêts. Conservez-les au réfrigérateur pendant environ 2 heures avant de servir. Servez ces délicieux mini-trifles aux restes de gâteau aux carottes en dessert lors de vos goûters, accompagnés d'une tasse de Masala Chai ou après un délicieux repas de pâtes Aglio Olio et de salade de melon salée.</t>
  </si>
  <si>
    <t>https://www.archanaskitchen.com/leftover-carrot-cake-mini-trifle-recipe</t>
  </si>
  <si>
    <t>Broccoli With Lemon Butter Sauce Recipe</t>
  </si>
  <si>
    <t>Rezept für Brokkoli mit Zitronenbuttersoße</t>
  </si>
  <si>
    <t>Recette de brocoli à la sauce au beurre citronné</t>
  </si>
  <si>
    <t>Receta de brócoli con salsa de mantequilla y limón</t>
  </si>
  <si>
    <t>1 brocoli - coupé en petits bouquets, 2 cuillères à soupe de beurre - (salé), 1 cuillère à soupe de jus de citron, 4 grains de poivre noir entiers - moulus, herbes fraîches - (j'ai utilisé de la coriandre), sel - au goût</t>
  </si>
  <si>
    <t>1 Broccoli - cut into smaller florets,2 tablespoons Butter - (salted),1 tablespoon Lemon juice,4 Whole Black Peppercorns - ground,Fresh Herbs - (I used cilantro),Salt - to taste</t>
  </si>
  <si>
    <t>1 brócoli (cortado en floretes más pequeños), 2 cucharadas de mantequilla (con sal), 1 cucharada de jugo de limón, 4 granos de pimienta negra enteros (molidos), hierbas frescas (yo usé cilantro), sal (al gusto).</t>
  </si>
  <si>
    <t xml:space="preserve">To prepare Broccoli With Lemon Butter Sauce Recipe, steam cook the broccoli till they are fork tender.Heat a pan with a little water. Add butter, chopped herbs, broccoli, black pepper, salt and lemon juice.Simmer for 2-3 minutes till the broccoli is well coated with the sauce. Switch off flame.Your simple yet flavourful Broccoli in lemon butter sauce recipe is ready to be served with Mexican Lime chicken and bread, or your favorite pasta.
</t>
  </si>
  <si>
    <t>Para preparar la receta de brócoli con salsa de mantequilla y limón, cocine al vapor el brócoli hasta que esté tierno. Caliente una sartén con un poco de agua. Agregue mantequilla, hierbas picadas, brócoli, pimienta negra, sal y jugo de limón. Cocine a fuego lento durante 2-3 minutos hasta que el brócoli esté bien cubierto con la salsa. Apague el fuego. Su sencilla pero sabrosa receta de brócoli en salsa de mantequilla y limón está lista para servirse con pollo al limón mexicano y pan, o su pasta favorita.</t>
  </si>
  <si>
    <t>Pour préparer la recette de brocoli à la sauce au beurre citronné, faites cuire le brocoli à la vapeur jusqu'à ce qu'il soit tendre à la fourchette. Faites chauffer une casserole avec un peu d'eau. Ajoutez le beurre, les herbes hachées, le brocoli, le poivre noir, le sel et le jus de citron. Laissez mijoter 2 à 3 minutes jusqu'à ce que le brocoli soit bien enrobé de sauce. Éteignez le feu. Votre recette simple mais savoureuse de brocoli à la sauce au beurre citronné est prête à être servie avec du poulet mexicain au citron vert et du pain, ou vos pâtes préférées.</t>
  </si>
  <si>
    <t>http://www.archanaskitchen.com/broccoli-with-lemon-butter-sauce-recipe</t>
  </si>
  <si>
    <t>Buckwheat and Oatmeal Chocochip Pancakes Recipe (Eggless)</t>
  </si>
  <si>
    <t>Rezept für Schokochip-Pfannkuchen mit Buchweizen und Haferflocken (ohne Ei)</t>
  </si>
  <si>
    <t>Recette de crêpes aux pépites de chocolat, sarrasin et flocons d'avoine (sans œuf)</t>
  </si>
  <si>
    <t>Receta de panqueques de avena, trigo sarraceno y chispas de chocolate (sin huevo)</t>
  </si>
  <si>
    <t>1 tasse de farine de sarrasin (Kuttu Ka Atta), 1 tasse de farine d'avoine, 1 cuillère à soupe de poudre de cacao, 1 cuillère à soupe de poudre de graines de lin (farine de lin), 2-3 cuillères à café de pépites de chocolat, 1 pincée de sel, 1/4 cuillère à café d'extrait de vanille, sirop d'érable - sucre au goût, 1 cuillère à soupe de beurre de cacahuète, 1 cuillère à café de pépites de chocolat, fruits mélangés - tranchés</t>
  </si>
  <si>
    <t>1 cup Buckwheat Flour (Kuttu Ka Atta),1 cup Oats Flour,1 tablespoon Cocoa Powder,1 tablespoon Flax seed powder (flax meal),2-3 teaspoons Chocolate chips,1 pinch Salt,1/4 teaspoon Vanilla Extract,Maple syrup - sugar to taste,1 tablespoon Peanut Butter,1 teaspoon Chocolate chips,Mixed fruits - sliced</t>
  </si>
  <si>
    <t>1 taza de harina de trigo sarraceno (Kuttu Ka Atta), 1 taza de harina de avena, 1 cucharada de cacao en polvo, 1 cucharada de polvo de semillas de lino (harina de lino), 2-3 cucharaditas de chispas de chocolate, 1 pizca de sal, 1/4 cucharadita de extracto de vainilla, jarabe de arce - azúcar al gusto, 1 cucharada de mantequilla de maní, 1 cucharadita de chispas de chocolate, frutas mixtas - en rodajas</t>
  </si>
  <si>
    <t xml:space="preserve">To begin making Buckwheat and Oatmeal Chocochip Pancakes Recipe (Eggless), take the flax seed powder and 2 tablespoons of water in a bowl and whisk it vigorously until it becomes gelatinous.To this add rest of the ingredients and prepare a free flowing batter with water. The consistency of the batter should be a little thinner than the regular pancake batter.Heat a griddle an on medium heat.Pour a ladle full of the pancake batter on it and gently spread it to form a medium sized circle.Cook on medium heat for two minutes. Flip and cook for 2 mins till done.Serve the Buckwheat and Oatmeal Chocochip Pancakes Recipe (Eggless) with a chunky dollop of peanut butter, sprinkle some more of chocochips over it and present with a fruit slice of your choice.
</t>
  </si>
  <si>
    <t>Para empezar a preparar la receta de panqueques de trigo sarraceno, avena y chips de chocolate (sin huevo), mezcla el polvo de linaza y 2 cucharadas de agua en un tazón y bate vigorosamente hasta que se vuelva gelatinoso. Agrega el resto de los ingredientes y prepara una masa fluida con agua. La consistencia de la masa debe ser un poco más líquida que la masa normal para panqueques. Calienta una plancha a fuego medio. Vierte un cucharón lleno de la masa para panqueques sobre ella y extiéndela suavemente para formar un círculo de tamaño mediano. Cocina a fuego medio durante dos minutos. Voltea y cocina durante 2 minutos hasta que esté listo. Sirve la receta de panqueques de trigo sarraceno, avena y chips de chocolate (sin huevo) con una cucharada generosa de mantequilla de maní, espolvorea un poco más de chips de chocolate por encima y presenta con una rodaja de fruta de tu elección.</t>
  </si>
  <si>
    <t>Pour commencer à préparer la recette de pancakes au sarrasin et à l'avoine aux pépites de chocolat (sans œufs), prenez la poudre de graines de lin et 2 cuillères à soupe d'eau dans un bol et fouettez vigoureusement jusqu'à ce que le mélange devienne gélatineux. Ajoutez le reste des ingrédients et préparez une pâte fluide avec de l'eau. La consistance de la pâte doit être un peu plus fine que celle d'une pâte à crêpes classique. Faites chauffer une plaque chauffante à feu moyen. Versez une louche de pâte à crêpes dessus et étalez-la délicatement pour former un cercle de taille moyenne. Faites cuire à feu moyen pendant deux minutes. Retournez et laissez cuire 2 minutes jusqu'à cuisson complète. Servez la recette de pancakes au sarrasin et à l'avoine aux pépites de chocolat (sans œufs) avec une grosse cuillerée de beurre de cacahuète, saupoudrez de pépites de chocolat et présentez avec une tranche de fruit de votre choix.</t>
  </si>
  <si>
    <t>http://www.archanaskitchen.com/buckwheat-and-oatmeal-chocochip-pancakes-recipe-eggless</t>
  </si>
  <si>
    <t>Banana Cream Pie Recipe</t>
  </si>
  <si>
    <t>Rezept für Bananencremetorte</t>
  </si>
  <si>
    <t>Recette de tarte à la crème de banane</t>
  </si>
  <si>
    <t>Receta de pastel de crema de plátano</t>
  </si>
  <si>
    <t>2 bananes mûres - grosses et tranchées, 1 pincée de cacao en poudre - pour garnir (facultatif), 2 tasses de farine tout usage (Maida), 140 grammes de beurre - refroidi et coupé en cubes, 2 cuillères à soupe de sucre glace, 3 cuillères à soupe d'eau glacée, 1 1/2 tasse de lait, 5 jaunes d'œufs, 4 cuillères à soupe de farine tout usage (Maida), 1 cuillère à soupe de farine de maïs, 1/4 tasse de sucre en poudre, 1 pincée de sel, 1 cuillère à café d'extrait de vanille, 1 tasse de crème à fouetter épaisse - (ou crème non laitière), 3 cuillères à soupe de sucre glace, 1/2 cuillère à café d'extrait de vanille</t>
  </si>
  <si>
    <t>2 Ripe Bananas - big ones and sliced,1 pinch Cocoa Powder - to garnish (optional),2 cups All Purpose Flour (Maida),140 grams Butter - chilled and cut into cubes,2 tablespoon Icing Sugar,3 tablespoon Chilled water,1 1/2 cups Milk,5 Egg yolks,4 tablespoon All Purpose Flour (Maida),1 tablespoon Corn flour,1/4 cup Caster Sugar,1 pinch Salt,1 teaspoon Vanilla Extract,1 cup Heavy whipping cream - (or non-dairy cream),3 tablespoon Icing Sugar,1/2 teaspoon Vanilla Extract</t>
  </si>
  <si>
    <t>2 plátanos maduros (grandes y en rodajas), 1 pizca de cacao en polvo (para decorar, opcional), 2 tazas de harina para todo uso (Maida), 140 gramos de mantequilla (fría y cortada en cubos), 2 cucharadas de azúcar glas, 3 cucharadas de agua fría, 1 1/2 tazas de leche, 5 yemas de huevo, 4 cucharadas de harina para todo uso (Maida), 1 cucharada de harina de maíz, 1/4 taza de azúcar extrafino, 1 pizca de sal, 1 cucharadita de extracto de vainilla, 1 taza de crema batida espesa (o crema no láctea), 3 cucharadas de azúcar glas, 1/2 cucharadita de extracto de vainilla</t>
  </si>
  <si>
    <t xml:space="preserve">To begin making the Banana Cream Pie, first make the pie crust. Pre-heat the oven to 190 degrees Celsius.Add Maida, butter and icing sugar in a mixing bowl or the bowl of a food processor. Rub with your finger tips till the mixture resembles bread crumbs (or pulse 2-3 times, if using the food processor). Add cold water as required, until the dough just comes together. (Do not handle the dough too much, work quickly)Make a disk and wrap the dough in plastic film. Keep refrigerated for 45 minutes or an hour.Grease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minutes.Cut a baking paper slightly bigger than the tart pan.Place it on the crust and fill with baking beans (or dried Red kidney beans/Chickpeas)Bake for 10-12 minutes. Remove the baking paper and beans and bake the pie crust for 6-7 minutes, till it is light brown. Cool on a wire rackInvert a glass and place it on a flat surface. Carefully place the pie pan over it. The fluted edge drops down.Keep the pie crust on a flat surface. Use a palette knife to take off the plate at the bottom, ensuring that the crust does not crack. (or you can just leave it as it is)For the Vanilla Pastry Cream, heat the milk in a saucepan.In a heat proof bowl add the egg yolks, sugar, flours, vanilla extract. Whisk.When you see a few bubbles around the edge of the pan (or when the milk is about to boil), pour half of the milk over the egg yolk mixture, whisking constantly till the mixture is homogeneous.Pour the mixture back into the saucepan and heat on low flame, whisking constantly till the custard thickens (about 2-3 minutes) Keep it covered to avoid the formation of skin on top of the custard.For the whipped cream, whip the cream, sugar, and vanilla extract to stiff peaks using a hand blender.If using non-diary cream skip the sugar.To assemble the Banana Cream pie. Place the banana slices on the pie crust, top them with the pastry cream, spread evenly.Spread the whipped cream over it (or you can pipe out a design)sprinkle the cocoa over the whipped cream, if using.Refrigerate for 3-4 hours, cut into wedges and serve.Your Banana Cream Pie is ready to eat.Banana Cream Pie can be served as a dessert for your special dinner.For an amazing dinner, you can serve Roasted Vegetable Pasta Primavera and for dessert serve Banana Cream Pie.
</t>
  </si>
  <si>
    <t>Para comenzar a hacer la tarta de crema de plátano, primero haga la corteza de la tarta. Precaliente el horno a 190 grados Celsius. Agregue Maida, mantequilla y azúcar glas en un tazón para mezclar o en el tazón de un procesador de alimentos. Frote con las puntas de los dedos hasta que la mezcla se parezca a migas de pan (o pulse 2-3 veces, si usa el procesador de alimentos). Agregue agua fría según sea necesario, hasta que la masa se una. (No manipule demasiado la masa, trabaje rápido) Haga un disco y envuelva la masa en film transparente. Manténgalo refrigerado durante 45 minutos o una hora. Engrase un molde para tarta acanalado de 7 pulgadas con fondo desmontable. Espolvoree la superficie de trabajo con un poco de harina y extienda la masa en un círculo un poco más grande que el molde. Recoja con cuidado la masa estirada y colóquela en el molde. Presione el fondo y los lados de manera uniforme. Raspa el exceso de masa que sobresale del borde. Pincha el fondo con un tenedor y refrigera la corteza durante 10 minutos. Corta un papel de hornear un poco más grande que el molde de tarta. Colócalo sobre la corteza y rellénalo con frijoles para hornear (o frijoles rojos secos/garbanzos). Hornea durante 10-12 minutos. Retira el papel de hornear y los frijoles y hornea la corteza de tarta durante 6-7 minutos, hasta que esté ligeramente dorada. Deja enfriar sobre una rejilla de alambre. Invierte un vaso y colócalo sobre una superficie plana. Coloca con cuidado el molde de tarta sobre él. El borde acanalado cae. Mantén la corteza de tarta sobre una superficie plana. Usa una espátula para despegar el plato en la parte inferior, asegurándote de que la corteza no se agriete. (o puedes dejarla como está). Para la crema pastelera de vainilla, calienta la leche en una cacerola. En un recipiente resistente al calor agrega las yemas de huevo, el azúcar, las harinas, el extracto de vainilla. Batir. Cuando vea algunas burbujas alrededor del borde de la cacerola (o cuando la leche esté a punto de hervir), vierta la mitad de la leche sobre la mezcla de yema de huevo, batiendo constantemente hasta que la mezcla esté homogénea. Vierta la mezcla nuevamente en la cacerola y caliente a fuego lento, batiendo constantemente hasta que las natillas espesen (aproximadamente 2-3 minutos). Manténgala cubierta para evitar la formación de una capa sobre las natillas. Para la crema batida, bata la crema, el azúcar y el extracto de vainilla hasta obtener picos rígidos con una batidora de mano. Si usa crema no láctea, omita el azúcar. Para armar la tarta de crema de plátano. Coloque las rodajas de plátano sobre la masa de tarta, cúbralas con la crema pastelera, extendiéndola uniformemente. Extienda la crema batida sobre ellas (o puede hacer un diseño con manga pastelera) y espolvoree el cacao sobre la crema batida, si lo usa. Refrigere durante 3-4 horas, corte en gajos y sirva. Su pastel de crema de plátano está listo para comer. El pastel de crema de plátano se puede servir como postre para su cena especial. Para una cena increíble, puede servir Pasta Primavera con verduras asadas y, de postre, pastel de crema de plátano.</t>
  </si>
  <si>
    <t>Pour commencer à préparer la tarte à la crème de banane, préparez d'abord la croûte à tarte. Préchauffez le four à 190 degrés Celsius. Ajoutez le Maida, le beurre et le sucre glace dans un bol à mélanger ou le bol d'un robot culinaire. Frottez du bout des doigts jusqu'à ce que le mélange ressemble à de la chapelure (ou pulsez 2 à 3 fois, si vous utilisez le robot culinaire). Ajoutez de l'eau froide au besoin, jusqu'à ce que la pâte se rassemble. (Ne manipulez pas trop la pâte, travaillez rapidement) Faites un disque et enveloppez la pâte dans un film plastique. Gardez au réfrigérateur pendant 45 minutes ou une heure. Graissez un moule à tarte cannelé à fond amovible de 7 pouces. Saupoudrez le plan de travail d'un peu de farine et étalez la pâte en un cercle légèrement plus grand que le moule. Prenez délicatement la pâte étalée et placez-la sur le moule. Appuyez uniformément sur le fond et les côtés. Grattez l'excédent de pâte qui dépasse. Piquer le fond avec une fourchette et réfrigérer la pâte pendant 10 minutes. Découper une feuille de papier sulfurisé légèrement plus grande que le moule à tarte. La poser sur la pâte et la garnir de haricots secs (ou de haricots rouges/pois chiches secs). Enfourner pendant 10 à 12 minutes. Retirer le papier sulfurisé et les haricots et cuire la pâte à tarte pendant 6 à 7 minutes, jusqu'à ce qu'elle soit légèrement dorée. Laisser refroidir sur une grille. Renverser un verre et le poser sur une surface plane. Poser délicatement le moule à tarte dessus. Le bord cannelé doit retomber. Garder la pâte à tarte sur une surface plane. À l'aide d'une spatule, décoller le fond de l'assiette en veillant à ce que la pâte ne se fissure pas (ou la laisser telle quelle). Pour la crème pâtissière à la vanille, faire chauffer le lait dans une casserole. Dans un bol résistant à la chaleur, ajouter les jaunes d'œufs, le sucre, les farines et l'extrait de vanille. Fouetter. Lorsque vous voyez quelques bulles sur le bord de la casserole (ou lorsque le lait est sur le point de bouillir), versez la moitié du lait sur le mélange de jaunes d'œufs en fouettant constamment jusqu'à ce que le mélange soit homogène. Remettez le mélange dans la casserole et faites chauffer à feu doux en fouettant constamment jusqu'à ce que la crème épaississe (environ 2 à 3 minutes). Gardez-la couverte pour éviter la formation d'une peau sur le dessus de la crème. Pour la crème fouettée, fouettez la crème, le sucre et l'extrait de vanille jusqu'à obtenir des pics fermes à l'aide d'un mixeur plongeant. Si vous utilisez de la crème non laitière, évitez le sucre. Pour assembler la tarte à la crème de banane. Déposez les tranches de banane sur la croûte à tarte, recouvrez-les de crème pâtissière et étalez-les uniformément. Étalez la crème fouettée dessus (ou vous pouvez faire un motif à la poche à douille), saupoudrez le cacao sur la crème fouettée, si vous en utilisez. Réfrigérez pendant 3 à 4 heures, coupez en quartiers et servez. Votre tarte à la crème de banane est prête à être dégustée. La tarte à la crème de banane peut être servie en dessert pour votre dîner spécial. Pour un dîner incroyable, vous pouvez servir des pâtes aux légumes rôtis Primavera et, en dessert, une tarte à la crème de banane.</t>
  </si>
  <si>
    <t>http://www.archanaskitchen.com/banana-cream-pie-recipe</t>
  </si>
  <si>
    <t>Chocolate Honeycomb Bun Recipe</t>
  </si>
  <si>
    <t>Rezept für Schokoladen-Wabenbrötchen</t>
  </si>
  <si>
    <t>Recette de rouleaux de nid d'abeille au chocolat</t>
  </si>
  <si>
    <t>Receta de panecillos de chocolate con forma de panal</t>
  </si>
  <si>
    <t>1 tasse de lait tiède, 1-1/2 cuillère à café de levure sèche active, 1 cuillère à café de sucre, 2 tasses de farine tout usage (Maida), 1/2 cuillère à café de sel, 3 cuillères à soupe de beurre fondu, 1/2 tasse de pépites de chocolat, 1/4 tasse d'eau, 2 cuillères à soupe de miel, 1/8 tasse de beurre, 1 cuillère à café de brins de safran</t>
  </si>
  <si>
    <t>1 cup Milk - lukewarm,1-1/2 teaspoon Active dry yeast,1 teaspoon Sugar,2 cups All Purpose Flour (Maida),1/2 teaspoon Salt,3 tablespoons Butter - melted,1/2 cup Chocolate chips,1/4 cup Water,2 tablespoons Honey,1/8 cup Butter,1 teaspoon Saffron strands</t>
  </si>
  <si>
    <t>1 taza de leche tibia, 1-1/2 cucharadita de levadura seca activa, 1 cucharadita de azúcar, 2 tazas de harina para todo uso (Maida), 1/2 cucharadita de sal, 3 cucharadas de mantequilla derretida, 1/2 taza de chispas de chocolate, 1/4 taza de agua, 2 cucharadas de miel, 1/8 taza de mantequilla, 1 cucharadita de hebras de azafrán</t>
  </si>
  <si>
    <t xml:space="preserve">To begin making Chocolate Honeycomb bun first add the milk, flour, butter, yeast, sugar, salt to a standalone mixer and mix for five minutes till all the ingredients are well combined. You will get a soft and sticky dough. Drizzle a little oil on the top, knead with your fingers for a few seconds. The dough should be soft to touch. Cover the bowl and allow the bread to proof for at least an hour until it is doubled in size. Once the honeycomb dough has doubled in size, cut the dough in half and roll the dough into long strips of two inch thickness and then cut one inch pieces out of the strip. You will get 28 pieces approximately.Now take a piece and flatten it out a little in a circular shape and put some chocolate chip filling in the center, wrap the dough around the filling and pinch the dough in the center. Shape into balls. Do the same with the rest of the remaining dough.Line a baking tray with baking paper and place the honeycomb dough balls in the shape of a Christmas tree. If you like you can just place them in a round greased cake pan as well.Cover the bread with a towel or another tray and keep them to rise again for an hour until the balls of dough have risen.Preheat the oven to 200 degrees Celsius for ten minutes.Now glaze the honeycomb bread generously with softened or melted butter and bake for 15 minutes.Make the honey glaze white the bread is in the oven. In a small mixing bowl, combine the honey, softened butter, saffron strands and water.Add all the ingredients listed. Bring the glaze mixture to a boil and allow it to cool.After the honeycomb buns has baked for 15 minutes remove and brush it with the honey glaze and bake again for another ten minutes till you get a nice brown crust at the top. Remove the honeycomb buns and while the bread is still hot brush the rest of the honey glaze on top of it.Serve the Chocolate Honeycomb buns with a cup of hot Ginger Cardamom Chai for an evening snack or serve as a starter to your kids party along with Peanut Butter Cookie Bars and Grilled Spinach And Cottage Cheese Sandwich.
</t>
  </si>
  <si>
    <t>Para comenzar a hacer el bollo de chocolate en forma de panal, primero agrega la leche, la harina, la mantequilla, la levadura, el azúcar y la sal a una batidora independiente y mezcla durante cinco minutos hasta que todos los ingredientes estén bien combinados. Obtendrás una masa suave y pegajosa. Rocía un poco de aceite en la parte superior, amasa con los dedos durante unos segundos. La masa debe ser suave al tacto. Cubre el recipiente y deja que el pan leude durante al menos una hora hasta que doble su tamaño. Una vez que la masa en forma de panal haya duplicado su tamaño, corta la masa por la mitad y enrolla la masa en tiras largas de dos pulgadas de grosor y luego corta trozos de una pulgada de la tira. Obtendrás 28 piezas aproximadamente. Ahora toma un trozo y aplánalo un poco en forma circular y pon un poco de relleno de chispas de chocolate en el centro, envuelve la masa alrededor del relleno y pellizca la masa en el centro. Forma bolas. Haz lo mismo con el resto de la masa restante. Cubre una bandeja para hornear con papel para hornear y coloca las bolas de masa en forma de panal en forma de árbol de Navidad. Si lo desea, puede colocarlos también en un molde para pastel redondo engrasado. Cubra el pan con una toalla u otra bandeja y déjelos levar nuevamente durante una hora hasta que las bolas de masa hayan subido. Precaliente el horno a 200 grados Celsius durante diez minutos. Ahora glasee el pan de panal generosamente con mantequilla suavizada o derretida y hornee durante 15 minutos. Haga que el glaseado de miel sea blanco cuando el pan esté en el horno. En un tazón pequeño, combine la miel, la mantequilla suavizada, las hebras de azafrán y el agua. Agregue todos los ingredientes enumerados. Hierva la mezcla de glaseado y déjela enfriar. Después de que los panecillos de panal se hayan horneado durante 15 minutos, retírelos y úntelos con el glaseado de miel y hornee nuevamente durante otros diez minutos hasta que obtenga una bonita corteza marrón en la parte superior. Retire los panecillos de panal y, mientras el pan aún esté caliente, pincele el resto del glaseado de miel por encima. Sirva los panecillos de panal de chocolate con una taza de chai de jengibre y cardamomo caliente como refrigerio por la noche o sírvalos como entrada para la fiesta de sus hijos junto con barras de galletas de mantequilla de maní y un sándwich de espinacas a la parrilla y queso cottage.</t>
  </si>
  <si>
    <t>Pour commencer à préparer un pain nid d'abeille au chocolat, ajoutez d'abord le lait, la farine, le beurre, la levure, le sucre et le sel dans un batteur électrique et mélangez pendant cinq minutes jusqu'à ce que tous les ingrédients soient bien mélangés. Vous obtiendrez une pâte molle et collante. Versez un peu d'huile sur le dessus, pétrissez avec vos doigts pendant quelques secondes. La pâte doit être douce au toucher. Couvrez le bol et laissez lever le pain pendant au moins une heure jusqu'à ce qu'il double de volume. Une fois que la pâte nid d'abeille a doublé de volume, coupez la pâte en deux et roulez-la en longues bandes de deux pouces d'épaisseur, puis découpez des morceaux de 1 pouce dans la bande. Vous obtiendrez environ 28 morceaux. Prenez maintenant un morceau et aplatissez-le un peu en forme de cercle et mettez de la garniture aux pépites de chocolat au centre, enroulez la pâte autour de la garniture et pincez la pâte au centre. Façonnez des boules. Faites de même avec le reste de la pâte restante. Tapissez une plaque de cuisson de papier sulfurisé et placez les boules de pâte nid d'abeille en forme de sapin de Noël. Si vous le souhaitez, vous pouvez simplement les placer dans un moule à gâteau rond graissé. Couvrez le pain avec une serviette ou un autre plateau et laissez-les lever à nouveau pendant une heure jusqu'à ce que les boules de pâte aient levé. Préchauffez le four à 200 degrés Celsius pendant dix minutes. Maintenant, glacez généreusement le pain en nid d'abeille avec du beurre ramolli ou fondu et faites cuire pendant 15 minutes. Faites blanchir le glaçage au miel lorsque le pain est au four. Dans un petit bol, mélangez le miel, le beurre ramolli, les brins de safran et l'eau. Ajoutez tous les ingrédients énumérés. Portez le mélange de glaçage à ébullition et laissez-le refroidir. Une fois les petits pains en nid d'abeille cuits pendant 15 minutes, retirez-les et badigeonnez-les de glaçage au miel et faites-les cuire à nouveau pendant dix minutes jusqu'à obtenir une belle croûte brune sur le dessus. Retirez les petits pains en nid d'abeille et, pendant que le pain est encore chaud, badigeonnez-le du reste du glaçage au miel. Servez les petits pains en nid d'abeille au chocolat avec une tasse de Chai chaud au gingembre et à la cardamome pour une collation en soirée ou servez-les en entrée pour la fête de vos enfants avec des barres de biscuits au beurre de cacahuète et un sandwich aux épinards grillés et au fromage cottage.</t>
  </si>
  <si>
    <t>http://www.archanaskitchen.com/chocolate-honeycomb-bun-recipe</t>
  </si>
  <si>
    <t>Pomegranate And Chia Seeds Yogurt Smoothie Recipe</t>
  </si>
  <si>
    <t>Rezept für Joghurt-Smoothie mit Granatapfel und Chiasamen</t>
  </si>
  <si>
    <t>Recette de smoothie au yaourt avec grenade et graines de chia</t>
  </si>
  <si>
    <t>Receta de batido de yogur con granada y semillas de chía</t>
  </si>
  <si>
    <t>1,5 tasse de noyaux de grenade frais, 2 tasses de caillé (dahi/yogourt) - réfrigéré, 1 cuillère à soupe de graines de chia, 1 cuillère à soupe de miel, 1 cuillère à café de noyaux de grenade frais - pour la garniture, 1/2 cuillère à café de graines de chia - pour la garniture</t>
  </si>
  <si>
    <t>1.5 cups Fresh Pomegranate Fruit Kernels,2 cups Curd (Dahi / Yogurt) - chilled,1 tablespoon Chia Seeds,1 tablespoon Honey,1 teaspoon Fresh Pomegranate Fruit Kernels - for garnish,1/2 teaspoon Chia Seeds - for garnish</t>
  </si>
  <si>
    <t>1,5 tazas de semillas de granada fresca, 2 tazas de cuajada (dahi/yogur) fría, 1 cucharada de semillas de chía, 1 cucharada de miel, 1 cucharadita de semillas de granada fresca (para decorar), 1/2 cucharadita de semillas de chía (para decorar)</t>
  </si>
  <si>
    <t xml:space="preserve">To begin making Pomegranate and Chia Seeds Yogurt Smoothie Recipe, get all the ingredients ready.Put all the ingredients - Pomegranate kernels, curd, chia seeds, honey into the blender jar and blend it to a smooth mixture using a mixer grinder.Pour it into the tall glasses and garnish it with the pomegranate kernels, chia seeds and serve chilled.Serve the Pomegranate and Chia Seeds Yogurt Smoothie Recipe along with Spinach Mushroom Scrambled Eggs Recipe for breakfast or as a healthy after school snack for the kids.
</t>
  </si>
  <si>
    <t>Para empezar a preparar la receta de batido de yogur con semillas de chía y granada, prepara todos los ingredientes. Pon todos los ingredientes (granos de granada, cuajada, semillas de chía y miel) en el vaso de la licuadora y licúa hasta obtener una mezcla suave con una batidora. Viértelo en vasos altos y decora con los granos de granada y las semillas de chía. Sirve frío. Sirve la receta de batido de yogur con semillas de chía y granada junto con la receta de huevos revueltos con espinacas y champiñones para el desayuno o como una merienda saludable para los niños después de la escuela.</t>
  </si>
  <si>
    <t>Pour commencer à préparer la recette de smoothie au yaourt à la grenade et aux graines de chia, préparez tous les ingrédients. Mettez tous les ingrédients - noyaux de grenade, caillé, graines de chia, miel - dans le bol du mixeur et mixez jusqu'à obtenir un mélange lisse à l'aide d'un mixeur-broyeur. Versez-le dans les grands verres et garnissez-le avec les noyaux de grenade, les graines de chia et servez frais. Servez la recette de smoothie au yaourt à la grenade et aux graines de chia avec la recette d'œufs brouillés aux épinards et aux champignons pour le petit-déjeuner ou comme collation saine après l'école pour les enfants.</t>
  </si>
  <si>
    <t>https://www.archanaskitchen.com/pomegranate-and-chia-seeds-yogurt-smoothie-recipe</t>
  </si>
  <si>
    <t>Creamy Potato Egg Salad Recipe with Herbs</t>
  </si>
  <si>
    <t>Cremiger Kartoffel-Eiersalat Rezept mit Kräutern</t>
  </si>
  <si>
    <t>Recette de salade crémeuse de pommes de terre et d'œufs aux herbes</t>
  </si>
  <si>
    <t>Receta de ensalada cremosa de papa y huevo con hierbas</t>
  </si>
  <si>
    <t>6 pommes de terre (Aloo) - bouillies et pelées, 6 œufs entiers - bouillis, 1 oignon - finement haché, 1/2 tasse de feuilles d'aneth - finement hachées, 5 cornichons - marinés, 1 1/2 tasse de crème sure, 1 cuillère à café de poudre de poivre noir, 1/2 cuillère à café de flocons de piment rouge, sel - au goût, jus de citron - d'1/2 citron</t>
  </si>
  <si>
    <t>6 Potatoes (Aloo) - boiled and peeled,6 Whole Eggs - boiled,1 Onion - finely chopped,1/2 cup Dill leaves - finely chopped,5 Gherkins - pickled,1 1/2 cup Sour cream,1 teaspoon Black pepper powder,1/2 teaspoon Red Chilli flakes,Salt - to taste,Lemon juice - from 1/2 lemon</t>
  </si>
  <si>
    <t>6 papas (Aloo) - hervidas y peladas, 6 huevos enteros - hervidos, 1 cebolla - finamente picada, 1/2 taza de hojas de eneldo - finamente picadas, 5 pepinillos - encurtidos, 1 1/2 taza de crema agria, 1 cucharadita de pimienta negra en polvo, 1/2 cucharadita de hojuelas de chile rojo, sal - al gusto, jugo de limón - de 1/2 limón</t>
  </si>
  <si>
    <t xml:space="preserve">To begin making the Creamy Potato Egg Salad With Herbs, we will first boil the potatoes either in a Pressure Cooker or in a sauce pan until cooked through and yet firm. Once cooked, cool the potatoes completely, peel the skin of the potatoes and cut into cubes. Keep this aside or refrigerate for a chilled salad.Boil eggs until well done. This takes about 10 to 12 minutes on high heat. Once boiled, peel the shell and cut the egg lengthwise into quarters. Finely chop all the other ingredients, keep aside.The next step is to make the sour cream using hung yogurt. Hang the yogurt in a fine mesh cloth sieve for a few hours until all the whey has drained out. Whisk the yogurt along with a little salt and a dash of lemon and the sour cream with yogurt is ready. Keep this refrigerated until ready to use.Finally when you are ready to make the salad, add all the ingredients into a Large Mixing Bowl and stir well to combine. Check the salt and herbs and adjust to suit your taste and serveServe the Creamy Potato Egg Salad along with Vegetable Clear Soup With Lemon Grass and Garlic Bread with Herb Butter for a weeknight dinner.
</t>
  </si>
  <si>
    <t>Para preparar la Ensalada Cremosa de Papa y Huevo con Hierbas, primero herviremos las papas en una olla a presión o en una cacerola hasta que estén bien cocidas pero firmes. Una vez cocidas, enfríelas completamente, pélelas y córtelas en cubos. Reserve o refrigere para una ensalada fría. Hierva los huevos hasta que estén bien hechos. Esto toma de 10 a 12 minutos a fuego alto. Una vez cocidos, pele la cáscara y corte el huevo a lo largo en cuartos. Pique finamente todos los demás ingredientes y reserve. El siguiente paso es preparar la crema agria con yogur. Cuelga el yogur en un colador de tela de malla fina durante unas horas hasta que se haya escurrido todo el suero. Bata el yogur con un poco de sal y una pizca de limón y la crema agria con yogur estará lista. Manténgala refrigerada hasta que esté lista para usar. Finalmente, cuando esté listo para preparar la ensalada, agregue todos los ingredientes a un tazón grande y revuelva bien para mezclar. Pruebe la sal y las hierbas y ajuste a su gusto. Sirva la ensalada cremosa de papa y huevo junto con la sopa clara de verduras con limoncillo y pan de ajo con mantequilla de hierbas para una cena entre semana.</t>
  </si>
  <si>
    <t>Pour préparer la salade crémeuse de pommes de terre et d'œufs aux herbes, nous allons d'abord faire cuire les pommes de terre dans un autocuiseur ou une casserole jusqu'à ce qu'elles soient bien cuites et encore fermes. Une fois cuites, laissez refroidir complètement les pommes de terre, épluchez-les et coupez-les en dés. Réservez ou conservez-les au réfrigérateur pour une salade froide. Faites cuire les œufs jusqu'à ce qu'ils soient bien cuits. Comptez 10 à 12 minutes à feu vif. Une fois cuits, écalez-les et coupez-les en quartiers dans le sens de la longueur. Hachez finement tous les autres ingrédients et réservez. L'étape suivante consiste à préparer la crème fraîche avec du yaourt suspendu. Suspendez le yaourt dans une passoire fine pendant quelques heures, jusqu'à ce que tout le petit-lait soit égoutté. Fouettez le yaourt avec un peu de sel et un filet de citron : la crème fraîche au yaourt est prête. Conservez-la au réfrigérateur jusqu'à utilisation. Enfin, pour préparer la salade, versez tous les ingrédients dans un grand saladier et mélangez bien. Vérifiez le sel et les herbes et ajustez-les selon votre goût et servez. Servez la salade crémeuse de pommes de terre et d'œufs avec la soupe claire de légumes à la citronnelle et le pain à l'ail avec du beurre aux herbes pour un dîner de semaine.</t>
  </si>
  <si>
    <t>http://www.archanaskitchen.com/creamy-potato-egg-salad-recipe-with-herbs</t>
  </si>
  <si>
    <t>Egg and Cheesy Garlic Mayo Sandwich</t>
  </si>
  <si>
    <t>Sandwich mit Ei, Käse und Knoblauch-Mayo</t>
  </si>
  <si>
    <t>Sandwich avec œuf, fromage et mayonnaise à l'ail</t>
  </si>
  <si>
    <t>Sándwich con huevo, queso y mayonesa de ajo</t>
  </si>
  <si>
    <t>4 pains bruns de blé entier, 3 œufs entiers durs, 2 cuillères à soupe de mayonnaise à l'ail et au fromage Nutralite, 1 cuillère à café de sauce moutarde, 1 cuillère à café de poudre de poivre noir, ½ cuillère à café de jus de citron, sel et poivre au goût, 2 laitues romaines vertes</t>
  </si>
  <si>
    <t>4 Whole Wheat Brown Bread,3 Whole Eggs - hard boiled,2 tablespoon Nutralite Cheesy Garlic Mayo,1 teaspoon Mustard sauce,1 teaspoon Black pepper powder,½ teaspoon Lemon juice,Salt and Pepper - to taste,2 Green Romaine lettuce</t>
  </si>
  <si>
    <t>4 panes integrales, 3 huevos enteros (duros), 2 cucharadas de mayonesa de ajo y queso Nutralite, 1 cucharadita de salsa de mostaza, 1 cucharadita de pimienta negra en polvo, ½ cucharadita de jugo de limón, sal y pimienta (al gusto), 2 lechugas romanas verdes</t>
  </si>
  <si>
    <t xml:space="preserve">To begin making the Egg and Cheesy Garlic Mayo Sandwich, ensure the eggs are boiled well. (Hard Boil)Roughly chop the entire egg and keep it aside. In a large mixing bowl, add the chopped eggs, Nutralite Cheesy Garlic Mayo, mustard sauce, salt &amp; pepper, and lemon juice. Mix well.Place a lettuce leaf on the bread slice and then spread the Egg and Cheesy Garlic Mayo Sandwich mixture on it and close the sandwich with the other slice.Cut the Egg Mayo Sandwich into triangles and serve.Serve the  Egg and Cheesy Garlic Mayo Sandwich with Carrot Pineapple Orange Juice Recipe and some almonds and walnuts for a healthy breakfast. 
</t>
  </si>
  <si>
    <t>Para empezar a preparar el sándwich de huevo, queso, ajo y mayonesa, asegúrate de que los huevos estén bien cocidos. (Duro) Pica el huevo entero en trozos grandes y resérvalo. En un tazón grande, agrega los huevos picados, la mayonesa de ajo con queso Nutralite, la salsa de mostaza, la sal y la pimienta, y el jugo de limón. Mezcla bien. Coloca una hoja de lechuga sobre la rebanada de pan y luego unta la mezcla del sándwich de huevo, queso, ajo y mayonesa sobre ella y cierra el sándwich con la otra rebanada. Corta el sándwich de huevo y mayonesa en triángulos y sirve. Sirve el sándwich de huevo, queso, ajo y mayonesa con la receta de jugo de zanahoria, piña y naranja y algunas almendras y nueces para un desayuno saludable.</t>
  </si>
  <si>
    <t>Pour commencer à préparer le sandwich aux œufs, à la mayonnaise à l'ail et au fromage, assurez-vous que les œufs sont bien cuits. (Cuire dur) Hachez grossièrement l'œuf entier et réservez-le. Dans un grand saladier, ajoutez les œufs hachés, la mayonnaise à l'ail et au fromage Nutralite, la sauce moutarde, le sel, le poivre et le jus de citron. Bien mélanger. Déposez une feuille de laitue sur la tranche de pain, puis étalez le mélange pour sandwich aux œufs, à la mayonnaise à l'ail et au fromage dessus et refermez le sandwich avec l'autre tranche. Coupez le sandwich aux œufs et à la mayonnaise en triangles et servez. Servez le sandwich aux œufs, à la mayonnaise à l'ail et au fromage avec du jus de carotte, d'ananas et d'orange, ainsi que des amandes et des noix pour un petit-déjeuner sain.</t>
  </si>
  <si>
    <t>https://www.archanaskitchen.com/egg-salad-sandwich-recipe</t>
  </si>
  <si>
    <t>Grapes Muffin Recipe</t>
  </si>
  <si>
    <t>Traubenmuffin-Rezept</t>
  </si>
  <si>
    <t>Recette de muffins aux raisins</t>
  </si>
  <si>
    <t>Receta de muffins de pasas</t>
  </si>
  <si>
    <t>1 tasse de farine de blé entier - ou de farine à pain brun, 1/4 tasse de sucre, 1/2 cuillère à café de levure chimique, 1/2 cuillère à café de bicarbonate de soude, sel - une pincée, 30 raisins rouges sans pépins, 20 raisins rouges sans pépins - purée, 1 cuillère à café d'extrait de vanille, 1 cuillère à café de vinaigre, 2 cuillères à soupe de caillé (Dahi / Yaourt), 1 œuf entier, beurre - fondu, 10 raisins rouges sans pépins - hachés</t>
  </si>
  <si>
    <t>1 cup Whole Wheat Flour - or brown bread flour,1/4 cup Sugar,1/2 teaspoon Baking powder,1/2 teaspoon Baking soda,Salt - a pinch,30 Red seedless grapes,20 Red seedless grapes - puree,1 teaspoon Vanilla Extract,1 teaspoon Vinegar,2 tablespoons Curd (Dahi / Yogurt),1 Whole Egg,Butter - melted,10 Red seedless grapes - chopped</t>
  </si>
  <si>
    <t>1 taza de harina integral (o harina de pan integral), 1/4 taza de azúcar, 1/2 cucharadita de polvo para hornear, 1/2 cucharadita de bicarbonato de sodio, sal (una pizca), 30 uvas rojas sin semillas, 20 uvas rojas sin semillas (puré), 1 cucharadita de extracto de vainilla, 1 cucharadita de vinagre, 2 cucharadas de cuajada (dahi/yogur), 1 huevo entero, mantequilla derretida, 10 uvas rojas sin semillas picadas</t>
  </si>
  <si>
    <t xml:space="preserve">To begin making the Grapes Muffin recipe, preheat your oven 200 degree Celsius for 10 minutes.Sieve all "dry ingredients" in a mixing bowl. I have used wheat flour. If you use brown bread flour, It had wheat flakes in it. After sieving the flour put back the flakes. Then start adding wet ingredients one by one.Purée grapes and add to dry ingredients. Mix well using hand whisker or spatula.Add in all the wet ingredients one by one until they are all well combined. Add the chopped grapes in the end. You can also add some nuts like almonds or walnuts. Line your cupcake tray with muffin sheets and pour the mixture halfway into the muffin sheets to allow the muffin mix to rise.Bring down the temperature to 180 degree Celsius and bake for 20 minutes or until the toothpick comes out clean.Serve Grapes Muffin along with Mixed Sprouts Sandwich and Masala Chai for your tea time break.
</t>
  </si>
  <si>
    <t>Para empezar a hacer la receta de Muffin de Uvas, precalienta el horno a 200 grados Celsius durante 10 minutos. Tamiza todos los "ingredientes secos" en un tazón. He usado harina de trigo. Si usas harina de pan integral, tenía hojuelas de trigo. Después de tamizar la harina, vuelve a poner las hojuelas. Luego, comienza a agregar los ingredientes húmedos uno por uno. Haz puré con las uvas y agrégalos a los ingredientes secos. Mezcla bien con un batidor de mano o una espátula. Agrega todos los ingredientes húmedos uno por uno hasta que estén bien combinados. Agrega las uvas picadas al final. También puedes agregar algunos frutos secos como almendras o nueces. Cubre tu bandeja para cupcakes con láminas para muffins y vierte la mezcla hasta la mitad en las láminas para permitir que la mezcla suba. Baja la temperatura a 180 grados Celsius y hornea durante 20 minutos o hasta que al insertar un palillo, este salga limpio. Sirve el muffin de uvas junto con el sándwich de brotes mixtos y el masala chai para la hora del té.</t>
  </si>
  <si>
    <t>Pour commencer à préparer la recette du muffin aux raisins, préchauffez votre four à 200 °C pendant 10 minutes. Tamisez tous les ingrédients secs dans un saladier. J'ai utilisé de la farine de blé. Si vous utilisez de la farine à pain complet, elle contenait des flocons de blé. Après avoir tamisé la farine, remettez les flocons. Ajoutez ensuite les ingrédients humides un par un. Réduisez les raisins en purée et ajoutez-les aux ingrédients secs. Mélangez bien à l'aide d'un fouet ou d'une spatule. Ajoutez tous les ingrédients humides un par un jusqu'à ce qu'ils soient bien mélangés. Ajoutez les raisins hachés à la fin. Vous pouvez également ajouter des noix comme des amandes ou des noix. Tapissez votre moule à cupcakes de plaques à muffins et versez la préparation à moitié dans les plaques à muffins pour permettre à la pâte de lever. Baissez la température à 180 °C et faites cuire au four pendant 20 minutes ou jusqu'à ce qu'un cure-dent en ressorte propre. Servez le muffin aux raisins avec un sandwich aux pousses mélangées et du masala chai pour votre pause thé.</t>
  </si>
  <si>
    <t>http://www.archanaskitchen.com/grapes-muffin-recipe</t>
  </si>
  <si>
    <t>Eggless Banana Pressure Cooker Cake Recipe</t>
  </si>
  <si>
    <t>Rezept für eifreien Bananen-Schnellkochtopf-Kuchen</t>
  </si>
  <si>
    <t>Recette de gâteau à la banane sans œufs à la cocotte-minute</t>
  </si>
  <si>
    <t>Receta de pastel de plátano sin huevo en olla a presión</t>
  </si>
  <si>
    <t>4 bananes mûres - variété robusta, 1/2 tasse de sucre, 1/4 tasse d'huile de tournesol, 2 cuillères à café d'extrait de vanille, 2-1/2 tasses de farine tout usage (Maida), 2 cuillères à café de cannelle en poudre (Dalchini), 2 cuillères à café de levure chimique, 1 cuillère à café de bicarbonate de soude, 1/2 cuillère à café de sel, 1/4 tasse de lait, 1/4 tasse de caillé (Dahi / Yaourt)</t>
  </si>
  <si>
    <t>4 Ripe Bananas - robusta variety,1/2 cup Sugar,1/4 cup Sunflower Oil,2 teaspoons Vanilla Extract,2-1/2 cups All Purpose Flour (Maida),2 teaspoons Cinnamon Powder (Dalchini),2 teaspoons Baking powder,1 teaspoon Baking soda,1/2 teaspoon Salt,1/4 cup Milk,1/4 cup Curd (Dahi / Yogurt)</t>
  </si>
  <si>
    <t>4 plátanos maduros - variedad robusta, 1/2 taza de azúcar, 1/4 taza de aceite de girasol, 2 cucharaditas de extracto de vainilla, 2-1/2 tazas de harina para todo uso (Maida), 2 cucharaditas de canela en polvo (Dalchini), 2 cucharaditas de polvo para hornear, 1 cucharadita de bicarbonato de sodio, 1/2 cucharadita de sal, 1/4 taza de leche, 1/4 taza de cuajada (Dahi / yogur)</t>
  </si>
  <si>
    <t xml:space="preserve">To begin making the Eggless Banana Pressure Cooker Cake Recipe, first prep all the ingredients and keep them aside.Grease the pressure cooker rice container with oil and dust it in flour. Keep aside.In a mixing bowl, add the over ripe bananas and mash them using the potato masher. Once mashed, add the sugar, oil, vanilla extract, milk and curd.Stir well to combine all the wet ingredient. Into the same bowl, add the cinnamon powder, baking powder, baking soda and salt. Mix well and beat until fluffly.Finallly add the maida (all purpose flour) and beat well to combine the Eggless Banana Cake batter.Once done, pour the Eggless Banana Cake batter into the greased cake pan. Place the trivet at the bottom of the Pressure Cooker. Fill the pressure cooker with water until it has at least 2 inch of water. You want to make sure that the water does not seep into the cake batter while it is getting cooked in the pressure cooker. The watermark should be only little less than half way through the rice pan.Cover the pressure cooker without the weight and bake the Eggless Banana Pressure Cooker Cake Recipe for 40 minutes on high heat.After 40 minutes, when you insert a knife, you will get a clean cake - there might be a few crumbs stuck, which is ok. If the crumbs are cooked and not raw, then the Eggless Banana Pressure Cooker Cake is ready.Remove the Eggless Banana Pressure Cooker Cake Recipe from the pressure cooker immediately and allow it to cook completely, before you can cut.Serve the Eggless Banana Pressure Cooker Cake Recipe along with a cup of Kesar Chai as a tea time snack or even serve it as a snack for kids.
</t>
  </si>
  <si>
    <t>Para comenzar a hacer la Receta de Pastel de Plátano Sin Huevo en Olla a Presión, primero prepare todos los ingredientes y manténgalos a un lado. Engrase el recipiente de arroz de la olla a presión con aceite y espolvoréelo con harina. Manténgalo a un lado. En un tazón, agregue los plátanos muy maduros y tritúrelos con el machacador de papas. Una vez machacados, agregue el azúcar, el aceite, el extracto de vainilla, la leche y la cuajada. Revuelva bien para combinar todos los ingredientes húmedos. En el mismo tazón, agregue la canela en polvo, el polvo para hornear, el bicarbonato de sodio y la sal. Mezcle bien y bata hasta que esté esponjoso. Finalmente, agregue la maida (harina para todo uso) y bata bien para combinar la masa de Pastel de Plátano Sin Huevo. Una vez hecho esto, vierta la masa de Pastel de Plátano Sin Huevo en el molde para pastel engrasado. Coloque el salvamanteles en el fondo de la olla a presión. Llene la olla a presión con agua hasta que tenga al menos 2 pulgadas de agua. Asegúrese de que el agua no se filtre en la masa del pastel mientras se cocina en la olla a presión. La marca de agua debe estar a poco menos de la mitad de la olla arrocera. Tape la olla a presión sin el peso y hornee la receta de pastel de plátano sin huevo en olla a presión durante 40 minutos a fuego alto. Después de 40 minutos, al insertar un cuchillo, obtendrá un pastel limpio; puede que haya algunas migas pegadas, lo cual está bien. Si las migas están cocidas y no crudas, entonces el pastel de plátano sin huevo en olla a presión está listo. Retire la receta de pastel de plátano sin huevo en olla a presión de la olla a presión inmediatamente y deje que se cocine por completo antes de cortar. Sirva la receta de pastel de plátano sin huevo en olla a presión junto con una taza de Kesar Chai como refrigerio para la hora del té o incluso como refrigerio para los niños.</t>
  </si>
  <si>
    <t>Pour commencer à préparer la recette du gâteau à la banane sans œufs à l'autocuiseur, préparez d'abord tous les ingrédients et réservez-les. Graissez le récipient à riz de l'autocuiseur avec de l'huile et saupoudrez-le de farine. Réservez. Dans un bol, ajoutez les bananes trop mûres et écrasez-les à l'aide du presse-purée. Une fois écrasées, ajoutez le sucre, l'huile, l'extrait de vanille, le lait et le caillé. Remuez bien pour combiner tous les ingrédients humides. Dans le même bol, ajoutez la cannelle en poudre, la levure chimique, le bicarbonate de soude et le sel. Mélangez bien et battez jusqu'à obtenir une consistance mousseuse. Enfin, ajoutez la maida (farine tout usage) et battez bien pour combiner la pâte du gâteau à la banane sans œufs. Une fois terminé, versez la pâte du gâteau à la banane sans œufs dans le moule à gâteau graissé. Placez le trépied au fond de l'autocuiseur. Remplissez l'autocuiseur d'eau jusqu'à ce qu'il y ait au moins 2 pouces d'eau. Assurez-vous que l'eau ne s'infiltre pas dans la pâte à gâteau pendant la cuisson dans l'autocuiseur. Le filigrane doit être à peine à mi-hauteur du moule à riz. Couvrez l'autocuiseur sans le poids et faites cuire le gâteau à la banane sans œufs à l'autocuiseur pendant 40 minutes à feu vif. Au bout de 40 minutes, lorsque vous insérez un couteau, vous obtiendrez un gâteau propre ; il peut rester quelques miettes collées, ce qui est normal. Si les miettes sont cuites et non crues, le gâteau à la banane sans œufs à l'autocuiseur est prêt. Retirez immédiatement le gâteau à la banane sans œufs de l'autocuiseur et laissez-le cuire complètement avant de le couper. Servez le gâteau à la banane sans œufs à l'autocuiseur avec une tasse de Kesar Chai pour le goûter ou même pour les enfants.</t>
  </si>
  <si>
    <t>https://www.archanaskitchen.com/eggless-banana-pressure-cooker-cake-recipe</t>
  </si>
  <si>
    <t>Waldorf Salad Recipe</t>
  </si>
  <si>
    <t>Waldorfsalat-Rezept</t>
  </si>
  <si>
    <t>recette de salade Waldorf</t>
  </si>
  <si>
    <t>Receta de ensalada Waldorf</t>
  </si>
  <si>
    <t>1 pomme - coupée en cubes, 1 céleri - coupé en morceaux de taille moyenne, 1 tasse de raisins rouges, 10 noix - concassées, 2 cuillères à soupe de Hung Curd (yaourt grec), 1 cuillère à soupe de crème fraîche - beaucoup de matières grasses, sel et poivre - au goût</t>
  </si>
  <si>
    <t>1 Apple - cut into cubes,1 Celery - cut into medium sized,1 cup Red grapes,10 Walnuts - crushed,2 tablespoon Hung Curd (Greek Yogurt),1 tablespoon Fresh cream - lot fat,Salt and Pepper - to taste</t>
  </si>
  <si>
    <t>1 manzana cortada en cubos, 1 apio cortado en trozos medianos, 1 taza de uvas rojas, 10 nueces trituradas, 2 cucharadas de yogur griego (Hung Curd), 1 cucharada de crema fresca (bastante grasa), sal y pimienta al gusto.</t>
  </si>
  <si>
    <t xml:space="preserve">To begin making the Waldorf Salad Recipe, keep all the ingredients ready in a bowl.Add cream and yogurt in, sprinkle with salt and pepper and mix well till everything is well coated.You can serve it as it is or store it in the fridge and serve cold.Serve the Waldorf Salad Recipe along with beetroot wellington and a glass of cocktail by the side to complete your meal.
</t>
  </si>
  <si>
    <t>Para empezar a preparar la receta de ensalada Waldorf, ten todos los ingredientes listos en un bol. Agrega la crema y el yogur, espolvorea con sal y pimienta y mezcla bien hasta que todo esté bien cubierto. Puedes servirla tal cual o guardarla en el refrigerador y servirla fría. Sirve la receta de ensalada Waldorf junto con un Wellington de remolacha y una copa de cóctel al lado para completar tu comida.</t>
  </si>
  <si>
    <t>Pour commencer à préparer la recette de salade Waldorf, gardez tous les ingrédients prêts dans un bol. Ajoutez la crème et le yaourt, saupoudrez de sel et de poivre et mélangez bien jusqu'à ce que tout soit bien enrobé. Vous pouvez le servir tel quel ou le conserver au réfrigérateur et le servir froid. Servez la recette de salade Waldorf avec des betteraves Wellington et un verre de cocktail à côté pour compléter votre repas.</t>
  </si>
  <si>
    <t>https://www.archanaskitchen.com/waldrof-salad-recipe</t>
  </si>
  <si>
    <t>Vegan Cashew Mayonnaise Recipe</t>
  </si>
  <si>
    <t>Veganes Cashew-Mayonnaise-Rezept</t>
  </si>
  <si>
    <t>Recette de mayonnaise végétalienne aux noix de cajou</t>
  </si>
  <si>
    <t>Receta vegana de mayonesa de anacardos</t>
  </si>
  <si>
    <t>1 tasse de noix de cajou - trempées pendant au moins 4 heures, 2 cuillères à soupe de jus de citron, 2 cuillères à soupe de vinaigre de cidre de pomme, 1 gousse d'ail - hachée, 1/2 cuillère à café de sauce moutarde, 2 cuillères à café de sirop de dattes, 1/2 sel, 1/4 tasse d'huile d'olive extra vierge, 2 cuillères à café de feuilles d'aneth - finement hachées (facultatif)</t>
  </si>
  <si>
    <t>1 cup Cashew nuts - soaked for at least 4 hours,2 tablespoons Lemon juice,2 tablespoons Apple cider vinegar,1 clove Garlic - minced,1/2 teaspoon Mustard sauce,2 teaspoons Date syrup,1/2 Salt,1/4 cup Extra Virgin Olive Oil,2 teaspoons Dill leaves - finely chopped (optional)</t>
  </si>
  <si>
    <t>1 taza de anacardos - remojados durante al menos 4 horas, 2 cucharadas de jugo de limón, 2 cucharadas de vinagre de sidra de manzana, 1 diente de ajo - picado, 1/2 cucharadita de salsa de mostaza, 2 cucharaditas de jarabe de dátiles, 1/2 sal, 1/4 taza de aceite de oliva virgen extra, 2 cucharaditas de hojas de eneldo - finamente picadas (opcional)</t>
  </si>
  <si>
    <t xml:space="preserve">To prepare Vegan Cashew Mayonnaise Recipe, soak the cashews with enough water overnight. Drain excess water. Get prep with the other ingredients as well.Add Cashews to a food processor/blender along with all the other ingredients except dill leaves and blend it smooth with 1/4 cup of water.Top the creamy Vegan Cashew Mayonnaise with dill leaves and serve with your sandwich.
</t>
  </si>
  <si>
    <t>Para preparar la receta de mayonesa vegana de anacardos, remoje los anacardos con suficiente agua durante la noche. Escurra el exceso de agua. Prepare también los demás ingredientes. Añada los anacardos a un procesador de alimentos/licuadora junto con todos los demás ingredientes, excepto las hojas de eneldo, y licúelos hasta obtener una textura suave con 1/4 de taza de agua. Cubra la cremosa mayonesa vegana de anacardos con hojas de eneldo y sirva con su sándwich.</t>
  </si>
  <si>
    <t>Pour préparer la mayonnaise végétalienne aux noix de cajou, faites tremper les noix de cajou dans suffisamment d'eau pendant la nuit. Égouttez l'excédent d'eau. Préparez également les autres ingrédients. Mettez les noix de cajou dans un robot culinaire/mixeur avec tous les autres ingrédients, sauf les feuilles d'aneth, et mixez jusqu'à obtenir une consistance lisse avec 60 ml d'eau. Garnissez la mayonnaise végétalienne crémeuse aux noix de cajou de feuilles d'aneth et servez avec votre sandwich.</t>
  </si>
  <si>
    <t>http://www.archanaskitchen.com/vegan-cashew-mayonnaise-recipe</t>
  </si>
  <si>
    <t>Navel Orange Marmalade Recipe</t>
  </si>
  <si>
    <t>Rezept für Navel-Orangenmarmelade</t>
  </si>
  <si>
    <t>Recette de marmelade d'oranges navel</t>
  </si>
  <si>
    <t>Receta de mermelada de naranja de ombligo</t>
  </si>
  <si>
    <t>2 lb d'oranges, 2 tasses de sucre, 1/2 tasse de jus de citron, 2 cuillères à soupe de zeste d'orange (écorce)</t>
  </si>
  <si>
    <t>2 Lb Oranges,2 cups Sugar,1/2 cup Lemon juice,2 Tablespoons Orange Zest (Rind)</t>
  </si>
  <si>
    <t>2 libras de naranjas, 2 tazas de azúcar, 1/2 taza de jugo de limón, 2 cucharadas de ralladura de naranja</t>
  </si>
  <si>
    <t xml:space="preserve">To begin making Navel Orange Marmalade Recipe, for orange zest, using potato peeler, peel out thin peels of oranges. Make sure you don't use white portion underneath the bright orange peel, since it adds bitterness. Thinly chop them up into thin strips using knife.Peel oranges and cut into wedges and put in a mixing bowl.Add sugar and let it stand for about an hour for sugar to blend in well in a blender. Grind to a smooth puree.Pour the puree in a deep saucepan and keep it on high heat.Once the mixture comes to boil, add lemon juice and mix.Reduce the heat and continue to cook on medium heat.Stir in between, scraping the bottom and sides of the pan.Once the mixture reduces to 1/2 of its quantity, add orange zest, mix and continue to cook. Once the mixture is thick and dry, remove from heat.Once the mixture is cooled completely, marmalade will thicken up more.Store in airtight glass jar and refrigerate.Serve Navel Orange Marmalade Recipe smeared on Whole Wheat Sunflower Seed Bread Recipe or Healthy Whole Wheat Brown Butter Banana Bread Recipe and a glass of Muskmelon (Kharbuj) Juice Recipe for breakfast.
</t>
  </si>
  <si>
    <t>Para comenzar a hacer la receta de mermelada de naranja de ombligo, para la ralladura de naranja, usando un pelador de papas, pele las cáscaras finas de las naranjas. Asegúrese de no usar la parte blanca debajo de la cáscara de naranja brillante, ya que agrega amargor. Córtelas finamente en tiras finas con un cuchillo. Pele las naranjas, córtelas en gajos y póngalas en un tazón. Agregue el azúcar y deje reposar durante aproximadamente una hora para que el azúcar se mezcle bien en una licuadora. Muela hasta obtener un puré suave. Vierta el puré en una cacerola profunda y manténgala a fuego alto. Una vez que la mezcla hierva, agregue jugo de limón y mezcle. Reduzca el fuego y continúe cocinando a fuego medio. Revuelva entre medio, raspando el fondo y los lados de la cacerola. Una vez que la mezcla se reduzca a la mitad de su cantidad, agregue la ralladura de naranja, mezcle y continúe cocinando. Una vez que la mezcla esté espesa y seca, retirar del fuego. Una vez que la mezcla se haya enfriado por completo, la mermelada espesará más. Guardar en un recipiente de vidrio hermético y refrigerar. Servir la receta de mermelada de naranja de ombligo untada en la receta de pan integral de semillas de girasol o en la receta de pan integral de plátano con mantequilla dorada y un vaso de la receta de jugo de melón (kharbuj) para el desayuno.</t>
  </si>
  <si>
    <t>Pour commencer à préparer la recette de marmelade d'oranges Navel, pour le zeste d'orange, à l'aide d'un éplucheur de pommes de terre, épluchez de fines écorces d'oranges. Assurez-vous de ne pas utiliser la partie blanche sous la peau d'orange brillante, car elle ajoute de l'amertume. Hachez-les finement en fines lanières à l'aide d'un couteau. Pelez les oranges et coupez-les en quartiers et mettez-les dans un saladier. Ajoutez le sucre et laissez reposer environ une heure pour que le sucre se mélange bien dans un mixeur. Broyez jusqu'à obtenir une purée lisse. Versez la purée dans une casserole profonde et maintenez-la sur feu vif. Une fois que le mélange bout, ajoutez le jus de citron et mélangez. Réduisez le feu et poursuivez la cuisson à feu moyen. Remuez entre les deux en raclant le fond et les côtés de la casserole. Une fois que le mélange réduit à la moitié de sa quantité, ajoutez le zeste d'orange, mélangez et poursuivez la cuisson. Une fois que le mélange est épais et sec, retirez du feu. Une fois le mélange complètement refroidi, la marmelade épaissira davantage. Conservez dans un bocal en verre hermétique et réfrigérez. Servez la recette de marmelade d'orange Navel étalée sur une recette de pain complet aux graines de tournesol ou une recette de pain aux bananes au beurre noisette et au blé entier sain et un verre de recette de jus de melon musqué (Kharbuj) pour le petit-déjeuner.</t>
  </si>
  <si>
    <t>https://www.archanaskitchen.com/navel-orange-marmalade-recipe</t>
  </si>
  <si>
    <t>Rose Buns With Stuffed Mushroom Recipe</t>
  </si>
  <si>
    <t>Rosenbrötchen mit gefüllten Champignons Rezept</t>
  </si>
  <si>
    <t>Recette de rouleaux de rose aux champignons farcis</t>
  </si>
  <si>
    <t>Receta de rollitos de rosa con champiñones rellenos</t>
  </si>
  <si>
    <t>1-1/2 tasse de Vivatta Maida, 1 cuillère à soupe de levure sèche active, 1/2 tasse d'eau tiède, 1/2 cuillère à soupe de sucre, 3/4 cuillère à café de sel, 1/8 tasse d'huile de tournesol, 1/2 tasse de champignons de Paris - finement hachés, 1/4 tasse d'oignon - finement haché, 1/2 cuillère à café de pâte d'ail et de gingembre, 2 piments verts, 1/2 cuillère à café de poudre de curcuma (Haldi), 1/2 cuillère à café de poudre de piment rouge, 2 cuillères à café d'huile de tournesol, sel - selon les besoins, feuilles de coriandre (Dhania) - selon les besoins (finement hachées)</t>
  </si>
  <si>
    <t>1-1/2 cup Vivatta Maida,1 tablespoon Active dry yeast,1/2 cup Lukewarm Water,1/2 tablespoon Sugar,3/4 teaspoon Salt,1/8 cup Sunflower Oil,1/2 cup Button mushrooms - finely chopped,1/4 cup Onion - finely chopped,1/2 teaspoon Ginger Garlic Paste,2 Green Chillies,1/2 teaspoon Turmeric powder (Haldi),1/2 teaspoon Red Chilli powder,2 teaspoons Sunflower Oil,Salt - as required,Coriander (Dhania) Leaves - as required (finely chopped)</t>
  </si>
  <si>
    <t>1-1/2 taza de Vivatta Maida, 1 cucharada de levadura seca activa, 1/2 taza de agua tibia, 1/2 cucharada de azúcar, 3/4 cucharadita de sal, 1/8 taza de aceite de girasol, 1/2 taza de champiñones finamente picados, 1/4 taza de cebolla finamente picada, 1/2 cucharadita de pasta de ajo y jengibre, 2 chiles verdes, 1/2 cucharadita de cúrcuma en polvo (Haldi), 1/2 cucharadita de chile rojo en polvo, 2 cucharaditas de aceite de girasol, sal - al gusto, hojas de cilantro (Dhania) - al gusto (finamente picadas)</t>
  </si>
  <si>
    <t xml:space="preserve">To begin making the Rose Buns With Stuffed Mushroom recipe, in a medium mixing bowl, mix sugar with luke warm water.Then add yeast to the sugary warm water and keep aside for 10 minutes. After 10 minutes, the mixture should turn frothy and have risen well.Take another broad bowl. Add all purpose flour, oil, salt along with the frothed yeast mixture. Gather to get a smooth dough. No need to knead much.Keep covered with a wet cloth for 1-2 hoursor till doubled in size.Meanwhile, start preparing the stuffing. Heat oil in a frying pan. Add in finely chopped onion and saute till they turn soft. Then add ginger garlic paste and cook for some more minutes.Add finely chopped mushroom, turmeric powder, finely chopped green chilies, red chili powder and salt.Mix everything well, cover and cook over medium heat for about 10-15 minutes or until all liquid has evaporated.Add chopped coriander leaves and give a quick stir. Once done, remove from the heat and allow the stuffing to cool completely.After 1-2 hours, the dough will be doubled in size. Now sprinkle some all purpose flour on a flat surface, punch down the dough and knead on the floured surface until smooth with the help of your palm.Divide the dough into 6 number of small balls. Take one ball and roll out to about 5" diameter. Place a round cookie cutter of 1.5" diameter in center without pressing down.Make four diagonal slits, leaving 1.5" center area. Now take out the cookie cutter. Place 1 tablespoon of stuffing in the center. Brush a bit of butter on the edges of rolled dough. Take one of the sections and cover the side of the filling with it.Next take the opposite side's section and cover the other side of the filling with it. Press a little on the edges so that it stick to each other.Next similarly take and cover other two sections and finally give to a rose shape. Repeat for rest of the dough balls.Preheat oven to 180 degree C. Place all the roses on a baking tray lined with butter paper.Brush those with milk and sprinkle some white sesame seeds.Bake the roses for 18-20 minutes at 200 degree C or until the tops are golden. Take out from oven and brush them with melted butter. Serve hot.Serve Rose Buns With Stuffed Mushroom along with Masala Chai and Orange Lemon Tea Cake for your next tea party.
</t>
  </si>
  <si>
    <t>Para comenzar a hacer la receta de Bollos de Rosa con Champiñones Rellenos, en un tazón mediano, mezcle el azúcar con agua tibia. Luego agregue la levadura al agua tibia azucarada y deje reposar durante 10 minutos. Después de 10 minutos, la mezcla debe volverse espumosa y haber subido bien. Tome otro tazón ancho. Agregue harina para todo uso, aceite, sal junto con la mezcla de levadura espumosa. Junte para obtener una masa suave. No es necesario amasar mucho. Manténgase cubierto con un paño húmedo durante 1-2 horas o hasta que duplique su tamaño. Mientras tanto, comience a preparar el relleno. Caliente el aceite en una sartén. Agregue cebolla finamente picada y saltee hasta que se ablande. Luego agregue la pasta de jengibre y ajo y cocine por algunos minutos más. Agregue los hongos finamente picados, la cúrcuma en polvo, los chiles verdes finamente picados, el chile rojo en polvo y la sal. Mezcle todo bien, cubra y cocine a fuego medio durante unos 10-15 minutos o hasta que todo el líquido se haya evaporado. Agregue las hojas de cilantro picadas y revuelva rápidamente. Una vez hecho esto, retire del fuego y deje que el relleno se enfríe por completo. Después de 1-2 horas, la masa duplicará su tamaño. Ahora espolvoree un poco de harina para todo uso en una superficie plana, golpee la masa y amase sobre la superficie enharinada hasta que quede suave con la ayuda de la palma de la mano. Divida la masa en 6 bolas pequeñas. Tome una bola y extiéndala hasta que tenga un diámetro de aproximadamente 5". Coloque un cortador de galletas redondo de 1.5" de diámetro en el centro sin presionar. Haga cuatro cortes diagonales, dejando un área central de 1.5". Ahora saque el cortador de galletas. Coloque 1 cucharada de relleno en el centro. Unte un poco de mantequilla en los bordes de la masa enrollada. Tome una de las secciones y cubra el lado del relleno con ella. Luego, tome la sección del lado opuesto y cubra el otro lado del relleno con ella. Presione un poco en los bordes para que se peguen entre sí. A continuación, tome y cubra de manera similar otras dos secciones y finalmente dele forma de rosa. Repita para el resto de las bolas de masa. Precaliente el horno a 180 grados C. Coloque todas las rosas en una bandeja para hornear forrada con papel manteca. Unte con leche y espolvoree algunas semillas de sésamo blanco. Hornee las rosas durante 18-20 minutos a 200 grados C o hasta que Las partes superiores están doradas. Sáquelas del horno y úntelas con mantequilla derretida. Sírvalas calientes. Sirva los bollos de rosas con champiñones rellenos junto con el Masala Chai y el pastel de té de naranja y limón para su próxima fiesta de té.</t>
  </si>
  <si>
    <t>Pour commencer à préparer la recette des brioches à la rose avec champignons farcis, dans un bol moyen, mélangez le sucre avec de l'eau tiède. Ajoutez ensuite la levure à l'eau tiède sucrée et laissez reposer 10 minutes. Après 10 minutes, le mélange doit devenir mousseux et avoir bien levé. Prenez un autre grand bol. Ajoutez la farine tout usage, l'huile, le sel ainsi que le mélange de levure moussée. Rassemblez pour obtenir une pâte lisse. Pas besoin de beaucoup pétrir. Gardez couvert d'un linge humide pendant 1 à 2 heures ou jusqu'à ce que la pâte ait doublé de volume. Pendant ce temps, commencez à préparer la farce. Faites chauffer l'huile dans une poêle. Ajoutez l'oignon finement haché et faites revenir jusqu'à ce qu'il soit tendre. Ajoutez ensuite la pâte d'ail et de gingembre et laissez cuire encore quelques minutes. Ajoutez les champignons finement hachés, la poudre de curcuma, les piments verts finement hachés, la poudre de piment rouge et le sel. Mélangez bien le tout, couvrez et laissez cuire à feu moyen pendant environ 10 à 15 minutes ou jusqu'à ce que tout le liquide se soit évaporé. Ajoutez les feuilles de coriandre hachées et remuez rapidement. Une fois terminé, retirez du feu et laissez la farce refroidir complètement. Après 1 à 2 heures, la pâte aura doublé de volume. Saupoudrez maintenant un peu de farine tout usage sur une surface plane, écrasez la pâte et pétrissez sur la surface farinée jusqu'à ce qu'elle soit lisse à l'aide de la paume de la main. Divisez la pâte en 6 petites boules. Prenez une boule et étalez-la à environ 12,7 cm de diamètre. Placez un emporte-pièce rond de 3,8 cm de diamètre au centre sans appuyer. Faites quatre fentes diagonales, en laissant une zone centrale de 3,8 cm. Retirez maintenant l'emporte-pièce. Placez 1 cuillère à soupe de farce au centre. Badigeonnez un peu de beurre sur les bords de la pâte roulée. Prenez une des sections et recouvrez le côté de la garniture avec. Ensuite, prenez la section du côté opposé et recouvrez l'autre côté de la garniture avec. Appuyez légèrement sur les bords pour qu'ils collent l'un à l'autre. Ensuite, prenez et recouvrez les deux autres sections de la même manière et donnez enfin une forme de rose. Répétez l'opération pour le reste des boules de pâte. Préchauffez le four à 180 °C. Placez toutes les roses sur une plaque de cuisson recouverte de papier sulfurisé. Badigeonnez-les de lait et saupoudrez de graines de sésame blanches. Faites cuire les roses pendant 18 à 20 minutes à 200 °C ou jusqu'à ce que le dessus soit doré. Sortez-les du four et badigeonnez-les de beurre fondu. Servir chaud. Servez les brioches roses aux champignons farcis avec du masala chai et du gâteau au thé orange-citron pour votre prochain goûter.</t>
  </si>
  <si>
    <t>http://www.archanaskitchen.com/rose-buns-with-stuffed-mushroom-recipe</t>
  </si>
  <si>
    <t>Black Bean Soup With Mojo Recipe</t>
  </si>
  <si>
    <t>Schwarze Bohnensuppe mit Mojo-Rezept</t>
  </si>
  <si>
    <t>Recette de soupe aux haricots noirs au mojo</t>
  </si>
  <si>
    <t>Receta de sopa de frijoles negros con mojo</t>
  </si>
  <si>
    <t>1 tasse de haricots noirs - trempés dans l'eau pendant 7 à 8 heures, 1 cuillère à soupe d'huile d'olive extra vierge, 3 gousses d'ail - hachées, 1 oignon - haché, 1 tomate - haché, 1 poivron vert (Capsicum) - haché, 1 carotte (Gajjar) - pelée et hachée, 2 cuillères à café de poudre de cumin (Jeera), 2 cuillères à café d'origan séché - ou de feuilles fraîches, 2 cuillères à café de flocons de piment rouge - ou de poudre de poivre noir, feuilles de coriandre (Dhania) - selon les besoins ou feuilles d'origan pour la garniture (facultatif), sel - au goût, 3 cuillères à soupe de jus de citron, 2 cuillères à soupe de jus d'orange frais, 1 cuillère à soupe d'huile d'olive extra vierge, 5 gousses d'ail - râpées ou finement écrasées, 1 cuillère à café de poudre de cumin (Jeera), 3 cuillères à café d'origan séché - ou frais, 1/2 cuillère à café de flocons de piment rouge - ou de poudre de poivre noir, sel - au goût</t>
  </si>
  <si>
    <t>1 cup Black beans - soaked in water for 7-8 hours,1 tablespoon Extra Virgin Olive Oil,3 cloves Garlic - minced,1 Onion - chopped,1 Tomato - chopped,1 Green Bell Pepper (Capsicum) - chopped,1 Carrot (Gajjar) - peeled and chopped,2 teaspoons Cumin powder (Jeera),2 teaspoons Dried oregano - or fresh leaves,2 teaspoon Red Chilli flakes - or black pepper powder,Coriander (Dhania) Leaves - as required or oregano leaves for garnish (optional),Salt - to taste,3 tablespoons Lemon juice,2 tablespoons Fresh orange juice,1 tablespoon Extra Virgin Olive Oil,5 cloves Garlic - grated or finely crushed,1 teaspoon Cumin powder (Jeera),3 teaspoons Dried oregano - or fresh one,1/2 teaspoon Red Chilli flakes - or black pepper powder,Salt - to taste</t>
  </si>
  <si>
    <t>1 taza de frijoles negros - remojados en agua durante 7-8 horas, 1 cucharada de aceite de oliva virgen extra, 3 dientes de ajo - picados, 1 cebolla - picada, 1 tomate - picado, 1 pimiento verde (Capsicum) - picado, 1 zanahoria (Gajjar) - pelada y picada, 2 cucharaditas de comino en polvo (Jeera), 2 cucharaditas de orégano seco - u hojas frescas, 2 cucharaditas de hojuelas de chile rojo - o pimienta negra en polvo, hojas de cilantro (Dhania) - según se requiera u hojas de orégano para decorar (opcional), sal - al gusto, 3 cucharadas de jugo de limón, 2 cucharadas de jugo de naranja fresco, 1 cucharada de aceite de oliva virgen extra, 5 dientes de ajo - rallados o finamente triturados, 1 cucharadita de comino en polvo (Jeera), 3 cucharaditas de orégano seco - o fresco, 1/2 cucharadita de hojuelas de chile rojo - o pimienta negra en polvo, sal - al gusto</t>
  </si>
  <si>
    <t xml:space="preserve">To begin making the black bean soup with Mojo sauce first cook beans till they become soft. You can either pressure cook them or cook them in a saucepan on the stove top.In a saucepan, heat the oil. Add garlic and onion. Sauté till the onion becomes translucent.Add capsicum and carrot. Stir and cook covered for 2-3 minutes.Add some water if required. Add the tomatoes, beans, cumin, oregano, chilli flakes and salt.Add some water and bring it to a boil. Mash some of the beans with a ladle to thicken the soup. (You can blend some beans in a food processor if you want a thick soup)Serve in individual bowls, topped with a spoonful of mojo sauce and garnished with herbs.For the mojo sauce: Whisk together all the ingredients and use as required.Serve Black Bean soup with Mojo on its own or with baked Tortilla chips for a delicious light meal.
</t>
  </si>
  <si>
    <t>Para preparar la sopa de frijoles negros con mojo, cocínelos hasta que estén suaves. Puede cocinarlos a presión o en una cacerola sobre la estufa. En una cacerola, caliente el aceite. Agregue el ajo y la cebolla. Saltee hasta que la cebolla esté transparente. Agregue el pimiento morrón y la zanahoria. Revuelva y cocine tapado durante 2-3 minutos. Agregue un poco de agua si es necesario. Agregue los tomates, los frijoles, el comino, el orégano, las hojuelas de chile y la sal. Agregue un poco de agua y llévelo a ebullición. Machaque algunos frijoles con un cucharón para espesar la sopa. (Puede licuar algunos frijoles en un procesador de alimentos si desea una sopa espesa). Sirva en tazones individuales, cubra con una cucharada de mojo y decore con hierbas. Para la salsa de mojo: Mezcle todos los ingredientes y úselos al gusto. Sirva la sopa de frijoles negros con mojo sola o con totopos horneados para una comida ligera y deliciosa.</t>
  </si>
  <si>
    <t>Pour préparer la soupe de haricots noirs à la sauce Mojo, commencez par cuire les haricots jusqu'à ce qu'ils soient tendres. Vous pouvez les cuire sous pression ou à la poêle. Dans une casserole, faites chauffer l'huile. Ajoutez l'ail et l'oignon. Faites revenir jusqu'à ce que l'oignon devienne translucide. Ajoutez le poivron et la carotte. Remuez et laissez mijoter à couvert pendant 2 à 3 minutes. Ajoutez un peu d'eau si nécessaire. Ajoutez les tomates, les haricots, le cumin, l'origan, les flocons de piment et le sel. Ajoutez un peu d'eau et portez à ébullition. Écrasez quelques haricots à la louche pour épaissir la soupe. (Vous pouvez mixer quelques haricots au robot pour une soupe épaisse.) Servez dans des bols individuels, nappés d'une cuillerée de sauce Mojo et garnis d'herbes. Pour la sauce Mojo : fouettez tous les ingrédients et utilisez-les selon vos besoins. Servez la soupe de haricots noirs à la sauce Mojo seule ou avec des chips de tortilla cuites au four pour un délicieux repas léger.</t>
  </si>
  <si>
    <t>https://www.archanaskitchen.com/black-bean-soup-with-mojo-recipe</t>
  </si>
  <si>
    <t>Eggs Benedict With Caramelised Onion And Hollandaise Sauce Recipe</t>
  </si>
  <si>
    <t>Rezept für Eier Benedict mit karamellisierten Zwiebeln und Sauce Hollandaise</t>
  </si>
  <si>
    <t>Recette d'œufs Bénédicte aux oignons caramélisés et sauce hollandaise</t>
  </si>
  <si>
    <t>Receta de huevos Benedict con cebollas caramelizadas y salsa holandesa</t>
  </si>
  <si>
    <t>4 tranches de pain complet, 3 cuillères à soupe de beurre ramolli, 2 oignons finement tranchés (caramélisés), sel au goût, poudre de poivre noir au goût, 4 œufs entiers, 4 jaunes d'œufs, 1 cuillère à café de jus de citron, 1/2 tasse de beurre (non salé) fondu, 1/4 cuillère à café de poudre de piment rouge (ou poivre de Cayenne), sel au goût</t>
  </si>
  <si>
    <t>4 Whole Wheat Brown Bread - slices,3 tablespoons Butter - softened,2 Onions - thinly sliced rings(caramelize),Salt - to taste,Black pepper powder - to taste,4 Whole Eggs,4 Egg yolks,1 teaspoon Lemon juice,1/2 cup Butter (unsalted) - melted,1/4 teaspoon Red Chilli powder - (or cayenne pepper),Salt - to taste</t>
  </si>
  <si>
    <t>4 rebanadas de pan integral, 3 cucharadas de mantequilla ablandada, 2 cebollas cortadas en rodajas finas (caramelizadas), sal al gusto, pimienta negra en polvo al gusto, 4 huevos enteros, 4 yemas de huevo, 1 cucharadita de jugo de limón, 1/2 taza de mantequilla (sin sal) derretida, 1/4 cucharadita de chile rojo en polvo (o pimienta de cayena), sal al gusto</t>
  </si>
  <si>
    <t xml:space="preserve">To begin making the Eggs Benedict with caramelize onion and  Hollandaise Sauce Recipe, we will first make the Hollandaise Sauce.In a large mixing bowl, vigorously whisk the egg yolks and lemon juice together until the mixture is thickened and is fluffy and almost doubled in volume.Place a saucepan half filled with water on low heat. Allow the water to come to a simmering bowl. Place the whisked egg yolk mixture over this saucepan taking care that the bowl does to touch the water.Be careful to not to let the eggs get too hot. It it gets too hot they will begin to scramble. While the eggs are over the warm double boiler, add the butter and keep whisking until the sauce is doubled in volume and has thickened. As soon as you notice the sauce is thickening, turn off the heat and add the salt and cayenne pepper.Remove the sauce from the boiler and keep the Hollandaise sauce aside.The next step is to toast the bread over the skillet. Spread butter over the bread slices.Heat the skillet over medium heat and toast the bread slices over the skillet until crisp and golden brown.Once done, turn off the heat and place the toasted bread slices over the serving platter.For the Caramelized Onion in the same pan add some oil and add chopped onions and salt. Let it saute in medium heat for a while and cover it with a lid. The onions start to turn golden and you will smell the caramelized onion after about 20 minutes. Now for the eggs,bring a pot of water to boil and add some vinegar.with a spoon,begin stirring the boiling water in a large circular motion and create a whirlpool, crack one or two eggs .We`ll see that eggs are wrapping around itself as it cooks,keeping it together,it takes about 2 1/2 minute into cooking.take it out and place it on kitchen towel to soak water properly .Place saute onions on the toasted bread. Top it off with fried eggs and hollandaise sauce and serve it with some fresh fruit juice.  You can serve Eggs Benedict with Caramelize onion and Hollandaise Sauce with some fruit salad or a glass of fresh Orange juice of your choice.
</t>
  </si>
  <si>
    <t>Para comenzar a hacer la receta de huevos Benedict con cebolla caramelizada y salsa holandesa, primero haremos la salsa holandesa. En un tazón grande, bata vigorosamente las yemas de huevo y el jugo de limón juntos hasta que la mezcla espese y esté esponjosa y casi haya duplicado su volumen. Coloque una cacerola llena hasta la mitad con agua a fuego lento. Deje que el agua hierva a fuego lento. Coloque la mezcla de yema de huevo batida sobre esta cacerola teniendo cuidado de que el tazón no toque el agua. Tenga cuidado de no dejar que los huevos se calienten demasiado. Si se calienta demasiado, comenzarán a revolverse. Mientras los huevos están sobre el baño maría tibio, agregue la mantequilla y siga batiendo hasta que la salsa doble su volumen y se haya espesado. Tan pronto como note que la salsa se está espesando, apague el fuego y agregue la sal y la pimienta de cayena. Retire la salsa de la caldera y reserve la salsa holandesa. El siguiente paso es tostar el pan sobre la sartén. Unta mantequilla sobre las rebanadas de pan. Calienta la sartén a fuego medio y tuesta las rebanadas de pan sobre la sartén hasta que estén crujientes y doradas. Una vez hecho esto, apaga el fuego y coloca las rebanadas de pan tostado sobre la fuente para servir. Para la cebolla caramelizada en la misma sartén agrega un poco de aceite y agrega cebolla picada y sal. Deja saltear a fuego medio por un rato y cúbrelo con una tapa. Las cebollas comienzan a dorarse y olerás la cebolla caramelizada después de unos 20 minutos. Ahora para los huevos, pon a hervir una olla con agua y agrega un poco de vinagre. Con una cuchara, comienza a revolver el agua hirviendo en un movimiento circular grande y crea un remolino, rompe uno o dos huevos. Veremos que los huevos se envuelven sobre sí mismos mientras se cocinan, manteniéndolos juntos, tarda aproximadamente 2 1/2 minutos en cocinarse. Sácalo y colócalo sobre una toalla de cocina para absorber el agua correctamente. Coloca las cebollas salteadas sobre el pan tostado. Cúbrelo con huevos fritos y salsa holandesa y sírvelo con un poco de jugo de fruta fresca. Puedes servir los huevos Benedict con cebolla caramelizada y salsa holandesa con un poco de ensalada de frutas o un vaso de jugo de naranja fresco de tu elección.</t>
  </si>
  <si>
    <t>Pour commencer à préparer la recette des œufs Bénédicte aux oignons caramélisés et à la sauce hollandaise, nous allons d'abord préparer la sauce hollandaise. Dans un grand bol, fouettez vigoureusement les jaunes d'œufs et le jus de citron jusqu'à ce que le mélange épaississe, soit mousseux et ait presque doublé de volume. Placez une casserole à moitié remplie d'eau sur feu doux. Laissez l'eau atteindre un bol frémissant. Placez le mélange de jaunes d'œufs battus sur cette casserole en veillant à ce que le bol ne touche pas l'eau. Veillez à ne pas laisser les œufs trop chauds. S'ils deviennent trop chauds, ils commenceront à brouiller. Pendant que les œufs sont au-dessus du bain-marie chaud, ajoutez le beurre et continuez à fouetter jusqu'à ce que la sauce double de volume et épaississe. Dès que vous remarquez que la sauce épaissit, éteignez le feu et ajoutez le sel et le poivre de Cayenne. Retirez la sauce du bain-marie et réservez la sauce hollandaise. L'étape suivante consiste à faire griller le pain au-dessus de la poêle. Étalez du beurre sur les tranches de pain. Faites chauffer la poêle à feu moyen et faites griller les tranches de pain sur la poêle jusqu'à ce qu'elles soient croustillantes et dorées. Une fois terminé, éteignez le feu et placez les tranches de pain grillées sur le plat de service. Pour l'oignon caramélisé dans la même poêle, ajoutez un peu d'huile et ajoutez les oignons hachés et le sel. Laissez revenir à feu moyen pendant un moment et couvrez avec un couvercle. Les oignons commencent à dorer et vous sentirez l'oignon caramélisé après environ 20 minutes. Maintenant, pour les œufs, portez une casserole d'eau à ébullition et ajoutez un peu de vinaigre. Avec une cuillère, commencez à remuer l'eau bouillante dans un grand mouvement circulaire et créez un tourbillon, cassez un ou deux œufs. Nous verrons que les œufs s'enroulent sur eux-mêmes pendant la cuisson, en les gardant ensemble, cela prend environ 2 minutes et demie de cuisson. Retirez-le et placez-le sur un torchon de cuisine pour bien tremper l'eau. Placez les oignons sautés sur le pain grillé. Complétez avec des œufs au plat et de la sauce hollandaise et servez avec du jus de fruits frais. Vous pouvez servir des œufs Bénédicte avec des oignons caramélisés et de la sauce hollandaise avec une salade de fruits ou un verre de jus d'orange frais de votre choix.</t>
  </si>
  <si>
    <t>http://www.archanaskitchen.com/eggs-benedict-with-caremalize-onion-and-hollandaise-sauce-recipe</t>
  </si>
  <si>
    <t>Skillet Potato And Eggs Recipe</t>
  </si>
  <si>
    <t>Rezept für Bratkartoffeln mit Eiern</t>
  </si>
  <si>
    <t>Recette de pommes de terre sautées aux œufs</t>
  </si>
  <si>
    <t>Receta de patatas fritas con huevos</t>
  </si>
  <si>
    <t>2 pommes de terre (Aloo) - nettoyées et coupées en dés, 2 patates douces - nettoyées et coupées en dés, 2 gousses d'ail - hachées, 1 oignon - finement haché, 2 cuillères à soupe d'huile d'olive extra vierge, 1 oignon nouveau (bulbe et verts) - haché (blanc et verts), 1 cuillère à café d'assaisonnement italien, 4 œufs entiers, 1 cuillère à café de feuilles de persil - hachées, 1/4 tasse de fromage mozzarella - râpé, sel et poivre - au goût</t>
  </si>
  <si>
    <t>2 Potatoes (Aloo) - cleaned and diced,2 Sweet Potatoes - cleaned and diced,2 cloves Garlic - minced,1 Onion - finely chopped,2 tablespoons Extra Virgin Olive Oil,1 Spring Onion (Bulb &amp; Greens) - chopped (white and greens),1 teaspoon Italian seasoning,4 Whole Eggs,1 teaspoon Parsley leaves - chopped,1/4 cup Mozzarella cheese - grated,Salt and Pepper - to taste</t>
  </si>
  <si>
    <t>2 papas (Aloo) - limpias y cortadas en cubitos, 2 batatas - limpias y cortadas en cubitos, 2 dientes de ajo - picados, 1 cebolla - finamente picada, 2 cucharadas de aceite de oliva virgen extra, 1 cebolla de verdeo (bulbo y hojas) - picada (blanca y verdes), 1 cucharadita de condimento italiano, 4 huevos enteros, 1 cucharadita de hojas de perejil - picadas, 1/4 taza de queso mozzarella - rallado, sal y pimienta - al gusto</t>
  </si>
  <si>
    <t>Brunch</t>
  </si>
  <si>
    <t xml:space="preserve">To begin making the Skillet Potato And Eggs first preheat the oven to 180 C.Meanwhile place an oven-safe Cast Iron Skillet on medium heat. Add olive oil, garlic, sliced onion and scallion whites to the oil and saute until translucent.Add both potatoes to the pan and toss them along with a little salt. Continue to saute until the potatoes turn golden brown and tender.Next, add the Italian herbs, chopped parsley and pepper, and add additional salt if needed.Make 4 wells/holes in the potato mixture and break an egg into each well.Place the skillet into the oven bake for 10 to 11 minutes or until egg whites are completely set and yolks begin to thicken.You can also cook it on a stovetop on low to medium heat until you see the eggs thicken. Half way through, sprinkle the potato and eggs with with grated cheese and bake for a couple of minutes until cheese melts and turns slightly golden. Cover the pan and allow the cheese to melt through.Serve Skillet Potato And Eggs with hash browns, Mushroom Sauce and garlic bread for a stylish home made brunch.
</t>
  </si>
  <si>
    <t>Para comenzar a hacer la sartén de patatas y huevos, primero precaliente el horno a 180 C. Mientras tanto, coloque una sartén de hierro fundido apta para horno a fuego medio. Agregue aceite de oliva, ajo, cebolla en rodajas y claras de cebolleta al aceite y saltee hasta que esté translúcido. Agregue ambas patatas a la sartén y mézclelas con un poco de sal. Continúe salteando hasta que las patatas se doren y estén tiernas. Luego, agregue las hierbas italianas, el perejil picado y la pimienta, y agregue sal adicional si es necesario. Haga 4 pozos / agujeros en la mezcla de patatas y rompa un huevo en cada pozo. Coloque la sartén en el horno y hornee durante 10 a 11 minutos o hasta que las claras de huevo estén completamente cuajadas y las yemas comiencen a espesar. También puede cocinarlo en una estufa a fuego bajo a medio hasta que vea que los huevos espesan. A la mitad, espolvoree la patata y los huevos con queso rallado y hornee durante un par de minutos hasta que el queso se derrita y se dore ligeramente. Cubre la sartén y deja que el queso se derrita. Sirve las patatas y los huevos a la sartén con patatas fritas, salsa de champiñones y pan de ajo para un brunch casero con estilo.</t>
  </si>
  <si>
    <t>Pour commencer à préparer la poêle de pommes de terre et d'œufs, préchauffez d'abord le four à 180 °C. Pendant ce temps, placez une poêle en fonte allant au four sur feu moyen. Ajoutez l'huile d'olive, l'ail, l'oignon émincé et les blancs d'oignons verts à l'huile et faites revenir jusqu'à ce qu'ils soient translucides. Ajoutez les deux pommes de terre dans la poêle et mélangez-les avec un peu de sel. Continuez à faire sauter jusqu'à ce que les pommes de terre deviennent dorées et tendres. Ensuite, ajoutez les herbes italiennes, le persil haché et le poivre, et ajoutez du sel supplémentaire si nécessaire. Faites 4 puits/trous dans le mélange de pommes de terre et cassez un œuf dans chaque puits. Placez la poêle au four et faites cuire pendant 10 à 11 minutes ou jusqu'à ce que les blancs d'œufs soient complètement pris et que les jaunes commencent à épaissir. Vous pouvez également le faire cuire sur une cuisinière à feu doux à moyen jusqu'à ce que vous voyiez les œufs épaissir. À mi-cuisson, saupoudrez les pommes de terre et les œufs de fromage râpé et faites cuire pendant quelques minutes jusqu'à ce que le fromage fonde et devienne légèrement doré. Couvrez la poêle et laissez fondre le fromage. Servez les pommes de terre et les œufs à la poêle avec des pommes de terre rissolées, de la sauce aux champignons et du pain à l'ail pour un brunch maison élégant.</t>
  </si>
  <si>
    <t>https://www.archanaskitchen.com/skillet-potato-and-eggs-recipe</t>
  </si>
  <si>
    <t>Delicious Spicy Chyawanprash Cookies Recipe</t>
  </si>
  <si>
    <t>Rezept für köstliche würzige Chyawanprash-Kekse</t>
  </si>
  <si>
    <t>Recette de délicieux biscuits épicés Chyawanprash</t>
  </si>
  <si>
    <t>Deliciosa receta de galletas chyawanprash picantes</t>
  </si>
  <si>
    <t>2-1/2 tasses de farine de blé entier, 1 cuillère à soupe de poudre de graines de lin (farine de lin), 1/2 tasse de beurre, 1 tasse de cassonade (sucre Demerara), 1-1/2 cuillère à café de levure chimique, eau - au besoin, 1/8 cuillère à café de poudre de gingembre sec, 200 grammes de Chyawanprash, 1 pincée de sel, lait - au besoin, sucre en poudre - au besoin pour saupoudrer</t>
  </si>
  <si>
    <t>2-1/2 cup Whole Wheat Flour,1 tablespoon Flax seed powder (flax meal),1/2 cup Butter,1 cup Brown Sugar (Demerara Sugar),1-1/2 teaspoon Baking powder,Water - as needed,1/8 teaspoon Dry ginger powder,200 grams Chyawanprash,1 pinch Salt,Milk - as needed,Caster Sugar - as needed to sprinkle</t>
  </si>
  <si>
    <t>2-1/2 tazas de harina integral, 1 cucharada de polvo de semilla de lino (harina de lino), 1/2 taza de mantequilla, 1 taza de azúcar morena (azúcar Demerara), 1-1/2 cucharadita de polvo para hornear, agua - según sea necesario, 1/8 cucharadita de jengibre en polvo seco, 200 gramos de Chyawanprash, 1 pizca de sal, leche - según sea necesario, azúcar extrafino - según sea necesario para espolvorear</t>
  </si>
  <si>
    <t xml:space="preserve">To begin making the Delicious Spicy Chyawanprash Cookies Recipe, in a small bowl add flax meal and add water and let it rest for 5-7 minutes until it turns gelatinous.In a larger bowl cream together butter and brown sugar. Add the flax meal mixture and combine well.Add Chyawanprash to the cookie butter mixture and beat well. In another bowl sift whole wheat flour,  baking powder, ginger powder and salt.Add little by little of this dry flour to wet cookie butter mixture and combine. You can use your hands to mix well or a cookie beater/.Add a few spoons of milk to ease in making the Chyawanprash cookie dough.Preheat your oven to 180 C and line your baking tray with parchment paper because it makes your cookies slide off from the tray without sticking to the bottom and also it makes cleaning super easy.Roll the Chyawanprash cookie dough into golf ball size and roll in caster sugar.Place the Chyawanprash cookie dough on the cookie sheet lined with parchment paper and press them with your palm slightly.Bake the cookies in the oven for 12-15 minutes on 180 degree C in the centre rack till they acquire a slight golden colour. Once done, remove from the oven and allow to cool.Serve these delicious Spicy Chyawanprash Cookies as a tea time snack along with some Cheesy Aloo Bread Pakora Recipe and chai.
</t>
  </si>
  <si>
    <t>Para comenzar a hacer la deliciosa receta de galletas picantes de Chyawanprash, en un tazón pequeño agregue harina de lino y agregue agua y déjela reposar durante 5 a 7 minutos hasta que se vuelva gelatinosa. En un tazón más grande, bata la mantequilla y el azúcar moreno. Agregue la mezcla de harina de lino y combine bien. Agregue Chyawanprash a la mezcla de mantequilla de galletas y bata bien. En otro tazón, tamice la harina integral, el polvo para hornear, el jengibre en polvo y la sal. Agregue poco a poco de esta harina seca a la mezcla húmeda de mantequilla de galletas y combine. Puedes usar tus manos para mezclar bien o un batidor de galletas. Agrega unas cucharadas de leche para facilitar la preparación de la masa de galletas Chyawanprash. Precalienta el horno a 180 °C y cubre la bandeja para hornear con papel de horno, ya que hace que las galletas se deslicen de la bandeja sin pegarse al fondo y también hace que la limpieza sea muy fácil. Enrolla la masa de galletas Chyawanprash en el tamaño de una pelota de golf y rebózala en azúcar extrafino. Coloca la masa de galletas Chyawanprash en la bandeja para hornear forrada con papel de horno y presiónalas ligeramente con la palma de la mano. Hornea las galletas en el horno durante 12-15 minutos a 180 grados C en la rejilla central hasta que adquieran un ligero color dorado. Una vez listas, retíralas del horno y déjalas enfriar. Sirve estas deliciosas galletas picantes Chyawanprash como un refrigerio para la hora del té junto con un poco de Receta de Pakora de Pan Aloo con Queso y chai.</t>
  </si>
  <si>
    <t>Pour commencer à préparer la délicieuse recette de biscuits épicés Chyawanprash, dans un petit bol, ajoutez la farine de lin et ajoutez de l'eau et laissez reposer pendant 5 à 7 minutes jusqu'à ce qu'elle devienne gélatineuse. Dans un bol plus grand, crémez le beurre et la cassonade. Ajoutez le mélange de farine de lin et mélangez bien. Ajoutez le Chyawanprash au mélange de beurre de biscuits et battez bien. Dans un autre bol, tamisez la farine de blé entier, la levure chimique, la poudre de gingembre et le sel. Ajoutez petit à petit cette farine sèche au mélange de beurre de biscuits humide et mélangez. Vous pouvez utiliser vos mains pour bien mélanger ou un batteur à biscuits. Ajoutez quelques cuillères à soupe de lait pour faciliter la préparation de la pâte à biscuits Chyawanprash. Préchauffez votre four à 180 °C et recouvrez votre plaque de cuisson de papier sulfurisé, car cela permet à vos biscuits de glisser de la plaque sans coller au fond et facilite également le nettoyage. Étalez la pâte à biscuits Chyawanprash en boule de la taille d'une balle de golf et roulez-la dans du sucre en poudre. Placez la pâte à biscuits Chyawanprash sur la plaque à biscuits recouverte de papier sulfurisé et appuyez légèrement avec la paume de la main. Faites cuire les biscuits au four pendant 12 à 15 minutes à 180 °C sur la grille du milieu jusqu'à ce qu'ils acquièrent une légère couleur dorée. Une fois cuits, retirez-les du four et laissez-les refroidir. Servez ces délicieux biscuits Chyawanprash épicés comme collation à l'heure du thé, accompagnés d'une recette de pakora au pain Aloo au fromage et de chai.</t>
  </si>
  <si>
    <t>https://www.archanaskitchen.com/delicious-spicy-chyawanprash-cookies-recipe</t>
  </si>
  <si>
    <t>Coconut Banana Oatmeal Porridge Recipe</t>
  </si>
  <si>
    <t>Rezept für Kokos-Bananen-Haferflocken-Porridge</t>
  </si>
  <si>
    <t>Recette de porridge à la noix de coco, à la banane et aux flocons d'avoine</t>
  </si>
  <si>
    <t>Receta de gachas de avena, coco y plátano</t>
  </si>
  <si>
    <t>1 tasse de flocons d'avoine instantanés (variété instantanée), 1 banane mûre tranchée, 1/4 tasse de noix de coco fraîche ou tendre, miel au goût, lait au besoin, eau au besoin</t>
  </si>
  <si>
    <t>1 cup Instant Oats (Oatmeal) - (instant variety),1 Ripe Bananas - sliced,1/4 cup Fresh coconut - or tender coconut,Honey - to taste,Milk - as required,Water - as required</t>
  </si>
  <si>
    <t>1 taza de avena instantánea (variedad instantánea), 1 plátano maduro en rodajas, 1/4 taza de coco fresco o coco tierno, miel al gusto, leche al gusto, agua al gusto.</t>
  </si>
  <si>
    <t xml:space="preserve">To begin making the Coconut Banana Oatmeal Porridge Recipe, we will first cook the oats along with milk and water.Add the oatmeal to a sauce pan, add 1 cup of water and cook the oats along with the water. Once you notice that the oats begins to thicken, add 1/2 to 1 cup of milk and cook the oats well. Once the oats has cooked and you have a thick porridge, turn off the heat and keep aside and allow it to cool down.You can either serve the porridge chilled or warm - it will be your personal choice.Prepare the fruits and keep aside.Take 3 or 4 serving bowls, spoon the oatmeal porridge into the bowl, stir in the coconut, arrange the fruits on the top, drizzle some honey and serve.Serve the Coconut Banana Oatmeal Porridge along with a toasted bread and a cup of Cold Coffee Smoothie Recipe for a wholesome breakfast. 
</t>
  </si>
  <si>
    <t>Para empezar a preparar la receta de gachas de avena con coco y plátano, primero cocinaremos la avena con leche y agua. Añada la avena a una cacerola, agregue 1 taza de agua y cocine la avena junto con el agua. Una vez que note que la avena comienza a espesar, agregue de 1/2 a 1 taza de leche y cocine bien la avena. Una vez que la avena se haya cocido y tenga una papilla espesa, apague el fuego y reserve para que se enfríe. Puede servir la papilla fría o caliente; será su elección personal. Prepare las frutas y reserve. Tome 3 o 4 tazones para servir, vierta la papilla de avena en el tazón, agregue el coco, coloque las frutas encima, rocíe un poco de miel y sirva. Sirva las gachas de avena con coco y plátano junto con un pan tostado y una taza de la receta de batido de café frío para un desayuno saludable.</t>
  </si>
  <si>
    <t>Pour préparer le porridge à l'avoine, à la banane et à la noix de coco, nous allons d'abord cuire les flocons d'avoine avec du lait et de l'eau. Mettez les flocons d'avoine dans une casserole, ajoutez 250 ml d'eau et faites-les cuire avec l'eau. Lorsque vous remarquez que l'avoine commence à épaissir, ajoutez 120 ml à 250 ml de lait et faites bien cuire les flocons d'avoine. Une fois que l'avoine est cuite et que vous obtenez un porridge épais, éteignez le feu et réservez. Vous pouvez servir le porridge froid ou tiède ; à vous de choisir. Préparez les fruits et réservez. Prenez 3 ou 4 bols de service, versez le porridge à l'avoine dans le bol, incorporez la noix de coco, disposez les fruits dessus, arrosez de miel et servez. Servez le porridge à l'avoine, à la banane et à la noix de coco avec du pain grillé et une tasse de smoothie au café froid pour un petit-déjeuner sain.</t>
  </si>
  <si>
    <t>https://www.archanaskitchen.com/coconut-banana-oatmeal-porridge-recipe</t>
  </si>
  <si>
    <t>Cucumber Sandwich With Yogurt Dill Spread Recipe</t>
  </si>
  <si>
    <t>Gurkensandwich mit Joghurt-Dill-Aufstrich Rezept</t>
  </si>
  <si>
    <t>Recette de sandwich au concombre avec tartinade au yaourt et à l'aneth</t>
  </si>
  <si>
    <t>Receta de sándwich de pepino con yogur y eneldo</t>
  </si>
  <si>
    <t>4 pains bruns de blé entier, 2 concombres tranchés, 1 tasse de yaourt grec, 1 cuillère à café d'origan séché, 1 cuillère à café de flocons de piment rouge, 1 cuillère à café de feuilles de thym frais, sel au goût, 2 brins d'aneth</t>
  </si>
  <si>
    <t>4 Whole Wheat Brown Bread,2 Cucumber - sliced,1 cup Hung Curd (Greek Yogurt),1 teaspoon Dried oregano,1 teaspoon Red Chilli flakes,1 teaspoon Fresh Thyme leaves,Salt - to taste,2 sprig Dill leaves</t>
  </si>
  <si>
    <t>4 panes integrales, 2 pepinos en rodajas, 1 taza de cuajada colgada (yogur griego), 1 cucharadita de orégano seco, 1 cucharadita de hojuelas de chile rojo, 1 cucharadita de hojas de tomillo fresco, sal al gusto, 2 ramitas de hojas de eneldo</t>
  </si>
  <si>
    <t xml:space="preserve">To begin making the Cucumber Sandwich with Yogurt and Dill Spread Recipe, firstly mix the hung curd with other ingredients to make the spread including dried oregano, red chilli flakes, thyme leaves, salt and dill leaves.Now take a slice and spread the yogurt mixture evenly over it and place the sliced cucumber over it and take another slice spread some more yogurt slice over it and place it over the cucumber.Do the same for the rest of the slices and enjoy. Serve the Cucumber Sandwich with Yogurt and Dill Spread Recipe along with some Banana Almond &amp; Prunes Smoothie Recipe and pack it as a lunch box or serve it as a after school snack with Date Brownie Energy Bars Recipe.
</t>
  </si>
  <si>
    <t>Para empezar a preparar la receta de sándwich de pepino con yogur y eneldo, primero mezcle la cuajada colgada con otros ingredientes para hacer la pasta, incluyendo orégano seco, hojuelas de chile rojo, hojas de tomillo, sal y hojas de eneldo. Ahora tome una rebanada y extienda la mezcla de yogur uniformemente sobre ella y coloque el pepino en rodajas encima y tome otra rebanada extienda un poco más de rebanada de yogur sobre ella y colóquela sobre el pepino. Haga lo mismo con el resto de las rebanadas y disfrute. Sirva la receta de sándwich de pepino con yogur y eneldo junto con un poco de la receta de batido de plátano, almendras y ciruelas pasas y llévelo como una lonchera o sírvalo como una merienda después de la escuela con la receta de barras energéticas de brownie de dátiles.</t>
  </si>
  <si>
    <t>Pour commencer à préparer le sandwich au concombre avec du yaourt et de la tartinade à l'aneth, mélangez d'abord le caillé avec d'autres ingrédients pour faire la tartinade, notamment de l'origan séché, des flocons de piment rouge, des feuilles de thym, du sel et des feuilles d'aneth. Prenez maintenant une tranche et étalez uniformément le mélange de yaourt dessus, puis placez le concombre tranché dessus, puis prenez une autre tranche, étalez une autre tranche de yaourt dessus et placez-la sur le concombre. Faites de même pour le reste des tranches et dégustez. Servez le sandwich au concombre avec du yaourt et de la tartinade à l'aneth avec un smoothie à la banane, aux amandes et aux pruneaux et emportez-le dans une boîte à lunch ou servez-le comme collation après l'école avec la recette des barres énergétiques aux brownies aux dattes.</t>
  </si>
  <si>
    <t>https://www.archanaskitchen.com/cucumber-sandwich-with-yogurt-and-dill-spread-recipe</t>
  </si>
  <si>
    <t>Spinach Stir Fry Recipe With Garlic</t>
  </si>
  <si>
    <t>Spinatpfannenrezept mit Knoblauch</t>
  </si>
  <si>
    <t>Recette de poêlée d'épinards à l'ail</t>
  </si>
  <si>
    <t>Receta de espinacas al ajillo fritas en sartén</t>
  </si>
  <si>
    <t>4 tasses de feuilles d'épinards (Palak) - finement hachées, 6 gousses d'ail - finement hachées, 1 cuillère à soupe de beurre, sel - au goût, 1/2 cuillère à café de poudre de poivre noir, 1/2 cuillère à café d'herbes mélangées (séchées)</t>
  </si>
  <si>
    <t>4 cups Spinach Leaves (Palak) - finely chopped,6 cloves Garlic - finely chopped,1 tablespoon Butter,Salt - to taste,1/2 teaspoon Black pepper powder,1/2 teaspoon Mixed Herbs (Dried)</t>
  </si>
  <si>
    <t>4 tazas de hojas de espinaca (Palak) - finamente picadas, 6 dientes de ajo - finamente picados, 1 cucharada de mantequilla, sal - al gusto, 1/2 cucharadita de pimienta negra en polvo, 1/2 cucharadita de hierbas mixtas (secas)</t>
  </si>
  <si>
    <t xml:space="preserve">To begin making the Spinach Stir Fry Recipe With Garlic, heat a pan with butter on medium heat, to this add garlic and saute until for a few seconds, until you can get the aromas coming through.To this add the spinach leaves and continue to stir fry until the spinach completely wilts down. This will take about 3-5 minutes on medium-high flame. Once the spinach is done, add the salt, pper and herbs. Mix well and serve.  Serve Spinach Stir Fry Recipe With Garlic along with a meal of Herbed Butter Rice Recipe With Rosemary &amp; Thyme,  Chicken In Lemon Butter Sauce Recipe or Walnut Mushroom Veg Bolognese Recipe With A Twist.Finish the meal with a dessert of Rich Dark Chocolate Mousse Recipe
</t>
  </si>
  <si>
    <t>Para empezar a preparar la Receta de Salteado de Espinacas con Ajo, calienta una sartén con mantequilla a fuego medio, añade el ajo y saltea durante unos segundos, hasta que puedas percibir los aromas. Añade las hojas de espinaca y continúa salteando hasta que se ablanden por completo. Esto tomará de 3 a 5 minutos a fuego medio-alto. Una vez que las espinacas estén listas, añade la sal, la pimienta y las hierbas. Mezcla bien y sirve. Sirve la Receta de Salteado de Espinacas con Ajo junto con una comida como la Receta de Arroz con Mantequilla y Hierbas con Romero y Tomillo, la Receta de Pollo en Salsa de Mantequilla y Limón o la Receta de Boloñesa de Nueces, Champiñones y Verduras con un Toque Especial. Termina la comida con un postre como la Receta de Mousse de Chocolate Negro.</t>
  </si>
  <si>
    <t>Pour préparer le sauté d'épinards à l'ail, faites chauffer une poêle avec du beurre à feu moyen. Ajoutez l'ail et faites revenir quelques secondes, jusqu'à ce que les arômes se développent. Ajoutez les feuilles d'épinards et continuez à faire sauter jusqu'à ce que les épinards soient complètement ramollis. La cuisson dure environ 3 à 5 minutes à feu moyen-vif. Une fois les épinards cuits, ajoutez le sel, le poivre et les herbes. Mélangez bien et servez. Servez le sauté d'épinards à l'ail avec un riz au beurre aux herbes, au romarin et au thym, un poulet au beurre citronné ou une bolognaise aux champignons et aux noix revisitée. Terminez le repas avec une mousse au chocolat noir.</t>
  </si>
  <si>
    <t>http://www.archanaskitchen.com/spinach-stir-fry-recipe-with-garlic</t>
  </si>
  <si>
    <t>Corn And Bell Pepper Sandwich Recipe</t>
  </si>
  <si>
    <t>Rezept für ein Sandwich mit Mais und Paprika</t>
  </si>
  <si>
    <t>Recette de sandwich au maïs et aux poivrons</t>
  </si>
  <si>
    <t>Receta de sándwich de maíz y pimiento</t>
  </si>
  <si>
    <t>6 pains bruns de blé entier, 3 à 4 cuillères à soupe de yaourt grec, 1 tasse de maïs doux bouilli, 1/2 tasse de poivron rouge finement haché, 1/2 cuillère à café de feuilles de persil, 1/2 cuillère à café de flocons de piment rouge, sel au goût</t>
  </si>
  <si>
    <t>6 Whole Wheat Brown Bread,3-4 tablespoons Hung Curd (Greek Yogurt),1 cup Sweet corn - boiled,1/2 cup Red Bell pepper (Capsicum) - finely chopped,1/2 teaspoon Parsley leaves,1/2 teaspoon Red Chilli flakes,Salt - to taste</t>
  </si>
  <si>
    <t>6 panes integrales, 3-4 cucharadas de cuajada Hung (yogur griego), 1 taza de maíz dulce hervido, 1/2 taza de pimiento rojo (Capsicum) finamente picado, 1/2 cucharadita de hojas de perejil, 1/2 cucharadita de hojuelas de chile rojo, sal - al gusto</t>
  </si>
  <si>
    <t xml:space="preserve">To begin making Corn and Bell Pepper Sandwich Recipe, we first need to boil the sweet corn kernels in enough water and keep aside.Take a bowl, add the boiled sweet corn kernels, chopped red bell pepper, greek yogurt, parsley, red chilli flakes and season with salt.Mix all the ingredients evenly and keep this filling aside.Now, toast the whole wheat bread slices using a bread toaster or skillet on the stove top.To arrange the open sandwiches, diagonally cut each bread slice and place enough sandwich filling covering the bread slice. Prepare the rest of the sandwiches likewise.Serve the Corn and Bell Pepper Sandwich Recipe along with Orange Juice as an after school snack for kids or as a tea time snack.
</t>
  </si>
  <si>
    <t>Para empezar a preparar la receta del sándwich de maíz y pimiento morrón, primero debemos hervir los granos de maíz dulce en suficiente agua y reservar. En un tazón, agregue los granos de maíz dulce hervidos, el pimiento morrón rojo picado, el yogur griego, el perejil, las hojuelas de chile rojo y sazone con sal. Mezcle todos los ingredientes uniformemente y reserve este relleno. Ahora, tueste las rebanadas de pan integral con una tostadora de pan o una sartén en la estufa. Para organizar los sándwiches abiertos, corte diagonalmente cada rebanada de pan y coloque suficiente relleno de sándwich cubriéndola. Prepare el resto de los sándwiches de la misma manera. Sirva la receta del sándwich de maíz y pimiento morrón junto con jugo de naranja como una merienda para los niños después de la escuela o como una merienda para la hora del té.</t>
  </si>
  <si>
    <t>Pour commencer à préparer la recette du sandwich au maïs et au poivron, nous devons d'abord faire bouillir les grains de maïs doux dans suffisamment d'eau et les réserver. Prenez un bol, ajoutez les grains de maïs doux bouillis, le poivron rouge haché, le yaourt grec, le persil, les flocons de piment rouge et assaisonnez de sel. Mélangez tous les ingrédients uniformément et réservez cette garniture. Maintenant, faites griller les tranches de pain de blé entier à l'aide d'un grille-pain ou d'une poêle sur la cuisinière. Pour disposer les sandwichs ouverts, coupez chaque tranche de pain en diagonale et placez suffisamment de garniture pour sandwich sur la tranche de pain. Préparez le reste des sandwichs de la même manière. Servez la recette du sandwich au maïs et au poivron avec du jus d'orange comme collation après l'école pour les enfants ou comme collation à l'heure du thé.</t>
  </si>
  <si>
    <t>http://www.archanaskitchen.com/corn-and-bell-pepper-sandwich-recipe</t>
  </si>
  <si>
    <t>Tangy Tomato Pie Tart Recipe</t>
  </si>
  <si>
    <t>Rezept für eine pikante Tomatentorte</t>
  </si>
  <si>
    <t>Recette de tarte salée aux tomates</t>
  </si>
  <si>
    <t>Receta de tarta de tomate sabrosa</t>
  </si>
  <si>
    <t>1/2 kg de tomates, 10 gousses d'ail, fromage râpé, herbes mélangées (séchées) - selon les besoins, flocons de piment rouge - selon les besoins, 3 cuillères à soupe d'huile d'olive extra vierge, sel - une pincée ou deux (ajuster), 2 tasses de farine tout usage (Maida), 150 grammes de beurre - réfrigéré, sel - au goût, 1 cuillère à soupe de sucre, 1/2 tasse d'eau glacée</t>
  </si>
  <si>
    <t>1/2 kg Tomato,10 cloves Garlic,Cheese - grated,Mixed Herbs (Dried) - as required,Red Chilli flakes - as required,3 tablespoon Extra Virgin Olive Oil,Salt - a pinch or two (adjust),2 cups All Purpose Flour (Maida),150 grams Butter - chilled,Salt - to taste,1 tablespoon Sugar,1/2 cup Chilled water</t>
  </si>
  <si>
    <t>1/2 kg de tomate, 10 dientes de ajo, queso rallado, hierbas mixtas (secas) - según se requiera, hojuelas de chile rojo - según se requiera, 3 cucharadas de aceite de oliva virgen extra, sal - una pizca o dos (ajustar), 2 tazas de harina para todo uso (Maida), 150 gramos de mantequilla - fría, sal - al gusto, 1 cucharada de azúcar, 1/2 taza de agua fría</t>
  </si>
  <si>
    <t xml:space="preserve">To begin making Tomato  Tart Recipe, make pastry dough first. Add flour, salt, sugar and butter cubes into a wide bowl. Using your fingertips break all the butter cubes and rub it with flour. Add chilled water little at a time and knead to make a smooth dough.Roll the dough and cover it with cling wrap and place it in fridge for min 1 hour.Next prepare the stuffing. Pre heat oven at 180 C for 10 minutes.Take a roasting tray. Place sliced cherry tomatoes and garlic cloves. Drizzle olive oil, mixed herbs, red chilli flakes, pepper and salt. Mix everything well. Roast in the oven for 20 minutes or until the tomatoes have reduced by half their size.Next step is to prepare the pie crust. Remove pastry from refrigerator and allow it to come to room temperature for 10 minutes. Divide the dough into equal portions and roll the dough to about 2-3 mm thick.Place the dough on the prepared sheet pan and trim the edges. Refrigerate again for 10 minutes.Fill a parchment sheet with lentils (This is avoids the tart to puff up and later the beans are removed and are not the part of the recipe). Place it over the tart dough that will be baked.Bake for 15 minutes or until you see brown spots on the tart.Remove the uncooked beans parchment filling, Squeeze the garlic bulbs on the tart. Spread it and later fill the tart with roasted tomatoes and top it with grated cheese .Sprinkle some more salt and pepper powder over the top and sprinkle some herbs. Bake in oven for about 15 minutes.Serve Tangy Tomato Pie Tart along with Linzer cookies and Masala tea for your tea get together during this weekend.
</t>
  </si>
  <si>
    <t>Para comenzar a hacer la Receta de Tarta de Tomate, primero haga la masa de hojaldre. Agregue harina, sal, azúcar y cubos de mantequilla en un tazón ancho. Con las yemas de los dedos rompa todos los cubos de mantequilla y frote con harina. Agregue agua fría poco a poco y amase para hacer una masa suave. Estire la masa y cúbrala con film transparente y colóquela en el refrigerador durante al menos 1 hora. Luego prepare el relleno. Precaliente el horno a 180 C durante 10 minutos. Tome una bandeja para hornear. Coloque tomates cherry en rodajas y dientes de ajo. Rocíe aceite de oliva, hierbas mixtas, hojuelas de chile rojo, pimienta y sal. Mezcle todo bien. Ase en el horno durante 20 minutos o hasta que los tomates se hayan reducido a la mitad de su tamaño. El siguiente paso es preparar la corteza de la tarta. Retire la masa del refrigerador y deje que alcance la temperatura ambiente durante 10 minutos. Divida la masa en porciones iguales y estírela hasta que tenga un grosor de aproximadamente 2-3 mm. Coloque la masa en la bandeja para hornear preparada y recorte los bordes. Refrigerar nuevamente por 10 minutos. Rellene una hoja de papel vegetal con lentejas (esto evita que la tarta se infle y que luego se retiren las lentejas, que no forman parte de la receta). Colóquela sobre la masa de tarta que se horneará. Hornee por 15 minutos o hasta que vea manchas marrones en la tarta. Retire el relleno de lentejas crudas del papel vegetal. Exprima las cabezas de ajo sobre la tarta. Extiéndalo y luego rellene la tarta con tomates asados ​​y cúbrala con queso rallado. Espolvoree un poco más de sal y pimienta en polvo por encima y espolvoree con hierbas aromáticas. Hornee por unos 15 minutos. Sirva la tarta de tomate picante con galletas Linzer y té Masala para su reunión de té este fin de semana.</t>
  </si>
  <si>
    <t>Pour commencer à préparer la recette de tarte aux tomates, préparez d'abord la pâte feuilletée. Ajoutez la farine, le sel, le sucre et les cubes de beurre dans un grand bol. Du bout des doigts, cassez tous les cubes de beurre et frottez-les avec de la farine. Ajoutez de l'eau froide petit à petit et pétrissez pour obtenir une pâte lisse. Roulez la pâte, couvrez-la d'un film alimentaire et placez-la au réfrigérateur pendant au moins 1 heure. Préparez ensuite la farce. Préchauffez le four à 180 °C pendant 10 minutes. Prenez une plaque à rôtir. Placez les tomates cerises coupées en tranches et les gousses d'ail. Arrosez d'huile d'olive, d'herbes mélangées, de flocons de piment rouge, de poivre et de sel. Mélangez bien le tout. Rôtissez au four pendant 20 minutes ou jusqu'à ce que les tomates aient réduit de moitié. L'étape suivante consiste à préparer la croûte à tarte. Retirez la pâte du réfrigérateur et laissez-la revenir à température ambiante pendant 10 minutes. Divisez la pâte en portions égales et étalez-la sur une épaisseur d'environ 2 à 3 mm. Placez la pâte sur la plaque préparée et coupez les bords. Réfrigérer à nouveau pendant 10 minutes. Remplir une feuille de papier sulfurisé de lentilles (cela évite que la tarte ne gonfle, car les haricots sont retirés et ne font pas partie de la recette). Disposer sur la pâte à tarte qui sera cuite. Cuire au four pendant 15 minutes ou jusqu'à ce que des taches brunes apparaissent sur la tarte. Retirer le papier sulfurisé de haricots crus, presser les gousses d'ail sur la tarte. Étaler la pâte, puis garnir de tomates rôties et de fromage râpé. Saupoudrer de sel et de poivre en poudre et parsemer d'herbes. Cuire au four pendant environ 15 minutes. Servir la tarte acidulée à la tomate accompagnée de biscuits Linzer et de thé Masala pour votre goûter du week-end.</t>
  </si>
  <si>
    <t>https://www.archanaskitchen.com/tangy-tomato-pie-tart-recipe</t>
  </si>
  <si>
    <t>Egg In A Biscuit Recipe</t>
  </si>
  <si>
    <t>Ei im Keksrezept</t>
  </si>
  <si>
    <t>Recette d'œufs dans les biscuits</t>
  </si>
  <si>
    <t>Receta de huevo en galletas</t>
  </si>
  <si>
    <t>1 tasse de farine tout usage (Maida), 1 cuillère à soupe de sucre, 1-1/2 cuillère à café de levure chimique, 1 cuillère à café de bicarbonate de soude, 30 grammes de beurre salé - réfrigéré et coupé en petits dés, 40 grammes de fromage - râpé, 2 cuillères à soupe de feuilles de coriandre (Dhania) - finement hachées, 1/2 tasse de caillé (Dahi / Yaourt), 4 œufs entiers - durs</t>
  </si>
  <si>
    <t>1 cup All Purpose Flour (Maida),1 tablespoon Sugar,1-1/2 teaspoons Baking powder,1 teaspoon Baking soda,30 grams Salted butter - chilled and diced fine,40 grams Cheese - grated,2 tablespoons Coriander (Dhania) Leaves - finely chopped,1/2 cup Curd (Dahi / Yogurt),4 Whole Eggs - boiled</t>
  </si>
  <si>
    <t>1 taza de harina para todo uso (Maida), 1 cucharada de azúcar, 1-1/2 cucharadita de polvo para hornear, 1 cucharadita de bicarbonato de sodio, 30 gramos de mantequilla salada - fría y cortada en cubitos finos, 40 gramos de queso - rallado, 2 cucharadas de hojas de cilantro (Dhania) - finamente picadas, 1/2 taza de cuajada (Dahi / yogur), 4 huevos enteros - hervidos</t>
  </si>
  <si>
    <t xml:space="preserve">To begin making the Egg In A Biscuit, first set your oven to preheat at 250 C. Line a baking sheet with parchment paper and set it aside to be used later.Mix all the dry ingredients like flour, sugar, baking powder, baking soda in a bowl.Then, put the chilled and cubed butter into the flour and work quickly with your finger to rub the butter into the dry mix till it resembles coarse crumbles.Grate the cheese and add the chopped coriander leaves to the mix and combine together.Mix in the yogurt and stir till the biscuit batter just comes together. Take care not over mix. The mix should just barely hold together and not be runny at all. Over mixing makes the biscuit tough.Now prepare the biscuits by dropping 4 spoonfuls of batter onto the prepared baking tray.Place an egg on top of each spoonful of batter. Then, encase the egg by spooning more batter over it so it is covered on all sides.Place the biscuits batter along with the egg in the preheated oven to bake at 250 C for 5 mins, then reduce temp to 200 degrees C and bake for another 10-15 mins or till the crust of the biscuit is golden brown.Serve Egg In A Biscuit along with Banana Almond &amp; Prunes Smoothie for a filling breakfast or as a snack box recipe.
</t>
  </si>
  <si>
    <t>Para comenzar a hacer el Huevo en una Galleta, primero precaliente su horno a 250 C. Cubra una bandeja para hornear con papel pergamino y déjela a un lado para usarla más tarde. Mezcle todos los ingredientes secos como harina, azúcar, polvo para hornear, bicarbonato de sodio en un tazón. Luego, coloque la mantequilla fría y cortada en cubos en la harina y trabaje rápidamente con su dedo para frotar la mantequilla en la mezcla seca hasta que parezca migajas gruesas. Ralle el queso y agregue las hojas de cilantro picadas a la mezcla y combine. Mezcle el yogur y revuelva hasta que la masa de galleta se una. Tenga cuidado de no mezclar demasiado. La mezcla apenas debe mantenerse unida y no debe estar líquida en absoluto. Mezclar demasiado hace que la galleta sea dura. Ahora prepare las galletas dejando caer 4 cucharadas de masa en la bandeja para hornear preparada. Coloque un huevo encima de cada cucharada de masa. Luego, envuelve el huevo vertiendo más masa sobre él con una cuchara para que quede cubierto por todos lados. Coloca la masa de galletas junto con el huevo en el horno precalentado para hornear a 250 °C durante 5 minutos, luego reduce la temperatura a 200 °C y hornea durante otros 10-15 minutos o hasta que la corteza de la galleta esté dorada. Sirve el huevo en una galleta junto con el batido de plátano, almendras y ciruelas pasas para un desayuno abundante o como una receta para una caja de refrigerio.</t>
  </si>
  <si>
    <t>Pour commencer à préparer l'œuf dans un biscuit, préchauffez d'abord votre four à 250 °C. Tapissez une plaque à pâtisserie de papier sulfurisé et mettez-la de côté pour une utilisation ultérieure. Mélangez tous les ingrédients secs comme la farine, le sucre, la levure chimique, le bicarbonate de soude dans un bol. Ensuite, mettez le beurre refroidi et coupé en dés dans la farine et travaillez rapidement avec votre doigt pour frotter le beurre dans le mélange sec jusqu'à ce qu'il ressemble à des miettes grossières. Râpez le fromage et ajoutez les feuilles de coriandre hachées au mélange et mélangez le tout. Incorporez le yaourt et remuez jusqu'à ce que la pâte à biscuits se rassemble. Veillez à ne pas trop mélanger. Le mélange doit à peine tenir ensemble et ne pas être liquide du tout. Un mélange excessif rend le biscuit dur. Préparez maintenant les biscuits en déposant 4 cuillères à soupe de pâte sur la plaque de cuisson préparée. Placez un œuf sur chaque cuillère à soupe de pâte. Ensuite, enrobez l'œuf en versant plus de pâte dessus afin qu'il soit recouvert de tous les côtés. Placez la pâte à biscuits avec l'œuf dans le four préchauffé pour cuire à 250 °C pendant 5 minutes, puis réduisez la température à 200 degrés C et faites cuire pendant 10 à 15 minutes supplémentaires ou jusqu'à ce que la croûte du biscuit soit dorée. Servez l'œuf dans un biscuit avec un smoothie banane, amandes et pruneaux pour un petit-déjeuner copieux ou comme recette de boîte à collation.</t>
  </si>
  <si>
    <t>https://www.archanaskitchen.com/egg-in-a-biscuit-recipe</t>
  </si>
  <si>
    <t>Eggless Baked Chocolate Chip Coins Recipe</t>
  </si>
  <si>
    <t>Rezept für gebackene Schokoladenmünzen ohne Eier</t>
  </si>
  <si>
    <t>Recette de pièces de chocolat cuites au four sans œufs</t>
  </si>
  <si>
    <t>Receta de monedas de chocolate horneadas sin huevo</t>
  </si>
  <si>
    <t>1/2 tasse de farine de blé entier, 1/2 tasse de Vivatta Maida, 1/2 tasse de sucre en poudre, 1/2 tasse de beurre (non salé), 1/2 tasse de pépites de chocolat, 1/2 cuillère à café d'extrait de vanille, 1/4 cuillère à café de bicarbonate de soude, 1/4 cuillère à café de levure chimique, 1 cuillère à soupe de lait - (facultatif), huile de tournesol - pour badigeonner</t>
  </si>
  <si>
    <t>1/2 cup Whole Wheat Flour,1/2 cup Vivatta Maida,1/2 cup Caster Sugar,1/2 cup Butter (unsalted),1/2 cup Chocolate chips,1/2 teaspoon Vanilla Extract,1/4 teaspoon Baking soda,1/4 teaspoon Baking powder,1 tablespoon Milk - (optional),Sunflower Oil - to brush</t>
  </si>
  <si>
    <t>1/2 taza de harina integral, 1/2 taza de Vivatta Maida, 1/2 taza de azúcar extrafino, 1/2 taza de mantequilla (sin sal), 1/2 taza de chispas de chocolate, 1/2 cucharadita de extracto de vainilla, 1/4 cucharadita de bicarbonato de sodio, 1/4 cucharadita de polvo para hornear, 1 cucharada de leche (opcional), aceite de girasol para pincelar</t>
  </si>
  <si>
    <t xml:space="preserve">To begin making Eggless Baked Chocolate Chip Coins Recipe, add powdered sugar, butter (at room temperature) and vanilla sugar to a wide mixing bowl and with a hand blender, whisk well until creamy. I whisked manually and it took me about 5 to 10 minutes.Sieve wheat flour, all purpose flour, baking soda, baking powder into this butter mixture so that it combines well and make a pliable dough. Add little amounts of milk only if the flour doesn't come together. Do not knead. Finally, add chocolate chips and mix well.Preheat the oven to 180 degrees C for about 10 or 15 minutes. Brush oil/butter on a baking tray. Scoop out a teaspoon of the prepared dough, make a ball and flatten it slightly in between your palms and place it on the baking tray.Leave some space between the coins as they spread out while baking. You should get around 20 coins. Bake for 30 minutes.If you make thin coins, baking time would be less. So, keep monitoring in between to avoid overcooking.After 30 minutes, take the baking tray out of the oven and let the coins cool down completely. Then you can store them for upto a week or more.Serve Eggless Baked Chocolate Chip Coins Recipe during tea time with Masala Chai Recipe - Indian Spiced Tea.
</t>
  </si>
  <si>
    <t>Para empezar a preparar la receta de monedas de chocolate horneadas sin huevo, añade azúcar glas, mantequilla (a temperatura ambiente) y azúcar de vainilla a un bol amplio y, con una batidora de mano, bate bien hasta obtener una mezcla cremosa. Yo batí a mano y me llevó de 5 a 10 minutos. Tamiza la harina de trigo, la harina común, el bicarbonato y el polvo para hornear en esta mezcla de mantequilla para que se combinen bien y formen una masa maleable. Añade pequeñas cantidades de leche solo si la harina no se une. No amases. Finalmente, añade las chispas de chocolate y mezcla bien. Precalienta el horno a 180 °C durante unos 10 o 15 minutos. Pincela aceite o mantequilla en una bandeja para hornear. Saca una cucharadita de la masa preparada, forma una bola, aplánala ligeramente entre las palmas de las manos y colócala en la bandeja para hornear. Deja algo de espacio entre las monedas, ya que se extenderán durante el horneado. Deberías obtener unas 20 monedas. Hornea durante 30 minutos. Si haces monedas delgadas, el tiempo de horneado será menor. Así que, vigila el proceso para evitar que se cocinen demasiado. Después de 30 minutos, retira la bandeja del horno y deja que las monedas se enfríen por completo. Puedes guardarlas hasta una semana o más. Sirve la receta de monedas de chocolate horneadas sin huevo durante la hora del té con Masala Chai (té especiado indio).</t>
  </si>
  <si>
    <t>Pour commencer la recette de rondelles de chocolat sans œufs, ajoutez le sucre glace, le beurre (à température ambiante) et le sucre vanillé dans un grand saladier. Fouettez vigoureusement au mixeur plongeant jusqu'à obtenir une consistance crémeuse. J'ai fouetté à la main, ce qui m'a pris environ 5 à 10 minutes. Tamisez la farine de blé, la farine blanche, le bicarbonate de soude et la levure chimique dans ce mélange de beurre pour bien mélanger et obtenir une pâte souple. Ajoutez un peu de lait si la farine ne se prend pas. Ne pétrissez pas. Enfin, ajoutez les pépites de chocolat et mélangez bien. Préchauffez le four à 180 °C pendant 10 à 15 minutes. Badigeonnez une plaque de cuisson d'huile ou de beurre. Prélevez une cuillère à café de pâte préparée, formez une boule, aplatissez-la légèrement entre vos paumes et placez-la sur la plaque. Laissez un peu d'espace entre les rondelles pendant la cuisson. Vous devriez obtenir environ 20 rondelles. Enfournez pour 30 minutes. Si vous faites des rondelles fines, le temps de cuisson sera plus court. Surveillez bien la cuisson pour éviter une cuisson excessive. Après 30 minutes, sortez la plaque du four et laissez les pièces refroidir complètement. Vous pouvez ensuite les conserver jusqu'à une semaine, voire plus. Servez la recette de pièces de monnaie sans œufs aux pépites de chocolat à l'heure du thé, accompagnées d'un thé épicé indien.</t>
  </si>
  <si>
    <t>https://www.archanaskitchen.com/eggless-baked-chocolate-chip-coins-recipe</t>
  </si>
  <si>
    <t>Whole Wheat Homemade English Muffins Recipe</t>
  </si>
  <si>
    <t>Rezept für hausgemachte englische Vollkornmuffins</t>
  </si>
  <si>
    <t>Recette de muffins anglais complets faits maison</t>
  </si>
  <si>
    <t>Receta casera de muffins ingleses integrales</t>
  </si>
  <si>
    <t>2 tasses de farine tout usage (Maida), 2 tasses de farine de blé entier, 3 cuillères à café de levure sèche active, 2 cuillères à café de sucre, 1/2 cuillère à café de sel, 4 cuillères à soupe de beurre fondu, 1 tasse de lait chaud, semoule de maïs ou semoule pour saupoudrer</t>
  </si>
  <si>
    <t>2 cups All Purpose Flour (Maida),2 cups Whole Wheat Flour,3 teaspoons Active dry yeast,2 teaspoons Sugar,1/2 teaspoon Salt,4 tablespoons Butter - melted,1 cup Milk - warm,Corn meal - or semolina for dusting</t>
  </si>
  <si>
    <t>2 tazas de harina para todo uso (Maida), 2 tazas de harina integral, 3 cucharaditas de levadura seca activa, 2 cucharaditas de azúcar, 1/2 cucharadita de sal, 4 cucharadas de mantequilla derretida, 1 taza de leche tibia, harina de maíz o sémola para espolvorear</t>
  </si>
  <si>
    <t xml:space="preserve">To begin making the Whole Wheat Homemade English Muffins Recipe, into the large bowl of the stand mixer, add in a cup of warm milk, the melted butter, an egg, half a teaspoon of salt, 2 teaspoon castor sugar, 3 teaspoons active dry yeast, and the flours.Using the dough hook knead the dough until all the ingredients are well combined to form a soft smooth dough.Place the dough in a greased bowl, cover with a cling wrap and allow it to rise until doubled about 2 hours.Notice after a couple of hours the dough has risen.Punch down the dough and divide it into eight to 10 equal pieces.Shape each piece of dough into a ball and pat it down lightly to form a 1/2 inch thick round.Dust each side of the round with cornmeal or semolina.Sprinkle the baking sheet with cornmeal or semolina and set the rounds on this to rise.Cover the dough and allow it to rise for another half an hour.Preheat greased iron skillet or any other skillet that you have on low heat.Cook muffins on griddle about 10 minutes on each side on medium heat. They should be golden brown when you turn them.Proceed the same way with the remaining muffins. To serve the English Muffins, split the muffins with a fork andserve warm along with butter and eggs or even your favorite jelly.You can also make English Muffin Pizzas by topping with with some roasted bell peppers , cheese and sauces. They make quick weeknight dinners as well.
</t>
  </si>
  <si>
    <t>Para empezar a preparar la receta de muffins ingleses caseros de trigo integral, en el tazón grande de la batidora, agregue una taza de leche tibia, la mantequilla derretida, un huevo, media cucharadita de sal, 2 cucharaditas de azúcar extrafino, 3 cucharaditas de levadura seca activa y las harinas. Con el gancho para amasar, amase la masa hasta que todos los ingredientes estén bien combinados para formar una masa suave y lisa. Coloque la masa en un tazón engrasado, cúbrala con film transparente y déjela levar hasta que doble su tamaño, aproximadamente 2 horas. Observe que después de un par de horas la masa ha subido. Golpee la masa y divídala en ocho a diez partes iguales. Forme una bola con cada trozo de masa y aplánela ligeramente para formar un círculo de 1/2 pulgada de grosor. Espolvoree cada lado del círculo con harina de maíz o sémola. Espolvoree la bandeja para hornear con harina de maíz o sémola y coloque los círculos sobre esta para que leven. Cubra la masa y déjela levar durante otra media hora. Precaliente una sartén de hierro engrasada o cualquier otra sartén. Cocina los muffins ingleses a fuego lento. Cocina los muffins en una plancha a fuego medio durante unos 10 minutos por cada lado. Deben estar dorados al voltearlos. Haz lo mismo con el resto de los muffins. Para servir los muffins ingleses, ábrelos con un tenedor y sírvelos calientes con mantequilla, huevos o tu mermelada favorita. También puedes preparar pizzas de muffins ingleses con pimientos asados, queso y salsas. Son ideales para cenas rápidas entre semana.</t>
  </si>
  <si>
    <t>Pour commencer à préparer la recette de muffins anglais faits maison au blé entier, dans le grand bol du batteur sur socle, ajoutez une tasse de lait chaud, le beurre fondu, un œuf, une demi-cuillère à café de sel, 2 cuillères à café de sucre en poudre, 3 cuillères à café de levure sèche active et les farines. À l'aide du crochet pétrisseur, pétrissez la pâte jusqu'à ce que tous les ingrédients soient bien mélangés pour former une pâte lisse et douce. Placez la pâte dans un bol graissé, couvrez d'un film alimentaire et laissez-la lever jusqu'à ce qu'elle double de volume, environ 2 heures. Remarquez qu'après quelques heures, la pâte a levé. Dégonflez la pâte et divisez-la en huit à dix morceaux égaux. Façonnez chaque morceau de pâte en boule et tapotez-la légèrement pour former un rond de 1/2 pouce d'épaisseur. Saupoudrez chaque côté du rond de semoule de maïs ou de semoule. Saupoudrez la plaque de cuisson de semoule de maïs ou de semoule et placez les ronds dessus pour qu'ils lèvent. Couvrez la pâte et laissez-la lever pendant encore une demi-heure. Préchauffez une poêle en fonte graissée ou toute autre poêle que vous Faites cuire les muffins à feu doux sur une plaque de cuisson environ 10 minutes de chaque côté à feu moyen. Ils doivent être dorés lorsque vous les retournez. Procédez de même avec les muffins restants. Pour servir les muffins anglais, coupez-les en deux à la fourchette et servez-les chauds avec du beurre et des œufs, ou même votre confiture préférée. Vous pouvez également préparer des pizzas aux muffins anglais en les garnissant de poivrons grillés, de fromage et de sauces. Elles constituent également un dîner rapide en semaine.</t>
  </si>
  <si>
    <t>http://www.archanaskitchen.com/whole-wheat-homemade-english-muffins-recipe</t>
  </si>
  <si>
    <t>Curried Couscous Recipe</t>
  </si>
  <si>
    <t>Curry-Couscous-Rezept</t>
  </si>
  <si>
    <t>Recette de couscous au curry</t>
  </si>
  <si>
    <t>Receta de cuscús al curry</t>
  </si>
  <si>
    <t>1 tasse de couscous, 1/2 tasse d'épinards hachés, 1/4 tasse de haricots verts hachés, 1/4 tasse de pois verts (Matar), 1/4 tasse de céleri haché, 1 oignon haché, 1 tomate hachée, 2-3 gousses d'ail hachées, 1/4 tasse de caillé (Dahi / Yaourt) battu, 1/2 cuillère à café de poudre de curcuma (Haldi), 1/2 cuillère à café de poudre de curry, sel au goût, 1/2 cuillère à café de poudre de paprika, 2 cuillères à soupe d'huile d'olive extra vierge</t>
  </si>
  <si>
    <t>1 cup Couscous,1/2 cup Spinach - chopped,1/4 cup Green beans (French Beans) - chopped,1/4 cup Green peas (Matar),1/4 cup Celery - chopped,1 Onion - chopped,1 Tomato - chopped,2-3 cloves Garlic - minced,1/4 cup Curd (Dahi / Yogurt) - beaten,1/2 teaspoon Turmeric powder (Haldi),1/2 teaspoon Curry powder,Salt - to taste,1/2 teaspoon Paprika powder,2 tablespoon Extra Virgin Olive Oil</t>
  </si>
  <si>
    <t>1 taza de cuscús, 1/2 taza de espinacas picadas, 1/4 taza de judías verdes picadas, 1/4 taza de guisantes (matar), 1/4 taza de apio picado, 1 cebolla picada, 1 tomate picado, 2-3 dientes de ajo picados, 1/4 taza de cuajada (dahi/yogur) batida, 1/2 cucharadita de cúrcuma en polvo (haldi), 1/2 cucharadita de curry en polvo, sal al gusto, 1/2 cucharadita de pimentón en polvo, 2 cucharadas de aceite de oliva virgen extra</t>
  </si>
  <si>
    <t xml:space="preserve">To begin with Curried Couscous, heat 1 tablespoon olive oil in a pan and add garlic and onions.Saute for a minute or until the onions are light brown in colour. Now add green beans, peas, celery, spinach and tomato.Cover it with a lid and cook it for 2-3 minutes just to make the vegetables a little tender.Meanwhile, boil 2 cups of water with salt and one tablespoon of olive oil.In a mixing bowl add couscous and the boiled water. Let it sit for 7-8 minutes. Stir with fork to separate the grains.Add yogurt, turmeric powder, curry powder and paprika powder to the vegetables. Remove from heat and add the veggies to the cooked couscous. Mix it properly and your dish is ready to be served.Serve Curried Couscous with Watermelon Carrot Radish juice for a healthy breakfast.
</t>
  </si>
  <si>
    <t>Para empezar con el cuscús al curry, calienta 1 cucharada de aceite de oliva en una sartén y añade el ajo y la cebolla. Saltea durante un minuto o hasta que la cebolla esté ligeramente dorada. Ahora añade las judías verdes, los guisantes, el apio, las espinacas y el tomate. Cubre la sartén y cocina durante 2-3 minutos para que las verduras estén un poco tiernas. Mientras tanto, hierve 2 tazas de agua con sal y una cucharada de aceite de oliva. En un bol, añade el cuscús y el agua hervida. Deja reposar de 7 a 8 minutos. Remueve con un tenedor para separar los granos. Añade yogur, cúrcuma en polvo, curry en polvo y pimentón en polvo a las verduras. Retira del fuego y añade las verduras al cuscús cocido. Mezcla bien y tu plato estará listo para servir. Sirve el cuscús al curry con zumo de sandía, zanahoria y rábano para un desayuno saludable.</t>
  </si>
  <si>
    <t>Pour commencer le couscous au curry, faites chauffer 1 cuillère à soupe d'huile d'olive dans une poêle et ajoutez l'ail et les oignons. Faites revenir une minute ou jusqu'à ce que les oignons soient légèrement dorés. Ajoutez ensuite les haricots verts, les petits pois, le céleri, les épinards et les tomates. Couvrez et laissez cuire 2 à 3 minutes pour attendrir les légumes. Pendant ce temps, faites bouillir 500 ml d'eau avec du sel et une cuillère à soupe d'huile d'olive. Dans un saladier, ajoutez le couscous et l'eau bouillante. Laissez reposer 7 à 8 minutes. Remuez à la fourchette pour séparer les grains. Ajoutez le yaourt, le curcuma en poudre, le curry en poudre et le paprika en poudre aux légumes. Retirez du feu et ajoutez les légumes au couscous cuit. Mélangez bien et votre plat est prêt à être servi. Servez le couscous au curry avec du jus de pastèque, de carotte et de radis pour un petit-déjeuner sain.</t>
  </si>
  <si>
    <t>https://www.archanaskitchen.com/curried-couscous-recipe</t>
  </si>
  <si>
    <t>Spinach Dates &amp; Banana Smoothie Recipe</t>
  </si>
  <si>
    <t>Rezept für einen Smoothie mit Spinat, Datteln und Banane</t>
  </si>
  <si>
    <t>Recette de smoothie aux épinards, dattes et banane</t>
  </si>
  <si>
    <t>Receta de batido de espinacas, dátiles y plátano</t>
  </si>
  <si>
    <t>6 brins d'épinards, 1 banane mûre, 1 cuillère à café de graines de chia, 1/4 tasse d'amandes, 3 dattes dénoyautées, 1 tasse d'eau, 1 tasse de glaçons</t>
  </si>
  <si>
    <t>6 sprig Spinach,1 Ripe Bananas,1 teaspoon Chia Seeds,1/4 cup Badam (Almond),3 Dates - pitted,1 cup Water,1 cup Ice cubes</t>
  </si>
  <si>
    <t>6 ramitas de espinaca, 1 plátano maduro, 1 cucharadita de semillas de chía, 1/4 taza de almendras, 3 dátiles sin hueso, 1 taza de agua, 1 taza de cubitos de hielo</t>
  </si>
  <si>
    <t xml:space="preserve">To prepare easy Spinach Dates &amp; Banana Smoothie Recipe, prepare all the ingredients and keep them ready.Now place all the ingredients in a high-powered blender and blend until smooth. Garnish with spinach sprig and banana slice and enjoy this Spinach Dates &amp; Banana Smoothie Recipe.Serve Spinach Dates &amp; Banana Smoothie along with Focaccia Bread with Sweet Onion and Capers for your weekend breakfast.
</t>
  </si>
  <si>
    <t>Para preparar un batido de espinacas, dátiles y plátano fácil, prepara todos los ingredientes y tenlos listos. Ahora, mézclalos en una licuadora de alta potencia hasta obtener una mezcla suave. Decora con una ramita de espinacas y una rodaja de plátano y disfruta de este batido. Sirve el batido de espinacas, dátiles y plátano junto con pan focaccia con cebolla dulce y alcaparras para tu desayuno de fin de semana.</t>
  </si>
  <si>
    <t>Pour préparer facilement un smoothie aux épinards, dattes et banane, préparez tous les ingrédients et gardez-les prêts. Placez maintenant tous les ingrédients dans un mixeur puissant et mixez jusqu'à obtenir une consistance lisse. Garnissez d'une branche d'épinards et d'une tranche de banane et savourez cette recette de smoothie aux épinards, dattes et banane. Servez le smoothie aux épinards, dattes et banane avec du pain focaccia aux oignons doux et aux câpres pour votre petit-déjeuner du week-end.</t>
  </si>
  <si>
    <t>http://www.archanaskitchen.com/spinach-dates-banana-smoothie-recipe</t>
  </si>
  <si>
    <t>Evergreen Smoothie Recipe</t>
  </si>
  <si>
    <t>Rezept für Evergreen-Smoothies</t>
  </si>
  <si>
    <t>Recette de smoothies aux fruits à feuilles persistantes</t>
  </si>
  <si>
    <t>Receta de batido de frutas perennes</t>
  </si>
  <si>
    <t>1 tasse de feuilles d'épinards (Palak) - de préférence des jeunes pousses d'épinards, 1/2 tasse de courge bouteille (lauki) - ou de concombre, 1/2 tasse de caillé (Dahi / Yaourt), 4 feuilles de menthe (Pudina), une pincée de sel gemme, 1/4 cuillère à café d'Ajwain (graines de carambole), 1/2 Amla (Nellikai / Groseille à maquereau), 1 jus de citron - (facultatif)</t>
  </si>
  <si>
    <t>1 cup Spinach Leaves (Palak) - preferable baby spinach,1/2 cup Bottle gourd (lauki) - or cucumber,1/2 cup Curd (Dahi / Yogurt),4 Mint Leaves (Pudina),pinch Rock Salt,1/4 teaspoon Ajwain (Carom seeds),1/2 Amla (Nellikai/ Gooseberry),1 Lemon juice - (optional)</t>
  </si>
  <si>
    <t>1 taza de hojas de espinaca (Palak) - preferiblemente espinaca baby, 1/2 taza de calabaza de botella (lauki) - o pepino, 1/2 taza de cuajada (Dahi / yogur), 4 hojas de menta (Pudina), pizca de sal de roca, 1/4 cucharadita de Ajwain (semillas de carambola), 1/2 Amla (Nellikai / grosella espinosa), 1 jugo de limón - (opcional)</t>
  </si>
  <si>
    <t xml:space="preserve">We begin making the Evergreen Smoothie Recipe by washing the spinach thoroughly twice till all the solid particles is removed. Then slice the cucumber or the bottle gourd to see it is not bitter, cut them into medium sized pieces. Add all the ingredients into a blender and blend it till all the ingredients have become to a smooth paste. Pour into a serving glass.Serve the Evergreen Smoothie Recipe along with an Oats Omelette Recipe to kick start your breakfast.
</t>
  </si>
  <si>
    <t>Comenzamos preparando la receta del batido Evergreen lavando bien las espinacas dos veces hasta eliminar todas las partículas sólidas. Luego, cortamos el pepino o la calabaza en rodajas medianas para asegurarnos de que no esté amargo. Agregamos todos los ingredientes a una licuadora y trituramos hasta obtener una pasta suave. Vierte la mezcla en un vaso para servir. Sirve la receta del batido Evergreen junto con una receta de tortilla de avena para empezar bien el desayuno.</t>
  </si>
  <si>
    <t>Nous commençons à préparer la recette du smoothie Evergreen en lavant soigneusement les épinards deux fois jusqu'à ce que toutes les particules solides soient éliminées. Ensuite, coupez le concombre ou la gourde en tranches pour voir s'il n'est pas amer, coupez-les en morceaux de taille moyenne. Ajoutez tous les ingrédients dans un mixeur et mixez jusqu'à obtenir une pâte lisse. Versez dans un verre de service. Servez la recette du smoothie Evergreen avec une recette d'omelette à l'avoine pour bien démarrer votre petit-déjeuner.</t>
  </si>
  <si>
    <t>http://www.archanaskitchen.com/evergreen-smoothie-recipe</t>
  </si>
  <si>
    <t>Chocolate Nutella Lava Cookies Recipe</t>
  </si>
  <si>
    <t>Rezept für Schokoladen-Nutella-Lava-Kekse</t>
  </si>
  <si>
    <t>Recette de biscuits fondants au chocolat et au Nutella</t>
  </si>
  <si>
    <t>Receta para galletas de chocolate derretido y Nutella</t>
  </si>
  <si>
    <t>2 tasses de farine tout usage (Maida), 200 grammes de beurre (non salé), 1/2 tasse de sucre, 1/4 tasse de cassonade (sucre Demerara), 2 œufs entiers, 3/4 tasse de cacao en poudre - non sucré, 1 cuillère à café de bicarbonate de soude, 3 cuillères à café de farine de maïs, 1 cuillère à café de sel, 2 cuillères à café d'extrait de vanille, 24 cuillères à soupe de pâte à tartiner Nutella, 1 tasse de pépites de chocolat</t>
  </si>
  <si>
    <t>2 cups All Purpose Flour (Maida),200 grams Butter (unsalted),1/2 cup Sugar,1/4 cup Brown Sugar (Demerara Sugar),2 Whole Eggs,3/4 cup Cocoa Powder - unsweetened,1 teaspoon Baking soda,3 teaspoon Corn flour,1 teaspoon Salt,2 teaspoon Vanilla Extract,24 tablespoons Nutella Spread,1 cup Chocolate chips</t>
  </si>
  <si>
    <t>2 tazas de harina para todo uso (Maida), 200 gramos de mantequilla (sin sal), 1/2 taza de azúcar, 1/4 taza de azúcar morena (azúcar Demerara), 2 huevos enteros, 3/4 taza de cacao en polvo sin azúcar, 1 cucharadita de bicarbonato de sodio, 3 cucharaditas de harina de maíz, 1 cucharadita de sal, 2 cucharaditas de extracto de vainilla, 24 cucharadas de Nutella, 1 taza de chispas de chocolate</t>
  </si>
  <si>
    <t xml:space="preserve">To prepare Chocolate Nutella Lava Cookies Recipe, on a Baking sheet lined with parchment paper/baking paper, drop 24 tablespoonful’s of nutella such that they do not touch each other and freeze for about an hour, until solid.In a medium bowl, add the flour, corn flour/cornstarch, cocoa powder, baking soda and salt; mix and keep aside.In another large bowl, add the butter, sugar and brown sugar and beat until light and fluffy (about 2 minutes).Add the eggs and vanilla; mix to combine, and then add the flour-cocoa mixture and mix everything together.Stir in the chocolate chips, reserving a few to top the cookies with.Now you need to divide the dough into 24 portions. I found it easiest working with a tablespoon and scooped out about 2-3 tablespoons of dough per portion; you could also use a 1/4 cup measure or eyeball it, whatever works for you.Once you have portioned the dough, roll it into balls then flatten the dough ball (I used my hands) and place a frozen nutella ball in the centre of each dough ball.Stretch the cookie dough from the sides so that the nutella ball in the centre is completely covered with the cookie dough. The nutella starts to melt pretty quickly so remove from the freezer in batches or just put it back into the freezer to harden.Place the cookies on a baking sheet about 2 inches apart, sprinkle with the left over chocolate chips and freeze for an hour.Preheat the Oven to 175 degrees Celsius.Bake cookies straight out of the freezer, for 12-15 minutes, on a baking sheet. Cookies are done when they’re slightly crispy around the edges and still soft in the center.Let the Chocolate Nutella Lava Cookies Recipe rest for about ten minutes before serving.
</t>
  </si>
  <si>
    <t>Para preparar la receta de galletas de lava de chocolate y Nutella, en una bandeja para hornear forrada con papel pergamino/papel para hornear, coloque 24 cucharadas de nutella de manera que no se toquen entre sí y congélela durante aproximadamente una hora, hasta que esté sólida. En un tazón mediano, agregue la harina, la harina de maíz/maicena, el cacao en polvo, el bicarbonato de sodio y la sal; mezcle y reserve. En otro tazón grande, agregue la mantequilla, el azúcar y el azúcar moreno y bata hasta que esté ligero y esponjoso (aproximadamente 2 minutos). Agregue los huevos y la vainilla; mezcle para combinar, y luego agregue la mezcla de harina y cacao y mezcle todo junto. Incorpore las chispas de chocolate, reservando algunas para cubrir las galletas. Ahora necesita dividir la masa en 24 porciones. Me resultó más fácil trabajar con una cucharada y saqué aproximadamente 2-3 cucharadas de masa por porción; También puedes usar una medida de 1/4 de taza o calcularlo a ojo, lo que te funcione. Una vez que hayas dividido la masa, forma bolitas, aplánalas (yo usé las manos) y coloca una bolita de Nutella congelada en el centro de cada bolita. Estira la masa de galletas desde los lados para que la bolita de Nutella del centro quede completamente cubierta. La Nutella se derrite rápidamente, así que sácala del congelador en tandas o simplemente vuelve a congelarla para que se endurezca. Coloca las galletas en una bandeja para hornear separadas por unos 5 cm, espolvorea con las chispas de chocolate sobrantes y congela durante una hora. Precalienta el horno a 175 grados Celsius. Hornea las galletas directamente del congelador durante 12-15 minutos en una bandeja para hornear. Las galletas estarán listas cuando estén ligeramente crujientes por los bordes y aún blandas por el centro. Deja reposar la receta de galletas de lava de chocolate con Nutella durante unos diez minutos antes de servir.</t>
  </si>
  <si>
    <t>Pour préparer la recette des biscuits fondants au chocolat et au Nutella, sur une plaque de cuisson recouverte de papier sulfurisé, déposez 24 cuillères à soupe de Nutella en veillant à ce qu'elles ne se touchent pas et congelez pendant environ une heure, jusqu'à ce que le mélange soit solide. Dans un bol moyen, ajoutez la farine, la fécule de maïs, le cacao en poudre, le bicarbonate de soude et le sel ; mélangez et réservez. Dans un autre grand bol, ajoutez le beurre, le sucre et la cassonade et battez jusqu'à obtenir une consistance légère et mousseuse (environ 2 minutes). Ajoutez les œufs et la vanille ; mélangez pour mélanger, puis ajoutez le mélange farine-cacao et mélangez le tout. Incorporez les pépites de chocolat, en réservant quelques-unes pour garnir les biscuits. Maintenant, vous devez diviser la pâte en 24 portions. J'ai trouvé qu'il était plus facile de travailler avec une cuillère à soupe et j'ai prélevé environ 2 à 3 cuillères à soupe de pâte par portion ; Vous pouvez également utiliser une mesure de 60 ml (1/4 de tasse) ou la mesurer à vue d'œil, selon votre convenance. Une fois la pâte portionnée, roulez-la en boules, puis aplatissez-les (j'ai utilisé mes mains) et placez une boule de Nutella congelée au centre de chaque boule. Étirez la pâte à biscuits sur les côtés afin que la boule de Nutella au centre soit entièrement recouverte de pâte. Le Nutella fond assez rapidement ; sortez-le du congélateur par lots ou remettez-le simplement au congélateur pour qu'il durcisse. Disposez les biscuits sur une plaque de cuisson à environ 5 cm d'intervalle, parsemez-les des pépites de chocolat restantes et congelez pendant une heure. Préchauffez le four à 175 °C. Faites cuire les biscuits dès leur sortie du congélateur, pendant 12 à 15 minutes, sur une plaque de cuisson. Les biscuits sont cuits lorsqu'ils sont légèrement croustillants sur les bords et encore moelleux au centre. Laissez reposer la recette des biscuits fondants au chocolat et au Nutella une dizaine de minutes avant de servir.</t>
  </si>
  <si>
    <t>https://www.archanaskitchen.com/chocolate-nutella-lava-cookies-recipe</t>
  </si>
  <si>
    <t>Carrot Cake Parfait With Custard And Strawberries Recipe</t>
  </si>
  <si>
    <t>Karottenkuchen-Parfait mit Vanillesoße und Erdbeeren Rezept</t>
  </si>
  <si>
    <t>Recette de parfait au gâteau aux carottes avec sauce à la vanille et fraises</t>
  </si>
  <si>
    <t>Receta de parfait de pastel de zanahoria con salsa de vainilla y fresas</t>
  </si>
  <si>
    <t>1/2 tasse de sucre granulé, 1/2 tasse de cassonade (sucre Demerara), 3/4 tasse d'huile de tournesol, 3 œufs entiers, 1 tasse de farine tout usage (Maida), 1 tasse de farine de blé entier, 1 1/2 cuillère à café de cannelle en poudre (Dalchini) - 1 ½ cuillère à café de cannelle moulue, 1 cuillère à café de bicarbonate de soude, 1 cuillère à café d'extrait de vanille, 1/2 cuillère à café de sel, 3 tasses de carottes (Gajjar) - râpées, 1/2 tasse de raisins secs, 1/4 tasse de noix - hachées, 1/4 tasse de Badam (amande) - argentée, 2 tasses de lait, 4 cuillères à café de poudre de crème anglaise - aromatisée à la vanille, 1/4 tasse de sucre, 15 fraises, 2 cuillères à café de sucre, 1 cuillère à café de jus de citron, fraises - au besoin, noix - au besoin, cannelle en poudre (Dalchini) - au besoin</t>
  </si>
  <si>
    <t>1/2 cup Sugar - granulated,1/2 cup Brown Sugar (Demerara Sugar),3/4 cup Sunflower Oil,3 Whole Eggs,1 cup All Purpose Flour (Maida),1 cup Whole Wheat Flour,1-1/2 teaspoons Cinnamon Powder (Dalchini) - 1 ½ teaspoons ground cinnamon,1 teaspoon Baking soda,1 teaspoon Vanilla Extract,1/2 teaspoon Salt,3 cups Carrots (Gajjar) - shredded,1/2 cup Raisins,1/4 cup Walnuts - chopped,1/4 cup Badam (Almond) - silvered,2 cups Milk,4 teaspoons Custard powder - vanilla flavoured,1/4 cup Sugar,15 Strawberries,2 teaspoons Sugar,1 teaspoon Lemon juice,Strawberries - as required,Walnuts - as required,Cinnamon Powder (Dalchini) - as required</t>
  </si>
  <si>
    <t>1/2 taza de azúcar - granulada, 1/2 taza de azúcar morena (azúcar Demerara), 3/4 taza de aceite de girasol, 3 huevos enteros, 1 taza de harina para todo uso (Maida), 1 taza de harina integral, 1-1/2 cucharaditas de canela en polvo (Dalchini) - 1 ½ cucharaditas de canela molida, 1 cucharadita de bicarbonato de sodio, 1 cucharadita de extracto de vainilla, 1/2 cucharadita de sal, 3 tazas de zanahorias (Gajjar) - ralladas, 1/2 taza de pasas, 1/4 taza de nueces - picadas, 1/4 taza de Badam (almendra) - plateadas, 2 tazas de leche, 4 cucharaditas de natillas en polvo - sabor vainilla, 1/4 taza de azúcar, 15 fresas, 2 cucharaditas de azúcar, 1 cucharadita de jugo de limón, fresas - al gusto, nueces - al gusto, canela en polvo (Dalchini) - al gusto</t>
  </si>
  <si>
    <t xml:space="preserve">To begin making the Carrot Cake Parfait With Custard And Strawberries recipe, firstly we will make the carrot cake. Preheat oven to 350 degrees Fahrenheit or 180 degrees Centigrade. Grease and flour a 13 x 9 inch pan and keep aside.In a bowl, beat sugars, oil and eggs with a beater until well blended. Stir in flours, cinnamon, baking powder, salt and blend again on low speed for a minute.Fold in carrots and raisins (you can add nuts at this stage as well). Pour into prepared pan, level the batter and bake in preheated oven for 40 to 45 minutes until toothpick inserted in centre comes out clean.Remove from oven and remove from pan after 10 minutes. Cool completely on wire rack.The next step is to make the custard. In a small bowl, place 1/4 cup of milk and stir in custard powder. Mix well until smooth; ensure there are no lumps. Keep aside.Heat the remaining milk in a saucepan on medium heat and bring to a boil. Add sugar and stir until dissolved.Tip in the custard milk mixture into the hot mixture and keep stirring until it comes to a boil and the mixture thickens. Simmer for a minute, remove from heat and let cool.Keep stirring while it is cooling or it will form a thick film on top. Let cool completely.Next, we will make the strawberry compote. Wash and chop strawberries into 2 to 3 pieces.Sprinkle sugar and heat in a saucepan on medium heat, stirring often for about a minute until slightly cooked and mushy. Remove from heat, stir in lemon juice and let cool. Keep aside.Now we will assemble the carrot cake trifle. Break up carrot cake into chunks that fit into the dessert bowl or glass you will be serving the parfait in.Assemble all the elements of the parfait; carrot cake chunks, cooled custard, strawberry compote, nuts and cinnamon powder.In each dessert glass, layer a few carrot cake chunks at the bottom. Pour a few teaspoons of strawberry compote over it to cover the cake.Gently spoon custard over the compote and spread evenly. Repeat the layers to fill the dessert glass finishing with custard on top.Sprinkle chopped walnuts and cinnamon powder on top. Cover each parfait glass with cling wrap and chill in the refrigerator for at least 2 hours or until serving time. Just before serving, garnish with strawberry and serve.Serve Carrot Cake Parfait With Custard And Strawberries as a dessert after your Italian meal of Penne Pasta With Roasted Vegetables and Margherita Pizza for a weekend meal.
</t>
  </si>
  <si>
    <t>Para comenzar a hacer la receta de Parfait de pastel de zanahoria con crema pastelera y fresas, primero haremos el pastel de zanahoria. Precaliente el horno a 350 grados Fahrenheit o 180 grados Centígrados. Engrase y enharine un molde de 13 x 9 pulgadas y reserve. En un tazón, bata los azúcares, el aceite y los huevos con un batidor hasta que estén bien mezclados. Agregue las harinas, la canela, el polvo para hornear, la sal y mezcle nuevamente a baja velocidad durante un minuto. Incorpore las zanahorias y las pasas (también puede agregar nueces en esta etapa). Vierta en el molde preparado, nivele la masa y hornee en horno precalentado durante 40 a 45 minutos hasta que al insertar un palillo en el centro, este salga limpio. Retire del horno y desmolde después de 10 minutos. Deje enfriar completamente sobre una rejilla de alambre. El siguiente paso es hacer la crema pastelera. En un tazón pequeño, coloque 1/4 de taza de leche y agregue el polvo de crema pastelera. Mezcle bien hasta que quede suave; asegúrese de que no queden grumos. Reservar. Calentar la leche restante en una cacerola a fuego medio y llevar a ebullición. Añadir el azúcar y remover hasta que se disuelva. Verter la mezcla de crema pastelera en la mezcla caliente y seguir revolviendo hasta que hierva y la mezcla espese. Cocinar a fuego lento durante un minuto, retirar del fuego y dejar enfriar. Seguir revolviendo mientras se enfría o se formará una película gruesa en la parte superior. Dejar enfriar por completo. A continuación, haremos la compota de fresas. Lavar y cortar las fresas en 2 o 3 trozos. Espolvorear azúcar y calentar en una cacerola a fuego medio, revolviendo con frecuencia durante aproximadamente un minuto hasta que esté ligeramente cocido y blando. Retirar del fuego, añadir el zumo de limón y dejar enfriar. Reservar. Ahora vamos a montar el trifle de tarta de zanahoria. Romper la tarta de zanahoria en trozos que quepan en el bol o vaso de postre en el que se servirá el parfait. Montar todos los elementos del parfait; Trozos de pastel de zanahoria, crema pastelera fría, compota de fresa, nueces y canela en polvo. En cada copa de postre, coloque capas de trozos de pastel de zanahoria en el fondo. Vierta unas cucharaditas de compota de fresa por encima para cubrir el pastel. Con una cuchara, vierta suavemente la crema pastelera sobre la compota y extiéndala uniformemente. Repita las capas para llenar la copa de postre, terminando con la crema pastelera por encima. Espolvoree nueces picadas y canela en polvo por encima. Cubra cada copa de parfait con film transparente y enfríe en el refrigerador durante al menos 2 horas o hasta el momento de servir. Justo antes de servir, decore con fresas y sirva. Sirva el parfait de pastel de zanahoria con crema pastelera y fresas como postre después de su comida italiana de pasta penne con verduras asadas y pizza margarita para una comida de fin de semana.</t>
  </si>
  <si>
    <t>Pour commencer à préparer la recette du parfait au gâteau aux carottes avec crème anglaise et fraises, nous allons d'abord préparer le gâteau aux carottes. Préchauffer le four à 350 degrés Fahrenheit ou 180 degrés Celsius. Graisser et fariner un moule de 13 x 9 pouces et réserver. Dans un bol, battre les sucres, l'huile et les œufs avec un batteur jusqu'à ce que le tout soit bien mélangé. Incorporer les farines, la cannelle, la levure chimique, le sel et mélanger à nouveau à basse vitesse pendant une minute. Incorporer les carottes et les raisins secs (vous pouvez également ajouter des noix à ce stade). Verser dans le moule préparé, égaliser la pâte et cuire au four préchauffé pendant 40 à 45 minutes jusqu'à ce qu'un cure-dent inséré au centre en ressorte propre. Retirer du four et démouler après 10 minutes. Laisser refroidir complètement sur une grille. L'étape suivante consiste à préparer la crème anglaise. Dans un petit bol, mettre 1/4 tasse de lait et incorporer la poudre à crème anglaise. Bien mélanger jusqu'à consistance lisse ; s'assurer qu'il n'y a pas de grumeaux. Réservez. Faites chauffer le reste du lait dans une casserole à feu moyen et portez à ébullition. Ajoutez le sucre et remuez jusqu'à dissolution. Versez le mélange de lait et de crème anglaise dans le mélange chaud et continuez à remuer jusqu'à ébullition et que le mélange épaississe. Laissez mijoter une minute, retirez du feu et laissez refroidir. Continuez à remuer pendant qu'il refroidit, sinon il formera un film épais sur le dessus. Laissez refroidir complètement. Ensuite, nous allons préparer la compote de fraises. Lavez et coupez les fraises en 2 ou 3 morceaux. Saupoudrez de sucre et faites chauffer dans une casserole à feu moyen, en remuant souvent pendant environ une minute, jusqu'à ce qu'elles soient légèrement cuites et pâteuses. Retirez du feu, incorporez le jus de citron et laissez refroidir. Réservez. Maintenant, nous allons assembler le trifle au gâteau aux carottes. Cassez le gâteau aux carottes en morceaux qui rentrent dans le bol à dessert ou le verre dans lequel vous servirez le parfait. Assemblez tous les éléments du parfait ; Morceaux de gâteau aux carottes, crème anglaise refroidie, compote de fraises, noix et cannelle en poudre. Dans chaque verre à dessert, superposez quelques morceaux de gâteau aux carottes au fond. Versez quelques cuillères à café de compote de fraises dessus pour recouvrir le gâteau. Déposez délicatement la crème anglaise sur la compote et étalez uniformément. Répétez les couches pour remplir le verre à dessert et terminer par la crème anglaise sur le dessus. Saupoudrez de noix hachées et de cannelle en poudre sur le dessus. Couvrez chaque verre à parfait d'un film alimentaire et laissez refroidir au réfrigérateur pendant au moins 2 heures ou jusqu'au moment de servir. Juste avant de servir, décorez de fraises et servez. Servez le parfait au gâteau aux carottes avec crème anglaise et fraises en dessert après votre repas italien de pâtes penne aux légumes rôtis et de pizza Margherita pour un repas de week-end.</t>
  </si>
  <si>
    <t>http://www.archanaskitchen.com/carrot-cake-parfait-with-custard-and-strawberries-recipe</t>
  </si>
  <si>
    <t>Herbed Vegetables In Roasted Bell Pepper Sauce Recipe</t>
  </si>
  <si>
    <t>Rezept für Kräutergemüse in gerösteter Paprikasauce</t>
  </si>
  <si>
    <t>Recette de légumes aux herbes et sauce aux poivrons rôtis</t>
  </si>
  <si>
    <t>Receta de salsa de verduras con hierbas y pimientos asados</t>
  </si>
  <si>
    <t>1 cuillère à soupe d'huile d'olive extra vierge, 2 carottes (Gajjar) - coupées en diagonales, 1 courgette jaune - coupée en diagonales, 10 tasses de maïs miniature - coupé en diagonales, 200 grammes de champignons de Paris - tranchés, 1 cuillère à soupe d'herbes sèches mélangées, 2 poivrons rouges (Capsicum), 2 cuillères à soupe de jalapeños marinés, 1 cuillère à café de grains de poivre noir entiers, sel - au goût, 1 cuillère à café d'huile d'olive extra vierge, 4 gousses d'ail - finement hachées, 1/2 tasse de purée de tomates maison, 1/4 tasse de crème fraîche</t>
  </si>
  <si>
    <t>1 tablespoon Extra Virgin Olive Oil,2 Carrots (Gajjar) - cut into diagonals,1 Yellow Zucchini - cut into diagonals,10 cup Baby corn - cut into diagonals,200 grams Button mushrooms - sliced,1 tablespoon Dry mix herbs,2 Red Bell pepper (Capsicum),2 tablespoons Pickled Jalapenos,1 teaspoon Whole Black Pepper Corns,Salt - to taste,1 teaspoon Extra Virgin Olive Oil,4 cloves Garlic - finely chopped,1/2 cup Homemade tomato puree,1/4 cup Fresh cream</t>
  </si>
  <si>
    <t>1 cucharada de aceite de oliva virgen extra, 2 zanahorias (Gajjar) - cortadas en diagonales, 1 calabacín amarillo - cortado en diagonales, 10 tazas de maíz bebé - cortado en diagonales, 200 gramos de champiñones - rebanados, 1 cucharada de mezcla de hierbas secas, 2 pimientos morrones rojos (Capsicum), 2 cucharadas de jalapeños en escabeche, 1 cucharadita de granos de pimienta negra enteros, sal - al gusto, 1 cucharadita de aceite de oliva virgen extra, 4 dientes de ajo - finamente picados, 1/2 taza de puré de tomate casero, 1/4 taza de crema fresca</t>
  </si>
  <si>
    <t xml:space="preserve">To begin making the Herbed Vegetables In Roasted Bell Pepper Sauce Recipe we need to roast the red bell peppers directly on the flame. To make the roasted bell pepper sauceTurn the flame on high heat, and roast the whole bell pepper until it is completely charred and changed into black in colour. Once completely cooked and charred, remove from the flame. Carefully discard the outer skin of the capsicum - which is black. Cut the bell pepper into half , deseed and discard it. Now, roughly chop the bell pepper and put it in a mixer jar. Into the mixer jar, along with the bell pepper add the jalapenos, garlic, salt, peppercorns and blitz into a coarse paste. Heat a skillet with oil on medium flame, add the garlic and saute until it turns brown. Once the garlic is brown add the freshly ground roasted bell pepper puree, tomato puree, cream and bring it to a boil. check the taste and adjust the spices accordingly.Turn off the flame and set aside. To make the Herbed Vegetables Heat a pan with oil on medium flame, add the vegetables - carrot, babycorn, yellow zucchini and mushrooms and pan roast for 8-10 minutes until the vegetables are cooked yet have a crunch in them. Sprinkle some salt and the herbs and mix well. To serve, in a platter spread the roasted red bell pepper sauce at the bottom and top with the herbed vegetables. Serve Herbed Vegetables In Roasted Bell Pepper Sauce Recipe along with Buttered Herbed Rice Recipe or Garlic Bread With Herb Butter Recipe, Creamy Garlic Mashed Potatoes Recipe and Cucumber Honey Limeade Recipe for a complete meal.
</t>
  </si>
  <si>
    <t>Para comenzar a hacer la Receta de Verduras con Hierbas en Salsa de Pimiento Asado, necesitamos asar los pimientos morrones rojos directamente sobre la llama. Para hacer la salsa de pimiento asado, Encienda la llama a fuego alto y ase todo el pimiento morrón hasta que esté completamente carbonizado y cambie a un color negro. Una vez completamente cocido y carbonizado, retírelo del fuego. Deseche con cuidado la piel exterior del pimiento, que es negra. Corte el pimiento morrón por la mitad, quítele las semillas y deséchelo. Ahora, pique el pimiento morrón en trozos grandes y colóquelo en un vaso de batidora. En el vaso de la batidora, junto con el pimiento morrón, agregue los jalapeños, el ajo, la sal, los granos de pimienta y mezcle hasta obtener una pasta gruesa. Caliente una sartén con aceite a fuego medio, agregue el ajo y saltee hasta que se dore. Una vez que el ajo esté dorado, agregue el puré de pimiento morrón asado recién molido, el puré de tomate, la crema y llévelo a ebullición. Pruebe el sabor y ajuste las especias según corresponda. Apague el fuego y reserve. Para preparar las verduras con hierbas, caliente una sartén con aceite a fuego medio, agregue las verduras (zanahoria, maíz baby, calabacín amarillo y champiñones) y áselas durante 8-10 minutos hasta que estén cocidas pero crujientes. Espolvoree un poco de sal y las hierbas y mezcle bien. Para servir, en una fuente, extienda la salsa de pimiento rojo asado en el fondo y cubra con las verduras con hierbas. Sirva las verduras con hierbas en salsa de pimiento morrón asado junto con el arroz con hierbas y mantequilla o el pan de ajo con mantequilla de hierbas, el puré de papas cremoso con ajo y la limonada de miel y pepino para una comida completa.</t>
  </si>
  <si>
    <t>Pour commencer à préparer la recette de légumes aux herbes dans une sauce aux poivrons rôtis, nous devons rôtir les poivrons rouges directement sur la flamme. Pour préparer la sauce aux poivrons rôtis, allumez la flamme à feu vif et faites rôtir le poivron entier jusqu'à ce qu'il soit complètement carbonisé et noir. Une fois complètement cuit et carbonisé, retirez-le du feu. Jetez soigneusement la peau extérieure du poivron - qui est noire. Coupez le poivron en deux, épépinez-le et jetez-le. Maintenant, hachez grossièrement le poivron et mettez-le dans un bol de mixeur. Dans le bol du mixeur, ajoutez avec le poivron les jalapeños, l'ail, le sel, les grains de poivre et mixez jusqu'à obtenir une pâte grossière. Faites chauffer une poêle avec de l'huile à feu moyen, ajoutez l'ail et faites revenir jusqu'à ce qu'il devienne brun. Une fois l'ail brun, ajoutez la purée de poivrons rôtis fraîchement moulus, la purée de tomates, la crème et portez à ébullition. Vérifiez le goût et ajustez les épices en conséquence. Éteignez le feu et réservez. Pour préparer les légumes aux herbes, faites chauffer une poêle avec de l'huile à feu moyen, ajoutez les légumes - carottes, mini-maïs, courgettes jaunes et champignons - et faites-les rôtir pendant 8 à 10 minutes jusqu'à ce que les légumes soient cuits mais croquants. Saupoudrez de sel et d'herbes et mélangez bien. Pour servir, dans un plat, étalez la sauce aux poivrons rouges rôtis au fond et garnissez de légumes aux herbes. Servez la recette de légumes aux herbes dans une sauce aux poivrons rôtis avec la recette de riz aux herbes beurré ou la recette de pain à l'ail avec beurre aux herbes, la recette de purée de pommes de terre crémeuse à l'ail et la recette de citron vert au miel et au concombre pour un repas complet.</t>
  </si>
  <si>
    <t>http://www.archanaskitchen.com/herbed-vegetables-in-roasted-bell-pepper-sauce-recipe</t>
  </si>
  <si>
    <t>Mushroom and Broccoli Soup Recipe</t>
  </si>
  <si>
    <t>Pilz-Brokkoli-Suppe Rezept - Rezept für eine Brokkolisuppe</t>
  </si>
  <si>
    <t>Recette de soupe aux champignons et au brocoli - Recette de soupe au brocoli</t>
  </si>
  <si>
    <t>Receta de sopa de champiñones y brócoli - Receta de sopa de brócoli</t>
  </si>
  <si>
    <t>1 brocoli - haché, 200 grammes de champignons de Paris - hachés, 1 cuillère à café de cumin - voler, 2 cuillères à café de poivre entier - pincée, sel - au goût, 2 cuillères à soupe de crème, coriandre - selon l'utilisation, 1 cuillère à café d'huile</t>
  </si>
  <si>
    <t>1 broccoli - chop, 200 grams button mushroom - chop, 1 teaspoon cumin - steal, 2 teaspoons whole pepper - pinch, salt - to taste, 2 tablespoons cream, coriander - as per use, 1 teaspoon oil</t>
  </si>
  <si>
    <t>1 brócoli - picado, 200 gramos de champiñones - picados, 1 cucharadita de comino - una pizca, 2 cucharaditas de pimienta entera - una pizca, sal - al gusto, 2 cucharadas de crema, cilantro - al gusto, 1 cucharadita de aceite</t>
  </si>
  <si>
    <t>To make Mushroom and Broccoli Soup Recipe, first wash broccoli and mushroom. Chop both of them and keep aside. Heat oil in a pressure cooker. Add cumin seeds, black pepper and cook for 30 seconds. Now add broccoli and cook for 1 minute. After 1 minute add mushrooms and cook for 2 minutes. Now add 2 cups of water, salt. Mix it and close the cooker. Cook till 2 whistles. Let the pressure release automatically. Open the cooker and let this mixture cool down a bit. Now blend this mixture using a blender. Pour this mixture in a bowl and add fresh cream on top. Garnish with coriander leaves, black pepper and serve. Serve Mushroom and Broccoli Soup Recipe with Palak Paneer Kathi Roll for dinner.</t>
  </si>
  <si>
    <t>Para preparar la receta de sopa de champiñones y brócoli, primero lava el brócoli y los champiñones. Pica ambos y reserva. Calienta el aceite en una olla a presión. Agrega comino y pimienta negra y cocina durante 30 segundos. Agrega el brócoli y cocina durante 1 minuto. Después de 1 minuto, agrega los champiñones y cocina durante 2 minutos. Agrega 2 tazas de agua y sal. Mezcla y cierra la olla. Cocina hasta que suene 2 silbidos. Deja que la presión se libere automáticamente. Abre la olla y deja que la mezcla se enfríe un poco. Licúa. Vierte la mezcla en un tazón y agrega crema fresca por encima. Decora con hojas de cilantro y pimienta negra. Sirve. Sirve la receta de sopa de champiñones y brócoli con un rollo Palak Paneer Kathi para la cena.</t>
  </si>
  <si>
    <t>Pour préparer la soupe aux champignons et au brocoli, lavez d'abord le brocoli et les champignons. Hachez-les et réservez. Faites chauffer l'huile dans une cocotte-minute. Ajoutez les graines de cumin et le poivre noir et faites cuire 30 secondes. Ajoutez ensuite le brocoli et faites cuire 1 minute. Après 1 minute, ajoutez les champignons et faites cuire 2 minutes. Ajoutez ensuite 500 ml d'eau, salez. Mélangez et fermez l'autocuiseur. Laissez cuire jusqu'à 2 sifflements. Laissez la pression se relâcher automatiquement. Ouvrez l'autocuiseur et laissez refroidir légèrement. Mixez ensuite le tout à l'aide d'un mixeur. Versez le mélange dans un bol et ajoutez de la crème fraîche. Garnissez de feuilles de coriandre et de poivre noir. Servez. Servez la soupe aux champignons et au brocoli accompagnée d'un rouleau de Palak Paneer Kathi pour le dîner.</t>
  </si>
  <si>
    <t>http://www.archanaskitchen.com/mushroom-and-broccoli-soup-recipe-in-hindi</t>
  </si>
  <si>
    <t>Creamy Radish Soup Recipe With Sweet Potato</t>
  </si>
  <si>
    <t>Cremige Rettichsuppe mit Süßkartoffeln</t>
  </si>
  <si>
    <t>Soupe crémeuse de radis aux patates douces</t>
  </si>
  <si>
    <t>Sopa cremosa de rábano con batatas</t>
  </si>
  <si>
    <t>6 jeunes radis rouges hachés (ou 2 radis blancs), 2 patates douces pelées et hachées, 1 oignon haché, 1 cuillère à café de graines de fenouil (Saunf), 1/4 cuillère à café d'Ajwain (graines de carambole), 2 cuillères à café de poivre noir en poudre, 2 feuilles de laurier (tej patta) - ou de tejpatta ou de piment de la Jamaïque, 2 tasses de bouillon de légumes, 2 cuillères à café d'huile de tournesol, sel au goût, 2 cuillères à soupe de Hung Curd (yaourt grec), 2 brins de feuilles de coriandre (Dhania) hachées, 1 Mooli/Mullangi (radis) - coupé en lanières pour la garniture</t>
  </si>
  <si>
    <t>6 Red baby radish - chopped (or 2 white radishes),2 Sweet Potatoes - peeled and chopped,1 Onion - chopped,1 teaspoon Fennel seeds (Saunf),1/4 teaspoon Ajwain (Carom seeds),2 teaspoon Black pepper powder,2 Bay leaves (tej patta) - or tejpatta or allspice leaves,2 cups Vegetable stock,2 teaspoon Sunflower Oil,Salt - to taste,2 tablespoon Hung Curd (Greek Yogurt),2 sprig Coriander (Dhania) Leaves - chopped,1 Mooli/ Mullangi (Radish) - cut into strips for garnish</t>
  </si>
  <si>
    <t>6 rábanos rojos pequeños picados (o 2 rábanos blancos), 2 batatas peladas y picadas, 1 cebolla picada, 1 cucharadita de semillas de hinojo (Saunf), 1/4 cucharadita de ajwain (semillas de carambola), 2 cucharaditas de pimienta negra en polvo, 2 hojas de laurel (tej patta) o hojas de tejpatta o pimienta de Jamaica, 2 tazas de caldo de verduras, 2 cucharaditas de aceite de girasol, sal al gusto, 2 cucharadas de Hung Curd (yogur griego), 2 ramitas de hojas de cilantro (Dhania) picadas, 1 Mooli/ Mullangi (rábano) cortado en tiras para decorar</t>
  </si>
  <si>
    <t xml:space="preserve">To begin making the Creamy Radish soup recipe with Sweet Potato, first, heat oil in a saucepan.Add the onion and sauté till it becomes soft. Add the carom seeds, fennel seeds and bay leaf.Stir and add the sweet potato and radish. Mix.Add 1/2 cup stock, salt and cook covered till the root vegetables soften.Cool slightly, take out the bay leaf and puree in a blender.Pour it back into the saucepan. Add bay leaf.Adjust the consistency with the stock (this is usually a thick soup).Add pepper and salt (if required). Bring to a boil.Ladle into serving bowls, stir a tablespoon of curd/yogurt and garnish with coriander leaves and strips of radish.Serve Creamy Radish soup recipe with Sweet Potato immediately with Smoked Tofu and Grilled Vegetable Salad for a light meal.
</t>
  </si>
  <si>
    <t>Para empezar a preparar la receta de sopa cremosa de rábano con boniato, primero, calienta aceite en una cacerola. Agrega la cebolla y sofríe hasta que esté blanda. Agrega las semillas de carambola, las semillas de hinojo y la hoja de laurel. Revuelve y agrega el boniato y el rábano. Mezcla. Agrega 1/2 taza de caldo, sal y cocina tapado hasta que los tubérculos se ablanden. Deja enfriar un poco, retira la hoja de laurel y haz un puré en una licuadora. Viértelo de nuevo en la cacerola. Agrega la hoja de laurel. Ajusta la consistencia con el caldo (esta suele ser una sopa espesa). Agrega pimienta y sal (si es necesario). Lleva a ebullición. Sirve en tazones, mezcla una cucharada de cuajada/yogur y decora con hojas de cilantro y tiras de rábano. Sirve la receta de sopa cremosa de rábano con boniato inmediatamente con tofu ahumado y ensalada de verduras a la parrilla para una comida ligera.</t>
  </si>
  <si>
    <t>Pour préparer la soupe crémeuse de radis à la patate douce, faites chauffer l'huile dans une casserole. Ajoutez l'oignon et faites-le revenir jusqu'à ce qu'il soit tendre. Ajoutez les graines de carambole, les graines de fenouil et le laurier. Remuez et ajoutez la patate douce et le radis. Mélangez. Ajoutez 120 ml de bouillon, salez et laissez mijoter à couvert jusqu'à ce que les légumes-racines soient tendres. Laissez refroidir légèrement, retirez le laurier et mixez. Reversez le tout dans la casserole. Ajoutez le laurier. Ajustez la consistance avec le bouillon (la soupe est généralement épaisse). Ajoutez du poivre et du sel (si nécessaire). Portez à ébullition. Versez dans des bols, ajoutez une cuillère à soupe de lait caillé/yaourt et décorez de feuilles de coriandre et de lamelles de radis. Servez la soupe crémeuse de radis à la patate douce immédiatement avec du tofu fumé et une salade de légumes grillés pour un repas léger.</t>
  </si>
  <si>
    <t>http://www.archanaskitchen.com/creamy-radish-soup-recipe-with-sweet-potato</t>
  </si>
  <si>
    <t>Crispy Chicken Nuggets Recipe - KFC Style</t>
  </si>
  <si>
    <t>Rezept für knusprige Chicken Nuggets – KFC-Style</t>
  </si>
  <si>
    <t>Recette de nuggets de poulet croustillants – façon KFC</t>
  </si>
  <si>
    <t>Receta de Nuggets de Pollo Crujientes al Estilo KFC</t>
  </si>
  <si>
    <t>300 grammes de poitrines de poulet (désossées), nettoyées, lavées et coupées en cubes de 5 cm, 5 cuillères à soupe de babeurre, sel au goût, 1 1/2 cuillère à café de poudre de poivre noir, 4 cuillères à soupe de farine tout usage (Maida), 2 œufs entiers battus, 1/2 tasse de chapelure de blé entier, 1/4 tasse de flocons de maïs écrasés, 1 cuillère à café d'origan séché, 1 cuillère à café de poudre de poivre noir (réglable), 1/2 cuillère à café de sel, 1 cuillère à café de poudre d'ail, 1 cuillère à café de poudre d'oignon, 1/2 cuillère à café de poudre de paprika, huile de tournesol (selon les besoins pour la friture)</t>
  </si>
  <si>
    <t>300 grams Chicken breasts - (boneless) cleaned and washed and cut into 2 inch cubes,5 tablespoon Buttermilk,Salt - to taste,1-1/2 teaspoon Black pepper powder,4 tablespoon All Purpose Flour (Maida),2 Whole Eggs - beaten,1/2 cup Whole Wheat Bread crumbs,1/4 cup Corn flakes - crushed,1 teaspoon Dried oregano,1 teaspoon Black pepper powder - adjustable,1/2 teaspoon Salt,1 teaspoon Garlic powder,1 teaspoon Onion powder,1/2 teaspoon Paprika powder,Sunflower Oil - as required for deep frying</t>
  </si>
  <si>
    <t>300 gramos de pechugas de pollo (sin hueso), limpias, lavadas y cortadas en cubos de 2 pulgadas, 5 cucharadas de suero de leche, sal al gusto, 1 1/2 cucharadita de pimienta negra en polvo, 4 cucharadas de harina para todo uso (Maida), 2 huevos enteros batidos, 1/2 taza de pan rallado integral, 1/4 taza de hojuelas de maíz trituradas, 1 cucharadita de orégano seco, 1 cucharadita de pimienta negra en polvo (ajustable), 1/2 cucharadita de sal, 1 cucharadita de ajo en polvo, 1 cucharadita de cebolla en polvo, 1/2 cucharadita de pimentón en polvo, aceite de girasol (según se requiera para freír)</t>
  </si>
  <si>
    <t xml:space="preserve">To begin making the Crispy Chicken Nuggets Recipe - KFC style recipe, wash and clean the chicken thoroughly.In a bowl, add chicken, buttermilk, salt and pepper powder, mix well. Cover and marinate it in the fridge for 3 to 4 hours.Remove from fridge and drain off excess buttermilk.Place all-purpose flour on a wide flat plate.Beat eggs and place it in a bowl.In a wide bowl, mix panko bread crumbs, crushed corn flakes, oregano, salt, paprika, pepper powder, garlic powder, and onion powder and mix well. Adjust spices to your taste preference.In a frying pan, heat oil for deep frying.Take a piece of chicken and first coat it with all-purpose flour, immediately dip it in egg and then coat with panko bread crumb mix.Repeat the process with all the chicken pieces.Once the oil is hot, reduce flame to medium and carefully drop the coated chicken pieces in oil, few pieces at a time, making sure you don’t overcrowd the frying pan. Deep fry the chicken nuggets until golden brown evenly.Once cooked, remove from oil and drain the Crispy Chicken Nuggets on a paper towel and serve hot.Serve Crispy Chicken Nuggets Recipe - KFC style recipe when hot, with delicious dips like cottage cheese dip, peanut chilli dipping sauce or tzatziki recipe.
</t>
  </si>
  <si>
    <t>Para comenzar a hacer la Receta de Nuggets de Pollo Crujientes - receta estilo KFC, lava y limpia bien el pollo. En un tazón, agrega el pollo, el suero de leche, la sal y la pimienta en polvo, mezcla bien. Cubre y marina en el refrigerador durante 3 a 4 horas. Retira del refrigerador y escurre el exceso de suero de leche. Coloca la harina para todo uso en un plato ancho y plano. Bate los huevos y colócalos en un tazón. En un tazón ancho, mezcla las migas de pan panko, las hojuelas de maíz trituradas, el orégano, la sal, el pimentón, la pimienta en polvo, el ajo en polvo y la cebolla en polvo y mezcla bien. Ajuste las especias a su gusto. En una sartén, caliente el aceite para freír. Tome un trozo de pollo y primero cúbralo con harina para todo uso, inmediatamente sumérjalo en huevo y luego cúbralo con la mezcla de pan rallado panko. Repita el proceso con todos los trozos de pollo. Una vez que el aceite esté caliente, reduzca el fuego a medio y coloque con cuidado los trozos de pollo rebozados en aceite, pocos trozos a la vez, asegurándose de no sobrecargar la sartén. Fría los nuggets de pollo hasta que estén dorados de manera uniforme. Una vez cocidos, retire del aceite y escurra los Nuggets de Pollo Crujientes sobre una toalla de papel y sirva calientes. Sirva la Receta de Nuggets de Pollo Crujientes - receta estilo KFC cuando esté caliente, con deliciosas salsas como salsa de queso cottage, salsa de chile y cacahuete o receta de tzatziki.</t>
  </si>
  <si>
    <t>Pour commencer à préparer la recette de nuggets de poulet croustillants - recette de style KFC, lavez et nettoyez soigneusement le poulet. Dans un bol, ajoutez le poulet, le babeurre, le sel et le poivre en poudre, mélangez bien. Couvrez et laissez mariner au réfrigérateur pendant 3 à 4 heures. Retirez du réfrigérateur et égouttez l'excédent de babeurre. Placez la farine tout usage sur une grande assiette plate. Battez les œufs et placez-les dans un bol. Dans un grand bol, mélangez la chapelure panko, les flocons de maïs écrasés, l'origan, le sel, le paprika, la poudre de poivre, la poudre d'ail et la poudre d'oignon et mélangez bien. Ajustez les épices selon votre goût. Dans une poêle, faites chauffer l'huile pour la friture. Prenez un morceau de poulet et enrobez-le d'abord de farine tout usage, trempez-le immédiatement dans l'œuf, puis enrobez-le de mélange de chapelure panko. Répétez le processus avec tous les morceaux de poulet. Une fois l'huile chaude, réduisez le feu à moyen et déposez délicatement les morceaux de poulet enrobés dans l'huile, quelques morceaux à la fois, en veillant à ne pas surcharger la poêle. Faites frire les nuggets de poulet jusqu'à ce qu'ils soient dorés uniformément. Une fois cuits, retirez-les de l'huile et égouttez-les sur une serviette en papier et servez chaud. Servez la recette de nuggets de poulet croustillants - recette de style KFC - lorsqu'elle est chaude, avec de délicieuses trempettes comme une trempette au fromage cottage, une sauce chili aux arachides ou une recette de tzatziki.</t>
  </si>
  <si>
    <t>http://www.archanaskitchen.com/soft-and-spicy-chicken-nuggets-kfc-style-recipe</t>
  </si>
  <si>
    <t>Light And Healthy Spinach Soup Recipe</t>
  </si>
  <si>
    <t>Rezept für leichte und gesunde Spinatsuppe</t>
  </si>
  <si>
    <t>Recette de soupe aux épinards légère et saine</t>
  </si>
  <si>
    <t>Receta de sopa de espinacas ligera y saludable</t>
  </si>
  <si>
    <t>500 grammes de feuilles d'épinards (Palak) - lavées et hachées, 2 cuillères à café d'huile d'olive extra vierge, 1 gousse d'ail, 1 tige de feuilles de coriandre (Dhania) - hachées, 1 tasse de lait, 1 tasse de bouillon de légumes - ou d'eau, poivre noir en poudre - fraîchement moulu au goût, sel - au goût</t>
  </si>
  <si>
    <t>500 grams Spinach Leaves (Palak) - washed and chopped,2 teaspoon Extra Virgin Olive Oil,1 clove Garlic,1 Stalk Coriander (Dhania) Leaves - chopped,1 cup Milk,1 cup Vegetable stock - or water,Black pepper powder - freshly ground to taste,Salt - to taste</t>
  </si>
  <si>
    <t>500 gramos de hojas de espinaca (Palak) - lavadas y picadas, 2 cucharaditas de aceite de oliva virgen extra, 1 diente de ajo, 1 tallo de hojas de cilantro (Dhania) - picadas, 1 taza de leche, 1 taza de caldo de verduras - o agua, pimienta negra en polvo - recién molida al gusto, sal - al gusto</t>
  </si>
  <si>
    <t xml:space="preserve">To begin making the Light and Healthy Spinach Soup Recipe, we will first get all the ingredients ready.Heat oil in large saucepan;add in the garlic and celery and saute for a few seconds. Add in the chopped spinach, sprinkle some salt and saute on medium heat until the spinach is wilted and cooked.Add all the ingredients into a blender, and blend to make a smooth puree. Note: If your blender does not take in hot ingredients, then allow the blender to cool completely and then add the ingredients to the blender. Once blender, pour the Spinach Soup into as sauce pan. Adjust the consistency of the soup by adding more or less milk or water/stock. Check the salt and pepper levels and adjust to suit your taste.Bring the soup to a boil only when you are ready to serve to retain the maximum nutrition.Serve Light And Healthy Spinach Soup Recipe with a bread like Whole Wheat Seeded Loaf Recipe and Cape Gooseberry Salad Recipe to make a complete meal.
</t>
  </si>
  <si>
    <t>Para preparar la receta de sopa de espinacas ligera y saludable, primero tendremos todos los ingredientes listos. Calentamos el aceite en una cacerola grande; agregamos el ajo y el apio y salteamos durante unos segundos. Agregamos las espinacas picadas, espolvoreamos con un poco de sal y salteamos a fuego medio hasta que estén tiernas y cocidas. Vierte todos los ingredientes en una licuadora y licua hasta obtener un puré suave. Nota: Si tu licuadora no admite ingredientes calientes, deja que se enfríe completamente y luego agrega los ingredientes. Una vez licuada, vierte la sopa de espinacas en una cacerola. Ajusta la consistencia de la sopa agregando más o menos leche o agua/caldo. Verificamos el punto de sal y pimienta y ajustamos a tu gusto. Hierve la sopa solo cuando esté lista para servir para conservar todos sus nutrientes. Sirve la receta de sopa de espinacas ligera y saludable con pan como el pan integral con semillas o la ensalada de uchuva para completar una comida.</t>
  </si>
  <si>
    <t>Pour préparer la recette de soupe aux épinards légère et saine, préparez tous les ingrédients. Faites chauffer l'huile dans une grande casserole, ajoutez l'ail et le céleri et faites revenir quelques secondes. Ajoutez les épinards hachés, salez et faites revenir à feu moyen jusqu'à ce qu'ils soient tendres et cuits. Versez tous les ingrédients dans un blender et mixez jusqu'à obtenir une purée lisse. Remarque : si votre blender ne prend pas les ingrédients chauds, laissez-le refroidir complètement, puis ajoutez les ingrédients. Une fois le blender prêt, versez la soupe aux épinards dans une casserole. Ajustez la consistance de la soupe en ajoutant plus ou moins de lait ou d'eau/bouillon. Vérifiez la quantité de sel et de poivre et ajustez à votre goût. Ne portez la soupe à ébullition qu'au moment de servir pour préserver ses nutriments. Servez la soupe aux épinards légère et saine avec un pain comme le pain complet aux graines ou la salade de physalis pour un repas complet.</t>
  </si>
  <si>
    <t>https://www.archanaskitchen.com/light-and-healthy-spinach-soup-recipe</t>
  </si>
  <si>
    <t>Sweet Chili &amp; Orange Chicken Recipe</t>
  </si>
  <si>
    <t>Rezept für Hühnchen mit süßem Chili und Orange</t>
  </si>
  <si>
    <t>Recette de poulet au piment doux et à l'orange</t>
  </si>
  <si>
    <t>Receta de pollo con chile dulce y naranja</t>
  </si>
  <si>
    <t>3 poitrines de poulet, 1 oignon coupé en carrés, 6 gousses d'ail hachées, sel au goût, huile de tournesol, 1/2 tasse de jus d'orange frais, 3 cuillères à soupe de sauce au piment rouge, 1 cuillère à café de farine de maïs, 1 cuillère à café de poudre de poivre noir</t>
  </si>
  <si>
    <t>3 Chicken breasts,1 Onion - cut into squares,6 cloves Garlic - chopped,Salt - to taste,Sunflower Oil,1/2 cup Fresh orange juice,3 tablespoons Red Chilli sauce,1 teaspoon Corn flour,1 teaspoon Black pepper powder</t>
  </si>
  <si>
    <t>3 pechugas de pollo, 1 cebolla cortada en cuadritos, 6 dientes de ajo picados, sal al gusto, aceite de girasol, 1/2 taza de jugo de naranja fresco, 3 cucharadas de salsa de chile rojo, 1 cucharadita de harina de maíz, 1 cucharadita de pimienta negra en polvo</t>
  </si>
  <si>
    <t xml:space="preserve">To begin making the Sweet Chili &amp; Orange Chicken Recipe, We will heat a flat skillet with oil on medium flame, add garlic and onions and saute for a couple of minutes until the onions are just about softened. Add the chicken breasts and grill them along with a little salt till the chicken gets roasted and turns golden brown.In the meantime, in a mixing bowl combine all the ingredients for the sauce - orange juice, red chilli sauce, corn flour and pepper powder along with 1/2 cup water.Reduce the heat and add the orange sauce mixture to the grilled  Allow the Sweet Chili &amp; Orange Chicken to cook in low heat for at least 15 minutes until the grilled chicken gets well coated.This will help to develop the flavor and it will slowly start to thicken up. Once the Sweet Chili &amp; Orange Chicken is thick, turn off the flame and transfer to a serving bowl and serve hot.Serve the Sweet Chili &amp; Orange Chicken along with a bowl of Burnt Garlic Veg Fried Rice Recipe to make your lunch simple and delicious. You can finish off with a Banana Cream Pie Recipe as dessert. 
</t>
  </si>
  <si>
    <t>Para comenzar a hacer la Receta de Pollo con Chile Dulce y Naranja, calentaremos una sartén plana con aceite a fuego medio, agregaremos ajo y cebolla y saltearemos durante un par de minutos hasta que las cebollas estén casi blandas. Agregue las pechugas de pollo y áselas a la parrilla junto con un poco de sal hasta que el pollo se ase y se dore. Mientras tanto, en un tazón combine todos los ingredientes para la salsa: jugo de naranja, salsa de chile rojo, harina de maíz y pimienta en polvo junto con 1/2 taza de agua. Reduzca el fuego y agregue la mezcla de salsa de naranja a la parrilla. Deje que el pollo con chile dulce y naranja se cocine a fuego lento durante al menos 15 minutos hasta que el pollo a la parrilla esté bien cubierto. Esto ayudará a desarrollar el sabor y lentamente comenzará a espesarse. Una vez que el pollo con chile dulce y naranja esté espeso, apague el fuego y transfiéralo a un tazón para servir caliente. Sirva el pollo con chile dulce y naranja junto con un tazón de arroz frito con verduras y ajo quemado para que su almuerzo sea simple y delicioso. Puede terminar con una receta de pastel de crema de plátano como postre.</t>
  </si>
  <si>
    <t>Pour commencer à préparer la recette de poulet au piment doux et à l'orange, nous allons chauffer une poêle plate avec de l'huile à feu moyen, ajouter l'ail et les oignons et faire revenir pendant quelques minutes jusqu'à ce que les oignons soient presque ramollis. Ajoutez les poitrines de poulet et faites-les griller avec un peu de sel jusqu'à ce que le poulet soit rôti et doré. Pendant ce temps, dans un bol, mélanger tous les ingrédients de la sauce - jus d'orange, sauce au piment rouge, farine de maïs et poudre de poivre avec 1/2 tasse d'eau. Réduire le feu et ajouter le mélange de sauce à l'orange au poulet grillé. Laissez le poulet au piment doux et à l'orange cuire à feu doux pendant au moins 15 minutes jusqu'à ce que le poulet grillé soit bien enrobé. Cela aidera à développer la saveur et il commencera lentement à épaissir. Une fois que le poulet au piment doux et à l'orange est épais, éteignez le feu et transférez-le dans un bol de service et servez chaud. Servez le poulet au piment doux et à l'orange avec un bol de recette de riz frit aux légumes à l'ail brûlé pour rendre votre déjeuner simple et délicieux. Vous pouvez terminer avec une recette de tarte à la crème de banane en dessert.</t>
  </si>
  <si>
    <t>https://www.archanaskitchen.com/sweet-chili-orange-chicken-recipe</t>
  </si>
  <si>
    <t>Eggless Rich Chocolate Brownies Recipe</t>
  </si>
  <si>
    <t>Rezept für reichhaltige Schokoladenbrownies ohne Eier</t>
  </si>
  <si>
    <t>Recette de brownies au chocolat riches sans œufs</t>
  </si>
  <si>
    <t>Receta de brownie de chocolate rico sin huevo</t>
  </si>
  <si>
    <t>250 grammes de chocolat noir - comme Bournville et finement haché, 180 grammes de beurre (non salé), 120 grammes de cassonade (sucre Demerara), 1 1/2 cuillère à café d'extrait de vanille, 100 grammes de farine tout usage (Maida), 50 grammes de cacao en poudre, 1/4 cuillère à café de levure chimique, 1/4 cuillère à café de sel, 50 grammes de noix - hachées, 3 cuillères à soupe de poudre de graines de lin (farine de lin), 9 cuillères à soupe d'eau glacée</t>
  </si>
  <si>
    <t>250 grams Dark chocolate - like Bournville and fine chopped,180 grams Butter (unsalted),120 grams Brown Sugar (Demerara Sugar),1 1/2 teaspoons Vanilla Extract,100 grams All Purpose Flour (Maida),50 grams Cocoa Powder,1/4 teaspoon Baking powder,1/4 teaspoon Salt,50 grams Walnuts - chopped,3 tablespoons Flax seed powder (flax meal),9 tablespoons Chilled water</t>
  </si>
  <si>
    <t>250 gramos de chocolate negro - tipo Bournville y picado fino, 180 gramos de mantequilla (sin sal), 120 gramos de azúcar moreno (azúcar Demerara), 1 1/2 cucharadita de extracto de vainilla, 100 gramos de harina para todo uso (Maida), 50 gramos de cacao en polvo, 1/4 cucharadita de polvo para hornear, 1/4 cucharadita de sal, 50 gramos de nueces - picadas, 3 cucharadas de polvo de semilla de lino (harina de lino), 9 cucharadas de agua fría</t>
  </si>
  <si>
    <t>To begin making the Rich Chocolate Brownies, we will first preheat the oven to 165 C and grease and flour a square baking dishTo Make Flax Meal Egg Replacer If your recipe asks for 3 eggs, measure 9 tablespoons of flax meal along with 6 tablespoons of water. Stir well and let the mixture rest for about 15 minutes. This process of resting helps the flax meal mixture develop a gelatinous consistency similar to eggs.To make the Batter Place the rich dark chocolate and butter (oil) in a saucepan over low heat and stir until smooth and all the chocolate has melted.  Allow the chocolate to cool slightlyIn a large bowl, whisk together the sugar and Flax Eggs (eggs) until fluffy. Gradually add the flour, cocoa and baking powder and fold in the chocolate mixture and whisk well until well combined. You will notice the mixture thicken due the the warmth of the chocolate. At this point pour the brownie mixture into the prepared baking dish.Place the brownie batter into the oven and bake for about 25 to 30 minutes or until when a tooth pick inserted inside comes out clean. Well, almost clean. Brownies are most often moist and hence will have a few wet crumbs, but not a raw batter. Remove from the oven, allow the Rich Chocolate Brownies to rest for 15 minutes before serving.Serve this Eggless Rich Chocolate Brownies Recipe as a party dessert</t>
  </si>
  <si>
    <t>Para comenzar a hacer los Brownies de Chocolate Rico, primero precalentaremos el horno a 165 C y engrasaremos y enharinaremos un molde cuadrado para hornear. Para hacer el sustituto de huevo con harina de lino Si su receta pide 3 huevos, mida 9 cucharadas de harina de lino junto con 6 cucharadas de agua. Revuelva bien y deje reposar la mezcla durante unos 15 minutos. Este proceso de reposo ayuda a que la mezcla de harina de lino desarrolle una consistencia gelatinosa similar a los huevos. Para hacer la masa Coloque el rico chocolate negro y la mantequilla (aceite) en una cacerola a fuego lento y revuelva hasta que esté suave y todo el chocolate se haya derretido. Deje que el chocolate se enfríe un poco. En un tazón grande, bata el azúcar y los huevos de lino (huevos) hasta que quede esponjoso. Agregue gradualmente la harina, el cacao y el polvo para hornear e incorpore la mezcla de chocolate y bata bien hasta que esté bien combinado. Notará que la mezcla se espesa debido al calor del chocolate. En este punto, vierta la mezcla de brownie en el molde para hornear preparado. Coloque la masa de brownie en el horno y hornee durante unos 25 a 30 minutos o hasta que al insertar un palillo, éste salga limpio. Bueno, casi limpio. Los brownies suelen ser húmedos y, por lo tanto, tendrán algunas migas húmedas, pero no una masa cruda. Retire del horno, deje reposar los Brownies de Chocolate Rico durante 15 minutos antes de servir. Sirva esta Receta de Brownies de Chocolate Rico sin Huevo como postre de fiesta.</t>
  </si>
  <si>
    <t>Pour commencer à préparer les brownies au chocolat riche, nous allons d'abord préchauffer le four à 165 °C et graisser et fariner un plat de cuisson carré. Pour préparer un substitut d'œuf à la farine de lin Si votre recette demande 3 œufs, mesurez 9 cuillères à soupe de farine de lin avec 6 cuillères à soupe d'eau. Remuez bien et laissez reposer le mélange pendant environ 15 minutes. Ce processus de repos aide le mélange de farine de lin à développer une consistance gélatineuse semblable à celle des œufs. Pour préparer la pâte Placez le chocolat noir riche et le beurre (huile) dans une casserole à feu doux et remuez jusqu'à consistance lisse et que tout le chocolat ait fondu. Laissez le chocolat refroidir légèrement Dans un grand bol, fouettez ensemble le sucre et les œufs de lin (œufs) jusqu'à ce que le mélange soit mousseux. Ajoutez graduellement la farine, le cacao et la levure chimique, incorporez le mélange de chocolat et fouettez bien jusqu'à ce que le tout soit bien mélangé. Vous remarquerez que le mélange épaissit en raison de la chaleur du chocolat. À ce stade, versez le mélange à brownie dans le plat de cuisson préparé. Placez la pâte à brownie au four et faites cuire pendant environ 25 à 30 minutes ou jusqu'à ce qu'un cure-dent inséré à l'intérieur en ressorte propre. Enfin, presque propre. Les brownies sont le plus souvent humides et auront donc quelques miettes humides, mais pas une pâte crue. Retirez du four, laissez reposer les brownies au chocolat riche pendant 15 minutes avant de servir. Servez cette recette de brownies au chocolat riche sans œufs comme dessert de fête</t>
  </si>
  <si>
    <t>https://www.archanaskitchen.com/rich-chocolate-brownies-eggless-option-recipe</t>
  </si>
  <si>
    <t>Eggless Chocolate Chip And Honey Cookies Recipe</t>
  </si>
  <si>
    <t>Rezept für Schokoladenkekse mit Honig und ohne Eier</t>
  </si>
  <si>
    <t>Recette de biscuits au chocolat au miel et sans œufs</t>
  </si>
  <si>
    <t>Receta de galletas de chocolate y miel sin huevo</t>
  </si>
  <si>
    <t>3/4 tasse de farine tout usage (Maida), 1/4 tasse de sucre en poudre, 2 cuillères à café de miel, 1/2 cuillère à café d'extrait de vanille, 1/2 tasse de beurre à température ambiante, 2 cuillères à soupe de pépites de chocolat hachées</t>
  </si>
  <si>
    <t>3/4 cup All Purpose Flour (Maida),1/4 cup Caster Sugar - powdered,2 teaspoons Honey,1/2 teaspoon Vanilla Extract,1/2 cup Butter - at room temperature,2 tablespoons Chocolate chips - chopped</t>
  </si>
  <si>
    <t>3/4 taza de harina para todo uso (Maida), 1/4 taza de azúcar extrafino (en polvo), 2 cucharaditas de miel, 1/2 cucharadita de extracto de vainilla, 1/2 taza de mantequilla (a temperatura ambiente), 2 cucharadas de chispas de chocolate picadas</t>
  </si>
  <si>
    <t xml:space="preserve">To begin making the Eggless Chocolate Chip And Honey Cookies, add maida, powdered sugar, honey and vanilla essence in a mixing bowl.Add butter little by little and knead to form a dough. Do not add water.Place the bowl inside the refrigerator for about 20 minutes. Take it out, form 8 small balls and flatten them.Add chocolate chips on top and gently press. Preheat the oven at 180 degree Celsius for 10 minutes.Meanwhile grease an aluminium tray with butter and place the cookies on it at equal intervals.Place the tray in the central rack of the oven and bake with upper and lower rods on for 10 to 12 minutes or till the cookies are golden brown in colour.Allow the cookies to cool down completely and transfer to airtight containers.Serve Eggless Chocolate Chip And Honey Cookies along with Masala Tea and Grilled Rajma Masala Sandwich for a perfect tea party.
</t>
  </si>
  <si>
    <t>Para empezar a hacer las Galletas de Miel y Chispas de Chocolate sin Huevo, añade maida, azúcar glas, miel y esencia de vainilla en un bol. Añade la mantequilla poco a poco y amasa hasta formar una masa. No añadas agua. Coloca el bol en el frigorífico durante unos 20 minutos. Sácalo, forma 8 bolitas y aplánalas. Añade las chispas de chocolate por encima y presiona suavemente. Precalienta el horno a 180 grados Celsius durante 10 minutos. Mientras tanto, engrasa una bandeja de aluminio con mantequilla y coloca las galletas encima a intervalos iguales. Coloca la bandeja en la rejilla central del horno y hornea con las varillas superior e inferior encendidas durante 10 a 12 minutos o hasta que las galletas estén doradas. Deja que las galletas se enfríen por completo y transfiérelas a recipientes herméticos. Sirve las Galletas de Miel y Chispas de Chocolate sin Huevo junto con el Té Masala y el Sándwich Rajma Masala a la Parrilla para una fiesta de té perfecta.</t>
  </si>
  <si>
    <t>Pour préparer les cookies sans œufs aux pépites de chocolat et au miel, ajoutez la mayonnaise, le sucre glace, le miel et l'extrait de vanille dans un saladier. Ajoutez le beurre petit à petit et pétrissez jusqu'à obtenir une pâte. N'ajoutez pas d'eau. Placez le saladier au réfrigérateur pendant environ 20 minutes. Sortez-le, formez 8 petites boules et aplatissez-les. Ajoutez les pépites de chocolat par-dessus et appuyez légèrement. Préchauffez le four à 180 °C pendant 10 minutes. Pendant ce temps, beurrez une plaque en aluminium et disposez-y les cookies à intervalles réguliers. Placez la plaque sur la grille centrale du four et faites cuire, les barres supérieures et inférieures allumées, pendant 10 à 12 minutes ou jusqu'à ce que les cookies soient dorés. Laissez les cookies refroidir complètement et transférez-les dans des contenants hermétiques. Servez les cookies sans œufs aux pépites de chocolat et au miel avec du thé masala et un sandwich Rajma Masala grillé pour un goûter parfait.</t>
  </si>
  <si>
    <t>http://www.archanaskitchen.com/eggless-chocolate-chip-and-honey-cookies-recipe</t>
  </si>
  <si>
    <t>Avocado Cheese Chilli Toast Recipe</t>
  </si>
  <si>
    <t>Rezept für Avocado-Käse-Chili-Toast</t>
  </si>
  <si>
    <t>Recette de toast au chili, au fromage et à l'avocat</t>
  </si>
  <si>
    <t>Receta de tostada con chile, queso y aguacate</t>
  </si>
  <si>
    <t>4 pains bruns de blé entier, 2 cuillères à soupe de beurre, 4 cuillères à soupe de mayonnaise classique (avec œuf), 1 cuillère à soupe de poudre de poivre noir, 2 tomates - tranchées finement, 1/2 avocat - tranché finement, 1/2 tasse de fromage - râpé, flocons de piment rouge - selon les besoins</t>
  </si>
  <si>
    <t>4 Whole Wheat Brown Bread,2 tablespoons Butter,4 tablespoons Classic Mayonnaise (With Egg),1 tablespoon Black pepper powder,2 Tomatoes - thinly sliced,1/2 Avocado - thinly sliced,1/2 Cup Cheese - grated,Red Chilli flakes - as required</t>
  </si>
  <si>
    <t>4 panes integrales, 2 cucharadas de mantequilla, 4 cucharadas de mayonesa clásica (con huevo), 1 cucharada de pimienta negra en polvo, 2 tomates en rodajas finas, 1/2 aguacate en rodajas finas, 1/2 taza de queso rallado, hojuelas de chile rojo (según se requiera)</t>
  </si>
  <si>
    <t xml:space="preserve">To begin making the Avocado Cheese Chilli Toast, take each bread slices and apply butter evenly on either side, sufficient enough to toast the bread.Heat a skillet and put the slice on it. Let it cook on medium for 2 to 4 minutes on either side, or until bread is toasted.Once done, spread a thin layer or mayonnaise on each slice of bread.Put tomato and avocado slices and sprinkle black pepper powder + red chilli flakes on each toast. Top each toast with some grated cheese.Serve Avocado Cheese Chilli Toast with Espresso Coffee for your tea time break.
</t>
  </si>
  <si>
    <t>Para empezar a preparar la tostada de aguacate, queso y chile, toma cada rebanada de pan y unta mantequilla uniformemente por ambos lados, suficiente para tostar el pan. Calienta una sartén y coloca la rebanada sobre ella. Deja cocinar a fuego medio de 2 a 4 minutos por cada lado, o hasta que el pan esté tostado. Una vez listo, unta una capa fina de mayonesa en cada rebanada de pan. Coloca rodajas de tomate y aguacate y espolvorea pimienta negra en polvo y hojuelas de chile rojo sobre cada tostada. Cubre cada tostada con un poco de queso rallado. Sirve la tostada de aguacate, queso y chile con café expreso para la hora del té.</t>
  </si>
  <si>
    <t>Pour commencer à préparer le toast avocat-fromage-piment, prenez chaque tranche de pain et appliquez du beurre uniformément de chaque côté, suffisamment pour griller le pain. Faites chauffer une poêle et déposez la tranche dessus. Laissez cuire à feu moyen pendant 2 à 4 minutes de chaque côté, ou jusqu'à ce que le pain soit grillé. Une fois cuit, étalez une fine couche de mayonnaise sur chaque tranche de pain. Déposez des tranches de tomate et d'avocat et saupoudrez de poivre noir en poudre et de flocons de piment rouge sur chaque toast. Garnissez chaque toast de fromage râpé. Servez le toast avocat-fromage-piment avec un café expresso pour votre pause thé.</t>
  </si>
  <si>
    <t>http://www.archanaskitchen.com/avocado-cheese-chilli-toast-recipe</t>
  </si>
  <si>
    <t>Pomegranate Sauce Recipe</t>
  </si>
  <si>
    <t>Rezept für Granatapfelsauce</t>
  </si>
  <si>
    <t>Recette de sauce à la grenade</t>
  </si>
  <si>
    <t>Receta de salsa de granada</t>
  </si>
  <si>
    <t>2 tasses de jus de grenade, 1 poudre d'Anardana (poudre de graines de grenade) - pelée, 1/4 tasse de vin rouge, 1 cuillère à soupe de beurre (non salé), 1 cuillère à soupe d'ail - haché, 1 cuillère à soupe de grains de poivre noir entiers - grossièrement pilés, 1/4 tasse de jaggery, sel - au goût, 1 cuillère à café de romarin</t>
  </si>
  <si>
    <t>2 cups Pomegranate juice,1 Anardana Powder (Pomegranate Seed Powder) - peeled,1/4 cup Red wine,1 tablespoon Butter (unsalted),1 tablespoon Garlic - minced,1 tablespoon Whole Black Peppercorns - coarsely pounded,1/4 cup Jaggery,Salt - to taste,1 teaspoon Rosemary</t>
  </si>
  <si>
    <t>2 tazas de jugo de granada, 1 polvo de anardana (polvo de semilla de granada) - pelado, 1/4 taza de vino tinto, 1 cucharada de mantequilla (sin sal), 1 cucharada de ajo picado, 1 cucharada de granos de pimienta negra enteros - machacados gruesamente, 1/4 taza de jaggery, sal - al gusto, 1 cucharadita de romero</t>
  </si>
  <si>
    <t xml:space="preserve">To begin making the Pomegranate Sauce Recipe, get all the ingredients ready and keep them handy.Dissolve the jaggery in 1/4 cup of warm water and keep aside.Heat a large saucepan and melt the butter on medium heat. Add the garlic and stirfry for a few seconds. Next add the remaining ingredients, including the dissolved jaggery and stir well to combine. Check the salt and spice levels and adjust to suit your taste.Turn to heat to low and place the pomegranate sauce to a simmer until the sauce thickens. When the sauce begins to coat the back of a spoon, then you know the sauce is ready.Once done, turn off the heat and stir in the dried rosemary or mint. Allow it to cool and store the sauce in a glass jar.You can refrigerate the Pomegranate Sauce for about a month and use as desired in sauces, curries, as a chutney and many more.Note: You can also make a puree and have the sauce more like a syrup consistency for waffles and pancakes.
</t>
  </si>
  <si>
    <t>Para empezar a preparar la receta de salsa de granada, prepara todos los ingredientes y tenlos a mano. Disuelve el jaggery en 1/4 de taza de agua tibia y reserva. Calienta una cacerola grande y derrite la mantequilla a fuego medio. Agrega el ajo y sofríe durante unos segundos. A continuación, añade el resto de los ingredientes, incluyendo el jaggery disuelto, y remueve bien. Ajusta la sal y las especias a tu gusto. Baja el fuego y deja que la salsa de granada se cocine a fuego lento hasta que espese. Cuando la salsa empiece a cubrir el dorso de una cuchara, estará lista. Una vez lista, apaga el fuego y añade el romero o la menta secos. Deja enfriar y guarda la salsa en un frasco de vidrio. Puedes refrigerar la salsa de granada durante aproximadamente un mes y usarla como desees en salsas, currys, como chutney y mucho más. Nota: También puedes hacer un puré y obtener una salsa con una consistencia más parecida a la de un jarabe para waffles y panqueques.</t>
  </si>
  <si>
    <t>Pour commencer la recette de la sauce à la grenade, préparez tous les ingrédients et gardez-les à portée de main. Dissolvez le jaggery dans 60 ml d'eau tiède et réservez. Faites chauffer une grande casserole et faites fondre le beurre à feu moyen. Ajoutez l'ail et faites revenir quelques secondes. Ajoutez ensuite le reste des ingrédients, y compris le jaggery dissous, et mélangez bien. Vérifiez la quantité de sel et d'épices et ajustez à votre goût. Baissez le feu et laissez mijoter la sauce à la grenade jusqu'à ce qu'elle épaississe. Lorsque la sauce nappe le dos d'une cuillère, elle est prête. Une fois prête, éteignez le feu et ajoutez le romarin ou la menthe séchés. Laissez refroidir et conservez la sauce dans un bocal en verre. Vous pouvez conserver la sauce à la grenade au réfrigérateur pendant environ un mois et l'utiliser selon vos envies dans des sauces, des currys, en chutney et bien d'autres préparations. Remarque : vous pouvez également la réduire en purée et obtenir une consistance semblable à un sirop pour les gaufres et les crêpes.</t>
  </si>
  <si>
    <t>https://www.archanaskitchen.com/pomegranate-sauce-recipe</t>
  </si>
  <si>
    <t>Gluten-Free Mango and Coconut Milk Ice-Cream Recipe</t>
  </si>
  <si>
    <t>Rezept für glutenfreies Mango-Kokosmilch-Eis</t>
  </si>
  <si>
    <t>Recette de glace à la mangue et au lait de coco sans gluten</t>
  </si>
  <si>
    <t>Receta de helado de mango y leche de coco sin gluten</t>
  </si>
  <si>
    <t>500 grammes de mangue (mûre), 200 grammes de lait concentré, 200 ml de lait de coco, feuilles de menthe (Pudina) - Quelques brins pour décorer</t>
  </si>
  <si>
    <t>500 grams Mango (Ripe),200 grams Condensed Milk,200 ml Coconut milk,Mint Leaves (Pudina) - Few sprigs to garnish</t>
  </si>
  <si>
    <t>500 gramos de mango (maduro), 200 gramos de leche condensada, 200 ml de leche de coco, hojas de menta (pudina) - Algunas ramitas para decorar</t>
  </si>
  <si>
    <t xml:space="preserve">To prepare the Mango and Coconut Milk Ice Cream, first keep all the ingredients in the fridge to chill for few hours.Next add the chopped mangoes into a food processor and blend to the smooth puree. Transfer the mango puree into a mixing bowl.Next combine the pureed mango, condensed milk and coconut milk. Whisk using a hand blender at medium speed for few minutes or till light and creamy in texture.Now pour the ice-cream mixture into a freezer safe bowl, cover the bowl with the lid or cling foil and freeze until set. Once the ice cream is almost frozen approximately after 4 - 5 hours, bring it out of the freezer and blend in a food processor to break down the ice crystals. Pour again into the container and keep it back in the freezer.Doing the freeze and re-beating process, helps the ice cream to have a creamy texture. The more we beat, the more creamy it gets. Once you have freeze and beat process 3 times over, then your Mango and Coconut Milk Ice Cream will be ready to be served.Before serving garnish Mango and Coconut Milk Ice Cream with mint leaves and serve chilled as a dessert for parties. You can also optionally add freshly chopped mangoes and nut to add to the flavour, texture and crunch.
</t>
  </si>
  <si>
    <t>Para preparar el helado de mango y leche de coco, primero guarde todos los ingredientes en el refrigerador para que se enfríen durante unas horas. Luego, agregue los mangos picados a un procesador de alimentos y mezcle hasta obtener un puré suave. Transfiera el puré de mango a un tazón. Luego combine el puré de mango, la leche condensada y la leche de coco. Bata con una batidora de mano a velocidad media durante unos minutos o hasta obtener una textura ligera y cremosa. Ahora vierta la mezcla de helado en un recipiente apto para congelador, cúbralo con la tapa o papel aluminio y congélelo hasta que cuaje. Una vez que el helado esté casi congelado aproximadamente después de 4 a 5 horas, sáquelo del congelador y mezcle en un procesador de alimentos para romper los cristales de hielo. Vierta nuevamente en el recipiente y guárdelo en el congelador. Realizar el proceso de congelación y re-batido ayuda a que el helado tenga una textura cremosa. Cuanto más batimos, más cremoso se vuelve. Una vez que hayas congelado y batido tres veces, tu helado de mango y leche de coco estará listo para servir. Antes de servir, decora el helado con hojas de menta y sírvelo frío como postre para fiestas. También puedes añadir mangos y nueces recién picados para realzar el sabor, la textura y darle un toque crujiente.</t>
  </si>
  <si>
    <t>Pour préparer la glace à la mangue et au lait de coco, réservez tous les ingrédients au réfrigérateur pendant quelques heures. Ajoutez ensuite les mangues hachées dans un robot culinaire et mixez jusqu'à obtenir une purée lisse. Transférez la purée de mangue dans un saladier. Mélangez ensuite la mangue en purée, le lait concentré et le lait de coco. Fouettez au mixeur plongeant à vitesse moyenne pendant quelques minutes jusqu'à obtenir une texture légère et crémeuse. Versez ensuite le mélange dans un saladier allant au congélateur, couvrez-le d'un couvercle ou d'une feuille de papier aluminium et congelez jusqu'à ce que la glace soit prise. Une fois la glace presque congelée (environ 4 à 5 heures), sortez-la du congélateur et mixez-la au robot culinaire pour briser les cristaux de glace. Versez à nouveau dans le récipient et conservez-la au congélateur. Congeler et battre à nouveau la glace lui donne une texture crémeuse. Plus on la bat, plus elle devient crémeuse. Une fois congelée et battue trois fois, votre glace mangue-lait de coco est prête à être servie. Avant de servir, décorez la glace mangue-lait de coco de feuilles de menthe et servez fraîche comme dessert pour les fêtes. Vous pouvez également ajouter des mangues fraîchement coupées et des noix pour rehausser la saveur, la texture et le croquant.</t>
  </si>
  <si>
    <t>http://www.archanaskitchen.com/gluten-free-mango-and-coconut-milk-ice-cream-recipe</t>
  </si>
  <si>
    <t>Coconut French Toast with Chocolate Chips Recipe</t>
  </si>
  <si>
    <t>Rezept für Kokos-French-Toast mit Schokoladenstückchen</t>
  </si>
  <si>
    <t>Recette de pain perdu à la noix de coco et aux pépites de chocolat</t>
  </si>
  <si>
    <t>Receta de tostadas francesas con chispas de chocolate y coco</t>
  </si>
  <si>
    <t>3/4 tasse de lait, 1/4 tasse de crème fraîche, 2 œufs entiers, 1/4 cuillère à café d'extrait de vanille, 1 pincée de poudre de noix de muscade, 1/8 cuillère à café de sel, 2 cuillères à soupe de sucre en poudre - (réduisez la quantité de sucre si votre noix de coco est sucrée), 1 tasse de noix de coco fraîche - râpée, 2 cuillères à soupe de beurre, 6 pains bruns de blé entier - (utilisez de préférence du pain français), sirop d'érable - ou sirop de chocolat</t>
  </si>
  <si>
    <t>3/4 cup Milk,1/4 cup Fresh cream,2 Whole Eggs,1/4 teaspoon Vanilla Extract,1 pinch Nutmeg powder,1/8 teaspoon Salt,2 tablespoons Caster Sugar - (reduce sugar quantity if your coconut is sweetened),1 cup Fresh coconut - grated,2 tablespoons Butter,6 Whole Wheat Brown Bread - (best use French bread),Maple syrup - or chocolate syrup</t>
  </si>
  <si>
    <t>3/4 taza de leche, 1/4 taza de crema fresca, 2 huevos enteros, 1/4 cucharadita de extracto de vainilla, 1 pizca de nuez moscada en polvo, 1/8 cucharadita de sal, 2 cucharadas de azúcar extrafino (reduzca la cantidad de azúcar si su coco está endulzado), 1 taza de coco fresco rallado, 2 cucharadas de mantequilla, 6 panes integrales (mejor use pan francés), jarabe de arce o jarabe de chocolate</t>
  </si>
  <si>
    <t xml:space="preserve">To begin with the Coconut French Toast with Chocolate Chips Recipe, in a bowl whisk eggs, milk and cream well until frothy.Add vanilla extract, nutmeg powder, sugar and salt whisk again. Cover and leave it for 15 to 20 minutes.Heat a pan and add 1 tablespoon butter to the pan.Dip the bread slice in the custard mix and remove immediately.Gently press the excess liquid. Coat it with shredded coconut on both sides.Cook the slices of bread until golden brown on one side and then turn and cook the other side.Repeat for rest of the slices.Coconut French toast with choco chip and any fresh fruit of your choice immediately.Serve the Coconut French Toast with Chocolate Chips Recipe for breakfast along with a cup of Hot chocolate goes well, you can also serve Watermelon Smoothie Recipe to enjoy it even better.
</t>
  </si>
  <si>
    <t>Para comenzar con la receta de tostada francesa de coco con chispas de chocolate, en un tazón bata bien los huevos, la leche y la crema hasta que esté espumosa. Agregue el extracto de vainilla, la nuez moscada en polvo, el azúcar y la sal y vuelva a batir. Tape y deje reposar de 15 a 20 minutos. Caliente una sartén y agregue 1 cucharada de mantequilla. Sumerja la rebanada de pan en la mezcla de natillas y retírela inmediatamente. Presione suavemente el exceso de líquido. Cúbrala con coco rallado por ambos lados. Cocine las rebanadas de pan hasta que estén doradas por un lado y luego voltee y cocine el otro lado. Repita con el resto de las rebanadas. Tostada francesa de coco con chispas de chocolate y cualquier fruta fresca de su elección inmediatamente. Sirva la receta de tostada francesa de coco con chispas de chocolate para el desayuno junto con una taza de chocolate caliente va bien, también puede servir la receta de batido de sandía para disfrutarlo aún más.</t>
  </si>
  <si>
    <t>Pour commencer la recette de pain perdu à la noix de coco et aux pépites de chocolat, fouettez les œufs, le lait et la crème dans un bol jusqu'à obtenir une consistance mousseuse. Ajoutez l'extrait de vanille, la poudre de muscade, le sucre et le sel, puis fouettez à nouveau. Couvrez et laissez reposer 15 à 20 minutes. Faites chauffer une poêle et ajoutez 1 cuillère à soupe de beurre. Trempez la tranche de pain dans le mélange à crème anglaise et retirez-la immédiatement. Pressez délicatement l'excédent de liquide. Enrobez-la de noix de coco râpée des deux côtés. Faites cuire les tranches de pain jusqu'à ce qu'elles soient dorées d'un côté, puis retournez-les et faites cuire l'autre côté. Répétez l'opération pour les autres tranches. Pain perdu à la noix de coco avec des pépites de chocolat et des fruits frais de votre choix immédiatement. Servez la recette de pain perdu à la noix de coco et aux pépites de chocolat au petit-déjeuner, accompagnée d'une tasse de chocolat chaud. Vous pouvez également servir une recette de smoothie à la pastèque pour en profiter encore mieux.</t>
  </si>
  <si>
    <t>http://www.archanaskitchen.com/coconut-french-toast-with-chocolate-chips-recipe</t>
  </si>
  <si>
    <t>Gingerbread Pancake Recipe</t>
  </si>
  <si>
    <t>Rezept für Lebkuchenpfannkuchen</t>
  </si>
  <si>
    <t>Recette de crêpes au pain d'épices</t>
  </si>
  <si>
    <t>Receta de panqueques de jengibre</t>
  </si>
  <si>
    <t>1 tasse de farine de blé entier, 1 cuillère à café de levure chimique, 1 cuillère à café de cannelle en poudre (Dalchini), 1 cuillère à café de gingembre sec en poudre, 1/4 cuillère à café de clou de girofle en poudre (Laung), 1/2 cuillère à café de noix de muscade en poudre, 2 œufs entiers, 4 cuillères à soupe de beurre fondu, 1/2 tasse de lait, 1/2 tasse de cassonade (sucre Demerara), sirop d'érable - pour servir</t>
  </si>
  <si>
    <t>1 cup Whole Wheat Flour,1 teaspoon Baking powder,1 teaspoon Cinnamon Powder (Dalchini),1 teaspoon Dry ginger powder,1/4 teaspoon Clove powder (Laung),1/2 teaspoon Nutmeg powder,2 Whole Eggs,4 tablespoons Butter - melted,1/2 cup Milk,1/2 cup Brown Sugar (Demerara Sugar),Maple syrup - to serve</t>
  </si>
  <si>
    <t>1 taza de harina integral, 1 cucharadita de polvo para hornear, 1 cucharadita de canela en polvo (dalchini), 1 cucharadita de jengibre en polvo seco, 1/4 cucharadita de clavo en polvo (laung), 1/2 cucharadita de nuez moscada en polvo, 2 huevos enteros, 4 cucharadas de mantequilla derretida, 1/2 taza de leche, 1/2 taza de azúcar morena (azúcar demerara), jarabe de arce para servir</t>
  </si>
  <si>
    <t xml:space="preserve">To begin making the Gingerbread Pancake, sift together flour, baking powder and all the spices. In a large bowl mix together brown sugar, 2 eggs, melted butter, and milk. Whisk till incorporated and fluffy. Add dry flour ingredients to wet ingredients and stir until just combined. Preheat a skillet over medium heat and grease it with a little butter. Pour 1/4 cup of batter on the skillet and let the batter spread itself. Cook 1-2 minutes until edges begin to set and the pancakes starts bubbling and looks steamed from the top. Flip the pancake over allow to cook another minute until it is lightly browned. Serve the Gingerbread Pancake warm along with maple syrup for breakfast or even as a evening snack for kids.
</t>
  </si>
  <si>
    <t>Para empezar a preparar el panqueque de jengibre, tamiza la harina, el polvo para hornear y todas las especias. En un tazón grande, mezcla el azúcar moreno, 2 huevos, la mantequilla derretida y la leche. Bate hasta que se integren y quede una mezcla esponjosa. Agrega los ingredientes secos de la harina a los ingredientes húmedos y revuelve hasta que se combinen. Precalienta una sartén a fuego medio y engrásala con un poco de mantequilla. Vierte 1/4 de taza de masa en la sartén y deja que la masa se extienda sola. Cocina de 1 a 2 minutos hasta que los bordes comiencen a cuajar y los panqueques comiencen a burbujear y se vean vaporizados por encima. Dale la vuelta al panqueque y deja cocinar un minuto más hasta que esté ligeramente dorado. Sirve el panqueque de jengibre caliente junto con jarabe de arce para el desayuno o incluso como merienda para los niños.</t>
  </si>
  <si>
    <t>Pour commencer la préparation des crêpes au pain d'épices, tamisez la farine, la levure chimique et toutes les épices. Dans un grand bol, mélangez la cassonade, 2 œufs, le beurre fondu et le lait. Fouettez jusqu'à obtenir une consistance mousseuse. Ajoutez les ingrédients secs de la farine aux ingrédients humides et mélangez jusqu'à ce que le tout soit bien mélangé. Préchauffez une poêle à feu moyen et graissez-la avec un peu de beurre. Versez 60 ml de pâte dans la poêle et laissez-la s'étaler. Faites cuire 1 à 2 minutes jusqu'à ce que les bords commencent à prendre et que les crêpes commencent à bouillonner et à avoir une apparence fumante sur le dessus. Retournez la crêpe et laissez cuire encore une minute jusqu'à ce qu'elle soit légèrement dorée. Servez la crêpe au pain d'épices chaude avec du sirop d'érable au petit-déjeuner ou même comme collation pour les enfants.</t>
  </si>
  <si>
    <t>http://www.archanaskitchen.com/gingerbread-pancake-recipe</t>
  </si>
  <si>
    <t>Avocado Mint Soup Recipe</t>
  </si>
  <si>
    <t>Avocado-Minz-Suppe Rezept – Rezept für Avocado-Minz-Suppe</t>
  </si>
  <si>
    <t>Recette de soupe à l'avocat et à la menthe – Recette de soupe à l'avocat et à la menthe</t>
  </si>
  <si>
    <t>Receta de sopa de aguacate y menta – Receta de sopa de aguacate y menta</t>
  </si>
  <si>
    <t>2 avocats, 5 gousses d'ail - hachées, 1 gingembre - haché, 1 oignon - haché, 10 menthes, huile d'olive - utilisée, eau - utilisée, 2 piments de Cayenne - frais</t>
  </si>
  <si>
    <t>2 avocados, 5 cloves garlic - chop, 1 ginger - chop, 1 onion - chop, 10 mint, olive oil - use, water - use, 2 cayenne - fresh</t>
  </si>
  <si>
    <t>2 aguacates, 5 dientes de ajo - picados, 1 jengibre - picado, 1 cebolla - picada, 10 mentas, aceite de oliva - usado, agua - usado, 2 cayenas - frescas</t>
  </si>
  <si>
    <t>To make Avocado Mint Soup Recipe, first heat olive oil in a saucepan. Add garlic, red chili, onion and cook till the onion becomes soft. Once cooked, keep it aside to cool. In a blender, add avocado along with onion mixture and grind it well. Put the avocado mixture in a saucepan along with salt and let it boil on low flame. After boiling, turn off the gas. Now in a mortar and pestle, add 1 teaspoon olive oil, mint leaves and grind it well. Pour this mixture into the soup and mix it. Serve. Serve Avocado Mint Soup with garlic bread and salad of your choice.</t>
  </si>
  <si>
    <t>Para preparar la receta de sopa de aguacate y menta, primero caliente el aceite de oliva en una cacerola. Agregue el ajo, el chile rojo y la cebolla y cocine hasta que la cebolla esté tierna. Una vez cocida, reserve para que se enfríe. En una licuadora, agregue el aguacate junto con la mezcla de cebolla y muélela bien. Vierta la mezcla de aguacate en una cacerola junto con la sal y deje hervir a fuego lento. Después de que hierva, apague el fuego. En un mortero, agregue 1 cucharadita de aceite de oliva y hojas de menta y muélela bien. Vierta esta mezcla en la sopa y mezcle. Sirva. Sirva la sopa de aguacate y menta con pan de ajo y la ensalada de su elección.</t>
  </si>
  <si>
    <t>Pour préparer la soupe avocat-menthe, faites chauffer l'huile d'olive dans une casserole. Ajoutez l'ail, le piment rouge et l'oignon et faites cuire jusqu'à ce que l'oignon soit tendre. Une fois cuit, réservez pour refroidir. Dans un mixeur, ajoutez l'avocat et le mélange d'oignons et mixez bien. Mettez le mélange d'avocats dans une casserole avec du sel et laissez mijoter à feu doux. Après ébullition, coupez le feu. Dans un mortier, ajoutez 1 cuillère à café d'huile d'olive et les feuilles de menthe et mixez bien. Versez ce mélange dans la soupe et mélangez. Servez. Accompagnez la soupe avocat-menthe d'un pain à l'ail et d'une salade de votre choix.</t>
  </si>
  <si>
    <t>http://www.archanaskitchen.com/avocado-mint-soup-recipe-in-hindi</t>
  </si>
  <si>
    <t>Chocolate Toast Recipe Topped With Pumpkin &amp; Sunflower Seeds</t>
  </si>
  <si>
    <t>Schokoladentoast-Rezept mit Kürbis- und Sonnenblumenkernen</t>
  </si>
  <si>
    <t>Recette de pain grillé au chocolat avec graines de citrouille et de tournesol</t>
  </si>
  <si>
    <t>Receta de tostadas de chocolate con semillas de calabaza y girasol</t>
  </si>
  <si>
    <t>5 pains bruns de blé entier, 2 cuillères à soupe de beurre ramolli pour l'appliquer sur le pain, 5 cuillères à café de graines de citrouille, 1 cuillère à soupe de graines de tournesol, 1 cuillère à soupe de graines de sésame (graines de Til), 1 cuillère à soupe de graines de lin, 1/2 tasse de chocolat noir haché, 2 cuillères à soupe de crème fraîche, 1/2 cuillère à café d'extrait de vanille</t>
  </si>
  <si>
    <t>5 Whole Wheat Brown Bread,2 tablespoons Butter - softened to apply on bread,5 teaspoon Pumpkin seeds,1 tablespoon Sunflower seeds,1 tablespoon Sesame seeds (Til seeds),1 tablespoon Flax seeds,1/2 cup Dark chocolate - chopped,2 tablespoons Fresh cream,1/2 teaspoon Vanilla Extract</t>
  </si>
  <si>
    <t>5 panes integrales, 2 cucharadas de mantequilla (ablandada para aplicar sobre el pan), 5 cucharaditas de semillas de calabaza, 1 cucharada de semillas de girasol, 1 cucharada de semillas de sésamo (semillas de Til), 1 cucharada de semillas de lino, 1/2 taza de chocolate negro picado, 2 cucharadas de crema fresca, 1/2 cucharadita de extracto de vainilla</t>
  </si>
  <si>
    <t xml:space="preserve">To begin making the Chocolate Toast With Toasted Seeds Recipe, firstly trim off the edges of bread and then cut the slices diagonally into triangles and keep it aside. Place a saucepan on low heat and add in the fresh cream, dark chocolate chunks. Keep stirring until the dark chocolate chunks melt and you get a creamy consistency.Once all the dark chocolate melts, stir in the vanilla extract and turn off the heat. Toast the bread slices using a bread toaster until it turns crisp and golden. Apply some butter over these toasts and keep aside.Heat a skillet over medium heat and roast the Pumpkin Seeds, Sunflower Seeds, Sesame Seeds and Flax Seeds for about two minutes and keep aside.Place the toasted bread slices over a platter; spread the melted dark chocolate on to the toasted bread slices and sprinkle the toasted nuts on top. The Chocolate Toast With Toasted Seeds are now ready to be served! Serve Chocolate Toast With Toasted Seeds along with a hot cup of Coffee for breakfast or an evening snack. You can also give this to your kids for their evening snacks.
</t>
  </si>
  <si>
    <t>Para comenzar a hacer la receta de tostadas de chocolate con semillas tostadas, primero recorte los bordes del pan y luego corte las rebanadas diagonalmente en triángulos y déjelos a un lado. Coloque una cacerola a fuego lento y agregue la crema fresca, los trozos de chocolate negro. Siga revolviendo hasta que los trozos de chocolate negro se derritan y obtenga una consistencia cremosa. Una vez que todo el chocolate negro se haya derretido, agregue el extracto de vainilla y apague el fuego. Tueste las rebanadas de pan con una tostadora de pan hasta que se vuelvan crujientes y doradas. Aplique un poco de mantequilla sobre estas tostadas y reserve. Caliente una sartén a fuego medio y tueste las semillas de calabaza, las semillas de girasol, las semillas de sésamo y las semillas de lino durante unos dos minutos y reserve. Coloque las rebanadas de pan tostado sobre una fuente; extienda el chocolate negro derretido sobre las rebanadas de pan tostado y espolvoree las nueces tostadas por encima. ¡Las tostadas de chocolate con semillas tostadas ya están listas para servir! Sirve tostadas de chocolate con semillas tostadas junto con una taza de café caliente para el desayuno o la merienda. También puedes dárselas a tus hijos para la merienda.</t>
  </si>
  <si>
    <t>Pour commencer à préparer la recette de pain grillé au chocolat et aux graines grillées, commencez par couper les bords du pain, puis coupez les tranches en diagonale en triangles et réservez. Placez une casserole sur feu doux et ajoutez la crème fraîche et les morceaux de chocolat noir. Continuez à remuer jusqu'à ce que les morceaux de chocolat noir fondent et que vous obteniez une consistance crémeuse. Une fois que tout le chocolat noir est fondu, ajoutez l'extrait de vanille et éteignez le feu. Faites griller les tranches de pain à l'aide d'un grille-pain jusqu'à ce qu'elles deviennent croustillantes et dorées. Appliquez un peu de beurre sur ces toasts et réservez. Faites chauffer une poêle à feu moyen et faites griller les graines de citrouille, les graines de tournesol, les graines de sésame et les graines de lin pendant environ deux minutes et réservez. Placez les tranches de pain grillées sur un plat ; étalez le chocolat noir fondu sur les tranches de pain grillées et saupoudrez de noix grillées sur le dessus. Les toasts au chocolat et aux graines grillées sont maintenant prêts à être servis ! Servez des toasts au chocolat et aux graines grillées avec une tasse de café chaud au petit-déjeuner ou au goûter. Vous pouvez également les offrir à vos enfants pour leur goûter.</t>
  </si>
  <si>
    <t>http://www.archanaskitchen.com/chocolate-toast-with-toasted-seeds-recipe</t>
  </si>
  <si>
    <t>Spinach and Dill Tart With Roasted Peppers Recipe</t>
  </si>
  <si>
    <t>Rezept für Spinat-Dill-Tarte mit gerösteten Paprikaschoten</t>
  </si>
  <si>
    <t>Recette de tarte aux épinards et à l'aneth avec poivrons rôtis</t>
  </si>
  <si>
    <t>Receta de pastel de espinacas y eneldo con pimientos asados</t>
  </si>
  <si>
    <t>2 poivrons rouges (Capsicum) - finement hachés, 4 gousses d'ail - finement hachées, 300 grammes d'épinards - finement hachés, 100 grammes de feuilles d'aneth - finement hachées, 1 tasse de tartinade au fromage Britannia - ail rôti, 1-1/2 tasse de farine tout usage (Maida) - (donne 40 mini tartelettes), 1/2 cuillère à café de sel, 1 cuillère à soupe de sucre, 1/2 tasse de beurre froid - coupé en petits morceaux de la taille d'un pois, 3 à 4 cuillères à soupe d'eau glacée</t>
  </si>
  <si>
    <t>2 Red Bell pepper (Capsicum) - finely chopped,4 cloves Garlic - finely chopped,300 grams Spinach - finely chopped,100 grams Dill leaves - finely chopped,1 cup Britannia Cheese Spread - Roasted Garlic,1-1/2 cups All Purpose Flour (Maida) -  ( makes 40 mini tarts),1/2 teaspoon Salt,1 tablespoon Sugar,1/2 cup Chilled butter - cut into small pea size pieces,3 to 4 tablespoons Chilled water</t>
  </si>
  <si>
    <t>2 pimientos morrones rojos (Capsicum) - finamente picados, 4 dientes de ajo - finamente picados, 300 gramos de espinacas - finamente picadas, 100 gramos de hojas de eneldo - finamente picadas, 1 taza de queso untable Britannia - ajo asado, 1-1/2 tazas de harina para todo uso (Maida) - (rinde 40 mini tartas), 1/2 cucharadita de sal, 1 cucharada de azúcar, 1/2 taza de mantequilla fría - cortada en trozos pequeños del tamaño de un guisante, 3 a 4 cucharadas de agua fría</t>
  </si>
  <si>
    <t xml:space="preserve">To begin making the Spinach and Dill Tart With Roasted Peppers Recipe, preheat the oven to 170 degree celsius. Pre make the pastry crust according to instructions.Roll the pastry dough into small circles and place it in the mini tart shell cups. Bake mini tart shells in the pre heated oven for 12 to 15 minutes until crisp and golden. Keep it aside to cool as you move on to make the filling.Heat a sauce pan with oil, add garlic and saute until they soften. Add bell peppers and saute until they become soft.Add chopped spinach and dill leaves and give it a saute. Evaporate all the water from the spinach leaves. Turn off the heat and allow it to cool down.Mix the sauteed vegetables along with garlic cheese spread and the filling for the tart is ready.Fill a heap tablespoon of the filling into the mini tart shells and serve.Serve the Spinach and Dill Tart along with Ahina Long Leaf Green Tea for an afternoon snack or a tea party with friends and family.
</t>
  </si>
  <si>
    <t>Para comenzar a hacer la receta de tarta de espinacas y eneldo con pimientos asados, precaliente el horno a 170 grados centígrados. Prepare previamente la corteza de hojaldre según las instrucciones. Enrolle la masa de hojaldre en pequeños círculos y colóquela en los capacillos para mini tartaletas. Hornee las mini tartaletas en el horno precalentado durante 12 a 15 minutos hasta que estén crujientes y doradas. Déjelas a un lado para que se enfríen mientras continúa haciendo el relleno. Caliente una cacerola con aceite, agregue el ajo y saltee hasta que se ablande. Agregue los pimientos morrones y saltee hasta que se ablanden. Agregue las espinacas picadas y las hojas de eneldo y saltee. Evapore toda el agua de las hojas de espinaca. Apaga el fuego y deja que se enfríe. Mezcla las verduras salteadas con el queso untable con ajo y el relleno de la tarta estará listo. Rellena las mini tartaletas con una cucharada colmada del relleno y sirve. Sirve la tarta de espinacas y eneldo junto con el té verde de hojas largas Ahina para una merienda o una fiesta de té con amigos y familiares.</t>
  </si>
  <si>
    <t>Pour commencer à préparer la recette de tarte aux épinards et à l'aneth avec des poivrons rôtis, préchauffez le four à 170 degrés Celsius. Préparer la croûte de pâte selon les instructions. Rouler la pâte en petits cercles et la placer dans les mini-coques à tarte. Cuire les mini-coques à tarte dans le four préchauffé pendant 12 à 15 minutes jusqu'à ce qu'elles soient croustillantes et dorées. Laisser refroidir pendant que vous préparez la garniture. Faire chauffer une casserole avec de l'huile, ajouter l'ail et faire revenir jusqu'à ce qu'ils ramollissent. Ajouter les poivrons et faire revenir jusqu'à ce qu'ils deviennent tendres. Ajouter les épinards hachés et les feuilles d'aneth et faire revenir. Évaporer toute l'eau des feuilles d'épinards. Éteignez le feu et laissez refroidir. Mélangez les légumes sautés avec la tartinade au fromage à l'ail et la garniture de la tarte est prête. Remplissez une cuillère à soupe bombée de garniture dans les mini-coques à tarte et servez. Servez la tarte aux épinards et à l'aneth avec du thé vert Ahina Long Leaf pour une collation l'après-midi ou un goûter entre amis et en famille.</t>
  </si>
  <si>
    <t>http://www.archanaskitchen.com/spinach-and-dill-tart-with-roasted-peppers-recipe</t>
  </si>
  <si>
    <t>Spinach Egg Muffins Recipe</t>
  </si>
  <si>
    <t>Rezept für Spinat-Ei-Muffins</t>
  </si>
  <si>
    <t>Recette de muffins aux épinards et aux œufs</t>
  </si>
  <si>
    <t>Receta de muffins de espinacas y huevo</t>
  </si>
  <si>
    <t>4 œufs entiers, 1 oignon, 1 tasse de feuilles d'épinards (Palak), sel - au goût, 1 cuillère à café de poudre de poivre noir, 1/2 tomate, 2 cuillères à café d'ail - haché, huile de tournesol - selon les besoins</t>
  </si>
  <si>
    <t>4 Whole Eggs,1 Onion,1 cup Spinach Leaves (Palak),Salt - to taste,1 teaspoon Black pepper powder,1/2 Tomato,2 teaspoons Garlic - chopped,Sunflower Oil - as required</t>
  </si>
  <si>
    <t>4 huevos enteros, 1 cebolla, 1 taza de hojas de espinaca (Palak), sal - al gusto, 1 cucharadita de pimienta negra en polvo, 1/2 tomate, 2 cucharaditas de ajo picado, aceite de girasol - según se requiera</t>
  </si>
  <si>
    <t xml:space="preserve">To bgein making the Spinach Egg Muffins recipe, preheat oven to 180°C. Grease the muffin tray with oil.Heat a heavy bottomed pan adding oil, add chopped onion and saute until translucent. Add chopped tomato and cook until mushy.Once the tomatoes are mushy, add washed spinach leaves and saute for a minute until it shrinks. Switch off the flame.Take a mixing bowl, break eggs and add to the bowl. Now add salt, pepper powder, garlic and saute spinach mixture to the eggs in bowl. Whisk well until combined.Ladle the egg mixture into greased muffin tray and bake for 15-20 minutes until the top becomes little firm.Allow it to cool completely. Remove from the tray using spoon. Serve Spinach Egg Muffins for breakfast with Orange Juice or for tea time snacks with a cup of Adrak Chai.
</t>
  </si>
  <si>
    <t>Para preparar la receta de Muffins de Huevo y Espinacas, precalienta el horno a 180 °C. Engrasa la bandeja para muffins con aceite. Calienta una sartén de fondo grueso con aceite, añade cebolla picada y saltea hasta que esté transparente. Agrega el tomate picado y cocina hasta que esté blando. Una vez que los tomates estén blandos, agrega las hojas de espinaca lavadas y saltea durante un minuto hasta que se encojan. Apaga el fuego. Toma un tazón, rompe los huevos y agrégalos al tazón. Ahora agrega sal, pimienta en polvo, ajo y la mezcla de espinacas salteadas a los huevos en el tazón. Bate bien hasta que se combinen. Vierte la mezcla de huevo en una bandeja para muffins engrasada y hornea durante 15-20 minutos hasta que la superficie esté un poco firme. Deja que se enfríe por completo. Retírala de la bandeja con una cuchara. Sirve los Muffins de Huevo y Espinacas para el desayuno con jugo de naranja o para la merienda con una taza de Adrak Chai.</t>
  </si>
  <si>
    <t>Pour commencer la recette des muffins aux œufs et aux épinards, préchauffez le four à 180 °C. Graissez le moule à muffins avec de l'huile. Faites chauffer une poêle à fond épais en ajoutant de l'huile, ajoutez l'oignon haché et faites-le revenir jusqu'à ce qu'il soit translucide. Ajoutez les tomates hachées et faites cuire jusqu'à ce qu'elles soient en purée. Une fois les tomates en purée, ajoutez les feuilles d'épinards lavées et faites-les revenir une minute jusqu'à ce qu'elles rétrécissent. Éteignez le feu. Prenez un saladier, cassez les œufs et ajoutez-les au saladier. Ajoutez ensuite le sel, le poivre en poudre, l'ail et faites revenir le mélange d'épinards aux œufs dans le bol. Fouettez bien jusqu'à ce que le tout soit bien mélangé. Versez le mélange d'œufs dans un moule à muffins graissé et faites cuire pendant 15 à 20 minutes jusqu'à ce que le dessus devienne un peu ferme. Laissez refroidir complètement. Retirez du moule à l'aide d'une cuillère. Servez les muffins aux œufs et aux épinards au petit-déjeuner avec du jus d'orange ou pour le goûter avec une tasse d'Adrak Chai.</t>
  </si>
  <si>
    <t>http://www.archanaskitchen.com/spinach-egg-muffins-recipe</t>
  </si>
  <si>
    <t>Crispy Potato Roses Recipe</t>
  </si>
  <si>
    <t>Rezept für knusprige Kartoffelrosen</t>
  </si>
  <si>
    <t>Recette de roses de pommes de terre croustillantes</t>
  </si>
  <si>
    <t>Receta de rosas de patata crujientes</t>
  </si>
  <si>
    <t>6 pommes de terre (Aloo), 1/2 tasse de beurre fondu, 1-1/2 cuillère à café d'assaisonnement italien, 1-1/2 cuillère à café de poudre d'ail, 1/2 cuillère à café de sel casher, 1/2 cuillère à café de poudre de poivre noir, 2 cuillères à soupe de parmesan râpé (facultatif)</t>
  </si>
  <si>
    <t>6 Potatoes (Aloo),1/2 cup Butter - melted,1-1/2 teaspoon Italian seasoning,1-1/2 teaspoon Garlic powder,1/2 teaspoon Kosher salt,1/2 teaspoon Black pepper powder,2 tablespoons Parmesan cheese - grated (optional)</t>
  </si>
  <si>
    <t>6 papas (Aloo), 1/2 taza de mantequilla derretida, 1-1/2 cucharadita de condimento italiano, 1-1/2 cucharadita de ajo en polvo, 1/2 cucharadita de sal kosher, 1/2 cucharadita de pimienta negra en polvo, 2 cucharadas de queso parmesano rallado (opcional)</t>
  </si>
  <si>
    <t xml:space="preserve">To begin making the Crispy Potato Roses recipe, grease a muffin pan with some melted butter and set aside.Preheat oven to 200 degrees Celsius/400 degrees Fahrenheit. Wash and peel potatoes.Slice them using a mandolin slicer or vegetable peeler. Keep it aside.In a small bowl, combine the melted butter, Italian seasoning, garlic powder, salt and pepper. Mix well and keep aside.Arrange 10 to 12 potato slices partially-overlapped, lengthwise, in a row.Brush the row of potato slices with the seasoned butter.Starting with the first slice, roll carefully holding on to all the slices to get a beautiful rosebud.Place the rose in the cup of a muffin pan. (Make a rose that fits in your muffin pan).Make all the 5 roses and brush the tops with the remaining seasoned butter.Sprinkle some grated Parmesan on top of each rose.Bake for 30 to 35 minutes, until the edges turn brown and crisp, and the potatoes are cooked-through.Remove from oven and serve immediately with any dipping sauce of your choice. Serve Crispy Potato Roses along with Asparagus Guacamole Recipe as an appetiser for your family dinner or when you have guest at your home for dinner.
</t>
  </si>
  <si>
    <t>Para empezar a preparar la receta de Rosas de Papa Crujientes, engrase un molde para muffins con un poco de mantequilla derretida y reserve. Precaliente el horno a 200 °C/400 °F. Lave y pele las papas. Córtelas con una mandolina o un pelador de verduras. Reserve. En un tazón pequeño, combine la mantequilla derretida, el condimento italiano, el ajo en polvo, la sal y la pimienta. Mezcle bien y reserve. Coloque de 10 a 12 rodajas de papa, parcialmente superpuestas a lo largo, en una fila. Unte la fila de rodajas de papa con la mantequilla sazonada. Comenzando con la primera rodaja, enrolle con cuidado, sujetando todas las rodajas para obtener un hermoso capullo de rosa. Coloque la rosa en el hueco de un molde para muffins. (Haz una rosa que quepa en tu molde para muffins). Haz las 5 rosas y pincela las superficies con la mantequilla sazonada restante. Espolvorea un poco de parmesano rallado sobre cada rosa. Hornea durante 30 a 35 minutos, hasta que los bordes se doren y estén crujientes, y las papas estén bien cocidas. Retira del horno y sirve inmediatamente con la salsa para mojar de tu elección. Sirve las rosas de papa crujientes junto con la receta de guacamole con espárragos como aperitivo para la cena familiar o cuando tengas invitados a cenar en casa.</t>
  </si>
  <si>
    <t>Pour commencer la recette des roses de pommes de terre croustillantes, graissez un moule à muffins avec du beurre fondu et réservez. Préchauffez le four à 200 °C. Lavez et épluchez les pommes de terre. Coupez-les en tranches à l'aide d'une mandoline ou d'un économe. Réservez. Dans un petit bol, mélangez le beurre fondu, l'assaisonnement italien, la poudre d'ail, le sel et le poivre. Mélangez bien et réservez. Disposez 10 à 12 tranches de pommes de terre en les chevauchant partiellement, dans le sens de la longueur, en rangée. Badigeonnez la rangée de tranches de pommes de terre de beurre assaisonné. En commençant par la première tranche, roulez délicatement en tenant toutes les tranches pour obtenir un joli bouton de rose. Placez la rose dans le creux d'un moule à muffins. (Faites une rose qui rentre dans votre moule à muffins).Faites les 5 roses et badigeonnez le dessus avec le reste du beurre assaisonné.Saupoudrez de parmesan râpé sur chaque rose.Faites cuire au four pendant 30 à 35 minutes, jusqu'à ce que les bords deviennent bruns et croustillants et que les pommes de terre soient bien cuites.Retirez du four et servez immédiatement avec la sauce de votre choix. Servez les roses de pommes de terre croustillantes avec la recette de guacamole aux asperges en apéritif pour votre dîner de famille ou lorsque vous recevez des invités à la maison pour le dîner.</t>
  </si>
  <si>
    <t>https://www.archanaskitchen.com/crispy-potato-roses-recipe</t>
  </si>
  <si>
    <t>Chilli Chocolate Cookies Recipe</t>
  </si>
  <si>
    <t>Rezept für Chili-Schokoladenkekse</t>
  </si>
  <si>
    <t>Recette de biscuits au chocolat et au chili</t>
  </si>
  <si>
    <t>Receta de galletas de chocolate y chile</t>
  </si>
  <si>
    <t>1-1/2 tasse de farine tout usage (Maida), 1/2 tasse de poudre de cacao, 200 grammes de barre de chocolat - non sucrée, 1/2 tasse de beurre, 2 œufs entiers, 1 cuillère à café de poudre de piment rouge, 1/2 cuillère à café de bicarbonate de soude, 3/4 tasse de cassonade (sucre Demerara), 1/2 tasse de sucre, 2 cuillères à café d'extrait de vanille, 1/2 cuillère à café de sel, 1/2 tasse de pépites de chocolat, 1/2 tasse de barre de chocolat - coupée en morceaux</t>
  </si>
  <si>
    <t>1-1/2 cups All Purpose Flour (Maida),1/2 cup Cocoa Powder,200 grams Chocolate Bar - unsweetened,1/2 cup Butter,2 Whole Eggs,1 teaspoon Red Chilli powder,1/2 teaspoon Baking soda,3/4 cup Brown Sugar (Demerara Sugar),1/2 cup Sugar,2 teaspoon Vanilla Extract,1/2 teaspoon Salt,1/2 cup Chocolate chips,1/2 cup Chocolate Bar - chopped to chunks</t>
  </si>
  <si>
    <t>1-1/2 tazas de harina para todo uso (Maida), 1/2 taza de cacao en polvo, 200 gramos de barra de chocolate - sin azúcar, 1/2 taza de mantequilla, 2 huevos enteros, 1 cucharadita de chile rojo en polvo, 1/2 cucharadita de bicarbonato de sodio, 3/4 taza de azúcar morena (azúcar Demerara), 1/2 taza de azúcar, 2 cucharaditas de extracto de vainilla, 1/2 cucharadita de sal, 1/2 taza de chispas de chocolate, 1/2 taza de barra de chocolate - picada en trozos</t>
  </si>
  <si>
    <t xml:space="preserve">To prepare Chilli Chocolate Cookies Recipe, using a double boiler melt chocolate pieces. Add butter to it and whisk together. Once chocolate melts completely remove from heat and keep it to cool.In a bowl whisk eggs, vanilla, brown sugar and white sugar until fluffy. Add the cooled chocolate butter mix and whisk again.In another bowl sift together all purpose flour, cocoa powder, salt and baking powder. Mix chili powder into flour mix.Add the dry flour mix into the liquid ingredients and mix well. Add choco chips and chunks into the cookie batter and mix again.Spoon one spoon of batter into a baking tray lined with parchment paper. Place the cookie batter about 1 inch apart. Place the baking tray in fridge for about 10-15 mintues.Meanwhile pre heat oven to 180 degree centigrade. Place the baking tray in oven and bake for 10-12 minutes. Remove the cookies from oven, let it cool in the baking sheet for about 10 minutes.Then remove then from baking tray and place them on wired rack. Let cool completely. Store Chilli Chocolate Cookies Recipe in an airtight container. Serve cookies with milk.
</t>
  </si>
  <si>
    <t>Para preparar la receta de galletas de chocolate con chile, derrita los trozos de chocolate a baño María. Añada la mantequilla y bata. Una vez que el chocolate se haya derretido por completo, retire del fuego y deje enfriar. En un bol, bata los huevos, la vainilla, el azúcar moreno y el azúcar blanco hasta que quede esponjoso. Añada la mezcla de chocolate y mantequilla fría y vuelva a batir. En otro bol, tamice la harina común, el cacao en polvo, la sal y la levadura en polvo. Mezcle el chile en polvo con la mezcla de harina. Añada la mezcla de harina seca a los ingredientes líquidos y mezcle bien. Añada las chispas y los trozos de chocolate a la masa de galletas y vuelva a mezclar. Vierta una cucharada de masa en una bandeja para hornear forrada con papel vegetal. Coloque la masa de galletas separada por aproximadamente 2,5 cm. Coloque la bandeja en el refrigerador durante unos 10-15 minutos. Mientras tanto, precaliente el horno a 180 grados centígrados. Coloque la bandeja en el horno y hornee durante 10-12 minutos. Retire las galletas del horno, déjelas enfriar en la bandeja durante unos 10 minutos. Luego, sáquelas de la bandeja y colóquelas sobre una rejilla. Deje enfriar completamente. Guarde la receta de galletas de chocolate y chile en un recipiente hermético. Sirva las galletas con leche.</t>
  </si>
  <si>
    <t>Pour préparer la recette des cookies au chocolat et au piment, faites fondre les morceaux de chocolat au bain-marie. Ajoutez le beurre et fouettez. Une fois le chocolat fondu, retirez du feu et laissez refroidir. Dans un bol, fouettez les œufs, la vanille, la cassonade et le sucre blanc jusqu'à obtenir une consistance mousseuse. Ajoutez le mélange chocolat-beurre refroidi et fouettez à nouveau. Dans un autre bol, tamisez la farine blanche, le cacao en poudre, le sel et la levure chimique. Incorporez la poudre de chili au mélange de farine. Ajoutez le mélange de farine sèche aux ingrédients liquides et mélangez bien. Ajoutez les pépites et les morceaux de chocolat à la pâte à biscuits et mélangez à nouveau. Déposez une cuillère de pâte sur une plaque de cuisson recouverte de papier sulfurisé. Disposez les biscuits à environ 2,5 cm d'intervalle. Placez la plaque au réfrigérateur pendant 10 à 15 minutes. Pendant ce temps, préchauffez le four à 180 °C. Enfournez et faites cuire pendant 10 à 12 minutes. Retirez les biscuits du four et laissez-les refroidir sur la plaque pendant environ 10 minutes. Retirez-les ensuite de la plaque et placez-les sur une grille. Laissez refroidir complètement. Conservez la recette des biscuits au chocolat et au piment dans un récipient hermétique. Servez les biscuits avec du lait.</t>
  </si>
  <si>
    <t>http://www.archanaskitchen.com/chilli-chocolate-cookies-recipe</t>
  </si>
  <si>
    <t>Eggless Custard Cookie Recipe</t>
  </si>
  <si>
    <t>Rezept für Vanillepuddingkekse ohne Ei</t>
  </si>
  <si>
    <t>Recette de biscuits au pudding à la vanille sans œufs</t>
  </si>
  <si>
    <t>Receta de galletas de pudín de vainilla sin huevo</t>
  </si>
  <si>
    <t>1-3/4 tasse de farine tout usage (Maida), 1/2 tasse de crème anglaise à la vanille - poudre, 1/2 cuillère à café de levure chimique, 1/2 tasse de sucre glace, 1 tasse de beurre, 3/4 cuillère à café d'extrait de vanille</t>
  </si>
  <si>
    <t>1-3/4 cup All Purpose Flour (Maida),1/2 cup Vanilla custard - powder,1/2 teaspoon Baking powder,1/2 cup Icing Sugar,1 cup Butter,3/4 teaspoon Vanilla Extract</t>
  </si>
  <si>
    <t>1-3/4 taza de harina para todo uso (Maida), 1/2 taza de natillas de vainilla en polvo, 1/2 cucharadita de polvo para hornear, 1/2 taza de azúcar glas, 1 taza de mantequilla, 3/4 cucharadita de extracto de vainilla</t>
  </si>
  <si>
    <t xml:space="preserve">To begin making the Eggless Custard Cookie/Biscuit, first get all the ingredient ready and keep them aside.Preheat the oven to 180 C and line the baking sheet with parchment paper. Keep it aside. In a large mixing bowl, sift the flour, custard powder and baking powder.In another mixing bowl, using a stand mixer or a hand beater, beat together the butter, sugar and vanilla until light and fluffy. Add the flour and custard powder mixture and beat until all the ingredients are well combined and forms a cookie dough consistency.Divide the custard cookie dough into small balls, lightly flatten them and arrange them on the baking tray 1 inch apart. Using a fork make an impression on the cookie to give it a design.Place the shaped custard cookies in a preheated oven and bake for 10 to 12 minutes or until light golden in color.Once done, remove from the oven and allow it to rest for a couple of minutes. Transfer the cookie to a wire rack and allow the custard cookies to cool completely. The cooling process helps the cookies become firm and crisp. Once cool, store the cookies in airtight containers. Serve these Eggless Custard Cookies as a tea time snack along with Cold Coffee Smoothie.
</t>
  </si>
  <si>
    <t>Para comenzar a hacer la galleta/galleta de crema pastelera sin huevo, primero prepare todos los ingredientes y déjelos a un lado. Precaliente el horno a 180 C y cubra la bandeja para hornear con papel pergamino. Déjelo a un lado. En un tazón grande, tamice la harina, el polvo de crema pastelera y el polvo de hornear. En otro tazón, usando una batidora de pie o un batidor de mano, bata la mantequilla, el azúcar y la vainilla hasta que esté suave y esponjoso. Agregue la mezcla de harina y polvo de crema pastelera y bata hasta que todos los ingredientes estén bien combinados y formen una consistencia de masa de galleta. Divida la masa de galleta de crema pastelera en pequeñas bolas, aplánelas ligeramente y colóquelas en la bandeja para hornear a 1 pulgada de distancia. Con un tenedor, haga una impresión en la galleta para darle un diseño. Coloque las galletas de crema pastelera moldeadas en un horno precalentado y hornee durante 10 a 12 minutos o hasta que estén ligeramente doradas. Una vez hecho esto, retírelo del horno y déjelo reposar durante un par de minutos. Transfiera la galleta a una rejilla de alambre y deje que las galletas de crema pastelera se enfríen por completo. El proceso de enfriamiento ayuda a que las galletas se vuelvan firmes y crujientes. Una vez frías, guarde las galletas en recipientes herméticos. Sirva estas galletas de crema pastelera sin huevo como refrigerio para la hora del té junto con un batido de café frío.</t>
  </si>
  <si>
    <t>Français Pour commencer à préparer le biscuit à la crème anglaise sans œufs, préparez d'abord tous les ingrédients et réservez-les. Préchauffez le four à 180 °C et recouvrez la plaque de cuisson de papier sulfurisé. Gardez-le de côté. Dans un grand bol, tamisez la farine, la poudre à crème anglaise et la levure chimique. Dans un autre bol, à l'aide d'un batteur sur socle ou d'un batteur à main, battez ensemble le beurre, le sucre et la vanille jusqu'à consistance légère et mousseuse. Ajoutez le mélange de farine et de poudre à crème anglaise et battez jusqu'à ce que tous les ingrédients soient bien mélangés et forment une consistance de pâte à biscuits. Divisez la pâte à biscuits à la crème anglaise en petites boules, aplatissez-les légèrement et disposez-les sur la plaque de cuisson à 2,5 cm d'intervalle. À l'aide d'une fourchette, faites une empreinte sur le biscuit pour lui donner un motif. Placez les biscuits à la crème anglaise façonnés dans un four préchauffé et faites cuire pendant 10 à 12 minutes ou jusqu'à ce qu'ils soient légèrement dorés. Une fois terminé, retirez du four et laissez reposer quelques minutes. Transférez le biscuit sur une grille et laissez les biscuits à la crème anglaise refroidir complètement. Le processus de refroidissement aide les biscuits à devenir fermes et croustillants. Une fois refroidis, conservez les biscuits dans des contenants hermétiques. Servez ces biscuits à la crème anglaise sans œufs comme collation à l'heure du thé avec un smoothie au café froid.</t>
  </si>
  <si>
    <t>http://www.archanaskitchen.com/egg-free-custard-cookie-biscuit-recipe</t>
  </si>
  <si>
    <t>Oat Banana Pancakes Recipe</t>
  </si>
  <si>
    <t>Rezept für Hafer-Bananen-Pfannkuchen</t>
  </si>
  <si>
    <t>Recette de crêpes à l'avoine et à la banane</t>
  </si>
  <si>
    <t>Receta de panqueques de avena y plátano</t>
  </si>
  <si>
    <t>1 tasse de flocons d'avoine instantanés (gruau), 1/4 cuillère à café de bicarbonate de soude, 1/2 banane mûre - tachetée, 1 cuillère à café de levure chimique, 1 cuillère à café d'extrait de vanille, sel - une pincée, 1/2 tasse de babeurre - légèrement épais, 2 cuillères à soupe de sucre, beurre - ou huile de coco pour cuire au besoin., Fraises - au besoin, sauce au chocolat - au besoin</t>
  </si>
  <si>
    <t>1 cup Instant Oats (Oatmeal),1/4 teaspoon Baking soda,1/2 Ripe Bananas - spotty,1 teaspoon Baking powder,1 teaspoon Vanilla Extract,Salt - a pinch,1/2 cup Buttermilk - slightly thick,2 tablespoon Sugar,Butter - or coconut oil to cook as needed.,Strawberries - as needed,Chocolate sauce - as needed</t>
  </si>
  <si>
    <t>1 taza de avena instantánea (avena), 1/4 cucharadita de bicarbonato de sodio, 1/2 plátano maduro - granulado, 1 cucharadita de polvo para hornear, 1 cucharadita de extracto de vainilla, sal - una pizca, 1/2 taza de suero de leche - ligeramente espeso, 2 cucharadas de azúcar, mantequilla - o aceite de coco para cocinar según sea necesario, fresas - según sea necesario, salsa de chocolate - según sea necesario</t>
  </si>
  <si>
    <t xml:space="preserve">To begin making the Oat Banana Pancakes recipe, add oats, baking powder, baking soda, salt, sugar in a mixer/blender and powder this is into a flour.Now add banana, buttermilk and vanilla extract to the mixer jar and blend this along with the oat flour into a smooth batter.Add a few tablespoons more buttermilk if the batter becomes too thick.Now spoon 2 tablespoons of batter on to a hot griddle, cook it on low heat flipping both sides using butter/coconut oil.Serve it with sliced strawberries and chocolate sauce. These pancakes brown very quickly, keep the flame low and let it cook through and flip.Serve Oat Banana Pancakes along with Instant Masala Beans Idli and Masala Chai for breakfast on a weekend.
</t>
  </si>
  <si>
    <t>Para empezar a preparar la receta de panqueques de avena y plátano, añade avena, levadura en polvo, bicarbonato de sodio, sal y azúcar en una batidora y muélelos hasta formar una harina. Ahora añade el plátano, el suero de leche y el extracto de vainilla al vaso de la batidora y mézclalos junto con la harina de avena hasta obtener una masa suave. Añade unas cucharadas más de suero de leche si la masa queda demasiado espesa. Ahora coloca 2 cucharadas de masa en una plancha caliente, cocínala a fuego lento volteando ambos lados con mantequilla o aceite de coco. Sírvela con fresas rebanadas y salsa de chocolate. Estos panqueques se doran muy rápido, mantén el fuego bajo, deja que se cocinen y dales la vuelta. Sirve los panqueques de avena y plátano junto con el idli instantáneo de frijoles masala y el chai masala para desayunar un fin de semana.</t>
  </si>
  <si>
    <t>Pour commencer à préparer la recette des crêpes à l'avoine et à la banane, ajoutez les flocons d'avoine, la levure chimique, le bicarbonate de soude, le sel et le sucre dans un mixeur et réduisez le tout en farine. Ajoutez ensuite la banane, le babeurre et l'extrait de vanille dans le bol du mixeur et mélangez le tout avec la farine d'avoine jusqu'à obtenir une pâte lisse. Ajoutez quelques cuillères à soupe de babeurre si la pâte devient trop épaisse. Déposez ensuite 2 cuillères à soupe de pâte sur une plaque chauffante chaude, faites cuire à feu doux en retournant les deux côtés avec du beurre et de l'huile de coco. Servez avec des fraises tranchées et de la sauce au chocolat. Ces crêpes dorent très rapidement, gardez le feu doux et laissez cuire jusqu'à ce qu'elles soient bien cuites, puis retournez-les. Servez les crêpes à l'avoine et à la banane avec des idlis instantanés aux haricots Masala et du chai Masala au petit-déjeuner le week-end.</t>
  </si>
  <si>
    <t>https://www.archanaskitchen.com/oat-banana-pancakes-recipe</t>
  </si>
  <si>
    <t>Eggless Spicy Spinach Bread Recipe</t>
  </si>
  <si>
    <t>Rezept für würziges Spinatbrot ohne Eier</t>
  </si>
  <si>
    <t>Recette de pain aux épinards épicé sans œufs</t>
  </si>
  <si>
    <t>Receta de pan de espinacas picante sin huevo</t>
  </si>
  <si>
    <t>3 tasses de farine tout usage (Maida), 3 tasses d'oignon haché, 1 cuillère à soupe de levure chimique, sel au besoin, épinards - un bouquet, 3 piments verts, 4 gousses d'ail finement hachées, 1 cuillère à café de graines de sésame (graines de Til), 1/2 tasse d'huile de tournesol, 2 cuillères à soupe d'huile de tournesol, 1/2 tasse de caillé (Dahi / Yaourt), 1 tasse de lait</t>
  </si>
  <si>
    <t>3 cups All Purpose Flour (Maida),3 cups Onion - chopped,1 tablespoon Baking powder,Salt - as required,Spinach - A bunch,3 Green Chillies,4 cloves Garlic - finely chopped,1 teaspoon Sesame seeds (Til seeds),1/2 cup Sunflower Oil,2 tablespoons Sunflower Oil,1/2 cup Curd (Dahi / Yogurt),1 cup Milk</t>
  </si>
  <si>
    <t>3 tazas de harina para todo uso (Maida), 3 tazas de cebolla picada, 1 cucharada de polvo para hornear, sal (según se requiera), espinacas (un manojo), 3 chiles verdes, 4 dientes de ajo finamente picados, 1 cucharadita de semillas de sésamo (semillas Til), 1/2 taza de aceite de girasol, 2 cucharadas de aceite de girasol, 1/2 taza de cuajada (Dahi / yogur), 1 taza de leche</t>
  </si>
  <si>
    <t xml:space="preserve">To begin making the Eggless Spicy Spinach Bread recipe, heat 1 tablespoon oil in a wide pan. Add garlic, chillies and cook it for about a minute. Do not burn it.After a minute, add onion and cook until it changes to light brown colour. Add spinach and about 1/2 teaspoon salt. Cook it till the spinach is wilted. Switch off the flame and cool it down completely.Preheat the oven to 175 degree Celsius. Add 1/2 cup oil, milk and curd in a mixing bowl.In an another mixing bowl, add flour, baking powder and salt. Once done add the dry ingredients to the wet ingredients.Mix everything well and add the onion mixture and give it a stir till well incorporated.Place the mixture it in a greased loaf tin. Smooth the surface with a spoon and drizzle the remaining 1 tablespoon oil and sprinkle the sesame seeds over it.Bake the bread for about 50 minutes or until the skewer inserted comes out clean.Cool it on a wire rack before slicing and it is ready to be served.Serve Eggless Spicy Spinach Bread with Spinach Omelette and Cold Coffee Smoothie for a healthy and filling breakfast.
</t>
  </si>
  <si>
    <t>Para empezar a preparar el pan de espinacas picante sin huevo, calienta 1 cucharada de aceite en una sartén amplia. Agrega el ajo y los chiles y cocina durante aproximadamente un minuto. No lo quemes. Después de un minuto, agrega la cebolla y cocina hasta que adquiera un color marrón claro. Agrega las espinacas y aproximadamente 1/2 cucharadita de sal. Cocina hasta que las espinacas se ablanden. Apaga el fuego y deja enfriar por completo. Precalienta el horno a 175 °C. Agrega 1/2 taza de aceite, la leche y la cuajada en un tazón. En otro tazón, agrega la harina, el polvo para hornear y la sal. Una vez listo, agrega los ingredientes secos a los húmedos. Mezcla todo bien y agrega la mezcla de cebolla; revuelve hasta que esté bien incorporada. Coloca la mezcla en un molde para pan engrasado. Alise la superficie con una cuchara y rocíe la cucharada de aceite restante y espolvoree las semillas de sésamo por encima. Hornee el pan durante unos 50 minutos o hasta que al insertar un palillo, este salga limpio. Déjelo enfriar sobre una rejilla antes de cortarlo y estará listo para servir. Sirva pan de espinacas picante sin huevo con tortilla de espinacas y batido de café frío para un desayuno saludable y abundante.</t>
  </si>
  <si>
    <t>Pour préparer le pain épicé aux épinards sans œufs, faites chauffer 1 cuillère à soupe d'huile dans une grande poêle. Ajoutez l'ail et les piments et faites cuire environ une minute. Ne brûlez pas. Au bout d'une minute, ajoutez l'oignon et faites-le dorer légèrement. Ajoutez les épinards et environ 1/2 cuillère à café de sel. Laissez cuire jusqu'à ce que les épinards soient ramollis. Éteignez le feu et laissez refroidir complètement. Préchauffez le four à 175 °C. Dans un saladier, versez 1/2 tasse d'huile, le lait et le lait caillé. Dans un autre saladier, ajoutez la farine, la levure chimique et le sel. Ajoutez ensuite les ingrédients secs aux ingrédients humides. Mélangez bien le tout, puis ajoutez le mélange d'oignons et remuez jusqu'à ce que le tout soit bien incorporé. Versez le mélange dans un moule à cake graissé. Lissez la surface avec une cuillère et arrosez la cuillère à soupe d'huile restante et saupoudrez de graines de sésame. Faites cuire le pain pendant environ 50 minutes ou jusqu'à ce que la brochette insérée en ressorte propre. Laissez-le refroidir sur une grille avant de le trancher et il est prêt à être servi. Servez le pain aux épinards épicé sans œufs avec une omelette aux épinards et un smoothie au café froid pour un petit-déjeuner sain et copieux.</t>
  </si>
  <si>
    <t>http://www.archanaskitchen.com/eggless-spicy-spinach-bread-recipe</t>
  </si>
  <si>
    <t>Eggwhite Frittata With Roasted Vegetables Recipe</t>
  </si>
  <si>
    <t>Rezept für Eiweiß-Frittata mit geröstetem Gemüse</t>
  </si>
  <si>
    <t>Recette de frittata aux blancs d'œufs et légumes rôtis</t>
  </si>
  <si>
    <t>Receta de frittata de claras de huevo y verduras asadas</t>
  </si>
  <si>
    <t>1/2 betterave - pelée et tranchée, 1/2 poivron jaune (Capsicum) - finement tranché, 1/3 tasse de brocoli - coupé en fleurons, 1 cuillère à café d'huile d'olive extra vierge, 1/2 cuillère à café de sel de mer, 4 blancs d'œufs, 1 cuillère à soupe de fromage - facultatif, 1/2 cuillère à café d'origan séché, 1 cuillère à café d'huile d'olive extra vierge</t>
  </si>
  <si>
    <t>1/2 Beetroot - peeled and sliced,1/2 Yellow Bell Pepper (Capsicum) - thinly sliced,1/3 cup Broccoli - cut into florets,1 teaspoon Extra Virgin Olive Oil,1/2 teaspoon Sea salt,4 Egg whites,1 tablespoon Cheese - optional,1/2 teaspoon Dried oregano,1 teaspoon Extra Virgin Olive Oil</t>
  </si>
  <si>
    <t>1/2 Remolacha - pelada y cortada en rodajas, 1/2 Pimiento amarillo (Capsicum) - en rodajas finas, 1/3 taza de brócoli - cortado en floretes, 1 cucharadita de aceite de oliva virgen extra, 1/2 cucharadita de sal marina, 4 claras de huevo, 1 cucharada de queso - opcional, 1/2 cucharadita de orégano seco, 1 cucharadita de aceite de oliva virgen extra</t>
  </si>
  <si>
    <t xml:space="preserve">To begin with Eggwhite Frittata with Roasted Vegetables, coat all the vegetables with olive oil and salt and grill in a pre heated oven at 180 degree Celsius for about 15 minutes.In a large bowl, beat egg whites, mix oregano and salt together.Heat a cast iron pan and grease with olive oil, spread the roasted vegetables in the pan and pour the whisked eggs and spread the grated cheese on top.Cover with a lid and cook on low flame for 8-10 minutes till fully set.Serve Eggwhite Frittata with Roasted Vegetables with toast and a hot cup of masala tea for your breakfast.
</t>
  </si>
  <si>
    <t>Para preparar la Tortilla de Claras de Huevo con Verduras Asadas, cubra todas las verduras con aceite de oliva y sal y áselas en un horno precalentado a 180 grados Celsius durante unos 15 minutos. En un tazón grande, bata las claras de huevo, mezcle el orégano y la sal. Caliente una sartén de hierro fundido y engrásela con aceite de oliva, extienda las verduras asadas en la sartén y vierta los huevos batidos y esparza el queso rallado por encima. Tape y cocine a fuego lento durante 8-10 minutos hasta que esté completamente cuajado. Sirva la Tortilla de Claras de Huevo con Verduras Asadas con tostadas y una taza de té masala caliente para su desayuno.</t>
  </si>
  <si>
    <t>Pour commencer la frittata aux blancs d'œufs et légumes rôtis, enrobez tous les légumes d'huile d'olive et de sel et faites-les griller dans un four préchauffé à 180 degrés Celsius pendant environ 15 minutes. Dans un grand bol, battez les blancs d'œufs, mélangez l'origan et le sel. Faites chauffer une poêle en fonte et graissez-la avec de l'huile d'olive, étalez les légumes rôtis dans la poêle et versez les œufs battus et étalez le fromage râpé dessus. Couvrez avec un couvercle et laissez cuire à feu doux pendant 8 à 10 minutes jusqu'à ce que le tout soit bien pris. Servez la frittata aux blancs d'œufs et légumes rôtis avec du pain grillé et une tasse de thé masala chaud pour votre petit-déjeuner.</t>
  </si>
  <si>
    <t>https://www.archanaskitchen.com/eggwhite-frittata-with-roasted-vegetables-recipe</t>
  </si>
  <si>
    <t>White Chocolate Maltesers Fudge Recipe</t>
  </si>
  <si>
    <t>Rezept für Maltesers-Fudge mit weißer Schokolade</t>
  </si>
  <si>
    <t>Recette de fudge Maltesers au chocolat blanc</t>
  </si>
  <si>
    <t>Receta de dulce de chocolate blanco Maltesers</t>
  </si>
  <si>
    <t>250 grammes de chocolat blanc grossièrement haché, 200 grammes de lait concentré sucré, 200 grammes de Maltesers</t>
  </si>
  <si>
    <t>250 grams White Chocolate - roughly chopped,200 grams Condensed Milk - sweetened,200 grams Maltesers</t>
  </si>
  <si>
    <t>250 gramos de chocolate blanco picado grueso, 200 gramos de leche condensada azucarada, 200 gramos de Maltesers</t>
  </si>
  <si>
    <t xml:space="preserve">To begin making the White Chocolate Maltesers Fudge Recipe, line a small square baking tray with a baking paper and arrange the maltesers in a single layer over the bottom of the tray.Place the condensed milk and the white chocolate in a sauce pan over low heat and melt the white chocolate in the condensed milk. Keep stirring continuously until the white chocolate melts completely. Once the chocolate has melted, pour the white chocolate mixture over the maltesers. The maltesers should be covered completely in the white chocolate sauce. Place the White Chocolate Maltesers Fudge in the refrigerator for at least 3 hours or until set.Cut the White Chocolate Maltesers Fudge into squares and serve.
</t>
  </si>
  <si>
    <t>Para empezar a preparar la receta de Maltesers de chocolate blanco, forra una bandeja para hornear cuadrada pequeña con papel de horno y coloca los maltesers en una sola capa sobre el fondo de la bandeja. Coloca la leche condensada y el chocolate blanco en una cacerola a fuego lento y derrite el chocolate blanco en la leche condensada. Sigue revolviendo continuamente hasta que el chocolate blanco se derrita por completo. Una vez que el chocolate se haya derretido, vierte la mezcla de chocolate blanco sobre los maltesers. Los maltesers deben estar completamente cubiertos con la salsa de chocolate blanco. Coloca el Fudge de Maltesers de chocolate blanco en el refrigerador durante al menos 3 horas o hasta que cuaje. Corta el Fudge de Maltesers de chocolate blanco en cuadritos y sirve.</t>
  </si>
  <si>
    <t>Pour commencer à préparer la recette de fudge au chocolat blanc et aux Maltesers, recouvrez une petite plaque de cuisson carrée de papier sulfurisé et disposez les Maltesers en une seule couche au fond de la plaque. Mettez le lait concentré et le chocolat blanc dans une casserole à feu doux et faites fondre le chocolat blanc dans le lait concentré. Continuez à remuer jusqu'à ce que le chocolat blanc soit complètement fondu. Une fois le chocolat fondu, versez le mélange de chocolat blanc sur les Maltesers. Les Maltesers doivent être entièrement recouverts de sauce au chocolat blanc. Placez le fudge au chocolat blanc et aux Maltesers au réfrigérateur pendant au moins 3 heures ou jusqu'à ce qu'il soit pris. Coupez le fudge au chocolat blanc et aux Maltesers en carrés et servez.</t>
  </si>
  <si>
    <t>http://www.archanaskitchen.com/white-chocolate-maltesers-fudge-recipe</t>
  </si>
  <si>
    <t>Avocado Chocolate Pancakes Recipe</t>
  </si>
  <si>
    <t>Rezept für Avocado-Schokoladenpfannkuchen</t>
  </si>
  <si>
    <t>Recette de pancakes au chocolat et à l'avocat</t>
  </si>
  <si>
    <t>Receta de panqueques de chocolate y aguacate</t>
  </si>
  <si>
    <t>1 avocat, 1/2 farine de blé entier, 2 cuillères à soupe de cacao en poudre, 1/2 cuillère à café de levure chimique, 1 tasse de lait, 1 cuillère à café d'extrait de vanille, 3 cuillères à soupe de miel, sel - au goût, ghee - selon les besoins</t>
  </si>
  <si>
    <t>1 Avocado,1/2 Whole Wheat Flour,2 tablespoons Cocoa Powder,1/2 teaspoon Baking powder,1 cup Milk,1 teaspoon Vanilla Extract,3 tablespoons Honey,Salt - to taste,Ghee - as required</t>
  </si>
  <si>
    <t>1 aguacate, 1/2 harina integral, 2 cucharadas de cacao en polvo, 1/2 cucharadita de polvo para hornear, 1 taza de leche, 1 cucharadita de extracto de vainilla, 3 cucharadas de miel, sal - al gusto, ghee - según se requiera</t>
  </si>
  <si>
    <t xml:space="preserve">To begin making the Avocado Chocolate Pancakes recipe, combine wheat flour, baking powder, salt and cocoa powder in a large bowl. Mix well.Now add honey, vanilla essence and milk to the flour mixture. Whisk well. Add the mashed avocado and stir until combined into a thick batter.Heat a pan, drizzle oil and pour ladle full of batter into it. Do not spread and cook covered for few minutes.Gently flip to the other side and cook until it gets well cooked. Arrange the pancakes in a plate, dust powdered sugar or add honey or chocolate syrup.Serve Avocado Chocolate Pancakes along with a hot cup of Espresso Coffee and a Fruit Bowl for your weekend breakfast.
</t>
  </si>
  <si>
    <t>Para empezar a preparar la receta de panqueques de chocolate y aguacate, combine la harina de trigo, el polvo para hornear, la sal y el cacao en polvo en un tazón grande. Mezcle bien. Ahora agregue la miel, la esencia de vainilla y la leche a la mezcla de harina. Bata bien. Agregue el aguacate machacado y revuelva hasta que se combine en una masa espesa. Caliente una sartén, rocíe aceite y vierta un cucharón lleno de masa en ella. No extienda y cocine tapado durante unos minutos. Voltee suavemente hacia el otro lado y cocine hasta que esté bien cocido. Coloque los panqueques en un plato, espolvoree azúcar glas o agregue miel o jarabe de chocolate. Sirva los panqueques de chocolate y aguacate junto con una taza de café expreso caliente y un tazón de frutas para su desayuno de fin de semana.</t>
  </si>
  <si>
    <t>Pour commencer la recette des pancakes à l'avocat et au chocolat, mélangez la farine de blé, la levure chimique, le sel et le cacao en poudre dans un grand bol. Bien mélanger. Ajoutez ensuite le miel, l'essence de vanille et le lait au mélange de farine. Fouettez bien. Ajoutez l'avocat écrasé et remuez jusqu'à obtenir une pâte épaisse. Faites chauffer une poêle, arrosez d'huile et versez-y une louche de pâte. Ne l'étalez pas et laissez cuire à couvert pendant quelques minutes. Retournez délicatement de l'autre côté et laissez cuire jusqu'à ce que les pancakes soient bien cuits. Disposez les pancakes dans une assiette, saupoudrez de sucre glace ou ajoutez du miel ou du sirop de chocolat. Servez les pancakes à l'avocat et au chocolat avec une tasse de café expresso chaud et un bol de fruits pour votre petit-déjeuner du week-end.</t>
  </si>
  <si>
    <t>http://www.archanaskitchen.com/avocado-chocolate-pancakes-recipe</t>
  </si>
  <si>
    <t>Spring Onion &amp; Roasted Garlic Brown Rice Recipe</t>
  </si>
  <si>
    <t>Rezept für braunen Reis mit Frühlingszwiebeln und Knoblauch – Rezept für braunen Reis mit leckeren und gesunden Zutaten</t>
  </si>
  <si>
    <t>Recette de riz brun aux oignons nouveaux et à l'ail – recette de riz brun avec des ingrédients délicieux et sains</t>
  </si>
  <si>
    <t>Receta de Arroz Integral con Cebolletas y Ajo – Receta de arroz integral con ingredientes deliciosos y saludables</t>
  </si>
  <si>
    <t>1-1 / 2 tasse de riz brun - lavé et trempé, 1 cuillère à soupe d'huile d'olive, 6 gousses d'ail - finement hachées, 1/4 tasse d'oignon vert - haché, sel - selon le goût, 1/4 tasse d'oignon vert Feuilles de</t>
  </si>
  <si>
    <t>1-1 / 2 cup brown rice - washed and soaked, 1 tbsp olive oil, 6 cloves garlic - finely chopped, 1/4 cup green onion - chopped, salt - as per taste, 1/4 cup green onion Leaves of</t>
  </si>
  <si>
    <t>1-1 / 2 taza de arroz integral - lavado y remojado, 1 cucharada de aceite de oliva, 6 dientes de ajo - finamente picados, 1/4 taza de cebolla verde - picada, sal - al gusto, 1/4 taza de cebolla verde Hojas de</t>
  </si>
  <si>
    <t>To make Spring Onion Garlic Brown Rice Recipe, first wash the rice and soak it for 30 minutes. After 30 minutes, heat olive oil in a pressure cooker. Add garlic and cook till it becomes light brown. After garlic turns light brown, add spring onions and cook till they become soft. This will take 1 to 2 minutes. Now add salt, brown rice, 2-1/2 cups water and close the pressure cooker. Cook till 4 to 5 whistles and turn off the gas. Let the pressure release automatically. Open the cooker, mix the rice and garnish it with spring onion leaves. Serve Spring Onion Garlic Brown Rice Recipe with Chicken in Creamy Mushroom Sauce. You can also serve Greek Yogurt Chocolate Mousse with it.</t>
  </si>
  <si>
    <t>Para preparar la receta de arroz integral con ajo y cebolleta, primero lave el arroz y déjelo en remojo durante 30 minutos. Después, caliente aceite de oliva en una olla a presión. Añada el ajo y cocine hasta que esté ligeramente dorado. Una vez que el ajo esté dorado, añada las cebolletas y cocine hasta que estén tiernas. Esto tomará de 1 a 2 minutos. Ahora, añada sal, arroz integral, 2 1/2 tazas de agua y cierre la olla a presión. Cocine hasta que suene de 4 a 5 silbidos y apague el gas. Deje que la presión se libere automáticamente. Abra la olla, mezcle el arroz y decórelo con hojas de cebolleta. Sirva la receta de arroz integral con ajo y cebolleta con pollo en salsa cremosa de champiñones. También puede acompañarlo con mousse de chocolate con yogur griego.</t>
  </si>
  <si>
    <t>Pour préparer le riz brun à l'ail et aux oignons nouveaux, lavez d'abord le riz et laissez-le tremper 30 minutes. Au bout de 30 minutes, faites chauffer l'huile d'olive dans une cocotte-minute. Ajoutez l'ail et faites-le dorer légèrement. Une fois l'ail légèrement doré, ajoutez les oignons nouveaux et faites-les cuire jusqu'à ce qu'ils soient tendres. Cela prendra 1 à 2 minutes. Ajoutez ensuite le sel, le riz brun, 60 cl d'eau et fermez la cocotte-minute. Laissez cuire jusqu'à 4 ou 5 sifflements, puis coupez le gaz. Laissez la pression retomber automatiquement. Ouvrez la cocotte-minute, mélangez le riz et garnissez de feuilles d'oignon nouveau. Servez la recette de riz brun à l'ail et aux oignons nouveaux avec du poulet à la sauce crémeuse aux champignons. Vous pouvez également l'accompagner d'une mousse au chocolat et au yaourt grec.</t>
  </si>
  <si>
    <t>http://www.archanaskitchen.com/spring-onion-roasted-garlic-brown-rice-recipe-in-hindi</t>
  </si>
  <si>
    <t>Rich Chocolate Cheesecake Recipe</t>
  </si>
  <si>
    <t>Rezept für reichhaltigen Schokoladenkäsekuchen</t>
  </si>
  <si>
    <t>Recette de cheesecake au chocolat riche</t>
  </si>
  <si>
    <t>Receta de tarta de queso con chocolate intenso</t>
  </si>
  <si>
    <t>250 grammes de biscuits Bourbon - ou tout autre biscuit de votre choix, 100 grammes de beurre - fondu, 450 grammes de chocolat noir - grossièrement haché (j'utilise du chocolat noir Bournville), 50 grammes de beurre, 2 cuillères à soupe de cacao en poudre, 650 grammes de fromage à la crème Britannia - température ambiante (j'utilise du fromage à la crème Britannia), 350 grammes de mascarpone, 200 grammes de sucre en poudre, 4 œufs entiers, 2 cuillères à café d'extrait de vanille, compote de fraises - ou framboises fraîches pour servir</t>
  </si>
  <si>
    <t>250 grams Bourbon Biscuits - or any other biscuits of your choice,100 grams Butter - melted,450 grams Dark chocolate - roughly chopped (I use bournville dark chocolate),50 grams Butter,2 tablespoons Cocoa Powder,650 grams Britannia Cream Cheese - room temperature (I use britannia cream cheese),350 grams Mascarpone Cheese,200 grams Caster Sugar,4 Whole Eggs,2 teaspoons Vanilla Extract,Strawberry Compote - or fresh raspberries to serve</t>
  </si>
  <si>
    <t>250 gramos de galletas Bourbon o cualquier otra galleta de su elección, 100 gramos de mantequilla derretida, 450 gramos de chocolate negro picado grueso (yo uso chocolate negro Bournville), 50 gramos de mantequilla, 2 cucharadas de cacao en polvo, 650 gramos de queso crema Britannia a temperatura ambiente (yo uso queso crema Britannia), 350 gramos de queso mascarpone, 200 gramos de azúcar extrafino, 4 huevos enteros, 2 cucharaditas de extracto de vainilla, compota de fresa o frambuesas frescas para servir</t>
  </si>
  <si>
    <t xml:space="preserve">To begin making the Rich Chocolate Cheesecake recipe, first preheat the oven to 180 C. Keep all the ingredients ready, so you can proceed to make the cake as explained below.First we will make the biscuit base for the cheesecake.In the food processor, crush the biscuits until it forms crumbs. Add in the butter to the biscuits and blend to combined.Pour the biscuit butter mixture onto the springform pan and press it down evenly. Refrigerate the crust until we make the cheesecake batter.Next we will make the chocolate sauce for the cheesecake using the double boiler method.Place the chocolate in a saucepan and add in the 50 grams of butter. Place the saucepan over another bowl, that has water boiling underneath. This is called the double boiler method. Melt the chocolate over the simmering water until the chocolate is smooth and creamy. Remove from the heat and keep aside to cool.Once the chocolate cools, stir in the cocoa powder and keep aside.If you stir the cocoa when the sauce is hot, the mixture will thicken too quickly and it will become lumpy.Our next step is to make the cheesecake batter.For this place the cream cheese, caster sugar in a large bowl or the bowl of the stand mixer with the paddle attachment and beat until the cream cheese is fluffy. Gradually add in one egg at a time and beat until the mixture is smooth and creamy.Next beat in the chocolate cocoa sauce into the cheesecake batter. Finally add in the mascarpone cheese and vanilla extract and beat until just combined. Pour the chocolate cheesecake batter onto the biscuit base. Wrap the outside of the springform pan with a foil. We do this so that water does not get into the cheesecake while we are baking. Place a roasting tin of the oven, filled with quarter way through with hot water and place it in the middle rack of the oven. This will help the cake steam as well as bake and retain the moisture needed for the cheesecake.Place the springform cake pan on this roasting tin and bake the Chocolate Cheesecake in the preheated oven for about 45 minutes. The cake will jiggle a little bit when you remove from the oven. This is the consistency we want for the cake. Remove the cheesecake from the oven and allow it to cool completely. Refrigerate for at least 12 hours before you are ready to serve.To serve the Rich Chocolate Cheesecake , remove the side of the springform pan and cut into wedges of desired size. Top the cheesecake with tart fruits like raspberries or a strawberry compote. Serve this Rich Chocolate Cheesecake as a dessert after a meal of Lemon Coriander Soup Recipe and Schezwan Noodle Sandwich Recipe.
</t>
  </si>
  <si>
    <t>Para empezar a preparar la receta de tarta de queso con chocolate intenso, precalienta el horno a 180 °C. Ten todos los ingredientes listos para preparar la tarta como se explica a continuación. Primero, prepararemos la base de galleta para la tarta de queso. En el procesador de alimentos, tritura las galletas hasta que se formen migas. Agrega la mantequilla a las galletas y mezcla hasta que se integren. Vierte la mezcla de galleta y mantequilla en un molde desmontable y presiona uniformemente. Refrigera la base hasta que preparemos la masa de la tarta de queso. A continuación, prepararemos la salsa de chocolate para la tarta de queso al baño maría. Coloca el chocolate en una cacerola y agrega los 50 gramos de mantequilla. Coloca la cacerola sobre otro recipiente con agua hirviendo debajo (esto se llama baño maría). Derrite el chocolate sobre el agua hirviendo a fuego lento hasta que esté suave y cremoso. Retire del fuego y reserve para que se enfríe. Una vez que el chocolate se enfríe, agregue el cacao en polvo y reserve. Si revuelve el cacao cuando la salsa está caliente, la mezcla se espesará demasiado rápido y se volverá grumosa. Nuestro siguiente paso es hacer la masa de tarta de queso. Para esto, coloque el queso crema, el azúcar extrafino en un tazón grande o en el tazón de la batidora de pie con el accesorio de paleta y bata hasta que el queso crema esté esponjoso. Agregue gradualmente un huevo a la vez y bata hasta que la mezcla esté suave y cremosa. Luego, bata la salsa de chocolate y cacao en la masa de tarta de queso. Finalmente, agregue el queso mascarpone y el extracto de vainilla y bata hasta que se combinen. Vierta la masa de tarta de queso y chocolate sobre la base de galleta. Envuelva el exterior del molde desmontable con papel de aluminio. Hacemos esto para que el agua no entre en la tarta de queso mientras horneamos. Coloque una bandeja para asar del horno, llena hasta un cuarto con agua caliente y colóquela en la rejilla del medio del horno. Esto ayudará a que el pastel se cocine al vapor y se hornee, y a conservar la humedad necesaria para el cheesecake. Coloque el molde desmontable sobre esta bandeja para hornear y hornee el Cheesecake de Chocolate en el horno precalentado durante unos 45 minutos. El pastel se moverá un poco al retirarlo del horno. Esta es la consistencia que queremos para el pastel. Retire el cheesecake del horno y déjelo enfriar por completo. Refrigere durante al menos 12 horas antes de servir. Para servir el Cheesecake de Chocolate Rico, retire el lateral del molde desmontable y córtelo en gajos del tamaño deseado. Cubra el cheesecake con frutas ácidas como frambuesas o compota de fresa. Sirva este Cheesecake de Chocolate Rico como postre después de una comida de Receta de Sopa de Limón y Cilantro y Receta de Sándwich de Fideos Schezwan.</t>
  </si>
  <si>
    <t>Pour préparer la recette du cheesecake au chocolat, préchauffez le four à 180 °C. Préparez tous les ingrédients pour pouvoir commencer la préparation du gâteau comme expliqué ci-dessous. Préparez d'abord la base biscuitée du cheesecake. Écrasez les biscuits au robot culinaire jusqu'à obtenir une chapelure. Ajoutez le beurre aux biscuits et mixez bien. Versez le mélange beurre-biscuits dans le moule à charnière et tassez uniformément. Réservez la croûte au réfrigérateur jusqu'à la préparation de la pâte à cheesecake. Préparez ensuite la sauce chocolat au bain-marie. Mettez le chocolat dans une casserole et ajoutez les 50 g de beurre. Placez la casserole sur un autre bol, avec de l'eau bouillante en dessous. C'est ce qu'on appelle la méthode du bain-marie. Faites fondre le chocolat au bain-marie jusqu'à obtenir une consistance lisse et crémeuse. Retirer du feu et réserver pour refroidir. Une fois le chocolat refroidi, incorporer le cacao en poudre et réserver. Si vous remuez le cacao lorsque la sauce est chaude, le mélange épaissira trop rapidement et deviendra grumeleux. Notre prochaine étape consiste à préparer la pâte à cheesecake. Pour cela, placez le fromage à la crème, le sucre en poudre dans un grand bol ou le bol du batteur sur socle avec l'accessoire plat et battez jusqu'à ce que le fromage à la crème soit mousseux. Ajoutez progressivement un œuf à la fois et battez jusqu'à ce que le mélange soit lisse et crémeux. Incorporez ensuite la sauce chocolat-cacao à la pâte à cheesecake. Enfin, ajoutez le mascarpone et l'extrait de vanille et battez jusqu'à ce que le tout soit bien mélangé. Versez la pâte à cheesecake au chocolat sur la base du biscuit. Enveloppez l'extérieur du moule à charnière avec du papier aluminium. Nous faisons cela pour que l'eau ne pénètre pas dans le cheesecake pendant la cuisson. Placez un plat à rôtir du four, rempli au quart d'eau chaude et placez-le sur la grille du milieu du four. Cela aidera le gâteau à cuire à la vapeur et à conserver l'humidité nécessaire au cheesecake. Placez le moule à charnière sur ce plat à rôtir et faites cuire le cheesecake au chocolat dans le four préchauffé pendant environ 45 minutes. Le gâteau tremblera légèrement à la sortie du four. C'est la consistance que nous souhaitons pour le gâteau. Retirez le cheesecake du four et laissez-le refroidir complètement. Réfrigérez pendant au moins 12 heures avant de servir. Pour servir le cheesecake au chocolat riche, retirez le côté du moule à charnière et coupez-le en parts de la taille souhaitée. Garnissez le cheesecake de fruits acidulés comme des framboises ou une compote de fraises. Servez ce cheesecake au chocolat riche en dessert après un repas composé de la recette de soupe au citron et à la coriandre et de la recette de sandwich aux nouilles Schezwan.</t>
  </si>
  <si>
    <t>http://www.archanaskitchen.com/rich-chocolate-cheesecake-recipe</t>
  </si>
  <si>
    <t>Whole Wheat Crepes With Roasted Vegetables And White Sauce Recipe</t>
  </si>
  <si>
    <t>Rezept für Vollkorn-Crêpes mit geröstetem Gemüse und weißer Soße</t>
  </si>
  <si>
    <t>Recette de crêpes complètes aux légumes rôtis et sauce blanche</t>
  </si>
  <si>
    <t>Receta de panqueques integrales con verduras asadas y salsa blanca</t>
  </si>
  <si>
    <t>1 tasse de farine de blé entier, 3/4 tasse de lait, 2 œufs entiers, 1/2 cuillère à café de muscade râpée, 2 à 3 cuillères à soupe de ghee fondu ou de beurre, sel au goût, eau au besoin, 1 à 2 cuillères à soupe de ghee ou de beurre pour enrober la poêle (facultatif ou vous pouvez utiliser un spray d'huile), 1 1/2 tasse de légumes mélangés (maïs, 1 oignon haché, 1 cuillère à café de poivre noir en poudre écrasé ou ½ cuillère à café de paprika, 4 gousses d'ail hachées, 1 herbe fraîche (thym, 1 cuillère à soupe de beurre, sel au goût, 2 cuillères à soupe de farine de blé entier, 2 cuillères à soupe de beurre, 1 tasse de lait, 1/2 cuillère à café de moutarde en poudre ou en pâte, 1 cuillère à café de grains de poivre noir entiers écrasés, sel au goût</t>
  </si>
  <si>
    <t>1 cup Whole Wheat Flour,3/4 cup Milk,2 Whole Eggs,1/2 teaspoon Nutmeg - grated,2-3 tablespoons Ghee - melted or butter,Salt - to taste,Water - as required,1-2 tablespoon Ghee - or butter to coat the pan (optional or you can use an oil spray),1-1/2 cups Mixed vegetables - (corn,1 Onion - chopped,1 teaspoon Black pepper powder - crushed or ½ teaspoon paprika,4 cloves Garlic - minced,1 Fresh Herbs - (thyme,1 tablespoon Butter,Salt - to taste,2 tablespoons Whole Wheat Flour,2 tablespoon Butter,1 cup Milk,1/2 teaspoon Mustard powder - or paste,1 teaspoon Whole Black Peppercorns - crushed,Salt - to taste</t>
  </si>
  <si>
    <t>1 taza de harina integral, 3/4 taza de leche, 2 huevos enteros, 1/2 cucharadita de nuez moscada rallada, 2-3 cucharadas de ghee derretido o mantequilla, sal al gusto, agua al gusto, 1-2 cucharadas de ghee o mantequilla para cubrir la sartén (opcional o puede usar un aerosol de aceite), 1-1/2 tazas de verduras mixtas (maíz, 1 cebolla picada, 1 cucharadita de pimienta negra en polvo triturada o ½ cucharadita de pimentón, 4 dientes de ajo picados, 1 hierba fresca (tomillo, 1 cucharada de mantequilla, sal al gusto), 2 cucharadas de harina integral, 2 cucharadas de mantequilla, 1 taza de leche, 1/2 cucharadita de mostaza en polvo o pasta, 1 cucharadita de granos de pimienta negra enteros triturados, sal al gusto</t>
  </si>
  <si>
    <t xml:space="preserve">To begin making Whole wheat Crepes with roasted vegetables and white sauce recipe, first make the crepe batter.To make Crepe BatterFirst, whisk together the eggs and milk in a mixing bowl.Add the melted ghee (or butter) and grated nutmeg, stir in the wheat flour, salt and mix gently, but thoroughly, till there are no lumps.Set the mixture aside for 15-20 minutes.To make Roasted VegetablesIn a wok/pan/kadai heat the oil.Add the onion and garlic and sauté for a few seconds.Add the vegetables, sprinkle salt and pepper or paprika and cook for a few minutes, till they are still crunchy.Take them off the heat, add herbs and keep aside.To Make White SauceHeat the butter in a saucepan.Add the flour and sauté till it forms a paste.Turn the heat to low and gradually add the milk, stirring continuously, with a whisk, so that no lumps are formed. Continue cooking and whisking till the sauce thickens.Take off the heat, add salt, pepper, mustard and whisk well.To Make Crepes &amp; AssemblingPlace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and serve immediately topped with spoonful(s) of white sauce.Whole Wheat Crepes With Roasted Vegetables And White Sauce with a hot cup of Espresso Coffee for your breakfast.
</t>
  </si>
  <si>
    <t>Para empezar a hacer Crepes de trigo integral con vegetales asados ​​y salsa blanca, primero prepare la masa para crepes. Para hacer la masa para crepes, primero bata los huevos y la leche en un tazón. Agregue el ghee derretido (o mantequilla) y la nuez moscada rallada, incorpore la harina de trigo, la sal y mezcle suavemente, pero completamente, hasta que no queden grumos. Deje la mezcla reposar durante 15-20 minutos. Para hacer vegetales asados, en un wok/sartén/kadai caliente el aceite. Agregue la cebolla y el ajo y saltee durante unos segundos. Agregue las verduras, espolvoree sal y pimienta o pimentón y cocine durante unos minutos, hasta que aún estén crujientes. Retire del fuego, agregue las hierbas y reserve. Para hacer salsa blanca, caliente la mantequilla en una cacerola. Agregue la harina y saltee hasta que se forme una pasta. Baje el fuego y agregue gradualmente la leche, revolviendo continuamente, con un batidor, para que no se formen grumos. Continúe cocinando y batiendo hasta que la salsa espese. Retire del fuego, añada sal, pimienta, mostaza y bata bien. Preparación y montaje: Coloque una sartén grande antiadherente/plancha/crepera plana al fuego. Unte un poco de ghee o mantequilla uniformemente sobre ella. Vierta un cucharón lleno de la masa en la sartén e inmediatamente incline la sartén en forma circular para extender la masa uniformemente en un panqueque delgado. Cocine hasta que la parte inferior esté ligeramente dorada, generalmente unos 30-40 segundos. Voltee la crepe para cocinarla por el otro lado durante unos segundos. Cuando esté completamente cocida, coloque la crepe en una fuente para servir con una espátula plana. Vierta el relleno sobre la mitad o un cuarto de la crepe. Doble el otro lado y sirva inmediatamente cubierto con una o más cucharadas de salsa blanca. Crepes integrales con verduras asadas y salsa blanca con una taza de café expreso caliente para su desayuno.</t>
  </si>
  <si>
    <t>Pour commencer à préparer des crêpes de blé entier avec des légumes rôtis et une sauce blanche, préparez d'abord la pâte à crêpes. Pour préparer la pâte à crêpes, fouettez d'abord les œufs et le lait dans un bol. Ajoutez le ghee fondu (ou le beurre) et la muscade râpée, incorporez la farine de blé, le sel et mélangez doucement, mais soigneusement, jusqu'à ce qu'il n'y ait plus de grumeaux. Réservez le mélange pendant 15 à 20 minutes. Pour préparer des légumes rôtis, dans un wok/poêle/kadai, faites chauffer l'huile. Ajoutez l'oignon et l'ail et faites revenir quelques secondes. Ajoutez les légumes, saupoudrez de sel et de poivre ou de paprika et faites cuire quelques minutes, jusqu'à ce qu'ils soient encore croquants. Retirez-les du feu, ajoutez les herbes et réservez. Pour préparer la sauce blanche, faites chauffer le beurre dans une casserole. Ajoutez la farine et faites revenir jusqu'à ce qu'elle forme une pâte. Baissez le feu et ajoutez progressivement le lait en remuant continuellement, avec un fouet, afin qu'aucun grumeau ne se forme. Poursuivre la cuisson en fouettant jusqu'à ce que la sauce épaississe. Retirer du feu, saler, poivrer et bien fouetter. Préparation des crêpes et assemblage : Placer une grande poêle à crêpes antiadhésive sur le feu. Étaler uniformément du ghee ou du beurre dessus. Verser une louche de pâte dans la poêle et incliner immédiatement la poêle de manière circulaire pour étaler la pâte uniformément et obtenir une crêpe fine. Cuire jusqu'à ce que le dessous soit légèrement doré, généralement environ 30 à 40 secondes. Retourner la crêpe pour la faire cuire de l'autre côté pendant quelques secondes. Une fois cuite, la déposer sur un plat de service à l'aide d'une spatule plate. Verser la garniture sur la moitié ou le quart de la crêpe. Replier l'autre côté et servir immédiatement, nappée de sauce blanche. Crêpes complètes aux légumes rôtis et à la sauce blanche avec une tasse d'expresso chaud pour votre petit-déjeuner.</t>
  </si>
  <si>
    <t>https://www.archanaskitchen.com/whole-wheat-crepes-with-roasted-vegetables-and-white-sauce-recipe</t>
  </si>
  <si>
    <t>Eggless Mango Cake Recipe</t>
  </si>
  <si>
    <t>Rezept für Mangokuchen ohne Eier</t>
  </si>
  <si>
    <t>Recette de gâteau à la mangue sans œufs</t>
  </si>
  <si>
    <t>Receta de pastel de mango sin huevo</t>
  </si>
  <si>
    <t>1 tasse de farine tout usage (Maida), 1/2 tasse de Chiroti Rava - super fin, 2 cuillères à soupe de lait en poudre - facultatif, 1/2 cuillère à café de bicarbonate de soude, 1 cuillère à café de levure chimique, noix mélangées - hachées, pincée de sel, 3/4 tasse de sucre - granulé, 3-4 gousses/graines de cardamome (Elaichi) - en poudre, 1 mangue (mûre) - grosse ou 2 moyennes, 1/4 tasse de caillé (Dahi / Yaourt), 2 cuillères à soupe d'huile de tournesol, 2-3 cuillères à soupe d'eau chaude</t>
  </si>
  <si>
    <t>1 cup All Purpose Flour (Maida),1/2 cup Chiroti Rava - super fine,2 tablespoons Milk Powder - optional,1/2 teaspoon Baking soda,1 teaspoon Baking powder,Mixed nuts - chopped,pinch Salt,3/4 cup Sugar - granulated,3-4 Cardamom (Elaichi) Pods/Seeds - powdered,1 Mango (Ripe) - big or 2 medium sized,1/4 cup Curd (Dahi / Yogurt),2 tablespoon Sunflower Oil,2-3 tablespoons Hot water</t>
  </si>
  <si>
    <t>1 taza de harina para todo uso (Maida), 1/2 taza de Chiroti Rava - superfina, 2 cucharadas de leche en polvo - opcional, 1/2 cucharadita de bicarbonato de sodio, 1 cucharadita de polvo para hornear, nueces mixtas - picadas, pizca de sal, 3/4 taza de azúcar - granulada, 3-4 vainas/semillas de cardamomo (Elaichi) - en polvo, 1 mango (maduro) - grande o 2 medianos, 1/4 taza de cuajada (Dahi / yogur), 2 cucharadas de aceite de girasol, 2-3 cucharadas de agua caliente</t>
  </si>
  <si>
    <t xml:space="preserve">To prepare Eggless Mango Cake Recipe, prep up with all the ingredients first. Chop nuts and de seed mango and chop its pulp, discarding the peel.Preheat the oven at 190 degree Celsius for 10 minutes. Prepare the baking pan by greasing with a little oil or butter and dust 1-2 teaspoon of maida/all-purpose flour.Mix the dry ingredients-maida, chiroti rava, milk powder (if using), baking soda, baking powder and salt well in a mixing bowl. Keep aside.In a Mixer, puree mango along with sugar and cardamom. No extra water is required at this stage.Later mix all the wet ingredients in another mixing bowl-mango and sugar puree, oil, and curd. Give a nice stir to mix them evenly.Slowly mix the dry and wet ingredient mixtures now by combining well to form a thick cake batter of dropping consistency.Add hot water about 2 tablespoons (not any more than 1/4 cup water is required).Add chopped nuts and mix once. Reserve above 1 tablespoon of nuts for topping.Transfer the batter to the prepared cake pan. Top the cake batter with remaining chopped nuts.Bake in the oven at the same temperature for 30-40 minutes.Check after 30 minutes. The top should have turned to a golden brown in color and if you check with a toothpick in the center of the cake it should come out clean when the cake is done. My cake took 38 minutes.Cool the eggless mango cake recipe for 15-20 minutes on a wire rack, unmold and slice them.Serve the Eggless mango Cake is ready to be relished with a scoop of Mango ice cream or vanilla ice cream with chopped mango slices to go with it perfectly.
</t>
  </si>
  <si>
    <t>Para preparar la receta de pastel de mango sin huevo, prepare primero todos los ingredientes. Pique las nueces y retire las semillas del mango y pique su pulpa, desechando la cáscara. Precaliente el horno a 190 grados Celsius durante 10 minutos. Prepare el molde para hornear engrasándolo con un poco de aceite o mantequilla y espolvoree 1-2 cucharaditas de maida / harina para todo uso. Mezcle bien los ingredientes secos: maida, chiroti rava, leche en polvo (si se usa), bicarbonato de sodio, polvo de hornear y sal en un tazón. Manténgalo a un lado. En una batidora, haga puré de mango junto con azúcar y cardamomo. No se requiere agua adicional en esta etapa. Luego mezcle todos los ingredientes húmedos en otro tazón: puré de mango y azúcar, aceite y cuajada. Revuelva bien para mezclarlos uniformemente. Mezcle lentamente las mezclas de ingredientes secos y húmedos ahora combinándolas bien para formar una masa de pastel espesa con consistencia de gota. Agregue agua caliente aproximadamente 2 cucharadas (no se requiere más de 1/4 de taza de agua). Agregue nueces picadas y mezcle una vez. Reserva más de una cucharada de nueces para la cobertura. Transfiere la masa al molde preparado. Cubre con las nueces picadas restantes. Hornea a la misma temperatura durante 30-40 minutos. Revisa después de 30 minutos. La superficie debería estar dorada y, al pinchar con un palillo en el centro, debería salir limpio cuando esté listo. Mi pastel tardó 38 minutos. Deja enfriar la receta de pastel de mango sin huevo durante 15-20 minutos sobre una rejilla, desmolda y corta las rebanadas. Sirve el pastel de mango sin huevo, listo para disfrutar con una bola de helado de mango o helado de vainilla con rebanadas de mango picado para acompañarlo a la perfección.</t>
  </si>
  <si>
    <t>Pour préparer la recette du gâteau à la mangue sans œufs, préparez d'abord tous les ingrédients. Hachez les noix et les graines de mangue et hachez sa pulpe, en jetant la peau. Préchauffez le four à 190 degrés Celsius pendant 10 minutes. Préparez le moule à pâtisserie en le graissant avec un peu d'huile ou de beurre et saupoudrez 1 à 2 cuillères à café de maida/farine tout usage. Mélangez bien les ingrédients secs - maida, chiroti rava, lait en poudre (si vous en utilisez), bicarbonate de soude, levure chimique et sel dans un bol à mélanger. Réservez. Dans un mixeur, réduisez la mangue en purée avec le sucre et la cardamome. Aucune eau supplémentaire n'est nécessaire à ce stade. Plus tard, mélangez tous les ingrédients humides dans un autre bol à mélanger - purée de mangue et de sucre, huile et caillé. Remuez bien pour les mélanger uniformément. Mélangez lentement les mélanges d'ingrédients secs et humides en les combinant bien pour former une pâte à gâteau épaisse de consistance tombante. Ajoutez de l'eau chaude environ 2 cuillères à soupe (pas plus de 1/4 tasse d'eau n'est nécessaire). Ajoutez les noix hachées et mélangez une fois. Réservez plus d'une cuillère à soupe de noix pour la garniture. Transférez la pâte dans le moule à gâteau préparé. Garnissez-la du reste des noix hachées. Faites cuire au four à la même température pendant 30 à 40 minutes. Vérifiez la cuisson après 30 minutes. Le dessus doit être doré et, si vous piquez le centre du gâteau avec un cure-dent, il devrait ressortir propre. Mon gâteau a mis 38 minutes à refroidir. Laissez refroidir le gâteau à la mangue sans œufs pendant 15 à 20 minutes sur une grille, démoulez et coupez-le en tranches. Servez le gâteau à la mangue sans œufs prêt à être dégusté avec une boule de glace à la mangue ou de glace à la vanille et des tranches de mangue hachées pour un accompagnement parfait.</t>
  </si>
  <si>
    <t>http://www.archanaskitchen.com/eggless-mango-cake-recipe</t>
  </si>
  <si>
    <t>Heart Shaped Sugar Cookies Recipe</t>
  </si>
  <si>
    <t>Rezept für herzförmige Zuckerkekse</t>
  </si>
  <si>
    <t>Recette de biscuits au sucre en forme de cœur</t>
  </si>
  <si>
    <t>Receta de galletas de azúcar con forma de corazón</t>
  </si>
  <si>
    <t>1 tasse de Vivatta Maida, 1/4 cuillère à café de sel, 10 cuillères à soupe de beurre (non salé), 1/3 tasse d'eau glacée, 1/2 tasse de sucre, 2 cuillères à soupe de Vivatta Maida - pour saupoudrer</t>
  </si>
  <si>
    <t>1 cup Vivatta Maida,1/4 teaspoon Salt,10 tablespoons Butter (unsalted),1/3 cup Chilled water,1/2 cup Sugar,2 tablespoons Vivatta Maida - for dusting</t>
  </si>
  <si>
    <t>1 taza de Vivatta Maida, 1/4 cucharadita de sal, 10 cucharadas de mantequilla (sin sal), 1/3 taza de agua fría, 1/2 taza de azúcar, 2 cucharadas de Vivatta Maida - para espolvorear</t>
  </si>
  <si>
    <t xml:space="preserve">To begin making Heart Shaped Sugar Cookies Recipe, In a medium bowl, add the flour and salt. Stir to mix.Next, cube the butter and then add it to the flour bowl. Using a pastry blender or two knives, cut the butter into the dough. It will be very crumbly, and you're done when the butter is in uniform pieces all about the size of peas. Make a hole in the center of the dough and pour in all of the water. Using a fork, stir to combine the dough.Flour a cutting board, and add the dough. Pat it into a rough square. You will still see chunks of butter and it will seem too dry, but do not add extra water. The dough will come together with each roll.Flour the rolling pin, and roll the dough out in front of you into a rectangle of approximately about 10 inch.Fold the bottom third of the dough over the middle of the dough. Fold the upper third of the dough on top of the middle too. Rotate the dough one-quarter turn, and repeat. Use additional flour as needed to prevent the dough from sticking.Roll out, fold, and turn the dough atleast 6 or 7 times. Refrigerate it preferably overnight.Remove the dough and roll it in 1/4inch thin sheet. Cover it generously with sugar.Now start rolling the pastry inwards from both corners .cut it 1/4 inch pieces.Bake it at 375 F for 15 mins then turn the pastry and bake it for additional 10 min so both the sides are brown and crispy.Serve Heart Shaped Sugar Cookies Recipe with a glass of Irani Chai Recipe and Baked &amp; Crisp Whole Wheat Methi Puri Recipe during evening.
</t>
  </si>
  <si>
    <t>Para empezar a preparar la receta de galletas de azúcar con forma de corazón, en un tazón mediano, agrega la harina y la sal. Revuelve para mezclar. Luego, corta la mantequilla en cubos y agrégala al tazón de harina. Con una batidora de repostería o dos cuchillos, corta la mantequilla en la masa. Quedará muy desmenuzable, y estará lista cuando la mantequilla esté en trozos uniformes del tamaño de guisantes. Haz un agujero en el centro de la masa y vierte toda el agua. Con un tenedor, revuelve para combinar la masa. Enharina una tabla de cortar y agrega la masa. Dale palmaditas hasta formar un cuadrado irregular. Aún verás trozos de mantequilla y se verá demasiado seca, pero no agregues más agua. La masa se unirá con cada pasada. Enharina el rodillo y extiende la masa frente a ti formando un rectángulo de aproximadamente 25 cm. Dobla el tercio inferior de la masa sobre el centro de la masa. Dobla el tercio superior de la masa también sobre el centro. Gira la masa un cuarto de vuelta y repite. Use harina adicional según sea necesario para evitar que la masa se pegue. Extienda, doble y gire la masa al menos 6 o 7 veces. Refrigérela preferiblemente durante la noche. Retire la masa y estírela en una lámina delgada de 1/4 de pulgada. Cúbrala generosamente con azúcar. Ahora comience a enrollar la masa hacia adentro desde ambas esquinas. Córtela en trozos de 1/4 de pulgada. Hornee a 375 °F durante 15 minutos, luego gire la masa y hornee durante 10 minutos más para que ambos lados estén dorados y crujientes. Sirva la Receta de Galletas de Azúcar en Forma de Corazón con un vaso de Receta de Chai Iraní y Receta de Methi Puri Integral Horneado y Crujiente durante la noche.</t>
  </si>
  <si>
    <t>Pour commencer la recette des biscuits au sucre en forme de cœur, dans un bol moyen, ajoutez la farine et le sel. Mélangez bien. Ensuite, coupez le beurre en dés et ajoutez-le au bol de farine. À l'aide d'un coupe-pâte ou de deux couteaux, incorporez le beurre à la pâte. La pâte sera très friable et vous aurez terminé lorsque le beurre formera des morceaux uniformes, de la taille d'un petit pois. Faites un trou au centre de la pâte et versez toute l'eau. À l'aide d'une fourchette, mélangez bien la pâte. Farinez une planche à découper et déposez-y la pâte. Aplatissez-la pour obtenir un carré grossier. Vous verrez encore des morceaux de beurre et la pâte paraîtra trop sèche, mais n'ajoutez pas d'eau. La pâte se formera à chaque tour. Farinez le rouleau à pâtisserie et étalez la pâte devant vous en un rectangle d'environ 25 cm. Repliez le tiers inférieur de la pâte sur le milieu. Repliez également le tiers supérieur de la pâte sur le milieu. Tournez la pâte d'un quart de tour et répétez l'opération. Utilisez de la farine supplémentaire si nécessaire pour empêcher la pâte de coller. Étalez, pliez et retournez la pâte au moins 6 ou 7 fois. Réfrigérez-la de préférence toute la nuit. Retirez la pâte et étalez-la en une feuille mince de 1/4 de pouce. Recouvrez-la généreusement de sucre. Commencez maintenant à abaisser la pâte vers l'intérieur à partir des deux coins. Coupez-la en morceaux de 1/4 de pouce. Faites cuire au four à 375 °F pendant 15 minutes, puis retournez la pâte et faites-la cuire pendant 10 minutes supplémentaires pour que les deux côtés soient dorés et croustillants. Servez la recette de biscuits au sucre en forme de cœur avec un verre de recette de chai iranien et de recette de methi puri de blé entier cuit et croustillant le soir.</t>
  </si>
  <si>
    <t>http://www.archanaskitchen.com/heart-shaped-sugar-cookies-recipe</t>
  </si>
  <si>
    <t>Eggless Chocolate Banana Cake Recipe</t>
  </si>
  <si>
    <t>Rezept für Schokoladen-Bananen-Kuchen ohne Ei</t>
  </si>
  <si>
    <t>Recette de gâteau au chocolat et à la banane sans œufs</t>
  </si>
  <si>
    <t>Receta de pastel de plátano y chocolate sin huevo</t>
  </si>
  <si>
    <t>170 grammes de beurre (non salé) - à température ambiante, 170 grammes de sucre en poudre, 135 grammes de chocolat noir, 280 grammes de Vivatta Maida, 3 1/2 cuillères à café de levure chimique, 1 pincée de sel, 1/2 cuillère à café de bicarbonate de soude, 2 bananes mûres - (petite variété trop mûre), 2 cuillères à soupe de pépites de chocolat, 3 cuillères à soupe de poudre de graines de lin (farine de lin), 9 cuillères à soupe d'eau glacée, 9 cuillères à soupe d'eau glacée</t>
  </si>
  <si>
    <t>170 grams Butter (unsalted) - at room temperature,170 grams Caster Sugar,135 grams Dark chocolate,280 grams Vivatta Maida,3 1/2 teaspoons Baking powder,1 Pinch Salt,1/2 teaspoon Baking soda,2 Ripe Bananas - (small variety over ripe),2 tablespoons Chocolate chips,3 tablespoons Flax seed powder (flax meal),9 tablespoons Chilled water,9 tablespoons Chilled water</t>
  </si>
  <si>
    <t>170 gramos de mantequilla (sin sal) - a temperatura ambiente, 170 gramos de azúcar extrafino, 135 gramos de chocolate negro, 280 gramos de Vivatta Maida, 3 1/2 cucharaditas de polvo para hornear, 1 pizca de sal, 1/2 cucharadita de bicarbonato de sodio, 2 plátanos maduros - (variedad pequeña demasiado maduros), 2 cucharadas de chispas de chocolate, 3 cucharadas de polvo de semilla de lino (harina de lino), 9 cucharadas de agua fría, 9 cucharadas de agua fría</t>
  </si>
  <si>
    <t xml:space="preserve">To begin making the Chocolate Banana Cake Recipe first set your oven to preheat at 180 C. Prepare a Loaf Tin by buttering and flouring it and set it aside for later use.To make the Flaxseed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batter.Place the butter in a saucepan and place it over a low heat until it has melted.Add the sugar to the butter giving it a stir and and letting it dissolve completely. At this stage, turn off the heat, add the chocolate to the butter and sugar and give it a good stir until it has melted too.Mash the bananas with a fork. In a separate bowl, add the mashed bananas and flax seed egg replacer and mix well. In a large mixing bowl, sieve the the flour, salt and bicarbonate of soda to avoid lumps. Add the egg and banana mixture to it, pour in the chocolate mixture and fold it together with a spatula until no streaks of flour remain.Add the choco chips and mix gently. Pour this chocolate banana cake batter into the greased loaf tin.Sprinkle some more choco chips on top and put the Chocolate Banana Cake into the oven to bake it for 45 minutes or until a skewer inserted in the centre comes out clean.Serve the Chocolate Banana Cake as a Tea Time cake for tea parties or even as a snack for kids.
</t>
  </si>
  <si>
    <t>Para comenzar a hacer la receta del pastel de chocolate y plátano, primero precaliente el horno a 180 C. Prepare un molde para pan untándolo con mantequilla y harina y déjelo a un lado para usarlo más tarde. Para hacer el sustituto de huevo de linaza Si su receta pide 3 huevos, mida 3 cucharadas de harina de linaza junto con 9 cucharadas de agua. Revuelva bien y deje reposar la mezcla durante unos 15 minutos. Este proceso de reposo ayuda a que la mezcla de harina de linaza desarrolle una consistencia gelatinosa similar a los huevos. Para hacer la masa. Coloque la mantequilla en una cacerola y colóquela a fuego lento hasta que se haya derretido. Agregue el azúcar a la mantequilla revolviendo y dejando que se disuelva por completo. En esta etapa, apague el fuego, agregue el chocolate a la mantequilla y el azúcar y revuelva bien hasta que se haya derretido también. Triture los plátanos con un tenedor. En un recipiente aparte, agregue los plátanos machacados y el sustituto de huevo de linaza y mezcle bien. En un tazón grande, tamice la harina, la sal y el bicarbonato de sodio para evitar grumos. Agregue la mezcla de huevo y plátano, vierta la mezcla de chocolate y revuelva con una espátula hasta que no queden vetas de harina. Agregue las chispas de chocolate y mezcle suavemente. Vierta esta masa de pastel de chocolate y plátano en el molde de pan engrasado. Espolvoree un poco más de chispas de chocolate por encima y coloque el pastel de chocolate y plátano en el horno para hornearlo durante 45 minutos o hasta que un palillo insertado en el centro salga limpio. Sirva el pastel de chocolate y plátano como un pastel para la hora del té en fiestas de té o incluso como una merienda para los niños.</t>
  </si>
  <si>
    <t>Pour commencer à préparer la recette du gâteau au chocolat et à la banane, préchauffez d'abord votre four à 180 °C. Préparez un moule à cake en le beurrant et en le farinant et mettez-le de côté pour une utilisation ultérieure. Pour préparer le substitut d'œuf aux graines de lin Si votre recette demande 3 œufs, mesurez 3 cuillères à soupe de farine de lin avec 9 cuillères à soupe d'eau. Remuez bien et laissez reposer le mélange pendant environ 15 minutes. Ce processus de repos aide le mélange de farine de lin à développer une consistance gélatineuse semblable à celle des œufs. Pour préparer la pâte. Placez le beurre dans une casserole et placez-le sur feu doux jusqu'à ce qu'il soit fondu. Ajoutez le sucre au beurre en remuant et en le laissant se dissoudre complètement. À ce stade, éteignez le feu, ajoutez le chocolat au beurre et au sucre et remuez bien jusqu'à ce qu'il soit également fondu. Écrasez les bananes à la fourchette. Dans un autre bol, ajoutez les bananes écrasées et le substitut d'œuf aux graines de lin et mélangez bien. Dans un grand saladier, tamisez la farine, le sel et le bicarbonate de soude pour éviter les grumeaux. Ajoutez le mélange d'œufs et de bananes, versez le mélange de chocolat et mélangez à l'aide d'une spatule jusqu'à ce qu'il ne reste plus de traces de farine. Ajoutez les pépites de chocolat et mélangez délicatement. Versez la pâte à gâteau chocolat-banane dans le moule à cake graissé. Saupoudrez de pépites de chocolat et enfournez pour 45 minutes ou jusqu'à ce qu'une pique à brochette insérée au centre en ressorte propre. Servez le gâteau chocolat-banane comme gâteau pour le goûter ou même comme goûter pour les enfants.</t>
  </si>
  <si>
    <t>http://www.archanaskitchen.com/chocolate-banana-cake-recipe-with-eggless-egg-free-option</t>
  </si>
  <si>
    <t>Paneer And Grapes Platter Recipe - Healthy Party Appetizer</t>
  </si>
  <si>
    <t>Rezept für eine Platte mit Paneer und Trauben – eine gesunde Party-Vorspeise</t>
  </si>
  <si>
    <t>Recette d'un plateau de paneer et de raisins – une entrée saine pour une fête</t>
  </si>
  <si>
    <t>Receta de plato de paneer y uvas: un entrante saludable para una fiesta</t>
  </si>
  <si>
    <t>200 grammes de paneer (fromage cottage fait maison) - coupé en dés, 20 raisins noirs - lavés et coupés en deux, 20 cure-dents, 2 cuillères à café d'huile d'olive extra vierge, 5 cuillères à café de feuilles d'aneth - hachées, 2 cuillères à café de feuilles de persil - hachées, 2 cuillères à café de cerises en conserve - pour la garniture</t>
  </si>
  <si>
    <t>200 grams Paneer (Homemade Cottage Cheese) - cut into dices,20 Black grapes - washed and halved,20 Toothpicks,2 teaspoons Extra Virgin Olive Oil,5 teaspoons Dill leaves - chopped,2 teaspoons Parsley leaves - chopped,2 teaspoons Canned Cherries - for garnish</t>
  </si>
  <si>
    <t>200 gramos de Paneer (queso cottage casero) - cortado en cubos, 20 uvas negras - lavadas y cortadas por la mitad, 20 palillos de dientes, 2 cucharaditas de aceite de oliva virgen extra, 5 cucharaditas de hojas de eneldo - picadas, 2 cucharaditas de hojas de perejil - picadas, 2 cucharaditas de cerezas enlatadas - para decorar</t>
  </si>
  <si>
    <t xml:space="preserve">To make the Paneer And Grapes Platter, cut the paneer into 1 inch cubes. You can either cut it into small cubes or use a shaped cutter. In a bowl, mix in the olive oil, chopped dill and parsley leaves. Use a brush to oil the paneer cubes/pieces. Place a piece of halved grape and a piece of chopped cherry on top of the paneer cube. Pass a toothpick through the centre of the cherry, grape and paneer stack. You can even finely chop cherries and add as a garnish. It is your choice. Serve Paneer and Grapes platter with at your Indian Dinner Parties along with other appetizers/Starters such as Peri Peri Fish Fingers Recipe or Cauliflower Croquettes Recipe
</t>
  </si>
  <si>
    <t>Para preparar el plato de paneer y uvas, corte el paneer en cubos de 2,5 cm. Puede cortarlo en cubos pequeños o usar un cortador con forma. En un tazón, mezcle el aceite de oliva, el eneldo picado y las hojas de perejil. Use una brocha para engrasar los cubos/trozos de paneer. Coloque un trozo de uva partida por la mitad y un trozo de cereza picada sobre el cubo de paneer. Pase un palillo por el centro de la pila de cereza, uva y paneer. Incluso puede picar cerezas finamente y agregarlas como guarnición. Es su elección. Sirva el plato de paneer y uvas en sus cenas indias junto con otros aperitivos/entrantes como la receta de palitos de pescado Peri Peri o la receta de croquetas de coliflor.</t>
  </si>
  <si>
    <t>Pour réaliser le plateau de paneer et de raisins, coupez le paneer en cubes de 2,5 cm. Vous pouvez le couper en petits cubes ou utiliser un emporte-pièce. Dans un bol, mélangez l'huile d'olive, l'aneth haché et les feuilles de persil. Huilez les cubes/morceaux de paneer à l'aide d'un pinceau. Placez un raisin coupé en deux et un morceau de cerise hachée sur le cube de paneer. Enfoncez un cure-dent au centre de la pile de cerises, de raisin et de paneer. Vous pouvez même hacher finement des cerises et les ajouter en garniture. À vous de choisir. Servez le plateau de paneer et de raisins lors de vos dîners indiens, accompagné d'autres entrées comme la recette de bâtonnets de poisson Peri-Peri ou la recette de croquettes de chou-fleur.</t>
  </si>
  <si>
    <t>https://www.archanaskitchen.com/paneer-and-grapes-platter-recipe</t>
  </si>
  <si>
    <t>Chocolate Flan Cake Recipe</t>
  </si>
  <si>
    <t>Rezept für Schokoladen-Flan-Kuchen</t>
  </si>
  <si>
    <t>Recette de gâteau flan au chocolat</t>
  </si>
  <si>
    <t>Receta de pastel de flan de chocolate</t>
  </si>
  <si>
    <t>1-3/4 tasse de Vivatta Maida - (225 grammes), 2 tasses de sucre, 3/4 tasse de cacao en poudre, 1-1/2 cuillère à café de levure chimique, 1-1/2 cuillère à café de bicarbonate de soude, 1/2 cuillère à café de sel, 2 œufs entiers, 1 tasse de lait, 1/2 tasse d'huile de tournesol, 2 cuillères à café d'extrait de vanille, 1 tasse d'eau chaude, 113 ml de fromage à la crème Britannia - ramolli, 4 œufs entiers - à température ambiante, 413 ml de lait concentré, 353 ml de lait évaporé, 1 cuillère à café d'extrait de vanille</t>
  </si>
  <si>
    <t>1-3/4 cups Vivatta Maida - (225grams),2 cups Sugar,3/4 cup Cocoa Powder,1-1/2 teaspoon Baking powder,1-1/2 teaspoon Baking soda,1/2 teaspoon Salt,2 Whole Eggs,1 cup Milk,1/2 cup Sunflower Oil,2 teaspoon Vanilla Extract,1 cup Hot water,4 fl oz Britannia Cream Cheese - softened,4 Whole Eggs - at room temperature,14 fl oz Condensed Milk,12 fl oz Evaporated milk,1 teaspoon Vanilla Extract</t>
  </si>
  <si>
    <t>1-3/4 tazas de Vivatta Maida - (225 gramos), 2 tazas de azúcar, 3/4 taza de cacao en polvo, 1-1/2 cucharadita de polvo para hornear, 1-1/2 cucharadita de bicarbonato de sodio, 1/2 cucharadita de sal, 2 huevos enteros, 1 taza de leche, 1/2 taza de aceite de girasol, 2 cucharaditas de extracto de vainilla, 1 taza de agua caliente, 4 onzas líquidas de queso crema Britannia - ablandado, 4 huevos enteros - a temperatura ambiente, 14 onzas líquidas de leche condensada, 12 onzas líquidas de leche evaporada, 1 cucharadita de extracto de vainilla</t>
  </si>
  <si>
    <t xml:space="preserve">To begin making Chocolate Flan Cake Recipe, preheat the oven to 350 F.Melt 4 tablespoons of sugar in a broad saucepan, on low heat till the sugar starts caramelising.Once it browns, pour the caramelized sugar to the base of the bundt pan and twirl around to coat.In a large mixing bowl, stir together the flour, sugar, cocoa powder, baking powder, baking soda and salt until everything is blended. Add the cake batter to the mould.In a separate mixing bowl, combine the eggs, milk, oil and vanilla and whisk to combine. Then whisk in the boiling water.Now add the wet ingredients to the dry and stir until combined. Combine cream cheese, eggs, sweetened condensed milk, evaporated milk and vanilla in blender container. Process until blended. Pour slowly over the cake batter. (While baking, the cake rises and the milk mixture goes to the bottom) Coat piece of foil with no-stick cooking spray.Cover pan, coated side down, tightly with foil. Place it in a large roasting pan. Pour hot water into roasting pan to a depth of about 2 inches.Bake it for one hour or till the toothpick comes out clean. Let it cool very well and preferably overnight in refrigerator. Then unmold it, slice and serve.Serve Chocolate Flan Cake Recipe after a dinner of a Greek Style Gigantes Plaki Recipe and lemon broken rice.
</t>
  </si>
  <si>
    <t>Para comenzar a hacer la Receta de Pastel de Flan de Chocolate, precaliente el horno a 350 F. Derrita 4 cucharadas de azúcar en una cacerola amplia, a fuego lento hasta que el azúcar comience a caramelizarse. Una vez que se dore, vierta el azúcar caramelizada en la base del molde bundt y gírelo para cubrir. En un tazón grande, mezcle la harina, el azúcar, el cacao en polvo, el polvo para hornear, el bicarbonato de sodio y la sal hasta que todo esté mezclado. Agregue la masa del pastel al molde. En un tazón aparte, combine los huevos, la leche, el aceite y la vainilla y bata para combinar. Luego, bata en el agua hirviendo. Ahora agregue los ingredientes húmedos a los secos y revuelva hasta que se combinen. Combine el queso crema, los huevos, la leche condensada azucarada, la leche evaporada y la vainilla en el vaso de la licuadora. Procese hasta que se mezcle. Vierta lentamente sobre la masa del pastel. (Mientras se hornea, el pastel sube y la mezcla de leche va al fondo) Cubra un trozo de papel de aluminio con aerosol de cocina antiadherente. Cubra el molde, con el lado cubierto hacia abajo, firmemente con papel de aluminio. Colóquelo en una bandeja grande para hornear. Vierta agua caliente en la bandeja hasta una profundidad de unos 5 cm. Hornee durante una hora o hasta que al insertar un palillo, este salga limpio. Déjelo enfriar bien, preferiblemente durante toda la noche en el refrigerador. Luego, desmóldelo, córtelo en rebanadas y sírvalo. Sirva la receta de flan de chocolate después de una cena de Gigantes Plaki al estilo griego con arroz partido con limón.</t>
  </si>
  <si>
    <t>Pour commencer à préparer la recette du gâteau flan au chocolat, préchauffez le four à 350 °F. Faites fondre 4 cuillères à soupe de sucre dans une grande casserole, à feu doux jusqu'à ce que le sucre commence à caraméliser. Une fois qu'il est doré, versez le sucre caramélisé au fond du moule à bundt et faites-le tourner pour l'enrober. Dans un grand bol, mélangez la farine, le sucre, la poudre de cacao, la levure chimique, le bicarbonate de soude et le sel jusqu'à ce que tout soit mélangé. Ajoutez la pâte à gâteau dans le moule. Dans un autre bol, mélangez les œufs, le lait, l'huile et la vanille et fouettez pour mélanger. Ajoutez ensuite l'eau bouillante en fouettant. Ajoutez maintenant les ingrédients humides aux ingrédients secs et remuez jusqu'à ce que le tout soit mélangé. Mélangez le fromage à la crème, les œufs, le lait concentré sucré, le lait évaporé et la vanille dans le récipient du mélangeur. Mélangez jusqu'à ce que le mélange soit homogène. Versez lentement sur la pâte à gâteau. (Pendant la cuisson, le gâteau lève et le mélange de lait va au fond) Enduisez un morceau de papier d'aluminium d'un enduit de cuisson antiadhésif. Couvrez le moule, côté enduit vers le bas, hermétiquement avec du papier d'aluminium. Placez-le dans un grand plat à rôtir. Versez de l'eau chaude dans le plat à rôtir sur une profondeur d'environ 5 cm. Faites cuire au four pendant une heure ou jusqu'à ce qu'un cure-dent en ressorte propre. Laissez-le bien refroidir, de préférence toute la nuit au réfrigérateur. Démoulez-le, coupez-le en tranches et servez. Servez ce gâteau flan au chocolat après un dîner composé de Gigantes Plaki à la grecque et de riz brisé au citron.</t>
  </si>
  <si>
    <t>http://www.archanaskitchen.com/chocolate-flan-cake-recipe</t>
  </si>
  <si>
    <t>Papaya Basil Smoothie With Chia Seeds Recipe</t>
  </si>
  <si>
    <t>Rezept für Papaya-Basilikum-Smoothie mit Chiasamen</t>
  </si>
  <si>
    <t>Recette de smoothie papaye basilic aux graines de chia</t>
  </si>
  <si>
    <t>Receta de batido de papaya, albahaca y semillas de chía</t>
  </si>
  <si>
    <t>1 tasse de papaye congelée, 6 feuilles de basilic, 1-1/2 tasse de lait, 1 cuillère à soupe de miel (facultatif), 2 cuillères à soupe de graines de chia trempées, 2 cuillères à soupe de badam (amandes) hachées</t>
  </si>
  <si>
    <t>1 cup Papaya - frozen,6 Basil leaves,1-1/2 cup Milk,1 tablespoon Honey - optional,2 tablespoon Chia Seeds - soaked,2 tablespoon Badam (Almond) - chopped</t>
  </si>
  <si>
    <t>1 taza de papaya congelada, 6 hojas de albahaca, 1-1/2 taza de leche, 1 cucharada de miel (opcional), 2 cucharadas de semillas de chía remojadas, 2 cucharadas de almendras picadas</t>
  </si>
  <si>
    <t xml:space="preserve">To begin making the Papaya Basil Smoothie recipe with chia seeds, add all the ingredients except chia seeds and chopped almond into a blender and blend till smooth.Once the mixture is smooth, add chia seeds and chopped almond. Mix it well.After mixing well, pour them in glass and serve chilled.Serve Papaya Basil Smoothie With Chia Seeds on its own or along with Scrambled Egg Cucumber sandwich for a healthy and filling breakfast.
</t>
  </si>
  <si>
    <t>Para preparar el batido de papaya y albahaca con semillas de chía, añade todos los ingredientes, excepto las semillas de chía y las almendras picadas, a una licuadora y tritura hasta obtener una mezcla homogénea. Una vez que la mezcla esté homogénea, añade las semillas de chía y las almendras picadas. Mezcla bien. Después de mezclar bien, vierte la mezcla en un vaso y sirve frío. Sirve el batido de papaya y albahaca con semillas de chía solo o acompañado de un sándwich de pepino y huevos revueltos para un desayuno saludable y nutritivo.</t>
  </si>
  <si>
    <t>Pour commencer à préparer la recette de smoothie papaye basilic aux graines de chia, ajoutez tous les ingrédients sauf les graines de chia et les amandes hachées dans un mixeur et mixez jusqu'à obtenir une consistance lisse. Une fois le mélange lisse, ajoutez les graines de chia et les amandes hachées. Mélangez bien. Après avoir bien mélangé, versez le tout dans un verre et servez frais. Servez le smoothie papaye basilic aux graines de chia seul ou avec un sandwich aux œufs brouillés et au concombre pour un petit-déjeuner sain et copieux.</t>
  </si>
  <si>
    <t>https://www.archanaskitchen.com/papaya-basil-smoothie-with-chia-seeds-recipe</t>
  </si>
  <si>
    <t>Chocolate Crinkle Cookies Recipe</t>
  </si>
  <si>
    <t>Rezept für Schokoladen-Crinkle-Cookies</t>
  </si>
  <si>
    <t>Recette de biscuits au chocolat et aux pépites de chocolat</t>
  </si>
  <si>
    <t>Receta de galletas con chispas de chocolate</t>
  </si>
  <si>
    <t>1 tasse de cacao en poudre - non sucré, 2 tasses de sucre en poudre, 113 grammes de beurre (non salé) - ramolli, 4 œufs entiers, 2 cuillères à café d'extrait de vanille, 2 tasses de farine tout usage (Maida), 2 cuillères à café de levure chimique, 1/2 cuillère à café de sel, 1/2 tasse de sucre glace</t>
  </si>
  <si>
    <t>1 cup Cocoa Powder - unsweetened,2 cups Caster Sugar,113 grams Butter (unsalted) - softened,4 Whole Eggs,2 teaspoons Vanilla Extract,2 cups All Purpose Flour (Maida),2 teaspoons Baking powder,1/2 teaspoon Salt,1/2 cup Icing Sugar</t>
  </si>
  <si>
    <t>1 taza de cacao en polvo - sin azúcar, 2 tazas de azúcar extrafino, 113 gramos de mantequilla (sin sal) - ablandada, 4 huevos enteros, 2 cucharaditas de extracto de vainilla, 2 tazas de harina para todo uso (Maida), 2 cucharaditas de polvo para hornear, 1/2 cucharadita de sal, 1/2 taza de azúcar glas</t>
  </si>
  <si>
    <t xml:space="preserve">To begin making the Chocolate Crinkle Cookies, first cream together the sugar and butter using a hand blender.When it is pale and light, beat in eggs one at a time, and mix till well combined.Then stir in the vanilla. Once mixed add in the cocoa powder slowly making sure to mix uniformly.Next, combine the flour, baking powder, and salt and add into the cocoa mixture. Mix very well.The dough will be very, very sticky. Spoon the dough onto a cling film, wrap it and refrigerate overnight or longer. The longer the dough is chilled, the easier it will be to handle.Preheat the oven to 180 degrees C and line a baking tray with parchment paper.Divide the dough into three parts. With one part make 1-inch balls and place them on the parchment-lined cookie sheet. Dampen your palms while making the balls and make them as smooth as possible. Chill the cookies for 10-15 minutes to firm them up again.Put the icing sugar in a bowl. Roll each chilled dough ball in the sugar, making sure to coat the cookie as much as possible. Place the cookie balls back onto the parchment-lined cookie sheets.Place the baking sheet in the preheated oven and bake for 10 to 12 minutes. Do not overbake or they will get very hard.Once done, take the tray out and let it rest on a cooling rack. Repeat this with the other two parts as well.Store prepared cookies in an airtight container and serve the Chocolate Crinkle Cookies with a cold glass of milk.
</t>
  </si>
  <si>
    <t>Para preparar las Galletas de Chocolate Crinkle, primero bata el azúcar y la mantequilla con una batidora de mano. Cuando la mezcla esté pálida y ligera, incorpore los huevos uno a uno y mezcle bien. Luego, incorpore la vainilla. Una vez mezclado, agregue el cacao en polvo lentamente, asegurándose de mezclar uniformemente. Luego, combine la harina, el polvo para hornear y la sal e incorpórelos a la mezcla de cacao. Mezcle bien. La masa quedará muy pegajosa. Coloque la masa sobre film transparente, envuélvalo y refrigérelo durante la noche o más. Cuanto más tiempo esté refrigerada, más fácil será de manipular. Precaliente el horno a 180 °C y forre una bandeja para hornear con papel vegetal. Divida la masa en tres partes. Con una parte, forme bolitas de 2,5 cm y colóquelas en la bandeja para hornear forrada con papel vegetal. Humedezca las palmas de las manos mientras forma las bolitas y alise lo más posible. Refrigere las galletas de 10 a 15 minutos para que se endurezcan. Ponga el azúcar glas en un tazón. Reboza cada bola de masa fría en el azúcar, asegurándote de cubrir la galleta lo mejor posible. Vuelve a colocar las bolas de galleta en las bandejas forradas con papel vegetal. Introduce la bandeja en el horno precalentado y hornea de 10 a 12 minutos. No las hornees demasiado o se endurecerán. Una vez listas, retira la bandeja y déjala reposar sobre una rejilla. Repite este proceso con las otras dos partes. Guarda las galletas preparadas en un recipiente hermético y sirve las Galletas de Chocolate Crinkle con un vaso de leche fría.</t>
  </si>
  <si>
    <t>Pour préparer les biscuits au chocolat et aux pépites de chocolat, commencez par crémer le sucre et le beurre à l'aide d'un mixeur plongeant. Lorsque la préparation est claire et légère, incorporez les œufs un à un et mélangez bien. Incorporez ensuite la vanille. Une fois le mélange homogène, ajoutez le cacao en poudre petit à petit en veillant à bien mélanger. Mélangez ensuite la farine, la levure chimique et le sel, puis incorporez-les au mélange de cacao. Bien mélanger. La pâte sera très collante. Déposez la pâte sur un film alimentaire, enveloppez-la et réservez au réfrigérateur pendant une nuit ou plus. Plus la pâte est froide, plus elle sera facile à manipuler. Préchauffez le four à 180 °C et recouvrez une plaque de cuisson de papier sulfurisé. Divisez la pâte en trois parts. Avec une part, formez des boules de 2,5 cm et déposez-les sur la plaque à pâtisserie recouverte de papier sulfurisé. Humidifiez vos paumes pendant la préparation pour obtenir des boules aussi lisses que possible. Laissez les biscuits au réfrigérateur 10 à 15 minutes pour les raffermir. Mettez le sucre glace dans un bol. Roulez chaque boule de pâte refroidie dans le sucre, en veillant à bien enrober le biscuit. Remettez les boules sur les plaques à pâtisserie recouvertes de papier sulfurisé. Placez la plaque au four préchauffé et faites cuire 10 à 12 minutes. Ne les faites pas trop cuire, sinon elles durciront. Une fois cuites, sortez la plaque et laissez-la reposer sur une grille. Répétez l'opération avec les deux autres parties. Conservez les biscuits préparés dans une boîte hermétique et servez les biscuits au chocolat avec un verre de lait froid.</t>
  </si>
  <si>
    <t>http://www.archanaskitchen.com/chocolate-crinkle-cookies-recipe</t>
  </si>
  <si>
    <t>Watermelon Bocconcini Arugula Salad Recipe</t>
  </si>
  <si>
    <t>Rezept für Wassermelonen-Bocconcini-Rucola-Salat</t>
  </si>
  <si>
    <t>Recette de salade de roquette bocconcini à la pastèque</t>
  </si>
  <si>
    <t>Receta de ensalada de bocconcini con rúcula y sandía</t>
  </si>
  <si>
    <t>4 tasses de pastèque - coupée en gros cubes, 1/2 tasse de feuilles de roquette - râpées, 1 tasse de fromage Bocconcini - coupé en deux, 1 cuillère à café de grains de poivre noir entiers - fraîchement pilés, 1/2 cuillère à café de sel - (ou au goût), 1 cuillère à soupe de jus de citron</t>
  </si>
  <si>
    <t>4 cups Watermelon - diced to large cubes,1/2 cup Arugula leaves - shredded,1 cup Bocconcini Cheese - cut to halves,1 teaspoon Whole Black Peppercorns - freshly pounded,1/2 teaspoon Salt - (or to taste),1 tablespoon Lemon juice</t>
  </si>
  <si>
    <t>4 tazas de sandía cortada en cubos grandes, 1/2 taza de hojas de rúcula ralladas, 1 taza de queso Bocconcini cortado en mitades, 1 cucharadita de granos de pimienta negra enteros recién machacados, 1/2 cucharadita de sal (o al gusto), 1 cucharada de jugo de limón</t>
  </si>
  <si>
    <t xml:space="preserve">To prepare Watermelon Bocconcini Arugula Salad Recipe, separate the flesh from the watermelon skin, and dice it to bite size pieces. Or you could scoop up little watermelon with an ice-cream scoop - it will look lovely with the bocconcini.Place the watermelon pieces on each individual salad dish and add the bocconcini.Shred the arugula after removing the stalks, and add to the salad.Sprinkle salt and fresh ground pepper on each plate.Add half a tablespoon lemon juice to each portion, just before serving.Serve the Watermelon Bocconcini Arugula Salad Recipe chilled or fresh, with a hearty soup.
</t>
  </si>
  <si>
    <t>Para preparar la receta de ensalada de rúcula y bocconcini de sandía, separe la pulpa de la piel de la sandía y córtela en dados pequeños. También puede usar una cuchara para helado para cortar un poco de sandía; quedará deliciosa con los bocconcini. Coloque los trozos de sandía en cada plato de ensalada y añada los bocconcini. Desmenuce la rúcula después de retirar los tallos y añádala a la ensalada. Espolvoree con sal y pimienta recién molida cada plato. Añada media cucharada de jugo de limón a cada porción justo antes de servir. Sirva la receta de ensalada de rúcula y bocconcini de sandía fría o fresca, con una sopa sustanciosa.</t>
  </si>
  <si>
    <t>Pour préparer la salade de roquette, pastèque, bocconcini et roquette, séparez la chair de la peau et coupez-la en dés. Vous pouvez également prélever de petites tranches de pastèque à l'aide d'une cuillère à glace : elles seront délicieuses avec les bocconcini. Disposez les morceaux de pastèque dans chaque assiette et ajoutez les bocconcini. Râpez la roquette après avoir retiré les tiges et ajoutez-la à la salade. Saupoudrez chaque assiette de sel et de poivre fraîchement moulu. Ajoutez une demi-cuillère à soupe de jus de citron à chaque portion, juste avant de servir. Servez la salade de roquette, pastèque, bocconcini et roquette fraîche ou froide, accompagnée d'une soupe consistante.</t>
  </si>
  <si>
    <t>https://www.archanaskitchen.com/watermelon-bocconcini-arugula-salad-recipe</t>
  </si>
  <si>
    <t>Strawberry Compote Recipe (Coulis)</t>
  </si>
  <si>
    <t>Erdbeerkompott-Rezept (Coulis)</t>
  </si>
  <si>
    <t>Recette de compote de fraises (coulis)</t>
  </si>
  <si>
    <t>Receta de compota de fresa (coulis)</t>
  </si>
  <si>
    <t>500 grammes de fraises fraîches, 1/2 tasse de sucre, 1 jus de citron</t>
  </si>
  <si>
    <t>500 grams Strawberries -  fresh,1/2 cup Sugar,1 Lemon juice</t>
  </si>
  <si>
    <t>500 gramos de fresas frescas, 1/2 taza de azúcar, jugo de 1 limón</t>
  </si>
  <si>
    <t xml:space="preserve">To begin making the Strawberry Compote Recipe, we will first core and quarter the strawberries for the compoteTo make the compote, In a small shallow saucepan, toss in the quartered strawberries, along with 1/2 cup of sugar and juice from one lemon. With the heat on medium, keep stirring the mixture continuously until the sugar melts.Continue to Cook the strawberries until it is tender and the compote has thickened.You will notice that towards the cooking process, the mixture begins to bubble and the syrup is thickened, once done, allow this mixture to cool completely.Chill the Strawberry Compote in the refrigerator before using it for your desired Dessert.
</t>
  </si>
  <si>
    <t>Para preparar la compota de fresa, primero descorazonaremos y cortaremos en cuartos las fresas. En una cacerola pequeña y poco profunda, agrega las fresas cortadas en cuartos, junto con 1/2 taza de azúcar y el jugo de un limón. A fuego medio, revuelve la mezcla continuamente hasta que el azúcar se derrita. Cocina las fresas hasta que estén tiernas y la compota espese. Notarás que, durante la cocción, la mezcla comienza a burbujear y el almíbar espesa. Una vez listo, deja que la mezcla se enfríe por completo. Refrigera la compota de fresa antes de usarla para el postre que desees.</t>
  </si>
  <si>
    <t>Pour commencer la recette de compote de fraises, nous allons d'abord épépiner et couper les fraises en quartiers. Pour préparer la compote, dans une petite casserole peu profonde, ajoutez les fraises coupées en quartiers, 120 ml de sucre et le jus d'un citron. À feu moyen, remuez continuellement jusqu'à ce que le sucre fonde. Poursuivez la cuisson des fraises jusqu'à ce qu'elles soient tendres et que la compote épaississe. Vous remarquerez qu'au cours de la cuisson, le mélange commence à bouillonner et que le sirop épaissit. Une fois cuit, laissez refroidir complètement. Refroidissez la compote de fraises au réfrigérateur avant de l'utiliser pour le dessert de votre choix.</t>
  </si>
  <si>
    <t>https://www.archanaskitchen.com/video-recipe-strawberry-compote</t>
  </si>
  <si>
    <t>Lemon Cherry Berry Spa Water Recipe</t>
  </si>
  <si>
    <t>Rezept für Zitronen-Kirsch-Beeren-Spa-Wasser</t>
  </si>
  <si>
    <t>Recette d'eau de spa au citron, à la cerise et aux baies</t>
  </si>
  <si>
    <t>Receta de agua de spa de limón, cereza y frutos rojos</t>
  </si>
  <si>
    <t>1 tasse de baies mélangées (myrtille, 1 citron tranché, 2 brins de feuilles de menthe (Pudina), 3 tasses d'eau, glaçons (quelques-uns si nécessaire)</t>
  </si>
  <si>
    <t>1 cup Mixed berries - (blueberry,1 Lemon - sliced,2 sprig Mint Leaves (Pudina),3 cups Water,Ice cubes - Some if needed</t>
  </si>
  <si>
    <t>1 taza de bayas mixtas (arándano, 1 limón en rodajas, 2 ramitas de hojas de menta (pudina), 3 tazas de agua, cubitos de hielo (algunos si es necesario)</t>
  </si>
  <si>
    <t xml:space="preserve">To begin making the Lemon-Cherry Berry Spa Water recipe, add all ingredients to a large glass or into a pitcher.Cover the lid and let it chill overnight in the refrigerator.Drink Lemon-Cherry Berry Spa Water instead of normal water to detox your body and keep your skin hydrated.
</t>
  </si>
  <si>
    <t>Para empezar a preparar la receta de Agua de Spa de Limón, Cereza y Bayas, añade todos los ingredientes a un vaso grande o una jarra. Cubre la jarra y déjala enfriar durante la noche en el refrigerador. Bebe Agua de Spa de Limón, Cereza y Bayas en lugar de agua normal para desintoxicar tu cuerpo y mantener tu piel hidratada.</t>
  </si>
  <si>
    <t>Pour commencer à préparer la recette de l'eau de spa citron-cerise, ajoutez tous les ingrédients dans un grand verre ou dans un pichet. Couvrez le couvercle et laissez refroidir toute la nuit au réfrigérateur. Buvez de l'eau de spa citron-cerise au lieu de l'eau normale pour détoxifier votre corps et garder votre peau hydratée.</t>
  </si>
  <si>
    <t>http://www.archanaskitchen.com/lemon-cherry-berry-spa-water-recipe</t>
  </si>
  <si>
    <t>Roasted Cauliflower Broccoli Au Gratin Recipe</t>
  </si>
  <si>
    <t>Rezept für gerösteten Blumenkohl-Brokkoli-Gratin</t>
  </si>
  <si>
    <t>Recette de gratin de chou-fleur et brocoli rôtis</t>
  </si>
  <si>
    <t>Receta de gratinado de coliflor y brócoli asados</t>
  </si>
  <si>
    <t>1 tasse de brocoli - coupé en fleurons de la taille d'une bouchée, 2 tasses de chou-fleur (gobi) - coupé en fleurons de la taille d'une bouchée, 4 gousses d'ail - finement hachées, 1 oignon - finement haché, 1 cuillère à café d'huile d'olive extra vierge, sel - au goût, 2 tasses de lait, 2 1/2 cuillères à soupe de farine de maïs, 1 cuillère à café de grains de poivre noir entiers - grossièrement écrasés, 1 cuillère à café d'herbes mélangées (séchées), 2 cuillères à soupe de fromage à tartiner - de votre choix, sel - au goût, 1/4 tasse de fromage cheddar - râpé</t>
  </si>
  <si>
    <t>1 cup Broccoli - cut into bite size florets,2 cups Cauliflower (gobi) - cut into bite size florets,4 cloves Garlic - finely chopped,1 Onion - finely chopped,1 teaspoon Extra Virgin Olive Oil,Salt - to taste,2 cups Milk,2 1/2 tablespoons Corn flour,1 teaspoon Whole Black Pepper Corns - coarsely crushed,1 teaspoon Mixed Herbs (Dried),2 tablespoons Cheese spread - of your choice,Salt - to taste,1/4 cup Cheddar cheese - grated</t>
  </si>
  <si>
    <t>1 taza de brócoli - cortado en floretes del tamaño de un bocado, 2 tazas de coliflor (gobi) - cortada en floretes del tamaño de un bocado, 4 dientes de ajo - picados finamente, 1 cebolla - picada finamente, 1 cucharadita de aceite de oliva virgen extra, sal - al gusto, 2 tazas de leche, 2 1/2 cucharadas de harina de maíz, 1 cucharadita de granos de pimienta negra enteros - triturados gruesos, 1 cucharadita de hierbas mixtas (secas), 2 cucharadas de queso para untar - de su elección, sal - al gusto, 1/4 taza de queso cheddar - rallado</t>
  </si>
  <si>
    <t xml:space="preserve">To begin making the Cauliflower Broccoli Au Gratin, first prep all your ingredients.Heat oil in a deep pan and add the onions and garlic and cook till onions turn soft.Add the cauliflower and broccoli florets, sprinkle salt and stir fry the florets until they are cooked through yet firm.The next step is to make the white sauce. In a saucepan add milk and corn flour, black pepper, mixed herbs and salt. Stir well until the cornflour is well combined and there are no lumps.Place the saucepan on heat stir continuously until the sauce thickens and the sauce is completely cooked through. The sauce will have a gloss to it.Once cooked through, add the cheese spread and stir till the cheese melts. Turn of the heat and keep aside.The next step is to assemble the Au Gratin. Preheat the oven to 180 degree Celsius with broiler mode.Grease a 8 inch by 4 inch baking dish and first add the cauliflower and broccoli. Then top it up with the white sauce and stir slightly. Spread grated cheese evenly at the top.Place the cauliflower and broccoli Au gratin dish on the top shelf of the oven and bake for ten minutes till the cheese melts and turns golden brown in colour.Once done, remove from the oven and serve the Cauliflower Broccoli Au Gratin hot for dinner.Serve Cauliflower and Broccoli Au Gratin on its own for a hearty meal along with Vegetable Clear Soup and a Herbed Garlic Bread for a special weekend dinner.
</t>
  </si>
  <si>
    <t>Para comenzar a hacer el gratinado de coliflor y brócoli, primero prepare todos los ingredientes. Caliente el aceite en una sartén profunda y agregue las cebollas y el ajo y cocine hasta que las cebollas se ablanden. Agregue los ramilletes de coliflor y brócoli, espolvoree sal y saltee los ramilletes hasta que estén bien cocidos pero firmes. El siguiente paso es hacer la salsa blanca. En una cacerola agregue la leche y la harina de maíz, la pimienta negra, las hierbas mixtas y la sal. Revuelva bien hasta que la harina de maíz esté bien combinada y no haya grumos. Coloque la cacerola al fuego revuelva continuamente hasta que la salsa espese y la salsa esté completamente cocida. La salsa tendrá un brillo. Una vez cocido, agregue el queso para untar y revuelva hasta que el queso se derrita. Apague el fuego y reserve. El siguiente paso es armar el gratinado. Precaliente el horno a 180 grados Celsius con el modo de asador. Engrase un molde para hornear de 8 pulgadas por 4 pulgadas y primero agregue la coliflor y el brócoli. Luego, cúbrelo con la salsa blanca y revuelve ligeramente. Esparce queso rallado uniformemente por encima. Coloca la fuente para gratinar coliflor y brócoli en la rejilla superior del horno y hornea durante diez minutos hasta que el queso se derrita y adquiera un color dorado. Una vez listo, retira del horno y sirve el gratinado de coliflor y brócoli caliente para la cena. Sirve el gratinado de coliflor y brócoli solo para una comida abundante, junto con una sopa clara de verduras y un pan de ajo con hierbas para una cena especial de fin de semana.</t>
  </si>
  <si>
    <t>Pour commencer à préparer le gratin de chou-fleur et de brocoli, préparez d'abord tous vos ingrédients. Faites chauffer l'huile dans une poêle profonde et ajoutez les oignons et l'ail et faites cuire jusqu'à ce que les oignons soient tendres. Ajoutez les fleurons de chou-fleur et de brocoli, saupoudrez de sel et faites sauter les fleurons jusqu'à ce qu'ils soient bien cuits mais fermes. L'étape suivante consiste à préparer la sauce blanche. Dans une casserole, ajoutez le lait et la fécule de maïs, le poivre noir, les herbes mélangées et le sel. Remuez bien jusqu'à ce que la fécule de maïs soit bien mélangée et qu'il n'y ait plus de grumeaux. Placez la casserole sur le feu en remuant continuellement jusqu'à ce que la sauce épaississe et soit complètement cuite. La sauce aura un brillant. Une fois cuite, ajoutez le fromage à tartiner et remuez jusqu'à ce que le fromage fonde. Éteignez le feu et réservez. L'étape suivante consiste à assembler le gratin. Préchauffez le four à 180 degrés Celsius avec le mode gril. Graissez un plat de cuisson de 8 pouces sur 4 pouces et ajoutez d'abord le chou-fleur et le brocoli. Ensuite, recouvrez-le de sauce blanche et remuez légèrement. Répartir uniformément le fromage râpé sur le dessus. Placer le plat à gratin de chou-fleur et de brocoli sur la grille supérieure du four et cuire pendant dix minutes jusqu'à ce que le fromage fonde et devienne doré. Une fois cuit, retirer du four et servir le gratin de chou-fleur et de brocoli chaud pour le dîner. Servir le gratin de chou-fleur et de brocoli seul pour un repas copieux accompagné d'une soupe claire aux légumes et d'un pain à l'ail aux herbes pour un dîner de week-end spécial.</t>
  </si>
  <si>
    <t>https://www.archanaskitchen.com/cauliflower-and-broccoli-au-gratin-baked-cauliflower-broccoli-in-a-creamy-sauce-recipe</t>
  </si>
  <si>
    <t>Refreshing Smoothie Recipe With Cucumber &amp; Kiwi</t>
  </si>
  <si>
    <t>Erfrischendes Smoothie-Rezept mit Gurke und Kiwi</t>
  </si>
  <si>
    <t>Recette de smoothie rafraîchissant au concombre et au kiwi</t>
  </si>
  <si>
    <t>Receta refrescante de batido de pepino y kiwi</t>
  </si>
  <si>
    <t>1 concombre - haché, 1 kiwi - haché, 1 pomme verte - hachée, 1 tasse d'eau de coco tendre, 1/2 cuillère à café de jus de citron, quelques feuilles de menthe (Pudina), 1 cuillère à café de graines de chia, 1 tasse de glaçons</t>
  </si>
  <si>
    <t>1 Cucumber - chopped,1 Kiwi - chopped,1 Green apple - chopped,1 cup Tender coconut water,1/2 teaspoon Lemon juice,Mint Leaves (Pudina) - a few,1 teaspoon Chia Seeds,1 cup Ice cubes</t>
  </si>
  <si>
    <t>1 pepino picado, 1 kiwi picado, 1 manzana verde picada, 1 taza de agua de coco tierno, 1/2 cucharadita de jugo de limón, hojas de menta (pudina) - algunas, 1 cucharadita de semillas de chía, 1 taza de cubitos de hielo</t>
  </si>
  <si>
    <t xml:space="preserve">To prepare Refreshing Smoothie Recipe With Cucumber &amp; Kiwi, get all the ingredients ready. Chop the cucumber and roughly chop kiwi.In a blender, add in all the ingredients except chia seeds and blend till smooth.Pour the smoothie to the serving glass.Garnish with a dash of crunchy chia seeds and serve Refreshing Smoothie Recipe With Cucumber &amp; Kiwi in the evening.
</t>
  </si>
  <si>
    <t>Para preparar el refrescante batido de pepino y kiwi, prepara todos los ingredientes. Pica el pepino y el kiwi en trozos grandes. En una licuadora, añade todos los ingredientes excepto las semillas de chía y tritura hasta obtener una mezcla suave. Vierte el batido en el vaso para servir. Decora con una pizca de semillas de chía crujientes y sirve el refrescante batido de pepino y kiwi por la noche.</t>
  </si>
  <si>
    <t>Pour préparer une recette de smoothie rafraîchissant au concombre et au kiwi, préparez tous les ingrédients. Hachez le concombre et hachez grossièrement le kiwi. Dans un mixeur, ajoutez tous les ingrédients sauf les graines de chia et mixez jusqu'à obtenir une consistance lisse. Versez le smoothie dans le verre de service. Garnissez d'une pincée de graines de chia croquantes et servez la recette de smoothie rafraîchissant au concombre et au kiwi le soir.</t>
  </si>
  <si>
    <t>http://www.archanaskitchen.com/refreshing-smoothie-recipe-with-cucumber-kiwi</t>
  </si>
  <si>
    <t>How to Make Tutty Fruity Recipe</t>
  </si>
  <si>
    <t>Wie man ein Tutty Fruity-Rezept macht</t>
  </si>
  <si>
    <t>Comment faire une recette de Tutty Fruity</t>
  </si>
  <si>
    <t>Cómo hacer una receta de Tutty Fruity</t>
  </si>
  <si>
    <t>300 grammes de papaye crue - nettoyée et hachée finement, 300 grammes de sucre, 1 cuillère à café d'extrait de vanille, 1/4 cuillère à café de brins de safran</t>
  </si>
  <si>
    <t>300 grams Raw papaya - cleaned and chopped finely,300 grams Sugar,1 teaspoon Vanilla Extract,1/4 teaspoon Saffron strands</t>
  </si>
  <si>
    <t>300 gramos de papaya cruda, limpia y picada finamente, 300 gramos de azúcar, 1 cucharadita de extracto de vainilla, 1/4 cucharadita de hebras de azafrán</t>
  </si>
  <si>
    <t xml:space="preserve">To make Tutti Fruity, get the papaya washed, peel, remove its seeds and chop it finely.Blanch the papaya in boiling water for 3 minutes, switch off heat and let the pieces soak for another 5 minutes.Drain the chopped papayas after soaking.Dissolve sugar in 2 cups of water and stir on medium heat until sugar dissolves completely.Add papaya pieces in sugar syrup.Now cook until sugar syrup gets to one thread consistency, and until sugar syrup become viscous and papaya pieces are cooked completely.Turn off heat and add 1 tsp of vanilla essence in syrup.Add saffron for natural color. You can also add food color if you want. Divide the mixture, put in separate bowls to add various colors. Let these papaya pieces absorb the color and sugar syrup for next 16-24 hours. Cover and keep aside. Toss for every few hours for the color to be even.After the soaking time, take out the papayas and place them on a wire net placed on top of a plate. This is to drain out any extra syrup and dry the pieces and be freed of stickiness completely. This process speeds up under the sun. It may take 2-3 days depending on the temperature, humidity and the sunlight.After that, you can store the Tutti Fruity Recipe in an airtight container and use it whenever you want.
</t>
  </si>
  <si>
    <t>Para hacer Tutti Fruity, lava la papaya, pélala, quítale las semillas y pícala finamente. Blanquea la papaya en agua hirviendo durante 3 minutos, apaga el fuego y deja los trozos en remojo durante otros 5 minutos. Escurre las papayas picadas después de remojarlas. Disuelve el azúcar en 2 tazas de agua y revuelve a fuego medio hasta que el azúcar se disuelva completamente. Agrega los trozos de papaya en el jarabe de azúcar. Ahora cocina hasta que el jarabe de azúcar tenga la consistencia de un hilo, y hasta que el jarabe de azúcar se vuelva viscoso y los trozos de papaya estén completamente cocidos. Apaga el fuego y agrega 1 cucharadita de esencia de vainilla en el jarabe. Agrega azafrán para obtener un color natural. También puedes agregar colorante alimentario si lo deseas. Divide la mezcla, ponla en recipientes separados para agregar varios colores. Deja que estos trozos de papaya absorban el color y el jarabe de azúcar durante las próximas 16-24 horas. Cubre y reserva. Revuelve cada pocas horas para que el color sea uniforme. Después del tiempo de remojo, saca las papayas y colócalas sobre una red de alambre colocada encima de un plato. Esto es para escurrir el exceso de jarabe, secar los trozos y eliminar por completo la pegajosidad. Este proceso se acelera con el sol. Puede tardar de 2 a 3 días, dependiendo de la temperatura, la humedad y la luz solar. Después, puedes guardar la receta de Tutti Fruity en un recipiente hermético y usarla cuando quieras.</t>
  </si>
  <si>
    <t>Pour faire Tutti Fruity, lavez la papaye, épluchez-la, retirez ses graines et hachez-la finement. Blanchissez la papaye dans de l'eau bouillante pendant 3 minutes, éteignez le feu et laissez les morceaux tremper pendant 5 minutes supplémentaires. Égouttez les papayes hachées après le trempage. Dissolvez le sucre dans 2 tasses d'eau et remuez à feu moyen jusqu'à ce que le sucre soit complètement dissous. Ajoutez les morceaux de papaye dans le sirop de sucre. Faites cuire jusqu'à ce que le sirop de sucre atteigne la consistance d'un fil, et jusqu'à ce que le sirop de sucre devienne visqueux et que les morceaux de papaye soient complètement cuits. Éteignez le feu et ajoutez 1 cuillère à café d'essence de vanille dans le sirop. Ajoutez du safran pour une couleur naturelle. Vous pouvez également ajouter du colorant alimentaire si vous le souhaitez. Divisez le mélange, mettez-le dans des bols séparés pour ajouter différentes couleurs. Laissez ces morceaux de papaye absorber la couleur et le sirop de sucre pendant les 16 à 24 heures suivantes. Couvrez et réservez. Remuez toutes les quelques heures pour que la couleur soit uniforme. Après le temps de trempage, sortez les papayes et placez-les sur un filet métallique placé sur une assiette. Cela permet d'égoutter l'excédent de sirop, de sécher les morceaux et de les débarrasser complètement de leur adhérence. Ce processus s'accélère au soleil. Cela peut prendre 2 à 3 jours selon la température, l'humidité et l'ensoleillement. Vous pouvez ensuite conserver la recette Tutti Fruity dans un récipient hermétique et l'utiliser quand vous le souhaitez.</t>
  </si>
  <si>
    <t>http://www.archanaskitchen.com/how-to-make-tutty-fruity-recipe</t>
  </si>
  <si>
    <t>Avocado Salsa Open Multigrain Toast With Fried Egg Recipe</t>
  </si>
  <si>
    <t>Avocado-Salsa-Rezept für offenen Mehrkorntoast mit Spiegelei</t>
  </si>
  <si>
    <t>Recette de salsa à l'avocat pour pain grillé multigrains ouvert avec œuf au plat</t>
  </si>
  <si>
    <t>Receta de salsa de aguacate para tostadas integrales abiertas con huevo frito</t>
  </si>
  <si>
    <t>2 pains complets de blé entier (multigrains), 1 œuf entier, 1 avocat, 1 tomate (pulpe retirée), 1 oignon (finement haché), 2 à 3 gousses d'ail (hachées), 2 piments verts (finement hachés), 2 à 3 brins de feuilles de coriandre (Dhania) (finement hachées), 1/2 citron, 2 cuillères à soupe de mayonnaise à l'ail et au fromage Del Monte, sel (au goût), poivre noir en poudre (pour l'assaisonnement), beurre (pour la cuisson)</t>
  </si>
  <si>
    <t>2 Whole Wheat Brown Bread - multigrain,1 Whole Eggs,1 Avocado,1 Tomato - pulp removed,1 Onion - finely chopped,2-3 cloves Garlic - chopped,2 Green Chillies - finely chopped,2-3 sprig Coriander (Dhania) Leaves - finely chopped,1/2 Lemon,2 tablespoons Del Monte Cheesy Garlic Mayo,Salt - to taste,Black pepper powder - for seasoning,Butter - for cooking</t>
  </si>
  <si>
    <t>2 panes integrales multigrano, 1 huevo entero, 1 aguacate, 1 tomate sin pulpa, 1 cebolla finamente picada, 2-3 dientes de ajo picados, 2 chiles verdes finamente picados, 2-3 ramitas de hojas de cilantro (Dhania) finamente picadas, 1/2 limón, 2 cucharadas de mayonesa de ajo con queso Del Monte, sal al gusto, pimienta negra en polvo para condimentar, mantequilla para cocinar</t>
  </si>
  <si>
    <t xml:space="preserve">To begin making Avocado Salsa Open Multigrain Toast With Fried Egg Recipe, firstly scoop out the avocado flesh to make the avocado salsa. In a mixing bowl, add all the ingredients with the avocado pulp and mix it into a coarse paste. Season it with salt .Heat a flat pan and toast the bread with a teaspoon of butter on both the side till it is light brown. Keep it aside.Spread a tablespoon of Cheesy Garlic Mayonnaise on the toast, add the avocado salsa and spread it evenly.In the same pan, break open the egg to make a sunny side up (fried egg). Season it with salt and pepper. Once done slowly place it on the bread.Serve your tasty Avocado Salsa Open Multigrain Toast With Fried Egg Recipe along with Cold Coffee Smoothie for a quick healthy breakfast.
</t>
  </si>
  <si>
    <t>Para empezar a preparar la receta de Tostada Multigrano con Salsa de Aguacate y Huevo Frito, primero extrae la pulpa del aguacate para hacer la salsa. En un tazón, agrega todos los ingredientes con la pulpa del aguacate y mézclalos hasta formar una pasta gruesa. Sazona con sal. Calienta una sartén plana y tuesta el pan con una cucharadita de mantequilla por ambos lados hasta que esté ligeramente dorado. Reserva. Unta una cucharada de Mayonesa de Ajo con Queso sobre la tostada, agrega la salsa de aguacate y extiéndela uniformemente. En la misma sartén, rompe el huevo para hacer un huevo frito. Sazona con sal y pimienta. Una vez hecho, colócalo lentamente sobre el pan. Sirve tu deliciosa Tostada Multigrano con Salsa de Aguacate y Huevo Frito junto con un Smoothie de Café Frío para un desayuno rápido y saludable.</t>
  </si>
  <si>
    <t>Pour commencer à préparer la recette de pain grillé multigrains ouvert à la salsa d'avocat et aux œufs au plat, commencez par prélever la chair de l'avocat pour préparer la salsa. Dans un saladier, ajoutez tous les ingrédients avec la pulpe d'avocat et mélangez jusqu'à obtenir une pâte grossière. Assaisonnez de sel. Faites chauffer une poêle plate et faites griller le pain avec une cuillère à café de beurre des deux côtés jusqu'à ce qu'il soit légèrement doré. Réservez. Étalez une cuillère à soupe de mayonnaise à l'ail et au fromage sur le pain grillé, ajoutez la salsa d'avocat et répartissez-la uniformément. Dans la même poêle, cassez l'œuf pour obtenir un œuf au plat. Assaisonnez de sel et de poivre. Une fois cuit, déposez-le lentement sur le pain. Servez votre délicieuse recette de pain grillé multigrains ouvert à la salsa d'avocat et aux œufs au plat avec un smoothie au café froid pour un petit-déjeuner rapide et sain.</t>
  </si>
  <si>
    <t>http://www.archanaskitchen.com/avocado-salsa-open-multigrain-toast-with-fried-egg-recipe</t>
  </si>
  <si>
    <t>Masala Oats And Potato Sandwich Recipe</t>
  </si>
  <si>
    <t>Rezept für ein Masala-Hafer-Kartoffel-Sandwich</t>
  </si>
  <si>
    <t>Recette de sandwich masala à l'avoine et aux pommes de terre</t>
  </si>
  <si>
    <t>Receta de sándwich de avena y papa masala</t>
  </si>
  <si>
    <t>12 pains complets de blé entier, 2 tomates coupées en rondelles, 1 oignon coupé en rondelles, 3 pommes de terre (Aloo) grossièrement écrasées (environ 200 grammes), 80 grammes de flocons d'avoine ou d'avoine instantanée, 1 cuillère à café de gingembre râpé, 2 piments verts finement hachés, 1/4 cuillère à café de poudre de curcuma (Haldi), 5 à 6 feuilles de curry finement hachées, 3 brins de feuilles de coriandre (Dhania) finement hachées, sel au goût, 1 cuillère à café d'huile de tournesol, 1 cuillère à café de graines de moutarde, 1 cuillère à café d'Urad Dal blanc (Split), 1 cuillère à café de Chana dal (Bengal Gram Dal), 1/4 cuillère à café d'Asafoetida (hing)</t>
  </si>
  <si>
    <t>12 Whole Wheat Brown Bread - whole wheat,2 Tomatoes - sliced,1 Onion - sliced into rings,3 Potatoes (Aloo) - coarsely mashed (about 200 grams),80 grams Rolled Oats Or Instant Oats,1 teaspoon Ginger - grated,2 Green Chillies - finely chopped,1/4 teaspoon Turmeric powder (Haldi),5 to 6 Curry leaves - finely chopped,3 sprig Coriander (Dhania) Leaves - finely chopped,Salt - taste,1 teaspoon Sunflower Oil,1 teaspoon Mustard seeds,1 teaspoon White Urad Dal (Split),1 teaspoon Chana dal (Bengal Gram Dal),1/4 teaspoon Asafoetida (hing)</t>
  </si>
  <si>
    <t>12 panes integrales de trigo integral, 2 tomates en rodajas, 1 cebolla cortada en aros, 3 patatas (Aloo) machacadas gruesamente (aproximadamente 200 gramos), 80 gramos de avena arrollada o avena instantánea, 1 cucharadita de jengibre rallado, 2 chiles verdes picados finamente, 1/4 cucharadita de cúrcuma en polvo (Haldi), de 5 a 6 hojas de curry picadas finamente, 3 ramitas de cilantro (Dhania) finamente picadas, sal al gusto, 1 cucharadita de aceite de girasol, 1 cucharadita de semillas de mostaza, 1 cucharadita de dal blanco Urad (partido), 1 cucharadita de dal Chana (dal de gramo de Bengala), 1/4 cucharadita de asafétida (hing)</t>
  </si>
  <si>
    <t xml:space="preserve">To begin making the Masala Oats &amp; Potato Sandwich Recipe, heat the oil in a heavy bottomed pan; add mustard seeds, urad dal, channa dal and allow it to roast until lightly browned.Once browned, add in the ginger, curry leaves, green chillies and asafoetida. At this stage add in the turmeric powder, salt and potatoes and oats. Stir well until all the ingredients are well combined.Cover the pan, turn the heat to low and simmer for a few minutes. Once done, turn off the heat. The filling is ready. Keep aside.To grill and assemble the sandwich, place a slice of bread on a flat surface, spoon a small amount of potato filling on top of the slice and spread it around.Place a couple or 1 large slice of the tomato and a few onion rings on top. Optionally sprinkle some salt or pepper and cover with the other slice of bread. Press the sandwich down with the palm of your handsPreheat a skillet or grill pan; you can now optionally apply butter on the top facing slice.Place the sandwich on the preheated skillet or grill pan such that the buttered side faces down.Now optionally apply butter on the top side. Using a spatula, press the sandwich down so it grills evenly and the filling stays in. Flip over and grill on the other side until crisp and lightly browned.Note: You can optionally use a sandwich maker and grill your spiced potato sandwich and serve it for breakfast or pack it for a school lunch boxServe the Masala Oats &amp; Potato Sandwich along with a smoothie like Strawberry &amp; Oats Smoothie to make a wholesome breakfast.
</t>
  </si>
  <si>
    <t>Para comenzar a hacer la Receta de Sándwich de Avena y Papa Masala, caliente el aceite en una sartén de fondo grueso; agregue semillas de mostaza, urad dal, channa dal y deje que se tueste hasta que esté ligeramente dorado. Una vez dorado, agregue el jengibre, las hojas de curry, los chiles verdes y la asafétida. En esta etapa, agregue la cúrcuma en polvo, la sal, las papas y la avena. Revuelva bien hasta que todos los ingredientes estén bien combinados. Cubra la sartén, baje el fuego y cocine a fuego lento durante unos minutos. Una vez hecho esto, apague el fuego. El relleno está listo. Reservar. Para asar y armar el sándwich, coloque una rebanada de pan en una superficie plana, coloque una pequeña cantidad de relleno de papa encima de la rebanada y extiéndalo alrededor. Coloque un par o 1 rebanada grande de tomate y algunos aros de cebolla encima. Opcionalmente, espolvoree un poco de sal o pimienta y cubra con la otra rebanada de pan. Presione el sándwich hacia abajo con la palma de sus manos. Precaliente una sartén o parrilla; Ahora, si lo desea, puede aplicar mantequilla en la rebanada superior. Coloque el sándwich en la sartén o parrilla precalentada de manera que el lado con mantequilla quede hacia abajo. Ahora, si lo desea, aplique mantequilla en la parte superior. Con una espátula, presione el sándwich hacia abajo para que se ase uniformemente y el relleno permanezca dentro. Voltee y ase por el otro lado hasta que esté crujiente y ligeramente dorado. Nota: Si lo desea, puede usar una sandwichera para asar su sándwich de papa especiada y servirlo para el desayuno o empacarlo para la lonchera escolar. Sirva el sándwich de avena y papa masala junto con un batido como el de fresa y avena para preparar un desayuno saludable.</t>
  </si>
  <si>
    <t>Pour commencer à préparer la recette du sandwich aux flocons d'avoine et aux pommes de terre Masala, faites chauffer l'huile dans une poêle à fond épais ; ajoutez les graines de moutarde, l'urad dal, le channa dal et laissez rôtir jusqu'à ce qu'ils soient légèrement dorés. Une fois dorés, ajoutez le gingembre, les feuilles de curry, les piments verts et l'asafoetida. À ce stade, ajoutez la poudre de curcuma, le sel, les pommes de terre et l'avoine. Remuez bien jusqu'à ce que tous les ingrédients soient bien mélangés. Couvrez la poêle, baissez le feu et laissez mijoter quelques minutes. Une fois terminé, éteignez le feu. La garniture est prête. Réservez. Pour griller et assembler le sandwich, placez une tranche de pain sur une surface plane, déposez une petite quantité de garniture de pommes de terre sur la tranche et étalez-la autour. Placez quelques tranches de tomate ou quelques rondelles d'oignon sur le dessus. Saupoudrez éventuellement de sel ou de poivre et recouvrez avec l'autre tranche de pain. Appuyez sur le sandwich avec la paume de vos mains. Préchauffez une poêle ou un gril ; Vous pouvez maintenant appliquer du beurre sur la tranche supérieure. Placez le sandwich sur la poêle préchauffée ou le gril de manière à ce que le côté beurré soit vers le bas. Appliquez ensuite du beurre sur le dessus. À l'aide d'une spatule, appuyez sur le sandwich pour qu'il grille uniformément et que la garniture reste à l'intérieur. Retournez-le et faites-le griller de l'autre côté jusqu'à ce qu'il soit croustillant et légèrement doré. Remarque : vous pouvez éventuellement utiliser une machine à sandwich et griller votre sandwich aux pommes de terre épicées et le servir au petit-déjeuner ou l'emporter pour une boîte à lunch scolaire. Servez le sandwich Masala à l'avoine et aux pommes de terre avec un smoothie comme le smoothie fraise et avoine pour préparer un petit-déjeuner sain.</t>
  </si>
  <si>
    <t>https://www.archanaskitchen.com/masala-oats-aloo-potato-sandwich-recipe</t>
  </si>
  <si>
    <t>Whole Wheat Lemon &amp; Cranberry Muffins Recipe</t>
  </si>
  <si>
    <t>Rezept für Vollkorn-Zitronen-Cranberry-Muffins</t>
  </si>
  <si>
    <t>Recette de muffins complets au citron et aux canneberges</t>
  </si>
  <si>
    <t>Receta de muffins integrales de limón y arándanos</t>
  </si>
  <si>
    <t>1-1/2 tasse de farine de blé entier, 3/4 tasse de sucre de coco, 2 œufs entiers - ou 2 œufs de lin, 1/2 tasse de babeurre, 1 cuillère à soupe de zeste de citron, 1/2 tasse de canneberges, 1 cuillère à café de levure chimique, 1 cuillère à café d'extrait de vanille, 1 cuillère à soupe de flocons de maïs - ou meuseli, 1 cuillère à soupe de cassonade (sucre Demerara), 1 cuillère à soupe de canneberges</t>
  </si>
  <si>
    <t>1-1/2 cups Whole Wheat Flour,3/4 cup Coconut Sugar,2 Whole Eggs - or 2 flax eggs,1/2 cup Buttermilk,1 tablespoon Lemon zest,1/2 cup Cranberries,1 teaspoon Baking powder,1 teaspoon Vanilla Extract,1 tablespoon Corn flakes - or meuseli,1 tablespoon Brown Sugar (Demerara Sugar),1 tablespoon Cranberries</t>
  </si>
  <si>
    <t>1-1/2 tazas de harina integral, 3/4 taza de azúcar de coco, 2 huevos enteros o 2 huevos de lino, 1/2 taza de suero de leche, 1 cucharada de ralladura de limón, 1/2 taza de arándanos rojos, 1 cucharadita de polvo para hornear, 1 cucharadita de extracto de vainilla, 1 cucharada de hojuelas de maíz o meuseli, 1 cucharada de azúcar morena (azúcar Demerara), 1 cucharada de arándanos rojos</t>
  </si>
  <si>
    <t xml:space="preserve">To begin making the Whole Wheat Lemon &amp; Cranberry Muffins Recipe, preheat the oven to 180 C and also line the cupcake tray or grease and dust.In a large bowl, whisk together all the dry ingredients apart from the ones for the topping, i.e, whole wheat flour, sugar, dried cranberries, almonds and baking powder.In another bowl, lightly whisk together the eggs, melted butter, buttermilk and vanillaGently combine the wet ingredients in the dry taking care not to over mix the muffin batter.Pour the Whole Wheat Lemon &amp; Cranberry Muffins batter into the lined cupcake tray and bake for about 16 minutes or done at 180 C. You will know the muffin is done when you insert a pick in the center and it comes out clean.Once done, remove from the oven and allow it to cool a bit before you can serve.Serve the Whole Wheat Lemon &amp; Cranberry Muffins, warm along with a glass of milk or orange juice for a tasty, healthy yet indulgent weekend breakfast.
</t>
  </si>
  <si>
    <t xml:space="preserve">Para comenzar a hacer la Receta de Muffins de Trigo Integral, Limón y Arándanos, precalienta el horno a 180 C y también forra la bandeja para cupcakes o engrasa y espolvorea. En un tazón grande, bate todos los ingredientes secos excepto los de la cobertura, es decir, harina de trigo integral, azúcar, arándanos secos, almendras y polvo para hornear. En otro tazón, bate ligeramente los huevos, la mantequilla derretida, el suero de leche y la vainilla. Combina suavemente los ingredientes húmedos con los secos teniendo cuidado de no mezclar demasiado la masa de muffins. Vierte la masa de Muffins de Trigo Integral, Limón y Arándanos en la bandeja para cupcakes forrada y hornea durante aproximadamente 16 minutos o listo a 180 C. Sabrás que el muffin está listo cuando insertes un palillo en el centro y salga limpio. Una vez hecho esto, retíralo del horno y déjalo enfriar un poco antes de poder servir. Sirve los Muffins de Trigo Integral, Limón y Arándanos, calientes junto con un vaso de leche o jugo de naranja para un desayuno de fin de semana sabroso, saludable pero indulgente.
</t>
  </si>
  <si>
    <t>Pour commencer à préparer la recette des muffins au blé entier, au citron et aux canneberges, préchauffez le four à 180 °C et tapissez également le moule à cupcakes ou graissez-le et saupoudrez-le. Dans un grand bol, fouettez ensemble tous les ingrédients secs, à l'exception de ceux de la garniture, c'est-à-dire la farine de blé entier, le sucre, les canneberges séchées, les amandes et la levure chimique. Dans un autre bol, fouettez légèrement les œufs, le beurre fondu, le babeurre et la vanille. Mélangez délicatement les ingrédients humides dans les ingrédients secs en prenant soin de ne pas trop mélanger la pâte à muffins. Versez la pâte à muffins au blé entier, au citron et aux canneberges, dans le moule à cupcakes chemisé et faites cuire pendant environ 16 minutes ou à 180 °C. Vous saurez que le muffin est cuit lorsque vous insérez un cure-dent au centre et qu'il en ressort propre. Une fois cuit, retirez-le du four et laissez-le refroidir un peu avant de servir. Servez les muffins au blé entier, au citron et aux canneberges, chauds avec un verre de lait ou de jus d'orange pour un petit-déjeuner de week-end savoureux, sain et gourmand.</t>
  </si>
  <si>
    <t>http://www.archanaskitchen.com/whole-wheat-lemon-cranberry-muffins-recipe</t>
  </si>
  <si>
    <t>French Toast Jam Roll Ups Recipe</t>
  </si>
  <si>
    <t>Rezept für French Toast Marmeladenröllchen</t>
  </si>
  <si>
    <t>Recette de pain perdu à la confiture</t>
  </si>
  <si>
    <t>Receta de tostadas francesas con mermelada</t>
  </si>
  <si>
    <t>6 pains bruns de blé entier, confiture - de votre choix, 3 cuillères à soupe de noix de coco râpée, 1 cuillère à soupe de ghee</t>
  </si>
  <si>
    <t>6 Whole Wheat Brown Bread,Jam - of your choice,3 tablespoons Dessicated Coconut,1 tablespoon Ghee</t>
  </si>
  <si>
    <t>6 panes integrales, mermelada (de su elección), 3 cucharadas de coco deshidratado, 1 cucharada de ghee</t>
  </si>
  <si>
    <t xml:space="preserve">To begin making the French Toast Jam Roll Ups recipe, take bread slices and trim the sides. Using a rolling pin, flatten the bread.Spread required quantity of jam on rolled bread slices and sprinkle some coconut on top. Roll the slices from one end towards the other and seal the edge. Repeat for remaining slices.Heat a pan and add a tablespoon ghee and arrange the rolled slices. Toast it in medium flame until it turns golden on all sides.Remove from pan and arrange it in serving plate. Sprinkle some sugar on top (optional). Serve French Toast Jam Roll Ups for breakfast along with Apple and Pomegranate smoothie recipe for kids and serve it for tea time snacks with a hot cup of Adrak Chai for your tea time break.
</t>
  </si>
  <si>
    <t>Para empezar a preparar la receta de Rollitos de Mermelada y Tostada Francesa, corta los lados de las rebanadas de pan. Con un rodillo, aplana el pan. Unta la cantidad necesaria de mermelada sobre las rebanadas y espolvorea un poco de coco por encima. Enrolla las rebanadas de un extremo al otro y sella el borde. Repite el proceso con las rebanadas restantes. Calienta una sartén, añade una cucharada de ghee y coloca las rebanadas enrolladas. Tuéstalas a fuego medio hasta que se doren por todos lados. Retíralas de la sartén y colócalas en un plato para servir. Espolvorea un poco de azúcar por encima (opcional). Sirve los Rollitos de Mermelada y Tostada Francesa para desayunar junto con el batido de manzana y granada para niños y sírvelos como merienda con una taza de Adrak Chai caliente para la hora del té.</t>
  </si>
  <si>
    <t>Pour commencer à préparer la recette des rouleaux de pain perdu à la confiture, prenez des tranches de pain et coupez les bords. À l'aide d'un rouleau à pâtisserie, aplatissez le pain. Étalez la quantité de confiture nécessaire sur les tranches de pain roulées et saupoudrez de noix de coco. Roulez les tranches d'un bout à l'autre et scellez le bord. Répétez l'opération pour les tranches restantes. Faites chauffer une poêle et ajoutez une cuillère à soupe de ghee et disposez les tranches roulées. Faites-les griller à feu moyen jusqu'à ce qu'elles soient dorées de tous les côtés. Retirez-les de la poêle et disposez-les dans une assiette de service. Saupoudrez de sucre sur le dessus (facultatif). Servez les rouleaux de pain perdu à la confiture au petit-déjeuner avec la recette de smoothie pomme-grenade pour les enfants et servez-les pour le goûter avec une tasse chaude d'Adrak Chai pour votre pause thé.</t>
  </si>
  <si>
    <t>https://www.archanaskitchen.com/french-toast-jam-roll-ups-recipe</t>
  </si>
  <si>
    <t>Herbed Potato Salad Recipe</t>
  </si>
  <si>
    <t>Rezept für Kartoffelsalat mit Kräutern</t>
  </si>
  <si>
    <t>Recette de salade de pommes de terre aux herbes</t>
  </si>
  <si>
    <t>Receta de ensalada de papa con hierbas</t>
  </si>
  <si>
    <t>2 kg de pommes de terre (Aloo) - pelées et coupées en bouchées, 2 tasses de bouillon de légumes, 2 gousses d'ail, 2 tasses de caillé (Dahi / Yaourt), 1 cuillère à soupe d'herbes mélangées (séchées), 1-1/2 tasse de mayonnaise classique (avec œuf), 1/2 tasse de crème fraîche, 1 cuillère à soupe de vinaigre, 4 brins de coriandre (Dhania) Feuilles - finement hachées, 2 tiges d'oignons nouveaux Verts - ou cacahuètes grillées pour la garniture (facultatif), sel et poivre - au goût</t>
  </si>
  <si>
    <t>2 kg Potatoes (Aloo) - peeled and cut to bite size,2 cups Vegetable stock,2 cloves Garlic,2 cups Curd (Dahi / Yogurt),1 tablespoon Mixed Herbs (Dried),1-1/2 cups Classic Mayonnaise (With Egg),1/2 cup Fresh cream,1 tablespoon Vinegar,4 sprig Coriander (Dhania) Leaves - finely chopped,2 Stalks Spring Onion Greens - or Roasted Peanuts for garnish (optional),Salt and Pepper - to taste</t>
  </si>
  <si>
    <t>2 kg de patatas (Aloo) - peladas y cortadas en trozos pequeños, 2 tazas de caldo de verduras, 2 dientes de ajo, 2 tazas de cuajada (Dahi / yogur), 1 cucharada de hierbas mixtas (secas), 1-1/2 tazas de mayonesa clásica (con huevo), 1/2 taza de crema fresca, 1 cucharada de vinagre, 4 ramitas de hojas de cilantro (Dhania) - finamente picadas, 2 tallos de cebolleta o cacahuetes tostados para decorar (opcional), sal y pimienta - al gusto</t>
  </si>
  <si>
    <t xml:space="preserve">To begin making Herbed Potato Salad Recipe,eat a heavy bottomed pan on medium heat; pour in the vegetable broth, add in the garlic,salt and potatoes, and cook them until the potatoes become soft. Once the potatoes soften, drain them and keep aside. Spread them out on a paper lined tray, so that the excess water dries up and they don`t get sticky and mashed.In another bowl, mix in all the remianing ingredients, (except the peanuts and a few coriander leaves ) to make a the salad dressing.Once the potatoes are cooled down, stir in the salad dressing and garnish with coriander and spring onion greens or peanuts. You can also add in some cayenne pepper to make it more spicy.Finally, refrigerate the herbed potato salad until chilled and serve.Serve Herbed Potato Salad Recipe with Roasted Tomato and Pumpkin Soup or Beetroot Gazpacho Soup Recipe for a light dinner.
</t>
  </si>
  <si>
    <t>Para empezar a preparar la Receta de Ensalada de Papa con Hierbas, calienta una sartén de fondo grueso a fuego medio; vierte el caldo de verduras, añade el ajo, la sal y las papas, y cocínalas hasta que las papas estén blandas. Una vez que las papas estén blandas, escúrrelas y reserva. Extiéndelas en una bandeja forrada con papel, para que el exceso de agua se seque y no se peguen ni se aplasten. En otro tazón, mezcla todos los ingredientes restantes (excepto los cacahuetes y unas hojas de cilantro) para hacer el aderezo para la ensalada. Una vez que las papas se hayan enfriado, incorpora el aderezo y decora con cilantro y hojas de cebolleta o cacahuetes. También puedes añadir un poco de pimienta de cayena para que sea más picante. Finalmente, refrigera la ensalada de papa con hierbas hasta que esté fría y sirve. Sirve la Receta de Ensalada de Papa con Hierbas con Sopa de Tomate Asado y Calabaza o Receta de Sopa de Gazpacho de Remolacha para una cena ligera.</t>
  </si>
  <si>
    <t>Pour commencer à préparer la salade de pommes de terre aux herbes, faites chauffer une casserole à fond épais à feu moyen ; versez le bouillon de légumes, ajoutez l'ail, le sel et les pommes de terre, et faites cuire jusqu'à ce qu'elles soient tendres. Une fois les pommes de terre tendres, égouttez-les et réservez. Étalez-les sur une plaque recouverte de papier sulfurisé, afin que l'excès d'eau sèche et qu'elles ne collent pas et ne soient pas écrasées. Dans un autre bol, mélangez tous les ingrédients restants (sauf les cacahuètes et quelques feuilles de coriandre) pour préparer la vinaigrette. Une fois les pommes de terre refroidies, incorporez la vinaigrette et garnissez de coriandre, d'oignons verts ou de cacahuètes. Vous pouvez également ajouter du poivre de Cayenne pour un résultat plus épicé. Enfin, réfrigérez la salade de pommes de terre aux herbes jusqu'à ce qu'elle soit froide et servez. Servez la salade de pommes de terre aux herbes avec une soupe de tomates rôties et de potiron ou une soupe de gaspacho de betterave pour un dîner léger.</t>
  </si>
  <si>
    <t>http://www.archanaskitchen.com/herbed-potato-salad-recipe</t>
  </si>
  <si>
    <t>Creamy &amp; Delicious Egg Mayo Sandwich Recipe - Kids Recipes Made With Del Monte</t>
  </si>
  <si>
    <t>Cremiges und köstliches Ei-Mayo-Sandwich-Rezept – Kinderrezepte mit Del Monte</t>
  </si>
  <si>
    <t>Recette de sandwich crémeux et délicieux aux œufs et à la mayonnaise – Recettes pour enfants avec Del Monte</t>
  </si>
  <si>
    <t>Receta de sándwich cremoso y delicioso de huevo y mayonesa – Recetas infantiles con Del Monte</t>
  </si>
  <si>
    <t>8 pains complets bruns (bords coupés), 3 œufs entiers, 4 cuillères à soupe de mayonnaise classique (avec œuf), 1 concombre finement haché, 4 brins de coriandre (Dhania), sel et poivre (au goût)</t>
  </si>
  <si>
    <t>8 Whole Wheat Brown Bread - edges trimmed,3 Whole Eggs,4 tablespoons Classic Mayonnaise (With Egg),1 Cucumber - finely chopped,4 sprig Coriander (Dhania) Leaves,Salt and Pepper - to taste</t>
  </si>
  <si>
    <t>8 panes integrales de trigo integral (bordes recortados), 3 huevos enteros, 4 cucharadas de mayonesa clásica (con huevo), 1 pepino finamente picado, 4 ramitas de hojas de cilantro (Dhania), sal y pimienta (al gusto)</t>
  </si>
  <si>
    <t xml:space="preserve">To begin making the Creamy &amp; Delicious Egg Mayo Sandwich Recipe, heat a sauce pan with oil, crack the eggs directly on to the hot pan.As the pan gets heated up, start mixing the egg with a wooden spatula and make a scramble. Season it with salt and pepper and stir.After the scramble is made, add chopped cucumber, coriander leaves and a heap tablespoon of Del Monte Egg Mayo and mix well. Check the salt and seasonings and adjust to suit your taste.Take the bread slices and cut the edges and further cut them in the center to form two rectangles.Place the Egg Mayo stuffing on one of the slice and cover it with another. Continue the same with the remaining slices of breads to make the Egg Mayo Sandwich.Serve the Creamy &amp; Delicious Egg Mayo Sandwich along with a glass of Banana Almond &amp; Prunes Smoothie as a summer breakfast or an evening snack for kids.
</t>
  </si>
  <si>
    <t>Para empezar a preparar la receta del cremoso y delicioso sándwich de huevo con mayonesa, calienta una cacerola con aceite, rompe los huevos directamente sobre la sartén caliente. A medida que la sartén se calienta, comienza a mezclar el huevo con una espátula de madera y haz un revuelto. Sazona con sal y pimienta y revuelve. Después de que el revuelto esté hecho, agrega pepino picado, hojas de cilantro y una cucharada colmada de mayonesa de huevo Del Monte y mezcla bien. Revisa la sal y los condimentos y ajusta a tu gusto. Toma las rebanadas de pan y corta los bordes y luego córtalos en el centro para formar dos rectángulos. Coloca el relleno de mayonesa de huevo en una de las rebanadas y cúbrelo con otra. Continúa lo mismo con las rebanadas de pan restantes para hacer el sándwich de huevo con mayonesa. Sirve el cremoso y delicioso sándwich de huevo con mayonesa junto con un vaso de batido de plátano, almendras y ciruelas pasas como un desayuno de verano o una merienda para niños.</t>
  </si>
  <si>
    <t>Pour commencer à préparer le sandwich crémeux et délicieux à la mayonnaise aux œufs, faites chauffer une poêle avec de l'huile, cassez les œufs directement dans la poêle chaude. Pendant que la poêle chauffe, commencez à mélanger les œufs avec une spatule en bois et faites des œufs brouillés. Assaisonnez avec du sel et du poivre et remuez. Une fois les œufs brouillés prêts, ajoutez le concombre haché, les feuilles de coriandre et une cuillère à soupe bombée de mayonnaise aux œufs Del Monte et mélangez bien. Vérifiez le sel et l'assaisonnement et ajustez à votre goût. Prenez les tranches de pain, coupez les bords et coupez-les encore au centre pour former deux rectangles. Déposez la farce à la mayonnaise aux œufs sur l'une des tranches et recouvrez-la d'une autre. Procédez de la même manière avec les tranches de pain restantes pour préparer le sandwich à la mayonnaise aux œufs. Servez le sandwich crémeux et délicieux à la mayonnaise aux œufs avec un verre de smoothie banane, amandes et pruneaux comme petit-déjeuner estival ou comme collation du soir pour les enfants.</t>
  </si>
  <si>
    <t>https://www.archanaskitchen.com/creamy-delicious-egg-mayo-sandwich-recipe-kids-recipes-made-with-del-monte</t>
  </si>
  <si>
    <t>Watermelon And Corn Salad Recipe</t>
  </si>
  <si>
    <t>Wassermelonen-Mais-Salat-Rezept - Rezept für Wassermelonen-Maissalat</t>
  </si>
  <si>
    <t>Recette de salade de maïs à la pastèque - Recette de salade de maïs à la pastèque</t>
  </si>
  <si>
    <t>Receta de ensalada de sandía y maíz - Receta de ensalada de sandía y maíz</t>
  </si>
  <si>
    <t>2 tasses de pastèque - pelée et coupée, 1 tasse de maïs sucré, 1/4 tasse de basilic - lavé et haché, 1/4 tasse de menthe - lavée et hachée, 1 cuillère à soupe de jus de citron, sel - selon le goût, 1/2 cuillère à café de poudre de poivre noir, 2 cuillères à soupe de jalapeño - haché, 1 cuillère à soupe d'huile d'olive, 1 cuillère à café de miel</t>
  </si>
  <si>
    <t>2 cups watermelon - peeled and cut, 1 cup sweet corn, 1/4 cup basil - washed and chopped, 1/4 cup mint - washed and chopped, 1 tablespoon lemon juice, salt - according to taste, 1/2 teaspoon black pepper powder, 2 tablespoons jalapeno - chopped, 1 tablespoon olive oil, 1 teaspoon honey</t>
  </si>
  <si>
    <t>2 tazas de sandía - pelada y cortada, 1 taza de maíz dulce, 1/4 taza de albahaca - lavada y picada, 1/4 taza de menta - lavada y picada, 1 cucharada de jugo de limón, sal - al gusto, 1/2 cucharadita de pimienta negra en polvo, 2 cucharadas de jalapeño - picado, 1 cucharada de aceite de oliva, 1 cucharadita de miel</t>
  </si>
  <si>
    <t>To make Watermelon and Corn Salad Recipe, first put the corn in a pressure cooker. Add 1/2 cup water and cook till 1 whistle. Turn off the gas and release the pressure. Take out the corn and keep it aside. Let it cool. Now take the corn and watermelon in a bowl and keep it in the fridge to cool. Meanwhile, we will make the dressing for this salad. In a mixer grinder, take basil leaves, mint leaves, lemon juice, salt, black pepper powder, jalapeños, olive oil, honey and grind it to make a paste. Mix this dressing in the corn and watermelon and serve. Serve Watermelon and Corn Salad Recipe with Chilled Cucumber Soup and Herb Mushroom Bruschetta for dinner.</t>
  </si>
  <si>
    <t>Para preparar la receta de ensalada de sandía y maíz, primero ponga el maíz en una olla a presión. Añada 1/2 taza de agua y cocine hasta que suene un silbido. Apague el gas y libere la presión. Retire el maíz y resérvelo. Deje enfriar. Ahora, coloque el maíz y la sandía en un tazón y guárdelos en el refrigerador para que se enfríen. Mientras tanto, prepararemos el aderezo para esta ensalada. En una licuadora, mezcle hojas de albahaca, hojas de menta, jugo de limón, sal, pimienta negra en polvo, jalapeños, aceite de oliva y miel hasta formar una pasta. Mezcle este aderezo con el maíz y la sandía y sirva. Sirva la receta de ensalada de sandía y maíz con sopa fría de pepino y bruschetta de champiñones con hierbas para la cena.</t>
  </si>
  <si>
    <t>Pour préparer la salade de pastèque et de maïs, mettez d'abord le maïs dans un autocuiseur. Ajoutez 120 ml d'eau et laissez cuire jusqu'à 1 sifflement. Coupez le gaz et laissez la pression diminuer. Retirez le maïs et réservez-le. Laissez refroidir. Mettez le maïs et la pastèque dans un bol et réservez-les au réfrigérateur. Pendant ce temps, préparez la vinaigrette. Dans un mixeur, mixez les feuilles de basilic, les feuilles de menthe, le jus de citron, le sel, le poivre noir en poudre, les jalapeños, l'huile d'olive et le miel jusqu'à obtenir une pâte. Mélangez cette vinaigrette au maïs et à la pastèque et servez. Servez la salade de pastèque et de maïs avec une soupe froide de concombre et une bruschetta aux champignons et aux herbes pour le dîner.</t>
  </si>
  <si>
    <t>https://www.archanaskitchen.com/watermelon-and-corn-salad-recipe-a-refreshing-summer-salad-in-hindi</t>
  </si>
  <si>
    <t>Pea And Spring Onion Soup Recipe</t>
  </si>
  <si>
    <t>Rezept für Erbsen-Frühlingszwiebel-Suppe</t>
  </si>
  <si>
    <t>Recette de soupe aux pois et aux oignons nouveaux</t>
  </si>
  <si>
    <t>Receta de sopa de guisantes y cebolleta</t>
  </si>
  <si>
    <t>2 tasses de pois verts (Matar) - cuits à la vapeur, 1 tasse de feuilles d'oignons nouveaux - grossièrement hachées, 4 à 5 oignons nouveaux (bulbes et feuilles) - hachés, 4 gousses d'ail - écrasées, 2 cuillères à soupe d'huile d'olive extra vierge, sel - au goût, 2 cuillères à café de poudre de poivre noir, 500 ml de bouillon de légumes, 2 cuillères à soupe de crème fraîche, poudre de poivre noir - au goût</t>
  </si>
  <si>
    <t>2 cup Green peas (Matar) - steamed,1 cup Spring Onion Greens - roughly chopped,4 - 5 Spring Onion (Bulb &amp; Greens) - chopped,4 cloves Garlic - smashed,2 tablespoon Extra Virgin Olive Oil,Salt - to taste,2 teaspoon Black pepper powder,500 ml Vegetable stock,2 tablespoon Fresh cream,Black pepper powder - to taste</t>
  </si>
  <si>
    <t>2 tazas de guisantes verdes (Matar) - al vapor, 1 taza de hojas de cebolleta - picadas gruesamente, 4 - 5 cebolletas (bulbo y hojas) - picadas, 4 dientes de ajo - machacados, 2 cucharadas de aceite de oliva virgen extra, sal - al gusto, 2 cucharaditas de pimienta negra en polvo, 500 ml de caldo de verduras, 2 cucharadas de crema fresca, pimienta negra en polvo - al gusto</t>
  </si>
  <si>
    <t xml:space="preserve">To begin making Pea And Spring Onion Soup, separate greens from spring onion. Chop the spring onion and set aside. Similarly chop the spring onion greens and keep in a separate bowl.In a large pot simmer vegetable stock over low flame so that it remain hot while adding to the soup.Heat olive oil in a saucepan over medium heat; add chopped spring onion and garlic. Sauté until onion turn translucent but not brown for about 1 to 2 minutes.Once cooked the spring onions are through, add peas, spring greens and sauté for 2 minutes more. Season with salt and pepper.Puree the green peas mixture in a mixer along with the vegetable stock into a smooth puree. Check the salt and pepper and adjust to suit your taste.When you are ready to serve the Pea and Spring Onion Soup , bring the soup to a brisk boil over Saucepan. Serve Pea And Spring Onion Soup along with Whole Wheat Rosemary Focaccia Bread as a weeknight meal appetizer.
</t>
  </si>
  <si>
    <t xml:space="preserve">Para empezar a hacer sopa de guisantes y cebolleta, separe las verduras de la cebolleta. Pique la cebolleta y déjela a un lado. De igual manera, pique las hojas de la cebolleta y manténgalas en un recipiente aparte. En una olla grande, cocine a fuego lento el caldo de verduras para que permanezca caliente mientras lo agrega a la sopa. Caliente el aceite de oliva en una cacerola a fuego medio; agregue la cebolleta picada y el ajo. Saltee hasta que la cebolla se vuelva translúcida pero no marrón durante aproximadamente 1 a 2 minutos. Una vez cocidas las cebolletas, agregue los guisantes, las hojas de primavera y saltee durante 2 minutos más. Sazone con sal y pimienta. Haga puré la mezcla de guisantes verdes en una batidora junto con el caldo de verduras hasta obtener un puré suave. Compruebe la sal y la pimienta y ajuste a su gusto. Cuando esté listo para servir la sopa de guisantes y cebolleta, hierva a fuego rápido en una cacerola. Sirva la sopa de guisantes y cebolleta junto con pan focaccia de romero y trigo integral como aperitivo para la comida de la noche.
</t>
  </si>
  <si>
    <t>Pour commencer à préparer la soupe aux petits pois et à l'oignon nouveau, séparez les feuilles de l'oignon nouveau. Hachez l'oignon nouveau et réservez. Hachez également les feuilles d'oignon nouveau et conservez-les dans un bol séparé. Dans une grande casserole, laissez mijoter le bouillon de légumes à feu doux afin qu'il reste chaud pendant l'ajout à la soupe. Faites chauffer l'huile d'olive dans une casserole à feu moyen ; ajoutez l'oignon nouveau et l'ail hachés. Faites revenir jusqu'à ce que l'oignon devienne translucide mais pas brun, pendant environ 1 à 2 minutes. Une fois les oignons nouveaux cuits, ajoutez les petits pois et les feuilles de printemps et faites revenir pendant 2 minutes supplémentaires. Assaisonnez de sel et de poivre. Mixez le mélange de petits pois au mixeur avec le bouillon de légumes jusqu'à obtenir une purée lisse. Vérifiez le sel et le poivre et ajustez à votre goût. Lorsque vous êtes prêt à servir la soupe aux petits pois et à l'oignon nouveau, portez la soupe à ébullition rapide au-dessus d'une casserole. Servez la soupe aux petits pois et à l'oignon nouveau avec du pain focaccia complet au romarin en entrée pour un repas de semaine.</t>
  </si>
  <si>
    <t>https://www.archanaskitchen.com/pea-and-spring-onion-soup-recipe</t>
  </si>
  <si>
    <t>Vegetable Clear Soup Recipe</t>
  </si>
  <si>
    <t>Klare Gemüsesuppe Rezept – Rezept für klare Gemüsesuppe</t>
  </si>
  <si>
    <t>Recette de soupe claire aux légumes – Recette de soupe claire aux légumes</t>
  </si>
  <si>
    <t>Receta de sopa de verduras clara – Receta de sopa de verduras clara</t>
  </si>
  <si>
    <t>1 oignon haché, 1 carotte hachée, 1 cuillère à soupe de poivre noir entier écrasé, 2,5 cm de gingembre râpé, 4 gousses d'ail, 3 brins de feuilles de coriandre, 1 carotte coupée en rondelles, 250 ml de haricots verts hachés, 250 ml de champignons de Paris hachés, 1 poivron vert haché, 1/2 tasse d'oignon vert haché, sel au goût, poivre noir en poudre au goût</t>
  </si>
  <si>
    <t>1 onion - chopped, 1 carrot - chopped, 1 tablespoon whole black pepper - crushed, 1 inch ginger - grated, 4 cloves garlic, 3 sprigs of coriander leaves, 1 carrot - chopped into rounds, 1 cup green beans - chopped, 1 cup button mushrooms - chopped, 1 capsicum (green) - chopped, 1/2 cup spring onion - chopped, salt - according to taste, black pepper powder - according to taste</t>
  </si>
  <si>
    <t>1 cebolla picada, 1 zanahoria picada, 1 cucharada de pimienta negra entera triturada, 1 pulgada de jengibre rallado, 4 dientes de ajo, 3 ramitas de hojas de cilantro, 1 zanahoria cortada en rodajas, 1 taza de judías verdes picadas, 1 taza de champiñones picados, 1 pimiento verde picado, 1/2 taza de cebolla de verdeo picada, sal al gusto, pimienta negra en polvo al gusto</t>
  </si>
  <si>
    <t>To make the Vegetable Clear Soup Recipe, we will first make the stock. In a saucepan add 4-5 cups of water. When the water starts boiling add onion, garlic, coriander leaves, ginger, carrot, black pepper. Let it boil on medium flame. Boil for 30 - 50 minutes. Remove the vegetables and strain the water well. Pour this water in a saucepan and turn on the gas. Add carrots, beans, mushrooms, capsicum and cook till the vegetables turn soft. Once the vegetables turn soft, turn off the gas and add spring onions, salt and black pepper. Mix and serve. Serve Vegetable Clear Soup Recipe before your everyday meal. After this, you can serve Palak Daal, Bhindi Masala Curry and Phulkas for dinner.</t>
  </si>
  <si>
    <t>Para preparar la receta de sopa clara de verduras, primero prepararemos el caldo. En una cacerola, agregue de 4 a 5 tazas de agua. Cuando el agua comience a hervir, agregue cebolla, ajo, hojas de cilantro, jengibre, zanahoria y pimienta negra. Deje hervir a fuego medio durante 30 a 50 minutos. Retire las verduras y cuele bien el agua. Vierta esta agua en una cacerola y abra el fuego. Agregue zanahorias, frijoles, champiñones y pimiento morrón, y cocine hasta que las verduras estén tiernas. Una vez que las verduras estén tiernas, apague el fuego y agregue cebolletas, sal y pimienta negra. Mezcle y sirva. Sirva la sopa clara de verduras antes de su comida diaria. Después, puede servir palak daal, curry bhindi masala y phulkas para la cena.</t>
  </si>
  <si>
    <t>Pour préparer la soupe claire aux légumes, nous allons d'abord préparer le bouillon. Dans une casserole, verser 4 à 5 tasses d'eau. Lorsque l'eau bout, ajouter l'oignon, l'ail, les feuilles de coriandre, le gingembre, la carotte et le poivre noir. Laisser mijoter à feu moyen pendant 30 à 50 minutes. Retirer les légumes et bien filtrer l'eau. Verser l'eau dans une casserole et ouvrir le gaz. Ajouter les carottes, les haricots, les champignons et les poivrons et cuire jusqu'à ce que les légumes soient tendres. Une fois les légumes tendres, couper le gaz et ajouter les oignons nouveaux, le sel et le poivre noir. Mélanger et servir. Servir la soupe claire aux légumes avant votre repas quotidien. Vous pouvez ensuite servir du Palak Daal, du Bhindi Masala Curry et des Phulkas au dîner.</t>
  </si>
  <si>
    <t>http://www.archanaskitchen.com/vegetable-clear-soup-recipe-in-hindi</t>
  </si>
  <si>
    <t>Healthy Brown Rice Salad Recipe</t>
  </si>
  <si>
    <t>Rezept für gesunden Naturreissalat</t>
  </si>
  <si>
    <t>Recette de salade de riz brun saine</t>
  </si>
  <si>
    <t>Receta saludable de ensalada de arroz integral</t>
  </si>
  <si>
    <t>1/2 tasse de riz brun cuit, 1 tasse de feuilles d'épinards (Palak), 1/4 de poivron vert coupé en lanières, 1/4 de poivron rouge coupé en lanières, 1/2 carotte coupée en fines lanières, 1/4 de tasse de maïs doux cuit à la vapeur, 5 à 6 fraises coupées en quartiers, 2 cuillères à soupe de canneberges, 1/4 d'oignon émincé, 2 cuillères à soupe d'amandes grillées et tranchées, 50 grammes de feta émietté, 2 cuillères à soupe d'huile d'olive extra vierge, 2 cuillères à café de vinaigre de cidre, 1 cuillère à café de miel, 1 gousse d'ail hachée, 1 pincée de sel, 1 cuillère à café de poivre noir fraîchement moulu</t>
  </si>
  <si>
    <t>1/2 cup Brown Rice - cooked,1 cup Spinach Leaves (Palak),1/4 Green Bell Pepper (Capsicum) - cut into strips,1/4 Red Bell pepper (Capsicum) - cut into strips,1/2 Carrot (Gajjar) - cut into thin strips,1/4 cup Sweet corn - steamed,5 to 6 Strawberries - quartered,2 tablespoons Cranberries,1/4 Onion - sliced,2 tablespoons Badam (Almond) - toasted and  sliced,50 grams Feta Cheese - crumbled,2 tablespoons Extra Virgin Olive Oil,2 teaspoons Apple cider vinegar,1 teaspoon Honey,1 cloves Garlic - minced,1 pinch Salt,1 teaspoon Black pepper powder - Freshly cracked</t>
  </si>
  <si>
    <t>1/2 taza de arroz integral - cocido, 1 taza de hojas de espinaca (Palak), 1/4 de pimiento verde (Capsicum) - cortado en tiras, 1/4 de pimiento rojo (Capsicum) - cortado en tiras, 1/2 zanahoria (Gajjar) - cortada en tiras finas, 1/4 taza de maíz dulce - al vapor, 5 a 6 fresas - cortadas en cuartos, 2 cucharadas de arándanos rojos, 1/4 de cebolla - en rodajas, 2 cucharadas de Badam (almendra) - tostada y en rodajas, 50 gramos de queso feta - desmenuzado, 2 cucharadas de aceite de oliva virgen extra, 2 cucharaditas de vinagre de sidra de manzana, 1 cucharadita de miel, 1 diente de ajo - picado, 1 pizca de sal, 1 cucharadita de pimienta negra en polvo - recién molida</t>
  </si>
  <si>
    <t xml:space="preserve">To begin making the Brown Rice Salad recipe, first layer the salad leaves on a plate.Next, spread the brown rice (that is cooked in the pressure cooker for 2 whistle in a pressure cooker) and then evenly distribute the remaining ingredients onto the plate.Finally sprinkle the almonds and cranberries. Crumble the feta over the salad.Refrigerate the salad until needed. (optional) Whisk all the ingredients mentioned under ‘For the dressing’ in a small bowl.Mix it properly and spoon the dressing on the salad just before serving. Serve Brown Rice Salad as a side dish with Guacamole Soup or Roasted Tomato and Pumpkin Soup or a meal on its own. Its sure to make heads turn in a potluck or a party.
</t>
  </si>
  <si>
    <t>Para empezar a preparar la receta de ensalada de arroz integral, primero coloque las hojas de ensalada en capas en un plato. A continuación, extienda el arroz integral (que se cocina en la olla a presión durante 2 silbidos) y luego distribuya uniformemente los ingredientes restantes en el plato. Finalmente, espolvoree las almendras y los arándanos. Desmenuce el queso feta sobre la ensalada. Refrigere la ensalada hasta que la necesite. (opcional) Bata todos los ingredientes mencionados en "Para el aderezo" en un tazón pequeño. Mezcle bien y vierta el aderezo sobre la ensalada justo antes de servir. Sirva la ensalada de arroz integral como guarnición con sopa de guacamole o sopa de tomate y calabaza asados, o como una comida por sí sola. Seguro que llama la atención en una comida compartida o una fiesta.</t>
  </si>
  <si>
    <t>Pour commencer la recette de la salade de riz brun, commencez par superposer les feuilles de salade sur une assiette. Ensuite, étalez le riz brun (cuit à l'autocuiseur pendant 2 minutes), puis répartissez uniformément le reste des ingrédients sur l'assiette. Enfin, parsemez d'amandes et de canneberges. Émiettez la feta sur la salade. Réfrigérez la salade jusqu'à utilisation. (facultatif) Fouettez tous les ingrédients mentionnés sous « Pour la vinaigrette » dans un petit bol. Mélangez bien et versez la vinaigrette sur la salade juste avant de servir. Servez la salade de riz brun en accompagnement d'une soupe au guacamole ou d'une soupe aux tomates rôties et au potiron, ou en plat principal. Elle fera tourner les têtes lors d'un repas-partage ou d'une fête.</t>
  </si>
  <si>
    <t>http://www.archanaskitchen.com/healthy-brown-rice-salad-recipe</t>
  </si>
  <si>
    <t>Quinoa-Flaxseed Banana Muffins Recipe</t>
  </si>
  <si>
    <t>Rezept für Quinoa-Leinsamen-Bananenmuffins</t>
  </si>
  <si>
    <t>Recette de muffins banane-quinoa-graines de lin</t>
  </si>
  <si>
    <t>Receta de muffins de plátano, quinoa y linaza</t>
  </si>
  <si>
    <t>4 bananes mûres, 2 œufs entiers, 1/2 tasse de caillé (dahi/yogourt), 1/2 tasse d'huile de tournesol, 1/2 tasse de cassonade (sucre Demerara), 1/2 tasse de pépites de chocolat, 1/2 tasse de graines de lin en poudre, 1 tasse d'avoine instantanée (gruau) en poudre, 1/2 tasse de quinoa en poudre, 1 tasse de farine de blé entier, 1/2 tasse de cacao en poudre, 1 cuillère à café de levure chimique, 1 cuillère à café de bicarbonate de soude, 1/2 cuillère à café de sel</t>
  </si>
  <si>
    <t>4 Ripe Bananas,2 Whole Eggs,1/2 cup Curd (Dahi / Yogurt),1/2 cup Sunflower Oil,1/2 cup Brown Sugar (Demerara Sugar),1/2 cup Chocolate chips,1/2 cup Flax seeds - powdered,1 cup Instant Oats (Oatmeal) - powdered,1/2 cup Quinoa - powdered,1 cup Whole Wheat Flour,1/2 cup Cocoa Powder,1 teaspoon Baking powder,1 teaspoon Baking soda,1/2 teaspoon Salt</t>
  </si>
  <si>
    <t>4 plátanos maduros, 2 huevos enteros, 1/2 taza de cuajada (Dahi / yogur), 1/2 taza de aceite de girasol, 1/2 taza de azúcar morena (azúcar Demerara), 1/2 taza de chispas de chocolate, 1/2 taza de semillas de lino - en polvo, 1 taza de avena instantánea (avena) - en polvo, 1/2 taza de quinoa - en polvo, 1 taza de harina de trigo integral, 1/2 taza de cacao en polvo, 1 cucharadita de polvo para hornear, 1 cucharadita de bicarbonato de sodio, 1/2 cucharadita de sal</t>
  </si>
  <si>
    <t xml:space="preserve">To begin making the Quinoa-Flaxseed Banana Muffins Recipe, combine all the dry ingredients in a bowl, mix well and set aside. Mash the bananas and set aside.Preheat the oven to 180 C and grease the muffin pan with butter or line it with muffin liners and keep aside.In a large bowl, combine oil, yogurt and sugar using an electric hand beater. Beat at low speed until well blended. Add the eggs, one at a time and beat until combined. Gradually add in the mashed banana and beat well.Gradually add the dry ingredients into the wet mixture and beat until just combined and the flour is well incorporated into the mixture.Spoon the muffin batter into the prepared muffin cavities until it is only 3/4 full, don't fill the batter till the brim.Top the muffin batter with oats and chocolate chips and place it in the preheated oven to bake for 15 - 18 minutes or until the cake is done - when a tester like a toothpick is inserted in the center it should come out clean.Once done, remove the Quinoa-Flaxseed Banana Muffins from the oven and allow it cool for a bit in the baking tray for two minutes, then cool them completely on cooling racks. Store Quinoa-Flaxseed Banana Muffins in airtight boxes or refrigerate for a longer shelf life.Serve the Quinoa-Flaxseed Banana Muffins along with Piña Colada Recipe and an Spanish Omelette for a wholesome breakfast.
</t>
  </si>
  <si>
    <t xml:space="preserve">Para empezar a preparar la receta de muffins de plátano con quinoa y linaza, combine todos los ingredientes secos en un tazón, mezcle bien y reserve. Machaque los plátanos y reserve. Precaliente el horno a 180 °C y engrase el molde para muffins con mantequilla o cúbralo con capacillos y reserve. En un tazón grande, combine el aceite, el yogur y el azúcar con una batidora eléctrica. Bata a baja velocidad hasta que esté bien integrado. Agregue los huevos, uno a uno, y bata hasta que se integren. Poco a poco, agregue el plátano machacado y bata bien. Poco a poco, agregue los ingredientes secos a la mezcla húmeda y bata hasta que se combinen y la harina esté bien incorporada a la mezcla. Vierta la masa de muffins en las cavidades preparadas para muffins hasta que esté solo 3/4 llena, no llene la masa hasta el borde. Cubra la masa de muffins con avena y chispas de chocolate y colóquela en el horno precalentado para hornear durante 15 a 18 minutos o hasta que el pastel esté listo; cuando se inserta un probador como un palillo en el centro, debe salir limpio. Una vez hecho esto, retire los Muffins de Plátano con Quinoa y Linaza del horno y déjelos enfriar un poco en la bandeja para hornear durante dos minutos, luego déjelos enfriar completamente en rejillas para enfriar. Guarde los Muffins de Plátano con Quinoa y Linaza en recipientes herméticos o refrigérelos para una vida útil más larga. Sirva los Muffins de Plátano con Quinoa y Linaza junto con la Receta de Piña Colada y una Tortilla Española para un desayuno saludable.
</t>
  </si>
  <si>
    <t>Pour préparer les muffins banane-quinoa, graines de lin et quinoa, mélangez tous les ingrédients secs dans un bol, mélangez bien et réservez. Écrasez les bananes et réservez. Préchauffez le four à 180 °C et beurrez un moule à muffins ou chemisez-le de caissettes à muffins. Réservez. Dans un grand bol, mélangez l'huile, le yaourt et le sucre à l'aide d'un batteur électrique. Battez à basse vitesse jusqu'à obtenir un mélange homogène. Ajoutez les œufs un à un et battez jusqu'à ce que le tout soit bien incorporé. Ajoutez progressivement la banane écrasée et battez bien. Ajoutez progressivement les ingrédients secs au mélange humide et battez jusqu'à ce qu'ils soient bien mélangés et que la farine soit bien incorporée au mélange. Versez la pâte à muffins dans les cavités à muffins préparées jusqu'à ce qu'elle ne soit remplie qu'aux 3/4, ne remplissez pas la pâte jusqu'au bord. Garnissez la pâte à muffins d'avoine et de pépites de chocolat et placez-la dans le four préchauffé pour cuire pendant 15 à 18 minutes ou jusqu'à ce que le gâteau soit cuit - lorsqu'un testeur comme un cure-dent est inséré au centre, il doit ressortir propre. Une fois terminé, retirez les muffins au quinoa et aux graines de lin de la banane du four et laissez-les refroidir un peu dans la plaque de cuisson pendant deux minutes, puis laissez-les refroidir complètement sur des grilles de refroidissement. Conservez les muffins quinoa-lin-banane dans des boîtes hermétiques ou au réfrigérateur pour une conservation plus longue. Servez les muffins quinoa-lin-banane avec une recette de Piña Colada et une omelette espagnole pour un petit-déjeuner sain.</t>
  </si>
  <si>
    <t>http://www.archanaskitchen.com/quinoa-flaxseed-banana-muffins-recipe</t>
  </si>
  <si>
    <t>Eggless Sugarless Oats And Nuts Cookie Recipe</t>
  </si>
  <si>
    <t>Rezept für zuckerfreie Hafer-Nuss-Kekse ohne Ei</t>
  </si>
  <si>
    <t>Recette de biscuits à l'avoine et aux noix sans sucre et sans œufs</t>
  </si>
  <si>
    <t>Receta de galletas de avena y nueces sin azúcar ni huevo</t>
  </si>
  <si>
    <t>1 tasse d'avoine instantanée (gruau), 1/8 tasse de noix de cajou, 1/8 tasse de badam (amande), 1/3 tasse de farine de blé entier, 1/4 tasse de miel, 1-1/2 cuillère à café de caillé (dahi / yaourt), 1/4 cuillère à café de bicarbonate de soude, 1/2 cuillère à café d'extrait de vanille - ou d'extrait de pistache</t>
  </si>
  <si>
    <t>1 cup Instant Oats (Oatmeal),1/8 cup Cashew nuts,1/8 cup Badam (Almond),1/3 cup Whole Wheat Flour,1/4 cup Honey,1-1/2 teaspoons Curd (Dahi / Yogurt),1/4 teaspoon Baking soda,1/2 teaspoon Vanilla Extract - or pistachio extract</t>
  </si>
  <si>
    <t>1 taza de avena instantánea (avena), 1/8 taza de anacardos, 1/8 taza de almendras, 1/3 taza de harina integral, 1/4 taza de miel, 1-1/2 cucharaditas de cuajada (dahi/yogur), 1/4 cucharadita de bicarbonato de sodio, 1/2 cucharadita de extracto de vainilla o extracto de pistacho</t>
  </si>
  <si>
    <t xml:space="preserve">To begin making the Eggless Sugarless Oats And Nuts Cookie recipe, transfer cashews and almonds to a mixer and make a coarse powder.Sift whole wheat flour and baking soda together. To this, add the mixed nuts flour and mix well with oats.To the crumbly mix, add 1 to 2 teaspoons curd to make a smooth dough along with vanilla extract and honey. Add water if required.Cover the dough and keep in fridge for 45 minutes. This will make dough a bit hard and non sticky.After 45 minutes, preheat the oven at 180 C for 10 minutes. Divide the dough to small lemon sized equal balls.Flatten each balls gently by using your palm. Arrange the cookies on the baking tray lined with parchment paper. Leave some space in between.Use your fork and press in the centre of each cookie to make an impression.Place the tray in the middle rack and bake the cookies at 180 C for 10 to 12 minutes. After 10 to 12 minutes, take them out and reduce the temperature to 160 C.Bake the cookies again for 3 to 5 minutes or till they are golden brown from sides as well bottom. This will make cookies crisper.Remove the cookies from the tray and let it cool completely. Initially, they look soft when hot but after sometime, they will become crunchy.Serve Eggless Sugarless Oats And Nuts Cookie recipe along with Masala Tea and Cheese Cucumber sandwich for a tea party.
</t>
  </si>
  <si>
    <t>Para empezar a preparar la receta de galletas de avena y nueces sin huevo y sin azúcar, pasa los anacardos y las almendras a una batidora y muele hasta obtener un polvo grueso. Tamiza la harina integral y el bicarbonato. Añádele la harina de nueces y mezcla bien con la avena. A la mezcla desmenuzada, añade de 1 a 2 cucharaditas de cuajada para formar una masa suave, junto con el extracto de vainilla y la miel. Añade agua si es necesario. Cubre la masa y guárdala en el refrigerador durante 45 minutos. Esto hará que la masa quede un poco dura y no se pegue. Después de 45 minutos, precalienta el horno a 180 °C durante 10 minutos. Divide la masa en bolitas iguales del tamaño de un limón. Aplana cada bolita suavemente con la palma de la mano. Coloca las galletas en la bandeja para hornear forrada con papel vegetal, dejando espacio entre ellas. Con un tenedor, presiona el centro de cada galleta para crear una marca. Coloca la bandeja en la rejilla central y hornea las galletas a 180 °C durante 10 a 12 minutos. Después de 10 a 12 minutos, sáquelas y reduzca la temperatura a 160 °C. Hornee las galletas de nuevo de 3 a 5 minutos o hasta que estén doradas por los lados y la base. Esto las hará más crujientes. Retire las galletas de la bandeja y déjelas enfriar por completo. Al principio, se ven suaves al calentarse, pero con el tiempo se volverán crujientes. Sirva la receta de galletas de avena y nueces sin huevo y sin azúcar junto con un sándwich de pepino, queso y té masala para una merienda.</t>
  </si>
  <si>
    <t>Pour commencer la recette des cookies sans œufs, sans sucre, à l'avoine et aux noix, versez les noix de cajou et les amandes dans un mixeur et réduisez en poudre grossière. Tamisez la farine de blé complet et le bicarbonate de soude. Ajoutez la farine de noix mélangée et mélangez bien avec les flocons d'avoine. À la pâte émiettée, ajoutez 1 à 2 cuillères à café de curd pour obtenir une pâte lisse, ainsi que l'extrait de vanille et le miel. Ajoutez de l'eau si nécessaire. Couvrez la pâte et réservez au réfrigérateur pendant 45 minutes. Cela la rendra un peu dure et non collante. Après 45 minutes, préchauffez le four à 180 °C pendant 10 minutes. Divisez la pâte en petites boules égales de la taille d'un citron. Aplatissez chaque boule délicatement avec la paume de la main. Disposez les biscuits sur une plaque de cuisson recouverte de papier sulfurisé en les espaçant. À l'aide d'une fourchette, appuyez au centre de chaque biscuit pour créer une impression. Placez la plaque sur la grille du milieu et faites cuire les biscuits à 180 °C pendant 10 à 12 minutes. Après 10 à 12 minutes, sortez-les et baissez la température à 160 °C. Recuisez les biscuits pendant 3 à 5 minutes ou jusqu'à ce qu'ils soient dorés sur les côtés et le dessous. Cela les rendra plus croustillants. Retirez-les de la plaque et laissez-les refroidir complètement. Au début, ils sont mous lorsqu'ils sont chauds, mais après un certain temps, ils deviendront croustillants. Servez cette recette de biscuits sans œufs, sans sucre, à l'avoine et aux noix avec un sandwich au concombre et au thé masala pour un goûter.</t>
  </si>
  <si>
    <t>https://www.archanaskitchen.com/eggless-sugarless-oats-and-nuts-cookie-recipe</t>
  </si>
  <si>
    <t>Strawberry Coconut Trifle Pudding Recipe</t>
  </si>
  <si>
    <t>Rezept für Erdbeer-Kokos-Trifle-Pudding</t>
  </si>
  <si>
    <t>Recette de pudding à la fraise et à la noix de coco</t>
  </si>
  <si>
    <t>Receta de pudín de fresa y coco</t>
  </si>
  <si>
    <t>1 gâteau au citron coupé en cubes de 2,5 cm, 180 ml de lait de coco, 2 cuillères à soupe de farine de maïs, 1/2 tasse de sucre, 200 grammes de fraises coupées en quartiers, noix grillées</t>
  </si>
  <si>
    <t>1 Lemon Pound Cake - cut into 1-inch cubes,180 ml Coconut milk,2 tablespoons Corn flour,1/2 cup Sugar,200 grams Strawberries - quartered,Walnuts - roasted</t>
  </si>
  <si>
    <t>1 bizcocho de limón cortado en cubos de 1 pulgada, 180 ml de leche de coco, 2 cucharadas de harina de maíz, 1/2 taza de azúcar, 200 gramos de fresas cortadas en cuartos, nueces tostadas</t>
  </si>
  <si>
    <t xml:space="preserve">To begin making the Strawberry Coconut Trifle Pudding Recipe, first we will prepare the coconut milk custard.In a sauce pan, add the sugar, coconut milk, corn flour, 1/2 cup of water and stir well over medium heat. Keep stirring until it forms a thick custard.Once the coconut custard is done, remove from the heat and keep aside to cool completely.Prepare the lemon pound cake according to instructions and allow it to cool. Cut them into small cubes and keep aside.The final step is to assemble the Strawberry Coconut Trifle Pudding, take small 6 glasses, place a few pound cake pieces, spoon the pudding mixture, a few strawberries and walnuts. Make two layers the similar way and refrigerate the trifle pudding for at least 6 hours.Serve the Strawberry Coconut Trifle Pudding as dessert after a meal of Whole Wheat Ravioli with Paneer &amp; Creamy Mushroom Oat Sauce Recipe and Perfect Gooey Mozzarella Garlic Bread Recipe. 
</t>
  </si>
  <si>
    <t>Para empezar a preparar la receta de pudín de trifle de fresa y coco, primero prepararemos la crema pastelera de leche de coco. En una cacerola, agregue el azúcar, la leche de coco, la harina de maíz, 1/2 taza de agua y revuelva bien a fuego medio. Siga revolviendo hasta formar una crema espesa. Una vez que la crema pastelera de coco esté lista, retire del fuego y reserve para que se enfríe por completo. Prepare el bizcocho de limón según las instrucciones y déjelo enfriar. Córtelo en cubos pequeños y reserve. El paso final es armar el pudín de trifle de fresa y coco: tome 6 vasos pequeños, coloque algunos trozos de bizcocho, vierta la mezcla del pudín, algunas fresas y nueces. Haga dos capas de manera similar y refrigere el pudín de trifle durante al menos 6 horas. Sirva el pudín de trifle de fresa y coco como postre después de una comida de la receta de ravioles de trigo integral con paneer y salsa cremosa de avena con champiñones y la receta de pan de ajo con mozzarella pegajoso perfecto.</t>
  </si>
  <si>
    <t>Pour commencer la recette du pouding fraise-noix de coco, nous allons d'abord préparer la crème anglaise au lait de coco. Dans une casserole, ajoutez le sucre, le lait de coco, la fécule de maïs, 120 ml d'eau et remuez bien à feu moyen. Continuez à remuer jusqu'à obtenir une crème épaisse. Une fois la crème anglaise prête, retirez du feu et laissez refroidir complètement. Préparez le quatre-quarts au citron selon les instructions et laissez-le refroidir. Coupez-le en petits cubes et réservez. L'étape finale consiste à assembler le pouding fraise-noix de coco : prenez 6 petits verres, placez-y quelques morceaux de quatre-quarts, versez la préparation, quelques fraises et des noix. Réalisez deux couches de la même manière et conservez le pouding au réfrigérateur pendant au moins 6 heures. Servez le pouding fraise-noix de coco en dessert après un repas composé de Raviolis complets au paneer et sauce crémeuse aux champignons et à l'avoine et de Pain à l'ail moelleux à la mozzarella.</t>
  </si>
  <si>
    <t>http://www.archanaskitchen.com/strawberry-coconut-trifle-pudding-recipe</t>
  </si>
  <si>
    <t>Quick Microwave Chocolate Pudding Recipe</t>
  </si>
  <si>
    <t>Schnelles Schokoladenpudding-Rezept aus der Mikrowelle</t>
  </si>
  <si>
    <t>Recette rapide de pudding au chocolat au micro-ondes</t>
  </si>
  <si>
    <t>Receta rápida de pudín de chocolate en microondas</t>
  </si>
  <si>
    <t>1/2 tasse de cacao en poudre, 1/2 tasse de sucre, 1/4 tasse de farine de maïs, 1/4 cuillère à café de sel, 3 tasses de lait, 1/2 tasse de pépites de chocolat noir, 1/4 tasse de beurre (non salé)</t>
  </si>
  <si>
    <t>1/2 cup Cocoa Powder,1/2 cup Sugar,1/4 cup Corn flour,1/4 teaspoon Salt,3 cups Milk,1/2 cup Dark Chocolate Chips,1/4 cup Butter (unsalted)</t>
  </si>
  <si>
    <t>1/2 taza de cacao en polvo, 1/2 taza de azúcar, 1/4 taza de harina de maíz, 1/4 cucharadita de sal, 3 tazas de leche, 1/2 taza de chispas de chocolate negro, 1/4 taza de mantequilla (sin sal)</t>
  </si>
  <si>
    <t xml:space="preserve">To begin making the Quick Microwave Chocolate Pudding Recipe, stir together cocoa powder, sugar, corn flour and salt in a large microwave safe bowl. Gradually add milk and whisk till no lumps exist.Place the bowl in a microwave at full power for 8-10 minutes. Pause microwave every 2 minutes to stir the mixture. After 8 minutes, the pudding should have thickened.While it's still hot, whisk in chopped chocolate and butter till pudding is smooth.Pour the Chocolate Pudding mixture into individual pudding bowls. To avoid a skin forming on the top, place a cling film wrap directly on the surface of the pudding bowl and refrigerate for at least 3 hours.Once the pudding is set, serve it chilled with fruits.Serve the Quick Microwave Chocolate Pudding with a dollop of cream as a delightful dessert after a meal of Mini Pita Pizza With Tahini Roasted Vegetables Recipe and Lavender Lemonade Cooler Recipe.
</t>
  </si>
  <si>
    <t>Para empezar a preparar la Receta Rápida de Pudín de Chocolate para Microondas, mezcla el cacao en polvo, el azúcar, la harina de maíz y la sal en un tazón grande apto para microondas. Agrega gradualmente la leche y bate hasta que no queden grumos. Coloca el tazón en el microondas a máxima potencia durante 8-10 minutos. Pausa el microondas cada 2 minutos para revolver la mezcla. Después de 8 minutos, el pudín debería haber espesado. Mientras aún esté caliente, agrega el chocolate picado y la mantequilla batiendo hasta que el pudín esté suave. Vierte la mezcla de pudín de chocolate en tazones individuales. Para evitar que se forme una costra en la parte superior, coloca una envoltura de film transparente directamente sobre la superficie del tazón de pudín y refrigera durante al menos 3 horas. Una vez que el pudín esté listo, sírvelo frío con frutas. Sirve el Pudín de Chocolate para Microondas Rápido con una cucharada de crema como un postre delicioso después de una comida de Mini Pizza de Pita con Vegetales Asados ​​con Tahini y Receta de Limonada de Lavanda Refrescante.</t>
  </si>
  <si>
    <t>Pour commencer la recette de pouding au chocolat rapide au micro-ondes, mélangez le cacao en poudre, le sucre, la fécule de maïs et le sel dans un grand bol allant au micro-ondes. Ajoutez progressivement le lait et fouettez jusqu'à ce qu'il n'y ait plus de grumeaux. Placez le bol au micro-ondes à pleine puissance pendant 8 à 10 minutes. Arrêtez le micro-ondes toutes les 2 minutes pour remuer le mélange. Au bout de 8 minutes, le pouding devrait épaissir. Pendant qu'il est encore chaud, incorporez le chocolat haché et le beurre en fouettant jusqu'à obtenir une consistance lisse. Versez la préparation dans des bols individuels. Pour éviter la formation d'une croûte, placez un film alimentaire directement sur la surface du bol et réfrigérez pendant au moins 3 heures. Une fois le pouding pris, servez-le frais avec des fruits. Servez le pouding au chocolat rapide au micro-ondes avec une noisette de crème, un délicieux dessert après un repas composé de mini-pita pizza aux légumes rôtis au tahini et de limonade à la lavande.</t>
  </si>
  <si>
    <t>https://www.archanaskitchen.com/quick-microwave-chocolate-pudding-recipe</t>
  </si>
  <si>
    <t>Healthy Ragi Energy Balls with Strawberry Recipe</t>
  </si>
  <si>
    <t>Gesunde Ragi-Energiebällchen mit Erdbeerrezept</t>
  </si>
  <si>
    <t>Recette de boules énergétiques saines au ragi et aux fraises</t>
  </si>
  <si>
    <t>Receta saludable de bolitas energéticas de ragi y fresa</t>
  </si>
  <si>
    <t>1 tasse de farine de Ragi (millet des doigts/Nagli), 250 grammes de fraises fraîches, 5 cuillères à soupe de noix de coco fraîche râpée (fraîche), 1/4 cuillère à café de sel, huile de tournesol - quelques gouttes pour graisser</t>
  </si>
  <si>
    <t>1 cup Ragi Flour (Finger Millet/ Nagli),250 grams Strawberries - fresh,5 tablespoons Fresh coconut - grated (fresh),1/4 teaspoon Salt,Sunflower Oil - few drops for greasing</t>
  </si>
  <si>
    <t>1 taza de harina de ragi (mijo de dedo/nagli), 250 gramos de fresas frescas, 5 cucharadas de coco fresco rallado (fresco), 1/4 cucharadita de sal, aceite de girasol (unas gotas para engrasar)</t>
  </si>
  <si>
    <t xml:space="preserve">To begin making the Healthy Ragi Energy Balls with Strawberry Recipe, first wash and clean strawberries.Using blender/mixer, grind strawberries to thick pulp without adding any water. Keep the strawberry puree aside, while we proceed to prepare the ragi mixture for the energy balls.In a mixing bowl, add finger millet (ragi) flour. Add salt, sprinkle little water at a time and make a crumble out of the ragi flour. Add a little water at a time to moisten to the flour slowly. Be patient in doing this procedure. You know its of the right consistency, when you hold the flour tightly in the palm of your hands it will hold itself and when you release it will break apart.The next step is to steam the ragi flour mixture. Place the ragi flour mixture in a steamer or Idli pot or a Puttu maker for about 10 minutes on high heat.Once the ragi mixture is steamed, transfer it to a bowl. Add the grated coconut and the strawberry pulp. Stir well to combine all the ingredients. The next step is to make the balls out of the mixture. Grease the palms with little oil and take small portion of the above ragi strawberry mixture and make even shaped balls by pressing the flour with the fist.Serve the Healthy Strawberry &amp; Ragi Energy Balls as a snack for a quick boost of energy. Refrigerate the balls so it will last for about 3 to 4 days.
</t>
  </si>
  <si>
    <t>Para comenzar a hacer las bolas de energía saludables de Ragi con receta de fresa, primero lava y limpia las fresas. Usando una licuadora/batidora, muele las fresas hasta obtener una pulpa espesa sin agregar agua. Deja el puré de fresa a un lado, mientras procedemos a preparar la mezcla de ragi para las bolas de energía. En un tazón, agrega harina de mijo de dedo (ragi). Agrega sal, espolvorea un poco de agua a la vez y haz un crumble con la harina de ragi. Agrega un poco de agua a la vez para humedecer la harina lentamente. Ten paciencia al hacer este procedimiento. Sabrás que tiene la consistencia correcta, cuando sostienes la harina firmemente en la palma de tus manos se mantendrá sola y cuando la sueltes se romperá. El siguiente paso es cocinar al vapor la mezcla de harina de ragi. Coloca la mezcla de harina de ragi en una vaporera o olla Idli o una máquina para hacer Puttu durante unos 10 minutos a fuego alto. Una vez que la mezcla de ragi esté al vapor, transfiérela a un tazón. Agrega el coco rallado y la pulpa de fresa. Revuelve bien para combinar todos los ingredientes. El siguiente paso es hacer bolitas con la mezcla. Engrasa las palmas de las manos con un poco de aceite y toma una pequeña porción de la mezcla de ragi y fresa mencionada anteriormente. Forma bolitas uniformes presionando la harina con el puño. Sirve las bolitas energéticas saludables de fresa y ragi como refrigerio para un rápido impulso de energía. Refrigera las bolitas para que duren de 3 a 4 días.</t>
  </si>
  <si>
    <t>Pour commencer à préparer la recette de boules énergétiques saines au ragi et aux fraises, lavez et nettoyez d'abord les fraises. À l'aide d'un mixeur/mixeur, broyez les fraises en pulpe épaisse sans ajouter d'eau. Gardez la purée de fraises de côté, pendant que nous préparons le mélange de ragi pour les boules énergétiques. Dans un saladier, ajoutez la farine de millet (ragi). Ajoutez du sel, saupoudrez un peu d'eau à la fois et faites un crumble avec la farine de ragi. Ajoutez un peu d'eau à la fois pour humidifier lentement la farine. Soyez patient dans cette procédure. Vous savez que c'est la bonne consistance, lorsque vous tenez fermement la farine dans la paume de vos mains, elle se tiendra d'elle-même et lorsque vous la relâcherez, elle se brisera. L'étape suivante consiste à cuire le mélange de farine de ragi à la vapeur. Placez le mélange de farine de ragi dans un cuiseur vapeur, un pot à Idli ou un appareil à Puttu pendant environ 10 minutes à feu vif. Une fois le mélange de ragi cuit à la vapeur, transférez-le dans un bol. Ajoutez la noix de coco râpée et la pulpe de fraise. Remuez bien pour mélanger tous les ingrédients. L'étape suivante consiste à préparer les boules avec le mélange. Graissez vos paumes avec un peu d'huile et prenez une petite portion du mélange de fraises et de ragi ci-dessus et formez des boules de forme régulière en pressant la farine avec le poing. Servez les boules énergétiques saines aux fraises et au ragi en guise de collation pour un regain d'énergie rapide. Réfrigérez les boules pour qu'elles se conservent environ 3 à 4 jours.</t>
  </si>
  <si>
    <t>http://www.archanaskitchen.com/healthy-ragi-energy-balls-with-strawberry-recipe</t>
  </si>
  <si>
    <t>No Churn Strawberry Ice Cream Recipe</t>
  </si>
  <si>
    <t>Rezept für Erdbeereis ohne Rühren</t>
  </si>
  <si>
    <t>Recette de glace à la fraise sans remuer</t>
  </si>
  <si>
    <t>Receta de helado de fresa sin revolver</t>
  </si>
  <si>
    <t>2 tasses de crème à fouetter épaisse, 1 boîte de lait concentré, 1 cuillère à café de jus de citron, 2 tasses de compote de fraises</t>
  </si>
  <si>
    <t>2 cups Heavy whipping cream,1 Condensed Milk - can,1 teaspoons Lemon juice,2 cups Strawberry Compote</t>
  </si>
  <si>
    <t>2 tazas de crema batida espesa, 1 lata de leche condensada, 1 cucharadita de jugo de limón, 2 tazas de compota de fresa</t>
  </si>
  <si>
    <t xml:space="preserve">To begin with No Churn Strawberry Ice cream first, cut the strawberries and blend them into a nice smooth pure. For the next step in a bowl, add the sweetened condensed milk and lemon juice.Now take the chilled bowl and pour the heavy cream and whip them thoroughly for about 7 - 10 minutes on high speed. Make sure the mixture turns out to be very thick.Take a spatula and gently blend condensed milk with whipped cream and mix them well. It's time to add the pureed strawberries with the whipped cream and once again give it a good mix. Pour the ice cream into a metal container (I used my banana bread loaf pan)Cover tightly (or wrap with aluminium foil) and freeze for at least 6 hours.Your No Churn Strawberry Ice Cream is ready to be served with whole wheat waffles and some strawberry puree can be served with the ice cream. 
</t>
  </si>
  <si>
    <t>Para empezar con el helado de fresa sin batir, primero corta las fresas y tritúralas hasta obtener una mezcla suave. Para el siguiente paso, en un bol, añade la leche condensada azucarada y el zumo de limón. Ahora, en el bol frío, vierte la nata para montar y bátela bien durante unos 7-10 minutos a alta velocidad. Asegúrate de que la mezcla quede muy espesa. Con una espátula, mezcla suavemente la leche condensada con la nata montada y mézclalos bien. Es hora de añadir el puré de fresas a la nata montada y, una vez más, mezclar bien. Vierte el helado en un recipiente metálico (yo usé mi molde para pan de plátano). Cúbrelo bien (o envuélvelo con papel aluminio) y congélalo durante al menos 6 horas. Tu helado de fresa sin batir está listo para servirse con waffles integrales y puedes acompañarlo con un poco de puré de fresa.</t>
  </si>
  <si>
    <t xml:space="preserve">Pour commencer avec la glace à la fraise sans barattage, coupez les fraises et mixez-les jusqu'à obtenir une purée bien lisse. Pour l'étape suivante, dans un bol, ajoutez le lait concentré sucré et le jus de citron. Prenez maintenant le bol refroidi et versez la crème épaisse et fouettez-les vigoureusement pendant environ 7 à 10 minutes à grande vitesse. Assurez-vous que le mélange soit très épais. Prenez une spatule et mélangez délicatement le lait concentré avec la crème fouettée et mélangez bien. Il est temps d'ajouter la purée de fraises avec la crème fouettée et de bien mélanger à nouveau. Versez la glace dans un récipient en métal (j'ai utilisé mon moule à pain aux bananes). Couvrez hermétiquement (ou enveloppez de papier aluminium) et congelez pendant au moins 6 heures. Votre glace à la fraise sans barattage est prête à être servie avec des gaufres de blé entier et de la purée de fraises peut être servie avec la glace.
</t>
  </si>
  <si>
    <t>http://www.archanaskitchen.com/no-churn-strawberry-ice-cream-recipe</t>
  </si>
  <si>
    <t>Cranberry Cookie Recipe</t>
  </si>
  <si>
    <t>Rezept für Cranberry-Kekse</t>
  </si>
  <si>
    <t>Recette de biscuits aux canneberges</t>
  </si>
  <si>
    <t>Receta de galletas de arándanos</t>
  </si>
  <si>
    <t>1-1/2 tasse de farine tout usage (Maida), 150 grammes de beurre (non salé), 1/2 tasse de sucre en poudre, 1 œuf entier, 1/2 tasse de canneberges, 1 cuillère à café d'extrait de vanille, 1 pincée de sel</t>
  </si>
  <si>
    <t>1-1/2 cups All Purpose Flour (Maida),150 gram Butter (unsalted),1/2 cup Caster Sugar,1 Whole Eggs,1/2 cup Cranberries,1 teaspoon Vanilla Extract,1 pinch Salt</t>
  </si>
  <si>
    <t>1-1/2 tazas de harina para todo uso (Maida), 150 gramos de mantequilla (sin sal), 1/2 taza de azúcar extrafino, 1 huevo entero, 1/2 taza de arándanos rojos, 1 cucharadita de extracto de vainilla, 1 pizca de sal</t>
  </si>
  <si>
    <t xml:space="preserve">To make Cranberry Cookie Recipe, first preheat your oven at 180-degree celsius. Line two large Baking Sheet with parchment paper or lightly grease baking sheets with butter. Sift flour and salt together in a bowl. Keep aside until required.Now in the bowl of the Stand Mixer with a paddle attachment or a large bowl (if using the Hand Blender) add softened butter and sugar. Whisk the butter and sugar at medium speed, until the butter turns light and fluffy. Add the egg, vanilla essence to the butter and sugar mixture. Again whisk the mixture for few seconds at medium speed till egg is well incorporated into the batter.Add the sifted flour to the batter. Gently fold the flour into the batter till all the ingredients are evenly combined. Add the cranberries to the cookie batter and mix with the spatula to combine. Using ice-cream scooper or spoon drop equal portion of the cookies batter on the greased Baking Sheet. Make sure there is some gap between each cookie as they expand in size while baking. Bake the Cranberry Cookies for 15 - 20 minutes or till they turn light brown in color.Once baked, transfer cookies to a wire rack to cool down. Store the Cranberry Cookies an airtight container at room temperature and serve then as a tea time snack along with a hot cup of coffee or tea.
</t>
  </si>
  <si>
    <t>Para hacer la receta de galletas de arándanos, primero precaliente el horno a 180 grados centígrados. Cubra dos bandejas para hornear grandes con papel pergamino o engrase ligeramente las bandejas para hornear con mantequilla. Tamice la harina y la sal juntas en un tazón. Deje a un lado hasta que se necesite. Ahora, en el tazón de la batidora de pie con un accesorio de paleta o un tazón grande (si usa la batidora de mano), agregue la mantequilla ablandada y el azúcar. Bata la mantequilla y el azúcar a velocidad media, hasta que la mantequilla se vuelva ligera y esponjosa. Agregue el huevo, la esencia de vainilla a la mezcla de mantequilla y azúcar. Nuevamente bata la mezcla durante unos segundos a velocidad media hasta que el huevo esté bien incorporado a la masa. Agregue la harina tamizada a la masa. Incorpore suavemente la harina a la masa hasta que todos los ingredientes estén combinados uniformemente. Agregue los arándanos a la masa de galletas y mezcle con la espátula para combinar. Usando una cuchara para helado o una cuchara, coloque una porción igual de la masa de galletas en la bandeja para hornear engrasada. Asegúrese de que haya un espacio entre cada galleta a medida que se expanden al hornearse. Hornee las galletas de arándanos durante 15 a 20 minutos o hasta que adquieran un color marrón claro. Una vez horneadas, transfiera las galletas a una rejilla para que se enfríen. Guarde las galletas de arándanos en un recipiente hermético a temperatura ambiente y sírvalas como refrigerio para la hora del té junto con una taza de café o té caliente.</t>
  </si>
  <si>
    <t>Pour réaliser la recette des biscuits aux canneberges, préchauffez d'abord votre four à 180 degrés Celsius. Tapissez deux grandes plaques à pâtisserie de papier sulfurisé ou graissez légèrement des plaques à pâtisserie avec du beurre. Tamisez la farine et le sel ensemble dans un bol. Réservez jusqu'à ce que vous en ayez besoin. Maintenant, dans le bol du batteur sur socle avec un accessoire plat ou un grand bol (si vous utilisez le mixeur plongeant), ajoutez le beurre ramolli et le sucre. Fouettez le beurre et le sucre à vitesse moyenne, jusqu'à ce que le beurre devienne léger et mousseux. Ajoutez l'œuf, l'essence de vanille au mélange de beurre et de sucre. Fouettez à nouveau le mélange pendant quelques secondes à vitesse moyenne jusqu'à ce que l'œuf soit bien incorporé à la pâte. Ajoutez la farine tamisée à la pâte. Incorporez délicatement la farine à la pâte jusqu'à ce que tous les ingrédients soient bien mélangés. Ajoutez les canneberges à la pâte à biscuits et mélangez avec la spatule pour combiner. À l'aide d'une cuillère à glace ou d'une cuillère, déposez une portion égale de la pâte à biscuits sur la plaque à pâtisserie graissée. Assurez-vous qu'il y a un espace entre chaque biscuit car ils augmentent de taille pendant la cuisson. Faites cuire les biscuits aux canneberges pendant 15 à 20 minutes ou jusqu'à ce qu'ils deviennent brun clair. Une fois cuits, transférez les biscuits sur une grille pour les refroidir. Conservez les biscuits aux canneberges dans un récipient hermétique à température ambiante et servez-les ensuite comme collation à l'heure du thé avec une tasse de café ou de thé chaud.</t>
  </si>
  <si>
    <t>https://www.archanaskitchen.com/cranberry-cookies-recipe</t>
  </si>
  <si>
    <t>Sweet Potato, Celery &amp; Peanut Soup Recipe</t>
  </si>
  <si>
    <t>Rezept für Süßkartoffel-, Sellerie- und Erdnusssuppe</t>
  </si>
  <si>
    <t>Recette de soupe de patates douces, céleri et cacahuètes</t>
  </si>
  <si>
    <t>Receta de sopa de batata, apio y cacahuete</t>
  </si>
  <si>
    <t>1 patate douce bouillie, 1 cuillère à café d'huile d'olive extra vierge, 2 branches de céleri coupées en dés, 2 branches de poireau coupées en dés, 1 gousse d'ail hachée, 2,5 cm de gingembre pelé et râpé, 750 ml de bouillon de légumes, 60 ml de cannelle en poudre (Dalchini), 1 cuillère à soupe de beurre de cacahuète non sucré, 1 cuillère à soupe de miel, 1 cuillère à soupe de crème fouettée épaisse, sel et poivre au goût</t>
  </si>
  <si>
    <t>1 Sweet Potato - boiled,1 teaspoon Extra Virgin Olive Oil,2 Stalks Celery - diced,2 Stalks Leek - diced,1 clove Garlic - minced,1 inch Ginger - peeled and grated,3 cups Vegetable stock,1/4 teaspoon Cinnamon Powder (Dalchini),1 tablespoon Peanut Butter - unsweetened,1 tablespoon Honey,1 tablespoon Heavy whipping cream,Salt and Pepper - to taste</t>
  </si>
  <si>
    <t>1 batata hervida, 1 cucharadita de aceite de oliva virgen extra, 2 tallos de apio picado, 2 tallos de puerro picado, 1 diente de ajo picado, 1 pulgada de jengibre pelado y rallado, 3 tazas de caldo de verduras, 1/4 cucharadita de canela en polvo (dalchini), 1 cucharada de mantequilla de maní sin azúcar, 1 cucharada de miel, 1 cucharada de crema batida espesa, sal y pimienta al gusto</t>
  </si>
  <si>
    <t xml:space="preserve">To begin making the Sweet Potato, Celery &amp; Peanut Soup Recipe, make sure to have the ingredients ready and the sweet potato boiled as well. In a heavy bottomed pan; heat a teaspoon of olive oil over medium heat. Add the celery, leeks, garlic, ginger and stir-fry for a few minutes until you notice the leeks and celery have softened a little bit. Add the hot vegetable stock, stir to combine and let the soup simmer over medium heat for few minutes or till the liquid is reduced to half.The next step is to blend all the ingredients in a blender until you get a smooth puree of the Sweet Potato Soup. Once blended, transfer the soup to a saucepan. When you are ready to serve the soup, give the soup a brisk boil. Add the peanut butter, honey, cinnamon powder, salt and pepper to the soup. Check the salt and pepper and adjust to suit your taste.Serve the Sweet Potato, Celery &amp; Peanut Soup topped with some fresh cream and herbs for a wholesome weeknight dinner along with toasted  Herb Mushroom Bruschetta
</t>
  </si>
  <si>
    <t>Para comenzar a hacer la Receta de Sopa de Camote, Apio y Maní, asegúrese de tener los ingredientes listos y el camote hervido también. En una sartén de fondo grueso; caliente una cucharadita de aceite de oliva a fuego medio. Agregue el apio, los puerros, el ajo, el jengibre y saltee durante unos minutos hasta que note que los puerros y el apio se han ablandado un poco. Agregue el caldo de verduras caliente, revuelva para combinar y deje que la sopa hierva a fuego lento durante unos minutos o hasta que el líquido se reduzca a la mitad. El siguiente paso es mezclar todos los ingredientes en una licuadora hasta obtener un puré suave de la Sopa de Camote. Una vez mezclados, transfiera la sopa a una cacerola. Cuando esté listo para servir la sopa, hierva rápidamente. Agregue la mantequilla de cacahuete, la miel, la canela en polvo, la sal y la pimienta a la sopa. Pruebe la sal y la pimienta y ajuste a su gusto. Sirva la sopa de batata, apio y cacahuete con un poco de crema fresca y hierbas para una cena saludable entre semana, junto con una bruschetta de champiñones con hierbas tostadas.</t>
  </si>
  <si>
    <t>Pour commencer à préparer la recette de soupe de patates douces, céleri et arachides, assurez-vous d'avoir les ingrédients prêts et la patate douce bouillie également. Dans une poêle à fond épais, faites chauffer une cuillère à café d'huile d'olive à feu moyen. Ajoutez le céleri, les poireaux, l'ail, le gingembre et faites sauter pendant quelques minutes jusqu'à ce que vous remarquiez que les poireaux et le céleri ont un peu ramolli. Ajoutez le bouillon de légumes chaud, remuez pour mélanger et laissez la soupe mijoter à feu moyen pendant quelques minutes ou jusqu'à ce que le liquide soit réduit de moitié. L'étape suivante consiste à mélanger tous les ingrédients dans un mélangeur jusqu'à obtenir une purée lisse de soupe de patates douces. Une fois mélangé, transférez la soupe dans une casserole. Lorsque vous êtes prêt à servir la soupe, donnez-lui un vif coup d'eau. Ajoutez le beurre de cacahuète, le miel, la cannelle en poudre, le sel et le poivre à la soupe. Vérifiez le sel et le poivre et ajustez selon votre goût. Servez la soupe de patates douces, de céleri et d'arachides garnie de crème fraîche et d'herbes pour un dîner sain en semaine, accompagnée d'une bruschetta aux champignons et aux herbes grillées.</t>
  </si>
  <si>
    <t>https://www.archanaskitchen.com/sweet-potato-celery-and-peanut-soup-recipe</t>
  </si>
  <si>
    <t>Giant Chocolate Chunk Cookie Recipe with Walnuts</t>
  </si>
  <si>
    <t>Rezept für riesige Schokoladenkekse mit Walnüssen</t>
  </si>
  <si>
    <t>Recette de biscuits géants au chocolat et aux noix</t>
  </si>
  <si>
    <t>Receta de galletas gigantes de chocolate y nueces</t>
  </si>
  <si>
    <t>2-1/2 tasses de farine tout usage (Maida), 1 cuillère à café de levure chimique, 1 cuillère à café de sel, 1 tasse de beurre ramolli, 3/4 tasse de sucre en poudre, 1/4 tasse de cassonade (sucre Demerara), 2 œufs entiers, 180 grammes de chocolat noir, 1/2 tasse de noix grillées et hachées</t>
  </si>
  <si>
    <t>2-1/2 cups All Purpose Flour (Maida),1 teaspoon Baking powder,1 teaspoon Salt,1 cup Butter - softened,3/4 cup Caster Sugar,1/4 cup Brown Sugar (Demerara Sugar),2 Whole Eggs,180 grams Dark chocolate,1/2 cup Walnuts - toasted and chopped</t>
  </si>
  <si>
    <t>2-1/2 tazas de harina para todo uso (Maida), 1 cucharadita de polvo para hornear, 1 cucharadita de sal, 1 taza de mantequilla - ablandada, 3/4 taza de azúcar extrafino, 1/4 taza de azúcar morena (azúcar Demerara), 2 huevos enteros, 180 gramos de chocolate negro, 1/2 taza de nueces - tostadas y picadas</t>
  </si>
  <si>
    <t xml:space="preserve">To begin making the Giant Chocolate Chunk Cookie Recipe, preheat the oven to 180 C. Prepare the baking sheet by lining it with parchment paperIn a large bowl, combine the flour, baking powder, and salt and keep aside.Cream the butter, sugar and vanilla until light and fluffy. Add the eggs one at a time and beat well. Add the chocolate chips, walnuts and gradually beat in the flour to the butter mixture until well blended and just about combined.Scrape the sides of the bowl, cover with a plastic wrap and refrigerate at least for one hour or until chilled and firm.Drop heaping tablespoons of dough into the prepared sheets, spacing them 2-1/2 inches apart. The cookies expand while baking, so take care to give space.Place the baking sheet to the oven and bake the cookies for about 12 minutes or until the top starts to crack and dry and golden brown. The cookies will be soft to touch. Do not over bake, they will firm up as they cool.Let the Chocolate Chunk cookies sit on the baking sheet for a few minutes, they cook a little more while sitting on the heat. Gently transfer them to wire racks to cool completely.Store the Giant Chocolate Chunk Cookie in airtight containers and serve them as desired.
</t>
  </si>
  <si>
    <t>Para empezar a hacer la receta de galletas gigantes con trozos de chocolate, precalienta el horno a 180 °C. Prepara la bandeja para hornear forrándola con papel pergamino. En un tazón grande, combina la harina, el polvo para hornear y la sal y reserva. Bate la mantequilla, el azúcar y la vainilla hasta que esté ligera y esponjosa. Agrega los huevos uno a la vez y bate bien. Agrega las chispas de chocolate, las nueces y gradualmente incorpora la harina a la mezcla de mantequilla hasta que esté bien mezclado y casi combinado. Raspa los lados del tazón, cubre con una envoltura de plástico y refrigera al menos durante una hora o hasta que esté frío y firme. Coloca cucharadas colmadas de masa en las bandejas preparadas, espaciándolas a 2-1/2 pulgadas de distancia. Las galletas expanden mientras se hornean, así que ten cuidado de dejar espacio. Coloca la bandeja para hornear en el horno y hornea las galletas durante unos 12 minutos o hasta que la parte superior comience a agrietarse, secarse y dorarse. Las galletas estarán suaves al tacto. No las hornees demasiado, ya que se endurecerán al enfriarse. Deja reposar las galletas con trozos de chocolate en la bandeja unos minutos; se cocinarán un poco más mientras están en el fuego. Pásalas con cuidado a una rejilla para que se enfríen por completo. Guarda las galletas gigantes con trozos de chocolate en recipientes herméticos y sírvelas como desees.</t>
  </si>
  <si>
    <t>Pour commencer la recette des biscuits géants aux pépites de chocolat, préchauffez le four à 180 °C. Préparez la plaque de cuisson en la recouvrant de papier sulfurisé. Dans un grand saladier, mélangez la farine, la levure chimique et le sel, puis réservez. Battez le beurre, le sucre et la vanille en crème jusqu'à obtenir une consistance légère et mousseuse. Ajoutez les œufs un à un et battez bien. Ajoutez les pépites de chocolat et les noix, puis incorporez progressivement la farine au mélange de beurre jusqu'à obtenir un mélange homogène. Raclez les bords du saladier, couvrez d'un film plastique et placez au réfrigérateur pendant au moins une heure, ou jusqu'à ce que la pâte soit froide et ferme. Déposez des cuillères à soupe bombées de pâte sur les plaques préparées, en les espaçant de 6,5 cm. Les biscuits gonflent à la cuisson, veillez donc à les espacer. Placez la plaque de cuisson au four et faites cuire les biscuits pendant environ 12 minutes, ou jusqu'à ce que le dessus commence à craqueler, à sécher et à dorer. Les biscuits seront moelleux au toucher. Ne pas trop cuire, ils durciront en refroidissant. Laisser reposer les biscuits aux pépites de chocolat sur la plaque de cuisson quelques minutes ; ils cuisent encore un peu en étant sur le feu. Transférer délicatement sur une grille pour les laisser refroidir complètement. Conserver les biscuits géants aux pépites de chocolat dans des contenants hermétiques et les servir comme vous le souhaitez.</t>
  </si>
  <si>
    <t>http://www.archanaskitchen.com/giant-chocolate-chunk-cookie-recipe-with-walnuts</t>
  </si>
  <si>
    <t>Mushrooms And Zucchini Puffs Recipe</t>
  </si>
  <si>
    <t>Rezept für Pilz-Zucchini-Puffs</t>
  </si>
  <si>
    <t>Recette de feuilletés aux champignons et aux courgettes</t>
  </si>
  <si>
    <t>Receta de hojaldre de champiñones y calabacín</t>
  </si>
  <si>
    <t>175 grammes de farine tout usage (Maida) - conservée au congélateur pendant une heure, 130 grammes de beurre (non salé) - congelé et râpé, 1/2 cuillère à café de sel, 6 cuillères à soupe d'eau glacée, 1/2 cuillère à café de jus de citron, 200 grammes de champignons de Paris - hachés, 200 grammes de courgettes vertes - hachées, 1 oignon - finement tranché, 2 cuillères à soupe d'ail - finement haché, 2 cuillères à café de feuilles de thym séchées, 1 cuillère à soupe de beurre, 1 cuillère à café d'huile de tournesol, 100 grammes de fromage - râpé (tout fromage de votre choix), sel - selon votre goût, graines de sésame (graines de Til), 1 œuf entier, 2 cuillères à café de lait</t>
  </si>
  <si>
    <t>175 grams All Purpose Flour (Maida) - kept in freezer for an hour,130 grams Butter (unsalted) - frozen and grated,1/2 teaspoon Salt,6 tablespoons Chilled water,1/2 teaspoon Lemon juice,200 grams Button mushrooms - chopped,200 grams Green zucchini - chopped,1 Onion - thinly sliced,2 tablespoons Garlic - finely chopped,2 teaspoons Dried Thyme Leaves,1 tablespoon Butter,1 teaspoon Sunflower Oil,100 grams Cheese - grated (any cheese of your choice),Salt - as per taste,Sesame seeds (Til seeds),1 Whole Egg,2 teaspoons Milk</t>
  </si>
  <si>
    <t>175 gramos de harina para todo uso (Maida) - mantenida en el congelador durante una hora, 130 gramos de mantequilla (sin sal) - congelada y rallada, 1/2 cucharadita de sal, 6 cucharadas de agua fría, 1/2 cucharadita de jugo de limón, 200 gramos de champiñones picados, 200 gramos de calabacín verde picado, 1 cebolla en rodajas finas, 2 cucharadas de ajo finamente picado, 2 cucharaditas de hojas de tomillo secas, 1 cucharada de mantequilla, 1 cucharadita de aceite de girasol, 100 gramos de queso rallado (cualquier queso de su elección), sal - al gusto, semillas de sésamo (semillas de Til), 1 huevo entero, 2 cucharaditas de leche</t>
  </si>
  <si>
    <t xml:space="preserve">To begin making the Mushrooms &amp; Zucchini Puffs, we will firstly make the puffs pastry.In a bowl, add flour and salt. Give it a mix. In a separate bowl, add the lemon juice to the cold water and keep aside.Now, add the frozen grated butter to the flour and mix it quickly with the help of a fork. Do not use your hands, otherwise butter will start melting.Start adding the cold water, a tablespoon at a time, and keep mixing with the fork. Then bring it all together with your hands. You will have a big rough ball of dough. Put the dough on a flat surface and lightly pat it with your hand. Then wrap it in a cling film and keep it in fridge to rest for a minimum of 1 hour. You can prepare this dough in advance also.You can keep it in the fridge for up to 3 days and up to 2 months in the freezer. The next step is to make the filling. In a non- stick pan, heat a teaspoon of oil and then add chopped mushrooms, zucchini, and a teaspoon of salt.Sauté it for about 5-10 minutes or until the water released from the vegetables dries up. Take the vegetables from the pan, pu it in a bowl and keep aside.Now, in the same pan, add butter and as soon the butter heats up, add garlic and onion. When the onion becomes golden brown, add the sautéed mushrooms and zucchini. Next, add salt and thyme, and cook for a minute. Remove from heat and keep aside to cool down.The final step is to prepare the puffs. To begin with, put your oven on preheat at 200°C and line your baking tray with parchment paper.Next, add egg and milk in a bowl and lightly beat it to prepare the egg wash. If you don’t want to use egg, then you can use only milk.Now, take out the prepared dough from the fridge and pat it down on a lightly floured surface. Using a rolling pin, roll it out to the thickness of a chapati/roti.You can use dry flour whenever the dough starts sticking to the surface. For easier handling, you can take half of the prepared dough at a time as it will be easier to roll out.Using a round utensil, cut out the round shapes from the rolled out dough. I used a 5-inch bowl to cut and it made around 13-14 puffs.Now, on half portion of the cut out sheets, first put some grated cheese. Then spread the cooled prepared filling on top of the cheese. Make small cuts on the other half and then fold it over to close the puff.Using a fork, press the edges of the puffs to seal them properly. Now, lightly brush the puffs with egg wash/milk wash and sprinkle sesame seeds on top.Put the prepared puffs on the baking tray and bake at 180°C for about 25 minutes or until the puffs become golden brown. Serve Mushrooms &amp; Zucchini Puffs Recipe along with some Tomato Ketchup and hot cup of Masala Tea as an evening snack or at your tea or Kitty parties.
</t>
  </si>
  <si>
    <t>Para empezar a hacer los hojaldres de champiñones y calabacín, primero haremos la masa de hojaldre. En un bol, añade la harina y la sal. Mezcla. En un bol aparte, añade el zumo de limón al agua fría y reserva. Ahora, añade la mantequilla rallada congelada a la harina y mézclala rápidamente con la ayuda de un tenedor. No uses las manos, de lo contrario la mantequilla empezará a derretirse. Empieza a añadir el agua fría, una cucharada a la vez, y sigue mezclando con el tenedor. Luego, únelo todo con las manos. Tendrás una bola grande y áspera de masa. Pon la masa sobre una superficie plana y dale golpecitos suaves con la mano. Luego envuélvela en film transparente y guárdala en el frigorífico para que repose durante un mínimo de 1 hora. También puedes preparar esta masa con antelación. Puedes conservarla en el frigorífico hasta 3 días y hasta 2 meses en el congelador. El siguiente paso es hacer el relleno. En una sartén antiadherente, calienta una cucharadita de aceite y luego agrega los champiñones picados, el calabacín y una cucharadita de sal. Saltéalo durante unos 5-10 minutos o hasta que el agua liberada de las verduras se seque. Saca las verduras de la sartén, ponlas en un tazón y reserva. Ahora, en la misma sartén, agrega la mantequilla y tan pronto como la mantequilla se caliente, agrega el ajo y la cebolla. Cuando la cebolla esté dorada, agrega los champiñones salteados y el calabacín. A continuación, agrega la sal y el tomillo, y cocina durante un minuto. Retira del fuego y reserva para que se enfríe. El paso final es preparar los hojaldres. Para comenzar, precalienta el horno a 200 °C y cubre la bandeja para hornear con papel pergamino. A continuación, agrega el huevo y la leche en un tazón y bátelo ligeramente para preparar el huevo batido. Si no quieres usar huevo, puedes usar solo leche. Ahora, saca la masa preparada del refrigerador y aplánala sobre una superficie ligeramente enharinada. Con un rodillo, extiéndela hasta que tenga el grosor de un chapati/roti. Puedes usar harina seca cuando la masa empiece a pegarse a la superficie. Para facilitar su manejo, puedes tomar la mitad de la masa preparada a la vez, ya que será más fácil de extender. Con un utensilio redondo, corta las formas redondas de la masa extendida. Usé un tazón de 5 pulgadas para cortar y hice alrededor de 13-14 bollos. Ahora, en la mitad de las láminas cortadas, primero pon un poco de queso rallado. Luego, extiende el relleno preparado frío sobre el queso. Haz pequeños cortes en la otra mitad y luego dóblala para cerrar el bollo. Con un tenedor, presiona los bordes de los bollos para sellarlos correctamente. Ahora, pincela ligeramente los hojaldres con huevo batido o leche batida y espolvorea semillas de sésamo por encima. Coloca los hojaldres preparados en la bandeja para hornear y hornea a 180 °C durante unos 25 minutos o hasta que los hojaldres estén dorados. Sirve la receta de hojaldres de champiñones y calabacín junto con un poco de kétchup de tomate y una taza caliente de té Masala como refrigerio por la noche o en tus fiestas de té o de Kitty.</t>
  </si>
  <si>
    <t>Pour commencer à préparer les choux aux champignons et aux courgettes, nous allons d'abord préparer la pâte feuilletée. Dans un bol, ajoutez la farine et le sel. Mélangez. Dans un autre bol, ajoutez le jus de citron à l'eau froide et réservez. Maintenant, ajoutez le beurre râpé congelé à la farine et mélangez rapidement à l'aide d'une fourchette. N'utilisez pas vos mains, sinon le beurre commencera à fondre. Commencez à ajouter l'eau froide, une cuillère à soupe à la fois, et continuez à mélanger avec la fourchette. Ensuite, rassemblez le tout avec vos mains. Vous obtiendrez une grosse boule de pâte rugueuse. Posez la pâte sur une surface plane et tapotez-la légèrement avec votre main. Ensuite, enveloppez-la dans un film alimentaire et conservez-la au réfrigérateur pour qu'elle repose pendant au moins 1 heure. Vous pouvez également préparer cette pâte à l'avance. Vous pouvez la conserver au réfrigérateur jusqu'à 3 jours et jusqu'à 2 mois au congélateur. L'étape suivante consiste à préparer la garniture. Dans une poêle antiadhésive, faites chauffer une cuillère à café d'huile, puis ajoutez les champignons hachés, les courgettes et une cuillère à café de sel. Faites sauter pendant environ 5 à 10 minutes ou jusqu'à ce que l'eau libérée par les légumes s'assèche. Retirez les légumes de la poêle, mettez-les dans un bol et réservez. Maintenant, dans la même poêle, ajoutez le beurre et dès que le beurre chauffe, ajoutez l'ail et l'oignon. Lorsque l'oignon devient doré, ajoutez les champignons et les courgettes sautés. Ensuite, ajoutez le sel et le thym et faites cuire pendant une minute. Retirez du feu et réservez pour refroidir. La dernière étape consiste à préparer les choux. Pour commencer, préchauffez votre four à 200 °C et recouvrez votre plaque de cuisson de papier sulfurisé. Ensuite, ajoutez l'œuf et le lait dans un bol et battez légèrement pour préparer la dorure. Si vous ne voulez pas utiliser d'œuf, vous pouvez utiliser uniquement du lait. Maintenant, sortez la pâte préparée du réfrigérateur et tapotez-la sur une surface légèrement farinée. À l'aide d'un rouleau à pâtisserie, étalez-la jusqu'à obtenir l'épaisseur d'un chapati/roti. Vous pouvez utiliser de la farine sèche dès que la pâte commence à coller à la surface. Pour une manipulation plus facile, vous pouvez prendre la moitié de la pâte préparée à la fois, car elle sera plus facile à étaler. À l'aide d'un ustensile rond, découpez les formes rondes dans la pâte étalée. J'ai utilisé un bol de 5 pouces pour couper et cela a fait environ 13-14 choux. Maintenant, sur la moitié des feuilles découpées, mettez d'abord du fromage râpé. Ensuite, étalez la garniture préparée refroidie sur le fromage. Faites de petites entailles sur l'autre moitié, puis repliez-la pour fermer le chou. À l'aide d'une fourchette, appuyez sur les bords des choux pour bien les sceller. Maintenant, badigeonnez légèrement les choux de dorure à l'œuf/au lait et saupoudrez de graines de sésame sur le dessus. Placez les choux préparés sur la plaque de cuisson et faites cuire au four à 180°C pendant environ 25 minutes ou jusqu'à ce que les choux deviennent dorés. Servez la recette de choux aux champignons et aux courgettes avec du ketchup aux tomates et une tasse chaude de thé Masala comme collation en soirée ou lors de vos goûters ou de vos fêtes de chatons.</t>
  </si>
  <si>
    <t>http://www.archanaskitchen.com/mushrooms-zucchini-puffs-recipe</t>
  </si>
  <si>
    <t>Spinach Ricotta Balls in Garlic Tomato Basil Sauce Recipe</t>
  </si>
  <si>
    <t>Rezept für Spinat-Ricotta-Bällchen in Knoblauch-Tomaten-Basilikum-Sauce</t>
  </si>
  <si>
    <t>Recette de boulettes d'épinards et de ricotta à la sauce à l'ail, aux tomates et au basilic</t>
  </si>
  <si>
    <t>Receta de albóndigas de espinacas y ricotta con salsa de ajo, tomate y albahaca</t>
  </si>
  <si>
    <t>1/2 tasse de ricotta ou de paneer maison, 1/2 tasse de fromage, 1/2 tasse de feuilles d'épinards (Palak) finement hachées, 1 oignon finement haché, 2 cuillères à café d'herbes mélangées (séchées), 1 cuillère à café de flocons de piment rouge, 1 cuillère à café de poudre de poivre noir, 1 cuillère à café de poudre de cumin (Jeera), sel au goût, 3 cuillères à soupe de farine de maïs, 1 cuillère à café d'huile d'olive extra vierge, 8 gousses d'ail finement hachées, 2 brins de feuilles de basilic déchirées, 2 tasses de purée de tomates maison, 1 cuillère à café d'herbes mélangées (séchées), sel au goût, 1 cuillère à café de sucre, 1 cuillère à café de poudre de poivre noir, 1 cuillère à café de poudre de piment rouge</t>
  </si>
  <si>
    <t>1/2 cup Ricotta Cheese - or homemade paneer,1/2 cup Cheese,1/2 cup Spinach Leaves (Palak) - finely chopped,1 Onion - finely chopped,2 teaspoon Mixed Herbs (Dried),1 teaspoon Red Chilli flakes,1 teaspoon Black pepper powder,1 teaspoon Cumin powder (Jeera),Salt - to taste,3 tablespoons Corn flour,1 teaspoon Extra Virgin Olive Oil,8 cloves Garlic - finely chopped,2 sprig Basil leaves - roughy torn,2 cups Homemade tomato puree,1 teaspoon Mixed Herbs (Dried),Salt - to taste,1 teaspoon Sugar,1 teaspoon Black pepper powder,1 teaspoon Red Chilli powder</t>
  </si>
  <si>
    <t>1/2 taza de queso ricotta o paneer casero, 1/2 taza de queso, 1/2 taza de hojas de espinaca (Palak) finamente picadas, 1 cebolla finamente picada, 2 cucharaditas de hierbas mixtas (secas), 1 cucharadita de hojuelas de chile rojo, 1 cucharadita de pimienta negra en polvo, 1 cucharadita de comino en polvo (Jeera), sal al gusto, 3 cucharadas de harina de maíz, 1 cucharadita de aceite de oliva virgen extra, 8 dientes de ajo finamente picados, 2 ramitas de hojas de albahaca finamente desgarradas, 2 tazas de puré de tomate casero, 1 cucharadita de hierbas mixtas (secas), sal al gusto, 1 cucharadita de azúcar, 1 cucharadita de pimienta negra en polvo, 1 cucharadita de chile rojo en polvo</t>
  </si>
  <si>
    <t xml:space="preserve">To begin making the Ricotta Spinach Balls in Tomato Basil Sauce Recipe we will first make the Tomato Basil SauceTo make the Tomato Basil SauceHeat a skillet with oil on medium-high flame, once the oil is hot add the garlic, and saute until it turns into a light brown colour. To this add the roughly torn basil leaves, and turn off the flame. Now add the tomato puree, mixed herbs, salt, sugar, black pepper powder and red chilli powder.Give it a good mix and allow the tomato basil pasta sauce to come to a brisk boil. Once it comes to a boil, turn the heat to low, simmer the tomato basil pasta sauce for 8 to 10 minutes until the flavors comes through.Once done, transfer to a cast iron skillet and set aside. To make the Spinach Ricotta BallsIn a mixing bowl, combine the ricotta cheese, processed cheese, spinach leaves, onion, mixed herbs, red chilli flakes, black pepper powder, cumin powder, salt and cornflour. Mix well until well combined. Make sure the addition of cornflour absorbs the moisture present in the mixture. If needed add some more cornflour, depending on your spinach ricotta ball mixture. Grease both your palms with oil, take a tablespoon full of the ricotta spinach ball mixture and roll into a ball. Set aside. Heat a paniyaram pan on medium-high heat, with a few drops of oil in each of the cavities, drop these ricotta spinach balls and lightly cook them on all sides until it turns into brown in colour. Remove from the heat and directly place them in the skillet on the bed of the tomato basil sauce and serve.Serve Spinach Ricotta Balls in Tomato Basil Sauce along with Herbed Butter Rice Recipe With Rosemary &amp; Thyme and Steamed Vegetables With Chilli Lime Butter Recipe followed by a dessert of Spiced Apple Crumble Recipe with Greek Yogurt. 
</t>
  </si>
  <si>
    <t>Para comenzar a hacer la receta de bolas de espinaca y ricotta en salsa de tomate y albahaca, primero haremos la salsa de tomate y albahaca. Para hacer la salsa de tomate y albahaca, caliente una sartén con aceite a fuego medio-alto, una vez que el aceite esté caliente, agregue el ajo y saltee hasta que se vuelva de un color marrón claro. A esto, agregue las hojas de albahaca desgarradas y apague el fuego. Ahora agregue el puré de tomate, las hierbas mixtas, la sal, el azúcar, la pimienta negra en polvo y el chile rojo en polvo. Mezcle bien y deje que la salsa de pasta de tomate y albahaca hierva a fuego rápido. Una vez que hierva, baje el fuego, cocine a fuego lento la salsa de pasta de tomate y albahaca durante 8 a 10 minutos hasta que los sabores se adhieran. Una vez hecho esto, transfiera a una sartén de hierro fundido y reserve. Para hacer las bolas de ricotta y espinacas En un tazón, combine el queso ricotta, el queso procesado, las hojas de espinaca, la cebolla, las hierbas mixtas, las hojuelas de chile rojo, la pimienta negra en polvo, el comino en polvo, la sal y la harina de maíz. Mezcle bien hasta que esté bien combinado. Asegúrese de que la adición de harina de maíz absorba la humedad presente en la mezcla. Si es necesario, agregue un poco más de harina de maíz, dependiendo de su mezcla de bolas de ricotta y espinacas. Engrase ambas palmas con aceite, tome una cucharada llena de la mezcla de bolas de ricotta y espinacas y forme una bola. Deje de lado. Caliente una sartén para paniyaram a fuego medio-alto, con unas gotas de aceite en cada una de las cavidades, deje caer estas bolas de espinaca y ricotta y cocínelas ligeramente por todos lados hasta que se doren. Retirar del fuego y colocarlas directamente en la sartén sobre la salsa de tomate y albahaca y servir. Servir las bolitas de espinaca y ricotta en salsa de tomate y albahaca junto con la receta de arroz con mantequilla y hierbas, romero y tomillo y las verduras al vapor con mantequilla de chile y lima, seguidas de un postre de crumble de manzana especiado con yogur griego.</t>
  </si>
  <si>
    <t>Pour commencer à préparer la recette de boulettes d'épinards à la ricotta et à la sauce tomate et basilic, nous allons d'abord préparer la sauce tomate et basilic. Pour préparer la sauce tomate et basilic, faites chauffer une poêle avec de l'huile à feu moyen-vif. Une fois l'huile chaude, ajoutez l'ail et faites revenir jusqu'à ce qu'il prenne une couleur brun clair. Ajoutez à cela les feuilles de basilic grossièrement déchirées et éteignez le feu. Ajoutez maintenant la purée de tomates, les herbes mélangées, le sel, le sucre, la poudre de poivre noir et la poudre de piment rouge. Mélangez bien et laissez la sauce pour pâtes au basilic et à la tomate arriver à ébullition rapide. Une fois à ébullition, baissez le feu et laissez mijoter la sauce pour pâtes au basilic et à la tomate pendant 8 à 10 minutes jusqu'à ce que les saveurs se manifestent. Une fois terminé, transférez dans une poêle en fonte et réservez. Pour faire les boules d'épinards et de ricotta Dans un bol, mélanger le fromage ricotta, le fromage fondu, les feuilles d'épinards, l'oignon, les herbes mélangées, les flocons de piment rouge, la poudre de poivre noir, la poudre de cumin, le sel et la fécule de maïs. Bien mélanger jusqu'à ce que le tout soit bien mélangé. Assurez-vous que l'ajout de fécule de maïs absorbe l'humidité présente dans le mélange. Si nécessaire, ajoutez un peu plus de fécule de maïs, en fonction de votre mélange de boules d'épinards et de ricotta. Graissez vos deux paumes avec de l'huile, prenez une cuillère à soupe pleine du mélange de boules d'épinards et de ricotta et roulez-la en boule. Réservez. Faites chauffer une poêle à paniyaram à feu moyen-vif, avec quelques gouttes d'huile dans chacune des cavités, déposez ces boules d'épinards et de ricotta et faites-les cuire légèrement de tous les côtés jusqu'à ce qu'elles deviennent brunes. Retirez du feu et placez-les directement dans la poêle sur le lit de sauce tomate basilic et servez. Servez les boulettes d'épinards et de ricotta à la sauce tomate basilic avec une recette de riz au beurre aux herbes avec romarin et thym et des légumes vapeur au beurre de citron vert et piment, suivis d'un dessert composé d'une recette de crumble aux pommes épicé au yaourt grec.</t>
  </si>
  <si>
    <t>https://www.archanaskitchen.com/spinach-ricotta-balls-in-garlic-tomato-basil-sauce-recipe</t>
  </si>
  <si>
    <t>Fruit Tart Recipe - Vegan</t>
  </si>
  <si>
    <t>Obstkuchen Rezept - Vegan</t>
  </si>
  <si>
    <t>Recette de gâteau aux fruits - Vegan</t>
  </si>
  <si>
    <t>Receta de pastel de frutas vegano</t>
  </si>
  <si>
    <t>2 tasses d'avoine instantanée (gruau), 1 tasse de badam (amande), 4 cuillères à soupe de poudre de graines de lin (farine de lin), 5 cuillères à soupe d'huile de coco - ou de beurre fondu, 1/3 tasse de sirop d'érable - ou de miel, 1/2 tasse de lait d'amande (lait de badam) - ou de lait, 4 cuillères à soupe de Hung Curd (yaourt grec), 4 cuillères à soupe de beurre de cacahuète, 4 cuillères à soupe de confiture, fruits frais - bananes</t>
  </si>
  <si>
    <t>2 cups Instant Oats (Oatmeal),1 cup Badam (Almond),4 tablespoons Flax seed powder (flax meal),5 tablespoon Coconut Oil - or melted butter,1/3 cup Maple syrup - or honey,1/2 cup Almond Milk (Badam Milk) - or milk,4 tablespoon Hung Curd (Greek Yogurt),4 tablespoon Peanut Butter,4 tablespoon Jam,Fresh fruits - bananas</t>
  </si>
  <si>
    <t>2 tazas de avena instantánea (avena), 1 taza de Badam (almendras), 4 cucharadas de polvo de semillas de lino (harina de lino), 5 cucharadas de aceite de coco o mantequilla derretida, 1/3 taza de jarabe de arce o miel, 1/2 taza de leche de almendras (leche de Badam) o leche, 4 cucharadas de cuajada Hung (yogur griego), 4 cucharadas de mantequilla de maní, 4 cucharadas de mermelada, frutas frescas - plátanos</t>
  </si>
  <si>
    <t xml:space="preserve">To begin making the Fruit Tarts Recipe, get prep with all the ingredients and preheat Oven to 190 degrees Celsius. Also, grease the muffin/mini tart molds.Stir flaxseed powder with almond milk and set aside for 10 minutes to let it thickens.Blend oats and almond together finely in a blender.In a mixing bowl, add the blended oat-almond flour, soaked flax meal, maple syrup,almond milk and bring it together like a dough. It is going to be a sticky mix, grease your hands to handle the dough if necessary.Shape the dough into small balls and press the dough ball into a greased muffin and mold it into the shape of tartlets.Bake for 12-15 minutes and let it cool completely.Fill them in with hung curd and your favorite fruits and serve.Serve Fruit Tarts Recipe at the end of a meal with Cauliflower Au Gratin Recipe and Whole Wheat Rosemary Focaccia Bread Recipe.
</t>
  </si>
  <si>
    <t>Para empezar a preparar la receta de tartas de frutas, prepare todos los ingredientes y precaliente el horno a 190 °C. Engrase también los moldes para muffins o minitartas. Mezcle el polvo de linaza con la leche de almendras y deje reposar durante 10 minutos para que espese. Licúe la avena y las almendras finamente en una licuadora. En un tazón, agregue la harina de avena y almendras, la harina de linaza remojada, el jarabe de arce y la leche de almendras y mezcle hasta formar una masa. Será una mezcla pegajosa, engrase sus manos para manipular la masa si es necesario. Forme la masa en bolitas y presiónelas en un panecillo engrasado y moldee en forma de tartaletas. Hornee durante 12-15 minutos y deje que se enfríe por completo. Rellénelas con cuajada colgada y sus frutas favoritas y sirva. Sirva la Receta de Tartas de Frutas al final de una comida con la Receta de Coliflor Gratinada y la Receta de Pan Focaccia Integral con Romero.</t>
  </si>
  <si>
    <t>Pour commencer la recette des tartelettes aux fruits, préparez tous les ingrédients et préchauffez le four à 190 °C. Graissez également les moules à muffins/mini-tartelettes. Mélangez la poudre de graines de lin avec le lait d'amande et laissez reposer 10 minutes pour épaissir. Mixez finement les flocons d'avoine et les amandes dans un mixeur. Dans un saladier, ajoutez la farine d'avoine et d'amandes, la farine de lin trempée, le sirop d'érable et le lait d'amande et mélangez comme une pâte. La pâte sera collante ; graissez-vous les mains pour manipuler la pâte si nécessaire. Façonnez des petites boules de pâte, pressez-les dans un muffin graissé et façonnez-les en forme de tartelettes. Enfournez pendant 12 à 15 minutes et laissez refroidir complètement. Garnissez-les de crème anglaise et de vos fruits préférés, puis servez. Servez la recette des tartelettes aux fruits en fin de repas avec la recette du gratin de chou-fleur et la recette du pain focaccia complet au romarin.</t>
  </si>
  <si>
    <t>http://www.archanaskitchen.com/breakfast-fruit-tarts-recipe-with-vegan-option</t>
  </si>
  <si>
    <t>How to make Egg Free Mayonnaise Recipe</t>
  </si>
  <si>
    <t>Rezept für Mayonnaise ohne Eier</t>
  </si>
  <si>
    <t>Recette de mayonnaise sans œufs</t>
  </si>
  <si>
    <t>Receta de mayonesa sin huevo</t>
  </si>
  <si>
    <t>1/2 tasse de crème fraîche, 1 cuillère à soupe de sauce moutarde, 1 gousse d'ail finement hachée, 1/4 cuillère à café de poudre de poivre noir, 1/2 cuillère à café de jus de citron, 1 cuillère à café d'huile d'olive extra vierge, sel au goût</t>
  </si>
  <si>
    <t>1/2 cup Fresh cream,1 tablespoon Mustard sauce,1 clove Garlic - finely chopped,1/4 teaspoon Black pepper powder,1/2 teaspoon Lemon juice,1 teaspoon Extra Virgin Olive Oil,Salt - to taste</t>
  </si>
  <si>
    <t>1/2 taza de crema fresca, 1 cucharada de salsa de mostaza, 1 diente de ajo finamente picado, 1/4 cucharadita de pimienta negra en polvo, 1/2 cucharadita de jugo de limón, 1 cucharadita de aceite de oliva virgen extra, sal - al gusto</t>
  </si>
  <si>
    <t xml:space="preserve">To begin making the Homemade Egg Free Mayonnaise (Eggless); whisk the cream, lemon juice, garlic, and pepper in a jar and blend using a hand blender until frothy. With the motor running on high, slowly pour in the oil little at a time until the mixture thickens and resembles a soft mayonnaise. Add some salt to taste and store the mayonnaise in a glass jar and store in the refrigerator for about a week.With the motor running on high, slowly pour in the oil little at a time until the mixture thickens and resembles a soft mayonnaise. Add some salt to taste and store the mayonnaise in an glass jar and store in the refrigerator for about a week.With the speed on of the blender on high, slowly pour in the oil little at a time until the mixture thickens and resembles a soft mayonnaise. Add some salt to taste. Store the mayonnaise in an glass jar and store in the refrigerator for about a week.Store the Egg Free Mayonnaise in a glass jar and store in the refrigerator for about a week.
</t>
  </si>
  <si>
    <t>Para preparar la mayonesa casera sin huevo (sin huevo), bata la crema, el jugo de limón, el ajo y la pimienta en un frasco y licúe con una batidora de mano hasta que esté espumosa. Con el motor a alta velocidad, vierta lentamente el aceite poco a poco hasta que la mezcla espese y parezca una mayonesa suave. Añada un poco de sal al gusto y guarde la mayonesa en un frasco de vidrio en el refrigerador durante aproximadamente una semana.</t>
  </si>
  <si>
    <t xml:space="preserve">Pour préparer la mayonnaise maison sans œufs (sans œufs), fouettez la crème, le jus de citron, l'ail et le poivre dans un bocal et mixez à l'aide d'un mixeur plongeant jusqu'à obtenir une consistance mousseuse. À pleine puissance, versez l'huile petit à petit jusqu'à ce que le mélange épaississe et ressemble à une mayonnaise molle. Salez à votre goût et conservez la mayonnaise dans un bocal en verre au réfrigérateur pendant environ une semaine. À pleine puissance, versez l'huile petit à petit jusqu'à ce que le mélange épaississe et ressemble à une mayonnaise molle. Salez à votre goût et conservez la mayonnaise dans un bocal en verre au réfrigérateur pendant environ une semaine.
</t>
  </si>
  <si>
    <t>http://www.archanaskitchen.com/how-to-make-egg-free-mayonnaise-recipe-eggless</t>
  </si>
  <si>
    <t>Mushroom, Spinach &amp; Herbs Frittata with Egg White Recipe</t>
  </si>
  <si>
    <t>Rezept für Pilz-, Spinat- und Kräuter-Frittata mit Eiweiß</t>
  </si>
  <si>
    <t>Recette de frittata aux champignons, épinards et herbes avec blancs d'œufs</t>
  </si>
  <si>
    <t>Receta de frittata de champiñones, espinacas y hierbas con claras de huevo</t>
  </si>
  <si>
    <t>4 blancs d'œufs, 1 tasse de champignons de Paris grossièrement hachés, 1 tasse d'épinards grossièrement hachés et rissolés, 1 oignon caramélisé, 1 cuillère à café d'origan séché, 1 brin de feuilles de basilic pour la garniture, 1 cuillère à café de flocons de piment rouge, sel et poivre au goût</t>
  </si>
  <si>
    <t>4 Egg white,1 cup Button mushrooms - roughly shopped,1 cup Spinach - roughly chopped and sweated,1 Onion - caramelized,1 teaspoon Dried oregano,1 sprig Basil leaves - for garnish,1 teaspoon Red Chilli flakes,Salt and Pepper - to taste</t>
  </si>
  <si>
    <t>4 claras de huevo, 1 taza de champiñones picados gruesamente, 1 taza de espinacas picadas gruesas y sudadas, 1 cebolla caramelizada, 1 cucharadita de orégano seco, 1 ramita de hojas de albahaca para decorar, 1 cucharadita de hojuelas de chile rojo, sal y pimienta al gusto</t>
  </si>
  <si>
    <t xml:space="preserve">We begin making the Mushroom, Spinach &amp; Herbs Frittata with Egg White Recipe by separating the egg whites from egg yolk and keep it in a bowl. Whisk well.Chop the mushroom and sauté them on a small skillet with some salt and pepper. Next wash the spinach leaves and saute it on the pan for few minute till it releases water. Sprinkle some salt and mix well. Once done keep it aside. Next to make the caramelized onions, you can watch our video or see the recipe on how to make the caramelized onion. Keep it ready in a bowl. Heat a flat skillet, drizzle some oil, let the pan heat up and whisk in the egg white. Spread it evenly on the pan. Sprinkle the mushroom, spinach and onions top. Add the seasoning. Close it with a lid and keep it on low heat.Once done carefully slide it on a plate and serve. Serve the Mushroom, Spinach &amp; Herbs Frittata with Egg White Recipe can be served along with a smoothie to enrich your Breakfast.
</t>
  </si>
  <si>
    <t>Comenzamos haciendo la receta de Frittata de Champiñones, Espinacas y Hierbas con Clara de Huevo separando las claras de huevo de la yema de huevo y manteniéndolas en un tazón. Batir bien. Picar los champiñones y saltearlos en una sartén pequeña con un poco de sal y pimienta. Luego lavar las hojas de espinaca y saltearlas en la sartén durante unos minutos hasta que suelten agua. Espolvorear un poco de sal y mezclar bien. Una vez hecho, reservar. A continuación, para hacer las cebollas caramelizadas, puedes ver nuestro video o ver la receta sobre cómo hacer la cebolla caramelizada. Mantenlo listo en un tazón. Calentar una sartén plana, rociar un poco de aceite, dejar que la sartén se caliente y batir la clara de huevo. Extiéndela uniformemente sobre la sartén. Espolvorear los champiñones, las espinacas y las cebollas por encima. Agregar el condimento. Cerrar con una tapa y mantener a fuego lento. Una vez hecho, deslícelo con cuidado en un plato y sirva. Sirva la Frittata de Champiñones, Espinacas y Hierbas con Clara de Huevo. La receta se puede acompañar con un batido para enriquecer su desayuno.</t>
  </si>
  <si>
    <t>Nous commençons à préparer la frittata aux champignons, épinards et herbes avec blanc d'œuf en séparant les blancs d'œufs du jaune d'œuf et en les conservant dans un bol. Bien fouetter. Hacher les champignons et les faire revenir dans une petite poêle avec un peu de sel et de poivre. Ensuite, laver les feuilles d'épinards et les faire revenir dans la poêle pendant quelques minutes jusqu'à ce qu'elles libèrent de l'eau. Saupoudrer de sel et bien mélanger. Une fois terminé, réserver.  Ensuite, pour faire les oignons caramélisés, vous pouvez regarder notre vidéo ou voir la recette sur la façon de faire l'oignon caramélisé. Gardez-le prêt dans un bol.  Chauffer une poêle plate, arroser d'un filet d'huile, laisser chauffer la poêle et incorporer le blanc d'œuf en fouettant. Répartir uniformément sur la poêle. Saupoudrer les champignons, les épinards et les oignons. Ajouter l'assaisonnement. Fermer avec un couvercle et maintenir à feu doux. Une fois terminé, glisser délicatement sur une assiette et servir. Servez la frittata aux champignons, épinards et herbes avec du blanc d'œuf. La recette peut être servie avec un smoothie pour enrichir votre petit-déjeuner.</t>
  </si>
  <si>
    <t>http://www.archanaskitchen.com/mushroom-spinach-herbs-frittata-with-egg-white-recipe</t>
  </si>
  <si>
    <t>Avocado And Almond Salad Recipe With Feta Cheese</t>
  </si>
  <si>
    <t>Avocado-Mandel-Salat-Rezept mit Feta-Käse</t>
  </si>
  <si>
    <t>Recette de salade d'avocat et d'amandes avec du fromage feta</t>
  </si>
  <si>
    <t>Receta de ensalada de aguacate y almendras con queso feta</t>
  </si>
  <si>
    <t>1 avocat bien mûr, 8 amandes (de préférence coupées en deux), 1 tasse de feuilles de salade ou de laitue, 4 olives noires, 4 tomates cerises ou 1 grosse tomate, 1/4 tasse de feta émietté, 2 cuillères à café d'huile d'olive extra vierge (extra vierge), 2 cuillères à café de jus de citron, 1 cuillère à café de miel (à ajuster), sel au goût, poivre noir en poudre fraîchement concassé</t>
  </si>
  <si>
    <t>1 Avocado - fully ripe,8 Badam (Almond) - (preferably halved),1 cup Salad leaves - or lettuce,4 Black olives,4 Cherry tomatoes - or 1 large tomato,1/4 cup Feta Cheese - crumbled,2 teaspoons Extra Virgin Olive Oil - (extra virgin),2 teaspoons Lemon juice,1 teaspoon Honey - (adjust),Salt - to taste,Black pepper powder - freshly crushed</t>
  </si>
  <si>
    <t>1 aguacate (totalmente maduro), 8 almendras (preferiblemente cortadas por la mitad), 1 taza de hojas de ensalada o lechuga, 4 aceitunas negras, 4 tomates cherry o 1 tomate grande, 1/4 taza de queso feta desmenuzado, 2 cucharaditas de aceite de oliva virgen extra (extra virgen), 2 cucharaditas de jugo de limón, 1 cucharadita de miel (ajustar), sal al gusto, pimienta negra en polvo recién triturada.</t>
  </si>
  <si>
    <t xml:space="preserve">To prepare Avocado And Almond Salad Recipe With Feta Cheese, prep up with all the ingredients.Scoop out the avocados and cut them into chunks. crumble feta cheese and slice the almonds, olives and tomatoes. Tear the salad greens.In a small bowl, mix olive oil with honey, salt and pepper powder.In a mixing bowl, put all the ingredients and mix well.To serve, add the dressing, add in the lemon juice toss well to coat and serve Avocado And Almond Salad Recipe With Feta Cheese with a glass of smoothie or fresh fruit juice.
</t>
  </si>
  <si>
    <t>Para preparar la receta de ensalada de aguacate y almendras con queso feta, prepare todos los ingredientes. Saque los aguacates y córtelos en trozos. Desmenuce el queso feta y corte las almendras, las aceitunas y los tomates en rodajas. Desmenuce las hojas de ensalada. En un tazón pequeño, mezcle el aceite de oliva con la miel, la sal y la pimienta en polvo. En un tazón, coloque todos los ingredientes y mezcle bien. Para servir, agregue el aderezo, agregue el jugo de limón, mezcle bien y sirva la receta de ensalada de aguacate y almendras con queso feta con un vaso de batido o jugo de fruta fresca.</t>
  </si>
  <si>
    <t>Pour préparer la salade d'avocats et d'amandes à la feta, préparez tous les ingrédients. Retirez les avocats et coupez-les en morceaux. Émiettez la feta et coupez les amandes, les olives et les tomates en rondelles. Déchirez la salade. Dans un petit bol, mélangez l'huile d'olive avec le miel, le sel et le poivre en poudre. Dans un saladier, mettez tous les ingrédients et mélangez bien. Pour servir, ajoutez la vinaigrette, ajoutez le jus de citron, mélangez bien pour enrober et servez la salade d'avocats et d'amandes à la feta avec un verre de smoothie ou de jus de fruits frais.</t>
  </si>
  <si>
    <t>http://www.archanaskitchen.com/avocado-and-almond-salad-recipe-with-feta-cheese</t>
  </si>
  <si>
    <t>Carrot Cake Pancakes Recipe</t>
  </si>
  <si>
    <t>Rezept für Karottenkuchen-Pfannkuchen</t>
  </si>
  <si>
    <t>Recette de crêpes au gâteau aux carottes</t>
  </si>
  <si>
    <t>Receta de panqueques de pastel de zanahoria</t>
  </si>
  <si>
    <t>2 tasses de farine de blé entier - ou de farine multigrains, 1/2 tasse de caillé (dahi / yaourt) - fouetté, 2 tasses de lait - ou selon les besoins, 1 cuillère à café d'épices pour tarte à la citrouille, 1 cuillère à café de levure chimique, 1/2 cuillère à café de bicarbonate de soude, 1 tasse de carottes (gajjar) - râpées finement, 2 cuillères à soupe de beurre - fondu, 1/2 tasse d'ananas - écrasé, 1 œuf entier, 1/2 tasse de cassonade (sucre Demerara), 1 pincée de sel, beurre - selon les besoins pour graisser le moule</t>
  </si>
  <si>
    <t>2 cups Whole Wheat Flour - or multigrain flour,1/2 cup Curd (Dahi / Yogurt) - whisked,2 cups Milk - or as required,1 teaspoon Pumpkin pie spice,1 teaspoon Baking powder,1/2 teaspoon Baking soda,1 cup Carrots (Gajjar) - grated finely,2 tablespoons Butter - melted,1/2 cup Pineapple - crushed,1 Whole Egg,1/2 cup Brown Sugar (Demerara Sugar),1 pinch Salt,Butter - as required for greasing the pan</t>
  </si>
  <si>
    <t>2 tazas de harina integral o harina multigrano, 1/2 taza de cuajada (Dahi/yogur) batida, 2 tazas de leche (o la necesaria), 1 cucharadita de especias para pastel de calabaza, 1 cucharadita de polvo para hornear, 1/2 cucharadita de bicarbonato de sodio, 1 taza de zanahorias (Gajjar) finamente ralladas, 2 cucharadas de mantequilla derretida, 1/2 taza de piña triturada, 1 huevo entero, 1/2 taza de azúcar morena (azúcar Demerara), 1 pizca de sal, mantequilla (la necesaria para engrasar el molde)</t>
  </si>
  <si>
    <t xml:space="preserve">To begin making the Carrot Cake Pancakes Recipe, first mix the flour, spice mix, baking powder, baking soda and salt in a mixing bowl.In another large mixing bowl, whisk together the egg, sugar, melted butter, curd and milk.Stir in the carrots and pineapple.Fold in the flour mixture and mix till the flour is just incorporated. Add little milk if required to make a batter of dropping consistency. Keep aside for 5-10 minutes.Heat a non-stick griddle and smear some butter on it.Drop a ladle full of the batter on it. Cook on medium heat till bubbles appear around the edge and the pancake is golden brown on the bottom.Flip carefully and cook for a minute on the other side.Enjoy Carrot Cake Pancakes hot with toppings of your choice. Honey, fruits and nuts, a dollop of sweetened cream, cream cheese or hung curd are a few topping ideas to try with this Carrot Cake Pancakes Recipe.Serve Carrot Cake Pancakes along with Espresso Coffee for a weekend breakfast.
</t>
  </si>
  <si>
    <t>Para preparar la receta de panqueques de zanahoria, mezcle la harina, la mezcla de especias, el polvo para hornear, el bicarbonato y la sal en un tazón. En otro tazón grande, bata el huevo, el azúcar, la mantequilla derretida, la cuajada y la leche. Incorpore las zanahorias y la piña. Incorpore la mezcla de harina y mezcle hasta que esté bien integrada. Si es necesario, añada un poco de leche para obtener una masa consistente. Deje reposar de 5 a 10 minutos. Caliente una plancha antiadherente y unte un poco de mantequilla. Vierta un cucharón de la masa. Cocine a fuego medio hasta que aparezcan burbujas en los bordes y el panqueque esté dorado por la base. Voltee con cuidado y cocine por el otro lado durante un minuto. Disfrute de los panqueques de zanahoria calientes con los ingredientes que prefiera. Miel, frutas y nueces, una cucharada de crema azucarada, queso crema o cuajada colgada son algunas ideas de aderezo para probar con esta receta de panqueques de pastel de zanahoria. Sirva panqueques de pastel de zanahoria junto con café expreso para un desayuno de fin de semana.</t>
  </si>
  <si>
    <t>Pour commencer la recette des pancakes au gâteau aux carottes, mélangez la farine, le mélange d'épices, la levure chimique, le bicarbonate de soude et le sel dans un saladier. Dans un autre saladier, fouettez l'œuf, le sucre, le beurre fondu, le lait caillé et le lait. Incorporez les carottes et l'ananas. Incorporez le mélange de farine et mélangez jusqu'à ce que la farine soit bien incorporée. Ajoutez un peu de lait si nécessaire pour obtenir une pâte onctueuse. Réservez 5 à 10 minutes. Faites chauffer une plaque de cuisson antiadhésive et beurrez-la. Déposez une louche de pâte dessus. Faites cuire à feu moyen jusqu'à ce que des bulles apparaissent sur les bords et que le dessous du pancake soit doré. Retournez délicatement et laissez cuire une minute de l'autre côté. Dégustez les pancakes au gâteau aux carottes chauds avec les garnitures de votre choix. Du miel, des fruits et des noix, une cuillerée de crème sucrée, du fromage à la crème ou du caillé suspendu sont quelques idées de garniture à essayer avec cette recette de crêpes au gâteau aux carottes. Servez des crêpes au gâteau aux carottes avec du café expresso pour un petit-déjeuner de week-end.</t>
  </si>
  <si>
    <t>http://www.archanaskitchen.com/carrot-cake-pancakes-recipe</t>
  </si>
  <si>
    <t>Eggless Lemon Pound Cake Recipe</t>
  </si>
  <si>
    <t>Rezept für eifreien Zitronen-Pfund-Kuchen</t>
  </si>
  <si>
    <t>Recette de quatre-quarts au citron sans œufs</t>
  </si>
  <si>
    <t>Receta de bizcocho de limón y sin huevo</t>
  </si>
  <si>
    <t>1/2 tasse de beurre (non salé), 3/4 tasse de sucre en poudre, 1-1/2 tasse de farine tout usage (Maida), 1/2 cuillère à café de sel, 2 cuillères à café de levure chimique, 1/2 tasse de lait, 3 cuillères à soupe de jus de citron, 1 cuillère à café d'extrait de vanille, 1 cuillère à soupe de zeste de citron, 2 cuillères à soupe de poudre de graines de lin (farine de lin), 6 cuillères à soupe d'eau</t>
  </si>
  <si>
    <t>1/2 cup Butter (unsalted),3/4 cup Caster Sugar,1-1/2 cups All Purpose Flour (Maida),1/2 teaspoon Salt,2 teaspoons Baking powder,1/2 cup Milk,3 tablespoons Lemon juice,1 teaspoons Vanilla Extract,1 tablespoon Lemon zest,2 tablespoons Flax seed powder (flax meal),6 tablespoons Water</t>
  </si>
  <si>
    <t>1/2 taza de mantequilla (sin sal), 3/4 taza de azúcar extrafino, 1-1/2 tazas de harina para todo uso (Maida), 1/2 cucharadita de sal, 2 cucharaditas de polvo para hornear, 1/2 taza de leche, 3 cucharadas de jugo de limón, 1 cucharadita de extracto de vainilla, 1 cucharada de ralladura de limón, 2 cucharadas de polvo de semilla de lino (harina de lino), 6 cucharadas de agua</t>
  </si>
  <si>
    <t xml:space="preserve">To begin preparing the Lemon Pound Cake, preheat the oven to 180 C. Butter and flour a 10" loaf, square, or a bundt pan. I like using a loaf pan as the cake slices nicely.To prepare flax meal egg replacer If your recipe asks for 2 eggs, measure 2 tablespoons of flax seed powder and 6 tablespoons of water. Stir well and let the mixture rest for about 15 minutes. This process of resting helps the flax meal mixture develop a gelatinous consistency similar to eggs.Sift together the flour, baking powder and salt and keep aside.Using the large bowl or a KitchenAid Stand Mixer bowl, beat together the butter, sugar and vanilla essence. Beat well until fluffy.Add in the Flax Eggs, baking powder, salt, flour, lemon juice, milk and beat until well combined and you get a smooth batter.Pour the batter into the prepared greased pan and bake until a knife inserted in the centre comes out clean, about 30 to 40 minutes. The baking time will vary from oven to oven, so take care too look at the Eggless Lemon Pound Cake after 30 minutes.Once done, remove the Eggless Lemon Pound Cake from the oven and cool the pound cake in the pan on a rack before serving.Serve the Eggless Lemon Pound Cake with a nice cup of Adrak Chai to enjoy your Tea Time Snack.
</t>
  </si>
  <si>
    <t>Para comenzar a preparar el bizcocho de limón, precaliente el horno a 180 °C. Enmantequilla y enharina un molde para pan de 10", cuadrado o un molde Bundt. Me gusta usar un molde para pan, ya que el bizcocho se corta bien. Para preparar el sustituto de huevo con harina de lino, si su receta pide 2 huevos, mida 2 cucharadas de polvo de semillas de lino y 6 cucharadas de agua. Revuelva bien y deje reposar la mezcla durante unos 15 minutos. Este proceso de reposo ayuda a que la mezcla de harina de lino desarrolle una consistencia gelatinosa similar a los huevos. Tamice juntos la harina, el polvo de hornear y la sal y reserve. Usando un tazón grande o un tazón de batidora de pie KitchenAid, bata la mantequilla, el azúcar y la esencia de vainilla. Bata bien hasta que quede esponjoso. Agregue los huevos de lino, el polvo de hornear, la sal, la harina, el jugo de limón, la leche y bata hasta que esté bien combinado y obtenga una masa suave. Vierta la masa en el molde engrasado preparado y hornee hasta que un cuchillo insertado en el centro salga limpio, aproximadamente de 30 a 40 minutos. El horneado El tiempo varía de un horno a otro, así que tenga cuidado de mirar el bizcocho de limón sin huevo después de 30 minutos. Una vez listo, retire el bizcocho de limón sin huevo del horno y déjelo enfriar en el molde sobre una rejilla antes de servir. Sirva el bizcocho de limón sin huevo con una buena taza de Adrak Chai para disfrutar de su merienda.</t>
  </si>
  <si>
    <t>Pour commencer à préparer le quatre-quarts au citron, préchauffez le four à 180 °C. Beurrez et farinez un moule à pain de 25 cm, un moule carré ou un moule à bundt. J'aime utiliser un moule à pain car le gâteau se coupe bien. Pour préparer le substitut d'œuf à la farine de lin Si votre recette demande 2 œufs, mesurez 2 cuillères à soupe de poudre de graines de lin et 6 cuillères à soupe d'eau. Remuez bien et laissez reposer le mélange pendant environ 15 minutes. Ce processus de repos aide le mélange de farine de lin à développer une consistance gélatineuse semblable à celle des œufs. Tamisez ensemble la farine, la levure chimique et le sel et réservez. À l'aide du grand bol ou du bol d'un batteur sur socle KitchenAid, battez ensemble le beurre, le sucre et l'essence de vanille. Battez bien jusqu'à consistance mousseuse. Ajoutez les œufs de lin, la levure chimique, le sel, la farine, le jus de citron, le lait et battez jusqu'à obtenir une pâte lisse. Versez la pâte dans le moule graissé préparé et faites cuire jusqu'à ce qu'un couteau inséré au centre en ressorte propre, environ 30 à 40 minutes. Le temps de cuisson Cela varie d'un four à l'autre, alors faites attention à bien regarder le gâteau au citron sans œufs après 30 minutes. Une fois cuit, retirez le gâteau au citron sans œufs du four et laissez-le refroidir dans le moule sur une grille avant de servir. Servez le gâteau au citron sans œufs avec une bonne tasse d'Adrak Chai pour savourer votre goûter.</t>
  </si>
  <si>
    <t>https://www.archanaskitchen.com/old-fashioned-pound-cake-with-egg-and-eggless-recipe</t>
  </si>
  <si>
    <t>Tandoori Mayonnaise Chicken Cigar Recipe</t>
  </si>
  <si>
    <t>Rezept für Hühnchenzigarren mit Tandoori-Mayonnaise</t>
  </si>
  <si>
    <t>Recette de cigares de poulet à la mayonnaise tandoori</t>
  </si>
  <si>
    <t>Receta de cigarros de pollo con mayonesa tandoori</t>
  </si>
  <si>
    <t>250 grammes de poulet désossé, 4 cuillères à soupe de mayonnaise Tandoori Del Monte, sel - au goût, 1 cuillère à café de poudre de poivre noir, 6 tortillas, 1 cuillère à soupe de farine de maïs, huile de tournesol - pour la friture</t>
  </si>
  <si>
    <t>250 gram Boneless chicken,4 tablespoon Del Monte Tandoori Mayo,Salt - to taste,1 teaspoon Black pepper powder,6 Tortillas,1 tablespoon Corn flour,Sunflower Oil - for deep frying</t>
  </si>
  <si>
    <t>250 gramos de pollo deshuesado, 4 cucharadas de mayonesa tandoori Del Monte, sal al gusto, 1 cucharadita de pimienta negra en polvo, 6 tortillas, 1 cucharada de harina de maíz, aceite de girasol para freír</t>
  </si>
  <si>
    <t xml:space="preserve">To begin making the Tandoori Mayonnaise Chicken Cigar recipe, clean and wash chicken well. Sprinkle salt and pepper powder over the chicken. Grease the aluminium foil lined on baking tray with olive oil or butter.Roast the chicken in oven for about 15 to 20 minutes at 170 degree centigrade. Chicken has to be cooked(not over cooked). Remove the chicken from oven, and cut them into small pieces.Add corn flour to water and mix well to remove all lumps and make a paste. Keep aside.Place a tortilla on the floor, scoop a tablespoon full of roasted chicken pieces on one side of the tortilla.Drizzle a good amount of DelMonte Tandoori Mayonnaise over the chicken. Apply the corn starch paste all over the edges. Start folding the tortillas and make a cigar shaped wrap. Make sure to seal the edges really well, if not the chicken will fall out of the wrap while frying. Repeat the same for all the wraps.Heat oil for deep frying in a wok. Once oil turns hot, drop few cigars into hot oil and fry on medium heat until golden brown on all sides. Remove from oil and drain it on kitchen paper. Serve hot.Serve Tandoori Mayonnaise Chicken Cigar along with Spicy Marinara Sauce as a appetiser for your house party or as a tea time snack.
</t>
  </si>
  <si>
    <t>Para preparar la receta de Pollo con Cigarro y Mayonesa Tandoori, limpia y lava bien el pollo. Espolvorea con sal y pimienta en polvo. Engrasa la bandeja de horno forrada con papel aluminio con aceite de oliva o mantequilla. Hornea el pollo de 15 a 20 minutos a 170 grados centígrados. El pollo debe estar cocido (no demasiado). Retira el pollo del horno y córtalo en trozos pequeños. Agrega harina de maíz al agua y mezcla bien para deshacer los grumos y formar una pasta. Reserva. Coloca una tortilla en el suelo y coloca una cucharada de pollo asado en un lado. Rocía con una buena cantidad de mayonesa Tandoori DelMonte sobre el pollo. Aplica la pasta de almidón de maíz por todos los bordes. Dobla las tortillas y forma un cigarro. Asegúrate de sellar bien los bordes; de lo contrario, el pollo se saldrá del envoltorio al freírse. Repite el proceso con todos los envoltorios. Calienta aceite para freír en un wok. Una vez caliente el aceite, echa unos cigarros en el aceite caliente y fríelos a fuego medio hasta que estén dorados por todos lados. Retíralos del aceite y escúrrelos sobre papel de cocina. Sírvelos calientes. Sirve el pollo cigarro con mayonesa tandoori junto con la salsa marinara picante como aperitivo para una fiesta en casa o como merienda.</t>
  </si>
  <si>
    <t>Pour commencer la recette du cigare de poulet à la mayonnaise tandoori, nettoyez et lavez soigneusement le poulet. Saupoudrez-le de sel et de poivre en poudre. Graissez le papier aluminium d'une plaque de cuisson avec de l'huile d'olive ou du beurre. Faites rôtir le poulet au four pendant 15 à 20 minutes à 170 °C. Le poulet doit être cuit (pas trop cuit). Retirez le poulet du four et coupez-le en petits morceaux. Ajoutez la fécule de maïs à l'eau et mélangez bien pour éliminer les grumeaux et obtenir une pâte. Réservez. Placez une tortilla sur le sol et déposez une cuillère à soupe de morceaux de poulet rôti sur un côté de la tortilla. Arrosez généreusement le poulet de mayonnaise tandoori DelMonte. Appliquez la pâte de fécule de maïs sur tous les bords. Commencez à replier les tortillas et formez un cigare. Assurez-vous de bien souder les bords, sinon le poulet se détachera de la tortilla pendant la cuisson. Répétez l'opération pour tous les tortillas. Faites chauffer l'huile de friture dans un wok. Une fois l'huile chaude, plongez-y quelques cigares et faites-les frire à feu moyen jusqu'à ce qu'ils soient dorés de tous les côtés. Retirez-les de l'huile et égouttez-les sur du papier absorbant. Servez chaud. Servez le cigare de poulet tandoori mayonnaise accompagné de sauce marinara épicée en apéritif pour votre fête ou à l'heure du thé.</t>
  </si>
  <si>
    <t>https://www.archanaskitchen.com/tandoori-mayonnaise-chicken-cigar-recipe</t>
  </si>
  <si>
    <t>Russian Radish Cucumber Salad Recipe</t>
  </si>
  <si>
    <t>Rezept für russischen Rettich-Gurkensalat</t>
  </si>
  <si>
    <t>Recette de salade de radis russe et de concombre</t>
  </si>
  <si>
    <t>Receta de ensalada rusa de rábano y pepino</t>
  </si>
  <si>
    <t>1 radis rouge, 1 Mooli/Mullangi (radis), 1 concombre, 5 g d'ail, 1 tasse de caillé (dahi/yaourt), 2 œufs entiers durs, 1/2 cuillère à café de feuilles d'aneth, 1/2 cuillère à café de ciboulette fraîche, 1 cuillère à café d'huile d'amande (huile de badam), sel de mer au goût</t>
  </si>
  <si>
    <t>1 Red Radish,1 Mooli/ Mullangi (Radish),1 Cucumber,5 Garlic,1 Cup Curd (Dahi / Yogurt),2 Whole Egg - hard boiled,1/2 teaspoon Dill leaves,1/2 teaspoon Chives - fresh,1 teaspoon Almond Oil (Badam Oil),Sea salt - to taste</t>
  </si>
  <si>
    <t>1 rábano rojo, 1 mooli/mullangi (rábano), 1 pepino, 5 ajos, 1 taza de cuajada (dahi/yogur), 2 huevos enteros - duros, 1/2 cucharadita de hojas de eneldo, 1/2 cucharadita de cebollino - fresco, 1 cucharadita de aceite de almendras (aceite de Badam), sal marina - al gusto</t>
  </si>
  <si>
    <t xml:space="preserve">To begin making Russian Radish Cucumber Salad Recipe, first wash the vegetables and soak in water for 15 minutes.Pat dry the vegetables on a kitchen towel and slice the radishes and cucumber finely in circular shapes. Heat a heavy bottomed pan with some oil and fry the garlic pods on low flame till roasted.Take a big bowl and beat the curd with chives and sea salt.Add the garlic and vegetables to this bowl and mix until the yogurt coats well on all the vegetables. Refrigerate for 10 minutes.Meanwhile slice the hard boiled eggs. Take the vegetables out of the refrigerator and add the boiled eggs to it. Now serve cold on a fancy platter garnish with fresh herbs. Serve Russian Radish Cucumber Salad with Macaroni Minestrone Soup Pot Recipe  or a Hearty Vegetable Tortilla Soup Recipe
</t>
  </si>
  <si>
    <t>Para empezar a preparar la receta de ensalada rusa de pepino y rábano, primero lava las verduras y remójalas en agua durante 15 minutos. Sécalas con un paño de cocina y corta los rábanos y el pepino finamente en círculos. Calienta una sartén de fondo grueso con un poco de aceite y fríe las vainas de ajo a fuego lento hasta que se tuesten. Toma un tazón grande y bate la cuajada con cebollino y sal marina. Agrega el ajo y las verduras a este tazón y mezcla hasta que el yogur cubra bien todas las verduras. Refrigera durante 10 minutos. Mientras tanto, corta los huevos duros en rodajas. Saca las verduras del refrigerador y agrega los huevos cocidos. Ahora sirve frío en una fuente elegante adornada con hierbas frescas. Sirve la ensalada rusa de pepino y rábano con la receta de sopa minestrone de macarrones o una receta de sopa de tortilla de verduras abundante.</t>
  </si>
  <si>
    <t>Pour commencer à préparer la salade de radis et concombres russes, lavez d'abord les légumes et laissez-les tremper dans l'eau pendant 15 minutes. Séchez-les sur un torchon et coupez les radis et le concombre en fines rondelles. Faites chauffer un peu d'huile dans une poêle à fond épais et faites revenir les gousses d'ail à feu doux. Dans un grand bol, battez le caillé avec la ciboulette et le sel de mer. Ajoutez l'ail et les légumes dans ce bol et mélangez jusqu'à ce que le yaourt enrobe bien les légumes. Réfrigérez pendant 10 minutes. Pendant ce temps, coupez les œufs durs en tranches. Sortez les légumes du réfrigérateur et ajoutez-y les œufs durs. Servez froid sur un plat élégant et garnissez d'herbes fraîches. Servez la salade de radis et concombres russes avec une soupe minestrone aux macaronis ou une soupe aux tortillas de légumes.</t>
  </si>
  <si>
    <t>http://www.archanaskitchen.com/russian-radish-cucumber-salad-recipe</t>
  </si>
  <si>
    <t>No-Bake Strawberry Cream Cheese Dessert Recipe</t>
  </si>
  <si>
    <t>Rezept für ein Erdbeer-Frischkäse-Dessert ohne Backen</t>
  </si>
  <si>
    <t>Recette de dessert au fromage frais et à la crème sans cuisson</t>
  </si>
  <si>
    <t>Receta de postre de queso crema sin horno</t>
  </si>
  <si>
    <t>14 biscuits Marie - ou 10 biscuits Graham, 1 cuillère à soupe de sucre - en poudre, 2 cuillères à soupe de beurre - fondu, 1 fromage à la crème Britannia - (j'ai utilisé du Philadelphia) ramolli, 1 lait concentré - sucré, 1/3 tasse de jus de citron, 1 cuillère à café de crème anglaise à la vanille, 2 tasses de fraises, 1 citron, 1/4 tasse de sucre, 1/4 tasse d'eau, 1 cuillère à soupe de farine de maïs</t>
  </si>
  <si>
    <t>14 Marie Biscuit - or 10 Graham Crackers,1 tablespoon Sugar - powdered,2 tablespoon Butter - melted,1 Britannia Cream Cheese - (I used Philadelphia) softened,1 Condensed Milk - sweetened,1/3 cup Lemon juice,1 teaspoon Vanilla custard,2 cups Strawberries,1 Lemon,1/4 cup Sugar,1/4 cup Water,1 tablespoon Corn flour</t>
  </si>
  <si>
    <t>14 galletas María o 10 galletas Graham, 1 cucharada de azúcar en polvo, 2 cucharadas de mantequilla derretida, 1 queso crema Britannia (yo usé Philadelphia) ablandado, 1 leche condensada endulzada, 1/3 taza de jugo de limón, 1 cucharadita de crema pastelera de vainilla, 2 tazas de fresas, 1 limón, 1/4 taza de azúcar, 1/4 taza de agua, 1 cucharada de harina de maíz</t>
  </si>
  <si>
    <t xml:space="preserve">For making No-Bake Strawberry Cream Cheese Dessert, begin with preparing the crust.CrustGrind the biscuits in a mixer.In a small bowl, combine the crumbs, sugar and butter.Divide this mixture between 2 glasses and let it chill for 15 minutes.FillingIn a small bowl, beat the cream cheese until its smooth.Gradually add in the condensed milk until it is blended well.Beat in the lemon juice and vanilla essence.Spoon approximately 1/4 cup into each glass. Then let it chill for about 1 hour.Strawberry CompoteRinse the strawberries under cold water and use the point of the knife to remove the hull out of the tops. When you have big strawberries cut in half.Zest and juice the lemon.In a small Saucepan over medium heat, combine sugar, water, and cornflour and whisk well.Add the lemon zest and juice.Add in strawberries and mix gently.Cook over medium-high heat, stirring occasionally. The mixture will sizzle for a while, but then juice will begin to form.Continue stirring; mash a few strawberries with a wooden spoon or heat-proof spatula to help produce the syrup.Cook until sauce thickens, about 10-15 minutes. Remove from heat.In a Blender, puree about 1/3 of the sauce, then mix back into the remaining topping.ServingTop each glass with the strawberry compote, about 1/4 cup in each and serve No-Bake Strawberry Cream Cheese Dessert Recipe instantly.Note: You can also use 1 can of strawberry pie filling which is readily available in the market. You can substitute the blueberry pie filling or any another fruit flavor of your choice for the strawberry filling.
</t>
  </si>
  <si>
    <t>Para preparar el postre de queso crema con fresas sin horno, comience preparando la base. Base: Muele las galletas en una batidora. En un tazón pequeño, mezcla las migas, el azúcar y la mantequilla. Divide esta mezcla en 2 vasos y deja enfriar durante 15 minutos. Relleno: En un tazón pequeño, bate el queso crema hasta que esté suave. Agrega gradualmente la leche condensada hasta que esté bien integrada. Incorpora el jugo de limón y la esencia de vainilla. Vierte aproximadamente 1/4 de taza en cada vaso. Luego, deja enfriar durante aproximadamente 1 hora. Compota de fresa: Enjuaga las fresas con agua fría y con la punta de un cuchillo, retira la cáscara. Cuando tengas fresas grandes, córtalas por la mitad. Ralla y exprime el limón. En una cacerola pequeña a fuego medio, mezcla el azúcar, el agua y la maicena y bate bien. Agrega la ralladura y el jugo de limón. Agrega las fresas y mezcla suavemente. Cocina a fuego medio-alto, revolviendo ocasionalmente. La mezcla chisporroteará un rato, pero luego empezará a formarse jugo. Continúe revolviendo; machaque algunas fresas con una cuchara de madera o una espátula resistente al calor para facilitar la producción del almíbar. Cocine hasta que la salsa espese, unos 10-15 minutos. Retire del fuego. En una licuadora, licue aproximadamente 1/3 de la salsa y luego incorpórela al resto de la cobertura. Sirva: Cubra cada vaso con la compota de fresa, aproximadamente 1/4 de taza en cada uno, y sirva la receta de postre de queso crema con fresa sin horno al instante. Nota: También puede usar una lata de relleno para tarta de fresa, que se encuentra fácilmente en el mercado. Puede sustituir el relleno de fresa por el de arándanos o cualquier otro sabor de fruta de su preferencia.</t>
  </si>
  <si>
    <t>Pour préparer un dessert au fromage frais et aux fraises sans cuisson, commencez par préparer la croûte. Croûte : Broyez les biscuits au mixeur. Dans un petit bol, mélangez la chapelure, le sucre et le beurre. Répartissez ce mélange dans 2 verres et laissez reposer 15 minutes. Garniture : Dans un petit bol, battez le fromage frais jusqu’à obtenir une consistance lisse. Ajoutez progressivement le lait concentré sucré jusqu’à obtenir un mélange homogène. Incorporez le jus de citron et l’extrait de vanille. Versez environ 60 ml de ce mélange dans chaque verre. Laissez reposer environ 1 heure. Compote de fraises : Rincez les fraises à l’eau froide et équeutez-les avec la pointe d’un couteau. Lorsque vous obtenez de grosses fraises, coupez-les en deux. Zester et presser le citron. Dans une petite casserole à feu moyen, mélangez le sucre, l’eau et la fécule de maïs et fouettez bien. Ajoutez le zeste et le jus de citron. Ajoutez les fraises et mélangez délicatement. Faites cuire à feu moyen-vif en remuant de temps en temps. Le mélange grésillera un moment, puis le jus commencera à se former. Continuez à remuer ; écrasez quelques fraises avec une cuillère en bois ou une spatule résistante à la chaleur pour obtenir le sirop. Laissez cuire jusqu'à ce que la sauce épaississe, environ 10 à 15 minutes. Retirez du feu. Dans un blender, réduisez environ 1/3 de la sauce en purée, puis incorporez-la au reste de la garniture. Service : Garnissez chaque verre de compote de fraises (environ 60 ml) et servez immédiatement. Remarque : Vous pouvez également utiliser une boîte de garniture pour tarte aux fraises, disponible dans le commerce. Vous pouvez remplacer la garniture aux fraises par de la garniture pour tarte aux myrtilles ou par un autre fruit de votre choix.</t>
  </si>
  <si>
    <t>http://www.archanaskitchen.com/no-bake-strawberry-cream-cheese-dessert-recipe</t>
  </si>
  <si>
    <t>Eggless Mango Muffins Recipe</t>
  </si>
  <si>
    <t>Rezept für Mango-Muffins ohne Ei</t>
  </si>
  <si>
    <t>Recette de muffins à la mangue sans œufs</t>
  </si>
  <si>
    <t>Receta de muffins de mango sin huevo</t>
  </si>
  <si>
    <t>1 1/2 tasse de farine tout usage (Maida), 1/2 tasse de pulpe de mangue (purée), 1/2 tasse de sucre en poudre, 1/3 tasse d'huile de tournesol, 2 cuillères à soupe de substitut d'œuf à base de lin, 1 cuillère à café d'extrait de vanille, 1 pincée de sel, 2 cuillères à café de levure chimique</t>
  </si>
  <si>
    <t>1 1/2 cups All Purpose Flour (Maida),1/2 cup Mango Pulp (Puree),1/2 cup Caster Sugar,1/3 cup Sunflower Oil,2 tablespoon Flaxmeal Egg Replacer,1 teaspoon Vanilla Extract,1 pinch Salt,2 teaspoon Baking powder</t>
  </si>
  <si>
    <t>1 1/2 tazas de harina para todo uso (Maida), 1/2 taza de pulpa de mango (puré), 1/2 taza de azúcar extrafino, 1/3 taza de aceite de girasol, 2 cucharadas de sustituto de huevo de linaza, 1 cucharadita de extracto de vainilla, 1 pizca de sal, 2 cucharaditas de polvo para hornear</t>
  </si>
  <si>
    <t xml:space="preserve">To begin making the Eggless Mango Muffin Recipe, preheat oven, at 180 C and grease and dust the muffin pan .To make the Flax Meal Egg Replacer you can follow How to make Flax Seed Egg Replacer For Eggless CakesMeasure 2 tablespoons of flax meal along with 6 tablespoons of water. Stir well and let the mixture rest for about 15 minutes. This process of resting helps the flax meal mixture develop a gelatinous consistency similar to eggs.To Make the Batter In a large mixing bowl, or stand alone mixer beat the sugar and oil until light fluffy, add the flax meal egg replacer, mango puree,vanilla extract, salt, baking powder and the flour and beat well until combined. Spoon the mango cupcake batter into the muffin pan and place in the preheated oven to bake for 15 minutes, until a tester when inserted in the center comes out clean. Once done remove from the oven and allow Eggless Mango Muffin Recipe to cool completely.Serve the Eggless Mango Muffin Recipe for breakfast along with Chickoo Banana Date Smoothie or Coffee Recipe With Instant Coffee Powder to create a complete meal.
</t>
  </si>
  <si>
    <t>Para comenzar a hacer la Receta de Muffins de Mango sin Huevo, precaliente el horno a 180 C y engrase y espolvoree el molde para muffins. Para hacer el Sustituto de Huevo con Harina de Lino puede seguir Cómo hacer un Sustituto de Huevo con Semillas de Lino para Pasteles sin Huevo Mida 2 cucharadas de harina de lino junto con 6 cucharadas de agua. Revuelva bien y deje reposar la mezcla durante unos 15 minutos. Este proceso de reposo ayuda a que la mezcla de harina de lino desarrolle una consistencia gelatinosa similar a los huevos. Para Hacer la Masa En un tazón grande para mezclar, o una batidora independiente, bata el azúcar y el aceite hasta que quede suave y esponjoso, agregue el sustituto de huevo con harina de lino, el puré de mango, el extracto de vainilla, la sal, el polvo para hornear y la harina y bata bien hasta que se combinen. Vierta la masa de cupcakes de mango en el molde para muffins y colóquelo en el horno precalentado para hornear durante 15 minutos, hasta que un probador insertado en el centro salga limpio. Una vez listo, sáquelo del horno y deje que la receta de muffins de mango sin huevo se enfríe por completo. Sirva la receta de muffins de mango sin huevo en el desayuno junto con el batido de plátano y dátiles Chickoo o la receta de café con café instantáneo en polvo para crear una comida completa.</t>
  </si>
  <si>
    <t>Pour commencer à préparer la recette de muffins à la mangue sans œufs, préchauffez le four à 180 °C, graissez et saupoudrez le moule à muffins. Pour préparer le substitut d'œuf à la farine de lin, vous pouvez suivre Comment préparer un substitut d'œuf aux graines de lin pour les gâteaux sans œufs Mesurez 2 cuillères à soupe de farine de lin avec 6 cuillères à soupe d'eau. Remuez bien et laissez reposer le mélange pendant environ 15 minutes. Ce processus de repos aide le mélange de farine de lin à développer une consistance gélatineuse semblable à celle des œufs. Pour préparer la pâte Dans un grand bol à mélanger ou un batteur autonome, battez le sucre et l'huile jusqu'à consistance légère et mousseuse, ajoutez le substitut d'œuf à la farine de lin, la purée de mangue, l'extrait de vanille, le sel, la levure chimique et la farine et battez bien jusqu'à ce que le tout soit bien mélangé. Déposez la pâte à cupcake à la mangue dans le moule à muffins et placez-le dans le four préchauffé pour cuire pendant 15 minutes, jusqu'à ce qu'un testeur inséré au centre en ressorte propre. Une fois terminé, retirez du four et laissez refroidir complètement la recette de muffins à la mangue sans œufs. Servez la recette de muffins à la mangue sans œufs au petit-déjeuner avec un smoothie Chickoo Banana Dattes ou une recette de café avec du café instantané en poudre pour créer un repas complet.</t>
  </si>
  <si>
    <t>http://www.archanaskitchen.com/eggless-mango-cupcakes-recipe</t>
  </si>
  <si>
    <t>Chocolate Chip Cookies With Coconut Recipe</t>
  </si>
  <si>
    <t>Schokoladenkekse mit Kokosnuss-Rezept</t>
  </si>
  <si>
    <t>Recette de biscuits au chocolat et à la noix de coco</t>
  </si>
  <si>
    <t>Receta de galletas de chocolate y coco</t>
  </si>
  <si>
    <t>1-1/2 tasse de farine tout usage (Maida), 3/4 tasse de beurre (non salé) - ramolli à température ambiante, 1/2 tasse de cassonade (sucre Demerara), 1/2 tasse de sucre, 1 cuillère à soupe d'extrait de vanille, 2 œufs entiers, 1/4 cuillère à soupe de sel, 1/2 cuillère à soupe de bicarbonate de soude, 1 cuillère à soupe de levure chimique, 1 tasse de pépites de chocolat, 1 tasse de noix de coco desséchée</t>
  </si>
  <si>
    <t>1-1/2 cup All Purpose Flour (Maida),3/4 cup Butter (unsalted) - softened at room temperature,1/2 cup Brown Sugar (Demerara Sugar),1/2 cup Sugar,1 tablespoon Vanilla Extract,2 Whole Eggs,1/4 tablespoon Salt,1/2 tablespoon Baking soda,1 tablespoon Baking powder,1 cup Chocolate chips,1 cup Dessicated Coconut</t>
  </si>
  <si>
    <t>1-1/2 taza de harina para todo uso (Maida), 3/4 taza de mantequilla (sin sal) - ablandada a temperatura ambiente, 1/2 taza de azúcar morena (azúcar Demerara), 1/2 taza de azúcar, 1 cucharada de extracto de vainilla, 2 huevos enteros, 1/4 cucharada de sal, 1/2 cucharada de bicarbonato de sodio, 1 cucharada de polvo para hornear, 1 taza de chispas de chocolate, 1 taza de coco deshidratado</t>
  </si>
  <si>
    <t xml:space="preserve">To begin making the Chocolate Chip Cookies With Coconut, preheat the oven at 180 degree.In a mixing bowl, add soft butter, brown sugar and white sugar all together with electric mixer or standing mixture.Beat eggs in the same mixture one by one and add the vanilla extract.In another bowl, mix together flour, baking soda and baking powder in a strainer and strain it to make uniform mixture.Add this uniform mixture in butter mixture and combine it well. Add coconut and chocolate chips in mixture. Mix it well.Take a baking tray and place baking sheet on it, using a small ice cream scoop, scoop out the cookie dough on prepared baking sheet. Make sure to place them a few inch apart from each other.Bake cookies for 10 to 12 minutes or until the edges turn to light golden in colour. Serve these Chocolate Chip Cookies With Coconut along with Cold Coffee Smoothie and Grilled Spicy Potato Sandwich for a tea time break.
</t>
  </si>
  <si>
    <t>Para empezar a hacer las Galletas de Chispas de Chocolate con Coco, precalienta el horno a 180 grados. En un tazón, mezcla la mantequilla suave, el azúcar moreno y el azúcar blanco, todo junto con una batidora eléctrica o una mezcla de reposo. Bate los huevos en la misma mezcla uno por uno y agrega el extracto de vainilla. En otro tazón, mezcla la harina, el bicarbonato de sodio y el polvo para hornear en un colador y cuélalo para hacer una mezcla uniforme. Agrega esta mezcla uniforme a la mezcla de mantequilla y combínala bien. Agrega el coco y las chispas de chocolate a la mezcla. Mezcla bien. Toma una bandeja para hornear y coloca la bandeja para hornear sobre ella, usando una pequeña cuchara para helado, saca la masa de galletas en la bandeja para hornear preparada. Asegúrate de colocarlas a unos centímetros de distancia una de la otra. Hornea las galletas durante 10 a 12 minutos o hasta que los bordes adquieran un color dorado claro. Sirve estas Galletas de Chispas de Chocolate con Coco junto con un Batido de Café Frío y un Sándwich de Papa Picante a la Parrilla para una pausa para el té.</t>
  </si>
  <si>
    <t>Pour commencer à préparer les cookies aux pépites de chocolat et à la noix de coco, préchauffez le four à 180 degrés. Dans un saladier, ajoutez le beurre mou, la cassonade et le sucre blanc au batteur électrique ou au robot culinaire. Battez les œufs un à un dans le même mélange et ajoutez l'extrait de vanille. Dans un autre saladier, mélangez la farine, le bicarbonate de soude et la levure chimique dans une passoire et filtrez jusqu'à obtenir un mélange homogène. Ajoutez ce mélange homogène au mélange de beurre et mélangez bien. Ajoutez la noix de coco et les pépites de chocolat au mélange. Mélangez bien. Prenez une plaque de cuisson et placez-la dessus. À l'aide d'une petite cuillère à glace, prélevez la pâte à biscuits sur la plaque préparée. Assurez-vous de les espacer de quelques centimètres. Faites cuire les cookies pendant 10 à 12 minutes ou jusqu'à ce que les bords soient légèrement dorés. Servez ces cookies aux pépites de chocolat et à la noix de coco avec un smoothie au café froid et un sandwich aux pommes de terre épicées grillées pour une pause thé.</t>
  </si>
  <si>
    <t>http://www.archanaskitchen.com/chocolate-chip-cookies-with-coconut-recipe</t>
  </si>
  <si>
    <t>Parmesan Corn Chili Fries Recipe</t>
  </si>
  <si>
    <t>Rezept für Parmesan-Mais-Chili-Pommes</t>
  </si>
  <si>
    <t>Recette de frites de maïs et de chili au parmesan</t>
  </si>
  <si>
    <t>Receta de papas fritas de maíz y chile parmesano</t>
  </si>
  <si>
    <t>1 tasse de polenta, 1/2 tasse de parmesan râpé, 1/4 tasse de beurre, 3 tasses de bouillon de légumes ou d'eau, 1 cuillère à café de sauge (facultatif mais recommandé), 1 cuillère à café de feuilles de basilic fraîches ou séchées, 1 cuillère à café de flocons de piment rouge, sel au goût, poudre de poivre noir au goût, 2 cuillères à soupe d'huile d'olive extra vierge</t>
  </si>
  <si>
    <t>1 cup Polenta,1/2 cup Parmesan cheese - grated,1/4 cup Butter,3 cups Vegetable stock - or water,1 teaspoon Sage - (optional but recommended),1 teaspoon Basil leaves - fresh or dried,1 teaspoon Red Chilli flakes,Salt - to taste,Black pepper powder - to taste,2 tablespoon Extra Virgin Olive Oil</t>
  </si>
  <si>
    <t>1 taza de polenta, 1/2 taza de queso parmesano rallado, 1/4 taza de mantequilla, 3 tazas de caldo de verduras o agua, 1 cucharadita de salvia (opcional pero recomendada), 1 cucharadita de hojas de albahaca frescas o secas, 1 cucharadita de hojuelas de chile rojo, sal al gusto, pimienta negra en polvo al gusto, 2 cucharadas de aceite de oliva virgen extra</t>
  </si>
  <si>
    <t xml:space="preserve">To begin making the Parmesan Corn Chilli Fries Recipe, in a saucepan add the veg stock or water and bring it to a boil. Add in sifted polenta or cornmeal, sage, basil, salt, pepper, and chilly flakes and keep stirring to avoid lumps.Cook on low heat for about 15 to 20 minutes or until it becomes thick and leaves the sides of the pan with continuous stirring.Once done remove from heat and stir in butter and parmesan.Transfer the mixture to the prepared baking sheet/ square tin and press evenly with a spatula. Place it in the refrigerator covered with cling wrap for about 2 hours or until set.Preheat the oven to 210 degrees celsius and line a baking sheet with parchment paper and brush it lightly with olive oil.Invert the polenta over a chopping board and cut into sticks of desired shape. Arrange the sticks onto the prepared sheet and brush them lightly with olive oil.Bake in preheated oven for about 15 minutes and flip the Parmesan Corn Chilli sticks to bake from the other side for 15 minutes or until golden and crispy.Transfer onto a serving plate and serve Parmesan Corn Chilli Fries hot.Serve Parmesan Corn Chilli Fries Recipe with roasted tomato sauce or party dips.
</t>
  </si>
  <si>
    <t>Para preparar la receta de papas fritas con chile, maíz y parmesano, en una cacerola, agregue el caldo de verduras o agua y llévelo a ebullición. Añada polenta o harina de maíz cernida, salvia, albahaca, sal, pimienta y hojuelas de chile, revolviendo constantemente para evitar grumos. Cocine a fuego lento durante 15 a 20 minutos o hasta que espese y se despegue de las paredes de la cacerola, revolviendo constantemente. Una vez listo, retire del fuego e incorpore la mantequilla y el parmesano. Transfiera la mezcla a la bandeja para hornear/molde cuadrado preparado y presione uniformemente con una espátula. Colóquela en el refrigerador cubierta con film transparente durante aproximadamente 2 horas o hasta que cuaje. Precaliente el horno a 210 grados Celsius, cubra una bandeja para hornear con papel vegetal y úntela ligeramente con aceite de oliva. Voltee la polenta sobre una tabla de cortar y córtela en palitos de la forma deseada. Coloca los palitos en la bandeja preparada y úntalos ligeramente con aceite de oliva. Hornea en horno precalentado durante unos 15 minutos y voltea los palitos de chile, maíz y parmesano para hornearlos por el otro lado durante 15 minutos o hasta que estén dorados y crujientes. Transfiere a un plato para servir y sirve las papas fritas con chile, maíz y parmesano calientes. Sirve la receta de papas fritas con chile, maíz y parmesano con salsa de tomate asado o salsas para fiestas.</t>
  </si>
  <si>
    <t>Pour commencer la recette de frites de maïs au parmesan et au piment, versez le bouillon de légumes ou l'eau dans une casserole et portez à ébullition. Ajoutez la polenta ou la semoule de maïs tamisée, la sauge, le basilic, le sel, le poivre et les flocons de piment, en remuant constamment pour éviter les grumeaux. Faites cuire à feu doux pendant 15 à 20 minutes, jusqu'à ce que la préparation épaississe et se détache des parois de la casserole, en remuant constamment. Retirez ensuite du feu et incorporez le beurre et le parmesan. Transférez le mélange sur la plaque de cuisson ou le moule carré préparé et tassez uniformément avec une spatule. Placez au réfrigérateur, recouvert de film alimentaire, pendant environ 2 heures, ou jusqu'à ce que la préparation soit prise. Préchauffez le four à 210 °C, recouvrez une plaque de cuisson de papier sulfurisé et badigeonnez-la légèrement d'huile d'olive. Retournez la polenta sur une planche à découper et coupez-la en bâtonnets de la forme souhaitée. Disposez les bâtonnets sur la plaque préparée et badigeonnez-les légèrement d'huile d'olive. Faites cuire au four préchauffé pendant environ 15 minutes et retournez les bâtonnets de parmesan, maïs et piment pour cuire de l'autre côté pendant 15 minutes ou jusqu'à ce qu'ils soient dorés et croustillants. Transférez sur une assiette de service et servez les frites de parmesan, maïs et piment chaudes. Servez la recette de frites de parmesan, maïs et piment avec de la sauce tomate rôtie ou des trempettes de fête.</t>
  </si>
  <si>
    <t>https://www.archanaskitchen.com/parmesan-corn-chili-fries-recipe</t>
  </si>
  <si>
    <t>Chilled Spinach And Cucumber Soup Recipe</t>
  </si>
  <si>
    <t>पालक ककड़ी सूप रेसिपी – Rezept für gekühlte Spinat- und Gurkensuppe</t>
  </si>
  <si>
    <t>Recette de soupe froide aux épinards et au concombre</t>
  </si>
  <si>
    <t>Receta de sopa fría de espinacas y pepino</t>
  </si>
  <si>
    <t>500 grammes d'épinards, 1 concombre - pelé et haché, 1 carotte - pelée et hachée, 1 gousse d'ail, 1/2 pouce de gingembre - haché, 1 piment vert, 1 oignon - haché, sel - selon le goût, poudre de poivre noir - selon le goût, 1/4 cuillère à café de poudre de paprika, 2 cuillères à soupe de yaourt, 1 cuillère à soupe de vinaigre balsamique, 1 cuillère à café d'huile d'olive, 2 cuillères à soupe de pignons de pin - pelés</t>
  </si>
  <si>
    <t>500 grams spinach, 1 cucumber - peeled and chopped, 1 carrot - peeled and chopped, 1 clove garlic, 1/2 inch ginger - chopped, 1 green chilli, 1 onion - chopped, salt - according to taste, black pepper powder - according to taste, 1/4 teaspoon paprika powder, 2 tablespoons yogurt, 1 tablespoon balsamic vinegar, 1 teaspoon olive oil, 2 tablespoons pine nuts - peeled</t>
  </si>
  <si>
    <t>500 gramos de espinacas, 1 pepino - pelado y picado, 1 zanahoria - pelada y picada, 1 diente de ajo, 1/2 pulgada de jengibre - picado, 1 chile verde, 1 cebolla - picada, sal - al gusto, pimienta negra en polvo - al gusto, 1/4 cucharadita de pimentón en polvo, 2 cucharadas de yogur, 1 cucharada de vinagre balsámico, 1 cucharadita de aceite de oliva, 2 cucharadas de piñones - pelados</t>
  </si>
  <si>
    <t>To make Spinach Cucumber Soup Recipe, first wash the spinach thoroughly and chop it. Keep it aside. Now in a saucepan add 2 cups of water, salt and let it boil. Keep ice water ready in another bowl. Put the spinach in boiling water and let it cook for 2 minutes. Now take out the spinach and put it in cold water for 2 minutes. Now in a mixer grinder add spinach, cucumber, carrot, garlic, ginger, green chili, onion and some cold water and make a puree. Now add curd, balsamic vinegar, paprika, black pepper, salt and grind again. Add water as per your requirement and make it thin. Now take it out in a bowl, cover and keep it in the fridge for 1 hour. Now in a small pan add pine nuts and roast them till they turn brown. Pour this and some olive oil over the soup and serve. Serve Spinach Cucumber Soup Recipe with salad or pasta of your choice for dinner.</t>
  </si>
  <si>
    <t>Para hacer la Receta de Sopa de Espinacas y Pepino, primero lava bien las espinacas y pícalas. Mantenlas a un lado. Ahora, en una cacerola, agrega 2 tazas de agua, sal y deja que hierva. Ten agua helada lista en otro recipiente. Pon las espinacas en agua hirviendo y déjalas cocer durante 2 minutos. Ahora saca las espinacas y ponlas en agua fría durante 2 minutos. Ahora, en una licuadora, agrega las espinacas, el pepino, la zanahoria, el ajo, el jengibre, el chile verde, la cebolla y un poco de agua fría y haz un puré. Ahora agrega la cuajada, el vinagre balsámico, el pimentón, la pimienta negra, la sal y vuelve a moler. Agrega agua según tus necesidades y hazlo diluido. Ahora sácalo en un recipiente, cúbrelo y guárdalo en el refrigerador durante 1 hora. Ahora, en una sartén pequeña, agrega los piñones y tuéstalos hasta que se doren. Vierte esto y un poco de aceite de oliva sobre la sopa y sirve. Sirve la Receta de Sopa de Espinacas y Pepino con ensalada o pasta de tu elección para la cena.</t>
  </si>
  <si>
    <t>Pour préparer la soupe aux épinards et au concombre, lavez soigneusement les épinards et hachez-les. Réservez-les. Dans une casserole, ajoutez 500 ml d'eau, salez et portez à ébullition. Dans un autre bol, réservez de l'eau glacée. Plongez les épinards dans l'eau bouillante et laissez cuire 2 minutes. Retirez-les et plongez-les dans l'eau froide pendant 2 minutes. Dans un mixeur, mixez les épinards, le concombre, la carotte, l'ail, le gingembre, le piment vert, l'oignon et un peu d'eau froide pour obtenir une purée. Ajoutez ensuite le lait caillé, le vinaigre balsamique, le paprika, le poivre noir, le sel et broyez à nouveau. Ajoutez de l'eau selon vos besoins et fluidifiez le mélange. Transférez la soupe dans un bol, couvrez et réservez au réfrigérateur pendant 1 heure. Dans une petite casserole, ajoutez les pignons de pin et faites-les dorer. Versez le tout et un peu d'huile d'olive sur la soupe et servez. Accompagnez la soupe d'une salade ou de pâtes de votre choix pour le dîner.</t>
  </si>
  <si>
    <t>https://www.archanaskitchen.com/chilled-spinach-and-cucumber-soup-recipe-in-hindi</t>
  </si>
  <si>
    <t>Cheese and Bacon Pinwheels Recipe</t>
  </si>
  <si>
    <t>Rezept für Käse-Speck-Windräder</t>
  </si>
  <si>
    <t>Recette de roulés au fromage et au bacon</t>
  </si>
  <si>
    <t>Receta de rollitos de tocino y queso</t>
  </si>
  <si>
    <t>1-1/2 tasse d'eau tiède, 1 cuillère à café de levure sèche active - ou levure instantanée, 2 tasses de farine tout usage (Maida), 1 cuillère à café de sel, 1 cuillère à soupe de sucre, 1/4 tasse d'huile d'olive extra vierge, 1/2 tasse de fromage à la crème Britannia, 1 tasse de cheddar râpé, 1 tasse de lanières de bacon - finement hachées, 1/2 tasse de feuilles d'oignon de printemps, 2 cuillères à café d'origan séché, 1 cuillère à café de flocons de piment rouge</t>
  </si>
  <si>
    <t>1-1/2 cups Lukewarm Water,1 teaspoon Active dry yeast - or instant yeast,2 cups All Purpose Flour (Maida),1 teaspoon Salt,1 tablespoon Sugar,1/4 cup Extra Virgin Olive Oil,1/2 cup Britannia Cream Cheese,1 cup Cheddar cheese - grated,1 cup Bacon strips - finely chopped,1/2 cup Spring Onion Greens,2 teaspoon Dried oregano,1 teaspoon Red Chilli flakes</t>
  </si>
  <si>
    <t>1-1/2 tazas de agua tibia, 1 cucharadita de levadura seca activa o levadura instantánea, 2 tazas de harina para todo uso (Maida), 1 cucharadita de sal, 1 cucharada de azúcar, 1/4 taza de aceite de oliva virgen extra, 1/2 taza de queso crema Britannia, 1 taza de queso cheddar rallado, 1 taza de tiras de tocino finamente picadas, 1/2 taza de cebolletas verdes, 2 cucharaditas de orégano seco, 1 cucharadita de hojuelas de chile rojo</t>
  </si>
  <si>
    <t xml:space="preserve">To prepare Cheese and Bacon Pinwheels Recipe, get prep with all the mentioned ingredients. Add yeast, sugar in a bowl and pour lukewarm water and let it sit for 5 minutes until the yeast starts bubbling. If the yeast doesn’t react discard it and start another batch.In another bowl, add flour, salt, and mix with your fingers, make a well in the center, and pour in the yeast mixture. Mix well. Knead in the same bowl for about 5-10 minutes.Clean thoroughly counter surface, dust with flour, transfer the dough to the counter and start kneading. Knead until smooth, soft and shiny dough.Place the dough in the bowl used for kneading, and cover it with a damp cloth. Set it aside for 1 – 1.5 hours, for the dough to prove. After 1-1.5 hour’s dough would have risen and it would be double the size.Once the dough is proven, knock down the dough (punch it with your fist), this is done to release all the air that would have collected. Gently knead for another 2 minutes and dough is ready to use.Meanwhile, pre-heat the oven to 180 degrees Celsius.Make equal small portions of the dough. Take a portion and flatten the base to long rectangular shape, of about 9 inches long.Spread a tablespoon or more of cream cheese on the base. Sprinkle a handful of cheddar cheese, bacon bits, and green onions. Spread all over.Sprinkle oregano and red chilli flakes. Cut lengthwise into long rectangular thin strips of about 1-inch wide and 8-9 inches long.Roll each rectangle strip carefully making sure no filling falls out. Press the edges to seal it.Place these pinwheels on greased baking sheet. Bake in preheated oven at 180-degree centigrade for about 15 to 18 minutes or until golden brown.Immediately remove from baking tray and serve Cheese and Bacon Pinwheels warm for an appetizer, with crunchy tortillas and Mexican salsa.
</t>
  </si>
  <si>
    <t>Para preparar la receta de rollos de queso y tocino, prepare todos los ingredientes mencionados. En un tazón, agregue la levadura y el azúcar, vierta agua tibia y deje reposar durante 5 minutos hasta que la levadura comience a burbujear. Si la levadura no reacciona, deséchela y comience otra tanda. En otro tazón, agregue la harina y la sal, mezcle con los dedos, haga un hueco en el centro y vierta la mezcla de levadura. Mezcle bien. Amase en el mismo tazón durante unos 5-10 minutos. Limpie bien la superficie de la encimera, espolvoree con harina, transfiera la masa a la encimera y comience a amasar. Amase hasta obtener una masa suave, lisa y brillante. Coloque la masa en el tazón usado para amasar y cúbrala con un paño húmedo. Déjela reposar durante 1 a 1,5 horas para que la masa leude. Después de 1 a 1,5 horas, la masa habrá levado y duplicará su tamaño. Una vez que la masa haya levado, golpéela con el puño para liberar todo el aire que se haya acumulado. Amasar suavemente durante 2 minutos más y la masa estará lista. Mientras tanto, precalentar el horno a 180 grados Celsius. Formar porciones pequeñas e iguales de masa. Tomar una porción y aplanar la base hasta formar un rectángulo largo de unos 23 cm de largo. Untar una cucharada o más de queso crema sobre la base. Espolvorear un puñado de queso cheddar, trocitos de tocino y cebollín. Extender por encima. Espolvorear orégano y hojuelas de chile rojo. Cortar longitudinalmente en tiras largas y delgadas de unos 2,5 cm de ancho y 20-23 cm de largo. Enrollar cada tira rectangular con cuidado, asegurándose de que no se salga el relleno. Presionar los bordes para sellar. Colocar los rollitos en una bandeja para hornear engrasada. Hornee en horno precalentado a 180 grados centígrados durante unos 15 a 18 minutos o hasta que estén dorados. Retire inmediatamente de la bandeja para hornear y sirva los rollos de queso y tocino calientes como aperitivo, con tortillas crujientes y salsa mexicana.</t>
  </si>
  <si>
    <t>Pour préparer la recette des roulés au fromage et au bacon, préparez tous les ingrédients mentionnés. Dans un bol, ajoutez la levure et le sucre, puis versez de l'eau tiède et laissez reposer 5 minutes, jusqu'à ce que la levure commence à bouillonner. Si la levure ne réagit pas, jetez-la et recommencez la cuisson. Dans un autre bol, ajoutez la farine et le sel, mélangez avec les doigts, faites un puits au centre et versez le mélange de levure. Bien mélanger. Pétrissez dans le même bol pendant 5 à 10 minutes. Nettoyez soigneusement le plan de travail, farinez-le, transférez la pâte sur le plan de travail et commencez à pétrir. Pétrissez jusqu'à obtenir une pâte lisse, souple et brillante. Placez la pâte dans le bol utilisé pour le pétrissage et couvrez-le d'un linge humide. Laissez reposer 1 heure à 1 heure 30 pour que la pâte lève. Au bout d'une heure à 1 heure 30, la pâte aura doublé de volume. Une fois la pâte levée, frappez-la du poing pour chasser l'air qui s'y serait accumulé. Pétrir doucement pendant 2 minutes supplémentaires et la pâte est prête à être utilisée. Pendant ce temps, préchauffer le four à 180 °C. Préparer de petites portions égales de pâte. Prendre une portion et aplatir la base pour obtenir une forme rectangulaire allongée d'environ 23 cm de long. Étaler une cuillère à soupe ou plus de fromage frais sur la base. Saupoudrer une poignée de cheddar, de lardons et d'oignons verts. Répartir sur le tout. Saupoudrer d'origan et de flocons de piment rouge. Couper dans le sens de la longueur en longues bandes rectangulaires fines d'environ 2,5 cm de large et 20 à 23 cm de long. Rouler chaque bande rectangulaire avec précaution en veillant à ce qu'aucune garniture ne tombe. Appuyer sur les bords pour la sceller. Placer ces roulés sur une plaque de cuisson graissée. Cuire au four préchauffé à 180 °C pendant 15 à 18 minutes ou jusqu'à ce qu'ils soient dorés. Retirer immédiatement de la plaque de cuisson et servir les roulés au fromage et au bacon chauds en apéritif, accompagnés de tortillas croustillantes et de salsa mexicaine.</t>
  </si>
  <si>
    <t>https://www.archanaskitchen.com/cheese-and-bacon-pinwheels-recipe</t>
  </si>
  <si>
    <t>Green Peas Sandwich Recipe</t>
  </si>
  <si>
    <t>Rezept für ein Sandwich mit grünen Erbsen</t>
  </si>
  <si>
    <t>Recette de sandwich aux petits pois</t>
  </si>
  <si>
    <t>Receta de sándwich de guisantes</t>
  </si>
  <si>
    <t>1 tasse de pois verts (Matar) blanchis, 4 pains bruns de blé entier, 1 piment vert, 2 cuillères à café de poudre de coriandre (Dhania), 1/2 cuillère à café de poudre de garam masala, 1/2 cuillère à café d'amchur (poudre de mangue séchée), 1 cuillère à café de graines de cumin (Jeera), 2 cuillères à café d'huile de tournesol, sel - au goût, 1/2 tasse de Hung Curd (yaourt grec), 1/2 tasse de feuilles de coriandre (Dhania) finement hachées, 1/4 cuillère à café de poudre de poivre noir, sel - au goût</t>
  </si>
  <si>
    <t>1 cup Green peas (Matar) - blanched,4 Whole Wheat Brown Bread,1 Green Chilli,2 teaspoons Coriander Powder (Dhania),1/2 teaspoon Garam masala powder,1/2 teaspoon Amchur (Dry Mango Powder),1 teaspoon Cumin seeds (Jeera),2 teaspoons Sunflower Oil,Salt - to taste,1/2 cup Hung Curd (Greek Yogurt),1/2 cup Coriander (Dhania) Leaves - finely chopped,1/4 teaspoon Black pepper powder,Salt - to taste</t>
  </si>
  <si>
    <t>1 taza de guisantes verdes (Matar) - blanqueados, 4 panes integrales, 1 chile verde, 2 cucharaditas de cilantro en polvo (Dhania), 1/2 cucharadita de garam masala en polvo, 1/2 cucharadita de amchur (mango en polvo seco), 1 cucharadita de semillas de comino (Jeera), 2 cucharaditas de aceite de girasol, sal - al gusto, 1/2 taza de cuajada Hung (yogur griego), 1/2 taza de hojas de cilantro (Dhania) - finamente picadas, 1/4 cucharadita de pimienta negra en polvo, sal - al gusto</t>
  </si>
  <si>
    <t xml:space="preserve">To begin making the Green Peas Sandwich Recipe, we will first make the yogurt spread.Take a bowl, add the hung curd, coriander leaves, pepper and salt, mix everything together and refrigerate till we start assembling the sandwiches.Heat a saucepan with water. When it starts boiling, switch off the heat and add the green peas. Cover it and keep it aside for 2 minutes. After 2 minutes, drain the water and keep the peas aside. Heat oil in a heavy bottoemd pan, add cumin seeds and let it crackle. Add in the green chilli, coriander powder, pepper powder and blanched green peas.Season with salt, mix and let the green peas cook well with all the spices.Add in the garam masala, amchur powder and mix well. Saute for another minute and switch off the heat.Toast the whole wheat bread slices in a toaster and keep it ready for the assembly.Now, to assemble the sandwiches, spread a layer of the chilled yogurt mix, place a portion of the prepared green peas mixture, and close it with another toasted bread slice spread with the yoghurt mix.Cut it into triangles and the Green Peas Sandwich Recipe is ready to serve. Serve the Green Peas Sandwich Recipe along with nuts and slices pears for breakfast or for kids lunch box. You can also serve it along with Masala Chai or Espresso Coffee for your tea time snack.
</t>
  </si>
  <si>
    <t>Para comenzar a hacer la Receta del Sándwich de Guisantes Verdes, primero haremos la pasta de yogur. Tome un tazón, agregue la cuajada colgada, las hojas de cilantro, la pimienta y la sal, mezcle todo y refrigere hasta que comencemos a armar los sándwiches. Caliente una cacerola con agua. Cuando comience a hervir, apague el fuego y agregue los guisantes verdes. Tápelo y déjelo reposar durante 2 minutos. Después de 2 minutos, escurra el agua y reserve los guisantes. Caliente el aceite en una sartén de fondo grueso, agregue semillas de comino y deje que cruja. Agregue el chile verde, el cilantro en polvo, la pimienta en polvo y los guisantes verdes blanqueados. Sazone con sal, mezcle y deje que los guisantes verdes se cocinen bien con todas las especias. Agregue el garam masala, el amchur en polvo y mezcle bien. Saltee durante un minuto más y apague el fuego. Tueste las rebanadas de pan integral en una tostadora y manténgalas listas para el montaje. Ahora, para armar los sándwiches, extienda una capa de la mezcla de yogur fría, coloque una porción de la mezcla de guisantes preparada y cierre con otra rebanada de pan tostado untada con la mezcla de yogur. Córtelo en triángulos y la receta del sándwich de guisantes estará lista para servir. Sirva la receta del sándwich de guisantes junto con nueces y rodajas de pera para el desayuno o para la lonchera de los niños. También puede servirlo junto con Masala Chai o Café Espresso para la merienda.</t>
  </si>
  <si>
    <t>Pour commencer à préparer la recette du sandwich aux petits pois, nous allons d'abord préparer la pâte à tartiner au yaourt. Prenez un bol, ajoutez le caillé, les feuilles de coriandre, le poivre et le sel, mélangez le tout et réfrigérez jusqu'à ce que nous commencions à assembler les sandwichs. Faites chauffer une casserole avec de l'eau. Lorsqu'elle commence à bouillir, éteignez le feu et ajoutez les petits pois. Couvrez et laissez reposer 2 minutes. Après 2 minutes, égouttez l'eau et réservez les petits pois. Faites chauffer l'huile dans une poêle à fond épais, ajoutez les graines de cumin et laissez crépiter. Ajoutez le piment vert, la poudre de coriandre, la poudre de poivre et les petits pois blanchis. Assaisonnez de sel, mélangez et laissez bien cuire les petits pois avec toutes les épices. Ajoutez le garam masala, la poudre d'amchur et mélangez bien. Faites revenir une minute supplémentaire et éteignez le feu. Faites griller les tranches de pain complet dans un grille-pain et réservez-les pour l'assemblage. Maintenant, pour assembler les sandwichs, étalez une couche du mélange de yaourt refroidi, placez une portion du mélange de petits pois préparé et fermez-le avec une autre tranche de pain grillé tartinée du mélange de yaourt. Coupez-le en triangles et la recette du sandwich aux petits pois est prête à servir. Servez la recette du sandwich aux petits pois avec des noix et des tranches de poires au petit-déjeuner ou pour la boîte à lunch des enfants. Vous pouvez également le servir avec du Masala Chai ou du café expresso pour votre collation à l'heure du thé.</t>
  </si>
  <si>
    <t>http://www.archanaskitchen.com/green-peas-sandwich-recipe</t>
  </si>
  <si>
    <t>Beetroot Juice Recipe With Cucumber &amp; Pineapple</t>
  </si>
  <si>
    <t>Rote-Bete-Saft-Rezept mit Gurke und Ananas</t>
  </si>
  <si>
    <t>Recette de jus de betterave au concombre et à l'ananas</t>
  </si>
  <si>
    <t>Receta de jugo de remolacha con pepino y piña</t>
  </si>
  <si>
    <t>3 betteraves - pelées et grossièrement hachées, 1 concombre - pelé et grossièrement haché, 1 tasse d'ananas - coupé en dés, 1/2 pouce de gingembre - râpé, 2 cuillères à café de jus de citron, 1 tasse d'eau - froide</t>
  </si>
  <si>
    <t>3 Beetroots - peeled and roughly chopped,1 Cucumber - peeled and roughly chopped,1 cup Pineapple - diced,1/2 inch Ginger - grated,2 teaspoons Lemon juice,1 cup Water - cold</t>
  </si>
  <si>
    <t>3 remolachas peladas y picadas gruesas, 1 pepino pelado y picado grueso, 1 taza de piña cortada en cubitos, 1/2 pulgada de jengibre rallado, 2 cucharaditas de jugo de limón, 1 taza de agua fría</t>
  </si>
  <si>
    <t xml:space="preserve">To begin making the Beetroot Juice With Cucumber &amp; Pineapple Recipe add beetroot, cucumber, pineapple and ginger to a food processor or blender and make a fine puree.Pour the puree into a strainer and extract the juice completely.Add the pulp back to food processor or blender along with cold water and blend again. Strain this second juice once again and add to the first extract.Stir both the extract together, add in the lemon juice and serve chilled. Check the taste and adjust the sweetness by adding honey or more pineapple. You can also optionally add salt if you like it salty.Serve this Beetroot Juice With Cucumber &amp; Pineapple along with Grilled Hummus Paneer Bhurji Sandwich Recipe  for a healthy wholesome breakfast.
</t>
  </si>
  <si>
    <t>Para empezar a preparar la receta de jugo de remolacha con pepino y piña, añade remolacha, pepino, piña y jengibre a un procesador de alimentos o licuadora y haz un puré fino. Vierte el puré en un colador y extrae todo el jugo. Vuelve a añadir la pulpa al procesador de alimentos o licuadora junto con agua fría y vuelve a licuar. Cuela este segundo jugo una vez más y añádelo al primer extracto. Mezcla ambos extractos, añade el jugo de limón y sirve frío. Prueba el sabor y ajusta el dulzor añadiendo miel o más piña. También puedes añadir sal si lo prefieres salado. Sirve este jugo de remolacha con pepino y piña junto con la receta del sándwich de hummus y paneer bhurji a la parrilla para un desayuno saludable y completo.</t>
  </si>
  <si>
    <t>Pour commencer la recette de jus de betterave au concombre et à l'ananas, ajoutez la betterave, le concombre, l'ananas et le gingembre dans un robot culinaire ou un mixeur et réduisez-les en purée fine. Versez la purée dans une passoire et extrayez-en le jus. Remettez la pulpe dans le robot culinaire ou le mixeur avec de l'eau froide et mixez à nouveau. Filtrez à nouveau ce second jus et ajoutez-le au premier extrait. Mélangez les deux extraits, ajoutez le jus de citron et servez frais. Vérifiez le goût et ajustez la douceur en ajoutant du miel ou plus d'ananas. Vous pouvez également ajouter du sel si vous aimez le salé. Servez ce jus de betterave au concombre et à l'ananas avec une recette de sandwich au houmous grillé et au paneer bhurji pour un petit-déjeuner sain et équilibré.</t>
  </si>
  <si>
    <t>http://www.archanaskitchen.com/beetroot-juice-recipe-with-cucumber-and-pineapple</t>
  </si>
  <si>
    <t>Broccoli Chocolate Muffins Recipe</t>
  </si>
  <si>
    <t>Rezept für Brokkoli-Schokoladenmuffins</t>
  </si>
  <si>
    <t>Recette de muffins au chocolat et au brocoli</t>
  </si>
  <si>
    <t>Receta de muffins de brócoli y chocolate</t>
  </si>
  <si>
    <t>1 tasse de brocoli - haché finement, 3 cuillères à soupe de poudre de cacao, 1 tasse de Vivatta Maida, 1 cuillère à café de levure chimique, 3/4 tasse de sucre en poudre, 2 œufs entiers, 1 cuillère à soupe de lait, 1/2 tasse d'huile de tournesol, Badam (amande) - une poignée</t>
  </si>
  <si>
    <t>1 cup Broccoli - chopped finely,3 tablespoons Cocoa Powder,1 cup Vivatta Maida,1 teaspoon Baking powder,3/4 cup Caster Sugar,2 Whole Eggs,1 tablespoon Milk,1/2 cup Sunflower Oil,Badam (Almond) - a handful</t>
  </si>
  <si>
    <t>1 taza de brócoli - picado finamente, 3 cucharadas de cacao en polvo, 1 taza de Vivatta Maida, 1 cucharadita de polvo para hornear, 3/4 taza de azúcar extrafino, 2 huevos enteros, 1 cucharada de leche, 1/2 taza de aceite de girasol, Badam (almendra) - un puñado</t>
  </si>
  <si>
    <t xml:space="preserve">To begin making Broccoli Chocolate Muffins Recipe, grate broccoli and keep it aside. Sieve all the dry ingredients in a bowl.In a separate bowl, whisk in eggs well, then add sugar, milk and oil. Mix well with the help of a hand mixer.Gradually add the dry ingredients now and blend it well.Once done, finally add broccoli and mix along with almonds. Adding almonds is optional but this increases the taste of muffins.Preheat the oven to 180 C. Line up muffin moulds or tray with paper muffin cups. Pour the batter till about 2/3 in each of the cavity.Bake it for 16-20 minutes or until it is cooked. Take off the muffin pan from oven once done and allow them to cool a bit.Serve Broccoli Chocolate Muffins Recipe when they are still warm along with Fresh Figs Strawberry and Banana Smoothie Recipe during evening.
</t>
  </si>
  <si>
    <t>Para empezar a preparar la receta de muffins de chocolate y brócoli, ralle el brócoli y resérvelo. Tamice todos los ingredientes secos en un bol. En un bol aparte, bata bien los huevos, luego añada el azúcar, la leche y el aceite. Mezcle bien con una batidora de mano. Añada poco a poco los ingredientes secos y mezcle bien. Una vez hecho esto, añada el brócoli y mezcle junto con las almendras. Añadir almendras es opcional, pero esto realza el sabor de los muffins. Precaliente el horno a 180 °C. Cubra moldes o bandejas para muffins con capacillos de papel. Vierta la masa hasta cubrir aproximadamente 2/3 de cada cavidad. Hornee durante 16-20 minutos o hasta que esté cocido. Retire el molde del horno una vez listo y deje que se enfríen un poco. Sirva la receta de muffins de chocolate y brócoli cuando aún estén calientes junto con la receta de batido de fresa, plátano e higos frescos por la noche.</t>
  </si>
  <si>
    <t>Pour commencer la recette des muffins au chocolat et au brocoli, râpez le brocoli et réservez-le. Tamisez tous les ingrédients secs dans un bol. Dans un autre bol, fouettez bien les œufs, puis ajoutez le sucre, le lait et l'huile. Mélangez bien à l'aide d'un batteur électrique. Ajoutez progressivement les ingrédients secs et mixez bien. Une fois la recette terminée, ajoutez le brocoli et mélangez avec les amandes. L'ajout d'amandes est facultatif, mais cela rehausse le goût des muffins. Préchauffez le four à 180 °C. Alignez des moules à muffins ou une plaque à muffins avec des caissettes en papier. Versez la pâte jusqu'aux 2/3 environ dans chaque cavité. Enfournez pour 16 à 20 minutes ou jusqu'à ce qu'ils soient cuits. Retirez les muffins du four une fois cuits et laissez-les refroidir légèrement. Servez les muffins au chocolat et au brocoli encore chauds, accompagnés du smoothie figues, fraises et banane, le soir.</t>
  </si>
  <si>
    <t>http://www.archanaskitchen.com/broccoli-chocolate-muffins-recipe</t>
  </si>
  <si>
    <t>Eggless Whole Wheat Banana Bread Recipe-Vegan Options</t>
  </si>
  <si>
    <t>Rezept für Vollkorn-Bananenbrot ohne Ei – Vegane Optionen</t>
  </si>
  <si>
    <t>Recette de pain aux bananes complet sans œufs – Options végétaliennes</t>
  </si>
  <si>
    <t>Receta de pan de plátano integral sin huevo (opciones veganas)</t>
  </si>
  <si>
    <t>2 cuillères à café de levure chimique, 1/4 cuillère à café de sel, 3/4 tasse d'huile de canola, 1/2 tasse de beurre, 3/4 tasse de cassonade (sucre Demerara), 1 tasse de farine de blé entier, 1 tasse de farine tout usage (Maida), 1-1/2 tasse de bananes mûres - écrasées, 2 cuillères à soupe de poudre de graines de lin (farine de lin), 6 cuillères à soupe d'eau glacée</t>
  </si>
  <si>
    <t>2 teaspoons Baking powder,1/4 teaspoon Salt,3/4 cup Canola Oil,1/2 cup Butter,3/4 cup Brown Sugar (Demerara Sugar),1 cup Whole Wheat Flour,1 cup All Purpose Flour (Maida),1-1/2 cups Ripe Bananas - mashed,2 tablespoons Flax seed powder (flax meal),6 tablespoons Chilled water</t>
  </si>
  <si>
    <t>2 cucharaditas de polvo para hornear, 1/4 cucharadita de sal, 3/4 taza de aceite de canola, 1/2 taza de mantequilla, 3/4 taza de azúcar morena (azúcar Demerara), 1 taza de harina integral, 1 taza de harina para todo uso (Maida), 1-1/2 tazas de plátanos maduros - machacados, 2 cucharadas de polvo de semilla de lino (harina de lino), 6 cucharadas de agua fría</t>
  </si>
  <si>
    <t xml:space="preserve">To begin making the Whole Wheat Banana Bread Recipe, first get all the ingredients ready and keep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Next preheat the oven to 180 C.  Prepare a loaf pan greased with butter and flour. Keep aside.Into a large bowl or the bowl of the KitchenAid Stand Mixer with the paddle attachment, add in the flax meal egg replacer, oil, salt and whisk them together until fluffy. Gradually add in the sugar, baking powder, the bananas and finally the flours.Beat all the ingredients together until well combined and fluffy. Dont over beat as your dont want the air pockets to die down with too much beating.Pour the Banana Bread Cake batter into the preapared loaf pan and bake in the preheated oven for 35 - 40 minutes or until done. This you will know when you insert a clean toothpick or a knife and it should come out clean with a little sticky crumbs.Serve the Whole Wheat Banana Bread along with Masala Chai Recipe to make your evening special.
</t>
  </si>
  <si>
    <t>Para comenzar a hacer la Receta de Pan de Plátano Integral, primero prepare todos los ingredientes y manténgalos a un lado. Para hacer el sustituto de huevo de harina de lino Si su receta pide 2 huevos, mida 2 cucharadas de harina de lino junto con 6 cucharadas de agua. Revuelva bien y deje reposar la mezcla durante unos 15 minutos. Este proceso de reposo ayuda a que la mezcla de harina de lino desarrolle una consistencia gelatinosa similar a los huevos. Para hacer la masa A continuación, precaliente el horno a 180 C. Prepare un molde para pan engrasado con mantequilla y harina. Manténgalo a un lado. En un tazón grande o en el tazón de la batidora de pie KitchenAid con el accesorio de paleta, agregue el sustituto de huevo de harina de lino, el aceite, la sal y bátalos juntos hasta que quede esponjoso. Agregue gradualmente el azúcar, el polvo para hornear, los plátanos y finalmente las harinas. Bata todos los ingredientes juntos hasta que estén bien combinados y esponjosos. No batas demasiado para evitar que las burbujas de aire se deshagan. Vierte la masa del pastel de pan de plátano en el molde preparado y hornea en el horno precalentado durante 35 a 40 minutos o hasta que esté listo. Lo sabrás cuando insertes un palillo limpio o un cuchillo y este salga limpio con algunas migas pegajosas. Sirve el pan de plátano integral junto con la receta de Masala Chai para que tu velada sea especial.</t>
  </si>
  <si>
    <t>Pour commencer à préparer la recette du pain aux bananes au blé entier, préparez d'abord tous les ingrédients et réservez-les. Pour préparer le substitut d'œuf à la farine de lin Si votre recette demande 2 œufs, mesurez 2 cuillères à soupe de farine de lin avec 6 cuillères à soupe d'eau. Remuez bien et laissez reposer le mélange pendant environ 15 minutes. Ce processus de repos aide le mélange de farine de lin à développer une consistance gélatineuse semblable à celle des œufs. Pour préparer la pâte Préchauffez ensuite le four à 180 °C. Préparez un moule à pain graissé avec du beurre et de la farine. Réservez. Dans un grand bol ou dans le bol du batteur sur socle KitchenAid avec l'accessoire plat, ajoutez le substitut d'œuf à la farine de lin, l'huile, le sel et fouettez-les ensemble jusqu'à ce que le mélange soit mousseux. Ajoutez graduellement le sucre, la levure chimique, les bananes et enfin les farines. Battez tous les ingrédients ensemble jusqu'à ce que le mélange soit bien mélangé et mousseux. Ne battez pas trop fort, car vous ne voulez pas que les bulles d'air disparaissent. Versez la pâte du gâteau au pain aux bananes dans le moule à cake préparé et enfournez au four préchauffé pendant 35 à 40 minutes ou jusqu'à cuisson complète. Vous le saurez en insérant un cure-dent propre ou un couteau : il devrait ressortir propre et légèrement collant. Servez le pain aux bananes complet accompagné de la recette de masala chai pour une soirée inoubliable.</t>
  </si>
  <si>
    <t>http://www.archanaskitchen.com/whole-wheat-banana-bread-cake-eggless-recipe-given</t>
  </si>
  <si>
    <t>Pan Grilled Balsamic Chicken Breast And Mushrooms Recipe</t>
  </si>
  <si>
    <t>Rezept für in der Pfanne gegrillte Hähnchenbrust mit Balsamico und Pilzen</t>
  </si>
  <si>
    <t>Recette de poitrine de poulet poêlée au vinaigre balsamique et aux champignons</t>
  </si>
  <si>
    <t>Receta de pechuga de pollo a la sartén con vinagre balsámico y champiñones</t>
  </si>
  <si>
    <t>2 blancs de poulet, 1/2 cuillère à café d'origan séché, 1 cuillère à café de poudre d'ail, 4 gousses d'ail, 2 cuillères à café de poudre de paprika, 8 cuillères à café de vinaigre balsamique, 2 cuillères à café de crème fraîche, 2 cuillères à café de beurre, 2 cuillères à café d'huile d'olive extra vierge, 1/4 cuillère à café de poudre de poivre blanc, sel - au goût, 2 cuillères à café de feuilles de persil, 6 champignons de Paris - équeutés</t>
  </si>
  <si>
    <t>2 Chicken breasts,1/2 teaspoon Dried oregano,1 teaspoon Garlic powder,4 cloves Garlic,2 teaspoon Paprika powder,8 teaspoon Balsamic Vinegar,2 teaspoons Fresh cream,2 teaspoon Butter,2 teaspoon Extra Virgin Olive Oil,1/4 teaspoon White pepper powder,Salt - to taste,2 teaspoon Parsley leaves,6 Button mushrooms - destemmed</t>
  </si>
  <si>
    <t>2 pechugas de pollo, 1/2 cucharadita de orégano seco, 1 cucharadita de ajo en polvo, 4 dientes de ajo, 2 cucharaditas de pimentón en polvo, 8 cucharaditas de vinagre balsámico, 2 cucharaditas de crema fresca, 2 cucharaditas de mantequilla, 2 cucharaditas de aceite de oliva virgen extra, 1/4 cucharadita de pimienta blanca en polvo, sal - al gusto, 2 cucharaditas de hojas de perejil, 6 champiñones despalillados</t>
  </si>
  <si>
    <t xml:space="preserve">To begin making Pan Grilled Balsamic Chicken Breast And Mushrooms Recipe, first  clean and pat dry the chicken breasts and place it on a big platter. Rub salt and balsamic vinegar, rest for about 5 minutes.Using a sharp knife, slash a few times deep and diagonally from both ends of the bone, almost to the bone. Apply the fresh cream all over it and let it rest for about 5 minutes.Also, in a small bowl, whisk together butter and olive oil. Heat the grill frying pan brushed with butter and olive oil over a moderate heat.Meanwhile, to make the balsamic marinade, take a small bowl, mix oregano, pepper powder, garlic powder, and smoked paprika. Rub this mixture directly on the chicken breasts.Sprinkle salt to taste.Within one of the deep slash across the meat, place two whole garlic cloves in each breast at a distance from each other, such that it flavours up the whole chicken breast while grilling.Once the grill pan is hot, place the chicken breasts first upside down to get the grill mark and glaze on surface.Place the cleaned mushrooms on sides of the pan and cook  in the infused butter oil  mixture for last 5 minutes. Remove and keep on  serving platter.Grill both side of the chicken breasts until almost cooked, about 15 minutes. Turn off the heat and let it stand for a few minutes.Garnish with chopped parsley and serve. Serve Pan Grilled Balsamic Chicken Breast And Mushrooms Recipe as a dinner along with Roasted Mushroom Zucchini Salad Recipe and Delicious Herbed Hasselback Potatoes Recipe.
</t>
  </si>
  <si>
    <t>Para comenzar a hacer la receta de pechuga de pollo y champiñones a la parrilla con vinagre balsámico, primero limpie y seque las pechugas de pollo y colóquelas en una fuente grande. Frote sal y vinagre balsámico, deje reposar durante unos 5 minutos. Con un cuchillo afilado, haga unos cortes profundos y diagonales desde ambos extremos del hueso, casi hasta el hueso. Aplique la crema fresca por todas partes y deje reposar durante unos 5 minutos. Además, en un tazón pequeño, bata la mantequilla y el aceite de oliva. Caliente la sartén para parrilla untada con mantequilla y aceite de oliva a fuego moderado. Mientras tanto, para hacer la marinada balsámica, tome un tazón pequeño, mezcle el orégano, la pimienta en polvo, el ajo en polvo y el pimentón ahumado. Frote esta mezcla directamente sobre las pechugas de pollo. Espolvoree sal al gusto. Dentro de uno de los cortes profundos en la carne, coloque dos dientes de ajo enteros en cada pechuga a cierta distancia uno del otro, de modo que le dé sabor a toda la pechuga de pollo mientras se asa. Una vez que la parrilla esté caliente, coloque primero las pechugas de pollo boca abajo para obtener la marca de la parrilla y glasear la superficie. Coloque los champiñones limpios a los lados de la sartén y cocínelos en la mezcla de aceite de mantequilla infusionado durante los últimos 5 minutos. Retire y guarde en una fuente para servir. Ase ambos lados de las pechugas de pollo hasta que estén casi cocidas, unos 15 minutos. Apague el fuego y deje reposar durante unos minutos. Decore con perejil picado y sirva. Sirva la Receta de Pechuga de Pollo y Champiñones a la Parrilla Balsámica como cena junto con la Receta de Ensalada de Calabacín con Champiñones Asados ​​y la Receta de Deliciosas Papas Hasselback con Hierbas.</t>
  </si>
  <si>
    <t>Pour commencer à préparer la recette de poitrine de poulet et champignons balsamiques grillés à la poêle, nettoyez et séchez d'abord les poitrines de poulet et placez-les sur un grand plat. Frottez le sel et le vinaigre balsamique, laissez reposer environ 5 minutes. À l'aide d'un couteau bien aiguisé, faites quelques entailles profondes et diagonales des deux extrémités de l'os, presque jusqu'à l'os. Appliquez la crème fraîche partout et laissez reposer environ 5 minutes. De plus, dans un petit bol, fouettez ensemble le beurre et l'huile d'olive. Faites chauffer la poêle à griller badigeonnée de beurre et d'huile d'olive à feu moyen. Pendant ce temps, pour préparer la marinade balsamique, prenez un petit bol, mélangez l'origan, la poudre de poivre, la poudre d'ail et le paprika fumé. Frottez ce mélange directement sur les poitrines de poulet. Saupoudrez de sel à votre goût. Dans l'une des entailles profondes sur la viande, placez deux gousses d'ail entières dans chaque poitrine, à distance l'une de l'autre, de manière à parfumer toute la poitrine de poulet pendant la cuisson. Une fois la poêle à griller chaude, placez d'abord les poitrines de poulet à l'envers pour obtenir la marque du gril et glacer la surface. Placez les champignons nettoyés sur les côtés de la poêle et faites-les cuire dans le mélange d'huile de beurre infusé pendant les 5 dernières minutes. Retirez et conservez sur un plat de service. Faites griller les deux côtés des poitrines de poulet jusqu'à ce qu'elles soient presque cuites, environ 15 minutes. Éteignez le feu et laissez reposer quelques minutes. Garnissez de persil haché et servez. Servez la recette de poitrine de poulet balsamique et de champignons grillés à la poêle comme dîner avec la recette de salade de courgettes aux champignons rôtis et la recette de délicieuses pommes de terre Hasselback aux herbes.</t>
  </si>
  <si>
    <t>https://www.archanaskitchen.com/pan-grilled-balsamic-chicken-breast-and-mushrooms-recipe</t>
  </si>
  <si>
    <t>Mint &amp; Coriander Chilli Potato Salad Recipe - No Mayo Salad</t>
  </si>
  <si>
    <t>Rezept für Kartoffelsalat mit Minze und Koriander, Chili und Mayonnaise</t>
  </si>
  <si>
    <t>Recette de salade de pommes de terre à la menthe et à la coriandre, au piment et à la mayonnaise</t>
  </si>
  <si>
    <t>Receta de ensalada de papa con menta y cilantro, chile y mayonesa</t>
  </si>
  <si>
    <t>6 pommes de terre (Aloo), 1 cuillère à café de beurre, 1/4 tasse de feuilles de coriandre (Dhania) - légèrement tassées, 1/4 tasse de feuilles de menthe (Pudina) - légèrement tassées, 1/2 piment vert, 4 gousses d'ail, jus de citron - d'un citron, 2 cuillères à soupe d'huile d'olive extra vierge, sel et poivre - au goût</t>
  </si>
  <si>
    <t>6 Potatoes (Aloo),1 teaspoon Butter,1/4 cup Coriander (Dhania) Leaves - loosely packed,1/4 cup Mint Leaves (Pudina) - loosely packed,1/2 Green Chilli,4 cloves Garlic,Lemon juice - of 1 lemon,2 tablespoons Extra Virgin Olive Oil,Salt and Pepper - to taste</t>
  </si>
  <si>
    <t>6 papas (Aloo), 1 cucharadita de mantequilla, 1/4 taza de hojas de cilantro (Dhania) - sin apretar, 1/4 taza de hojas de menta (Pudina) - sin apretar, 1/2 chile verde, 4 dientes de ajo, jugo de limón - de 1 limón, 2 cucharadas de aceite de oliva virgen extra, sal y pimienta - al gusto</t>
  </si>
  <si>
    <t xml:space="preserve">To begin making the No Mayo Mint &amp; Coriander Chilli Potato Salad Recipe first cut each potato into four pieces.In a pot of boiling water, add a tablespoon of salt and drop the chopped potatoes in. Simmer them for 10-15 minutes until they are cooked. You can test them by inserting a fork in the potato pieces, and if it passes through the center easily, and the potatoes are soft, it means that they are cooked through.Take the pot off the heat. Drain the potatoes from the water they are cooked in, using a colander. and set it aside until later use.In a food processor, add the coriander, mint, green chilli, garlic, lemon juice, salt and pepper along with a tablespoon of water. Pulse till smooth. Add olive oil and pulse again a couple of times. The dressing will emulsify (combine and get a creamy consistency)  and this indicates that it is ready. Set this dressing aside until later use.In a non stick pan, add a teaspoon of butter and allow it to melt. Next, add the the drained potatoes into it.On a high heat, toss the potatoes for 4-5 minutes continuously till they are crisp on the outside. Once done turn of the heat.All the components for the salad are ready. Now, lets assemble it.In a large salad bowl, add the potatoes, pour the dressing over them and toss it until the potatoes are well-coated.Serve the No Mayo Mint &amp; Coriander Chilli Potato Salad Recipe warm along with Light And Creamy Broccoli Soup and Whole Wheat Bread Recipe With Oatmeal And Flaxseeds for a light weeknight dinner..
</t>
  </si>
  <si>
    <t>Para comenzar a hacer la Receta de Ensalada de Papa con Chile, Menta y Cilantro sin Mayonesa, primero corte cada papa en cuatro pedazos. En una olla con agua hirviendo, agregue una cucharada de sal y deje caer las papas picadas. Cocínelas a fuego lento durante 10-15 minutos hasta que estén cocidas. Puede probarlas insertando un tenedor en los trozos de papa, y si pasa por el centro fácilmente y las papas están suaves, significa que están cocidas. Retire la olla del fuego. Escurra las papas del agua en la que se cocinaron, usando un colador y déjelo a un lado hasta su uso posterior. En un procesador de alimentos, agregue el cilantro, la menta, el chile verde, el ajo, el jugo de limón, la sal y la pimienta junto con una cucharada de agua. Pulse hasta que esté suave. Agregue aceite de oliva y pulse nuevamente un par de veces. El aderezo se emulsionará (se combinará y obtendrá una consistencia cremosa) y esto indica que está listo. Deje este aderezo a un lado hasta su uso posterior. En una sartén antiadherente, agregue una cucharadita de mantequilla y deje que se derrita. A continuación, añade las patatas escurridas. A fuego alto, remueve las patatas durante 4-5 minutos seguidos hasta que estén crujientes por fuera. Una vez hecho esto, apaga el fuego. Todos los ingredientes de la ensalada están listos. Ahora, vamos a armarla. En una ensaladera grande, añade las patatas, vierte el aderezo por encima y remueve hasta que las patatas estén bien cubiertas. Sirve la receta de ensalada de patata con chile, menta y cilantro sin mayonesa caliente junto con la sopa de brócoli ligera y cremosa y la receta de pan integral con avena y semillas de lino para una cena ligera entre semana.</t>
  </si>
  <si>
    <t>Pour commencer à préparer la recette de salade de pommes de terre au piment, à la menthe et à la coriandre sans mayonnaise, coupez d'abord chaque pomme de terre en quatre morceaux. Dans une casserole d'eau bouillante, ajoutez une cuillère à soupe de sel et déposez les pommes de terre hachées. Laissez-les mijoter pendant 10 à 15 minutes jusqu'à ce qu'elles soient cuites. Vous pouvez les tester en insérant une fourchette dans les morceaux de pommes de terre, et si elle passe facilement au centre et que les pommes de terre sont tendres, cela signifie qu'elles sont bien cuites. Retirez la casserole du feu. Égouttez les pommes de terre de l'eau dans laquelle elles ont cuit, à l'aide d'une passoire. et réservez-les jusqu'à utilisation ultérieure. Dans un robot culinaire, ajoutez la coriandre, la menthe, le piment vert, l'ail, le jus de citron, le sel et le poivre ainsi qu'une cuillère à soupe d'eau. Mixez jusqu'à consistance lisse. Ajoutez l'huile d'olive et mixez à nouveau plusieurs fois. La vinaigrette va émulsionner (se combiner et obtenir une consistance crémeuse) et cela indique qu'elle est prête. Réservez cette vinaigrette jusqu'à utilisation ultérieure. Dans une poêle antiadhésive, ajoutez une cuillère à café de beurre et laissez-le fondre. Ajoutez ensuite les pommes de terre égouttées. À feu vif, remuez les pommes de terre pendant 4 à 5 minutes sans interruption, jusqu'à ce qu'elles soient croustillantes à l'extérieur. Ensuite, baissez le feu. Tous les ingrédients de la salade sont prêts. Maintenant, assemblons-la. Dans un grand saladier, ajoutez les pommes de terre, versez la vinaigrette dessus et remuez jusqu'à ce qu'elles soient bien enrobées. Servez la salade de pommes de terre au piment, à la menthe et à la coriandre sans mayonnaise chaude, accompagnée d'une soupe légère et crémeuse au brocoli et d'une recette de pain complet aux flocons d'avoine et aux graines de lin pour un dîner léger en semaine.</t>
  </si>
  <si>
    <t>http://www.archanaskitchen.com/no-mayo-potato-salad-recipe</t>
  </si>
  <si>
    <t>Quinoa Chocolate Carrot Cake Recipe</t>
  </si>
  <si>
    <t>Rezept für Quinoa-Schokoladen-Karottenkuchen</t>
  </si>
  <si>
    <t>Recette de gâteau au chocolat et aux carottes au quinoa</t>
  </si>
  <si>
    <t>Receta de pastel de zanahoria, chocolate y quinoa</t>
  </si>
  <si>
    <t>2 tasses de farine de quinoa, 1/2 tasse de cacao en poudre, 2 cuillères à café de café instantané en poudre, 1/2 tasse d'huile de tournesol, 1 tasse de cassonade (sucre Demerara), 2 œufs entiers (ou substitut d'œuf aux graines de lin), 1 cuillère à café d'extrait de vanille, 2 cuillères à café de levure chimique, 1 tasse de carotte (Gajjar) râpée, 1 pincée de sel, 1/4 tasse de beurre fondu, 2 tasses de sucre glace, lait chaud, 1 pincée de sel, 1/2 cuillère à café d'essence d'amande (essence de Badam)</t>
  </si>
  <si>
    <t>2 cups Quinoa flour,1/2 cup Cocoa Powder,2 teaspoon Instant Coffee Powder,1/2 cup Sunflower Oil,1 cup Brown Sugar (Demerara Sugar),2 Whole Eggs - or flaxseed egg replacer),1 teaspoon Vanilla Extract,2 teaspoon Baking powder,1 cup Carrot (Gajjar) - grated,1 pinch Salt,1/4 cup Butter - melted,2 cups Icing Sugar,Milk - warm,1 pinch Salt,1/2 teaspoon Almond essence (Badam Essence)</t>
  </si>
  <si>
    <t>2 tazas de harina de quinoa, 1/2 taza de cacao en polvo, 2 cucharaditas de café instantáneo en polvo, 1/2 taza de aceite de girasol, 1 taza de azúcar morena (azúcar Demerara), 2 huevos enteros (o sustituto de huevo de linaza), 1 cucharadita de extracto de vainilla, 2 cucharaditas de polvo para hornear, 1 taza de zanahoria (Gajjar) rallada, 1 pizca de sal, 1/4 taza de mantequilla derretida, 2 tazas de azúcar glas, leche tibia, 1 pizca de sal, 1/2 cucharadita de esencia de almendra (esencia de Badam)</t>
  </si>
  <si>
    <t xml:space="preserve">To begin making&amp; Quinoa Chocolate Carrot Cake Recipe, in a stand or hand mixer, whisk together the eggs, oil, vanilla essence and sugar until light and frothy. This should take about 3 minutes on medium speed. Keep the egg mixture aside.Meanwhile,&amp; preheat the oven to 180 degree. Grease the flour dust two 6 inch baking pans with butter and flour. Keep it aside.In a &amp; mixing bowl, mix the quinoa flour, coffee powder and cocoa powder together. To this add &amp; the milk and grated carrot and stir together to get rid of lumps.Combine this with the egg mixture and mix well.Divide and spread the batter in the greased pans. Bake the cakes in preheated&amp; oven for 35-40 minutes until a skewer inserted in the center comes out with a few moist crumbs. Let its cool completely before you glaze the cake.To make the glaze:To make the glaze, sift 2 cups of powdered sugar and salt. Keep it aside. Melt the butter in a saucepan or microwave. Add the butter to the sugar and stir to combine. Add a few spoons of warm milk to achieve a dripping consistency.Add a few drops of almond extract for flavor. Beat until smooth and creamy, adding a little more milk if required. You can choose the consistency you like by adding milk. Drizzle the warm glaze over a cold cake and let it flow at its own pace.Your Quinoa Chocolate Carrot Cake Recipe is ready to serve. Serve a good portion for your breakfast, tea time snack or you can even pack it for your kids snack box.
</t>
  </si>
  <si>
    <t>Para preparar la receta del pastel de zanahoria, chocolate y quinoa, en una batidora de pedestal o de mano, bate los huevos, el aceite, la esencia de vainilla y el azúcar hasta obtener una mezcla ligera y espumosa. Esto debería tomar unos 3 minutos a velocidad media. Reserva la mezcla de huevo. Mientras tanto, precalienta el horno a 180 grados. Engrasa la harina y espolvorea dos moldes para hornear de 15 cm con mantequilla y harina. Reserva. En un tazón, mezcla la harina de quinoa, el café en polvo y el cacao en polvo. Agrega la leche y la zanahoria rallada y revuelve para deshacer grumos. Combina esto con la mezcla de huevo y mezcla bien. Divide y extiende la masa en los moldes engrasados. Hornea los pasteles en el horno precalentado durante 35-40 minutos hasta que al insertar un palillo en el centro, este salga con algunas migas húmedas. Deja enfriar completamente antes de glasear el pastel. Para el glaseado: Para el glaseado, tamiza 2 tazas de azúcar glas y sal. Reserva. Derrite la mantequilla en una cacerola o en el microondas. Agrega la mantequilla al azúcar y revuelve para integrar. Agrega unas cucharadas de leche tibia para lograr una consistencia cremosa. Agrega unas gotas de extracto de almendra para darle sabor. Bate hasta obtener una mezcla suave y cremosa, agregando un poco más de leche si es necesario. Puedes elegir la consistencia que prefieras añadiendo leche. Rocía el glaseado tibio sobre el pastel frío y deja que fluya a su propio ritmo. Tu receta de pastel de zanahoria, chocolate y quinoa está lista para servir. Sirve una buena porción para el desayuno, la merienda o incluso puedes empacarla para la merienda de tus hijos.</t>
  </si>
  <si>
    <t>Pour commencer la recette du gâteau au quinoa, au chocolat et aux carottes, fouettez les œufs, l'huile, l'extrait de vanille et le sucre au batteur électrique ou au robot jusqu'à obtenir une consistance légère et mousseuse. La préparation devrait prendre environ 3 minutes à vitesse moyenne. Réservez le mélange d'œufs. Pendant ce temps, préchauffez le four à 180 °C. Graissez et saupoudrez de farine deux moules de 15 cm de diamètre. Réservez. Dans un saladier, mélangez la farine de quinoa, le café en poudre et le cacao en poudre. Ajoutez le lait et les carottes râpées, puis mélangez pour éliminer les grumeaux. Incorporez le tout au mélange d'œufs et mélangez bien. Répartissez la pâte dans les moules graissés. Faites cuire les gâteaux au four préchauffé pendant 35 à 40 minutes, jusqu'à ce qu'une brochette insérée au centre en ressorte avec quelques miettes humides. Laissez refroidir complètement avant de glacer le gâteau. Pour le glaçage : Tamisez 500 ml de sucre glace et le sel. Réservez. Faites fondre le beurre dans une casserole ou au micro-ondes. Ajoutez le beurre au sucre et mélangez. Ajoutez quelques cuillères à soupe de lait chaud pour obtenir une consistance onctueuse. Ajoutez quelques gouttes d'extrait d'amande pour parfumer. Battez jusqu'à obtenir une consistance lisse et crémeuse, en ajoutant un peu de lait si nécessaire. Vous pouvez choisir la consistance souhaitée en ajoutant du lait. Versez le glaçage chaud sur un gâteau froid et laissez-le couler à son rythme. Votre recette de gâteau aux carottes, quinoa et chocolat est prête à servir. Servez-en une bonne portion au petit-déjeuner, au goûter ou même dans le panier à goûter de vos enfants.</t>
  </si>
  <si>
    <t>https://www.archanaskitchen.com/quinoa-chocolate-carrot-cake-recipe</t>
  </si>
  <si>
    <t>Crepes Stuffed with Nutella and Seasonal Fruits Recipe</t>
  </si>
  <si>
    <t>Rezept für mit Nutella und Früchten der Saison gefüllte Crêpes</t>
  </si>
  <si>
    <t>Recette de crêpes fourrées au Nutella et aux fruits de saison</t>
  </si>
  <si>
    <t>Receta de crepes rellenas de Nutella y frutas de temporada</t>
  </si>
  <si>
    <t>1 tasse de farine tout usage (Maida), 2 œufs entiers, 3 cuillères à soupe de beurre fondu, 1 tasse de lait (entier) refroidi à température ambiante, 1/2 tasse d'eau, 1 cuillère à soupe de sucre, sel - une pincée, pâte à tartiner Nutella - au besoin, 8 mangues (mûres) - tranchées par crêpe (au besoin), 8 bananes mûres - tranchées et caramélisées (au besoin), 1 cuillère à soupe de noyaux de grenade frais - au besoin, 2 cuillères à café de Badam (amande) - au besoin (hachées), pistaches - au besoin (hachées), 1 glace à la vanille - au besoin, sauce au chocolat - pour arroser</t>
  </si>
  <si>
    <t>1 cup All Purpose Flour (Maida),2 Whole Eggs,3 tablespoons Butter - melted,1 cup Milk - (full fat) cooled to room temperature,1/2 cup Water,1 tablespoon Sugar,Salt - a pinch,Nutella Spread - as needed,8 Mango (Ripe) - sliced per crepe (as required),8 Ripe Bananas - sliced and caramelised (as required),1 tablespoon Fresh Pomegranate Fruit Kernels - as required,2 teaspoons Badam (Almond) - as required (chopped),Pistachios - as required (chopped),1 Vanilla Ice cream - as required,Chocolate sauce - to drizzle</t>
  </si>
  <si>
    <t>1 taza de harina para todo uso (Maida), 2 huevos enteros, 3 cucharadas de mantequilla derretida, 1 taza de leche (entera) enfriada a temperatura ambiente, 1/2 taza de agua, 1 cucharada de azúcar, sal (una pizca), Nutella (según sea necesario), 8 mangos maduros (rebanados por crepe, según sea necesario), 8 plátanos maduros (rebanados y caramelizados, según sea necesario), 1 cucharada de semillas de granada fresca (según sea necesario), 2 cucharaditas de almendras (picadas, según sea necesario), pistachos (picados, según sea necesario), 1 helado de vainilla (según sea necesario), salsa de chocolate para rociar</t>
  </si>
  <si>
    <t xml:space="preserve">*Instruction for CrepesTo prepare for Crepes Stuffed with Nutella and Seasonal Fruits Recipe, get all the ingredients handy. Mix all the dry ingredients in a large mixing bowl.Take another mixing bowl and whisk eggs until frothy. Now combine frothy eggs and mixed dry ingredients.Next, pour milk, water and melted butter. Whisk until there are no lumps and forms a smooth batter. Allow it to rest for 10 mins.Heat a flat non-stick pan and ladle a half cup of the batter in the center.Swirl the pan all around to spread the batter evenly.do this quickly. Allow it to cook for a couple of minutes.Then, flip it with a spatula to the other side carefully and let it cook for a minute.Once done, transfer it to a plate and continue cooking rest of the crepes.Assembling and ServingSpread as much Nutella as you would like on each crepe.Lay some mango slices, pomegranate arils and caramelized banana on the centre of crepe.Fold from both sides toward the centre.Just before serving, plop a scoop of ice cream, a drizzle of chocolate syrup, lay on some more fruits and sprinkle the chopped nuts to devour the yummy Crepes Stuffed with Nutella and Seasonal Fruits Recipe.Bon appetit! Serve Crepes Stuffed with Nutella and Seasonal Fruits with Espresso Coffee for Breakfast with friends or family.
</t>
  </si>
  <si>
    <t>*Instrucciones para Crepas. Para preparar la receta de Crepas Rellenas de Nutella y Frutas de Temporada, tenga todos los ingredientes a mano. Mezcle todos los ingredientes secos en un tazón grande. En otro tazón, bata los huevos hasta que estén espumosos. Ahora combine los huevos espumosos con los ingredientes secos. A continuación, vierta la leche, el agua y la mantequilla derretida. Bata hasta que no queden grumos y forme una masa suave. Deje reposar durante 10 minutos. Caliente una sartén antiadherente plana y vierta media taza de la masa en el centro. Mueva la sartén para distribuir la masa uniformemente. Haga esto rápidamente. Déjalo cocinar por un par de minutos. Luego, voltéalo con una espátula hacia el otro lado con cuidado y déjalo cocinar por un minuto. Una vez listo, transfiérelo a un plato y continúa cocinando el resto de los crepes. Armado y Servicio Unta tanta Nutella como desees en cada crepe. Coloca algunas rodajas de mango, arilos de granada y plátano caramelizado en el centro del crepe. Dobla desde ambos lados hacia el centro. Justo antes de servir, coloca una bola de helado, un chorrito de jarabe de chocolate, coloca más frutas y espolvorea las nueces picadas para devorar los deliciosos Crepes Rellenos de Nutella y Frutas de Temporada Receta. ¡Buen provecho! Sirve Crepes Rellenos de Nutella y Frutas de Temporada con Café Espresso para desayunar con amigos o familiares.</t>
  </si>
  <si>
    <t>*Instructions pour les crêpes : Pour préparer la recette de crêpes fourrées au Nutella et aux fruits de saison, rassemblez tous les ingrédients. Mélangez tous les ingrédients secs dans un grand saladier. Dans un autre saladier, fouettez les œufs jusqu'à obtenir une consistance mousseuse. Mélangez ensuite les œufs mousseux et le mélange d'ingrédients secs. Versez ensuite le lait, l'eau et le beurre fondu. Fouettez jusqu'à obtenir une pâte lisse et homogène. Laissez reposer 10 minutes. Faites chauffer une poêle antiadhésive plate et versez une demi-tasse de pâte au centre. Faites tourner la poêle pour répartir la pâte uniformément. Procédez rapidement. Laissez cuire quelques minutes. Retournez-la ensuite délicatement de l'autre côté avec une spatule et laissez cuire une minute. Une fois cuite, transférez-la dans une assiette et poursuivez la cuisson du reste des crêpes. Assemblage et service Étalez autant de Nutella que vous le souhaitez sur chaque crêpe. Déposez des tranches de mangue, des arilles de grenade et de la banane caramélisée au centre de la crêpe. Pliez des deux côtés vers le centre. Juste avant de servir, déposez une boule de glace, un filet de sirop de chocolat, disposez d'autres fruits et saupoudrez de noix hachées pour dévorer la délicieuse recette de crêpes fourrées au Nutella et aux fruits de saison. Bon appétit ! Servez des crêpes fourrées au Nutella et aux fruits de saison avec un café expresso au petit-déjeuner entre amis ou en famille.</t>
  </si>
  <si>
    <t>http://www.archanaskitchen.com/crepes-stuffed-with-nutella-seasonal-fruits-recipe</t>
  </si>
  <si>
    <t>Easy Homemade Queso Dip Recipe</t>
  </si>
  <si>
    <t>Einfaches Rezept für hausgemachten Queso-Dip</t>
  </si>
  <si>
    <t>Recette facile de trempette au queso maison</t>
  </si>
  <si>
    <t>Receta fácil de salsa de queso casera</t>
  </si>
  <si>
    <t>2 cuillères à café de beurre, 1/4 tasse d'oignon rouge - finement haché, 2 piments verts, 2 cuillères à soupe d'oignon de printemps (bulbe et légumes verts) - finement haché, 1/4 tasse de lait - ¼ à 1/3 tasse de lait, 4 tranches de fromage cheddar</t>
  </si>
  <si>
    <t>2 teaspoons Butter,1/4 cup Red onion - finely chopped,2 Green Chillies,2 tablespoons Spring Onion (Bulb &amp; Greens) - finely chopped,1/4 cup Milk - ¼ to 1/3rd cup of milk,4 Cheddar cheese - slices</t>
  </si>
  <si>
    <t>2 cucharaditas de mantequilla, 1/4 taza de cebolla roja finamente picada, 2 chiles verdes, 2 cucharadas de cebolla de verdeo (bulbo y hojas verdes) finamente picada, 1/4 taza de leche - ¼ a 1/3 taza de leche, 4 rebanadas de queso cheddar</t>
  </si>
  <si>
    <t xml:space="preserve">To begin making the Easy Homemade Queso Dip recipe, melt the butter over medium heat in a saucepan. When the butter starts to melt, add the chopped onions, green chillies and 2 tablespoons of green onions.Saute for 2 to 3 minutes until the onions are soft and you get a nice aroma from the slightly fried onions, green chillies and green onions.Stir in milk and bring to a boil over medium heat, stirring constantly.When the milk comes to a low simmer, add about 3 to 4 slices of cheese, roughly cut up and continue to stir. Whisk until the mixture turns smooth and creamy.If you find the queso mixture too runny, add more cheese slices one at a time until you get the desired consistency of the cheese dip.Remove from heat, garnish with more green onions and serve hot as a dip with tortilla chips, potato chips, pretzels, crackers or with any Mexican dish.Serve Easy Homemade Queso Dip with Homemade nachos, Sweet Potato Fries for your tea time snack.
</t>
  </si>
  <si>
    <t>Para comenzar a hacer la receta de Dip de Queso Casero Fácil, derrita la mantequilla a fuego medio en una cacerola. Cuando la mantequilla comience a derretirse, agregue las cebollas picadas, los chiles verdes y 2 cucharadas de cebollas verdes. Saltee durante 2 a 3 minutos hasta que las cebollas estén suaves y obtenga un aroma agradable de las cebollas ligeramente fritas, los chiles verdes y las cebollas verdes. Agregue la leche y deje hervir a fuego medio, revolviendo constantemente. Cuando la leche hierva a fuego lento, agregue aproximadamente 3 a 4 rebanadas de queso, cortadas en trozos grandes y continúe revolviendo. Batir hasta que la mezcla esté suave y cremosa. Si la mezcla de queso le parece demasiado líquida, añadir más rebanadas de queso, una a la vez, hasta obtener la consistencia deseada. Retirar del fuego, decorar con más cebollitas y servir caliente como dip con totopos, patatas fritas, pretzels, galletas o cualquier plato mexicano. Servir este dip de queso casero fácil con nachos caseros y patatas fritas dulces para la merienda.</t>
  </si>
  <si>
    <t>Pour commencer à préparer la recette de trempette au queso maison facile, faites fondre le beurre à feu moyen dans une casserole. Lorsque le beurre commence à fondre, ajoutez les oignons hachés, les piments verts et 2 cuillères à soupe d'oignons verts. Faites sauter pendant 2 à 3 minutes jusqu'à ce que les oignons soient tendres et que vous obteniez un bon arôme des oignons légèrement frits, des piments verts et des oignons verts. Incorporez le lait et portez à ébullition à feu moyen en remuant constamment. Lorsque le lait arrive à ébullition douce, ajoutez environ 3 à 4 tranches de fromage, coupées grossièrement et continuez à remuer. Fouettez jusqu'à ce que le mélange devienne lisse et crémeux. Si vous trouvez le mélange de queso trop liquide, ajoutez plus de tranches de fromage une à la fois jusqu'à obtenir la consistance souhaitée pour la trempette au fromage. Retirez du feu, garnissez d'oignons verts et servez chaud comme trempette avec des chips tortilla, des chips de pommes de terre, des bretzels, des craquelins ou avec n'importe quel plat mexicain. Servez la trempette au queso maison facile avec des nachos faits maison, des frites de patates douces pour votre collation à l'heure du thé.</t>
  </si>
  <si>
    <t>http://www.archanaskitchen.com/easy-homemade-queso-dip-recipe</t>
  </si>
  <si>
    <t>Rezept für Avocado-Minz-Suppe</t>
  </si>
  <si>
    <t>Recette de soupe à l'avocat et à la menthe</t>
  </si>
  <si>
    <t>Receta de sopa de aguacate y menta</t>
  </si>
  <si>
    <t>2 avocats, 3 à 5 gousses d'ail hachées, 1 gingembre haché, 1 oignon haché, 10 à 15 feuilles de menthe (Pudina), huile d'olive extra vierge (selon les besoins), 2 piments rouges frais</t>
  </si>
  <si>
    <t>2 Avocados,3 to 5 cloves Garlic - chopped,1 Ginger - chopped,1 Onion - chopped,10 to 15 Mint Leaves (Pudina),Extra Virgin Olive Oil - as required,2 Fresh Red chillies</t>
  </si>
  <si>
    <t>2 aguacates, 3 a 5 dientes de ajo picados, 1 jengibre picado, 1 cebolla picada, 10 a 15 hojas de menta (pudina), aceite de oliva virgen extra (según se requiera), 2 chiles rojos frescos</t>
  </si>
  <si>
    <t xml:space="preserve">To begin making the Avocado Mint Soup recipe, take a saucepan, add the required olive oil and saute garlic, red chilli and onion. Allow it to cool.Blend avocado and the fried onion, garlic and chilli mix with ¾ cup of water in a blender.Pour the puree into the pan and add salt and the remaining water and let it boil in low flame.Switch of the gas once you see the soup becoming frothy.Take a hand mortar, add 1 spoon of olive oil and mint leaves and grind it nicely. Add the mint mix into the soup.Soup is ready to be served. Serve Avocado Mint Soup along with Garlic Bread for a healthy and light dinner.
</t>
  </si>
  <si>
    <t>Para empezar a preparar la receta de Sopa de Aguacate y Menta, toma una cacerola, añade el aceite de oliva necesario y sofríe el ajo, el chile rojo y la cebolla. Deja enfriar. Licúa el aguacate, la cebolla frita, el ajo y la mezcla de chile con ¾ de taza de agua en una licuadora. Vierte el puré en la cacerola, añade sal y el resto del agua y deja hervir a fuego lento. Apaga el fuego cuando veas que la sopa se vuelve espumosa. Toma un mortero, añade 1 cucharada de aceite de oliva y hojas de menta y muélelas bien. Agrega la mezcla de menta a la sopa. La sopa está lista para servir. Sirve la Sopa de Aguacate y Menta con pan de ajo para una cena saludable y ligera.</t>
  </si>
  <si>
    <t>Pour préparer la soupe avocat-menthe, prenez une casserole, ajoutez l'huile d'olive nécessaire et faites revenir l'ail, le piment rouge et l'oignon. Laissez refroidir. Mixez l'avocat, l'oignon frit, l'ail et le piment avec 170 ml d'eau dans un mixeur. Versez la purée dans la casserole, ajoutez le sel et le reste de l'eau, puis laissez mijoter à feu doux. Coupez le gaz dès que la soupe devient mousseuse. Prenez un mortier, ajoutez 1 cuillère à soupe d'huile d'olive et des feuilles de menthe et écrasez finement. Ajoutez le mélange à la menthe dans la soupe. La soupe est prête à être servie. Servez la soupe avocat-menthe avec du pain à l'ail pour un dîner sain et léger.</t>
  </si>
  <si>
    <t>https://www.archanaskitchen.com/avocado-mint-soup-recipe</t>
  </si>
  <si>
    <t>Roasted Beet Salad Recipe With Pearl Barley &amp; Spinach</t>
  </si>
  <si>
    <t>Rezept für gerösteten Rübensalat mit Perlgraupen und Spinat</t>
  </si>
  <si>
    <t>Recette de salade de betteraves rôties à l'orge perlé et aux épinards</t>
  </si>
  <si>
    <t>Receta de ensalada de remolacha asada con cebada perlada y espinacas</t>
  </si>
  <si>
    <t>1/3 tasse d'orge (graines) - trempée dans l'eau, 1 tasse de feuilles d'épinards (Palak) - grossièrement déchirées, 1/2 tasse de noyaux de grenade frais, 1 betterave - coupée finement en quartiers, 2 cuillères à café de vinaigre de cidre de pomme, 1/2 cuillère à café de poudre de poivre noir, 1 cuillère à café de miel, 1/2 cuillère à café de jus de citron, sel - au goût, 1 cuillère à soupe d'huile d'olive extra vierge</t>
  </si>
  <si>
    <t>1/3 cup Barley (seeds) - soaked in water,1 cup Spinach Leaves (Palak) - roughly torn,1/2 cup Fresh Pomegranate Fruit Kernels,1 Beetroot - cut thin into wedges,2 teaspoon Apple cider vinegar,1/2 teaspoon Black pepper powder,1 teaspoon Honey,1/2 teaspoon Lemon juice,Salt - to taste,1 tablespoon Extra Virgin Olive Oil</t>
  </si>
  <si>
    <t>1/3 taza de cebada (semillas) - remojadas en agua, 1 taza de hojas de espinaca (Palak) - desgarradas en trozos grandes, 1/2 taza de semillas de granada fresca, 1 remolacha - cortada en gajos finos, 2 cucharaditas de vinagre de sidra de manzana, 1/2 cucharadita de pimienta negra en polvo, 1 cucharadita de miel, 1/2 cucharadita de jugo de limón, sal - al gusto, 1 cucharada de aceite de oliva virgen extra</t>
  </si>
  <si>
    <t xml:space="preserve">To begin making the Roasted Beet Salad Recipe With Pearl Barley &amp; Spinach, let us make the dressing and chill it.To make the dressing, in a bowl, combine, apple cider vinegar, salt, pepper, honey, lemon juice and olive oil. Whisk together and let it sit in the fridge.In a pressure cooker, add the barley along with 1/4 cup of water and pressure cook for 4 whistles. Turn off the heat and allow the pressure to release naturally. Drain the barley from its water and set aside.Heat a pan on high flame, roast the beets for 5 minutes until it is soft and tender. Once the beet is well roasted, turn off the heat and set aside.To finally make the Roasted Beet Salad Recipe With Pearl Barley &amp; Spinach, in a mixing bowl, combine palak leaves, pomegranate pearls, boiled barley and the roasted beetroots.Toss the  Roasted Beet Salad with the prepared dressing and serve chilled.Serve this Roasted Beet Salad Recipe With Pearl Barley &amp; Spinach along with Healthy Creamy Chicken Soup With Vegetables Recipe and Black Eyed Bean And Lemon Bruschetta Recipe for Sunday Brunch. 
</t>
  </si>
  <si>
    <t>Para empezar a preparar la receta de ensalada de remolacha asada con cebada perlada y espinacas, preparemos el aderezo y lo refrigeremos. Para ello, en un tazón, combine vinagre de manzana, sal, pimienta, miel, jugo de limón y aceite de oliva. Bata todo y deje reposar en el refrigerador. En una olla a presión, agregue la cebada junto con 1/4 de taza de agua y cocine a presión durante 4 silbidos. Apague el fuego y deje que la presión se libere naturalmente. Escurra el agua de la cebada y reserve. Caliente una sartén a fuego alto y tueste la remolacha durante 5 minutos hasta que esté suave y tierna. Una vez que la remolacha esté bien asada, apaga el fuego y reserva. Para preparar la receta de ensalada de remolacha asada con cebada perlada y espinacas, en un tazón, mezcla las hojas de palak, las perlas de granada, la cebada hervida y las remolachas asadas. Mezcla la ensalada de remolacha asada con el aderezo preparado y sirve fría. Sirve esta receta de ensalada de remolacha asada con cebada perlada y espinacas junto con la receta de sopa cremosa de pollo saludable con verduras y la receta de bruschetta de frijoles negros y limón para el brunch del domingo.</t>
  </si>
  <si>
    <t>Pour commencer la recette de salade de betteraves rôties à l'orge perlé et aux épinards, préparons la vinaigrette et la mettons au réfrigérateur. Dans un bol, mélangez le vinaigre de cidre, le sel, le poivre, le miel, le jus de citron et l'huile d'olive. Fouettez le tout et laissez reposer au réfrigérateur. Dans une cocotte-minute, ajoutez l'orge et 60 ml d'eau et faites cuire sous pression pendant 4 sifflements. Éteignez le feu et laissez la pression retomber naturellement. Égouttez l'orge et réservez. Faites chauffer une poêle à feu vif et faites rôtir les betteraves 5 minutes, jusqu'à ce qu'elles soient tendres. Une fois la betterave bien rôtie, éteignez le feu et réservez. Pour enfin préparer la recette de salade de betteraves rôties à l'orge perlé et aux épinards, dans un saladier, mélangez les feuilles de palak, les perles de grenade, l'orge bouillie et les betteraves rôties. Mélangez la salade de betteraves rôties avec la vinaigrette préparée et servez frais. Servez cette recette de salade de betteraves rôties à l'orge perlé et aux épinards avec la recette de soupe crémeuse au poulet et aux légumes et la recette de bruschetta aux haricots noirs et au citron pour le brunch du dimanche.</t>
  </si>
  <si>
    <t>http://www.archanaskitchen.com/roasted-beet-salad-recipe-with-pearl-barley-spinach</t>
  </si>
  <si>
    <t>Braided Almond Roll Recipe</t>
  </si>
  <si>
    <t>Rezept für geflochtene Mandelbrötchen</t>
  </si>
  <si>
    <t>Recette de rouleaux tressés aux amandes</t>
  </si>
  <si>
    <t>Receta de rollos trenzados de almendras</t>
  </si>
  <si>
    <t>1-1/2 tasse de farine tout usage (Maida), 1 cuillère à café de levure sèche active, 1 cuillère à soupe de beurre, 1 cuillère à soupe d'eau tiède, 1/4 cuillère à café de sel, 1 cuillère à soupe de sucre, 1 tasse de Sooji (semoule/Rava), 1/4 tasse de ghee, 2 cuillères à soupe de lait, 2 brins de safran, 1 tasse de sucre (réglable), 2 tasses d'eau, 2 cuillères à soupe de Badam (amande) tranchées, 2 cuillères à soupe de raisins secs, miel pour arroser</t>
  </si>
  <si>
    <t>1-1/2 cup All Purpose Flour (Maida),1 teaspoon Active dry yeast,1 tablespoons Butter,1 tablespoons Water - Luke warm,1/4 teaspoon Salt,1 tablespoon Sugar,1 cup Sooji (Semolina/ Rava),1/4 cup Ghee,2 tablespoons Milk,2 Saffron strands,1 cup Sugar - (adjustable),2 cups Water,2 tablespoons Badam (Almond) - sliced,2 tablespoons Raisins,Honey - to drizzle</t>
  </si>
  <si>
    <t>1-1/2 taza de harina para todo uso (Maida), 1 cucharadita de levadura seca activa, 1 cucharada de mantequilla, 1 cucharada de agua tibia, 1/4 cucharadita de sal, 1 cucharada de azúcar, 1 taza de Sooji (sémola/rava), 1/4 taza de ghee, 2 cucharadas de leche, 2 hebras de azafrán, 1 taza de azúcar (ajustable), 2 tazas de agua, 2 cucharadas de Badam (almendras) en rodajas, 2 cucharadas de pasas, miel para rociar</t>
  </si>
  <si>
    <t xml:space="preserve">To begin making the Braided Almond Roll recipe,mix all purpose flour, salt, dry yeast mixture and knead a dough with little water. Add butter and knead again. Keep it aside for 1/2 an hour.Next combine 2 tablespoons of milk and saffron threads and keep it aside.Heat pure ghee in a thick bottom pan and add green cardamom powder and rava. Saute till nice aroma comes and rava is light brown in colour. Remove the rava into a bowl and keep aside.Heat 2 cups of water and bring it to a boil. Add 1 cup of sugar and boil it till the sugar dissolves.Now to this add rava, half of sliced almonds, raisins and saffron milk and cover it, and cook on low heat.When the rava is cooked properly and dried, turn off the stove. Let it cool to room temperature.Now divide the dough into 4 portions. Roll a portion with rolling pin into a rectangular sheet. Cut the edges of the sheet to give it a perfect rectangular shape.Now give cuts on both sides of the sheet lengthwise . Keep a portion of rava filling at the centre of the sheet, and spread it lengthwise. Starting at 1 end, fold alternating strips at an angle across filling to make a braided roll. Pinch ends to sealSimilarly make other 3 rolls. Now brush the rolls with melted butter and bake them at 250 degree till they are done for about 20 minutes. Remove all the rolls into a serving plate, sprinkle the remaining sliced almonds and drizzle some honey on them.Serve Braided Almond Roll as a evening snack along with Adrak Chai . 
</t>
  </si>
  <si>
    <t>Para comenzar a hacer la receta del Rollo de Almendras Trenzadas, mezcle harina para todo uso, sal, mezcla de levadura seca y amase una masa con un poco de agua. Agregue mantequilla y amasar de nuevo. Déjelo reposar durante 1/2 hora. Luego combine 2 cucharadas de leche y hebras de azafrán y déjelo a un lado. Caliente ghee puro en una cacerola de fondo grueso y agregue cardamomo verde en polvo y rava. Saltee hasta que salga un aroma agradable y la rava tenga un color marrón claro. Retire la rava a un tazón y déjela a un lado. Caliente 2 tazas de agua y llévela a ebullición. Agregue 1 taza de azúcar y hiérvala hasta que el azúcar se disuelva. Ahora a esto agregue rava, la mitad de las almendras fileteadas, pasas y leche de azafrán y cúbralo, y cocine a fuego lento. Cuando la rava esté bien cocida y seca, apague la estufa. Déjela enfriar a temperatura ambiente. Ahora divida la masa en 4 porciones. Estire una porción con un rodillo en una lámina rectangular. Corta los bordes de la hoja para darle una forma rectangular perfecta. Ahora haz cortes longitudinales en ambos lados de la hoja. Mantén una porción del relleno de rava en el centro de la hoja y extiéndela longitudinalmente. Comenzando por un extremo, dobla tiras alternas en ángulo a través del relleno para formar un rollo trenzado. Pellizca los extremos para sellar. De forma similar, haz otros 3 rollos. Ahora pincela los rollos con mantequilla derretida y hornéalos a 250 grados hasta que estén listos durante unos 20 minutos. Retira todos los rollos a un plato para servir, espolvorea las almendras fileteadas restantes y rocía un poco de miel por encima. Sirve el rollo trenzado de almendras como refrigerio por la noche junto con Adrak Chai.</t>
  </si>
  <si>
    <t>Pour commencer à préparer la recette du rouleau d'amandes tressé, mélangez la farine tout usage, le sel, le mélange de levure sèche et pétrissez une pâte avec un peu d'eau. Ajoutez le beurre et pétrissez à nouveau. Laissez reposer pendant 1/2 heure. Mélangez ensuite 2 cuillères à soupe de lait et les fils de safran et réservez. Faites chauffer du ghee pur dans une casserole à fond épais et ajoutez la poudre de cardamome verte et le rava. Faites sauter jusqu'à ce qu'un bon arôme se dégage et que le rava soit de couleur brun clair. Retirez le rava dans un bol et réservez. Faites chauffer 2 tasses d'eau et portez à ébullition. Ajoutez 1 tasse de sucre et faites bouillir jusqu'à ce que le sucre se dissolve. Ajoutez ensuite le rava, la moitié des amandes effilées, les raisins secs et le lait au safran, couvrez et faites cuire à feu doux. Lorsque le rava est bien cuit et sec, éteignez le feu. Laissez-le refroidir à température ambiante. Divisez maintenant la pâte en 4 portions. Roulez une portion avec un rouleau à pâtisserie en une feuille rectangulaire. Coupez les bords de la feuille pour lui donner une forme rectangulaire parfaite. Entaillez ensuite les deux côtés de la feuille dans le sens de la longueur. Conservez une portion de garniture au centre de la feuille et étalez-la dans le sens de la longueur. En commençant par une extrémité, repliez des bandes alternées en biais sur la garniture pour former un rouleau tressé. Pincez les extrémités pour les sceller. Réalisez de la même manière trois autres rouleaux. Badigeonnez les rouleaux de beurre fondu et enfournez-les à 120 °C (250 °F) jusqu'à ce qu'ils soient cuits, pendant environ 20 minutes. Déposez tous les rouleaux dans une assiette de service, parsemez du reste des amandes effilées et arrosez-les d'un filet de miel. Servez le rouleau tressé aux amandes en guise d'en-cas, accompagné d'un thé adrak.</t>
  </si>
  <si>
    <t>http://www.archanaskitchen.com/braided-almond-roll-recipe</t>
  </si>
  <si>
    <t>Salted Caramel Sauce Recipe</t>
  </si>
  <si>
    <t>Rezept für gesalzene Karamellsauce</t>
  </si>
  <si>
    <t>Recette de sauce au caramel salé</t>
  </si>
  <si>
    <t>Receta de salsa de caramelo salado</t>
  </si>
  <si>
    <t>1 tasse de sucre granulé, 6 cuillères à soupe de beurre à température ambiante, 1 tasse de crème à fouetter épaisse, 1 cuillère à café d'extrait de vanille, 1/2 cuillère à café de sel de mer</t>
  </si>
  <si>
    <t>1 cup Sugar - granulated,6 tablespoons Butter - room temperature,1 cup Heavy whipping cream,1 teaspoon Vanilla Extract,1/2 teaspoon Sea salt</t>
  </si>
  <si>
    <t>1 taza de azúcar granulada, 6 cucharadas de mantequilla a temperatura ambiente, 1 taza de crema batida espesa, 1 cucharadita de extracto de vainilla, 1/2 cucharadita de sal marina</t>
  </si>
  <si>
    <t xml:space="preserve">To begin making the Salted Caramel Sauce Recipe, heat a heavy bottomed pan.Add the butter and sugar to it and keep on medium heat and stir. Melt the sugar and butter together and allow the sugar to get a dark golden color. This will take about 5 minutes. Be careful not to burn the sugar. Turn off the heat as soon as the sugar turns golden brown in color and starts to smoke and bubble.Immediately stir in the heavy cream slowly stirring continuously at the same time.Keep stirring until you get a smooth caramel.Be careful when you add cream into the caramel as when you add cream the mixture will rapidly bubble and splutter as well. Since the mixture bubbles up, use a little bigger pan to make the caramel sauce in.Once done add in the vanilla extract, sea salt and stir well to combine.Let the Salted Caramel Sauce cool and then transfer it to a jar and keep it in fridge in airtight jar. Serve this delicious Salted Caramel Sauce Recipe on Carrot And Orange Loaf Cake and serve along with your coffee during your tea time break or simply serve it over a scoop of Apple Pie Ice Cream Recipe.
</t>
  </si>
  <si>
    <t>Para comenzar a hacer la Receta de Salsa de Caramelo Salado, calienta una sartén de fondo grueso. Agrega la mantequilla y el azúcar y mantenla a fuego medio y revuelve. Derrite el azúcar y la mantequilla juntos y deja que el azúcar adquiera un color dorado oscuro. Esto tomará unos 5 minutos. Ten cuidado de no quemar el azúcar. Apaga el fuego tan pronto como el azúcar se vuelva de color marrón dorado y comience a humear y burbujear. Inmediatamente agrega la crema espesa lentamente revolviendo continuamente al mismo tiempo. Sigue revolviendo hasta obtener un caramelo suave. Ten cuidado cuando agregues crema al caramelo, ya que cuando agregas crema, la mezcla burbujeará rápidamente y también chisporroteará. Como la mezcla burbujea, usa una sartén un poco más grande para hacer la salsa de caramelo. Una vez hecho esto, agrega el extracto de vainilla, la sal marina y revuelve bien para combinar. Deja que la Salsa de Caramelo Salado se enfríe y luego transfiérela a un frasco y guárdala en el refrigerador en un frasco hermético. Sirva esta deliciosa receta de salsa de caramelo salado sobre un pastel de zanahoria y naranja y acompáñela con su café durante la hora del té o simplemente sírvala con una bola de helado de tarta de manzana.</t>
  </si>
  <si>
    <t>Pour commencer à préparer la recette de sauce au caramel salé, faites chauffer une casserole à fond épais. Ajoutez-y le beurre et le sucre, maintenez à feu moyen et remuez. Faites fondre le sucre et le beurre ensemble et laissez le sucre prendre une couleur dorée foncée. Cela prendra environ 5 minutes. Veillez à ne pas brûler le sucre. Éteignez le feu dès que le sucre devient brun doré et commence à fumer et à bouillonner. Incorporez immédiatement la crème épaisse en remuant lentement et continuellement en même temps. Continuez à remuer jusqu'à obtenir un caramel lisse. Soyez prudent lorsque vous ajoutez de la crème dans le caramel, car lorsque vous ajoutez de la crème, le mélange bouillonnera et éclaboussera rapidement. Comme le mélange bouillonne, utilisez une casserole un peu plus grande pour faire la sauce au caramel. Une fois terminé, ajoutez l'extrait de vanille, le sel de mer et remuez bien pour mélanger. Laissez refroidir la sauce au caramel salé, puis transférez-la dans un bocal et conservez-la au réfrigérateur dans un bocal hermétique. Servez cette délicieuse recette de sauce au caramel salé sur un gâteau aux carottes et à l'orange et servez-la avec votre café pendant votre pause thé ou servez-la simplement sur une boule de crème glacée à la tarte aux pommes.</t>
  </si>
  <si>
    <t>https://www.archanaskitchen.com/caramel-sauce-recipe</t>
  </si>
  <si>
    <t>Watermelon Margarita Granita Recipe</t>
  </si>
  <si>
    <t>Wassermelonen-Margarita-Granita-Rezept</t>
  </si>
  <si>
    <t>Recette de granité à la margarita et à la pastèque</t>
  </si>
  <si>
    <t>Receta de granizado de margarita de sandía</t>
  </si>
  <si>
    <t>1/2 pastèque - en purée, 140 ml de sirop de sucre, 3 cuillères à soupe de jus de citron, feuilles de menthe (Pudina) - un demi-bouquet, 150 ml de tequila, 70 ml de triple sec, quartiers de citron - et feuilles de menthe pour la garniture</t>
  </si>
  <si>
    <t>1/2 Watermelon - pureed,140 ml Sugar syrup,3 tablespoons Lemon juice,Mint Leaves (Pudina) - half a bunch,150 ml Tequila,70 ml Triple sec,Lemon wedges - &amp; mint leaves for garnish</t>
  </si>
  <si>
    <t>1/2 Sandía - hecha puré, 140 ml de jarabe de azúcar, 3 cucharadas de jugo de limón, hojas de menta (pudina) - medio manojo, 150 ml de tequila, 70 ml de triple sec, gajos de limón y hojas de menta para decorar</t>
  </si>
  <si>
    <t xml:space="preserve">To begin making Watermelon margarita granita, start by pureeing the watermelon. Strain and pour into a large mixing bowl.  Discard the pulp.Add all the ingredients like the sugar syrup, lemon juice, mint leaves, tequila, triple sec into the watermelon puree and mix well to combine.Taste and adjust as per requirement.Pour into a freezer safe container. Cover with a plastic wrap and freeze.After two hours, scrape the mix using a fork and put it back in the freezer.Do this about 3 times every 2-3 hours till the entire mix is scraped and resembles a granita.Scoop into glasses, drizzle a little tequila on top, garnish with watermelon sphere, lemon wedge and mint leaf.Serve Watermelon Margarita Granita Recipe along with a party menu of Loaded Veggie Nachos , Mexican Vegetarian Burrito Bowl and Churros Recipe With Cinnamon &amp; Sugar.
</t>
  </si>
  <si>
    <t>Para empezar a preparar la granizada de sandía y margarita, empieza por hacer puré la sandía. Cuela y vierte en un tazón grande. Desecha la pulpa. Agrega todos los ingredientes como el jarabe de azúcar, el jugo de limón, las hojas de menta, el tequila y el triple sec al puré de sandía y mezcla bien. Prueba y ajusta según sea necesario. Vierte en un recipiente apto para congelador. Cubre con film transparente y congela. Después de dos horas, raspa la mezcla con un tenedor y vuelve a meterla en el congelador. Haz esto unas 3 veces cada 2 o 3 horas hasta que toda la mezcla esté raspada y parezca una granizada. Sirve en vasos, rocía un poco de tequila por encima y decora con una esfera de sandía, una rodaja de limón y una hoja de menta. Sirve la receta de granizada de sandía y margarita junto con un menú para fiestas de nachos vegetarianos, un burrito vegetariano mexicano y una receta de churros con canela y azúcar.</t>
  </si>
  <si>
    <t>Pour préparer un granité à la margarita et à la pastèque, commencez par le réduire en purée. Filtrez et versez dans un grand saladier. Jetez la pulpe. Ajoutez tous les ingrédients, comme le sirop de sucre, le jus de citron, les feuilles de menthe, la tequila et le triple sec, à la purée de pastèque et mélangez bien. Goûtez et ajustez selon vos besoins. Versez dans un récipient allant au congélateur. Couvrez d'un film plastique et congelez. Au bout de deux heures, grattez le mélange à l'aide d'une fourchette et remettez-le au congélateur. Répétez cette opération environ 3 fois toutes les 2 à 3 heures jusqu'à ce que le mélange soit complètement gratté et ressemble à un granité. Versez dans des verres, arrosez d'un filet de tequila, décorez d'une sphère de pastèque, d'un quartier de citron et d'une feuille de menthe. Servez ce granité à la margarita et à la pastèque avec un menu de fête composé de nachos végétariens, d'un bol de burrito végétarien mexicain et de churros à la cannelle et au sucre.</t>
  </si>
  <si>
    <t>https://www.archanaskitchen.com/watermelon-margarita-granita-recipe</t>
  </si>
  <si>
    <t>Carrot And Orange Loaf Cake Recipe</t>
  </si>
  <si>
    <t>Rezept für Karotten-Orangen-Kastenkuchen</t>
  </si>
  <si>
    <t>Recette de cake aux carottes et à l'orange</t>
  </si>
  <si>
    <t>Receta de pastel de zanahoria y naranja</t>
  </si>
  <si>
    <t>1-3/4 tasse de farine tout usage (Maida), 1/2 tasse d'huile de tournesol, 1 tasse de sucre, 2 œufs entiers, 2 tasses de carottes (Gajjar) - râpées, 2 cuillères à café de zeste d'orange (écorce), 1/4 tasse de jus d'orange frais, 1 cuillère à soupe de jus de citron, 1/4 tasse de raisins secs, 1 cuillère à café de levure chimique, 1/2 cuillère à café de bicarbonate de soude, 1/4 cuillère à café de sel</t>
  </si>
  <si>
    <t>1-3/4 cups All Purpose Flour (Maida),1/2 cup Sunflower Oil,1 cup Sugar,2 Whole Eggs,2 cups Carrot (Gajjar) - grated,2 teaspoon Orange Zest (Rind),1/4 cup Fresh orange juice,1 tablespoon Lemon juice,1/4 cup Raisins,1 teaspoon Baking powder,1/2 teaspoon Baking soda,1/4 teaspoon Salt</t>
  </si>
  <si>
    <t>1-3/4 tazas de harina para todo uso (Maida), 1/2 taza de aceite de girasol, 1 taza de azúcar, 2 huevos enteros, 2 tazas de zanahoria (Gajjar) - rallada, 2 cucharaditas de ralladura de naranja (cáscara), 1/4 taza de jugo de naranja fresco, 1 cucharada de jugo de limón, 1/4 taza de pasas, 1 cucharadita de polvo para hornear, 1/2 cucharadita de bicarbonato de sodio, 1/4 cucharadita de sal</t>
  </si>
  <si>
    <t xml:space="preserve">To prepare Carrot And Orange Loaf Cake Recipe, preheat Oven to 180 degrees C. Very lightly grease or line a 9-inch loaf tin or 2-3 mini loaf tins.In a mixing bowl, add the flour, baking powder, baking soda and salt; mix and keep aside.In another large bowl, add eggs and oil and beat well (I used a hand whisk); add the sugar and beat again. Then add the orange zest, orange and lemon juice, raisins, and carrots; mix.Add the flour mix to the wet ingredients and mix until just combined. Do not over mix.Pour batter into prepared tins and bake for 20 minutes or until a toothpick inserted in the center comes out. Baking time will vary depending on the size of the tins you use.Let the loaf cool in the tin for 10 minutes before turning it out onto a rack to cool.
</t>
  </si>
  <si>
    <t>Para preparar la receta de pastel de zanahoria y naranja, precaliente el horno a 180 °C. Engrase o forre ligeramente un molde para pan de 23 cm o 2 o 3 moldes pequeños. En un tazón, agregue la harina, el polvo para hornear, el bicarbonato y la sal; mezcle y reserve. En otro tazón grande, agregue los huevos y el aceite y bata bien (yo usé un batidor de mano); agregue el azúcar y vuelva a batir. Luego, agregue la ralladura de naranja, el jugo de naranja y limón, las pasas y las zanahorias; mezcle. Agregue la mezcla de harina a los ingredientes húmedos y mezcle hasta que se integren. No mezcle demasiado. Vierta la masa en los moldes preparados y hornee durante 20 minutos o hasta que al insertar un palillo en el centro, este salga. El tiempo de horneado variará según el tamaño de los moldes que use. Deje enfriar el pan en el molde durante 10 minutos antes de desmoldarlo sobre una rejilla.</t>
  </si>
  <si>
    <t>Pour préparer le cake aux carottes et à l'orange, préchauffez le four à 180 °C. Graissez ou chemisez légèrement un moule à cake de 23 cm ou 2 ou 3 mini-moules à cake. Dans un saladier, ajoutez la farine, la levure chimique, le bicarbonate de soude et le sel ; mélangez et réservez. Dans un autre grand saladier, ajoutez les œufs et l'huile et battez bien (j'ai utilisé un fouet à main) ; ajoutez le sucre et battez à nouveau. Ajoutez ensuite le zeste d'orange, le jus d'orange et de citron, les raisins secs et les carottes ; mélangez. Ajoutez le mélange de farine aux ingrédients humides et mélangez jusqu'à ce que le tout soit bien incorporé. Ne mélangez pas trop. Versez la pâte dans les moules préparés et enfournez pour 20 minutes ou jusqu'à ce qu'un cure-dent inséré au centre en ressorte. Le temps de cuisson varie selon la taille des moules. Laissez le cake refroidir dans son moule pendant 10 minutes avant de le démouler sur une grille.</t>
  </si>
  <si>
    <t>https://www.archanaskitchen.com/carrot-and-orange-loaf-cake-recipe</t>
  </si>
  <si>
    <t>Banana And Mango Smoothie Recipe</t>
  </si>
  <si>
    <t>Bananen-Mango-Smoothie-Rezept</t>
  </si>
  <si>
    <t>Recette de smoothie banane-mangue</t>
  </si>
  <si>
    <t>Receta de batido de plátano y mango</t>
  </si>
  <si>
    <t>1 mangue (mûre) - hachée, 1 banane mûre - 2 petites si c'est la variété de banane Elaichi, 1/2 tasse de caillé (Dahi / Yaourt) - frais, 3 cuillères à soupe de flocons d'avoine, extrait de vanille - juste un trait, sucre - facultatif, glaçons - facultatif</t>
  </si>
  <si>
    <t>1 Mango (Ripe) - chopped,1 Ripe Bananas - 2 small if it is the Elaichi Banana variety,1/2 cup Curd (Dahi / Yogurt) - fresh,3 tablespoons Rolled Oats,Vanilla Extract - just a dash,Sugar - optional,Ice cubes - optional</t>
  </si>
  <si>
    <t>1 mango (maduro) - picado, 1 plátano maduro - 2 pequeños si es la variedad de plátano Elaichi, 1/2 taza de cuajada (Dahi / yogur) - fresca, 3 cucharadas de avena arrollada, extracto de vainilla - solo una pizca, azúcar - opcional, cubitos de hielo - opcional</t>
  </si>
  <si>
    <t xml:space="preserve">To begin making the Banana And Mango Smoothie Recipe, peel and chop the mango and banana into a blender.Add in the yogurt, rolled oats, vanilla and ice cubes and blend until smooth. Taste the smoothie, if not sweet enough add required sugar and blend again.Pour the Banana and Mango Smoothie into  2 tall glasses and serve chilled along with Paneer Bhurji Wraps for a filling breakfast or just like that on a warm summer afternoon.
</t>
  </si>
  <si>
    <t>Para preparar el batido de plátano y mango, pela y pica el mango y el plátano en una licuadora. Agrega el yogur, la avena arrollada, la vainilla y los cubitos de hielo y licua hasta obtener una mezcla suave. Prueba el batido; si no está lo suficientemente dulce, agrega el azúcar necesario y vuelve a licuar. Vierte el batido de plátano y mango en dos vasos altos y sírvelo frío junto con paneer bhurji wraps para un desayuno completo o simplemente para una cálida tarde de verano.</t>
  </si>
  <si>
    <t>Pour commencer à préparer la recette du smoothie banane et mangue, épluchez et hachez la mangue et la banane dans un mixeur. Ajoutez le yaourt, les flocons d'avoine, la vanille et les glaçons et mixez jusqu'à obtenir une consistance lisse. Goûtez le smoothie ; s'il n'est pas assez sucré, ajoutez le sucre nécessaire et mixez à nouveau. Versez le smoothie banane et mangue dans 2 grands verres et servez frais avec des wraps au paneer bhurji pour un petit-déjeuner copieux ou tout simplement comme ça lors d'un chaud après-midi d'été.</t>
  </si>
  <si>
    <t>https://www.archanaskitchen.com/banana-and-mango-smoothie-recipe-with-yogurt</t>
  </si>
  <si>
    <t>Tomato Chickpea and Coconut Soup Recipe</t>
  </si>
  <si>
    <t>Rezept für Tomaten-Kichererbsen-Kokos-Suppe</t>
  </si>
  <si>
    <t>Recette de soupe aux tomates, pois chiches et noix de coco</t>
  </si>
  <si>
    <t>Receta de sopa de tomate, garbanzos y coco</t>
  </si>
  <si>
    <t>1 cuillère à café d'huile d'olive extra vierge, 2 gousses d'ail, 1 tasse de Kabuli Chana (pois chiches blancs) - trempés pendant 8 heures, 1 tasse de tomates - grossièrement hachées, 1 tasse de lait de coco, 1 tasse d'eau - ou plus, 1/2 cuillère à café de poudre de piment rouge, 1 cuillère à café de sucre - (facultatif), flocons de piment rouge - pour la garniture, sel - au goût</t>
  </si>
  <si>
    <t>1 teaspoon Extra Virgin Olive Oil,2 cloves Garlic,1 cup Kabuli Chana (White Chickpeas) - soaked for 8 hours,1 cup Tomatoes - roughly chopped,1 cup Coconut milk,1 cup Water - or more,1/2 teaspoon Red Chilli powder,1 teaspoon Sugar - (optional),Red Chilli flakes - for garnish,Salt - to taste</t>
  </si>
  <si>
    <t>1 cucharadita de aceite de oliva virgen extra, 2 dientes de ajo, 1 taza de Kabuli Chana (garbanzos blancos) - remojados durante 8 horas, 1 taza de tomates - picados gruesamente, 1 taza de leche de coco, 1 taza de agua - o más, 1/2 cucharadita de chile rojo en polvo, 1 cucharadita de azúcar - (opcional), hojuelas de chile rojo - para decorar, sal - al gusto</t>
  </si>
  <si>
    <t xml:space="preserve">To begin making the Tomato Chickpea and Coconut milk soup, we need to get a few ingredients ready, like the soak the chickpeas for 8 hours and cook it in a pressure cooker for half an hour till it becomes very soft. Next stew the tomatoes with 1 cup water in a saucepan, till it becomes mushy and soft. Once you have them ready, then making this soup is simply easy.Once you have ingredients ready, place all the ingredients into the blender, adding very little water to make a smooth puree. Once you have a smooth puree you can add more water to adjust the consistency of the soup and blend.When you ready to serve, give the Tomato Chickpea and Coconut Soup a brisk boil for a couple of minutes, top it with black peppercorns and serve for a weeknight dinner along with warm toasted bread.Serve the Tomato Chickpea and Coconut Soup Recipe along with warm toasted garlic bread or a grilled vegetable sandwich to complete a meal.
</t>
  </si>
  <si>
    <t>Para empezar a preparar la sopa de tomate, garbanzos y leche de coco, necesitamos preparar algunos ingredientes, como remojar los garbanzos durante 8 horas y cocinarlos en una olla a presión durante media hora hasta que estén muy suaves. Luego, guisar los tomates con 1 taza de agua en una cacerola, hasta que estén blandos. Una vez que los tengas listos, hacer esta sopa es simplemente fácil. Una vez que tengas los ingredientes listos, colócalos todos en la licuadora, agregando muy poca agua para hacer un puré suave. Una vez que tengas un puré suave, puedes agregar más agua para ajustar la consistencia de la sopa y licuar. Cuando estés listo para servir, hierve la sopa de tomate, garbanzos y coco a fuego lento durante un par de minutos, cúbrela con granos de pimienta negra y sírvela para una cena entre semana junto con pan tostado caliente. Sirve la receta de sopa de tomate, garbanzos y coco junto con pan de ajo tostado caliente o un sándwich de verduras a la parrilla para completar una comida.</t>
  </si>
  <si>
    <t>Pour commencer à préparer la soupe de tomates, pois chiches et lait de coco, nous devons préparer quelques ingrédients, comme faire tremper les pois chiches pendant 8 heures et les cuire dans un autocuiseur pendant une demi-heure jusqu'à ce qu'ils deviennent très tendres. Ensuite, faites mijoter les tomates avec 250 ml d'eau dans une casserole, jusqu'à ce qu'elles deviennent molles et molles. Une fois que vous les avez prêtes, préparer cette soupe est tout simplement facile. Une fois que vous avez les ingrédients prêts, placez tous les ingrédients dans le mixeur, en ajoutant très peu d'eau pour obtenir une purée lisse. Une fois que vous avez une purée lisse, vous pouvez ajouter plus d'eau pour ajuster la consistance de la soupe et mélanger. Lorsque vous êtes prêt à servir, faites bouillir la soupe de tomates, pois chiches et lait de coco pendant quelques minutes, garnissez-la de grains de poivre noir et servez pour un dîner de semaine avec du pain grillé chaud. Servez la recette de soupe de tomates, pois chiches et lait de coco avec du pain à l'ail grillé chaud ou un sandwich aux légumes grillés pour compléter un repas.</t>
  </si>
  <si>
    <t>http://www.archanaskitchen.com/tomato-chickpea-and-coconut-soup-recipe</t>
  </si>
  <si>
    <t>Crunchy Ragi And Oats Breakfast Bowl Recipe</t>
  </si>
  <si>
    <t>Ragi und Hafer Frühstücksschale Rezept - Rezept für eine Frühstücksschale mit Ragi-Half-Fruit</t>
  </si>
  <si>
    <t>Recette de bol de petit-déjeuner au ragi et à l'avoine - Recette d'un bol de petit-déjeuner avec un demi-fruit de ragi</t>
  </si>
  <si>
    <t>Receta de tazón de desayuno de ragi y avena - Receta de tazón de desayuno de media ragi con fruta</t>
  </si>
  <si>
    <t>1 cuillère à soupe de farine de ragi, 2 cuillères à soupe d'avoine, 1/8 tasse d'eau, 1/2 tasse de lait, miel - selon le goût, 4 biscuits ragi - casser, 1 cuillère à soupe d'amandes - hachées finement, 1 cuillère à soupe de pistaches - coupées finement</t>
  </si>
  <si>
    <t>1 tbsp ragi flour, 2 tbsp oats, 1/8 cup water, 1/2 cup milk, honey - as per taste, 4 ragi cookies - break, 1 tbsp almonds - chopped thin, 1 tbsp pistachios - Cut thin</t>
  </si>
  <si>
    <t>1 cucharada de harina de ragi, 2 cucharadas de avena, 1/8 taza de agua, 1/2 taza de leche, miel - al gusto, 4 galletas de ragi - para romper, 1 cucharada de almendras - picadas finas, 1 cucharada de pistachos - cortados finos</t>
  </si>
  <si>
    <t>To make Ragi and Oats Breakfast Bowl Recipe, take a saucepan and turn on the gas. In this saucepan, add 1 tbsp ragi flour, 2 tbsp instant oats, 1/8 cup water, 1/2 cup milk, honey and mix well. Cook till the mixture thickens. It will take 2 to 3 minutes. Once it thickens, turn off the gas and let the mixture cool. Now to make the breakfast jar, break the ragi cookie into pieces and put it in a small jar. Add the oats mixture to it. Top it with banana and garnish with almonds and pistachios. Serve. Serve Ragi and Oats Breakfast Bowl Recipe with fried egg and bread toast for breakfast.</t>
  </si>
  <si>
    <t>Para preparar la receta de tazón de desayuno de ragi y avena, encienda una cacerola. En ella, agregue 1 cucharada de harina de ragi, 2 cucharadas de avena instantánea, 1/8 de taza de agua, 1/2 taza de leche, miel y mezcle bien. Cocine hasta que la mezcla espese. Tomará de 2 a 3 minutos. Una vez que espese, apague el fuego y deje enfriar. Ahora, para preparar el frasco de desayuno, rompa la galleta de ragi en trozos y colóquela en un frasco pequeño. Agregue la mezcla de avena. Cúbrala con plátano y decore con almendras y pistachos. Sirva. Sirva la receta de tazón de desayuno de ragi y avena con huevo frito y tostadas de pan.</t>
  </si>
  <si>
    <t>Pour préparer ce bol de petit-déjeuner au ragi et aux flocons d'avoine, prenez une casserole et ouvrez le feu. Dans cette casserole, ajoutez 1 cuillère à soupe de farine de ragi, 2 cuillères à soupe de flocons d'avoine instantanés, 80 ml d'eau, 120 ml de lait et le miel, puis mélangez bien. Laissez cuire jusqu'à ce que le mélange épaississe. Comptez 2 à 3 minutes. Une fois épaissi, coupez le feu et laissez refroidir. Pour préparer le petit-déjeuner, cassez le biscuit au ragi en morceaux et mettez-le dans un petit bocal. Ajoutez le mélange d'avoine. Garnissez de banane et d'amandes et de pistaches. Servez. Accompagnez ce bol de petit-déjeuner d'un œuf au plat et de pain grillé.</t>
  </si>
  <si>
    <t>http://www.archanaskitchen.com/crunchy-ragi-and-oats-breakfast-bowl-recipe-in-hindi</t>
  </si>
  <si>
    <t>Vegan Chocolate Fudgesicles Recipe</t>
  </si>
  <si>
    <t>Veganes Schokoladen-Fudgesicles-Rezept</t>
  </si>
  <si>
    <t>Recette de fudgesicles au chocolat végétaliens</t>
  </si>
  <si>
    <t>Receta de paletas de chocolate veganas</t>
  </si>
  <si>
    <t>1 tasse de Kabuli Chana (pois chiches blancs) - trempés toute la nuit et cuits, 1/4 tasse de beurre de cacahuète - ou de beurre d'amande, 2 tasses de lait de soja, 2 cuillères à café d'extrait de vanille, 1/3 tasse de sirop de dattes, 1/4 tasse de cacao en poudre, 1-1/2 bananes mûres - bien mûres, sel - une pincée</t>
  </si>
  <si>
    <t>1 cup Kabuli Chana (White Chickpeas) - soaked overnight and cooked,1/4 cup Peanut Butter - or almond butter,2 cups Soy milk,2 teaspoons Vanilla Extract,1/3 cup Date syrup,1/4 cup Cocoa Powder,1-1/2 Ripe Bananas - fully ripe,Salt - a pinch</t>
  </si>
  <si>
    <t>1 taza de Kabuli Chana (garbanzos blancos) - remojados durante la noche y cocidos, 1/4 taza de mantequilla de maní - o mantequilla de almendras, 2 tazas de leche de soja, 2 cucharaditas de extracto de vainilla, 1/3 taza de jarabe de dátiles, 1/4 taza de cacao en polvo, 1-1/2 plátanos maduros - completamente maduros, sal - una pizca</t>
  </si>
  <si>
    <t xml:space="preserve">To begin making the Vegan Chocolate Fudgesicles recipe, soak the chickpeas in enough water overnight or for 6 hours. Pressure cook the chickpeas until soft, drain and cool completely. Remove the skin from the chickpeas, this will give a creamy texture to the fudgesicles as well as remove any chickpea flavour if any.Add the chickpeas and the remaining ingredients - peanut butter, soy milk, vanilla extract, date syrup, cocoa powder, banana and salt into a food processor or a blender and blend until creamy and smooth. You can also add in some thick coconut milk or almond milk to give the popsicle a more creamier texture. Fill into popsicle molds and freeze them for at least 4 hours or overnight.Thaw on the counter for 3 to 4 minutes, unmold and enjoy.Serve Vegan Chocolate Fudgesicles as a healthy dessert after your meal of Creamy Mushroom Risotto on a weekday.
</t>
  </si>
  <si>
    <t>Para empezar a preparar la receta de Fudgesicles de Chocolate Veganos, remoja los garbanzos en suficiente agua durante la noche o durante 6 horas. Cocina a presión los garbanzos hasta que estén blandos, escúrrelos y déjalos enfriar por completo. Retira la piel de los garbanzos; esto les dará una textura cremosa y eliminará el sabor a garbanzo, si lo hubiera. Agrega los garbanzos y el resto de los ingredientes (mantequilla de cacahuete, leche de soja, extracto de vainilla, jarabe de dátiles, cacao en polvo, plátano y sal) a un procesador de alimentos o una licuadora y mezcla hasta obtener una mezcla cremosa y suave. También puedes agregar un poco de leche de coco espesa o leche de almendras para darle a la paleta una textura más cremosa. Rellena los moldes para paletas y congélalos durante al menos 4 horas o toda la noche. Descongélalos en la encimera durante 3 o 4 minutos, desmolda y disfruta. Sirve los Fudgesicles de Chocolate Veganos como un postre saludable después de tu comida de Risotto Cremoso de Champiñones entre semana.</t>
  </si>
  <si>
    <t>Pour commencer à préparer la recette de fudgesicles au chocolat végétaliens, faites tremper les pois chiches dans suffisamment d'eau pendant une nuit ou 6 heures. Faites cuire les pois chiches sous pression jusqu'à ce qu'ils soient tendres, égouttez-les et laissez-les refroidir complètement. Retirez la peau des pois chiches, cela donnera une texture crémeuse aux fudgesicles et éliminera tout goût de pois chiche. Ajoutez les pois chiches et le reste des ingrédients (beurre de cacahuète, lait de soja, extrait de vanille, sirop de dattes, cacao en poudre, banane et sel) dans un robot culinaire ou un mixeur et mixez jusqu'à obtenir une consistance crémeuse et lisse. Vous pouvez également ajouter du lait de coco épais ou du lait d'amande pour donner à la glace une texture plus onctueuse. Remplissez des moules à glaces et congelez-les pendant au moins 4 heures ou toute la nuit. Décongelez sur le comptoir pendant 3 à 4 minutes, démoulez et dégustez. Servez les fudgesicles au chocolat végétaliens comme dessert sain après votre repas de risotto crémeux aux champignons en semaine.</t>
  </si>
  <si>
    <t>https://www.archanaskitchen.com/vegan-chocolate-fudgesicles-recipe</t>
  </si>
  <si>
    <t>Potato And Paneer Reuben Sandwich Recipe</t>
  </si>
  <si>
    <t>Rezept für ein Reuben-Sandwich mit Kartoffeln und Paneer</t>
  </si>
  <si>
    <t>Recette de sandwich Reuben aux pommes de terre et au paneer</t>
  </si>
  <si>
    <t>Receta de sándwich Reuben de patata y paneer</t>
  </si>
  <si>
    <t>1/4 tasse de vinaigrette au miel et à la moutarde, 2 cuillères à soupe de ketchup, 2 cuillères à café de jus de citron, 1/2 tasse de paneer (fromage cottage fait maison) - râpé, 1/4 tasse d'oignon - râpé, 2 cuillères à soupe d'huile d'olive extra vierge, 2 tasses de pommes de terre rissolées - râpées, 8 tranches de pain de seigle, beurre - selon les besoins, 8 fromages suisses - tranches fines, 450 grammes de choucroute - chou croustillant ou râpé mariné pendant 8 heures, sel - au goût</t>
  </si>
  <si>
    <t>1/4 cup Honey Mustard Dressing,2 tablespoon Tomato Ketchup,2 teaspoon Lemon juice,1/2 cup Paneer (Homemade Cottage Cheese) - grated,1/4 cup Onion - grated,2 tablespoon Extra Virgin Olive Oil,2 cup Hash Browns - shredded,8 Rye Bread - slices,Butter - as required,8 Swiss cheese - thin slices,450 grams Sauerkraut - crisp or shredded cabbage pickled for 8 hours,Salt - to taste</t>
  </si>
  <si>
    <t>1/4 taza de aderezo de mostaza y miel, 2 cucharadas de ketchup de tomate, 2 cucharaditas de jugo de limón, 1/2 taza de paneer (queso cottage casero) rallado, 1/4 taza de cebolla rallada, 2 cucharadas de aceite de oliva virgen extra, 2 tazas de papas hash brown ralladas, 8 rebanadas de pan de centeno, mantequilla (según se requiera), 8 rebanadas finas de queso suizo, 450 gramos de chucrut (repollo crujiente o rallado encurtido durante 8 horas), sal al gusto</t>
  </si>
  <si>
    <t xml:space="preserve">To make the Potato And Paneer Reuben Sandwich, first mix the honey mustard dressing, lemon juice, tomato ketchup and chopped onion in a small bowl and keep aside.In another medium bowl, combine the hash brown, grated paneer, salt and stir well. Divide the mixture to form four patties. If the mix feels like it is not holding shape, form rough patties, they retain shape once cooked, so do not fret.Heat a skillet with some oil and add shallow fry the hash brown paneer patties, turning them on either side until crispy and golden brown.Meanwhile arrange the slices of bread on a board. Butter each slice with a little butter and arrange cheese slices, followed by some sauerkraut on 4 of the slices.Place the cooked hash brown paneer patties on top of the sauerkraut. Cover the patties with the remaining 4 slices of bread cheese and butter side down, and press down gently.Warm a skillet to medium and arrange the sandwiches on the skillet. Press down with a plate, and place a weight on top to hold the sandwiches down.This will help the cheese melt. Cook on medium until the sandwich is golden brown. Turn over and repeat till it is golden on both sides.Serve the Potato And Paneer Reuben Sandwich with a Herbed Potato Salad or this healthy Pear &amp; Alfa Alfa Spouts Salad or Wholesome Lentil Salad to make a completely delicious and nutritious meal.
</t>
  </si>
  <si>
    <t>Para preparar el sándwich Reuben de papa y paneer, mezcle el aderezo de mostaza y miel, el jugo de limón, la salsa de tomate y la cebolla picada en un tazón pequeño y reserve. En otro tazón mediano, combine la papa hash brown, el paneer rallado, la sal y revuelva bien. Divida la mezcla para formar cuatro hamburguesas. Si siente que la mezcla pierde su forma, forme hamburguesas gruesas; conservan su forma una vez cocidas, así que no se preocupe. Caliente una sartén con un poco de aceite y fría las hamburguesas de paneer hash brown, dándoles la vuelta hasta que estén crujientes y doradas. Mientras tanto, coloque las rebanadas de pan en una tabla. Unte cada rebanada con un poco de mantequilla y coloque las rebanadas de queso, seguidas de un poco de chucrut sobre cuatro de ellas. Coloque las hamburguesas de paneer hash brown cocidas sobre el chucrut. Cubra las hamburguesas con las cuatro rebanadas de pan restantes, con el queso y la mantequilla hacia abajo, y presione suavemente. Caliente una sartén a fuego medio y coloque los sándwiches sobre ella. Presiona con un plato y coloca un peso encima para sujetar los sándwiches. Esto ayudará a que el queso se derrita. Cocina a fuego medio hasta que el sándwich esté dorado. Voltéalo y repite el proceso hasta que esté dorado por ambos lados. Sirve el sándwich Reuben de papa y paneer con una ensalada de papa con hierbas, esta saludable ensalada de pera y albahaca o una ensalada de lentejas para preparar una comida deliciosa y nutritiva.</t>
  </si>
  <si>
    <t>Pour préparer le sandwich Reuben aux pommes de terre et au paneer, mélangez d'abord la vinaigrette miel-moutarde, le jus de citron, le ketchup et l'oignon haché dans un petit bol et réservez. Dans un autre bol moyen, mélangez la galette de pommes de terre, le paneer râpé et le sel, puis mélangez bien. Divisez le mélange en quatre galettes. Si le mélange ne tient pas, formez des galettes grossières ; elles conservent leur forme une fois cuites. Ne vous inquiétez pas. Faites chauffer une poêle avec un peu d'huile et faites frire les galettes de pommes de terre et de paneer en les retournant de chaque côté jusqu'à ce qu'elles soient croustillantes et dorées. Pendant ce temps, disposez les tranches de pain sur une planche. Beurrez légèrement chaque tranche et disposez des tranches de fromage, puis de la choucroute sur quatre d'entre elles. Placez les galettes de pommes de terre et de paneer cuites sur la choucroute. Recouvrez-les des quatre tranches de pain restantes, côté fromage et beurre vers le bas, et appuyez légèrement. Faites chauffer une poêle à feu moyen et disposez les sandwichs dessus. Appuyez avec une assiette et placez un poids dessus pour maintenir les sandwichs. Cela aidera le fromage à fondre. Faites cuire à feu moyen jusqu'à ce que le sandwich soit doré. Retournez et répétez l'opération jusqu'à ce qu'il soit doré des deux côtés. Servez le sandwich Reuben aux pommes de terre et au paneer avec une salade de pommes de terre aux herbes, une salade saine aux poires et aux choux de Bruxelles ou une salade de lentilles saine pour un repas délicieux et nutritif.</t>
  </si>
  <si>
    <t>http://www.archanaskitchen.com/potato-and-paneer-reuben-sandwich-recipe</t>
  </si>
  <si>
    <t>Eggless Spiced Carrot Olive Cake Recipe</t>
  </si>
  <si>
    <t>Rezept für gewürzten Karotten-Oliven-Kuchen ohne Eier</t>
  </si>
  <si>
    <t>Recette de gâteau aux carottes et aux olives épicé sans œufs</t>
  </si>
  <si>
    <t>Receta de pastel de zanahoria y aceitunas picante sin huevo</t>
  </si>
  <si>
    <t>2 tasses de farine tout usage (Maida), 1 cuillère à café de bâton de cannelle (Dalchini) - moulu, 1/2 cuillère à café de sel, 2 cuillères à café de levure chimique, 3/4 tasse de cassonade (sucre Demerara), 1/2 tasse d'huile d'olive extra vierge, 1 tasse de carottes (Gajjar) - râpées, 1/2 tasse de noix - hachées, 1/2 tasse de caillé (Dahi / Yaourt), 2 cuillères à soupe de poudre de graines de lin (farine de lin), 6 cuillères à soupe d'eau glacée, 1/2 tasse de sucre glace, 2 cuillères à café d'eau</t>
  </si>
  <si>
    <t>2 cups All Purpose Flour (Maida),1 teaspoon Cinnamon Stick (Dalchini) - ground,1/2 teaspoon Salt,2 teaspoons Baking powder,3/4 cup Brown Sugar (Demerara Sugar),1/2 cup Extra Virgin Olive Oil,1 cup Carrots (Gajjar) - grated,1/2 cup Walnuts - chopped,1/2 cup Curd (Dahi / Yogurt),2 tablespoons Flax seed powder (flax meal),6 tablespoons Chilled water,1/2 cup Icing Sugar,2 teaspoons Water</t>
  </si>
  <si>
    <t>2 tazas de harina para todo uso (Maida), 1 cucharadita de rama de canela (Dalchini) - molida, 1/2 cucharadita de sal, 2 cucharaditas de polvo para hornear, 3/4 taza de azúcar morena (azúcar Demerara), 1/2 taza de aceite de oliva virgen extra, 1 taza de zanahorias (Gajjar) - ralladas, 1/2 taza de nueces - picadas, 1/2 taza de cuajada (Dahi / yogur), 2 cucharadas de polvo de semilla de lino (harina de lino), 6 cucharadas de agua fría, 1/2 taza de azúcar glas, 2 cucharaditas de agua</t>
  </si>
  <si>
    <t xml:space="preserve">To begin making the Carrot Cake Recipe, first preheat oven 180 C. Grease and flour a 9 inch spring foam pan or a bread loaf pan or a bundt pan. Keep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Sift the flour, baking powder, salt, cinnamon and keep aside.In a large bowl or the bowl of the stand mixer; beat together the oil, sugar and eggs (flaxmeal egg replacer) until light and fluffy. Gradually add in the flour mixture and the carrots and beat until well combined.Fold in the walnuts and spoon the batter into the prepared cake pan and place it to bake in the preheated oven. Bake for about 35 to 40 minutes or until when a tester inserted in the center of the cake comes out clean.Once the cake is baked, remove from the oven.You can serve the Spiced Carrot Cake as it is or along with a glaze or cream cheese topping.Method for the Quick GlazeIn a small bowl, mix 1/2 cup confectioners sugar and 1 to 2 tsp water until smooth but thick glaze forms(too thin will be absorbed by the cake). Place a piece of waxed paper under cooling rack for easy cleanup. Spoon glaze back and forth over the cake forming a zig zag pattern. Keep the cake on the cooking rack until glaze is set about 15-20 minutes.Or you can optionally whisk some cream cheese along with icing sugar and spread it over the carrot cake.Serve the Spiced Carrot Olive Cake Recipe as a Tea Time Recipe </t>
  </si>
  <si>
    <t>Para comenzar a hacer la Receta de Pastel de Zanahoria, primero precaliente el horno a 180 C. Engrase y enharine un molde de espuma de resorte de 9 pulgadas o un molde para pan o un molde bundt. Déjelo a un lado. Para hacer el sustituto de huevo de harina de lino Si su receta pide 2 huevos, mida 2 cucharadas de harina de lino junto con 6 cucharadas de agua. Revuelva bien y deje reposar la mezcla durante unos 15 minutos. Este proceso de reposo ayuda a que la mezcla de harina de lino desarrolle una consistencia gelatinosa similar a los huevos. Para hacer la masa Tamice la harina, el polvo para hornear, la sal, la canela y reserve. En un tazón grande o en el tazón de la batidora de pedestal; bata el aceite, el azúcar y los huevos (sustituto de huevo de harina de lino) hasta que esté ligero y esponjoso. Agregue gradualmente la mezcla de harina y las zanahorias y bata hasta que estén bien combinados. Incorpore las nueces y vierta la masa en el molde para pastel preparado y colóquelo para hornear en el horno precalentado. Hornee durante unos 35 a 40 minutos o hasta que al insertar un palillo en el centro del pastel, éste salga limpio. Una vez horneado el pastel, sáquelo del horno. Puede servir el pastel de zanahoria especiado tal cual o con glaseado o cobertura de queso crema. Método para el glaseado rápido En un tazón pequeño, mezcle 1/2 taza de azúcar glas y 1 o 2 cucharaditas de agua hasta que se forme un glaseado suave pero espeso (si es demasiado líquido, el pastel lo absorberá). Coloque un trozo de papel encerado debajo de una rejilla para enfriar para facilitar la limpieza. Vierta el glaseado de un lado a otro sobre el pastel formando un zigzag. Mantenga el pastel en la rejilla para hornear hasta que el glaseado esté listo, unos 15-20 minutos. O bien, puede batir opcionalmente un poco de queso crema junto con azúcar glas y esparcirlo sobre el pastel de zanahoria. Sirva la receta de pastel de zanahoria y aceitunas especiadas como una receta para la hora del té</t>
  </si>
  <si>
    <t>Pour commencer à préparer la recette du gâteau aux carottes, préchauffez d'abord le four à 180 °C. Graissez et farinez un moule à charnière de 9 pouces ou un moule à pain ou un moule à bundt. Réservez. Pour préparer le substitut d'œuf à la farine de lin Si votre recette demande 2 œufs, mesurez 2 cuillères à soupe de farine de lin avec 6 cuillères à soupe d'eau. Remuez bien et laissez reposer le mélange pendant environ 15 minutes. Ce processus de repos aide le mélange de farine de lin à développer une consistance gélatineuse semblable à celle des œufs. Pour préparer la pâte Tamisez la farine, la levure chimique, le sel, la cannelle et réservez. Dans un grand bol ou le bol du batteur sur socle, battez ensemble l'huile, le sucre et les œufs (substitut d'œuf à la farine de lin) jusqu'à consistance légère et mousseuse. Ajoutez graduellement le mélange de farine et les carottes et battez jusqu'à ce que le tout soit bien mélangé. Incorporez les noix et versez la pâte dans le moule à gâteau préparé et placez-le à cuire dans le four préchauffé. Cuire au four pendant environ 35 à 40 minutes ou jusqu'à ce qu'un cure-dent inséré au centre du gâteau en ressorte propre. Une fois le gâteau cuit, retirer du four. Vous pouvez servir le gâteau aux carottes épicé tel quel ou accompagné d'un glaçage ou d'une garniture au fromage à la crème. Méthode pour le glaçage rapide Dans un petit bol, mélanger 1/2 tasse de sucre glace et 1 à 2 cuillères à café d'eau jusqu'à obtenir un glaçage lisse mais épais (une couche trop fine sera absorbée par le gâteau). Placer un morceau de papier ciré sous la grille de refroidissement pour un nettoyage facile. Verser le glaçage d'avant en arrière sur le gâteau en formant un motif en zigzag. Laisser le gâteau sur la grille de cuisson jusqu'à ce que le glaçage soit pris, environ 15 à 20 minutes. Vous pouvez également fouetter du fromage à la crème avec du sucre glace et l'étaler sur le gâteau aux carottes. Servir la recette du gâteau aux carottes épicé et aux olives comme recette pour l'heure du thé</t>
  </si>
  <si>
    <t>http://www.archanaskitchen.com/spiced-carrot-olive-cake-recipe-with-eggless-egg-free-option</t>
  </si>
  <si>
    <t>Whole Wheat Stuffed Breadsticks Recipe</t>
  </si>
  <si>
    <t>Rezept für gefüllte Vollkornbrotstangen</t>
  </si>
  <si>
    <t>Recette de gressins complets fourrés</t>
  </si>
  <si>
    <t>Receta de palitos de pan integral rellenos</t>
  </si>
  <si>
    <t>2 tasses de farine de blé entier, 1 cuillère à café de levure sèche active, 1 cuillère à café de sucre, 1 cuillère à café de sel, 1 cuillère à soupe d'huile d'olive extra vierge, 1 poivron vert (Capsicum) - finement haché, 2 carottes (Gajjar) - finement hachées, 1/2 tasse de mozzarella - râpée, 1 cuillère à café de flocons de piment rouge, 1 cuillère à café d'origan séché, 1 cuillère à café de feuilles de thym séchées</t>
  </si>
  <si>
    <t>2 cups Whole Wheat Flour,1 teaspoon Active dry yeast,1 teaspoon Sugar,1 teaspoon Salt,1 tablespoon Extra Virgin Olive Oil,1 Green Bell Pepper (Capsicum) - finely chopped,2 Carrots (Gajjar) - finely chopped,1/2 cup Mozzarella cheese - grated,1 teaspoon Red Chilli flakes,1 teaspoon Dried oregano,1 teaspoon Dried Thyme Leaves</t>
  </si>
  <si>
    <t>2 tazas de harina integral, 1 cucharadita de levadura seca activa, 1 cucharadita de azúcar, 1 cucharadita de sal, 1 cucharada de aceite de oliva virgen extra, 1 pimiento verde (Capsicum) - finamente picado, 2 zanahorias (Gajjar) - finamente picadas, 1/2 taza de queso mozzarella - rallado, 1 cucharadita de hojuelas de chile rojo, 1 cucharadita de orégano seco, 1 cucharadita de hojas de tomillo secas</t>
  </si>
  <si>
    <t xml:space="preserve">To begin making the Whole Wheat Stuffed Bread Sticks Recipe, first we will make the dough and set it to rise.In a large mixing bowl, add the yeast, flour, salt, sugar and mix well. Add little water at a time and combine to make a smooth dough.Add the oil over  the whole wheat flour bread dough and knead for another 5 minutes, until soft and smooth. Cover the bread dough and set aside for a couple of hours to rise.While the dough is rising, prepare the filling. Heat oil in a heavy bottomed pan; add the capsicum and carrots, sprinkle some salt and roast the vegetables until cooked through. Once done, stir in the italian herbs, chili flakes and keep aside.After a couple of hours once the dough has risen, smash it dough and knead for a few seconds. Preheat the oven at 180 C.Dust the working surface with flour and roll the dough into an oval shape. Spread the roasted vegetable mixture and the mozzarella cheese on one half of the bread. Fold the other half over the seal the edges of the bread by pinching it.Make slits on the top of the bread, such that there is a gap and you can cut them into sticks at these slits once baked. Brush the whole wheat stuffed bread with oil on the top.Place the whole wheat stuffed bread over a greased baking sheet and bake in the oven for 25 to 35 minutes until golden brown and crisp.Once the stuffed bread is done, remove from them oven and allow it to rest for a couple of minutes before serving. Cut the breads into sticks and serve.Serve the Whole Wheat Stuffed Bread Sticks along with a Creamy Radish Soup Recipe With Sweet Potato and Asian Watermelon Salad Recipe to make a complete meal for dinner or a party.
</t>
  </si>
  <si>
    <t>Para comenzar a hacer la Receta de Palitos de Pan Rellenos de Trigo Integral, primero haremos la masa y la dejaremos levar. En un tazón grande, agregue la levadura, la harina, la sal, el azúcar y mezcle bien. Agregue un poco de agua a la vez y combine para hacer una masa suave. Agregue el aceite sobre la masa de pan de harina de trigo integral y amase durante otros 5 minutos, hasta que esté suave y tersa. Cubra la masa de pan y déjela reposar durante un par de horas para que suba. Mientras la masa sube, prepare el relleno. Caliente el aceite en una sartén de fondo grueso; agregue el pimiento y las zanahorias, espolvoree un poco de sal y ase las verduras hasta que estén cocidas. Una vez hecho esto, agregue las hierbas italianas, las hojuelas de chile y reserve. Después de un par de horas, una vez que la masa haya subido, aplástela y amásela durante unos segundos. Precaliente el horno a 180 C. Espolvoree la superficie de trabajo con harina y enrolle la masa en forma ovalada. Extienda la mezcla de verduras asadas y el queso mozzarella en una mitad del pan. Dobla la otra mitad sobre el sello de los bordes del pan pellizcándola. Haz cortes en la parte superior del pan, de modo que haya un espacio y puedas cortarlos en palitos en estos cortes una vez horneados. Pincela el pan integral relleno con aceite en la parte superior. Coloca el pan integral relleno sobre una bandeja para hornear engrasada y hornea en el horno durante 25 a 35 minutos hasta que esté dorado y crujiente. Una vez que el pan relleno esté listo, retíralo del horno y déjalo reposar un par de minutos antes de servir. Corta los panes en palitos y sirve. Sirve los palitos de pan integral rellenos junto con una receta de sopa cremosa de rábano con batata y una receta de ensalada asiática de sandía para hacer una comida completa para la cena o una fiesta.</t>
  </si>
  <si>
    <t>Pour commencer à préparer la recette des bâtonnets de pain farcis au blé entier, nous allons d'abord préparer la pâte et la laisser lever. Dans un grand bol, ajoutez la levure, la farine, le sel, le sucre et mélangez bien. Ajoutez un peu d'eau à la fois et mélangez pour obtenir une pâte lisse. Ajoutez l'huile sur la pâte à pain à la farine de blé entier et pétrissez pendant encore 5 minutes, jusqu'à ce qu'elle soit douce et lisse. Couvrez la pâte à pain et laissez-la lever pendant quelques heures. Pendant que la pâte lève, préparez la garniture. Faites chauffer l'huile dans une poêle à fond épais ; ajoutez les poivrons et les carottes, saupoudrez de sel et faites rôtir les légumes jusqu'à ce qu'ils soient bien cuits. Une fois terminé, incorporez les herbes italiennes, les flocons de piment et réservez. Après quelques heures, une fois la pâte levée, écrasez-la et pétrissez pendant quelques secondes. Préchauffez le four à 180 °C. Saupoudrez le plan de travail de farine et roulez la pâte en forme ovale. Étalez le mélange de légumes rôtis et le fromage mozzarella sur une moitié du pain. Pliez l'autre moitié sur les bords du pain en le pinçant. Faites des fentes sur le dessus du pain, de manière à laisser un espace et à pouvoir les couper en bâtonnets une fois cuits. Badigeonnez le pain de blé entier farci d'huile sur le dessus. Placez le pain de blé entier farci sur une plaque à pâtisserie graissée et faites cuire au four pendant 25 à 35 minutes jusqu'à ce qu'il soit doré et croustillant. Une fois le pain farci cuit, retirez-le du four et laissez-le reposer quelques minutes avant de servir. Coupez les pains en bâtonnets et servez. Servez les bâtonnets de pain farcis au blé entier avec une recette de soupe crémeuse au radis avec patate douce et une salade asiatique de pastèque pour préparer un repas complet pour le dîner ou une fête.</t>
  </si>
  <si>
    <t>http://www.archanaskitchen.com/whole-wheat-stuffed-bread-sticks-recipe</t>
  </si>
  <si>
    <t>Pull Apart Bread With Basil Pesto Recipe</t>
  </si>
  <si>
    <t>Pull-Apart-Brot mit Basilikum-Pesto-Rezept</t>
  </si>
  <si>
    <t>Recette de pain à effilocher au pesto de basilic</t>
  </si>
  <si>
    <t>Receta de pan desmenuzado con pesto de albahaca</t>
  </si>
  <si>
    <t>1 tasse de farine de blé entier, 1/2 tasse de flocons d'avoine instantanés (gruau), 2 cuillères à soupe d'huile d'olive extra vierge, 2 cuillères à soupe de levure sèche active, 1 cuillère à soupe de sucre, sel - au goût, 1 cuillère à soupe de miel, 2 cuillères à soupe de lait, 1 tasse de pesto au basilic maison</t>
  </si>
  <si>
    <t>1 cup Whole Wheat Flour,1/2 cup Instant Oats (Oatmeal),2 tablespoon Extra Virgin Olive Oil,2 tablespoon Active dry yeast,1 tablespoon Sugar,Salt - to taste,1 tablespoon Honey,2 tablespoon Milk,1 cup Homemade Basil Pesto</t>
  </si>
  <si>
    <t>1 taza de harina integral, 1/2 taza de avena instantánea (avena), 2 cucharadas de aceite de oliva virgen extra, 2 cucharadas de levadura seca activa, 1 cucharada de azúcar, sal - al gusto, 1 cucharada de miel, 2 cucharadas de leche, 1 taza de pesto de albahaca casero</t>
  </si>
  <si>
    <t xml:space="preserve">To begin making the Pull Apart Bread with Basil Pesto Recipe we will first bloom the yeast. To bloom the yeast, add the yeast and sugar into a small bowl and then add 1/2 cup of lukewarm water to it and allow it to rest for about 10 minutes. In the meanwhile add the wheat flour, oats flour. Once the yeast mixture becomes frothy add it into the flour mixture and knead to make a firm dough. Knead the dough on a kitchen table or countertop. Use the pull and fold motion to knead the dough till the dough becomes supple. Shape the dough into a ball. Cover the bowl and allow the dough to proof till it doubles in size.This will take about 30 minutes. Once done knock the dough and knead again for few seconds and shape to form a small loaf. Grease a tray with oil, and place these shaped dough about an inch apart. Brush it with milk and honey or egg. Rest again for about 10 minutes and bake it in the oven for about 45 minutes in a preheated oven at 180 degree celsius till the bread is golden in colour. Once done remove the bread and using a serrated knife make about 1 inch diagonal cuts across the bread. Then make diagonal cuts in the opposite direction as well to get criss cross cuts for the pesto filling. Now fill the bread with the pesto filling and flash bake the bread for 5 minutes at 200 degree celsius. Once done remove from the oven and serve warm.Serve the Pull Apart Bread with Basil Pesto Recipe along with Roasted Eggplant &amp; Olive Lasagna for a Sunday Lunch.
</t>
  </si>
  <si>
    <t>Para comenzar a hacer la receta de pan desmenuzado con pesto de albahaca, primero haremos florecer la levadura. Para florecer la levadura, agregue la levadura y el azúcar en un tazón pequeño y luego agregue 1/2 taza de agua tibia y déjela reposar durante unos 10 minutos. Mientras tanto, agregue la harina de trigo y la harina de avena. Una vez que la mezcla de levadura esté espumosa, agréguela a la mezcla de harina y amase para hacer una masa firme. Amase la masa en una mesa de cocina o encimera. Use el movimiento de tirar y doblar para amasar la masa hasta que se vuelva flexible. Forme la masa en una bola. Cubra el tazón y deje que la masa leude hasta que doble su tamaño. Esto tomará unos 30 minutos. Una vez hecho esto, golpee la masa y amásela nuevamente durante unos segundos y dé forma para formar un pan pequeño. Engrase una bandeja con aceite y coloque estas masas formadas a una pulgada de distancia. Pincélelas con leche y miel o huevo. Deja reposar de nuevo unos 10 minutos y hornéalo durante unos 45 minutos en un horno precalentado a 180 grados centígrados hasta que el pan esté dorado. Una vez hecho, retira el pan y, con un cuchillo de sierra, haz cortes diagonales de aproximadamente 2,5 cm en el pan. Luego, haz cortes diagonales en la dirección opuesta también para obtener cortes entrecruzados para el relleno de pesto. Ahora rellena el pan con el relleno de pesto y hornéalo rápidamente durante 5 minutos a 200 grados centígrados. Una vez hecho, retira del horno y sirve caliente. Sirve la receta de pan desmenuzado con pesto de albahaca junto con lasaña de berenjenas asadas y aceitunas para un almuerzo de domingo.</t>
  </si>
  <si>
    <t>Pour commencer à préparer la recette de pain à déchirer au pesto de basilic, nous allons d'abord faire lever la levure. Pour faire lever la levure, ajoutez la levure et le sucre dans un petit bol, puis ajoutez 1/2 tasse d'eau tiède et laissez reposer environ 10 minutes. Pendant ce temps, ajoutez la farine de blé et la farine d'avoine. Une fois que le mélange de levure devient mousseux, ajoutez-le au mélange de farine et pétrissez pour obtenir une pâte ferme. Pétrissez la pâte sur une table de cuisine ou un comptoir. Utilisez le mouvement de traction et de pliage pour pétrir la pâte jusqu'à ce qu'elle devienne souple. Façonnez la pâte en boule. Couvrez le bol et laissez la pâte lever jusqu'à ce qu'elle double de volume. Cela prendra environ 30 minutes. Une fois terminé, frappez la pâte et pétrissez à nouveau pendant quelques secondes et façonnez-la pour former un petit pain. Graissez un plateau avec de l'huile et placez ces pâtes façonnées à environ un pouce de distance. Badigeonnez-les de lait et de miel ou d'œuf. Laissez reposer à nouveau pendant environ 10 minutes et faites cuire au four pendant environ 45 minutes dans un four préchauffé à 180 degrés Celsius jusqu'à ce que le pain soit doré. Une fois terminé, retirez le pain et, à l'aide d'un couteau dentelé, faites des coupes diagonales d'environ 2,5 cm sur le pain. Ensuite, faites également des coupes diagonales dans la direction opposée pour obtenir des coupes croisées pour la garniture au pesto. Remplissez maintenant le pain avec la garniture au pesto et faites cuire le pain pendant 5 minutes à 200 degrés Celsius. Une fois terminé, retirez du four et servez chaud. Servez la recette de pain à déchirer au pesto de basilic avec des lasagnes aux aubergines rôties et aux olives pour un déjeuner du dimanche.</t>
  </si>
  <si>
    <t>https://www.archanaskitchen.com/pull-apart-bread-with-basil-pesto-recipe</t>
  </si>
  <si>
    <t>Cheese Balls With Capsicum Recipe</t>
  </si>
  <si>
    <t>Rezept für Käsebällchen mit Paprika</t>
  </si>
  <si>
    <t>Recette de boulettes de fromage aux poivrons</t>
  </si>
  <si>
    <t>Receta de bolitas de queso y pimienta</t>
  </si>
  <si>
    <t>1 pomme de terre (Aloo) - bouillie, 1/2 tasse de fromage - (de préférence de la mozzarella), 1/2 poivron vert (Capsicum), 1/4 cuillère à café de pâte d'ail et de gingembre, 1 cuillère à café d'origan séché, 3/4 cuillère à café de flocons de piment rouge, poudre de poivre noir - au goût, 1 cuillère à soupe de farine de maïs, 2 cuillères à soupe de farine tout usage (Maida), 1-1/2 cuillère à soupe d'eau, 1 tasse de chapelure de blé entier - (vous pouvez également utiliser de la chapelure fraîche)</t>
  </si>
  <si>
    <t>1 Potato (Aloo) - boiled,1/2 cup Cheese - (preferably mozzarella),1/2 Green Bell Pepper (Capsicum),1/4 teaspoon Ginger Garlic Paste,1 teaspoon Dried oregano,3/4 teaspoon Red Chilli flakes,Black pepper powder - to taste,1 tablespoon Corn flour,2 tablespoon All Purpose Flour (Maida),1-1/2 tablespoon Water,1 cup Whole Wheat Bread crumbs - (you can use fresh bread crumbs too)</t>
  </si>
  <si>
    <t>1 papa (Aloo) - hervida, 1/2 taza de queso - (preferiblemente mozzarella), 1/2 pimiento verde (Capsicum), 1/4 cucharadita de pasta de ajo y jengibre, 1 cucharadita de orégano seco, 3/4 cucharadita de hojuelas de chile rojo, pimienta negra en polvo - al gusto, 1 cucharada de harina de maíz, 2 cucharadas de harina para todo uso (Maida), 1-1/2 cucharada de agua, 1 taza de pan rallado integral - (también puedes usar pan rallado fresco)</t>
  </si>
  <si>
    <t xml:space="preserve">To begin making the Cheese Balls With Capsicum Recipe, prep all the ingredients including boiling the potatoes and mashing them.In a bowl, add the grated cheese, boiled and mashed potato, green capsicum, coriander leaves, red chili flakes, crushed oregano, little pepper, garlic paste, cornflour and salt and mix everything well.Apply little oil on your palms and start making little balls from the mixture.In a bowl, add the all-purpose flour and water and mix  till you get a pouring consistency batter. in a large plate or flat bowl put some plain flour and bread Crumbs.Roll the cheese balls in the plain flour, dip them in the plain flour batter and then roll them in the bread crumbs.Deep fry cheese balls with capsicum in batches in a kadai, till they turn golden brown and well-cooked from within.Serve Cheese Balls With Capsicum Recipe with Tomato sauce or dips like Tzatziki or low fat vegetable dip with herbs for a great appetizer recipe.
</t>
  </si>
  <si>
    <t>Para comenzar a hacer la receta de bolitas de queso con pimiento, prepare todos los ingredientes, incluso hervir las papas y hacerlas puré. En un tazón, agregue el queso rallado, la papa hervida y hecha puré, el pimiento verde, las hojas de cilantro, las hojuelas de chile rojo, el orégano triturado, un poco de pimienta, pasta de ajo, harina de maíz y sal y mezcle todo bien. Aplique un poco de aceite en las palmas y comience a hacer pequeñas bolitas con la mezcla. En un tazón, agregue la harina para todo uso y el agua y mezcle hasta obtener una masa de consistencia vertible. En un plato grande o tazón plano, ponga un poco de harina común y pan rallado. Reboce las bolas de queso en la harina común, sumérjalas en la masa de harina común y luego rebócelas en el pan rallado. Fría las bolas de queso con pimiento en tandas en un kadai, hasta que se doren y estén bien cocidas por dentro. Sirva la receta de bolas de queso con pimiento con salsa de tomate o salsas como tzatziki o salsa de verduras baja en grasa con hierbas para una excelente receta de aperitivo.</t>
  </si>
  <si>
    <t>Pour commencer à préparer la recette de boules de fromage au poivron, préparez tous les ingrédients, y compris la cuisson des pommes de terre et leur écrasement. Dans un bol, ajoutez le fromage râpé, les pommes de terre bouillies et écrasées, le poivron vert, les feuilles de coriandre, les flocons de piment rouge, l'origan écrasé, un peu de poivre, la pâte d'ail, la fécule de maïs et le sel et mélangez bien le tout. Appliquez un peu d'huile sur vos paumes et commencez à faire de petites boules à partir du mélange. Dans un bol, ajoutez la farine tout usage et l'eau et mélangez jusqu'à obtenir une pâte à consistance liquide. Dans une grande assiette ou un bol plat, mettez de la farine nature et de la chapelure. Roulez les boules de fromage dans la farine nature, trempez-les dans la pâte à farine nature, puis roulez-les dans la chapelure. Faites frire les boules de fromage avec du poivron par lots dans un kadai, jusqu'à ce qu'elles deviennent dorées et bien cuites de l'intérieur. Servez la recette des boules de fromage avec du poivron avec de la sauce tomate ou des trempettes comme du tzatziki ou une trempette de légumes faible en gras aux herbes pour une excellente recette d'apéritif.</t>
  </si>
  <si>
    <t>https://www.archanaskitchen.com/cheese-balls-with-capsicum-recipe</t>
  </si>
  <si>
    <t>Tomato Tarts Recipe</t>
  </si>
  <si>
    <t>Rezept für Tomatentörtchen</t>
  </si>
  <si>
    <t>Recette de tartelettes aux tomates</t>
  </si>
  <si>
    <t>Receta de tartaleta de tomate</t>
  </si>
  <si>
    <t>400 grammes de farine tout usage (Maida), 1 cuillère à café de farine tout usage (Maida) - pour saupoudrer, 200 grammes de beurre salé - coupé en cubes et refroidi, 1 1/2 cuillère à café de poudre de paprika, 1/2 tasse d'eau glacée - (vous n'en aurez peut-être pas besoin de toute), 4 tomates cerises - ou tomates anciennes, 1/3 tasse de fromage de chèvre, 1/2 cuillère à café de feuilles de thym séchées - (facultatif), 1/4 tasse de feuilles de moutarde - (facultatif)</t>
  </si>
  <si>
    <t>400 grams All Purpose Flour (Maida),1 teaspoon All Purpose Flour (Maida) - for dusting,200 grams Salted butter - cut into cubes and chilled,1 1/2 teaspoon Paprika powder,1/2 cup Chilled water - (you may not require all of it),4 Cherry tomatoes - or Heirloom TOmatoes,1/3 cup Goat Cheese,1/2 teaspoon Dried Thyme Leaves - (optional),1/4 cup Mustard greens - (optional)</t>
  </si>
  <si>
    <t>400 gramos de harina para todo uso (Maida), 1 cucharadita de harina para todo uso (Maida) - para espolvorear, 200 gramos de mantequilla salada - cortada en cubos y fría, 1 1/2 cucharadita de pimentón en polvo, 1/2 taza de agua fría - (es posible que no necesite toda), 4 tomates cherry - o tomates Heirloom, 1/3 taza de queso de cabra, 1/2 cucharadita de hojas de tomillo secas - (opcional), 1/4 taza de hojas de mostaza - (opcional)</t>
  </si>
  <si>
    <t xml:space="preserve">To begin making the Tomato Tarts recipe, mix the flour and paprika. Add the chilled butter, using your fingertips rub it into the flour till it resembles coarse bread crumbs.Add water, a couple of tablespoons at a time, just until the dough comes together to form a ball (you can also use a food processor for this, I prefer to do it by hand).Don’t knead the dough too much; just work it till it holds together.Flatten the pastry into a disk; wrap in cling film and stick it in the fridge to chill for 30 minutes (more if the dough has not firmed up).To check if the dough is ready, press it lightly with your fingertips, it should leave an imprint but shouldn’t sink into the dough easily.Take the pastry out of the fridge and on a lightly floured surface knead just a little to bring it together.Roll out the dough on a lightly floured surface roughly 3 mm thickness.Carefully lift the rolled out pastry and gently press it into the bottom and up the sides of the tart tin.Trim the edges and patch any cracks with the remaining dough. Place the crust in the fridge to chill for 15 minutes.This dough will easily make two 8 inch tarts; I used moulds with a removable bottom.Preheat the oven to 200C. Using a fork, prick all over the bottom of the crust, then place baking paper on top of the crust and fill it with baking weights or beans or rice (to prevent the crust from rising).Bake in the oven for 15 minutes. Take it out of the oven and remove the baking paper and beans.Thinly slice the tomatoes (cherry tomatoes and grape tomatoes can be added whole).Arrange the slices in the tart shells sprinkle the thyme and add crumbled goat cheese.Bake again for 10 to 15 minutes till the tomatoes have softened. Top with mustard greens and serve.Serve Tomato Tarts along with Smoked Tofu and Grilled Vegetable Salad for a delicious weekend lunch or dinner.
</t>
  </si>
  <si>
    <t>Para empezar a preparar la receta de las Tartas de Tomate, mezcla la harina y el pimentón. Agrega la mantequilla fría y, con las yemas de los dedos, frótala con la harina hasta que parezca pan rallado grueso. Agrega agua, un par de cucharadas a la vez, hasta que la masa se integre y forme una bola (también puedes usar un procesador de alimentos; yo prefiero hacerlo a mano). No amases demasiado la masa; simplemente trabaja hasta que se mantenga unida. Aplana la masa hasta formar un disco. Envuélvela en film transparente y guárdala en el refrigerador para que se enfríe durante 30 minutos (más si la masa no ha cogido firmeza). Para comprobar si la masa está lista, presiónala ligeramente con las yemas de los dedos; debe dejar una huella, pero no debe hundirse fácilmente en la masa. Saca la masa del refrigerador y, sobre una superficie ligeramente enharinada, amásala un poco para unirla. Extiende la masa sobre una superficie ligeramente enharinada hasta que tenga un grosor de aproximadamente 3 mm. Levanta con cuidado la masa extendida y presiónala suavemente contra el fondo y los lados del molde para tarta. Recorta los bordes y tapa las grietas con la masa restante. Coloca la corteza en el refrigerador para que se enfríe durante 15 minutos. Con esta masa saldrán fácilmente dos tartas de 20 cm; yo usé moldes con fondo desmontable. Precalienta el horno a 200 °C. Con un tenedor, pincha la base de la masa, coloca papel de horno encima y rellénala con pesas, frijoles o arroz (para evitar que suba). Hornea durante 15 minutos. Retírala del horno, retira el papel y los frijoles. Corta los tomates en rodajas finas (puedes añadir tomates cherry y tomates cherry enteros). Coloca las rodajas en las bases de las tartaletas, espolvorea con tomillo y añade queso de cabra desmenuzado. Hornea de nuevo de 10 a 15 minutos hasta que los tomates se ablanden. Cubre con hojas de mostaza y sirve. Sirve las tartas de tomate con tofu ahumado y ensalada de verduras a la parrilla para una deliciosa comida o cena de fin de semana.</t>
  </si>
  <si>
    <t>Pour commencer la recette des tartelettes à la tomate, mélangez la farine et le paprika. Ajoutez le beurre froid et incorporez-le du bout des doigts jusqu'à obtenir une consistance de chapelure grossière. Ajoutez de l'eau, quelques cuillères à soupe à la fois, jusqu'à ce que la pâte forme une boule (vous pouvez aussi utiliser un robot culinaire, je préfère le faire à la main). Ne pétrissez pas trop la pâte ; travaillez-la simplement jusqu'à ce qu'elle se tienne. Aplatissez la pâte en un disque ; Enveloppez-la dans du film alimentaire et placez-la au réfrigérateur pendant 30 minutes (plus si la pâte n'est pas ferme). Pour vérifier si la pâte est prête, appuyez légèrement dessus du bout des doigts ; elle doit laisser une empreinte mais ne doit pas s'enfoncer facilement dans la pâte. Sortez la pâte du réfrigérateur et, sur un plan de travail légèrement fariné, pétrissez-la légèrement pour la rassembler. Étalez la pâte sur un plan de travail légèrement fariné sur une épaisseur d'environ 3 mm. Soulevez délicatement la pâte étalée et appuyez doucement dessus pour la faire pénétrer dans le fond et sur les côtés du moule à tarte. Coupez les bords et colmatez les fissures avec le reste de pâte. Placez la croûte au réfrigérateur pendant 15 minutes. Cette pâte permet de réaliser facilement deux tartelettes de 20 cm ; j'ai utilisé des moules à fond amovible. Préchauffez le four à 200 °C. À l'aide d'une fourchette, piquez le fond de tarte, puis recouvrez-le de papier sulfurisé et garnissez-le de poids de cuisson, de haricots ou de riz (pour éviter que la croûte ne lève). Faites cuire au four pendant 15 minutes. Retirez le papier sulfurisé et les haricots. Coupez les tomates en fines tranches (vous pouvez ajouter des tomates cerises et des tomates raisins entières). Disposez les tranches dans les fonds de tarte, parsemez de thym et ajoutez du fromage de chèvre émietté. Faites cuire à nouveau pendant 10 à 15 minutes, jusqu'à ce que les tomates soient tendres. Garnissez de feuilles de moutarde et servez. Servez les tartelettes à la tomate avec du tofu fumé et une salade de légumes grillés pour un délicieux déjeuner ou dîner de week-end.</t>
  </si>
  <si>
    <t>http://www.archanaskitchen.com/tomato-tarts-recipe</t>
  </si>
  <si>
    <t>Eggless Saffron Laced Almond Cookies Recipe</t>
  </si>
  <si>
    <t>Rezept für Mandelkekse mit Safran ohne Ei</t>
  </si>
  <si>
    <t>Recette de biscuits aux amandes et au safran sans œufs</t>
  </si>
  <si>
    <t>Receta de galletas de almendras y azafrán sin huevo</t>
  </si>
  <si>
    <t>1/2 tasse de beurre (non salé) - ramolli, 1/2 tasse de sucre en poudre - en poudre, 1 tasse de farine tout usage (Maida), 1/4 cuillère à café de poudre de cardamome (Elaichi), 1/4 tasse de poudre d'amande (poudre de Badam), quelques brins de safran, 1/4 cuillère à café de sel, Badam (amande) - quelques</t>
  </si>
  <si>
    <t>1/2 cup Butter (unsalted) - softened,1/2 cup Caster Sugar - powdered,1 cup All Purpose Flour (Maida),1/4 teaspoon Cardamom Powder (Elaichi),1/4 cup Almond Meal (Badam Powder),Saffron strands - few,1/4 teaspoon Salt,Badam (Almond) - few</t>
  </si>
  <si>
    <t>1/2 taza de mantequilla (sin sal) - ablandada, 1/2 taza de azúcar extrafino - en polvo, 1 taza de harina para todo uso (Maida), 1/4 cucharadita de cardamomo en polvo (Elaichi), 1/4 taza de harina de almendras (Badam en polvo), hebras de azafrán - pocas, 1/4 cucharadita de sal, Badam (almendra) - pocas</t>
  </si>
  <si>
    <t xml:space="preserve">To begin making the Eggless Saffron Laced Almond Cookies recipe, soak the saffron in warm milk and keep aside for about 30 minutes.In a mixing bowl, using a whisk or spoon, mix the maida, salt and badam powder.In another bowl, beat the softened butter with a beater or by hand till softened.Add the sugar to the softened butter and beat well to a light and fluffy mixture. Add half of the flour mixture and mix gently.Pour in the rest of the flour and saffron in milk and mix gently to a soft dough.If the dough is sticky, add a tablespoon or more of flour and if it is dry, add a few teaspoons of milk to make a soft dough that does not stick to your hands.Wrap the dough in plastic wrap and refrigerate for about 15 minutes (optional, but helps in preventing the cookie from spreading too much).Meanwhile, preheat the oven to 350 degrees Fahrenheit or 180 degrees Centigrade.Grease a large baking pan with butter or oil or line with parchment paper.Take the dough out of the refrigerator and make small 1-inch balls and place them fairly apart on the baking sheet.Press half of a badam or almond on top of some and chopped badam in the rest. (While baking one batch of cookies, place the rest of the dough, covered in the refrigerator).Repeat with the rest of the dough.Bake in preheated oven for about 20 to 22 minutes till edges are slightly brown.Remove from oven and leave on baking pan to cool slightly. At this stage, the cookies will be soft.After about a minute or two, gently remove the cookies from the pan and place on wire rack to cool completely.Once cool, store in airtight box and enjoy these crispy and saffron laced almond butter cookies.Eggless Saffron Laced Almond Cookies goes great with coffee or masala tea and perfect to share with family and friends at a tea party with Grilled Rajma Masala Sandwich and Coconut &amp; Ricotta Dip with Banana Chips.
</t>
  </si>
  <si>
    <t>Para comenzar a hacer la receta de galletas de almendras con azafrán sin huevo, remoje el azafrán en leche tibia y déjelo reposar durante unos 30 minutos. En un tazón, usando un batidor o una cuchara, mezcle la maida, la sal y el polvo de badam. En otro tazón, bata la mantequilla ablandada con un batidor o con la mano hasta que se ablande. Agregue el azúcar a la mantequilla ablandada y bata bien hasta obtener una mezcla ligera y esponjosa. Añade la mitad de la mezcla de harina y mezcla suavemente. Vierte el resto de la harina y el azafrán en la leche y mezcla suavemente hasta formar una masa suave. Si la masa está pegajosa, agrega una cucharada o más de harina y si está seca, agrega unas cucharaditas de leche para hacer una masa suave que no se pegue a tus manos. Envuelve la masa en film transparente y refrigera por unos 15 minutos (opcional, pero ayuda a evitar que la galleta se extienda demasiado). Mientras tanto, precalienta el horno a 350 grados Fahrenheit o 180 grados centígrados. Engrasa un molde para hornear grande con mantequilla o aceite o cúbrelo con papel pergamino. Saca la masa del refrigerador y haz pequeñas bolas de 1 pulgada y colócalas bastante separadas en la bandeja para hornear. Presiona la mitad de un badam o almendra encima de algunas y badam picado en el resto. (Mientras hornea una tanda de galletas, coloque el resto de la masa, cubierta, en el refrigerador). Repita con el resto de la masa. Hornee en horno precalentado durante unos 20 a 22 minutos hasta que los bordes estén ligeramente dorados. Retire del horno y deje enfriar un poco en la bandeja para hornear. En esta etapa, las galletas estarán suaves. Después de aproximadamente un minuto o dos, retire con cuidado las galletas de la bandeja y colóquelas en una rejilla para que se enfríen por completo. Una vez frías, guárdelas en una caja hermética y disfrute de estas crujientes galletas de mantequilla de almendras con azafrán. Las galletas de almendras con azafrán sin huevo combinan muy bien con café o té masala y son perfectas para compartir con familiares y amigos en una fiesta de té con el sándwich Rajma Masala a la parrilla y la salsa de coco y ricotta con chips de plátano.</t>
  </si>
  <si>
    <t>Pour commencer à préparer la recette de biscuits aux amandes et au safran sans œufs, faites tremper le safran dans du lait chaud et réservez pendant environ 30 minutes. Dans un bol, à l'aide d'un fouet ou d'une cuillère, mélangez la maida, le sel et la poudre de badam. Dans un autre bol, battez le beurre ramolli avec un batteur ou à la main jusqu'à ce qu'il soit ramolli. Ajoutez le sucre au beurre ramolli et battez bien jusqu'à obtenir un mélange léger et mousseux. Ajoutez la moitié du mélange de farine et mélangez délicatement.Versez le reste de la farine et du safran dans le lait et mélangez délicatement pour obtenir une pâte molle.Si la pâte est collante, ajoutez une cuillère à soupe ou plus de farine et si elle est sèche, ajoutez quelques cuillères à café de lait pour obtenir une pâte molle qui ne colle pas aux mains.Enveloppez la pâte dans une pellicule plastique et réfrigérez pendant environ 15 minutes (facultatif, mais aide à empêcher le biscuit de trop s'étaler).Pendant ce temps, préchauffez le four à 350 degrés Fahrenheit ou 180 degrés Celsius.Graissez un grand plat de cuisson avec du beurre ou de l'huile ou tapissez-le de papier sulfurisé.Sortez la pâte du réfrigérateur et faites de petites boules de 1 pouce et placez-les assez espacées sur la plaque à pâtisserie.Appuyez sur la moitié d'un badam ou d'une amande sur un peu de badam haché dans le reste. (Pendant la cuisson d'une fournée de biscuits, placez le reste de la pâte, couvert, au réfrigérateur). Répétez l'opération avec le reste de la pâte. Faites cuire au four préchauffé pendant environ 20 à 22 minutes jusqu'à ce que les bords soient légèrement dorés. Retirez du four et laissez refroidir légèrement sur la plaque de cuisson. À ce stade, les biscuits seront mous. Après environ une minute ou deux, retirez délicatement les biscuits du moule et placez-les sur une grille pour qu'ils refroidissent complètement. Une fois refroidis, conservez-les dans une boîte hermétique et savourez ces biscuits croustillants au beurre d'amande et au safran. Les biscuits aux amandes et au safran sans œufs se marient parfaitement avec du café ou du thé masala et sont parfaits à partager en famille et entre amis lors d'un goûter avec un sandwich Rajma Masala grillé et une trempette à la noix de coco et à la ricotta avec des chips de banane.</t>
  </si>
  <si>
    <t>https://www.archanaskitchen.com/eggless-saffron-laced-almond-cookies-recipe</t>
  </si>
  <si>
    <t>Broccoli Paneer Mayo Sandwich Recipe</t>
  </si>
  <si>
    <t>Rezept für ein Sandwich mit Brokkoli, Paneer und Mayonnaise</t>
  </si>
  <si>
    <t>Recette de sandwich au brocoli, paneer et mayonnaise</t>
  </si>
  <si>
    <t>Receta de sándwich de brócoli, paneer y mayonesa</t>
  </si>
  <si>
    <t>4 pains complets bruns, 1 tasse de brocoli finement haché, 100 grammes de paneer (fromage cottage fait maison) finement haché, 3 cuillères à soupe de mayonnaise sans œufs, 4 gousses d'ail finement hachées, 1 cuillère à soupe de sauce chili rouge, sel au goût, 2 cuillères à soupe de beurre, huile de tournesol pour la cuisson</t>
  </si>
  <si>
    <t>4 Whole Wheat Brown Bread,1 cup Broccoli - finely minced,100 grams Paneer (Homemade Cottage Cheese) - finely chopped,3 tablespoons Eggless Mayonnaise,4 cloves Garlic - finely chopped,1 tablespoon Red Chilli sauce,Salt - to taste,2 tablespoons Butter,Sunflower Oil - for cooking</t>
  </si>
  <si>
    <t>4 panes integrales, 1 taza de brócoli finamente picado, 100 gramos de paneer (requesón casero) finamente picado, 3 cucharadas de mayonesa sin huevo, 4 dientes de ajo finamente picados, 1 cucharada de salsa de chile rojo, sal al gusto, 2 cucharadas de mantequilla, aceite de girasol para cocinar</t>
  </si>
  <si>
    <t xml:space="preserve">To begin making the Broccoli Paneer Mayo Sandwich Recipe, we will heat oil in a saucepan, add garlic, broccoli and saute till they become soft.Make sure that you do not over cook the broccoli as broccoli cooks fast and loses its nutrition if overcooked. Turn off the heat and allow the broccoli to cool a bit.To the cooked broccoli, add crumbled paneer, egg less Mayo, chilli sauce and saute until the ingredients are combined well. Apply butter on either side of the slice of bread and add the Broccoli Paneer Mayo stuffing on one of the slice and cover it with the other slice.Toast the Broccoli Paneer Mayo Sandwich in a sandwich maker or on a skillet until golden brown and crisp on both sides.Serve Broccoli Paneer Mayo Sandwich Recipe along with a Banana Almond &amp; Prunes Smoothie Recipe for a wholesome breakfast.  
</t>
  </si>
  <si>
    <t>Para empezar a preparar la receta del sándwich de brócoli, paneer y mayonesa, calentaremos aceite en una cacerola, añadiremos ajo, brócoli y saltearemos hasta que estén blandos. Asegúrate de no cocinar demasiado el brócoli, ya que se cocina rápido y pierde sus nutrientes si se cocina demasiado. Apaga el fuego y deja que el brócoli se enfríe un poco. Al brócoli cocido, añade paneer desmenuzado, mayonesa sin huevo, salsa de chile y saltea hasta que los ingredientes estén bien combinados. Unta mantequilla en ambos lados de la rebanada de pan y agrega el relleno de brócoli, paneer y mayonesa en una de las rebanadas y cúbrela con la otra rebanada. Tuesta el sándwich de brócoli, paneer y mayonesa en una sandwichera o en una sartén hasta que esté dorado y crujiente por ambos lados. Sirve la receta del sándwich de brócoli, paneer y mayonesa junto con una receta de batido de plátano, almendras y ciruelas pasas para un desayuno saludable.</t>
  </si>
  <si>
    <t>Pour préparer le sandwich au brocoli, paneer et mayonnaise, faites chauffer l'huile dans une casserole, ajoutez l'ail et le brocoli et faites-les revenir jusqu'à ce qu'ils soient tendres. Veillez à ne pas trop cuire le brocoli, car il cuit vite et perd ses nutriments. Éteignez le feu et laissez-le refroidir légèrement. Ajoutez ensuite le paneer émietté, la mayonnaise sans œufs et la sauce chili au brocoli cuit, puis faites revenir jusqu'à ce que les ingrédients soient bien mélangés. Beurrez chaque côté de la tranche de pain, puis recouvrez-en une tranche avec la farce au brocoli, paneer et mayonnaise, puis recouvrez-la avec l'autre tranche. Faites griller le sandwich au brocoli, paneer et mayonnaise dans un appareil à sandwich ou à la poêle jusqu'à ce qu'il soit doré et croustillant des deux côtés. Servez ce sandwich accompagné d'un smoothie banane, amandes et pruneaux pour un petit-déjeuner sain.</t>
  </si>
  <si>
    <t>https://www.archanaskitchen.com/broccoli-paneer-mayo-sandwich-recipe</t>
  </si>
  <si>
    <t>Maple Roasted Cinnamon Spiced Latte Recipe</t>
  </si>
  <si>
    <t>Rezept für Latte mit geröstetem Zimt und Ahornsirup</t>
  </si>
  <si>
    <t>Recette de latte à la cannelle grillée et au sirop d'érable</t>
  </si>
  <si>
    <t>Receta de café con leche con canela tostada y jarabe de arce</t>
  </si>
  <si>
    <t>2 cuillères à soupe d'avoine instantanée (gruau), 1/2 cuillère à soupe de poudre de café instantané - Bru Gold instantané, 1 cuillère à soupe de sirop d'érable, 1/2 cuillère à café d'extrait de vanille, 1/4 cuillère à café de poudre de cannelle (Dalchini), 2 dattes - dénoyautées et hachées grossièrement, 3/4 tasse de lait, 6-8 glaçons</t>
  </si>
  <si>
    <t>2 tablespoons Instant Oats (Oatmeal),1/2 tablespoon Instant Coffee Powder - instant Bru Gold,1 tablespoon Maple syrup,1/2 teaspoon Vanilla Extract,1/4 teaspoon Cinnamon Powder (Dalchini),2 Dates - pitted and coarsely chopped,3/4 cup Milk,6-8 Ice cubes</t>
  </si>
  <si>
    <t>2 cucharadas de avena instantánea, 1/2 cucharada de café instantáneo en polvo (Bru Gold), 1 cucharada de jarabe de arce, 1/2 cucharadita de extracto de vainilla, 1/4 cucharadita de canela en polvo (dalchini), 2 dátiles sin hueso y picados en trozos grandes, 3/4 taza de leche, 6-8 cubitos de hielo</t>
  </si>
  <si>
    <t xml:space="preserve">To begin making the Maple Roasted Cinnamon Spiced Latte Recipe first get all the ingredients handy and ready.Add all the ingredients into the blender (mixer grinder) jar and blend to make a smooth latte. Allow the latte to froth in the blender jar.Pour the latte into tall mason jars or a tall glass and serve.Serve the Maple Roasted Cinnamon Spiced Latte as a delicious drink along with your favorite coffee cake as your evening tea time dessert.
</t>
  </si>
  <si>
    <t>Para empezar a preparar la receta de Latte con Especias, Canela y Arce, primero ten todos los ingredientes a mano. Agrega todos los ingredientes al vaso de la licuadora (licuadora o molinillo) y mezcla hasta obtener un latte suave. Deja que el latte forme espuma en el vaso de la licuadora. Vierte el latte en frascos de vidrio altos o en un vaso alto y sirve. Sirve el Latte con Especias, Canela y Arce como una deliciosa bebida junto con tu pastel de café favorito como postre para la hora del té.</t>
  </si>
  <si>
    <t>Pour commencer à préparer la recette de latte épicé à la cannelle rôtie à l'érable, préparez d'abord tous les ingrédients. Ajoutez tous les ingrédients dans le bol du mixeur (mélangeur-broyeur) et mixez pour obtenir un latte onctueux. Laissez le latte mousser dans le bol du mixeur. Versez le latte dans de grands pots Mason ou un grand verre et servez. Servez le latte épicé à la cannelle rôtie à l'érable comme une délicieuse boisson, accompagnée de votre gâteau au café préféré, comme dessert du soir.</t>
  </si>
  <si>
    <t>https://www.archanaskitchen.com/maple-roasted-cinnamon-spiced-latte-recipe</t>
  </si>
  <si>
    <t>Homemade Low Fat Strawberry Frozen Yogurt Recipe</t>
  </si>
  <si>
    <t>Rezept für selbstgemachten, fettarmen Erdbeer-Frozen-Joghurt</t>
  </si>
  <si>
    <t>Recette de yaourt glacé à la fraise maison faible en gras</t>
  </si>
  <si>
    <t>Receta casera de yogur helado de fresa bajo en grasa</t>
  </si>
  <si>
    <t>750 grammes de fraises, 500 grammes de yaourt grec (faible en matières grasses), 1/2 tasse de miel, quelques brins de feuilles de basilic</t>
  </si>
  <si>
    <t>750 grams Strawberries,500 grams Hung Curd (Greek Yogurt) - (low fat),1/2 cup Honey,Basil leaves - few sprigs</t>
  </si>
  <si>
    <t>750 gramos de fresas, 500 gramos de yogur griego (bajo en grasa), 1/2 taza de miel, hojas de albahaca (algunas ramitas)</t>
  </si>
  <si>
    <t xml:space="preserve">To begin making the Homemade Low Fat Strawberry Frozen Yogurt Recipe, remove the stem of the berries. Blend the strawberries along with the honey and basil into the blender to a smooth puree. You can optionally have chunks in the strawberry as well. Into a large bowl, add the pureed strawberries and the hung curd (greek yogurt). Using a whisk fold the yogurt into the strawberries until just about combined. Our next step is to freeze the strawberry yogurt mixture. To do that, line a loaf tin with parchment paper. Pour the mixture into the lined tin.Cover the loaf tin with a cling film and freeze the Strawberry Yogurt mixture overnight or until solid. Freezing the yogurt can take anywhere between 12 to 18 hours.Once the yogurt is frozen, place the Strawberry Frozen Yogurt outside at room temperature for about 5 to 10 minutes to thaw a bit and then scoop it out using an ice cream scoop and serve along with fresh strawberries and mint. 
</t>
  </si>
  <si>
    <t>Para empezar a preparar la receta casera de yogur helado de fresa bajo en grasa, retira el tallo de las bayas. Licúa las fresas junto con la miel y la albahaca en la licuadora hasta obtener un puré suave. Opcionalmente, puedes añadir trozos de fresa. En un tazón grande, agrega el puré de fresas y el yogur griego. Con un batidor, mezcla el yogur con las fresas hasta que estén casi combinados. Nuestro siguiente paso es congelar la mezcla de yogur de fresa. Para ello, forra un molde para pan con papel vegetal. Vierte la mezcla en el molde forrado. Cubre el molde con film transparente y congela la mezcla de yogur de fresa durante la noche o hasta que esté sólida. Congelar el yogur puede tardar entre 12 y 18 horas. Una vez congelado el yogur, coloca el yogur helado de fresa afuera a temperatura ambiente durante unos 5 a 10 minutos para que se descongele un poco y luego sácalo con una cuchara para helado y sírvelo junto con fresas frescas y menta.</t>
  </si>
  <si>
    <t>Pour commencer la recette de yaourt glacé aux fraises maison allégé, retirez la queue des fraises. Mixez les fraises avec le miel et le basilic au blender jusqu'à obtenir une purée lisse. Vous pouvez également ajouter des morceaux de fraises. Dans un grand bol, ajoutez la purée de fraises et le yaourt grec (hung curd). À l'aide d'un fouet, incorporez le yaourt aux fraises jusqu'à ce que le tout soit bien mélangé. L'étape suivante consiste à congeler le mélange de yaourt aux fraises. Pour ce faire, chemisez un moule à cake de papier sulfurisé. Versez le mélange dans le moule chemisé. Couvrez le moule à cake d'un film alimentaire et congelez le mélange de yaourt aux fraises toute la nuit ou jusqu'à ce qu'il soit solide. La congélation du yaourt peut prendre entre 12 et 18 heures. Une fois le yaourt congelé, placez le yaourt glacé aux fraises à l'extérieur à température ambiante pendant 5 à 10 minutes pour le décongeler légèrement, puis démoulez-le à l'aide d'une cuillère à glace et servez-le accompagné de fraises fraîches et de menthe.</t>
  </si>
  <si>
    <t>https://www.archanaskitchen.com/homemade-low-fat-strawberry-frozen-yogurt-recipe</t>
  </si>
  <si>
    <t>Buttered Broccoli Poriyal Sabzi Recipe - Finger Food For Babies And Toddlers</t>
  </si>
  <si>
    <t>Rezept für Poriyal Sabzi mit Butterbrokkoli – Fingerfood für Babys und Kleinkinder</t>
  </si>
  <si>
    <t>Recette de Poriyal Sabzi au brocoli au beurre – Amuse-gueules pour bébés et tout-petits</t>
  </si>
  <si>
    <t>Receta de Poriyal Sabzi de Brócoli con Mantequilla: Aperitivos para Bebés y Niños Pequeños</t>
  </si>
  <si>
    <t>10 brocolis - coupés en fleurons, 1 cuillère à café de beurre, 2 gousses d'ail - hachées</t>
  </si>
  <si>
    <t>10 Broccoli - cut into florets,1 teaspoon Butter,2 cloves Garlic - minced</t>
  </si>
  <si>
    <t>10 brócolis (cortados en floretes), 1 cucharadita de mantequilla, 2 dientes de ajo picados</t>
  </si>
  <si>
    <t xml:space="preserve">To begin making Buttered Broccoli Poriyal Sabzi, we need to first steam the Broccoli floretsFirstly make sure to wash the broccoli thoroughly as there might be particles of mud or worms in between the florets.Add the broccoli florets into a pressure cooker along with 2 tablespoons of water and a pinch of salt.Allow to pressure cook for 1 whistle. Turn off the flame and run the pressure cooker under water to release the pressure immediately. Take out the steamed broccoli florets and keep aside. If you are cooking on the stove, add the broccoli florets to a pot of water (enough to cover all the florets). Allow the florets to boil in the water for 5 minutes. The broccoli should have sufficiently cooked. Make sure to not over cook broccoli as it might lose the nutrition when over cooked. In a heavy bottomed pan, add 1 teaspoon of butter and allow it to melt. Once the butter has melted add the minced garlic. Saute for a few minutes until the flavour of garlic incorporates in the butter. Add in the steamed broccoli and give it a good stir so that the butter has coated well on to the florets. Turn off the flame and place it in a serving dish for your baby/toddler.Serve this Broccoli Poriyal as a side dish along with Curd Rice or Paruppu Sadam for a complete and wholesome meal .You can even serve this Broccoli dish as a finger food to your babies/ toddlers over the age of 10 months. 
</t>
  </si>
  <si>
    <t>Para comenzar a hacer Poriyal Sabzi de brócoli con mantequilla, primero debemos cocinar al vapor los floretes de brócoli. Primero, asegúrese de lavar bien el brócoli, ya que puede haber partículas de barro o gusanos entre los floretes. Agregue los floretes de brócoli a una olla a presión junto con 2 cucharadas de agua y una pizca de sal. Deje cocinar a presión durante 1 silbato. Apague el fuego y pase la olla a presión bajo el agua para liberar la presión inmediatamente. Saque los floretes de brócoli al vapor y déjelos a un lado. Si está cocinando en la estufa, agregue los floretes de brócoli a una olla con agua (suficiente para cubrir todos los floretes). Deje que los floretes hiervan en el agua durante 5 minutos. El brócoli debe estar lo suficientemente cocido. Asegúrese de no cocinar demasiado el brócoli, ya que podría perder sus nutrientes si se cocina demasiado. En una sartén de fondo grueso, agregue 1 cucharadita de mantequilla y deje que se derrita. Una vez que la mantequilla se haya derretido, agregue el ajo picado. Saltee durante unos minutos hasta que el sabor del ajo se integre en la mantequilla. Agregue el brócoli al vapor y revuelva bien para que la mantequilla cubra bien los ramilletes. Apague el fuego y colóquelo en una fuente para servir a su bebé/niño pequeño. Sirva este Poriyal de brócoli como guarnición junto con Arroz con cuajada o Paruppu Sadam para una comida completa y saludable. Incluso puede servir este plato de brócoli como un bocadillo para sus bebés/niños pequeños mayores de 10 meses.</t>
  </si>
  <si>
    <t>Pour commencer à préparer du Poriyal Sabzi au brocoli au beurre, nous devons d'abord cuire les fleurons de brocoli à la vapeur. Tout d'abord, assurez-vous de bien laver le brocoli car il peut y avoir des particules de boue ou des vers entre les fleurons. Ajoutez les fleurons de brocoli dans un autocuiseur avec 2 cuillères à soupe d'eau et une pincée de sel. Laissez cuire sous pression pendant 1 sifflet. Éteignez le feu et passez l'autocuiseur sous l'eau pour relâcher la pression immédiatement. Retirez les fleurons de brocoli cuits à la vapeur et réservez. Si vous cuisinez sur la cuisinière, ajoutez les fleurons de brocoli dans une casserole d'eau (suffisamment pour couvrir tous les fleurons). Laissez les fleurons bouillir dans l'eau pendant 5 minutes. Le brocoli doit être suffisamment cuit. Assurez-vous de ne pas trop cuire le brocoli car il pourrait perdre ses nutriments s'il est trop cuit. Dans une casserole à fond épais, ajoutez 1 cuillère à café de beurre et laissez-le fondre. Une fois le beurre fondu, ajoutez l'ail émincé. Faites revenir quelques minutes jusqu'à ce que la saveur de l'ail s'incorpore au beurre. Ajoutez le brocoli cuit à la vapeur et remuez bien pour que le beurre enrobe bien les fleurons. Éteignez le feu et placez-le dans un plat de service pour votre bébé/tout-petit. Servez ce Poriyal au brocoli en accompagnement avec du riz au lait caillé ou du Paruppu Sadam pour un repas complet et sain. Vous pouvez même servir ce plat de brocoli en amuse-gueule à vos bébés/tout-petits de plus de 10 mois.</t>
  </si>
  <si>
    <t>https://www.archanaskitchen.com/buttered-broccoli-poriyal-or-sabzi-recipe-for-babies-and-toddlers-over-10-months</t>
  </si>
  <si>
    <t>Herb &amp; Cheese Mushroom Omelette Recipe</t>
  </si>
  <si>
    <t>Rezept für Omelett mit Pilzen und Kräutern</t>
  </si>
  <si>
    <t>Recette d'omelette aux champignons et aux herbes</t>
  </si>
  <si>
    <t>Receta de tortilla de champiñones y hierbas</t>
  </si>
  <si>
    <t>1 cuillère à soupe de beurre, 6 à 8 champignons de Paris émincés, 1 gousse d'ail hachée, 2 cuillères à soupe d'oignons nouveaux (bulbes et feuilles) hachés, 2 à 3 brins de persil hachés, 1 cuillère à soupe de parmesan râpé, sel et poivre au goût, 5 œufs entiers, 2 cuillères à soupe de lait, 2 cuillères à soupe d'huile d'olive extra vierge, sel et poivre au goût</t>
  </si>
  <si>
    <t>1 tablespoon Butter,6 - 8 Button mushrooms - sliced,1 clove Garlic - minced,2 tablespoon Spring Onion (Bulb &amp; Greens) - chopped,2 - 3 sprig Parsley leaves - chopped,1 tablespoon Parmesan cheese - grated,Salt and Pepper - to taste,5 Whole Eggs,2 tablespoon Milk,2 tablespoon Extra Virgin Olive Oil,Salt and Pepper - to taste</t>
  </si>
  <si>
    <t>1 cucharada de mantequilla, 6-8 champiñones rebanados, 1 diente de ajo picado, 2 cucharadas de cebolleta (bulbo y hojas verdes) picadas, 2-3 ramitas de hojas de perejil picadas, 1 cucharada de queso parmesano rallado, sal y pimienta al gusto, 5 huevos enteros, 2 cucharadas de leche, 2 cucharadas de aceite de oliva virgen extra, sal y pimienta al gusto</t>
  </si>
  <si>
    <t xml:space="preserve">To start making Herb &amp; Cheese Mushroom Omelette, heat a cast iron skillet over medium heat. Add butter and once butter is melted add garlic and onions. Sauté for a minute or so but no need to brown the onion and garlic.Add the sliced mushrooms along with salt and pepper to taste. Cook mushrooms till tender and the excess liquid in the skillet is evaporated.Remove from heat and chopped parsley along with cheese. Stir to combine. Set aside while you prepare the omelette. Take a bowl and whisk the egg, milk, salt and pepper. Whisk until egg whites and yolks are well blended.Heat a cast iron pan over medium heat and add a teaspoon of olive oil.Pour half of the prepared egg mixture.Spread it out evenly using a spatula. When the eggs mixture looks stable from top and not runny, fill in half of the prepared mushroom filling on one side.Close the other half over and let the omelette cook for few seconds. Transfer the Mushroom Omelette to the serving plate. Prepare the remaining mushroom omelettes using the similar way.Serve Herb &amp; Cheese Mushroom Omelette with a glass of Chickoo Banana Date Smoothie for the power packed healthy breakfast.
</t>
  </si>
  <si>
    <t>Para empezar a hacer la tortilla de champiñones con hierbas y queso, calienta una sartén de hierro fundido a fuego medio. Agrega la mantequilla y una vez que se haya derretido agrega el ajo y la cebolla. Saltea durante un minuto más o menos, pero no es necesario dorar la cebolla y el ajo. Agrega los champiñones rebanados junto con sal y pimienta al gusto. Cocina los champiñones hasta que estén tiernos y el exceso de líquido en la sartén se haya evaporado. Retira del fuego y agrega el perejil picado junto con el queso. Revuelve para combinar. Reserva mientras preparas la tortilla. Toma un tazón y bate el huevo, la leche, la sal y la pimienta. Bate hasta que las claras y las yemas de huevo estén bien mezcladas. Calienta una sartén de hierro fundido a fuego medio y agrega una cucharadita de aceite de oliva. Vierte la mitad de la mezcla de huevo preparada. Extiéndela uniformemente con una espátula. Cuando la mezcla de huevos se vea estable desde arriba y no líquida, rellena con la mitad del relleno de champiñones preparado en un lado. Cierra la otra mitad y deja que la tortilla se cocine durante unos segundos. Transfiere la tortilla de champiñones al plato para servir. Prepara las tortillas de champiñones restantes de forma similar. Sirve la tortilla de champiñones con hierbas y queso con un vaso de batido de plátano y dátiles Chickoo para un desayuno saludable y energético.</t>
  </si>
  <si>
    <t>Pour commencer à préparer une omelette aux champignons aux herbes et au fromage, faites chauffer une poêle en fonte à feu moyen. Ajoutez le beurre et une fois le beurre fondu, ajoutez l'ail et les oignons. Faites sauter pendant une minute environ, mais pas besoin de faire dorer l'oignon et l'ail. Ajoutez les champignons émincés avec du sel et du poivre au goût. Faites cuire les champignons jusqu'à ce qu'ils soient tendres et que l'excès de liquide dans la poêle soit évaporé. Retirez du feu et ajoutez le persil haché avec le fromage. Remuez pour mélanger. Réservez pendant que vous préparez l'omelette. Prenez un bol et fouettez l'œuf, le lait, le sel et le poivre. Fouettez jusqu'à ce que les blancs et les jaunes d'œufs soient bien mélangés. Faites chauffer une poêle en fonte à feu moyen et ajoutez une cuillère à café d'huile d'olive. Versez la moitié du mélange d'œufs préparé. Étalez-le uniformément à l'aide d'une spatule. Lorsque le mélange d'œufs semble stable sur le dessus et non liquide, remplissez la moitié de la garniture aux champignons préparée d'un côté. Refermez l'autre moitié et laissez l'omelette cuire quelques secondes. Transférez l'omelette aux champignons dans l'assiette de service. Préparez les omelettes aux champignons restantes de la même manière. Servez l'omelette aux champignons aux herbes et au fromage avec un verre de smoothie Chickoo Banana Dattes pour un petit-déjeuner sain et énergisant.</t>
  </si>
  <si>
    <t>http://www.archanaskitchen.com/herb-cheese-mushroom-omelette-recipe</t>
  </si>
  <si>
    <t>Crunchy Creamy Coleslaw Recipe</t>
  </si>
  <si>
    <t>Rezept für knackig-cremigen Krautsalat</t>
  </si>
  <si>
    <t>Recette de salade de chou croquante et crémeuse</t>
  </si>
  <si>
    <t>Receta de ensalada de col crujiente y cremosa</t>
  </si>
  <si>
    <t>1 tasse de chou (Patta Gobi/Muttaikose) - finement haché ou râpé, 1/2 tasse de carottes (Gajjar) - râpées, 1/4 tasse de poivron vert (Capsicum) - finement haché, 1/4 tasse d'oignon rouge - finement haché, 1 piment vert - ou jalapeño, 1 cuillère à café de vinaigre - ou de jus de citron, 3 à 4 cuillères à soupe de mayonnaise classique (avec œuf), 1/4 cuillère à café de poudre de poivre noir - (facultatif)</t>
  </si>
  <si>
    <t>1 cup Cabbage (Patta Gobi/ Muttaikose) - finely chopped or shredded,1/2 cup Carrots (Gajjar) - grated,1/4 cup Green Bell Pepper (Capsicum) - finely chopped,1/4 cup Red onion -  finely chopped,1 Green Chilli - or jalapeno,1 teaspoon Vinegar - or lemon juice,3 to 4 tablespoons Classic Mayonnaise (With Egg),1/4 teaspoon Black pepper powder - (optional)</t>
  </si>
  <si>
    <t>1 taza de repollo (Patta Gobi/Muttaikose) - finamente picado o rallado, 1/2 taza de zanahorias (Gajjar) - ralladas, 1/4 taza de pimiento verde (Capsicum) - finamente picado, 1/4 taza de cebolla roja - finamente picada, 1 chile verde - o jalapeño, 1 cucharadita de vinagre - o jugo de limón, 3 a 4 cucharadas de mayonesa clásica (con huevo), 1/4 cucharadita de pimienta negra en polvo - (opcional)</t>
  </si>
  <si>
    <t xml:space="preserve">To begin making the Crunchy Creamy Coleslaw Recipe, finely chop the cabbage, green chilli (optional), onions, bell pepper and grate the carrot.Mix all the coleslaw vegetables in a bowl. Add the mayonnaise, vinegar or lemon juice and black pepper powder (optional). Mix well with a spoon.Taste the coleslaw salad for a balance of spice, salt, sugar and tang. Adjust accordingly.Cover the Crunchy Creamy Coleslaw and refrigerate for at least 1 hour for the flavors to blend well.The Crunchy Creamy Coleslaw Recipe goes great with Moroccan Chicken Burgers With Feta And Carrot Recipe or in a Tofu &amp; Veggie Coleslaw Sandwich Recipe or as a side salad with any meal.
</t>
  </si>
  <si>
    <t>Para empezar a preparar la receta de ensalada de col cremosa y crujiente, pica finamente el repollo, el chile verde (opcional), la cebolla, el pimiento morrón y ralla la zanahoria. Mezcla todas las verduras de la ensalada de col en un bol. Añade la mayonesa, el vinagre o el zumo de limón y la pimienta negra en polvo (opcional). Mezcla bien con una cuchara. Prueba la ensalada de col para comprobar el equilibrio de picante, sal, azúcar y acidez. Ajusta el punto. Cubre la ensalada de col cremosa y crujiente y refrigera durante al menos 1 hora para que los sabores se integren bien. La receta de ensalada de col cremosa y crujiente va de maravilla con las hamburguesas de pollo marroquíes con queso feta y zanahoria, con el sándwich de ensalada de col con tofu y verduras o como guarnición de cualquier comida.</t>
  </si>
  <si>
    <t>Pour commencer à préparer la recette de salade de chou crémeuse et croquante, hachez finement le chou, le piment vert (facultatif), les oignons, le poivron et râpez la carotte. Mélangez tous les légumes de la salade de chou dans un bol. Ajoutez la mayonnaise, le vinaigre ou le jus de citron et le poivre noir en poudre (facultatif). Bien mélanger à la cuillère. Goûtez la salade de chou pour un équilibre d'épices, de sel, de sucre et de piquant. Ajustez en conséquence. Couvrez la salade de chou crémeuse et croquante et réfrigérez pendant au moins 1 heure pour que les saveurs se marient bien. La recette de salade de chou crémeuse et croquante se marie parfaitement avec la recette de burgers de poulet marocains à la feta et aux carottes, dans une recette de sandwich au tofu et aux légumes, ou comme salade d'accompagnement pour n'importe quel repas.</t>
  </si>
  <si>
    <t>https://www.archanaskitchen.com/crunchy-creamy-coleslaw-recipe</t>
  </si>
  <si>
    <t>Green Apple, Radish &amp; Pepper Salad Recipe</t>
  </si>
  <si>
    <t>Rezept für Salat mit grünem Apfel, Radieschen und Paprika</t>
  </si>
  <si>
    <t>Recette de salade aux pommes vertes, radis et poivrons</t>
  </si>
  <si>
    <t>Receta de ensalada de manzana verde, rábano y pimiento</t>
  </si>
  <si>
    <t>1 pomme verte coupée en dés, 1 radis rouge pelé et coupé en dés, 1 radis Mooli/Mullangi coupé en dés, 1 tomate verte, 2 tomates coupées en deux, 3 cuillères à soupe de chou rouge haché ou tranché, 2 oignons rouges, 1/2 tasse de brocoli, 1/2 poivron rouge coupé en dés, 1/2 poivron vert coupé en dés, 1/2 poivron jaune coupé en dés, 2 cuillères à soupe de jus de citron, 1 cuillère à café de zeste de citron, 2 cuillères à café de feuilles de thym frais finement hachées, 1 piment vert ou rouge, 2 cuillères à café de gingembre râpé, feuilles de coriandre (Dhania) en petit bouquet, 1 cuillère à soupe d'huile de sésame, 1 gousse d'ail, sel au goût, 1 cuillère à café de poivre noir en poudre</t>
  </si>
  <si>
    <t>1 Green apple - diced,1 Red Radish - peeled and diced,1 Mooli/ Mullangi (Radish) - diced,1 Tomato - green,2 Tomatoes - halved,3 tablespoons Red cabbage - chopped or sliced,2 Onion - red,1/2 cup Broccoli,1/2 Red Bell pepper (Capsicum) - diced,1/2 Green Bell Pepper (Capsicum) - diced,1/2 Yellow Bell Pepper (Capsicum) - diced,2 tablespoons Lemon juice,1 teaspoon Lemon zest,2 teaspoons Fresh Thyme leaves - finely chopped,1 Green Chilli - or red,2 teaspoons Ginger - grated,Coriander (Dhania) Leaves - small bunch,1 tablespoon Sesame (Gingelly) Oil,1 clove Garlic,Salt - to taste,1 teaspoon Black pepper powder</t>
  </si>
  <si>
    <t>1 manzana verde - cortada en cubitos, 1 rábano rojo - pelado y cortado en cubitos, 1 Mooli/ Mullangi (rábano) - cortado en cubitos, 1 tomate - verde, 2 tomates - cortados por la mitad, 3 cucharadas de repollo morado - picado o en rodajas, 2 cebollas - rojas, 1/2 taza de brócoli, 1/2 pimiento rojo (Capsicum) - cortado en cubitos, 1/2 pimiento verde (Capsicum) - cortado en cubitos, 1/2 pimiento amarillo (Capsicum) - cortado en cubitos, 2 cucharadas de jugo de limón, 1 cucharadita de ralladura de limón, 2 cucharaditas de hojas de tomillo fresco - finamente picadas, 1 chile verde - o rojo, 2 cucharaditas de jengibre rallado, hojas de cilantro (Dhania) - manojo pequeño, 1 cucharada de aceite de sésamo (Gingelly), 1 diente de ajo, sal - al gusto, 1 cucharadita de pimienta negra en polvo</t>
  </si>
  <si>
    <t xml:space="preserve">To begin making the Green Apple, Radish &amp; Pepper Salad first wash the vegetables well and prepare them. Remove the pith and seeds from the peppers. Slice the eyes off the tomato. Peel the white radish but not the red. Core the apple without peeling it and dice it.Next, dice all the vegetables for the salad into small similar size pieces and place in salad bowl. The Broccoli florets should be cut vertically to retain its shape, but into very thin slices.Place all the chopped vegetables in a large salad bowl and refrigerate till ready to serve.To make the Salad Dressing, first mince the Ginger and hope up the cilantro. Slit the chilli lengthwise and de-seed it.Smash the garlic along with 1/4 teaspoon of salt, with a heavy ladle or other heavy implement, to bring out the fresh flavours.In a smaller mixing bowl, pour the lemon juice, add the smashed garlic, ginger, chilli and zest and stir. Add salt and pepper to taste.Slowly drizzle the sesame oil into the dressing, whisking continuously till the juice and oil blend and emulsify.Sprinkle in the chopped cilantro and thyme and mix. Store the dressing in the refrigerator till ready to serve.Dress the salad only when ready to serve. Pour the dressing on the salad and gently mix it in with the tips of your fingers. Cover and chill till ready to serve.Serve Green Apple, Radish &amp; Pepper Salad on a hot day and it can make a refreshing meal all on its own or you could also serve it as an accompanying side for a meal of Pasta or Pizza.
</t>
  </si>
  <si>
    <t>Para empezar a hacer la ensalada de manzana verde, rábano y pimiento, primero lava bien las verduras y prepáralas. Quita el corazón y las semillas de los pimientos. Corta los ojos del tomate. Pela el rábano blanco pero no el rojo. Quita el corazón de la manzana sin pelarla y córtala en dados. A continuación, corta todas las verduras para la ensalada en trozos pequeños de tamaño similar y colócalos en una ensaladera. Los floretes de brócoli deben cortarse verticalmente para que conserven su forma, pero en rodajas muy finas. Coloca todas las verduras picadas en una ensaladera grande y refrigera hasta que esté listo para servir. Para hacer el aderezo para ensaladas, primero pica el jengibre y agrega el cilantro. Corta el chile a lo largo y quítale las semillas. Machaca el ajo junto con 1/4 de cucharadita de sal, con un cucharón pesado u otro utensilio pesado, para resaltar los sabores frescos. En un tazón más pequeño, vierte el jugo de limón, agrega el ajo machacado, el jengibre, el chile y la ralladura y revuelve. Añade sal y pimienta al gusto. Agrega lentamente el aceite de sésamo al aderezo, batiendo continuamente hasta que el jugo y el aceite se mezclen y emulsionen. Espolvorea el cilantro y el tomillo picados y mezcla. Guarda el aderezo en el refrigerador hasta que esté listo para servir. Adereza la ensalada solo cuando esté lista para servir. Vierte el aderezo sobre la ensalada y mézclalo suavemente con las yemas de los dedos. Cubre y refrigera hasta que esté listo para servir. Sirve la ensalada de manzana verde, rábano y pimiento en un día caluroso y puede ser una comida refrescante por sí sola o también puedes servirla como acompañamiento para una comida de pasta o pizza.</t>
  </si>
  <si>
    <t>Pour commencer à préparer la salade de pommes vertes, radis et poivrons, lavez d'abord bien les légumes et préparez-les. Retirez la peau et les graines des poivrons. Coupez les yeux de la tomate. Pelez le radis blanc mais pas le rouge. Épépinez la pomme sans la peler et coupez-la en dés. Ensuite, coupez tous les légumes de la salade en petits morceaux de taille similaire et placez-les dans un saladier. Les fleurons de brocoli doivent être coupés verticalement pour conserver leur forme, mais en tranches très fines. Placez tous les légumes hachés dans un grand saladier et réfrigérez jusqu'au moment de servir. Pour préparer la vinaigrette, hachez d'abord le gingembre et ajoutez la coriandre. Fendez le piment dans le sens de la longueur et épépinez-le. Écrasez l'ail avec 1/4 de cuillère à café de sel, avec une louche lourde ou un autre ustensile lourd, pour faire ressortir les saveurs fraîches. Dans un bol plus petit, versez le jus de citron, ajoutez l'ail écrasé, le gingembre, le piment et le zeste et remuez. Ajoutez du sel et du poivre selon votre goût. Versez lentement l'huile de sésame dans la vinaigrette en fouettant continuellement jusqu'à ce que le jus et l'huile se mélangent et émulsionnent. Saupoudrez de coriandre et de thym hachés et mélangez. Conservez la vinaigrette au réfrigérateur jusqu'au moment de servir. N'assaisonnez la salade qu'au moment de servir. Versez la vinaigrette sur la salade et mélangez délicatement du bout des doigts. Couvrez et réfrigérez jusqu'au moment de servir. Servez la salade de pommes vertes, radis et poivrons par une journée chaude et elle peut constituer un repas rafraîchissant à elle seule ou vous pouvez également la servir en accompagnement d'un repas de pâtes ou d'une pizza.</t>
  </si>
  <si>
    <t>https://www.archanaskitchen.com/green-apple-radish-pepper-salad-recipe</t>
  </si>
  <si>
    <t>Chicken &amp; Bell Pepper Skewers Recipe</t>
  </si>
  <si>
    <t>Rezept für Hähnchen-Paprika-Spieße</t>
  </si>
  <si>
    <t>Recette de brochettes de poulet et poivrons</t>
  </si>
  <si>
    <t>Receta de brochetas de pollo y pimientos</t>
  </si>
  <si>
    <t>1 poitrine de poulet coupée en petits morceaux, 1 poivron jaune coupé en petits cubes, 1 poivron rouge coupé en petits cubes, 1 oignon coupé en quartiers, 1 cuillère à soupe de sauce soja, 1 cuillère à soupe de miel, 1/2 cuillère à café de gingembre sec en poudre, 1/4 tasse de jus d'ananas, 2 cuillères à soupe d'huile d'olive extra vierge, 1 cuillère à café de grains de poivre noir entiers écrasés, 2 clous de girofle écrasés, sel au goût</t>
  </si>
  <si>
    <t>1 Chicken breasts - cut into small pieces,1 Yellow Bell Pepper (Capsicum) - cut into small cubes,1 Red Bell pepper (Capsicum) - cut into small cubes,1 Onion - quartered,1 tablespoon Soy sauce,1 tablespoon Honey,1/2 teaspoon Dry ginger powder,1/4 cup Pineapple juice,2 tablespoon Extra Virgin Olive Oil,1 teaspoon Whole Black Peppercorns - crushed,2 Cloves (Laung) - crushed,Salt - to taste</t>
  </si>
  <si>
    <t>1 pechuga de pollo - cortada en trozos pequeños, 1 pimiento amarillo (Capsicum) - cortado en cubos pequeños, 1 pimiento rojo (Capsicum) - cortado en cubos pequeños, 1 cebolla - cortada en cuartos, 1 cucharada de salsa de soja, 1 cucharada de miel, 1/2 cucharadita de jengibre seco en polvo, 1/4 taza de jugo de piña, 2 cucharadas de aceite de oliva virgen extra, 1 cucharadita de granos de pimienta negra enteros - triturados, 2 clavos de olor (Laung) - triturados, sal - al gusto</t>
  </si>
  <si>
    <t xml:space="preserve">To begin making the Chicken &amp; Bell Pepper Skewers, wash and clean the chicken thoroughly.To marinate the chicken, in a mixing bowl combine soy sauce, honey, ginger powder,  pineapple juice, olive oil. black peppercorns, cloves and salt. Add the chicken pieces into it, mix well and leave it in the fridge for at least 2 hours.Combine cubed peppers and onion chunks in a bowl. Add a tablespoon of olive oil, salt and pepper to the vegetables. Mix them together.Soak the wood skewers in a cold water for about 20 minutes. In a wood skewer, thread chicken pieces, peppers, and onion chunks. Arrange the wood skewers in a hot grill and cook them for about 15 minutes, turning sides for every 5 minutes.Brush the remaining marinate on top of the chicken while cooking. Once the chicken is cooked, remove the skewer from the grill and cool down. Do not overcook as the chicken might become hard and lose its juiciness.Serve the Chicken &amp; Bell pepper Skewers Recipe along with Spinach &amp; Broad Bean Shakshuka and Stuffed Zucchini  With Roasted Peppers &amp; Mushrooms to make it a complete meal.
</t>
  </si>
  <si>
    <t>Para comenzar a hacer las brochetas de pollo y pimiento morrón, lava y limpia bien el pollo. Para marinar el pollo, en un tazón combina la salsa de soya, la miel, el jengibre en polvo, el jugo de piña, el aceite de oliva, los granos de pimienta negra, los clavos y la sal. Agrega los trozos de pollo, mezcla bien y déjalo en el refrigerador durante al menos 2 horas. Combina los pimientos cortados en cubos y los trozos de cebolla en un tazón. Agrega una cucharada de aceite de oliva, sal y pimienta a las verduras. Mézclalos. Remoja las brochetas de madera en agua fría durante unos 20 minutos. En una brocheta de madera, ensarte los trozos de pollo, los pimientos y los trozos de cebolla. Coloca las brochetas de madera en una parrilla caliente y cocínalas durante unos 15 minutos, volteándolas cada 5 minutos. Unta la marinada restante sobre el pollo mientras se cocina. Una vez cocido el pollo, retira la brocheta de la parrilla y deja enfriar. No la cocines demasiado, ya que podría endurecerse y perder jugosidad. Sirve la receta de brochetas de pollo y pimiento morrón junto con la shakshuka de espinacas y habas y el calabacín relleno con pimientos asados ​​y champiñones para completar el plato.</t>
  </si>
  <si>
    <t>Pour commencer à préparer les brochettes de poulet et de poivrons, lavez et nettoyez soigneusement le poulet. Pour faire mariner le poulet, dans un bol, mélangez la sauce soja, le miel, la poudre de gingembre, le jus d'ananas, l'huile d'olive, les grains de poivre noir, les clous de girofle et le sel. Ajoutez les morceaux de poulet, mélangez bien et laissez reposer au réfrigérateur pendant au moins 2 heures. Mélangez les poivrons coupés en dés et les morceaux d'oignon dans un bol. Ajoutez une cuillère à soupe d'huile d'olive, du sel et du poivre aux légumes. Mélangez-les ensemble. Faites tremper les brochettes en bois dans de l'eau froide pendant environ 20 minutes. Dans une brochette en bois, enfilez les morceaux de poulet, les poivrons et les morceaux d'oignon. Disposez les brochettes en bois dans un gril chaud et faites-les cuire pendant environ 15 minutes, en retournant les côtés toutes les 5 minutes. Badigeonnez le reste de la marinade sur le dessus du poulet pendant la cuisson. Une fois le poulet cuit, retirez la brochette du gril et laissez refroidir. Ne pas trop cuire car le poulet pourrait devenir dur et perdre sa jutosité. Servez la recette de brochettes de poulet et de poivrons avec la shakshuka aux épinards et aux fèves et les courgettes farcies aux poivrons rôtis et aux champignons pour en faire un repas complet.</t>
  </si>
  <si>
    <t>http://www.archanaskitchen.com/chicken-bell-pepper-skewers-recipe</t>
  </si>
  <si>
    <t>Broken Wheat And Apple Porridge Recipe</t>
  </si>
  <si>
    <t>Rezept für gebrochenen Weizen- und Apfelbrei</t>
  </si>
  <si>
    <t>Recette de porridge au blé concassé et aux pommes</t>
  </si>
  <si>
    <t>Receta de gachas de trigo partido y manzana</t>
  </si>
  <si>
    <t>1/4 tasse de blé brisé (Dalia/Godumai Rava), 3 cuillères à soupe d'avoine instantanée (gruau), 1/2 tasse d'eau, 1-1/4 tasse de lait - (plus si nécessaire), 1/2 cuillère à café de cannelle en poudre (Dalchini), 1/2 tasse de pommes - pelées et coupées en dés, 1/2 cuillère à soupe de beurre, miel - ou cassonade au goût, 1/2 tasse de pommes - coupées en quartiers ou en dés, 1/2 tasse de fraises - tranchées, muesli - au besoin</t>
  </si>
  <si>
    <t>1/4 cup Broken Wheat (Dalia/ Godumai Rava),3 tablespoons Instant Oats (Oatmeal),1/2 cup Water,1-1/4 cup Milk - (more if required),1/2 teaspoon Cinnamon Powder (Dalchini),1/2 cup Apples - peeled and diced,1/2 tablespoon Butter,Honey - or brown sugar to taste,1/2 cup Apple - cut into wedges or diced,1/2 cup Strawberries - sliced,Muesli - as required</t>
  </si>
  <si>
    <t>1/4 taza de trigo partido (Dalia/Godumai Rava), 3 cucharadas de avena instantánea (avena), 1/2 taza de agua, 1-1/4 taza de leche (más si es necesario), 1/2 cucharadita de canela en polvo (Dalchini), 1/2 taza de manzanas peladas y cortadas en cubitos, 1/2 cucharada de mantequilla, miel o azúcar morena al gusto, 1/2 taza de manzana cortada en gajos o en cubitos, 1/2 taza de fresas en rodajas, muesli según sea necesario</t>
  </si>
  <si>
    <t xml:space="preserve">To begin making the Broken Wheat and Apple Porridge Recipe, clean and wash broken wheat and soak it in water for an hour.In a pressure cooker, add broken wheat, water and pressure cook until you hear 3 to 4 whistles and turn off the heat. Allow the pressure to release before you can open the cooker. Once the broken wheat has cooked well, transfer the cooked wheat into a sauce pan.  Add the cut apples, cinnamon powder and butter, mix well. Stir in the oats and milk and bring the mixture to a brisk boil.Once it comes to a boil, turn the heat to low and simmer until the apples get cooked. Adjust the consistency of the porridge by adding milk or water. Once done, remove from the heat and serve.When you are ready to serve the  Broken Wheat and Apple Porridge, add brown sugar or honey, along with the cut apples and strawberries or any fruits that are in season and top it off with muesli for the crunch.Serve the Broken Wheat and Apple Porridge as a wholesome breakfast on its own or with a cup of Espresso Coffee.
</t>
  </si>
  <si>
    <t>Para comenzar a hacer la Receta de Gachas de Trigo Quebrado y Manzana, limpie y lave el trigo quebrado y remójelo en agua durante una hora. En una olla a presión, agregue el trigo quebrado, el agua y cocine a presión hasta que escuche de 3 a 4 silbidos y apague el fuego. Deje que se libere la presión antes de poder abrir la olla. Una vez que el trigo quebrado se haya cocido bien, transfiera el trigo cocido a una cacerola. Agregue las manzanas cortadas, la canela en polvo y la mantequilla, mezcle bien. Agregue la avena y la leche y lleve la mezcla a ebullición rápida. Una vez que hierva, baje el fuego y cocine a fuego lento hasta que las manzanas estén cocidas. Ajuste la consistencia de las gachas agregando leche o agua. Una vez listo, retira del fuego y sirve. Cuando estés listo para servir las gachas de trigo partido y manzana, añade azúcar moreno o miel, junto con las manzanas y fresas cortadas o cualquier fruta de temporada y cúbrelo con muesli para darle un toque crujiente. Sirve las gachas de trigo partido y manzana como un desayuno completo, solas o con una taza de café expreso.</t>
  </si>
  <si>
    <t>Pour commencer à préparer la recette de porridge au blé brisé et aux pommes, nettoyez et lavez le blé brisé et faites-le tremper dans l'eau pendant une heure. Dans un autocuiseur, ajoutez le blé brisé, l'eau et faites cuire sous pression jusqu'à ce que vous entendiez 3 à 4 sifflements, puis éteignez le feu. Laissez la pression se relâcher avant de pouvoir ouvrir l'autocuiseur. Une fois le blé brisé bien cuit, transférez le blé cuit dans une casserole. Ajoutez les pommes coupées, la cannelle en poudre et le beurre, mélangez bien. Incorporez l'avoine et le lait et portez le mélange à ébullition vive. Une fois à ébullition, baissez le feu et laissez mijoter jusqu'à ce que les pommes soient cuites. Ajustez la consistance du porridge en ajoutant du lait ou de l'eau. Une fois terminé, retirez du feu et servez. Lorsque vous êtes prêt à servir le porridge au blé brisé et aux pommes, ajoutez de la cassonade ou du miel, ainsi que les pommes et les fraises coupées ou tous les fruits de saison et garnissez de muesli pour le croquant. Servez le porridge au blé brisé et aux pommes comme un petit-déjeuner sain, seul ou avec une tasse de café expresso.</t>
  </si>
  <si>
    <t>https://www.archanaskitchen.com/broken-wheat-and-apple-porridge-recipe</t>
  </si>
  <si>
    <t>Schokoladen-Bananen-Smoothie-Bowl-Rezept – Schokoladen-Bananen-Smoothie-Bowl-Rezept</t>
  </si>
  <si>
    <t>Recette de bol de smoothie au chocolat et à la banane – Recette de bol de smoothie au chocolat et à la banane</t>
  </si>
  <si>
    <t>Receta de Smoothie de Chocolate y Plátano – Smoothie de Chocolate y Plátano</t>
  </si>
  <si>
    <t>3 bananes - pelées et hachées, 1 tasse de lait, 2 cuillères à soupe de beurre de cacahuète, 2 cuillères à soupe d'avoine, 1 cuillère à soupe de cacao en poudre, 4 dattes - dénoyautées et hachées, 4 cuillères à soupe de noix - hachées, 1 banane - coupée en rondelles Prenez 1/4 tasse de son de vache, 2 cuillères à soupe de canneberges - ou de raisins secs</t>
  </si>
  <si>
    <t>3 bananas - peel and chop, 1 cup milk, 2 tablespoons peanut butter, 2 tablespoons oats, 1 tablespoon cocoa powder, 4 dates - pitted and chopped, 4 tablespoons walnuts - chopped, 1 banana - cut round Take 1/4 cup of vet bran, 2 tablespoons cranberries - or raisins</t>
  </si>
  <si>
    <t>3 plátanos - pelados y picados, 1 taza de leche, 2 cucharadas de mantequilla de maní, 2 cucharadas de avena, 1 cucharada de cacao en polvo, 4 dátiles - sin hueso y picados, 4 cucharadas de nueces - picadas, 1 plátano - cortado en rodajas Tome 1/4 taza de salvado de trigo, 2 cucharadas de arándanos rojos - o pasas</t>
  </si>
  <si>
    <t>To make Chocolate Banana Smoothie Bowl Recipe, first of all put banana, milk, peanut butter, oats, cocoa powder, dates in a blender and make a puree. Keep in mind that this smoothie should be a little thick. Now pour this smoothie in a bowl. Garnish with walnuts, banana, wheat bran flakes, cranberries and serve. Chocolate Banana Smoothie Bowl Recipe can be made for breakfast.</t>
  </si>
  <si>
    <t>Para preparar el Smoothie de Chocolate y Plátano, primero mezcla el plátano, la leche, la mantequilla de cacahuete, la avena, el cacao en polvo y los dátiles en una licuadora y haz un puré. Ten en cuenta que el smoothie debe quedar un poco espeso. Vierte el smoothie en un tazón. Decora con nueces, plátano, hojuelas de salvado de trigo y arándanos rojos, y sirve. El Smoothie de Chocolate y Plátano se puede preparar para el desayuno.</t>
  </si>
  <si>
    <t>Pour préparer un smoothie bowl chocolat-banane, mixez la banane, le lait, le beurre de cacahuète, les flocons d'avoine, le cacao en poudre et les dattes dans un blender et réduisez-les en purée. Ce smoothie doit être légèrement épais. Versez-le dans un bol. Garnissez de noix, de banane, de flocons de son de blé et de canneberges, puis servez. Ce smoothie bowl chocolat-banane peut être préparé au petit-déjeuner.</t>
  </si>
  <si>
    <t>https://www.archanaskitchen.com/chocolate-banana-smoothie-bowl-recipe-in-hindi</t>
  </si>
  <si>
    <t>Classic Banana Walnut Steamed Bread Recipe in Preethi Electric Pressure Cooker</t>
  </si>
  <si>
    <t>Klassisches Rezept für gedämpftes Bananen-Walnuss-Brot im elektrischen Schnellkochtopf von Preethi</t>
  </si>
  <si>
    <t>Recette classique de pain à la banane et aux noix cuit à la vapeur dans un autocuiseur électrique par Preethi</t>
  </si>
  <si>
    <t>Receta clásica de pan de plátano y nueces al vapor en olla a presión eléctrica de Preethi</t>
  </si>
  <si>
    <t>2 tasses de farine tout usage (Maida), 1-1/2 cuillères à café de levure chimique, 1/4 cuillère à café de sel, 1/2 tasse de cassonade (sucre Demerara), 1/2 tasse de noix - grossièrement hachées, 2 œufs entiers - (ou substitut d'œuf à base de farine de lin), 1 cuillère à café d'extrait de vanille, 1/2 tasse de beurre, 1/2 tasse de lait, 1 tasse de bananes mûres - écrasées</t>
  </si>
  <si>
    <t>2 cups All Purpose Flour (Maida),1-1/2 teaspoons Baking powder,1/4 teaspoon Salt,1/2 cup Brown Sugar (Demerara Sugar),1/2 cup Walnuts - coarsely chopped,2 Whole Eggs - (or flax meal egg replacer),1 teaspoon Vanilla Extract,1/2 cup Butter,1/2 cup Milk,1 cup Ripe Bananas - mashed</t>
  </si>
  <si>
    <t>2 tazas de harina para todo uso (Maida), 1-1/2 cucharadita de polvo para hornear, 1/4 cucharadita de sal, 1/2 taza de azúcar morena (azúcar Demerara), 1/2 taza de nueces - picadas gruesas, 2 huevos enteros - (o sustituto de huevo de harina de lino), 1 cucharadita de extracto de vainilla, 1/2 taza de mantequilla, 1/2 taza de leche, 1 taza de plátanos maduros - machacados</t>
  </si>
  <si>
    <t xml:space="preserve">To begin making the Classic Banana Walnut Steamed Bread Recipe in Preethi Electric Pressure Cooker, sift the flour, baking powder and salt into a medium bowl; keep aside.In a large mixing bowl, whisk the flax meal egg replacer, butter, sugar, vanilla extract and milk until fluffy and well blended.Add the mashed banana and the flour mixture and beat until combined.Grease and dust a springform pan and pour the banana bread batter into the pan.Pour 1 cup of water in the bottom of the cooker and place a trivet at the bottom of the electric pressure cooker.Carefully, lower the banana bread pan into the cooker. Lock the lid in place. Set the timer for 30 minutes and allow the banana bread recipe to steam until you hear the beep sound.Once done, allow the pressure to release naturally and remove the banana bread out of the electric pressure cooker.Once the Classic Banana Bread is steamed, allow it to cool and serve.Serve the Classic Banana Walnut Steamed Bread as a tea time snack or for kids school snack box.
</t>
  </si>
  <si>
    <t xml:space="preserve">Para comenzar a hacer la Receta clásica de pan de plátano y nueces al vapor en la olla a presión eléctrica Preethi, tamice la harina, el polvo para hornear y la sal en un tazón mediano; reserve. En un tazón grande, bata el sustituto de huevo de harina de lino, la mantequilla, el azúcar, el extracto de vainilla y la leche hasta que quede esponjoso y bien mezclado. Agregue el plátano machacado y la mezcla de harina y bata hasta que se combinen. Engrase y espolvoree un molde desmontable y vierta la masa de pan de plátano en el molde. Vierta 1 taza de agua en el fondo de la olla y coloque un salvamanteles en el fondo de la olla a presión eléctrica. Con cuidado, baje el molde de pan de plátano a la olla. Bloquee la tapa en su lugar. Configure el temporizador durante 30 minutos y deje que la receta de pan de plátano se cocine al vapor hasta que escuche el pitido. Una vez hecho esto, deje que la presión se libere naturalmente y retire el pan de plátano de la olla a presión eléctrica. Una vez que el pan de plátano clásico esté al vapor, déjelo enfriar y sirva. Sirva el pan de plátano y nueces al vapor clásico como un refrigerio para la hora del té o para la caja de refrigerio escolar de los niños.
</t>
  </si>
  <si>
    <t>Pour commencer à préparer le pain vapeur classique aux bananes et aux noix dans l'autocuiseur électrique Preethi, tamisez la farine, la levure chimique et le sel dans un bol moyen ; réservez. Dans un grand saladier, fouettez le substitut d'œuf à base de farine de lin, le beurre, le sucre, l'extrait de vanille et le lait jusqu'à obtenir une consistance mousseuse et homogène. Ajoutez la banane écrasée et le mélange de farine et battez jusqu'à obtenir un mélange homogène. Graissez et saupoudrez un moule à charnière et versez-y la pâte à pain aux bananes. Versez 250 ml d'eau au fond de l'autocuiseur et placez un trépied au fond de l'autocuiseur électrique. Abaissez délicatement le moule à pain aux bananes dans l'autocuiseur. Verrouillez le couvercle. Réglez la minuterie sur 30 minutes et laissez cuire le pain aux bananes jusqu'à ce que vous entendiez un bip sonore. Une fois cuit, laissez la pression se relâcher naturellement et retirez le pain aux bananes de l'autocuiseur électrique. Une fois le pain aux bananes classique cuit à la vapeur, laissez-le refroidir et servez. Servez le pain vapeur classique aux bananes et aux noix comme collation à l'heure du goûter ou pour le goûter des enfants.</t>
  </si>
  <si>
    <t>http://www.archanaskitchen.com/classic-banana-walnut-steamed-bread-recipe-in-preethi-electric-pressure-cooker</t>
  </si>
  <si>
    <t>Ice Cream Cake Recipe With Chocolate Mocha Frosting</t>
  </si>
  <si>
    <t>Eistorte mit Schokoladen-Mokka-Zuckerguss</t>
  </si>
  <si>
    <t>Gâteau glacé avec glaçage au chocolat moka</t>
  </si>
  <si>
    <t>Pastel helado con glaseado de chocolate moca</t>
  </si>
  <si>
    <t>1-1/2 tasse de farine de blé entier, 3 cuillères à soupe de poudre de cacao, 1 cuillère à café de poudre de café instantané, 1 cuillère à café de bicarbonate de soude, 1 tasse de cassonade (sucre Demerara), 1/2 cuillère à café de sel, 5 cuillères à soupe d'huile de tournesol, 1 cuillère à café d'extrait de vanille, 1 cuillère à soupe de vinaigre, 1 tasse d'eau glacée, 1 litre de crème glacée au cassis (ou toute autre saveur que vous préférez), 1 litre de crème glacée Tutti frutti (ou toute autre saveur que vous préférez), 2 tasses de ganache au chocolat, 1/2 tasse de beurre (non salé) - ramolli, 2 tasses de sucre glace, 1 cuillère à café de poudre de café instantané, 1 pincée de sel, 1/2 cuillère à café d'extrait de vanille, lait - quelques cuillères à café</t>
  </si>
  <si>
    <t>1-1/2 cups Whole Wheat Flour,3 tablespoons Cocoa Powder,1 teaspoon Instant Coffee Powder,1 teaspoon Baking soda,1 cup Brown Sugar (Demerara Sugar),1/2 teaspoon Salt,5 tablespoons Sunflower Oil,1 teaspoon Vanilla Extract,1 tablespoon Vinegar,1 cup Chilled water,1 liter Black Currant Ice Cream - (or any flavour you prefer),1 liter Tutti frutti ice cream - (or any flavour you prefer),2 cups Chocolate ganache,1/2 cup Butter (unsalted) - Softened,2 cups Icing Sugar,1 teaspoon Instant Coffee Powder,1 pinch Salt,1/2 teaspoon Vanilla Extract,Milk - Few teaspoons</t>
  </si>
  <si>
    <t>1-1/2 tazas de harina integral, 3 cucharadas de cacao en polvo, 1 cucharadita de café instantáneo en polvo, 1 cucharadita de bicarbonato de sodio, 1 taza de azúcar morena (azúcar Demerara), 1/2 cucharadita de sal, 5 cucharadas de aceite de girasol, 1 cucharadita de extracto de vainilla, 1 cucharada de vinagre, 1 taza de agua fría, 1 litro de helado de grosella negra (o cualquier sabor que prefiera), 1 litro de helado de tutti frutti (o cualquier sabor que prefiera), 2 tazas de ganache de chocolate, 1/2 taza de mantequilla (sin sal) - Suavizada, 2 tazas de azúcar glas, 1 cucharadita de café instantáneo en polvo, 1 pizca de sal, 1/2 cucharadita de extracto de vainilla, leche - Algunas cucharaditas</t>
  </si>
  <si>
    <t xml:space="preserve">To make Chocolate Mocha Cake:To begin making Ice Cream Cake Recipe With Chocolate Mocha Frosting, start with making the chocolate mocha cake first.Also keep the ice cream and all the other ingredients ready for later use.Preheat oven to 350 degrees Centigrade or 180 degrees Fahrenheit.Grease and flour an 8-inch spring form pan. I have lined the bottom with foil and then greased and floured it to make removing the cake easier. Keep aside.In a small bowl, mix the dry ingredients of the cake- whole wheat flour, brown sugar, cocoa powder, instant coffee powder and salt. Mix well with a wire whisk.To this mixture, add oil, vanilla essence, 1 tablespoon vinegar and 1 cup water.Mix well with a spoon or fork until thoroughly blended.Pour the batter into the prepared pan and bake for about 30 to 35 minutes until a toothpick inserted in center comes out clean.Remove the cake pan from oven and cool the cake without removing it from the pan, on a wire rack for about 10 minutes.After 10 minutes, remove from springform pan and foil; cool the chocolate mocha cake completely on cooling wire rack.After the cake has completely cooled, using a large sharp knife, cut the cake into half horizontally - to form two thin layers of cake. Return one layer to the spring form pan and close the latch. Place the pan in a deep freezer for about 1 to 2 hours to chill the cake.Meanwhile, remove one flavor of ice cream (I have used black currant ice cream) and let it soften at room temperature. Ice cream should be soft enough to be spread easily on the chilled cake, and also should not be melting. You can alternatively take out the chilled ice cream and beat in a hand mixer to smoothen it up.Once the ice cream is soft enough to spread, remove the pan with the first layer of cake from freezer. Spread softened ice cream on top of that layer and smoothen with an offset spatula. I have used about 1 liter of ice cream for the first layer of ice cream. Place the second layer of cake over this and return the pan to freezer to let the ice cream to set completely; about 2 to 3 hours.Remove the second flavor of ice cream from freezer and let soften at room temperature until soft and spreadable.Remove the cake pan from freezer and spread second layer of ice cream evenly and smoothen the top to level as much as possible. Return the springform pan to the freezer for about 3 to 4 hours to freeze it completely. It is best to keep it overnight in the freezer.The next day, prepare chocolate ganache and chocolate mocha icing.Once you prepare the chocolate ganache, as the ganache is cool but still in liquid form, remove ice cream cake from freezer and release the latch of the springform pan and remove the vertical side of the pan, leaving the ice cream cake on the base of the pan.Gently pour ganache over the cake to cover the top fully and let the glaze drip over the sides of the cake. This process should be done quickly, taking care not to allow the ice cream to melt.For Chocolate Mocha Icing:In a small bowl, sift icing sugar, coffee powder and salt; mix well. Keep aside.In a large mixing bowl, beat ½ cup of softened butter until soft and creamy, with the help of a hand mixer. Stir in vanilla essence and beat again.To this, add icing sugar mixture in batches on low speed until it is well combined with the butter-vanilla mixture; scraping down the sides as required.Add milk a teaspoon at a time until you get the consistency you want. I used about 2 teaspoons of milk to get a frosting soft enough to flow through the cake decorating nozzle, but stiff enough to form chocolate kisses on top of cake using the star tip.Once the cake is fully frozen again, remove from freezer and using a decorating tip, pipe borders on top and bottom of cake. Decorate with cherries and return to freezer to freeze again until serving time.Although the whole process is time consuming, the end result is worth it! Remove cake from freezer about 10 minutes before serving time.Serve Ice Cream Cake Recipe With Chocolate Mocha Frosting with Crunchy Baked Cheese Crisps Recipe, Cottage Cheese Dip Recipe With Pepper and Olives, Grilled Spicy Potato Sandwich Recipe and Ice-Apple And Plum Rose Juice Recipe to celebrate a birthday bash or an evening party.
</t>
  </si>
  <si>
    <t>Para preparar el pastel de chocolate y moca: Para empezar a preparar la receta de pastel helado con glaseado de chocolate y moca, primero prepare el pastel de chocolate y moca. Tenga a mano el helado y los demás ingredientes para su uso posterior. Precaliente el horno a 175 °C (350 °F). Engrase y enharine un molde desmontable de 20 cm. Yo forré el fondo con papel aluminio y luego lo engrasé y enhariné para facilitar el desmoldado. Reserve. En un tazón pequeño, mezcle los ingredientes secos del pastel: harina integral, azúcar moreno, cacao en polvo, café instantáneo en polvo y sal. Mezclar bien con un batidor de varillas. Agregar aceite, esencia de vainilla, 1 cucharada de vinagre y 1 taza de agua. Mezclar bien con una cuchara o tenedor hasta que esté bien integrado. Verter la mezcla en el molde preparado y hornear durante 30 a 35 minutos, hasta que al insertar un palillo en el centro, este salga limpio. Retirar el molde del horno y dejar enfriar el pastel, sin desmoldarlo, sobre una rejilla durante unos 10 minutos. Pasados ​​10 minutos, desmoldar del molde desmontable y del papel aluminio; dejar enfriar completamente el pastel de chocolate y moca sobre una rejilla. Una vez enfriado el pastel, cortarlo horizontalmente por la mitad con un cuchillo grande y afilado, para formar dos capas finas. Devolver una capa al molde desmontable y cerrar el pestillo. Colocar el molde en el congelador durante 1 o 2 horas para enfriar el pastel. Mientras tanto, retirar un helado de un sabor (yo usé helado de grosella negra) y dejar que se ablande a temperatura ambiente. El helado debe estar lo suficientemente suave como para extenderse fácilmente sobre el pastel frío y no debe derretirse. Alternativamente, puede sacar el helado frío y batirlo en una batidora de mano para suavizarlo. Una vez que el helado esté lo suficientemente suave como para extenderse, retire del congelador el molde con la primera capa de pastel. Extienda el helado suavizado sobre esa capa y alise con una espátula desplazada. He usado aproximadamente 1 litro de helado para la primera capa de helado. Coloque la segunda capa de pastel sobre esta y regrese el molde al congelador para dejar que el helado cuaje completamente; aproximadamente de 2 a 3 horas. Retire el segundo sabor de helado del congelador y déjelo ablandar a temperatura ambiente hasta que esté suave y untable. Retire el molde para pastel del congelador y extienda la segunda capa de helado uniformemente y alise la parte superior para nivelarla tanto como sea posible. Regrese el molde desmontable al congelador durante aproximadamente 3 a 4 horas para congelarlo completamente. Es mejor guardarlo toda la noche en el congelador. Al día siguiente, prepare el ganache de chocolate y el glaseado de chocolate moca. Una vez preparado el ganache de chocolate, como el ganache está frío pero todavía en forma líquida, retire el pastel de helado del congelador y suelte el pestillo del molde desmontable y retire el lado vertical del molde, dejando el pastel de helado en la base del molde. Vierta suavemente el ganache sobre el pastel para cubrir la parte superior completamente y deje que el glaseado gotee sobre los lados del pastel. Este proceso debe hacerse rápidamente, teniendo cuidado de no permitir que el helado se derrita. Para el glaseado de chocolate moca: En un tazón pequeño, tamice el azúcar glas, el café en polvo y la sal; mezcle bien. Reserve. En un tazón grande, bata ½ taza de mantequilla suavizada hasta que esté suave y cremosa, con la ayuda de una batidora de mano. Agregue la esencia de vainilla y vuelva a batir. A esto, agregue la mezcla de azúcar glas en tandas a baja velocidad hasta que esté bien combinada con la mezcla de mantequilla y vainilla; Raspando los lados según sea necesario. Agrega leche, cucharadita a cucharadita, hasta obtener la consistencia deseada. Usé unas 2 cucharaditas de leche para obtener un glaseado lo suficientemente suave como para que fluya por la boquilla para decorar pasteles, pero lo suficientemente firme como para formar besos de chocolate sobre el pastel usando la boquilla de estrella. Una vez que el pastel esté completamente congelado, sácalo del congelador y, con una boquilla para decorar, dibuja los bordes en la parte superior e inferior. Decora con cerezas y vuelve a congelarlo hasta la hora de servir. Aunque todo el proceso lleva tiempo, ¡el resultado final vale la pena! Retira el pastel del congelador unos 10 minutos antes de servir. Sirve la Receta de Pastel Helado con Glaseado de Chocolate y Moca con la Receta de Crujientes Chips de Queso Horneados, la Receta de Dip de Queso Cottage con Pimienta y Aceitunas, la Receta de Sándwich de Papas Picantes a la Parrilla y la Receta de Jugo de Rosas de Manzana y Ciruela Helada para celebrar un cumpleaños o una fiesta.</t>
  </si>
  <si>
    <t>Pour réaliser un gâteau au chocolat et au moka : Pour commencer la recette du gâteau glacé au chocolat et au moka, commencez par préparer le gâteau. Conservez également la glace et tous les autres ingrédients pour une utilisation ultérieure. Préchauffez le four à 175 °C (180 °F). Graissez et farinez un moule à charnière de 20 cm. J'ai tapissé le fond de papier aluminium, puis je l'ai graissé et fariné pour faciliter le démoulage. Réservez. Dans un petit bol, mélangez les ingrédients secs : farine complète, cassonade, cacao en poudre, café instantané en poudre et sel. Bien mélanger au fouet. Ajouter l'huile, l'extrait de vanille, 1 cuillère à soupe de vinaigre et 250 ml d'eau. Bien mélanger à la cuillère ou à la fourchette jusqu'à obtenir un mélange homogène. Verser la pâte dans le moule préparé et enfourner 30 à 35 minutes, jusqu'à ce qu'un cure-dent inséré au centre en ressorte propre. Retirer le moule du four et laisser refroidir le gâteau sans le démouler, sur une grille pendant environ 10 minutes. Au bout de 10 minutes, retirer le moule à charnière et le papier aluminium ; laisser refroidir complètement le gâteau chocolat moka sur une grille. Une fois le gâteau complètement refroidi, à l'aide d'un grand couteau bien aiguisé, couper le gâteau en deux horizontalement pour former deux fines couches. Remettre une couche dans le moule à charnière et refermer le loquet. Placer le moule au congélateur pendant 1 à 2 heures pour refroidir le gâteau. Pendant ce temps, retirer un parfum de glace (j'ai utilisé de la glace au cassis) et la laisser ramollir à température ambiante. La glace doit être suffisamment molle pour s'étaler facilement sur le gâteau refroidi, et ne doit pas fondre. Vous pouvez également sortir la glace refroidie et la battre au batteur électrique pour la lisser. Une fois la glace suffisamment molle pour être étalée, sortez le moule contenant la première couche de gâteau du congélateur. Étalez la glace ramollie dessus et lissez avec une spatule coudée. J'ai utilisé environ 1 litre de glace pour la première couche. Déposez la deuxième couche de gâteau par-dessus et remettez le moule au congélateur pour laisser la glace prendre complètement, environ 2 à 3 heures. Sortez la deuxième glace du congélateur et laissez-la ramollir à température ambiante jusqu'à ce qu'elle soit molle et facile à étaler. Retirez le moule à gâteau du congélateur et étalez la deuxième couche de glace uniformément en lissant le dessus autant que possible. Remettez le moule à charnière au congélateur pendant environ 3 à 4 heures pour qu'il prenne complètement. Il est préférable de le conserver toute la nuit au congélateur. Le lendemain, préparez la ganache au chocolat et le glaçage moka au chocolat. Une fois la ganache au chocolat préparée, lorsqu'elle est froide mais encore liquide, sortez le gâteau glacé du congélateur, ouvrez le moule à charnière et retirez le côté vertical du moule, en laissant le gâteau glacé au fond du moule. Versez délicatement la ganache sur le gâteau pour bien le recouvrir et laissez le glaçage couler sur les côtés du gâteau. Cette opération doit être effectuée rapidement, en veillant à ne pas laisser la glace fondre. Pour le glaçage moka au chocolat : Dans un petit bol, tamisez le sucre glace, le café en poudre et le sel ; mélangez bien. Réservez. Dans un grand saladier, battez 125 ml de beurre ramolli jusqu'à ce qu'il soit mou et crémeux, à l'aide d'un batteur à main. Incorporez l'essence de vanille et battez à nouveau. Ajoutez ensuite le mélange de sucre glace par lots à basse vitesse jusqu'à ce qu'il soit bien incorporé au mélange beurre-vanille ; En raclant les bords si nécessaire, ajoutez du lait une cuillère à café à la fois jusqu'à obtenir la consistance souhaitée. J'ai utilisé environ 2 cuillères à café de lait pour obtenir un glaçage suffisamment souple pour couler à travers la douille à gâteau, mais suffisamment ferme pour former des petits baisers de chocolat sur le dessus du gâteau à l'aide de la douille cannelée. Une fois le gâteau complètement congelé, sortez-le du congélateur et, à l'aide d'une douille à gâteau, dessinez des bordures sur le dessus et le dessous du gâteau. Décorez de cerises et remettez au congélateur pour le congeler à nouveau jusqu'au moment de servir. Bien que le processus soit long, le résultat final en vaut la peine ! Sortez le gâteau du congélateur environ 10 minutes avant de servir. Servez la recette de gâteau glacé avec glaçage moka au chocolat, accompagnée de chips de fromage croustillantes cuites au four, la recette de trempette au fromage blanc au poivre et aux olives, la recette de sandwich aux pommes de terre épicées grillées et la recette de jus de rose glacé aux pommes et aux prunes pour célébrer un anniversaire ou une soirée.</t>
  </si>
  <si>
    <t>http://www.archanaskitchen.com/ice-cream-cake-recipe-with-chocolate-mocha-frosting</t>
  </si>
  <si>
    <t>Spinach &amp; Apple Salad Recipe With Orange Dressing</t>
  </si>
  <si>
    <t>Spinat-Apfel-Salat-Rezept mit Orangendressing</t>
  </si>
  <si>
    <t>Recette de salade d'épinards et de pommes avec vinaigrette à l'orange</t>
  </si>
  <si>
    <t>Receta de ensalada de espinacas y manzana con vinagreta de naranja</t>
  </si>
  <si>
    <t>1 tasse de feuilles d'épinards (Palak) - fraîches et lavées, 6 oranges - coupées en segments, 1 pomme - coupée en diagonales, 2 cuillères à soupe de graines de tournesol, 1 orange - pressée en jus, 1 jus de citron, 1 cuillère à soupe de Tabasco Original - Sauce piquante, Sel et poivre - pour l'assaisonnement</t>
  </si>
  <si>
    <t>1 cup Spinach Leaves (Palak) - fresh and washed,6 Orange - cut into segments,1 Apple - cut into diagonals,2 tablespoon Sunflower seeds,1 Orange - squeezed into juice,1 Lemon juice,1 tablespoon Tabasco Original - Hot Sauce,Salt and Pepper - for seasoning</t>
  </si>
  <si>
    <t>1 taza de hojas de espinaca (Palak) - frescas y lavadas, 6 naranjas - cortadas en gajos, 1 manzana - cortada en diagonales, 2 cucharadas de semillas de girasol, 1 naranja - exprimida en jugo, 1 jugo de limón, 1 cucharada de Tabasco Original - Salsa picante, Sal y pimienta - para condimentar</t>
  </si>
  <si>
    <t xml:space="preserve">To begin making the Spinach &amp; Apple Salad Recipe With Orange Dressing prep all the ingredients and keep it ready.Add the spinach, orange, apple and sunflower seeds into a mixing bowl.In another small bowl whisk in the orange juice, lemon juice, tabasco sauce, salt and pepper and mix well to combine.Check the seasoning and adjust according to taste and then drizzle the dressing over the fruits and vegetables.Toss the salad gently till it all combines and then sprinkle few sunflower seeds over Spinach &amp; Apple Salad and serve.Serve the Spinach &amp; Apple Salad Recipe With Orange Dressing with Mexican Vegetarian Bean &amp; Cheese Enchiladas Recipe for lunch or dinner.
</t>
  </si>
  <si>
    <t>Para comenzar a hacer la Receta de Ensalada de Espinacas y Manzana con Aderezo de Naranja, prepare todos los ingredientes y téngalos listos. Agregue las espinacas, la naranja, la manzana y las semillas de girasol en un tazón. En otro tazón pequeño, agregue el jugo de naranja, el jugo de limón, la salsa Tabasco, la sal y la pimienta y mezcle bien. Verifique el condimento y ajuste según su gusto y luego rocíe el aderezo sobre las frutas y verduras. Mezcle la ensalada suavemente hasta que todo se combine y luego espolvoree algunas semillas de girasol sobre la Ensalada de Espinacas y Manzana y sirva. Sirva la Receta de Ensalada de Espinacas y Manzana con Aderezo de Naranja con la Receta de Enchiladas Vegetarianas Mexicanas de Frijoles y Queso para el almuerzo o la cena.</t>
  </si>
  <si>
    <t>Pour commencer à préparer la recette de salade d'épinards et de pommes avec vinaigrette à l'orange, préparez tous les ingrédients et gardez-la prête. Ajoutez les épinards, l'orange, la pomme et les graines de tournesol dans un bol à mélanger. Dans un autre petit bol, fouettez le jus d'orange, le jus de citron, la sauce tabasco, le sel et le poivre et mélangez bien. Vérifiez l'assaisonnement et ajustez selon votre goût, puis versez la vinaigrette sur les fruits et légumes. Remuez délicatement la salade jusqu'à ce que le tout soit bien mélangé, puis saupoudrez quelques graines de tournesol sur la salade d'épinards et de pommes et servez. Servez la recette de salade d'épinards et de pommes avec vinaigrette à l'orange avec la recette d'enchiladas végétariennes mexicaines aux haricots et au fromage pour le déjeuner ou le dîner.</t>
  </si>
  <si>
    <t>https://www.archanaskitchen.com/spinach-apple-with-orange-dressing-recipe</t>
  </si>
  <si>
    <t>Lemongrass Tomato Corn Soup Recipe</t>
  </si>
  <si>
    <t>Rezept für Zitronengras-Tomaten-Mais-Suppe</t>
  </si>
  <si>
    <t>Recette de soupe à la citronnelle, aux tomates et au maïs</t>
  </si>
  <si>
    <t>Receta de sopa de limoncillo, tomate y maíz</t>
  </si>
  <si>
    <t>4 tomates vertes, 2 tomates mûres, 1 tasse de maïs doux décortiqué, 4 tasses de bouillon de légumes, 1 oignon rouge, 2,5 cm de gingembre, 2 gousses d'ail, 2 cuillères à soupe d'huile d'olive extra vierge, 1 cuillère à soupe de citronnelle hachée, 1 cuillère à café d'origan séché, 1 cuillère à café de poudre de poivre noir, 1 cuillère à café de poudre de curry, 1 brin de feuilles de basilic, sel et poivre au goût, beurre au goût</t>
  </si>
  <si>
    <t>4 Tomatoes - green,2 Tomatoes - ripen,1 cup Sweet corn - shelled,4 cups Vegetable stock,1 Red onion,1 inch Ginger,2 cloves Garlic,2 tablespoons Extra Virgin Olive Oil,1 tablespoon Lemongrass - minced,1 teaspoon Dried oregano,1 teaspoon Black pepper powder,1 teaspoon Curry powder,1 sprig Basil leaves,Salt and Pepper - to taste,Butter - for taste</t>
  </si>
  <si>
    <t>4 tomates - verdes, 2 tomates - maduros, 1 taza de maíz dulce - desgranado, 4 tazas de caldo de verduras, 1 cebolla roja, 1 pulgada de jengibre, 2 dientes de ajo, 2 cucharadas de aceite de oliva virgen extra, 1 cucharada de limoncillo - picado, 1 cucharadita de orégano seco, 1 cucharadita de pimienta negra en polvo, 1 cucharadita de curry en polvo, 1 ramita de hojas de albahaca, sal y pimienta - al gusto, mantequilla - al gusto</t>
  </si>
  <si>
    <t xml:space="preserve">To begin making the Lemongrass Tomato Corn Soup Recipe, we will first chop the tomatoes, onion, garlic, basil leaves, lemongrass stalks and set aside.Heat olive oil in a heavy bottomed pan, add the onions, ginger and garlic and saute on low heat until soft and lightly golden. Add basil, oregano, lemongrass and the curry powder and sauté for 10 seconds. Add the chopped  tomato and corn, saute for 5 minutes on low flame until the tomatoes become slightly tender. Add the vegetable stock and bring the soup to a brisk boil. Once the soup comes to a brisk boil turn the heat to low and simmer on low heat for about 15 minutes until the corn is cooked through.Use a hand blender and pulse the soup to make it chunky and creamy. Roughly tear the basil leaves and stir it into the soup. Check the salt and pepper and adjust to suit your taste.Transfer the Lemongrass Tomato Corn Soup into serving bowl and serve hot.Serve Lemongrass Tomato Corn Soup along with Whole Wheat Rosemary Focaccia Bread as a weeknight dinner appetizer.
</t>
  </si>
  <si>
    <t>Para comenzar a hacer la Receta de Sopa de Maíz, Tomate y Limoncillo, primero picaremos los tomates, la cebolla, el ajo, las hojas de albahaca, los tallos de limoncillo y reservaremos. Calentamos el aceite de oliva en una sartén de fondo grueso, agregamos las cebollas, el jengibre y el ajo y salteamos a fuego lento hasta que estén suaves y ligeramente dorados. Agregamos la albahaca, el orégano, el limoncillo y el curry en polvo y salteamos durante 10 segundos. Agregamos el tomate picado y el maíz, salteamos durante 5 minutos a fuego lento hasta que los tomates estén ligeramente tiernos. Agregamos el caldo de verduras y llevamos la sopa a ebullición rápida. Una vez que la sopa hierva rápidamente, bajamos el fuego y cocinamos a fuego lento durante unos 15 minutos hasta que el maíz esté bien cocido. Usamos una batidora de mano y pulsamos la sopa para que quede grumosa y cremosa. Rasgamos las hojas de albahaca y las incorporamos a la sopa. Pruebe la sal y la pimienta y ajuste a su gusto. Transfiera la sopa de maíz, tomate y limoncillo a un tazón para servir y sirva caliente. Sirva la sopa de maíz, tomate y limoncillo junto con pan focaccia integral con romero como aperitivo para la cena entre semana.</t>
  </si>
  <si>
    <t>Pour commencer à préparer la recette de soupe de maïs à la tomate et à la citronnelle, nous allons d'abord hacher les tomates, l'oignon, l'ail, les feuilles de basilic, les tiges de citronnelle et les mettre de côté. Faites chauffer l'huile d'olive dans une poêle à fond épais, ajoutez les oignons, le gingembre et l'ail et faites revenir à feu doux jusqu'à ce qu'ils soient tendres et légèrement dorés. Ajoutez le basilic, l'origan, la citronnelle et la poudre de curry et faites revenir pendant 10 secondes. Ajoutez la tomate et le maïs hachés, faites revenir pendant 5 minutes à feu doux jusqu'à ce que les tomates deviennent légèrement tendres. Ajoutez le bouillon de légumes et portez la soupe à ébullition rapide. Une fois que la soupe arrive à ébullition rapide, baissez le feu et laissez mijoter à feu doux pendant environ 15 minutes jusqu'à ce que le maïs soit bien cuit. Utilisez un mixeur plongeant et mixez la soupe pour la rendre épaisse et crémeuse. Déchirez grossièrement les feuilles de basilic et incorporez-les à la soupe. Vérifiez le sel et le poivre et ajustez selon votre goût. Transférez la soupe de maïs à la citronnelle et aux tomates dans un bol de service et servez chaud. Servez la soupe de maïs à la citronnelle et aux tomates avec du pain focaccia au romarin et au blé entier comme apéritif pour un dîner en semaine.</t>
  </si>
  <si>
    <t>https://www.archanaskitchen.com/lemongrass-tomato-corn-soup-recipe</t>
  </si>
  <si>
    <t>Stuffed Mushrooms With Spinach &amp; Parmesan Recipe</t>
  </si>
  <si>
    <t>Rezept für gefüllte Champignons mit Spinat und Parmesan</t>
  </si>
  <si>
    <t>Recette de champignons farcis aux épinards et au parmesan</t>
  </si>
  <si>
    <t>Receta de champiñones rellenos de espinacas y parmesano</t>
  </si>
  <si>
    <t>20 champignons de Paris, 200 grammes d'épinards grossièrement hachés, 1 oignon finement haché, 3 gousses d'ail, 1 cuillère à soupe d'huile d'olive extra vierge, 1 cuillère à soupe de chapelure de blé entier, de préférence italienne, 1/2 cuillère à café d'origan séché, 1/2 cuillère à café de poivron rouge écrasé, 1 cuillère à soupe de parmesan râpé, 2 cuillères à soupe de mozzarella râpée, sel au goût</t>
  </si>
  <si>
    <t>20 Button mushrooms,200 grams Spinach - roughly chopped,1 Onion - finely chopped,3 Garlic - pods,1 tablespoon Extra Virgin Olive Oil,1 tablespoon Whole Wheat Bread crumbs - preferably Italian,1/2 teaspoon Dried oregano,1/2 teaspoon Red Bell pepper (Capsicum) - crushed,1 tablespoon Parmesan cheese - grated,2 tablespoons Mozzarella cheese - shredded,Salt - to taste</t>
  </si>
  <si>
    <t>20 champiñones, 200 gramos de espinacas picadas gruesas, 1 cebolla picada finamente, 3 vainas de ajo, 1 cucharada de aceite de oliva virgen extra, 1 cucharada de pan rallado integral, preferiblemente italiano, 1/2 cucharadita de orégano seco, 1/2 cucharadita de pimiento morrón rojo (Capsicum) triturado, 1 cucharada de queso parmesano rallado, 2 cucharadas de queso mozzarella rallado, sal al gusto</t>
  </si>
  <si>
    <t xml:space="preserve">To begin making the Stuffed Mushrooms With Spinach And Parmesan Recipe, wash and clean the mushrooms. Separate the stems from the mushrooms and take care not to break the cap of the mushrooms. We will be using the cap to stuff the mushrooms with the filling.Chop the mushrooms stems that you had removed and keep them aside. Heat olive oil in a heavy bottomed pan; add the chopped onions, garlic, salt and saute until transparent. Add the chopped mushroom stems and the chopped spinach and stir well. Stir fry until the spinach is cooked and the moisture is evaporated. Once cooked through, turn off the heat and add the crushed red pepper, grated parmesan, dry oregano, Italian bread crumbs and stir well. Check the salt and spice levels and adjust to suit your taste.Once cooked through, turn off the heat and add the crushed red pepper, grated parmesan, dry oregano, Italian bread crumbs and stir well. Check the salt and spice levels and adjust to suit your taste.Preheat oven to 350 F/ 180 C. Stuff the mushrooms with the prepared filling and top with some mozzarella cheese. Place the filled mushrooms on a greased baking tart and place it in the preheated oven. Bake for 20 minutes and serve warm.Bake the Stuffed Mushrooms With Spinach &amp; Parmesan for 20 minutes, until you notice the cheese begins to melt and the mushrooms look wrinkled and cooked.Serve the Stuffed Mushrooms With Spinach &amp; Parmesan as a tea time snack or as an appetizer for parties alongside  Vegetarian Smoked Mexican Bean Rice for a filling meal.
</t>
  </si>
  <si>
    <t>Para comenzar a hacer la Receta de Champiñones Rellenos con Espinacas y Parmesano, lava y limpia los champiñones. Separa los tallos de los champiñones y ten cuidado de no romper la tapa de los champiñones. Usaremos la tapa para rellenar los champiñones con el relleno. Pica los tallos de los champiñones que habías quitado y déjalos a un lado. Calienta el aceite de oliva en una sartén de fondo grueso; agrega las cebollas picadas, el ajo, la sal y saltea hasta que esté transparente. Agrega los tallos de los champiñones picados y las espinacas picadas y revuelve bien. Saltea hasta que las espinacas estén cocidas y la humedad se haya evaporado. Una vez cocido, apaga el fuego y agrega el pimiento rojo triturado, el parmesano rallado, el orégano seco, el pan rallado italiano y revuelve bien. Comprueba los niveles de sal y especias y ajústalos a tu gusto. Una vez cocido, apaga el fuego y agrega el pimiento rojo triturado, el parmesano rallado, el orégano seco, el pan rallado italiano y revuelve bien. Revisa el nivel de sal y especias y ajústalo a tu gusto. Precalienta el horno a 180 °C. Rellena los champiñones con el relleno preparado y cúbrelos con un poco de queso mozzarella. Coloca los champiñones rellenos en una bandeja para hornear engrasada y métela en el horno precalentado. Hornea durante 20 minutos y sirve caliente. Hornea los champiñones rellenos de espinacas y parmesano durante 20 minutos, hasta que notes que el queso comienza a derretirse y los champiñones se ven arrugados y cocidos. Sirve los champiñones rellenos de espinacas y parmesano como un refrigerio para la hora del té o como aperitivo para fiestas junto con un arroz vegetariano ahumado con frijoles mexicanos para una comida abundante.</t>
  </si>
  <si>
    <t>Pour commencer à préparer la recette de champignons farcis aux épinards et au parmesan, lavez et nettoyez les champignons. Séparez les tiges des champignons et veillez à ne pas casser le chapeau des champignons. Nous utiliserons le chapeau pour farcir les champignons avec la garniture. Hachez les tiges de champignons que vous avez retirées et réservez-les. Faites chauffer l'huile d'olive dans une poêle à fond épais ; ajoutez les oignons hachés, l'ail, le sel et faites revenir jusqu'à ce qu'ils soient transparents. Ajoutez les tiges de champignons hachées et les épinards hachés et remuez bien. Faites sauter jusqu'à ce que les épinards soient cuits et que l'humidité soit évaporée. Une fois cuits, éteignez le feu et ajoutez le poivron rouge concassé, le parmesan râpé, l'origan sec, la chapelure italienne et remuez bien. Vérifiez les niveaux de sel et d'épices et ajustez selon votre goût. Une fois cuits, éteignez le feu et ajoutez le poivron rouge concassé, le parmesan râpé, l'origan sec, la chapelure italienne et remuez bien. Vérifiez les niveaux de sel et d'épices et ajustez-les à votre goût. Préchauffez le four à 180 °C. Farcissez les champignons avec la garniture préparée et garnissez de mozzarella. Placez les champignons farcis sur une tarte graissée et placez-la dans le four préchauffé. Faites cuire pendant 20 minutes et servez chaud. Faites cuire les champignons farcis aux épinards et au parmesan pendant 20 minutes, jusqu'à ce que le fromage commence à fondre et que les champignons paraissent ridés et cuits. Servez les champignons farcis aux épinards et au parmesan comme collation à l'heure du thé ou comme apéritif pour les fêtes, accompagnés de riz aux haricots mexicains fumés végétariens pour un repas copieux.</t>
  </si>
  <si>
    <t>http://www.archanaskitchen.com/stuffed-mushrooms-with-spinach-parmesan-recipe</t>
  </si>
  <si>
    <t>Eggless Peach Cobbler Recipe</t>
  </si>
  <si>
    <t>Rezept für Pfirsich-Cobbler ohne Eier</t>
  </si>
  <si>
    <t>Recette de crumble aux pêches sans œufs</t>
  </si>
  <si>
    <t>Receta de crumble de melocotón sin huevo</t>
  </si>
  <si>
    <t>8 pêches - pelées, 1/4 tasse de sucre en poudre, 1/4 tasse de cassonade (sucre Demerara), 1 cuillère à café de jus de citron, 1 cuillère à café de farine de maïs, 1/2 cuillère à café de cannelle en poudre (Dalchini), 1/4 cuillère à café de muscade, 1-1/2 tasse de farine tout usage (Maida) - ou farine de blé entier, 1/4 tasse de cassonade (sucre Demerara), 1/4 tasse de sucre, 1-1/2 cuillère à café de levure chimique, 1/2 cuillère à café de sel, 100 grammes de beurre - coupé en petits morceaux, 1/4 tasse d'eau - bouillie, 4 cuillères à soupe de sucre, 1-1/2 cuillère à café de cannelle en poudre (Dalchini)</t>
  </si>
  <si>
    <t>8 Peaches - peeled,1/4 cup Caster Sugar,1/4 cup Brown Sugar (Demerara Sugar),1 teaspoon Lemon juice,1 teaspoon Corn flour,1/2 teaspoon Cinnamon Powder (Dalchini),1/4 teaspoon Nutmeg,1-1/2 cup All Purpose Flour (Maida) - or whole wheat flour,1/4 cup Brown Sugar (Demerara Sugar),1/4 cup Sugar,1-1/2 teaspoon Baking powder,1/2 teaspoon Salt,100 grams Butter - cut into small pieces,1/4 cup Water - boiled,4 tablespoon Sugar,1-1/2 teaspoon Cinnamon Powder (Dalchini)</t>
  </si>
  <si>
    <t>8 duraznos - pelados, 1/4 taza de azúcar extrafino, 1/4 taza de azúcar morena (azúcar Demerara), 1 cucharadita de jugo de limón, 1 cucharadita de harina de maíz, 1/2 cucharadita de canela en polvo (dalchini), 1/4 cucharadita de nuez moscada, 1-1/2 taza de harina para todo uso (maida) - o harina integral, 1/4 taza de azúcar morena (azúcar Demerara), 1/4 taza de azúcar, 1-1/2 cucharadita de polvo para hornear, 1/2 cucharadita de sal, 100 gramos de mantequilla - cortada en trozos pequeños, 1/4 taza de agua - hervida, 4 cucharadas de azúcar, 1-1/2 cucharadita de canela en polvo (dalchini)</t>
  </si>
  <si>
    <t xml:space="preserve">To begin with, the Eggless Peach Cobbler Recipe, wash the peaches and peel their skin off. Cut them into pieces and place them in a mixing bowl.In the meanwhile preheat the Oven to 220 Degree Celsius.Add cinnamon and nutmeg powder on the peaches also sprinkle some cornstarch and lemon juice. Toss the peaches around so that they are well coated with spices and cornstarch. Place them on a non-greased baking tray and bake for 10 minutes. They will be little soft after ten minutes of baking.Now in an another bowl add brown sugar and white caster sugar along with salt also add all purpose flour to it. You can even use the whole wheat flour. Add cold butter cubes to the dry ingredients and using your fingertips spread the butter. The mixture will resemble sand.Add boiling water to the mixture and combine it until it comes together.Spoon this on top of the baked peaches all over and then spread it all over.In order to give that crispness to the cobbler, mix Castor sugar and cinnamon powder and sprinkle all over the baking tray.Bake it in the preheated oven for 35 minutes or until everything is bubbly and turned caramelised and slightly golden. Serve the Eggless Peach Cobbler with some vanilla ice cream or chocolate ice cream. You can use any ice cream of your choice for this dessert for your weekend dinner.
</t>
  </si>
  <si>
    <t>Para empezar, la Receta de Zapatero de Melocotón sin Huevo, lava los duraznos y pélalos. Córtalos en trozos y colócalos en un tazón. Mientras tanto, precalienta el horno a 220 grados Celsius. Agrega canela y nuez moscada en polvo sobre los duraznos, también espolvorea un poco de maicena y jugo de limón. Revuelve los duraznos para que estén bien cubiertos con especias y maicena. Colócalos en una bandeja para hornear sin engrasar y hornea durante 10 minutos. Estarán un poco suaves después de diez minutos de horneado. Ahora, en otro tazón, agrega azúcar morena y azúcar blanca extrafina junto con sal, también agrega harina para todo uso. Incluso puedes usar harina integral. Agrega cubos de mantequilla fría a los ingredientes secos y con las yemas de los dedos extiende la mantequilla. La mezcla parecerá arena. Agrega agua hirviendo y mézclala hasta que se integre. Vierte la mezcla sobre los duraznos horneados y luego extiéndela por todas partes. Para que el cobbler quede crujiente, mezcla azúcar extrafino y canela en polvo y espolvorea sobre la bandeja para hornear. Hornea en el horno precalentado durante 35 minutos o hasta que todo burbujee, se caramelice y esté ligeramente dorado. Sirve el cobbler de durazno sin huevo con helado de vainilla o de chocolate. Puedes usar el helado que prefieras para este postre en tu cena de fin de semana.</t>
  </si>
  <si>
    <t>Pour commencer, la recette du cordonnier aux pêches sans œufs, lavez les pêches et épluchez-les. Coupez-les en morceaux et placez-les dans un saladier. Pendant ce temps, préchauffez le four à 220 degrés Celsius. Ajoutez de la cannelle et de la poudre de muscade sur les pêches, saupoudrez également de fécule de maïs et de jus de citron. Remuez les pêches pour qu'elles soient bien enrobées d'épices et de fécule de maïs. Placez-les sur une plaque de cuisson non graissée et faites cuire au four pendant 10 minutes. Elles seront un peu molles après dix minutes de cuisson. Maintenant, dans un autre bol, ajoutez la cassonade et le sucre blanc en poudre avec du sel, ajoutez-y également de la farine tout usage. Vous pouvez même utiliser de la farine de blé entier. Ajoutez des cubes de beurre froid aux ingrédients secs et, du bout des doigts, étalez le beurre. Le mélange ressemblera à du sable. Ajoutez de l'eau bouillante au mélange et mélangez jusqu'à obtenir une consistance homogène. Déposez-en une cuillère sur les pêches cuites, puis étalez-la partout. Pour donner du croustillant au cordonnier, mélangez du sucre semoule et de la cannelle en poudre et saupoudrez-en toute la plaque de cuisson. Faites cuire au four préchauffé pendant 35 minutes ou jusqu'à ce que tout soit pétillant, caramélisé et légèrement doré. Servez le cordonnier aux pêches sans œufs avec de la glace à la vanille ou de la glace au chocolat. Vous pouvez utiliser la glace de votre choix pour ce dessert pour votre dîner du week-end.</t>
  </si>
  <si>
    <t>https://www.archanaskitchen.com/eggless-peach-cobbler-recipe</t>
  </si>
  <si>
    <t>Herbed Muffins With Cheese Recipe</t>
  </si>
  <si>
    <t>Kräutermuffins mit Käse Rezept</t>
  </si>
  <si>
    <t>Recette de muffins aux herbes et au fromage</t>
  </si>
  <si>
    <t>Receta de muffins de hierbas y queso</t>
  </si>
  <si>
    <t>1 tasse de farine tout usage (Maida), 1/2 tasse de Sooji (semoule/Rava), 1-1/2 cuillère à café de levure chimique, 1/4 cuillère à café de bicarbonate de soude, 1/2 cuillère à café d'herbes mélangées (séchées), 1/2 cuillère à café d'assaisonnement pour pizza, 1/2 cuillère à café de sel, 1/4 cuillère à café de flocons de piment rouge, 40 grammes de beurre fondu, 140 grammes de babeurre, 50 grammes de mozzarella râpée</t>
  </si>
  <si>
    <t>1 cup All Purpose Flour (Maida),1/2 cup Sooji (Semolina/ Rava),1-1/2 teaspoons Baking powder,1/4 teaspoon Baking soda,1/2 teaspoon Mixed Herbs (Dried),1/2 teaspoon Pizza seasoning,1/2 teaspoon Salt,1/4 teaspoon Red Chilli flakes,40 gram Butter - melted,140 gram Buttermilk,50 gram Mozzarella cheese - grated</t>
  </si>
  <si>
    <t>1 taza de harina para todo uso (Maida), 1/2 taza de Sooji (sémola/rava), 1-1/2 cucharadita de polvo para hornear, 1/4 cucharadita de bicarbonato de sodio, 1/2 cucharadita de hierbas mixtas (secas), 1/2 cucharadita de condimento para pizza, 1/2 cucharadita de sal, 1/4 cucharadita de hojuelas de chile rojo, 40 gramos de mantequilla derretida, 140 gramos de suero de leche, 50 gramos de queso mozzarella rallado</t>
  </si>
  <si>
    <t xml:space="preserve">To prepare Herbed Muffins With Cheese Recipe, preheat Oven to 150-160 degrees Celsius.Mix all dry ingredients in a large Mixing bowl (flour, rawa, baking powder, baking soda, herbs, pizza seasoning, chilli flakes, and salt).Mix all wet ingredients in a small mixing bowl (melted butter, buttermilk, and mozzarella).Add wet ingredients to dry ingredients and stir until just combined.Divide herbed muffin batter evenly into the greased Muffin tin or paper cups.Bake for 10-15 minutes or until a toothpick inserted into the center of the largest muffin comes out clean.To make Herbed Muffins With Cheese Recipe more interesting, top it up with swirls of homemade mayonnaise, required oregano and chilli sauce and garnish with carrot and capsicum slices and serve.Serve the Herbed Muffins With Cheese Recipe along with Tzatziki dip or Corn Pineapple Salsa Salad to enjoy the muffin.
</t>
  </si>
  <si>
    <t>Para preparar la receta de muffins de hierbas con queso, precaliente el horno a 150-160 grados Celsius. Mezcle todos los ingredientes secos en un tazón grande (harina, rawa, polvo para hornear, bicarbonato de sodio, hierbas, condimento para pizza, hojuelas de chile y sal). Mezcle todos los ingredientes húmedos en un tazón pequeño (mantequilla derretida, suero de leche y mozzarella). Agregue los ingredientes húmedos a los ingredientes secos y revuelva hasta que se combinen. Divida la masa de muffins de hierbas de manera uniforme en el molde para muffins engrasado o en los capacillos de papel. Hornee durante 10 a 15 minutos o hasta que al insertar un palillo en el centro del muffin más grande, este salga limpio. Para hacer que la receta de muffins de hierbas con queso sea más interesante, cúbrala con remolinos de mayonesa casera, el orégano y la salsa de chile necesarios y adorne con rodajas de zanahoria y pimiento y sirva. Sirva la receta de muffins de hierbas con queso junto con salsa tzatziki o maíz Ensalada de salsa de piña para disfrutar del muffin.</t>
  </si>
  <si>
    <t xml:space="preserve">Pour préparer la recette de muffins aux herbes avec du fromage, préchauffez le four à 150-160 degrés Celsius. Mélangez tous les ingrédients secs dans un grand bol à mélanger (farine, rawa, levure chimique, bicarbonate de soude, herbes, assaisonnement à pizza, flocons de piment et sel). Mélangez tous les ingrédients humides dans un petit bol à mélanger (beurre fondu, babeurre et mozzarella). Ajoutez les ingrédients humides aux ingrédients secs et remuez jusqu'à ce que le tout soit bien mélangé. Répartissez uniformément la pâte à muffins aux herbes dans le moule à muffins graissé ou dans des moules en papier. Faites cuire au four pendant 10 à 15 minutes ou jusqu'à ce qu'un cure-dent inséré au centre du plus gros muffin en ressorte propre. Pour rendre la recette de muffins aux herbes avec du fromage plus intéressante, garnissez-la de tourbillons de mayonnaise maison, d'origan et de sauce chili requis, puis garnissez de tranches de carottes et de poivrons et servez. Servez la recette de muffins aux herbes avec du tzatziki ou une salade de salsa au maïs et à l'ananas pour déguster le muffin.
</t>
  </si>
  <si>
    <t>https://www.archanaskitchen.com/herbed-muffins-with-cheese-recipe</t>
  </si>
  <si>
    <t>Eggless Dark Chocolate Cookies With Almonds Recipe</t>
  </si>
  <si>
    <t>Rezept für dunkle Schokoladenkekse ohne Eier mit Mandeln</t>
  </si>
  <si>
    <t>Recette de biscuits au chocolat noir sans œufs aux amandes</t>
  </si>
  <si>
    <t>Receta de galletas de almendras y chocolate negro sin huevo</t>
  </si>
  <si>
    <t>50 grammes de beurre, 200 grammes de chocolat noir, 400 grammes de lait concentré, 4 cuillères à soupe de poudre d'amandes (poudre de Badam), 2 cuillères à café de poudre de cacao, 200 grammes de farine tout usage (Maida), 50 grammes de chocolat blanc - grossièrement haché (pépites de choix blanc)</t>
  </si>
  <si>
    <t>50 grams Butter,200 grams Dark chocolate,400 grams Condensed Milk,4 tablespoons Almond Meal (Badam Powder),2 teaspoons Cocoa Powder,200 grams All Purpose Flour (Maida),50 grams White Chocolate - roughly chopped (white choice chips)</t>
  </si>
  <si>
    <t>50 gramos de mantequilla, 200 gramos de chocolate negro, 400 gramos de leche condensada, 4 cucharadas de harina de almendras (Badam en polvo), 2 cucharaditas de cacao en polvo, 200 gramos de harina para todo uso (Maida), 50 gramos de chocolate blanco picado grueso (chips de chocolate blanco selectos)</t>
  </si>
  <si>
    <t xml:space="preserve">To begin making the Eggless Dark Chocolate Cookies with Almonds recipe, firstly melt dark chocolate in a saucepan on a low heat until it is fully melted and smooth.Add butter and stir the mixture occasionally.Once it is done, remove the pan from the heat and add condensed milk, followed by the almonds and horlicks/bournvita. Mix everything well.In a large mixing bowl, sift in the flour, add the chocolate mixture and make a dough out of it. Chill the dough in the fridge for about 20 to 30 minutes.Once cool, add roughly chopped the white chocolate, then mix it all together. Preheat the oven to 170°C.Divide the mixture into 15-20 equal sized balls and place on a greased large baking trays.Flatten each roll a little then bake for around 12 minutes, or until chewy in the middle and firm at the edges.Once its done, take out the tray and let it cool down for 5 minutes.Drizzle some melted chocolate over cookies and its ready to serve. Serve Eggless Dark Chocolate Cookies with Almonds with a cup of Masala Chai and Grilled Spicy Potato Sandwich during tea time.
</t>
  </si>
  <si>
    <t>Para empezar a hacer la receta de Galletas de Chocolate Negro con Almendras sin Huevo, primero derrite el chocolate negro en una cacerola a fuego lento hasta que esté completamente derretido y suave. Agrega la mantequilla y revuelve la mezcla de vez en cuando. Una vez hecho esto, retira la cacerola del fuego y agrega la leche condensada, seguida de las almendras y horlicks/bournvita. Mezcla todo bien. En un tazón grande, tamiza la harina, agrega la mezcla de chocolate y haz una masa con ella. Enfría la masa en el refrigerador durante unos 20 a 30 minutos. Una vez fría, agrega el chocolate blanco picado grueso y luego mézclalo todo. Precalienta el horno a 170 °C. Divide la mezcla en 15-20 bolitas del mismo tamaño y colócalas en bandejas grandes engrasadas. Aplana un poco cada bollito y hornéalo durante unos 12 minutos, o hasta que estén tiernas por dentro y firmes por los bordes. Una vez listas, retira la bandeja y deja enfriar durante 5 minutos. Rocía un poco de chocolate derretido sobre las galletas y estarán listas para servir. Sirve las galletas de chocolate negro sin huevo con almendras con una taza de Masala Chai y un sándwich de patata picante a la parrilla durante la merienda.</t>
  </si>
  <si>
    <t>Pour commencer à préparer la recette de biscuits au chocolat noir sans œufs et aux amandes, faites d'abord fondre le chocolat noir dans une casserole à feu doux jusqu'à ce qu'il soit complètement fondu et lisse. Ajoutez le beurre et remuez le mélange de temps en temps. Une fois terminé, retirez la casserole du feu et ajoutez le lait concentré, suivi des amandes et des horlicks/bournvita. Mélangez bien le tout. Dans un grand saladier, tamisez la farine, ajoutez le mélange de chocolat et faites-en une pâte. Laissez refroidir la pâte au réfrigérateur pendant environ 20 à 30 minutes. Une fois refroidi, ajoutez le chocolat blanc grossièrement haché, puis mélangez le tout. Préchauffer le four à 170 °C. Diviser la pâte en 15 à 20 boules de taille égale et les disposer sur une grande plaque de cuisson graissée. Aplatir légèrement chaque boule et cuire au four pendant environ 12 minutes, ou jusqu'à ce qu'elles soient moelleuses au centre et fermes sur les bords. Une fois cuites, retirer la plaque et laisser refroidir 5 minutes. Verser un filet de chocolat fondu sur les biscuits et servir. Servir les biscuits au chocolat noir sans œufs et aux amandes avec une tasse de Masala Chai et un sandwich aux pommes de terre épicées grillées à l'heure du thé.</t>
  </si>
  <si>
    <t>https://www.archanaskitchen.com/eggless-dark-chocolate-cookies-with-almonds-recipe</t>
  </si>
  <si>
    <t>Super Food Green Smoothie Recipe With Greek Yogurt Papaya Spirulina &amp; Wheat Grass</t>
  </si>
  <si>
    <t>Superfood-Grüner-Smoothie-Rezept mit griechischem Joghurt, Papaya, Spirulina und Weizengras</t>
  </si>
  <si>
    <t>Recette de smoothie vert superalimentaire au yaourt grec, papaye, spiruline et herbe de blé</t>
  </si>
  <si>
    <t>Receta de batido verde superalimento con yogur griego, papaya, espirulina y pasto de trigo</t>
  </si>
  <si>
    <t>1 tasse de lait de soja, 1 tasse de yaourt grec (Hung Curd), 1 tasse de papaye, 2 cuillères à café de spiruline, 2 cuillères à café de poudre de luzerne, 1 cuillère à café de poudre d'herbe de blé, 2 cuillères à soupe de miel, 1 cuillère à café de graines de lin grillées, Tulsi (basilic sacré) pour la garniture</t>
  </si>
  <si>
    <t>1 cup Soy milk,1 cup Hung Curd (Greek Yogurt),1 cup Papaya,2 teaspoons Spirulina,2 teaspoons Alfalfa Powder,1 teaspoon Wheat Grass Powder,2 tablespoons Honey,1 teaspoon Flax seeds - toasted,Tulsi (holy basil) - for garnish</t>
  </si>
  <si>
    <t>1 taza de leche de soya, 1 taza de cuajada Hung (yogur griego), 1 taza de papaya, 2 cucharaditas de espirulina, 2 cucharaditas de polvo de alfalfa, 1 cucharadita de polvo de pasto de trigo, 2 cucharadas de miel, 1 cucharadita de semillas de lino tostadas, tulsi (albahaca sagrada) - para decorar</t>
  </si>
  <si>
    <t xml:space="preserve">To begin making the Super Food Green Smoothie Recipe, first prep all the ingredients and keep them handy.Add all the ingredients except the flaxseed and tulsi into a blender and make a smooth puree. Add water or more soy milk if required to adjust the consistency of the smoothie.Pour the Super Food Green Smoothie into glasses, garnish with flax seeds and serve.
</t>
  </si>
  <si>
    <t>Para empezar a preparar la receta del batido verde Super Food, primero prepara todos los ingredientes y tenlos a mano. Agrega todos los ingredientes, excepto la linaza y la tulsi, a una licuadora y haz un puré suave. Agrega agua o más leche de soya si es necesario para ajustar la consistencia del batido. Vierte el batido verde Super Food en vasos, decora con semillas de lino y sirve.</t>
  </si>
  <si>
    <t>Pour commencer à préparer la recette du smoothie vert aux superaliments, préparez d'abord tous les ingrédients et gardez-les à portée de main. Ajoutez tous les ingrédients, sauf les graines de lin et le tulsi, dans un mixeur et réduisez en purée lisse. Ajoutez de l'eau ou du lait de soja si nécessaire pour ajuster la consistance du smoothie. Versez le smoothie vert aux superaliments dans des verres, décorez de graines de lin et servez.</t>
  </si>
  <si>
    <t>https://www.archanaskitchen.com/super-food-green-smoothie-recipe-with-greek-yogurt-papaya-spirulina-wheat-grass</t>
  </si>
  <si>
    <t>Sweet And Spicy Tofu Salad With Beetroot Recipe</t>
  </si>
  <si>
    <t>Süß-scharfer Tofusalat mit Roter Bete Rezept</t>
  </si>
  <si>
    <t>Recette de salade de tofu sucrée et épicée à la betterave</t>
  </si>
  <si>
    <t>Receta de ensalada de remolacha y tofu agridulce</t>
  </si>
  <si>
    <t>1 tasse de tofu en dés, 1 betterave coupée en dés et cuite à la vapeur, 1 oignon finement haché, 2 tomates épépinées et finement hachées, quelques feuilles de coriandre (Dhania), 1 piment vert finement haché, 1/2 cuillère à soupe de sauce soja légère, 1/2 cuillère à soupe de sirop d'érable ou de miel, 1/2 cuillère à soupe de vinaigre balsamique, 1 pincée de flocons de piment rouge</t>
  </si>
  <si>
    <t>1 cup Tofu - dices,1 Beetroot - diced and steamed,1 Onion - finely chopped,2 Tomatoes - de-seeded and finely chopped,Coriander (Dhania) Leaves - few,1 Green Chilli - finely chopped,1/2 tablespoon Light soy sauce,1/2 tablespoon Maple syrup - or honey,1/2 tablespoon Balsamic Vinegar,1 pinch Red Chilli flakes</t>
  </si>
  <si>
    <t>1 taza de tofu en cubos, 1 remolacha en cubos y al vapor, 1 cebolla finamente picada, 2 tomates sin semillas y finamente picados, hojas de cilantro (Dhania) pocas, 1 chile verde finamente picado, 1/2 cucharada de salsa de soja ligera, 1/2 cucharada de jarabe de arce o miel, 1/2 cucharada de vinagre balsámico, 1 pizca de hojuelas de chile rojo</t>
  </si>
  <si>
    <t xml:space="preserve">To begin making this Sweet And Spicy Tofu Salad With Beetroot, we will first steam the beetroots in a steamer. Cut the beets to desired sizes and place it in a steamer. Steam until cooked well.Once the beets are steamed, set them aside to cool completely.In a salad mixing bowl combine the onions, tomatoes, the steamed beets and green chillies and keep this aside.We will next prepare the dressing for the salad.Mix the balsamic vinegar, maple syrup(or honey) and soy sauce in a small bowl and whisk together.To prepare the salad, spread the cut tofu out on a the serving plate. Scatter the steamed beetroot and onion mixture pieces around it. Pour the prepared salad dressing over the vegetables, sprinkle the coriander leaves and serve.Serve the Sweet And Spicy Tofu Salad with Beetroot for a light weeknight dinner along with a soup and toasted bread.
</t>
  </si>
  <si>
    <t>Para preparar esta ensalada de tofu agridulce con remolacha, primero cocinaremos las remolachas al vapor en una vaporera. Córtelas al tamaño deseado y colóquelas en la vaporera. Cocínelas al vapor hasta que estén bien cocidas. Una vez cocidas, déjelas enfriar por completo. En un bol, combine la cebolla, el tomate, la remolacha al vapor y los chiles verdes, y reserve. A continuación, prepare el aderezo. Mezcle el vinagre balsámico, el jarabe de arce (o miel) y la salsa de soja en un bol pequeño y bata. Para preparar la ensalada, extienda el tofu cortado en un plato. Esparza la remolacha al vapor y la mezcla de cebolla alrededor. Vierta el aderezo preparado sobre las verduras, espolvoree con hojas de cilantro y sirva. Sirva la ensalada de tofu agridulce con remolacha para una cena ligera entre semana, acompañada de una sopa y pan tostado.</t>
  </si>
  <si>
    <t>Pour préparer cette salade de tofu sucré-épicé à la betterave, nous allons d'abord cuire les betteraves à la vapeur. Coupez-les à la taille souhaitée et placez-les dans le cuiseur vapeur. Faites-les cuire à la vapeur jusqu'à ce qu'elles soient bien cuites. Une fois les betteraves cuites, laissez-les refroidir complètement. Dans un saladier, mélangez les oignons, les tomates, les betteraves cuites à la vapeur et les piments verts. Réservez. Nous allons ensuite préparer la vinaigrette. Mélangez le vinaigre balsamique, le sirop d'érable (ou le miel) et la sauce soja dans un petit bol et fouettez. Pour préparer la salade, étalez le tofu coupé sur une assiette de service. Répartissez le mélange de betteraves et d'oignons cuits à la vapeur autour. Versez la vinaigrette préparée sur les légumes, parsemez de feuilles de coriandre et servez. Servez la salade de tofu sucré-épicé à la betterave pour un dîner léger en semaine, accompagné d'une soupe et de pain grillé.</t>
  </si>
  <si>
    <t>https://www.archanaskitchen.com/sweet-and-spicy-tofu-salad-with-beetroot-recipe</t>
  </si>
  <si>
    <t>Ragi, Wheat &amp; Oat Waffles Recipe With Maple Syrup</t>
  </si>
  <si>
    <t>Rezept für Ragi-, Weizen- und Haferwaffeln mit Ahornsirup</t>
  </si>
  <si>
    <t>Recette de gaufres au ragi, blé et avoine au sirop d'érable</t>
  </si>
  <si>
    <t>Receta de waffles de ragi, trigo y avena con jarabe de arce</t>
  </si>
  <si>
    <t>2 œufs entiers - ou substitut d'œuf aux graines de lin, 1 tasse de lait, 1/4 tasse d'huile de tournesol, 2 cuillères à café de sucre, 1 cuillère à café de levure chimique, 1/8 cuillère à café de sel, 1/4 cuillère à café d'extrait de vanille, 1/2 tasse de farine de blé entier, 1/4 tasse de farine de ragi (millet des doigts/Nagli), 1/4 tasse de farine d'avoine - (avoine ordinaire moulue en farine), sirop d'érable - ou Nutella pour servir</t>
  </si>
  <si>
    <t>2 Whole Eggs - or flax seed egg replacer,1 cup Milk,1/4 cup Sunflower Oil,2 teaspoons Sugar,1 teaspoon Baking powder,1/8 teaspoon Salt,1/4 teaspoon Vanilla Extract,1/2 cup Whole Wheat Flour,1/4 cup Ragi Flour (Finger Millet/ Nagli),1/4 cup Oats Flour - (regular oats ground into flour),Maple syrup - or Nutella for serving</t>
  </si>
  <si>
    <t>2 huevos enteros o sustituto de huevo de linaza, 1 taza de leche, 1/4 taza de aceite de girasol, 2 cucharaditas de azúcar, 1 cucharadita de polvo para hornear, 1/8 cucharadita de sal, 1/4 cucharadita de extracto de vainilla, 1/2 taza de harina integral, 1/4 taza de harina de ragi (mijo de dedo/nagli), 1/4 taza de harina de avena (avena normal molida en harina), jarabe de arce o Nutella para servir</t>
  </si>
  <si>
    <t xml:space="preserve">To begin making the Ragi, Wheat &amp; Oat Waffles Recipe with Maple Syrup, preheat waffle iron.Beat eggs in large bowl with hand beater until fluffy. Beat in milk, vegetable oil, sugar, baking powder, salt and vanilla, just until smooth.Finally add in the multigrain flours and stir to combine well, until it is smooth with no lumpsGrease the waffle iron pan with oil. Pour mix onto hot waffle iron. Cook until golden brown.Remove from the pan and continue the same with the remaining waffle batterTo serve, place the waffles on the serving platter and spoon nutella over and may be maple syrup or honey over the waffles.Serve Ragi, Wheat &amp; Oat Waffles Recipe With Maple Syrup with a Banana Almond &amp; Prunes Smoothie Recipe, or Strawberry &amp; Oats Breakfast Smoothie Recipe for breakfast or pack the waffle into your kids lunch box with fruits and Fresh Strawberry Jam Recipe (Strawberry Preserve).
</t>
  </si>
  <si>
    <t>Para empezar a preparar la receta de waffles de ragi, trigo y avena con sirope de arce, precalienta la waflera. Bate los huevos en un tazón grande con una batidora de mano hasta que la mezcla esté esponjosa. Incorpora la leche, el aceite vegetal, el azúcar, el polvo para hornear, la sal y la vainilla, batiendo hasta obtener una mezcla homogénea. Finalmente, añade las harinas multigrano y remueve bien hasta obtener una mezcla homogénea y sin grumos. Engrasa la bandeja de la waflera con aceite. Vierte la mezcla sobre la waflera caliente. Cocine hasta que estén dorados. Retire de la sartén y continúe con el resto de la masa de waffles. Para servir, coloque los waffles en la fuente y espolvoree con Nutella y, si es necesario, con jarabe de arce o miel. Sirva la receta de waffles de ragi, trigo y avena con jarabe de arce con un batido de plátano, almendras y ciruelas pasas o un batido de desayuno de fresa y avena para el desayuno o guarde el waffle en la lonchera de sus hijos con frutas y mermelada de fresa fresca (conserva de fresa).</t>
  </si>
  <si>
    <t>Pour commencer à préparer la recette de gaufres au ragi, au blé et à l'avoine avec du sirop d'érable, préchauffez le gaufrier. Battez les œufs dans un grand bol avec un batteur à main jusqu'à obtenir une consistance mousseuse. Incorporez le lait, l'huile végétale, le sucre, la levure chimique, le sel et la vanille, jusqu'à obtenir une consistance lisse. Ajoutez enfin les farines multigrains et mélangez bien jusqu'à obtenir une consistance lisse et sans grumeaux. Graissez le moule à gaufres avec de l'huile. Versez le mélange sur le moule chaud. Faites cuire jusqu'à ce qu'il soit doré. Retirez du moule et répétez l'opération avec le reste de la pâte à gaufres. Pour servir, disposez les gaufres sur un plat de service et nappez-les de Nutella et éventuellement de sirop d'érable ou de miel. Servez la recette de gaufres au ragi, au blé et à l'avoine avec du sirop d'érable avec un smoothie banane, amandes et pruneaux ou un smoothie fraise et avoine pour le petit-déjeuner, ou emportez la gaufre dans la boîte à lunch de vos enfants avec des fruits et une confiture de fraises fraîches.</t>
  </si>
  <si>
    <t>https://www.archanaskitchen.com/multigrain-griddle-pan-waffles-with-nutella-egg-and-eggless-recipe</t>
  </si>
  <si>
    <t>Overnight Oats Recipe (No Cook Blueberry Vanilla and Chia seeds Oatmeal)</t>
  </si>
  <si>
    <t>Rezept für Overnight Oats (Haferflocken ohne Kochen mit Blaubeeren, Vanille und Chiasamen)</t>
  </si>
  <si>
    <t>Recette de flocons d'avoine de nuit (avoine sans cuisson avec myrtilles, vanille et graines de chia)</t>
  </si>
  <si>
    <t>Receta de avena nocturna (avena sin horno con arándanos, vainilla y semillas de chía)</t>
  </si>
  <si>
    <t>1/2 tasse de flocons d'avoine, 3/4 tasse de lait, 1/3 tasse de myrtilles, 1 cuillère à soupe de graines de chia, 1 cuillère à café de miel, 1 cuillère à soupe de badam (amande) - tranchée, 3 gouttes d'extrait de vanille, 1 pincée de sel</t>
  </si>
  <si>
    <t>1/2 cup Rolled Oats,3/4 cup Milk,1/3 cup Blueberries,1 tablespoon Chia Seeds,1 teaspoon Honey,1 tablespoon Badam (Almond) - sliced,3 Drops Vanilla Extract,1 pinch Salt</t>
  </si>
  <si>
    <t>1/2 taza de avena arrollada, 3/4 taza de leche, 1/3 taza de arándanos, 1 cucharada de semillas de chía, 1 cucharadita de miel, 1 cucharada de almendras en rodajas, 3 gotas de extracto de vainilla, 1 pizca de sal</t>
  </si>
  <si>
    <t xml:space="preserve">To begin making the Overnight Oats Recipe (No Cook Blueberry Vanilla and Chia seeds Oatmeal), add all the ingredients together in a glass jar or a bowl.Stir well, cover and refrigerate overnight or for a minimum of 6 hours.The next day morning, remove the oatmeal from the fridge, top off with some fresh berries, fruits, nuts or granola and enjoy the Overnight Oats as a wholesome breakfast along with Rich Chocolate Banana Muffins.
</t>
  </si>
  <si>
    <t>Para empezar a preparar la receta de avena nocturna (avena sin cocción con arándanos, vainilla y semillas de chía), mezcla todos los ingredientes en un frasco de vidrio o un tazón. Revuelve bien, cubre y refrigera durante la noche o por un mínimo de 6 horas. A la mañana siguiente, saca la avena del refrigerador, cúbrela con bayas frescas, frutas, nueces o granola y disfruta de la avena nocturna como un desayuno saludable junto con muffins de plátano y chocolate.</t>
  </si>
  <si>
    <t>Pour commencer à préparer la recette de flocons d'avoine de nuit (gruau aux myrtilles, à la vanille et aux graines de chia sans cuisson), ajoutez tous les ingrédients dans un bocal en verre ou un bol. Bien mélanger, couvrir et réfrigérer toute la nuit ou pendant au moins 6 heures. Le lendemain matin, sortez les flocons d'avoine du réfrigérateur, garnissez-les de baies fraîches, de fruits, de noix ou de granola et savourez les flocons d'avoine de nuit comme un petit-déjeuner sain accompagné de riches muffins au chocolat et à la banane.</t>
  </si>
  <si>
    <t>http://www.archanaskitchen.com/overnight-oats-recipe-no-cook-blueberry-vanilla-and-chia-seeds-oatmeal</t>
  </si>
  <si>
    <t>Chickpea Flour Crepes Recipe With Salad And Chutney Spread</t>
  </si>
  <si>
    <t>Rezept für Crêpes aus Kichererbsenmehl mit Salat und Chutney-Aufstrich</t>
  </si>
  <si>
    <t>Recette de crêpes à la farine de pois chiche avec salade et chutney</t>
  </si>
  <si>
    <t>Receta de panqueques de harina de garbanzos con ensalada y chutney</t>
  </si>
  <si>
    <t>1 tasse de farine de pois chiche (besan), 1/2 tasse de yaourt grec (Hung Curd), 1 cuillère à café d'ajwain (graines de carambole), 1/2 cuillère à café de poudre de piment rouge, 1/2 cuillère à café de poudre de garam masala, sel - au goût, 1 poivron vert (Capsicum) - tranché, 1 carotte (Gajjar) - coupée en lanières, 1 courgette jaune - tranchée finement, 1 oignon - tranché, 1 cuillère à café d'huile de tournesol, 1 cuillère à café d'origan séché, sel - au goût, 1 feuille de coriandre (Dhania), 1 feuille de menthe (Pudina), 1 ail, 1 cuillère à soupe de jus de citron, 1 piment vert, sel - au goût</t>
  </si>
  <si>
    <t>1 cup Gram flour (besan),1/2 cup Hung Curd (Greek Yogurt),1 teaspoon Ajwain (Carom seeds),1/2 teaspoon Red Chilli powder,1/2 teaspoon Garam masala powder,Salt - to taste,1 Green Bell Pepper (Capsicum) - sliced,1 Carrot (Gajjar) - cut into strips,1 Yellow Zucchini - sliced thinly,1 Onion - sliced,1 teaspoon Sunflower Oil,1 teaspoon Dried oregano,Salt - to taste,1 Coriander (Dhania) Leaves,1 Mint Leaves (Pudina),1 Garlic,1 tablespoon Lemon juice,1 Green Chilli,Salt - to taste</t>
  </si>
  <si>
    <t>1 taza de harina de garbanzos (besan), 1/2 taza de yogur griego, 1 cucharadita de semillas de ajowain (carom), 1/2 cucharadita de chile rojo en polvo, 1/2 cucharadita de garam masala en polvo, sal al gusto, 1 pimiento verde (Capsicum) en rodajas, 1 zanahoria (Gajjar) en tiras, 1 calabacín amarillo en rodajas finas, 1 cebolla en rodajas, 1 cucharadita de aceite de girasol, 1 cucharadita de orégano seco, sal al gusto, 1 hoja de cilantro (Dhania), 1 hoja de menta (Pudina), 1 ajo, 1 cucharada de jugo de limón, 1 chile verde, sal al gusto</t>
  </si>
  <si>
    <t xml:space="preserve">To begin making Chickpea Flour Crepes Recipe With Salad And Chutney Spread, grind all the ingredients listed under the chutney spread using a mixer to a fine paste using just enough water and keep aside.Now, take a big bowl add all the ingredients listed under chickpea flour crepes and make an easy to flow batter with enough water and let it rest for a few minutes.Heat oil in a Crepe pan, add the sliced onions and sauté until translucent.To this add the rest of the sliced vegetables - capsicum, yellow zucchini and carrots and sauté for a few minutes.Season with salt and dry oregano, toss and keep aside.In the same pan pour a ladle full of chickpea flour batter and spread it to form a 7-8cms crepe. Cook for 2-3 minutes.Flip over and cook for another 2-3 minute and keep it aside.Likewise, prepare rest of the crepes.To arrange the dish, place a crepe on a plate, spread a tablespoon of the chutney spread that we prepared earlier, place a tablespoon of the salad filling on one side of the crepe and roll it.Prepare the rest of the crepes and serve the healthy Chickpea Flour Crepes Recipe With Salad And Chutney Spread with a glass of Cocoa Banana Almond Date Smoothie or a glass of Carrot Ginger Juice Recipe for kids lunch box or as an offer school snack.
</t>
  </si>
  <si>
    <t>Para comenzar a hacer la receta de crepes de harina de garbanzos con ensalada y salsa chutney, muele todos los ingredientes enumerados bajo la salsa chutney usando una batidora hasta obtener una pasta fina usando solo agua y reserva. Ahora, toma un tazón grande, agrega todos los ingredientes enumerados bajo crepes de harina de garbanzos y haz una masa fácil de fluir con suficiente agua y déjala reposar durante unos minutos. Calienta el aceite en una sartén para crepes, agrega las cebollas en rodajas y saltea hasta que estén transparentes. A esto agrega el resto de las verduras en rodajas: pimiento, calabacín amarillo y zanahorias y saltea durante unos minutos. Sazona con sal y orégano seco, mezcla y reserva. En la misma sartén, vierte un cucharón lleno de masa de harina de garbanzos y extiéndela para formar un crepe de 7-8 cm. Cocine durante 2-3 minutos. Voltee y cocine durante otros 2-3 minutos y reserve. Asimismo, prepare el resto de las crepas. Para montar el plato, coloque una crepa en un plato, extienda una cucharada del chutney que preparamos anteriormente, coloque una cucharada del relleno de ensalada en un lado de la crepa y enróllela. Prepare el resto de las crepas y sirva la saludable Receta de Crepas de Harina de Garbanzos con Ensalada y Chutney con un vaso de Batido de Cacao, Plátano, Almendras y Dátiles o un vaso de Receta de Jugo de Zanahoria y Jengibre para la lonchera de los niños o como merienda escolar.</t>
  </si>
  <si>
    <t>Pour commencer à préparer une recette de crêpes à la farine de pois chiches avec salade et tartinade de chutney, broyez tous les ingrédients énumérés sous la tartinade de chutney à l'aide d'un mixeur jusqu'à obtenir une pâte fine en utilisant juste assez d'eau et réservez. Maintenant, prenez un grand bol, ajoutez tous les ingrédients énumérés sous les crêpes à la farine de pois chiches et faites une pâte facile à couler avec suffisamment d'eau et laissez reposer quelques minutes. Faites chauffer l'huile dans une poêle à crêpes, ajoutez les oignons émincés et faites revenir jusqu'à ce qu'ils soient translucides. Ajoutez à cela le reste des légumes émincés - poivron, courgettes jaunes et carottes et faites revenir quelques minutes. Assaisonnez avec du sel et de l'origan sec, mélangez et réservez. Dans la même poêle, versez une louche pleine de pâte à la farine de pois chiches et étalez-la pour former une crêpe de 7 à 8 cm. Cuire pendant 2 à 3 minutes. Retourner et cuire encore 2 à 3 minutes et réserver. De même, préparer le reste des crêpes. Pour dresser le plat, placer une crêpe sur une assiette, étaler une cuillère à soupe de la pâte à tartiner au chutney que nous avons préparée précédemment, placer une cuillère à soupe de la garniture à salade sur un côté de la crêpe et la rouler. Préparez le reste des crêpes et servez la recette saine de crêpes à la farine de pois chiches avec salade et pâte à tartiner au chutney avec un verre de smoothie cacao banane amande dattes ou un verre de jus de carotte et gingembre pour la boîte à lunch des enfants ou comme collation scolaire.</t>
  </si>
  <si>
    <t>https://www.archanaskitchen.com/chickpea-flour-crepes-recipe-with-salad-and-chutney-spread</t>
  </si>
  <si>
    <t>Papaya Sorbet Recipe</t>
  </si>
  <si>
    <t>Papaya-Sorbet-Rezept</t>
  </si>
  <si>
    <t>Recette de sorbet à la papaye</t>
  </si>
  <si>
    <t>Receta de sorbete de papaya</t>
  </si>
  <si>
    <t>4 tasses de purée de papaye, 150 ml de crème fraîche, 1/2 tasse de miel, 2 cuillères à café de graines de chia, 1/4 tasse de noyaux de grenade frais</t>
  </si>
  <si>
    <t>4 cups Papaya - Puree,150 ml Fresh cream,1/2 cup Honey,2 teaspoon Chia Seeds,1/4 cup Fresh Pomegranate Fruit Kernels</t>
  </si>
  <si>
    <t>4 tazas de puré de papaya, 150 ml de crema fresca, 1/2 taza de miel, 2 cucharaditas de semillas de chía, 1/4 taza de semillas de granada fresca</t>
  </si>
  <si>
    <t xml:space="preserve">To begin making Papaya Sorbet Recipe, we have to first prepare the ripe papaya puree.Add chopped pieces of papaya into a blender with no water until you get a smooth texture. Scoop out the papaya puree and add it into a mixing bowl. To this bowl add in the fresh cream and mix until the Papaya Sorbet mixture is well combined.Now add honey into the papaya mixture, check the sorbet for sweetness and add more if you want to make it more sweeter in taste. Pour the Papaya Sorbet Mixture into a glass container and freeze it overnight or until set, stirring occasionally for two to three times. This will help in reducing the formation of ice crystals in the Papaya Sorbet. Scoop out the Papaya Sorbet into serving cups and garnish with chia seeds and pomegranate. Papaya Sorbet is ready to be served.  Make this Papaya Sorbet this summer and serve as a dessert after a continental meal of Pasta in Red Bell Pepper Sauce and Garlic Bread with Herb Butter. 
</t>
  </si>
  <si>
    <t>Para empezar a hacer la Receta de Sorbete de Papaya, primero tenemos que preparar el puré de papaya madura. Añada trozos de papaya picados a una licuadora sin agua hasta obtener una textura suave. Saque el puré de papaya y añádalo a un tazón. A este tazón agregue la crema fresca y mezcle hasta que la mezcla de sorbete de papaya esté bien combinada. Ahora agregue miel a la mezcla de papaya, verifique el dulzor del sorbete y agregue más si desea que tenga un sabor más dulce. Vierta la mezcla de sorbete de papaya en un recipiente de vidrio y congélelo durante la noche o hasta que cuaje, revolviendo ocasionalmente de dos a tres veces. Esto ayudará a reducir la formación de cristales de hielo en el sorbete de papaya. Vierta el sorbete de papaya en tazas para servir y decore con semillas de chía y granada. El sorbete de papaya está listo para ser servido. Prepare este sorbete de papaya este verano y sírvalo como postre después de una comida continental de pasta en salsa de pimiento rojo y pan de ajo con mantequilla de hierbas.</t>
  </si>
  <si>
    <t>Pour préparer le sorbet à la papaye, préparez d'abord la purée de papaye mûre. Ajoutez les morceaux de papaye hachés dans un mixeur sans eau jusqu'à obtenir une texture lisse. Prélevez la purée de papaye et versez-la dans un saladier. Ajoutez la crème fraîche et mélangez jusqu'à obtenir un mélange homogène. Ajoutez ensuite le miel, vérifiez la douceur du sorbet et ajoutez-en davantage si vous souhaitez un goût plus sucré. Versez le sorbet dans un récipient en verre et congelez-le toute la nuit ou jusqu'à ce qu'il soit pris, en remuant de temps en temps deux ou trois fois. Cela permettra de réduire la formation de cristaux de glace. Répartissez le sorbet dans des coupes et décorez de graines de chia et de grenade. Le sorbet à la papaye est prêt à être servi. Préparez ce sorbet à la papaye cet été et servez-le en dessert après un repas continental composé de pâtes à la sauce aux poivrons rouges et de pain à l'ail au beurre aux herbes.</t>
  </si>
  <si>
    <t>http://www.archanaskitchen.com/papaya-sorbet-recipe</t>
  </si>
  <si>
    <t>Chocolate And Oats Christmas Cookie Cake Recipe</t>
  </si>
  <si>
    <t>Rezept für Weihnachtsplätzchenkuchen mit Schokolade und Hafer</t>
  </si>
  <si>
    <t>Recette de gâteau aux biscuits de Noël au chocolat et à l'avoine</t>
  </si>
  <si>
    <t>Receta de pastel navideño de galletas de avena y chocolate</t>
  </si>
  <si>
    <t>2 tasses d'avoine instantanée (gruau), 250 grammes de pépites de chocolat, 3 cuillères à soupe de beurre, 1/2 tasse de raisins secs, 5 grammes de cerises dénoyautées - coupées en petits morceaux, 1/2 tasse de lait, 1/2 cuillère à café d'extrait de vanille, 1/2 tasse de lait concentré, 50 grammes de cerises dénoyautées, 5 grammes de kiwi, 2 cuillères à soupe de pépites de chocolat</t>
  </si>
  <si>
    <t>2 cups Instant Oats (Oatmeal),250 gram Chocolate chips,3 tablespoons Butter,1/2 cup Raisins,5 grams Pitted Cherries - chopped into small pieces,1/2 cup Milk,1/2 teaspoon Vanilla Extract,1/2 cup Condensed Milk,50 gram Pitted Cherries,5 gram Kiwi,2 tablespoons Chocolate chips</t>
  </si>
  <si>
    <t>2 tazas de avena instantánea (avena), 250 gramos de chispas de chocolate, 3 cucharadas de mantequilla, 1/2 taza de pasas, 5 gramos de cerezas sin hueso (picadas en trozos pequeños), 1/2 taza de leche, 1/2 cucharadita de extracto de vainilla, 1/2 taza de leche condensada, 50 gramos de cerezas sin hueso, 5 gramos de kiwi, 2 cucharadas de chispas de chocolate</t>
  </si>
  <si>
    <t xml:space="preserve">To begin making Chocolate And Oats Christmas Cookie Cake Recipe we will make the cookie cake first. Measure all the quantities and store in small bowls.In a pot add water and bring it to a boil on low heat. Once the water is boiling, keep a wide bowl on top of the boiling pot of water. This is called the double boiler method. Add the chocolate chips and butter.Once the butter and chocolate has melted, turn off the boiling water and add in the vanilla extract into the liquid chocolate Place a saucepan on medium heat and add milk into it. When the milk gets warm add the oats. Stir for few minutes until the milk is totally absorbed into the oats. Pour in the chocolate mixture along with the chopped cherries and raisins for about 10 minutes. Once all the ingredients are well combined, turn off the flame. Take a round baking pan (24 inch), grease all sides of the pan with butter. Pour in the chocolate oats mixture and press it so that it forms a smooth outer layer. Refrigerate for 20 minutes so that it sets.After 20 minutes, take it out of the fridge and invert the Chocolate Cookie Cake onto a cake plate.Pour some condensed milk on top and decorate the cake with cherries, kiwis and chocolate chips as you like it. Serve Chocolate And Oats Christmas Cookie Cake Recipe along with a scoop of Apple Pie Ice Cream as a dessert after a continental lunch of Garlic Spaghetti with Roasted Red Bell Pepper Sauce and Garlic Bread 
</t>
  </si>
  <si>
    <t>Para comenzar a hacer la Receta de Pastel de Galletas Navideñas de Chocolate y Avena, primero haremos el pastel de galletas. Mida todas las cantidades y guárdelas en tazones pequeños. En una olla agregue agua y póngala a hervir a fuego lento. Una vez que el agua esté hirviendo, mantenga un tazón ancho encima de la olla de agua hirviendo. Este se llama el método de baño maría. Agregue las chispas de chocolate y la mantequilla. Una vez que la mantequilla y el chocolate se hayan derretido, apague el agua hirviendo y agregue el extracto de vainilla al chocolate líquido. Coloque una cacerola a fuego medio y agregue la leche. Cuando la leche se caliente agregue la avena. Revuelva durante unos minutos hasta que la leche se absorba totalmente en la avena. Vierta la mezcla de chocolate junto con las cerezas picadas y las pasas durante unos 10 minutos. Una vez que todos los ingredientes estén bien combinados, apague el fuego. Tome un molde para hornear redondo (24 pulgadas), engrase todos los lados del molde con mantequilla. Vierta la mezcla de avena y chocolate y presiónela para que forme una capa exterior suave. Refrigerar durante 20 minutos para que cuaje. Después de 20 minutos, sacar del refrigerador y voltear el pastel de galletas de chocolate sobre un plato para pastel. Verter un poco de leche condensada por encima y decorar el pastel con cerezas, kiwis y chispas de chocolate a su gusto. Sirva la receta de pastel de galletas navideñas de chocolate y avena junto con una bola de helado de pastel de manzana como postre después de un almuerzo continental de espaguetis al ajillo con salsa de pimiento rojo asado y pan de ajo.</t>
  </si>
  <si>
    <t>Pour commencer à préparer la recette du gâteau aux biscuits de Noël au chocolat et à l'avoine, nous allons d'abord préparer le gâteau aux biscuits. Mesurez toutes les quantités et conservez-les dans de petits bols. Dans une casserole, ajoutez de l'eau et portez-la à ébullition à feu doux. Une fois l'eau bouillante, placez un large bol au-dessus de la casserole d'eau bouillante. C'est ce qu'on appelle la méthode du bain-marie. Ajoutez les pépites de chocolat et le beurre. Une fois le beurre et le chocolat fondus, éteignez l'eau bouillante et ajoutez l'extrait de vanille dans le chocolat liquide. Placez une casserole sur feu moyen et ajoutez-y le lait. Lorsque le lait est chaud, ajoutez l'avoine. Remuez pendant quelques minutes jusqu'à ce que le lait soit totalement absorbé par l'avoine. Versez le mélange de chocolat avec les cerises hachées et les raisins secs pendant environ 10 minutes. Une fois tous les ingrédients bien mélangés, éteignez le feu. Prenez un moule rond (24 pouces), graissez tous les côtés du moule avec du beurre. Versez le mélange d'avoine au chocolat et appuyez dessus pour qu'il forme une couche extérieure lisse. Réfrigérer 20 minutes pour qu'il prenne. Au bout de 20 minutes, sortir le gâteau au chocolat et le retourner sur une assiette à gâteau. Verser un peu de lait concentré sur le dessus et décorer le gâteau avec des cerises, des kiwis et des pépites de chocolat selon vos envies. Servir le gâteau de Noël au chocolat et à l'avoine accompagné d'une boule de glace à la tarte aux pommes en dessert après un déjeuner continental composé de spaghettis à l'ail avec sauce aux poivrons rouges rôtis et pain à l'ail.</t>
  </si>
  <si>
    <t>http://www.archanaskitchen.com/chocolate-and-oats-christmas-cookie-cake-recipe</t>
  </si>
  <si>
    <t>Stuffed Jacket Potatoes Recipe</t>
  </si>
  <si>
    <t>Rezept für gefüllte Ofenkartoffeln</t>
  </si>
  <si>
    <t>Recette de pommes de terre farcies au four</t>
  </si>
  <si>
    <t>Receta de papas rellenas al horno</t>
  </si>
  <si>
    <t>4 pommes de terre (Aloo), 100 grammes de fromage râpé, 10 olives noires finement hachées, 100 grammes de maïs doux bouilli, 1 cuillère à café d'assaisonnement italien, 1 cuillère à café de poudre de poivre noir, 1 cuillère à café de feuilles de persil, 1 cuillère à café de sel</t>
  </si>
  <si>
    <t>4 Potatoes (Aloo),100 gram Cheese - grated,10 Black olives - finely chopped,100 grams Sweet corn - boiled,1 teaspoon Italian seasoning,1 teaspoon Black pepper powder,1 teaspoon Parsley leaves,1 teaspoon Salt</t>
  </si>
  <si>
    <t>4 papas (Aloo), 100 gramos de queso rallado, 10 aceitunas negras finamente picadas, 100 gramos de maíz dulce hervido, 1 cucharadita de condimento italiano, 1 cucharadita de pimienta negra en polvo, 1 cucharadita de hojas de perejil, 1 cucharadita de sal</t>
  </si>
  <si>
    <t xml:space="preserve">To begin with Stuffed Jacket Potatoes, wash the potatoes and wipe them with a towel to dry.Prick at a few places with a fork and microwave on high power for 10 minutes (Place potatoes along the circumference of the plate).Allow resting time of 10 minutes. After the resting time, chop 1/3rd of the potato from the top (the bottom would look like a cup).With a spoon scoop out the potato in the centre and keep the cup portion aside.Mix the scooped potato, parsley, cheese, salt, pepper powder, sweet corn, chopped olives, mash in a mixing bowl and mix everything well.Stuff this mixture back to the cup portions of the potatoes. Cook the stuffed potatoes for 2 minutes in the microwave and it is ready to be served.Serve Stuffed Jacket Potatoes with Cottage Cheese Dip with Pepper and Olives or any other dip of your choice.
</t>
  </si>
  <si>
    <t>Para empezar con las patatas rellenas, lávelas y séquelas con una toalla. Pinche en algunos puntos con un tenedor y caliéntelas en el microondas a alta potencia durante 10 minutos (coloque las patatas a lo largo del plato). Deje reposar 10 minutos. Después del tiempo de reposo, corte 1/3 de la patata desde arriba (la parte inferior parecerá una taza). Con una cuchara, saque la patata del centro y reserve la porción de la taza. Mezcle la patata, el perejil, el queso, la sal, la pimienta en polvo, el maíz dulce, las aceitunas picadas, triture en un tazón y mezcle todo bien. Vuelva a rellenar con esta mezcla las porciones de taza de las patatas. Cocine las patatas rellenas durante 2 minutos en el microondas y estarán listas para servir. Sirva las patatas rellenas con salsa de requesón con pimienta y aceitunas o cualquier otra salsa de su elección.</t>
  </si>
  <si>
    <t>Pour commencer les pommes de terre farcies au four, lavez-les et essuyez-les avec un torchon. Piquez-les à quelques endroits avec une fourchette et faites-les cuire au micro-ondes à puissance maximale pendant 10 minutes (placez les pommes de terre le long du pourtour de l'assiette). Laissez reposer 10 minutes. Après le temps de repos, coupez 1/3 de la pomme de terre en partant du haut (le bas devrait ressembler à une tasse). À l'aide d'une cuillère, retirez la pomme de terre au centre et gardez la tasse de côté. Mélangez la pomme de terre évidée, le persil, le fromage, le sel, le poivre en poudre, le maïs doux, les olives hachées, écrasez-les dans un saladier et mélangez bien le tout. Remettez ce mélange dans les tasses des pommes de terre. Faites cuire les pommes de terre farcies pendant 2 minutes au micro-ondes et elles sont prêtes à être servies. Servez les pommes de terre farcies au four avec une trempette au fromage blanc, au poivre et aux olives ou toute autre trempette de votre choix.</t>
  </si>
  <si>
    <t>https://www.archanaskitchen.com/stuffed-jacket-potatoes-recipe</t>
  </si>
  <si>
    <t>Guilt Free Fruit Cream Recipe</t>
  </si>
  <si>
    <t>Rezept für Fruchtcreme ohne schlechtes Gewissen</t>
  </si>
  <si>
    <t>Recette de crème de fruits sans mauvaise conscience</t>
  </si>
  <si>
    <t>Receta de crema de frutas sin remordimientos</t>
  </si>
  <si>
    <t>1 tasse de yaourt grec (Hung Curd), 2 cuillères à soupe de lait de coco, 1 cuillère à soupe de miel, 1 pomme coupée en cubes, 1 banane mûre tranchée, 1 mangue mûre coupée en cubes, 1 goyave coupée en cubes, 1 cuillère à café de jus de citron, 2 cuillères à café de pistaches écrasées au mortier et au pilon</t>
  </si>
  <si>
    <t>1 cup Hung Curd (Greek Yogurt),2 tablespoon Coconut milk,1 tablespoon Honey,1 Apple - cut into cubes,1 Ripe Bananas - sliced,1 Mango (Ripe) - cut into cubes,1 Guava - cut into cubes,1 teaspoon Lemon juice,2 teaspoon Pistachios - crushed in mortar and pestle</t>
  </si>
  <si>
    <t>1 taza de yogur griego, 2 cucharadas de leche de coco, 1 cucharada de miel, 1 manzana cortada en cubos, 1 plátano maduro en rodajas, 1 mango maduro cortado en cubos, 1 guayaba cortada en cubos, 1 cucharadita de jugo de limón, 2 cucharaditas de pistachos machacados en mortero.</t>
  </si>
  <si>
    <t xml:space="preserve">To begin making the Guilt-free Fruit Cream, cut all the fruits into cubes, fold in the lemon juice gently and keep it aside.Take another bowl pour in the greek yogurt, coconut cream and honey and whisk it to a creamy consistency.Fold in the cut fruits and lemon mixture gently into the cream mix. Chill the mix in the refrigerator for at least 2 hours before serving.Serve it in the dessert bowl and dust it with the crushed pistachios.Serve Guilt Free Fruit Cream as a dessert after your meal or it is a perfect dish to serve to your sudden guests.
</t>
  </si>
  <si>
    <t>Para preparar la Crema de Frutas Sin Culpa, corte todas las frutas en cubos, incorpore el jugo de limón con movimientos envolventes y reserve. En otro tazón, vierta el yogur griego, la crema de coco y la miel y bata hasta obtener una consistencia cremosa. Incorpore la mezcla de frutas cortadas y limón con movimientos envolventes a la crema. Refrigere la mezcla durante al menos 2 horas antes de servir. Sírvala en el tazón de postre y espolvoréela con los pistachos triturados. Sirva la Crema de Frutas Sin Culpa como postre después de la comida o como un plato perfecto para sus invitados inesperados.</t>
  </si>
  <si>
    <t>Pour préparer la crème de fruits sans culpabilité, coupez tous les fruits en dés, incorporez délicatement le jus de citron et réservez. Dans un autre bol, versez le yaourt grec, la crème de coco et le miel, puis fouettez jusqu'à obtenir une consistance crémeuse. Incorporez délicatement le mélange de fruits coupés et de citron à la crème. Laissez refroidir au réfrigérateur pendant au moins 2 heures avant de servir. Servez dans le bol à dessert et saupoudrez de pistaches concassées. Servez la crème de fruits sans culpabilité en dessert après le repas ou en plat parfait pour vos invités surprises.</t>
  </si>
  <si>
    <t>https://www.archanaskitchen.com/guilt-free-fruit-cream-recipe</t>
  </si>
  <si>
    <t>Asian Style Bean Sprout &amp; Corn Salad Recipe</t>
  </si>
  <si>
    <t>Rezept für Sojasprossen-Mais-Salat nach asiatischer Art</t>
  </si>
  <si>
    <t>Recette de salade de germes de soja et de maïs à l'asiatique</t>
  </si>
  <si>
    <t>Receta de ensalada asiática de brotes de soja y maíz</t>
  </si>
  <si>
    <t>200 grammes de germes de soja, 100 grammes de carambole - grossièrement hachée, 1/4 tasse de maïs doux - cuit à la vapeur, 1 poivron rouge (Capsicum) - finement haché, 2 oignons nouveaux (bulbe et feuilles) - finement hachés, laitue iceberg - petit bouquet, 1 citron - pressé, 2 cuillères à café de sauce moutarde, 1 cuillère à café d'huile de sésame (gingembre), 1 cuillère à café de sauce soja, 2 cuillères à café de miel, 1 cuillère à café de graines de sésame (graines de Til) - grillées, flocons de piment rouge - au besoin, 1 piment rouge sec - finement haché, 1 pincée de poudre d'ail, sel - au goût</t>
  </si>
  <si>
    <t>200 grams Bean Sprouts,100 grams Star fruit - roughly chopped,1/4 cup Sweet corn - steamed,1 Red Bell pepper (Capsicum) - finely chopped,2 Spring Onion (Bulb &amp; Greens) - finely chopped,Iceberg lettuce - small bunch,1 Lemon - juiced,2 teaspoons Mustard sauce,1 teaspoon Sesame (Gingelly) Oil,1 teaspoon Soy sauce,2 teaspoons Honey,1 teaspoon Sesame seeds (Til seeds) - toasted,Red Chilli flakes - as needed,1 Dry Red Chilli - finely chopped,1 pinch Garlic powder,Salt - to taste</t>
  </si>
  <si>
    <t>200 gramos de brotes de soja, 100 gramos de carambola (picada gruesa), 1/4 taza de maíz dulce (al vapor), 1 pimiento morrón rojo (Capsicum) picado finamente, 2 cebolletas (bulbo y hojas verdes) picadas finamente, lechuga iceberg (un manojo pequeño), 1 limón exprimido, 2 cucharaditas de salsa de mostaza, 1 cucharadita de aceite de sésamo (Gingelly), 1 cucharadita de salsa de soja, 2 cucharaditas de miel, 1 cucharadita de semillas de sésamo (semillas de Til) tostadas, hojuelas de chile rojo (según se necesite), 1 chile rojo seco picado finamente, 1 pizca de ajo en polvo, sal al gusto</t>
  </si>
  <si>
    <t xml:space="preserve">To begin making the Bean Sprout &amp; Corn Salad Recipe, we will first light cook the bean sprouts by tossing it in a wok.Heat a teaspoon of oil in a wok on medium heat; add in the spring onions, the red peppers, and the bean sprouts. Stir fry on high heat for a couple of minutes until just about cooked.Turn off the heat and transfer the sprouts to a large salad bowl and allow it to cool. Add in the remaining salad ingredients- star fruit, roughly chopped, steamed sweet corn and green salad leaves. Cover and keep the bowl in the fridge. Prepare the dressing for the salad, by combining all the ingredients in a bowl - lemon juice,  mustard sauce, sesame oil, soy sauce, honey, toasted sesame seeds, chilli flakes, chopped red chilli, garlic powder and salt to taste, whisk it well. Add the dressing and toss the salad. Check for the salt and spice levels and adjust to suit your taste.Serve Bean Sprout &amp; Corn Salad Recipe with Israeli Couscous Minestrone Soup Recipe and Classic Grilled Tomato Cucumber Chutney Sandwich Recipe for a filling dinner. 
</t>
  </si>
  <si>
    <t>Para comenzar a hacer la Receta de Ensalada de Maíz y Brotes de Soja, primero cocinaremos ligeramente los brotes de soja tirándolos en un wok. Calentamos una cucharadita de aceite en un wok a fuego medio; agregamos las cebolletas, los pimientos rojos y los brotes de soja. Salteamos a fuego alto durante un par de minutos hasta que estén casi cocidos. Apagamos el fuego y transferimos los brotes a una ensaladera grande y dejamos enfriar. Agregamos los ingredientes restantes de la ensalada: carambola, maíz dulce al vapor picado grueso y hojas de ensalada verde. Tapamos y guardamos el tazón en el refrigerador. Preparamos el aderezo para la ensalada, combinando todos los ingredientes en un tazón: jugo de limón, salsa de mostaza, aceite de sésamo, salsa de soya, miel, semillas de sésamo tostadas, hojuelas de chile, chile rojo picado, ajo en polvo y sal al gusto, batimos bien. Agregamos el aderezo y mezclamos la ensalada. Verifique el nivel de sal y especias y ajústelo a su gusto. Sirva la receta de ensalada de brotes de soja y maíz con la receta de sopa minestrone de cuscús israelí y la receta clásica de sándwich de chutney de pepino y tomate a la parrilla para una cena abundante.</t>
  </si>
  <si>
    <t>Pour commencer à préparer la recette de salade de germes de soja et de maïs, nous allons d'abord faire cuire légèrement les germes de soja en les jetant dans un wok. Faites chauffer une cuillère à café d'huile dans un wok à feu moyen ; ajoutez les oignons nouveaux, les poivrons rouges et les germes de soja. Faites sauter à feu vif pendant quelques minutes jusqu'à ce qu'ils soient presque cuits. Éteignez le feu et transférez les germes dans un grand saladier et laissez-les refroidir. Ajoutez le reste des ingrédients de la salade - carambole, maïs doux cuit à la vapeur grossièrement haché et feuilles de salade verte. Couvrez et conservez le bol au réfrigérateur. Préparez la vinaigrette pour la salade en mélangeant tous les ingrédients dans un bol - jus de citron, sauce moutarde, huile de sésame, sauce soja, miel, graines de sésame grillées, flocons de piment, piment rouge haché, poudre d'ail et sel au goût, fouettez bien. Ajoutez la vinaigrette et mélangez la salade. Vérifiez les niveaux de sel et d'épices et ajustez-les selon votre goût. Servez la recette de salade de germes de soja et de maïs avec la recette de soupe minestrone au couscous israélien et la recette classique de sandwich au chutney de tomates et concombres grillés pour un dîner copieux.</t>
  </si>
  <si>
    <t>https://www.archanaskitchen.com/asian-style-bean-sprout-corn-salad-recipe</t>
  </si>
  <si>
    <t>Vegan Chocolate Mocha Banana Cake Recipe</t>
  </si>
  <si>
    <t>Veganes Schokoladen-Mokka-Bananenkuchen-Rezept</t>
  </si>
  <si>
    <t>Recette de gâteau végétalien au chocolat et à la banane</t>
  </si>
  <si>
    <t>Receta vegana de pastel de chocolate y plátano</t>
  </si>
  <si>
    <t>1-2/3 tasse de farine de blé entier, 3/4 tasse de cassonade (sucre Demerara), 1/4 tasse de poudre de cacao, 1 cuillère à café de bicarbonate de soude, 1 cuillère à café de poudre de café instantané, 1/4 cuillère à café de sel, 1/3 tasse d'huile de tournesol, 1 cuillère à café d'extrait de vanille, 1 cuillère à café de vinaigre, 1 tasse d'eau - (ajuster), 1/2 tasse de bananes mûres - écrasées, 1/2 tasse de pépites de chocolat</t>
  </si>
  <si>
    <t>1-2/3 cups Whole Wheat Flour,3/4 cup Brown Sugar (Demerara Sugar),1/4 cup Cocoa Powder,1 teaspoon Baking soda,1 teaspoon Instant Coffee Powder,1/4 teaspoon Salt,1/3 cup Sunflower Oil,1 teaspoon Vanilla Extract,1 teaspoon Vinegar,1 cup Water - (adjust),1/2 cup Ripe Bananas - mashed,1/2 cup Chocolate chips</t>
  </si>
  <si>
    <t>1-2/3 tazas de harina integral, 3/4 taza de azúcar morena (azúcar Demerara), 1/4 taza de cacao en polvo, 1 cucharadita de bicarbonato de sodio, 1 cucharadita de café instantáneo en polvo, 1/4 cucharadita de sal, 1/3 taza de aceite de girasol, 1 cucharadita de extracto de vainilla, 1 cucharadita de vinagre, 1 taza de agua (ajustar), 1/2 taza de plátanos maduros machacados, 1/2 taza de chispas de chocolate</t>
  </si>
  <si>
    <t xml:space="preserve">To begin making Vegan Chocolate Mocha Banana Cake Recipe, get prepped with all the ingredients. Preheat oven to 350 degrees Fahrenheit or 180 degrees Centigrade.Prepare an 8 inch or 9 inch pan; grease and flour or line with aluminum foil and then grease and flour. Keep aside.Mash bananas and gather the ingredients for the cake.In a large bowl, add whole wheat flour, sugar, cocoa powder, coffee powder, baking soda and salt. Mix well with a wire whisk or sift the mixture well.To this, add oil, vanilla essence, vinegar, and 3/4 cup water. Stir well with a silicone spatula or spoon.Fold in mashed bananas. If you feel the batter is a bit thick, add more water; up to 1 cup to get a medium thick pouring consistency.Pour into prepared pan and smoothen to level the top. Sprinkle with chocolate chips.Bake in preheated oven for 35 to 40 minutes or until a toothpick inserted in center comes out clean.Remove from oven and place on cooling rack.After 10 minutes, remove cake from foil and cool on wire rack completely.When cool, cut into desired shapes and enjoy with a cup of coffee/tea or with a scoop of your favorite ice cream!!You can serve Vegan Chocolate Mocha Banana Cake Recipe, with Apple Cinnamon Soy Smoothie Recipe and Maharashtrian Kanda Poha Recipe as an after school light meal for an energy booster.
</t>
  </si>
  <si>
    <t>Para empezar a hacer la receta vegana de pastel de chocolate, moca y plátano, prepárate con todos los ingredientes. Precalienta el horno a 350 grados Fahrenheit o 180 grados Centígrados. Prepara un molde de 8 o 9 pulgadas; engrasa y enharina o cúbrelo con papel aluminio y luego engrasa y enharina. Reserva. Tritura los plátanos y reúne los ingredientes para el pastel. En un tazón grande, agrega la harina integral, el azúcar, el cacao en polvo, el café en polvo, el bicarbonato de sodio y la sal. Mezcla bien con un batidor de varillas o tamiza bien la mezcla. A esto, agrega aceite, esencia de vainilla, vinagre y 3/4 de taza de agua. Revuelve bien con una espátula de silicona o una cuchara. Incorpora los plátanos machacados. Si sientes que la masa está un poco espesa, agrega más agua; hasta 1 taza para obtener una consistencia de vertido medianamente espesa. Vierte en el molde preparado y alisa para nivelar la superficie. Espolvorea con chispas de chocolate. Hornea en horno precalentado de 35 a 40 minutos o hasta que al insertar un palillo en el centro, este salga limpio. Retira del horno y coloca sobre una rejilla para enfriar. Después de 10 minutos, retira el pastel del papel aluminio y déjalo enfriar completamente sobre una rejilla. Cuando esté frío, córtalo en las formas que desees y disfrútalo con una taza de café o té, o con una bola de tu helado favorito. Puedes servir la receta vegana de pastel de chocolate, moca y plátano, el batido de manzana, canela y soja y el kanda poha maharashtriano como una comida ligera después de la escuela para recargar energías.</t>
  </si>
  <si>
    <t>Pour commencer à préparer un gâteau vegan au chocolat et à la banane, préparez tous les ingrédients. Préchauffez le four à 180 °C. Préparez un moule de 20 ou 23 cm ; beurrez et farinez-le ou recouvrez-le de papier aluminium, puis beurrez-le et farinez-le. Réservez. Écrasez les bananes et rassemblez les ingrédients du gâteau. Dans un grand saladier, ajoutez la farine complète, le sucre, le cacao en poudre, le café en poudre, le bicarbonate de soude et le sel. Mélangez bien avec un fouet ou tamisez bien le mélange. Ajoutez l'huile, l'essence de vanille, le vinaigre et 190 ml d'eau. Remuez bien avec une spatule ou une cuillère en silicone. Incorporez la purée de bananes. Si la pâte vous semble un peu épaisse, ajoutez de l'eau (jusqu'à 280 ml) pour obtenir une consistance moyennement épaisse. Versez dans le moule préparé et lissez pour égaliser le dessus. Saupoudrer de pépites de chocolat. Cuire au four préchauffé pendant 35 à 40 minutes ou jusqu'à ce qu'un cure-dent inséré au centre en ressorte propre. Retirer du four et placer sur une grille de refroidissement. Après 10 minutes, retirer le gâteau du papier aluminium et le laisser refroidir complètement sur une grille. Une fois refroidi, découper les formes souhaitées et déguster avec une tasse de café/thé ou une boule de votre glace préférée ! Vous pouvez servir la recette de gâteau végétalien au chocolat moka et à la banane, la recette de smoothie pomme-cannelle-soja et la recette de Kanda Poha du Maharashtrian comme repas léger après l'école pour un regain d'énergie.</t>
  </si>
  <si>
    <t>https://www.archanaskitchen.com/vegan-chocolate-mocha-banana-cake-recipe</t>
  </si>
  <si>
    <t>Frozen Strawberry Yogurt With Honey Recipe</t>
  </si>
  <si>
    <t>Rezept für gefrorenen Erdbeerjoghurt mit Honig</t>
  </si>
  <si>
    <t>Recette de yaourt glacé aux fraises et au miel</t>
  </si>
  <si>
    <t>Receta de yogur helado de fresa y miel</t>
  </si>
  <si>
    <t>15 fraises, 250 grammes de yaourt grec, 1 cuillère à soupe de miel (à ajuster selon votre goût)</t>
  </si>
  <si>
    <t>15 Strawberries,250 grams Hung Curd (Greek Yogurt),1 tablespoon Honey - (adjust to taste)</t>
  </si>
  <si>
    <t>15 fresas, 250 gramos de yogur griego, 1 cucharada de miel (ajustar al gusto)</t>
  </si>
  <si>
    <t xml:space="preserve">To begin making Frozen Strawberry Yogurt Recipe With Honey, get all the ingredients ready first. Add the fresh strawberries in a mixer jar and make a puree.Take a mixing bowl and add greek yogurt.Now add honey to the yogurt.Whisk the yogurt properly in a hand blender for faster results and mix well.Add strawberry puree to the whisked yogurt and honey mixture and fold or lightly beat till mixed.Pour the mixture in a ice cream tin and freeze it overnight and the froyo is ready to be served.Serve Frozen Strawberry Yogurt Recipe With Honey as a dessert with mocktail like Watermelon Cranberry Mocktail Recipe.
</t>
  </si>
  <si>
    <t>Para empezar a preparar la Receta de Yogur Helado de Fresa con Miel, primero prepara todos los ingredientes. Agrega las fresas frescas en el vaso de una batidora y haz un puré. Toma un tazón y agrega yogur griego. Ahora agrega miel al yogur. Bate bien el yogur en una batidora de mano para obtener resultados más rápidos y mezcla bien. Agrega el puré de fresa a la mezcla batida de yogur y miel y mezcla suavemente hasta que se integre. Vierte la mezcla en un molde para helado y congélalo durante la noche; el yogur helado estará listo para servir. Sirve la Receta de Yogur Helado de Fresa con Miel como postre con un cóctel sin alcohol como la Receta de Cóctel Sin Alcohol de Sandía y Arándanos.</t>
  </si>
  <si>
    <t>Pour commencer à préparer une recette de yaourt glacé aux fraises et au miel, préparez d'abord tous les ingrédients. Ajoutez les fraises fraîches dans un bol mixeur et faites-en une purée. Prenez un saladier et ajoutez le yaourt grec. Ajoutez ensuite le miel au yaourt. Fouettez le yaourt au mixeur plongeant pour un résultat plus rapide et mélangez bien. Ajoutez la purée de fraises au mélange de yaourt et de miel fouetté et incorporez ou battez légèrement jusqu'à obtenir un mélange homogène. Versez le mélange dans un moule à glace et congelez-le toute la nuit. Le yaourt glacé est prêt à être servi. Servez la recette de yaourt glacé aux fraises et au miel en dessert avec un cocktail sans alcool, comme le cocktail sans alcool pastèque-canneberge.</t>
  </si>
  <si>
    <t>http://www.archanaskitchen.com/frozen-strawberry-yogurt-with-honey-recipe</t>
  </si>
  <si>
    <t>Roasted Cauliflower, Celery And Carrot Creamy Vegetable Soup Recipe</t>
  </si>
  <si>
    <t>Rezept für eine cremige Gemüsesuppe aus geröstetem Blumenkohl, Sellerie und Karotten</t>
  </si>
  <si>
    <t>Recette de soupe crémeuse aux légumes à base de chou-fleur rôti, de céleri et de carottes</t>
  </si>
  <si>
    <t>Receta de sopa cremosa de verduras con coliflor, apio y zanahorias asadas</t>
  </si>
  <si>
    <t>1 chou-fleur (gobi) - tête, 3 carottes (gajjar) - pelées et coupées en morceaux, 2 branches de céleri - finement hachées, 1 cuillère à soupe d'huile d'olive extra vierge, 1 cuillère à soupe de beurre, 1 oignon - coupé en gros dés, 3 gousses d'ail - finement tranchées, 1 cuillère à café de cumin en poudre (jeera), 1 cuillère à café de paprika en poudre, 1/4 cuillère à café de flocons de piment rouge, 1 cuillère à café de sucre de palme, 2 tasses de bouillon de légumes, 1/2 tasse de lait - évaporé, sel et poivre - au goût</t>
  </si>
  <si>
    <t>1 Cauliflower (gobi) - head,3 Carrots (Gajjar) - peeled and cut into chunks,2 Stalks Celery - finely chopped,1 tablespoon Extra Virgin Olive Oil,1 tablespoon Butter,1 Onion - cut into large dice,3 cloves Garlic - thinly sliced,1 teaspoon Cumin powder (Jeera),1 teaspoon Paprika powder,1/4 teaspoon Red Chilli flakes,1 teaspoon Palm sugar,2 cups Vegetable stock,1/2 cup Milk - evaporated,Salt and Pepper - to taste</t>
  </si>
  <si>
    <t>1 coliflor (gobi) - cabeza, 3 zanahorias (gajjar) - peladas y cortadas en trozos, 2 tallos de apio - finamente picados, 1 cucharada de aceite de oliva virgen extra, 1 cucharada de mantequilla, 1 cebolla - cortada en cubos grandes, 3 dientes de ajo - en rodajas finas, 1 cucharadita de comino en polvo (jeera), 1 cucharadita de pimentón en polvo, 1/4 cucharadita de hojuelas de chile rojo, 1 cucharadita de azúcar de palma, 2 tazas de caldo de verduras, 1/2 taza de leche - evaporada, sal y pimienta - al gusto</t>
  </si>
  <si>
    <t xml:space="preserve">To start making Roasted Cauliflower, Celery And Carrot Creamy Vegetable Soup, preheat the oven to 200 C.Line the baking tray with foil. Toss the cauliflower and carrot with olive oil, generous amount of salt and pepper along with palm sugar. Spread them out on the prepared baking tray and roast them in the preheated oven until golden brown turning once.This might take 25 to 30 minutes.Once the Cauliflower and Carrots are roasted, remove from the oven and keep aside. Meanwhile heat the butter in a soup pot over medium high heat. Add the onion, celery and cook until softened. Add the garlic and cook until fragrant for a few seconds.Add the ground cumin, paprika, red pepper flakes, roasted vegetables and stir for couple of minutes. Finally add the broth and bring to boil. Let it simmer for about 5 minutes to blend in the flavors.Next we will work in batches; transfer the vegetable mixture to a blender. Puree until smooth. Pour the pureed Cauliflower and Carrot puree into the soup pot. Stir in the evaporated milk powder.Add water if necessary to thin the consistency of the roasted Cauliflower and Carrot soup. Check for salt and pepper and adjust to suit your taste. Heat through and serve hot.Serve the Roasted Cauliflower, Celery And Carrot Creamy Vegetable Soup as a wholesome weeknight dinner along with warm garlic bread.
</t>
  </si>
  <si>
    <t>Para empezar a hacer la Sopa cremosa de verduras con coliflor, apio y zanahoria asados, precalienta el horno a 200 C. Cubre la bandeja para hornear con papel de aluminio. Mezcla la coliflor y la zanahoria con aceite de oliva, una cantidad generosa de sal y pimienta junto con el azúcar de palma. Extiéndelas en la bandeja para hornear preparada y ásalas en el horno precalentado hasta que estén doradas, volteándolas una vez. Esto puede tomar de 25 a 30 minutos. Una vez que la coliflor y las zanahorias estén asadas, retíralas del horno y déjalas a un lado. Mientras tanto, calienta la mantequilla en una olla para sopa a fuego medio alto. Agrega la cebolla, el apio y cocina hasta que se ablanden. Agrega el ajo y cocina hasta que esté fragante durante unos segundos. Agrega el comino molido, el pimentón, las hojuelas de pimiento rojo, las verduras asadas y revuelve durante un par de minutos. Finalmente, agrega el caldo y deja hervir. Deja hervir a fuego lento durante unos 5 minutos para mezclar los sabores. A continuación, trabajaremos en tandas; transfiere la mezcla de verduras a una licuadora. Haz puré hasta que esté suave. Vierta el puré de coliflor y zanahoria en la olla. Incorpore la leche evaporada en polvo y remueva. Si es necesario, añada agua para diluir la sopa de coliflor y zanahoria asada. Rectifique de sal y pimienta al gusto. Caliente y sirva caliente. Sirva la sopa cremosa de verduras de coliflor, apio y zanahoria asada como una cena saludable entre semana, acompañada de pan de ajo caliente.</t>
  </si>
  <si>
    <t>Pour commencer à préparer une soupe crémeuse de légumes au chou-fleur rôti, au céleri et aux carottes, préchauffez le four à 200 °C. Recouvrez la plaque de cuisson de papier d'aluminium. Mélangez le chou-fleur et la carotte avec de l'huile d'olive, une quantité généreuse de sel et de poivre ainsi que du sucre de palme. Répartissez-les sur la plaque de cuisson préparée et faites-les rôtir au four préchauffé jusqu'à ce qu'ils soient dorés en les retournant une fois. Cela peut prendre 25 à 30 minutes. Une fois le chou-fleur et les carottes rôtis, retirez-les du four et réservez. Pendant ce temps, faites chauffer le beurre dans une marmite à feu moyen-vif. Ajoutez l'oignon, le céleri et faites cuire jusqu'à ce qu'ils soient tendres. Ajoutez l'ail et faites cuire jusqu'à ce qu'il soit parfumé pendant quelques secondes. Ajoutez le cumin moulu, le paprika, les flocons de piment rouge, les légumes rôtis et remuez pendant quelques minutes. Enfin, ajoutez le bouillon et portez à ébullition. Laissez mijoter pendant environ 5 minutes pour mélanger les saveurs. Ensuite, nous allons travailler par lots ; transférez le mélange de légumes dans un mixeur. Réduisez en purée jusqu'à obtenir une consistance lisse. Versez la purée de chou-fleur et de carottes dans la marmite. Incorporez le lait concentré en poudre. Ajoutez de l'eau si nécessaire pour fluidifier la soupe de chou-fleur et de carottes rôtis. Vérifiez le sel et le poivre et ajustez à votre goût. Réchauffez et servez chaud. Servez la soupe crémeuse de légumes au chou-fleur, céleri et carottes rôtis comme un dîner sain en semaine, accompagnée de pain à l'ail chaud.</t>
  </si>
  <si>
    <t>https://www.archanaskitchen.com/roasted-cauliflower-celery-and-carrot-creamy-vegetable-soup-recipe</t>
  </si>
  <si>
    <t>Quick Chocolate Pudding Recipe</t>
  </si>
  <si>
    <t>Schnelles Schokoladenpudding-Rezept</t>
  </si>
  <si>
    <t>Recette rapide de pudding au chocolat</t>
  </si>
  <si>
    <t>Receta rápida de pudín de chocolate</t>
  </si>
  <si>
    <t>500 ml de lait, 1/2 tasse de sucre, 1/3 tasse de cacao en poudre, 3 cuillères à soupe de farine de maïs, 2 jaunes d'œufs, 2 cuillères à café d'extrait de vanille, copeaux de chocolat</t>
  </si>
  <si>
    <t>500 ml Milk,1/2 cup Sugar,1/3 cup Cocoa Powder,3 tablespoons Corn flour,2 Egg yolks,2 teaspoon Vanilla Extract,Chocolate Shavings</t>
  </si>
  <si>
    <t>500 ml de leche, 1/2 taza de azúcar, 1/3 taza de cacao en polvo, 3 cucharadas de harina de maíz, 2 yemas de huevo, 2 cucharaditas de extracto de vainilla, virutas de chocolate</t>
  </si>
  <si>
    <t xml:space="preserve">To begin making the Quick Chocolate Pudding Recipe, separate the egg with yolks and whites separately and keep the whites aside as they are not required. In a large saucepan, heat the milk, sugar, cocoa powder, corn flour and egg yolks. Using a whisk combine all the ingredients to make sure there are lumps. Continue to whisk and cook until the milk comes to a brisk boil. Mix well to make sure there are no lumps and the mixture becomes shiny and thick. Once the chocolate pudding has thickened, stir in the vanilla extract and turn off the heat.Transfer the quick Chocolate Pudding into 4 servings bowls and allow it to cool.Once cool refrigerate for at least 4 hours until set.Serve the Quick Chocolate Pudding Recipe as a dessert after a meal of Cheese Garlic Bread Recipe,  Whole Wheat Crust Pizza With Zucchini And Basil Sauce, and Cinnamon Spiced Orange Iced Tea Recipe. 
</t>
  </si>
  <si>
    <t>Para empezar a preparar la Receta de Pudín de Chocolate Rápido, separa las yemas de las claras por separado y reserva las claras, ya que no son necesarias. En una cacerola grande, calienta la leche, el azúcar, el cacao en polvo, la harina de maíz y las yemas de huevo. Con un batidor, mezcla todos los ingredientes para asegurarte de que no queden grumos. Sigue batiendo y cocina hasta que la leche hierva a fuego rápido. Mezcla bien para asegurarte de que no queden grumos y la mezcla se vuelva brillante y espesa. Una vez que el pudín de chocolate haya espesado, incorpora el extracto de vainilla y apaga el fuego. Transfiere el pudín de chocolate rápido a tazones para 4 porciones y deja que se enfríe. Una vez frío, refrigera durante al menos 4 horas hasta que cuaje. Sirve la Receta de Pudín de Chocolate Rápido como postre después de una comida con Receta de Pan de Ajo con Queso, Pizza con Masa Integral con Salsa de Calabacín y Albahaca y Receta de Té Helado de Naranja con Especias y Canela.</t>
  </si>
  <si>
    <t>Pour commencer la recette de pouding au chocolat rapide, séparez les jaunes et les blancs d'œufs séparément et réservez les blancs, car ils ne sont pas nécessaires. Dans une grande casserole, faites chauffer le lait, le sucre, le cacao en poudre, la fécule de maïs et les jaunes d'œufs. À l'aide d'un fouet, mélangez tous les ingrédients pour obtenir une consistance homogène. Continuez à fouetter et laissez cuire jusqu'à ce que le lait arrive à ébullition. Mélangez bien pour obtenir une consistance lisse et épaisse. Une fois le pouding au chocolat épaissi, ajoutez l'extrait de vanille et éteignez le feu. Transférez le pouding au chocolat rapide dans 4 bols et laissez-le refroidir. Une fois refroidi, placez-le au réfrigérateur pendant au moins 4 heures jusqu'à ce qu'il soit pris. Servez le pouding au chocolat rapide en dessert après un repas composé de pain à l'ail et au fromage, de pizza à la croûte de blé entier avec sauce aux courgettes et au basilic et de thé glacé à l'orange et à la cannelle.</t>
  </si>
  <si>
    <t>http://www.archanaskitchen.com/quick-chocolate-pudding-recipe</t>
  </si>
  <si>
    <t>Creamy Mushroom Mini Pie Recipe</t>
  </si>
  <si>
    <t>Rezept für cremige Mini-Pilzpastete</t>
  </si>
  <si>
    <t>Recette de mini tarte crémeuse aux champignons</t>
  </si>
  <si>
    <t>Receta de mini tarta cremosa de champiñones</t>
  </si>
  <si>
    <t>1 recette de pâte brisée - tarte à croûte brisée, 1 oignon - finement haché, 3 gousses d'ail - râpées, 250 grammes de champignons de Paris - hachés (toutes variétés), 90 ml de crème fraîche, 1 cuillère à café de poivre noir en poudre - pilé, 1 brin de feuilles de basilic - finement hachées, huile de tournesol - selon les besoins, 1 œuf entier - dorure à l'œuf (ou lait), graines de sésame (graines de Til) - peu à saupoudrer</t>
  </si>
  <si>
    <t>1 recipe Pastry dough - short crust tart,1 Onion - finely chopped,3 cloves Garlic - grated,250 grams Button mushrooms - chopped (any variety),90 ml Fresh cream,1 teaspoon Black pepper powder - pounded,1 sprig Basil leaves - finely chopped,Sunflower Oil - as required,1 Whole Eggs - egg wash (or milk),Sesame seeds (Til seeds) - liittle to sprinkle</t>
  </si>
  <si>
    <t>1 receta Masa de hojaldre - tarta de masa quebrada, 1 cebolla - picada finamente, 3 dientes de ajo - rallados, 250 gramos Champiñones - picados (cualquier variedad), 90 ml de crema fresca, 1 cucharadita de pimienta negra en polvo - machacada, 1 ramita de hojas de albahaca - picadas finamente, Aceite de girasol - al gusto, 1 huevo entero - huevo batido (o leche), semillas de sésamo (semillas de Til) - un poco para espolvorear</t>
  </si>
  <si>
    <t xml:space="preserve">To begin making the Creamy Mushroom Mini Pie Recipe, get all the ingredients ready and make the pie crust according to the "short crust tart pastry dough" recipe. Refrigerate the pie dough for a couple of hours.While the pie dough is refrigerating, we will proceed to make the mushroom pie filling. To make the pie filling,  heat oil in a heavy bottomed pan, add the onion and saute until it gets browned and close to caramelized. The caramelized flavor of the onions, brings out the delicious taste in the Mushroom pie.Once the onions are browned, add the garlic and the mushrooms and saute on high heat until the mushrooms get cooked through. The mushrooms release a lot of water while cooking as well. Allow the water from the mushrooms to evaporate. Once done, add the salt, pepper, basil and cream. Stir well to combine. You should have a thick mushroom mixture. If you feel it's a little more liquidy, then add a teaspoon of cornflour to thicken the mushroom pie filling. Turn off the heat and keep aside.Once the pie dough has firmed well in the refrigerator, it's time to roll and shape them into pies.You can bake the mini pies in large muffin moulds or pie tart pans. Grease these moulds with butter and keep aside. Preheat the oven to 180 C.Dust the kitchen platform with flour and roll the pie dough into a large rectangle. Roll the chilled dough on a floured work surface, and cut 10 cm circles with the help of a cookie cutter. The circle should be the size that will fit into the pie pan or the muffin pan.Once you have cut out the circles of dough, press one circle into each mould cavity till the edge and cut off the rest. If you think the dough is bigger and tends to fold inside the cavity, pinch the dough well so that it merges well. Do this with the remaining pie dough as well.Spoon the mushroom pie filling into each of the pie dough cavities. The next step is to cover the top of the pie with dough.To cover the top you will need more dough, so just measure the top and use a cookie cutter of that size to cut out the dough. Roll out the remaining dough, and stamp out circles  and use these circles to cover the top of the pie. Pinch the sides of the bottom and the top dough to seal the pie from all sides. Make small insertions with a knife on the top of the pie to help release of air while the pie is baking.Now beat an egg, and brush over the edges of the pastry dough, also brush the pastry lid and pinch both them together. Also brush the top of the pastry lid with the egg wash and sprinkle sesame seeds from top. If you want to make it eggless, you can use milk as well. Bake the Mushroom Pie in a preheated oven for 28 to 30 minutes at 180 degree celsius until you notice the crust is browned, golden and crisp. Once done, remove from the oven and allow it to rest for 10 minutes before you are ready to serve.Serve the Creamy Mushroom Pie along with a bowl of Lemongrass Soup, a Garlic Bread and a glass of wine for a weeknight dinner or even when you have friends over for parties.
</t>
  </si>
  <si>
    <t>Para comenzar a hacer la Receta de Mini Pastel Cremoso de Champiñones, prepare todos los ingredientes y haga la corteza de la tarta de acuerdo con la receta de "masa de hojaldre para tarta". Refrigere la masa de la tarta durante un par de horas. Mientras la masa de la tarta se refrigera, procederemos a hacer el relleno de la tarta de champiñones. Para hacer el relleno de la tarta, caliente el aceite en una sartén de fondo grueso, agregue la cebolla y saltee hasta que se dore y casi caramelizada. El sabor caramelizado de las cebollas realza el delicioso sabor de la tarta de champiñones. Una vez que las cebollas estén doradas, agregue el ajo y los champiñones y saltee a fuego alto hasta que los champiñones estén bien cocidos. Los champiñones también sueltan mucha agua durante la cocción. Deje que el agua de los champiñones se evapore. Una vez hecho esto, agregue la sal, la pimienta, la albahaca y la crema. Revuelva bien para combinar. Debería tener una mezcla de champiñones espesa. Si siente que está un poco más líquida, agregue una cucharadita de harina de maíz para espesar el relleno de la tarta de champiñones. Apaga el fuego y reserva. Una vez que la masa para tarta se haya reafirmado bien en el refrigerador, es hora de extenderla y darle forma de tartas. Puedes hornear las mini tartas en moldes grandes para muffins o moldes para tartas. Engrasa estos moldes con mantequilla y reserva. Precalienta el horno a 180 C. Espolvorea la plataforma de la cocina con harina y extiende la masa para tarta en un rectángulo grande. Extiende la masa fría sobre una superficie de trabajo enharinada y corta círculos de 10 cm con la ayuda de un cortador de galletas. El círculo debe ser del tamaño que quepa en el molde para tarta o en el molde para muffins. Una vez que hayas cortado los círculos de masa, presiona un círculo en cada cavidad del molde hasta el borde y corta el resto. Si crees que la masa es más grande y tiende a doblarse dentro de la cavidad, pellizca bien la masa para que se fusione bien. Haz lo mismo con la masa de tarta restante. Vierte el relleno de tarta de champiñones en cada una de las cavidades de la masa de tarta. El siguiente paso es cubrir la parte superior del pastel con masa. Para cubrir la parte superior, necesitará más masa, así que solo mida la parte superior y use un cortador de galletas de ese tamaño para cortar la masa. Extienda la masa restante y estampe círculos y use estos círculos para cubrir la parte superior del pastel. Pellizque los lados de la masa inferior y superior para sellar el pastel por todos lados. Haga pequeñas inserciones con un cuchillo en la parte superior del pastel para ayudar a liberar el aire mientras se hornea. Ahora bata un huevo y pincele los bordes de la masa de hojaldre, también pincele la tapa de hojaldre y pellizque ambos juntos. También pincele la parte superior de la tapa de hojaldre con el huevo batido y espolvoree semillas de sésamo desde arriba. Si desea hacerlo sin huevo, también puede usar leche. Hornee el pastel de champiñones en un horno precalentado durante 28 a 30 minutos a 180 grados centígrados hasta que note que la corteza está dorada y crujiente. Una vez listo, sáquelo del horno y déjelo reposar durante 10 minutos antes de servirlo. Sirva el pastel cremoso de champiñones junto con un tazón de sopa de limoncillo, un pan de ajo y una copa de vino para una cena entre semana o incluso cuando tenga amigos en casa para una fiesta.</t>
  </si>
  <si>
    <t>Pour commencer à préparer la recette de mini-tarte crémeuse aux champignons, préparez tous les ingrédients et préparez la croûte à tarte selon la recette de « pâte à tarte brisée ». Réfrigérez la pâte à tarte pendant quelques heures. Pendant que la pâte à tarte réfrigère, nous allons procéder à la préparation de la garniture pour tarte aux champignons. Pour préparer la garniture pour tarte, faites chauffer l'huile dans une poêle à fond épais, ajoutez l'oignon et faites-le revenir jusqu'à ce qu'il soit doré et presque caramélisé. La saveur caramélisée des oignons fait ressortir le goût délicieux de la tarte aux champignons. Une fois les oignons dorés, ajoutez l'ail et les champignons et faites revenir à feu vif jusqu'à ce que les champignons soient bien cuits. Les champignons libèrent également beaucoup d'eau pendant la cuisson. Laissez l'eau des champignons s'évaporer. Une fois terminé, ajoutez le sel, le poivre, le basilic et la crème. Remuez bien pour mélanger. Vous devriez obtenir un mélange de champignons épais. Si vous le sentez un peu plus liquide, ajoutez une cuillère à café de fécule de maïs pour épaissir la garniture pour tarte aux champignons. Éteignez le feu et réservez. Une fois que la pâte à tarte a bien durci au réfrigérateur, il est temps de l'étaler et de la façonner en tartes. Vous pouvez cuire les mini-tartes dans de grands moules à muffins ou des moules à tartelettes. Graissez ces moules avec du beurre et réservez. Préchauffez le four à 180 °C. Saupoudrez la plate-forme de cuisine de farine et étalez la pâte à tarte en un grand rectangle. Étalez la pâte refroidie sur un plan de travail fariné et découpez des cercles de 10 cm à l'aide d'un emporte-pièce. Le cercle doit avoir la taille qui convient au moule à tarte ou au moule à muffins. Une fois les cercles de pâte découpés, appuyez sur un cercle dans chaque cavité du moule jusqu'au bord et coupez le reste. Si vous pensez que la pâte est plus grosse et a tendance à se replier à l'intérieur de la cavité, pincez bien la pâte pour qu'elle se fonde bien. Faites de même avec le reste de la pâte à tarte. Versez la garniture pour tarte aux champignons dans chacune des cavités de la pâte à tarte. Français L'étape suivante consiste à recouvrir le dessus de la tarte de pâte. Pour recouvrir le dessus, vous aurez besoin de plus de pâte, il suffit donc de mesurer le dessus et d'utiliser un emporte-pièce de cette taille pour découper la pâte. Étalez la pâte restante et découpez des cercles et utilisez ces cercles pour recouvrir le dessus de la tarte. Pincez les côtés du fond et du dessus de la pâte pour sceller la tarte de tous les côtés. Faites de petites insertions avec un couteau sur le dessus de la tarte pour aider à libérer l'air pendant la cuisson. Maintenant, battez un œuf et badigeonnez les bords de la pâte feuilletée, badigeonnez également le couvercle de la pâte et pincez-les ensemble. Badigeonnez également le dessus du couvercle de la pâte avec la dorure à l'œuf et saupoudrez de graines de sésame sur le dessus. Si vous voulez la faire sans œuf, vous pouvez également utiliser du lait. Faites cuire la tarte aux champignons dans un four préchauffé pendant 28 à 30 minutes à 180 degrés Celsius jusqu'à ce que vous remarquiez que la croûte est dorée, dorée et croustillante. Une fois cuit, retirez-le du four et laissez-le reposer 10 minutes avant de servir. Servez la tarte crémeuse aux champignons avec un bol de soupe à la citronnelle, un pain à l'ail et un verre de vin pour un dîner en semaine ou même lorsque vous recevez des amis pour des fêtes.</t>
  </si>
  <si>
    <t>https://www.archanaskitchen.com/creamy-mushroom-mini-pie-recipe</t>
  </si>
  <si>
    <t>Healthy Whole Wheat Brown Butter Banana Bread Recipe</t>
  </si>
  <si>
    <t>Rezept für gesundes Vollkorn-Bananenbrot mit brauner Butter</t>
  </si>
  <si>
    <t>Recette de pain aux bananes complet et sain au beurre noisette</t>
  </si>
  <si>
    <t>Receta saludable de pan de plátano integral con mantequilla dorada</t>
  </si>
  <si>
    <t>1/2 tasse de beurre (non salé), 3/4 tasse de sucre en poudre - ou de cassonade, 2 œufs entiers - ou (substitut d'œuf à base de farine de lin), 1/4 tasse de lait - à température ambiante, 1 cuillère à café d'extrait de vanille, 3 bananes mûres - (trop mûres sont idéales pour la recette), 1-1/2 tasse de farine tout usage (Maida), 1/2 tasse de farine de blé entier, 1 cuillère à café de bicarbonate de soude, 1 pincée de sel, 1/2 tasse de Badam (amande) - grillée et hachée (peut être remplacée par d'autres noix)</t>
  </si>
  <si>
    <t>1/2 cup Butter (unsalted),3/4 cup Caster Sugar - or brown sugar,2 Whole Eggs - or (flax meal egg replacer),1/4 cup Milk - at room temperature,1 teaspoon Vanilla Extract,3 Ripe Bananas - (over ripe is great for the recipe),1-1/2 cups All Purpose Flour (Maida),1/2 cup Whole Wheat Flour,1 teaspoon Baking soda,1 pinch Salt,1/2 cup Badam (Almond) - roasted &amp; chopped (Can be substituted with other nuts)</t>
  </si>
  <si>
    <t>1/2 taza de mantequilla (sin sal), 3/4 taza de azúcar extrafino o azúcar morena, 2 huevos enteros (o sustituto de huevo de harina de lino), 1/4 taza de leche a temperatura ambiente, 1 cucharadita de extracto de vainilla, 3 plátanos maduros (los muy maduros son ideales para la receta), 1 1/2 tazas de harina para todo uso (Maida), 1/2 taza de harina integral, 1 cucharadita de bicarbonato de sodio, 1 pizca de sal, 1/2 taza de Badam (almendras) tostadas y picadas (se pueden sustituir por otros frutos secos)</t>
  </si>
  <si>
    <t xml:space="preserve">To begin making the Healthy Whole Wheat Brown Butter Banana Bread Recipe, melt the butter in a pan on medium heat. Butter will start foaming and crackling. Swirl the pan as the crackling subsides.At this stage the butter will start to change its colour to brown and will begin to start smelling nutty. Turn off the flame and transfer butter to a large mixing bowl. Allow the butter it cool.Pre-heat oven to 175 degree Celsius. Grease an 8X5 inch loaf tin with butter and line with parchment paper in such a way that the parchment paper hangs over the edges. This will help you lift out the banana bread easily once it's baked.Place some almonds on a baking sheet and put it into the oven while it is preheating, so the nuts get roasted in the preheating process. Keep it for about 7 to 8 minutes. Once the nuts are roasted, chop them up and keep aside.Once the butter has cooled, add sugar and mix well. Add the eggs (or flax meal egg replacer) one at a time, mixing after each egg till everything has combined. Add the milk and vanilla extract to this mixture, and give it another whisk.Peel the bananas and mash them into the mixture.In another bowl, combine the flours, baking soda and salt. Sift this into the bowl with the banana mixture, and fold until everything is combined. There is no need to blend or over mix at this stage. Add the nuts and fold again.Pour the banana bread cake batter into the prepared loaf pan. Sprinkle with a little sugar on the top, this gives an amazing crunchy crust to the bread.Tap once to get rid of air bubbles, and place the banana bread loaf pan in the oven. Bake for about 50 to 60 minutes. Start checking for done-ness around 50 minutes. A skewer or fork inserted into the middle should come out clean when it done. Once baked, let the bread cool in the pan for 8-10 minutes. Lift the bread using parchment paper and let it cool on a wire rack for another 10 minutes before serving.Serve the Healthy Whole Wheat Brown Butter Banana Bread  as a tea time snack or pack into the lunch boxes for the kids school.
</t>
  </si>
  <si>
    <t>Para comenzar a hacer la Receta de Pan de Plátano con Mantequilla Integral Saludable, derrita la mantequilla en una sartén a fuego medio. La mantequilla comenzará a hacer espuma y crujir. Remueva la sartén a medida que disminuya el crujido. En esta etapa, la mantequilla comenzará a cambiar su color a marrón y comenzará a oler a nuez. Apague el fuego y transfiera la mantequilla a un tazón grande para mezclar. Deje que la mantequilla se enfríe. Precaliente el horno a 175 grados Celsius. Engrase un molde para pan de 8x5 pulgadas con mantequilla y cubra con papel pergamino de tal manera que el papel pergamino cuelgue sobre los bordes. Esto le ayudará a levantar el pan de plátano fácilmente una vez que esté horneado. Coloque algunas almendras en una bandeja para hornear y póngala en el horno mientras se precalienta, para que las nueces se tuesten en el proceso de precalentamiento. Manténgalo durante unos 7 a 8 minutos. Una vez que las nueces estén tostadas, píquelas y resérvelas. Una vez que la mantequilla se haya enfriado, agregue el azúcar y mezcle bien. Añade los huevos (o el sustituto de huevo de harina de lino) uno a la vez, mezclando después de cada huevo hasta que todo se haya combinado. Agrega la leche y el extracto de vainilla a esta mezcla y vuelve a batir. Pela los plátanos y tritúralos en la mezcla. En otro tazón, combina las harinas, el bicarbonato de sodio y la sal. Tamiza esto en el tazón con la mezcla de plátano y mezcla hasta que todo esté combinado. No es necesario mezclar ni mezclar demasiado en esta etapa. Agrega las nueces y vuelve a mezclar. Vierte la masa del pastel de pan de plátano en el molde para pan preparado. Espolvorea con un poco de azúcar en la parte superior, esto le da una corteza crujiente increíble al pan. Golpea una vez para eliminar las burbujas de aire y coloca el molde para pan de plátano en el horno. Hornea durante unos 50 a 60 minutos. Comienza a verificar si está listo alrededor de los 50 minutos. Un pincho o tenedor insertado en el medio debe salir limpio cuando esté listo. Una vez horneado, deja que el pan se enfríe en el molde durante 8-10 minutos. Levante el pan con papel pergamino y déjelo enfriar sobre una rejilla durante otros 10 minutos antes de servir. Sirva el Pan de Plátano Integral con Mantequilla Tostada Saludable como refrigerio para la hora del té o llévelo en las loncheras para la escuela de los niños.</t>
  </si>
  <si>
    <t>Pour commencer à préparer la recette de pain aux bananes au beurre noisette et au blé entier, faites fondre le beurre dans une poêle à feu moyen. Le beurre commencera à mousser et à crépiter. Faites tourner la poêle pendant que le crépitement s'atténue. À ce stade, le beurre commencera à brunir et commencera à sentir la noisette. Éteignez le feu et transférez le beurre dans un grand bol à mélanger. Laissez le beurre refroidir. Préchauffez le four à 175 degrés Celsius. Graissez un moule à pain de 8X5 pouces avec du beurre et tapissez-le de papier sulfurisé de manière à ce que le papier sulfurisé dépasse des bords. Cela vous aidera à retirer facilement le pain aux bananes une fois cuit. Placez des amandes sur une plaque à pâtisserie et mettez-la au four pendant le préchauffage, afin que les noix soient grillées pendant le préchauffage. Gardez-la pendant environ 7 à 8 minutes. Une fois les noix grillées, hachez-les et réservez. Une fois le beurre refroidi, ajoutez le sucre et mélangez bien. Ajoutez les œufs (ou le substitut d'œuf à base de farine de lin) un à la fois, en mélangeant après chaque œuf jusqu'à ce que tout soit bien mélangé. Ajoutez le lait et l'extrait de vanille à ce mélange et fouettez à nouveau. Pelez les bananes et écrasez-les dans le mélange. Dans un autre bol, mélangez les farines, le bicarbonate de soude et le sel. Tamisez le tout dans le bol avec le mélange de bananes et pliez jusqu'à ce que tout soit bien mélangé. Il n'est pas nécessaire de mélanger ou de trop mélanger à ce stade. Ajoutez les noix et pliez à nouveau. Versez la pâte à gâteau au pain aux bananes dans le moule à pain préparé. Saupoudrez d'un peu de sucre sur le dessus, cela donne une croûte incroyablement croustillante au pain. Tapotez une fois pour éliminer les bulles d'air et placez le moule à pain aux bananes au four. Faites cuire pendant environ 50 à 60 minutes. Commencez à vérifier la cuisson vers 50 minutes. Une brochette ou une fourchette insérée au milieu doit ressortir propre une fois cuite. Une fois cuit, laissez le pain refroidir dans le moule pendant 8 à 10 minutes. Soulevez le pain à l'aide de papier sulfurisé et laissez-le refroidir sur une grille pendant 10 minutes supplémentaires avant de servir. Servez le pain aux bananes au beurre noisette et au blé entier sain comme collation à l'heure du thé ou mettez-le dans les boîtes à lunch de l'école des enfants.</t>
  </si>
  <si>
    <t>https://www.archanaskitchen.com/healthy-whole-wheat-brown-butter-banana-bread-recipe</t>
  </si>
  <si>
    <t>Linzer Cookies Recipe</t>
  </si>
  <si>
    <t>Rezept für Linzer Kekse</t>
  </si>
  <si>
    <t>Recette de biscuits Linzer</t>
  </si>
  <si>
    <t>Receta de galletas Linzer</t>
  </si>
  <si>
    <t>110 grammes de beurre (non salé) - (ou 1/2 tasse) à température ambiante, 50 grammes de sucre en poudre, 1 cuillère à soupe de lait, 1 cuillère à soupe d'extrait de vanille, 100 grammes de poudre d'amandes (poudre de Badam), 1-1/4 tasse de farine tout usage (Maida), 1/4 cuillère à café de sel, 1/4 tasse de confiture - ou conserves, 2 cuillères à soupe de sucre glace - pour saupoudrer</t>
  </si>
  <si>
    <t>110 grams Butter (unsalted) - (or 1/2 cup) at room temperature,50 grams Caster Sugar,1 tablespoon Milk,1 tablespoon Vanilla Extract,100 grams Almond Meal (Badam Powder),1-1/4 cups All Purpose Flour (Maida),1/4 teaspoon Salt,1/4 cup Jam - or preserves,2 tablespoons Icing Sugar - to dust</t>
  </si>
  <si>
    <t>110 gramos de mantequilla (sin sal) - (o 1/2 taza) a temperatura ambiente, 50 gramos de azúcar extrafino, 1 cucharada de leche, 1 cucharada de extracto de vainilla, 100 gramos de harina de almendras (Badam Powder), 1-1/4 tazas de harina para todo uso (Maida), 1/4 cucharadita de sal, 1/4 taza de mermelada - o conservas, 2 cucharadas de azúcar glas - para espolvorear</t>
  </si>
  <si>
    <t xml:space="preserve">To prepare Linzer Cookies Recipe, sift together the flour, ground almonds and salt. Keep aside.Beat together the butter and sugar until light and fluffy (using an electric mixer or wooden spoon).Add the milk and vanilla, beat until incorporated.Add the flour mixture and beat at low speed until a dough forms.Wrap in plastic and chill for atleast 30 minutes.On a lightly floured surface, roll out chilled dough to about 1/4 inch thickness.Using a cookie cutter, cut out shapes and place 1-1/2 inches apart on a parchment lined or greased cookie sheet.Re-roll scraps and cut out cookies until all dough is used up.Using a smaller cookie cutter, cut out the centres of half of the cookie dough shapes you have on your cookie sheet. You can bake the cut out centres too, or roll them back to make more cookies similarly until all the dough is used up.Chill your sheet for 30 minutes or freeze for 10 minutes. This helps the cookies maintain shape.Meanwhile preheat your oven to 180 C / 350 F.Bake the cookies for 14-16 minutes, rotating the pans at around 8 minutes.The cookies will only lightly brown around the edges.Let cool on pan for 3-4 minutes and completely on a wire rack.Once cool , spread a teaspoon or so of jam on the underside of the whole cookie and dust the top of the cookies with the centres cut out with icing sugar.Sandwich them and enjoy Linzer Cookies Recipe during tea time.
</t>
  </si>
  <si>
    <t>Para preparar la Receta de Galletas Linzer, tamice la harina, las almendras molidas y la sal. Deje a un lado. Bata la mantequilla y el azúcar juntos hasta que estén ligeros y esponjosos (usando una batidora eléctrica o una cuchara de madera). Agregue la leche y la vainilla, bata hasta que se incorporen. Agregue la mezcla de harina y bata a baja velocidad hasta que se forme una masa. Envuelva en plástico y refrigere durante al menos 30 minutos. En una superficie ligeramente enharinada, extienda la masa fría a aproximadamente 1/4 de pulgada de grosor. Usando un cortador de galletas, corte formas y colóquelas a 1-1/2 pulgadas de distancia en una bandeja para hornear forrada con papel pergamino o engrasada. Vuelva a enrollar los restos y corte las galletas hasta que se use toda la masa. Usando un cortador de galletas más pequeño, corte los centros de la mitad de las formas de masa de galletas que tiene en su bandeja para hornear. También puede hornear los centros cortados o volver a enrollarlos para hacer más galletas de manera similar hasta que se use toda la masa. Refrigere su bandeja durante 30 minutos o congélela durante 10 minutos. Esto ayuda a que las galletas mantengan su forma. Mientras tanto, precalienta el horno a 180 °C / 350 °F. Hornea las galletas durante 14-16 minutos, girando los moldes cada 8 minutos aproximadamente. Las galletas solo se dorarán ligeramente en los bordes. Deja enfriar en el molde durante 3-4 minutos y completamente sobre una rejilla. Una vez frías, extiende una cucharadita de mermelada en la parte inferior de toda la galleta y espolvorea la parte superior de las galletas con el centro cortado con azúcar glas. Hazlas un sándwich y disfruta de la Receta de Galletas Linzer a la hora del té.</t>
  </si>
  <si>
    <t>Pour préparer la recette des biscuits Linzer, tamisez ensemble la farine, les amandes moulues et le sel. Réservez. Battez ensemble le beurre et le sucre jusqu'à ce que le mélange soit léger et mousseux (à l'aide d'un batteur électrique ou d'une cuillère en bois). Ajoutez le lait et la vanille, battez jusqu'à ce qu'ils soient incorporés. Ajoutez le mélange de farine et battez à basse vitesse jusqu'à ce qu'une pâte se forme. Enveloppez dans du plastique et réfrigérez pendant au moins 30 minutes. Sur une surface légèrement farinée, étalez la pâte refroidie sur environ 1/4 de pouce d'épaisseur. À l'aide d'un emporte-pièce, découpez des formes et placez-les à 1-1/2 pouce d'intervalle sur une plaque à biscuits recouverte de papier sulfurisé ou graissée. Roulez à nouveau les restes et découpez les biscuits jusqu'à ce que toute la pâte soit utilisée. À l'aide d'un emporte-pièce plus petit, découpez le centre de la moitié des formes de pâte à biscuits que vous avez sur votre plaque à biscuits. Vous pouvez également cuire les centres découpés ou les rouler pour faire plus de biscuits de la même manière jusqu'à ce que toute la pâte soit utilisée. Réfrigérez votre plaque pendant 30 minutes ou congelez pendant 10 minutes. Cela aide les biscuits à conserver leur forme. Pendant ce temps, préchauffez votre four à 180 °C / 350 °F. Faites cuire les biscuits pendant 14 à 16 minutes, en tournant les moules à environ 8 minutes. Les biscuits ne bruniront que légèrement sur les bords. Laissez refroidir sur le moule pendant 3 à 4 minutes et complètement sur une grille. Une fois refroidis, étalez une cuillère à café ou deux de confiture sur le dessous du biscuit entier et saupoudrez le dessus des biscuits avec les centres découpés de sucre glace. Mettez-les en sandwich et dégustez la recette des biscuits Linzer à l'heure du thé.</t>
  </si>
  <si>
    <t>http://www.archanaskitchen.com/linzer-cookies-recipe</t>
  </si>
  <si>
    <t>Mexican Chicken Soup Recipe</t>
  </si>
  <si>
    <t>Mexikanisches Hühnersuppenrezept – Rezept für mexikanische Hühnersuppe</t>
  </si>
  <si>
    <t>Recette de soupe au poulet mexicaine – Recette de soupe au poulet mexicaine</t>
  </si>
  <si>
    <t>Receta de sopa de pollo mexicana – Receta de sopa de pollo mexicana</t>
  </si>
  <si>
    <t>1 oignon haché, 1 carotte hachée, 1 céleri haché, 1 cuillère à soupe de maïs doux, 4 gousses d'ail hachées, 2 piments verts hachés, 2 tomates hachées, 1/2 tasse de poitrine de poulet râpée et cuite, 1 cuillère à café d'origan, 1/2 cuillère à café de poudre de chili rouge, 1/2 cuillère à café de poudre de cumin, 2 cuillères à soupe de feuilles de coriandre hachées, 4 tasses de bouillon de poulet, 1 cuillère à soupe de jus de citron, sel selon le goût, 2 cuillères à soupe d'huile de canola</t>
  </si>
  <si>
    <t>1 onion - chopped, 1 carrot - chopped, 1 celery - chopped, 1 tbsp sweet corn, 4 cloves garlic - chopped, 2 green chilies - chopped, 2 tomatoes - chopped, 1/2 cup chicken breast - shredded and cooked, 1 tsp oregano, 1/2 tsp red chili powder, 1/2 tsp cumin powder, 2 tbsp coriander leaves - chopped, 4 cups chicken stock, 1 tbsp lemon juice, Salt - according to taste, 2 tbsp canola oil</t>
  </si>
  <si>
    <t>1 cebolla picada, 1 zanahoria picada, 1 apio picado, 1 cucharada de maíz dulce, 4 dientes de ajo picados, 2 chiles verdes picados, 2 tomates picados, 1/2 taza de pechuga de pollo desmenuzada y cocida, 1 cucharadita de orégano, 1/2 cucharadita de chile rojo en polvo, 1/2 cucharadita de comino en polvo, 2 cucharadas de hojas de cilantro picadas, 4 tazas de caldo de pollo, 1 cucharada de jugo de limón, sal al gusto, 2 cucharadas de aceite de canola</t>
  </si>
  <si>
    <t>To make Mexican Chicken Soup Recipe, first heat oil in a sauce pan. Add garlic, green chilies, celery, onion and cook till onion becomes soft. After onion becomes soft, add carrot, corn, red chili powder, cumin powder, salt and mix well. Cook for 2 to 3 minutes. Now add chicken stock and let it cook for 10 to 12 minutes. After this add tomatoes, oregano and let it boil. Lower the flame and keep cooking till tomatoes become soft. After tomatoes become soft, add chicken, lemon juice and let it cook for 2 to 3 minutes. Add coriander leaves, mix well and turn off the gas. Garnish with fresh vegetables and lemon grass. Serve Mexican Chicken Soup Recipe with Whole Wheat Stuffed Breadsticks Recipe and Baked Mexican Rice for dinner.</t>
  </si>
  <si>
    <t>Para preparar la receta de sopa de pollo mexicana, primero caliente el aceite en una cacerola. Agregue el ajo, los chiles verdes, el apio y la cebolla y cocine hasta que la cebolla esté suave. Una vez que la cebolla esté suave, agregue la zanahoria, el maíz, el chile rojo en polvo, el comino en polvo y la sal, y mezcle bien. Cocine de 2 a 3 minutos. Luego, agregue el caldo de pollo y deje cocinar de 10 a 12 minutos. Después, agregue los tomates, el orégano y deje hervir. Baje el fuego y siga cocinando hasta que los tomates estén suaves. Una vez que los tomates estén suaves, agregue el pollo, el jugo de limón y deje cocinar de 2 a 3 minutos. Agregue las hojas de cilantro, mezcle bien y apague el fuego. Decore con verduras frescas y hierba limón. Sirva la sopa de pollo mexicana con palitos de pan rellenos de trigo integral y arroz mexicano horneado para la cena.</t>
  </si>
  <si>
    <t>Pour préparer la soupe mexicaine au poulet, faites chauffer l'huile dans une casserole. Ajoutez l'ail, les piments verts, le céleri et l'oignon et faites cuire jusqu'à ce que l'oignon soit tendre. Une fois l'oignon tendre, ajoutez la carotte, le maïs, la poudre de piment rouge, la poudre de cumin et le sel. Mélangez bien. Laissez cuire 2 à 3 minutes. Ajoutez ensuite le bouillon de poulet et laissez cuire 10 à 12 minutes. Ajoutez ensuite les tomates et l'origan et laissez bouillir. Baissez le feu et poursuivez la cuisson jusqu'à ce que les tomates soient tendres. Une fois les tomates tendres, ajoutez le poulet et le jus de citron et laissez cuire 2 à 3 minutes. Ajoutez les feuilles de coriandre, mélangez bien et coupez le feu. Garnissez de légumes frais et de citronnelle. Servez la soupe mexicaine au poulet avec des gressins farcis au blé complet et du riz mexicain au four pour le dîner.</t>
  </si>
  <si>
    <t>https://www.archanaskitchen.com/mexican-chicken-soup-recipe-in-hindi</t>
  </si>
  <si>
    <t>Soulful Chicken Soup Recipe</t>
  </si>
  <si>
    <t>Rezept für gefühlvolle Hühnersuppe</t>
  </si>
  <si>
    <t>Recette de soupe au poulet réconfortante</t>
  </si>
  <si>
    <t>Receta reconfortante de sopa de pollo</t>
  </si>
  <si>
    <t>1 pilon de poulet coupé en petits morceaux, 1 oignon émincé, 1 carotte (Gajjar) coupée en morceaux de taille moyenne, 4 gousses d'ail, 2,5 cm de gingembre haché, 1 cuillère à café de grains de poivre noir entiers, sel au goût, 60 ml de maïs doux, 2 brins d'oignon vert haché, 1 cuillère à café de crème fraîche, sel au goût, poivre noir en poudre pour l'assaisonnement</t>
  </si>
  <si>
    <t>1 Chicken drumstick - cut into small pieces,1 Onion - sliced,1 Carrot (Gajjar) - cut into medium sized,4 cloves Garlic,1 inch Ginger - chopped,1 teaspoon Whole Black Peppercorns,Salt - to taste,1/4 cup Sweet corn,2 sprig Spring Onion Greens - chopped,1 teaspoon Fresh cream,Salt - to taste,Black pepper powder - for seasoning</t>
  </si>
  <si>
    <t>1 muslo de pollo - cortado en trozos pequeños, 1 cebolla - en rodajas, 1 zanahoria (Gajjar) - cortada en trozos medianos, 4 dientes de ajo, 1 pulgada de jengibre - picado, 1 cucharadita de granos de pimienta negra enteros, sal - al gusto, 1/4 taza de maíz dulce, 2 ramitas de cebolleta - picadas, 1 cucharadita de crema fresca, sal - al gusto, pimienta negra en polvo - para condimentar</t>
  </si>
  <si>
    <t xml:space="preserve">To begin making the Soulful Chicken Soup Recipe, thoroughly wash and clean the chicken.In a pressure cooker add chicken pieces, onions, carrot, peppercorns, garlic and ginger, 2 cups of water and pressure cook for 3 whistle. Turn off the flameAllow the pressure to release naturally. , drain the stock through a muslin cloth and transfer the stock into a saucepan.Place the saucepan with the stock on medium flame, add sweet corn, spring onions and cream and bring it to a boil. Add salt and crushed peppercorns,adjust the seasoning and serve hot.Serve the Chicken soup with garlic bread or toast to enjoy it as your evening snack or as your Morning Breakfast. 
</t>
  </si>
  <si>
    <t>Para preparar la Receta de Sopa de Pollo con Sabor, lava y limpia bien el pollo. En una olla a presión, añade los trozos de pollo, la cebolla, la zanahoria, los granos de pimienta, el ajo y el jengibre, 2 tazas de agua y cocina a presión durante 3 silbidos. Apaga el fuego. Deja que la presión se libere naturalmente. Escurre el caldo con una gasa y pásalo a una cacerola. Pon la cacerola con el caldo a fuego medio, añade el maíz dulce, las cebolletas y la nata y deja que hierva. Agrega sal y granos de pimienta triturados, rectifica la sazón y sirve caliente. Sirve la sopa de pollo con pan de ajo o tostadas para disfrutarla como merienda o desayuno.</t>
  </si>
  <si>
    <t>Pour préparer la recette de la soupe au poulet, lavez et nettoyez soigneusement le poulet. Dans une cocotte-minute, ajoutez les morceaux de poulet, les oignons, les carottes, les grains de poivre, l'ail et le gingembre, ajoutez 500 ml d'eau et faites cuire sous pression pendant 3 minutes. Éteignez le feu. Laissez la pression se dissiper naturellement. Égouttez le bouillon à l'aide d'une mousseline et transvasez-le dans une casserole. Placez la casserole contenant le bouillon sur feu moyen, ajoutez le maïs, les oignons nouveaux et la crème, puis portez à ébullition. Salez et poivrez finement, rectifiez l'assaisonnement et servez chaud. Servez la soupe au poulet avec du pain à l'ail ou du pain grillé, pour un en-cas du soir ou un petit-déjeuner.</t>
  </si>
  <si>
    <t>https://www.archanaskitchen.com/soulful-chicken-soup-recipe</t>
  </si>
  <si>
    <t>Homemade Kit Kat Bars Recipe</t>
  </si>
  <si>
    <t>Rezept für selbstgemachte KitKat-Riegel</t>
  </si>
  <si>
    <t>Recette de barres KitKat maison</t>
  </si>
  <si>
    <t>Receta de barras de KitKat caseras</t>
  </si>
  <si>
    <t>200 grammes de chocolat au lait, 200 grammes de chocolat blanc, 3 gaufrettes au chocolat, 3 gaufrettes à la fraise</t>
  </si>
  <si>
    <t>200 grams Milk chocolate,200 grams White Chocolate,3 Chocolate wafers,3 Strawberry wafers</t>
  </si>
  <si>
    <t>200 gramos de chocolate con leche, 200 gramos de chocolate blanco, 3 obleas de chocolate, 3 obleas de fresa</t>
  </si>
  <si>
    <t xml:space="preserve">To begin maling the Homemade Kit Kat Bars Recipe, take a large baking or metal sheet pan and line with aluminium foil or parchment paper.Chop the chocolates into small pieces ,to facilitate the melting process and keep them in separate bowls.First let us make the milk chocolate kit kat bars.Set up a double boiler (a small pan with boiling simmering water on which to place the bowl of chopped chocolates). As the bottom of the bowl heats up, the chocolate will start melting. Keep stirring till completely melted.Remove from heat and mix well till chocolate is smooth and without lumps.Take one chocolate wafer and dip in the melted chocolate. Pour chocolate on the wafer with a spoon to coat completely, turning it often with the spoon. Gently lift the coated wafer with a fork and tap the fork on the edge of the bowl so that excess chocolate drips and then gently place the chocolate coated wafer on foil-lined pan.Continue with all the chocolate wafers the same way.Do the same process with strawberry wafers and white chocolate.Once you have dipped all your wafers, allow the bars to set completely in the foil-lined pan. You can place the kit kat bars in the refrigerator as well to set quickly. Once it has set completely, gently slide it out from the foil and serve these crunchy, chocolaty homemade Kit Kat bars or take a bite yourself!!Serve Homemade Kit Kat bars recipe with a glass of Chickoo Banana Date Smoothie Recipe to kids as an after school snack.
</t>
  </si>
  <si>
    <t>Para empezar a preparar la receta de las barras de Kit Kat caseras, cúbrela con papel aluminio o papel vegetal en una bandeja grande para hornear o metálica. Corta los chocolates en trozos pequeños para facilitar su derretimiento y guárdalos en recipientes separados. Primero, preparemos las barras de Kit Kat de chocolate con leche. Preparemos una cacerola pequeña con agua hirviendo a fuego lento para colocar el recipiente con los chocolates picados. A medida que el fondo del recipiente se caliente, el chocolate comenzará a derretirse. Remueva hasta que esté completamente derretido. Retire del fuego y mezcle bien hasta que el chocolate esté suave y sin grumos. Sumerja una oblea de chocolate en el chocolate derretido. Vierta el chocolate sobre la oblea con una cuchara para cubrirla completamente, dándole la vuelta con frecuencia. Levanta con cuidado la oblea recubierta con un tenedor y golpéala en el borde del tazón para que gotee el exceso de chocolate. Luego, coloca con cuidado la oblea recubierta de chocolate en una bandeja forrada con papel de aluminio. Continúa con todas las obleas de chocolate de la misma manera. Repite el mismo proceso con las obleas de fresa y las de chocolate blanco. Una vez que hayas sumergido todas las obleas, deja que las barras se endurezcan completamente en la bandeja forrada con papel de aluminio. También puedes colocar las barras de Kit Kat en el refrigerador para que se endurezcan rápidamente. Una vez que se hayan endurecido por completo, deslízalas con cuidado hacia afuera del papel de aluminio y sirve estas crujientes y chocolatosas barras de Kit Kat caseras o ¡pruébalas tú mismo! Sirve la receta de barras de Kit Kat caseras con un vaso de la Receta de Batido de Plátano y Dátiles Chickoo a los niños como refrigerio después de la escuela.</t>
  </si>
  <si>
    <t>Pour commencer la recette des barres Kit Kat maison, prenez un grand plat de cuisson ou une plaque en métal et recouvrez-le de papier aluminium ou de papier sulfurisé. Coupez les chocolats en petits morceaux pour faciliter la fonte et conservez-les dans des bols séparés. Commençons par préparer les barres Kit Kat au chocolat au lait. Préparez un bain-marie (une petite casserole d'eau frémissante sur laquelle vous déposerez le bol de chocolats hachés). Lorsque le fond du bol chauffe, le chocolat commence à fondre. Continuez à remuer jusqu'à ce qu'il soit complètement fondu. Retirez du feu et mélangez bien jusqu'à ce que le chocolat soit lisse et sans grumeaux. Prenez une gaufrette au chocolat et trempez-la dans le chocolat fondu. Versez le chocolat dessus à l'aide d'une cuillère pour bien l'enrober, en la retournant souvent avec la cuillère. Soulevez délicatement la gaufrette enrobée avec une fourchette et tapotez la fourchette sur le bord du bol pour que l'excédent de chocolat s'égoutte, puis placez délicatement la gaufrette enrobée de chocolat sur une plaque recouverte de papier aluminium. Continuez avec toutes les gaufrettes au chocolat de la même manière. Procédez de la même manière avec les gaufrettes à la fraise et le chocolat blanc. Une fois que vous avez trempé toutes vos gaufrettes, laissez les barres prendre complètement dans la plaque recouverte de papier aluminium. Vous pouvez également placer les barres Kit Kat au réfrigérateur pour qu'elles prennent rapidement. Une fois qu'elles ont complètement pris, retirez-les délicatement du papier aluminium et servez ces barres Kit Kat maison croquantes et chocolatées ou croquez-en une bouchée vous-même ! Servez la recette des barres Kit Kat maison avec un verre de recette de smoothie Chickoo Banana Dattes aux enfants comme collation après l'école.</t>
  </si>
  <si>
    <t>https://www.archanaskitchen.com/homemade-kit-kat-bars-recipe</t>
  </si>
  <si>
    <t>Vegan Hot Chocolate Recipe</t>
  </si>
  <si>
    <t>Veganes Rezept für heiße Schokolade</t>
  </si>
  <si>
    <t>Recette de chocolat chaud végétalien</t>
  </si>
  <si>
    <t>Receta de chocolate caliente vegano</t>
  </si>
  <si>
    <t>1 litre de lait de soja ou d'amande, 1/4 tasse de cacao en poudre, 1 pincée de sel, 1/4 tasse de sucre de canne ou de sucre de coco, 1 cuillère à soupe d'extrait de vanille, 60 grammes de barre de chocolat - sans produits laitiers</t>
  </si>
  <si>
    <t xml:space="preserve">1 liter Soy milk - or almond milk,1/4 cup Cocoa Powder,1 pinch Salt,1/4 cup Cane sugar - or coconut sugar,1 tablespoon Vanilla Extract,60 grams Chocolate Bar - dairy free </t>
  </si>
  <si>
    <t>1 litro de leche de soja o leche de almendras, 1/4 taza de cacao en polvo, 1 pizca de sal, 1/4 taza de azúcar de caña o azúcar de coco, 1 cucharada de extracto de vainilla, 60 gramos de barra de chocolate sin lácteos</t>
  </si>
  <si>
    <t xml:space="preserve">To prepare Vegan hot Chocolate Recipe, get prep with all the ingredients first.In a Saucepan add cocoa powder, cane sugar, salt, vanilla and 1/2 cup of soy milk into a Blender and whisk until ingredients have combined smoothly. Now whisk in the remaining soy milk (or almond milk).Turn on the heat and slowly bring it to a boil and turn off the heat and drop the dairy free chocolate (if using) and stir.Alternately, break chocolate and divide into 4 cups (optional), pour the hot chocolate into the cups.Serve vegan hot chocolate recipe with Pretzel salad or Whole Wheat Banana Bread Recipe (with Eggless &amp; Vegan Options) during evening.
</t>
  </si>
  <si>
    <t>Para preparar la receta de chocolate caliente vegano, primero prepare todos los ingredientes. En una cacerola, agregue cacao en polvo, azúcar moreno, sal, vainilla y 1/2 taza de leche de soya. Licúe hasta que los ingredientes se integren suavemente. Ahora, incorpore el resto de la leche de soya (o leche de almendras). Encienda el fuego y llévelo lentamente a ebullición. Apague el fuego y agregue el chocolate sin lácteos (si lo usa) y revuelva. Alternativamente, rompa el chocolate y divídalo en 4 tazas (opcional), vierta el chocolate caliente en las tazas. Sirva la receta de chocolate caliente vegano con ensalada de pretzel o pan de plátano integral (con opciones sin huevo y veganas) por la noche.</t>
  </si>
  <si>
    <t>Pour préparer une recette de chocolat chaud végétalien, préparez d'abord tous les ingrédients. Dans une casserole, ajoutez le cacao en poudre, le sucre de canne, le sel, la vanille et 1/2 tasse de lait de soja dans un mixeur et fouettez jusqu'à obtenir une consistance lisse. Incorporez ensuite le reste du lait de soja (ou du lait d'amande). Allumez le feu et portez lentement à ébullition. Éteignez le feu et ajoutez le chocolat sans produits laitiers (si vous en utilisez) et remuez. Vous pouvez également casser le chocolat et le répartir dans 4 tasses (facultatif), puis y verser le chocolat chaud. Servez la recette de chocolat chaud végétalien avec une salade de bretzels ou un pain aux bananes complet (avec options sans œufs et végétaliennes) le soir.</t>
  </si>
  <si>
    <t>https://www.archanaskitchen.com/vegan-hot-chocolate-recipe</t>
  </si>
  <si>
    <t>Roasted Pumpkin, Orange and Urad Dal Salad Recipe</t>
  </si>
  <si>
    <t>Rezept für gerösteten Kürbis-, Orangen- und Urad-Dal-Salat</t>
  </si>
  <si>
    <t>Recette de salade de potiron rôti, d'orange et d'urad dal</t>
  </si>
  <si>
    <t>Receta de ensalada de calabaza asada, naranja y urad dal</t>
  </si>
  <si>
    <t>1 tasse de dal blanc Urad (split), 150 grammes de kaddu (parangikai/citrouille) - finement tranché, 1 orange - peau pelée et segments retirés, 3 brins de feuilles de coriandre (dhania), 1/2 jus d'orange frais, 4 cuillères à soupe d'huile d'olive extra vierge, sel et poivre - au goût</t>
  </si>
  <si>
    <t>1 cup White Urad Dal (Split),150 grams Kaddu (Parangikai/ Pumpkin) - thinly sliced,1 Orange - skin peeled and segments removed,3 sprig Coriander (Dhania) Leaves,1/2 Fresh orange juice,4 tablespoon Extra Virgin Olive Oil,Salt and Pepper - to taste</t>
  </si>
  <si>
    <t>1 taza de dal Urad blanco (partido), 150 gramos de Kaddu (Parangikai/calabaza) en rodajas finas, 1 naranja pelada y sin gajos, 3 ramitas de hojas de cilantro (Dhania), 1/2 jugo de naranja fresco, 4 cucharadas de aceite de oliva virgen extra, sal y pimienta - al gusto</t>
  </si>
  <si>
    <t xml:space="preserve">To begin making the Roasted Pumpkin, Orange and Urad Dal Salad Recipe, we will first pressure cook the dal with 1 cup water and salt to two whistle and switch it off.Once done allow the pressure to release naturally and drain the dal and keep it aside.Pre heat the oven to 180 degree Celsius to 10 minutes. Keep your pumpkin slices lined over a baking tray and drizzle some oil, salt and pepper and bake it for at least 20 minutes.Once the pumpkin become soft and lightly crisp add it into a mixing bowl. Add dal, orange segments in to the same bowl.In a small bowl, whisk in all the ingredients together until it emulsifies and pour it over the salad and toss it well.Serve it on to a plate and garnish with some coriander leaves. 
</t>
  </si>
  <si>
    <t>Para empezar a preparar la receta de ensalada de calabaza asada, naranja y dal urad, primero cocinaremos el dal a presión con 1 taza de agua y sal hasta que suene dos silbidos y apagaremos el horno. Una vez listo, deje que la presión se libere naturalmente, escurra el dal y resérvelo. Precaliente el horno a 180 °C durante 10 minutos. Coloque las rodajas de calabaza sobre una bandeja para hornear, rocíe con un poco de aceite, sal y pimienta y hornee durante al menos 20 minutos. Una vez que la calabaza esté suave y ligeramente crujiente, agréguela a un tazón. Añada el dal y los gajos de naranja al mismo tazón. En un tazón pequeño, bata todos los ingredientes hasta que emulsionen y viértalo sobre la ensalada, revolviendo bien. Sírvalo en un plato y decore con hojas de cilantro.</t>
  </si>
  <si>
    <t>Pour préparer la salade de dal rôti à la citrouille, à l'orange et à l'urad, nous allons d'abord cuire le dal sous pression avec 250 ml d'eau et du sel à 200 °C, puis éteindre le four. Une fois la cuisson terminée, laisser la pression se relâcher naturellement, égoutter le dal et le réserver. Préchauffer le four à 180 °C pendant 10 minutes. Disposer les tranches de citrouille sur une plaque de cuisson, arroser d'un filet d'huile, saler et poivrer, puis enfourner pendant au moins 20 minutes. Une fois le potiron tendre et légèrement croustillant, le placer dans un saladier. Ajouter le dal et les quartiers d'orange dans le même saladier. Dans un petit saladier, fouetter tous les ingrédients jusqu'à émulsion, verser sur la salade et bien mélanger. Servir dans une assiette et garnir de quelques feuilles de coriandre.</t>
  </si>
  <si>
    <t>http://www.archanaskitchen.com/roasted-pumpkin-orange-and-urad-dal-salad-recipe</t>
  </si>
  <si>
    <t>Cauliflower Soup Recipe</t>
  </si>
  <si>
    <t>Blumenkohlsuppe Rezept - Rezept für Blumenkohlsuppe</t>
  </si>
  <si>
    <t>Recette de soupe de chou-fleur - Recette de soupe de chou-fleur</t>
  </si>
  <si>
    <t>Receta de sopa de coliflor - Receta de sopa de coliflor</t>
  </si>
  <si>
    <t>1 chou haché, 1/2 tasse de céleri haché, 1/2 tasse de carotte râpée, 1/4 tasse de beurre, 1/2 tasse de cheddar, sel selon le goût, 1/2 cuillère à café de poivre noir entier concassé, 2 tasses d'eau ou de bouillon de légumes, 2 tasses de lait, 1 cuillère à café de sauce chili rouge, 1 cuillère à soupe de farine de maïs</t>
  </si>
  <si>
    <t>1 cabbage - chopped, 1/2 cup celery - chopped, 1/2 cup carrot - grated, 1/4 cup butter, 1/2 cup cheddar cheese, salt - according to taste, 1/2 teaspoon whole black pepper - crushed, 2 cups water - or vegetable stock, 2 cups milk, 1 teaspoon red chilli sauce, 1 tablespoon corn flour</t>
  </si>
  <si>
    <t>1 repollo picado, 1/2 taza de apio picado, 1/2 taza de zanahoria rallada, 1/4 taza de mantequilla, 1/2 taza de queso cheddar, sal al gusto, 1/2 cucharadita de pimienta negra entera triturada, 2 tazas de agua o caldo de verduras, 2 tazas de leche, 1 cucharadita de salsa de chile rojo, 1 cucharada de harina de maíz</t>
  </si>
  <si>
    <t>To make Cauliflower Soup Recipe, first take water, cauliflower, celery and carrot in a saucepan. Add salt and cook till the vegetables become soft. Now put butter, corn flour and milk in a pan and cook till it thickens. After it thickens, add chilli sauce, mix it and turn off the gas. Now add the cauliflower carrot mixture and mix it. Add cheese, salt and pepper on top and mix it. Serve hot. Serve Cauliflower Soup with any sandwich of your choice for lunch.</t>
  </si>
  <si>
    <t>Para preparar la receta de sopa de coliflor, primero ponga agua, coliflor, apio y zanahoria en una cacerola. Añada sal y cocine hasta que las verduras estén tiernas. Luego, ponga mantequilla, harina de maíz y leche en una cacerola y cocine hasta que espese. Una vez espesa, agregue salsa picante, mezcle y apague el fuego. Añada la mezcla de coliflor y zanahoria y mezcle. Agregue queso, sal y pimienta por encima y mezcle. Sirva caliente. Sirva la sopa de coliflor con cualquier sándwich de su elección para el almuerzo.</t>
  </si>
  <si>
    <t>Pour préparer la soupe de chou-fleur, mettez de l'eau, du chou-fleur, du céleri et des carottes dans une casserole. Salez et faites cuire jusqu'à ce que les légumes soient tendres. Ajoutez ensuite le beurre, la fécule de maïs et le lait dans une casserole et faites cuire jusqu'à épaississement. Ajoutez ensuite la sauce chili, mélangez et coupez le feu. Ajoutez ensuite le mélange chou-fleur-carotte et mélangez. Ajoutez le fromage, le sel et le poivre et mélangez. Servez chaud. Accompagnez la soupe de chou-fleur du sandwich de votre choix pour le déjeuner.</t>
  </si>
  <si>
    <t>https://www.archanaskitchen.com/cauliflower-soup-recipe-in-hindi</t>
  </si>
  <si>
    <t>Creamy Herb Roasted Potato Soup In a Bread Bowl Recipe</t>
  </si>
  <si>
    <t>Cremige Kräuter-Bratkartoffelsuppe in einer Brotschüssel – Rezept</t>
  </si>
  <si>
    <t>Soupe crémeuse de pommes de terre frites aux herbes dans un bol en pain – recette</t>
  </si>
  <si>
    <t>Sopa cremosa de papa frita con hierbas en un tazón de pan – Receta</t>
  </si>
  <si>
    <t>1 pain au levain - boule, 1 cuillère à soupe de beurre, 3 pommes de terre (Aloo) - pelées et coupées en petits cubes, 1 cuillère à soupe d'huile d'olive extra vierge, 1 cuillère à café de jus de citron, 2 cuillères à café d'herbes mélangées (séchées), 1 cuillère à café de flocons de piment rouge, 1 cuillère à soupe de beurre, 1 cuillère à soupe de farine tout usage (Maida), 1 tasse de lait, 1/4 tasse de cheddar, sel - au goût, 1 cuillère à café de poudre de poivre blanc, 2 cuillères à soupe de crème sure, 1/4 tasse de feuilles d'oignons nouveaux</t>
  </si>
  <si>
    <t>1 Sourdough bread - boule,1 tablespoon Butter,3 Potatoes (Aloo) - peeled and cut into small cubes,1 tablespoon Extra Virgin Olive Oil,1 teaspoon Lemon juice,2 teaspoon Mixed Herbs (Dried),1 teaspoon Red Chilli flakes,1 tablespoon Butter,1 tablespoon All Purpose Flour (Maida),1 cup Milk,1/4 cup Cheddar cheese,Salt - to taste,1 teaspoon White pepper powder,2 tablespoons Sour cream,1/4 cup Spring Onion Greens</t>
  </si>
  <si>
    <t>1 pan de masa madre - boule, 1 cucharada de mantequilla, 3 papas (Aloo) - peladas y cortadas en cubos pequeños, 1 cucharada de aceite de oliva virgen extra, 1 cucharadita de jugo de limón, 2 cucharaditas de hierbas mixtas (secas), 1 cucharadita de hojuelas de chile rojo, 1 cucharada de mantequilla, 1 cucharada de harina para todo uso (Maida), 1 taza de leche, 1/4 taza de queso cheddar, sal - al gusto, 1 cucharadita de pimienta blanca en polvo, 2 cucharadas de crema agria, 1/4 taza de cebolletas verdes</t>
  </si>
  <si>
    <t xml:space="preserve">To begin making the Creamy Herb Roasted Potato Soup In a Bread Bowl Recipe, we will first roast the potatoes. Preheat the oven to 180 degree celsius. In a mixing bowl, combine the potato cubes along with the olive oil, lemon juice,mixed herbs, red chilli flakes.Give it a good mix and place it on a tray lined with aluminum foil. Place it in the oven for about 30 mins, tossing occasionally. Once the potatoes have cooked through  remove from the oven and set aside. To make the creamy soup Heat a sauce pan, with butter on medium flame, once the butter melts, add in the flour. Mix well and cook until it turns into a light brown colour indicating the flour to be cooked. Using the whisk, mix in the milk, and continue to whisk until the sauce thickens. We are looking for a thick yet, pouring consistency sauce. Turn off the flame, and while the soup base is still hot, add in the grated cheddar cheese and whisk until well  combined into the sauce. Add white pepper powder and salt to taste, keeping in mind the cheese added to the mixture. Finally add in the sour cream and spring onion greens and give it a good mix. If you find your soup to be too thick to your liking, thin it down with a wee bit of water. Add in the previously roasted potatoes to the ready soup and the Creamy Herb Roasted Potato Soup is ready.To assemble the soupPreheat the oven to 200 degree celsius. Take the sour dough bread and make a cavity in the center by using a bread knife and remove the insides of the bread by marking a well defined cavity, You will now have a well in the center, brush the insides with some melted butter and place this bread in the oven. Bake for 10 minutes until the top of the bread is well crusted. Remove from the oven and pour the Creamy Herb Roasted Potato Soup and serve. Serve Creamy Herb Roasted Potato Soup In a Bread Bowl Recipe along with Lettuce, Apple And Carrot Salad With Chilli Dressing Recipe and Noodle Sizzler With Garlic Pepper Sauce And Baked Vegetables Recipe, Lavender Lemonade Cooler Recipe for a hearty meal.
</t>
  </si>
  <si>
    <t>Para comenzar a hacer la receta de sopa cremosa de papa asada con hierbas en un tazón de pan, primero asaremos las papas. Precaliente el horno a 180 grados centígrados. En un tazón, combine los cubos de papa junto con el aceite de oliva, el jugo de limón, las hierbas mixtas y las hojuelas de chile rojo. Mezcle bien y colóquelo en una bandeja forrada con papel de aluminio. Colóquelo en el horno durante unos 30 minutos, revolviendo ocasionalmente. Una vez que las papas se hayan cocido, retírelas del horno y déjelas a un lado. Para hacer la sopa cremosa, caliente una cacerola con mantequilla a fuego medio, una vez que la mantequilla se derrita, agregue la harina. Mezcle bien y cocine hasta que se vuelva de un color marrón claro que indique que la harina está cocida. Usando el batidor, mezcle la leche y continúe batiendo hasta que la salsa espese. Estamos buscando una salsa espesa pero de consistencia vertible. Apaga el fuego, y mientras la base de sopa todavía esté caliente, agrega el queso cheddar rallado y bate hasta que esté bien combinado con la salsa. Agrega pimienta blanca en polvo y sal al gusto, teniendo en cuenta el queso agregado a la mezcla. Finalmente, agrega la crema agria y las cebolletas y mezcla bien. Si encuentras que tu sopa está demasiado espesa para tu gusto, dilúyela con un poquito de agua. Agrega las papas previamente asadas a la sopa lista y la Sopa Cremosa de Papa Asada con Hierbas estará lista. Para armar la sopa Precalienta el horno a 200 grados centígrados. Toma el pan de masa madre y haz una cavidad en el centro usando un cuchillo de pan y retira el interior del pan marcando una cavidad bien definida. Ahora tendrás un pozo en el centro, pincela el interior con un poco de mantequilla derretida y coloca este pan en el horno. Hornea durante 10 minutos hasta que la parte superior del pan esté bien cubierta con una costra. Retire del horno, vierta la sopa cremosa de papa asada con hierbas y sirva. Sirva la sopa cremosa de papa asada con hierbas en un tazón de pan junto con la ensalada de lechuga, manzana y zanahoria con aderezo de chile, la salsa de fideos con ajo y pimienta y las verduras al horno y la limonada refrescante de lavanda para una comida abundante.</t>
  </si>
  <si>
    <t>Pour commencer à préparer la recette de soupe crémeuse aux pommes de terre rôties aux herbes dans un bol en pain, nous allons d'abord rôtir les pommes de terre. Préchauffez le four à 180 degrés Celsius. Dans un bol, mélangez les cubes de pommes de terre avec l'huile d'olive, le jus de citron, les herbes mélangées et les flocons de piment rouge. Mélangez bien et placez-le sur une plaque recouverte de papier d'aluminium. Placez-le au four pendant environ 30 minutes en remuant de temps en temps. Une fois les pommes de terre cuites, retirez-les du four et réservez. Pour préparer la soupe crémeuse, faites chauffer une casserole avec du beurre à feu moyen. Une fois le beurre fondu, ajoutez la farine. Mélangez bien et faites cuire jusqu'à ce qu'elle prenne une couleur brun clair indiquant la farine à cuire. À l'aide du fouet, incorporez le lait et continuez de fouetter jusqu'à ce que la sauce épaississe. Nous recherchons une sauce épaisse mais onctueuse. Éteignez le feu et, pendant que la base de la soupe est encore chaude, ajoutez le cheddar râpé et fouettez jusqu'à ce qu'il soit bien mélangé à la sauce. Ajoutez de la poudre de poivre blanc et du sel au goût, en gardant à l'esprit le fromage ajouté au mélange. Enfin, ajoutez la crème sure et les oignons nouveaux et mélangez bien. Si vous trouvez votre soupe trop épaisse à votre goût, diluez-la avec un peu d'eau. Ajoutez les pommes de terre préalablement rôties à la soupe prête et la soupe crémeuse aux herbes rôties aux pommes de terre est prête. Pour assembler la soupe Préchauffez le four à 200 degrés Celsius. Prenez le pain au levain et faites une cavité au centre à l'aide d'un couteau à pain et retirez l'intérieur du pain en marquant une cavité bien définie. Vous aurez maintenant un puits au centre, badigeonnez l'intérieur de beurre fondu et placez ce pain au four. Faites cuire pendant 10 minutes jusqu'à ce que le dessus du pain soit bien croustillant. Retirer du four et verser la soupe crémeuse de pommes de terre rôties aux herbes et servir. Servir la soupe crémeuse de pommes de terre rôties aux herbes dans un bol en pain avec la salade de laitue, de pommes et de carottes avec vinaigrette au piment et les nouilles grésillantes avec sauce à l'ail et au poivre et légumes cuits au four, ainsi que la limonade rafraîchissante à la lavande pour un repas copieux.</t>
  </si>
  <si>
    <t>http://www.archanaskitchen.com/creamy-herb-roasted-potato-soup-in-a-bread-bowl-recipe</t>
  </si>
  <si>
    <t>Eggless Mango Cheesecake Recipe</t>
  </si>
  <si>
    <t>Rezept für eifreien Mango-Käsekuchen</t>
  </si>
  <si>
    <t>Recette de cheesecake à la mangue sans œufs</t>
  </si>
  <si>
    <t>Receta de tarta de queso con mango y sin huevo</t>
  </si>
  <si>
    <t>250 grammes de fromage à la crème Britannia - à température ambiante, 3/4 tasse de mangue (mûre), 1/2 tasse de sucre, 3/4 tasse de lait, 1 cuillère à soupe de gélatine - sans saveur, 1/4 tasse d'eau, 1 1/2 tasse de biscuit digestif - écrasé, 1/3 tasse de beurre - fondu, 1/4 tasse de pulpe de mangue (purée), kiwi - baies ou mangue pour la garniture.</t>
  </si>
  <si>
    <t>250 grams Britannia Cream Cheese - at room temperature,3/4 cup Mango (Ripe),1/2 cup Sugar,3/4 cup Milk,1 tablespoon Gelatin - unflavoured,1/4 cup Water,1 1/2 cup Digestive biscuit - crushed,1/3 cup Butter - melted,1/4 cup Mango Pulp (Puree),Kiwi - berries or mango for garnishing.</t>
  </si>
  <si>
    <t>250 gramos de queso crema Britannia - a temperatura ambiente, 3/4 taza de mango (maduro), 1/2 taza de azúcar, 3/4 taza de leche, 1 cucharada de gelatina - sin sabor, 1/4 taza de agua, 1 1/2 taza de galleta digestiva - triturada, 1/3 taza de mantequilla - derretida, 1/4 taza de pulpa de mango (puré), kiwi - bayas o mango para decorar.</t>
  </si>
  <si>
    <t xml:space="preserve">To begin with Eggless Mango Cheesecake, take a spring form pan and line the bottom and sides with parchment paper or wax paper.Mix 1/3 cup melted butter with 1 1/2 cup crushed digestive cookies till everything is mixed properly.Press the cookie butter mix to the bottom of the springform pan with your fingers or wide spoon to form a firm base for the cheese cake.Microwave 1/4 cup water in a bowl for 1-2 minute or till it boils. Add gelatin to the hot water and mix till it dissolves completely.Add the gelatin mix to 3/4 cup of mango puree and keep it aside.Blend cream cheese, sugar and milk in a blender till everything is mixed well. Now add the mango gelatin mix to the blended mix. Blend all together.Pour the mix over the cookie base. Cover with a cling wrap and refrigerate for at least 2-4 hrs or overnight.Serve Mango Cheesecake after your meal with Scrambled Egg Cucumber Sandwich and Masala Chai during your tea time parties.
</t>
  </si>
  <si>
    <t>Para preparar el pastel de queso con mango sin huevo, usa un molde desmontable y forra el fondo y los lados con papel vegetal o papel encerado. Mezcla 1/3 de taza de mantequilla derretida con 1 1/2 tazas de galletas digestivas trituradas hasta que todo esté bien integrado. Presiona la mezcla de mantequilla de galletas contra el fondo del molde desmontable con los dedos o una cuchara ancha para formar una base firme para el pastel de queso. Calienta 1/4 de taza de agua en un tazón en el microondas durante 1 o 2 minutos o hasta que hierva. Agrega la gelatina al agua caliente y mezcla hasta que se disuelva por completo. Agrega la mezcla de gelatina a 3/4 de taza de puré de mango y reserva. Licúa el queso crema, el azúcar y la leche en una licuadora hasta que todo esté bien integrado. Ahora agrega la mezcla de gelatina de mango a la mezcla anterior. Licúa todo. Vierte la mezcla sobre la base de galletas. Cúbrelo con film transparente y refrigéralo durante al menos 2 a 4 horas o toda la noche. Sirve el pastel de queso con mango después de la comida con un sándwich de pepino y huevos revueltos y Masala Chai durante tus reuniones de té.</t>
  </si>
  <si>
    <t>Pour commencer le cheesecake à la mangue sans œufs, prenez un moule à charnière et tapissez le fond et les côtés de papier sulfurisé ou de papier sulfurisé. Mélangez 1/3 de tasse de beurre fondu avec 1 1/2 tasse de biscuits digestifs écrasés jusqu'à ce que le tout soit bien mélangé. Tassez le mélange au beurre de biscuits au fond du moule à charnière avec vos doigts ou une cuillère large pour former une base ferme pour le cheesecake. Faites chauffer 60 ml d'eau dans un bol au micro-ondes pendant 1 à 2 minutes ou jusqu'à ébullition. Ajoutez la gélatine à l'eau chaude et mélangez jusqu'à dissolution complète. Ajoutez le mélange de gélatine à 190 ml de purée de mangue et réservez. Mixez le fromage frais, le sucre et le lait dans un mixeur jusqu'à ce que le tout soit bien mélangé. Ajoutez ensuite le mélange de gélatine à la mangue au mélange mixé. Mixez le tout. Versez le mélange sur la base des biscuits. Couvrir d'un film alimentaire et réfrigérer pendant au moins 2 à 4 heures ou toute la nuit. Servez le cheesecake à la mangue après votre repas avec un sandwich aux œufs brouillés et au concombre et du Masala Chai pendant vos goûters.</t>
  </si>
  <si>
    <t>http://www.archanaskitchen.com/eggless-mango-cheesecake-recipe</t>
  </si>
  <si>
    <t>Eggless &amp; Gluten free Oats Banana Brownie Recipe</t>
  </si>
  <si>
    <t>Rezept für Hafer-Bananen-Brownies ohne Ei und Gluten</t>
  </si>
  <si>
    <t>Recette de brownies avoine-banane sans œufs et sans gluten</t>
  </si>
  <si>
    <t>Receta de brownie de avena y plátano sin huevo ni gluten</t>
  </si>
  <si>
    <t>1 banane mûre, 3/4 tasse de flocons d'avoine instantanés (gruau) - en poudre (sans gluten), 3/4 cuillère à café de levure chimique, 1/4 cuillère à café de bicarbonate de soude, 1/2 tasse de cassonade (sucre Demerara), 1 cuillère à soupe de poudre de graines de lin (farine de lin), 3 cuillères à soupe d'huile d'olive extra vierge, 1 cuillère à café d'extrait de vanille, 1/4 tasse de noix - hachées, 3 cuillères à soupe de pépites de chocolat, 5 cuillères à soupe de poudre de cacao, 1/8 cuillère à café de sel de mer</t>
  </si>
  <si>
    <t>1 Ripe Bananas,3/4 cups Instant Oats (Oatmeal) - powdered (gluten free),3/4 teaspoon Baking powder,1/4 teaspoon Baking soda,1/2 cup Brown Sugar (Demerara Sugar),1 tablespoon Flax seed powder (flax meal),3 tablespoon Extra Virgin Olive Oil,1 teaspoon Vanilla Extract,1/4 cup Walnuts - chopped,3 tablespoon Chocolate chips,5 tablespoon Cocoa Powder,1/8 teaspoon Sea salt</t>
  </si>
  <si>
    <t>1 plátano maduro, 3/4 tazas de avena instantánea (avena) en polvo (sin gluten), 3/4 cucharadita de polvo para hornear, 1/4 cucharadita de bicarbonato de sodio, 1/2 taza de azúcar morena (azúcar Demerara), 1 cucharada de polvo de semilla de lino (harina de lino), 3 cucharadas de aceite de oliva virgen extra, 1 cucharadita de extracto de vainilla, 1/4 taza de nueces picadas, 3 cucharadas de chispas de chocolate, 5 cucharadas de cacao en polvo, 1/8 cucharadita de sal marina</t>
  </si>
  <si>
    <t xml:space="preserve">To prepare Eggless &amp; Gluten Free Oats Banana Brownies recipe, dry roast the rolled oats in a pan on low heat for two minutes. Cool for 3-4 minutes and then grind it in a mixer at high speed into a fine powder.Preheat Oven to 350F or 180 degrees Celsius. Line a brownie pan with parchment paper or if using an aluminum foil, grease it with cooking spray.Sieve the powdered oats flour and measure 1/2 cup. Add baking powder, baking soda and salt into the fine oats flour and mix it evenly.Mash the banana in a bowl using a fork. Add the flaxseed meal in about 3 tablespoons of lukewarm water. Stir and mix till it is frothy.In a large bowl, beat sugar, oil and the flax seed mixture using an electric mixer for about 2 minutes.Add vanilla extract and cocoa powder and beat it at low speed till you get a smooth and creamy mixture. Do not overbeat.Add mashed bananas and flour into the bowl.Add the chopped walnuts and chocolate chips into it. Stir and mix well so the oats flour is well incorporated.Grease the baking pan and dust with flour. tap off the excess flour.Pour the batter into the prepared pan and bake for 35-40 minutes. When done, the edges of the brownies will be visibly baked through and the center will be set (that is, not wiggly) when you shake the pan.Try to look for the first sign of cracking on the brownie’s top—which should be shiny and set which means that the brownies are cooked and then pull them out.Cool down the brownies completely in the pan on a wire. After the brownies are completely cooled, after an hour, cut them into neat squares.You can store in an air-tight container to serve with a hot cup of coffee or a scoop of vanilla ice cream during tea-time. You could also serve it with warm chocolate ganache as dessert after dinner.
</t>
  </si>
  <si>
    <t xml:space="preserve">Para preparar la receta de Brownies de plátano y avena sin huevo ni gluten, tuesta la avena arrollada en una sartén a fuego lento durante dos minutos. Deja enfriar durante 3-4 minutos y luego muélela en una batidora a alta velocidad hasta obtener un polvo fino. Precalienta el horno a 350 F o 180 grados Celsius. Cubre un molde para brownies con papel pergamino o, si usas papel aluminio, engrásalo con aceite en aerosol. Tamiza la harina de avena en polvo y mide 1/2 taza. Agrega polvo para hornear, bicarbonato de sodio y sal a la harina de avena fina y mézclalo uniformemente. Tritura el plátano en un tazón con un tenedor. Agrega la harina de linaza en aproximadamente 3 cucharadas de agua tibia. Revuelve y mezcla hasta que esté espumoso. En un tazón grande, bate el azúcar, el aceite y la mezcla de semillas de lino con una batidora eléctrica durante aproximadamente 2 minutos. Agrega el extracto de vainilla y el cacao en polvo y bate a baja velocidad hasta obtener una mezcla suave y cremosa. No batas demasiado. Agrega los plátanos machacados y la harina al tazón. Agrega las nueces picadas y las chispas de chocolate. Revuelve y mezcla bien para que la harina de avena esté bien incorporada. Engrasa el molde para hornear y espolvorea con harina. Golpea el exceso de harina. Vierte la masa en el molde preparado y hornea durante 35-40 minutos. Cuando esté listo, los bordes de los brownies estarán visiblemente horneados y el centro estará listo (es decir, no se moverá) cuando agites el molde. Intenta buscar la primera señal de agrietamiento en la parte superior del brownie, que debe ser brillante y firme, lo que significa que los brownies están cocidos y luego sácalos. Enfría los brownies completamente en el molde sobre una rejilla. Después de que los brownies se hayan enfriado completamente, después de una hora, córtalos en cuadrados limpios. Puedes guardarlo en un recipiente hermético para servir con una taza de café caliente o una bola de helado de vainilla durante la hora del té. También puedes servirlo con ganache de chocolate caliente como postre después de la cena.
</t>
  </si>
  <si>
    <t>Français Pour préparer la recette de brownies à la banane et à l'avoine sans œufs et sans gluten, faites rôtir à sec les flocons d'avoine dans une poêle à feu doux pendant deux minutes. Laissez refroidir pendant 3 à 4 minutes, puis broyez-les dans un mélangeur à grande vitesse jusqu'à obtenir une poudre fine. Préchauffez le four à 350 °F ou 180 degrés Celsius. Tapissez un moule à brownie de papier sulfurisé ou, si vous utilisez une feuille d'aluminium, graissez-le avec un enduit à cuisson. Tamisez la farine d'avoine en poudre et mesurez-en 1/2 tasse. Ajoutez la levure chimique, le bicarbonate de soude et le sel dans la farine d'avoine fine et mélangez uniformément. Écrasez la banane dans un bol à l'aide d'une fourchette. Ajoutez la farine de graines de lin dans environ 3 cuillères à soupe d'eau tiède. Remuez et mélangez jusqu'à ce qu'elle soit mousseuse. Dans un grand bol, battez le sucre, l'huile et le mélange de graines de lin à l'aide d'un batteur électrique pendant environ 2 minutes. Ajoutez l'extrait de vanille et la poudre de cacao et battez à basse vitesse jusqu'à obtenir un mélange lisse et crémeux. Ne pas trop battre. Ajouter les bananes écrasées et la farine dans le bol. Ajouter les noix hachées et les pépites de chocolat. Bien mélanger pour bien incorporer la farine d'avoine. Graisser le moule et le saupoudrer de farine. Tapoter pour enlever l'excédent de farine. Verser la pâte dans le moule préparé et cuire au four pendant 35 à 40 minutes. Une fois cuits, les bords des brownies seront visiblement cuits et le centre sera pris (c'est-à-dire non ondulé) lorsque vous secouerez le moule. Essayez de repérer les premiers signes de craquelure sur le dessus du brownie ; il doit être brillant et pris, ce qui signifie que les brownies sont cuits, puis retirez-les. Laissez refroidir complètement les brownies dans le moule sur une grille. Une fois les brownies complètement refroidis, au bout d'une heure, coupez-les en carrés bien nets. Vous pouvez conserver les brownies dans un récipient hermétique pour les servir avec une tasse de café chaud ou une boule de glace à la vanille à l'heure du thé. Vous pouvez également les servir avec une ganache au chocolat chaude en dessert après le dîner.</t>
  </si>
  <si>
    <t>https://www.archanaskitchen.com/eggless-gluten-free-oats-banana-brownie-recipe</t>
  </si>
  <si>
    <t>Garlic Toasted Beans Salad Recipe</t>
  </si>
  <si>
    <t>Rezept für Salat mit gerösteten Bohnen und Knoblauch</t>
  </si>
  <si>
    <t>Recette de salade aux haricots rôtis et à l'ail</t>
  </si>
  <si>
    <t>Receta de ensalada de frijoles asados ​​y ajo</t>
  </si>
  <si>
    <t>300 grammes de haricots verts (haricots verts) - coupés en morceaux de 1 pouce et blanchis, 10 gousses d'ail - finement tranchées, 2 piments rouges secs - épépinés et grossièrement déchirés, 1 cuillère à soupe d'huile d'olive extra vierge, sel - au goût</t>
  </si>
  <si>
    <t>300 grams Green beans (French Beans) - cut into inch pieces and blanched,10 cloves Garlic - thinly sliced,2 Dry Red Chillies - de-seeded and roughly torn,1 tablespoon Extra Virgin Olive Oil,Salt - to taste</t>
  </si>
  <si>
    <t>300 gramos de judías verdes (judías verdes) cortadas en trozos de una pulgada y blanqueadas, 10 dientes de ajo en rodajas finas, 2 chiles rojos secos sin semillas y desgarrados en trozos grandes, 1 cucharada de aceite de oliva virgen extra, sal al gusto</t>
  </si>
  <si>
    <t xml:space="preserve">To begin making Garlic Toasted Beans Salad Recipe, cut the ends of the beans, cut them into 1 inch pieces.Now, blanch the beans with enough water with salt for 2 minutes and transfer it into cold water to retain its crunch.Heat olive oil in a pan, add the sliced garlic and roughly torn red chillies and saute till garlic turns golden brown and releases all its flavour into the oil.Drain and add the blanched beans into the pan and give it a good stir.Season with salt, saute for a minute and turn off the heat. Transfer the Garlic Toasted Beans Salad Recipe into a serving bowl and serve.Serve the Garlic Toasted Beans Salad Recipe, along with Roasted Tomato and Pumpkin Soup and Spaghetti Pomodoro for a complete meal.
</t>
  </si>
  <si>
    <t>Para empezar a preparar la Receta de Ensalada de Frijoles Tostados con Ajo, corta los extremos de los frijoles en trozos de 2,5 cm. Ahora, blanquea los frijoles con suficiente agua con sal durante 2 minutos y pásalos a agua fría para que conserven su textura crujiente. Calienta el aceite de oliva en una sartén, añade el ajo en rodajas y los chiles rojos picados gruesamente y saltea hasta que el ajo se dore y libere todo su sabor en el aceite. Escurre y añade los frijoles blanqueados a la sartén y remueve bien. Sazona con sal, saltea durante un minuto y apaga el fuego. Transfiere la Receta de Ensalada de Frijoles Tostados con Ajo a un recipiente para servir y sirve. Sirve la Receta de Ensalada de Frijoles Tostados con Ajo junto con la Sopa de Tomate y Calabaza Asados ​​y los Espaguetis Pomodoro para una comida completa.</t>
  </si>
  <si>
    <t>Pour commencer à préparer la recette de salade de haricots grillés à l'ail, coupez les extrémités des haricots, coupez-les en morceaux de 2,5 cm. Maintenant, blanchissez les haricots avec suffisamment d'eau salée pendant 2 minutes et transférez-les dans de l'eau froide pour conserver leur croquant. Faites chauffer l'huile d'olive dans une poêle, ajoutez l'ail émincé et les piments rouges grossièrement déchirés et faites revenir jusqu'à ce que l'ail devienne doré et libère toute sa saveur dans l'huile. Égouttez et ajoutez les haricots blanchis dans la poêle et remuez bien. Assaisonnez avec du sel, faites revenir pendant une minute et éteignez le feu. Transférez la recette de salade de haricots grillés à l'ail dans un bol de service et servez. Servez la recette de salade de haricots grillés à l'ail, accompagnée de soupe de tomates rôties et de potiron et de spaghetti pomodoro pour un repas complet.</t>
  </si>
  <si>
    <t>https://www.archanaskitchen.com/garlic-toasted-beans-salad-recipe</t>
  </si>
  <si>
    <t>Strawberry Cheesecake Bars Recipe</t>
  </si>
  <si>
    <t>Rezept für Erdbeer-Käsekuchen-Riegel</t>
  </si>
  <si>
    <t>Recette de barres de cheesecake aux fraises</t>
  </si>
  <si>
    <t>Receta de barras de tarta de queso y fresa</t>
  </si>
  <si>
    <t>180 grammes de fromage à la crème Britannia, 1/4 tasse de sucre, 1 œuf entier, 2 cuillères à café de farine tout usage (Maida), 1 cuillère à café d'extrait de vanille, 1/4 tasse de compote de fraises - ou garniture pour tarte, 150 grammes de biscuit digestif, 50 grammes de beurre</t>
  </si>
  <si>
    <t>180 grams Britannia Cream Cheese,1/4 cup Sugar,1 Whole Eggs,2 teaspoons All Purpose Flour (Maida),1 teaspoon Vanilla Extract,1/4 cup Strawberry Compote - or pie filling,150 grams Digestive biscuit,50 grams Butter</t>
  </si>
  <si>
    <t>180 gramos de queso crema Britannia, 1/4 taza de azúcar, 1 huevo entero, 2 cucharaditas de harina para todo uso (Maida), 1 cucharadita de extracto de vainilla, 1/4 taza de compota de fresa (o relleno de tarta), 150 gramos de galleta digestiva, 50 gramos de mantequilla</t>
  </si>
  <si>
    <t xml:space="preserve">We begin making the Strawberry Cheesecake Bars Recipe by preheating the oven to 180 degree Celsius for 10 minutes.Crumble the biscuit to a coarse mixture, add melted butter and mix till it becomes like a wet sand like, then layer it on a rectangular ceramic tray, press it tightly till the mixture is even and has a uniform layer. Refrigerate for 10 minutes.Mix the cream cheese, sugar, 1 egg and vanilla essence in a mixing bowl. Using a Hand blender, blend it till it is fluffy and thick. Add flour and beat it again for 2 minutes. Then add the berry compote and swirl it around.Take the tray and pour the cheesecake batter on top and set it evenly, Put it in the oven for 30 minutes. Till you see a golden brown layer on top.Once it is baked, take it out and cool it down completely, and refrigerate for about 1 hour. Then using a knife cut them into bars and serve.Serve the Strawberry Cheesecake Bars Recipe as Snack after school or as party dessert after a meal of Chicken Crepe Lasagne Recipe or Zucchini Roll Up Lasagne Recipe. 
</t>
  </si>
  <si>
    <t>Comenzamos preparando la receta de barras de tarta de queso con fresa precalentando el horno a 180 grados Celsius durante 10 minutos. Desmenuza la galleta hasta obtener una mezcla gruesa, agrega mantequilla derretida y mezcla hasta que se vuelva como arena húmeda. Luego, colócala en una bandeja de cerámica rectangular, presionando firmemente hasta que la mezcla esté uniforme y tenga una capa uniforme. Refrigera durante 10 minutos. Mezcla el queso crema, el azúcar, 1 huevo y la esencia de vainilla en un tazón. Con una batidora de mano, mezcla hasta que esté esponjoso y espeso. Agrega la harina y bate de nuevo durante 2 minutos. Luego, agrega la compota de bayas y remueve. Toma la bandeja y vierte la masa de tarta de queso encima y colócala uniformemente. Métela en el horno durante 30 minutos. Hasta que veas una capa dorada en la parte superior. Una vez horneada, sácala, deja enfriar por completo y refrigera durante aproximadamente 1 hora. Luego, con un cuchillo, córtelas en barras y sirva. Sirva la receta de barras de tarta de queso y fresa como refrigerio después de la escuela o como postre de fiesta después de una comida de lasaña de crepas de pollo o lasaña enrollada de calabacín.</t>
  </si>
  <si>
    <t>Pour préparer les barres cheesecake aux fraises, préchauffez le four à 180 °C pendant 10 minutes. Émiettez le biscuit jusqu'à obtenir une pâte grossière, ajoutez le beurre fondu et mélangez jusqu'à obtenir une consistance sableuse. Déposez ensuite le tout sur une plaque rectangulaire en céramique et pressez fermement jusqu'à obtenir une pâte homogène. Réfrigérez 10 minutes. Dans un saladier, mélangez le fromage frais, le sucre, 1 œuf et l'extrait de vanille. À l'aide d'un mixeur plongeant, mixez jusqu'à obtenir une consistance mousseuse et épaisse. Ajoutez la farine et battez à nouveau pendant 2 minutes. Ajoutez ensuite la compote de fruits rouges et remuez. Versez la pâte sur la plaque et répartissez-la uniformément. Enfournez 30 minutes jusqu'à obtenir une couche dorée. Une fois cuit, sortez la plaque et laissez-la refroidir complètement. Réfrigérez environ 1 heure. Ensuite, à l'aide d'un couteau, coupez-les en barres et servez. Servez la recette de barres de cheesecake aux fraises comme collation après l'école ou comme dessert de fête après un repas de la recette de lasagnes aux crêpes au poulet ou de la recette de lasagnes roulées aux courgettes.</t>
  </si>
  <si>
    <t>http://www.archanaskitchen.com/strawberry-cheesecake-bars-recipe</t>
  </si>
  <si>
    <t>Peanut Chilli Dipping Sauce Recipe</t>
  </si>
  <si>
    <t>Rezept für Erdnuss-Chili-Dip-Sauce</t>
  </si>
  <si>
    <t>Recette de sauce chili aux arachides</t>
  </si>
  <si>
    <t>Receta de salsa de chile y cacahuete</t>
  </si>
  <si>
    <t>100 ml de lait de coco, 2,5 cm de gingembre râpé, 1/2 tasse de beurre de cacahuète lisse ou en morceaux, 1 cuillère à café de sauce au piment rouge, 1 cuillère à soupe de cassonade (sucre Demerara), 1-1/2 cuillère à soupe de sauce soja</t>
  </si>
  <si>
    <t>100 ml Coconut milk,1 inch Ginger - grated,1/2 cup Peanut Butter - smooth or chunky,1 teaspoon Red Chilli sauce,1 tablespoons Brown Sugar (Demerara Sugar),1-1/2 tablespoons Soy sauce</t>
  </si>
  <si>
    <t>100 ml de leche de coco, 1 pulgada de jengibre rallado, 1/2 taza de mantequilla de maní (suave o en trozos), 1 cucharadita de salsa de chile rojo, 1 cucharada de azúcar morena (azúcar Demerara), 1-1/2 cucharada de salsa de soja</t>
  </si>
  <si>
    <t xml:space="preserve">To make the Peanut Chilli Dipping Sauce Recipe, get all the ingredients ready first.Make fresh peanut butter to have a delectable freshness in the recipe. You can either keep this crisp and chunky or very smooth like a cream, depending on how the family and friends prefer. I a mixing bowl add coconut milk, ginger, peanut butter, red chilli sauce, brown sugar and soy sauce and whisk until well combined and smooth. Pour the Peanut Chilli Dipping sauce into a serving bowl and serve.Serve Peanut Chilli Dipping Sauce Recipe as a dip along with Vegetable Ragi Momo Recipe and Paneer Satay Recipe fo your next party.
</t>
  </si>
  <si>
    <t>Para preparar la receta de salsa de chile y cacahuete, prepare primero todos los ingredientes. Prepare mantequilla de cacahuete fresca para darle una deliciosa frescura a la receta. Puede dejarla crujiente y grumosa o muy suave como una crema, según las preferencias de su familia y amigos. En un bol, añada leche de coco, jengibre, mantequilla de cacahuete, salsa de chile rojo, azúcar moreno y salsa de soja y bata hasta que esté bien combinado y suave. Vierta la salsa de chile y cacahuete en un bol y sirva. Sirva la receta de salsa de chile y cacahuete como dip junto con la receta de momo de ragi vegetal y la receta de satay de paneer para su próxima fiesta.</t>
  </si>
  <si>
    <t>Pour préparer la sauce chili aux cacahuètes, préparez d'abord tous les ingrédients. Préparez du beurre de cacahuète frais pour une délicieuse fraîcheur. Vous pouvez le garder croustillant et épais ou très onctueux comme une crème, selon les préférences de votre famille et de vos amis. Dans un bol, ajoutez le lait de coco, le gingembre, le beurre de cacahuète, la sauce chili rouge, la cassonade et la sauce soja, puis fouettez jusqu'à obtenir une consistance homogène et lisse. Versez la sauce chili aux cacahuètes dans un bol et servez. Servez la sauce chili aux cacahuètes comme trempette, accompagnée de la recette de ragi momo aux légumes et de la recette de satay au paneer pour votre prochaine fête.</t>
  </si>
  <si>
    <t>https://www.archanaskitchen.com/peanut-chilli-dipping-sauce-recipe</t>
  </si>
  <si>
    <t>Chocolate Almond Raisin Cookie Recipe</t>
  </si>
  <si>
    <t>Rezept für Schokoladen-Mandel-Rosinen-Kekse</t>
  </si>
  <si>
    <t>Recette de biscuits au chocolat, aux amandes et aux raisins secs</t>
  </si>
  <si>
    <t>Receta de galletas de chocolate, almendras y pasas</t>
  </si>
  <si>
    <t>1/2 tasse de cassonade (sucre Demerara), 1/2 tasse de beurre ramolli, 2 œufs entiers, 1/2 tasse de chocolat noir haché, 1-1/2 tasse de farine tout usage (Maida), 1 cuillère à café de levure chimique, 1/4 cuillère à café de sel, 1/4 tasse de raisins secs, 1/2 tasse de badam (amande) blanchie et hachée</t>
  </si>
  <si>
    <t>1/2 cup Brown Sugar (Demerara Sugar),1/2 cup Butter - softened,2 Whole Eggs,1/2 cup Dark chocolate - chopped,1-1/2 cups All Purpose Flour (Maida),1 teaspoon Baking powder,1/4 teaspoon Salt,1/4 cup Raisins,1/2 cup Badam (Almond) - blanched and chopped</t>
  </si>
  <si>
    <t>1/2 taza de azúcar morena (azúcar Demerara), 1/2 taza de mantequilla - ablandada, 2 huevos enteros, 1/2 taza de chocolate negro - picado, 1-1/2 tazas de harina para todo uso (Maida), 1 cucharadita de polvo para hornear, 1/4 cucharadita de sal, 1/4 taza de pasas, 1/2 taza de Badam (almendra) - blanqueada y picada</t>
  </si>
  <si>
    <t xml:space="preserve">To begin making the Chocolate Almond Raisin Cookie Recipe. first preheat the oven to 180 C and line a baking sheet with parchment paper.In a bowl sift the flour, baking powder and salt. Keep aside. In another mixing bowl, beat the butter and sugar until light and fluffy. Add the egg one at a time and beat well into the butter mixture. Gradually beat in the flour mixture, raisins and almonds until just combined. Take care not to over beat the cookie dough.Shape the Chocolate Almond Raisin Cookie dough into round lemon size balls and slightly flatten them. Place the cookies on the baking tray and into the preheated oven.Bake Chocolate Almond Raisin Cookie for about 12 minutes until golden. Once golden, remove from the oven and allow it to be on the cookie sheet for a few more minutes and then transfer to a wire rack to cool completely.The cookies will get crisp in the cooling process.Store the Chocolate Almond Raisin Cookie in airtight containers and serve as a snack with tea or coffee.Serve Chocolate Almond Raisin Cookie Recipe as an after school snack to your kids along with Banana Orange &amp; Spinach Smoothie Recipe. 
</t>
  </si>
  <si>
    <t>Para comenzar a hacer la Receta de Galletas de Chocolate, Almendras y Pasas, primero precalienta el horno a 180 C y cubre una bandeja para hornear con papel pergamino. En un tazón, tamiza la harina, el polvo para hornear y la sal. Reserva. En otro tazón, bate la mantequilla y el azúcar hasta que esté suave y esponjoso. Agrega el huevo uno a la vez y bate bien en la mezcla de mantequilla. Poco a poco bate la mezcla de harina, pasas y almendras hasta que se combinen. Ten cuidado de no batir demasiado la masa de galletas. Forma la masa de Galletas de Chocolate, Almendras y Pasas en bolas redondas del tamaño de un limón y aplánalas ligeramente. Coloca las galletas en la bandeja para hornear y en el horno precalentado. Hornea las Galletas de Chocolate, Almendras y Pasas durante unos 12 minutos hasta que estén doradas. Una vez doradas, sáquelas del horno y déjelas reposar en la bandeja para hornear durante unos minutos más. Luego, páselas a una rejilla para que se enfríen por completo. Las galletas quedarán crujientes durante el enfriamiento. Guarde las galletas de chocolate, almendras y pasas en recipientes herméticos y sírvalas como refrigerio con té o café. Sirva la receta de galletas de chocolate, almendras y pasas como refrigerio después de la escuela para sus hijos junto con la receta de batido de plátano, naranja y espinacas.</t>
  </si>
  <si>
    <t>Pour commencer à préparer la recette de biscuits au chocolat, aux amandes et aux raisins secs, préchauffez d'abord le four à 180 °C et recouvrez une plaque à pâtisserie de papier sulfurisé. Dans un bol, tamisez la farine, la levure chimique et le sel. Réservez. Dans un autre bol, battez le beurre et le sucre jusqu'à ce qu'ils soient légers et mousseux. Ajoutez les œufs un à un et battez bien dans le mélange de beurre. Incorporez graduellement le mélange de farine, les raisins secs et les amandes jusqu'à ce qu'ils soient bien mélangés. Veillez à ne pas trop battre la pâte à biscuits. Façonnez la pâte à biscuits au chocolat, aux amandes et aux raisins secs en boules rondes de la taille d'un citron et aplatissez-les légèrement. Placez les biscuits sur la plaque de cuisson et dans le four préchauffé. Faites cuire les biscuits au chocolat, aux amandes et aux raisins secs pendant environ 12 minutes jusqu'à ce qu'ils soient dorés. Une fois doré, retirez-le du four et laissez-le reposer sur la plaque à biscuits pendant quelques minutes supplémentaires, puis transférez-le sur une grille pour qu'il refroidisse complètement. Les biscuits deviendront croustillants en refroidissant. Conservez le biscuit au chocolat, aux amandes et aux raisins secs dans des contenants hermétiques et servez-le comme collation avec du thé ou du café. Servez la recette de biscuit au chocolat, aux amandes et aux raisins secs comme collation après l'école à vos enfants, avec la recette de smoothie banane, orange et épinards.</t>
  </si>
  <si>
    <t>https://www.archanaskitchen.com/chocolate-almond-raisin-cookie-recipe</t>
  </si>
  <si>
    <t>Lemon Buttermilk Cake Recipe</t>
  </si>
  <si>
    <t>Rezept für Zitronen-Buttermilchkuchen</t>
  </si>
  <si>
    <t>Recette de gâteau au babeurre et au citron</t>
  </si>
  <si>
    <t>Receta de pastel de limón y suero de leche</t>
  </si>
  <si>
    <t>1 tasse de Vivatta Maida, 1 tasse de farine de maïs, 1 tasse de beurre (non salé), 1/4 cuillère à café de levure chimique, 1/4 cuillère à café de bicarbonate de soude, 2 tasses de babeurre, 1/4 tasse de sucre en poudre, 3 cuillères à soupe de zeste de citron, 2 citrons pressés, 1/2 tasse de sucre en poudre, 1-1/2 tasse de sucre glace, 2 cuillères à soupe de jus de citron</t>
  </si>
  <si>
    <t>1 cup Vivatta Maida,1 cup Corn flour,1 cup Butter (unsalted),1/4 teaspoon Baking powder,1/4 teaspoon Baking soda,2 cups Buttermilk,1/4 cup Caster Sugar,3 tablespoons Lemon zest,2 Lemons - juiced,1/2 cup Caster Sugar,1-1/2 cups Icing Sugar,2 tablespoons Lemon juice</t>
  </si>
  <si>
    <t>1 taza de Vivatta Maida, 1 taza de harina de maíz, 1 taza de mantequilla (sin sal), 1/4 cucharadita de polvo para hornear, 1/4 cucharadita de bicarbonato de sodio, 2 tazas de suero de leche, 1/4 taza de azúcar extrafino, 3 cucharadas de ralladura de limón, 2 limones - jugo, 1/2 taza de azúcar extrafino, 1-1/2 tazas de azúcar glas, 2 cucharadas de jugo de limón</t>
  </si>
  <si>
    <t xml:space="preserve">To begin making Lemon Buttermilk Cake Recipe, preheat oven to 180C and grease a loaf tin with butter and dust with flour.Sift the corn and plain flour into a mixing bowl along with baking powder and baking soda.In another mixing bowl beat sugar with butter until light and fluffy. Stir in lemon zest and set aside.Add a half teaspoon of lemon juice into buttermilk and mix well.Now add the flour mixture into the sugar butter mixture alternating with buttermilk and mix well until combined.Transfer the batter into the prepared pan and bake in preheated oven for about  40 to 50 minutes or until a skewer inserted into the centre comes out clean.Cool the cake on a wire rack with a baking tray underneath it.To make the syrup put all ingredients in a saucepan and cook until sugar is dissolved.Pierce the cake with a skewer and pour the syrup all over the cake while it is still warm.To make the icing add the lemon juice gradually into the icing sugar until desired consistency. Pour the icing over the cake and let the extra drizzle down into the tray. Sprinkle some lemon zest if desired, slice and serve the cake.Serve Lemon Buttermilk Cake Recipe along with Hot Coffee Latte Recipe and Lemon And Rosemary Shortbread Cookies Recipe.
</t>
  </si>
  <si>
    <t>Para comenzar a hacer la receta de pastel de suero de leche y limón, precaliente el horno a 180 ° C y engrase un molde de pan con mantequilla y espolvoree con harina. Tamice el maíz y la harina común en un tazón junto con el polvo para hornear y el bicarbonato de sodio. En otro tazón, bata el azúcar con la mantequilla hasta que esté suave y esponjoso. Agregue la ralladura de limón y reserve. Agregue media cucharadita de jugo de limón al suero de leche y mezcle bien. Ahora agregue la mezcla de harina a la mezcla de mantequilla de azúcar alternando con suero de leche y mezcle bien hasta que se combinen. Transfiera la masa al molde preparado y hornee en horno precalentado durante aproximadamente 40 a 50 minutos o hasta que un palillo insertado en el centro salga limpio. Enfríe el pastel sobre una rejilla de alambre con una bandeja para hornear debajo. Para hacer el almíbar, ponga todos los ingredientes en una cacerola y cocine hasta que el azúcar se disuelva. Perfore el pastel con un palillo y vierta el almíbar por todo el pastel mientras aún esté tibio. Para hacer el glaseado, agregue el jugo de limón gradualmente al azúcar glas hasta obtener la consistencia deseada. Vierta el glaseado sobre el pastel y deje que el exceso gotee en la bandeja. Espolvoree un poco de ralladura de limón si lo desea, corte el pastel y sírvalo. Sirva la receta de pastel de suero de leche con limón junto con la receta de café con leche caliente y la receta de galletas de mantequilla con limón y romero.</t>
  </si>
  <si>
    <t>Pour commencer à préparer la recette du gâteau au babeurre et au citron, préchauffez le four à 180 °C et graissez un moule à cake avec du beurre et saupoudrez de farine. Tamisez le maïs et la farine nature dans un bol à mélanger avec la levure chimique et le bicarbonate de soude. Dans un autre bol, battez le sucre avec le beurre jusqu'à consistance légère et mousseuse. Incorporez le zeste de citron et réservez. Ajoutez une demi-cuillère à café de jus de citron dans le babeurre et mélangez bien. Ajoutez maintenant le mélange de farine dans le mélange de beurre et de sucre en alternant avec le babeurre et mélangez bien jusqu'à ce que le tout soit combiné. Transférez la pâte dans le moule préparé et faites cuire au four préchauffé pendant environ 40 à 50 minutes ou jusqu'à ce qu'une brochette insérée au centre en ressorte propre. Laissez refroidir le gâteau sur une grille avec une plaque de cuisson en dessous. Pour faire le sirop, mettez tous les ingrédients dans une casserole et faites cuire jusqu'à ce que le sucre soit dissous. Percez le gâteau avec une brochette et versez le sirop sur tout le gâteau pendant qu'il est encore chaud. Pour faire le glaçage, ajoutez progressivement le jus de citron dans le sucre glace jusqu'à la consistance désirée. Versez le glaçage sur le gâteau et laissez couler le surplus dans le plateau. Saupoudrez de zeste de citron si vous le souhaitez, coupez en tranches et servez le gâteau. Servez la recette de gâteau au babeurre et au citron avec la recette de latte au café chaud et la recette de biscuits sablés au citron et au romarin.</t>
  </si>
  <si>
    <t>https://www.archanaskitchen.com/lemon-buttermilk-cake-recipe</t>
  </si>
  <si>
    <t>Roasted Red Pepper and Pumpkin Soup Recipe</t>
  </si>
  <si>
    <t>Rezept für geröstete Paprika-Kürbis-Suppe</t>
  </si>
  <si>
    <t>Recette de soupe aux poivrons rôtis et à la citrouille</t>
  </si>
  <si>
    <t>Receta de sopa de pimientos asados ​​y calabaza</t>
  </si>
  <si>
    <t>2 poivrons rouges (Capsicum) - coupés en dés, 500 grammes de Kaddu (Parangikai/citrouille) - pelé et coupé en dés, 2 gousses d'ail, 1 cuillère à soupe d'huile d'olive extra vierge, 1/2 tasse de lait, 1 tasse de bouillon de légumes, flocons de piment rouge - au goût, sel - au goût</t>
  </si>
  <si>
    <t>2 Red Bell pepper (Capsicum) - diced,500 grams Kaddu (Parangikai/ Pumpkin) - peeled and diced,2 cloves Garlic,1 tablespoon Extra Virgin Olive Oil,1/2 cup Milk,1 cup Vegetable stock,Red Chilli flakes - to taste,Salt - to taste</t>
  </si>
  <si>
    <t>2 pimientos morrones rojos (Capsicum) - cortados en cubitos, 500 gramos de Kaddu (Parangikai/calabaza) - pelado y cortado en cubitos, 2 dientes de ajo, 1 cucharada de aceite de oliva virgen extra, 1/2 taza de leche, 1 taza de caldo de verduras, hojuelas de chile rojo - al gusto, sal - al gusto</t>
  </si>
  <si>
    <t xml:space="preserve">To begin making the Spicy Roasted Pepper and Pumpkin Soup Recipe we will first roast the pumpkins and the red peppers in a wok.Heat a teaspoon of olive oil into a wok; add in the garlic, the red peppers and the pumpkin. Sprinkle some salt and saute for a few minutes until you notice the peppers and pumpkin are cooked and are getting soft.Once the pepper and pumpkin have softened, allow it to cool a bit before we can blend all the ingredients. Although if you have a blender that can take in heat, then you can blend it right away.Add all the ingredients into the blender along with the roasted pumpkin and peppers. Blend adding little stock and milk at a time to make a smooth puree.  Adjust the consistency of the soup by add more milk or water or stock. Check the salt levels and adjust to suit your taste.Warm the Roasted Pepper and Pumpkin Soup just when you are ready to serve topped with some crushed black pepper for those cold winter nights.Serve the Roasted Pepper and Pumpkin Soup as a weeknight dinner or even for the holiday parties.
</t>
  </si>
  <si>
    <t>Para empezar a hacer la Receta de Sopa Picante de Pimiento Asado y Calabaza, primero asaremos las calabazas y los pimientos rojos en un wok. Calentamos una cucharadita de aceite de oliva en un wok; agregamos el ajo, los pimientos rojos y la calabaza. Espolvoreamos un poco de sal y salteamos durante unos minutos hasta que notes que los pimientos y la calabaza están cocidos y se están ablandando. Una vez que el pimiento y la calabaza se hayan ablandado, dejamos enfriar un poco antes de que podamos mezclar todos los ingredientes. Aunque si tienes una licuadora que pueda soportar calor, puedes licuarla de inmediato. Agregamos todos los ingredientes a la licuadora junto con la calabaza asada y los pimientos. Licuamos agregando poco a poco caldo y leche para hacer un puré suave. Ajustamos la consistencia de la sopa agregando más leche, agua o caldo. Verifique el nivel de sal y ajuste a su gusto. Caliente la sopa de pimiento asado y calabaza justo cuando esté lista para servir, aderezándola con un poco de pimienta negra molida para las frías noches de invierno. Sirva la sopa de pimiento asado y calabaza como cena entre semana o incluso para las fiestas navideñas.</t>
  </si>
  <si>
    <t xml:space="preserve">Pour commencer à préparer la recette de soupe épicée aux poivrons rôtis et à la citrouille, nous allons d'abord rôtir les citrouilles et les poivrons rouges dans un wok. Chauffer une cuillère à café d'huile d'olive dans un wok; ajouter l'ail, les poivrons rouges et la citrouille. Saupoudrer un peu de sel et faire revenir pendant quelques minutes jusqu'à ce que vous remarquiez que les poivrons et la citrouille sont cuits et deviennent tendres. Une fois que le poivron et la citrouille sont ramollis, laissez-les refroidir un peu avant de pouvoir mixer tous les ingrédients. Cependant, si vous avez un mixeur qui peut supporter la chaleur, vous pouvez le mixer immédiatement. Ajouter tous les ingrédients dans le mixeur avec la citrouille rôtie et les poivrons. Mixer en ajoutant petit à petit du bouillon et du lait à la fois pour obtenir une purée lisse. Ajuster la consistance de la soupe en ajoutant plus de lait, d'eau ou de bouillon. Vérifier les niveaux de sel et ajuster à votre goût. Réchauffer la soupe aux poivrons rôtis et à la citrouille juste au moment de servir, garnie de poivre noir concassé pour les froides nuits d'hiver. Servir la soupe aux poivrons rôtis et à la citrouille comme dîner de semaine ou même pour les fêtes.
</t>
  </si>
  <si>
    <t>https://www.archanaskitchen.com/roasted-red-pepper-and-pumpkin-soup-recipe</t>
  </si>
  <si>
    <t>चिकन सूप रेसिपी – Rezept für eine gefühlvolle Hühnersuppe</t>
  </si>
  <si>
    <t>Recette d'une soupe au poulet pleine d'âme</t>
  </si>
  <si>
    <t>Receta para una sopa de pollo conmovedora</t>
  </si>
  <si>
    <t>1 pilon de poulet, 1 oignon - finement tranché, 1 carotte - hachée, 4 gousses d'ail, 2,5 cm de gingembre - haché, 1 cuillère à café de poivre noir entier, sel - selon le goût, 2 brins d'oignon vert - hachés, 60 ml de maïs doux, 1 cuillère à café de crème, sel - selon le goût, poudre de poivre noir - selon le goût</t>
  </si>
  <si>
    <t>1 chicken drumstick, 1 onion - thinly sliced, 1 carrot - chopped, 4 cloves garlic, 1 inch ginger - chopped, 1 teaspoon whole black pepper, salt - according to taste, 2 sprigs of green onion - chopped, 1/4 cup sweet corn, 1 teaspoon cream, salt - according to taste, black pepper powder - according to taste</t>
  </si>
  <si>
    <t>1 muslo de pollo, 1 cebolla cortada en rodajas finas, 1 zanahoria picada, 4 dientes de ajo, 1 pulgada de jengibre picado, 1 cucharadita de pimienta negra entera, sal, al gusto, 2 ramitas de cebolla verde picada, 1/4 taza de maíz dulce, 1 cucharadita de crema, sal, al gusto, pimienta negra en polvo, al gusto</t>
  </si>
  <si>
    <t>To make Chicken Soup Recipe, first wash and clean the chicken thoroughly. In a pressure cooker add chicken, onion, carrot, black pepper, garlic, ginger, 2 cups of water and cook till 3 whistles. Turn off the gas and let the pressure release automatically. Open the cooker and strain the stock. Pour the stock again in the saucepan and turn on the gas. After 1 minute add sweet corn, spring onion, boiled chicken, cream and let it boil. After boiling add salt, black pepper and mix it. After the vegetables become soft, turn off the gas and serve. Serve Chicken Soup Recipe with Sri Lankan Curry and Tawa Paratha for dinner.</t>
  </si>
  <si>
    <t>Para preparar la receta de sopa de pollo, primero lave y limpie bien el pollo. En una olla a presión, agregue el pollo, la cebolla, la zanahoria, la pimienta negra, el ajo, el jengibre y 2 tazas de agua, y cocine hasta que suene 3 silbidos. Apague el fuego y deje que la presión se libere automáticamente. Abra la olla y cuele el caldo. Vierta el caldo nuevamente en la cacerola y abra el fuego. Después de 1 minuto, agregue el maíz dulce, la cebolleta, el pollo hervido y la crema, y ​​deje que hierva. Después de que hierva, agregue sal, pimienta negra y mezcle. Cuando las verduras estén tiernas, apague el fuego y sirva. Sirva la receta de sopa de pollo con curry de Sri Lanka y tawa paratha para la cena.</t>
  </si>
  <si>
    <t>Pour préparer la soupe au poulet, lavez et nettoyez soigneusement le poulet. Dans une cocotte-minute, ajoutez le poulet, l'oignon, la carotte, le poivre noir, l'ail, le gingembre et 500 ml d'eau. Faites cuire jusqu'à 3 sifflements. Coupez le gaz et laissez la pression se relâcher automatiquement. Ouvrez la cocotte-minute et filtrez le bouillon. Versez-le à nouveau dans la casserole et ouvrez le gaz. Après 1 minute, ajoutez le maïs, l'oignon nouveau, le poulet bouilli et la crème. Portez à ébullition. Salez et poivrez à ébullition, puis mélangez. Une fois les légumes tendres, coupez le gaz et servez. Servez la soupe au poulet avec du curry sri-lankais et du Tawa Paratha pour le dîner.</t>
  </si>
  <si>
    <t>http://www.archanaskitchen.com/soulful-chicken-soup-recipe-in-hindi</t>
  </si>
  <si>
    <t>Orange Yogurt Cake Recipe</t>
  </si>
  <si>
    <t>Rezept für Orangen-Joghurtkuchen</t>
  </si>
  <si>
    <t>Recette de gâteau au yaourt à l'orange</t>
  </si>
  <si>
    <t>Receta de pastel de yogur de naranja</t>
  </si>
  <si>
    <t>1 tasse de farine tout usage (Maida), 1/2 tasse de sucre (à ajuster selon votre goût), 1/2 cuillère à café de levure chimique, 1/8 cuillère à café de bicarbonate de soude, 1/2 tasse de caillé (dahi/yaourt), 1/4 tasse d'huile de tournesol, 1 cuillère à café de zeste d'orange (écorce), 2 cuillères à soupe de jus d'orange frais, 1 œuf entier, 1/2 cuillère à café d'extrait de vanille, sucre en poudre (pour saupoudrer), beurre (pour graisser le moule)</t>
  </si>
  <si>
    <t>1 cup All Purpose Flour (Maida),1/2 cup Sugar - (adjust to taste),1/2 teaspoon Baking powder,1/8 teaspoon Baking soda,1/2 cup Curd (Dahi / Yogurt),1/4 cup Sunflower Oil,1 teaspoon Orange Zest (Rind),2 tablespoons Fresh orange juice,1 Whole Egg,1/2 teaspoon Vanilla Extract,Caster Sugar - for dusting,Butter - to grease the pan</t>
  </si>
  <si>
    <t>1 taza de harina para todo uso (Maida), 1/2 taza de azúcar (ajustar al gusto), 1/2 cucharadita de polvo para hornear, 1/8 cucharadita de bicarbonato de sodio, 1/2 taza de cuajada (Dahi/yogur), 1/4 taza de aceite de girasol, 1 cucharadita de ralladura de naranja (cáscara), 2 cucharadas de jugo de naranja fresco, 1 huevo entero, 1/2 cucharadita de extracto de vainilla, azúcar extrafino (para espolvorear), mantequilla (para engrasar el molde)</t>
  </si>
  <si>
    <t xml:space="preserve">To begin making Orange Yogurt Cake Recipe, Preheat oven to 350 degrees F. Brush butter on a cake pan.In a bowl, add all dry ingredients and mix well. In another bowl add egg,vanilla extract,orange juice, oil, yogurt and whisk together in a hand mixer.Sift dry ingredients on it. Mix well, whisking and folding, and pour the batter into the cake pan.Bake for 30 - 35 minutes or until the cake tester came out clean. Cool completely and dust with powdered sugar and orange zest.Serve Orange Yogurt Cake Recipe over tea along with Zucchini Parmesan Crisps (Chips) Recipe or Garlic &amp; Ginger Spiced Potato Wedges Recipe (Baked) during evening.
</t>
  </si>
  <si>
    <t>Para empezar a preparar la receta de pastel de yogur de naranja, precalienta el horno a 175 °C. Unta con mantequilla un molde para pastel. En un tazón, agrega todos los ingredientes secos y mezcla bien. En otro tazón, agrega el huevo, el extracto de vainilla, el jugo de naranja, el aceite y el yogur, y bate con una batidora de mano. Tamiza los ingredientes secos. Mezcla bien, batiendo e incorporando, y vierte la masa en el molde para pastel. Hornea durante 30-35 minutos o hasta que el palillo salga limpio. Deja enfriar completamente y espolvorea con azúcar glas y ralladura de naranja. Sirve la receta de pastel de yogur de naranja con una merienda junto con las patatas fritas de calabacín y parmesano o las patatas gajo con especias de ajo y jengibre (horneadas) por la noche.</t>
  </si>
  <si>
    <t>Pour commencer à préparer la recette du gâteau au yaourt à l'orange, préchauffez le four à 175 °C. Badigeonnez un moule à gâteau de beurre. Dans un bol, ajoutez tous les ingrédients secs et mélangez bien. Dans un autre bol, ajoutez l'œuf, l'extrait de vanille, le jus d'orange, l'huile, le yaourt et fouettez le tout au batteur électrique. Tamisez les ingrédients secs. Mélangez bien en fouettant et en pliant, puis versez la pâte dans le moule à gâteau. Faites cuire au four pendant 30 à 35 minutes ou jusqu'à ce qu'un cure-dent en ressorte propre. Laissez refroidir complètement et saupoudrez de sucre glace et de zeste d'orange. Servez la recette du gâteau au yaourt à l'orange avec du thé, accompagné de chips de courgettes au parmesan ou de quartiers de pommes de terre épicés à l'ail et au gingembre (cuits au four) le soir.</t>
  </si>
  <si>
    <t>http://www.archanaskitchen.com/orange-yogurt-cake-recipe</t>
  </si>
  <si>
    <t>Banana Bran Muffin Recipe</t>
  </si>
  <si>
    <t>Rezept für Bananen-Kleie-Muffins</t>
  </si>
  <si>
    <t>Recette de muffins au son et à la banane</t>
  </si>
  <si>
    <t>Receta de muffins de salvado y plátano</t>
  </si>
  <si>
    <t>2 bananes mûres, 1 tasse de farine de blé entier, 1/2 tasse de flocons d'avoine instantanés (gruau) - en poudre, 1/2 tasse de son de blé, 1 cuillère à café de levure chimique, 1 cuillère à café de bicarbonate de soude, 1 pincée de sel, 1 tasse de lait, 1/4 tasse d'huile de tournesol, 1/4 tasse de sirop d'érable - (ou miel), 1 cuillère à café d'extrait de vanille, 1 œuf entier, 1/4 tasse de noix de cajou - finement hachées</t>
  </si>
  <si>
    <t>2 Ripe Bananas,1 cup Whole Wheat Flour,1/2 cup Instant Oats (Oatmeal) - powdered,1/2 cup Wheat Bran,1 teaspoon Baking powder,1 teaspoon Baking soda,1 pinch Salt,1 cup Milk,1/4 cup Sunflower Oil,1/4 cup Maple syrup - (or honey),1 teaspoon Vanilla Extract,1 Whole Egg,1/4 cup Cashew nuts - finely chopped</t>
  </si>
  <si>
    <t>2 plátanos maduros, 1 taza de harina integral, 1/2 taza de avena instantánea (avena) en polvo, 1/2 taza de salvado de trigo, 1 cucharadita de polvo para hornear, 1 cucharadita de bicarbonato de sodio, 1 pizca de sal, 1 taza de leche, 1/4 taza de aceite de girasol, 1/4 taza de jarabe de arce (o miel), 1 cucharadita de extracto de vainilla, 1 huevo entero, 1/4 taza de anacardos finamente picados</t>
  </si>
  <si>
    <t xml:space="preserve">To make Banana Bran Muffins, first preheat the oven to 180 C and prepare the muffin tray by lining it with cupcake-liners and greasing them lightly with vegetable oil.Sift all the dry ingredients flour, oats, bran, salt, baking powder and baking soda together in a bowl and whisk to combine. Keep aside.In another bowl, mash the bananas well. Add the egg, milk, oil, maple syrup, vanilla to the mashed bananas and whisk to combine for few minutes or till light and creamy.Pour the wet ingredients into the sifted flour mixture and stir to form a lump free smooth batter. Add the chopped cashews and gently fold the batter to combine.Spoon equal amount of batter into the prepared muffin tray and bake for 15 minutes. After 15 minutes insert a toothpick in the centre of the muffin, if it comes out clean then remove the muffins from the oven else bake for few more minutes.Allow the muffins to cool in the tray for few minutes before storing or serving. Serve Banana Bran Muffins with a cup of masala chai or filter coffee for the evening Tea-time Snack or store in an airtight container in the fridge. 
</t>
  </si>
  <si>
    <t>Para hacer Muffins de Salvado y Plátano, primero precalienta el horno a 180 C y prepara la bandeja para muffins forrándola con capacillos para cupcakes y engrasándolos ligeramente con aceite vegetal. Cierne todos los ingredientes secos harina, avena, salvado, sal, polvo para hornear y bicarbonato de sodio juntos en un tazón y bate para combinar. Reserva. En otro tazón, machaca bien los plátanos. Agrega el huevo, la leche, el aceite, el jarabe de arce, la vainilla a los plátanos machacados y bate para combinar durante unos minutos o hasta que esté ligero y cremoso. Vierte los ingredientes húmedos en la mezcla de harina tamizada y revuelve para formar una masa suave sin grumos. Agrega los anacardos picados y dobla suavemente la masa para combinar. Vierte la misma cantidad de masa en la bandeja para muffins preparada y hornea durante 15 minutos. Después de 15 minutos, inserte un palillo en el centro del muffin. Si sale limpio, retire los muffins del horno; de lo contrario, hornee durante unos minutos más. Deje que los muffins se enfríen en la bandeja durante unos minutos antes de guardarlos o servirlos. Sirva los muffins de salvado de plátano con una taza de masala chai o café de filtro para la merienda o guárdelos en un recipiente hermético en el refrigerador.</t>
  </si>
  <si>
    <t>Français Pour faire des muffins au son et à la banane, préchauffez d'abord le four à 180 °C et préparez le moule à muffins en le tapissant de caissettes à cupcakes et en les graissant légèrement avec de l'huile végétale. Tamisez tous les ingrédients secs : farine, flocons d'avoine, son, sel, levure chimique et bicarbonate de soude dans un bol et fouettez pour mélanger. Réservez. Dans un autre bol, écrasez bien les bananes. Ajoutez l'œuf, le lait, l'huile, le sirop d'érable et la vanille aux bananes écrasées et fouettez pour mélanger pendant quelques minutes ou jusqu'à ce que le mélange soit léger et crémeux. Versez les ingrédients humides dans le mélange de farine tamisé et remuez pour former une pâte lisse et sans grumeaux. Ajoutez les noix de cajou hachées et incorporez délicatement la pâte pour mélanger. Déposez une quantité égale de pâte dans le moule à muffins préparé et faites cuire au four pendant 15 minutes. Après 15 minutes, insérez un cure-dent au centre du muffin. S'il en ressort propre, retirez les muffins du four, sinon faites cuire encore quelques minutes. Laissez les muffins refroidir dans le moule pendant quelques minutes avant de les conserver ou de les servir. Servez les muffins au son et à la banane avec une tasse de chai masala ou de café filtre pour le goûter du soir ou conservez-les dans un récipient hermétique au réfrigérateur.</t>
  </si>
  <si>
    <t>http://www.archanaskitchen.com/banana-bran-muffin-recipe</t>
  </si>
  <si>
    <t>Baked Polenta Fries Recipe</t>
  </si>
  <si>
    <t>Rezept für gebackene Polenta-Pommes</t>
  </si>
  <si>
    <t>Recette de frites de polenta au four</t>
  </si>
  <si>
    <t>Receta de papas fritas de polenta al horno</t>
  </si>
  <si>
    <t>1/2 tasse de polenta, 1-1/2 tasse d'eau, 1-1/2 tasse de lait, 1 cuillère à soupe de beurre, 1 cuillère à café d'herbes mélangées (séchées), 1 cuillère à soupe d'huile d'olive extra vierge</t>
  </si>
  <si>
    <t>1/2 cup Polenta,1-1/2 cups Water,1-1/2 cups Milk,1 tablespoon Butter,1 teaspoon Mixed Herbs (Dried),1 tablespoon Extra Virgin Olive Oil</t>
  </si>
  <si>
    <t>1/2 taza de polenta, 1-1/2 tazas de agua, 1-1/2 tazas de leche, 1 cucharada de mantequilla, 1 cucharadita de hierbas mixtas (secas), 1 cucharada de aceite de oliva virgen extra</t>
  </si>
  <si>
    <t xml:space="preserve">To begin making Baked Polenta Fries Recipes first heat a saucepan and add in the milk and the water. Bring it to a boil and then add the polenta.Stir and cook till the water in the polenta evaporates and the polenta is cooked through. This will take about 10 minutes.Add in the butter and mixed herbs and stir and switch the heat off. Meanwhile grease a small baking tray 4 by 4 inch,  and arrange the polenta on the greased tray. the polenta layer should be about half inch thick. Cover with a cling film and place it in the freezer for an hour to chill and become firm.Preheat the Oven to 220 C . Slice chilled and firm polenta into strips and line on a greased baking sheet.Brush olive oil on the top of the polenta fries and bake for 25 minutes till you get a nice golden brown crust on the polenta fries. You can additional sprinkle some black pepper or red chilli flakes to give it a spice.Serve Baked Polenta Fries Recipes as an appetizer along with a continental party meal of Roasted Vegetable Lasagna Recipe  and Sweet Potato &amp; Green Bean Salad .
</t>
  </si>
  <si>
    <t>Para comenzar a hacer las recetas de papas fritas de polenta al horno, primero caliente una cacerola y agregue la leche y el agua. Llévela a ebullición y luego agregue la polenta. Revuelva y cocine hasta que el agua de la polenta se evapore y la polenta esté cocida. Esto tomará unos 10 minutos. Agregue la mantequilla y las hierbas mixtas y revuelva y apague el fuego. Mientras tanto, engrase una bandeja para hornear pequeña de 4 por 4 pulgadas y coloque la polenta en la bandeja engrasada. La capa de polenta debe tener aproximadamente media pulgada de grosor. Cúbrala con una película adhesiva y colóquela en el congelador durante una hora para que se enfríe y se endurezca. Precaliente el horno a 220 C. Corte la polenta fría y firme en tiras y colóquelas en una bandeja para hornear engrasada. Unte con aceite de oliva la parte superior de las papas fritas de polenta y hornee durante 25 minutos hasta que obtenga una bonita corteza dorada en las papas fritas de polenta. Puedes espolvorear un poco de pimienta negra o hojuelas de chile rojo para darle un toque picante. Sirve estas recetas de papas fritas de polenta al horno como aperitivo junto con una comida continental para fiestas: una receta de lasaña de verduras asadas y una ensalada de batata y judías verdes.</t>
  </si>
  <si>
    <t>Pour commencer à préparer des recettes de frites de polenta au four, faites d'abord chauffer une casserole et ajoutez le lait et l'eau. Portez à ébullition, puis ajoutez la polenta. Remuez et faites cuire jusqu'à ce que l'eau de la polenta s'évapore et que la polenta soit bien cuite. Cela prendra environ 10 minutes. Ajoutez le beurre et les herbes mélangées, remuez et éteignez le feu. Pendant ce temps, graissez une petite plaque de cuisson de 10 x 10 cm et disposez la polenta sur la plaque graissée. La couche de polenta doit avoir une épaisseur d'environ un demi-pouce. Couvrez d'un film alimentaire et placez-la au congélateur pendant une heure pour qu'elle refroidisse et devienne ferme. Préchauffez le four à 220 °C. Coupez la polenta refroidie et ferme en lanières et disposez-les sur une plaque à pâtisserie graissée. Badigeonnez d'huile d'olive le dessus des frites de polenta et faites cuire au four pendant 25 minutes jusqu'à obtenir une belle croûte dorée sur les frites de polenta. Vous pouvez saupoudrer de poivre noir ou de flocons de piment rouge pour lui donner du piquant. Servez les recettes de frites de polenta au four en apéritif avec un repas de fête continental composé de lasagnes aux légumes rôtis et de salade de patates douces et de haricots verts.</t>
  </si>
  <si>
    <t>https://www.archanaskitchen.com/baked-polenta-fries-recipe</t>
  </si>
  <si>
    <t>Simple Winter Salad With Beet, Carrots &amp; Feta Recipe</t>
  </si>
  <si>
    <t>Einfacher Wintersalat mit Roter Bete, Karotten und Feta Rezept</t>
  </si>
  <si>
    <t>Recette simple de salade d'hiver aux betteraves, carottes et feta</t>
  </si>
  <si>
    <t>Receta sencilla de ensalada de invierno con remolacha, zanahoria y queso feta</t>
  </si>
  <si>
    <t>1 betterave finement tranchée en julienne, 2 carottes (Gajjar) finement tranchées en julienne, 1 oignon finement tranché, 1 cuillère à soupe de graines de tournesol, 2 brins de feuilles de menthe (Pudina), 3 cuillères à soupe de feta émiettée, 1 cuillère à café d'huile d'olive extra vierge, 1 cuillère à café d'origan séché, 2 gousses d'ail finement hachées, 5 cuillères à soupe de vinaigrette au vin rouge (jus d'un citron), 3 cuillères à soupe d'huile d'olive extra vierge, 1 cuillère à café de miel, 1 cuillère à café de grains de poivre noir entiers grossièrement pilés, sel au goût</t>
  </si>
  <si>
    <t>1 Beetroot - thinly sliced like juliennes,2 Carrots (Gajjar) - thinly sliced like juliennes,1 Onion - thinly sliced,1 tablespoon Sunflower seeds,2 sprig Mint Leaves (Pudina),3 tablespoons Feta Cheese - crumbled,1 teaspoon Extra Virgin Olive Oil,1 teaspoon Dried oregano,2 cloves Garlic - finely chopped,5 tablespoon Red Wine Vinaigrette - (juice of one lemon),3 tablespoon Extra Virgin Olive Oil,1 teaspoon Honey,1 teaspoon Whole Black Peppercorns - coarsely pounded,Salt - to taste</t>
  </si>
  <si>
    <t>1 remolacha - cortada en rodajas finas como juliana, 2 zanahorias (gajjar) - cortadas en rodajas finas como juliana, 1 cebolla - cortada en rodajas finas, 1 cucharada de semillas de girasol, 2 ramitas de hojas de menta (pudina), 3 cucharadas de queso feta - desmenuzado, 1 cucharadita de aceite de oliva virgen extra, 1 cucharadita de orégano seco, 2 dientes de ajo - picados finamente, 5 cucharadas de vinagreta de vino tinto - (jugo de un limón), 3 cucharadas de aceite de oliva virgen extra, 1 cucharadita de miel, 1 cucharadita de granos de pimienta negra enteros - machacados gruesamente, sal - al gusto</t>
  </si>
  <si>
    <t xml:space="preserve">To begin making the Simple Winter Salad With Beet, Carrots &amp; Feta Recipe by prepping the ingredients in a large mixing bowl and keep it aside. Add ice cubes on the vegetables to keep it fresh and crisp for the salad.In a small mixing bowl, add all the ingredients for dressing and whisk it till it combines. Adjust the salt and pepper and check for the seasoning.Add the dressing to the vegetables and add the sunflower seeds and toss it over. Add the tossed vegetables on a  serving plate. top it up with feta cheese.In a small bowl, crumble the feta cheese and mix it up with olive oil and oregano and top the served salad with some crumbled feta cheese.Serve the Simple Winter Salad With Beet, Carrots &amp; Feta Recipe as a light appetizer for a party along with Paneer And Grapes Platter Recipe - Healthy Party Appetizer.
</t>
  </si>
  <si>
    <t>Para empezar a preparar la Ensalada de Invierno Sencilla con Remolacha, Zanahorias y Feta, prepara los ingredientes en un tazón grande y déjalo a un lado. Agrega cubitos de hielo a las verduras para mantenerlas frescas y crujientes para la ensalada. En un tazón pequeño, agrega todos los ingredientes para el aderezo y bate hasta que se combinen. Ajusta la sal y la pimienta y verifica el condimento. Agrega el aderezo a las verduras y agrega las semillas de girasol y revuelve. Coloca las verduras mezcladas en un plato para servir. Cúbrelo con queso feta. En un tazón pequeño, desmenuza el queso feta y mézclalo con aceite de oliva y orégano. Cubre la ensalada servida con un poco de queso feta desmenuzado. Sirve la Ensalada de Invierno Sencilla con Remolacha, Zanahorias y Feta como un aperitivo ligero para una fiesta junto con la Receta de Plato de Paneer y Uvas - Aperitivo Saludable para Fiestas.</t>
  </si>
  <si>
    <t>Pour commencer à préparer la salade d'hiver simple à la betterave, aux carottes et à la feta, préparez les ingrédients dans un grand saladier et réservez-les. Ajoutez des glaçons sur les légumes pour qu'ils restent frais et croquants. Dans un petit saladier, ajoutez tous les ingrédients de la vinaigrette et fouettez jusqu'à ce que le tout soit bien mélangé. Ajustez le sel et le poivre et vérifiez l'assaisonnement. Ajoutez la vinaigrette aux légumes, ajoutez les graines de tournesol et mélangez. Disposez les légumes mélangés sur une assiette de service. Garnissez de feta. Dans un petit bol, émiettez la feta, mélangez-la avec l'huile d'olive et l'origan, puis garnissez la salade servie de feta émiettée. Servez la salade d'hiver simple à la betterave, aux carottes et à la feta en entrée légère pour une fête, accompagnée de la recette du plateau de paneer et de raisins - Apéritif de fête sain.</t>
  </si>
  <si>
    <t>http://www.archanaskitchen.com/simple-winter-salad-with-beet-carrots-feta-recipe</t>
  </si>
  <si>
    <t>Stuffed Tomatoes with Quinoa, Spinach and Cheese Recipe</t>
  </si>
  <si>
    <t>Rezept für gefüllte Tomaten mit Quinoa, Spinat und Käse</t>
  </si>
  <si>
    <t>Recette de tomates farcies au quinoa, aux épinards et au fromage</t>
  </si>
  <si>
    <t>Receta de tomates rellenos de quinoa, espinacas y queso</t>
  </si>
  <si>
    <t>4 tomates, 1/2 tasse de quinoa, 1 tasse d'épinards - lavés et hachés, 2 gousses d'ail - hachées, 1/2 cuillère à café de poudre de poivre noir, 1/2 tasse de fromage mozzarella - râpé</t>
  </si>
  <si>
    <t>4 Tomatoes,1/2 cup Quinoa,1 cup Spinach - washed and chopped,2 cloves Garlic - minced,1/2 teaspoon Black pepper powder,1/2 cup Mozzarella cheese - shredded</t>
  </si>
  <si>
    <t>4 tomates, 1/2 taza de quinoa, 1 taza de espinacas lavadas y picadas, 2 dientes de ajo picados, 1/2 cucharadita de pimienta negra en polvo, 1/2 taza de queso mozzarella rallado</t>
  </si>
  <si>
    <t xml:space="preserve">To prepare Stuffed Tomatoes with Quinoa, Spinach and Cheese, preheat Oven to 350 degrees Fahrenheit/180 degrees Celsius.In a medium sauce pot, add a cup of water and bring it to boil. Wash quinoa thoroughly with water.Add quinoa to the boiling water and cook until water is absorbed completely. Set asideIn a pan, heat oil over medium heat. Once the oil is hot, add minced garlic and chopped spinach.Cook until the spinach is wilted. Add salt and pepper to the cooked spinach and keep it asideWash tomatoes and remove top portion of the tomatoScoop the flesh inside the tomatoes and add salt. Keep aside.Mix cooked quinoa and spinach together.Stuff the tomatoes with quinoa spinach mixture.Line a Baking tray with non-stick baking spray.Arrange the stuffed tomatoes on the tray. Cover the tray with aluminum foil.Bake the tomatoes for about 20 minutes.Remove the aluminum foil and top the tomatoes with mozzarella cheese.Broil the tomatoes for about 8 minutes until the cheese melts.Serve the Stuffed Tomatoes with Quinoa, Spinach and Cheese Recipe along with a glass of Mulled Apple Juice Recipe and Breakfast Hash Browns Recipe to enjoy your breakfast.
</t>
  </si>
  <si>
    <t>Para preparar Tomates Rellenos con Quinua, Espinacas y Queso, precaliente el horno a 350 grados Fahrenheit/180 grados Celsius. En una cacerola mediana, agregue una taza de agua y llévela a ebullición. Lave bien la quinoa con agua. Agregue la quinoa al agua hirviendo y cocine hasta que el agua se absorba por completo. Reserve. En una sartén, caliente el aceite a fuego medio. Una vez que el aceite esté caliente, agregue el ajo picado y las espinacas picadas. Cocine hasta que las espinacas se ablanden. Agregue sal y pimienta a las espinacas cocidas y reserve. Lave los tomates y retire la parte superior del tomate. Saque la pulpa dentro de los tomates y agregue sal. Reserve. Mezcle la quinoa cocida y las espinacas. Rellene los tomates con la mezcla de quinoa y espinacas. Cubra una bandeja para hornear con aerosol antiadherente para hornear. Coloque los tomates rellenos en la bandeja. Cubre la bandeja con papel aluminio. Hornea los tomates durante unos 20 minutos. Retira el papel aluminio y cubre los tomates con queso mozzarella. Asa los tomates durante unos 8 minutos hasta que el queso se derrita. Sirve la receta de tomates rellenos con quinoa, espinacas y queso junto con un vaso de jugo de manzana caliente y una receta de croquetas de patata para el desayuno para disfrutar de tu desayuno.</t>
  </si>
  <si>
    <t>Pour préparer des tomates farcies au quinoa, aux épinards et au fromage, préchauffez le four à 350 degrés Fahrenheit/180 degrés Celsius. Dans une casserole moyenne, ajoutez une tasse d'eau et portez à ébullition. Lavez soigneusement le quinoa à l'eau. Ajoutez le quinoa à l'eau bouillante et faites cuire jusqu'à ce que l'eau soit complètement absorbée. Réservez. Dans une poêle, faites chauffer l'huile à feu moyen. Une fois l'huile chaude, ajoutez l'ail émincé et les épinards hachés. Faites cuire jusqu'à ce que les épinards soient fanés. Ajoutez du sel et du poivre aux épinards cuits et réservez. Lavez les tomates et retirez la partie supérieure de la tomate. Retirez la chair à l'intérieur des tomates et ajoutez du sel. Réservez. Mélangez le quinoa cuit et les épinards ensemble. Farcissez les tomates avec le mélange quinoa-épinards. Tapissez une plaque de cuisson d'un spray de cuisson antiadhésif. Disposez les tomates farcies sur la plaque. Couvrez le plateau de papier aluminium. Faites cuire les tomates pendant environ 20 minutes. Retirez le papier aluminium et recouvrez les tomates de mozzarella. Faites griller les tomates pendant environ 8 minutes jusqu'à ce que le fromage fonde. Servez la recette de tomates farcies au quinoa, aux épinards et au fromage avec un verre de recette de jus de pomme chaud et de recette de galettes de pommes de terre pour le petit-déjeuner pour savourer votre petit-déjeuner.</t>
  </si>
  <si>
    <t>https://www.archanaskitchen.com/stuffed-tomatoes-with-quinoa-spinach-and-cheese-recipe</t>
  </si>
  <si>
    <t>Spirulina and Mint Basil Pesto Recipe</t>
  </si>
  <si>
    <t>Rezept für Spirulina-Minz-Basilikum-Pesto</t>
  </si>
  <si>
    <t>Recette de pesto à la spiruline, à la menthe et au basilic</t>
  </si>
  <si>
    <t>Receta de pesto de espirulina, menta y albahaca</t>
  </si>
  <si>
    <t>1 tasse de feuilles de basilic, 1 cuillère à soupe de spiruline, 1/2 tasse de feuilles de menthe (Pudina), 1/2 tasse de badam (amande) blanchie, 4 gousses d'ail, 1/2 tasse de tofu, 1 cuillère à café de poudre de poivre noir, 2 cuillères à café de sel, 1/4 tasse d'huile d'olive extra vierge</t>
  </si>
  <si>
    <t>1 cup Basil leaves,1 tablespoon Spirulina,1/2 cup Mint Leaves (Pudina),1/2 cup Badam (Almond) - blanched ,4 cloves Garlic,1/2 cup Tofu,1 teaspoon Black pepper powder,2 teaspoon Salt,1/4 cup Extra Virgin Olive Oil</t>
  </si>
  <si>
    <t>1 taza de hojas de albahaca, 1 cucharada de espirulina, 1/2 taza de hojas de menta (pudina), 1/2 taza de Badam (almendra) - blanqueada, 4 dientes de ajo, 1/2 taza de tofu, 1 cucharadita de pimienta negra en polvo, 2 cucharaditas de sal, 1/4 taza de aceite de oliva virgen extra</t>
  </si>
  <si>
    <t xml:space="preserve">We begin making the Spirulina and Mint Basil Pesto Recipe by prepping all the ingredients and keeping it ready. Add all the ingredients into a blender and blitz it into a smooth paste according to your consistency, check for seasoning.Serve the Spirulina and Mint Basil Pesto Recipe along with Spirulina and Mint Basil Pesto Pasta Recipe to enjoy your lunch meal.
</t>
  </si>
  <si>
    <t>Comenzamos preparando la receta de pesto de albahaca, menta y espirulina preparando todos los ingredientes y teniéndolos listos. Añada todos los ingredientes a una licuadora y tritúrelos hasta obtener una pasta suave según su consistencia. Verifique el condimento. Sirva la receta de pesto de albahaca, menta y espirulina junto con la receta de pasta con pesto de albahaca, menta y espirulina para disfrutar de su almuerzo.</t>
  </si>
  <si>
    <t>Nous commençons à préparer la recette de pesto à la spiruline et à la menthe et au basilic en préparant tous les ingrédients et en les gardant prêts. Ajoutez tous les ingrédients dans un mixeur et mixez-les jusqu'à obtenir une pâte lisse selon votre consistance, vérifiez l'assaisonnement. Servez la recette de pesto à la spiruline et à la menthe et au basilic avec la recette de pâtes au pesto à la spiruline et à la menthe et au basilic pour savourer votre déjeuner.</t>
  </si>
  <si>
    <t>https://www.archanaskitchen.com/spirulina-and-mint-basil-pesto-recipe</t>
  </si>
  <si>
    <t>Honey Roasted Sweet Potato With Red Onions Recipe</t>
  </si>
  <si>
    <t>Rezept für mit Honig geröstete Süßkartoffeln mit roten Zwiebeln</t>
  </si>
  <si>
    <t>Recette de patates douces rôties au miel et aux oignons rouges</t>
  </si>
  <si>
    <t>Receta de batatas asadas con miel y cebollas rojas</t>
  </si>
  <si>
    <t>500 grammes de patates douces - pelées et coupées en morceaux, 2 oignons - coupés en quartiers épais, 2 gousses d'ail - finement hachées, 2 cuillères à café de flocons de piment rouge, 1 cuillère à soupe de miel, 1 cuillère à soupe de Tabasco Original - Sauce piquante, 1 cuillère à soupe de sauce moutarde, Sel et poivre - au goût, Huile de tournesol - pour la cuisson</t>
  </si>
  <si>
    <t>500 grams Sweet Potatoes - peeled and cut into chunks,2 Onions - cut into thick wedges,2 cloves Garlic - finely chopped,2 teaspoons Red Chilli flakes,1 tablespoon Honey,1 tablespoon Tabasco Original - Hot Sauce,1 tablespoon Mustard sauce,Salt and Pepper - to taste,Sunflower Oil - for cooking</t>
  </si>
  <si>
    <t>500 gramos de batatas peladas y cortadas en trozos, 2 cebollas cortadas en gajos gruesos, 2 dientes de ajo finamente picados, 2 cucharaditas de hojuelas de chile rojo, 1 cucharada de miel, 1 cucharada de salsa picante Tabasco Original, 1 cucharada de salsa de mostaza, sal y pimienta al gusto, aceite de girasol para cocinar</t>
  </si>
  <si>
    <t xml:space="preserve">We begin making Honey Roasted Sweet Potato With Red Onions Recipe pre heat the oven at 180 degree Celsius for about 10 minutes.Mix all the ingredients for the dressing, and toss it with the potatoes and onions. Lay them on the tray and roast it for about 30 minutes till it becomes soft.Serve the Honey Roasted Sweet Potato With Red Onions Recipe is a delicious recipe to serve during Christmas time and can also served as a side dish along with Chicken Lasagna Recipe.
</t>
  </si>
  <si>
    <t>Para preparar la receta de batata asada con miel y cebolla morada, precalentamos el horno a 180 grados Celsius durante unos 10 minutos. Mezclamos todos los ingredientes del aderezo y lo mezclamos con las papas y las cebollas. Colocamos las papas en una bandeja y asamos durante unos 30 minutos hasta que estén tiernas. Sirve la receta de batata asada con miel y cebolla morada, una deliciosa opción para Navidad y también como guarnición para la lasaña de pollo.</t>
  </si>
  <si>
    <t>Nous commençons à préparer la recette de patates douces rôties au miel et aux oignons rouges. Préchauffez le four à 180 °C pendant environ 10 minutes. Mélangez tous les ingrédients de la vinaigrette et mélangez-les avec les pommes de terre et les oignons. Disposez-les sur une plaque et faites-les rôtir pendant environ 30 minutes, jusqu'à ce qu'ils soient tendres. Servez la recette de patates douces rôties au miel et aux oignons rouges. C'est une délicieuse recette à servir pendant la période de Noël et peut également être servie en accompagnement avec la recette de lasagnes au poulet.</t>
  </si>
  <si>
    <t>http://www.archanaskitchen.com/honey-roasted-sweet-potato-with-red-onions-recipe</t>
  </si>
  <si>
    <t>Orangen-Pfefferminz-Grüntee-Punsch-Rezept – Orangen-Pfefferminz-Grüntee-Punsch-Rezept</t>
  </si>
  <si>
    <t>Recette de punch au thé vert à l'orange et à la menthe poivrée – Recette de punch au thé vert à l'orange et à la menthe poivrée</t>
  </si>
  <si>
    <t>Receta de ponche de té verde con naranja y menta – Receta de ponche de té verde con naranja y menta</t>
  </si>
  <si>
    <t>2 tasses de jus d'orange frais, 2 cuillères à café de gingembre râpé, 2 cuillères à soupe de thé vert à la menthe poivrée, 4 tasses d'eau froide</t>
  </si>
  <si>
    <t>2 cups orange juice - fresh, 2 teaspoons ginger - grated, 2 tablespoons peppermint green tea, 4 cups cold water</t>
  </si>
  <si>
    <t>2 tazas de jugo de naranja fresco, 2 cucharaditas de jengibre rallado, 2 cucharadas de té verde de menta, 4 tazas de agua fría</t>
  </si>
  <si>
    <t>To make Orange Peppermint Green Tea Punch Recipe, take water in a saucepan and let it boil. After boiling, turn off the gas. Add peppermint green tea, grated ginger and keep it aside for 5 minutes. Strain the tea after 5 minutes. Keep this tea in the fridge and let it cool. After it cools, add orange juice and mix it. Add ice and serve. Serve Orange Peppermint Green Tea Punch Recipe with Roasted Vegetable Pesto Tart or Indian Spicy Masala Cookie.</t>
  </si>
  <si>
    <t>Para preparar la receta de ponche de té verde con naranja y menta, hierva agua en una cacerola. Después de que hierva, apague el fuego. Añada el té verde con menta y el jengibre rallado y deje reposar durante 5 minutos. Cuele el té después de 5 minutos. Consérvelo en el refrigerador y déjelo enfriar. Una vez enfriado, añada jugo de naranja y mézclelo. Añada hielo y sirva. Sirva la receta de ponche de té verde con naranja y menta con una tarta de pesto de verduras asadas o una galleta masala picante india.</t>
  </si>
  <si>
    <t>Pour préparer la recette du punch au thé vert à l'orange et à la menthe poivrée, portez de l'eau à ébullition dans une casserole. Après ébullition, coupez le feu. Ajoutez le thé vert à la menthe poivrée et le gingembre râpé, puis réservez 5 minutes. Filtrez le thé au bout de 5 minutes. Réservez au réfrigérateur et laissez refroidir. Une fois refroidi, ajoutez le jus d'orange et mélangez. Ajoutez des glaçons et servez. Servez ce punch au thé vert à l'orange et à la menthe poivrée avec une tarte au pesto de légumes rôtis ou un biscuit masala épicé indien.</t>
  </si>
  <si>
    <t>http://www.archanaskitchen.com/orange-peppermint-green-tea-punch-recipe-in-hindi</t>
  </si>
  <si>
    <t>Rezept für braunen Reis mit Kräutern</t>
  </si>
  <si>
    <t>Recette de riz brun aux herbes</t>
  </si>
  <si>
    <t>Receta de arroz integral con hierbas</t>
  </si>
  <si>
    <t>1-1/2 tasse de riz brun, 2 oignons finement hachés, 4 gousses d'ail finement hachées, 3 cuillères à café d'origan séché, 3 cuillères à café de romarin, 4 cuillères à café de flocons de piment rouge, sel au goût, huile de tournesol, eau pour la cuisson</t>
  </si>
  <si>
    <t>1-1/2 cups Brown Rice,2 Onions - finely chopped,4 cloves Garlic - finely chopped,3 teaspoon Dried oregano,3 teaspoon Rosemary,4 teaspoon Red Chilli flakes,Salt - to taste,Sunflower Oil,Water - for cooking</t>
  </si>
  <si>
    <t>1-1/2 tazas de arroz integral, 2 cebollas finamente picadas, 4 dientes de ajo finamente picados, 3 cucharaditas de orégano seco, 3 cucharaditas de romero, 4 cucharaditas de hojuelas de chile rojo, sal al gusto, aceite de girasol, agua para cocinar</t>
  </si>
  <si>
    <t xml:space="preserve">To begin making the Herbed Brown Rice Recipe, soak the brown rice for 1/2 an hour in 2-1/2 cups of water.keep the pressure cooker on medium heat, drizzle 2 tablespoon of oil, Add chopped garlic and saute till they soften. Add in chopped onion and saute till they turn golden brown. Add your washed brown rice into the cooker along with the soaked water, sprinkle all the seasoning like red chilli flakes, oregano, thyme and enough salt. Pressure cook the herbed brown rice for 3 whistles on high heat and turn the heat to low. Simmer the herbed brown rice for another 5 minutes and turn off the heat.Once done, allow the pressure to release naturally and give the herbed brown rice a mix and serve it over bowl. Sprinkle some more herbs and serve. Serve the Herbed Brown Rice Recipe along with Chicken Curry With Sweet Potatoes and Red Cabbage Carrot, Sprout And Onion Salad for your sunday meals. 
</t>
  </si>
  <si>
    <t>Para comenzar a hacer la Receta de Arroz Integral con Hierbas, remoje el arroz integral durante 1/2 hora en 2-1/2 tazas de agua. Mantenga la olla a presión a fuego medio, rocíe 2 cucharadas de aceite, agregue ajo picado y saltee hasta que se ablanden. Agregue cebolla picada y saltee hasta que se doren. Agregue el arroz integral lavado a la olla junto con el agua remojada, espolvoree todos los condimentos como hojuelas de chile rojo, orégano, tomillo y suficiente sal. Cocine a presión el arroz integral con hierbas durante 3 silbidos a fuego alto y baje el fuego. Cocine a fuego lento el arroz integral con hierbas durante otros 5 minutos y apague el fuego. Una vez hecho esto, deje que la presión se libere naturalmente y mezcle el arroz integral con hierbas y sírvalo en un tazón. Espolvoree algunas hierbas más y sirva. Sirva la receta de arroz integral con hierbas junto con pollo al curry con boniatos y ensalada de col lombarda, zanahoria, brotes y cebolla en sus comidas dominicales.</t>
  </si>
  <si>
    <t>Pour commencer à préparer la recette de riz brun aux herbes, faites tremper le riz brun pendant 1/2 heure dans 2-1/2 tasses d'eau. Gardez l'autocuiseur à feu moyen, arrosez de 2 cuillères à soupe d'huile, ajoutez l'ail haché et faites revenir jusqu'à ce qu'il ramollisse. Ajoutez l'oignon haché et faites revenir jusqu'à ce qu'il devienne doré. Ajoutez votre riz brun lavé dans l'autocuiseur avec l'eau trempée, saupoudrez tous les assaisonnements comme les flocons de piment rouge, l'origan, le thym et suffisamment de sel. Faites cuire le riz brun aux herbes sous pression pendant 3 sifflets à feu vif et baissez le feu. Laissez mijoter le riz brun aux herbes pendant encore 5 minutes et éteignez le feu. Une fois terminé, laissez la pression se relâcher naturellement et mélangez le riz brun aux herbes et servez-le dans un bol. Saupoudrez d'herbes supplémentaires et servez. Servez la recette de riz brun aux herbes avec du poulet au curry avec des patates douces et une salade de chou rouge, de carottes, de pousses et d'oignons pour vos repas du dimanche.</t>
  </si>
  <si>
    <t>https://www.archanaskitchen.com/herbed-brown-rice-recipe</t>
  </si>
  <si>
    <t>Oat Olives and Broccoli Sandwich Spread Recipe</t>
  </si>
  <si>
    <t>Rezept für Brotaufstrich mit Hafer-Oliven und Brokkoli</t>
  </si>
  <si>
    <t>Recette de tartinade à l'avoine, aux olives et au brocoli</t>
  </si>
  <si>
    <t>Receta de crema de avena, aceitunas y brócoli</t>
  </si>
  <si>
    <t>1 cuillère à café d'huile d'olive extra vierge, 2 gousses d'ail, 100 grammes de brocoli coupé en fleurons, 50 grammes de flocons d'avoine instantanés, 40 grammes de flocons d'avoine ou d'avoine instantanée, 50 grammes de paneer (fromage cottage fait maison), 1/4 tasse d'olives noires dénoyautées, 1 cuillère à café de grains de poivre noir entiers, 1 cuillère à café de cumin en poudre (Jeera), 1/2 tasse de noix, sel au goût</t>
  </si>
  <si>
    <t>1 teaspoon Extra Virgin Olive Oil,2 cloves Garlic,100 grams Broccoli - cut into florets,50 grams Instant Oats (Oatmeal),40 grams Rolled Oats Or Instant Oats,50 grams Paneer (Homemade Cottage Cheese),1/4 cup Black olives - pitted,1 teaspoon Whole Black Peppercorns,1 teaspoon Cumin powder (Jeera),1/2 cup Walnuts,Salt - to taste</t>
  </si>
  <si>
    <t>1 cucharadita de aceite de oliva virgen extra, 2 dientes de ajo, 100 gramos de brócoli (cortado en floretes), 50 gramos de avena instantánea (avena), 40 gramos de avena arrollada o avena instantánea, 50 gramos de paneer (requesón casero), 1/4 taza de aceitunas negras sin hueso, 1 cucharadita de granos de pimienta negra enteros, 1 cucharadita de comino en polvo (Jeera), 1/2 taza de nueces, sal - al gusto</t>
  </si>
  <si>
    <t xml:space="preserve">To begin making the Oat Olives and Broccoli Sandwich Spread Recipe, we will first stir fry the broccoli in a wok or kadai.Heat a teaspoon of oil in a wok, add the broccoli and garlic, sprinkle some salt and sauté until the broccoli is cooked.Once the broccoli is cooked, turn off the heat and allow it to cool.Once cooled, add all the ingredients including broccoli garlic mixture, instant oats, pepper and spice oats, paneer, black olives, whole black peppercorns, cumin powder, walnuts, salt into a food processor and blend to make a smooth paste. You will notice that the texture is coarse when you try to grind it very well.That is exactly the texture you will have, just make sure all the ingredients including the raw oats and the peppercorns are ground well. Once ground well, check the salt and spices and adjust to suit your taste. And that’s it, your Oat Olives and Broccoli Sandwich Spread is ready to be used on sandwiches, wraps, or even pastas.
</t>
  </si>
  <si>
    <t>Para comenzar a hacer la Receta de Sándwich de Avena, Aceitunas y Brócoli, primero saltearemos el brócoli en un wok o kadai. Calentamos una cucharadita de aceite en un wok, agregamos el brócoli y el ajo, espolvoreamos un poco de sal y salteamos hasta que el brócoli esté cocido. Una vez que el brócoli esté cocido, apagamos el fuego y dejamos enfriar. Una vez enfriado, agregamos todos los ingredientes, incluyendo la mezcla de brócoli y ajo, avena instantánea, avena con pimienta y especias, paneer, aceitunas negras, granos de pimienta negra enteros, comino en polvo, nueces, sal en un procesador de alimentos y mezclamos para hacer una pasta suave. Notarás que la textura es gruesa cuando intentas molerla muy bien. Esa es exactamente la textura que tendrás, solo asegúrate de que todos los ingredientes, incluyendo la avena cruda y los granos de pimienta, estén bien molidos. Una vez bien molidos, revisa la sal y las especias y ajústalas a tu gusto. Y listo, tu pasta para sándwich de avena, aceitunas y brócoli está lista para usarse en sándwiches, wraps o incluso pastas.</t>
  </si>
  <si>
    <t>Pour commencer à préparer la recette de tartinade pour sandwich aux olives et au brocoli, nous allons d'abord faire sauter le brocoli dans un wok ou un kadai. Faites chauffer une cuillère à café d'huile dans un wok, ajoutez le brocoli et l'ail, saupoudrez de sel et faites sauter jusqu'à ce que le brocoli soit cuit. Une fois le brocoli cuit, éteignez le feu et laissez-le refroidir. Une fois refroidi, ajoutez tous les ingrédients, y compris le mélange de brocoli et d'ail, les flocons d'avoine instantanés, les flocons d'avoine au poivre et aux épices, le paneer, les olives noires, les grains de poivre noir entiers, la poudre de cumin, les noix, le sel dans un robot culinaire et mélangez pour obtenir une pâte lisse. Vous remarquerez que la texture est grossière lorsque vous essayez de bien la moudre. C'est exactement la texture que vous obtiendrez, assurez-vous simplement que tous les ingrédients, y compris l'avoine crue et les grains de poivre, sont bien moulus. Une fois bien moulu, vérifiez le sel et les épices et ajustez à votre goût. Et voilà, votre tartinade à sandwich aux olives et au brocoli est prête à être utilisée sur des sandwichs, des wraps ou même des pâtes.</t>
  </si>
  <si>
    <t>https://www.archanaskitchen.com/oat-olives-and-broccoli-sandwich-spread-recipe-pesto</t>
  </si>
  <si>
    <t>Classic New York Style Cheesecake Recipe</t>
  </si>
  <si>
    <t>Klassisches Käsekuchenrezept nach New Yorker Art</t>
  </si>
  <si>
    <t>Recette classique de cheesecake à la new-yorkaise</t>
  </si>
  <si>
    <t>Receta clásica de tarta de queso neoyorquina</t>
  </si>
  <si>
    <t>360 grammes de fromage à la crème Britannia, 1/2 tasse de crème fraîche, 3/4 tasse de sucre en poudre, 2 cuillères à soupe de farine tout usage (Maida), 2 œufs entiers - à température ambiante, 1 cuillère à café d'extrait de vanille, 1 1/2 tasse de biscuit digestif - émietté en poudre grossière, 4 cuillères à soupe de beurre - ramolli</t>
  </si>
  <si>
    <t>360 grams Britannia Cream Cheese,1/2 cup Fresh cream,3/4 cup Caster Sugar,2 tablespoons All Purpose Flour (Maida),2 Whole Eggs - at room temperature,1 teaspoon Vanilla Extract,1 1/2 cups Digestive biscuit - crumbled into a coarse powder,4 tablespoons Butter - softened</t>
  </si>
  <si>
    <t>360 gramos de queso crema Britannia, 1/2 taza de crema fresca, 3/4 taza de azúcar extrafino, 2 cucharadas de harina multiusos (Maida), 2 huevos enteros a temperatura ambiente, 1 cucharadita de extracto de vainilla, 1 1/2 tazas de galleta digestiva desmenuzada en polvo grueso, 4 cucharadas de mantequilla ablandada</t>
  </si>
  <si>
    <t xml:space="preserve">To begin making the Classic New York Style Cheesecake Recipe, first we will make the crust for the cheesecake.Method For CrustIn a medium sized bowl combine the biscuit crumbs and melted butter. Mix well to make a cheesecake crust mixture.Press the crumbs evenly over the bottom of a springform pan. Refrigerate the pan along with the crumbs for about 15 minutes while you make the filling.Method For FillingInto the bowl of the stand mixer place the cream cheese, sugar, and flour, cream, eggs and vanilla extract. Whisk until well blended and smooth peaks form.Remove the crust from the refrigerator and spoon the cheesecake filling mixture into the pan.Place the cheesecake into preheated oven at 180 degree Celcius. Bake for 40 to 45 minutes until almost set. Remove the cheesecake from the oven and allow it to cool completely.Refrigerate the cheesecake for at least 14 to 15 hours to set well before serving. You can cover the cheesecake with a cling wrap or foil and freeze for a few weeks as well.When you are ready to serve the New York Style Baked Cheesecake, serve it along with a strawberry compote. Serve Classic New York Style Cheesecake Recipe as a dessert after a meal of Vegetarian Moussaka with Mushrooms Sauce Recipe or Basil Pesto Grilled Chicken Recipe and Kiwi Basil Lemonade Recipe.
</t>
  </si>
  <si>
    <t>Para comenzar a hacer la receta clásica de tarta de queso al estilo neoyorquino, primero haremos la corteza para la tarta de queso. Método para la corteza En un tazón mediano combine las migas de galleta y la mantequilla derretida. Mezcle bien para hacer una mezcla para la corteza de la tarta de queso. Presione las migas uniformemente sobre el fondo de un molde desmontable. Refrigere el molde junto con las migas durante unos 15 minutos mientras prepara el relleno. Método para el relleno En el tazón de la batidora de pie coloque el queso crema, el azúcar y la harina, la crema, los huevos y el extracto de vainilla. Bata hasta que esté bien mezclado y se formen picos suaves. Retire la corteza del refrigerador y vierta con una cuchara la mezcla de relleno de tarta de queso en el molde. Coloque la tarta de queso en el horno precalentado a 180 grados centígrados. Hornee durante 40 a 45 minutos hasta que esté casi listo. Retire la tarta de queso del horno y deje que se enfríe por completo. Refrigere la tarta de queso durante al menos 14 a 15 horas para que cuaje bien antes de servir. También puedes cubrir la tarta de queso con film transparente o papel aluminio y congelarla durante algunas semanas. Cuando estés listo para servir la tarta de queso horneada al estilo neoyorquino, sírvela junto con una compota de fresa. Sirve la clásica tarta de queso al estilo neoyorquino como postre después de una comida como la moussaka vegetariana con salsa de champiñones, la pollo a la parrilla con pesto de albahaca y la limonada con kiwi y albahaca.</t>
  </si>
  <si>
    <t>Pour commencer à préparer la recette classique du cheesecake de style new-yorkais, nous allons d'abord préparer la croûte du cheesecake. Méthode pour la croûte Dans un bol de taille moyenne, mélanger les miettes de biscuits et le beurre fondu. Bien mélanger pour obtenir un mélange de croûte de cheesecake. Presser les miettes uniformément sur le fond d'un moule à charnière. Réfrigérer le moule avec les miettes pendant environ 15 minutes pendant que vous préparez la garniture. Méthode pour la garniture Dans le bol du batteur sur socle, placer le fromage à la crème, le sucre et la farine, la crème, les œufs et l'extrait de vanille. Fouetter jusqu'à ce que le tout soit bien mélangé et que des pics lisses se forment. Retirer la croûte du réfrigérateur et verser le mélange de garniture pour cheesecake dans le moule. Placer le cheesecake dans un four préchauffé à 180 degrés Celsius. Cuire au four pendant 40 à 45 minutes jusqu'à ce qu'il soit presque pris. Retirer le cheesecake du four et le laisser refroidir complètement. Réfrigérer le cheesecake pendant au moins 14 à 15 heures pour qu'il prenne bien avant de servir. Vous pouvez recouvrir le cheesecake d'un film alimentaire ou d'une feuille d'aluminium et le congeler pendant quelques semaines. Lorsque vous êtes prêt à servir le cheesecake cuit au four à la new-yorkaise, servez-le avec une compote de fraises. Servez la recette classique de cheesecake à la new-yorkaise en dessert après un repas de moussaka végétarienne à la sauce aux champignons ou de poulet grillé au pesto de basilic et de limonade au kiwi et au basilic.</t>
  </si>
  <si>
    <t>http://www.archanaskitchen.com/new-york-style-baked-cheesecake-recipe</t>
  </si>
  <si>
    <t>Coconut &amp; Ricotta Dip with Banana Chips Recipe</t>
  </si>
  <si>
    <t>Rezept für Kokos-Ricotta-Dip mit Bananenchips</t>
  </si>
  <si>
    <t>Recette de trempette à la ricotta et à la noix de coco avec chips de banane</t>
  </si>
  <si>
    <t>Receta de salsa de ricotta y coco con chips de plátano</t>
  </si>
  <si>
    <t>3 bananes mûres - tranchées, 1 jus de citron, 1/2 tasse de fromage ricotta, 1/2 tasse de noix de coco fraîche, 1 gousse d'ail - pelée et écrasée, 2 cuillères à soupe de feuilles de persil - finement hachées, 1 cuillère à soupe de feuilles de menthe (Pudina) - finement hachées, 3 cuillères à soupe d'huile d'olive extra vierge, 1 cuillère à café de jus de citron, 1/4 cuillère à café de zeste de citron, sel - au goût, poivre noir en poudre - au goût</t>
  </si>
  <si>
    <t>3 Ripe Bananas - sliced,1 Lemon juice,1/2 cup Ricotta Cheese,1/2 cup Fresh coconut,1 clove Garlic - peeled and crushed,2 tablespoons Parsley leaves - finely chopped,1 tablespoon Mint Leaves (Pudina) - finely chopped,3 tablespoons Extra Virgin Olive Oil,1 teaspoon Lemon juice,1/4 teaspoon Lemon zest,Salt - to taste,Black pepper powder - to taste</t>
  </si>
  <si>
    <t>3 plátanos maduros en rodajas, jugo de 1 limón, 1/2 taza de queso ricotta, 1/2 taza de coco fresco, 1 diente de ajo pelado y machacado, 2 cucharadas de hojas de perejil finamente picadas, 1 cucharada de hojas de menta (pudina) finamente picadas, 3 cucharadas de aceite de oliva virgen extra, 1 cucharadita de jugo de limón, 1/4 cucharadita de ralladura de limón, sal al gusto, pimienta negra en polvo al gusto</t>
  </si>
  <si>
    <t xml:space="preserve">To prepare Coconut &amp; Ricotta Dip with Banana Chips recipe, preheat oven to 250 degree Fahrenheit.Slice bananas thinly and arrange the slices in the baking pan lined with parchment paper.Combine juice of one lemon with little amount of water. Coat each slice with lemon water.Bake bananas until the moisture is absorbed completely for about 1 hour. Check and continue baking for about 10 minutes if not done.Check the bananas during half way and turn them for even baking. The chips are done once they are crisp and moisture is absorbed. The chips will become crisp once they cool down. Allow the chips to cool down.Meanwhile, prepare coconut ricotta dip.Combine all the ingredients given for the dip and grind them into a fine paste using a mixer/mortar.Serve baked crispy banana chips with coconut &amp; ricotta dip.
</t>
  </si>
  <si>
    <t>Para preparar la receta de Dip de Coco y Ricotta con Chips de Plátano, precaliente el horno a 120 °C. Corte los plátanos en rodajas finas y colóquelas en una bandeja para hornear forrada con papel vegetal. Mezcle el jugo de un limón con un poco de agua. Cubra cada rodaja con agua de limón. Hornee los plátanos durante aproximadamente 1 hora hasta que absorban completamente la humedad. Revise y continúe horneando durante unos 10 minutos si no están listos. Revise los plátanos a la mitad del tiempo y voltéelos para que se horneen uniformemente. Los chips estarán listos cuando estén crujientes y absorban la humedad. Los chips estarán crujientes al enfriarse. Deje que se enfríen. Mientras tanto, prepare el dip de coco y ricotta. Combine todos los ingredientes de la salsa y muélelos hasta obtener una pasta fina con un mortero. Sirva los chips de plátano crujientes horneados con el dip de coco y ricotta.</t>
  </si>
  <si>
    <t>Pour préparer la recette de sauce coco-ricotta aux chips de banane, préchauffez le four à 120 °C. Coupez les bananes en fines tranches et disposez-les dans un moule recouvert de papier sulfurisé. Mélangez le jus d'un citron avec un peu d'eau. Enduisez chaque tranche d'eau citronnée. Faites cuire les bananes jusqu'à absorption complète de l'humidité pendant environ 1 heure. Vérifiez la cuisson et poursuivez la cuisson environ 10 minutes si elle n'est pas cuite. Vérifiez la cuisson des bananes à mi-cuisson et retournez-les pour une cuisson uniforme. Les chips sont cuites lorsqu'elles sont croustillantes et que l'humidité est absorbée. Elles le seront en refroidissant. Laissez-les refroidir. Pendant ce temps, préparez la sauce coco-ricotta. Mélangez tous les ingrédients de la sauce et mixez-les jusqu'à obtenir une pâte fine à l'aide d'un mixeur/mortier. Servez les chips de banane croustillantes cuites au four avec la sauce coco-ricotta.</t>
  </si>
  <si>
    <t>https://www.archanaskitchen.com/coconut-ricotta-dip-with-banana-chips-recipe</t>
  </si>
  <si>
    <t>Apple Almond Cake Recipe | With Eggless Version</t>
  </si>
  <si>
    <t>Apfel-Mandel-Kuchen Rezept | Mit Ei-freier Version</t>
  </si>
  <si>
    <t>Recette de gâteau aux pommes et aux amandes | Version sans œufs</t>
  </si>
  <si>
    <t>Receta de pastel de manzana y almendras | Versión sin huevo</t>
  </si>
  <si>
    <t>3 tasses de farine tout usage (Maida), 2 cuillères à café de levure chimique, 1/2 cuillère à café de bicarbonate de soude, 1/2 cuillère à café de sel, 1/2 cuillère à café de cannelle en poudre (Dalchini), 1-1/2 tasse de sucre en poudre, 1 tasse d'huile de tournesol, 3 œufs entiers - (Pour sans œufs : 2 tasses de lait + 1/2 tasse de caillé), 2 pommes - coupées en petits dés, 2 cuillères à café d'extrait de vanille, 1/2 tasse de badam (amande) - finement tranchée</t>
  </si>
  <si>
    <t>3 cups All Purpose Flour (Maida),2 teaspoons Baking powder,1/2 teaspoon Baking soda,1/2 teaspoon Salt,1/2 teaspoon Cinnamon Powder (Dalchini),1-1/2 cups Caster Sugar,1 cup Sunflower Oil,3 Whole Eggs - (For Eggless: 2 cups milk + 1/2 cup curd),2 Apples - diced small,2 teaspoons Vanilla Extract,1/2 cup Badam (Almond) - thinly sliced</t>
  </si>
  <si>
    <t>3 tazas de harina para todo uso (Maida), 2 cucharaditas de polvo para hornear, 1/2 cucharadita de bicarbonato de sodio, 1/2 cucharadita de sal, 1/2 cucharadita de canela en polvo (Dalchini), 1-1/2 tazas de azúcar extrafino, 1 taza de aceite de girasol, 3 huevos enteros - (Para sin huevo: 2 tazas de leche + 1/2 taza de cuajada), 2 manzanas - cortadas en cubitos pequeños, 2 cucharaditas de extracto de vainilla, 1/2 taza de Badam (almendra) - en rodajas finas</t>
  </si>
  <si>
    <t xml:space="preserve">We begin making the Apple Almond Cake Recipe by preheating the oven to 180 degree celsius . Lightly grease a Bundt pan or tube pan.In a bowl, mix together the apples, almonds, vanilla, and cinnamon.In a separate bowl, sift together the flour, baking soda, and salt.Using an electric mixer beat the sugar, oil, and eggs in a large bowl. Add in the dry ingredients and beat until completely combined. Fold in the apple mixture.If you are making it eggless / egg free: instead of the eggs - add the milk and curd.Scrape the batter into the prepared pan and bake for 1 hour and 30 minutes or until a tester inserted into the middle of the cake comes out clean.Allow the cake to fully cool in the pan, about 1 hour, and then turn it out onto a plate.Drizzle the apple cake with some of the honey.The cake can be wrapped tightly and stored in the refrigerator for 3 to 5 days.Serve the Apple Almond Cake Recipe as a Tea Time Snack or as a Party Dessert .
</t>
  </si>
  <si>
    <t>Para preparar la receta del pastel de manzana y almendras, precalentamos el horno a 180 grados Celsius. Engrasamos ligeramente un molde Bundt o de tubo. En un bol, mezclamos las manzanas, las almendras, la vainilla y la canela. En otro bol, cernimos la harina, el bicarbonato y la sal. Con una batidora eléctrica, batimos el azúcar, el aceite y los huevos en un bol grande. Incorporamos los ingredientes secos y batimos hasta que estén bien integrados. Incorpore la mezcla de manzana. Si la prepara sin huevo, en lugar de huevos, agregue la leche y la cuajada. Vierta la masa en el molde preparado y hornee durante 1 hora y 30 minutos o hasta que al insertar un palillo en el centro del pastel, este salga limpio. Deje que el pastel se enfríe completamente en el molde, aproximadamente 1 hora, y luego desmóldelo sobre un plato. Rocíe el pastel de manzana con un poco de miel. El pastel se puede envolver bien y guardar en el refrigerador de 3 a 5 días. Sirva la receta de pastel de manzana y almendras como un refrigerio para la hora del té o como un postre para una fiesta.</t>
  </si>
  <si>
    <t>Pour préparer le gâteau aux pommes et aux amandes, préchauffez le four à 180 °C. Graissez légèrement un moule à cheminée ou un moule à cheminée. Dans un bol, mélangez les pommes, les amandes, la vanille et la cannelle. Dans un autre bol, tamisez la farine, le bicarbonate de soude et le sel. Dans un grand saladier, battez le sucre, l'huile et les œufs au batteur électrique. Ajoutez les ingrédients secs et battez jusqu'à ce que le tout soit bien mélangé. Incorporez le mélange de pommes. Si vous le préparez sans œufs : au lieu des œufs, ajoutez le lait et le caillé. Versez la pâte dans le moule préparé et faites cuire au four pendant 1 heure et 30 minutes ou jusqu'à ce qu'un cure-dent inséré au milieu du gâteau en ressorte propre. Laissez le gâteau refroidir complètement dans le moule, environ 1 heure, puis retournez-le sur une assiette. Arrosez le gâteau aux pommes d'un peu de miel. Le gâteau peut être emballé hermétiquement et conservé au réfrigérateur pendant 3 à 5 jours. Servez la recette du gâteau aux pommes et aux amandes comme collation à l'heure du thé ou comme dessert de fête.</t>
  </si>
  <si>
    <t>https://www.archanaskitchen.com/apple-almond-cake-recipe</t>
  </si>
  <si>
    <t>Roasted Mushroom Recipe</t>
  </si>
  <si>
    <t>Rezept für geröstete Pilze</t>
  </si>
  <si>
    <t>Recette de champignons rôtis</t>
  </si>
  <si>
    <t>Receta de champiñones asados</t>
  </si>
  <si>
    <t>400 grammes de champignons de Paris - coupés en quartiers, 4-5 tomates cerises - coupées en deux, 1 brin de feuilles de coriandre (Dhania) - hachées, 1 cuillère à café de romarin, 1 cuillère à café d'origan séché, 1 cuillère à café de flocons de piment rouge, 1/2 cuillère à café de sel, 1/2 cuillère à café de poivre noir en poudre - écrasé, 1 cuillère à café d'huile d'olive extra vierge</t>
  </si>
  <si>
    <t>400 grams Button mushrooms - cut into quarters,4-5 Cherry tomatoes - cut into half,1 sprig Coriander (Dhania) Leaves - chopped,1 teaspoon Rosemary,1 teaspoon Dried oregano,1 teaspoon Red Chilli flakes,1/2 teaspoon Salt,1/2 teaspoon Black pepper powder - crushed,1 teaspoon Extra Virgin Olive Oil</t>
  </si>
  <si>
    <t>400 gramos de champiñones cortados en cuartos, 4-5 tomates cherry cortados por la mitad, 1 ramita de hojas de cilantro (Dhania) picadas, 1 cucharadita de romero, 1 cucharadita de orégano seco, 1 cucharadita de hojuelas de chile rojo, 1/2 cucharadita de sal, 1/2 cucharadita de pimienta negra en polvo triturada, 1 cucharadita de aceite de oliva virgen extra</t>
  </si>
  <si>
    <t xml:space="preserve">To begin making the Roasted Mushroom Recipe first wash the mushroom nicely and spread them on a kitchen towel to dry. Cut mushrooms into four quarters, if they are too small then keep them whole.In a large mixing bowl, add mushroom pieces along with cherry tomatoes, dry rosemary, Italian spice mix, some salt to taste and crushed black pepper. Mix well to combine.Preheat the oven at 220 degrees C for 10 mins.Line a baking tray with parchment paper and spread the mushroom mix all over leaving some space between the mushrooms.Do not overcrowd the tray as the pieces need some space to roast.Place the tray into the oven and roast for 10-15 mins or till the mushroom starts turning deep brown in color. You can increase the cooking time if you wish to have a blackish color on the mushrooms.Take out the tray and allow it to rest for a few mins.Now add finely chopped cilantro or coriander leaves and mix well.Transfer the  Roasted Mushroom Recipe into a serving plate and enjoy the roasted mushrooms as a side dish with your meal or just a snack with a dash of lemon juice on it.Serve the Roasted Mushroom Recipe with a piece of garlic bread and Strawberry Lemonade to complete your meal.
</t>
  </si>
  <si>
    <t>Para comenzar a hacer la Receta de Champiñones Asados ​​primero lava bien los champiñones y extiéndelos sobre una toalla de cocina para que se sequen. Corta los champiñones en cuatro cuartos, si son demasiado pequeños déjalos enteros. En un tazón grande, agrega los trozos de champiñones junto con los tomates cherry, el romero seco, la mezcla de especias italianas, un poco de sal al gusto y pimienta negra triturada. Mezcla bien para combinar. Precalienta el horno a 220 grados C durante 10 minutos. Cubre una bandeja para hornear con papel pergamino y extiende la mezcla de champiñones por todas partes dejando algo de espacio entre los champiñones. No sobrecargues la bandeja ya que los trozos necesitan algo de espacio para asarse. Coloca la bandeja en el horno y asa durante 10-15 minutos o hasta que el champiñón comience a adquirir un color marrón oscuro. Puedes aumentar el tiempo de cocción si deseas que los champiñones adquieran un color negruzco. Retira la bandeja y déjala reposar unos minutos. Ahora añade hojas de cilantro finamente picadas y mezcla bien. Transfiere la receta de champiñones asados ​​a un plato para servir y disfruta de los champiñones asados ​​como guarnición de tu comida o simplemente como refrigerio con un chorrito de jugo de limón. Sirve la receta de champiñones asados ​​con un trozo de pan de ajo y limonada de fresa para completar tu comida.</t>
  </si>
  <si>
    <t>Pour commencer à préparer la recette de champignons rôtis, lavez d'abord soigneusement les champignons et étalez-les sur un torchon de cuisine pour les sécher. Coupez les champignons en quatre quartiers, s'ils sont trop petits, gardez-les entiers. Dans un grand bol, ajoutez les morceaux de champignons avec les tomates cerises, le romarin sec, le mélange d'épices italiennes, un peu de sel au goût et du poivre noir concassé. Bien mélanger. Préchauffez le four à 220 degrés C pendant 10 minutes. Tapissez une plaque de cuisson de papier sulfurisé et étalez le mélange de champignons partout en laissant un peu d'espace entre les champignons. Ne surchargez pas la plaque car les morceaux ont besoin d'espace pour rôtir. Placez la plaque au four et faites rôtir pendant 10 à 15 minutes ou jusqu'à ce que les champignons commencent à devenir brun foncé. Vous pouvez augmenter le temps de cuisson si vous souhaitez avoir une couleur noirâtre sur les champignons. Retirez le plateau et laissez reposer quelques minutes. Ajoutez maintenant de la coriandre finement hachée ou des feuilles de coriandre et mélangez bien. Transférez la recette de champignons rôtis dans une assiette de service et dégustez les champignons rôtis en accompagnement de votre repas ou simplement en collation avec un filet de jus de citron dessus. Servez la recette de champignons rôtis avec un morceau de pain à l'ail et de la limonade à la fraise pour compléter votre repas.</t>
  </si>
  <si>
    <t>https://www.archanaskitchen.com/no-onion-no-garlic-roasted-mushroom-recipe</t>
  </si>
  <si>
    <t>No Bake Peanut Butter Granola Bars Recipe</t>
  </si>
  <si>
    <t>Rezept für Erdnussbutter-Müsliriegel ohne Backen – Rezept für einfache, butterfreie Müsliriegel</t>
  </si>
  <si>
    <t>Recette de barres granola au beurre de cacahuète sans cuisson – Recette de barres granola faciles et sans beurre</t>
  </si>
  <si>
    <t>Receta de barras de granola con mantequilla de cacahuete sin horno: receta fácil y sin mantequilla</t>
  </si>
  <si>
    <t>1 tasse d'avoine, 2 tasses de dattes dénoyautées, 1 tasse d'amandes hachées, 1/2 tasse de noix hachées, 1/2 tasse de beurre d'arachide ou de beurre d'amande, 1/4 tasse de poudre de graines de lin, fruits secs de votre choix (abricots, 1 cuillère à café d'extrait de vanille ou de zeste d'orange, 1/2 tasse de barre de chocolat finement hachée</t>
  </si>
  <si>
    <t>1 cup oats, 2 cups dates - pitted, 1 cup almonds - chopped, 1/2 cup walnuts - chopped, 1/2 cup peanut butter - or almond butter, 1/4 cup flax seeds powder, dry fruits - of your choice (apricots, 1 tsp vanilla extract - or orange zest, 1/2 cup chocolate bar - finely chopped</t>
  </si>
  <si>
    <t>1 taza de avena, 2 tazas de dátiles sin hueso, 1 taza de almendras picadas, 1/2 taza de nueces picadas, 1/2 taza de mantequilla de maní o mantequilla de almendras, 1/4 taza de semillas de lino en polvo, frutos secos de su elección (albaricoques, 1 cucharadita de extracto de vainilla o ralladura de naranja, 1/2 taza de barra de chocolate finamente picada)</t>
  </si>
  <si>
    <t>To make No Bake Peanut Butter Granola Bars recipe, first roast oats in a pan on medium flame till oats become a little crunchy. After this, let it cool down a bit. Now make powder of almonds, walnuts and flax seeds. Let the powder remain a little coarse. Now put dates in a food processor and grind it. Now add almond powder, walnut powder, flax seed powder, peanut butter, oats and blend it well. Now pour this mixture in a square dish and press it from above so that it becomes uniform from above. Now put it in the refrigerator and store it for 3 to 4 hours. Cut it from the middle and store it in an air tight container. You can also serve No Bake Peanut Butter Granola Bars recipe with your evening coffee.</t>
  </si>
  <si>
    <t>Para preparar la receta de Barras de Granola con Mantequilla de Cacahuete sin Horno, primero tuesta la avena en una sartén a fuego medio hasta que esté ligeramente crujiente. Después, déjala enfriar un poco. Luego, prepara un polvo de almendras, nueces y semillas de lino. Deja que el polvo quede un poco grueso. Pon los dátiles en un procesador de alimentos y muélelos. Agrega el polvo de almendras, nueces en polvo, semillas de lino en polvo, mantequilla de cacahuete y avena, y mezcla bien. Vierte la mezcla en un plato cuadrado y presiónala desde arriba para que quede uniforme. Guarda la mezcla en el refrigerador de 3 a 4 horas. Córtala por la mitad y guárdala en un recipiente hermético. También puedes servir la receta de Barras de Granola con Mantequilla de Cacahuete sin Horno con tu café de la tarde.</t>
  </si>
  <si>
    <t>Pour réaliser la recette des barres de granola au beurre de cacahuète sans cuisson, faites d'abord griller les flocons d'avoine dans une poêle à feu moyen jusqu'à ce qu'ils deviennent légèrement croquants. Laissez ensuite refroidir. Réduisez ensuite en poudre les amandes, les noix et les graines de lin. Laissez la poudre légèrement granuleuse. Mettez les dattes dans un robot culinaire et broyez-les. Ajoutez ensuite la poudre d'amandes, la poudre de noix, la poudre de graines de lin, le beurre de cacahuète et les flocons d'avoine, puis mixez bien. Versez ce mélange dans un plat carré et tassez-le pour obtenir une consistance homogène. Placez-le au réfrigérateur pendant 3 à 4 heures. Coupez-le en deux et conservez-le dans un récipient hermétique. Vous pouvez également servir la recette des barres de granola au beurre de cacahuète sans cuisson avec votre café du soir.</t>
  </si>
  <si>
    <t>http://www.archanaskitchen.com/no-bake-peanut-butter-granola-bars-recipe-in-hindi</t>
  </si>
  <si>
    <t>Buttered Herbed Rice Recipe</t>
  </si>
  <si>
    <t>Rezept für gebutterten Kräuterreis</t>
  </si>
  <si>
    <t>Recette de riz aux herbes au beurre</t>
  </si>
  <si>
    <t>Receta de arroz con hierbas y mantequilla</t>
  </si>
  <si>
    <t>2 tasses de riz basmati, 1 cuillère à café d'ail finement haché, 3-4 feuilles de basilic grossièrement déchirées, 1/2 cuillère à café de feuilles de persil finement hachées, 1 cuillère à café d'origan séché, 1 cuillère à café de flocons de piment rouge, 2 cuillères à soupe de beurre, sel au goût, poivre noir en poudre au goût</t>
  </si>
  <si>
    <t>2 cups Basmati rice,1 teaspoon Garlic - finely chopped,3-4 Basil leaves - roughly torn,1/2 teaspoon Parsley leaves - finely chopped,1 teaspoon Dried oregano,1 teaspoon Red Chilli flakes,2 tablespoon Butter,Salt - to taste,Black pepper powder - to taste</t>
  </si>
  <si>
    <t>2 tazas de arroz basmati, 1 cucharadita de ajo finamente picado, 3-4 hojas de albahaca gruesa, 1/2 cucharadita de hojas de perejil finamente picadas, 1 cucharadita de orégano seco, 1 cucharadita de hojuelas de chile rojo, 2 cucharadas de mantequilla, sal al gusto, pimienta negra en polvo al gusto</t>
  </si>
  <si>
    <t xml:space="preserve">To begin making Buttered Herbed rice,  heat butter on low heat in a pan.Add chopped garlic and fry until they turn golden in colour. Once done add parsley, dried oregano, chilli flakes, garlic chives, basil and toss them well for about a minute.After a minute, add salt and pepper to the herbs. Add the cooked rice to the pan and mix well to combine. Let them cook for 2-3 minutes.Once done, turn off the heat and transfer it to a serving bowl.Serve the Buttered Herbed rice with Smoked Tofu and Grilled Vegetable salad or you can have it alone also.
</t>
  </si>
  <si>
    <t>Para empezar a preparar arroz con hierbas y mantequilla, calienta la mantequilla a fuego lento en una sartén. Agrega el ajo picado y fríelo hasta que se dore. Una vez listo, agrega perejil, orégano seco, hojuelas de chile, cebollino y albahaca, y revuelve bien durante aproximadamente un minuto. Después de un minuto, añade sal y pimienta a las hierbas. Agrega el arroz cocido a la sartén y mezcla bien. Deja cocinar de 2 a 3 minutos. Una vez listo, apaga el fuego y pásalo a un tazón. Sirve el arroz con hierbas y mantequilla con tofu ahumado y ensalada de verduras a la parrilla o también puedes comerlo solo.</t>
  </si>
  <si>
    <t>Pour commencer la préparation du riz aux herbes et au beurre, faites chauffer le beurre à feu doux dans une poêle. Ajoutez l'ail haché et faites-le revenir jusqu'à ce qu'il soit doré. Ajoutez ensuite le persil, l'origan séché, les flocons de piment, la ciboulette chinoise et le basilic, puis remuez bien pendant environ une minute. Après une minute, salez et poivrez les herbes. Ajoutez le riz cuit dans la poêle et mélangez bien. Laissez cuire 2 à 3 minutes. Une fois cuit, éteignez le feu et transférez le riz dans un saladier. Servez le riz aux herbes et au beurre avec une salade de tofu fumé et de légumes grillés, ou dégustez-le seul.</t>
  </si>
  <si>
    <t>https://www.archanaskitchen.com/buttered-herbed-rice-recipe</t>
  </si>
  <si>
    <t>Mushroom and beet wellington With Red Vinaigrette Sauce Recipe</t>
  </si>
  <si>
    <t>Rezept für Wellington mit Pilzen und Roter Bete und roter Vinaigrette</t>
  </si>
  <si>
    <t>Recette de Wellington aux champignons et betteraves et vinaigrette rouge</t>
  </si>
  <si>
    <t>Receta de Wellington de champiñones y remolacha con vinagreta roja</t>
  </si>
  <si>
    <t>1 oignon émincé, 1 poivron rouge haché, 200 g de champignons de Paris coupés en petits morceaux, 4 gousses d'ail hachées, 1 branche de céleri grossièrement hachée, sel et poivre pour l'assaisonnement, 2 cuillères à soupe de crème fraîche, 3 cuillères à soupe d'huile d'olive extra vierge, 1 cuillère à café de feuilles de thym frais (plus un peu pour saupoudrer), 2 betteraves coupées en rondelles de 1 cm, 1 cuillère à soupe de vinaigrette au vin rouge, 1 cuillère à café de romarin, 1 cuillère à soupe de beurre, 1 œuf entier pour l'enrobage, 1 feuille de pâte feuilletée</t>
  </si>
  <si>
    <t>1 Onion - sliced,1 Red Bell pepper (Capsicum) - minced,200 grams Button mushrooms - cut into small chunks,4 cloves Garlic - minced,1 Stalks Celery - roughly chopped,Salt and Pepper - for seasoning,2 tablespoon Fresh cream,3 tablespoons Extra Virgin Olive Oil,1 teaspoon Fresh Thyme leaves - plus extra for sprinkling,2 Beetroot - cut into 1 centimeter roundels,1 tablespoon Red Wine Vinaigrette,1 teaspoon Rosemary,1 tablespoon Butter,1 Whole Egg - for coating,1 Puff Pastry Sheet</t>
  </si>
  <si>
    <t>1 cebolla en rodajas, 1 pimiento morrón rojo picado, 200 gramos de champiñones cortados en trozos pequeños, 4 dientes de ajo picados, 1 tallo de apio picado grueso, sal y pimienta para condimentar, 2 cucharadas de crema fresca, 3 cucharadas de aceite de oliva virgen extra, 1 cucharadita de hojas de tomillo fresco (más extra para espolvorear), 2 remolachas cortadas en rodajas de 1 centímetro, 1 cucharada de vinagreta de vino tinto, 1 cucharadita de romero, 1 cucharada de mantequilla, 1 huevo entero para rebozar, 1 hoja de hojaldre</t>
  </si>
  <si>
    <t xml:space="preserve">We begin making the Mushroom and beet wellington With Red Vinaigrette Sauce Recipe by first making the puff pastry dough and keeping it ready. So in order to make the puff pastry check out the Croissant Recipe.Next in order to stew the beets, take a small skillet, heat 1 cup water and the remaining ingredients into the pan and keep it in slow.Let it simmer till the beet is cooked and when you pierce through a fork it should easily go in. Make sure you keep adding enough water so that it does not dry out. Once done remove the beet and keep the sauce aside to eat it along with the wellington.Heat another pan, slowly add garlic, onions and saute for few minutes and then add the mushroom and saute again till all the water is evaporated from the pan. In the meantime preheat the oven to 180 degree Celsius.Finally add the bell peppers and season it with salt, pepper and thyme. Add a tablespoon of cream and mix well. Allow it to cool down before you stuff it inside.Use a rectangular puff pastry dough, place the mushroom stuffing in the middle and then carefully place the beet slices on top and line it vertically. Fold over the side and seal the edges and any opening from the side.Turnover and place it on the baked tray spread with parchment paper. You can also use extra bits for decoration on top. Refrigerate the entire wellington in fridge before baking for about 15 minutes.Take it out and give it an egg wash over the puff pastry and bake it for about 45 minutes in the oven at 200 degree Celsius.Serve the Mushroom and beet wellington With Red Vinaigrette Sauce Recipe for a nice Sunday meal.
</t>
  </si>
  <si>
    <t>Para preparar el Wellington de champiñones y remolacha con vinagreta roja, primero preparamos la masa de hojaldre y la dejamos lista. Para preparar el hojaldre, consulta la receta del croissant. Para guisar la remolacha, calienta una taza de agua con el resto de los ingredientes en una sartén pequeña y mantén el fuego lento. Deja hervir a fuego lento hasta que la remolacha esté cocida y, al pincharla con un tenedor, entre fácilmente. Asegúrate de añadir suficiente agua para que no se seque. Una vez listo, retira la remolacha y reserva la salsa para acompañar el Wellington. Calienta otra sartén, añade lentamente el ajo y la cebolla y saltea durante unos minutos. Luego, añade los champiñones y saltea de nuevo hasta que se evapore toda el agua. Mientras tanto, precalienta el horno a 180 °C. Finalmente, añade los pimientos morrones y sazónalos con sal, pimienta y tomillo. Agrega una cucharada de crema y mezcla bien. Deja que se enfríe antes de rellenarlo. Usa una masa de hojaldre rectangular, coloca el relleno de champiñones en el centro y luego coloca con cuidado las rodajas de remolacha encima y cúbrelo verticalmente. Dobla el lateral y sella los bordes y cualquier abertura lateral. Dale la vuelta y colócalo en la bandeja para hornear cubierta con papel vegetal. También puedes usar trozos extra para decorar la parte superior. Refrigera todo el Wellington en el refrigerador antes de hornear durante unos 15 minutos. Sácalo, pásalo por encima del hojaldre con huevo y hornéalo durante unos 45 minutos en el horno a 200 grados Celsius. Sirve la receta de Wellington de champiñones y remolacha con salsa de vinagreta roja para una buena comida de domingo.</t>
  </si>
  <si>
    <t>Pour préparer la recette de Wellington aux champignons et betteraves avec sauce vinaigrette rouge, nous commençons par préparer la pâte feuilletée. Pour la réaliser, consultez la recette du croissant. Pour mijoter les betteraves, prenez une petite poêle, faites chauffer 250 ml d'eau et le reste des ingrédients et laissez mijoter doucement. Laissez mijoter jusqu'à ce que la betterave soit cuite et qu'elle s'enfonce facilement dans la fourchette. Assurez-vous d'ajouter suffisamment d'eau pour éviter que la sauce ne sèche. Une fois cuite, retirez la betterave et réservez la sauce pour la déguster avec le Wellington. Faites chauffer une autre poêle, ajoutez lentement l'ail et les oignons et faites revenir quelques minutes, puis ajoutez les champignons et faites revenir à nouveau jusqu'à évaporation complète de l'eau. Pendant ce temps, préchauffez le four à 180 °C. Ajoutez enfin les poivrons, salez, poivrez et thym. Ajoutez une cuillère à soupe de crème et mélangez bien. Laissez refroidir avant de le garnir. Utilisez une pâte feuilletée rectangulaire, placez la farce aux champignons au milieu, puis déposez délicatement les tranches de betterave dessus et tapissez-la verticalement. Repliez le côté et scellez les bords ainsi que toute ouverture latérale. Retournez et placez le tout sur la plaque de cuisson recouverte de papier sulfurisé. Vous pouvez également utiliser des morceaux supplémentaires pour la décoration. Réfrigérez le Wellington entier au réfrigérateur avant de le cuire pendant environ 15 minutes. Sortez-le, badigeonnez-le d'œuf battu et faites cuire au four pendant environ 45 minutes à 200 °C. Servez la recette de Wellington aux champignons et betteraves avec sauce vinaigrette rouge pour un bon repas du dimanche.</t>
  </si>
  <si>
    <t>http://www.archanaskitchen.com/mushroom-and-beet-wellington-with-red-vinegratte-sauce-recipe</t>
  </si>
  <si>
    <t>Apple Empanadas Recipe</t>
  </si>
  <si>
    <t>Rezept für Apfel-Empanadas</t>
  </si>
  <si>
    <t>Recette d'empanadas aux pommes</t>
  </si>
  <si>
    <t>Receta de empanadas de manzana</t>
  </si>
  <si>
    <t>2 pommes - épépinées et coupées en quartiers, 1 cuillère à soupe de cannelle en poudre (Dalchini), 1/2 cuillère à café de noix de muscade en poudre - fraîchement moulue, 2 cuillères à soupe de cassonade (sucre Demerara), 1/2 cuillère à café d'extrait de vanille, feuille de pâte feuilletée, farine tout usage (Maida) - pour saupoudrer, sucre en poudre - pour saupoudrer</t>
  </si>
  <si>
    <t>2 Apples - cored and cut to wedges,1 tablespoon Cinnamon Powder (Dalchini),1/2 teaspoon Nutmeg powder - freshly ground,2 tablespoon Brown Sugar (Demerara Sugar),1/2 teaspoon Vanilla Extract,Puff Pastry Sheet,All Purpose Flour (Maida) - for dusting,Caster Sugar - for dusting</t>
  </si>
  <si>
    <t>2 manzanas - sin corazón y cortadas en gajos, 1 cucharada de canela en polvo (dalchini), 1/2 cucharadita de nuez moscada en polvo - recién molida, 2 cucharadas de azúcar moreno (azúcar demerara), 1/2 cucharadita de extracto de vainilla, hojaldre, harina multiusos (maida) - para espolvorear, azúcar extrafino - para espolvorear</t>
  </si>
  <si>
    <t xml:space="preserve">To begin making Apple Empanadas Recipe, use a sharp knife to core and thinly slice the apples into wedges.Toss the apple slices into a medium skillet and add cinnamon, nutmeg, vanilla and brown sugar.Sauté on a medium heat for 5 minutes, or until the apples have softened a little bit. Keep them aside.Lightly flour a surface and roll out pastry dough to 1/4 inch (6.3 mm) thick.Cut into circles for making empanadas and place filling in the center of the dough circle for empanadas.Fold dough over to make a filled half circle and use a fork to press the edges together. Refrigerate uncooked empanadas for 3 hours.Deep fry in oil 6 to7 minutes until golden brown. And drain the excess oil using several layers of absorbent paper before serving. Dust it with some powdered sugar and enjoy.Oven Baking MethodPreheat oven to 350F.Once the uncooked empanadas are refrigerated for 3 hours, take them out and arrange it on a baking sheet lined with a parchment paper. Brush each of the empanadas with some milk.Put the tray in oven and bake for 25 to 30 minutes or until golden. Keep a close watch while the empanadas are baked in oven since the temperature and its distribution varies with ovens.Serve Apple Empanadas Recipe and Guava Empanadas Recipe along with Vanilla Fruit Sauce With Left Over Fruits Recipe for desserts during your next house party.
</t>
  </si>
  <si>
    <t>Para preparar las empanadas de manzana, use un cuchillo afilado para descorazonar las manzanas y cortarlas en gajos finos. Coloque las rodajas de manzana en una sartén mediana y añada canela, nuez moscada, vainilla y azúcar morena. Saltee a fuego medio durante 5 minutos o hasta que las manzanas se ablanden un poco. Resérvelas. Enharine ligeramente una superficie y extienda la masa hasta obtener un grosor de 6,3 mm (1/4 de pulgada). Corte en círculos para empanadas y coloque el relleno en el centro. Doble la masa para formar un semicírculo relleno y presione los bordes con un tenedor. Refrigere las empanadas crudas durante 3 horas. Fríalas en aceite abundante de 6 a 7 minutos hasta que estén doradas. Escurra el exceso de aceite con varias capas de papel absorbente antes de servir. Espolvoréalas con un poco de azúcar glas y disfruta. Método de horneado: Precalienta el horno a 175 °C. Una vez que las empanadas crudas estén refrigeradas durante 3 horas, sácalas y colócalas en una bandeja para hornear forrada con papel pergamino. Pincela cada una de las empanadas con un poco de leche. Coloca la bandeja en el horno y hornea durante 25 a 30 minutos o hasta que estén doradas. Vigila de cerca las empanadas mientras se hornean, ya que la temperatura y su distribución varían según el horno. Sirve la Receta de Empanadas de Manzana y la Receta de Empanadas de Guayaba junto con la Receta de Salsa de Vainilla con Frutas Sobrantes como postres en tu próxima fiesta en casa.</t>
  </si>
  <si>
    <t>Pour commencer la recette des empanadas aux pommes, utilisez un couteau bien aiguisé pour épépiner les pommes et les couper en quartiers. Mettez les tranches de pommes dans une poêle moyenne et ajoutez la cannelle, la muscade, la vanille et la cassonade. Faites revenir à feu moyen pendant 5 minutes, ou jusqu'à ce que les pommes soient légèrement tendres. Réservez. Farinez légèrement un plan de travail et étalez la pâte à tarte sur 6,3 mm d'épaisseur. Découpez des cercles pour les empanadas et placez la garniture au centre du cercle. Repliez la pâte pour former un demi-cercle garni et utilisez une fourchette pour presser les bords ensemble. Réfrigérez les empanadas crus pendant 3 heures. Faites frire dans l'huile 6 à 7 minutes jusqu'à ce qu'ils soient dorés. Égouttez l'excédent d'huile en utilisant plusieurs couches de papier absorbant avant de servir. Saupoudrez de sucre glace et dégustez. Méthode de cuisson au four Préchauffez le four à 175 °C. Une fois les empanadas crues réfrigérées pendant 3 heures, sortez-les et disposez-les sur une plaque à pâtisserie recouverte de papier sulfurisé. Badigeonnez chaque empanada de lait. Mettez la plaque au four et faites cuire pendant 25 à 30 minutes ou jusqu'à ce qu'elles soient dorées. Surveillez attentivement la cuisson des empanadas au four, car la température et sa répartition varient selon les fours. Servez la recette d'empanadas aux pommes et la recette d'empanadas à la goyave avec la recette de sauce aux fruits à la vanille avec les restes de fruits pour les desserts lors de votre prochaine fête.</t>
  </si>
  <si>
    <t>https://www.archanaskitchen.com/apple-empanadas-recipe</t>
  </si>
  <si>
    <t>Buckwheat Crepes Stuffed With Spinach And Eggs Recipe</t>
  </si>
  <si>
    <t>Mit Spinat und Eiern gefüllte Buchweizen-Crêpes Rezept</t>
  </si>
  <si>
    <t>Recette de crêpes de sarrasin farcies aux épinards et aux œufs</t>
  </si>
  <si>
    <t>Receta de panqueques de trigo sarraceno rellenos de espinacas y huevos</t>
  </si>
  <si>
    <t>1 tasse de farine de sarrasin (Kuttu Ka Atta), 3/4 tasse de lait, 2 œufs entiers, 1/2 cuillère à café de noix de muscade râpée, 2-3 cuillères à soupe de beurre ou de ghee (fondu), sel au goût, eau (selon les besoins) pour obtenir une pâte fine, 1 cuillère à soupe de beurre ou de ghee pour enrober la poêle (facultatif ou vous pouvez utiliser un spray d'huile), épinards frais, 3 œufs entiers fouettés, 1 oignon finement haché, 2 cuillères à café de pâte d'ail et de gingembre, 2 piments verts finement hachés, feuilles de coriandre (Dhania) (une poignée), sel au goût, 1 cuillère à soupe d'huile de tournesol</t>
  </si>
  <si>
    <t>1 cup Buckwheat Flour (Kuttu Ka Atta),3/4 cup Milk,2 Whole Eggs,1/2 teaspoon Nutmeg - grated,2-3 tablespoons Butter - or ghee (melted),Salt - to taste,Water - as required to make a thin batter,1 tablespoon Butter - or ghee to coat the pan (optional or you can use an oil spray),Spinach - fresh bunch,3 Whole Eggs - whisked,1 Onion - finely chopped,2 teaspoons Ginger Garlic Paste,2 Green Chillies - finely chopped,Coriander (Dhania) Leaves - handful,Salt - to taste,1 tablespoon Sunflower Oil</t>
  </si>
  <si>
    <t>1 taza de harina de trigo sarraceno (Kuttu Ka Atta), 3/4 taza de leche, 2 huevos enteros, 1/2 cucharadita de nuez moscada - rallada, 2-3 cucharadas de mantequilla - o ghee (derretida), sal - al gusto, agua - según sea necesario para hacer una masa fina, 1 cucharada de mantequilla - o ghee para cubrir la sartén (opcional o puede usar un aerosol de aceite), espinacas - manojo fresco, 3 huevos enteros - batidos, 1 cebolla - finamente picada, 2 cucharaditas de pasta de ajo y jengibre, 2 chiles verdes - finamente picados, hojas de cilantro (Dhania) - puñado, sal - al gusto, 1 cucharada de aceite de girasol</t>
  </si>
  <si>
    <t xml:space="preserve">To begin making Buckwheat Crepes Stuffed With Spinach And Eggs, first make the crepe batter.For this, whisk together the eggs and milk (under “For the buckwheat crepes”) in a mixing bowl.Add to it, the melted ghee (or butter) and grated nutmeg, stir in the buckwheat flour, salt and mix gently, but thoroughly, till there are no lumps.Set the mixture aside for 15-20 minutes.To make the filling place a pan or wok on the heat, and add some oil to it. When it is warm, add the onion, ginger-garlic paste and green chilies and saute together for 1-2 minutes till the onion is translucent.Add the chopped spinach leaves next and toss.Sprinkle salt and cook for 1-2 minutes till the leaves wilt.Next, pour in the whisked eggs and stir vigorously to scramble the eggs.Cook for 1-2 minutes till the eggs are still soft and moist, but cooked through.Sprinkle the coriander leaves (or any other herb of choice) and turn the heat off. Set the filling aside while you proceed to make the crepes.To make the buckwheat crepes 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Serve the Buckwheat Crepes Stuffed With Spinach And Eggs along with Chickoo Banana Date Smoothie for breakfast.
</t>
  </si>
  <si>
    <t>Para empezar a hacer crepes de trigo sarraceno rellenos de espinacas y huevos, primero haga la masa de crepes. Para esto, bata los huevos y la leche (en "Para los crepes de trigo sarraceno") en un tazón. Agregue a esto, el ghee derretido (o mantequilla) y la nuez moscada rallada, agregue la harina de trigo sarraceno, la sal y mezcle suavemente, pero completamente, hasta que no queden grumos. Deje la mezcla reposar durante 15-20 minutos. Para hacer el relleno coloque una sartén o wok al fuego y agregue un poco de aceite. Cuando esté caliente, añade la cebolla, la pasta de jengibre y ajo y los chiles verdes y sofríelos durante 1 o 2 minutos hasta que la cebolla esté transparente. A continuación, añade las hojas de espinaca picadas y remueve. Espolvorea con sal y cocina durante 1 o 2 minutos hasta que las hojas se ablanden. A continuación, añade los huevos batidos y remueve enérgicamente para que se revuelvan. Cocina durante 1 o 2 minutos hasta que los huevos estén tiernos y húmedos, pero bien cocidos. Espolvorea con hojas de cilantro (o cualquier otra hierba aromática) y apaga el fuego. Reserva el relleno mientras preparas las crepas. Para preparar las crepas de trigo sarraceno, coloca una sartén grande, plana, antiadherente o para crepas al fuego. Unta un poco de ghee o mantequilla uniformemente por encima. Vierte un cucharón lleno de la masa en la sartén e inmediatamente inclínala en forma circular para extender la masa uniformemente en un panqueque delgado. Cocina hasta que la parte inferior esté ligeramente dorada, generalmente unos 30-40 segundos. Voltea el crepe para cocinarlo por el otro lado durante unos segundos. Cuando esté completamente cocido, coloca el crepe en una fuente para servir con una espátula plana. Vierte el relleno sobre la mitad del crepe o un cuarto del mismo. Dobla el otro lado. Sirve los Crepes de Trigo Sarraceno Rellenos de Espinacas y Huevos junto con el Batido de Plátano y Dátiles Chickoo para desayunar.</t>
  </si>
  <si>
    <t>Pour commencer à préparer des crêpes de sarrasin farcies aux épinards et aux œufs, préparez d'abord la pâte à crêpes. Pour cela, fouettez ensemble les œufs et le lait (sous « Pour les crêpes de sarrasin ») dans un saladier. Ajoutez-y le ghee fondu (ou le beurre) et la muscade râpée, incorporez la farine de sarrasin, le sel et mélangez doucement, mais soigneusement, jusqu'à ce qu'il n'y ait plus de grumeaux. Laissez reposer le mélange pendant 15 à 20 minutes. Pour préparer la garniture, placez une poêle ou un wok sur le feu et ajoutez-y un peu d'huile. Une fois chaud, ajoutez l'oignon, la pâte de gingembre et d'ail et les piments verts et faites revenir le tout 1 à 2 minutes, jusqu'à ce que l'oignon soit translucide. Ajoutez ensuite les feuilles d'épinards hachées et mélangez. Saupoudrez de sel et laissez cuire 1 à 2 minutes, jusqu'à ce que les feuilles flétrissent. Versez ensuite les œufs battus et remuez vigoureusement pour les brouiller. Laissez cuire 1 à 2 minutes, jusqu'à ce que les œufs soient encore tendres et humides, mais cuits à cœur. Parsemez de feuilles de coriandre (ou d'autres herbes de votre choix) et éteignez le feu. Réservez la garniture pendant la préparation des crêpes. Pour les crêpes au sarrasin, placez une grande poêle à crêpes antiadhésive sur le feu. Étalez uniformément du ghee ou du beurre dessus. Versez une louche de pâte dans la poêle et inclinez immédiatement la poêle de manière circulaire pour étaler la pâte uniformément en une crêpe fine. Faites cuire jusqu'à ce que le dessous soit légèrement doré, généralement environ 30 à 40 secondes. Retournez la crêpe pour cuire l'autre côté pendant quelques secondes. Une fois cuite, déposez la crêpe sur un plat de service à l'aide d'une spatule plate. Versez la garniture sur la moitié ou le quart de la crêpe. Repliez l'autre côté. Servez les crêpes de sarrasin farcies aux épinards et aux œufs avec un smoothie Chickoo Banana Dattes au petit-déjeuner.</t>
  </si>
  <si>
    <t>https://www.archanaskitchen.com/buckwheat-crepes-stuffed-with-spinach-and-eggs-recipe</t>
  </si>
  <si>
    <t>Rosemary Chicken Rice Recipe With Spicy Tomato Garlic Sauce</t>
  </si>
  <si>
    <t>Rosmarin-Hühnchenreis-Rezept mit würziger Tomaten-Knoblauch-Sauce</t>
  </si>
  <si>
    <t>Recette de riz au poulet et au romarin avec sauce tomate et ail épicée</t>
  </si>
  <si>
    <t>Receta de arroz con pollo y romero con salsa picante de tomate y ajo</t>
  </si>
  <si>
    <t>1 tasse de riz, 1 cuillère à soupe d'huile d'olive extra vierge, 1 cuillère à soupe d'ail finement haché, 1 oignon finement tranché, 1 cuillère à café de romarin, sel au goût, 150 grammes de poitrines de poulet coupées en cubes de 1 pouce, 1 carotte (Gajjar) râpée, 1 cuillère à café d'huile d'olive extra vierge, 1 cuillère à soupe d'ail finement haché, 8 feuilles de basilic grossièrement déchirées, 3/4 tasse de purée de tomates maison, sel au goût, 1/2 cuillère à café de sucre, 1 cuillère à café de Tabasco Original - Sauce piquante, 1/2 cuillère à café de poudre de paprika, 2 cuillères à soupe de crème fraîche</t>
  </si>
  <si>
    <t>1 cup Rice,1 tablespoon Extra Virgin Olive Oil,1 tablespoon Garlic - finely chopped,1 Onion - thinly sliced,1 teaspoon Rosemary,Salt - to taste,150 grams Chicken breasts - cut into 1 inch cubes,1 Carrot (Gajjar) - grated,1 teaspoon Extra Virgin Olive Oil,1 tablespoon Garlic - finely chopped,8 Basil leaves - roughly torn,3/4 cup Homemade tomato puree,Salt - to taste,1/2 teaspoon Sugar,1 teaspoon Tabasco Original - Hot Sauce,1/2 teaspoon Paprika powder,2 tablespoons Fresh cream</t>
  </si>
  <si>
    <t>1 taza de arroz, 1 cucharada de aceite de oliva virgen extra, 1 cucharada de ajo - finamente picado, 1 cebolla - finamente rebanada, 1 cucharadita de romero, sal - al gusto, 150 gramos de pechugas de pollo - cortadas en cubos de 1 pulgada, 1 zanahoria (Gajjar) - rallada, 1 cucharadita de aceite de oliva virgen extra, 1 cucharada de ajo - finamente picado, 8 hojas de albahaca - gruesamente desgarradas, 3/4 taza de puré de tomate casero, sal - al gusto, 1/2 cucharadita de azúcar, 1 cucharadita de Tabasco Original - Salsa picante, 1/2 cucharadita de pimentón en polvo, 2 cucharadas de crema fresca</t>
  </si>
  <si>
    <t xml:space="preserve">To begin making the Rosemary Chicken Rice Recipe With Spicy Tomato Garlic Sauce we will first make the rice. Heat olive oil in a pressure cooker, add the garlic and fry until light brown in colour, next add onions and saute till transparent. Once the onions are transparent add salt, rosemary, chicken cubes, carrot, washed and drained rice and 2 cups of water. Pressure cook for 3 whistles and turn off the heat.Allow the pressure to release naturally. Once the pressure has released, open the cooker and fluff the rice with a fork. To make the Spicy Tomato Garlic Sauce In a skillet heat oil, add the garlic and saute till they turns deep golden brown in colour. Once done add the basil leaves, and tomato puree and simmer for a few minutes. Add salt to taste, sugar, tabasco sauce and paprika powder. Bring to a brisk boil. Now reduce the heat, stir in the cream and bring to a single boil. Turn off the heat after a boil.Serve the Rosemary Chicken Rice Recipe With Spicy Tomato Garlic Sauce with a garnish of fresh basil leaves and fried garlic. Serve Rosemary Chicken Rice Recipe With Spicy Tomato Garlic Sauce as a meal by itself along with a drink of Apple And Ginger Cocktail Recipe followed by a dessert of Greek Yogurt Chocolate Mousse Recipe.
</t>
  </si>
  <si>
    <t>Para comenzar a hacer la Receta de Arroz con Pollo al Romero con Salsa Picante de Tomate y Ajo, primero haremos el arroz. Calentamos el aceite de oliva en una olla a presión, agregamos el ajo y freímos hasta que esté ligeramente dorado, luego agregamos las cebollas y salteamos hasta que estén transparentes. Una vez que las cebollas estén transparentes, agregamos sal, romero, cubos de pollo, zanahoria, arroz lavado y escurrido y 2 tazas de agua. Cocinamos a presión durante 3 silbidos y apagamos el fuego. Dejamos que la presión se libere naturalmente. Una vez que se haya liberado la presión, abrimos la olla y esponjamos el arroz con un tenedor. Para hacer la Salsa Picante de Tomate y Ajo, en una sartén calentamos el aceite, agregamos el ajo y salteamos hasta que se dore. Una vez hecho esto, agregamos las hojas de albahaca y el puré de tomate y cocinamos a fuego lento durante unos minutos. Agregamos sal al gusto, azúcar, salsa tabasco y pimentón en polvo. Llevamos a ebullición rápida. Ahora reduzca el fuego, incorpore la crema y deje que hierva. Apague el fuego después de que hierva. Sirva la Receta de Arroz con Pollo al Romero y Salsa Picante de Tomate y Ajo con una guarnición de hojas de albahaca fresca y ajo frito. Sirva la Receta de Arroz con Pollo al Romero y Salsa Picante de Tomate y Ajo como una comida sola junto con una bebida de Receta de Cóctel de Manzana y Jengibre seguida de un postre de Receta de Mousse de Chocolate con Yogur Griego.</t>
  </si>
  <si>
    <t>Pour commencer à préparer la recette de riz au poulet au romarin avec sauce tomate et ail épicée, nous allons d'abord préparer le riz. Faites chauffer l'huile d'olive dans une cocotte-minute, ajoutez l'ail et faites-le revenir jusqu'à ce qu'il soit légèrement doré, puis ajoutez les oignons et faites-les revenir jusqu'à ce qu'ils soient transparents. Une fois les oignons transparents, ajoutez le sel, le romarin, les cubes de poulet, la carotte, le riz lavé et égoutté et 2 tasses d'eau. Faites cuire sous pression pendant 3 sifflets, puis éteignez le feu. Laissez la pression se relâcher naturellement. Une fois la pression relâchée, ouvrez la cocotte et égrainez le riz avec une fourchette. Pour préparer la sauce tomate et ail épicée, faites chauffer l'huile dans une poêle, ajoutez l'ail et faites-le revenir jusqu'à ce qu'il devienne brun doré foncé. Une fois terminé, ajoutez les feuilles de basilic et la purée de tomates et laissez mijoter quelques minutes. Ajoutez du sel au goût, du sucre, de la sauce tabasco et du paprika en poudre. Portez à ébullition vive. Réduisez ensuite le feu, incorporez la crème et portez à ébullition. Éteignez le feu après ébullition. Servez la recette de riz au poulet au romarin avec sauce tomate et ail épicée avec une garniture de feuilles de basilic frais et d'ail frit. Servez la recette de riz au poulet au romarin avec sauce tomate et ail épicée comme un repas à part entière, accompagné d'une boisson de recette de cocktail pomme et gingembre, suivie d'un dessert de recette de mousse au chocolat au yaourt grec.</t>
  </si>
  <si>
    <t>https://www.archanaskitchen.com/rosemary-chicken-rice-recipe-with-spicy-tomato-garlic-sauce</t>
  </si>
  <si>
    <t>Eggless Whole Wheat Pineapple Muffins Recipe</t>
  </si>
  <si>
    <t>Rezept für Vollkorn-Ananas-Muffins ohne Ei</t>
  </si>
  <si>
    <t>Recette de muffins complets à l'ananas sans œufs</t>
  </si>
  <si>
    <t>Receta de muffins integrales de piña sin huevo</t>
  </si>
  <si>
    <t>2 tasses de farine de blé entier - 2 tasses de farine de blé entier, 1-1/2 cuillère à café de levure chimique, 1/2 tasse de jus d'ananas, 1/2 tasse d'ananas - (en conserve ou frais) haché, 3/4 tasse de caillé (Dahi / Yaourt), 1/2 tasse de sucre - (ajuster), 1 cuillère à café d'extrait de vanille, 1/4 tasse d'huile de tournesol</t>
  </si>
  <si>
    <t>2 cups Whole Wheat Flour - 2 cups whole wheat flour,1-1/2 teaspoon Baking powder,1/2 cup Pineapple juice,1/2 cup Pineapple - (canned or fresh) chopped,3/4 cup Curd (Dahi / Yogurt),1/2 cup Sugar - (adjust),1 teaspoon Vanilla Extract,1/4 cup Sunflower Oil</t>
  </si>
  <si>
    <t>2 tazas de harina integral - 2 tazas de harina integral, 1-1/2 cucharadita de polvo para hornear, 1/2 taza de jugo de piña, 1/2 taza de piña (enlatada o fresca) picada, 3/4 taza de cuajada (Dahi / yogur), 1/2 taza de azúcar - (ajustar), 1 cucharadita de extracto de vainilla, 1/4 taza de aceite de girasol</t>
  </si>
  <si>
    <t xml:space="preserve">To begin making the Eggless Whole Wheat Pineapple Muffins Recipe, Preheat oven to 180°C. Line the muffin tin with paper liners and brush with oil.Sift together wheat flour and baking powder and keep aside.In a large bowl, take yogurt and add sugar, oil, vanilla essence and 1/2 cup of pineapple juice. Mix together without lumps. Gradually add the flour, the chopped pineapple and beat well until just about combined. Spoon the pineapple muffin cake batter into the cavities. Bake the Whole Wheat Eggless Pineapple Muffins for about 15 minutes at 180° C until the top turns brown and the muffins are done. Insert a tester like toothpick in the center and it should come out clean.Once done, remove the eggless pineapple muffins from the oven and allow it to cool.Serve the Eggless Whole Wheat Pineapple Muffins as a tea time snack along with Grilled Cheese Sandwich Made With Paneer &amp; Potato and a cup of coffee for a delicious snack.
</t>
  </si>
  <si>
    <t>Para comenzar a hacer la Receta de Muffins de Piña Integral sin Huevo, Precaliente el horno a 180°C. Cubra el molde para muffins con capacillos de papel y pincele con aceite. Tamice juntos la harina de trigo y el polvo para hornear y reserve. En un tazón grande, tome el yogur y agregue el azúcar, el aceite, la esencia de vainilla y 1/2 taza de jugo de piña. Mezcle sin grumos. Agregue gradualmente la harina, la piña picada y bata bien hasta que esté casi combinado. Vierta la masa del pastel de muffins de piña en las cavidades. Hornee los Muffins de Piña Integral sin Huevo durante unos 15 minutos a 180°C hasta que la parte superior se dore y los muffins estén listos. Inserte un palillo en el centro y debería salir limpio. Una vez hecho esto, retire los muffins de piña sin huevo del horno y déjelos enfriar. Sirva los muffins de piña integral sin huevo como refrigerio para la hora del té junto con un sándwich de queso a la parrilla hecho con paneer y papa y una taza de café para un refrigerio delicioso.</t>
  </si>
  <si>
    <t xml:space="preserve">Pour commencer à préparer la recette de muffins à l'ananas et au blé entier sans œufs, préchauffez le four à 180 °C. Tapissez le moule à muffins de caissettes en papier et badigeonnez-les d'huile. Tamisez ensemble la farine de blé et la levure chimique et réservez. Dans un grand bol, prenez le yaourt et ajoutez le sucre, l'huile, l'essence de vanille et 1/2 tasse de jus d'ananas. Mélangez sans grumeaux. Ajoutez graduellement la farine, l'ananas haché et battez bien jusqu'à ce qu'il soit presque combiné. Déposez la pâte à gâteau aux muffins à l'ananas dans les cavités. Faites cuire les muffins à l'ananas et au blé entier sans œufs pendant environ 15 minutes à 180 °C jusqu'à ce que le dessus brunisse et que les muffins soient cuits. Insérez un cure-dent comme un testeur au centre et il devrait ressortir propre. Une fois cuits, retirez les muffins à l'ananas et au blé entier sans œufs du four et laissez-les refroidir. Servez les muffins à l'ananas et au blé entier sans œufs comme collation à l'heure du thé avec un sandwich au fromage grillé fait avec du paneer et des pommes de terre et une tasse de café pour une délicieuse collation.
</t>
  </si>
  <si>
    <t>https://www.archanaskitchen.com/whole-wheat-eggless-pineapple-muffins-recipe</t>
  </si>
  <si>
    <t>Peanut Butter Oat Almond Energy Bar Recipe</t>
  </si>
  <si>
    <t>Rezept für Energieriegel mit Erdnussbutter, Hafer und Mandeln</t>
  </si>
  <si>
    <t>Recette de barres énergétiques au beurre de cacahuète, à l'avoine et aux amandes</t>
  </si>
  <si>
    <t>Receta de barra energética de mantequilla de maní, avena y almendras</t>
  </si>
  <si>
    <t>3 tasses de dattes dénoyautées et hachées, 1 tasse de beurre d'arachide, 1/4 tasse de pépites de chocolat, 1/4 tasse de flocons d'avoine, 1 cuillère à café d'extrait de vanille, 8 biscuits digestifs multigrains à l'avoine</t>
  </si>
  <si>
    <t>3 cups Dates - pitted and chopped,1 cup Peanut Butter,1/4 cup Chocolate chips,1/4 cup Rolled Oats,1 teaspoon Vanilla Extract,8 Multigrain Digestive Oat Biscuits</t>
  </si>
  <si>
    <t>3 tazas de dátiles sin hueso y picados, 1 taza de mantequilla de maní, 1/4 taza de chispas de chocolate, 1/4 taza de avena arrollada, 1 cucharadita de extracto de vainilla, 8 galletas de avena digestivas multigrano</t>
  </si>
  <si>
    <t xml:space="preserve">To begin making the Peanut Butter Oat Almond Energy Bar Recipe, firstly we will combine all the ingredients in a food processor jar. In a mixer jar, add the dates, peanut butter, chocolate chips, oats, vanilla extract and the NutriChoice Oats Almonds &amp; Chocolate Cookies, blend until well combined. Transfer the energy bar mixture onto a tray, spread evenly and pat it tightly until firm. Refrigerate for 2 hours. Take them out and cut according your desired shapes and serve.Serve the Peanut Butter Oat Almond Energy Bar Recipe as a healthy after school snack along with a glass of Apple, Kiwi, Pineapple Juice Recipe.
</t>
  </si>
  <si>
    <t>Para empezar a preparar la receta de la barra energética de avena, almendras y mantequilla de cacahuete, primero combinaremos todos los ingredientes en el vaso de un procesador de alimentos. En el vaso de una batidora, agregue los dátiles, la mantequilla de cacahuete, las chispas de chocolate, la avena, el extracto de vainilla y las galletas de avena NutriChoice de almendras y chocolate, licúe hasta que estén bien combinadas. Transfiera la mezcla de la barra energética a una bandeja, extiéndala uniformemente y apriétela hasta que esté firme. Refrigere durante 2 horas. Sáquelas, córtelas según las formas deseadas y sirva. Sirva la receta de la barra energética de avena, almendras y mantequilla de cacahuete como una merienda saludable después de la escuela junto con un vaso de la receta de jugo de manzana, kiwi y piña.</t>
  </si>
  <si>
    <t>Pour commencer à préparer la recette de barre énergétique au beurre de cacahuète, à l'avoine et aux amandes, nous allons d'abord mélanger tous les ingrédients dans un robot culinaire. Dans un bol, ajoutez les dattes, le beurre de cacahuète, les pépites de chocolat, l'avoine, l'extrait de vanille et les biscuits NutriChoice à l'avoine, aux amandes et au chocolat, mélangez jusqu'à ce que le tout soit bien mélangé. Transférez le mélange de barres énergétiques sur un plateau, étalez-le uniformément et tapotez fermement jusqu'à ce qu'il soit ferme. Réfrigérez pendant 2 heures. Sortez-les, découpez-les selon vos formes souhaitées et servez. Servez la recette de barre énergétique au beurre de cacahuète, à l'avoine et aux amandes comme collation saine après l'école, accompagnée d'un verre de jus de pomme, de kiwi et d'ananas.</t>
  </si>
  <si>
    <t>http://www.archanaskitchen.com/peanut-butter-oat-almond-energy-bar-recipe</t>
  </si>
  <si>
    <t>Whole Wheat Cupcakes Recipe</t>
  </si>
  <si>
    <t>Rezept für Vollkorn-Cupcakes</t>
  </si>
  <si>
    <t>Recette de cupcakes au blé complet</t>
  </si>
  <si>
    <t>Receta de cupcakes de trigo integral</t>
  </si>
  <si>
    <t>1-1/2 tasse de farine de blé entier, 100 grammes de beurre, 2 œufs entiers, 3/4 tasse de sucre en poudre, 1-1/2 cuillère à café de levure chimique, 1/2 cuillère à café de bicarbonate de soude, 1 cuillère à café d'extrait de vanille, 1/2 tasse de babeurre, ganache au chocolat - selon les besoins</t>
  </si>
  <si>
    <t>1-1/2 cups Whole Wheat Flour,100 grams Butter,2 Whole Eggs,3/4 cup Caster Sugar,1-1/2 teaspoons Baking powder,1/2 teaspoon Baking soda,1 teaspoon Vanilla Extract,1/2 cup Buttermilk,Chocolate ganache - as required</t>
  </si>
  <si>
    <t>1-1/2 tazas de harina integral, 100 gramos de mantequilla, 2 huevos enteros, 3/4 taza de azúcar extrafino, 1-1/2 cucharadita de polvo para hornear, 1/2 cucharadita de bicarbonato de sodio, 1 cucharadita de extracto de vainilla, 1/2 taza de suero de leche, ganache de chocolate (según se requiera)</t>
  </si>
  <si>
    <t xml:space="preserve">To prepare Whole wheat cupcake recipe, preheat the Oven to 180 degrees Celsius.Mix flour, baking soda and baking powder in a bowl and whisk well.Add eggs, butter, and sugar in a separate bowl and beat well till the mixture is light.Fold the flour into the above mixture.Add the buttermilk and vanilla essence and mix well.Transfer the cake batter into cupcake moulds with liners in them.Bake in the oven for 15-20 minutes or until ready.Top the whole wheat cupcakes with chocolate ganache and serve during tea time.
</t>
  </si>
  <si>
    <t>Para preparar la receta de cupcakes de trigo integral, precaliente el horno a 180 grados Celsius. Mezcle la harina, el bicarbonato de sodio y el polvo para hornear en un tazón y bata bien. Agregue los huevos, la mantequilla y el azúcar en un tazón aparte y bata bien hasta que la mezcla esté ligera. Incorpore la harina a la mezcla anterior. Agregue el suero de leche y la esencia de vainilla y mezcle bien. Transfiera la masa del pastel a moldes para cupcakes con capacillos. Hornee en el horno durante 15-20 minutos o hasta que esté listo. Cubra los cupcakes de trigo integral con ganache de chocolate y sirva durante la hora del té.</t>
  </si>
  <si>
    <t>Pour préparer la recette de cupcakes au blé entier, préchauffez le four à 180 degrés Celsius. Mélangez la farine, le bicarbonate de soude et la levure chimique dans un bol et fouettez bien. Ajoutez les œufs, le beurre et le sucre dans un autre bol et battez bien jusqu'à ce que le mélange soit léger. Incorporez la farine au mélange ci-dessus. Ajoutez le babeurre et l'essence de vanille et mélangez bien. Transférez la pâte à gâteau dans des moules à cupcakes avec des doublures. Faites cuire au four pendant 15 à 20 minutes ou jusqu'à ce que ce soit prêt. Garnissez les cupcakes au blé entier de ganache au chocolat et servez à l'heure du thé.</t>
  </si>
  <si>
    <t>https://www.archanaskitchen.com/whole-wheat-cupcakes-recipe</t>
  </si>
  <si>
    <t>Spirulina Protein Energy Balls with Ragi Recipe</t>
  </si>
  <si>
    <t>Spirulina-Protein-Energiebällchen mit Ragi-Rezept</t>
  </si>
  <si>
    <t>Recette de boules énergétiques protéinées à la spiruline et au ragi</t>
  </si>
  <si>
    <t>Receta de bolitas energéticas de proteína de espirulina y ragi</t>
  </si>
  <si>
    <t>1 tasse de dattes, 1/4 tasse d'abricots séchés, 1 tasse de badam (amande), 4 cuillères à soupe de pistaches, 2 cuillères à soupe de farine de ragi (millet des doigts/nagli), 2 cuillères à soupe de poudre de graines de lin (farine de lin), 2 cuillères à soupe de beurre de cacahuète, 1 cuillère à soupe d'huile de tournesol, 1 cuillère à soupe de spiruline</t>
  </si>
  <si>
    <t>1 cup Dates,1/4 cup Apricots - dried,1 cup Badam (Almond),4 tablespoon Pistachios,2 tablespoon Ragi Flour (Finger Millet/ Nagli),2 tablespoon Flax seed powder (flax meal),2 tablespoon Peanut Butter,1 tablespoon Sunflower Oil,1 tablespoon Spirulina</t>
  </si>
  <si>
    <t>1 taza de dátiles, 1/4 taza de albaricoques secos, 1 taza de Badam (almendras), 4 cucharadas de pistachos, 2 cucharadas de harina de ragi (mijo de dedo/nagli), 2 cucharadas de polvo de semillas de lino (harina de lino), 2 cucharadas de mantequilla de maní, 1 cucharada de aceite de girasol, 1 cucharada de espirulina</t>
  </si>
  <si>
    <t xml:space="preserve">To begin making the Spirulina Protein Energy Balls with Ragi Recipe, add all the nuts first in a food processor and blitz till it forms a coarse powder.Remove the powdered nuts and add the dates and apricots and blitz them as well till them become coarse paste.Add the powdered nuts, flax seed powder, ragi powder, peanut butter, spirulina, peanut butter and oil and blitz all of them together till they combine.Take out the mixture and start shaping them into small medium sized balls and refrigerate for later use. Serve the Spirulina Protein Energy Balls as a snack with or a healthy dessert after your morning breakfast with Oats, Mango and Yogurt Breakfast Parfait for a satisfying meal.
</t>
  </si>
  <si>
    <t>Para empezar a preparar la receta de bolitas energéticas de proteína de espirulina con ragi, añade primero todas las nueces en un procesador de alimentos y tritura hasta formar un polvo grueso. Retira las nueces en polvo y añade los dátiles y los albaricoques, triturando también hasta obtener una pasta gruesa. Añade las nueces en polvo, el polvo de linaza, el polvo de ragi, la mantequilla de cacahuete, la espirulina, la mantequilla de cacahuete y el aceite, y tritura todo junto hasta que se combinen. Retira la mezcla y empieza a darles forma de bolitas pequeñas y medianas; refrigéralas para usarlas más tarde. Sirve las bolitas energéticas de proteína de espirulina como tentempié o como postre saludable después del desayuno con parfait de desayuno de avena, mango y yogur para una comida satisfactoria.</t>
  </si>
  <si>
    <t>Pour commencer à préparer la recette de boules énergétiques protéinées à la spiruline avec ragi, ajoutez d'abord toutes les noix dans un robot culinaire et mixez jusqu'à obtenir une poudre grossière. Retirez les noix en poudre et ajoutez les dattes et les abricots et mixez-les également jusqu'à obtenir une pâte grossière. Ajoutez les noix en poudre, la poudre de graines de lin, la poudre de ragi, le beurre de cacahuète, la spiruline, le beurre de cacahuète et l'huile et mixez le tout jusqu'à ce qu'ils soient combinés. Sortez le mélange et commencez à les façonner en petites boules de taille moyenne et réfrigérez pour une utilisation ultérieure. Servez les boules énergétiques protéinées à la spiruline comme collation ou comme dessert sain après votre petit-déjeuner du matin avec un parfait petit-déjeuner à l'avoine, à la mangue et au yaourt pour un repas satisfaisant.</t>
  </si>
  <si>
    <t>https://www.archanaskitchen.com/spirulina-protein-energy-balls-with-ragi-recipe</t>
  </si>
  <si>
    <t>Crunchy Baked Cheese Crisps Recipe</t>
  </si>
  <si>
    <t>Rezept für knusprig gebackene Käsechips</t>
  </si>
  <si>
    <t>Recette de chips de fromage croustillantes cuites au four</t>
  </si>
  <si>
    <t>Receta de chips de queso crujientes al horno</t>
  </si>
  <si>
    <t>1 tasse de fromage Mozzarella - ou parmesan, 1/2 cuillère à café de graines de cumin (Jeera)</t>
  </si>
  <si>
    <t>1 cup Mozzarella cheese - or parmesan cheese,1/2 teaspoon Cumin seeds (Jeera)</t>
  </si>
  <si>
    <t>1 taza de queso mozzarella o queso parmesano, 1/2 cucharadita de semillas de comino (Jeera)</t>
  </si>
  <si>
    <t xml:space="preserve">To begin making  Crunchy Baked Cheese Crisps Recipe, preheat Oven to 375 degrees Fahrenheit (190 degrees Celsius).Line two Baking sheet with parchment paper.Lightly toast the cumin seeds and then coarsely grind it in a mortar and pestle.Add it to the shredded cheese in a bowl. Mix it gently.Take two tablespoons of cheese mixture and spread it evenly on the lined baking sheet to form a 4 to 4.5 inch round. Repeat this step for the rest of the mixture leaving a 2-inch gap between the rounds.Bake the sheets one by one in the preheated oven for 6-8 minutes until it begins to brown slightly. I used mozzarella cheese and it took 6 minutes for me to cook perfectly.Take out the baking sheet and lift the cheese using a spatula and fold it gently over a rolling pin or lay it flat on a kitchen paper towel. Allow it to cool complete to become crisp and then serve.Serve Crunchy Baked Cheese Crisps Recipe as an appetizer with Roasted tomato sauce or can be serve along a green vegetable salad.
</t>
  </si>
  <si>
    <t>Para comenzar a hacer la receta de crujientes chips de queso horneados, precaliente el horno a 375 grados Fahrenheit (190 grados Celsius). Cubra dos bandejas para hornear con papel pergamino. Tueste ligeramente las semillas de comino y luego muélelas en un mortero. Añádalas al queso rallado en un tazón. Mézclelo suavemente. Tome dos cucharadas de la mezcla de queso y extiéndalas uniformemente sobre la bandeja para hornear forrada para formar un círculo de 4 a 4,5 pulgadas. Repita este paso para el resto de la mezcla dejando un espacio de 2 pulgadas entre los círculos. Hornee las bandejas una por una en el horno precalentado durante 6-8 minutos hasta que comiencen a dorarse ligeramente. Usé queso mozzarella y me tomó 6 minutos cocinarlo perfectamente. Saque la bandeja para hornear y levante el queso con una espátula y dóblelo suavemente sobre un rodillo o colóquelo sobre una toalla de papel de cocina. Déjalo enfriar por completo hasta que esté crujiente y luego sirve. Sirve la receta de crujientes chips de queso horneados como aperitivo con salsa de tomate asado o puedes servirlo junto con una ensalada de verduras verdes.</t>
  </si>
  <si>
    <t>Pour commencer à préparer la recette de chips de fromage croustillantes au four, préchauffez le four à 375 degrés Fahrenheit (190 degrés Celsius). Tapissez deux plaques à pâtisserie de papier sulfurisé. Faites légèrement griller les graines de cumin, puis broyez-les grossièrement dans un mortier et un pilon. Ajoutez-les au fromage râpé dans un bol. Mélangez délicatement. Prenez deux cuillères à soupe de mélange de fromage et étalez-les uniformément sur la plaque à pâtisserie tapissée pour former un rond de 4 à 4,5 pouces. Répétez cette étape pour le reste du mélange en laissant un espace de 2 pouces entre les ronds. Faites cuire les plaques une par une dans le four préchauffé pendant 6 à 8 minutes jusqu'à ce qu'elles commencent à dorer légèrement. J'ai utilisé du fromage mozzarella et il m'a fallu 6 minutes pour une cuisson parfaite. Sortez la plaque à pâtisserie et soulevez le fromage à l'aide d'une spatule et pliez-le délicatement sur un rouleau à pâtisserie ou posez-le à plat sur un essuie-tout. Laissez-le refroidir complètement pour qu'il devienne croustillant, puis servez. Servez la recette de chips de fromage croustillantes cuites au four en apéritif avec une sauce tomate rôtie ou avec une salade de légumes verts.</t>
  </si>
  <si>
    <t>http://www.archanaskitchen.com/crunchy-baked-cheese-crisps-recipe</t>
  </si>
  <si>
    <t>Green Beans In Pomegranate Cream Sauce Recipe</t>
  </si>
  <si>
    <t>Rezept für grüne Bohnen in Granatapfel-Sahnesauce</t>
  </si>
  <si>
    <t>Recette de haricots verts à la crème de grenade</t>
  </si>
  <si>
    <t>Receta de judías verdes con crema de granada</t>
  </si>
  <si>
    <t>250 grammes de haricots verts (haricots verts), 5 gousses d'ail hachées, 1 cuillère à soupe de miel, 1/3 tasse de crème fraîche, 1/3 tasse de noyaux de grenade frais, 1 cuillère à café de sauce à la grenade, sel et poivre - au goût, 3 brins d'oignons verts, 2 cuillères à soupe de lait de coco, 2 cuillères à soupe d'huile d'olive extra vierge</t>
  </si>
  <si>
    <t>250 gram Green beans (French Beans),5 cloves Garlic - chopped,1 tablespoon Honey,1/3 cup Fresh cream,1/3 cup Fresh Pomegranate Fruit Kernels,1 teaspoon Pomegranate Sauce,Salt and Pepper - to taste,3 sprig Spring Onion Greens,2 tablespoons Coconut milk,2 tablespoon Extra Virgin Olive Oil</t>
  </si>
  <si>
    <t>250 gramos de judías verdes (judías verdes), 5 dientes de ajo picados, 1 cucharada de miel, 1/3 taza de nata fresca, 1/3 taza de semillas frescas de granada, 1 cucharadita de salsa de granada, sal y pimienta al gusto, 3 ramitas de cebolleta, 2 cucharadas de leche de coco, 2 cucharadas de aceite de oliva virgen extra</t>
  </si>
  <si>
    <t xml:space="preserve">To begin making the Green Beans In Pomegranate Cream Sauce Recipe, clean, wash and dry green beans. Cut each bean into half lengthwise.Prepare a steamer for steaming and steam the beans in a steamer until it's just about cooked. Remove from the steamer and keep aside.In a pan heat oil and saute chopped garlic until lightly brown in color. Add cream, coconut milk, salt, honey, pomegranate seeds and pepper. Bring the mixture to a brisk boil to combine the flavors and turn off the heat.Fold in the beans in pomegranate cream sauce and mix well so that beans get coated well with the sauce.Garnish with more pomegranate seeds and chopped spring onion greens. Serve warm or cold.Serve the Green Beans in Pomegranate Cream Sauce along with Light And Creamy Broccoli Soup and Garlic Bread with Herb Butter for a weeknight dinner.
</t>
  </si>
  <si>
    <t>Para empezar a preparar la receta de judías verdes en salsa de crema de granada, limpia, lava y seca las judías verdes. Corta cada judía por la mitad a lo largo. Prepara una vaporera para cocinar al vapor y cocina las judías en ella hasta que estén casi cocidas. Retíralas de la vaporera y reserva. En una sartén calienta el aceite y sofríe el ajo picado hasta que esté ligeramente dorado. Agrega la crema, la leche de coco, la sal, la miel, las semillas de granada y la pimienta. Lleva la mezcla a ebullición rápida para combinar los sabores y apaga el fuego. Incorpora las judías en la salsa de crema de granada y mezcla bien para que las judías se cubran bien con la salsa. Decora con más semillas de granada y cebolletas picadas. Sirve caliente o frío. Sirve las judías verdes en salsa de crema de granada junto con la sopa de brócoli ligera y cremosa y el pan de ajo con mantequilla de hierbas para una cena entre semana.</t>
  </si>
  <si>
    <t>Pour commencer à préparer la recette de haricots verts à la crème de grenade, nettoyez, lavez et séchez les haricots verts. Coupez chaque haricot en deux dans le sens de la longueur. Préparez un cuiseur vapeur et faites-y cuire les haricots jusqu'à ce qu'ils soient presque cuits. Retirez-les du cuiseur vapeur et réservez. Dans une poêle, faites chauffer l'huile et faites revenir l'ail haché jusqu'à ce qu'il soit légèrement doré. Ajoutez la crème, le lait de coco, le sel, le miel, les graines de grenade et le poivre. Portez le mélange à ébullition pour mélanger les saveurs, puis éteignez le feu. Incorporez les haricots à la crème de grenade et mélangez bien pour qu'ils soient bien enrobés de sauce. Garnissez de graines de grenade et de feuilles d'oignon vert hachées. Servez chaud ou froid. Servez les haricots verts à la crème de grenade avec une soupe légère et crémeuse au brocoli et du pain à l'ail au beurre aux herbes pour un dîner de semaine.</t>
  </si>
  <si>
    <t>http://www.archanaskitchen.com/green-beans-in-pomegranate-cream-sauce-recipe</t>
  </si>
  <si>
    <t>Sweet Mixed Fruits And Granola Breakfast Wraps Recipe</t>
  </si>
  <si>
    <t>Rezept für süße Frühstückswraps mit gemischten Früchten und Granola</t>
  </si>
  <si>
    <t>Recette de wraps sucrés pour le petit-déjeuner avec des fruits mélangés et du granola</t>
  </si>
  <si>
    <t>Receta de wraps dulces para el desayuno con frutas mixtas y granola</t>
  </si>
  <si>
    <t>2 tortillas de farine de blé entier, 1/4 tasse de fraises - tranchées finement, 1/4 tasse de bananes mûres - tranchées finement, 1/4 tasse de pêches - tranchées finement, 1/4 tasse de framboises fraîches - hachées grossièrement, 1 cuillère à café de miel, 1/3 tasse de granola - ou de noix mélangées, 4 cuillères à soupe de fromage à la crème Britannia - ramolli</t>
  </si>
  <si>
    <t>2 Whole Wheat Flour Tortilla,1/4 cup Strawberries - thinly sliced,1/4 cup Ripe Bananas - thinly sliced,1/4 cup Peaches - thinly sliced,1/4 cup Fresh raspberries - roughly chopped,1 teaspoon Honey,1/3 cup Granola - or mixed nuts,4 tablespoon Britannia Cream Cheese - softened</t>
  </si>
  <si>
    <t>2 tortillas de harina integral, 1/4 taza de fresas en rodajas finas, 1/4 taza de plátanos maduros en rodajas finas, 1/4 taza de duraznos en rodajas finas, 1/4 taza de frambuesas frescas picadas gruesas, 1 cucharadita de miel, 1/3 taza de granola o frutos secos mixtos, 4 cucharadas de queso crema Britannia ablandado</t>
  </si>
  <si>
    <t xml:space="preserve">To start making Sweet Mixed Fruits And Nut Breakfast Wraps, in a small bowl add all the fruits and stir in the honey, make sure fruits are coated well.Warm up the Tortillas on a skillet and place it on a serving platter.Spread the cream cheese on the tortillas leaving an inch from the border.Arrange the prepared fruit mix one half down the center of each tortilla, sprinkle the granola.Fold the sides of each tortilla and roll to make a wrap (should look like burrito).Serve Sweet Mixed Fruits And Granola Breakfast Wraps for breakfast along with Spiced Pumpkin Smoothie.
</t>
  </si>
  <si>
    <t>Para empezar a preparar Wraps de Desayuno con Frutas Mixtas Dulces y Nueces, en un tazón pequeño, agrega todas las frutas y revuelve con la miel, asegurándote de que las frutas estén bien cubiertas. Calienta las tortillas en una sartén y colócalas en una fuente para servir. Unta el queso crema sobre las tortillas dejando una pulgada del borde. Coloca la mezcla de frutas preparada en el centro de cada tortilla, espolvorea la granola. Dobla los lados de cada tortilla y enrolla para hacer un wrap (debe verse como un burrito). Sirve los Wraps de Desayuno con Frutas Mixtas Dulces y Granola para el desayuno junto con el Batido de Calabaza Especiado.</t>
  </si>
  <si>
    <t>Pour commencer à préparer des wraps de petit-déjeuner aux fruits et noix mélangés sucrés, dans un petit bol, ajoutez tous les fruits et incorporez le miel, assurez-vous que les fruits sont bien enrobés. Faites chauffer les tortillas dans une poêle et placez-les sur un plat de service. Étalez le fromage à la crème sur les tortillas en laissant un pouce du bord. Disposez le mélange de fruits préparé en une moitié au centre de chaque tortilla, saupoudrez de granola. Repliez les côtés de chaque tortilla et roulez pour faire un wrap (qui devrait ressembler à un burrito). Servez les wraps de petit-déjeuner aux fruits et granola mélangés sucrés au petit-déjeuner avec un smoothie à la citrouille épicée.</t>
  </si>
  <si>
    <t>https://www.archanaskitchen.com/sweet-mixed-fruits-and-granola-breakfast-wraps-recipe</t>
  </si>
  <si>
    <t>Open Burger with Vegetable Patty Recipe</t>
  </si>
  <si>
    <t>Rezept für offenen Burger mit Gemüse-Patty</t>
  </si>
  <si>
    <t>Recette de burger ouvert avec galette de légumes</t>
  </si>
  <si>
    <t>Receta de hamburguesa abierta con hamburguesa vegetal</t>
  </si>
  <si>
    <t>4 pains à hamburger coupés en deux (dessus retiré et seule la base conservée), 1 tomate tranchée, 1 oignon coupé en rondelles, 4 cuillères à soupe de mayonnaise à l'ail et au fromage Nutralite, 4 cuillères à soupe de sauce moutarde, 4 laitues iceberg, 4 cuillères à soupe d'Aloo Bhujia, 2 cuillères à soupe de tartinade à l'ail et à l'origan Nutralite, 4 pommes de terre (Aloo), 60 ml de pois verts (Matar), 1 carotte (Gajjar) hachée, sel au goût, 1 cuillère à café de poudre de piment rouge, 1 cuillère à soupe de farine de maïs, jus de citron (d'un demi-citron vert), 2 piments verts, 60 ml de chapelure de blé entier, 3 à 4 cuillères à soupe de tartinade à l'ail et à l'origan Nutralite pour la friture peu profonde</t>
  </si>
  <si>
    <t>4 Burger buns - cut into half (top removed and only the base kept),1 Tomato - sliced,1 Onion - sliced into rings,4 tablespoon Nutralite Cheesy Garlic Mayo,4 tablespoon Mustard sauce,4 Iceberg lettuce,4 tablespoon Aloo Bhujia,2 tablespoon Nutralite Garlic &amp; Oregano Spread,4 Potatoes (Aloo),1/4 cup Green peas (Matar),1 Carrot (Gajjar) - chopped,Salt - to taste,1 teaspoon Red Chilli powder,1 tablespoon Corn flour,Lemon juice - of half lime,2 Green Chilli,1/4 cup Whole Wheat Bread crumbs,3 to 4 tablespoon Nutralite Garlic &amp; Oregano Spread - for shallow frying</t>
  </si>
  <si>
    <t>4 panecillos de hamburguesa cortados por la mitad (sin la parte superior, dejando solo la base), 1 tomate en rodajas, 1 cebolla cortada en aros, 4 cucharadas de mayonesa de ajo y queso Nutralite, 4 cucharadas de salsa de mostaza, 4 lechugas iceberg, 4 cucharadas de Aloo Bhujia, 2 cucharadas de pasta de ajo y orégano Nutralite, 4 patatas (Aloo), 1/4 taza de guisantes verdes (Matar), 1 zanahoria (Gajjar) picada, sal al gusto, 1 cucharadita de chile rojo en polvo, 1 cucharada de harina de maíz, jugo de limón (de media lima), 2 chiles verdes, 1/4 taza de pan rallado integral, de 3 a 4 cucharadas de pasta de ajo y orégano Nutralite para freír ligeramente</t>
  </si>
  <si>
    <t xml:space="preserve">To begin making the Open Burger recipe, wash the potatoes and cook them in a pressure cooker for 5 whistles.Turn off the flame and allow the pressure to release naturally. Once cooked, open the lid, drain the excess eater, remove the potatoes, peel the skin and mash well in a bowl. Cook carrot first on a hot kadai with the Garlic And Oregano Spread over a medium heat, then add green peas. Once fully cooked, mash that as well.Add mashed peas and carrot, red chili powder, corn flour, finely chopped green chilies, salt and lime juice to the mashed potatoes. Mix well. Divide it into 4 equal portions, roll it into balls and flatten it  between your palms to resemble the shape of a disc.Heat a wide pan and add 1 tablespoon Nutralite Garlic And Oregano Spread. Coat the potato patties with little bread crumbs and shallow fry until it turns golden brown on both the sides.Repeat with all the patties, add more Garlic And Oregano Spread if the pan turns dry.In the same griddle toast the burger base by adding some Nutralite Garlic And Oregano Spread. Toast them until crispy and light brown. Keep them aside.Now to assemble, take the base of the burger, spread a little Nutralite Cheesy Garlic Mayo, then place a lettuce, place the patty, pipe in your mustard sauce, place the sliced tomatoes and onions and sprinkle with bhujia and serve.Serve the Open Burger with Vegetable Patty Recipe with a glass of  Pomegranate Mint Cocktail Recipe and a Grilled Pineapple And Chicken Salad Recipe on the side to enjoy your meal.                                                                                                                                                       
</t>
  </si>
  <si>
    <t xml:space="preserve">Para comenzar a hacer la receta de hamburguesa abierta, lava las papas y cocínalas en una olla a presión durante 5 silbidos. Apaga el fuego y deja que la presión se libere naturalmente. Una vez cocidas, abre la tapa, escurre el exceso de comida, retira las papas, pela la piel y tritúralas bien en un tazón. Cocina la zanahoria primero en un kadai caliente con la pasta de ajo y orégano a fuego medio, luego agrega los guisantes verdes. Una vez que estén completamente cocidos, tritúralos también. Agrega puré de guisantes y zanahoria, chile rojo en polvo, harina de maíz, chiles verdes finamente picados, sal y jugo de limón al puré de papas. Mezcla bien. Divídelo en 4 porciones iguales, haz bolas y aplánalas entre las palmas para que se parezcan a la forma de un disco. Calienta una sartén ancha y agrega 1 cucharada de pasta de ajo y orégano Nutralite. Cubre las hamburguesas de papa con un poco de pan rallado y fríelas hasta que se doren por ambos lados. Repite con todas las hamburguesas, agrega más ajo y orégano si la sartén se seca. En la misma plancha tuesta la base de la hamburguesa agregando un poco de ajo y orégano Nutralite. Tuéstalas hasta que estén crujientes y ligeramente doradas. Mantenlas a un lado. Ahora para ensamblar, toma la base de la hamburguesa, unta un poco de mayonesa de ajo con queso Nutralite, luego coloca una lechuga, coloca la hamburguesa, coloca la salsa de mostaza, coloca los tomates y las cebollas en rodajas y espolvorea con bhujia y sirve. Sirve la receta de hamburguesa abierta con hamburguesa de verduras con un vaso de receta de cóctel de menta y granada y una receta de ensalada de pollo y piña a la parrilla al lado para disfrutar de tu comida.                                                                                                                                                       
</t>
  </si>
  <si>
    <t xml:space="preserve">Pour commencer à préparer la recette de l'Open Burger, lavez les pommes de terre et faites-les cuire dans un autocuiseur pendant 5 sifflements. Éteignez le feu et laissez la pression se relâcher naturellement. Une fois cuites, ouvrez le couvercle, égouttez l'excédent, retirez les pommes de terre, épluchez la peau et écrasez-les bien dans un bol. Faites d'abord cuire la carotte sur un kadai chaud avec la tartinade à l'ail et à l'origan à feu moyen, puis ajoutez les petits pois. Une fois bien cuits, écrasez-les également. Ajoutez les petits pois et la carotte écrasés, la poudre de piment rouge, la farine de maïs, les piments verts finement hachés, le sel et le jus de citron vert à la purée de pommes de terre. Bien mélanger. Divisez-la en 4 portions égales, roulez-la en boules et aplatissez-la entre vos paumes pour ressembler à un disque. Faites chauffer une grande poêle et ajoutez 1 cuillère à soupe de tartinade à l'ail et à l'origan Nutralite. Enrobez les galettes de pommes de terre d'un peu de chapelure et faites-les frire jusqu'à ce qu'elles deviennent dorées des deux côtés. Répétez l'opération avec toutes les galettes, ajoutez plus de tartinade à l'ail et à l'origan si la poêle devient sèche. Dans la même plaque chauffante, faites griller la base du burger en ajoutant un peu de tartinade à l'ail et à l'origan Nutralite. Faites-les griller jusqu'à ce qu'ils soient croustillants et légèrement dorés. Gardez-les de côté. Maintenant, pour assembler, prenez la base du burger, étalez un peu de mayonnaise à l'ail et au fromage Nutralite, puis placez une laitue, placez la galette, versez votre sauce moutarde, placez les tomates et les oignons tranchés et saupoudrez de bhujia et servez. Servez la recette de burger ouvert avec galette de légumes avec un verre de recette de cocktail à la menthe et à la grenade et une recette de salade d'ananas et de poulet grillés à côté pour savourer votre repas.                                                                                                                                                       
</t>
  </si>
  <si>
    <t>http://www.archanaskitchen.com/open-burger-with-vegetable-patty-recipe</t>
  </si>
  <si>
    <t>Chocolate Espresso Custard Pudding Recipe</t>
  </si>
  <si>
    <t>Rezept für Schokoladen-Espresso-Pudding</t>
  </si>
  <si>
    <t>Recette de pudding expresso au chocolat</t>
  </si>
  <si>
    <t>Receta de pudín de chocolate y espresso</t>
  </si>
  <si>
    <t>2-1/2 tasses de lait, 1/4 tasse de sucre en poudre, 2 cuillères à soupe de farine de maïs - ou de farine, 1-1/2 cuillères à soupe de poudre de cacao, 1 cuillère à soupe de poudre d'espresso, 4 cuillères à soupe de barre de chocolat - finement hachée, 1/2 tasse de crème à fouetter épaisse, cerises fraîches - pour la garniture, copeaux de chocolat - pour la garniture</t>
  </si>
  <si>
    <t>2-1/2 cups Milk,1/4 cup Caster Sugar,2 tablespoons Corn flour - or flour,1-1/2 tablespoons Cocoa Powder,1 tablespoon Espresso Powder,4 tablespoon Chocolate Bar - finely chopped,1/2 cup Heavy whipping cream,Fresh Cherries - for garnish,Chocolate Shavings - for garnish</t>
  </si>
  <si>
    <t>2-1/2 tazas de leche, 1/4 taza de azúcar extrafino, 2 cucharadas de harina de maíz (o harina de trigo), 1-1/2 cucharadas de cacao en polvo, 1 cucharada de café expreso en polvo, 4 cucharadas de barra de chocolate finamente picada, 1/2 taza de crema batida espesa, cerezas frescas (para decorar), virutas de chocolate (para decorar)</t>
  </si>
  <si>
    <t xml:space="preserve">To begin making the Chocolate Espresso Custard Pudding Recipe, in a small bowl, mix in 1/2 cup of milk with cocoa powder and cornstarch. Whisk using a hand mixer to avoid lumps. Run this mixture through a strainer and set aside.Add milk to a saucepan and bring it to boil. Once the milk starts to boil, reduce the heat and whisk in sugar and espresso powder.Stir continuously to avoid scorching the bottom of the sauce pan and cook for 3-4 minutes on low flame. Now add in semi-sweet chocolate along with cocoa and cornstarch mixture. Stir until the chocolate pudding starts to thicken and coat back side of the spoon. Run this mixture through a strainer to avoid lumps and pour it into the desired cups or glasses.Chill the chocolate espresso pudding in the refrigerator for at least 4 hours until set.Once set serve Chocolate Espresso Custard Pudding garnishing with swirl of whipping cream topped,  fresh cherry and Luvit Crazy Pops or you can even garnish with chocolate curls.Serve the Chocolate Espresso Custard Pudding Recipe as a dessert party recipe or on a special occasion like Valentine Day and your loved ones will surely love this recipe.Serve Chocolate Espresso Custard Pudding as dessert after a meal of Baked Pasta Recipe with Paneer and Spinach, Garlic Knot Recipe and  Lavender Lemonade Cooler Recipe.
</t>
  </si>
  <si>
    <t>Para empezar a hacer la receta de pudín de crema pastelera de chocolate y espresso, en un tazón pequeño, mezcle 1/2 taza de leche con cacao en polvo y maicena. Bata con una batidora de mano para evitar grumos. Pase esta mezcla por un colador y reserve. Agregue la leche a una cacerola y llévela a ebullición. Una vez que la leche comience a hervir, reduzca el fuego y agregue el azúcar y el polvo de espresso. Revuelva continuamente para evitar quemar el fondo de la cacerola y cocine durante 3-4 minutos a fuego lento. Ahora agregue el chocolate semidulce junto con la mezcla de cacao y maicena. Revuelva hasta que el pudín de chocolate comience a espesar y cubra el dorso de la cuchara. Pasa esta mezcla por un colador para evitar grumos y viértela en las tazas o vasos deseados. Enfría el pudín de chocolate espresso en el refrigerador durante al menos 4 horas hasta que cuaje. Una vez que cuaje, sirve el pudín de crema pastelera de chocolate espresso decorándolo con un remolino de crema batida, cereza fresca y Luvit Crazy Pops o incluso puedes decorarlo con rizos de chocolate. Sirve la receta de pudín de crema pastelera de chocolate espresso como una receta de postre para una fiesta o en una ocasión especial como el Día de San Valentín y a tus seres queridos seguramente les encantará esta receta. Sirve el pudín de crema pastelera de chocolate espresso como postre después de una comida de la receta de pasta al horno con paneer y espinacas, la receta de nudo de ajo y la receta de limonada refrescante de lavanda.</t>
  </si>
  <si>
    <t>Pour commencer à préparer la recette de pudding au chocolat et à l'espresso, dans un petit bol, mélangez 1/2 tasse de lait avec la poudre de cacao et la fécule de maïs. Fouettez à l'aide d'un batteur à main pour éviter les grumeaux. Passez ce mélange au tamis et réservez. Ajoutez le lait dans une casserole et portez à ébullition. Une fois que le lait commence à bouillir, réduisez le feu et incorporez le sucre et la poudre d'espresso en fouettant. Remuez continuellement pour éviter de brûler le fond de la casserole et laissez cuire 3 à 4 minutes à feu doux. Ajoutez ensuite le chocolat mi-sucré ainsi que le mélange de cacao et de fécule de maïs. Remuez jusqu'à ce que le pudding au chocolat commence à épaissir et nappe le dos de la cuillère. Passez ce mélange au tamis pour éviter les grumeaux et versez-le dans les tasses ou les verres souhaités. Laissez refroidir le pouding au chocolat et à l'espresso au réfrigérateur pendant au moins 4 heures jusqu'à ce qu'il soit pris. Une fois pris, servez le pouding au chocolat et à l'espresso en le garnissant d'un tourbillon de crème fouettée, de cerises fraîches et de Luvit Crazy Pops ou vous pouvez même le garnir de copeaux de chocolat. Servez la recette de pouding au chocolat et à l'espresso comme dessert pour une fête ou pour une occasion spéciale comme la Saint-Valentin et vos proches adoreront sûrement cette recette. Servez le pouding au chocolat et à l'espresso comme dessert après un repas composé de pâtes cuites au four avec du paneer et des épinards, de nœuds à l'ail et de limonade rafraîchissante à la lavande.</t>
  </si>
  <si>
    <t>http://www.archanaskitchen.com/chocolate-espresso-custard-pudding-recipe</t>
  </si>
  <si>
    <t>Five Spice Bean Burger Recipe</t>
  </si>
  <si>
    <t>Rezept für Bohnenburger mit fünf Gewürzen</t>
  </si>
  <si>
    <t>Recette de burgers de haricots aux cinq épices</t>
  </si>
  <si>
    <t>Receta de hamburguesa de frijoles con cinco especias</t>
  </si>
  <si>
    <t>5 cm de bâton de cannelle (Dalchini), 1/2 cuillère à café de clous de girofle (Laung), 1 cuillère à café de graines de fenouil (Saunf), 1 anis étoilé, 1 cuillère à café de grains de poivre noir entiers, 200 grammes de haricots Great Northern (boîte), 1/2 tasse de chapelure de blé entier, 1 œuf entier (battu), 1/2 cuillère à café de poudre de poivre noir, 1 cuillère à café de poudre d'ail, 2 cuillères à soupe de feuilles de coriandre (Dhania) hachées, 1 cuillère à soupe de sauce soja, 1 cuillère à café de sucre, 1 cuillère à café de jus de citron, 1 cuillère à café d'huile d'olive extra vierge, 1 cuillère à soupe d'huile de tournesol, 1 cuillère à café de poudre de 5 épices chinoises, sel (au goût), 3 pains à hamburger, tranches de fromage (au besoin), 2 cuillères à soupe de mayonnaise classique (avec œuf) (ou au besoin), mesclun</t>
  </si>
  <si>
    <t>2 inch Cinnamon Stick (Dalchini),1/2 teaspoon Cloves (Laung),1 teaspoon Fennel seeds (Saunf),1 Star anise,1 teaspoon Whole Black Peppercorns,200 grams Great Northern Beans - can,1/2 cup Whole Wheat Bread crumbs,1 Whole Egg - beaten,1/2 teaspoon Black pepper powder,1 teaspoon Garlic powder,2 tablespoon Coriander (Dhania) Leaves - chopped,1 tablespoon Soy sauce,1 teaspoon Sugar,1 teaspoon Lemon juice,1 teaspoon Extra Virgin Olive Oil,1 tablespoon Sunflower Oil,1 teaspoon Chinese 5 Spice Powder,Salt - to taste,3 Burger buns,Cheese Slices - as needed,2 tablespoon Classic Mayonnaise (With Egg) - or as needed,Mixed Greens</t>
  </si>
  <si>
    <t>2 pulgadas de rama de canela (Dalchini), 1/2 cucharadita de clavos de olor (Laung), 1 cucharadita de semillas de hinojo (Saunf), 1 anís estrellado, 1 cucharadita de granos de pimienta negra enteros, 200 gramos de frijoles blancos grandes - lata, 1/2 taza de pan rallado integral, 1 huevo entero - batido, 1/2 cucharadita de pimienta negra en polvo, 1 cucharadita de ajo en polvo, 2 cucharadas de hojas de cilantro (Dhania) - picadas, 1 cucharada de salsa de soja, 1 cucharadita de azúcar, 1 cucharadita de jugo de limón, 1 cucharadita de aceite de oliva virgen extra, 1 cucharada de aceite de girasol, 1 cucharadita de polvo de 5 especias chinas, sal - al gusto, 3 panecillos de hamburguesa, lonchas de queso - al gusto, 2 cucharadas de mayonesa clásica (con huevo) - o al gusto, verduras mixtas</t>
  </si>
  <si>
    <t xml:space="preserve">To start making Five Spice Bean Burger, drain the beans to a medium bowl, reserving the liquid.Mash the beans using a potato masher. Add bread crumbs, egg, pepper, garlic powder, soy sauce, sugar, lemon juice, cilantro, five spice powder with required salt.Mix all the ingredients until the mixture comes together. Divide the patty mixture into equal portions and shape into patties by rolling the balls between your palms, and then slightly press them to resemble disc like shapes. Heat a tablespoon of vegetable oil in a cast iron skillet over medium high heat.Place the patties and cook, turning once, until a crisp crust forms on both sides.Place the cheese slice on the top of cooked burger patty, once it starts to melt, turn off the heat and place the patty onto a plate.Meanwhile, cut the burger buns into half horizontally and toast them on a skillet.Once the burger buns are toasted, spread the mayo on each warm burger bun.Start layering the burger by adding lettuce then layer the cooked burger bean patties and cover with the top burger bun.Serve the Five Spice Bean Burgers warm for a wholesome weeknight dinner along with Baked Potato Wedge. Followed by a dessert of Greek Yogurt Chocolate Mousse Recipe. 
</t>
  </si>
  <si>
    <t>Para empezar a hacer la hamburguesa de frijoles con cinco especias, escurra los frijoles en un tazón mediano, reservando el líquido. Triture los frijoles con un machacador de papas. Agregue pan rallado, huevo, pimienta, ajo en polvo, salsa de soja, azúcar, jugo de limón, cilantro, polvo de cinco especias con la sal requerida. Mezcle todos los ingredientes hasta que la mezcla se una. Divida la mezcla de hamburguesas en porciones iguales y forme hamburguesas haciendo rodar las bolas entre las palmas de las manos y luego presiónelas ligeramente para que se parezcan a formas de disco. Calienta una cucharada de aceite vegetal en una sartén de hierro fundido a fuego medio-alto. Coloca las hamburguesas y cocina, volteándolas una vez, hasta que se forme una costra crujiente por ambos lados. Coloca la loncha de queso encima de la hamburguesa cocida; una vez que empiece a derretirse, apaga el fuego y coloca la hamburguesa en un plato. Mientras tanto, corta los panecillos de hamburguesa por la mitad horizontalmente y tuéstalos en una sartén. Una vez tostados los panecillos, unta la mayonesa en cada panecillo tibio. Comienza a hacer capas en la hamburguesa añadiendo lechuga, luego coloca las hamburguesas de frijoles cocidas y cúbrelas con el panecillo superior. Sirve las hamburguesas de frijoles con cinco especias calientes para una cena saludable entre semana junto con las patatas gajo al horno. Seguido de un postre de mousse de chocolate con yogur griego.</t>
  </si>
  <si>
    <t>Pour commencer à préparer le burger aux haricots aux cinq épices, égouttez les haricots dans un bol moyen en réservant le liquide. Écrasez les haricots à l'aide d'un presse-purée. Ajoutez la chapelure, l'œuf, le poivre, la poudre d'ail, la sauce soja, le sucre, le jus de citron, la coriandre, la poudre aux cinq épices avec le sel requis. Mélangez tous les ingrédients jusqu'à ce que le mélange soit homogène. Divisez le mélange de galettes en portions égales et façonnez des galettes en roulant les boules entre vos paumes, puis appuyez légèrement dessus pour leur donner des formes de disque. Chauffer une cuillère à soupe d'huile végétale dans une poêle en fonte à feu moyen-vif. Placer les steaks hachés et cuire, en les retournant une fois, jusqu'à ce qu'une croûte croustillante se forme des deux côtés. Déposer la tranche de fromage sur le dessus du steak haché cuit. Lorsqu'il commence à fondre, éteindre le feu et placer le steak haché sur une assiette. Pendant ce temps, couper les pains à hamburger en deux horizontalement et les faire griller dans une poêle. Une fois les pains à hamburger grillés, tartiner de mayonnaise sur chaque pain à hamburger chaud. Commencer à superposer les steaks hachés en ajoutant de la laitue, puis les steaks hachés de haricots cuits et recouvrir avec le pain à hamburger supérieur. Servir les burgers aux haricots cinq épices chauds pour un dîner sain en semaine, accompagnés d'un quartier de pommes de terre au four. Suivre un dessert : une recette de mousse au chocolat et au yaourt grec.</t>
  </si>
  <si>
    <t>http://www.archanaskitchen.com/five-spice-bean-burger-recipe</t>
  </si>
  <si>
    <t>Lemon Poppy Seeds Pancakes recipe</t>
  </si>
  <si>
    <t>Rezept für Zitronen-Mohn-Pfannkuchen</t>
  </si>
  <si>
    <t>Recette de crêpes au citron et aux graines de pavot</t>
  </si>
  <si>
    <t>Receta de panqueques de limón y semillas de amapola</t>
  </si>
  <si>
    <t>1 tasse de farine tout usage (Maida), 2 cuillères à café de sucre, 1/2 cuillère à café de sel, 1/2 cuillère à café de levure chimique, 1/2 cuillère à café de bicarbonate de soude, 1 cuillère à café de zeste de citron, 1 cuillère à café de graines de pavot - blanches, 3/4 tasse de babeurre, 1/4 tasse d'eau, 1/2 cuillère à café d'extrait de vanille, 1 cuillère à soupe de jus de citron, 1 œuf entier, 2 cuillères à soupe d'huile de tournesol, beurre - au besoin</t>
  </si>
  <si>
    <t>1 cup All Purpose Flour (Maida),2 teaspoons Sugar,1/2 teaspoon Salt,1/2 teaspoon Baking powder,1/2 teaspoon Baking soda,1 teaspoon Lemon zest,1 teaspoon Poppy seeds - white,3/4 cup Buttermilk,1/4 cup Water,1/2 teaspoon Vanilla Extract,1 tablespoon Lemon juice,1 Whole Egg,2 tablespoons Sunflower Oil,Butter - as needed</t>
  </si>
  <si>
    <t>1 taza de harina para todo uso (Maida), 2 cucharaditas de azúcar, 1/2 cucharadita de sal, 1/2 cucharadita de polvo para hornear, 1/2 cucharadita de bicarbonato de sodio, 1 cucharadita de ralladura de limón, 1 cucharadita de semillas de amapola - blancas, 3/4 taza de suero de leche, 1/4 taza de agua, 1/2 cucharadita de extracto de vainilla, 1 cucharada de jugo de limón, 1 huevo entero, 2 cucharadas de aceite de girasol, mantequilla - según sea necesario</t>
  </si>
  <si>
    <t xml:space="preserve">To begin making Lemon Poppy Seeds Pancakes, first combine the dry ingredients in a mixing bowl. Add the flour, sugar, salt, baking soda, baking powder, lemon zest, poppy seeds and mix well. Set this aside while you prepare the wet ingredients.In another bowl whisk together the egg with buttermilk, lemon juice, vanilla extract, oil and water.Heat a griddle over medium heat and brush generously with butter.Make a well in the centre of the dry ingredients and pour the wet ingredients into it slowly, while stirring to combine. Ensure that there are no lumps.When the griddle is hot enough pour about 1/4 cup of prepared batter in small circles. Do not spread the batter.Allow the pancakes to cook on a medium heat. When they are cooked, the top begins to bubble slightly and the edges get firm. Using a spatula, flip the pancakes over and and cook on the other side for a minute or two.Serve the Lemon Poppy Seeds Pancakes hot top with some fresh fruits and syrup of your choice along with Mulled Apple Juice for breakfast, or as snack box recipe.
</t>
  </si>
  <si>
    <t>Para empezar a preparar los panqueques de limón y semillas de amapola, primero combine los ingredientes secos en un tazón. Añada la harina, el azúcar, la sal, el bicarbonato, el polvo para hornear, la ralladura de limón y las semillas de amapola y mezcle bien. Reserve mientras prepara los ingredientes húmedos. En otro tazón, bata el huevo con el suero de leche, el jugo de limón, el extracto de vainilla, el aceite y el agua. Caliente una plancha a fuego medio y unte generosamente con mantequilla. Haga un hueco en el centro de los ingredientes secos y vierta los ingredientes húmedos lentamente, revolviendo para combinar. Asegúrese de que no queden grumos. Cuando la plancha esté lo suficientemente caliente, vierta aproximadamente 1/4 de taza de la masa preparada en pequeños círculos. No extienda la masa. Deje que los panqueques se cocinen a fuego medio. Cuando estén cocidos, la superficie comenzará a burbujear ligeramente y los bordes se endurecerán. Con una espátula, voltee los panqueques y cocínelos por el otro lado durante uno o dos minutos. Sirva los panqueques de limón y semillas de amapola calientes con algunas frutas frescas y el jarabe de su elección junto con jugo de manzana caliente para el desayuno o como una receta para una merienda.</t>
  </si>
  <si>
    <t>Pour préparer des pancakes citron-graines de pavot, mélangez d'abord les ingrédients secs dans un saladier. Ajoutez la farine, le sucre, le sel, le bicarbonate de soude, la levure chimique, le zeste de citron et les graines de pavot, puis mélangez bien. Réservez le tout pendant la préparation des ingrédients humides. Dans un autre saladier, fouettez l'œuf avec le babeurre, le jus de citron, l'extrait de vanille, l'huile et l'eau. Faites chauffer une plaque de cuisson à feu moyen et badigeonnez-la généreusement de beurre. Faites un puits au centre des ingrédients secs et versez-y lentement les ingrédients humides, tout en remuant pour bien mélanger. Assurez-vous qu'il n'y ait pas de grumeaux. Lorsque la plaque est suffisamment chaude, versez environ 60 ml de pâte préparée en petits cercles. Ne l'étalez pas. Laissez cuire les pancakes à feu moyen. Une fois cuits, le dessus commence à bouillonner légèrement et les bords deviennent fermes. À l'aide d'une spatule, retournez les crêpes et faites-les cuire de l'autre côté pendant une minute ou deux. Servez les crêpes au citron et aux graines de pavot chaudes avec des fruits frais et du sirop de votre choix, ainsi que du jus de pomme chaud, pour le petit-déjeuner ou comme recette de boîte à collation.</t>
  </si>
  <si>
    <t>http://www.archanaskitchen.com/lemon-poppy-seeds-pancakes-recipe</t>
  </si>
  <si>
    <t>Almond Butter &amp; Fig Muesli Bar Recipe</t>
  </si>
  <si>
    <t>Rezept für Müsliriegel mit Mandelbutter und Feigen</t>
  </si>
  <si>
    <t>Recette de barres de muesli au beurre d'amandes et aux figues</t>
  </si>
  <si>
    <t>Receta de barra de muesli con mantequilla de almendras e higos</t>
  </si>
  <si>
    <t>1 tasse de muesli, 2 cuillères à soupe d'huile de coco, 1/2 tasse de badam (amande), 1/4 tasse de miel, 1/2 cuillère à café d'extrait de vanille, 6 figues séchées - grossièrement hachées, 1 pincée de sel</t>
  </si>
  <si>
    <t>1 cup Muesli,2 tablespoons Coconut Oil,1/2 cup Badam (Almond),1/4 cup Honey,1/2 teaspoon Vanilla Extract,6 Dried Figs - roughly chopped,1 Pinch Salt</t>
  </si>
  <si>
    <t>1 taza de muesli, 2 cucharadas de aceite de coco, 1/2 taza de Badam (almendras), 1/4 taza de miel, 1/2 cucharadita de extracto de vainilla, 6 higos secos picados gruesamente, 1 pizca de sal</t>
  </si>
  <si>
    <t xml:space="preserve">To begin making the Almond Butter &amp; Fig Muesli Bar Recipe, we will first start with making the almond butter by preheating the oven to 180 degree Celsius for 10 minutes. Spread the almonds on a tray and bake it for about 10 minutes until it turns golden brown.Once done, allow the almonds to cool for 2 minutes and blitz it in a food processor, let it run for about 10-20 minutes. Be patient enough, because this might take some time till the almonds releases its oil out. Add the coconut oil while it is grinding.At one point the powder will start to become like a thick paste when that stage reaches you can turn it off.Add the dried figs into the blender and make a coarse chunky mixture.Now add this almond butter in a bowl, figs, muesli to it and mix well. Combine it and then layer it on a flat tray and press it tightly. Refrigerate for 30 minutes and cut it out into desired shapes. Serve the Almond Butter Muesli Bars Recipe as a healthy snack for kids or an evening snack during the evening time.
</t>
  </si>
  <si>
    <t>Para comenzar a hacer la Receta de Barra de Muesli de Mantequilla de Almendras e Higos, primero comenzaremos haciendo la mantequilla de almendras precalentando el horno a 180 grados Celsius durante 10 minutos. Extiende las almendras en una bandeja y hornéalas durante unos 10 minutos hasta que se doren. Una vez hecho esto, deja que las almendras se enfríen durante 2 minutos y tritúralas en un procesador de alimentos, déjalo funcionar durante unos 10-20 minutos. Ten paciencia, porque esto puede tomar algún tiempo hasta que las almendras liberen su aceite. Agrega el aceite de coco mientras se muele. En un punto, el polvo comenzará a convertirse en una pasta espesa, cuando llegue a esa etapa puedes apagarla. Agrega los higos secos a la licuadora y haz una mezcla gruesa y grumosa. Ahora agrega esta mantequilla de almendras en un tazón, los higos, el muesli y mezcla bien. Combínalo y luego colócalo en capas en una bandeja plana y presiónalo firmemente. Refrigera durante 30 minutos y córtalo en las formas deseadas. Sirva la receta de barras de muesli con mantequilla de almendras como un refrigerio saludable para los niños o como un tentempié por la tarde.</t>
  </si>
  <si>
    <t>Pour commencer à préparer la recette de la barre de muesli au beurre d'amande et aux figues, nous commencerons d'abord par préparer le beurre d'amande en préchauffant le four à 180 degrés Celsius pendant 10 minutes. Étalez les amandes sur une plaque et faites-les cuire pendant environ 10 minutes jusqu'à ce qu'elles deviennent dorées. Une fois cela fait, laissez les amandes refroidir pendant 2 minutes et mixez-les dans un robot culinaire, laissez-le fonctionner pendant environ 10 à 20 minutes. Soyez assez patient, car cela peut prendre un certain temps avant que les amandes ne libèrent leur huile. Ajoutez l'huile de coco pendant qu'il broie. À un moment donné, la poudre commencera à devenir comme une pâte épaisse lorsque ce stade atteint, vous pouvez l'éteindre. Ajoutez les figues séchées dans le mélangeur et faites un mélange grossier et épais. Maintenant, ajoutez ce beurre d'amande dans un bol, les figues, le muesli et mélangez bien. Combinez-le, puis superposez-le sur une plaque plate et appuyez fermement. Réfrigérez pendant 30 minutes et découpez-le dans les formes souhaitées. Servez la recette de barres de muesli au beurre d'amandes comme collation saine pour les enfants ou comme collation en soirée.</t>
  </si>
  <si>
    <t>https://www.archanaskitchen.com/almond-butter-muesli-bars-with-figs-recipe</t>
  </si>
  <si>
    <t>Basic Homemade Bread Recipe Using Yeast</t>
  </si>
  <si>
    <t>Grundrezept für selbstgebackenes Brot mit Hefe</t>
  </si>
  <si>
    <t>Recette de base pour le pain maison à la levure</t>
  </si>
  <si>
    <t>Receta básica de pan de levadura casero</t>
  </si>
  <si>
    <t>6-1/2 tasses de farine tout usage (Maida), 2 cuillères à café de levure sèche active, 3 cuillères à soupe de sucre, 1 cuillère à soupe de sel, 2 tasses d'eau tiède - eau, 2 cuillères à soupe d'huile de tournesol - ou n'importe quelle huile</t>
  </si>
  <si>
    <t>6-1/2 cups All Purpose Flour (Maida),2 teaspoons Active dry yeast,3 tablespoons Sugar,1 tablespoon Salt,2 cups Lukewarm Water - water,2 tablespoons Sunflower Oil - or any oil</t>
  </si>
  <si>
    <t>6-1/2 tazas de harina para todo uso (Maida), 2 cucharaditas de levadura seca activa, 3 cucharadas de azúcar, 1 cucharada de sal, 2 tazas de agua tibia - agua, 2 cucharadas de aceite de girasol - o cualquier aceite</t>
  </si>
  <si>
    <t xml:space="preserve">To begin making the Homemade Bread with yeast, first prep all your ingredients and keep them ready.Into a large mixing bowl or the bowl of the stand mixer, add the flour, salt, sugar and instant dry yeast. If you are using yeast that needs to be proofed, then you need to add it along with the wet ingredients.Combine the above dry ingredients well. Add the water, oil (and here if using proofed yeast) and start mixing and kneading the dough until it becomes smooth.Knead well for about 10 to 15 minutes, this kneading process helps to develop gluten in the bread.At this stage the dough will be sticky - just allow it to be. Cover and rest for about 2 hours.The dough would have doubled its size. The next step is to do the 2nd rise.Grease two loaf pans of 9 x 4  or 9 x 5Remove the dough and place it on a floured surface. Divide the dough into two and shape it into loaf. Place the dough portions into the loaf pan and allow it to rise for another two hours.Once it has doubled in size, preheat the oven to 175 C.Place the homemade breads into the oven and bake for about 3o to 35 minutes until you notice the crust has a  golden brown color.Remove from the pan and immediately invert it into a cooling wire rack - when you tap the bread at the bottom it should sound little hollow.Allow the bread to cool for at least 10 to 15 minutes before you can cut and serve.
</t>
  </si>
  <si>
    <t>Para comenzar a hacer el pan casero con levadura, primero prepare todos los ingredientes y téngalos listos. En un tazón grande o en el tazón de la batidora de pedestal, agregue la harina, la sal, el azúcar y la levadura seca instantánea. Si está usando levadura que necesita ser leudada, entonces necesita agregarla junto con los ingredientes húmedos. Combine bien los ingredientes secos anteriores. Agregue el agua, el aceite (y aquí si usa levadura leudada) y comience a mezclar y amasar la masa hasta que esté suave. Amase bien durante unos 10 a 15 minutos, este proceso de amasado ayuda a desarrollar el gluten en el pan. En esta etapa, la masa estará pegajosa, solo déjela estar. Cubra y deje reposar durante aproximadamente 2 horas. La masa habrá duplicado su tamaño. El siguiente paso es hacer el segundo levado. Engrase dos moldes de pan de 9 x 4 o 9 x 5 Retire la masa y colóquela sobre una superficie enharinada. Divida la masa en dos y forme un pan. Coloque las porciones de masa en el molde para pan y déjelas reposar durante dos horas más. Una vez que haya duplicado su tamaño, precaliente el horno a 175 °C. Coloque los panes caseros en el horno y hornéelos durante unos 30 a 35 minutos hasta que note que la corteza tiene un color marrón dorado. Retire del molde e inmediatamente inviértalo en una rejilla para enfriar; cuando golpee el pan en la parte inferior, debe sonar un poco hueco. Deje que el pan se enfríe durante al menos 10 a 15 minutos antes de poder cortarlo y servirlo.</t>
  </si>
  <si>
    <t>Pour commencer à faire du pain maison avec de la levure, préparez d'abord tous vos ingrédients et gardez-les prêts. Dans un grand bol à mélanger ou dans le bol du batteur sur socle, ajoutez la farine, le sel, le sucre et la levure sèche instantanée. Si vous utilisez de la levure qui doit être levée, vous devez l'ajouter avec les ingrédients humides. Mélangez bien les ingrédients secs ci-dessus. Ajoutez l'eau, l'huile (et ici si vous utilisez de la levure levée) et commencez à mélanger et à pétrir la pâte jusqu'à ce qu'elle devienne lisse. Pétrissez bien pendant environ 10 à 15 minutes, ce processus de pétrissage aide à développer le gluten dans le pain. À ce stade, la pâte sera collante - laissez-la simplement l'être. Couvrez et laissez reposer pendant environ 2 heures. La pâte aura doublé de volume. L'étape suivante consiste à faire la 2ème levée. Graissez deux moules à pain de 9 x 4 ou 9 x 5. Retirez la pâte et placez-la sur une surface farinée. Divisez la pâte en deux et façonnez-la en pain. Placez les portions de pâte dans le moule à pain et laissez-la lever pendant encore deux heures. Une fois qu'elle a doublé de volume, préchauffez le four à 175 °C. Placez les pains faits maison dans le four et faites-les cuire pendant environ 30 à 35 minutes jusqu'à ce que vous remarquiez que la croûte a une couleur brun doré. Retirez-la du moule et retournez-la immédiatement sur une grille de refroidissement - lorsque vous tapez sur le pain au fond, il doit sonner un peu creux. Laissez le pain refroidir pendant au moins 10 à 15 minutes avant de pouvoir le couper et le servir.</t>
  </si>
  <si>
    <t>https://www.archanaskitchen.com/basic-homemade-bread-recipe-using-yeast</t>
  </si>
  <si>
    <t>Homemade Chocolate Sauce Recipe</t>
  </si>
  <si>
    <t>Rezept für hausgemachte Schokoladensauce</t>
  </si>
  <si>
    <t>Recette de sauce au chocolat maison</t>
  </si>
  <si>
    <t>Receta de salsa de chocolate casera</t>
  </si>
  <si>
    <t>3/4 tasse de sucre, 1/2 tasse de poudre de cacao, 1 cuillère à soupe de farine tout usage (Maida), 1 pincée de sel, 1-1/4 tasse de lait, 1 cuillère à soupe de beurre, 1 cuillère à café d'extrait de vanille</t>
  </si>
  <si>
    <t>3/4 cup Sugar,1/2 cup Cocoa Powder,1 tablespoon All Purpose Flour (Maida),1 pinch Salt,1-1/4 cup Milk,1 tablespoon Butter,1 teaspoon Vanilla Extract</t>
  </si>
  <si>
    <t>3/4 taza de azúcar, 1/2 taza de cacao en polvo, 1 cucharada de harina para todo uso (Maida), 1 pizca de sal, 1-1/4 taza de leche, 1 cucharada de mantequilla, 1 cucharadita de extracto de vainilla</t>
  </si>
  <si>
    <t xml:space="preserve">To begin making Homemade Chocolate Sauce, in a mixing bowl, combine the sugar, cocoa powder, flour, and salt, along with 1/2 cup of the milk and whisk to combine into a thick paste.Add the remaining milk into a saucepan and add the thick chocolate paste into this pan and bring the mixture to a boil.When sauce the sauce comes to a brisk boil, reduce the heat to low and simmer very gently for 5 to 8 minutes, Stirring continuously.Whisk it well to blend thoroughly. Keep stirring the sauce while it is on heat and allow the homemade chocolate sauce to thicken gradually.Once done, give the homemade chocolate sauce a taste to see if the sugar it right.Once done, remove from heat, stir in the vanilla extract and butter, and let the homemade chocolate sauce cool completely.Store the homemade chocolate sauce in the refrigerator for up to 2 weeks in a sterilised jar.Serve Homemade Chocolate Sauce Recipe over a scoop of vanilla ice cream placed on warm Date And Walnut Whole Wheat Eggless Brownie Recipe and your brownie sundae is ready.
</t>
  </si>
  <si>
    <t>Para comenzar a hacer salsa de chocolate casera, en un tazón, combine el azúcar, el cacao en polvo, la harina y la sal, junto con 1/2 taza de leche y bata para combinar en una pasta espesa. Agregue la leche restante en una cacerola y agregue la pasta de chocolate espesa a esta cacerola y hierva la mezcla. Cuando la salsa hierva rápidamente, reduzca el fuego a bajo y cocine a fuego lento durante 5 a 8 minutos, revolviendo continuamente. Bátalo bien para mezclar completamente. Sigue removiendo la salsa mientras esté caliente y deja que la salsa de chocolate casera espese gradualmente. Una vez lista, prueba la salsa de chocolate casera para ver si el azúcar está bien. Una vez lista, retira del fuego, agrega el extracto de vainilla y la mantequilla, y deja que la salsa de chocolate casera se enfríe por completo. Guarda la salsa de chocolate casera en el refrigerador hasta por 2 semanas en un frasco esterilizado. Sirve la Receta de Salsa de Chocolate Casera sobre una bola de helado de vainilla colocada sobre la Receta de Brownie Sin Huevo de Trigo Integral con Dátiles y Nueces tibia y tu sundae de brownie estará listo.</t>
  </si>
  <si>
    <t>Pour commencer à préparer une sauce au chocolat maison, dans un bol, mélanger le sucre, la poudre de cacao, la farine et le sel, ainsi que 1/2 tasse de lait et fouetter pour obtenir une pâte épaisse. Ajouter le reste du lait dans une casserole et ajouter la pâte de chocolat épaisse dans cette casserole et porter le mélange à ébullition. Lorsque la sauce arrive à ébullition rapide, réduire le feu à doux et laisser mijoter très doucement pendant 5 à 8 minutes, en remuant continuellement. Bien fouetter pour bien mélanger. Continuez à remuer la sauce pendant qu'elle est sur le feu et laissez la sauce au chocolat maison épaissir progressivement. Une fois terminée, goûtez la sauce au chocolat maison pour voir si le sucre est bon. Une fois terminée, retirez du feu, incorporez l'extrait de vanille et le beurre et laissez la sauce au chocolat maison refroidir complètement. Conservez la sauce au chocolat maison au réfrigérateur jusqu'à 2 semaines dans un bocal stérilisé. Servez la recette de sauce au chocolat maison sur une boule de glace à la vanille placée sur une recette de brownie au blé entier sans œufs aux dattes et aux noix chaude et votre coupe glacée au brownie est prête.</t>
  </si>
  <si>
    <t>https://www.archanaskitchen.com/homemade-chocolate-sauce-recipe</t>
  </si>
  <si>
    <t>Mushroom Masala Cheese Omelette Recipe</t>
  </si>
  <si>
    <t>Rezept für Pilz-Masala-Käse-Omelett</t>
  </si>
  <si>
    <t>Recette d'omelette au fromage et aux champignons Masala</t>
  </si>
  <si>
    <t>Receta de tortilla de queso masala y champiñones</t>
  </si>
  <si>
    <t>2 œufs entiers, 10 champignons de Paris grossièrement hachés, 1/2 oignon finement haché, 1 piment vert finement haché, 1/2 tomate finement hachée, 4 olives noires finement hachées, 1 cuillère à soupe de fromage râpé, feuilles de coriandre (Dhania) hachées, un petit bouquet, sel et poivre au goût, 1 cuillère à café d'huile de tournesol pour la cuisson</t>
  </si>
  <si>
    <t>2 Whole Eggs,10 Button mushrooms - roughly chopped,1/2 Onion - finely chopped,1 Green Chilli - finely chopped,1/2 Tomato - finely chopped,4 Black olives - finely chopped,1 tablespoon Cheese - grated,Coriander (Dhania) Leaves - a small bunch chopped,Salt and Pepper - to taste,1 teaspoon Sunflower Oil - for cooking</t>
  </si>
  <si>
    <t>2 huevos enteros, 10 champiñones picados gruesos, 1/2 cebolla picada finamente, 1 chile verde picado fino, 1/2 tomate picado fino, 4 aceitunas negras picadas finamente, 1 cucharada de queso rallado, hojas de cilantro (Dhania) picadas en un pequeño manojo, sal y pimienta al gusto, 1 cucharadita de aceite de girasol para cocinar.</t>
  </si>
  <si>
    <t xml:space="preserve">To begin making Mushroom Masala Omelette Recipe, first prep all the ingredients and keep them ready.In a mixing bowl, break the eggs and whisk them up well along with salt, pepper, olives, cheese and tomatoes. Keep this aside.Heat oil in an omelette pan over medium heat; add the mushrooms, onions and green chillies and saute until the onions and mushrooms are slightly roasted. Once roasted, add the egg omelette cheese mixture into the roasted onion and mushrooms.Swirl the pan to spread the omelette mixture and gently combine the onions and mushrooms and spread it around.Keep the heat on low and cook the omelette until you notice the top is getting steamed and cooked. You can also optionally cover the pan and cook the omelette faster.Once the top is cooked, fold the omelette into half and cook for another few minutes is required and turn off the heat. You can also optionally flip the omelette and cook it on both sides.Serve the Mushroom Masala Omelette along with a Toast, fruits and a cup of Masala Chai or Filter Coffee.
</t>
  </si>
  <si>
    <t>Para comenzar a hacer la Receta de Tortilla Masala de Champiñones, primero prepare todos los ingredientes y téngalos listos. En un tazón, rompa los huevos y bátalos bien junto con la sal, la pimienta, las aceitunas, el queso y los tomates. Mantenga esto a un lado. Caliente el aceite en una sartén para tortilla a fuego medio; agregue los champiñones, las cebollas y los chiles verdes y saltee hasta que las cebollas y los champiñones estén ligeramente asados. Una vez asados, agregue la mezcla de queso de tortilla de huevo a la cebolla y los champiñones asados. Gire la sartén para esparcir la mezcla de tortilla y combine suavemente las cebollas y los champiñones y extiéndala alrededor. Mantenga el fuego bajo y cocine la tortilla hasta que note que la parte superior se está cocinando al vapor. También puede cubrir la sartén y cocinar la tortilla más rápido. Una vez que la parte superior esté cocida, doble la tortilla por la mitad y cocine durante unos minutos más si es necesario y apague el fuego. También puedes voltear la tortilla y cocinarla por ambos lados. Sirve la tortilla de champiñones y masala con una tostada, fruta y una taza de Masala Chai o café de filtro.</t>
  </si>
  <si>
    <t>Pour commencer à préparer la recette d'omelette aux champignons Masala, préparez d'abord tous les ingrédients et gardez-les prêts. Dans un saladier, cassez les œufs et fouettez-les bien avec le sel, le poivre, les olives, le fromage et les tomates. Gardez cela de côté. Faites chauffer l'huile dans une poêle à omelette à feu moyen ; ajoutez les champignons, les oignons et les piments verts et faites revenir jusqu'à ce que les oignons et les champignons soient légèrement rôtis. Une fois rôtis, ajoutez le mélange d'œufs, d'omelette et de fromage dans l'oignon rôti et les champignons. Faites tourner la poêle pour étaler le mélange d'omelette et mélangez délicatement les oignons et les champignons et étalez-le tout autour. Gardez le feu doux et faites cuire l'omelette jusqu'à ce que vous remarquiez que le dessus est cuit à la vapeur. Vous pouvez également couvrir la poêle et cuire l'omelette plus rapidement. Une fois le dessus cuit, pliez l'omelette en deux et laissez cuire encore quelques minutes si nécessaire, puis éteignez le feu. Vous pouvez également retourner l'omelette et la cuire des deux côtés. Servez l'omelette aux champignons Masala avec du pain grillé, des fruits et une tasse de Masala Chai ou de café filtre.</t>
  </si>
  <si>
    <t>https://www.archanaskitchen.com/mushroom-masala-cheese-omelette-recipe</t>
  </si>
  <si>
    <t>Roasted Beet Feta Salad Recipe</t>
  </si>
  <si>
    <t>Rezept für gerösteten Rüben-Feta-Salat</t>
  </si>
  <si>
    <t>Recette de salade de betteraves rôties et de feta</t>
  </si>
  <si>
    <t>Receta de ensalada de remolacha asada y queso feta</t>
  </si>
  <si>
    <t>2 betteraves - pelées et coupées en quartiers, 1/4 tasse de fromage feta - émietté, 1 oignon - coupé en rondelles, 2 cuillères à soupe de vinaigrette au vin rouge, 1 cuillère à soupe de miel, 2 gousses d'ail - hachées, 2 cuillères à soupe d'huile d'olive extra vierge, 2 brins de feuilles de basilic - grossièrement déchirées, sel et poivre - au goût</t>
  </si>
  <si>
    <t>2 Beetroot - peeled and cut into wedges,1/4 cup Feta Cheese - crumbled,1 Onion - cut into rings,2 tablespoon Red Wine Vinaigrette,1 tablespoon Honey,2 cloves Garlic - minced,2 tablespoon Extra Virgin Olive Oil,2 sprig Basil leaves - roughly torn,Salt and Pepper - to taste</t>
  </si>
  <si>
    <t>2 remolachas peladas y cortadas en gajos, 1/4 taza de queso feta desmenuzado, 1 cebolla cortada en aros, 2 cucharadas de vinagreta de vino tinto, 1 cucharada de miel, 2 dientes de ajo picados, 2 cucharadas de aceite de oliva virgen extra, 2 ramitas de hojas de albahaca picadas gruesamente, sal y pimienta al gusto</t>
  </si>
  <si>
    <t xml:space="preserve">To begin making the Roasted Beet Feta Salad Recipe roast the beetroot on a pan with olive oil till it is cooked and has a charred colour on them.Reduce the heat and add the vinaigrette,honey, salt and pepper. Toss all of it with the beet till it well coated. Then finally turn off the heat and add the onion rings , feta cheese and walnuts give it a final toss and serve the salad warm. Serve the Roasted Beet Feta Salad Recipe along with Spinach And Feta Cheese Rotolo Recipe as a side dish to enjoy your warm sunday meal. 
</t>
  </si>
  <si>
    <t>Para empezar a preparar la receta de ensalada de remolacha asada con queso feta, asa la remolacha en una sartén con aceite de oliva hasta que esté cocida y tenga un color tostado. Reduce el fuego y añade la vinagreta, la miel, la sal y la pimienta. Mezcla todo con la remolacha hasta que esté bien cubierta. Finalmente, apaga el fuego y añade los aros de cebolla, el queso feta y las nueces. Revuelve por completo y sirve la ensalada caliente. Sirve la receta de ensalada de remolacha asada con queso feta junto con la receta de rotolo de espinacas y queso feta como guarnición para disfrutar de tu comida caliente del domingo.</t>
  </si>
  <si>
    <t>Pour commencer la recette de salade de betteraves rôties à la feta, faites rôtir les betteraves dans une poêle avec de l'huile d'olive jusqu'à ce qu'elles soient cuites et prennent une couleur carbonisée. Réduisez le feu et ajoutez la vinaigrette, le miel, le sel et le poivre. Mélangez le tout avec les betteraves jusqu'à ce qu'elles soient bien enrobées. Éteignez ensuite le feu et ajoutez les rondelles d'oignon, la feta et les noix. Mélangez une dernière fois et servez la salade chaude. Servez la recette de salade de betteraves rôties à la feta avec la recette de rotolo aux épinards et à la feta en accompagnement pour votre repas chaud du dimanche.</t>
  </si>
  <si>
    <t>http://www.archanaskitchen.com/roasted-beet-feta-salad-recipe</t>
  </si>
  <si>
    <t>Strawberry Mojito Recipe</t>
  </si>
  <si>
    <t>Erdbeer-Mojito-Rezept</t>
  </si>
  <si>
    <t>Recette de Mojito à la fraise</t>
  </si>
  <si>
    <t>Receta de mojito de fresa</t>
  </si>
  <si>
    <t>3 cuillères à soupe de sucre (utilisez un édulcorant si vous souhaitez réduire votre consommation de sucre), 6 fraises coupées en petits morceaux, 1 brin de feuilles de menthe (Pudina), 1 cuillère à café de jus de citron, 4 cuillères à soupe de rhum, eau gazeuse (eau gazeuse) ou eau pétillante selon vos besoins</t>
  </si>
  <si>
    <t>3 tablespoons Sugar - (use sweetener if you want to cut down on sugar),6 Strawberries - cut into small pieces,1 sprig Mint Leaves (Pudina),1 teaspoon Lemon juice,4 tablespoon Rum,Aerated water (Soda Water) - or sparkling water as required</t>
  </si>
  <si>
    <t>3 cucharadas de azúcar (use edulcorante si desea reducir el azúcar), 6 fresas cortadas en trozos pequeños, 1 ramita de hojas de menta (pudina), 1 cucharadita de jugo de limón, 4 cucharadas de ron, agua gasificada (agua con gas) o agua con gas según sea necesario</t>
  </si>
  <si>
    <t xml:space="preserve">To begin making the Strawberry Mojito recipe, place 4 or 5 small strawberry pieces in each glass and add 2-3 mint leaves on the top.Juice about a teaspoon of lime juice into each glass and add about 2 tablespoons of sugar.Using the back of a spoon, gently mull the strawberries, mint, and lime juice together until the strawberries and mint begin to macerate.Add the rum, ice cubes, then fill the rest of the glass with sparkling water or club soda and Strawberry Mojito is ready to be served.Serve Strawberry Mojito to your sudden guests at home or serve it to your family members during summers along with snacks like Gobi Matar Mini Samosa.
</t>
  </si>
  <si>
    <t>Para empezar a preparar la receta de Mojito de Fresa, coloca 4 o 5 trozos pequeños de fresa en cada vaso y añade 2-3 hojas de menta encima. Exprime aproximadamente una cucharadita de zumo de lima en cada vaso y añade unas 2 cucharadas de azúcar. Con el dorso de una cuchara, mezcla suavemente las fresas, la menta y el zumo de lima hasta que las fresas y la menta empiecen a macerarse. Añade el ron, los cubitos de hielo y llena el resto del vaso con agua con gas o soda. El Mojito de Fresa estará listo para servir. Sirve el Mojito de Fresa a tus invitados inesperados en casa o a tus familiares durante el verano junto con aperitivos como la Gobi Matar Mini Samosa.</t>
  </si>
  <si>
    <t>Pour commencer à préparer la recette du Mojito à la fraise, placez 4 ou 5 petits morceaux de fraises dans chaque verre et ajoutez 2 à 3 feuilles de menthe sur le dessus. Pressez environ une cuillère à café de jus de citron vert dans chaque verre et ajoutez environ 2 cuillères à soupe de sucre. À l'aide du dos d'une cuillère, mélangez délicatement les fraises, la menthe et le jus de citron vert jusqu'à ce que les fraises et la menthe commencent à macérer. Ajoutez le rhum, les glaçons, puis remplissez le reste du verre d'eau gazeuse ou de soda et le Mojito à la fraise est prêt à être servi. Servez le Mojito à la fraise à vos invités surprise à la maison ou servez-le aux membres de votre famille pendant l'été avec des collations comme le Gobi Matar Mini Samosa.</t>
  </si>
  <si>
    <t>https://www.archanaskitchen.com/strawberry-mojito-recipe</t>
  </si>
  <si>
    <t>Homemade Vegetable Stock Recipe</t>
  </si>
  <si>
    <t>Rezept für hausgemachte Gemüsebrühe</t>
  </si>
  <si>
    <t>Recette de bouillon de légumes maison</t>
  </si>
  <si>
    <t>Receta de caldo de verduras casero</t>
  </si>
  <si>
    <t>1 cuillère à soupe d'huile d'olive extra vierge, 3 carottes (Gajjar) - pelées et coupées en bâtonnets, 2 tiges d'oignon nouveau (bulbe et feuilles) - grossièrement hachées, 1 oignon - grossièrement haché, 1 tasse de champignons de Paris - coupés en quartiers, 1 branche de céleri - pelée et coupée en gros morceaux, 3 à 4 gousses d'ail - pelées, 2 brins de feuilles de persil, 1 cuillère à soupe de grains de poivre noir entiers - pilés, 3 feuilles de laurier (tej patta), 1 cuillère à soupe de raisins secs, 10 tasses d'eau</t>
  </si>
  <si>
    <t>1 tablespoon Extra Virgin Olive Oil,3 Carrots (Gajjar) - peeled and cut into sticks,2 Stalks Spring Onion (Bulb &amp; Greens) - roughly chopped,1 Onion - roughly chopped,1 cup Button mushrooms - quatered,1 Stalk Celery - peeled and chopped in big chunks,3 - 4 cloves Garlic - peeled,2 sprig Parsley leaves,1 tablespoon Whole Black Peppercorns - pounded,3 Bay leaves (tej patta),1 tablespoon Raisins,10 cups Water</t>
  </si>
  <si>
    <t>1 cucharada de aceite de oliva virgen extra, 3 zanahorias (Gajjar) - peladas y cortadas en palitos, 2 tallos de cebolleta (bulbo y hojas verdes) - picadas gruesas, 1 cebolla - picada gruesa, 1 taza de champiñones - en cuartos, 1 tallo de apio - pelado y picado en trozos grandes, 3 - 4 dientes de ajo - pelados, 2 ramitas de hojas de perejil, 1 cucharada de granos de pimienta negra enteros - machacados, 3 hojas de laurel (tej patta), 1 cucharada de pasas, 10 tazas de agua</t>
  </si>
  <si>
    <t xml:space="preserve">To begin making the homemade vegetable stock first heat olive oil in a large sauce pan over medium heat. Add carrots, onions, mushrooms, celery root and garlic all together and saute them till they are coated in the oil. Sauté the vegetables, stirring occasionally, until golden brown for about 10 minutes.Add in the bay leaves, the herbs and the prunes. Add in the crushed peppercorns and enough water to cover everything (about 10 cups).Bring the mixture to a gentle boil. As soon as the boil begins, drop heat to very low and simmer for about half hour. Do not stir while the mixture is simmering. Allow the vegetables to be intact and not break down in the simmering process. This will give you a clean cloud free stock.Once simmered, strain the Vegetable Stock into a large bowl. Allow the stock to cool and use as required. The Homemade Vegetable Stock can be stored in the refrigerator for about a week.
</t>
  </si>
  <si>
    <t>Para preparar el caldo de verduras casero, caliente el aceite de oliva en una cacerola grande a fuego medio. Añada las zanahorias, las cebollas, los champiñones, el apio y el ajo, y sofríalos hasta que estén bien cubiertos. Saltee las verduras, removiendo de vez en cuando, hasta que estén doradas durante unos 10 minutos. Añada las hojas de laurel, las hierbas aromáticas y las ciruelas pasas. Añada los granos de pimienta machacados y agua suficiente para cubrirlo todo (unas 10 tazas). Lleve la mezcla a ebullición suave. En cuanto hierva, reduzca el fuego al mínimo y cocine a fuego lento durante media hora. No remueva mientras la mezcla esté hirviendo. Deje que las verduras estén intactas y no se deshagan durante la cocción. Esto le dará un caldo limpio y sin turbidez. Una vez cocido a fuego lento, cuele el caldo de verduras en un tazón grande. Deje enfriar y úselo cuando lo necesite. El caldo de verduras casero se puede conservar en el refrigerador durante aproximadamente una semana.</t>
  </si>
  <si>
    <t>Pour préparer le bouillon de légumes maison, faites chauffer l'huile d'olive dans une grande casserole à feu moyen. Ajoutez les carottes, les oignons, les champignons, le céleri-rave et l'ail et faites-les revenir jusqu'à ce qu'ils soient bien enrobés d'huile. Faites revenir les légumes en remuant de temps en temps, jusqu'à ce qu'ils soient dorés, pendant environ 10 minutes. Ajoutez les feuilles de laurier, les herbes et les pruneaux. Ajoutez les grains de poivre concassés et suffisamment d'eau pour couvrir le tout (environ 280 ml). Portez le mélange à ébullition douce. Dès que l'ébullition commence, baissez le feu à très doux et laissez mijoter environ une demi-heure. Ne remuez pas pendant la cuisson. Laissez les légumes intacts et ne se décomposez pas pendant la cuisson. Vous obtiendrez ainsi un bouillon propre et sans turbidité. Une fois mijoté, filtrez le bouillon de légumes dans un grand bol. Laissez-le refroidir et utilisez-le selon vos besoins. Le bouillon de légumes maison se conserve environ une semaine au réfrigérateur.</t>
  </si>
  <si>
    <t>https://www.archanaskitchen.com/video-recipe-how-to-make-homemade-vegetable-stock</t>
  </si>
  <si>
    <t>Welsh Apple Cinnamon Scones Recipe</t>
  </si>
  <si>
    <t>Rezept für walisische Apfel-Zimt-Scones</t>
  </si>
  <si>
    <t>Recette de scones gallois aux pommes et à la cannelle</t>
  </si>
  <si>
    <t>Receta de bollos galeses de manzana y canela</t>
  </si>
  <si>
    <t>1-1/4 tasse de farine de blé entier, 1/2 tasse de farine tout usage (Maida), 4 cuillères à soupe de sucre, 1/8 cuillère à café de sel, 1-1/2 cuillère à café de cannelle en poudre (Dalchini), 1-1/2 cuillère à café de levure chimique, 3 cuillères à soupe de beurre froid - râpé, 1/2 pomme - pelée et coupée en dés, 8 noix de pécan - hachées, 1/2 tasse de caillé (Dahi / Yaourt), 4 cuillères à soupe de lait, cannelle en poudre (Dalchini), miel - pour glacer</t>
  </si>
  <si>
    <t>1-1/4 cups Whole Wheat Flour,1/2 cup All Purpose Flour (Maida),4 tablespoon Sugar,1/8 teaspoon Salt,1-1/2 teaspoon Cinnamon Powder (Dalchini),1-1/2 teaspoon Baking powder,3 tablespoon Chilled butter - grated,1/2 Apple - peeled and diced,8 Pecans - chopped,1/2 cup Curd (Dahi / Yogurt),4 tablespoon Milk,Cinnamon Powder (Dalchini),Honey - to glaze</t>
  </si>
  <si>
    <t>1-1/4 tazas de harina integral, 1/2 taza de harina para todo uso (Maida), 4 cucharadas de azúcar, 1/8 cucharadita de sal, 1-1/2 cucharadita de canela en polvo (Dalchini), 1-1/2 cucharadita de polvo para hornear, 3 cucharadas de mantequilla fría - rallada, 1/2 manzana - pelada y cortada en cubitos, 8 nueces pecanas - picadas, 1/2 taza de cuajada (Dahi / Yogur), 4 cucharadas de leche, canela en polvo (Dalchini), miel - para glasear</t>
  </si>
  <si>
    <t xml:space="preserve">To begin with Welsh Apple Cinnamon Scones, firstly sift the flours, cinnamon powder, salt, baking powder and sugar powder.Add the cold butter and rub the butter in till it resembles bread crumbs. Mix in the chopped apple and chopped pecans.Whisk milk and yoghurt and leave it for about 2-3 mins. When the apples start leaving a little water, add the milk and yoghurt mixture into it to make a firm dough.Oil your fingers a bit and pat this dough directly onto a baking sheet. Cut into wedges (adjust size according to your preferences).Brush a little milk and some cinnamon powder on it and bake them in a pre-heat oven for 18-20 minutes at 180 Deg C.After 18 to 20 minutes, take it out and let it cool for 4-5 mins.Serve Welsh Apple Cinnamon Scones topped with honey as a sweet dish during your Weekend dinners with your friends and family.
</t>
  </si>
  <si>
    <t>Para preparar los Scones de Manzana y Canela Galeses, primero tamiza las harinas, la canela en polvo, la sal, la levadura química y el azúcar en polvo. Agrega la mantequilla fría y mézclala hasta que parezca pan rallado. Incorpora la manzana y las nueces pecanas picadas. Bate la leche y el yogur y deja reposar de 2 a 3 minutos. Cuando las manzanas empiecen a soltar un poco de agua, agrega la mezcla de leche y yogur hasta formar una masa firme. Unta tus dedos con un poco de aceite y extiende la masa directamente sobre una bandeja para hornear. Corta en gajos (ajusta el tamaño a tu gusto). Pincela con un poco de leche y canela en polvo y hornéalos en un horno precalentado durante 18-20 minutos a 180 °C. Después de 18-20 minutos, sácalos y déjalos enfriar de 4 a 5 minutos. Sirve los Scones de Manzana y Canela Galeses con miel como postre en tus cenas de fin de semana con amigos y familiares.</t>
  </si>
  <si>
    <t>Pour préparer les scones gallois à la pomme et à la cannelle, tamisez d'abord les farines, la cannelle en poudre, le sel, la levure chimique et le sucre glace. Ajoutez le beurre froid et incorporez-le jusqu'à obtenir une consistance chapelée. Incorporez les morceaux de pomme et de noix de pécan. Fouettez le lait et le yaourt et laissez reposer 2 à 3 minutes. Lorsque les pommes commencent à s'humidifier, ajoutez le mélange lait-yaourt pour obtenir une pâte ferme. Huilez légèrement vos doigts et déposez la pâte directement sur une plaque de cuisson. Coupez-la en quartiers (ajustez la taille selon vos préférences). Badigeonnez-la d'un peu de lait et de cannelle en poudre et enfournez dans un four préchauffé à 180 °C pendant 18 à 20 minutes. Après 18 à 20 minutes, sortez-la et laissez-la refroidir 4 à 5 minutes. Servez les scones gallois à la pomme et à la cannelle, nappés de miel, en dessert lors de vos dîners du week-end entre amis ou en famille.</t>
  </si>
  <si>
    <t>https://www.archanaskitchen.com/welsh-apple-cinnamon-scones-recipe</t>
  </si>
  <si>
    <t>How To Make Preserved Pineapple Recipe</t>
  </si>
  <si>
    <t>Rezept für eingelegte Ananas</t>
  </si>
  <si>
    <t>Recette d'ananas mariné</t>
  </si>
  <si>
    <t>Receta de piña marinada</t>
  </si>
  <si>
    <t>1 ananas - haché/tranché (2 tasses), 1-1/2 tasse d'eau, 1/2 tasse de sucre, 2 cuillères à soupe de liqueur d'orange - ou tout autre alcool de votre choix (facultatif)</t>
  </si>
  <si>
    <t>1 Pineapple - chopped/sliced (2 cups),1-1/2 cups Water,1/2 cup Sugar,2 tablespoons Orange liquor - or any alcohol of choice (optional)</t>
  </si>
  <si>
    <t>1 piña picada/en rodajas (2 tazas), 1 1/2 tazas de agua, 1/2 taza de azúcar, 2 cucharadas de licor de naranja o cualquier alcohol de su elección (opcional)</t>
  </si>
  <si>
    <t xml:space="preserve">To begin making Preserved Pineapple Recipe, in a saucepan, start boiling water. Cut the pineapples required as well. Add sugar to it such that it dissolves when the water boils.Bring the water-sugar mixture to a rolling boil, and add the Pineapple chunks.Stir well and bring to another boil.(You can also place all the three ingredients in a vessel and place inside a pressure cooker and cook for 1 whistle)Take off heat and leave to cool for 15 minutes.Prepare a clean glass bottle by wiping it thoroughly with a clean cloth or kitchen towel.Add the liquor at this stage if using. Add liquor to the Pineapple slices and mix well.Ladle the Pineapple slices with the syrup into the bottle and cover the container with a clean kitchen towel till it comes to room temperature.Put the lid on once the pineapple comes to room temperature and refrigerate this!Use Preserved Pineapple Recipe as required. You can also wash off pineapple under running water to drain excess sugar and use them as well, when making savoury dishes.
</t>
  </si>
  <si>
    <t>Para comenzar a hacer la Receta de Piña en Conserva, en una cacerola, comience a hervir agua. Corte también las piñas necesarias. Agregue azúcar de modo que se disuelva cuando el agua hierva. Lleve la mezcla de agua y azúcar a ebullición y agregue los trozos de piña. Revuelva bien y vuelva a hervir. (También puede colocar los tres ingredientes en un recipiente y colocarlo dentro de una olla a presión y cocinar durante 1 silbato) Retire del fuego y deje enfriar durante 15 minutos. Prepare una botella de vidrio limpia limpiándola bien con un paño limpio o una toalla de cocina. Agregue el licor en esta etapa si lo usa. Agregue licor a las rodajas de piña y mezcle bien. Vierta las rodajas de piña con el almíbar en la botella y cubra el recipiente con una toalla de cocina limpia hasta que alcance la temperatura ambiente. ¡Coloque la tapa una vez que la piña alcance la temperatura ambiente y refrigérelo! Use la Receta de Piña en Conserva según sea necesario. También puedes lavar la piña bajo el chorro de agua para escurrir el exceso de azúcar y usarla también para preparar platos salados.</t>
  </si>
  <si>
    <t>Pour commencer à préparer la recette d'ananas en conserve, dans une casserole, faites bouillir de l'eau. Coupez également les ananas nécessaires. Ajoutez-y du sucre de manière à ce qu'il se dissolve lorsque l'eau bout. Portez le mélange eau-sucre à ébullition et ajoutez les morceaux d'ananas. Remuez bien et portez à nouveau à ébullition. (Vous pouvez également placer les trois ingrédients dans un récipient et le placer dans un autocuiseur et cuire pendant 1 sifflet) Retirez du feu et laissez refroidir pendant 15 minutes. Préparez une bouteille en verre propre en l'essuyant soigneusement avec un chiffon propre ou un torchon de cuisine. Ajoutez la liqueur à ce stade si vous en utilisez. Ajoutez la liqueur aux tranches d'ananas et mélangez bien. Versez les tranches d'ananas avec le sirop dans la bouteille et couvrez le récipient avec un torchon de cuisine propre jusqu'à ce qu'il atteigne la température ambiante. Remettez le couvercle une fois que l'ananas est à température ambiante et réfrigérez-le ! Utilisez la recette d'ananas en conserve selon vos besoins. Vous pouvez également rincer l'ananas sous l'eau courante pour égoutter l'excès de sucre et l'utiliser également pour préparer des plats salés.</t>
  </si>
  <si>
    <t>http://www.archanaskitchen.com/how-to-make-preserved-pineapple-recipe</t>
  </si>
  <si>
    <t>Spinach Watermelon Salad Recipe</t>
  </si>
  <si>
    <t>Spinat-Wassermelonen-Salat-Rezept - Spinat-Wassermelonen-Salat-Rezept</t>
  </si>
  <si>
    <t>Recette de salade d'épinards et de pastèque - Recette de salade d'épinards et de pastèque</t>
  </si>
  <si>
    <t>Receta de ensalada de espinacas y sandía - Receta de ensalada de espinacas y sandía</t>
  </si>
  <si>
    <t>1 tasse d'épinards - casser, 2 tasses de pastèque - couper les graines, 1/2 tasse de raisins noirs - coupés en deux, 3 cuillères à soupe de fromage feta, 3 cuillères à soupe de noix, 1 cuillère à soupe d'huile d'olive extra vierge, 1 cuillère à café de jus de citron, 1 cuillère à café de miel, 1/2 cuillère à café de poudre de poivre noir, sel - selon le goût</t>
  </si>
  <si>
    <t>1 cup spinach - break, 2 cups watermelon - cut out the seeds, 1/2 cup black grapes - cut in half, 3 tablespoons feta cheese, 3 tablespoons walnuts, 1 tablespoon extra virgin olive oil, 1 teaspoon lemon Juice, 1 teaspoon honey, 1/2 teaspoon black pepper powder, salt - as per taste</t>
  </si>
  <si>
    <t>1 taza de espinacas (romper), 2 tazas de sandía (quitar las semillas), 1/2 taza de uvas negras (cortar por la mitad), 3 cucharadas de queso feta, 3 cucharadas de nueces, 1 cucharada de aceite de oliva virgen extra, 1 cucharadita de jugo de limón, 1 cucharadita de miel, 1/2 cucharadita de pimienta negra en polvo, sal (al gusto)</t>
  </si>
  <si>
    <t>To make Spinach Watermelon Salad Recipe, first we will make the salad dressing. In a bowl add olive oil, lemon juice, honey, salt and black pepper powder. Mix it well and keep it aside. In another bowl add spinach, watermelon, grapes and mix everything well. Now add dressing to it and mix it. Take it out in a plate and garnish it with feta cheese and walnuts and serve. Serve Spinach Watermelon Salad Recipe with Minestrone Soup and Garlic Bread for dinner.</t>
  </si>
  <si>
    <t>Para preparar la receta de ensalada de espinacas y sandía, primero prepararemos el aderezo. En un tazón, agregue aceite de oliva, jugo de limón, miel, sal y pimienta negra en polvo. Mezcle bien y reserve. En otro tazón, agregue las espinacas, la sandía y las uvas, y mezcle bien. Ahora, agregue el aderezo y mezcle. Coloque la ensalada en un plato, decore con queso feta y nueces y sirva. Sirva la ensalada de espinacas y sandía con sopa minestrone y pan de ajo para la cena.</t>
  </si>
  <si>
    <t>Pour préparer la salade d'épinards et de pastèque, nous allons d'abord préparer la vinaigrette. Dans un bol, ajoutez l'huile d'olive, le jus de citron, le miel, le sel et le poivre noir en poudre. Mélangez bien et réservez. Dans un autre bol, ajoutez les épinards, la pastèque et les raisins et mélangez bien le tout. Ajoutez ensuite la vinaigrette et mélangez. Servez dans une assiette, garnissez de feta et de noix et servez. Servez la salade d'épinards et de pastèque avec une soupe minestrone et du pain à l'ail pour le dîner.</t>
  </si>
  <si>
    <t>http://www.archanaskitchen.com/spinach-watermelon-salad-recipe-with-walnuts-in-hindi</t>
  </si>
  <si>
    <t>Paneer Shashlik Sizzler Recipe</t>
  </si>
  <si>
    <t>Paneer-Schaschlik-Sizzler-Rezept</t>
  </si>
  <si>
    <t>Recette de Paneer shish kebab sizzler</t>
  </si>
  <si>
    <t>Receta de Paneer shish kebab sizzler</t>
  </si>
  <si>
    <t>100 grammes de paneer (fromage cottage fait maison), 3 poivrons rouges, jaunes et verts (Capsicum) - (un de chaque), 2 oignons - coupés en dés, 1 tomate - coupée en dés, 1/2 cuillère à café de pâte d'ail et de gingembre, 1/2 cuillère à café de vinaigre, 1 cuillère à café de sauce soja, 1 cuillère à soupe de ketchup, 1/2 cuillère à café de poudre de garam masala, 1 cuillère à café de poudre de poivre noir, 1 cuillère à soupe de sucre, sel - au goût, 1 tasse de riz cuit, 1 tasse de pois verts (Matar) - cuits à la vapeur, 1 cuillère à café de graines de cumin (Jeera), 1 cuillère à café de gingembre - râpé, piments verts - fendus, 2 clous de girofle (Laung), 2 gousses/graines de cardamome (Elaichi) - écrasées, 1/2 pouce de bâton de cannelle (Dalchini), 1/2 feuille de laurier (tej patta) - déchirée, sel - au goût, 1 cuillère à soupe de ghee, laitue iceberg - Laitue, oignon - tranché en rondelles et grillé, tomates - tranchées et grillées</t>
  </si>
  <si>
    <t>100 grams Paneer (Homemade Cottage Cheese),3 Red Yellow and Green Bell Peppers (Capsicum) - (one each),2 Onions - diced,1 Tomato - diced,1/2 teaspoon Ginger Garlic Paste,1/2 teaspoon Vinegar,1 teaspoon Soy sauce,1 tablespoon Tomato Ketchup,1/2 teaspoon Garam masala powder,1 teaspoon Black pepper powder,1 tablespoon Sugar,Salt - to taste,1 cup Cooked rice,1 cup Green peas (Matar) - steamed,1 teaspoon Cumin seeds (Jeera),1 teaspoon Ginger - grated,Green Chillies - slit,2 Cloves (Laung),2 Cardamom (Elaichi) Pods/Seeds - crushed,1/2 inch Cinnamon Stick (Dalchini),1/2 Bay leaf (tej patta) - torn,Salt - to taste,1 tablespoon Ghee,Iceberg lettuce - Lettuce,Onion - sliced to circles and grilled,Tomatoes - sliced and grilled</t>
  </si>
  <si>
    <t>100 gramos de Paneer (queso cottage casero), 3 pimientos morrones rojos, amarillos y verdes (Capsicum) - (uno de cada uno), 2 cebollas - cortadas en cubitos, 1 tomate - cortado en cubitos, 1/2 cucharadita de pasta de ajo y jengibre, 1/2 cucharadita de vinagre, 1 cucharadita de salsa de soja, 1 cucharada de kétchup de tomate, 1/2 cucharadita de polvo de garam masala, 1 cucharadita de pimienta negra en polvo, 1 cucharada de azúcar, sal - al gusto, 1 taza de arroz cocido, 1 taza de guisantes verdes (Matar) - al vapor, 1 cucharadita de semillas de comino (Jeera), 1 cucharadita de jengibre rallado, chiles verdes - cortados, 2 clavos (Laung), 2 vainas/semillas de cardamomo (Elaichi) - trituradas, 1/2 pulgada de rama de canela (Dalchini), 1/2 hoja de laurel (tej patta) - rasgada, sal - al gusto, 1 cucharada de ghee, lechuga iceberg - lechuga, cebolla - cortada en círculos y a la parrilla, tomates - cortados en rodajas y a la parrilla</t>
  </si>
  <si>
    <t xml:space="preserve">To begin making Paneer Shashlik Sizzler Recipe,we will prepare the shashlik first.Take a bowl and add sugar, pepper powder, vinegar, soy sauce, garam masala powder, tomato ketchup and salt. Take a whisk and mix all ingredients well.Add diced onions, bell peppers, paneer, tomatoes, mix and rest for an hour.Once they have marinated for an hour, take a skewer and skew all vegetables one after one, alternating with your pattern.Put in on hot grill pan, drizzle a little oil and cook on low medium flame till all sides are done. Take care not to burn veggies or paneer.Peas PulaoTo prepare peas pulao, in a kadai, heat a little ghee and sizzle cumin seeds. Once the cumin seeds have sizzled add bay leaf, cardamom, clove, cinnamon and saute till aromatic.Next add the green chillies peas and salt to taste . Cook covered for a minute.Add cooked rice and stir carefully until the flavours blend into rice. Check for salt and adjust.Switch off flame.Arranging the Paneer Shashlik Sizzler sizzler Take a sizzler plate (cast iron) and add few drops of oil all over. Heat the sizzler plate for 15 minutes in an oven or on the flame.Line it with cabbage or lettuce leaves.Place flavored peas pulao on it.On the sides place the grilled onions and tomatoes. Serve Paneer Shashlik sizzler with Masala Soda Shikanji  and Rajma Cutlet for your next party.
</t>
  </si>
  <si>
    <t>Para comenzar a hacer la receta de Paneer Shashlik Sizzler, primero prepararemos el shashlik. Tome un tazón y agregue azúcar, pimienta en polvo, vinagre, salsa de soja, garam masala en polvo, ketchup de tomate y sal. Tome un batidor y mezcle bien todos los ingredientes. Agregue cebollas picadas, pimientos morrones, paneer, tomates, mezcle y deje reposar durante una hora. Una vez que se hayan marinado durante una hora, tome una brocheta y pinche todas las verduras una tras otra, alternando con su patrón. Colóquelo en una sartén para parrilla caliente, rocíe un poco de aceite y cocine a fuego medio bajo hasta que todos los lados estén hechos. Tenga cuidado de no quemar las verduras o el paneer. Guisantes Pulao Para preparar guisantes pulao, en un kadai, caliente un poco de ghee y chisporrotee semillas de comino. Una vez que las semillas de comino hayan chisporroteado, agregue la hoja de laurel, el cardamomo, el clavo, la canela y saltee hasta que estén aromáticas. Luego agregue los chiles verdes, los guisantes y la sal al gusto. Cocine tapado por un minuto. Agregue el arroz cocido y revuelva con cuidado hasta que los sabores se integren con el arroz. Verifique la sal y ajuste. Apague el fuego. Preparación del Paneer Shashlik Sizzler Tome una placa para sizzler (de hierro fundido) y agregue unas gotas de aceite por todas partes. Caliente la placa para sizzler durante 15 minutos en un horno o al fuego. Cúbrala con hojas de col o lechuga. Coloque pulao de guisantes aromatizados sobre ella. A los lados coloque las cebollas y los tomates asados. Sirva el Paneer Shashlik Sizzler con Masala Soda Shikanji y Rajma Cutlet para su próxima fiesta.</t>
  </si>
  <si>
    <t>Pour commencer à préparer la recette de Paneer Shashlik Sizzler, nous allons d'abord préparer le shashlik. Prenez un bol et ajoutez le sucre, la poudre de poivre, le vinaigre, la sauce soja, la poudre de garam masala, le ketchup et le sel. Prenez un fouet et mélangez bien tous les ingrédients. Ajoutez les oignons coupés en dés, les poivrons, le paneer, les tomates, mélangez et laissez reposer une heure. Une fois qu'ils ont mariné pendant une heure, prenez une brochette et piquez tous les légumes un par un, en alternant avec votre motif. Mettez dans une poêle à griller chaude, arrosez d'un peu d'huile et faites cuire à feu moyen-doux jusqu'à ce que tous les côtés soient cuits. Veillez à ne pas brûler les légumes ou le paneer. Pulao aux pois Pour préparer le pulao aux pois, dans un kadai, faites chauffer un peu de ghee et faites grésiller les graines de cumin. Une fois les graines de cumin grésillées, ajoutez la feuille de laurier, la cardamome, le clou de girofle, la cannelle et faites revenir jusqu'à ce qu'elles soient aromatiques. Ajoutez ensuite les piments verts, les pois et le sel au goût. Cuire à couvert pendant une minute. Ajouter le riz cuit et remuer délicatement jusqu'à ce que les saveurs se mélangent au riz. Vérifier la quantité de sel et ajuster. Éteindre le feu. Disposer le Paneer Shashlik Sizzler Prenez une assiette à grésillement (en fonte) et ajoutez quelques gouttes d'huile partout. Chauffez l'assiette à grésillement pendant 15 minutes au four ou sur le feu. Tapissez-la de feuilles de chou ou de laitue. Déposez dessus du pulao de pois aromatisé. Sur les côtés, disposez les oignons et les tomates grillés. Servez le Paneer Shashlik Sizzler avec du Masala Soda Shikanji et de l'escalope Rajma pour votre prochaine fête.</t>
  </si>
  <si>
    <t>https://www.archanaskitchen.com/paneer-shashlik-sizzler-recipe</t>
  </si>
  <si>
    <t>Spiced Apple Crumble Recipe with Greek Yogurt</t>
  </si>
  <si>
    <t>Rezept für gewürzten Apfel-Crumble mit griechischem Joghurt</t>
  </si>
  <si>
    <t>Recette de crumble aux pommes épicé au yaourt grec</t>
  </si>
  <si>
    <t>Receta de crumble de manzana especiado con yogur griego</t>
  </si>
  <si>
    <t>4 pommes - évidées, 1/4 tasse de cassonade (sucre Demerara), 2 cuillères à soupe de beurre, 1-1/2 cuillère à café de cannelle en poudre (Dalchini), 2 tasses de Hung Curd (yaourt grec), 2 cuillères à café d'extrait de brin de vanille Bourbon naturelle - quelques gouttes, 1/4 tasse de sucre - en poudre, 1/2 tasse de farine de blé entier, 1/2 tasse d'avoine instantanée (gruau), 1/4 de cassonade (sucre Demerara), 1/4 tasse de beurre, 2 cuillères à café de cannelle en poudre (Dalchini), 1 cuillère à café de poudre de muscade</t>
  </si>
  <si>
    <t>4 Apples - cored,1/4 cup Brown Sugar (Demerara Sugar),2 tablespoons Butter,1-1/2 teaspoons Cinnamon Powder (Dalchini),2 cups Hung Curd (Greek Yogurt),2 teaspoons Sprig Extract of Natural Bourbon Vanilla - a few drops,1/4 cup Sugar - powdered,1/2 cup Whole Wheat Flour,1/2 cup Instant Oats (Oatmeal),1/4 Brown Sugar (Demerara Sugar),1/4 cup Butter,2 teaspoons Cinnamon Powder (Dalchini),1 teaspoon Nutmeg powder</t>
  </si>
  <si>
    <t>4 manzanas - sin corazón, 1/4 taza de azúcar morena (azúcar Demerara), 2 cucharadas de mantequilla, 1-1/2 cucharaditas de canela en polvo (dalchini), 2 tazas de cuajada colgada (yogur griego), 2 cucharaditas de extracto de ramita de vainilla Bourbon natural - unas gotas, 1/4 taza de azúcar - en polvo, 1/2 taza de harina integral, 1/2 taza de avena instantánea (avena), 1/4 de azúcar morena (azúcar Demerara), 1/4 taza de mantequilla, 2 cucharaditas de canela en polvo (dalchini), 1 cucharadita de nuez moscada en polvo</t>
  </si>
  <si>
    <t xml:space="preserve">To begin making the Spiced Apple Crumble Recipe with Greek Yogurt, we need to make each of the elements and keep them ready. To make the Apple Pie FillingHeat a saucepan on low heat with some butter, add the apple pieces, brown sugar and cinnamon powder and cook on medium heat for 4-6 minutes until the apples are cooked but still have a crunch. Turn off the flame, transfer the cooked apple stew into a bowl and set aside. To make the Greek yogurt In a mixing bowl, combine the thick hung yogurt, along with the vanilla extract and powdered sugar. Whisk until smooth. Allow it to chill in the refrigerator. To make the Spiced crumble Preheat an oven at 200 degree celsius. In a mixing bowl, combine the whole wheat flour, instant oats, brown sugar, cinnamon powder, nutmeg powder and mix well. To this bowl add the butter and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To assemble the Spiced Apple CrumbleYou can choose to assemble your dessert in a shot glass or a dessert bowl or any other container of your choice. Keep the apple pie filling, greek yogurt, and spiced crumble ready. In a shot glass, put a tablespoon of the apple pie filling, next add a layer of a tablespoon of greek yogurt and repeat with a layer of apple stew, greek yogurt and apple stew again. Your layers should be like this- apple stew- greek yogurt-apple stew-greek yogurt- apple stew and finally top this dessert with the spiced crumble. Serve Spiced Apple Crumble Recipe with Greek Yogurt as a dessert after a meal of Watermelon And Cucumber Gazpacho Recipe, Mozzarella Basil Sandwiches Recipe, and Baked Potato Wedge Recipe.
</t>
  </si>
  <si>
    <t>Para comenzar a hacer la Receta de Crumble de Manzana Especiado con Yogur Griego, necesitamos hacer cada uno de los elementos y tenerlos listos. Para hacer el Relleno de Pastel de ManzanaCalienta una cacerola a fuego lento con un poco de mantequilla, agrega los trozos de manzana, el azúcar moreno y la canela en polvo y cocina a fuego medio durante 4-6 minutos hasta que las manzanas estén cocidas pero aún tengan un crujido. Apaga el fuego, transfiere el estofado de manzana cocido a un tazón y reserva. Para hacer el yogur griegoEn un tazón, combina el yogur espeso colgado, junto con el extracto de vainilla y el azúcar en polvo. Bate hasta que esté suave. Deja que se enfríe en el refrigerador. Para hacer el crumble especiadoPrecalienta un horno a 200 grados centígrados. En un tazón, combina la harina integral, la avena instantánea, el azúcar moreno, la canela en polvo, la nuez moscada en polvo y mezcla bien. A este bol añade la mantequilla y poco a poco empieza a combinarla con los dedos, hasta conseguir una textura similar a la de la arena. Una vez que tengas una mezcla distribuida uniformemente, coloca papel de pergamino en una bandeja para hornear y transfiere esta mezcla de crumble sobre ella. Hornea en el horno precalentado durante 7-10 minutos a 200 grados centígrados. Ahora que se ha horneado y está ligeramente crujiente, retíralo y déjalo enfriar. Para montar el crumble de manzana especiado, puedes optar por montar tu postre en un vaso de chupito, en un bol de postre o en cualquier otro recipiente de tu elección. Ten listo el relleno de tarta de manzana, el yogur griego y el crumble especiado. En un vaso de chupito, pon una cucharada del relleno de tarta de manzana, luego añade una capa de una cucharada de yogur griego y repite con una capa de guiso de manzana, yogur griego y guiso de manzana de nuevo. Las capas deben quedar así: estofado de manzana, yogur griego, estofado de manzana, yogur griego, estofado de manzana y, por último, cubra este postre con el crumble especiado. Sirva la receta de crumble de manzana especiado con yogur griego como postre después de una comida con gazpacho de sandía y pepino, sándwiches de mozzarella y albahaca y patatas gajo al horno.</t>
  </si>
  <si>
    <t>Pour commencer à préparer la recette du crumble aux pommes épicé au yaourt grec, nous devons préparer chacun des éléments et les garder prêts. Pour préparer la garniture pour tarte aux pommes, faites chauffer une casserole à feu doux avec un peu de beurre, ajoutez les morceaux de pommes, la cassonade et la cannelle en poudre et faites cuire à feu moyen pendant 4 à 6 minutes jusqu'à ce que les pommes soient cuites mais encore croquantes. Éteignez le feu, transférez le ragoût de pommes cuit dans un bol et réservez. Pour préparer le yaourt grec, dans un saladier, mélangez le yaourt épais avec l'extrait de vanille et le sucre en poudre. Fouettez jusqu'à consistance lisse. Laissez refroidir au réfrigérateur. Pour préparer le crumble épicé, préchauffez un four à 200 degrés Celsius. Dans un saladier, mélangez la farine de blé entier, les flocons d'avoine instantanés, la cassonade, la cannelle en poudre, la muscade en poudre et mélangez bien. Dans ce bol, ajoutez le beurre et commencez progressivement à mélanger le beurre avec vos doigts, pour obtenir une texture semblable à du sable. Une fois que vous avez un mélange uniformément réparti, placez du papier sulfurisé sur une plaque de cuisson et transférez ce mélange de crumble dessus. Cuire au four préchauffé pendant 7 à 10 minutes à 200 degrés Celsius. Maintenant qu'il est cuit et devient légèrement croustillant, retirez-le et laissez-le refroidir. Pour assembler le crumble aux pommes épicé Vous pouvez choisir d'assembler votre dessert dans un verre à liqueur, un bol à dessert ou tout autre récipient de votre choix. Gardez la garniture pour tarte aux pommes, le yaourt grec et le crumble épicé prêts. Dans un verre à liqueur, mettez une cuillère à soupe de garniture pour tarte aux pommes, ajoutez ensuite une couche d'une cuillère à soupe de yaourt grec et répétez avec une couche de ragoût de pommes, de yaourt grec et de ragoût de pommes à nouveau. Vos couches devraient être comme ceci : ragoût de pommes, yaourt grec, ragoût de pommes, yaourt grec, ragoût de pommes et enfin garnissez ce dessert avec le crumble épicé. Servez la recette de crumble aux pommes épicé avec du yaourt grec en dessert après un repas composé d'une recette de gaspacho à la pastèque et au concombre, d'une recette de sandwichs à la mozzarella et au basilic et d'une recette de quartiers de pommes de terre au four.</t>
  </si>
  <si>
    <t>http://www.archanaskitchen.com/spiced-apple-crumble-recipe-with-greek-yogurt</t>
  </si>
  <si>
    <t>Ribs With Guava Barbecue Sauce Recipe</t>
  </si>
  <si>
    <t>Rezept für Rippchen mit Guaven-Barbecue-Sauce</t>
  </si>
  <si>
    <t>Recette de côtes levées à la sauce barbecue à la goyave</t>
  </si>
  <si>
    <t>Receta de Costillas con Salsa Barbacoa de Guayaba</t>
  </si>
  <si>
    <t>4 côtes d'agneau - 2-3 côtes attachées à l'os, 2 cuillères à soupe de sucre - (ajuster), 1 cuillère à soupe de sel casher, 1 cuillère à soupe de graines de moutarde, 1 cuillère à café de poudre de 5 épices chinoises, 1/2 cuillère à café de poudre de poivre noir - fraîchement moulu (ajuster), 1/2 cuillère à café de poudre de cannelle (Dalchini), 1/4 cuillère à café de poudre de clou de girofle (Laung), 1 cuillère à soupe de vinaigre, 1 cuillère à café de jus de citron, 2 tasses de purée de goyave - (peler les goyaves et les réduire en purée dans un moulin), 1/3 tasse de vinaigre de cidre de pomme, 3 cuillères à soupe de purée de tomates maison, 3 cuillères à soupe de jus de citron, 1 cuillère à soupe de sauce soja, 1 cuillère à soupe de sauce Worcestershire, 2 cuillères à soupe de gingembre - haché, 1 oignon de printemps (bulbe et feuilles) - haché, 1 gousse d'ail - hachée, 1/4 tasse d'eau, sel - au goût, 1/2 cuillère à café de poudre de poivre noir - fraîchement moulu (ajuster), 1/2 cuillère à café de flocons de piment rouge</t>
  </si>
  <si>
    <t>4 Lamb ribs - 2-3 ribs attached to bone,2 tablespoon Sugar - (adjust),1 tablespoon Kosher salt,1 tablespoon Mustard seeds,1 teaspoon Chinese 5 Spice Powder,1/2 teaspoon Black pepper powder - fresh ground (adjust),1/2 teaspoon Cinnamon Powder (Dalchini),1/4 teaspoon Clove powder (Laung),1 tablespoon Vinegar,1 teaspoon Lemon juice,2 cups Guava puree - (peel guavas and puree them in a grinder),1/3 cup Apple cider vinegar,3 tablespoons Homemade tomato puree,3 tablespoons Lemon juice,1 tablespoon Soy sauce,1 tablespoon Worcestershire sauce,2 tablespoons Ginger - minced,1 Spring Onion (Bulb &amp; Greens) - minced,1 clove Garlic - minced,1/4 cup Water,Salt - to taste,1/2 teaspoon Black pepper powder - freshly crushed (adjust),1/2 teaspoon Red Chilli flakes</t>
  </si>
  <si>
    <t>4 costillas de cordero - 2-3 costillas unidas al hueso, 2 cucharadas de azúcar - (ajustar), 1 cucharada de sal kosher, 1 cucharada de semillas de mostaza, 1 cucharadita de polvo de 5 especias chinas, 1/2 cucharadita de pimienta negra en polvo - recién molida (ajustar), 1/2 cucharadita de canela en polvo (Dalchini), 1/4 cucharadita de clavo en polvo (Laung), 1 cucharada de vinagre, 1 cucharadita de jugo de limón, 2 tazas de puré de guayaba - (pelar las guayabas y hacerlas puré en un molinillo), 1/3 taza de vinagre de sidra de manzana, 3 cucharadas de puré de tomate casero, 3 cucharadas de jugo de limón, 1 cucharada de salsa de soja, 1 cucharada de salsa Worcestershire, 2 cucharadas de jengibre - picado, 1 cebolla de verdeo (bulbo y hojas) - picada, 1 diente de ajo - picado, 1/4 taza de agua, sal - al gusto, 1/2 cucharadita de pimienta negra en polvo - recién triturada (ajustar), 1/2 cucharadita de hojuelas de chile rojo</t>
  </si>
  <si>
    <t xml:space="preserve">To begin making Ribs With Guava Barbecue Sauce Recipe, make guava barbecue sauce first.Get all the ingredients ready and puree guava in a mixer grinder, after deskinning.In a saucepan, combine the guava paste with the vinegar, tomato paste, lemon juice, soy sauce, worcestershire sauce, ginger, scallion, garlic, red chilli flakes, and water and bring the mixture to a boil.Cook the sauce in low flames till it is reduced to 1-1/4 cups.Add salt and pepper if required, since soy sauce and worcestershire sauce have salt and spice in them.Switch off and keep the guava barbecue sauce side to cool.Now to prepare the barbecued ribs, prepare the barbecue grill.Take a large mixing bowl and combine sugar, salt, dry mustard, Chinese five-spice powder, pepper, cinnamon powder and cloves powder to make a dry mix. Sprinkle the mixture over the ribs.Place the ribs on the wire rack above the hot charcoal, bony side down. Brush or spray some vinegar and lemon juice on top of ribs while grilling.Continue to grill for 20-30 minutes with the help of a long tong.Turn the ribs around carefully by holding then with a tong (but keep them bony side down) and spray once more with lemon juice and vinegar.Cover and grill until the meat is tender.Transfer the grilled ribs to a plate and brush the Guava Barbecue Sauce on both sides of the ribs and again grill directly over the fire for about 1 minute per side, until glazed and bubbling.Transfer the ribs to a serving platter and let rest for 5 minutes.Cut down between the bones and arrange the Ribs With Guava Barbecue Sauce Recipe on a platter and serve it with some rice, and salad with lemon wedges to make it a complete meal.
</t>
  </si>
  <si>
    <t>Para comenzar a hacer la receta de costillas con salsa barbacoa de guayaba, primero haga la salsa barbacoa de guayaba. Prepare todos los ingredientes y haga puré de guayaba en una licuadora, después de quitarle la piel. En una cacerola, combine la pasta de guayaba con el vinagre, la pasta de tomate, el jugo de limón, la salsa de soya, la salsa Worcestershire, el jengibre, la cebolleta, el ajo, las hojuelas de chile rojo y el agua y lleve la mezcla a ebullición. Cocine la salsa a fuego lento hasta que se reduzca a 1-1/4 tazas. Agregue sal y pimienta si es necesario, ya que la salsa de soya y la salsa Worcestershire tienen sal y especias. Apague y deje enfriar el lado de la salsa barbacoa de guayaba. Ahora, para preparar las costillas a la barbacoa, prepare la parrilla de la barbacoa. Tome un tazón grande y combine el azúcar, la sal, la mostaza seca, el polvo de cinco especias chinas, la pimienta, la canela en polvo y el clavo en polvo para hacer una mezcla seca. Espolvoree la mezcla sobre las costillas. Coloque las costillas en la rejilla de alambre sobre el carbón caliente, con el lado huesudo hacia abajo. Unte o rocíe un poco de vinagre y jugo de limón sobre las costillas mientras las asa. Continúe asando durante 20 a 30 minutos con la ayuda de unas pinzas largas. Voltee las costillas con cuidado sujetándolas con unas pinzas (pero manténgalas con el lado huesudo hacia abajo) y rocíe una vez más con jugo de limón y vinagre. Cubra y ase hasta que la carne esté tierna. Transfiera las costillas a la parrilla a un plato y unte la salsa barbacoa de guayaba en ambos lados de las costillas y nuevamente ase directamente sobre el fuego durante aproximadamente 1 minuto por lado, hasta que estén glaseadas y burbujeantes. Transfiera las costillas a una fuente para servir y deje reposar durante 5 minutos. Corte entre los huesos y coloque la receta de costillas con salsa barbacoa de guayaba en una fuente y sírvala con un poco de arroz y ensalada con gajos de limón para que sea una comida completa.</t>
  </si>
  <si>
    <t>Pour commencer à préparer la recette de côtes levées avec sauce barbecue à la goyave, préparez d'abord la sauce barbecue à la goyave. Préparez tous les ingrédients et réduisez la goyave en purée dans un mixeur-broyeur, après l'avoir décortiquée. Dans une casserole, mélangez la pâte de goyave avec le vinaigre, la pâte de tomate, le jus de citron, la sauce soja, la sauce Worcestershire, le gingembre, l'oignon vert, l'ail, les flocons de piment rouge et l'eau et portez le mélange à ébullition. Faites cuire la sauce à feu doux jusqu'à ce qu'elle soit réduite à 1-1/4 tasse. Ajoutez du sel et du poivre si nécessaire, car la sauce soja et la sauce Worcestershire contiennent du sel et des épices. Éteignez et laissez refroidir le côté sauce barbecue à la goyave. Maintenant, pour préparer les côtes levées au barbecue, préparez le barbecue. Prenez un grand bol à mélanger et mélangez le sucre, le sel, la moutarde sèche, la poudre de cinq épices chinoises, le poivre, la poudre de cannelle et la poudre de clou de girofle pour obtenir un mélange sec. Saupoudrez le mélange sur les côtes. Placez les côtes sur la grille au-dessus du charbon de bois chaud, côté osseux vers le bas. Badigeonnez ou vaporisez du vinaigre et du jus de citron sur les côtes pendant la cuisson. Continuez à griller pendant 20 à 30 minutes à l'aide d'une longue pince. Retournez les côtes avec précaution en les tenant avec une pince (mais gardez-les côté osseux vers le bas) et vaporisez une fois de plus de jus de citron et de vinaigre. Couvrez et grillez jusqu'à ce que la viande soit tendre. Transférez les côtes grillées dans une assiette et badigeonnez la sauce barbecue à la goyave des deux côtés des côtes et grillez à nouveau directement sur le feu pendant environ 1 minute de chaque côté, jusqu'à ce qu'elles soient glacées et bouillonnantes. Transférez les côtes dans un plat de service et laissez reposer 5 minutes. Coupez entre les os et disposez la recette de côtes levées à la sauce barbecue à la goyave sur un plat et servez-la avec du riz et une salade avec des quartiers de citron pour en faire un repas complet.</t>
  </si>
  <si>
    <t>https://www.archanaskitchen.com/ribs-with-guava-barbecue-sauce-recipe</t>
  </si>
  <si>
    <t>Paprika Chicken Skewers Recipe</t>
  </si>
  <si>
    <t>Rezept für Paprika-Hähnchenspieße</t>
  </si>
  <si>
    <t>Recette de brochettes de poulet au poivre</t>
  </si>
  <si>
    <t>Receta de brochetas de pollo con pimienta</t>
  </si>
  <si>
    <t>2 tasses de poitrines de poulet - coupées en petits morceaux, 1 poivron rouge (Capsicum) - coupé en dés, 1 poivron jaune (Capsicum) - coupé en dés, 1 poivron vert (Capsicum) - coupé en dés, 4 gousses d'ail - hachées, 2 cuillères à soupe de poudre de paprika - (ajuster), sel - au goût, 1 cuillère à café de grains de poivre noir entiers - fraîchement moulus (ajuster), huile d'olive extra vierge - selon les besoins</t>
  </si>
  <si>
    <t>2 cups Chicken breasts - chopped into small chunks,1 Red Bell pepper (Capsicum) - cubed,1 Yellow Bell Pepper (Capsicum) - cubed,1 Green Bell Pepper (Capsicum) - cubed,4 cloves Garlic - minced,2 tablespoons Paprika powder - (adjust),Salt - to taste,1 teaspoon Whole Black Peppercorns - freshly ground (adjust),Extra Virgin Olive Oil - as required</t>
  </si>
  <si>
    <t>2 tazas de pechugas de pollo cortadas en trozos pequeños, 1 pimiento morrón rojo (Capsicum) en cubos, 1 pimiento morrón amarillo (Capsicum) en cubos, 1 pimiento morrón verde (Capsicum) en cubos, 4 dientes de ajo picados, 2 cucharadas de pimentón en polvo (ajustar), sal al gusto, 1 cucharadita de granos de pimienta negra enteros recién molidos (ajustar), aceite de oliva virgen extra (según se requiera)</t>
  </si>
  <si>
    <t xml:space="preserve">To begin making the Paprika Chicken Skewers recipe, get prep with all the ingredients. Take wood skewers and soak them in a bowl of cold water for about 20 minutes.Meanwhile in a bowl, combine cubed chicken, paprika, garlic, salt and 2 tablespoons of olive oil. Mix  well to combine.Cover the bowl and place in refrigerator for about 2 hours.Combine all the cubed peppers in another bowl. Add a little olive oil, pepper and salt and mix them together.Thread the chicken and peppers on wood skewers alternatively and broil in the Oven for about 20 – 30 minutes or until done.Turn the skewers every 5 minutes and brush with olive oil to get an even cooking.Alternately, you can also cook them on tawa/Skillet. Make sure you brush them with olive regularly to help them from not getting burnt and remain moist.Serve Paprika Chicken Skewers as a party appetizer amongst others like Garlic Chicken Cheese Balls Recipe, Cheesy Garlic Broccoli Nuggets Recipe, and Loaded Baked Potato French Fries Recipe.
</t>
  </si>
  <si>
    <t>Para comenzar a hacer la receta de Brochetas de Pollo al Pimentón, prepárese con todos los ingredientes. Tome brochetas de madera y remójelas en un recipiente con agua fría durante unos 20 minutos. Mientras tanto, en un tazón, combine el pollo en cubos, el pimentón, el ajo, la sal y 2 cucharadas de aceite de oliva. Mezcle bien para combinar. Cubra el tazón y colóquelo en el refrigerador durante aproximadamente 2 horas. Combine todos los pimientos en cubos en otro tazón. Agregue un poco de aceite de oliva, pimienta y sal y mézclelos. Ensarte el pollo y los pimientos en brochetas de madera alternativamente y ase en el horno durante unos 20 a 30 minutos o hasta que estén hechos. Voltee las brochetas cada 5 minutos y úntelas con aceite de oliva para obtener una cocción uniforme. Alternativamente, también puede cocinarlas en tawa / sartén. Asegúrate de pincelarlos con aceite de oliva regularmente para evitar que se quemen y se mantengan húmedos. Sirve las brochetas de pollo con pimentón como aperitivo para fiestas, entre otras recetas, como las bolitas de pollo con queso y ajo, los nuggets de brócoli con ajo y queso, y las patatas fritas al horno.</t>
  </si>
  <si>
    <t>Pour commencer à préparer la recette des brochettes de poulet au paprika, préparez tous les ingrédients. Prenez des brochettes en bois et faites-les tremper dans un bol d'eau froide pendant environ 20 minutes. Pendant ce temps, dans un bol, mélangez le poulet coupé en dés, le paprika, l'ail, le sel et 2 cuillères à soupe d'huile d'olive. Bien mélanger. Couvrez le bol et placez au réfrigérateur pendant environ 2 heures. Mélangez tous les poivrons coupés en dés dans un autre bol. Ajoutez un peu d'huile d'olive, de poivre et de sel et mélangez-les ensemble. Enfilez le poulet et les poivrons sur des brochettes en bois en alternance et faites-les griller au four pendant environ 20 à 30 minutes ou jusqu'à ce qu'ils soient cuits. Retournez les brochettes toutes les 5 minutes et badigeonnez-les d'huile d'olive pour obtenir une cuisson uniforme. Vous pouvez également les faire cuire sur une tawa/poêle. Assurez-vous de les badigeonner régulièrement d'huile d'olive pour éviter qu'ils ne brûlent et restent moelleux. Servez les brochettes de poulet au paprika comme apéritif de fête, parmi d'autres comme la recette de boulettes de fromage au poulet et à l'ail, la recette de nuggets de brocoli à l'ail et au fromage et la recette de frites de pommes de terre au four garnies.</t>
  </si>
  <si>
    <t>http://www.archanaskitchen.com/paprika-chicken-skewers-recipe</t>
  </si>
  <si>
    <t>Stuffed Portobello Mushrooms Recipe With 7 Grain Rice And Sprout Salad</t>
  </si>
  <si>
    <t>Rezept für gefüllte Portobello-Pilze mit 7-Korn-Reis und Sprossensalat</t>
  </si>
  <si>
    <t>Recette de champignons portobello farcis au riz 7 grains et salade de germes</t>
  </si>
  <si>
    <t>Receta de Hongos Portobello Rellenos de Arroz de 7 Granos y Ensalada de Germinados</t>
  </si>
  <si>
    <t>4 champignons Portobello, 1/8 tasse de noix - ou pignons de pin, 1/8 tasse de parmesan, 2 cuillères à soupe de riz sauvage, 2 cuillères à soupe d'orge (graines), 2 cuillères à soupe de quinoa, 2 cuillères à soupe de riz brun, 2 cuillères à soupe de boulgour, 2 cuillères à soupe de blé décortiqué, 2 cuillères à soupe de sorgho, 2 tasses de bouillon de légumes, sel - au goût, 1 cuillère à café de beurre, 1 tasse de germes de luzerne verts - ou germes de luzerne, jus de citron - d'un demi-citron, 1 cuillère à café d'huile d'olive extra vierge, 1 cuillère à café de jus d'orange frais - ou de jus en conserve, sel et poivre - au goût</t>
  </si>
  <si>
    <t>4 Portobello mushrooms,1/8 Cup Walnuts - or Pine Nuts,1/8 Cup Parmesan cheese,2 tablespoons Wild Rice,2 tablespoons Barley (seeds),2 tablespoons Quinoa,2 tablespoons Brown Rice,2 tablespoons Bulgur wheat,2 tablespoons Hulled Wheat,2 tablespoons Sorghum,2 cups Vegetable stock,Salt - to taste,1 teaspoon Butter,1 cup Green Moong Sprouts - or alfalfa sprouts,Lemon juice - of half a lemon,1 teaspoon Extra Virgin Olive Oil,1 teaspoon Fresh orange juice - or can juice,Salt and Pepper - to taste</t>
  </si>
  <si>
    <t>4 hongos Portobello, 1/8 taza de nueces o piñones, 1/8 taza de queso parmesano, 2 cucharadas de arroz salvaje, 2 cucharadas de cebada (semillas), 2 cucharadas de quinoa, 2 cucharadas de arroz integral, 2 cucharadas de trigo bulgur, 2 cucharadas de trigo descascarillado, 2 cucharadas de sorgo, 2 tazas de caldo de verduras, sal - al gusto, 1 cucharadita de mantequilla, 1 taza de brotes de Moong verdes - o brotes de alfalfa, jugo de limón - de medio limón, 1 cucharadita de aceite de oliva virgen extra, 1 cucharadita de jugo de naranja fresco - o jugo de lata, sal y pimienta - al gusto</t>
  </si>
  <si>
    <t xml:space="preserve">To begin making Stuffed Portobello Mushrooms, heat a saucepan over medium heat. Pour the vegetable broth in the saucepan. Bring to the boil and add the seven-grain rice mix. Taste and season with salt accordingly.When the mixture starts to boil, lower the heat and simmer until the rice grains are completely cooked. The grains should be cooked through yet not disintegrated. Turn off the heat. Mix in butter, grated parmesan cheese, pine nuts, stir to combine and set aside until required.In a salad mixing bowl whisk together olive oil, lemon juice, orange juice along with required salt and pepper Add the sprouts and stir to toss sprouts in the dressing. Keep aside in the refrigerator until required.Clean, wash and pat dry the mushrooms. Cut the stem of the mushroom and hollow the mushroom using a spoon, make sure not to break the cap of the mushroom.Preheat your oven to 180 C. Line a baking sheet with parchment paper or grease with little oil.Arrange the mushrooms in the baking sheet, hollow side facing upwards.Scoop a large spoon of rice mixture and stuff inside the mushroom.Press gently with your fingers or back of the spoon. Season with salt and pepper. Sprinkle grated parmesan over the stuffed mushrooms.Bake stuffed mushrooms for 20 minutes or until crisp from outside.Serve Stuffed Portobello Mushroom as an entree dish for parties along with Light And Creamy Broccoli Soup Recipe and Roasted Tomato and Basil Bruschetta.
</t>
  </si>
  <si>
    <t>Para preparar los champiñones Portobello rellenos, calienta una cacerola a fuego medio. Vierte el caldo de verduras. Lleva a ebullición y añade la mezcla de arroz de siete granos. Prueba y sazona con sal al gusto. Cuando la mezcla empiece a hervir, baja el fuego y cocina a fuego lento hasta que los granos de arroz estén completamente cocidos. Los granos deben estar bien cocidos, pero no desintegrados. Apaga el fuego. Incorpora la mantequilla, el queso parmesano rallado y los piñones, remueve bien y reserva hasta que se necesite. En una ensaladera, mezcla el aceite de oliva, el zumo de limón y el zumo de naranja con la sal y la pimienta necesarias. Agrega los brotes y remueve para que se integren con el aderezo. Reserva en el refrigerador hasta que se necesiten. Limpia, lava y seca los champiñones. Corta el tallo del champiñón y ahueca el champiñón con una cuchara, asegurándote de no romper el sombrero. Precalienta el horno a 180 °C. Cubre una bandeja para hornear con papel vegetal o engrásala con un poco de aceite. Coloca los champiñones en la bandeja, con el hueco hacia arriba. Toma una cucharada grande de la mezcla de arroz y rellénala con el champiñón. Presiona suavemente con los dedos o con el dorso de una cuchara. Sazona con sal y pimienta. Espolvorea parmesano rallado sobre los champiñones rellenos. Hornea los champiñones rellenos durante 20 minutos o hasta que estén crujientes por fuera. Sirve los champiñones portobello rellenos como plato principal para fiestas junto con la receta de sopa de brócoli ligera y cremosa y la bruschetta de tomate asado y albahaca.</t>
  </si>
  <si>
    <t>Pour préparer les champignons portobello farcis, faites chauffer une casserole à feu moyen. Versez le bouillon de légumes dans la casserole. Portez à ébullition et ajoutez le mélange de riz aux sept grains. Goûtez et salez. Lorsque le mélange commence à bouillir, baissez le feu et laissez mijoter jusqu'à ce que les grains de riz soient bien cuits. Ils doivent être cuits à cœur, mais pas désintégrés. Éteignez le feu. Incorporez le beurre, le parmesan râpé et les pignons de pin, mélangez bien et réservez. Dans un saladier, fouettez l'huile d'olive, le jus de citron et le jus d'orange, salez et poivrez. Ajoutez les pousses et mélangez bien pour bien les enrober de vinaigrette. Réservez au réfrigérateur. Nettoyez, lavez et séchez les champignons. Coupez le pied du champignon et évidez-le à l'aide d'une cuillère, en veillant à ne pas casser le chapeau du champignon. Préchauffez votre four à 180 °C. Tapissez une plaque de cuisson de papier sulfurisé ou graissez-la avec un peu d'huile. Disposez les champignons sur la plaque, côté creux vers le haut. Prélevez une grande cuillère de mélange de riz et farcissez l'intérieur du champignon. Appuyez doucement avec vos doigts ou le dos d'une cuillère. Assaisonnez de sel et de poivre. Saupoudrez de parmesan râpé sur les champignons farcis. Faites cuire les champignons farcis pendant 20 minutes ou jusqu'à ce qu'ils soient croustillants de l'extérieur. Servez les champignons portobello farcis en entrée pour les fêtes, accompagnés de la recette de soupe légère et crémeuse au brocoli et de la bruschetta aux tomates rôties et au basilic.</t>
  </si>
  <si>
    <t>http://www.archanaskitchen.com/stuffed-portobello-mushrooms-with-7-grain-rice-pinenuts-and-sprouts-recipe</t>
  </si>
  <si>
    <t>Whole Grain and Oat Buns Recipe (Healthy Dinner Rolls)</t>
  </si>
  <si>
    <t>Rezept für Vollkorn-Haferbrötchen (Gesunde Brötchen)</t>
  </si>
  <si>
    <t>Recette de petits pains à l'avoine complète (petits pains sains)</t>
  </si>
  <si>
    <t>Receta de panecillos de avena integral (panecillos saludables)</t>
  </si>
  <si>
    <t>1/2 tasse de lait, 3/4 tasse d'eau tiède, 2 cuillères à soupe de beurre (non salé), 3 cuillères à café de levure sèche active, 2 cuillères à soupe de miel, 1 tasse de farine de blé entier, 1 tasse de farine d'avoine, 1-1/2 tasse de farine tout usage (Maida), 1 cuillère à café de sel, 1/4 tasse de lait, flocons d'avoine instantanés (gruau) - pour saupoudrer</t>
  </si>
  <si>
    <t>1/2 cup Milk,3/4 cup Lukewarm Water,2 tablespoons Butter (unsalted),3 teaspoons Active dry yeast,2 tablespoons Honey,1 cup Whole Wheat Flour,1 cup Oats Flour,1-1/2 cups All Purpose Flour (Maida),1 teaspoon Salt,1/4 cup Milk,Instant Oats (Oatmeal) - for sprinkling</t>
  </si>
  <si>
    <t>1/2 taza de leche, 3/4 taza de agua tibia, 2 cucharadas de mantequilla (sin sal), 3 cucharaditas de levadura seca activa, 2 cucharadas de miel, 1 taza de harina integral, 1 taza de harina de avena, 1-1/2 tazas de harina para todo uso (Maida), 1 cucharadita de sal, 1/4 taza de leche, avena instantánea (avena) - para espolvorear</t>
  </si>
  <si>
    <t xml:space="preserve">To begin making the Whole Grain and Oat Buns Recipe (Healthy Dinner Rolls), in a small saucepan combine the soft butter, milk, and water. Set over low heat until the butter is melt or just warm to the touch. Stir in the yeast and honey.In the bowl, combine the whole wheat flour, oat flour, all-purpose flour, and salt. Add the milk mixture and stir until combined. Knead, until the dough comes together in a smooth, elastic, and slightly sticky ball.If the bun dough is unbearably sticky, add more flour 1 tablespoon at a time. Avoid adding extra flour if possible, sticky is better than dense.Remove the bun dough to a well-oiled bowl, turning to coat completely in oil. Cover with plastic wrap and let rise until doubled in size, about 1 hour.Turn the bun dough out onto a floured work surface and divide into the 9 rolls. Form each piece into a smooth tight ball by stretching the corners around the bottom and rolling between your palm and the counter.Grease an 8 by 8-inch baking dish. Place each ball of the Whole Grain and Oat dough in the dish and cover with plastic wrap or a muslin cloth. Let rise again until puffy, about 30 minutes.Meanwhile, preheat the oven to 180°C.Take 1/4 cup of milk and brush over the rolls. Sprinkle some oats and place it on the baking tray. Bake the Whole Grain and Oat Buns for about 10 to 15 minutes, or until golden. Once done, remove from the oven and serve warm.Serve the Whole Grain and Oat Buns Recipe (Healthy Dinner Rolls) with a Creamy Radish Soup Recipe With Sweet Potato and salad for a wholesome dinner.
</t>
  </si>
  <si>
    <t>Para comenzar a hacer la Receta de Bollos de Avena y Granos Integrales (Bollos Saludables para la Cena), en una cacerola pequeña combine la mantequilla blanda, la leche y el agua. Ponga a fuego lento hasta que la mantequilla se derrita o esté tibia al tacto. Agregue la levadura y la miel. En el tazón, combine la harina integral, la harina de avena, la harina para todo uso y la sal. Agregue la mezcla de leche y revuelva hasta que se combinen. Amase, hasta que la masa se una en una bola suave, elástica y ligeramente pegajosa. Si la masa del bollo está insoportablemente pegajosa, agregue más harina 1 cucharada a la vez. Evite agregar harina adicional si es posible, pegajoso es mejor que denso. Retire la masa del bollo a un tazón bien engrasado, volteándola para cubrir completamente con aceite. Cubra con envoltura plástica y deje levar hasta que doble su tamaño, aproximadamente 1 hora. Coloque la masa del bollo sobre una superficie de trabajo enharinada y divídala en los 9 bollos. Forma cada pieza en una bola suave y apretada estirando las esquinas alrededor de la base y rodándola entre la palma de la mano y la encimera. Engrasa un molde para hornear de 8 por 8 pulgadas. Coloca cada bola de masa de grano entero y avena en el molde y cúbrela con film transparente o una tela de muselina. Deja levar de nuevo hasta que esté esponjosa, unos 30 minutos. Mientras tanto, precalienta el horno a 180 °C. Toma 1/4 de taza de leche y pincela los panecillos. Espolvorea un poco de avena y colócala en la bandeja para hornear. Hornea los bollos de grano entero y avena durante unos 10 a 15 minutos, o hasta que estén dorados. Una vez listo, retira del horno y sirve caliente. Sirve la receta de bollos de grano entero y avena (panecillos saludables para la cena) con una receta de sopa cremosa de rábano con batata y ensalada para una cena saludable.</t>
  </si>
  <si>
    <t>Pour commencer à préparer la recette de petits pains aux grains entiers et à l'avoine (petits pains sains), dans une petite casserole, mélanger le beurre mou, le lait et l'eau. Mettre à feu doux jusqu'à ce que le beurre soit fondu ou juste chaud au toucher. Incorporer la levure et le miel. Dans le bol, mélanger la farine de blé entier, la farine d'avoine, la farine tout usage et le sel. Ajouter le mélange de lait et remuer jusqu'à ce que le tout soit combiné. Pétrir jusqu'à ce que la pâte se rassemble en une boule lisse, élastique et légèrement collante. Si la pâte à pain est insupportablement collante, ajouter plus de farine 1 cuillère à soupe à la fois. Évitez d'ajouter de la farine supplémentaire si possible, collante est mieux que dense. Retirer la pâte à pain dans un bol bien huilé, en la retournant pour l'enrober complètement d'huile. Couvrir d'une pellicule plastique et laisser lever jusqu'à ce qu'elle double de volume, environ 1 heure. Retourner la pâte à pain sur un plan de travail fariné et la diviser en 9 rouleaux. Façonnez chaque morceau en une boule lisse et serrée en étirant les coins autour du fond et en roulant entre votre paume et le comptoir. Graissez un plat de cuisson de 20 x 20 cm. Placez chaque boule de pâte à grains entiers et à l'avoine dans le plat et couvrez d'une pellicule plastique ou d'une mousseline. Laissez lever à nouveau jusqu'à ce qu'elle soit gonflée, environ 30 minutes. Pendant ce temps, préchauffez le four à 180 °C. Prenez 60 ml de lait et badigeonnez les petits pains. Saupoudrez d'avoine et placez-les sur la plaque de cuisson. Faites cuire les petits pains à grains entiers et à l'avoine pendant environ 10 à 15 minutes, ou jusqu'à ce qu'ils soient dorés. Une fois cuits, retirez du four et servez chaud. Servez la recette de petits pains à grains entiers et à l'avoine (petits pains sains) avec une recette de soupe crémeuse aux radis et à la patate douce et une salade pour un dîner sain.</t>
  </si>
  <si>
    <t>http://www.archanaskitchen.com/whole-grain-and-oat-buns-recipe-healthy-dinner-rolls</t>
  </si>
  <si>
    <t>Mango Iced Tea Recipe</t>
  </si>
  <si>
    <t>Rezept für Mango-Eistee</t>
  </si>
  <si>
    <t>Recette de thé glacé à la mangue</t>
  </si>
  <si>
    <t>Receta de té helado de mango</t>
  </si>
  <si>
    <t>2 mangues (mûres), 2 sachets de thé, 1 cuillère à soupe de jus de citron, sucre (au besoin), 4 tasses d'eau, citron (quelques tranches), feuilles de menthe (Pudina) (quelques-unes), glaçons (au besoin), 1 mangue (mûre) (tranchée) (facultatif)</t>
  </si>
  <si>
    <t>2 Mango (Ripe),2 Tea bags,1 tablespoon Lemon juice,Sugar - as needed,4 cups Water,Lemon - Few slices,Mint Leaves (Pudina) - Few,Ice cubes - as required,1 Mango (Ripe) - sliced (optional)</t>
  </si>
  <si>
    <t>2 mangos (maduros), 2 bolsitas de té, 1 cucharada de jugo de limón, azúcar (cantidad necesaria), 4 tazas de agua, limón (unas rodajas), hojas de menta (menta) (unas), cubitos de hielo (cantidad necesaria), 1 mango (maduro) (en rodajas, opcional)</t>
  </si>
  <si>
    <t xml:space="preserve">To begin making the Mango Iced Tea, firstly wash, peel, chop the mangoes and puree them in a blender and refrigerate it.Heat water in a sauce pan and dip the tea bags and turn off the gas. Let the tea bag rest in the pan for a while till the water cools completely.Remove the tea bags and refrigerate the black tea. In a blender jar, add chilled tea, mango puree, lemon juice and sugar and blend together.Pour the prepared Mango Iced Tea in the serving glass. Add plenty of ice, some lemon slices and mint leaf to garnish.Serve Mango Iced Tea to beat the scorching heat this summer along with snacks like Muesli Banana Fritters and Gobi Matar Mini Samosa.
</t>
  </si>
  <si>
    <t>Para preparar el té helado de mango, primero lava, pela y pica los mangos, haz un puré en una licuadora y refrigéralo. Calienta agua en una cacerola, sumerge las bolsitas de té y apaga el fuego. Deja reposar la bolsita de té en la cacerola un rato hasta que el agua se enfríe por completo. Retira las bolsitas de té y refrigera el té negro. En la jarra de la licuadora, agrega el té frío, el puré de mango, el jugo de limón y el azúcar y mezcla todo. Vierte el té helado de mango preparado en el vaso para servir. Agrega abundante hielo, algunas rodajas de limón y una hoja de menta para decorar. Sirve el té helado de mango para combatir el calor abrasador este verano junto con bocadillos como buñuelos de plátano con muesli y mini samosas de gobi mata.</t>
  </si>
  <si>
    <t>Pour préparer le thé glacé à la mangue, lavez, épluchez et coupez les mangues en morceaux, puis mixez-les au mixeur et placez-les au réfrigérateur. Faites chauffer de l'eau dans une casserole, plongez-y les sachets de thé et coupez le feu. Laissez reposer le sachet dans la casserole jusqu'à ce que l'eau refroidisse complètement. Retirez les sachets de thé et placez le thé noir au réfrigérateur. Dans le bol d'un mixeur, ajoutez le thé glacé, la purée de mangue, le jus de citron et le sucre, puis mixez. Versez le thé glacé à la mangue préparé dans le verre. Ajoutez beaucoup de glaçons, quelques tranches de citron et une feuille de menthe pour décorer. Servez le thé glacé à la mangue pour affronter la chaleur torride de cet été, accompagné d'en-cas comme des beignets de banane au muesli et des mini-samoussas Gobi Matar.</t>
  </si>
  <si>
    <t>https://www.archanaskitchen.com/mango-iced-tea-recipe</t>
  </si>
  <si>
    <t>Smoky Eggplant Soup Recipe</t>
  </si>
  <si>
    <t>Rauchige Auberginensuppe Rezept – Rezept für Rauchige Auberginensuppe</t>
  </si>
  <si>
    <t>Recette de soupe d'aubergines fumées – Recette de soupe d'aubergines fumées</t>
  </si>
  <si>
    <t>Receta de sopa de berenjena ahumada – Receta de sopa de berenjena ahumada</t>
  </si>
  <si>
    <t>1 aubergine, 2 tasses de bouillon de légumes, 2 cuillères à café de poudre de poivre, 1 cuillère à café de poudre de cumin, 1/2 cuillère à café de sel, sel - selon le goût, 2 cuillères à café d'amandes - compresse, huile - selon l'utilisation</t>
  </si>
  <si>
    <t>1 eggplant, 2 cups vegetable stock, 2 teaspoon pepper powder, 1 teaspoon cumin powder, 1/2 teaspoon salt, salt - as per taste, 2 teaspoons almonds - compress, oil - as per use</t>
  </si>
  <si>
    <t>1 berenjena, 2 tazas de caldo de verduras, 2 cucharaditas de pimienta en polvo, 1 cucharadita de comino en polvo, 1/2 cucharadita de sal, sal - al gusto, 2 cucharaditas de almendras - compresa, aceite - según uso</t>
  </si>
  <si>
    <t>To make Smoky Eggplant Soup recipe, first preheat the oven at 180 degree Celsius for 10 minutes. Now prick the brinjals with the help of a fork. Apply some oil and salt, place it in the oven and roast it for 25 minutes. You can also roast it on gas flame. Keep turning the brinjals at times so that they get cooked from all sides. Take it out and keep it aside for 20 minutes. After it cools down, remove its peel and seeds and keep the pulp separately. Take a hand blender and make a paste of the fried brinjals. You can also use vegetables of your choice in it. After making the paste, put it in a saucepan along with vegetable stock and mix it. Add salt, black pepper, cumin powder, boil it and turn off the gas after it boils. Serve the Smoky Eggplant Soup recipe with garlic bread before a meal or with your choice of pasta or salad to finish the meal.</t>
  </si>
  <si>
    <t>Para preparar la receta de Sopa de Berenjena Ahumada, primero precalienta el horno a 180 grados Celsius durante 10 minutos. Ahora pincha las berenjenas con la ayuda de un tenedor. Aplica un poco de aceite y sal, colócalas en el horno y ásalas durante 25 minutos. También puedes asarlas a fuego lento. Sigue volteando las berenjenas de vez en cuando para que se cocinen por todos lados. Sácalas y déjalas reposar durante 20 minutos. Después de que se enfríen, retira la cáscara y las semillas y reserva la pulpa. Toma una batidora de mano y haz una pasta con las berenjenas fritas. También puedes usar las verduras de tu elección. Después de hacer la pasta, ponla en una cacerola junto con el caldo de verduras y mézclala. Agrega sal, pimienta negra, comino en polvo, hiérvela y apaga el gas después de que hierva. Sirve la receta de Sopa de Berenjena Ahumada con pan de ajo antes de una comida o con tu elección de pasta o ensalada para terminar la comida.</t>
  </si>
  <si>
    <t>Pour préparer la soupe d'aubergines fumées, préchauffez le four à 180 °C pendant 10 minutes. Piquez les aubergines à l'aide d'une fourchette. Huilez et salez, enfournez et faites cuire 25 minutes. Vous pouvez également les faire cuire au gaz. Retournez-les régulièrement pour qu'elles soient bien cuites. Sortez-les et réservez-les 20 minutes. Une fois refroidies, retirez la peau et les graines, et conservez la pulpe. À l'aide d'un mixeur plongeant, préparez une pâte avec les aubergines frites. Vous pouvez également y ajouter les légumes de votre choix. Une fois la pâte préparée, versez-la dans une casserole avec le bouillon de légumes et mélangez. Ajoutez du sel, du poivre noir et du cumin en poudre, portez à ébullition et coupez le feu. Servez la soupe d'aubergines fumées avec du pain à l'ail avant un repas, ou avec des pâtes ou une salade de votre choix pour terminer le repas.</t>
  </si>
  <si>
    <t>http://www.archanaskitchen.com/smoky-eggplant-soup-recipe-in-hindi</t>
  </si>
  <si>
    <t>Bullseye On Toast Recipe</t>
  </si>
  <si>
    <t>Rezept für Bullseye auf Toast</t>
  </si>
  <si>
    <t>Recette de Bullseye sur toast</t>
  </si>
  <si>
    <t>Receta de Bullseye en pan tostado</t>
  </si>
  <si>
    <t>2 œufs entiers, 2 pains complets de blé entier, sel - au goût, poivre noir en poudre - à saupoudrer, beurre - pour graisser</t>
  </si>
  <si>
    <t>2 Whole Eggs,2 Whole Wheat Brown Bread,Salt - to taste,Black pepper powder - to sprinkle,Butter - to grease</t>
  </si>
  <si>
    <t>2 huevos enteros, 2 panes integrales, sal (al gusto), pimienta negra en polvo (para espolvorear), mantequilla (para engrasar).</t>
  </si>
  <si>
    <t xml:space="preserve">To begin making the Bullseye on Toast, using a cookie cutter or the lid of a steel jar, make a hole in the center of the bread. Discard the center piece.Heat a griddle on medium flame, grease it with some butter and place the slice of bread on it.Gradually. Break an egg in the hole of the bread, sprinkle salt and pepper, reduce the flame and cover and cook for 5-7 minutes.If you like slightly undercooked eggs, just take it off the griddle and serve it now, if not flip the toast on the other side and allow to cook for 2-4 minutes.Serve Bullseye on Toast along with Fresh Fruit Bowl Recipe and Nutty Delight Smoothie Recipe for a wholesome breakfast.
</t>
  </si>
  <si>
    <t>Para empezar a preparar la Bullseye on Toast, con un cortador de galletas o la tapa de un frasco de acero, haz un agujero en el centro del pan. Desecha el trozo central. Calienta una plancha a fuego medio, engrásala con un poco de mantequilla y coloca la rebanada de pan encima. Poco a poco, rompe un huevo en el agujero del pan, espolvorea sal y pimienta, reduce el fuego, tapa y cocina de 5 a 7 minutos. Si te gustan los huevos un poco crudos, simplemente retíralos de la plancha y sírvelos ahora; si no, dale la vuelta a la tostada y déjala cocinar de 2 a 4 minutos. Sirve la Bullseye on Toast junto con la Receta de Tazón de Fruta Fresca y la Receta de Batido Nutty Delight para un desayuno saludable.</t>
  </si>
  <si>
    <t>Pour commencer à préparer le Bullseye sur toast, à l'aide d'un emporte-pièce ou du couvercle d'un bocal en acier, faites un trou au centre du pain. Jetez le morceau central. Faites chauffer une plaque de cuisson à feu moyen, graissez-la avec un peu de beurre et placez-y la tranche de pain. Progressivement, cassez un œuf dans le trou du pain, salez et poivrez, réduisez le feu, couvrez et laissez cuire 5 à 7 minutes. Si vous aimez les œufs légèrement insuffisamment cuits, retirez-les simplement de la plaque et servez-les immédiatement. Sinon, retournez le pain de l'autre côté et laissez cuire 2 à 4 minutes. Servez le Bullseye sur toast avec la recette du bol de fruits frais et la recette du smoothie Nutty Delight pour un petit-déjeuner sain.</t>
  </si>
  <si>
    <t>https://www.archanaskitchen.com/bullseye-on-toast-recipe</t>
  </si>
  <si>
    <t>Rezept für rauchige Auberginensuppe</t>
  </si>
  <si>
    <t>Recette de soupe d'aubergines fumées</t>
  </si>
  <si>
    <t>Receta de sopa de berenjena ahumada</t>
  </si>
  <si>
    <t>1 aubergine, 2 tasses de bouillon de légumes, 2 cuillères à café de poudre de poivre noir, 1 cuillère à café de poudre de cumin (Jeera), 1/2 cuillère à café de sel, sel - au goût, 2 cuillères à café de Badam (amande) - grillées, huile de tournesol</t>
  </si>
  <si>
    <t>1 Aubergine,2 cups Vegetable stock,2 teaspoon Black pepper powder,1 teaspoon Cumin powder (Jeera),1/2 teaspoon Salt,Salt - to taste,2 teaspoons Badam (Almond) - toasted,Sunflower Oil</t>
  </si>
  <si>
    <t>1 berenjena, 2 tazas de caldo de verduras, 2 cucharaditas de pimienta negra en polvo, 1 cucharadita de comino en polvo (Jeera), 1/2 cucharadita de sal, sal - al gusto, 2 cucharaditas de Badam (almendra) - tostada, aceite de girasol</t>
  </si>
  <si>
    <t xml:space="preserve">To begin making the Smoky Eggplant Soup Recipe by preheating the oven at 180-degree celsius for about 10 minutes. Poke holes on the aubergine with the help of a fork so that it helps in cooking. Apply some oil and sprinkle some salt. Rest it on a tray, once the oven is heated, let the eggplant roast for about 25 minutes. keep turning the aubergine so that it roasts evenly, bake until it is soft. Take it out and let it rest for about 20 minutes till it cools down. Remove the skin and take out all the seeds and retain only the pulp(flesh). Using a hand blender, blend the roasted aubergine flesh to a smooth paste. You can also add in the vegetables that were used to make the broth. Once done put it in a saucepan, mix it with the vegetable broth. season the soup with salt, pepper and cumin powder. Bring it to a boil and switch off the heat.Serve the Smoky Eggplant Soup Recipe by sprinkling some toasted almonds for a healthy breakfast meal along with Whole Wheat Stuffed Bread Sticks Recipe.
</t>
  </si>
  <si>
    <t>Para comenzar a hacer la Receta de Sopa de Berenjena Ahumada precalentando el horno a 180 grados centígrados durante unos 10 minutos. Haz agujeros en la berenjena con la ayuda de un tenedor para que ayude en la cocción. Aplica un poco de aceite y espolvorea un poco de sal. Colócala en una bandeja, una vez que el horno esté caliente, deja que la berenjena se ase durante unos 25 minutos. Sigue volteando la berenjena para que se ase uniformemente, hornea hasta que esté suave. Sácala y déjala reposar durante unos 20 minutos hasta que se enfríe. Retira la piel y saca todas las semillas y conserva solo la pulpa (pulpa). Con una batidora de mano, mezcla la pulpa de berenjena asada hasta obtener una pasta suave. También puedes agregar las verduras que se usaron para hacer el caldo. Una vez hecho esto, ponlo en una cacerola, mézclalo con el caldo de verduras. Sazona la sopa con sal, pimienta y comino en polvo. Póngalo a hervir y apague el fuego. Sirva la receta de sopa de berenjena ahumada espolvoreando algunas almendras tostadas para un desayuno saludable, junto con la receta de palitos de pan rellenos de trigo integral.</t>
  </si>
  <si>
    <t>Pour commencer à préparer la recette de soupe d'aubergines fumées, préchauffez le four à 180 degrés Celsius pendant environ 10 minutes. Percez des trous sur l'aubergine à l'aide d'une fourchette pour faciliter la cuisson. Appliquez un peu d'huile et saupoudrez de sel. Posez-la sur une plaque, une fois le four chaud, laissez l'aubergine rôtir pendant environ 25 minutes. Continuez à tourner l'aubergine pour qu'elle rôtisse uniformément, faites cuire jusqu'à ce qu'elle soit tendre. Retirez-la et laissez-la reposer pendant environ 20 minutes jusqu'à ce qu'elle refroidisse. Retirez la peau et retirez toutes les graines et ne conservez que la pulpe (chair). À l'aide d'un mixeur plongeant, mixez la chair d'aubergine rôtie jusqu'à obtenir une pâte lisse. Vous pouvez également ajouter les légumes qui ont servi à faire le bouillon. Une fois terminé, mettez-le dans une casserole, mélangez-le avec le bouillon de légumes. Assaisonnez la soupe avec du sel, du poivre et du cumin en poudre. Portez à ébullition et éteignez le feu. Servez la recette de soupe d'aubergines fumées en saupoudrant d'amandes grillées pour un petit-déjeuner sain accompagné de la recette de bâtonnets de pain farcis au blé entier.</t>
  </si>
  <si>
    <t>https://www.archanaskitchen.com/smoky-eggplant-soup-recipe</t>
  </si>
  <si>
    <t>Tofu &amp; Veggie Coleslaw Sandwich Recipe</t>
  </si>
  <si>
    <t>Rezept für ein Sandwich mit Tofu und vegetarischem Krautsalat</t>
  </si>
  <si>
    <t>Recette de sandwich au tofu et salade de chou végétarienne</t>
  </si>
  <si>
    <t>Receta de sándwich vegetariano de tofu y ensalada de col</t>
  </si>
  <si>
    <t>4 pains complets bruns, 100 grammes de tofu coupé en carrés de 4 centimètres, 1 cuillère à soupe de sauce soja, 1 cuillère à soupe de miel, 1 cuillère à soupe de sauce chili rouge, 1 cuillère à café de graines de sésame (graines de Til) - noires et blanches, 1 tasse de chou (Patta Gobi/Muttaikose) - râpé, 1 carotte (Gajjar) - râpée, 1 concombre - râpé, 1 brin de feuilles de coriandre (Dhania), 4 cuillères à soupe de Hung Curd (yaourt grec), 1 cuillère à soupe de sauce moutarde, 1 jus de citron, 1 cuillère à café de sucre, sel et poivre - pour l'assaisonnement</t>
  </si>
  <si>
    <t>4 Whole Wheat Brown Bread,100 grams Tofu - sliced into 4 centimeter squares,1 tablespoon Soy sauce,1 tablespoon Honey,1 tablespoon Red Chilli sauce,1 teaspoon Sesame seeds (Til seeds) - Black and white,1 cup Cabbage (Patta Gobi/ Muttaikose) - shredded,1 Carrot (Gajjar) - grated,1 Cucumber - grated,1 sprig Coriander (Dhania) Leaves,4 tablespoon Hung Curd (Greek Yogurt),1 tablespoon Mustard sauce,1 Lemon juice,1 teaspoon Sugar,Salt and Pepper - for seasoning</t>
  </si>
  <si>
    <t>4 panes integrales, 100 gramos de tofu (cortado en cuadrados de 4 centímetros), 1 cucharada de salsa de soja, 1 cucharada de miel, 1 cucharada de salsa de chile rojo, 1 cucharadita de semillas de sésamo (semillas de Til) - blancas y negras, 1 taza de repollo (Patta Gobi/ Muttaikose) - rallado, 1 zanahoria (Gajjar) - rallada, 1 pepino - rallado, 1 ramita de hojas de cilantro (Dhania), 4 cucharadas de cuajada Hung (yogur griego), 1 cucharada de salsa de mostaza, 1 jugo de limón, 1 cucharadita de azúcar, sal y pimienta - para condimentar</t>
  </si>
  <si>
    <t xml:space="preserve">To begin making the Tofu &amp; Veggie Coleslaw Sandwich Recipe, we will first prepare the coleslaw. In a mixing bowl, add the chopped cabbage, carrots and cucumbers. To this add curd along with all the dressings - mustard sauce, lemon juice, sugar, salt and pepper. Mix well and keep aside - your coleslaw is ready. Place a saucepan on heat and toast the tofu on both sides with little bit of oil till it is golden brown.Add in the soy sauce, honey and chili sauce. Coat the tofu pieces well with the sauce and finally add in the sesame seeds. Now to assemble the sandwich, spread a dollop of butter over one side of each of the slices and keep it ready. Take a spoonful of the Coleslaw salad and spread it evenly on the bread, then place the tofu square on top and close it with another slice. Toast the sandwich in a sandwich toaster till it is golden brown and serve. Serve the Tofu &amp; Veggie Coleslaw Sandwich Recipe along with a Banana Almond &amp; Prunes Smoothie for a protein rich breakfastYou can also pack this sandwich in your kids lunch box along with a handful of nuts and pomegranates to make it a healthy meal.
</t>
  </si>
  <si>
    <t>Para comenzar a hacer la Receta de Sándwich de Ensalada de Col con Tofu y Vegetales, primero prepararemos la ensalada de col. En un tazón, agregue el repollo picado, las zanahorias y los pepinos. A esto agregue la cuajada junto con todos los aderezos: salsa de mostaza, jugo de limón, azúcar, sal y pimienta. Mezcle bien y reserve: su ensalada de col está lista. Coloque una cacerola a fuego alto y tueste el tofu por ambos lados con un poco de aceite hasta que esté dorado. Agregue la salsa de soja, la miel y la salsa de chile. Cubra bien los trozos de tofu con la salsa y finalmente agregue las semillas de sésamo. Ahora, para armar el sándwich, unte una cucharada de mantequilla sobre un lado de cada una de las rebanadas y manténgala lista. Tome una cucharada de ensalada de col y extiéndala uniformemente sobre el pan, luego coloque el cuadrado de tofu encima y ciérrelo con otra rebanada. Tueste el sándwich en una tostadora de sándwiches hasta que esté dorado y sirva. Sirva la receta del sándwich de ensalada de col con tofu y verduras junto con un batido de plátano, almendras y ciruelas pasas para un desayuno rico en proteínas. También puede llevar este sándwich en la lonchera de sus hijos junto con un puñado de nueces y granadas para que sea una comida saludable.</t>
  </si>
  <si>
    <t>Pour commencer à préparer la recette du sandwich au tofu et à la salade de chou végétarienne, nous allons d'abord préparer la salade de chou. Dans un saladier, ajoutez le chou haché, les carottes et les concombres. Ajoutez-y le caillé ainsi que toutes les vinaigrettes - sauce moutarde, jus de citron, sucre, sel et poivre. Bien mélanger et réserver - votre salade de chou est prête. Placez une casserole sur le feu et faites griller le tofu des deux côtés avec un peu d'huile jusqu'à ce qu'il soit doré. Ajoutez la sauce soja, le miel et la sauce chili. Enrobez bien les morceaux de tofu de sauce et ajoutez enfin les graines de sésame. Maintenant, pour assembler le sandwich, étalez une cuillerée de beurre sur un côté de chaque tranche et réservez-la. Prenez une cuillerée de salade de chou et étalez-la uniformément sur le pain, puis placez le carré de tofu dessus et fermez-le avec une autre tranche. Faites griller le sandwich dans un grille-pain jusqu'à ce qu'il soit doré et servez. Servez la recette de sandwich au tofu et à la salade de chou végétarienne avec un smoothie banane, amandes et pruneaux pour un petit-déjeuner riche en protéines. Vous pouvez également emporter ce sandwich dans la boîte à lunch de vos enfants avec une poignée de noix et de grenades pour en faire un repas sain.</t>
  </si>
  <si>
    <t>http://www.archanaskitchen.com/tofu-veggie-cole-slaw-sandwich-recipe</t>
  </si>
  <si>
    <t>Sticky Date Pudding With Butterscotch Sauce Recipe</t>
  </si>
  <si>
    <t>Rezept für klebrigen Dattelpudding mit Butterscotch-Sauce</t>
  </si>
  <si>
    <t>Recette de pudding collant aux dattes et sauce au caramel</t>
  </si>
  <si>
    <t>Receta de pudín de dátiles pegajoso con salsa de caramelo</t>
  </si>
  <si>
    <t>1/2 tasse de dattes dénoyautées et grossièrement hachées, 3/4 tasse de lait, 1/2 cuillère à café de bicarbonate de soude, 1/2 tasse de cassonade (sucre Demerara), 1/2 cuillère à café de cannelle en poudre (Dalchini), 1/4 cuillère à café de sel, 3/4 tasse de farine tout usage (Maida), 1/2 tasse de beurre (non salé), 1 tasse de cassonade (sucre Demerara), 1/4 tasse de beurre en cubes, 1-1/4 tasse de crème fraîche, 1 cuillère à café d'extrait de vanille ou d'essence de caramel écossais, noix ou pacanes (facultatif)</t>
  </si>
  <si>
    <t>1/2 cup Dates - pitted and roughly chopped,3/4 cup Milk,1/2 teaspoon Baking soda,1/2 cup Brown Sugar (Demerara Sugar),1/2 teaspoon Cinnamon Powder (Dalchini),1/4 teaspoon Salt,3/4 cup All Purpose Flour (Maida),1/2 cup Butter (unsalted),1 cup Brown Sugar (Demerara Sugar),1/4 cup Butter - cubed,1-1/4 cup Fresh cream,1 teaspoon Vanilla Extract - or butterscotch essence,Walnuts - or pecans (optional)</t>
  </si>
  <si>
    <t>1/2 taza de dátiles - sin hueso y picados gruesamente, 3/4 taza de leche, 1/2 cucharadita de bicarbonato de sodio, 1/2 taza de azúcar morena (azúcar Demerara), 1/2 cucharadita de canela en polvo (Dalchini), 1/4 cucharadita de sal, 3/4 taza de harina para todo uso (Maida), 1/2 taza de mantequilla (sin sal), 1 taza de azúcar morena (azúcar Demerara), 1/4 taza de mantequilla - en cubos, 1-1/4 taza de crema fresca, 1 cucharadita de extracto de vainilla - o esencia de caramelo, nueces - o pecanas (opcional)</t>
  </si>
  <si>
    <t xml:space="preserve">To prepare Sticky Date Pudding With Butterscotch Sauce Recipe, take the dates and milk in a medium Saucepan and bring to a boil over high heat. Remove from the heat.Add baking soda and stir until the dates start to break down.Set the saucepan aside and allow mixture to cool for about 20 minutes.Take butter and brown sugar in a deep bowl.Using an Electric whisk, cream together butter and sugar until pale.Add the dates mixture and fold in gently.Sift in the flour, cinnamon and salt. Stir the mixture until everything is combined evenly.Preheat Oven to 180 degrees Celsius and grease the ramekins with butter.Spoon the mixture into ramekins/desirable moulds.Bake Sticky Date Pudding for 30 minutes or until a skewer inserted comes out clean.Method for Butterscotch SauceHeat all the ingredients in a medium heavy-based saucepan, stir over medium heat for 5 minutes or until well combined.Increase heat to high and bring the sauce to a boil.Reduce heat to low and simmer, uncovered, stirring often, for 7-8 minutes or until the sauce thickens slightly.Remove the pan from the heat and set the Butterscotch Sauce aside.AssemblingOnce the sticky date puddings are baked, allow to cool for 5 minutes and then turn upside down on a serving plate.Smother the sticky date pudding with warm butterscotch sauce and serve with crumbled walnuts on top.
</t>
  </si>
  <si>
    <t>Para preparar la receta de pudín de dátiles pegajoso con salsa de caramelo, ponga los dátiles y la leche en una cacerola mediana y llévela a ebullición a fuego alto. Retire del fuego. Agregue el bicarbonato de sodio y revuelva hasta que los dátiles comiencen a deshacerse. Deje la cacerola a un lado y deje enfriar la mezcla durante unos 20 minutos. Coloque la mantequilla y el azúcar moreno en un tazón hondo. Con una batidora eléctrica, bata la mantequilla y el azúcar hasta que blanqueen. Agregue la mezcla de dátiles e incorpórela suavemente. Tamice la harina, la canela y la sal. Revuelve la mezcla hasta que esté bien integrada. Precalienta el horno a 180 grados Celsius y engrasa los moldes con mantequilla. Vierte la mezcla en los moldes que prefieras. Hornea el pudín de dátiles pegajoso durante 30 minutos o hasta que al insertar un palillo, este salga limpio. Preparación de la salsa de caramelo: Calienta todos los ingredientes en una cacerola mediana de fondo grueso, revolviendo a fuego medio durante 5 minutos o hasta que estén bien combinados. Sube el fuego a alto y deja que la salsa hierva. Reduce el fuego a bajo y cocina a fuego lento, sin tapar, revolviendo con frecuencia, durante 7-8 minutos o hasta que la salsa espese ligeramente. Retira la cacerola del fuego y reserva la salsa de caramelo. Montaje: Una vez horneados los pudines de dátiles pegajosos, déjalos enfriar durante 5 minutos y luego dales la vuelta en un plato para servir. Cubre el pudín de dátiles pegajoso con la salsa de caramelo tibia y sírvelo con nueces desmenuzadas por encima.</t>
  </si>
  <si>
    <t>Pour préparer le pudding aux dattes et à la sauce caramel, portez les dattes et le lait à ébullition dans une casserole moyenne à feu vif. Retirez du feu. Ajoutez le bicarbonate de soude et remuez jusqu'à ce que les dattes commencent à se défaire. Réservez la casserole et laissez refroidir environ 20 minutes. Dans un bol profond, mélangez le beurre et la cassonade. À l'aide d'un fouet électrique, battez le beurre et le sucre jusqu'à obtenir une consistance pâle. Ajoutez le mélange de dattes et incorporez délicatement. Tamisez la farine, la cannelle et le sel. Remuez le mélange jusqu'à ce que tout soit bien mélangé. Préchauffez le four à 180 degrés Celsius et graissez les ramequins avec du beurre. Versez le mélange dans les ramequins/moules souhaités. Faites cuire le pudding aux dattes collant pendant 30 minutes ou jusqu'à ce qu'une brochette insérée en ressorte propre. Méthode pour la sauce au caramel : Faites chauffer tous les ingrédients dans une casserole moyenne à fond épais, remuez à feu moyen pendant 5 minutes ou jusqu'à ce que le tout soit bien mélangé. Augmentez le feu à vif et portez la sauce à ébullition. Réduisez le feu à doux et laissez mijoter, à découvert, en remuant souvent, pendant 7 à 8 minutes ou jusqu'à ce que la sauce épaississe légèrement. Retirez la casserole du feu et réservez la sauce au caramel. Assemblage : Une fois les puddings aux dattes collants cuits, laissez refroidir 5 minutes, puis retournez-les sur une assiette de service. Nappez le pudding aux dattes collant de sauce au caramel chaude et servez avec des noix émiettées.</t>
  </si>
  <si>
    <t>https://www.archanaskitchen.com/sticky-date-pudding-with-butterscotch-sauce-recipe</t>
  </si>
  <si>
    <t>No Bake Cocoa Oats Cookies Recipe</t>
  </si>
  <si>
    <t>Rezept für Kakao-Haferkekse ohne Backen</t>
  </si>
  <si>
    <t>Recette de biscuits à l'avoine et au cacao sans cuisson</t>
  </si>
  <si>
    <t>Receta de galletas de avena y cacao sin horno</t>
  </si>
  <si>
    <t>3 cuillères à soupe de beurre de cacahuète, 3 à 4 cuillères à soupe de miel, 3 à 4 cuillères à soupe de cacao en poudre, 10 à 12 cuillères à soupe de flocons d'avoine instantanés (gruau), 1 cuillère à soupe de pâte à tartiner Nutella, 1 à 2 cuillères à soupe de lait - pour lier</t>
  </si>
  <si>
    <t>3 tablespoons Peanut Butter,3-4 tablespoons Honey,3-4 tablespoons Cocoa Powder,10-12 tablespoons Instant Oats (Oatmeal),1 tablespoon Nutella Spread,1-2 tablespoons Milk - for binding</t>
  </si>
  <si>
    <t>3 cucharadas de mantequilla de maní, 3-4 cucharadas de miel, 3-4 cucharadas de cacao en polvo, 10-12 cucharadas de avena instantánea (avena), 1 cucharada de Nutella para untar, 1-2 cucharadas de leche - para aglutinar</t>
  </si>
  <si>
    <t xml:space="preserve">To begin making the No Bake Cocoa Oats Cookies, melt peanut butter in a saucepan and mix honey once it has melted. Turn off the flame. Transfer melted peanut butter in a mixing bowl. Add cocoa powder, and mix until the cocoa powder and peanut butter have combined well. Add in the oats and nutella spread and combine the ingredients well. Add in 1-2 tablespoons of milk so that all the ingredients are combined and forms a dough. Take one tablespoon of the cookie dough and roll it into a ball. Now slightly flatten them to give it a cookie shape.Refrigerate it for an hour and No Bake Cocoa Oats Cookies are ready to serve.Serve No Bake Cocoa Oats Cookies as a snack at tea time with Irani Chai and Cucumber Sandwich with Yogurt and Dill Spread
</t>
  </si>
  <si>
    <t>Para empezar a preparar las galletas de avena y cacao sin horno, derrite la mantequilla de cacahuete en una cacerola y mezcla la miel una vez derretida. Apaga el fuego. Transfiere la mantequilla de cacahuete derretida a un bol. Agrega el cacao en polvo y mezcla hasta que el cacao en polvo y la mantequilla de cacahuete se hayan combinado bien. Agrega la avena y la crema de Nutella y combina bien los ingredientes. Agrega 1 o 2 cucharadas de leche para que todos los ingredientes se combinen y formen una masa. Toma una cucharada de masa para galletas y forma una bola. Ahora aplánalas ligeramente para darles forma de galleta. Refrigera durante una hora y las galletas de avena y cacao sin horno estarán listas para servir. Sirve las galletas de avena y cacao sin horno como refrigerio a la hora del té con Chai Iraní y Sándwich de Pepino con Crema de Yogur y Eneldo.</t>
  </si>
  <si>
    <t>Pour préparer les cookies sans cuisson au cacao et à l'avoine, faites fondre le beurre de cacahuète dans une casserole et mélangez-le avec le miel une fois fondu. Éteignez le feu. Versez le beurre de cacahuète fondu dans un saladier. Ajoutez le cacao en poudre et mélangez jusqu'à ce que le cacao et le beurre de cacahuète soient bien mélangés. Ajoutez les flocons d'avoine et la pâte à tartiner Nutella et mélangez bien les ingrédients. Ajoutez 1 à 2 cuillères à soupe de lait pour que tous les ingrédients soient bien mélangés et forment une pâte. Prenez une cuillère à soupe de pâte à biscuits et roulez-la en boule. Aplatissez-la légèrement pour lui donner la forme d'un cookie. Placez au réfrigérateur pendant une heure et les cookies sans cuisson au cacao et à l'avoine sont prêts à être servis. Servez les cookies sans cuisson au cacao et à l'avoine à l'heure du goûter avec du chai iranien et un sandwich au concombre avec du yaourt et de la pâte à tartiner à l'aneth.</t>
  </si>
  <si>
    <t>https://www.archanaskitchen.com/no-bake-cocoa-oats-cookies-recipe</t>
  </si>
  <si>
    <t>Eggless Double Chocolate Sugar Bite Cookies Recipe</t>
  </si>
  <si>
    <t>Rezept für Doppelschokoladen-Zuckerkekse ohne Ei</t>
  </si>
  <si>
    <t>Recette de biscuits au sucre et au double chocolat sans œufs</t>
  </si>
  <si>
    <t>Receta de galletas de azúcar con doble chocolate sin huevo</t>
  </si>
  <si>
    <t>1-1/2 tasse de farine tout usage (Maida), 3/4 tasse de sucre, 100 grammes de chocolat noir, 1/2 tasse de pépites de chocolat, 1 cuillère à café de levure chimique, 4 cuillères à soupe de cacao en poudre, 1/2 tasse de beurre fondu, 2 à 3 cuillères à soupe de lait</t>
  </si>
  <si>
    <t>1-1/2 cups All Purpose Flour (Maida),3/4 cup Sugar,100 grams Dark chocolate,1/2 cup Chocolate chips,1 teaspoon Baking powder,4 tablespoons Cocoa Powder,1/2 cup Butter - melted,2 to 3 tablespoons Milk</t>
  </si>
  <si>
    <t>1-1/2 tazas de harina para todo uso (Maida), 3/4 taza de azúcar, 100 gramos de chocolate negro, 1/2 taza de chispas de chocolate, 1 cucharadita de polvo para hornear, 4 cucharadas de cacao en polvo, 1/2 taza de mantequilla derretida, 2 a 3 cucharadas de leche</t>
  </si>
  <si>
    <t xml:space="preserve">To begin making the Eggless Double Chocolate Sugar Bite Cookies recipe, sift the flour and baking powder in a large mixing bowl and set aside.Pre heat oven at 180 degree C for 10 to 12 minutes. In a microwave safe bowl add chocolate compound pieces and melt at high for 50 seconds.Give a quick stir in between. Add melted butter, sugar, cocoa powder and melted chocolate with the flour mix and mix well.You will notice a crumble texture formed. Add milk slowly and softly mix to make smooth &amp; soft dough. Line a baking tray with parchment paper.  Pinch a lemon sized ball and flatten to shape a cookie.Add few chocolate chips on top. Make more cookies out of the dough and place them on the lined sheet keeping 1 inch distance. Bake the cookies for 10-12 mins. Transfer them on a wire rack and let them cool. Initially they might look soft but once the cookies cool, they will become crisp. Store them in air tight jar for longer use. Serve Eggless Double Chocolate Sugar Bite Cookies along with Masala Chai for your tea time break or you can also pack this in your kids snack box.
</t>
  </si>
  <si>
    <t>Para comenzar a hacer la receta de Galletas de chocolate doble sin huevo, tamice la harina y el polvo para hornear en un tazón grande y reserve. Precaliente el horno a 180 grados C durante 10 a 12 minutos. En un tazón apto para microondas, agregue los trozos de compuesto de chocolate y derrítalos a alta potencia durante 50 segundos. Revuelva rápidamente entre ellos. Agregue la mantequilla derretida, el azúcar, el cacao en polvo y el chocolate derretido con la mezcla de harina y mezcle bien. Notará que se forma una textura desmenuzada. Agregue la leche lenta y suavemente mezcle para hacer una masa suave y lisa. Cubra una bandeja para hornear con papel pergamino. Pellizque una bola del tamaño de un limón y aplánela para darle forma de galleta. Agregue algunas chispas de chocolate encima. Haga más galletas con la masa y colóquelas en la bandeja para hornear manteniendo una distancia de 1 pulgada. Hornee las galletas durante 10-12 minutos. Transfiéralas a una rejilla de alambre y déjelas enfriar. Inicialmente pueden verse suaves, pero una vez que las galletas se enfríen, se volverán crujientes. Guárdelas en un frasco hermético para un uso más prolongado. Sirva galletas de chocolate doble sin huevo con sabor a azúcar y chai masala para la hora del té o también puede incluirlas en la merienda de sus hijos.</t>
  </si>
  <si>
    <t>Pour commencer à préparer la recette des biscuits au sucre et au double chocolat sans œufs, tamisez la farine et la levure chimique dans un grand saladier et réservez. Préchauffez le four à 180 °C pendant 10 à 12 minutes. Dans un bol allant au micro-ondes, ajoutez les morceaux de chocolat et faites fondre à puissance maximale pendant 50 secondes. Remuez rapidement entre les deux. Ajoutez le beurre fondu, le sucre, la poudre de cacao et le chocolat fondu avec le mélange de farine et mélangez bien. Vous remarquerez une texture crumble formée. Ajoutez le lait lentement et mélangez doucement pour obtenir une pâte lisse et molle. Tapissez une plaque de cuisson de papier sulfurisé. Pincez une boule de la taille d'un citron et aplatissez-la pour former un biscuit. Ajoutez quelques pépites de chocolat sur le dessus. Façonnez d'autres biscuits avec la pâte et placez-les sur la plaque recouverte de papier sulfurisé en les espaçant de 2,5 cm. Faites cuire les biscuits pendant 10 à 12 minutes. Transférez-les sur une grille et laissez-les refroidir. Au début, ils peuvent paraître mous, mais une fois refroidis, ils deviendront croustillants. Conservez-les dans un bocal hermétique pour une utilisation plus longue. Servez des biscuits au sucre et au double chocolat sans œufs avec du Masala Chai pour votre pause thé ou vous pouvez également les emballer dans la boîte à goûter de vos enfants.</t>
  </si>
  <si>
    <t>http://www.archanaskitchen.com/eggless-double-chocolate-sugar-bite-cookies-recipe</t>
  </si>
  <si>
    <t>Mozzarella Basil Sandwiches Recipe</t>
  </si>
  <si>
    <t>Rezept für Mozzarella-Basilikum-Sandwiches</t>
  </si>
  <si>
    <t>Recette de sandwichs mozzarella basilic</t>
  </si>
  <si>
    <t>Receta de sándwich de mozzarella y albahaca</t>
  </si>
  <si>
    <t>1 pain panini (multigrains), 1 tomate tranchée, 4 tranches de mozzarella, 1 tasse de feuilles de basilic, 5 gousses d'ail, 10 noix, 3 cuillères à soupe d'huile d'olive extra vierge, sel au goût</t>
  </si>
  <si>
    <t>1 Panini Bread - (Multi grain),1 Tomato - sliced,4 Mozzarella cheese - slices,1 cup Basil leaves,5 cloves Garlic,10 Walnuts,3 tablespoon Extra Virgin Olive Oil,Salt - to taste</t>
  </si>
  <si>
    <t>1 Panini (Multigrano), 1 Tomate en rodajas, 4 Queso mozzarella en rodajas, 1 taza de hojas de albahaca, 5 dientes de ajo, 10 Nueces, 3 cucharadas de Aceite de Oliva Virgen Extra, Sal al gusto</t>
  </si>
  <si>
    <t xml:space="preserve">To begin making the Mozzarella Basil Sandwiches Recipe, we will first make the pesto. Add all the ingredients including basil, walnuts, garlic, olive oil, salt into a blender and blend it to form a smooth paste.Heat a tawa, cut the multi grain bread into half, spread butter over it and toast it on the hot tawa till it crisps up and become golden brown.Take a heap tablespoon of the pesto and spread it evenly over one slice of the bread and place the tomato slices and mozzarella cheese over it and cover it with another bread slice and serve.Serve the Mozzarella Basil Sandwiches for breakfast along with the Ikusei Cardamom Green Tea which has a sweet fragrance from the cardamom spice making it perfect for a refreshing breakfast.
</t>
  </si>
  <si>
    <t>Para empezar a preparar la receta de sándwiches de mozzarella y albahaca, primero prepararemos el pesto. Añada todos los ingredientes, incluyendo albahaca, nueces, ajo, aceite de oliva y sal, a una licuadora y licúe hasta formar una pasta suave. Caliente una tawa, corte el pan integral por la mitad, úntelo con mantequilla y tuéstelo en la tawa caliente hasta que esté crujiente y dorado. Tome una cucharada colmada de pesto y extiéndala uniformemente sobre una rebanada de pan. Coloque las rodajas de tomate y el queso mozzarella encima. Cubra con otra rebanada de pan y sirva. Sirva los sándwiches de mozzarella y albahaca para desayunar junto con el té verde con cardamomo Ikusei, que tiene una dulce fragancia de la especia de cardamomo, lo que lo hace perfecto para un desayuno refrescante.</t>
  </si>
  <si>
    <t>Pour commencer à préparer la recette des sandwichs mozzarella-basilic, nous allons d'abord préparer le pesto. Ajoutez tous les ingrédients, y compris le basilic, les noix, l'ail, l'huile d'olive et le sel, dans un mixeur et mixez jusqu'à obtenir une pâte lisse. Faites chauffer un tawa, coupez le pain multi-céréales en deux, tartinez-le de beurre et faites-le griller sur le tawa chaud jusqu'à ce qu'il soit croustillant et doré. Prenez une cuillère à soupe bombée de pesto et étalez-la uniformément sur une tranche de pain. Placez les tranches de tomates et la mozzarella par-dessus, recouvrez d'une autre tranche de pain et servez. Servez les sandwichs mozzarella-basilic au petit-déjeuner avec le thé vert à la cardamome Ikusei, dont le doux parfum de cardamome en fait un petit-déjeuner rafraîchissant.</t>
  </si>
  <si>
    <t>https://www.archanaskitchen.com/mozzarella-basil-sandwiches-recipe</t>
  </si>
  <si>
    <t>Cucumber Ginger Lemonade Recipe</t>
  </si>
  <si>
    <t>Rezept für Gurken-Ingwer-Limonade</t>
  </si>
  <si>
    <t>Recette de limonade au concombre et au gingembre</t>
  </si>
  <si>
    <t>Receta de limonada de pepino y jengibre</t>
  </si>
  <si>
    <t>2 tasses de concombre - haché et épépiné, jus de citron - de 2 citrons, 2 cuillères à soupe de miel - réglable, feuilles de menthe (Pudina) - petit bouquet, 1 pouce de gingembre - râpé, 150 ml d'eau gazeuse (eau gazeuse) - et de l'eau si nécessaire, une pincée de sel - facultatif</t>
  </si>
  <si>
    <t>2 cups Cucumber - chopped and de-seeded,Lemon juice - from 2 lemons,2 tablespoons Honey - adjustable,Mint Leaves (Pudina) - small bunch,1 inch Ginger - grated,150 ml Aerated water (Soda Water) - and water if required,pinch Salt - optional</t>
  </si>
  <si>
    <t>2 tazas de pepino - picado y sin semillas, jugo de limón - de 2 limones, 2 cucharadas de miel - ajustable, hojas de menta (Pudina) - manojo pequeño, 1 pulgada de jengibre - rallado, 150 ml de agua gasificada (agua con gas) - y agua si es necesario, pizca de sal - opcional</t>
  </si>
  <si>
    <t xml:space="preserve">To start making Cucumber Ginger Mint Lemonade, combine the chopped cucumber, lime juice, honey, ginger, water in a blender, cover and process until cucumber is pureed. Strain the cucumber puree using a strainer.  In a small pitcher add club soda, mint leaves, cucumber slices, lime wedges and cucumber mixture and stir well. Check the taste and adjust lemon, sweetness and salt to suit your taste.Serve the Cucumber Ginger Lemonade Recipe garnished with some more mint leaves as a delicious refreshing drink during summer afternoons.
</t>
  </si>
  <si>
    <t>Para empezar a preparar limonada de pepino, jengibre y menta, combine el pepino picado, el jugo de lima, la miel, el jengibre y el agua en una licuadora, tape y procese hasta que el pepino esté hecho puré. Cuele el puré de pepino con un colador. En una jarra pequeña, agregue agua mineral con gas, hojas de menta, rodajas de pepino, gajos de lima y la mezcla de pepino y revuelva bien. Pruebe el sabor y ajuste el limón, el dulzor y la sal a su gusto. Sirva la receta de limonada de pepino y jengibre adornada con algunas hojas de menta más como una deliciosa bebida refrescante durante las tardes de verano.</t>
  </si>
  <si>
    <t>Pour commencer à préparer une limonade au concombre, au gingembre et à la menthe, mélangez le concombre haché, le jus de citron vert, le miel, le gingembre et l'eau dans un mixeur, couvrez et mixez jusqu'à ce que le concombre soit réduit en purée. Filtrez la purée de concombre à l'aide d'une passoire. Dans un petit pichet, ajoutez l'eau gazeuse, les feuilles de menthe, les tranches de concombre, les quartiers de citron vert et le mélange de concombre et remuez bien. Vérifiez le goût et ajustez le citron, la douceur et le sel à votre goût. Servez la recette de limonade au concombre et au gingembre garnie de quelques feuilles de menthe supplémentaires comme une délicieuse boisson rafraîchissante pendant les après-midi d'été.</t>
  </si>
  <si>
    <t>https://www.archanaskitchen.com/cucumber-ginger-limeade-recipe</t>
  </si>
  <si>
    <t>Whole Wheat Strawberry Banana Muffins Recipe</t>
  </si>
  <si>
    <t>Rezept für Vollkorn-Erdbeer-Bananen-Muffins</t>
  </si>
  <si>
    <t>Recette de muffins complets aux fraises et à la banane</t>
  </si>
  <si>
    <t>Receta de muffins integrales de fresa y plátano</t>
  </si>
  <si>
    <t>200 grammes de farine de blé entier, 100 grammes de sucre en poudre, 1/2 cuillère à café de poudre de muscade, 1 cuillère à café de levure chimique, 1/2 cuillère à café de bicarbonate de soude, 2 œufs entiers, 1/4 tasse de lait, 1/3 tasse d'huile de tournesol, 1/2 cuillère à café d'extrait de vanille, 15 fraises, 2 bananes mûres</t>
  </si>
  <si>
    <t>200 gram Whole Wheat Flour,100 gram Caster Sugar,1/2 teaspoon Nutmeg powder,1 teaspoon Baking powder,1/2 teaspoon Baking soda,2 Whole Eggs,1/4 cup Milk,1/3 cup Sunflower Oil,1/2 teaspoon Vanilla Extract,15 Strawberries,2 Ripe Bananas</t>
  </si>
  <si>
    <t>200 gramos de harina integral, 100 gramos de azúcar extrafino, 1/2 cucharadita de nuez moscada en polvo, 1 cucharadita de polvo para hornear, 1/2 cucharadita de bicarbonato de sodio, 2 huevos enteros, 1/4 taza de leche, 1/3 taza de aceite de girasol, 1/2 cucharadita de extracto de vainilla, 15 fresas, 2 plátanos maduros</t>
  </si>
  <si>
    <t xml:space="preserve">To begin with Whole Wheat Strawberry Banana Muffins, pre-heat the oven in 180 degree C for 10 minutes and start making the batter.Wash and cut strawberries into small cubes. Remove the skin of Bananas and mash them in a bowl. Retain a few small chunks of banana to give the cake/ muffin a body.Mix whole wheat flour along with baking powder and baking soda in a bowl and shift using a sieve two times.Now mix nutmeg powder with the flour mix. Mix the chopped strawberries lightly with the flour mix so that the strawberries are coated with flour.Add mashed bananas in the flour-Strawberry mix and fold lightly. Now take eggs and powdered sugar in a bowl and using a hand blender or manual whisk start mixing both till the mixture turns creamy.Add oil to the mixture and using the blender blend it for about 1 minute.Add vanilla essence and milk to the mixture and blend for 1 more minute.Now make a well in the mid of the flour mix and pour the wet mixture and using a spatula fold everything lightly by cutting and folding.Line a muffin tin with muffin liners and using a tablespoon or ice-cream scoop fill 2/3 of each muffin liner with the batter.Tap the muffin tray on table top after filling the tray so that the muffins are even in the tray.Bake in 180 degree C for 15-20 minutes in a pre-heated oven. Check at around in 15 minutes by inserting a toothpick in the mid of the muffins and if required bake for few more minutes.Take Muffins out of the oven after baking and cool on a wire rack.Serve Whole Wheat Strawberry Banana Muffins with Masala Chai during tea time parties or you can have it as a sweet dish after your meal.
</t>
  </si>
  <si>
    <t>Para preparar los muffins integrales de fresa y plátano, precalienta el horno a 180 °C durante 10 minutos y empieza a preparar la masa. Lava y corta las fresas en cubos pequeños. Retira la piel de los plátanos y tritúralos en un bol. Reserva algunos trozos pequeños de plátano para darle cuerpo al pastel/muffin. Mezcla la harina integral con la levadura química y el bicarbonato en un bol y tamiza dos veces con un colador. Ahora mezcla la nuez moscada con la mezcla de harina. Mezcla ligeramente las fresas picadas con la mezcla de harina para que queden bien cubiertas. Agrega los plátanos machacados a la mezcla de harina y fresa e incorpora suavemente. Ahora tome los huevos y el azúcar en polvo en un tazón y usando una licuadora de mano o un batidor manual comience a mezclar ambos hasta que la mezcla se vuelva cremosa. Agregue aceite a la mezcla y usando la licuadora mezcle durante aproximadamente 1 minuto. Agregue esencia de vainilla y leche a la mezcla y mezcle durante 1 minuto más. Ahora haga un pozo en el medio de la mezcla de harina y vierta la mezcla húmeda y usando una espátula doble todo ligeramente cortando y doblando. Cubra un molde para muffins con capacillos para muffins y usando una cucharada o una cuchara para helado llene 2/3 de cada capacillo para muffins con la masa. Golpee la bandeja para muffins sobre la mesa después de llenar la bandeja para que los muffins queden uniformes en la bandeja. Hornee a 180 grados C durante 15-20 minutos en un horno precalentado. Revisa la preparación aproximadamente en 15 minutos insertando un palillo en el centro de los muffins y, si es necesario, hornéalos unos minutos más. Retira los muffins del horno después de hornearlos y déjalos enfriar sobre una rejilla. Sirve los muffins de trigo integral, fresa y plátano con Masala Chai durante las fiestas de té o como un dulce después de la comida.</t>
  </si>
  <si>
    <t>Pour préparer vos muffins complets fraises-bananes, préchauffez le four à 180 °C pendant 10 minutes et préparez la pâte. Lavez et coupez les fraises en petits dés. Épluchez les bananes et écrasez-les dans un saladier. Conservez quelques morceaux de banane pour donner du corps au gâteau/muffin. Mélangez la farine complète, la levure chimique et le bicarbonate de soude dans un saladier, puis passez-les deux fois au tamis. Incorporez ensuite la noix de muscade en poudre au mélange de farine. Mélangez délicatement les fraises hachées au mélange de farine pour bien les enrober de farine. Ajoutez les bananes écrasées au mélange farine-fraise et incorporez délicatement. Maintenant, prenez les œufs et le sucre en poudre dans un bol et à l'aide d'un mixeur plongeant ou d'un fouet manuel, commencez à mélanger les deux jusqu'à ce que le mélange devienne crémeux. Ajoutez l'huile au mélange et, à l'aide du mixeur, mixez-le pendant environ 1 minute. Ajoutez l'essence de vanille et le lait au mélange et mixez pendant 1 minute de plus. Faites maintenant un puits au milieu du mélange de farine et versez le mélange humide et, à l'aide d'une spatule, pliez le tout légèrement en coupant et en pliant. Tapissez un moule à muffins de caissettes à muffins et, à l'aide d'une cuillère à soupe ou d'une cuillère à glace, remplissez les 2/3 de chaque caissette à muffins avec la pâte. Tapez le moule à muffins sur la table après avoir rempli le plateau afin que les muffins soient uniformes dans le plateau. Faites cuire au four à 180 degrés C pendant 15 à 20 minutes dans un four préchauffé. Vérifiez la cuisson dans environ 15 minutes en insérant un cure-dent au milieu des muffins et, si nécessaire, faites cuire encore quelques minutes. Sortez les muffins du four après la cuisson et laissez-les refroidir sur une grille. Servez les muffins aux fraises et à la banane au blé entier avec du masala chai pendant les goûters ou vous pouvez les déguster comme plat sucré après votre repas.</t>
  </si>
  <si>
    <t>http://www.archanaskitchen.com/whole-wheat-strawberry-banana-muffins-recipe</t>
  </si>
  <si>
    <t>Sweet Spinach Whole Wheat Muffin Recipe</t>
  </si>
  <si>
    <t>Rezept für süße Spinat-Vollkornmuffins</t>
  </si>
  <si>
    <t>Recette de muffins complets aux épinards sucrés</t>
  </si>
  <si>
    <t>Receta de muffins integrales de espinacas dulces</t>
  </si>
  <si>
    <t>1 tasse de farine de blé entier, 1/2 cuillère à café de bicarbonate de soude, 1 cuillère à café de levure chimique, 1 cuillère à soupe de cannelle en poudre (Dalchini), 1 tasse d'épinards - purée, 1 banane mûre - écrasée, 6 cuillères à soupe de lait, 1/3 tasse d'huile d'olive extra vierge, 4 cuillères à soupe de miel, 1/2 œuf entier, 1 cuillère à soupe d'extrait de vanille, 10 pistaches - hachées</t>
  </si>
  <si>
    <t>1 cup Whole Wheat Flour,1/2 teaspoon Baking soda,1 teaspoon Baking powder,1 tablespoon Cinnamon Powder (Dalchini),1 cup Spinach - puree,1 Ripe Bananas - mashed,6 tablespoon Milk,1/3 cup Extra Virgin Olive Oil,4 tablespoon Honey,1/2 Whole Egg,1 tablespoon Vanilla Extract,10 Pistachios - chopped</t>
  </si>
  <si>
    <t>1 taza de harina integral, 1/2 cucharadita de bicarbonato de sodio, 1 cucharadita de polvo para hornear, 1 cucharada de canela en polvo (dalchini), 1 taza de espinaca - puré, 1 plátano maduro - machacado, 6 cucharadas de leche, 1/3 taza de aceite de oliva virgen extra, 4 cucharadas de miel, 1/2 huevo entero, 1 cucharada de extracto de vainilla, 10 pistachos - picados</t>
  </si>
  <si>
    <t xml:space="preserve">To begin making the Sweet Spinach Whole Wheat Muffin Recipe take all the dry ingredients in one bowl and measure out all the wet ingredients in another bowl.Preheat the oven to 180 degree Celsius to 10 minutes and keep it ready.Whisk in the wet ingredients till it combines well. Add the wet ingredients slowly to the dry ingredients and fold in the flour to combine well.Grease a cupcake tray with oil or butter and with the help of an ice cream scoop, scoop out the batter and drop it in each mold.Pound the pistachios and add it on top of the cup cake and bake it in the oven to 150 degree Celsius for 10 minutes. Once done insert a skewer to check if it is done and comes out clean. Serve the Sweet Spinach Whole Wheat Muffin Recipe as an evening snack with a glass of Mulled Apple Juice Recipe or even for your morning breakfast.
</t>
  </si>
  <si>
    <t>Para empezar a preparar la Receta de Muffins de Trigo Integral con Espinacas Dulces, coloca todos los ingredientes secos en un bol y mide los húmedos en otro. Precalienta el horno a 180 grados Celsius durante 10 minutos y mantenlo listo. Incorpora los ingredientes húmedos batiendo hasta que se combinen bien. Agrega los ingredientes húmedos lentamente a los secos e incorpora la harina con movimientos envolventes para combinar bien. Engrasa un molde para cupcakes con aceite o mantequilla y, con la ayuda de una cuchara para helado, saca la masa y colócala en cada molde. Machaca los pistachos, agrégalos encima del cupcake y hornéalo en el horno a 150 grados Celsius durante 10 minutos. Una vez hecho, inserta un palillo para comprobar si está listo y si sale limpio. Sirve la Receta de Muffins de Trigo Integral con Espinacas Dulces como refrigerio por la noche con un vaso de Receta de Jugo de Manzana Caliente o incluso para el desayuno.</t>
  </si>
  <si>
    <t>Pour commencer à préparer la recette du muffin complet aux épinards sucrés, prenez tous les ingrédients secs dans un bol et mesurez tous les ingrédients humides dans un autre bol. Préchauffez le four à 180 degrés Celsius pendant 10 minutes et gardez-le prêt. Incorporez les ingrédients humides en fouettant jusqu'à ce que le tout soit bien mélangé. Ajoutez les ingrédients humides lentement aux ingrédients secs et incorporez la farine pour bien mélanger. Graissez un moule à cupcakes avec de l'huile ou du beurre et, à l'aide d'une cuillère à glace, prélevez la pâte et déposez-la dans chaque moule. Pilez les pistaches et ajoutez-les sur le dessus du cupcake et faites-le cuire au four à 150 degrés Celsius pendant 10 minutes. Une fois terminé, insérez une brochette pour vérifier si le gâteau est cuit et qu'il en ressort propre. Servez la recette du muffin complet aux épinards sucrés en collation du soir avec un verre de jus de pomme chaud ou même pour votre petit-déjeuner du matin.</t>
  </si>
  <si>
    <t>https://www.archanaskitchen.com/sweet-spinach-whole-wheat-muffin-recipe</t>
  </si>
  <si>
    <t>Crunchy Carrots In Hot Dogs Buns Recipe</t>
  </si>
  <si>
    <t>Rezept für knusprige Karotten in Hotdog-Brötchen</t>
  </si>
  <si>
    <t>Recette de carottes croustillantes dans des pains à hot-dog</t>
  </si>
  <si>
    <t>Receta de zanahorias crujientes en panecillos para hot dogs</t>
  </si>
  <si>
    <t>3 carottes (Gajjar) - râpées, 2 brins d'oignons verts de printemps - finement coupés en dés, 1 tasse de feuilles de coriandre (Dhania) - légèrement déchirées, 1 cuillère à café d'huile d'olive extra vierge, 4 pains à hot-dog, 2 cuillères à café de jus de citron, 2 cuillères à café de jus d'orange frais, 1/2 cuillère à café de zeste d'orange (écorce), 1/4 cuillère à café de poudre de poivre noir, 1 cuillère à soupe d'huile d'olive extra vierge, sel - au goût, 4 cuillères à soupe de Hung Curd (yaourt grec), 2 cuillères à café de feuilles de menthe (Pudina) - moulues en pâte, 1 cuillère à café de jus de citron, sel - au goût</t>
  </si>
  <si>
    <t>3 Carrots (Gajjar) - grated,2 sprig Spring Onion Greens - finely diced,1 cup Coriander (Dhania) Leaves - loosely torn,1 teaspoon Extra Virgin Olive Oil,4 Hot Dog Bread,2 teaspoon Lemon juice,2 teaspoon Fresh orange juice,1/2 teaspoon Orange Zest (Rind),1/4 teaspoon Black pepper powder,1 tablespoon Extra Virgin Olive Oil,Salt - to taste,4 tablespoons Hung Curd (Greek Yogurt),2 teaspoons Mint Leaves (Pudina) - ground into a paste,1 teaspoon Lemon juice,Salt - to taste</t>
  </si>
  <si>
    <t>3 zanahorias (Gajjar) - ralladas, 2 ramitas de cebolleta - finamente picadas, 1 taza de hojas de cilantro (Dhania) - ligeramente desgarradas, 1 cucharadita de aceite de oliva virgen extra, 4 panes para perritos calientes, 2 cucharaditas de jugo de limón, 2 cucharaditas de jugo de naranja fresco, 1/2 cucharadita de ralladura de naranja (cáscara), 1/4 cucharadita de pimienta negra en polvo, 1 cucharada de aceite de oliva virgen extra, sal - al gusto, 4 cucharadas de cuajada Hung (yogur griego), 2 cucharaditas de hojas de menta (Pudina) - molidas en una pasta, 1 cucharadita de jugo de limón, sal - al gusto</t>
  </si>
  <si>
    <t xml:space="preserve">To begin making Crunchy Carrots In Hot Dog Buns, we will first make the yoghurt mint spreadIn a small bowl, whisk together  yoghurt, mint paste, lemon juice and salt to tasteTo make Orange-lemon dressingIn another big bowl whisk together the lemon juice, orange juice, orange zest, pepper, olive oil and salt to taste. Set aside. Now, heat a small pan on low flame. Add olive oil and add the spring onions and grated carrots. Toss it for about a minute  on high heat and switch off the flame.Add this carrots and spring onion mix to the Orange-lemon dressing bowl and give it a good toss.Now heat the same pan and toast the half cut hot dog buns and keep aside.To arrange this, take the toasted hot dog, spread a little bit of the yoghurt mint mix, place a small portion on the carrots and the spring onion mix tossed in the orange-lemon dressing, place a few roughly torn coriander leaves on top.Pour some more of the yoghurt mint sauce as required. Serve it as the evening tea time snack or for a healthy supper with a hearty broccoli soup on a rainy evening and end it with a classic Tiramisu Recipe (A Classic and Quick Italian Dessert).
</t>
  </si>
  <si>
    <t>Para comenzar a hacer zanahorias crujientes en panecillos para hot dogs, primero haremos la pasta de yogur y menta. En un tazón pequeño, mezcle el yogur, la pasta de menta, el jugo de limón y la sal al gusto. Para hacer el aderezo de naranja y limón, en otro tazón grande, mezcle el jugo de limón, el jugo de naranja, la ralladura de naranja, la pimienta, el aceite de oliva y la sal al gusto. Deje de lado. Ahora, caliente una sartén pequeña a fuego lento. Agregue aceite de oliva y agregue las cebolletas y las zanahorias ralladas. Revuélvalo durante aproximadamente un minuto a fuego alto y apague el fuego. Agregue esta mezcla de zanahorias y cebolleta al tazón de aderezo de naranja y limón y revuelva bien. Ahora caliente la misma sartén y tueste los panecillos de hot dog cortados por la mitad y reserve. Para preparar esto, tome el hot dog tostado, unte un poco de la mezcla de yogur y menta, coloque una pequeña porción sobre las zanahorias y la mezcla de cebolleta mezclada con el aderezo de naranja y limón, coloque algunas hojas de cilantro cortadas gruesas encima. Vierta un poco más de la salsa de yogur y menta según sea necesario. Sírvalo como un refrigerio para la hora del té de la tarde o para una cena saludable con una abundante sopa de brócoli en una tarde lluviosa y termínelo con una receta clásica de tiramisú (un postre italiano clásico y rápido).</t>
  </si>
  <si>
    <t>Pour commencer à préparer des carottes croquantes dans des pains à hot-dog, nous allons d'abord préparer la tartinade au yaourt et à la menthe. Dans un petit bol, fouettez ensemble le yaourt, la pâte de menthe, le jus de citron et le sel au goût. Pour préparer la vinaigrette orange-citron, dans un autre grand bol, fouettez ensemble le jus de citron, le jus d'orange, le zeste d'orange, le poivre, l'huile d'olive et le sel au goût. Réservez. Maintenant, faites chauffer une petite poêle à feu doux. Ajoutez l'huile d'olive et ajoutez les oignons nouveaux et les carottes râpées. Faites cuire à feu vif pendant environ une minute, puis éteignez le feu. Ajoutez le mélange de carottes et d'oignons nouveaux au bol de vinaigrette orange-citron et remuez bien. Faites chauffer la même poêle et faites griller les pains à hot-dog coupés en deux, puis réservez. Pour préparer le tout, prenez le hot-dog grillé, étalez un peu du mélange yaourt-menthe, déposez-en une petite portion sur les carottes et le mélange d'oignons nouveaux mélangés à la vinaigrette orange-citron, puis déposez quelques feuilles de coriandre grossièrement déchirées sur le dessus. Versez un peu plus de sauce yaourt-menthe si nécessaire. Servez-le comme collation du soir ou pour un dîner sain avec une soupe de brocoli copieuse lors d'une soirée pluvieuse et terminez par une recette classique de tiramisu (un dessert italien classique et rapide).</t>
  </si>
  <si>
    <t>http://www.archanaskitchen.com/crunchy-carrots-in-hot-dogs-buns-recipe</t>
  </si>
  <si>
    <t>Creamy Sweet Corn And Jalapeno Dip Recipe</t>
  </si>
  <si>
    <t>Rezept für cremigen Mais-Jalapeno-Dip</t>
  </si>
  <si>
    <t>Recette de trempette crémeuse au maïs et au jalapeño</t>
  </si>
  <si>
    <t>Receta de salsa cremosa de maíz y jalapeño</t>
  </si>
  <si>
    <t>2 tasses de maïs doux - bouilli, 1/2 tasse de noix - grillées, 1/4 tasse de jalapeños marinés - hachés, 1/4 tasse de parmesan - râpé, 3 cuillères à soupe d'huile d'olive extra vierge, 2 cuillères à soupe de feuilles de persil, sel - au goût</t>
  </si>
  <si>
    <t>2 cups Sweet corn - boiled,1/2 cup Walnuts - roasted,1/4 cup Pickled Jalapenos - chopped,1/4 cup Parmesan cheese - grated,3 tablespoons Extra Virgin Olive Oil,2 tablespoons Parsley leaves,Salt - to taste</t>
  </si>
  <si>
    <t>2 tazas de maíz dulce - hervido, 1/2 taza de nueces - tostadas, 1/4 taza de jalapeños encurtidos - picados, 1/4 taza de queso parmesano - rallado, 3 cucharadas de aceite de oliva virgen extra, 2 cucharadas de hojas de perejil, sal - al gusto</t>
  </si>
  <si>
    <t xml:space="preserve">To begin making Creamy Sweet Corn &amp; Jalapeno Dip Recipe, first pressure cook the sweet corn along with salt and 2 tablespoons water in a pressure cooker for 3 to 4 whistles. Once cooked, turn off the heat and allow the pressure to release naturally. Once released, open the cooker and allow the sweet corn to cool. Keep 2 tablespoons of the sweet corn aside and the rest we will pulse it in the grinder.In a mixer jar, add the boiled corn kernels, walnuts, parmesan cheese, parsley, jalapenos, olive oil, salt and pulse it at regular intervals till you get a coarse paste.You can keep the Creamy Sweet Corn &amp; Jalapeno Dip chunky or smooth as per your preference.Take out the prepared Creamy Sweet Corn &amp; Jalapeno Dip in a bowl, add the remaining olive oil over it, garnish with parsley and corn kernels and the dip is ready to be served.Serve the Creamy Sweet Corn &amp; Jalapeno Dip Recipe along with Homemade Pita Bread or Cheese Crackers as an evening snack along with Coffee or this can also be packed into your kid's snack box along with cheese crackers.
</t>
  </si>
  <si>
    <t>Para empezar a preparar la receta de dip cremoso de maíz dulce y jalapeño, primero cocine a presión el maíz dulce junto con sal y 2 cucharadas de agua en una olla a presión durante 3 o 4 silbidos. Una vez cocido, apague el fuego y deje que la presión se libere naturalmente. Una vez liberada, abra la olla y deje que el maíz dulce se enfríe. Reserva 2 cucharadas de maíz dulce y tritura el resto en el molinillo. En una batidora, añade los granos de maíz hervidos, las nueces, el queso parmesano, el perejil, los jalapeños, el aceite de oliva y la sal, y tritura a intervalos regulares hasta obtener una pasta gruesa. Puedes preparar la salsa cremosa de maíz dulce y jalapeño con trozos o suave, según tus preferencias. Coloca la salsa cremosa de maíz dulce y jalapeño en un bol, añade el aceite de oliva restante, decora con perejil y granos de maíz y la salsa estará lista para servir. Sirve la receta de salsa cremosa de maíz dulce y jalapeño junto con pan pita casero o galletas de queso como refrigerio nocturno junto con café, o también puedes llevarla en la caja de refrigerios de tu hijo junto con galletas de queso.</t>
  </si>
  <si>
    <t>Pour commencer à préparer la recette de trempette crémeuse au maïs sucré et au jalapeño, faites d'abord cuire le maïs sucré sous pression avec du sel et 2 cuillères à soupe d'eau dans un autocuiseur pendant 3 à 4 sifflements. Une fois cuit, éteignez le feu et laissez la pression se relâcher naturellement. Une fois relâchée, ouvrez l'autocuiseur et laissez le maïs sucré refroidir. Gardez 2 cuillères à soupe de maïs doux de côté et le reste, nous le mixerons dans le moulin. Dans un bol mixeur, ajoutez les grains de maïs bouillis, les noix, le parmesan, le persil, les jalapeños, l'huile d'olive, le sel et mixez à intervalles réguliers jusqu'à obtenir une pâte grossière. Vous pouvez garder la trempette crémeuse au maïs doux et au jalapeño épaisse ou lisse selon vos préférences. Sortez la trempette crémeuse au maïs doux et au jalapeño préparée dans un bol, ajoutez le reste d'huile d'olive dessus, garnissez de persil et de grains de maïs et la trempette est prête à être servie. Servez la recette de trempette crémeuse au maïs doux et au jalapeño avec du pain pita maison ou des craquelins au fromage comme collation du soir avec du café ou vous pouvez également la mettre dans la boîte à collation de votre enfant avec des craquelins au fromage.</t>
  </si>
  <si>
    <t>http://www.archanaskitchen.com/creamy-sweet-corn-and-jalapeno-dip-recipe</t>
  </si>
  <si>
    <t>Dill Leaves &amp; Parmesan Dip Recipe</t>
  </si>
  <si>
    <t>Rezept für Dillblätter-Parmesan-Dip</t>
  </si>
  <si>
    <t>Recette de trempette au parmesan et aux feuilles d'aneth</t>
  </si>
  <si>
    <t>Receta de salsa de parmesano y hojas de eneldo</t>
  </si>
  <si>
    <t>1 tasse de feuilles d'aneth, 1/4 tasse de noix de cajou, 1 cuillère à soupe de graines de melon, 1/2 tasse de caillé (dahi / yaourt), sel - au besoin, 20 ml de jus de citron, 1/2 cuillère à soupe de fromage feta, 1/3 cuillère à café de poivre noir en poudre, 1/2 tasse de parmesan</t>
  </si>
  <si>
    <t>1 cup Dill leaves,1/4 cup Cashew nuts,1 tablespoon Melon seeds,1/2 cup Curd (Dahi / Yogurt),Salt - as required,20 ml Lemon juice,1/2 tablespoon Feta Cheese,1/3 teaspoon Black pepper powder,1/2 cup Parmesan cheese</t>
  </si>
  <si>
    <t>1 taza de hojas de eneldo, 1/4 taza de anacardos, 1 cucharada de semillas de melón, 1/2 taza de cuajada (dahi/yogur), sal (según se requiera), 20 ml de jugo de limón, 1/2 cucharada de queso feta, 1/3 cucharadita de pimienta negra en polvo, 1/2 taza de queso parmesano</t>
  </si>
  <si>
    <t xml:space="preserve">To prepare Dill Leaves &amp; Parmesan Dip Recipe, wash &amp; chop the dill leaves.Take a Blender add dill leaves, 1/2 of the cashew nuts, melon seeds, yogurt, salt and feta cheese.Blend well, if needed you may add water but the dip should be thick enough. So add only little if needed.Add the remaining cashews, parmesan cheese, pepper, and blend again. This is done the second time so that the sauce would have some crunchiness of cashews and we can feel the taste of parmesan. Pepper can be added in first or second batch.Squeeze lemon juice and blend once so that it gets mixed well.Serve Dill Leaves &amp; Parmesan Dip Recipe with some healthy pita chips, crackers, healthy vegetable fries or nachos. Dill Leaves &amp; Parmesan Dip Recipe is an apt dip during evenings.
</t>
  </si>
  <si>
    <t>Para preparar la receta de salsa de hojas de eneldo y parmesano, lava y pica las hojas de eneldo. En una licuadora, añade las hojas de eneldo, la mitad de los anacardos, las semillas de melón, el yogur, la sal y el queso feta. Licúa bien; si es necesario, puedes añadir agua, pero la salsa debe quedar lo suficientemente espesa. Así que añade solo un poco si es necesario. Añade los anacardos restantes, el queso parmesano, la pimienta y vuelve a licuar. Esto se hace la segunda vez para que la salsa tenga la textura crujiente de los anacardos y podamos sentir el sabor del parmesano. La pimienta se puede añadir en la primera o la segunda tanda. Exprime el zumo de limón y licúa una vez para que se mezcle bien. Sirve la receta de salsa de hojas de eneldo y parmesano con unos chips de pita saludables, galletas saladas, patatas fritas de verduras saludables o nachos. La receta de salsa de hojas de eneldo y parmesano es una salsa ideal para las tardes.</t>
  </si>
  <si>
    <t>Pour préparer la recette de trempette aux feuilles d'aneth et au parmesan, lavez et hachez les feuilles d'aneth. Prenez un mixeur, ajoutez les feuilles d'aneth, la moitié des noix de cajou, les graines de melon, le yaourt, le sel et la feta. Mixez bien. Vous pouvez ajouter de l'eau si nécessaire, mais la sauce doit être suffisamment épaisse. N'en ajoutez que très peu si nécessaire. Ajoutez le reste des noix de cajou, le parmesan, le poivre et mixez à nouveau. Répétez l'opération une deuxième fois pour que la sauce ait le croquant des noix de cajou et que l'on perçoive le goût du parmesan. Le poivre peut être ajouté en premier ou en deuxième fois. Pressez le jus d'un citron et mixez une fois pour bien mélanger. Servez la recette de trempette aux feuilles d'aneth et au parmesan avec des chips de pita, des crackers, des frites de légumes ou des nachos. La recette de trempette aux feuilles d'aneth et au parmesan est une trempette idéale pour le soir.</t>
  </si>
  <si>
    <t>http://www.archanaskitchen.com/dill-leaves-parmesan-dip-recipe</t>
  </si>
  <si>
    <t>Healthy Eggless Date Squares Recipe</t>
  </si>
  <si>
    <t>Rezept für gesunde Dattelquadrate ohne Ei</t>
  </si>
  <si>
    <t>Recette de carrés de dattes sains et sans œufs</t>
  </si>
  <si>
    <t>Receta de cuadrados de dátiles saludables y sin huevo</t>
  </si>
  <si>
    <t>1/2 tasse de farine tout usage (Maida), 1/2 tasse de farine de blé entier, 1/2 cuillère à café de poudre de cardamome (Elaichi), 1/8 cuillère à café de sel, 1-1/4 cuillère à café de levure chimique, 2 cuillères à soupe de noix de cajou - hachées grossièrement, 25 dattes - noires et dénoyautées, 80 ml de lait, 2-1/2 cuillères à café de poudre à crème anglaise, 2/3 tasse de cassonade (sucre Demerara), 1/2 tasse d'huile de tournesol, 150 ml d'eau</t>
  </si>
  <si>
    <t>1/2 cup All Purpose Flour (Maida),1/2 cup Whole Wheat Flour,1/2 teaspoon Cardamom Powder (Elaichi),1/8 teaspoon Salt,1-1/4 teaspoon Baking powder,2 tablespoon Cashew nuts - coarsely chopped,25 Dates - black one and pitted,80 ml Milk,2-1/2 teaspoon Custard powder,2/3 cup Brown Sugar (Demerara Sugar),1/2 cup Sunflower Oil,150 ml Water</t>
  </si>
  <si>
    <t>1/2 taza de harina para todo uso (Maida), 1/2 taza de harina integral, 1/2 cucharadita de cardamomo en polvo (Elaichi), 1/8 cucharadita de sal, 1-1/4 cucharadita de polvo para hornear, 2 cucharadas de anacardos - picados gruesos, 25 dátiles - negros y sin hueso, 80 ml de leche, 2-1/2 cucharaditas de natillas en polvo, 2/3 taza de azúcar morena (azúcar Demerara), 1/2 taza de aceite de girasol, 150 ml de agua</t>
  </si>
  <si>
    <t xml:space="preserve">To begin making Healthy Eggless Date Squares Recipe, in a large mixing bowl, sieve the flours with salt &amp; custard powder. Add chopped cashew nuts to it and keep aside.Grind the pitted dates with some water. Whisk the mixture well.Place a saucepan on medium heat and add the dates mixture to it.Heat this mixture till it becomes gooey.Turn off the heat and let it cool. Add the baking powder and cardamom powder. In a small bowl, mix sugar, oil and milk.Add this to the flour mixture.Add the dates mixture to the flour mixture. Fold gently till you get a thick cake like batter without any dry flour between the folds. Pour the mixture into a greased and lined pan and proceed for baking.Bake the mixture in a preheated oven for 25-30 mins until a toothpick/knife inserted comes out clean. Cool on a wire rack, unmold and cut into squares. Serve the Healthy Eggless Date Squares Recipe on a serving plate or pack it for your kids snack box. 
</t>
  </si>
  <si>
    <t>Para comenzar a hacer la Receta de Cuadrados de Dátiles Saludables sin Huevo, en un tazón grande, tamice las harinas con sal y crema pastelera. Agregue anacardos picados y reserve. Muele los dátiles sin hueso con un poco de agua. Bata bien la mezcla. Coloque una cacerola a fuego medio y agregue la mezcla de dátiles. Caliente esta mezcla hasta que se vuelva pegajosa. Apague el fuego y deje enfriar. Agregue el polvo de hornear y el cardamomo en polvo. En un tazón pequeño, mezcle el azúcar, el aceite y la leche. Agregue esto a la mezcla de harina. Agregue la mezcla de dátiles a la mezcla de harina. Doble suavemente hasta obtener una masa espesa como un pastel sin harina seca entre los pliegues. Vierta la mezcla en un molde engrasado y forrado y proceda a hornear. Hornee la mezcla en un horno precalentado durante 25-30 minutos hasta que un palillo / cuchillo insertado salga limpio. Enfríe sobre una rejilla de alambre, desmolde y corte en cuadritos. Sirva la receta de cuadrados de dátiles saludables sin huevo en un plato o llévela para la merienda de sus hijos.</t>
  </si>
  <si>
    <t>Pour commencer à préparer la recette de carrés aux dattes sans œufs sains, dans un grand bol, tamisez les farines avec le sel et la poudre à crème anglaise. Ajoutez-y les noix de cajou hachées et réservez. Broyez les dattes dénoyautées avec un peu d'eau. Fouettez bien le mélange. Placez une casserole sur feu moyen et ajoutez-y le mélange de dattes. Faites chauffer ce mélange jusqu'à ce qu'il devienne gluant. Éteignez le feu et laissez refroidir. Ajoutez la levure chimique et la poudre de cardamome. Dans un petit bol, mélangez le sucre, l'huile et le lait. Ajoutez-le au mélange de farine. Ajoutez le mélange de dattes au mélange de farine. Pliez délicatement jusqu'à obtenir une pâte épaisse comme un gâteau sans farine sèche entre les plis. Versez le mélange dans un moule graissé et tapissé et procédez à la cuisson. Faites cuire le mélange dans un four préchauffé pendant 25 à 30 minutes jusqu'à ce qu'un cure-dent/couteau inséré en ressorte propre. Laissez refroidir sur une grille, démoulez et coupez en carrés. Servez la recette de carrés aux dattes sains sans œufs sur une assiette de service ou emballez-la dans la boîte à collation de vos enfants.</t>
  </si>
  <si>
    <t>https://www.archanaskitchen.com/healthy-eggless-date-squares-recipe</t>
  </si>
  <si>
    <t>Dragon Fruit and Rose Water Popsicle Recipe</t>
  </si>
  <si>
    <t>Rezept für Eis am Stiel mit Drachenfrucht und Rosenwasser</t>
  </si>
  <si>
    <t>Recette de glace sur bâtonnet au fruit du dragon et à l'eau de rose</t>
  </si>
  <si>
    <t>Receta de helado de pitahaya y agua de rosas en palito</t>
  </si>
  <si>
    <t>1 fruit du dragon à chair rose/pitaya - pelé et haché, 150 ml d'eau de rose, 2 cuillères à café de miel</t>
  </si>
  <si>
    <t>1 Pink Flesh Dragon Fruit/Pitaya - peeled and chopped,150 ml Rose water,2 teaspoon Honey</t>
  </si>
  <si>
    <t>1 fruta del dragón/pitaya de pulpa rosada, pelada y picada, 150 ml de agua de rosas, 2 cucharaditas de miel</t>
  </si>
  <si>
    <t xml:space="preserve">To begin making the  Dragon Fruit and Rose Water Popsicles, take a blender and finely blend the dragon fruit chunks, rose water and honey together for 3-4 minutes.Taste the juice and add more honey if need be.Take the Popsicle Bags or Molds and pour the dragon fruit and rose water juice into them.Freeze the bags for a minimum of 6-8 hours or you can also freeze them overnight.  Once done remove the Dragon Fruit and Rose Water Popsicle from their mold and serve.Serve Dragon Fruit And Rose Water Popsicle  along with a kids party menu of Heart Shaped Tea Sandwiches Recipe and Eggless-Quick and Easy Chocolate Cupcake Recipe
</t>
  </si>
  <si>
    <t>Para empezar a preparar las paletas de fruta del dragón y agua de rosas, licúe finamente los trozos de fruta del dragón, el agua de rosas y la miel durante 3 o 4 minutos. Pruebe el jugo y añada más miel si es necesario. Vierta el jugo de fruta del dragón y agua de rosas en las bolsas o moldes de paleta. Congele las bolsas durante un mínimo de 6 a 8 horas o también puede congelarlas durante la noche. Una vez listo, desmolde las paletas de fruta del dragón y agua de rosas y sirva. Sirva las paletas de fruta del dragón y agua de rosas junto con un menú para fiestas infantiles: una receta de sándwiches de té en forma de corazón y una receta de cupcakes de chocolate fáciles y rápidos sin huevo.</t>
  </si>
  <si>
    <t>Pour commencer à préparer les glaces au fruit du dragon et à l'eau de rose, prenez un mixeur et mixez finement les morceaux de fruit du dragon, l'eau de rose et le miel pendant 3 à 4 minutes. Goûtez le jus et ajoutez du miel si nécessaire. Prenez les sacs ou les moules à glaces et versez-y le jus de fruit du dragon et d'eau de rose. Congelez les sacs pendant au moins 6 à 8 heures ou vous pouvez également les congeler toute la nuit. Une fois terminé, retirez les glaces au fruit du dragon et à l'eau de rose de leur moule et servez. Servez les glaces au fruit du dragon et à l'eau de rose avec un menu de fête pour enfants composé de sandwichs au thé en forme de cœur et de cupcakes au chocolat sans œufs, rapides et faciles.</t>
  </si>
  <si>
    <t>http://www.archanaskitchen.com/dragon-fruit-rose-water-popsicle-recipe</t>
  </si>
  <si>
    <t>Granola Yogurt Parfait Recipe with Fresh Kiwi &amp; Pomegranates</t>
  </si>
  <si>
    <t>Granola-Joghurt-Parfait-Rezept mit frischer Kiwi und Granatäpfeln</t>
  </si>
  <si>
    <t>Recette de parfait granola-yaourt avec kiwi frais et grenades</t>
  </si>
  <si>
    <t>Receta de parfait de yogur y granola con kiwi fresco y granadas</t>
  </si>
  <si>
    <t>1 tasse de yaourt grec (Hung Curd), 1/4 cuillère à café d'extrait de vanille, 1 kiwi pelé et coupé en dés, 1/4 tasse de poudre d'Anardana (poudre de graines de grenade), 1/2 tasse de granola, 1 noix ou pacanes, miel au goût</t>
  </si>
  <si>
    <t>1 cup Hung Curd (Greek Yogurt) - or greek yogurt,1/4 teaspoon Vanilla Extract,1 Kiwi - peeled and diced,1/4 cup Anardana Powder (Pomegranate Seed Powder),1/2 cup Granola,1 Walnuts - or pecans,Honey - for taste</t>
  </si>
  <si>
    <t>1 taza de Hung Curd (yogur griego) - o yogur griego, 1/4 cucharadita de extracto de vainilla, 1 kiwi - pelado y cortado en cubitos, 1/4 taza de polvo de anardana (polvo de semilla de granada), 1/2 taza de granola, 1 nuez - o pecanas, miel - para sabor</t>
  </si>
  <si>
    <t xml:space="preserve">To begin making the Granola Yogurt Parfait Recipe with Fresh Kiwi &amp; Pomegranates, first get all the ingredients ready.Whisk the yogurt along with vanilla extract and keep aside.Arrange 2 serving bowls. Spoon some granola to the bottom of the glass bowl. Divide the yogurt and spoon it over the granola. Tossed the cut fruits over the top of the yogurt and finally add the walnuts and honey.Serve the Granola Yogurt Parfait Recipe with Fresh Kiwi &amp; Pomegranates as a healthy breakfast along with glass of fresh Mulled Apple Juice Recipe or Carrot Pineapple Orange Juice Recipe.
</t>
  </si>
  <si>
    <t>Para empezar a preparar la receta de parfait de granola y yogur con kiwi fresco y granadas, primero prepare todos los ingredientes. Bata el yogur junto con el extracto de vainilla y reserve. Organice 2 tazones para servir. Vierta un poco de granola en el fondo del tazón de vidrio. Divida el yogur y viértalo con una cuchara sobre la granola. Mezcle las frutas cortadas sobre la parte superior del yogur y finalmente agregue las nueces y la miel. Sirva la receta de parfait de granola y yogur con kiwi fresco y granadas como un desayuno saludable junto con un vaso de jugo de manzana caliente fresco o jugo de zanahoria, piña y naranja.</t>
  </si>
  <si>
    <t>Pour commencer à préparer la recette de parfait au yaourt et au granola avec kiwi frais et grenades, préparez d'abord tous les ingrédients. Fouettez le yaourt avec l'extrait de vanille et réservez. Disposez 2 bols de service. Déposez un peu de granola au fond du bol en verre. Répartissez le yaourt et versez-le sur le granola. Ajoutez les fruits coupés sur le yaourt et ajoutez enfin les noix et le miel. Servez la recette de parfait au yaourt et au granola avec kiwi frais et grenades comme un petit-déjeuner sain, accompagné d'un verre de jus de pomme chaud frais ou de jus de carotte, ananas et orange.</t>
  </si>
  <si>
    <t>http://www.archanaskitchen.com/granola-yogurt-parfait-recipe-with-fresh-kiwi-pomegranates</t>
  </si>
  <si>
    <t>High Fiber Oat And Orange Coconut Parfait Recipe</t>
  </si>
  <si>
    <t>Rezept für ballaststoffreiches Hafer-Orangen-Kokos-Parfait</t>
  </si>
  <si>
    <t>Recette de parfait à l'avoine, à l'orange et à la noix de coco riche en fibres</t>
  </si>
  <si>
    <t>Receta de parfait de avena, naranja y coco con alto contenido de fibra</t>
  </si>
  <si>
    <t>4 cuillères à soupe d'avoine instantanée (gruau), 1 tasse d'eau, 4 biscuits digestifs multigrains, 1 tasse de yaourt grec (Hung Curd), 1 cuillère à café d'extrait de vanille, 2 cuillères à soupe de noix de coco fraîche - desséchée, 1/2 tasse de noyaux de grenade frais, 1 orange - pelée et coupée en dés, 2 cuillères à soupe de miel</t>
  </si>
  <si>
    <t>4 tablespoon Instant Oats (Oatmeal),1 cup Water,4 Multigrain Digestive Biscuits,1 cup Hung Curd (Greek Yogurt),1 teaspoon Vanilla Extract,2 tablespoons Fresh coconut - dessicated,1/2 cup Fresh Pomegranate Fruit Kernels,1 Orange - peeled and diced,2 tablespoons Honey</t>
  </si>
  <si>
    <t>4 cucharadas de avena instantánea (avena), 1 taza de agua, 4 galletas digestivas multigrano, 1 taza de cuajada colgada (yogur griego), 1 cucharadita de extracto de vainilla, 2 cucharadas de coco fresco - desecado, 1/2 taza de semillas de granada fresca, 1 naranja - pelada y cortada en cubitos, 2 cucharadas de miel</t>
  </si>
  <si>
    <t xml:space="preserve">To begin making High Fiber Oat And Orange Coconut Parfait first cook oats in one cup water until done and cool the oats completely.Next in a Large mixing bowl add the Greek yogurt, cooked oats,vanilla extract, desiccated coconut and honey and mix everything together till it is well combined. Break some Nutri Choice Oats &amp; Orange Biscuits into smaller pieces and crumble a few biscuits. Slice the oranges and keep aside.To assemble the High Fiber Oat And Orange Coconut Parfait take a jar of your choice and into the jar add the crumbled Nutri Choice Oats &amp; Orange Biscuits.Add 3 tablespoons Greek yogurt oats and coconut mix , layer with orange segments and a few broken Nutri Choice Oats &amp; Orange Biscuits. Add some more yogurt, oats and coconut mix and top with pomegranate Kernels.Refrigerate Nutri Choice Oats &amp; Orange Biscuits for two hours before serving. Serve High Fiber Oat And Orange Coconut Parfait along with Savory French Toast With Cheesy Garlic Scrambled Eggs or Spinach Omelette for a fulfilling breakfast.
</t>
  </si>
  <si>
    <t>Para comenzar a hacer el Parfait de avena alta en fibra y naranja con coco, primero cocine la avena en una taza de agua hasta que esté lista y enfríe la avena por completo. Luego, en un tazón grande, agregue el yogur griego, la avena cocida, el extracto de vainilla, el coco desecado y la miel y mezcle todo hasta que esté bien combinado. Rompa algunas galletas de avena y naranja Nutri Choice en trozos más pequeños y desmenuce algunas galletas. Corte las naranjas en rodajas y reserve. Para armar el Parfait de avena alta en fibra y naranja con coco, tome un frasco de su elección y en el frasco agregue las galletas de avena y naranja Nutri Choice desmenuzadas. Agregue 3 cucharadas de avena con yogur griego y mezcla de coco, cubra con gajos de naranja y algunas galletas de avena y naranja Nutri Choice rotas. Agregue un poco más de mezcla de yogur, avena y coco y cubra con granos de granada. Refrigere las galletas de avena y naranja Nutri Choice durante dos horas antes de servir. Sirva un parfait de avena rico en fibra y coco con naranja junto con unas sabrosas tostadas francesas con huevos revueltos con ajo y queso o una tortilla de espinacas para un desayuno completo.</t>
  </si>
  <si>
    <t>Pour commencer à préparer le parfait à l'avoine et à l'orange et à la noix de coco riche en fibres, faites d'abord cuire l'avoine dans une tasse d'eau jusqu'à ce qu'elle soit cuite et laissez-la refroidir complètement. Ensuite, dans un grand bol, ajoutez le yaourt grec, l'avoine cuite, l'extrait de vanille, la noix de coco râpée et le miel et mélangez le tout jusqu'à ce que le tout soit bien mélangé. Cassez quelques biscuits à l'avoine et à l'orange Nutri Choice en petits morceaux et émiettez quelques biscuits. Tranchez les oranges et réservez. Pour assembler le parfait à l'avoine et à l'orange et à la noix de coco riche en fibres, prenez un pot de votre choix et ajoutez-y les biscuits à l'avoine et à l'orange Nutri Choice émiettés. Ajoutez 3 cuillères à soupe de yaourt grec, de mélange d'avoine et de noix de coco, superposez des segments d'orange et quelques biscuits à l'avoine et à l'orange Nutri Choice cassés. Ajoutez un peu plus de yaourt, d'avoine et de mélange de noix de coco et garnissez de noyaux de grenade. Réfrigérez les biscuits à l'avoine et à l'orange Nutri Choice pendant deux heures avant de servir. Servez un parfait à l'avoine, à l'orange et à la noix de coco riche en fibres avec du pain doré salé avec des œufs brouillés à l'ail et au fromage ou une omelette aux épinards pour un petit-déjeuner copieux.</t>
  </si>
  <si>
    <t>https://www.archanaskitchen.com/high-fiber-oat-and-orange-coconut-parfait-recipe</t>
  </si>
  <si>
    <t>Irish Barm Brack Recipe</t>
  </si>
  <si>
    <t>Rezept für Irish Barm Brack</t>
  </si>
  <si>
    <t>Recette de Barm Brack irlandais</t>
  </si>
  <si>
    <t>Receta de Barm Brack irlandés</t>
  </si>
  <si>
    <t>225 grammes de Vivatta Maida, 375 grammes de fruits secs mélangés (raisins secs dorés, 2 cuillères à café de levure chimique, 250 ml de thé (décoction) (thé froid), 50 ml de whisky (facultatif), 125 grammes de sucre brun (sucre Demerara), 1 œuf entier, 2 cuillères à café de poudre d'épices</t>
  </si>
  <si>
    <t>225 grams Vivatta Maida,375 grams Mixed dry fruits - (Golden raisins,2 teaspoons Baking powder,250 ml Tea - decoction (cold tea),50 ml Whiskey - optional,125 grams Brown Sugar (Demerara Sugar),1 Whole Egg,2 teaspoons All spice powder</t>
  </si>
  <si>
    <t>225 gramos de Vivatta Maida, 375 gramos de frutos secos mixtos (pasas doradas, 2 cucharaditas de polvo de hornear, 250 ml de té - decocción (té frío), 50 ml de whisky (opcional), 125 gramos de azúcar moreno (azúcar Demerara), 1 huevo entero, 2 cucharaditas de polvo de especias.</t>
  </si>
  <si>
    <t xml:space="preserve">To bgein making the Irish Barm Brack recipe, place the fruit mix in a bowl and pour over the whiskey (if using) and cold tea. Allow to soak up the liquid overnight.Preheat the oven to 170˚C/327°/Gas Mark 3 and grease and line a 900g loaf tin.Combine the flour, baking powder, sugar and mixed spice in a mixing bowl. Make a well and break in the egg, using a wooden spoon, mix the egg with the dry ingredients.Add a little bit of the tea liquid in the the fruit mix and mix it through. You may not need all the liquid, you are looking for a wet dough. Then stir through the fruit mix until everything is thoroughly combined.Graese a loaf tin and set it aside. Spoon the wet dough into the lined loaf tin and place in the oven on the middle shelf and bake for 1 hour. Remove from the oven and allow to cool slightly before removing from the loaf tin and placing on wire rack.Cover in cling wrap and tin foil and allow to sit for 1-2 days before cutting into it. Serve in slices.Serve Irish Barm Brack for a special occasion or serve it with Espresso Coffee and Chicken Sandwich With Sweet Corn for your next tea party.
</t>
  </si>
  <si>
    <t>Para preparar la receta de Irish Barm Brack, coloca la mezcla de frutas en un bol y vierte el whisky (si lo usas) y el té frío. Deja que el líquido se absorba durante la noche. Precalienta el horno a 170 °C/327 °C/Gas Marca 3 y engrasa y forra un molde para pan de 900 g. Mezcla la harina, la levadura química, el azúcar y las especias mixtas en un bol. Haz un hueco y añade el huevo; con una cuchara de madera, mezcla el huevo con los ingredientes secos. Agrega un poco del líquido del té a la mezcla de frutas y remueve bien. Quizás no necesites todo el líquido, ya que buscas una masa húmeda. Luego, incorpora la mezcla de frutas revolviendo hasta que todo esté bien integrado. Engrasa un molde para pan y resérvalo. Vierte la masa húmeda en el molde forrado y colócalo en la rejilla del medio del horno durante 1 hora. Retirar del horno y dejar enfriar un poco antes de desmoldar y colocar sobre una rejilla. Cubrir con film transparente y papel de aluminio y dejar reposar de 1 a 2 días antes de cortar. Servir en rebanadas. Sirva el Irish Barm Brack para una ocasión especial o con café expreso y un sándwich de pollo con maíz dulce para su próxima merienda.</t>
  </si>
  <si>
    <t>Pour commencer la recette de l'Irish Barm Brack, versez le mélange de fruits dans un bol et versez dessus le whisky (si vous en utilisez) et le thé froid. Laissez le liquide s'imprégner toute la nuit. Préchauffez le four à 170 °C (thermostat 3), graissez et chemisez un moule à cake de 900 g. Dans un saladier, mélangez la farine, la levure chimique, le sucre et le mélange d'épices. Faites un puits et cassez l'œuf. À l'aide d'une cuillère en bois, mélangez-le aux ingrédients secs. Ajoutez un peu de liquide de thé au mélange de fruits et mélangez bien. Vous n'aurez peut-être pas besoin de tout le liquide, car vous souhaitez une pâte liquide. Incorporez ensuite le mélange de fruits jusqu'à ce que tout soit bien mélangé. Graissez un moule à cake et réservez-le. Versez la pâte liquide dans le moule chemisé, enfournez à mi-hauteur et laissez cuire 1 heure. Retirer du four et laisser refroidir légèrement avant de démouler et de placer sur une grille. Couvrir de film alimentaire et de papier aluminium et laisser reposer 1 à 2 jours avant de découper. Servir en tranches. Servir l'Irish Barm Brack pour une occasion spéciale ou accompagner d'un café expresso et d'un sandwich au poulet et maïs doux pour votre prochain goûter.</t>
  </si>
  <si>
    <t>https://www.archanaskitchen.com/irish-barm-brack-recipe</t>
  </si>
  <si>
    <t>Chocolate Coconut Pistachio Bites Recipe (Paleo &amp; Vegan)</t>
  </si>
  <si>
    <t>Rezept für Schokoladen-Kokos-Pistazien-Häppchen (Paleo &amp; Vegan)</t>
  </si>
  <si>
    <t>Recette de bouchées chocolat-noix de coco-pistache (paléo et végétalien)</t>
  </si>
  <si>
    <t>Receta de bocaditos de chocolate, coco y pistacho (paleo y veganos)</t>
  </si>
  <si>
    <t>1 tasse de pistaches, 3/4 tasse de noix de coco desséchée (flocons), 1/2 tasse de poudre de cacao (ou protéines de chocolat), 1/3 tasse de beurre d'amande ou de beurre de cacahuète, 1/3 tasse de sirop d'érable ou de miel, 1/2 cuillère à café d'extrait de vanille</t>
  </si>
  <si>
    <t>1 cup Pistachios,3/4 cup Dessicated Coconut - (flakes),1/2 cup Cocoa Powder - (or chocolate protein),1/3 cup Almond butter - or Peanut BUtter,1/3 cup Maple syrup - or Honey,1/2 teaspoon Vanilla Extract</t>
  </si>
  <si>
    <t>1 taza de pistachos, 3/4 taza de coco deshidratado (hojuelas), 1/2 taza de cacao en polvo (o proteína de chocolate), 1/3 taza de mantequilla de almendras o mantequilla de maní, 1/3 taza de jarabe de arce o miel, 1/2 cucharadita de extracto de vainilla</t>
  </si>
  <si>
    <t xml:space="preserve">To prepare Chocolate Coconut Pistachio Bites Recipe (Paleo &amp; Vegan), process the unshelled pistachios in a food processor into a coarse powder.Process the coconut flakes in a food processor into a fine flour.Transfer the coconut flour into a large bowl and add the other ingredients - cocoa powder, almond butter, vanilla extract with maple syrup being last.If the batter is too wet, add more coconut flour; if the batter is too dry, add maple syrup a little extra.Mix well and roll with your hands into small round bites.Freeze the bites in the airtight container or just refrigerate to retain its freshness. Coat the Chocolate Coconut Pistachio Bites Recipe (Paleo &amp; Vegan) with coconut flakes or dry cocoa powder if desired, and grab on as a mid morning snack or as an evening snack
</t>
  </si>
  <si>
    <t>Para preparar la receta de bocaditos de pistacho, coco y chocolate (paleo y veganos), procese los pistachos con cáscara en un procesador de alimentos hasta obtener un polvo grueso. Procese las hojuelas de coco en un procesador de alimentos hasta obtener una harina fina. Transfiera la harina de coco a un tazón grande y agregue los demás ingredientes: cacao en polvo, mantequilla de almendras, extracto de vainilla y jarabe de arce por último. Si la masa está demasiado húmeda, agregue más harina de coco; si está demasiado seca, agregue un poco más de jarabe de arce. Mezcle bien y forme pequeños bocados redondos con las manos. Congele los bocados en un recipiente hermético o simplemente refrigérelos para conservar su frescura. Cubra la receta de bocaditos de pistacho, coco y chocolate (paleo y veganos) con hojuelas de coco o cacao en polvo seco si lo desea, y tómelo como un refrigerio a media mañana o por la noche.</t>
  </si>
  <si>
    <t>Pour préparer la recette de bouchées chocolat-noix de coco-pistache (paléo et végétalien), réduisez les pistaches décortiquées en poudre grossière au robot culinaire. Réduisez les flocons de noix de coco en farine fine au robot culinaire. Versez la farine de noix de coco dans un grand bol et ajoutez les autres ingrédients : cacao en poudre, beurre d'amande, extrait de vanille, et le sirop d'érable en dernier. Si la pâte est trop liquide, ajoutez de la farine de noix de coco ; si elle est trop sèche, ajoutez un peu de sirop d'érable. Mélangez bien et roulez avec vos mains en petites bouchées rondes. Congelez les bouchées dans un contenant hermétique ou conservez-les simplement au réfrigérateur pour conserver leur fraîcheur. Enrobez les bouchées chocolat-noix de coco-pistache (paléo et végétalien) de flocons de noix de coco ou de cacao en poudre si vous le souhaitez, et dégustez-les en collation en milieu de matinée ou en soirée.</t>
  </si>
  <si>
    <t>https://www.archanaskitchen.com/chocolate-coconut-pistachio-bites-recipe-paleo-vegan</t>
  </si>
  <si>
    <t>Spinach Watermelon Salad Recipe With Walnuts</t>
  </si>
  <si>
    <t>Rezept für Spinat-Wassermelonensalat mit Walnüssen</t>
  </si>
  <si>
    <t>Recette de salade d'épinards et de pastèque aux noix</t>
  </si>
  <si>
    <t>Receta de ensalada de espinacas y sandía con nueces</t>
  </si>
  <si>
    <t>1 tasse de feuilles d'épinards (Palak) - grossièrement déchirées, 2 tasses de pastèque - épépinée et coupée en cubes, 1/2 tasse de raisins noirs - coupés en deux, 3 cuillères à soupe de fromage feta, 3 cuillères à soupe de noix, 1 cuillère à soupe d'huile d'olive extra vierge, 1 cuillère à café de jus de citron, 1 cuillère à café de miel, 1/2 cuillère à café de poudre de poivre noir, sel - au goût</t>
  </si>
  <si>
    <t>1 cup Spinach Leaves (Palak) - roughly torn,2 cups Watermelon - deseeded and cubed,1/2 cup Black grapes - cut into halves,3 tablespoons Feta Cheese,3 tablespoons Walnuts,1 tablespoon Extra Virgin Olive Oil,1 teaspoon Lemon juice,1 teaspoon Honey,1/2 teaspoon Black pepper powder,Salt - to taste</t>
  </si>
  <si>
    <t>1 taza de hojas de espinaca (Palak) - cortadas en trozos grandes, 2 tazas de sandía - sin semillas y cortada en cubos, 1/2 taza de uvas negras - cortadas en mitades, 3 cucharadas de queso feta, 3 cucharadas de nueces, 1 cucharada de aceite de oliva virgen extra, 1 cucharadita de jugo de limón, 1 cucharadita de miel, 1/2 cucharadita de pimienta negra en polvo, sal - al gusto</t>
  </si>
  <si>
    <t xml:space="preserve">To begin making the Spinach Watermelon Salad Recipe With Walnuts, we will first make the salad dressing. To make the salad dressingIn a small mixing bowl, combine the olive oil, lemon juice, honey, salt and pepper. Mix well and set aside. In another mixing bowl, combine the spinach leaves, watermelon, grapes and toss in the salad dressing. Place the Spinach Watermelon Salad in a serving platter, garnish with feta cheese and walnuts and serve. Serve this Spinach Watermelon Salad Recipe With Walnuts along with Beetroot Gazpacho Soup Recipe, Grilled Basil Pesto Chicken Sub Sandwich  and a dessert of Coconut Chocolate Balls Recipe for a complete meal. 
</t>
  </si>
  <si>
    <t>Para empezar a preparar la receta de ensalada de espinacas y sandía con nueces, primero prepararemos el aderezo. Para preparar el aderezo, en un tazón pequeño, combine el aceite de oliva, el jugo de limón, la miel, la sal y la pimienta. Mezcle bien y reserve. En otro tazón, combine las hojas de espinaca, la sandía, las uvas y agregue el aderezo. Coloque la ensalada de espinacas y sandía en una fuente para servir, decore con queso feta y nueces y sirva. Sirva esta receta de ensalada de espinacas y sandía con nueces junto con la receta de sopa de gazpacho de remolacha, el sándwich de pollo asado con pesto de albahaca y un postre de bolitas de chocolate con coco para una comida completa.</t>
  </si>
  <si>
    <t>Pour commencer à préparer la salade d'épinards et de pastèque aux noix, nous allons d'abord préparer la vinaigrette. Dans un petit saladier, mélanger l'huile d'olive, le jus de citron, le miel, le sel et le poivre. Bien mélanger et réserver. Dans un autre saladier, mélanger les feuilles d'épinards, la pastèque et les raisins, puis incorporer la vinaigrette. Disposer la salade d'épinards et de pastèque dans un plat de service, garnir de feta et de noix, puis servir. Accompagnez cette salade d'épinards et de pastèque aux noix d'une soupe au gaspacho de betterave, d'un sandwich au poulet grillé au pesto de basilic et d'un dessert composé de boules de chocolat et de noix de coco pour un repas complet.</t>
  </si>
  <si>
    <t>http://www.archanaskitchen.com/spinach-watermelon-salad-recipe-with-walnuts</t>
  </si>
  <si>
    <t>Buttered Mashed Potatoes - For Babies Over 7 months</t>
  </si>
  <si>
    <t>Butterkartoffelpüree - Für Babys ab 7 Monaten</t>
  </si>
  <si>
    <t>Purée de pommes de terre au beurre - Pour bébé dès 7 mois</t>
  </si>
  <si>
    <t>Puré de papas con mantequilla - Para bebés a partir de 7 meses</t>
  </si>
  <si>
    <t>1 pomme de terre (Aloo), sel - une pincée, 1 cuillère à café de beurre, poivre noir en poudre - une pincée</t>
  </si>
  <si>
    <t>1 Potato (Aloo),Salt - a pinch,1 teaspoon Butter,Black pepper powder - a pinch</t>
  </si>
  <si>
    <t>1 patata (Aloo), sal - una pizca, 1 cucharadita de mantequilla, pimienta negra en polvo - una pizca</t>
  </si>
  <si>
    <t xml:space="preserve">To begin making Buttered Mashed Potatoes, pick fresh potatoes available (without the spuds) in the market.Place the potato in a pressure cooker along with a 1/2 a cup of water.Let out 3 whistles and turn off the flame. Release the pressure naturally, as the potatoes will continue to cook in the heat.Once the pressure has released, peel the skin of the potato and place it on a cutting board. Cut the potatoes roughly into small pieces.Place a pan on medium heat and melt a teaspoon of butter. Once the butter has melted, add the roughly chopped potatoes and stir them well with a pinch of salt and pepper. Using the back of a fork mash the potatoes. Saute for 2 minutes and turn off the heat. Transfer the potatoes into a serving bowl to serve your baby/ toddler. Serve these Buttered Potatoes to your baby/toddlers from 7 months onwards as a lunch or dinner meal.
</t>
  </si>
  <si>
    <t>Para empezar a preparar Puré de Papas con Mantequilla, escoja papas frescas disponibles en el mercado (sin las papas). Coloque la papa en una olla a presión junto con 1/2 taza de agua. Suelte 3 silbidos y apague el fuego. Libere la presión naturalmente, ya que las papas continuarán cocinándose con el calor. Una vez que la presión se haya liberado, pele la piel de la papa y colóquela en una tabla de cortar. Corte las papas en trozos pequeños. Coloque una sartén a fuego medio y derrita una cucharadita de mantequilla. Una vez que la mantequilla se haya derretido, agregue las papas picadas en trozos grandes y revuelva bien con una pizca de sal y pimienta. Con el dorso de un tenedor, machaque las papas. Saltee durante 2 minutos y apague el fuego. Transfiera las papas a un tazón para servir a su bebé / niño pequeño. Sirva estas Papas con Mantequilla a su bebé / niño pequeño a partir de los 7 meses como comida de almuerzo o cena.</t>
  </si>
  <si>
    <t>Pour commencer à préparer une purée de pommes de terre au beurre, choisissez des pommes de terre fraîches disponibles (sans les pommes de terre) au marché. Placez les pommes de terre dans un autocuiseur avec 1/2 tasse d'eau. Laissez échapper 3 sifflements et éteignez le feu. Relâchez la pression naturellement, car les pommes de terre continueront de cuire à la chaleur. Une fois la pression relâchée, épluchez la peau de la pomme de terre et placez-la sur une planche à découper. Coupez les pommes de terre grossièrement en petits morceaux. Placez une casserole sur feu moyen et faites fondre une cuillère à café de beurre. Une fois le beurre fondu, ajoutez les pommes de terre grossièrement hachées et remuez bien avec une pincée de sel et de poivre. À l'aide du dos d'une fourchette, écrasez les pommes de terre. Faites sauter pendant 2 minutes et éteignez le feu. Transférez les pommes de terre dans un bol de service pour servir à votre bébé/tout-petit. Servez ces pommes de terre au beurre à votre bébé/tout-petit à partir de 7 mois comme déjeuner ou dîner.</t>
  </si>
  <si>
    <t>https://www.archanaskitchen.com/buttered-mashed-potatoes-with-salt-and-pepper-recipe-for-babies-over-7-months</t>
  </si>
  <si>
    <t>Quinoa With Grilled Zucchini &amp; Chickpea Recipe</t>
  </si>
  <si>
    <t>Quinoa mit gegrillter Zucchini und Kichererbsen</t>
  </si>
  <si>
    <t>Quinoa aux courgettes grillées et pois chiches</t>
  </si>
  <si>
    <t>Quinoa con calabacín a la plancha y garbanzos</t>
  </si>
  <si>
    <t>1 tasse de quinoa, 2 tasses d'eau, 1 cuillère à café de sel, 1 courgette verte coupée en dés, 1/2 tasse de Kabuli Chana (pois chiches blancs) trempés toute la nuit, 1/4 tasse d'oignon nouveau (bulbe et feuilles) finement haché, 2 tomates finement hachées, 2 piments verts finement hachés, 2 gousses d'ail écrasées, 1 tasse de feuilles d'aneth hachées, 1 cuillère à café d'origan séché, sel au goût, huile d'olive extra vierge pour la cuisson</t>
  </si>
  <si>
    <t>1 cup Quinoa,2 cups Water,1 teaspoon Salt,1 Green zucchini - diced,1/2 cup Kabuli Chana (White Chickpeas) - soaked overnight,1/4 cup Spring Onion (Bulb &amp; Greens) - finely chopped,2 Tomatoes - finely chopped,2 Green Chillies - finely chopped,2 cloves Garlic - crushed,1 cup Dill leaves - chopped,1 teaspoon Dried oregano,Salt - to taste,Extra Virgin Olive Oil - for cooking</t>
  </si>
  <si>
    <t>1 taza de quinoa, 2 tazas de agua, 1 cucharadita de sal, 1 calabacín verde cortado en cubitos, 1/2 taza de garbanzos blancos (kabuli chana) remojados durante la noche, 1/4 taza de cebolla de verdeo (bulbo y hojas verdes) finamente picada, 2 tomates finamente picados, 2 chiles verdes finamente picados, 2 dientes de ajo machacados, 1 taza de hojas de eneldo picadas, 1 cucharadita de orégano seco, sal al gusto, aceite de oliva virgen extra para cocinar</t>
  </si>
  <si>
    <t xml:space="preserve">To begin making the Quinoa With Grilled Zucchini &amp; Chickpea Recipe, first soak chickpeas overnight.Preheat the oven to 180 degree centigrade. Drain water from chickpeas and leave it on a kitchen towel and pat it dry. Place the dry chickpeas on a baking tray in single layer. Drizzle 1 teaspoon of oil over the chickpeas, sprinkle some salt and roast it in the oven for about 20 to 30 minutes until the chickpeas begin to change color and turn crisp.Once the chickpeas turn crisp, remove from oven and cool it completely. You can store this in airtight container or zip lock bag for about 3 days.Place the quinoa in a saucepan, add 2 cups of water, salt and a teaspoon of olive oil. Bring it to a brisk boil. Once it comes to a brisk boil, turn the heat to low, cover the pan and cook until water is completely absorbed.Once all the water is absorbed, turn off the heat. Let the quinoa rest in the pan for about 10 to 15 minutes. Then open the pan and fluff up the grains using a fork.In a wide heavy bottomed pan add a tablespoon of olive oil. Add chopped spring onions, green chilies, finely chopped garlic cloves and zucchini. Stir fry on medium high heat until the zucchini is lightly roast (about 2 minutes)Once the zucchini is roasted, add chopped tomatoes and sauté till tomatoes become soft.Stir in dill leaves, the cooked quinoa and roasted chickpeas and toss gently until everything is mixed. Finally sprinkle some dried or fresh oregano and toss again. Check the salt and spices and adjust to suit your taste.Turn off the heat and serve.Serve the Quinoa With Grilled Zucchini &amp; Chickpea immediately- squeeze a teaspoon of lime juice over just before serving. Also garnish with some green onions.Serve Quinoa With Grilled Zucchini &amp; Chickpea Recipe with Olive &amp; Tofu In Harissa Curry Recipe for a wholesome lunch or dinner.
</t>
  </si>
  <si>
    <t>Para empezar a hacer la receta de quinoa con calabacín a la parrilla y garbanzos, primero remoje los garbanzos durante la noche. Precaliente el horno a 180 grados centígrados. Escurra el agua de los garbanzos y déjela sobre una toalla de cocina y séquela. Coloque los garbanzos secos en una bandeja para hornear en una sola capa. Rocíe 1 cucharadita de aceite sobre los garbanzos, espolvoree un poco de sal y tuéstelos en el horno durante unos 20 a 30 minutos hasta que los garbanzos comiencen a cambiar de color y se vuelvan crujientes. Una vez que los garbanzos se vuelvan crujientes, sáquelos del horno y enfríelos por completo. Puede guardarlos en un recipiente hermético o en una bolsa con cierre hermético durante aproximadamente 3 días. Coloque la quinoa en una cacerola, agregue 2 tazas de agua, sal y una cucharadita de aceite de oliva. Llévela a ebullición rápida. Una vez que hierva rápidamente, baje el fuego, cubra la cacerola y cocine hasta que el agua se absorba completamente. Una vez que se absorba toda el agua, apague el fuego. Deje reposar la quinoa en la sartén durante unos 10 a 15 minutos. Luego abra la sartén y esponje los granos con un tenedor. En una sartén ancha de fondo grueso, agregue una cucharada de aceite de oliva. Agregue cebolletas picadas, chiles verdes, dientes de ajo finamente picados y calabacín. Saltee a fuego medio alto hasta que el calabacín esté ligeramente asado (aproximadamente 2 minutos). Una vez que el calabacín esté asado, agregue tomates picados y saltee hasta que los tomates se ablanden. Agregue hojas de eneldo, la quinoa cocida y los garbanzos tostados y revuelva suavemente hasta que todo esté mezclado. Finalmente, espolvoree un poco de orégano seco o fresco y revuelva de nuevo. Verifique la sal y las especias y ajuste a su gusto. Apague el fuego y sirva. Sirva la quinoa con calabacín y garbanzos a la parrilla inmediatamente, exprima una cucharadita de jugo de limón justo antes de servir. También puede decorar con cebollitas verdes. Sirva quinoa con calabacín a la parrilla y garbanzos con aceitunas y tofu en curry con harissa para un almuerzo o cena saludable.</t>
  </si>
  <si>
    <t>Pour commencer à préparer la recette de quinoa aux courgettes grillées et aux pois chiches, faites d'abord tremper les pois chiches pendant la nuit. Préchauffez le four à 180 degrés centigrades. Égouttez l'eau des pois chiches et laissez-la sur un torchon de cuisine et séchez-la. Placez les pois chiches secs sur une plaque de cuisson en une seule couche. Versez 1 cuillère à café d'huile sur les pois chiches, saupoudrez de sel et faites-les rôtir au four pendant environ 20 à 30 minutes jusqu'à ce que les pois chiches commencent à changer de couleur et deviennent croustillants. Une fois que les pois chiches deviennent croustillants, retirez-les du four et laissez-les refroidir complètement. Vous pouvez le conserver dans un récipient hermétique ou un sac à fermeture éclair pendant environ 3 jours. Placez le quinoa dans une casserole, ajoutez 2 tasses d'eau, du sel et une cuillère à café d'huile d'olive. Portez à ébullition rapide. Une fois à ébullition rapide, baissez le feu, couvrez la casserole et laissez cuire jusqu'à ce que l'eau soit complètement absorbée. Une fois toute l'eau absorbée, éteignez le feu. Laissez reposer le quinoa dans la poêle pendant environ 10 à 15 minutes. Ouvrez ensuite la poêle et égrainez les grains à l'aide d'une fourchette. Dans une grande poêle à fond épais, ajoutez une cuillère à soupe d'huile d'olive. Ajoutez les oignons nouveaux hachés, les piments verts, les gousses d'ail finement hachées et les courgettes. Faites sauter à feu moyen-vif jusqu'à ce que les courgettes soient légèrement rôties (environ 2 minutes). Une fois les courgettes rôties, ajoutez les tomates hachées et faites sauter jusqu'à ce que les tomates deviennent tendres. Incorporez les feuilles d'aneth, le quinoa cuit et les pois chiches rôtis et mélangez délicatement jusqu'à ce que tout soit mélangé. Enfin, saupoudrez d'origan séché ou frais et mélangez à nouveau. Vérifiez le sel et les épices et ajustez selon votre goût. Éteignez le feu et servez. Servez le quinoa aux courgettes et pois chiches grillés immédiatement - pressez une cuillère à café de jus de citron vert juste avant de servir. Garnissez également d'oignons verts. Servez la recette de quinoa avec courgettes grillées et pois chiches avec des olives et du tofu dans une recette de curry à la harissa pour un déjeuner ou un dîner sain.</t>
  </si>
  <si>
    <t>https://www.archanaskitchen.com/quinoa-with-grilled-zucchini-chickpea-recipe</t>
  </si>
  <si>
    <t>Spinach Mushroom Stir Fry Recipe</t>
  </si>
  <si>
    <t>Spinat-Pilz-Braten-Rezept – Spinat-Pilz-Pfanne-Rezept</t>
  </si>
  <si>
    <t>Recette de rôti d'épinards et de champignons – Recette de poêle d'épinards et de champignons</t>
  </si>
  <si>
    <t>Receta de espinacas y champiñones asados ​​– Receta de espinacas y champiñones en sartén</t>
  </si>
  <si>
    <t>400 g d'épinards hachés, 250 g de champignons de Paris coupés en deux, 1 oignon haché droit et fin, 4 gousses d'ail finement hachées, 1 cuillère à café de poivre noir entier moulu, 1 cuillère à café de cumin en poudre, sel selon votre goût</t>
  </si>
  <si>
    <t>400 gms spinach - chopped, 250 gms button mushroom - halved, 1 onion - chopped straight and thin, 4 cloves garlic - finely chopped, 1 tsp whole black pepper - grind, 1 tsp cumin powder, salt - according to taste</t>
  </si>
  <si>
    <t>400 g de espinacas picadas, 250 g de champiñones cortados por la mitad, 1 cebolla picada recta y fina, 4 dientes de ajo picados finamente, 1 cucharadita de pimienta negra molida, 1 cucharadita de comino en polvo, sal al gusto</t>
  </si>
  <si>
    <t>To make Palak Mushroom Fry Recipe, first heat oil in a pan. Add garlic, onion and cook till onion becomes soft. After onion becomes soft, add mushrooms and cook till they become slightly soft. Now add chopped spinach, salt as per taste, black pepper, cumin powder and mix well. Cook till spinach is cooked well. This will take 1 to 2 minutes. Turn off the gas and serve. Serve Palak Mushroom Fry Recipe with Grilled Lemon Chicken and Herb Rice for dinner.</t>
  </si>
  <si>
    <t>Para preparar la receta de champiñones Palak fritos, primero caliente el aceite en una sartén. Añada el ajo y la cebolla y cocine hasta que la cebolla esté tierna. Una vez que la cebolla esté tierna, añada los champiñones y cocínelos hasta que estén ligeramente tiernos. Añada las espinacas picadas, sal al gusto, pimienta negra, comino en polvo y mezcle bien. Cocine hasta que las espinacas estén bien cocidas. Esto tomará de 1 a 2 minutos. Apague el fuego y sirva. Sirva la receta de champiñones Palak fritos con pollo al limón a la parrilla y arroz con hierbas para la cena.</t>
  </si>
  <si>
    <t>Pour préparer la recette de champignons sautés au Palak, faites chauffer l'huile dans une poêle. Ajoutez l'ail et l'oignon et faites-les revenir jusqu'à ce qu'ils soient tendres. Une fois l'oignon tendre, ajoutez les champignons et faites-les revenir jusqu'à ce qu'ils soient légèrement tendres. Ajoutez ensuite les épinards hachés, le sel à votre goût, le poivre noir et le cumin en poudre, puis mélangez bien. Laissez cuire jusqu'à ce que les épinards soient bien cuits. Cela prendra 1 à 2 minutes. Coupez le feu et servez. Servez la recette de champignons sautés au Palak avec du poulet grillé au citron et du riz aux herbes pour le dîner.</t>
  </si>
  <si>
    <t>http://www.archanaskitchen.com/spinach-mushroom-stir-fry-recipe-in-hindi</t>
  </si>
  <si>
    <t>Zucchini Pancake Recipe With Tomato Salsa</t>
  </si>
  <si>
    <t>Rezept für Zucchini-Pfannkuchen mit Tomatensalsa</t>
  </si>
  <si>
    <t>Recette de galettes de courgettes à la salsa de tomates</t>
  </si>
  <si>
    <t>Receta de hamburguesas de calabacín con salsa de tomate</t>
  </si>
  <si>
    <t>1 tasse de courgettes vertes râpées, 2 piments verts finement hachés, 1/2 tasse de farine d'avoine, 1 tasse de farine de blé entier, 1 tasse de caillé (dahi/yogourt), 1 cuillère à café de levure chimique, sel et poivre au goût, huile de tournesol pour la cuisson, 1 tasse de salsa aux tomates</t>
  </si>
  <si>
    <t>1 cup Green zucchini - grated,2 Green Chillies - finely chopped,1/2 cup Oats Flour,1 cup Whole Wheat Flour,1 cup Curd (Dahi / Yogurt),1 teaspoon Baking powder,Salt and Pepper - to taste,Sunflower Oil - for cooking,1 cup Tomato Salsa</t>
  </si>
  <si>
    <t>1 taza de calabacín verde rallado, 2 chiles verdes picados finamente, 1/2 taza de harina de avena, 1 taza de harina integral, 1 taza de cuajada (dahi/yogur), 1 cucharadita de polvo para hornear, sal y pimienta al gusto, aceite de girasol para cocinar, 1 taza de salsa de tomate</t>
  </si>
  <si>
    <t xml:space="preserve">To begin making the Zucchini Pancake Recipe with Tomato Salsa, combine all the ingredients, except the oil in a bowl. Whisk together all the ingredients until well combined and fully.Heat a 8 inch pan over medium heat and melt 1/2 teaspoon butter or 1/2 teaspoon oil in the pan.When the butter is hot but not smoking, lower the heat to medium-low and drop one heaping soup spoon of batter into the pan.Cook the pancake about 2 minutes on each side, until browned and cooked on both sides. Continue with remaining pancakes. Serve the Zucchini Pancake along with Schezwan sauce or even Mexican Tomato Salsa for dinner, breakfast or for your parties.Alternatives: You could make tiny 1 inch appetizers with this batter and serve it as a starter for your next party. These remain soft and warm well in the oven even after they are cooked without getting brittle. If you happen to warm in the oven, just make sure to cover with aluminum foil so they dont dry out.
</t>
  </si>
  <si>
    <t>Para comenzar a hacer la Receta de Panqueques de Calabacín con Salsa de Tomate, combine todos los ingredientes, excepto el aceite en un tazón. Bata todos los ingredientes hasta que estén bien combinados y completamente. Caliente una sartén de 8 pulgadas a fuego medio y derrita 1/2 cucharadita de mantequilla o 1/2 cucharadita de aceite en la sartén. Cuando la mantequilla esté caliente pero no humeante, baje el fuego a medio-bajo y deje caer una cucharada colmada de sopa de masa en la sartén. Cocine el panqueque aproximadamente 2 minutos por cada lado, hasta que esté dorado y cocido por ambos lados. Continúe con los panqueques restantes. Sirva el Panqueque de Calabacín junto con salsa Schezwan o incluso Salsa de Tomate Mexicana para la cena, el desayuno o para sus fiestas. Alternativas: Puede hacer pequeños aperitivos de 1 pulgada con esta masa y servirlos como entrante para su próxima fiesta. Estos permanecen suaves y calientes en el horno incluso después de cocinarse sin volverse quebradizos. Si los calientas en el horno, asegúrate de cubrirlos con papel aluminio para que no se sequen.</t>
  </si>
  <si>
    <t>Pour commencer à préparer la recette de crêpes aux courgettes et à la salsa de tomates, mélangez tous les ingrédients, sauf l'huile, dans un bol. Fouettez tous les ingrédients jusqu'à ce qu'ils soient bien mélangés. Faites chauffer une poêle de 20 cm à feu moyen et faites fondre 1/2 cuillère à café de beurre ou 1/2 cuillère à café d'huile dans la poêle. Lorsque le beurre est chaud mais ne fume pas, baissez le feu à moyen-doux et déposez une cuillère à soupe bombée de pâte dans la poêle. Faites cuire la crêpe environ 2 minutes de chaque côté, jusqu'à ce qu'elle soit dorée et cuite des deux côtés. Continuez avec les crêpes restantes. Servez la crêpe aux courgettes accompagnée de sauce Schezwan ou même de salsa de tomates mexicaine pour le dîner, le petit-déjeuner ou pour vos fêtes. Alternatives : Vous pouvez préparer de petits amuse-gueules de 2,5 cm avec cette pâte et les servir en entrée pour votre prochaine fête. Ils restent moelleux et chauds au four même après cuisson sans devenir cassants. Si vous les réchauffez au four, assurez-vous simplement de les couvrir de papier aluminium pour qu'ils ne sèchent pas.</t>
  </si>
  <si>
    <t>http://www.archanaskitchen.com/zucchini-pancake-recipe-with-tomato-salsa</t>
  </si>
  <si>
    <t>Fried Artichokes Recipe Flavored With Lemon &amp; Ginger</t>
  </si>
  <si>
    <t>Rezept für gebratene Artischocken mit Zitrone und Ingwer</t>
  </si>
  <si>
    <t>Recette d'artichauts frits au citron et au gingembre</t>
  </si>
  <si>
    <t>Receta de alcachofas fritas con limón y jengibre</t>
  </si>
  <si>
    <t>2 artichauts - ou 2 tasses d'artichauts en conserve, 1 œuf entier, 1 gousse d'ail - hachée, 1 cuillère à café de gingembre - râpé, 1/4 cuillère à café de zeste de citron, 1 pincée de sucre, sel - au besoin, 1 feuille de persil - petit bouquet, 2 cuillères à soupe de parmesan - râpé, 1/8 tasse de chapelure de blé entier, 1/8 tasse de farine tout usage (Maida), huile de tournesol - assez pour la friture</t>
  </si>
  <si>
    <t>2 Artichokes - or 2 cups tinned artichokes,1 Whole Egg,1 clove Garlic - minced,1 teaspoon Ginger - grated,1/4 teaspoon Lemon zest,1 pinch Sugar,Salt - as needed,1 Parsley leaves - small bunch,2 tablespoons Parmesan cheese - grated,1/8 cup Whole Wheat Bread crumbs,1/8 cup All Purpose Flour (Maida),Sunflower Oil - enough for deep frying</t>
  </si>
  <si>
    <t>2 alcachofas - o 2 tazas de alcachofas enlatadas, 1 huevo entero, 1 diente de ajo picado, 1 cucharadita de jengibre rallado, 1/4 cucharadita de ralladura de limón, 1 pizca de azúcar, sal - según sea necesario, 1 hoja de perejil - pequeño manojo, 2 cucharadas de queso parmesano - rallado, 1/8 taza de pan rallado integral, 1/8 taza de harina para todo uso (Maida), aceite de girasol - suficiente para freír</t>
  </si>
  <si>
    <t xml:space="preserve">To begin making Fried Artichokes Flavored With Lemon &amp; Ginger, in a medium bowl whisk in egg, garlic, ginger, sugar, salt, lemon zest, parsley until creamy.In another small bowl, stir in salt, all purpose flour, breadcrumbs and parmesan cheese together.Squeeze the artichoke heart quarters and remove the excess moisture.Dip the artichoke heart into the egg mixture and dip them in the flour mixture so the artichokes get coated well with the flour mixture.Heat the oil in a wok on medium heat.Once the oil is heated well, add the batter dipped artichokes in batches into the hot oil and deep fry until golden brown and crisp. Proceed the same way with the remaining artichokes and serve warm.Serve the Fried Artichokes Flavored With Lemon &amp; Ginger as an appetizer along with tzatziki yogurt dip.
</t>
  </si>
  <si>
    <t>Para empezar a preparar Alcachofas Fritas con Sabor a Limón y Jengibre, en un tazón mediano, bata el huevo, el ajo, el jengibre, el azúcar, la sal, la ralladura de limón y el perejil hasta que esté cremoso. En otro tazón pequeño, agregue la sal, la harina para todo uso, el pan rallado y el queso parmesano. Exprima los cuartos de corazón de alcachofa y retire el exceso de humedad. Sumerja el corazón de alcachofa en la mezcla de huevo y luego en la mezcla de harina para que las alcachofas se cubran bien con esta. Caliente el aceite en un wok a fuego medio. Una vez que el aceite esté bien caliente, agregue las alcachofas rebozadas en tandas al aceite caliente y fríalas hasta que estén doradas y crujientes. Proceda de la misma manera con las alcachofas restantes y sirva calientes. Sirva las Alcachofas Fritas con Sabor a Limón y Jengibre como aperitivo junto con la salsa de yogur tzatziki.</t>
  </si>
  <si>
    <t>Pour commencer à préparer des artichauts frits au citron et au gingembre, dans un bol moyen, fouettez l'œuf, l'ail, le gingembre, le sucre, le sel, le zeste de citron et le persil jusqu'à obtenir une consistance crémeuse. Dans un autre petit bol, mélangez le sel, la farine tout usage, la chapelure et le parmesan. Pressez les quartiers de cœur d'artichaut et retirez l'excès d'humidité. Trempez le cœur d'artichaut dans le mélange d'œufs et trempez-les dans le mélange de farine afin que les artichauts soient bien enrobés du mélange de farine. Faites chauffer l'huile dans un wok à feu moyen. Une fois l'huile bien chaude, ajoutez les artichauts trempés dans la pâte par lots dans l'huile chaude et faites-les frire jusqu'à ce qu'ils soient dorés et croustillants. Procédez de la même manière avec les artichauts restants et servez chaud. Servez les artichauts frits au citron et au gingembre en apéritif avec une trempette au yaourt tzatziki.</t>
  </si>
  <si>
    <t>http://www.archanaskitchen.com/fried-artichokes-recipe-flavored-with-lemon-ginger</t>
  </si>
  <si>
    <t>Vegetable Tartlets Recipe</t>
  </si>
  <si>
    <t>Rezept für Gemüsetörtchen</t>
  </si>
  <si>
    <t>Recette de tartes aux légumes</t>
  </si>
  <si>
    <t>Receta de pastel de verduras</t>
  </si>
  <si>
    <t>2 tasses de farine tout usage (Maida), 140 grammes de beurre - réfrigéré coupé en cubes, 1 cuillère à café de sel - si vous utilisez du beurre non salé, 3 cuillères à soupe d'eau - froide à température ambiante, 1 tasse de lait, 2 œufs entiers, 3 cuillères à soupe de fromage ricotta - ou malai paneer, 1 carotte (Gajjar) - hachée, 8 haricots verts (haricots verts) - hachés, 1 poivron vert (Capsicum) - haché, 6 tomates cerises - coupées en deux, 2 brins de feuilles de persil - hachés, 2 brins de feuilles de basilic, 2 brins de feuilles de thym frais, 2 cuillères à café d'origan séché, sel - au goût, 2 cuillères à café de grains de poivre noir entiers - écrasés</t>
  </si>
  <si>
    <t>2 cups All Purpose Flour (Maida),140 grams Butter - chilled cut into cubes,1 teaspoon Salt - if using unsalted butter,3 tablespoons Water - cold at room temperature,1 cup Milk,2 Whole Eggs,3 tablespoons Ricotta Cheese - or malai paneer,1 Carrot (Gajjar) - chopped,8 Green beans (French Beans) - chopped,1 Green Bell Pepper (Capsicum) - chopped,6 Cherry tomatoes - halved,2 sprig Parsley leaves - chopped,2 sprig Basil leaves,2 sprig Fresh Thyme leaves,2 teaspoons Dried oregano,Salt - to taste,2 teaspoons Whole Black Peppercorns - crushed</t>
  </si>
  <si>
    <t>2 tazas de harina para todo uso (Maida), 140 gramos de mantequilla fría cortada en cubos, 1 cucharadita de sal, si se usa mantequilla sin sal, 3 cucharadas de agua fría a temperatura ambiente, 1 taza de leche, 2 huevos enteros, 3 cucharadas de queso ricotta o malai paneer, 1 zanahoria (Gajjar) picada, 8 judías verdes picadas, 1 pimiento verde (Capsicum) picado, 6 tomates cherry cortados por la mitad, 2 ramitas de hojas de perejil picadas, 2 ramitas de hojas de albahaca, 2 ramitas de hojas de tomillo fresco, 2 cucharaditas de orégano seco, sal al gusto, 2 cucharaditas de granos de pimienta negra enteros triturados</t>
  </si>
  <si>
    <t xml:space="preserve">To begin making the Vegetable Tartlets first, For the crust, preheat the oven to 190 degree Celcius.To make the tartlet crust, Add Maida and butter in a mixing bowl or the bowl of a food processor. Rub with your fingertips till the mixture resembles breadcrumbs (or pulse 2-3 times, if using the food processor).Add cold water as required, till the dough just comes together. (Do not handle the dough too much, work quickly)Make a disk and wrap the dough in plastic film. Keep refrigerated for 45 minutes or an hour.Grease 3 (4 inches) loose bottom, fluted tart pan.Cut the dough into 3 parts. Keep the other 2 dough balls refrigerated till you work on the first one.Dust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minutes.Repeat these steps for the other 2 dough balls.Cut the baking paper slightly bigger than the tartlets.Place it on the crust and fill with baking beans (or dried Red kidney beans/Chickpeas)Bake for 8-10 minutes. Remove the baking paper and beans and bake the crust for 5-6 minutes, till it is dry.For the filling, heat the butter in a pan. Add the onion and garlic. Saute for a minute and then add the vegetables. Roast the vegetables for 5-6 minutes (or till they just soften).Add herbs,salt,pepper and mustard powder and mix well. Whisk the eggs in a separate bowl. Add the milk and ricotta cheese into it.Add 2-3 spoonfuls of the roasted vegetables in the tartlets.Pour the egg-milk mixture on top of the vegetable is the tart. Top with shredded cheese and place the cherry tomatoes on top.Bake for about 15-20 minutes or till the filling is set and the top turns brownCool on a wire rack.Invert a glass and place it on a flat surface. Carefully place the tartlet over it. The fluted edge drops down.Serve your Vegetable Tartlets with salad for your weekend dinner. Serve Vegetable Tartlets on its own or along with some Summer Lettuce Salad and a glass of your favorite wine for a weekend dinner.
</t>
  </si>
  <si>
    <t>Para empezar a hacer las Tartaletas de Verduras primero, para la corteza, precalienta el horno a 190 grados Celsius. Para hacer la corteza de la tartaleta, agrega Maida y mantequilla en un tazón para mezclar o en el tazón de un procesador de alimentos. Frota con las yemas de los dedos hasta que la mezcla se parezca a migas de pan (o pulsa 2-3 veces, si usas el procesador de alimentos). Agrega agua fría según sea necesario, hasta que la masa se una. (No manipules demasiado la masa, trabaja rápido) Haz un disco y envuelve la masa en film plástico. Mantén refrigerado durante 45 minutos o una hora. Engrasa 3 moldes para tarta acanalados de base desmontable (4 pulgadas). Corta la masa en 3 partes. Mantén las otras 2 bolas de masa refrigeradas hasta que trabajes en la primera. Espolvorea la superficie de trabajo con un poco de harina y extiende la masa en un círculo un poco más grande que el molde. Toma con cuidado la masa estirada y colócala en el molde. Presiona el fondo y los lados de manera uniforme. Raspa el exceso de masa que sobresale del borde. Pincha el fondo con un tenedor y refrigera la corteza durante 10 minutos. Repite estos pasos para las otras 2 bolas de masa. Corta el papel de hornear un poco más grande que las tartaletas. Colócalo sobre la corteza y rellénalo con frijoles para hornear (o frijoles rojos secos / garbanzos). Hornea durante 8-10 minutos. Retira el papel de hornear y los frijoles y hornea la corteza durante 5-6 minutos, hasta que esté seca. Para el relleno, calienta la mantequilla en una sartén. Agrega la cebolla y el ajo. Saltea durante un minuto y luego agrega las verduras. Asa las verduras durante 5-6 minutos (o hasta que se ablanden). Agrega hierbas, sal, pimienta y mostaza en polvo y mezcla bien. Bate los huevos en un recipiente aparte. Agrega la leche y el queso ricotta. Agrega 2-3 cucharadas de las verduras asadas en las tartaletas. Vierte la mezcla de huevo y leche encima de la verdura en la tarta. Cubre con queso rallado y coloca los tomates cherry encima. Hornea durante unos 15-20 minutos o hasta que el relleno esté cuajado y la superficie se dore. Deja enfriar sobre una rejilla. Invierte un vaso y colócalo sobre una superficie plana. Coloca con cuidado la tartaleta encima. El borde acanalado desciende. Sirve tus tartaletas de verduras con ensalada para tu cena de fin de semana. Sirve las tartaletas de verduras solas o con ensalada de lechuga de verano y una copa de tu vino favorito para una cena de fin de semana.</t>
  </si>
  <si>
    <t>Pour commencer à préparer les tartelettes aux légumes, pour la croûte, préchauffez le four à 190 degrés Celsius. Pour faire la croûte de tartelette, ajoutez la Maida et le beurre dans un bol à mélanger ou le bol d'un robot culinaire. Frottez du bout des doigts jusqu'à ce que le mélange ressemble à de la chapelure (ou pulsez 2 à 3 fois, si vous utilisez le robot culinaire). Ajoutez de l'eau froide si nécessaire, jusqu'à ce que la pâte se rassemble. (Ne manipulez pas trop la pâte, travaillez rapidement) Faites un disque et enveloppez la pâte dans un film plastique. Gardez au réfrigérateur pendant 45 minutes ou une heure. Graissez 3 moules à tarte cannelés à fond amovible (4 pouces). Coupez la pâte en 3 parties. Gardez les 2 autres boules de pâte au réfrigérateur jusqu'à ce que vous travailliez sur la première. Saupoudrez le plan de travail d'un peu de farine et étalez la pâte en un cercle légèrement plus grand que le moule. Prenez délicatement la pâte étalée et placez-la sur le moule. Appuyez uniformément sur le fond et les côtés. Grattez l'excédent de pâte qui dépasse du bord. Piquez le fond avec une fourchette et réfrigérez la croûte pendant 10 minutes. Répétez ces étapes pour les 2 autres boules de pâte. Coupez le papier sulfurisé légèrement plus grand que les tartelettes. Placez-le sur la croûte et remplissez de haricots secs (ou de haricots rouges secs/pois chiches). Faites cuire au four pendant 8 à 10 minutes. Retirez le papier sulfurisé et les haricots et faites cuire la croûte pendant 5 à 6 minutes, jusqu'à ce qu'elle soit sèche. Pour la garniture, faites chauffer le beurre dans une poêle. Ajoutez l'oignon et l'ail. Faites revenir pendant une minute, puis ajoutez les légumes. Rôtissez les légumes pendant 5 à 6 minutes (ou jusqu'à ce qu'ils soient tendres). Ajoutez les herbes, le sel, le poivre et la moutarde en poudre et mélangez bien. Fouettez les œufs dans un bol séparé. Ajoutez-y le lait et la ricotta. Ajoutez 2 à 3 cuillères à soupe de légumes rôtis dans les tartelettes. Versez le mélange œufs-lait sur les légumes dans la tarte. Recouvrir de fromage râpé et déposer les tomates cerises dessus. Cuire au four pendant environ 15 à 20 minutes ou jusqu'à ce que la garniture soit prise et que le dessus brunisse. Laisser refroidir sur une grille. Retourner un verre et le placer sur une surface plane. Placer délicatement la tartelette dessus. Le bord cannelé retombe. Servez vos tartelettes aux légumes avec une salade pour votre dîner du week-end. Servez les tartelettes aux légumes seules ou accompagnées d'une salade de laitue d'été et d'un verre de votre vin préféré pour un dîner du week-end.</t>
  </si>
  <si>
    <t>http://www.archanaskitchen.com/vegetable-tartlets-recipe</t>
  </si>
  <si>
    <t>Bulgur Wheat Potato Patty Recipe</t>
  </si>
  <si>
    <t>Rezept für Bulgur-Kartoffel-Pastetchen</t>
  </si>
  <si>
    <t>Recette de galettes de pommes de terre au boulgour</t>
  </si>
  <si>
    <t>Receta de panqueques de patata con bulgur</t>
  </si>
  <si>
    <t>1/2 tasse de boulgour cuit, 4 pommes de terre bouillies, 2,5 cm de gingembre râpé, 2 gousses d'ail râpées, 2 piments verts hachés, 1 cuillère à café de poudre de piment rouge, 1 cuillère à soupe de poudre de cumin (Jeera), 2 carottes râpées, 1/2 tasse de chou-fleur râpé, 190 ml d'avoine instantanée, sel au goût, 60 ml de farine tout usage (Maida), huile de tournesol pour la cuisson.</t>
  </si>
  <si>
    <t>1/2 cup Bulgur wheat - cooked,4 Potatoes (Aloo) - boiled,1 inch Ginger - grated,2 cloves Garlic - grated,2 Green Chillies - chopped,1 teaspoon Red Chilli powder,1 tablespoon Cumin powder (Jeera),2 Carrots (Gajjar) - grated,1/2 cup Cauliflower (gobi) - grated,3/4 cup Instant Oats (Oatmeal),Salt - to taste,1/4 cup All Purpose Flour (Maida),Sunflower Oil - for cooking</t>
  </si>
  <si>
    <t>1/2 taza de trigo bulgur - cocido, 4 papas (Aloo) - hervidas, 1 pulgada de jengibre - rallado, 2 dientes de ajo - rallados, 2 chiles verdes - picados, 1 cucharadita de chile rojo en polvo, 1 cucharada de comino en polvo (Jeera), 2 zanahorias (Gajjar) - ralladas, 1/2 taza de coliflor (gobi) - rallada, 3/4 taza de avena instantánea (avena), sal - al gusto, 1/4 taza de harina para todo uso (Maida), aceite de girasol - para cocinar</t>
  </si>
  <si>
    <t xml:space="preserve">To begin making the Bulgur Wheat Potato Patty Recipe first, pre-cook the bulgur wheat by soaking 1 cup bulgur or broken wheat in 1 cup boiling hot water. Keep this aside for 15-20 minutes and strain any extra water out before using it to make the patties.Next mash the boiled potatoes in a mixing bowl.Add all the other ingredients to it along with the soaked bulgur wheat, except the oil and flour and mix them together.Taste and check for seasoning and adjust the salt/spices if required for the patty. Shape the Bulgur Wheat Potato Patty mixture into golf ball-sized portions and and then press lightly in the middle to form patties.Dust each patty lightly with flour on all sides and arrange them in a plate. If you are prepping for a party, these can be refrigerated at this stage, until you are ready to fry them.In a wide pan, warm some oil and pan-fry these patties on medium heat for 8-10 minutes on each side, till they are golden.Serve the Bulgur Wheat Potato Patty with spicy Tea Time Snack.
</t>
  </si>
  <si>
    <t>Para preparar la receta de hamburguesas de patata con trigo bulgur, precocine el trigo bulgur remojando 1 taza de bulgur o trigo partido en 1 taza de agua hirviendo. Déjelo reposar de 15 a 20 minutos y cuele el exceso de agua antes de usarla para preparar las hamburguesas. A continuación, machaque las patatas hervidas en un bol. Añada todos los demás ingredientes junto con el trigo bulgur remojado, excepto el aceite y la harina, y mézclelos. Pruebe y ajuste la sazón, y ajuste la sal o las especias si es necesario. Forme porciones del tamaño de una pelota de golf con la mezcla de hamburguesas de patata con trigo bulgur y presione ligeramente en el centro para formar las hamburguesas. Espolvoree ligeramente con harina por todos lados y colóquelas en un plato. Si se está preparando para una fiesta, puede refrigerarlas hasta que esté listo para freírlas. En una sartén ancha, caliente un poco de aceite y fría estas hamburguesas a fuego medio durante 8 a 10 minutos por cada lado, hasta que estén doradas. Sirva la hamburguesa de papa y trigo bulgur con un refrigerio picante para la hora del té.</t>
  </si>
  <si>
    <t>Pour commencer la recette des galettes de pommes de terre au boulgour, précuisez le boulgour en trempant 250 ml de boulgour ou de blé concassé dans 250 ml d'eau bouillante. Laissez reposer 15 à 20 minutes et filtrez l'excédent d'eau avant de l'utiliser pour les galettes. Écrasez ensuite les pommes de terre bouillies dans un saladier. Ajoutez tous les autres ingrédients avec le boulgour trempé, sauf l'huile et la farine, et mélangez. Goûtez, vérifiez l'assaisonnement et ajustez le sel et les épices si nécessaire. Façonnez la pâte en portions de la taille d'une balle de golf, puis appuyez légèrement au centre pour former des galettes. Farinez légèrement chaque galette sur tous les côtés et disposez-les dans une assiette. Si vous préparez une fête, vous pouvez les conserver au réfrigérateur à ce stade, jusqu'à ce que vous soyez prêt à les faire frire. Dans une grande poêle, faites chauffer un peu d'huile et faites revenir ces galettes à feu moyen pendant 8 à 10 minutes de chaque côté, jusqu'à ce qu'elles soient dorées. Servez la galette de pommes de terre au boulgour avec un goûter épicé.</t>
  </si>
  <si>
    <t>https://www.archanaskitchen.com/bulgur-wheat-potato-patty-recipe</t>
  </si>
  <si>
    <t>Protein Fingers Recipe</t>
  </si>
  <si>
    <t>Rezept für Proteinfinger</t>
  </si>
  <si>
    <t>Recette de doigts protéinés</t>
  </si>
  <si>
    <t>Receta de dedos de proteína</t>
  </si>
  <si>
    <t>100 grammes de Paneer (fromage cottage fait maison) - coupé en forme de doigt, 100 grammes de poulet - morceau de poitrine désossé et sans peau avec des fentes angulaires, 100 grammes de tofu - en cubes, 3 cuillères à soupe d'huile d'olive extra vierge, 1 cuillère à soupe d'ail - haché, 1/2 cuillère à café de cumin en poudre (Jeera), sel - selon le goût, 1/2 cuillère à café de poivre noir en poudre, 1/4 cuillère à café de paprika en poudre, 1/4 cuillère à café de piment rouge en poudre, 1/4 cuillère à café de poudre d'oignon, 1/4 cuillère à café de poudre d'ail, 1/2 cuillère à café d'origan séché, 1/4 cuillère à café de sauge, 1 cuillère à soupe de jus de citron</t>
  </si>
  <si>
    <t>100 grams Paneer (Homemade Cottage Cheese) - cut in shape of a finger snack,100 grams Chicken - boneless and skinless breast piece with angular slits,100 grams Tofu - cubed,3 tablespoons Extra Virgin Olive Oil,1 tablespoon Garlic - minced,1/2 teaspoon Cumin powder (Jeera),Salt - as per taste,1/2 teaspoon Black pepper powder,1/4 teaspoon Paprika powder,1/4 teaspoon Red Chilli powder,1/4 teaspoon Onion powder,1/4 teaspoon Garlic powder,1/2 teaspoon Dried oregano,1/4 teaspoon Sage,1 tablespoon Lemon juice</t>
  </si>
  <si>
    <t>100 gramos de Paneer (queso cottage casero) - cortado en forma de bocadillo, 100 gramos de pechuga de pollo deshuesada y sin piel con ranuras angulares, 100 gramos de tofu - en cubos, 3 cucharadas de aceite de oliva virgen extra, 1 cucharada de ajo - picado, 1/2 cucharadita de comino en polvo (Jeera), sal - al gusto, 1/2 cucharadita de pimienta negra en polvo, 1/4 cucharadita de pimentón en polvo, 1/4 cucharadita de chile rojo en polvo, 1/4 cucharadita de cebolla en polvo, 1/4 cucharadita de ajo en polvo, 1/2 cucharadita de orégano seco, 1/4 cucharadita de salvia, 1 cucharada de jugo de limón</t>
  </si>
  <si>
    <t xml:space="preserve">To begin making the Protein Fingers recipe, make a marination with olive oil, garlic, cumin powder, salt, pepper, paprika, red chilli powder, onion powder, garlic powder, oregano, sage and lemon juice.Apply marinate on the protein and keep it for at least 20 minutes or overnight in the refrigerator.Grill the protein logs on a hot grill pan or flat griddle until slightly charred.If grilling chicken, you will need to cover it and cook initially on both sides until the juices run out and chicken is cooked.Remove the lid and char the chicken skin on high heat for a couple of more minutes.Cut the cooked chicken into thin slices. Serve the protein fingers warm with sour cream or salsa.Serve Protein Fingers along with Dill Leaves &amp; Parmesan Dip during your dinner time or serve it as a snack in your house parties.
</t>
  </si>
  <si>
    <t>Para empezar a preparar la receta de Dedos de Proteína, prepare una marinada con aceite de oliva, ajo, comino en polvo, sal, pimienta, pimentón, chile rojo en polvo, cebolla en polvo, ajo en polvo, orégano, salvia y jugo de limón. Aplique la marinada sobre la proteína y consérvela durante al menos 20 minutos o toda la noche en el refrigerador. Ase los troncos de proteína en una parrilla caliente o plancha plana hasta que estén ligeramente carbonizados. Si asa pollo, deberá cubrirlo y cocinarlo inicialmente por ambos lados hasta que suelte los jugos y el pollo esté cocido. Retire la tapa y dore la piel del pollo a fuego alto durante un par de minutos más. Corte el pollo cocido en rodajas finas. Sirva los dedos de proteína calientes con crema agria o salsa. Sirva los dedos de proteína junto con hojas de eneldo y salsa de parmesano durante la cena o sírvalos como refrigerio en sus fiestas en casa.</t>
  </si>
  <si>
    <t>Pour commencer la recette des bâtonnets protéinés, préparez une marinade avec de l'huile d'olive, de l'ail, du cumin en poudre, du sel, du poivre, du paprika, du piment rouge en poudre, de l'oignon en poudre, de l'ail en poudre, de l'origan, de la sauge et du jus de citron. Appliquez la marinade sur les protéines et conservez-la au réfrigérateur pendant au moins 20 minutes ou toute la nuit. Faites griller les bâtonnets protéinés sur une poêle à griller chaude ou une plaque chauffante jusqu'à ce qu'ils soient légèrement carbonisés. Si vous faites griller du poulet, couvrez-le et faites-le cuire des deux côtés jusqu'à ce que le jus s'écoule et que le poulet soit cuit. Retirez le couvercle et faites griller la peau du poulet à feu vif pendant quelques minutes supplémentaires. Coupez le poulet cuit en fines tranches. Servez les bâtonnets protéinés chauds avec de la crème fraîche ou de la salsa. Servez les bâtonnets protéinés avec une trempette aux feuilles d'aneth et au parmesan pendant votre dîner ou en guise d'en-cas lors de vos réceptions.</t>
  </si>
  <si>
    <t>https://www.archanaskitchen.com/protein-fingers-recipe</t>
  </si>
  <si>
    <t>Roasted Cherry Tomato Soup Recipe</t>
  </si>
  <si>
    <t>Rezept für geröstete Kirschtomatensuppe – Rezept für die beste Kirschtomatensuppe</t>
  </si>
  <si>
    <t>Recette de soupe aux tomates cerises rôties – Recette de la meilleure soupe aux tomates cerises</t>
  </si>
  <si>
    <t>Receta de sopa de tomate cherry asado: la mejor receta de sopa de tomate cherry</t>
  </si>
  <si>
    <t>300 grammes de tomates cerises, 2 cuillères à soupe d'huile d'olive, 3 gousses d'ail - finement hachées, 2 brins de romarin, sel - selon le goût, poivre noir en poudre - selon le goût</t>
  </si>
  <si>
    <t>300 grams cherry tomatoes, 2 tablespoons olive oil, 3 cloves garlic - finely chopped, 2 sprigs of rosemary, salt - according to taste, black pepper powder - according to taste</t>
  </si>
  <si>
    <t>300 gramos de tomates cherry, 2 cucharadas de aceite de oliva, 3 dientes de ajo finamente picados, 2 ramitas de romero, sal - al gusto, pimienta negra en polvo - al gusto</t>
  </si>
  <si>
    <t>To make Roasted Cherry Tomato Soup recipe, first preheat the oven to 180 C for 15 minutes. Take a baking tray and spread the tomatoes in it. Pour oil on it. After this add salt, black pepper powder and mix well. Put garlic in a mortar and grind it. Spread it on the baking tray as well. Tear rosemary leaves and spread them. Mix everything well again. Put the baking tray in the oven and cook for 1/2 hour. After cooking, take it out and let it cool down a bit. After cooling, put it in a blender jar and grind it. Put this puree in a saucepan with 1 cup water and let it boil. Add salt, black pepper and mix. After boiling, take out the soup in a bowl and serve. Serve Roasted Cherry Tomato Soup with garlic bread before dinner. You can also serve it as a snack in the evening.</t>
  </si>
  <si>
    <t>Para hacer la receta de Sopa de Tomate Cherry Asado, primero precalienta el horno a 180 C durante 15 minutos. Toma una bandeja para hornear y extiende los tomates en ella. Vierte aceite en ella. Después de esto, agrega sal, pimienta negra en polvo y mezcla bien. Pon el ajo en un mortero y muélelo. Extiéndelo también en la bandeja para hornear. Rasga las hojas de romero y extiéndelas. Mezcla todo bien de nuevo. Coloca la bandeja para hornear en el horno y cocina durante 1/2 hora. Después de cocinar, sácala y déjala enfriar un poco. Después de enfriarla, ponla en una licuadora y muélela. Pon este puré en una cacerola con 1 taza de agua y déjala hervir. Agrega sal, pimienta negra y mezcla. Después de hervir, saca la sopa en un tazón y sirve. Sirve la Sopa de Tomate Cherry Asado con pan de ajo antes de la cena. También puedes servirla como un refrigerio por la noche.</t>
  </si>
  <si>
    <t>Pour préparer la soupe de tomates cerises rôties, préchauffez le four à 180 °C pendant 15 minutes. Prenez une plaque de cuisson et répartissez-y les tomates. Versez de l'huile dessus. Ajoutez ensuite du sel et du poivre noir en poudre et mélangez bien. Mettez l'ail dans un mortier et écrasez-le. Répartissez-le également sur la plaque de cuisson. Déchirez les feuilles de romarin et répartissez-les. Mélangez à nouveau. Enfournez et laissez cuire 1/2 heure. Après cuisson, sortez et laissez refroidir un peu. Une fois refroidi, versez la purée dans un blender et mixez-la. Versez la purée dans une casserole avec 250 ml d'eau et portez à ébullition. Salez, poivrez et mélangez. Après ébullition, versez la soupe dans un bol et servez. Servez la soupe de tomates cerises rôties avec du pain à l'ail avant le dîner. Vous pouvez également la servir en collation le soir.</t>
  </si>
  <si>
    <t>http://www.archanaskitchen.com/roasted-cherry-tomato-soup-recipe-in-hindi</t>
  </si>
  <si>
    <t>Apple And Pomegranate Smoothie Recipe</t>
  </si>
  <si>
    <t>Apfel-Granatapfel-Smoothie-Rezept</t>
  </si>
  <si>
    <t>Recette de smoothie pomme-grenade</t>
  </si>
  <si>
    <t>Receta de batido de manzana y granada</t>
  </si>
  <si>
    <t>2 tasses de caillé (dahi/yogourt), 1 pomme pelée et coupée en dés, 1 tasse de poudre d'anardana (poudre de graines de grenade), miel au goût, glaçons (facultatif)</t>
  </si>
  <si>
    <t>2 cups Curd (Dahi / Yogurt),1 Apple - peeled and diced,1 cup Anardana Powder (Pomegranate Seed Powder),Honey - to taste,Ice cubes - (optional)</t>
  </si>
  <si>
    <t>2 tazas de cuajada (dahi/yogur), 1 manzana pelada y cortada en cubitos, 1 taza de polvo de anardana (polvo de semilla de granada), miel (al gusto), cubitos de hielo (opcional)</t>
  </si>
  <si>
    <t xml:space="preserve">To begin making the Apple and Pomegranate Smoothie Recipe, get prep with all the ingredients first. Place all the ingredients in the mixer grinder and grind it to a smooth puree.Add water to adjust the consistency of the smoothie and adjust the sweetness by adding honey if you would prefer it any more sweeter than the natural taste of combined fruitsOnce the Apple and Pomegranate Smoothie is well blended, pour it out in tall glasses immediately as a wholesome drink. Serve the Apple and Pomegranate Smoothie Recipe along with a high protein Breakfast like High Protein Zucchini &amp; Corn Patty Recipe (Fritters) and Paneer Capsicum Bhurji Recipe (Spicy Cottage Cheese Crumble).
</t>
  </si>
  <si>
    <t>Para empezar a preparar la receta de batido de manzana y granada, prepare primero todos los ingredientes. Coloque todos los ingredientes en la licuadora y muélelos hasta obtener un puré suave. Agregue agua para ajustar la consistencia del batido y ajuste la dulzura agregando miel si lo prefiere más dulce que el sabor natural de las frutas combinadas. Una vez que el batido de manzana y granada esté bien mezclado, viértalo en vasos altos inmediatamente como una bebida saludable. Sirva la receta de batido de manzana y granada junto con un desayuno rico en proteínas como la receta de hamburguesas de calabacín y maíz ricas en proteínas (buñuelos) y la receta de paneer capsicum bhurji (crumble de requesón picante).</t>
  </si>
  <si>
    <t>Pour commencer à préparer la recette de smoothie pomme-grenade, préparez d'abord tous les ingrédients. Placez tous les ingrédients dans le mixeur-broyeur et réduisez-les en purée lisse. Ajoutez de l'eau pour ajuster la consistance du smoothie et ajustez la douceur en ajoutant du miel si vous le préférez plus sucré que le goût naturel des fruits combinés. Une fois le smoothie pomme-grenade bien mélangé, versez-le immédiatement dans de grands verres pour obtenir une boisson saine. Servez la recette de smoothie pomme-grenade avec un petit-déjeuner riche en protéines comme la recette de galette de courgettes et de maïs riche en protéines (beignets) et la recette de paneer capsicum bhurji (crumble au fromage cottage épicé).</t>
  </si>
  <si>
    <t>https://www.archanaskitchen.com/apple-and-pomegranate-smoothie-recipe</t>
  </si>
  <si>
    <t>Spinach Coconut Zucchini Soup Recipe</t>
  </si>
  <si>
    <t>Rezept für Spinat-Kokos-Zucchini-Suppe</t>
  </si>
  <si>
    <t>Recette de soupe aux épinards, à la noix de coco et aux courgettes</t>
  </si>
  <si>
    <t>Receta de sopa de espinacas, coco y calabacín</t>
  </si>
  <si>
    <t>2 cuillères à café d'huile d'olive extra vierge, 4 gousses d'ail finement hachées, 1 oignon émincé, 1 courgette verte coupée en cubes de 2,5 cm, 1 tasse d'épinards, 6 grains de poivre noir entiers, sel au goût, 1 cuillère à soupe d'huile de coco, 1 cuillère à café de cumin en poudre (Jeera), 1 tasse de lait de coco, 1/2 tasse d'eau, 1/4 tasse de cubes de pain frit (croûtons)</t>
  </si>
  <si>
    <t>2 teaspoons Extra Virgin Olive Oil,4 cloves Garlic - finely chopped,1 Onion - sliced,1 Green zucchini - cut into 1 inch cubes,1 cup Spinach,6 Whole Black Peppercorns,Salt - to taste,1 tablespoon Coconut Oil,1 teaspoon Cumin powder (Jeera),1 cup Coconut milk,1/2 cup Water,1/4 cup Fried Bread Cubes (Croutons)</t>
  </si>
  <si>
    <t>2 cucharaditas de aceite de oliva virgen extra, 4 dientes de ajo finamente picados, 1 cebolla en rodajas, 1 calabacín verde cortado en cubos de 1 pulgada, 1 taza de espinacas, 6 granos de pimienta negra enteros, sal al gusto, 1 cucharada de aceite de coco, 1 cucharadita de comino en polvo (Jeera), 1 taza de leche de coco, 1/2 taza de agua, 1/4 taza de cubos de pan frito (crutones)</t>
  </si>
  <si>
    <t xml:space="preserve">To begin making the Spinach Coconut Zucchini Soup Recipe, wash and clean the spinach leaves, roughly chop and set aside. In a skillet, heat oil on medium flame, add the garlic and onions and saute for a couple of minutes. To this add the spinach leaves, chopped zucchini, and cook for about two minutes until the spinach wilts down and the zucchini is well cooked. Finally add the peppercorns and salt and turn off the flame. Allow the Spinach Coconut Zucchini Soup mixture to cool and then transfer to a mixer jar. Grind to a smooth paste. In a skillet, heat the coconut oil on medium flame, once hot, add the ground Spinach Coconut Zucchini Soup mixture, cumin powder, coconut milk and water. Bring the Spinach Coconut Zucchini Soup to a brisk boil and turn off the flame.  Check the salt and seasonings and adjust to suit your taste.Serve the Spinach Coconut Zucchini Soup along with Lettuce, Apple And Carrot Salad With Chilli Dressing Recipe and a Cheesy Grilled Sandwich With Smoked Chicken Recipe for a complete meal. 
</t>
  </si>
  <si>
    <t>Para comenzar a hacer la Receta de Sopa de Espinacas, Coco y Calabacín, lava y limpia las hojas de espinaca, córtalas en trozos grandes y reserva. En una sartén, calienta el aceite a fuego medio, agrega el ajo y la cebolla y saltea durante un par de minutos. A esto, agrega las hojas de espinaca, el calabacín picado y cocina durante unos dos minutos hasta que la espinaca se marchite y el calabacín esté bien cocido. Finalmente, agrega los granos de pimienta y la sal y apaga el fuego. Deja que la mezcla de Sopa de Espinacas, Coco y Calabacín se enfríe y luego transfiérela a una jarra de batidora. Muela hasta obtener una pasta suave. En una sartén, calienta el aceite de coco a fuego medio, una vez caliente, agrega la mezcla molida de Sopa de Espinacas, Coco y Calabacín, el comino en polvo, la leche de coco y el agua. Lleva la Sopa de Espinacas, Coco y Calabacín a ebullición rápida y apaga el fuego. Pruebe la sal y los condimentos y ajuste a su gusto. Sirva la sopa de espinacas, coco y calabacín junto con la ensalada de lechuga, manzana y zanahoria con aderezo de chile y un sándwich a la parrilla con queso y pollo ahumado para una comida completa.</t>
  </si>
  <si>
    <t>Pour commencer à préparer la recette de soupe aux épinards, à la noix de coco et aux courgettes, lavez et nettoyez les feuilles d'épinards, hachez-les grossièrement et réservez. Dans une poêle, faites chauffer l'huile à feu moyen, ajoutez l'ail et les oignons et faites revenir pendant quelques minutes. Ajoutez à cela les feuilles d'épinards, les courgettes hachées et faites cuire pendant environ deux minutes jusqu'à ce que les épinards flétrissent et que les courgettes soient bien cuites. Ajoutez enfin les grains de poivre et le sel et éteignez le feu. Laissez refroidir le mélange de soupe aux épinards, à la noix de coco et aux courgettes, puis transférez-le dans un bol de mixeur. Broyez jusqu'à obtenir une pâte lisse. Dans une poêle, faites chauffer l'huile de coco à feu moyen, une fois chaude, ajoutez le mélange de soupe aux épinards, à la noix de coco et aux courgettes moulues, le cumin en poudre, le lait de coco et l'eau. Portez la soupe aux épinards, à la noix de coco et aux courgettes à ébullition vive et éteignez le feu. Vérifiez le sel et les assaisonnements et ajustez-les selon votre goût. Servez la soupe aux épinards, à la noix de coco et aux courgettes avec une salade de laitue, de pommes et de carottes avec vinaigrette au piment et un sandwich grillé au fromage avec poulet fumé pour un repas complet.</t>
  </si>
  <si>
    <t>https://www.archanaskitchen.com/spinach-coconut-zucchini-soup-recipe</t>
  </si>
  <si>
    <t>Cheese Tarts Recipe</t>
  </si>
  <si>
    <t>Rezept für Käsetörtchen</t>
  </si>
  <si>
    <t>Recette de cheesecakes</t>
  </si>
  <si>
    <t>Receta de tarta de queso</t>
  </si>
  <si>
    <t>1 tasse de Vivatta Maida, 50 grammes de beurre - à température ambiante salé ou non salé, 1/4 tasse de sucre glace, 1 œuf entier, 1 cuillère à café d'extrait de vanille, sel - une pincée si vous utilisez du beurre non salé, 2 cuillères à soupe de lait en poudre, 1 sachet de fromage à la crème Britannia - si vous avez du mal à obtenir du fromage à la crème, tout ce que vous pouvez faire est de prendre du paneer râpé, ajouter une pincée de sel et le moudre dans votre mixeur, 1/3 tasse de fromage mozzarella, 1/4 tasse de sucre, 1 cuillère à café d'extrait de vanille, 1 cuillère à café de jus de citron - vous pouvez également ajouter du zeste de citron, 1 œuf entier - 2 œufs selon le nombre de tartes que vous avez préparées, 1/4 tasse de lait, 1 cuillère à café de farine de maïs, sel - une pincée, 25 grammes de beurre - 25 grammes de beurre, 1 jaune d'œuf - ou 2</t>
  </si>
  <si>
    <t>1 cup Vivatta Maida,50 grams Butter - at room temperature salted or unsalted,1/4 cup Icing Sugar,1 Whole Eggs,1 teaspoon Vanilla Extract,Salt - a pinch if you are using unsalted butter,2 tablespoons Milk Powder,1 packet Britannia Cream Cheese - if you find it difficult to get cream cheese all you can do is take grated paneer add pinch salt n grind it in your mixer,1/3 cup Mozzarella cheese,1/4 cup Sugar,1 teaspoon Vanilla Extract,1 teaspoon Lemon juice - can add lemon zest as well,1 Whole Egg - 2 eggs depending on how many tarts you have prepared,1/4 cup Milk,1 teaspoon Corn flour,Salt - a pinch,25 grams Butter - 25 grams of butter,1 Egg yolks - or 2</t>
  </si>
  <si>
    <t>1 taza de Vivatta Maida, 50 gramos de mantequilla - a temperatura ambiente con o sin sal, 1/4 taza de azúcar glas, 1 huevo entero, 1 cucharadita de extracto de vainilla, sal - una pizca si usa mantequilla sin sal, 2 cucharadas de leche en polvo, 1 paquete de queso crema Britannia - si le resulta difícil conseguir queso crema, todo lo que puede hacer es tomar paneer rallado, agregar una pizca de sal y molerlo en su batidora, 1/3 taza de queso mozzarella, 1/4 taza de azúcar, 1 cucharadita de extracto de vainilla, 1 cucharadita de jugo de limón - también puede agregar ralladura de limón, 1 huevo entero - 2 huevos dependiendo de cuántas tartas haya preparado, 1/4 taza de leche, 1 cucharadita de harina de maíz, sal - una pizca, 25 gramos de mantequilla - 25 gramos de mantequilla, 1 yema de huevo - o 2</t>
  </si>
  <si>
    <t xml:space="preserve">To bgein making the Cheese Tarts recipe, lets start with the crust take butter and icing sugar mix well in stand or electric mixer till butter is white n creamy. Add egg and vanilla extract. Mix them egg should mix well with the butter. In the end add maida, milk powder and mix well like a dough just like chapati dough but a bit softer. Wrap it a plastic wrap and rest for 10 minutes.Preheat  your oven at 190 degree Celsius for 10 minutes. Roll the dough n make small circle shouldn’t be too thick or thin just like how you make pooris you can use tart moulds or just take small circles n fix them in your cupcakes tray or moulds.Bake the tarts at 190 degrees for 15 to 16 minutes or till the tarts are lightly brown once they are out of oven they will turn out crispNow comes the filling to mix all the ingredients you can either use double boiler method or just take a non stick pan and simmer it. Add cream cheese, cheese, lemon juice, sugar, vanilla extract mix till cheese melts.Add milk, corn starch and add very little water mix it well and add to the mixture. Give it a nice mix till everything is mixed well.Remove from heat, cool a bit and add eggs one by one and butter mix well and cool the mixture. Once the crust cools down add the filling and brush the filling with egg yolk it gives a nice glaze. Bake once again at 230 degree Celsius for 6 to 7 minutes.Remove from the oven let the tarts cool down. Can store them in fridge or in a container outside at room temperature.Serve Cheese Tarts along with Cafe Latte and Aloo Tikki Stuffed Pita Sandwich for your tea break.
</t>
  </si>
  <si>
    <t>Para comenzar a hacer la receta de Tartas de Queso, comencemos con la corteza, tome la mantequilla y el azúcar glas, mezcle bien en una batidora de pedestal o eléctrica hasta que la mantequilla esté blanca y cremosa. Agregue el huevo y el extracto de vainilla. Mézclelos, el huevo debe mezclarse bien con la mantequilla. Al final, agregue maida, leche en polvo y mezcle bien como una masa como la masa de chapati, pero un poco más suave. Envuélvalo en una envoltura de plástico y deje reposar durante 10 minutos. Precaliente su horno a 190 grados Celsius durante 10 minutos. Estira la masa y haz círculos pequeños que no sean demasiado gruesos ni delgados, como cuando haces los pasteles. Puedes usar moldes para tartas o simplemente tomar círculos pequeños y colocarlos en la bandeja o moldes para cupcakes. Hornea las tartas a 190 grados durante 15 a 16 minutos o hasta que estén ligeramente doradas, una vez que estén fuera del horno quedarán crujientes. Ahora viene el relleno para mezclar todos los ingredientes, puedes usar el método de baño maría o simplemente tomar una sartén antiadherente y cocinar a fuego lento. Agrega el queso crema, el queso, el jugo de limón, el azúcar, el extracto de vainilla y mezcla hasta que el queso se derrita. Agrega la leche, la maicena y agrega muy poca agua, mezcla bien y agrega a la mezcla. Mezcla bien hasta que todo esté bien mezclado. Retira del fuego, deja enfriar un poco y agrega los huevos uno por uno y la mantequilla, mezcla bien y enfría la mezcla. Una vez que la corteza se enfríe, agrega el relleno y pincela el relleno con yema de huevo, le da un glaseado agradable. Hornee de nuevo a 230 grados Celsius durante 6 a 7 minutos. Retire del horno y deje enfriar las tartaletas. Puede guardarlas en el refrigerador o en un recipiente al aire libre a temperatura ambiente. Sirva las tartaletas de queso junto con el café con leche y el sándwich de pita relleno de Aloo Tikki para la merienda.</t>
  </si>
  <si>
    <t>Pour commencer à préparer la recette des tartelettes au fromage, commençons par la croûte, prenez le beurre et le sucre glace, mélangez bien dans un batteur sur socle ou électrique jusqu'à ce que le beurre soit blanc et crémeux. Ajoutez l'œuf et l'extrait de vanille. Mélangez-les, l'œuf doit bien se mélanger avec le beurre. À la fin, ajoutez la maida, le lait en poudre et mélangez bien comme une pâte, tout comme la pâte à chapati, mais un peu plus molle. Enveloppez-la dans une pellicule plastique et laissez reposer 10 minutes. Préchauffez votre four à 190 degrés Celsius pendant 10 minutes. Étalez la pâte et faites de petits cercles qui ne doivent pas être trop épais ou trop fins, tout comme vous faites des pauvres, vous pouvez utiliser des moules à tarte ou simplement prendre de petits cercles et les fixer dans votre plaque à cupcakes ou vos moules. Faites cuire les tartelettes à 190 degrés pendant 15 à 16 minutes ou jusqu'à ce que les tartelettes soient légèrement dorées. Une fois sorties du four, elles deviendront croustillantes. Vient maintenant la garniture pour mélanger tous les ingrédients, vous pouvez soit utiliser la méthode du bain-marie, soit simplement prendre une poêle antiadhésive et laisser mijoter. Ajoutez le fromage frais, le fromage, le jus de citron, le sucre, l'extrait de vanille et mélangez jusqu'à ce que le fromage fonde. Ajoutez le lait, la fécule de maïs et ajoutez très peu d'eau, mélangez bien et ajoutez au mélange. Remuez bien jusqu'à ce que tout soit bien mélangé. Retirez du feu, laissez refroidir un peu et ajoutez les œufs un par un et le beurre, mélangez bien et laissez refroidir le mélange. Une fois la croûte refroidie, ajoutez la garniture et badigeonnez-la de jaune d'œuf pour obtenir un joli glaçage. Faites cuire à nouveau à 230 degrés Celsius pendant 6 à 7 minutes. Retirez du four et laissez refroidir les tartelettes. Vous pouvez les conserver au réfrigérateur ou dans un récipient à l'extérieur à température ambiante. Servez les tartelettes au fromage avec un café latte et un sandwich pita farci Aloo Tikki pour votre pause thé.</t>
  </si>
  <si>
    <t>https://www.archanaskitchen.com/cheese-tarts-recipe</t>
  </si>
  <si>
    <t>Dairyfree Balsamic Strawberry Ice-cream Recipe</t>
  </si>
  <si>
    <t>Rezept für milchfreies Balsamico-Erdbeereis</t>
  </si>
  <si>
    <t>Recette de glace à la fraise balsamique sans produits laitiers</t>
  </si>
  <si>
    <t>Receta de helado de fresa balsámico sin lácteos</t>
  </si>
  <si>
    <t>700 grammes de fraises hachées, 1-1/4 tasse de noix de cajou trempées pendant 6 heures, 4 cuillères à soupe de vinaigre balsamique, 1/2 + 1/2 tasse de sirop d'érable (le miel peut également être utilisé si vous n'êtes pas végétalien), une pincée de sel, 1 cuillère à soupe de farine de maïs ou de poudre d'arrow-root, 1 cuillère à café d'extrait de vanille, 1 tasse de lait de coco épais</t>
  </si>
  <si>
    <t>700 grams Strawberries - chopped,1-1/4 cup Cashew nuts - soaked for 6 hours,4 tablespoons Balsamic Vinegar,1/2+1/2 cup Maple syrup - (honey can also be used if not vegan),pinch Salt,1 tablespoon Corn flour - or arrowroot powder,1 teaspoon Vanilla Extract,1 cup Coconut milk - thick</t>
  </si>
  <si>
    <t>700 gramos de fresas picadas, 1-1/4 taza de anacardos remojados durante 6 horas, 4 cucharadas de vinagre balsámico, 1/2+1/2 taza de jarabe de arce (también se puede usar miel si no es vegano), pizca de sal, 1 cucharada de harina de maíz o polvo de arrurruz, 1 cucharadita de extracto de vainilla, 1 taza de leche de coco espesa</t>
  </si>
  <si>
    <t xml:space="preserve">To begin making the Dairyfree Balsamic Strawberry Ice-cream recipe, in a bowl add balsamic vinegar, 1/2 cup of honey and arrowroot powder and whisk until combined without any lumps.Combine this mixture and chopped strawberries in a saucepan and cook until mushy and bubbly, for approximately 8 minutes. Let it cool completely.Drain the cashews to remove excess water.In a blender add drained cashews, 1/2 cup maple syrup, pinch of salt, 1 cup coconut yogurt and the cooled strawberry mixture and blend until completely smooth. This can be done in batches.Pour this into a container and cover it with a cling wrap and chill overnight.Set it out on the bench top for about 5 minutes and scoop it out to serve. Serve Dairy free Balsamic Strawberry Ice-cream as a dessert after a delicious dinner of Paneer Pav Bhaji.
</t>
  </si>
  <si>
    <t>Para empezar a preparar la receta de helado de fresa balsámico sin lácteos, en un bol añade vinagre balsámico, 1/2 taza de miel y polvo de arrurruz y bate hasta que se combinen sin grumos. Combina esta mezcla con las fresas picadas en una cacerola y cocina hasta que esté blanda y burbujeante, durante aproximadamente 8 minutos. Deja enfriar por completo. Escurre los anacardos para eliminar el exceso de agua. En una licuadora, añade los anacardos escurridos, 1/2 taza de jarabe de arce, una pizca de sal, 1 taza de yogur de coco y la mezcla de fresa fría y mezcla hasta que esté completamente suave. Esto se puede hacer en tandas. Vierte esto en un recipiente, cúbrelo con film transparente y refrigera durante la noche. Déjalo en la encimera durante unos 5 minutos y sácalo para servir. Sirve el helado de fresa balsámico sin lácteos como postre después de una deliciosa cena de Paneer Pav Bhaji.</t>
  </si>
  <si>
    <t>Pour commencer à préparer la recette de glace à la fraise balsamique sans produits laitiers, ajoutez dans un bol le vinaigre balsamique, 125 ml de miel et la poudre d'arrow-root, puis fouettez jusqu'à obtenir un mélange homogène et sans grumeaux. Dans une casserole, mélangez ce mélange avec les fraises hachées et faites cuire jusqu'à obtenir une consistance pâteuse et bouillonnante, pendant environ 8 minutes. Laissez refroidir complètement. Égouttez les noix de cajou pour éliminer l'excès d'eau. Dans un mixeur, ajoutez les noix de cajou égouttées, 125 ml de sirop d'érable, une pincée de sel, 250 ml de yaourt à la noix de coco et le mélange de fraises refroidi, puis mixez jusqu'à obtenir une consistance lisse. Vous pouvez le faire en plusieurs fois. Versez le tout dans un récipient, couvrez-le d'un film alimentaire et laissez-le refroidir toute la nuit. Laissez reposer sur le plan de travail pendant environ 5 minutes, puis servez à la cuillère. Servez la glace à la fraise balsamique sans produits laitiers en dessert après un délicieux dîner de Paneer Pav Bhaji.</t>
  </si>
  <si>
    <t>http://www.archanaskitchen.com/dairyfree-balsamic-strawberry-ice-cream-recipe</t>
  </si>
  <si>
    <t>Vegetable Sizzler Recipe With Potato Tikki, Mint Rice &amp; Corn and Spinach Sauce</t>
  </si>
  <si>
    <t>Gemüse-Sizzler-Rezept mit Kartoffel-Tikki, Minzreis und Mais und Spinatsauce</t>
  </si>
  <si>
    <t>Recette de légumes grésillants avec pommes de terre tikki, riz à la menthe, maïs doux et sauce aux épinards</t>
  </si>
  <si>
    <t>Receta de verduras chispeantes con patatas tikki, arroz con menta, maíz dulce y salsa de espinacas</t>
  </si>
  <si>
    <t>2 Aloo Tikki (pommes de terre), 1 tasse de riz à la menthe, 1 cuillère à soupe de beurre, 1 cuillère à soupe de beurre, 2 gousses d'ail, 1 cuillère à soupe de farine tout usage (Maida), 1/4 tasse de maïs doux - cuit à la vapeur, 50 grammes d'épinards - finement hachés, 1 tasse de lait, sel - au goût, 1 cuillère à soupe de beurre, 2 carottes (Gajjar) - coupées en lanières de 1 pouce, 1/2 tasse de haricots verts (haricots verts) - coupés en morceaux de 1 pouce, 1 poivron vert (Capsicum) - coupé en lanières, sel - au goût</t>
  </si>
  <si>
    <t>2 Aloo Tikki (Potato),1 cup Mint Rice,1 tablespoon Butter,1 tablespoon Butter,2 cloves Garlic,1 tablespoon All Purpose Flour (Maida),1/4 cup Sweet corn - steamed,50 grams Spinach - finely chopped,1 cup Milk,Salt - to taste,1 tablespoon Butter,2 Carrots (Gajjar) - cut into 1 inch strips,1/2 cup Green beans (French Beans) - cut into 1 inch pieces,1 Green Bell Pepper (Capsicum) - cut into strips,Salt - to taste</t>
  </si>
  <si>
    <t>2 Aloo Tikki (Papa), 1 taza de Arroz con Menta, 1 cucharada de Mantequilla, 1 cucharada de Mantequilla, 2 dientes de Ajo, 1 cucharada de Harina para Todo Uso (Maida), 1/4 taza de Maíz Dulce - al vapor, 50 gramos de Espinaca - finamente picada, 1 taza de Leche, Sal - al gusto, 1 cucharada de Mantequilla, 2 Zanahorias (Gajjar) - cortadas en tiras de 1 pulgada, 1/2 taza de Judías Verdes (Judías Francesas) - cortadas en trozos de 1 pulgada, 1 Pimiento Verde (Capsicum) - cortado en tiras, Sal - al gusto</t>
  </si>
  <si>
    <t xml:space="preserve"> To begin making the Vegetable Sizzler Recipe, first get all the ingredients ready.Prepare the Potato Tikki and the Mint Rice according to the recipes in the links. In the next steps we will make the Corn &amp; Spinach Sauce.To make the corn and spinach sauce, heat butter in a heavy bottomed pan. Add the garlic, along with the flour and saute for a couple of minutes. Add the corn and spinach and saute until the spinach wilts down and softens. Add the milk and salt to taste, to the mixture and keep stirring until the sauce thickens and you get a thick sauce. Check the salt and adjust to suit your taste.Using an immersion blender/ hand blender, blend to make a coarse puree. The corn and spinach sauce is now ready. Keep this aside.The next step is to make the Stir Fried Vegetables.Heat butter in a wok, and add the vegetables into it. Sprinkle salt and stir fry the vegetables until al dente. You want the vegetables to be cooked just right. Once done, keep the vegetables aside.The final step is to prepare the sizzler tray.Heat the 2 sizzler plates over an open flame till they are red hot. You can also heat them in a preheated oven for about 30 minutes. Once the plates are heated, place them on their respective wooden trays.Grease the plates with a little oil or butter, place a couple of cabbage leaves on the plate. Place a few potato tikkis on one side, mint rice in the center and the stir fried vegetables on the other side. Top it with the corn and spinach sauce and more butter and serve immediately along with the sizzling effect. Tip: you can sprinkle some water on the plates to give it a sizzling effect as well. 
</t>
  </si>
  <si>
    <t>Para comenzar a hacer la receta de Vegetable Sizzler, primero prepare todos los ingredientes. Prepare el Potato Tikki y el Arroz con Menta según las recetas en los enlaces. En los siguientes pasos haremos la Salsa de Maíz y Espinacas. Para hacer la salsa de maíz y espinacas, caliente la mantequilla en una sartén de fondo grueso. Agregue el ajo, junto con la harina y saltee durante un par de minutos. Agregue el maíz y las espinacas y saltee hasta que las espinacas se ablanden. Agregue la leche y la sal al gusto a la mezcla y siga revolviendo hasta que la salsa espese y obtenga una salsa espesa. Verifique la sal y ajuste a su gusto. Usando una batidora de inmersión / batidora de mano, mezcle para hacer un puré grueso. La salsa de maíz y espinacas ahora está lista. Manténgala a un lado. El siguiente paso es hacer las Verduras Salteadas. Caliente la mantequilla en un wok y agregue las verduras. Espolvoree sal y saltee las verduras hasta que estén al dente. Quiere que las verduras estén cocidas a su punto. Una vez listo, reserva las verduras. El último paso es preparar la bandeja para saltear. Calienta las dos placas a fuego vivo hasta que estén al rojo vivo. También puedes calentarlas en un horno precalentado durante unos 30 minutos. Una vez calientes, colócalas en sus respectivas bandejas de madera. Engrasa las placas con un poco de aceite o mantequilla y coloca un par de hojas de col. Coloca unos tikkis de patata a un lado, arroz con menta en el centro y las verduras salteadas al otro. Cúbrelas con la salsa de maíz y espinacas y más mantequilla. Sirve inmediatamente con el efecto chisporroteante. Consejo: puedes rociar un poco de agua en las placas para que también chisporroteen.</t>
  </si>
  <si>
    <t>Pour commencer à préparer la recette de légumes grésillants, préparez d'abord tous les ingrédients. Préparez le Tikki de pommes de terre et le riz à la menthe selon les recettes dans les liens. Dans les étapes suivantes, nous préparerons la sauce au maïs et aux épinards. Pour préparer la sauce au maïs et aux épinards, faites chauffer le beurre dans une poêle à fond épais. Ajoutez l'ail et la farine et faites revenir pendant quelques minutes. Ajoutez le maïs et les épinards et faites sauter jusqu'à ce que les épinards flétrissent et ramollissent. Ajoutez le lait et le sel au goût au mélange et continuez à remuer jusqu'à ce que la sauce épaississe et que vous obteniez une sauce épaisse. Vérifiez le sel et ajustez à votre goût. À l'aide d'un mixeur plongeant/mixeur à main, mixez pour obtenir une purée grossière. La sauce au maïs et aux épinards est maintenant prête. Gardez-la de côté. L'étape suivante consiste à préparer les légumes sautés. Faites chauffer le beurre dans un wok et ajoutez-y les légumes. Saupoudrez de sel et faites sauter les légumes jusqu'à ce qu'ils soient al dente. Vous voulez que les légumes soient cuits à point. Une fois cuits, réservez les légumes. La dernière étape consiste à préparer le plat à gratin. Faites chauffer les deux plats à gratin sur un feu vif jusqu'à ce qu'ils soient bien chauds. Vous pouvez également les faire chauffer au four préchauffé pendant environ 30 minutes. Une fois les plats chauds, placez-les sur leurs plateaux en bois respectifs. Graissez les plats avec un peu d'huile ou de beurre, puis disposez quelques feuilles de chou. Disposez quelques tikkis de pommes de terre d'un côté, du riz à la menthe au centre et les légumes sautés de l'autre côté. Nappez de sauce maïs-épinards et de beurre, puis servez immédiatement, accompagné d'un léger gratin. Astuce : vous pouvez également arroser les plats d'un peu d'eau pour un effet grésillant.</t>
  </si>
  <si>
    <t>http://www.archanaskitchen.com/vegetable-sizzler-recipe-with-potato-tikki-mint-rice-corn-and-spinach-sauce</t>
  </si>
  <si>
    <t>Tempura Chicken Wings With Barbecue Sauce Recipe</t>
  </si>
  <si>
    <t>Rezept für Tempura-Hähnchenflügel mit Barbecue-Sauce</t>
  </si>
  <si>
    <t>Recette d'ailes de poulet tempura à la sauce barbecue</t>
  </si>
  <si>
    <t>Receta de alitas de pollo tempura con salsa barbacoa</t>
  </si>
  <si>
    <t>8 ailes de poulet, 2 cuillères à soupe de sauce barbecue, 1/2 tasse de chapelure de blé entier, 1 cuillère à café de vinaigre de piment, 1 pouce de gingembre haché, 2 gousses d'ail hachées, 4 cuillères à soupe de farine de maïs, 1 œuf entier, sel et poivre au goût</t>
  </si>
  <si>
    <t>8 Chicken Wings,2 tablespoon Barbeque sauce,1/2 cup Whole Wheat Bread crumbs,1 teaspoon Chilli vinegar,1 inch Ginger - chopped,2 cloves Garlic - chopped,4 tablespoons Corn flour,1 Whole Egg,Salt and Pepper - to taste</t>
  </si>
  <si>
    <t>8 alitas de pollo, 2 cucharadas de salsa barbacoa, 1/2 taza de pan rallado integral, 1 cucharadita de vinagre de chile, 1 pulgada de jengibre picado, 2 dientes de ajo picados, 4 cucharadas de harina de maíz, 1 huevo entero, sal y pimienta al gusto</t>
  </si>
  <si>
    <t xml:space="preserve">To begin making the Tempura Chicken Wings With Barbecue Sauce Recipe we will first boil the chicken wings in a sauce pan with some water. Boil the wings for about 20 minutes on medium flame until it's half done. This par boiling method will help the wings to absorb less oil once you fry them. Turn off the flame, strain the wings and pat dry them using a kitchen towel. Transfer the chicken wings into a bowl, add cornflour and season it well with salt and pepper and coat them completely.Heat a kadai with oil on medium heat.Beat egg in another bowl, dip the coated chicken wings in this egg and coat them again with bread crumbs and carefully slide it into the kadai with hot oil. Do the same for the rest and fry the wings until golden brown.Heat another sauce pan with oil on medium flame, add ginger and garlic and saute until it softens. Add the barbecue sauce and chili vinegar and once it start to sizzle, toss in the fried tempura chicken wings and coat the sauce well with the wings and serve hot. Serve the Tempura Chicken Wings With Barbecue Sauce along with some fresh salad and a cocktail by the side.
</t>
  </si>
  <si>
    <t>Para comenzar a hacer la receta de Alitas de Pollo Tempura con Salsa Barbacoa, primero herviremos las alitas de pollo en una cacerola con un poco de agua. Hierva las alitas durante unos 20 minutos a fuego medio hasta que estén medio hechas. Este método de hervido parcial ayudará a que las alitas absorban menos aceite una vez que las fría. Apague el fuego, cuele las alitas y séquelas con una toalla de cocina. Transfiera las alitas de pollo a un tazón, agregue harina de maíz y sazone bien con sal y pimienta y cúbralas completamente. Caliente un kadai con aceite a fuego medio. Bata el huevo en otro tazón, sumerja las alitas de pollo rebozadas en este huevo y cúbralas nuevamente con pan rallado y deslícelas con cuidado en el kadai con aceite caliente. Haga lo mismo para el resto y fría las alitas hasta que estén doradas. Caliente otra cacerola con aceite a fuego medio, agregue jengibre y ajo y saltee hasta que se ablande. Añade la salsa barbacoa y el vinagre de chile y, una vez que empiece a chisporrotear, incorpora las alitas de pollo tempura fritas, cúbrelas bien con la salsa y sírvelas calientes. Sirve las alitas de pollo tempura con salsa barbacoa acompañadas de ensalada fresca y un cóctel al lado.</t>
  </si>
  <si>
    <t>Pour commencer à préparer la recette d'ailes de poulet tempura à la sauce barbecue, nous allons d'abord faire bouillir les ailes de poulet dans une casserole avec un peu d'eau. Faites bouillir les ailes pendant environ 20 minutes à feu moyen jusqu'à ce qu'elles soient à moitié cuites. Cette méthode de pré-ébullition aidera les ailes à absorber moins d'huile une fois que vous les aurez frites. Éteignez le feu, égouttez les ailes et séchez-les à l'aide d'un torchon de cuisine. Transférez les ailes de poulet dans un bol, ajoutez la fécule de maïs, assaisonnez-la bien de sel et de poivre et enrobez-les complètement. Faites chauffer un kadai avec de l'huile à feu moyen. Battez l'œuf dans un autre bol, trempez les ailes de poulet enrobées dans cet œuf et enrobez-les à nouveau de chapelure et glissez-les délicatement dans le kadai avec de l'huile chaude. Faites de même pour le reste et faites frire les ailes jusqu'à ce qu'elles soient dorées. Faites chauffer une autre casserole avec de l'huile à feu moyen, ajoutez le gingembre et l'ail et faites revenir jusqu'à ce qu'ils ramollissent. Ajoutez la sauce barbecue et le vinaigre de piment et une fois qu'il commence à grésiller, ajoutez les ailes de poulet tempura frites et enrobez bien la sauce avec les ailes et servez chaud. Servez les ailes de poulet tempura avec sauce barbecue accompagnées d'une salade fraîche et d'un cocktail.</t>
  </si>
  <si>
    <t>http://www.archanaskitchen.com/tempura-chicken-wings-with-barbecue-sauce-recipe</t>
  </si>
  <si>
    <t>Apple Cinnamon Soy Smoothie Recipe</t>
  </si>
  <si>
    <t>Rezept für Apfel-Zimt-Soja-Smoothie</t>
  </si>
  <si>
    <t>Recette de smoothie pomme cannelle soja</t>
  </si>
  <si>
    <t>Receta de batido de manzana, canela y soja</t>
  </si>
  <si>
    <t>2 pommes - pelées et coupées en dés, 1/2 cuillère à café de cannelle en poudre (Dalchini), 3 tasses de lait de soja - (ajuster)</t>
  </si>
  <si>
    <t>2 Apples - peeled and cubed,1/2 teaspoon Cinnamon Powder (Dalchini),3 cups Soy milk - (adjust)</t>
  </si>
  <si>
    <t>2 manzanas peladas y cortadas en cubos, 1/2 cucharadita de canela en polvo (Dalchini), 3 tazas de leche de soja (ajustar)</t>
  </si>
  <si>
    <t xml:space="preserve">To begin making the Apple Cinnamon Soy Smoothie Recipe, peel the apples and cube them into small pieces.In a blender, add apple cubes, cinnamon powder, soy milk and blend them well.Adjust the amount of milk according to the consistency that you like.Pour the Apple Cinnamon Soy Smoothie into serving glasses, add ice cubes and enjoy the shake for breakfast. Enjoy this diabetic friendly Apple Cinnamon Soy Smoothie for breakfast with Cheese Cucumber Sandwich or pack with you for mid-time snack.
</t>
  </si>
  <si>
    <t>Para empezar a preparar la receta de batido de manzana, canela y soja, pela las manzanas y córtalas en cubos pequeños. En una licuadora, añade los cubos de manzana, la canela en polvo y la leche de soja y licúalos bien. Ajusta la cantidad de leche según la consistencia que desees. Vierte el batido de manzana, canela y soja en vasos para servir, añade cubitos de hielo y disfruta del batido en el desayuno. Disfruta de este batido de manzana, canela y soja, apto para diabéticos, en el desayuno con un sándwich de queso y pepino o llévalo contigo como refrigerio a media tarde.</t>
  </si>
  <si>
    <t>Pour commencer à préparer la recette de smoothie pomme-cannelle-soja, épluchez les pommes et coupez-les en petits morceaux. Dans un mixeur, ajoutez les cubes de pomme, la cannelle en poudre, le lait de soja et mixez bien. Ajustez la quantité de lait en fonction de la consistance souhaitée. Versez le smoothie pomme-cannelle-soja dans des verres de service, ajoutez des glaçons et savourez le shake au petit-déjeuner. Savourez ce smoothie pomme-cannelle-soja adapté aux diabétiques au petit-déjeuner avec un sandwich au fromage et au concombre ou emportez-le avec vous pour une collation de mi-temps.</t>
  </si>
  <si>
    <t>http://www.archanaskitchen.com/apple-cinnamon-soy-smoothie-recipe</t>
  </si>
  <si>
    <t>Fresh Strawberry Jam Recipe</t>
  </si>
  <si>
    <t>Rezept für frische Erdbeermarmelade</t>
  </si>
  <si>
    <t>Recette de confiture de fraises fraîches</t>
  </si>
  <si>
    <t>Receta de mermelada de fresa fresca</t>
  </si>
  <si>
    <t>200 grammes de fraises (fraîches ou surgelées), 200 grammes de sucre (ajustable), 2 cuillères à soupe de jus de citron</t>
  </si>
  <si>
    <t>200 grams Strawberries - (fresh or frozen),200 grams Sugar - (adjustable),2 tablespoons Lemon juice</t>
  </si>
  <si>
    <t>200 gramos de fresas (frescas o congeladas), 200 gramos de azúcar (ajustable), 2 cucharadas de jugo de limón.</t>
  </si>
  <si>
    <t xml:space="preserve">To begin making the Fresh Strawberry Jam recipe, take a big bowl and crush (Or coarsely food process) strawberries nicely.Now in a heavy bottomed pan, mix all ingredients together, the crushed strawberries, sugar and lemon juice.On low heat cook it until the sugar is dissolved completely.Now increase heat to medium high and boil the mixture about 8 to 9 minutes.Now turn off the heat and transfer this mixture to sterile jar. Let it cool to room temperature. And then you can eat it with bread or as your choice.(To store jam refrigerate it and seal jar) like this way the jam stays good for until 2 to 3 months.Serve this Fresh Strawberry jam along with toast and Masala Chai for your breakfast on a busy day.
</t>
  </si>
  <si>
    <t>Para empezar a preparar la receta de mermelada de fresa fresca, toma un tazón grande y tritura bien las fresas (o procesa gruesamente). Ahora, en una cacerola de fondo grueso, mezcla todos los ingredientes: las fresas trituradas, el azúcar y el jugo de limón. Cocina a fuego lento hasta que el azúcar se disuelva por completo. Ahora aumenta el fuego a medio alto y hierve la mezcla unos 8 a 9 minutos. Ahora apaga el fuego y transfiere esta mezcla a un frasco esterilizado. Deja enfriar a temperatura ambiente. Y luego puedes comerla con pan o como prefieras. (Para guardar la mermelada, refrigérala y sella el frasco) de esta manera, la mermelada se mantiene en buen estado hasta por 2 a 3 meses. Sirve esta mermelada de fresa fresca junto con tostadas y Masala Chai para tu desayuno en un día ajetreado.</t>
  </si>
  <si>
    <t>Pour commencer à préparer la recette de confiture de fraises fraîches, prenez un grand bol et écrasez bien les fraises (ou passez-les au robot culinaire). Dans une casserole à fond épais, mélangez tous les ingrédients : les fraises écrasées, le sucre et le jus de citron. Faites cuire à feu doux jusqu'à ce que le sucre soit complètement dissous. Augmentez ensuite le feu à moyen-vif et faites bouillir le mélange pendant 8 à 9 minutes. Éteignez ensuite le feu et transférez ce mélange dans un bocal stérile. Laissez-le refroidir à température ambiante. Vous pouvez ensuite le déguster avec du pain ou selon votre choix. (Pour conserver la confiture, réfrigérez-la et fermez le bocal) de cette façon, la confiture se conserve 2 à 3 mois. Servez cette confiture de fraises fraîches avec du pain grillé et du Masala Chai pour votre petit-déjeuner lors d'une journée chargée.</t>
  </si>
  <si>
    <t>https://www.archanaskitchen.com/fresh-strawberry-jam-recipe</t>
  </si>
  <si>
    <t>Orange Marmalade Tea Cake Recipe</t>
  </si>
  <si>
    <t>Rezept für Teekuchen mit Orangenmarmelade</t>
  </si>
  <si>
    <t>Recette de gâteau au thé à la marmelade d'orange</t>
  </si>
  <si>
    <t>Receta de pastel de té con mermelada de naranja</t>
  </si>
  <si>
    <t>1 tasse de farine tout usage (Maida), 3/4 tasse de farine de blé entier, 1/4 tasse de poudre d'amande (poudre de Badam), 1/4 cuillère à café de sel, 1-1/2 cuillère à café de levure chimique, 1/2 cuillère à café de bicarbonate de soude, 1/3 tasse d'huile d'olive extra vierge, 1 cuillère à café de jus d'orange frais, 2 œufs entiers, 3 cuillères à soupe de confiture d'orange - légèrement réchauffée puis refroidie, 3/4 tasse de sucre en poudre, 1/2 tasse de babeurre - (ou lait + 1/2 cuillère à soupe de vinaigre), 4 cuillères à soupe de confiture d'orange - pour arroser/badigeonner le gâteau</t>
  </si>
  <si>
    <t>1 cup All Purpose Flour (Maida),3/4 cup Whole Wheat Flour,1/4 cup Almond Meal (Badam Powder),1/4 teaspoon Salt,1-1/2 teaspoon Baking powder,1/2 teaspoon Baking soda,1/3 cup Extra Virgin Olive Oil,1 teaspoon Fresh orange juice,2 Whole Eggs,3 tablespoon Orange marmalade jam - slightly warmed and then cooled,3/4 cup Caster Sugar,1/2 cup Buttermilk - (or milk+1/2 tablespoon vinegar),4 tablespoon Orange marmalade jam - to drizzle/brush on the cake</t>
  </si>
  <si>
    <t>1 taza de harina para todo uso (Maida), 3/4 taza de harina integral, 1/4 taza de harina de almendras (Badam Powder), 1/4 cucharadita de sal, 1-1/2 cucharadita de polvo para hornear, 1/2 cucharadita de bicarbonato de sodio, 1/3 taza de aceite de oliva virgen extra, 1 cucharadita de jugo de naranja fresco, 2 huevos enteros, 3 cucharadas de mermelada de naranja - ligeramente calentada y luego enfriada, 3/4 taza de azúcar extrafino, 1/2 taza de suero de leche - (o leche + 1/2 cucharada de vinagre), 4 cucharadas de mermelada de naranja - para rociar / pincelar sobre el pastel</t>
  </si>
  <si>
    <t xml:space="preserve">To begin with Orange Marmalade Tea Cake, preheat the oven to 180 degree celcius. Prepare two 5 inch round pan or one 9 inch round pan or one 9 inch loaf pan.Sieve the flours, baking powder, baking soda and salt in a mixing bowl. Set it aside.In another mixing bowl, beat the eggs till fluffy. Add in the sugar, oil, marmalade, orange extract and whisk till blended properly.Fold in the dry ingredients with the wet, alternating with the addition of buttermilk.Pour the batter in the prepared pan and bake for about 30-35 minutes or till a cake tester comes out clean (time will vary depending on the oven and size of pan).Carefully invert the cakes after 5 minutes onto a cooling rack and cool. (Run a knife around the edges of the pan to loosen the cake from the sides).Drizzle the Marmalade over the cakes when it is warm and not hot.Serve Orange Marmalade Tea Cake with a hot cup of coffee or Masala chai.
</t>
  </si>
  <si>
    <t xml:space="preserve">Para preparar el pastel de té con mermelada de naranja, precalienta el horno a 180 °C. Prepara dos moldes redondos de 12,7 cm, uno de 23 cm o uno para pan de 23 cm. Tamiza las harinas, la levadura, el bicarbonato y la sal en un bol. Reserva. En otro bol, bate los huevos hasta que estén esponjosos. Agrega el azúcar, el aceite, la mermelada y el extracto de naranja y bate hasta que estén bien integrados. Incorpora los ingredientes secos con los húmedos, alternando con el suero de leche. Vierte la masa en el molde preparado y hornea durante unos 30-35 minutos o hasta que al insertar un palillo, este salga limpio (el tiempo varía según el horno y el tamaño del molde). Después de 5 minutos, voltea con cuidado los pasteles sobre una rejilla y deja enfriar. (Pasa un cuchillo por los bordes del molde para despegar el pastel). Rocía la mermelada sobre los pasteles cuando esté tibia, no caliente. Sirve el pastel de té con mermelada de naranja con una taza de café o chai masala caliente.
</t>
  </si>
  <si>
    <t xml:space="preserve">Pour préparer le gâteau à la marmelade d'orange, préchauffez le four à 180 °C. Préparez deux moules ronds de 12,7 cm, un moule rond de 23 cm ou un moule à cake de 23 cm. Tamisez les farines, la levure chimique, le bicarbonate de soude et le sel dans un saladier. Réservez. Dans un autre saladier, battez les œufs jusqu'à obtenir une consistance mousseuse. Ajoutez le sucre, l'huile, la marmelade et l'extrait d'orange, puis fouettez jusqu'à obtenir un mélange homogène. Incorporez les ingrédients secs aux ingrédients humides, en alternant avec le babeurre. Versez la pâte dans le moule préparé et enfournez pour 30 à 35 minutes, ou jusqu'à ce qu'une sonde à gâteau en ressorte propre (le temps varie selon le four et la taille du moule). Après 5 minutes, retournez délicatement les gâteaux sur une grille et laissez-les refroidir. (Passez un couteau sur les bords du moule pour décoller le gâteau des parois). Arrosez les gâteaux de marmelade lorsqu'elle est tiède, mais pas brûlante. Servez le gâteau à la marmelade d'orange avec un café chaud ou un chai masala.
</t>
  </si>
  <si>
    <t>https://www.archanaskitchen.com/orange-marmalade-tea-cake-recipe</t>
  </si>
  <si>
    <t>Muesli and Oats Waffle with Apricots Recipe</t>
  </si>
  <si>
    <t>Müsli-Hafer-Waffel mit Aprikosen Rezept</t>
  </si>
  <si>
    <t>Recette de gaufre muesli-avoine aux abricots</t>
  </si>
  <si>
    <t>Receta de waffle de avena, muesli y albaricoque</t>
  </si>
  <si>
    <t>1 tasse de farine d'avoine, 1/2 tasse de muesli, 1 œuf entier, 1/2 tasse de lait, 1 cuillère à café de levure chimique, 1 cuillère à café de cannelle en poudre (Dalchini), 1 cuillère à soupe de sirop de dattes, 1 pincée de sel, 1 tasse d'abricots</t>
  </si>
  <si>
    <t>1 cup Oats Flour,1/2 cup Muesli,1 Whole Egg,1/2 cup Milk,1 teaspoon Baking powder,1 teaspoon Cinnamon Powder (Dalchini),1 tablespoon Date syrup,1 pinch Salt,1 cup Apricots</t>
  </si>
  <si>
    <t>1 taza de harina de avena, 1/2 taza de muesli, 1 huevo entero, 1/2 taza de leche, 1 cucharadita de polvo para hornear, 1 cucharadita de canela en polvo (dalchini), 1 cucharada de jarabe de dátiles, 1 pizca de sal, 1 taza de albaricoques</t>
  </si>
  <si>
    <t xml:space="preserve">We begin making the Muesli and Oats Waffle with Apricots Recipe by heating your waffle machine for about 10 minutes.Meanwhile mix in the batter for the waffle with all the ingredients mentioned above. Mix well till it combines and becomes a thick batter.Pour a ladle on to your waffle machine and spread the batter evenly and do not over pour it. You can sprinkle few muesli on top. Close and cook till it cooks and becomes brown.Take the waffle out and then place it on a wire mesh. Or you can serve it immediately.Serve the Muesli and Oats Waffle with Apricots Recipe topped up with some date syrup, apricots and apples for your morning breakfast.
</t>
  </si>
  <si>
    <t>Para preparar la receta de gofre de muesli, avena y albaricoques, calentamos la gofrera durante unos 10 minutos. Mientras tanto, mezclamos la masa con todos los ingredientes mencionados. Mezclamos bien hasta obtener una masa espesa. Vierte un cucharón en la gofrera y extiende la masa uniformemente, sin excederte. Puedes espolvorear un poco de muesli por encima. Tapa la gofrera y cocina hasta que esté dorada. Retira el gofre y colócalo sobre una rejilla. También puedes servirlo inmediatamente. Sirve la receta de gofre de muesli, avena y albaricoques con un poco de sirope de dátiles, albaricoques y manzanas para desayunar.</t>
  </si>
  <si>
    <t>Pour préparer la recette de la gaufre muesli, flocons d'avoine et abricots, faites chauffer votre gaufrier pendant environ 10 minutes. Pendant ce temps, incorporez la pâte à gaufres avec tous les ingrédients mentionnés ci-dessus. Mélangez bien jusqu'à obtenir une pâte épaisse. Versez une louche sur le gaufrier et étalez la pâte uniformément, sans trop la verser. Vous pouvez parsemer de muesli. Fermez et laissez cuire jusqu'à ce que la gaufre soit dorée. Sortez la gaufre et placez-la sur une grille. Vous pouvez également la servir immédiatement. Servez la recette de la gaufre muesli, flocons d'avoine et abricots avec du sirop de dattes, des abricots et des pommes pour votre petit-déjeuner.</t>
  </si>
  <si>
    <t>http://www.archanaskitchen.com/muesli-and-oats-waffle-with-apricots-recipe</t>
  </si>
  <si>
    <t>Rye Breakfast Sandwich With Cucumber And Eggs Recipe</t>
  </si>
  <si>
    <t>Roggenfrühstückssandwich mit Gurke und Eiern Rezept</t>
  </si>
  <si>
    <t>Recette de sandwich au seigle pour le petit-déjeuner, concombre et œufs</t>
  </si>
  <si>
    <t>Receta de sándwich de centeno para el desayuno con pepino y huevos</t>
  </si>
  <si>
    <t>4 pains de seigle - ou tout autre pain complet, 1 cuillère à café de beurre, 2 œufs entiers - bouillis et émiettés, 1 cuillère à soupe de fromage à la crème Britannia - à température ambiante, 1 concombre - finement tranché, sel et poivre - au goût</t>
  </si>
  <si>
    <t>4 Rye Bread - or any other whole meal bread,1 teaspoon Butter,2 Whole Eggs - boiled and crumbled,1 tablespoon Britannia Cream Cheese - at room temperature,1 Cucumber - thinly sliced,Salt and Pepper - to taste</t>
  </si>
  <si>
    <t>4 panes de centeno (o cualquier otro pan integral), 1 cucharadita de mantequilla, 2 huevos enteros (hervidos y desmenuzados), 1 cucharada de queso crema Britannia (a temperatura ambiente), 1 pepino (cortado en rodajas finas), sal y pimienta (a gusto).</t>
  </si>
  <si>
    <t xml:space="preserve">To begin making the Rye Breakfast Sandwich With Cucumber And Eggs Recipe, first prepare the sandwich filling.In a small bowl, add the crumbled eggs and cream cheese. Stir well to combine.To make the sandwich, take two slices of bread and butter them lightly. Place a layer of thinly sliced cucumber on each slice. Spoon the the egg mixture on the cucumber layer and spread evenly.Sprinkle some salt and pepper and close the sandwiched with the remaining slices of bread.Slice the sandwich through the middle either horizontally or diagonally and serveServe the Rye Breakfast Sandwich With Cucumber And Eggs for breakfast along with Muskmelon (Kharbuj) Juice. It can also be packed your kids school lunch box.
</t>
  </si>
  <si>
    <t>Para empezar a preparar la receta del sándwich de centeno con pepino y huevos, primero prepara el relleno. En un tazón pequeño, agrega los huevos desmenuzados y el queso crema. Revuelve bien para combinar. Para hacer el sándwich, toma dos rebanadas de pan y úntalas ligeramente con mantequilla. Coloca una capa de pepino en rodajas finas sobre cada rebanada. Vierte la mezcla de huevo sobre la capa de pepino y extiéndela uniformemente. Espolvorea un poco de sal y pimienta y cierra el sándwich con las rebanadas de pan restantes. Corta el sándwich por la mitad, ya sea horizontal o diagonalmente, y sirve. Sirve el sándwich de centeno con pepino y huevos para desayunar junto con jugo de melón (kharbuj). También puedes llevarlo en la lonchera escolar de tus hijos.</t>
  </si>
  <si>
    <t>Pour commencer à préparer le sandwich de petit-déjeuner au seigle, concombre et œufs, préparez d'abord la garniture. Dans un petit bol, ajoutez les œufs émiettés et le fromage frais. Remuez bien pour mélanger. Pour faire le sandwich, prenez deux tranches de pain et beurrez-les légèrement. Déposez une couche de concombre finement tranché sur chaque tranche. Déposez le mélange d'œufs sur la couche de concombre et répartissez-le uniformément. Saupoudrez de sel et de poivre et refermez le sandwich avec les tranches de pain restantes. Coupez le sandwich en deux, horizontalement ou en diagonale, et servez. Servez le sandwich de petit-déjeuner au seigle, concombre et œufs au petit-déjeuner, accompagné de jus de melon (Kharbuj). Vous pouvez également le mettre dans la boîte à lunch de vos enfants.</t>
  </si>
  <si>
    <t>http://www.archanaskitchen.com/rye-breakfast-sandwich-with-cucumber-and-eggs-recipe</t>
  </si>
  <si>
    <t>No Bake Eggless Dark Chocolate Fudge Recipe With Nuts</t>
  </si>
  <si>
    <t>Rezept für dunkles Schokoladen-Fudge ohne Backen und ohne Eier mit Nüssen</t>
  </si>
  <si>
    <t>Recette de fudge au chocolat noir sans cuisson et sans œufs aux noix</t>
  </si>
  <si>
    <t>Receta de dulce de chocolate negro con nueces, sin horno ni huevo</t>
  </si>
  <si>
    <t>1-1/2 tasse de chocolat noir - composé, 3/4 tasse de lait concentré, 1/4 tasse de beurre, 1/4 tasse de cacao en poudre, sel - une pincée, 1/2 tasse de noix mélangées</t>
  </si>
  <si>
    <t>1-1/2 cup Dark chocolate - compound,3/4 cup Condensed Milk,1/4 cup Butter,1/4 cup Cocoa Powder,Salt - a pinch,1/2 cup Mixed nuts</t>
  </si>
  <si>
    <t>1-1/2 taza de chocolate negro - compuesto, 3/4 taza de leche condensada, 1/4 taza de mantequilla, 1/4 taza de cacao en polvo, sal - una pizca, 1/2 taza de nueces mixtas</t>
  </si>
  <si>
    <t xml:space="preserve">To begin making the Eggless Dark Chocolate Fudge Recipe With Nuts, grease and dusk a square cake pan with butter and flour or line it with parchment paper. In a heavy bottomed pan over medium heat add all the ingredients, keep half the nuts aside. Stir well over medium heat until you notice the mixture leaves the sides of the pan.Once the mixture leaves it sides pour the mixture into the greased pan and spread it evenly. Sprinkle and press the remaining nuts into the Eggless Dark Chocolate Fudge.  Once done, refrigerate the fudge for a couple of hours until set.Once the Eggless Dark Chocolate Fudge is set well, cut into squares and serve. Serve the No Bake Eggless Dark Chocolate Fudge With Nuts as it is or along with an dessert for parties.
</t>
  </si>
  <si>
    <t>Para empezar a preparar la receta de fudge de chocolate negro sin huevo con nueces, engrasa y cubre con mantequilla y harina un molde cuadrado para pastel o cúbrelo con papel pergamino. En un molde de fondo grueso a fuego medio, agrega todos los ingredientes y reserva la mitad de las nueces. Revuelve bien a fuego medio hasta que notes que la mezcla se despega de los lados del molde. Una vez que la mezcla se despega de los lados, viértela en el molde engrasado y extiéndela uniformemente. Espolvorea y presiona las nueces restantes en el fudge de chocolate negro sin huevo. Una vez listo, refrigera el fudge durante un par de horas hasta que cuaje. Una vez que el fudge de chocolate negro sin huevo esté bien cuajado, córtalo en cuadrados y sirve. Sirve el fudge de chocolate negro sin huevo sin horno con nueces solo o junto con un postre para fiestas.</t>
  </si>
  <si>
    <t>Pour commencer à préparer la recette de fudge au chocolat noir sans œufs et aux noix, graissez et badigeonnez un moule à gâteau carré de beurre et de farine ou recouvrez-le de papier sulfurisé. Dans une poêle à fond épais, faites chauffer à feu moyen tous les ingrédients, en gardant la moitié des noix de côté. Remuez bien à feu moyen jusqu'à ce que le mélange se détache des parois du moule. Une fois que le mélange se détache des parois, versez-le dans le moule graissé et étalez-le uniformément. Saupoudrez et pressez les noix restantes dans le fudge au chocolat noir sans œufs. Une fois terminé, réfrigérez le fudge pendant quelques heures jusqu'à ce qu'il prenne. Une fois le fudge au chocolat noir sans œufs bien pris, coupez-le en carrés et servez. Servez le fudge au chocolat noir sans œufs et aux noix sans cuisson tel quel ou avec un dessert pour les fêtes.</t>
  </si>
  <si>
    <t>http://www.archanaskitchen.com/no-bake-eggless-dark-chocolate-fudge-recipe-with-nuts</t>
  </si>
  <si>
    <t>Spinach And Soya Sub Sandwich Recipe</t>
  </si>
  <si>
    <t>Rezept für ein Spinat-Soja-Sub-Sandwich</t>
  </si>
  <si>
    <t>Recette de sandwich aux épinards et au soja</t>
  </si>
  <si>
    <t>Receta de sándwich de espinacas y soja</t>
  </si>
  <si>
    <t>4 gousses d'ail hachées, 3 tasses d'épinards hachés, 2 tasses de morceaux de soja trempés dans de l'eau tiède, 2 cuillères à soupe de beurre, 1/2 tasse de feta émiettée, 2/3 tasse de parmesan râpé, 1/2 tasse de chapelure de blé entier, 1/2 cuillère à café d'origan séché, 2 œufs entiers battus, 4 petits pains français, 1 tasse de sauce tomate rôtie, 4 tranches de mozzarella, huile d'olive extra vierge pour graisser, sel et poivre au goût</t>
  </si>
  <si>
    <t>4 cloves Garlic - minced,3 cups Spinach - chopped,2 cups Soy Chunks (Nuggets) - soaked in warm water,2 tablespoon Butter,1/2 cup Feta Cheese - crumbled,2/3 cup Parmesan cheese - grated,1/2 cup Whole Wheat Bread crumbs,1/2 teaspoon Dried oregano,2 Whole Egg - beaten,4 French bread - rolls,1 cup Roasted tomato pasta sauce,4 Mozzarella cheese - slices,Extra Virgin Olive Oil - for greasing,Salt and Pepper - to taste</t>
  </si>
  <si>
    <t>4 dientes de ajo picados, 3 tazas de espinacas picadas, 2 tazas de trozos de soja (nuggets) remojados en agua tibia, 2 cucharadas de mantequilla, 1/2 taza de queso feta desmenuzado, 2/3 taza de queso parmesano rallado, 1/2 taza de pan rallado integral, 1/2 cucharadita de orégano seco, 2 huevos enteros batidos, 4 panecillos franceses, 1 taza de salsa de tomate asado para pasta, 4 rebanadas de queso mozzarella, aceite de oliva virgen extra para engrasar, sal y pimienta al gusto</t>
  </si>
  <si>
    <t xml:space="preserve">To begin making the Spinach And Soya Sub Sandwich Recipe, first preheat your oven to 200 degrees Celsius.Line a baking sheet with foil and grease it with some oil and set aside till later use.Drain the excess water from the soy chunks and add the chunks and the spinach to a food processor. Pulse couple of times or until they are crumbled. Set this aside for later use too.In a mixing bowl add garlic, butter, parmesan cheese, feta cheese, bread crumbs, oregano with required salt and pepper. Mix well using your hands and crumble the cheese. Add spinach and soya chunks mixture and combine so everything is mixed well.Add the beaten egg and mix with a fork to combine.Roll the spinach soy mixture into about 20 small balls and arrange on the baking sheet.Place the sheet into the oven to bake the soya-balls for about 20 minutes, until fully cooked. Remove from the oven and keep them aside.You can also alternatively use a Kuzhi Paniyaram pan and cook the spinach and soy balls in the pan until cooked through and browned. You will have to add a little oil in the cavities of the pan and cook the soy meatballs.Next, slice the French bread rolls down the centre and open them, butter them and place them on the baking sheet. Arrange 3 spinach balls on each roll half. Top the sub sandwiches with the tomato sauce and 2 slices of mozzarella per sandwich.Place the other top cover of the bread, alongside with the other bread that has topping, so it gets grilled along with the other bread.Place the sheet into the oven and bake at 180 C for about 10 minutes until the cheese melts and the bread looks grilled and crisp.Remove from oven and close the sandwich with the top cover of the bread. Serve Spinach And Soya Sub Sandwich along with Zucchini Salad With Thai Hot Chili Dressing for a weeknight dinner.
</t>
  </si>
  <si>
    <t>Para preparar la receta del sándwich de espinacas y soja, precalienta el horno a 200 °C. Cubre una bandeja para hornear con papel aluminio, engrásala con un poco de aceite y reserva para usarla más adelante. Escurre el exceso de agua de los trozos de soja y añade los trozos junto con las espinacas a un procesador de alimentos. Procesa un par de veces o hasta que se desmenucen. Reserva también para usar más adelante. En un bol, añade el ajo, la mantequilla, el queso parmesano, el queso feta, el pan rallado, el orégano y la sal y pimienta al gusto. Mezcla bien con las manos y desmenuza el queso. Añade la mezcla de espinacas y trozos de soja y mezcla bien. Añade el huevo batido y mezcla con un tenedor. Forma unas 20 bolitas con la mezcla de espinacas y soja y colócalas en la bandeja. Hornea las bolitas de soja durante unos 20 minutos, hasta que estén bien cocidas. Sácalos del horno y déjalos a un lado. También puedes usar una sartén Kuzhi Paniyaram y cocinar las bolas de espinacas y soja en la sartén hasta que estén cocidas y doradas. Tendrás que agregar un poco de aceite en las cavidades de la sartén y cocinar las albóndigas de soja. Luego, corta los panecillos franceses por la mitad y ábrelos, úntalos con mantequilla y colócalos en la bandeja para hornear. Coloca 3 bolas de espinacas en cada mitad del pan. Cubre los sándwiches con la salsa de tomate y 2 rebanadas de mozzarella por sándwich. Coloca la otra tapa superior del pan, junto con el otro pan que tiene aderezo, para que se ase junto con el otro pan. Coloca la bandeja en el horno y hornea a 180 C durante unos 10 minutos hasta que el queso se derrita y el pan se vea asado y crujiente. Retira del horno y cierra el sándwich con la tapa superior del pan. Sirva un sándwich de espinacas y soja junto con una ensalada de calabacín con aderezo picante de chile tailandés para una cena entre semana.</t>
  </si>
  <si>
    <t>Pour préparer le sandwich aux épinards et au soja, préchauffez votre four à 200 °C. Recouvrez une plaque de cuisson de papier aluminium, graissez-la d'un peu d'huile et réservez. Égouttez l'excédent d'eau des morceaux de soja et mettez-les dans un robot culinaire. Mixez quelques pulsations ou jusqu'à ce qu'ils soient émiettés. Réservez également. Dans un saladier, ajoutez l'ail, le beurre, le parmesan, la feta, la chapelure, l'origan, le sel et le poivre nécessaires. Mélangez bien à la main et émiettez le fromage. Ajoutez le mélange épinards-soja et mélangez bien. Ajoutez l'œuf battu et mélangez à la fourchette. Façonnez une vingtaine de boules avec le mélange épinards-soja et disposez-les sur la plaque. Enfournez les boules de soja pendant environ 20 minutes, jusqu'à ce qu'elles soient bien cuites. Retirez-les du four et réservez-les. Vous pouvez également utiliser une poêle Kuzhi Paniyaram et y faire cuire les boulettes d'épinards et de soja jusqu'à ce qu'elles soient bien cuites et dorées. Ajoutez un peu d'huile dans les cavités de la poêle et faites cuire les boulettes de soja. Ensuite, coupez les petits pains français en deux, ouvrez-les, beurrez-les et placez-les sur la plaque de cuisson. Disposez 3 boulettes d'épinards sur chaque moitié de pain. Garnissez les sandwichs de sauce tomate et de 2 tranches de mozzarella par sandwich. Placez l'autre partie supérieure du pain, à côté de l'autre pain garni, afin qu'il soit grillé en même temps que l'autre pain. Placez la plaque au four et faites cuire à 180 °C pendant environ 10 minutes, jusqu'à ce que le fromage fonde et que le pain soit grillé et croustillant. Retirez du four et refermez le sandwich avec la partie supérieure du pain. Servez le sandwich aux épinards et au soja accompagné d'une salade de courgettes à la sauce chili thaï pour un dîner de semaine.</t>
  </si>
  <si>
    <t>http://www.archanaskitchen.com/spinach-and-soya-meatball-sub-sandwich-recipe</t>
  </si>
  <si>
    <t>Greek Yogurt Chocolate Mousse Recipe</t>
  </si>
  <si>
    <t>Rezept für griechisches Joghurt-Schokoladenmousse</t>
  </si>
  <si>
    <t>Recette de mousse au chocolat au yaourt grec</t>
  </si>
  <si>
    <t>Receta de mousse de chocolate con yogur griego</t>
  </si>
  <si>
    <t>2 tasses de Hung Curd (yaourt grec), 1/4 tasse de sucre en poudre, 1 cuillère à café d'extrait de vanille, 50 grammes de chocolat noir râpé pour garnir, 1 brin de feuilles de menthe (Pudina) pour garnir, 200 grammes de chocolat noir, 50 grammes de crème fraîche</t>
  </si>
  <si>
    <t>2 cups Hung Curd (Greek Yogurt),1/4 cup Sugar - powdered,1 teaspoon Vanilla Extract,50 grams Dark chocolate - grated to garnish,1 sprig Mint Leaves (Pudina) - to garnish,200 grams Dark chocolate,50 grams Fresh cream</t>
  </si>
  <si>
    <t>2 tazas de cuajada colgada (yogur griego), 1/4 taza de azúcar en polvo, 1 cucharadita de extracto de vainilla, 50 gramos de chocolate negro rallado para decorar, 1 ramita de hojas de menta (pudina) para decorar, 200 gramos de chocolate negro, 50 gramos de crema fresca</t>
  </si>
  <si>
    <t xml:space="preserve">To begin making the Greek Yogurt Chocolate Mousse Recipe, in a mixing bowl, combine the Greek yogurt and powdered sugar, vanilla extract and whisk until smooth.  Allow it to chill in the refrigerator. To make the ganacheHeat a sauce pan half filled with water and allow it to come to a brisk boil. Cut the dark chocolate into small chunks and place them in a mixing bowl. Add the cream into the chocolate. Place the mixing bowl over the sauce pan to melt the chocolate.Stir well until all the chocolate melts and gets well combined to a smooth mixture. This process of melting the chocolate is the double boiler method - it helps temper the chocolate on a medium heat.Mix the ganache vigorously, ensuring there are no lumps left. You should have a smooth velvety ganache. Now allow this ganache to cool down to room temperature. Once the chocolate ganache has dropped to room temperature, gradually fold this into the chilled vanilla flavored Greek yogurt. Make sure it is evenly mixed, with no streaks of the Greek yogurt or ganache visible. Pipe this Greek Yogurt Chocolate Mousse into dessert glasses of your choice, be it shot glasses or martini glasses or even a deep serving dish. Refrigerate the Greek Yogurt Chocolate Mousse for at least 3 to 4 hours and set it well. Garnish with grated chocolate and some mint leaves and serve Greek Yogurt Chocolate Mousse Recipe chilled.Serve this Greek Yogurt Chocolate Mousse Recipe after a meal of Pizza Margherita Recipe, Homemade Tagliatelle Pasta with Capers and Bell peppers Recipe and Ice Tea Sangria Recipe.  
</t>
  </si>
  <si>
    <t>Para comenzar a hacer la Receta de Mousse de Chocolate con Yogur Griego, en un tazón, combine el yogur griego y el azúcar en polvo, el extracto de vainilla y bata hasta que esté suave. Deje que se enfríe en el refrigerador. Para hacer el ganache Caliente una cacerola llena hasta la mitad con agua y deje que hierva a fuego rápido. Corte el chocolate negro en trozos pequeños y colóquelos en un tazón. Agregue la crema al chocolate. Coloque el tazón sobre la cacerola para derretir el chocolate. Revuelva bien hasta que todo el chocolate se derrita y se combine bien hasta formar una mezcla suave. Este proceso de derretir el chocolate es el método de baño maría: ayuda a templar el chocolate a fuego medio. Mezcle el ganache vigorosamente, asegurándose de que no queden grumos. Debería tener un ganache suave y aterciopelado. Ahora deje que este ganache se enfríe a temperatura ambiente. Una vez que el ganache de chocolate haya bajado a temperatura ambiente, incorpórelo gradualmente al yogur griego con sabor a vainilla frío. Asegúrate de que esté bien mezclado, sin vetas visibles de yogur griego o ganache. Sirve este mousse de chocolate con yogur griego en las copas de postre de tu elección, ya sean vasos de chupito o de martini, o incluso una fuente honda. Refrigera el mousse de chocolate con yogur griego durante al menos 3 o 4 horas y deja que cuaje bien. Decora con chocolate rallado y unas hojas de menta y sirve el mousse de chocolate con yogur griego frío. Sirve este mousse de chocolate con yogur griego después de una comida como la pizza margarita, la pasta tagliatelle casera con alcaparras y pimientos y la sangría de té helado.</t>
  </si>
  <si>
    <t>Pour commencer à préparer la recette de mousse au chocolat et au yaourt grec, dans un saladier, mélanger le yaourt grec, le sucre glace et l'extrait de vanille, puis fouetter jusqu'à obtenir une consistance lisse. Laisser refroidir au réfrigérateur. Pour préparer la ganache, faire chauffer une casserole à moitié remplie d'eau et porter à ébullition. Couper le chocolat noir en petits morceaux et les placer dans un saladier. Ajouter la crème au chocolat. Placer le saladier au-dessus de la casserole pour faire fondre le chocolat. Bien mélanger jusqu'à ce que tout le chocolat soit fondu et bien mélangé jusqu'à obtenir un mélange lisse. Ce procédé de fonte du chocolat est la méthode du bain-marie : il permet de tempérer le chocolat à feu moyen. Mélanger vigoureusement la ganache en s'assurant qu'il ne reste plus de grumeaux. Vous devriez obtenir une ganache lisse et veloutée. Laisser maintenant refroidir cette ganache à température ambiante. Une fois que la ganache au chocolat est revenue à température ambiante, l'incorporer progressivement au yaourt grec à la vanille refroidi. Assurez-vous que le mélange soit homogène, sans traces de yaourt grec ni de ganache visibles. Déposez cette mousse au chocolat au yaourt grec dans des verres à dessert de votre choix, que ce soit des verres à liqueur, des verres à martini ou même un plat de service profond. Réfrigérez la mousse au chocolat au yaourt grec pendant au moins 3 à 4 heures et laissez-la bien prendre. Garnissez de chocolat râpé et de quelques feuilles de menthe et servez bien fraîche. Servez cette mousse au chocolat au yaourt grec après un repas composé de pizza Margherita, de tagliatelles maison aux câpres et aux poivrons et de sangria au thé glacé.</t>
  </si>
  <si>
    <t>https://www.archanaskitchen.com/greek-yogurt-chocolate-mousse-recipe</t>
  </si>
  <si>
    <t>Eggless Boston Cream Cupcake Recipe - Vegan Option</t>
  </si>
  <si>
    <t>Rezept für Boston Cream Cupcakes ohne Ei – Vegane Option</t>
  </si>
  <si>
    <t>Recette de cupcakes Boston Cream sans œufs – Option végétalienne</t>
  </si>
  <si>
    <t>Receta de cupcakes Boston Cream sin huevo (opción vegana)</t>
  </si>
  <si>
    <t>100 grammes de farine tout usage (Maida) - ou de farine sans gluten, 1 banane mûre, 1/2 cuillère à café de levure chimique, 1/4 cuillère à café de bicarbonate de soude, 50 grammes de sucre, 1 pincée de sel, 100 grammes de chocolat noir - composé, 25 grammes de beurre, 2 cuillères à soupe d'huile de tournesol, 20 ml de lait de coco - ou de lait, Badam (amande) - peu grillées et grossièrement moulues, 2 cuillères à soupe de poudre à crème anglaise, 1 cuillère à soupe de sucre, 80 ml de lait de coco - ou de lait</t>
  </si>
  <si>
    <t>100 grams All Purpose Flour (Maida) - or gluten free flour,1 Ripe Bananas,1/2 teaspoon Baking powder,1/4 teaspoon Baking soda,50 grams Sugar,1 pinch Salt,100 gram Dark chocolate - compound,25 gram Butter,2 tablespoon Sunflower Oil,20 ml Coconut milk - or milk,Badam (Almond) - few roast &amp; coarsely ground,2 tablespoon Custard powder,1 tablespoon Sugar,80 ml Coconut milk - or milk</t>
  </si>
  <si>
    <t>100 gramos de harina para todo uso (Maida) - o harina sin gluten, 1 plátano maduro, 1/2 cucharadita de polvo para hornear, 1/4 cucharadita de bicarbonato de sodio, 50 gramos de azúcar, 1 pizca de sal, 100 gramos de chocolate negro - compuesto, 25 gramos de mantequilla, 2 cucharadas de aceite de girasol, 20 ml de leche de coco - o leche, Badam (almendra) - un poco tostada y molida gruesa, 2 cucharadas de polvo para natillas, 1 cucharada de azúcar, 80 ml de leche de coco - o leche</t>
  </si>
  <si>
    <t xml:space="preserve">To prepare baking Eggless Boston Cream Cupcake, start by making a dry mix by sieving the flour, baking powder, soda and salt, to make sure all ingredients are mixed well.Cream together butter, sugar, oil and milk (20ml). To make it vegan, add coconut milk instead of milk.Add the wet mixture of cream to the flour and other mixed dry ingredients. Pour little by little and slowly fold till you have a lump-free mix.Pour the batter into Cupcake molds and bake in a Oven at 170 degrees Celsius for 8 minutes.Let the cupcakes cool completely on a wire rack before filling the custard and glazing.Now for the custard, just mix in the custard powder and milk and bring to a boil. Let it cool completely.Meanwhile, in a double boiler, add dark chocolate compound with about a teaspoon of oil and a pinch of salt till the chocolate looks perfectly melted. Make sure no water from the double boiler goes to the chocolate.Once the cupcakes have cooled, slice them into half or you can also core them and fill with the custard with the help of a piping bag.Let the custard stuffed cupcakes rest in the refrigerator for at least 30 minutes before proceeding to the next step.After half hour or more, glaze the cupcakes by dripping the chocolate we prepared and sprinkle some almonds, coarsely ground, and there the perfect Eggless Boston Cream Cupcake Recipe (With Vegan Option) is ready.Serve Eggless Boston Cream Cupcake Recipe (With Vegan Option) with Healthy Vegetable Fries Recipe or over a coffee mocha for an interesting evening.
</t>
  </si>
  <si>
    <t>Para preparar el horneado Boston Cream Cupcake sin huevo, comience haciendo una mezcla seca tamizando la harina, el polvo para hornear, el bicarbonato de sodio y la sal, para asegurarse de que todos los ingredientes estén bien mezclados. Bata la mantequilla, el azúcar, el aceite y la leche (20 ml). Para hacerlo vegano, agregue leche de coco en lugar de leche. Agregue la mezcla húmeda de crema a la harina y otros ingredientes secos mezclados. Vierta poco a poco y mezcle lentamente hasta obtener una mezcla sin grumos. Vierta la masa en moldes para cupcakes y hornee en un horno a 170 grados Celsius durante 8 minutos. Deje que los cupcakes se enfríen completamente sobre una rejilla de alambre antes de rellenar la crema pastelera y el glaseado. Ahora para la crema pastelera, simplemente mezcle el polvo de crema pastelera y la leche y llévelo a ebullición. Deje que se enfríe completamente. Mientras tanto, en un baño maría, agregue la masa de chocolate negro con aproximadamente una cucharadita de aceite y una pizca de sal hasta que el chocolate se vea perfectamente derretido. Asegúrate de que el agua del baño maría no llegue al chocolate. Una vez que los cupcakes se hayan enfriado, córtalos por la mitad o también puedes quitarles el corazón y rellenarlos con la crema pastelera con la ayuda de una manga pastelera. Deja reposar los cupcakes rellenos de crema pastelera en el refrigerador durante al menos 30 minutos antes de continuar con el siguiente paso. Después de media hora o más, glasea los cupcakes goteando el chocolate que preparamos y espolvorea algunas almendras molidas gruesas. ¡Listo, la receta perfecta de cupcakes Boston Cream sin huevo (con opción vegana) está lista! Sirve la receta de cupcakes Boston Cream sin huevo (con opción vegana) con una receta de papas fritas de verduras saludables o con un café moca para una velada interesante.</t>
  </si>
  <si>
    <t>Pour préparer des cupcakes Boston Cream sans œufs, commencez par préparer une préparation sèche en tamisant la farine, la levure chimique, le bicarbonate de soude et le sel afin de bien mélanger tous les ingrédients. Battez le beurre, le sucre, l'huile et le lait (20 ml). Pour une version vegan, remplacez le lait par du lait de coco. Ajoutez le mélange liquide de crème à la farine et aux autres ingrédients secs. Versez la préparation petit à petit et incorporez délicatement jusqu'à obtenir une pâte homogène. Versez la pâte dans des moules à cupcakes et enfournez au four à 170 °C pendant 8 minutes. Laissez refroidir complètement les cupcakes sur une grille avant de garnir de crème anglaise et de les glacer. Pour la crème anglaise, incorporez simplement la poudre à crème anglaise et le lait, puis portez à ébullition. Laissez refroidir complètement. Pendant ce temps, au bain-marie, ajoutez le chocolat noir avec environ une cuillère à café d'huile et une pincée de sel jusqu'à ce que le chocolat soit parfaitement fondu. Assurez-vous qu'aucune eau du bain-marie ne pénètre dans le chocolat. Une fois les cupcakes refroidis, coupez-les en deux ou vous pouvez également les évider et les remplir de crème anglaise à l'aide d'une poche à douille. Laissez reposer les cupcakes fourrés à la crème anglaise au réfrigérateur pendant au moins 30 minutes avant de passer à l'étape suivante. Après une demi-heure ou plus, glacez les cupcakes en faisant couler le chocolat que nous avons préparé et saupoudrez d'amandes grossièrement moulues, et voilà la recette parfaite de cupcakes à la crème Boston sans œufs (avec option végétalienne) est prête. Servez la recette de cupcakes à la crème Boston sans œufs (avec option végétalienne) avec une recette de frites de légumes saines ou sur un café moka pour une soirée intéressante.</t>
  </si>
  <si>
    <t>https://www.archanaskitchen.com/eggless-boston-cream-cupcake-recipe-with-vegan-option</t>
  </si>
  <si>
    <t>S'mores Cake Recipe</t>
  </si>
  <si>
    <t>Rezept für S'mores-Kuchen</t>
  </si>
  <si>
    <t>Recette de gâteau S'mores</t>
  </si>
  <si>
    <t>Receta de pastel S'mores</t>
  </si>
  <si>
    <t>30 grammes de farine tout usage (Maida), 80 grammes de farine de blé entier, 50 grammes de beurre (non salé), 50 grammes de cassonade (sucre Demerara), 1 cuillère à soupe de miel, 1/2 cuillère à soupe de mélasse, 1/2 cuillère à café de levure chimique, 120 grammes de farine tout usage (Maida), 100 grammes de beurre (non salé), 100 grammes de cassonade (sucre Demerara), 100 grammes de chapelure de biscuits Graham, 90 ml de lait, 2 œufs entiers, 1 cuillère à café de levure chimique, 150 grammes de chocolat noir haché, 110 grammes de crème fouettée épaisse, 1 blanc d'œuf, 1 cuillère à café de jus de citron, 100 grammes de sucre en poudre, 30 ml d'eau</t>
  </si>
  <si>
    <t>30 grams All Purpose Flour (Maida),80 grams Whole Wheat Flour,50 grams Butter (unsalted),50 grams Brown Sugar (Demerara Sugar),1 tablespoon Honey,1/2 tablespoon Molasses,1/2 teaspoon Baking powder,120 grams All Purpose Flour (Maida),100 grams Butter (unsalted),100 grams Brown Sugar (Demerara Sugar),100 grams Graham cracker crumbs,90 ml Milk,2 Whole Eggs,1 teaspoon Baking powder,150 grams Dark chocolate - chopped,110 grams Heavy whipping cream,1 Egg white,1 teaspoon Lemon juice,100 grams Caster Sugar,30 ml Water</t>
  </si>
  <si>
    <t>30 gramos de harina para todo uso (Maida), 80 gramos de harina integral, 50 gramos de mantequilla (sin sal), 50 gramos de azúcar moreno (azúcar Demerara), 1 cucharada de miel, 1/2 cucharada de melaza, 1/2 cucharadita de polvo para hornear, 120 gramos de harina para todo uso (Maida), 100 gramos de mantequilla (sin sal), 100 gramos de azúcar moreno (azúcar Demerara), 100 gramos de migas de galleta Graham, 90 ml de leche, 2 huevos enteros, 1 cucharadita de polvo para hornear, 150 gramos de chocolate negro picado, 110 gramos de crema batida espesa, 1 clara de huevo, 1 cucharadita de jugo de limón, 100 gramos de azúcar extrafino, 30 ml de agua</t>
  </si>
  <si>
    <t xml:space="preserve">To begin making S'mores Cake Recipe, prep up all the ingredients first.*For Graham Crackers:This is adapted from The Bakefeed Winter 2017 Issue. You can use the store bought ones as well. In a large bowl, beat butter, brown sugar, honey and molasses till combined well.In a another mixing bowl, add baking powder, whole wheat flour and all purpose flour and mix well. You can sieve these dry ingredients as well, so that there are no lumps and the mixture is uniform.Add the dry ingredients gradually into the bowl of the butter- sugar mixture. Once all the ingredients are incorporated and thoroughly mixed and forms a tight dough.Roll out the dough by dusting onto a parchment sheet to about 1/4 - 1/2 inch thickness and let it chill in the refrigerator for 30 minutes. Preheat the oven to 180 degrees celsius.Cut the dough into small squares of 1.5 - 2 inches (This will make it baking evenly).Bake for about 10-12 minutes. Once baked, let it cool on a cooling rack, you can crack the cookies on the cuts made before baking, so they form small squares.For Graham Cracker Cake:Blitz the graham crackers in a blender until it is into fine crumbs.In a large bowl, beat the cream and butter until light and fluffy.Add and beat one egg at a time with a hand whisk.Add milk to the mixture. Sift the flour, graham cracker crumb and baking powder into the wet ingredients.Mix thoroughly until completely incorporated.Preheat the oven to 180 degrees celsius. Grease and line the cake tins with parchment paper.Divide the batter equally into 3 baking tins. I have used 3 inch cake tins. Bake for 30-35 minutes or until done. This time depends on your oven, cake dish used and the amount. So, using a wooden skewer, check to see if completely baked.Once baked, the wooden skewer inserted in the middle with come out clean. Let it cool on a cooling rack.For Marshmallow Fluff:To make the marshmallow fluff, clean the bowls using vinegar or lemon juice. This will help remove all the bits of grease that might be on the surface of the bowl.Add One egg white, lemon juice / cream of tartar in the bowl, start beating it in a stand mixer or using a hand mixer.Whisk the eggs until soft peaks are formed.In a another bowl, add sugar and water. Place this bowl on a pan with simmering water, let it cook until the sugar is completely dissolved.Add this sugar syrup a little at a time in the egg white fluff.Continue whisking until stiff peaks are formed. Keep aside.For Dark Chocolate Ganache:Chop the dark chocolate into small pieces, add this pieces in a bowl. Heat the cream and add the cream into the bowl with chocolate chunks. Let it rest for 5-10 minutes.Using a spatula/whisk, mix the cream into the melted chocolate. Let it chill in the refrigerator for 30 minutes or longer depending on the consistency needed for frosting.Assembling the cake:Trim the tops of the cake to make them flat and uniform in size.On a cake board, place a small dollop of ganache.Place the bottom layer of cake on the cake board, add a layer of dark chocolate ganache frosting on top of the cake layer.Place the second layer of cake on the frosting, repeat for all layers.Using the dark chocolate ganache do the crumb coat on the cake.Let it chill for 15-30 minutes, until the ganache is set slightly on the cake.Frost the cake. Pipe the marshmallow fluff on the side of the cake as well as on the top of the cake.Using a kitchen torch, torch the marshmallow fluff to give it a toasty look and taste.Garnish the cake with some graham cracker crumbs.Serve S'mores Cake Recipe as a party dessert after a meal of Grilled Vegetarian Moussaka Recipe With Soy Granules or Healthy Black Bean Stuffed Burrito Recipe With Amaranth And Quinoa.
</t>
  </si>
  <si>
    <t>Para comenzar a hacer la receta del pastel S'mores, prepare primero todos los ingredientes. *Para galletas Graham: esto es una adaptación de la edición de invierno de The Bakefeed de 2017. También puede usar las compradas en la tienda. En un tazón grande, bata la mantequilla, el azúcar morena, la miel y la melaza hasta que se combinen bien. En otro tazón, agregue el polvo de hornear, la harina integral y la harina para todo uso y mezcle bien. También puede tamizar estos ingredientes secos, para que no queden grumos y la mezcla quede uniforme. Agregue los ingredientes secos gradualmente al tazón de la mezcla de mantequilla y azúcar. Una vez que todos los ingredientes estén incorporados y completamente mezclados y formen una masa compacta, extienda la masa espolvoreándola sobre una hoja de pergamino hasta aproximadamente 1/4 - 1/2 pulgada de grosor y déjela enfriar en el refrigerador durante 30 minutos. Precalienta el horno a 180 grados centígrados. Corta la masa en cuadritos de 3,8 a 5 cm (esto hará que se hornee uniformemente). Hornea durante unos 10-12 minutos. Una vez horneada, déjala enfriar sobre una rejilla; puedes partir las galletas en los cortes que hiciste antes de hornear, para que formen cuadritos. Para el pastel de galletas Graham: Tritura las galletas Graham en una licuadora hasta obtener migas finas. En un tazón grande, bate la crema y la mantequilla hasta que esté ligera y esponjosa. Agrega y bate un huevo a la vez con un batidor de mano. Agrega la leche a la mezcla. Tamiza la harina, las migas de galletas Graham y el polvo para hornear con los ingredientes húmedos. Mezcla bien hasta que esté completamente incorporado. Precalienta el horno a 180 grados centígrados. Engrasa y forra los moldes para pastel con papel pergamino. Divide la masa en partes iguales en 3 moldes para hornear. He usado moldes para pastel de 7,6 cm. Hornea durante 30-35 minutos o hasta que esté listo. Este tiempo depende de tu horno, el molde para pastel usado y la cantidad. Por lo tanto, con un palillo de madera, comprueba si está completamente horneado. Una vez horneado, el palillo de madera insertado en el centro saldrá limpio. Deja enfriar sobre una rejilla. Para el malvavisco esponjoso: Para hacer el malvavisco esponjoso, limpia los tazones con vinagre o jugo de limón. Esto ayudará a eliminar cualquier resto de grasa que pueda haber en la superficie del tazón. Agrega una clara de huevo, jugo de limón / crémor tártaro en el tazón y comienza a batir en una batidora de pedestal o con una batidora de mano. Bate los huevos hasta que se formen picos suaves. En otro tazón, agrega el azúcar y el agua. Coloca este tazón en una olla con agua hirviendo a fuego lento y deja cocinar hasta que el azúcar se disuelva por completo. Agrega este jarabe de azúcar poco a poco a la clara de huevo esponjosa. Continúa batiendo hasta que se formen picos firmes. Reserva. Para el ganache de chocolate negro: Corta el chocolate negro en trozos pequeños y agrégalos a un tazón. Calienta la crema y agrégala al tazón con los trozos de chocolate. Déjalo reposar de 5 a 10 minutos. Con una espátula o batidor, mezcla la crema con el chocolate derretido. Déjalo enfriar en el refrigerador durante 30 minutos o más, según la consistencia deseada para el glaseado. Armado del pastel: Recorta la parte superior del pastel para que quede plana y de tamaño uniforme. Sobre una base para pastel, coloca una pequeña porción de ganache. Coloca la capa inferior del pastel sobre la base y añade una capa de glaseado de ganache de chocolate negro sobre ella. Coloca la segunda capa de pastel sobre el glaseado y repite el proceso con todas las capas. Con el ganache de chocolate negro, cubre el pastel con migas. Déjalo enfriar de 15 a 30 minutos, hasta que el ganache esté ligeramente cuajado. Glasea el pastel. Coloque la crema de malvavisco en los lados y la parte superior del pastel. Con un soplete de cocina, queme la crema de malvavisco para darle un aspecto y sabor tostados. Decore el pastel con algunas migas de galleta graham. Sirva la Receta de Pastel S'mores como postre de fiesta después de una comida de Receta de Mousaca Vegetariana a la Parrilla con Gránulos de Soja o Receta de Burrito Relleno de Frijoles Negros Saludable con Amaranto y Quinoa.</t>
  </si>
  <si>
    <t>Pour commencer à préparer la recette du gâteau S'mores, préparez d'abord tous les ingrédients. *Pour les biscuits Graham : Ceci est adapté du numéro d'hiver 2017 de The Bakefeed. Vous pouvez également utiliser ceux du commerce. Dans un grand bol, battre le beurre, la cassonade, le miel et la mélasse jusqu'à ce que le tout soit bien mélangé. Dans un autre bol, ajouter la levure chimique, la farine de blé entier et la farine tout usage et bien mélanger. Vous pouvez également tamiser ces ingrédients secs, afin qu'il n'y ait pas de grumeaux et que le mélange soit uniforme. Ajoutez les ingrédients secs graduellement dans le bol du mélange beurre-sucre. Une fois que tous les ingrédients sont incorporés et bien mélangés et forment une pâte serrée, étalez la pâte en la saupoudrant sur une feuille de papier sulfurisé à environ 1/4 à 1/2 pouce d'épaisseur et laissez-la refroidir au réfrigérateur pendant 30 minutes. Préchauffer le four à 180 °C. Découper la pâte en petits carrés de 3,8 à 5 cm (cela permettra une cuisson uniforme). Enfourner pendant 10 à 12 minutes. Une fois cuit, laisser refroidir sur une grille. Vous pouvez casser les biscuits sur les entailles faites avant la cuisson pour former de petits carrés. Pour le gâteau aux biscuits Graham : Mixer les biscuits Graham au mixeur jusqu'à obtenir une chapelure fine. Dans un grand saladier, battre la crème et le beurre jusqu'à obtenir une consistance légère et mousseuse. Ajouter et battre un œuf à la fois au fouet. Ajouter le lait au mélange. Tamiser la farine, la chapelure de biscuits Graham et la levure chimique dans les ingrédients humides. Bien mélanger jusqu'à incorporation complète. Préchauffer le four à 180 °C. Graisser et chemiser les moules à gâteaux de papier sulfurisé. Répartir la pâte équitablement dans 3 moules à pâtisserie. J'ai utilisé des moules à gâteaux de 7,6 cm. Enfourner pendant 30 à 35 minutes ou jusqu'à cuisson complète. Le temps de cuisson dépend de votre four, du moule à gâteau utilisé et de la quantité. Vérifiez la cuisson à l'aide d'une brochette en bois. Une fois cuite, la brochette insérée au milieu doit ressortir propre. Laissez refroidir sur une grille. Pour la guimauve : Pour la guimauve, nettoyez les bols avec du vinaigre ou du jus de citron. Cela éliminera les traces de gras. Ajoutez un blanc d'œuf, du jus de citron ou de la crème de tartre dans le bol et commencez à battre au batteur sur socle ou à l'aide d'un batteur électrique. Fouettez les œufs jusqu'à obtenir des pics mous. Dans un autre bol, ajoutez le sucre et l'eau. Placez le bol sur une casserole d'eau frémissante et laissez cuire jusqu'à dissolution complète du sucre. Ajoutez le sirop de sucre petit à petit dans la guimauve. Continuez à fouetter jusqu'à obtenir des pics fermes. Réservez. Pour la ganache au chocolat noir : Coupez le chocolat noir en petits morceaux et ajoutez-les dans un bol. Faites chauffer la crème et ajoutez-la dans le bol avec les morceaux de chocolat. Laissez reposer 5 à 10 minutes. À l'aide d'une spatule ou d'un fouet, mélangez la crème au chocolat fondu. Laissez refroidir au réfrigérateur pendant 30 minutes ou plus selon la consistance souhaitée pour le glaçage. Assemblage du gâteau : Coupez le dessus du gâteau pour le rendre plat et de taille uniforme. Sur un plateau à gâteau, déposez une petite cuillerée de ganache. Placez la couche inférieure de gâteau sur le plateau, puis ajoutez une couche de glaçage à la ganache au chocolat noir. Placez la deuxième couche de gâteau sur le glaçage et répétez l'opération pour toutes les couches. À l'aide de la ganache au chocolat noir, réalisez la chapelure sur le gâteau. Laissez refroidir 15 à 30 minutes, jusqu'à ce que la ganache soit légèrement prise sur le gâteau. Glacez le gâteau. Déposez la guimauve sur le côté du gâteau ainsi que sur le dessus du gâteau. À l'aide d'un chalumeau de cuisine, brûlez la guimauve pour lui donner un aspect et un goût grillés. Garnissez le gâteau de chapelure de biscuits Graham. Servez la recette de gâteau S'mores comme dessert de fête après un repas de recette de moussaka végétarienne grillée aux granulés de soja ou de recette de burrito sain farci aux haricots noirs avec amarante et quinoa.</t>
  </si>
  <si>
    <t>http://www.archanaskitchen.com/s-mores-cake-recipe</t>
  </si>
  <si>
    <t>Eggless Checker Board Cookies Recipe</t>
  </si>
  <si>
    <t>Rezept für Schachbrettkekse ohne Eier</t>
  </si>
  <si>
    <t>Recette de biscuits en damier sans œufs</t>
  </si>
  <si>
    <t>Receta de galletas de tablero de ajedrez sin huevo</t>
  </si>
  <si>
    <t>1-3/4 tasse de farine tout usage (Maida), 3 cuillères à soupe de poudre de cacao, 3/4 tasse de sucre, 1/2 cuillère à café d'extrait de vanille, 1/2 tasse de beurre, 1/4 cuillère à café de sel, 2 cuillères à soupe de lait, eau</t>
  </si>
  <si>
    <t>1-3/4 cup All Purpose Flour (Maida),3 tablespoon Cocoa Powder,3/4 cup Sugar,1/2 teaspoon Vanilla Extract,1/2 cup Butter,1/4 teaspoon Salt,2 tablespoon Milk,Water</t>
  </si>
  <si>
    <t>1-3/4 taza de harina para todo uso (Maida), 3 cucharadas de cacao en polvo, 3/4 taza de azúcar, 1/2 cucharadita de extracto de vainilla, 1/2 taza de mantequilla, 1/4 cucharadita de sal, 2 cucharadas de leche, agua</t>
  </si>
  <si>
    <t xml:space="preserve">To begin making the Eggless Checkerboard Cookies Recipe first, sieve all purpose flour and keep it ready.In another bowl add butter and sugar and give it a good whisk. Now add vanilla essence and salt to the mixture and give it a good mix. To this mixture add the all purpose flour and mix them well. Add a tablespoon of milk and combine them. Divide the dough into 2 equal parts , add cocoa powder in one portion and mix them well till the cocoa is incorporated into the dough add a little milk if the dough is too dry.Roll the white dough into a rectangle shape about 4-inches thick, do the same with the chocolate dough and cut the uneven sides. Brush some water on the rolled white dough and place the rolled chocolate dough and press them gently. Cover the dough with cling wrap and refrigerate for 1/2 hour.Cut strips in equal size and make squares out of them. Take 2 square pieces one white and other brown and stick them by brushing some water on the side. Repeat this for all the squares and make by brushing water so that they stick together. Cover it with cling wrap and refrigerate for about to half an hour to 1 hour. Preheat the oven to 350 F and line parchment paper on a cookie sheet.Slice the cookie about 1/4 inch thick, place them by leaving some gap in betweenBake the cookies at 350 F for 10 - 15 mins till you see some light brown corners.Cool the Checkerboard cookies in cooling rack and serve with a glass of Mango Tofu smoothie for evening snack during tea time.
</t>
  </si>
  <si>
    <t>Para comenzar a hacer la Receta de Galletas de Tablero de Ajedrez sin Huevo primero, tamice la harina para todo uso y téngala lista. En otro tazón, agregue la mantequilla y el azúcar y bátalo bien. Ahora agregue esencia de vainilla y sal a la mezcla y mezcle bien. A esta mezcla agregue la harina para todo uso y mézclelos bien. Agregue una cucharada de leche y combínelos. Divida la masa en 2 partes iguales, agregue cacao en polvo en una porción y mézclelos bien hasta que el cacao se incorpore a la masa, agregue un poco de leche si la masa está demasiado seca. Enrolle la masa blanca en forma de rectángulo de aproximadamente 4 pulgadas de grosor, haga lo mismo con la masa de chocolate y corte los lados desiguales. Cepille un poco de agua sobre la masa blanca enrollada y coloque la masa de chocolate enrollada y presiónelas suavemente. Cubra la masa con film transparente y refrigere durante 1/2 hora. Corte tiras del mismo tamaño y haga cuadrados con ellas. Tome 2 trozos cuadrados, uno blanco y otro marrón, y péguelos untando un poco de agua en el costado. Repita esto para todos los cuadrados y haga pincelando agua para que se adhieran. Cúbralo con film transparente y refrigérelo durante aproximadamente media hora a 1 hora. Precaliente el horno a 350 °F y cubra con papel pergamino una bandeja para hornear galletas. Corte la galleta de aproximadamente 1/4 de pulgada de grosor, colóquelas dejando un poco de espacio entre ellas. Hornee las galletas a 350 °F durante 10 a 15 minutos hasta que vea algunas esquinas de color marrón claro. Enfríe las galletas de tablero de ajedrez en una rejilla para enfriar y sirva con un vaso de batido de mango y tofu como refrigerio por la noche durante la hora del té.</t>
  </si>
  <si>
    <t>Pour commencer à préparer la recette des biscuits en damier sans œufs, tamisez d'abord la farine tout usage et réservez-la. Dans un autre bol, ajoutez le beurre et le sucre et fouettez bien. Ajoutez maintenant l'essence de vanille et le sel au mélange et mélangez bien. À ce mélange, ajoutez la farine tout usage et mélangez bien. Ajoutez une cuillère à soupe de lait et mélangez. Divisez la pâte en 2 parties égales, ajoutez la poudre de cacao dans une portion et mélangez bien jusqu'à ce que le cacao soit incorporé à la pâte, ajoutez un peu de lait si la pâte est trop sèche. Roulez la pâte blanche en forme de rectangle d'environ 4 pouces d'épaisseur, faites de même avec la pâte au chocolat et coupez les côtés irréguliers. Badigeonnez d'eau la pâte blanche roulée et placez la pâte au chocolat roulée et appuyez doucement. Couvrez la pâte d'un film alimentaire et réfrigérez pendant 1/2 heure. Coupez des bandes de taille égale et faites-en des carrés. Prenez 2 morceaux carrés, un blanc et l'autre brun, et collez-les en badigeonnant d'eau sur le côté. Répétez cette opération pour tous les carrés et faites-les coller ensemble en les badigeonnant d'eau. Couvrez-les d'une pellicule plastique et réfrigérez pendant environ une demi-heure à 1 heure. Préchauffez le four à 350 °F et recouvrez une plaque à biscuits de papier sulfurisé. Coupez les biscuits en tranches d'environ 1/4 de pouce d'épaisseur, placez-les en laissant un espace entre eux. Faites cuire les biscuits à 350 °F pendant 10 à 15 minutes jusqu'à ce que vous voyiez des coins brun clair. Laissez refroidir les biscuits en damier sur une grille de refroidissement et servez-les avec un verre de smoothie à la mangue et au tofu pour une collation du soir à l'heure du thé.</t>
  </si>
  <si>
    <t>http://www.archanaskitchen.com/eggless-checker-board-cookies-recipe</t>
  </si>
  <si>
    <t>Lip Smacking Lemonade Cupcake Recipe</t>
  </si>
  <si>
    <t>Leckeres Limonaden-Cupcake-Rezept</t>
  </si>
  <si>
    <t>Délicieuse recette de cupcake à la limonade</t>
  </si>
  <si>
    <t>Deliciosa receta de cupcakes de limonada</t>
  </si>
  <si>
    <t>1 1/2 tasse de farine tout usage (Maida), 3/4 tasse de sucre, 1 tasse de caillé (Dahi / Yaourt), 1/2 tasse de beurre, 1 cuillère à café d'extrait de vanille, 2 cuillères à café de jus de citron, 1 1/4 cuillère à café de levure chimique, 1/2 cuillère à café de bicarbonate de soude, 1 tasse de beurre (non salé) - ramolli, 3/4 tasse de sucre glace, 1 pincée de zeste de citron</t>
  </si>
  <si>
    <t>1 1/2 cup All Purpose Flour (Maida),3/4 cup Sugar,1 cup Curd (Dahi / Yogurt),1/2 cup Butter,1 teaspoon Vanilla Extract,2 teaspoon Lemon juice,1 1/4 teaspoon Baking powder,1/2 teaspoon Baking soda,1 cup Butter (unsalted) - softened,3/4 cup Icing Sugar,1 Pinch Lemon zest</t>
  </si>
  <si>
    <t>1 1/2 taza de harina para todo uso (Maida), 3/4 taza de azúcar, 1 taza de cuajada (Dahi / yogur), 1/2 taza de mantequilla, 1 cucharadita de extracto de vainilla, 2 cucharaditas de jugo de limón, 1 1/4 cucharadita de polvo para hornear, 1/2 cucharadita de bicarbonato de sodio, 1 taza de mantequilla (sin sal) - ablandada, 3/4 taza de azúcar glas, 1 pizca de ralladura de limón</t>
  </si>
  <si>
    <t xml:space="preserve">To begin making the Lemonade Cupcakes recipe, preheat the oven at 180°C.In a large mixing bowl, mix the sugar and the yoghurt well, until the sugar dissolves partially.Add in the butter and vanilla essence and mix well.Once the batter is formed, add in the lemon juice and give a final mix.Scoop the batter into the cupcake tins and bake for 15 to 20 minutes.While the cupcakes are being baked, prepare the buttercream.Beat the softened butter until its light and fluffy.Then add in the icing sugar and lemon zest part by part mixing very well in between each addition.Refrigerate it for half an hour before piping these onto the cooled cupcakes.Once it is done, garnish it with lemon zest and serve. Serve the Lemonade Cupcakes on its own for a birthday party or any special occasion along with Pav Bhaji and Chole Aloo Tikki Chaat.
</t>
  </si>
  <si>
    <t>Para empezar a hacer la receta de Cupcakes de Limonada, precalienta el horno a 180°C. En un tazón grande, mezcla bien el azúcar y el yogur, hasta que el azúcar se disuelva parcialmente. Agrega la mantequilla y la esencia de vainilla y mezcla bien. Una vez formada la masa, agrega el jugo de limón y da una mezcla final. Vierte la masa en los moldes para cupcakes y hornea durante 15 a 20 minutos. Mientras se hornean los cupcakes, prepara la crema de mantequilla. Bate la mantequilla suavizada hasta que esté ligera y esponjosa. Luego, agrega el azúcar glas y la ralladura de limón parte por parte, mezclando muy bien entre cada adición. Refrigera durante media hora antes de colocarlos sobre los cupcakes fríos. Una vez listo, decora con ralladura de limón y sirve. Sirve los Cupcakes de Limonada solos para una fiesta de cumpleaños o cualquier ocasión especial junto con Pav Bhaji y Chole Aloo Tikki Chaat.</t>
  </si>
  <si>
    <t>Pour commencer à préparer la recette des cupcakes à la limonade, préchauffez le four à 180 °C. Dans un grand saladier, mélangez bien le sucre et le yaourt jusqu'à ce que le sucre soit partiellement dissous. Ajoutez le beurre et l'essence de vanille et mélangez bien. Une fois la pâte formée, ajoutez le jus de citron et mélangez une dernière fois. Versez la pâte dans les moules à cupcakes et faites cuire au four pendant 15 à 20 minutes. Pendant la cuisson des cupcakes, préparez la crème au beurre. Battez le beurre ramolli jusqu'à ce qu'il soit léger et mousseux. Ajoutez ensuite le sucre glace et le zeste de citron petit à petit en mélangeant bien entre chaque ajout. Réfrigérez pendant une demi-heure avant de les dresser sur les cupcakes refroidis. Une fois terminé, décorez de zeste de citron et servez. Servez les cupcakes à la limonade seuls pour un anniversaire ou toute autre occasion spéciale, accompagnés de Pav Bhaji et de Chole Aloo Tikki Chaat.</t>
  </si>
  <si>
    <t>https://www.archanaskitchen.com/lip-smacking-lemonade-cupcake-recipe</t>
  </si>
  <si>
    <t>Roasted Garlic No Knead Skillet Bread Recipe With Olives</t>
  </si>
  <si>
    <t>Rezept für geröstetes Knoblauchbrot ohne Kneten mit Oliven</t>
  </si>
  <si>
    <t>Recette de pain à l'ail grillé sans pétrissage aux olives</t>
  </si>
  <si>
    <t>Receta de pan de ajo tostado con aceitunas sin amasar</t>
  </si>
  <si>
    <t>3 tasses de farine tout usage (Maida), 2 cuillères à café de levure sèche active, sel - au goût, 1 cuillère à café de sucre, 2 cuillères à soupe d'huile d'olive extra vierge, 2 cuillères à café d'herbes mélangées (séchées), 1 cuillère à café d'olives noires - finement hachées, 1 cuillère à café d'ail - rôti, 1 1/2 tasses d'eau - tiède, 1 cuillère à café d'herbes mélangées (séchées), 1 cuillère à café d'olives noires - finement hachées, 1 cuillère à café d'ail - rôti, 1 cuillère à café d'huile d'olive extra vierge, 1 cuillère à soupe d'huile d'olive extra vierge</t>
  </si>
  <si>
    <t>3 cups All Purpose Flour (Maida),2 teaspoons Active dry yeast,Salt - to taste,1 teaspoon Sugar,2 tablespoons Extra Virgin Olive Oil,2 teaspoons Mixed Herbs (Dried),1 teaspoon Black olives - finely chopped,1 teaspoon Garlic - roasted,1 1/2 cups Water - luke warm,1 teaspoon Mixed Herbs (Dried),1 teaspoon Black olives - finely chopped,1 teaspoon Garlic - roasted,1 teaspoon Extra Virgin Olive Oil,1 tablespoon Extra Virgin Olive Oil</t>
  </si>
  <si>
    <t>3 tazas de harina para todo uso (Maida), 2 cucharaditas de levadura seca activa, sal - al gusto, 1 cucharadita de azúcar, 2 cucharadas de aceite de oliva virgen extra, 2 cucharaditas de hierbas mixtas (secas), 1 cucharadita de aceitunas negras - finamente picadas, 1 cucharadita de ajo - tostado, 1 1/2 tazas de agua - tibia, 1 cucharadita de hierbas mixtas (secas), 1 cucharadita de aceitunas negras - finamente picadas, 1 cucharadita de ajo - tostado, 1 cucharadita de aceite de oliva virgen extra, 1 cucharada de aceite de oliva virgen extra</t>
  </si>
  <si>
    <t xml:space="preserve">To begin making the Roasted Garlic No Knead Skillet Bread Recipe, we will first make the dough. In a mixing bowl, combine the all purpose flour along with the yeast, salt, sugar, olive oil, mixed dry herbs, black olives, and roasted garlic. Mix well to combine these ingredients and now gradually add lukewarm water to bring the dough together. Use a few drops of olive oil to smoothen out the dough and shape it like a ball resembling a bread boule. We are looking for a soft smooth dough. Like the name suggests, this Roasted Garlic No Knead Skillet Bread Recipe requires absolutely no keading. Grease a cast iron skillet with olive oil, place the neatly shaped dough, sprinkle a few drops of water and evenly brush it over the dough, now for the topping of this Roasted Garlic No Knead Skillet Bread sprinkle the mixed herbs, chopped olives and roasted garlic. Cover this skillet with a deep dish ensuring that there's enough space between the dough and the surface of the dish. Place the skillet in warm place, to allow the dough to prove. Proving the bread dough is essentially the process of the yeast multiplying, resulting in the dough to rise. Leave it aside for a minimum of 45 minutes and check if the dough has doubled in size. If it still hasn't rest it until it doubles in size. Remove from the warm place, put the deep dish aside, grease your fingers with oil and flatten to spread the dough to cover the surface of the entire skillet. Preheat the oven to 180 degree celsius. Sprinkle some sea salt over the Roasted Garlic No Knead Skillet Bread and rest it now in a warm place for 30 minutes.  After 30 minutes, brush the bread with olive oil and place the skillet in the oven and let it bake for about 20 minutes. Next up the heat to 200 degrees and allow the bread to get a nice even brown colour and allow the top to crust. This will take between 8-10 minutes. Remove from the oven and allow the bread to cool down to room temperature. Cut the Roasted Garlic No Knead Skillet Bread into wedges and serve.  Serve Roasted Garlic &amp; Olive No Knead Skillet Bread along with Poached Eggs Recipe With Arugula Fig Walnut Salad, Carrot Amla Pomegranate Juice Recipe for a weekend breakfast.
</t>
  </si>
  <si>
    <t>Para comenzar a hacer la Receta de Pan de Sartén Sin Amasar con Ajo Asado, primero haremos la masa. En un tazón, combine la harina para todo uso junto con la levadura, la sal, el azúcar, el aceite de oliva, las hierbas secas mixtas, las aceitunas negras y el ajo asado. Mezcle bien para combinar estos ingredientes y ahora agregue gradualmente agua tibia para unir la masa. Use unas gotas de aceite de oliva para suavizar la masa y darle forma de bola parecida a una bola de pan. Estamos buscando una masa suave y lisa. Como sugiere el nombre, esta Receta de Pan de Sartén Sin Amasar con Ajo Asado no requiere absolutamente nada de keading. Engrase una sartén de hierro fundido con aceite de oliva, coloque la masa bien formada, espolvoree unas gotas de agua y pincele uniformemente sobre la masa, ahora para la cobertura de este pan de sartén sin amasar con ajo asado espolvoree las hierbas mixtas, las aceitunas picadas y el ajo asado. Cubra esta sartén con un plato hondo asegurándose de que haya suficiente espacio entre la masa y la superficie del plato. Coloque la sartén en un lugar cálido para permitir que la masa leude. Leudar la masa de pan es esencialmente el proceso de multiplicación de la levadura, lo que hace que la masa suba. Déjela reposar durante un mínimo de 45 minutos y verifique si la masa ha duplicado su tamaño. Si aún no lo ha hecho, déjela reposar hasta que duplique su tamaño. Retire del lugar cálido, deje el plato hondo a un lado, engrase sus dedos con aceite y aplane para extender la masa para cubrir la superficie de toda la sartén. Precaliente el horno a 180 grados centígrados. Espolvorea un poco de sal marina sobre el pan de sartén sin amasar con ajo asado y déjalo reposar en un lugar cálido durante 30 minutos. Después de 30 minutos, pincela el pan con aceite de oliva y coloca la sartén en el horno y déjalo hornear durante unos 20 minutos. Luego, sube la temperatura a 200 grados y deja que el pan adquiera un bonito color marrón uniforme y deja que la parte superior se encostre. Esto tardará entre 8 y 10 minutos. Retira del horno y deja que el pan se enfríe a temperatura ambiente. Corta el pan de sartén sin amasar con ajo asado en gajos y sirve. Sirve el pan de sartén sin amasar con ajo asado y aceitunas junto con la receta de huevos escalfados con ensalada de rúcula, higos y nueces y la receta de jugo de zanahoria, amla y granada para un desayuno de fin de semana.</t>
  </si>
  <si>
    <t>Pour commencer à préparer la recette de pain à l'ail rôti sans pétrissage à la poêle, nous allons d'abord préparer la pâte. Dans un bol, mélanger la farine tout usage avec la levure, le sel, le sucre, l'huile d'olive, les herbes sèches mélangées, les olives noires et l'ail rôti. Bien mélanger pour combiner ces ingrédients et ajouter progressivement de l'eau tiède pour rassembler la pâte. Utiliser quelques gouttes d'huile d'olive pour lisser la pâte et lui donner la forme d'une boule ressemblant à une boule de pain. Nous recherchons une pâte douce et lisse. Comme son nom l'indique, cette recette de pain à l'ail rôti sans pétrissage à la poêle ne nécessite absolument aucun pétrissage. Graisser une poêle en fonte avec de l'huile d'olive, placer la pâte bien formée, saupoudrer quelques gouttes d'eau et la badigeonner uniformément sur la pâte, maintenant pour la garniture de ce pain à l'ail rôti sans pétrissage à la poêle, saupoudrer les herbes mélangées, les olives hachées et l'ail rôti. Couvrez cette poêle avec un plat profond en vous assurant qu'il y a suffisamment d'espace entre la pâte et la surface du plat. Placez la poêle dans un endroit chaud pour permettre à la pâte de lever. La levée de la pâte à pain est essentiellement le processus de multiplication de la levure, ce qui permet à la pâte de lever. Laissez-la de côté pendant au moins 45 minutes et vérifiez si la pâte a doublé de volume. Si elle ne l'a toujours pas fait, laissez-la reposer jusqu'à ce qu'elle double de volume. Retirez de l'endroit chaud, mettez le plat profond de côté, graissez vos doigts avec de l'huile et aplatissez pour étaler la pâte afin de couvrir toute la surface de la poêle. Préchauffez le four à 180 degrés Celsius. Saupoudrez un peu de sel marin sur le pain à l'ail rôti sans pétrissage et laissez-le reposer maintenant dans un endroit chaud pendant 30 minutes. Après 30 minutes, badigeonnez le pain d'huile d'olive et placez la poêle au four et laissez cuire pendant environ 20 minutes. Ensuite, augmentez la température à 200 degrés et laissez le pain prendre une belle couleur brune uniforme et laissez le dessus croûter. Cela prendra entre 8 et 10 minutes. Retirez du four et laissez le pain refroidir à température ambiante. Coupez le pain à l'ail rôti sans pétrissage en quartiers et servez. Servez le pain à l'ail rôti et aux olives sans pétrissage avec une recette d'œufs pochés avec une salade de roquette, de figues et de noix, une recette de jus de carotte, d'amla et de grenade pour un petit-déjeuner de week-end.</t>
  </si>
  <si>
    <t>https://www.archanaskitchen.com/roasted-garlic-no-knead-skillet-bread-recipe-with-olives</t>
  </si>
  <si>
    <t>Muesli Ragi Chocolate Chip Cookies Recipe</t>
  </si>
  <si>
    <t>Rezept für Müsli-Ragi-Schokoladenkekse</t>
  </si>
  <si>
    <t>Recette de biscuits au chocolat et au muesli ragi</t>
  </si>
  <si>
    <t>Receta de galletas de chocolate con muesli y ragi</t>
  </si>
  <si>
    <t>1 tasse de muesli, 1/2 tasse de farine tout usage (Maida), 1/4 de farine de ragi (millet des doigts/Nagli), 1 cuillère à café de cannelle en poudre (Dalchini), 3/4 cuillère à café de levure chimique, 1/4 cuillère à café de sel, 1/2 tasse d'huile d'olive extra vierge, 1/4 tasse de jaggery, 1/8 cuillère à café de muscade, 1 tasse de pépites de chocolat</t>
  </si>
  <si>
    <t>1 cup Muesli,1/2 cup All Purpose Flour (Maida),1/4 Ragi Flour (Finger Millet/ Nagli),1 teaspoon Cinnamon Powder (Dalchini),3/4 teaspoon Baking powder,1/4 teaspoon Salt,1/2 cup Extra Virgin Olive Oil,1/4 cup Jaggery,1/8 teaspoon Nutmeg,1 cup Chocolate chips</t>
  </si>
  <si>
    <t>1 taza de muesli, 1/2 taza de harina para todo uso (Maida), 1/4 de harina de ragi (mijo de dedo/nagli), 1 cucharadita de canela en polvo (dalchini), 3/4 de cucharadita de polvo para hornear, 1/4 de cucharadita de sal, 1/2 taza de aceite de oliva virgen extra, 1/4 de taza de jaggery, 1/8 de cucharadita de nuez moscada, 1 taza de chispas de chocolate</t>
  </si>
  <si>
    <t xml:space="preserve">To begin making Muesli Ragi Chocolate Chip Cookies Recipe, preheat the oven at 180 degree.In a mixing bowl, add olive oil, jaggery into a electric mixer or standing mixture. Mix at a medium speed till they combine well.In another bowl, mix together flours, muesli, and baking soda and spice powders and keep it ready.Add this uniform mixture into the olive mixture and combine it well. Add chocolate chips into the cookie batter. Mix it well.Take a baking tray and place baking sheet on it, using a small ice cream scoop, scoop out the cookie dough on prepared baking sheet. Make sure to place them a few inch apart from each other.You can as well use your hands to shape them. Refrigerate the cookies in the fridge for about 10 minutes.Bake cookies for 10 to 12 minutes or until the edges turn to light golden in colour. Serve the Muesli Ragi Chocolate Chip Cookies Recipe along with a Hot cup of Adrak Chai as a tea time snack during the afternoon time or you can serve it along with Chocolate Crinkle Cookies Recipeto have good time tea party with your friends.
</t>
  </si>
  <si>
    <t>Para comenzar a hacer la receta de galletas con chispas de chocolate y muesli ragi, precaliente el horno a 180 grados. En un tazón, agregue aceite de oliva, jaggery en una batidora eléctrica o mezcla de pie. Mezcle a velocidad media hasta que se combinen bien. En otro tazón, mezcle las harinas, el muesli, el bicarbonato de sodio y las especias en polvo y manténgalo listo. Agregue esta mezcla uniforme a la mezcla de aceitunas y combínela bien. Agregue chispas de chocolate a la masa de galletas. Mézclelo bien. Tome una bandeja para hornear y coloque la bandeja para hornear sobre ella, con una pequeña cuchara para helado, saque la masa de galletas en la bandeja para hornear preparada. Asegúrese de colocarlas a unos centímetros de distancia una de la otra. También puede usar sus manos para darles forma. Refrigera las galletas en el refrigerador durante unos 10 minutos. Hornee las galletas durante 10 a 12 minutos o hasta que los bordes adquieran un color dorado claro. Sirva la receta de galletas con chispas de chocolate y muesli ragi junto con una taza de Adrak Chai caliente como refrigerio a la hora del té por la tarde o puede servirla junto con la receta de galletas de chocolate arrugadas para pasar un buen rato con sus amigos.</t>
  </si>
  <si>
    <t>Pour commencer à préparer la recette des biscuits aux pépites de chocolat et au muesli ragi, préchauffez le four à 180 degrés. Dans un bol, ajoutez l'huile d'olive et le jaggery dans un batteur électrique ou un mélange permanent. Mélangez à vitesse moyenne jusqu'à ce qu'ils se mélangent bien. Dans un autre bol, mélangez les farines, le muesli, le bicarbonate de soude et les poudres d'épices et réservez. Ajoutez ce mélange uniforme au mélange d'olives et mélangez bien. Ajoutez les pépites de chocolat à la pâte à biscuits. Mélangez bien. Prenez une plaque de cuisson et placez-y une plaque à pâtisserie. À l'aide d'une petite cuillère à glace, prélevez la pâte à biscuits sur la plaque à pâtisserie préparée. Assurez-vous de les placer à quelques centimètres les uns des autres. Vous pouvez également utiliser vos mains pour les façonner. Réfrigérez les biscuits au réfrigérateur pendant environ 10 minutes. Faites cuire les biscuits pendant 10 à 12 minutes ou jusqu'à ce que les bords deviennent légèrement dorés. Servez la recette de biscuits aux pépites de chocolat et au muesli ragi avec une tasse chaude d'Adrak Chai comme collation à l'heure du thé dans l'après-midi ou vous pouvez la servir avec la recette de biscuits au chocolat croustillant pour passer un bon moment à goûter avec vos amis.</t>
  </si>
  <si>
    <t>https://www.archanaskitchen.com/muesli-ragi-chocolate-chip-cookies-recipe</t>
  </si>
  <si>
    <t>Cheesy Baked Potato Gratin With Sweet Corn</t>
  </si>
  <si>
    <t>Käse-Kartoffelgratin mit Zuckermais</t>
  </si>
  <si>
    <t>Gratin de pommes de terre au fromage et au maïs doux</t>
  </si>
  <si>
    <t>Gratinado de patatas con queso y maíz dulce</t>
  </si>
  <si>
    <t>5 pommes de terre (Aloo) - coupées en fines tranches, 2 tasses de lait, 1 tasse de crème à fouetter épaisse, 1 gousse d'ail, 3 cuillères à soupe de beurre - ramolli, 2 cuillères à soupe de maïs doux, 1 tomate - finement hachée, 1 cuillère à café de poudre de poivre noir, 1 tasse de fromage - râpé, 1 cuillère à café d'origan séché, 1 cuillère à café de flocons de piment rouge, sel - selon les besoins</t>
  </si>
  <si>
    <t>5 Potatoes (Aloo) - cut into paper thin slices,2 cups Milk,1 cup Heavy whipping cream,1 clove Garlic,3 tablespoons Butter - softened,2 tablespoons Sweet corn,1 Tomato - finely chopped,1 teaspoon Black pepper powder,1 cup Cheese - grated,1 teaspoon Dried oregano,1 teaspoon Red Chilli flakes,Salt - as required</t>
  </si>
  <si>
    <t>5 papas (Aloo) - cortadas en rodajas finas, 2 tazas de leche, 1 taza de crema batida espesa, 1 diente de ajo, 3 cucharadas de mantequilla - ablandada, 2 cucharadas de maíz dulce, 1 tomate - picado finamente, 1 cucharadita de pimienta negra en polvo, 1 taza de queso - rallado, 1 cucharadita de orégano seco, 1 cucharadita de hojuelas de chile rojo, sal - según se requiera</t>
  </si>
  <si>
    <t xml:space="preserve">To begin making the Cheesy Baked Potato Gratin With Sweet Corn, In a large thick bottomed pan combine sliced potatoes and milk over high heat. Bring it to a boil, and immediately reduce heat to low.Cover and cook for about 3 minutes or until the potatoes are just tender.In a large strainer, drain the potatoes and reserve the starchy milk. Add around 1/2 cup milk to the starchy milk to increase its quantity.Take a 4" inch baking tray, grease it with butter and garlic at the bottom. Now arrange the potato slices in the baking dish and season it with salt and pepper.The next step is to sprinkle corn kernels and chopped tomatoes all over.Dot with remaining butter and pour the reserved cooking milk and cream on it. Sprinkle cheese over top and season it with oregano and chilli flakes.Place the Potato Gratin With Sweet Corn into a preheated oven at 160 C degree and bake for around 25 to 30 minutes, until the crust is browned and golden and the gratin is well set.Serve Cheesy Baked Potato Gratin With Sweet Corn along with Tomato Noodle Soup for a light and healthy dinner.
</t>
  </si>
  <si>
    <t>Para empezar a preparar el gratinado de papas al horno con queso y maíz dulce, en una sartén grande de fondo grueso, combine las papas rebanadas con la leche a fuego alto. Deje hervir y reduzca inmediatamente el fuego a bajo. Tape y cocine durante unos 3 minutos o hasta que las papas estén tiernas. En un colador grande, escurra las papas y reserve la leche con almidón. Añade alrededor de 1/2 taza de leche a la leche con almidón para aumentar su cantidad. Toma una bandeja para hornear de 4 pulgadas, engrásala con mantequilla y ajo en el fondo. Ahora coloca las rodajas de papa en la bandeja para hornear y sazónala con sal y pimienta. El siguiente paso es espolvorear granos de maíz y tomates picados por todas partes. Salpica con la mantequilla restante y vierte la leche de cocción reservada y la crema sobre ella. Espolvorea queso por encima y sazona con orégano y hojuelas de chile. Coloca el gratinado de papa con maíz dulce en un horno precalentado a 160 °C y hornea durante unos 25 a 30 minutos, hasta que la corteza esté dorada y el gratinado esté bien cocido. Sirve el gratinado de papa al horno con queso y maíz dulce junto con la sopa de fideos con tomate para una cena ligera y saludable.</t>
  </si>
  <si>
    <t>Pour préparer le gratin de pommes de terre au four et au maïs doux, dans une grande casserole à fond épais, mélanger les tranches de pommes de terre et le lait à feu vif. Porter à ébullition, puis baisser immédiatement le feu. Couvrir et cuire environ 3 minutes, jusqu'à ce que les pommes de terre soient tendres. Égoutter les pommes de terre dans une grande passoire et réserver le lait féculent. Ajoutez environ 1/2 tasse de lait au lait féculent pour augmenter sa quantité. Prenez une plaque de cuisson de 4 pouces, graissez-la avec du beurre et de l'ail au fond. Disposez maintenant les tranches de pommes de terre dans le plat de cuisson et assaisonnez-le de sel et de poivre. L'étape suivante consiste à saupoudrer de grains de maïs et de tomates concassées partout. Parsemez du reste de beurre et versez le lait de cuisson et la crème réservés dessus. Saupoudrez de fromage sur le dessus et assaisonnez avec de l'origan et des flocons de piment. Placez le gratin de pommes de terre au maïs doux dans un four préchauffé à 160 °C et faites cuire pendant environ 25 à 30 minutes, jusqu'à ce que la croûte soit dorée et que le gratin soit bien pris. Servez le gratin de pommes de terre au four au fromage avec du maïs doux avec une soupe de nouilles à la tomate pour un dîner léger et sain.</t>
  </si>
  <si>
    <t>https://www.archanaskitchen.com/scalloped-potatoes-with-baked-eggs-corns-recipe</t>
  </si>
  <si>
    <t>Broccoli Orange Asian Salad Recipe</t>
  </si>
  <si>
    <t>Rezept für asiatischen Brokkoli-Orangen-Salat</t>
  </si>
  <si>
    <t>Recette de salade asiatique de brocoli et d'orange</t>
  </si>
  <si>
    <t>Receta de ensalada asiática de brócoli y naranja</t>
  </si>
  <si>
    <t>1 brocoli - coupé en fleurons, 1 tasse de jeunes pousses d'épinards - toutes feuilles de salade, 50 grammes de chou violet - râpé, 1 carotte (Gajjar) - finement julienne, 10 à 12 pois mange-tout, 1 orange - pelée et segmentée, 2 cuillères à soupe d'arachides crues (Moongphali) - écrasées, huile d'olive extra vierge - pour la cuisson selon les besoins, 1 cuillère à soupe de sauce soja, 1 cuillère à soupe d'huile de sésame (Gingelly), 1 cuillère à soupe de sauce Sriracha - ou toute sauce piquante de style asiatique, 1 cuillère à café de gingembre - râpé, 1/2 cuillère à soupe de miel, orange - zeste d'une</t>
  </si>
  <si>
    <t>1 Broccoli - cut into florets,1 cup Baby spinach - any salad leaves,50 grams Purple cabbage - shredded,1 Carrot (Gajjar) - finely julienned,10 to 12 Snow peas,1 Orange - peeled and segmented,2 tablespoons Raw Peanuts (Moongphali) - crushed,Extra Virgin Olive Oil - for cooking as needed,1 tablespoon Soy sauce,1 tablespoon Sesame (Gingelly) Oil,1 tablespoon Sriracha sauce - or any asian styles hot sauce,1 teaspoon Ginger - grated,1/2 tablespoon Honey,Orange - Zest of one</t>
  </si>
  <si>
    <t>1 brócoli - cortado en floretes, 1 taza de espinaca baby - cualquier hoja de ensalada, 50 gramos de repollo morado - rallado, 1 zanahoria (Gajjar) - finamente cortada en juliana, 10 a 12 guisantes de nieve, 1 naranja - pelada y en gajos, 2 cucharadas de cacahuetes crudos (Moongphali) - triturados, aceite de oliva virgen extra - para cocinar según sea necesario, 1 cucharada de salsa de soja, 1 cucharada de aceite de sésamo (Gingelly), 1 cucharada de salsa Sriracha - o cualquier salsa picante de estilo asiático, 1 cucharadita de jengibre rallado, 1/2 cucharada de miel, naranja - Ralladura de una</t>
  </si>
  <si>
    <t xml:space="preserve">To begin making the Broccoli Orange Asian Salad recipe, prepare all the vegetables and fruit required.Zest the orange and save it for the dressing before you segment it.In a grill pan/pan drizzle some olive oil and grill or saute the broccoli and snow peas until they are slightly charred on a high flaming while continuously stirring it around. It should take around 2 to 3 minutes.Now assemble the salad by layering a plate with salad leaves, then spread the purple cabbage and carrots.Place the warm broccoli and snow peas on top and finally place the orange segments.In a small mixing bowl, add all the ingredients of the dressing and whisk it all together until it thickens and emulsifies with a glossy appearance.Now drizzle the dressing just before serving and sprinkle crushed peanuts on top.Serve Broccoli Orange Asian Salad along with Tomato Noodle Soup and Whole Wheat Rosemary Focaccia Bread Recipe for a healthy and delicious weekday dinner.
</t>
  </si>
  <si>
    <t>Para preparar la ensalada asiática de brócoli y naranja, prepare todas las verduras y frutas necesarias. Ralle la naranja y resérvela para el aderezo antes de cortarla en gajos. En una sartén o plancha, rocíe con un chorrito de aceite de oliva y ase o saltee el brócoli y los guisantes a fuego alto hasta que estén ligeramente dorados, removiendo constantemente. Tardará entre 2 y 3 minutos. Arme la ensalada colocando capas de hojas de ensalada en un plato, luego extienda la col morada y las zanahorias. Coloque el brócoli y los guisantes calientes encima y, por último, los gajos de naranja. En un tazón pequeño, agregue todos los ingredientes del aderezo y bata hasta que espese y emulsione, adquiriendo un aspecto brillante. Rocíe el aderezo justo antes de servir y espolvoree cacahuetes triturados por encima. Sirva la ensalada asiática de brócoli y naranja junto con la sopa de fideos con tomate y la receta de pan focaccia integral con romero para una cena saludable y deliciosa entre semana.</t>
  </si>
  <si>
    <t>Pour commencer la recette de la salade asiatique au brocoli et à l'orange, préparez tous les légumes et fruits nécessaires. Zestez l'orange et réservez-la pour la vinaigrette avant de la segmenter. Dans une poêle à griller, versez un filet d'huile d'olive et faites griller ou sauter le brocoli et les pois mange-tout à feu vif, en remuant constamment, jusqu'à ce qu'ils soient légèrement grillés. Comptez 2 à 3 minutes. Assemblez la salade en superposant les feuilles de salade dans une assiette, puis en répartissant le chou rouge et les carottes. Disposez le brocoli et les pois mange-tout chauds par-dessus, puis les quartiers d'orange. Dans un petit saladier, ajoutez tous les ingrédients de la vinaigrette et fouettez jusqu'à ce que le mélange épaississe et s'émulsionne pour obtenir une texture brillante. Arrosez de vinaigrette juste avant de servir et parsemez de cacahuètes concassées. Servez la salade asiatique au brocoli et à l'orange avec la soupe de nouilles à la tomate et la focaccia au romarin pour un dîner sain et délicieux en semaine.</t>
  </si>
  <si>
    <t>https://www.archanaskitchen.com/broccoli-orange-asian-salad-recipe</t>
  </si>
  <si>
    <t>BaNilla Sandwich Cookie Recipe</t>
  </si>
  <si>
    <t>Rezept für BaNilla-Sandwich-Kekse</t>
  </si>
  <si>
    <t>Recette de biscuits sandwich BaNilla</t>
  </si>
  <si>
    <t>Receta de galleta sándwich de BaNilla</t>
  </si>
  <si>
    <t>16 biscuits Nilla, 1 banane mûre - finement tranchée, pâte à tartiner Nutella - selon les besoins, beurre de cacahuète - selon les besoins, sucre décoratif (paillettes pour gâteaux/bonbons) - selon les besoins</t>
  </si>
  <si>
    <t>16 Nilla cookies,1 Ripe Bananas - thinly sliced,Nutella Spread - as required,Peanut Butter - as required,Decorative sugar (Cake/ Candy Sprinkles) - as required</t>
  </si>
  <si>
    <t>16 galletas Nilla, 1 plátano maduro en rodajas finas, crema Nutella (cantidad requerida), mantequilla de maní (cantidad requerida), azúcar decorativa (chispas para pastel o caramelo) (cantidad requerida)</t>
  </si>
  <si>
    <t xml:space="preserve">To make the BaNilla Sandwich Cookie Recipe, spread the nutella spread on the inside of all Nilla cookies.Apply peanut butter on slices of banana and roll that side in sprinkles and cover the banana cover with the sprinkles.Place the banana in between the nutella spread nilla cookies and sandwich them by placing another cookie on the top.That's it, the BaNilla Sandwich Cookie is now ready to be served. Serve BaNilla Sandwich Cookie along with a hot cup of Espresso Coffee when you have guests coming over for visit.
</t>
  </si>
  <si>
    <t>Para hacer la receta de galletas sándwich BaNilla, unta la crema de Nutella en el interior de todas las galletas Nilla. Unta mantequilla de maní en rodajas de plátano y cubre ese lado con chispas. Coloca el plátano entre las galletas Nilla con crema de Nutella y forma un sándwich colocando otra galleta encima. Listo, la galleta sándwich BaNilla ya está lista para servir. Sirve la galleta sándwich BaNilla junto con una taza de café expreso caliente cuando tengas invitados de visita.</t>
  </si>
  <si>
    <t>Pour réaliser la recette de biscuits sandwich BaNilla, étalez la pâte à tartiner au Nutella à l'intérieur de tous les biscuits Nilla. Appliquez du beurre de cacahuète sur des tranches de banane, roulez ce côté dans des vermicelles et recouvrez la banane avec les vermicelles. Placez la banane entre les biscuits Nilla à la pâte à tartiner au Nutella et superposez-les en plaçant un autre biscuit sur le dessus. Voilà, le biscuit sandwich BaNilla est maintenant prêt à être servi. Servez le biscuit sandwich BaNilla avec une tasse de café expresso chaud lorsque vous recevez des invités.</t>
  </si>
  <si>
    <t>http://www.archanaskitchen.com/banilla-sandwich-cookie-recipe</t>
  </si>
  <si>
    <t>Oats, Cranberry And Walnut Bread Recipe</t>
  </si>
  <si>
    <t>Rezept für Hafer-Cranberry-Walnuss-Brot</t>
  </si>
  <si>
    <t>Recette de pain à l'avoine, aux canneberges et aux noix</t>
  </si>
  <si>
    <t>Receta de pan de avena, arándanos y nueces</t>
  </si>
  <si>
    <t>1 1/2 tasse de farine tout usage (Maida), 1/2 tasse de flocons d'avoine instantanés (gruau), 1/2 tasse de sucre, 1 1/2 cuillère à café de levure chimique, 1/2 cuillère à café de bicarbonate de soude, 1 cuillère à café de sel, 1 tasse de lait, 1 cuillère à soupe de vinaigre de cidre de pomme, 1 œuf entier - substitut d'œuf de lin, 1/4 tasse de beurre (non salé) - fondu, 1 cuillère à soupe de zeste d'orange (écorce) - frais, 1/2 tasse de canneberges - séchées, 1/2 tasse de noix - grillées</t>
  </si>
  <si>
    <t>1 1/2 cups All Purpose Flour (Maida),1/2 cup Instant Oats (Oatmeal),1/2 cup Sugar,1-1/2 teaspoon Baking powder,1/2 teaspoon Baking soda,1 teaspoon Salt,1 cup Milk,1 tablespoon Apple cider vinegar,1 Whole Egg - Flax Egg Replacer,1/4 cup Butter (unsalted) - melted,1 tablespoon Orange Zest (Rind) - fresh,1/2 cup Cranberries - dried,1/2 cup Walnuts - toasted</t>
  </si>
  <si>
    <t>1 1/2 tazas de harina para todo uso (Maida), 1/2 taza de avena instantánea (avena), 1/2 taza de azúcar, 1-1/2 cucharadita de polvo para hornear, 1/2 cucharadita de bicarbonato de sodio, 1 cucharadita de sal, 1 taza de leche, 1 cucharada de vinagre de sidra de manzana, 1 huevo entero - sustituto de huevo de lino, 1/4 taza de mantequilla (sin sal) - derretida, 1 cucharada de ralladura de naranja (cáscara) - fresca, 1/2 taza de arándanos - secos, 1/2 taza de nueces - tostadas</t>
  </si>
  <si>
    <t xml:space="preserve">To begin making Oats, Cranberry and Walnut Bread preheat oven to 180 C and line a standard 9x5 loaf tin and grease with butter and dust with flourIf using dried cranberries, soak them in 1/2 cup of water with 1 tablespoon sugar for 20 minutes. Strain any extra liquid and keep aside.Meanwhile stir in vinegar to milk and let it stand for 5 minutes.Pulse instant oats in a food processor to get a coarse powder (not to make it fine).In a large mixing bowl combine the flour, oats, baking powder, baking soda, salt and sugar.In another medium bowl beat together egg (or flax egg) lightly, add milk and vinegar mixture, melted butter, orange zest and stir together.Pour in the egg mixture to the flour mixture. Stir together all the ingredients just until the bread batter is combined -don't over mix the batter.Fold in the chopped walnuts and cranberries into the above bread batter. Transfer the batter to the greased loaf tin and bake for 30-35 minutes or until a toothpick comes out clean.Once the bread is baked, remove from the oven and allow it to cool completely. Serve the Oats, Cranberry And Walnut Bread as a tea time snack along with masala chai.
</t>
  </si>
  <si>
    <t>Para empezar a preparar el pan de avena, arándanos y nueces, precalienta el horno a 180 °C y forra un molde para pan estándar de 9x5, engrasa con mantequilla y espolvorea con harina. Si usas arándanos secos, remójalos en 1/2 taza de agua con 1 cucharada de azúcar durante 20 minutos. Cuele el líquido sobrante y resérvalo. Mientras tanto, incorpora el vinagre a la leche y deja reposar durante 5 minutos. Tritura la avena instantánea en un procesador de alimentos hasta obtener un polvo grueso (no para que quede fina). En un tazón grande, mezcla la harina, la avena, el polvo para hornear, el bicarbonato, la sal y el azúcar. En otro tazón mediano, bate ligeramente el huevo (o el huevo de linaza), agrega la mezcla de leche y vinagre, la mantequilla derretida, la ralladura de naranja y revuelve. Vierte la mezcla de huevo a la mezcla de harina. Revuelve todos los ingredientes hasta que la masa del pan esté combinada; no mezcles demasiado la masa. Incorpora las nueces picadas y los arándanos a la masa del pan anterior. Transfiera la masa a un molde de pan engrasado y hornee durante 30-35 minutos o hasta que al insertar un palillo, este salga limpio. Una vez horneado el pan, retírelo del horno y déjelo enfriar por completo. Sirva el pan de avena, arándanos y nueces como refrigerio para la hora del té junto con masala chai.</t>
  </si>
  <si>
    <t>Pour commencer à préparer le pain à l'avoine, aux canneberges et aux noix, préchauffez le four à 180 °C et chemisez un moule à cake standard de 9 x 5, beurrez-le et farinez-le. Si vous utilisez des canneberges séchées, faites-les tremper dans 120 ml d'eau avec 1 cuillère à soupe de sucre pendant 20 minutes. Filtrez l'excédent de liquide et réservez. Pendant ce temps, incorporez le vinaigre au lait et laissez reposer 5 minutes. Mixez les flocons d'avoine instantanés au robot culinaire jusqu'à obtenir une poudre grossière (sans les rendre trop fins). Dans un grand saladier, mélangez la farine, les flocons d'avoine, la levure chimique, le bicarbonate de soude, le sel et le sucre. Dans un autre saladier moyen, battez légèrement l'œuf (ou l'œuf de lin), ajoutez le mélange lait-vinaigre, le beurre fondu, le zeste d'orange et mélangez. Versez le mélange d'œufs dans le mélange de farine. Mélangez tous les ingrédients jusqu'à obtenir une pâte homogène, sans trop mélanger. Incorporez les noix et les canneberges hachées à la pâte à pain ci-dessus. Transférez la pâte dans le moule à pain graissé et faites cuire au four pendant 30 à 35 minutes ou jusqu'à ce qu'un cure-dent en ressorte propre. Une fois le pain cuit, retirez-le du four et laissez-le refroidir complètement. Servez le pain à l'avoine, aux canneberges et aux noix comme collation à l'heure du thé avec du masala chai.</t>
  </si>
  <si>
    <t>https://www.archanaskitchen.com/oats-cranberry-and-walnut-bread-recipe</t>
  </si>
  <si>
    <t>Golden Glow Smoothie Recipe</t>
  </si>
  <si>
    <t>Golden Glow Smoothie-Rezept</t>
  </si>
  <si>
    <t>Recette de smoothie Golden Glow</t>
  </si>
  <si>
    <t>Receta de batido de brillo dorado</t>
  </si>
  <si>
    <t>1 carotte (Gajar) - râpée, 1 tasse de jus d'orange ou de mosambi, 1/2 tasse de papaye, 1/2 cuillère à café de poudre de curcuma (Haldi), 1/2 cuillère à café de gingembre - râpé, 1 tasse de glaçons</t>
  </si>
  <si>
    <t>1 Carrot (Gajar) - grated,1 cup Orange - or mosambi juice,1/2 cup Papaya,1/2 teaspoon Turmeric powder (Haldi),1/2 teaspoon Ginger - grated,1 cup Ice cubes</t>
  </si>
  <si>
    <t>1 zanahoria (Gajar) - rallada, 1 taza de jugo de naranja o mosambi, 1/2 taza de papaya, 1/2 cucharadita de cúrcuma en polvo (Haldi), 1/2 cucharadita de jengibre rallado, 1 taza de cubitos de hielo</t>
  </si>
  <si>
    <t xml:space="preserve">We begin making the Golden Glow Smoothie Recipe by peeling the carrots and chopping them into medium sized pieces.Next is to peel the papaya, remove the seeds and cut them also into medium pieces. Remove the pulp from the orange and add all these ingredients along with the rest that is mentioned above.Blend it into a smooth paste. Serve the Golden Glow Smoothie Recipe along with Vegetable Rava Upma Recipe (Savory Semolina Breakfast Pudding) for a scrumptious breakfast.
</t>
  </si>
  <si>
    <t>Comenzamos a preparar la receta del batido Golden Glow pelando las zanahorias y cortándolas en trozos medianos. A continuación, pelamos la papaya, le quitamos las semillas y la cortamos también en trozos medianos. Retiramos la pulpa de la naranja y añadimos todos estos ingredientes junto con el resto mencionado anteriormente. Trituramos hasta obtener una pasta suave. Sirve la receta del batido Golden Glow junto con la receta de Rava Upma de verduras (pudín de desayuno de sémola sabrosa) para un desayuno delicioso.</t>
  </si>
  <si>
    <t>Nous commençons à préparer la recette du smoothie Golden Glow en épluchant les carottes et en les coupant en morceaux de taille moyenne. Ensuite, épluchez la papaye, retirez les graines et coupez-les également en morceaux moyens. Retirez la pulpe de l'orange et ajoutez tous ces ingrédients avec le reste mentionné ci-dessus. Mixez le tout jusqu'à obtenir une pâte lisse. Servez la recette du smoothie Golden Glow avec la recette de Rava Upma aux légumes (pudding de petit-déjeuner à la semoule salée) pour un délicieux petit-déjeuner.</t>
  </si>
  <si>
    <t>https://www.archanaskitchen.com/golden-glow-smoothie-recipe</t>
  </si>
  <si>
    <t>Grilled Basil Pesto Chicken Sub Sandwich Recipe</t>
  </si>
  <si>
    <t>Rezept für gegrilltes Hähnchen-Sub-Sandwich mit Basilikum-Pesto</t>
  </si>
  <si>
    <t>Recette de sandwich au poulet grillé et pesto au basilic</t>
  </si>
  <si>
    <t>Receta de sándwich de pollo a la parrilla con pesto de albahaca</t>
  </si>
  <si>
    <t>2 pains à hot-dog, 2 tranches de fromage, 2 cuillères à soupe de mayonnaise classique (avec œuf), 2 cuillères à soupe de sauce chili rouge douce et épicée (sauce tomate chili), 1 tomate - finement tranchée, 1 poitrine de poulet, 1 cuillère à soupe de crème fraîche, 1 cuillère à café de jus de citron, 2 cuillères à soupe de beurre à l'ail, 125 grammes de feuilles de basilic - avec les tiges retirées, 2 cuillères à soupe de noix - grillées, 4 gousses d'ail - finement hachées, sel - au goût, 1 cuillère à soupe d'huile d'olive extra vierge, 1/2 cuillère à soupe de grains de poivre noir entiers - grossièrement pilés, 1/4 tasse de parmesan - râpé (facultatif)</t>
  </si>
  <si>
    <t>2 Hot Dog Bread,2 Cheese Slices,2 tablespoons Classic Mayonnaise (With Egg),2 tablespoons Sweet and Spicy Red Chilli Sauce (Tomato Chilli Sauce),1 Tomato - thinly sliced,1 Chicken breasts,1 tablespoon Fresh cream,1 teaspoon Lemon juice,2 tablespoons Garlic Butter,125 grams Basil leaves - with stems removed,2 tablespoons Walnuts - toasted,4 cloves Garlic - finely chopped,Salt - to taste,1 tablespoon Extra Virgin Olive Oil,1/2 tablespoon Whole Black Peppercorns - coarsely pounded,1/4 cup Parmesan cheese - grated (optional)</t>
  </si>
  <si>
    <t>2 panes para hot dogs, 2 rebanadas de queso, 2 cucharadas de mayonesa clásica (con huevo), 2 cucharadas de salsa de chile rojo dulce y picante (salsa de chile y tomate), 1 tomate en rodajas finas, 1 pechuga de pollo, 1 cucharada de crema fresca, 1 cucharadita de jugo de limón, 2 cucharadas de mantequilla de ajo, 125 gramos de hojas de albahaca - sin tallos, 2 cucharadas de nueces tostadas, 4 dientes de ajo finamente picados, sal al gusto, 1 cucharada de aceite de oliva virgen extra, 1/2 cucharada de granos de pimienta negra enteros - machacados gruesos, 1/4 taza de queso parmesano rallado (opcional)</t>
  </si>
  <si>
    <t xml:space="preserve">To begin making the Grilled Basil Pesto Chicken Sub Sandwich, let's make the fresh basil pesto and keep it ready. We will first have to grind all the ingredients together.In a food processor, combine basil leaves, walnuts, garlic, salt, crushed black peppercorns and cheese. Blend until the mixture is a coarse pasteWith the processor running, slowly pour the olive oil into the bowl through the feed tube and process until the pesto is thoroughly pureed.Next add the Parmesan and puree for a minute. Transfer to a bowl and set aside.In a mixing bowl, marinade the chicken breast along with pesto, cream, and lemon juice. Let it sit for about an hour.Heat a grill pan/skillet on medium flame, put some garlic butter and place the chicken breast on it allow to cook on both sides for about 8-10 minutes on each side.Set aside. Cut them into slices or small chunks.Slice the hot dog bread horizontally, light apply butter and toast on a griddle on low flame, turn off heat.Place the two halves of the hot dog bread, on a countertop, apply red chilli sauce on the base, arrange tomato slices, the pesto chicken pieces and place the cheese slices over it.Finally, spread mayonnaise on inside of  the top half of hot dog bread and close the sub sandwich.Serve the The Grilled Basil Pesto Chicken Sub Sandwich along with Zucchini Parmesan Fritters Recipe and Tzatziki Recipe - A Greek Yogurt Dip for a weekend lunch. 
</t>
  </si>
  <si>
    <t>Para empezar a preparar el Sándwich de Pollo con Pesto y Albahaca a la Parrilla, preparemos el pesto de albahaca fresca y tenlo listo. Primero, moleremos todos los ingredientes. En un procesador de alimentos, combine las hojas de albahaca, las nueces, el ajo, la sal, la pimienta negra molida y el queso. Licúe hasta obtener una pasta gruesa. Con el procesador en marcha, vierta lentamente el aceite de oliva en el tazón a través del tubo de alimentación y procese hasta que el pesto esté bien hecho puré. A continuación, agregue el parmesano y triture durante un minuto. Transfiera a un tazón y reserve. En un tazón, marine la pechuga de pollo junto con el pesto, la crema y el jugo de limón. Deje reposar durante aproximadamente una hora. Caliente una sartén a fuego medio, unte un poco de mantequilla de ajo y coloque la pechuga de pollo sobre ella. Deje cocinar por ambos lados durante unos 8-10 minutos por cada lado. Reserve. Córtalos en rebanadas o trozos pequeños. Corta el pan de hot dog horizontalmente, unta ligeramente con mantequilla y tuéstalo en una plancha a fuego lento. Apaga el fuego. Coloca las dos mitades del pan de hot dog sobre una encimera, unta salsa de chile rojo en la base, acomoda las rodajas de tomate, los trozos de pollo al pesto y coloca las lonchas de queso encima. Finalmente, unta mayonesa en el interior de la mitad superior del pan de hot dog y cierra el sándwich. Sirve el sándwich de pollo al pesto con albahaca a la parrilla junto con la receta de buñuelos de calabacín y parmesano y la receta de tzatziki: una salsa de yogur griego para un almuerzo de fin de semana.</t>
  </si>
  <si>
    <t>Pour commencer à préparer le sandwich au poulet grillé et pesto au basilic, préparons le pesto frais et préparons-le. Il faut d'abord moudre tous les ingrédients. Dans un robot culinaire, mélanger les feuilles de basilic, les noix, l'ail, le sel, les grains de poivre noir concassés et le fromage. Mixer jusqu'à obtenir une pâte grossière. Pendant que le robot est en marche, verser lentement l'huile d'olive dans le bol par la cheminée et mixer jusqu'à obtenir une purée homogène. Ajouter ensuite le parmesan et mixer une minute. Transférer dans un bol et réserver. Dans un saladier, faire mariner le blanc de poulet avec le pesto, la crème et le jus de citron. Laisser reposer environ une heure. Chauffer une poêle à griller à feu moyen, y verser un peu de beurre à l'ail et y déposer le blanc de poulet. Cuire de chaque côté pendant 8 à 10 minutes. Réserver. Coupez-les en tranches ou en petits morceaux. Coupez le pain à hot-dog horizontalement, appliquez légèrement du beurre et faites-le griller sur une plaque chauffante à feu doux, puis éteignez le feu. Placez les deux moitiés du pain à hot-dog sur un plan de travail, appliquez de la sauce chili rouge sur la base, disposez les tranches de tomates, les morceaux de poulet au pesto et placez les tranches de fromage par-dessus. Enfin, étalez de la mayonnaise à l'intérieur de la moitié supérieure du pain à hot-dog et fermez le sandwich. Servez le sandwich au poulet grillé au pesto de basilic avec la recette de beignets de courgettes au parmesan et la recette de tzatziki - une trempette au yaourt grec pour un déjeuner de week-end.</t>
  </si>
  <si>
    <t>https://www.archanaskitchen.com/grilled-basil-pesto-chicken-sub-sandwich-recipe</t>
  </si>
  <si>
    <t>Simple Peruvian (Mayocoba) Beans Salad Recipe</t>
  </si>
  <si>
    <t>Einfaches Rezept für peruanischen (Mayocoba-)Bohnensalat</t>
  </si>
  <si>
    <t>Recette simple de salade de haricots péruviens (Mayocoba)</t>
  </si>
  <si>
    <t>Receta sencilla de ensalada de frijoles peruanos (mayocoba)</t>
  </si>
  <si>
    <t>1 tasse de haricots péruviens, 3-1/2 tasses d'eau, sel - au goût, 1 cuillère à soupe d'huile de canola, 1/4 tasse d'oignon - en dés, 1 tomate - finement hachée, 1/2 tasse d'oignon blanc - finement haché, 1 cuillère à soupe de jalapeños marinés, poudre de poivre noir - au goût, sel - au goût, 1 cuillère à soupe de jus de citron, 1/2 cuillère à soupe d'huile d'olive extra vierge</t>
  </si>
  <si>
    <t>1 cup Peruvian Beans,3-1/2 cups Water,Salt - to taste,1 tablespoon Canola Oil,1/4 cup Onion - diced,1 Tomato - finely chopped,1/2 cup White onion - finely chopped,1 tablespoon Pickled Jalapenos,Black pepper powder - to taste,Salt - to taste,1 tablespoon Lemon juice,1/2 tablespoon Extra Virgin Olive Oil</t>
  </si>
  <si>
    <t>1 taza de frijoles peruanos, 3-1/2 tazas de agua, sal - al gusto, 1 cucharada de aceite de canola, 1/4 taza de cebolla - cortada en cubitos, 1 tomate - finamente picado, 1/2 taza de cebolla blanca - finamente picada, 1 cucharada de jalapeños encurtidos, pimienta negra en polvo - al gusto, sal - al gusto, 1 cucharada de jugo de limón, 1/2 cucharada de aceite de oliva virgen extra</t>
  </si>
  <si>
    <t xml:space="preserve">Method To Cook Peruvian BeansTo begin making Simple Peruvian (Mayocoba) Beans Salad Recipe, cook the peruvian beans first.Wash and rinse the dried beans in cold tap water. In a pan, add water, chopped onion, Peruvian beans, oil and salt and wait for rolling boil temperature.Transfer the beans to crock pot and set the temperature in high mode and cook it for 4 hrs. Peruvian beans is ready. You can also use follow here the cooking method to cook the beans.To make saladIn a large bowl, combine all the ingredients (Cooked peruvian beans, chopped roma tomato, chopped white onion, chopped jalapenos, pepper, salt, lemon juice and olive oil. Toss and mix well with a spoon.Cover and chill it for 15 mins in the refrigerator. Simple Peruvian Beans salad is ready to serve. Enjoy with tortilla chips.If you don't get peruvian beans, try the same recipe with chick peas, rajma etc..Pair Simple Peruvian (Mayocoba) Beans Salad Recipe along with Quick Creamy Pea Soup Recipe and tortilla chips for a light dinner.
</t>
  </si>
  <si>
    <t>Método para cocinar frijoles peruanos Para comenzar a preparar la receta simple de ensalada de frijoles peruanos (mayocoba), primero cocine los frijoles peruanos. Lave y enjuague los frijoles secos en agua fría del grifo. En una sartén, agregue agua, cebolla picada, frijoles peruanos, aceite y sal y espere a que hierva. Transfiera los frijoles a una olla de cocción lenta y configure la temperatura en modo alto y cocínelos durante 4 horas. Los frijoles peruanos están listos. También puedes usar el método de cocción que se muestra aquí para cocinar los frijoles. Para preparar la ensalada: En un tazón grande, combina todos los ingredientes (frijoles peruanos cocidos, tomate roma picado, cebolla blanca picada, jalapeños picados, pimienta, sal, jugo de limón y aceite de oliva. Revuelve bien con una cuchara. Cubre y refrigera durante 15 minutos. La ensalada simple de frijoles peruanos está lista para servir. Disfrútala con totopos. Si no consigues frijoles peruanos, prueba la misma receta con garbanzos, rajma, etc. Combina la receta de ensalada simple de frijoles peruanos (mayocoba) con la receta de sopa cremosa rápida de guisantes y totopos para una cena ligera.</t>
  </si>
  <si>
    <t>Méthode de cuisson des haricots péruviens Pour commencer à préparer une recette simple de salade de haricots péruviens (Mayocoba), faites d'abord cuire les haricots péruviens. Lavez et rincez les haricots secs à l'eau froide du robinet. Dans une casserole, ajoutez l'eau, l'oignon haché, les haricots péruviens, l'huile et le sel et attendez la température d'ébullition. Transférez les haricots dans la mijoteuse et réglez la température sur mode élevé et faites-les cuire pendant 4 heures. Les haricots péruviens sont prêts. Vous pouvez également utiliser la méthode de cuisson suivante pour cuire les haricots. Pour faire une salade Dans un grand bol, mélanger tous les ingrédients (haricots péruviens cuits, tomate roma hachée, oignon blanc haché, jalapeños hachés, poivre, sel, jus de citron et huile d'olive. Bien mélanger avec une cuillère. Couvrir et laisser refroidir 15 minutes au réfrigérateur. La salade de haricots péruviens simple est prête à servir. Dégustez avec des chips tortilla. Si vous n'avez pas de haricots péruviens, essayez la même recette avec des pois chiches, du rajma, etc. Associez la recette de salade de haricots péruviens simples (Mayocoba) avec la recette de soupe aux pois crémeuse rapide et des chips tortilla pour un dîner léger.</t>
  </si>
  <si>
    <t>https://www.archanaskitchen.com/simple-peruvian-mayocoba-beans-salad-recipe</t>
  </si>
  <si>
    <t>Cinnamon Spiced Orange Iced Tea Recipe</t>
  </si>
  <si>
    <t>Rezept für Orangen-Eistee mit Zimt</t>
  </si>
  <si>
    <t>Recette de thé glacé à l'orange et à la cannelle</t>
  </si>
  <si>
    <t>Receta de té helado de naranja y canela</t>
  </si>
  <si>
    <t>2 cuillères à café de sachets de thé - ou de feuilles de thé, 2 oranges, 2 tasses d'eau, 2,5 cm de bâton de cannelle (Dalchini), 2 morceaux d'anis étoilé, 2 cuillères à soupe de sucre, quelques quartiers de citron, 2-3 brins de feuilles de menthe (Pudina)</t>
  </si>
  <si>
    <t>2 teaspoon Tea bags - or tea leaves,2 Oranges,2 cups Water,1 inch Cinnamon Stick (Dalchini),2 Star anise - pieces,2 tablespoon Sugar,Lemon wedges - few,2-3 sprig Mint Leaves (Pudina)</t>
  </si>
  <si>
    <t>2 cucharaditas de bolsitas de té (o hojas de té), 2 naranjas, 2 tazas de agua, 1 pulgada de rama de canela (dalchini), 2 anís estrellado (piezas), 2 cucharadas de azúcar, pocas rodajas de limón, 2-3 ramitas de hojas de menta (pudina)</t>
  </si>
  <si>
    <t xml:space="preserve">To prepare the Spiced Orange Iced Tea, start with peeling orange. Save the orange peel for flavoring the tea and squeeze fresh juice from the orange slices. Keep the juice in a bowl and set aside until required.Boil the water in a saucepan over high heat. Add the tea leaves, orange peel, sugar, cinnamon, star anise to the boiling water. Stir to combine and let the water simmer for few minutes over medium heat.Once the spices and orange flavor is nicely infused into the water, turn off the heat. Strain the liquid into a large jug. Let the water cool down. Add the orange juice to the cooled infused water and stir to combine. Refrigerate the Orange Ice Tea for a couple of hours before you are ready to serve.To serve the Spiced Orange Iced Tea, add 1 to 2 ice cubes in each serving glass, pour the tea and garnish with lemon slices and fresh mint sprigs.Serve Spiced Orange Iced Tea as a refreshing drink for the hot summer days. 
</t>
  </si>
  <si>
    <t>Para preparar el Té Helado de Naranja Especiado, empieza pelando una naranja. Guarda la cáscara para aromatizar el té y exprime el zumo fresco de las rodajas. Reserva el zumo en un bol hasta que lo necesites. Hierve agua en una cacerola a fuego alto. Añade las hojas de té, la cáscara de naranja, el azúcar, la canela y el anís estrellado. Remueve para combinar y deja que el agua hierva a fuego lento durante unos minutos. Una vez que las especias y el sabor a naranja se hayan integrado bien en el agua, apaga el fuego. Cuela el líquido en una jarra grande. Deja que el agua se enfríe. Añade el zumo de naranja al agua infusionada fría y remueve para combinar. Refrigera el Té Helado de Naranja un par de horas antes de servirlo. Para servir el Té Helado de Naranja Especiado, añade 1 o 2 cubitos de hielo en cada vaso, vierte el té y decora con rodajas de limón y ramitas de menta fresca. Sirve el Té Helado de Naranja Especiado como una bebida refrescante para los calurosos días de verano.</t>
  </si>
  <si>
    <t>Pour préparer le thé glacé à l'orange épicé, commencez par peler l'orange. Conservez le zeste pour parfumer le thé et pressez le jus frais des tranches d'orange. Réservez le jus dans un bol jusqu'à utilisation. Faites bouillir l'eau dans une casserole à feu vif. Ajoutez les feuilles de thé, le zeste d'orange, le sucre, la cannelle et l'anis étoilé à l'eau bouillante. Mélangez et laissez mijoter quelques minutes à feu moyen. Une fois que les épices et l'arôme d'orange sont bien infusés dans l'eau, éteignez le feu. Filtrez le liquide dans une grande carafe. Laissez refroidir. Ajoutez le jus d'orange à l'eau infusée refroidie et mélangez. Réfrigérez le thé glacé à l'orange quelques heures avant de servir. Pour servir le thé glacé à l'orange épicé, ajoutez 1 à 2 glaçons dans chaque verre, versez le thé et décorez de tranches de citron et de brins de menthe fraîche. Servez le thé glacé à l'orange épicé comme une boisson rafraîchissante pour les chaudes journées d'été.</t>
  </si>
  <si>
    <t>http://www.archanaskitchen.com/spiced-orange-iced-tea-recipe</t>
  </si>
  <si>
    <t>Sesame Potato Toast Recipe</t>
  </si>
  <si>
    <t>Rezept für Sesam-Kartoffeltoast</t>
  </si>
  <si>
    <t>Recette de toast aux pommes de terre et au sésame</t>
  </si>
  <si>
    <t>Receta de tostadas de patata con sésamo</t>
  </si>
  <si>
    <t>1/4 tasse de graines de sésame (graines de Til), 4 pommes de terre (Aloo) - bouillies et pelées, 1 feuille de coriandre (Dhania) - finement hachée, 2 piments verts - finement hachés, pain français - coupé en tranches ou pain ordinaire, 2 cuillères à café de poudre de Chaat Masala, sel - au goût, beurre - pour faire frire le pain grillé</t>
  </si>
  <si>
    <t>1/4 cup Sesame seeds (Til seeds),4 Potatoes (Aloo) - boiled and peeled,1 Coriander (Dhania) Leaves - finely chopped,2 Green Chillies - finely chopped,French Loaf - cut into slices or regular bread,2 teaspoons Chaat Masala Powder,Salt - to taste,Butter - for frying the toast</t>
  </si>
  <si>
    <t>1/4 taza de semillas de sésamo (semillas de Til), 4 papas (Aloo) - hervidas y peladas, 1 hoja de cilantro (Dhania) - finamente picada, 2 chiles verdes - finamente picados, pan francés - cortado en rebanadas o pan normal, 2 cucharaditas de polvo de Chaat Masala, sal - al gusto, mantequilla - para freír las tostadas</t>
  </si>
  <si>
    <t xml:space="preserve">To begin making the Sesame Potato Toast, first boil the potatoes until soft. Peel and mash them when it is still hot.In a large mixing bowl, add the mashed potatoes, chopped coriander leaves, chopped green chillies and chaat masala. Check the salt and add more according to taste.Take a bread slice and apply 2 tablespoon of the mashed potato mixture on it.Pour the sesame seeds on a plate.Reverse the bread on which the mashed potato mixture has been applied on the plate with sesame seeds. Lightly press the bread on the sesame seeds, so the potato gets coated with sesame seeds.Heat a skillet on medium heat and add a dollop of butter. Now shallow fry the bread upside down with the sesame potato mixture facing downwards in the pan. Fry till the sesame seeds become slightly brownish. This should take around 10 Minutes.Then flip the bread to the other side and fry for a few more minutes until the bottom is slightly crisp and golden.Serve the Sesame Potato Toast as a tea time evening snack along with masala chai or as an appetizer for dinner parties.
</t>
  </si>
  <si>
    <t>Para comenzar a hacer la tostada de papa con sésamo, primero hierva las papas hasta que estén blandas. Pélelas y tritúrelas cuando aún estén calientes. En un tazón grande, agregue las papas trituradas, las hojas de cilantro picadas, los chiles verdes picados y el chaat masala. Verifique la sal y agregue más según el gusto. Tome una rebanada de pan y aplique 2 cucharadas de la mezcla de puré de papa sobre ella. Vierta las semillas de sésamo en un plato. Invierta el pan en el que se ha aplicado la mezcla de puré de papa en el plato con semillas de sésamo. Presione ligeramente el pan sobre las semillas de sésamo, para que la papa se cubra con semillas de sésamo. Caliente una sartén a fuego medio y agregue una cucharada de mantequilla. Ahora fría el pan boca abajo con la mezcla de papa con sésamo hacia abajo en la sartén. Fría hasta que las semillas de sésamo se vuelvan ligeramente marrones. Esto debería tomar alrededor de 10 minutos. Luego, dale la vuelta al pan y fríelo durante unos minutos más hasta que la parte inferior esté ligeramente crujiente y dorada. Sirve la tostada de patata con sésamo como un refrigerio para la hora del té junto con masala chai o como aperitivo para cenas.</t>
  </si>
  <si>
    <t>Pour commencer à préparer le toast de pommes de terre au sésame, faites d'abord bouillir les pommes de terre jusqu'à ce qu'elles soient tendres. Épluchez-les et écrasez-les lorsqu'elles sont encore chaudes. Dans un grand saladier, ajoutez la purée de pommes de terre, les feuilles de coriandre hachées, les piments verts hachés et le chaat masala. Vérifiez le sel et ajoutez-en plus selon votre goût. Prenez une tranche de pain et appliquez 2 cuillères à soupe du mélange de purée de pommes de terre dessus. Versez les graines de sésame dans une assiette. Retournez le pain sur lequel le mélange de purée de pommes de terre a été appliqué sur l'assiette avec les graines de sésame. Appuyez légèrement le pain sur les graines de sésame, afin que la pomme de terre soit enrobée de graines de sésame. Faites chauffer une poêle à feu moyen et ajoutez une cuillerée de beurre. Faites maintenant frire le pain à l'envers avec le mélange de pommes de terre au sésame vers le bas dans la poêle. Faites frire jusqu'à ce que les graines de sésame deviennent légèrement brunâtres. Cela devrait prendre environ 10 minutes. Retournez ensuite le pain de l'autre côté et faites-le frire pendant quelques minutes supplémentaires jusqu'à ce que le dessous soit légèrement croustillant et doré. Servez le toast aux pommes de terre et au sésame comme collation du soir à l'heure du thé avec du masala chai ou comme apéritif pour les dîners.</t>
  </si>
  <si>
    <t>http://www.archanaskitchen.com/sesame-potato-toast-recipe</t>
  </si>
  <si>
    <t xml:space="preserve">Cabbage, Bell Pepper and Apples with Sriracha Slaw Recipe </t>
  </si>
  <si>
    <t>Rezept für Kohl, Paprika und Äpfel mit Sriracha-Krautsalat</t>
  </si>
  <si>
    <t>Recette de chou, poivrons et pommes avec salade de chou sriracha</t>
  </si>
  <si>
    <t>Receta de repollo, pimiento y manzana con ensalada de col con sriracha</t>
  </si>
  <si>
    <t>1 tasse de chou (Patta Gobi/Muttaikose) - haché finement, 1 poivron rouge (Capsicum) - haché finement, 1 pomme - hachée finement, 1/4 tasse de Hung Curd (yaourt grec), 1 cuillère à soupe de sauce Sriracha, 1 cuillère à café de Tabasco Original - Sauce piquante, 1 cuillère à café de miel, 1 cuillère à soupe de graines de chia, sel et poivre - au goût</t>
  </si>
  <si>
    <t>1 cup Cabbage (Patta Gobi/ Muttaikose) - chopped finely,1 Red Bell pepper (Capsicum) - chopped finely,1 Apple - chopped finely,1/4 cup Hung Curd (Greek Yogurt),1 tablespoon Sriracha sauce,1 teaspoon Tabasco Original - Hot Sauce,1 teaspoon Honey,1 tablespoon Chia Seeds,Salt and Pepper - to taste</t>
  </si>
  <si>
    <t>1 taza de repollo (Patta Gobi/Muttaikose) - picado finamente, 1 pimiento rojo (Capsicum) - picado finamente, 1 manzana - picada finamente, 1/4 taza de Hung Curd (yogur griego), 1 cucharada de salsa Sriracha, 1 cucharadita de Tabasco Original - Salsa picante, 1 cucharadita de miel, 1 cucharada de semillas de chía, sal y pimienta - al gusto</t>
  </si>
  <si>
    <t xml:space="preserve">To begin making the Cabbage, Bell Pepper and Apples with Sriracha Slaw Recipe we will keep all the vegetables cut and ready in a bowl.Add yogurt, sriracha sauce, tobacco sauce, honey, salt and pepper and give it a mix. Check for seasonings again.Serve it in a bowl and sprinkle chia seeds over it.Serve the Cabbage, Bell Pepper and Apples with Sriracha Slaw Recipe along with burger or a sandwich to enjoy your lunch meal.
</t>
  </si>
  <si>
    <t>Para empezar a preparar la receta de ensalada de col, pimiento morrón y manzana con sriracha, tendremos todas las verduras cortadas y listas en un bol. Añada yogur, salsa sriracha, salsa de tabaco, miel, sal y pimienta y mezcle. Rectifique la sazón. Sírvalo en un bol y espolvoree semillas de chía por encima. Acompañe la receta de ensalada de col, pimiento morrón y manzana con sriracha con una hamburguesa o un sándwich para disfrutar de su almuerzo.</t>
  </si>
  <si>
    <t>Pour commencer la recette de chou, poivron et pommes avec salade de chou sriracha, nous conserverons tous les légumes coupés et prêts dans un bol. Ajoutez le yaourt, la sauce sriracha, la sauce tabac, le miel, le sel et le poivre, puis mélangez. Vérifiez l'assaisonnement. Servez dans un bol et parsemez de graines de chia. Servez la recette de chou, poivron et pommes avec salade de chou sriracha avec un hamburger ou un sandwich pour votre déjeuner.</t>
  </si>
  <si>
    <t>https://www.archanaskitchen.com/cabbage-bell-pepper-and-apples-with-sriracha-slaw-recipe</t>
  </si>
  <si>
    <t>Hash Browns With Chives Recipe</t>
  </si>
  <si>
    <t>Rezept für Rösti mit Schnittlauch</t>
  </si>
  <si>
    <t>Recette de Rösti à la ciboulette</t>
  </si>
  <si>
    <t>Receta de rösti de cebollino</t>
  </si>
  <si>
    <t>4 pommes de terre (Aloo), 2 pains complets, 1 œuf entier battu, 1 tasse de fromage râpé, 2 cuillères à soupe de ciboulette hachée, sel et poivre pour l'assaisonnement, 1 œuf entier pour pocher, 2 tomates en tranches épaisses, 1 cuillère à café de beurre, 3 cuillères à café d'huile d'olive extra vierge, 5 cubes de cheddar, sel de mer au goût</t>
  </si>
  <si>
    <t>4 Potatoes (Aloo),2 Whole Wheat Brown Bread,1 Whole Egg - beaten,1 cup Cheese - grated,2 tablespoons Chives - chopped,Salt and Pepper - for seasoning,1 Whole Egg - for poaching,2 Tomato - thick slices,1 teaspoon Butter,3 teaspoon Extra Virgin Olive Oil,5 Cheddar cheese - cubes,Sea salt - to taste</t>
  </si>
  <si>
    <t>4 papas (Aloo), 2 panes integrales, 1 huevo entero batido, 1 taza de queso rallado, 2 cucharadas de cebollino picado, sal y pimienta para condimentar, 1 huevo entero para escalfar, 2 tomates en rodajas gruesas, 1 cucharadita de mantequilla, 3 cucharaditas de aceite de oliva virgen extra, 5 cubos de queso cheddar, sal marina al gusto</t>
  </si>
  <si>
    <t xml:space="preserve">To begin making Green Tomato Hash Browns And Egg Poach Recipe, first peel the potatoes and grate it into a bowl. Rest the grated potatoes for ten minutes and squeeze out the juice from the potatoes.  Cut the bread in tiny pieces and add to potatoes. You can also tear up the bread and add them. Add in the salt and pepper, chopped chives and grated cheese into the bowl of grated potatoes. Add the beaten egg and mix all the ingredients well. Take a handful of the mixture and shape it like a hash brownsHeat a skillet on a low-medium heat with some butter and oil and place the hash browns. Cook on both sides and this process will take up to 15 minutes. Once the hash browns have browned on all side, take off the skillet and place it on kitchen paper towel for the oil to drain. Cut the Green Tomatoes into thick round pieces. Remove the seeds and centre of the tomato and place cheese cubes in it.On the same skillet, heat some butter and oil, fry the tomatoes with cheese for one minute on medium heat. Take off from the heat and place it on a serving dish. Serve the tomatoes on top of the hash browns and sprinkle pepper on top. Serve Hash Browns With Chives  with Toast, Homemade Fresh Orange Juice and Spinach Omelette on the side for a delicious breakfast.
</t>
  </si>
  <si>
    <t>Para comenzar a hacer la receta de papas hash brown con tomate verde y huevo escalfado, primero pele las papas y rállelas en un tazón. Deje reposar las papas ralladas durante diez minutos y exprima el jugo de las papas. Corte el pan en trozos pequeños y agréguelo a las papas. También puede desgarrar el pan y agregarlos. Agregue la sal y la pimienta, el cebollino picado y el queso rallado al tazón de papas ralladas. Agregue el huevo batido y mezcle bien todos los ingredientes. Tome un puñado de la mezcla y dale forma como una papa hash brown. Caliente una sartén a fuego medio-bajo con un poco de mantequilla y aceite y coloque las papas hash brown. Cocine por ambos lados y este proceso tomará hasta 15 minutos. Una vez que las papas hash brown se hayan dorado por todos lados, retire la sartén y colóquela sobre una toalla de papel de cocina para que escurra el aceite. Corte los tomates verdes en trozos redondos gruesos. Quita las semillas y el centro del tomate y coloca cubos de queso. En la misma sartén, calienta un poco de mantequilla y aceite, fríe los tomates con el queso durante un minuto a fuego medio. Retira del fuego y coloca en una fuente. Sirve los tomates sobre las papas hash brown y espolvorea pimienta por encima. Sirve las papas hash brown con cebollino con tostadas, jugo de naranja fresco casero y tortilla de espinacas como acompañamiento para un delicioso desayuno.</t>
  </si>
  <si>
    <t>Pour commencer à préparer la recette de galettes de pommes de terre aux tomates vertes et d'œufs pochés, épluchez d'abord les pommes de terre et râpez-les dans un bol. Laissez reposer les pommes de terre râpées pendant dix minutes et pressez-en le jus. Coupez le pain en petits morceaux et ajoutez-les aux pommes de terre. Vous pouvez également déchirer le pain et les ajouter. Ajoutez le sel et le poivre, la ciboulette hachée et le fromage râpé dans le bol de pommes de terre râpées. Ajoutez l'œuf battu et mélangez bien tous les ingrédients. Prenez une poignée du mélange et façonnez-le comme des galettes de pommes de terre. Faites chauffer une poêle à feu moyen-doux avec un peu de beurre et d'huile et placez les galettes de pommes de terre. Faites cuire des deux côtés et ce processus prendra jusqu'à 15 minutes. Une fois que les galettes de pommes de terre sont dorées de tous les côtés, retirez la poêle et placez-la sur du papier absorbant pour que l'huile s'égoutte. Coupez les tomates vertes en morceaux ronds et épais. Retirez les graines et le cœur de la tomate et placez-y les cubes de fromage. Dans la même poêle, faites chauffer un peu de beurre et d'huile, faites revenir les tomates avec le fromage pendant une minute à feu moyen. Retirez du feu et placez-les sur un plat de service. Servez les tomates sur les galettes de pommes de terre et saupoudrez de poivre. Servez les galettes de pommes de terre à la ciboulette avec du pain grillé, du jus d'orange frais maison et une omelette aux épinards pour un délicieux petit-déjeuner.</t>
  </si>
  <si>
    <t>https://www.archanaskitchen.com/hash-browns-with-chives-recipe</t>
  </si>
  <si>
    <t>Orange Zested Shortbread Cookie Recipe (Egg Free/Eggless)</t>
  </si>
  <si>
    <t>Rezept für Shortbread-Kekse mit Orangenschale (ohne/ohne Ei)</t>
  </si>
  <si>
    <t>Recette de biscuits sablés aux écorces d'orange (sans œuf)</t>
  </si>
  <si>
    <t>Receta de galletas de mantequilla con cáscara de naranja (sin huevo)</t>
  </si>
  <si>
    <t>2 tasses de farine tout usage (Maida), 1/4 cuillère à café de sel, 1 tasse de beurre (non salé) - à température ambiante, 1/2 tasse de sucre en poudre, 1 cuillère à café d'extrait de vanille, 1 cuillère à café de zeste d'orange (écorce), 200 grammes de chocolat noir - mi-sucré, 1/2 tasse de noisettes - légèrement grillées et en poudre (ou noix de cajou)</t>
  </si>
  <si>
    <t>2 cups All Purpose Flour (Maida),1/4 teaspoon Salt,1 cup Butter (unsalted) - at room temperature,1/2 cup Caster Sugar,1 teaspoon Vanilla Extract,1 teaspoon Orange Zest (Rind),200 grams Dark chocolate - semi sweet,1/2 cup Hazelnut - slightly toasted and powdered (or cashew nuts)</t>
  </si>
  <si>
    <t>2 tazas de harina para todo uso (Maida), 1/4 cucharadita de sal, 1 taza de mantequilla (sin sal) - a temperatura ambiente, 1/2 taza de azúcar extrafino, 1 cucharadita de extracto de vainilla, 1 cucharadita de ralladura de naranja (cáscara), 200 gramos de chocolate negro - semidulce, 1/2 taza de avellanas - ligeramente tostadas y en polvo (o anacardos)</t>
  </si>
  <si>
    <t xml:space="preserve">To begin making the Orange Zested Shortbread Cookies, in a bowl mix flour and salt and keep aside.In a large mixing bowl, add softened butter and sugar using a hand mixer until the mixture looks smooth and fluffy. Add the vanilla extract and the orange zest and beat in.Gradually add the add the flour and mix just until incorporated. Once you have a cookie dough mixture, shape the dough into a ball and flatten it into a 1/4 inch thick disk. Place it on a baking sheet, wrap the Orange Zested Shortbread Cookie Dough in a cling wrap. Place it in the refrigerator for at least an hour and allow the cookie dough to firm up. This process is important, as this process will make the cookie have a perfect texture once baked.After an hour, when you are ready to bake the cookies, preheat the oven to 180 C. Remove the cling wrap and place the cookie dough in the oven to bake. Bake until the cookies are golden in color for about 15 to 20 minutes. Once baked, remove from the oven and allow it to cool on a wired rack.The next step is to make the Chocolate Dipping Sauce.Finely chop the chocolate and melt it using a double boiler method or in microwave. Keep stirring intermittently until all the chocolate is melted. Dip one end of cooled cookies into the chocolate and sprinkle powdered hazelnut or cashew nut on both the sides. Place on a wired rack and allow the chocolate to set. Once chocolate hardens store in a air-tight container.Serve the Orange Zested Shortbread Cookies as a tea time snack for tea parties or even as a snack for kids.
</t>
  </si>
  <si>
    <t>Para comenzar a hacer las galletas de mantequilla con ralladura de naranja, en un tazón mezcle la harina y la sal y reserve. En un tazón grande, agregue la mantequilla suavizada y el azúcar con una batidora de mano hasta que la mezcla se vea suave y esponjosa. Agregue el extracto de vainilla y la ralladura de naranja y bata. Agregue gradualmente la harina y mezcle hasta que se incorpore. Una vez que tenga una mezcla de masa para galletas, forme una bola con la masa y aplánela en un disco de 1/4 de pulgada de grosor. Colóquela en una bandeja para hornear, envuelva la masa para galletas de mantequilla con ralladura de naranja en una envoltura adhesiva. Colóquela en el refrigerador durante al menos una hora y deje que la masa para galletas se reafirme. Este proceso es importante, ya que este proceso hará que la galleta tenga una textura perfecta una vez horneada. Después de una hora, cuando esté listo para hornear las galletas, precaliente el horno a 180 C. Retire la envoltura adhesiva y coloque la masa para galletas en el horno para hornear. Hornee hasta que las galletas estén doradas durante unos 15 a 20 minutos. Una vez horneadas, sáquelas del horno y déjelas enfriar sobre una rejilla. El siguiente paso es preparar la salsa de chocolate. Pique finamente el chocolate y derrítalo al baño maría o en el microondas. Remueva de vez en cuando hasta que se haya derretido todo el chocolate. Sumerja un extremo de las galletas frías en el chocolate y espolvoree avellana o anacardo en polvo por ambos lados. Colóquelas sobre una rejilla y deje que el chocolate se endurezca. Una vez que el chocolate se endurezca, guárdelas en un recipiente hermético. Sirva las galletas de mantequilla con ralladura de naranja como merienda para fiestas de té o incluso para niños.</t>
  </si>
  <si>
    <t>Pour commencer à préparer les biscuits sablés au zeste d'orange, dans un bol, mélanger la farine et le sel et réserver. Dans un grand bol, ajouter le beurre ramolli et le sucre à l'aide d'un batteur à main jusqu'à ce que le mélange soit lisse et mousseux. Ajouter l'extrait de vanille et le zeste d'orange et battre. Ajouter graduellement la farine et mélanger jusqu'à ce que le tout soit incorporé. Une fois que vous avez un mélange de pâte à biscuits, façonnez la pâte en boule et aplatissez-la en un disque de 1/4 de pouce d'épaisseur. Placez-la sur une plaque à pâtisserie, enveloppez la pâte à biscuits sablés au zeste d'orange dans un film alimentaire. Placez-la au réfrigérateur pendant au moins une heure et laissez la pâte à biscuits se raffermir. Ce processus est important, car ce processus donnera au biscuit une texture parfaite une fois cuit. Après une heure, lorsque vous êtes prêt à cuire les biscuits, préchauffez le four à 180 °C. Retirez le film alimentaire et placez la pâte à biscuits au four pour la cuisson. Faites cuire jusqu'à ce que les biscuits soient dorés pendant environ 15 à 20 minutes. Une fois cuits, retirez-les du four et laissez-les refroidir sur une grille. L'étape suivante consiste à préparer la sauce au chocolat. Hachez finement le chocolat et faites-le fondre au bain-marie ou au micro-ondes. Remuez par intermittence jusqu'à ce que tout le chocolat soit fondu. Trempez une extrémité des biscuits refroidis dans le chocolat et saupoudrez de poudre de noisette ou de noix de cajou des deux côtés. Placez-les sur une grille et laissez le chocolat prendre. Une fois le chocolat durci, conservez-le dans un récipient hermétique. Servez les biscuits sablés aux zestes d'orange comme collation pour le goûter ou même comme collation pour les enfants.</t>
  </si>
  <si>
    <t>https://www.archanaskitchen.com/orange-zested-shortbread-cookies-recipe-egg-free-egglesss</t>
  </si>
  <si>
    <t>Mango Popsicle Recipe</t>
  </si>
  <si>
    <t>Rezept für Mango-Eis am Stiel</t>
  </si>
  <si>
    <t>Recette de glace à la mangue sur un bâtonnet</t>
  </si>
  <si>
    <t>Receta de helado de mango en palito</t>
  </si>
  <si>
    <t>2 mangues (mûres), 4 cuillères à soupe de sucre, 1 tasse d'eau</t>
  </si>
  <si>
    <t>2 Mango (Ripe),4 tablespoons Sugar,1 cup Water</t>
  </si>
  <si>
    <t>2 mangos (maduros), 4 cucharadas de azúcar, 1 taza de agua</t>
  </si>
  <si>
    <t xml:space="preserve">To begin making the Mango Popsicle Recipe, remove skin of mangoes and chop the mangoes. Blend the blend with water and sugar in blender until smooth.Pour the mango juice in popsicle molds and cover them.Place them in freezer for at least 5-6 hours until set and ready to eat.Once they are set, keep popsicle molds under running water for few seconds and loose the molds from Popsicle and serve.Serve the delicious Mango Popsicle Recipe during the mango season so you and your kids can simply enjoy the summer season.
</t>
  </si>
  <si>
    <t>Para preparar la receta de paletas de mango, pela y pica los mangos. Licúa la mezcla con agua y azúcar hasta obtener una mezcla suave. Vierte el jugo de mango en moldes para paletas y cúbrelos. Colócalos en el congelador durante al menos 5-6 horas hasta que estén listos para comer. Una vez que estén listos, mantén los moldes bajo el chorro de agua durante unos segundos, desmolda y sirve. Sirve la deliciosa receta de paletas de mango durante la temporada de mango para que tú y tus hijos disfruten del verano.</t>
  </si>
  <si>
    <t>Pour commencer la recette de glaces à la mangue, épluchez les mangues et coupez-les en dés. Mixez le tout avec l'eau et le sucre au blender jusqu'à obtenir une consistance lisse. Versez le jus de mangue dans des moules à glaces et couvrez-les. Placez-les au congélateur pendant au moins 5 à 6 heures jusqu'à ce qu'ils soient pris et prêts à être dégustés. Une fois pris, passez les moules sous l'eau courante quelques secondes, décollez-les et servez. Servez cette délicieuse recette de glaces à la mangue pendant la saison des mangues pour que vous et vos enfants puissiez profiter pleinement de l'été.</t>
  </si>
  <si>
    <t>http://www.archanaskitchen.com/mango-popsicle-recipe</t>
  </si>
  <si>
    <t>Chocolate And Salted Caramel Tart Recipe</t>
  </si>
  <si>
    <t>Rezept für Schokoladen- und Salzkaramell-Tarte</t>
  </si>
  <si>
    <t>Recette de tarte au chocolat et caramel salé</t>
  </si>
  <si>
    <t>Receta de tarta de chocolate con caramelo salado</t>
  </si>
  <si>
    <t>1 1/4 tasse de flocons d'avoine - pas la variété à cuisson rapide, 3/4 tasse de farine de blé entier, 2 cuillères à soupe de poudre de cacao, 1/4 tasse de miel, 100 grammes de beurre (non salé) - pour une version végétalienne, utilisez 1/3 tasse d'huile de coco légèrement fondue, 2/3 tasse de cassonade (sucre Demerara), 100 grammes de beurre, 1/4 tasse de crème à fouetter épaisse, 1/4-1/2 cuillère à café de sel, 300 grammes de chocolat noir - coupé en petits morceaux, 1 tasse de crème à fouetter épaisse, pétales de rose séchés - pour la garniture (facultatif)</t>
  </si>
  <si>
    <t>1 1/4 cups Rolled Oats - not the quick cooking variety,3/4 cup Whole Wheat Flour,2 tablespoons Cocoa Powder,1/4 cup Honey,100 grams Butter (unsalted) - for a vegan version use 1/3 cup slightly melted coconut oil,2/3 cup Brown Sugar (Demerara Sugar),100 grams Butter,1/4 cup Heavy whipping cream,1/4-1/2 teaspoon Salt,300 grams Dark chocolate - chopped into small pieces,1 cup Heavy whipping cream,Dried rose petals - for garnish (optional)</t>
  </si>
  <si>
    <t>1 1/4 tazas de avena arrollada (no la variedad de cocción rápida), 3/4 taza de harina integral, 2 cucharadas de cacao en polvo, 1/4 taza de miel, 100 gramos de mantequilla (sin sal): para una versión vegana, use 1/3 taza de aceite de coco ligeramente derretido, 2/3 taza de azúcar morena (azúcar Demerara), 100 gramos de mantequilla, 1/4 taza de crema batida espesa, 1/4-1/2 cucharadita de sal, 300 gramos de chocolate negro, picado en trozos pequeños, 1 taza de crema batida espesa, pétalos de rosa secos - para decorar (opcional)</t>
  </si>
  <si>
    <t xml:space="preserve">To begin the preparation of Chocolate And Salted Caramel Tart, first preheat oven to 180C.In a food processor/mixer, add oats, whole wheat flour and cocoa powder; pulse till the oats are coarsely ground. Add honey and butter or coconut oil and pulse again till everything is mixed together and resembles wet sand.Press this mixture (I used my fingers) into the bottom and up the sides of a 9 inch round tart tin.Bake in the preheated oven for 20-25 minutes.Heat brown sugar and butter in a medium pan over medium heat, whisking constantly. Once the mixture starts to bubble, cook for a minute. Remove from the heat and slowly whisk in the cream until smooth. Add 1/4 teaspoon salt and stir to mix. Let the caramel cool, taste and add more salt if required.Place chocolate in a heat proof bowl. Heat the cream till almost boiling and add it to the chocolate. Let sit for 2-3 minutes and then stir gently till you have a smooth ganache. If any chocolate pieces remain, place bowl in the microwave for 20-30 seconds, till all the chocolate has melted. Let the ganache cool before using.Pour the caramel into the baked and cooled tart crust, refrigerate for 30 minutes to let the caramel set.Then pour the chocolate ganache on top and let it set; store covered in the refrigerator.Garnish with dried rose petals.Serve the Chocolate And Salted Caramel Tart as a delicious dessert at your next dinner party. You can serve it after a meal of  Schezwan Noodle Sandwich Recipe or American Chop Suey Recipe.
</t>
  </si>
  <si>
    <t>Para preparar la tarta de chocolate y caramelo salado, precaliente el horno a 180 °C. En un procesador de alimentos/batidora, agregue la avena, la harina integral y el cacao en polvo; procese hasta que la avena esté molida gruesa. Agregue la miel y la mantequilla o el aceite de coco y procese nuevamente hasta que todo esté bien integrado y parezca arena húmeda. Presione esta mezcla (yo usé los dedos) en el fondo y los lados de un molde redondo para tarta de 23 cm. Hornee en el horno precalentado durante 20-25 minutos. Caliente el azúcar moreno y la mantequilla en una sartén mediana a fuego medio, batiendo constantemente. Una vez que la mezcla comience a burbujear, cocine durante un minuto. Retire del fuego e incorpore la crema batiendo lentamente hasta que esté suave. Agregue 1/4 de cucharadita de sal y revuelva para mezclar. Deje enfriar el caramelo, pruebe y agregue más sal si es necesario. Coloque el chocolate en un recipiente resistente al calor. Caliente la crema hasta que casi hierva y agréguela al chocolate. Deje reposar de 2 a 3 minutos y luego revuelva suavemente hasta obtener una ganache suave. Si quedan trozos de chocolate, coloque el recipiente en el microondas durante 20-30 segundos, hasta que se haya derretido por completo. Deje enfriar el ganache antes de usarlo. Vierta el caramelo sobre la base de tarta horneada y fría, refrigere durante 30 minutos para que el caramelo cuaje. Luego, vierta el ganache de chocolate encima y deje que cuaje; guarde tapado en el refrigerador. Decore con pétalos de rosa secos. Sirva la tarta de chocolate y caramelo salado como un delicioso postre en su próxima cena. Puede servirla después de una comida de la Receta del Sándwich de Fideos Schezwan o la Receta del Chop Suey Americano.</t>
  </si>
  <si>
    <t>Pour commencer la préparation de la tarte au chocolat et au caramel salé, préchauffez le four à 180 °C. Dans un robot culinaire, ajoutez les flocons d'avoine, la farine complète et le cacao en poudre ; mixez jusqu'à ce que les flocons d'avoine soient grossièrement moulus. Ajoutez le miel et le beurre ou l'huile de coco et mixez à nouveau jusqu'à obtenir un mélange homogène et une consistance de sable humide. Tassez ce mélange (j'ai utilisé mes doigts) au fond et sur les bords d'un moule à tarte rond de 23 cm. Enfournez au four préchauffé pendant 20 à 25 minutes. Faites chauffer la cassonade et le beurre dans une casserole moyenne à feu moyen en fouettant constamment. Dès que le mélange commence à bouillonner, laissez cuire une minute. Retirez du feu et incorporez lentement la crème en fouettant jusqu'à obtenir une consistance lisse. Ajoutez 1/4 de cuillère à café de sel et mélangez. Laissez refroidir le caramel, goûtez et ajoutez du sel si nécessaire. Placez le chocolat dans un bol résistant à la chaleur. Portez la crème presque à ébullition et ajoutez-la au chocolat. Laissez reposer 2 à 3 minutes, puis remuez délicatement jusqu'à obtenir une ganache lisse. S'il reste des morceaux de chocolat, placez le bol au micro-ondes pendant 20 à 30 secondes, jusqu'à ce que tout le chocolat soit fondu. Laissez la ganache refroidir avant utilisation. Versez le caramel dans la pâte à tarte cuite et refroidie, puis réfrigérez 30 minutes pour laisser le caramel prendre. Versez ensuite la ganache au chocolat par-dessus et laissez prendre ; conservez au réfrigérateur, couverte. Décorez de pétales de rose séchés. Servez la tarte au chocolat et au caramel salé comme un délicieux dessert lors de votre prochain dîner. Vous pouvez la servir après un repas composé d'un sandwich aux nouilles Schezwan ou d'un chop suey américain.</t>
  </si>
  <si>
    <t>https://www.archanaskitchen.com/chocolate-and-salted-caramel-tart-recipe</t>
  </si>
  <si>
    <t>Horlicks Cookies Recipe</t>
  </si>
  <si>
    <t>Rezept für Horlicks-Kekse</t>
  </si>
  <si>
    <t>Recette de biscuits Horlicks</t>
  </si>
  <si>
    <t>Receta de galletas Horlicks</t>
  </si>
  <si>
    <t>1/2 tasse de beurre salé - à température ambiante, 1 tasse de Vivatta Maida, 1/3 tasse de sucre - granulé, 5 cuillères à soupe de Horlicks</t>
  </si>
  <si>
    <t>1/2 cup Salted butter - at room temperature,1 cup Vivatta Maida,1/3 cup Sugar - granulated,5 tablespoons Horlicks</t>
  </si>
  <si>
    <t>1/2 taza de mantequilla salada - a temperatura ambiente, 1 taza de Vivatta Maida, 1/3 taza de azúcar - granulada, 5 cucharadas de Horlicks</t>
  </si>
  <si>
    <t xml:space="preserve">To begin making the Horlicks Cookies recipe, preheat your oven to 160 C or 325 F.Line a cookie sheet with parchment or grease well. Add horlicks and flour in a bowl and whisk it properly. Keep it aside.Using an electric mixer or wooden spoon, beat the butter and sugar until light and fluffy. Add the flour, horlicks mixture and beat until a soft dough forms.Make balls of one teaspoonful of dough and place 2 inches apart on your prepared sheet.Using a fork, press down to flatten slightly and give the ridged pattern or just press down with your finger. Bake at 160C / 325F for 12 to 15 minutes until browning on the edges. They will still be soft to touch. Cool on pan for 5 minutes and then completely on a wire rack.Serve Horlicks Cookies along with Espresso Coffee for your tea time break.
</t>
  </si>
  <si>
    <t>Para empezar a hacer la receta de Galletas Horlicks, precalienta el horno a 160 °C o 325 °F. Cubre una bandeja para hornear galletas con papel pergamino o engrásala bien. Agrega las horlicks y la harina en un tazón y bate bien. Reserva. Con una batidora eléctrica o una cuchara de madera, bate la mantequilla y el azúcar hasta que esté suave y esponjosa. Agrega la harina, la mezcla de horlicks y bate hasta que se forme una masa suave. Forma bolas con una cucharadita de masa y colócalas separadas por 5 cm en la bandeja preparada. Con un tenedor, presiona hacia abajo para aplanar ligeramente y darle el patrón estriado o simplemente presiona hacia abajo con el dedo. Hornea a 160 °C / 325 °F durante 12 a 15 minutos hasta que se doren los bordes. Todavía estarán suaves al tacto. Deja enfriar en la bandeja durante 5 minutos y luego completamente sobre una rejilla de alambre. Sirve las Galletas Horlicks junto con Café Espresso para tu pausa del té.</t>
  </si>
  <si>
    <t>Pour commencer à préparer la recette des biscuits Horlicks, préchauffez votre four à 160 °C (325 °F). Recouvrez une plaque à biscuits de papier sulfurisé ou graissez-la bien. Ajoutez les biscuits Horlicks et la farine dans un bol et fouettez bien. Réservez. À l'aide d'un batteur électrique ou d'une cuillère en bois, battez le beurre et le sucre jusqu'à obtenir une consistance légère et mousseuse. Ajoutez la farine et le mélange de biscuits Horlicks et battez jusqu'à l'obtention d'une pâte molle. Formez des boules d'une cuillère à café de pâte et placez-les à 5 cm d'intervalle sur votre plaque préparée. À l'aide d'une fourchette, appuyez pour aplatir légèrement et donner un motif strié ou appuyez simplement avec votre doigt. Faites cuire au four à 160 °C (325 °F) pendant 12 à 15 minutes jusqu'à ce que les bords soient dorés. Ils seront encore mous au toucher. Laissez refroidir sur la plaque pendant 5 minutes, puis complètement sur une grille. Servez les biscuits Horlicks avec un café expresso pour votre pause thé.</t>
  </si>
  <si>
    <t>http://www.archanaskitchen.com/horlicks-cookies-recipe</t>
  </si>
  <si>
    <t>Watermelon And Corn Salad Recipe - A Refreshing Summer Salad</t>
  </si>
  <si>
    <t>Wassermelonen-Mais-Salat-Rezept – Ein erfrischender Sommersalat</t>
  </si>
  <si>
    <t>Recette de salade de maïs à la pastèque – Une salade d'été rafraîchissante</t>
  </si>
  <si>
    <t>Receta de ensalada de sandía y maíz: una ensalada refrescante para el verano</t>
  </si>
  <si>
    <t>2 tasses de pastèque - pelée et coupée en dés, 1 tasse de grains de maïs entiers Del Monte, 1/4 tasse de feuilles de basilic - lavées et hachées, 1/4 tasse de feuilles de menthe (Pudina) - lavées et hachées, 1 cuillère à soupe de jus de citron, sel - au goût, 1/2 cuillère à café de poudre de poivre noir, 2 cuillères à soupe de jalapeños marinés - hachés, 1 cuillère à soupe d'huile d'olive extra vierge, 1 cuillère à café de miel</t>
  </si>
  <si>
    <t>2 cups Watermelon - peeled and diced,1 cup Del Monte Whole Corn Kernels,1/4 cup Basil leaves - washed and chopped,1/4 cup Mint Leaves (Pudina) - washed and chopped,1 tablespoon Lemon juice,Salt - to taste,1/2 teaspoon Black pepper powder,2 tablespoons Pickled Jalapenos - chopped,1 tablespoon Extra Virgin Olive Oil,1 teaspoon Honey</t>
  </si>
  <si>
    <t>2 tazas de sandía - pelada y cortada en cubitos, 1 taza de granos de maíz enteros Del Monte, 1/4 taza de hojas de albahaca - lavadas y picadas, 1/4 taza de hojas de menta (Pudina) - lavadas y picadas, 1 cucharada de jugo de limón, sal - al gusto, 1/2 cucharadita de pimienta negra en polvo, 2 cucharadas de jalapeños en escabeche - picados, 1 cucharada de aceite de oliva virgen extra, 1 cucharadita de miel</t>
  </si>
  <si>
    <t xml:space="preserve">To begin making the Watermelon and Corn Salad, let us cook the corn in a pressure cooker.Place the pressure cooker on the flame, add 1 cup of raw corn kernels and ½ a cup of water, close the cooker and pressure cook for one whistle. Turn off the flame and release the pressure.Drain the corn and set aside.Transfer the corn into a mixing bowl along with the diced watermelon and place this bowl in the refrigerator and allow to chill.In the meanwhile, to make the Basil and Mint dressing, combine the ingredients- basil leaves, mint leaves, lemon juice, salt, black pepper powder, pickled jalapenos, olive oil and honey in a mixer jar. Make a coarse paste out of these ingredients.Transfer this dressing into the bowl with watermelon and corn, toss properly that watermelon and corn is properly coated with the dressing and serve.Serve this Watermelon and Corn Salad along with Chilled Spinach And Cucumber Soup Recipe and Herb Mushroom Bruschetta Recipe for light summer meal.
</t>
  </si>
  <si>
    <t>Para preparar la ensalada de sandía y maíz, cocinemos el maíz en una olla a presión. Coloque la olla a presión sobre el fuego, agregue 1 taza de granos de maíz crudos y ½ taza de agua, cierre la olla y cocine a presión durante un silbido. Apague el fuego y libere la presión. Escurra el maíz y reserve. Transfiera el maíz a un tazón junto con la sandía cortada en cubos y guarde este tazón en el refrigerador para que se enfríe. Mientras tanto, para preparar el aderezo de albahaca y menta, combine los ingredientes: hojas de albahaca, hojas de menta, jugo de limón, sal, pimienta negra en polvo, jalapeños encurtidos, aceite de oliva y miel en el vaso de una licuadora. Prepare una pasta gruesa con estos ingredientes. Vierta este aderezo en el tazón con la sandía y el maíz, revuelva bien para que la sandía y el maíz estén bien cubiertos con el aderezo y sirva. Sirva esta ensalada de sandía y maíz junto con la receta de sopa fría de espinacas y pepino y la receta de bruschetta de champiñones con hierbas para una comida ligera de verano.</t>
  </si>
  <si>
    <t>Pour préparer la salade de pastèque et de maïs, cuisons le maïs dans un autocuiseur. Placez l'autocuiseur sur le feu, ajoutez 250 ml de grains de maïs crus et 125 ml d'eau, fermez l'autocuiseur et laissez cuire sous pression pendant un sifflement. Éteignez le feu et relâchez la pression. Égouttez le maïs et réservez. Transférez le maïs dans un saladier avec les dés de pastèque et placez ce saladier au réfrigérateur. Pendant ce temps, pour préparer la vinaigrette basilic et menthe, mélangez les ingrédients suivants : feuilles de basilic, feuilles de menthe, jus de citron, sel, poivre noir en poudre, jalapeños marinés, huile d'olive et miel dans un bol. Préparez une pâte grossière avec ces ingrédients. Transférez cette vinaigrette dans le bol contenant la pastèque et le maïs, mélangez bien pour que la pastèque et le maïs soient bien enrobés de vinaigrette et servez. Servez cette salade de pastèque et de maïs avec la recette de soupe froide aux épinards et au concombre et la recette de bruschetta aux champignons et aux herbes pour un repas d'été léger.</t>
  </si>
  <si>
    <t>http://www.archanaskitchen.com/watermelon-and-corn-salad-recipe-a-refreshing-summer-salad</t>
  </si>
  <si>
    <t>Tuna Roasted Mushroom Sandwich Recipe with Tartare Dip Mayo</t>
  </si>
  <si>
    <t>Rezept für ein Thunfisch-Sandwich mit gerösteten Pilzen und Tartar-Dip-Mayonnaise</t>
  </si>
  <si>
    <t>Recette de sandwich au thon avec champignons rôtis et mayonnaise tartare</t>
  </si>
  <si>
    <t>Receta de sándwich de atún con champiñones asados ​​y mayonesa tártara</t>
  </si>
  <si>
    <t>2 pains ciabatta - coupés en deux, 125 grammes de thon en conserve - égoutté, 100 grammes de champignons de Paris - tranchés, 2 cuillères à soupe d'oignons - hachés, 2 cuillères à soupe d'olives noires - hachées, 1/2 tasse de tomates cerises - coupées en deux, 1 cuillère à café de jus de citron, 4 cuillères à soupe de sauce tartare Del Monte, feuilles de roquette - au besoin, huile d'olive extra vierge - au besoin, feuilles de thym frais - au besoin, sel - au goût, poudre de poivre noir - au goût, laitue romaine rouge - (ou toute laitue de votre choix)</t>
  </si>
  <si>
    <t>2 Ciabatta bread - halved,125 grams Canned tuna - drained,100 grams Button mushrooms - sliced,2 tablespoons Onions - chopped,2 tablespoons Black olives - chopped,1/2 cup Cherry tomatoes - halved,1 teaspoon Lemon juice,4 tablespoons Del Monte Tartare Dip,Rocket leaves - as required,Extra Virgin Olive Oil - as required,Fresh Thyme leaves - as required,Salt - to taste,Black pepper powder - to taste,Red Romaine lettuce - (or any lettuce of your choice)</t>
  </si>
  <si>
    <t>2 panes ciabatta - cortados por la mitad, 125 gramos Atún enlatado - escurrido, 100 gramos Champiñones - rebanados, 2 cucharadas Cebollas - picadas, 2 cucharadas Aceitunas negras - picadas, 1/2 taza Tomates cherry - cortados por la mitad, 1 cucharadita Jugo de limón, 4 cucharadas de salsa tártara Del Monte, Hojas de rúcula - al gusto, Aceite de oliva virgen extra - al gusto, Hojas de tomillo fresco - al gusto, Sal - al gusto, Pimienta negra en polvo - al gusto, Lechuga romana roja (o cualquier lechuga de su elección)</t>
  </si>
  <si>
    <t xml:space="preserve">To begin making Tuna Mushroom Tartare Dip Mayo Open Sandwich, pre heat the oven at 200 C.Drizzle few drops of olive on ciabatta slices. Sprinkle some and season with salt and pepper. Place it on a baking sheet and into to oven. Turn the oven setting to the broil more (grill on top).Broil or toast the slices in preheated oven for 7-8 minutes or until golden and crisp.Meanwhile, add 2 tablespoons of olive oil in a pan. Stir in the chopped garlic and saute for few seconds. Add onions and toss for a minute or until just pink and lightly cooked through.Add mushroom slices and toss on high for a couple of minutes. Season with salt and pepper, stir fry until most of the moisture is evaporated. once done, turn off the heat and keep aside. In a bowl, add tossed mushroom, tuna flakes, Del Monte Tartare Dip, lemon juice, black olives, cherry tomatoes, and mix well. Check the salt to taste and adjust accordingly.Take the slices of Ciabatta and layer it with bed of red romaine lettuce, it with prepared Tuna Mayo sandwich mixture and rocket leaves. Press the sandwich down to keep the filling in and serve.Serve the Tuna Roasted Mushroom Tartare Dip Mayo open Sandwich as a light wholesome breakfast, brunch and even as a lazy weekend meal.
</t>
  </si>
  <si>
    <t>Para comenzar a hacer el sándwich abierto de atún, champiñones y salsa tártara con mayonesa, precalienta el horno a 200 C. Rocía unas gotas de aceite de oliva en las rebanadas de ciabatta. Espolvorea un poco y sazona con sal y pimienta. Colócalo en una bandeja para hornear y en el horno. Cambia la configuración del horno a asar más (asar en la parte superior). Asa o tuesta las rebanadas en el horno precalentado durante 7-8 minutos o hasta que estén doradas y crujientes. Mientras tanto, agrega 2 cucharadas de aceite de oliva en una sartén. Agrega el ajo picado y saltea durante unos segundos. Agrega las cebollas y revuelve durante un minuto o hasta que estén rosadas y ligeramente cocidas. Agrega las rebanadas de champiñones y revuelve a fuego alto durante un par de minutos. Sazona con sal y pimienta, saltea hasta que la mayor parte de la humedad se haya evaporado. Una vez hecho esto, apaga el fuego y reserva. En un tazón, agrega los champiñones mezclados, las hojuelas de atún, la salsa tártara Del Monte, el jugo de limón, las aceitunas negras, los tomates cherry y mezcla bien. Pruebe la sal al gusto y ajuste el punto. Coloque las rebanadas de chapata sobre una cama de lechuga romana roja, la mezcla preparada para sándwich de atún con mayonesa y rúcula. Presione el sándwich para que no se pegue el relleno y sirva. Sirva el sándwich abierto de atún con champiñones asados ​​y salsa tártara con mayonesa como un desayuno ligero y saludable, un brunch o incluso como una comida relajada de fin de semana.</t>
  </si>
  <si>
    <t>Pour commencer à préparer un sandwich ouvert au tartare de thon, aux champignons et à la mayonnaise, préchauffez le four à 200 °C. Versez quelques gouttes d'huile d'olive sur les tranches de ciabatta. Saupoudrez-en un peu et assaisonnez de sel et de poivre. Placez-le sur une plaque à pâtisserie et enfournez. Réglez le four sur le gril (gril sur le dessus). Faites griller ou griller les tranches dans un four préchauffé pendant 7 à 8 minutes ou jusqu'à ce qu'elles soient dorées et croustillantes. Pendant ce temps, ajoutez 2 cuillères à soupe d'huile d'olive dans une poêle. Incorporez l'ail haché et faites revenir quelques secondes. Ajoutez les oignons et remuez pendant une minute ou jusqu'à ce qu'ils soient roses et légèrement cuits. Ajoutez les tranches de champignons et remuez à feu vif pendant quelques minutes. Assaisonnez de sel et de poivre, faites sauter jusqu'à ce que la majeure partie de l'humidité soit évaporée. Une fois terminé, éteignez le feu et réservez. Dans un bol, ajoutez les champignons sautés, les flocons de thon, la trempette tartare Del Monte, le jus de citron, les olives noires, les tomates cerises et mélangez bien. Vérifiez le sel à votre goût et ajustez en conséquence. Prenez les tranches de ciabatta et disposez-les sur un lit de laitue romaine rouge, puis sur le mélange à sandwich thon-mayo préparé et les feuilles de roquette. Appuyez sur le sandwich pour conserver la garniture et servez. Servez le sandwich ouvert au thon, champignons rôtis, tartare-mayo comme un petit-déjeuner léger et sain, un brunch ou même comme un repas de week-end tranquille.</t>
  </si>
  <si>
    <t>https://www.archanaskitchen.com/tuna-roasted-mushroom-sandwich-recipe-with-tartare-dip-mayo</t>
  </si>
  <si>
    <t>Dark Chocolate Cherry Cake Recipe</t>
  </si>
  <si>
    <t>Rezept für Kirschkuchen mit dunkler Schokolade</t>
  </si>
  <si>
    <t>Recette de gâteau aux cerises et au chocolat noir</t>
  </si>
  <si>
    <t>Receta de pastel de cereza y chocolate negro</t>
  </si>
  <si>
    <t>1/2 tasse de farine de blé entier (j'ai utilisé de la farine de blé biologique), 1/2 tasse de flocons d'avoine instantanés (gruau) en poudre, 3/4 tasse de sucre (j'ai utilisé du sucre brut biologique), 1/4 tasse de cacao en poudre, 1/4 tasse de chocolat noir haché, 1/3 tasse de cerises fraîches dénoyautées et hachées, 2 œufs entiers, 1/4 tasse d'huile de tournesol, 1/4 tasse d'eau chaude, 1/2 tasse de lait tiède, 1 cuillère à café d'extrait de vanille, 1 cuillère à café de levure chimique, une pincée de sel</t>
  </si>
  <si>
    <t>1/2 cup Whole Wheat Flour - (I used organic wheat flour),1/2 cup Instant Oats (Oatmeal) - powdered,3/4 cup Sugar - (I used organic raw sugar),1/4 cup Cocoa Powder,1/4 cup Dark chocolate - chopped,1/3 cup Fresh Cherries - pitted and chopped,2 Whole Eggs,1/4 cup Sunflower Oil,1/4 cup Hot water,1/2 cup Milk - warm,1 teaspoon Vanilla Extract,1 teaspoon Baking powder,Salt - a pinch</t>
  </si>
  <si>
    <t>1/2 taza de harina integral (yo usé harina de trigo orgánica), 1/2 taza de avena instantánea (avena) en polvo, 3/4 taza de azúcar (yo usé azúcar cruda orgánica), 1/4 taza de cacao en polvo, 1/4 taza de chocolate negro picado, 1/3 taza de cerezas frescas sin hueso y picadas, 2 huevos enteros, 1/4 taza de aceite de girasol, 1/4 taza de agua caliente, 1/2 taza de leche tibia, 1 cucharadita de extracto de vainilla, 1 cucharadita de polvo para hornear, sal - una pizca</t>
  </si>
  <si>
    <t xml:space="preserve">To begin making Dark Chocolate Cherry Cake Recipe, sift together the flours, cocoa powder, salt and baking powder in a mixing bowl for about 3-4 times.Beat the eggs well. To that, add sugar and beat well. Add vanilla extract and oil, mix them.Add the flour mixture alternating with milk, fold them lightly until they are incorporated, do not over mix.Add the boiling hot water to the batter and mix well. This step is very important for the right flavour of the chocolate.Add pitted cherries and dark chocolate chunks, fold them gently.Pour the batter into a greased baking dish and bake in a preheated oven at 180 degrees Celsius for 30-40 minutes or until toothpick comes out clean. Bake it according to your oven since the temperature, and capacity of baking differs with ovens.Serve Dark Chocolate Cherry Cake Recipe topped with more cherres along with Thai Ice Tea Recipe during evening.
</t>
  </si>
  <si>
    <t>Para empezar a preparar la receta de pastel de chocolate negro con cerezas, tamiza las harinas, el cacao en polvo, la sal y la levadura en polvo en un bol durante 3 o 4 veces. Bate bien los huevos. A esto, añade el azúcar y bate bien. Agrega el extracto de vainilla y el aceite, mézclalos. Agrega la mezcla de harina alternando con la leche, revolviendo ligeramente hasta que se incorporen, sin mezclar demasiado. Agrega el agua hirviendo a la masa y mezcla bien. Este paso es muy importante para el sabor correcto del chocolate. Agrega las cerezas deshuesadas y los trozos de chocolate negro, revolviendo suavemente. Vierte la masa en una fuente para horno engrasada y hornea en un horno precalentado a 180 grados Celsius durante 30-40 minutos o hasta que al insertar un palillo, este salga limpio. Hornéalo según las especificaciones de tu horno, ya que la temperatura y la capacidad de horneado varían según el horno. Sirve la receta de pastel de chocolate negro con cerezas por encima junto con la receta de té helado tailandés por la noche.</t>
  </si>
  <si>
    <t>Pour commencer à préparer le gâteau au chocolat noir et aux cerises, tamisez les farines, le cacao en poudre, le sel et la levure chimique dans un saladier pendant environ 3 à 4 fois. Battez bien les œufs. Ajoutez le sucre et battez bien. Ajoutez l'extrait de vanille et l'huile, mélangez. Ajoutez le mélange de farine en alternant avec le lait, incorporez délicatement jusqu'à ce qu'ils soient bien incorporés, sans trop mélanger. Ajoutez l'eau bouillante à la pâte et mélangez bien. Cette étape est essentielle pour obtenir le bon goût du chocolat. Ajoutez les cerises dénoyautées et les morceaux de chocolat noir, incorporez délicatement. Versez la pâte dans un plat de cuisson graissé et faites cuire au four préchauffé à 180 °C pendant 30 à 40 minutes ou jusqu'à ce qu'un cure-dent en ressorte propre. La cuisson varie selon votre four, car la température et la capacité de cuisson varient selon les fours. Servez le gâteau au chocolat noir et aux cerises garni de cerises et accompagné d'un thé glacé thaï en soirée.</t>
  </si>
  <si>
    <t>https://www.archanaskitchen.com/dark-chocolate-cherry-cake-recipe</t>
  </si>
  <si>
    <t>Spinach Omelette Recipe</t>
  </si>
  <si>
    <t>Spinat-Omelett-Rezept</t>
  </si>
  <si>
    <t>Recette d'omelette aux épinards</t>
  </si>
  <si>
    <t>Receta de tortilla de espinacas</t>
  </si>
  <si>
    <t>4 œufs entiers, 1 botte d'épinards, 6 oignons verts finement hachés, 1/2 cuillère à café de poudre de curcuma (Haldi), 2 cuillères à café de poudre de piment rouge, 1/2 cuillère à café de sel, 4 cuillères à soupe de lait, 2 cuillères à soupe d'huile d'olive extra vierge</t>
  </si>
  <si>
    <t>4 Whole Eggs,Spinach - 1 bunch,6 Spring Onion Greens - finely chopped,1/2 teaspoon Turmeric powder (Haldi),2 teaspoon Red Chilli powder,1/2 teaspoon Salt,4 tablespoons Milk,2 tablespoon Extra Virgin Olive Oil</t>
  </si>
  <si>
    <t>4 huevos enteros, espinacas - 1 manojo, 6 cebolletas verdes - finamente picadas, 1/2 cucharadita de cúrcuma en polvo (Haldi), 2 cucharaditas de chile rojo en polvo, 1/2 cucharadita de sal, 4 cucharadas de leche, 2 cucharadas de aceite de oliva virgen extra</t>
  </si>
  <si>
    <t xml:space="preserve">To begin making the Spinach Omelette first wash and chop the spinach into small pieces.Place the chopped spinach in a microwave safe bowl and lightly cook it in the microwave for just 1 minute. You do not want to turn it into a soggy, mushy spinach, but just take off the rawness.Next, break the eggs one by one into a mixing bowl. Using a fork, beat them nicely until fluffy.Add the turmeric powder and red chilli powder to the fluffy eggs and whisk once again.Next, add the chopped spring onion greens, and the microwaved chopped spinach and mix once again.Lastly, add the milk and salt, whisk lightly once again till everything is combined.Place a pan on the heat and spread the olive oil on it. Once warm, pour the beaten egg mixture into the pan and swirl the pan gently so the mixture spreads across the surface evenly.Using a spatula or spoon, evenly spread the spinach and spring onion greens all around the omelette.Cover the pan with a lid and cook the omelette on a medium heat for 7-10 minutes. Check to make sure the omelette isn’t burnt, now and then.After approximately 10 minutes, flip the omelette over to cook the other side, which will take about 5 more minutes.Once done and the omelette is cooked firm, turn off the heat and allow the omelette to remain in the pan for a minute more.Then transfer it on to a plate.Serve the Spinach Omelette with toasted bread and Chickoo Banana Date Smoothie Recipe for a wholesome breakfast.
</t>
  </si>
  <si>
    <t>Para preparar la tortilla de espinacas, primero lava y pica las espinacas en trozos pequeños. Coloca las espinacas picadas en un recipiente apto para microondas y cocínalas ligeramente durante 1 minuto. No las dejes demasiado blandas, solo quítales la parte cruda. Luego, rompe los huevos uno a uno en un tazón. Con un tenedor, bátelos bien hasta que estén esponjosos. Agrega la cúrcuma en polvo y el chile rojo en polvo a los huevos esponjosos y vuelve a batir. Después, agrega las hojas de cebolleta picadas y las espinacas picadas cocinadas en microondas y vuelve a mezclar. Por último, agrega la leche y la sal, y vuelve a batir ligeramente hasta que todo esté integrado. Calienta una sartén y úntala con aceite de oliva. Una vez caliente, vierta la mezcla de huevo batido en la sartén y remueva suavemente para que la mezcla se extienda uniformemente por la superficie. Con una espátula o cuchara, extienda uniformemente las hojas de espinaca y cebolleta alrededor de la tortilla. Tape la sartén y cocine la tortilla a fuego medio durante 7-10 minutos. Compruebe que la tortilla no se queme de vez en cuando. Después de aproximadamente 10 minutos, voltee la tortilla para cocinar el otro lado, lo que tomará unos 5 minutos más. Una vez lista y la tortilla esté bien cocida, apague el fuego y deje la tortilla en la sartén durante un minuto más. Luego, pásela a un plato. Sirva la tortilla de espinacas con pan tostado y la receta de batido de plátano y dátiles Chickoo para un desayuno saludable.</t>
  </si>
  <si>
    <t>Pour préparer l'omelette aux épinards, lavez et coupez les épinards en petits morceaux. Placez-les dans un bol allant au micro-ondes et faites-les cuire doucement pendant 1 minute. Évitez de les ramollir, retirez simplement leur croûte. Cassez ensuite les œufs un à un dans un saladier. À l'aide d'une fourchette, battez-les délicatement jusqu'à obtenir une consistance mousseuse. Ajoutez le curcuma et le piment rouge en poudre aux œufs et fouettez à nouveau. Ajoutez ensuite les feuilles d'oignons nouveaux hachées et les épinards hachés cuits au micro-ondes, puis mélangez à nouveau. Enfin, ajoutez le lait et le sel, puis fouettez à nouveau délicatement jusqu'à ce que le tout soit bien mélangé. Placez une casserole sur le feu et badigeonnez-la d'huile d'olive. Une fois chaude, versez le mélange d'œufs battus dans la poêle et remuez délicatement pour bien répartir le mélange. À l'aide d'une spatule ou d'une cuillère, répartissez uniformément les épinards et les oignons nouveaux tout autour de l'omelette. Couvrez la poêle et faites cuire l'omelette à feu moyen pendant 7 à 10 minutes. Vérifiez de temps en temps qu'elle n'est pas brûlée. Au bout de 10 minutes environ, retournez l'omelette pour cuire l'autre côté, ce qui prendra environ 5 minutes de plus. Une fois cuite et bien ferme, éteignez le feu et laissez-la reposer dans la poêle pendant une minute supplémentaire. Transférez ensuite dans une assiette. Servez l'omelette aux épinards avec du pain grillé et un smoothie Chickoo, banane et dattes pour un petit-déjeuner sain.</t>
  </si>
  <si>
    <t>https://www.archanaskitchen.com/spinach-omelette-recipe</t>
  </si>
  <si>
    <t>Cinnamon Rice Pudding With Cherry Compote Recipe</t>
  </si>
  <si>
    <t>Zimt-Milchreis mit Kirschkompott Rezept</t>
  </si>
  <si>
    <t>Recette de riz au lait à la cannelle et compote de cerises</t>
  </si>
  <si>
    <t>Receta de arroz con leche y canela con compota de cerezas</t>
  </si>
  <si>
    <t>1 tasse de riz basmati lavé, 2 tasses d'eau, 3 tasses de lait, 2 tasses de crème à fouetter épaisse, 1/2 tasse de lait concentré, 1 cuillère à café d'extrait de vanille, 1/2 cuillère à café d'essence d'amande (essence de Badam), 3/4 cuillère à café de cannelle en poudre (Dalchini), 1/2 cuillère à café de poudre de muscade, 1 tasse de cerises en conserve, 2 cuillères à café de sucre, 1 cuillère à café de farine de maïs, 1 cuillère à café d'extrait de vanille</t>
  </si>
  <si>
    <t>1 cup Basmati rice - washed,2 cup Water,3 cup Milk,2 cup Heavy whipping cream,1/2 cup Condensed Milk,1 teaspoon Vanilla Extract,1/2 teaspoon Almond essence (Badam Essence),3/4 teaspoon Cinnamon Powder (Dalchini),1/2 teaspoon Nutmeg powder,1 cup Canned Cherries,2 teaspoon Sugar,1 teaspoon Corn flour,1 teaspoon Vanilla Extract</t>
  </si>
  <si>
    <t>1 taza de arroz basmati - lavado, 2 tazas de agua, 3 tazas de leche, 2 tazas de crema batida espesa, 1/2 taza de leche condensada, 1 cucharadita de extracto de vainilla, 1/2 cucharadita de esencia de almendra (esencia de Badam), 3/4 cucharadita de canela en polvo (dalchini), 1/2 cucharadita de nuez moscada en polvo, 1 taza de cerezas enlatadas, 2 cucharaditas de azúcar, 1 cucharadita de harina de maíz, 1 cucharadita de extracto de vainilla</t>
  </si>
  <si>
    <t xml:space="preserve">To begin making, Cinnamon Rice Pudding with Cherry Compote, we will first start making the rice pudding. For making the rice pudding, Place a Sauce Pan With Handle on medium heat, add two cups of water and bring it to a boil.Once the water boils, add in the washed rice and let it cook for about 10 to 15 minutes on a low flame. Stir it at regular intervals so that the rice doesn't stick to bottom.Once the rice is half cooked and has absorbed all the water, add the milk and the heavy cream. Let it cook on medium flame for 4-5 minutes, stirring continuously.At this stage, add the condensed milk and mix well. Please check the sweetness of the rice mixture and adjust the quantity of the condensed milk accordingly.Let the rice mixture cook and reduce to half of its original quantity. Stir the rice mixture at regular intervals. Your rice mixture should become creamy at this stage and rice will be perfectly cooked by now. Turn of the heat and we will proceed towards seasoning the rice mixture.Add the vanilla essence, almond essence, cinnamon powder, nutmeg powder in the rice mixture and mix well.Meanwhile, to make the cherry compote, place a Sauce Pan With Handle on low heat and add the tinned cherries. On a low flame, let them simmer while you add sugar and mash the cherries using a spatula.At this stage, dissolve 1-1/2 teaspoon cornflour in 2 tablespoon water. Add the cornflour mixture to the cherry mixture and you will notice the cherry mixture beginning to thicken up. Let the cherry mixture boil on a low heat for 1-2 minutes.Turn off the heat and add vanilla essence. Mix the cherry mixture well and let it cool. Your cherry compote is ready.To serve Cinnamon Rice Pudding with Cherry Compote, put the rice pudding in a medium sized transparent dessert glass. Top it up with the cherry compote. Serve Cinnamon Rice Pudding With Cherry Compote as a dessert after a meal of Cheesy Baked Potato Gratin With Sweet Corn and Cheese Garlic Bread Recipe for a simple weekday dinner.
</t>
  </si>
  <si>
    <t>Para empezar a preparar el Arroz con Leche de Canela y Compota de Cerezas, primero prepararemos el arroz con leche. Para ello, ponga una cacerola con asa a fuego medio, añada dos tazas de agua y llévela a ebullición. Una vez que el agua hierva, añada el arroz lavado y cocine a fuego lento de 10 a 15 minutos. Remueva regularmente para que el arroz no se pegue al fondo. Una vez que el arroz esté medio cocido y haya absorbido toda el agua, añada la leche y la nata para montar. Cocine a fuego medio de 4 a 5 minutos, removiendo constantemente. En este punto, añada la leche condensada y mezcle bien. Compruebe el dulzor de la mezcla de arroz y ajuste la cantidad según corresponda. Deje que la mezcla de arroz se cocine y reduzca a la mitad su cantidad original. Remueva regularmente. En este punto, la mezcla de arroz debería adquirir una textura cremosa y el arroz estará perfectamente cocido. Apaga el fuego y procederemos a sazonar la mezcla de arroz. Agrega la esencia de vainilla, esencia de almendra, canela en polvo, nuez moscada en polvo a la mezcla de arroz y mezcla bien. Mientras tanto, para hacer la compota de cerezas, coloca una cacerola con asa a fuego lento y agrega las cerezas enlatadas. A fuego lento, déjalas hervir a fuego lento mientras agregas azúcar y machacas las cerezas con una espátula. En esta etapa, disuelve 1-1/2 cucharadita de harina de maíz en 2 cucharadas de agua. Agrega la mezcla de harina de maíz a la mezcla de cerezas y notarás que la mezcla de cerezas comienza a espesarse. Deja que la mezcla de cerezas hierva a fuego lento durante 1-2 minutos. Apaga el fuego y agrega esencia de vainilla. Mezcla bien la mezcla de cerezas y déjala enfriar. Tu compota de cerezas está lista. Para servir el arroz con leche con canela y compota de cerezas, coloca el arroz con leche en un vaso de postre transparente de tamaño mediano. Cúbrelo con la compota de cerezas. Sirva arroz con leche y canela con compota de cerezas como postre después de una comida de gratinado de papas al horno con queso, maíz dulce y pan de ajo con queso para una cena sencilla entre semana.</t>
  </si>
  <si>
    <t>Pour préparer le riz au lait à la cannelle et à la compote de cerises, nous allons commencer par préparer le riz au lait. Pour ce faire, placez une casserole à poignée sur feu moyen, ajoutez deux tasses d'eau et portez à ébullition. Une fois l'eau bouillante, ajoutez le riz lavé et laissez cuire 10 à 15 minutes à feu doux. Remuez régulièrement pour éviter que le riz n'attache. Une fois le riz à moitié cuit et absorbé, ajoutez le lait et la crème épaisse. Laissez cuire à feu moyen pendant 4 à 5 minutes en remuant constamment. Ajoutez ensuite le lait concentré et mélangez bien. Vérifiez la douceur du mélange de riz et ajustez la quantité de lait concentré en conséquence. Laissez cuire le mélange de riz et réduisez de moitié. Remuez régulièrement. Votre mélange de riz devrait alors devenir crémeux et être parfaitement cuit. Éteignez le feu et nous allons procéder à l'assaisonnement du mélange de riz. Ajoutez l'essence de vanille, l'essence d'amande, la cannelle en poudre, la noix de muscade en poudre dans le mélange de riz et mélangez bien. Pendant ce temps, pour préparer la compote de cerises, placez une casserole avec poignée sur feu doux et ajoutez les cerises en conserve. À feu doux, laissez-les mijoter pendant que vous ajoutez le sucre et écrasez les cerises à l'aide d'une spatule. À ce stade, dissolvez 1-1/2 cuillère à café de fécule de maïs dans 2 cuillères à soupe d'eau. Ajoutez le mélange de fécule de maïs au mélange de cerises et vous remarquerez que le mélange de cerises commence à épaissir. Laissez bouillir le mélange de cerises à feu doux pendant 1 à 2 minutes. Éteignez le feu et ajoutez l'essence de vanille. Mélangez bien le mélange de cerises et laissez-le refroidir. Votre compote de cerises est prête. Pour servir le riz au lait à la cannelle avec la compote de cerises, mettez le riz au lait dans un verre à dessert transparent de taille moyenne. Complétez avec la compote de cerises. Servez le riz au lait à la cannelle avec compote de cerises en dessert après un repas de gratin de pommes de terre au four au fromage avec maïs sucré et pain à l'ail au fromage pour un dîner simple en semaine.</t>
  </si>
  <si>
    <t>http://www.archanaskitchen.com/cinnamon-rice-pudding-with-cherry-compote-recipe</t>
  </si>
  <si>
    <t>Crepes Stuffed With Caramelized Banana Recipe</t>
  </si>
  <si>
    <t>Mit karamellisierten Bananen gefüllte Crêpes</t>
  </si>
  <si>
    <t>Crêpes fourrées aux bananes caramélisées</t>
  </si>
  <si>
    <t>Crepes rellenas de plátanos caramelizados</t>
  </si>
  <si>
    <t>1 tasse de farine de blé entier, 2 œufs entiers, 1 tasse de lait, 2 cuillères à café d'huile d'olive extra vierge, 1 pincée de sel, 1 cuillère à café de beurre, 2 bananes mûres - coupées dans le sens de la longueur, 1/4 tasse de cassonade (sucre Demerara), 2 cuillères à soupe de beurre, sauce au caramel - pour la garniture</t>
  </si>
  <si>
    <t>1 cup Whole Wheat Flour,2 Whole Eggs,1 cup Milk,2 teaspoons Extra Virgin Olive Oil,1 pinch Salt,1 teaspoon Butter,2 Ripe Bananas - cut lengthwise,1/4 cup Brown Sugar (Demerara Sugar),2 tablespoons Butter,Caramel Sauce - for garnish</t>
  </si>
  <si>
    <t>1 taza de harina integral, 2 huevos enteros, 1 taza de leche, 2 cucharaditas de aceite de oliva virgen extra, 1 pizca de sal, 1 cucharadita de mantequilla, 2 plátanos maduros cortados a lo largo, 1/4 taza de azúcar morena (azúcar Demerara), 2 cucharadas de mantequilla, salsa de caramelo - para decorar</t>
  </si>
  <si>
    <t xml:space="preserve">To begin making the Crepes Stuffed With Caramelized Banana Recipe, we will first get all the ingredients ready.To make the crepe, into a large mixing bowl, first blend all the ingredients together using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pan.The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other.The next step is to make the Caramelized bananas. Add the sugar to a platter and roll the sliced bananas over the brown sugar until it is completely coated. Heat butter on the pan over medium heat. Add bananas coated with brown sugar. Cook bananas until light to golden brown on both sides. When flipping over, do it gently so the bananas don't break out.Caramelize the bananas over medium heat so they get crisp and brown. Once done, cut them into small coins.Once done, spread the crepe out on a plate. Place a few caramelized bananas, add some whipped cream if required and serve immediately.Serve the Crepes Stuffed With Caramelized Banana along as a dessert for parties or even as a snack for kids and they will surely love them.
</t>
  </si>
  <si>
    <t>Para preparar la receta de Crepas Rellenas de Plátano Caramelizado, primero tendremos todos los ingredientes listos. En un tazón grande, licúe todos los ingredientes hasta obtener una mezcla homogénea. Luego, cuele la mezcla con un colador fino. Verter la mezcla en una jarra alta facilita la dosificación de la masa al preparar las crepas en una sartén caliente. Deje reposar la masa a temperatura ambiente de 15 a 20 minutos. Esto hará que las crepas queden suaves y esponjosas. Para preparar las crepas, caliente una crepera con borde a fuego medio. Unte con mantequilla o aceite uniformemente. Cuando la sartén se caliente, vierta la masa suficiente para cubrir la base y comience a inclinar y girar la sartén para extender la masa y hacer una película delgada en la superficie de la sartén. Las crepas se cocinan muy rápido y debe cocinarlas hasta que la parte inferior comience a dorarse un poco, luego levante suavemente los bordes y voltee la crepa para cocinarla por el otro lado durante unos segundos. Transfiera las crepas de trigo integral preparadas a una fuente y cúbralas con una tapa de domo para mantenerlas calientes y suaves. Proceda de la misma manera con la masa restante y apile las crepas una encima de la otra. El siguiente paso es hacer los plátanos caramelizados. Agregue el azúcar a una fuente y enrolle los plátanos en rodajas sobre el azúcar morena hasta que estén completamente cubiertos. Caliente la mantequilla en la sartén a fuego medio. Agregue los plátanos cubiertos con azúcar morena. Cocine los plátanos hasta que estén de un marrón claro a dorado por ambos lados. Al voltear, hágalo con cuidado para que los plátanos no se rompan. Caramelice los plátanos a fuego medio para que queden crujientes y dorados. Una vez listos, córtelos en rodajas pequeñas. Extienda la crepa en un plato. Coloque unos plátanos caramelizados, añada un poco de crema batida si lo desea y sirva inmediatamente. Sirva las crepas rellenas de plátano caramelizado como postre para fiestas o incluso como merienda para los niños; seguro que les encantarán.</t>
  </si>
  <si>
    <t>Pour préparer les crêpes fourrées à la banane caramélisée, préparez tous les ingrédients. Dans un grand saladier, mixez tous les ingrédients au blender jusqu'à obtenir une consistance lisse. Passez ensuite la préparation à travers une passoire fine. Versez le mélange dans un grand pichet pour faciliter le dosage de la pâte sur une poêle chaude. Laissez reposer la pâte à crêpes à température ambiante pendant 15 à 20 minutes. Les crêpes seront alors moelleuses et légères. Pour commencer, faites chauffer une crêpière à rebords à feu moyen. Beurrez-la ou huilez-la uniformément. Lorsque la poêle est chaude, versez juste assez de pâte pour couvrir le fond et commencez à incliner et à faire tourner la poêle pour étaler la pâte et former une fine pellicule à la surface de la poêle. Les crêpes cuisent très rapidement et vous devez les cuire jusqu'à ce que le fond commence à devenir un peu doré, puis soulevez délicatement les bords et retournez la crêpe pour cuire de l'autre côté pendant quelques secondes. Transférez les crêpes de blé entier préparées dans un plat et couvrez avec un couvercle en dôme pour les garder au chaud et moelleuses. Procédez de la même manière avec le reste de la pâte et empilez les crêpes les unes sur les autres. L'étape suivante consiste à préparer les bananes caramélisées. Ajoutez le sucre dans un plat et roulez les bananes tranchées sur la cassonade jusqu'à ce qu'elles soient complètement enrobées. Faites chauffer le beurre dans la poêle à feu moyen. Ajoutez les bananes enrobées de cassonade. Faites cuire les bananes jusqu'à ce qu'elles soient légèrement dorées des deux côtés. Lorsque vous les retournez, faites-le délicatement pour que les bananes ne se cassent pas. Caramélisez les bananes à feu moyen pour qu'elles deviennent croustillantes et dorées. Une fois cuites, coupez-les en petits rondelles. Une fois cuites, étalez la crêpe sur une assiette. Déposez quelques bananes caramélisées, ajoutez un peu de crème fouettée si nécessaire et servez immédiatement. Servez les crêpes fourrées à la banane caramélisée comme dessert pour les fêtes ou même comme goûter pour les enfants et ils les adoreront sûrement.</t>
  </si>
  <si>
    <t>https://www.archanaskitchen.com/crepes-stuffed-with-caramelized-banana-recipe</t>
  </si>
  <si>
    <t>Garlic &amp; Ginger Spiced Potato Wedges Recipe (Baked)</t>
  </si>
  <si>
    <t>Rezept für mit Knoblauch und Ingwer gewürzte Kartoffelecken (gebacken)</t>
  </si>
  <si>
    <t>Recette de quartiers de pommes de terre au four assaisonnés à l'ail et au gingembre</t>
  </si>
  <si>
    <t>Receta de patatas gajo al horno condimentadas con ajo y jengibre</t>
  </si>
  <si>
    <t>4 pommes de terre (Aloo), 4 cuillères à soupe d'huile d'olive extra vierge, 1 cuillère à soupe de pâte d'ail et de gingembre, 2 cuillères à soupe de flocons de piment rouge, 3 cuillères à soupe d'assaisonnement italien, 1 cuillère à soupe de feuilles de thym séchées, 1 cuillère à soupe d'eau</t>
  </si>
  <si>
    <t>4 Potatoes (Aloo),4 tablespoons Extra Virgin Olive Oil,1 tablespoon Ginger Garlic Paste,2 tablespoons Red Chilli flakes,3 tablespoons Italian seasoning,1 tablespoon Dried Thyme Leaves,1 tablespoon Water</t>
  </si>
  <si>
    <t>4 patatas (Aloo), 4 cucharadas de aceite de oliva virgen extra, 1 cucharada de pasta de jengibre y ajo, 2 cucharadas de hojuelas de chile rojo, 3 cucharadas de condimento italiano, 1 cucharada de hojas de tomillo secas, 1 cucharada de agua</t>
  </si>
  <si>
    <t xml:space="preserve">To bake this delicious Garlic &amp; Ginger Spiced Potato Wedges recipe, pre-heat the oven at 200 C for 10 Minutes. While the oven gets pre-heated, clean, peel and cut the potatoes into wedges of about 1/2 inch thick. Ensure that the thickness of wedges need to be uniform for even baking.Add them to a mixing bowl. Add olive oil, ginger-garlic paste, red chili flakes, rosemary, Italian seasoning, salt and mix well with clean hands. Let all the potato wedges be covered by oil, spices and seasoning.Line the baking tray with an aluminium foil/ line the tray with baking sheet. Arrange the potato wedges on the prepared tray in lines, such that they do not over-lap on one another.Sprinkle about a tablespoon of water in the baking tray.Bake this at 200 degree Celsius for about 30 Minutes.After 30 Minutes, carefully take out the baking tray and turn all the potato wedges to the other side.Again keep the baking tray with turned potato wedges in the oven and continue baking for another 20 Minutes at the same temperature.Serve these yummy guilt-free baked Potato Wedges spiced with garlic &amp; ginger along with any interesting dips like cottage cheese dip, yogurt dip, or tomato sauce as a side. These baked potato wedges are a great option to impress your valued guests!
</t>
  </si>
  <si>
    <t>Para hornear esta deliciosa receta de gajos de papa con especias de ajo y jengibre, precalienta el horno a 200 °C durante 10 minutos. Mientras se precalienta el horno, limpia, pela y corta las papas en gajos de aproximadamente 1,25 cm de grosor. Asegúrate de que el grosor de los gajos sea uniforme para una cocción uniforme. Colócalos en un tazón. Agrega aceite de oliva, pasta de jengibre y ajo, hojuelas de chile rojo, romero, condimento italiano, sal y mezcla bien con las manos limpias. Cubre todos los gajos de papa con aceite, especias y condimentos. Cubre la bandeja para hornear con papel aluminio o papel de horno. Coloca las papas gajo en la bandeja preparada, formando filas, de modo que no se superpongan. Rocía una cucharada de agua en la bandeja. Hornea a 200 grados Celsius durante unos 30 minutos. Después, retira con cuidado la bandeja y voltea las papas gajo. Mantén la bandeja con las papas gajo volteadas en el horno y continúa horneando durante otros 20 minutos a la misma temperatura. Sirve estas deliciosas papas gajo al horno, sin remordimientos, condimentadas con ajo y jengibre, junto con salsas interesantes como salsa de requesón, salsa de yogur o salsa de tomate. ¡Estas papas gajo al horno son una excelente opción para impresionar a tus invitados!</t>
  </si>
  <si>
    <t>Pour préparer cette délicieuse recette de quartiers de pommes de terre épicés à l'ail et au gingembre, préchauffez le four à 200 °C pendant 10 minutes. Pendant ce temps, lavez, épluchez et coupez les pommes de terre en quartiers d'environ 1,25 cm d'épaisseur. Assurez-vous que l'épaisseur des quartiers soit uniforme pour une cuisson uniforme. Placez-les dans un saladier. Ajoutez l'huile d'olive, la pâte d'ail et de gingembre, les flocons de piment rouge, le romarin, l'assaisonnement italien et le sel, puis mélangez bien avec les mains propres. Enrobez bien les quartiers d'huile, d'épices et d'assaisonnement. Recouvrez la plaque de cuisson de papier aluminium ou d'une feuille de cuisson. Disposez les quartiers de pommes de terre sur la plaque préparée en lignes, de manière à ce qu'ils ne se chevauchent pas. Versez environ une cuillère à soupe d'eau dans la plaque de cuisson. Faites cuire à 200 °C pendant environ 30 minutes. Après 30 minutes, retirez délicatement la plaque de cuisson et retournez tous les quartiers de pommes de terre de l'autre côté. Gardez à nouveau la plaque de cuisson avec les quartiers de pommes de terre retournés au four et poursuivez la cuisson pendant 20 minutes supplémentaires à la même température. Servez ces délicieux quartiers de pommes de terre cuits au four, épicés à l'ail et au gingembre, sans culpabilité, accompagnés de sauces originales comme une sauce au fromage blanc, une sauce au yaourt ou une sauce tomate en accompagnement. Ces quartiers de pommes de terre cuits au four sont une excellente option pour impressionner vos précieux invités !</t>
  </si>
  <si>
    <t>http://www.archanaskitchen.com/garlic-ginger-spiced-potato-wedges-recipe-baked</t>
  </si>
  <si>
    <t>Apricot Muesli Coffee Slice Recipe</t>
  </si>
  <si>
    <t>Aprikosen-Müsli-Kaffeeschnitten-Rezept</t>
  </si>
  <si>
    <t>Recette de tranches de café et de muesli aux abricots</t>
  </si>
  <si>
    <t>Receta de muesli de albaricoque y rebanadas de café</t>
  </si>
  <si>
    <t>1 tasse de farine de ragi (millet des doigts/nagli), 1/3 tasse de jaggery en poudre, 2 tasses de muesli, 2 cuillères à soupe de café instantané en poudre, 1 cuillère à soupe d'huile d'olive extra vierge, 1 tasse de caillé (dahi/yaourt) faible en gras, 1 cuillère à café d'extrait de vanille, 1/2 tasse d'abricots hachés, 2 blancs d'œufs</t>
  </si>
  <si>
    <t>1 cup Ragi Flour (Finger Millet/ Nagli),1/3 cup Jaggery - powdered,2 cups Muesli,2 tablespoons Instant Coffee Powder,1 tablespoon Extra Virgin Olive Oil,1 cup Curd (Dahi / Yogurt) - Low Fat,1 teaspoon Vanilla Extract,1/2 cup Apricots - chopped,2 Egg whites</t>
  </si>
  <si>
    <t>1 taza de harina de ragi (mijo de dedo/nagli), 1/3 taza de jaggery en polvo, 2 tazas de muesli, 2 cucharadas de café instantáneo en polvo, 1 cucharada de aceite de oliva virgen extra, 1 taza de cuajada (dahi/yogur) baja en grasa, 1 cucharadita de extracto de vainilla, 1/2 taza de albaricoques picados, 2 claras de huevo</t>
  </si>
  <si>
    <t xml:space="preserve">We begin making the Apricot Muesli Coffee Slice Recipe by whisking in the yogurt, egg white and vanilla essence till it combines.Then slowly add in the coffee powder, muesli, ragi flour, apricots, oil and mix well. Whisk till everything combines.Pre heat the oven at 180 degree Celsius to 10 minutes. Meanwhile Grease a flat brownie baking tray with oil. Place a parchment paper below and pour in the batter and flatten it like a brownie batter.Bake it in the oven for about 30 minutes and take it out, rest for few minutes and cut them into slices. Serve the Apricot Muesli Coffee Slice Recipe as a healthy snack after school or during the Tea Time with hot cup of Tea.
</t>
  </si>
  <si>
    <t>Comenzamos haciendo la Receta de Tostada de Café con Muesli de Albaricoque batiendo el yogur, la clara de huevo y la esencia de vainilla hasta que se combinen. Luego, agregue lentamente el café en polvo, el muesli, la harina de ragi, los albaricoques, el aceite y mezcle bien. Bata hasta que todo se combine. Precaliente el horno a 180 grados Celsius a 10 minutos. Mientras tanto, engrase una bandeja para hornear brownies plana con aceite. Coloque un papel pergamino debajo y vierta la masa y aplánela como una masa de brownie. Hornee en el horno durante unos 30 minutos y sáquelo, deje reposar unos minutos y córtelo en rodajas. Sirva la Receta de Tostada de Café con Muesli de Albaricoque como un refrigerio saludable después de la escuela o durante la Hora del Té con una taza de Té caliente.</t>
  </si>
  <si>
    <t>Nous commençons à préparer la recette de tranches de café au muesli et aux abricots en fouettant le yaourt, le blanc d'œuf et l'essence de vanille jusqu'à ce que le tout soit bien mélangé. Ensuite, ajoutez lentement la poudre de café, le muesli, la farine de ragi, les abricots, l'huile et mélangez bien. Fouettez jusqu'à ce que tout soit bien mélangé. Préchauffez le four à 180 degrés Celsius pendant 10 minutes. Pendant ce temps, graissez une plaque de cuisson à brownie plate avec de l'huile. Placez une feuille de papier sulfurisé en dessous et versez la pâte et aplatissez-la comme une pâte à brownie. Faites cuire au four pendant environ 30 minutes, puis sortez-la, laissez reposer quelques minutes et coupez-les en tranches. Servez la recette de tranches de café au muesli et aux abricots comme une collation saine après l'école ou pendant l'heure du thé avec une tasse de thé chaud.</t>
  </si>
  <si>
    <t>https://www.archanaskitchen.com/apricot-muesli-coffee-slice-recipe</t>
  </si>
  <si>
    <t>Banana Yogurt and Walnut Smoothie Recipe</t>
  </si>
  <si>
    <t>Rezept für Bananen-Joghurt-Walnuss-Smoothie</t>
  </si>
  <si>
    <t>Recette de smoothie banane, yaourt et noix</t>
  </si>
  <si>
    <t>Receta de batido de plátano, yogur y nueces</t>
  </si>
  <si>
    <t>4 bananes mûres - pelées et hachées, 1 tasse de caillé (Dahi / Yaourt), 2 cuillères à café de poudre de cannelle (Dalchini), 2 cuillères à soupe de miel, 6 noix - livre, Eau - selon les besoins</t>
  </si>
  <si>
    <t>4 Ripe Bananas - peeled and chopped,1 cup Curd (Dahi / Yogurt),2 teaspoon Cinnamon Powder (Dalchini),2 tablespoon Honey,6 Walnuts - pound,Water - as required</t>
  </si>
  <si>
    <t>4 plátanos maduros, pelados y picados, 1 taza de cuajada (dahi/yogur), 2 cucharaditas de canela en polvo (dalchini), 2 cucharadas de miel, 6 nueces (una libra), agua (la necesaria)</t>
  </si>
  <si>
    <t xml:space="preserve">To begin making the Banana Yogurt and Walnut Smoothie Recipe by add the ripe bananas, curd, cinnamon powder and honey into a blender and blend well to form smooth mixture. Adjust the consistency if required by adding water into the banana smoothie mixture.Pour the Banana Yogurt Smoothie into a glass and sprinkle walnuts on top and serve.Serve the Banana Yogurt and Walnut Smoothie Recipe  as a healthy way to start your Breakfast Meal along with an Omelette or Scrambled Egg Sandwich Recipe With Cucumber.
</t>
  </si>
  <si>
    <t>Para comenzar a preparar la receta de batido de plátano, yogur y nueces, agregue los plátanos maduros, la cuajada, la canela en polvo y la miel a una licuadora y mezcle bien hasta obtener una mezcla suave. Ajuste la consistencia si es necesario agregando agua a la mezcla de batido de plátano. Vierta el batido de plátano, yogur y nueces en un vaso, espolvoree nueces por encima y sirva. Sirva la receta de batido de plátano, yogur y nueces como una forma saludable de comenzar su desayuno junto con una receta de tortilla o sándwich de huevo revuelto con pepino.</t>
  </si>
  <si>
    <t>Pour commencer à préparer la recette de smoothie banane-yogourt et noix, ajoutez les bananes mûres, le caillé, la cannelle en poudre et le miel dans un mixeur et mélangez bien pour obtenir un mélange lisse. Ajustez la consistance si nécessaire en ajoutant de l'eau au mélange de smoothie à la banane. Versez le smoothie banane-yogourt dans un verre, saupoudrez de noix et servez. Servez la recette de smoothie banane-yogourt et noix comme une façon saine de commencer votre petit-déjeuner, accompagnée d'une omelette ou d'un sandwich aux œufs brouillés au concombre.</t>
  </si>
  <si>
    <t>http://www.archanaskitchen.com/banana-yogurt-and-walnut-smoothie-recipe</t>
  </si>
  <si>
    <t>Mango Milkshake Recipe - Mango Smoothie</t>
  </si>
  <si>
    <t>Mango-Milchshake-Rezept – Mango-Smoothie</t>
  </si>
  <si>
    <t>Recette de milkshake à la mangue – Smoothie à la mangue</t>
  </si>
  <si>
    <t>Receta de batido de mango – Smoothie de mango</t>
  </si>
  <si>
    <t>2 tasses de mangue (mûre) - hachée, 2 tasses de lait, 2 cuillères à café de sucre</t>
  </si>
  <si>
    <t>2 cups Mango (Ripe) - chopped,2 cups Milk,2 teaspoons Sugar</t>
  </si>
  <si>
    <t>2 tazas de mango (maduro) picado, 2 tazas de leche, 2 cucharaditas de azúcar</t>
  </si>
  <si>
    <t xml:space="preserve">To begin making Mango Milkshake Recipe, you can use chilled milk and mangoes to make this Milkshake.Add the mangoes, milk and sugar into a blender and blend until smooth. Transfer Mango Milkshake into serving glass and serve chill. You could add some ice cubes when blending if you would like a really cold mango milk shake. Serve Mango Milkshake Recipe along with Spicy Indian Style Frittata and Bread Toast for a delicious weekday breakfast.
</t>
  </si>
  <si>
    <t>Para empezar a preparar la receta de batido de mango, puedes usar leche fría y mangos. Agrega los mangos, la leche y el azúcar a una licuadora y licúa hasta obtener una mezcla suave. Vierte el batido de mango en un vaso y sírvelo frío. Puedes agregar algunos cubitos de hielo al licuar si deseas un batido de mango bien frío. Sirve el batido de mango junto con una frittata picante estilo indio y pan tostado para un delicioso desayuno entre semana.</t>
  </si>
  <si>
    <t>Pour commencer à préparer une recette de milkshake à la mangue, vous pouvez utiliser du lait froid et des mangues. Ajoutez les mangues, le lait et le sucre dans un mixeur et mixez jusqu'à obtenir une consistance lisse. Versez le milkshake à la mangue dans un verre et servez frais. Vous pouvez ajouter des glaçons lors du mixage si vous souhaitez un milkshake à la mangue bien froid. Servez la recette de milkshake à la mangue avec une frittata épicée à l'indienne et du pain grillé pour un délicieux petit-déjeuner en semaine.</t>
  </si>
  <si>
    <t>https://www.archanaskitchen.com/mango-milkshake-recipe-mango-smoothie</t>
  </si>
  <si>
    <t>Strawberry Salad Recipe</t>
  </si>
  <si>
    <t>Erdbeersalat-Rezept</t>
  </si>
  <si>
    <t>recette de salade de fraises</t>
  </si>
  <si>
    <t>receta de ensalada de fresas</t>
  </si>
  <si>
    <t>10 à 12 fraises coupées en gros morceaux, 1 oignon de petite taille, 1 concombre anglais coupé en tranches, 3 brins de feuilles de coriandre (Dhania), 1/4 tasse d'huile d'olive extra vierge, 1 cuillère à soupe de flocons de piment rouge, sel au goût, 1/2 cuillère à café de miel</t>
  </si>
  <si>
    <t>10 to 12 Strawberries - chopped into huge chunks,1 Onion - small sized,1 English Cucumber - sliced,3 sprig Coriander (Dhania) Leaves,1/4 cup Extra Virgin Olive Oil,1 tablespoon Red Chilli flakes,Salt - to taste,1/2 teaspoon Honey</t>
  </si>
  <si>
    <t>10 a 12 fresas cortadas en trozos grandes, 1 cebolla pequeña, 1 pepino inglés en rodajas, 3 ramitas de hojas de cilantro (Dhania), 1/4 taza de aceite de oliva virgen extra, 1 cucharada de hojuelas de chile rojo, sal al gusto, 1/2 cucharadita de miel</t>
  </si>
  <si>
    <t xml:space="preserve">To begin making Strawberry Salad Recipe, get all the ingredients handy.Mix all the ingredients for dressing like the extra virgin olive oil,red chilli flakes, salt and honey in a small mixing bowl and let it sit for 5 minsToss in strawberries, cucumber and onion slices in a bowl. Drizzle the dressing over it and give it a good mix.Beat the summer heat with this Strawberry Salad Recipe along with some extra dressing on the side. You can also serve it with some bread to go with it.Serve Strawberry Salad along with Cream of Celery Soup and Whole Wheat Rosemary Focaccia Bread for a light and healthy dinner.
</t>
  </si>
  <si>
    <t>Para empezar a preparar la receta de ensalada de fresas, ten todos los ingredientes a mano. Mezcla todos los ingredientes para el aderezo, como el aceite de oliva virgen extra, las hojuelas de chile rojo, la sal y la miel, en un tazón pequeño y deja reposar durante 5 minutos. Agrega las fresas, el pepino y las rodajas de cebolla en un tazón. Rocía el aderezo por encima y mezcla bien. Combate el calor del verano con esta receta de ensalada de fresas, junto con un poco de aderezo extra. También puedes servirla con pan para acompañar. Sirve la ensalada de fresas junto con la crema de apio y el pan focaccia integral con romero para una cena ligera y saludable.</t>
  </si>
  <si>
    <t>Pour commencer à préparer une salade de fraises, munissez-vous de tous les ingrédients. Mélangez tous les ingrédients de la vinaigrette, comme l'huile d'olive extra vierge, les flocons de piment rouge, le sel et le miel, dans un petit saladier et laissez reposer 5 minutes. Ajoutez les fraises, le concombre et les tranches d'oignon dans un bol. Arrosez de vinaigrette et mélangez bien. Combattez la chaleur estivale avec cette salade de fraises, accompagnée d'un peu de vinaigrette. Vous pouvez également la servir avec du pain. Servez la salade de fraises avec une crème de céleri et du pain focaccia complet au romarin pour un dîner léger et sain.</t>
  </si>
  <si>
    <t>https://www.archanaskitchen.com/strawberry-salad-recipe</t>
  </si>
  <si>
    <t>Zucchini Salad with Barbecue Sauce Dressing Recipe</t>
  </si>
  <si>
    <t>Rezept für Zucchinisalat mit Barbecue-Dressing</t>
  </si>
  <si>
    <t>Recette de salade de courgettes à la vinaigrette barbecue</t>
  </si>
  <si>
    <t>Receta de ensalada de calabacín con aderezo barbacoa</t>
  </si>
  <si>
    <t>1 courgette verte - coupée en fines lanières, 1 carotte (Gajjar) - coupée en fines lanières, 1/2 poivron jaune (Capsicum) - coupé en fines lanières, 1/2 poivron rouge (Capsicum) - coupé en fines lanières, 2 cuillères à café de graines de sésame (graines de Til) - blanches, 1 cuillère à café d'herbes mélangées (séchées), 3 cuillères à soupe de sauce barbecue, 1 cuillère à soupe de jus de citron, 1 cuillère à café de flocons de piment rouge, 2 cuillères à café d'huile d'olive extra vierge, sel - au goût</t>
  </si>
  <si>
    <t>1 Green zucchini -  cut into thin strips,1 Carrot (Gajjar) -  cut into thin strips,1/2 Yellow Bell Pepper (Capsicum) - cut into thin strips,1/2 Red Bell pepper (Capsicum) - cut into thin strips,2 teaspoons Sesame seeds (Til seeds) - white,1 teaspoon Mixed Herbs (Dried),3 tablespoons Barbeque sauce,1 tablespoon Lemon juice,1 teaspoon Red Chilli flakes,2 teaspoons Extra Virgin Olive Oil,Salt - to taste</t>
  </si>
  <si>
    <t>1 calabacín verde - cortado en tiras finas, 1 zanahoria (Gajjar) - cortada en tiras finas, 1/2 pimiento amarillo (Capsicum) - cortado en tiras finas, 1/2 pimiento rojo (Capsicum) - cortado en tiras finas, 2 cucharaditas de semillas de sésamo (semillas de Til) - blancas, 1 cucharadita de hierbas mixtas (secas), 3 cucharadas de salsa barbacoa, 1 cucharada de jugo de limón, 1 cucharadita de hojuelas de chile rojo, 2 cucharaditas de aceite de oliva virgen extra, sal - al gusto</t>
  </si>
  <si>
    <t xml:space="preserve">To begin making the Zucchini Salad with Barbecue Sauce Dressing Recipe, cut all the vegetables into thin strips. Combine them all and allow it to chill in the refrigerator.To make the Barbecue Sauce Dressing, in a bowl combine, the barbeque sauce, lemon juice, chilli flakes, olive oil and salt. Mix the dressing well.In a mixing bowl, toss the vegetables with the Barbecue Sauce Dressing and serve it in a bowl. Garnish with mixed herbs and sesame seedsServe this Zucchini Salad with Barbecue Sauce Dressing Recipe along with Beetroot Gazpacho Soup Recipe and Chicken And Cheese Sandwich With Avocado Recipe for a light summer meal.
</t>
  </si>
  <si>
    <t>Para empezar a preparar la receta de ensalada de calabacín con aderezo de salsa barbacoa, corta todas las verduras en tiras finas. Mézclalas y deja enfriar en el refrigerador. Para preparar el aderezo de salsa barbacoa, en un tazón combina la salsa barbacoa, el jugo de limón, las hojuelas de chile, el aceite de oliva y la sal. Mezcla bien el aderezo. En un tazón, mezcla las verduras con el aderezo de salsa barbacoa y sirve en un tazón. Decora con hierbas mixtas y semillas de sésamo. Sirve esta receta de ensalada de calabacín con aderezo de salsa barbacoa junto con la receta de sopa de gazpacho de remolacha y la receta de sándwich de pollo y queso con aguacate para una comida ligera de verano.</t>
  </si>
  <si>
    <t>Pour commencer la préparation de la salade de courgettes à la sauce barbecue, coupez tous les légumes en fines lamelles. Mélangez-les et laissez refroidir au réfrigérateur. Pour la sauce barbecue, mélangez dans un bol la sauce barbecue, le jus de citron, les flocons de piment, l'huile d'olive et le sel. Mélangez bien la vinaigrette. Dans un saladier, mélangez les légumes avec la sauce barbecue et servez. Garnissez d'herbes mélangées et de graines de sésame. Servez cette salade de courgettes à la sauce barbecue avec la soupe gaspacho à la betterave et le sandwich au poulet et au fromage à l'avocat pour un repas d'été léger.</t>
  </si>
  <si>
    <t>http://www.archanaskitchen.com/zucchini-salad-with-barbecue-sauce-dressing-recipe</t>
  </si>
  <si>
    <t>Summer Lettuce Salad with Cucumber, Tomato &amp; Feta Recipe</t>
  </si>
  <si>
    <t>Sommerlicher Blattsalat mit Gurke, Tomate und Feta Rezept</t>
  </si>
  <si>
    <t>Recette de salade de feuilles d'été au concombre, à la tomate et à la feta</t>
  </si>
  <si>
    <t>Receta de ensalada de hojas de verano con pepino, tomate y queso feta</t>
  </si>
  <si>
    <t>1 tasse de feuilles de laitue - déchirées en petits morceaux, 2 tomates - pulpe retirée et coupée dans le sens de la longueur, 1 concombre anglais - coupé dans le sens de la longueur, 1/4 tasse de fromage feta, 1 cuillère à soupe d'huile d'olive extra vierge, 1 cuillère à soupe de jus de citron, 1 cuillère à soupe de miel, sel et poivre - au goût</t>
  </si>
  <si>
    <t>1 cup Lettuce leaves - torn into small pieces,2 Tomatoes - pulp removed and cut lengthwise,1 English Cucumber - cut lengthwise,1/4 cup Feta Cheese,1 tablespoon Extra Virgin Olive Oil,1 tablespoon Lemon juice,1 tablespoon Honey,Salt and Pepper - to taste</t>
  </si>
  <si>
    <t>1 taza de hojas de lechuga cortadas en trozos pequeños, 2 tomates sin pulpa y cortados a lo largo, 1 pepino inglés cortado a lo largo, 1/4 taza de queso feta, 1 cucharada de aceite de oliva virgen extra, 1 cucharada de jugo de limón, 1 cucharada de miel, sal y pimienta al gusto.</t>
  </si>
  <si>
    <t xml:space="preserve">To begin making the Summer Lettuce Salad, prep all the cucumber, tomatoes an lettuce and keep it ready in a salad bowl.In another bowl, mix olive oil, lemon juice, honey, salt and pepper and whisk till it combines.Drizzle the lemon dressing over the cut vegetables and toss well. Plate the tossed salad over a serving plate and add crumbled feta over the top and serve.Serve the Summer Lettuce Salad with Cucumber, Tomato &amp; Feta Recipe along with Chicken Shawarma and Zucchini fritters to create and delicious dinner.
</t>
  </si>
  <si>
    <t>Para empezar a preparar la ensalada de lechuga de verano, prepara el pepino, los tomates y la lechuga y tenlos listos en una ensaladera. En otro tazón, mezcla el aceite de oliva, el jugo de limón, la miel, la sal y la pimienta y bate hasta que se combinen. Rocía el aderezo de limón sobre las verduras cortadas y revuelve bien. Sirve la ensalada mixta en un plato para servir y agrega queso feta desmenuzado por encima. Sirve la ensalada de lechuga de verano con pepino, tomate y feta junto con shawarma de pollo y buñuelos de calabacín para crear una cena deliciosa.</t>
  </si>
  <si>
    <t>Pour commencer à préparer la salade de laitue d'été, préparez tous les concombres, les tomates et la laitue et réservez-les dans un saladier. Dans un autre bol, mélangez l'huile d'olive, le jus de citron, le miel, le sel et le poivre et fouettez jusqu'à ce que le tout soit bien mélangé. Versez la vinaigrette au citron sur les légumes coupés et mélangez bien. Dressez la salade mélangée sur une assiette de service et ajoutez de la feta émiettée par-dessus et servez. Servez la salade de laitue d'été avec concombre, tomate et feta avec du shawarma de poulet et des beignets de courgettes pour créer un délicieux dîner.</t>
  </si>
  <si>
    <t>https://www.archanaskitchen.com/green-leaf-salad-with-cucumber-tomato-feta-recipe</t>
  </si>
  <si>
    <t>Whole Wheat Carrot Cake Recipe</t>
  </si>
  <si>
    <t>Rezept für Vollkorn-Karottenkuchen</t>
  </si>
  <si>
    <t>Recette de gâteau aux carottes au blé entier</t>
  </si>
  <si>
    <t>Receta de pastel de zanahoria integral</t>
  </si>
  <si>
    <t>2 tasses de farine de blé entier - biologique, 2 tasses de jaggery - en poudre (biologique), 4 œufs entiers - à température ambiante, 1 1/2 tasse d'huile de tournesol, 4 tasses de carottes (Gajjar) - râpées, 1 tasse de noix - hachées, 1 tasse de noix de cajou - hachées, 1 cuillère à café de cannelle en poudre (Dalchini), 1/2 cuillère à café de clou de girofle en poudre (Laung), 2 cuillères à café de levure chimique, 1/2 cuillère à café de sel, 1/2 cuillère à café de gingembre en poudre sec, 1/2 tasse de lait, sucre - en poudre pour saupoudrer</t>
  </si>
  <si>
    <t>2 cups Whole Wheat Flour - organic,2 cups Jaggery - powdered (Organic),4 Whole Eggs - at room temperature,1 1/2 cups Sunflower Oil,4 cups Carrots (Gajjar) - grated,1 cup Walnuts - chopped,1 cup Cashew nuts - chopped,1 teaspoon Cinnamon Powder (Dalchini),1/2 teaspoon Clove powder (Laung),2 teaspoons Baking powder,1/2 teaspoon Salt,1/2 teaspoon Dry ginger powder,1/2 cup Milk,Sugar - powdered for dusting</t>
  </si>
  <si>
    <t>2 tazas de harina integral orgánica, 2 tazas de jaggery en polvo (orgánico), 4 huevos enteros a temperatura ambiente, 1 1/2 tazas de aceite de girasol, 4 tazas de zanahorias (Gajjar) ralladas, 1 taza de nueces picadas, 1 taza de anacardos picados, 1 cucharadita de canela en polvo (Dalchini), 1/2 cucharadita de clavo en polvo (Laung), 2 cucharaditas de levadura en polvo, 1/2 cucharadita de sal, 1/2 cucharadita de jengibre en polvo seco, 1/2 taza de leche, azúcar en polvo para espolvorear</t>
  </si>
  <si>
    <t xml:space="preserve">To begin making Whole Wheat Carrot Cake, grease a pan with butter and then dust it with flour. You may also use parchment paper at the base of the cake, to allow for easy removal of the cake.Preheat the oven to 350 degree F or 180 degree CSieve the whole wheat flour and salt together into a bowl and set aside.In another bowl, beat the eggs and sugar until the sugar dissolves. Add oil and beat for 3 to 5 minutes until well combined. Mix in the flour mixture into the egg mixture and beat until combined. Add in the grated carrot and mix with a spatula. Add milk little by little while mixing all the ingredients together. Finally, add the nuts and fold in just until combined.Pour the batter into the greased pan  and bake for 35-40 minutes or until a toothpick inserted into the center of the cake comes out clean.Let the cake cool completely. Invert the cake onto a plate and dust with powdered sugar. Serve Whole Wheat Carrot Cake as a tea time snack along with a cup of Basil Tea
</t>
  </si>
  <si>
    <t>Para comenzar a hacer el pastel de zanahoria integral, engrase un molde con mantequilla y luego espolvoréelo con harina. También puede usar papel pergamino en la base del pastel, para permitir una fácil extracción del pastel. Precaliente el horno a 350 grados F o 180 grados C Tamice la harina integral y la sal juntas en un tazón y reserve. En otro tazón, bata los huevos y el azúcar hasta que el azúcar se disuelva. Agregue el aceite y bata durante 3 a 5 minutos hasta que estén bien combinados. Mezcle la mezcla de harina con la mezcla de huevo y bata hasta que se combine. Agregue la zanahoria rallada y mezcle con una espátula. Agregue la leche poco a poco mientras mezcla todos los ingredientes. Finalmente, agregue las nueces y doble hasta que se combinen. Vierta la masa en el molde engrasado y hornee durante 35-40 minutos o hasta que un palillo insertado en el centro del pastel salga limpio. Deje que el pastel se enfríe completamente. Invierta el pastel sobre un plato y espolvoree con azúcar en polvo. Sirva el pastel de zanahoria integral como refrigerio a la hora del té, acompañado de una taza de té de albahaca.</t>
  </si>
  <si>
    <t>Pour commencer à préparer un gâteau aux carottes au blé entier, graissez un moule avec du beurre, puis saupoudrez-le de farine. Vous pouvez également utiliser du papier sulfurisé à la base du gâteau pour faciliter le démoulage. Préchauffez le four à 350 degrés F ou 180 degrés C. Tamisez la farine de blé entier et le sel ensemble dans un bol et réservez. Dans un autre bol, battez les œufs et le sucre jusqu'à ce que le sucre soit dissous. Ajoutez l'huile et battez pendant 3 à 5 minutes jusqu'à ce que le tout soit bien mélangé. Incorporez le mélange de farine au mélange d'œufs et battez jusqu'à ce que le tout soit bien mélangé. Ajoutez la carotte râpée et mélangez avec une spatule. Ajoutez le lait petit à petit tout en mélangeant tous les ingrédients. Enfin, ajoutez les noix et incorporez-les jusqu'à ce que le tout soit bien mélangé. Versez la pâte dans le moule graissé et faites cuire pendant 35 à 40 minutes ou jusqu'à ce qu'un cure-dent inséré au centre du gâteau en ressorte propre. Laissez le gâteau refroidir complètement. Retournez le gâteau sur une assiette et saupoudrez de sucre glace. Servez le gâteau aux carottes au blé entier comme collation à l'heure du thé, accompagné d'une tasse de thé au basilic.</t>
  </si>
  <si>
    <t>http://www.archanaskitchen.com/whole-wheat-carrot-cake-recipe</t>
  </si>
  <si>
    <t>Cheesy Spinach Open Toast Recipe</t>
  </si>
  <si>
    <t>Rezept für offenen Toast mit Käse und Spinat</t>
  </si>
  <si>
    <t>Recette de pain grillé ouvert au fromage et aux épinards</t>
  </si>
  <si>
    <t>Receta de tostada abierta de queso y espinacas</t>
  </si>
  <si>
    <t>3 tasses d'épinards finement hachés, 4 gousses d'ail finement tranchées, 1/4 tasse d'oignon finement haché, 2 cuillères à soupe de crème fraîche faible en gras, 1/2 tasse de lait (faible en gras) mélangé à 2 cuillères à café de fécule de maïs, 1 cuillère à soupe de beurre, flocons de piment rouge (au besoin), sel (au goût), poudre de poivre noir (au goût), 3/4 tasse de fromage mozzarella râpé, 8 tranches de pain brun de blé entier ou de baguette</t>
  </si>
  <si>
    <t>3 cups Spinach - finely chopped,4 cloves Garlic - finely sliced,1/4 cup Onion - finely chopped,2 tablespoon Fresh cream - low fat,1/2 cup Milk - (low fat) mixed with 2 teaspoons of cornflour,1 tablespoon Butter,Red Chilli flakes - as required,Salt - to taste,Black pepper powder - to taste,3/4 cup Mozzarella cheese - grated,8 Whole Wheat Brown Bread - or baguette slices</t>
  </si>
  <si>
    <t>3 tazas de espinacas finamente picadas, 4 dientes de ajo finamente rebanados, 1/4 taza de cebolla finamente picada, 2 cucharadas de crema fresca baja en grasa, 1/2 taza de leche (baja en grasa) mezclada con 2 cucharaditas de harina de maíz, 1 cucharada de mantequilla, hojuelas de chile rojo (según se requiera), sal (al gusto), pimienta negra en polvo (al gusto), 3/4 taza de queso mozzarella rallado, 8 rebanadas de pan integral o baguette.</t>
  </si>
  <si>
    <t xml:space="preserve">To begin with Cheesy Spinach Open Toast, melt butter in a pan. Add garlic and fry until aromatic and golden.Add onion and toss on high for a few seconds. Once it is done, add spinach and toss on high flame for 2 minutes.Add milk and corn flour mixture, cook until the mixture becomes slightly thick.Add chili flakes and season it with salt and pepper. Add cream and cook on high flame until the mixture is thick and creamy. Keep stirring to avoid burning.Once it becomes thick and creamy, switch off the heat and cool it for a few minutes.Pre-heat the oven at 180 degrees centigrade. Spread a spoonful of mixture evenly on each slice of bread/baguette.Top the mixture with grated mozzarella and grill them in the preheated oven for 8 to 9 minutes or until the cheese has melted and the toasts are crisp.Serve Cheesy Spinach Open Toast with Burnt Garlic pasta with Mushroom and a glass of wine for a classy weekend dinner or brunch.
</t>
  </si>
  <si>
    <t>Para preparar la Tostada Abierta de Espinacas con Queso, derrita la mantequilla en una sartén. Añada el ajo y fríalo hasta que esté aromático y dorado. Añada la cebolla y sofría a fuego alto durante unos segundos. Una vez lista, añada las espinacas y sofría a fuego alto durante 2 minutos. Añada la mezcla de leche y harina de maíz y cocine hasta que espese un poco. Añada hojuelas de chile y sazónelas con sal y pimienta. Añada la crema y cocine a fuego alto hasta que la mezcla esté espesa y cremosa. Remueva constantemente para evitar que se queme. Una vez espesa y cremosa, apague el fuego y deje enfriar unos minutos. Precaliente el horno a 180 grados centígrados. Unta una cucharada de la mezcla uniformemente sobre cada rebanada de pan/baguette. Cubre la mezcla con mozzarella rallada y ásalas en el horno precalentado durante 8 a 9 minutos o hasta que el queso se haya derretido y las tostadas estén crujientes. Sirve tostadas abiertas de espinacas con queso con pasta con ajo quemado y champiñones y una copa de vino para una cena o brunch elegante de fin de semana.</t>
  </si>
  <si>
    <t xml:space="preserve">Pour commencer le pain grillé ouvert aux épinards et au fromage, faites fondre le beurre dans une poêle. Ajoutez l'ail et faites-le revenir jusqu'à ce qu'il soit aromatique et doré. Ajoutez l'oignon et faites revenir à feu vif pendant quelques secondes. Une fois cuit, ajoutez les épinards et faites revenir à feu vif pendant 2 minutes. Ajoutez le mélange de lait et de farine de maïs, faites cuire jusqu'à ce que le mélange devienne légèrement épais. Ajoutez les flocons de piment et assaisonnez avec du sel et du poivre. Ajoutez la crème et faites cuire à feu vif jusqu'à ce que le mélange soit épais et crémeux. Continuez à remuer pour éviter de brûler. Une fois qu'il devient épais et crémeux, éteignez le feu et laissez refroidir pendant quelques minutes. Préchauffez le four à 180 degrés centigrades. Étalez une cuillerée de mélange uniformément sur chaque tranche de pain/baguette. Garnissez le mélange de mozzarella râpée et faites-les griller au four préchauffé pendant 8 à 9 minutes ou jusqu'à ce que le fromage soit fondu et que les toasts soient croustillants. Servez le pain grillé ouvert aux épinards et au fromage avec des pâtes à l'ail brûlé aux champignons et un verre de vin pour un dîner de week-end ou un brunch élégant.
</t>
  </si>
  <si>
    <t>http://www.archanaskitchen.com/cheesy-spinach-open-toast-recipe</t>
  </si>
  <si>
    <t>Savory Ricotta Tart Recipe</t>
  </si>
  <si>
    <t>Rezept für herzhafte Ricotta-Tarte</t>
  </si>
  <si>
    <t>Recette de tarte salée à la ricotta</t>
  </si>
  <si>
    <t>Receta de tarta de ricotta sabrosa</t>
  </si>
  <si>
    <t>125 grammes de beurre (à conserver au froid), 240 grammes de farine tout usage (Maida), 1/2 cuillère à café de sel, 1 cuillère à café de jus de citron ou de vinaigre, 1 œuf entier, 1 tasse de ricotta, 1/4 tasse de tomates séchées au soleil, 7 feuilles de basilic, 6 olives noires, 1 cuillère à café de flocons de piment rouge, sel au goût</t>
  </si>
  <si>
    <t>125 grams Butter - Temperature to be kept cold,240 gram All Purpose Flour (Maida),1/2 teaspoon Salt,1 teaspoon Lemon juice - or vinegar,1 Whole Egg,1 cup Ricotta Cheese,1/4 cup Sun Dried Tomatoes,7 Basil leaves,6 Black olives,1 teaspoon Red Chilli flakes,Salt - to taste</t>
  </si>
  <si>
    <t>125 gramos de mantequilla (temperatura que debe mantenerse fría), 240 gramos de harina multiusos (Maida), 1/2 cucharadita de sal, 1 cucharadita de jugo de limón o vinagre, 1 huevo entero, 1 taza de queso ricotta, 1/4 taza de tomates secados al sol, 7 hojas de albahaca, 6 aceitunas negras, 1 cucharadita de hojuelas de chile rojo, sal - al gusto</t>
  </si>
  <si>
    <t xml:space="preserve">To prepare Savory Ricotta Tart Recipe, get ready with all the ingredients for shortcrust pastry and it's filling.Preheat Oven to 200 degrees Celsius.Lightly grease a 21cm loose-bottomed fluted tart tin or 12 mini tart molds.For making the pastry, add butter, flour and salt in a food processor and pulse until mixture resembles breadcrumbs. This will take 2-3 minutes.Add egg and lemon juice and process until mixture forms a ball. Turn onto a floured bench and gently knead to bring dough together. Do not over knead as it will result in tough pastry.Wrap in cling wrap and chill for at least 30 minutes.To make the filling, mix all the ingredients required for filling in a bowl, and set aside.Take out the Pastry dough and roll it into 2-3mm thickness.Use dry flour or baking sheet if it is tough to roll otherwise. Gently ease into prepared tart tin, pressing it into the edges of the tin. Trim the extra sides with a sharp knife and prick the base using a fork.Lay a sheet of baking paper over the base and fill with rajma or chana and blind bake pastry for 15-20 minutes or until golden.Remove from oven, remove the beans along with the baking paper and return to the oven for 5 minutes to crisp.Fill the base of the blind baked pastry shell with the filling and bake for 15 minutes.Serve Savory Ricotta Tart Recipe warm as an appetizer or with Mixed veg pasta for a wholesome dinner.
</t>
  </si>
  <si>
    <t>Para preparar la receta de tarta de ricotta sabrosa, prepare todos los ingredientes para la masa quebrada y el relleno. Precaliente el horno a 200 °C. Engrase ligeramente un molde de tarta acanalado de 21 cm o 12 moldes para tartas pequeñas. Para la masa, agregue mantequilla, harina y sal en un procesador de alimentos y procese hasta que la mezcla parezca pan rallado. Esto tomará de 2 a 3 minutos. Agregue el huevo y el jugo de limón y procese hasta que la mezcla forme una bola. Coloque la masa sobre una mesa enharinada y amase suavemente para unirla. No amase demasiado, ya que la masa quedará dura. Envuelva en film transparente y refrigere durante al menos 30 minutos. Para el relleno, mezcle todos los ingredientes en un tazón y reserve. Retire la masa de hojaldre y estírela hasta obtener un grosor de 2 a 3 mm. Use harina seca o una bandeja de horno si de lo contrario es difícil de estirar. Vierta la masa suavemente en el molde de tarta preparado, presionando contra los bordes. Recorte los lados sobrantes con un cuchillo afilado y pinche la base con un tenedor. Coloque una hoja de papel para hornear sobre la base y rellene con rajma o chana y hornee a ciegas la masa durante 15 a 20 minutos o hasta que esté dorada. Retire del horno, retire los frijoles junto con el papel para hornear y vuelva a colocar en el horno durante 5 minutos para que queden crujientes. Rellene la base de la masa horneada a ciegas con el relleno y hornee durante 15 minutos. Sirva la receta de tarta de ricotta sabrosa caliente como aperitivo o con pasta de verduras mixtas para una cena saludable.</t>
  </si>
  <si>
    <t>Pour préparer la tarte salée à la ricotta, préparez tous les ingrédients pour la pâte brisée et sa garniture. Préchauffez le four à 200 °C. Graissez légèrement un moule à tarte cannelé de 21 cm ou 12 mini-moules à tartelettes. Pour la pâte, ajoutez le beurre, la farine et le sel dans un robot culinaire et mixez jusqu'à obtenir une consistance panée. Comptez 2 à 3 minutes. Ajoutez l'œuf et le jus de citron et mixez jusqu'à obtenir une boule. Déposez la pâte sur un plan de travail fariné et pétrissez délicatement pour la rendre homogène. Ne pas trop pétrir, car la pâte serait dure. Enveloppez-la de film alimentaire et réservez au réfrigérateur pendant au moins 30 minutes. Pour la garniture, mélangez tous les ingrédients nécessaires à la garniture dans un saladier et réservez. Sortez la pâte et étalez-la sur une épaisseur de 2 à 3 mm. Utilisez de la farine sèche ou une plaque de cuisson si elle est difficile à étaler. Versez-la délicatement dans le moule à tarte préparé en appuyant sur les bords. Coupez les côtés supplémentaires avec un couteau bien aiguisé et piquez la base à l'aide d'une fourchette. Posez une feuille de papier sulfurisé sur la base et remplissez de rajma ou de chana et faites cuire la pâte à blanc pendant 15 à 20 minutes ou jusqu'à ce qu'elle soit dorée. Retirez du four, retirez les haricots avec le papier sulfurisé et remettez au four pendant 5 minutes pour qu'ils soient croustillants. Remplissez la base de la pâte cuite à blanc avec la garniture et faites cuire pendant 15 minutes. Servez la recette de tarte salée à la ricotta chaude en apéritif ou avec des pâtes aux légumes mélangés pour un dîner sain.</t>
  </si>
  <si>
    <t>https://www.archanaskitchen.com/savory-ricotta-tart-recipe</t>
  </si>
  <si>
    <t>Nutty Pineapple Tutti Frutti Cake Recipe (White Fruitcake)</t>
  </si>
  <si>
    <t>Nussiges Ananas-Tutti-Frutti-Kuchenrezept (weißer Obstkuchen)</t>
  </si>
  <si>
    <t>Recette de gâteau Tutti Frutti aux noix et à l'ananas (gâteau aux fruits blancs)</t>
  </si>
  <si>
    <t>Receta de Pastel Tutti Frutti con Nueces y Piña (Pastel de Frutas Blancas)</t>
  </si>
  <si>
    <t>2-1/2 tasses de farine tout usage (Maida) - (ou farine auto-levante), 2 cuillères à café de levure chimique, 1 tasse de sucre - (ajoutez-en plus si vous servez pour des enfants ou une foule gourmande), 1 tasse de beurre - ou d'huile de cuisson, 4 œufs entiers, 1 cuillère à café de sel, 1 tasse de Tutti frutti - trempés dans l'eau pendant 20 minutes, 1/2 tasse de noix mélangées - (amandes et pistaches), 2 cuillères à soupe d'ananas confit, 1/3 tasse de lait, 1/2 cuillère à café d'extrait de vanille - ou 1 cuillère à café de pâte de gousse de vanille</t>
  </si>
  <si>
    <t>2-1/2 cups All Purpose Flour (Maida) - (or self raising flour),2 teaspoons Baking powder,1 cup Sugar - (add more if serving for kids or crowd with sweet tooth),1 cup Butter - or cooking oil,4 Whole Eggs,1 teaspoon Salt,1 cup Tutti frutti - soaked in water for 20 minutes,1/2 cup Mixed nuts - (Almonds &amp; Pistachios),2 tablespoons Preserved pineapple,1/3 cup Milk,1/2 teaspoon Vanilla Extract - or 1 teaspoon vanilla bean paste</t>
  </si>
  <si>
    <t>2-1/2 tazas de harina para todo uso (Maida) - (o harina leudante), 2 cucharaditas de polvo para hornear, 1 taza de azúcar - (agregue más si lo sirve para niños o para personas con gustos dulces), 1 taza de mantequilla - o aceite de cocina, 4 huevos enteros, 1 cucharadita de sal, 1 taza de Tutti frutti - remojado en agua durante 20 minutos, 1/2 taza de frutos secos mixtos - (almendras y pistachos), 2 cucharadas de piña en conserva, 1/3 taza de leche, 1/2 cucharadita de extracto de vainilla - o 1 cucharadita de pasta de vainilla</t>
  </si>
  <si>
    <t xml:space="preserve">To begin making Nutty Pineapple Tutti Frutti Cake Recipe (White Fruitcake), Prepare an 8 inch square or a 9 inch round pan by brushing it with butter or oil and sprinkling 1 tbsp flour over it.You can also use a loaf pan if you want the slices to be big.Preheat oven to 150°C.In a large mixing bowl, add salt and baking powder to the flour (reserving 2 tablespoons) and using a sieve or a strainer, sift the flour mixed with baking powder and salt into another bowl.Put all the fruits and nuts in another bowl and add the remaining 2 tablespoons flour. Mix well. This ensures that all the fruits do not sink to the bottom of the cake.Combine oil/butter and sugar in a large bowl and beat in a hand mixer until smooth and creamy.Add eggs one by one, beating very well after each addition. Add vanilla essence/bean mix and beat again.Now keep the bowls of fruits and flour together.Alternatively fold 2 tablespoons of fruits and 2 tablespoon of the flour into the egg mixture. Fold, using a spatula and mix the ingredients ensuring maximum air is incorporated, following an up and down movement of the spatula.If the mixture is too dry, then add the milk. The mixture should be thick but not stiff. You should be able to spoon it out into the prepared pan.Pour the batter into the pan and thump it on the kitchen countertop to remove any air bubbles. Bake for 90 minutes or 1-1/2 hours at 150°C till a skewer inserted in the centre comes out clean.Allow the fruit cake to cool for 30 minutes and remove from the pan.Serve Nutty Pineapple Tutti Frutti Cake with piping hot tea made with homemade Chai Ka Masala Recipe and Indian Style Jeera Biscuit Recipe.
</t>
  </si>
  <si>
    <t>Para empezar a preparar la receta del pastel Tutti Frutti de piña y nueces (pastel de frutas blanco), prepara un molde cuadrado de 20 cm o uno redondo de 23 cm, untándolo con mantequilla o aceite y espolvoreando 1 cucharada de harina. También puedes usar un molde para pan si quieres rebanadas grandes. Precalienta el horno a 150 °C. En un tazón grande, añade la sal y el polvo para hornear a la harina (reservando 2 cucharadas) y, con un colador, tamiza la harina mezclada con el polvo para hornear y la sal en otro tazón. Coloca todas las frutas y nueces en otro tazón y agrega las 2 cucharadas de harina restantes. Mezcla bien. Esto asegura que las frutas no se hundan en el fondo del pastel. Combina el aceite/mantequilla y el azúcar en un tazón grande y bate con una batidora de mano hasta que esté suave y cremoso. Agrega los huevos uno por uno, batiendo muy bien después de cada adición. Añade la mezcla de esencia de vainilla y vainas y vuelve a batir. Ahora mantén los tazones de frutas y harina juntos. Alternativamente, incorpora 2 cucharadas de frutas y 2 cucharadas de harina a la mezcla de huevo. Incorpora, usando una espátula, los ingredientes asegurándote de incorporar el máximo de aire, siguiendo un movimiento de arriba a abajo de la espátula. Si la mezcla está demasiado seca, añade la leche. La mezcla debe ser espesa pero no rígida. Deberías poder verterla con una cuchara en el molde preparado. Vierte la masa en el molde y golpéala contra la encimera de la cocina para eliminar las burbujas de aire. Hornea durante 90 minutos o 1 hora y media a 150 °C hasta que al insertar un palillo en el centro, este salga limpio. Deja enfriar el pastel de frutas durante 30 minutos y desmóldalo del molde. Sirve el pastel Tutti Frutti de Piña y Nueces con té bien caliente hecho con la receta casera de Chai Ka Masala y la receta de galletas Jeera al estilo indio.</t>
  </si>
  <si>
    <t>Pour commencer à préparer la recette du gâteau Tutti Frutti à l'ananas et aux noix (gâteau aux fruits blancs), préparez un moule carré de 20 cm ou un moule rond de 23 cm en le badigeonnant de beurre ou d'huile et en saupoudrant 1 cuillère à soupe de farine dessus. Vous pouvez également utiliser un moule à cake si vous souhaitez des tranches plus grosses. Préchauffez le four à 150 °C. Dans un grand saladier, ajoutez le sel et la levure chimique à la farine (en réservant 2 cuillères à soupe) et, à l'aide d'un tamis ou d'une passoire, tamisez la farine mélangée à la levure chimique et au sel dans un autre saladier. Mettez tous les fruits et noix dans un autre saladier et ajoutez les 2 cuillères à soupe de farine restantes. Bien mélanger. Cela permet d'éviter que tous les fruits ne coulent au fond du gâteau. Mélangez l'huile/le beurre et le sucre dans un grand saladier et battez au batteur électrique jusqu'à obtenir une consistance lisse et crémeuse. Ajoutez les œufs un par un en battant très bien après chaque ajout. Ajoutez le mélange d'essence de vanille et de gousses d'ail et battez à nouveau. Conservez les bols de fruits et de farine ensemble. Incorporez alternativement 2 cuillères à soupe de fruits et 2 cuillères à soupe de farine au mélange d'œufs. À l'aide d'une spatule, mélangez les ingrédients en veillant à incorporer un maximum d'air, en effectuant un mouvement de va-et-vient. Si le mélange est trop sec, ajoutez le lait. Le mélange doit être épais, mais pas rigide. Vous devriez pouvoir le verser dans le moule préparé. Versez la pâte dans le moule et tapotez-le sur le plan de travail pour éliminer les bulles d'air. Enfournez pendant 90 minutes ou 1 heure 30 à 150 °C jusqu'à ce qu'une pique à brochette insérée au centre en ressorte propre. Laissez refroidir le gâteau aux fruits pendant 30 minutes, puis démoulez-le. Servez le gâteau Tutti Frutti à l'ananas et aux noix avec du thé chaud préparé avec la recette maison de Chai Ka Masala et la recette de biscuits au jeera à l'indienne.</t>
  </si>
  <si>
    <t>http://www.archanaskitchen.com/nutty-pineapple-tutti-frutti-cake-recipe-white-fruitcake</t>
  </si>
  <si>
    <t>Rezept für Spinat-Ei-Muffins – Rezept für Spinat-Ei-Muffins</t>
  </si>
  <si>
    <t>Recette de muffins aux épinards et aux œufs – Recette de muffins aux épinards et aux œufs</t>
  </si>
  <si>
    <t>Receta de Muffins de Espinacas y Huevo – Receta de Muffins de Espinacas y Huevo</t>
  </si>
  <si>
    <t>4 œufs, 1 oignon, 1 tasse d'épinards, sel - selon votre goût, 1 cuillère à café de poudre de poivre noir, 1/2 tomate, 2 cuillères à café d'ail - coupé, huile - selon l'utilisation</t>
  </si>
  <si>
    <t>4 eggs, 1 onion, 1 cup spinach, salt - as per taste, 1 teaspoon black pepper powder, 1/2 tomato, 2 teaspoons garlic - cut, oil - as per use</t>
  </si>
  <si>
    <t>4 huevos, 1 cebolla, 1 taza de espinacas, sal - al gusto, 1 cucharadita de pimienta negra en polvo, 1/2 tomate, 2 cucharaditas de ajo - picado, aceite - según uso</t>
  </si>
  <si>
    <t>To begin making Spinach Egg Muffin Recipe, first preheat the oven to 180 degree celsius. Grease the muffin tray with oil. Heat oil in a pan. Add onions and cook till they become soft. After onions become soft, add tomatoes and cook till they become soft. Now add spinach and cook for 1 minute. Turn off the gas. Now take a mixing bowl. Break eggs into it and beat it. Add salt, black pepper powder, garlic and spinach mixture into it. Mix everything well. Pour this egg and spinach mixture into the muffin tray and bake for 15 to 20 minutes. Let it cool and take it out. Serve Spinach Egg Muffins for evening snack with ginger tea or filter coffee.</t>
  </si>
  <si>
    <t>Para preparar la receta de muffins de huevo y espinacas, precalienta el horno a 180 grados Celsius. Engrasa la bandeja para muffins con aceite. Calienta el aceite en una sartén. Agrega la cebolla y cocina hasta que esté blanda. Una vez que la cebolla esté blanda, agrega los tomates y cocina hasta que estén blandos. Agrega las espinacas y cocina durante 1 minuto. Apaga el fuego. Toma un tazón, rompe los huevos y bátelos. Agrega sal, pimienta negra en polvo, ajo y la mezcla de espinacas. Mezcla todo bien. Vierte la mezcla de huevo y espinacas en la bandeja para muffins y hornea de 15 a 20 minutos. Deja enfriar y retira. Sirve los muffins de huevo y espinacas como refrigerio por la noche con té de jengibre o café de filtro.</t>
  </si>
  <si>
    <t>Pour préparer vos muffins aux œufs et aux épinards, préchauffez le four à 180 °C. Huilez un moule à muffins. Faites chauffer l'huile dans une poêle. Ajoutez les oignons et faites-les revenir jusqu'à ce qu'ils soient tendres. Une fois les oignons tendres, ajoutez les tomates et faites-les revenir jusqu'à ce qu'elles soient tendres. Ajoutez ensuite les épinards et laissez cuire 1 minute. Coupez le feu. Dans un saladier, cassez les œufs et battez-les. Ajoutez le sel, le poivre noir en poudre, l'ail et le mélange d'épinards. Mélangez bien le tout. Versez ce mélange dans le moule à muffins et faites cuire 15 à 20 minutes. Laissez refroidir et sortez. Servez les muffins aux œufs et aux épinards en collation avec du thé au gingembre ou du café filtre.</t>
  </si>
  <si>
    <t>http://www.archanaskitchen.com/spinach-egg-muffins-recipe-in-hindi</t>
  </si>
  <si>
    <t>Sweet And Tangy Mango Ice-cream Recipe</t>
  </si>
  <si>
    <t>Rezept für süß-säuerliches Mangoeis</t>
  </si>
  <si>
    <t>Recette de glace à la mangue aigre-douce</t>
  </si>
  <si>
    <t>Receta de helado de mango agridulce</t>
  </si>
  <si>
    <t>1 tasse de mangue (mûre) - sucrée, 2 cuillères à soupe de caillé (dahi / yaourt), sucre - selon les besoins, 1 tasse de mangue (crue) - cubes, 2 cuillères à soupe de caillé (dahi / yaourt), 2 cuillères à soupe de sucre, 1 piment vert, mangue (mûre) - petits cubes de mangue sucrée et crue</t>
  </si>
  <si>
    <t>1 cup Mango (Ripe) - sweet,2 tablespoons Curd (Dahi / Yogurt),Sugar - as required,1 cup Mango (Raw) - cubes,2 tablespoons Curd (Dahi / Yogurt),2 tablespoons Sugar,1 Green Chilli,Mango (Ripe) - Small cubes of sweet and raw mango cubes</t>
  </si>
  <si>
    <t>1 taza de mango (maduro) - dulce, 2 cucharadas de cuajada (dahi/yogur), azúcar - según se requiera, 1 taza de mango (crudo) - cubos, 2 cucharadas de cuajada (dahi/yogur), 2 cucharadas de azúcar, 1 chile verde, mango (maduro) - Cubos pequeños de mango dulce y cubos de mango crudo</t>
  </si>
  <si>
    <t xml:space="preserve">To begin with Sweet And Tangy Mango Ice-cream, we will first begin to prepare the sweet part of the ice cream.For sweet part, mix all the ingredients mentioned under ’For sweet part’ and blend to a smooth puree in a blender.For tangy part, mix all the ingredients except curd and give it a churn. Now add curd and blend to a smooth puree.The next step is to assemble the ice cream. Take ice cream moulds, put the raw mango puree and freeze it for about 15 minutes.After 15 minutes, pour sweet mango puree on it. Garnish it with small mango cubes.Insert ice cream sticks in the middle and freeze it for 8 to 10 hours. De-mould it keeping in water for some time and enjoy.Serve Sweet And Tangy Mango Ice-cream as a dessert after your scrumptious meal or you can also serve it to your sudden guests at home.
</t>
  </si>
  <si>
    <t>Para preparar el helado de mango agridulce, primero prepararemos la parte dulce. Para ello, mezcle todos los ingredientes mencionados en "Parte dulce" y licúe hasta obtener un puré suave. Para la parte ácida, mezcle todos los ingredientes excepto la cuajada y bata. Ahora agregue la cuajada y licúe hasta obtener un puré suave. El siguiente paso es armar el helado. Tome moldes para helado, coloque el puré de mango crudo y congélelo durante unos 15 minutos. Después de 15 minutos, vierta el puré de mango dulce sobre él. Decórelo con pequeños cubos de mango. Inserte palitos de helado en el centro y congélelo de 8 a 10 horas. Desmolde, manténgalo en agua un rato y disfrute. Sirva el helado de mango agridulce como postre después de una deliciosa comida o también puede servirlo a sus invitados inesperados.</t>
  </si>
  <si>
    <t>Pour commencer la glace à la mangue sucrée et acidulée, nous allons commencer par préparer la partie sucrée. Pour la partie sucrée, mélangez tous les ingrédients mentionnés dans la section « Partie sucrée » et mixez jusqu'à obtenir une purée lisse au blender. Pour la partie acidulée, mélangez tous les ingrédients sauf le caillé et turbinez. Ajoutez ensuite le caillé et mixez jusqu'à obtenir une purée lisse. L'étape suivante consiste à assembler la glace. Prenez des moules à glace, versez la purée de mangue crue et placez au congélateur pendant environ 15 minutes. Au bout de 15 minutes, versez la purée de mangue sucrée dessus. Décorez de petits dés de mangue. Insérez des bâtonnets de glace au milieu et placez au congélateur pendant 8 à 10 heures. Démoulez et laissez tremper quelques instants dans l'eau. Dégustez. Servez la glace à la mangue sucrée et acidulée en dessert après votre délicieux repas ou pour vos invités surprises à la maison.</t>
  </si>
  <si>
    <t>https://www.archanaskitchen.com/sweet-and-tangy-mango-ice-cream-recipe</t>
  </si>
  <si>
    <t>Protein Rich Paneer And Horse Gram Soup Recipe - Kollu/ Kulith Soup</t>
  </si>
  <si>
    <t>Rezept für proteinreiche Paneer- und Pferdebohnensuppe – Kollu/Kulith-Suppe</t>
  </si>
  <si>
    <t>Recette de soupe riche en protéines au paneer et aux fèves – soupe Kollu/Kulith</t>
  </si>
  <si>
    <t>Receta de sopa de paneer y frijoles rica en proteínas (sopa Kollu/Kulith)</t>
  </si>
  <si>
    <t>100 grammes de paneer (fromage cottage fait maison), 1/2 tasse de dal de pois chiches (Kollu/Kulith) - trempé toute la nuit, 1/2 tasse de brocoli - fleurons, 1/2 tasse de chou-fleur (gobi) - fleurons, 3 tasses de bouillon de légumes - ou d'eau, 2 anis étoilés, 1 carotte (Gajjar) - tranchée, 1 oignon - haché, 2,5 cm de gingembre - finement haché, 2 gousses d'ail - finement hachées, 1/4 cuillère à café de poudre de curcuma (Haldi), 1/4 cuillère à café de poudre de cumin (Jeera), 1/4 cuillère à café d'assaisonnement italien, feuilles d'aneth - pour la garniture, 1 cuillère à café d'huile d'olive extra vierge, sel et poivre - au goût</t>
  </si>
  <si>
    <t>100 grams Paneer (Homemade Cottage Cheese),1/2 cup Horse Gram Dal (Kollu/ Kulith) - soaked overnight,1/2 cup Broccoli - florets,1/2 cup Cauliflower (gobi) - florets,3 cups Vegetable stock - or Water,2 Star anise,1 Carrot (Gajjar) - sliced,1 Onion - chopped,1 inch Ginger - finely chopped,2 cloves Garlic - finely chopped,1/4 teaspoon Turmeric powder (Haldi),1/4 teaspoon Cumin powder (Jeera),1/4 teaspoon Italian seasoning,Dill leaves - for garnish,1 teaspoon Extra Virgin Olive Oil,Salt and Pepper - to taste</t>
  </si>
  <si>
    <t>100 gramos de Paneer (queso cottage casero), 1/2 taza de Dal de gramo de caballo (Kollu/Kulith) - remojado durante la noche, 1/2 taza de brócoli - floretes, 1/2 taza de coliflor (gobi) - floretes, 3 tazas de caldo de verduras - o agua, 2 anís estrellado, 1 zanahoria (Gajjar) - en rodajas, 1 cebolla - picada, 1 pulgada de jengibre - finamente picado, 2 dientes de ajo - finamente picados, 1/4 cucharadita de cúrcuma en polvo (Haldi), 1/4 cucharadita de comino en polvo (Jeera), 1/4 cucharadita de condimento italiano, hojas de eneldo - para decorar, 1 cucharadita de aceite de oliva virgen extra, sal y pimienta - al gusto</t>
  </si>
  <si>
    <t xml:space="preserve">To begin making Paneer And Horse Gram Soup Recipe, cook the horse gram (kollu/kulith) in the pressure cooker along with 1 cup of water for 4 to 5 whistles. Once done, turn off the heat and allow the pressure to release naturally. Keep this aside.Cut Paneer into long strips or small cubes (According to your preference). Heat a shallow pan on medium heat and add a teaspoon of oil. Fry the paneer for a minute and keep aside. Place a Soup Pot or Handi on medium heat, add a teaspoon of oil. Add the chopped onions, ginger and garlic and saute until the raw smell of ginger and garlic goes away. Add turmeric powder, cumin powder and italian seasoning. Stir until the powders are well combined with the onions. Now add the vegetable stock or water and bring the stock to a boil.Add the star anise, cauliflower, carrot and salt - cook for another 5 minutes on high heat until the vegetables are soft. Once the above vegetables are cooked, add the broccoli florets, the cooked horse gram and paneer slices and simmer for another 2 minutes. Check for salt and seasoning and adjust according to your taste. Turn off the heat.Serve Protein Rich Paneer And Horse Gram Soup Recipe along with Garlic Bread as a wholesome high protein meal for dinner.
</t>
  </si>
  <si>
    <t>Para comenzar a hacer la receta de sopa de paneer y gramo de caballo, cocine el gramo de caballo (kollu/kulith) en la olla a presión junto con 1 taza de agua durante 4 a 5 silbidos. Una vez hecho esto, apague el fuego y deje que la presión se libere naturalmente. Mantén esto a un lado. Corte el paneer en tiras largas o cubos pequeños (según su preferencia). Caliente una sartén poco profunda a fuego medio y agregue una cucharadita de aceite. Fría el paneer durante un minuto y reserve. Coloque una olla para sopa o handi a fuego medio, agregue una cucharadita de aceite. Agregue las cebollas picadas, el jengibre y el ajo y saltee hasta que desaparezca el olor crudo del jengibre y el ajo. Agregue la cúrcuma en polvo, el comino en polvo y el condimento italiano. Revuelva hasta que los polvos estén bien combinados con las cebollas. Ahora agregue el caldo de verduras o agua y llévelo a ebullición. Agregue el anís estrellado, la coliflor, la zanahoria y la sal; cocine durante otros 5 minutos a fuego alto hasta que las verduras estén tiernas. Una vez que las verduras anteriores estén cocidas, agregue los ramilletes de brócoli, el frijol de caballo cocido y las rodajas de paneer y cocine a fuego lento durante otros 2 minutos. Verifique la sal y el condimento y ajuste a su gusto. Apague el fuego. Sirva la Receta de Sopa de Paneer y Frijol de Caballo Rica en Proteínas junto con Pan de Ajo como una comida saludable alta en proteínas para la cena.</t>
  </si>
  <si>
    <t>Pour commencer à préparer la recette de soupe au paneer et au gramme de cheval, faites cuire le gramme de cheval (kollu/kulith) dans l'autocuiseur avec 1 tasse d'eau pendant 4 à 5 sifflements. Une fois terminé, éteignez le feu et laissez la pression se relâcher naturellement. Gardez cela de côté. Coupez le paneer en longues lanières ou en petits cubes (selon votre préférence). Faites chauffer une poêle peu profonde à feu moyen et ajoutez une cuillère à café d'huile. Faites frire le paneer pendant une minute et réservez. Placez une marmite à soupe ou un Handi sur feu moyen, ajoutez une cuillère à café d'huile. Ajoutez les oignons hachés, le gingembre et l'ail et faites revenir jusqu'à ce que l'odeur crue du gingembre et de l'ail disparaisse. Ajoutez la poudre de curcuma, la poudre de cumin et l'assaisonnement italien. Remuez jusqu'à ce que les poudres soient bien mélangées aux oignons. Ajoutez maintenant le bouillon de légumes ou l'eau et portez le bouillon à ébullition. Ajoutez l'anis étoilé, le chou-fleur, la carotte et le sel - faites cuire encore 5 minutes à feu vif jusqu'à ce que les légumes soient tendres. Une fois les légumes cuits, ajoutez les fleurons de brocoli, le pois chiche cuit et les tranches de paneer, puis laissez mijoter encore 2 minutes. Vérifiez le sel et l'assaisonnement et ajustez selon votre goût. Éteignez le feu. Servez la soupe riche en protéines au paneer et au pois chiche avec du pain à l'ail pour un dîner sain et riche en protéines.</t>
  </si>
  <si>
    <t>http://www.archanaskitchen.com/protein-rich-paneer-and-horse-gram-soup-recipe</t>
  </si>
  <si>
    <t>Veggie Chop Burger Recipe</t>
  </si>
  <si>
    <t>Rezept für Veggie-Chop-Burger</t>
  </si>
  <si>
    <t>Recette de burger végétarien</t>
  </si>
  <si>
    <t>Receta de hamburguesa vegetariana</t>
  </si>
  <si>
    <t>2 carottes (Gajjar) - finement hachées, 1 betterave - finement hachée, 2 pommes de terre (Aloo) - pelées et hachées, 1/4 tasse de pois verts (Matar) - cuits à la vapeur, 1/4 tasse de maïs doux - cuit à la vapeur, 2 oignons - hachés, 4 piments verts - hachés, 2,5 cm de gingembre - râpé, 1 cuillère à café de cumin en poudre (Jeera), 1 cuillère à café de piment rouge en poudre, sel - au goût, huile de tournesol - pour la cuisson, 2 cuillères à soupe de farine de maïs, 1 cuillère à soupe d'eau, 1/2 tasse de chapelure de blé entier, 4 pains à hamburger, 4 cuillères à soupe de mayonnaise Veeba Burger, 2 oignons - tranchés en rondelles, 2 tomates - tranchées en rondelles, laitue iceberg - au besoin</t>
  </si>
  <si>
    <t>2 Carrots (Gajjar) - finely chopped,1 Beetroot - finely chopped,2 Potatoes (Aloo) - peeled and chopped,1/4 cup Green peas (Matar) - steamed,1/4 cup Sweet corn - steamed,2 Onions - chopped,4 Green Chillies - chopped,1 inch Ginger - grated,1 teaspoon Cumin powder (Jeera),1 teaspoon Red Chilli powder,Salt - to taste,Sunflower Oil - for cooking,2 tablespoons Corn flour,1 tablespoon Water,1/2 cup Whole Wheat Bread crumbs,4 Burger buns,4 tablespoon Veeba Burger Mayonnaise,2 Onions - sliced round2,Tomatoes - sliced round,Iceberg lettuce - as required</t>
  </si>
  <si>
    <t>2 zanahorias (Gajjar) - finamente picadas, 1 remolacha - finamente picada, 2 papas (Aloo) - peladas y picadas, 1/4 taza de guisantes verdes (Matar) - al vapor, 1/4 taza de maíz dulce - al vapor, 2 cebollas - picadas, 4 chiles verdes - picados, 1 pulgada de jengibre - rallado, 1 cucharadita de comino en polvo (Jeera), 1 cucharadita de chile rojo en polvo, sal - al gusto, aceite de girasol - para cocinar, 2 cucharadas de harina de maíz, 1 cucharada de agua, 1/2 taza de pan rallado integral, 4 panecillos de hamburguesa, 4 cucharadas de mayonesa Veeba Burger, 2 cebollas - en rodajas redondas, 2 tomates - en rodajas redondas, lechuga iceberg - según se requiera</t>
  </si>
  <si>
    <t xml:space="preserve">To make the chopTo begin with Veggie Chop Burger Recipe, rinse all the vegetables - carrot, beetroot, potato, peas, corn and peel their skin and finely chop them. Transfer all the vegetables into a pressure cooker, add salt and just ¼ cup of water and pressure cooker for 3 whistles and turn off the heat.Allow  the pressure to release naturally. Once it is done, discard the water from the cooked vegetables and mash the vegetables. Keep them aside.Heat a teaspoon of oil in a pan. Add grated ginger, onions and green chilies and saute it till the onions turn slightly brown.Add the mashed vegetables along with salt and the cumin powder and red chilli powder into the pan. Mix well and cook all the ingredients till it gets mixed with each other properly.Turn off the heat and set it aside to cool. Once it is cooled down, make small lemon sized balls from the vegetable mix and shape them into cylindrical shapes and flatten it to shape them like a burger patty and keep them aside.Add corn flour to a bowl with 1 tablespoon of water and mix it well.Carefully dip the chop in the corn flour mixture and then roll it in the bread crumbs. Follow it for the other chops too.Heat oil in a wide pan for Shallow frying. When oil turns piping hot, reduce the flame to medium and carefully transfer the coated vegetable chops into the oil.Shallow fry for about a minute or until all the sides turn golden brown. Drain on kitchen towel to soak the extra oil.To assemble the burgerCut the burger buns into 2 halves. Toast the burger buns with a little butter.Place lettuce leaves, top it with onion slices, place veg chop on top, burger mayonnaise followed by tomato slices, close and serve.Serve the Veggie Chop Burger along with a glass of Banana Almond &amp; Prunes Smoothie for a perfect weeknight dinner that you can enjoy with kids.
</t>
  </si>
  <si>
    <t>Para hacer la chuletaPara comenzar con la receta de Veggie Chop Burger, enjuague todas las verduras: zanahoria, remolacha, papa, guisantes, maíz, pélelas y píquelas finamente. Transfiera todas las verduras a una olla a presión, agregue sal y solo ¼ de taza de agua y cocine a presión durante 3 silbidos y apague el fuego. Deje que la presión se libere naturalmente. Una vez hecho esto, deseche el agua de las verduras cocidas y triture las verduras. Manténgalas a un lado. Caliente una cucharadita de aceite en una sartén. Agregue jengibre rallado, cebollas y chiles verdes y saltee hasta que las cebollas se doren ligeramente. Agregue las verduras machacadas junto con la sal, el comino en polvo y el chile rojo en polvo a la sartén. Mezcle bien y cocine todos los ingredientes hasta que se mezclen correctamente. Apague el fuego y déjelo enfriar. Una vez enfriada, forme bolitas del tamaño de un limón con la mezcla de verduras, dales forma cilíndrica y aplánelas para darles forma de hamburguesa. Resérvelas. Añada harina de maíz a un bol con una cucharada de agua y mézclela bien. Sumerja con cuidado la chuleta en la mezcla de harina de maíz y luego pásela por el pan rallado. Repita el mismo procedimiento con las demás chuletas. Caliente aceite en una sartén ancha para freír ligeramente. Cuando el aceite esté bien caliente, reduzca el fuego a medio y transfiera con cuidado las chuletas rebozadas al aceite. Fría ligeramente durante aproximadamente un minuto o hasta que todos los lados estén dorados. Escurra sobre papel absorbente para absorber el aceite sobrante. Para armar la hamburguesa: Corte los panecillos en dos mitades. Tuesta los panecillos de hamburguesa con un poco de mantequilla. Coloca hojas de lechuga, cúbrelos con rodajas de cebolla, coloca encima la verdura picada, la mayonesa de hamburguesa y luego las rodajas de tomate, cierra y sirve. Sirve la Veggie Chop Burger junto con un vaso de batido de plátano, almendras y ciruelas pasas para una cena perfecta entre semana que puedes disfrutar con niños.</t>
  </si>
  <si>
    <t>Pour faire le hachisPour commencer avec la recette du burger végétarien, rincez tous les légumes - carotte, betterave, pomme de terre, pois, maïs et épluchez-les et hachez-les finement. Transférez tous les légumes dans un autocuiseur, ajoutez du sel et seulement ¼ de tasse d'eau et faites cuire pendant 3 sifflets et éteignez le feu. Laissez la pression se relâcher naturellement. Une fois terminé, jetez l'eau des légumes cuits et écrasez-les. Gardez-les de côté. Faites chauffer une cuillère à café d'huile dans une poêle. Ajoutez le gingembre râpé, les oignons et les piments verts et faites revenir jusqu'à ce que les oignons deviennent légèrement dorés. Ajoutez les légumes écrasés avec le sel, la poudre de cumin et la poudre de piment rouge dans la poêle. Bien mélanger et cuire tous les ingrédients jusqu'à ce qu'ils soient bien mélangés. Éteignez le feu et laissez refroidir. Une fois refroidi, façonnez des petites boules de la taille d'un citron avec le mélange de légumes, formez-les en cylindres, puis aplatissez-les pour leur donner la forme d'un steak haché. Réservez. Ajoutez la fécule de maïs dans un bol avec 1 cuillère à soupe d'eau et mélangez bien. Trempez délicatement la côtelette dans le mélange de fécule de maïs, puis roulez-la dans la chapelure. Procédez de même pour les autres côtelettes. Faites chauffer l'huile dans une grande poêle pour une friture peu profonde. Lorsque l'huile est bien chaude, réduisez le feu à moyen et transférez délicatement les côtelettes de légumes panées dans l'huile. Faites frire pendant environ une minute ou jusqu'à ce que tous les côtés soient dorés. Égouttez-les sur un torchon pour absorber l'excédent d'huile. Pour assembler le burger : Coupez les pains à burger en deux. Faites griller les pains à hamburger avec un peu de beurre. Placez les feuilles de laitue, garnissez de tranches d'oignon, placez les côtelettes de légumes dessus, la mayonnaise à hamburger suivie des tranches de tomates, fermez et servez. Servez le burger aux côtelettes de légumes avec un verre de smoothie banane, amandes et pruneaux pour un dîner de semaine parfait que vous pourrez déguster avec vos enfants.</t>
  </si>
  <si>
    <t>http://www.archanaskitchen.com/veggie-chop-burger-recipe</t>
  </si>
  <si>
    <t>Lemon Parsley Quinoa Recipe</t>
  </si>
  <si>
    <t>Zitronen-Petersilien-Quinoa-Rezept</t>
  </si>
  <si>
    <t>Recette de quinoa au citron et au persil</t>
  </si>
  <si>
    <t>Receta de quinoa con limón y perejil</t>
  </si>
  <si>
    <t>1-1/2 tasse de quinoa, 2-1/4 tasses d'eau, 1 cuillère à soupe d'huile d'olive extra vierge, 4 gousses d'ail finement hachées, 3 piments rouges secs, 2 anis étoilés, sel au goût, 1/4 tasse de feuilles de persil hachées, 1 citron fraîchement pressé, 1 cuillère à café d'huile d'olive extra vierge</t>
  </si>
  <si>
    <t>1-1/2 cups Quinoa,2-1/4 cups Water,1 tablespoon Extra Virgin Olive Oil,4 cloves Garlic - finely chopped,3 Dry Red Chillies,2 Star anise,Salt - to taste,1/4 cup Parsley leaves - chopped,1 Lemon - juice freshly squeezed,1 teaspoon Extra Virgin Olive Oil</t>
  </si>
  <si>
    <t>1-1/2 tazas de quinoa, 2-1/4 tazas de agua, 1 cucharada de aceite de oliva virgen extra, 4 dientes de ajo finamente picados, 3 chiles rojos secos, 2 anís estrellado, sal al gusto, 1/4 taza de hojas de perejil picadas, 1 limón - jugo recién exprimido, 1 cucharadita de aceite de oliva virgen extra</t>
  </si>
  <si>
    <t xml:space="preserve">To begin making the Lemon Parsley Quinoa Recipe, wash and soak the quinoa in 2-1/4 cups of water for about 10 minutes.In a pressure cooker, heat olive oil on medium flame, add in the chopped garlic, star anise and dry red chillies. Once the spices begin to sizzle and the garlic turns into a light brown colour, add in the quinoa along with the water, season with some salt and close the pressure cooker. Pressure cook for 4-5 whistles and turn off the flame. Allow the pressure to release naturally. Once the pressure has released naturally, open the cooker and transfer the quinoa into a mixing bowl. To the cooked quinoa add freshly squeezed lemon juice, chopped parsley and olive oil and give it a good mix. Check the taste and adjust accordingly. Transfer the Lemon Parsley Quinoa to a serving bowl and serve hot or warm.Serve Lemon Parsley Quinoa along with Baked Tomato Basil Chicken Recipe, Summer Salad Recipe and Red Wine Sangria Cocktail Recipe. Finish the meal with a dessert of Sticky Date (Fig) &amp; Walnut Pudding Recipe with Toffee Sauce
</t>
  </si>
  <si>
    <t>Para comenzar a hacer la Receta de Quinoa con Limón y Perejil, lava y remoja la quinoa en 2-1/4 tazas de agua durante unos 10 minutos. En una olla a presión, calienta el aceite de oliva a fuego medio, agrega el ajo picado, el anís estrellado y los chiles rojos secos. Una vez que las especias comiencen a chisporrotear y el ajo se vuelva de un color marrón claro, agrega la quinoa junto con el agua, sazona con un poco de sal y cierra la olla a presión. Cocina a presión durante 4-5 silbidos y apaga el fuego. Deja que la presión se libere naturalmente. Una vez que la presión se haya liberado naturalmente, abre la olla y transfiere la quinoa a un tazón para mezclar. A la quinoa cocida agrega jugo de limón recién exprimido, perejil picado y aceite de oliva y mezcla bien. Comprueba el sabor y ajusta según corresponda. Transfiera la quinoa con limón y perejil a un tazón y sirva caliente o tibia. Sirva la quinoa con limón y perejil junto con la receta de pollo al horno con tomate y albahaca, la receta de ensalada de verano y la receta de cóctel de sangría de vino tinto. Termine la comida con un postre de pudín de dátiles (higos) y nueces con salsa de caramelo.</t>
  </si>
  <si>
    <t>Pour commencer à préparer la recette de quinoa au citron et au persil, lavez et faites tremper le quinoa dans 2-1/4 tasses d'eau pendant environ 10 minutes. Dans un autocuiseur, faites chauffer l'huile d'olive à feu moyen, ajoutez l'ail haché, l'anis étoilé et les piments rouges secs. Une fois que les épices commencent à grésiller et que l'ail prend une couleur brun clair, ajoutez le quinoa avec l'eau, assaisonnez avec un peu de sel et fermez l'autocuiseur. Faites cuire sous pression pendant 4 à 5 sifflements, puis éteignez le feu. Laissez la pression se relâcher naturellement. Une fois la pression relâchée naturellement, ouvrez l'autocuiseur et transférez le quinoa dans un saladier. Ajoutez au quinoa cuit du jus de citron fraîchement pressé, du persil haché et de l'huile d'olive et mélangez bien. Vérifiez le goût et ajustez en conséquence. Transférez le quinoa citronné et persil dans un bol et servez chaud ou tiède. Accompagnez le quinoa citronné et persil de la recette de poulet rôti au basilic et aux tomates, de la recette de salade estivale et de la recette de cocktail sangria au vin rouge. Terminez le repas par un dessert : le pudding aux dattes (figues) et aux noix, sauce caramel.</t>
  </si>
  <si>
    <t>http://www.archanaskitchen.com/lemon-parsley-quinoa-recipe</t>
  </si>
  <si>
    <t>Eggless Bread Omelette Recipe</t>
  </si>
  <si>
    <t>Rezept für ein Omelett aus Brot ohne Eier</t>
  </si>
  <si>
    <t>Recette d'omelette au pain sans œufs</t>
  </si>
  <si>
    <t>Receta de tortilla de pan sin huevo</t>
  </si>
  <si>
    <t>1-1/2 gramme de farine (besan), 1/4 de farine tout usage (Maida), 1 cuillère à soupe de poudre de piment rouge, sel - au goût, 1/2 cuillère à soupe de poudre de Chaat Masala, eau - au besoin, 1 cuillère à soupe de levure chimique, beurre - pour étaler, 1/2 tasse d'oignon - finement haché, 2 piments verts - finement hachés, feuilles de coriandre (Dhania) - finement hachées, 1/4 tasse de tomate - finement hachée, 6 pains bruns de blé entier</t>
  </si>
  <si>
    <t>1-1/2 Gram flour (besan),1/4 All Purpose Flour (Maida),1 tablespoon Red Chilli powder,Salt - to taste,1/2 Tablespoon Chaat Masala Powder,Water - as required,1 tablespoon Baking powder,Butter - to smear,1/2 Cup Onion - finely chopped,2 Green Chillies - finely chopped,Coriander (Dhania) Leaves - finely chopped,1/4 cup Tomato - finely chopped,6 Whole Wheat Brown Bread</t>
  </si>
  <si>
    <t>1-1/2 Harina de gramo (besan), 1/4 Harina multiusos (Maida), 1 cucharada de chile rojo en polvo, Sal - al gusto, 1/2 Cucharada de Chaat Masala en polvo, Agua - al gusto, 1 cucharada de levadura en polvo, Mantequilla - para untar, 1/2 Taza de cebolla - finamente picada, 2 Chiles verdes - finamente picados, Hojas de cilantro (Dhania) - finamente picadas, 1/4 Taza de tomate - finamente picado, 6 Panes integrales de trigo integral</t>
  </si>
  <si>
    <t xml:space="preserve">To begin making Eggless Bread Omelette Recipe, take a mixing bowl, add besan, all purpose flour, red chilli powder, salt to taste and chaat masala. Add water and make a thin batter.Add baking Powder and mix it in the batter.Heat a non stick pan, add one tablespoon of butter .Once butter is melted, add chopped onions, green chillies, chopped coriander and chopped tomato, saute it for a few seconds.Add one ladle or one and half (according to pan size), spread the batter.Let it cook for few seconds, place one bread in middle and then flip bread again. This is for the bread to coat with the batter.Let the omelette cook from one side and then flip it along with the bread to other side.Once it is cooked properly, tuck on the omelette side .Eggless Bread Omelette is ready to serve. Repeat Same process for other bread slices.Serve Eggless Bread Omelette Recipe with Spiced Pumpkin Smoothie Recipe for breakfast.
</t>
  </si>
  <si>
    <t>Para comenzar a hacer la receta de tortilla de pan sin huevo, tome un tazón, agregue besan, harina para todo uso, chile rojo en polvo, sal al gusto y chaat masala. Agregue agua y haga una masa fina. Agregue polvo para hornear y mézclelo en la masa. Caliente una sartén antiadherente, agregue una cucharada de mantequilla. Una vez que la mantequilla se haya derretido, agregue cebollas picadas, chiles verdes, cilantro picado y tomate picado, saltee durante unos segundos. Agregue un cucharón o uno y medio (según el tamaño de la sartén), extienda la masa. Déjelo cocinar durante unos segundos, coloque un pan en el medio y luego voltee el pan nuevamente. Esto es para que el pan se cubra con la masa. Deje que la tortilla se cocine de un lado y luego voltee junto con el pan al otro lado. Una vez que esté bien cocida, dóblela por el lado de la tortilla. La tortilla de pan sin huevo está lista para servir. Repita el mismo proceso con las demás rebanadas de pan. Sirva la receta de tortilla de pan sin huevo con la receta de batido de calabaza especiado para el desayuno.</t>
  </si>
  <si>
    <t xml:space="preserve">Pour commencer à préparer une recette d'omelette au pain sans œufs, prenez un bol à mélanger, ajoutez le besan, la farine tout usage, la poudre de piment rouge, le sel au goût et le chaat masala. Ajoutez de l'eau et faites une pâte fine. Ajoutez la levure chimique et mélangez-la à la pâte. Faites chauffer une poêle antiadhésive, ajoutez une cuillère à soupe de beurre. Une fois le beurre fondu, ajoutez les oignons hachés, les piments verts, la coriandre hachée et la tomate hachée, faites revenir quelques secondes. Ajoutez une louche ou une louche et demie (selon la taille de la poêle), étalez la pâte. Laissez cuire quelques secondes, placez un pain au milieu, puis retournez le pain à nouveau. Cela permet au pain de s'enrober de pâte. Laissez cuire l'omelette d'un côté, puis retournez-la avec le pain de l'autre côté. Une fois qu'elle est bien cuite, repliez le côté de l'omelette. L'omelette au pain sans œufs est prête à être servie. Répétez le même processus pour les autres tranches de pain. Servez la recette d'omelette au pain sans œufs avec la recette de smoothie à la citrouille épicée pour le petit-déjeuner.
</t>
  </si>
  <si>
    <t>https://www.archanaskitchen.com/eggless-bread-omelette-recipe</t>
  </si>
  <si>
    <t>German Pancakes with Caramelised Apples Recipe</t>
  </si>
  <si>
    <t>Rezept für Pfannkuchen mit karamellisierten Äpfeln</t>
  </si>
  <si>
    <t>Recette de crêpes aux pommes caramélisées</t>
  </si>
  <si>
    <t>Receta de panqueques de manzana caramelizada</t>
  </si>
  <si>
    <t>1 tasse de farine tout usage (Maida), 1/4 tasse de beurre, 1/4 tasse de sucre, 1 tasse de lait, 5 œufs entiers, 2 cuillères à café d'extrait de vanille, 2 pommes, 1 cuillère à café de cannelle en poudre (Dalchini), 1/2 cuillère à café de noix de muscade en poudre, 2 cuillères à café de gingembre sec en poudre</t>
  </si>
  <si>
    <t>1 cup All Purpose Flour (Maida),1/4 cup Butter,1/4 cup Sugar,1 cup Milk,5 Whole Egg,2 teaspoon Vanilla Extract,2 Apples,1 teaspoon Cinnamon Powder (Dalchini),1/2 teaspoon Nutmeg powder,2 teaspoon Dry ginger powder</t>
  </si>
  <si>
    <t>1 taza de harina para todo uso (Maida), 1/4 taza de mantequilla, 1/4 taza de azúcar, 1 taza de leche, 5 huevos enteros, 2 cucharaditas de extracto de vainilla, 2 manzanas, 1 cucharadita de canela en polvo (Dalchini), 1/2 cucharadita de nuez moscada en polvo, 2 cucharaditas de jengibre seco en polvo</t>
  </si>
  <si>
    <t xml:space="preserve">To begin making the German Pancakes with Caramelised Apples Recipe, the first step is to make the pancake batter. In a bowl add flour, milk and 2 tablespoon of sugar and whisk well till there are no lumps.Break in eggs one at a time and keep whisking till the batter combines together. Add in 2 teaspoons of vanilla essence and whisk together. Keep it aside.Preheat the oven to 180 degree Celsius for 10 minutes and we will move ahead to caramelise the Apples.Heat a cast iron pan on medium heat, melt the butter and add sliced apple and allow it to sizzle for few seconds.Add the remaining sugar and sprinkle with all the spice powders like cinnamon, nutmeg and dry ginger powder.Give it a stir and allow it to boil for 3 minutes in the butter. Once the apples get caramelised, turn off the heat.Pour the prepared batter slowly over the apples. Take care not to stir in the batter into the apple mixture. The apple will float up on its own.Keep the cast iron pan directly into oven and bake the German Pancake batter for 25 minutes at 180 degree Celsius.You will see the pancakes rise and slowly come out of the sides of the pan. This is completely normal and ensure you capture a photo of it flowering up. It's fun to watch.Once you notice the German Pancakes are cooked, remove it from the oven.Rest out the German pancakes under room temperature for few minutes and the flowers that ballooned out will settle in. You can also slighly tuck the pancake back into the pan.Once done, slice the German Pancakes and serve them warm.Serve the German Pancakes with Caramelised Apples Recipe along with a glass of Homemade Hot Chocolate with Whipped Cream, drizzled with some caramel sauce.
</t>
  </si>
  <si>
    <t>Para empezar a preparar la receta de panqueques alemanes con manzanas caramelizadas, el primer paso es preparar la masa. En un tazón, agrega la harina, la leche y 2 cucharadas de azúcar y bate bien hasta que no queden grumos. Incorpora los huevos uno a uno y sigue batiendo hasta que la masa esté bien integrada. Agrega 2 cucharaditas de esencia de vainilla y bate. Reserva. Precalienta el horno a 180 grados Celsius durante 10 minutos y caramelizaremos las manzanas. Calienta una sartén de hierro fundido a fuego medio, derrite la mantequilla, agrega la manzana cortada y deja que chisporrotee unos segundos. Agrega el azúcar restante y espolvorea con especias en polvo como canela, nuez moscada y jengibre seco. Revuelve y deja hervir durante 3 minutos en la mantequilla. Una vez que las manzanas estén caramelizadas, apaga el fuego. Vierte la masa preparada lentamente sobre las manzanas, teniendo cuidado de no mezclarla con la mezcla de manzana. La manzana flotará por sí sola. Mantén la sartén de hierro fundido directamente en el horno y hornea la masa de panqueques alemanes durante 25 minutos a 180 grados Celsius. Verás que los panqueques suben y salen lentamente de los lados de la sartén. Esto es completamente normal y asegúrate de capturar una foto de ellos floreciendo. Es divertido verlos. Una vez que notes que los panqueques alemanes están cocidos, retíralos del horno. Deja reposar los panqueques alemanes a temperatura ambiente durante unos minutos y las flores que se hincharon se asentarán. También puedes volver a meter ligeramente el panqueque en la sartén. Una vez listo, corta los panqueques alemanes en rebanadas y sírvelos calientes. Sirve la receta de panqueques alemanes con manzanas caramelizadas junto con un vaso de chocolate caliente casero con crema batida, rociado con un poco de salsa de caramelo.</t>
  </si>
  <si>
    <t>Pour préparer la recette des crêpes allemandes aux pommes caramélisées, commencez par préparer la pâte à crêpes. Dans un saladier, ajoutez la farine, le lait et 2 cuillères à soupe de sucre et fouettez jusqu'à ce qu'il n'y ait plus de grumeaux. Cassez les œufs un à un et continuez de fouetter jusqu'à ce que la pâte soit homogène. Ajoutez 2 cuillères à café d'extrait de vanille et fouettez. Réservez. Préchauffez le four à 180 °C pendant 10 minutes et passez à la caramélisation des pommes. Faites chauffer une poêle en fonte à feu moyen, faites fondre le beurre et ajoutez les tranches de pomme. Laissez grésiller quelques secondes. Ajoutez le reste du sucre et saupoudrez d'épices en poudre comme la cannelle, la muscade et le gingembre sec. Remuez et laissez bouillir 3 minutes dans le beurre. Une fois les pommes caramélisées, éteignez le feu. Versez lentement la pâte préparée sur les pommes. Veillez à ne pas l'incorporer au mélange de pommes. La pomme flottera toute seule. Placez la poêle en fonte directement dans le four et faites cuire la pâte à crêpes allemandes pendant 25 minutes à 180 degrés Celsius. Vous verrez les crêpes lever et se détacher lentement des parois de la poêle. C'est tout à fait normal et assurez-vous de prendre une photo de la floraison. C'est amusant à regarder. Une fois que vous constatez que les crêpes allemandes sont cuites, retirez-les du four. Laissez reposer les crêpes allemandes à température ambiante pendant quelques minutes et les fleurs qui ont gonflé se fixeront. Vous pouvez également replacer légèrement la crêpe dans la poêle. Une fois cuites, coupez les crêpes allemandes en tranches et servez-les chaudes. Servez la recette de crêpes allemandes aux pommes caramélisées avec un verre de chocolat chaud maison à la crème fouettée, arrosé d'un peu de sauce au caramel.</t>
  </si>
  <si>
    <t>http://www.archanaskitchen.com/german-pancakes-with-caramelised-apples-recipe</t>
  </si>
  <si>
    <t>Pineapple Banana &amp; Oat Smoothie Recipe</t>
  </si>
  <si>
    <t>Rezept für einen Ananas-Bananen-Hafer-Smoothie</t>
  </si>
  <si>
    <t>Recette de smoothie ananas-banane-avoine</t>
  </si>
  <si>
    <t>Receta de batido de piña, plátano y avena</t>
  </si>
  <si>
    <t>2 tasses d'ananas - coupé en dés, 1 banane mûre - pelée et coupée, 2 cuillères à soupe d'avoine instantanée (gruau), 2 tasses de caillé (dahi / yaourt), 4 dattes - dénoyautées, glaçons - pour servir</t>
  </si>
  <si>
    <t>2 cups Pineapple - diced,1 Ripe Bananas - peeled and cut,2 tablespoons Instant Oats (Oatmeal),2 cups Curd (Dahi / Yogurt),4 Dates - pitted,Ice cubes - to serve</t>
  </si>
  <si>
    <t>2 tazas de piña cortada en cubitos, 1 plátano maduro pelado y cortado, 2 cucharadas de avena instantánea (avena), 2 tazas de cuajada (dahi/yogur), 4 dátiles sin hueso, cubitos de hielo para servir</t>
  </si>
  <si>
    <t xml:space="preserve">To begin making the Pineapple Banana &amp; Oat Smoothie Recipe, get all the ingredients ready and keep them together.Add all the ingredients into the Blender to make a smooth puree. Once you have pureed the Pineapple Banana Smoothie, add water to adjust the consistency of the smoothie to suit your palate and blend again. Pour the Pineapple Banana &amp; Oat Smoothie into tall glasses and serve chilled.Serve Pineapple Banana &amp; Oat Smoothie Recipe along with a Cream Cheese Carrot Raisin Sandwich Recipe or Baked Potato Wedge Recipe as an afterschool snack.
</t>
  </si>
  <si>
    <t>Para empezar a preparar el batido de piña, plátano y avena, prepara todos los ingredientes y mantenlos juntos. Añade todos los ingredientes a la licuadora para hacer un puré suave. Una vez que hayas hecho puré el batido de piña, plátano y avena, añade agua para ajustar la consistencia del batido a tu gusto y vuelve a licuar. Vierte el batido de piña, plátano y avena en vasos altos y sírvelo frío. Sirve el batido de piña, plátano y avena junto con un sándwich de zanahoria, pasas y queso crema o una patata gajo al horno como refrigerio después de la escuela.</t>
  </si>
  <si>
    <t>Pour commencer à préparer la recette de smoothie ananas-banane et avoine, préparez tous les ingrédients et conservez-les ensemble. Ajoutez tous les ingrédients dans le mixeur pour obtenir une purée lisse. Une fois le smoothie ananas-banane réduit en purée, ajoutez de l'eau pour ajuster la consistance du smoothie à votre palais et mixez à nouveau. Versez le smoothie ananas-banane et avoine dans de grands verres et servez frais. Servez la recette de smoothie ananas-banane et avoine avec une recette de sandwich au fromage frais, carottes et raisins secs ou une recette de quartiers de pommes de terre au four comme collation après l'école.</t>
  </si>
  <si>
    <t>http://www.archanaskitchen.com/pineapple-smoothie-recipe</t>
  </si>
  <si>
    <t>Eggless Orange and Apple Ice Cream Recipe</t>
  </si>
  <si>
    <t>Rezept für Orangen-Apfel-Eiscreme ohne Eier</t>
  </si>
  <si>
    <t>Recette de glace à l'orange et à la pomme sans œufs</t>
  </si>
  <si>
    <t>Receta de helado de naranja y manzana sin huevo</t>
  </si>
  <si>
    <t>1/2 tasse de jus d'orange frais, 1 cuillère à soupe de zeste d'orange (écorce), 1/2 pomme - pelée et coupée en dés, 1/2 tasse de lait concentré sucré, 1 tasse de crème à fouetter épaisse, 4 cuillères à soupe de sucre en poudre, 1/2 cuillère à café de zeste d'orange (écorce), 1 cerise en conserve - pour la garniture (facultatif)</t>
  </si>
  <si>
    <t>1/2 cup Fresh orange juice,1 tablespoon Orange Zest (Rind),1/2 Apple - peeled and cubed,1/2 cup Condensed Milk - sweetened,1 cup Heavy whipping cream,4 tablespoons Caster Sugar,1/2 teaspoon Orange Zest (Rind),1 Canned Cherries - for garnish (optional)</t>
  </si>
  <si>
    <t>1/2 taza de jugo de naranja fresco, 1 cucharada de ralladura de naranja, 1/2 manzana pelada y cortada en cubos, 1/2 taza de leche condensada endulzada, 1 taza de crema batida espesa, 4 cucharadas de azúcar extrafino, 1/2 cucharadita de ralladura de naranja, 1 cereza enlatada - para decorar (opcional)</t>
  </si>
  <si>
    <t xml:space="preserve">To begin making the Eggless Orange and Apple Ice Cream Recipe, prep and bring all the ingredients together and keep them ready to make the ice cream.Blend orange juice, apple cubes, and condensed milk together in a blender. Pour the mixture into a bowl and fold in the orange zest. Keep aside.In a big bowl, beat heavy whipping cream using an electric beater or wire whisk until stiff peaks.Pour a half of the whipped cream into the blended mixture. Blend it by cutting and folding in further slowly using a spatula.Once this is thoroughly mixed, add the remaining whipped cream into the mixture and repeat cutting and folding. There is no cause to worry even if the zest doesn’t blend in completely since the mixture blends very well upon freezing.Pour this ice cream mixture in a pan or a container. Cover the container (preferably with a silver foil) and freeze in the refrigerator for 5 to 6 hours.Take the Orange and Apple Ice Cream out before 15 minutes of serving.Scoop it out into a bowl or on a cone. Sprinkle some orange zest over it and press a Cherry atop the scoop (Optional step).And here you present the refreshing homemade Eggless Orange and Apple Ice Cream with lots of goodness of fruits for your sweet tooth.
</t>
  </si>
  <si>
    <t>Para empezar a preparar la receta de helado de naranja y manzana sin huevo, prepara y reúne todos los ingredientes y tenlos listos para preparar el helado. Licúa el jugo de naranja, los cubos de manzana y la leche condensada en una licuadora. Vierte la mezcla en un tazón e incorpora la ralladura de naranja. Reserva. En un tazón grande, bate la crema batida espesa con una batidora eléctrica o de varillas hasta obtener picos firmes. Vierte la mitad de la crema batida en la mezcla anterior. Mezcla la mezcla cortando e incorporando lentamente con una espátula. Una vez que esté bien mezclado, agrega el resto de la crema batida y repite el proceso de cortar e incorporar. No te preocupes si la ralladura no se integra completamente, ya que la mezcla se integra muy bien al congelarse. Vierte la mezcla de helado en un molde o recipiente. Cubre el recipiente (preferiblemente con papel de aluminio) y congela en el refrigerador de 5 a 6 horas. Retira el helado de naranja y manzana 15 minutos antes de servirlo. Vierte la mezcla en un tazón o en un cono. Espolvorea un poco de ralladura de naranja por encima y presiona una cereza sobre la bola (paso opcional). Y aquí tienes el refrescante helado casero de naranja y manzana sin huevo, con muchas frutas deliciosas para los golosos.</t>
  </si>
  <si>
    <t>Pour commencer la recette de glace à l'orange et à la pomme sans œufs, préparez et rassemblez tous les ingrédients et réservez-les pour la glace. Mixez le jus d'orange, les dés de pomme et le lait concentré dans un blender. Versez le mélange dans un bol et incorporez le zeste d'orange. Réservez. Dans un grand saladier, battez la crème liquide épaisse au batteur électrique ou au fouet jusqu'à obtenir des pics fermes. Versez la moitié de la crème fouettée dans le mélange. Mélangez en coupant et en incorporant progressivement à l'aide d'une spatule. Une fois le mélange homogène, ajoutez le reste de crème fouettée et répétez l'opération. Même si le zeste ne se mélange pas parfaitement, ne vous inquiétez pas : le mélange se mélange très bien à la congélation. Versez ce mélange dans un récipient ou un récipient. Couvrez le récipient (de préférence avec du papier aluminium) et placez au réfrigérateur pendant 5 à 6 heures. Sortez la glace à l'orange et à la pomme 15 minutes avant de la servir. Déposez-la dans un bol ou un cornet. Saupoudrez un peu de zeste d'orange dessus et pressez une cerise sur la boule (étape facultative). Et voici la rafraîchissante glace maison sans œufs à l'orange et à la pomme avec beaucoup de bienfaits de fruits pour votre gourmandise.</t>
  </si>
  <si>
    <t>http://www.archanaskitchen.com/eggless-orange-and-apple-ice-cream-recipe</t>
  </si>
  <si>
    <t>Cherry Tomato, Cucumber, Onion Salad in Red Wine Vinaigrette Dressing Recipe</t>
  </si>
  <si>
    <t>Rezept für Kirschtomaten-, Gurken- und Zwiebelsalat in Rotwein-Vinaigrette</t>
  </si>
  <si>
    <t>Recette de salade de tomates cerises, concombres et oignons à la vinaigrette au vin rouge</t>
  </si>
  <si>
    <t>Receta de ensalada de tomate cherry, pepino y cebolla con vinagreta de vino tinto</t>
  </si>
  <si>
    <t>1 tasse de tomates cerises - tranchées, 1 concombre - haché, 1 oignon - coupé en dés, 1 brin de feuilles de menthe (Pudina), 1/4 tasse de vinaigrette au vin rouge, 3 cuillères à soupe d'huile d'olive extra vierge, sel et poivre - au goût</t>
  </si>
  <si>
    <t>1 cup Cherry tomatoes - sliced,1 Cucumber - chopped,1 Onion - diced,1 sprig Mint Leaves (Pudina),1/4 cup Red Wine Vinaigrette,3 tablespoon Extra Virgin Olive Oil,Salt and Pepper - to taste</t>
  </si>
  <si>
    <t>1 taza de tomates cherry en rodajas, 1 pepino picado, 1 cebolla cortada en cubitos, 1 ramita de hojas de menta (pudina), 1/4 taza de vinagreta de vino tinto, 3 cucharadas de aceite de oliva virgen extra, sal y pimienta al gusto</t>
  </si>
  <si>
    <t xml:space="preserve">To begin preparing the Cherry Tomato, Cucumber, Onion Salad in Red Wine Vinaigrette, chop all the ingredients and keep it ready.Add all the dressing ingredients into a bowl and whisk till it combines.Add your chopped vegetables and toss well. Check for salt and season it well.Serve the Cherry Tomato, Cucumber, Onion Salad along with Baked Frittata or an omelette to enjoy your morning breakfast.
</t>
  </si>
  <si>
    <t>Para preparar la ensalada de tomate cherry, pepino y cebolla con vinagreta de vino tinto, pica todos los ingredientes y tenla lista. Agrega todos los ingredientes del aderezo a un tazón y bate hasta que se integren. Agrega las verduras picadas y revuelve bien. Rectifica de sal y sazona bien. Sirve la ensalada de tomate cherry, pepino y cebolla con una frittata al horno o una tortilla para disfrutar de tu desayuno.</t>
  </si>
  <si>
    <t>Pour commencer la préparation de la salade de tomates cerises, concombres et oignons à la vinaigrette au vin rouge, hachez tous les ingrédients et réservez-la. Ajoutez tous les ingrédients de la vinaigrette dans un bol et fouettez jusqu'à ce que le tout soit bien mélangé. Ajoutez les légumes coupés en morceaux et mélangez bien. Vérifiez la quantité de sel et assaisonnez bien. Servez la salade de tomates cerises, concombres et oignons avec une frittata au four ou une omelette pour votre petit-déjeuner.</t>
  </si>
  <si>
    <t>https://www.archanaskitchen.com/cherry-tomato-cucumber-onion-salad-in-red-wine-vinaigrette-dressing-recipe</t>
  </si>
  <si>
    <t>Garlic Chicken Cheese Balls Recipe</t>
  </si>
  <si>
    <t>Rezept für Knoblauch-Hähnchen-Käsebällchen</t>
  </si>
  <si>
    <t>Recette de boulettes de fromage et de poulet à l'ail</t>
  </si>
  <si>
    <t>Receta de bolitas de pollo con ajo y queso</t>
  </si>
  <si>
    <t>250 grammes de poulet haché, 1 cuillère à soupe de poudre d'oignon, 8 à 10 gousses d'ail hachées, 1 1/2 cuillère à café d'ail finement haché, sel au goût, 1 cuillère à soupe de poudre de poivre noir, 2 cuillères à café d'origan séché, fromage mozzarella, 1/2 tasse de farine tout usage (Maida), 2 œufs entiers battus, huile de tournesol pour la friture, 3/4 tasse de chapelure de blé entier</t>
  </si>
  <si>
    <t>250 grams Chicken - minced,1 tablespoon Onion powder,8 to 10 cloves Garlic - minced,1-1/2 teaspoon Garlic - finely chopped,Salt - to taste,1 tablespoon Black pepper powder,2 teaspoons Dried oregano,Mozzarella cheese - ,1/2 cup All Purpose Flour (Maida),2 Whole Eggs - beaten,Sunflower Oil - for deep frying,3/4 cup Whole Wheat Bread crumbs</t>
  </si>
  <si>
    <t>250 gramos de pollo picado, 1 cucharada de cebolla en polvo, de 8 a 10 dientes de ajo picados, 1-1/2 cucharadita de ajo finamente picado, sal al gusto, 1 cucharada de pimienta negra en polvo, 2 cucharaditas de orégano seco, queso mozzarella, 1/2 taza de harina para todo uso (Maida), 2 huevos enteros batidos, aceite de girasol para freír, 3/4 taza de pan rallado integral</t>
  </si>
  <si>
    <t xml:space="preserve">To begin making the Garlic Chicken Cheese Balls Recipe, prep all the ingredients mentioned.In a wide bowl, add minced chicken, onion powder, minced garlic, finely chopped ginger pieces, pepper powder, oregano, salt to taste and mix well.In a frying pan, heat oil for deep frying.Make lemon sized balls of the chicken mix. Place a small cube of mozzarella cheese in the center and roll well into a neat balls.Coat the chicken balls with all-purpose flour first, then dip it in beaten eggs and finally coat bread crumbs. Repeat this step to make all the chicken and cheese balls.Once the oil is hot, reduce heat to medium. Drop the rolled balls 2 to 3 at a time into the oil and deep fry until golden brown. Remove from oil and drain them on an oil absorbent paper to absorb excess oil.Serve Garlic Chicken Cheese Balls Recipe immediately with any dipping sauce of your choice, like Roasted Tomato Sauce or Peanut Chilli Dipping Sauce.
</t>
  </si>
  <si>
    <t>Para empezar a hacer la Receta de Bolitas de Queso y Pollo al Ajo, prepara todos los ingredientes mencionados. En un tazón ancho, agrega el pollo picado, la cebolla en polvo, el ajo picado, los trozos de jengibre finamente picados, la pimienta en polvo, el orégano, la sal al gusto y mezcla bien. En una sartén, calienta el aceite para freír. Forma bolitas del tamaño de un limón con la mezcla de pollo. Coloca un cubo pequeño de queso mozzarella en el centro y forma bolitas uniformes. Cubre las bolitas de pollo primero con harina para todo uso, luego pásalas por los huevos batidos y finalmente por el pan rallado. Repite este paso para hacer todas las bolitas de pollo y queso. Una vez que el aceite esté caliente, reduce el fuego a medio. Sumerge las bolitas enrolladas de 2 a 3 a la vez en el aceite y fríelas hasta que estén doradas. Retíralas del aceite y escúrrelas sobre un papel absorbente para absorber el exceso de aceite. Sirve la Receta de Bolitas de Queso y Pollo al Ajo inmediatamente con cualquier salsa para mojar de tu elección, como salsa de tomate asado o salsa de chile y cacahuete.</t>
  </si>
  <si>
    <t>Pour commencer à préparer la recette de boulettes de poulet à l'ail et au fromage, préparez tous les ingrédients mentionnés. Dans un grand bol, ajoutez le poulet haché, l'oignon en poudre, l'ail émincé, les morceaux de gingembre finement hachés, le poivre en poudre, l'origan, le sel au goût et mélangez bien. Dans une poêle, faites chauffer l'huile pour la friture. Formez des boulettes de la taille d'un citron avec le mélange de poulet. Placez un petit cube de mozzarella au centre et roulez-les bien en boulettes bien nettes. Enrobez d'abord les boulettes de poulet de farine tout usage, puis trempez-les dans les œufs battus et enfin dans la chapelure. Répétez cette étape pour toutes les boulettes de poulet et de fromage. Une fois l'huile chaude, réduisez le feu à moyen. Plongez les boulettes roulées 2 à 3 à la fois dans l'huile et faites-les frire jusqu'à ce qu'elles soient dorées. Retirez-les de l'huile et égouttez-les sur du papier absorbant pour absorber l'excédent d'huile. Servez immédiatement la recette de boulettes de poulet à l'ail et au fromage avec la sauce de votre choix, comme la sauce tomate rôtie ou la sauce chili aux cacahuètes.</t>
  </si>
  <si>
    <t>http://www.archanaskitchen.com/garlic-chicken-cheese-balls-recipe</t>
  </si>
  <si>
    <t>Aubergine And Cranberry Beans Dip Recipe</t>
  </si>
  <si>
    <t>Rezept für Auberginen-Cranberry-Bohnen-Dip</t>
  </si>
  <si>
    <t>Recette de trempette aux aubergines, aux canneberges et aux haricots</t>
  </si>
  <si>
    <t>Receta de salsa de berenjenas, arándanos y frijoles</t>
  </si>
  <si>
    <t>1 aubergine (Baingan / aubergine), 1/4 tasse de canneberges, 1 tasse de feuilles de persil, 1/4 cuillère à café de graines de sésame (graines de Til) - grillées, 1 cuillère à soupe de jus de citron, sel - au goût, huile de tournesol - au besoin</t>
  </si>
  <si>
    <t>1 Brinjal (Baingan / Eggplant),1/4 cup Cranberries,1 cup Parsley leaves,1/4 teaspoon Sesame seeds (Til seeds) - roasted,1 tablespoon Lemon juice,Salt - to taste,Sunflower Oil - as required</t>
  </si>
  <si>
    <t>1 berenjena (Baingan / Berenjena), 1/4 taza de arándanos rojos, 1 taza de hojas de perejil, 1/4 cucharadita de semillas de sésamo (semillas de Til) tostadas, 1 cucharada de jugo de limón, sal - al gusto, aceite de girasol - según se requiera</t>
  </si>
  <si>
    <t xml:space="preserve">To begin making the Aubergine And Cranberry Beans DipRecipe, wash the aubergine and rub oil.Roasted it directly under the flame and allow it to cool.Soak cranberry beans for 6 hours. The quantity doubles up.Boil them in a pressure cooker. Take only 1/4th of the boiled beans. If there is anything extra you may use it similar to butter beans or Rajma.Roast the dry sesame seeds. Remove the skin of the aubergine and chop roughly.Take a mixer grinder, add aubergine, boiled beans, parsley, sesame seeds, salt and lemon juice.Blend well and adjust the salt and lemon if required. Serve Aubergine And Cranberry Beans Dip along with Pita bread for tea time snacks.
</t>
  </si>
  <si>
    <t>Para empezar a preparar la receta de salsa de berenjena y frijoles con arándanos, lava la berenjena y úntala con aceite. Ásala directamente bajo el fuego y déjala enfriar. Remoja los frijoles con arándanos durante 6 horas. La cantidad se duplica. Hiérvelos en una olla a presión. Toma solo 1/4 de los frijoles hervidos. Si sobra algo, puedes usarlo de forma similar a las habas de mantequilla o Rajma. Tuesta las semillas de sésamo secas. Retira la piel de la berenjena y pícala gruesamente. En una batidora, añade la berenjena, los frijoles hervidos, el perejil, las semillas de sésamo, la sal y el zumo de limón. Licúa bien y ajusta la sal y el limón si es necesario. Sirve la salsa de berenjena y frijoles con arándanos junto con pan pita para picar a la hora del té.</t>
  </si>
  <si>
    <t>Pour préparer la recette de trempette aux aubergines et aux haricots canneberges, lavez l'aubergine et badigeonnez-la d'huile. Faites-la rôtir directement sous le feu et laissez-la refroidir. Faites tremper les haricots canneberges pendant 6 heures. La quantité peut être doublée. Faites-les cuire dans un autocuiseur. Prenez seulement 1/4 des haricots bouillis. Si vous avez des restes, vous pouvez les utiliser comme des haricots beurre ou des Rajma. Faites griller les graines de sésame sèches. Retirez la peau de l'aubergine et hachez-la grossièrement. Prenez un mixeur-hachoir, ajoutez l'aubergine, les haricots bouillis, le persil, les graines de sésame, le sel et le jus de citron. Mixez bien et ajustez la quantité de sel et de citron si nécessaire. Servez la trempette aux aubergines et aux haricots canneberges avec du pain pita pour le goûter.</t>
  </si>
  <si>
    <t>https://www.archanaskitchen.com/aubergine-and-cranberry-beans-dip-recipe</t>
  </si>
  <si>
    <t>Melon Salsa Recipe</t>
  </si>
  <si>
    <t>Rezept für Melonensalsa</t>
  </si>
  <si>
    <t>Recette de salsa au melon</t>
  </si>
  <si>
    <t>Receta de salsa de melón</t>
  </si>
  <si>
    <t>1 tasse de melon miel - coupé en cubes, 1 concombre anglais - coupé en cubes, 1 oignon - finement haché, 1 piment vert - finement haché, 1/4 tasse de feuilles de coriandre (Dhania) - finement hachées, 1 cuillère à soupe de jus de citron, sel - au besoin</t>
  </si>
  <si>
    <t>1 cup Honey dew melon - cut into cubes,1 English Cucumber - cut into cubes,1 Onion - finely chopped,1 Green Chilli - finely chopped,1/4 cup Coriander (Dhania) Leaves - finely chopped,1 tablespoon Lemon juice,Salt - as required</t>
  </si>
  <si>
    <t>1 taza de melón Honey Dew - cortado en cubos, 1 pepino inglés - cortado en cubos, 1 cebolla - finamente picada, 1 chile verde - finamente picado, 1/4 taza de hojas de cilantro (Dhania) - finamente picadas, 1 cucharada de jugo de limón, sal - según se requiera</t>
  </si>
  <si>
    <t xml:space="preserve">To begin making the Melon Salsa recipe, add all the ingredients together in a large bowl.Adjust the seasoning and give it a gentle mix. Once mixed properly, it is ready to be served.Serve Melon Salsa with chips, nachos, whole-wheat lavash or throw it into your wraps, burgers, tacos or burritos to make it a summer meal.
</t>
  </si>
  <si>
    <t>Para preparar la salsa de melón, mezcle todos los ingredientes en un tazón grande. Rectifique la sazón y mezcle suavemente. Una vez mezclado, estará listo para servir. Sirva la salsa de melón con totopos, nachos, pan lavash integral o añádala a sus wraps, hamburguesas, tacos o burritos para una comida de verano.</t>
  </si>
  <si>
    <t>Pour commencer la recette de salsa au melon, mélangez tous les ingrédients dans un grand bol. Rectifiez l'assaisonnement et mélangez délicatement. Une fois bien mélangée, la salsa est prête à être servie. Servez la salsa au melon avec des chips, des nachos, du lavash complet ou ajoutez-la à vos wraps, burgers, tacos ou burritos pour un repas estival.</t>
  </si>
  <si>
    <t>http://www.archanaskitchen.com/melon-salsa-recipe</t>
  </si>
  <si>
    <t>Giant Skillet Cookie Recipe</t>
  </si>
  <si>
    <t>Rezept für riesige Pfannenplätzchen</t>
  </si>
  <si>
    <t>Recette de crêpes géantes</t>
  </si>
  <si>
    <t>Receta de panqueques gigantes</t>
  </si>
  <si>
    <t>2 tasses de farine tout usage (Maida), 1 cuillère à café de bicarbonate de soude, 1/2 cuillère à café de sel, 3/4 tasse de beurre (non salé) - ramolli, 1/2 tasse de sucre, 3/4 tasse de cassonade (sucre Demerara) - brun clair, 1 œuf entier, 2 cuillères à café d'extrait de vanille, 1-1/2 tasse de lait, pépites de chocolat - mi-sucré (au besoin)</t>
  </si>
  <si>
    <t>2 cups All Purpose Flour (Maida),1 teaspoon Baking soda,1/2 teaspoon Salt,3/4 cup Butter (unsalted) - softened,1/2 cup Sugar,3/4 cup Brown Sugar (Demerara Sugar) - light brown,1 Whole Egg,2 teaspoons Vanilla Extract,1-1/2 Cup Milk,Chocolate chips - semi sweet (as required)</t>
  </si>
  <si>
    <t>2 tazas de harina para todo uso (Maida), 1 cucharadita de bicarbonato de sodio, 1/2 cucharadita de sal, 3/4 taza de mantequilla (sin sal) - ablandada, 1/2 taza de azúcar, 3/4 taza de azúcar morena (azúcar Demerara) - marrón claro, 1 huevo entero, 2 cucharaditas de extracto de vainilla, 1-1/2 taza de leche, chispas de chocolate - semidulce (según se requiera)</t>
  </si>
  <si>
    <t xml:space="preserve">To begin making the Giant Skillet Cookie recipe, preheat oven to 200 C degrees.In a medium bowl, whisk together flour, baking soda, and salt; set aside.In the bowl, cream butter and sugars until mixture is light and fluffy, about 2 minutes. Add egg and vanilla; mix until they are fully incorporated. Add flour mixture, and beat until just combined. Stir in chocolate chips.Add egg and vanilla; mix until they are fully incorporated. Add flour mixture, and beat until just combined. Stir in chocolate chips.Transfer dough to a 10-inch ovenproof skillet, and press to flatten, covering bottom of pan. Bake until edges are brown and top is golden, 25 to 30 minutes.Don't overbake; it will continue to cook a few minutes out of the oven. Transfer to a wire rack to cool, 15 to 20 minutes. Cut into 8 wedges. Serve warm; top each wedge with a scoop of ice cream and some caramel sauce.Don't overbake; it will continue to cook a few minutes out of the oven. Let it cook down Serve with a scoop of ice cream.Serve Giant Skillet Cookie along with Espresso Coffee or Masala Chai as your tea time snack. You can also cut it and pack in your kids snack box.
</t>
  </si>
  <si>
    <t>Para empezar a preparar la receta de Galletas Gigantes en Sartén, precalienta el horno a 200 °C. En un tazón mediano, bate la harina, el bicarbonato y la sal; reserva. En el tazón, bate la mantequilla y los azúcares hasta que la mezcla esté ligera y esponjosa, aproximadamente 2 minutos. Agrega el huevo y la vainilla; mezcla hasta que estén completamente incorporados. Agrega la mezcla de harina y bate hasta que esté bien combinado. Agrega las chispas de chocolate. Transfiere la masa a una sartén apta para horno de 25 cm y presiona para aplanar, cubriendo el fondo del molde. Hornea hasta que los bordes estén dorados y la parte superior dorada, de 25 a 30 minutos. No hornees demasiado; continuará cocinándose unos minutos fuera del horno. Transfiere a una rejilla para enfriar, de 15 a 20 minutos. Corta en 8 gajos. Sirve caliente; cubre cada gajo con una bola de helado y un poco de salsa de caramelo. No hornees demasiado; Continuará cocinándose unos minutos después de sacarla del horno. Déjala reducir. Sírvela con una bola de helado. Sirve la Galleta Gigante en Sartén junto con Café Espresso o Masala Chai como refrigerio para la hora del té. También puedes cortarla y guardarla en la caja de refrigerios de tus hijos.</t>
  </si>
  <si>
    <t>Pour commencer la recette des biscuits géants à la poêle, préchauffez le four à 200 °C. Dans un bol moyen, fouettez la farine, le bicarbonate de soude et le sel ; réservez. Dans le bol, battez le beurre et les sucres jusqu'à obtenir un mélange léger et mousseux, environ 2 minutes. Ajoutez l'œuf et la vanille ; mélangez jusqu'à ce qu'ils soient bien incorporés. Ajoutez le mélange de farine et battez jusqu'à ce que le tout soit bien mélangé. Incorporez les pépites de chocolat. Transférez la pâte dans une poêle allant au four de 25 cm et appuyez dessus pour l'aplatir, en couvrant le fond. Faites cuire jusqu'à ce que les bords soient dorés et le dessus doré, 25 à 30 minutes. Ne pas trop cuire ; la pâte continuera de cuire quelques minutes à la sortie du four. Transférez sur une grille pour refroidir, 15 à 20 minutes. Coupez en 8 parts. Servez chaud ; garnissez chaque part d'une boule de glace et d'un peu de sauce caramel. Ne pas trop cuire ; la pâte continuera de cuire quelques minutes à la sortie du four. Laissez mijoter. Servez avec une boule de glace. Servez le biscuit géant à la poêle avec un café expresso ou un chai masala comme collation à l'heure du thé. Vous pouvez également le couper et le mettre dans la boîte à goûter de vos enfants.</t>
  </si>
  <si>
    <t>http://www.archanaskitchen.com/giant-skillet-cookie-recipe</t>
  </si>
  <si>
    <t>Mustard Mayo Baby Potato Salad Recipe</t>
  </si>
  <si>
    <t>Rezept für Babykartoffelsalat mit Senf-Mayo</t>
  </si>
  <si>
    <t>Recette de salade de pommes de terre grenailles à la mayonnaise à la moutarde</t>
  </si>
  <si>
    <t>Receta de ensalada de papas baby con mayonesa de mostaza</t>
  </si>
  <si>
    <t>15 pommes de terre grenaille, 1 oignon finement haché, 60 g de poivron vert finement haché, 2 cuillères à café d'huile d'olive extra vierge, 1 cuillère à café de poivre noir en poudre, 1 cuillère à soupe de sauce chili rouge douce et épicée (sauce tomate et piment), 1/2 cuillère à soupe de sauce moutarde anglaise, 2 cuillères à soupe de mayonnaise classique (avec œuf), 1 cuillère à café de vinaigre de piment, sel au goût, oignons nouveaux verts pour garnir</t>
  </si>
  <si>
    <t>15 Baby Potatoes,1 Onion - finely chopped,1/4 cup Green Bell Pepper (Capsicum) - finely chopped,2 teaspoons Extra Virgin Olive Oil,1 teaspoon Black pepper powder,1 tablespoon Sweet and Spicy Red Chilli Sauce (Tomato Chilli Sauce),1/2 tablespoon English Mustard Sauce,2 tablespoons Classic Mayonnaise (With Egg),1 teaspoon Chilli vinegar,Salt - to taste,Spring Onion Greens - to garnish</t>
  </si>
  <si>
    <t>15 papas baby, 1 cebolla finamente picada, 1/4 taza de pimiento verde (Capsicum) finamente picado, 2 cucharaditas de aceite de oliva virgen extra, 1 cucharadita de pimienta negra en polvo, 1 cucharada de salsa de chile rojo agridulce (salsa de chile y tomate), 1/2 cucharada de salsa de mostaza inglesa, 2 cucharadas de mayonesa clásica (con huevo), 1 cucharadita de vinagre de chile, sal - al gusto, cebolletas verdes - para decorar</t>
  </si>
  <si>
    <t xml:space="preserve">To begin making the Mustard Mayo Baby Potato Salad, wash the potatoes thoroughly. Boil the potatoes in the pressure cooker.Pressure cook for 1 whistle turn off the flame. Release the pressure. Drain the potatoes, peel them and set aside.In a pan heat olive oil on medium flame, add the onions and capsicum, saute for 3-4 minutes, we wanted them to be cooked yet crunchy.Once the onions have slightly changed colour, add in the salt, sugar, black pepper powder, red chili sauce and mustard sauce, give it a good stir.Toss the potatoes in this spice mixture, up the heat and saute for a couple of minutes.Reduce the flame and mix in the mayonnaise. Turn off the flame.Garnish with spring onion greens and serve warm.Serve Mustard Mayo Baby Potato Salad along with French Onion Soup Recipe and Garlic Bread With Herb Butter Recipe
</t>
  </si>
  <si>
    <t>Para preparar la ensalada de papas baby con mayonesa y mostaza, lava bien las papas. Hiérvelas en la olla a presión. Cocina a presión durante un pitido y apaga el fuego. Libera la presión. Escurre las papas, pélalas y reserva. En una sartén, calienta aceite de oliva a fuego medio, agrega la cebolla y el pimiento, saltea durante 3-4 minutos (queríamos que estuvieran cocidos pero crujientes). Una vez que la cebolla haya cambiado ligeramente de color, agrega la sal, el azúcar, la pimienta negra en polvo, la salsa de chile rojo y la salsa de mostaza, revolviendo bien. Revuelve las papas en esta mezcla de especias, sube el fuego y saltea durante un par de minutos. Reduce el fuego e incorpora la mayonesa. Apaga el fuego. Decora con cebolletas y sirve caliente. Sirve la ensalada de papas baby con mayonesa y mostaza junto con la receta de sopa de cebolla francesa y la receta de pan de ajo con mantequilla de hierbas.</t>
  </si>
  <si>
    <t>Pour préparer la salade de pommes de terre grenaille à la moutarde et à la mayonnaise, lavez soigneusement les pommes de terre. Faites-les cuire à l'autocuiseur. Laissez cuire sous pression pendant 1 minute, puis éteignez le feu. Relâchez la pression. Égouttez les pommes de terre, épluchez-les et réservez. Dans une poêle, faites chauffer l'huile d'olive à feu moyen. Ajoutez les oignons et les poivrons et faites-les revenir 3 à 4 minutes. Nous voulons qu'ils soient cuits mais croquants. Une fois que les oignons ont légèrement changé de couleur, ajoutez le sel, le sucre, le poivre noir en poudre, la sauce chili rouge et la sauce moutarde, puis remuez bien. Incorporez les pommes de terre à ce mélange d'épices, augmentez le feu et faites revenir quelques minutes. Baissez le feu et incorporez la mayonnaise. Éteignez le feu. Garnissez de jeunes pousses d'oignons verts et servez chaud. Servez la salade de pommes de terre grenaille à la moutarde et à la mayonnaise avec la recette de soupe à l'oignon française et la recette de pain à l'ail au beurre aux herbes.</t>
  </si>
  <si>
    <t>http://www.archanaskitchen.com/mustard-mayo-baby-potato-salad-recipe</t>
  </si>
  <si>
    <t>High Protein Broccoli &amp; Coriander Loaf Recipe</t>
  </si>
  <si>
    <t>Rezept für proteinreiches Brokkoli-Koriander-Brot</t>
  </si>
  <si>
    <t>Recette de pain riche en protéines au brocoli et à la coriandre</t>
  </si>
  <si>
    <t>Receta de pan de brócoli y cilantro rico en proteínas</t>
  </si>
  <si>
    <t>200 grammes de brocoli - coupé en fleurons moyens, 1/2 tasse de flocons d'avoine instantanés (gruau) - moulus en farine, 2 blancs d'œufs, 2 cuillères à soupe de Hung Curd (yaourt grec), 1/2 cuillère à café de levure chimique, 1/4 cuillère à café de bicarbonate de soude, 1 cuillère à café de poudre de noix de muscade, 2 cuillères à café de feuilles de thym séchées, 2 brins de feuilles de coriandre (Dhania) - finement hachées, 5 cuillères à soupe de beurre (non salé) - divisé</t>
  </si>
  <si>
    <t>200 grams Broccoli - cut into medium florets,1/2 cup Instant Oats (Oatmeal) - ground into flour,2 Egg whites,2 tablespoons Hung Curd (Greek Yogurt),1/2 teaspoon Baking powder,1/4 teaspoon Baking soda,1 teaspoon Nutmeg powder,2 teaspoon Dried Thyme Leaves,2 sprig Coriander (Dhania) Leaves - finely chopped,5 tablespoons Butter (unsalted) - divided</t>
  </si>
  <si>
    <t>200 gramos de brócoli - cortado en floretes medianos, 1/2 taza de avena instantánea (avena) - molida en harina, 2 claras de huevo, 2 cucharadas de cuajada Hung (yogur griego), 1/2 cucharadita de polvo para hornear, 1/4 cucharadita de bicarbonato de sodio, 1 cucharadita de nuez moscada en polvo, 2 cucharaditas de hojas de tomillo secas, 2 ramitas de hojas de cilantro (Dhania) - finamente picadas, 5 cucharadas de mantequilla (sin sal) - dividida</t>
  </si>
  <si>
    <t xml:space="preserve">To begin making the High Protein Broccoli &amp; Coriander Loaf Recipe boil the broccoli or steam the broccoli in a microwave oven until it is soft. Then using a food processor you can grind it into a course mixture. Next add in the oats, coriander leaves, baking powder, baking soda, nutmeg powder and thyme. Mix well to combine.In another bowl, combine yogurt and egg white mixture, beat till it combines well. Add this to the oats mixture.Pre heat the oven at 180 degree Celsius for about 10 minutes.Pour the Broccoli &amp; oats batter into a greased loaf tin and bake it in the oven for 20-30 minutes.Serve the High Protein Broccoli &amp; Coriander Loaf Recipe along with a healthy Chickoo Banana Date Smoothie to kick start you Breakfast in a healthy way.
</t>
  </si>
  <si>
    <t>Para empezar a preparar la receta de pan de brócoli y cilantro rico en proteínas, hierva el brócoli o cocínelo al vapor en el microondas hasta que esté suave. Luego, con un procesador de alimentos, puede molerlo hasta obtener una mezcla gruesa. A continuación, agregue la avena, las hojas de cilantro, el polvo para hornear, el bicarbonato de sodio, la nuez moscada en polvo y el tomillo. Mezcle bien. En otro tazón, combine la mezcla de yogur y clara de huevo, bata hasta que se combine bien. Agregue esto a la mezcla de avena. Precaliente el horno a 180 grados Celsius durante unos 10 minutos. Vierta la masa de brócoli y avena en un molde para pan engrasado y hornee durante 20-30 minutos. Sirva la receta de pan de brócoli y cilantro rico en proteínas junto con un saludable batido de dátiles y plátano Chickoo para comenzar su desayuno de forma saludable.</t>
  </si>
  <si>
    <t>Pour commencer à préparer la recette du pain riche en protéines au brocoli et à la coriandre, faites bouillir le brocoli ou faites-le cuire à la vapeur au micro-ondes jusqu'à ce qu'il soit tendre. Ensuite, à l'aide d'un robot culinaire, vous pouvez le moudre jusqu'à obtenir un mélange grossier. Ajoutez ensuite les flocons d'avoine, les feuilles de coriandre, la levure chimique, le bicarbonate de soude, la poudre de muscade et le thym. Bien mélanger. Dans un autre bol, mélangez le yaourt et le mélange de blancs d'œufs, battez jusqu'à ce que le tout soit bien mélangé. Ajoutez-le au mélange d'avoine. Préchauffez le four à 180 degrés Celsius pendant environ 10 minutes. Versez la pâte au brocoli et à l'avoine dans un moule à cake graissé et faites-le cuire au four pendant 20 à 30 minutes. Servez la recette du pain riche en protéines au brocoli et à la coriandre avec un smoothie Chickoo Banana Dattes pour démarrer votre petit-déjeuner de manière saine.</t>
  </si>
  <si>
    <t>https://www.archanaskitchen.com/high-protein-broccoli-coriander-loaf-recipe</t>
  </si>
  <si>
    <t>No Bake Fudge Brownies Recipe</t>
  </si>
  <si>
    <t>Rezept für Fudge Brownies ohne Backen</t>
  </si>
  <si>
    <t>Recette de brownie au fudge sans cuisson</t>
  </si>
  <si>
    <t>Receta de brownie de dulce de azúcar sin horno</t>
  </si>
  <si>
    <t>1 1/2 tasse de pépites de chocolat - mi-sucré, 1 3/4 tasse de lait concentré, 1 1/2 tasse de gaufrettes au chocolat - ou biscuits gaufrettes au café, 1 tasse de noix - ou de pépites de chocolat ou de caramel, 1 cuillère à café d'extrait de vanille</t>
  </si>
  <si>
    <t>1 1/2 cups Chocolate chips - semi sweet ,1 3/4 cups Condensed Milk,1 1/2 cups Chocolate wafers - or coffee flavoured wafer biscuits,1 cup Walnuts - or choco chips or caramel chips,1 teaspoon Vanilla Extract</t>
  </si>
  <si>
    <t>1 1/2 tazas de chispas de chocolate semidulce, 1 3/4 tazas de leche condensada, 1 1/2 tazas de obleas de chocolate o galletas de oblea con sabor a café, 1 taza de nueces o chispas de chocolate o chispas de caramelo, 1 cucharadita de extracto de vainilla</t>
  </si>
  <si>
    <t xml:space="preserve">We begin making the No-Bake Fudge Brownies by melting the chocolate in a saucepan or a microwave.Add the condensed milk, wafer biscuits, half of the walnuts and vanilla essence. Give it a stir and mix well. Pour the fudge mixture into a non stick or lined 8 inch square pan and press it evenly.Press the remaining walnuts on the top of fudge brownies. Allow it to firm up by letting it cool to room temperature.Once it is done, cut the brownies into 2 inch square and chill it in the refrigerator for some more time before serving. Serve No Bake Fudge Brownies as a Dessert after your delicious meal.
</t>
  </si>
  <si>
    <t>Comenzamos preparando los Brownies de Fudge sin Horno derritiendo el chocolate en una cacerola o en el microondas. Agregamos la leche condensada, las galletas de barquillo, la mitad de las nueces y la esencia de vainilla. Revolvemos y mezclamos bien. Vierte la mezcla de fudge en un molde cuadrado antiadherente o forrado de 8 pulgadas y presionamos uniformemente. Presionamos las nueces restantes sobre la parte superior de los brownies de fudge. Dejamos que se endurezca dejándolo enfriar a temperatura ambiente. Una vez listo, cortamos los brownies en cuadrados de 2 pulgadas y los refrigeramos por un tiempo más antes de servir. Sirve los Brownies de Fudge sin Horno como postre después de tu deliciosa comida.</t>
  </si>
  <si>
    <t>Nous commençons à préparer les brownies au fudge sans cuisson en faisant fondre le chocolat dans une casserole ou au micro-ondes. Ajoutez le lait concentré, les biscuits gaufrés, la moitié des noix et l'essence de vanille. Remuez et mélangez bien. Versez le mélange de fudge dans un moule carré antiadhésif ou chemisé de 20 cm et tassez-le uniformément. Pressez les noix restantes sur le dessus des brownies au fudge. Laissez-les refroidir à température ambiante pour qu'ils durcissent. Une fois cuits, coupez les brownies en carrés de 5 cm et placez-les au réfrigérateur pendant un moment avant de servir. Servez les brownies au fudge sans cuisson en dessert après votre délicieux repas.</t>
  </si>
  <si>
    <t>http://www.archanaskitchen.com/no-bake-fudge-brownies-recipe</t>
  </si>
  <si>
    <t>No Bake White Chocolate Cheesecake Recipe</t>
  </si>
  <si>
    <t>Rezept für Käsekuchen mit weißer Schokolade ohne Backen</t>
  </si>
  <si>
    <t>Recette de cheesecake au chocolat blanc sans cuisson</t>
  </si>
  <si>
    <t>Receta de tarta de queso con chocolate blanco sin horno</t>
  </si>
  <si>
    <t>180 grammes de fromage à la crème Britannia, 2 cuillères à café d'agar-agar, 1 tasse de crème à fouetter épaisse, 120 grammes de chocolat blanc fondu, 1/2 cuillère à café d'extrait de vanille, 2 cuillères à soupe de sucre en poudre, 1/4 cuillère à café de zeste de citron, 1/4 cuillère à café de zeste d'orange (écorce), 1-1/2 tasse de chapelure de biscuits Graham - écraser au robot culinaire, 100 grammes de beurre (non salé) - fondu, 1/4 cuillère à café d'extrait de vanille</t>
  </si>
  <si>
    <t>180 grams Britannia Cream Cheese,2 teaspoons Agar agar,1 cup Heavy whipping cream,120 grams White Chocolate - melted,1/2 teaspoon Vanilla Extract,2 tablespoon Sugar - powdered,1/4 teaspoon Lemon zest,1/4 teaspoon Orange Zest (Rind),1-1/2 cup Graham cracker crumbs - crush in food processor,100 grams Butter (unsalted) - melted,1/4 teaspoon Vanilla Extract</t>
  </si>
  <si>
    <t>180 gramos de queso crema Britannia, 2 cucharaditas de agar agar, 1 taza de crema batida espesa, 120 gramos de chocolate blanco derretido, 1/2 cucharadita de extracto de vainilla, 2 cucharadas de azúcar en polvo, 1/4 cucharadita de ralladura de limón, 1/4 cucharadita de ralladura de naranja (cáscara), 1-1/2 taza de migas de galleta Graham - trituradas en un procesador de alimentos, 100 gramos de mantequilla (sin sal) derretida, 1/4 cucharadita de extracto de vainilla</t>
  </si>
  <si>
    <t xml:space="preserve">To begin making the No Bake White Chocolate Cheesecake recipe, we will first make the crust for the cheesecake. Mix graham cracker crumbs, melted butter and vanilla extract in a mixing bowl.Press the mixture across the bottom of the nine-inches springform pan.Put crust in refrigerator while you make the filling. The next step is to make the filling.In a small mixing bowl, add two tablespoons water and dissolve the agar agar and allow it to test for a few minutes till it gets a gelatinous consistency.Bring cream cheese to room-temperature.Take a mixing bowl. Add cream cheese, heavy whipping cream, vanilla extract,agar agar mixture and sugar.Beat all with whisk or electric beater until blended. Add the melted white chocolate, orange zest and lemon zest and blend again until fluffy and smooth.Pour the cream cheese mixture on the crust. Refrigerate at least for 4 to 5 hours.Garnish with cocoa powder and pomegranate seeds before serving.Serve No Bake White Chocolate Cheesecake as dessert after a meal of Rosemary Chicken Rice Recipe With Spicy Tomato Garlic Sauce or Mushroom Stroganoff Recipe.
</t>
  </si>
  <si>
    <t>Para comenzar a hacer la receta de tarta de queso con chocolate blanco sin horno, primero haremos la corteza para la tarta de queso. Mezcla las migas de galleta graham, la mantequilla derretida y el extracto de vainilla en un tazón. Presiona la mezcla en el fondo del molde desmontable de nueve pulgadas. Pon la corteza en el refrigerador mientras preparas el relleno. El siguiente paso es hacer el relleno. En un tazón pequeño, agrega dos cucharadas de agua y disuelve el agar agar y déjalo probar durante unos minutos hasta que obtenga una consistencia gelatinosa. Lleva el queso crema a temperatura ambiente. Toma un tazón. Agrega el queso crema, la crema batida espesa, el extracto de vainilla, la mezcla de agar agar y el azúcar. Bate todo con un batidor de varillas o una batidora eléctrica hasta que se mezcle. Agrega el chocolate blanco derretido, la ralladura de naranja y la ralladura de limón y vuelve a mezclar hasta que esté esponjoso y suave. Vierte la mezcla de queso crema sobre la corteza. Refrigerar al menos durante 4 a 5 horas. Decorar con cacao en polvo y semillas de granada antes de servir. Servir la tarta de queso con chocolate blanco sin horno como postre después de una comida de arroz con pollo al romero con salsa picante de tomate y ajo o una receta de stroganoff de champiñones.</t>
  </si>
  <si>
    <t>Pour commencer à préparer la recette de gâteau au fromage au chocolat blanc sans cuisson, nous allons d'abord préparer la croûte du gâteau au fromage. Mélangez les miettes de biscuits Graham, le beurre fondu et l'extrait de vanille dans un bol à mélanger. Pressez le mélange au fond du moule à charnière de neuf pouces. Mettez la croûte au réfrigérateur pendant que vous préparez la garniture. L'étape suivante consiste à préparer la garniture. Dans un petit bol à mélanger, ajoutez deux cuillères à soupe d'eau et dissolvez l'agar-agar et laissez-le tester pendant quelques minutes jusqu'à ce qu'il obtienne une consistance gélatineuse. Portez le fromage à la crème à température ambiante. Prenez un bol à mélanger. Ajoutez le fromage à la crème, la crème à fouetter épaisse, l'extrait de vanille, le mélange d'agar-agar et le sucre. Battez le tout avec un fouet ou un batteur électrique jusqu'à ce que le tout soit mélangé. Ajoutez le chocolat blanc fondu, le zeste d'orange et le zeste de citron et mélangez à nouveau jusqu'à consistance mousseuse et lisse. Versez le mélange de fromage à la crème sur la croûte. Réfrigérer au moins 4 à 5 heures. Garnir de poudre de cacao et de graines de grenade avant de servir. Servir le cheesecake au chocolat blanc sans cuisson en dessert après un repas de recette de riz au poulet au romarin avec sauce tomate épicée à l'ail ou de recette de champignons Stroganoff.</t>
  </si>
  <si>
    <t>https://www.archanaskitchen.com/no-bake-white-chocolate-cheesecake-recipe</t>
  </si>
  <si>
    <t>Rezept für geröstete Kirschtomatensuppe</t>
  </si>
  <si>
    <t>Recette de soupe de tomates cerises rôties</t>
  </si>
  <si>
    <t>Receta de sopa de tomates cherry asados</t>
  </si>
  <si>
    <t>300 grammes de tomates cerises, 2 cuillères à soupe d'huile d'olive extra vierge, 3 gousses d'ail finement hachées, 2 brins de romarin, sel et poivre au goût</t>
  </si>
  <si>
    <t>300 grams Cherry tomatoes,2 tablespoons Extra Virgin Olive Oil,3 cloves Garlic - finely chopped,2 sprig Rosemary,Salt and Pepper - to taste</t>
  </si>
  <si>
    <t>300 gramos de tomates cherry, 2 cucharadas de aceite de oliva virgen extra, 3 dientes de ajo finamente picados, 2 ramitas de romero, sal y pimienta al gusto.</t>
  </si>
  <si>
    <t xml:space="preserve">To begin making the Roasted Cherry Tomato Soup Recipe first prepare the oven for roasting the tomatoes. Set the oven to preheat at 180 C for about 15 minutes.Meanwhile, in a baking tray spread the tomatoes evenly. Drizzle the oil over them, sprinkle some salt and pepper over it and toss well so the tomatoes are well coated. Scatter them around the tray.Next, crush the garlic pods lightly in a mortar and pestle. Scatter them on to the tray, in between the tomatoes. Tear the rosemary leaves, lightly rub them between your palms or fingers and sprinkle all over the tomatoes in the tray. Give it a good mix so the tomatoes are well coated.Place the tray in the oven so the tomatoes will cook for about 1/2 hour or until they are crinkled and soft.When done, take the tray out of the oven and place it on a rack to cool slightly. Empty the tomatoes into a blender jar of a mixer-grinder and blend them into a smooth paste.Pour the roasted tomato puree into a saucepan, add a cup of water and bring it to a boil. Simmer along with salt and pepper, as needed.Pour the soup into individual serving bowls and garnish it with toasted bagels or croutons. Serve the Roasted Cherry Tomato Soup for a weeknight dinner, along with crusty Salad, or even as a starter at a dinner party. 
</t>
  </si>
  <si>
    <t>Para empezar a preparar la receta de sopa de tomates cherry asados, primero prepara el horno para asar los tomates. Precalienta el horno a 180 °C durante unos 15 minutos. Mientras tanto, en una bandeja para hornear, extiende los tomates uniformemente. Rocíalos con aceite, salpimienta y revuelve bien para que queden bien cubiertos. Repártelos por la bandeja. A continuación, machaca ligeramente las vainas de ajo en un mortero. Espárcelas en la bandeja, entre los tomates. Desmenuza las hojas de romero, frótalas ligeramente entre las palmas o los dedos y espolvoréalas sobre los tomates en la bandeja. Mezcla bien para que queden bien cubiertos. Coloca la bandeja en el horno para que los tomates se cocinen durante aproximadamente media hora o hasta que estén crujientes y suaves. Cuando esté listo, retira la bandeja del horno y colócala sobre una rejilla para que se enfríe un poco. Vierta los tomates en el vaso de una licuadora y tritúrelos hasta obtener una pasta suave. Vierta el puré de tomate asado en una cacerola, añada una taza de agua y llévelo a ebullición. Cocine a fuego lento con sal y pimienta al gusto. Vierta la sopa en tazones individuales y decórela con bagels tostados o crutones. Sirva la sopa de tomate cherry asado para una cena entre semana, con una ensalada crujiente o incluso como entrante en una cena.</t>
  </si>
  <si>
    <t>Pour commencer la recette de soupe de tomates cerises rôties, préparez le four pour la cuisson des tomates. Préchauffez le four à 180 °C pendant environ 15 minutes. Pendant ce temps, répartissez les tomates uniformément sur une plaque de cuisson. Arrosez-les d'huile, salez et poivrez, puis mélangez bien pour bien enrober les tomates. Répartissez-les sur la plaque. Ensuite, écrasez légèrement les gousses d'ail dans un mortier et un pilon. Dispersez-les sur la plaque, entre les tomates. Déchirez les feuilles de romarin, frottez-les légèrement entre vos paumes ou vos doigts et parsemez-en les tomates sur la plaque. Mélangez bien pour bien enrober les tomates. Enfournez et laissez cuire les tomates pendant environ 30 minutes, jusqu'à ce qu'elles soient fripées et tendres. Une fois la cuisson terminée, sortez la plaque du four et laissez-la refroidir légèrement sur une grille. Videz les tomates dans le bol d'un mixeur-hachoir et mixez-les jusqu'à obtenir une pâte lisse. Versez la purée de tomates rôties dans une casserole, ajoutez une tasse d'eau et portez à ébullition. Laissez mijoter avec du sel et du poivre, si nécessaire. Versez la soupe dans des bols individuels et garnissez-la de bagels grillés ou de croûtons. Servez la soupe de tomates cerises rôties pour un dîner de semaine, accompagnée d'une salade croquante, ou même en entrée lors d'un dîner.</t>
  </si>
  <si>
    <t>https://www.archanaskitchen.com/roasted-cherry-tomato-soup-recipe</t>
  </si>
  <si>
    <t>Chocolate Chip Scone Recipe</t>
  </si>
  <si>
    <t>Rezept für Schokoladen-Scone</t>
  </si>
  <si>
    <t>recette de scones au chocolat</t>
  </si>
  <si>
    <t>receta de bollos de chocolate</t>
  </si>
  <si>
    <t>200 grammes de farine tout usage (Maida), 60 grammes de cacao en poudre, 125 grammes de sucre, 2 cuillères à café de levure chimique, 75 grammes de beurre (non salé) - coupé en cubes, 1/2 tasse de badam (amande) - tranches, 1/2 tasse de pépites de chocolat, 150 ml de crème fraîche, 1 œuf entier, 1 cuillère à café d'extrait de vanille, 1 recette de ganache au chocolat</t>
  </si>
  <si>
    <t>200 grams All Purpose Flour (Maida),60 grams Cocoa Powder,125 grams Sugar,2 teaspoons Baking powder,75 grams Butter (unsalted) - cut into cubes,1/2 cup Badam (Almond) - slices,1/2 cup Chocolate chips,150 ml Fresh cream,1 Whole Eggs,1 teaspoon Vanilla Extract,1 recipe Chocolate ganache</t>
  </si>
  <si>
    <t>200 gramos de harina para todo uso (Maida), 60 gramos de cacao en polvo, 125 gramos de azúcar, 2 cucharaditas de polvo para hornear, 75 gramos de mantequilla (sin sal) - cortada en cubos, 1/2 taza de Badam (almendra) - rebanadas, 1/2 taza de chispas de chocolate, 150 ml de crema fresca, 1 huevo entero, 1 cucharadita de extracto de vainilla, 1 receta de ganache de chocolate</t>
  </si>
  <si>
    <t xml:space="preserve">To begin making the Chocolate Chip Scone Recipe, preheat your oven to 195 C.In a large mixing bowl, whisk all the Dry Ingredients together except assorted nuts. Add the butter into this mixture and knead it to form a crumbly mixture. Stir in all the wet ingredients (have them at room temperature) into the crumbly mixture. Add the choco chips/nuts. Knead it just a bit more until all the ingredients are well combined. Take care not to over knead it. Over-kneaded dough doesn’t give a very soft cake like a Scone.(if you have a stand mixer or a food processor then you can combine all the ingredients in the above way using them)Prepare your baking tray by greasing it with an oil spray or margarine. Put a layer of Butter paper/Parchment paper on top.Place the dough on a lightly floured surface and shape the dough into a big rounds by patting with your hands or rolling with a pin. The dough tends to be sticky so please don’t panic. Using a sharp, greased knife cut into wedges of desired size.You can optionally use cookie cutters to shape the scone dough. Carefully place the wedges on your baking tray and place it into the preheated oven.Bake for 15-20 minutes.Use a toothpick to check if it the chocolate scones are done. It should have a thick outer crust but extremely soft inside. Cool it for 15-20 minutes before you serve it.Pour the chocolate ganache over the Chocolate Scones and enjoy! Serve Chocolate Chip Scone along with hot Masala chai for your tea time break.
</t>
  </si>
  <si>
    <t>Para empezar a hacer la receta de Scone con Chispas de Chocolate, precalienta el horno a 195 C. En un tazón grande, bate todos los ingredientes secos excepto las nueces surtidas. Agrega la mantequilla a esta mezcla y amásala hasta formar una mezcla desmenuzable. Incorpora todos los ingredientes húmedos (tenlos a temperatura ambiente) a la mezcla desmenuzable. Agrega las chispas de chocolate/nueces. Amasa un poco más hasta que todos los ingredientes estén bien combinados. Ten cuidado de no amasar demasiado. La masa amasada demasiado no da un pastel muy suave como un Scone. (Si tienes una batidora de pie o un procesador de alimentos, puedes combinar todos los ingredientes de la manera anterior usándolos). Prepara tu bandeja para hornear engrasándola con un aerosol de aceite o margarina. Pon una capa de papel de mantequilla/papel de pergamino encima. Coloca la masa sobre una superficie ligeramente enharinada y dale forma de círculos grandes dándole palmaditas con las manos o rodándola con un rodillo. La masa tiende a ser pegajosa, así que por favor no te asustes. Con un cuchillo afilado y engrasado, corta en porciones del tamaño deseado. Opcionalmente, puedes usar cortadores de galletas para dar forma a la masa de scones. Coloca con cuidado las porciones en la bandeja de horno y colócala en el horno precalentado. Hornea durante 15-20 minutos. Usa un palillo para comprobar si los scones de chocolate están listos. Deben tener una corteza gruesa por fuera, pero extremadamente suave por dentro. Deja enfriar durante 15-20 minutos antes de servir. ¡Vierte el ganache de chocolate sobre los scones de chocolate y disfruta! Sirve el scone de chispas de chocolate junto con un chai masala caliente para la hora del té.</t>
  </si>
  <si>
    <t>Pour commencer la recette des scones aux pépites de chocolat, préchauffez votre four à 195 °C. Dans un grand saladier, fouettez tous les ingrédients secs, sauf les noix. Ajoutez le beurre et pétrissez jusqu'à obtenir une pâte friable. Incorporez tous les ingrédients humides (à température ambiante). Ajoutez les pépites de chocolat et les noix. Pétrissez encore un peu jusqu'à ce que tous les ingrédients soient bien mélangés. Attention à ne pas trop pétrir. Une pâte trop pétrie ne donne pas un gâteau aussi moelleux qu'un scone. (Si vous avez un robot pâtissier, vous pouvez mélanger tous les ingrédients comme indiqué ci-dessus.) Préparez votre plaque de cuisson en la graissant avec un spray d'huile ou de la margarine. Recouvrez d'une couche de papier sulfurisé. Déposez la pâte sur un plan de travail légèrement fariné et façonnez-la en ronds en tapotant avec les mains ou en l'étalant au rouleau. La pâte a tendance à être collante, pas de panique. À l'aide d'un couteau bien aiguisé et graissé, découpez des quartiers de la taille souhaitée. Vous pouvez éventuellement utiliser des emporte-pièces pour façonner la pâte à scones. Déposez délicatement les quartiers sur votre plaque de cuisson et enfournez dans le four préchauffé. Faites cuire pendant 15 à 20 minutes. Utilisez un cure-dent pour vérifier la cuisson des scones au chocolat. La croûte doit être épaisse à l'extérieur, mais extrêmement moelleuse à l'intérieur. Laissez refroidir 15 à 20 minutes avant de servir. Versez la ganache au chocolat sur les scones au chocolat et dégustez ! Servez les scones aux pépites de chocolat accompagnés d'un chai masala chaud pour votre pause thé.</t>
  </si>
  <si>
    <t>http://www.archanaskitchen.com/chocolate-chip-scone-recipe</t>
  </si>
  <si>
    <t>Eggless Date And Cashew Cake Recipe</t>
  </si>
  <si>
    <t>Rezept für Dattel-Cashew-Kuchen ohne Eier</t>
  </si>
  <si>
    <t>Recette de gâteau aux dattes et noix de cajou sans œufs</t>
  </si>
  <si>
    <t>Receta de pastel de dátiles y anacardos sin huevo</t>
  </si>
  <si>
    <t>3/4 tasse de farine tout usage (Maida), 3/4 tasse de farine de blé entier, 1/2 tasse d'huile de tournesol, 3/4 tasse de sucre en poudre, 1 tasse de dattes, 1/2 tasse de noix de cajou hachées, 1-1/2 cuillère à café de bicarbonate de soude, sel - une pincée</t>
  </si>
  <si>
    <t>3/4 cup All Purpose Flour (Maida),3/4 cup Whole Wheat Flour,1/2 cup Sunflower Oil,3/4 cup Caster Sugar,1 cup Dates,1/2 cup Cashew nuts - chopped,1-1/2 teaspoon Baking soda,Salt - a pinch</t>
  </si>
  <si>
    <t>3/4 taza de harina para todo uso (Maida), 3/4 taza de harina integral, 1/2 taza de aceite de girasol, 3/4 taza de azúcar extrafino, 1 taza de dátiles, 1/2 taza de anacardos picados, 1-1/2 cucharadita de bicarbonato de sodio, sal - una pizca</t>
  </si>
  <si>
    <t xml:space="preserve">To begin with the Eggless Date And Cashew Cake Recipe first, Preheat oven to 180 degrees Centigrade or 350 degrees Fahrenheit.Grease and flour a 9-inch round baking pan or line with aluminum foil and then grease and flour.Remove the seeds from dates if any and chop the dates. Soak them in just enough water for 30 minutes to an hour.Measure all the ingredients and keep ready.In a mixing bowl, beat oil and sugar with a spoon or fork.Sieve all purpose flour, salt and soda.Add this along with the whole wheat flour to the oil and sugar, give it a good mix so that all ingredients combine together.Stir in the chopped dates along with the water and also add the chopped cashew nuts.Pour the mixture into the baking pan, level the mixture with a spoon or spatula.Bake for about 30 minutes or until a tooth pick inserted into the center of the cake, comes out clean.Remove from the oven and place the pan on a cooling rack.After 10 minutes, remove from the pan and cool completely.Enjoy the Eggless Date And Cashew Cake Recipe with a cup of hot coffee or with a scoop of Gluten-Free Mango and Coconut Milk Ice-Cream. 
</t>
  </si>
  <si>
    <t>Para comenzar con la receta de pastel de dátiles y anacardos sin huevo, primero precaliente el horno a 180 grados centígrados o 350 grados Fahrenheit. Engrase y enharine un molde para hornear redondo de 9 pulgadas o cúbralo con papel de aluminio y luego engrase y enharine. Retire las semillas de los dátiles si las hay y pique los dátiles. Remójalos en suficiente agua durante 30 minutos a una hora. Mide todos los ingredientes y tenlos listos. En un tazón, bate el aceite y el azúcar con una cuchara o tenedor. Tamiza la harina para todo uso, la sal y el bicarbonato. Agrega esto junto con la harina integral al aceite y el azúcar, revolviendo bien para que todos los ingredientes se combinen. Agrega los dátiles picados junto con el agua y también agrega los anacardos picados. Vierte la mezcla en el molde para hornear, nivelando la mezcla con una cuchara o espátula. Hornea durante unos 30 minutos o hasta que un palillo insertado en el centro del pastel salga limpio. Retira del horno y coloca el molde sobre una rejilla para enfriar. Después de 10 minutos, desmolda y deja enfriar por completo. Disfruta de la receta de pastel de dátiles y anacardos sin huevo con una taza de café caliente o con una bola de helado de mango y leche de coco sin gluten.</t>
  </si>
  <si>
    <t>Pour commencer la recette du gâteau aux dattes et aux noix de cajou sans œufs, préchauffez le four à 180 degrés centigrades ou 350 degrés Fahrenheit. Graissez et farinez un moule rond de 9 pouces ou tapissez-le de papier d'aluminium, puis graissez et farinez. Retirez les graines des dattes s'il y en a et hachez les dattes. Faites-les tremper dans juste assez d'eau pendant 30 minutes à une heure. Mesurez tous les ingrédients et réservez-les. Dans un saladier, battez l'huile et le sucre à l'aide d'une cuillère ou d'une fourchette. Tamisez la farine tout usage, le sel et le bicarbonate de soude. Ajoutez le tout avec la farine de blé entier à l'huile et au sucre, et mélangez bien pour que tous les ingrédients se mélangent. Incorporez les dattes hachées avec l'eau et ajoutez les noix de cajou hachées. Versez le mélange dans le moule, égalisez le mélange avec une cuillère ou une spatule. Faites cuire au four pendant environ 30 minutes ou jusqu'à ce qu'un cure-dent inséré au centre du gâteau en ressorte propre. Retirez du four et placez le moule sur une grille de refroidissement. Après 10 minutes, retirez du moule et laissez refroidir complètement. Savourez la recette du gâteau aux dattes et aux noix de cajou sans œufs avec une tasse de café chaud ou avec une boule de glace à la mangue et au lait de coco sans gluten.</t>
  </si>
  <si>
    <t>http://www.archanaskitchen.com/eggless-date-and-cashew-cake-recipe</t>
  </si>
  <si>
    <t>Cheesy Sweet Corn Grilled Sandwich Recipe</t>
  </si>
  <si>
    <t>Rezept für gegrilltes Käse-Mais-Sandwich</t>
  </si>
  <si>
    <t>Recette de sandwich au maïs et au fromage grillé</t>
  </si>
  <si>
    <t>Receta de sándwich de queso a la parrilla y maíz</t>
  </si>
  <si>
    <t>6 pains bruns de blé entier - blé entier, 3 cuillères à soupe de beurre - fondu, 1/2 tasse de maïs doux - grains, 1 poivron vert (capsicum) - finement haché, 1 tomate - finement hachée, 1/2 cuillère à café de grains de poivre noir entiers - écrasés, 2 cuillères à café d'origan séché, 1/2 tasse de fromage mozzarella - râpé, sel - au goût</t>
  </si>
  <si>
    <t>6 Whole Wheat Brown Bread - whole wheat,3 tablespoons Butter - melted,1/2 cup Sweet corn - kernels,1 Green Bell Pepper (Capsicum) - finely chopped,1 Tomato - finely chopped,1/2 teaspoon Whole Black Peppercorns - crushed,2 teaspoons Dried oregano,1/2 cup Mozzarella cheese - grated,Salt - to taste</t>
  </si>
  <si>
    <t>6 panes integrales - trigo integral, 3 cucharadas de mantequilla - derretida, 1/2 taza de maíz dulce - granos, 1 pimiento verde (Capsicum) - finamente picado, 1 tomate - finamente picado, 1/2 cucharadita de granos de pimienta negra enteros - triturados, 2 cucharaditas de orégano seco, 1/2 taza de queso mozzarella - rallado, sal - al gusto</t>
  </si>
  <si>
    <t xml:space="preserve">To begin making the Cheesy Sweet Corn Grilled Sandwich Recipe, In a mixing bowl, add mix sweet corn kernels, diced green capsicum, diced tomato, crushed black pepper, oregano and salt. Gently toss the mixture, check the salt and adjust to suit your taste.Brush butter on one side of the two bread slices and on the non-buttered side spread the above made mixture evenly.Top with grated mozzarella and then top it with other two bread slices and brush with butter.Using a sandwich maker or grill pan, grill the sandwiches until crisp and browned on both sides. Proceed the same way with the remaining slices of bread.Serve the Cheesy Sweet Corn Grilled Sandwiches along with a glass of Fresh Ginger Lemonade or a cup of Espresso Coffee for a breakfast, or pack into a lunchbox for kids.
</t>
  </si>
  <si>
    <t>Para empezar a preparar la receta del sándwich de maíz dulce con queso a la parrilla, en un tazón, agregue los granos de maíz dulce, el pimiento verde picado, el tomate picado, la pimienta negra molida, el orégano y la sal. Revuelva suavemente la mezcla, verifique la sal y ajuste a su gusto. Unte con mantequilla un lado de las dos rebanadas de pan y, en el lado sin mantequilla, extienda la mezcla anterior uniformemente. Cubra con mozzarella rallada y luego cubra con las otras dos rebanadas de pan y unte con mantequilla. Con una sandwichera o una sartén para parrilla, ase los sándwiches hasta que estén crujientes y dorados por ambos lados. Proceda de la misma manera con las rebanadas de pan restantes. Sirva los sándwiches de maíz dulce con queso a la parrilla junto con un vaso de limonada de jengibre fresco o una taza de café expreso para el desayuno, o llévelos en una lonchera para los niños.</t>
  </si>
  <si>
    <t>Pour commencer à préparer la recette de sandwich grillé au maïs sucré et au fromage, dans un saladier, ajoutez les grains de maïs sucré, les dés de poivron vert, les dés de tomate, le poivre noir concassé, l'origan et le sel. Mélangez délicatement le mélange, vérifiez la quantité de sel et ajustez à votre goût. Badigeonnez de beurre un côté des deux tranches de pain et, sur le côté non beurré, étalez uniformément le mélange préparé ci-dessus. Garnissez de mozzarella râpée, puis recouvrez des deux autres tranches de pain et badigeonnez de beurre. À l'aide d'une machine à sandwich ou d'une poêle à griller, faites griller les sandwichs jusqu'à ce qu'ils soient croustillants et dorés des deux côtés. Procédez de même avec les tranches de pain restantes. Servez les sandwichs grillés au maïs sucré et au fromage avec un verre de limonade au gingembre frais ou une tasse d'espresso pour le petit-déjeuner, ou emportez-les dans une boîte à lunch pour les enfants.</t>
  </si>
  <si>
    <t>http://www.archanaskitchen.com/cheesy-sweet-corn-grilled-sandwich-recipe</t>
  </si>
  <si>
    <t>Pan Fried Corn &amp; Cheese Bites Recipe -Corn &amp; Paneer Balls</t>
  </si>
  <si>
    <t>Rezept für gebratene Mais-Käse-Häppchen – Mais-Paneer-Bällchen</t>
  </si>
  <si>
    <t>Recette de boulettes de maïs et de fromage frites – Boulettes de paneer de maïs</t>
  </si>
  <si>
    <t>Receta de bolitas de maíz y queso fritas – Bolitas de maíz y paneer</t>
  </si>
  <si>
    <t>200 grammes de paneer (fromage cottage fait maison), 2 pommes de terre (aloo) - bouillies et écrasées, 1 tasse de maïs doux - cuit à la vapeur, 1 piment vert - finement haché, 2 brins de feuilles de coriandre (dhania) - finement hachées, 1 cuillère à café de graines de fenouil (sauna) - pilées, 1 cuillère à café de poudre de chaat masala, 1 cuillère à café de poudre de cumin (jeera), 1/2 tasse de graines de sésame (graines de til) - pour enrober les boules, sel au goût</t>
  </si>
  <si>
    <t>200 grams Paneer (Homemade Cottage Cheese),2 Potatoes (Aloo) - boiled and mashed,1 cup Sweet corn - steamed,1 Green Chillies - finely chopped,2 sprig Coriander (Dhania) Leaves - finely chopped,1 teaspoon Fennel seeds (Saunf) - pounded,1 teaspoon Chaat Masala Powder,1 teaspoon Cumin powder (Jeera),1/2 cup Sesame seeds (Til seeds) - for coating the ballssalt to taste</t>
  </si>
  <si>
    <t>200 gramos de Paneer (queso cottage casero), 2 papas (Aloo) - hervidas y machacadas, 1 taza de maíz dulce - al vapor, 1 chile verde - picado finamente, 2 ramitas de hojas de cilantro (Dhania) - picadas finamente, 1 cucharadita de semillas de hinojo (Saunf) - machacadas, 1 cucharadita de polvo de Chaat Masala, 1 cucharadita de polvo de comino (Jeera), 1/2 taza de semillas de sésamo (semillas de Til) - para recubrir las bolas de sal al gusto</t>
  </si>
  <si>
    <t xml:space="preserve">To begin making the Corn &amp; Cheese Bites recipe in a large mixing bowl, add in the corn, boiled and mashed potatoes, crumbled paneer, cumin powder, chaat masala powder, salt and lots of coriander leaves.Use your hands and combine the ingredients well. Check the salt and spices and adjust to suit your taste.Once done, shape the corn and cheese mixture into bite size balls and keep them aside. Roll the balls in sesame seeds and we will proceed to pan fry them in the Kuzhi Paniyaram pan.Add little oil into each one of the cavities in the Kuzhi Paniyaram pan and place these corn &amp; cheese balls into them. Pan fry them until it’s well roasted, brown and crisp on all sides.Once done, remove the Corn &amp; Cheese Bites from the pan and remove onto an oil absorbent paper. Serve hot. Serve these Non-Fried Corn &amp; Cheese Bites along with a warm cup of Tetley Lemon &amp; Honey Green Tea and Green Chutney to keep you feeling light and yet satisfied.
</t>
  </si>
  <si>
    <t>Para comenzar a hacer la receta de Corn &amp; Cheese Bites en un tazón grande, agregue el maíz, las papas hervidas y machacadas, el paneer desmenuzado, el comino en polvo, el polvo de chaat masala, la sal y muchas hojas de cilantro. Use sus manos y combine bien los ingredientes. Verifique la sal y las especias y ajuste a su gusto. Una vez hecho esto, forme la mezcla de maíz y queso en bolas del tamaño de un bocado y déjelas a un lado. Reboce las bolas en semillas de sésamo y procederemos a freírlas en la sartén Kuzhi Paniyaram. Agregue un poco de aceite en cada una de las cavidades en la sartén Kuzhi Paniyaram y coloque estas bolas de maíz y queso en ellas. Fríalas en la sartén hasta que estén bien tostadas, doradas y crujientes por todos lados. Una vez hecho esto, retire los Corn &amp; Cheese Bites de la sartén y colóquelos en un papel absorbente de aceite. Sirva caliente. Sirva estos bocados de maíz y queso sin freír junto con una taza tibia de té verde con limón y miel Tetley y chutney verde para sentirse ligero y, a la vez, satisfecho.</t>
  </si>
  <si>
    <t>Pour commencer à préparer la recette des bouchées de maïs et de fromage, dans un grand saladier, ajoutez le maïs, les pommes de terre bouillies et écrasées, le paneer émietté, la poudre de cumin, la poudre de chaat masala, le sel et beaucoup de feuilles de coriandre. Mélangez bien les ingrédients à la main. Vérifiez le sel et les épices et ajustez à votre goût. Une fois terminé, façonnez le mélange de maïs et de fromage en boulettes et réservez-les. Roulez les boulettes dans des graines de sésame et faites-les frire dans la poêle Kuzhi Paniyaram. Ajoutez un peu d'huile dans chaque cavité de la poêle Kuzhi Paniyaram et placez-y les boulettes de maïs et de fromage. Faites-les frire jusqu'à ce qu'elles soient bien dorées et croustillantes de tous les côtés. Une fois terminé, retirez les bouchées de maïs et de fromage de la poêle et déposez-les sur du papier absorbant. Servez chaud. Servez ces bouchées de maïs et de fromage non frites avec une tasse chaude de thé vert Tetley citron et miel et de chutney vert pour une sensation de légèreté et de satiété.</t>
  </si>
  <si>
    <t>http://www.archanaskitchen.com/non-fried-corn-cheese-bites-recipe-corn-paneer-balls</t>
  </si>
  <si>
    <t>Double Chocolate Coconut Fudge Recipe</t>
  </si>
  <si>
    <t>Rezept für Doppelschokoladen-Kokos-Fudge</t>
  </si>
  <si>
    <t>Recette de fudge double chocolat et noix de coco</t>
  </si>
  <si>
    <t>Receta de dulce de coco y doble chocolate</t>
  </si>
  <si>
    <t>4 tasses de noix de coco râpée, 300 grammes de chocolat blanc, 120 ml de crème double, 1 cuillère à soupe de beurre (non salé), 200 grammes de chocolat noir, 80 ml de crème double, 1/3 tasse de noix grillées, sel au goût</t>
  </si>
  <si>
    <t>4 cup Dessicated Coconut,300 grams White Chocolate,120 ml Double Cream,1 tablespoon Butter (unsalted),200 gram Dark chocolate,80 ml Double Cream,1/3 cup Walnuts - toasted,Salt - to taste</t>
  </si>
  <si>
    <t>4 tazas de coco deshidratado, 300 gramos de chocolate blanco, 120 ml de crema doble, 1 cucharada de mantequilla (sin sal), 200 gramos de chocolate negro, 80 ml de crema doble, 1/3 taza de nueces tostadas, sal al gusto</t>
  </si>
  <si>
    <t xml:space="preserve">To begin making Double Chocolate Coconut Fudge Recipe, first start preparing the white chocolate coconut mixture. Finely chop the white chocolate and keep aside.Put a heavy bottom sauce pan on medium heat. Pour 120ml double cream in and let it boil. Once the cream starts boiling, turn off the heat immediately and add in the chopped white chocolate. Stir continuously till the chocolate melts completely and there are no lumps.At this stage, add the butter, salt and desiccated coconut to the white chocolate mixture. The mixture will thicken up gradually once it starts cooling down. Keep this aside.Meanwhile cover a rectangular tray with a cling film from inside and keep aside. Once the white chocolate mixture has thickened a little, transfer it to the tray and spread it evenly. Place it in the refrigerator and allow it to set until we make the dark chocolate walnut mixture.To make the dark chocolate walnut mixture, finely chop the dark chocolate. Chop the roasted walnut in small pieces so that they give the right crunchiness to the fudge.Put a heavy bottom sauce pan on medium heat and pour 80ml double cream in it. Once the cream starts boiling, turn of the heat immediately and add in the chopped dark chocolate. Stir continuously till the chocolate melt completely and there are no lumps. Turn off the heat and allow the dark chocolate mixture to cool down and thicken a bit.Once cooled, remove the white chocolate tray from the refrigerator and spread the dark chocolate walnut mixture on top of the white chocolate. Keep the tray in the refrigerator for couple of hours till the fudge sets.Once the fudge has set, cut into slices or squares and serve them on a serving platter.Enjoy the Double Chocolate Coconut Fudge with a hot steaming cup of coffee or pack into a snack box for kids. You can even serve it as a dessert for your tea parties.Serve these crunchy Coconut &amp; White Chocolate Fudge bars as a party snack for kids and adults. You can even pack it for the kids snack box or just to satisfy your sweet cravings.
</t>
  </si>
  <si>
    <t>Para comenzar a hacer la Receta de Fudge de Coco y Doble Chocolate, primero comience a preparar la mezcla de chocolate blanco y coco. Pique finamente el chocolate blanco y reserve. Ponga una cacerola de fondo grueso a fuego medio. Vierta 120 ml de crema doble y deje que hierva. Una vez que la crema comience a hervir, apague el fuego inmediatamente y agregue el chocolate blanco picado. Revuelva continuamente hasta que el chocolate se derrita completamente y no haya grumos. En esta etapa, agregue la mantequilla, la sal y el coco rallado a la mezcla de chocolate blanco. La mezcla espesará gradualmente una vez que comience a enfriarse. Mantenga esto a un lado. Mientras tanto, cubra una bandeja rectangular con una película adhesiva desde adentro y reserve. Una vez que la mezcla de chocolate blanco haya espesado un poco, transfiérala a la bandeja y extiéndala uniformemente. Colóquela en el refrigerador y deje que se asiente hasta que hagamos la mezcla de nueces y chocolate negro. Para hacer la mezcla de nueces y chocolate negro, pique finamente el chocolate negro. Picar la nuez tostada en trozos pequeños para que le den el crujido adecuado al fudge. Poner una cacerola de fondo grueso a fuego medio y verter 80 ml de crema doble en ella. Una vez que la crema comience a hervir, apagar el fuego inmediatamente y añadir el chocolate negro picado. Revolver continuamente hasta que el chocolate se derrita completamente y no queden grumos. Apagar el fuego y dejar que la mezcla de chocolate negro se enfríe y espese un poco. Una vez enfriado, sacar la bandeja de chocolate blanco del refrigerador y extender la mezcla de nueces y chocolate negro sobre el chocolate blanco. Mantener la bandeja en el refrigerador durante un par de horas hasta que el fudge cuaje. Una vez que el fudge haya cuajando, cortar en rodajas o cuadrados y servirlos en una fuente para servir. Disfruta del Fudge de Coco y Doble Chocolate con una taza de café humeante caliente o empacarlo en una caja de refrigerio para niños. Incluso puedes servirlo como postre para tus fiestas de té. Sirve estas crujientes barras de Fudge de Coco y Chocolate Blanco como un refrigerio de fiesta para niños y adultos. Incluso puedes guardarlo para la merienda de los niños o simplemente para saciar tus antojos dulces.</t>
  </si>
  <si>
    <t>Pour commencer à préparer la recette du fudge double chocolat et noix de coco, commencez par préparer le mélange de chocolat blanc et de noix de coco. Hachez finement le chocolat blanc et réservez. Mettez une casserole à fond épais sur feu moyen. Versez 120 ml de crème double et laissez bouillir. Une fois que la crème commence à bouillir, éteignez immédiatement le feu et ajoutez le chocolat blanc haché. Remuez continuellement jusqu'à ce que le chocolat fonde complètement et qu'il n'y ait plus de grumeaux. À ce stade, ajoutez le beurre, le sel et la noix de coco râpée au mélange de chocolat blanc. Le mélange épaissira progressivement une fois qu'il commencera à refroidir. Gardez-le de côté. Pendant ce temps, couvrez un plateau rectangulaire d'un film alimentaire de l'intérieur et réservez. Une fois que le mélange de chocolat blanc a un peu épaissi, transférez-le sur le plateau et étalez-le uniformément. Placez-le au réfrigérateur et laissez-le prendre jusqu'à ce que nous préparions le mélange de chocolat noir et de noix. Pour faire le mélange de chocolat noir et de noix, hachez finement le chocolat noir. Hachez les noix grillées en petits morceaux pour qu'elles donnent le bon croquant au fudge. Mettez une casserole à fond épais sur feu moyen et versez-y 80 ml de crème double. Une fois que la crème commence à bouillir, éteignez immédiatement le feu et ajoutez le chocolat noir haché. Remuez continuellement jusqu'à ce que le chocolat fonde complètement et qu'il n'y ait plus de grumeaux. Éteignez le feu et laissez le mélange de chocolat noir refroidir et épaissir un peu. Une fois refroidi, retirez le plateau de chocolat blanc du réfrigérateur et étalez le mélange de noix de coco au chocolat noir sur le chocolat blanc. Gardez le plateau au réfrigérateur pendant quelques heures jusqu'à ce que le fudge prenne. Une fois le fudge pris, coupez-le en tranches ou en carrés et servez-les sur un plat de service. Savourez le fudge double chocolat et noix de coco avec une tasse de café chaud ou emballez-le dans une boîte à collation pour les enfants. Vous pouvez même le servir en dessert pour vos goûters. Servez ces barres croquantes de fudge à la noix de coco et au chocolat blanc comme collation de fête pour les enfants et les adultes. Vous pouvez même l'emballer pour la boîte à goûter des enfants ou simplement pour satisfaire vos envies de sucré.</t>
  </si>
  <si>
    <t>https://www.archanaskitchen.com/double-chocolate-coconut-fudge-recipe</t>
  </si>
  <si>
    <t>Strawberry Bundt Cake with Muesli and Oats Recipe</t>
  </si>
  <si>
    <t>Erdbeer-Gugelhupf mit Müsli und Haferflocken Rezept</t>
  </si>
  <si>
    <t>Recette de gâteau Bundt aux fraises avec muesli et flocons d'avoine</t>
  </si>
  <si>
    <t>Receta de Bundt Cake de Fresa con Muesli y Avena</t>
  </si>
  <si>
    <t>1 tasse de muesli, 3/4 tasse de grains de blé/blé entier, 1/2 tasse de flocons d'avoine instantanés (gruau), 1/2 cuillère à café de levure chimique, 1/2 cuillère à café de bicarbonate de soude, 1/4 cuillère à café de sel, 1/4 tasse d'huile d'olive extra vierge, 1 œuf entier, 1 cuillère à café d'extrait de vanille, 1/4 tasse de lait, 1/4 tasse d'eau, 2 cuillères à soupe de sirop de dattes - ou de miel, 3/4 tasse de fraises - coupées en dés</t>
  </si>
  <si>
    <t>1 cup Muesli,3/4 cup Wheat Berries/ Whole Wheat,1/2 cup Instant Oats (Oatmeal),1/2 teaspoon Baking powder,1/2 teaspoon Baking soda,1/4 teaspoon Salt,1/4 cup Extra Virgin Olive Oil,1 Whole Egg,1 teaspoon Vanilla Extract,1/4 cup Milk,1/4 cup Water,2 tablespoon Date syrup - or honey,3/4 cup Strawberries - diced</t>
  </si>
  <si>
    <t>1 taza de muesli, 3/4 taza de granos de trigo/trigo integral, 1/2 taza de avena instantánea (avena), 1/2 cucharadita de polvo para hornear, 1/2 cucharadita de bicarbonato de sodio, 1/4 cucharadita de sal, 1/4 taza de aceite de oliva virgen extra, 1 huevo entero, 1 cucharadita de extracto de vainilla, 1/4 taza de leche, 1/4 taza de agua, 2 cucharadas de jarabe de dátiles o miel, 3/4 taza de fresas cortadas en cubitos</t>
  </si>
  <si>
    <t xml:space="preserve">We begin making the Strawberry Bundt Cake with Muesli and Oats Recipe by pre heating the oven to 180 degree Celsius for 10 minutes.Mix the dry ingredients like the wheat flour, muesli, oats, baking powder, and baking soda and cinnamon powder into a mixing bowl.Slowly add in the olive oil and mix it well. Add in the vanilla extract and egg into it and whisk it.Then you can add in the rest of the ingredients like water, milk, date syrup and strawberries. Whisk well till it becomes a slightly flowing thick batter.Then grease your bundt tray with oil and sprinkle some flour. Pour the batter carefully into the mould and spread it evenly.Once done bake it in the oven for about 45 minutes. To check if the cake is done you can pierce your knife and see if it comes out cleanly.Take it out and allow it to cool and then turnover. Serve the Strawberry Bundt Cake with Muesli and Oats Recipe as an afternoon Tea Time Cake along with a hot cup of Tea.
</t>
  </si>
  <si>
    <t>Comenzamos haciendo la receta de pastel Bundt de fresa con muesli y avena precalentando el horno a 180 grados centígrados durante 10 minutos. Mezcla los ingredientes secos como la harina de trigo, el muesli, la avena, el polvo para hornear, el bicarbonato de sodio y la canela en polvo en un tazón. Agrega lentamente el aceite de oliva y mezcla bien. Agrega el extracto de vainilla y el huevo y bate. Luego puedes agregar el resto de los ingredientes como agua, leche, jarabe de dátiles y fresas. Batir bien hasta que se convierta en una masa espesa ligeramente fluida. Luego engrasa tu bandeja bundt con aceite y espolvorea un poco de harina. Vierte la masa cuidadosamente en el molde y extiéndela uniformemente. Una vez hecho, hornéalo en el horno durante unos 45 minutos. Para comprobar si el pastel está listo, puedes perforar tu cuchillo y ver si sale limpiamente. Sácalo y déjalo enfriar y luego dale la vuelta. Sirva la receta de Bundt Cake de Fresa con Muesli y Avena como un pastel para la hora del té de la tarde junto con una taza de té caliente.</t>
  </si>
  <si>
    <t xml:space="preserve">Nous commençons à préparer la recette du gâteau Bundt aux fraises avec muesli et flocons d'avoine en préchauffant le four à 180 degrés Celsius pendant 10 minutes. Mélangez les ingrédients secs comme la farine de blé, le muesli, l'avoine, la levure chimique, le bicarbonate de soude et la cannelle en poudre dans un bol à mélanger. Ajoutez lentement l'huile d'olive et mélangez bien. Ajoutez l'extrait de vanille et l'œuf et fouettez. Ensuite, vous pouvez ajouter le reste des ingrédients comme l'eau, le lait, le sirop de dattes et les fraises. Fouettez bien jusqu'à obtenir une pâte épaisse légèrement fluide. Graissez ensuite votre moule à bundt avec de l'huile et saupoudrez de farine. Versez délicatement la pâte dans le moule et étalez-la uniformément. Une fois terminé, faites-le cuire au four pendant environ 45 minutes. Pour vérifier si le gâteau est cuit, vous pouvez percer votre couteau et voir s'il en ressort propre. Sortez-le et laissez-le refroidir, puis retournez-le. Servez la recette du gâteau Bundt aux fraises avec muesli et flocons d'avoine comme un gâteau pour le thé de l'après-midi avec une tasse de thé chaud.
</t>
  </si>
  <si>
    <t>http://www.archanaskitchen.com/strawberry-bundt-cake-with-muesli-and-oats-recipe</t>
  </si>
  <si>
    <t>Spiced Chocolate And Beetroot Tea Cake Recipe</t>
  </si>
  <si>
    <t>Rezept für gewürzten Schokoladen-Rote-Bete-Teekuchen</t>
  </si>
  <si>
    <t>Recette de gâteau au thé à la betterave et au chocolat épicé</t>
  </si>
  <si>
    <t>Receta de pastel de remolacha con chocolate especiado</t>
  </si>
  <si>
    <t>1 tasse de farine tout usage (Maida) - (ou farine à gâteau), 1/2 cuillère à café de levure chimique, 1/2 cuillère à café de bicarbonate de soude, 1/2 cuillère à café de cannelle en poudre (Dalchini), 1/4 cuillère à café de gingembre sec en poudre, 1/3 cuillère à café de noix de muscade en poudre, 1/4 cuillère à café de sel, 1-1/2 cuillères à soupe de cacao en poudre, 3 œufs entiers, 1 cuillère à café d'extrait de vanille, 3/4 tasse de sucre, 1/2 tasse de betterave râpée</t>
  </si>
  <si>
    <t>1 cup All Purpose Flour (Maida) - (Or cake flour),1/2 teaspoon Baking powder,1/2 teaspoon Baking soda,1/2 teaspoon Cinnamon Powder (Dalchini),1/4 teaspoon Dry ginger powder,1/3 teaspoon Nutmeg powder,1/4 teaspoon Salt,1-1/2 tablespoons Cocoa Powder,3 Whole Eggs,1 teaspoon Vanilla Extract,3/4 cup Sugar,1/2 cup Beetroot - grated</t>
  </si>
  <si>
    <t>1 taza de harina para todo uso (Maida) - (o harina para pastel), 1/2 cucharadita de polvo para hornear, 1/2 cucharadita de bicarbonato de sodio, 1/2 cucharadita de canela en polvo (Dalchini), 1/4 cucharadita de jengibre en polvo seco, 1/3 cucharadita de nuez moscada en polvo, 1/4 cucharadita de sal, 1-1/2 cucharadas de cacao en polvo, 3 huevos enteros, 1 cucharadita de extracto de vainilla, 3/4 taza de azúcar, 1/2 taza de remolacha rallada</t>
  </si>
  <si>
    <t xml:space="preserve">To begin making Spiced Chocolate And Beetroot Tea Cake Recipe, Preheat oven to 375 degree F.In a medium bowl, whisk together all-purpose flour or cake flour, baking powder, baking soda, cinnamon, ginger, nutmeg, salt, cocoa powder until combined.In another large bowl, whisk together eggs and sugar for about a minute or until well combined.Once done add in the vanilla extract and grated beetroot to the egg and sugar mixture and stir to combine.Fold in the prepared flour mixture with a spatula to the wet ingredients and mix to combine well.Line up parchment paper in a 8x10 baking tray and spray the bottom of the pan using cooking spray.Spread the batter evenly into the prepared pan and bake for 30 to 35 minutes or until the toothpick comes out clear when pricked in the middle of the cake.Transfer the cake to the cooling rack to cool down to room temperature. Once cooled slice to required slices and serve.Serve Spiced Chocolate And Beetroot Tea Cake Recipe during evenings with a Maple Roasted Cinnamon Spiced Latte Recipe or steaming cup of hot Punjabi Style Espresso Coffee Recipe.
</t>
  </si>
  <si>
    <t>Para comenzar a hacer la receta de pastel de té de chocolate especiado y remolacha, precaliente el horno a 375 grados F. En un tazón mediano, mezcle la harina para todo uso o la harina para pastel, el polvo para hornear, el bicarbonato de sodio, la canela, el jengibre, la nuez moscada, la sal y el cacao en polvo hasta que se combinen. En otro tazón grande, bata los huevos y el azúcar durante aproximadamente un minuto o hasta que estén bien combinados. Una vez hecho esto, agregue el extracto de vainilla y la remolacha rallada a la mezcla de huevo y azúcar y revuelva para combinar. Incorpore la mezcla de harina preparada con una espátula a los ingredientes húmedos y mezcle para combinar bien. Alinee el papel pergamino en una bandeja para hornear de 8x10 y rocíe el fondo del molde con aceite en aerosol. Extienda la masa uniformemente en el molde preparado y hornee durante 30 a 35 minutos o hasta que el palillo salga transparente cuando se pinche en el medio del pastel. Transfiera el pastel a la rejilla para enfriar a temperatura ambiente. Una vez enfriado, córtelo en las porciones deseadas y sirva. Sirva la receta de pastel de té de chocolate especiado y remolacha por las tardes con un latte especiado con canela tostada y arce o una taza humeante de café expreso estilo punjabi.</t>
  </si>
  <si>
    <t>Pour commencer à préparer la recette du gâteau au thé au chocolat épicé et à la betterave, préchauffez le four à 375 degrés F. Dans un bol moyen, fouettez ensemble la farine tout usage ou la farine à gâteau, la levure chimique, le bicarbonate de soude, la cannelle, le gingembre, la muscade, le sel et la poudre de cacao jusqu'à ce que le tout soit bien mélangé. Dans un autre grand bol, fouettez ensemble les œufs et le sucre pendant environ une minute ou jusqu'à ce que le tout soit bien mélangé. Une fois terminé, ajoutez l'extrait de vanille et la betterave râpée au mélange d'œufs et de sucre et remuez pour mélanger. Incorporez le mélange de farine préparé avec une spatule aux ingrédients humides et mélangez pour bien mélanger. Alignez du papier sulfurisé dans une plaque à pâtisserie de 8 x 10 et vaporisez le fond du moule avec un enduit à cuisson. Étalez la pâte uniformément dans le moule préparé et faites cuire au four pendant 30 à 35 minutes ou jusqu'à ce que le cure-dent ressorte transparent lorsqu'il est piqué au milieu du gâteau. Transférez le gâteau sur la grille de refroidissement pour qu'il refroidisse à température ambiante. Une fois refroidi, coupez-le en tranches selon vos besoins et servez. Servez la recette de gâteau au thé au chocolat épicé et à la betterave le soir avec une recette de latte épicé à la cannelle rôtie à l'érable ou une tasse fumante de recette de café expresso de style punjabi.</t>
  </si>
  <si>
    <t>https://www.archanaskitchen.com/spiced-chocolate-and-beetroot-tea-cake-recipe</t>
  </si>
  <si>
    <t>Caramelised Onion Rosemary Chicken Recipe</t>
  </si>
  <si>
    <t>Rezept für Hühnchen mit karamellisierten Zwiebeln und Rosmarin</t>
  </si>
  <si>
    <t>Recette de poulet aux oignons caramélisés et au romarin</t>
  </si>
  <si>
    <t>Receta de pollo con cebolla caramelizada y romero</t>
  </si>
  <si>
    <t>2 blancs de poulet, 2 cuillères à café de pâte de gingembre, 2 cuillères à café de pâte d'ail, sel au goût, 1 cuillère à café de poudre de paprika, 2 brins de romarin, 2 cuillères à soupe de beurre, 2 oignons finement tranchés, 4 brins de romarin, sel au goût, 1/2 cuillère à café de sucre, 1 cuillère à café de flocons de piment rouge, 1/2 cuillère à café de miel, 1/2 cuillère à café d'herbes mélangées (séchées), 1 cuillère à café de poudre de poivre noir, 1 cuillère à café de farine de maïs, eau - selon les besoins</t>
  </si>
  <si>
    <t>2 Chicken breasts,2 teaspoons Ginger - paste,2 teaspoons Garlic - paste,Salt - to taste,1 teaspoon Paprika powder,2 sprig Rosemary,2 tablespoons Butter,2 Onions - thinly sliced,4 sprig Rosemary,Salt - to taste,1/2 teaspoon Sugar,1 teaspoon Red Chilli flakes,1/2 teaspoon Honey,1/2 teaspoon Mixed Herbs (Dried),1 teaspoon Black pepper powder,1 teaspoon Corn flour,Water - as required</t>
  </si>
  <si>
    <t>2 pechugas de pollo, 2 cucharaditas de pasta de jengibre, 2 cucharaditas de pasta de ajo, sal al gusto, 1 cucharadita de pimentón en polvo, 2 ramitas de romero, 2 cucharadas de mantequilla, 2 cebollas en rodajas finas, 4 ramitas de romero, sal al gusto, 1/2 cucharadita de azúcar, 1 cucharadita de hojuelas de chile rojo, 1/2 cucharadita de miel, 1/2 cucharadita de hierbas mixtas (secas), 1 cucharadita de pimienta negra en polvo, 1 cucharadita de harina de maíz, agua (según se requiera)</t>
  </si>
  <si>
    <t xml:space="preserve">To begin making the Caramelised Onion Rosemary Chicken Recipe we will first marinade the chicken. Wash the chicken well and make slits on the surface of the chicken breast. In a mixing bowl, combine the ginger, and garlic paste, salt to taste, paprika powder, rosemary leaves, and mix well. Add the chicken breasts to the bowl and rub the marinade on to it, to coat well.  Marinade the chicken for about 30 minutes. Heat a grill pan on medium high heat, brush with some oil, and place the marinated Rosemary Chicken breasts on the pan. Cook the marinated Rosemary Chicken on each side for about 2-3 minutes. Ensure the chicken is well cooked. Remove the Roasted Rosemary Chicken from the pan and set aside. To the Caramelised Onion &amp; Rosemary SauceHeat a skillet with butter on medium flame, add the sliced onions and saute until the onions turn into a deep caramel colour. Whilst the onions are being caramelised, into the skillet add rosemary leaves, salt to taste and sugar. Continue to cook the onion rosemary sauce, stirring occasionally. Next, add in the chilli flakes, honey, mixed herbs and black pepper powder. In a small mixing bowl, combine the cornstarch along with 1/3 cup of water to make a slurry. Once the onion rosemary mixture has come together, reduce the heat and pour in the cornstarch slurry and give it a good mix. Once the Caramelised Onion Rosemary Sauce comes to a rolling boil turn off the heat.Serve the Roasted Rosemary Chicken along with Onion Rosemary Sauce for a delicious dinner.Serve Caramelised Onion Rosemary Chicken Recipe along with Herbed Butter Rice Recipe With Rosemary &amp; Thyme, Steamed Vegetables With Chilli Lime Butter Recipe and Cinnamon Spiced Orange Iced Tea Recipe. Serve Healthy Fruit &amp; Nut Watermelon Dessert Recipe With Greek Yogurt for dessert.
</t>
  </si>
  <si>
    <t>Para comenzar a hacer la Receta de Pollo con Romero y Cebolla Caramelizada, primero marinaremos el pollo. Lave bien el pollo y haga cortes en la superficie de la pechuga. En un tazón, combine el jengibre y la pasta de ajo, la sal al gusto, el pimentón en polvo, las hojas de romero y mezcle bien. Agregue las pechugas de pollo al tazón y frote la marinada sobre ellas para cubrirlas bien. Marinar el pollo durante unos 30 minutos. Calentar una sartén para parrilla a fuego medio alto, pincelar con un poco de aceite y colocar las pechugas de pollo marinadas con romero en la sartén. Cocinar el pollo marinado con romero por cada lado durante unos 2-3 minutos. Asegúrese de que el pollo esté bien cocido. Retire el pollo asado con romero de la sartén y reserve. Para la salsa de cebolla caramelizada y romeroCalienta una sartén con mantequilla a fuego medio, agrega las cebollas en rodajas y saltea hasta que las cebollas se vuelvan de un color caramelo intenso. Mientras se caramelizan las cebollas, en la sartén agrega hojas de romero, sal al gusto y azúcar. Continúa cocinando la salsa de cebolla y romero, revolviendo ocasionalmente. Luego, agrega las hojuelas de chile, la miel, las hierbas mixtas y la pimienta negra en polvo. En un tazón pequeño, combina la maicena junto con 1/3 de taza de agua para hacer una papilla. Una vez que la mezcla de cebolla y romero se haya unido, reduce el fuego y vierte la papilla de maicena y mezcla bien. Una vez que la salsa de cebolla caramelizada y romero hierva, apague el fuego. Sirva el pollo asado con romero junto con la salsa de cebolla y romero para una cena deliciosa. Sirva la receta de pollo con cebolla caramelizada y romero junto con la receta de arroz con mantequilla y hierbas, romero y tomillo, la receta de verduras al vapor con mantequilla de lima y chile y la receta de té helado de naranja con especias de canela. Sirva la receta de postre saludable de sandía con frutas y nueces con yogur griego como postre.</t>
  </si>
  <si>
    <t>Pour commencer à préparer la recette de poulet aux oignons caramélisés et au romarin, nous allons d'abord mariner le poulet. Lavez bien le poulet et faites des fentes sur la surface de la poitrine de poulet. Dans un bol, mélangez le gingembre et la pâte d'ail, le sel au goût, la poudre de paprika, les feuilles de romarin et mélangez bien. Ajoutez les poitrines de poulet dans le bol et frottez la marinade dessus pour bien les enrober. Faites mariner le poulet pendant environ 30 minutes. Faites chauffer une poêle à griller à feu moyen-vif, badigeonnez-la d'un peu d'huile et placez les poitrines de poulet marinées au romarin dans la poêle. Faites cuire le poulet mariné au romarin de chaque côté pendant environ 2 à 3 minutes. Assurez-vous que le poulet est bien cuit. Retirez le poulet rôti au romarin de la poêle et réservez. À la sauce aux oignons caramélisés et au romarin Faites chauffer une poêle avec du beurre à feu moyen, ajoutez les oignons émincés et faites revenir jusqu'à ce que les oignons prennent une couleur caramel foncé. Pendant que les oignons caramélisent, ajoutez les feuilles de romarin, le sel au goût et le sucre dans la poêle. Continuez à cuire la sauce à l'oignon et au romarin en remuant de temps en temps. Ajoutez ensuite les flocons de piment, le miel, les herbes mélangées et la poudre de poivre noir. Dans un petit bol, mélangez la fécule de maïs avec 1/3 de tasse d'eau pour obtenir une bouillie. Une fois que le mélange d'oignons et de romarin est homogène, réduisez le feu et versez la bouillie de fécule de maïs et mélangez bien. Une fois que la sauce à l'oignon et au romarin caramélisée arrive à ébullition, éteignez le feu. Servez le poulet rôti au romarin avec la sauce à l'oignon et au romarin pour un délicieux dîner. Servez la recette de poulet à l'oignon et au romarin caramélisée avec la recette de riz au beurre aux herbes avec romarin et thym, la recette de légumes cuits à la vapeur avec du beurre de citron vert et de la cannelle et la recette de thé glacé à l'orange épicé. Servez une recette de dessert sain à la pastèque et aux fruits et noix avec du yaourt grec en dessert.</t>
  </si>
  <si>
    <t>http://www.archanaskitchen.com/caramelised-onion-rosemary-chicken-recipe</t>
  </si>
  <si>
    <t>Beetroot Cupcakes Recipe With Oreo Frosting</t>
  </si>
  <si>
    <t>Rote-Bete-Cupcakes-Rezept mit Oreo-Zuckerguss</t>
  </si>
  <si>
    <t>Recette de cupcakes à la betterave avec glaçage Oreo</t>
  </si>
  <si>
    <t>Receta de cupcakes de remolacha con glaseado de Oreo</t>
  </si>
  <si>
    <t>200 grammes de Vivatta Maida, 2 cuillères à soupe de cacao en poudre, 1 cuillère à café de levure chimique, 1/2 cuillère à café de bicarbonate de soude, 1 tasse de sucre, 3 œufs entiers, 3/4 tasse de betterave râpée, 170 grammes de beurre (à température ambiante), 180 ml de babeurre, 1 citron pressé, 1-1/2 cuillère à café d'extrait de vanille, 8 cuillères à café de beurre, 3/4 tasse de sucre en poudre, 1 cuillère à café d'extrait de vanille, 1 cuillère à café de crème fouettée épaisse, 6 cuillères à soupe de biscuits Oreo finement moulus</t>
  </si>
  <si>
    <t>200 grams Vivatta Maida,2 tablespoons Cocoa Powder,1 teaspoon Baking powder,1/2 teaspoon Baking soda,1 cup Sugar,3 Whole Eggs,3/4 cup Beetroot - grated,170 grams Butter - (at room temperature),180 ml Buttermilk,1 Lemon - juiced,1-1/2 teaspoon Vanilla Extract,8 teaspoons Butter,3/4 cup Caster Sugar,1 teaspoon Vanilla Extract,1 teaspoon Heavy whipping cream,6 tablespoons Oreo biscuits - finely ground</t>
  </si>
  <si>
    <t>200 gramos de Vivatta Maida, 2 cucharadas de cacao en polvo, 1 cucharadita de levadura en polvo, 1/2 cucharadita de bicarbonato de sodio, 1 taza de azúcar, 3 huevos enteros, 3/4 taza de remolacha rallada, 170 gramos de mantequilla (a temperatura ambiente), 180 ml de suero de leche, 1 limón exprimido, 1-1/2 cucharadita de extracto de vainilla, 8 cucharaditas de mantequilla, 3/4 taza de azúcar extrafino, 1 cucharadita de extracto de vainilla, 1 cucharadita de crema de batir espesa, 6 cucharadas de galletas Oreo finamente molidas</t>
  </si>
  <si>
    <t xml:space="preserve">To begin making Beetroot Cupcakes Recipe With Oreo Frosting, preheat Oven at 180 Degree Celsius.Puree Beetroot, buttermilk, lime juice and vanilla essence till smooth.Sift flour, cocoa, baking powder and baking soda in a bowl.In another big bowl, take Butter Kept at room temperature. Beat it till smooth.Add 1 egg at a time and continue beating, scrapping the sides in between.Add sugar and beat again till everything is well assembled and smooth.Alternate adding flour mixture and pureed beetroot to butter mixture. Beginning and ending with dry ingredient. Beat for 8-10 seconds after each addition. Scrape the bowl in between.Once the batter is well mixed, pour them in the cup cake liners kept in muffin tray or silicon cup cake liners and bake for about 20 minutes or until toothpick comes out clean once inserted in the center of each cup cake.Once baked, keep them for cooling and proceed with next step.For Frosting :Mix sugar and softened butter on low speed , till well blended. Increase the speed to medium and beat for about 2-3 minutes.Add vanilla essence and whipping cream 1 teaspoon at a time as needed. Continue beating.Once you get nice and smooth buttercream frosting, add oreo cookies powder and mix using spoon.Pour this cream in the piping bag and decorate your cup cakes.Serve Beetroot Cupcakes Recipe With Oreo Frosting along with canapes like Beetroot Dip Recipe Served With Crackers, and Chatpata Potato Canapes Recipe.
</t>
  </si>
  <si>
    <t>Para comenzar a hacer la receta de cupcakes de remolacha con glaseado de Oreo, precaliente el horno a 180 grados Celsius. Haga puré de remolacha, suero de leche, jugo de limón y esencia de vainilla hasta que quede suave. Tamice la harina, el cacao, el polvo para hornear y el bicarbonato de sodio en un tazón. En otro tazón grande, tome la mantequilla mantenida a temperatura ambiente. Bátalo hasta que quede suave. Agregue 1 huevo a la vez y continúe batiendo, raspando los lados en el medio. Agregue el azúcar y bata nuevamente hasta que todo esté bien unido y suave. Alterne agregando la mezcla de harina y puré de remolacha a la mezcla de mantequilla. Comenzando y terminando con el ingrediente seco. Bata durante 8-10 segundos después de cada adición. Raspe el tazón en el medio. Una vez que la masa esté bien mezclada, viértala en los capacillos para cupcakes guardados en una bandeja para muffins o en capacillos de silicona para cupcakes y hornee durante unos 20 minutos o hasta que un palillo salga limpio al insertarlo en el centro de cada cupcake. Una vez horneados, déjelos enfriar y continúe con el siguiente paso. Para el glaseado: mezcle el azúcar y la mantequilla ablandada a baja velocidad, hasta que estén bien combinados. Aumente la velocidad a media y bata durante unos 2-3 minutos. Agregue esencia de vainilla y crema batida 1 cucharadita a la vez, según sea necesario. Continúe batiendo. Una vez que obtenga un glaseado de crema de mantequilla agradable y suave, agregue el polvo de galletas Oreo y mezcle con una cuchara. Vierta esta crema en la manga pastelera y decore sus cupcakes. Sirva la Receta de Cupcakes de Remolacha con Glaseado de Oreo junto con canapés como la Receta de Dip de Remolacha Servida con Galletas y la Receta de Canapés de Papa Chatpata.</t>
  </si>
  <si>
    <t>Pour commencer à préparer la recette de cupcakes à la betterave avec glaçage Oreo, préchauffez le four à 180 degrés Celsius. Réduisez en purée la betterave, le babeurre, le jus de citron vert et l'essence de vanille jusqu'à consistance lisse. Tamisez la farine, le cacao, la levure chimique et le bicarbonate de soude dans un bol. Dans un autre grand bol, prenez le beurre conservé à température ambiante. Battez-le jusqu'à consistance lisse. Ajoutez 1 œuf à la fois et continuez à battre, en raclant les côtés entre les deux. Ajoutez le sucre et battez à nouveau jusqu'à ce que tout soit bien assemblé et lisse. Alternez l'ajout du mélange de farine et de la purée de betterave au mélange de beurre. Commencez et terminez par l'ingrédient sec. Battez pendant 8 à 10 secondes après chaque ajout. Raclez le bol entre les deux. Une fois la pâte bien mélangée, versez-les dans les caissettes à cupcakes conservées dans un moule à muffins ou dans des caissettes à cupcakes en silicone et faites cuire pendant environ 20 minutes ou jusqu'à ce qu'un cure-dent en ressorte propre une fois inséré au centre de chaque cupcake. Une fois cuits, laissez-les refroidir et passez à l'étape suivante. Pour le glaçage : Mélangez le sucre et le beurre ramolli à basse vitesse, jusqu'à ce que le tout soit bien mélangé. Augmentez la vitesse à moyenne et battez pendant environ 2 à 3 minutes. Ajoutez l'essence de vanille et la crème fouettée 1 cuillère à café à la fois, selon les besoins. Continuez à battre. Une fois que vous obtenez un glaçage à la crème au beurre bien lisse, ajoutez la poudre de biscuits Oreo et mélangez à l'aide d'une cuillère. Versez cette crème dans la poche à douille et décorez vos cupcakes. Servez la recette de cupcakes à la betterave avec glaçage Oreo avec des canapés comme la recette de trempette à la betterave servie avec des craquelins et la recette de canapés aux pommes de terre Chatpata.</t>
  </si>
  <si>
    <t>https://www.archanaskitchen.com/beetroot-cupcakes-recipe-with-oreo-frosting</t>
  </si>
  <si>
    <t>Red Wine Chocolate Cake Recipe</t>
  </si>
  <si>
    <t>Rezept für Rotwein-Schokoladenkuchen</t>
  </si>
  <si>
    <t>Recette de gâteau au chocolat et au vin rouge</t>
  </si>
  <si>
    <t>Receta de pastel de chocolate y vino tinto</t>
  </si>
  <si>
    <t>1 tasse de farine tout usage (Maida), 1/3 tasse de beurre (non salé) - à température ambiante, 1 tasse de cassonade (sucre Demerara), 1 œuf entier - à température ambiante, 1 jaune d'œuf, 3/4 tasse de vin rouge, 1 cuillère à café d'extrait de vanille, 1/2 tasse de cacao en poudre, 1 cuillère à café de levure chimique, 1/4 cuillère à café de sel, 1/2 cuillère à café de cannelle en poudre (Dalchini), sucre glace - pour saupoudrer</t>
  </si>
  <si>
    <t>1 cup All Purpose Flour (Maida),1/3 cup Butter (unsalted) - at room temprature,1 cup Brown Sugar (Demerara Sugar),1 Whole Egg - at room temperature,1 Egg yolks,3/4 cup Red wine,1 teaspoon Vanilla Extract,1/2 cup Cocoa Powder,1 teaspoon Baking powder,1/4 teaspoon Salt,1/2 teaspoon Cinnamon Powder (Dalchini),Icing Sugar - for dusting</t>
  </si>
  <si>
    <t>1 taza de harina para todo uso (Maida), 1/3 taza de mantequilla (sin sal) - a temperatura ambiente, 1 taza de azúcar morena (azúcar Demerara), 1 huevo entero - a temperatura ambiente, 1 yema de huevo, 3/4 taza de vino tinto, 1 cucharadita de extracto de vainilla, 1/2 taza de cacao en polvo, 1 cucharadita de polvo para hornear, 1/4 cucharadita de sal, 1/2 cucharadita de canela en polvo (Dalchini), azúcar glas - para espolvorear</t>
  </si>
  <si>
    <t xml:space="preserve">To begin making the Red Wine Chocolate Cake Recipe, first preheat the oven to 180C.Line the bottom of a 9-inch round cake pan with parchment paper.In a large mixing bowl, sift the flour, cocoa, baking powder, cinnamon and salt together. Keep asideIn a large mixing bowl, using the electric mixer, cream the butter and sugar together. Continue till light until fluffy, about 3-4 minutes. Add the egg and yolk and beat till well mixed.Add the red wine and vanilla. Beat for another minute or so. Fold in half the flour mixture. When combined, fold the rest in.Spoon the Red Wine Chocolate Cake batter in prepared pan. Bake for 25 to 30 minutes, or until a cake tester inserted into the center comes out clean.Allow the Red Wine Chocolate Cake to cool completely before slicing or serving.Serve the Red Wine Chocolate Cake sprinkled with icing sugar, a scoop of ice cream or a dollop of whipped cream for the holiday season.
</t>
  </si>
  <si>
    <t>Para preparar la receta del pastel de chocolate con vino tinto, precalienta el horno a 180 °C. Cubre el fondo de un molde redondo de 23 cm con papel vegetal. En un tazón grande, mezcla la harina, el cacao, la levadura, la canela y la sal. Reserva. En un tazón grande, con la batidora eléctrica, bate la mantequilla y el azúcar. Continúa batiendo hasta que la mezcla esté ligera y esponjosa, unos 3-4 minutos. Agrega el huevo y la yema y bate hasta que estén bien mezclados. Agrega el vino tinto y la vainilla. Bate durante aproximadamente un minuto más. Incorpora la mitad de la mezcla de harina. Cuando esté bien integrada, incorpora el resto. Vierte la masa del pastel de chocolate con vino tinto en el molde preparado. Hornea de 25 a 30 minutos, o hasta que al insertar un palillo en el centro, este salga limpio. Deja que el pastel de chocolate con vino tinto se enfríe completamente antes de cortarlo o servirlo. Sirve el pastel de chocolate con vino tinto espolvoreado con azúcar glas, una bola de helado o una cucharada de crema batida para las fiestas.</t>
  </si>
  <si>
    <t>Pour préparer le gâteau au chocolat et au vin rouge, préchauffez le four à 180 °C. Recouvrez le fond d'un moule à gâteau rond de 23 cm de papier sulfurisé. Dans un grand saladier, tamisez la farine, le cacao, la levure chimique, la cannelle et le sel. Réservez. Dans un grand saladier, battez le beurre et le sucre au batteur électrique. Continuez à mélanger jusqu'à obtenir une consistance légère et mousseuse, environ 3 à 4 minutes. Ajoutez l'œuf et le jaune d'œuf et battez jusqu'à obtenir un mélange homogène. Ajoutez le vin rouge et la vanille. Battez encore une minute environ. Incorporez la moitié du mélange de farine. Une fois le mélange homogène, incorporez le reste. Versez la pâte dans le moule préparé. Enfournez pour 25 à 30 minutes, ou jusqu'à ce qu'une sonde à gâteau insérée au centre en ressorte propre. Laissez refroidir complètement le gâteau au chocolat et au vin rouge avant de le découper ou de le servir. Servez le gâteau au chocolat et au vin rouge saupoudré de sucre glace, accompagné d'une boule de glace ou d'une noisette de crème fouettée pour les fêtes.</t>
  </si>
  <si>
    <t>http://www.archanaskitchen.com/red-wine-chocolate-cake-recipe</t>
  </si>
  <si>
    <t>Cheese Crackers Recipe</t>
  </si>
  <si>
    <t>Rezept für Käsecracker</t>
  </si>
  <si>
    <t>Recette de crackers au fromage</t>
  </si>
  <si>
    <t>Receta de galletas de queso</t>
  </si>
  <si>
    <t>200 grammes de cheddar finement râpé, 4 cuillères à soupe de beurre à température ambiante, 1 tasse de farine tout usage (Maida), sel au goût, 1 cuillère à soupe de poudre de paprika, 2 cuillères à soupe d'eau glacée</t>
  </si>
  <si>
    <t>200 grams Cheddar cheese - finely grated,4 tablespoons Butter - room temperature,1 cup All Purpose Flour (Maida),Salt - to taste,1 tablespoon Paprika powder,2 tablespoon Chilled water</t>
  </si>
  <si>
    <t>200 gramos de queso cheddar - finamente rallado, 4 cucharadas de mantequilla - temperatura ambiente, 1 taza de harina para todo uso (Maida), sal - al gusto, 1 cucharada de pimentón en polvo, 2 cucharadas de agua fría</t>
  </si>
  <si>
    <t xml:space="preserve">To begin making the Cheese Crackers recipe, take a bowl, add butter, cheddar cheese and mix it well. Now add all purpose flour, paprika and salt to taste. Mix everything properly.Once everything is mixed, add 1-2 tablespoons cold water to make a dough. Form the dough into a ball and wrap in cling wrap and refrigerate for an hour.Preheat oven at 180 degree Celsius. Take the dough out from the fridge and roll out to 1/4 inch thickness and cut into square shape.Make a hole in center of each square with help of fork. Transfer to the baking sheet lined with parchment paper.Bake for 15-17 minutes or until golden brown in colour. Take out the baking tray and allow it to cool for some time. Initially, they will be soft but it'll be crisp once they become cool. Crispy cheese crackers are ready to serve.Serve Cheese Crackers along with Masala Tea and Linzer Cookies for a tea time parties.
</t>
  </si>
  <si>
    <t>Para empezar a hacer la receta de galletas de queso, toma un tazón, agrega mantequilla, queso cheddar y mezcla bien. Ahora agrega harina para todo uso, pimentón y sal al gusto. Mezcla todo bien. Una vez que todo esté mezclado, agrega 1-2 cucharadas de agua fría para hacer una masa. Forma la masa en una bola y envuélvela en film transparente y refrigera por una hora. Precalienta el horno a 180 grados Celsius. Saca la masa del refrigerador y extiéndela hasta 1/4 de pulgada de grosor y córtala en forma de cuadrado. Haz un agujero en el centro de cada cuadrado con la ayuda de un tenedor. Transfiere a la bandeja para hornear forrada con papel pergamino. Hornea durante 15-17 minutos o hasta que estén doradas. Saca la bandeja para hornear y déjala enfriar por un tiempo. Inicialmente, estarán suaves, pero estarán crujientes una vez que se enfríen. Las galletas de queso crujientes están listas para servir. Sirve las galletas de queso junto con el té Masala y las galletas Linzer para una fiesta de té.</t>
  </si>
  <si>
    <t>Pour préparer la recette des crackers au fromage, prenez un bol, ajoutez le beurre et le cheddar et mélangez bien. Ajoutez ensuite la farine, le paprika et le sel à votre goût. Mélangez bien le tout. Une fois le mélange obtenu, ajoutez 1 à 2 cuillères à soupe d'eau froide pour former une pâte. Formez une boule, enveloppez-la de film alimentaire et réservez au réfrigérateur pendant une heure. Préchauffez le four à 180 °C. Sortez la pâte du réfrigérateur, étalez-la sur 6 mm d'épaisseur et découpez-la en carrés. Percez un trou au centre de chaque carré à l'aide d'une fourchette. Transférez-la sur une plaque de cuisson recouverte de papier sulfurisé. Faites cuire au four pendant 15 à 17 minutes ou jusqu'à ce qu'elle soit dorée. Retirez la plaque de cuisson et laissez refroidir. Les crackers au fromage croustillants sont prêts à être servis. Servez-les avec du thé Masala et des biscuits Linzer pour un goûter.</t>
  </si>
  <si>
    <t>http://www.archanaskitchen.com/cheese-crackers-recipe</t>
  </si>
  <si>
    <t>Almond Butter Recipe</t>
  </si>
  <si>
    <t>Mandelbutter-Rezept</t>
  </si>
  <si>
    <t>Recette de beurre d'amandes</t>
  </si>
  <si>
    <t>Receta de mantequilla de almendras</t>
  </si>
  <si>
    <t>1 tasse de Badam (amande), 1 cuillère à soupe d'huile d'olive extra vierge</t>
  </si>
  <si>
    <t>1 cup Badam (Almond),1 tablespoon Extra Virgin Olive Oil</t>
  </si>
  <si>
    <t>1 taza de Badam (almendra), 1 cucharada de aceite de oliva virgen extra</t>
  </si>
  <si>
    <t xml:space="preserve">We begin making the Almond Butter by preheating the oven to 180 degree Celsius for 10 minutes.  Spread the almonds on a tray and bake it for about 10 minutes. Till it turns golden brown.If you don't have an oven, you can roast the almonds in a pan on low heat until they are golden brown. Once done rest for 2 minutes and add it to a food processor along with a tablespoon of olive oil. Let the processor run for about 10-20 minutes, be patient enough, because this might take some time till the almonds release its oil out.At one point the powder will start to become like a thick paste, when it reaches that stage you can turn off the food processor. Serve Almond Butter along with toasted whole wheat bread or use it as an ingredient in an Almond Butter Energy Bar .
</t>
  </si>
  <si>
    <t>Comenzamos haciendo la mantequilla de almendras precalentando el horno a 180 grados Celsius durante 10 minutos. Extiende las almendras en una bandeja y hornéalas durante unos 10 minutos. Hasta que se doren. Si no tienes horno, puedes tostar las almendras en una sartén a fuego lento hasta que estén doradas. Una vez listas, déjalas reposar durante 2 minutos y agrégalas a un procesador de alimentos junto con una cucharada de aceite de oliva. Deja que el procesador funcione durante unos 10-20 minutos, ten paciencia, porque esto puede tardar un poco hasta que las almendras suelten su aceite. En un momento dado, el polvo comenzará a convertirse en una pasta espesa, cuando llegue a esa etapa puedes apagar el procesador de alimentos. Sirve la mantequilla de almendras junto con pan integral tostado o úsala como ingrediente en una barrita energética de mantequilla de almendras.</t>
  </si>
  <si>
    <t>Nous commençons à préparer le beurre d'amandes en préchauffant le four à 180 degrés Celsius pendant 10 minutes. Étalez les amandes sur une plaque et faites-les cuire pendant environ 10 minutes. Jusqu'à ce qu'elles soient dorées. Si vous n'avez pas de four, vous pouvez faire griller les amandes dans une poêle à feu doux jusqu'à ce qu'elles soient dorées. Une fois cuites, laissez reposer 2 minutes et ajoutez-les dans un robot culinaire avec une cuillère à soupe d'huile d'olive. Laissez le robot fonctionner pendant environ 10 à 20 minutes, soyez assez patient, car cela peut prendre un certain temps avant que les amandes ne libèrent leur huile. À un moment donné, la poudre commencera à devenir comme une pâte épaisse, lorsque ce stade sera atteint, vous pourrez éteindre le robot culinaire. Servez le beurre d'amandes avec du pain complet grillé ou utilisez-le comme ingrédient dans une barre énergétique au beurre d'amandes.</t>
  </si>
  <si>
    <t>https://www.archanaskitchen.com/almond-butter-recipe</t>
  </si>
  <si>
    <t>Sticky Cranberry Gingerbread Recipe</t>
  </si>
  <si>
    <t>Rezept für klebrigen Cranberry-Lebkuchen</t>
  </si>
  <si>
    <t>Recette de pain d'épices collant aux canneberges</t>
  </si>
  <si>
    <t>Receta de pan de jengibre con arándanos pegajosos</t>
  </si>
  <si>
    <t>1/4 tasse de canneberges, 1/4 tasse de cassonade (sucre Demerara), 1/4 tasse de jaggery, 2 cuillères à soupe de miel, 1/2 tasse de beurre (non salé), 1/2 tasse de lait, 1-1/2 tasse de farine tout usage (Maida), 1 cuillère à soupe de gingembre râpé, 1/2 cuillère à café de cannelle en poudre (Dalchini), 1-1/2 cuillère à café de levure chimique, 1/2 cuillère à café de sel, 1/2 cuillère à café de poivre noir en poudre, 2 œufs entiers légèrement battus</t>
  </si>
  <si>
    <t>1/4 cup Cranberries,1/4 cup Brown Sugar (Demerara Sugar),1/4 cup Jaggery,2 tablespoons Honey,1/2 cup Butter (unsalted),1/2 cup Milk,1-1/2 cups All Purpose Flour (Maida),1 tablespoon Ginger - grated,1/2 teaspoon Cinnamon Powder (Dalchini),1-1/2 teaspoons Baking powder,1/2 teaspoon Salt,1/2 teaspoon Black pepper powder,2 Whole Eggs - lightly beaten</t>
  </si>
  <si>
    <t>1/4 taza de arándanos rojos, 1/4 taza de azúcar morena (azúcar Demerara), 1/4 taza de jaggery, 2 cucharadas de miel, 1/2 taza de mantequilla (sin sal), 1/2 taza de leche, 1-1/2 tazas de harina para todo uso (Maida), 1 cucharada de jengibre rallado, 1/2 cucharadita de canela en polvo (Dalchini), 1-1/2 cucharaditas de polvo para hornear, 1/2 cucharadita de sal, 1/2 cucharadita de pimienta negra en polvo, 2 huevos enteros ligeramente batidos</t>
  </si>
  <si>
    <t xml:space="preserve">We begin making the Sticky Cranberry Gingerbread Recipe by preheating the oven to 180 degree Celsius for 10 minutes. Grease the loaf mold with butter paper and keep it ready.In a small pan, add the cranberries and 2 tablespoons of castor sugar and ½ cup water and let it boil till it turns into a compote.Then keep all the dry ingredients along with grated ginger ready in a mixing bowl. Mix it till it well combined.In a sauce pan add butter, brown sugar, jaggery, honey and milk and heat it on a very slow flame, till it all combined. Make sure you do not overheat it otherwise it will curdle.In a small bowl beat the eggs along with few drops of vanilla essence and keep it ready.Add the butter and sugar mixture to the dry ingredients and mix well using a whisk. Then add the egg mixture and the cranberry compote. Whisk well.Add the batter into the mold carefully and make the surface even. Bake it in the oven for about 45 minutes.Serve the Sticky Cranberry Gingerbread Recipe as a Tea Time Snack or make it as a dessert for any Festive occasion.
</t>
  </si>
  <si>
    <t>Comenzamos la receta del Pan de Jengibre y Arándanos Pegajosos precalentando el horno a 180 grados Celsius durante 10 minutos. Engrasa el molde con papel manteca y tenlo listo. En una cacerola pequeña, agrega los arándanos, 2 cucharadas de azúcar extrafino y ½ taza de agua y deja hervir hasta que se forme una compota. Luego, guarda todos los ingredientes secos junto con el jengibre rallado en un tazón. Mezcla bien. En una cacerola, agrega la mantequilla, el azúcar moreno, el panela, la miel y la leche y caliéntala a fuego lento hasta que esté todo bien integrado. Asegúrate de no sobrecalentarla, ya que se cuajará. En un tazón pequeño, bate los huevos con unas gotas de esencia de vainilla y tenlo listo. Agrega la mezcla de mantequilla y azúcar a los ingredientes secos y mezcla bien con un batidor. Luego, agrega la mezcla de huevo y la compota de arándanos. Bate bien. Vierte la masa en el molde con cuidado y nivela la superficie. Hornéelo durante unos 45 minutos. Sirva la receta de pan de jengibre con arándanos pegajosos como refrigerio para la hora del té o prepárelo como postre para cualquier ocasión festiva.</t>
  </si>
  <si>
    <t>Pour préparer le pain d'épices collant aux canneberges, préchauffez le four à 180 °C pendant 10 minutes. Graissez le moule à cake avec du papier sulfurisé et réservez-le. Dans une petite casserole, ajoutez les canneberges, 2 cuillères à soupe de sucre semoule et 120 ml d'eau, puis laissez bouillir jusqu'à obtenir une compote. Dans un saladier, mélangez tous les ingrédients secs, y compris le gingembre râpé. Dans une casserole, ajoutez le beurre, la cassonade, le jaggery, le miel et le lait, puis faites chauffer à feu doux jusqu'à obtenir un mélange homogène. Veillez à ne pas surchauffer, sinon la pâte risque de cailler. Dans un petit bol, battez les œufs avec quelques gouttes d'extrait de vanille et réservez-le. Ajoutez le mélange beurre-sucre aux ingrédients secs et mélangez bien au fouet. Ajoutez ensuite le mélange œufs-compote aux canneberges. Fouettez bien. Versez délicatement la pâte dans le moule et égalisez la surface. Faites-le cuire au four pendant environ 45 minutes. Servez la recette de pain d'épices collant aux canneberges comme collation à l'heure du thé ou préparez-la comme dessert pour toute occasion festive.</t>
  </si>
  <si>
    <t>https://www.archanaskitchen.com/sticky-cranberry-gingerbread-recipe</t>
  </si>
  <si>
    <t>Buttermilk Cinnamon Rolls Recipe</t>
  </si>
  <si>
    <t>Rezept für Buttermilch-Zimtschnecken</t>
  </si>
  <si>
    <t>Recette de brioches à la cannelle et au babeurre</t>
  </si>
  <si>
    <t>Receta de rollos de canela con suero de leche</t>
  </si>
  <si>
    <t>2 tasses de farine de blé entier (atta), 2 tasses de farine tout usage (Maida), 1 tasse de babeurre, 2-1/2 cuillères à café de levure sèche active, 2 cuillères à soupe de miel (ou de jaggery ou de sucre), 1 cuillère à soupe de beurre fondu, 1/2 cuillère à café de sel, 1/2 tasse d'eau tiède, 5-6 cuillères à soupe de beurre, 2 cuillères à soupe de cannelle en poudre (Dalchini), 3-4 cuillères à soupe de sucre en poudre, 2-3 cuillères à soupe de cassonade (sucre Demerara), 2 cuillères à soupe de babeurre (ou selon les besoins pour faire un glaçage épais), 5-6 cuillères à soupe de sucre glace</t>
  </si>
  <si>
    <t>2 cups Whole Wheat Flour - (atta),2 cups All Purpose Flour (Maida),1 cup Buttermilk,2-1/2 teaspoons Active dry yeast,2 tablespoons Honey - (or jaggery or sugar),1 tablespoon Butter - melted,1/2 teaspoon Salt,1/2 cup Water - Lukewarm ,5-6 tablespoon Butter,2 tablespoon Cinnamon Powder (Dalchini),3-4 tablespoon Caster Sugar,2-3 tablespoon Brown Sugar (Demerara Sugar),2 tablespoon Buttermilk - (or as required to make a thick glaze),5-6 tablespoon Icing Sugar</t>
  </si>
  <si>
    <t>2 tazas de harina integral (atta), 2 tazas de harina multiusos (Maida), 1 taza de suero de leche, 2-1/2 cucharaditas de levadura seca activa, 2 cucharadas de miel (o azúcar moreno o azúcar), 1 cucharada de mantequilla derretida, 1/2 cucharadita de sal, 1/2 taza de agua tibia, 5-6 cucharadas de mantequilla, 2 cucharadas de canela en polvo (dalchini), 3-4 cucharadas de azúcar extrafino, 2-3 cucharadas de azúcar morena (azúcar demerara), 2 cucharadas de suero de leche (o según sea necesario para hacer un glaseado espeso), 5-6 cucharadas de azúcar glas</t>
  </si>
  <si>
    <t xml:space="preserve">To begin making the Buttermilk Cinnamon rolls, first mix the flours and salt in a mixing bowl or the bowl of a food processor or stand mixer. Blend them together briefly.In a large measuring cup, measure 1 cup buttermilk. To this add honey, melted butter and whisk together.Sprinkle the yeast over the water and allow it to get frothy - about 3-4 minutes.Add the yeast to the buttermilk mixture.If using a food processor/stand mixer; with the food processor/stand mixer running on low speed, gradually pour the buttermilk mixture into the processor over the flour.Add more water if required. Allow the flour to form a soft dough within the bowl of the Food processor.Or alternately, add the buttermilk mixture to the flour in a mixing bowl and knead with your hands by adding enough warm water (add little by little to avoid wrong consistency) till the flour forms a soft and pliable dough.Turn dough out onto a floured surface and knead again for 8-10 minutes, working the dough very well, until it is smooth and elastic. (If using the stand mixer, knead on a medium speed using the dough hook.)Transfer the formed dough to a lightly greased bowl, turning once to coat all over. Cover with a wet kitchen towel or plastic wrap and set it aside in a warm place for about 1 to 1-1/2 hours until it has risen and doubled in size.Meanwhile, for the filling, mix together the butter, cinnamon and the sugars in a small bowl.Grease and line a baking sheet or a tray with parchment paper and set it aside for later use.Once the dough has doubled, cut it in 2 parts.Dust a working surface with flour and gently roll out each dough ball into a rectangle.Spread the butter-cinnamon-sugar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Celsius.When the rolls have risen for 30 minutes, bake them until they are golden brown. (about 15-20 minutes)Remove them from the oven on a wire rack and allow them to rest for 5-10 minutes.Meanwhile make the glaze. Mix the buttermilk and icing sugar in a small bowl and whisk well.Drizzle the glaze over the rolls using a spoon or a small piping bag.These Buttermilk Cinnamon rolls make a perfect accompaniment to your cup of Beet Latte Recipes or as an after-school snack for kids along with a glass of Homemade Pomegranate Juice with Ginger Recipe.
</t>
  </si>
  <si>
    <t>Para empezar a preparar los rollos de canela con suero de leche, mezcle las harinas y la sal en un tazón, en el tazón de un procesador de alimentos o en una batidora de pedestal. Mezcle brevemente. En una taza medidora grande, mida 1 taza de suero de leche. Añada la miel y la mantequilla derretida y bata. Espolvoree la levadura sobre el agua y deje que forme espuma, de 3 a 4 minutos aproximadamente. Añada la levadura a la mezcla de suero de leche. Si usa un procesador de alimentos o una batidora de pedestal, con el procesador funcionando a baja velocidad, vierta gradualmente la mezcla de suero de leche sobre la harina. Añada más agua si es necesario. Deja que la harina forme una masa suave en el tazón del procesador de alimentos. O bien, agrega la mezcla de suero de leche a la harina en un tazón y amasa con las manos, agregando suficiente agua tibia (añade poco a poco para evitar una consistencia irregular) hasta que la harina forme una masa suave y flexible. Coloca la masa sobre una superficie enharinada y vuelve a amasar durante 8-10 minutos, trabajando la masa muy bien, hasta que esté suave y elástica. (Si usas la batidora de pedestal, amasa a velocidad media con el gancho para masa). Transfiere la masa formada a un tazón ligeramente engrasado, volteándola una vez para cubrirla por completo. Cúbrelo con una toalla de cocina húmeda o film transparente y déjalo reposar en un lugar cálido durante aproximadamente 1 a 1-1/2 horas hasta que haya subido y duplicado su tamaño. Mientras tanto, para el relleno, mezcla la mantequilla, la canela y los azúcares en un tazón pequeño. Engrasa y forra una bandeja para hornear o una bandeja con papel pergamino y déjala a un lado para usarla más tarde. Una vez que la masa haya duplicado su tamaño, córtala en 2 partes. Espolvorea una superficie de trabajo con harina y extiende suavemente cada bola de masa en un rectángulo. Extiende la mezcla de mantequilla, canela y azúcar uniformemente sobre la masa extendida. Luego, comenzando con el extremo más largo, enrolla la masa en un pergamino, asegurándote de mantenerla apretada para que el relleno permanezca adentro. Usa un cuchillo afilado para cortar el tronco en círculos de 1 pulgada. Coloque los círculos individuales en la bandeja preparada, con el lado cortado hacia abajo. Cubra la bandeja con un paño de cocina húmedo y deje que los rollos leven una segunda vez, durante unos 30 minutos. Mientras tanto, precaliente el horno a 200 grados Celsius. Cuando los rollos hayan levado durante 30 minutos, hornéelos hasta que estén dorados. (unos 15-20 minutos) Retírelos del horno sobre una rejilla y déjelos reposar durante 5-10 minutos. Mientras tanto, prepare el glaseado. Mezcle el suero de leche y el azúcar glas en un tazón pequeño y bata bien. Rocíe el glaseado sobre los rollos con una cuchara o una manga pastelera pequeña. Estos rollos de canela y suero de leche son el acompañamiento perfecto para su taza de Recetas de Latte de Remolacha o como una merienda después de la escuela para los niños junto con un vaso de Receta de Jugo de Granada Casero con Jengibre.</t>
  </si>
  <si>
    <t>Pour préparer les roulés à la cannelle et au babeurre, mélangez d'abord les farines et le sel dans un saladier ou celui d'un robot culinaire ou d'un batteur sur socle. Mixez brièvement. Dans un grand verre doseur, mesurez 250 ml de babeurre. Ajoutez-y le miel et le beurre fondu, puis fouettez. Saupoudrez la levure sur l'eau et laissez mousser pendant 3 à 4 minutes. Ajoutez la levure au mélange de babeurre. Si vous utilisez un robot culinaire ou un batteur sur socle, versez progressivement le mélange de babeurre dans le bol du robot, par-dessus la farine, en tournant à basse vitesse. Ajoutez de l'eau si nécessaire. Laissez la farine former une pâte souple dans le bol du robot. Vous pouvez également ajouter le mélange de babeurre à la farine dans un saladier et pétrir à la main en ajoutant suffisamment d'eau tiède (petit à petit pour éviter les mauvaises consistances) jusqu'à obtenir une pâte souple et malléable. Déposez la pâte sur un plan de travail fariné et pétrissez à nouveau pendant 8 à 10 minutes, en travaillant bien la pâte, jusqu'à ce qu'elle soit lisse et élastique. (Si vous utilisez le batteur sur socle, pétrissez à vitesse moyenne à l'aide du crochet pétrisseur.) Transférez la pâte formée dans un bol légèrement graissé, en la retournant une fois pour l'enrober. Couvrez d'un torchon humide ou d'une pellicule plastique et laissez reposer dans un endroit chaud pendant environ 1 heure à 1 heure et demie jusqu'à ce qu'elle ait levé et doublé de volume. Pendant ce temps, pour la garniture, mélangez le beurre, la cannelle et les sucres dans un petit bol. Graissez et tapissez une plaque à pâtisserie ou un plateau de papier sulfurisé et réservez-la pour une utilisation ultérieure. Une fois que la pâte a doublé de volume, coupez-la en 2 parties. Saupoudrez un plan de travail de farine et étalez délicatement chaque boule de pâte en un rectangle. Étalez uniformément le mélange beurre-cannelle-sucre sur la pâte étalée. Ensuite, en commençant par l'extrémité la plus longue, roulez la pâte en un rouleau, en veillant à la maintenir serrée pour que la garniture reste à l'intérieur. Utilisez un couteau bien aiguisé pour couper la bûche en rondelles de 1 pouce. Déposez les rouleaux individuels sur la plaque préparée, côté coupé vers le bas. Couvrez la plaque d'un torchon humide et laissez lever les rouleaux une seconde fois, pendant environ 30 minutes. Pendant ce temps, préchauffez votre four à 200 degrés Celsius. Lorsque les rouleaux ont levé pendant 30 minutes, faites-les cuire jusqu'à ce qu'ils soient dorés (environ 15 à 20 minutes). Retirez-les du four sur une grille et laissez-les reposer 5 à 10 minutes. Pendant ce temps, préparez le glaçage. Mélangez le babeurre et le sucre glace dans un petit bol et fouettez bien. Versez le glaçage sur les rouleaux à l'aide d'une cuillère ou d'une petite poche à douille. Ces rouleaux au babeurre et à la cannelle sont un accompagnement parfait pour votre tasse de recettes de latte à la betterave ou comme collation après l'école pour les enfants, accompagnés d'un verre de recette de jus de grenade maison au gingembre.</t>
  </si>
  <si>
    <t>http://www.archanaskitchen.com/buttermilk-cinnamon-rolls-recipe</t>
  </si>
  <si>
    <t>Spicy and Creamy Achari Mushroom Open Toast Recipe</t>
  </si>
  <si>
    <t>Rezept für würzigen und cremigen Achari-Pilz-Toast</t>
  </si>
  <si>
    <t>Recette de toast aux champignons Achari épicé et crémeux</t>
  </si>
  <si>
    <t>Receta de tostada cremosa y picante de champiñones achari</t>
  </si>
  <si>
    <t>1 cuillère à soupe de tartinade à l'ail et à l'origan Nutralite, 4 pains bruns de blé entier, 200 grammes de champignons de Paris - tranchés, 1 oignon - finement haché, 4-5 oignons verts de printemps - finement hachés, 2 gousses d'ail - finement hachées, 2,5 cm de gingembre - finement haché, 2 cuillères à soupe de mayonnaise Achari</t>
  </si>
  <si>
    <t>1 tablespoon Nutralite Garlic &amp; Oregano Spread,4 Whole Wheat Brown Bread,200 grams Button mushrooms - sliced,1 Onion - finely chopped,4-5 Spring Onion Greens - finely chopped,2 cloves Garlic - finely chopped,1 inch Ginger - finely chopped,2 tablespoons Achari Mayo</t>
  </si>
  <si>
    <t>1 cucharada de pasta para untar de ajo y orégano Nutralite, 4 panes integrales, 200 gramos de champiñones rebanados, 1 cebolla finamente picada, 4-5 cebolletas verdes finamente picadas, 2 dientes de ajo finamente picados, 1 pulgada de jengibre finamente picado, 2 cucharadas de mayonesa Achari</t>
  </si>
  <si>
    <t xml:space="preserve">To begin making the Spicy and Creamy Achari Mushroom Open Toast Recipe, keep the ingredients prepped and ready.Warm a teaspoon of Nutralite Garlic and Oregano Spread in a pan and add the finely chopped onions, ginger and garlic and sauté for a minute till they are lightly browned.Stir in the mushrooms and spring onions and saute until the mushrooms get lightly cooked and ensure it has not released too much water. Once the mushrooms are done, stir in the Nutralite Achari mayo and turn off the heat. Give the Achari Mushroom mixture a try and adjust the salt if required, as the Nutralite Achari mayo in itself is packed with a lot of salt and flavours.Toast your favourite sliced bread in a toaster or oven and spread the slices out on a platter. Spread the Nutralite Garlic and Oregano Spread over the bread slices.Spoon the Achari Mushroom Mixture over the toasts and serve immediately.Serve Spicy and Creamy Achari Mushroom Open Toast along with Chickoo Banana Date Smoothie for a filling breakfast.
</t>
  </si>
  <si>
    <t>Para comenzar a hacer la Receta de Tostada Abierta Picante y Cremosa con Champiñones Achari, tenga los ingredientes preparados y listos. Caliente una cucharadita de Nutralite Garlic and Oregano Spread en una sartén y agregue las cebollas finamente picadas, el jengibre y el ajo y saltee durante un minuto hasta que estén ligeramente dorados. Agregue los champiñones y las cebolletas y saltee hasta que los champiñones estén ligeramente cocidos y asegúrese de que no hayan soltado demasiada agua. Una vez que los champiñones estén listos, agregue la mayonesa Nutralite Achari y apague el fuego. Pruebe la mezcla de champiñones Achari y ajuste la sal si es necesario, ya que la mayonesa Nutralite Achari en sí misma está llena de mucha sal y sabores. Tueste su pan de molde favorito en una tostadora u horno y extienda las rebanadas en una fuente. Unta la mezcla de ajo y orégano Nutralite sobre las rebanadas de pan. Vierte la mezcla de hongos Achari sobre las tostadas y sirve inmediatamente. Sirve la tostada abierta de hongos Achari picante y cremosa junto con el batido de plátano y dátiles Chickoo para un desayuno abundante.</t>
  </si>
  <si>
    <t>Pour commencer à préparer la recette de pain grillé ouvert aux champignons Achari épicés et crémeux, gardez les ingrédients préparés et prêts. Faites chauffer une cuillère à café de tartinade à l'ail et à l'origan Nutralite dans une poêle et ajoutez les oignons finement hachés, le gingembre et l'ail et faites revenir pendant une minute jusqu'à ce qu'ils soient légèrement dorés. Incorporez les champignons et les oignons nouveaux et faites revenir jusqu'à ce que les champignons soient légèrement cuits et assurez-vous qu'ils n'ont pas libéré trop d'eau. Une fois les champignons cuits, incorporez la mayonnaise Achari Nutralite et éteignez le feu. Essayez le mélange de champignons Achari et ajustez le sel si nécessaire, car la mayonnaise Achari Nutralite elle-même regorge de sel et de saveurs. Faites griller votre pain tranché préféré dans un grille-pain ou un four et étalez les tranches sur un plat. Étalez la tartinade à l'ail et à l'origan Nutralite sur les tranches de pain. Versez le mélange de champignons Achari sur les toasts et servez immédiatement. Servez le pain grillé ouvert épicé et crémeux aux champignons Achari avec le smoothie Chickoo Banana Dattes pour un petit-déjeuner copieux.</t>
  </si>
  <si>
    <t>https://www.archanaskitchen.com/spicy-mushroom-and-spring-onion-toast-recipe</t>
  </si>
  <si>
    <t>Mango Greek Yogurt Cheesecake with Muesli Crumble Recipe</t>
  </si>
  <si>
    <t>Rezept für Mango-Käsekuchen mit griechischem Joghurt und Müsli-Crumble</t>
  </si>
  <si>
    <t>Recette de cheesecake à la mangue avec crumble au yaourt grec et muesli</t>
  </si>
  <si>
    <t>Receta de tarta de queso y mango con crumble de yogur griego y muesli</t>
  </si>
  <si>
    <t>1 tasse de mangue (mûre) - en purée, 1 tasse de Hung Curd (yaourt grec), 2 cuillères à soupe de miel, 2 cuillères à café de poudre de gingembre sec - (du gingembre fraîchement râpé fera également l'affaire), 1 tasse de muesli, 2 cuillères à soupe de farine de blé entier, 1 cuillère à soupe de beurre - fondu, 1 mangue (mûre) - hachée, 2 cuillères à soupe de muesli</t>
  </si>
  <si>
    <t>1 cup Mango (Ripe) - pureed,1 cup Hung Curd (Greek Yogurt),2 tablespoon Honey,2 teaspoon Dry ginger powder - (freshly grated ginger will also do),1 cup Muesli,2 tablespoon Whole Wheat Flour,1 tablespoon Butter - melted,1 Mango (Ripe) - chopped,2 tablespoon Muesli</t>
  </si>
  <si>
    <t>1 taza de mango (maduro) - hecho puré, 1 taza de cuajada Hung (yogur griego), 2 cucharadas de miel, 2 cucharaditas de jengibre seco en polvo (el jengibre recién rallado también sirve), 1 taza de muesli, 2 cucharadas de harina integral, 1 cucharada de mantequilla derretida, 1 mango (maduro) picado, 2 cucharadas de muesli</t>
  </si>
  <si>
    <t xml:space="preserve">To begin making the Mango Greek Yogurt Cheese cake with Muesli Crumble Recipe preheat the oven at 150 degree Celsius for 10 minutes.Prep the mangoes by peeling of the skin and chopping them into small pieces and blitz it in the mixer to a smooth puree.Keep it aside.Now crumble the muesli to a coarse mixture, mix it with wheat flour and melted butter and mix well. It will have a sand like texture. Add this into a mason jar evenly and then press it till it is even. Bake it in the oven for about 10 minutes.Now to make the cheese mixture, mix in all the ingredients - mango puree, curd, honey and ginger powder into a smooth mixture and then carefully add this into the Mason jar and fill it till the brim.Keep the Mason jar immersed inside a pan containing water and bake it in the oven for about 15 minutes.After baking take Mango Greek Yogurt Cheesecake out and refrigerate for about 30 minutes till it cools down and sets and then garnish it with chopped mango and muesli.Serve the Mango Greek Yogurt Cheesecake with Muesli Crumble Recipe after a 15 minute Cauliflower Fried Rice and Soy Chunks Manchurian Recipe In Sweet &amp; Spicy Chinese Sauce just to finish of your simple Sunday Meal.
</t>
  </si>
  <si>
    <t>Para empezar a hacer la receta de tarta de queso con yogur griego y mango con crumble de muesli, precalienta el horno a 150 grados Celsius durante 10 minutos. Prepara los mangos pelándolos y cortándolos en trozos pequeños y licúalos en la batidora hasta obtener un puré suave. Déjalo a un lado. Ahora desmenuza el muesli hasta obtener una mezcla gruesa, mézclala con harina de trigo y mantequilla derretida y mezcla bien. Tendrá una textura similar a la arena. Agrega esto a un frasco de vidrio de manera uniforme y luego presiónalo hasta que esté parejo. Hornéalo durante unos 10 minutos. Para preparar la mezcla de queso, mezcla todos los ingredientes (puré de mango, cuajada, miel y jengibre en polvo) hasta obtener una mezcla suave. Luego, con cuidado, agrégala al frasco Mason y llénalo hasta el borde. Mantén el frasco Mason sumergido en una cacerola con agua y hornéalo durante unos 15 minutos. Después de hornear, saca la tarta de queso con yogur griego y mango y refrigérala durante unos 30 minutos hasta que se enfríe y cuaje. Luego, decora con mango picado y muesli. Sirve la receta de tarta de queso con yogur griego y mango con crumble de muesli después de 15 minutos de arroz frito con coliflor y trozos de soja, receta manchuriana en salsa china agridulce para terminar tu sencilla comida dominical.</t>
  </si>
  <si>
    <t>Pour commencer à préparer le gâteau au fromage au yaourt grec à la mangue avec crumble au muesli, préchauffez le four à 150 degrés Celsius pendant 10 minutes. Préparez les mangues en épluchant la peau et en les coupant en petits morceaux et mixez-les au mixeur jusqu'à obtenir une purée lisse. Gardez-le de côté. Maintenant, émiettez le muesli en un mélange grossier, mélangez-le avec de la farine de blé et du beurre fondu et mélangez bien. Il aura une texture semblable à du sable. Ajoutez-le dans un pot Mason uniformément, puis appuyez dessus jusqu'à ce qu'il soit uniforme. Faites-le cuire au four pendant environ 10 minutes. Maintenant, pour préparer le mélange de fromage, mélangez tous les ingrédients - purée de mangue, caillé, miel et poudre de gingembre dans un mélange lisse, puis ajoutez-le soigneusement dans le pot Mason et remplissez-le jusqu'au bord. Gardez le pot Mason immergé dans une casserole contenant de l'eau et faites-le cuire au four pendant environ 15 minutes. Après la cuisson, sortez le cheesecake au yaourt grec à la mangue et réfrigérez-le pendant environ 30 minutes jusqu'à ce qu'il refroidisse et prenne, puis garnissez-le de mangue hachée et de muesli. Servez le cheesecake au yaourt grec à la mangue avec crumble de muesli après 15 minutes de riz frit au chou-fleur et de morceaux de soja, recette mandchoue dans une sauce chinoise sucrée et épicée, juste pour terminer votre simple repas du dimanche.</t>
  </si>
  <si>
    <t>http://www.archanaskitchen.com/mango-greek-yogurt-cheesecake-with-muesli-crumble-recipe</t>
  </si>
  <si>
    <t>Healthy Creamy Chicken Soup With Vegetables Recipe</t>
  </si>
  <si>
    <t>Gesunde cremige Hühnersuppe mit Gemüse Rezept</t>
  </si>
  <si>
    <t>Recette de soupe crémeuse au poulet et aux légumes</t>
  </si>
  <si>
    <t>Receta de sopa cremosa de pollo y verduras</t>
  </si>
  <si>
    <t>300 grammes de poitrines de poulet désossées, 4 tasses d'eau tiède, 1 oignon haché, 2 gousses d'ail finement hachées, 2 branches de céleri grossièrement coupées en morceaux, 2 carottes (Gajjar) coupées en deux et coupées en dés, 1/4 tasse de pois verts (Matar) cuits à la vapeur, 1 patate douce bouillie et réduite en purée, 50 grammes de haricots verts (haricots verts) coupés en morceaux de 1 pouce, 40 grammes de flocons d'avoine ou d'avoine instantanée, 1 cuillère à café de poudre de poivre noir écrasé, 2 pouces de bâton de cannelle (Dalchini), 2 feuilles de laurier (tej patta), sel au goût, 1 jus de citron, 1 cuillère à café d'huile de tournesol, 1/4 tasse de feuilles de persil finement hachées</t>
  </si>
  <si>
    <t>300 grams Chicken breasts - boneless,4 cups Lukewarm Water,1 Onion - chopped,2 clove Garlic - finely chopped,2 Stalks Celery - roughly cut into pieces,2 Carrots (Gajjar) - cut into half and diced,1/4 cup Green peas (Matar) - steamed,1 Sweet Potato - boiled and pureed,50 grams Green beans (French Beans) - cut into 1 inch pieces,40 grams Rolled Oats Or Instant Oats,1 teaspoon Black pepper powder - crushed,2 inch Cinnamon Stick (Dalchini),2 Bay leaves (tej patta),Salt - to taste,1 Lemon juice,1 teaspoon Sunflower Oil,1/4 cup Parsley leaves - finely chopped</t>
  </si>
  <si>
    <t>300 gramos de pechugas de pollo deshuesadas, 4 tazas de agua tibia, 1 cebolla picada, 2 dientes de ajo finamente picados, 2 tallos de apio cortados en trozos grandes, 2 zanahorias (Gajjar) cortadas por la mitad y en cubos, 1/4 taza de guisantes verdes (Matar) al vapor, 1 batata hervida y hecha puré, 50 gramos de judías verdes (judías verdes) cortadas en trozos de 1 pulgada, 40 gramos de avena arrollada o avena instantánea, 1 cucharadita de pimienta negra en polvo triturada, 2 pulgadas de rama de canela (Dalchini), 2 hojas de laurel (tej patta), sal al gusto, 1 jugo de limón, 1 cucharadita de aceite de girasol, 1/4 taza de hojas de perejil finamente picadas</t>
  </si>
  <si>
    <t xml:space="preserve">To begin making the Healthy Creamy Chicken Soup With Vegetables recipe, heat half the water in a large saucepan, add the bay leaves and cinnamon and add the chicken along with salt. Simmer the chicken in the water for about 10 to 15 minutes. Drain the chicken and keep the water as will be using it as chicken stock. Shred chicken into 1/4-inch-wide strips and keep aside.In the same pot, heat a teaspoon of oil, add the garlic, celery and onion. Sauce until the onion softens. Add the carrots, peas, pureed potatoes, beans, salt and pepper and stir for a few minutes. Add the chicken stock and the remaining 2 cups of water, oats and shredded chicken into the pot. Stir well until the soup becomes a little creamy from the oats. Cover the pot and allow the soup to simmer for about 10 minutes. Adjust the salt and pepper to taste. Stir in the chopped parsley, lemon juice and serve.Serve Healthy Creamy Chicken Soup With Vegetables along with Garlic Bread and Spicy Basil Fried Rice.
</t>
  </si>
  <si>
    <t>Para comenzar a hacer la receta de Sopa cremosa de pollo con verduras saludable, calienta la mitad del agua en una cacerola grande, agrega las hojas de laurel y la canela y agrega el pollo junto con la sal. Cocina a fuego lento el pollo en el agua durante unos 10 a 15 minutos. Escurre el pollo y guarda el agua ya que la usarás como caldo de pollo. Desmenuza el pollo en tiras de 1/4 de pulgada de ancho y reserva. En la misma olla, calienta una cucharadita de aceite, agrega el ajo, el apio y la cebolla. Salsea hasta que la cebolla se ablande. Agrega las zanahorias, los guisantes, el puré de papas, los frijoles, la sal y la pimienta y revuelve durante unos minutos. Agrega el caldo de pollo y las 2 tazas restantes de agua, la avena y el pollo desmenuzado a la olla. Revuelve bien hasta que la sopa se vuelva un poco cremosa por la avena. Cubre la olla y deja que la sopa hierva a fuego lento durante unos 10 minutos. Ajusta la sal y la pimienta al gusto. Incorpore el perejil picado, el jugo de limón y sirva. Sirva esta saludable sopa cremosa de pollo con verduras junto con pan de ajo y arroz frito picante con albahaca.</t>
  </si>
  <si>
    <t>Pour commencer à préparer la recette de soupe crémeuse au poulet et aux légumes, faites chauffer la moitié de l'eau dans une grande casserole, ajoutez les feuilles de laurier et la cannelle, puis ajoutez le poulet et le sel. Laissez mijoter le poulet dans l'eau pendant environ 10 à 15 minutes. Égouttez le poulet et gardez l'eau car vous l'utiliserez comme bouillon de poulet. Déchiquetez le poulet en lanières de 1/4 de pouce de large et réservez. Dans la même casserole, faites chauffer une cuillère à café d'huile, ajoutez l'ail, le céleri et l'oignon. Faites la sauce jusqu'à ce que l'oignon ramollisse. Ajoutez les carottes, les petits pois, la purée de pommes de terre, les haricots, le sel et le poivre et remuez pendant quelques minutes. Ajoutez le bouillon de poulet et les 2 tasses d'eau restantes, l'avoine et le poulet effiloché dans la casserole. Remuez bien jusqu'à ce que la soupe devienne un peu crémeuse à cause de l'avoine. Couvrez la casserole et laissez mijoter la soupe pendant environ 10 minutes. Ajustez le sel et le poivre au goût. Incorporez le persil haché, le jus de citron et servez. Servez une soupe crémeuse au poulet saine avec des légumes accompagnée de pain à l'ail et de riz frit au basilic épicé.</t>
  </si>
  <si>
    <t>https://www.archanaskitchen.com/healthy-creamy-chicken-soup-with-vegetables-recipe</t>
  </si>
  <si>
    <t>Cape Gooseberry Salad Recipe</t>
  </si>
  <si>
    <t>Rezept für Kapstachelbeersalat</t>
  </si>
  <si>
    <t>Recette de salade de physalis</t>
  </si>
  <si>
    <t>Receta de ensalada de physalis</t>
  </si>
  <si>
    <t>5 groseilles du Cap - décortiquées et coupées en deux, 4 figues fraîches - coupées en quartiers, 1 oignon - émincé, 1 concombre - coupé en deux et tranché, 3 laitues iceberg - déchirées, herbes fraîches - une poignée comme du basilic, 2 cuillères à soupe d'huile d'olive extra vierge, 1 cuillère à soupe de miel, 2 cuillères à café de jus de citron, 1/2 cuillère à café de zeste de citron, 1 cuillère à café de poivre noir en poudre - (ou selon les besoins), sel - au goût</t>
  </si>
  <si>
    <t>5 Cape Gooseberries - husk removed and halved.,4 Fresh Figs - quartered,1 Onion - sliced,1 Cucumber - halved and sliced,3 Iceberg lettuce - torn,Fresh Herbs - Handful like basil,2 tablespoons Extra Virgin Olive Oil,1 tablespoon Honey,2 teaspoons Lemon juice,1/2 teaspoon Lemon zest,1 teaspoon Black pepper powder - (or as required),Salt - to taste</t>
  </si>
  <si>
    <t>5 uchuvas (sin cáscara y cortadas por la mitad), 4 higos frescos (cortados en cuartos), 1 cebolla (cortada en rodajas), 1 pepino (cortado por la mitad y en rodajas), 3 lechugas iceberg (desgarradas), hierbas frescas (un puñado, como albahaca), 2 cucharadas de aceite de oliva virgen extra, 1 cucharada de miel, 2 cucharaditas de jugo de limón, 1/2 cucharadita de ralladura de limón, 1 cucharadita de pimienta negra en polvo (o según se requiera), sal (al gusto)</t>
  </si>
  <si>
    <t xml:space="preserve">To begin making the Cape gooseberry salad, first make the dressing.In a small bowl or glass jar whisk together the ingredients under’ for the dressing’, the lemon juice, olive oil, honey, lemon zest, black pepper powder and salt.In a mixing/salad bowl toss together the cape gooseberries, figs, onion, cucumber and lettuce.Drizzle the dressing over the vegetables and fruits and toss the ingredients well to combine. Garnish with herbs and serve.Serve Cape Gooseberry Salad Recipe along with Grilled Vegetarian Moussaka Recipe With Soy Granules and Whole Wheat Rosemary Focaccia Bread for a weeknight dinner.
</t>
  </si>
  <si>
    <t>Para empezar a preparar la ensalada de uchuvas, primero prepare el aderezo. En un tazón pequeño o frasco de vidrio, mezcle los ingredientes de la sección "aderezo": jugo de limón, aceite de oliva, miel, ralladura de limón, pimienta negra en polvo y sal. En un tazón para mezclar/ensaladera, mezcle las uchuvas, los higos, la cebolla, el pepino y la lechuga. Rocíe el aderezo sobre las verduras y frutas y mezcle bien los ingredientes. Decore con hierbas y sirva. Sirva la Receta de Ensalada de Uchuvas junto con la Receta de Mousaka Vegetariana a la Parrilla con Gránulos de Soja y Pan Focaccia Integral con Romero para una cena entre semana.</t>
  </si>
  <si>
    <t>Pour commencer à préparer la salade de physalis, préparez d'abord la vinaigrette. Dans un petit bol ou un bocal en verre, fouettez ensemble les ingrédients de la vinaigrette : le jus de citron, l'huile d'olive, le miel, le zeste de citron, le poivre noir en poudre et le sel. Dans un saladier, mélangez les physalis, les figues, l'oignon, le concombre et la laitue. Versez la vinaigrette sur les légumes et les fruits et mélangez bien les ingrédients. Garnissez d'herbes et servez. Servez la recette de salade de physalis avec la recette de moussaka végétarienne grillée aux granulés de soja et le pain focaccia complet au romarin pour un dîner en semaine.</t>
  </si>
  <si>
    <t>http://www.archanaskitchen.com/cape-gooseberry-salad-recipe</t>
  </si>
  <si>
    <t>Chickoo - Sapota Puree Recipe For Babies And Toddlers</t>
  </si>
  <si>
    <t>Chickoo – Sapota-Püree-Rezept für Babys und Kleinkinder</t>
  </si>
  <si>
    <t>Recette de purée de sapote pour bébés et tout-petits</t>
  </si>
  <si>
    <t>Receta de Puré de Zapote para Bebés y Niños Pequeños</t>
  </si>
  <si>
    <t>1 Chikoo (fruit de sapote)</t>
  </si>
  <si>
    <t>1 Chikoo (Sapota Fruit)</t>
  </si>
  <si>
    <t>1 Chikoo (fruta del zapote)</t>
  </si>
  <si>
    <t xml:space="preserve">To begin making Chickoo Puree, you have to first choose the freshest and ripe fruit. The riper the fruit, more the nutrition. Cut the chickoo into 2 halves and using a spoon, scoop out the fleshly insides and place them aside. Do remove the seeds and discard them. Add the scooped out chickoo flesh and add it to a small blender. You can alternatively, use the back of a fork to whisk the chickoo flesh into a smooth puree. Transfer the Chickoo Puree into a baby bowl. Serve this Chickoo Puree to your babies or toddlers from the age of 6 months onwards for a delicious lunch or evening snack. 
</t>
  </si>
  <si>
    <t>Para empezar a preparar el Puré de Chickoo, primero debes elegir la fruta más fresca y madura. Cuanto más madura esté la fruta, más nutritivo será. Corta el chickoo en dos mitades y, con una cuchara, retira la pulpa interior y resérvala. Retira las semillas y deséchalas. Agrega la pulpa del chickoo extraída y agrégala a una licuadora pequeña. Alternativamente, puedes usar el dorso de un tenedor para batir la pulpa del chickoo hasta obtener un puré suave. Transfiere el Puré de Chickoo a un tazón para bebés. Sirve este Puré de Chickoo a tus bebés o niños pequeños a partir de los 6 meses para un delicioso almuerzo o merienda.</t>
  </si>
  <si>
    <t>Pour préparer la purée de poulet, choisissez d'abord les fruits les plus frais et mûrs. Plus le fruit est mûr, plus il est nutritif. Coupez le poulet en deux et, à l'aide d'une cuillère, retirez la chair et réservez-la. Retirez les graines et jetez-les. Ajoutez la chair du poulet et passez-la dans un petit mixeur. Vous pouvez également utiliser le dos d'une fourchette pour la réduire en purée lisse. Transférez la purée de poulet dans un bol pour bébé. Servez cette purée à vos bébés ou jeunes enfants dès l'âge de 6 mois pour un délicieux déjeuner ou un goûter.</t>
  </si>
  <si>
    <t>http://www.archanaskitchen.com/chickoo-sapota-puree-recipe-for-babies-and-toddlers</t>
  </si>
  <si>
    <t>Minced Meat &amp; Corn Stuffed Bell Peppers Recipe</t>
  </si>
  <si>
    <t>Rezept für mit Hackfleisch und Mais gefüllte Paprika</t>
  </si>
  <si>
    <t>Recette de poivrons farcis à la viande hachée et au maïs</t>
  </si>
  <si>
    <t>Receta de pimientos rellenos de carne picada y maíz</t>
  </si>
  <si>
    <t>2 poivrons jaunes (Capsicum), 1 tasse de poulet haché, 2 cuillères à soupe de maïs doux écrasé, 1 cuillère à soupe de jalapeños marinés, 1/2 tasse d'oignon émincé, 8 gousses d'ail moulues en pâte, 1 cuillère à café de poivre noir en poudre, 1/2 tasse de mozzarella, 1 cuillère à soupe de feuilles de coriandre (Dhania) hachées, 1 cuillère à soupe d'huile d'olive extra vierge, sel pour l'assaisonnement</t>
  </si>
  <si>
    <t>2 Yellow Bell Pepper (Capsicum),1 cup Chicken - minced,2 tablespoons Sweet corn - mashed,1 tablespoon Pickled Jalapenos,1/2 cup Onion - sliced,8 cloves Garlic - ground to paste,1 teaspoon Black pepper powder,1/2 cup Mozzarella cheese,1 tablespoon Coriander (Dhania) Leaves - chopped,1 tablespoon Extra Virgin Olive Oil,Salt - for seasoning</t>
  </si>
  <si>
    <t>2 pimientos morrones amarillos (Capsicum), 1 taza de pollo picado, 2 cucharadas de maíz dulce machacado, 1 cucharada de jalapeños encurtidos, 1/2 taza de cebolla en rodajas, 8 dientes de ajo molidos hasta formar una pasta, 1 cucharadita de pimienta negra en polvo, 1/2 taza de queso mozzarella, 1 cucharada de hojas de cilantro (Dhania) picadas, 1 cucharada de aceite de oliva virgen extra, sal para condimentar</t>
  </si>
  <si>
    <t xml:space="preserve">To begin Minced Meat &amp; Corn Stuffed Bell Peppers Recipe, wash the bell peppers cut thin slice from stem of both bell peppers to remove top of pepper to help the stuffing fit within. Clean seeds from bell peppers along with the top. Mash the corn and mince the meat by pulsing it in the food processor.Preheat the oven on 400 F.In a frying pan heat olive oil, add garlic paste and fry until light brown. Add onion and saute until translucent.Add minced chicken and mix it nicely, add jalapeno peppers, mashed corn, salt and pepper. Cook until the chicken is done.Stuff in chicken mixture on both the bell peppers, top with mozzarella cheese and chopped coriander leaves/cilantro.On a baking sheet spray oil or brush with oil. Place bell peppers one next to another, baked it uncovered for 30 - 35 minutes or until bell peppers is tender. Serve Minced Meat &amp; Corn Stuffed Bell Peppers Recipe as an appetizer along with Delicious Herbed Hasselback Potatoes Recipe and a Pomegranate Mint Cocktail Recipe.
</t>
  </si>
  <si>
    <t>Para comenzar la receta de pimientos morrones rellenos de carne picada y maíz, lave los pimientos morrones, corte rodajas finas del tallo de ambos pimientos morrones para quitar la parte superior del pimiento y ayudar a que el relleno encaje dentro. Limpie las semillas de los pimientos morrones junto con la parte superior. Triture el maíz y pique la carne pulsando en el procesador de alimentos. Precaliente el horno a 400 F. En una sartén caliente el aceite de oliva, agregue la pasta de ajo y fría hasta que esté ligeramente dorada. Agregue la cebolla y saltee hasta que esté translúcida. Agregue el pollo picado y mézclelo bien, agregue los chiles jalapeños, el maíz machacado, la sal y la pimienta. Cocine hasta que el pollo esté listo. Rellene la mezcla de pollo en ambos pimientos morrones, cubra con queso mozzarella y hojas de cilantro picadas / cilantro. En una bandeja para hornear, rocíe aceite o pincele con aceite. Coloque los pimientos morrones uno al lado del otro, hornéelos sin tapar durante 30 a 35 minutos o hasta que los pimientos morrones estén tiernos. Sirva la receta de pimientos rellenos de carne picada y maíz como aperitivo junto con la receta de deliciosas papas Hasselback con hierbas y la receta de cóctel de menta y granada.</t>
  </si>
  <si>
    <t>Pour commencer la recette de poivrons farcis à la viande hachée et au maïs, lavez les poivrons, coupez une fine tranche de la tige des deux poivrons pour retirer le dessus du poivron afin d'aider la farce à s'adapter à l'intérieur. Nettoyez les graines des poivrons ainsi que le dessus. Écrasez le maïs et hachez la viande en la passant au robot culinaire. Préchauffez le four à 400 °F. Dans une poêle, faites chauffer l'huile d'olive, ajoutez la pâte d'ail et faites-la revenir jusqu'à ce qu'elle soit légèrement dorée. Ajoutez l'oignon et faites-le revenir jusqu'à ce qu'il soit translucide. Ajoutez le poulet haché et mélangez bien, ajoutez les piments jalapeño, le maïs écrasé, le sel et le poivre. Faites cuire jusqu'à ce que le poulet soit cuit. Farcissez les deux poivrons du mélange de poulet, garnissez de mozzarella et de feuilles de coriandre hachées. Sur une plaque à pâtisserie, vaporisez d'huile ou badigeonnez d'huile. Placez les poivrons l'un à côté de l'autre, faites-les cuire à découvert pendant 30 à 35 minutes ou jusqu'à ce qu'ils soient tendres. Servez la recette de poivrons farcis à la viande hachée et au maïs en entrée avec la délicieuse recette de pommes de terre Hasselback aux herbes et une recette de cocktail à la menthe et à la grenade.</t>
  </si>
  <si>
    <t>https://www.archanaskitchen.com/minced-meat-corn-stuffed-bell-peppers-recipe</t>
  </si>
  <si>
    <t>Chocolate Marble Cake Recipe Using Preethi Electric Pressure Cooker</t>
  </si>
  <si>
    <t>Rezept für Schokoladen-Marmorkuchen mit dem elektrischen Schnellkochtopf von Preethi</t>
  </si>
  <si>
    <t>Recette de gâteau marbré au chocolat à l'autocuiseur électrique par Preethi</t>
  </si>
  <si>
    <t>Receta de pastel marmolado de chocolate en olla a presión eléctrica de Preethi</t>
  </si>
  <si>
    <t>1 tasse de beurre, 3/4 tasse de sucre en poudre, 3 œufs entiers, 2 tasses de farine tout usage (Maida), 2 cuillères à soupe de poudre de cacao, 1-1/2 cuillère à café de levure chimique, 1/4 tasse de lait, 1 cuillère à café d'extrait de vanille</t>
  </si>
  <si>
    <t>1 cup Butter,3/4 cup Caster Sugar,3 Whole Eggs,2 cup All Purpose Flour (Maida),2 tablespoons Cocoa Powder,1-1/2 teaspoons Baking powder,1/4 cup Milk,1 teaspoon Vanilla Extract</t>
  </si>
  <si>
    <t>1 taza de mantequilla, 3/4 taza de azúcar extrafino, 3 huevos enteros, 2 tazas de harina para todo uso (Maida), 2 cucharadas de cacao en polvo, 1-1/2 cucharaditas de polvo para hornear, 1/4 taza de leche, 1 cucharadita de extracto de vainilla</t>
  </si>
  <si>
    <t xml:space="preserve">To begin making the Chocolate Marble Cake recipe, we will first begin by prepping all the ingredients and keep them ready.In a large mixing bowl or the bowl of the stand mixer; whisk the butter and sugar until light and fluffy. Gradually add in one egg at a time and beat until fluffy. Add in the milk, the vanilla extract and the flour a little at a time until well combined. Pour in half the cake batter into the prepared tin. Add the cocoa powder into the other half of the marble cake batter and mix well. Pour this chocolate cake batter into the white cake batter.With the help of skewer, create a marbling effect on the batter, by swirling it around. Cover the cake pan with an aluminium foil tightly, so moisture from the pressure cooker does not seep into the cake.Fill the electric pressure cooker with 1 cup of water. Place the trivet inside the pressure cooker. Place this cake pan into the pressure cooker.Turn on the electric pressure cooker. Choose manual mode and adjust the program setting to Cake. Turn the vent nozzle into the pressure mode and allow the cake to bake until the pressure cooker comes into keep warm mode.Allow the pressure to release naturally from the electric pressure cooker and wait for the pressure indicator to settle down.Once done, open the electric pressure cooker and remove the marble cake and serve hot.Serve the delicious Chocolate Marble Cake along with breakfast or as a tea time snack with a cup of coffee.
</t>
  </si>
  <si>
    <t>Para comenzar a hacer la receta del pastel marmolado de chocolate, primero comenzaremos preparando todos los ingredientes y teniéndolos listos. En un tazón grande o en el tazón de la batidora de pedestal, bate la mantequilla y el azúcar hasta que esté suave y esponjosa. Agrega gradualmente un huevo a la vez y bate hasta que esté esponjoso. Agrega la leche, el extracto de vainilla y la harina poco a poco hasta que esté bien combinado. Vierte la mitad de la masa del pastel en el molde preparado. Agrega el cacao en polvo a la otra mitad de la masa del pastel marmolado y mezcla bien. Vierte esta masa de pastel de chocolate en la masa de pastel blanco. Con la ayuda de un palillo, crea un efecto marmolado en la masa, girándola. Cubre el molde para pastel con papel aluminio herméticamente, para que la humedad de la olla a presión no se filtre en el pastel. Llena la olla a presión eléctrica con 1 taza de agua. Coloca el salvamanteles dentro de la olla a presión. Coloca este molde para pastel en la olla a presión. Enciende la olla a presión eléctrica. Elige el modo manual y ajusta la configuración del programa a Pastel. Gire la boquilla de ventilación al modo de presión y deje que el pastel se hornee hasta que la olla a presión entre en modo de mantener caliente. Deje que la presión se libere naturalmente de la olla a presión eléctrica y espere a que el indicador de presión se estabilice. Una vez hecho esto, abra la olla a presión eléctrica, retire el pastel marmolado y sirva caliente. Sirva el delicioso pastel marmolado de chocolate junto con el desayuno o como un refrigerio para la hora del té con una taza de café.</t>
  </si>
  <si>
    <t>Pour commencer à préparer la recette du gâteau marbré au chocolat, nous commencerons d'abord par préparer tous les ingrédients et les garder prêts. Dans un grand saladier ou le bol du batteur sur socle, fouettez le beurre et le sucre jusqu'à ce que le mélange soit léger et mousseux. Ajoutez graduellement un œuf à la fois et battez jusqu'à consistance mousseuse. Ajoutez le lait, l'extrait de vanille et la farine petit à petit jusqu'à ce que le tout soit bien mélangé. Versez la moitié de la pâte à gâteau dans le moule préparé. Ajoutez la poudre de cacao dans l'autre moitié de la pâte à gâteau marbré et mélangez bien. Versez cette pâte à gâteau au chocolat dans la pâte à gâteau blanche. À l'aide d'une brochette, créez un effet marbré sur la pâte en la faisant tournoyer. Couvrez le moule à gâteau d'une feuille d'aluminium hermétiquement, afin que l'humidité de l'autocuiseur ne s'infiltre pas dans le gâteau. Remplissez l'autocuiseur électrique avec 1 tasse d'eau. Placez le trépied à l'intérieur de l'autocuiseur. Placez ce moule à gâteau dans l'autocuiseur. Allumez l'autocuiseur électrique. Choisissez le mode manuel et réglez le réglage du programme sur Gâteau. Tournez la buse d'aération en mode pression et laissez le gâteau cuire jusqu'à ce que l'autocuiseur passe en mode maintien au chaud. Laissez la pression se libérer naturellement de l'autocuiseur électrique et attendez que l'indicateur de pression se stabilise. Une fois terminé, ouvrez l'autocuiseur électrique et retirez le gâteau marbré et servez chaud. Servez le délicieux gâteau marbré au chocolat avec le petit-déjeuner ou comme collation à l'heure du thé avec une tasse de café.</t>
  </si>
  <si>
    <t>https://www.archanaskitchen.com/chocolate-marble-cake-recipe-using-electric-pressure-cooker</t>
  </si>
  <si>
    <t>Spicy Hot Chocolate Recipe - Perfect Drink For A Rainy Day or Winters</t>
  </si>
  <si>
    <t>Rezept für würzige heiße Schokolade – das perfekte Getränk für einen regnerischen Tag oder den Winter</t>
  </si>
  <si>
    <t>Recette de chocolat chaud épicé – la boisson parfaite pour un jour de pluie ou d’hiver</t>
  </si>
  <si>
    <t>Receta de chocolate caliente especiado: la bebida perfecta para un día lluvioso o de invierno</t>
  </si>
  <si>
    <t>3 tasses de lait, 1 tasse de chocolat noir - coupé en morceaux, 1 cuillère à café de cannelle en poudre (Dalchini), 1/4 cuillère à café de poivre noir en poudre, 1/4 cuillère à café de poivre de Cayenne - facultatif, 1 cuillère à café d'extrait de vanille, Cerises fraîches - pour la garniture, Amandes effilées (Badam) - quelques</t>
  </si>
  <si>
    <t>3 cups Milk,1 cup Dark chocolate - cut into pieces,1 teaspoon Cinnamon Powder (Dalchini),1/4 teaspoon Black pepper powder,1/4 teaspoon Cayenne Pepper - optional,1 teaspoon Vanilla Extract,Fresh Cherries - for garnish,Slivered Almonds (Badam) - a few</t>
  </si>
  <si>
    <t>3 tazas de leche, 1 taza de chocolate negro - cortado en trozos, 1 cucharadita de canela en polvo (Dalchini), 1/4 cucharadita de pimienta negra en polvo, 1/4 cucharadita de pimienta de cayena (opcional), 1 cucharadita de extracto de vainilla, cerezas frescas - para decorar, almendras fileteadas (Badam) - algunas</t>
  </si>
  <si>
    <t xml:space="preserve">To begin making Spicy Hot Chocolate Recipe, we have to melt the dark chocolate chunks using the double boiler method.Place a pot of water on high heat and let the water reach boiling point. Once the water boils, place a glass bowl on top of the boiling water and make sure that the water does not go inside the glass bowl. Add the chunks of chocolate in the glass bowl and let them melt. This is called the double boiler method. Once all the chocolate has melted, turn off the flame. In another pan, add the milk and bring it to a boil. Reduce the flame to low and add the melted chocolate and stir continuously until it thickens. Next add the whole pepper powder, cayenne pepper vanilla extract to the Hot Chocolate. Stir well to mix all the ingredients until they are well combined. Stir continuously until the Spicy Hot Chocolate thickens. Turn off the flame.Add chopped cherries and almonds on top for garnish to the Spicy Hot Chocolate.Serve Spicy Hot Chocolate Recipe along with Whole Wheat Banana Bread Recipe (with Eggless &amp; Vegan Options) for a cold evening snack time drink.
</t>
  </si>
  <si>
    <t>Para comenzar a hacer la Receta de Chocolate Caliente Picante, tenemos que derretir los trozos de chocolate negro usando el método de baño maría. Coloque una olla con agua a fuego alto y deje que el agua alcance el punto de ebullición. Una vez que el agua hierva, coloque un recipiente de vidrio encima del agua hirviendo y asegúrese de que el agua no entre en el recipiente de vidrio. Agregue los trozos de chocolate en el recipiente de vidrio y deje que se derritan. Este es el método llamado baño maría. Una vez que todo el chocolate se haya derretido, apague el fuego. En otra cacerola, agregue la leche y llévela a ebullición. Reduzca el fuego a bajo y agregue el chocolate derretido y revuelva continuamente hasta que espese. Luego agregue la pimienta en polvo entera, la pimienta de cayena y el extracto de vainilla al chocolate caliente. Revuelva bien para mezclar todos los ingredientes hasta que estén bien combinados. Revuelva continuamente hasta que el chocolate caliente picante espese. Apaga el fuego. Agrega cerezas picadas y almendras por encima para decorar el chocolate caliente picante. Sirve la receta de chocolate caliente picante junto con la receta de pan de plátano integral (con opciones sin huevo y veganas) para una bebida fría para la merienda.</t>
  </si>
  <si>
    <t>Pour commencer à préparer la recette du chocolat chaud épicé, nous devons faire fondre les morceaux de chocolat noir en utilisant la méthode du bain-marie. Placez une casserole d'eau sur feu vif et laissez l'eau atteindre le point d'ébullition. Une fois que l'eau bout, placez un bol en verre sur l'eau bouillante et assurez-vous que l'eau ne pénètre pas à l'intérieur du bol en verre. Ajoutez les morceaux de chocolat dans le bol en verre et laissez-les fondre. C'est ce qu'on appelle la méthode du bain-marie. Une fois que tout le chocolat a fondu, éteignez le feu. Dans une autre casserole, ajoutez le lait et portez-le à ébullition. Réduisez le feu à doux et ajoutez le chocolat fondu et remuez continuellement jusqu'à ce qu'il épaississe. Ajoutez ensuite la poudre de poivre entier, l'extrait de vanille au poivre de Cayenne au chocolat chaud. Remuez bien pour mélanger tous les ingrédients jusqu'à ce qu'ils soient bien combinés. Remuez continuellement jusqu'à ce que le chocolat chaud épicé épaississe. Éteignez le feu. Ajoutez des cerises et des amandes hachées sur le dessus pour garnir le chocolat chaud épicé. Servez la recette de chocolat chaud épicé avec la recette de pain aux bananes au blé entier (avec options sans œufs et végétaliennes) pour une boisson froide en soirée.</t>
  </si>
  <si>
    <t>http://www.archanaskitchen.com/spicy-hot-chocolate-recipe-perfect-drink-for-a-rainy-day-or-winters</t>
  </si>
  <si>
    <t>Vanilla Panna Cotta Recipe with Cocoa &amp; Mint</t>
  </si>
  <si>
    <t>Vanille-Panna-Cotta-Rezept mit Kakao und Minze</t>
  </si>
  <si>
    <t>Recette de panna cotta à la vanille, au cacao et à la menthe</t>
  </si>
  <si>
    <t>Receta de panna cotta de vainilla, cacao y menta</t>
  </si>
  <si>
    <t>1 tasse de crème fraîche, 1 tasse de lait, 1/2 tasse de sucre en poudre, 1 cuillère à soupe d'extrait de vanille, 2 cuillères à café de gélatine, 1 cuillère à café de cacao en poudre - pour servir</t>
  </si>
  <si>
    <t>1 cup Fresh cream,1 cup Milk,1/2 cup Caster Sugar,1 tablespoon Vanilla Extract,2 teaspoons Gelatin,1 teaspoon Cocoa Powder - for serving</t>
  </si>
  <si>
    <t>1 taza de crema fresca, 1 taza de leche, 1/2 taza de azúcar extrafino, 1 cucharada de extracto de vainilla, 2 cucharaditas de gelatina, 1 cucharadita de cacao en polvo (para servir)</t>
  </si>
  <si>
    <t xml:space="preserve">To begin making the Vanilla Panna Cotta Recipe; soak gelatin in cold water and keep it aside for about 30 minutes. Alternatively, you can even follow the instructions on the packet.Next, stir together all the remaining ingredients in a heavy bottomed sauce pan and bring them to a boil, stirring continuously until the sugar dissolves completely. Set aside the milk mixture until it cools down.Once the milk mixture is cooled, stir in the gelatin mixture. Whisk well until all the ingredients including the gelatin gets well combined.Pour the Vanilla Panna Cotta into individual ramekins or small glasses or dessert cups or a large souffle dish.Refrigerate the Vanilla Panna Cotta for at least 6 hours until set completely.  Once set and you are ready to serve, invert the Vanilla Panna Cotta into dessert platters. Dust the cocoa powder using a sieve and garnish with mint and serve.Serve the Vanilla Panna Cotta Recipe with Cocoa &amp; Mint as a light Dessert after your Meal.
</t>
  </si>
  <si>
    <t>Para comenzar a hacer la Receta de Panna Cotta de Vainilla; remoje la gelatina en agua fría y déjela reposar durante unos 30 minutos. Alternativamente, incluso puede seguir las instrucciones del paquete. Luego, mezcle todos los ingredientes restantes en una cacerola de fondo grueso y llévelos a ebullición, revolviendo continuamente hasta que el azúcar se disuelva completamente. Deje a un lado la mezcla de leche hasta que se enfríe. Una vez que la mezcla de leche se haya enfriado, agregue la mezcla de gelatina. Bata bien hasta que todos los ingredientes, incluida la gelatina, se combinen bien. Vierta la Panna Cotta de Vainilla en ramequines individuales o vasos pequeños o tazas de postre o un plato grande para suflé. Refrigere la Panna Cotta de Vainilla durante al menos 6 horas hasta que cuaje por completo. Una vez que cuaje y esté listo para servir, invierta la Panna Cotta de Vainilla en platos de postre. Espolvorea el cacao en polvo con un colador, decora con menta y sirve. Sirve la receta de Panna Cotta de Vainilla con Cacao y Menta como un postre ligero después de la comida.</t>
  </si>
  <si>
    <t>Pour commencer à préparer la recette de Panna Cotta à la Vanille, faites tremper la gélatine dans de l'eau froide et réservez-la pendant environ 30 minutes. Vous pouvez également suivre les instructions sur le paquet. Ensuite, mélangez tous les ingrédients restants dans une casserole à fond épais et portez-les à ébullition en remuant continuellement jusqu'à ce que le sucre soit complètement dissous. Réservez le mélange de lait jusqu'à ce qu'il refroidisse. Une fois le mélange de lait refroidi, incorporez le mélange de gélatine. Fouettez bien jusqu'à ce que tous les ingrédients, y compris la gélatine, soient bien mélangés. Versez la Panna Cotta à la Vanille dans des ramequins individuels, des petits verres, des coupes à dessert ou un grand plat à soufflé. Réfrigérez la Panna Cotta à la Vanille pendant au moins 6 heures jusqu'à ce qu'elle soit complètement prise. Une fois prise et prête à servir, retournez la Panna Cotta à la Vanille dans des assiettes à dessert. Saupoudrez la poudre de cacao à l'aide d'un tamis, décorez de menthe et servez. Servez la recette de panna cotta à la vanille avec cacao et menthe comme dessert léger après votre repas.</t>
  </si>
  <si>
    <t>http://www.archanaskitchen.com/vanilla-panna-cotta-recipe</t>
  </si>
  <si>
    <t>Bread Toast Recipe</t>
  </si>
  <si>
    <t>Brottoast-Rezept</t>
  </si>
  <si>
    <t>Recette de pain grillé</t>
  </si>
  <si>
    <t>Receta de pan tostado</t>
  </si>
  <si>
    <t>8 pains bruns de blé entier, 8 cuillères à café de beurre</t>
  </si>
  <si>
    <t>8 Whole Wheat Brown Bread,8 teaspoons Butter</t>
  </si>
  <si>
    <t>8 panes integrales, 8 cucharaditas de mantequilla</t>
  </si>
  <si>
    <t xml:space="preserve">To begin making Bread Toast Recipe, melt butter for a few seconds in microwave till the butter can be spooned easily.Heat a tawa on medium heat, once the tawa is heated, turn down the flame to low-medium and then place 2 bread slices one next to the other.Smear a bit of butter on each bread slice using a butter knife or from the back of a flat spoon. Place the bread slices onto the pan and allow them to brown a bit. If you are using whole wheat bread slices, browning may take a few more seconds more than the all-purpose flour bread. Keep a low heat throughout, to avoid charring. Smear with butter like you did on the other side.Flip the slices and allow to stay for about half a minute. Once the color is golden brown on both sides, take the slices off heat.Repeat the same with the rest of the bread slices.Serve the Bread Toast Recipe drizzled with honey, maple syrup, chocolate syrup, or made into delicious sandwiches like Chilli Cheese Toast Recipe, Spicy Mushroom And Spring Onion Toast Recipe, preferably with a glass of milk or smoothie.
</t>
  </si>
  <si>
    <t>Para comenzar a hacer la Receta de Tostada de Pan, derrita la mantequilla durante unos segundos en el microondas hasta que la mantequilla se pueda sacar fácilmente con una cuchara. Caliente una tawa a fuego medio, una vez que la tawa esté caliente, baje la llama a baja-media y luego coloque 2 rebanadas de pan una al lado de la otra. Unte un poco de mantequilla en cada rebanada de pan con un cuchillo de mantequilla o con el dorso de una cuchara plana. Coloque las rebanadas de pan en la sartén y deje que se doren un poco. Si está usando rebanadas de pan integral, dorarse puede tomar unos segundos más que el pan de harina para todo uso. Mantenga el fuego bajo en todo momento, para evitar que se queme. Unte con mantequilla como lo hizo en el otro lado. Voltee las rebanadas y déjelas reposar durante aproximadamente medio minuto. Una vez que ambos lados estén dorados, retira las rebanadas del fuego. Repite el mismo procedimiento con el resto de las rebanadas de pan. Sirve la receta de pan tostado rociada con miel, jarabe de arce, jarabe de chocolate o preparada en deliciosos sándwiches como la receta de tostada de queso con chile o la receta de tostada de champiñones picantes y cebolleta, preferiblemente con un vaso de leche o un batido.</t>
  </si>
  <si>
    <t>Pour commencer à préparer la recette de pain grillé, faites fondre le beurre pendant quelques secondes au micro-ondes jusqu'à ce que le beurre puisse être facilement versé à la cuillère. Faites chauffer un tawa à feu moyen, une fois le tawa chaud, baissez le feu à moyen-doux, puis placez 2 tranches de pain l'une à côté de l'autre. Étalez un peu de beurre sur chaque tranche de pain à l'aide d'un couteau à beurre ou du dos d'une cuillère plate. Placez les tranches de pain sur la poêle et laissez-les dorer un peu. Si vous utilisez des tranches de pain de blé entier, le brunissement peut prendre quelques secondes de plus que le pain à la farine tout usage. Maintenez un feu doux tout au long, pour éviter la carbonisation. Enduisez de beurre comme vous l'avez fait de l'autre côté. Retournez les tranches et laissez reposer environ une demi-minute. Une fois que la couleur est dorée des deux côtés, retirez les tranches du feu. Répétez la même opération avec le reste des tranches de pain. Servez la recette de pain grillé arrosée de miel, de sirop d'érable, de sirop de chocolat ou préparée en délicieux sandwichs comme la recette de pain grillé au fromage et au piment, la recette de pain grillé aux champignons épicés et aux oignons nouveaux, de préférence avec un verre de lait ou un smoothie.</t>
  </si>
  <si>
    <t>https://www.archanaskitchen.com/bread-toast-recipe</t>
  </si>
  <si>
    <t>Fluffy &amp; Crispy Cheese Herbed Biscuits Recipe</t>
  </si>
  <si>
    <t>Rezept für fluffige und knusprige Käse-Kräuterkekse</t>
  </si>
  <si>
    <t>Recette de biscuits moelleux et croustillants au fromage et aux herbes</t>
  </si>
  <si>
    <t>Receta de galletas suaves y crujientes de queso y hierbas</t>
  </si>
  <si>
    <t>1 tasse de farine tout usage (Maida), 2 cuillères à soupe de farine de maïs, 1-1/2 cuillère à café de levure chimique, 1/2 cuillère à café de sel de mer, 1/2 cuillère à café de sucre, 3/4 cuillère à café de feuilles de persil hachées, 1/4 cuillère à café de feuilles de basilic séchées hachées, 1/2 tasse de fromage cheddar râpé, 2 cuillères à soupe de fromage mozzarella râpé, 3 cuillères à soupe de beurre froid non salé et coupé en cubes, 1/2 tasse de lait, 1 cuillère à café d'huile d'olive extra vierge</t>
  </si>
  <si>
    <t>1 cup All Purpose Flour (Maida),2 tablespoon Corn flour,1-1/2 teaspoon Baking powder,1/2 teaspoon Sea salt,1/2 teaspoon Sugar,3/4 teaspoon Parsley leaves - chopped,1/4 teaspoon Dried basil leaves - chopped,1/2 cup Cheddar cheese - shredded,2 tablespoon Mozzarella cheese - shredded,3 tablespoon Butter - cold unsalted and cut into cubes,1/2 cup Milk,1 teaspoon Extra Virgin Olive Oil</t>
  </si>
  <si>
    <t>1 taza de harina para todo uso (Maida), 2 cucharadas de harina de maíz, 1-1/2 cucharadita de polvo para hornear, 1/2 cucharadita de sal marina, 1/2 cucharadita de azúcar, 3/4 cucharadita de hojas de perejil picadas, 1/4 cucharadita de hojas de albahaca secas picadas, 1/2 taza de queso cheddar rallado, 2 cucharadas de queso mozzarella rallado, 3 cucharadas de mantequilla fría sin sal cortada en cubos, 1/2 taza de leche, 1 cucharadita de aceite de oliva virgen extra</t>
  </si>
  <si>
    <t xml:space="preserve">To begin with Fluffy &amp; Crispy Cheese Herbed Biscuits Recipe, preheat Oven to 400 degrees Fahrenheit/200 degrees Celsius.Meanwhile, prepare a Baking pan by lining it with parchment paper or if using aluminum foil on the pan, grease it with olive oil.Combine All purpose flour, cornstarch, baking powder, parsley, basil, sugar and salt in a mixing bowl.Add the cubed butter and mix it by hand till the four-cheese flour mixture resembles coarse crumbs.Add cold milk intermittently and knead it lightly until the dough holds together. The dough should not be dry.Drop the batter onto the greased baking pan by heaping two tablespoons from measuring spoon or cup and bake in the preheated oven for 15-20 minutes until risen and golden brown.Meanwhile, in a small pan, prepare garlic butter by blending softened butter with minced garlic and dried oregano with the help of a fork.After incorporated well, heat the pan a bit such that the butter is melted.After the biscuits have risen and golden brown, remove from the oven and brush the biscuit tops with melted garlic butter.These Fluffy &amp; Crispy Cheese Herbed Biscuits Recipe are flavorful and can be eaten as breakfast drizzled with honey, combined with vegetables, or served with few other accompaniments like Mexican Salsa Chicken With Italian Cream Cheese Recipe or Cottage Cheese Dip Recipe With Pepper and Olives as a evening snack.
</t>
  </si>
  <si>
    <t>Para comenzar con la receta de galletas de queso con hierbas, esponjosas y crujientes, precaliente el horno a 400 grados Fahrenheit / 200 grados Celsius. Mientras tanto, prepare un molde para hornear forrándolo con papel pergamino o si usa papel de aluminio en el molde, engráselo con aceite de oliva. Combine la harina para todo uso, la maicena, el polvo para hornear, el perejil, la albahaca, el azúcar y la sal en un tazón. Agregue la mantequilla en cubos y mézclela a mano hasta que la mezcla de harina de cuatro quesos se asemeje a migas gruesas. Agregue leche fría de manera intermitente y amásela ligeramente hasta que la masa se mantenga unida. La masa no debe estar seca. Vierta la mezcla en una bandeja para hornear engrasada, colocando dos cucharadas colmadas de una cuchara medidora o taza, y hornee en el horno precalentado durante 15 a 20 minutos hasta que haya subido y esté dorada. Mientras tanto, en una sartén pequeña, prepare la mantequilla de ajo mezclando la mantequilla ablandada con el ajo picado y el orégano seco con la ayuda de un tenedor. Después de incorporar bien, caliente la sartén un poco para que la mantequilla se derrita. Después de que las galletas hayan subido y estén doradas, sáquelas del horno y pincele las superficies de las galletas con mantequilla de ajo derretida. Estas esponjosas y crujientes galletas de queso con hierbas son sabrosas y se pueden comer como desayuno rociadas con miel, combinadas con verduras o servidas con algunos otros acompañamientos como la receta de pollo con salsa mexicana con queso crema italiano o la receta de dip de requesón con pimienta y aceitunas como refrigerio por la noche.</t>
  </si>
  <si>
    <t>Pour commencer la recette de biscuits aux herbes au fromage moelleux et croustillants, préchauffez le four à 400 degrés Fahrenheit/200 degrés Celsius. Pendant ce temps, préparez un plat de cuisson en le tapissant de papier sulfurisé ou si vous utilisez du papier d'aluminium sur le plat, graissez-le avec de l'huile d'olive. Mélangez la farine tout usage, la fécule de maïs, la levure chimique, le persil, le basilic, le sucre et le sel dans un bol à mélanger. Ajoutez le beurre en cubes et mélangez-le à la main jusqu'à ce que le mélange de farine aux quatre fromages ressemble à de la chapelure grossière. Ajoutez du lait froid par intermittence et pétrissez-le légèrement jusqu'à ce que la pâte se tienne ensemble. La pâte ne doit pas être sèche. Déposez la pâte sur le moule graissé en prenant deux cuillères à soupe d'une cuillère à mesurer ou d'une tasse et faites cuire au four préchauffé pendant 15 à 20 minutes jusqu'à ce qu'elle soit levée et dorée. Pendant ce temps, dans une petite casserole, préparez le beurre à l'ail en mélangeant le beurre ramolli avec l'ail émincé et l'origan séché à l'aide d'une fourchette. Après avoir bien incorporé, chauffez un peu la casserole pour que le beurre soit fondu. Une fois que les biscuits ont levé et sont dorés, retirez-les du four et badigeonnez le dessus des biscuits de beurre à l'ail fondu. Ces biscuits aux herbes, moelleux et croustillants, sont savoureux et peuvent être dégustés au petit-déjeuner arrosés de miel, combinés avec des légumes ou servis avec quelques autres accompagnements comme le poulet à la salsa mexicaine avec du fromage à la crème italien ou la recette de trempette au fromage cottage avec du poivre et des olives comme collation du soir.</t>
  </si>
  <si>
    <t>http://www.archanaskitchen.com/fluffy-crispy-cheese-herbed-biscuits-recipe</t>
  </si>
  <si>
    <t>No Bake Marie Biscuit Energy Bites Recipe</t>
  </si>
  <si>
    <t>Rezept für Energiebällchen mit Marie-Keksen ohne Backen</t>
  </si>
  <si>
    <t>Recette de boules d'énergie aux biscuits Marie sans cuisson</t>
  </si>
  <si>
    <t>Receta de bolitas energéticas de galleta María sin horno</t>
  </si>
  <si>
    <t>1 tasse de biscuits Marie en poudre, 1/2 tasse de beurre de cacahuète fondu, 1/3 tasse de miel, 1 cuillère à café d'huile de coco, 1/2 cuillère à café d'extrait de vanille (essence), 1/4 tasse de graines de sésame (graines de Til) grillées à sec</t>
  </si>
  <si>
    <t>1 cup Marie Biscuit - powdered,1/2 cup Peanut Butter - melted,1/3 cup Honey,1 teaspoon Coconut Oil,1/2 teaspoon Vanilla Extract - (essence),1/4 cup Sesame seeds (Til seeds) - dry roasted</t>
  </si>
  <si>
    <t>1 taza de galleta María en polvo, 1/2 taza de mantequilla de maní derretida, 1/3 taza de miel, 1 cucharadita de aceite de coco, 1/2 cucharadita de extracto de vainilla (esencia), 1/4 taza de semillas de sésamo (semillas de Til) tostadas en seco</t>
  </si>
  <si>
    <t xml:space="preserve">To begin making the No Bake Marie Biscuit Energy Bites, in a mixing bowl, add marie biscuit powder, peanut butter, honey, coconut oil and vanilla essence.Mix well to combine. Pinch small portions out of the biscuit and peanut mixture and roll to make small balls.Put the sesame seeds onto a plate and roll the biscuit balls in the sesame seeds.Keep the No Bake Marie Biscuit Energy Bites in the freezer for an hour.After an hour take it out and serve the No Bake Marie Biscuit Energy Bites as a healthy snack.Serve these No Bake Marie Biscuit Energy Bites with chai for an evening tea party or serve along with Cocoa Banana Almond Date Smoothie Recipe to your kids as an after school snack.
</t>
  </si>
  <si>
    <t>Para empezar a preparar las bolitas energéticas de galleta María sin horno, en un bol, añade el polvo de galleta María, la mantequilla de cacahuete, la miel, el aceite de coco y la esencia de vainilla. Mezcla bien. Toma pequeñas porciones de la mezcla de galleta y cacahuete y forma bolitas. Pon las semillas de sésamo en un plato y reboza las bolitas de galleta en ellas. Guarda las bolitas energéticas de galleta María sin horno en el congelador durante una hora. Después de una hora, sácalas y sírvelas como un tentempié saludable. Sirve estas bolitas energéticas de galleta María sin horno con chai para una merienda o sírvelas junto con la receta de batido de cacao, plátano, almendras y dátiles a tus hijos como merienda después de clase.</t>
  </si>
  <si>
    <t>Pour commencer à préparer les bouchées énergétiques Marie Biscuit sans cuisson, dans un saladier, ajoutez la poudre de biscuit Marie, le beurre de cacahuète, le miel, l'huile de coco et l'essence de vanille. Bien mélanger. Prélevez de petites portions du mélange de biscuits et de cacahuètes et roulez-les pour former de petites boules. Mettez les graines de sésame dans une assiette et roulez les boules de biscuits dans les graines de sésame. Conservez les bouchées énergétiques Marie Biscuit sans cuisson au congélateur pendant une heure. Après une heure, sortez-les et servez-les comme collation saine. Servez ces bouchées énergétiques Marie Biscuit sans cuisson avec du chai pour un goûter en soirée ou servez-les avec la recette de smoothie cacao-banane-amande-datte à vos enfants comme collation après l'école.</t>
  </si>
  <si>
    <t>http://www.archanaskitchen.com/no-bake-marie-biscuit-energy-bites-recipe</t>
  </si>
  <si>
    <t>Eggless Coffee Caramel Cake With Walnuts Recipe</t>
  </si>
  <si>
    <t>Rezept für Kaffee-Karamellkuchen ohne Eier mit Walnüssen</t>
  </si>
  <si>
    <t>Recette de gâteau caramel au café sans œufs et aux noix</t>
  </si>
  <si>
    <t>Receta de pastel de café con caramelo y nueces sin huevo</t>
  </si>
  <si>
    <t>1-1/2 tasse de Vivatta Maida, 1 tasse de sucre, 250 grammes de caillé (dahi / yaourt), 1 cuillère à café de bicarbonate de soude, 1 cuillère à café de levure chimique, 1/2 tasse d'huile de tournesol, 2 cuillères à soupe de poudre de café instantané, 2 cuillères à soupe de sauce caramel, 1/2 tasse de noix hachées</t>
  </si>
  <si>
    <t>1-1/2 Cups Vivatta Maida,1 Cup Sugar,250 grams Curd (Dahi / Yogurt),1 teaspoon Baking soda,1 teaspoon Baking powder,1/2 Cup Sunflower Oil,2 tablespoons Instant Coffee Powder,2 tablespoons Caramel Sauce,1/2 Cup Walnuts - Chopped</t>
  </si>
  <si>
    <t>1-1/2 tazas de Vivatta Maida, 1 taza de azúcar, 250 gramos de cuajada (Dahi/yogur), 1 cucharadita de bicarbonato de sodio, 1 cucharadita de polvo para hornear, 1/2 taza de aceite de girasol, 2 cucharadas de café instantáneo en polvo, 2 cucharadas de salsa de caramelo, 1/2 taza de nueces picadas</t>
  </si>
  <si>
    <t xml:space="preserve">To begin making Coffee Caramel Cake With Walnuts Recipe, preheat oven to 180 degree Celsius. Also mix the instant coffee powder with about a 1/4 cup of hot water until it dissolves. Keep aside.In a large bowl, take yogurt/curd and add sugar. Whisk well until it dissolves. Now add the baking soda, baking powder and whisk again until it starts foaming up a bit. Add oil, and then add the espresso mixture and mix well.To this mixture, add the flour and fold it in carefully. Once the mixture is well incorporated (should resemble dosa/pancake batter) add a bits of the walnuts.Pour the batter into a greased baking tin lined with parchment paper and tap until the air bubbles are gone.Sprinkle walnuts on it and bake for 30 minutes or until a toothpick inserted comes out clean.Cool the cake completely and then drizzle it with caramel sauce over it. Cut them into slices and enjoy it with a cuppa or tea.Serve Coffee Caramel Cake With Walnuts Recipe drizzled with some more caramel sauce over a cup of Maple Roasted Cinnamon Spiced Latte Recipe along with Coffee Ice Cream Recipe.
</t>
  </si>
  <si>
    <t>Para comenzar a hacer la receta de pastel de café, caramelo y nueces, precaliente el horno a 180 grados Celsius. También mezcle el café instantáneo en polvo con aproximadamente 1/4 de taza de agua caliente hasta que se disuelva. Manténgalo a un lado. En un tazón grande, tome yogur/cuajada y agregue azúcar. Bata bien hasta que se disuelva. Ahora agregue el bicarbonato de sodio, el polvo para hornear y bata nuevamente hasta que comience a hacer un poco de espuma. Agregue aceite y luego agregue la mezcla de espresso y mezcle bien. A esta mezcla, agregue la harina y dóblela con cuidado. Una vez que la mezcla esté bien incorporada (debe parecerse a la masa de dosa/panqueque), agregue un poco de nueces. Vierta la masa en un molde para hornear engrasado forrado con papel pergamino y golpee hasta que desaparezcan las burbujas de aire. Espolvoree nueces sobre ella y hornee durante 30 minutos o hasta que al insertar un palillo, este salga limpio. Enfríe el pastel por completo y luego rocíelo con salsa de caramelo por encima. Córtalos en rodajas y disfrútalos con una taza de té o de café. Sirve la receta de pastel de café y caramelo con nueces rociada con un poco más de salsa de caramelo sobre una taza de latte con especias de canela tostada y arce junto con la receta de helado de café.</t>
  </si>
  <si>
    <t>Pour commencer à préparer la recette du gâteau au caramel et au café avec des noix, préchauffez le four à 180 degrés Celsius. Mélangez également la poudre de café instantané avec environ 1/4 tasse d'eau chaude jusqu'à ce qu'elle se dissolve. Réservez. Dans un grand bol, prenez le yaourt/caillé et ajoutez le sucre. Fouettez bien jusqu'à ce qu'il se dissolve. Ajoutez maintenant le bicarbonate de soude, la levure chimique et fouettez à nouveau jusqu'à ce qu'il commence à mousser un peu. Ajoutez l'huile, puis ajoutez le mélange d'espresso et mélangez bien. À ce mélange, ajoutez la farine et incorporez-la délicatement. Une fois le mélange bien incorporé (il devrait ressembler à une pâte à dosa/crêpe), ajoutez quelques morceaux de noix. Versez la pâte dans un moule à pâtisserie graissé recouvert de papier sulfurisé et tapotez jusqu'à ce que les bulles d'air disparaissent. Saupoudrez de noix et faites cuire au four pendant 30 minutes ou jusqu'à ce qu'un cure-dent inséré en ressorte propre. Laissez refroidir complètement le gâteau, puis arrosez-le de sauce au caramel. Coupez-les en tranches et dégustez-les avec une tasse de thé ou de thé. Servez la recette de gâteau au caramel au café avec des noix arrosée d'un peu plus de sauce au caramel sur une tasse de recette de latte épicé à la cannelle rôtie à l'érable avec une recette de crème glacée au café.</t>
  </si>
  <si>
    <t>https://www.archanaskitchen.com/coffee-caramel-cake-with-walnuts-recipe-eggless</t>
  </si>
  <si>
    <t>Oatmeal Cherry Cookies Recipe</t>
  </si>
  <si>
    <t>Rezept für Haferflocken-Kirsch-Kekse</t>
  </si>
  <si>
    <t>Recette de biscuits à l'avoine et aux cerises</t>
  </si>
  <si>
    <t>Receta de galletas de avena y cereza</t>
  </si>
  <si>
    <t>2 tasses de farine tout usage (Maida), 2 tasses de flocons d'avoine instantanés (gruau), 1 cuillère à café de levure chimique, 1/2 cuillère à café de sel, 3/4 tasse de beurre, 1 tasse de sucre en poudre, 2 cuillères à soupe de caillé (dahi/yogourt), 1 cuillère à café d'extrait de vanille, 1/2 tasse de cerises en conserve</t>
  </si>
  <si>
    <t>2 cups All Purpose Flour (Maida),2 cups Instant Oats (Oatmeal),1 teaspoon Baking powder,1/2 teaspoon Salt,3/4 cup Butter,1 cup Caster Sugar,2 tablespoon Curd (Dahi / Yogurt),1 teaspoon Vanilla Extract,1/2 cup Canned Cherries</t>
  </si>
  <si>
    <t>2 tazas de harina para todo uso (Maida), 2 tazas de avena instantánea (avena), 1 cucharadita de polvo para hornear, 1/2 cucharadita de sal, 3/4 taza de mantequilla, 1 taza de azúcar extrafino, 2 cucharadas de cuajada (Dahi / yogur), 1 cucharadita de extracto de vainilla, 1/2 taza de cerezas enlatadas</t>
  </si>
  <si>
    <t xml:space="preserve">To begin with the Oatmeal Cherry Cookies Recipe first, preheat the oven to 180 C. Line a baking sheet with parchment paper and keep aside.Sift the baking powder, flour and salt in a large mixing bowl. Using a beater, combine the butter, sugar, yogurt and vanilla essence until fluffy. Gradually add the flour mixture, along with oats and beat or knead well until combined.Roll the oatmeal cookie dough into balls, make a dent in the center and place the cherries in the dent. Place the shaped oatmeal cherry cookies on the baking sheet.Bake in the oven for about 10 to 12 minutes until crisp, golden brown and the cookies are crackling.Once done remove the cherry cookies from the oven and allow them to cool. Serve the Oatmeal Cherry Cookies as a Palak Bhajia Recipe (Spinach Pakoras)
</t>
  </si>
  <si>
    <t>Para empezar con la receta de galletas de avena y cereza, precalienta el horno a 180 °C. Cubre una bandeja para hornear con papel vegetal y reserva. Tamiza el polvo para hornear, la harina y la sal en un tazón grande. Con una batidora, combina la mantequilla, el azúcar, el yogur y la esencia de vainilla hasta que quede una mezcla esponjosa. Agrega gradualmente la mezcla de harina junto con la avena y bate o amasa bien hasta que se integren. Forma bolas con la masa de galletas de avena, haz un hueco en el centro y coloca las cerezas en él. Coloca las galletas de avena y cereza en la bandeja para hornear. Hornea durante unos 10 a 12 minutos hasta que estén crujientes, doradas y crujientes. Una vez listas, retira las galletas de cereza del horno y déjalas enfriar. Sirve las galletas de avena y cereza como una receta de Palak Bhajia (Pakoras de espinacas).</t>
  </si>
  <si>
    <t>Pour commencer la recette des biscuits à l'avoine et aux cerises, préchauffez le four à 180 °C. Recouvrez une plaque de cuisson de papier sulfurisé et réservez. Tamisez la levure chimique, la farine et le sel dans un grand saladier. À l'aide d'un batteur, mélangez le beurre, le sucre, le yaourt et l'extrait de vanille jusqu'à obtenir une consistance mousseuse. Ajoutez progressivement le mélange de farine et les flocons d'avoine, puis pétrissez bien. Formez des boules avec la pâte à l'avoine, faites un creux au centre et placez les cerises dans ce creux. Disposez les biscuits à l'avoine et aux cerises ainsi formés sur la plaque de cuisson. Faites cuire au four pendant 10 à 12 minutes, jusqu'à ce qu'ils soient croustillants, dorés et crépitants. Une fois cuits, sortez les biscuits à la cerise du four et laissez-les refroidir. Servez les biscuits à l'avoine et aux cerises en pakoras aux épinards.</t>
  </si>
  <si>
    <t>http://www.archanaskitchen.com/oatmeal-cherry-cookies-recipe</t>
  </si>
  <si>
    <t>Oatmeal Banana Mini Muffins Recipe</t>
  </si>
  <si>
    <t>Rezept für Haferflocken-Bananen-Mini-Muffins</t>
  </si>
  <si>
    <t>Recette de mini muffins à l'avoine et à la banane</t>
  </si>
  <si>
    <t>Receta de mini muffins de avena y plátano</t>
  </si>
  <si>
    <t>1-1/2 tasse de farine tout usage (Maida), 3/4 tasse de flocons d'avoine instantanés (gruau), 1-1/2 cuillère à café de levure chimique, 1/4 cuillère à café de bicarbonate de soude, 1 cuillère à café de cannelle en poudre (Dalchini), 1/2 cuillère à café de sel, 2/3 tasse de sucre, 100 grammes de beurre (non salé) - température ambiante, 2 cuillères à soupe d'huile de tournesol - sans saveur, 2 œufs entiers, 1/3 tasse de lait - température ambiante, 1 cuillère à café d'extrait de vanille, 3 bananes mûres - bien mûres et bien écrasées</t>
  </si>
  <si>
    <t>1-1/2 cups All Purpose Flour (Maida),3/4 cup Instant Oats (Oatmeal),1-1/2 teaspoons Baking powder,1/4 teaspoon Baking soda,1 teaspoon Cinnamon Powder (Dalchini),1/2 teaspoon Salt,2/3 cup Sugar,100 grams Butter (unsalted) - room temperature,2 tablespoons Sunflower Oil - unflavoured,2 Whole Eggs,1/3 cup Milk - room temperature,1 teaspoon Vanilla Extract,3 Ripe Bananas - fully ripe and mashed well</t>
  </si>
  <si>
    <t>1-1/2 tazas de harina para todo uso (Maida), 3/4 taza de avena instantánea (avena), 1-1/2 cucharadita de polvo para hornear, 1/4 cucharadita de bicarbonato de sodio, 1 cucharadita de canela en polvo (Dalchini), 1/2 cucharadita de sal, 2/3 taza de azúcar, 100 gramos de mantequilla (sin sal) - temperatura ambiente, 2 cucharadas de aceite de girasol - sin sabor, 2 huevos enteros, 1/3 taza de leche - temperatura ambiente, 1 cucharadita de extracto de vainilla, 3 plátanos maduros - completamente maduros y bien machacados</t>
  </si>
  <si>
    <t xml:space="preserve">To being making the Oatmeal Banana Mini Muffins Recipe, keep all your ingredients ready.In a mixing bowl, sieve through all purpose flour, baking soda, baking powder, cinnamon powder and salt. To this add the rolled oats and combine everything well.In another bowl, mash the ripe bananas. You can leave a few pieces of bananas chunky to add texture to the muffins.In another mixing bowl, add sugar, butter and cream the mixture with an electric hand beater. The butter should be soft and at room temperature.Whisk until the butter and sugar combine well and have a creamy texture. Add eggs to the butter and sugar mixture and whisk it well.Next add oil to butter, sugar and egg mixture.Add the mashed bananas, vanilla extract and milk in the mixture. Mix everything well with a spoon.Finally add all the dry ingredients to the wet ingredients. Fold them gently until the Oatmeal Banana Mini Muffins batter is well combined.  Do not over mix. Mix only until the dry ingredients mix well with wet ingredients.The Oatmeal Banana Mini Muffins mixture is ready when you should have a smooth dropping consistency batter. Meanwhile, preheat an oven to 180 degree C. Pour the Oatmeal banana muffin mixture into a greased mini muffin pan mold and bake it for 10 to 12 minutes.After 10 minutes, take a toothpick or skewer and pierce the muffin at the center to see if the muffin has baked through. the toothpick should come out clean.If not, place it in the oven until done. For another five minutes.Serve the Oatmeal Banana Mini Muffins warm and store them in an airtight container in the refrigerator for 4 to 5 days.Serve these Oatmeal Banana Mini Muffins as a tea time snack along with Masala Chai or Adrak Chai or you can even pack it in your kids lunch box along with Grilled Mushroom Sandwich.
</t>
  </si>
  <si>
    <t>Para empezar a hacer la Receta de Mini Muffins de Avena y Plátano, ten todos tus ingredientes listos. En un tazón, tamiza la harina para todo uso, el bicarbonato de sodio, el polvo para hornear, la canela en polvo y la sal. A esto agrega la avena arrollada y combina todo bien. En otro tazón, tritura los plátanos maduros. Puedes dejar algunos trozos de plátano gruesos para agregar textura a los muffins. En otro tazón, agrega el azúcar, la mantequilla y bate la mezcla con una batidora de mano eléctrica. La mantequilla debe estar suave y a temperatura ambiente. Bate hasta que la mantequilla y el azúcar se combinen bien y tengan una textura cremosa. Agrega los huevos a la mezcla de mantequilla y azúcar y bate bien. Luego agrega el aceite a la mezcla de mantequilla, azúcar y huevo. Agrega los plátanos machacados, el extracto de vainilla y la leche a la mezcla. Mezcla todo bien con una cuchara. Finalmente, agrega todos los ingredientes secos a los ingredientes húmedos. Dóblalos suavemente hasta que la masa de Mini Muffins de Avena y Plátano esté bien combinada. No mezcles demasiado. Mezcle solo hasta que los ingredientes secos se mezclen bien con los ingredientes húmedos. La mezcla de mini muffins de avena y plátano estará lista cuando tenga una consistencia suave. Mientras tanto, precaliente un horno a 180 grados C. Vierta la mezcla de muffins de avena y plátano en un molde para mini muffins engrasado y hornéelo durante 10 a 12 minutos. Después de 10 minutos, tome un palillo o brocheta y perfore el muffin en el centro para ver si se ha horneado. El palillo debe salir limpio. Si no, colóquelo en el horno hasta que esté listo. Durante cinco minutos más. Sirva los mini muffins de avena y plátano tibios y guárdelos en un recipiente hermético en el refrigerador durante 4 a 5 días. Sirva estos mini muffins de avena y plátano como refrigerio para la hora del té junto con Masala Chai o Adrak Chai, o incluso puede empacarlos en la lonchera de sus hijos junto con un sándwich de champiñones a la parrilla.</t>
  </si>
  <si>
    <t>Pour commencer à préparer la recette des mini muffins à l'avoine et à la banane, préparez tous vos ingrédients. Dans un saladier, tamisez la farine tout usage, le bicarbonate de soude, la levure chimique, la cannelle en poudre et le sel. Ajoutez les flocons d'avoine et mélangez bien le tout. Dans un autre saladier, écrasez les bananes mûres. Vous pouvez laisser quelques morceaux de bananes en morceaux pour ajouter de la texture aux muffins. Dans un autre saladier, ajoutez le sucre, le beurre et crémez le mélange avec un batteur à main électrique. Le beurre doit être mou et à température ambiante. Fouettez jusqu'à ce que le beurre et le sucre se mélangent bien et aient une texture crémeuse. Ajoutez les œufs au mélange de beurre et de sucre et fouettez bien. Ajoutez ensuite l'huile au mélange de beurre, de sucre et d'œufs. Ajoutez les bananes écrasées, l'extrait de vanille et le lait au mélange. Mélangez bien le tout avec une cuillère. Enfin, ajoutez tous les ingrédients secs aux ingrédients humides. Pliez-les délicatement jusqu'à ce que la pâte des mini muffins à l'avoine et à la banane soit bien mélangée. Ne mélangez pas trop. Mélangez jusqu'à ce que les ingrédients secs se mélangent bien aux ingrédients humides. Le mélange de mini-muffins à l'avoine et à la banane est prêt lorsque vous devriez obtenir une pâte lisse et onctueuse. Pendant ce temps, préchauffez le four à 180 degrés C. Versez le mélange de mini-muffins à l'avoine et à la banane dans un moule à mini-muffins graissé et faites-le cuire pendant 10 à 12 minutes. Après 10 minutes, prenez un cure-dent ou une brochette et percez le muffin au centre pour voir si le muffin est bien cuit. Le cure-dent doit ressortir propre. Sinon, placez-le au four jusqu'à ce qu'il soit cuit. Pendant encore cinq minutes. Servez les mini-muffins à l'avoine et à la banane chauds et conservez-les dans un récipient hermétique au réfrigérateur pendant 4 à 5 jours. Servez ces mini-muffins à l'avoine et à la banane comme collation à l'heure du thé avec du Masala Chai ou de l'Adrak Chai ou vous pouvez même les emballer dans la boîte à lunch de vos enfants avec un sandwich aux champignons grillés.</t>
  </si>
  <si>
    <t>http://www.archanaskitchen.com/oatmeal-banana-mini-cake-recipe-with-walnuts</t>
  </si>
  <si>
    <t>Chocolate Lover's Cheesecake Recipe</t>
  </si>
  <si>
    <t>Käsekuchenrezept für Schokoladenliebhaber</t>
  </si>
  <si>
    <t>Recette de cheesecake pour les amateurs de chocolat</t>
  </si>
  <si>
    <t>Receta de tarta de queso para los amantes del chocolate</t>
  </si>
  <si>
    <t>7 à 8 biscuits Bourbon (ou biscuits cache-cache), 7 à 8 gaufrettes au chocolat (ou biscuits Bournvita), 1 cuillère à soupe de sucre en poudre, 4 à 5 cuillères à soupe de beurre fondu, 2 tasses de chocolat noir (chocolat noir non sucré, j'ai utilisé du Valrhona Couverture 70%), 1 tasse de crème fouettée épaisse, 1/4 tasse de pépites de chocolat noir (mi-sucré), 1 tasse de cerises fraîches lavées et séchées, 1 cuillère à soupe de cacao en poudre pour saupoudrer, 1 cuillère à soupe de sucre glace pour saupoudrer</t>
  </si>
  <si>
    <t>7-8 Bourbon Biscuits - (or hide and seek biscuits),7-8 Chocolate wafers - or Bournvita biscuits,1 tablespoon Caster Sugar,4-5 tablespoon Butter - melted,2 cups Dark chocolate - unsweetened dark chocolate (I used Valrhona Couverture 70%),1 cup Heavy whipping cream,1/4 cup Dark Chocolate Chips - (semisweet),1 cup Fresh Cherries - washed &amp; dried,1 tablespoon Cocoa Powder - for dusting,1 tablespoon Icing Sugar - for dusting</t>
  </si>
  <si>
    <t>7-8 galletas Bourbon (o galletas de las escondidas), 7-8 obleas de chocolate o galletas Bournvita, 1 cucharada de azúcar extrafino, 4-5 cucharadas de mantequilla derretida, 2 tazas de chocolate negro sin azúcar (yo usé Valrhona Couverture 70%), 1 taza de crema batida espesa, 1/4 taza de chispas de chocolate negro (semidulce), 1 taza de cerezas frescas lavadas y secas, 1 cucharada de cacao en polvo para espolvorear, 1 cucharada de azúcar glas para espolvorear</t>
  </si>
  <si>
    <t xml:space="preserve">To prepare Chocolate Lover's Cheesecake Recipe, get prep with all the ingredients. Start by making the crust.CrustPulse the cookies in a Grinder to make fine crumbs.In a medium bowl, combine the cookie crumbs, sugar, and melted butter.Stir with a fork until all the crumbs are moistened.Add the crumb mixture to a 6-inch Spring form pan and gently press about 1-2 inches up the sides of the pan.Press the rest of the crumbs into an even layer over the bottom of the pan.Refrigerate for 20 minutes.FillingPlace dark chocolate chunks in a bowl and set aside.Heat the cream in a microwave safe bowl for 30 seconds or until you see bubbles.Remove carefully and pour evenly on chopped chocolate.Let it sit for 4-5 minutes undisturbed.Whisk the ganache and make sure there are no lumps. You'll get smooth and silky ganache.AssemblingPour half of the filling into the cooled crust.Add chocolate chips and pour the remaining filling on top.Refrigerate until thoroughly chilled, at least 6 hours or overnight.To serve, carefully un-mold the sides of the spring form pan.Let it stand at room temperature for 20 minutes.Top with fresh cherries and dust cocoa powder and powdered sugar on top.Slice Chocolate Lover's Cheesecake Recipe and serve as a dinner party dessert.
</t>
  </si>
  <si>
    <t>Para preparar la receta de tarta de queso para amantes del chocolate, prepara todos los ingredientes. Empieza por preparar la base. Base: Tritura las galletas en un molinillo hasta obtener migas finas. En un tazón mediano, combina las migas de galleta, el azúcar y la mantequilla derretida. Revuelve con un tenedor hasta que todas las migas estén humedecidas. Agrega la mezcla de migas a un molde desmontable de 15 cm y presiona suavemente de 2,5 a 5 cm por los lados. Presiona el resto de las migas para formar una capa uniforme sobre el fondo. Refrigera durante 20 minutos. Relleno: Coloca los trozos de chocolate negro en un tazón y reserva. Calienta la crema en un recipiente apto para microondas durante 30 segundos o hasta que veas burbujas. Retira con cuidado y vierte uniformemente sobre el chocolate picado. Deja reposar de 4 a 5 minutos sin mover. Bate el ganache y asegúrate de que no queden grumos. Obtendrás un ganache suave y sedoso. Montaje: Vierte la mitad del relleno en la base fría. Agrega chispas de chocolate y vierte el resto del relleno encima. Refrigera hasta que esté completamente frío, al menos 6 horas o toda la noche. Para servir, desmolda con cuidado los lados del molde desmontable. Déjalo reposar a temperatura ambiente durante 20 minutos. Cubre con cerezas frescas y espolvorea cacao en polvo y azúcar glas por encima. Corta la receta de tarta de queso para amantes del chocolate en rebanadas y sírvela como postre para una cena.</t>
  </si>
  <si>
    <t>Pour préparer la recette du cheesecake pour les amateurs de chocolat, préparez tous les ingrédients. Commencez par préparer la croûte. Passez les biscuits au hachoir pour obtenir une chapelure fine. Dans un bol moyen, mélangez la chapelure, le sucre et le beurre fondu. Remuez à la fourchette jusqu'à ce que la chapelure soit bien humide. Versez le mélange dans un moule à charnière de 15 cm et appuyez doucement sur les bords du moule sur 2,5 à 5 cm. Étalez le reste de la chapelure en une couche uniforme au fond du moule. Réfrigérez 20 minutes. Garniture : Placez les morceaux de chocolat noir dans un bol et réservez. Faites chauffer la crème dans un bol allant au micro-ondes pendant 30 secondes ou jusqu'à ce que des bulles apparaissent. Retirez délicatement et versez uniformément sur le chocolat haché. Laissez reposer 4 à 5 minutes sans remuer. Fouettez la ganache et assurez-vous qu'il n'y a pas de grumeaux. Vous obtiendrez une ganache lisse et soyeuse. Assemblage : Versez la moitié de la garniture dans la croûte refroidie. Ajoutez les pépites de chocolat et versez le reste de la garniture par-dessus. Réfrigérez jusqu'à refroidissement complet, au moins 6 heures ou toute la nuit. Pour servir, démoulez délicatement les bords du moule à charnière. Laissez reposer à température ambiante pendant 20 minutes. Garnissez de cerises fraîches et saupoudrez de cacao en poudre et de sucre glace. Coupez la recette de cheesecake pour amateurs de chocolat en tranches et servez-la comme dessert pour un dîner.</t>
  </si>
  <si>
    <t>https://www.archanaskitchen.com/chocolate-lover-s-cheesecake-recipe</t>
  </si>
  <si>
    <t>Red Wine Sauce Over Baked Sol Fish Recipe</t>
  </si>
  <si>
    <t>Rezept für gebackenen Sol-Fisch mit Rotweinsauce</t>
  </si>
  <si>
    <t>Recette de poisson sol au four avec sauce au vin rouge</t>
  </si>
  <si>
    <t>Receta de pescado molido al horno con salsa de vino tinto</t>
  </si>
  <si>
    <t>1 lb de filet de poisson (poisson sol), 3 gousses d'ail râpées, 3 cuillères à soupe d'oignons finement hachés, 1 cuillère à soupe de beurre, sel au goût, 2 gousses d'ail râpées, 1 cuillère à café de poudre de poivre noir, 1 cuillère à café de sel, 3/4 tasse d'eau, 1/4 tasse de vin rouge (ou tout autre vin cuit), 1 brin de feuilles de thym frais, 1 cuillère à café de poudre de poivre noir, 1-1/2 cuillère à soupe de farine tout usage (Maida), sel au goût</t>
  </si>
  <si>
    <t>1 lb Fish fillet - (sol fish),3 cloves Garlic - grated,3 Tablespoons Onions - finely chopped,1 Tablespoon Butter,Salt - to taste,2 cloves Garlic - grated,1 teaspoon Black pepper powder,1 teaspoon Salt,3/4 Cup Water,1/4 Cup Red wine - (or any cooked wine),1 Sprig Fresh Thyme leaves,1 teaspoon Black pepper powder,1-1/2 Tablespoons All Purpose Flour (Maida),Salt - to taste</t>
  </si>
  <si>
    <t>1 lb de filete de pescado (pescado sol), 3 dientes de ajo rallados, 3 cucharadas de cebolla finamente picada, 1 cucharada de mantequilla, sal al gusto, 2 dientes de ajo rallados, 1 cucharadita de pimienta negra en polvo, 1 cucharadita de sal, 3/4 taza de agua, 1/4 taza de vino tinto (o cualquier vino cocido), 1 ramita de hojas frescas de tomillo, 1 cucharadita de pimienta negra en polvo, 1-1/2 cucharadas de harina para todo uso (Maida), sal al gusto</t>
  </si>
  <si>
    <t xml:space="preserve">To begin making Red Wine Sauce Over Baked Sol Fish Recipe, wash fillet 3-4 times and pat them dry.In a large mixing bowl, marinate fillets with the marination ingredients mentioned. Keep aside for 20 minutes.Preheat oven at 350 degree Fahrenheit.Meanwhile in a bowl, mix in all the ingredients for red wine sauce. Whisk well so that there are no lumps of flour in it.Heat a skillet and add butter. Once butter melts, add onions and grated garlic. Fry on medium heat till the onions get translucent.Add the sauce mixture and mix on medium heat.Once the sauce comes to boil, reduce the heat and simmer till the sauce thickens. Stir in between.Once the sauce is nice and thick, remove from the heat.Line up baking tray with silver foil/parchment paper and brush it with some oil.Place Marinated fillet and bake for about 20 minutes.Check if the fish is baked well, using a toothpick.Remove and place the baked fish on serving plate and drizzle over the prepared sauce and serve with sliced onions and more thyme leaf sprigs.Serve Red Wine Sauce Over Baked Sol Fish Recipe as an inclusion in your weekend dinner with family, along with Fresh Garden Salad Recipe and along with Red Wine Sangria Cocktail Recipe.
</t>
  </si>
  <si>
    <t>Para comenzar a hacer la receta de pescado sol al horno con salsa de vino tinto, lave los filetes 3-4 veces y séquelos. En un tazón grande, marine los filetes con los ingredientes para marinar mencionados. Déjelos reposar durante 20 minutos. Precaliente el horno a 350 grados Fahrenheit. Mientras tanto, en un tazón, mezcle todos los ingredientes para la salsa de vino tinto. Bata bien para que no queden grumos de harina. Caliente una sartén y agregue la mantequilla. Una vez que la mantequilla se derrita, agregue las cebollas y el ajo rallado. Fría a fuego medio hasta que las cebollas se vuelvan translúcidas. Agregue la mezcla de salsa y mezcle a fuego medio. Una vez que la salsa hierva, reduzca el fuego y cocine a fuego lento hasta que la salsa espese. Remueve entre comidas. Una vez que la salsa esté bien espesa, retira del fuego. Cubre una bandeja para hornear con papel de aluminio o papel vegetal y úntala con un poco de aceite. Coloca el filete marinado y hornea durante unos 20 minutos. Comprueba con un palillo si el pescado está bien horneado. Retira el pescado horneado y colócalo en un plato para servir, rocía con la salsa preparada y sírvelo con cebollas en rodajas y más ramitas de tomillo. Sirve la receta de pescado Sol al horno con salsa de vino tinto como un acompañamiento en tu cena familiar de fin de semana, junto con la receta de ensalada fresca de la huerta y la receta de cóctel de sangría con vino tinto.</t>
  </si>
  <si>
    <t>Pour commencer à préparer la sauce au vin rouge sur la recette de poisson Sol cuit au four, lavez le filet 3 à 4 fois et séchez-le. Dans un grand bol, faites mariner les filets avec les ingrédients de marinade mentionnés. Réservez pendant 20 minutes. Préchauffez le four à 350 degrés Fahrenheit. Pendant ce temps, dans un bol, mélangez tous les ingrédients de la sauce au vin rouge. Fouettez bien pour qu'il n'y ait pas de grumeaux de farine. Faites chauffer une poêle et ajoutez le beurre. Une fois le beurre fondu, ajoutez les oignons et l'ail râpé. Faites frire à feu moyen jusqu'à ce que les oignons deviennent translucides. Ajoutez le mélange de sauce et mélangez à feu moyen. Une fois la sauce à ébullition, réduisez le feu et laissez mijoter jusqu'à ce que la sauce épaississe. Remuez entre les deux. Une fois que la sauce est bien épaisse, retirez du feu. Recouvrez une plaque de cuisson de papier aluminium/parchemin et badigeonnez-la d'un peu d'huile. Placez le filet mariné et faites cuire au four pendant environ 20 minutes. Vérifiez si le poisson est bien cuit à l'aide d'un cure-dent. Retirez et placez le poisson cuit sur une assiette de service et arrosez de la sauce préparée et servez avec des oignons émincés et plus de brins de thym. Servez la sauce au vin rouge sur la recette de poisson Sol cuit au four comme une inclusion dans votre dîner de week-end en famille, avec la recette de salade fraîche du jardin et avec la recette de cocktail de sangria au vin rouge.</t>
  </si>
  <si>
    <t>http://www.archanaskitchen.com/red-wine-sauce-over-baked-sol-fish-recipe</t>
  </si>
  <si>
    <t>Tomato Basil Chicken Curry Recipe</t>
  </si>
  <si>
    <t>Rezept für Hühnchen-Curry mit Tomaten und Basilikum</t>
  </si>
  <si>
    <t>Recette de poulet au curry aux tomates et au basilic</t>
  </si>
  <si>
    <t>Receta de pollo al curry con tomates y albahaca</t>
  </si>
  <si>
    <t>1 poitrine de poulet coupée en morceaux, 2 carottes (Gajjar) coupées en diagonale, 1 oignon haché, 4 gousses d'ail hachées, 1 tasse de purée de tomates maison, 6 feuilles de basilic, 1 cuillère à soupe de romarin, 1 cuillère à soupe de feuilles de thym séchées, 2 cuillères à soupe de poudre de paprika, 1 cuillère à café de poudre de cumin (Jeera), 1 cuillère à café de sucre, sel au goût, huile d'olive extra vierge pour la cuisson</t>
  </si>
  <si>
    <t>1 Chicken breasts - cut into chunks,2 Carrot (Gajjar) - cut diagonally,1 Onion - chopped,4 cloves Garlic - chopped,1 cup Homemade tomato puree,6 Basil leaves,1 tablespoon Rosemary,1 tablespoon Dried Thyme Leaves,2 tablespoon Paprika powder,1 teaspoon Cumin powder (Jeera),1 teaspoon Sugar,Salt - to taste,Extra Virgin Olive Oil - for cooking</t>
  </si>
  <si>
    <t>1 pechuga de pollo - cortada en trozos, 2 zanahorias (Gajjar) - cortadas en diagonal, 1 cebolla - picada, 4 dientes de ajo - picados, 1 taza de puré de tomate casero, 6 hojas de albahaca, 1 cucharada de romero, 1 cucharada de hojas de tomillo secas, 2 cucharadas de pimentón en polvo, 1 cucharadita de comino en polvo (Jeera), 1 cucharadita de azúcar, sal - al gusto, aceite de oliva virgen extra - para cocinar</t>
  </si>
  <si>
    <t xml:space="preserve">To begin making the Tomato Basil Chicken Curry Recipe, heat olive oil over medium heat in a saucepan.Add chopped garlic and onions and saute them as well till the onions turn translucent.Once done add the chopped carrot, sprinkle some salt and toss well. This will help to cook the vegetable faster.Once the carrot is half cooked, add in the chicken pieces and give it a mix. Saute for about a couple of minutes just to sear the meat. Do not cook for a longer time as the chicken will dry out soon.Add tomato puree, dried seasonings like dried rosemary, thyme, cumin powder and paprika powder and mix well to combine.Once the seasonings have mixed well, add salt to taste and a teaspoon of sugar to cut the sharp tanginess.Add 1 cup of water and give it a stir and bring to a brisk boil. Turn down the heat and let the Tomato Basil Chicken Curry stew for 15 minutes until the chicken and carrots are done.Check for seasonings in the Tomato Basil Chicken Curry, if your require anything more, you can add them now and adjust the taste. Once done, turn off the heat and transfer the Tomato Basil Chicken Curry to a serving bowl and serve hot.Serve the Tomato Basil Chicken Curry Recipe along with Garlic Tossed Rice, Beetroot And Carrot Veg Balls With Sautéed Leek to create a delicious continental meal for your weekend lunch.
</t>
  </si>
  <si>
    <t>Para empezar a preparar la receta de pollo al curry con tomate y albahaca, calienta aceite de oliva a fuego medio en una cacerola. Agrega ajo y cebolla picados y sofríelos hasta que la cebolla esté translúcida. Una vez listo, agrega la zanahoria picada, espolvorea un poco de sal y revuelve bien. Esto ayudará a que la verdura se cocine más rápido. Una vez que la zanahoria esté medio cocida, agrega los trozos de pollo y revuelve. Sofríe durante un par de minutos para sellar la carne. No cocines por más tiempo, ya que el pollo se secará pronto. Agrega puré de tomate, condimentos secos como romero seco, tomillo, comino en polvo y pimentón en polvo y mezcla bien. Una vez que los condimentos estén bien mezclados, agrega sal al gusto y una cucharadita de azúcar para suavizar el sabor. Agrega 1 taza de agua, revuelve y lleva a ebullición. Baja el fuego y deja que el pollo al curry con tomate y albahaca se cocine a fuego lento durante 15 minutos hasta que el pollo y las zanahorias estén listos. Revisa los condimentos del pollo al curry con tomate y albahaca; si necesitas más, puedes agregarlos ahora y ajustar el sabor. Una vez listo, apaga el fuego y transfiere el pollo al curry con tomate y albahaca a un tazón para servir y sirve caliente. Sirve la receta de pollo al curry con tomate y albahaca junto con arroz con ajo, albóndigas de remolacha y zanahoria con puerro salteado para crear una deliciosa comida continental para tu almuerzo de fin de semana.</t>
  </si>
  <si>
    <t>Pour préparer le curry de poulet à la tomate et au basilic, faites chauffer l'huile d'olive à feu moyen dans une casserole. Ajoutez l'ail et les oignons hachés et faites-les revenir jusqu'à ce qu'ils deviennent translucides. Ajoutez ensuite la carotte hachée, salez et mélangez bien. Cela accélérera la cuisson. Une fois la carotte à moitié cuite, ajoutez les morceaux de poulet et mélangez. Faites revenir quelques minutes pour saisir la viande. Ne prolongez pas la cuisson, car le poulet se dessèchera rapidement. Ajoutez le concentré de tomates, les assaisonnements secs comme le romarin séché, le thym, le cumin et le paprika en poudre, et mélangez bien. Une fois les assaisonnements bien mélangés, salez à votre goût et ajoutez une cuillère à café de sucre pour atténuer le goût piquant. Ajoutez 250 ml d'eau, remuez et portez à ébullition. Baissez le feu et laissez mijoter le curry de poulet à la tomate et au basilic pendant 15 minutes, jusqu'à ce que le poulet et les carottes soient cuits. Vérifiez les assaisonnements du curry de poulet à la tomate et au basilic. Si vous en avez besoin, vous pouvez les ajouter maintenant et ajuster le goût. Une fois terminé, éteignez le feu et transférez le curry de poulet à la tomate et au basilic dans un bol de service et servez chaud. Servez la recette de curry de poulet à la tomate et au basilic avec du riz à l'ail, des boulettes de légumes à la betterave et à la carotte avec des poireaux sautés pour créer un délicieux repas continental pour votre déjeuner du week-end.</t>
  </si>
  <si>
    <t>http://www.archanaskitchen.com/tomato-basil-chicken-curry-recipe</t>
  </si>
  <si>
    <t>Grilled Chicken Wings Recipe</t>
  </si>
  <si>
    <t>Rezept für gegrillte Hähnchenflügel</t>
  </si>
  <si>
    <t>Recette d'ailes de poulet grillées</t>
  </si>
  <si>
    <t>Receta de alitas de pollo a la parrilla</t>
  </si>
  <si>
    <t>500 grammes d'ailes de poulet, 6 gousses d'ail finement hachées, 2 cuillères à soupe de sauce chili rouge douce et épicée (sauce tomate chili), 2 cuillères à soupe de purée de tomates maison, 1 cuillère à café de flocons de piment rouge, 1 cuillère à café de romarin, 1 cuillère à soupe de miel, 1 jus de citron, 2 cuillères à soupe d'huile de tournesol, sel - selon les besoins</t>
  </si>
  <si>
    <t>500 grams Chicken Wings,6 cloves Garlic - finely chopped,2 tablespoons Sweet and Spicy Red Chilli Sauce (Tomato Chilli Sauce),2 tablespoons Homemade tomato puree,1 teaspoon Red Chilli flakes,1 teaspoon Rosemary,1 tablespoon Honey,1 Lemon juice,2 tablespoons Sunflower Oil,Salt - as required</t>
  </si>
  <si>
    <t>500 gramos de alitas de pollo, 6 dientes de ajo finamente picados, 2 cucharadas de salsa de chile rojo agridulce (salsa de chile y tomate), 2 cucharadas de puré de tomate casero, 1 cucharadita de hojuelas de chile rojo, 1 cucharadita de romero, 1 cucharada de miel, 1 jugo de limón, 2 cucharadas de aceite de girasol, sal - según se requiera</t>
  </si>
  <si>
    <t xml:space="preserve">To prepare the Grilled Chicken Wings, into a bowl combine the garlic, sweet chilli sauce, tomato puree, chilli flakes, rosemary,  honey, lemon juice, oil and salt. Now add the chicken into this marinade mixture and allow it to rest for about 45 minutes to an hour.Heat some 2 tablespoons of oil in a grill pan and grill the chicken wings on medium to high heat, flipping frequently and brushing with the marinade for 15-20 minutes or until cooked through.Serve Grilled Chicken Wings as an appetizer, along with Mexican Chilli &amp; Cheesy Bean Dip Recipe (Refried Bean Dip Recipe)and a Chickpea Orange Salad Recipe with Sun Dried Tomatoes.
</t>
  </si>
  <si>
    <t>Para preparar las alitas de pollo a la parrilla, en un tazón combine el ajo, la salsa de chile dulce, el puré de tomate, las hojuelas de chile, el romero, la miel, el jugo de limón, el aceite y la sal. Ahora agregue el pollo a esta mezcla de marinada y déjelo reposar durante unos 45 minutos a una hora. Caliente unas 2 cucharadas de aceite en una sartén para parrilla y ase las alitas de pollo a fuego medio-alto, volteándolas con frecuencia y untándolas con la marinada durante 15 a 20 minutos o hasta que estén bien cocidas. Sirva las alitas de pollo a la parrilla como aperitivo, junto con la receta de dip de frijoles con queso y chile mexicano (receta de dip de frijoles refritos) y una receta de ensalada de garbanzos y naranja con tomates secos.</t>
  </si>
  <si>
    <t>Pour préparer les ailes de poulet grillées, dans un bol, mélanger l'ail, la sauce chili douce, la purée de tomates, les flocons de piment, le romarin, le miel, le jus de citron, l'huile et le sel. Ajoutez ensuite le poulet à ce mélange de marinade et laissez-le reposer pendant environ 45 minutes à une heure. Faites chauffer environ 2 cuillères à soupe d'huile dans une poêle à griller et faites griller les ailes de poulet à feu moyen-vif, en les retournant fréquemment et en les badigeonnant de marinade pendant 15 à 20 minutes ou jusqu'à ce qu'elles soient bien cuites. Servez les ailes de poulet grillées en apéritif, accompagnées d'une recette de trempette mexicaine au chili et aux haricots au fromage (recette de trempette aux haricots frits) et d'une recette de salade de pois chiches à l'orange et aux tomates séchées au soleil.</t>
  </si>
  <si>
    <t>https://www.archanaskitchen.com/grilled-chicken-wings-recipe</t>
  </si>
  <si>
    <t>Indian Style Jeera Biscuit Recipe</t>
  </si>
  <si>
    <t>Jeera-Keksrezept nach indischer Art</t>
  </si>
  <si>
    <t>Recette de biscuit jeera à l'indienne</t>
  </si>
  <si>
    <t>Receta de galletas jeera indias</t>
  </si>
  <si>
    <t>1 tasse de farine tout usage (Maida), 1 cuillère à café de levure chimique, 1 cuillère à café de sel, 1 cuillère à soupe de beurre - réfrigéré et coupé en petits morceaux, 1 cuillère à café de graines de cumin (Jeera) - grillées, 1/4 tasse d'eau tiède</t>
  </si>
  <si>
    <t>1 cup All Purpose Flour (Maida),1 teaspoon Baking powder,1 teaspoon Salt,1 tablespoon Butter - chilled and cut into small pieces,1 teaspoon Cumin seeds (Jeera) - roasted,1/4 cup Lukewarm Water</t>
  </si>
  <si>
    <t>1 taza de harina para todo uso (Maida), 1 cucharadita de polvo para hornear, 1 cucharadita de sal, 1 cucharada de mantequilla - fría y cortada en trozos pequeños, 1 cucharadita de semillas de comino (Jeera) - tostadas, 1/4 taza de agua tibia</t>
  </si>
  <si>
    <t xml:space="preserve">To begin making the Indian Style Jeera Biscuit Recipe, preheat the oven to 180 C. Mix self raising flour, salt and cumin seeds in a mixing bowl. Add in the chopped butter and mix all together till you get a crumb like mixture. You can use a food processor to do this. Once you get the crumb texture, knead it into a medium-soft dough using lukewarm water.Cover the dough with a with a wrap or lid and keep it aside for 15 minutes. Divide the mixture in 5 big balls and roll out each of them to 4-5 mm thickness.Use your favorite cookie-cutter and cut them into shapes. Place a parchment paper on baking tray and arrange all the Jeera Biscuit  onto it. Bake the Jeera Biscuits in preheated oven at 180 C for around 20 minutes. Take them out of the oven and place them on cooling rack.Store the Jeera Biscuits in an air-tight container and serve it as desired.Serve Indian Style Jeera Biscuit along with hot Masala Chai for your tea time break.
</t>
  </si>
  <si>
    <t>Para comenzar a hacer la Receta de Galletas Jeera al Estilo Indio, precaliente el horno a 180 C. Mezcle la harina leudante, la sal y las semillas de comino en un tazón. Agregue la mantequilla picada y mezcle todo junto hasta obtener una mezcla similar a migas. Puede usar un procesador de alimentos para hacer esto. Una vez que obtenga la textura de migas, amásela en una masa medianamente suave con agua tibia. Cubra la masa con una envoltura o tapa y déjela reposar durante 15 minutos. Divida la mezcla en 5 bolas grandes y estire cada una de ellas hasta que tengan un grosor de 4-5 mm. Use su cortador de galletas favorito y córtelas en formas. Coloque un papel pergamino en una bandeja para hornear y coloque todas las Galletas Jeera sobre él. Hornee las Galletas Jeera en un horno precalentado a 180 C durante unos 20 minutos. Sáquelas del horno y colóquelas sobre una rejilla para enfriar. Guarde las galletas Jeera en un recipiente hermético y sírvalas como desee. Sirva las galletas Jeera al estilo indio junto con Masala Chai caliente para la hora del té.</t>
  </si>
  <si>
    <t>Pour commencer à préparer la recette de biscuits Jeera à l'indienne, préchauffez le four à 180 °C. Mélangez la farine auto-levante, le sel et les graines de cumin dans un saladier. Ajoutez le beurre haché et mélangez le tout jusqu'à obtenir un mélange ressemblant à des miettes. Vous pouvez utiliser un robot culinaire pour ce faire. Une fois que vous obtenez la texture de la chapelure, pétrissez-la en une pâte moyennement molle en utilisant de l'eau tiède. Couvrez la pâte d'un film alimentaire ou d'un couvercle et laissez-la de côté pendant 15 minutes. Divisez le mélange en 5 grosses boules et étalez chacune d'elles sur une épaisseur de 4 à 5 mm. Utilisez votre emporte-pièce préféré et découpez-les en formes. Placez un papier sulfurisé sur une plaque de cuisson et disposez tous les biscuits Jeera dessus. Faites cuire les biscuits Jeera dans un four préchauffé à 180 °C pendant environ 20 minutes. Sortez-les du four et placez-les sur une grille de refroidissement. Conservez les biscuits Jeera dans un récipient hermétique et servez-les comme vous le souhaitez. Servez les biscuits Jeera à l'indienne avec du Masala Chai chaud pour votre pause thé.</t>
  </si>
  <si>
    <t>https://www.archanaskitchen.com/indian-style-jeera-biscuit-recipe</t>
  </si>
  <si>
    <t>Chicken Ranch Wraps Recipe</t>
  </si>
  <si>
    <t>Rezept für Chicken Ranch Wraps</t>
  </si>
  <si>
    <t>Recette de wraps au poulet ranch</t>
  </si>
  <si>
    <t>Receta de wraps de pollo ranchero</t>
  </si>
  <si>
    <t>4 tortillas, 2 poitrines de poulet soigneusement lavées et nettoyées, 2 cuillères à café d'origan séché, 2 oignons coupés en dés, 2 cuillères à café de flocons de piment rouge, 5 tomates cerises coupées en dés, 1 concombre coupé en dés, 1 cuillère à soupe de poudre de poivre noir, 1/2 tasse de fromage râpé, feuilles de laitue au besoin, sauce ranch, sel au goût</t>
  </si>
  <si>
    <t>4 Tortillas,2 Chicken breasts - thoroughly washed &amp; cleaned,2 teaspoon Dried oregano,2 Onion - diced,2 teaspoon Red Chilli flakes,5 Cherry tomatoes - diced,1 Cucumber - diced,1 Tablespoon Black pepper powder,1/2 Cup Cheese - grated,Lettuce leaves - as required,Ranch Sauce,Salt - to taste</t>
  </si>
  <si>
    <t>4 tortillas, 2 pechugas de pollo (bien lavadas y limpias), 2 cucharaditas de orégano seco, 2 cebollas (picadas), 2 cucharaditas de hojuelas de chile rojo, 5 tomates cherry (picados), 1 pepino (picado), 1 cucharada de pimienta negra en polvo, 1/2 taza de queso rallado, hojas de lechuga (al gusto), salsa ranch, sal (al gusto)</t>
  </si>
  <si>
    <t xml:space="preserve">To begin making the Chicken Ranch Wraps recipe, firstly marinate the chicken breast with olive oil, Italian seasoning, red chilli flakes, salt, mix well and keep it for 15 minutes. Heat a grill pan on medium flame, place the chicken breast and cook for a 6-8 minutes on each side. Make sure the chicken is well cooked from all sides.  Let it rest for 10 minutes, then cut into small strips.Heat a tawa on medium flame, cook the tortillas for a minute on each side. stack them and set aside. Now lay the tortilla sheet on a working surface, first arrange lettuce leaves.Then add chicken pieces, cherry tomato, onion, cucumber &amp; add ranch sauce on the top.In the end, sprinkle black pepper powder &amp; top it with shredded cheese. Fold the sheet and make into a wrap.Put it on a hot grill pan and cook for few minutes and serve it hot. Serve Chicken Ranch Wraps along with Maple Roasted Cinnamon Spiced Latte Recipe and a lovely dessert- Vegan Guilt Free Chocolate Espresso Mousse Recipe 
</t>
  </si>
  <si>
    <t>Para comenzar a hacer la receta de Chicken Ranch Wraps, primero marina la pechuga de pollo con aceite de oliva, condimento italiano, hojuelas de chile rojo, sal, mezcla bien y déjalo reposar durante 15 minutos. Calienta una sartén para parrilla a fuego medio, coloca la pechuga de pollo y cocina durante 6-8 minutos por cada lado. Asegúrate de que el pollo esté bien cocido por todos lados. Déjalo reposar durante 10 minutos, luego córtalo en tiras pequeñas. Calienta una tawa a fuego medio, cocina las tortillas durante un minuto por cada lado. Apílalas y reserva. Ahora coloca la hoja de tortilla sobre una superficie de trabajo, primero coloca las hojas de lechuga. Luego agrega los trozos de pollo, el tomate cherry, la cebolla, el pepino y agrega la salsa ranch en la parte superior. Al final, espolvorea pimienta negra en polvo y cúbrelo con queso rallado. Dobla la hoja y haz una envoltura. Colócala en una sartén para parrilla caliente y cocina durante unos minutos y sírvela caliente. Sirva wraps de pollo ranch junto con la receta de café con leche con especias, canela y arce tostado y un delicioso postre: mousse de chocolate espresso vegano sin remordimientos.</t>
  </si>
  <si>
    <t>Pour commencer à préparer la recette des wraps au poulet ranch, faites d'abord mariner la poitrine de poulet avec de l'huile d'olive, de l'assaisonnement italien, des flocons de piment rouge, du sel, mélangez bien et laissez reposer 15 minutes. Faites chauffer une poêle à griller à feu moyen, placez la poitrine de poulet et faites cuire 6 à 8 minutes de chaque côté. Assurez-vous que le poulet est bien cuit de tous les côtés. Laissez reposer 10 minutes, puis coupez-le en petites lanières. Faites chauffer un tawa à feu moyen, faites cuire les tortillas une minute de chaque côté. Empilez-les et réservez. Posez maintenant la feuille de tortilla sur un plan de travail, disposez d'abord les feuilles de laitue. Ajoutez ensuite les morceaux de poulet, la tomate cerise, l'oignon, le concombre et ajoutez la sauce ranch sur le dessus. À la fin, saupoudrez de poudre de poivre noir et garnissez de fromage râpé. Pliez la feuille et faites-en un wrap. Placez-le sur une poêle à griller chaude et faites cuire quelques minutes, puis servez-le chaud. Servez des wraps au poulet ranch accompagnés d'une recette de latte épicé à la cannelle rôtie à l'érable et d'un délicieux dessert : une recette de mousse au chocolat et à l'espresso végétalienne et sans culpabilité.</t>
  </si>
  <si>
    <t>http://www.archanaskitchen.com/chicken-ranch-wraps-recipe</t>
  </si>
  <si>
    <t>Olive &amp; Tofu In Harissa Curry Recipe</t>
  </si>
  <si>
    <t>Rezept für Oliven und Tofu im Harissa-Curry</t>
  </si>
  <si>
    <t>Recette d'olives et de tofu au curry harissa</t>
  </si>
  <si>
    <t>Receta de aceitunas y tofu con curry y harissa</t>
  </si>
  <si>
    <t>1 cuillère à soupe d'huile d'olive extra vierge, 6 gousses d'ail finement hachées, 1 oignon finement haché, 1 cuillère à café de poudre de cumin (Jeera), 1/3 tasse de pâte de harissa, 1 tasse de purée de tomates maison, sel au goût, 1 cuillère à soupe de miel, 1/3 tasse d'eau, 1 cuillère à café de poudre de poivre noir, 1/3 tasse d'olives noires, 200 grammes de tofu coupé en cubes</t>
  </si>
  <si>
    <t>1 tablespoon Extra Virgin Olive Oil,6 cloves Garlic - finely chopped,1 Onion - finely chopped,1 teaspoon Cumin powder (Jeera),1/3 cup Harissa paste,1 cup Homemade tomato puree,Salt - to taste,1 tablespoon Honey,1/3 cup Water,1 teaspoon Black pepper powder,1/3 cup Black olives,200 grams Tofu - cut into cubes</t>
  </si>
  <si>
    <t>1 cucharada de aceite de oliva virgen extra, 6 dientes de ajo finamente picados, 1 cebolla finamente picada, 1 cucharadita de comino en polvo (Jeera), 1/3 taza de pasta de harissa, 1 taza de puré de tomate casero, sal al gusto, 1 cucharada de miel, 1/3 taza de agua, 1 cucharadita de pimienta negra en polvo, 1/3 taza de aceitunas negras, 200 gramos de tofu cortado en cubos</t>
  </si>
  <si>
    <t xml:space="preserve">To begin making the Olive &amp; Tofu In Harissa Curry Recipe, we need to keep the harissa sauce ready. You can either use store bought harissa sauce or learn how to make Homemade Harissa Paste Recipe. Getting ahead with the Olive &amp; Tofu In Harissa CurryIn a pan heat olive oil, on medium flame, to this add the garlic and saute until you the aroma of the roasted garlic wafts in the air. Next, into the pan, add onions and saute for 3-4 minutes, until the onions begin to sweat and change colour. To this onion-garlic mixture in the pan, add the cumin powder, and salt to taste. At this stage, add the harissa sauce and give it a quick stir. Add tomato puree, salt and sugar, mix and allow this mixture to come to a single boil. Now that the onion - tomato mixture has come together, add the water and allow the harissa curry to come to a rolling boil. Add the black pepper powder, olives and tofu, cover and cook for about 2 minutes.  Give this Olive &amp; Tofu In Harissa Curry a taste and adjust accordinglyTurn off the heat, transfer the Olive &amp; Tofu In Harissa Curry to a serving bowl and serve hot. Serve Olive &amp; Tofu In Harissa Curry Recipe along with Buttered Herbed Rice Recipe, Summer Salad Recipe-Red Cabbage, Lettuce Onions &amp; Tomatoes and Creamy Garlic Mashed Potatoes Recipe for a complete meal.
</t>
  </si>
  <si>
    <t>Para comenzar a hacer la Receta de Curry de Aceitunas y Tofu en Harissa, necesitamos tener lista la salsa harissa. Puedes usar salsa harissa comprada en la tienda o aprender a hacer la Receta de Pasta Harissa Casera. Avanzando con el Curry de Aceitunas y Tofu en Harissa En una sartén calienta el aceite de oliva a fuego medio, a esto agrega el ajo y saltea hasta que el aroma del ajo asado flote en el aire. A continuación, en la sartén, agrega las cebollas y saltea durante 3-4 minutos, hasta que las cebollas comiencen a sudar y cambien de color. A esta mezcla de cebolla y ajo en la sartén, agrega el comino en polvo y sal al gusto. En esta etapa, agrega la salsa harissa y revuelve rápidamente. Agrega el puré de tomate, la sal y el azúcar, mezcla y deja que esta mezcla hierva. Ahora que la mezcla de cebolla y tomate se ha unido, agrega el agua y deja que el curry de harissa hierva. Agregue la pimienta negra en polvo, las aceitunas y el tofu, tape y cocine durante unos 2 minutos. Pruebe este curry de aceitunas y tofu en harissa y ajuste según corresponda. Apague el fuego, transfiera el curry de aceitunas y tofu en harissa a un tazón para servir y sirva caliente. Sirva la receta de curry de aceitunas y tofu en harissa junto con la receta de arroz con hierbas y mantequilla, la receta de ensalada de verano: col roja, lechuga, cebollas y tomates y la receta de puré de papas cremoso con ajo para una comida completa.</t>
  </si>
  <si>
    <t>Pour commencer à préparer la recette de curry d'olives et de tofu à la harissa, nous devons garder la sauce harissa prête. Vous pouvez soit utiliser de la sauce harissa du commerce, soit apprendre à préparer une recette de pâte d'harissa maison. Avancer avec le curry d'olives et de tofu à la harissa Dans une poêle, faites chauffer l'huile d'olive à feu moyen, ajoutez l'ail et faites revenir jusqu'à ce que l'arôme de l'ail rôti flotte dans l'air. Ensuite, dans la poêle, ajoutez les oignons et faites revenir pendant 3 à 4 minutes, jusqu'à ce que les oignons commencent à suer et à changer de couleur. À ce mélange oignon-ail dans la poêle, ajoutez la poudre de cumin et salez au goût. À ce stade, ajoutez la sauce harissa et remuez rapidement. Ajoutez la purée de tomates, le sel et le sucre, mélangez et laissez ce mélange arriver à ébullition. Maintenant que le mélange oignon-tomate est bien mélangé, ajoutez l'eau et laissez le curry à la harissa arriver à ébullition. Ajoutez la poudre de poivre noir, les olives et le tofu, couvrez et laissez cuire pendant environ 2 minutes. Goûtez ce curry d'olives et de tofu à la harissa et ajustez en conséquence. Éteignez le feu, transférez le curry d'olives et de tofu à la harissa dans un bol de service et servez chaud. Servez la recette de curry d'olives et de tofu à la harissa avec la recette de riz aux herbes au beurre, la recette de salade d'été - chou rouge, laitue, oignons et tomates et la recette de purée de pommes de terre crémeuse à l'ail pour un repas complet.</t>
  </si>
  <si>
    <t>https://www.archanaskitchen.com/olive-tofu-in-harissa-curry-recipe</t>
  </si>
  <si>
    <t>Dried Cranberry &amp; White Chocolate Chip Biscotti Recipe</t>
  </si>
  <si>
    <t>Rezept für Biscotti mit getrockneten Cranberries und weißen Schokoladenstückchen</t>
  </si>
  <si>
    <t>Recette de biscottis aux canneberges séchées et aux pépites de chocolat blanc</t>
  </si>
  <si>
    <t>Receta de biscotti de arándanos secos y chispas de chocolate blanco</t>
  </si>
  <si>
    <t>1 tasse de farine tout usage (Maida), 3/4 cuillère à café de levure chimique, 1/4 tasse de beurre (non salé) - à température ambiante, 1/4 tasse de sucre en poudre, 1 œuf entier, 1 cuillère à café d'extrait de vanille, 1/4 tasse de canneberges, 1/4 tasse de chocolat blanc - haché</t>
  </si>
  <si>
    <t>1 cup All Purpose Flour (Maida),3/4 teaspoon Baking powder,1/4 cup Butter (unsalted) - at room temperature,1/4 cup Caster Sugar,1 Whole Eggs,1 teaspoon Vanilla Extract,1/4 cup Cranberries,1/4 cup White Chocolate - chopped</t>
  </si>
  <si>
    <t>1 taza de harina para todo uso (Maida), 3/4 cucharadita de polvo para hornear, 1/4 taza de mantequilla (sin sal) - a temperatura ambiente, 1/4 taza de azúcar extrafino, 1 huevo entero, 1 cucharadita de extracto de vainilla, 1/4 taza de arándanos rojos, 1/4 taza de chocolate blanco - picado</t>
  </si>
  <si>
    <t xml:space="preserve">Start making this Dried cranberry and white chocolate chip biscotti by preheating the convection oven to 180 degree Celsius.Meanwhile, line a cookie sheet with parchment paper or grease well.Sift or whisk together the flour, baking powder, and salt. Keep aside.With an electric mixer or hand whisk, beat together the butter and sugar until light and fluffy.Add the vanilla and beat until mixed well.Add the egg and beat until incorporated.Add the flour mixture and beat until soft dough forms.Fold in the dried cranberries and chocolate chips at this stage.Shape into a log of a centimeter and more in thickness, approximately 20 x 4 cms in size.Bake in the preheated oven for 20-25 minutes until firm to touch.Remove from oven and when cool enough to handle, slice using a serrated knife into slices of about 1.5 cm thickness.Place cut side up on your lined baking sheet and bake again at the same temperature for about 18-20 minutes. They will be hardened by now.Cool completely on sheet and store Dried Cranberry &amp; White Chocolate Chip Biscotti Recipe immediately in an airtight container until required.
</t>
  </si>
  <si>
    <t>Comienza a preparar estos biscotti de arándanos secos y chispas de chocolate blanco precalentando el horno de convección a 180 grados Celsius. Mientras tanto, forra una bandeja para hornear con papel vegetal o engrásala bien. Tamiza o bate la harina, el polvo para hornear y la sal. Reserva. Con una batidora eléctrica o manual, bate la mantequilla y el azúcar hasta obtener una masa ligera y esponjosa. Agrega la vainilla y bate hasta que esté bien integrada. Agrega el huevo y bate hasta que se integre. Agrega la mezcla de harina y bate hasta formar una masa suave. Incorpora los arándanos secos y las chispas de chocolate en este punto. Forma un cilindro de un centímetro o más de grosor, de aproximadamente 20 x 4 cm. Hornea en el horno precalentado durante 20-25 minutos hasta que esté firme al tacto. Retíralo del horno y, cuando esté lo suficientemente frío como para manipularlo, córtalo con un cuchillo de sierra en rebanadas de aproximadamente 1,5 cm de grosor. Coloca el corte hacia arriba en la bandeja para hornear forrada y hornea de nuevo a la misma temperatura durante unos 18-20 minutos. Ya estarán endurecidos. Déjalos enfriar completamente en una bandeja y guarda la receta de biscotti de arándanos secos y chispas de chocolate blanco inmediatamente en un recipiente hermético hasta que los necesites.</t>
  </si>
  <si>
    <t>Commencez à préparer ces biscottis aux canneberges séchées et aux pépites de chocolat blanc en préchauffant le four à chaleur tournante à 180 °C. Pendant ce temps, recouvrez une plaque à biscuits de papier sulfurisé ou graissez-la généreusement. Tamisez ou fouettez la farine, la levure chimique et le sel. Réservez. À l'aide d'un batteur électrique ou d'un fouet à main, battez le beurre et le sucre jusqu'à obtenir une consistance légère et mousseuse. Ajoutez la vanille et battez jusqu'à ce que le mélange soit homogène. Ajoutez l'œuf et battez jusqu'à ce qu'il soit incorporé. Ajoutez le mélange de farine et battez jusqu'à obtenir une pâte souple. Incorporez les canneberges séchées et les pépites de chocolat à ce stade. Façonnez en un boudin d'un centimètre ou plus d'épaisseur, d'environ 20 x 4 cm. Faites cuire au four préchauffé pendant 20 à 25 minutes jusqu'à ce qu'il soit ferme au toucher. Retirez du four et, une fois suffisamment refroidi, coupez à l'aide d'un couteau dentelé en tranches d'environ 1,5 cm d'épaisseur. Placez la pâte, côté coupé vers le haut, sur votre plaque de cuisson recouverte de papier sulfurisé et remettez-la au four à la même température pendant environ 18 à 20 minutes. Ils seront durcis à présent. Laissez refroidir complètement sur la plaque et conservez immédiatement la recette de biscottis aux canneberges séchées et aux pépites de chocolat blanc dans un récipient hermétique jusqu'à ce que vous en ayez besoin.</t>
  </si>
  <si>
    <t>http://www.archanaskitchen.com/dried-cranberry-white-chocolate-chip-biscotti-recipe</t>
  </si>
  <si>
    <t>Pumpkin Cheesecake Recipe</t>
  </si>
  <si>
    <t>Rezept für Kürbis-Käsekuchen</t>
  </si>
  <si>
    <t>Recette de cheesecake à la citrouille</t>
  </si>
  <si>
    <t>Receta de tarta de queso y calabaza</t>
  </si>
  <si>
    <t>10 miettes de biscuits Graham écrasées, 6 cuillères à soupe de beurre (non salé), 950 ml de fromage à la crème Britannia (à température ambiante), 4 œufs entiers, 1 cuillère à café d'extrait de vanille, 350 ml de sucre, 250 ml de purée de citrouille, 125 ml de beurre (non salé), 250 ml de Vivatta Maida, 125 ml de cassonade (sucre Demerara), 1 cuillère à soupe de cannelle en poudre (Dalchini)</t>
  </si>
  <si>
    <t>10 Graham cracker crumbs - crushed,6 tablespoons Butter (unsalted),32 fl oz Britannia Cream Cheese - at room temperature,4 Whole Eggs,1 teaspoon Vanilla Extract,1-1/2 cups Sugar,1 cup Pumpkin puree,1/2 cup Butter (unsalted),1 cup Vivatta Maida,1/2 cup Brown Sugar (Demerara Sugar),1 tablespoon Cinnamon Powder (Dalchini)</t>
  </si>
  <si>
    <t>10 migas de galleta Graham trituradas, 6 cucharadas de mantequilla (sin sal), 32 onzas líquidas de queso crema Britannia (a temperatura ambiente), 4 huevos enteros, 1 cucharadita de extracto de vainilla, 1 1/2 tazas de azúcar, 1 taza de puré de calabaza, 1/2 taza de mantequilla (sin sal), 1 taza de Vivatta Maida, 1/2 taza de azúcar morena (azúcar Demerara), 1 cucharada de canela en polvo (dalchini)</t>
  </si>
  <si>
    <t xml:space="preserve">To begin making Pumpkin Cheesecake Recipe, preheat oven to 325˚F (160˚C).In a mixing bowl, combine crushed graham cracker and butter. Stir until mixture develops a wet sand texture.Cover the bottom of a greased 9x13-inch (23x33 cm) baking pan with mixture and spread evenly. Chill.In a large mixing bowl, combine cream cheese, eggs, vanilla, and sugar. Stir until mixture is smooth.Pour half of the cheesecake batter into the chilled baking pan and freeze, smoothing the top.With the remaining half of the batter, add in pumpkin puree and stir until incorporated.Spoon on pumpkin cheesecake mixture to frozen cheesecake mixture and spread evenly.Bake for about 30 minutes.In a mixing bowl, combine butter, flour, brown sugar, and cinnamon. Stir until all ingredients are evenly incorporated and mixture develops a wet sand texture.Top cheesecake with crumble topping and bake for an additional 25 minutes.Allow cheesecake to cool at room temperature.For best results refrigerate overnight once completely cooled. Serve Pumpkin Cheesecake Recipe as a dessert after a scrumptious meal of Noodle Sizzler With Garlic Pepper Sauce And Baked Vegetables Recipe or likely.
</t>
  </si>
  <si>
    <t>Para comenzar a hacer la Receta de Pastel de Queso con Calabaza, precaliente el horno a 325˚F (160˚C). En un tazón, combine la galleta graham triturada y la mantequilla. Revuelva hasta que la mezcla desarrolle una textura de arena húmeda. Cubra el fondo de un molde para hornear engrasado de 9x13 pulgadas (23x33 cm) con la mezcla y extiéndala uniformemente. Enfríe. En un tazón grande, combine el queso crema, los huevos, la vainilla y el azúcar. Revuelva hasta que la mezcla esté suave. Vierta la mitad de la masa de pastel de queso en el molde para hornear frío y congélelo, alisando la parte superior. Con la mitad restante de la masa, agregue el puré de calabaza y revuelva hasta que se incorpore. Vierta la mezcla de pastel de queso con calabaza a la mezcla de pastel de queso congelada y extiéndala uniformemente. Hornee durante unos 30 minutos. En un tazón, combine la mantequilla, la harina, el azúcar moreno y la canela. Revuelve hasta que todos los ingredientes estén bien incorporados y la mezcla adquiera una textura de arena húmeda. Cubre la tarta de queso con la cobertura crujiente y hornea durante 25 minutos más. Deja que la tarta de queso se enfríe a temperatura ambiente. Para obtener mejores resultados, refrigera durante la noche una vez que se haya enfriado por completo. Sirve la Receta de tarta de queso con calabaza como postre después de una deliciosa comida de Fideos chisporroteantes con salsa de ajo y pimienta y verduras al horno o similar.</t>
  </si>
  <si>
    <t>Pour commencer à préparer la recette du cheesecake à la citrouille, préchauffez le four à 325 °F (160 °C). Dans un bol, mélangez les biscuits Graham écrasés et le beurre. Remuez jusqu'à ce que le mélange développe une texture de sable humide. Couvrez le fond d'un moule à pâtisserie graissé de 9 x 13 pouces (23 x 33 cm) avec le mélange et étalez uniformément. Réfrigérez. Dans un grand bol, mélangez le fromage à la crème, les œufs, la vanille et le sucre. Remuer jusqu'à ce que le mélange soit lisse. Versez la moitié de la pâte à cheesecake dans le moule à pâtisserie réfrigéré et congelez, en lissant le dessus. Avec la moitié restante de la pâte, ajoutez la purée de citrouille et remuez jusqu'à ce qu'elle soit incorporée. Versez le mélange de cheesecake à la citrouille sur le mélange de cheesecake congelé et étalez uniformément. Cuire au four pendant environ 30 minutes. Dans un bol, mélangez le beurre, la farine, la cassonade et la cannelle. Remuez jusqu'à ce que tous les ingrédients soient uniformément incorporés et que le mélange développe une texture de sable humide. Recouvrez le cheesecake de crumble et faites cuire pendant 25 minutes supplémentaires. Laissez le cheesecake refroidir à température ambiante. Pour de meilleurs résultats, réfrigérez toute la nuit une fois complètement refroidi. Servez la recette de cheesecake à la citrouille en dessert après un délicieux repas de nouilles grésillantes avec sauce à l'ail et poivre et légumes cuits au four ou probablement.</t>
  </si>
  <si>
    <t>http://www.archanaskitchen.com/pumpkin-cheesecake-recipe</t>
  </si>
  <si>
    <t>Spicy Mushroom Veggie Burger Recipe</t>
  </si>
  <si>
    <t>Rezept für würzigen vegetarischen Pilzburger</t>
  </si>
  <si>
    <t>Recette de burger végétarien épicé aux champignons</t>
  </si>
  <si>
    <t>Receta de hamburguesa vegetariana picante con champiñones</t>
  </si>
  <si>
    <t>4 à 5 champignons de Paris finement tranchés, 1 oignon finement tranché, 2 gousses d'ail finement hachées, 1 piment vert finement haché, 1/4 cuillère à café de flocons de piment rouge, 1 cuillère à café de sauce soja, 1 cuillère à café de sauce piment rouge, 1 cuillère à café d'huile de tournesol, sel au goût, 2 pains à hamburger, 1 oignon coupé en rondelles, 1 tomate finement tranchée, sauce piment rouge, laitue iceberg ou feuilles de laitue, beurre pour griller les pains à hamburger</t>
  </si>
  <si>
    <t>4 to 5 Button mushrooms - thinly sliced,1 Onion - thinly sliced,2 cloves Garlic - finely chopped,1 Green Chilli - finely chopped,1/4 teaspoon Red Chilli flakes,1 teaspoon Soy sauce,1 teaspoon Red Chilli sauce,1 teaspoon Sunflower Oil,Salt - to taste,2 Burger buns,1 Onion - sliced into rings,1 Tomato - thinly sliced,Red Chilli sauce,Iceberg lettuce - or salad lettuce leaves,Butter - for toasting the burger buns</t>
  </si>
  <si>
    <t>4 a 5 champiñones en rodajas finas, 1 cebolla en rodajas finas, 2 dientes de ajo picados finamente, 1 chile verde picado finamente, 1/4 cucharadita de hojuelas de chile rojo, 1 cucharadita de salsa de soja, 1 cucharadita de salsa de chile rojo, 1 cucharadita de aceite de girasol, sal al gusto, 2 panecillos de hamburguesa, 1 cebolla cortada en aros, 1 tomate en rodajas finas, salsa de chile rojo, lechuga iceberg u hojas de lechuga para ensalada, mantequilla para tostar los panecillos de hamburguesa</t>
  </si>
  <si>
    <t xml:space="preserve">To begin making the Spicy Mushroom Veggie Burger Recipe,  first wash, clean and slice the mushrooms. Prepare the Creamy Coleslaw Recipe and keep it aside.In a small saucepan, heat the oil on medium flame, add the sliced onions and green chilli  and sauté for a few seconds until tender. Add the garlic and continue to cook. Add the sliced mushrooms, salt, soy sauce and chilli sauce and sauté on high for about 2 to 3 minutes till the mushrooms start cooking but do not allow it to wilt too much.Turn off the heat and remove the mushroom stir fry from the pan.To assemble the burgersSlice the burger buns into two horizontally.Heat a griddle; apply butter to the cut sides of the buns and toast on the pan till light brown and slightly crisp. Once done, remove from the pan.In a serving plate, place the toasted burger buns. On the bottom half of the bun, place a leaf of lettuce, spoon some mushroom stir fry on top, layer the coleslaw on top of the mushrooms., then layer the slices of tomato and onion rings.If you need extra spice, drizzle some red chilli sauce over the coleslaw.Close with the other half of the bun and serve immediately with potato chips on the side.Serve the Spicy Mushroom Veggie Burger as a wholesome and quick weeknight dinner along with Zucchini Salad Recipe with Thai Hot Chili Dressing and a glass of Watermelon Cranberry Mocktail Recipe or serve it to kids as an after school snack.
</t>
  </si>
  <si>
    <t>Para comenzar a hacer la Receta de Hamburguesa Vegetariana con Champiñones Picantes, primero lava, limpia y corta los champiñones. Prepara la Receta de Ensalada de Col Cremosa y déjala a un lado. En una cacerola pequeña, calienta el aceite a fuego medio, agrega las cebollas en rodajas y el chile verde y saltea durante unos segundos hasta que estén tiernos. Agrega el ajo y continúa cocinando. Agrega los champiñones en rodajas, la sal, la salsa de soja y la salsa de chile y saltea a fuego alto durante aproximadamente 2 a 3 minutos hasta que los champiñones comiencen a cocinarse, pero no dejes que se marchiten demasiado. Apaga el fuego y retira el salteado de champiñones de la sartén. Para armar las hamburguesas Corta los panecillos de hamburguesa en dos horizontalmente. Calienta una plancha; aplica mantequilla a los lados cortados de los panecillos y tuesta en la sartén hasta que estén ligeramente dorados y ligeramente crujientes. Una vez hecho esto, retíralos de la sartén. En un plato para servir, coloca los panecillos de hamburguesa tostados. En la mitad inferior del pan, coloca una hoja de lechuga, vierte un poco de champiñones salteados encima, coloca la ensalada de col sobre los champiñones y luego coloca las rodajas de tomate y los aros de cebolla. Si necesitas más picante, rocía un poco de salsa de chile rojo sobre la ensalada de col. Cierra con la otra mitad del pan y sirve inmediatamente con patatas fritas al lado. Sirve la hamburguesa vegetariana picante de champiñones como una cena saludable y rápida entre semana junto con la receta de ensalada de calabacín con aderezo de chile picante tailandés y un vaso de la receta de cóctel sin alcohol de sandía y arándanos o sírvela a los niños como merienda después de la escuela.</t>
  </si>
  <si>
    <t>Pour commencer à préparer la recette de burger végétarien aux champignons épicés, lavez, nettoyez et coupez d'abord les champignons en tranches. Préparez la recette de salade de chou crémeuse et réservez-la. Dans une petite casserole, faites chauffer l'huile à feu moyen, ajoutez les oignons émincés et le piment vert et faites revenir quelques secondes jusqu'à ce qu'ils soient tendres. Ajoutez l'ail et poursuivez la cuisson. Ajoutez les champignons émincés, le sel, la sauce soja et la sauce chili et faites revenir à feu vif pendant environ 2 à 3 minutes jusqu'à ce que les champignons commencent à cuire, mais ne les laissez pas trop flétrir. Éteignez le feu et retirez le sauté de champignons de la poêle. Pour assembler les hamburgers Coupez les pains à hamburger en deux horizontalement. Faites chauffer une plaque chauffante ; appliquez du beurre sur les côtés coupés des pains et faites-les griller dans la poêle jusqu'à ce qu'ils soient légèrement dorés et légèrement croustillants. Une fois cuit, retirez de la poêle. Dans une assiette de service, placez les pains à hamburger grillés. Sur la moitié inférieure du pain, placez une feuille de laitue, déposez dessus un peu de sauté de champignons, superposez la salade de chou sur les champignons, puis superposez les tranches de tomates et les rondelles d'oignon. Si vous avez besoin de plus de piquant, arrosez la salade de chou d'un peu de sauce chili rouge. Fermez avec l'autre moitié du pain et servez immédiatement avec des chips de pommes de terre à côté. Servez le burger végétarien aux champignons épicés comme un dîner de semaine sain et rapide avec une recette de salade de courgettes avec vinaigrette chili thaï et un verre de recette de cocktail sans alcool à la pastèque et aux canneberges ou servez-le aux enfants comme collation après l'école.</t>
  </si>
  <si>
    <t>http://www.archanaskitchen.com/spicy-mushroom-veggie-burger-recipe</t>
  </si>
  <si>
    <t>Healthy Amaranth Potato Thyme Croquette Recipe</t>
  </si>
  <si>
    <t>Rezept für gesunde Amaranth-Kartoffel-Thymian-Kroketten</t>
  </si>
  <si>
    <t>Recette de croquettes saines à l'amarante, aux pommes de terre et au thym</t>
  </si>
  <si>
    <t>Receta de croquetas saludables de amaranto, patata y tomillo</t>
  </si>
  <si>
    <t>4 pommes de terre (Aloo) - cuites dures, 3/4 tasse de graines d'amarante (Rajgira) - rôties, 3 cuillères à soupe de feuilles de thym frais - hachées, 2 piments verts - finement hachés, 3 gousses d'ail - râpées, 1 cuillère à soupe de poudre de poivre noir, 1 cuillère à soupe de beurre, 1 cuillère à soupe d'huile de tournesol - plus un peu plus pour badigeonner, sel - au goût</t>
  </si>
  <si>
    <t>4 Potatoes (Aloo) - hard-boiled,3/4 cup Amaranth Seeds (Rajgira) - roasted,3 tablespoon Fresh Thyme leaves - chopped,2 Green Chillies - finely chopped,3 cloves Garlic - grated,1 tablespoon Black pepper powder,1 tablespoon Butter,1 tablespoon Sunflower Oil - plus little more for brushing,Salt - to taste</t>
  </si>
  <si>
    <t>4 papas (Aloo) - hervidas, 3/4 taza de semillas de amaranto (Rajgira) - tostadas, 3 cucharadas de hojas de tomillo fresco - picadas, 2 chiles verdes - picados finamente, 3 dientes de ajo - rallados, 1 cucharada de pimienta negra en polvo, 1 cucharada de mantequilla, 1 cucharada de aceite de girasol - y un poco más para untar, sal - al gusto</t>
  </si>
  <si>
    <t xml:space="preserve">To begin making the Amaranth Potato Thyme Croquette, preheat your oven at 180 C.The potatoes should be hard-boiled, it must not be mushy. Grate the potatoes and set aside.On a low flame, roast the Amaranth seeds until it crackles.Heat a skillet, add the oil followed by the chopped green chilli, grated garlic and chopped thyme.Add the grated potatoes, butter, salt, crushed pepper and mix well to combine. Add the roasted amaranth seeds into the potato mixture and stir until well combined.Shape the Amaranth Potato Thyme mixture in to lemon-sized balls or using your palm make an oval shape croquette. Roll this ball over the Amaranth seeds until coated on all sides.Brush will the Croquette with oil and bake for about 20 minutes in oven mark until crisp and evenly browned on all sides.Serve the Amaranth Potato Thyme Croquettes along with masala chai for a tea time snack during the monsoons or even pack them into your kids school lunch box.
</t>
  </si>
  <si>
    <t>Para empezar a hacer la Croqueta de Amaranto, Papa y Tomillo, precalienta tu horno a 180 C. Las papas deben estar duras, no deben estar blandas. Ralla las papas y reserva. A fuego lento, tuesta las semillas de amaranto hasta que crujan. Calienta una sartén, agrega el aceite seguido del chile verde picado, el ajo rallado y el tomillo picado. Agrega las papas ralladas, la mantequilla, la sal, la pimienta molida y mezcla bien para combinar. Agrega las semillas de amaranto tostadas a la mezcla de papa y revuelve hasta que estén bien combinadas. Forma la mezcla de Amaranto, Papa y Tomillo en bolas del tamaño de un limón o usando la palma de la mano haz una croqueta de forma ovalada. Enrolle esta bola sobre las semillas de amaranto hasta que esté cubierta por todos lados. Unte la croqueta con aceite y hornee durante unos 20 minutos en el horno hasta que esté crujiente y dorada uniformemente por todos lados. Sirva las croquetas de amaranto, patata y tomillo junto con masala chai como refrigerio a la hora del té durante los monzones o incluso póngalas en la lonchera escolar de sus hijos.</t>
  </si>
  <si>
    <t>Pour commencer à préparer la croquette de pommes de terre à l'amarante et au thym, préchauffez votre four à 180 °C. Les pommes de terre doivent être dures, elles ne doivent pas être molles. Râpez les pommes de terre et réservez. À feu doux, faites rôtir les graines d'amarante jusqu'à ce qu'elles crépitent. Faites chauffer une poêle, ajoutez l'huile puis le piment vert haché, l'ail râpé et le thym haché. Ajoutez les pommes de terre râpées, le beurre, le sel, le poivre concassé et mélangez bien. Ajoutez les graines d'amarante grillées au mélange de pommes de terre et remuez jusqu'à ce que le tout soit bien mélangé. Façonnez le mélange de pommes de terre à l'amarante et au thym en boules de la taille d'un citron ou, à l'aide de votre paume, faites une croquette de forme ovale. Roulez cette boule sur les graines d'amarante jusqu'à ce qu'elles soient enrobées de tous les côtés. Badigeonnez la croquette d'huile et faites-la cuire pendant environ 20 minutes au four jusqu'à ce qu'elle soit croustillante et uniformément dorée de tous les côtés. Servez les croquettes d'amarante, de pommes de terre et de thym avec du masala chai pour une collation à l'heure du thé pendant la mousson ou même mettez-les dans la boîte à lunch de vos enfants.</t>
  </si>
  <si>
    <t>http://www.archanaskitchen.com/healthy-amaranth-potato-thyme-croquette-recipe</t>
  </si>
  <si>
    <t>Herbed Buttered Rice Recipe With Green Peas</t>
  </si>
  <si>
    <t>Rezept für Kräuterbutterreis mit grünen Erbsen</t>
  </si>
  <si>
    <t>Recette de riz au beurre aux herbes et aux petits pois</t>
  </si>
  <si>
    <t>Receta de arroz con mantequilla, hierbas y guisantes</t>
  </si>
  <si>
    <t>1 tasse de riz lavé, 1/2 tasse de pois verts (Matar) cuits à la vapeur, 1 cuillère à café de graines de cumin (Jeera), 4 cuillères à soupe de beurre, 4 gousses d'ail finement hachées, 2 cuillères à café d'origan séché, 1 cuillère à café de feuilles de thym séchées, 2 cuillères à café de flocons de piment rouge, sel et poivre au goût</t>
  </si>
  <si>
    <t>1 cup Rice - washed,1/2 cup Green peas (Matar) - steamed,1 teaspoon Cumin seeds (Jeera),4 tablespoons Butter,4 cloves Garlic - finely chopped,2 teaspoons Dried oregano,1 teaspoon Dried Thyme Leaves,2 teaspoons Red Chilli flakes,Salt and Pepper - to taste</t>
  </si>
  <si>
    <t>1 taza de arroz - lavado, 1/2 taza de guisantes verdes (Matar) - al vapor, 1 cucharadita de semillas de comino (Jeera), 4 cucharadas de mantequilla, 4 dientes de ajo - finamente picados, 2 cucharaditas de orégano seco, 1 cucharadita de hojas de tomillo secas, 2 cucharaditas de hojuelas de chile rojo, sal y pimienta - al gusto</t>
  </si>
  <si>
    <t xml:space="preserve">To begin making the Herbed Buttered Rice Recipe With Green Peas, we will first pressure cook the washed rice, along with a little salt and 2 cups of water.Pressure cook the rice for 2 whistle and switch off the heat. Allow the pressure to release naturally.Once the pressure released, open the pressure cooker and fluff the rice with a work and allow it to cool slightly.Heat a sauce pan with butter, add cumin seeds and allow it splutter for few seconds.Add in green peas, dried oregano, dried thyme leaves, chilli flakes, salt and pepper and stir fry for 2 minutes. Finally add the cooked rice and toss the herbed butter rice well.Check the salt and seasoning and adjust according to taste.Turn off the heat and transfer the Herbed Buttered Rice Recipe With Green Peas into a serving bowl and serve hot.Serve the Herbed Buttered Rice With Green Peas along with Crispy &amp; Spicy Paneer , Thai Yellow curry, and a Tiramisu Recipe for a special weekend dinner.
</t>
  </si>
  <si>
    <t>Para empezar a preparar la receta de arroz con mantequilla y hierbas con guisantes, primero cocinaremos a presión el arroz lavado con un poco de sal y 2 tazas de agua. Cocine a presión el arroz durante 2 silbidos y apague el fuego. Deje que la presión se libere naturalmente. Una vez liberada la presión, abra la olla a presión, esponje el arroz con un tenedor y déjelo enfriar un poco. Caliente una cacerola con mantequilla, agregue semillas de comino y deje que chisporrotee durante unos segundos. Agregue los guisantes, el orégano seco, las hojas de tomillo seco, las hojuelas de chile, sal y pimienta y saltee durante 2 minutos. Finalmente, agregue el arroz cocido y mezcle bien el arroz con mantequilla y hierbas. Compruebe la sal y el condimento y ajuste al gusto. Apague el fuego y transfiera la Receta de arroz con mantequilla y hierbas con guisantes verdes a un tazón para servir y sirva caliente. Sirva el arroz con mantequilla y hierbas con guisantes verdes junto con paneer crujiente y picante, curry amarillo tailandés y una Receta de tiramisú para una cena especial de fin de semana.</t>
  </si>
  <si>
    <t>Pour commencer la recette de riz au beurre aux herbes et aux petits pois, nous allons d'abord cuire le riz lavé sous pression, avec un peu de sel et 500 ml d'eau. Cuire le riz sous pression pendant 2 sifflets, puis éteindre le feu. Laisser la pression se relâcher naturellement. Une fois la pression relâchée, ouvrir l'autocuiseur et aérer le riz avec un fouet, puis le laisser refroidir légèrement. Faire chauffer une casserole avec du beurre, ajouter les graines de cumin et laisser mijoter quelques secondes. Ajouter les petits pois, l'origan séché, les feuilles de thym séchées, les flocons de piment, le sel et le poivre, et faire sauter pendant 2 minutes. Ajoutez enfin le riz cuit et mélangez bien le riz au beurre aux herbes. Vérifiez le sel et l'assaisonnement et ajustez selon votre goût. Éteignez le feu et transférez la recette de riz au beurre aux herbes avec des petits pois dans un bol de service et servez chaud. Servez le riz au beurre aux herbes avec des petits pois avec du paneer croustillant et épicé, du curry jaune thaï et une recette de tiramisu pour un dîner de week-end spécial.</t>
  </si>
  <si>
    <t>http://www.archanaskitchen.com/herbed-buttered-rice-recipe-with-green-peas</t>
  </si>
  <si>
    <t>Eggless Marble Cake Recipe</t>
  </si>
  <si>
    <t>Rezept für Marmorkuchen ohne Eier</t>
  </si>
  <si>
    <t>Recette de gâteau marbré sans œufs</t>
  </si>
  <si>
    <t>Receta de pastel marmolado sin huevo</t>
  </si>
  <si>
    <t>225 grammes de farine tout usage (Maida), 3 cuillères à soupe de poudre de graines de lin (farine de lin), 1-1/2 cuillère à café de levure chimique, 225 grammes de beurre, 200 grammes de sucre en poudre, 1/2 tasse de lait, 1 cuillère à café d'extrait de vanille, 3 cuillères à soupe de cacao en poudre</t>
  </si>
  <si>
    <t>225 grams All Purpose Flour (Maida),3 tablespoons Flax seed powder (flax meal),1-1/2 teaspoons Baking powder,225 grams Butter,200 grams Caster Sugar,1/2 cup Milk,1 teaspoon Vanilla Extract,3 tablespoons Cocoa Powder</t>
  </si>
  <si>
    <t>225 gramos de harina para todo uso (Maida), 3 cucharadas de polvo de semilla de lino (harina de lino), 1-1/2 cucharaditas de polvo de hornear, 225 gramos de mantequilla, 200 gramos de azúcar extrafino, 1/2 taza de leche, 1 cucharadita de extracto de vainilla, 3 cucharadas de cacao en polvo</t>
  </si>
  <si>
    <t xml:space="preserve">To begin making the Eggless Marble Cake, prep all the ingredient and keep them ready.In a mixing bowl, add the flax seed powder and 9 tablespoons water and stir well to combine. Allow this mixture to rest for 10 minutes. After 10 minutes you will notice that the mixture has become slimy like an egg. This mixer is called the flax meal egg replacer or the flax egg.In a mixing bowl, cream the butter and sugar till light and fluffy. Add milk and mix well until creamy.Add the flour, baking powder, vanilla essence and flax egg to the sugar butter mix. Mix gently such that everything blends well.Now divide the cake dough to 2 parts. Add the cocoa powder to one portion of the cake batter and make a smooth chocolate mix.Now both vanilla and chocolate cake batter is ready.Preheat the oven at 170 C for 10 minutes. Line the baking tray with butter paper and grease with oil and keep aside.Pour all of the white batter into the prepared pan. Top with the chocolate batter in circles as shown below. Then with a fork/knife make marble like patterns gently combining both the eggless chocolate marble cake batter to give it a marble like finish.Place the eggless chocolate marble cake into the preheated oven (170 C) for 40 minutes or until a toothpick inserted comes out clean.Set eggless chocolate marble cake aside to cool down completely on a wire rack and then cut into slices.Serve Eggless Marble Cake during your tea part along with Carrot and Peas Sandwich and Masala Tea. You can also pack it in your kids snack box for a sweet delight.
</t>
  </si>
  <si>
    <t>Para empezar a preparar el pastel marmolado sin huevo, prepara todos los ingredientes y tenlos listos. En un bol, añade la linaza en polvo y 9 cucharadas de agua y remueve bien. Deja reposar la mezcla durante 10 minutos. Después de 10 minutos, notarás que la mezcla se ha vuelto viscosa como un huevo. Esta mezcla se llama sustituto de huevo de harina de lino o huevo de lino. En un bol, bate la mantequilla y el azúcar hasta obtener una mezcla ligera y esponjosa. Agrega la leche y mezcla bien hasta obtener una mezcla cremosa. Incorpora la harina, la levadura química, la esencia de vainilla y el huevo de lino a la mezcla de azúcar y mantequilla. Mezcla suavemente hasta que todo se integre bien. Divide la masa del pastel en dos partes. Añade el cacao en polvo a una porción de la masa del pastel y prepara una mezcla de chocolate suave. La masa de vainilla y chocolate ya está lista. Precalienta el horno a 170 °C durante 10 minutos. Cubre la bandeja para hornear con papel manteca, engrásala con aceite y reserva. Vierte toda la masa blanca en el molde preparado. Cubre con la masa de chocolate formando círculos como se muestra a continuación. Luego, con un tenedor o cuchillo, crea patrones marmolados combinando suavemente la masa del pastel marmolado de chocolate sin huevo para darle un acabado marmolado. Coloca el pastel marmolado de chocolate sin huevo en el horno precalentado (170 °C) durante 40 minutos o hasta que al insertar un palillo, este salga limpio. Deja enfriar completamente el pastel marmolado de chocolate sin huevo sobre una rejilla y luego córtalo en rebanadas. Sirve el pastel marmolado sin huevo durante la merienda junto con el sándwich de zanahoria y guisantes y el té masala. También puedes empacarlo en la merienda de tus hijos para una delicia dulce.</t>
  </si>
  <si>
    <t>Pour préparer le gâteau marbré sans œufs, préparez tous les ingrédients et réservez-les. Dans un saladier, ajoutez la poudre de graines de lin et 9 cuillères à soupe d'eau, puis mélangez bien. Laissez reposer 10 minutes. Au bout de 10 minutes, vous remarquerez que le mélange est visqueux comme un œuf. Ce mélange est appelé substitut d'œuf à la farine de lin ou œuf de lin. Dans un saladier, battez le beurre et le sucre jusqu'à obtenir une consistance légère et mousseuse. Ajoutez le lait et mélangez bien jusqu'à obtenir une consistance crémeuse. Ajoutez la farine, la levure chimique, l'extrait de vanille et l'œuf de lin au mélange sucre-beurre. Mélangez délicatement pour bien mélanger. Divisez ensuite la pâte à gâteau en deux. Ajoutez le cacao en poudre à une portion de pâte à gâteau et obtenez une pâte chocolatée lisse. Les pâtes à gâteau vanille et chocolat sont prêtes. Préchauffez le four à 170 °C pendant 10 minutes. Chemisez une plaque de cuisson de papier sulfurisé, graissez-la d'huile et réservez. Versez toute la pâte blanche dans le moule préparé. Garnissez de pâte au chocolat en cercles, comme indiqué ci-dessous. Ensuite, à l'aide d'une fourchette ou d'un couteau, créez des motifs marbrés en mélangeant délicatement la pâte à gâteau marbré au chocolat sans œufs pour lui donner une finition marbrée. Placez le gâteau marbré au chocolat sans œufs dans le four préchauffé (170 °C) pendant 40 minutes ou jusqu'à ce qu'un cure-dent inséré en ressorte propre. Laissez le gâteau marbré au chocolat sans œufs refroidir complètement sur une grille, puis coupez-le en tranches. Servez le gâteau marbré sans œufs pendant votre goûter, accompagné d'un sandwich aux carottes et aux petits pois et d'un thé Masala. Vous pouvez également l'emporter dans la boîte à goûter de vos enfants pour un délice sucré.</t>
  </si>
  <si>
    <t>https://www.archanaskitchen.com/eggless-marble-cake-recipe</t>
  </si>
  <si>
    <t>Eggless Whole Wheat Tutti Frutti Cake Recipe</t>
  </si>
  <si>
    <t>Eiloses Vollkorn-Tutti-Frutti-Kuchenrezept</t>
  </si>
  <si>
    <t>Recette de gâteau Tutti Frutti au blé entier sans œufs</t>
  </si>
  <si>
    <t>Receta de pastel de tutti frutti integral sin huevo</t>
  </si>
  <si>
    <t>2-1/4 tasses de farine de blé entier, 3/4 tasse de cassonade (sucre Demerara), 1 cuillère à café de levure chimique, 1/2 cuillère à café de bicarbonate de soude, 1/2 cuillère à café de sel, 3/4 tasse de caillé (dahi / yaourt) - à température ambiante, 3/4 tasse d'eau, 1/3 tasse d'huile de tournesol, 1 cuillère à soupe d'extrait de vanille, 1 tasse de Tutti frutti</t>
  </si>
  <si>
    <t>2-1/4 cups Whole Wheat Flour,3/4 cup Brown Sugar (Demerara Sugar),1 teaspoon Baking powder,1/2 teaspoon Baking soda,1/2 teaspoon Salt,3/4 cup Curd (Dahi / Yogurt) - at room temperature,3/4 cup Water,1/3 cup Sunflower Oil,1 tablespoon Vanilla Extract,1 cup Tutti frutti</t>
  </si>
  <si>
    <t>2-1/4 tazas de harina integral, 3/4 taza de azúcar morena (azúcar Demerara), 1 cucharadita de polvo para hornear, 1/2 cucharadita de bicarbonato de sodio, 1/2 cucharadita de sal, 3/4 taza de cuajada (Dahi / yogur) - a temperatura ambiente, 3/4 taza de agua, 1/3 taza de aceite de girasol, 1 cucharada de extracto de vainilla, 1 taza de Tutti frutti</t>
  </si>
  <si>
    <t xml:space="preserve">To begin making the Eggless Whole Wheat Tutti Frutti Cake Recipe, preheat your oven to the 180 C / 350 F .Grease and flour a 9 x 4 inch loaf pan. Mix together the yoghurt, water, oil and vanilla. Keep aside.In a large bowl, sift the flour. Whisk in the sugar, baking soda, baking powder and salt.Whisk in the tutti fruity. Add the liquid ingredients and whisk until smooth.Pour into the prepared pan. Bake for 45 to 48 minutes or until a toothpick inserted in centre comes out clean.Cool in pan for 10 minutes, and then completely on a wire rack.Serve Eggless Whole Wheat Tutti Fruity Cake as a dessert after your meal or as a tea time snack with a hot cup of masala chai.
</t>
  </si>
  <si>
    <t>Para empezar a preparar la receta del pastel Tutti Frutti de trigo integral sin huevo, precalienta el horno a 180 °C (350 °F). Engrasa y enharina un molde para pan de 23 x 10 cm. Mezcla el yogur, el agua, el aceite y la vainilla. Reserva. En un tazón grande, tamiza la harina. Incorpora el azúcar, el bicarbonato, la levadura en polvo y la sal, batiendo. Incorpora el tutti fruti. Agrega los ingredientes líquidos y bate hasta que quede una mezcla suave. Vierte la mezcla en el molde preparado. Hornea de 45 a 48 minutos o hasta que al insertar un palillo en el centro, este salga limpio. Deja enfriar en el molde durante 10 minutos y luego completamente sobre una rejilla. Sirve el pastel Tutti Frutti de trigo integral sin huevo como postre después de la comida o como merienda con una taza de masala chai caliente.</t>
  </si>
  <si>
    <t>Pour commencer à préparer la recette du gâteau Tutti Frutti au blé entier sans œufs, préchauffez votre four à 180 °C / 350 °F. Graissez et farinez un moule à cake de 23 x 10 cm. Mélangez le yaourt, l'eau, l'huile et la vanille. Réservez. Dans un grand bol, tamisez la farine. Incorporez le sucre, le bicarbonate de soude, la levure chimique et le sel en fouettant. Incorporez le Tutti Fruity. Ajoutez les ingrédients liquides et fouettez jusqu'à obtenir une consistance lisse. Versez dans le moule préparé. Faites cuire au four pendant 45 à 48 minutes ou jusqu'à ce qu'un cure-dent inséré au centre en ressorte propre. Laissez refroidir dans le moule pendant 10 minutes, puis placez-le complètement sur une grille. Servez le gâteau Tutti Fruity au blé entier sans œufs en dessert après votre repas ou en guise de goûter avec une tasse de masala chai bien chaud.</t>
  </si>
  <si>
    <t>http://www.archanaskitchen.com/tutti-frutti-cake-recipe</t>
  </si>
  <si>
    <t>Carrot Ribbon Salad With Asian Sesame Dressing Recipe</t>
  </si>
  <si>
    <t>Karotten-Bandsalat mit asiatischem Sesamdressing Rezept</t>
  </si>
  <si>
    <t>Recette de salade de rubans de carottes avec vinaigrette asiatique au sésame</t>
  </si>
  <si>
    <t>Receta de ensalada de cintas de zanahoria con aderezo de sésamo asiático</t>
  </si>
  <si>
    <t>2 carottes (Gajjar), 1 oignon rouge - tranché, 2 gousses d'ail - finement hachées (ou ciboulette), 1/2 pouce de gingembre - finement râpé, 2 cuillères à soupe d'huile de sésame (Gingelly), 2 cuillères à soupe d'huile d'arachide, 2 cuillères à soupe de vinaigre de riz, 1-1/2 cuillère à soupe de miel, 1 cuillère à café de poudre de poivre noir - écrasé, 1 piment rouge frais - finement tranché, 2 cuillères à café de jus d'orange frais - ou de jus de citron, sel - au goût, 3 brins de feuilles de coriandre (Dhania) - hachées, 2 brins de feuilles de menthe (Pudina) - hachées, 1 cuillère à soupe de graines de sésame (graines de Til) - légèrement grillées</t>
  </si>
  <si>
    <t>2 Carrots (Gajjar),1 Red onion - sliced,2 cloves Garlic - finely minced (or chives),1/2 inch Ginger - finely grated,2 tablespoon Sesame (Gingelly) Oil,2 tablespoon Groundnut oil,2 tablespoon Rice Wine Vinegar,1-1/2 tablespoon Honey,1 teaspoon Black pepper powder - crushed,1 Fresh Red Chilli - finely sliced,2 teaspoon Fresh orange juice - or lemon juice,Salt - to taste,3 sprig Coriander (Dhania) Leaves - chopped,2 sprig Mint Leaves (Pudina) - chopped,1 tablespoon Sesame seeds (Til seeds) - lightly toasted</t>
  </si>
  <si>
    <t>2 zanahorias (Gajjar), 1 cebolla roja en rodajas, 2 dientes de ajo finamente picados (o cebollino), 1/2 pulgada de jengibre finamente rallado, 2 cucharadas de aceite de sésamo (Gingelly), 2 cucharadas de aceite de maní, 2 cucharadas de vinagre de vino de arroz, 1-1/2 cucharada de miel, 1 cucharadita de pimienta negra en polvo triturada, 1 chile rojo fresco en rodajas finas, 2 cucharaditas de jugo de naranja fresco o jugo de limón, sal al gusto, 3 ramitas de hojas de cilantro (Dhania) picadas, 2 ramitas de hojas de menta (Pudina) picadas, 1 cucharada de semillas de sésamo (semillas de Til) ligeramente tostadas</t>
  </si>
  <si>
    <t xml:space="preserve">To begin making the Carrot Ribbon Salad with Asian Sesame Dressing, first trim the ends of the carrots.Using a vegetable peeler, peel the outer skin and discard it.Keep peeling around the carrots, so that you get thin, long strips or ribbons.In a small bowl or a glass bottle, whisk together the oils, vinegar, honey, black pepper, lime juice, garlic, ginger, salt and red chilli. Make sure that everything is mixed properly.In a salad bowl, toss together the carrot ribbons, sliced onion, coriander, mint and the above mixture.Keep aside for 5 minutes and then garnish it with the sesame seeds.Serve Carrot Ribbon Salad With Asian Sesame Dressing with Broccoli Pesto pasta for a light weekday dinner.
</t>
  </si>
  <si>
    <t>Para empezar a preparar la ensalada de cintas de zanahoria con aderezo de sésamo asiático, primero corta los extremos de las zanahorias. Con un pelador de verduras, pela la piel exterior y deséchala. Sigue pelando alrededor de las zanahorias para obtener tiras o cintas finas y largas. En un tazón pequeño o una botella de vidrio, bate los aceites, el vinagre, la miel, la pimienta negra, el jugo de lima, el ajo, el jengibre, la sal y el chile rojo. Asegúrate de que todo esté bien mezclado. En una ensaladera, mezcla las cintas de zanahoria, la cebolla en rodajas, el cilantro, la menta y la mezcla anterior. Deja reposar durante 5 minutos y luego decora con las semillas de sésamo. Sirve la ensalada de cintas de zanahoria con aderezo de sésamo asiático con pasta con pesto y brócoli para una cena ligera entre semana.</t>
  </si>
  <si>
    <t>Pour préparer la salade de carottes en rubans avec vinaigrette asiatique au sésame, commencez par couper les extrémités des carottes. À l'aide d'un économe, pelez la peau extérieure et jetez-la. Continuez à éplucher les carottes pour obtenir de fines lanières ou des rubans. Dans un petit bol ou une bouteille en verre, fouettez les huiles, le vinaigre, le miel, le poivre noir, le jus de citron vert, l'ail, le gingembre, le sel et le piment rouge. Assurez-vous que tout soit bien mélangé. Dans un saladier, mélangez les carottes en rubans, l'oignon émincé, la coriandre, la menthe et le mélange précédent. Réservez 5 minutes, puis décorez de graines de sésame. Servez la salade de carottes en rubans avec vinaigrette asiatique au sésame avec des pâtes au pesto de brocoli pour un dîner léger en semaine.</t>
  </si>
  <si>
    <t>http://www.archanaskitchen.com/carrot-ribbon-salad-with-asian-sesame-dressing-recipe</t>
  </si>
  <si>
    <t>Strawberry Cheesecake Muffins Recipe</t>
  </si>
  <si>
    <t>Rezept für Erdbeer-Käsekuchen-Muffins</t>
  </si>
  <si>
    <t>Recette de muffins au cheesecake et aux fraises</t>
  </si>
  <si>
    <t>Receta de muffins de tarta de queso y fresa</t>
  </si>
  <si>
    <t>225 grammes de fromage à la crème Britannia (à température ambiante), 2-1/2 tasses de farine tout usage (Maida), 3/4 tasse de sucre en poudre (1/4 + 1/2), 2 cuillères à café de levure chimique, 1/4 cuillère à café de sel, 1 œuf entier, 1-1/4 tasse de lait, 1/3 tasse de beurre fondu, 1/2 tasse de fraises hachées, 1/4 cuillère à café d'extrait de vanille</t>
  </si>
  <si>
    <t>225 grams Britannia Cream Cheese - (at room temperature),2-1/2 cups All Purpose Flour (Maida),3/4 cup Caster Sugar - (1/4 + 1/2),2 teaspoons Baking powder,1/4 teaspoon Salt,1 Whole Egg,1-1/4 cups Milk,1/3 cup Butter - melted,1/2 cup Strawberries - chopped,1/4 teaspoon Vanilla Extract</t>
  </si>
  <si>
    <t>225 gramos de queso crema Britannia (a temperatura ambiente), 2-1/2 tazas de harina para todo uso (Maida), 3/4 taza de azúcar extrafino (1/4 + 1/2), 2 cucharaditas de polvo para hornear, 1/4 cucharadita de sal, 1 huevo entero, 1-1/4 tazas de leche, 1/3 taza de mantequilla derretida, 1/2 taza de fresas picadas, 1/4 cucharadita de extracto de vainilla</t>
  </si>
  <si>
    <t xml:space="preserve">To begin making the Strawberry Cheesecake Muffins Recipe, first prep all the ingredients and get them ready.In a large mixing bowl, add the cream cheese and 1/4 cup sugar, using a hand mixer beat well until light and fluffy. Add 1/4 cup fresh chopped strawberries in it and fold it in with help of spoon or fork. Keep the cream cheese batter aside.In a mixing bowl, sift the flour, baking powder and salt, keep aside.In a large mixing bowl, using a hand mixer, beat together the egg, 1/2 cup of sugar.In a separate bowl, beat together egg, milk, rest of the sugar (1/2 cup), butter and vanilla extract. Gradually add the flour mixture and beat until the cake is well combined. Add the remaining strawberries into the cake mixture and fold it in.Preheat the oven to 180 C and grease the muffin pan or line it with muffins paper. Spoon half the cake batter into the bottom of the pan. Next, spoon the cream cheese batter on the top and another spoon of the cake batter.Essentially the cream cheese batter is sandwiched between the cake batter.Once done, place the Strawberry Cheesecake Muffin in the oven and set it to bake for 12 to 15 minutes, until a tester inserted inside comes out almost clean. There will be a few crumbs of the cheesecake that will be stuck to the tester, and that's ok.Once done, remove from the oven and set it to cool completely.Once cooled, the Strawberry Cheesecake Muffins are ready to be served during tea time or as a dessert.
</t>
  </si>
  <si>
    <t>Para empezar a hacer la Receta de Muffins de Tarta de Queso con Fresas, primero prepara todos los ingredientes y tenlos listos. En un tazón grande, agrega el queso crema y 1/4 de taza de azúcar, usando una batidora de mano bate bien hasta que esté ligero y esponjoso. Agrega 1/4 de taza de fresas frescas picadas e incorpóralas con ayuda de una cuchara o tenedor. Reserva la masa de queso crema. En un tazón, tamiza la harina, el polvo para hornear y la sal, reserva. En un tazón grande, usando una batidora de mano, bate el huevo, 1/2 taza de azúcar. En un tazón aparte, bate el huevo, la leche, el resto del azúcar (1/2 taza), la mantequilla y el extracto de vainilla. Agrega gradualmente la mezcla de harina y bate hasta que el pastel esté bien combinado. Agrega las fresas restantes a la mezcla del pastel e incorpóralas. Precalienta el horno a 180 °C y engrasa el molde para muffins o cúbrelo con papel para muffins. Vierte la mitad de la masa del pastel en el fondo del molde. A continuación, coloca una cucharada de masa de queso crema encima y otra de masa de pastel. Básicamente, la masa de queso crema queda entre la masa de pastel. Una vez listo, hornea el Muffin de Tarta de Queso con Fresa de 12 a 15 minutos, hasta que al insertar un palillo, este salga casi limpio. Quedarán algunas migas de tarta de queso pegadas al palillo, lo cual es normal. Una vez listo, sácalo del horno y déjalo enfriar por completo. Una vez fríos, los Muffins de Tarta de Queso con Fresa están listos para servir durante la merienda o como postre.</t>
  </si>
  <si>
    <t>Pour préparer les muffins au cheesecake et aux fraises, préparez tous les ingrédients. Dans un grand saladier, ajoutez le fromage frais et 60 ml de sucre. Battez bien au batteur électrique jusqu'à obtenir une consistance légère et mousseuse. Ajoutez 60 ml de fraises fraîches hachées et incorporez-les à l'aide d'une cuillère ou d'une fourchette. Réservez la pâte au fromage frais. Tamisez la farine, la levure chimique et le sel dans un saladier. Battez l'œuf et 120 ml de sucre dans un autre saladier. Dans un autre saladier, battez l'œuf, le lait, le reste du sucre (120 ml), le beurre et l'extrait de vanille. Ajoutez progressivement le mélange de farine et battez jusqu'à obtenir un gâteau homogène. Ajoutez les fraises restantes et incorporez-les. Préchauffez le four à 180 °C et graissez un moule à muffins ou chemisez-le de papier sulfurisé. Versez la moitié de la pâte au fond du moule. Ensuite, versez la pâte au fromage frais sur le dessus, puis une autre cuillère de pâte à gâteau. La pâte au fromage frais est alors intercalée entre les deux. Une fois cuit, enfournez le muffin au cheesecake aux fraises et laissez cuire 12 à 15 minutes, jusqu'à ce qu'un cure-dent inséré à l'intérieur en ressorte presque propre. Quelques miettes de cheesecake resteront collées au cure-dent, ce qui est normal. Une fois cuit, sortez du four et laissez refroidir complètement. Une fois refroidis, les muffins au cheesecake aux fraises sont prêts à être servis au goûter ou en dessert.</t>
  </si>
  <si>
    <t>https://www.archanaskitchen.com/strawberry-cheesecake-muffins-recipe</t>
  </si>
  <si>
    <t>Carrot Soup Recipe - Carrot Soup Recipe</t>
  </si>
  <si>
    <t>Karottensuppe Rezept - Rezept für Karottensuppe</t>
  </si>
  <si>
    <t>Recette de soupe aux carottes - Recette de soupe aux carottes</t>
  </si>
  <si>
    <t>Receta de sopa de zanahoria - Receta de sopa de zanahoria</t>
  </si>
  <si>
    <t>5 carottes - éplucher et hacher, 1 oignon - coupé droit et fin, 1 pomme de terre - coupée, 1 céleri - coupé, 2,5 cm de gingembre - peler et hacher, 1 cuillère à café de poudre de coriandre, 2 cuillères à café de poivre entier - écraser Faire 3 tasses de bouillon de légumes, 2 cuillères à café d'huile d'olive, 1 citron - fin et coupé droit</t>
  </si>
  <si>
    <t>5 carrots - peel and chop, 1 onion - cut straight and thin, 1 potato - cut, 1 celery - cut, 1 inch ginger - peel and chop, 1 teaspoon coriander powder, 2 teaspoons whole pepper - crush Make 3 cups of vegetable stock, 2 teaspoons of olive oil, 1 lemon - thin and cut straight</t>
  </si>
  <si>
    <t>5 zanahorias - peladas y picadas, 1 cebolla - cortada recta y fina, 1 papa - cortada, 1 apio - cortado, 1 pulgada de jengibre - pelado y picado, 1 cucharadita de cilantro en polvo, 2 cucharaditas de pimienta entera - machacada Prepare 3 tazas de caldo de verduras, 2 cucharaditas de aceite de oliva, 1 limón - fino y cortado recto</t>
  </si>
  <si>
    <t>To make Carrot Soup Recipe, first heat oil in a saucepan. Add onion and cook for 1 minute. After 1 minute add onion and cook for 1 minute. Add coriander powder and cook. Now add ginger, celery, carrot, potato, salt and mix everything well. Add 2 cups vegetable stock, cover the saucepan and cook till the vegetables become soft. Turn off the gas and keep it aside to cool. After cooling, put it in the mixer grinder and make a puree. Pour this puree in a saucepan and heat it. Add black pepper and cook for 1 to 2 minutes. Transfer to a bowl, add lemon juice and serve. Serve Carrot Soup with Dal Makhani, Stuffed Lauki and Phulkas for everyday meal.</t>
  </si>
  <si>
    <t>Para preparar la receta de sopa de zanahoria, primero caliente el aceite en una cacerola. Añada la cebolla y cocine durante 1 minuto. Después de 1 minuto, añada la cebolla y cocine durante 1 minuto. Añada el cilantro en polvo y cocine. Ahora añada el jengibre, el apio, la zanahoria, la patata, la sal y mezcle todo bien. Añada 2 tazas de caldo de verduras, tape la cacerola y cocine hasta que las verduras estén tiernas. Apague el fuego y reserve para que se enfríe. Después de que se enfríe, viértalo en la licuadora y haga un puré. Vierta este puré en una cacerola y caliéntelo. Añada pimienta negra y cocine durante 1 o 2 minutos. Transfiera a un tazón, agregue jugo de limón y sirva. Sirva la sopa de zanahoria con Dal Makhani, Lauki relleno y Phulkas como comida diaria.</t>
  </si>
  <si>
    <t>Pour préparer la soupe aux carottes, faites chauffer l'huile dans une casserole. Ajoutez l'oignon et faites-le cuire 1 minute. Après 1 minute, ajoutez l'oignon et faites-le cuire 1 minute. Ajoutez la coriandre en poudre et faites-le cuire. Ajoutez ensuite le gingembre, le céleri, la carotte, la pomme de terre, le sel et mélangez bien le tout. Ajoutez 500 ml de bouillon de légumes, couvrez la casserole et laissez cuire jusqu'à ce que les légumes soient tendres. Coupez le feu et laissez refroidir. Une fois refroidi, passez au mixeur et réduisez en purée. Versez cette purée dans une casserole et faites chauffer. Ajoutez du poivre noir et faites cuire 1 à 2 minutes. Transférez dans un bol, ajoutez le jus de citron et servez. Servez la soupe aux carottes avec du Dal Makhani, des Lauki farcis et des Phulkas pour un repas quotidien.</t>
  </si>
  <si>
    <t>http://www.archanaskitchen.com/carrot-soup-recipe-in-hindi</t>
  </si>
  <si>
    <t>Baked Yogurt With Honey Cinnamon Grilled Fruits Recipe</t>
  </si>
  <si>
    <t>Rezept für gebackenen Joghurt mit Honig-Zimt und gegrillten Früchten</t>
  </si>
  <si>
    <t>Recette de yaourt cuit au four avec miel et cannelle et fruits grillés</t>
  </si>
  <si>
    <t>Receta de yogur horneado con miel y canela y fruta a la parrilla</t>
  </si>
  <si>
    <t>1 tasse de lait caillé (dahi/yaourt), 1 tasse de crème fraîche, 1 tasse de lait concentré, 3/4 cuillère à café d'extrait de vanille, 1 tasse d'ananas - tranché, 1 poire - tranchée, 2 pêches - tranchées, 2 prunes - tranchées, 4 fraises - tranchées, 1 mangue (mûre) - tranchée, 1 cuillère à soupe de beurre, 1/2 cuillère à café de cannelle en poudre (dalchini)</t>
  </si>
  <si>
    <t>1 cup Curd (Dahi / Yogurt),1 cup Fresh cream,1 cup Condensed Milk,3/4 teaspoon Vanilla Extract,1 cup Pineapple - sliced,1 Pears - sliced,2 Peaches - sliced,2 Plum - sliced,4 Strawberries - sliced,1 Mango (Ripe) - sliced,1 tablespoon Butter,1/2 teaspoon Cinnamon Powder (Dalchini)</t>
  </si>
  <si>
    <t>1 taza de cuajada (Dahi / yogur), 1 taza de crema fresca, 1 taza de leche condensada, 3/4 cucharadita de extracto de vainilla, 1 taza de piña en rodajas, 1 pera en rodajas, 2 duraznos en rodajas, 2 ciruelas en rodajas, 4 fresas en rodajas, 1 mango (maduro) en rodajas, 1 cucharada de mantequilla, 1/2 cucharadita de canela en polvo (dalchini)</t>
  </si>
  <si>
    <t xml:space="preserve">To begin making Baked yogurt with honey cinnamon grilled fruits, first pre-heat the oven to 160 degree CelsiusAdd the yogurt to a mixing bowl and whisk.Add the cream, condensed milk and vanilla extract if using. Whisk till everything blends well.Pour the mixture into 5-6 ramekins.Make a water bath by pouring water in a baking tray till it is half filled.Place the ramekins in the water bath and bake for about 18-20 minutes or till the mixture is just set.Cool and refrigerate for a couple of hours.To make the topping, heat and brush a grill pan with the butter.Place the fruit slices on the pan and grill for 1-2 minutes, till you see grill marks on the slice. This time may change depending on the fruit used.Whisk the honey and cinnamon in a small bowl.Brush it on the fruit slices.Take the fruits slices off the heat.Cool completely and place them on top of the cold baked yogurt and serve Baked yogurt with honey cinnamon grilled fruits as a Dessert.
</t>
  </si>
  <si>
    <t>Para preparar yogur horneado con frutas a la parrilla con miel y canela, precaliente el horno a 160 °C. Añada el yogur a un tazón y bata. Añada la crema, la leche condensada y el extracto de vainilla (si lo usa). Bata hasta que todo esté bien integrado. Vierta la mezcla en 5 o 6 moldes. Prepare un baño maría vertiendo agua en una bandeja para hornear hasta la mitad. Coloque los moldes en el baño maría y hornee durante unos 18-20 minutos o hasta que la mezcla esté cuajada. Deje enfriar y refrigere por un par de horas. Para la cobertura, caliente una parrilla y unte con mantequilla. Coloque las rodajas de fruta en la parrilla y cocine a la parrilla durante 1 o 2 minutos, hasta que vea marcas de la parrilla en la rodaja. Este tiempo puede variar según la fruta utilizada. Bata la miel y la canela en un tazón pequeño. Unte las rodajas de fruta con la mezcla. Retire las rodajas del fuego. Deje enfriar completamente y colóquelas sobre el yogur horneado frío. Sirva el yogur horneado con frutas a la parrilla con miel y canela como postre.</t>
  </si>
  <si>
    <t>Pour préparer un yaourt cuit au four avec des fruits grillés au miel et à la cannelle, préchauffez le four à 160 °C. Versez le yaourt dans un saladier et fouettez. Ajoutez la crème, le lait concentré et l'extrait de vanille (si vous en utilisez). Fouettez jusqu'à ce que le tout soit bien mélangé. Versez la préparation dans 5 à 6 ramequins. Remplissez un plat allant au bain-marie jusqu'à la moitié de la surface. Placez les ramequins au bain-marie et faites cuire pendant 18 à 20 minutes, ou jusqu'à ce que le mélange soit pris. Laissez refroidir et réservez au réfrigérateur pendant quelques heures. Pour la garniture, faites chauffer une poêle à griller et badigeonnez-la de beurre. Placez les tranches de fruits sur la poêle et faites-les griller pendant 1 à 2 minutes, jusqu'à ce que des marques de gril apparaissent. Ce temps peut varier selon les fruits utilisés. Fouettez le miel et la cannelle dans un petit bol. Badigeonnez les tranches de fruits avec ce mélange. Retirez les tranches de fruits du feu. Laissez refroidir complètement et déposez-les sur le yaourt cuit froid. Servez le yaourt cuit au four avec des fruits grillés au miel et à la cannelle en dessert.</t>
  </si>
  <si>
    <t>http://www.archanaskitchen.com/baked-yogurt-with-honey-cinnamon-grilled-fruits-recipe</t>
  </si>
  <si>
    <t>High Protein Grilled Rajma Corn Sandwich Recipe</t>
  </si>
  <si>
    <t>Rezept für proteinreiches gegrilltes Rajma-Mais-Sandwich</t>
  </si>
  <si>
    <t>Recette de sandwich au maïs rajma grillé riche en protéines</t>
  </si>
  <si>
    <t>Receta de sándwich de maíz Rajma a la parrilla rico en proteínas</t>
  </si>
  <si>
    <t>8 pains complets bruns, 1 cuillère à café d'huile de tournesol, 1 oignon finement haché, 2 gousses d'ail finement hachées, 1/4 cuillère à café de poudre de curcuma (Haldi), 1/2 cuillère à café de poudre de piment rouge, 1 cuillère à café d'herbes mélangées (séchées), 1/2 tasse de Rajma (gros haricots rouges) cuits, 1/4 tasse de maïs doux, 1/4 tasse de fromage, sel au goût, beurre pour griller</t>
  </si>
  <si>
    <t>8 Whole Wheat Brown Bread,1 teaspoon Sunflower Oil,1 Onion - finely chopped,2 cloves Garlic - finely chopped,1/4 teaspoon Turmeric powder (Haldi),1/2 teaspoon Red Chilli powder,1 teaspoon Mixed Herbs (Dried),1/2 cup Rajma (Large Kidney Beans) - cooked,1/4 cup Sweet corn,1/4 cup Cheese,Salt - to taste,Butter - for grilling</t>
  </si>
  <si>
    <t>8 panes integrales, 1 cucharadita de aceite de girasol, 1 cebolla finamente picada, 2 dientes de ajo finamente picados, 1/4 cucharadita de cúrcuma en polvo (Haldi), 1/2 cucharadita de chile rojo en polvo, 1 cucharadita de hierbas mixtas (secas), 1/2 taza de Rajma (frijoles grandes) cocidos, 1/4 taza de maíz dulce, 1/4 taza de queso, sal al gusto, mantequilla para asar.</t>
  </si>
  <si>
    <t xml:space="preserve">To begin making the Grilled Rajma Masala Sandwich Recipe, soak 1/2 cup of rajma overnight and cook the rajma until soft. Drain the excess water and keep aside.In a skillet, heat a teaspoon oil oil, add the onion, garlic and saute for a few seconds. Add the cooked rajma, sweet corn, turmeric powder, chilli powder, herbs Stir to combine all the ingredients and saute on medium high heat until you get a good rajma corn filling for the sandwich. There should be very little moisture. Check the salt and spices and adjust to suit your taste.Finally stir in the cheese and turn off the heat. Allow the rajma corn sandwich filling to cool.To prepare grilled sandwich, place the bread slices on the platform. Spread a spoonful of rajma corn sandwich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Corn Sandwich as a wholesome breakfast or even serve it for summer weeknight dinner along with a Summer Lettuce Salad Recipe or a Coconut Kewra Drink Recipe.
</t>
  </si>
  <si>
    <t>Para comenzar a hacer la Receta del Sándwich de Rajma Masala a la Parrilla, remoje 1/2 taza de rajma durante la noche y cocínelo hasta que esté suave. Escurra el exceso de agua y reserve. En una sartén, caliente una cucharadita de aceite, agregue la cebolla, el ajo y saltee durante unos segundos. Agregue el rajma cocido, el maíz dulce, la cúrcuma en polvo, el chile en polvo, las hierbas. Revuelva para combinar todos los ingredientes y saltee a fuego medio alto hasta obtener un buen relleno de maíz rajma para el sándwich. Debe haber muy poca humedad. Verifique la sal y las especias y ajuste a su gusto. Finalmente, agregue el queso y apague el fuego. Deje que el relleno del sándwich de maíz rajma se enfríe. Para preparar el sándwich a la parrilla, coloque las rebanadas de pan en la plataforma. Unte una cucharada de la mezcla de sándwich de maíz rajma sobre una rebanada. Cubra con otra rebanada de pan y presiónela hacia abajo. Unte un poco de mantequilla ablandada en la rebanada superior y colóquela en una sandwichera o sartén para parrilla con el lado de la mantequilla hacia abajo. Unta mantequilla en el otro lado y asa el sándwich de rajma hasta que esté dorado y crujiente. Sirve el sándwich de maíz rajma a la parrilla como un desayuno saludable o incluso sírvelo para la cena de verano entre semana junto con una receta de ensalada de lechuga de verano o una receta de bebida de kewra de coco.</t>
  </si>
  <si>
    <t>Pour commencer à préparer la recette du sandwich Rajma Masala grillé, faites tremper 1/2 tasse de rajma pendant la nuit et faites cuire le rajma jusqu'à ce qu'il soit tendre. Égouttez l'excédent d'eau et réservez. Dans une poêle, faites chauffer une cuillère à café d'huile, ajoutez l'oignon, l'ail et faites revenir quelques secondes. Ajoutez le rajma cuit, le maïs doux, la poudre de curcuma, la poudre de piment, les herbes. Remuez pour combiner tous les ingrédients et faites sauter à feu moyen-vif jusqu'à obtenir une bonne garniture de maïs rajma pour le sandwich. Il devrait y avoir très peu d'humidité. Vérifiez le sel et les épices et ajustez à votre goût. Enfin, incorporez le fromage et éteignez le feu. Laissez refroidir la garniture du sandwich au maïs rajma. Pour préparer un sandwich grillé, placez les tranches de pain sur la plate-forme. Étalez une cuillerée de mélange pour sandwich au maïs rajma sur une tranche. Couvrez d'une autre tranche de pain et appuyez dessus. Étalez un peu de beurre ramolli sur la tranche supérieure et placez-la dans une machine à sandwich ou une poêle à griller, le côté beurré vers le bas. Étalez du beurre sur l'autre côté et faites griller le sandwich au rajma jusqu'à ce qu'il soit doré et croustillant. Servez le sandwich au maïs grillé Rajma comme petit-déjeuner sain ou même comme dîner de semaine en été avec une recette de salade de laitue d'été ou une recette de boisson à la noix de coco Kewra.</t>
  </si>
  <si>
    <t>https://www.archanaskitchen.com/high-protein-grilled-rajma-corn-sandwich-recipe</t>
  </si>
  <si>
    <t>Chicken Stuffed Bread Recipe</t>
  </si>
  <si>
    <t>Rezept für mit Hühnchen gefülltes Brot</t>
  </si>
  <si>
    <t>Recette de pain farci au poulet</t>
  </si>
  <si>
    <t>Receta de pan relleno de pollo</t>
  </si>
  <si>
    <t>2-1/2 tasses de Vivatta Maida, 2 cuillères à soupe de sucre, 1-1/2 levure sèche active, sel - au goût, 3 cuillères à soupe d'huile de tournesol, 4 cuillères à soupe de lait - chaud, 1/4 tasse d'eau tiède, 1 œuf entier - battu, 250 grammes de poulet - bouilli et désossé, 2 cuillères à soupe de beurre, 1-1/2 cuillère à soupe de farine tout usage (Maida), 1/2 tasse de lait - tiède, 1 tasse de fromage - fromage fondu râpé, sel - au goût, poudre de poivre noir - au goût, 1 cuillère à café d'origan séché, 1 cuillère à café d'origan séché</t>
  </si>
  <si>
    <t>2-1/2 cup Vivatta Maida,2 tablespoons Sugar,1-1/2 Active dry yeast,Salt - to taste,3 tablespoons Sunflower Oil,4 tablespoons Milk - warm,1/4 cup Lukewarm Water,1 Whole Egg - beaten,250 grams Chicken - Boiled and boneless,2 tablespoons Butter,1-1/2 tablespoon All Purpose Flour (Maida),1/2 cup Milk - lukewarm,1 cup Cheese - grated processed chees,Salt - to taste,Black pepper powder - to taste,1 teaspoon Dried oregano,1 teaspoon Dried oregano</t>
  </si>
  <si>
    <t>2-1/2 tazas de Vivatta Maida, 2 cucharadas de azúcar, 1-1/2 levadura seca activa, sal - al gusto, 3 cucharadas de aceite de girasol, 4 cucharadas de leche - tibia, 1/4 taza de agua tibia, 1 huevo entero - batido, 250 gramos de pollo - hervido y deshuesado, 2 cucharadas de mantequilla, 1-1/2 cucharada de harina para todo uso (Maida), 1/2 taza de leche - tibia, 1 taza de queso - queso procesado rallado, sal - al gusto, pimienta negra en polvo - al gusto, 1 cucharadita de orégano seco, 1 cucharadita de orégano seco</t>
  </si>
  <si>
    <t xml:space="preserve">To begin making the Chicken Stuffed Bread recipe, let us make the bread dough.For the bread dough In a small bowl, add yeast and sugar, add lukewarm water to it and mix well. Cover and set aside for 5 mins for the yeast to activate and froth up. In a mixing bowl, add flour, salt, oil and mix well. Add in the yeast mixture and milk. Mix well using a fork. Add little warm water as needed. Knead this to a soft dough. Knead well for 12-15 minutes. You can also use a food processor to knead the dough. Now drizzle with little of oil and incorporate it in the dough.  Cover with a damp muslin cloth and set aside to rise for 1 hour.When the dough is risen, punch the air out and knead it once more. Add more flour if it is too sticky.For the filling Melt butter in a pan on medium heat and add flour stirring continuously. As soon as the flour gets slightly brownish, add warm milk and stir well to remove any lumps. Let it cook and thicken.As the sauce thickens, add salt and pepper to taste. Now add the shredded boiled chicken. Mix well and remove from the heat and set aside.To shape the dough Divide the dough four portions, to make medium sized breads. Take one portion of the dough, flatten it between your palms and using a rolling pin, roll it into rectangular shape.Now place the rectangular sheet of dough vertically in front of you on the working counter, with the help of a knife/pizza cutter, make cuts from 1 inch away from the edge to the end of the edges with a gap of 1 cm. Make sure the cuts are even numbered.Spoon some filling in the center,add grated cheese and oregano and start braiding.Fold the top and bottom part of dough and starting from one end, start braiding each pair of strip (overlapping)till you reach the end. Place it in a baking tray lined with parchment paper. Cover with damp muslin cloth and allow to rise for another hour. once it has risen, gently brush well with beaten egg.Preheat oven to 180 degree Celsius and bake the bread for 30-35 minutes or till top gets browned well.Bake this for 12 minutes at 180 degree C. Now increase the heat to 220 Degree C and bake for 5 to 8 minutes until you see a nice brown colour on the bread. Remove it and serve warm.Serve Chicken Stuffed Bread over high tea along with other tea time snacks like Whole Wheat Carrot Cake Recipe, Baked Corn &amp; Flour Tortilla Chips Flavored With Paprika Recipe, Baked Samosa Pinwheels Recipe.
</t>
  </si>
  <si>
    <t>Para comenzar a hacer la receta de Pan Relleno de Pollo, hagamos la masa de pan. Para la masa de pan En un tazón pequeño, agregue la levadura y el azúcar, agregue agua tibia y mezcle bien. Cubra y deje reposar durante 5 minutos para que la levadura se active y forme espuma. En un tazón, agregue la harina, la sal, el aceite y mezcle bien. Agregue la mezcla de levadura y la leche. Mezcle bien con un tenedor. Agregue un poco de agua tibia según sea necesario. Amase esto hasta obtener una masa suave. Amase bien durante 12-15 minutos. También puede usar un procesador de alimentos para amasar la masa. Ahora rocíe con un poco de aceite e incorpórelo a la masa. Cubra con un paño de muselina húmedo y deje reposar para que suba durante 1 hora. Cuando la masa haya subido, saque el aire y amásela una vez más. Agregue más harina si está demasiado pegajosa. Para el relleno Derrita la mantequilla en una sartén a fuego medio y agregue la harina revolviendo continuamente. Tan pronto como la harina se dore ligeramente, agregue leche tibia y revuelva bien para eliminar los grumos. Deje cocinar y espesar. A medida que la salsa espese, agregue sal y pimienta al gusto. Ahora agregue el pollo hervido desmenuzado. Mezcle bien y retire del fuego y reserve. Para dar forma a la masa, divida la masa en cuatro porciones para hacer panes de tamaño mediano. Tome una porción de la masa, aplánela entre las palmas de las manos y, con un rodillo, enróllela en forma rectangular. Ahora coloque la lámina rectangular de masa verticalmente frente a usted en la mesa de trabajo, con la ayuda de un cuchillo/cortador de pizza, haga cortes desde 1 pulgada del borde hasta el final de los bordes con un espacio de 1 cm. Asegúrese de que los cortes estén numerados pares. Coloque un poco de relleno en el centro, agregue queso rallado y orégano y comience a trenzar. Doble la parte superior e inferior de la masa y, comenzando desde un extremo, comience a trenzar cada par de tiras (superponiéndolas) hasta llegar al final. Colóquelo en una bandeja para hornear forrada con papel de horno. Cúbralo con una gasa húmeda y déjelo reposar durante una hora más. Una vez que haya subido, úntelo bien con huevo batido. Precaliente el horno a 180 grados Celsius y hornee el pan durante 30-35 minutos o hasta que la parte superior esté bien dorada. Hornee durante 12 minutos a 180 grados C. Ahora aumente la temperatura a 220 grados C y hornee durante 5 a 8 minutos hasta que vea un bonito color marrón en el pan. Retírelo y sirva caliente. Sirva el pan relleno de pollo con una merienda junto con otros bocadillos para la hora del té como la receta de pastel de zanahoria integral, la receta de totopos de maíz y harina horneados con sabor a pimentón o la receta de molinetes de samosa horneados.</t>
  </si>
  <si>
    <t>Pour commencer à préparer la recette du pain farci au poulet, préparons la pâte à pain. Pour la pâte à pain, dans un petit bol, ajoutez la levure et le sucre, ajoutez de l'eau tiède et mélangez bien. Couvrez et laissez reposer 5 minutes pour que la levure s'active et mousse. Dans un saladier, ajoutez la farine, le sel, l'huile et mélangez bien. Ajoutez le mélange de levure et le lait. Bien mélanger à l'aide d'une fourchette. Ajoutez un peu d'eau tiède si nécessaire. Pétrissez jusqu'à obtenir une pâte molle. Pétrissez bien pendant 12 à 15 minutes. Vous pouvez également utiliser un robot culinaire pour pétrir la pâte. Arrosez maintenant d'un peu d'huile et incorporez-la à la pâte. Couvrez d'un linge en mousseline humide et laissez lever pendant 1 heure. Lorsque la pâte est levée, chassez l'air et pétrissez-la une fois de plus. Ajoutez plus de farine si elle est trop collante. Pour la garniture, faites fondre le beurre dans une casserole à feu moyen et ajoutez la farine en remuant continuellement. Dès que la farine devient légèrement brune, ajoutez le lait chaud et remuez bien pour éliminer les grumeaux. Laissez cuire et épaissir. Au fur et à mesure que la sauce épaissit, ajoutez du sel et du poivre au goût. Ajoutez maintenant le poulet bouilli effiloché. Mélangez bien, retirez du feu et réservez. Pour façonner la pâte Divisez la pâte en quatre portions, pour faire des pains de taille moyenne. Prenez une portion de pâte, aplatissez-la entre vos paumes et à l'aide d'un rouleau à pâtisserie, roulez-la en forme rectangulaire. Placez maintenant la feuille de pâte rectangulaire verticalement devant vous sur le plan de travail, à l'aide d'un couteau/coupe-pizza, faites des coupes à partir de 1 pouce du bord jusqu'à l'extrémité des bords avec un espace de 1 cm. Assurez-vous que les coupes sont en nombre pair. Déposez un peu de garniture au centre, ajoutez du fromage râpé et de l'origan et commencez à tresser. Pliez la partie supérieure et inférieure de la pâte et en commençant par une extrémité, commencez à tresser chaque paire de bandes (en se chevauchant) jusqu'à ce que vous atteigniez la fin. Placez-le dans une plaque de cuisson recouverte de papier sulfurisé. Couvrez d'une mousseline humide et laissez lever pendant une heure supplémentaire. Une fois levé, badigeonnez-le délicatement d'œuf battu. Préchauffez le four à 180 degrés Celsius et faites cuire le pain pendant 30 à 35 minutes ou jusqu'à ce que le dessus soit bien doré. Faites-le cuire pendant 12 minutes à 180 degrés C. Augmentez ensuite la température à 220 degrés C et faites cuire pendant 5 à 8 minutes jusqu'à ce que le pain prenne une belle couleur brune. Retirez-le et servez chaud. Servez le pain farci au poulet lors d'un goûter accompagné d'autres collations à l'heure du thé comme la recette du gâteau aux carottes au blé entier, la recette des chips de tortilla au maïs et à la farine au paprika ou la recette des roulés de samosas cuits au four.</t>
  </si>
  <si>
    <t>http://www.archanaskitchen.com/chicken-stuffed-bread-recipe</t>
  </si>
  <si>
    <t>Sweet Potato &amp; Spinach Hash brown Recipe</t>
  </si>
  <si>
    <t>Rezept für Rösti mit Süßkartoffeln und Spinat</t>
  </si>
  <si>
    <t>Recette de Rösti aux patates douces et aux épinards</t>
  </si>
  <si>
    <t>Receta de rösti de boniato y espinacas</t>
  </si>
  <si>
    <t>2 patates douces râpées, 1 tasse d'épinards hachés, 1 oignon émincé, 1 cuillère à soupe de poudre de fenouil, 1 cuillère à café de sel, 1 cuillère à soupe d'origan séché, 1 cuillère à soupe de feuilles de thym séchées, 1 cuillère à soupe de flocons de piment rouge, sel et poivre au goût, huile de tournesol pour la cuisson</t>
  </si>
  <si>
    <t>2 Sweet Potato - grated,1 cup Spinach - chopped,1 Onion - sliced,1 tablespoon Fennel Powder,1 teaspoon Salt,1 tablespoon Dried oregano,1 tablespoon Dried Thyme Leaves,1 tablespoon Red Chilli flakes,Salt and Pepper - to taste,Sunflower Oil - for cooking</t>
  </si>
  <si>
    <t>2 batatas ralladas, 1 taza de espinacas picadas, 1 cebolla en rodajas, 1 cucharada de hinojo en polvo, 1 cucharadita de sal, 1 cucharada de orégano seco, 1 cucharada de hojas de tomillo secas, 1 cucharada de hojuelas de chile rojo, sal y pimienta al gusto, aceite de girasol para cocinar</t>
  </si>
  <si>
    <t xml:space="preserve">We begin making the Sweet Potato &amp; Spinach Hash brown Recipe by heating a flat skilled with oil, Add in the onions and sauté till it turns golden brown.Then add in the grated sweet potato, spinach, spice and herb powders mentioned in the list. Check for salt and mix well. Keep sautéing till it is cooked.Take the pan off the heat. Cool it down and once it is cooled down and then start shaping them into discs by using your hands.Heat a flat skillet, drizzle some oil and place these hash brown and toast them on either side for 2 minutes till it is golden brown and serve. Serve the Sweet Potato &amp; Spinach Hash brown Recipe along with some Toasted Bread and Glass of Plum Ginger Juice Recipe for your morning Breakfast.
</t>
  </si>
  <si>
    <t>Comenzamos haciendo la Receta de Papas Hash Brown de Boniato y Espinacas calentando una sartén plana con aceite. Añadimos las cebollas y salteamos hasta que se doren. Luego, añadimos la batata rallada, las espinacas, las especias y las hierbas en polvo mencionadas en la lista. Rectificamos de sal y mezclamos bien. Seguimos salteando hasta que esté cocido. Retiramos la sartén del fuego. Dejamos enfriar y, una vez enfriado, comenzamos a darles forma de discos con las manos. Calentamos una sartén plana, rociamos un poco de aceite, colocamos las papas hash brown y las tuestamos por ambos lados durante 2 minutos hasta que estén doradas y servimos. Sirve la Receta de Papas Hash Brown de Boniato y Espinacas junto con un poco de pan tostado y un vaso de Receta de Jugo de Ciruela y Jengibre para tu Desayuno matutino.</t>
  </si>
  <si>
    <t>Nous commençons à préparer la recette de galette de pommes de terre aux patates douces et aux épinards en chauffant une poêle plate avec de l'huile. Ajoutez les oignons et faites revenir jusqu'à ce qu'ils soient dorés. Ajoutez ensuite la patate douce râpée, les épinards, les épices et les herbes en poudre mentionnées dans la liste. Vérifiez la présence de sel et mélangez bien. Continuez à faire sauter jusqu'à ce que ce soit cuit. Retirez la poêle du feu. Laissez refroidir et une fois refroidi, commencez à les façonner en disques avec vos mains. Faites chauffer une poêle plate, arrosez d'un filet d'huile et placez ces galettes de pommes de terre et faites-les griller de chaque côté pendant 2 minutes jusqu'à ce qu'elles soient dorées. Servez. Servez la recette de galette de pommes de terre aux patates douces et aux épinards avec du pain grillé et un verre de jus de prune et de gingembre pour votre petit-déjeuner.</t>
  </si>
  <si>
    <t>http://www.archanaskitchen.com/sweet-potato-spinach-hash-brown-recipe</t>
  </si>
  <si>
    <t>Chicken Steak Recipe With Pan Roasted Vegetables &amp; Potato Mash</t>
  </si>
  <si>
    <t>Hähnchensteak-Rezept mit gebratenem Gemüse und Kartoffelpüree</t>
  </si>
  <si>
    <t>Recette de steak de poulet avec légumes rôtis et purée de pommes de terre</t>
  </si>
  <si>
    <t>Receta de filete de pollo con verduras asadas y puré de patatas</t>
  </si>
  <si>
    <t>2 blancs de poulet, 6 gousses d'ail finement hachées, 2 cuillères à soupe d'herbes mélangées (séchées), 2 cuillères à soupe de jus de citron, 2 cuillères à soupe d'huile d'olive extra vierge, 1/2 cuillère à café de Tabasco Original - Sauce piquante, 1/2 cuillère à soupe de flocons de piment rouge, 4 brins de feuilles de persil finement hachées, 2 cuillères à café de miel, sel - sel au goût, 1 carotte (Gajjar) - coupée en lanières, 1 courgette verte - coupée en lanières, 6 mini épis de maïs - coupés en lanières, 10 haricots verts (haricots verts) - coupés en diagonales, 1 poivron rouge (Capsicum) - coupé en lanières, 1 cuillère à soupe d'huile d'olive extra vierge, 1 cuillère à café d'herbes mélangées (séchées), 4 gousses d'ail finement hachées, 2 cuillères à soupe de feuilles de persil finement hachées, sel - au goût, 3 pommes de terre (Aloo) - bouillies et pelées, sel - au goût, 1 cuillère à café de beurre, 1/2 cuillère à café de poivre noir en poudre, 1 cuillère à café de jus de citron, 2 cuillères à café de farine tout usage (Maida), 1/4 tasse d'eau</t>
  </si>
  <si>
    <t>2 Chicken breasts,6 cloves Garlic - finely chopped,2 tablespoons Mixed Herbs (Dried),2 tablespoons Lemon juice,2 tablespoons Extra Virgin Olive Oil,1/2 teaspoon Tabasco Original - Hot Sauce,1/2 tablespoon Red Chilli flakes,4 sprig Parsley leaves - finely chopped,2 teaspoons Honey,Salt - salt to taste,1 Carrot (Gajjar) - cut into strips,1 Green zucchini - cut into strips,6 Baby corn - cut into strips,10 Green beans (French Beans) - cut into diagonals,1 Red Bell pepper (Capsicum) - cut into strips,1 tablespoon Extra Virgin Olive Oil,1 teaspoon Mixed Herbs (Dried),4 cloves Garlic - finely chopped,2 tablespoons Parsley leaves - finely chopped,Salt - to taste,3 Potatoes (Aloo) - hot boiled and peeled,Salt - to taste,1 teaspoon Butter,1/2 teaspoon Black pepper powder,1 teaspoon Lemon juice,2 teaspoons All Purpose Flour (Maida),1/4 cup Water</t>
  </si>
  <si>
    <t>2 pechugas de pollo, 6 dientes de ajo finamente picados, 2 cucharadas de hierbas mixtas (secas), 2 cucharadas de jugo de limón, 2 cucharadas de aceite de oliva virgen extra, 1/2 cucharadita de salsa picante Tabasco Original, 1/2 cucharada de hojuelas de chile rojo, 4 ramitas de hojas de perejil finamente picadas, 2 cucharaditas de miel, sal - sal al gusto, 1 zanahoria (Gajjar) - cortada en tiras, 1 calabacín verde - cortado en tiras, 6 mazorcas de maíz bebé - cortadas en tiras, 10 judías verdes (judías verdes) - cortadas en diagonal, 1 pimiento rojo (Capsicum) - cortado en tiras, 1 cucharada de aceite de oliva virgen extra, 1 cucharadita de hierbas mixtas (secas), 4 dientes de ajo finamente picados, 2 cucharadas de hojas de perejil finamente picadas, sal - al gusto, 3 patatas (Aloo) - hervidas y peladas, sal - al gusto, 1 cucharadita de mantequilla, 1/2 cucharadita de pimienta negra en polvo, 1 cucharadita de jugo de limón, 2 cucharaditas de harina para todo uso (Maida),1/4 taza de agua</t>
  </si>
  <si>
    <t xml:space="preserve">To begin making the Chicken Steak Recipe With Pan Roasted Vegetables &amp; Potato Mash, thoroughly wash and clean the chicken pieces, keeping the entire breast piece intact. For the chicken marinade In a mixing bowl, combine the garlic, mixed herbs, lemon juice, olive oil, tabasco sauce, red chilli flakes, parsley leaves, honey and salt. Add the chicken breasts into this bowl, and massage the marinade on to the chicken. Rest this for about an hour. Heat a skillet on medium flame, once hot, place the chicken on it and cook on both sides for about 3 minutes on each side, basting the remaining marinade while pan roasting the chicken. Once done, transfer to a plate and allow it to rest. Heat the same pan on medium heat, add the remaining marinade into this pan. Make a slurry by mixing the all purpose flour along with the water and add this slurry into the pan which has the marinade. Bring to a single boil and allow the sauce to cook and thicken and turn off the flame. This is the sauce for the chicken steak. To make the Pan Roasted VegetablesHeat a skillet on medium-high heat with some olive oil, add the garlic and saute until it turns into a light brown colour. This will take about a minute. Next add the vegetables that are cut into strips and saute until they are just about cooked, yet crunchy at the same time. Add the salt, mixed herbs, parsley, salt and  mix well. Turn off the flame and set aside. To make the Potato MashIn a mixing bowl, combine the steaming hot boiled potatoes along with salt, butter, black pepper powder, lemon juice and mash well with the back of a serving spoon/ladle. Continue to mix and mash until you get a soft smooth mash then set aside. To assemble the Chicken sizzler, in a serving plate, place the pan roasted vegetables, potato mash and the pan roasted chicken breast. Pour the steak sauce just before serving.  Ensure you preheat your sizzle pan in the oven or over the stove top, to give it a sizzling effect.Serve this Chicken Steak Recipe With Pan Roasted Vegetables &amp; Potato Mash along with Cinnamon Spiced Orange Iced Tea Recipe, finish this meal with a dessert of Dark Chocolate Pots De Crème Recipe. 
</t>
  </si>
  <si>
    <t>Para comenzar a hacer la Receta de Filete de Pollo con Vegetales Asados ​​​​y Puré de Papas, lave y limpie bien las piezas de pollo, manteniendo intacta la pechuga entera. Para la marinada del pollo En un tazón, combine el ajo, las hierbas mixtas, el jugo de limón, el aceite de oliva, la salsa tabasco, las hojuelas de chile rojo, las hojas de perejil, la miel y la sal. Agregue las pechugas de pollo a este tazón y masajee la marinada sobre el pollo. Deje reposar esto durante aproximadamente una hora. Caliente una sartén a fuego medio, una vez caliente, coloque el pollo encima y cocine por ambos lados durante aproximadamente 3 minutos por cada lado, rociando la marinada restante mientras asa el pollo en la sartén. Una vez hecho esto, transfiéralo a un plato y déjelo reposar. Caliente la misma sartén a fuego medio, agregue la marinada restante a esta sartén. Haga una papilla mezclando la harina para todo uso junto con el agua y agregue esta papilla a la sartén que tiene la marinada. Poner a hervir y dejar que la salsa se cocine y espese, apagar el fuego. Esta es la salsa para el filete de pollo. Para hacer las verduras asadas en sartén, calentar una sartén a fuego medio-alto con un poco de aceite de oliva, añadir el ajo y saltear hasta que adquiera un color marrón claro. Esto tardará aproximadamente un minuto. A continuación, añadir las verduras cortadas en tiras y saltear hasta que estén casi cocidas, pero crujientes al mismo tiempo. Añadir la sal, las hierbas mixtas, el perejil, la sal y mezclar bien. Apagar el fuego y reservar. Para hacer el puré de patatas, en un bol, combinar las patatas hervidas humeantes junto con la sal, la mantequilla, la pimienta negra en polvo, el zumo de limón y machacar bien con el dorso de una cuchara o cucharón para servir. Seguir mezclando y machacando hasta obtener un puré suave y liso, y reservar. Para armar el pollo a la brasa, en un plato, coloca las verduras asadas, el puré de papas y la pechuga de pollo asada. Vierte la salsa justo antes de servir. Asegúrate de precalentar la sartén en el horno o sobre la estufa para que quede bien caliente. Sirve esta receta de filete de pollo con verduras asadas y puré de papas junto con el té helado de naranja con especias de canela. Termina esta comida con un postre de crema de chocolate negro.</t>
  </si>
  <si>
    <t>Pour commencer à préparer la recette de steak de poulet avec légumes poêlés et purée de pommes de terre, lavez et nettoyez soigneusement les morceaux de poulet, en gardant le morceau de poitrine entier intact. Pour la marinade du poulet Dans un bol, mélangez l'ail, les herbes mélangées, le jus de citron, l'huile d'olive, la sauce tabasco, les flocons de piment rouge, les feuilles de persil, le miel et le sel. Ajoutez les poitrines de poulet dans ce bol et massez la marinade sur le poulet. Laissez reposer pendant environ une heure. Faites chauffer une poêle à feu moyen, une fois chaude, placez le poulet dessus et faites-le cuire des deux côtés pendant environ 3 minutes de chaque côté, en arrosant le reste de la marinade pendant que vous faites rôtir le poulet à la poêle. Une fois terminé, transférez-le dans une assiette et laissez-le reposer. Faites chauffer la même poêle à feu moyen, ajoutez le reste de la marinade dans cette poêle. Préparez une bouillie en mélangeant la farine tout usage avec l'eau et ajoutez cette bouillie dans la poêle qui contient la marinade. Portez à ébullition et laissez la sauce cuire et épaissir, puis éteignez le feu. C'est la sauce pour le steak de poulet. Pour préparer les légumes rôtis à la poêle, faites chauffer une poêle à feu moyen-vif avec un peu d'huile d'olive, ajoutez l'ail et faites-le revenir jusqu'à ce qu'il prenne une couleur brun clair. Cela prendra environ une minute. Ajoutez ensuite les légumes coupés en lanières et faites-les revenir jusqu'à ce qu'ils soient presque cuits, mais croustillants en même temps. Ajoutez le sel, les herbes mélangées, le persil, le sel et mélangez bien. Éteignez le feu et réservez. Pour préparer la purée de pommes de terre Dans un saladier, mélangez les pommes de terre bouillies fumantes avec le sel, le beurre, le poivre noir en poudre, le jus de citron et écrasez bien avec le dos d'une cuillère/louche de service. Continuez à mélanger et à écraser jusqu'à obtenir une purée lisse et douce, puis réservez. Pour assembler le poulet grésillant, dans une assiette de service, placez les légumes rôtis à la poêle, la purée de pommes de terre et la poitrine de poulet rôtie à la poêle. Versez la sauce au steak juste avant de servir. Assurez-vous de préchauffer votre poêle à frire au four ou sur la cuisinière pour lui donner un effet grésillant. Servez cette recette de steak de poulet avec des légumes rôtis à la poêle et de la purée de pommes de terre avec une recette de thé glacé à l'orange épicé à la cannelle. Terminez ce repas avec un dessert de recette de pots de crème au chocolat noir.</t>
  </si>
  <si>
    <t>https://www.archanaskitchen.com/chicken-steak-recipe-with-pan-roasted-vegetables-potato-mash</t>
  </si>
  <si>
    <t>Zucchini &amp; Red Pepper Muffin Recipe</t>
  </si>
  <si>
    <t>Rezept für Zucchini-Paprika-Muffins</t>
  </si>
  <si>
    <t>Recette de muffins aux courgettes et aux poivrons</t>
  </si>
  <si>
    <t>Receta de muffins de calabacín y pimiento</t>
  </si>
  <si>
    <t>2 courgettes vertes râpées, 2 oignons verts finement hachés, 4 gousses d'ail râpées, 1 cuillère à soupe de feuilles d'aneth grossièrement hachées, 1 poivron rouge finement haché, 1 pomme de terre bouillie et écrasée, sel au goût, 1/2 cuillère à café de poivre noir en poudre grossièrement moulu, 2 cuillères à soupe de parmesan râpé, 1/4 tasse de chapelure de blé entier, 2 cuillères à soupe d'huile d'olive extra vierge, 1 cuillère à café de levure chimique</t>
  </si>
  <si>
    <t>2 Green zucchini - grated,2 Spring Onion Greens - finely chopped,4 cloves Garlic - grated,1 tablespoon Dill leaves - roughly chopped,1 Red Bell pepper (Capsicum) - finely chopped,1 Potato (Aloo) - boiled and mashed,Salt - to taste,1/2 teaspoon Black pepper powder - coarsely ground,2 tablespoons Parmesan cheese - grated,1/4 cup Whole Wheat Bread crumbs,2 tablespoons Extra Virgin Olive Oil,1 teaspoon Baking powder</t>
  </si>
  <si>
    <t>2 calabacines verdes rallados, 2 cebolletas verdes finamente picadas, 4 dientes de ajo rallados, 1 cucharada de hojas de eneldo picadas gruesas, 1 pimiento morrón rojo picado finamente, 1 patata hervida y machacada, sal al gusto, 1/2 cucharadita de pimienta negra en polvo molida gruesa, 2 cucharadas de queso parmesano rallado, 1/4 taza de pan rallado integral, 2 cucharadas de aceite de oliva virgen extra, 1 cucharadita de levadura en polvo</t>
  </si>
  <si>
    <t xml:space="preserve">To begin making the Zucchini &amp; Red Pepper Muffin Recipe, get all the ingredients ready and grease a muffin pan with some olive oil and keep aside.Preheat the oven to 180 C.Into a pan; heat the olive oil, add in the garlic, onions, red peppers and sauté until the red peppers and onions are well roasted.Add in the grated zucchini and stir fry for a few seconds until slightly softened. Allow the mixture to cool completely.Into a large bow, stir the sautéed vegetables, the potatoes and the remaining ingredients. You can use a stand mixer or even use your hands to mix them all together.Scoop the Zucchini &amp; Red Pepper Muffin into the greased muffin moulds.Place the muffin tray into the preheated oven and bake for about 25 minutes until you notice that the tops are golden and crusty and are firm to touch.Serve the Zucchini &amp; Red Pepper Muffin Recipe along with Spicy Mexican Salsa or a relish or even the plain old tomato ketchup. And so make sure you serve it along with a tall glass of lemonade that will go really well with the muffins. They're perfect for picnics or lunchboxes too.
</t>
  </si>
  <si>
    <t>Para empezar a preparar la receta de muffins de calabacín y pimiento rojo, prepara todos los ingredientes y engrasa un molde para muffins con un poco de aceite de oliva. Reserva. Precalienta el horno a 180 °C. En una sartén, calienta el aceite de oliva, añade el ajo, la cebolla y los pimientos rojos y sofríe hasta que los pimientos y la cebolla estén bien asados. Añade el calabacín rallado y sofríe unos segundos hasta que esté ligeramente blando. Deja que la mezcla se enfríe por completo. En un bol grande, mezcla las verduras salteadas, las patatas y el resto de los ingredientes. Puedes usar una batidora de pie o incluso usar tus manos para mezclarlos todos juntos. Vierte el Muffin de Calabacín y Pimiento Rojo en los moldes para muffins engrasados. Coloca la bandeja para muffins en el horno precalentado y hornea durante unos 25 minutos hasta que notes que la superficie está dorada y crujiente y firme al tacto. Sirve la Receta de Muffins de Calabacín y Pimiento Rojo junto con Salsa Mexicana Picante o un relish o incluso el clásico kétchup de tomate. Y asegúrate de servirlo junto con un vaso alto de limonada que irá muy bien con los muffins. También son perfectos para picnics o loncheras.</t>
  </si>
  <si>
    <t>Pour commencer à préparer la recette de muffins aux courgettes et poivrons rouges, préparez tous les ingrédients et graissez un moule à muffins avec un peu d'huile d'olive et réservez. Préchauffez le four à 180 °C. Dans une poêle, faites chauffer l'huile d'olive, ajoutez l'ail, les oignons, les poivrons rouges et faites revenir jusqu'à ce que les poivrons rouges et les oignons soient bien rôtis. Ajoutez les courgettes râpées et faites sauter pendant quelques secondes jusqu'à ce qu'elles soient légèrement ramollies. Laissez le mélange refroidir complètement. Dans un grand bol, mélangez les légumes sautés, les pommes de terre et le reste des ingrédients. Vous pouvez utiliser un batteur sur socle ou même utiliser vos mains pour tout mélanger. Versez le muffin aux courgettes et poivrons rouges dans les moules à muffins graissés. Placez le moule à muffins dans le four préchauffé et faites cuire pendant environ 25 minutes jusqu'à ce que vous remarquiez que le dessus est doré et croustillant et qu'il est ferme au toucher. Servez la recette de muffins aux courgettes et poivrons rouges avec de la salsa mexicaine épicée ou une relish ou même du ketchup nature. Assurez-vous donc de le servir avec un grand verre de limonade qui ira très bien avec les muffins. Ils sont également parfaits pour les pique-niques ou les boîtes à lunch.</t>
  </si>
  <si>
    <t>https://www.archanaskitchen.com/courgette-red-pepper-muffin-recipe</t>
  </si>
  <si>
    <t>No Bake Lemon Bars Recipe</t>
  </si>
  <si>
    <t>Rezept für Zitronenriegel ohne Backen</t>
  </si>
  <si>
    <t>Recette de barre au citron sans cuisson</t>
  </si>
  <si>
    <t>Receta de barra de limón sin horno</t>
  </si>
  <si>
    <t>1 tasse de chapelure de biscuits Graham (par exemple, biscuits Marie en poudre), 1/4 tasse de beurre fondu, 1/4 tasse de sucre en poudre, 1 cuillère à soupe de zeste de citron, 1/3 tasse de jus de citron, 2 cuillères à soupe de farine de maïs, 1-1/2 cuillère à soupe d'agar-agar, 1/2 tasse d'eau, 1/2 tasse de sucre, 1/2 tasse de crème fraîche ou de lait, 1 pincée de colorant alimentaire jaune (facultatif), sucre glace (au besoin), feuilles de menthe (Pudina) (au besoin)</t>
  </si>
  <si>
    <t>1 cup Graham cracker crumbs - (eg. marie biscuits powdered),1/4 cup Butter - melted,1/4 cup Caster Sugar,1 tablespoon Lemon zest,1/3 cup Lemon juice,2 tablespoon Corn flour,1-1/2 tablespoon Agar agar,1/2 cup Water,1/2 cup Sugar,1/2 cup Fresh cream - or milk,1 pinch Yellow food colour - optional,Icing Sugar - as required,Mint Leaves (Pudina) - as required</t>
  </si>
  <si>
    <t>1 taza de migas de galletas Graham (por ejemplo, galletas María en polvo), 1/4 taza de mantequilla derretida, 1/4 taza de azúcar extrafino, 1 cucharada de ralladura de limón, 1/3 taza de jugo de limón, 2 cucharadas de harina de maíz, 1-1/2 cucharada de agar agar, 1/2 taza de agua, 1/2 taza de azúcar, 1/2 taza de crema fresca o leche, 1 pizca de colorante alimentario amarillo (opcional), azúcar glas (al gusto), hojas de menta (pudina) (al gusto)</t>
  </si>
  <si>
    <t xml:space="preserve">To begin making the No Bake Lemon Bars Recipe, in a blender add the cracker biscuits and blend into fine crumbs. Transfer the crumb to a wide bowl.Add melted butter, caster sugar and lemon zest to the crackers crumb. Mix well with your fingers. Line a Rectangular Tart Pan with parchment paper. Transfer the crumb to the pan and press it tight into a very firm even layer. Place it in fridge for about 30 minutes to set. This will be the base of the no bake lemon bar recipe.Next to make the filling, add agar powder and 1/2 cup water in a sauce pan. Place it on stove,and heat it with constant stirring until agar powder dissolves and starts to thicken up.Once the agar powder starts to thicken, add sugar and keep stirring until sugar is completely dissolved.Mix corn flour into lemon juice and make sure no lumps are present. Add this mix to the agar mixture. Stir well. Stir frequently and continue to cook until the mixture has thickened and coats the back of the wooden spoon.Add fresh cream and whisk well. If you adding yellow food color, add it now. Remove the crumb base from the fridge and pour the lemony filling. With a clean flat spatula even the top layer of the lemon bar. Once the filling cools down, pop it into fridge for about 2 to 3 hours or until set and firmed up.Once the No Bake Lemon Bars are fully set remove from fridge and using a sharp knife cut into squares or rectangles.When you are ready to serve the Lemon Bars, dust with icing sugar and serve topped with mint leaves.
</t>
  </si>
  <si>
    <t>Para empezar a preparar las Barras de Limón sin Horno, en una licuadora, añade las galletas y tritura hasta obtener migas finas. Transfiere la migas a un tazón ancho. Agrega la mantequilla derretida, el azúcar extrafino y la ralladura de limón a las migas de galletas. Mezcla bien con los dedos. Cubre un molde rectangular para tarta con papel vegetal. Transfiere la migas al molde y presiónala bien hasta formar una capa uniforme y firme. Colócala en el refrigerador durante unos 30 minutos para que cuaje. Esta será la base de la receta de las barras de limón sin horno. A continuación, para preparar el relleno, añade agar en polvo y 1/2 taza de agua en una cacerola. Colócala en la estufa y caliéntala revolviendo constantemente hasta que el agar en polvo se disuelva y comience a espesar. Una vez que el agar en polvo comience a espesar, agrega el azúcar y sigue revolviendo hasta que se disuelva por completo. Mezcla la harina de maíz con el jugo de limón y asegúrate de que no queden grumos. Agrega esta mezcla a la mezcla de agar. Revuelve bien. Remueve con frecuencia y continúa cocinando hasta que la mezcla espese y cubra el dorso de la cuchara de madera. Agrega crema fresca y bate bien. Si vas a agregar colorante amarillo, agrégalo ahora. Retira la base de migas del refrigerador y vierte el relleno de limón. Con una espátula limpia y plana, nivela la capa superior de la barra de limón. Una vez que el relleno se enfríe, mételo en el refrigerador durante 2 o 3 horas o hasta que esté firme. Una vez que las Barras de Limón Sin Horno estén completamente cuajadas, sácalas del refrigerador y, con un cuchillo afilado, córtalas en cuadrados o rectángulos. Cuando estés listo para servir las Barras de Limón, espolvorea con azúcar glas y sírvelas cubiertas con hojas de menta.</t>
  </si>
  <si>
    <t>Pour commencer la recette des barres au citron sans cuisson, ajoutez les biscuits au blender et mixez-les finement. Transférez la chapelure dans un grand saladier. Ajoutez le beurre fondu, le sucre semoule et le zeste de citron. Mélangez bien avec les doigts. Chemisez un moule à tarte rectangulaire de papier sulfurisé. Transférez la chapelure dans le moule et tassez-la bien pour obtenir une couche bien ferme et uniforme. Placez au réfrigérateur pendant environ 30 minutes pour qu'elle prenne. Ce sera la base de la recette des barres au citron sans cuisson. Ensuite, pour préparer la garniture, ajoutez la poudre d'agar-agar et 120 ml d'eau dans une casserole. Placez-la sur le feu et faites chauffer en remuant constamment jusqu'à ce que la poudre d'agar se dissolve et commence à épaissir. Une fois que la poudre d'agar commence à épaissir, ajoutez le sucre et continuez à remuer jusqu'à ce qu'il soit complètement dissous. Mélangez la fécule de maïs avec le jus de citron en veillant à ce qu'il n'y ait pas de grumeaux. Ajoutez ce mélange à la préparation d'agar-agar. Bien mélanger. Remuez fréquemment et poursuivez la cuisson jusqu'à ce que le mélange épaississe et nappe le dos de la cuillère en bois. Ajoutez la crème fraîche et fouettez bien. Si vous ajoutez du colorant alimentaire jaune, ajoutez-le maintenant. Sortez la base du réfrigérateur et versez la garniture citronnée. À l'aide d'une spatule plate propre, égalisez la couche supérieure de la barre au citron. Une fois la garniture refroidie, placez-la au réfrigérateur pendant environ 2 à 3 heures ou jusqu'à ce qu'elle soit prise et ferme. Une fois les barres au citron sans cuisson bien cuites, retirez-les du réfrigérateur et, à l'aide d'un couteau bien aiguisé, découpez-les en carrés ou en rectangles. Au moment de servir, saupoudrez de sucre glace et servez garnies de feuilles de menthe.</t>
  </si>
  <si>
    <t>http://www.archanaskitchen.com/no-bake-lemon-bars-recipe</t>
  </si>
  <si>
    <t>Chocolate Doughnut Recipe</t>
  </si>
  <si>
    <t>Rezept für Schokoladendonuts</t>
  </si>
  <si>
    <t>Recette de beignets au chocolat</t>
  </si>
  <si>
    <t>Receta de donuts de chocolate</t>
  </si>
  <si>
    <t>1/2 tasse de lait chaud, 1 cuillère à café de sucre, 1 cuillère à café de levure sèche active, 2 tasses de farine tout usage (Maida), 1/4 cuillère à café de levure chimique, 2 cuillères à soupe de beurre à température ambiante, 1 pincée de sel, eau au besoin, huile de tournesol pour frire et graisser, 1 tasse de sucre en poudre, 1/4 tasse de cacao en poudre, 1 cuillère à café d'extrait de vanille, 3 cuillères à soupe de lait</t>
  </si>
  <si>
    <t>1/2 cup Milk - warm,1 teaspoon Sugar,1 teaspoon Active dry yeast,2 cups All Purpose Flour (Maida),1/4 teaspoon Baking powder,2 tablespoons Butter - at room temperature,1 pinch Salt,Water - as required,Sunflower Oil - to deep fry and grease,1 cup Caster Sugar,1/4 cup Cocoa Powder,1 teaspoon Vanilla Extract,3 tablespoons Milk</t>
  </si>
  <si>
    <t>1/2 taza de leche tibia, 1 cucharadita de azúcar, 1 cucharadita de levadura seca activa, 2 tazas de harina multiusos (Maida), 1/4 cucharadita de polvo para hornear, 2 cucharadas de mantequilla a temperatura ambiente, 1 pizca de sal, agua (según se requiera), aceite de girasol para freír y engrasar, 1 taza de azúcar extrafino, 1/4 taza de cacao en polvo, 1 cucharadita de extracto de vainilla, 3 cucharadas de leche</t>
  </si>
  <si>
    <t xml:space="preserve">To begin making Chocolate Doughnut Recipe, activate yeast by adding milk and sugar and resting it for 10 minutes.Now add maida, baking powder, butter and salt.Combine and knead it to smooth dough, adding water as required.Grease, cover and rest for 1-2 hours.Once the dough has raised very well, nearly doubling in its size, punch the dough to release the trapped air and roll slightly thick using a rolling pin.Now with the help of cutter, cut to doughnut shapes and arrange on a greased parchment paper. Allow to rest in warm place for 2 hours.Heat a deep frying pan with enough sunflower oil. Once the oil is hot, on medium heat, deep fry each doughnut till golden brown. Take off from oil and drain on a paper towel.Dip the doughnuts and serve chocolate donuts sprinkled with sugar crystals. This step is completely optional. You can skip adding the coloured sprinkles as well.Serve this Chocolate Doughnut Recipe as a party dessert or as a snack to kids along with Banana Almond &amp; Prunes Smoothie Recipe.
</t>
  </si>
  <si>
    <t>Para comenzar a hacer la Receta de Donuts de Chocolate, active la levadura agregando leche y azúcar y dejándola reposar durante 10 minutos. Ahora agregue maida, polvo para hornear, mantequilla y sal. Combine y amáselo hasta obtener una masa suave, agregando agua según sea necesario. Engrase, cubra y deje reposar durante 1-2 horas. Una vez que la masa haya subido muy bien, casi duplicando su tamaño, golpee la masa para liberar el aire atrapado y estírela ligeramente con un rodillo. Ahora, con la ayuda de un cortador, corte en forma de donuts y colóquelos en un papel de pergamino engrasado. Deje reposar en un lugar cálido durante 2 horas. Caliente una sartén profunda con suficiente aceite de girasol. Una vez que el aceite esté caliente, a fuego medio, fríe cada donut hasta que esté dorado. Retire del aceite y escurra sobre una toalla de papel. Sumerja los donuts y sirva donuts de chocolate espolvoreados con cristales de azúcar. Este paso es completamente opcional. También puedes omitir la adición de chispas de colores. Sirve esta receta de donut de chocolate como postre para una fiesta o como refrigerio para niños junto con la receta de batido de plátano, almendras y ciruelas pasas.</t>
  </si>
  <si>
    <t>Pour commencer à préparer la recette de beignets au chocolat, activez la levure en ajoutant du lait et du sucre et laissez reposer 10 minutes. Ajoutez ensuite la maida, la levure chimique, le beurre et le sel. Mélangez et pétrissez jusqu'à obtenir une pâte lisse, en ajoutant de l'eau si nécessaire. Graissez, couvrez et laissez reposer 1 à 2 heures. Une fois que la pâte a bien levé, doublant presque de volume, percez la pâte pour libérer l'air emprisonné et étalez-la légèrement épaisse à l'aide d'un rouleau à pâtisserie. Maintenant, à l'aide d'un emporte-pièce, découpez des formes de beignets et disposez-les sur du papier sulfurisé graissé. Laissez reposer dans un endroit chaud pendant 2 heures. Faites chauffer une poêle profonde avec suffisamment d'huile de tournesol. Une fois l'huile chaude, à feu moyen, faites frire chaque beignet jusqu'à ce qu'il soit doré. Retirez-le de l'huile et égouttez-le sur du papier absorbant. Trempez les beignets et servez les beignets au chocolat saupoudrés de cristaux de sucre. Cette étape est totalement facultative. Vous pouvez également ignorer l'ajout de vermicelles colorés. Servez cette recette de beignet au chocolat comme dessert de fête ou comme collation pour les enfants avec la recette de smoothie banane, amandes et pruneaux.</t>
  </si>
  <si>
    <t>http://www.archanaskitchen.com/chocolate-doughnut-recipe</t>
  </si>
  <si>
    <t>Caramelized Carrots &amp; Pumpkin Seeds Cake Recipe</t>
  </si>
  <si>
    <t>Rezept für Kuchen mit karamellisierten Karotten und Kürbiskernen</t>
  </si>
  <si>
    <t>Recette de gâteau aux carottes caramélisées et aux graines de courge</t>
  </si>
  <si>
    <t>Receta de pastel de zanahoria caramelizada y semillas de calabaza</t>
  </si>
  <si>
    <t>1 tasse de farine de blé entier, 1/3 tasse de graines de citrouille grillées, 1 cuillère à café de levure chimique, 1/2 cuillère à café de bicarbonate de soude, 1/4 cuillère à café de sel, 1/2 cuillère à café de cannelle en poudre (Dalchini), 1 tasse de sucre en poudre, 2 œufs entiers, 1-1/2 tasse de carottes (Gajjar) râpées, 1/2 tasse d'huile de tournesol, 1/3 tasse de lait, 1 cuillère à soupe de beurre, 2 cuillères à soupe d'eau, 1 cuillère à café d'extrait de vanille</t>
  </si>
  <si>
    <t>1 cup Whole Wheat Flour,1/3 cup Pumpkin seeds - roasted,1 teaspoon Baking powder,1/2 teaspoon Baking soda,1/4 teaspoon Salt,1/2 teaspoon Cinnamon Powder (Dalchini),1 cup Sugar - powdered,2 Whole Eggs,1-1/2 cups Carrots (Gajjar) - grated,1/2 cup Sunflower Oil,1/3 cup Milk,1 tablespoon Butter,2 tablespoons Water,1 teaspoon Vanilla Extract</t>
  </si>
  <si>
    <t>1 taza de harina integral, 1/3 taza de semillas de calabaza tostadas, 1 cucharadita de polvo para hornear, 1/2 cucharadita de bicarbonato de sodio, 1/4 cucharadita de sal, 1/2 cucharadita de canela en polvo (dalchini), 1 taza de azúcar en polvo, 2 huevos enteros, 1-1/2 tazas de zanahorias (gajjar) ralladas, 1/2 taza de aceite de girasol, 1/3 taza de leche, 1 cucharada de mantequilla, 2 cucharadas de agua, 1 cucharadita de extracto de vainilla</t>
  </si>
  <si>
    <t xml:space="preserve">To begin making a Caramelized Carrots &amp; Pumpkin Seeds Cake Recipe, firstly let us caramelize the carrots.In a pan, take 1/2 cup powdered sugar and 2 tablespoons of water. Put it on low to medium heat and let it form a syrup.When the sugar syrup turns to an amber color reduce to the lowest flame possible, add butter and whisk vigorously. Once combined, add the grated carrots and mix well.Let it cook for 5 minutes. Turn off the flame and allow the carrots to cool. Preheat the oven at 180 degrees and grease the cake pan with oil and dust with flour. In a mixing bowl, sift flour, baking powder, baking soda, salt, cinnamon powder and keep it aside. In a separate large bowl, crack open the eggs and remaining 1/2 cup sugar. Beat using a whisk or a hand blender, until the mixture becomes pale and fluffy. This will take about 5 minutes. Next add in 1/2 cup oil, 1 teaspoon vanilla extract and beat until all ingredients are well combined.Now, add the cooled caramelized carrots and milk and mix at lowest speed if you are using a hand mixer, else fold the caramelized carrots slowly into the egg mixture. Next, slowly add the sifted flour mixture and the pumpkin seeds and gently fold in. Do not over mix.Pour the batter into the greased pan and bake at 180 degrees for about 25-30 minutes or until a toothpick inserted comes out clean. To check if the cake is done is to insert a toothpick or a knife and if it comes out clean then the cake is done.This Caramelized Carrots &amp; Pumpkin Seeds Cake Recipe can be served to kids as an after school snack along with Peanut Butter Oats &amp; Banana Smoothie Recipe or can also be packed into their Snack boxes. Serve Caramelized Carrots &amp; Pumpkin Seeds Cake Recipe as a Tea Time cake along with a cup of Basil Tea or Masala Chai at tea time. Or you could also serve it as a dessert sundae by topping this Warm carrot cake with Caramel Sauce Recipe and  a scoop of vanilla or butterscotch ice cream. 
</t>
  </si>
  <si>
    <t>Para comenzar a hacer una receta de pastel de zanahorias caramelizadas y semillas de calabaza, primero caramelicemos las zanahorias. En una sartén, tome 1/2 taza de azúcar en polvo y 2 cucharadas de agua. Póngalo a fuego bajo a medio y deje que se forme un jarabe. Cuando el jarabe de azúcar se vuelva de color ámbar, reduzca a la llama más baja posible, agregue la mantequilla y bata vigorosamente. Una vez combinado, agregue las zanahorias ralladas y mezcle bien. Deje cocinar durante 5 minutos. Apague el fuego y deje que las zanahorias se enfríen. Precaliente el horno a 180 grados y engrase el molde para pastel con aceite y espolvoree con harina. En un tazón, tamice la harina, el polvo para hornear, el bicarbonato de sodio, la sal, la canela en polvo y déjelo a un lado. En un tazón grande aparte, rompa los huevos y la 1/2 taza de azúcar restante. Bata con un batidor o una batidora de mano, hasta que la mezcla se vuelva pálida y esponjosa. Esto tomará aproximadamente 5 minutos. A continuación, agregue 1/2 taza de aceite, 1 cucharadita de extracto de vainilla y bata hasta que todos los ingredientes estén bien combinados. Ahora, agregue las zanahorias caramelizadas enfriadas y la leche y mezcle a la velocidad más baja si está usando una batidora de mano, de lo contrario, incorpore lentamente las zanahorias caramelizadas a la mezcla de huevo. A continuación, agregue lentamente la mezcla de harina tamizada y las semillas de calabaza y mezcle suavemente. No mezcle demasiado. Vierta la masa en el molde engrasado y hornee a 180 grados durante aproximadamente 25-30 minutos o hasta que al insertar un palillo, este salga limpio. Para comprobar si el pastel está listo, inserte un palillo o un cuchillo y si sale limpio, entonces el pastel está listo. Esta receta de pastel de zanahorias caramelizadas y semillas de calabaza se puede servir a los niños como una merienda después de la escuela junto con la receta de batido de avena con mantequilla de maní y plátano o también se puede empacar en sus cajas de refrigerios. Sirva la receta de pastel de zanahorias caramelizadas y semillas de calabaza como un pastel para la hora del té junto con una taza de té de albahaca o masala chai. O también puede servirlo como un postre sundae cubriendo esta receta de pastel de zanahoria tibio con salsa de caramelo y una bola de helado de vainilla o caramelo.</t>
  </si>
  <si>
    <t>Pour commencer à préparer une recette de gâteau aux carottes caramélisées et aux graines de citrouille, commençons par caraméliser les carottes. Dans une casserole, prenez 1/2 tasse de sucre en poudre et 2 cuillères à soupe d'eau. Mettez-le sur feu doux à moyen et laissez-le former un sirop. Lorsque le sirop de sucre prend une couleur ambrée, réduisez au feu le plus bas possible, ajoutez le beurre et fouettez vigoureusement. Une fois combiné, ajoutez les carottes râpées et mélangez bien. Laissez cuire 5 minutes. Éteignez le feu et laissez les carottes refroidir. Préchauffez le four à 180 degrés et graissez le moule à gâteau avec de l'huile et saupoudrez de farine. Dans un saladier, tamisez la farine, la levure chimique, le bicarbonate de soude, le sel, la cannelle en poudre et réservez. Dans un grand bol séparé, cassez les œufs et le reste de sucre (1/2 tasse). Battez à l'aide d'un fouet ou d'un mixeur plongeant jusqu'à ce que le mélange devienne pâle et mousseux. Cela prendra environ 5 minutes. Ajoutez ensuite 1/2 tasse d'huile, 1 cuillère à café d'extrait de vanille et battez jusqu'à ce que tous les ingrédients soient bien mélangés. Maintenant, ajoutez les carottes caramélisées refroidies et le lait et mélangez à la vitesse la plus basse si vous utilisez un batteur à main, sinon incorporez lentement les carottes caramélisées au mélange d'œufs. Ensuite, ajoutez lentement le mélange de farine tamisée et les graines de citrouille et incorporez délicatement. Ne mélangez pas trop. Versez la pâte dans le moule graissé et faites cuire au four à 180 degrés pendant environ 25 à 30 minutes ou jusqu'à ce qu'un cure-dent inséré en ressorte propre. Pour vérifier si le gâteau est cuit, insérez un cure-dent ou un couteau et s'il en ressort propre, le gâteau est cuit. Cette recette de gâteau aux carottes caramélisées et aux graines de citrouille peut être servie aux enfants comme collation après l'école avec la recette de smoothie au beurre de cacahuète, à l'avoine et à la banane ou peut également être emballée dans leurs boîtes à collations. Servez la recette de gâteau aux carottes caramélisées et aux graines de citrouille comme un gâteau à l'heure du thé, accompagné d'une tasse de thé au basilic ou de masala chai. Vous pouvez également le servir comme un dessert en garnissant cette recette de gâteau aux carottes chaud avec sauce au caramel et d'une boule de glace à la vanille ou au caramel écossais.</t>
  </si>
  <si>
    <t>https://www.archanaskitchen.com/caramelized-carrots-pumpkin-seeds-cake-recipe</t>
  </si>
  <si>
    <t>Frozen Strawberry Yogurt Recipe</t>
  </si>
  <si>
    <t>Rezept für gefrorenen Erdbeerjoghurt</t>
  </si>
  <si>
    <t>Recette de yaourt glacé à la fraise</t>
  </si>
  <si>
    <t>Receta de yogur helado de fresa</t>
  </si>
  <si>
    <t>12 fraises, 2 cuillères à soupe de yaourt grec, 1 cuillère à café de sucre (facultatif)</t>
  </si>
  <si>
    <t>12 Strawberries,2 tablespoons Hung Curd (Greek Yogurt),1 teaspoon Sugar - optional</t>
  </si>
  <si>
    <t>12 fresas, 2 cucharadas de cuajada Hung (yogur griego), 1 cucharadita de azúcar (opcional)</t>
  </si>
  <si>
    <t xml:space="preserve">To begin the preparation of Frozen Strawberry Yogurt, wash and chop the strawberries first.Freeze the yogurt and chopped strawberries for atleast 30-45 minutes.Churn the frozen fruit and yogurt in an electric mixer. You may add sugar if required.Transfer the Frozen Strawberry Yogurt into a bowl and serve immediately as an after dinner dessert or after an hour of chilling in individual cups. Serve Frozen Strawberry Yogurt Recipe with No Bake Chocolate Coated Muesli Bars Recipe or Baked Mathri Recipe during evening, or you can even serve it as a dessert after dinner.
</t>
  </si>
  <si>
    <t>Para preparar el yogur helado de fresa, lava y pica las fresas. Congela el yogur y las fresas picadas durante al menos 30-45 minutos. Bate la fruta congelada y el yogur en una batidora eléctrica. Puedes añadir azúcar si lo deseas. Vierte el yogur helado de fresa en un bol y sírvelo inmediatamente como postre después de cenar o en vasitos individuales después de una hora de refrigeración. Sirve el yogur helado de fresa con la receta de barras de muesli cubiertas de chocolate sin horno o la receta de Mathri horneado por la noche, o incluso como postre después de cenar.</t>
  </si>
  <si>
    <t>Pour commencer la préparation du yaourt glacé aux fraises, lavez et coupez d'abord les fraises. Congelez le yaourt et les fraises coupées en morceaux pendant au moins 30 à 45 minutes. Battez les fruits congelés et le yaourt au batteur électrique. Vous pouvez ajouter du sucre si nécessaire. Transférez le yaourt glacé aux fraises dans un bol et servez immédiatement en dessert après le dîner ou après une heure de réfrigération dans des coupes individuelles. Servez la recette de yaourt glacé aux fraises avec la recette de barres de muesli enrobées de chocolat sans cuisson ou la recette de Mathri cuit au four le soir, ou vous pouvez même le servir en dessert après le dîner.</t>
  </si>
  <si>
    <t>http://www.archanaskitchen.com/frozen-strawberry-yogurt-recipe</t>
  </si>
  <si>
    <t>Coca Cola Bundt Cake Recipe</t>
  </si>
  <si>
    <t>Rezept für einen Coca-Cola-Gugelhupf</t>
  </si>
  <si>
    <t>Recette de gâteau Bundt au Coca-Cola</t>
  </si>
  <si>
    <t>Receta de pastel Bundt de Coca-Cola</t>
  </si>
  <si>
    <t>2 tasses de farine tout usage (Maida), 2 tasses de sucre en poudre, 1 tasse de Coca-Cola, 3 cuillères à soupe de poudre de cacao, 1/2 cuillère à café de poudre de café instantané - expresso, 1/2 tasse d'huile de tournesol, 1 tasse de babeurre, 2-1/2 cuillères à soupe de beurre (non salé), 1/2 cuillère à café de sel, 1 cuillère à café de levure chimique, 1 cuillère à café d'extrait de vanille, 1/2 tasse de beurre (non salé), 1/3 tasse de Coca-Cola, 1/4 tasse de poudre de cacao, 2 tasses de sucre en poudre, une pincée de sel, 1/2 cuillère à café de poudre de café filtre - expresso, 1/2 cuillère à café d'extrait de vanille</t>
  </si>
  <si>
    <t>2 cups All Purpose Flour (Maida),2 cups Caster Sugar,1 cup Coca cola,3 tablespoon Cocoa Powder,1/2 teaspoon Instant Coffee Powder - expresso,1/2 cup Sunflower Oil,1 cup Buttermilk,2-1/2 tablespoon Butter (unsalted),1/2 teaspoon Salt,1 teaspoon Baking powder,1 teaspoon Vanilla Extract,1/2 cup Butter (unsalted),1/3 cup Coca cola,1/4 cup Cocoa Powder,2 cups Caster Sugar,Salt - a pinch,1/2 teaspoon Filter Coffee Powder - expresso,1/2 teaspoon Vanilla Extract</t>
  </si>
  <si>
    <t>2 tazas de harina para todo uso (Maida), 2 tazas de azúcar extrafino, 1 taza de Coca-Cola, 3 cucharadas de cacao en polvo, 1/2 cucharadita de café instantáneo en polvo - expreso, 1/2 taza de aceite de girasol, 1 taza de suero de leche, 2-1/2 cucharadas de mantequilla (sin sal), 1/2 cucharadita de sal, 1 cucharadita de polvo para hornear, 1 cucharadita de extracto de vainilla, 1/2 taza de mantequilla (sin sal), 1/3 taza de Coca-Cola, 1/4 taza de cacao en polvo, 2 tazas de azúcar extrafino, sal - una pizca, 1/2 cucharadita de café de filtro en polvo - expreso, 1/2 cucharadita de extracto de vainilla</t>
  </si>
  <si>
    <t xml:space="preserve">To begin with the Coca Cola Bundt Cake Recipe, Pre Heat the oven at 180 degrees C for 12-15mins.Grease a bundt pan with oil or butter and dust with some flour and keep aside.Sift flour, combine with salt &amp; powdered sugar and keep aside.In a pan add coke, cocoa powder, oil, butter and espresso powder and boil.Turn off the flames and pour in the coke mix to the flour mix and mix well to make a batter.In a separate bowl, add buttermilk, baking powder and vanilla and whisk.Add the mix to the batter and fold in nicely such that everything incorporates well.Pour the batter into the bundt pan and gently tap to break the air bubbles formed.Bake the cake for 35-40 mins at 180 degrees C (or till the tooth pick inserted in the center comes out clean)Now for the Coca Cola Glaze, take a pan and heat butter, coke, cocoa powder, espresso powder, and salt.Bring the mix to a boil and turn off the gas.Add powdered sugar and vanilla extract and whisk vigorously until smooth and shiny.Pour the glaze over cooled bundt coca cola cake and later garnish with fresh cream or your favorite nuts or choco chips.Serve the Coca Cola Bundt Cake during tea time or as a dessert after a wonderful dinner. 
</t>
  </si>
  <si>
    <t>Para comenzar con la receta del pastel Bundt de Coca Cola, precaliente el horno a 180 grados C durante 12-15 minutos. Engrase un molde bundt con aceite o mantequilla y espolvoree con un poco de harina y reserve. Tamice la harina, combine con la sal y el azúcar en polvo y reserve. En una sartén agregue la Coca Cola, el cacao en polvo, el aceite, la mantequilla y el polvo de espresso y hierva. Apague las llamas y vierta la mezcla de Coca Cola a la mezcla de harina y mezcle bien para hacer una masa. En un recipiente aparte, agregue el suero de leche, el polvo de hornear y la vainilla y bata. Agregue la mezcla a la masa y doble bien para que todo se incorpore bien. Vierta la masa en el molde bundt y golpee suavemente para romper las burbujas de aire formadas. Hornee el pastel durante 35-40 minutos a 180 grados C (o hasta que el palillo insertado en el centro salga limpio) Ahora, para el glaseado de Coca Cola, tome una sartén y caliente la mantequilla, la Coca Cola, el cacao en polvo, el polvo de espresso y la sal. Lleve el Mezcle hasta que hierva y apague el gas. Agregue azúcar glas y extracto de vainilla y bata vigorosamente hasta que esté suave y brillante. Vierta el glaseado sobre el pastel Bundt de Coca Cola frío y luego decore con crema fresca o sus nueces o chispas de chocolate favoritas. Sirva el pastel Bundt de Coca Cola a la hora del té o como postre después de una cena maravillosa.</t>
  </si>
  <si>
    <t>Pour commencer la recette du gâteau Bundt au Coca-Cola, préchauffez le four à 180 degrés C pendant 12 à 15 minutes. Graissez un moule à bundt avec de l'huile ou du beurre et saupoudrez de farine et réservez. Tamisez la farine, mélangez-la avec le sel et le sucre en poudre et réservez. Dans une casserole, ajoutez le Coca-Cola, la poudre de cacao, l'huile, le beurre et la poudre d'espresso et faites bouillir. Éteignez le feu et versez le mélange de Coca-Cola dans le mélange de farine et mélangez bien pour faire une pâte. Dans un autre bol, ajoutez le babeurre, la levure chimique et la vanille et fouettez. Ajoutez le mélange à la pâte et incorporez bien pour que tout soit bien incorporé. Versez la pâte dans le moule à bundt et tapotez doucement pour briser les bulles d'air formées. Faites cuire le gâteau pendant 35 à 40 minutes à 180 degrés C (ou jusqu'à ce que le cure-dent inséré au centre en ressorte propre). Maintenant, pour le glaçage au Coca-Cola, prenez une casserole et faites chauffer le beurre, le Coca-Cola, la poudre de cacao, la poudre d'espresso et le sel. Portez le Porter à ébullition et éteindre le gaz. Ajouter le sucre glace et l'extrait de vanille et fouetter vigoureusement jusqu'à obtenir une consistance lisse et brillante. Verser le glaçage sur le gâteau Bundt Coca-Cola refroidi et garnir plus tard de crème fraîche ou de vos noix ou pépites de chocolat préférées. Servir le gâteau Bundt Coca-Cola à l'heure du thé ou en dessert après un merveilleux dîner.</t>
  </si>
  <si>
    <t>https://www.archanaskitchen.com/coca-cola-bundt-cake-recipe</t>
  </si>
  <si>
    <t>Vegetarian Watermelon Jello Recipe</t>
  </si>
  <si>
    <t>Vegetarisches Wassermelonen-Jello-Rezept</t>
  </si>
  <si>
    <t>Recette de gelée végétarienne à la pastèque</t>
  </si>
  <si>
    <t>Receta vegetariana de gelatina de sandía</t>
  </si>
  <si>
    <t>2 tasses de jus de pastèque (filtré), 1-1/2 cuillère à soupe d'agar-agar, 2 cuillères à café de sucre (facultatif)</t>
  </si>
  <si>
    <t>2 cups Watermelon - juice (strained),1-1/2 tablespoon Agar agar,2 teaspoon Sugar - optional</t>
  </si>
  <si>
    <t>2 tazas de jugo de sandía (colado), 1-1/2 cucharada de agar agar, 2 cucharaditas de azúcar (opcional)</t>
  </si>
  <si>
    <t xml:space="preserve">To prepare this easy Vegetarian watermelon jello recipe, get prep by straining juice of a large watermelon.In a Saucepan, bring the strained watermelon juice (2 cups) and agar agar to boil.You could add sugar at this and wait until it dissolves while on stove. This step is completely optional.Once the agar agar dissolves in watermelon juice completely, switch off heat.Pour in the mixture into Ramekins or any mold of your choice.Let it come down to room temperature.Carefully set the mold without disturbing the jello inside fridge and freeze for 30-40 minutes.Serve the Vegetarian Watermelon Jello after a party meal or during tea time along with a bowl of roasted nuts.
</t>
  </si>
  <si>
    <t>Para preparar esta sencilla receta de gelatina de sandía vegetariana, cuele el jugo de una sandía grande. En una cacerola, hierva el jugo de sandía colado (2 tazas) y el agar-agar. Puede agregar azúcar y esperar a que se disuelva en el fuego. Este paso es opcional. Una vez que el agar-agar se disuelva completamente en el jugo de sandía, apague el fuego. Vierta la mezcla en ramequines o en cualquier molde de su elección. Deje que reduzca a temperatura ambiente. Coloque el molde con cuidado, sin mover la gelatina, en el refrigerador y congélelo durante 30-40 minutos. Sirva la gelatina de sandía vegetariana después de una comida o durante la merienda, acompañada de un tazón de nueces tostadas.</t>
  </si>
  <si>
    <t>Pour préparer cette recette facile de gelée de pastèque végétarienne, filtrez le jus d'une grosse pastèque. Dans une casserole, portez à ébullition le jus de pastèque filtré (500 ml) et l'agar-agar. Vous pouvez ajouter le sucre et attendre qu'il se dissolve sur le feu. Cette étape est facultative. Une fois l'agar-agar complètement dissous dans le jus de pastèque, éteignez le feu. Versez le mélange dans des ramequins ou dans un moule de votre choix. Laissez refroidir à température ambiante. Placez délicatement le moule au réfrigérateur sans toucher à la gelée et congelez-le pendant 30 à 40 minutes. Servez la gelée de pastèque végétarienne après un repas de fête ou à l'heure du thé, accompagnée d'un bol de noix grillées.</t>
  </si>
  <si>
    <t>https://www.archanaskitchen.com/vegetarian-watermelon-jello-recipe</t>
  </si>
  <si>
    <t>Eggless Fresh Cherry Cake Recipe</t>
  </si>
  <si>
    <t>Rezept für frischen Kirschkuchen ohne Ei</t>
  </si>
  <si>
    <t>Recette de gâteau aux cerises fraîches sans œufs</t>
  </si>
  <si>
    <t>Receta de pastel de cerezas frescas sin huevo</t>
  </si>
  <si>
    <t>2 tasses de Vivatta Maida, 3/4 tasse de sucre en poudre (ou sucre glace), 1/2 tasse de lait à température ambiante, 1/4 tasse de beurre fondu ou d'huile végétale au besoin, 1 cuillère à café de levure chimique, 1 pincée de bicarbonate de soude, 1 pincée de sel, 1 cuillère à café d'extrait de vanille, 1 tasse de cerises fraîches dénoyautées et hachées, 2 cuillères à soupe de poudre de graines de lin (farine de lin)</t>
  </si>
  <si>
    <t>2 cup Vivatta Maida,3/4 cup Caster Sugar - (or powdered sugar),1/2 cup Milk - at room temperature,1/4 cup Butter - melted or vegetable oil as needed,1 teaspoon Baking powder,1 pinch Baking soda,1 pinch Salt,1 teaspoon Vanilla Extract,1 cup Fresh Cherries - pitted and chopped,2 tablespoons Flax seed powder (flax meal)</t>
  </si>
  <si>
    <t>2 tazas de Vivatta Maida, 3/4 taza de azúcar extrafino (o azúcar en polvo), 1/2 taza de leche a temperatura ambiente, 1/4 taza de mantequilla derretida o aceite vegetal según sea necesario, 1 cucharadita de polvo para hornear, 1 pizca de bicarbonato de sodio, 1 pizca de sal, 1 cucharadita de extracto de vainilla, 1 taza de cerezas frescas, sin hueso y picadas, 2 cucharadas de polvo de semilla de lino (harina de lino)</t>
  </si>
  <si>
    <t xml:space="preserve">To begin making  Eggless Fresh Cherry Cake Recipe, preheat oven to 350 degree F or 180 degree C for about 10 minutes.To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Cake Also, rinse,dry and pit all the cherries. Divide them into equal number or put them into two bowl in equal proportions.Cut the first portion in half and keep them aside on a paper towel, these will be placed on the top of the cake.Cut the remaining half in quarter and keep them aside on a paper towel, this will be folded with cake batter.In a bowl,add all purpose flour, baking powder and first javed cut cherries, mix them well.Take another big bowl, add sugar, vegetable oil or melted butter, vanilla essence, beaten flax eggs and milk, and fold them with a spatula. Remember not to mix fast, you can slowly fold in the flour mixture with liquid mixture until you get a smooth batter without lumps . Make a hole into the flour mixtures, pour the batter into the flour mixture slowly, mix them very well until the dry and wet ingredients are well combined.Line a 9 inch cake pan with a parchment paper and line the paper with butter.Pour the cake batter into the cake pan and fill the pans about 2/3 full. After putting mixture in the pan and smoothing the surface, hold the pan with two hands and  drop the tin three times to remove air bubbles.Garnish the top surface of cake with the halved cut cherries. Bake for 40 minutes until a toothpick inserted comes out clean. Baking time varies from oven to oven. Hence keep a keen eye on the baking cake and monitor closely till done.Remove from oven, let it be cool. Turn the cake onto a plate, dust with caster sugar, slice them and enjoy.Serve Fresh Cherry Cake Recipe along with Masala Chai Recipe and Baked &amp; Crisp Whole Wheat Methi Puri Recipe (Healthy Snack) for tea time.
</t>
  </si>
  <si>
    <t>Para comenzar a hacer la receta de pastel de cerezas frescas sin huevo, precaliente el horno a 350 grados F o 180 grados C durante unos 10 minutos. Para hacer el sustituto de huevo con harina de lino Si su receta pide 2 huevos, mida 2 cucharadas de harina de lino junto con 6 cucharadas de agua. Revuelva bien y deje reposar la mezcla durante unos 15 minutos. Este proceso de reposo ayuda a que la mezcla de harina de lino desarrolle una consistencia gelatinosa similar a los huevos. Para hacer el pastel También, enjuague, seque y deshuese todas las cerezas. Divídelos en números iguales o ponlos en dos tazones en proporciones iguales. Corta la primera porción por la mitad y déjalas a un lado sobre una toalla de papel, estas se colocarán en la parte superior del pastel. Corta la mitad restante en cuartos y déjalas a un lado sobre una toalla de papel, esta se doblará con la masa del pastel. En un tazón, agrega la harina para todo uso, el polvo para hornear y las primeras cerezas cortadas, mézclalas bien. Toma otro tazón grande, agrega el azúcar, el aceite vegetal o la mantequilla derretida, la esencia de vainilla, los huevos de lino batidos y la leche, y dóblalos con una espátula. Recuerda no mezclar rápido, puedes doblar lentamente la mezcla de harina con la mezcla líquida hasta obtener una masa suave sin grumos. Haz un agujero en las mezclas de harina, vierte la masa en la mezcla de harina lentamente, mézclalos muy bien hasta que los ingredientes secos y húmedos estén bien combinados. Cubre un molde para pastel de 9 pulgadas con papel pergamino y cubre el papel con mantequilla. Vierte la masa del pastel en el molde para pastel y llena los moldes aproximadamente a 2/3 de su capacidad. Después de verter la mezcla en el molde y alisar la superficie, sujételo con las dos manos y golpéelo tres veces para eliminar las burbujas de aire. Decore la superficie del pastel con las cerezas cortadas por la mitad. Hornee durante 40 minutos hasta que al insertar un palillo, este salga limpio. El tiempo de horneado varía de un horno a otro. Por lo tanto, vigile atentamente el pastel horneándose hasta que esté listo. Retire del horno y deje enfriar. Coloque el pastel en un plato, espolvoree con azúcar extrafino, córtelo en rebanadas y disfrute. Sirva la Receta de Pastel de Cerezas Frescas junto con la Receta de Masala Chai y la Receta de Methi Puri Integral Horneado y Crujiente (Snack Saludable) para la hora del té.</t>
  </si>
  <si>
    <t>Pour commencer à préparer la recette du gâteau aux cerises fraîches sans œufs, préchauffez le four à 350 degrés F ou 180 degrés C pendant environ 10 minutes. Pour préparer le substitut d'œuf à la farine de lin Si votre recette demande 2 œufs, mesurez 2 cuillères à soupe de farine de lin avec 6 cuillères à soupe d'eau. Bien mélanger et laisser reposer le mélange pendant environ 15 minutes. Ce processus de repos aide le mélange de farine de lin à développer une consistance gélatineuse semblable à celle des œufs. Pour préparer le gâteau, rincez, séchez et dénoyautez également toutes les cerises. Divisez-les en nombre égal ou mettez-les dans deux bols en proportions égales. Coupez la première portion en deux et gardez-les de côté sur une serviette en papier, elles seront placées sur le dessus du gâteau. Coupez la moitié restante en quatre et gardez-les de côté sur une serviette en papier, elle sera pliée avec la pâte à gâteau. Dans un bol, ajoutez la farine tout usage, la levure chimique et les premières cerises coupées en javel, mélangez bien. Prenez un autre grand bol, ajoutez le sucre, l'huile végétale ou le beurre fondu, l'essence de vanille, les œufs de lin battus et le lait, et pliez-les avec une spatule. N'oubliez pas de ne pas mélanger rapidement, vous pouvez incorporer lentement le mélange de farine avec le mélange liquide jusqu'à obtenir une pâte lisse sans grumeaux. Faites un trou dans les mélanges de farine, versez la pâte dans le mélange de farine lentement, mélangez très bien jusqu'à ce que les ingrédients secs et humides soient bien mélangés. Tapissez un moule à gâteau de 9 pouces de papier sulfurisé et tapissez le papier de beurre. Versez la pâte à gâteau dans le moule à gâteau et remplissez les moules aux 2/3 environ. Après avoir versé le mélange dans le moule et lissé la surface, tenez le moule à deux mains et laissez tomber le moule trois fois pour éliminer les bulles d'air. Garnissez le dessus du gâteau avec les cerises coupées en deux. Faites cuire au four pendant 40 minutes jusqu'à ce qu'un cure-dent inséré en ressorte propre. Le temps de cuisson varie d'un four à l'autre. Surveillez donc attentivement la cuisson du gâteau jusqu'à ce qu'il soit cuit. Retirez du four et laissez refroidir. Retournez le gâteau sur une assiette, saupoudrez de sucre semoule, coupez-le en tranches et dégustez. Servez la recette du gâteau aux cerises fraîches avec la recette du masala chai et la recette du methi puri complet cuit et croustillant (collation saine) pour l'heure du thé.</t>
  </si>
  <si>
    <t>https://www.archanaskitchen.com/fresh-cherry-cake-recipe-with-eggless-option</t>
  </si>
  <si>
    <t>Apple Danish Pastry Recipe</t>
  </si>
  <si>
    <t>Rezept für Apfel-Plundergebäck</t>
  </si>
  <si>
    <t>Recette de pâte feuilletée aux pommes</t>
  </si>
  <si>
    <t>Receta de hojaldre de manzana</t>
  </si>
  <si>
    <t>1 pâte feuilletée, 1 pomme coupée en fines tranches, 1 cuillère à café de cannelle en poudre (Dalchini), 1/2 tasse de sucre en poudre + une cuillère à café, 1 cuillère à soupe de beurre (non salé), 2 cuillères à café de sucre, 2 cuillères à soupe de lait froid, 1 œuf entier battu</t>
  </si>
  <si>
    <t>1 Puff Pastry Sheet,1 Apple - sliced to thin wedges,1 teaspoon Cinnamon Powder (Dalchini),1/2 cup Caster Sugar - + a teaspoon,1 tablespoon Butter (unsalted),2 teaspoons Sugar,2 tablespoons Milk - cold,1 Whole Egg - whisked</t>
  </si>
  <si>
    <t>1 lámina de hojaldre, 1 manzana cortada en rodajas finas, 1 cucharadita de canela en polvo (dalchini), 1/2 taza de azúcar extrafino (más una cucharadita), 1 cucharada de mantequilla (sin sal), 2 cucharaditas de azúcar, 2 cucharadas de leche fría, 1 huevo entero batido</t>
  </si>
  <si>
    <t xml:space="preserve">To begin making Apple Danish Pastry Recipe, preheat your oven at 200 C. Prepare a baking tray and line it with a parchment paper.Flatten your puff pastry sheet using a rolling pin and give it a rectangular shape. Keep this aside.Melt the butter in a saucepan on low heat. Add the diagonally chopped apple slices and cook it for few minutes.Next, add cinnamon powder and castor sugar into the saucepan.Give it a good stir so that apple slices are properly coated. Let it cook for a few more seconds and then turn off the heat.Now start arranging the apple slices into the middle of the pastry sheet.Next step involves making cuts in the sides of the pastry sheet for braiding.Use a knife or kitchen scissors to make cuts on both sides of the pastry sheet. Carefully braid the pastry by pulling in one slit of pastry sheet after another on the other side. Once done, transfer this pastry on a baking tray lined with parchment paper.Now whisk egg + 1 teaspoon of water in a small bowl and apply it on the top of pastry using a silicon brush. Sprinkle granulated sugar on the top for a nice texture after baking.Transfer the baking tray in the oven and bake it for 15-20 minutes or till the time the pastry turns golden in colour.Once the pastry is ready, take it out of the oven and let it cool down. Meanwhile, mix powdered sugar and milk in small bowl and make a paste of it.Once the pastry has cooled down, use a spoon for pouring the sugar-milk paste on top of the pastry. Let it sit for about 10 minutes and it is ready to serve.Serve Apple Danish Pastry Recipe as a party dessert after a meal of Schezwan Chicken Sizzler Recipe or Italian Pasta Sizzler Recipe or alongside Cinnamon Spiced Orange Iced Tea Recipe during evening.
</t>
  </si>
  <si>
    <t>Para comenzar a hacer la receta de pastel danés de manzana, precalienta el horno a 200 C. Prepara una bandeja para hornear y cúbrela con papel pergamino. Aplana la lámina de hojaldre con un rodillo y dale forma rectangular. Mantenla a un lado. Derrite la mantequilla en una cacerola a fuego lento. Agrega las rodajas de manzana cortadas en diagonal y cocínalas durante unos minutos. Luego, agrega canela en polvo y azúcar extrafino a la cacerola. Revuelve bien para que las rodajas de manzana estén bien cubiertas. Deja cocinar durante unos segundos más y luego apaga el fuego. Ahora comienza a colocar las rodajas de manzana en el centro de la lámina de hojaldre. El siguiente paso consiste en hacer cortes en los lados de la lámina de hojaldre para trenzar. Usa un cuchillo o tijeras de cocina para hacer cortes en ambos lados de la lámina de hojaldre. Trenza con cuidado la hojaldre tirando de una ranura de hojaldre después de otra en el otro lado. Una vez hecho esto, transfiera esta masa a una bandeja para hornear forrada con papel pergamino. Ahora bata el huevo + 1 cucharadita de agua en un tazón pequeño y aplíquelo en la parte superior de la masa con un pincel de silicona. Espolvoree azúcar granulada en la parte superior para una textura agradable después de hornear. Transfiera la bandeja para hornear al horno y hornéela durante 15-20 minutos o hasta que la masa se vuelva de color dorado. Una vez que la masa esté lista, sáquela del horno y déjela enfriar. Mientras tanto, mezcle el azúcar en polvo y la leche en un tazón pequeño y haga una pasta. Una vez que la masa se haya enfriado, use una cuchara para verter la pasta de azúcar y leche en la parte superior de la masa. Déjalo reposar unos 10 minutos y estará listo para servir. Sirve la receta de pastel danés de manzana como postre de fiesta después de una comida de pollo Schezwan Sizzler o pasta italiana Sizzler, o junto con una receta de té helado de naranja con especias de canela por la noche.</t>
  </si>
  <si>
    <t>Pour commencer à préparer la recette de la pâte danoise aux pommes, préchauffez votre four à 200 °C. Préparez une plaque de cuisson et recouvrez-la de papier sulfurisé. Aplatissez votre pâte feuilletée à l'aide d'un rouleau à pâtisserie et donnez-lui une forme rectangulaire. Gardez cela de côté. Faites fondre le beurre dans une casserole à feu doux. Ajoutez les tranches de pomme coupées en diagonale et faites cuire pendant quelques minutes. Ensuite, ajoutez la cannelle en poudre et le sucre en poudre dans la casserole. Remuez bien pour que les tranches de pomme soient bien enrobées. Laissez cuire quelques secondes de plus, puis éteignez le feu. Commencez maintenant à disposer les tranches de pomme au milieu de la feuille de pâte. L'étape suivante consiste à faire des entailles sur les côtés de la feuille de pâte pour tresser. Utilisez un couteau ou des ciseaux de cuisine pour faire des entailles des deux côtés de la feuille de pâte. Tressez soigneusement la pâte en tirant une fente de la feuille de pâte après l'autre de l'autre côté. Une fois terminé, transférez cette pâte sur une plaque de cuisson recouverte de papier sulfurisé. Maintenant, fouettez l'œuf + 1 cuillère à café d'eau dans un petit bol et appliquez-le sur le dessus de la pâte à l'aide d'un pinceau en silicone. Saupoudrez de sucre cristallisé sur le dessus pour une belle texture après la cuisson. Transférez la plaque de cuisson au four et faites-la cuire pendant 15 à 20 minutes ou jusqu'à ce que la pâte devienne dorée. Une fois la pâte prête, sortez-la du four et laissez-la refroidir. Pendant ce temps, mélangez le sucre glace et le lait dans un petit bol et faites-en une pâte. Une fois la pâte refroidie, utilisez une cuillère pour verser la pâte sucre-lait sur la pâte. Laissez reposer environ 10 minutes et c'est prêt à servir. Servez la recette de pâtisserie danoise aux pommes comme dessert de fête après un repas de recette de poulet grésillant Schezwan ou de recette de pâtes italiennes grésillantes ou avec une recette de thé glacé à l'orange et à la cannelle en soirée.</t>
  </si>
  <si>
    <t>http://www.archanaskitchen.com/apple-danish-pastry-recipe</t>
  </si>
  <si>
    <t>Fresh Apple Bundt Cake Recipe</t>
  </si>
  <si>
    <t>Rezept für frischen Apfel-Gugelhupf</t>
  </si>
  <si>
    <t>Recette de gâteau Bundt aux pommes fraîches</t>
  </si>
  <si>
    <t>Receta de pastel Bundt de manzana fresca</t>
  </si>
  <si>
    <t>2 tasses de farine tout usage (Maida), 3/4 cuillère à café de bicarbonate de soude, 3/4 cuillère à café de sel, 3/4 cuillère à café de cannelle en poudre (Dalchini), 1/2 tasse de sucre (divisé), 1 tasse d'huile de tournesol, 2 œufs entiers, 1-1/2 cuillère à café d'extrait de vanille, 2 tasses de pomme</t>
  </si>
  <si>
    <t>2 Cups All Purpose Flour (Maida),3/4 teaspoon Baking soda,3/4 teaspoon Salt,3/4 teaspoon Cinnamon Powder (Dalchini),1/2 cup Sugar - (divided),1 Cup Sunflower Oil,2 Whole Eggs,1-1/2 teaspoon Vanilla Extract,2 cups Apple</t>
  </si>
  <si>
    <t>2 tazas de harina para todo uso (Maida), 3/4 cucharadita de bicarbonato de sodio, 3/4 cucharadita de sal, 3/4 cucharadita de canela en polvo (Dalchini), 1/2 taza de azúcar (dividida), 1 taza de aceite de girasol, 2 huevos enteros, 1-1/2 cucharadita de extracto de vainilla, 2 tazas de manzana</t>
  </si>
  <si>
    <t xml:space="preserve">To begin making Fresh Apple Cake Recipe, preheat the oven to 180 C.Also peel and core the apples and cut them into very small pieces and keep them aside.Grease the bundt baking pan and keep it aside. Take a big bowl and shift all purpose flour, salt, cinnamon powder and baking soda into it.Now take another bowl and add vegetable oil plus sugar into it.Mix it until sugar dissolves.Then add eggs one by one and whisk the mixture again.Now gently pour the wet ingredients into the dry ingredients and use a spatula to mix the batter. Add apple slices and gently fold it into the batter.Transfer the batter into the greased pan and bake it for 30 minutes. Poke a toothpick into the cake to make sure its baked properly.Dust it with some powdered sugar and serve the cake warm.Serve Fresh Apple Cake Recipe with Ice Tea Sangria Recipe or as a party dessert. 
</t>
  </si>
  <si>
    <t>Para empezar a preparar la Receta de Pastel de Manzana Fresca, precalienta el horno a 180 °C. Pela y quita el corazón de las manzanas, córtalas en trozos muy pequeños y resérvalas. Engrasa el molde Bundt y resérvalo. Toma un tazón grande y mezcla la harina común, la sal, la canela en polvo y el bicarbonato de sodio. Ahora toma otro tazón y agrega aceite vegetal y azúcar. Mezcla hasta que el azúcar se disuelva. Luego agrega los huevos uno por uno y vuelve a batir la mezcla. Ahora vierte suavemente los ingredientes húmedos sobre los ingredientes secos y usa una espátula para mezclar la masa. Agrega rodajas de manzana e incorpóralas suavemente a la masa. Transfiere la masa al molde engrasado y hornea durante 30 minutos. Pincha un palillo en el pastel para asegurarte de que esté bien horneado. Espolvorea un poco de azúcar glas y sirve el pastel tibio. Sirve la Receta de Pastel de Manzana Fresca con la Receta de Sangría de Té Helado o como postre de fiesta.</t>
  </si>
  <si>
    <t>Pour commencer la recette du gâteau aux pommes fraîches, préchauffez le four à 180 °C. Pelez et épépinez les pommes, coupez-les en très petits morceaux et réservez-les. Graissez le moule à savarin et réservez-le. Prenez un grand bol et versez-y la farine blanche, le sel, la cannelle en poudre et le bicarbonate de soude. Ajoutez ensuite l'huile végétale et le sucre dans un autre bol. Mélangez jusqu'à dissolution complète du sucre. Ajoutez ensuite les œufs un à un et fouettez à nouveau. Versez délicatement les ingrédients humides dans les ingrédients secs et mélangez la pâte à l'aide d'une spatule. Ajoutez les tranches de pomme et incorporez-les délicatement à la pâte. Transférez la pâte dans le moule graissé et enfournez pour 30 minutes. Piquez un cure-dent dans le gâteau pour vous assurer qu'il est bien cuit. Saupoudrez de sucre glace et servez chaud. Servez le gâteau aux pommes fraîches avec une recette de sangria au thé glacé ou comme dessert de fête.</t>
  </si>
  <si>
    <t>http://www.archanaskitchen.com/fresh-apple-bundt-cake-recipe</t>
  </si>
  <si>
    <t>Grilled Cheese Sandwich Recipe With Paneer &amp; Potato</t>
  </si>
  <si>
    <t>Rezept für gegrilltes Käsesandwich mit Paneer und Kartoffeln</t>
  </si>
  <si>
    <t>Recette de sandwich au fromage grillé avec paneer et pommes de terre</t>
  </si>
  <si>
    <t>Receta de sándwich de queso a la parrilla con paneer y papas</t>
  </si>
  <si>
    <t>8 pains bruns de blé entier, 3 pommes de terre (Aloo) - bouillies et pelées, 1/2 tasse de paneer (fromage cottage fait maison) - émietté, 2 piments verts - finement hachés, 1 oignon - finement haché, sel - au goût, 1 cuillère à soupe de beurre - par sandwich</t>
  </si>
  <si>
    <t>8 Whole Wheat Brown Bread,3 Potatoes (Aloo) - boiled and peeled,1/2 cup Paneer (Homemade Cottage Cheese) - crumbled,2 Green Chillies - finely chopped,1 Onion - finely chopped,Salt - to taste,1 tablespoon Butter - per sandwich</t>
  </si>
  <si>
    <t>8 panes integrales, 3 papas (Aloo) - hervidas y peladas, 1/2 taza de paneer (requesón casero) - desmenuzado, 2 chiles verdes - finamente picados, 1 cebolla - finamente picada, sal - al gusto, 1 cucharada de mantequilla - por sándwich</t>
  </si>
  <si>
    <t xml:space="preserve">To begin making the Grilled Cheese Sandwich Recipe Made With Paneer &amp; Potato, first prep all the ingredients - like boiling the potato and making the homemade paneer. In a large mixing bowl, add the boiled potatoes and mash them well. Add the paneer, green chilies, salt, onion and salt to taste. Mix all the ingredients well and check the salt and adjust as required.Place a large tablespoon of the mixture over a slice of bread and spread it. You can add more if you like a filled sandwich. Cover with the other slice.Melt butter in a skillet pan over medium heat and place the Cheese Sandwich in the pan and grill on both sides until crisp till it is done.Serve the Grilled Cheese Sandwich With Paneer &amp; Potato along with a hot cup of Adrak Chai or Banana Almond &amp; Prunes Smoothie for your breakfast or tea time snacks.
</t>
  </si>
  <si>
    <t>Para empezar a preparar la receta de sándwich de queso a la parrilla con paneer y papa, primero prepare todos los ingredientes, como hervir la papa y hacer el paneer casero. En un tazón grande, agregue las papas hervidas y tritúrelas bien. Agregue el paneer, los chiles verdes, la sal, la cebolla y sal al gusto. Mezcle bien todos los ingredientes y verifique la sal y ajuste según sea necesario. Coloque una cucharada grande de la mezcla sobre una rebanada de pan y úntela. Puede agregar más si desea un sándwich relleno. Cubra con la otra rebanada. Derrita la mantequilla en una sartén a fuego medio y coloque el sándwich de queso en la sartén y áselo por ambos lados hasta que esté crujiente hasta que esté listo. Sirva el sándwich de queso a la parrilla con paneer y papa junto con una taza caliente de Adrak Chai o un batido de plátano, almendras y ciruelas pasas para su desayuno o merienda.</t>
  </si>
  <si>
    <t>Pour commencer à préparer la recette de sandwich au fromage grillé au paneer et aux pommes de terre, préparez d'abord tous les ingrédients, comme faire bouillir les pommes de terre et préparer le paneer maison. Dans un grand saladier, ajoutez les pommes de terre bouillies et écrasez-les bien. Ajoutez le paneer, les piments verts, le sel, l'oignon et salez à votre goût. Mélangez bien tous les ingrédients, vérifiez le sel et ajustez si nécessaire. Déposez une grande cuillère à soupe du mélange sur une tranche de pain et étalez-la. Vous pouvez en ajouter plus si vous aimez un sandwich garni. Couvrez avec l'autre tranche. Faites fondre le beurre dans une poêle à feu moyen et placez le sandwich au fromage dans la poêle et faites-le griller des deux côtés jusqu'à ce qu'il soit croustillant. Servez le sandwich au fromage grillé au paneer et aux pommes de terre avec une tasse chaude d'Adrak Chai ou de smoothie banane, amandes et pruneaux pour votre petit-déjeuner ou votre goûter.</t>
  </si>
  <si>
    <t>https://www.archanaskitchen.com/grilled-cheese-sandwich-recipe-made-with-paneer-potato</t>
  </si>
  <si>
    <t>Mocha Swiss Roll Recipe (Cream Roll)</t>
  </si>
  <si>
    <t>Rezept für Mokka-Biskuitrolle (Sahnerolle)</t>
  </si>
  <si>
    <t>Recette de rouleau de génoise moka (roulé à la crème)</t>
  </si>
  <si>
    <t>Receta de rollo de bizcocho de moca (rollo de crema)</t>
  </si>
  <si>
    <t>1/2 tasse de farine tout usage (Maida), 1/2 tasse de sucre, 1 cuillère à soupe d'eau chaude, 1 cuillère à café d'extrait de vanille, 3 œufs entiers, beurre - pour graisser, 1 tasse de crème à fouetter épaisse, 4 cuillères à soupe de sucre en poudre, 2 cuillères à soupe de café instantané en poudre</t>
  </si>
  <si>
    <t>1/2 Cup All Purpose Flour (Maida),1/2 Cup Sugar,1 Tablespoon Hot water,1 teaspoon Vanilla Extract,3 Whole Eggs,Butter - for greasing,1 Cup Heavy whipping cream,4 Tablespoons Caster Sugar,2 Tablespoons Instant Coffee Powder</t>
  </si>
  <si>
    <t>1/2 taza de harina para todo uso (Maida), 1/2 taza de azúcar, 1 cucharada de agua caliente, 1 cucharadita de extracto de vainilla, 3 huevos enteros, mantequilla - para engrasar, 1 taza de crema batida espesa, 4 cucharadas de azúcar extrafino, 2 cucharadas de café instantáneo en polvo</t>
  </si>
  <si>
    <t xml:space="preserve">To begin making Mocha Swiss Roll Recipe (Cream Roll), preheat oven to 350 degree Fahrenheit.Sift all purpose flour (maida) in a bowl.Take a big bowl and beat the eggs with hand mixer on high, till it becomes thick and fluffed up for about 2-3 minutes.Add hot water and again beat the mixture for few more seconds.Add sugar and keep beating until sugar is nicely combined, for just a couple of minutes.Cut and fold the sifted flour in this wet mixture. Add vanilla extract and again fold it.Line up 13 x 9 inches (or accordingly) cake tray with aluminium foil and grease the foil with butter.Pour the prepared cake batter into the tray and give a tap to it so that it spreads evenly popping away any air bubbles.Bake for about 15 minutes or until a toothpick inserted in the center, comes out clean.Once baked, Just flip the cake over a cooling rack and allow to cool down completely while you prepare your whipped cream spread.In a mixing bowl, take in heavy whipping cream and sugar.Beat using electric beater on low for a few seconds and gradually increase the speed and beat until the soft peaks are formed.Add instant coffee powder and continue beating till you get stiff peaks. Stop beating at this point.Once the cake is cooled, flip it on a greased aluminum foil with smooth side down and spread the whipped cream evenly.Gently roll it over starting from one end.Wrap the cake with aluminium foil and refrigerate for about an hour.Remove the cake from refrigerator and with a knife, cut it into pieces and serve. You can serve Mocha Swiss Roll Recipe (Cream Roll) along with Cinnamon Spiced Orange Iced Tea Recipe on a quiet evening with family.
</t>
  </si>
  <si>
    <t>Para comenzar a hacer la receta del rollo suizo de moca (rollo de crema), precaliente el horno a 350 grados Fahrenheit. Tamice la harina para todo uso (maida) en un tazón. Tome un tazón grande y bata los huevos con una batidora de mano a alta velocidad, hasta que se espese y se esponje durante aproximadamente 2-3 minutos. Agregue agua caliente y vuelva a batir la mezcla durante unos segundos más. Agregue el azúcar y siga batiendo hasta que el azúcar esté bien combinado, solo por un par de minutos. Corte y doble la harina tamizada en esta mezcla húmeda. Añade el extracto de vainilla y dóblalo de nuevo. Cubre una bandeja para pastel de 13 x 9 pulgadas (o según corresponda) con papel de aluminio y engrasa el papel con mantequilla. Vierte la masa de pastel preparada en la bandeja y golpéala para que se extienda uniformemente y elimine las burbujas de aire. Hornea durante unos 15 minutos o hasta que al insertar un palillo en el centro, este salga limpio. Una vez horneado, simplemente voltea el pastel sobre una rejilla para enfriar y deja que se enfríe por completo mientras preparas la crema batida. En un tazón, mezcla la crema batida espesa y el azúcar. Bate con una batidora eléctrica a baja velocidad durante unos segundos y aumenta gradualmente la velocidad y bate hasta que se formen picos suaves. Agrega el café instantáneo en polvo y continúa batiendo hasta obtener picos firmes. Deja de batir en este punto. Una vez que el pastel se haya enfriado, dale la vuelta sobre papel de aluminio engrasado con el lado liso hacia abajo y extiende la crema batida uniformemente. Enróllalo con cuidado comenzando desde un extremo. Envuelve el pastel con papel de aluminio y refrigera durante aproximadamente una hora. Retira el pastel del refrigerador y, con un cuchillo, córtalo en trozos y sírvelo. Puedes servir la Receta de Rollo Suizo de Moca (Rollo de Crema) junto con la Receta de Té Helado de Naranja con Especias y Canela en una tarde tranquila con la familia.</t>
  </si>
  <si>
    <t>Pour commencer à préparer la recette du rouleau suisse au moka (rouleau à la crème), préchauffez le four à 350 degrés Fahrenheit. Tamisez la farine tout usage (maida) dans un bol. Prenez un grand bol et battez les œufs avec un batteur à main à puissance élevée, jusqu'à ce qu'ils deviennent épais et gonflés pendant environ 2 à 3 minutes. Ajoutez de l'eau chaude et battez à nouveau le mélange pendant quelques secondes supplémentaires. Ajoutez le sucre et continuez à battre jusqu'à ce que le sucre soit bien mélangé, pendant quelques minutes seulement. Coupez et incorporez la farine tamisée dans ce mélange humide. Ajoutez l'extrait de vanille et pliez-le à nouveau.Alignez un plateau à gâteau de 13 x 9 pouces (ou en conséquence) avec du papier d'aluminium et graissez le papier d'aluminium avec du beurre.Versez la pâte à gâteau préparée dans le plateau et tapotez-la pour qu'elle s'étale uniformément en faisant éclater les bulles d'air.Cuire au four pendant environ 15 minutes ou jusqu'à ce qu'un cure-dent inséré au centre en ressorte propre.Une fois cuit, retournez simplement le gâteau sur une grille de refroidissement et laissez-le refroidir complètement pendant que vous préparez votre crème fouettée.Dans un bol à mélanger, incorporez la crème à fouetter épaisse et le sucre.Battre à l'aide d'un batteur électrique à basse vitesse pendant quelques secondes, puis augmentez progressivement la vitesse et battez jusqu'à ce que des pics mous se forment.Ajoutez la poudre de café instantané et continuez à battre jusqu'à obtenir des pics fermes. Arrêtez de battre à ce stade. Une fois le gâteau refroidi, retournez-le sur une feuille d'aluminium graissée, côté lisse vers le bas, et étalez la crème fouettée uniformément. Roulez-le doucement en commençant par une extrémité. Enveloppez le gâteau dans du papier aluminium et réfrigérez pendant environ une heure. Retirez le gâteau du réfrigérateur et, à l'aide d'un couteau, coupez-le en morceaux et servez. Vous pouvez servir la recette de roulé suisse au moka (roulé à la crème) avec la recette de thé glacé à l'orange et à la cannelle lors d'une soirée tranquille en famille.</t>
  </si>
  <si>
    <t>http://www.archanaskitchen.com/mocha-swiss-roll-recipe-cream-roll</t>
  </si>
  <si>
    <t>No Bake Nutella Cheesecake Recipe</t>
  </si>
  <si>
    <t>Rezept für Nutella-Käsekuchen ohne Backen</t>
  </si>
  <si>
    <t>Recette de cheesecake au Nutella sans cuisson</t>
  </si>
  <si>
    <t>Receta de tarta de queso con Nutella sin horno</t>
  </si>
  <si>
    <t>100 grammes de biscuits Oreo - émiettés, 6 cuillères à soupe de beurre (non salé) - fondu, 3 cuillères à soupe de pâte à tartiner Nutella, 400 grammes de fromage à la crème Britannia, 1-1/2 tasse de pâte à tartiner Nutella, 1/2 tasse de sucre en poudre, 1 cuillère à soupe d'extrait de vanille, 1/4 tasse de crème à fouetter épaisse, 2 cuillères à soupe de cacao en poudre, 1-1/2 cuillère à soupe de gélatine, biscuits Oreo - quelques-uns, cerises fraîches - quelques-uns</t>
  </si>
  <si>
    <t>100 grams Oreo biscuits - crumbled,6 Tablespoon Butter (unsalted) - melted,3 tablespoon Nutella Spread,400 grams Britannia Cream Cheese,1-1/2 cup Nutella Spread,1/2 cup Caster Sugar,1 tablespoon Vanilla Extract,1/4 cup Heavy whipping cream,2 tablespoon Cocoa Powder,1-1/2 tablespoon Gelatin,Oreo biscuits - a few,Fresh Cherries - a few</t>
  </si>
  <si>
    <t>100 gramos de galletas Oreo desmenuzadas, 6 cucharadas de mantequilla (sin sal) derretida, 3 cucharadas de Nutella para untar, 400 gramos de queso crema Britannia, 1-1/2 taza de Nutella para untar, 1/2 taza de azúcar extrafino, 1 cucharada de extracto de vainilla, 1/4 taza de crema batida espesa, 2 cucharadas de cacao en polvo, 1-1/2 cucharada de gelatina, galletas Oreo - unas pocas, cerezas frescas - unas pocas</t>
  </si>
  <si>
    <t xml:space="preserve">To begin making No Bake Nutella Cheesecake Recipe, take a mixing bowl, add crumbled oreo biscuits ,unsalted butter and nutella. Whiz it up until it is mixed well with a hand blender. When you pinch the mixture, it should hold well.Take a glass (or individual serving bowls, shot glasses etc) and press this mixture to the bottom to make a crust. Once you have used up all  the crust mixture, arrange these bowls or cups in a refrigerator to chill till it is needed again.Now add cream cheese and nutella in a clean mixing bowl and beat the mixture on a medium speed in a hand mixer till combined well. Add sugar and heavy cream. Beat it again until evenly blended.Add vanilla essence, cocoa powder and fold it in this mixture. You can blend it for half a minute till combined as well.Take a bowl and add gelatin in 2 tablespoon water, place the bowl in a saucepan of lukewarm water.Once gelatin is dissolved in water, set the bowl aside. (You can also keep the water on a simmered heat and dissolve gelatin; but take care that the water does not reach a boiling point). Add this liquid gelatin in nutella and cream cheese mixture. Blend for a few seconds to help it get incorporated in the mixture.Take out the cups of Oreo crust from the fridge and pour a few tablespoons of the prepared mixture into each cup on the oreo crust. Spread and smoothen the mixture evenly with a butter knife or back of the spoon.Chill for 6-7 hours, ideally overnight. Take the glasses out once the cheesecake has been set, and take them out just before serving.You can top each cup with red cherries and oreo crumbs.Serve No Bake Nutella Cheesecake Recipe as a dessert after a Mushroom Cutlet Vegetarian Sizzler Recipe or a light dinner with Zoodles Tossed In Cashew Cilantro Pesto Recipe (Vegan).
</t>
  </si>
  <si>
    <t>Para comenzar a hacer la receta de tarta de queso con Nutella sin horno, toma un tazón, agrega galletas oreo desmenuzadas, mantequilla sin sal y nutella. Bate hasta que esté bien mezclado con una batidora de mano. Cuando pellizques la mezcla, debe mantenerse bien. Toma un vaso (o tazones individuales para servir, vasos de chupito, etc.) y presiona esta mezcla hasta el fondo para hacer una corteza. Una vez que hayas usado toda la mezcla de la corteza, coloca estos tazones o tazas en el refrigerador para que se enfríen hasta que se necesiten nuevamente. Ahora agrega el queso crema y la nutella en un tazón limpio y bate la mezcla a velocidad media en una batidora de mano hasta que se combinen bien. Agrega el azúcar y la crema espesa. Bate nuevamente hasta que se mezcle uniformemente. Agrega la esencia de vainilla, el cacao en polvo e incorpóralo a esta mezcla. Puedes licuar durante medio minuto hasta que también se combinen. Toma un tazón y agrega la gelatina en 2 cucharadas de agua, coloca el tazón en una cacerola con agua tibia. Una vez que la gelatina se disuelva en el agua, deja el tazón a un lado. (También puedes mantener el agua a fuego lento y disolver la gelatina; pero ten cuidado de que el agua no llegue al punto de ebullición). Agrega esta gelatina líquida a la mezcla de Nutella y queso crema. Licúa durante unos segundos para ayudar a que se incorpore en la mezcla. Saca los vasos de base de Oreo del refrigerador y vierte unas cucharadas de la mezcla preparada en cada vaso sobre la base de Oreo. Extiende y alisa la mezcla uniformemente con un cuchillo de mantequilla o el dorso de una cuchara. Refrigera durante 6-7 horas, idealmente toda la noche. Retira los vasos una vez que la tarta de queso haya cuajado y sácalos justo antes de servir. Puedes cubrir cada vaso con cerezas rojas y migas de Oreo. Sirve la Receta de Tarta de Queso con Nutella sin Horno como postre después de una Receta Vegetariana de Chuletas de Champiñones Sizzler o una cena ligera con Zoodles Mezclados con Pesto de Anacardos y Cilantro (Vegano).</t>
  </si>
  <si>
    <t>Pour commencer à préparer la recette du cheesecake au Nutella sans cuisson, prenez un saladier, ajoutez les biscuits Oreo émiettés, le beurre non salé et le Nutella. Fouettez jusqu'à ce que le mélange soit homogène avec un mixeur plongeant. Lorsque vous pincez le mélange, il doit bien tenir. Prenez un verre (ou des bols de service individuels, des verres à liqueur, etc.) et appuyez sur ce mélange au fond pour faire une croûte. Une fois que vous avez utilisé tout le mélange de croûte, disposez ces bols ou tasses au réfrigérateur pour les refroidir jusqu'à ce que vous en ayez à nouveau besoin. Ajoutez maintenant le fromage à la crème et le Nutella dans un saladier propre et battez le mélange à vitesse moyenne dans un batteur à main jusqu'à ce que le tout soit bien mélangé. Ajoutez le sucre et la crème épaisse. Battez à nouveau jusqu'à ce que le mélange soit homogène. Ajoutez l'essence de vanille, la poudre de cacao et incorporez-la à ce mélange. Vous pouvez le mélanger pendant une demi-minute jusqu'à ce que le tout soit bien mélangé. Prenez un bol et ajoutez la gélatine dans 2 cuillères à soupe d'eau, placez le bol dans une casserole d'eau tiède. Une fois la gélatine dissoute dans l'eau, mettez le bol de côté. (Vous pouvez également laisser l'eau mijoter et dissoudre la gélatine ; mais veillez à ce que l'eau n'atteigne pas le point d'ébullition). Ajoutez cette gélatine liquide au mélange de Nutella et de fromage à la crème. Mélangez pendant quelques secondes pour l'aider à s'incorporer au mélange. Sortez les tasses de croûte d'Oreo du réfrigérateur et versez quelques cuillères à soupe du mélange préparé dans chaque tasse sur la croûte d'Oreo. Étalez et lissez le mélange uniformément avec un couteau à beurre ou le dos d'une cuillère. Laissez refroidir pendant 6 à 7 heures, idéalement toute la nuit. Sortez les verres une fois que le cheesecake a pris et sortez-les juste avant de servir. Vous pouvez garnir chaque tasse de cerises rouges et de miettes d'Oreo. Servez la recette de cheesecake au Nutella sans cuisson comme dessert après une recette de grésillement végétarien aux escalopes de champignons ou un dîner léger avec une recette de zoodles sautées au pesto de noix de cajou et de coriandre (végétalien).</t>
  </si>
  <si>
    <t>http://www.archanaskitchen.com/no-bake-nutella-cheesecake-recipe</t>
  </si>
  <si>
    <t>Tomaten-Basilikum-Hähnchen-Curry-Rezept – Tomaten-Basilikum-Hähnchen-Curry-Rezept</t>
  </si>
  <si>
    <t>Recette de poulet au curry à la tomate et au basilic – Recette de poulet au curry à la tomate et au basilic</t>
  </si>
  <si>
    <t>Receta de pollo al curry con tomate y albahaca – Receta de pollo al curry con tomate y albahaca</t>
  </si>
  <si>
    <t>1 poitrine de poulet - hachée, 2 carottes - hachées droites, 1 oignon - haché, 4 gousses d'ail - hachées, 1 tasse de purée de tomates, 6 basilic, 1 cuillère à soupe de romarin, 1 cuillère à soupe de feuilles de thym, 2 cuillères à soupe de poudre de paprika, 1 cuillère à café de poudre de cumin, 1 cuillère à café de sucre, sel - selon le goût, huile d'olive - selon l'utilisation</t>
  </si>
  <si>
    <t>1 chicken breast - chop, 2 carrots - chop straight, 1 onion - chop, 4 cloves garlic - chop, 1 cup tomato puree, 6 basil, 1 tbsp rosemary, 1 tbsp thyme leaves, 2 tbsp Paprika powder, 1 tsp cumin powder, 1 tsp sugar, salt - as per taste, olive oil - as per use</t>
  </si>
  <si>
    <t>1 pechuga de pollo - picada, 2 zanahorias - picadas rectas, 1 cebolla - picada, 4 dientes de ajo - picados, 1 taza de puré de tomate, 6 albahacas, 1 cucharada de romero, 1 cucharada de hojas de tomillo, 2 cucharadas de pimentón en polvo, 1 cucharadita de comino en polvo, 1 cucharadita de azúcar, sal - al gusto, aceite de oliva - según uso</t>
  </si>
  <si>
    <t>To make Tomato Basil Chicken Curry Recipe, first heat olive oil in a saucepan. Add garlic, onion and cook till onion becomes soft. Now add carrots, salt and mix well. After carrots are half cooked, add chicken and mix well. Do not cook for too long as chicken dries up quickly. Now add tomatoes, rosemary, thyme, cumin powder, paprika powder and mix well. Now add salt, sugar and cook well. Now add 1 cup water and let it boil. After boiling, reduce the flame and let it cook for 15 minutes. Take out in a serving bowl and serve. Serve Tomato Basil Chicken Curry Recipe with Garlic Tossed Rice and salad of your choice for dinner.</t>
  </si>
  <si>
    <t>Para preparar la receta de pollo al curry con tomate y albahaca, primero caliente el aceite de oliva en una cacerola. Agregue el ajo y la cebolla y cocine hasta que la cebolla esté tierna. Añada las zanahorias, la sal y mezcle bien. Cuando las zanahorias estén medio cocidas, agregue el pollo y mezcle bien. No lo cocine demasiado, ya que el pollo se seca rápidamente. Añada los tomates, el romero, el tomillo, el comino en polvo y el pimentón en polvo y mezcle bien. Añada la sal, el azúcar y cocine bien. Añada 1 taza de agua y deje hervir. Después de que hierva, reduzca el fuego y cocine durante 15 minutos. Retire a una fuente y sirva. Sirva la receta de pollo al curry con tomate y albahaca con arroz con ajo y la ensalada de su elección para la cena.</t>
  </si>
  <si>
    <t>Pour préparer le curry de poulet à la tomate et au basilic, faites chauffer l'huile d'olive dans une casserole. Ajoutez l'ail et l'oignon et faites-les revenir jusqu'à ce qu'ils soient tendres. Ajoutez ensuite les carottes, salez et mélangez bien. Une fois les carottes à moitié cuites, ajoutez le poulet et mélangez bien. Ne laissez pas cuire trop longtemps, car le poulet sèche vite. Ajoutez ensuite les tomates, le romarin, le thym, le cumin en poudre, le paprika en poudre et mélangez bien. Ajoutez ensuite le sel et le sucre et faites cuire. Ajoutez ensuite 250 ml d'eau et laissez bouillir. Après ébullition, baissez le feu et laissez cuire 15 minutes. Versez dans un bol et servez. Servez le curry de poulet à la tomate et au basilic avec du riz à l'ail et une salade de votre choix pour le dîner.</t>
  </si>
  <si>
    <t>https://www.archanaskitchen.com/tomato-basil-chicken-curry-recipe-in-hindi</t>
  </si>
  <si>
    <t>Flourless Chocolate Rum Cake Recipe</t>
  </si>
  <si>
    <t>Rezept für Schokoladen-Rum-Kuchen ohne Mehl</t>
  </si>
  <si>
    <t>Recette de gâteau au chocolat et au rhum sans farine</t>
  </si>
  <si>
    <t>Receta de pastel de chocolate y ron sin harina</t>
  </si>
  <si>
    <t>180 grammes de chocolat noir, 1/2 tasse de beurre (non salé), 1/2 tasse de sucre en poudre, 4 œufs entiers - à température ambiante, 1 cuillère à café d'extrait de vanille, 1/2 tasse de cacao en poudre - non sucré, 1/3 tasse de rhum brun</t>
  </si>
  <si>
    <t>180 grams Dark chocolate,1/2 cup Butter (unsalted),1/2 cup Caster Sugar,4 Whole Eggs - at room temperature,1 teaspoon Vanilla Extract,1/2 cup Cocoa Powder - unsweetened,1/3 cup Dark rum</t>
  </si>
  <si>
    <t>180 gramos de chocolate negro, 1/2 taza de mantequilla (sin sal), 1/2 taza de azúcar extrafino, 4 huevos enteros a temperatura ambiente, 1 cucharadita de extracto de vainilla, 1/2 taza de cacao en polvo sin azúcar, 1/3 taza de ron oscuro</t>
  </si>
  <si>
    <t xml:space="preserve">To begin making the Flourless Chocolate Rum Cake recipe, preheat your oven to 180 C / 350 F. Grease and flour a 7 inch round tin. Line the bottom with parchment (optional).Chop the chocolate and butter into small pieces. In the microwave or on stove top , melt together until smooth.Whisk in the sugar. Whisk in the eggs, one by one, followed by the vanilla extract and rum.Whisk in the cocoa until smooth.Pour into pan and bake for 28- 30 minutes until a toothpick inserted in the centre comes out with few moist crumbs.Cool in pan for 10 minutes, unmould carefully and cool completely on a wire rack.Serve Flourless Chocolate Rum Cake as a dessert after your meal or serve it during tea time to your guests with a cup of Masala Tea or Coffee.
</t>
  </si>
  <si>
    <t>Para empezar a preparar la receta de Pastel de Ron y Chocolate sin Harina, precalienta el horno a 180 °C (350 °F). Engrasa y enharina un molde redondo de 18 cm (7 pulgadas). Cubre el fondo con papel vegetal (opcional). Corta el chocolate y la mantequilla en trozos pequeños. En el microondas o en la estufa, derrítelos juntos hasta que estén suaves. Incorpora el azúcar. Bate los huevos, uno por uno, seguidos del extracto de vainilla y el ron. Incorpora el cacao en polvo hasta que esté suave. Vierte la mezcla en el molde y hornea durante 28-30 minutos hasta que al insertar un palillo en el centro, este salga con algunas migas húmedas. Deja enfriar en el molde durante 10 minutos, desmolda con cuidado y deja enfriar completamente sobre una rejilla. Sirve el Pastel de Ron y Chocolate sin Harina como postre después de la comida o sírvelo durante la hora del té a tus invitados con una taza de té Masala o café.</t>
  </si>
  <si>
    <t>Pour commencer la recette du gâteau au chocolat et au rhum sans farine, préchauffez votre four à 180 °C (350 °F). Graissez et farinez un moule rond de 18 cm. Tapissez le fond de papier sulfurisé (facultatif). Hachez le chocolat et le beurre en petits morceaux. Au micro-ondes ou sur la cuisinière, faites fondre le tout jusqu'à obtenir une consistance lisse. Incorporez le sucre en fouettant. Incorporez les œufs un à un, puis l'extrait de vanille et le rhum. Incorporez le cacao en fouettant jusqu'à obtenir une consistance lisse. Versez dans le moule et faites cuire pendant 28 à 30 minutes, jusqu'à ce qu'un cure-dent inséré au centre en ressorte avec quelques miettes humides. Laissez refroidir dans le moule pendant 10 minutes, démoulez délicatement et laissez refroidir complètement sur une grille. Servez le gâteau au chocolat et au rhum sans farine en dessert après votre repas ou à l'heure du thé avec une tasse de thé ou de café Masala.</t>
  </si>
  <si>
    <t>http://www.archanaskitchen.com/flourless-chocolate-rum-cake-recipe</t>
  </si>
  <si>
    <t>Ragi Choco Coffee Mug Cake Recipe</t>
  </si>
  <si>
    <t>Rezept für Ragi-Schoko-Kaffeetassenkuchen</t>
  </si>
  <si>
    <t>Recette de gâteau au chocolat et au café Ragi</t>
  </si>
  <si>
    <t>Receta de pastel de café con chocolate y ragi</t>
  </si>
  <si>
    <t>3 cuillères à soupe de décoction de café (3e degré), 1 cuillère à soupe de lait, 2 cuillères à soupe de farine de ragi (millet des doigts/nagli), 1 cuillère à soupe de farine de blé entier, 1 cuillère à soupe de cacao en poudre, ghee (au besoin), 2 cuillères à soupe de sucre de palme, sel (une pincée), 1/4 cuillère à café de bicarbonate de soude, 1/4 de levure chimique, 3/4 cuillère à café de vinaigre de cidre de pomme, 2 cuillères à soupe de pépites de chocolat</t>
  </si>
  <si>
    <t>3 tablespoons Coffee Decoction - (3rd degree),1 tablespoon Milk,2 tablespoons Ragi Flour (Finger Millet/ Nagli),1 tablespoon Whole Wheat Flour,1 tablespoon Cocoa Powder,Ghee - as required,2 tablespoons Palm sugar,Salt - a pinch,1/4 teaspoon Baking soda,1/4 Baking powder,3/4 teaspoon Apple cider vinegar,2 tablespoons Chocolate chips</t>
  </si>
  <si>
    <t>3 cucharadas de decocción de café (3er grado), 1 cucharada de leche, 2 cucharadas de harina de ragi (mijo de dedo/nagli), 1 cucharada de harina de trigo integral, 1 cucharada de cacao en polvo, ghee (según se requiera), 2 cucharadas de azúcar de palma, sal (una pizca), 1/4 cucharadita de bicarbonato de sodio, 1/4 de polvo de hornear, 3/4 cucharadita de vinagre de sidra de manzana, 2 cucharadas de chispas de chocolate</t>
  </si>
  <si>
    <t xml:space="preserve">To begin making the Ragi Choco Coffee Mug Cake Recipe, prepare the filter coffee in the regular way by adding 5 scoops of filter coffee and less than 1/2 cup boiling water.Once the decoction is brewed, use them as first degree coffee. Repeat the same process to get the second &amp; third degree decoction. We will be using the third degree decoction.Take 3 tablespoons of decoction and mix it with 1 tablespoon milk. Keep it asideAdd ragi flour, wheat flour, palm sugar in a bowl and mix them well. Add ghee to this and mix well again.Add baking soda, baking powder and apple cider vinegar. Just mix them for a second. Add the coffee mix and mix well.Add the cocoa powder. This can be added along with the dry ingredients also. Mix all of them without any lumps.Add 1 tablespoon of choco chips and give it a mix. Transfer them to a claypot mug or regular microwave mug.Sprinkle the remaining choco chips. Microwave high for a minute. Make sure the cup is only filled with 3/4th of the mix else they would spill.Enjoy it as it is or with a scoop of vanilla ice cream. Serve Ragi Choco Coffee Mug Cake Recipe along with a hot cup of Coffee Latte during your Tea time. You can also serve it as a dessert after your Continental meals.
</t>
  </si>
  <si>
    <t>Para empezar a preparar la receta del pastel de café con chocolate y ragi en taza, prepare el café de filtro como de costumbre, añadiendo 5 cucharadas de café de filtro y menos de 1/2 taza de agua hirviendo. Una vez preparada la decocción, úsela como café de primer grado. Repita el mismo proceso para obtener las decocciones de segundo y tercer grado. Nosotros usaremos la decocción de tercer grado. Tome 3 cucharadas de decocción y mézclelas con 1 cucharada de leche. Reserve. En un bol, añada harina de ragi, harina de trigo y azúcar de palma y mézclelos bien. Añada ghee y vuelva a mezclar bien. Añada bicarbonato de sodio, levadura química y vinagre de sidra de manzana. Mezcle un segundo. Añada la mezcla de café y remueva bien. Añada el cacao en polvo, que también puede añadirse junto con los ingredientes secos. Mezcle todo sin que queden grumos. Añada 1 cucharada de chispas de chocolate y remueva bien. Transfiéralas a una taza de barro o a una taza para microondas. Espolvoree con las chispas de chocolate restantes. Caliente en el microondas a alta potencia durante un minuto. Asegúrate de llenar la taza solo con 3/4 de la mezcla, de lo contrario se derramará. Disfrútalo solo o con una bola de helado de vainilla. Sirve la receta del pastel de café Ragi Choco en taza con una taza de café con leche caliente durante la hora del té. También puedes servirlo como postre después de tus comidas continentales.</t>
  </si>
  <si>
    <t>Pour commencer la recette du gâteau au café et au chocolat au ragi, préparez le café filtre de la manière habituelle en ajoutant 5 cuillères à café et moins de 120 ml d'eau bouillante. Une fois la décoction infusée, utilisez-la comme café au premier degré. Répétez le processus pour obtenir les décoctions au deuxième et au troisième degré. Nous utiliserons la décoction au troisième degré. Prenez 3 cuillères à soupe de décoction et mélangez-les avec 1 cuillère à soupe de lait. Réservez. Dans un bol, ajoutez la farine de ragi, la farine de blé et le sucre de palme et mélangez bien. Ajoutez le ghee et mélangez à nouveau. Ajoutez le bicarbonate de soude, la levure chimique et le vinaigre de cidre. Mélangez quelques secondes. Ajoutez le mélange à café et mélangez bien. Ajoutez le cacao en poudre. Vous pouvez également l'ajouter aux ingrédients secs. Mélangez bien le tout sans grumeaux. Ajoutez 1 cuillère à soupe de pépites de chocolat et mélangez bien. Transférez le tout dans un mug en terre cuite ou un mug allant au micro-ondes. Parsemez du reste des pépites de chocolat. Faites chauffer au micro-ondes à puissance maximale pendant une minute. Assurez-vous que la tasse ne soit remplie qu'aux 3/4 du mélange, sinon ils risquent de se renverser. Dégustez-le tel quel ou avec une boule de glace à la vanille. Servez la recette du gâteau au café Ragi Choco dans une tasse avec une tasse de café latte chaud pendant votre goûter. Vous pouvez également le servir en dessert après vos repas continentaux.</t>
  </si>
  <si>
    <t>https://www.archanaskitchen.com/ragi-choco-coffee-mug-cake-recipe</t>
  </si>
  <si>
    <t>Quick &amp; Easy Apple Cake Recipe</t>
  </si>
  <si>
    <t>Schnelles und einfaches Apfelkuchenrezept</t>
  </si>
  <si>
    <t>Recette de tarte aux pommes rapide et facile</t>
  </si>
  <si>
    <t>Receta de tarta de manzana fácil y rápida</t>
  </si>
  <si>
    <t>1-1/2 tasse de farine de riz - ou farine tout usage, 1 cuillère à café de cannelle en poudre (Dalchini), 2 cuillères à café de levure chimique, 1/2 tasse de sucre en poudre, 2 œufs entiers - ou substitut d'œuf à base de lin, 1/2 tasse d'huile de tournesol, 1/2 tasse de crème fraîche, 1/2 tasse de babeurre, 1 cuillère à café d'extrait de vanille, 2 cuillères à café de rhum - ou de brandy, 3 pommes - pelées et tranchées ou coupées en dés</t>
  </si>
  <si>
    <t>1-1/2 cups Rice flour - or all purpose flour,1 teaspoon Cinnamon Powder (Dalchini),2 teaspoons Baking powder,1/2 cup Caster Sugar,2 Whole Eggs - or Flaxmeal Egg Replacer,1/2 cup Sunflower Oil,1/2 cup Fresh cream,1/2 cup Buttermilk,1 teaspoon Vanilla Extract,2 teaspoons Rum - or brandy,3 Apples - peeled and sliced or diced</t>
  </si>
  <si>
    <t>1-1/2 tazas de harina de arroz - o harina para todo uso, 1 cucharadita de canela en polvo (Dalchini), 2 cucharaditas de polvo para hornear, 1/2 taza de azúcar extrafino, 2 huevos enteros - o sustituto de huevo de linaza, 1/2 taza de aceite de girasol, 1/2 taza de crema fresca, 1/2 taza de suero de leche, 1 cucharadita de extracto de vainilla, 2 cucharaditas de ron - o brandy, 3 manzanas - peladas y cortadas en rodajas o cubos</t>
  </si>
  <si>
    <t xml:space="preserve">To begin making the Quick and Easy Apple Cake Recipe, preheat the oven to 180 C. Grease and flour an 8 inch square pan or a 9 inch circular spring foam pan. Keep the pan aside.Sift the flour, baking powder and cinnamon in a large bowl and keep aside.In a large bowl or the bowl of the stand mixer, beat the eggs (flaxmeal egg replacer), oil, vanilla, cream, milk, sugar and rum until fluffy. Add in the flour mixture and beat until well combined. Add in the apples and keep a few apples aside to place it on the top.Scrape the batter into the greased pan and spread out evenly. Place a few sliced apples on the top of the cake batter and slightly press it down to coat it with the cake batter.Bake the apple cake in the preheated oven, until the tester like toothpick or a knife inserted in the center comes out clean, for about 40-45 minutes.Once the cake is baked, remove from the oven and allow the cake to cook completely.Serve the Quick and Easy Apple Cake as a snack for kids or as a tea time snack.
</t>
  </si>
  <si>
    <t>Para empezar a preparar la receta rápida y fácil de pastel de manzana, precalienta el horno a 180 °C. Engrasa y enharina un molde cuadrado de 20 cm o un molde circular de espuma de resorte de 23 cm. Reserva el molde. Tamiza la harina, el polvo para hornear y la canela en un tazón grande y reserva. En un tazón grande o en el tazón de la batidora, bate los huevos (sustituto de huevo de harina de lino), el aceite, la vainilla, la crema, la leche, el azúcar y el ron hasta que la mezcla esté esponjosa. Agrega la mezcla de harina y bate hasta que esté bien integrada. Agrega las manzanas y reserva algunas para colocarlas encima. Vierte la masa en el molde engrasado y extiéndela uniformemente. Coloque unas cuantas manzanas cortadas sobre la masa del pastel y presione ligeramente para cubrirlas con ella. Hornee el pastel de manzana en el horno precalentado, hasta que al insertar un palillo o un cuchillo en el centro, este salga limpio, durante unos 40-45 minutos. Una vez horneado, retírelo del horno y deje que se cocine por completo. Sirva el pastel de manzana rápido y fácil como refrigerio para niños o para la hora del té.</t>
  </si>
  <si>
    <t>Pour commencer la recette de gâteau aux pommes rapide et facile, préchauffez le four à 180 °C. Graissez et farinez un moule carré de 20 cm ou un moule rond en mousse à ressort de 23 cm. Réservez le moule. Tamisez la farine, la levure chimique et la cannelle dans un grand bol et réservez. Dans un grand bol ou celui d'un robot pâtissier, battez les œufs (substitut d'œuf à base de lin), l'huile, la vanille, la crème, le lait, le sucre et le rhum jusqu'à obtenir une consistance mousseuse. Ajoutez le mélange de farine et battez jusqu'à ce que le tout soit bien mélangé. Ajoutez les pommes et réservez-en quelques-unes pour les disposer sur le dessus. Versez la pâte dans le moule graissé et étalez-la uniformément. Déposez quelques tranches de pommes sur le dessus de la pâte à gâteau et appuyez légèrement dessus pour l'enrober de pâte à gâteau. Faites cuire le gâteau aux pommes dans le four préchauffé, jusqu'à ce qu'un cure-dent ou un couteau inséré au centre en ressorte propre, pendant environ 40 à 45 minutes. Une fois le gâteau cuit, retirez-le du four et laissez-le cuire complètement. Servez le gâteau aux pommes rapide et facile comme collation pour les enfants ou comme collation à l'heure du thé.</t>
  </si>
  <si>
    <t>https://www.archanaskitchen.com/quick-easy-apple-cake-recipe</t>
  </si>
  <si>
    <t>Curried Carrot Celery Soup Recipe</t>
  </si>
  <si>
    <t>Rezept für Karotten-Sellerie-Currysuppe</t>
  </si>
  <si>
    <t>Recette de soupe au curry de carottes et de céleri</t>
  </si>
  <si>
    <t>Receta de sopa de curry de zanahoria y apio</t>
  </si>
  <si>
    <t>3 carottes (Gajjar) - hachées, 4 branches de céleri - hachées, 1 oignon - finement haché, 2 gousses d'ail - finement hachées, 1 cuillère à café de graines de cumin (Jeera), 1 feuille de laurier (tej patta), 2 bâtons de cannelle, 2 clous de girofle (Laung), 1 cuillère à café de grains de poivre noir - grossièrement écrasés, 1/2 cuillère à café de poudre de garam masala, sel - au goût, 1 cuillère à café d'huile d'olive extra vierge, 1 cuillère à soupe de feuilles de coriandre (Dhania) - hachées, 1 cuillère à café de graines de tournesol - pour la garniture</t>
  </si>
  <si>
    <t>3 Carrot (Gajjar) - chopped,4 Stalks Celery - chopped,1 Onion - finely chopped,2 cloves Garlic - finely chopped,1 teaspoon Cumin seeds (Jeera),1 Bay leaf (tej patta),2 Cinnamon stick,2 Cloves (Laung),1 teaspoon Black pepper corns - coarsely crushed,1/2 teaspoon Garam masala powder,Salt - to taste,1 teaspoon Extra Virgin Olive Oil,1 tablespoon Coriander (Dhania) Leaves - chopped,1 teaspoon Sunflower seeds - for garnish</t>
  </si>
  <si>
    <t>3 zanahorias (Gajjar) - picadas, 4 tallos de apio - picados, 1 cebolla - picada finamente, 2 dientes de ajo - picados finamente, 1 cucharadita de semillas de comino (Jeera), 1 hoja de laurel (tej patta), 2 ramas de canela, 2 clavos (Laung), 1 cucharadita de granos de pimienta negra - triturados gruesos, 1/2 cucharadita de polvo de Garam masala, sal - al gusto, 1 cucharadita de aceite de oliva virgen extra, 1 cucharada de hojas de cilantro (Dhania) - picadas, 1 cucharadita de semillas de girasol - para decorar</t>
  </si>
  <si>
    <t xml:space="preserve">To begin making Curried Carrot Celery Soup Recipe heat olive oil in a pressure cooker and add the dry spices like bay leaves, cloves, cinnamon sticks and whole black peppercorns.Add the chopped onions and saute till onions become translucent in colour. Next add the carrots and celery stalks and sweat them. Add salt and 4 cups of water, close the pressure cooker lid and give four whistles. Let the pressure release naturally.After the carrot and celery has cooled down blend the carrot and celery in a blender until it becomes smooth. Once smooth add the Curried Carrot Celery Soup to a saucepan. Add salt to taste and bring Curried Carrot Celery Soup to a boil. Check the seasonings and adjust the taste accordingly.Garnish the Curried Carrot Celery Soup with coriander leaves and sunflower seeds and serve hot in a soup bowl.Serve Curried Carrot Celery Soup along with toasted  Homemade Whole Wheat Bread and Baked Pasta Recipe with Paneer and Spinach for a nice weekend dinner.
</t>
  </si>
  <si>
    <t>Para comenzar a hacer la Receta de Sopa de Apio y Zanahoria al Curry, caliente el aceite de oliva en una olla a presión y agregue las especias secas como hojas de laurel, clavos, ramas de canela y granos enteros de pimienta negra. Agregue las cebollas picadas y saltee hasta que las cebollas se vuelvan translúcidas. Luego agregue las zanahorias y los tallos de apio y sudelos. Agregue sal y 4 tazas de agua, cierre la tapa de la olla a presión y dé cuatro silbidos. Deje que la presión se libere naturalmente. Después de que la zanahoria y el apio se hayan enfriado, licúe la zanahoria y el apio en una licuadora hasta que quede suave. Una vez suave, agregue la Sopa de Apio y Zanahoria al Curry a una cacerola. Agregue sal al gusto y hierva la Sopa de Apio y Zanahoria al Curry. Pruebe los condimentos y ajuste el sabor según corresponda. Decore la sopa de zanahoria y apio al curry con hojas de cilantro y semillas de girasol y sirva caliente en un tazón para sopa. Sirva la sopa de zanahoria y apio al curry junto con pan integral casero tostado y la receta de pasta al horno con paneer y espinacas para una agradable cena de fin de semana.</t>
  </si>
  <si>
    <t>Pour commencer à préparer la recette de soupe de carottes et de céleri au curry, faites chauffer l'huile d'olive dans un autocuiseur et ajoutez les épices sèches comme les feuilles de laurier, les clous de girofle, les bâtons de cannelle et les grains de poivre noir entiers. Ajoutez les oignons hachés et faites revenir jusqu'à ce que les oignons deviennent translucides. Ajoutez ensuite les carottes et les tiges de céleri et faites-les suer. Ajoutez du sel et 4 tasses d'eau, fermez le couvercle de l'autocuiseur et donnez quatre sifflements. Laissez la pression se relâcher naturellement. Une fois la carotte et le céleri refroidis, mixez la carotte et le céleri dans un mixeur jusqu'à obtenir une consistance lisse. Une fois lisse, ajoutez la soupe de carottes et de céleri au curry dans une casserole. Ajoutez du sel au goût et portez la soupe de carottes et de céleri au curry à ébullition. Vérifiez les assaisonnements et ajustez le goût en conséquence. Garnissez la soupe de carottes et de céleri au curry de feuilles de coriandre et de graines de tournesol et servez chaude dans un bol à soupe. Servez la soupe de carottes et de céleri au curry avec du pain complet maison grillé et des pâtes au four avec du paneer et des épinards pour un bon dîner de week-end.</t>
  </si>
  <si>
    <t>http://www.archanaskitchen.com/spiced-carrot-soup-recipe</t>
  </si>
  <si>
    <t>Eggless Cinnamon Flavoured Apple &amp; Plum Cake Recipe</t>
  </si>
  <si>
    <t>Rezept für Apfel-Pflaumen-Kuchen mit Zimtgeschmack ohne Ei</t>
  </si>
  <si>
    <t>Recette de gâteau aux pommes et aux prunes à la cannelle sans œufs</t>
  </si>
  <si>
    <t>Receta de pastel de manzana, ciruela y canela sin huevo</t>
  </si>
  <si>
    <t>2 tasses de farine tout usage (Maida), 1 cuillère à café de levure chimique, 1/2 cuillère à café de bicarbonate de soude, 1 pincée de sel, 1 tasse de sucre en poudre, 1 tasse de beurre (non salé) - fondu, 3/4 cuillère à café de cannelle en poudre (Dalchini), 2 cuillères à soupe de lait - (ajuster), 1/2 cuillère à café de zeste de citron, 1 cuillère à café d'extrait de vanille, 6 cuillères à soupe de Hung Curd (yaourt grec) - fouetté, 4 prunes - dénoyautées et tranchées, 1 pomme - coupée en tranches en forme de croissant</t>
  </si>
  <si>
    <t>2 cups All Purpose Flour (Maida),1 teaspoon Baking powder,1/2 teaspoon Baking soda,1 pinch Salt,1 cup Caster Sugar,1 cup Butter (unsalted) - melted,3/4 teaspoon Cinnamon Powder (Dalchini),2 tablespoons Milk - (adjust),1/2 teaspoon Lemon zest,1 teaspoon Vanilla Extract,6 tablespoons Hung Curd (Greek Yogurt) - whisked,4 Plum - pitted and sliced,1 Apple - sliced to crescent shaped slices</t>
  </si>
  <si>
    <t>2 tazas de harina para todo uso (Maida), 1 cucharadita de polvo para hornear, 1/2 cucharadita de bicarbonato de sodio, 1 pizca de sal, 1 taza de azúcar extrafino, 1 taza de mantequilla (sin sal) derretida, 3/4 cucharadita de canela en polvo (Dalchini), 2 cucharadas de leche (ajustar), 1/2 cucharadita de ralladura de limón, 1 cucharadita de extracto de vainilla, 6 cucharadas de cuajada Hung (yogur griego) batida, 4 ciruelas sin hueso y en rodajas, 1 manzana cortada en rodajas con forma de medialuna</t>
  </si>
  <si>
    <t xml:space="preserve">To begin making the Eggless Cinnamon Flavoured Apple &amp; Plum Cake Recipe, sift flour twice and add baking powder, baking soda and salt in a mixing bowl.Mix with a fork and keep aside. Pre heat the oven at 200 degree C for 10 to 12 mins.Line or grease a 8" inches spring form pan and keep aside.In a large mixing bowl, add sugar and butter and whisk with an electric blender till sugar dissolves and the mix becomes thick and creamy.Add whisked curd and blend again. Now add in the lemon zest, vanilla extract and mix with a spatula.Add in the dry flour mix to this wet mix slowly and fold in to make a batter.Now add milk and cinnamon powder and give a quick mix again. Do not beat the batter, just fold in till everything incorporates well.Pour in the batter into the baking pan and tap to break the air bubbles formed.Take apple slices and arrange it in the outer circumference.Now place few plum slices in the centre and bake the cake in the oven for 35 to 40 minutes or till the tooth pick inserted in the centre comes out clean.Serve Eggless Cinnamon Flavoured Apple &amp; Plum Cake with a cup of hot Masala Chai or Cold Coffee Smoothie during your tea time break. You can even serve it during special occasions and festivals or as a dessert after your meal.
</t>
  </si>
  <si>
    <t>Para comenzar a preparar la receta de pastel de manzana y ciruela con sabor a canela sin huevo, tamice la harina dos veces y agregue el polvo de hornear, el bicarbonato de sodio y la sal en un tazón. Mezcle con un tenedor y reserve. Precaliente el horno a 200 grados C durante 10 a 12 minutos. Forre o engrase un molde desmontable de 8 "pulgadas y reserve. En un tazón grande, agregue el azúcar y la mantequilla y bata con una batidora eléctrica hasta que el azúcar se disuelva y la mezcla se vuelva espesa y cremosa. Agregue la cuajada batida y mezcle nuevamente. Ahora agregue la ralladura de limón, el extracto de vainilla y mezcle con una espátula. Agregue la mezcla de harina seca a esta mezcla húmeda lentamente y doble para hacer una masa. Ahora agregue la leche y la canela en polvo y vuelva a mezclar rápidamente. No bata la masa, solo incorpore hasta que todo se incorpore bien. Vierta la masa en el molde para hornear y golpee para romper las burbujas de aire formadas. Tome rodajas de manzana y colóquelas en la circunferencia exterior. Ahora coloque algunas rodajas de ciruela en el centro y hornee el pastel en el horno durante 35 a 40 minutos o hasta que el palillo insertado en el centro salga limpio. Sirva el pastel de manzana y ciruela con sabor a canela sin huevo con una taza de Masala caliente Chai o batido de café frío para la hora del té. También puedes servirlo en ocasiones especiales y festivales, o como postre después de comer.</t>
  </si>
  <si>
    <t>Pour commencer à préparer la recette de gâteau aux pommes et aux prunes sans œufs à la cannelle, tamisez la farine deux fois et ajoutez la levure chimique, le bicarbonate de soude et le sel dans un bol à mélanger. Mélangez avec une fourchette et réservez. Préchauffer le four à 200 degrés C pendant 10 à 12 minutes. Chemiser ou graisser un moule à charnière de 8 pouces et réserver. Dans un grand bol, ajouter le sucre et le beurre et fouetter avec un mélangeur électrique jusqu'à ce que le sucre se dissolve et que le mélange devienne épais et crémeux. Ajouter le caillé fouetté et mélanger à nouveau. Ajouter maintenant le zeste de citron, l'extrait de vanille et mélanger avec une spatule. Ajouter lentement le mélange de farine sèche à ce mélange humide et incorporer pour faire une pâte. Ajouter maintenant le lait et la cannelle en poudre et mélanger à nouveau rapidement. Ne pas battre la pâte, juste incorporer jusqu'à ce que tout soit bien incorporé. Verser la pâte dans le moule et tapoter pour briser les bulles d'air formées. Prendre des tranches de pomme et les disposer sur la circonférence extérieure. Maintenant, placer quelques tranches de prune au centre et cuire le gâteau au four pendant 35 à 40 minutes ou jusqu'à ce que le cure-dent inséré au centre en ressorte propre. Servir le gâteau aux pommes et aux prunes sans œufs à la cannelle avec une tasse de masala chaud Chai ou smoothie au café froid pendant votre pause thé. Vous pouvez même le servir lors d'occasions spéciales et de festivals, ou en dessert après votre repas.</t>
  </si>
  <si>
    <t>https://www.archanaskitchen.com/cinnamon-flavoured-eggless-apple-plum-cake-recipe</t>
  </si>
  <si>
    <t>Twin In One Bread Loaf Recipe</t>
  </si>
  <si>
    <t>Rezept für ein Twin-in-One-Brotlaib</t>
  </si>
  <si>
    <t>Recette pour un pain double en un</t>
  </si>
  <si>
    <t>Receta para un pan doble en uno</t>
  </si>
  <si>
    <t>1-1/4 cuillère à café de levure sèche active, 1 tasse d'eau tiède - (divisée), 1 cuillère à soupe de sucre, 1 cuillère à soupe de sel - (ou au goût), 1 cuillère à soupe de beurre (non salé) - plus pour graisser, 2 tasses de Vivatta Maida, 1-1/4 cuillère à café de levure sèche active, 1 tasse d'eau tiède - (divisée), 1 cuillère à soupe de sucre, 1 cuillère à soupe de sel - (ou au goût), 1 cuillère à soupe de beurre (non salé) - plus pour graisser, 2 tasses de farine de blé entier</t>
  </si>
  <si>
    <t>1-1/4 teaspoon Active dry yeast,1 cup Lukewarm Water - (divided),1 tablespoon Sugar,1 tablespoon Salt - (or to taste),1 tablespoon Butter (unsalted) - more for greasing,2 cups Vivatta Maida,1-1/4 teaspoons Active dry yeast,1 cup Lukewarm Water - (divided),1 tablespoon Sugar,1 tablespoon Salt - (or to taste),1 tablespoon Butter (unsalted) - more for greasing,2 cups Whole Wheat Flour</t>
  </si>
  <si>
    <t>1-1/4 cucharadita de levadura seca activa, 1 taza de agua tibia (dividida), 1 cucharada de azúcar, 1 cucharada de sal (o al gusto), 1 cucharada de mantequilla (sin sal) - más para engrasar, 2 tazas de Vivatta Maida, 1-1/4 cucharadita de levadura seca activa, 1 taza de agua tibia (dividida), 1 cucharada de azúcar, 1 cucharada de sal (o al gusto), 1 cucharada de mantequilla (sin sal) - más para engrasar, 2 tazas de harina integral</t>
  </si>
  <si>
    <t xml:space="preserve">To begin making Twin In One Bread Loaf Recipe, in the bowl, stir to dissolve the yeast in 1/4 cup of the warm water, and let sit for 5 minutes.Add the remaining 3/4 cup water, sugar, salt, room temperature butter, and 1 cup of the flour and stir to combine.In a stand mixer, using a dough hook on low speed, gradually add the remaining 1 cup of flour until the dough is soft and tacky, but not sticky.Continue to knead until a soft ball of dough forms and clears the sides of the bowl, about 7 to 10 minutes.Place the dough in a lightly greased bowl and turn it over so it is completely coated.Cover with plastic wrap or lid  and set aside in a dry place to rise until doubled in size, for 2 hours.Repeat the process with wheat flour to layer the Brown bread.Turn the dough out onto a clean, lightly floured surface. Gently press it all over to remove any air pockets.Take  a 9×12-inch rectangle loaf pan, place the dough for white bread into greased 9-inch loaf pans. Then do it with wheat flour for brown bread and put on the white dough.Seal the edges by pressing both the dough together.Cover with plastic  wrap or aluminium  foil and set aside for 30 to 45 minutes.Position an oven rack on the lowest setting and preheat the oven to 200 degree C.Brush the loaves with some of the melted butter or beaten egg. Bake the loaf for 30 to 35 minutes, until golden brown.Remove from the oven and immediately brush with more of the melted butter.Allow to cool for 10 minutes, then remove from the pans and cool completely before slicing. The bread can be stored in an airtight box or wrapped tightly in plastic wrap at room temperature for up to 4 days.You can serve Twin In One Bread Loaf Recipe along with Ginger-Holy Basil Tisane | Adrak Tulsi Chai Recipe and Nimki Recipe.
</t>
  </si>
  <si>
    <t>Para comenzar a hacer la receta de pan doble en uno, en el tazón, revuelva para disolver la levadura en 1/4 de taza de agua tibia y deje reposar durante 5 minutos. Agregue las 3/4 de taza de agua restantes, el azúcar, la sal, la mantequilla a temperatura ambiente y 1 taza de harina y revuelva para combinar. En una batidora de pie, usando un gancho para masa a baja velocidad, agregue gradualmente la taza restante de harina hasta que la masa esté suave y pegajosa, pero no pegajosa. Continúe amasando hasta que se forme una bola suave de masa y despeje los lados del tazón, aproximadamente de 7 a 10 minutos. Coloque la masa en un tazón ligeramente engrasado y déle la vuelta para que esté completamente cubierto. Cubra con film transparente o tapa y reserve en un lugar seco para que suba hasta que duplique su tamaño, durante 2 horas. Repita el proceso con harina de trigo para colocar el pan integral en capas. Coloque la masa sobre una superficie limpia y ligeramente enharinada. Presione suavemente por todos lados para eliminar las bolsas de aire. Tome un molde de pan rectangular de 9 × 12 pulgadas, coloque la masa para pan blanco en moldes de pan engrasados ​​de 9 pulgadas. Luego haga lo mismo con harina de trigo para pan integral y coloque la masa blanca. Selle los bordes presionando ambas masas juntas. Cubra con film transparente o papel de aluminio y deje reposar de 30 a 45 minutos. Coloque una rejilla del horno en la configuración más baja y precaliente el horno a 200 grados C. Pincele los panes con un poco de mantequilla derretida o huevo batido. Hornee el pan durante 30 a 35 minutos, hasta que esté dorado. Retire del horno e inmediatamente pinte con más mantequilla derretida. Deje enfriar durante 10 minutos, luego retírelo de los moldes y enfríe completamente antes de cortarlo. El pan se puede guardar en una caja hermética o envuelto en film transparente a temperatura ambiente hasta por 4 días. Puedes servir la receta de pan doble en uno junto con la tisana de jengibre y albahaca sagrada | Receta de Adrak Tulsi Chai y la receta de Nimki.</t>
  </si>
  <si>
    <t>Pour commencer à préparer la recette de pain Twin In One, dans le bol, remuez pour dissoudre la levure dans 1/4 tasse d'eau tiède et laissez reposer 5 minutes. Ajoutez les 3/4 tasse d'eau restantes, le sucre, le sel, le beurre à température ambiante et 1 tasse de farine et remuez pour combiner. Dans un batteur sur socle, à l'aide d'un crochet pétrisseur à basse vitesse, ajoutez progressivement la tasse de farine restante jusqu'à ce que la pâte soit molle et collante, mais pas collante. Continuez à pétrir jusqu'à ce qu'une boule de pâte molle se forme et se détache des parois du bol, environ 7 à 10 minutes. Placez la pâte dans un bol légèrement graissé et retournez-la pour qu'elle soit complètement enrobée. Couvrez d'une pellicule plastique ou d'un couvercle et réservez dans un endroit sec pour qu'elle lève jusqu'à ce qu'elle double de volume, pendant 2 heures. Répétez le processus avec de la farine de blé pour superposer le pain brun. Retournez la pâte sur une surface propre et légèrement farinée. Appuyez doucement partout pour éliminer les poches d'air. Prenez un moule à pain rectangulaire de 9 × 12 pouces, placez la pâte pour le pain blanc dans des moules à pain graissés de 9 pouces. Faites-le ensuite avec de la farine de blé pour le pain brun et mettez la pâte blanche. Scellez les bords en pressant les deux pâtes ensemble. Couvrez d'une pellicule plastique ou d'une feuille d'aluminium et laissez reposer 30 à 45 minutes. Placez une grille du four sur le réglage le plus bas et préchauffez le four à 200 degrés C. Badigeonnez les pains d'un peu de beurre fondu ou d'œuf battu. Faites cuire le pain pendant 30 à 35 minutes, jusqu'à ce qu'il soit doré. Retirez du four et badigeonnez immédiatement de beurre fondu. Laissez refroidir 10 minutes, puis retirez des moules et laissez refroidir complètement avant de trancher. Le pain peut être conservé dans une boîte hermétique ou emballé hermétiquement dans une pellicule plastique à température ambiante jusqu'à 4 jours. Vous pouvez servir la recette de pain Twin In One avec la recette de tisane au gingembre et basilic sacré | la recette d'Adrak Tulsi Chai et la recette de Nimki.</t>
  </si>
  <si>
    <t>https://www.archanaskitchen.com/twin-in-one-bread-loaf-recipe</t>
  </si>
  <si>
    <t>Paleo Balsamic Mushrooms Recipe</t>
  </si>
  <si>
    <t>Paleo-Rezept für Balsamico-Pilze</t>
  </si>
  <si>
    <t>Recette paléo de champignons balsamiques</t>
  </si>
  <si>
    <t>Receta paleo de champiñones balsámicos</t>
  </si>
  <si>
    <t>1 tasse de champignons de Paris, 3 cuillères à soupe de beurre, 1 oignon finement haché, 3 gousses d'ail finement hachées, 1 1/2 cuillère à soupe de vinaigre balsamique (biologique), 1/2 cuillère à café de sel, 1/2 cuillère à café de grains de poivre noir entiers fraîchement moulus, oignons verts de printemps pour la garniture</t>
  </si>
  <si>
    <t>1 cup Button mushrooms,3 tablespoon Butter,1 Onion - finely chopped,3 cloves Garlic - finely chopped,1-1/2 tablespoons Balsamic Vinegar - (Organic),1/2 teaspoon Salt,1/2 teaspoon Whole Black Peppercorns - freshly ground,Spring Onion Greens - for garnish</t>
  </si>
  <si>
    <t>1 taza de champiñones, 3 cucharadas de mantequilla, 1 cebolla finamente picada, 3 dientes de ajo finamente picados, 1-1/2 cucharadas de vinagre balsámico (orgánico), 1/2 cucharadita de sal, 1/2 cucharadita de granos de pimienta negra enteros recién molidos, cebolletas verdes para decorar</t>
  </si>
  <si>
    <t xml:space="preserve">To begin making the  Paleo Balsamic Mushrooms Recipe, clean mushrooms with a damp cloth to remove any dirt.Slice them into halves and keep aside. I removed only the stalks and used mushrooms, which are smaller ,as a whole.In a skillet, add butter and allow it to melt on medium flame.Once the butter is melted, add chopped garlic and chopped onions. Saute until the onions become translucent.Once done add mushrooms and cook until they become tender, for about 10 minutes. Don’t overcook as the mushrooms become rubbery.Add salt, balsamic vinegar and pepper to the mushrooms; Saute for about 2 – 3 minutes and turn off the heat. Garnish with  spring onions and serve Paleo Balsamic Mushrooms Recipe warm.Serve this Balsamic mushrooms as sides for your Mexican Lime Chicken or Grilled Chicken With Vegetables.
</t>
  </si>
  <si>
    <t>Para empezar a preparar la Receta de Champiñones Balsámicos Paleo, limpia los champiñones con un paño húmedo para eliminar la suciedad. Córtalos por la mitad y resérvalos. Yo solo les quité los tallos y usé los champiñones, que son más pequeños, enteros. En una sartén, añade la mantequilla y deja que se derrita a fuego medio. Una vez que la mantequilla se haya derretido, añade el ajo picado y la cebolla picada. Saltea hasta que la cebolla se vuelva translúcida. Una vez hecho esto, añade los champiñones y cocina hasta que estén tiernos, durante unos 10 minutos. No los cocines demasiado, ya que los champiñones se vuelven gomosos. Añade sal, vinagre balsámico y pimienta a los champiñones; saltea durante unos 2-3 minutos y apaga el fuego. Decora con cebolletas y sirve la Receta de Champiñones Balsámicos Paleo caliente. Sirve estos champiñones balsámicos como acompañamiento para tu Pollo al Limón Mexicano o Pollo a la Parrilla con Verduras.</t>
  </si>
  <si>
    <t>Pour commencer la recette de champignons balsamiques paléo, nettoyez les champignons avec un chiffon humide pour enlever toute saleté. Coupez-les en deux et réservez. J'ai retiré uniquement les tiges et utilisé les champignons, qui sont plus petits, entiers. Dans une poêle, ajoutez le beurre et laissez-le fondre à feu moyen. Une fois le beurre fondu, ajoutez l'ail et les oignons hachés. Faites revenir jusqu'à ce que les oignons deviennent translucides. Ajoutez ensuite les champignons et faites-les cuire jusqu'à ce qu'ils soient tendres, pendant environ 10 minutes. Ne les faites pas trop cuire, car ils deviennent caoutchouteux. Ajoutez du sel, du vinaigre balsamique et du poivre aux champignons ; faites revenir pendant environ 2 à 3 minutes, puis éteignez le feu. Garnissez d'oignons nouveaux et servez chaud. Servez ces champignons balsamiques en accompagnement de votre poulet mexicain au citron vert ou de votre poulet grillé aux légumes.</t>
  </si>
  <si>
    <t>https://www.archanaskitchen.com/paleo-balsamic-mushrooms-recipe</t>
  </si>
  <si>
    <t>Apple And Raisin Chutney Recipe</t>
  </si>
  <si>
    <t>Rezept für Apfel-Rosinen-Chutney</t>
  </si>
  <si>
    <t>Recette de chutney aux pommes et aux raisins secs</t>
  </si>
  <si>
    <t>Receta de chutney de manzana y pasas</t>
  </si>
  <si>
    <t>3-4 pommes - pelées, 4 oignons - pelés et finement hachés, 1 citron - pressé, 2 cuillères à soupe de vinaigre, 1/2 tasse de raisins secs, sel - au goût, 1/2 tasse de sucre - au goût, 1 cuillère à café de cannelle en poudre (Dalchini), 1 cuillère à café d'huile de tournesol</t>
  </si>
  <si>
    <t>3-4 Apples - peeled,4 Onions - peeled and finely chopped,1 Lemon - juiced,2 tablespoons Vinegar,1/2 cup Raisins,Salt - to taste,1/2 cup Sugar - to taste,1 teaspoon Cinnamon Powder (Dalchini),1 teaspoon Sunflower Oil</t>
  </si>
  <si>
    <t>3-4 manzanas peladas, 4 cebollas peladas y picadas finamente, 1 limón exprimido, 2 cucharadas de vinagre, 1/2 taza de pasas, sal al gusto, 1/2 taza de azúcar al gusto, 1 cucharadita de canela en polvo (dalchini), 1 cucharadita de aceite de girasol</t>
  </si>
  <si>
    <t xml:space="preserve">To begin making the Apple And Raisin Chutney Recipe,  heat oil over medium heat in a pan. Add in the onions saute the chopped onion for a minute or two, until translucent.Once done add the chopped apples along with cinnamon, salt, vinegar and lemon juice to the pan. Stir to combine and continue to cook on a medium-low heat till apples are soft and mushy. Once apples turn mushy add the raisins and sugar. Stir to combine and gently mash the chutney with a potato masher while it is on heat. Turn the heat to low and allow it to simmer until all the excess liquid is evaporated and the chutney begins to turn thick. Once the apple raisin chutney turns thick, turn off the heat.Let the chutney cool down to room temperature.Then spoon the Apple And Raisin Chutney into clean, dry, glass jars and seal with the lid.Store the chutney in the fridge. Make sure to use clean and dry spoon to serve the chutney to ensure that it lasts longer.Serve Apple and Raisin Chutney Recipe with Bread Toast Recipe and Chikoo Banana Date Smoothie for a wholesome breakfast or an after school snack.
</t>
  </si>
  <si>
    <t>Para comenzar a hacer la Receta de Chutney de Manzana y Pasas, calienta el aceite a fuego medio en una sartén. Agrega las cebollas y saltea la cebolla picada durante un minuto o dos, hasta que esté translúcida. Una vez hecho esto, agrega las manzanas picadas junto con la canela, la sal, el vinagre y el jugo de limón a la sartén. Revuelve para combinar y continúa cocinando a fuego medio-bajo hasta que las manzanas estén suaves y blandas. Una vez que las manzanas se pongan blandas, agrega las pasas y el azúcar. Revuelve para combinar y tritura suavemente el chutney con un machacador de papas mientras está en calor. Reduce el fuego y déjalo hervir a fuego lento hasta que todo el exceso de líquido se evapore y el chutney comience a espesarse. Una vez que el chutney de manzana y pasas espese, apaga el fuego. Deja que el chutney se enfríe a temperatura ambiente. Luego, vierte el Chutney de Manzana y Pasas en frascos de vidrio limpios y secos y séllalos con la tapa. Guarda el chutney en el refrigerador. Asegúrese de usar una cuchara limpia y seca para servir el chutney para que dure más. Sirva la receta de chutney de manzana y pasas con la receta de tostadas de pan y el batido de plátano y dátiles Chikoo para un desayuno saludable o una merienda después de la escuela.</t>
  </si>
  <si>
    <t>Pour commencer à préparer la recette de chutney aux pommes et aux raisins secs, faites chauffer l'huile à feu moyen dans une poêle. Ajoutez les oignons et faites revenir l'oignon haché pendant une minute ou deux, jusqu'à ce qu'il soit translucide. Une fois terminé, ajoutez les pommes hachées avec la cannelle, le sel, le vinaigre et le jus de citron dans la poêle. Remuez pour mélanger et continuez la cuisson à feu moyen-doux jusqu'à ce que les pommes soient tendres et molles. Une fois les pommes molles, ajoutez les raisins secs et le sucre. Remuez pour mélanger et écrasez délicatement le chutney avec un presse-purée pendant qu'il est sur le feu. Baissez le feu et laissez mijoter jusqu'à ce que tout l'excès de liquide soit évaporé et que le chutney commence à épaissir. Une fois que le chutney aux pommes et aux raisins secs devient épais, éteignez le feu. Laissez le chutney refroidir à température ambiante. Versez ensuite le chutney aux pommes et aux raisins secs dans des bocaux en verre propres et secs et fermez avec le couvercle. Conservez le chutney au réfrigérateur. Assurez-vous d'utiliser une cuillère propre et sèche pour servir le chutney afin de vous assurer qu'il dure plus longtemps. Servez la recette de chutney aux pommes et aux raisins secs avec la recette de pain grillé et le smoothie aux dattes et à la banane Chikoo pour un petit-déjeuner sain ou une collation après l'école.</t>
  </si>
  <si>
    <t>http://www.archanaskitchen.com/apple-and-raisin-chutney-recipe</t>
  </si>
  <si>
    <t>Fig, Ricotta And Honey Salad Recipe With Pine Nuts</t>
  </si>
  <si>
    <t>Rezept für Feigen-Ricotta-Honig-Salat mit Pinienkernen</t>
  </si>
  <si>
    <t>Recette de salade de figues, ricotta et miel aux pignons de pin</t>
  </si>
  <si>
    <t>Receta de ensalada de higos, ricotta, miel y piñones</t>
  </si>
  <si>
    <t>6 à 8 figues fraîches - coupées en quartiers, 2 cuillères à soupe de ricotta - ou tout autre fromage à pâte molle, 1 cuillère à soupe de miel, 1 cuillère à café d'huile d'olive extra vierge, 2 cuillères à soupe de noix - ou de pignons de pin, sel et poivre - au goût</t>
  </si>
  <si>
    <t>6 - 8 Fresh Figs - cut into quarters,2 tablespoon Ricotta Cheese - or any other soft cheese,1 tablespoon Honey,1 teaspoon Extra Virgin Olive Oil,2 tablespoon Walnuts - or pine nuts,Salt and Pepper - to taste</t>
  </si>
  <si>
    <t>6 - 8 higos frescos cortados en cuartos, 2 cucharadas de queso ricotta o cualquier otro queso blando, 1 cucharada de miel, 1 cucharadita de aceite de oliva virgen extra, 2 cucharadas de nueces o piñones, sal y pimienta al gusto.</t>
  </si>
  <si>
    <t xml:space="preserve">To begin making the Fig, Ricotta And Honey Salad With Pine Nuts we will first wash, pat dry and cut the figs into wedges or chop into bite-size pieces.Next dry roast the pine nuts in the cast-iron skillet over medium heat for few seconds. Transfer to a bowl and set aside. Now in a salad mixing bowl add the figs and the crumbled ricotta cheese or any other soft cheese you prefer. In a small bowl whisk together honey, olive oil, salt and pepper for few seconds till combined well. Drizzle the dressing over the salad. Toss gently to combine. Sprinkle roasted pine nuts over the salad. Serve Fig, Ricotta And Honey Salad Recipe With Pine Nuts along with Light And Creamy Broccoli Soup Recipe and Herb Mushroom Bruschetta.
</t>
  </si>
  <si>
    <t>Para empezar a preparar la ensalada de higos, ricotta, miel y piñones, primero lavaremos, secaremos y cortaremos los higos en gajos o en trozos pequeños. A continuación, tostamos los piñones en una sartén de hierro fundido a fuego medio durante unos segundos. Transfiérelos a un bol y reserva. Ahora, en un bol para mezclar ensaladas, agrega los higos y el queso ricotta desmenuzado o cualquier otro queso blando que prefieras. En un bol pequeño, bate la miel, el aceite de oliva, la sal y la pimienta durante unos segundos hasta que se combinen bien. Rocía el aderezo sobre la ensalada. Revuelve suavemente para combinar. Espolvorea los piñones tostados sobre la ensalada. Sirve la receta de ensalada de higos, ricotta, miel y piñones junto con la receta de sopa de brócoli ligera y cremosa y la bruschetta de champiñones con hierbas.</t>
  </si>
  <si>
    <t>Pour commencer à préparer la salade de figues, ricotta et miel aux pignons de pin, nous allons d'abord laver, sécher et couper les figues en quartiers ou les hacher en morceaux de la taille d'une bouchée. Ensuite, faites griller à sec les pignons de pin dans la poêle en fonte à feu moyen pendant quelques secondes. Transférez dans un bol et réservez. Maintenant, dans un saladier, ajoutez les figues et la ricotta émiettée ou tout autre fromage à pâte molle de votre choix. Dans un petit bol, fouettez ensemble le miel, l'huile d'olive, le sel et le poivre pendant quelques secondes jusqu'à ce que le tout soit bien mélangé. Versez la vinaigrette sur la salade. Mélangez délicatement. Saupoudrez de pignons de pin grillés sur la salade. Servez la recette de salade de figues, ricotta et miel aux pignons de pin avec la recette de soupe de brocoli légère et crémeuse et la bruschetta aux champignons et aux herbes.</t>
  </si>
  <si>
    <t>https://www.archanaskitchen.com/fig-ricotta-and-honey-salad-recipe-with-pine-nuts</t>
  </si>
  <si>
    <t>Creamy Cinnamon Peach Milkshake Recipe With Chia Seeds</t>
  </si>
  <si>
    <t>Cremiger Zimt-Pfirsich-Milchshake mit Chiasamen</t>
  </si>
  <si>
    <t>Milkshake crémeux à la cannelle et à la pêche avec graines de chia</t>
  </si>
  <si>
    <t>Batido cremoso de canela, melocotón y semillas de chía</t>
  </si>
  <si>
    <t>5 pêches - épépinées et coupées en tranches, 2 cuillères à soupe de sucre, 1 cuillère à soupe de miel, 1/4 cuillère à café de cannelle en poudre (Dalchini), 3/4 tasse de crème glacée à la vanille, 3/4 tasse de lait, 1 cuillère à soupe de graines de chia</t>
  </si>
  <si>
    <t>5 Peaches - deseeded and sliced,2 tablespoons Sugar,1 tablespoon Honey,1/4 teaspoon Cinnamon Powder (Dalchini),3/4 cup Vanilla Ice cream,3/4 cup Milk,1 tablespoon Chia Seeds</t>
  </si>
  <si>
    <t>5 duraznos sin semillas y en rodajas, 2 cucharadas de azúcar, 1 cucharada de miel, 1/4 cucharadita de canela en polvo (dalchini), 3/4 taza de helado de vainilla, 3/4 taza de leche, 1 cucharada de semillas de chía</t>
  </si>
  <si>
    <t xml:space="preserve">To begin making Creamy Cinnamon Peach Milkshake Recipe With Chia Seeds in a mixer jar combine the peaches, sugar and honey, cinnamon and grind it into smooth paste. Open the lid of the jar, add milk, icecream and blitz it once more. Ensure the milkshake is well combined Add ice cubes to the glasses and serve this Creamy Cinnamon Peach Milkshake over it. Garnish with chia seeds. Serve Creamy Cinnamon Peach Milkshake as an afterschool snack to kids. You can also serve it as part of a delicious Sunday breakfast along with Apple Cinnamon French Toast Recipe. 
</t>
  </si>
  <si>
    <t>Para empezar a preparar la receta de malteada cremosa de canela y durazno con semillas de chía, en una batidora, combine los duraznos, el azúcar, la miel y la canela, y muélelos hasta obtener una pasta suave. Abra la tapa del frasco, agregue la leche, el helado y vuelva a batir. Asegúrese de que la malteada esté bien combinada. Agregue cubitos de hielo a los vasos y sirva esta malteada cremosa de canela y durazno encima. Decore con semillas de chía. Sirva la malteada cremosa de canela y durazno como una merienda para los niños después de la escuela. También puede servirla como parte de un delicioso desayuno dominical junto con la receta de tostadas francesas de manzana y canela.</t>
  </si>
  <si>
    <t>Pour commencer à préparer la recette de milkshake crémeux à la cannelle et à la pêche avec des graines de chia, mélangez les pêches, le sucre, le miel et la cannelle dans un bol et réduisez le tout en purée lisse. Ouvrez le couvercle du bol, ajoutez le lait, la glace et mixez à nouveau. Assurez-vous que le milkshake est bien mélangé. Ajoutez des glaçons dans les verres et servez ce milkshake crémeux à la cannelle et à la pêche par-dessus. Garnissez de graines de chia. Servez le milkshake crémeux à la cannelle et à la pêche comme collation après l'école pour les enfants. Vous pouvez également le servir dans le cadre d'un délicieux petit-déjeuner du dimanche, accompagné de la recette de pain perdu aux pommes et à la cannelle.</t>
  </si>
  <si>
    <t>http://www.archanaskitchen.com/creamy-cinnamon-peach-milkshake-recipe-with-chia-seeds</t>
  </si>
  <si>
    <t>Vanilla Dutch Baby Pancake Recipe</t>
  </si>
  <si>
    <t>Rezept für holländische Babypfannkuchen mit Vanille</t>
  </si>
  <si>
    <t>Recette de crêpes hollandaises à la vanille</t>
  </si>
  <si>
    <t>Receta de panqueques holandeses de vainilla</t>
  </si>
  <si>
    <t>1/2 tasse de farine tout usage (Maida), 3/4 tasse de lait, 1/2 cuillère à soupe d'extrait de vanille, 2 œufs entiers - légèrement fouettés, 1/4 tasse de sucre en poudre, 1/4 cuillère à café de sel, 3 cuillères à soupe de beurre (non salé)</t>
  </si>
  <si>
    <t>1/2 cup All Purpose Flour (Maida),3/4 cup Milk,1/2 tablespoon Vanilla Extract,2 Whole Eggs - lightly whisked,1/4 cup Caster Sugar,1/4 teaspoon Salt,3 tablespoons Butter (unsalted)</t>
  </si>
  <si>
    <t>1/2 taza de harina para todo uso (Maida), 3/4 taza de leche, 1/2 cucharada de extracto de vainilla, 2 huevos enteros - ligeramente batidos, 1/4 taza de azúcar extrafino, 1/4 cucharadita de sal, 3 cucharadas de mantequilla (sin sal)</t>
  </si>
  <si>
    <t xml:space="preserve">To begin making the Vanilla Dutch Baby Pancake recipe, preheat the oven at 200 C. Take a medium size skillet or cast iron pan and melt unsalted butter in it on medium heat. Keep it aside.Now take rest of the ingredients together in a bowl and blend it till becomes foamy. It might be slightly lumpy but that's ok.Pour the batter into the skillet and bake it in the oven for about 20 minutes or till the time it becomes all puffy and lightly browned across the top, and darker brown on the sides and edges.Serve it hot with some fresh cherries and dust some powdered sugar on the top.Serve Vanilla Dutch Baby Pancake along with some fresh fruits and Espresso Coffee for a weekend breakfast and surprise your friends and family.
</t>
  </si>
  <si>
    <t>Para empezar a preparar la receta de panqueques holandeses de vainilla, precalienta el horno a 200 °C. En una sartén mediana o de hierro fundido, derrite mantequilla sin sal a fuego medio. Reserva. Ahora, mezcla el resto de los ingredientes en un bol y mézclalos hasta que estén espumosos. Puede que queden un poco grumosos, pero no pasa nada. Vierte la masa en la sartén y hornéala durante unos 20 minutos o hasta que esté esponjosa y ligeramente dorada por arriba y un poco más oscura por los lados y bordes. Sírvela caliente con cerezas frescas y espolvorea un poco de azúcar glas por encima. Sirve los panqueques holandeses de vainilla con fruta fresca y café expreso para un desayuno de fin de semana y sorprende a tus amigos y familiares.</t>
  </si>
  <si>
    <t>Pour commencer la recette des Dutch Baby Pancakes à la Vanille, préchauffez le four à 200 °C. Prenez une poêle de taille moyenne ou une poêle en fonte et faites-y fondre du beurre non salé à feu moyen. Réservez. Maintenant, rassemblez le reste des ingrédients dans un bol et mixez jusqu'à obtenir une consistance mousseuse. La pâte peut être légèrement grumeleuse, mais ce n'est pas grave. Versez la pâte dans la poêle et faites cuire au four pendant environ 20 minutes ou jusqu'à ce qu'elle soit bien gonflée et légèrement dorée sur le dessus, et plus foncée sur les côtés et les bords. Servez chaud avec des cerises fraîches et saupoudrez de sucre glace. Servez les Dutch Baby Pancakes à la Vanille avec des fruits frais et un café expresso pour un petit-déjeuner de week-end et surprenez vos amis et votre famille.</t>
  </si>
  <si>
    <t>https://www.archanaskitchen.com/vanilla-dutch-baby-pancake-recipe</t>
  </si>
  <si>
    <t>Fruit Kebabs Recipe</t>
  </si>
  <si>
    <t>Rezept für Obstspieße</t>
  </si>
  <si>
    <t>Recette de brochettes de fruits</t>
  </si>
  <si>
    <t>Receta de brochetas de frutas</t>
  </si>
  <si>
    <t>Fraises, raisins rouges, cubes de fromage, jus de citron - au goût, bananes mûres - coupées en cubes, mangue (mûre) - coupée en cubes, papaye - coupée en cubes, pastèque - coupée en cubes, kiwi - coupé en cubes, framboises fraîches - ou toute autre baie de votre choix</t>
  </si>
  <si>
    <t>Strawberries,Red grapes,Cheese Cubes,Lemon juice - to taste,Ripe Bananas - chopped to cubes,Mango (Ripe) - chopped to cubes,Papaya - chopped to cubes,Watermelon - chopped to cubes,Kiwi - chopped to cubes,Fresh raspberries - or any other Berries of choice</t>
  </si>
  <si>
    <t>Fresas, uvas rojas, cubos de queso, jugo de limón (al gusto), plátanos maduros (picados en cubos), mango (maduro) (picado en cubos), papaya (picada en cubos), sandía (picada en cubos), kiwi (picado en cubos), frambuesas frescas (o cualquier otra baya de su elección)</t>
  </si>
  <si>
    <t xml:space="preserve">To make the Fruit Kebabs recipe, toss the fruits and cheese in lemon (lemon). Make sure you use the seasonal fruits to make the recipe more colourful and taste divine.Keep the skewers ready, I like to use tooth picks too.Thread the fruits and cheese into the skewers and serve. Serve Fruit Kebabs Recipe as an appetizer for parties along with Assorted Cheese Platter Served With Fruits &amp; Crackers and Strawberry Lemonade Recipe With Grand Marnier.
</t>
  </si>
  <si>
    <t>Para preparar la receta de kebabs de frutas, mezcle las frutas y el queso con limón. Asegúrese de usar frutas de temporada para que la receta sea más colorida y tenga un sabor exquisito. Tenga las brochetas listas; a mí también me gusta usar palillos. Ensarte las frutas y el queso en las brochetas y sirva. Sirva la receta de kebabs de frutas como aperitivo para fiestas junto con la tabla de quesos variados con frutas y galletas y la receta de limonada de fresa con Grand Marnier.</t>
  </si>
  <si>
    <t>Pour réaliser la recette de brochettes de fruits, mélangez les fruits et le fromage avec du citron. N'oubliez pas d'utiliser des fruits de saison pour une recette plus colorée et un goût divin. Préparez les brochettes ; j'aime aussi utiliser des cure-dents. Enfilez les fruits et le fromage dans les brochettes et servez. Servez la recette de brochettes de fruits en apéritif pour les fêtes, accompagnée d'un plateau de fromages assortis servi avec des fruits et des crackers et d'une recette de limonade à la fraise au Grand Marnier.</t>
  </si>
  <si>
    <t>https://www.archanaskitchen.com/fruit-kebabs-recipe</t>
  </si>
  <si>
    <t>Roasted Chicken Curry Recipe In Spinach Parmesan Sauce</t>
  </si>
  <si>
    <t>Rezept für gebratenes Hähnchen-Curry in Spinat-Parmesan-Sauce</t>
  </si>
  <si>
    <t>Recette de poulet frit au curry et sauce aux épinards et au parmesan</t>
  </si>
  <si>
    <t>Receta de pollo frito al curry con salsa de espinacas y parmesano</t>
  </si>
  <si>
    <t>2 poitrines de poulet, 1 oignon finement haché, 4 gousses d'ail finement hachées, 1 tasse de feuilles d'épinards (Palak) hachées, 1 1/2 cuillère à café de poudre de poivre noir, 1 cuillère à café d'origan séché, 1 cuillère à café de flocons de piment rouge, 1/2 tasse de fromage à tartiner - 1/2 tasse de fromage à tartiner, 1/4 tasse de parmesan - 1/4 tasse de parmesan, 2 cuillères à soupe de mayonnaise à l'ail et au fromage Nutralite, 1/2 tasse de lait - 1/2 tasse de lait, sel - au goût, tartinade classique Nutralite</t>
  </si>
  <si>
    <t>2 Chicken breasts,1 Onion - finely chopped,4 cloves Garlic - finely chopped,1 cup Spinach Leaves (Palak) - chopped,1-1/2 teaspoons Black pepper powder,1 teaspoon Dried oregano,1 teaspoon Red Chilli flakes,1/2 cup Cheese spread - 1/2 cup cheese spread,1/4 cup Parmesan cheese - 1/4 cup parmesan cheese,2 tablespoons Nutralite Cheesy Garlic Mayo,1/2 cup Milk - 1/2 cup milk,Salt - to taste,Nutralite Classic Spread</t>
  </si>
  <si>
    <t>2 pechugas de pollo, 1 cebolla finamente picada, 4 dientes de ajo finamente picados, 1 taza de hojas de espinaca (Palak) picadas, 1 1/2 cucharadita de pimienta negra en polvo, 1 cucharadita de orégano seco, 1 cucharadita de hojuelas de chile rojo, 1/2 taza de queso para untar - 1/2 taza de queso para untar, 1/4 taza de queso parmesano - 1/4 taza de queso parmesano, 2 cucharadas de mayonesa de ajo con queso Nutralite, 1/2 taza de leche - 1/2 taza de leche, sal - al gusto, crema para untar clásica Nutralite</t>
  </si>
  <si>
    <t xml:space="preserve">To begin making the Roasted Chicken Curry Recipe In Spinach Parmesan Sauce, we will wash the chicken breasts well in warm water. If the breast is quite thick you can cut into half. Marinate the chicken breast with salt and pepper for about 30 minutes.Heat Nutralite Classic Spread in a skillet over medium heat. Once heated, add marinated chicken pieces and pan roast on either side till it has got a nice golden colour. Remove the chicken from the pan and keep it aside.Into the same pan, add some more oil and add chopped garlic and saute for a few seconds. Add in chopped onion and saute till they turn translucent. Once that is done, add chopped spinach leaves and saute until the leaves starts to wilt. Add your cheese spread, Nutralite Cheesy Garlic Mayo, milk, parmesan cheese and all the seasonings like oregano, red chilli flakes, pepper and salt.Give the Spinach parmesan sauce a stir, and cook the sauce mixture on simmer until it comes together to make the creamy sauce. Give the spinach parmesan sauce a taste and adjust the seasonings accordingly.Add your pan roasted chicken to the spinach parmesan sauce give a light stir and cover it and simmer for 5-8 minutes until the chicken breast gets cooked well.Once done, turn off the heat and transfer the Roasted Chicken Curry Recipe In Spinach Parmesan Sauce into a serving bowl and serve hot.Serve the Roasted Chicken Curry Recipe In Spinach Parmesan Sauce, along with some Herbed rice, Toasted Garlic bread to make a simple weekend meal.
</t>
  </si>
  <si>
    <t>Para empezar a hacer la Receta de Pollo Asado al Curry en Salsa de Espinacas y Parmesano, lavaremos bien las pechugas de pollo en agua tibia. Si la pechuga es bastante gruesa, puedes cortarla por la mitad. Marina la pechuga de pollo con sal y pimienta durante unos 30 minutos. Calienta la mantequilla Nutralite Classic Spread en una sartén a fuego medio. Una vez caliente, agrega los trozos de pollo marinados y ásalos por ambos lados hasta que adquieran un bonito color dorado. Retira el pollo de la sartén y déjalo a un lado. En la misma sartén, agrega un poco más de aceite y agrega ajo picado y saltea durante unos segundos. Agrega cebolla picada y saltea hasta que se vuelva translúcida. Una vez hecho esto, agrega hojas de espinaca picadas y saltea hasta que las hojas comiencen a marchitarse. Añade el queso untable, la mayonesa de ajo y queso Nutralite, la leche, el queso parmesano y todos los condimentos como el orégano, las hojuelas de chile rojo, la pimienta y la sal. Revuelve la salsa de espinacas y parmesana y cocina a fuego lento hasta que se integre para hacer una salsa cremosa. Prueba la salsa de espinacas y parmesana y ajusta los condimentos según corresponda. Agrega el pollo asado a la sartén con la salsa de espinacas y parmesana, revuelve ligeramente, tapa y cocina a fuego lento durante 5-8 minutos hasta que la pechuga de pollo esté bien cocida. Una vez hecho esto, apaga el fuego y transfiere la receta de curry de pollo asado en salsa de espinacas y parmesana a un tazón para servir y sirve caliente. Sirve la receta de curry de pollo asado en salsa de espinacas y parmesana junto con un poco de arroz con hierbas y pan de ajo tostado para hacer una comida sencilla de fin de semana.</t>
  </si>
  <si>
    <t>Pour commencer à préparer la recette de poulet rôti au curry dans une sauce aux épinards et au parmesan, nous allons bien laver les poitrines de poulet à l'eau tiède. Si la poitrine est assez épaisse, vous pouvez la couper en deux. Faites mariner la poitrine de poulet avec du sel et du poivre pendant environ 30 minutes. Faites chauffer la tartinade classique Nutralite dans une poêle à feu moyen. Une fois chaude, ajoutez les morceaux de poulet marinés et faites-les rôtir de chaque côté jusqu'à ce qu'ils aient une belle couleur dorée. Retirez le poulet de la poêle et réservez-le. Dans la même poêle, ajoutez un peu plus d'huile et ajoutez l'ail haché et faites revenir pendant quelques secondes. Ajoutez l'oignon haché et faites revenir jusqu'à ce qu'il devienne translucide. Une fois cela fait, ajoutez les feuilles d'épinards hachées et faites revenir jusqu'à ce que les feuilles commencent à flétrir. Ajoutez votre tartinade de fromage, la mayonnaise à l'ail et au fromage Nutralite, le lait, le parmesan et tous les assaisonnements comme l'origan, les flocons de piment rouge, le poivre et le sel. Remuez la sauce aux épinards et au parmesan et laissez mijoter le mélange jusqu'à ce qu'il soit homogène pour obtenir une sauce crémeuse. Goûtez la sauce aux épinards et au parmesan et ajustez l'assaisonnement en conséquence. Ajoutez votre poulet rôti à la sauce aux épinards et au parmesan, remuez légèrement, couvrez et laissez mijoter 5 à 8 minutes jusqu'à ce que la poitrine de poulet soit bien cuite. Une fois cuit, éteignez le feu et transférez la recette de poulet rôti au curry dans une sauce aux épinards et au parmesan dans un bol de service et servez chaud. Servez la recette de poulet rôti au curry dans une sauce aux épinards et au parmesan, accompagnée de riz aux herbes et de pain à l'ail grillé pour préparer un repas de week-end simple.</t>
  </si>
  <si>
    <t>http://www.archanaskitchen.com/roasted-chicken-curry-recipe-in-spinach-parmesan-sauce</t>
  </si>
  <si>
    <t>Avocado Tomato Grilled Cheese Sandwich Recipe</t>
  </si>
  <si>
    <t>Rezept für gegrilltes Käsesandwich mit Avocado und Tomate</t>
  </si>
  <si>
    <t>Recette de sandwich au fromage grillé avec avocat et tomate</t>
  </si>
  <si>
    <t>Receta de sándwich de queso a la plancha con aguacate y tomate</t>
  </si>
  <si>
    <t>4 pains bruns de blé entier - multigrains, 1 cuillère à soupe de beurre - facultatif, 1/2 tasse de pesto de basilic maison - pesto de basilic frais, 1 avocat - peau retirée et tranchée, 1 tomate - tranchée, 2 laitues romaines rouges - lavées et séchées à la serviette, 1 cuillère à café de poudre de poivre noir - écrasé, fromage - fromage râpé ou tranches de fromage selon les besoins, sel - au goût</t>
  </si>
  <si>
    <t>4 Whole Wheat Brown Bread - multigrain,1 tablespoon Butter - optional,1/2 cup Homemade Basil Pesto - fresh basil pesto,1 Avocado - skin removed and sliced,1 Tomato - sliced,2 Red Romaine lettuce - washed and towel dried,1 teaspoons Black pepper powder - crushed,Cheese - shredded cheese or cheese slices as required,Salt - to taste</t>
  </si>
  <si>
    <t>4 panes integrales (multigrano), 1 cucharada de mantequilla (opcional), 1/2 taza de pesto de albahaca casero (pesto de albahaca fresca), 1 aguacate (sin piel y en rodajas), 1 tomate (en rodajas), 2 lechugas romanas rojas (lavadas y secadas con toalla), 1 cucharadita de pimienta negra en polvo (triturada), queso (queso rallado o en rodajas de queso según se requiera), sal (al gusto)</t>
  </si>
  <si>
    <t xml:space="preserve">To begin making the Avocado Tomato Grilled Cheese Sandwich Recipe, butter the bread slices (if using) and toast them lightly on a grill pan.Spread the pesto evenly on 2 slices. Now arrange the tomato slices on the pesto layer.Next arrange the sliced Avocado. Sprinkle some pepper and salt on it.Once it is done, top the Avocado with cheese slice or slices (or shredded cheese).Arrange the lettuce leaves on top of the cheese slice and cover it with another bread slice.Grill the sandwich on both sides till the cheese just starts melting and both the sides become brown.Serve Avocado Tomato Grilled Cheese Sandwich with Banana And Mango Smoothie or Cocoa Banana Almond Date Smoothie.
</t>
  </si>
  <si>
    <t>Para empezar a preparar el Sándwich de Queso a la Plancha con Aguacate y Tomate, unta con mantequilla las rebanadas de pan (si las usas) y tuéstalas ligeramente en una plancha. Unta el pesto uniformemente sobre dos rebanadas. Coloca las rodajas de tomate sobre la capa de pesto. A continuación, coloca las rodajas de aguacate. Espolvorea un poco de pimienta y sal. Una vez listo, cubre el aguacate con una o varias rodajas de queso (o queso rallado). Coloca las hojas de lechuga sobre la rebanada de queso y cúbrela con otra rebanada de pan. Asa el sándwich por ambos lados hasta que el queso empiece a derretirse y ambos lados se doren. Sirve el Sándwich de Queso a la Plancha con Aguacate y Tomate con un Smoothie de Plátano y Mango o un Smoothie de Cacao, Plátano, Almendras y Dátiles.</t>
  </si>
  <si>
    <t>Pour commencer la recette du sandwich au fromage grillé avocat-tomate, beurrez les tranches de pain (si vous en utilisez) et faites-les griller légèrement sur une poêle à griller. Étalez le pesto uniformément sur deux tranches. Disposez ensuite les tranches de tomate sur la couche de pesto. Disposez ensuite les tranches d'avocat. Saupoudrez de poivre et de sel. Une fois la cuisson terminée, recouvrez l'avocat d'une ou plusieurs tranches de fromage (ou de fromage râpé). Disposez les feuilles de laitue sur la tranche de fromage et recouvrez d'une autre tranche de pain. Faites griller le sandwich des deux côtés jusqu'à ce que le fromage commence à fondre et que les deux côtés soient dorés. Servez le sandwich au fromage grillé avocat-tomate avec un smoothie banane-mangue ou un smoothie cacao-banane-amandes-dattes.</t>
  </si>
  <si>
    <t>https://www.archanaskitchen.com/avocado-tomato-grilled-cheese-sandwich-recipe</t>
  </si>
  <si>
    <t>Sparkling Strawberry Mocktail Recipe</t>
  </si>
  <si>
    <t>Rezept für einen prickelnden Erdbeer-Mocktail</t>
  </si>
  <si>
    <t>Recette de mocktail pétillant à la fraise</t>
  </si>
  <si>
    <t>Receta de cóctel sin alcohol de fresa espumoso</t>
  </si>
  <si>
    <t>15 fraises, quelques feuilles de menthe (Pudina), 1/2 tasse de jus de citron, 1 tasse d'eau, miel - comme édulcorant, eau gazeuse (eau gazeuse) - selon les besoins</t>
  </si>
  <si>
    <t>15 Strawberries,Mint Leaves (Pudina) - few,1/2 cup Lemon juice,1 cup Water,Honey - as a sweetner,Aerated water (Soda Water) - as required</t>
  </si>
  <si>
    <t>15 fresas, hojas de menta (pudina) - pocas, 1/2 taza de jugo de limón, 1 taza de agua, miel - como endulzante, agua gasificada (agua con gas) - según se requiera</t>
  </si>
  <si>
    <t xml:space="preserve">To begin making the Sparkling Strawberry Mocktail recipe, wash the strawberries well and blend along with mint leaves and lime juice using 1 cup water.For this recipe you can either use lime juice or lemon juice. Also try variation by using orange juice.Strain it well using strainer. Add some honey in a glass. Pour half of the glass with prepared juice and mix well.Pour the remaining half with club soda. Mix well. Garnish with some mint leaves and strawberry. Fill a bottle with the remaining juice and refrigerate. Use whenever required in the same way.Serve Sparkling Strawberry Mocktail along with Paneer Broccoli Soya Ghee Roast Pockets and Salted Caramel Popcorn for yor house party.
</t>
  </si>
  <si>
    <t>Para empezar a preparar la receta de Mocktail de Fresa Espumosa, lava bien las fresas y mézclalas con hojas de menta y jugo de lima usando 1 taza de agua. Para esta receta, puedes usar jugo de lima o jugo de limón. También puedes probar una variación usando jugo de naranja. Cuélalo bien con un colador. Agrega un poco de miel en un vaso. Vierte la mitad del vaso con el jugo preparado y mezcla bien. Vierte la mitad restante con agua mineral con gas. Mezcla bien. Decora con algunas hojas de menta y fresas. Llena una botella con el jugo restante y refrigera. Úsalo cuando sea necesario de la misma manera. Sirve el Mocktail de Fresa Espumosa junto con Paneer Broccoli Soya Ghee Roast Pockets y Palomitas de Maíz con Caramelo Salado para tu fiesta en casa.</t>
  </si>
  <si>
    <t>Pour commencer à préparer la recette du cocktail sans alcool pétillant à la fraise, lavez bien les fraises et mixez-les avec des feuilles de menthe et du jus de citron vert dans 250 ml d'eau. Pour cette recette, vous pouvez utiliser du jus de citron vert ou du jus de citron. Essayez également une variante avec du jus d'orange. Filtrez bien à l'aide d'une passoire. Ajoutez du miel dans un verre. Versez la moitié du verre avec le jus préparé et mélangez bien. Versez l'autre moitié avec du soda. Mélangez bien. Garnissez de quelques feuilles de menthe et de fraises. Remplissez une bouteille avec le jus restant et réfrigérez. Utilisez-le chaque fois que vous en avez besoin de la même manière. Servez le cocktail sans alcool pétillant à la fraise avec des pochettes rôties au paneer, au brocoli, au soja et au ghee et du pop-corn au caramel salé pour votre fête à la maison.</t>
  </si>
  <si>
    <t>https://www.archanaskitchen.com/sparkling-strawberry-mocktail-recipe</t>
  </si>
  <si>
    <t>Blueberry Chia Banana Smoothie Recipe</t>
  </si>
  <si>
    <t>Rezept für einen Blaubeer-Chia-Bananen-Smoothie</t>
  </si>
  <si>
    <t>Recette de smoothie myrtille chia banane</t>
  </si>
  <si>
    <t>Receta de batido de arándanos, chía y plátano</t>
  </si>
  <si>
    <t>1 tasse de myrtilles - fraîches ou surgelées, 1 banane mûre, 1 cuillère à café de graines de chia, 1/4 tasse de badam (amande), 1 cuillère à café de miel, 1 tasse d'eau de coco tendre, 1 tasse de glaçons</t>
  </si>
  <si>
    <t>1 cup Blueberries - fresh or frozen,1 Ripe Bananas,1 teaspoon Chia Seeds,1/4 cup Badam (Almond),1 teaspoon Honey,1 cup Tender coconut water,1 cup Ice cubes</t>
  </si>
  <si>
    <t>1 taza de arándanos (frescos o congelados), 1 plátano maduro, 1 cucharadita de semillas de chía, 1/4 taza de Badam (almendras), 1 cucharadita de miel, 1 taza de agua de coco tierno, 1 taza de cubitos de hielo</t>
  </si>
  <si>
    <t xml:space="preserve">To begin making the Blueberry Chia Banana Smoothie first, in a blender add blueberry, banana, chia seeds and almonds, blend them to a paste.Now add honey, coconut water, and ice cubes and give one more blend.Your Blueberry Chia Banana Smoothie is ready to be served.Pour the smoothie into a glass and add a scoop of Vanilla ice cream if you want.Serve Blueberry Chia Banana Smoothie during breakfast along with Scrambled Egg Sandwich With Cucumber.
</t>
  </si>
  <si>
    <t>Para empezar a preparar el batido de arándanos, chía y plátano, primero, en una licuadora, añade el arándano, el plátano, las semillas de chía y las almendras y licúa hasta formar una pasta. Ahora añade la miel, el agua de coco y los cubitos de hielo y vuelve a licuar. Tu batido de arándanos, chía y plátano está listo para servir. Vierte el batido en un vaso y añade una bola de helado de vainilla si lo deseas. Sirve el batido de arándanos, chía y plátano durante el desayuno junto con un sándwich de huevos revueltos con pepino.</t>
  </si>
  <si>
    <t>Pour commencer à préparer le smoothie myrtille, chia et banane, ajoutez d'abord la myrtille, la banane, les graines de chia et les amandes dans un mixeur, mixez-les jusqu'à obtenir une pâte. Ajoutez ensuite le miel, l'eau de coco et les glaçons et mixez encore une fois. Votre smoothie myrtille, chia et banane est prêt à être servi. Versez le smoothie dans un verre et ajoutez une boule de glace à la vanille si vous le souhaitez. Servez le smoothie myrtille, chia et banane au petit-déjeuner avec un sandwich aux œufs brouillés au concombre.</t>
  </si>
  <si>
    <t>http://www.archanaskitchen.com/blueberry-chia-banana-smoothie-recipe</t>
  </si>
  <si>
    <t>Carrot Amla Pomegranate Juice Recipe</t>
  </si>
  <si>
    <t>Rezept für Karotten-Amla-Granatapfelsaft</t>
  </si>
  <si>
    <t>Recette de jus de carotte, d'amla et de grenade</t>
  </si>
  <si>
    <t>Receta de jugo de zanahoria, amla y granada</t>
  </si>
  <si>
    <t>2 carottes (Gajjar) - coupées en dés, 2 Amla (Nellikai/Groseille à maquereau) - épépinées et hachées, 1/2 tasse de noyaux de grenade frais, 1 pouce de gingembre, 1 cuillère à soupe de miel</t>
  </si>
  <si>
    <t>2 Carrots (Gajjar) - diced,2 Amla (Nellikai/ Gooseberry) - deseeded and chopped,1/2 cup Fresh Pomegranate Fruit Kernels,1 inch Ginger,1 tablespoon Honey</t>
  </si>
  <si>
    <t>2 zanahorias (Gajjar) cortadas en cubitos, 2 amla (Nellikai/grosella espinosa) sin semillas y picadas, 1/2 taza de semillas de granada fresca, 1 pulgada de jengibre, 1 cucharada de miel</t>
  </si>
  <si>
    <t xml:space="preserve">To begin making the Carrot Amla Pomegranate Juice Recipe, simply blend all the ingredients into a blender until you get a smooth mixture of the juice.You will find the juice has a lot of texture from the pomegranates and the fibre from the carrots. Serve it as it is to get the maximum benefits from all three.Serve the Carrot Amla Pomegranate Juice for breakfast or even as a snack during the day. This can be given to kids as well. 
</t>
  </si>
  <si>
    <t>Para empezar a preparar la receta de jugo de zanahoria, amla y granada, simplemente licúe todos los ingredientes hasta obtener una mezcla homogénea. Notará que el jugo tiene mucha textura gracias a las granadas y la fibra de las zanahorias. Sírvalo así para aprovechar al máximo los beneficios de las tres. Sirva el jugo de zanahoria, amla y granada en el desayuno o incluso como refrigerio durante el día. También se puede dar a los niños.</t>
  </si>
  <si>
    <t>Pour préparer le jus de carotte, d'amla et de grenade, mixez simplement tous les ingrédients dans un blender jusqu'à obtenir une consistance lisse. Vous constaterez que le jus est riche en texture grâce aux grenades et aux fibres des carottes. Servez-le tel quel pour profiter pleinement de ces trois bienfaits. Servez le jus de carotte, d'amla et de grenade au petit-déjeuner ou même en collation. Il peut également être donné aux enfants.</t>
  </si>
  <si>
    <t>https://www.archanaskitchen.com/carrot-amla-pomegranate-juice-recipe</t>
  </si>
  <si>
    <t>Semolina Porridge Fruit &amp; Nut Breakfast Bowl Recipe</t>
  </si>
  <si>
    <t>Grießbrei Obst &amp; Nuss Frühstücksbowl Rezept</t>
  </si>
  <si>
    <t>Recette de bol de petit-déjeuner aux fruits et aux noix et à la bouillie de semoule</t>
  </si>
  <si>
    <t>Tazón de desayuno de frutas y nueces con receta de gachas de sémola</t>
  </si>
  <si>
    <t>2 cuillères à soupe de Sooji (semoule/rava), 2 cuillères à soupe d'eau, 1/2 tasse de lait, 1/4 cuillère à café d'extrait de vanille, 1/4 cuillère à café de cannelle en poudre (dalchini), miel - au goût, 4 biscuits digestifs multigrains, 8 fraises, 2 cuillères à soupe de Badam (amande) - effilées, 2 cuillères à soupe de pistaches - effilées</t>
  </si>
  <si>
    <t>2 tablespoons Sooji (Semolina/ Rava),2 tablespoons Water,1/2 cup Milk,1/4 teaspoon Vanilla Extract,1/4 teaspoon Cinnamon Powder (Dalchini),Honey - to taste,4 Multigrain Digestive Biscuits,8 Strawberries,2 tablespoons Badam (Almond) - slivered,2 tablespoons Pistachios - slivered</t>
  </si>
  <si>
    <t>2 cucharadas de Sooji (sémola/rava), 2 cucharadas de agua, 1/2 taza de leche, 1/4 cucharadita de extracto de vainilla, 1/4 cucharadita de canela en polvo (dalchini), miel (al gusto), 4 galletas digestivas multigrano, 8 fresas, 2 cucharadas de Badam (almendras) en rodajas, 2 cucharadas de pistachos en rodajas</t>
  </si>
  <si>
    <t xml:space="preserve">To begin making Semolina Porridge Fruit &amp; Nut Breakfast Bowl Recipe first heat a saucepan and add semolina/sooji, water, milk and cook everything together to make a thick porridge. Keep stirring to avoid the porridge from sticking to the bottom of the pan. Cool the Semolina Porridge completely and add honey to taste, vanilla extract and cinnamon powder.Break the Nutri Choice Digestive Zero Biscuits into smaller pieces and keep aside.Now to assemble the Semolina Porridge Fruit &amp; Nut Breakfast Bowl take a bowl or a jar of your choice.Add the broken Nutri Choice Digestive Zero Biscuits at the bottom and spoon half of the Semolina porridge on top of the biscuits. Layer with strawberries or any other seasonal fruits like kiwi or banana on top of the semolina porridge. Sprinkle almonds and pistachios at the top. Refrigerate for two hours. Serve Semolina Porridge Fruit &amp; Nut Breakfast Bowl cold.Serve Semolina Porridge Fruit &amp; Nut Breakfast Bowl along with Breakfast Hash Browns for a filling breakfast.
</t>
  </si>
  <si>
    <t>Para comenzar a hacer la receta del tazón de desayuno de frutas y nueces con gachas de sémola, primero caliente una cacerola y agregue sémola/sooji, agua, leche y cocine todo junto para hacer unas gachas espesas. Siga revolviendo para evitar que las gachas se peguen al fondo de la cacerola. Enfríe completamente las gachas de sémola y agregue miel al gusto, extracto de vainilla y canela en polvo. Rompa las galletas Digestive Zero de Nutri Choice en trozos más pequeños y déjelas a un lado. Ahora, para armar el tazón de desayuno de frutas y nueces con gachas de sémola, tome un tazón o un frasco de su elección. Agregue las galletas Digestive Zero de Nutri Choice rotas en el fondo y vierta la mitad de las gachas de sémola encima de las galletas. Coloque capas con fresas o cualquier otra fruta de temporada como kiwi o plátano encima de las gachas de sémola. Espolvoree almendras y pistachos en la parte superior. Refrigere por dos horas. Sirva el tazón de desayuno de sémola con frutas y nueces frío. Sirva el tazón de desayuno de sémola con frutas y nueces junto con las papas hash brown para un desayuno completo.</t>
  </si>
  <si>
    <t>Pour commencer à préparer la recette du bol de petit-déjeuner aux fruits et aux noix et au porridge de semoule, faites d'abord chauffer une casserole et ajoutez la semoule/sooji, l'eau, le lait et faites cuire le tout ensemble pour obtenir un porridge épais. Continuez à remuer pour éviter que le porridge ne colle au fond de la casserole. Laissez refroidir complètement le porridge de semoule et ajoutez du miel au goût, de l'extrait de vanille et de la cannelle en poudre. Cassez les biscuits Nutri Choice Digestive Zero en petits morceaux et réservez. Maintenant, pour assembler le bol de petit-déjeuner aux fruits et aux noix et au porridge de semoule, prenez un bol ou un bocal de votre choix. Ajoutez les biscuits Nutri Choice Digestive Zero cassés au fond et déposez la moitié du porridge de semoule sur les biscuits. Disposez des fraises ou d'autres fruits de saison comme le kiwi ou la banane sur le porridge de semoule. Saupoudrez d'amandes et de pistaches sur le dessus. Réfrigérez pendant deux heures. Servez le bol de petit-déjeuner aux fruits et aux noix et au porridge de semoule froid. Servez le bol de petit-déjeuner aux fruits et aux noix et au porridge de semoule avec des galettes de pommes de terre pour un petit-déjeuner copieux.</t>
  </si>
  <si>
    <t>https://www.archanaskitchen.com/semolina-porridge-fruit-nut-breakfast-bowl-recipe</t>
  </si>
  <si>
    <t>Rustic Cottage Pie With Mushroom Sauce Recipe</t>
  </si>
  <si>
    <t>Rezept für rustikalen Cottage Pie mit Pilzsauce</t>
  </si>
  <si>
    <t>Recette de hachis parmentier rustique à la sauce aux champignons</t>
  </si>
  <si>
    <t>Receta de pastel rústico con salsa de champiñones</t>
  </si>
  <si>
    <t>1 cuillère à café d'huile d'olive extra vierge, 1 oignon haché, 2 gousses d'ail hachées, 250 grammes de champignons de Paris finement hachés (toute variété locale), 1 tasse de bouillon de légumes, 1 cuillère à café de feuilles de thym frais hachées ou séchées, sel et poivre au goût, 1 cuillère à soupe d'huile d'olive extra vierge, 1 oignon finement haché, 2 gousses d'ail, 1 branche de céleri coupée en dés, 1 carotte (Gajjar) coupée en dés, 1/2 tasse de pois verts (Matar), 1/2 tasse de maïs doux, 200 grammes de champignons de Paris coupés en dés ou en quartiers, 1/4 tasse de morceaux de soja (pépites) bouillis et hachés, 1/2 cuillère à café d'origan séché, 1/2 cuillère à café de feuilles de thym séchées, 2 cuillères à soupe de beurre (non salé), 4 pommes de terre (Aloo) bouillies et coupées en dés, 1/8 tasse de lait, sel et poivre au besoin</t>
  </si>
  <si>
    <t>1 teaspoon Extra Virgin Olive Oil,1 Onion - minced,2 cloves Garlic - minced,250 grams Button mushrooms - finely chopped (any local variety),1 cup Vegetable stock,1 teaspoon Fresh Thyme leaves - chopped or dried leaves,Salt and Pepper - to taste,1 tablespoon Extra Virgin Olive Oil,1 Onion - finely chopped,2 cloves Garlic,1 Stalk Celery - diced,1 Carrot (Gajjar) - diced,1/2 cup Green peas (Matar),1/2 cup Sweet corn,200 grams Button mushrooms - diced or quartered,1/4 cup Soy Chunks (Nuggets) - boiled and chopped,1/2 teaspoon Dried oregano,1/2 teaspoon Dried Thyme Leaves,2 tablespoons Butter (unsalted),4 Potatoes (Aloo) - boiled and diced,1/8 cup Milk,Salt and Pepper - as needed</t>
  </si>
  <si>
    <t>1 cucharadita de aceite de oliva virgen extra, 1 cebolla - picada, 2 dientes de ajo - picados, 250 gramos de champiñones - picados finamente (cualquier variedad local), 1 taza de caldo de verduras, 1 cucharadita de hojas de tomillo fresco - hojas picadas o secas, sal y pimienta - al gusto, 1 cucharada de aceite de oliva virgen extra, 1 cebolla - picada finamente, 2 dientes de ajo, 1 tallo de apio - en cubitos, 1 zanahoria (Gajjar) - en cubitos, 1/2 taza de guisantes verdes (Matar), 1/2 taza de maíz dulce, 200 gramos de champiñones - en cubitos o en cuartos, 1/4 taza de trozos de soja (nuggets) - hervidos y picados, 1/2 cucharadita de orégano seco, 1/2 cucharadita de hojas de tomillo secas, 2 cucharadas de mantequilla (sin sal), 4 patatas (Aloo) - hervidas y en cubitos, 1/8 taza de leche, sal y pimienta - según sea necesario</t>
  </si>
  <si>
    <t xml:space="preserve">To begin making the Rustic Cottage Pie With Mushroom Sauce Recipe we will first make the Mushroom sauce.To start making, in a medium saucepan, heat the oil over medium heat. Add the minced garlic and onions, sauté until soft. Add the mushrooms and cook them until tender and soft. Add vegetable broth along with thyme and bring to boil.Reduce the heat to low and simmer for about 20 minutes or until the liquid is reduced to half. Once the mushroom sauce has reduced to half, use an immersion blender and puree the sauce until it is smooth. Keep the sauce aside.At this stage, preheat the oven to 180C. Grease a medium size rectangular baking pan with some butter.The next step is to make the topping for the Cottage Pie.In a medium bowl add the boiled potatoes, butter, milk, season with salt and pepper and coarsely mash the potatoes using a fork or potato masher. Set aside.The next step is to proceed to make the filling for the Pie.In a medium sauté pan, heat the oil over medium heat. Add the onion, garlic and sauté for about 5 minutes or until transparent. Add the carrots, celery and sauté for about 10 minutes or until the vegetables are tender.When the vegetables are done, add the cooked soya chunks, prepared mushroom sauce, peas, corn and thyme. Season with salt and pepper and adjust seasoning to suit your taste.Transfer the complete vegetable filling mixture to the prepared baking pan and spread it evenly. Pour the mushroom sauce over the vegetables. Top this mixture with an even layer of mashed potatoes. You can also pipe the mashed potatoes using a piping bag to get a good looking Cottage Pie.Bake the Rustic Cottage Pie With Mushroom Sauce for about 40 minutes or until the potatoes have browned evenly. Once you notice the potatoes are getting browned, remove the pie from the oven. Rest them for 15 minutes before serving.Allow the Cottage Pie to rest for 15 minutes before serving.Serve the Rustic Cottage Pie With Mushroom Sauce as a wholesome dinner or even as a main course for parties.
</t>
  </si>
  <si>
    <t>Para comenzar a hacer la receta de pastel rústico de campo con salsa de champiñones, primero haremos la salsa de champiñones. Para comenzar, en una cacerola mediana, caliente el aceite a fuego medio. Agregue el ajo y las cebollas picadas, saltee hasta que estén suaves. Agregue los champiñones y cocínelos hasta que estén tiernos y suaves. Agregue el caldo de verduras junto con el tomillo y deje hervir. Reduzca el fuego a bajo y cocine a fuego lento durante unos 20 minutos o hasta que el líquido se reduzca a la mitad. Una vez que la salsa de champiñones se haya reducido a la mitad, use una licuadora de inmersión y haga puré la salsa hasta que esté suave. Mantenga la salsa a un lado. En esta etapa, precaliente el horno a 180 ° C. Engrase un molde para hornear rectangular de tamaño mediano con un poco de mantequilla. El siguiente paso es hacer la cobertura para el pastel de campo. En un tazón mediano, agregue las papas hervidas, la mantequilla, la leche, sazone con sal y pimienta y triture las papas con un tenedor o un machacador de papas. Reserva. El siguiente paso es proceder a hacer el relleno para el Pie. En una sartén mediana, calienta el aceite a fuego medio. Agrega la cebolla, el ajo y saltea durante unos 5 minutos o hasta que esté transparente. Agrega las zanahorias, el apio y saltea durante unos 10 minutos o hasta que las verduras estén tiernas. Cuando las verduras estén listas, agrega los trozos de soja cocidos, la salsa de champiñones preparada, los guisantes, el maíz y el tomillo. Sazona con sal y pimienta y ajusta el condimento a tu gusto. Transfiere la mezcla completa del relleno de verduras al molde para hornear preparado y extiéndela uniformemente. Vierte la salsa de champiñones sobre las verduras. Cubre esta mezcla con una capa uniforme de puré de papas. También puedes usar una manga pastelera para cubrir el puré de papas para obtener un pastel de carne bonito. Hornea el pastel de carne rústico con salsa de champiñones durante unos 40 minutos o hasta que las papas se hayan dorado uniformemente. Una vez que notes que las papas se están dorando, retira el pastel del horno. Déjalos reposar durante 15 minutos antes de servir. Deja reposar el pastel de carne picada durante 15 minutos antes de servir. Sirve el pastel de carne picada rústico con salsa de champiñones como una cena saludable o incluso como plato principal para fiestas.</t>
  </si>
  <si>
    <t>Pour commencer à préparer la recette du hachis parmentier rustique à la sauce aux champignons, nous allons d'abord préparer la sauce aux champignons. Pour commencer, dans une casserole moyenne, faites chauffer l'huile à feu moyen. Ajoutez l'ail et les oignons émincés, faites revenir jusqu'à ce qu'ils soient tendres. Ajoutez les champignons et faites-les cuire jusqu'à ce qu'ils soient tendres et tendres. Ajoutez le bouillon de légumes avec le thym et portez à ébullition. Réduisez le feu à doux et laissez mijoter pendant environ 20 minutes ou jusqu'à ce que le liquide soit réduit de moitié. Une fois la sauce aux champignons réduite de moitié, utilisez un mixeur plongeant et réduisez la sauce en purée jusqu'à ce qu'elle soit lisse. Gardez la sauce de côté. À ce stade, préchauffez le four à 180 °C. Graissez un moule rectangulaire de taille moyenne avec un peu de beurre. L'étape suivante consiste à préparer la garniture du hachis parmentier. Dans un bol moyen, ajoutez les pommes de terre bouillies, le beurre, le lait, assaisonnez de sel et de poivre et écrasez grossièrement les pommes de terre à l'aide d'une fourchette ou d'un presse-purée. Réservez. L'étape suivante consiste à préparer la garniture du hachis parmentier. Dans une sauteuse moyenne, faites chauffer l'huile à feu moyen. Ajoutez l'oignon et l'ail et faites revenir environ 5 minutes ou jusqu'à ce qu'ils soient transparents. Ajoutez les carottes et le céleri et faites revenir environ 10 minutes ou jusqu'à ce que les légumes soient tendres. Une fois les légumes cuits, ajoutez les morceaux de soja cuits, la sauce aux champignons préparée, les petits pois, le maïs et le thym. Assaisonnez de sel et de poivre et rectifiez l'assaisonnement à votre goût. Transférez la garniture de légumes complète dans le moule préparé et étalez-la uniformément. Versez la sauce aux champignons sur les légumes. Garnissez ce mélange d'une couche uniforme de purée de pommes de terre. Vous pouvez également pocher la purée de pommes de terre à l'aide d'une poche à douille pour obtenir un beau hachis parmentier. Faites cuire le hachis parmentier rustique à la sauce aux champignons pendant environ 40 minutes ou jusqu'à ce que les pommes de terre soient uniformément dorées. Dès que vous constatez que les pommes de terre commencent à dorer, retirez le hachis parmentier du four. Laissez reposer 15 minutes avant de servir. Servez le hachis parmentier rustique à la sauce aux champignons comme un dîner sain ou même comme plat principal pour les fêtes.</t>
  </si>
  <si>
    <t>https://www.archanaskitchen.com/rustic-cottage-pie-with-mushroom-sauce-recipe</t>
  </si>
  <si>
    <t>Shortbread Cookies With Citrus Zest Recipe</t>
  </si>
  <si>
    <t>Shortbread-Kekse mit Zitrusschalen-Rezept</t>
  </si>
  <si>
    <t>Recette de biscuits sablés aux écorces d'agrumes</t>
  </si>
  <si>
    <t>Receta de galletas de mantequilla con cáscara de cítricos</t>
  </si>
  <si>
    <t>1 tasse de farine tout usage (Maida), 1/4 tasse de sucre, 1/2 tasse de beurre, 1/2 cuillère à café de levure chimique, 1 cuillère à café de zeste de citron, 1 cuillère à café de zeste d'orange (zeste), 1 pincée de sel casher</t>
  </si>
  <si>
    <t>1 cup All Purpose Flour (Maida),1/4 cup Sugar,1/2 cup Butter,1/2 teaspoon Baking powder,1 teaspoon Lemon zest,1 teaspoon Orange Zest (Rind),1 pinch Kosher salt</t>
  </si>
  <si>
    <t>1 taza de harina para todo uso (Maida), 1/4 taza de azúcar, 1/2 taza de mantequilla, 1/2 cucharadita de polvo para hornear, 1 cucharadita de ralladura de limón, 1 cucharadita de ralladura de naranja (cáscara), 1 pizca de sal kosher</t>
  </si>
  <si>
    <t xml:space="preserve">To start preparing Shortbread Cookies With Citrus Zest Recipe, cream together the butter and sugar, saving 2 teaspoons for later use, and form a fluffy mix.Mix the dry ingredients, flour, baking powder and kosher salt, add in the creamed sugar and butter to it.Knead to form a crumbly dough and let it refrigerate for at least 20 minutes.After 20 minutes, knead the dough along with orange zest, lemon zest and sugar, roll out the dough and using a cookie cutter, cut out shapes of your choice.Bake in an Oven at 375 degrees Fahrenheit on a greased baking sheet for 8-10 minutes rotating the baking tray halfway in between if needed, for even cooking.Serve Shortbread Cookies With Citrus Zest Recipe with tea or milk during teatime, pair it up with Iced Tea Recipe and Corn and Paneer Baked Samosa Recipe or just binge whenever you are hungry.
</t>
  </si>
  <si>
    <t>Para preparar las Galletas de Mantequilla con Ralladura de Cítricos, bata la mantequilla y el azúcar, reservando 2 cucharaditas para usar después, y forme una mezcla esponjosa. Mezcle los ingredientes secos, la harina, el polvo para hornear y la sal kosher, agregue el azúcar cremoso y la mantequilla. Amase hasta formar una masa desmenuzable y déjela refrigerar durante al menos 20 minutos. Después de 20 minutos, amase la masa junto con la ralladura de naranja, la ralladura de limón y el azúcar, extienda la masa y, con un cortador de galletas, corte las formas que desee. Hornee en un horno a 190 °C en una bandeja para hornear engrasada durante 8-10 minutos, girando la bandeja para hornear a la mitad si es necesario, para una cocción uniforme. Sirva las Galletas de Mantequilla con Ralladura de Cítricos con té o leche durante la merienda, acompáñelas con la Receta de Té Helado y la Receta de Samosa Horneada de Maíz y Paneer, o simplemente cómalas cuando tenga hambre.</t>
  </si>
  <si>
    <t>Pour commencer à préparer la recette de biscuits sablés aux zestes d'agrumes, crémez le beurre et le sucre, en gardant 2 cuillères à café pour une utilisation ultérieure, et formez un mélange mousseux. Mélangez les ingrédients secs, la farine, la levure chimique et le sel casher, ajoutez le sucre et le beurre en crème. Pétrissez jusqu'à obtenir une pâte friable et laissez-la réfrigérer pendant au moins 20 minutes. Après 20 minutes, pétrissez la pâte avec le zeste d'orange, le zeste de citron et le sucre, étalez la pâte et, à l'aide d'un emporte-pièce, découpez les formes de votre choix. Faites cuire au four à 190 °C sur une plaque de cuisson graissée pendant 8 à 10 minutes, en tournant la plaque de cuisson à mi-cuisson si nécessaire, pour une cuisson uniforme. Servez la recette de biscuits sablés aux zestes d'agrumes avec du thé ou du lait à l'heure du thé, accompagnez-la de la recette de thé glacé et de la recette de samosas au maïs et au paneer, ou régalez-vous simplement dès que vous avez faim.</t>
  </si>
  <si>
    <t>https://www.archanaskitchen.com/shortbread-cookies-with-citrus-zest-recipe</t>
  </si>
  <si>
    <t>Orange And Poppy Seeds Muffins Recipe</t>
  </si>
  <si>
    <t>Rezept für Orangen-Mohn-Muffins</t>
  </si>
  <si>
    <t>Recette de muffins à l'orange et aux graines de pavot</t>
  </si>
  <si>
    <t>Receta de muffins de naranja y semillas de amapola</t>
  </si>
  <si>
    <t>1- 1/4 tasse de farine tout usage (Maida), 3/4 cuillères à café de levure chimique, 1/4 cuillère à café de sel, 1/2 tasse de sucre en poudre ou de sucre en poudre, 1/4 tasse d'huile de tournesol, 1 cuillère à café d'extrait de vanille, 3 cuillères à soupe de lait tiède, 3 cuillères à soupe de graines de pavot, 1 œuf entier, 1/2 tasse de jus d'orange frais fraîchement pressé, zeste d'orange (écorce) de 3 oranges, 1/2 tasse de jus d'orange frais, 2 cuillères à soupe de sucre en poudre</t>
  </si>
  <si>
    <t>1- 1/4 cups All Purpose Flour (Maida),3/4 teaspoons Baking powder,1/4 teaspoon Salt,1/2 cup Caster Sugar - or Powdered Sugar,1/4 cup Sunflower Oil,1 teaspoon Vanilla Extract,3 tablespoons Milk - lukewarm,3 tablespoons Poppy seeds,1 Whole Egg,1/2 cup Fresh orange juice - freshly squeezed,Orange Zest (Rind) - from 3 oranges,1/2 cup Fresh orange juice,2 tablespoons Caster Sugar - powdered</t>
  </si>
  <si>
    <t>1- 1/4 tazas de harina para todo uso (Maida), 3/4 cucharaditas de polvo para hornear, 1/4 cucharadita de sal, 1/2 taza de azúcar extrafino o azúcar en polvo, 1/4 taza de aceite de girasol, 1 cucharadita de extracto de vainilla, 3 cucharadas de leche tibia, 3 cucharadas de semillas de amapola, 1 huevo entero, 1/2 taza de jugo de naranja fresco - recién exprimido, ralladura de naranja (cáscara) - de 3 naranjas, 1/2 taza de jugo de naranja fresco, 2 cucharadas de azúcar extrafino - en polvo</t>
  </si>
  <si>
    <t xml:space="preserve">To begin making Orange And Poppy Seed Muffins, preheat the oven to 180°C. Grease your muffin moulds with butter and dust with flour.Next, soak the poppy seeds in 3 tablespoons of lukewarm milk and keep aside for 10 minutes. In a large bowl, sift together flour, baking powder, and salt. Set aside.In a separate bowl, add the egg, sugar and whisk the mixture till its pale and fluffy.Next, add oil and vanilla essence to the egg-sugar mixture and whisk until well combined.Now add the poppy seeds and milk mixture along with the orange juice &amp; orange zest. Mix well.Slowly, add the sifted flour mixture to the wet ingredients and mix until just combined. Do not over mix the Orange And Poppy Seed Muffins batter.Pour the Orange And Poppy Seed Muffins into the prepared moulds and bake for about 18 minutes at 180°C or until a toothpick inserted comes out clean. The next step is to make the glaze for muffins. For the orange glaze, in a saucepan, add orange juice, sugar and start heating on medium heat.Heat it till the mixture is little reduced and starts thickening. Turn off the flame and your glaze is ready.Brush this glaze on top of the muffins and decorate with sprinkles of your choice.Serve these Orange And Poppy Seed Muffins Recipe as a tea time snack along with a cup of hot Masala Tea or with Punjabi Style Espresso Coffee. You can also serve these muffins as dessert along with a scoop of vanilla ice cream.
</t>
  </si>
  <si>
    <t>Para comenzar a hacer Muffins de naranja y semillas de amapola, precalienta el horno a 180°C. Engrasa tus moldes de muffins con mantequilla y espolvorea con harina. Luego, remoja las semillas de amapola en 3 cucharadas de leche tibia y deja reposar durante 10 minutos. En un tazón grande, tamiza la harina, el polvo para hornear y la sal. Reserva. En un tazón aparte, agrega el huevo, el azúcar y bate la mezcla hasta que esté pálida y esponjosa. Luego, agrega el aceite y la esencia de vainilla a la mezcla de huevo y azúcar y bate hasta que estén bien combinados. Ahora agrega las semillas de amapola y la mezcla de leche junto con el jugo de naranja y la ralladura de naranja. Mezcla bien. Lentamente, agrega la mezcla de harina tamizada a los ingredientes húmedos y mezcla hasta que se combinen. No mezcles demasiado la masa de Muffins de naranja y semillas de amapola. Vierte los Muffins de naranja y semillas de amapola en los moldes preparados y hornea durante aproximadamente 18 minutos a 180°C o hasta que al insertar un palillo salga limpio. El siguiente paso es preparar el glaseado para muffins. Para el glaseado de naranja, en una cacerola, añade el zumo de naranja y el azúcar, y calienta a fuego medio. Calienta hasta que la mezcla se reduzca un poco y empiece a espesar. Apaga el fuego y el glaseado estará listo. Pincela los muffins con este glaseado y decora con las chispitas que prefieras. Sirve estos muffins de naranja y semillas de amapola como aperitivo para la hora del té, acompañados de una taza de té masala caliente o con un café expreso estilo punjabi. También puedes servirlos como postre con una bola de helado de vainilla.</t>
  </si>
  <si>
    <t>Pour commencer à préparer des muffins à l'orange et aux graines de pavot, préchauffez le four à 180 °C. Graissez vos moules à muffins avec du beurre et saupoudrez de farine. Ensuite, faites tremper les graines de pavot dans 3 cuillères à soupe de lait tiède et réservez pendant 10 minutes. Dans un grand bol, tamisez ensemble la farine, la levure chimique et le sel. Réservez. Dans un autre bol, ajoutez l'œuf, le sucre et fouettez le mélange jusqu'à ce qu'il soit pâle et mousseux. Ensuite, ajoutez l'huile et l'essence de vanille au mélange œuf-sucre et fouettez jusqu'à ce que le tout soit bien mélangé. Ajoutez maintenant le mélange de graines de pavot et de lait avec le jus et le zeste d'orange. Bien mélanger. Ajoutez lentement le mélange de farine tamisée aux ingrédients humides et mélangez jusqu'à ce que le tout soit bien mélangé. Ne mélangez pas trop la pâte des muffins à l'orange et aux graines de pavot. Versez les muffins à l'orange et aux graines de pavot dans les moules préparés et faites cuire au four pendant environ 18 minutes à 180 °C ou jusqu'à ce qu'un cure-dent inséré en ressorte propre. L'étape suivante consiste à préparer le glaçage des muffins. Pour le glaçage à l'orange, dans une casserole, ajoutez le jus d'orange et le sucre et faites chauffer à feu moyen. Faites chauffer jusqu'à ce que le mélange réduise légèrement et épaississe. Éteignez le feu et votre glaçage est prêt. Badigeonnez les muffins de ce glaçage et décorez avec les vermicelles de votre choix. Servez ces muffins à l'orange et aux graines de pavot à l'heure du thé, accompagnés d'une tasse de thé masala chaud ou d'un café expresso punjabi. Vous pouvez également servir ces muffins en dessert, accompagnés d'une boule de glace à la vanille.</t>
  </si>
  <si>
    <t>http://www.archanaskitchen.com/orange-and-poppy-seeds-muffins-recipe</t>
  </si>
  <si>
    <t>Banana Walnut Chai Smoothie Recipe</t>
  </si>
  <si>
    <t>Bananen-Walnuss-Chai-Smoothie-Rezept</t>
  </si>
  <si>
    <t>Recette de smoothie chai banane-noix</t>
  </si>
  <si>
    <t>Receta de batido chai de plátano y nueces</t>
  </si>
  <si>
    <t>1 pomme hachée, 1/2 banane mûre, 1 cuillère à soupe d'avoine instantanée (gruau), 3 noix (moitiés), 1 tasse de lait, 1 cuillère à café de chai masala, une pincée de cardamome en poudre (Elaichi), quelques glaçons</t>
  </si>
  <si>
    <t>1 Apple - chopped,1/2 Ripe Bananas,1 tablespoon Instant Oats (Oatmeal),3 Walnuts - halves,1 cup Milk,1 teaspoon Chai Masala,pinch Cardamom Powder (Elaichi),Ice cubes - few</t>
  </si>
  <si>
    <t>1 manzana picada, 1/2 plátano maduro, 1 cucharada de avena instantánea (avena), 3 nueces (mitades), 1 taza de leche, 1 cucharadita de Chai Masala, una pizca de cardamomo en polvo (Elaichi), unos pocos cubitos de hielo.</t>
  </si>
  <si>
    <t xml:space="preserve">To make the Banana Walnut Chai Smoothie, get all the ingredients together.Blend the ingredients for the banana walnut smoothie into a mixer grinder until it forms a smooth drink.Once ready, serve the Banana Walnut Chai Smoothie for a wholesome breakfast along with Chilli Cheese Toast Recipe - Breakfast Bread Pizza.
</t>
  </si>
  <si>
    <t>Para preparar el batido de plátano, nueces y chai, reúne todos los ingredientes. Tritúralos en una licuadora hasta obtener una bebida suave. Una vez listo, sirve el batido de plátano, nueces y chai para un desayuno completo junto con la receta de tostada de queso con chile - Pizza de pan para el desayuno.</t>
  </si>
  <si>
    <t>Pour préparer le smoothie banane-noix-chai, rassemblez tous les ingrédients. Mixez les ingrédients du smoothie banane-noix dans un mixeur jusqu'à obtenir une boisson onctueuse. Une fois prêt, servez le smoothie banane-noix-chai pour un petit-déjeuner sain accompagné d'une recette de pain grillé au piment et au fromage - Pizza au pain pour le petit-déjeuner.</t>
  </si>
  <si>
    <t>http://www.archanaskitchen.com/banana-walnut-chai-smoothie-recipe</t>
  </si>
  <si>
    <t>Honey Glazed Roasted Carrots Recipe With Herbs</t>
  </si>
  <si>
    <t>Rezept für geröstete Karotten mit Honigglasur und Kräutern</t>
  </si>
  <si>
    <t>Recette de carottes rôties au miel et aux herbes</t>
  </si>
  <si>
    <t>Receta de zanahorias asadas con miel y hierbas</t>
  </si>
  <si>
    <t>500 grammes de carottes (Gajjar) - coupées en morceaux de la taille d'un doigt ou coupées en rondelles, 2 cuillères à soupe d'huile d'olive extra vierge, 1 cuillère à soupe de vinaigre balsamique - ou de vinaigrette au vin rouge, sel - au goût, 1 cuillère à soupe de grains de poivre noir entiers - grossièrement pilés, 1 cuillère à soupe de miel, 3 brins de romarin - ou de thym ou de persil</t>
  </si>
  <si>
    <t>500 grams Carrots (Gajjar) - cut into finger size pieces or cut round into coins,2 tablespoons Extra Virgin Olive Oil,1 tablespoon Balsamic Vinegar - or red wine vinaigrette,Salt - to taste,1 tablespoon Whole Black Peppercorns - coarsely pounded,1 tablespoon Honey,3 sprig Rosemary - or thyme or parsley</t>
  </si>
  <si>
    <t>500 gramos de zanahorias (Gajjar) - cortadas en trozos del tamaño de un dedo o cortadas en rodajas, 2 cucharadas de aceite de oliva virgen extra, 1 cucharada de vinagre balsámico - o vinagreta de vino tinto, sal - al gusto, 1 cucharada de granos de pimienta negra enteros - machacados gruesamente, 1 cucharada de miel, 3 ramitas de romero - o tomillo o perejil</t>
  </si>
  <si>
    <t xml:space="preserve">To begin making the Honey Roasted Carrots Recipe, To roast the carrots, peel the skin of carrots and wash until all the dirt is removed, dry with a kitchen towel. Cut each carrot lengthwise into half or into four equal sized parts or into coins.Steam the carrots, in a steamer with a little salt, until just about cooked (aldente). You want the carrots to be firm in and not soft. We first steam the carrots, so the cooking process during roasting does not take time and helps retain most of the nutrition. Once done, remove the carrots from the steamer and keep aside.To roast the carrots, heat olive oil in a wok on medium heat;add in the steamed carrots along with salt, pepper, balsamic vinegar and honey.Stir fry on high heat, until you see a glaze on the carrots and a few brown spots. Check the salt and seasoning levels and adjust to suit your taste.Once the carrots look the fresh with a shine and roasted, turn off the heat. Toss the herbs in and transfer to a serving platter. So essentially, you should roast the carrots on the wok, only when you are ready to serve. This way you avoid heating it multiple times. Heating vegetables multiple times, reduces the nutrition content in them.Serve Honey Glazed Roasted Carrots Recipe With Herbs along with Creamy Mushroom Risotto Recipe, and a Quick Roasted Vegetable Bread Pizza Recipe for dinner.
</t>
  </si>
  <si>
    <t>Para comenzar a hacer la Receta de Zanahorias Asadas con Miel, para asar las zanahorias, pela la piel de las zanahorias y lávalas hasta que se elimine toda la tierra, sécalas con una toalla de cocina. Corta cada zanahoria a lo largo por la mitad o en cuatro partes iguales o en monedas. Cocina las zanahorias al vapor, en una vaporera con un poco de sal, hasta que estén casi cocidas (aldente). Quieres que las zanahorias estén firmes y no blandas. Primero cocinamos las zanahorias al vapor, por lo que el proceso de cocción durante el asado no toma tiempo y ayuda a retener la mayor parte de la nutrición. Una vez hecho esto, retira las zanahorias de la vaporera y reserva. Para asar las zanahorias, calienta el aceite de oliva en un wok a fuego medio; agrega las zanahorias al vapor junto con la sal, la pimienta, el vinagre balsámico y la miel. Saltea a fuego alto, hasta que veas un glaseado en las zanahorias y algunas manchas marrones. Revisa los niveles de sal y condimentos y ajústalos a tu gusto. Una vez que las zanahorias se vean frescas con brillo y asadas, apaga el fuego. Añade las hierbas y transfiérelas a una fuente. En esencia, asa las zanahorias en el wok solo cuando estés listo para servir. Así evitarás calentarlas varias veces. Calentar las verduras varias veces reduce su valor nutricional. Sirve la receta de zanahorias asadas glaseadas con miel y hierbas junto con la receta de risotto cremoso de champiñones y una receta rápida de pizza de pan con verduras asadas para la cena.</t>
  </si>
  <si>
    <t>Pour commencer à préparer la recette de carottes rôties au miel, pour rôtir les carottes, épluchez la peau des carottes et lavez-les jusqu'à ce que toute la saleté soit enlevée, séchez-les avec un torchon de cuisine. Coupez chaque carotte dans le sens de la longueur en deux ou en quatre parties de taille égale ou en pièces. Faites cuire les carottes à la vapeur, dans un cuiseur vapeur avec un peu de sel, jusqu'à ce qu'elles soient presque cuites (aldente). Vous voulez que les carottes soient fermes et non molles. Nous cuisons d'abord les carottes à la vapeur, afin que le processus de cuisson pendant la torréfaction ne prenne pas de temps et aide à conserver la plupart des nutriments. Une fois terminé, retirez les carottes du cuiseur vapeur et réservez. Pour rôtir les carottes, faites chauffer l'huile d'olive dans un wok à feu moyen ; ajoutez les carottes cuites à la vapeur avec du sel, du poivre, du vinaigre balsamique et du miel. Faites sauter à feu vif, jusqu'à ce que vous voyiez un glaçage sur les carottes et quelques taches brunes. Vérifiez les niveaux de sel et d'assaisonnement et ajustez à votre goût. Une fois que les carottes ont l'air fraîches et brillantes et rôties, éteignez le feu. Ajoutez les herbes et transférez dans un plat de service. En résumé, faites rôtir les carottes au wok uniquement au moment de servir. Cela évite de les réchauffer plusieurs fois. Chauffer les légumes plusieurs fois réduit leur valeur nutritive. Servez la recette de carottes rôties glacées au miel et aux herbes avec la recette de risotto crémeux aux champignons et une recette de pizza rapide au pain aux légumes rôtis pour le dîner.</t>
  </si>
  <si>
    <t>http://www.archanaskitchen.com/honey-glazed-roasted-carrots-recipe-with-herbs</t>
  </si>
  <si>
    <t>Loaded Baked Potato French Fries Recipe</t>
  </si>
  <si>
    <t>Rezept für beladene Ofenkartoffel-Pommes Frites</t>
  </si>
  <si>
    <t>Recette de frites de pommes de terre au four garnies</t>
  </si>
  <si>
    <t>Receta de papas fritas al horno cargadas</t>
  </si>
  <si>
    <t>4 pommes de terre (Aloo) - pelées et coupées en lanières, 1 cuillère à soupe d'huile d'olive extra vierge, sel - au goût, 1 cuillère à café de flocons de piment rouge, 1 cuillère à soupe d'herbes mélangées (séchées), 2 cuillères à soupe de mayonnaise sans œufs, 1 cuillère à soupe de sauce Veeba Sriracha, quelques olives noires, jalapeños marinés - quelques</t>
  </si>
  <si>
    <t>4 Potatoes (Aloo) - peeled and cut into strips,1 tablespoon Extra Virgin Olive Oil,Salt - to taste,1 teaspoon Red Chilli flakes,1 tablespoon Mixed Herbs (Dried),2 tablespoons Eggless Mayonnaise,1 tablespoon Veeba Sriracha sauce,Black olives - a few,Pickled Jalapenos - a few</t>
  </si>
  <si>
    <t>4 papas (Aloo) - peladas y cortadas en tiras, 1 cucharada de aceite de oliva virgen extra, sal - al gusto, 1 cucharadita de hojuelas de chile rojo, 1 cucharada de hierbas mixtas (secas), 2 cucharadas de mayonesa sin huevo, 1 cucharada de salsa Veeba Sriracha, aceitunas negras - algunas, jalapeños encurtidos - algunos</t>
  </si>
  <si>
    <t xml:space="preserve">To begin making the Loaded Baked Potato French Fries Recipe, keep the potatoes ready. Soak the potatoes in water for about 10 minutes. Preheat an oven to 200 degree celsius. In a mixing bowl, combine the potatoes along with olive oil, salt, mixed herbs and chilli flakes. Mix well and spread these potatoes on a baking tray. Bake the herbed potatoes the oven for a good 20-25 minutes, until the potatoes have cooked through and have turned into a light brown colour and crisp.After about 10 minutes into the oven, mix the potato french fries around in the oven to even bake around all sides. Drizzle a little oil if required.Remove the Baked Potato French Fries from the oven once done, transfer to a serving platter.Drizzle the Baked Potato French Fries with some veg mayonnaise. and sriracha sauce. Finally top it with some olives and jalapeno slices and serve the Loaded Baked Potato French Fries as an appetizer for parties.Serve Loaded Baked Potato French Fries alongside a Homemade Black Bean Burger Recipe and a Ice Tea Sangria Recipe. 
</t>
  </si>
  <si>
    <t>Para comenzar a hacer la Receta de Papas Fritas Horneadas Cargadas, tenga las papas listas. Remoje las papas en agua durante unos 10 minutos. Precaliente un horno a 200 grados centígrados. En un tazón, combine las papas junto con el aceite de oliva, la sal, las hierbas mixtas y las hojuelas de chile. Mezcle bien y extienda estas papas en una bandeja para hornear. Hornee las papas con hierbas en el horno durante unos 20-25 minutos, hasta que las papas se hayan cocido y se hayan vuelto de un color marrón claro y crujientes. Después de unos 10 minutos en el horno, mezcle las papas fritas en el horno para hornear de manera uniforme por todos lados. Rocíe un poco de aceite si es necesario. Retire las papas fritas horneadas del horno una vez listas, transfiéralas a una fuente para servir. Rocíe las papas fritas horneadas con un poco de mayonesa vegetal. y salsa sriracha. Finalmente, cúbrelo con aceitunas y rodajas de jalapeño y sirve las papas fritas al horno cargadas como aperitivo para fiestas. Sirve las papas fritas al horno cargadas junto con una receta de hamburguesa casera de frijoles negros y una receta de sangría de té helado.</t>
  </si>
  <si>
    <t>Pour commencer à préparer la recette de frites de pommes de terre au four garnies, gardez les pommes de terre prêtes. Faites tremper les pommes de terre dans l'eau pendant environ 10 minutes. Préchauffez un four à 200 degrés Celsius. Dans un bol, mélangez les pommes de terre avec l'huile d'olive, le sel, les herbes mélangées et les flocons de piment. Mélangez bien et étalez ces pommes de terre sur une plaque de cuisson. Faites cuire les pommes de terre aux herbes au four pendant 20 à 25 minutes, jusqu'à ce que les pommes de terre soient bien cuites et aient pris une couleur brun clair et croustillantes. Après environ 10 minutes au four, mélangez les frites de pommes de terre dans le four pour une cuisson uniforme de tous les côtés. Arrosez d'un peu d'huile si nécessaire. Retirez les frites de pommes de terre au four du four une fois cuites, transférez-les dans un plat de service. Arrosez les frites de pommes de terre au four d'un peu de mayonnaise végétarienne et de sauce sriracha. Enfin, garnissez-le de quelques olives et de tranches de jalapeño et servez les frites de pommes de terre au four garnies en apéritif pour les fêtes. Servez les frites de pommes de terre au four garnies avec une recette de burger aux haricots noirs maison et une recette de sangria au thé glacé.</t>
  </si>
  <si>
    <t>http://www.archanaskitchen.com/loaded-baked-potato-french-fries-recipe</t>
  </si>
  <si>
    <t>Peanut Butter Cookie Bars Recipe-Healthy snack for kids</t>
  </si>
  <si>
    <t>Rezept für Erdnussbutter-Keksriegel – Gesunder Snack für Kinder</t>
  </si>
  <si>
    <t>Recette de barres de biscuits au beurre de cacahuète – Collation saine pour les enfants</t>
  </si>
  <si>
    <t>Receta de barra de galletas de mantequilla de cacahuete: un refrigerio saludable para niños</t>
  </si>
  <si>
    <t>1 tasse de farine d'avoine - sans gluten, 1/2 tasse de poudre d'amandes (poudre de badam), 1/2 tasse de dattes - épépinées, 2 cuillères à soupe de beurre de cacahuète, 1 cuillère à soupe d'huile de coco, 1/4 cuillère à café de sel, 1/2 tasse de pépites de chocolat noir</t>
  </si>
  <si>
    <t>1 cup Oats Flour - gluten free,1/2 cup Almond Meal (Badam Powder),1/2 cup Dates - deseeded,2 tablespoons Peanut Butter,1 tablespoon Coconut Oil,1/4 teaspoon Salt,1/2 cup Dark Chocolate Chips</t>
  </si>
  <si>
    <t>1 taza de harina de avena (sin gluten), 1/2 taza de harina de almendras (polvo de almendras), 1/2 taza de dátiles (sin semillas), 2 cucharadas de mantequilla de maní, 1 cucharada de aceite de coco, 1/4 cucharadita de sal, 1/2 taza de chispas de chocolate negro</t>
  </si>
  <si>
    <t xml:space="preserve">To begin making the Peanut Butter Cookie Bars Recipe, blend all the ingredients together until they come together as a crumbly mixture - Oats Flour, Almond Meal, Dates, Peanut Butter, Coconut Oil and Salt. Line a baking tray with parchment paper. Add this crumbly oats and peanut butter mixture to it and press down so that they are even. Place this tin in the refrigerator for an hour.Meanwhile, place a saucepan on high flame with water half way in it. Once the water comes to a boil, place a glass mixing bowl on top and add the dark chocolate chips.Add in the coconut oil and stir until the chocolate melts. The flame can remain on medium to high so that the chocolate chips melt well. Once all the chocolate has melted, turn off the flame. After an hour or so, take the oats and peanut mixture out of the fridge. Pour the chocolate mixture on top of the hardened oats and peanut mixture.Spread the chocolate evenly so that the entire contents of the oats and peanut mixture is covered with the chocolate. Place the tray back inside the fridge again for another 30 minutes. Once the chocolate has set, cut them into equal sized Peanut Butter bars.Serve these Peanut Butter Cookie Bars Recipe as an after school snack or pack it in their snack boxes. You can also serve these at tea time along with a hot cup of Basil Tea.
</t>
  </si>
  <si>
    <t>Para comenzar a hacer la Receta de Barras de Galletas de Mantequilla de Maní, mezcle todos los ingredientes hasta que se unan como una mezcla desmenuzable: harina de avena, harina de almendras, dátiles, mantequilla de maní, aceite de coco y sal. Cubra una bandeja para hornear con papel pergamino. Agregue esta mezcla desmenuzable de avena y mantequilla de maní y presione hacia abajo para que quede uniforme. Coloque este molde en el refrigerador durante una hora. Mientras tanto, coloque una cacerola a fuego alto con agua hasta la mitad. Una vez que el agua hierva, coloque un tazón de vidrio para mezclar encima y agregue las chispas de chocolate negro. Agregue el aceite de coco y revuelva hasta que el chocolate se derrita. La llama puede permanecer en media a alta para que las chispas de chocolate se derritan bien. Una vez que todo el chocolate se haya derretido, apague el fuego. Después de una hora aproximadamente, saque la mezcla de avena y maní del refrigerador. Vierta la mezcla de chocolate encima de la mezcla de avena y maní endurecida. Extienda el chocolate uniformemente para que todo el contenido de la mezcla de avena y maní esté cubierto con el chocolate. Vuelve a colocar la bandeja en el refrigerador durante 30 minutos más. Una vez que el chocolate esté cuajado, córtalos en barras de mantequilla de cacahuete del mismo tamaño. Sirve estas barras de galletas de mantequilla de cacahuete como merienda después de la escuela o guárdalas en sus cajas de refrigerio. También puedes servirlas a la hora del té con una taza de té de albahaca caliente.</t>
  </si>
  <si>
    <t>Pour commencer à préparer la recette des barres de biscuits au beurre de cacahuète, mélangez tous les ingrédients jusqu'à obtenir un mélange friable : farine d'avoine, poudre d'amandes, dattes, beurre de cacahuète, huile de coco et sel. Tapissez une plaque de cuisson de papier sulfurisé. Ajoutez-y ce mélange friable d'avoine et de beurre de cacahuète et appuyez pour qu'il soit uniforme. Placez ce moule au réfrigérateur pendant une heure. Pendant ce temps, placez une casserole sur feu vif avec de l'eau à moitié. Une fois que l'eau bout, placez un bol en verre dessus et ajoutez les pépites de chocolat noir. Ajoutez l'huile de coco et remuez jusqu'à ce que le chocolat fonde. La flamme peut rester à feu moyen à élevé pour que les pépites de chocolat fondent bien. Une fois que tout le chocolat a fondu, éteignez le feu. Au bout d'une heure environ, sortez le mélange d'avoine et de cacahuètes du réfrigérateur. Versez le mélange de chocolat sur le mélange d'avoine et de cacahuètes durci. Étalez le chocolat uniformément de manière à ce que tout le contenu du mélange d'avoine et de cacahuètes soit recouvert de chocolat. Remettez le plateau au réfrigérateur pendant 30 minutes supplémentaires. Une fois le chocolat pris, coupez-les en barres de beurre de cacahuète de taille égale. Servez ces barres de biscuits au beurre de cacahuète comme collation après l'école ou emballez-les dans leurs boîtes à goûter. Vous pouvez également les servir à l'heure du goûter avec une tasse de thé au basilic chaud.</t>
  </si>
  <si>
    <t>http://www.archanaskitchen.com/peanut-butter-bars-recipe</t>
  </si>
  <si>
    <t>Israeli Couscous Salad Recipe</t>
  </si>
  <si>
    <t>Rezept für israelischen Couscous-Salat</t>
  </si>
  <si>
    <t>Recette de salade de couscous israélienne</t>
  </si>
  <si>
    <t>Receta de ensalada de cuscús israelí</t>
  </si>
  <si>
    <t>1-1/2 tasse de couscous israélien, 2 tasses d'eau, 1/4 cuillère à café de poudre de curcuma (Haldi), 1 poivron rouge (Capsicum) - en dés, 1 poivron jaune (Capsicum) - en dés, 1 oignon - finement haché, 1/2 tasse de figues séchées - tranchées, 1/2 tasse d'abricots - séchés, 1/2 tasse de canneberges, 1 tasse de pistaches - grillées, 3 brins de feuilles de coriandre (Dhania) - finement hachées, 1 cuillère à café de zeste d'orange (zeste), 1/2 cuillère à café de poudre de cumin (Jeera), 1/4 cuillère à café de poudre de cardamome (Elaichi), 1/4 cuillère à café de poudre de cannelle (Dalchini), 1/4 tasse de jus de citron - fraîchement pressé, 1/4 tasse de jus d'orange frais - fraîchement pressé, 1 cuillère à soupe de gingembre - haché, 1 cuillère à soupe de miel, 1/4 tasse d'huile d'olive extra vierge, 1 cuillère à café de zeste de citron</t>
  </si>
  <si>
    <t>1-1/2 cups Couscous - Israeli,2 cup Water,1/4 teaspoon Turmeric powder (Haldi),1 Red Bell pepper (Capsicum) - diced,1 Yellow Bell Pepper (Capsicum) - diced,1 Onion - finely chopped,1/2 cup Dried Figs - sliced,1/2 cup Apricots - drieds,1/2 cup Cranberries,1 cup Pistachios - roasted,3 sprig Coriander (Dhania) Leaves - finely chopped,1 teaspoon Orange Zest (Rind),1/2 teaspoon Cumin powder (Jeera),1/4 teaspoon Cardamom Powder (Elaichi),1/4 teaspoon Cinnamon Powder (Dalchini),1/4 cup Lemon juice - freshly squeezed,1/4 cup Fresh orange juice - freshly squeezed,1 tablespoon Ginger - minced,1 tablespoon Honey,1/4 cup Extra Virgin Olive Oil,1 teaspoon Lemon zest</t>
  </si>
  <si>
    <t>1-1/2 tazas de cuscús israelí, 2 tazas de agua, 1/4 cucharadita de cúrcuma en polvo (haldi), 1 pimiento rojo (capsicum) en cubos, 1 pimiento amarillo (capsicum) en cubos, 1 cebolla finamente picada, 1/2 taza de higos secos en rodajas, 1/2 taza de albaricoques secos, 1/2 taza de arándanos rojos, 1 taza de pistachos tostados, 3 ramitas de hojas de cilantro (dhania) finamente picadas, 1 cucharadita de ralladura de naranja (cáscara), 1/2 cucharadita de comino en polvo (jeera), 1/4 cucharadita de cardamomo en polvo (elaichi), 1/4 cucharadita de canela en polvo (dalchini), 1/4 taza de jugo de limón recién exprimido, 1/4 taza de jugo de naranja fresco recién exprimido, 1 cucharada de jengibre picado, 1 cucharada de miel, 1/4 taza de aceite de oliva virgen extra, 1 cucharadita de ralladura de limón</t>
  </si>
  <si>
    <t xml:space="preserve">To begin making Israeli Couscous Salad Recipe, place a saucepan on medium heat. Add 2 cup water to it and bring it to boil. Add turmeric powder to it and keep it boiling.Meanwhile place a pan on medium heat. Add couscous and dry roast the couscous until golden brown.Once done add the couscous to the boiling water pan and mix well. Let the couscous simmer on low heat for 10-15 minutes until all the water has been absorbed and the couscous is well cooked. Turn off the heat. Cover the pan and keep it aside for 10 minutes.After 10 minutes, using a fork, fluff the couscous evenly to ensure there are no lumps.To prepare the dressing for the salad, In a small mixing bowl, combine all the ingredients under 'for dressing' like cumin powder, coriander powder, lemon juice fresh orange juice, ginger, honey, olive oil and lemon zest . Mix well to combine.Transfer the cooked couscous to a salad mixing bowl. Add all the ingredients under'for salad' to the couscous. Toss all the ingredients and give the salad a good mix. Drizzle the salad dressing over it and mix well. Add salt and pepper to taste and serve.Serve Israeli Couscous Salad Recipe with some warm soup like Roasted Cherry Tomato Soup Recipe, Lemongrass Tomato Corn Soup Recipe for a healthy weeknight dinner or lunch. Israeli Couscous Salad Recipe is a great party food recipe as well.
</t>
  </si>
  <si>
    <t>Para comenzar a hacer la Receta de Ensalada de Cuscús Israelí, coloque una cacerola a fuego medio. Agregue 2 tazas de agua y llévela a ebullición. Agregue cúrcuma en polvo y manténgala hirviendo. Mientras tanto, coloque una cacerola a fuego medio. Agregue cuscús y tueste en seco el cuscús hasta que esté dorado. Una vez hecho esto, agregue el cuscús a la cacerola de agua hirviendo y mezcle bien. Deje que el cuscús hierva a fuego lento durante 10-15 minutos hasta que toda el agua se haya absorbido y el cuscús esté bien cocido. Apague el fuego. Cubra la cacerola y déjela a un lado durante 10 minutos. Después de 10 minutos, con un tenedor, esponje el cuscús uniformemente para asegurarse de que no haya grumos. Para preparar el aderezo para la ensalada, en un tazón pequeño, combine todos los ingredientes en "para aderezo" como comino en polvo, cilantro en polvo, jugo de limón, jugo de naranja fresco, jengibre, miel, aceite de oliva y ralladura de limón. Mezcle bien. Transfiera el cuscús cocido a un tazón para ensalada. Añada todos los ingredientes de la sección "Ensalada". Mezcle bien. Rocíe el aderezo y mezcle bien. Salpimiente al gusto y sirva. Sirva la receta de ensalada de cuscús israelí con una sopa caliente, como la de tomate cherry asado o la de tomate y maíz con limoncillo, para una cena o almuerzo saludable entre semana. La receta de ensalada de cuscús israelí también es ideal para fiestas.</t>
  </si>
  <si>
    <t>Pour commencer à préparer la recette de salade de couscous israélienne, placez une casserole sur feu moyen. Ajoutez-y 2 tasses d'eau et portez-la à ébullition. Ajoutez-y la poudre de curcuma et maintenez l'ébullition. Pendant ce temps, placez une casserole sur feu moyen. Ajoutez le couscous et faites-le rôtir à sec jusqu'à ce qu'il soit doré. Une fois terminé, ajoutez le couscous à la casserole d'eau bouillante et mélangez bien. Laissez mijoter le couscous à feu doux pendant 10 à 15 minutes jusqu'à ce que toute l'eau soit absorbée et que le couscous soit bien cuit. Éteignez le feu. Couvrez la casserole et laissez-la de côté pendant 10 minutes. Après 10 minutes, à l'aide d'une fourchette, égrainez le couscous uniformément pour vous assurer qu'il n'y a pas de grumeaux. Pour préparer la vinaigrette pour la salade, dans un petit bol, mélangez tous les ingrédients sous « pour la vinaigrette » comme la poudre de cumin, la poudre de coriandre, le jus de citron, le jus d'orange frais, le gingembre, le miel, l'huile d'olive et le zeste de citron. Bien mélanger. Transférer le couscous cuit dans un saladier. Ajouter tous les ingrédients de la salade. Mélanger le tout et bien mélanger. Arroser de vinaigrette et bien mélanger. Saler et poivrer à votre goût. Servir avec une soupe chaude, comme la soupe aux tomates cerises rôties ou la soupe au maïs et à la citronnelle, pour un dîner ou un déjeuner sain en semaine. La salade de couscous israélienne est également idéale pour les fêtes.</t>
  </si>
  <si>
    <t>https://www.archanaskitchen.com/israeli-couscous-salad-recipe</t>
  </si>
  <si>
    <t>Mushroom Strudel Recipe</t>
  </si>
  <si>
    <t>Pilzstrudel-Rezept</t>
  </si>
  <si>
    <t>Recette de strudel aux champignons</t>
  </si>
  <si>
    <t>Receta de strudel de champiñones</t>
  </si>
  <si>
    <t>1 cuillère à soupe de beurre, 1 oignon finement haché, 200 grammes de champignons de Paris coupés en quartiers, 2 gousses d'ail finement hachées, 3 brins de feuilles de persil hachées, 1 brin de romarin finement haché, 1/4 tasse de parmesan râpé, sel au goût, poivre noir en poudre au goût, 1 tasse de croûte à tarte tout usage (ou 6 feuilles de pâte filo), 4 cuillères à soupe de beurre fondu, 1/3 tasse de chapelure de blé entier</t>
  </si>
  <si>
    <t>1 tablespoons Butter,1 Onion - finely chopped,200 grams Button mushrooms - quartered,2 cloves Garlic - finely chopped,3 sprig Parsley leaves - chopped,1 sprig Rosemary - finely chopped,1/4 cup Parmesan cheese - grated,Salt - to taste,Black pepper powder - to taste,1 cup All Purpose Pie Crust - (or 6 sheets of filo pastry),4 tablespoons Butter - melted,1/3 cup Whole Wheat Bread crumbs</t>
  </si>
  <si>
    <t>1 cucharada de mantequilla, 1 cebolla finamente picada, 200 gramos de champiñones en cuartos, 2 dientes de ajo finamente picados, 3 ramitas de hojas de perejil picadas, 1 ramita de romero finamente picado, 1/4 taza de queso parmesano rallado, sal al gusto, pimienta negra en polvo al gusto, 1 taza de masa para tarta multiusos (o 6 hojas de masa filo), 4 cucharadas de mantequilla derretida, 1/3 taza de pan rallado integral</t>
  </si>
  <si>
    <t xml:space="preserve">To begin making the Mushroom Strudel Recipe, we will first get the pastry dough ready. Click to see how to make the all-purpose pie crust recipe. Keep it refrigerated until ready to use.The next step is to make the filling for the Mushroom Strudel Recipe.To start making the filling, melt the butter over medium heat in a heavy-bottomed pan. Add the garlic, onions, mushrooms, sprinkle some salt and stir-fry until the onions and mushrooms are tender and cooked.Once cooked, add chopped the parsley, rosemary, stir to combine. Cook the filling for few more minutes, reduce the flame to high and let all the water evaporate from the mushroom mixture completely, stirring occasionally. Turn off the heat. Next preheat the oven to 400 F (200 C). Line a large baking sheet with parchment paper or grease it with butter. Now add the cheese to the mushroom stuffing, season with salt and pepper and stir to combine well. Keep the filling aside while you prepare the strudel pastry.Using Ready Made PastryTo prepare the strudel pastry, thaw the pastry as per the instructions mentioned on the package. Once thawed, arrange the ready rolled filo pastry sheets on the work surface and cover with a damp cloth. Brush one sheet with melted butter and sprinkle some bread crumbs over the pastry, arrange another filo sheet over the first one, brush it with melted butter and again sprinkle bread crumbs over the pastry.Similarly, arrange layers of one more filo pastry till you have stacked three layers of filo sheets.To assemble the Mushroom Strudel, place half of the mushroom filling 2 inches away from the edge of the layered dough.Roll the edge up and over the filling, fold in the ends and continue to roll the dough around the filling(Just like folding Burrito).Prepare the second set of Mushroom Strudel in the similar manner with the remaining pastry sheets and the mushroom filling.Using the Pie Pastry DoughFor the strudel using the Pie Dough, divide dough in half. Roll out a section at a time on a lightly floured board to a rectangle of 16 x 12.Butter the pastry dough and sprinkle some bread crumbs on the top. Place half the mushroom filling on the end of the dough (the end nearest you), leaving a 2-inch border.Roll up gently and yet lightly firm. Pinch the edges to seal them. Prepare the second set of Mushroom Strudel in the similar manner with the remaining pastry sheets and the mushroom filling.Baking the Mushroom Strudel PastryPlace the folded Mushroom Strudel Pastry on a baking sheet and score the dough with a knife thrice to allow the steam to escape. Brush the top of the pastry with some butter, to get the brown glaze on top while baking.Bake the Stuffed Mushroom Strudel for about 20 minutes or until golden brown on all the sides. Once baked, remove from the oven.Serve Mushroom Strudel as your tea time snack along with a hot cup of Masala Chai and Quinoa Chocolate Cookies.
</t>
  </si>
  <si>
    <t>Para comenzar a hacer la Receta de Strudel de Champiñones, primero prepararemos la masa de hojaldre. Haga clic para ver cómo hacer la receta de corteza de pastel para todo uso. Manténgala refrigerada hasta que esté lista para usar. El siguiente paso es hacer el relleno para la Receta de Strudel de Champiñones. Para comenzar a hacer el relleno, derrita la mantequilla a fuego medio en una sartén de fondo grueso. Agregue el ajo, las cebollas, los champiñones, espolvoree un poco de sal y saltee hasta que las cebollas y los champiñones estén tiernos y cocidos. Una vez cocidos, agregue el perejil picado, el romero y revuelva para combinar. Cocine el relleno durante unos minutos más, reduzca el fuego a alto y deje que toda el agua se evapore por completo de la mezcla de champiñones, revolviendo ocasionalmente. Apague el fuego. Luego precaliente el horno a 400 F (200 C). Cubra una bandeja para hornear grande con papel pergamino o engrásela con mantequilla. Ahora agregue el queso al relleno de champiñones, sazone con sal y pimienta y revuelva para combinar bien. Deja el relleno a un lado mientras preparas la masa de strudel. Usando masa preparada Para preparar la masa de strudel, descongela la masa según las instrucciones mencionadas en el paquete. Una vez descongelada, coloca las láminas de pasta filo enrolladas sobre la superficie de trabajo y cúbrelas con un paño húmedo. Pincela una lámina con mantequilla derretida y espolvorea algunas migas de pan sobre la masa, coloca otra lámina de filo sobre la primera, pincélala con mantequilla derretida y nuevamente espolvorea migas de pan sobre la masa. De manera similar, coloca capas de una masa filo más hasta que hayas apilado tres capas de láminas de filo. Para armar el strudel de hongos, coloca la mitad del relleno de hongos a 2 pulgadas del borde de la masa en capas. Enrolla el borde hacia arriba y sobre el relleno, dobla los extremos y continúa enrollando la masa alrededor del relleno (como doblando un burrito). Prepara el segundo juego de strudel de hongos de manera similar con las láminas de masa restantes y el relleno de hongos. Usando la masa de hojaldre para tarta Para el strudel usando la masa para tarta, divide la masa por la mitad. Extiende una sección a la vez sobre una tabla ligeramente enharinada hasta formar un rectángulo de 16 x 12. Unta con mantequilla la masa de hojaldre y espolvorea algunas migas de pan en la parte superior. Coloca la mitad del relleno de champiñones en el extremo de la masa (el extremo más cercano a ti), dejando un borde de 2 pulgadas. Enrolla con cuidado pero ligeramente firme. Pellizca los bordes para sellarlos. Prepara el segundo juego de strudel de champiñones de manera similar con las láminas de hojaldre restantes y el relleno de champiñones. Horneando la masa de strudel de champiñones Coloca la masa de strudel de champiñones doblada en una bandeja para hornear y marca la masa con un cuchillo tres veces para permitir que escape el vapor. Pincela la parte superior de la masa con un poco de mantequilla, para obtener el glaseado marrón en la parte superior mientras se hornea. Hornea el strudel de champiñones relleno durante unos 20 minutos o hasta que esté dorado por todos lados. Una vez horneado, sáquelo del horno. Sirva el strudel de champiñones como refrigerio para la hora del té junto con una taza caliente de Masala Chai y galletas de chocolate con quinoa.</t>
  </si>
  <si>
    <t>Pour commencer à préparer la recette de strudel aux champignons, nous allons d'abord préparer la pâte feuilletée. Cliquez pour voir comment préparer la recette de croûte à tarte tout usage. Gardez-la au réfrigérateur jusqu'à utilisation. L'étape suivante consiste à préparer la garniture pour la recette de strudel aux champignons. Pour commencer à préparer la garniture, faites fondre le beurre à feu moyen dans une poêle à fond épais. Ajoutez l'ail, les oignons, les champignons, saupoudrez de sel et faites sauter jusqu'à ce que les oignons et les champignons soient tendres et cuits. Une fois cuits, ajoutez le persil haché, le romarin, remuez pour mélanger. Faites cuire la garniture pendant quelques minutes de plus, réduisez le feu à vif et laissez toute l'eau s'évaporer complètement du mélange de champignons, en remuant de temps en temps. Éteignez le feu. Préchauffez ensuite le four à 400 F (200 C). Tapissez une grande plaque à pâtisserie de papier sulfurisé ou graissez-la avec du beurre. Ajoutez maintenant le fromage à la farce aux champignons, assaisonnez de sel et de poivre et remuez pour bien mélanger. Gardez la garniture de côté pendant que vous préparez la pâte à strudel.Utilisation de pâte prête à l'emploiPour préparer la pâte à strudel, décongelez la pâte selon les instructions mentionnées sur l'emballage. Une fois décongelées, disposez les feuilles de pâte filo prêtes à l'emploi sur le plan de travail et couvrez d'un linge humide. Badigeonnez une feuille de pâte de beurre fondu et saupoudrez de chapelure. Disposez une autre feuille de filo sur la première, badigeonnez-la de beurre fondu et saupoudrez à nouveau de chapelure. De même, disposez des couches d'une autre pâte filo jusqu'à obtenir trois couches de feuilles de filo. Pour assembler le strudel aux champignons, placez la moitié de la garniture aux champignons à 5 cm du bord de la pâte. Roulez le bord vers le haut et sur la garniture, repliez les extrémités et continuez à enrouler la pâte autour de la garniture (comme pour plier un burrito). Préparez le deuxième strudel aux champignons de la même manière avec les feuilles de pâte restantes et la garniture aux champignons. Utilisation de la pâte à tarte Pour le strudel avec la pâte à tarte, divisez la pâte en deux. Étalez une section à la fois sur une planche légèrement farinée pour obtenir un rectangle de 16 x 12. Beurrez la pâte et saupoudrez de chapelure. Déposez la moitié de la garniture aux champignons sur l'extrémité de la pâte (la plus proche de vous), en laissant une bordure de 5 cm. Roulez délicatement, mais légèrement ferme. Pincez les bords pour les sceller. Préparez le deuxième ensemble de strudels aux champignons de la même manière avec les feuilles de pâte restantes et la garniture aux champignons. Cuisson de la pâte à strudel aux champignons Placez la pâte à strudel aux champignons pliée sur une plaque à pâtisserie et marquez la pâte trois fois avec un couteau pour permettre à la vapeur de s'échapper. Badigeonnez le dessus de la pâte avec un peu de beurre, pour obtenir le glaçage brun sur le dessus pendant la cuisson. Faites cuire le strudel aux champignons farci pendant environ 20 minutes ou jusqu'à ce qu'il soit doré de tous les côtés. Une fois cuit, retirez du four. Servez le strudel aux champignons comme collation à l'heure du thé, accompagné d'une tasse chaude de chai masala et de biscuits au chocolat et au quinoa.</t>
  </si>
  <si>
    <t>http://www.archanaskitchen.com/mushroom-strudel-recipe-pie-dough-filo-pastry</t>
  </si>
  <si>
    <t>Roast Peaches with Coconut Walnut Sauce Recipe</t>
  </si>
  <si>
    <t>Rezept für geröstete Pfirsiche mit Kokosnuss-Walnuss-Sauce</t>
  </si>
  <si>
    <t>Recette de pêches rôties à la sauce coco et noix</t>
  </si>
  <si>
    <t>Receta de duraznos asados ​​con salsa de coco y nueces</t>
  </si>
  <si>
    <t>1 cuillère à soupe de beurre, 4 cuillères à soupe de noix en poudre, 120 ml de lait de coco, 2 cuillères à café de beurre, 2 cuillères à soupe de sucre, 1 pêche coupée en tranches (j'ai utilisé des pêches en conserve), 3 cuillères à soupe de noix concassées, quelques feuilles de menthe (Pudina)</t>
  </si>
  <si>
    <t>1 tablespoon Butter,4 tablespoons Walnuts - powdered,120 ml Coconut milk,2 teaspoons Butter,2 tablespoons Sugar,1 Peaches - sliced (I used canned,3 tablespoons Walnuts - crushed,Mint Leaves (Pudina) - few</t>
  </si>
  <si>
    <t>1 cucharada de mantequilla, 4 cucharadas de nueces en polvo, 120 ml de leche de coco, 2 cucharaditas de mantequilla, 2 cucharadas de azúcar, 1 durazno en rodajas (yo usé enlatado), 3 cucharadas de nueces trituradas, hojas de menta (pudina) - algunas</t>
  </si>
  <si>
    <t xml:space="preserve">To make the Roast Peaches with Coconut Walnut Sauce, we will first make the sauce.For the sauce, heat butter in a frying pan over low flame. When the butter melts, add walnut powder and cook, stirring continuously till the walnuts smell lightly roasted.Gradually stir in coconut milk and cook, stirring continuously till the sauce simmers. Remove from flame and keep aside.For the peaches, heat butter in a frying pan over medium flame. Add sugar and cook till the sugar is caramelised to rich golden brown. Add peaches and toss well to coat. Roast in the pan for a minute.To serve, divide the sauce equally over 4 dessert plates and spoon peaches over it. Sprinkle with walnuts and mint and serve immediately.Sprinkle with walnuts and mint and the Roast Peaches with Coconut Walnut Sauce immediately.
</t>
  </si>
  <si>
    <t>Para hacer los duraznos asados ​​con salsa de coco y nueces, primero haremos la salsa. Para la salsa, caliente la mantequilla en una sartén a fuego lento. Cuando la mantequilla se derrita, agregue el polvo de nuez y cocine, revolviendo continuamente hasta que las nueces huelan ligeramente tostadas. Poco a poco, incorpore la leche de coco y cocine, revolviendo continuamente hasta que la salsa hierva a fuego lento. Retire del fuego y reserve. Para los duraznos, caliente la mantequilla en una sartén a fuego medio. Agregue el azúcar y cocine hasta que el azúcar esté caramelizada a un dorado intenso. Agregue los duraznos y revuelva bien para cubrir. Tueste en la sartén durante un minuto. Para servir, divida la salsa equitativamente en 4 platos de postre y cubra con duraznos. Espolvoree con nueces y menta y sirva inmediatamente. Espolvoree con nueces y menta y los duraznos asados ​​con salsa de coco y nueces inmediatamente.</t>
  </si>
  <si>
    <t>Pour préparer les pêches rôties à la sauce noix de coco, nous allons d'abord préparer la sauce. Pour la sauce, faites chauffer le beurre dans une poêle à feu doux. Lorsque le beurre est fondu, ajoutez la poudre de noix et faites cuire en remuant continuellement jusqu'à ce que les noix sentent légèrement grillées. Incorporez progressivement le lait de coco et faites cuire en remuant continuellement jusqu'à ce que la sauce mijote. Retirez du feu et réservez. Pour les pêches, faites chauffer le beurre dans une poêle à feu moyen. Ajoutez le sucre et faites cuire jusqu'à ce que le sucre soit caramélisé et prenne une belle couleur dorée. Ajoutez les pêches et mélangez bien pour les enrober. Faites rôtir à la poêle pendant une minute. Pour servir, répartissez la sauce équitablement dans 4 assiettes à dessert et déposez les pêches dessus. Parsemez de noix et de menthe et servez immédiatement. Parsemez de noix et de menthe et de pêches rôties à la sauce noix de coco immédiatement.</t>
  </si>
  <si>
    <t>http://www.archanaskitchen.com/roast-peaches-with-coconut-walnut-sauce-chef-vikas-khannas-recipe</t>
  </si>
  <si>
    <t>Green Beans Salad Recipe</t>
  </si>
  <si>
    <t>Rezept für grünen Bohnensalat</t>
  </si>
  <si>
    <t>Recette de salade de haricots verts</t>
  </si>
  <si>
    <t>Receta de ensalada de judías verdes</t>
  </si>
  <si>
    <t>250 grammes de haricots verts (haricots verts) - extrémités parées et coupées en deux, 2 cuillères à soupe de noix de coco râpée, 1 cuillère à soupe d'huile de tournesol, 1 cuillère à café de graines de moutarde, 1 cuillère à café de graines de cumin (Jeera), 1/2 cuillère à café d'asafoetida (hing), 7 feuilles de curry, 2 piments rouges secs - cassés en morceaux, sel - au goût, 1 cuillère à soupe de jus de citron, amandes effilées (Badam) - pour la garniture</t>
  </si>
  <si>
    <t>250 grams Green beans (French Beans) - ends trimmed and cut in half,2 tablespoon Dessicated Coconut,1 tablespoon Sunflower Oil,1 teaspoon Mustard seeds,1 teaspoon Cumin seeds (Jeera),1/2 teaspoon Asafoetida (hing),7 Curry leaves,2 Dry Red Chillies - broken into pieces,Salt - to taste,1 tablespoon Lemon juice,Slivered Almonds (Badam) - for garnish</t>
  </si>
  <si>
    <t>250 gramos de judías verdes (judías verdes) - extremos recortados y cortados por la mitad, 2 cucharadas de coco deshidratado, 1 cucharada de aceite de girasol, 1 cucharadita de semillas de mostaza, 1 cucharadita de semillas de comino (Jeera), 1/2 cucharadita de asafétida (hing), 7 hojas de curry, 2 chiles rojos secos - partidos en trozos, sal - al gusto, 1 cucharada de jugo de limón, almendras fileteadas (Badam) - para decorar</t>
  </si>
  <si>
    <t xml:space="preserve">To begin making the green beans salad recipe, first steam the green beans for 4 to 5 minutes till they are just cooked and are still crunchy. Cool them down.Toast the desiccated coconut in a small pan for a minute or till it just starts to turn brown.Cool and add the coconut to the green beans in a mixing bowl.Heat oil in the heavy bottomed pan. Add the mustards seeds and once they splutter add the cumin seeds.Add the chillies and sauté for a few seconds. Take the pan off the heat and add the hing and curry leaves.Add this tadka to the green beans. Add salt, lemon juice and toss everything together.Keep for half an hour, garnish with the almond flakes and serve. Serve Green Beans Salad along with Penne Pasta Arrabiata and end it with Mascarpone Fruit Dessert Recipe for a delicious weekend dinner.
</t>
  </si>
  <si>
    <t>Para empezar a preparar la receta de ensalada de judías verdes, primero cocínelas al vapor durante 4 o 5 minutos hasta que estén apenas cocidas y crujientes. Déjelas enfriar. Tueste el coco rallado en una sartén pequeña durante un minuto o hasta que empiece a dorarse. Deje enfriar y añada el coco a las judías verdes en un bol. Caliente el aceite en una sartén de fondo grueso. Añada las semillas de mostaza y, una vez que chisporroteen, las semillas de comino. Añada los chiles y saltee unos segundos. Retire la sartén del fuego y añada el hing y las hojas de curry. Añada este tadka a las judías verdes. Añada sal, zumo de limón y mezcle todo. Deje reposar media hora, adorne con almendras laminadas y sirva. Sirva la ensalada de judías verdes junto con la pasta penne arrabiata y termine con la receta del postre de frutas con mascarpone para una deliciosa cena de fin de semana.</t>
  </si>
  <si>
    <t>Pour commencer la recette de salade de haricots verts, faites d'abord cuire les haricots verts à la vapeur pendant 4 à 5 minutes, jusqu'à ce qu'ils soient cuits et encore croquants. Laissez-les refroidir. Faites griller la noix de coco râpée dans une petite poêle pendant une minute ou jusqu'à ce qu'elle commence à dorer. Laissez refroidir et ajoutez la noix de coco aux haricots verts dans un saladier. Faites chauffer l'huile dans une poêle à fond épais. Ajoutez les graines de moutarde et, une fois qu'elles crépitent, ajoutez les graines de cumin. Ajoutez les piments et faites revenir quelques secondes. Retirez la poêle du feu et ajoutez le hing et les feuilles de curry. Ajoutez ce tadka aux haricots verts. Ajoutez du sel, du jus de citron et mélangez le tout. Laissez reposer une demi-heure, décorez d'amandes effilées et servez. Accompagnez la salade de haricots verts de penne arrabiata et terminez par un dessert aux fruits au mascarpone pour un délicieux dîner de week-end.</t>
  </si>
  <si>
    <t>https://www.archanaskitchen.com/green-beans-salad-recipe</t>
  </si>
  <si>
    <t>Cold Phyllo Tartlets With Cream Cheese And Dill Toppings Recipe</t>
  </si>
  <si>
    <t>Rezept für kalte Phyllo-Törtchen mit Frischkäse und Dill-Topping</t>
  </si>
  <si>
    <t>Recette de tartelettes phyllo froides avec garniture au fromage à la crème et à l'aneth</t>
  </si>
  <si>
    <t>Tartas frías de filo con relleno de queso crema y eneldo</t>
  </si>
  <si>
    <t>15 coupes de tartelettes phyllo - faites maison ou achetées en magasin, quelques feuilles d'aneth - hachées, 5 fraises - hachées, 85 grammes de fromage à la crème Britannia, 2 cuillères à café de crème fraîche, 55 grammes de yaourt grec (Hung Curd), sel - une pincée, feuilles de menthe (Pudina) - pour la garniture</t>
  </si>
  <si>
    <t>15 Phyllo Tartlet Cups - homemade or store bought,Few Dill leaves - minced,5 Strawberries - chopped,85 grams Britannia Cream Cheese,2 teaspoon Sour cream,55 grams Hung Curd (Greek Yogurt),Salt - a pinch,Mint Leaves (Pudina) - for garnishing</t>
  </si>
  <si>
    <t>15 tartaletas de filo (caseras o compradas), unas hojas de eneldo picadas, 5 fresas picadas, 85 gramos de queso crema Britannia, 2 cucharaditas de crema agria, 55 gramos de yogur griego (hung curd), sal (una pizca), hojas de menta (pudina) para decorar</t>
  </si>
  <si>
    <t xml:space="preserve">To start making Cold Phyllo Tartlets With Cream Cheese And Dill Toppings, first get all the ingredients ready.Blend in cream cheese, sour cream, greek yogurt in a food processor until thick and creamy. Stir in minced dill until combined.Place the phyllo cups on a serving platter and spoon in a teaspoon of cream cheese filling into the cups. Top the tartlets with chopped strawberries and garnish with fresh mint leaves, serve cold.Serve the Cold Phyllo Tartlets With Cream Cheese And Dill Toppings as an appetizer along with Honey Sesame Chilli Potato for your next dinner party.
</t>
  </si>
  <si>
    <t>Para empezar a preparar tartaletas frías de filo con queso crema y eneldo, primero prepara todos los ingredientes. Mezcla el queso crema, la crema agria y el yogur griego en un procesador de alimentos hasta obtener una mezcla espesa y cremosa. Incorpora el eneldo picado y remueve hasta que esté bien integrado. Coloca las tartaletas de filo en una fuente y añade una cucharadita de queso crema. Cubre las tartaletas con fresas picadas y decora con hojas de menta fresca. Sírvelas frías. Sirve las tartaletas frías de filo con queso crema y eneldo como aperitivo, junto con patatas con chile, sésamo y miel, en tu próxima cena.</t>
  </si>
  <si>
    <t>Pour commencer à préparer des tartelettes froides à la pâte phyllo avec du fromage frais et de l'aneth, préparez d'abord tous les ingrédients. Mixez le fromage frais, la crème fraîche et le yaourt grec dans un robot culinaire jusqu'à obtenir une consistance épaisse et crémeuse. Incorporez l'aneth haché. Placez les coupes de pâte phyllo sur un plat de service et versez-y une cuillère à café de garniture au fromage frais. Garnissez les tartelettes de fraises hachées et décorez de feuilles de menthe fraîche. Servez froides. Servez les tartelettes froides à la pâte phyllo avec du fromage frais et de l'aneth en apéritif, accompagnées de pommes de terre au miel, au sésame et au piment, pour votre prochain dîner.</t>
  </si>
  <si>
    <t>https://www.archanaskitchen.com/cold-phyllo-tartlets-with-cream-cheese-and-dill-toppings-recipe</t>
  </si>
  <si>
    <t>Banana And Cranberry Bran Muffins Recipe</t>
  </si>
  <si>
    <t>Rezept für Bananen-Cranberry-Bran-Muffins</t>
  </si>
  <si>
    <t>Recette de muffins à la banane, aux canneberges et au son</t>
  </si>
  <si>
    <t>Receta de muffins de plátano, arándanos y salvado</t>
  </si>
  <si>
    <t>3/4 tasse d'avoine instantanée (gruau) - ou son d'avoine, 1/3 tasse de lait, 2 bananes mûres - écrasées, 1 cuillère à café d'extrait de vanille, 1/2 tasse de farine de blé entier - ou farine tout usage, 1 cuillère à café de levure chimique, 1/2 cuillère à café de bicarbonate de soude, 1/2 cuillère à café de cannelle en poudre (Dalchini) - (facultatif), 1/4 tasse de canneberges - (séchées) hachées, 1/4 cuillère à café de sel, 1 cuillère à soupe de beurre (non salé) - fondu, 1 cuillère à soupe de miel, 1 cuillère à soupe de sirop d'érable</t>
  </si>
  <si>
    <t>3/4 cup Instant Oats (Oatmeal) - or oats bran,1/3 cup Milk,2 Ripe Bananas - mashed,1 teaspoon Vanilla Extract,1/2 cup Whole Wheat Flour - or all purpose flour,1 teaspoon Baking powder,1/2 teaspoon Baking soda,1/2 teaspoon Cinnamon Powder (Dalchini) - (optional),1/4 cup Cranberries - (dried) chopped,1/4 teaspoon Salt,1 tablespoon Butter (unsalted) - melted,1 tablespoon Honey,1 tablespoon Maple syrup</t>
  </si>
  <si>
    <t>3/4 taza de avena instantánea (avena) - o salvado de avena, 1/3 taza de leche, 2 plátanos maduros - machacados, 1 cucharadita de extracto de vainilla, 1/2 taza de harina integral - o harina para todo uso, 1 cucharadita de polvo para hornear, 1/2 cucharadita de bicarbonato de sodio, 1/2 cucharadita de canela en polvo (Dalchini) - (opcional), 1/4 taza de arándanos - (secos) picados, 1/4 cucharadita de sal, 1 cucharada de mantequilla (sin sal) - derretida, 1 cucharada de miel, 1 cucharada de jarabe de arce</t>
  </si>
  <si>
    <t xml:space="preserve">To begin making the Banana and Cranberry Bran Muffins Recipe, preheat oven to 175 degree Celsius.In a bowl, mix together oat bran, milk, bananas and vanilla extract and let the mixture sit for 10-15 minutes. This will help soak the oat bran so that the muffins are not dry.In another large mixing bowl, combine flour, baking powder, baking soda, cinnamon powder (if using), cranberries and salt. Set aside.In a different mixing bowl, whisk together butter, honey and maple syrup.Once the bran mixture has soaked for 10 minutes, add it to the butter mixture. Stir to combine well. Finally add the flour mixture and mix just until combined.Spoon the muffin mixture into lined muffin tins. These muffins don't rise too much so you can fill till the top. If using mini tins, bake for 12-15 minutes. If using regular sized muffin tins, bake for 18-20 minutes.Once baked, let the muffins cool for a few minutes before turning them out on a wire mesh.Serve these Banana and Cranberry Bran Muffins as a tea time snack or Breakfast along with a cup of Ginger Cardamom Chai  or coffee or even pack them into the school kids lunch boxes.
</t>
  </si>
  <si>
    <t>Para empezar a preparar la receta de Muffins de Salvado de Plátano y Arándanos, precalienta el horno a 175 grados Celsius. En un tazón, mezcla el salvado de avena, la leche, los plátanos y el extracto de vainilla y deja reposar la mezcla de 10 a 15 minutos. Esto ayudará a que el salvado de avena se empape bien y los muffins no se sequen. En otro tazón grande, mezcla la harina, el polvo para hornear, el bicarbonato de sodio, la canela en polvo (si la usas), los arándanos y la sal. Reserva. En otro tazón, bate la mantequilla, la miel y el jarabe de arce. Una vez que la mezcla de salvado se haya remojado durante 10 minutos, agrégala a la mezcla de mantequilla. Revuelve para combinar bien. Finalmente, agrega la mezcla de harina y mezcla hasta que esté bien integrada. Vierte la mezcla para muffins en moldes forrados. Estos muffins no suben demasiado, así que puedes llenarlos hasta arriba. Si usas moldes pequeños, hornea de 12 a 15 minutos. Si usa moldes para muffins de tamaño regular, hornee durante 18 a 20 minutos. Una vez horneados, deje que los muffins se enfríen durante unos minutos antes de desmoldarlos sobre una malla de alambre. Sirva estos muffins de salvado de plátano y arándanos como una merienda o desayuno junto con una taza de té chai con jengibre y cardamomo o café, o incluso llévelos a las loncheras de los niños de la escuela.</t>
  </si>
  <si>
    <t>Pour commencer la recette des muffins au son, banane et canneberges, préchauffez le four à 175 °C. Dans un bol, mélangez le son d'avoine, le lait, les bananes et l'extrait de vanille et laissez reposer 10 à 15 minutes. Cela permettra au son d'être imbibé et aux muffins de ne pas sécher. Dans un autre grand saladier, mélangez la farine, la levure chimique, le bicarbonate de soude, la cannelle en poudre (si vous en utilisez), les canneberges et le sel. Réservez. Dans un autre saladier, fouettez le beurre, le miel et le sirop d'érable. Une fois le mélange de son imbibé pendant 10 minutes, ajoutez-le au mélange de beurre. Remuez bien. Ajoutez enfin le mélange de farine et mélangez juste assez pour bien mélanger. Répartissez la pâte dans des moules à muffins chemisés. Ces muffins ne gonflent pas trop, vous pouvez donc les remplir jusqu'en haut. Si vous utilisez des mini-moules, faites cuire au four pendant 12 à 15 minutes. Si vous utilisez des moules à muffins de taille normale, faites-les cuire pendant 18 à 20 minutes. Une fois cuits, laissez les muffins refroidir quelques minutes avant de les démouler sur un grillage. Servez ces muffins au son de banane et de canneberge comme collation à l'heure du thé ou au petit-déjeuner avec une tasse de chai au gingembre et à la cardamome ou de café, ou même mettez-les dans les boîtes à lunch des écoliers.</t>
  </si>
  <si>
    <t>http://www.archanaskitchen.com/banana-and-cranberry-bran-muffins-recipe</t>
  </si>
  <si>
    <t>Oats Yogurt Parfait With Fruits Recipe</t>
  </si>
  <si>
    <t>Rezept für Hafer-Joghurt-Parfait mit Früchten</t>
  </si>
  <si>
    <t>Recette de parfait à l'avoine et au yaourt avec des fruits</t>
  </si>
  <si>
    <t>Receta de parfait de avena y yogur con frutas</t>
  </si>
  <si>
    <t>3 cuillères à soupe de yaourt grec, 1,5 cuillère à soupe d'avoine instantanée, 1/2 cuillère à café d'extrait de vanille, 1/2 cuillère à soupe de miel (réglable), 1/4 tasse d'eau, 1,5 cuillère à soupe de flocons de blé (céréales), fruits frais (de préférence)</t>
  </si>
  <si>
    <t>3 tablespoons Hung Curd (Greek Yogurt),1-1/2 tablespoons Instant Oats (Oatmeal) - Instant,1/2 teaspoon Vanilla Extract,1/2 tablespoon Honey - adjustable,1/4 cup Water,1-1/2 tablespoon Wheat Flakes (Cereal),Fresh fruits - of preference</t>
  </si>
  <si>
    <t>3 cucharadas de cuajada Hung (yogur griego), 1 cucharada y media de avena instantánea (avena) - instantánea, 1/2 cucharadita de extracto de vainilla, 1/2 cucharada de miel - ajustable, 1/4 taza de agua, 1 cucharada y media de hojuelas de trigo (cereal), frutas frescas - de preferencia</t>
  </si>
  <si>
    <t xml:space="preserve">To start preparing Oats Yogurt Parfait with Fruits, add oats and water in a pan and boil until cooked.Add vanilla essence and honey, stir once and allow it to cool.Place the cooked oats in a tall glass, add yogurt.Top it up with wheat flakes which will give it the Oats Yogurt Parfait with Fruits a crunchy taste.Add a few cut fruits.Repeat the layering till you fill the glass 3/4 th. Top the parfait with more fruits.Serve this Oats Yogurt Parfait with Fruits recipe immediately to enjoy the crunchy goodness of wheat flakes, the sweet cooked oats and fruits.Serve Oats Yogurt Parfait with Fruits Recipe with a hot cup of Masala Chai for breakfast.
</t>
  </si>
  <si>
    <t>Para empezar a preparar el Parfait de Avena, Yogur y Frutas, añade la avena y el agua en una cacerola y hierve hasta que esté cocida. Agrega la esencia de vainilla y la miel, revuelve una vez y deja enfriar. Coloca la avena cocida en un vaso alto, agrega el yogur. Cúbrelo con hojuelas de trigo para darle al Parfait de Avena, Yogur y Frutas un sabor crujiente. Agrega algunas frutas cortadas. Repite las capas hasta llenar el vaso a 3/4. Cubre el parfait con más frutas. Sirve esta receta de Parfait de Avena, Yogur y Frutas inmediatamente para disfrutar de la crujiente bondad de las hojuelas de trigo, la dulce avena cocida y las frutas. Sirve el Parfait de Avena, Yogur y Frutas con una taza caliente de Masala Chai para desayunar.</t>
  </si>
  <si>
    <t>Pour commencer à préparer le parfait au yaourt et à l'avoine avec des fruits, ajoutez les flocons d'avoine et l'eau dans une casserole et faites bouillir jusqu'à ce qu'ils soient cuits. Ajoutez l'essence de vanille et le miel, remuez une fois et laissez refroidir. Placez les flocons d'avoine cuits dans un grand verre, ajoutez le yaourt. Complétez avec des flocons de blé qui donneront au parfait au yaourt et à l'avoine avec des fruits un goût croquant. Ajoutez quelques fruits coupés. Répétez la superposition jusqu'à ce que vous remplissiez le verre aux 3/4. Garnissez le parfait avec plus de fruits. Servez cette recette de parfait au yaourt et à l'avoine avec des fruits immédiatement pour profiter du croquant des flocons de blé, de l'avoine cuite sucrée et des fruits. Servez la recette de parfait au yaourt et à l'avoine avec des fruits avec une tasse chaude de Masala Chai au petit-déjeuner.</t>
  </si>
  <si>
    <t>http://www.archanaskitchen.com/oats-yogurt-parfait-with-fruits-recipe</t>
  </si>
  <si>
    <t>Eggless Date &amp; Walnut Oatmeal Cake Recipe</t>
  </si>
  <si>
    <t>Rezept für Haferflockenkuchen mit Datteln und Walnüssen ohne Ei</t>
  </si>
  <si>
    <t>Recette de gâteau à l'avoine aux dattes et aux noix sans œufs</t>
  </si>
  <si>
    <t>Receta de pastel de avena con dátiles y nueces sin huevo</t>
  </si>
  <si>
    <t>1-1/4 tasse de farine tout usage (Maida), 1-1/2 cuillère à café de levure chimique, 1/4 cuillère à café de sel, 1/2 tasse de cassonade (sucre Demerara), 1/2 tasse de tartinade classique Nutralite, 3/4 tasse de flocons d'avoine, 1 tasse d'eau chaude, 1 tasse de dattes dénoyautées, 1 tasse de noix hachées, 1 cuillère à soupe de poudre de graines de lin (farine de lin), 3 cuillères à soupe d'eau glacée</t>
  </si>
  <si>
    <t>1-1/4 cups All Purpose Flour (Maida),1-1/2 teaspoon Baking powder,1/4 teaspoon Salt,1/2 cup Brown Sugar (Demerara Sugar),1/2 cup Nutralite Classic Spread,3/4 cup Rolled Oats,1 cup Hot water,1 cup Dates - pitted,1 cup Walnuts - chopped,1 tablespoon Flax seed powder (flax meal),3 tablespoons Chilled water</t>
  </si>
  <si>
    <t>1-1/4 tazas de harina para todo uso (Maida), 1-1/2 cucharadita de polvo para hornear, 1/4 cucharadita de sal, 1/2 taza de azúcar morena (azúcar Demerara), 1/2 taza de crema untable Nutralite Classic, 3/4 taza de avena arrollada, 1 taza de agua caliente, 1 taza de dátiles sin hueso, 1 taza de nueces picadas, 1 cucharada de polvo de semillas de lino (harina de lino), 3 cucharadas de agua fría</t>
  </si>
  <si>
    <t xml:space="preserve">To begin making the Date and Walnut Oatmeal Cake Recipe, we will first preheat oven to 180°C. Grease a loaf pan or a springform pan with Nutralite classic and dust it with flour. Keep this aside.Soak the dates in the boiling water for about 15 minutes until all the water is absorbed and the dates have become soft.To make the Flax Meal Egg Replacer If your recipe asks for 1 eggs, measure 3 tablespoons of flax meal along with 6 tablespoons of water. Stir well and let the mixture rest for about 15 minutes. This process of resting helps the flax meal mixture develop a gelatinous consistency similar to eggs.To make the BatterSift flour and baking power and keep it aside.In the large bowl or the bowl of the stand mixer, add in the flax meal egg replacer, Nutralite Classic Spread and sugar and beat well until fluffy.Next add in oats, walnuts, the date mixture and beat well again. Finally add in the flour mixture and beat until all the flour and the remaining ingredients have been well combined.Spoon the oatmeal date walnut cake mixture into the prepared greased pan and bake in the preheated oven for about 40 to 45 minutes until a tester when inserted into the centre of the cake comes out clean. Serve the Date Walnut and Oatmeal cake recipe as a snack along with a cup of hot milk as a wholesome snack after school.
</t>
  </si>
  <si>
    <t>Para comenzar a hacer la Receta de Pastel de Avena con Dátiles y Nueces, primero precalentaremos el horno a 180°C. Engrasa un molde para pan o un molde desmontable con Nutralite classic y espolvoréalo con harina. Mantén esto a un lado. Remoja los dátiles en agua hirviendo durante unos 15 minutos hasta que toda el agua se absorba y los dátiles se hayan ablandado. Para hacer el Sustituto de Huevo con Harina de Lino Si tu receta pide 1 huevo, mide 3 cucharadas de harina de lino junto con 6 cucharadas de agua. Revuelve bien y deja reposar la mezcla durante unos 15 minutos. Este proceso de reposo ayuda a que la mezcla de harina de lino desarrolle una consistencia gelatinosa similar a los huevos. Para hacer la MasaTamiza la harina y el polvo para hornear y déjalo a un lado. En un tazón grande o en el tazón de la batidora de pie, agrega el sustituto de huevo con harina de lino, la crema untable Nutralite Classic y el azúcar y bate bien hasta que quede esponjoso. Luego agrega la avena, las nueces, la mezcla de dátiles y vuelve a batir bien. Finalmente, agregue la mezcla de harina y bata hasta que toda la harina y los ingredientes restantes estén bien combinados. Vierta la mezcla de avena, dátiles y nueces en el molde engrasado preparado y hornee en el horno precalentado durante unos 40 a 45 minutos hasta que al insertar un palillo en el centro del pastel, este salga limpio. Sirva la receta de pastel de dátiles, nueces y avena como refrigerio junto con una taza de leche caliente como un refrigerio saludable después de la escuela.</t>
  </si>
  <si>
    <t>Pour commencer à préparer la recette du gâteau à l'avoine aux dattes et aux noix, nous allons d'abord préchauffer le four à 180 °C. Graisser un moule à pain ou un moule à charnière avec du Nutralite classique et le saupoudrer de farine. Garder cela de côté. Faire tremper les dattes dans l'eau bouillante pendant environ 15 minutes jusqu'à ce que toute l'eau soit absorbée et que les dattes soient devenues molles. Pour préparer le substitut d'œuf à la farine de lin Si votre recette demande 1 œuf, mesurez 3 cuillères à soupe de farine de lin avec 6 cuillères à soupe d'eau. Bien mélanger et laisser reposer le mélange pendant environ 15 minutes. Ce processus de repos aide le mélange de farine de lin à développer une consistance gélatineuse semblable à celle des œufs. Pour préparer la pâte Tamiser la farine et la levure chimique et les réserver. Dans le grand bol ou le bol du batteur sur socle, ajouter le substitut d'œuf à la farine de lin, la tartinade Nutralite classique et le sucre et bien battre jusqu'à consistance mousseuse. Ajouter ensuite les flocons d'avoine, les noix, le mélange de dattes et bien battre à nouveau. Ajoutez enfin le mélange de farine et battez jusqu'à ce que toute la farine et les ingrédients restants soient bien mélangés. Versez le mélange de gâteau aux dattes et aux noix d'avoine dans le moule graissé préparé et faites cuire au four préchauffé pendant environ 40 à 45 minutes jusqu'à ce qu'un testeur inséré au centre du gâteau en ressorte propre. Servez la recette de gâteau aux dattes, aux noix et à l'avoine comme collation avec une tasse de lait chaud comme collation saine après l'école.</t>
  </si>
  <si>
    <t>https://www.archanaskitchen.com/date-walnut-oatmeal-cake-recipe-with-eggless-option</t>
  </si>
  <si>
    <t>Muesli Pumpkin Bread Recipe</t>
  </si>
  <si>
    <t>Müsli-Kürbisbrot-Rezept</t>
  </si>
  <si>
    <t>Recette de pain à la citrouille et au muesli</t>
  </si>
  <si>
    <t>Receta de pan de muesli y calabaza</t>
  </si>
  <si>
    <t>1/2 tasse de farine tout usage (Maida), 1/2 tasse de farine de blé entier, 1/2 tasse de muesli, 1/2 tasse de flocons d'avoine instantanés (gruau), 1 cuillère à café de levure chimique, 1 cuillère à café de cannelle en poudre (Dalchini), 1 cuillère à café de gingembre sec en poudre, 2 cuillères à café de cannelle en poudre (Dalchini), 1/2 cuillère à café de sel, 1/2 tasse de Kaddu (Parangikai/citrouille) - râpé, 1/2 tasse de jaggery, 1/4 tasse d'huile d'olive extra vierge, 2 œufs entiers, 1/2 tasse de lait, 1 cuillère à café d'extrait de vanille</t>
  </si>
  <si>
    <t>1/2 cups All Purpose Flour (Maida),1/2 cup Whole Wheat Flour,1/2 cup Muesli,1/2 cup Instant Oats (Oatmeal),1 teaspoon Baking powder,1 teaspoon Cinnamon Powder (Dalchini),1 teaspoon Dry ginger powder,2 teaspoons Cinnamon Powder (Dalchini),1/2 teaspoon Salt,1/2 cup Kaddu (Parangikai/ Pumpkin) - shredded,1/2 cup Jaggery,1/4 cup Extra Virgin Olive Oil,2 Whole Eggs,1/2 cup Milk,1 teaspoon Vanilla Extract</t>
  </si>
  <si>
    <t>1/2 taza de harina para todo uso (Maida), 1/2 taza de harina integral, 1/2 taza de muesli, 1/2 taza de avena instantánea (avena), 1 cucharadita de polvo para hornear, 1 cucharadita de canela en polvo (dalchini), 1 cucharadita de jengibre seco en polvo, 2 cucharaditas de canela en polvo (dalchini), 1/2 cucharadita de sal, 1/2 taza de Kaddu (Parangikai/calabaza) - rallado, 1/2 taza de jaggery, 1/4 taza de aceite de oliva virgen extra, 2 huevos enteros, 1/2 taza de leche, 1 cucharadita de extracto de vainilla</t>
  </si>
  <si>
    <t>We begin making the Muesli Pumpkin Bread Recipe by pre heating the oven at 200 degree Celsius for about 10 minutes. Keep your loaf pan ready by layering it with parchment paper.Now in a mixing bowl, add in all the dry ingredients and mix it well. Then slowly add in the egg whites and oil along with the vanilla essence.Add in the grated pumpkin, spice powders, jaggery and butter milk. You will get quite a thick batter. Add in a pinch of salt and mix well.Gently pour into your loaf pan and hit it so that the batter is evenly spread. Bake it in the oven for about 45 minutes till it is done. You can insert a knife to check if the bread is cooked, if it comes cleanly then it is done. Serve the Muesli Pumpkin Bread Recipe as a Tea Time Snack</t>
  </si>
  <si>
    <t>Comenzamos haciendo la Receta de Pan de Calabaza con Muesli precalentando el horno a 200 grados Celsius durante unos 10 minutos. Mantenga su molde para pan listo cubriéndolo con papel pergamino. Ahora, en un tazón, agregue todos los ingredientes secos y mezcle bien. Luego, agregue lentamente las claras de huevo y el aceite junto con la esencia de vainilla. Agregue la calabaza rallada, las especias en polvo, el azúcar moreno y el suero de mantequilla. Obtendrá una masa bastante espesa. Agregue una pizca de sal y mezcle bien. Vierta suavemente en su molde para pan y golpéelo para que la masa se extienda uniformemente. Hornee en el horno durante unos 45 minutos hasta que esté listo. Puede insertar un cuchillo para verificar si el pan está cocido, si sale limpio, entonces está listo. Sirva la Receta de Pan de Calabaza con Muesli como un refrigerio para la hora del té</t>
  </si>
  <si>
    <t>Nous commençons à préparer la recette du pain au potiron et au muesli en préchauffant le four à 200 degrés Celsius pendant environ 10 minutes. Préparez votre moule à cake en le recouvrant de papier sulfurisé. Dans un saladier, ajoutez tous les ingrédients secs et mélangez bien. Ajoutez ensuite lentement les blancs d'œufs et l'huile ainsi que l'essence de vanille. Ajoutez le potiron râpé, les épices en poudre, le jaggery et le babeurre. Vous obtiendrez une pâte assez épaisse. Ajoutez une pincée de sel et mélangez bien. Versez délicatement dans votre moule à cake et tapotez-le pour que la pâte soit uniformément répartie. Faites cuire au four pendant environ 45 minutes jusqu'à ce qu'il soit cuit. Vous pouvez insérer un couteau pour vérifier la cuisson du pain ; s'il ressort proprement, il est cuit. Servez la recette du pain au potiron et au muesli comme collation à l'heure du thé.</t>
  </si>
  <si>
    <t>https://www.archanaskitchen.com/muesli-pumpkin-bread-recipe</t>
  </si>
  <si>
    <t>Creamy Cabbage, Sweet Corn Cole Slaw with Hung Curd Recipe</t>
  </si>
  <si>
    <t>Rezept für cremigen Krautsalat mit süßem Mais und aufgehängtem Quark</t>
  </si>
  <si>
    <t>Recette de salade de chou crémeuse au maïs doux et au caillé de maïs</t>
  </si>
  <si>
    <t>Receta de ensalada de col cremosa con maíz dulce y cuajada de maíz</t>
  </si>
  <si>
    <t>1 tasse de chou (Patta Gobi/Muttaikose) - râpé, 1/2 tasse de maïs doux, 3 brins d'oignons verts de printemps, 1/2 tasse de yaourt grec (Hung Curd), 1 cuillère à café de poudre de poivre noir, 1 cuillère à café d'origan séché, 1 cuillère à café de flocons de piment rouge, sel - au goût</t>
  </si>
  <si>
    <t>1 cup Cabbage (Patta Gobi/ Muttaikose) - shredded,1/2 cup Sweet corn,3 sprig Spring Onion Greens,1/2 cup Hung Curd (Greek Yogurt),1 teaspoon Black pepper powder,1 teaspoon Dried oregano,1 teaspoon Red Chilli flakes,Salt - to taste</t>
  </si>
  <si>
    <t>1 taza de repollo (Patta Gobi/Muttaikose) rallado, 1/2 taza de maíz dulce, 3 ramitas de cebolleta, 1/2 taza de yogur griego, 1 cucharadita de pimienta negra en polvo, 1 cucharadita de orégano seco, 1 cucharadita de hojuelas de chile rojo, sal al gusto</t>
  </si>
  <si>
    <t xml:space="preserve">To begin making the Creamy Cabbage, Sweet Corn Cole Slaw with Hung Curd Recipe we will, add the curd, seasoning and salt and whip till it well combines.Add in the all the freshly chopped vegetables and mix well. Coat it evenly till the curd is mixed with vegetables and taste if you need any more salt.Serve the Creamy Cabbage, Sweet Corn Cole Slaw with Hung Curd Recipe along with Healthy Black Bean Burger Recipe or a Cheesy Spaghetti Pasta Pie Recipe.
</t>
  </si>
  <si>
    <t>Para preparar la ensalada de col cremosa con maíz dulce y cuajada, añadiremos la cuajada, los condimentos y la sal, y batiremos hasta que esté bien integrada. Incorporaremos todas las verduras recién picadas y mezclaremos bien. Cubriremos uniformemente hasta que la cuajada se integre con las verduras y probaremos si necesita más sal. Sirva la ensalada de col cremosa con maíz dulce y cuajada junto con la hamburguesa saludable de frijoles negros o el pastel de pasta con espaguetis y queso.</t>
  </si>
  <si>
    <t>Pour commencer la recette de salade de chou crémeuse au chou et au maïs doux avec du lait caillé, ajoutez le lait caillé, l'assaisonnement et le sel, puis fouettez jusqu'à ce que le mélange soit homogène. Ajoutez tous les légumes fraîchement coupés et mélangez bien. Enrobez uniformément jusqu'à ce que le lait caillé soit bien mélangé aux légumes. Goûtez si besoin de sel. Servez la salade de chou crémeuse au chou et au maïs doux avec du lait caillé accompagné d'un burger aux haricots noirs sain ou d'une tourte aux spaghettis et au fromage.</t>
  </si>
  <si>
    <t>https://www.archanaskitchen.com/creamy-cabbage-sweet-corn-cole-slaw-with-hung-curd-recipe</t>
  </si>
  <si>
    <t>Roasted Beet &amp; Walnut Dip Recipe</t>
  </si>
  <si>
    <t>Rezept für Dip aus gerösteten Rüben und Walnüssen</t>
  </si>
  <si>
    <t>Recette de trempette aux betteraves rôties et aux noix</t>
  </si>
  <si>
    <t>Receta de salsa de remolacha asada y nueces</t>
  </si>
  <si>
    <t>2 betteraves pelées, 1 gousse d'ail, 2 oignons nouveaux (bulbes et feuilles) finement hachés, 1 cuillère à soupe d'huile d'olive extra vierge, 1 cuillère à café de grains de poivre noir entiers, 1/2 tasse de noix hachées, 1/2 cuillère à café de cumin en poudre (Jeera), sel au goût, 1 jus de citron, 2 brins de coriandre (Dhania)</t>
  </si>
  <si>
    <t>2 Beetroot - peeled,1 clove Garlic,2 Spring Onion (Bulb &amp; Greens) - finely chopped,1 tablespoon Extra Virgin Olive Oil,1 teaspoon Whole Black Peppercorns,1/2 cup Walnuts - chopped,1/2 teaspoon Cumin powder (Jeera),Salt - to taste,1 Lemon juice,2 sprig Coriander (Dhania) Leaves</t>
  </si>
  <si>
    <t>2 remolachas peladas, 1 diente de ajo, 2 cebolletas (bulbo y hojas verdes) finamente picadas, 1 cucharada de aceite de oliva virgen extra, 1 cucharadita de granos de pimienta negra enteros, 1/2 taza de nueces picadas, 1/2 cucharadita de comino en polvo (Jeera), sal al gusto, jugo de 1 limón, 2 ramitas de hojas de cilantro (Dhania)</t>
  </si>
  <si>
    <t xml:space="preserve">To begin making the Roasted Beet and Walnut Dip or Spread Recipe, steam the peeled beets. I like steaming the beets before roasting them, as it cuts down the time taken to roast the beets. Roasting the beetroots can be done on the stovetop in a wok or in the oven. The process of roasting brings out the rustic flavors of the vegetable.Heat a tablespoon of olive oil in a wok; add in the garlic cloves, the spring onions and the steamed beet roots. Stir fry on medium high heat until you get a nice roasted flavors from the beet. The process will not take more than 4 to 5 minutes.Once the beetroots are well roasted, we will blend the roasted beets along with the remaining ingredients, including the juice from one lemon and pulse to get a slightly coarse, almost smooth dip (spread).You can drizzle in some olive oil while pulsing to give it a smoother texture.Transfer the dip to a serving dish and stir in the chopped coriander leaves. Check the salt and spice levels and adjust to suit your taste. You can use the Roasted Beet &amp; Walnut Dip as a spread for kids sandwiches or even wraps. It tastes delicious and is wholesome too.Serve the Roasted Beet &amp; Walnut Dip Recipe along with Homemade pita bread to enjoy your Snack.
</t>
  </si>
  <si>
    <t>Para empezar a preparar la receta de dip o crema de remolacha asada y nueces, cocine al vapor las remolachas peladas. Me gusta cocerlas al vapor antes de asarlas, ya que así se reduce el tiempo de cocción. Se puede asar la remolacha en un wok o en el horno. El proceso de asado realza los sabores rústicos de la verdura. Caliente una cucharada de aceite de oliva en un wok; agregue los dientes de ajo, las cebolletas y las remolachas al vapor. Saltee a fuego medio-alto hasta que la remolacha adquiera un agradable sabor tostado. El proceso no tomará más de 4 a 5 minutos. Una vez que las remolachas estén bien asadas, las licuaremos junto con el resto de los ingredientes, incluyendo el jugo de un limón, y pulsaremos para obtener una salsa ligeramente gruesa, casi suave. Puedes rociar un poco de aceite de oliva mientras pulsas para darle una textura más suave. Transfiere la salsa a una fuente y agrega las hojas de cilantro picadas. Comprueba los niveles de sal y especias y ajusta a tu gusto. Puedes usar la salsa de remolacha asada y nueces como untable para sándwiches infantiles o incluso wraps. Sabe deliciosa y también es saludable. Sirve la receta de salsa de remolacha asada y nueces junto con pan pita casero para disfrutar de tu refrigerio.</t>
  </si>
  <si>
    <t>Pour préparer la recette de trempette ou de tartinade de betteraves rôties et de noix, faites cuire les betteraves épluchées à la vapeur. J'aime bien les cuire à la vapeur avant de les rôtir, car cela réduit le temps de cuisson. Vous pouvez rôtir les betteraves à la poêle, dans un wok ou au four. La cuisson au four fait ressortir les saveurs rustiques du légume. Faites chauffer une cuillère à soupe d'huile d'olive dans un wok ; ajoutez les gousses d'ail, les oignons nouveaux et les betteraves cuites à la vapeur. Faites revenir à feu moyen-vif jusqu'à ce que les betteraves dégagent de belles saveurs grillées. L'opération ne prendra pas plus de 4 à 5 minutes. Une fois les betteraves bien rôties, mixez-les avec le reste des ingrédients, dont le jus d'un citron, et mixez par impulsions pour obtenir une sauce légèrement granuleuse, presque lisse. Vous pouvez ajouter un filet d'huile d'olive tout en mixant par impulsions pour une texture plus onctueuse. Transférez la sauce dans un plat de service et incorporez les feuilles de coriandre hachées. Vérifiez les niveaux de sel et d'épices et ajustez-les à votre goût. Vous pouvez utiliser la trempette betteraves rôties et noix pour tartiner des sandwichs pour enfants ou même des wraps. Elle est délicieuse et saine. Servez la recette de trempette betteraves rôties et noix avec du pain pita maison pour savourer votre collation.</t>
  </si>
  <si>
    <t>https://www.archanaskitchen.com/roasted-beet-and-walnut-dip-recipe</t>
  </si>
  <si>
    <t>Spinach And Sweet Potato Kofta In Green Curry Recipe</t>
  </si>
  <si>
    <t>Spinat- und Süßkartoffel-Kofta in grünem Curry-Rezept</t>
  </si>
  <si>
    <t>Recette de kofta aux épinards et patates douces au curry vert</t>
  </si>
  <si>
    <t>Receta de kofta de espinacas y boniato con curry verde</t>
  </si>
  <si>
    <t>2 patates douces - peau pelée et coupée en morceaux, 1 tasse d'épinards - hachés, 2 cuillères à soupe de farine de pois chiche (besan), 1 oignon - haché, 4 gousses d'ail - hachées, 1 cuillère à café de feuilles de thym séchées, 2 cuillères à café d'origan séché, 2 cuillères à café de flocons de piment rouge, 1 cuillère à café de poudre de poivre noir, 1 jus de citron, sel - au goût, huile de tournesol, 1/2 tasse de feuilles de coriandre (Dhania), 1/2 tasse de feuilles de menthe (Pudina), 4 gousses d'ail, 1 cuillère à café de poudre de poivre noir, 1/2 cuillère à café de poudre de cumin (Jeera), 1 flocon de piment rouge, 2 cuillères à café d'origan séché, sel - au goût, 1/2 tasse de lait de coco</t>
  </si>
  <si>
    <t>2 Sweet Potatoes - skin peeled and cut into chunks,1 cup Spinach - chopped,2 tablespoons Gram flour (besan),1 Onion - chopped,4 cloves Garlic - chopped,1 teaspoon Dried Thyme Leaves,2 teaspoons Dried oregano,2 teaspoon Red Chilli flakes,1 teaspoon Black pepper powder,1 Lemon juice,Salt - to taste,Sunflower Oil,1/2 cup Coriander (Dhania) Leaves,1/2 cup Mint Leaves (Pudina),4 cloves Garlic,1 teaspoon Black pepper powder,1/2 teaspoon Cumin powder (Jeera),1 Red Chilli flakes,2 teaspoons Dried oregano,Salt - to taste,1/2 cup Coconut milk</t>
  </si>
  <si>
    <t>2 batatas (peladas y cortadas en trozos), 1 taza de espinacas picadas, 2 cucharadas de harina de garbanzos (besan), 1 cebolla picada, 4 dientes de ajo picados, 1 cucharadita de hojas de tomillo seco, 2 cucharaditas de orégano seco, 2 cucharaditas de hojuelas de chile rojo, 1 cucharadita de pimienta negra en polvo, 1 jugo de limón, sal al gusto, aceite de girasol, 1/2 taza de hojas de cilantro (Dhania), 1/2 taza de hojas de menta (Pudina), 4 dientes de ajo, 1 cucharadita de pimienta negra en polvo, 1/2 cucharadita de comino en polvo (Jeera), 1 hojuelas de chile rojo, 2 cucharaditas de orégano seco, sal al gusto, 1/2 taza de leche de coco</t>
  </si>
  <si>
    <t xml:space="preserve">To begin making the Spinach and Sweet Potato Kofta in Green Curry Recipe, we will boil the sweet potato in a pressure cooker with water for about 4 whistle. Till they are just soft. If you over boil the sweet potato then it will be hard to shape them to balls. Heat a kadai with oil, add chopped garlic and saute until they soften. Add chopped onions and saute them till they turn translucent.Add spinach leaves and saute till the spinach leaves leave out water and completely dries up. Add all the seasonings mentioned including dried thyme leaves, dried oregano, red chilli flakes and black pepper powder.Add in the cooked sweet potato and sprinkle salt according to your palate and also add besan flour.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Keep it aside.To make the CurryGrind the coriander leaves, mint leaves and garlic in a mixer with water to a smooth paste.Heat a big casserole and add the ground paste, with all the seasonings and add coconut milk. Leave it to boil.Check for salt and adjust the seasonings as per your requirements. Switch off the heat and add the koftas one by one and serve hot.Serve the Spinach and Sweet Potato Kofta in Green Curry Recipe along with Butter Garlic Naan Recipe and Kelfulachi Bhaji Recipe (Banana Floweret Stir Fry Recipe) for a complete meal.
</t>
  </si>
  <si>
    <t>Para comenzar a hacer la Receta de Kofta de Espinacas y Batata en Curry Verde, herviremos la batata en una olla a presión con agua durante aproximadamente 4 silbidos. Hasta que estén suaves. Si hierves demasiado la batata, será difícil darles forma de bolas. Calienta un kadai con aceite, agrega ajo picado y saltea hasta que se ablande. Agrega cebollas picadas y saltéalas hasta que se vuelvan translúcidas. Agrega hojas de espinaca y saltea hasta que las hojas de espinaca dejen fuera el agua y se sequen por completo. Agrega todos los condimentos mencionados, incluyendo hojas de tomillo secas, orégano seco, hojuelas de chile rojo y pimienta negra en polvo. Agrega la batata cocida y espolvorea sal según tu gusto y también agrega harina de besan. Usando un machacador de papas, tritúralas bien y combina la mezcla. Apaga el fuego y deja que se enfríe. Dales forma de bolas de tamaño mediano y déjalas a un lado. Calienta una sartén kuzhi paniyaram con un poco de aceite en cada cavidad. Coloca las bolas de kofta en las cavidades de la sartén; rocíalas con un poco de aceite y fríelas hasta que estén doradas por ambos lados. Dales la vuelta para que se frían uniformemente por todos lados. Reserva. Para preparar el curry: Muele las hojas de cilantro, las hojas de menta y el ajo en una batidora con agua hasta obtener una pasta suave. Calienta una cacerola grande y añade la pasta molida, todos los condimentos y la leche de coco. Deja que hierva. Rectifica la sal y los condimentos al gusto. Apaga el fuego, añade las koftas una a una y sirve caliente. Sirve la receta de kofta de espinacas y boniato al curry verde junto con la receta de naan de ajo y mantequilla y la receta de kelfulachi bhaji (salteado de flores de plátano) para una comida completa.</t>
  </si>
  <si>
    <t>Pour commencer à préparer la recette de Kofta aux épinards et patates douces au curry vert, nous allons faire bouillir la patate douce dans une cocotte-minute avec de l'eau pendant environ 4 minutes. Jusqu'à ce qu'elles soient tendres. Si vous faites trop bouillir la patate douce, il sera difficile de les façonner en boules. Chauffez un kadai avec de l'huile, ajoutez l'ail haché et faites-le revenir jusqu'à ce qu'il ramollisse. Ajoutez les oignons hachés et faites-les revenir jusqu'à ce qu'ils deviennent translucides. Ajoutez les feuilles d'épinards et faites-les revenir jusqu'à ce que les feuilles d'épinards laissent échapper de l'eau et sèchent complètement. Ajoutez tous les assaisonnements mentionnés, y compris les feuilles de thym séchées, l'origan séché, les flocons de piment rouge et la poudre de poivre noir. Ajoutez la patate douce cuite et saupoudrez de sel selon votre palais et ajoutez également la farine de besan. À l'aide d'un presse-purée, écrasez-les bien et mélangez le mélange. Éteignez le feu et laissez refroidir. Façonnez-les en boules de taille moyenne et réservez. Chauffez une poêle kuzhi paniyaram avec un peu d'huile dans chaque cavité. Placez les boules de kofta dans les cavités de la poêle ; Arrosez les koftas d'un filet d'huile et faites-les dorer des deux côtés. Retournez les boulettes de kofta pour qu'elles soient bien dorées. Réservez. Pour le curry : Broyez les feuilles de coriandre, les feuilles de menthe et l'ail dans un mixeur avec de l'eau jusqu'à obtenir une pâte lisse. Faites chauffer une grande casserole et ajoutez la pâte moulue, tous les assaisonnements et le lait de coco. Laissez bouillir. Vérifiez la quantité de sel et rectifiez l'assaisonnement selon vos préférences. Éteignez le feu, ajoutez les koftas un par un et servez chaud. Servez la recette de kofta aux épinards et patates douces au curry vert avec la recette de naan au beurre et à l'ail et la recette de Kelfulachi Bhaji (sauté de fleur de bananier) pour un repas complet.</t>
  </si>
  <si>
    <t>https://www.archanaskitchen.com/spinach-and-sweet-potato-kofta-in-green-curry-recipe</t>
  </si>
  <si>
    <t>Eggless Ragi &amp; Whole Wheat Crisp Biscuits Recipe</t>
  </si>
  <si>
    <t>Rezept für Ragi ohne Ei und knusprige Vollkornkekse</t>
  </si>
  <si>
    <t>Recette de ragi sans œufs et de biscuits croustillants aux céréales complètes</t>
  </si>
  <si>
    <t>Receta de ragi sin huevo y galletas crujientes de grano entero</t>
  </si>
  <si>
    <t>1/2 tasse de farine de ragi (millet des doigts/nagli), 1/2 tasse de farine de blé entier, 1/2 tasse de beurre - froid, 1/2 tasse de sucre - en poudre, 1 cuillère à café de levure chimique, 2 cuillères à soupe de lait - pour pétrir la pâte</t>
  </si>
  <si>
    <t>1/2 cup Ragi Flour (Finger Millet/ Nagli),1/2 cup Whole Wheat Flour,1/2 cup Butter - cold,1/2 cup Sugar - powdered,1 teaspoon Baking powder,2 tablespoons Milk - to knead the dough</t>
  </si>
  <si>
    <t>1/2 taza de harina de ragi (mijo de dedo/nagli), 1/2 taza de harina integral, 1/2 taza de mantequilla fría, 1/2 taza de azúcar en polvo, 1 cucharadita de polvo para hornear, 2 cucharadas de leche para amasar la masa</t>
  </si>
  <si>
    <t xml:space="preserve">To begin making the Eggless Ragi &amp; Whole Wheat Crisp Biscuits recipe, firstly roast the ragi flour in a cast iron pan on a medium low flame. Keep tossing for a few minutes until the aroma of roasted flour fills the air.In a mixing bowl, add sifted whole wheat flour and the roasted ragi flour.Also add sifted baking powder to the flour and give it a gentle mix.Refrigerate butter for 20 minutes and cut it into cubes. Add these butter cubes to the flour mix. Mix the flour with the butter with your finger tips till you get a coarse mixture. Add powdered sugar and mix.Add milk 1 tablespoon at a time and bring the mixture together like a dough. If you add too much liquid or too less liquid it will not hold the shape and will crumble.Cover it with a cling wrap and refrigerate for 15 to 20 minutes.Roll the dough on a flat counter using a roller pin. You may dust a little with wheat flour to prevent it from sticking.The rolled dough should not be very thin nor very thick, just right.Cut it into desired shapes. I am using a circular biscuit cutter, you can use cookie cutters or even lids.Place the biscuits on a greased baking sheet. You can use a sharp knife or spatula to lift it up. You can line the baking sheet with parchment paper. I am using a silicon mat to prevent sticking to the bottom.You can make striped design with a fork and bake it in a preheated oven on 180 degree C for 15 to 18 minutes in the middle rack until they acquire a slight brown colour.The biscuits will still me soft as you remove them from the oven. Let the cool down on a wire rack until they become crisp and delicious!Serve Eggless Ragi &amp; Whole Wheat Crisp Biscuits with a cup of Masala Chai and Paneer Tikka Wraps for a tea break with your friends and family.
</t>
  </si>
  <si>
    <t>Para comenzar a hacer la receta de Ragi sin huevo y galletas crujientes de trigo integral, primero tuesta la harina de ragi en una sartén de hierro fundido a fuego medio bajo. Sigue revolviendo durante unos minutos hasta que el aroma de la harina tostada llene el aire. En un tazón, agrega la harina de trigo integral tamizada y la harina de ragi tostada. También agrega el polvo de hornear tamizado a la harina y mézclalo suavemente. Refrigera la mantequilla durante 20 minutos y córtala en cubos. Agrega estos cubos de mantequilla a la mezcla de harina. Mezcla la harina con la mantequilla con las puntas de los dedos hasta obtener una mezcla gruesa. Agrega el azúcar en polvo y mezcla. Agrega la leche 1 cucharada a la vez y junta la mezcla como una masa. Si agrega demasiado líquido o muy poco líquido, no mantendrá la forma y se desmoronará. Cúbrelo con una envoltura adhesiva y refrigera durante 15 a 20 minutos. Extiende la masa sobre una encimera plana con un rodillo. Puedes espolvorear un poco con harina de trigo para evitar que se pegue. La masa no debe ser ni muy fina ni muy gruesa, solo del grosor adecuado. Córtala en las formas deseadas. Yo uso un cortador de galletas circular, puedes usar cortadores de galletas o incluso tapas. Coloca las galletas en una bandeja para hornear engrasada. Puedes usar un cuchillo afilado o una espátula para levantarlas. Puedes forrar la bandeja con papel de horno. Yo uso una estera de silicona para evitar que se peguen al fondo. Puedes hacer un diseño de rayas con un tenedor y hornearlas en un horno precalentado a 180 grados C durante 15 a 18 minutos en la rejilla del medio hasta que adquieran un ligero color marrón. Las galletas aún estarán blandas al sacarlas del horno. ¡Deja que se enfríen sobre una rejilla hasta que estén crujientes y deliciosas! Sirve Ragi sin huevo y galletas crujientes de trigo integral con una taza de Masala Chai y Wraps de Paneer Tikka para una pausa de té con tus amigos y familiares.</t>
  </si>
  <si>
    <t>Pour commencer à préparer la recette de ragi sans œufs et de biscuits croustillants au blé entier, faites d'abord rôtir la farine de ragi dans une poêle en fonte à feu moyen-doux. Continuez à remuer pendant quelques minutes jusqu'à ce que l'arôme de la farine grillée remplisse l'air. Dans un saladier, ajoutez la farine de blé entier tamisée et la farine de ragi grillé. Ajoutez également la levure chimique tamisée à la farine et mélangez délicatement. Réfrigérez le beurre pendant 20 minutes et coupez-le en cubes. Ajoutez ces cubes de beurre au mélange de farine. Mélangez la farine avec le beurre du bout des doigts jusqu'à obtenir un mélange grossier. Ajoutez le sucre en poudre et mélangez. Ajoutez le lait 1 cuillère à soupe à la fois et rassemblez le mélange comme une pâte. Si vous ajoutez trop de liquide ou trop peu de liquide, il ne tiendra pas sa forme et s'effritera. Couvrez-le d'un film alimentaire et réfrigérez pendant 15 à 20 minutes. Roulez la pâte sur un plan de travail plat à l'aide d'un rouleau à pâtisserie. Vous pouvez saupoudrer légèrement de farine de blé pour éviter que la pâte ne colle. La pâte étalée ne doit être ni trop fine ni trop épaisse, juste ce qu'il faut. Découpez-la selon vos envies. J'utilise un emporte-pièce circulaire, vous pouvez utiliser des emporte-pièces ou même des couvercles. Placez les biscuits sur une plaque de cuisson graissée. Vous pouvez utiliser un couteau bien aiguisé ou une spatule pour les soulever. Vous pouvez recouvrir la plaque de cuisson de papier sulfurisé. J'utilise un tapis en silicone pour éviter que les biscuits ne collent au fond. Vous pouvez réaliser des rayures à la fourchette et cuire au four préchauffé à 180 °C pendant 15 à 18 minutes sur la grille du milieu, jusqu'à ce qu'ils prennent une légère coloration brune. Les biscuits seront encore moelleux à la sortie du four. Laissez-les refroidir sur une grille jusqu'à ce qu'ils soient croustillants et délicieux ! Servez ces biscuits croustillants au ragi sans œufs et au blé complet avec une tasse de chai masala et des wraps au paneer tikka pour une pause thé entre amis ou en famille.</t>
  </si>
  <si>
    <t>http://www.archanaskitchen.com/eggless-ragi-whole-wheat-crisp-biscuits-recipe</t>
  </si>
  <si>
    <t>Healthy Spicy Banana Cake Recipe</t>
  </si>
  <si>
    <t>Rezept für gesunden, würzigen Bananenkuchen</t>
  </si>
  <si>
    <t>Recette de gâteau à la banane sain et épicé</t>
  </si>
  <si>
    <t>Receta de pastel de plátano saludable y picante</t>
  </si>
  <si>
    <t>2 tasses de farine de blé entier, 1 cuillère à café de levure chimique, 3/4 cuillère à café de bicarbonate de soude, 1/4 cuillère à café de sel, 1 cuillère à café de cannelle en poudre (Dalchini), 1 cuillère à café de noix de muscade en poudre, 1/2 tasse de cassonade (sucre Demerara), 1/2 tasse d'huile de canola, 3/4 tasse de caillé (Dahi / Yaourt), 1-1/2 bananes mûres, 1 cuillère à soupe de graines de chia, 1/2 cuillère à café d'extrait de vanille, 2 cuillères à soupe de graines de tournesol - et quelques autres pour saupoudrer sur le dessus, 3 cuillères à soupe de noix - hachées</t>
  </si>
  <si>
    <t>2 cup Whole Wheat Flour,1 teaspoon Baking powder,3/4 teaspoon Baking soda,1/4 teaspoon Salt,1 teaspoon Cinnamon Powder (Dalchini),1 teaspoon Nutmeg powder,1/2 cup Brown Sugar (Demerara Sugar),1/2 cup Canola Oil,3/4 cup Curd (Dahi / Yogurt),1-1/2 Ripe Bananas,1 tablespoon Chia Seeds,1/2 teaspoon Vanilla Extract,2 tablespoon Sunflower seeds - and few more for sprinkling on top,3 tablespoon Walnuts - chopped</t>
  </si>
  <si>
    <t>2 tazas de harina integral, 1 cucharadita de polvo para hornear, 3/4 cucharadita de bicarbonato de sodio, 1/4 cucharadita de sal, 1 cucharadita de canela en polvo (dalchini), 1 cucharadita de nuez moscada en polvo, 1/2 taza de azúcar morena (azúcar demerara), 1/2 taza de aceite de canola, 3/4 taza de cuajada (dahi/yogur), 1-1/2 plátanos maduros, 1 cucharada de semillas de chía, 1/2 cucharadita de extracto de vainilla, 2 cucharadas de semillas de girasol y algunas más para espolvorear por encima, 3 cucharadas de nueces picadas</t>
  </si>
  <si>
    <t xml:space="preserve">To begin making the Healthy Spicy Banana Cake Recipe, get the all ingredients ready. Preheat oven at 180 degrees C. Grease a 9 inch baking loaf tin with oil.Sift  the flour along with baking powder, baking soda and salt into a mixing bowl.Add cinnamon powder and grated nutmeg. In another mixing bowl beat sugar and oil. Later add curd once sugar is dissolved.In the mixer put in banana and chia seeds and blend them to a puree.Add this puree in the oil sugar curd mixture and mix well. Add vanilla essence.Now add the dry ingredients in the wet ingredients' bowl in parts. Cut and fold the mixture.If the mixture looks too dry add little milk at a time. Cake batter using whole wheat flour is thicker than that of all purpose flour.   Add sunflower seeds and chopped walnuts in the batter.Pour the batter in the greased baking pan. Tap the baking pan to avoid air bubbles. Sprinkle Sunflower seeds on the top and bake in preheated oven for about 35-40 minutes.Check the readiness with the toothpick. Toothpick comes out clean is the indication that cake is baked.Cool the cake on wire rack.Serve Healthy Spicy Banana Cake Recipe along with Fresh Figs Strawberry and Banana Smoothie Recipe for an evening snack.
</t>
  </si>
  <si>
    <t>Para comenzar a hacer la Receta de Pastel de Plátano Picante Saludable, prepare todos los ingredientes. Precaliente el horno a 180 grados C. Engrase un molde para pan de 9 pulgadas con aceite. Tamice la harina junto con el polvo para hornear, el bicarbonato de sodio y la sal en un tazón. Agregue la canela en polvo y la nuez moscada rallada. En otro tazón, bata el azúcar y el aceite. Luego agregue la cuajada una vez que el azúcar se haya disuelto. En la batidora, coloque el plátano y las semillas de chía y mézclelos hasta formar un puré. Agregue este puré a la mezcla de aceite, azúcar y cuajada y mezcle bien. Agregue la esencia de vainilla. Ahora agregue los ingredientes secos en el tazón de los ingredientes húmedos en partes. Corte y doble la mezcla. Si la mezcla se ve demasiado seca, agregue un poco de leche a la vez. La masa de pastel con harina integral es más espesa que la de harina para todo uso. Agregue semillas de girasol y nueces picadas a la masa. Vierta la masa en el molde para hornear engrasado. Golpee el molde para hornear para evitar burbujas de aire. Espolvorea semillas de girasol por encima y hornea en horno precalentado durante unos 35-40 minutos. Comprueba que esté listo con un palillo. Si sale limpio, significa que el pastel está listo. Deja enfriar sobre una rejilla. Sirve la receta de pastel de plátano picante saludable junto con la receta de batido de fresa, plátano e higos frescos para una merienda.</t>
  </si>
  <si>
    <t>Pour commencer à préparer la recette de gâteau aux bananes épicé et sain, préparez tous les ingrédients. Préchauffez le four à 180 degrés C. Graissez un moule à cake de 9 pouces avec de l'huile. Tamisez la farine avec la levure chimique, le bicarbonate de soude et le sel dans un bol à mélanger. Ajoutez la cannelle en poudre et la muscade râpée. Dans un autre bol, battez le sucre et l'huile. Ajoutez ensuite le caillé une fois le sucre dissous. Dans le mixeur, mettez la banane et les graines de chia et mixez-les en purée. Ajoutez cette purée dans le mélange huile-sucre-caillé et mélangez bien. Ajoutez l'essence de vanille. Ajoutez maintenant les ingrédients secs dans le bol des ingrédients humides en plusieurs parties. Coupez et pliez le mélange. Si le mélange semble trop sec, ajoutez un peu de lait à la fois. La pâte à gâteau utilisant de la farine de blé entier est plus épaisse que celle de la farine tout usage. Ajoutez les graines de tournesol et les noix hachées dans la pâte. Versez la pâte dans le moule graissé. Tapotez le moule pour éviter les bulles d'air. Saupoudrez de graines de tournesol et faites cuire au four préchauffé pendant environ 35 à 40 minutes. Vérifiez la cuisson avec un cure-dent. Un cure-dent propre indique que le gâteau est cuit. Laissez refroidir le gâteau sur une grille. Servez la recette de gâteau épicé à la banane avec la recette de smoothie aux figues fraîches, aux fraises et à la banane pour une collation en soirée.</t>
  </si>
  <si>
    <t>https://www.archanaskitchen.com/healthy-spicy-banana-cake-recipe</t>
  </si>
  <si>
    <t>Whole Wheat Fruit and Nut Cup Cake Recipe</t>
  </si>
  <si>
    <t>Rezept für Vollkorn-Cupcakes mit Früchten und Nüssen</t>
  </si>
  <si>
    <t>Recette de cupcakes aux céréales complètes avec fruits et noix</t>
  </si>
  <si>
    <t>Receta de cupcakes integrales con frutas y frutos secos</t>
  </si>
  <si>
    <t>1 1/2 tasse de farine de blé entier, 1 cuillère à café de levure chimique, 1/2 cuillère à café de bicarbonate de soude, 1 cuillère à café de cannelle en poudre (Dalchini), 2 gousses/graines de cardamome (Elaichi) - pelées et graines écrasées, 1/2 tasse de jaggery, 1 tasse de lait, 1/2 tasse d'huile de tournesol, 1 cuillère à café d'extrait de vanille, 10 Badam (amandes) - hachées, 10 noix de cajou - hachées, 10 abricots - hachés</t>
  </si>
  <si>
    <t>1 1/2 cup Whole Wheat Flour,1 teaspoon Baking powder,1/2 teaspoon Baking soda,1 teaspoon Cinnamon Powder (Dalchini),2 Cardamom (Elaichi) Pods/Seeds - peeled and seeds crushed,1/2 cup Jaggery,1 cup Milk,1/2 cup Sunflower Oil,1 teaspoon Vanilla Extract,10 Badam (Almond) - chopped,10 Cashew nuts - chopped,10 Apricots - chopped</t>
  </si>
  <si>
    <t>1 1/2 taza de harina integral, 1 cucharadita de polvo para hornear, 1/2 cucharadita de bicarbonato de sodio, 1 cucharadita de canela en polvo (dalchini), 2 vainas/semillas de cardamomo (elaichi) peladas y trituradas, 1/2 taza de jaggery, 1 taza de leche, 1/2 taza de aceite de girasol, 1 cucharadita de extracto de vainilla, 10 Badam (almendras) picadas, 10 anacardos picados, 10 albaricoques picados</t>
  </si>
  <si>
    <t xml:space="preserve">To begin making the Whole Wheat Fruit and Nut Cup Cake Recipe mix all the liquid ingredients (milk, cooking oil, vanilla extract) in a bowl and by using a blender, blend them till the combine.Pre-heat your oven to 180 degree Celsius for about 10 minutes and leave it.In another bowl, mix all the dry ingredients and keep it ready.  Now carefully add the dry ingredients into the wet ingredients little by little and fold them.If you feel the batter is too thick you can add 1/2 a cup milk and add the nuts and fold them evenly. Do not over work with the batter much.Take your muffin tray and grease them with oil and sprinkle some flour and dust the pan out.By using an ice cream scoop, drop in the batter into the muffin molds and bake it in the oven for about 35 minutes till you see a golden color. If you insert a skewer into the muffin, it should come out cleanly. Serve the Whole Wheat Fruit and Nut Cup Cake Recipe along with a Rich Chocolate Brownies (Eggless option) Recipe and cup of Adrak Chai Recipe (Indian Style Ginger Tea ) to enjoy your evening snack.
</t>
  </si>
  <si>
    <t>Para comenzar a hacer la receta de pastel de frutas y nueces de trigo integral, mezcle todos los ingredientes líquidos (leche, aceite de cocina, extracto de vainilla) en un tazón y, usando una licuadora, mézclelos hasta que se combinen. Precaliente el horno a 180 grados Celsius durante unos 10 minutos y déjelo. En otro tazón, mezcle todos los ingredientes secos y manténgalo listo. Ahora agregue con cuidado los ingredientes secos a los ingredientes húmedos poco a poco y dóblelos. Si siente que la masa está demasiado espesa, puede agregar 1/2 taza de leche y agregar las nueces y doblarlas uniformemente. No trabaje demasiado con la masa. Tome su bandeja de muffins y engrásela con aceite y espolvoree un poco de harina y espolvoree la sartén. Con una cuchara para helado, coloque la masa en los moldes de muffins y hornéela en el horno durante unos 35 minutos hasta que vea un color dorado. Si inserta un palillo en el muffin, debe salir limpio. Sirva la receta de pastel de frutas y nueces integral junto con una receta de brownies de chocolate intenso (opción sin huevo) y una taza de Adrak Chai (té de jengibre al estilo indio) para disfrutar de su refrigerio vespertino.</t>
  </si>
  <si>
    <t>Pour commencer à préparer la recette de gâteau aux fruits et aux noix de blé entier, mélangez tous les ingrédients liquides (lait, huile de cuisson, extrait de vanille) dans un bol et, à l'aide d'un mixeur, mixez-les jusqu'à ce qu'ils soient combinés. Préchauffez votre four à 180 degrés Celsius pendant environ 10 minutes et laissez-le. Dans un autre bol, mélangez tous les ingrédients secs et réservez-le. Ajoutez maintenant délicatement les ingrédients secs aux ingrédients humides petit à petit et pliez-les. Si vous sentez que la pâte est trop épaisse, vous pouvez ajouter 1/2 tasse de lait et ajouter les noix et les plier uniformément. Ne travaillez pas trop la pâte. Prenez votre moule à muffins et graissez-les avec de l'huile, saupoudrez un peu de farine et dépoussiérez le moule. À l'aide d'une cuillère à glace, déposez la pâte dans les moules à muffins et faites-la cuire au four pendant environ 35 minutes jusqu'à ce que vous voyiez une couleur dorée. Si vous insérez une brochette dans le muffin, elle devrait ressortir propre. Servez la recette de gâteau aux fruits et aux noix au blé entier avec une recette de brownies au chocolat riches (option sans œufs) et une tasse de recette d'Adrak Chai (thé au gingembre à l'indienne) pour savourer votre collation du soir.</t>
  </si>
  <si>
    <t>http://www.archanaskitchen.com/whole-wheat-fruit-and-nut-cup-cake-recipe</t>
  </si>
  <si>
    <t>Upside Down Pear Ginger Cake Recipe</t>
  </si>
  <si>
    <t>Rezept für umgedrehten Birnen-Ingwer-Kuchen</t>
  </si>
  <si>
    <t>Recette de gâteau renversé aux poires et au gingembre</t>
  </si>
  <si>
    <t>Receta de pastel invertido de pera y jengibre</t>
  </si>
  <si>
    <t>1 tasse de farine de blé entier, 1/4 tasse de poudre d'amandes (poudre de badam), 1/2 tasse d'huile d'olive extra vierge, 1/2 tasse de caillé (dahi / yaourt), 1/2 tasse de sucre en poudre, 2 cuillères à soupe de miel, 2 cuillères à café de gingembre râpé, 1 cuillère à café de levure chimique, 3 poires tranchées, 1 cuillère à soupe de jus de citron, 4 cuillères à soupe de beurre (non salé), 4 cuillères à soupe de miel, 4 cuillères à soupe de sucre en poudre, 1 cuillère à café de gingembre râpé</t>
  </si>
  <si>
    <t>1 cup Whole Wheat Flour,1/4 cup Almond Meal (Badam Powder),1/2 cup Extra Virgin Olive Oil,1/2 cup Curd (Dahi / Yogurt),1/2 cup Caster Sugar,2 tablespoons Honey,2 teaspoons Ginger - grated,1 teaspoon Baking powder,3 Pears - sliced,1 tablespoon Lemon juice,4 tablespoons Butter (unsalted),4 tablespoons Honey,4 tablespoons Caster Sugar,1 teaspoon Ginger - grated</t>
  </si>
  <si>
    <t>1 taza de harina integral, 1/4 taza de harina de almendras (Badam en polvo), 1/2 taza de aceite de oliva virgen extra, 1/2 taza de cuajada (Dahi / yogur), 1/2 taza de azúcar extrafino, 2 cucharadas de miel, 2 cucharaditas de jengibre rallado, 1 cucharadita de polvo para hornear, 3 peras en rodajas, 1 cucharada de jugo de limón, 4 cucharadas de mantequilla (sin sal), 4 cucharadas de miel, 4 cucharadas de azúcar extrafino, 1 cucharadita de jengibre rallado</t>
  </si>
  <si>
    <t xml:space="preserve">To begin making Upside Down Pear Ginger Cake Recipe, in a saucepan add butter, honey, sugar and grated ginger. Let the syrup melt and cook until it becomes golden.While the syrup is cooking, prepare the cake tin or cast iron pan by lightly greasing it with butter and flouring it. Tap off the excess flour after its coated without disturbing the inner lining of the cake pan.Remove from heat and pour this syrup into the prepared cake tin or ovenproof frying pan.Arrange pear slices in the cake tin or frying pan which you are using. Set aside.Preheat oven to 350 degree F and grease. In a mixing bowl sift together whole wheat flour, baking powder.Add in ground almonds and set aside. In another mixing bowl beat together olive oil and sugar.Stir in yogurt, honey and ginger. Whisk to combine. Add the dry ingredients into the wet in two batches.Gently fold in all the ingredients to make a batter. Pour the cake batter on top of the pears and cover them completely.Tap on the kitchen counter to free the air gaps if any. Bake in preheated oven for about 35 to 40 minutes or until a skewer inserted into the centre comes out clean.Remove the cake from oven and allow it to cool. Loosen the sides with a knife and flip the cake onto serving plate.Slice and serve with ice cream. Serve Upside Down Pear Ginger Cake Recipe topped with ice cream along with Zucchini Parmesan Crisps (Chips) Recipe, Bombay Masala Sandwich Recipe With Rocket Leaves.
</t>
  </si>
  <si>
    <t>Para preparar la receta de pastel de pera y jengibre invertido, en una cacerola, añade mantequilla, miel, azúcar y jengibre rallado. Deja que el almíbar se derrita y cocina hasta que se dore. Mientras se cocina el almíbar, prepara el molde o sartén de hierro fundido engrasándolo ligeramente con mantequilla y enharinándolo. Escurre el exceso de harina una vez cubierto, sin dañar el revestimiento interior del molde. Retira del fuego y vierte el almíbar en el molde o sartén apto para horno. Coloca las rodajas de pera en el molde o sartén que estés usando. Reserva. Precalienta el horno a 175 °C y engrasa. En un bol, mezcla la harina integral y la levadura química. Agrega las almendras molidas y reserva. En otro bol, bate el aceite de oliva y el azúcar. Incorpora el yogur, la miel y el jengibre. Bate para integrar. Incorpora los ingredientes secos a los húmedos en dos tandas. Incorpora todos los ingredientes con movimientos envolventes para formar una masa. Vierta la masa del pastel sobre las peras y cúbralas por completo. Golpee suavemente sobre la encimera para eliminar las burbujas de aire, si las hubiera. Hornee en horno precalentado durante unos 35 a 40 minutos o hasta que al insertar un palillo en el centro, este salga limpio. Retire el pastel del horno y deje que se enfríe. Afloje los lados con un cuchillo y voltee el pastel sobre un plato para servir. Corte y sirva con helado. Sirva la receta de pastel de pera y jengibre invertido con helado, junto con las patatas fritas de calabacín y parmesano y el sándwich Bombay Masala con rúcula.</t>
  </si>
  <si>
    <t>Pour commencer la recette du gâteau renversé aux poires et au gingembre, ajoutez le beurre, le miel, le sucre et le gingembre râpé dans une casserole. Laissez fondre le sirop et cuire jusqu'à ce qu'il soit doré. Pendant la cuisson, préparez le moule à gâteau ou le plat en fonte en le beurrant légèrement et en le farinant. Tapotez pour retirer l'excédent de farine sans toucher à la paroi intérieure du moule. Retirez du feu et versez le sirop dans le moule ou le plat allant au four. Disposez les tranches de poire dans le moule ou le plat que vous utilisez. Réservez. Préchauffez le four à 175 °C et graissez-le. Dans un saladier, tamisez la farine complète et la levure chimique. Ajoutez les amandes moulues et réservez. Dans un autre saladier, battez l'huile d'olive et le sucre. Incorporez le yaourt, le miel et le gingembre. Fouettez pour mélanger. Ajoutez les ingrédients secs aux ingrédients humides en deux fois. Incorporez délicatement tous les ingrédients pour obtenir une pâte. Versez la pâte à gâteau sur les poires et recouvrez-les entièrement. Tapotez le plan de travail pour libérer les trous d'air éventuels. Faites cuire au four préchauffé pendant environ 35 à 40 minutes ou jusqu'à ce qu'une brochette insérée au centre en ressorte propre. Retirez le gâteau du four et laissez-le refroidir. Décollez les bords avec un couteau et retournez le gâteau sur une assiette de service. Tranchez et servez avec de la glace. Servez la recette du gâteau renversé aux poires et au gingembre garni de glace, accompagné de chips de courgettes au parmesan et de sandwich Bombay Masala aux feuilles de roquette.</t>
  </si>
  <si>
    <t>https://www.archanaskitchen.com/upside-down-pear-ginger-cake-recipe</t>
  </si>
  <si>
    <t>Oats Omelette Recipe</t>
  </si>
  <si>
    <t>Rezept für Haferomelett</t>
  </si>
  <si>
    <t>Recette d'omelette à l'avoine</t>
  </si>
  <si>
    <t>Receta de tortilla de avena</t>
  </si>
  <si>
    <t>1 tasse d'avoine instantanée (gruau), 2 œufs entiers, 1 oignon finement haché, 1 tomate finement hachée, 1/2 poivron vert finement haché, 1 piment vert finement haché, 1/4 cuillère à café de poudre de piment rouge, 3-4 cuillères à soupe de lait, 2 cuillères à café d'huile de tournesol, sel et poivre au goût</t>
  </si>
  <si>
    <t>1 cup Instant Oats (Oatmeal),2 Whole Eggs,1 Onion - finely chopped,1 Tomato - finely chopped,1/2 Green Bell Pepper (Capsicum) - finely chopped,1 Green Chilli - finely chopped,1/4 teaspoon Red Chilli powder,3-4 tablespoons Milk,2 teaspoon Sunflower Oil,Salt and Pepper - to taste</t>
  </si>
  <si>
    <t>1 taza de avena instantánea, 2 huevos enteros, 1 cebolla finamente picada, 1 tomate finamente picado, 1/2 pimiento verde finamente picado, 1 chile verde finamente picado, 1/4 cucharadita de chile rojo en polvo, 3-4 cucharadas de leche, 2 cucharaditas de aceite de girasol, sal y pimienta al gusto</t>
  </si>
  <si>
    <t xml:space="preserve">To begin making Oats Omelette, take a big bowl and whisk together all the ingredients to a normal omelette consistency using milk.Heat a pan, brush a little oil and pour half of the omelette mix onto the pan and let it cook for a few minutes until the base is cooked.Flip the omelette and let it cook for another few minutes and keep aside.Similarly, make another omelette.Serve the yummy Oats Omlette for breakfast along  with chilli cheese toast and Carrot Cashew Smoothie recipe to kick start your day with great breakfast or serve it as a tea-time energy food.
</t>
  </si>
  <si>
    <t>Para empezar a preparar la tortilla de avena, toma un bol grande y bate todos los ingredientes con leche hasta obtener una consistencia normal. Calienta una sartén, pincela con un poco de aceite y vierte la mitad de la mezcla para la tortilla en la sartén y deja cocinar durante unos minutos hasta que la base esté cocida. Da la vuelta a la tortilla y déjala cocinar unos minutos más y reserva. De forma similar, prepara otra tortilla. Sirve la deliciosa tortilla de avena para desayunar junto con una tostada de queso con chile y una receta de batido de zanahoria y anacardos para empezar el día con un buen desayuno o sírvela como un alimento energético para la hora del té.</t>
  </si>
  <si>
    <t>Pour commencer à préparer une omelette à l'avoine, prenez un grand bol et fouettez tous les ingrédients jusqu'à obtenir une consistance d'omelette normale en utilisant du lait. Faites chauffer une poêle, badigeonnez-la d'un peu d'huile et versez la moitié du mélange à omelette sur la poêle et laissez cuire quelques minutes jusqu'à ce que la base soit cuite. Retournez l'omelette et laissez-la cuire encore quelques minutes et réservez. De même, préparez une autre omelette. Servez la délicieuse omelette à l'avoine au petit-déjeuner avec du pain grillé au fromage et au piment et une recette de smoothie aux carottes et aux noix de cajou pour bien commencer votre journée avec un bon petit-déjeuner ou servez-la comme aliment énergétique à l'heure du thé.</t>
  </si>
  <si>
    <t>http://www.archanaskitchen.com/oats-omelette-recipe</t>
  </si>
  <si>
    <t>Black Forest Cake Recipe</t>
  </si>
  <si>
    <t>Schwarzwälder Kirschtorte Rezept</t>
  </si>
  <si>
    <t>Recette de gâteau Forêt-Noire</t>
  </si>
  <si>
    <t>Receta de Tarta Selva Negra</t>
  </si>
  <si>
    <t>1 tasse de farine tout usage (Maida), 1 cuillère à café de levure chimique, 6 cuillères à soupe de cacao en poudre, 1,5 tasse de sucre, 100 grammes de beurre (non salé), 4 œufs entiers - à température ambiante, 3 cuillères à café d'extrait de vanille, 4 cuillères à soupe de Hung Curd (yaourt grec), 500 grammes de crème à fouetter épaisse, 1/2 tasse de sucre glace - + 4 cuillères à soupe supplémentaires, 1/2 tasse de compote de cerises, 1/2 tasse de cerises en conserve - si fraîches disponibles, utilisez des cerises fraîches, 250 grammes de chocolat noir, 1/2 tasse de copeaux de chocolat, 2 cuillères à soupe de pépites de chocolat noir, 2 cuillères à soupe de pépites de chocolat - chocolat blanc, 1 tasse de chocolat noir - ou chocolat au lait</t>
  </si>
  <si>
    <t>1 cup All Purpose Flour (Maida),1 teaspoon Baking powder,6 tablespoons Cocoa Powder,1.5 cups Sugar,100 grams Butter (unsalted),4 Whole Eggs - at room temperature,3 teaspoon Vanilla Extract,4 tablespoons Hung Curd (Greek Yogurt),500 grams Heavy whipping cream,1/2 cup Icing Sugar - + 4 tablespoons more,1/2 cup Cherry Compote,1/2 cup Canned Cherries - if fresh available use fresh cherries,250 grams Dark chocolate,1/2 cup Chocolate Shavings,2 tablespoons Dark Chocolate Chips,2 tablespoons Chocolate chips - white chocolate,1 cup Dark chocolate - or milk chocolate</t>
  </si>
  <si>
    <t>1 taza de harina para todo uso (Maida), 1 cucharadita de polvo para hornear, 6 cucharadas de cacao en polvo, 1,5 tazas de azúcar, 100 gramos de mantequilla (sin sal), 4 huevos enteros - a temperatura ambiente, 3 cucharaditas de extracto de vainilla, 4 cucharadas de cuajada colgada (yogur griego), 500 gramos de crema batida espesa, 1/2 taza de azúcar glas - + 4 cucharadas más, 1/2 taza de compota de cerezas, 1/2 taza de cerezas enlatadas - si están frescas disponibles, use cerezas frescas, 250 gramos de chocolate negro, 1/2 taza de virutas de chocolate, 2 cucharadas de chispas de chocolate negro, 2 cucharadas de chispas de chocolate - chocolate blanco, 1 taza de chocolate negro - o chocolate con leche</t>
  </si>
  <si>
    <t xml:space="preserve">Baking the Black Forest cake recipe takes separate time for cooking a chocolate cake, making chocolate trees, frosting and assembling.Instruction for Chocolate cakeSift flour, baking powder and cocoa powder in a large and dry mixing bowl. Keep aside.In a separate mixing bowl, add sugar and butter and blend it with an electric blender till sugar dissolves. Add one egg at a time and keep blending till it's smooth and creamy. Now pour in some vanilla extract and give a quick mix again.Take the dry ingredient mix and start adding into the wet ingredient mix gradually. Add thick curd and fold in with a spatula to make a clean and smooth batter (Do not beat or whisk the batter).Preheat the oven at 180 degree C for 10-15 minutes. Meanwhile grease and dust a baking pan and pour in the batter. Tap the cake pan on the counter to break and settle the air bubbles formed. Place the pan inside the oven and bake it for 35-40 minutes or till the toothpick inserted in the center comes out clean.Transfer the cake on a wire rack and allow it to cool down completely. Once the cake is cool, carefully remove it from the pan and cling wrap it. Keep the wrapped cake in a dry and cool place till you prepare the frosting.Instruction for Chocolate TreesOn an A4 size sheet, draw the sketch of a tree measuring the correct height required according to the cake. Take a butter paper of a little larger/equal size and fix it over the sketch with a tape.Add melted chocolate in a piping bag and cut off the tip to make a small opening.Now make chocolate tree stencil over the sketch.Refrigerate the butter paper for almost an hour so that the tress become hard nicely.Instruction for FrostingIn a large mixing bowl, take heavy cream/ whipping cream and add icing sugar to it. With and electric blender whip the cream till soft peak appears. Refrigerate the whipped cream for 10 mins.Meanwhile take the chocolate cake prepared, remove the cling foil. Take a sharp serrated knife and slice the cake horizontally into two half. If you are skilled, you can make three slices too like I did.Keep all the three slices separate.In a bowl, add 4 tablespoons of icing sugar in half a cup of water and stir to make a sweet solution. Brush the cake slices top with this sweet solution generously. This will keep the cake moist from inside. Now carefully place the first slice on the turntable.Brush some cherry compote all over the top. With a clean spatula spread some whipped cream over the compote and spread chopped cherries over it.Place the second slice on top and repeat the same.Now place the final third slice on it and press gently with your palm.Now take whipped cream generously and apply all over the cake to cover it from top and sides. Do this till you get a smooth finish.Add some whipped cream in a disposable piping bag and make rosettes on the top border.Sprinkle chocolate shavings inside the rosette circle and place some cherries and white chocolate chips all over.Take out the chocolate tres from the fridge and place them on the sides by carefully pressing them with the cream to attach properly.Sprinkle some chocolate chips on the bottom to cover the gap between the tree roots.Refrigerate the cake for minimum 2 hours before serving.Serve this delicious Black Forest Cake at your next party!
</t>
  </si>
  <si>
    <t>Preparar la receta de la Selva Negra requiere tiempo aparte para preparar un pastel de chocolate, preparar los árboles de chocolate, el glaseado y el montaje. Instrucciones para el pastel de chocolate: Tamiza la harina, la levadura química y el cacao en polvo en un tazón grande y seco. Reserva. En un tazón aparte, agrega el azúcar y la mantequilla y bátelos con una batidora eléctrica hasta que el azúcar se disuelva. Agrega un huevo a la vez y sigue batiendo hasta obtener una mezcla suave y cremosa. Agrega un poco de extracto de vainilla y vuelve a mezclar rápidamente. Incorpora gradualmente la mezcla de ingredientes secos a la mezcla de ingredientes húmedos. Agrega la cuajada espesa e incorpórala con una espátula hasta obtener una masa limpia y suave (no la batas). Precalienta el horno a 180 °C durante 10-15 minutos. Mientras tanto, engrasa y espolvorea un molde para hornear y vierte la masa. Golpea el molde contra la encimera para deshacer y asentar las burbujas de aire. Coloca el molde en el horno y hornea durante 35-40 minutos o hasta que al insertar un palillo en el centro, este salga limpio. Transfiere el pastel a una rejilla y deja que se enfríe por completo. Una vez frío, desmóldalo con cuidado y cúbrelo con film transparente. Mantén el pastel envuelto en un lugar fresco y seco hasta que prepares el glaseado. Instrucciones para los árboles de chocolate: En una hoja A4, dibuja el boceto de un árbol con la altura correcta según el pastel. Toma un papel manteca un poco más grande o del mismo tamaño y fíjalo sobre el boceto con cinta adhesiva. Agrega chocolate derretido en una manga pastelera y corta la punta para hacer una pequeña abertura. Ahora, haz una plantilla de árbol de chocolate sobre el boceto. Refrigera el papel manteca durante casi una hora para que los árboles se endurezcan bien. Instrucciones para el glaseado: En un tazón grande, mezcla la crema espesa/nata para montar y agrega azúcar glas. Con una batidora eléctrica, bate la crema hasta que se formen picos suaves. Refrigera la crema batida durante 10 minutos. Mientras tanto, toma el pastel de chocolate preparado, retira el papel de aluminio. Toma un cuchillo de sierra afilado y corta el pastel horizontalmente en dos mitades. Si eres hábil, también puedes hacer tres rebanadas como hice yo. Mantén las tres rebanadas separadas. En un tazón, agrega 4 cucharadas de azúcar glas en media taza de agua y revuelve para hacer una solución dulce. Pincela la parte superior de las rebanadas de pastel con esta solución dulce generosamente. Esto mantendrá el pastel húmedo por dentro. Ahora coloca con cuidado la primera rebanada en el plato giratorio. Pincela un poco de compota de cereza por toda la parte superior. Con una espátula limpia, extiende un poco de crema batida sobre la compota y esparce cerezas picadas por encima. Coloca la segunda rebanada encima y repite lo mismo. Ahora coloca la tercera rebanada final sobre ella y presiona suavemente con la palma de la mano. Ahora toma crema batida generosamente y aplícala por todo el pastel para cubrirlo por arriba y por los lados. Hazlo hasta que quede suave. Agrega un poco de crema batida en una manga pastelera desechable y forma rosetas en el borde superior. Espolvorea virutas de chocolate dentro del círculo de la roseta y coloca algunas cerezas y chispas de chocolate blanco por encima. Saca los árboles de chocolate del refrigerador y colócalos a los lados presionándolos cuidadosamente con la crema para que se adhieran bien. Espolvorea algunas chispas de chocolate en la base para cubrir el espacio entre las raíces de los árboles. Refrigera el pastel durante al menos 2 horas antes de servir. ¡Sirve esta deliciosa Tarta Selva Negra en tu próxima fiesta!</t>
  </si>
  <si>
    <t>La préparation du gâteau Forêt-Noire nécessite un temps de préparation différent de celui d'un gâteau au chocolat, de la confection des sapins en chocolat, du glaçage et de l'assemblage. Instructions pour le gâteau au chocolat : Tamisez la farine, la levure chimique et le cacao en poudre dans un grand saladier sec. Réservez. Dans un autre saladier, ajoutez le sucre et le beurre et mixez au mixeur jusqu'à dissolution complète du sucre. Ajoutez un œuf à la fois et continuez à mixer jusqu'à obtenir une consistance lisse et crémeuse. Versez ensuite un peu d'extrait de vanille et mélangez à nouveau rapidement. Ajoutez progressivement le mélange d'ingrédients secs au mélange d'ingrédients humides. Ajoutez le caillé épais et incorporez-le à la spatule pour obtenir une pâte lisse et homogène (ne pas battre ni fouetter la pâte). Préchauffez le four à 180 °C pendant 10 à 15 minutes. Pendant ce temps, graissez et saupoudrez un moule à gâteau et versez-y la pâte. Tapotez le moule sur le plan de travail pour déloger les bulles d'air. Enfournez et laissez cuire 35 à 40 minutes, ou jusqu'à ce qu'un cure-dent inséré au centre en ressorte propre. Transférez le gâteau sur une grille et laissez-le refroidir complètement. Une fois refroidi, démoulez-le délicatement et enveloppez-le de film alimentaire. Conservez le gâteau emballé dans un endroit sec et frais jusqu'à la préparation du glaçage. Instructions pour les sapins en chocolat : Sur une feuille A4, dessinez un arbre de la hauteur souhaitée pour le gâteau. Prenez une feuille de papier sulfurisé légèrement plus grande/égale et fixez-la sur l'esquisse avec du ruban adhésif. Mettez du chocolat fondu dans une poche à douille et coupez le bout pour créer une petite ouverture. Créez ensuite un pochoir en forme de sapin en chocolat sur l'esquisse. Placez la feuille de papier sulfurisé au réfrigérateur pendant environ une heure afin que les tresses durcissent bien. Instructions pour le glaçage : Dans un grand saladier, ajoutez la crème épaisse ou la crème fleurette au sucre glace. Fouettez la crème au batteur électrique jusqu'à obtenir une consistance ferme. Réfrigérer la crème fouettée pendant 10 minutes. Pendant ce temps, retirer le gâteau au chocolat préparé et le film alimentaire. À l'aide d'un couteau dentelé bien aiguisé, couper le gâteau horizontalement en deux. Si vous êtes habile, vous pouvez aussi faire trois parts comme moi. Séparer les trois parts. Dans un bol, ajouter 4 cuillères à soupe de sucre glace dans 1/2 tasse d'eau et mélanger pour obtenir une solution sucrée. Badigeonner généreusement le dessus des parts de gâteau avec cette solution sucrée. Cela gardera le gâteau moelleux à l'intérieur. Placer délicatement la première part sur le plateau tournant. Badigeonner le dessus de compote de cerises. À l'aide d'une spatule propre, étaler un peu de crème fouettée sur la compote et parsemer de cerises hachées. Placer la deuxième part par-dessus et répéter l'opération. Placer la troisième part dessus et appuyer délicatement avec la paume de la main. Déposer généreusement de crème fouettée et l'étaler sur tout le gâteau, du dessus et des côtés. Procédez ainsi jusqu'à obtenir une finition lisse. Ajoutez de la crème fouettée dans une poche à douille jetable et formez des rosaces sur le bord supérieur. Saupoudrez de copeaux de chocolat à l'intérieur du cercle de rosace et disposez des cerises et des pépites de chocolat blanc partout. Sortez les rosaces en chocolat du réfrigérateur et placez-les sur les côtés en les pressant délicatement avec la crème pour bien les fixer. Saupoudrez de pépites de chocolat sur le fond pour couvrir l'espace entre les racines des arbres. Réfrigérez le gâteau pendant au moins 2 heures avant de servir. Servez ce délicieux gâteau Forêt-Noire lors de votre prochaine fête !</t>
  </si>
  <si>
    <t>https://www.archanaskitchen.com/black-forest-cake-recipe</t>
  </si>
  <si>
    <t>Thumbprint Salted Caramel Chocolate Cookies Recipe</t>
  </si>
  <si>
    <t>Rezept für gesalzene Karamell-Schokoladenkekse mit Daumenabdruck</t>
  </si>
  <si>
    <t>Recette de biscuits aux pépites de chocolat et au caramel salé</t>
  </si>
  <si>
    <t>Receta de galletas con chispas de chocolate y caramelo salado</t>
  </si>
  <si>
    <t>1 tasse de Vivatta Maida, 1/3 tasse de cacao en poudre, 1/2 cuillère à café de bicarbonate de soude, 1/4 cuillère à café de sel, 110 grammes de beurre (non salé), 3/4 tasse de cassonade (sucre Demerara), 1 œuf entier, 2 cuillères à café d'extrait de vanille, 3/4 tasse de pépites de chocolat, sel - une pincée, 350 ml de lait concentré</t>
  </si>
  <si>
    <t>1 cup Vivatta Maida,1/3 cup Cocoa Powder,1/2 teaspoon Baking soda,1/4 teaspoon Salt,110 grams Butter (unsalted),3/4 cup Brown Sugar (Demerara Sugar),1 Whole Egg,2 teaspoons Vanilla Extract,3/4 cup Chocolate chips,Salt - a pinch,350 ml Condensed Milk</t>
  </si>
  <si>
    <t>1 taza de Vivatta Maida, 1/3 taza de cacao en polvo, 1/2 cucharadita de bicarbonato de sodio, 1/4 cucharadita de sal, 110 gramos de mantequilla (sin sal), 3/4 taza de azúcar morena (azúcar Demerara), 1 huevo entero, 2 cucharaditas de extracto de vainilla, 3/4 taza de chispas de chocolate, sal - una pizca, 350 ml de leche condensada</t>
  </si>
  <si>
    <t xml:space="preserve">To begin making Thumbprint Salted Caramel Chocolate Cookies Recipe, preheat oven to 350 degrees F.Whisk together flour, cocoa powder, baking soda and salt; set aside.In a large bowl, beat butter , brown sugar, egg, vanilla and  until creamy and smooth; about 1-2 minutes. Add in flour mixture and incorporate until well combined.Fold in the chocolate chips.Roll into small dough balls or use a small cookie scoop to drop on a baking sheet and flatten slightly with the palm of your hand. Bake 8-10 minutes. I like to take mine out at 9 minutes so they remain soft. Then press the cookies with back of scoop kind of spoon when it is warm. Cool completely.For the caramel sauce, pour the condensed milk can in a microwave safe bowl then heat 5 mins stirring at intervals till your sauce is done with brownish in color. Cool this a bit and then pour in the caramel sauce in the cookies. Sprinkle with sea salt immediately. This recipe made about 16 cookies.Serve Thumbprint Salted Caramel Chocolate Cookies Recipe along with Homemade Hot Chocolate with Whipped Cream Recipe.
</t>
  </si>
  <si>
    <t>Para comenzar a hacer la receta de galletas de chocolate con caramelo salado Thumbprint, precaliente el horno a 350 grados F. Bata la harina, el cacao en polvo, el bicarbonato de sodio y la sal; reserve. En un tazón grande, bata la mantequilla, el azúcar morena, el huevo, la vainilla y hasta que esté cremoso y suave; aproximadamente 1-2 minutos. Agregue la mezcla de harina e incorpore hasta que esté bien combinado. Incorpore las chispas de chocolate. Forme pequeñas bolas de masa o use una pequeña cuchara para galletas para colocarlas en una bandeja para hornear y aplánelas ligeramente con la palma de la mano. Hornee de 8 a 10 minutos. Me gusta sacar las mías a los 9 minutos para que permanezcan suaves. Luego presione las galletas con el dorso de una cuchara cuando esté tibia. Deje enfriar completamente. Para la salsa de caramelo, vierta la lata de leche condensada en un recipiente apto para microondas y luego caliente durante 5 minutos revolviendo a intervalos hasta que la salsa esté lista con un color marrón. Deje enfriar un poco y luego vierta la salsa de caramelo en las galletas. Espolvoree con sal marina inmediatamente. Esta receta rinde aproximadamente 16 galletas. Sirva la receta de galletas de chocolate con caramelo salado junto con la receta de chocolate caliente casero con crema batida.</t>
  </si>
  <si>
    <t>Pour commencer à préparer la recette des biscuits au chocolat et au caramel salé Thumbprint, préchauffez le four à 350 degrés F. Fouettez ensemble la farine, la poudre de cacao, le bicarbonate de soude et le sel ; réservez. Dans un grand bol, battez le beurre, la cassonade, l'œuf, la vanille et jusqu'à consistance crémeuse et lisse ; environ 1 à 2 minutes. Ajoutez le mélange de farine et incorporez jusqu'à ce que le tout soit bien mélangé. Incorporez les pépites de chocolat. Roulez en petites boules de pâte ou utilisez une petite cuillère à biscuits pour les déposer sur une plaque à pâtisserie et aplatissez légèrement avec la paume de votre main. Faites cuire au four de 8 à 10 minutes. J'aime sortir les miens à 9 minutes pour qu'ils restent mous. Appuyez ensuite sur les biscuits avec le dos d'une cuillère lorsqu'ils sont chauds. Laissez refroidir complètement. Pour la sauce au caramel, versez la boîte de lait concentré dans un bol allant au micro-ondes, puis faites chauffer 5 minutes en remuant à intervalles jusqu'à ce que votre sauce soit cuite et de couleur brunâtre. Laissez refroidir un peu, puis versez la sauce au caramel dans les biscuits. Saupoudrez immédiatement de sel de mer. Cette recette a donné environ 16 biscuits. Servez la recette de biscuits au chocolat et au caramel salé avec la recette de chocolat chaud maison avec crème fouettée.</t>
  </si>
  <si>
    <t>https://www.archanaskitchen.com/thumbprint-salted-caramel-chocolate-cookies-recipe</t>
  </si>
  <si>
    <t>Olive Oil &amp; Cranberry Cookies Recipe</t>
  </si>
  <si>
    <t>Rezept für Olivenöl-Cranberry-Kekse</t>
  </si>
  <si>
    <t>Recette de biscuits aux canneberges et à l'huile d'olive</t>
  </si>
  <si>
    <t>Receta de galletas de aceite de oliva y arándanos</t>
  </si>
  <si>
    <t>1 tasse de Vivatta Maida, 1 tasse de farine de blé entier, 1-1/2 cuillères à café de levure chimique, 1/2 tasse de sucre, 1/4 cuillère à café de sel, 1/4 tasse de lait, 1/4 tasse d'huile d'olive extra vierge, 1/4 tasse de canneberges</t>
  </si>
  <si>
    <t>1 cup Vivatta Maida,1 cup Whole Wheat Flour,1-1/2 teaspoons Baking powder,1/2 cup Sugar,1/4 teaspoon Salt,1/4 cup Milk,1/4 cup Extra Virgin Olive Oil,1/4 cup Cranberries</t>
  </si>
  <si>
    <t>1 taza de Vivatta Maida, 1 taza de harina integral, 1-1/2 cucharadita de polvo para hornear, 1/2 taza de azúcar, 1/4 cucharadita de sal, 1/4 taza de leche, 1/4 taza de aceite de oliva virgen extra, 1/4 taza de arándanos</t>
  </si>
  <si>
    <t xml:space="preserve">To begin making the Olive Oil &amp; Cranberry Cookies Recipe, preheat the oven to 180 degree Celsius for 10 minutes.Combine the flour, wheat flour, baking powder, sugar, salt first. Mix all the dry ingredients well.Add olive oil and cranberries and mix well. You will get a crumble texture. Slowly add milk and bring all the mixture together and bind them.Make small balls out of the cookie mixture, make sure they are holding together and then flatten them. Place the cookies on your cookie tray and bake them in the oven for 20 minutes.Serve the Olive Oil &amp; Cranberry Cookies Recipe along with a cup of hot chocolate or masala chai to enjoy evening time with bliss.
</t>
  </si>
  <si>
    <t>Para empezar a preparar la receta de galletas de aceite de oliva y arándanos, precalienta el horno a 180 °C durante 10 minutos. Mezcla la harina, la harina de trigo, la levadura química, el azúcar y la sal. Mezcla bien todos los ingredientes secos. Agrega el aceite de oliva y los arándanos y revuelve bien. Obtendrás una textura crujiente. Agrega la leche lentamente, integra la mezcla y alíñala. Forma bolitas con la mezcla de galletas, asegurándote de que se mantengan unidas y luego aplánalas. Coloca las galletas en la bandeja y hornéalas durante 20 minutos. Sirve la receta de galletas de aceite de oliva y arándanos con una taza de chocolate caliente o masala chai para disfrutar de una tarde de ensueño.</t>
  </si>
  <si>
    <t>Pour préparer les biscuits à l'huile d'olive et aux canneberges, préchauffez le four à 180 °C pendant 10 minutes. Mélangez d'abord la farine, la farine de blé, la levure chimique, le sucre et le sel. Mélangez bien tous les ingrédients secs. Ajoutez l'huile d'olive et les canneberges et mélangez bien. Vous obtiendrez une texture crumble. Ajoutez lentement le lait, rassemblez le tout et liez-les. Formez de petites boules avec la pâte à biscuits, assurez-vous qu'elles tiennent bien ensemble, puis aplatissez-les. Placez les biscuits sur votre plaque à biscuits et enfournez pendant 20 minutes. Servez les biscuits à l'huile d'olive et aux canneberges avec une tasse de chocolat chaud ou de chai masala pour savourer cette soirée en toute sérénité.</t>
  </si>
  <si>
    <t>https://www.archanaskitchen.com/olive-oil-cranberry-cookies-recipe</t>
  </si>
  <si>
    <t>Chocolate Pancakes With Banana Recipe</t>
  </si>
  <si>
    <t>Schokoladenpfannkuchen mit Bananenrezept</t>
  </si>
  <si>
    <t>Recette de crêpes au chocolat et à la banane</t>
  </si>
  <si>
    <t>Receta de panqueques de chocolate y plátano</t>
  </si>
  <si>
    <t>1 tasse de farine tout usage (Maida), 2 cuillères à soupe de cacao en poudre, 1 pincée de sel, 1 tasse de lait, 3 à 5 cuillères à soupe de babeurre, 1-1/2 cuillère à café d'extrait de vanille, 2 cuillères à soupe de beurre fondu, 3 cuillères à café de sucre en poudre, 1/2 cuillère à café de bicarbonate de soude, 1-1/2 cuillère à café de levure chimique, sauce au chocolat - selon les besoins, 1 banane mûre - tranchée, beurre (non salé) - selon les besoins</t>
  </si>
  <si>
    <t>1 cup All Purpose Flour (Maida),2 tablespoons Cocoa Powder,1 pinch Salt,1 cup Milk,3 to 5 tablespoons Buttermilk,1-1/2 teaspoon Vanilla Extract,2 tablespoons Butter - melted,3 teaspoons Caster Sugar,1/2 teaspoon Cooking soda,1-1/2 teaspoon Baking powder,Chocolate sauce - as required,1 Ripe Bananas - sliced,Butter (unsalted) - as required</t>
  </si>
  <si>
    <t>1 taza de harina para todo uso (Maida), 2 cucharadas de cacao en polvo, 1 pizca de sal, 1 taza de leche, 3 a 5 cucharadas de suero de leche, 1-1/2 cucharadita de extracto de vainilla, 2 cucharadas de mantequilla derretida, 3 cucharaditas de azúcar extrafino, 1/2 cucharadita de bicarbonato de sodio, 1-1/2 cucharadita de polvo para hornear, salsa de chocolate (según se requiera), 1 plátano maduro en rodajas, mantequilla (sin sal) (según se requiera)</t>
  </si>
  <si>
    <t xml:space="preserve">To begin making the Chocolate Pancakes With Banana Recipe, firstly mix together all the dry ingredients including plain flour, cocoa powder, caster sugar, baking powder, baking soda, salt in a mixing bowl.Mix everything properly and add vanilla essence, melted butter and buttermilk. Make sure everything is mixed and no lumps are formed. Keep it aside.Heat some butter on a cast iron skillet and spread some pancake batter on it.Let it cook from both the sides. Once it is done, take it on a plate.Drizzle some chocolate sauce and spread some banana slices on the top.Serve Chocolate Pancakes With Banana Recipe along with Papaya Banana Smoothie or Carrot Cashew Smoothie for a filling and scrumptious breakfast. You can also serve Espresso Coffee along with these Pancakes.
</t>
  </si>
  <si>
    <t>Para empezar a preparar la receta de panqueques de chocolate con plátano, primero mezcle todos los ingredientes secos, incluyendo harina común, cacao en polvo, azúcar extrafino, polvo para hornear, bicarbonato de sodio y sal en un tazón. Mezcle todo bien y agregue esencia de vainilla, mantequilla derretida y suero de leche. Asegúrese de que todo esté mezclado y sin grumos. Reserve. Caliente un poco de mantequilla en una sartén de hierro fundido y extienda un poco de masa para panqueques. Deje que se cocine por ambos lados. Una vez listo, póngalo en un plato. Rocíe un poco de salsa de chocolate y extienda algunas rodajas de plátano por encima. Sirva la receta de panqueques de chocolate con plátano junto con un batido de papaya y plátano o un batido de zanahoria y anacardos para un desayuno abundante y delicioso. También puede servir café expreso junto con estos panqueques.</t>
  </si>
  <si>
    <t>Pour commencer à préparer la recette de crêpes au chocolat et à la banane, mélangez d'abord tous les ingrédients secs, y compris la farine, le cacao en poudre, le sucre semoule, la levure chimique, le bicarbonate de soude et le sel dans un saladier. Mélangez bien le tout et ajoutez l'extrait de vanille, le beurre fondu et le babeurre. Assurez-vous que tout soit bien mélangé et qu'il n'y ait pas de grumeaux. Réservez. Faites chauffer du beurre dans une poêle en fonte et étalez-y un peu de pâte à crêpes. Laissez cuire des deux côtés. Une fois cuite, servez-la dans une assiette. Arrosez de sauce au chocolat et étalez des tranches de banane sur le dessus. Servez la recette de crêpes au chocolat et à la banane avec un smoothie à la papaye et à la banane ou un smoothie à la carotte et aux noix de cajou pour un petit-déjeuner copieux et délicieux. Vous pouvez également servir un café expresso avec ces crêpes.</t>
  </si>
  <si>
    <t>https://www.archanaskitchen.com/chocolate-pancakes-with-banana-recipe</t>
  </si>
  <si>
    <t>Watermelon Pizza Recipe</t>
  </si>
  <si>
    <t>Wassermelonenpizza-Rezept</t>
  </si>
  <si>
    <t>Recette de pizza à la pastèque</t>
  </si>
  <si>
    <t>Receta de pizza de sandía</t>
  </si>
  <si>
    <t>1 pastèque, 1 oignon - finement tranché, 1/2 tasse de fromage feta - émietté, 1/4 tasse de feuilles de basilic, 1/4 tasse d'olives noires - tranchées, 2 cuillères à soupe de vinaigre balsamique, 1 cuillère à soupe de miel, sel - une pincée, feuilles de persil - au besoin hachées pour la garniture</t>
  </si>
  <si>
    <t>1 Watermelon,1 Onion - thinly sliced,1/2 cup Feta Cheese - crumbled,1/4 cup Basil leaves,1/4 cup Black olives - sliced,2 tablespoons Balsamic Vinegar,1 tablespoon Honey,Salt - a pinch,Parsley leaves - as required chopped for garnish</t>
  </si>
  <si>
    <t>1 sandía, 1 cebolla cortada en rodajas finas, 1/2 taza de queso feta desmenuzado, 1/4 taza de hojas de albahaca, 1/4 taza de aceitunas negras cortadas en rodajas, 2 cucharadas de vinagre balsámico, 1 cucharada de miel, sal (una pizca), hojas de perejil picadas (según se requiera para decorar)</t>
  </si>
  <si>
    <t xml:space="preserve">To begin making the Watermelon Pizza recipe, wash the watermelon and wipe dry.With the help of a sharp knife, cut half inch thin round slices horizontally from the part which is wider to resemble a pizza crust.Simply garnish these pizza slices with a sprinkle of sliced onions, black olives, fresh basil leaves, crumbled cheese (I have used processed cheese but Feta is preferable) and a sprinkle of parsley.Heat honey in a small skillet and add balsamic vinegar. Cook on low heat till it thickens a bit (not too much otherwise it will be sticky and unusable).Drizzle this reduction on the pizza slices once cold. Cut and serve chilled.Serve Watermelon Pizza for your evening snacks or tea parties along with some other snacks such as Iyengar Style Masala Toast and Salted Caramel Popcorn.
</t>
  </si>
  <si>
    <t>Para empezar a preparar la receta de pizza de sandía, lava la sandía y sécala. Con un cuchillo afilado, corta rebanadas redondas y delgadas de 1,25 cm horizontalmente desde la parte más ancha para que se asemejen a la masa de una pizza. Simplemente decora estas rebanadas de pizza con una pizca de cebolla en rodajas, aceitunas negras, hojas de albahaca fresca, queso desmenuzado (yo he usado queso procesado, pero es preferible el feta) y una pizca de perejil. Calienta la miel en una sartén pequeña y añade vinagre balsámico. Cocina a fuego lento hasta que espese un poco (no demasiado, de lo contrario estará pegajosa e inutilizable). Rocía esta reducción sobre las rebanadas de pizza una vez frías. Corta y sirve fría. Sirve la pizza de sandía para tus meriendas o fiestas de té junto con otros bocadillos como tostadas masala estilo Iyengar y palomitas de maíz con caramelo salado.</t>
  </si>
  <si>
    <t>Pour commencer la recette de la pizza à la pastèque, lavez la pastèque et essuyez-la. À l'aide d'un couteau bien aiguisé, coupez des tranches fines et rondes d'un demi-pouce horizontalement dans la partie la plus large pour ressembler à une croûte de pizza. Garnissez simplement ces tranches de pizza d'une pincée d'oignons émincés, d'olives noires, de feuilles de basilic frais, de fromage émietté (j'ai utilisé du fromage fondu, mais la feta est préférable) et d'une pincée de persil. Faites chauffer le miel dans une petite poêle et ajoutez le vinaigre balsamique. Faites cuire à feu doux jusqu'à ce que la sauce épaississe légèrement (pas trop, sinon elle sera collante et inutilisable). Versez cette réduction sur les tranches de pizza une fois froides. Coupez et servez frais. Servez la pizza à la pastèque pour vos collations du soir ou vos goûters, accompagnée d'autres collations comme du pain grillé Masala style Iyengar et du popcorn au caramel salé.</t>
  </si>
  <si>
    <t>https://www.archanaskitchen.com/watermelon-pizza-recipe</t>
  </si>
  <si>
    <t>Chilli Roasted Black Eyed Peas Recipe - Chilli Roasted Black Eyed Peas (Recipe In Hindi)</t>
  </si>
  <si>
    <t>Rezept für geröstete Lobia mit Chili – Die besten Schwarzaugenbohnen mit Chili (Rezept auf Hindi)</t>
  </si>
  <si>
    <t>Recette de lobia rôti au piment – ​​Les meilleurs pois à œil noir au piment (recette en hindi)</t>
  </si>
  <si>
    <t>Receta de Lobia Asada con Chile – Los Mejores Guisantes de Ojo Negro con Chile (Receta en Hindi)</t>
  </si>
  <si>
    <t>1 tasse de pois à œil noir - trempés dans l'eau pendant 8 à 10 heures, 2 cuillères à soupe de sauce Tabasco, 1 cuillère à café de poudre de piment rouge, 1 cuillère à café de romarin, 1 cuillère à café d'origan, jus d'un citron, sel - selon le goût, huile</t>
  </si>
  <si>
    <t>1 cup black eyed peas - soaked in water for 8 to 10 hours, 2 tbsp Tabasco sauce, 1 tsp red chili powder, 1 tsp rosemary, 1 tsp oregano, juice of 1 lemon, salt - according to taste, oil</t>
  </si>
  <si>
    <t>1 taza de frijoles de ojo negro - remojados en agua durante 8 a 10 horas, 2 cucharadas de salsa Tabasco, 1 cucharadita de chile rojo en polvo, 1 cucharadita de romero, 1 cucharadita de orégano, jugo de 1 limón, sal - al gusto, aceite</t>
  </si>
  <si>
    <t>To make Chilli Roasted Lobia, first soak the Lobia for 8 to 10 hours. Put it in a pressure cooker along with water and cook till 2 to 3 whistles. Let the pressure release automatically. Open the cooker and remove all the water from it. Heat oil in a pan. Add Lobia to it and cook till it becomes crisp. Now add Tabasco sauce, oregano, rosemary, red chilli powder, salt and mix it. Let it cook for 3 to 4 minutes. After this add lemon juice and mix it. Serve Chilli Roasted Lobia with Masala Chai for evening snack.</t>
  </si>
  <si>
    <t>Para preparar la lobia asada al chile, primero remoje la lobia de 8 a 10 horas. Colóquela en una olla a presión con agua y cocínela hasta que suene de 2 a 3 silbidos. Deje que la presión se libere automáticamente. Abra la olla y escurra todo el agua. Caliente aceite en una sartén. Añada la lobia y cocínela hasta que esté crujiente. Añada salsa Tabasco, orégano, romero, chile rojo en polvo, sal y mezcle. Deje cocer de 3 a 4 minutos. Después, agregue jugo de limón y mezcle. Sirva la lobia asada al chile con Masala Chai como refrigerio.</t>
  </si>
  <si>
    <t>Pour préparer du Lobia rôti au piment, faites-le tremper pendant 8 à 10 heures. Placez-le dans une cocotte-minute avec de l'eau et faites-le cuire jusqu'à 2 ou 3 sifflements. Laissez la pression retomber automatiquement. Ouvrez l'autocuiseur et videz toute l'eau. Faites chauffer l'huile dans une poêle. Ajoutez le Lobia et faites-le cuire jusqu'à ce qu'il soit croustillant. Ajoutez ensuite la sauce Tabasco, l'origan, le romarin, la poudre de piment rouge, le sel et mélangez. Laissez cuire 3 à 4 minutes. Ajoutez ensuite le jus de citron et mélangez. Servez le Lobia rôti au piment avec du Masala Chai en guise de collation du soir.</t>
  </si>
  <si>
    <t>https://www.archanaskitchen.com/chilli-roasted-black-eyed-peas-recipe-in-hindi</t>
  </si>
  <si>
    <t>Fresh Figs Ice Cream Recipe</t>
  </si>
  <si>
    <t>Rezept für Eiscreme mit frischen Feigen</t>
  </si>
  <si>
    <t>Recette de glace aux figues fraîches</t>
  </si>
  <si>
    <t>Receta de helado de higos frescos</t>
  </si>
  <si>
    <t>2 figues fraîches, 1-1/2 tasse de crème fraîche, 1 tasse de sucre en poudre - divisé, 1 cuillère à café d'extrait de vanille, 1/2 tasse de lait, 1 cuillère à café de jus de citron, 3 cuillères à soupe d'eau, 6 dattes - hachées, 1 cuillère à soupe de Tutti frutti</t>
  </si>
  <si>
    <t>2 Fresh Figs,1-1/2 cup Fresh cream,1 cup Caster Sugar - divided,1 teaspoon Vanilla Extract,1/2 cup Milk,1 teaspoon Lemon juice,3 tablespoons Water,6 Dates - chopped,1 tablespoon Tutti frutti</t>
  </si>
  <si>
    <t>2 higos frescos, 1-1/2 taza de crema fresca, 1 taza de azúcar extrafino (dividida), 1 cucharadita de extracto de vainilla, 1/2 taza de leche, 1 cucharadita de jugo de limón, 3 cucharadas de agua, 6 dátiles picados, 1 cucharada de tutti frutti</t>
  </si>
  <si>
    <t xml:space="preserve">To begin making Fresh Figs Ice Cream Recipe, wash the figs, remove stem and cut into pieces.Add the chopped figs to a saucepan along with 1/4 cup of powdered sugar, lemon juice and water.Mix well and cook on medium heat until the figs turn soft and comes to jam like consistency.Remove from flame and allow it to cool completely.Meanwhile, take the thick cream in a wide bowl, whip it in a hand mixer for a minute.Add milk, 3/4 cup of powdered sugar and vanilla essence. Mix well and whip it again until thick and creamy.Now add the prepared fig mixture and mix well with spatula. Add the chopped dates reserving a few of them to garnish. Add a drop of red food color (optional) and mix.Pour the mixture into freezer safe container, cover with cling wrap and set into freezer.Set it overnight or until firm. Once done, scoop and serve it along with a chopped fresh or dried fig, reserved dates and tutti frutti to garnish.The delicious, creamy fig ice cream is ready. Serve Fresh Figs Ice Cream Recipe as a dinner or lunch time dessert after a one pot meal of Mumbai Style Tawa Pulao Recipe with Moong Sprouts or Cheesy Spaghetti Pasta Pie Recipe.
</t>
  </si>
  <si>
    <t>Para preparar el helado de higos frescos, lava los higos, quítales el tallo y córtalos en trozos. Agrega los higos picados a una cacerola junto con 1/4 de taza de azúcar glas, jugo de limón y agua. Mezcla bien y cocina a fuego medio hasta que los higos se ablanden y adquieran una consistencia similar a la de una mermelada. Retira del fuego y deja enfriar por completo. Mientras tanto, coloca la crema espesa en un tazón amplio y bátela con una batidora de mano durante un minuto. Agrega la leche, 3/4 de taza de azúcar glas y la esencia de vainilla. Mezcla bien y vuelve a batir hasta que esté espesa y cremosa. Agrega la mezcla de higos preparada y revuelve bien con una espátula. Agrega los dátiles picados, reservando algunos para decorar. Agrega una gota de colorante rojo (opcional) y mezcla. Vierte la mezcla en un recipiente apto para congelador, cúbrelo con film transparente y guárdalo en el congelador. Déjalo reposar toda la noche o hasta que esté firme. Una vez listo, sáquelo y sírvalo junto con un higo fresco o seco picado, los dátiles reservados y tutti frutti para decorar. El delicioso y cremoso helado de higos está listo. Sirva la Receta de Helado de Higos Frescos como postre para la cena o el almuerzo después de una comida en una olla de la Receta de Tawa Pulao al Estilo Mumbai con Brotes Moong o la Receta de Pastel de Pasta con Espaguetis con Queso.</t>
  </si>
  <si>
    <t>Pour préparer la glace aux figues fraîches, lavez les figues, retirez-en la queue et coupez-les en morceaux. Ajoutez les figues hachées dans une casserole avec 60 ml de sucre glace, le jus de citron et l'eau. Mélangez bien et laissez cuire à feu moyen jusqu'à ce que les figues ramollissent et prennent la consistance d'une confiture. Retirez du feu et laissez refroidir complètement. Pendant ce temps, versez la crème épaisse dans un grand saladier et fouettez-la au batteur électrique pendant une minute. Ajoutez le lait, 190 ml de sucre glace et l'extrait de vanille. Mélangez bien et fouettez à nouveau jusqu'à obtenir une consistance épaisse et crémeuse. Ajoutez ensuite le mélange de figues préparé et mélangez bien à la spatule. Ajoutez les dattes hachées et réservez-en quelques-unes pour la décoration. Ajoutez une goutte de colorant alimentaire rouge (facultatif) et mélangez. Versez le mélange dans un récipient allant au congélateur, couvrez de film alimentaire et placez au congélateur. Laissez reposer toute la nuit ou jusqu'à ce que la préparation soit ferme. Une fois terminé, servez-le avec une figue fraîche ou séchée hachée, des dattes réservées et du tutti frutti pour garnir. La délicieuse glace crémeuse aux figues est prête. Servez la recette de glace aux figues fraîches comme dessert pour le dîner ou le déjeuner après un repas tout-en-un de la recette de Tawa Pulao à la Mumbai avec des germes de Moong ou de la recette de tarte aux pâtes spaghetti au fromage.</t>
  </si>
  <si>
    <t>http://www.archanaskitchen.com/fresh-figs-ice-cream-recipe</t>
  </si>
  <si>
    <t>Sour Cream Onion Dip Recipe</t>
  </si>
  <si>
    <t>Rezept für Zwiebel-Dip mit Sauerrahm</t>
  </si>
  <si>
    <t>Recette de trempette à l'oignon avec crème sure</t>
  </si>
  <si>
    <t>Receta de salsa de cebolla con crema agria</t>
  </si>
  <si>
    <t>1 tasse de yaourt grec (Hung Curd), 2 cuillères à soupe de crème fraîche, 1/2 cuillère à café de jus de citron, 2 tiges d'oignon de printemps (bulbe et feuilles) - finement hachées, 2 gousses d'ail - finement hachées, 1/2 cuillère à café d'huile d'olive extra vierge, sel - au goût</t>
  </si>
  <si>
    <t>1 cup Hung Curd (Greek Yogurt),2 tablespoon Fresh cream,1/2 teaspoon Lemon juice,2 Stalks Spring Onion (Bulb &amp; Greens) - finely chopped,2 cloves Garlic - finely chopped,1/2 teaspoon Extra Virgin Olive Oil,Salt - to taste</t>
  </si>
  <si>
    <t>1 taza de cuajada colgada (yogur griego), 2 cucharadas de crema fresca, 1/2 cucharadita de jugo de limón, 2 tallos de cebolla de verdeo (bulbo y hojas verdes) finamente picados, 2 dientes de ajo finamente picados, 1/2 cucharadita de aceite de oliva virgen extra, sal - al gusto</t>
  </si>
  <si>
    <t xml:space="preserve">To begin making Sour Cream Onion Dip first heat a small frying pan and add olive oil. Add only the bulbs of the spring onions first and saute for a minute. Add the chopped garlic and saute for another minute.Add a pinch of salt and cook onions and garlic on low flame for another two minutes till the onions are soft and cooked through. Do not brown the onions and garlic.Next add half the spring onion greens and cook for less than a minute. The spring onions should still be firm and not go mushy. Switch the heat off and cool the mixture. In a mixing bowl, combine the hung yogurt along with fresh cream salt and lemon juice. Whisk to ensure that there are no lumps in the sour cream and it is nice and smooth.Add the onion and garlic mixture to the sour cream and add the remaining spring onion greens. Season with more salt if you like. Serve Sour Cream Onion Dip Oven Baked Sweet Potato Fries Recipe or Cheesy Garlic Broccoli Nuggets.
</t>
  </si>
  <si>
    <t>Para comenzar a hacer salsa de cebolla y crema agria, primero caliente una sartén pequeña y agregue aceite de oliva. Agregue solo los bulbos de las cebolletas primero y saltee durante un minuto. Agregue el ajo picado y saltee durante otro minuto. Agregue una pizca de sal y cocine las cebollas y el ajo a fuego lento durante otros dos minutos hasta que las cebollas estén suaves y cocidas. No dore las cebollas y el ajo. Luego agregue la mitad de las hojas de cebolleta y cocine por menos de un minuto. Las cebolletas aún deben estar firmes y no blandas. Apague el fuego y enfríe la mezcla. En un tazón, combine el yogur colgado junto con la sal de crema fresca y el jugo de limón. Bata para asegurarse de que no haya grumos en la crema agria y que esté agradable y suave. Agregue la mezcla de cebolla y ajo a la crema agria y agregue las hojas de cebolleta restantes. Sazone con más sal si lo desea. Sirva la receta de papas fritas dulces al horno con salsa de cebolla y crema agria o los nuggets de brócoli con ajo y queso.</t>
  </si>
  <si>
    <t>Pour commencer à préparer la trempette à la crème sure et aux oignons, faites chauffer une petite poêle et ajoutez de l'huile d'olive. Ajoutez d'abord les bulbes d'oignons nouveaux et faites-les revenir pendant une minute. Ajoutez l'ail haché et faites-le revenir pendant une minute supplémentaire. Ajoutez une pincée de sel et faites cuire les oignons et l'ail à feu doux pendant encore deux minutes, jusqu'à ce que les oignons soient tendres et bien cuits. Ne les faites pas dorer. Ajoutez ensuite la moitié des feuilles d'oignons nouveaux et faites cuire moins d'une minute. Les oignons nouveaux doivent être encore fermes et ne pas devenir pâteux. Éteignez le feu et laissez refroidir le mélange. Dans un saladier, mélangez le yaourt glacé avec la crème fraîche, le sel et le jus de citron. Fouettez pour vous assurer qu'il n'y a pas de grumeaux dans la crème sure et qu'elle soit bien lisse. Ajoutez le mélange d'oignons et d'ail à la crème sure et ajoutez le reste des feuilles d'oignons nouveaux. Assaisonnez avec plus de sel si vous le souhaitez. Servez la trempette à la crème sure et aux oignons, la recette de frites de patates douces au four ou les nuggets de brocoli à l'ail et au fromage.</t>
  </si>
  <si>
    <t>https://www.archanaskitchen.com/sour-cream-onion-dip-recipe</t>
  </si>
  <si>
    <t>Spinach Banana Muffin Recipe</t>
  </si>
  <si>
    <t>Rezept für Spinat-Bananen-Muffins</t>
  </si>
  <si>
    <t>Recette de muffins aux épinards et à la banane</t>
  </si>
  <si>
    <t>Receta de muffins de espinacas y plátano</t>
  </si>
  <si>
    <t>3 tasses de jeunes pousses d'épinards (sans tige), 1 banane mûre pelée, 1/2 tasse de miel, 1/4 tasse de lait, 1/2 huile d'olive extra vierge, 1 œuf entier, 1 cuillère à café d'extrait de vanille, 2 tasses de farine de blé entier, 1/2 cuillère à café de sel, 2 cuillères à café de levure chimique, 1/2 cuillère à café de bicarbonate de soude, 2 cuillères à café de cannelle en poudre (Dalchini), 1/2 cuillère à café de poudre de macis</t>
  </si>
  <si>
    <t>3 cups Baby spinach - (without stem),1 Ripe Bananas - peeled,1/2 cup Honey,1/4 cup Milk,1/2 Extra Virgin Olive Oil,1 Whole Egg,1 teaspoon Vanilla Extract,2 cups Whole Wheat Flour,1/2 teaspoon Salt,2 teaspoons Baking powder,1/2 teaspoon Baking soda,2 teaspoons Cinnamon Powder (Dalchini),1/2 teaspoon Mace powder</t>
  </si>
  <si>
    <t>3 tazas de espinacas baby (sin tallo), 1 plátano maduro pelado, 1/2 taza de miel, 1/4 taza de leche, 1/2 aceite de oliva virgen extra, 1 huevo entero, 1 cucharadita de extracto de vainilla, 2 tazas de harina integral, 1/2 cucharadita de sal, 2 cucharaditas de polvo para hornear, 1/2 cucharadita de bicarbonato de sodio, 2 cucharaditas de canela en polvo (dalchini), 1/2 cucharadita de macis en polvo</t>
  </si>
  <si>
    <t xml:space="preserve">To begin making Spinach Banana Muffin Recipe, preheat oven into 350 F/ 180 C. Line up a muffin pan with cup cake liners, i used silicone muffin cup, greased with oil.First we will start mixing dry ingredients. In a mixing bowl add all dry ingredients and mix very well and keep aside.In a blender add all wet ingredients and blend very smooth, until no crumble left.Slowly add wet ingredients mixture into dry ingredients whisk thoroughly but don't over mix. Pour muffin batter into prepared muffin cups or muffin pan 1/3, left place for puffing.Bake 20 minutes or until toothpick insert came clean.Cool it  before serving or storing in container. It can be stored for upto 7 days.Serve Spinach Banana Muffin Recipe on breakfast with Chocolate Banana Smoothie Recipe, or for snacks along with Cold Coffee Smoothie Recipe.
</t>
  </si>
  <si>
    <t>Para empezar a preparar la Receta de Muffins de Espinaca y Plátano, precalienta el horno a 350 F/180 C. Cubre un molde para muffins con capacillos para cupcakes, yo usé un molde de silicona para muffins, engrasado con aceite. Primero, mezclaremos los ingredientes secos. En un tazón, agrega todos los ingredientes secos y mezcla muy bien. Reserva. En una licuadora, agrega todos los ingredientes húmedos y mezcla muy suave, hasta que no queden migajas. Agrega lentamente la mezcla de ingredientes húmedos a los ingredientes secos, bate bien, pero no mezcles demasiado. Vierte la masa para muffins en los moldes para muffins preparados o en el molde para muffins 1/3, dejando lugar para que se inflen. Hornea durante 20 minutos o hasta que al insertar un palillo salga limpio. Deja enfriar antes de servir o guardar en un recipiente. Se puede almacenar hasta por 7 días. Sirve la Receta de Muffins de Espinaca y Plátano en el desayuno con la Receta de Smoothie de Chocolate y Plátano, o como refrigerio junto con la Receta de Smoothie de Café Frío.</t>
  </si>
  <si>
    <t>Pour commencer à préparer la recette de muffins aux épinards et à la banane, préchauffez le four à 180 °C. Tapissez un moule à muffins de caissettes à cupcakes (j'ai utilisé des moules à muffins en silicone graissés à l'huile). Commencez par mélanger les ingrédients secs. Dans un saladier, ajoutez tous les ingrédients secs et mélangez bien. Réservez. Dans un mixeur, ajoutez tous les ingrédients humides et mixez jusqu'à obtenir une consistance lisse, jusqu'à ce qu'il ne reste plus de miettes. Incorporez lentement le mélange d'ingrédients humides aux ingrédients secs, fouettez bien, mais sans trop mélanger. Versez la pâte à muffins dans les moules à muffins préparés ou dans un moule à muffins (1/3), en laissant un espace pour le gonflement. Faites cuire au four 20 minutes ou jusqu'à ce que l'insert du cure-dent soit propre. Laissez refroidir avant de servir ou de conserver dans un récipient. Il peut être conservé jusqu'à 7 jours. Servez la recette de muffins aux épinards et à la banane au petit-déjeuner avec la recette de smoothie chocolat-banane, ou en collation avec la recette de smoothie café froid.</t>
  </si>
  <si>
    <t>https://www.archanaskitchen.com/spinach-banana-muffin-recipe</t>
  </si>
  <si>
    <t>Cheesy Pull Apart Bread Recipe</t>
  </si>
  <si>
    <t>Rezept für käsiges Pull-Apart-Brot</t>
  </si>
  <si>
    <t>Recette de pain au fromage à effilocher</t>
  </si>
  <si>
    <t>Receta de pan de queso en tiras</t>
  </si>
  <si>
    <t>2 tasses de farine tout usage (Maida), 2 cuillères à café de levure sèche active, 1/4 cuillère à café de sucre, 1/2 cuillère à café de sel, 1/4 tasse de beurre fondu, 1/4 tasse d'eau tiède, 3/4 tasse de lait tiède, 1/2 tasse de beurre, 1 tasse de cheddar râpé, 1/2 tasse de mozzarella râpée, 1 cuillère à café d'assaisonnement italien, 1 cuillère à soupe d'ail haché</t>
  </si>
  <si>
    <t>2 cups All Purpose Flour (Maida),2 teaspoons Active dry yeast,1/4 teaspoon Sugar,1/2 teaspoon Salt,1/4 cup Butter - melted,1/4 cup Water - lukewarm,3/4 cup Milk - lukewarm,1/2 cup Butter,1 cup Cheddar cheese - grated,1/2 cup Mozzarella cheese - grated,1 teaspoon Italian seasoning,1 tablespoon Garlic - chopped</t>
  </si>
  <si>
    <t>2 tazas de harina para todo uso (Maida), 2 cucharaditas de levadura seca activa, 1/4 cucharadita de azúcar, 1/2 cucharadita de sal, 1/4 taza de mantequilla derretida, 1/4 taza de agua tibia, 3/4 taza de leche tibia, 1/2 taza de mantequilla, 1 taza de queso cheddar rallado, 1/2 taza de queso mozzarella rallado, 1 cucharadita de condimento italiano, 1 cucharada de ajo picado</t>
  </si>
  <si>
    <t xml:space="preserve">To begin Making Cheesy Pull Apart Bread Recipe first make the dough by combining flour, yeast, water, milk,salt, sugar and butter until all the ingredients get well combined.Now place the dough on a floured surface and knead with a stretch and fold motion until smooth and elastic, about 10-12 minutes. Knead the dough till the dough springs back when you press with your fingers.Place the dough in a buttered bowl. Cover and allow it to rest and rise until doubled for about 2 hours.Meanwhile, make the Herbed spread ,melt the butter on low heat and add garlic to it, saute the garlic for one mins and then add the Italian herbed seasoning,switch the heat off and keep aside.Once the dough has risen, punch it down and roll it on a floured surface into a rectangle shape of half inch thickness. Spread the herbed butter on the dough and then spread the grated cheese evenly over the dough. Roll from one end gently and as tight as you can and cut into 12 equal portions. Place, cut side down, onto a greased baking dish and allow to rise until doubled for another half an hour.After the bread is risen ,brush the bread with the remaining herbed butter and bake for 30 mins in a preheated oven at 180 degree Celsius. Once the Cheesy Pull Apart Bread baked, remove and place them on wire racks to prevent the bread from sweating. You can serve them about 10 minutes after they have rested.Serve Cheesy Pull Apart Bread Recipe along with Skillet Potato And Eggs and  Carrot Pineapple Orange Juice  for a weekend breakfast or along with a Light And Healthy Spinach Soup Recipe and Mixed Beans Salad for a delicious weeknight dinner..
</t>
  </si>
  <si>
    <t>Para comenzar a hacer la receta de pan de queso para separar, primero haga la masa combinando harina, levadura, agua, leche, sal, azúcar y mantequilla hasta que todos los ingredientes estén bien combinados. Ahora coloque la masa sobre una superficie enharinada y amásela con un movimiento de estirar y doblar hasta que esté suave y elástica, aproximadamente 10-12 minutos. Amase la masa hasta que la masa recupere su forma original al presionarla con los dedos. Coloque la masa en un tazón untado con mantequilla. Cubra y deje reposar y levar hasta que doble su tamaño durante aproximadamente 2 horas. Mientras tanto, prepare la pasta para untar con hierbas, derrita la mantequilla a fuego lento y agregue ajo, saltee el ajo durante un minuto y luego agregue el condimento italiano con hierbas, apague el fuego y reserve. Una vez que la masa haya subido, golpéela y extiéndala sobre una superficie enharinada en forma de rectángulo de media pulgada de grosor. Extienda la mantequilla con hierbas sobre la masa y luego extienda el queso rallado uniformemente sobre la masa. Enrolle desde un extremo con cuidado y lo más apretado posible y corte en 12 porciones iguales. Coloque, con el lado cortado hacia abajo, en una fuente para hornear engrasada y deje levar hasta que doble su tamaño durante otra media hora. Después de que el pan haya levado, úntelo con la mantequilla con hierbas restante y hornee durante 30 minutos en un horno precalentado a 180 grados Celsius. Una vez horneado el pan con queso para deshacer, retírelo y colóquelo en rejillas de alambre para evitar que el pan sude. Puede servirlos unos 10 minutos después de que hayan reposado. Sirva la receta de pan con queso para deshacer junto con papas y huevos en sartén y jugo de naranja, piña y zanahoria para un desayuno de fin de semana o junto con una receta de sopa de espinacas ligera y saludable y una ensalada de frijoles mixtos para una deliciosa cena entre semana.</t>
  </si>
  <si>
    <t>Pour commencer à préparer la recette du pain au fromage à démouler, préparez d'abord la pâte en mélangeant la farine, la levure, l'eau, le lait, le sel, le sucre et le beurre jusqu'à ce que tous les ingrédients soient bien mélangés. Placez maintenant la pâte sur une surface farinée et pétrissez-la en l'étirant et en la pliant jusqu'à ce qu'elle soit lisse et élastique, environ 10 à 12 minutes. Pétrissez la pâte jusqu'à ce qu'elle reprenne son volume lorsque vous appuyez avec vos doigts. Placez la pâte dans un bol beurré. Couvrez-la et laissez-la reposer et lever jusqu'à ce qu'elle double de volume pendant environ 2 heures. Pendant ce temps, préparez la pâte à tartiner aux herbes, faites fondre le beurre à feu doux et ajoutez-y l'ail, faites revenir l'ail pendant une minute, puis ajoutez l'assaisonnement aux herbes italiennes, éteignez le feu et réservez. Une fois la pâte levée, aplatissez-la et roulez-la sur une surface farinée en un rectangle d'un demi-pouce d'épaisseur. Étalez le beurre aux herbes sur la pâte, puis étalez le fromage râpé uniformément sur la pâte. Roulez d'un bout doucement et aussi serré que possible et coupez en 12 portions égales. Déposez le pain, côté coupé vers le bas, sur un plat de cuisson graissé et laissez-le lever jusqu'à ce qu'il double de volume pendant une demi-heure supplémentaire. Une fois le pain levé, badigeonnez-le du reste de beurre aux herbes et faites-le cuire 30 minutes dans un four préchauffé à 180 °C. Une fois le pain au fromage cuit, retirez-le et placez-le sur une grille pour éviter qu'il ne transpire. Vous pouvez le servir environ 10 minutes après qu'il ait reposé. Servez la recette de pain au fromage avec des pommes de terre et des œufs à la poêle et du jus d'orange à la carotte et à l'ananas pour un petit-déjeuner de week-end ou avec une soupe aux épinards légère et saine et une salade de haricots mélangés pour un délicieux dîner en semaine.</t>
  </si>
  <si>
    <t>https://www.archanaskitchen.com/cheesy-pull-apart-bread-recipe</t>
  </si>
  <si>
    <t>Pesto Paneer Sandwich</t>
  </si>
  <si>
    <t>Pesto-Paneer-Sandwich</t>
  </si>
  <si>
    <t>Sandwich au pesto et au paneer</t>
  </si>
  <si>
    <t>Sándwich de pesto y paneer</t>
  </si>
  <si>
    <t>4 tranches de pain brun de blé entier, 1 oignon finement haché, 1 tomate finement hachée, 1 cuillère à soupe de pesto au basilic maison, 1/4 tasse de paneer (fromage cottage maison) émietté, 1 piment vert finement haché, sel au goût, beurre pour cuire le sandwich</t>
  </si>
  <si>
    <t>4 Whole Wheat Brown Bread - slices,1 Onion - finely chopped,1 Tomato - finely chopped,1 tablespoon Homemade Basil Pesto,1/4 cup Paneer (Homemade Cottage Cheese) - crumbled,1 Green Chilli - finely chopped,Salt - to taste,Butter - to cook sandwich</t>
  </si>
  <si>
    <t>4 rebanadas de pan integral, 1 cebolla finamente picada, 1 tomate finamente picado, 1 cucharada de pesto de albahaca casero, 1/4 taza de paneer (requesón casero) desmenuzado, 1 chile verde finamente picado, sal al gusto, mantequilla para cocinar el sándwich</t>
  </si>
  <si>
    <t xml:space="preserve">To begin making the Pesto Paneer Sandwich Recipe, we will first combine all the ingredients for the stuffing for the sandwich.In a large mixing bowl, combine the crumbled paneer, chopped onions, tomatoes, green chilli and salt. Check the salt and spices and adjust to suit your taste. The stuffing for the sandwich is now ready. Keep this aside.Next place the slices of bread on a flat surface. Spread half of the pesto on one slice of bread and spoon the paneer stuffing evenly over it. Cover to make a sandwich with the other bread.Grease and heat a skillet on medium heat. Melt some butter or drizzle oil on the skillet. Place the Pesto Paneer Sandwich on the skillet and cook the sandwich until golden brown on both sides.Serve the Pesto Paneer Sandwich for a great weekend breakfast along with Carrot Pineapple Orange Juice and Breakfast Oatmeal Raisin Muffin or even pack it into the kids lunch boxes.
</t>
  </si>
  <si>
    <t>Para empezar a preparar la receta del sándwich de pesto y paneer, primero combinaremos todos los ingredientes del relleno. En un tazón grande, combine el paneer desmenuzado, la cebolla picada, los tomates, el chile verde y la sal. Pruebe la sal y las especias y ajuste a su gusto. El relleno del sándwich ya está listo. Resérvelo. Luego, coloque las rebanadas de pan en una superficie plana. Unte la mitad del pesto en una rebanada de pan y distribuya el relleno de paneer uniformemente sobre ella. Cubra para hacer un sándwich con el otro pan. Engrase y caliente una sartén a fuego medio. Derrita un poco de mantequilla o rocíe aceite en la sartén. Coloque el sándwich de pesto y paneer en la sartén y cocine el sándwich hasta que esté dorado por ambos lados. Sirva el sándwich de pesto y paneer para un excelente desayuno de fin de semana junto con jugo de zanahoria, piña y naranja y muffin de avena con pasas para el desayuno, o incluso llévelo en las loncheras de los niños.</t>
  </si>
  <si>
    <t>Pour commencer à préparer la recette du sandwich au paneer et au pesto, nous allons d'abord mélanger tous les ingrédients de la farce. Dans un grand saladier, mélanger le paneer émietté, les oignons hachés, les tomates, le piment vert et le sel. Vérifier le sel et les épices et ajuster à votre goût. La farce du sandwich est maintenant prête. Réservez-la. Ensuite, placez les tranches de pain sur une surface plane. Étalez la moitié du pesto sur une tranche de pain et répartissez uniformément la farce au paneer dessus. Couvrez pour faire un sandwich avec l'autre pain. Graissez et faites chauffer une poêle à feu moyen. Faites fondre du beurre ou versez un filet d'huile dans la poêle. Placez le sandwich au paneer et au pesto dans la poêle et faites-le dorer des deux côtés. Servez le sandwich au paneer et au pesto pour un excellent petit-déjeuner du week-end, accompagné d'un jus de carotte, d'ananas et d'orange et d'un muffin aux raisins secs et à l'avoine. Vous pouvez également le glisser dans les boîtes à lunch des enfants.</t>
  </si>
  <si>
    <t>http://www.archanaskitchen.com/pesto-paneer-stuffed-french-toast-recipe</t>
  </si>
  <si>
    <t>Eggless Chocolate Chip Cupcakes With Spinach Recipe</t>
  </si>
  <si>
    <t>Rezept für Schokoladen-Cupcakes mit Spinat ohne Eier</t>
  </si>
  <si>
    <t>Recette de cupcakes au chocolat et aux épinards sans œufs</t>
  </si>
  <si>
    <t>Receta de cupcakes de chocolate y espinacas sin huevo</t>
  </si>
  <si>
    <t>1-1/4 tasse de flocons d'avoine instantanés (gruau) - en poudre, 1/4 tasse de badam (amande) - en poudre, 1/2 tasse de cacao en poudre, 1/2 tasse de sucre de coco, 1-1/2 cuillères à café de levure chimique, 1/2 cuillère à café de bicarbonate de soude, feuilles d'épinards (Palak) - un petit bouquet, 200 grammes de yaourt à la noix de coco - ou yaourt suspendu (yaourt grec), 2 cuillères à soupe de graines de chia, 2 bananes mûres - (bananes tachetées), 6 cuillères à soupe de lait de coco - ou de lait, 1/2 tasse de pépites de chocolat</t>
  </si>
  <si>
    <t>1-1/4 cup Instant Oats (Oatmeal) - powdered,1/4 cup Badam (Almond) - powdered,1/2 cup Cocoa Powder,1/2 cup Coconut Sugar,1-1/2 teaspoons Baking powder,1/2 teaspoon Baking soda,Spinach Leaves (Palak) - a small bunch,200 grams Coconut Yogurt - or hung yogurt (greek yogurt),2 tablespoons Chia Seeds,2 Ripe Bananas - (spotted bananas),6 tablespoons Coconut milk - or milk,1/2 cup Chocolate chips</t>
  </si>
  <si>
    <t>1-1/4 taza de avena instantánea (avena) - en polvo, 1/4 taza de Badam (almendra) - en polvo, 1/2 taza de cacao en polvo, 1/2 taza de azúcar de coco, 1-1/2 cucharaditas de polvo para hornear, 1/2 cucharadita de bicarbonato de sodio, hojas de espinaca (Palak) - un pequeño manojo, 200 gramos de yogur de coco - o yogur colgado (yogur griego), 2 cucharadas de semillas de chía, 2 plátanos maduros - (plátanos manchados), 6 cucharadas de leche de coco - o leche, 1/2 taza de chispas de chocolate</t>
  </si>
  <si>
    <t xml:space="preserve">To prepare this yummy Eggless Chocolate Chip Cupcakes With Spinach Recipe, preheat the Oven at 200 degrees Centigrade and line a mini Muffin tray with 24 muffin cups.In a small bowl, add chia seeds and coconut water and mix well and let it sit for 10 minutes to form a chia egg.In a large Mixing bowl, add all the dry ingredients and 1/4 cup chocolate chips.In a Blender/mixer add bananas, yogurt, spinach and blend until smooth. Add the chia eggs and turn on the blender for a few seconds until combined.Pour this mixture onto the dry ingredients and gently mix everything using a spatula until everything is combined.Fill the cavity of the muffin cups until its 3/4th full, sprinkle the remaining chocolate chips on top and bake for 14-16 minutes or until done.Remove it on to a cooling rack to cool and store it in an airtight container.Eggless Chocolate Chip Cupcakes With Spinach Recipe Keeps well in the fridge for a week. Serve them during tea time or as a dessert after lunch/dinner.
</t>
  </si>
  <si>
    <t>Para preparar esta deliciosa receta de cupcakes de chispas de chocolate sin huevo con espinacas, precalienta el horno a 200 grados centígrados y forra una bandeja para mini muffins con 24 moldes para muffins. En un tazón pequeño, agrega las semillas de chía y el agua de coco, mezcla bien y deja reposar durante 10 minutos para formar un huevo de chía. En un tazón grande, agrega todos los ingredientes secos y 1/4 de taza de chispas de chocolate. En una licuadora/batidora, agrega los plátanos, el yogur, las espinacas y mezcla hasta que esté suave. Agrega los huevos de chía y enciende la licuadora durante unos segundos hasta que se combinen. Vierte esta mezcla sobre los ingredientes secos y mezcla todo suavemente con una espátula hasta que todo esté combinado. Llena la cavidad de los moldes para muffins hasta 3/4 de su capacidad, espolvorea las chispas de chocolate restantes por encima y hornea durante 14-16 minutos o hasta que esté listo. Retíralo a una rejilla para enfriar y guárdalo en un recipiente hermético. La receta de cupcakes de chispas de chocolate sin huevo con espinacas se conserva bien en el refrigerador durante una semana. Sírvelos a la hora del té o como postre después del almuerzo/cena.</t>
  </si>
  <si>
    <t>Pour préparer cette délicieuse recette de cupcakes aux pépites de chocolat et aux épinards sans œufs, préchauffez le four à 200 degrés Celsius et chemisez un moule à mini muffins avec 24 caissettes à muffins. Dans un petit bol, ajoutez les graines de chia et l'eau de coco, mélangez bien et laissez reposer 10 minutes pour former un œuf de chia. Dans un grand saladier, ajoutez tous les ingrédients secs et 1/4 tasse de pépites de chocolat. Dans un mixeur/mixeur, ajoutez les bananes, le yaourt, les épinards et mixez jusqu'à consistance lisse. Ajoutez les œufs de chia et allumez le mixeur pendant quelques secondes jusqu'à ce que le tout soit combiné. Versez ce mélange sur les ingrédients secs et mélangez délicatement le tout à l'aide d'une spatule jusqu'à ce que tout soit combiné. Remplissez la cavité des moules à muffins jusqu'aux 3/4, saupoudrez du reste des pépites de chocolat sur le dessus et faites cuire au four pendant 14 à 16 minutes ou jusqu'à ce que ce soit cuit. Retirez-le sur une grille de refroidissement pour le refroidir et conservez-le dans un récipient hermétique. Recette de cupcakes aux pépites de chocolat et aux épinards sans œufs Se conserve bien au réfrigérateur pendant une semaine. Servez-les à l'heure du thé ou en dessert après le déjeuner/dîner.</t>
  </si>
  <si>
    <t>https://www.archanaskitchen.com/eggless-chocolate-chip-cupcakes-with-spinach-recipe</t>
  </si>
  <si>
    <t>Flourless Mud Pie Recipe</t>
  </si>
  <si>
    <t>Rezept für Mud Pie ohne Mehl</t>
  </si>
  <si>
    <t>Recette de Mud Pie sans farine</t>
  </si>
  <si>
    <t>Receta de pastel de barro sin harina</t>
  </si>
  <si>
    <t>115 grammes de chocolat noir, 65 grammes de beurre (non salé), 65 grammes de sucre en poudre, 1/2 cuillère à café d'extrait de vanille, 50 grammes de poudre d'amande (poudre de badamier), 3 œufs entiers (ou substitut d'œuf à base de farine de lin), 1 cuillère à soupe de Chikki (caramel aux arachides) - facultatif</t>
  </si>
  <si>
    <t>115 grams Dark chocolate,65 grams Butter (unsalted),65 grams Caster Sugar,1/2 teaspoon Vanilla Extract,50 grams Almond Meal (Badam Powder),3 Whole Eggs - (or Flax meal Egg Replacer),1 tablespoon Chikki (peanut brittle) - optional</t>
  </si>
  <si>
    <t>115 gramos de chocolate negro, 65 gramos de mantequilla (sin sal), 65 gramos de azúcar extrafino, 1/2 cucharadita de extracto de vainilla, 50 gramos de harina de almendras (polvo de almendras), 3 huevos enteros (o sustituto de huevo de harina de lino), 1 cucharada de Chikki (maní quebradizo) - opcional</t>
  </si>
  <si>
    <t xml:space="preserve">To begin making the Flourless Chocolate Mud Pie Recipe, we will first melt the chocolate using the double boiler method. First, place a saucepan on medium heat with 250 ml of water and bring it to a gentle simmer. Place a heat proof bowl over the saucepan such that the water is not in direct contact with the heatproof bowl. We will henceforth refer to this arrangement as bain-marie.In the bain-marie, melt bite size pieces of chocolate and butter until a smooth mixture is formed. We will now take the bowl off heat and set it aside until partially cooled.Meanwhile, let's separate the egg whites and the yolks. Beat the egg whites with an electric beater or wire whisk until stiff peaks are formed.Note: If you plan to make this recipe eggless (egg free) then prepare the Flax meal Egg Replacer and keep it aside.When the chocolate mixture cools, fold in the sugar, ground almonds, vanilla essence and egg yolks with a rubber spatula. Note: Add the Flax meal Egg Replacer at the above stage.Further, fold the beaten egg whites gently into the chocolate mixture by taking care, not to deflate the egg-chocolate mixture. This step is crucial to help maintain the consistency of the mud pie.  (Skip this step for egg free cake)Now, we shall pour the chocolate mixture into a lined and greased spring foam tin and bake in a preheated 180C oven for 30 to 35 minutes until just set. You will notice when a tester like a pick or a knife inserted into the center comes almost clean, but not completely. The mud pies most often will have a few cake crumbs that get stuck to the center, but it's not raw.Once the mud pie is baked, remove the cake from the oven and allow it to cool. Take care to unmould the cake only when completely cooled.An optional step would be to whip up a simple chocolate ganache and slather it all over the mud pie.I also topped it with store bought peanut brittle to give it a little crunch. Butterscotch will work wonders too.Serve the Flourless Chocolate Mud Pie chilled or at room temperature for your parties or even as a tea time snack
</t>
  </si>
  <si>
    <t>Para comenzar a hacer la Receta de Pastel de Chocolate sin Harina, primero derretiremos el chocolate usando el método de baño maría. Primero, coloque una cacerola a fuego medio con 250 ml de agua y llévela a fuego lento. Coloque un recipiente resistente al calor sobre la cacerola de manera que el agua no esté en contacto directo con el recipiente resistente al calor. De ahora en adelante nos referiremos a esta disposición como baño maría. En el baño maría, derrita trozos pequeños de chocolate y mantequilla hasta que se forme una mezcla suave. Ahora retiraremos el recipiente del fuego y lo dejaremos a un lado hasta que se enfríe parcialmente. Mientras tanto, separe las claras de huevo y las yemas. Bata las claras de huevo con una batidora eléctrica o un batidor de varillas hasta que se formen picos rígidos. Nota: Si planea hacer esta receta sin huevo (sin huevo), prepare el sustituto de huevo de harina de lino y déjelo a un lado. Cuando la mezcla de chocolate se enfríe, incorpore el azúcar, las almendras molidas, la esencia de vainilla y las yemas de huevo con una espátula de goma. Nota: Agregue el sustituto de huevo de harina de lino en la etapa anterior. Además, incorpore suavemente las claras de huevo batidas a la mezcla de chocolate con cuidado de no desinflar la mezcla de huevo y chocolate. Este paso es crucial para ayudar a mantener la consistencia del pastel de barro. (Omita este paso para un pastel sin huevo) Ahora, verteremos la mezcla de chocolate en un molde de espuma de resorte forrado y engrasado y hornearemos en un horno precalentado a 180 ° C durante 30 a 35 minutos hasta que esté listo. Notará cuando un probador como un palillo o un cuchillo insertado en el centro salga casi limpio, pero no completamente. Los pasteles de barro más a menudo tendrán algunas migas de pastel que se pegan al centro, pero no están crudos. Una vez que el pastel de barro esté horneado, retírelo del horno y déjelo enfriar. Asegúrate de desmoldar el pastel solo cuando esté completamente frío. Como opción, puedes preparar un ganache de chocolate sencillo y untarlo por todo el pastel. También lo cubrí con crocante de cacahuete comprado para darle un toque crujiente. El caramelo de mantequilla también queda de maravilla. Sirve el pastel de chocolate sin harina frío o a temperatura ambiente para tus fiestas o incluso como merienda.</t>
  </si>
  <si>
    <t>Pour commencer à préparer la recette de tarte au chocolat sans farine, nous allons d'abord faire fondre le chocolat au bain-marie. Tout d'abord, placez une casserole sur feu moyen avec 250 ml d'eau et portez-la à frémissement doux. Placez un bol résistant à la chaleur sur la casserole de manière à ce que l'eau ne soit pas en contact direct avec le bol résistant à la chaleur. Nous appellerons désormais cet arrangement bain-marie. Au bain-marie, faites fondre des morceaux de chocolat et de beurre de la taille d'une bouchée jusqu'à l'obtention d'un mélange lisse. Nous allons maintenant retirer le bol du feu et le mettre de côté jusqu'à ce qu'il soit partiellement refroidi. Pendant ce temps, séparons les blancs d'œufs des jaunes. Battez les blancs d'œufs avec un batteur électrique ou un fouet métallique jusqu'à formation de pics fermes. Remarque : si vous prévoyez de réaliser cette recette sans œufs (sans œufs), préparez le substitut d'œuf à la farine de lin et réservez-le. Lorsque le mélange au chocolat refroidit, incorporez le sucre, les amandes moulues, l'essence de vanille et les jaunes d'œufs à l'aide d'une spatule en caoutchouc. Remarque : ajoutez le substitut d'œuf à base de farine de lin à l'étape ci-dessus. De plus, incorporez délicatement les blancs d'œufs battus au mélange de chocolat en prenant soin de ne pas dégonfler le mélange œuf-chocolat. Cette étape est cruciale pour aider à maintenir la consistance de la tarte à la boue. (Sautez cette étape pour un gâteau sans œufs) Maintenant, nous allons verser le mélange de chocolat dans un moule à ressort en mousse chemisé et graissé et cuire dans un four préchauffé à 180 °C pendant 30 à 35 minutes jusqu'à ce qu'il soit juste pris. Vous remarquerez lorsqu'un testeur comme un pic ou un couteau inséré au centre ressort presque propre, mais pas complètement. Les tartes à la boue auront le plus souvent quelques miettes de gâteau qui collent au centre, mais ce n'est pas cru. Une fois la tarte à la boue cuite, retirez le gâteau du four et laissez-le refroidir. Veillez à ne démouler le gâteau qu'une fois complètement refroidi. Vous pouvez également préparer une ganache au chocolat simple et l'étaler sur toute la tarte. J'ai également ajouté du croquant aux cacahuètes du commerce pour lui donner un peu de croquant. Le caramel au beurre fera également des merveilles. Servez la tarte au chocolat sans farine fraîche ou à température ambiante pour vos réceptions, ou même pour un goûter.</t>
  </si>
  <si>
    <t>https://www.archanaskitchen.com/flourless-mud-pie-recipe</t>
  </si>
  <si>
    <t>No-Bake Chocolate Hazelnut Cheesecake Recipe</t>
  </si>
  <si>
    <t>Rezept für Schokoladen-Haselnuss-Käsekuchen ohne Backen</t>
  </si>
  <si>
    <t>Recette de cheesecake au chocolat et aux noisettes sans cuisson</t>
  </si>
  <si>
    <t>Receta de tarta de queso con chocolate y avellanas sin horno</t>
  </si>
  <si>
    <t>200 grammes de biscuits Oreo (ou biscuits digestifs), 1/4 tasse de beurre (non salé), 3/4 tasse de fromage à la crème Britannia (à température ambiante), 1/4 tasse de crème à fouetter épaisse (réfrigérée), 1/2 tasse de pâte à tartiner Nutella, 1 cuillère à soupe de sucre en poudre, 1 cuillère à café d'extrait de vanille, 3/4 cuillère à soupe de gélatine (ou d'agar-agar), 2 cuillères à soupe d'eau (à ajuster), noisettes hachées / 4 chocolats Ferrero Rocher</t>
  </si>
  <si>
    <t>200 grams Oreo biscuits - (or digestive biscuits),1/4 cup Butter (unsalted),3/4 cup Britannia Cream Cheese - at room temperature,1/4 cup Heavy whipping cream - chilled,1/2 cup Nutella Spread,1 tablespoon Caster Sugar,1 teaspoon Vanilla Extract,3/4 tablespoon Gelatin - or Agar Agar,2 tablespoons Water - (adjust),Hazelnut - chopped/ 4 Ferrero Rocher chocolate</t>
  </si>
  <si>
    <t>200 gramos de galletas Oreo (o galletas digestivas), 1/4 taza de mantequilla (sin sal), 3/4 taza de queso crema Britannia (a temperatura ambiente), 1/4 taza de crema batida espesa (fría), 1/2 taza de Nutella para untar, 1 cucharada de azúcar extrafino, 1 cucharadita de extracto de vainilla, 3/4 cucharada de gelatina (o agar agar), 2 cucharadas de agua (ajustar), avellanas picadas, 4 chocolates Ferrero Rocher</t>
  </si>
  <si>
    <t xml:space="preserve">*To make the biscuit base:To prepare No-Bake Chocolate Hazelnut Cheesecake Recipe, make the biscuit base - powder the biscuits in a food processor to a fine crumb.Add the melted butter to it and mix until well combined. Place the biscuit crumbs into a greased springform cake tin / small serving glasses.Press down until firm. Then place in the fridge to chill till the filling is ready.*To make the cheesecake filling:Take a small cup and mix the gelatin or agar agar (vegetarian option) with 2-3 tablespoons of water and set aside for 5 minutes.After 5 minutes, heat it in a microwave for 20-30 seconds until completely melted. Let it cool slightly.In a mixing bowl beat together cream cheese , cream and sugar until smooth and well combined.Add nutella and vanilla essence and continue mixing.Finally, add gelatin mix to the cheese-mix and combine everything together .Spread the cheesecake filling over the prepared base, smooth the top .Cover and leave to set in the fridge for at least 6 hours .To decorate: Once the No-Bake Chocolate Hazelnut Cheesecake Recipe is set, decorate the top with the chopped toasted hazelnuts / ferrero rocher /choco shavings .Serve Chocolate Hazelnut Cheesecake Chilled!
</t>
  </si>
  <si>
    <t>*Para hacer la base de galleta: Para preparar la receta de tarta de queso con chocolate y avellanas sin horno, haga la base de galleta: triture las galletas en un procesador de alimentos hasta obtener una miga fina. Agregue la mantequilla derretida y mezcle hasta que esté bien combinado. Coloque las migas de galleta en un molde para pastel desmontable engrasado o vasos pequeños para servir. Presione hasta que esté firme. Luego, coloque en el refrigerador para enfriar hasta que el relleno esté listo. *Para hacer el relleno de tarta de queso: Tome una taza pequeña y mezcle la gelatina o agar agar (opción vegetariana) con 2-3 cucharadas de agua y deje reposar durante 5 minutos. Después de 5 minutos, caliéntelo en el microondas durante 20-30 segundos hasta que se derrita por completo. Déjalo enfriar un poco. En un tazón, bate el queso crema, la crema y el azúcar hasta que estén suaves y bien combinados. Agrega Nutella y esencia de vainilla y continúa mezclando. Finalmente, agrega la mezcla de gelatina a la mezcla de queso y combina todo. Extiende el relleno de tarta de queso sobre la base preparada, alisa la superficie. Cubre y deja reposar en el refrigerador durante al menos 6 horas. Para decorar: Una vez que la receta de tarta de queso con chocolate y avellanas sin horno esté lista, decora la parte superior con las avellanas tostadas picadas / Ferrero Rocher / virutas de chocolate. ¡Sirve la tarta de queso con chocolate y avellanas fría!</t>
  </si>
  <si>
    <t>*Pour faire la base de biscuit : Pour préparer la recette de cheesecake au chocolat et aux noisettes sans cuisson, préparez la base de biscuit - réduisez les biscuits en poudre dans un robot culinaire jusqu'à obtenir une chapelure fine. Ajoutez-y le beurre fondu et mélangez jusqu'à ce que le tout soit bien mélangé. Placez les miettes de biscuits dans un moule à charnière graissé / de petits verres de service. Appuyez jusqu'à ce que le tout soit ferme. Placez ensuite au réfrigérateur pour refroidir jusqu'à ce que la garniture soit prête. *Pour faire la garniture du cheesecake : Prenez une petite tasse et mélangez la gélatine ou l'agar-agar (option végétarienne) avec 2 à 3 cuillères à soupe d'eau et laissez reposer 5 minutes. Après 5 minutes, faites-le chauffer au micro-ondes pendant 20 à 30 secondes jusqu'à ce qu'il soit complètement fondu. Laissez refroidir légèrement. Dans un saladier, battez le fromage frais, la crème et le sucre jusqu'à obtenir une consistance lisse et homogène. Ajoutez le Nutella et l'essence de vanille et continuez de mélanger. Enfin, ajoutez le mélange de gélatine au mélange de fromage et mélangez le tout. Étalez la garniture du cheesecake sur la base préparée, lissez le dessus. Couvrez et laissez prendre au réfrigérateur pendant au moins 6 heures. Pour décorer : une fois la recette du cheesecake chocolat-noisettes sans cuisson prête, décorez le dessus avec des noisettes grillées hachées / Ferrero Rocher / copeaux de chocolat. Servez le cheesecake chocolat-noisettes bien frais !</t>
  </si>
  <si>
    <t>http://www.archanaskitchen.com/no-bake-chocolate-hazelnut-cheesecake-recipe</t>
  </si>
  <si>
    <t>Mango &amp; Mixed Fruit Popsicle Recipe</t>
  </si>
  <si>
    <t>Rezept für Eis am Stiel mit Mango und gemischten Früchten</t>
  </si>
  <si>
    <t>Recette de glace sur bâtonnet à la mangue et aux fruits mélangés</t>
  </si>
  <si>
    <t>Receta de helado de mango y frutas mixtas en palito</t>
  </si>
  <si>
    <t>2 tasses de jus de mangue, 2 kiwis pelés et tranchés, 1/4 tasse de raisins verts tranchés, 1/4 tasse de fraises tranchées, quelques feuilles de menthe (Pudina)</t>
  </si>
  <si>
    <t>2 cups Mango juice,2 Kiwi - peeled and sliced,1/4 cup Green Grapes - sliced,1/4 cup Strawberries - sliced,Mint Leaves (Pudina) - a few</t>
  </si>
  <si>
    <t>2 tazas de jugo de mango, 2 kiwis pelados y en rodajas, 1/4 taza de uvas verdes en rodajas, 1/4 taza de fresas en rodajas, hojas de menta (pudina) - algunas</t>
  </si>
  <si>
    <t xml:space="preserve">To begin making Mango &amp; Mixed Fruit Popsicle Recipe, chop your favorite fruits and keep them aside.Drop the fruit pieces into the Popsicle molds, dividing them equally.Top with one or two mint leaves in each mold.Gently pour mango drink or fruit juice till almost to the top.If using plastic sticks that come with the mold, place it in the juice to close the moulds.If using store bought wooden Popsicle sticks, stick the moulds in the freezer for about 30 to 40 minutes.After 30 minutes, remove the moulds and gently insert the Popsicle sticks. Stick the Mango &amp; Mixed Fruit Popsicle  back in the freezer to completely set (8 hours to overnight).After the Mango &amp; Mixed Fruit Popsicle have completely set, remove from the freezer.Place the moulds under running water for a few seconds and gently pull out the Mango &amp; Mixed Fruit Popsicle.Juicy, colorful Mango Flavored Mixed Fruit Popsicle Recipe are ready to slurp away!!Serve The Mango &amp; Mixed Fruit Popsicle Recipe as an after school snack or as a dessert after dinner meal of Chickpea Orange Salad Recipe with Sun Dried Tomatoes and Penne Pasta Recipe in Spinach Basil Pesto Sauce
</t>
  </si>
  <si>
    <t>Para comenzar a hacer la receta de paletas de mango y frutas mixtas, corte sus frutas favoritas y déjelas a un lado. Coloque los trozos de fruta en los moldes para paletas, dividiéndolos en partes iguales. Cubra con una o dos hojas de menta en cada molde. Vierta suavemente la bebida de mango o el jugo de fruta hasta casi el borde. Si usa palitos de plástico que vienen con el molde, colóquelos en el jugo para cerrar los moldes. Si usa palitos de helado de madera comprados en la tienda, meta los moldes en el congelador durante aproximadamente 30 a 40 minutos. Después de 30 minutos, retire los moldes e inserte suavemente los palitos de helado. Vuelve a meter la paleta de mango y frutas mixtas en el congelador para que cuaje por completo (de 8 horas a toda la noche). Una vez que haya cuajado por completo, sácala del congelador. Coloca los moldes bajo el chorro de agua durante unos segundos y retira con cuidado la paleta. ¡Esta jugosa y colorida paleta de frutas mixtas con sabor a mango está lista para degustar! Sirve la paleta de mango y frutas mixtas como merienda después de la escuela o como postre después de cenar, como la ensalada de garbanzos y naranja con tomates secos y la pasta penne con salsa de pesto de espinacas y albahaca.</t>
  </si>
  <si>
    <t>Pour commencer à préparer la recette de popsicles à la mangue et aux fruits mélangés, hachez vos fruits préférés et réservez-les. Déposez les morceaux de fruits dans les moules à popsicles en les répartissant équitablement. Garnissez d'une ou deux feuilles de menthe dans chaque moule. Versez délicatement la boisson à la mangue ou le jus de fruits jusqu'à presque le haut. Si vous utilisez des bâtonnets en plastique fournis avec le moule, placez-les dans le jus pour fermer les moules. Si vous utilisez des bâtonnets de popsicle en bois achetés en magasin, placez les moules au congélateur pendant environ 30 à 40 minutes. Après 30 minutes, retirez les moules et insérez délicatement les bâtonnets de popsicle. Remettez la glace à la mangue et aux fruits mélangés au congélateur pour qu'elle prenne complètement (de 8 heures à une nuit). Une fois la glace à la mangue et aux fruits mélangés complètement prise, retirez-la du congélateur. Placez les moules sous l'eau courante pendant quelques secondes et retirez délicatement la glace à la mangue et aux fruits mélangés. Cette recette de glace à la mangue, juteuse et colorée, est prête à être dévorée ! Servez la recette de glace à la mangue et aux fruits mélangés comme collation après l'école ou comme dessert après le dîner, comme salade de pois chiches à l'orange avec tomates séchées au soleil et pâtes penne à la sauce pesto d'épinards et basilic.</t>
  </si>
  <si>
    <t>https://www.archanaskitchen.com/mango-cream-popsicle-recipe</t>
  </si>
  <si>
    <t>Bread Waffle Pizza Recipe</t>
  </si>
  <si>
    <t>Rezept für Brotwaffelpizza</t>
  </si>
  <si>
    <t>Recette de pizza au pain gaufré</t>
  </si>
  <si>
    <t>Receta de pizza de pan de gofre</t>
  </si>
  <si>
    <t>8 pains bruns de blé entier, 1/4 tasse de fromage mozzarella râpé, 1 oignon haché, 1 poivron vert haché, 1 tomate hachée, 2 cuillères à soupe de maïs doux, 15 jeunes pousses d'épinards, poudre de poivre noir au goût, 4 cuillères à soupe de sauce pour pizza et pâtes maison, 1/2 cuillère à café d'origan séché, beurre pour graisser le gaufrier</t>
  </si>
  <si>
    <t>8 Whole Wheat Brown Bread,1/4 cup Mozzarella cheese - grated,1 Onion - chopped,1 Green Bell Pepper (Capsicum) - chopped,1 Tomato - chopped,2 tablespoons Sweet corn,15 Baby spinach,Black pepper powder - to taste,4 tablespoons Homemade Pizza And Pasta Sauce,1/2 teaspoon Dried oregano,Butter - to grease waffle iron</t>
  </si>
  <si>
    <t>8 panes integrales, 1/4 taza de queso mozzarella rallado, 1 cebolla picada, 1 pimiento verde picado, 1 tomate picado, 2 cucharadas de maíz dulce, 15 espinacas baby, pimienta negra en polvo al gusto, 4 cucharadas de salsa casera para pizza y pasta, 1/2 cucharadita de orégano seco, mantequilla para engrasar la waflera</t>
  </si>
  <si>
    <t xml:space="preserve">To begin making the Bread Waffle Pizza Recipe, firstly cut the sides of each bread slice.Grease waffle iron with butter and put one bread slice over it. Now spread pizza sauce and arrange chopped vegetables including onion, green bell peppper, sweet corn, tomato and baby spinach over it.Add mozzarella cheese over the bread slice. Now, sprinkle black pepper powder and dried oregano leaves. Cover it with another bread slice.Cover and cook it for 5 minutes or until it turns golden in colour.Repeat the same process to make more waffles.Serve Bread Waffle Pizza Recipe along with Watermelon Panzanella Salad, Penne Pasta Arrabiata and Chocolate Ganache Tart for your weekend brunch..
</t>
  </si>
  <si>
    <t>Para empezar a preparar la receta de pizza de pan y waffles, corta los lados de cada rebanada de pan. Engrasa la waflera con mantequilla y coloca una rebanada de pan encima. Unta la salsa para pizza y coloca encima las verduras picadas, como cebolla, pimiento verde, maíz dulce, tomate y espinacas baby. Agrega queso mozzarella sobre la rebanada de pan. Espolvorea pimienta negra en polvo y hojas de orégano seco. Cúbrela con otra rebanada de pan. Tapa y cocina durante 5 minutos o hasta que se dore. Repite el mismo proceso para hacer más waffles. Sirve la receta de pizza de pan y waffles junto con ensalada de panzanella de sandía, pasta penne arrabiata y tarta de ganache de chocolate para tu brunch de fin de semana.</t>
  </si>
  <si>
    <t>Pour commencer à préparer la pizza gaufrée au pain, coupez d'abord les côtés de chaque tranche de pain. Beurrez le gaufrier et posez une tranche de pain dessus. Étalez ensuite la sauce à pizza et disposez les légumes hachés, notamment l'oignon, le poivron vert, le maïs doux, la tomate et les jeunes pousses d'épinards. Ajoutez de la mozzarella sur la tranche de pain. Saupoudrez de poivre noir et de feuilles d'origan séchées. Recouvrez d'une autre tranche de pain. Couvrez et faites cuire 5 minutes ou jusqu'à ce qu'elle soit dorée. Répétez le même processus pour faire d'autres gaufres. Servez la pizza gaufrée au pain avec une salade panzanella à la pastèque, des penne arrabiata et une tarte au chocolat et ganache pour votre brunch du week-end.</t>
  </si>
  <si>
    <t>https://www.archanaskitchen.com/bread-waffle-pizza-recipe</t>
  </si>
  <si>
    <t>Fennel Infused Mango Sorbet Recipe</t>
  </si>
  <si>
    <t>Rezept für Mangosorbet mit Fenchel</t>
  </si>
  <si>
    <t>Recette de sorbet mangue au fenouil</t>
  </si>
  <si>
    <t>Receta de sorbete de mango e hinojo</t>
  </si>
  <si>
    <t>1-1/2 tasse de mangue (mûre) - purée, 1-1/2 tasse de jus d'orange frais, 1 tasse d'eau, 1/2 cuillère à café de graines de fenouil (sauce), 2 cuillères à soupe de sucre</t>
  </si>
  <si>
    <t>1-1/2 cups Mango (Ripe) - puree,1-1/2 cup Fresh orange juice,1 cup Water,1/2 teaspoon Fennel seeds (Saunf),2 tablespoons Sugar</t>
  </si>
  <si>
    <t>1-1/2 tazas de puré de mango (maduro), 1-1/2 taza de jugo de naranja fresco, 1 taza de agua, 1/2 cucharadita de semillas de hinojo (saunf), 2 cucharadas de azúcar</t>
  </si>
  <si>
    <t xml:space="preserve">To begin making the Fennel Infused Mango Sorbet Recipe, in a saucepan, put the sugar, fennel and water and bring to rolling boil stirring frequently. Turn off the heat and allow to cool completely. Once cooled strain and set aside.In large bowl combine the mango puree, orange juice and the sugar water. Stir well till the mixture is well combined.Turn on the ice cream maker and transfer the mixture into the freezer bowl. Churn for about 25-30 minutes or till you get the desired creamy consistency.Transfer the Fennel Infused Mango Sorbet into a airtight freezer safe container and into the freezer to set for 3-4 hours undisturbed.Remove the Fennel Infused Mango Sorbet from the freezer 5 minutes before you serve so it's easy to scoop it out and serve for the hot summers.
</t>
  </si>
  <si>
    <t>Para empezar a preparar la receta de sorbete de mango con infusión de hinojo, en una cacerola, pon el azúcar, el hinojo y el agua y deja que hierva removiendo con frecuencia. Apaga el fuego y deja enfriar por completo. Una vez enfriado, cuela y reserva. En un tazón grande, combina el puré de mango, el jugo de naranja y el agua azucarada. Revuelve bien hasta que la mezcla esté bien combinada. Enciende la máquina para hacer helados y transfiere la mezcla al tazón del congelador. Bate durante unos 25-30 minutos o hasta obtener la consistencia cremosa deseada. Transfiere el sorbete de mango con infusión de hinojo a un recipiente hermético apto para congelador y mételo en el congelador para que cuaje durante 3-4 horas sin tocarlo. Retira el sorbete de mango con infusión de hinojo del congelador 5 minutos antes de servir para que sea fácil de sacar y servir para los veranos calurosos.</t>
  </si>
  <si>
    <t>Pour commencer la recette du sorbet à la mangue infusé au fenouil, dans une casserole, mettez le sucre, le fenouil et l'eau et portez à ébullition en remuant fréquemment. Éteignez le feu et laissez refroidir complètement. Une fois refroidi, filtrez et réservez. Dans un grand bol, mélangez la purée de mangue, le jus d'orange et l'eau sucrée. Remuez bien jusqu'à obtenir un mélange homogène. Allumez la sorbetière et transvasez le mélange dans le bol du congélateur. Turbinez pendant environ 25 à 30 minutes ou jusqu'à obtenir la consistance crémeuse souhaitée. Transférez le sorbet à la mangue infusé au fenouil dans un récipient hermétique allant au congélateur et placez-le au congélateur pendant 3 à 4 heures sans le déranger. Sortez le sorbet à la mangue infusé au fenouil du congélateur 5 minutes avant de servir afin qu'il soit facile à sortir et à servir pendant les étés chauds.</t>
  </si>
  <si>
    <t>http://www.archanaskitchen.com/fennel-infused-mango-sorbet-recipe</t>
  </si>
  <si>
    <t>5 Grain Greek Yogurt Fruit Parfait Recipe</t>
  </si>
  <si>
    <t>Rezept für Fruchtparfait aus griechischem 5-Korn-Joghurt</t>
  </si>
  <si>
    <t>Recette de parfait aux fruits à base de yaourt grec aux 5 céréales</t>
  </si>
  <si>
    <t>Receta de parfait de frutas elaborado con yogur griego de 5 cereales</t>
  </si>
  <si>
    <t>8 biscuits digestifs multigrains - cassés, 2 cuillères à soupe de miel, 1 tasse de yaourt grec (Hung Curd), 4 cuillères à soupe de graines de chia, fruits frais - tranchés (de saison)</t>
  </si>
  <si>
    <t>8 Multigrain Digestive Biscuits - broken,2 tablespoons Honey,1 cup Hung Curd (Greek Yogurt),4 tablespoons Chia Seeds,Fresh fruits - sliced (Seasonal)</t>
  </si>
  <si>
    <t>8 galletas digestivas multigrano (rotas), 2 cucharadas de miel, 1 taza de yogur griego (hung curd), 4 cucharadas de semillas de chía, frutas frescas en rodajas (de temporada)</t>
  </si>
  <si>
    <t xml:space="preserve">To begin making the 5 Grain Greek Yogurt Fruit Parfait, first prep all the ingredients and keep it ready.Pulse the NutriChoice 5 Grain Digestive Biscuits in a mixer to make coarse crumbs and keep aside.Whisk the greek yogurt with honey and keep aside.Slice the seasoning fruits and keep aside.To assemble the 5 Grain Greek Yogurt Fruit Parfait, into a jar, spoon the crumbled NutriChoice 5 grain digestive biscuits.Add 3 tablespoons greek yogurt,  layer with seasonal fruits, top it with a tablespoons of chia seeds, some more greek yogurt and finally sprinkle biscuit crumble on top.The 5 Grain Greek Yogurt Fruit Parfait is now ready. Refrigerate it for at least 2 hours before serving.Serve the 5 Grain Greek Yogurt Fruit Parfait as a snack for your office or an evening snack at home.You can also serve the 5 Grain Greek Yogurt Fruit Parfait for breakfast along with Indian Style Masala Omelette Grilled Sandwich for a wholesome breakfast.
</t>
  </si>
  <si>
    <t>Para comenzar a hacer el Parfait de frutas con yogur griego de 5 granos, primero prepare todos los ingredientes y téngalos listos. Pulse las galletas digestivas de 5 granos NutriChoice en una batidora para hacer migas gruesas y reserve. Bata el yogur griego con miel y reserve. Corte las frutas de condimento y reserve. Para armar el Parfait de frutas con yogur griego de 5 granos, en un frasco, coloque con una cuchara las galletas digestivas de 5 granos NutriChoice desmenuzadas. Agregue 3 cucharadas de yogur griego, coloque una capa con frutas de temporada, cúbralo con una cucharada de semillas de chía, un poco más de yogur griego y finalmente espolvoree el crumble de galleta en la parte superior. El Parfait de frutas con yogur griego de 5 granos ahora está listo. Refrigérelo durante al menos 2 horas antes de servir. Sirva el parfait de frutas con yogur griego de 5 granos como refrigerio en la oficina o como refrigerio por la noche en casa. También puede servir el parfait de frutas con yogur griego de 5 granos para el desayuno junto con un sándwich de tortilla masala a la parrilla al estilo indio para un desayuno saludable.</t>
  </si>
  <si>
    <t xml:space="preserve">Pour commencer à préparer le parfait aux fruits au yaourt grec à 5 céréales, préparez d'abord tous les ingrédients et gardez-le prêt. Mixez les biscuits digestifs aux 5 céréales NutriChoice dans un mixeur pour obtenir une chapelure grossière et réservez. Fouettez le yaourt grec avec le miel et réservez. Coupez les fruits d'assaisonnement en tranches et réservez. Pour assembler le parfait aux fruits au yaourt grec à 5 céréales, dans un bocal, versez les biscuits digestifs aux 5 céréales NutriChoice émiettés. Ajoutez 3 cuillères à soupe de yaourt grec, superposez des fruits de saison, garnissez d'une cuillère à soupe de graines de chia, d'un peu plus de yaourt grec et enfin saupoudrez de crumble de biscuits. Le parfait aux fruits au yaourt grec à 5 céréales est maintenant prêt. Réfrigérez-le pendant au moins 2 heures avant de servir. Servez le parfait aux fruits au yaourt grec à 5 céréales comme collation pour votre bureau ou comme collation du soir à la maison. Vous pouvez également servir le parfait aux fruits au yaourt grec à 5 céréales au petit-déjeuner avec un sandwich grillé à l'omelette masala à l'indienne pour un petit-déjeuner sain.
</t>
  </si>
  <si>
    <t>http://www.archanaskitchen.com/5-grain-greek-yogurt-fruit-parfait-recipe</t>
  </si>
  <si>
    <t>Apfel-Rosinen-Chutney-Rezept – Apfel-Rosinen-Chutney-Rezept</t>
  </si>
  <si>
    <t>Recette de chutney aux pommes et aux raisins secs – Recette de chutney aux pommes et aux raisins secs</t>
  </si>
  <si>
    <t>Receta de chutney de manzana y pasas – Receta de chutney de manzana y pasas</t>
  </si>
  <si>
    <t>3 pommes - pelez et hachez, 4 oignons - pelez et hachez, 1 citron - jus, 2 cuillères à soupe de vinaigre, 1/2 tasse de kisamis, sel - selon votre goût, 1/2 tasse de sucre - selon votre goût, 1 cuillère à café de cannelle en poudre, 1 cuillère à café d'huile</t>
  </si>
  <si>
    <t>3 apples - peel and chop, 4 onions - peel and chop, 1 lemon - juice, 2 tablespoons vinegar, 1/2 cup kisamis, salt - as per taste, 1/2 cup sugar - as per taste, 1 tsp cinnamon powder, 1 teaspoon oil</t>
  </si>
  <si>
    <t>3 manzanas - peladas y picadas, 4 cebollas - peladas y picadas, 1 limón - jugo, 2 cucharadas de vinagre, 1/2 taza de kisamis, sal - al gusto, 1/2 taza de azúcar - al gusto, 1 cucharadita de canela en polvo, 1 cucharadita de aceite</t>
  </si>
  <si>
    <t>To make Apple and Raisin Chutney Recipe, first heat oil in a pan. Add onion and cook till it becomes soft. Now add apple, cinnamon, salt, vinegar, lemon juice. Cook till apple becomes soft. After apple becomes soft, add raisins and sugar. Mix well and mash it with the help of a masher. Reduce the flame and cook till the water evaporates. Turn off the gas. Keep this mixture aside to cool. Pour this chutney in an air tight container and store it in the fridge. Serve Apple and Raisin Chutney Recipe with Tawa Paratha and Masala Chai for breakfast.</t>
  </si>
  <si>
    <t>Para preparar la receta de chutney de manzana y pasas, primero caliente el aceite en una sartén. Añada la cebolla y cocine hasta que esté blanda. Añada la manzana, la canela, la sal, el vinagre y el zumo de limón. Cocine hasta que la manzana esté blanda. Una vez blanda, añada las pasas y el azúcar. Mezcle bien y triture con un machacador. Reduzca el fuego y cocine hasta que se evapore el agua. Apague el gas. Reserve para que se enfríe. Vierta el chutney en un recipiente hermético y guárdelo en el frigorífico. Sirva la receta de chutney de manzana y pasas con tawa paratha y masala chai para desayunar.</t>
  </si>
  <si>
    <t>Pour préparer le chutney aux pommes et aux raisins secs, faites chauffer l'huile dans une poêle. Ajoutez l'oignon et faites-le revenir jusqu'à ce qu'il soit tendre. Ajoutez ensuite la pomme, la cannelle, le sel, le vinaigre et le jus de citron. Laissez cuire jusqu'à ce que la pomme soit tendre. Une fois la pomme tendre, ajoutez les raisins secs et le sucre. Mélangez bien et écrasez le tout à l'aide d'un presse-purée. Réduisez le feu et laissez cuire jusqu'à évaporation de l'eau. Coupez le gaz. Réservez le mélange pour qu'il refroidisse. Versez le chutney dans un récipient hermétique et conservez-le au réfrigérateur. Servez le chutney aux pommes et aux raisins secs avec du Tawa Paratha et du Masala Chai au petit-déjeuner.</t>
  </si>
  <si>
    <t>http://www.archanaskitchen.com/apple-and-raisin-chutney-recipe-in-hindi</t>
  </si>
  <si>
    <t>Cauliflower Au Gratin Recipe - French Style Cauliflower &amp; Cheese Bake</t>
  </si>
  <si>
    <t>Rezept für Blumenkohlgratin – Blumenkohl-Käse-Auflauf nach französischer Art</t>
  </si>
  <si>
    <t>Recette de gratin de chou-fleur – Casserole de chou-fleur et fromage à la française</t>
  </si>
  <si>
    <t>Receta de gratinado de coliflor: cazuela de coliflor y queso al estilo francés</t>
  </si>
  <si>
    <t>1 chou-fleur (gobi) - coupé en fleurons, 4 cuillères à soupe de beurre, 2 cuillères à soupe de farine tout usage (Maida), 2 tasses de lait, 1/2 cuillère à café de poudre de muscade, 1 tasse de fromage cheddar - râpé, 1/2 tasse de fromage parmesan, 1/2 tasse de chapelure de blé entier, sel et poivre - au besoin</t>
  </si>
  <si>
    <t>1 Cauliflower (gobi) - cut into florets,4 tablespoons Butter,2 tablespoons All Purpose Flour (Maida),2 cups Milk,1/2 teaspoon Nutmeg powder,1 cup Cheddar cheese - grated,1/2 cup Parmesan cheese,1/2 cup Whole Wheat Bread crumbs,Salt and Pepper - as needed</t>
  </si>
  <si>
    <t>1 coliflor (gobi) - cortada en floretes, 4 cucharadas de mantequilla, 2 cucharadas de harina multiusos (Maida), 2 tazas de leche, 1/2 cucharadita de nuez moscada en polvo, 1 taza de queso cheddar rallado, 1/2 taza de queso parmesano, 1/2 taza de pan rallado integral, sal y pimienta - según sea necesario</t>
  </si>
  <si>
    <t xml:space="preserve">To begin making the Cauliflower Au Gratin Recipe, first place a pot of water on a medium heat. Bring it to boil, add a dash of salt and drop the chopped cauliflower into it. Blanch the florets till they have softened.Strain them in a colander and keep aside for later use.Next, place a non stick pan on the heat. Melt the butter in it, and add flour. Turn the heat down and keep stirring so asto avoid any lumps.When the flour smells toasted and comes together evenly with the butter, pour in the milk and keep stirring to break the lumps. Cook for 10-12 minutes till the white sauce thickens and gets glossy.Take the white sauce off the hear and add half cup of cheddar cheese, 1/2 cup parmesan cheese, nutmeg powder and season with salt and pepper to taste.Pour half the white sauce into a glass or ceramic oven safe baking dish baking casserole and top with the blanched cauliflower florets.Pour the remaining white sauce over the cauliflower florets.Combine the remaining half cup of cheddar cheese and bread crumbs and sprinkle all over the cauliflower generously.Melt 2 tablespoons of butter and drizzle all over the breadcrumbs and place the dish to bake at 200 degrees C for 20-25 minutes until the top is crusty and golden.Take the dish out, allow it to cool only slightly and serve warm,Serve the Cauliflower Au Gratin Recipe along with a No-Mayo Potato Salad to make a hearty but simple meal.
</t>
  </si>
  <si>
    <t>Para empezar a preparar la receta de coliflor gratinada, pon una olla con agua a fuego medio. Ponla a hervir, añade una pizca de sal y añade la coliflor picada. Escalda los ramilletes hasta que se ablanden. Cuélalos en un colador y resérvalos para usar más tarde. A continuación, pon una sartén antiadherente al fuego. Derrite la mantequilla y añade la harina. Baja el fuego y sigue removiendo para evitar grumos. Cuando la harina huela a tostada y se integre uniformemente con la mantequilla, vierte la leche y sigue removiendo para deshacer los grumos. Cocine durante 10-12 minutos hasta que la salsa blanca espese y se vuelva brillante. Retire la salsa blanca del fuego y agregue media taza de queso cheddar, 1/2 taza de queso parmesano, nuez moscada en polvo y sazone con sal y pimienta al gusto. Vierta la mitad de la salsa blanca en una fuente para horno de vidrio o cerámica apta para horno y cubra con los ramilletes de coliflor blanqueados. Vierta la salsa blanca restante sobre los ramilletes de coliflor. Combine la media taza restante de queso cheddar y el pan rallado y espolvoree generosamente sobre la coliflor. Derrita 2 cucharadas de mantequilla y rocíe el pan rallado por encima. Coloque la fuente para hornear a 200 grados C durante 20-25 minutos hasta que la parte superior esté crujiente y dorada. Retire la fuente, déjela enfriar solo un poco y sirva caliente. Sirva la Receta de Coliflor Gratinada junto con una Ensalada de Papa Sin Mayonesa para hacer una comida abundante pero sencilla.</t>
  </si>
  <si>
    <t>Pour préparer le gratin de chou-fleur, faites chauffer une casserole d'eau à feu moyen. Portez-la à ébullition, ajoutez une pincée de sel et plongez-y le chou-fleur haché. Blanchissez les fleurons jusqu'à ce qu'ils soient tendres. Égouttez-les dans une passoire et réservez-les pour une utilisation ultérieure. Ensuite, placez une poêle antiadhésive sur le feu. Faites fondre le beurre et ajoutez la farine. Baissez le feu et continuez de remuer pour éviter les grumeaux. Lorsque la farine sent le grillé et se mélange bien au beurre, versez le lait et continuez de remuer pour briser les grumeaux. Cuire 10 à 12 minutes jusqu'à ce que la sauce blanche épaississe et devienne brillante. Retirer la sauce blanche du feu et ajouter une demi-tasse de cheddar, 1/2 tasse de parmesan, de la poudre de muscade et assaisonner de sel et de poivre au goût. Verser la moitié de la sauce blanche dans un plat de cuisson en verre ou en céramique allant au four et garnir des fleurons de chou-fleur blanchis. Verser le reste de la sauce blanche sur les fleurons de chou-fleur. Mélanger la demi-tasse de cheddar restante et la chapelure et saupoudrer généreusement sur le chou-fleur. Faire fondre 2 cuillères à soupe de beurre et arroser de chapelure et placer le plat au four à 200 degrés C pendant 20 à 25 minutes jusqu'à ce que le dessus soit croustillant et doré. Sortir le plat, le laisser refroidir légèrement et servir chaud. Servir la recette de gratin de chou-fleur avec une salade de pommes de terre sans mayonnaise pour préparer un repas copieux mais simple.</t>
  </si>
  <si>
    <t>http://www.archanaskitchen.com/cauliflower-au-gratin-recipe-french-style-cauliflower-cheese-bake</t>
  </si>
  <si>
    <t>Traditional Christmas Cake Recipe</t>
  </si>
  <si>
    <t>Traditionelles Weihnachtskuchenrezept</t>
  </si>
  <si>
    <t>Recette traditionnelle de gâteau de Noël</t>
  </si>
  <si>
    <t>Receta tradicional de pastel navideño</t>
  </si>
  <si>
    <t>3/4 tasse de raisins noirs, 1/4 tasse de pruneaux hachés, 1/4 tasse d'abricots hachés, 1/4 tasse de dattes hachées, 1/4 tasse de figues séchées hachées, 60 ml de jus d'orange frais, 2 cuillères à soupe de zeste d'orange (écorce), 1-1/2 tasse de tartinade classique Nutralite ramollie, 1 cuillère à café de levure chimique, 3/4 tasse de cassonade (sucre Demerara), 4 œufs entiers, 1 cuillère à café d'extrait de vanille, 1 cuillère à café de cannelle en poudre (Dalchini), 1 cuillère à café de clou de girofle en poudre (Laung), 1 cuillère à café de gingembre en poudre sec, 1/4 tasse de poudre d'amandes (poudre de Badam), 2 tasses de farine tout usage (Maida), 1/4 tasse d'amandes effilées (Badam)</t>
  </si>
  <si>
    <t>3/4 cup Black raisins,1/4 cup Prunes - chopped,1/4 cup Apricots - chopped,1/4 cup Dates - chopped,1/4 cup Dried Figs - chopped,60 ml Fresh orange juice,2 tablespoons Orange Zest (Rind),1-1/2 cups Nutralite Classic Spread - softened,1 teaspoon Baking powder,3/4 cup Brown Sugar (Demerara Sugar),4 Whole Eggs,1 teaspoon Vanilla Extract,1 teaspoon Cinnamon Powder (Dalchini),1 teaspoon Clove powder (Laung),1 teaspoon Dry ginger powder,1/4 cup Almond Meal (Badam Powder),2 cups All Purpose Flour (Maida),1/4 cup Slivered Almonds (Badam)</t>
  </si>
  <si>
    <t>3/4 taza de pasas negras, 1/4 taza de ciruelas pasas picadas, 1/4 taza de albaricoques picados, 1/4 taza de dátiles picados, 1/4 taza de higos secos picados, 60 ml de jugo de naranja fresco, 2 cucharadas de ralladura de naranja (cáscara), 1-1/2 tazas de crema untable clásica Nutralite - ablandada, 1 cucharadita de polvo para hornear, 3/4 taza de azúcar morena (azúcar Demerara), 4 huevos enteros, 1 cucharadita de extracto de vainilla, 1 cucharadita de canela en polvo (Dalchini), 1 cucharadita de clavo en polvo (Laung), 1 cucharadita de jengibre en polvo seco, 1/4 taza de harina de almendras (Badam en polvo), 2 tazas de harina multiusos (Maida), 1/4 taza de almendras fileteadas (Badam)</t>
  </si>
  <si>
    <t xml:space="preserve">To begin making the Traditional Christmas Cake Recipe, we first have to soak all the dry fruits in rum and juice (you can avoid the rum). This process helps ferment the fruits and also helps to release all the flavors and make the christmas cake moist and rich.Place the sultanas, dried prunes, dried dates, dried figs and dried apricots into a large mixing bowl. Pour over the rum and orange juice and sprinkle over the orange zest.Mix until well combined, then cover the bowl with cling film and set aside overnight or a few weeks or a month or a year. They say the longer you ferment, the fruits get fermented, the richer the taste of the christmas cake.To make the Christmas Cake Batter proceed to the remaining steps are once the fermentation of the fruits are over. Preheat the oven to 170 C.Sift the flour, baking powder and the spices together and keep aside. I like to sift it twice over as the flour gets good air pockets and also makes the cake more fluffy.Line the base and sides of a 9 inch springform cake pan with a double layer parchment paper, making sure the paper reaches the top of the tin. Or you can alternatively grease the pan with butter and dust it with flour.In a large bowl or a KitchenAid Stand Mixer, whisk the Classic spread (or butter) and sugar together until fluffy. Gradually beat in the eggs one at a time. Add in the flour slowly until well combined.Slowly add in the soaked dried fruits, its liquids, the almond powder, chopped nuts and combine it into the flour mixture. Don't over beat, we just want all the ingredients to be well combined.Spoon the above Christmas Cake mixture into the springform pan and level the surface with the back of a spoon. Bake the Christmas Cake for 45 minutes approximately or until a skewer inserted into the centre of the cake comes out clean.The cake typically tends to darken a lot during baking, if this happens cover the top with parchment paper in the middle of the baking process.Once the christmas cake is baked remove it from the oven allow it to cool completely in the pan.Store the Christmas Cake in an airtight container, wrapped in greaseproof paper and aluminium foil, for two to three months.You can also bake the Traditional Christmas Cake in smaller pans and gift them to your family this holiday season.Serve the Traditional Christmas Cake along with Qahwa | Arabic Coffee Recipe and Ginger Cardamom Chai (Spice Infused Indian Style Milk Tea) to compliment the cake for your evening.
</t>
  </si>
  <si>
    <t>Para empezar a preparar la receta tradicional del pastel navideño, primero debemos remojar todos los frutos secos en ron y jugo (puedes omitir el ron). Este proceso ayuda a fermentar los frutos y a liberar todos sus sabores, haciendo que el pastel navideño quede jugoso y con cuerpo. Coloca las pasas, las ciruelas pasas, los dátiles secos, los higos secos y los albaricoques secos en un tazón grande. Vierte el ron y el jugo de naranja y espolvorea con la ralladura de naranja. Mezcla bien, luego cubre el tazón con film transparente y deja reposar durante toda la noche, unas semanas, un mes o un año. Dicen que cuanto más fermentan los frutos, más rico es el sabor del pastel navideño. Para preparar la masa del pastel navideño, continúa con los pasos restantes una vez que la fermentación de los frutos haya terminado. Precalienta el horno a 170 °C. Tamiza la harina, la levadura química y las especias juntas y reserva. Me gusta tamizarla dos veces para que la harina quede bien aireada y el pastel quede más esponjoso. Cubre la base y los lados de un molde desmontable de 23 cm con papel vegetal de doble capa, asegurándote de que el papel llegue hasta el borde. También puedes engrasar el molde con mantequilla y espolvorearlo con harina. En un tazón grande o en una batidora de pie KitchenAid, bate la crema para untar clásica (o mantequilla) y el azúcar hasta que quede esponjoso. Incorpora los huevos uno a uno, batiendo gradualmente. Agrega la harina lentamente hasta que esté bien integrada. Agrega lentamente los frutos secos remojados, sus líquidos, la almendra en polvo y las nueces picadas e incorpóralos a la mezcla de harina. No batas demasiado, solo queremos que todos los ingredientes estén bien integrados. Vierte la mezcla del pastel de Navidad anterior en el molde desmontable y nivela la superficie con el dorso de una cuchara. Hornee el pastel de Navidad durante 45 minutos aproximadamente o hasta que al insertar un palillo en el centro, este salga limpio. El pastel suele oscurecerse mucho durante el horneado; si esto sucede, cubra la parte superior con papel vegetal a mitad del proceso. Una vez horneado, retírelo del horno y déjelo enfriar completamente en el molde. Guarde el pastel de Navidad en un recipiente hermético, envuelto en papel vegetal y papel aluminio, durante dos o tres meses. También puede hornear el pastel de Navidad tradicional en moldes más pequeños y regalárselos a su familia en estas fiestas. Sirva el pastel de Navidad tradicional junto con Qahwa | Receta de café árabe y Chai de jengibre y cardamomo (té con leche estilo indio con especias) para complementar el pastel en su velada.</t>
  </si>
  <si>
    <t>Pour préparer le gâteau de Noël traditionnel, il faut d'abord faire tremper tous les fruits secs dans du rhum et du jus (vous pouvez éviter le rhum). Ce processus favorise la fermentation des fruits et libère toutes leurs saveurs, rendant le gâteau de Noël moelleux et onctueux. Dans un grand saladier, placez les raisins secs, les pruneaux secs, les dattes sèches, les figues sèches et les abricots secs. Versez le rhum et le jus d'orange, puis parsemez de zeste d'orange. Mélangez bien, puis couvrez le saladier de film alimentaire et laissez reposer toute la nuit, quelques semaines, un mois ou un an. On dit que plus la fermentation est longue, plus les fruits fermentent, plus le gâteau de Noël sera savoureux. Pour la pâte à gâteau de Noël, passez aux étapes suivantes une fois la fermentation des fruits terminée. Préchauffez le four à 170 °C. Tamisez la farine, la levure chimique et les épices ensemble et réservez. J'aime bien le tamiser deux fois pour que la farine se remplisse d'air et rende le gâteau plus moelleux. Tapissez le fond et les bords d'un moule à charnière de 23 cm de diamètre avec une double couche de papier sulfurisé, en veillant à ce que le papier atteigne le bord supérieur du moule. Vous pouvez également beurrer le moule et le saupoudrer de farine. Dans un grand saladier ou un robot pâtissier KitchenAid, fouettez la pâte à tartiner classique (ou le beurre) et le sucre jusqu'à obtenir une consistance mousseuse. Incorporez les œufs un par un en battant progressivement. Incorporez la farine petit à petit jusqu'à ce que le tout soit bien mélangé. Incorporez lentement les fruits secs trempés, leur jus, la poudre d'amandes et les noix hachées, puis incorporez le tout au mélange de farine. Ne battez pas trop, il faut juste que tous les ingrédients soient bien mélangés. Versez la préparation pour gâteau de Noël ci-dessus dans le moule à charnière et égalisez la surface avec le dos d'une cuillère. Faites cuire le gâteau de Noël pendant environ 45 minutes ou jusqu'à ce qu'une brochette insérée au centre du gâteau en ressorte propre. Le gâteau a généralement tendance à noircir beaucoup pendant la cuisson, si cela se produit, couvrez le dessus de papier sulfurisé au milieu du processus de cuisson. Une fois le gâteau de Noël cuit, retirez-le du four et laissez-le refroidir complètement dans le moule. Conservez le gâteau de Noël dans un récipient hermétique, enveloppé dans du papier sulfurisé et du papier d'aluminium, pendant deux à trois mois. Vous pouvez également faire cuire le gâteau de Noël traditionnel dans des moules plus petits et les offrir à votre famille pendant les fêtes. Servez le gâteau de Noël traditionnel avec du Qahwa | Recette de café arabe et du Chai au gingembre et à la cardamome (thé au lait indien infusé aux épices) pour accompagner le gâteau pour votre soirée.</t>
  </si>
  <si>
    <t>https://www.archanaskitchen.com/traditional-christmas-cake-recipe</t>
  </si>
  <si>
    <t>Salted Caramel Ice Cream Recipe With Salted Roasted Almonds</t>
  </si>
  <si>
    <t>Rezept für gesalzenes Karamelleis mit gesalzenen gerösteten Mandeln</t>
  </si>
  <si>
    <t>Recette de glace au caramel salé et aux amandes grillées salées</t>
  </si>
  <si>
    <t>Receta de helado de caramelo salado y almendras tostadas saladas</t>
  </si>
  <si>
    <t>400 ml de crème fraîche - Utilisez de la crème Amul, 150 ml de lait - réfrigéré, 1/2 tasse de sucre, 1 1/2 cuillère à café d'extrait de vanille, 1/4 tasse de Badam (amande) - grillée salée, 6 cuillères à soupe de beurre - température ambiante, 1 tasse de sucre, 1 tasse de crème fraîche, 1 cuillère à café d'extrait de vanille, 1/2 cuillère à café de sel de mer</t>
  </si>
  <si>
    <t>400 ml Fresh cream - Use Amul Cream,150 ml Milk - chilled,1/2 cup Sugar,1 1/2 teaspoon Vanilla Extract,1/4 cup Badam (Almond) - roasted salted,6 tablespoons Butter - room temperature,1 cup Sugar,1 cup Fresh cream,1 teaspoon Vanilla Extract,1/2 teaspoon Sea salt</t>
  </si>
  <si>
    <t>400 ml de crema fresca - Use crema Amul, 150 ml de leche - fría, 1/2 taza de azúcar, 1 1/2 cucharadita de extracto de vainilla, 1/4 taza de Badam (almendra) - tostada con sal, 6 cucharadas de mantequilla - temperatura ambiente, 1 taza de azúcar, 1 taza de crema fresca, 1 cucharadita de extracto de vainilla, 1/2 cucharadita de sal marina</t>
  </si>
  <si>
    <t xml:space="preserve">To begin making Salted Caramel Ice Cream Recipe With Salted Roasted Almonds, firstly we will make the Salted Caramel Sauce.*For the Salted Caramel Sauce Recipe:Take a heavy bottomed pan. Add butter and sugar to it and keep on medium heat and stir. Melt the sugar and butter together and allow the sugar to get a dark golden colour. This will take about 5 minutes. Be careful not to burn the sugar. Turn off the heat as soon as the sugar turns golden brown in colour and starts to smoke and bubble.Once it bubbles, add in the heavy cream slowly and stir the caramel mixture continuously.Keep stirring until you get a smooth caramel. Be careful when you add cream into the caramel, as when you add it, the mixture will rapidly bubble and splutter as well.Make sure that you use a bigger and deeper pan to make the caramel as the mixture will come on the top when you pour in the cream.If you use a small pan, the mixture can come out of the pan.Once you mix the cream properly, add in the vanilla extract, sea salt and stir well to combine. Keep aside.*To make the Ice Cream MixtureInto a blender jar, add the full fat cream, milk, sugar and vanilla extract.Blend until well combined. Make sure that the cream and the milk is chilled. If the mixture is warm, then refrigerate the ice cream mixture for two hours.Now we will set up the Kitchenif Ice Cream Maker.Place the ice cream bowl which has been kept in the freezer for 2 days into the kitchenif ice cream maker. Attach the paddle and set the timer for 30 minutes.Start the ice cream maker and pour the ice cream mixture through the opening into the ice cream maker. Do not turn off the machine in between till 30 minutes is up. You will see that slowly, the ice cream will start turning thick and creamy.Once done, spoon half the mixture into a ice cream bowl (You can also use a loaf pan). Add the caramel sauce on top of the ice cream and swirl the caramel sauce into the ice cream using a toothpick. Top it with half the roasted salted almonds.Add another layer of the ice cream, add more salted caramel sauce and swirl the caramel into the ice cream, add the remaining almonds. Cover the pan with an air tight lid or an aluminium film and freeze Salted Caramel Ice Cream Recipe With Salted Roasted Almonds for 4 to 5 hours.Once the ice cream is frozen, scoop out the ice cream into a cone or a bowl and top with more it some caramel sauce. Your Caramel Ice Cream is ready to be served.Serve Salted Caramel Ice Cream Recipe With Salted Roasted Almonds as a dessert after your delicious meal of Roasted Vegetable Burger Recipe With Hummus and Peri Peri Roasted Potatoes.
</t>
  </si>
  <si>
    <t>Para empezar a hacer la Receta de Helado de Caramelo Salado con Almendras Tostadas Saladas, primero haremos la Salsa de Caramelo Salado. *Para la Receta de Salsa de Caramelo Salado: Tome una sartén de fondo grueso. Agregue mantequilla y azúcar y manténgala a fuego medio y revuelva. Derrita el azúcar y la mantequilla juntos y deje que el azúcar adquiera un color dorado oscuro. Esto tomará unos 5 minutos. Tenga cuidado de no quemar el azúcar. Apague el fuego tan pronto como el azúcar se vuelva de color marrón dorado y comience a humear y burbujear. Una vez que burbujee, agregue la crema espesa lentamente y revuelva la mezcla de caramelo continuamente. Siga revolviendo hasta obtener un caramelo suave. Tenga cuidado al agregar crema al caramelo, ya que la mezcla burbujeará y chisporroteará rápidamente. Asegúrese de usar una cacerola grande y profunda para preparar el caramelo, ya que la mezcla se acumulará al verter la crema. Si usa una cacerola pequeña, la mezcla puede salirse. Una vez que la crema esté bien mezclada, agregue el extracto de vainilla y la sal marina, y revuelva bien para integrar. Reserve. *Para preparar la mezcla de helado: En el vaso de una licuadora, agregue la crema entera, la leche, el azúcar y el extracto de vainilla. Licúe hasta que esté bien combinado. Asegúrese de que la crema y la leche estén frías. Si la mezcla está tibia, refrigérela durante dos horas. Ahora, prepararemos la heladera Kitchenif. Coloque el tazón de helado que ha estado en el congelador durante dos días en la heladera Kitchenif. Coloque la paleta y programe el temporizador a 30 minutos. Encienda la heladera y vierta la mezcla por la abertura. No apague la máquina hasta que hayan pasado 30 minutos. Verá que poco a poco, el helado comenzará a espesarse y a ponerse cremoso. Una vez hecho esto, vierta la mitad de la mezcla en un bol para helado (también puede usar un molde para pan). Agregue la salsa de caramelo encima del helado y remueva la salsa de caramelo en el helado con un palillo. Cúbralo con la mitad de las almendras tostadas y saladas. Agregue otra capa de helado, agregue más salsa de caramelo salado y remueva el caramelo en el helado, agregue las almendras restantes. Cubra el molde con una tapa hermética o una película de aluminio y congele la Receta de Helado de Caramelo Salado Con Almendras Tostadas Saladas durante 4 a 5 horas. Una vez que el helado esté congelado, vierta el helado en un cono o un bol y cúbralo con más salsa de caramelo. Su helado de caramelo está listo para servir. Sirva la receta de helado de caramelo salado con almendras tostadas saladas como postre después de su deliciosa hamburguesa de verduras asadas con hummus y patatas peri peri.</t>
  </si>
  <si>
    <t>Pour commencer à préparer la recette de crème glacée au caramel salé avec des amandes grillées salées, nous allons d'abord préparer la sauce au caramel salé. *Pour la recette de la sauce au caramel salé : Prenez une casserole à fond épais. Ajoutez-y le beurre et le sucre et maintenez sur feu moyen en remuant. Faites fondre le sucre et le beurre ensemble et laissez le sucre prendre une couleur dorée foncée. Cela prendra environ 5 minutes. Veillez à ne pas brûler le sucre. Éteignez le feu dès que le sucre devient brun doré et commence à fumer et à bouillonner. Une fois qu'il bouillonne, ajoutez lentement la crème épaisse et remuez continuellement le mélange de caramel. Continuez à remuer jusqu'à obtenir un caramel lisse. Soyez prudent lorsque vous ajoutez la crème au caramel, car le mélange va rapidement bouillonner et crépiter. Veillez à utiliser une casserole plus grande et plus profonde pour faire le caramel, car le mélange va remonter à la surface lorsque vous verserez la crème. Si vous utilisez une petite casserole, le mélange peut se détacher. Une fois la crème bien mélangée, ajoutez l'extrait de vanille et le sel de mer, puis mélangez bien. Réservez. *Préparation de la crème glacée : Dans un blender, ajoutez la crème entière, le lait, le sucre et l'extrait de vanille. Mixez jusqu'à obtenir un mélange homogène. Assurez-vous que la crème et le lait soient bien froids. Si le mélange est chaud, placez-le au réfrigérateur pendant deux heures. Nous allons maintenant installer la sorbetière Kitchenif. Placez le bol de crème glacée conservé au congélateur pendant deux jours dans la sorbetière Kitchenif. Fixez la pale et réglez le minuteur sur 30 minutes. Démarrez la sorbetière et versez le mélange par l'ouverture. Français N'éteignez pas la machine avant 30 minutes. Vous verrez que lentement, la crème glacée commencera à devenir épaisse et crémeuse. Une fois terminé, versez la moitié du mélange dans un bol à glace (vous pouvez également utiliser un moule à pain). Ajoutez la sauce au caramel sur la crème glacée et faites tourbillonner la sauce au caramel dans la crème glacée à l'aide d'un cure-dent. Garnissez-la de la moitié des amandes grillées salées. Ajoutez une autre couche de crème glacée, ajoutez plus de sauce au caramel salé et faites tourbillonner le caramel dans la crème glacée, ajoutez les amandes restantes. Couvrez le moule avec un couvercle hermétique ou un film aluminium et congelez la recette de crème glacée au caramel salé avec des amandes grillées salées pendant 4 à 5 heures. Une fois la crème glacée congelée, versez la crème glacée dans un cornet ou un bol et garnissez-la de sauce au caramel. Votre glace au caramel est prête à être servie. Servez la recette de glace au caramel salé avec des amandes grillées salées comme dessert après votre délicieux repas de recette de burger aux légumes rôtis avec du houmous et des pommes de terre rôties Peri Peri.</t>
  </si>
  <si>
    <t>http://www.archanaskitchen.com/salted-caramel-ice-cream-recipe-with-salted-roasted-almonds</t>
  </si>
  <si>
    <t>Vegetarian Corn Chowder Soup Recipe</t>
  </si>
  <si>
    <t>Rezept für vegetarische Maissuppe</t>
  </si>
  <si>
    <t>Recette de soupe de maïs végétarienne</t>
  </si>
  <si>
    <t>Receta de sopa de maíz vegetariana</t>
  </si>
  <si>
    <t>1 cuillère à café d'huile d'olive extra vierge, 2 branches de céleri hachées, 1 tasse de lait, 1 1/2 tasse d'eau ou plus si nécessaire, 2 pommes de terre (Aloo) bouillies et pelées, 1 tasse de maïs doux cuit à la vapeur, 1 cuillère à café de poudre de poivre noir, 1/2 cuillère à café de grains de poivre noir entiers - livre pour servir</t>
  </si>
  <si>
    <t>1 teaspoon Extra Virgin Olive Oil,2 Stalks Celery - chopped,1 cup Milk,1 1/2 cups Water - or more if required,2 Potatoes (Aloo) - boiled and peeled,1 cup Sweet corn - steamed corn,1 teaspoon Black pepper powder,1/2 teaspoon Whole Black Peppercorns - pound for serving</t>
  </si>
  <si>
    <t>1 cucharadita de aceite de oliva virgen extra, 2 tallos de apio picados, 1 taza de leche, 1 1/2 tazas de agua (o más si es necesario), 2 papas (Aloo) hervidas y peladas, 1 taza de maíz dulce al vapor, 1 cucharadita de pimienta negra en polvo, 1/2 cucharadita de granos de pimienta negra enteros (una libra por porción)</t>
  </si>
  <si>
    <t xml:space="preserve">To begin making the Vegetarian Corn Chowder Soup Recipe, boil the potatoes and keep them aside. See video recipe of how to cook potatoes in a pressure cooker.  Steam the sweet corn and keep aside.Next, heat oil in a wok; add in the chopped celery and saute it until it is light tender and feels cooked. You can sprinkle some salt, cover the pan to enable it to cook faster.And now to make the soup; add all the ingredients into the blender and make a smooth puree of the soup. Once the soup is blended, pour the soup into the sauce pan, check the salt and pepper and adjust to suit your taste. You can also adjust the consistency of the soup by adding more water or milk.Warm the Corn Chowder Soup just before you are ready to serve along with a toasted bread or a bread roll.Serve the Vegetarian Corn Chowder Soup Recipe along with Garlic bread on a cold winter season.
</t>
  </si>
  <si>
    <t>Para empezar a preparar la Receta de Sopa Vegetariana de Maíz, hierva las papas y resérvelas. Vea la receta en video sobre cómo cocinar papas en una olla a presión. Cocine al vapor el maíz dulce y resérvelo. Luego, caliente el aceite en un wok; agregue el apio picado y saltéelo hasta que esté ligeramente tierno y se sienta cocido. Puede espolvorear un poco de sal, cubra la sartén para que se cocine más rápido. Y ahora para preparar la sopa; agregue todos los ingredientes a la licuadora y haga un puré suave. Una vez que la sopa esté licuada, viértala en la cacerola, verifique la sal y la pimienta y ajuste a su gusto. También puede ajustar la consistencia de la sopa agregando más agua o leche. Caliente la Sopa de Maíz justo antes de servirla junto con un pan tostado o un panecillo. Sirva la Receta de Sopa Vegetariana de Maíz junto con pan de ajo en una temporada fría de invierno.</t>
  </si>
  <si>
    <t>Pour commencer à préparer la recette de soupe de maïs végétarienne, faites bouillir les pommes de terre et réservez-les. Regardez la recette vidéo pour savoir comment cuire les pommes de terre dans un autocuiseur. Faites cuire le maïs doux à la vapeur et réservez. Ensuite, faites chauffer l'huile dans un wok ; ajoutez le céleri haché et faites-le revenir jusqu'à ce qu'il soit légèrement tendre et cuit. Vous pouvez saupoudrer de sel et couvrir la casserole pour accélérer la cuisson. Et maintenant, pour préparer la soupe ; ajoutez tous les ingrédients dans le mixeur et réduisez la soupe en purée lisse. Une fois la soupe mixée, versez-la dans la casserole, vérifiez le sel et le poivre et ajustez à votre goût. Vous pouvez également ajuster la consistance de la soupe en ajoutant plus d'eau ou de lait. Réchauffez la soupe de maïs juste avant de servir, accompagnée d'un pain grillé ou d'un petit pain. Servez la recette de soupe de maïs végétarienne avec du pain à l'ail lors d'une saison hivernale froide.</t>
  </si>
  <si>
    <t>http://www.archanaskitchen.com/vegetarian-corn-chowder-soup-recipe</t>
  </si>
  <si>
    <t>Whole Wheat Orange Honey Cake Recipe</t>
  </si>
  <si>
    <t>Rezept für Vollkorn-Orangen-Honigkuchen</t>
  </si>
  <si>
    <t>Recette de gâteau au miel et à l'orange aux céréales complètes</t>
  </si>
  <si>
    <t>Receta de pastel de naranja y miel integral</t>
  </si>
  <si>
    <t>1-1/4 tasse de farine de blé entier, 1 cuillère à café de levure chimique, 1/2 cuillère à café de bicarbonate de soude, 1 tasse de lait concentré, 1/2 tasse d'huile de tournesol, 1 cuillère à café de crème anglaise à la vanille, 1/2 tasse de jus d'orange frais, 1 cuillère à café de jus de citron, 3 cuillères à soupe de cassonade (sucre Demerara), 1 cuillère à café de zeste d'orange (zeste), 1/2 tasse d'eau, 2 cuillères à café de sucre, 1/4 tasse de miel, 3 cuillères à soupe de confiture - (fruits mélangés), 1 cuillère à café de sucre</t>
  </si>
  <si>
    <t>1-1/4 cup Whole Wheat Flour,1 teaspoon Baking powder,1/2 teaspoon Baking soda,1 cup Condensed Milk,1/2 cup Sunflower Oil,1 teaspoon Vanilla custard,1/2 cup Fresh orange juice,1 teaspoon Lemon juice,3 tablespoon Brown Sugar (Demerara Sugar),1 teaspoon Orange Zest (Rind),1/2 cup Water,2 teaspoon Sugar,1/4 cup Honey,3 tablespoon Jam - (mixed fruit),1 teaspoon Sugar</t>
  </si>
  <si>
    <t>1-1/4 taza de harina integral, 1 cucharadita de polvo para hornear, 1/2 cucharadita de bicarbonato de sodio, 1 taza de leche condensada, 1/2 taza de aceite de girasol, 1 cucharadita de natillas de vainilla, 1/2 taza de jugo de naranja fresco, 1 cucharadita de jugo de limón, 3 cucharadas de azúcar morena (azúcar Demerara), 1 cucharadita de ralladura de naranja (cáscara), 1/2 taza de agua, 2 cucharaditas de azúcar, 1/4 taza de miel, 3 cucharadas de mermelada (fruta mixta), 1 cucharadita de azúcar</t>
  </si>
  <si>
    <t xml:space="preserve">To prepare Whole Wheat Orange Honey Cake Recipe, preheat Oven to 180 degrees Celsius. Get prep with all other ingredients as well.Take whole wheat flour, baking powder and baking soda in a Mixing bowl and mix well.In another bowl, to condensed milk, add the remaining wet ingredients and mix well until combined.Now add mixed whole wheat flour, baking powder and baking soda into the wet ingredients and mix gently without lumps.Pour into an 8/9 inch Pan lined with parchment paper. Bake for 30-35 minutes or until done.Once the cake is done, take out to let it cool completely.Meanwhile, prepare honey syrup by boiling water and sugar in a Saucepan until it becomes sticky. Switch off flame.Once it cools down to luke warm, add honey, and mix well to get honey syrup.Now, for the topping of Orange Honey Cake, melt mixed fruits jam in a pan adding sugar. Mix it on a low flame for a minute.Poke holes in the whole wheat cake randomly, and pour the prepared honey syrup.Spread melted mixed fruit jam evenly on the top and sprinkle desiccated coconut.The yummy Whole Wheat Orange Honey Cake Recipe is ready to be served during tea time with Masala Chai or with a scoop of vanilla ice cream.
</t>
  </si>
  <si>
    <t>Para preparar la receta de pastel de naranja y miel de trigo integral, precaliente el horno a 180 grados Celsius. Prepare también los demás ingredientes. Tome la harina integral, el polvo para hornear y el bicarbonato de sodio en un tazón y mezcle bien. En otro tazón, a la leche condensada, agregue los ingredientes húmedos restantes y mezcle bien hasta que se combinen. Ahora agregue la harina integral, el polvo para hornear y el bicarbonato de sodio mezclados a los ingredientes húmedos y mezcle suavemente sin grumos. Vierta en un molde de 8/9 pulgadas forrado con papel pergamino. Hornee durante 30-35 minutos o hasta que esté listo. Una vez que el pastel esté listo, sáquelo para dejar que se enfríe por completo. Mientras tanto, prepare el jarabe de miel hirviendo agua y azúcar en una cacerola hasta que se vuelva pegajoso. Apague el fuego. Una vez que se enfríe a tibio, agregue la miel y mezcle bien para obtener el jarabe de miel. Ahora, para la cobertura del pastel de naranja y miel, derrita la mermelada de frutas mixtas en una sartén agregando azúcar. Mezclar a fuego lento durante un minuto. Hacer agujeros en el pastel de trigo integral al azar y verter el jarabe de miel preparado. Extender la mermelada de frutas mixtas derretida uniformemente por encima y espolvorear con coco rallado. La deliciosa receta de pastel de trigo integral, naranja y miel está lista para servirse a la hora del té con Masala Chai o con una bola de helado de vainilla.</t>
  </si>
  <si>
    <t>Pour préparer le gâteau complet au miel et à l'orange, préchauffez le four à 180 °C. Préparez également tous les autres ingrédients. Dans un saladier, mélangez bien la farine complète, la levure chimique et le bicarbonate de soude. Dans un autre saladier, ajoutez le reste des ingrédients liquides au lait concentré et mélangez bien. Ajoutez ensuite le mélange de farine complète, de levure chimique et de bicarbonate de soude aux ingrédients liquides et mélangez délicatement sans grumeaux. Versez dans un moule de 22 à 23 cm de diamètre recouvert de papier sulfurisé. Enfournez pour 30 à 35 minutes ou jusqu'à cuisson complète. Une fois le gâteau cuit, sortez-le et laissez-le refroidir complètement. Pendant ce temps, préparez le sirop de miel en faisant bouillir l'eau et le sucre dans une casserole jusqu'à ce qu'il devienne collant. Éteignez le feu. Une fois tiède, ajoutez le miel et mélangez bien pour obtenir un sirop de miel. Pour la garniture du gâteau complet au miel et à l'orange, faites fondre la confiture de fruits dans une casserole avec le sucre. Mélangez à feu doux pendant une minute. Percez des trous dans le gâteau de blé entier au hasard et versez le sirop de miel préparé. Étalez uniformément la confiture de fruits mélangés fondue sur le dessus et saupoudrez de noix de coco râpée. La délicieuse recette de gâteau au miel et à l'orange au blé entier est prête à être servie à l'heure du thé avec du Masala Chai ou avec une boule de glace à la vanille.</t>
  </si>
  <si>
    <t>https://www.archanaskitchen.com/whole-wheat-orange-honey-cake-recipe</t>
  </si>
  <si>
    <t>Instant Granola In A Microwave Recipe</t>
  </si>
  <si>
    <t>Instant-Müsli in der Mikrowelle – Rezept</t>
  </si>
  <si>
    <t>Céréales instantanées au micro-ondes – recette</t>
  </si>
  <si>
    <t>Cereal instantáneo para microondas – Receta</t>
  </si>
  <si>
    <t>4-1/2 cuillères à soupe d'avoine instantanée (gruau), 1 cuillère à soupe de miel - sirop d'agave/érable, 2 cuillères à café d'huile de tournesol, 2 cuillères à café d'eau glacée, 1 pincée de sel, 1 cuillère à soupe de badam (amande) - écrasée, 1 cuillère à soupe de graines de citrouille, 1 cuillère à soupe de noix de coco desséchée</t>
  </si>
  <si>
    <t>4-1/2 tablespoons Instant Oats (Oatmeal),1 tablespoon Honey - agave/maple syrup,2 teaspoons Sunflower Oil,2 teaspoons Chilled water,1 pinch Salt,1 tablespoon Badam (Almond) - crushed,1 tablespoon Pumpkin seeds,1 tablespoon Dessicated Coconut</t>
  </si>
  <si>
    <t>4-1/2 cucharadas de avena instantánea (avena), 1 cucharada de miel - jarabe de agave/maple, 2 cucharaditas de aceite de girasol, 2 cucharaditas de agua fría, 1 pizca de sal, 1 cucharada de Badam (almendra) - triturada, 1 cucharada de semillas de calabaza, 1 cucharada de coco deshidratado</t>
  </si>
  <si>
    <t xml:space="preserve">To begin making the Instant Granola In A Microwave recipe, in a microwave cup, add in all the ingredients &amp; mix them well.First microwave for 1 min &amp; 30 seconds in an oven. When done, remove them &amp; stir well from the bottom of the mug. By this stage the granola would be little damp.Microwave for another minute or until the oats are golden brown. Be careful not to burn the oats. Each microwave is different (Mine is 1200w). So have a eye on them after 2 minutes. Mine was done in exactly 3 minutes.Let this stand for 2 to 3 minutes or until it cools down completely.Microwave Granola is ready to serve. You can store them in an airtight container for a week. Serve Instant Granola In A Microwave with some greek yogurt and fresh fruits for a healthy and delicious breakfast or a glass of Banana Almond &amp; Prunes Smoothie Recipe
</t>
  </si>
  <si>
    <t>Para empezar a preparar la receta de Granola Instantánea en Microondas, en un vaso para microondas, añade todos los ingredientes y mézclalos bien. Primero, caliéntalos en el microondas durante 1 minuto y 30 segundos. Cuando estén listos, retíralos y remueve bien desde el fondo del vaso. En este punto, la granola estará un poco húmeda. Caliéntalos en el microondas durante un minuto más o hasta que la avena esté dorada. Ten cuidado de no quemarla. Cada microondas es diferente (el mío es de 1200 W). Así que vigílalos después de 2 minutos. El mío se hizo en exactamente 3 minutos. Deja reposar de 2 a 3 minutos o hasta que se enfríe por completo. La Granola en Microondas está lista para servir. Puedes guardarla en un recipiente hermético durante una semana. Sirve la Granola Instantánea en Microondas con yogur griego y fruta fresca para un desayuno saludable y delicioso o con un vaso de Smoothie de Plátano, Almendras y Ciruelas Pasas.</t>
  </si>
  <si>
    <t>Pour commencer la recette de granola instantané au micro-ondes, versez tous les ingrédients dans un bol allant au micro-ondes et mélangez bien. Chauffez d'abord au micro-ondes pendant 1 minute 30 secondes. Une fois la cuisson terminée, retirez-les et remuez bien avec le fond du bol. À ce stade, le granola est légèrement humide. Chauffez encore une minute au micro-ondes ou jusqu'à ce que les flocons d'avoine soient dorés. Attention à ne pas les brûler. Chaque micro-ondes est différent (le mien est à 1200 W). Surveillez donc la cuisson après 2 minutes. Le mien a été prêt en 3 minutes exactement. Laissez reposer 2 à 3 minutes ou jusqu'à refroidissement complet. Le granola au micro-ondes est prêt à servir. Vous pouvez le conserver dans un récipient hermétique pendant une semaine. Servez le granola instantané au micro-ondes avec du yaourt grec et des fruits frais pour un petit-déjeuner sain et délicieux, ou avec un verre de smoothie banane, amandes et pruneaux.</t>
  </si>
  <si>
    <t>http://www.archanaskitchen.com/instant-granola-in-a-microwave-recipe</t>
  </si>
  <si>
    <t xml:space="preserve">Summer Salad Recipe-Red Cabbage, Lettuce Onions &amp; Tomatoes </t>
  </si>
  <si>
    <t>Sommersalat-Rezept – Rotkohl, Salat, Zwiebeln und Tomaten</t>
  </si>
  <si>
    <t>Recette de salade d'été – chou rouge, laitue, oignons et tomates</t>
  </si>
  <si>
    <t>Receta de ensalada de verano: col lombarda, lechuga, cebolla y tomate</t>
  </si>
  <si>
    <t>1/2 tasse de chou rouge - râpé, 1/2 tasse de laitue iceberg - râpée, 1/3 tasse d'oignons - finement tranchés, sel - au goût, 1/3 tasse de tomates - épépinées et finement tranchées, 1 cuillère à café de jus de citron, 1 cuillère à café de miel</t>
  </si>
  <si>
    <t>1/2 cup Red cabbage - shredded,1/2 cup Iceberg lettuce - shredded,1/3 cup Onions - thinly sliced,Salt - to taste,1/3 cup Tomatoes - deseeded and thinly sliced,1 teaspoon Lemon juice,1 teaspoon Honey</t>
  </si>
  <si>
    <t>1/2 taza de repollo morado - rallado, 1/2 taza de lechuga iceberg - rallada, 1/3 taza de cebollas - en rodajas finas, sal - al gusto, 1/3 taza de tomates - sin semillas y en rodajas finas, 1 cucharadita de jugo de limón, 1 cucharadita de miel</t>
  </si>
  <si>
    <t xml:space="preserve">To begin making the Minty Summer Salad Recipe With Red Cabbage Lettuce Onions And Tomatoes, cut the vegetables lengthwise and set aside. In a mixing bowl, combine the shredded red cabbage, lettuce, thinly sliced onions and tomatoes and mix well. The salad tastes best when it is served chilled. Chill the vegetables in the refrigerator for 30 minutes. Just before serving season the salad with some salt, honey lemon juice. Toss well and serve. Serve Minty Summer Salad Recipe With Red Cabbage Lettuce Onions And Tomatoes along with Beetroot Gazpacho Soup Recipe and Roasted Vegetable Panini Sandwich With Feta Cheese Recipe for a refreshing summer meal. Finish the with a Strawberry Banana Sorbet Recipe.
</t>
  </si>
  <si>
    <t>Para empezar a preparar la receta de ensalada de verano con menta, col lombarda, lechuga, cebolla y tomate, corta las verduras a lo largo y reserva. En un bol, mezcla la col lombarda rallada, la lechuga, la cebolla y los tomates en rodajas finas y mezcla bien. La ensalada sabe mejor si se sirve fría. Enfría las verduras en el refrigerador durante 30 minutos. Justo antes de servir, sazona la ensalada con un poco de sal, miel y zumo de limón. Mezcla bien y sirve. Sirve la receta de ensalada de verano con menta, col lombarda, lechuga, cebolla y tomate junto con la receta de sopa de gazpacho de remolacha y la receta de sándwich panini de verduras asadas con queso feta para una refrescante comida de verano. Termina con una receta de sorbete de fresa y plátano.</t>
  </si>
  <si>
    <t>Pour commencer à préparer la recette de salade d'été à la menthe avec chou rouge, laitue, oignons et tomates, coupez les légumes dans le sens de la longueur et réservez. Dans un saladier, mélangez le chou rouge râpé, la laitue, les oignons finement émincés et les tomates, puis mélangez bien. La salade est meilleure lorsqu'elle est servie fraîche. Laissez refroidir les légumes au réfrigérateur pendant 30 minutes. Juste avant de servir, assaisonnez la salade avec du sel, du miel et du jus de citron. Mélangez bien et servez. Servez la recette de salade d'été à la menthe avec chou rouge, laitue, oignons et tomates avec la recette de soupe gaspacho à la betterave et la recette de panini aux légumes rôtis et à la feta pour un repas d'été rafraîchissant. Terminez avec une recette de sorbet fraise-banane.</t>
  </si>
  <si>
    <t>https://www.archanaskitchen.com/minty-summer-salad-recipe-with-red-cabbage-lettuce-onions-and-tomatoes</t>
  </si>
  <si>
    <t>Homemade Rose Flavoured Ice Cream Cake recipe</t>
  </si>
  <si>
    <t>Rezept für hausgemachte Eistorte mit Rosengeschmack</t>
  </si>
  <si>
    <t>Recette de gâteau glacé maison à la rose</t>
  </si>
  <si>
    <t>Receta casera de pastel glaseado de rosas</t>
  </si>
  <si>
    <t>1 gâteau au chocolat, 1 tasse de crème glacée à la vanille, crème à fouetter épaisse, essence de rose - quelques gouttes, 1/2 tasse de noix mélangées, sucre décoratif (paillettes pour gâteaux/bonbons) - au besoin, 1/8 tasse d'eau, 1/4 tasse de sucre</t>
  </si>
  <si>
    <t>1 Chocolate Cake,1 cup Vanilla Ice cream,Heavy whipping cream,Rose Essence - few drops,1/2 cup Mixed nuts,Decorative sugar (Cake/ Candy Sprinkles) - as needed,1/8 cup Water,1/4 cup Sugar</t>
  </si>
  <si>
    <t>1 pastel de chocolate, 1 taza de helado de vainilla, crema batida espesa, esencia de rosa - unas gotas, 1/2 taza de nueces mixtas, azúcar decorativa (chispas para pastel/dulces) - según sea necesario, 1/8 taza de agua, 1/4 taza de azúcar</t>
  </si>
  <si>
    <t xml:space="preserve">To prepare Homemade Rose Flavoured Ice Cream Cake recipe, get prepped with all the ingredients required. Chocolate cake and vanilla ice cream needs to be kept ready.Slice off the upper portion of the cake and reserve the bottom half of the cake and proceed with making the sugar syrup.In a saucepan, add in water and then to this, add sugar. Once the sugar dissolves and the syrup starts to get thick switch off the flame (one string consistency). Now pour the sugar syrup on the chocolate cake and leave it for 5 minutes to absorb.Now take the Vanilla Ice Cream (I used my homemade vanilla Ice Cream). Let the ice cream become soft after thawing a bit. Then scoop the ice cream on top of the chocolate cake and spread it evenly with a spatula. Freeze it for 2-3 hours until it is well set.In a mixing bowl, take the full fat cream. Beat it in high speed using a hand blended until it forms soft peaks. Next add in the rose essence and beat once again till it is well combined.Now take the cake from freezer and scoop the cream over the cake, spread it evenly with a spatula.Once the cream is spread. Sprinkle with sugar balls and nuts throughout the cake. Cling wrap the cake.Freeze the Homemade Rose Flavoured Ice Cream Cake overnight or about 8 hours Remove it from the fridge after that, remove the cling wrap.Demould, slice Homemade Rose Flavoured Ice Cream Cake recipe and serve.
</t>
  </si>
  <si>
    <t>Para preparar la receta de pastel de helado con sabor a rosa casero, prepárese con todos los ingredientes necesarios. El pastel de chocolate y el helado de vainilla deben estar listos. Corte la parte superior del pastel y reserve la mitad inferior del pastel y proceda a hacer el jarabe de azúcar. En una cacerola, agregue agua y luego a esto, agregue azúcar. Una vez que el azúcar se disuelva y el jarabe comience a espesar, apague el fuego (consistencia de una sola hebra). Ahora vierta el jarabe de azúcar en el pastel de chocolate y déjelo durante 5 minutos para que se absorba. Ahora tome el helado de vainilla (yo usé mi helado de vainilla casero). Deje que el helado se ablande después de descongelarlo un poco. Luego, coloque el helado sobre el pastel de chocolate y extiéndalo uniformemente con una espátula. Congélelo durante 2-3 horas hasta que esté bien listo. En un tazón, tome la crema entera. Bátalo a alta velocidad con una batidora de mano hasta que forme picos suaves. A continuación, añade la esencia de rosa y bate de nuevo hasta que esté bien combinado. Ahora, saca el pastel del congelador y vierte la crema sobre él, extiéndela uniformemente con una espátula. Una vez extendida la crema, espolvorea con bolitas de azúcar y nueces por todo el pastel. Envuelve el pastel en film transparente. Congela el pastel helado casero con sabor a rosa durante la noche o unas 8 horas. Después, sácalo del refrigerador, retira el film transparente. Desmolda, corta en rebanadas y sirve.</t>
  </si>
  <si>
    <t>Pour préparer la recette du gâteau glacé à la rose fait maison, préparez tous les ingrédients nécessaires. Le gâteau au chocolat et la glace à la vanille doivent être prêts. Coupez la partie supérieure du gâteau et réservez la moitié inférieure du gâteau et procédez à la préparation du sirop de sucre. Dans une casserole, ajoutez de l'eau, puis du sucre. Une fois que le sucre est dissous et que le sirop commence à épaissir, éteignez le feu (consistance d'un fil). Versez maintenant le sirop de sucre sur le gâteau au chocolat et laissez-le absorber pendant 5 minutes. Prenez maintenant la glace à la vanille (j'ai utilisé ma glace à la vanille maison). Laissez la glace devenir molle après avoir décongelé un peu. Ensuite, déposez la glace sur le gâteau au chocolat et étalez-la uniformément avec une spatule. Congelez-la pendant 2 à 3 heures jusqu'à ce qu'elle soit bien prise. Dans un saladier, prenez la crème entière. Battez-la à grande vitesse à l'aide d'un mixeur plongeant jusqu'à ce qu'elle forme des pics mous. Ajoutez ensuite l'essence de rose et battez à nouveau jusqu'à ce que le tout soit bien mélangé. Sortez le gâteau du congélateur et versez la crème dessus, étalez-la uniformément à l'aide d'une spatule. Une fois la crème étalée, saupoudrez de boules de sucre et de noix sur tout le gâteau. Filmez le gâteau. Congelez le gâteau glacé maison à la rose pendant une nuit ou environ 8 heures. Retirez-le ensuite du réfrigérateur, retirez le film alimentaire. Démoulez, coupez en tranches et servez.</t>
  </si>
  <si>
    <t>http://www.archanaskitchen.com/homemade-rose-flavoured-ice-cream-cake-recipe</t>
  </si>
  <si>
    <t>Rich Decadent Chocolate Souffle Recipe</t>
  </si>
  <si>
    <t>Rezept für ein reichhaltiges, dekadentes Schokoladensoufflé</t>
  </si>
  <si>
    <t>Recette pour un soufflé au chocolat riche et décadent</t>
  </si>
  <si>
    <t>Receta para un soufflé de chocolate rico y decadente</t>
  </si>
  <si>
    <t>100 grammes de chocolat noir, 7 cuillères à soupe de beurre (non salé) - (à température ambiante), 2 cuillères à soupe de sucre, 2 jaunes d'œufs, 4 blancs d'œufs, 1/2 tasse de sucre, 1 cuillère à café d'extrait de vanille, 1/2 cuillère à café de sel, 2 cuillères à café de crème de tartre, sucre glace - pour saupoudrer, crème à fouetter épaisse - sucrée</t>
  </si>
  <si>
    <t>100 grams Dark chocolate,7 tablespoons Butter (unsalted) - (at room temperature),2 tablespoon Sugar,2 Egg yolks,4 Egg whites,1/2 cup Sugar,1 teaspoon Vanilla Extract,1/2 teaspoon Salt,2 teaspoon Cream of Tartar,Icing Sugar - for dusting,Heavy whipping cream - sweetened</t>
  </si>
  <si>
    <t>100 gramos de chocolate negro, 7 cucharadas de mantequilla (sin sal) - (a temperatura ambiente), 2 cucharadas de azúcar, 2 yemas de huevo, 4 claras de huevo, 1/2 taza de azúcar, 1 cucharadita de extracto de vainilla, 1/2 cucharadita de sal, 2 cucharaditas de crémor tártaro, azúcar glas - para espolvorear, crema batida espesa - endulzada</t>
  </si>
  <si>
    <t xml:space="preserve">To begin making the Rich Decadent Chocolate Souffle Recipe first grease individual ramekins with butter generously.Next dust 1 tablespoon white sugar into the ramekins and coat all the sides of the ramekins. This sugar coating will ensure the souffle is held to the bowl when they start to rise.Then, preheat oven to 200 degrees C with rack in lower third.In a microwave safe bowl, add chocolate and 3 tablespoon butter and melt in 20 seconds intervals to take the chocolate out and whisk it.Whisk until chocolate butter mix is melted and a smooth mix is formed. Then, add 1 egg yolk and whisk well. Next add salt, vanilla essence and whisk again, till combined and set it aside.Next, add egg whites into a bowl of a stand mixer and whisk until creamy. Now add cream of tartar or vinegar if you are using that and continue to whisk. Whisk until you see the egg whites begin to turn stiff.Gradually add remaining ¼ cup sugar in slow streams and whisk until the egg whites form soft peaks and look glossy. This may take 2-3 minutes. You have to keep whisking and add the sugar gradually at this stage.Spoon in 1/3 rd of egg whites into the chocolate mixture and using a spatula fold into the chocolate mixture. Continue adding the egg whites in parts and fold into the chocolate mixture, folding gently taking care not to deflate the egg whites. Be gentle and using the folding technique.Spoon the mixture into ramekins evenly with batter all the way up to the top. Then smooth the surface using a spatula to get a nice flat top.An important tip to make the souffle get a nice beautiful height is to run your thumb at the perimeter of the ramekins and create a small channel along the edge. Do this to get a good ¼ to ½ inch perimeter channel in the ramekins. Clean the outer surface of the ramekins using a kitchen towel and pop the ramekins into the oven and bake it for 13 to 15 minutes or until it’s risen well and cooked.Once souffle is done and risen, remove it from the baking tray using kitchen towel, as I found using oven mittens could disturb and break the souffle at the top.Dust with confectionery sugar, add a dollop of sweetened whipped cream and serve immediately.
</t>
  </si>
  <si>
    <t>Para empezar a preparar la Receta de Soufflé de Chocolate Decadente y Rico, primero engrase generosamente los moldes individuales con mantequilla. Luego, espolvoree 1 cucharada de azúcar blanca en los moldes y cubra todos los lados de los moldes. Esta capa de azúcar asegurará que el soufflé se mantenga pegado al tazón cuando comiencen a subir. Luego, precaliente el horno a 200 grados C con la rejilla en el tercio inferior. En un tazón apto para microondas, agregue el chocolate y 3 cucharadas de mantequilla y derrítalo en intervalos de 20 segundos para sacar el chocolate y batirlo. Bata hasta que la mezcla de chocolate y mantequilla se derrita y se forme una mezcla suave. Luego, agregue 1 yema de huevo y bata bien. Luego agregue sal, esencia de vainilla y bata nuevamente, hasta que se combinen y reserve. Luego, agregue las claras de huevo en el tazón de una batidora de pedestal y bata hasta que estén cremosas. Ahora agregue crémor tártaro o vinagre si lo está usando y continúe batiendo. Batir hasta que las claras de huevo empiecen a ponerse firmes. Añadir gradualmente el ¼ de taza de azúcar restante en chorros lentos y batir hasta que las claras de huevo formen picos suaves y se vean brillantes. Esto puede tomar de 2 a 3 minutos. Tienes que seguir batiendo y añadir el azúcar gradualmente en esta etapa. Incorporar 1/3 de las claras de huevo a la mezcla de chocolate y, con una espátula, incorporar a la mezcla de chocolate. Seguir añadiendo las claras de huevo en partes e incorporar a la mezcla de chocolate, doblando suavemente teniendo cuidado de no desinflar las claras de huevo. Ser suave y usar la técnica de doblado. Verter la mezcla en los ramequines de manera uniforme con la masa hasta el borde. Luego, alisar la superficie con una espátula para obtener una superficie plana y agradable. Un consejo importante para que el soufflé tenga una bonita altura es pasar el pulgar por el perímetro de los ramequines y crear un pequeño canal a lo largo del borde. Hacer esto para obtener un buen canal de perímetro de ¼ a ½ pulgada en los ramequines. Limpia la superficie exterior de los moldes con un paño de cocina y mételos en el horno durante 13 a 15 minutos o hasta que hayan subido bien y estén cocidos. Una vez que el suflé esté listo y haya subido, retíralo de la bandeja con un paño de cocina, ya que usar guantes de cocina podría romper la parte superior del suflé. Espolvorea con azúcar glas, añade una cucharada de crema batida azucarada y sirve inmediatamente.</t>
  </si>
  <si>
    <t>Pour commencer la recette du soufflé au chocolat riche et décadent, commencez par beurrer généreusement des ramequins individuels. Saupoudrez ensuite 1 cuillère à soupe de sucre blanc dans les ramequins et en badigeonnez-en tous les côtés. Ce sucre assurera la bonne tenue du soufflé dans le bol lorsqu'il commencera à lever. Préchauffez ensuite le four à 200 °C, grille en bas. Dans un bol allant au micro-ondes, ajoutez le chocolat et 3 cuillères à soupe de beurre. Faites fondre le chocolat par intervalles de 20 secondes pour le sortir et fouettez. Fouettez jusqu'à ce que le mélange chocolat-beurre soit fondu et qu'une pâte lisse se forme. Ajoutez ensuite 1 jaune d'œuf et fouettez bien. Ajoutez ensuite le sel et l'extrait de vanille, fouettez à nouveau et réservez. Ajoutez ensuite les blancs d'œufs dans le bol d'un robot pâtissier et fouettez jusqu'à obtenir une consistance crémeuse. Ajoutez ensuite la crème de tartre ou le vinaigre si vous en utilisez et continuez de fouetter. Fouetter jusqu'à ce que les blancs commencent à monter en neige. Ajouter progressivement le quart de tasse de sucre restant en filets lents et fouetter jusqu'à ce que les blancs forment des pics mous et soient brillants. Cela peut prendre 2 à 3 minutes. Continuer à fouetter et ajouter le sucre progressivement. Incorporer 1/3 des blancs d'œufs au mélange au chocolat et, à l'aide d'une spatule, incorporer le mélange au chocolat. Continuer à incorporer les blancs d'œufs par portions et les incorporer au mélange au chocolat, en pliant délicatement en veillant à ne pas les faire regonfler. Soyez délicat et utilisez la technique de pliage. Répartir la pâte dans des ramequins uniformément jusqu'en haut. Lisser ensuite la surface à l'aide d'une spatule pour obtenir un dessus bien plat. Une astuce importante pour que le soufflé ait une belle hauteur est de passer votre pouce sur le pourtour des ramequins et de créer un petit sillon le long du bord. Procéder ainsi pour obtenir un sillon de 1/4 à 1/2 pouce dans les ramequins. Nettoyez la surface extérieure des ramequins à l'aide d'un torchon de cuisine, puis mettez-les au four et faites-les cuire pendant 13 à 15 minutes ou jusqu'à ce qu'ils soient bien levés et cuits. Une fois le soufflé cuit et levé, retirez-le de la plaque de cuisson à l'aide d'un torchon de cuisine, car j'ai constaté que l'utilisation de gants de cuisine pouvait perturber et casser le soufflé en haut. Saupoudrez de sucre glace, ajoutez une cuillerée de crème fouettée sucrée et servez immédiatement.</t>
  </si>
  <si>
    <t>https://www.archanaskitchen.com/rich-decadent-chocolate-souffle-recipe</t>
  </si>
  <si>
    <t>Classic Cheesecake Recipe With Lemon Curd Made Using Preethi Electric Pressure Cooker</t>
  </si>
  <si>
    <t>Klassisches Käsekuchenrezept mit Zitronenquark, zubereitet mit dem elektrischen Schnellkochtopf von Preethi</t>
  </si>
  <si>
    <t>Recette classique de cheesecake au lemon curd, préparé à l'aide de l'autocuiseur électrique de Preethi</t>
  </si>
  <si>
    <t>Receta clásica de tarta de queso con cuajada de limón, hecha con la olla a presión eléctrica de Preethi</t>
  </si>
  <si>
    <t>2 œufs entiers, 2 jaunes d'œufs, 3/4 tasse de sucre en poudre, 1/3 tasse de beurre (non salé) - refroidi, une pincée de zeste de citron, 2 citrons - jus des 2 citrons, 15 biscuits au gingembre, 1/4 tasse de beurre - finement haché, 400 grammes de fromage à la crème Britannia, 3/4 tasse de sucre, 2 cuillères à soupe de farine tout usage (Maida), 1/8 cuillère à café de sel, 1/4 tasse de Hung Curd (yaourt grec), 1 cuillère à café d'extrait de vanille, 2 œufs entiers</t>
  </si>
  <si>
    <t>2 Whole Eggs,2 Egg yolks,3/4 cup Caster Sugar,1/3 cup Butter (unsalted) - chilled,pinch Lemon zest,2 Lemon - juice of the 2 lemons,15 Ginger Cookies,1/4 cup Butter - finely chopped,400 grams Britannia Cream Cheese,3/4 cup Sugar,2 tablespoons All Purpose Flour (Maida),1/8 teaspoon Salt,1/4 cup Hung Curd (Greek Yogurt),1 teaspoon Vanilla Extract,2 Whole Eggs</t>
  </si>
  <si>
    <t>2 huevos enteros, 2 yemas de huevo, 3/4 taza de azúcar extrafino, 1/3 taza de mantequilla (sin sal) - fría, una pizca de ralladura de limón, 2 limones - jugo de los 2 limones, 15 galletas de jengibre, 1/4 taza de mantequilla - finamente picada, 400 gramos de queso crema Britannia, 3/4 taza de azúcar, 2 cucharadas de harina para todo uso (Maida), 1/8 cucharadita de sal, 1/4 taza de cuajada colgada (yogur griego), 1 cucharadita de extracto de vainilla, 2 huevos enteros</t>
  </si>
  <si>
    <t xml:space="preserve">To begin making the Cheesecake With Lemon Curd Recipe, it is important to get all ingredients ready. We will begin my making the lemon curd and refrigerating it.*To Make Lemon CurdWhisk the whole eggs, the egg yolk and sugar in a saucepan over low heat until smooth. Once the eggs have combine well, whisk the butter, lemon juice and a pinch of zest into the lemon curd mixture.Keep whisking on low heat until the lemon curd is thickened. Ensure that you don't overcook it as the eggs can scramble.Once the lemon curd has thickened, turn off the heat and immediately run it through a strainer and allow it to cool. Refrigerate the lemon curd until you are ready to use it over the cheesecake.*To Make Cheesecake in Electric Pressure CookerWe will first begin to make the crust for the cheesecake. Place the ginger cookies into the food processor along with butter. Pulse until coarse crumbs form and the butter is well combined into the cookie.When you hold the crust mixture together, it should lump and when you leave it, it should break apart.Pour the cheesecake crust mixture into an 7 inch springform pan with removable bottom. Pat the crust mixture well into the base until firm. Place it in the freezer until your cheesecake batter is ready.To make the cheesecake batter, in a large mixing bowl, beat the cream cheese and sugar until smooth. Add the salt, flour, eggs, vanilla extract, yogurt and blend it in until smooth. Take care not to overbeat the batter, else the cheese will curdle up.Once fluffy and you see soft peaks forming on the cheesecake batter, pour the batter into the crust resting on the springform pan.The next step is to cook the cheesecake in an Electric Pressure Cooker. Pour a couple of cups of water to the base of the cooker. Place a trivet at the bottom.Wrap cheesecake pan in aluminum foil from the outside so water does not seep into the pan.Place the pan into the cooker over the trivet. Lock the electric pressure cooker, set the whistle nozzle to the pressure mode.Set the timer for 30 minutes and wait for the cheesecake to be done.After 30 minutes, allow the pressure to release naturally and you will notice the cheesecake is done. When you insert a tester like a knife, it will come out clean.Allow the cheesecake to cool completely and refrigerate for at least 5 to 6 hours. Once you are ready to serve, cut them into wedges, pour a generous helping of the leomin curd we prepared earlier and serve. Serve this Classic Cheesecake With Lemon Curd and your friends and family as dessert after a meal of Chicken Steak Recipe With Pan Roasted Vegetables &amp; Potato Mash or Ultimate Potato Gratin Dauphinois. 
</t>
  </si>
  <si>
    <t>Para empezar a preparar la receta de tarta de queso con crema de limón, es importante tener todos los ingredientes listos. Empezaremos preparando la crema de limón y refrigérela. *Para preparar la crema de limón: Batir los huevos enteros, la yema y el azúcar en una cacerola a fuego lento hasta que la mezcla esté suave. Una vez que los huevos estén bien integrados, incorporar la mantequilla, el zumo de limón y una pizca de ralladura a la mezcla de crema de limón. Seguir batiendo a fuego lento hasta que la crema de limón espese. Evitar que se cocine demasiado, ya que los huevos podrían revolverse. Una vez que la crema de limón haya espesado, apagar el fuego, colarla inmediatamente y dejarla enfriar. Refrigerar la crema de limón hasta que esté lista para usarla sobre la tarta de queso. *Para preparar la tarta de queso en olla a presión eléctrica: Primero, prepararemos la base de la tarta de queso. Colocar las galletas de jengibre en el procesador de alimentos junto con la mantequilla. Pulsa hasta que se formen migas gruesas y la mantequilla esté bien combinada con la galleta. Cuando mantienes junta la mezcla de la corteza, debe formar grumos y cuando la dejas, debe deshacerse. Vierte la mezcla de la corteza de la tarta de queso en un molde desmontable de 7 pulgadas. Golpea bien la mezcla de la corteza en la base hasta que esté firme. Colócala en el congelador hasta que la masa de tu tarta de queso esté lista. Para hacer la masa de la tarta de queso, en un tazón grande, bate el queso crema y el azúcar hasta que quede suave. Agrega la sal, la harina, los huevos, el extracto de vainilla, el yogur y mézclalo hasta que quede suave. Ten cuidado de no batir demasiado la masa, de lo contrario el queso se cuajará. Una vez que esté esponjosa y veas que se forman picos suaves en la masa de la tarta de queso, vierte la masa en la corteza que descansa sobre el molde desmontable. El siguiente paso es cocinar la tarta de queso en una olla a presión eléctrica. Vierte un par de tazas de agua en la base de la olla. Coloque un salvamanteles en el fondo. Envuelva el molde para tarta de queso en papel aluminio desde el exterior para que el agua no se filtre en el molde. Coloque el molde en la olla a presión eléctrica sobre el salvamanteles. Bloquee la olla a presión eléctrica, configure la boquilla del silbato en modo de presión. Programe el temporizador durante 30 minutos y espere a que la tarta de queso esté lista. Después de 30 minutos, deje que la presión se libere naturalmente y notará que la tarta de queso está lista. Al insertar un probador como un cuchillo, este saldrá limpio. Deje que la tarta de queso se enfríe completamente y refrigere durante al menos 5 a 6 horas. Una vez que esté listo para servir, córtelo en gajos, vierta una generosa porción de la cuajada de limón que preparamos anteriormente y sirva. Sirva esta tarta de queso clásica con cuajada de limón a sus amigos y familiares como postre después de una comida de Receta de filete de pollo con verduras asadas y puré de papas o Gratín dauphinois de papa definitivo.</t>
  </si>
  <si>
    <t>Pour commencer la recette du cheesecake au lemon curd, il est important de préparer tous les ingrédients. Nous allons commencer par préparer le lemon curd et le conserver au réfrigérateur. *Pour préparer le lemon curd : Fouettez les œufs entiers, le jaune d’œuf et le sucre dans une casserole à feu doux jusqu’à obtenir une consistance lisse. Une fois les œufs bien mélangés, incorporez le beurre, le jus de citron et une pincée de zeste au mélange de lemon curd. Continuez à fouetter à feu doux jusqu’à ce que le lemon curd épaississe. Veillez à ne pas trop le cuire, car les œufs pourraient brouiller. Une fois le lemon curd épaissi, éteignez le feu, filtrez-le immédiatement et laissez-le refroidir. Conservez-le au réfrigérateur jusqu’à ce que vous soyez prêt à l’utiliser sur le cheesecake. *Pour préparer un cheesecake à l’autocuiseur électrique : Nous allons d’abord commencer par préparer la croûte du cheesecake. Placez les biscuits au gingembre dans le robot culinaire avec le beurre. Pulser jusqu'à ce que des miettes grossières se forment et que le beurre soit bien mélangé au biscuit. Lorsque vous maintenez le mélange de croûte ensemble, il devrait former des grumeaux et lorsque vous le laissez, il devrait se briser. Verser le mélange de croûte de gâteau au fromage dans un moule à charnière de 7 pouces à fond amovible. Bien tapoter le mélange de croûte dans la base jusqu'à ce qu'il soit ferme. Placer au congélateur jusqu'à ce que votre pâte à gâteau au fromage soit prête. Pour faire la pâte à gâteau au fromage, dans un grand bol à mélanger, battre le fromage à la crème et le sucre jusqu'à consistance lisse. Ajouter le sel, la farine, les œufs, l'extrait de vanille, le yaourt et mélanger jusqu'à consistance lisse. Veillez à ne pas trop battre la pâte, sinon le fromage caillera. Une fois que la pâte est mousseuse et que vous voyez des pics mous se former sur la pâte à gâteau au fromage, versez la pâte dans la croûte reposant sur le moule à charnière. L'étape suivante consiste à cuire le gâteau au fromage dans un autocuiseur électrique. Versez quelques tasses d'eau au fond de l'autocuiseur. Placez un dessous de plat au fond du moule à cheesecake. Enveloppez l'extérieur du moule dans du papier aluminium pour éviter que l'eau ne s'infiltre. Placez le moule dans l'autocuiseur, sur le dessous de plat. Verrouillez l'autocuiseur électrique, réglez la buse sifflante sur le mode pression. Réglez la minuterie sur 30 minutes et attendez que le cheesecake soit cuit. Au bout de 30 minutes, laissez la pression se relâcher naturellement et vous constaterez que le cheesecake est cuit. Lorsque vous y insérez une sonde comme un couteau, elle en ressortira propre. Laissez le cheesecake refroidir complètement et placez-le au réfrigérateur pendant au moins 5 à 6 heures. Au moment de servir, coupez-les en parts, nappez généreusement de la crème au citron préparée précédemment et servez. Servez ce cheesecake classique à la crème au citron et régalez vos proches en dessert après un repas composé de steak de poulet, légumes poêlés et purée de pommes de terre ou de gratin dauphinois.</t>
  </si>
  <si>
    <t>https://www.archanaskitchen.com/classic-cheesecake-recipe-with-lemon-curd-made-from-preethi-electric-pressure-cooker</t>
  </si>
  <si>
    <t>Rezept für eine Frühstücksschüssel mit knusprigem Ragi und Hafer</t>
  </si>
  <si>
    <t>Recette de bol de petit-déjeuner avec ragi croustillant et flocons d'avoine</t>
  </si>
  <si>
    <t>Receta de tazón de desayuno con ragi crujiente y avena</t>
  </si>
  <si>
    <t>1 cuillère à soupe de farine de ragi (millet des doigts/nagli), 2 cuillères à soupe d'avoine instantanée (gruau), 1/8 tasse d'eau, 1/2 tasse de lait, miel - au goût, 4 biscuits digestifs multigrains ragi - cassés, 1 cuillère à soupe de badam (amande) - tranché, 1 cuillère à soupe de pistaches - tranchées</t>
  </si>
  <si>
    <t>1 tablespoon Ragi Flour (Finger Millet/ Nagli),2 tablespoons Instant Oats (Oatmeal),1/8 cup Water,1/2 cup Milk,Honey - to taste,4 Multigrain Digestive Ragi Biscuits - broken,1 tablespoon Badam (Almond) - sliced,1 tablespoon Pistachios - sliced</t>
  </si>
  <si>
    <t>1 cucharada de harina de ragi (mijo de dedo/nagli), 2 cucharadas de avena instantánea (avena), 1/8 taza de agua, 1/2 taza de leche, miel (al gusto), 4 galletas digestivas multigrano de ragi (rotas), 1 cucharada de badam (almendras) en rodajas, 1 cucharada de pistachos en rodajas</t>
  </si>
  <si>
    <t xml:space="preserve">To begin making the Crunchy Ragi &amp; Oats Breakfast Bowl Recipe, firstly take a saucepan and switch on the heat.Into the pan, add 1 tablespoon Ragi Flour, 2 tablespoons Instant Oats, 1/8 cup Water, 1/2 cup Milk, Honey to taste and mix it well.Cook the mixture till it becomes thick - this will take about a couple of minutes.Once done, switch off the heat and allow the Ragi oats porridge to cool. Once the Ragi &amp; Oats Porridge cool down, we will now assemble the porridge to make a breakfast jar.Into a small jar, add the broken NutriChoice Diabetic Friendly Essentials Ragi Cookies to the bottom of the har.Spoon the Ragi &amp; Oats Porridge over the cookies.Add sliced bananas and sprinkle some chopped almonds and pistachios on top. It is ready to be served. Serve Crunchy Ragi &amp; Oats Breakfast Bowl for your breakfast on its own or along with a Fried Eggs and Toast for a wholesome breakfast.
</t>
  </si>
  <si>
    <t>Para comenzar a hacer la Receta del Tazón de Desayuno de Avena y Ragi Crujiente, primero tome una cacerola y enciéndala al fuego. En la cacerola, agregue 1 cucharada de harina de Ragi, 2 cucharadas de avena instantánea, 1/8 taza de agua, 1/2 taza de leche, miel al gusto y mezcle bien. Cocine la mezcla hasta que espese - esto tomará alrededor de un par de minutos. Una vez hecho esto, apague el fuego y deje que las gachas de avena Ragi se enfríen. Una vez que las gachas de avena y Ragi se enfríen, ahora ensamblaremos las gachas para hacer un frasco de desayuno. En un frasco pequeño, agregue las galletas Ragi Essentials para diabéticos NutriChoice rotas al fondo de la cacerola. Vierta las gachas de avena y Ragi sobre las galletas. Agregue plátanos en rodajas y espolvoree algunas almendras picadas y pistachos por encima. Está listo para servir. Sirva este tazón de desayuno de ragi crujiente y avena solo o con huevos fritos y tostadas para un desayuno saludable.</t>
  </si>
  <si>
    <t>Pour commencer à préparer la recette du bol de petit-déjeuner croquant au ragi et à l'avoine, prenez d'abord une casserole et allumez le feu. Dans la casserole, ajoutez 1 cuillère à soupe de farine de ragi, 2 cuillères à soupe d'avoine instantanée, 1/8 tasse d'eau, 1/2 tasse de lait, du miel au goût et mélangez bien. Faites cuire le mélange jusqu'à ce qu'il devienne épais - cela prendra environ quelques minutes. Une fois terminé, éteignez le feu et laissez refroidir le porridge d'avoine au ragi. Une fois le porridge au ragi et à l'avoine refroidi, nous allons maintenant assembler le porridge pour faire un pot de petit-déjeuner. Dans un petit pot, ajoutez les biscuits au ragi NutriChoice Diabetic Friendly Essentials cassés au fond du har. Versez le porridge au ragi et à l'avoine sur les biscuits. Ajoutez des bananes tranchées et saupoudrez d'amandes et de pistaches hachées sur le dessus. Il est prêt à être servi. Servez un bol de petit-déjeuner croquant au ragi et à l'avoine pour votre petit-déjeuner, seul ou accompagné d'œufs au plat et de pain grillé pour un petit-déjeuner sain.</t>
  </si>
  <si>
    <t>http://www.archanaskitchen.com/crunchy-ragi-and-oats-breakfast-bowl-recipe</t>
  </si>
  <si>
    <t>Guava Empanadas Recipe</t>
  </si>
  <si>
    <t>Rezept für Guaven-Empanadas</t>
  </si>
  <si>
    <t>Recette d'empanadas à la goyave</t>
  </si>
  <si>
    <t>Receta de empanadas de guayaba</t>
  </si>
  <si>
    <t>2 tasses de farine tout usage (Maida), 1 cuillère à café de sel, 1 cuillère à café de sucre, 1/2 cuillère à café de levure chimique, 1/2 tasse de beurre (non salé), 1/2 tasse d'eau glacée, 1 tasse de fromage à la crème Britannia, 1/2 tasse de goyave finement hachée, 1/4 tasse de noix mélangées finement hachées, 1/4 tasse de sucre en poudre - ou plus</t>
  </si>
  <si>
    <t>2 cups All Purpose Flour (Maida),1 teaspoon Salt,1 teaspoon Sugar,1/2 teaspoon Baking powder,1/2 cup Butter (unsalted),1/2 cup Chilled water,1 cup Britannia Cream Cheese,1/2 cup Guava - finely chopped,1/4 cup Mixed nuts - chopped finely,1/4 cup Caster Sugar - or more</t>
  </si>
  <si>
    <t>2 tazas de harina para todo uso (Maida), 1 cucharadita de sal, 1 cucharadita de azúcar, 1/2 cucharadita de polvo para hornear, 1/2 taza de mantequilla (sin sal), 1/2 taza de agua fría, 1 taza de queso crema Britannia, 1/2 taza de guayaba - finamente picada, 1/4 taza de nueces mixtas - finamente picadas, 1/4 taza de azúcar extrafino - o más</t>
  </si>
  <si>
    <t xml:space="preserve">Method for the Outer Dough: To begin making Guava Empanadas Recipe, make the dough for the crush first. For the crust dough, sift together flour, sugar and salt in a large mixing bowl. Reserve butter to brush while baking and chop butter into small pieces and mix it into the flour mixture till it is crumbly. Make a well in the centre and add chilled water. Mix gently with palm and fingers until a pliable dough is formed, and then wrap the dough in cling wrap and keep in refrigerator for 1 hour.Method for the Stuffing and Baking:Now time to make the stuffing. Mix together the cream cheese, finely chopped guava, mixed nuts, and sugar. Mix nicely till cheese is creamy and coats other ingredients.To assemble empanadas for baking, remove the dough from refrigerator and divide into equal portions of about a big lemon size. Roll each ball of dough into about 6-inch circle. The roundel should not be too thin to give away the stuffing but should be thick enough just to hold it together, about the thickness of a phulka.You can as well make smaller roundels, depending on the preference.Brush a little water around the edge of the circle (to bind the edges) with your forefinger, and place about 1-2 tablespoons of filling in the middle of the roundel, such that the filling won't ooze out when done.. Fold into half circles and crimp the edges with a fork; then gently pierce the centre with the fork to allow steam to escape. To bake the empanadas in oven,  preheat oven at 215 degree for about 10 minutes.Once all empanadas are ready with filling, you can bake them. Brush butter on the baking sheet and arrange the guava empanadas on it. Make sure you leave a space of about an inch between them to bake evenly. Bake for 25 minutes or till they are crisp from outside.Serve Guava Empanadas Recipe along with Cinnamon Spiced Orange Iced Tea Recipe and Baked Potato Wedge Recipe during tea time.
</t>
  </si>
  <si>
    <t>Método para la masa exterior: Para comenzar a hacer la receta de empanadas de guayaba, primero haga la masa para el aplastamiento. Para la masa de la corteza, tamice juntos la harina, el azúcar y la sal en un tazón grande. Reserve la mantequilla para pincelar mientras hornea y pique la mantequilla en trozos pequeños y mézclela con la mezcla de harina hasta que esté desmenuzada. Haga un pozo en el centro y agregue agua fría. Mezcle suavemente con la palma y los dedos hasta que se forme una masa flexible, y luego envuelva la masa en film transparente y guarde en el refrigerador durante 1 hora. Método para el relleno y horneado: Ahora es el momento de hacer el relleno. Mezcle el queso crema, la guayaba finamente picada, las nueces mixtas y el azúcar. Mezcle bien hasta que el queso esté cremoso y cubra los demás ingredientes. Para armar las empanadas para hornear, retire la masa del refrigerador y divídala en porciones iguales de aproximadamente el tamaño de un limón grande. Enrolle cada bola de masa en un círculo de aproximadamente 6 pulgadas. El redondel no debe ser demasiado delgado para que no se vea el relleno, pero debe ser lo suficientemente grueso como para mantenerlo unido, aproximadamente del grosor de una phulka. También puedes hacer redondeles más pequeños, según tu preferencia. Pincela un poco de agua alrededor del borde del círculo (para unir los bordes) con tu dedo índice y coloca aproximadamente 1-2 cucharadas de relleno en el medio del redondel, de modo que el relleno no se salga cuando esté listo. Dobla en semicírculos y riza los bordes con un tenedor; luego perfora suavemente el centro con el tenedor para permitir que escape el vapor. Para hornear las empanadas en el horno, precalienta el horno a 215 grados durante unos 10 minutos. Una vez que todas las empanadas estén listas con el relleno, puedes hornearlas. Pincela mantequilla en la bandeja para hornear y coloca las empanadas de guayaba sobre ella. Asegúrate de dejar un espacio de aproximadamente una pulgada entre ellas para hornearlas de manera uniforme. Hornee durante 25 minutos o hasta que estén crujientes por fuera. Sirva la receta de empanadas de guayaba junto con la receta de té helado de naranja con especias de canela y la receta de papas gajo al horno durante la hora del té.</t>
  </si>
  <si>
    <t>Méthode pour la pâte extérieure : Pour commencer à préparer la recette des empanadas à la goyave, préparez d'abord la pâte pour l'écrasement. Pour la pâte à croûte, tamisez ensemble la farine, le sucre et le sel dans un grand bol à mélanger. Réservez le beurre pour badigeonner pendant la cuisson et hachez le beurre en petits morceaux et mélangez-le au mélange de farine jusqu'à ce qu'il soit friable. Faites un puits au centre et ajoutez de l'eau froide. Mélangez doucement avec la paume et les doigts jusqu'à ce qu'une pâte souple se forme, puis enveloppez la pâte dans du film alimentaire et conservez-la au réfrigérateur pendant 1 heure. Méthode pour la farce et la cuisson : Il est maintenant temps de préparer la farce. Mélangez le fromage à la crème, la goyave finement hachée, les noix mélangées et le sucre. Mélangez bien jusqu'à ce que le fromage soit crémeux et enrobe les autres ingrédients. Pour assembler les empanadas pour la cuisson, retirez la pâte du réfrigérateur et divisez-la en portions égales d'environ la taille d'un gros citron. Roulez chaque boule de pâte en un cercle d'environ 6 pouces. Le rondeau ne doit pas être trop fin pour laisser apparaître la farce, mais doit être suffisamment épais pour le maintenir ensemble, environ l'épaisseur d'un phulka. Vous pouvez également faire des rondeaux plus petits, selon vos préférences. Badigeonnez un peu d'eau autour du bord du cercle (pour lier les bords) avec votre index et placez environ 1 à 2 cuillères à soupe de garniture au milieu du rondeau, de sorte que la garniture ne coule pas une fois cuite. Pliez en demi-cercles et sertissez les bords avec une fourchette ; puis percez délicatement le centre avec la fourchette pour permettre à la vapeur de s'échapper. Pour cuire les empanadas au four, préchauffez le four à 215 degrés pendant environ 10 minutes. Une fois que tous les empanadas sont prêts avec la garniture, vous pouvez les cuire. Badigeonnez de beurre la plaque à pâtisserie et disposez les empanadas à la goyave dessus. Assurez-vous de laisser un espace d'environ un pouce entre eux pour une cuisson uniforme. Cuire au four pendant 25 minutes ou jusqu'à ce qu'ils soient croustillants de l'extérieur. Servir la recette d'empanadas à la goyave avec la recette de thé glacé à l'orange épicé à la cannelle et la recette de quartiers de pommes de terre au four pendant l'heure du thé.</t>
  </si>
  <si>
    <t>https://www.archanaskitchen.com/guava-empanadas-recipe</t>
  </si>
  <si>
    <t>Banana Butterscotch Cake Recipe</t>
  </si>
  <si>
    <t>Rezept für Bananen-Butterscotch-Kuchen</t>
  </si>
  <si>
    <t>Recette de gâteau à la banane et au caramel</t>
  </si>
  <si>
    <t>Receta de pastel de plátano y caramelo</t>
  </si>
  <si>
    <t>1 1/4 tasse de farine de blé entier, 1 cuillère à café de levure chimique, 1/4 cuillère à café de bicarbonate de soude, 1/2 cuillère à café de cannelle en poudre (Dalchini), 1/4 cuillère à café de sel, 3/4 tasse de sucre en poudre, 2 œufs entiers, 2 bananes mûres écrasées, 1/2 tasse d'huile de tournesol, 1/2 tasse de lait, 1/3 tasse de pépites de caramel écossais, 1/2 cuillère à café d'extrait de vanille</t>
  </si>
  <si>
    <t>1 1/4 cups Whole Wheat Flour,1 teaspoon Baking powder,1/4 teaspoon Baking soda,1/2 teaspoon Cinnamon Powder (Dalchini),1/4 teaspoon Salt,3/4 cup Sugar - powdered,2 Whole Eggs,2 Ripe Bananas - mashed,1/2 cup Sunflower Oil,1/2 cup Milk,1/3 cup Butterscotch Chips,1/2 teaspoon Vanilla Extract</t>
  </si>
  <si>
    <t>1 1/4 tazas de harina integral, 1 cucharadita de polvo para hornear, 1/4 cucharadita de bicarbonato de sodio, 1/2 cucharadita de canela en polvo (dalchini), 1/4 cucharadita de sal, 3/4 taza de azúcar en polvo, 2 huevos enteros, 2 plátanos maduros machacados, 1/2 taza de aceite de girasol, 1/2 taza de leche, 1/3 taza de chips de caramelo, 1/2 cucharadita de extracto de vainilla</t>
  </si>
  <si>
    <t xml:space="preserve">To begin making Banana Butterscotch Cake Recipe, put your oven on preheat at 180°C and grease your 8" or 9' baking pan. You can also use a parchment paper to line your baking pan.Sift together whole wheat flour, baking powder, baking soda, salt, and cinnamon powder. Keep aside.Next, in another bowl break in the eggs and add sugar to a bowl. Beat at high speed till mixture becomes pale and fluffy. Now, add oil and vanilla essence, and beat till everything is well incorporated.Next, add the mashed bananas to the above mixture and mix well.Now it's time to combine the wet and dry ingredients - add the sifted flour mixture and milk to the egg mixture and make a smooth batter.Coat the butterscotch chips in some flour and then gently fold them into the batter.Pour this prepared Banana Butterscotch Cake batter into the baking pan and bake for about 35 minutes at 180°C or until a toothpick inserted comes out clean.Once the Banana Butterscotch Cake is done, take out the cake from the oven and cool it on a rack.Once cooled, cut the Banana Butterscotch Cake into pieces and serve warm.Serve a slice of this delicious Banana and Butterscotch Cake as a tea time cake along with a cup of Basil Tea, Punjabi Style Espresso Coffee or Masala Chai. You can also serve it as a dessert for brunch.
</t>
  </si>
  <si>
    <t>Para comenzar a hacer la Receta de Pastel de Caramelo y Plátano, precalienta el horno a 180 °C y engrasa tu molde para hornear de 8" o 9'. También puedes usar papel pergamino para forrar el molde. Tamiza juntos la harina integral, el polvo para hornear, el bicarbonato de sodio, la sal y la canela en polvo. Reserva. Luego, en otro tazón, rompe los huevos y agrega el azúcar a un tazón. Bate a alta velocidad hasta que la mezcla se vuelva pálida y esponjosa. Ahora, agrega el aceite y la esencia de vainilla, y bate hasta que todo esté bien incorporado. Luego, agrega los plátanos machacados a la mezcla anterior y mezcla bien. Ahora es el momento de combinar los ingredientes húmedos y secos: agrega la mezcla de harina tamizada y la leche a la mezcla de huevo y haz una masa suave. Cubre los trozos de caramelo con un poco de harina y luego dóblalos suavemente en la masa. Vierte esta masa preparada para Pastel de Caramelo y Plátano en el molde para hornear y hornea durante aproximadamente 35 minutos a 180 °C o hasta que al insertar un palillo, este salga limpio. Una vez que el plátano El pastel de caramelo está listo. Retíralo del horno y déjalo enfriar sobre una rejilla. Una vez frío, córtalo en trozos y sírvelo caliente. Sirve una rebanada de este delicioso pastel de plátano y caramelo como postre para la hora del té, junto con una taza de té de albahaca, café expreso estilo punjabi o chai masala. También puedes servirlo como postre para el brunch.</t>
  </si>
  <si>
    <t>Pour commencer à préparer la recette du gâteau au caramel et à la banane, préchauffez votre four à 180 °C et graissez votre moule à pâtisserie de 20 ou 27 cm. Vous pouvez également utiliser du papier sulfurisé pour tapisser votre moule à pâtisserie. Tamisez ensemble la farine de blé entier, la levure chimique, le bicarbonate de soude, le sel et la cannelle en poudre. Réservez. Ensuite, dans un autre bol, cassez les œufs et ajoutez le sucre dans un bol. Battez à grande vitesse jusqu'à ce que le mélange devienne pâle et mousseux. Maintenant, ajoutez l'huile et l'essence de vanille et battez jusqu'à ce que tout soit bien incorporé. Ensuite, ajoutez les bananes écrasées au mélange ci-dessus et mélangez bien. Il est maintenant temps de combiner les ingrédients humides et secs - ajoutez le mélange de farine tamisé et le lait au mélange d'œufs et faites une pâte lisse. Enrobez les pépites de caramel dans un peu de farine, puis incorporez-les délicatement à la pâte. Versez cette pâte à gâteau au caramel et à la banane préparée dans le moule à pâtisserie et faites cuire pendant environ 35 minutes à 180 °C ou jusqu'à ce qu'un cure-dent inséré en ressorte propre. Une fois le gâteau au caramel et à la banane cuit C'est fait, sortez le gâteau du four et laissez-le refroidir sur une grille. Une fois refroidi, coupez le gâteau à la banane et au caramel en morceaux et servez chaud. Servez une part de ce délicieux gâteau à la banane et au caramel comme gâteau à l'heure du thé, accompagné d'une tasse de thé au basilic, de café expresso style punjabi ou de masala chai. Vous pouvez également le servir en dessert pour le brunch.</t>
  </si>
  <si>
    <t>https://www.archanaskitchen.com/banana-butterscotch-cake-recipe</t>
  </si>
  <si>
    <t>Peri Peri Fish Fingers Recipe</t>
  </si>
  <si>
    <t>Rezept für Peri-Peri-Fischstäbchen</t>
  </si>
  <si>
    <t>Recette de bâtonnets de poisson peri-peri</t>
  </si>
  <si>
    <t>Receta de palitos de pescado peri-peri</t>
  </si>
  <si>
    <t>2 poissons Basa - coupés en morceaux de la taille d'un doigt, 1/2 tasse de farine tout usage (Maida), 1 cuillère à soupe de sel, 1 cuillère à soupe de poudre de poivre noir, 1 œuf entier, 1/4 tasse de lait, 1/4 tasse de chapelure de blé entier, 1 cuillère à soupe de poudre de piment rouge, 1 cuillère à soupe de flocons de piment rouge - écrasés, 1 cuillère à soupe de poudre d'ail, 1 cuillère à café de poudre de gingembre sec, 1/4 cuillère à café de poudre de cannelle (Dalchini), 1 cuillère à café d'origan séché</t>
  </si>
  <si>
    <t>2 Basa fish - cut into finger length size,1/2 cup All Purpose Flour (Maida),1 tablespoon Salt,1 tablespoon Black pepper powder,1 Whole Egg,1/4 cup Milk,1/4 cup Whole Wheat Bread crumbs,1 tablespoon Red Chilli powder,1 tablespoon Red Chilli flakes - crushed,1 tablespoon Garlic powder,1 teaspoon Dry ginger powder,1/4 teaspoon Cinnamon Powder (Dalchini),1 teaspoon Dried oregano</t>
  </si>
  <si>
    <t>2 peces basa - cortados en trozos del tamaño de un dedo, 1/2 taza de harina para todo uso (Maida), 1 cucharada de sal, 1 cucharada de pimienta negra en polvo, 1 huevo entero, 1/4 taza de leche, 1/4 taza de pan rallado integral, 1 cucharada de chile rojo en polvo, 1 cucharada de hojuelas de chile rojo trituradas, 1 cucharada de ajo en polvo, 1 cucharadita de jengibre seco en polvo, 1/4 cucharadita de canela en polvo (Dalchini), 1 cucharadita de orégano seco</t>
  </si>
  <si>
    <t xml:space="preserve">To begin making the Peri Peri Fish Fingers Recipe, pat dry the fish to remove any excess water. In a small plate, add flour, salt and pepper and mix it well. In another bowl break an egg and add milk and whisk well. Also keep the bread crumbs ready in a separate plate.Heat a kadai/heavy bottomed pan with enough oil to fry. Add the fish on to a seasoned flour and coat them well. Dust out any excess flour.Dip the fish into the egg mixture and then finally crumb coat it completely and shake off the excess.Drop the fish finger slowly and carefully into the hot oil. Do the same for the rest. After 2 minutes flip it over. Cook until the fish fingers turn golden brown.Drain them out and place them in a paper napkin to remove any excess oil.To make the peri peri masala powder mix all the spice including red chilli powder, red chilli flakes, garlic powder, dry ginger powder, cinnamon powder and dried oregano into a bowl. Sprinkle them over the fish finger and toss well till it is evenly coated.Serve the Peri Peri Fish Fingers Recipe along with a Cottage Cheese Dip or Roasted Tomato Pasta Sauce or a salad by the side to enjoy your starters.
</t>
  </si>
  <si>
    <t>Para comenzar a hacer la Receta de Palitos de Pescado Peri Peri, seque el pescado para eliminar el exceso de agua. En un plato pequeño, agregue harina, sal y pimienta y mezcle bien. En otro tazón rompa un huevo y agregue leche y bata bien. También tenga las migas de pan listas en un plato aparte. Caliente un kadai / sartén de fondo grueso con suficiente aceite para freír. Agregue el pescado a una harina sazonada y cúbralos bien. Espolvoree el exceso de harina. Sumerja el pescado en la mezcla de huevo y luego finalmente cúbralo completamente con migas y sacuda el exceso. Deje caer el palito de pescado lenta y cuidadosamente en el aceite caliente. Haga lo mismo con el resto. Después de 2 minutos, déle la vuelta. Cocine hasta que los palitos de pescado se doren. Escúrralos y colóquelos en una servilleta de papel para eliminar el exceso de aceite. Para hacer el polvo peri peri masala mezcle todas las especias, incluido el polvo de chile rojo, las hojuelas de chile rojo, el ajo en polvo, el jengibre en polvo seco, la canela en polvo y el orégano seco en un tazón. Espolvoréalos sobre el palito de pescado y revuelve bien hasta que esté cubierto de manera uniforme. Sirve la receta de palitos de pescado Peri Peri junto con una salsa de requesón o una salsa de pasta con tomate asado o una ensalada al lado para disfrutar de tus entrantes.</t>
  </si>
  <si>
    <t>Pour commencer à préparer la recette des bâtonnets de poisson Peri Peri, séchez le poisson pour éliminer l'excès d'eau. Dans une petite assiette, ajoutez la farine, le sel et le poivre et mélangez bien. Dans un autre bol, cassez un œuf, ajoutez le lait et fouettez bien. Gardez également la chapelure prête dans une assiette séparée. Faites chauffer un kadai/poêle à fond épais avec suffisamment d'huile pour frire. Ajoutez le poisson dans une farine assaisonnée et enrobez-le bien. Dépoussiérez l'excédent de farine. Trempez le poisson dans le mélange d'œufs, puis enrobez-le complètement de chapelure et secouez l'excédent. Déposez le bâtonnet de poisson lentement et soigneusement dans l'huile chaude. Faites de même pour le reste. Après 2 minutes, retournez-le. Faites cuire jusqu'à ce que les bâtonnets de poisson deviennent dorés. Égouttez-les et placez-les dans une serviette en papier pour enlever l'excès d'huile. Pour préparer la poudre de masala peri peri, mélangez toutes les épices, y compris la poudre de piment rouge, les flocons de piment rouge, la poudre d'ail, la poudre de gingembre sec, la poudre de cannelle et l'origan séché dans un bol. Saupoudrez-les sur les bâtonnets de poisson et mélangez bien jusqu'à ce qu'ils soient uniformément enrobés. Servez la recette de bâtonnets de poisson Peri Peri avec une trempette au fromage cottage ou une sauce pour pâtes aux tomates rôties ou une salade à côté pour savourer vos entrées.</t>
  </si>
  <si>
    <t>http://www.archanaskitchen.com/peri-peri-fish-fingers-recipe</t>
  </si>
  <si>
    <t>Eggless Carrot Muffins Recipe</t>
  </si>
  <si>
    <t>Rezept für Karottenmuffins ohne Eier</t>
  </si>
  <si>
    <t>Recette de muffins aux carottes sans œufs</t>
  </si>
  <si>
    <t>Receta de muffins de zanahoria sin huevo</t>
  </si>
  <si>
    <t>1-1/4 tasse de farine de blé entier, 1 tasse de caillé (Dahi / Yaourt), 3/4 tasse de carotte (Gajjar) - râpée, 3/4 tasse de sucre en poudre, 1/4 tasse d'huile de tournesol - (huile de tournesol), 3 cuillères à soupe de Badam (amande) - hachée, 1 cuillère à café d'extrait de vanille, 1/2 cuillère à café de levure chimique, 1/2 cuillère à café de bicarbonate de soude, sel - une pincée</t>
  </si>
  <si>
    <t>1-1/4 cup Whole Wheat Flour,1 cup Curd (Dahi / Yogurt),3/4 cup Carrot (Gajjar) - grated,3/4 cup Caster Sugar,1/4 cup Sunflower Oil - (sunflower oil),3 tablespoon Badam (Almond) - chopped,1 teaspoon Vanilla Extract,1/2 teaspoon Baking powder,1/2 teaspoon Baking soda,Salt - a pinch</t>
  </si>
  <si>
    <t>1-1/4 taza de harina integral, 1 taza de cuajada (Dahi/yogur), 3/4 taza de zanahoria (Gajjar) - rallada, 3/4 taza de azúcar extrafino, 1/4 taza de aceite de girasol (aceite de girasol), 3 cucharadas de Badam (almendra) - picada, 1 cucharadita de extracto de vainilla, 1/2 cucharadita de polvo para hornear, 1/2 cucharadita de bicarbonato de sodio, sal - una pizca</t>
  </si>
  <si>
    <t xml:space="preserve">To prepare making Eggless Carrot Muffins Recipe, wash, peel and grate the carrot and keep aside. Grease or line the muffin tray. Preheat the oven at 180 degree Celsius for 10 minutes. Sift whole wheat flour, baking soda, baking powder and salt together.In a bowl take curd and add sugar to it. Whisk until the sugar dissolves. To it add oil and mix well.Next, add the sifted dry ingredients little by little too the wet ingredients and gently fold. Add grated Carrot to this batter and mix lightly. Do not over beat.Mix the chopped Almonds with some dry flour and add it to the batter.In the end, add the Vanilla extract. Give it a quick stir.Fill in the muffin liners to 3/4 max. Tap the muffin tray gently 2-3 times to remove the trapped air bubbles. Bake the muffins in the preheated oven for 18-20 minutes or until the tester toothpick comes out clean. If otherwise, bake for other 2-3 minutes.Once done, carefully remove the muffins and allow them to cool on the wire rack.Serve Vegan Eggless Carrot Muffins Recipe during tea time with masala chai or your favorite spiced tea with Fresh Fruit Bowl Recipe.
</t>
  </si>
  <si>
    <t>Para preparar la receta de Muffins de Zanahoria sin Huevo, lava, pela y ralla la zanahoria y déjala a un lado. Engrasa o forra la bandeja para muffins. Precalienta el horno a 180 grados Celsius durante 10 minutos. Tamiza la harina integral, el bicarbonato de sodio, el polvo para hornear y la sal juntos. En un tazón, toma la cuajada y agrégale azúcar. Bate hasta que el azúcar se disuelva. Añádele aceite y mezcla bien. A continuación, agrega los ingredientes secos tamizados poco a poco a los ingredientes húmedos y mezcla suavemente. Agrega zanahoria rallada a esta masa y mezcla ligeramente. No batas demasiado. Mezcla las almendras picadas con un poco de harina seca y agrégala a la masa. Al final, agrega el extracto de vainilla. Revuelve rápidamente. Llena los capacillos para muffins hasta 3/4 como máximo. Golpea suavemente la bandeja para muffins 2-3 veces para eliminar las burbujas de aire atrapadas. Hornea los muffins en el horno precalentado durante 18-20 minutos o hasta que al insertar un palillo, este salga limpio. De lo contrario, hornea durante 2-3 minutos más. Una vez listos, retira con cuidado los muffins y déjalos enfriar sobre una rejilla. Sirve la receta de muffins veganos de zanahoria sin huevo durante la hora del té con masala chai o tu té especiado favorito con la receta de tazón de frutas frescas.</t>
  </si>
  <si>
    <t>Pour préparer la recette de muffins aux carottes sans œufs, lavez, épluchez et râpez la carotte et réservez. Graissez ou chemisez le moule à muffins. Préchauffez le four à 180 degrés Celsius pendant 10 minutes. Tamisez la farine de blé entier, le bicarbonate de soude, la levure chimique et le sel ensemble. Dans un bol, prenez le caillé et ajoutez-y le sucre. Fouettez jusqu'à ce que le sucre se dissolve. Ajoutez-y l'huile et mélangez bien. Ensuite, ajoutez les ingrédients secs tamisés petit à petit aux ingrédients humides et incorporez délicatement. Ajoutez la carotte râpée à cette pâte et mélangez légèrement. Ne battez pas trop. Mélangez les amandes hachées avec un peu de farine sèche et ajoutez-les à la pâte. À la fin, ajoutez l'extrait de vanille. Remuez rapidement. Remplissez les moules à muffins aux 3/4 maximum. Tapotez doucement le moule à muffins 2 à 3 fois pour éliminer les bulles d'air emprisonnées. Faites cuire les muffins dans le four préchauffé pendant 18 à 20 minutes ou jusqu'à ce que le cure-dent en ressorte propre. Sinon, faites cuire pendant 2 à 3 minutes supplémentaires. Une fois cuits, retirez délicatement les muffins et laissez-les refroidir sur la grille. Servez la recette de muffins aux carottes végétaliens sans œufs à l'heure du thé avec du masala chai ou votre thé épicé préféré avec la recette de bol de fruits frais.</t>
  </si>
  <si>
    <t>https://www.archanaskitchen.com/eggless-carrot-muffins-recipe</t>
  </si>
  <si>
    <t>Oats Carrot Bell Peppers Mayo Sandwich Recipe</t>
  </si>
  <si>
    <t>Rezept für ein Sandwich mit Hafer, Karotten, Paprika und Mayonnaise</t>
  </si>
  <si>
    <t>Recette de sandwich à l'avoine, aux carottes, aux poivrons et à la mayonnaise</t>
  </si>
  <si>
    <t>Receta de sándwich de avena, zanahoria, pimiento y mayonesa</t>
  </si>
  <si>
    <t>8 pains bruns de blé entier, 4 cuillères à soupe de beurre (pour griller), 1 carotte (Gajjar) - râpée, 1 poivron rouge (Capsicum) - haché finement, 1/2 tasse d'avoine instantanée (gruau), 2 cuillères à soupe de mayonnaise classique (avec œuf), 1 cuillère à café de flocons de piment rouge, 1 cuillère à café d'origan séché, sel et poivre - au goût</t>
  </si>
  <si>
    <t>8 Whole Wheat Brown Bread,4 tablespoon Butter - for grilling,1 Carrot (Gajjar) - grated,1 Red Bell pepper (Capsicum) - chopped finely,1/2 cup Instant Oats (Oatmeal),2 tablespoon Classic Mayonnaise (With Egg),1 teaspoon Red Chilli flakes,1 teaspoon Dried oregano,Salt and Pepper - to taste</t>
  </si>
  <si>
    <t>8 panes integrales, 4 cucharadas de mantequilla (para asar), 1 zanahoria (Gajjar) rallada, 1 pimiento rojo (Capsicum) picado finamente, 1/2 taza de avena instantánea (avena), 2 cucharadas de mayonesa clásica (con huevo), 1 cucharadita de hojuelas de chile rojo, 1 cucharadita de orégano seco, sal y pimienta (al gusto)</t>
  </si>
  <si>
    <t xml:space="preserve">To begin making the Oats Carrot Bell Peppers Mayo Sandwich Recipe, firstly mix all ingredients for the coleslaw salad including carrot, red bell pepper, instant oats, mayonnnaise, red chilli flakes, dried oregano, salt and pepper. Check for seasoning according to your palate.Now to grill the bread, take a tablespoon of the filling and place it over one slice bread and spread it evenly. Take one more slice and cover it.Heat a sandwich maker, add half a tablespoon of butter and place the sandwich and then spread half a tablespoon of butter over the bread and grill the bread till it is crispy and golden brown. Serve the Oats Carrot Bell Peppers Mayo Sandwich Recipe along with Papaya Banana Smoothie Recipe and Indian Spicy Masala Cookie Recipe (Khara Biscuit) for your tea parties.
</t>
  </si>
  <si>
    <t>Para empezar a preparar la receta del sándwich de avena, zanahoria, pimientos morrones y mayonesa, primero mezcle todos los ingredientes para la ensalada de col, incluyendo zanahoria, pimiento morrón rojo, avena instantánea, mayonesa, hojuelas de chile rojo, orégano seco, sal y pimienta. Pruebe la sazón a su gusto. Ahora, para asar el pan, tome una cucharada del relleno y colóquela sobre una rebanada de pan y extiéndala uniformemente. Tome otra rebanada y cúbrala. Caliente una sandwichera, agregue media cucharada de mantequilla y coloque el sándwich y luego unte media cucharada de mantequilla sobre el pan y áselo hasta que esté crujiente y dorado. Sirva la receta del sándwich de avena, zanahoria, pimientos morrones y mayonesa junto con la receta del batido de papaya y plátano y la receta de galletas masala picantes indias (galleta khara) para sus fiestas de té.</t>
  </si>
  <si>
    <t>Pour préparer le sandwich à l'avoine, aux carottes et aux poivrons, mélangez tous les ingrédients de la salade de chou : carottes, poivrons rouges, flocons d'avoine instantanés, mayonnaise, flocons de piment rouge, origan séché, sel et poivre. Assaisonnez selon votre goût. Pour griller le pain, prenez une cuillère à soupe de garniture et déposez-la sur une tranche de pain. Répartissez-la uniformément sur une autre tranche. Faites chauffer une machine à sandwich, ajoutez une demi-cuillère à soupe de beurre et déposez le sandwich. Étalez ensuite une demi-cuillère à soupe de beurre sur le pain et faites-le griller jusqu'à ce qu'il soit croustillant et doré. Servez le sandwich à l'avoine, aux carottes et aux poivrons avec la recette de smoothie à la papaye et à la banane et la recette de biscuits indiens épicés au masala (biscuits Khara) pour vos goûters.</t>
  </si>
  <si>
    <t>https://www.archanaskitchen.com/oats-carrot-bell-peppers-mayo-sandwich-recipe</t>
  </si>
  <si>
    <t>Vegan Guilt Free Chocolate Espresso Mousse Recipe</t>
  </si>
  <si>
    <t>Veganes Schokoladen-Espresso-Mousse ohne schlechtes Gewissen</t>
  </si>
  <si>
    <t>Mousse expresso au chocolat vegan sans mauvaise conscience</t>
  </si>
  <si>
    <t>Mousse de chocolate espresso vegano sin remordimientos</t>
  </si>
  <si>
    <t>3 bananes mûres, 2 avocats, 200 grammes de chocolat noir, 1/2 tasse de cacao en poudre, 4 cuillères à soupe de café instantané en poudre, 2 cuillères à soupe de sucre, 200 ml de lait de coco - (réfrigéré pendant 6 à 8 heures), 1 cuillère à café d'extrait de vanille, 2 cuillères à soupe de sucre glace, copeaux de chocolat, sucre décoratif (paillettes pour gâteaux/bonbons)</t>
  </si>
  <si>
    <t>3 Ripe Bananas,2 Avocados,200 grams Dark chocolate,1/2 cup Cocoa Powder,4 tablespoons Instant Coffee Powder,2 tablespoons Sugar,200 ml Coconut milk - (refrigerated for 6 to 8 hours),1 teaspoon Vanilla Extract,2 tablespoons Icing Sugar,Chocolate Shavings,Decorative sugar (Cake/ Candy Sprinkles)</t>
  </si>
  <si>
    <t>3 plátanos maduros, 2 aguacates, 200 gramos de chocolate negro, 1/2 taza de cacao en polvo, 4 cucharadas de café instantáneo en polvo, 2 cucharadas de azúcar, 200 ml de leche de coco (refrigerada durante 6 a 8 horas), 1 cucharadita de extracto de vainilla, 2 cucharadas de azúcar glas, virutas de chocolate, azúcar decorativa (chispas para pastel/dulces)</t>
  </si>
  <si>
    <t xml:space="preserve">To begin making this Vegan Guilt Free Chocolate Espresso Mousse Recipe, first melt the chocolate in a microwave safe bowl.Place all the dark chocolate in the bowl and microwave it at 20 seconds intervals until it has just melted.Take care not to overheat the chocolate. Once melted, remove it from the microwave and give it a quick mix. Set it aside in the bowl to cool down a bit.While the chocolate is melting, make a coffee decoction as below or prepare the espresso in a coffee machine using fresh coffee beans.To make the decoction add 1/4 cup warm water to 4 tablespoons of instant coffee powder and stir well to make a coffee decoction.When ready, and the chocolate has cooled, add coffee decoction to melted chocolate and mix it well.Next add the ripe bananas, ripe avocados, melted chocolate with coffee, cocoa powder and sugar into a blender and blitz into a smooth paste. Do not add any water at this stage as we want the mixture to be thick. This will help it set like mousse.Transfer the fruit and chocolate espresso mixture for the mousse into 6 individual serving cups or a large serving bowl and chill it in the refrigerator, until it is set (about 8 hours). Pouring it into individual bowls will help set it faster, whereas a big serving bowl may take a while longer.While the dessert is getting set we will proceed to make the Vegan Coconut Milk Whipped Cream. To make the Coconut Whipped Cream, it is important for the coconut milk to be refrigerated for 6 to 8 hours. This refrigeration process helps thicken the coconut milk. Remove the excess liquids after refrigeration and use only the solids. Using a cloth mesh strainer will help separate the whey.Place the refrigerated coconut milk in a chilled mixing bowl, add the icing sugar and vanilla essence. Using an electric beater, whisk until it forms stiff peaks. Refrigerate this coconut cream until you are ready to use it.When you are ready to serve, garnish the Vegan Chocolate Espresso Mousse with whipped coconut milk cream and some chocolate shavings.Enjoy the guilt free Vegan Chocolate Espresso Mousse at the end of a Weekend Dinner or Dinner Party.Serve Vegan Guilt Free Chocolate Espresso Mousse Recipe as dessert after a meal of  Loaded Veggie Nachos Recipe - A Delicious Mexican Appetizer and Red Bean Mexican Burrito Bowl Recipe - Roz Ka Khana With Figaro Olive Oil.
</t>
  </si>
  <si>
    <t>Para empezar a preparar esta receta vegana de mousse de chocolate espresso sin remordimientos, primero derrite el chocolate en un recipiente apto para microondas. Coloca todo el chocolate negro en el recipiente y caliéntalo en el microondas a intervalos de 20 segundos hasta que se derrita. Ten cuidado de no sobrecalentar el chocolate. Una vez derretido, retíralo del microondas y mézclalo rápidamente. Déjalo enfriar un poco en el recipiente. Mientras se derrite el chocolate, prepara una decocción de café como se indica a continuación o prepara el espresso en una cafetera con granos de café frescos. Para preparar la decocción, añade 1/4 de taza de agua tibia a 4 cucharadas de café instantáneo en polvo y remueve bien. Cuando esté listo y el chocolate se haya enfriado, añade la decocción de café al chocolate derretido y mézclalo bien. A continuación, añade los plátanos maduros, los aguacates maduros, el chocolate derretido con café, el cacao en polvo y el azúcar a una licuadora y tritura hasta obtener una pasta suave. No añadas agua en este punto, ya que queremos que la mezcla quede espesa. Esto ayudará a que se asiente como una mousse. Transfiera la mezcla de frutas y chocolate espresso para la mousse a 6 tazas individuales para servir o a un tazón grande para servir y enfríela en el refrigerador hasta que esté lista (aproximadamente 8 horas). Verterla en tazones individuales ayudará a que se asiente más rápido, mientras que un tazón grande para servir puede tardar un poco más. Mientras se asienta el postre, procederemos a hacer la crema batida vegana de leche de coco. Para hacer la crema batida de coco, es importante que la leche de coco se refrigere durante 6 a 8 horas. Este proceso de refrigeración ayuda a espesar la leche de coco. Retire el exceso de líquidos después de la refrigeración y use solo los sólidos. Usar un colador de tela ayudará a separar el suero. Coloque la leche de coco refrigerada en un tazón para mezclar frío, agregue el azúcar glas y la esencia de vainilla. Usando una batidora eléctrica, bata hasta que forme picos firmes. Refrigera esta crema de coco hasta que estés listo para usarla. Cuando estés listo para servir, decora el mousse vegano de chocolate y espresso con crema batida de leche de coco y algunas virutas de chocolate. Disfruta del mousse vegano de chocolate y espresso sin culpa al final de una cena de fin de semana o una cena formal. Sirve el mousse vegano de chocolate y espresso sin culpa como postre después de una comida de nachos vegetarianos rellenos - Un delicioso aperitivo mexicano y un burrito mexicano de frijoles rojos - Roz Ka Khana con aceite de oliva Fígaro.</t>
  </si>
  <si>
    <t>Pour commencer à préparer cette recette de mousse expresso au chocolat vegan et sans culpabilité, faites fondre le chocolat dans un bol allant au micro-ondes. Placez tout le chocolat noir dans le bol et faites-le fondre au micro-ondes par intervalles de 20 secondes. Veillez à ne pas surchauffer le chocolat. Une fois fondu, retirez-le du micro-ondes et mélangez rapidement. Laissez refroidir dans le bol. Pendant que le chocolat fond, préparez une décoction de café comme indiqué ci-dessous ou préparez l'expresso à la machine à café avec des grains de café frais. Pour la décoction, ajoutez 60 ml d'eau tiède à 4 cuillères à soupe de café instantané en poudre et remuez bien pour obtenir une décoction de café. Une fois le chocolat refroidi, ajoutez la décoction de café au chocolat fondu et mélangez bien. Ajoutez ensuite les bananes mûres, les avocats mûrs, le chocolat fondu avec le café, le cacao en poudre et le sucre dans un mixeur et mixez jusqu'à obtenir une pâte lisse. N'ajoutez pas d'eau à ce stade, car le mélange doit être épais. Cela l'aidera à prendre comme une mousse. Transférez le mélange d'espresso aux fruits et au chocolat pour la mousse dans 6 tasses individuelles ou un grand bol de service et laissez-le refroidir au réfrigérateur jusqu'à ce qu'il soit pris (environ 8 heures). Le verser dans des bols individuels l'aidera à prendre plus rapidement, alors qu'un grand bol de service peut prendre un peu plus de temps. Pendant que le dessert prend, nous allons procéder à la préparation de la crème fouettée au lait de coco végétalien. Pour préparer la crème fouettée à la noix de coco, il est important que le lait de coco soit réfrigéré pendant 6 à 8 heures. Ce processus de réfrigération aide à épaissir le lait de coco. Retirez l'excès de liquide après la réfrigération et n'utilisez que les solides. L'utilisation d'une passoire en tissu aidera à séparer le lactosérum. Placez le lait de coco réfrigéré dans un bol à mélanger réfrigéré, ajoutez le sucre glace et l'essence de vanille. À l'aide d'un batteur électrique, fouettez jusqu'à ce qu'il forme des pics fermes. Réfrigérez cette crème de noix de coco jusqu'à ce que vous soyez prêt à l'utiliser. Lorsque vous êtes prêt à servir, garnissez la mousse expresso au chocolat végétalienne de crème fouettée au lait de coco et de quelques copeaux de chocolat. Savourez la mousse expresso au chocolat végétalienne sans culpabilité à la fin d'un dîner de week-end ou d'un dîner. Servez la recette de mousse expresso au chocolat végétalienne sans culpabilité comme dessert après un repas de recette de nachos végétariens chargés - Un délicieux apéritif mexicain - et de recette de bol de burrito mexicain aux haricots rouges - Roz Ka Khana à l'huile d'olive Figaro.</t>
  </si>
  <si>
    <t>http://www.archanaskitchen.com/vegan-guilt-free-chocolate-espresso-mousse-recipe</t>
  </si>
  <si>
    <t>Eggless Cake Pops Recipe</t>
  </si>
  <si>
    <t>Rezept für Cake Pops ohne Eier</t>
  </si>
  <si>
    <t>Recette de cake pops sans œufs</t>
  </si>
  <si>
    <t>Receta de cake pops sin huevo</t>
  </si>
  <si>
    <t>1 tasse de farine tout usage (Maida), 1/2 tasse de sucre, 1/2 tasse de beurre salé, 3/4 tasse de lait, 1/2 cuillère à soupe de levure chimique, 1/4 cuillère à café de bicarbonate de soude, 1/2 cuillère à soupe d'extrait de vanille, 1/4 tasse d'huile de tournesol, 2 tasses de chocolat noir fondu, 2 tasses de chocolat blanc fondu, sucre décoratif (paillettes pour gâteaux/bonbons) pour décorer</t>
  </si>
  <si>
    <t>1 cup All Purpose Flour (Maida),1/2 cup Sugar,1/2 cup Salted butter,3/4 cup Milk,1/2 tablespoon Baking powder,1/4 teaspoon Baking soda,1/2 tablespoon Vanilla Extract,1/4 cup Sunflower Oil,2 cups Dark chocolate - melted,2 cups White Chocolate - melted,Decorative sugar (Cake/ Candy Sprinkles) - to decorate</t>
  </si>
  <si>
    <t>1 taza de harina para todo uso (Maida), 1/2 taza de azúcar, 1/2 taza de mantequilla salada, 3/4 taza de leche, 1/2 cucharada de polvo para hornear, 1/4 cucharadita de bicarbonato de sodio, 1/2 cucharada de extracto de vainilla, 1/4 taza de aceite de girasol, 2 tazas de chocolate negro - derretido, 2 tazas de chocolate blanco - derretido, azúcar decorativa (chispas para pastel/dulces) - para decorar</t>
  </si>
  <si>
    <t xml:space="preserve">To begin making the Eggless Cake Pops recipe, first sieve all the dry ingredients including flour, baking powder, baking soda and keep it aside.Take a bowl and blend/whisk butter for 5 minutes using a blender. It should become light and fluffy.Then add  oil and sugar and whisk for another 3 minutes. Further add vanilla extract and milk (half) and whisk.Now, add in rounds the dry ingredients and fold them nicely. Keep adding rest milk as required.Preheat the oven at 200 degree Celsius for 10 minutes. Pour the batter in the cake pop mould.Bake for 15 minutes at 150 degree Celsius. Let it cool properly else the pops might break.The next step is to frost the pops. Melt the dark and white chocolates separately in a bowl.Attach a toothpick stick or a pop stick to the cake pops.Now, dip the cake pops in the chocolate bowls and cover it from all sides.Place them in a vertical positions and decorate with sprinkles of your choice. Let them cool properly before serving.Serve Eggless Cake Pops Recipe in your parties as a dessert or serve them after a delicious dinner of Paneer Pav Bhaji.
</t>
  </si>
  <si>
    <t>Para comenzar a hacer la receta de Cake Pops sin huevo, primero tamiza todos los ingredientes secos, incluyendo harina, polvo para hornear, bicarbonato de sodio y déjalo a un lado. Toma un tazón y mezcla/bate la mantequilla durante 5 minutos usando una licuadora. Debería volverse ligera y esponjosa. Luego agrega el aceite y el azúcar y bate durante otros 3 minutos. Agrega más extracto de vainilla y leche (la mitad) y bate. Ahora, agrega en rondas los ingredientes secos y dóblalos bien. Sigue agregando la leche restante según sea necesario. Precalienta el horno a 200 grados Celsius durante 10 minutos. Vierte la masa en el molde para cake pops. Hornea durante 15 minutos a 150 grados Celsius. Deja que se enfríe completamente de lo contrario las paletas podrían romperse. El siguiente paso es glasear las paletas. Derrite los chocolates negro y blanco por separado en un tazón. Coloca un palillo de dientes o un palito de paleta en las cake pops. Ahora, sumerge las cake pops en los tazones de chocolate y cúbrelos por todos lados. Colócalos en posición vertical y decora con chispas de tu elección. Déjalos enfriar completamente antes de servir. Sirve la receta de Cake Pops sin huevo en tus fiestas como postre o sírvelos después de una deliciosa cena de Paneer Pav Bhaji.</t>
  </si>
  <si>
    <t>Pour commencer à préparer la recette des Cake Pops sans œufs, tamisez d'abord tous les ingrédients secs, y compris la farine, la levure chimique et le bicarbonate de soude, puis réservez-les. Prenez un bol et mélangez/fouettez le beurre pendant 5 minutes à l'aide d'un mixeur. Il devrait devenir léger et mousseux. Ajoutez ensuite l'huile et le sucre et fouettez pendant encore 3 minutes. Ajoutez ensuite l'extrait de vanille et le lait (la moitié) et fouettez. Ajoutez ensuite les ingrédients secs en rondelles et incorporez-les bien. Continuez à ajouter le reste du lait si nécessaire. Préchauffez le four à 200 degrés Celsius pendant 10 minutes. Versez la pâte dans le moule à cake pops. Faites cuire au four pendant 15 minutes à 150 degrés Celsius. Laissez-le refroidir correctement, sinon les pops pourraient se casser. L'étape suivante consiste à glacer les pops. Faites fondre les chocolats noir et blanc séparément dans un bol. Fixez un cure-dent ou un bâtonnet à pops aux cake pops. Trempez maintenant les cake pops dans les bols en chocolat et recouvrez-les de tous les côtés. Placez-les en position verticale et décorez avec les vermicelles de votre choix. Laissez-les bien refroidir avant de servir. Servez la recette de Cake Pops sans œufs lors de vos fêtes en guise de dessert ou servez-les après un délicieux dîner de Paneer Pav Bhaji.</t>
  </si>
  <si>
    <t>http://www.archanaskitchen.com/eggless-cake-pops-recipe</t>
  </si>
  <si>
    <t>Tomatoes Stuffed With Mint Mayo And Paneer Recipe</t>
  </si>
  <si>
    <t>Mit Minz-Mayo und Paneer gefüllte Tomaten Rezept</t>
  </si>
  <si>
    <t>Recette de tomates farcies à la menthe, à la mayonnaise et au paneer</t>
  </si>
  <si>
    <t>Receta de tomates rellenos de menta, mayonesa y paneer</t>
  </si>
  <si>
    <t>1/4 tasse de paneer (fromage cottage fait maison) - émietté, 1/4 tasse de mayonnaise à la menthe Del Monte, 8 tomates - lavées et séchées à la serviette, 1 oignon - finement haché, 1 poivron vert (Capsicum) - finement haché, 1 cuillère à café d'huile d'olive extra vierge - un peu plus pour frotter sur les tomates, 1 cuillère à café de grains de poivre noir entiers - grossièrement pilés, sel - au goût</t>
  </si>
  <si>
    <t>1/4 cup Paneer (Homemade Cottage Cheese) - crumbled,1/4 cup Del Monte Mint Mayo,8 Tomatoes - washed and towel dried,1 Onion - finely chopped,1 Green Bell Pepper (Capsicum) - finely chopped,1 teaspoon Extra Virgin Olive Oil - some more for rubbing on the tomatoes,1 teaspoon Whole Black Peppercorns - coarsely pounded,Salt - to taste</t>
  </si>
  <si>
    <t>1/4 taza de Paneer (queso cottage casero) - desmenuzado, 1/4 taza de mayonesa de menta Del Monte, 8 tomates - lavados y secados con toalla, 1 cebolla - finamente picada, 1 pimiento verde (Capsicum) - finamente picado, 1 cucharadita de aceite de oliva virgen extra - un poco más para frotar los tomates, 1 cucharadita de granos de pimienta negra enteros - machacados gruesos, sal - al gusto</t>
  </si>
  <si>
    <t xml:space="preserve">To begin making the Tomatoes Stuffed With Mint Mayo and Paneer recipe, firstly preheat the oven to 200 degree Celsius.Slice off the top of the tomatoes and reserve the tops.Using a sharp knife, melon baller or spoon, carefully scoop out the flesh to make a cavity. Take care not to cut through the tomatoes. Chop the flesh.In a small pan heat the oil. Add the onion and sauté for a few seconds. Add the capsicum and sauté for 30 to 40 seconds.Take it off the heat and add the paneer, Del Monte Mint mayo, black pepper, salt and the chopped tomato flesh. Mix everything well.Rub some salt and oil on the tomatoes. Fill each cavity with the mixture.Place the top caps of tomatoes and place the tomatoes in the baking dish.Bake for about 15 minutes or till the tomatoes just soften. Serve hot or cold, as it is or with some salad on the side.
</t>
  </si>
  <si>
    <t>Para preparar la receta de Tomates Rellenos con Mayonesa de Menta y Paneer, precalienta el horno a 200 grados Celsius. Corta la parte superior de los tomates y reserva las puntas. Con un cuchillo afilado, un sacabolas o una cuchara, extrae con cuidado la pulpa para crear una cavidad. Ten cuidado de no cortar los tomates. Pica la pulpa. Calienta el aceite en una sartén pequeña. Agrega la cebolla y sofríe unos segundos. Agrega el pimiento y sofríe de 30 a 40 segundos. Retira del fuego y agrega el paneer, la mayonesa de menta Del Monte, la pimienta negra, la sal y la pulpa de tomate picada. Mezcla bien. Unta los tomates con un poco de sal y aceite. Rellena cada cavidad con la mezcla. Coloca las tapas de los tomates en la fuente para hornear. Hornea durante unos 15 minutos o hasta que los tomates estén tiernos. Sirve caliente o frío, solo o con ensalada.</t>
  </si>
  <si>
    <t>Pour préparer les tomates farcies à la mayonnaise à la menthe et au paneer, préchauffez le four à 200 °C. Coupez le haut des tomates et réservez-les. À l'aide d'un couteau bien aiguisé, d'une cuillère parisienne ou d'une cuillère, prélevez délicatement la chair pour former une cavité. Veillez à ne pas couper les tomates. Hachez la chair. Dans une petite poêle, faites chauffer l'huile. Ajoutez l'oignon et faites-le revenir quelques secondes. Ajoutez le poivron et faites-le revenir 30 à 40 secondes. Retirez du feu et ajoutez le paneer, la mayonnaise à la menthe Del Monte, le poivre noir, le sel et la chair de tomate hachée. Mélangez bien le tout. Badigeonnez les tomates de sel et d'huile. Remplissez chaque cavité avec ce mélange. Placez les chapeaux des tomates dans le plat de cuisson. Faites cuire au four pendant environ 15 minutes ou jusqu'à ce que les tomates soient tendres. Servez chaud ou froid, nature ou accompagné d'une salade.</t>
  </si>
  <si>
    <t>http://www.archanaskitchen.com/tomatoes-stuffed-with-mint-mayo-and-paneer-recipe</t>
  </si>
  <si>
    <t>Savory Carrot Olive Spinach Sandwich Spread Recipe</t>
  </si>
  <si>
    <t>Rezept für herzhaften Karotten-Oliven-Spinat-Sandwichaufstrich</t>
  </si>
  <si>
    <t>Recette de tartinade salée aux carottes, aux olives et aux épinards pour sandwich</t>
  </si>
  <si>
    <t>Receta de untable sabroso de zanahoria, aceitunas y espinacas para sándwich</t>
  </si>
  <si>
    <t>2 carottes (Gajjar) - pelées et râpées, 2 cuillères à soupe d'olives vertes farcies au piment - finement hachées, 1/4 tasse de feuilles d'épinards (Palak) - finement hachées, 1/2 tasse de noix - finement hachées, 1 gousse d'ail - finement hachée, 1 cuillère à café de graines de chia, 1/2 cuillère à café de feuilles de basilic séchées, 1/2 cuillère à café de poudre de poivre noir, 2 cuillères à soupe de fromage à la crème Britannia - ramolli, sel - au goût, 1 cuillère à soupe d'huile d'olive extra vierge</t>
  </si>
  <si>
    <t>2 Carrots (Gajjar) - peeled and grated,2 tablespoons Pimiento-stuffed green olives - finely chopped,1/4 cup Spinach Leaves (Palak) - finely chopped,1/2 cup Walnuts - finely chopped,1 clove Garlic - finely chopped,1 teaspoon Chia Seeds,1/2 teaspoon Dried basil leaves,1/2 teaspoon Black pepper powder,2 tablespoons Britannia Cream Cheese - softened,Salt - to taste,1 tablespoon Extra Virgin Olive Oil</t>
  </si>
  <si>
    <t>2 zanahorias (Gajjar) - peladas y ralladas, 2 cucharadas de aceitunas verdes rellenas de pimiento - finamente picadas, 1/4 taza de hojas de espinaca (Palak) - finamente picadas, 1/2 taza de nueces - finamente picadas, 1 diente de ajo - finamente picado, 1 cucharadita de semillas de chía, 1/2 cucharadita de hojas de albahaca secas, 1/2 cucharadita de pimienta negra en polvo, 2 cucharadas de queso crema Britannia - ablandado, sal - al gusto, 1 cucharada de aceite de oliva virgen extra</t>
  </si>
  <si>
    <t xml:space="preserve">To begin making the Savory Carrot Spinach Sandwich Spread Recipe wash, peel carrots and grate it in a bowl. Wash spinach in water to get rid of any dirt particles. Finely chop spinach leaves and transfer to the same bowl as carrot. Similarly fine chop olives, pecans and garlic clove and add to the bowl of chopped vegetables.Now add cream cheese, salt, pepper, basil, chia seeds to the vegetables. Stir with the spoon, add olive oil to get the smooth spreading consistency. Adjust seasoning as per your taste. The Savory Carrot Spinach Spread is ready to be served as a spread on sandwiches, wraps or even as a dip for parties. The sandwiches made from Savory Carrot Spinach Spread also make great school lunch box additions for kids.
</t>
  </si>
  <si>
    <t>Para empezar a preparar la Receta de Sándwich de Zanahoria y Espinacas Sabrosas, lava, pela y rálla las zanahorias en un tazón. Lava las espinacas con agua para eliminar cualquier partícula de tierra. Pica finamente las hojas de espinaca y transfiérelas al mismo tazón que la zanahoria. De igual manera, pica finamente las aceitunas, las nueces pecanas y el diente de ajo y agrégalos al tazón de verduras picadas. Ahora agrega queso crema, sal, pimienta, albahaca y semillas de chía a las verduras. Revuelve con la cuchara, agrega aceite de oliva para obtener una consistencia suave para untar. Ajusta la sazón a tu gusto. El Sándwich de Zanahoria y Espinacas Sabroso está listo para servirse como untable en sándwiches, wraps o incluso como salsa para fiestas. Los sándwiches hechos con el Sándwich de Zanahoria y Espinacas Sabroso también son excelentes adiciones a las loncheras escolares para niños.</t>
  </si>
  <si>
    <t>Pour commencer à préparer la recette de tartinade salée aux carottes et aux épinards pour sandwich, lavez, épluchez les carottes et râpez-les dans un bol. Lavez les épinards à l'eau pour éliminer les particules de saleté. Hachez finement les feuilles d'épinards et transférez-les dans le même bol que les carottes. Hachez également finement les olives, les noix de pécan et la gousse d'ail et ajoutez-les au bol de légumes hachés. Ajoutez ensuite le fromage frais, le sel, le poivre, le basilic et les graines de chia aux légumes. Remuez à la cuillère, ajoutez de l'huile d'olive pour obtenir une consistance lisse. Ajustez l'assaisonnement selon votre goût. La tartinade salée aux carottes et aux épinards est prête à être servie sur des sandwichs, des wraps ou même comme trempette pour les fêtes. Les sandwichs préparés avec la tartinade salée aux carottes et aux épinards sont également d'excellents ajouts à la boîte à lunch des enfants.</t>
  </si>
  <si>
    <t>https://www.archanaskitchen.com/savory-carrot-olive-spinach-sandwich-spread-recipe</t>
  </si>
  <si>
    <t>Spinach Open Toast With Fried Egg Recipe</t>
  </si>
  <si>
    <t>Rezept für Spinat-Toast mit Spiegelei</t>
  </si>
  <si>
    <t>Recette de toast aux épinards avec œuf au plat</t>
  </si>
  <si>
    <t>Receta de tostada de espinacas con huevo frito</t>
  </si>
  <si>
    <t>2 pains bruns de blé entier, 2 œufs entiers, 1 tasse de feuilles d'épinards (Palak) - hachées, 1 tomate - tranchée, grains de poivre noir entiers - écrasés, sel - au goût, huile de tournesol - pour la cuisson, beurre - au besoin</t>
  </si>
  <si>
    <t>2 Whole Wheat Brown Bread,2 Whole Eggs,1 cup Spinach Leaves (Palak) - chopped,1 Tomato - slice,Whole Black Peppercorns - crushed,Salt - to taste,Sunflower Oil - for cooking,Butter - as required</t>
  </si>
  <si>
    <t>2 panes integrales, 2 huevos enteros, 1 taza de hojas de espinaca (Palak) picadas, 1 tomate en rodajas, granos de pimienta negra enteros triturados, sal al gusto, aceite de girasol para cocinar, mantequilla al gusto.</t>
  </si>
  <si>
    <t xml:space="preserve">To begin making the Spinach Open Toast With Fried Egg Recipe, first we will make the Sauteed Spinach topping.Preheat a pan over medium heat and add 1 tablespoon butter. Once the butter melts add the chopped spinach and sprinkle salt to taste. Be careful when you add salt because the butter also has some salt in it. Saute until the spinach wilts and the moisture evaporates. Once done turn off the heat and keep aside. To toast the bread slicesPlace the bread slices into a preheated pan over medium heat. Spread butter over the bread slices and flip to toast the the bread until golden and crisp on both sides. Once done turn off the heat and keep aside.To make the fried eggsInto a preheated pan add a teaspoon of oil and swirl to grease the pan. Crack one egg  and turn the heat to medium low. Cover the pan for 10 to 15 seconds to cook the egg whites. You can cover the pan for longer if you like a firm yolk. Once you notice the whites are cooked and the yolk is half done then gently release the fried egg from the edges. Sprinkle salt to taste and crushed black pepper. Keep aside in the pan itself. To assemble the Spinach Open Toast With Fried Egg on your serving plate place the toasted bread slices. Spoon the spinach mixture and place the sliced tomatoes on top. Sprinkle some salt and crushed pepper to taste. Gently place the fried egg on the top of one toast. Make another fried egg and place on the other toast as well. and serve.Serve Spinach Open Toast With Fried Egg Recipe along with Fresh Orange Juice for a delicious breakfast.
</t>
  </si>
  <si>
    <t>Para comenzar a hacer la receta de Tostada Abierta de Espinacas con Huevo Frito, primero haremos la cobertura de Espinacas Salteadas. Precaliente una sartén a fuego medio y agregue 1 cucharada de mantequilla. Una vez que la mantequilla se derrita, agregue las espinacas picadas y espolvoree sal al gusto. Tenga cuidado al agregar sal porque la mantequilla también tiene un poco de sal. Saltee hasta que las espinacas se marchiten y la humedad se evapore. Una vez hecho esto, apague el fuego y reserve. Para tostar las rebanadas de pan Coloque las rebanadas de pan en una sartén precalentada a fuego medio. Unte mantequilla sobre las rebanadas de pan y voltee para tostar el pan hasta que esté dorado y crujiente por ambos lados. Una vez hecho esto, apague el fuego y reserve. Para hacer los huevos fritos En una sartén precalentada agregue una cucharadita de aceite y revuelva para engrasar la sartén. Rompa un huevo y baje el fuego a medio bajo. Cubra la sartén durante 10 a 15 segundos para cocinar las claras de huevo. Puede cubrir la sartén por más tiempo si desea una yema firme. Una vez que notes que las claras están cocidas y la yema está a medio hacer, separa con cuidado el huevo frito de los bordes. Espolvorea sal al gusto y pimienta negra molida. Reserva en la misma sartén. Para armar la Tostada Abierta de Espinacas con Huevo Frito en tu plato para servir, coloca las rebanadas de pan tostado. Vierte la mezcla de espinacas con una cuchara y coloca los tomates en rodajas encima. Espolvorea un poco de sal y pimienta molida al gusto. Coloca con cuidado el huevo frito sobre la parte superior de una tostada. Prepara otro huevo frito y colócalo también sobre la otra tostada. Sirve. Sirve la Receta de Tostada Abierta de Espinacas con Huevo Frito junto con Jugo de Naranja Fresco para un delicioso desayuno.</t>
  </si>
  <si>
    <t>Pour commencer à préparer la recette de toast ouvert aux épinards avec œuf au plat, nous allons d'abord préparer la garniture aux épinards sautés. Préchauffez une poêle à feu moyen et ajoutez 1 cuillère à soupe de beurre. Une fois le beurre fondu, ajoutez les épinards hachés et saupoudrez de sel au goût. Soyez prudent lorsque vous ajoutez du sel car le beurre en contient également. Faites sauter jusqu'à ce que les épinards flétrissent et que l'humidité s'évapore. Une fois terminé, éteignez le feu et réservez. Pour griller les tranches de pain Placez les tranches de pain dans une poêle préchauffée à feu moyen. Étalez du beurre sur les tranches de pain et retournez-les pour griller le pain jusqu'à ce qu'il soit doré et croustillant des deux côtés. Une fois terminé, éteignez le feu et réservez. Pour faire les œufs au plat Dans une poêle préchauffée, ajoutez une cuillère à café d'huile et faites tourner pour graisser la poêle. Cassez un œuf et baissez le feu à moyen-doux. Couvrez la poêle pendant 10 à 15 secondes pour cuire les blancs d'œufs. Vous pouvez couvrir la poêle plus longtemps si vous aimez un jaune ferme. Une fois que vous constatez que les blancs sont cuits et que le jaune est à moitié cuit, décollez délicatement l'œuf au plat des bords. Saupoudrez de sel et de poivre noir concassé. Réservez dans la poêle. Pour assembler le toast ouvert aux épinards avec œuf au plat sur votre assiette de service, placez les tranches de pain grillé. Déposez le mélange d'épinards à la cuillère et placez les tranches de tomates sur le dessus. Saupoudrez de sel et de poivre concassé à votre goût. Placez délicatement l'œuf au plat sur le dessus d'un toast. Faites un autre œuf au plat et placez-le également sur l'autre toast. et servez. Servez la recette de toast ouvert aux épinards avec œuf au plat avec du jus d'orange frais pour un délicieux petit-déjeuner.</t>
  </si>
  <si>
    <t>https://www.archanaskitchen.com/open-toast-with-egg-tomato-spinach-recipe</t>
  </si>
  <si>
    <t>Stuffed Bread Rolls With Pumpkin, Onion &amp; Cheese Recipe</t>
  </si>
  <si>
    <t>Rezept für gefüllte Brötchen mit Kürbis, Zwiebeln und Käse</t>
  </si>
  <si>
    <t>Recette de petits pains farcis à la citrouille, aux oignons et au fromage</t>
  </si>
  <si>
    <t>Receta de rollitos rellenos de calabaza, cebolla y queso</t>
  </si>
  <si>
    <t>1 tasse de farine de blé entier, 1/2 tasse de farine tout usage (Maida), 1/4 tasse de beurre (non salé) - ramolli, 2 cuillères à soupe de levure sèche active, 2 cuillères à soupe de sucre, sel - au goût, 1 tasse de Kaddu (Parangikai/citrouille) - râpé, 1 oignon - tranché, 4 gousses d'ail, 1 cuillère à soupe de crème fraîche, 1 cuillère à café de poudre de muscade, 1 cuillère à café de flocons de piment rouge, 1 brin de feuilles de thym frais, 2 cuillères à soupe de lait, 2 cuillères à soupe de fromage, sel - au goût</t>
  </si>
  <si>
    <t>1 cup Whole Wheat Flour,1/2 cup All Purpose Flour (Maida),1/4 cup Butter (unsalted) - softened,2 tablespoons Active dry yeast,2 tablespoons Sugar,Salt - to taste,1 cup Kaddu (Parangikai/ Pumpkin) - grated,1 Onion - sliced,4 cloves Garlic,1 tablespoon Fresh cream,1 teaspoon Nutmeg powder,1 teaspoon Red Chilli flakes,1 sprig Fresh Thyme leaves,2 tablespoons Milk,2 tablespoons Cheese,Salt - to taste</t>
  </si>
  <si>
    <t>1 taza de harina integral, 1/2 taza de harina para todo uso (Maida), 1/4 taza de mantequilla (sin sal) - ablandada, 2 cucharadas de levadura seca activa, 2 cucharadas de azúcar, sal - al gusto, 1 taza de Kaddu (Parangikai/calabaza) - rallada, 1 cebolla - en rodajas, 4 dientes de ajo, 1 cucharada de crema fresca, 1 cucharadita de nuez moscada en polvo, 1 cucharadita de hojuelas de chile rojo, 1 ramita de hojas frescas de tomillo, 2 cucharadas de leche, 2 cucharadas de queso, sal - al gusto</t>
  </si>
  <si>
    <t xml:space="preserve">To begin making the Stuffed Bread Rolls with Pumpkin, Onion &amp; Cheese Recipe, firstly preheat the oven to 180 degree Celsius for 10 minutes.*To make the bread roll:In the meantime, mix all the above ingredients listed to make the dough including whole wheat flour, active yeast, all purpose flour, butter, sugar except salt. Using your hand, mix the butter with flour and make a crumble mixture.Then, slowly add water and knead it into a soft dough, take out the dough onto a kneading surface, and keep stretching the dough with the help of your palm. Keep kneading till it is stretchy and soft.Once done, roll it into a ball and place it in the mixing bowl itself, cover it using a damp cloth and keep it a warm place. Rest the dough till it rises double of its size.*To make the stuffingPressure cook the pumpkin with little water, salt, nutmeg powder and pumpkin for 3 whistles. Release the pressure naturally. Once done, smash the pumpkin to a smooth paste.Heat a non-stick pan with oil, add garlic, and sauté onions till the onions turns soft. Next, add the pumpkin paste. Season it with thyme, red chilli flakes, salt and pepper. Later add some milk and cheese and stir. Keep it aside.*To roll the breadPunch the dough and knead for few minutes. Divide the dough into equal medium sized balls.Roll the dough little, to a rectangular shape, brush some oil, place a spoon of the pumpkin filling on one of the sides.Roll it over and seal the open end by pinching it with your finger. Keep it on the baking tray greased with butter and rest it for 5 minutes.Brush the bread with milk and bake it for 30 minutes. Once it is done take it out and brush it with honey and bake it for 15 more minutes till it is golden brown.Serve the Stuffed Bread Rolls with Pumpkin, Onion &amp; Cheese Recipe in breakfast along with a bowl of Fresh Fruits and a cup of Espresso Coffee.
</t>
  </si>
  <si>
    <t>Para comenzar a hacer la receta de Panecillos Rellenos con Calabaza, Cebolla y Queso, primero precalienta el horno a 180 grados Celsius durante 10 minutos. *Para hacer el panecillo: Mientras tanto, mezcla todos los ingredientes anteriores enumerados para hacer la masa, incluyendo harina integral, levadura activa, harina para todo uso, mantequilla, azúcar excepto la sal. Con la mano, mezcla la mantequilla con la harina y haz una mezcla desmenuzada. Luego, agrega lentamente agua y amásala hasta obtener una masa suave, saca la masa sobre una superficie para amasar y sigue estirando la masa con la ayuda de la palma de la mano. Sigue amasando hasta que esté elástica y suave. Una vez hecho esto, haz una bola y colócala en el tazón para mezclar, cúbrela con un paño húmedo y mantenla en un lugar cálido. Deja reposar la masa hasta que doble su tamaño. *Para hacer el rellenoCocina a presión la calabaza con un poco de agua, sal, nuez moscada en polvo y calabaza durante 3 silbidos. Libera la presión naturalmente. Una vez hecho esto, aplasta la calabaza hasta obtener una pasta suave. Calienta una sartén antiadherente con aceite, agrega ajo y saltea cebollas hasta que las cebollas se ablanden. Luego, agrega la pasta de calabaza. Sazona con tomillo, hojuelas de chile rojo, sal y pimienta. Luego agrega un poco de leche y queso y revuelve. Déjalo a un lado. * Para enrollar el pan Golpea la masa y amásala durante unos minutos. Divide la masa en bolas iguales de tamaño mediano. Enrolla la masa un poco, hasta darle forma rectangular, pincela un poco de aceite, coloca una cucharada del relleno de calabaza en uno de los lados. Enróllalo y sella el extremo abierto pellizcándolo con el dedo. Mantenlo en la bandeja para hornear engrasada con mantequilla y reposa durante 5 minutos. Pincela el pan con leche y hornéalo durante 30 minutos. Una vez listo, sácalo, úntalo con miel y hornéalo durante 15 minutos más hasta que esté dorado. Sirve la receta de panecillos rellenos de calabaza, cebolla y queso en el desayuno junto con un tazón de frutas frescas y una taza de café expreso.</t>
  </si>
  <si>
    <t xml:space="preserve">Pour commencer à préparer la recette de petits pains farcis à la citrouille, à l'oignon et au fromage, préchauffez d'abord le four à 180 degrés Celsius pendant 10 minutes. *Pour faire le petit pain : Pendant ce temps, mélangez tous les ingrédients ci-dessus pour faire la pâte, y compris la farine de blé entier, la levure active, la farine tout usage, le beurre, le sucre sauf le sel. À l'aide de votre main, mélangez le beurre avec la farine et faites un mélange crumble. Ensuite, ajoutez lentement de l'eau et pétrissez-la jusqu'à obtenir une pâte molle, retirez la pâte sur une surface de pétrissage et continuez à étirer la pâte à l'aide de votre paume. Continuez à pétrir jusqu'à ce qu'elle soit élastique et molle. Une fois terminé, roulez-la en boule et placez-la dans le bol de mélange lui-même, couvrez-la d'un linge humide et gardez-la dans un endroit chaud. Reposez la pâte jusqu'à ce qu'elle double de volume. *Pour faire la farce Faites cuire la citrouille sous pression avec un peu d'eau, du sel, de la poudre de muscade et de la citrouille pendant 3 sifflets. Relâchez la pression naturellement. Une fois terminé, écrasez la citrouille en une pâte lisse. Faites chauffer une poêle antiadhésive avec de l'huile, ajoutez l'ail et faites revenir les oignons jusqu'à ce qu'ils soient tendres. Ensuite, ajoutez la pâte de citrouille. Assaisonnez-la avec du thym, des flocons de piment rouge, du sel et du poivre. Ajoutez ensuite un peu de lait et de fromage et remuez. Réservez. *Pour rouler le pain, frappez la pâte et pétrissez-la pendant quelques minutes. Divisez la pâte en boules égales de taille moyenne. Roulez la pâte un peu, en forme de rectangle, badigeonnez-la d'un peu d'huile, placez une cuillère de garniture à la citrouille sur l'un des côtés. Roulez-la et scellez l'extrémité ouverte en la pinçant avec votre doigt. Gardez-la sur la plaque de cuisson graissée de beurre et laissez-la reposer pendant 5 minutes. Badigeonnez le pain de lait et faites-le cuire pendant 30 minutes. Une fois cuit, sortez-le et badigeonnez-le de miel et faites-le cuire pendant 15 minutes supplémentaires jusqu'à ce qu'il soit doré. Servez la recette de petits pains farcis à la citrouille, à l'oignon et au fromage au petit-déjeuner avec un bol de fruits frais et une tasse de café expresso.
</t>
  </si>
  <si>
    <t>http://www.archanaskitchen.com/stuffed-bread-rolls-with-pumpkin-onion-cheese-recipe</t>
  </si>
  <si>
    <t>Spinach Fig &amp; Cherry Tomatoes Salad with Red Wine Vinaigrette Recipe</t>
  </si>
  <si>
    <t>Spinat-Feigen-Kirschtomaten-Salat mit Rotwein-Vinaigrette-Rezept</t>
  </si>
  <si>
    <t>Recette de salade d'épinards, de figues et de tomates cerises avec vinaigrette au vin rouge</t>
  </si>
  <si>
    <t>Receta de ensalada de espinacas, higos y tomates cherry con vinagreta de vino tinto</t>
  </si>
  <si>
    <t>1 tasse de feuilles d'épinards (Palak) - déchirées, 5 figues fraîches - coupées en quartiers, 10 tomates cerises - coupées en deux, 1 concombre - pelé et tranché, 50 grammes de fromage feta - émietté, 1/4 tasse de vinaigrette au vin rouge, 1 cuillère à café de moutarde de Dijon, 1/4 tasse d'huile d'olive extra vierge, sel et poivre - au goût</t>
  </si>
  <si>
    <t>1 cup Spinach Leaves (Palak) - torn,5 Fresh Figs - cut into quarters,10 Cherry tomatoes - cut into half,1 Cucumber - peeled and sliced,50 grams Feta Cheese - crumbled,1/4 cup Red Wine Vinaigrette,1 teaspoon Dijon Mustard,1/4 cup Extra Virgin Olive Oil,Salt and Pepper - to taste</t>
  </si>
  <si>
    <t>1 taza de hojas de espinaca (Palak) - desgarradas, 5 higos frescos - cortados en cuartos, 10 tomates cherry - cortados en mitades, 1 pepino - pelado y en rodajas, 50 gramos de queso feta - desmenuzado, 1/4 taza de vinagreta de vino tinto, 1 cucharadita de mostaza Dijon, 1/4 taza de aceite de oliva virgen extra, sal y pimienta - al gusto</t>
  </si>
  <si>
    <t xml:space="preserve">To begin making the Spinach, Fig, Cherry tomatoes with Red Wine Vinaigrette Recipe we will keep all the fresh ingredients - Torn spinach leaves, figs, cherry tomatoes and sliced cucumbers ready in a mixing bowl.In a separate bowl, we will make the dressing for the salad. Mix in all the above salad ingredients mentioned in the list for dressing - red wine vinaigrette, dijon mustard, olive oil, salt and pepper.  Whisk the salad dressing ingredients until the olive oil and red wine vinaigrette are well combined. Drizzle the dressing on top of the mixed fresh Spinach, Fig, Cherry tomatoes and give it a toss. Place the salad onto a platter and sprinkle the feta cheese over the top and serve chilled.Serve the Spinach, Fig, Cherry tomatoes with Red Wine Vinaigrette along with Penne Pasta in Spinach Basil Sauce or Quick Roasted Vegetable Bread Pizza for a special weekend dinner.
</t>
  </si>
  <si>
    <t>Para empezar a preparar la receta de espinacas, higos, tomates cherry con vinagreta de vino tinto, tendremos todos los ingredientes frescos (hojas de espinaca desgarradas, higos, tomates cherry y pepinos en rodajas) listos en un tazón. En un tazón aparte, prepararemos el aderezo para la ensalada. Mezcle todos los ingredientes de la ensalada mencionados en la lista para el aderezo: vinagreta de vino tinto, mostaza Dijon, aceite de oliva, sal y pimienta. Bata los ingredientes del aderezo hasta que el aceite de oliva y la vinagreta de vino tinto estén bien combinados. Rocíe el aderezo sobre las espinacas frescas, los higos y los tomates cherry mezclados y revuelva. Coloque la ensalada en una fuente y espolvoree el queso feta por encima y sirva fría. Sirva las espinacas, los higos y los tomates cherry con vinagreta de vino tinto junto con la pasta penne en salsa de espinacas y albahaca o la pizza rápida de pan con verduras asadas para una cena especial de fin de semana.</t>
  </si>
  <si>
    <t>Pour commencer à préparer la recette d'épinards, figues et tomates cerises avec vinaigrette au vin rouge, nous conserverons tous les ingrédients frais - feuilles d'épinards déchirées, figues, tomates cerises et concombres tranchés prêts dans un saladier. Dans un autre saladier, nous préparerons la vinaigrette pour la salade. Mélangez tous les ingrédients de la salade mentionnés ci-dessus dans la liste pour la vinaigrette - vinaigrette au vin rouge, moutarde de Dijon, huile d'olive, sel et poivre. Fouettez les ingrédients de la vinaigrette jusqu'à ce que l'huile d'olive et la vinaigrette au vin rouge soient bien mélangées. Versez la vinaigrette sur le mélange d'épinards, de figues et de tomates cerises frais et mélangez. Placez la salade sur une assiette et saupoudrez de feta sur le dessus et servez frais. Servez les épinards, les figues et les tomates cerises avec vinaigrette au vin rouge avec des pâtes penne à la sauce épinards-basilic ou une pizza rapide au pain aux légumes rôtis pour un dîner de week-end spécial.</t>
  </si>
  <si>
    <t>http://www.archanaskitchen.com/spinach-fig-cherry-tomatoes-salad-with-red-wine-vinaigrette-recipe</t>
  </si>
  <si>
    <t>Käsecracker Rezept – Rezept für Käsecracker</t>
  </si>
  <si>
    <t>Recette de crackers au fromage – recette de crackers au fromage</t>
  </si>
  <si>
    <t>Receta de galletas de queso – Receta de galletas de queso</t>
  </si>
  <si>
    <t>200 g de fromage Chhedar - finement serré, 4 cuillères à soupe de beurre, 1 tasse de farine tout usage (farine tout usage), sel - selon le goût, 1 cuillère à soupe de poudre de paprika, 2 cuillères à soupe d'eau - froide</t>
  </si>
  <si>
    <t>200 gm Chhedar Cheese - finely tightened, 4 tablespoons butter, 1 cup all purpose flour (All Purpose Flour), salt - as per taste, 1 tablespoon paprika powder, 2 tablespoons water - cold</t>
  </si>
  <si>
    <t>200 g de queso cheddar - finamente apretado, 4 cucharadas de mantequilla, 1 taza de harina para todo uso (harina para todo uso), sal - al gusto, 1 cucharada de pimentón en polvo, 2 cucharadas de agua - fría</t>
  </si>
  <si>
    <t>To make Cheese Crackers Recipe, first of all, take a bowl and add butter, cheddar cheese and mix well. Now add refined flour, paprika powder, salt and mix well. After this, add 1-2 tbsp cold water and knead it. Knead this dough into a big ball and wrap it with cling wrap. Keep it in the fridge for an hour. Preheat the oven to 180 degrees. Remove the dough from the fridge and roll it out to 1/4 inch thickness. Cut it into square shapes. Now with the help of a fork, make a hole in the middle of each cracker. Place parchment paper on a baking sheet and spread the crackers on it. Bake for 15 to 17 minutes or until golden brown. Remove the baking tray and let it cool. Serve after cooling. Serve Cheese Crackers Recipe with Masala Chai, Ginger Tea or Filter Coffee for evening snacks.</t>
  </si>
  <si>
    <t>Para hacer la Receta de Galletas de Queso, primero que nada, toma un tazón y agrega mantequilla, queso cheddar y mezcla bien. Ahora agrega harina refinada, pimentón en polvo, sal y mezcla bien. Después de esto, agrega 1-2 cucharadas de agua fría y amásala. Amasa esta masa hasta formar una bola grande y envuélvela con film transparente. Mantenla en el refrigerador durante una hora. Precalienta el horno a 180 grados. Retira la masa del refrigerador y extiéndela hasta que tenga un grosor de 1/4 de pulgada. Córtala en formas cuadradas. Ahora con la ayuda de un tenedor, haz un agujero en el centro de cada galleta. Coloca papel pergamino en una bandeja para hornear y extiende las galletas sobre él. Hornea durante 15 a 17 minutos o hasta que estén doradas. Retira la bandeja para hornear y deja enfriar. Sirve después de enfriar. Sirve la Receta de Galletas de Queso con Masala Chai, Té de Jengibre o Café de Filtro para refrigerios por la noche.</t>
  </si>
  <si>
    <t>Pour préparer la recette des crackers au fromage, commencez par ajouter le beurre et le cheddar dans un bol et mélangez bien. Ajoutez ensuite la farine raffinée, le paprika en poudre et le sel. Ajoutez ensuite 1 à 2 cuillères à soupe d'eau froide et pétrissez. Formez une grosse boule de pâte et enveloppez-la de film alimentaire. Réservez au réfrigérateur pendant une heure. Préchauffez le four à 180 °C. Sortez la pâte du réfrigérateur et étalez-la sur une épaisseur de 6 mm. Découpez-la en carrés. À l'aide d'une fourchette, percez un trou au milieu de chaque cracker. Placez du papier sulfurisé sur une plaque de cuisson et étalez les crackers dessus. Enfournez pendant 15 à 17 minutes ou jusqu'à ce qu'ils soient dorés. Retirez la plaque et laissez refroidir. Servez après refroidissement. Accompagnez la recette de crackers au fromage de masala chai, de thé au gingembre ou de café filtre en collation.</t>
  </si>
  <si>
    <t>https://www.archanaskitchen.com/cheese-crackers-recipe-in-hindi</t>
  </si>
  <si>
    <t>Vegan Gluten Free Banana Bread Recipe</t>
  </si>
  <si>
    <t>Veganes glutenfreies Bananenbrot-Rezept</t>
  </si>
  <si>
    <t>Recette de pain aux bananes végétalien sans gluten</t>
  </si>
  <si>
    <t>Receta de pan de plátano vegano sin gluten</t>
  </si>
  <si>
    <t>4 bananes mûres écrasées, 1/2 tasse de lait d'amande (lait de badam), 1/4 tasse d'eau de coco tendre, 1 poudre de graines de lin (farine de lin), 1/2 cuillère à café de sel, 1 banane mûre coupée en tranches (facultatif), 1-1/2 cuillère à café de cannelle en poudre (Dalchini), 1 cuillère à café d'extrait de vanille, 3 cuillères à café de levure chimique, 1/2 cuillère à café de bicarbonate de soude, 1/4 tasse d'huile de coco - ou d'huile raffinée, 1/3 tasse de sirop de dattes - ou de miel, 1/2 cuillère à café de vinaigre de cidre de pomme - ou de vinaigre blanc, 1 tasse de farine de sarrasin (Kuttu Ka Atta) - ou kuttu ka atta, 1/2 tasse de flocons d'avoine, 1 tasse de badam (amande) - moulue en poudre, 80 grammes de chocolat noir - (sans produits laitiers) ou de chocolat ordinaire</t>
  </si>
  <si>
    <t>4 Ripe Bananas - mashed,1/2 cup Almond Milk (Badam Milk),1/4 cup Tender coconut water,1 Flax seed powder (flax meal),1/2 teaspoon Salt,1 Ripe Bananas - slice to top (optional),1-1/2 teaspoon Cinnamon Powder (Dalchini),1 teaspoon Vanilla Extract,3 teaspoons Baking powder,1/2 teaspoon Baking soda,1/4 cup Coconut Oil - or refined oil,1/3 cup Date syrup - or honey,1/2 teaspoon Apple cider vinegar - or white vinegar,1 cup Buckwheat Flour (Kuttu Ka Atta) - or kuttu ka atta,1/2 cup Rolled Oats,1 cup Badam (Almond) - ground to a powder,80 grams Dark chocolate - (Dairy free) or regular chocolate</t>
  </si>
  <si>
    <t>4 plátanos maduros - machacados, 1/2 taza de leche de almendras (leche Badam), 1/4 taza de agua de coco tierno, 1 polvo de semilla de lino (harina de lino), 1/2 cucharadita de sal, 1 plátano maduro - rebanado para cubrir (opcional), 1-1/2 cucharadita de canela en polvo (Dalchini), 1 cucharadita de extracto de vainilla, 3 cucharaditas de polvo para hornear, 1/2 cucharadita de bicarbonato de sodio, 1/4 taza de aceite de coco - o aceite refinado, 1/3 taza de jarabe de dátiles - o miel, 1/2 cucharadita de vinagre de sidra de manzana - o vinagre blanco, 1 taza de harina de trigo sarraceno (Kuttu Ka Atta) - o kuttu ka atta, 1/2 taza de avena arrollada, 1 taza de Badam (almendra) - molida a polvo, 80 gramos de chocolate negro - (sin lácteos) o chocolate normal</t>
  </si>
  <si>
    <t xml:space="preserve">To begin making the Vegan Gluten Free Banana Bread recipe, line a loaf tin with the baking paper.Pre-heat the oven at 180 degrees Celsius. In a large mixing bowl add all the dry ingredients except chocolate and mix with a whisk.In another mixing bowl add mashed bananas, almond milk, apple cider vinegar/ melted coconut oil, vanilla, coconut water, Flax egg replacer, date syrup and whisk it all until combined.Slowly incorporate the dry ingredients into wet ingredients.Add the chopped chocolate and mix.Pour the mixture into a lined loaf tin and place the sliced banana on top and bake for 75 minutes at 180 degree celsius.If you are gluten intolerant, make sure to use certified gluten-free ingredients like oats and baking powder.Serve Vegan Gluten free Banana Bread with evening tea or as a healthy snack in kids snack boxes along with some Atta Biscuit Recipe (Whole Wheat Flour Cookies Spiced with Cardamom) or Chocolate Crinkle Cookies Recipe.
</t>
  </si>
  <si>
    <t xml:space="preserve">Para comenzar a hacer la receta de pan de plátano vegano sin gluten, forre un molde de pan con papel para hornear. Precaliente el horno a 180 grados centígrados. En un tazón grande, agregue todos los ingredientes secos excepto el chocolate y mezcle con un batidor. En otro tazón, agregue los plátanos machacados, la leche de almendras, el vinagre de sidra de manzana / aceite de coco derretido, la vainilla, el agua de coco, el sustituto de huevo de lino, el jarabe de dátiles y bata todo hasta que se combinen. Incorpore lentamente los ingredientes secos a los ingredientes húmedos. Agregue el chocolate picado y mezcle. Vierta la mezcla en un molde de pan forrado y coloque el plátano en rodajas encima y hornee durante 75 minutos a 180 grados centígrados. Si es intolerante al gluten, asegúrese de usar ingredientes certificados sin gluten, como avena y polvo de hornear. Sirva el pan de plátano vegano sin gluten con el té de la tarde o como un refrigerio saludable en las cajas de refrigerios para niños junto con alguna receta de galletas Atta (galletas de harina integral especiadas con cardamomo) o una receta de galletas arrugadas de chocolate.
</t>
  </si>
  <si>
    <t>Pour commencer la recette de pain aux bananes végétalien sans gluten, chemisez un moule à cake de papier sulfurisé. Préchauffez le four à 180 °C. Dans un grand saladier, ajoutez tous les ingrédients secs, sauf le chocolat, et mélangez au fouet. Dans un autre saladier, ajoutez les bananes écrasées, le lait d'amande, le vinaigre de cidre/l'huile de coco fondue, la vanille, l'eau de coco, le substitut d'œuf de lin, le sirop de dattes et fouettez le tout jusqu'à obtenir un mélange homogène. Incorporez lentement les ingrédients secs aux ingrédients humides. Ajoutez le chocolat haché et mélangez. Versez le mélange dans un moule à cake chemisé, déposez les tranches de banane dessus et enfournez pour 75 minutes à 180 °C. Si vous êtes intolérant au gluten, veillez à utiliser des ingrédients certifiés sans gluten comme de l'avoine et de la levure chimique. Servez le pain aux bananes végétalien sans gluten avec le thé du soir ou comme collation saine dans les boîtes à goûter pour enfants, accompagné d'une recette de biscuits Atta (biscuits à la farine de blé entier épicés à la cardamome) ou de biscuits au chocolat.</t>
  </si>
  <si>
    <t>https://www.archanaskitchen.com/vegan-glutenfree-banana-bread-recipe</t>
  </si>
  <si>
    <t>Onion And Parmesan Toast Recipe</t>
  </si>
  <si>
    <t>Rezept für Zwiebel-Parmesan-Toast</t>
  </si>
  <si>
    <t>Recette de toast à l'oignon et au parmesan</t>
  </si>
  <si>
    <t>Receta de tostadas de cebolla y parmesano</t>
  </si>
  <si>
    <t>4 pains bruns de blé entier - blé entier, 2 oignons - coupés dans le sens de la longueur, 6 cuillères à soupe de mayonnaise classique (avec œuf), 6 cuillères à soupe de parmesan - râpé, 2 cuillères à soupe de beurre, 2 cuillères à café d'assaisonnement italien</t>
  </si>
  <si>
    <t>4 Whole Wheat Brown Bread - whole wheat,2 Onion - cut lengthwise,6 tablespoon Classic Mayonnaise (With Egg),6 tablespoon Parmesan cheese - grated,2 tablespoon Butter,2 teaspoon Italian seasoning</t>
  </si>
  <si>
    <t>4 panes integrales, 2 cebollas cortadas a lo largo, 6 cucharadas de mayonesa clásica (con huevo), 6 cucharadas de queso parmesano rallado, 2 cucharadas de mantequilla, 2 cucharaditas de condimento italiano</t>
  </si>
  <si>
    <t xml:space="preserve">To begin making the Onion And Parmesan Toast, first spread butter over the bread slices and  grill the bread using a panini grill press or a pan.While the bread is getting grilled, mix mayonnaise and onions and keep aside.After the bread is grilled, remove the bread slices from the pan and spread 2 tablespoon mayonnaise onion mixture on the bread slices.Over this, spread 1 tablespoon grated parmesan cheese. Microwave the onion and parmesan toast for 1 minute or until the cheese starts bubbling.Once done remove Onion And Parmesan Toast and garnish with Italian seasoning.Serve the Onion And Parmesan Toast along with masala chai for an evening snack.
</t>
  </si>
  <si>
    <t>Para empezar a preparar la tostada de cebolla y parmesano, primero unta mantequilla sobre las rebanadas de pan y ásalas con una plancha para panini o una sartén. Mientras se asa el pan, mezcla la mayonesa y la cebolla y reserva. Después de asar el pan, retira las rebanadas de pan de la sartén y unta 2 cucharadas de la mezcla de mayonesa y cebolla sobre ellas. Sobre esto, unta 1 cucharada de queso parmesano rallado. Calienta la tostada de cebolla y parmesano en el microondas durante 1 minuto o hasta que el queso empiece a burbujear. Una vez hecho esto, retira la tostada de cebolla y parmesano y decora con condimento italiano. Sirve la tostada de cebolla y parmesano junto con masala chai para una merienda.</t>
  </si>
  <si>
    <t>Pour commencer à préparer le toast à l'oignon et au parmesan, étalez d'abord du beurre sur les tranches de pain et faites-les griller à l'aide d'une presse à panini ou d'une poêle. Pendant que le pain grille, mélangez la mayonnaise et les oignons et réservez. Une fois le pain grillé, retirez les tranches de pain de la poêle et étalez 2 cuillères à soupe de mélange mayonnaise-oignon sur les tranches de pain. Par-dessus, étalez 1 cuillère à soupe de parmesan râpé. Faites chauffer le toast à l'oignon et au parmesan au micro-ondes pendant 1 minute ou jusqu'à ce que le fromage commence à bouillonner. Une fois terminé, retirez le toast à l'oignon et au parmesan et garnissez d'assaisonnement italien. Servez le toast à l'oignon et au parmesan avec du masala chai pour une collation en soirée.</t>
  </si>
  <si>
    <t>http://www.archanaskitchen.com/onion-and-parmesan-toast-recipe</t>
  </si>
  <si>
    <t>Beetroot Salad Recipe with Mixed Greens &amp; Feta Cheese</t>
  </si>
  <si>
    <t>Rote-Bete-Salat-Rezept mit gemischtem Blattgemüse und Feta-Käse</t>
  </si>
  <si>
    <t>Recette de salade de betteraves avec légumes à feuilles mélangées et fromage feta</t>
  </si>
  <si>
    <t>Receta de ensalada de remolacha con verduras de hoja verde mixtas y queso feta</t>
  </si>
  <si>
    <t>1 betterave - pelée et coupée en morceaux de la taille d'une bouchée, 1 oignon - finement tranché, 5 à 6 tomates cerises - coupées en deux, laitue iceberg - un bouquet, feuilles de roquette - un demi-bouquet, 50 grammes de fromage feta, 2 cuillères à soupe de graines de melon - grillées, 1/4 tasse d'huile d'olive extra vierge, sel et poivre - au goût, 1 cuillère à café de zaatar, 1 cuillère à soupe de vinaigrette au vin rouge</t>
  </si>
  <si>
    <t>1 Beetroot - peeled and cut into bite size pieces,1 Onion - thinly sliced,5 - 6 Cherry tomatoes - halved,Iceberg lettuce - one bunch,Rocket leaves - half a bunch,50 grams Feta Cheese,2 tablespoon Melon seeds - roasted,1/4 cup Extra Virgin Olive Oil,Salt and Pepper - to taste,1 teaspoon Za'atar,1 tablespoon Red Wine Vinaigrette</t>
  </si>
  <si>
    <t>1 remolacha - pelada y cortada en trozos pequeños, 1 cebolla - en rodajas finas, 5-6 tomates cherry - cortados por la mitad, lechuga iceberg - un manojo, hojas de rúcula - medio manojo, 50 gramos de queso feta, 2 cucharadas de semillas de melón - tostadas, 1/4 taza de aceite de oliva virgen extra, sal y pimienta - al gusto, 1 cucharadita de za'atar, 1 cucharada de vinagreta de vino tinto</t>
  </si>
  <si>
    <t xml:space="preserve">To begin making the Beetroot Salad Recipe With Mixed Greens &amp; Feta Cheese, first steam the beetroot in the steamer till al dente or just cooked through.Transfer the steamed beets to a bowl and allow it to cool.While the beetroot is set aside, whisk together ingredients for the dressing in a small bowl.In a large salad mixing bowl add lettuce, rocket leaves, onion, cherry tomato and beetroot.Pour the dressing over the salad and toss gently to coat the salad with the dressing.Add the crumbled feta cheese over the Beetroot Salad along with roasted melon seeds.Serve the salad along with a Quick Creamy Pea Soup and Whole Wheat Rosemary Focaccia Bread for a weeknight dinner.
</t>
  </si>
  <si>
    <t>Para empezar a preparar la receta de ensalada de remolacha con verduras mixtas y queso feta, primero cueza la remolacha al vapor hasta que esté al dente o apenas cocida. Transfiera la remolacha al vapor a un tazón y déjela enfriar. Mientras la remolacha está reservada, bata los ingredientes para el aderezo en un tazón pequeño. En un tazón grande para mezclar ensalada, agregue lechuga, hojas de rúcula, cebolla, tomate cherry y remolacha. Vierta el aderezo sobre la ensalada y revuelva suavemente para cubrir la ensalada con el aderezo. Agregue el queso feta desmenuzado sobre la ensalada de remolacha junto con semillas de melón tostadas. Sirva la ensalada junto con una sopa cremosa rápida de guisantes y pan focaccia integral con romero para una cena entre semana.</t>
  </si>
  <si>
    <t>Pour commencer à préparer la recette de salade de betteraves avec mesclun et feta, faites d'abord cuire les betteraves à la vapeur dans le cuiseur vapeur jusqu'à ce qu'elles soient al dente ou juste cuites. Transférez les betteraves cuites à la vapeur dans un bol et laissez-les refroidir. Pendant que les betteraves sont de côté, fouettez ensemble les ingrédients de la vinaigrette dans un petit bol. Dans un grand saladier, ajoutez la laitue, les feuilles de roquette, l'oignon, la tomate cerise et la betterave. Versez la vinaigrette sur la salade et mélangez délicatement pour enrober la salade de vinaigrette. Ajoutez le feta émietté sur la salade de betteraves avec les graines de melon grillées. Servez la salade avec une soupe aux pois crémeuse rapide et du pain focaccia au romarin au blé entier pour un dîner de semaine.</t>
  </si>
  <si>
    <t>http://www.archanaskitchen.com/beetroot-salad-recipe-with-mixed-greens-feta-cheese</t>
  </si>
  <si>
    <t>Baked Pumpkin Cream Cheese French Toast Recipe - Breakfast Bread Pudding Recipe</t>
  </si>
  <si>
    <t>Rezept für gebackenen French Toast mit Kürbis-Frischkäse – Rezept für Frühstücks-Brotpudding</t>
  </si>
  <si>
    <t>Recette de pain perdu au four avec fromage à la crème à la citrouille – recette de pouding au pain pour le petit-déjeuner</t>
  </si>
  <si>
    <t>Tostada francesa al horno con queso crema de calabaza – Receta de budín de pan para el desayuno</t>
  </si>
  <si>
    <t>6 pains bruns de blé entier - coupés en cubes, 1 tasse de fromage à la crème Britannia, 1/2 tasse de lait, 1/2 tasse de Kaddu (Parangikai/citrouille) - en purée, 3 cuillères à soupe de sucre, 1 cuillère à café de poudre de muscade, 1/2 cuillère à café de poudre de cannelle (Dalchini), 1 cuillère à café d'extrait de vanille, 1/4 tasse de farine tout usage (Maida), 1/4 tasse de cassonade (sucre Demerara), 1/2 cuillère à café de poudre de cannelle (Dalchini), 1/4 de beurre (non salé) - coupé en cubes, 1/2 tasse de noix - hachées, Sel - une pincée</t>
  </si>
  <si>
    <t>6 Whole Wheat Brown Bread - cut into cubes,1 cup Britannia Cream Cheese,1/2 cup Milk,1/2 cup Kaddu (Parangikai/ Pumpkin) - pureed,3 tablespoons Sugar,1 teaspoon Nutmeg powder,1/2 teaspoon Cinnamon Powder (Dalchini),1 teaspoon Vanilla Extract,1/4 cup All Purpose Flour (Maida),1/4 cup Brown Sugar (Demerara Sugar),1/2 teaspoon Cinnamon Powder (Dalchini),1/4 Butter (unsalted) - cut into cubes,1/2 cup Walnuts - chopped,Salt - a pinch</t>
  </si>
  <si>
    <t>6 panes integrales de trigo integral (cortados en cubos), 1 taza de queso crema Britannia, 1/2 taza de leche, 1/2 taza de Kaddu (Parangikai/calabaza) (puré), 3 cucharadas de azúcar, 1 cucharadita de nuez moscada en polvo, 1/2 cucharadita de canela en polvo (dalchini), 1 cucharadita de extracto de vainilla, 1/4 taza de harina para todo uso (maida), 1/4 taza de azúcar morena (azúcar demerara), 1/2 cucharadita de canela en polvo (dalchini), 1/4 de mantequilla (sin sal) (cortada en cubos), 1/2 taza de nueces picadas, sal (una pizca)</t>
  </si>
  <si>
    <t xml:space="preserve">We begin making the Baked Pumpkin Cream Cheese French Toast by preheating the oven at 180 degree Celsius for 10 minutes.Cook the pumpkin in a pressure cooker with little oil, cinnamon sticks, nutmeg powder and a pinch of salt.Cook it for 2 whistles till it is in a condition to smash it using a back of a fork. Release the pressure naturally, and then remove the cinnamon sticks and mash it coarsely.Transfer to a bowl with milk and sugar, whisk it thoroughly till it is combined and keep it aside.Now heat a pan with a dollop of butter, as the butter melts, add the cut bread and toast it till it light brown and keep it aside.Next is to make the crumb topping, in a bowl add all-purpose flour, brown sugar, cinnamon powder, unsalted butter, walnuts, and mix it thoroughly and keep it aside.It is the time to assemble the French toast so in order to do that, we need a flat casserole, grease it with oil or butter.Add the toasted bread cubes, then pour in the pumpkin mixture, and then add few dollops of cream cheese and spread it evenly.At the end, spread over the crumb topping evenly and bake it in the oven for 30 minutes at 180 degree Celsius.Serve the Baked Pumpkin Cream Cheese French Toast  as a party dessert for a special occasion.You could also serve the Baked Pumpkin Cream Cheese French Toast as a breakfast meal along with a glass of Beetroot Carrot Tomato &amp; Ginger Juice Recipe for a wholesome breakfast meal. 
</t>
  </si>
  <si>
    <t>Comenzamos haciendo las Tostadas Francesas de Queso Crema con Calabaza al Horno precalentando el horno a 180 grados centígrados durante 10 minutos.Cocinamos la calabaza en una olla a presión con un poco de aceite, ramas de canela, nuez moscada en polvo y una pizca de sal.La cocinamos durante 2 silbidos hasta que esté en condiciones de aplastarla con el dorso de un tenedor. Suelte la presión de forma natural y luego retire las ramas de canela y tritúrelas en trozos grandes. Transfiera a un tazón con leche y azúcar, bátalo bien hasta que se combine y déjelo a un lado. Ahora caliente una sartén con una cucharada de mantequilla, mientras la mantequilla se derrite, agregue el pan cortado y tuéstelo hasta que esté ligeramente dorado y déjelo a un lado. Lo siguiente es hacer la cobertura de migas, en un tazón agregue harina para todo uso, azúcar morena, canela en polvo, mantequilla sin sal, nueces y mezcle bien y déjelo a un lado. Es el momento de armar las tostadas francesas, así que para hacer eso, necesitamos una cacerola plana, engrasela con aceite o mantequilla. Agregue los cubos de pan tostado, luego vierta la mezcla de calabaza y luego agregue algunas cucharadas de queso crema y extiéndalo uniformemente. Al final, extienda la cobertura de migas de manera uniforme y hornéela en el horno durante 30 minutos a 180 grados Celsius. Sirva las tostadas francesas con queso crema y calabaza al horno como una fiesta Postre para una ocasión especial. También puedes servir las tostadas francesas de calabaza al horno con queso crema como desayuno junto con un vaso de jugo de remolacha, zanahoria, tomate y jengibre para un desayuno saludable.</t>
  </si>
  <si>
    <t>Nous commençons à préparer le pain perdu au fromage à la crème et à la citrouille cuite au four en préchauffant le four à 180 degrés Celsius pendant 10 minutes. Faites cuire la citrouille dans un autocuiseur avec un peu d'huile, des bâtons de cannelle, de la poudre de muscade et une pincée de sel. Faites-la cuire pendant 2 sifflets jusqu'à ce qu'elle soit en état de l'écraser avec le dos d'une fourchette. Relâchez la pression naturellement, puis retirez les bâtons de cannelle et écrasez-le grossièrement. Transférez dans un bol avec le lait et le sucre, fouettez bien jusqu'à ce que le tout soit bien mélangé et réservez. Faites maintenant chauffer une poêle avec une cuillerée de beurre, pendant que le beurre fond, ajoutez le pain coupé et faites-le griller jusqu'à ce qu'il soit légèrement doré et réservez. Ensuite, préparez la garniture de chapelure, dans un bol, ajoutez la farine tout usage, la cassonade, la cannelle en poudre, le beurre non salé, les noix, mélangez bien et réservez. Il est temps d'assembler le pain perdu. Pour ce faire, nous avons besoin d'une casserole plate, graissez-la avec de l'huile ou du beurre. Ajoutez les cubes de pain grillé, puis versez le mélange de citrouille, puis ajoutez quelques cuillerées de fromage à la crème et étalez-le uniformément. À la fin, étalez uniformément la garniture de chapelure et faites-le cuire au four pendant 30 minutes à 180 degrés Celsius. Servez le pain perdu au fromage à la crème et à la citrouille cuit au four comme dessert de fête pour une occasion spéciale. Vous Vous pouvez également servir le pain perdu au fromage à la crème et à la citrouille cuite au four comme petit-déjeuner, accompagné d'un verre de jus de betterave, de carotte, de tomate et de gingembre pour un petit-déjeuner sain.</t>
  </si>
  <si>
    <t>https://www.archanaskitchen.com/baked-pumpkin-cream-cheese-french-toast-recipe-breakfast-bread-pudding-recipe</t>
  </si>
  <si>
    <t>Broccoli Almond Soup Recipe - Healthy Soup Weight Loss</t>
  </si>
  <si>
    <t>Brokkoli-Mandel-Suppe Rezept - Gesunde Suppe zum Abnehmen</t>
  </si>
  <si>
    <t>Recette de soupe au brocoli et aux amandes - Soupe saine pour perdre du poids</t>
  </si>
  <si>
    <t>Receta de sopa de brócoli y almendras: una sopa saludable para bajar de peso</t>
  </si>
  <si>
    <t>2 tasses de brocoli - coupé en fleurons, 1 oignon - tranché, 4 gousses d'ail - finement hachées, 1 tasse de lait, 1/4 tasse de badam (amande), sel - au goût, 1 grain de poivre noir entier - grossièrement pilé, 1 cuillère à café d'huile d'olive extra vierge</t>
  </si>
  <si>
    <t>2 cups Broccoli - cut into florets,1 Onion - sliced,4 cloves Garlic - finely chopped,1 cup Milk,1/4 cup Badam (Almond),Salt - to taste,1 Whole Black Peppercorns - coarsely pounded,1 teaspoon Extra Virgin Olive Oil</t>
  </si>
  <si>
    <t>2 tazas de brócoli - cortado en floretes, 1 cebolla - en rodajas, 4 dientes de ajo - finamente picados, 1 taza de leche, 1/4 taza de Badam (almendra), sal - al gusto, 1 grano de pimienta negra entero - machacado grueso, 1 cucharadita de aceite de oliva virgen extra</t>
  </si>
  <si>
    <t xml:space="preserve">To begin making the Broccoli Almond Soup Recipe, wash the broccoli florets and prepare the rest of the ingredients.Soak almonds in hot water for about 10 minutes. Peel off the skin from the almonds and set aside.Heat oil in a wok over medium heat; add the garlic, onions and saute until the onions have softened. It takes about a minute.Once the onions have softened, add the broccoli florets and saute the broccoli on for a minute. Sprinkle salt, cover the pan and steam cook the broccoli in the pan for about 3 to 4 minutes.Once you notice the broccoli has steamed just enough to take a bite, turn off the heat. Allow the broccoli onion mixture to cool.Once cooled, add the broccoli, soaked almonds and milk into a mixer grinder. Blend to make a smooth puree.Once blended, pour the broccoli almond soup into a saucepan and bring it to a brisk boil and turn off the heat. Do this step only when you are ready to serve the soup. Check the salt and adjust according to taste.Garnish the Broccoli Almond Soup with crushed black pepper and serve hot.Serve the Broccoli Almond Soup Recipe along with Garlic Bread With Herb Butter, Zucchini Salad Recipe With Thai Hot Chili Dressing and a Spaghetti with Pesto &amp; Parmesan Recipe for a delicious weekend dinner.
</t>
  </si>
  <si>
    <t>Para empezar a preparar la receta de sopa de brócoli y almendras, lava los ramilletes de brócoli y prepara el resto de los ingredientes. Remoja las almendras en agua caliente durante unos 10 minutos. Pélalas y reserva. Calienta el aceite en un wok a fuego medio; añade el ajo y la cebolla y sofríe hasta que la cebolla se ablande. Tarda aproximadamente un minuto. Una vez que la cebolla se haya ablandado, añade los ramilletes de brócoli y sofríelos durante un minuto. Espolvorea con sal, tapa la sartén y cocina el brócoli al vapor durante unos 3 o 4 minutos. Cuando notes que el brócoli se ha cocinado lo suficiente como para morderlo, apaga el fuego. Deja enfriar la mezcla de brócoli y cebolla. Una vez fría, añade el brócoli, las almendras remojadas y la leche a una batidora. Tritura hasta obtener un puré suave. Una vez licuado, vierte la sopa de brócoli y almendras en una cacerola, llévala a ebullición y apaga el fuego. Realice este paso solo cuando esté listo para servir la sopa. Compruebe la sal y ajuste al gusto. Decore la sopa de brócoli y almendras con pimienta negra molida y sirva caliente. Sirva la receta de sopa de brócoli y almendras junto con pan de ajo con mantequilla de hierbas, ensalada de calabacín con aderezo picante tailandés y espaguetis con pesto y parmesano para una deliciosa cena de fin de semana.</t>
  </si>
  <si>
    <t>Pour commencer la recette de soupe au brocoli et aux amandes, lavez les fleurons de brocoli et préparez le reste des ingrédients. Faites tremper les amandes dans de l'eau chaude pendant environ 10 minutes. Pelez-les et réservez. Faites chauffer l'huile dans un wok à feu moyen ; ajoutez l'ail et les oignons et faites revenir jusqu'à ce que les oignons soient tendres. Cela prend environ une minute. Une fois les oignons tendres, ajoutez les fleurons de brocoli et faites-les revenir pendant une minute. Saupoudrez de sel, couvrez la poêle et faites cuire le brocoli à la vapeur pendant 3 à 4 minutes. Lorsque le brocoli est suffisamment cuit, éteignez le feu. Laissez refroidir le mélange brocoli-oignons. Une fois refroidi, ajoutez le brocoli, les amandes trempées et le lait dans un mixeur-hachoir. Mixez jusqu'à obtenir une purée lisse. Une fois le mélange mixé, versez la soupe au brocoli et aux amandes dans une casserole, portez à ébullition puis éteignez le feu. Effectuez cette étape uniquement lorsque vous êtes prêt à servir la soupe. Vérifiez le sel et ajustez selon votre goût. Garnissez la soupe de brocoli et d'amandes de poivre noir concassé et servez chaud. Accompagnez la recette de soupe de brocoli et d'amandes de pain à l'ail au beurre aux herbes, de salade de courgettes à la vinaigrette thaï au piment fort et de spaghettis au pesto et au parmesan pour un délicieux dîner de week-end.</t>
  </si>
  <si>
    <t>http://www.archanaskitchen.com/broccoli-almond-soup-recipe</t>
  </si>
  <si>
    <t>Shrimp Deviled Eggs Recipe</t>
  </si>
  <si>
    <t>Rezept für gefüllte Eier mit Garnelen</t>
  </si>
  <si>
    <t>Recette d'œufs farcis aux crevettes</t>
  </si>
  <si>
    <t>Receta de huevos rellenos de camarones</t>
  </si>
  <si>
    <t>4 œufs entiers durs, 4 oignons nouveaux (bulbes et feuilles) finement hachés, 10 crevettes décortiquées et déveinées, 2 cuillères à soupe de mayonnaise classique (avec œuf), 2 cuillères à soupe de sauce moutarde, 1 cuillère à café de poivre noir en poudre, 1 cuillère à café de poudre d'ail, quelques oignons nouveaux pour la garniture, sel au goût</t>
  </si>
  <si>
    <t>4 Whole Eggs - hard boiled,4 Spring Onion (Bulb &amp; Greens) - finely chopped,10 Shrimps - peeled and deveined,2 tablespoons Classic Mayonnaise (With Egg),2 tablespoons Mustard sauce,1 teaspoon Black pepper powder,1 teaspoon Garlic powder,Spring Onion Greens - Few for garnish,Salt - to taste</t>
  </si>
  <si>
    <t>4 huevos enteros - duros, 4 cebollas de verdeo (bulbo y hojas verdes) - finamente picadas, 10 camarones - pelados y desvenados, 2 cucharadas de mayonesa clásica (con huevo), 2 cucharadas de salsa de mostaza, 1 cucharadita de pimienta negra en polvo, 1 cucharadita de ajo en polvo, hojas de cebolla de verdeo - pocas para decorar, sal - al gusto</t>
  </si>
  <si>
    <t xml:space="preserve">To begin making the Shrimp Deviled Eggs recipe, heat a skillet and add butter.After the butter melts, add chopped spring onion whites. Fry for 2 minutes till onion turns pinkish.Add shrimps and toss till the shrimps get cooked. Add garlic powder and toss.Let it cook for 10 minutes. After cooling, mince the shrimps or chop into very small pieces.Take the hard boiled eggs and scoop out the egg yolks with a spoon and add the egg yolks to a mixing bowl.Mash it using a fork. Add mayonnaise, mustard sauce, garlic powder and black pepper powder ansd mix well. Add a pinch of salt or as per taste.Add the onion and shrimp mixture and mix well. Keep a few shrimp pieces aside for garnishing.Take a piping bag or a plastic bag of which a corner is cut. Add the egg yolk and mayo mixture to the piping bag.Gently fill the egg white cups with 1 tablespoon of the filling.Garnish the deviled eggs with shrimp pieces and spring onion greens. These shrimp deviled eggs can be served cold as appetizers or as starters for the parties or along with Pizza Margherita for a card party.
</t>
  </si>
  <si>
    <t>Para preparar la receta de huevos rellenos de camarones, caliente una sartén y agregue mantequilla. Una vez que se derrita, agregue las claras de cebolleta picadas. Fría durante 2 minutos hasta que la cebolla adquiera un tono rosado. Agregue los camarones y revuelva hasta que estén cocidos. Agregue ajo en polvo y revuelva. Deje cocinar durante 10 minutos. Después de enfriar, pique los camarones o córtelos en trozos muy pequeños. Tome los huevos duros, retire las yemas con una cuchara y agréguelas a un tazón. Tritúrelas con un tenedor. Agregue mayonesa, salsa de mostaza, ajo en polvo y pimienta negra en polvo y mezcle bien. Añada una pizca de sal o al gusto. Agregue la mezcla de cebolla y camarones y mezcle bien. Reserve algunos trozos de camarones para decorar. Use una manga pastelera o una bolsa de plástico con una esquina cortada. Añade la mezcla de yema de huevo y mayonesa a la manga pastelera. Rellena con cuidado los capacillos de clara de huevo con 1 cucharada del relleno. Decora los huevos rellenos con trozos de camarones y cebolletas. Estos huevos rellenos de camarones se pueden servir fríos como aperitivos o entrantes para fiestas o junto con pizza margarita para una fiesta de tarjetas.</t>
  </si>
  <si>
    <t>Pour préparer les œufs mimosa aux crevettes, faites chauffer une poêle et ajoutez du beurre. Une fois le beurre fondu, ajoutez les blancs d'oignons nouveaux hachés. Faites revenir 2 minutes, jusqu'à ce que l'oignon devienne rosé. Ajoutez les crevettes et remuez jusqu'à ce qu'elles soient cuites. Ajoutez l'ail en poudre et remuez. Laissez cuire 10 minutes. Une fois refroidies, hachez les crevettes ou coupez-les en très petits morceaux. Prenez les œufs durs, prélevez les jaunes à l'aide d'une cuillère et mettez-les dans un saladier. Écrasez-les à la fourchette. Ajoutez la mayonnaise, la sauce moutarde, l'ail en poudre et le poivre noir en poudre, puis mélangez bien. Ajoutez une pincée de sel ou selon votre goût. Ajoutez le mélange d'oignons et de crevettes et mélangez bien. Gardez quelques morceaux de crevettes de côté pour la décoration. Prenez une poche à douille ou un sac plastique dont un coin a été coupé. Ajoutez le mélange de jaunes d'œufs et de mayonnaise dans la poche à douille. Remplissez délicatement les coupelles de blancs d'œufs avec 1 cuillère à soupe de garniture. Garnissez les œufs mimosa de morceaux de crevettes et de feuilles d'oignons nouveaux. Ces œufs mimosa aux crevettes peuvent être servis froids en apéritif ou en entrée pour les fêtes ou avec une pizza Margherita pour une soirée de cartes.</t>
  </si>
  <si>
    <t>http://www.archanaskitchen.com/shrimp-deviled-eggs-recipe</t>
  </si>
  <si>
    <t>Saffron Mango Ice-cream Recipe</t>
  </si>
  <si>
    <t>Rezept für Safran-Mango-Eis</t>
  </si>
  <si>
    <t>Recette de glace à la mangue et au safran</t>
  </si>
  <si>
    <t>Receta de helado de mango y azafrán</t>
  </si>
  <si>
    <t>2 mangues (mûres) - coupées en dés, 1-1/2 tasse de crème à fouetter épaisse, 1-3/4 tasse de lait concentré sucré, 1/2 cuillère à café de brins de safran, 2 cuillères à café de lait chaud, glaçons - au besoin</t>
  </si>
  <si>
    <t>2 Mango (Ripe) - diced,1-1/2 cups Heavy whipping cream,1-3/4 cups Condensed Milk - sweetened,1/2 teaspoon Saffron strands,2 teaspoon Milk - warm,Ice cubes - as required</t>
  </si>
  <si>
    <t>2 mangos (maduros) cortados en cubitos, 1-1/2 tazas de crema batida espesa, 1-3/4 tazas de leche condensada endulzada, 1/2 cucharadita de hebras de azafrán, 2 cucharaditas de leche tibia, cubitos de hielo, según se requiera</t>
  </si>
  <si>
    <t xml:space="preserve">To begin making the Saffron Mango Ice-cream recipe, cut the mango cheeks by working around the stone, dice the mangoes and scoop them out of the skin cups.Save a handful to top the ice cream later. Add the diced mangoes into a blender and puree them.In a small cup combine saffron and warm milk. Set aside for about 5 minutes until the colour dissipates. You may also microwave it for about 15-20 seconds. Set aside. Save some saffron to garnish later.In a large bowl pour a tray of ice cubes. Over the ice bath, place a smaller bowl and pour in the heavy whipping cream. Whip on low until it forms soft peaks.Combine the mango pulp, condensed milk and saffron milk to it. Fold them all together on the ice bath and pour the mixture into a freezer dish.Cover it with an airtight lid for about a hour. Bring it out and combine again. Top it with the diced mango pieces.Place a cling/plastic wrap over the ice cream and cover it with an air tight lid. Freeze the mixture for about 4 hours or until it is set.Serve Saffron Mango Ice-cream as a dessert after your delicious meal and enjoy it with your friends and family.
</t>
  </si>
  <si>
    <t>Para empezar a preparar la receta de helado de mango y azafrán, corta las mejillas del mango alrededor del hueso, córtalos en dados y sácalos de los vasos. Guarda un puñado para decorar el helado más tarde. Agrega los mangos en dados a una licuadora y haz un puré. En un vaso pequeño, combina el azafrán y la leche tibia. Deja reposar durante unos 5 minutos hasta que el color se disipe. También puedes calentarlo en el microondas durante unos 15-20 segundos. Reserva. Guarda un poco de azafrán para decorar más tarde. En un tazón grande, vierte una bandeja de cubitos de hielo. Sobre el baño de hielo, coloca un tazón más pequeño y vierte la crema de batir espesa. Bate a baja velocidad hasta que forme picos suaves. Combina la pulpa de mango, la leche condensada y la leche con azafrán. Mezcla todo en el baño de hielo y vierte la mezcla en un recipiente para congelador. Cúbrelo con una tapa hermética durante aproximadamente una hora. Sácalo y vuelve a mezclar. Cúbrelo con los dados de mango. Cubre el helado con film transparente y tápalo herméticamente. Congela la mezcla durante unas 4 horas o hasta que esté cuajada. Sirve el helado de mango y azafrán como postre después de una deliciosa comida y disfrútalo con tus amigos y familiares.</t>
  </si>
  <si>
    <t>Pour commencer la recette de glace mangue-safran, coupez les joues de mangue en travaillant autour du noyau, coupez-les en dés et retirez-les des coupelles. Gardez-en une poignée pour garnir la glace plus tard. Ajoutez les dés de mangue dans un blender et réduisez-les en purée. Dans une petite tasse, mélangez le safran et le lait chaud. Laissez reposer environ 5 minutes, jusqu'à ce que la couleur se dissipe. Vous pouvez également le passer au micro-ondes pendant 15 à 20 secondes. Réservez. Gardez un peu de safran pour la décoration. Dans un grand saladier, versez un bac à glaçons. Au-dessus du bain de glace, placez un saladier plus petit et versez la crème fleurette épaisse. Fouettez à basse vitesse jusqu'à obtenir des pics mous. Mélangez la pulpe de mangue, le lait concentré et le lait au safran. Incorporez le tout dans le bain de glace et versez le mélange dans un plat allant au congélateur. Couvrez hermétiquement pendant environ une heure. Sortez le saladier et mélangez à nouveau. Garnissez de morceaux de mangue coupés en dés. Placez un film alimentaire sur la glace et couvrez-la d'un couvercle hermétique. Congelez le mélange pendant environ 4 heures ou jusqu'à ce qu'il soit pris. Servez la glace safran-mangue en dessert après votre délicieux repas et dégustez-la en famille ou entre amis.</t>
  </si>
  <si>
    <t>http://www.archanaskitchen.com/saffron-mango-ice-cream-recipe</t>
  </si>
  <si>
    <t>Nutella &amp; Kiwifruit Filled Whole Wheat Crepe Recipe</t>
  </si>
  <si>
    <t>Rezept für Vollkorn-Crêpes mit Nutella- und Kiwifüllung</t>
  </si>
  <si>
    <t>Recette de crêpes complètes fourrées au Nutella et au kiwi</t>
  </si>
  <si>
    <t>Receta de crepes integrales rellenas de Nutella y kiwi</t>
  </si>
  <si>
    <t>1 tasse de farine de blé entier, 1 cuillère à café de sucre, 1 tasse de lait, 1 pincée de sel, 2 œufs entiers, 5 kiwis - pelés et tranchés, pâte à tartiner Nutella - pour les crêpes</t>
  </si>
  <si>
    <t>1 cup Whole Wheat Flour,1 teaspoon Sugar,1 cup Milk,1 pinch Salt,2 Whole Egg,5 Kiwi - peeled and sliced,Nutella Spread - for the crepes</t>
  </si>
  <si>
    <t>1 taza de harina integral, 1 cucharadita de azúcar, 1 taza de leche, 1 pizca de sal, 2 huevos enteros, 5 kiwis pelados y en rodajas, Nutella para untar (para las crepes)</t>
  </si>
  <si>
    <t xml:space="preserve">To begin making the Nutella &amp; Kiwifruit Filled Whole Wheat Crepe, first blend all the ingredients together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 This film should be as thin as possible, and if there is excess batter pour it back into the jug.Once you make a couple of crepes, you will understand how much batter your need to pour for a single crepe. You could also use a measuring cup to pour the batter, so that way the subsequent times you will get it just right.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otherOnce the crepes are make, spread the nutella on the inside of the crepes, place the sliced Kiwifruit as a filling and fold it into a triangle.Serve Nutella &amp; Kiwifruit Filled Whole Wheat Crepes for a weekend breakfast along with Banana Almond &amp; Prunes Smoothie, or as an after school snack to the kids.
</t>
  </si>
  <si>
    <t>Para preparar la crepa integral rellena de Nutella y kiwi, licúe todos los ingredientes hasta obtener una mezcla homogénea. Luego, cuele la mezcla con un colador fino. Verter la mezcla en una jarra alta facilita la dosificación de la masa al preparar crepas en una sartén caliente. Deje reposar la masa a temperatura ambiente de 15 a 20 minutos. Esto hará que las crepas queden suaves y esponjosas. Para preparar las crepas, caliente una crepera con borde a fuego medio. Unte mantequilla o aceite uniformemente. Cuando la crepera esté caliente, vierta la masa suficiente para cubrir la base y comience a inclinarla y girarla para extenderla y formar una película fina sobre la superficie. Esta película debe ser lo más fina posible; si sobra masa, viértala de nuevo en la jarra. Una vez que prepare un par de crepas, comprenderá cuánta masa necesita para una sola. También puedes usar una taza medidora para verter la masa, así las siguientes veces te quedará perfecta. Estas crepas se cocinan muy rápido y necesitas cocinarlas solo hasta que la parte inferior comience a dorarse un poco, luego levanta suavemente los bordes y voltea la crepa para cocinarla por el otro lado durante unos segundos. Transfiere las crepas de trigo integral preparadas a una fuente y cúbrelas con una tapa de domo para mantenerlas calientes y suaves. Procede de la misma manera con la masa restante y apila las crepas una encima de la otra. Una vez que las crepas estén listas, unta la Nutella en el interior de las crepas, coloca el kiwi en rodajas como relleno y dóblalo en un triángulo. Sirve las crepas de trigo integral rellenas de Nutella y kiwi para un desayuno de fin de semana junto con un batido de plátano, almendras y ciruelas pasas, o como una merienda después de la escuela para los niños.</t>
  </si>
  <si>
    <t>Pour préparer la crêpe complète fourrée au Nutella et au kiwi, mixez tous les ingrédients dans un blender jusqu'à obtenir une consistance lisse. Passez ensuite la préparation à l'aide d'une passoire fine. Versez le mélange dans un grand pichet pour faciliter le dosage de la pâte sur une poêle chaude. Laissez reposer la pâte à crêpes à température ambiante pendant 15 à 20 minutes. Les crêpes seront alors moelleuses et aérées. Pour commencer, faites chauffer une crêpière à rebord à feu moyen. Beurrez-la ou huilez-la uniformément. Une fois chaude, versez juste assez de pâte pour recouvrir le fond, puis inclinez-la et faites-la tourner pour l'étaler et former une fine pellicule à la surface. Cette pellicule doit être aussi fine que possible ; si vous en avez en trop, remettez-la dans le pichet. Après avoir fait quelques crêpes, vous saurez quelle quantité de pâte vous devez verser pour une seule crêpe. Vous pouvez également utiliser une tasse à mesurer pour verser la pâte, afin d'obtenir la pâte parfaite les fois suivantes. Ces crêpes cuisent très rapidement et vous devez les cuire jusqu'à ce que le dessous commence à dorer légèrement, puis soulevez délicatement les bords et retournez la crêpe pour cuire l'autre côté pendant quelques secondes. Transférez les crêpes de blé entier préparées sur un plat et couvrez d'un couvercle en forme de dôme pour les garder chaudes et moelleuses. Procédez de la même manière avec le reste de pâte et empilez les crêpes les unes sur les autres. Une fois les crêpes cuites, étalez le Nutella à l'intérieur des crêpes, placez les tranches de kiwi comme garniture et pliez-les en triangle. Servez les crêpes de blé entier fourrées au Nutella et au kiwi pour un petit-déjeuner du week-end, accompagnées d'un smoothie banane, amandes et pruneaux, ou comme collation après l'école pour les enfants.</t>
  </si>
  <si>
    <t>http://www.archanaskitchen.com/nutella-kiwi-filled-whole-wheat-crepe-recipe-made-from-zespri-kiwifruit</t>
  </si>
  <si>
    <t>Beetroot, Cucumber &amp; Pineapple Juice Recipe - Beetroot, Cucumber &amp; Pineapple Juice</t>
  </si>
  <si>
    <t>Rote-Bete-Gurken-Ananassaft-Rezept - Rote Bete, Gurke &amp; Ananassaft</t>
  </si>
  <si>
    <t>Recette de jus de betterave, concombre et ananas - Jus de betterave, concombre et ananas</t>
  </si>
  <si>
    <t>Receta de jugo de remolacha, pepino y piña - Jugo de remolacha, pepino y piña</t>
  </si>
  <si>
    <t>3 betteraves - pelées et hachées, 1 concombre - pelé et haché, 1 tasse d'ananas - haché, 1/2 pouce de gingembre - râpé, 2 cuillères à café de jus de citron, 1 tasse d'eau - froide</t>
  </si>
  <si>
    <t>3 beetroot - peeled and chopped, 1 cucumber - peeled and chopped, 1 cup pineapple - chopped, 1/2 inch ginger - grated, 2 teaspoons lemon juice, 1 cup water - cold</t>
  </si>
  <si>
    <t>3 remolachas peladas y picadas, 1 pepino pelado y picado, 1 taza de piña picada, 1/2 pulgada de jengibre rallado, 2 cucharaditas de jugo de limón, 1 taza de agua fría</t>
  </si>
  <si>
    <t>To make Beetroot Cucumber and Pineapple Juice Recipe, first put beetroot, cucumber, pineapple in a blender or juicer and make a puree. Strain the puree and take out the juice in a bowl. Put the pulp again in the blender, add water and blend again. Strain again and mix it in a bowl. Add lemon juice, mix and serve. Serve Beetroot Cucumber and Pineapple Juice Recipe with Aloo Poha for breakfast.</t>
  </si>
  <si>
    <t>Para preparar el jugo de remolacha, pepino y piña, primero ponga la remolacha, el pepino y la piña en una licuadora o exprimidor y haga un puré. Cuele el puré y extraiga el jugo en un tazón. Vuelva a colocar la pulpa en la licuadora, agregue agua y vuelva a licuar. Cuele nuevamente y mezcle en un tazón. Agregue jugo de limón, mezcle y sirva. Sirva el jugo de remolacha, pepino y piña con Aloo Poha para desayunar.</t>
  </si>
  <si>
    <t>Pour préparer le jus de betterave, concombre et ananas, mettez d'abord la betterave, le concombre et l'ananas dans un blender ou une centrifugeuse et réduisez-les en purée. Filtrez la purée et récupérez le jus dans un bol. Remettez la pulpe dans le blender, ajoutez de l'eau et mixez à nouveau. Filtrez à nouveau et mixez dans un bol. Ajoutez le jus de citron, mélangez et servez. Servez le jus de betterave, concombre et ananas avec de l'Aloo Poha au petit-déjeuner.</t>
  </si>
  <si>
    <t>https://www.archanaskitchen.com/beetroot-juice-recipe-with-cucumber-pineapple-in-hindi</t>
  </si>
  <si>
    <t>Broccoli &amp; Cheese Filled Crepe Recipe (with Roasted Red Peppers)</t>
  </si>
  <si>
    <t>Rezept für mit Brokkoli und Käse gefüllte Crêpes (mit gerösteten roten Paprikaschoten)</t>
  </si>
  <si>
    <t>Recette de crêpes fourrées au brocoli et au fromage (avec poivrons rouges rôtis)</t>
  </si>
  <si>
    <t>Receta de crepas rellenas de brócoli y queso (con pimientos rojos asados)</t>
  </si>
  <si>
    <t>8 crêpes, 500 grammes de brocoli - lavé et haché, 1 poivron rouge (Capsicum) - finement haché, 1 cuillère à soupe de moutarde de Dijon, 1/2 tasse de fromage à la crème Britannia - (aromatisé, sel - au goût, flocons de piment rouge - ou sauce Tabasco pour le piquant, 1 cuillère à soupe de beurre, 1/4 tasse de fromage cheddar - râpé</t>
  </si>
  <si>
    <t>8 Crepes,500 grams Broccoli - washed and chopped,1 Red Bell pepper (Capsicum) - finely chopped,1 tablespoon Dijon Mustard,1/2 cup Britannia Cream Cheese - (flavored,Salt - to taste,Red Chilli flakes - or tabasco sauce for spice,1 tablespoon Butter,1/4 cup Cheddar cheese - grated</t>
  </si>
  <si>
    <t>8 crepas, 500 gramos de brócoli - lavado y picado, 1 pimiento rojo (Capsicum) - finamente picado, 1 cucharada de mostaza Dijon, 1/2 taza de queso crema Britannia - (saborizado), sal - al gusto, hojuelas de chile rojo - o salsa tabasco para condimentar, 1 cucharada de mantequilla, 1/4 taza de queso cheddar - rallado</t>
  </si>
  <si>
    <t xml:space="preserve">To begin making the Crepes with Broccoli and Cheese, we will first make the crepes according to the instructions. You will get approximately six crepes with the recipe. Click here to read how to make the whole wheat crepes and make them according to the instructions. Keep the prepared crepes aside, covered to stay soft.Next we will begin to prepare the filling for the crepes. Heat a saucepan or a skillet on medium heat; add in the butter and red bell peppers. Saute the bell peppers on medium heat until lightly roasted for a couple of minutes.Next add in the chopped broccoli, sprinkle some salt and allow it cook until soft.  (make sure to add just a pinch of salt, as the mustard and cream cheese contains salt as well). This will take 3 to 4 minutes.Once the broccoli is lightly steamed and cooked, turn off the heat. Stir in the dijon mustard and the cream cheese into the broccoli and pepper mixture. The mixture will looks like a thick broccoli sauce.Check the salt and spice levels and adjust to suit your taste.Our final step is to spoon the Broccoli and Cream Cheese mixture into the crepes and roll it into a cylinder. Place the crepe on a flat surface; and spoon a tablespoon or more of the filling on the center of each crepe. Fold the crepe to make a roll and place the seam side down on a baking dish or a baking platter.  Proceed the same way with the remaining crepes.You can serve the crepes as it is, or sprinkle the cheese on the top and broil in a preheated oven until the cheese melts. You must do this process only when you are ready to serve.Serve the Broccoli &amp; Cheese Crepes along with Greek Yogurt Dip sprinkled chilli flakes or tabasco sauce.
</t>
  </si>
  <si>
    <t>Para comenzar a hacer las Crepas con Brócoli y Queso, primero haremos las crepas según las instrucciones. Recibirás aproximadamente seis crepas con la receta. Haz clic aquí para leer cómo hacer las crepas integrales y hazlas según las instrucciones. Deja las crepas preparadas a un lado, cubiertas para que se mantengan suaves. A continuación, comenzaremos a preparar el relleno para las crepas. Calienta una cacerola o sartén a fuego medio; agrega la mantequilla y los pimientos morrones rojos. Saltea los pimientos morrones a fuego medio hasta que estén ligeramente asados ​​durante un par de minutos. A continuación, agrega el brócoli picado, espolvorea un poco de sal y deja que se cocine hasta que esté suave. (Asegúrate de agregar solo una pizca de sal, ya que la mostaza y el queso crema también contienen sal). Esto tomará de 3 a 4 minutos. Una vez que el brócoli esté ligeramente cocido al vapor y cocinado, apaga el fuego. Incorpora la mostaza Dijon y el queso crema a la mezcla de brócoli y pimiento. La mezcla se verá como una salsa espesa de brócoli. Verifique los niveles de sal y especias y ajuste a su gusto. Nuestro paso final es colocar con una cuchara la mezcla de brócoli y queso crema en las crepas y enrollarla en un cilindro. Coloque la crepa en una superficie plana; y coloque una cucharada o más del relleno en el centro de cada crepa. Doble la crepa para hacer un rollo y coloque la costura hacia abajo en una fuente para hornear o una bandeja para hornear. Proceda de la misma manera con las crepas restantes. Puede servir las crepas tal cual o espolvorear el queso por encima y asar en un horno precalentado hasta que el queso se derrita. Debe realizar este proceso solo cuando esté listo para servir. Sirva las crepas de brócoli y queso junto con salsa de yogur griego, hojuelas de chile espolvoreadas o salsa Tabasco.</t>
  </si>
  <si>
    <t>Pour commencer à préparer les crêpes au brocoli et au fromage, nous allons d'abord préparer les crêpes selon les instructions. Vous obtiendrez environ six crêpes avec la recette. Cliquez ici pour lire comment préparer les crêpes de blé entier et les préparer selon les instructions. Gardez les crêpes préparées de côté, couvertes pour qu'elles restent moelleuses. Ensuite, nous allons commencer à préparer la garniture des crêpes. Faites chauffer une casserole ou une poêle à feu moyen ; ajoutez le beurre et les poivrons rouges. Faites sauter les poivrons à feu moyen jusqu'à ce qu'ils soient légèrement rôtis pendant quelques minutes. Ajoutez ensuite le brocoli haché, saupoudrez de sel et laissez cuire jusqu'à ce qu'il soit tendre. (assurez-vous d'ajouter juste une pincée de sel, car la moutarde et le fromage à la crème contiennent également du sel). Cela prendra 3 à 4 minutes. Une fois le brocoli légèrement cuit à la vapeur, éteignez le feu. Incorporez la moutarde de Dijon et le fromage à la crème au mélange de brocoli et de poivron. Le mélange ressemblera à une sauce épaisse au brocoli. Vérifiez les niveaux de sel et d'épices et ajustez-les à votre goût. Notre dernière étape consiste à verser le mélange de brocoli et de fromage à la crème dans les crêpes et à les rouler en un cylindre. Placez la crêpe sur une surface plane et déposez une cuillère à soupe ou plus de garniture au centre de chaque crêpe. Pliez la crêpe pour former un rouleau et placez la couture vers le bas sur un plat de cuisson ou un plateau de cuisson. Procédez de la même manière avec les crêpes restantes. Vous pouvez servir les crêpes telles quelles ou saupoudrer le fromage sur le dessus et griller dans un four préchauffé jusqu'à ce que le fromage fonde. Vous ne devez effectuer cette opération qu'au moment de servir. Servez les crêpes au brocoli et au fromage avec une trempette au yaourt grec, des flocons de piment ou de la sauce Tabasco.</t>
  </si>
  <si>
    <t>https://www.archanaskitchen.com/broccoli-cheese-filled-crepe-recipe-with-roasted-red-peppers</t>
  </si>
  <si>
    <t>Fried Egg Recipe - Sunny Side Up</t>
  </si>
  <si>
    <t>Spiegelei-Rezept – Sunny Side Up</t>
  </si>
  <si>
    <t>Recette d'œufs au plat – Sunny Side Up</t>
  </si>
  <si>
    <t>Receta de huevo frito – Sunny Side Up</t>
  </si>
  <si>
    <t>1 œuf entier, 1 cuillère à café d'huile de tournesol, sel et poivre - au goût</t>
  </si>
  <si>
    <t>1 Whole Egg,1 teaspoon Sunflower Oil,Salt and Pepper - to taste</t>
  </si>
  <si>
    <t>1 huevo entero, 1 cucharadita de aceite de girasol, sal y pimienta - al gusto</t>
  </si>
  <si>
    <t xml:space="preserve">To begin making Fried Egg Recipe - Sunny Side Up, Into a preheated pan add oil and swirl to grease the pan. Crack in an egg in the pan, and turn the heat to medium low.Gently sliced the un cooked whites to the side of the pan with the help of a spatula to cook the egg whites evely. Cover the pan for 10 to 15 seconds or longer if you like a firm yolk.Once you notice the whites are cooked and the yolk is half done then gently release the fried egg from the edges and carefully slide it on to the serving plate. Sprinkle some salt and pepper to taste and serve.Serve Fried Egg Recipe - Sunny Side Up sprinkled with salt and pepper with Apple Almond Date Smoothie Recipe or a toast and Carrot Pineapple Orange Juice Recipe by the side.
</t>
  </si>
  <si>
    <t>Para empezar a preparar la Receta de Huevo Frito - Sunny Side Up, en una sartén precalentada, añade aceite y engrasa con movimientos giratorios. Casca un huevo en la sartén y baja el fuego a medio bajo. Corta con cuidado las claras crudas a un lado de la sartén con la ayuda de una espátula para cocinarlas uniformemente. Cubre la sartén durante 10 a 15 segundos o más si prefieres una yema firme. Una vez que notes que las claras están cocidas y la yema medio hecha, separa con cuidado el huevo frito de los bordes y deslízalo con cuidado en el plato para servir. Espolvorea un poco de sal y pimienta al gusto y sirve. Sirve la Receta de Huevo Frito - Sunny Side Up espolvoreada con sal y pimienta con la Receta de Batido de Manzana, Almendras y Dátiles o una tostada y la Receta de Jugo de Zanahoria, Piña y Naranja al lado.</t>
  </si>
  <si>
    <t>Pour commencer à préparer la recette d'œufs au plat - Sunny Side Up, ajoutez de l'huile dans une poêle préchauffée et faites tourner pour graisser la poêle. Cassez un œuf dans la poêle et baissez le feu à moyen-doux. Tranchez délicatement les blancs non cuits sur le côté de la poêle à l'aide d'une spatule pour les cuire uniformément. Couvrez la poêle pendant 10 à 15 secondes ou plus si vous aimez un jaune ferme. Une fois que vous remarquez que les blancs sont cuits et que le jaune est à moitié cuit, décollez délicatement l'œuf au plat des bords et faites-le glisser délicatement sur l'assiette de service. Saupoudrez de sel et de poivre selon votre goût et servez. Servez la recette d'œufs au plat - Sunny Side Up saupoudrée de sel et de poivre avec une recette de smoothie pomme-amande-datte ou un toast et une recette de jus de carotte-ananas-orange à côté.</t>
  </si>
  <si>
    <t>http://www.archanaskitchen.com/fried-egg-recipe-sunny-side-up</t>
  </si>
  <si>
    <t>Blueberry-Mango Marble Froyo Bars Recipe</t>
  </si>
  <si>
    <t>Rezept für Blaubeer-Mango-Marmor-Froyo-Riegel</t>
  </si>
  <si>
    <t>Recette de barres Froyo marbrées aux myrtilles et à la mangue</t>
  </si>
  <si>
    <t>Receta de barras de yogur helado marmoleado de arándanos y mango</t>
  </si>
  <si>
    <t>1 tasse de Hung Curd (yaourt grec), 1/2 tasse de myrtilles, sucre - au goût si nécessaire, 1/2 tasse de Hung Curd (yaourt grec), 1/3 tasse de mangue (mûre) - hachée, sucre - au goût si nécessaire</t>
  </si>
  <si>
    <t>1 cup Hung Curd (Greek Yogurt),1/2 cup Blueberries,Sugar - to taste if required,1/2 cup Hung Curd (Greek Yogurt),1/3 cup Mango (Ripe) - chopped,Sugar - to taste if required</t>
  </si>
  <si>
    <t>1 taza de cuajada Hung (yogur griego), 1/2 taza de arándanos, azúcar (al gusto si se requiere), 1/2 taza de cuajada Hung (yogur griego), 1/3 taza de mango (maduro) picado, azúcar (al gusto si se requiere)</t>
  </si>
  <si>
    <t xml:space="preserve">To prepare Blueberry-Mango Marble Froyo Bars Recipe, pour all the ingredients of blueberry froyo in a blender and make smooth puree. Keep aside.Pour all the ingredients of mango froyo in the blender and make a smooth puree.Marble Freezing Method:Line a loaf pan with parchment paper and spread blueberry smooth puree evenly inside.Top with 5-6 tablespoon of mango smooth puree on it.Use a clean bread knife to gently swirl on the puree.Cover with the cling film and freeze overnight or until solid.Cut into bars, once froyo gets frozen till solid.Enjoy Blueberry-Mango Marble Froyo Bars Recipe as a dessert or as a summer coolant during evening.
</t>
  </si>
  <si>
    <t>Para preparar la receta de barras de yogur helado marmolado de arándanos y mango, vierta todos los ingredientes del yogur helado de arándanos en una licuadora hasta obtener un puré suave. Reserve. Vierta todos los ingredientes del yogur helado de mango en la licuadora hasta obtener un puré suave. Método de congelación marmolada: Cubra un molde para pan con papel pergamino y extienda el puré suave de arándanos uniformemente dentro. Cubra con 5-6 cucharadas de puré suave de mango. Use un cuchillo de pan limpio para remover suavemente el puré. Cubra con film transparente y congele durante la noche o hasta que esté sólido. Corte en barras, una vez que el yogur helado esté congelado hasta que esté sólido. Disfrute de la receta de barras de yogur helado marmolado de arándanos y mango como postre o como un refrescante de verano por la noche.</t>
  </si>
  <si>
    <t>Pour préparer la recette des barres Froyo marbrées aux myrtilles et à la mangue, versez tous les ingrédients du froyo aux myrtilles dans un mixeur et faites une purée lisse. Réservez. Versez tous les ingrédients du froyo à la mangue dans le mixeur et faites une purée lisse. Méthode de congélation marbrée : Tapissez un moule à cake de papier sulfurisé et étalez uniformément la purée lisse aux myrtilles à l'intérieur. Garnissez-le de 5 à 6 cuillères à soupe de purée lisse à la mangue. Utilisez un couteau à pain propre pour faire tourner délicatement la purée. Couvrez de film alimentaire et congelez toute la nuit ou jusqu'à ce que le froyo soit solide. Coupez en barres, une fois le froyo congelé jusqu'à ce qu'il soit solide. Savourez la recette des barres Froyo marbrées aux myrtilles et à la mangue en dessert ou comme rafraîchissement estival en soirée.</t>
  </si>
  <si>
    <t>http://www.archanaskitchen.com/blueberry-mango-marble-froyo-bars-recipe</t>
  </si>
  <si>
    <t>Homemade Apple Pie Recipe With Whole Wheat Pie Crust</t>
  </si>
  <si>
    <t>Hausgemachtes Apfelkuchenrezept mit Vollkornkuchenboden</t>
  </si>
  <si>
    <t>Recette de tarte aux pommes maison avec croûte à tarte au blé entier</t>
  </si>
  <si>
    <t>Receta de tarta de manzana casera con masa integral</t>
  </si>
  <si>
    <t>2-1/2 tasses de farine de blé entier, 1/2 cuillère à café de sel, 2 cuillères à soupe de sucre, 1 tasse de beurre - réfrigéré, 6-8 cuillères à soupe d'eau - glacée, 5 pommes - pelées, 1/2 citron - pressé, 1 cuillère à soupe de sucre, 1 cuillère à soupe de cassonade (sucre Demerara), 2 cuillères à soupe de farine tout usage (Maida), 1 cuillère à café de cannelle en poudre (Dalchini), 1/2 cuillère à café de sel, 2 cuillères à soupe de lait, 1 cuillère à soupe de miel, 1 cuillère à soupe de sucre - pour saupoudrer</t>
  </si>
  <si>
    <t>2-1/2 cups Whole Wheat Flour,1/2 teaspoon Salt,2 tablespoons Sugar,1 cup Butter - chilled,6-8 tablespoons Water - ice cold,5 Apples - peeled,1/2 Lemon - juiced,1 tablespoon Sugar,1 tablespoon Brown Sugar (Demerara Sugar),2 tablespoons All Purpose Flour (Maida),1 teaspoon Cinnamon Powder (Dalchini),1/2 teaspoon Salt,2 tablespoons Milk,1 tablespoon Honey,1 tablespoon Sugar - for sprinkling</t>
  </si>
  <si>
    <t>2-1/2 tazas de harina integral, 1/2 cucharadita de sal, 2 cucharadas de azúcar, 1 taza de mantequilla fría, 6-8 cucharadas de agua helada, 5 manzanas peladas, 1/2 limón exprimido, 1 cucharada de azúcar, 1 cucharada de azúcar morena (azúcar Demerara), 2 cucharadas de harina para todo uso (Maida), 1 cucharadita de canela en polvo (Dalchini), 1/2 cucharadita de sal, 2 cucharadas de leche, 1 cucharada de miel, 1 cucharada de azúcar para espolvorear</t>
  </si>
  <si>
    <t xml:space="preserve">To begin making the Homemade Apple Pie Recipe, We will first make the apple filling.For the Filling:In a large bowl, add the sliced apples brown sugar, white sugar, salt, cinnamon powder and flour. Mix all the ingredients until the apples are well coated and combined.To make the crust:To make the crust by hand, combine the flour, salt, and sugar in a large bowl. Work the chilled butter into the flour with your fingers until the mixture resembles a coarse sand. Sprinkle ice water onto the crumbly dough and with your hands push the dough from the sides to the middle of the bowl to form a ball that holds together.Add just enough water to bring the dough together. There should not be too much moisture in the dough and the dough should be firm.Divide the dough into two, cover in cling film wrap and refrigerate for 2 hours. To make the crust in a food processor, add the butter and place them in the bowl of the food processor. Add the flour, salt and sugar. Process until all of the ingredients are incorporated.With the processor on, add the ice water a tablespoon at a time until the dough begins to clump but is still crumbly. Continue to drizzle a little water and pulse the food processor, stopping to test the dough with your fingertips to see if it is moist enough to hold together. When you can gather the dough into a ball, remove it from the food processor.Refrigerate the Pie Crust for at least 2 hours.Grease a pie pan with butter and keep it ready. Preheat the oven to 165 degree C.Final Assembly of the Apple Pie:After two hours, we are now ready to work on the pie dough. Generously flour the work surface. Place one portion of  the chilled pie crust on the floured surface and using the heel of your palms, press down the dough to make it flat and pulling it outward to stretch the dough. Now with the help of a rolling pin roll out the dough to a large round of quarter inch thickness.Once rolled, gently transfer to your prepared pie pan. Unfold the pie dough and gently press it in so that the dough fills out the inner edges and corners.Some pastry will still hang over the sides of the pan; We will use this to cover the pie to the top later. Roll out the second pie dough the similar way and keep aside.Pour apple mixture over the pie dough in the pie tin and spread it around evenly. Drape the second rolled dough over the filling. Fold the overhangs over the edges sealing them together.Combine the milk and honey in a bowl and brush the top of the apple pie, this gives a good colour to the crust. Finally, cut small slits to act as vents all over lid so the steam can escape through and retain just the enough moisture needed for the apple pie.Place the pie crust in the preheated oven until the crust is golden brown for about 40 to 45 minutes.After about 45 minutes when you notice that the crust is golden, it indicates that the apple pie is ready. Remove from the oven and allow the pie to rest for about 10 minutes.Cut the Homemade Apple Pie into wedges, drizzle some icing sugar on the top and serve warm along with vanilla ice cream or whipped cream.Serve the Homemade Apple Pie Recipe as a Party dessert after a meal of Vegetable Au Gratin with Cauliflower Carrots and Beans and Whole Wheat Rosemary Focaccia Bread Recipe.
</t>
  </si>
  <si>
    <t>Para comenzar a hacer la Receta de Pastel de Manzana Casero, primero haremos el relleno de manzana. Para el relleno: En un tazón grande, agregue las manzanas en rodajas, el azúcar moreno, el azúcar blanco, la sal, la canela en polvo y la harina. Mezcle todos los ingredientes hasta que las manzanas estén bien cubiertas y combinadas. Para hacer la corteza: Para hacer la corteza a mano, combine la harina, la sal y el azúcar en un tazón grande. Trabaje la mantequilla fría en la harina con los dedos hasta que la mezcla se asemeje a una arena gruesa. Espolvoree agua helada sobre la masa desmenuzada y con las manos empuje la masa desde los lados hacia el centro del tazón para formar una bola que se mantenga unida. Agregue suficiente agua para unir la masa. No debe haber demasiada humedad en la masa y la masa debe estar firme. Divida la masa en dos, cúbrala con film transparente y refrigérela durante 2 horas. Para hacer la corteza en un procesador de alimentos, agregue la mantequilla y colóquelas en el tazón del procesador de alimentos. Agregue la harina, la sal y el azúcar. Procesar hasta que todos los ingredientes estén incorporados. Con el procesador encendido, agregar el agua helada una cucharada a la vez hasta que la masa comience a agruparse pero aún esté desmenuzada. Continuar rociando un poco de agua y pulsar el procesador de alimentos, deteniéndose para probar la masa con las yemas de los dedos para ver si está lo suficientemente húmeda como para mantenerse unida. Cuando pueda juntar la masa en una bola, sáquela del procesador de alimentos. Refrigerar la masa para tarta durante al menos 2 horas. Engrasar un molde para tarta con mantequilla y mantenerlo listo. Precalentar el horno a 165 grados C. Montaje final de la tarta de manzana: Después de dos horas, ahora estamos listos para trabajar en la masa de tarta. Enharinar generosamente la superficie de trabajo. Colocar una porción de la masa de tarta fría sobre la superficie enharinada y usando la base de las palmas, presionar la masa para que quede plana y tirar de ella hacia afuera para estirar la masa. Ahora, con la ayuda de un rodillo, extender la masa a un gran círculo de un cuarto de pulgada de grosor. Una vez estirada, transferir suavemente a su molde para tarta preparado. Desdobla la masa para tarta y presiónala suavemente para que llene los bordes y esquinas interiores. Un poco de masa todavía colgará de los lados del molde; la usaremos para cubrir la tarta hasta arriba más tarde. Extiende la segunda masa para tarta de la misma manera y déjala a un lado. Vierte la mezcla de manzana sobre la masa para tarta en el molde para tarta y extiéndela uniformemente. Cubre la segunda masa enrollada sobre el relleno. Dobla los sobrantes sobre los bordes sellándolos juntos. Combina la leche y la miel en un bol y pincela la parte superior de la tarta de manzana, esto le da un buen color a la corteza. Finalmente, corta pequeñas ranuras que actúen como respiraderos por toda la tapa para que el vapor pueda escapar y retener la humedad suficiente necesaria para la tarta de manzana. Coloca la corteza de la tarta en el horno precalentado hasta que esté dorada durante unos 40 a 45 minutos. Después de unos 45 minutos, cuando notes que la corteza está dorada, indica que la tarta de manzana está lista. Retire del horno y deje reposar la tarta durante unos 10 minutos. Corte la tarta de manzana casera en gajos, rocíe un poco de azúcar glas por encima y sirva caliente con helado de vainilla o crema batida. Sirva la receta de tarta de manzana casera como postre de fiesta después de una comida de verduras gratinadas con coliflor, zanahorias y frijoles y una receta de pan focaccia integral con romero.</t>
  </si>
  <si>
    <t>Pour commencer à préparer la recette de tarte aux pommes maison, nous allons d'abord préparer la garniture aux pommes. Pour la garniture : Dans un grand bol, ajoutez les pommes tranchées, la cassonade, le sucre blanc, le sel, la cannelle en poudre et la farine. Mélangez tous les ingrédients jusqu'à ce que les pommes soient bien enrobées et combinées. Pour faire la croûte : Pour faire la croûte à la main, mélangez la farine, le sel et le sucre dans un grand bol. Travaillez le beurre refroidi dans la farine avec vos doigts jusqu'à ce que le mélange ressemble à un sable grossier. Saupoudrez d'eau glacée sur la pâte friable et avec vos mains, poussez la pâte des côtés vers le milieu du bol pour former une boule qui se tient ensemble. Ajoutez juste assez d'eau pour rassembler la pâte. Il ne doit pas y avoir trop d'humidité dans la pâte et la pâte doit être ferme. Divisez la pâte en deux, couvrez d'un film alimentaire et réfrigérez pendant 2 heures. Pour faire la croûte dans un robot culinaire, ajoutez le beurre et placez-les dans le bol du robot culinaire. Ajoutez la farine, le sel et le sucre. Mélangez jusqu'à ce que tous les ingrédients soient incorporés. Avec le robot en marche, ajoutez l'eau glacée une cuillère à soupe à la fois jusqu'à ce que la pâte commence à s'agglomérer mais soit encore friable. Continuez à verser un peu d'eau et à pulser le robot culinaire, en vous arrêtant pour tester la pâte du bout des doigts pour voir si elle est suffisamment humide pour se tenir ensemble. Lorsque vous pouvez rassembler la pâte en boule, retirez-la du robot culinaire. Réfrigérez la croûte à tarte pendant au moins 2 heures. Graissez un moule à tarte avec du beurre et réservez-le. Préchauffez le four à 165 degrés C. Assemblage final de la tarte aux pommes : Après deux heures, nous sommes maintenant prêts à travailler sur la pâte à tarte. Farinez généreusement le plan de travail. Placez une portion de la croûte à tarte refroidie sur la surface farinée et, à l'aide du talon de vos paumes, appuyez sur la pâte pour l'aplatir et tirez-la vers l'extérieur pour l'étirer. Maintenant, à l'aide d'un rouleau à pâtisserie, étalez la pâte en un grand rond d'un quart de pouce d'épaisseur. Une fois roulé, transférez délicatement dans votre moule à tarte préparé. Dépliez la pâte à tarte et appuyez doucement dessus pour que la pâte remplisse les bords intérieurs et les coins. Un peu de pâte dépassera encore des côtés du moule ; nous l'utiliserons pour couvrir la tarte jusqu'en haut plus tard. Étalez la deuxième pâte à tarte de la même manière et réservez. Versez le mélange de pommes sur la pâte à tarte dans le moule à tarte et étalez-le uniformément. Drapez la deuxième pâte roulée sur la garniture. Repliez les excédents sur les bords en les scellant ensemble. Mélangez le lait et le miel dans un bol et badigeonnez le dessus de la tarte aux pommes, cela donne une belle couleur à la croûte. Enfin, coupez de petites fentes pour servir d'évents sur tout le couvercle afin que la vapeur puisse s'échapper et conserver juste assez d'humidité nécessaire à la tarte aux pommes. Placez la croûte à tarte dans le four préchauffé jusqu'à ce que la croûte soit dorée pendant environ 40 à 45 minutes. Après environ 45 minutes, lorsque vous remarquez que la croûte est dorée, cela indique que la tarte aux pommes est prête. Retirez du four et laissez reposer la tarte pendant environ 10 minutes. Coupez la tarte aux pommes maison en quartiers, versez un filet de sucre glace sur le dessus et servez chaud avec de la glace à la vanille ou de la crème fouettée. Servez la recette de tarte aux pommes maison comme dessert de fête après un repas de gratin de légumes avec chou-fleur, carottes et haricots et de pain focaccia au romarin au blé entier.</t>
  </si>
  <si>
    <t>https://www.archanaskitchen.com/video-recipe-apple-pie-made-with-whole-wheat-pie-crust</t>
  </si>
  <si>
    <t>Creamy Stuffed Chicken With Pepper Cilantro Sauce Recipe</t>
  </si>
  <si>
    <t>Rezept für cremig gefülltes Hähnchen mit Pfeffer-Koriander-Sauce</t>
  </si>
  <si>
    <t>Recette de poulet farci crémeux à la sauce poivre et coriandre</t>
  </si>
  <si>
    <t>Receta de pollo relleno cremoso con salsa de pimienta y cilantro</t>
  </si>
  <si>
    <t>500 grammes de poitrines de poulet, 1/2 cuillère à café de grains de poivre noir entiers - écrasés, 1/2 tasse de feuilles de coriandre (Dhania) - coriandre, 1/2 cuillère à café de zeste de citron, 1 cuillère à café de feuilles de thym séchées, 1 cuillère à café de romarin, 1 cuillère à café d'origan séché, 1 cuillère à café de sauge, sel - au goût, 200 grammes de fromage à la crème Britannia, 1/2 cuillère à café d'olives noires Del Monte, huile d'olive extra vierge - selon les besoins, 2 cuillères à soupe de farine de maïs, 1 cuillère à soupe de grains de poivre noir entiers - écrasés, sel - selon les besoins, sucre - selon les besoins, 2 gousses d'ail - finement hachées, 1 tasse de lait, 2 brins de feuilles de coriandre (Dhania) - finement hachées</t>
  </si>
  <si>
    <t>500 grams Chicken breasts,1/2 teaspoon Whole Black Peppercorns - crushed,1/2 cup Coriander (Dhania) Leaves - cilantro,1/2 teaspoon Lemon zest,1 teaspoon Dried Thyme Leaves,1 teaspoon Rosemary,1 teaspoon Dried oregano,1 teaspoon Sage,Salt - to taste,200 grams Britannia Cream Cheese,1/2 teaspoon Del Monte Black Olives,Extra Virgin Olive Oil - as required,2 tablespoons Corn flour,1 tablespoon Whole Black Peppercorns - crushed,Salt - as required,Sugar - as required,2 cloves Garlic - finely chopped,1 cup Milk,2 sprig Coriander (Dhania) Leaves - finely chopped</t>
  </si>
  <si>
    <t>500 gramos de pechugas de pollo, 1/2 cucharadita de granos de pimienta negra enteros - triturados, 1/2 taza de hojas de cilantro (Dhania) - cilantro, 1/2 cucharadita de ralladura de limón, 1 cucharadita de hojas de tomillo secas, 1 cucharadita de romero, 1 cucharadita de orégano seco, 1 cucharadita de salvia, sal - al gusto, 200 gramos de queso crema Britannia, 1/2 cucharadita de aceitunas negras Del Monte, aceite de oliva virgen extra - al gusto, 2 cucharadas de harina de maíz, 1 cucharada de granos de pimienta negra enteros - triturados, sal - al gusto, azúcar - al gusto, 2 dientes de ajo - finamente picados, 1 taza de leche, 2 ramitas de hojas de cilantro (Dhania) - finamente picadas</t>
  </si>
  <si>
    <t xml:space="preserve">To begin making the Creamy Stuffed Chicken With Pepper Cilantro Sauce recipe, firstly pound the chicken breasts to an even thickness about 1/2 inch.Place the chicken in a plate and top it with cream cheese, cilantro, salt and crushed pepper. Sprinkle lemon zest and mixed herbs on the chicken.Roll the chicken and tie it with a thread from all sides so that the cheese doesn’t ooze out.Cover it with a cling film and keep it refrigerated for an hour.Meanwhile, we will make the cilantro and pepper sauce.In a small bowl, mix cream, cornstarch in cold milk and blend well.Heat a wide pan on medium heat and saute peppercorns.Add rest of the ingredients - peppercorns, salt, sugar, garlic, milk, coriander leaves, red chilli powder, lemon juice, parsley leaves, including the cornstarch mixture and bring it to a boil.Keep boiling till the consistency is reduced to a thick sauce.Once it is done, take it out in a bowl.Next, heat the pan and add olive oil just to glaze the pan so that you get the grilled flavour not the fried one.Cook the refrigerated chicken on medium heat till it changes its colour.Keep rolling the chicken to cook it evenly from all sides. Cook it till you get the caramelised colour.Place the chicken in a plate and gently remove the threads.Cut into slices of desired thickness and cover it with hot cilantro and pepper sauce.Serve Creamy Stuffed Chicken With Pepper Cilantro Sauce with Spring Onion &amp; Roasted Garlic Brown Rice Recipe, Chilled Sweet &amp; Sour Cucumber Noodle Salad Recipe and Kiwi Basil Lemonade Recipe.
</t>
  </si>
  <si>
    <t>Para comenzar a preparar la receta de Pollo Relleno Cremoso con Salsa de Cilantro y Pimienta, primero golpee las pechugas de pollo hasta que tengan un grosor uniforme de aproximadamente 1/2 pulgada. Coloque el pollo en un plato y cúbralo con queso crema, cilantro, sal y pimienta triturada. Espolvoree la ralladura de limón y las hierbas mixtas sobre el pollo. Enrolle el pollo y átelo con un hilo por todos lados para que no se salga el queso. Cúbralo con una película adhesiva y manténgalo refrigerado durante una hora. Mientras tanto, haremos la salsa de cilantro y pimienta. En un tazón pequeño, mezcle la crema, la maicena en la leche fría y mezcle bien. Caliente una sartén ancha a fuego medio y saltee los granos de pimienta. Agregue el resto de los ingredientes: granos de pimienta, sal, azúcar, ajo, leche, hojas de cilantro, chile rojo en polvo, jugo de limón, hojas de perejil, incluida la mezcla de maicena y llévelo a ebullición. Siga hirviendo hasta que la consistencia se reduzca a una salsa espesa. Una vez hecho, sáquelo a un tazón. Luego, caliente la sartén y agregue aceite de oliva solo para glasear la sartén para que obtenga el sabor a la parrilla, no el frito. Cocine el pollo refrigerado a fuego medio hasta que cambie de color. Mantenga Enrolle el pollo para cocinarlo uniformemente por todos lados. Cocínelo hasta que adquiera un color caramelizado. Coloque el pollo en un plato y retire con cuidado los hilos. Córtelo en rodajas del grosor deseado y cúbralo con salsa picante de cilantro y pimienta. Sirva el pollo relleno cremoso con salsa de cilantro y pimienta con arroz integral con cebolleta y ajo asado, ensalada agridulce fría con fideos de pepino y limonada de kiwi y albahaca.</t>
  </si>
  <si>
    <t>Pour commencer à préparer la recette de poulet farci crémeux à la sauce au poivre et à la coriandre, écrasez d'abord les poitrines de poulet jusqu'à obtenir une épaisseur uniforme d'environ 1/2 pouce. Placez le poulet dans une assiette et garnissez-le de fromage à la crème, de coriandre, de sel et de poivre concassé. Saupoudrer le poulet de zeste de citron et d'herbes mélangées. Rouler le poulet et l'attacher avec un fil de tous les côtés pour que le fromage ne coule pas. Couvrir d'un film alimentaire et le garder au réfrigérateur pendant une heure. Pendant ce temps, nous allons préparer la sauce à la coriandre et au poivre. Dans un petit bol, mélanger la crème, la fécule de maïs dans le lait froid et bien mélanger. Chauffer une grande poêle à feu moyen et faire revenir les grains de poivre. Ajouter le reste des ingrédients - grains de poivre, sel, sucre, ail, lait, feuilles de coriandre, poudre de piment rouge, jus de citron, feuilles de persil, y compris le mélange de fécule de maïs et porter à ébullition. Maintenir l'ébullition jusqu'à ce que la consistance soit réduite à une sauce épaisse. Une fois cuit, le sortir dans un bol. Ensuite, chauffer la poêle et ajouter de l'huile d'olive juste pour glacer la poêle afin d'obtenir la saveur grillée et non frite. Cuire le poulet réfrigéré à feu moyen jusqu'à ce qu'il change de couleur. Garder Roulez le poulet pour le cuire uniformément de tous les côtés. Laissez cuire jusqu'à obtenir une couleur caramélisée. Placez le poulet dans une assiette et retirez délicatement les fils. Coupez-le en tranches de l'épaisseur souhaitée et nappez-le de sauce piquante à la coriandre et au poivre. Servez le poulet farci crémeux à la sauce au poivre et à la coriandre avec une recette de riz brun aux oignons nouveaux et à l'ail rôti, une recette de salade de nouilles au concombre aigre-douce glacée et une recette de limonade au kiwi et au basilic.</t>
  </si>
  <si>
    <t>http://www.archanaskitchen.com/creamy-stuffed-chicken-with-pepper-cilantro-sauce-recipe</t>
  </si>
  <si>
    <t>Coffee Ice Cream Recipe</t>
  </si>
  <si>
    <t>Kaffeeeis-Rezept</t>
  </si>
  <si>
    <t>Recette de glace au café</t>
  </si>
  <si>
    <t>Receta de helado de café</t>
  </si>
  <si>
    <t>400 ml de crème fraîche (utiliser de la crème Amul), 150 ml de lait (réfrigéré), 1/2 tasse de sucre, 1-1/2 cuillère à café d'extrait de vanille, 2 cuillères à soupe de café instantané en poudre</t>
  </si>
  <si>
    <t>400 ml Fresh cream - Use Amul Cream,150 ml Milk - chilled,1/2 cup Sugar,1-1/2 teaspoon Vanilla Extract,2 tablespoons Instant Coffee Powder</t>
  </si>
  <si>
    <t>400 ml de crema fresca (use crema Amul), 150 ml de leche fría, 1/2 taza de azúcar, 1-1/2 cucharadita de extracto de vainilla, 2 cucharadas de café instantáneo en polvo</t>
  </si>
  <si>
    <t xml:space="preserve">To begin making the Coffee Ice Cream Recipe, into a blender jar, add the full fat cream, milk, sugar, instant coffee powder and vanilla extract. Make sure that the cream and the milk is chilled. If the mixture is warm, then refrigerate the ice cream mixture for two hours.Now we will set up the Kitchenif Ice Cream Maker.Place the ice cream bowl which has been kept in the freezer for 2 days into the kitchenif ice cream maker. Attach the paddle and set the timer for 30 minutes.Start the ice cream maker and pour the ice cream mixture through the opening into the ice cream maker.Do not turn off the machine in between till 30 minutes is up. You will see that slowly, the ice cream will start turning thick and creamy.After 30 minutes, you will see that your ice cream mixture is ready. Add it in the bowl, and keep it in fridge for 5 to 6 hours.Serve Coffee Ice Cream Recipe as a dessert after a delicious Continental Meal of Cheesy Baked Spaghetti Pasta In Tomato Basil Sauce and Garlic Bread.
</t>
  </si>
  <si>
    <t>Para comenzar a hacer la Receta de Helado de Café, en una jarra de licuadora, agrega la crema entera, la leche, el azúcar, el café instantáneo en polvo y el extracto de vainilla. Asegúrate de que la crema y la leche estén frías. Si la mezcla está tibia, refrigera la mezcla de helado durante dos horas. Ahora configuraremos la máquina para hacer helados Kitchenif. Coloca el tazón de helado que se ha mantenido en el congelador durante 2 días en la máquina para hacer helados Kitchenif. Coloca la paleta y configura el temporizador durante 30 minutos. Enciende la máquina para hacer helados y vierte la mezcla de helado a través de la abertura en la máquina para hacer helados. No apagues la máquina hasta que pasen 30 minutos. Verás que poco a poco, el helado comenzará a volverse espeso y cremoso. Después de 30 minutos, verás que tu mezcla de helado está lista. Agréguelo al tazón y guárdelo en el refrigerador durante 5 a 6 horas. Sirva la Receta de Helado de Café como postre después de una deliciosa comida continental de Pasta de Espaguetis al Horno con Queso en Salsa de Tomate y Albahaca y Pan de Ajo.</t>
  </si>
  <si>
    <t>Pour commencer à préparer la recette de crème glacée au café, dans un bol de mixeur, ajoutez la crème entière, le lait, le sucre, la poudre de café instantané et l'extrait de vanille. Assurez-vous que la crème et le lait sont refroidis. Si le mélange est chaud, réfrigérez le mélange de crème glacée pendant deux heures. Nous allons maintenant installer la sorbetière Kitchenif. Placez le bol de crème glacée qui a été conservé au congélateur pendant 2 jours dans la sorbetière Kitchenif. Fixez la palette et réglez la minuterie sur 30 minutes. Démarrez la sorbetière et versez le mélange de crème glacée par l'ouverture dans la sorbetière. N'éteignez pas la machine entre les deux avant que 30 minutes ne soient écoulées. Vous verrez que lentement, la crème glacée commencera à devenir épaisse et crémeuse. Après 30 minutes, vous verrez que votre mélange de crème glacée est prêt. Ajoutez-le dans le bol et conservez-le au réfrigérateur pendant 5 à 6 heures. Servez la recette de crème glacée au café comme dessert après un délicieux repas continental composé de pâtes spaghetti au fromage cuites au four dans une sauce tomate et basilic et de pain à l'ail.</t>
  </si>
  <si>
    <t>http://www.archanaskitchen.com/coffee-ice-cream-recipe</t>
  </si>
  <si>
    <t>Pizza Pinwheels Recipe</t>
  </si>
  <si>
    <t>Rezept für Pizza-Schnecken</t>
  </si>
  <si>
    <t>Recette de rouleaux de pizza</t>
  </si>
  <si>
    <t>Receta de rollo de pizza</t>
  </si>
  <si>
    <t>1/2 tasse de farine de blé entier, 1/2 tasse de farine tout usage (Maida), 1/3 tasse d'eau tiède, 1/2 cuillère à café de levure sèche active, 1/3 cuillère à café de sel, 1/2 cuillère à soupe de sucre, 1 cuillère à soupe d'huile d'olive extra vierge, 1 oignon finement haché, 1 tomate finement hachée, 1 poivron vert finement haché, 1 cuillère à soupe d'huile d'olive extra vierge finement hachée (facultatif), 2 à 3 cuillères à soupe de sauce pour pizza et pâtes maison, fromage mozzarella (au besoin), origan séché (au besoin), flocons de piment rouge (au besoin)</t>
  </si>
  <si>
    <t>1/2 cup Whole Wheat Flour,1/2 cup All Purpose Flour (Maida),1/3 cup Lukewarm Water,1/2 teaspoon Active dry yeast,1/3 teaspoon Salt,1/2 tablespoon Sugar,1 tablespoon Extra Virgin Olive Oil,1 Onion - finely chopped,1 Tomato - finely chopped,1 Green Bell Pepper (Capsicum) - finely chopped,1 tablespoon Extra Virgin Olive Oil - finely chopped (optional),2 to 3 tablespoons Homemade Pizza And Pasta Sauce,Mozzarella cheese - as required,Dried oregano - as required,Red Chilli flakes - as needed</t>
  </si>
  <si>
    <t>1/2 taza de harina integral, 1/2 taza de harina para todo uso (Maida), 1/3 taza de agua tibia, 1/2 cucharadita de levadura seca activa, 1/3 cucharadita de sal, 1/2 cucharada de azúcar, 1 cucharada de aceite de oliva virgen extra, 1 cebolla finamente picada, 1 tomate finamente picado, 1 pimiento verde (Capsicum) finamente picado, 1 cucharada de aceite de oliva virgen extra finamente picado (opcional), 2 a 3 cucharadas de salsa casera para pizza y pasta, queso mozzarella (según se requiera), orégano seco (según se requiera), hojuelas de chile rojo (según se requiera)</t>
  </si>
  <si>
    <t xml:space="preserve">To begin making the Pizza Pinwheels Recipe, take warm water, oil, sugar and salt. Add yeast to it and whisk it well. Set it aside.Sieve wheat flour and maida in a mixing bowl. Now add the flour mixture to the yeast solution.Mix well and knead it to a soft pliable dough. Set aside to rest in a warm place for atleast an hour.Dust your kitchen surface and roll it to slightly thick long rectangle shape. Add pizza sauce and sprinkle oregano.Then sprinkle onion, tomato, olive, capsicum and grated cheese.Roll it tightly to a log. Cling wrap it and refrigerate it for 10 minutes so that the dough becomes stiff and you can cut them easily.Preheat oven at 180 deg C for 10 minutes. Brush the pizza roll with little oil and then brush it with oil and cut into slightly thick slices.Line the baking tray with silver foil/butter paper. Arrange the pizza slices, sprinkle cheese, oregano and chilli flakes.Bake in preheated oven at 180 deg C for 12 to 15 minutes or until the edges start to brown.Serve Pizza Pinwheels as a starter along with Pizza Margherita and Burnt Garlic Pasta With Mushroom and Toffee Banana for a perfect weekend dinner with a glass of wine.
</t>
  </si>
  <si>
    <t>Para preparar la receta de rollos de pizza, tome agua tibia, aceite, azúcar y sal. Añada la levadura y bata bien. Reserve. Tamice la harina de trigo y la maida en un tazón. Añada la mezcla de harina a la levadura. Mezcle bien y amase hasta obtener una masa suave y flexible. Deje reposar en un lugar cálido durante al menos una hora. Espolvoree la superficie de la cocina y extiéndala hasta formar un rectángulo largo y ligeramente grueso. Agregue la salsa para pizza y espolvoree orégano. Luego, espolvoree cebolla, tomate, aceitunas, pimiento y queso rallado. Enróllela firmemente hasta formar un cilindro. Envuélvala en film transparente y refrigérela durante 10 minutos para que la masa se endurezca y pueda cortarla fácilmente. Precaliente el horno a 180 °C durante 10 minutos. Unte el rollo de pizza con un poco de aceite y luego córtelo en rebanadas ligeramente gruesas. Cubra la bandeja para hornear con papel de aluminio o papel manteca. Coloca las rebanadas de pizza, espolvorea con queso, orégano y hojuelas de chile. Hornea en horno precalentado a 180 °C durante 12 a 15 minutos o hasta que los bordes comiencen a dorarse. Sirve los Pizza Pinwheels como entrante junto con la Pizza Margherita y la Pasta con Ajo Quemado, Champiñones y Plátano Caramelizado para una cena de fin de semana perfecta con una copa de vino.</t>
  </si>
  <si>
    <t>Pour préparer la recette des roulés à pizza, prenez de l'eau tiède, de l'huile, du sucre et du sel. Ajoutez la levure et fouettez bien. Réservez. Tamisez la farine de blé et la mayonnaise dans un saladier. Ajoutez ensuite le mélange de farine à la levure. Mélangez bien et pétrissez jusqu'à obtenir une pâte souple et malléable. Laissez reposer dans un endroit chaud pendant au moins une heure. Saupoudrez votre plan de travail et étalez-le au rouleau pour obtenir une forme rectangulaire légèrement épaisse. Ajoutez la sauce à pizza et saupoudrez d'origan. Parsemez ensuite d'oignon, de tomate, d'olive, de poivron et de fromage râpé. Roulez-le en serrant bien pour former un boudin. Filmez-le et placez-le au réfrigérateur pendant 10 minutes afin que la pâte devienne ferme et que vous puissiez le découper facilement. Préchauffez le four à 180 °C pendant 10 minutes. Badigeonnez le rouleau à pizza d'un peu d'huile, puis d'huile et coupez-le en tranches légèrement épaisses. Recouvrez la plaque de cuisson de papier aluminium ou de papier sulfurisé. Disposez les tranches de pizza, saupoudrez de fromage, d'origan et de flocons de piment. Faites cuire au four préchauffé à 180 °C pendant 12 à 15 minutes ou jusqu'à ce que les bords commencent à dorer. Servez les rouleaux de pizza en entrée avec la pizza Margherita et les pâtes à l'ail brûlé aux champignons et à la banane au caramel pour un dîner de week-end parfait avec un verre de vin.</t>
  </si>
  <si>
    <t>https://www.archanaskitchen.com/pizza-pinwheels-recipe</t>
  </si>
  <si>
    <t>Homemade Chocolate Mousse With Pineapple Recipe</t>
  </si>
  <si>
    <t>Hausgemachtes Schokoladenmousse mit Ananas-Rezept</t>
  </si>
  <si>
    <t>Recette de mousse au chocolat maison à l'ananas</t>
  </si>
  <si>
    <t>Receta casera de mousse de chocolate y piña</t>
  </si>
  <si>
    <t>200 grammes de chocolat noir finement haché, 3 blancs d'œufs, 4 jaunes d'œufs, 1 tasse de crème double divisée en deux moitiés, 1/4 tasse de sucre en poudre, ananas - tranches d'ananas Del Monte</t>
  </si>
  <si>
    <t>200 grams Dark chocolate - finely chopped,3 Egg white,4 Egg yolks,1 cup Double Cream - divided into two halves,1/4 cup Caster Sugar,Pineapple - Del Monte Pineapple Slices</t>
  </si>
  <si>
    <t>200 gramos de chocolate negro - finamente picado, 3 claras de huevo, 4 yemas de huevo, 1 taza de crema doble - dividida en dos mitades, 1/4 taza de azúcar extrafino, piña - Del Monte Pineapple Slices</t>
  </si>
  <si>
    <t xml:space="preserve">To begin making the Homemade Chocolate Mousse With Pineapple Recipe, first get all the ingredients ready and keep aside.Separate the yolks and whites and keep them in clean separate bowls.Using a stand mixer or a hand mixer with whisk attachment, beat 1/2 cup of cream until you get stiff peaks. Cover the chill the whipped cream in the refrigerator until ready to use.Fill a saucepan with water only 1/4 inch above its base and bring it to simmer.Combine the egg yolks and sugar in mixing bowl and place it over a simmering water in saucepan. Take care the bowl of eggs does not touch the water. Using a whisk, keep whisking to cook the egg yolks until it is light in color, fluffy and looks almost doubled in volume. Once you get that consistency, immediately remove eggs from the heat. Keep aside.Keep the saucepan that has water in simmering heat, as we will now melt the chocolate. Place the chocolate in a bowl and place it over the simmering pan and melt the chocolate until smooth and creamy. Remove the chocolate from the heat and keep aside.The final step is to whisk the egg whites until they form stiff peaks. In a large mixing bowl, add the egg whites and using a clean dry whisk, beat the egg whites until light, fluffy and have formed white stiff peaks. Do not over beat.Gradually to the egg white mixture, fold in the egg yolks and the chocolate mixture alternatively and finally fold in the whipped cream to complete the mousse.Arrange 6 to 8 small juice glasses. Place a spoonful of chopped pineapple at the bottom of each glass. Top it with the Chocolate Mousse Mixture and then set it to firm in the refrigerator for at least 8 hours.Once the Mousse is set and when you are ready to serve, top it with the remaining chopped pineapple and serve. You can optionally top it with whipped cream or mint sprigs and serve.Serve the Homemade Chocolate Mousse With Pineapple as a dessert after a meal of Roasted Vegetable Lasagna Recipe, Fizzy Pomegranate Mint Mocktail Recipe. 
</t>
  </si>
  <si>
    <t>Para comenzar a hacer la receta de mousse de chocolate casero con piña, primero prepare todos los ingredientes y manténgalos a un lado. Separe las yemas de las claras y guárdelas en recipientes limpios y separados. Con una batidora de pedestal o una batidora de mano con accesorio de batidor, bata 1/2 taza de crema hasta obtener picos rígidos. Cubra y enfríe la crema batida en el refrigerador hasta que esté lista para usar. Llene una cacerola con agua solo 1/4 de pulgada por encima de su base y llévela a fuego lento. Combine las yemas de huevo y el azúcar en un tazón y colóquelo sobre una cacerola con agua hirviendo a fuego lento. Tenga cuidado de que el tazón de huevos no toque el agua. Con un batidor, siga batiendo para cocinar las yemas de huevo hasta que tengan un color claro, estén esponjosas y parezcan casi el doble de volumen. Una vez que obtenga esa consistencia, retire inmediatamente los huevos del fuego. Manténgalo a un lado. Mantenga la cacerola que tiene agua a fuego lento, ya que ahora derretiremos el chocolate. Coloca el chocolate en un tazón y ponlo sobre una cacerola a fuego lento para derretirlo hasta que esté suave y cremoso. Retira el chocolate del fuego y reserva. El paso final es batir las claras de huevo a punto de nieve. En un tazón grande, agrega las claras de huevo y, con un batidor limpio y seco, bate las claras hasta que estén ligeras, esponjosas y hayan formado picos blancos y firmes. No batas demasiado. Poco a poco, incorpora las yemas de huevo y la mezcla de chocolate, alternando, y finalmente incorpora la crema batida para completar la mousse. Coloca de 6 a 8 vasos pequeños para jugo. Coloca una cucharada de piña picada en el fondo de cada vaso. Cúbrelo con la mezcla de mousse de chocolate y luego déjalo reposar en el refrigerador durante al menos 8 horas. Una vez que la mousse esté cuajada y cuando esté lista para servir, cúbrela con la piña picada restante y sírvela. Opcionalmente, puedes cubrirlo con crema batida o ramitas de menta y servir. Sirve el Mousse de Chocolate Casero con Piña como postre después de una comida con Receta de Lasaña de Verduras Asadas o Receta de Cóctel Sin Alcohol con Menta y Granada.</t>
  </si>
  <si>
    <t>Pour commencer à préparer la recette de mousse au chocolat maison à l'ananas, préparez d'abord tous les ingrédients et réservez-les. Séparez les jaunes et les blancs et conservez-les dans des bols propres séparés. À l'aide d'un batteur sur socle ou d'un batteur à main avec fouet, battez 1/2 tasse de crème jusqu'à obtenir des pics fermes. Couvrez et laissez refroidir la crème fouettée au réfrigérateur jusqu'à ce que vous soyez prêt à l'utiliser. Remplissez une casserole d'eau à seulement 1/4 de pouce au-dessus de sa base et portez à frémissement. Mélangez les jaunes d'œufs et le sucre dans un bol à mélanger et placez-le au-dessus d'une eau frémissante dans une casserole. Veillez à ce que le bol d'œufs ne touche pas l'eau. À l'aide d'un fouet, continuez à fouetter pour cuire les jaunes d'œufs jusqu'à ce qu'ils soient de couleur claire, mousseux et semblent presque doubler de volume. Une fois cette consistance obtenue, retirez immédiatement les œufs du feu. Réservez. Gardez la casserole contenant l'eau à feu frémissant, car nous allons maintenant faire fondre le chocolat. Placez le chocolat dans un bol, placez-le sur une casserole frémissante et faites-le fondre jusqu'à obtenir une consistance lisse et crémeuse. Retirez le chocolat du feu et réservez. Enfin, montez les blancs en neige. Dans un grand saladier, ajoutez les blancs et, à l'aide d'un fouet propre et sec, battez-les jusqu'à ce qu'ils soient légers et mousseux. Ne les battez pas trop fort. Incorporez progressivement les jaunes d'œufs et le mélange chocolaté en alternance, puis la crème fouettée pour former la mousse. Disposez 6 à 8 petits verres à jus. Déposez une cuillerée d'ananas haché au fond de chaque verre. Garnissez de préparation pour mousse au chocolat et laissez reposer au réfrigérateur pendant au moins 8 heures. Une fois la mousse prise, garnissez-la du reste d'ananas haché et servez. Vous pouvez éventuellement le garnir de crème fouettée ou de brins de menthe et servir. Servez la mousse au chocolat maison à l'ananas en dessert après un repas composé de lasagnes aux légumes rôtis ou de cocktails sans alcool pétillants à la grenade et à la menthe.</t>
  </si>
  <si>
    <t>https://www.archanaskitchen.com/homemade-chocolate-mousse-with-pineapple-recipe</t>
  </si>
  <si>
    <t>Garlic Bread With Herb Butter Recipe</t>
  </si>
  <si>
    <t>Knoblauchbrot mit Kräuterbutter Rezept</t>
  </si>
  <si>
    <t>Recette de pain à l'ail et beurre aux herbes</t>
  </si>
  <si>
    <t>Receta de pan de ajo y mantequilla de hierbas</t>
  </si>
  <si>
    <t>1 pain français, 3 gousses d'ail finement hachées, beurre aux herbes selon les besoins</t>
  </si>
  <si>
    <t>1 French Loaf,3 cloves Garlic - finely minced,Herb Butter - as required</t>
  </si>
  <si>
    <t>1 pan francés, 3 dientes de ajo finamente picados, mantequilla de hierbas (según se requiera)</t>
  </si>
  <si>
    <t xml:space="preserve">To begin making the Garlic Bread With Herb Butter Recipe, first get herb butter ready.Preheat the oven to 200 C. Cut the french loaf into 2 inch size slices and place it on a baking sheet with the open side facing up.Soften the herbed butter and add the minced garlic to the butter. Spread generous portion of butter on the bread slices and toast it in the oven for a few minutes until you notice the bread getting crusty. Once the bread is crusty remove from the oven and serve. Serve the Garlic Bread With Herb Butter with Minestrone Soup during a weeknight dinner. Or serve with Grilled Vegetarian Moussaka Recipe With Soy Granules.
</t>
  </si>
  <si>
    <t>Para empezar a preparar la receta de pan de ajo con mantequilla de hierbas, primero prepare la mantequilla de hierbas. Precaliente el horno a 200 °C. Corte el pan francés en rebanadas de 5 cm y colóquelas en una bandeja para hornear con la parte abierta hacia arriba. Ablande la mantequilla con hierbas y añada el ajo picado. Unte una porción generosa de mantequilla en las rebanadas de pan y tuéstelas en el horno durante unos minutos hasta que note que el pan se vuelve crujiente. Una vez que el pan esté crujiente, sáquelo del horno y sirva. Sirva el pan de ajo con mantequilla de hierbas con sopa minestrone durante una cena entre semana. O sirva con la receta de moussaka vegetariana a la parrilla con gránulos de soja.</t>
  </si>
  <si>
    <t>Pour commencer à préparer la recette de pain à l'ail au beurre aux herbes, préparez d'abord le beurre aux herbes. Préchauffez le four à 200 °C. Coupez le pain français en tranches de 5 cm et placez-le sur une plaque de cuisson, côté ouvert vers le haut. Ramollissez le beurre aux herbes et ajoutez-y l'ail émincé. Étalez une généreuse portion de beurre sur les tranches de pain et faites-les griller au four pendant quelques minutes jusqu'à ce que le pain devienne croustillant. Une fois le pain croustillant, retirez-le du four et servez. Servez le pain à l'ail au beurre aux herbes avec une soupe minestrone lors d'un dîner de semaine. Ou servez-le avec une recette de moussaka végétarienne grillée aux granulés de soja.</t>
  </si>
  <si>
    <t>https://www.archanaskitchen.com/garlic-bread-with-herb-butter-recipe</t>
  </si>
  <si>
    <t>Cheesy Bread Pizza Recipe With Roasted Veggies</t>
  </si>
  <si>
    <t>Rezept für Käsebrotpizza mit geröstetem Gemüse</t>
  </si>
  <si>
    <t>Recette de pizza au pain au fromage et aux légumes rôtis</t>
  </si>
  <si>
    <t>Receta de pizza de pan con queso y verduras asadas</t>
  </si>
  <si>
    <t>4 pains paninis coupés en deux, 2 cuillères à soupe de beurre, 1/2 tasse de sauce pour pizza et pâtes maison, 1/2 tasse de mayonnaise à l'ail et au fromage Del Monte, 1 oignon finement tranché, 1/2 tasse de brocoli coupé en petits bouquets, 1 poivron jaune finement tranché, 1 carotte finement tranchée, huile d'olive extra vierge pour la cuisson, sel et poivre au goût</t>
  </si>
  <si>
    <t>4 Panini Bread - slit into half,2 tablespoons Butter,1/2 cup Homemade Pizza And Pasta Sauce,1/2 cup Del Monte Cheesy Garlic Mayo,1 Onion - thinly sliced,1/2 cup Broccoli - cut into small florets,1 Yellow Bell Pepper (Capsicum) - thinly sliced,1 Carrot (Gajjar) - thinly sliced,Extra Virgin Olive Oil - for cooking,Salt and Pepper - to taste</t>
  </si>
  <si>
    <t>4 panes panini cortados por la mitad, 2 cucharadas de mantequilla, 1/2 taza de salsa casera para pizza y pasta, 1/2 taza de mayonesa de ajo y queso Del Monte, 1 cebolla cortada en rodajas finas, 1/2 taza de brócoli cortado en floretes pequeños, 1 pimiento amarillo (Capsicum) cortado en rodajas finas, 1 zanahoria (Gajjar) cortada en rodajas finas, aceite de oliva virgen extra para cocinar, sal y pimienta al gusto</t>
  </si>
  <si>
    <t xml:space="preserve">To begin making the Cheesy Bread Pizza Recipe, preheat the oven to 180 degree Celsius for 15 minutes.Meanwhile, heat a sauce pan with oil and roast the onions, broccoli, carrot and bell peppers separately one by one until they are soft. Ensure the color of the vegetables remain intact. Add salt and pepper for each stage and roast them till it is soft.Smear butter on each panini bread slices evenly, then smear the Del Monte Pizza and Pasta sauce, add a dollop of the mayo and top it up with the roasted vegetables.Place these Cheesy Bread Pizzas on to a baking sheet and bake it in the oven for 10 minutes and serve.Serve the Cheesy Bread Pizza Recipe as a evening snack for kids during the summers along with a glass of Oreo Milkshake Recipe.You can also serve Cheesy Bread Pizza Recipe With Roasted Veggies along with Indian Style Masala Macaroni and Vanilla Choco Mousse Recipe With Chcocolate Chips for your simple and tasty dinner.
</t>
  </si>
  <si>
    <t>Para empezar a preparar la receta de pizza de pan con queso, precalienta el horno a 180 °C durante 15 minutos. Mientras tanto, calienta una sartén con aceite y asa la cebolla, el brócoli, la zanahoria y los pimientos morrones, uno por uno, hasta que estén tiernos. Asegúrate de que el color de las verduras se mantenga intacto. Agrega sal y pimienta en cada etapa y ásalas hasta que estén blandas. Unta mantequilla uniformemente en cada rebanada de panini, luego unta la salsa para pizza y pasta Del Monte, agrega una cucharada de mayonesa y cúbrela con las verduras asadas. Coloca estas pizzas de pan con queso en una bandeja para hornear y hornéalas durante 10 minutos y sirve. Sirve la receta de pizza de pan con queso como una merienda para los niños durante el verano junto con un vaso de batido de Oreo. También puedes servir la receta de pizza de pan con queso con verduras asadas junto con macarrones masala al estilo indio y la receta de mousse de chocolate y vainilla con chispas de chocolate para una cena sencilla y sabrosa.</t>
  </si>
  <si>
    <t>Pour préparer la pizza au pain au fromage, préchauffez le four à 180 °C pendant 15 minutes. Pendant ce temps, faites chauffer une poêle avec de l'huile et faites revenir les oignons, le brocoli, la carotte et les poivrons séparément, un par un, jusqu'à ce qu'ils soient tendres. Veillez à ce que la couleur des légumes soit intacte. Ajoutez du sel et du poivre à chaque étape et faites-les rôtir jusqu'à ce qu'ils soient tendres. Étalez uniformément du beurre sur chaque tranche de pain panini, puis étalez la sauce Del Monte Pizza and Pasta, ajoutez une cuillerée de mayonnaise et garnissez de légumes rôtis. Placez ces pizzas au pain au fromage sur une plaque à pâtisserie et faites-les cuire au four pendant 10 minutes, puis servez. Servez la recette de pizza au pain au fromage comme collation du soir pour les enfants pendant l'été, accompagnée d'un verre de recette de milkshake Oreo. Vous pouvez également servir la recette de pizza au pain au fromage avec des légumes rôtis avec des macaronis Masala à l'indienne et une recette de mousse au chocolat à la vanille avec des pépites de chocolat pour votre dîner simple et savoureux.</t>
  </si>
  <si>
    <t>https://www.archanaskitchen.com/cheesy-bread-pizza-recipe-with-roasted-veggies-kids-recipes-made-with-del-monte</t>
  </si>
  <si>
    <t>Kiwi Popsicles Recipe - Without Sugar</t>
  </si>
  <si>
    <t>Kiwi-Eis am Stiel Rezept – Ohne Zucker</t>
  </si>
  <si>
    <t>Recette de glaces au kiwi – Sans sucre</t>
  </si>
  <si>
    <t>Receta de helado de kiwi sin azúcar</t>
  </si>
  <si>
    <t>100 grammes de yaourt grec, 3 kiwis, 2 cuillères à soupe de miel</t>
  </si>
  <si>
    <t>100 grams Hung Curd (Greek Yogurt),3 Kiwi,2 tablespoons Honey</t>
  </si>
  <si>
    <t>100 gramos de cuajada colgada (yogur griego), 3 kiwis, 2 cucharadas de miel</t>
  </si>
  <si>
    <t xml:space="preserve">To begin making the Kiwi Popsicles recipe, first peel the kiwis and cut them into round slices.Next in a mixer grinder jar and add Greek yogurt, two kiwis, honey and blend everything together to form a thick puree.  Adjust the sweetness to your liking. Pour the kiwi Popsicle mixture into the Popsicle molds and put the remaining kiwi slices in each of the mold. Freeze these Popsicle overnight.Once you take out frozen Popsicle from fridge, run Popsicle molds under water to de mold the kiwi Popsicle.Serve Kiwi Popsicle as a dessert after your delicious Italian meal of Aglio Olio Pasta and Perfect Gooey Mozzarella Garlic Bread Recipe.
</t>
  </si>
  <si>
    <t>Para empezar a hacer la receta de paletas de kiwi, primero pela los kiwis y córtalos en rodajas redondas. Luego, en el vaso de una licuadora, agrega yogur griego, dos kiwis, miel y mezcla todo hasta formar un puré espeso. Ajusta el dulzor a tu gusto. Vierte la mezcla de paleta de kiwi en los moldes para paletas y coloca las rodajas de kiwi restantes en cada uno de los moldes. Congela estas paletas durante la noche. Una vez que saques la paleta congelada del refrigerador, pasa los moldes para paletas por agua para desmoldar la paleta de kiwi. Sirve la paleta de kiwi como postre después de tu deliciosa comida italiana de pasta Aglio Olio y la receta perfecta de pan de ajo con mozzarella pegajoso.</t>
  </si>
  <si>
    <t>Pour commencer à préparer la recette des glaces au kiwi, épluchez d'abord les kiwis et coupez-les en rondelles. Ensuite, dans un mixeur-broyeur, ajoutez le yaourt grec, deux kiwis, le miel et mixez le tout pour former une purée épaisse. Ajustez la douceur à votre goût. Versez le mélange de glaces au kiwi dans les moules à glaces et mettez les tranches de kiwi restantes dans chacun des moules. Congelez ces glaces toute la nuit. Une fois que vous avez sorti les glaces congelées du réfrigérateur, passez les moules à glaces sous l'eau pour démouler les glaces au kiwi. Servez les glaces au kiwi en dessert après votre délicieux repas italien composé de pâtes Aglio Olio et de la recette parfaite de pain à l'ail et à la mozzarella.</t>
  </si>
  <si>
    <t>http://www.archanaskitchen.com/kiwi-popsicles-recipe-without-sugar</t>
  </si>
  <si>
    <t>Deviled Eggs Recipe With Mayo And Mustard Recipe</t>
  </si>
  <si>
    <t>Rezept für gefüllte Eier mit Mayonnaise und Senf</t>
  </si>
  <si>
    <t>Recette d'œufs farcis à la mayonnaise et à la moutarde</t>
  </si>
  <si>
    <t>Receta de huevos rellenos con mayonesa y mostaza</t>
  </si>
  <si>
    <t>5 œufs entiers - durs, 1 cuillère à soupe de moutarde de Dijon, 3 cuillères à soupe de mayonnaise classique (avec œuf), 1 cuillère à soupe de feuilles d'aneth - finement hachées, 1 cuillère à café de poivre de Cayenne, sel - au goût</t>
  </si>
  <si>
    <t>5 Whole Eggs - boiled,1 tablespoon Dijon Mustard,3 tablespoons Classic Mayonnaise (With Egg),1 tablespoon Dill leaves - finely chopped,1 teaspoon Cayenne Pepper,Salt - to taste</t>
  </si>
  <si>
    <t>5 huevos enteros - cocidos, 1 cucharada de mostaza Dijon, 3 cucharadas de mayonesa clásica (con huevo), 1 cucharada de hojas de eneldo - finamente picadas, 1 cucharadita de pimienta de cayena, sal - al gusto</t>
  </si>
  <si>
    <t xml:space="preserve">To begin making Deviled Eggs Recipe with Mayo and Mustard recipe, firstly boil the eggs. In a pot, add water enough to submerge the eggs completely. For the eggs to get to a hard boiled stage, it'll take up to 10 minutes in boiling water. Turn off the flameRemove the boiled eggs from the hot water and put it in a bowl of cold water or in a bowl of ice cubes. This will help to stop the cooking process and remove the egg shells easily. De shell the eggs and cut them in half. Scoop out the yolks and put them in a bowl. Into the bowl containing the yolks, add the dijon mustard, mayonnaise, dill leaves and salt. Mix until it gets to a creamy texture. Taste for seasoning. Add this Mayo Mustard Mixture into a piping bag. If you don't have a piping bag, add this to a thick plastic cover (ones that you get your groceries in), cut off the edge. Pipe this creamy Mayo Mustard Yolk mixture into the Egg White halves. Once done, refrigerate the Deviled Eggs Recipe for 30 minutes. Before serving the Deviled Eggs Recipe take them out and garnish with cayenne pepper and freshly chopped dill leaves. Serve these delicious Deviled Eggs with Mayo and Mustard as a starter at your parties along with other party starters such as KFC Style Crispy Chicken Popcorn Recipe, Peri Peri Fish Fingers Recipe and Cauliflower Croquettes RecipeYou can also eat Deviled Eggs with Mayo and Mustard as an evening snack along with a hot cup of Masala Chai.
</t>
  </si>
  <si>
    <t>Para comenzar a hacer la Receta de Huevos Rellenos con Mayonesa y Mostaza, primero hierva los huevos. En una olla, agregue suficiente agua para sumergir los huevos completamente. Para que los huevos lleguen a una etapa dura, tomará hasta 10 minutos en agua hirviendo. Apague el fuego Retire los huevos cocidos del agua caliente y póngalos en un recipiente con agua fría o en un recipiente con cubitos de hielo. Esto ayudará a detener el proceso de cocción y quitar las cáscaras de huevo fácilmente. Quite la cáscara de los huevos y córtelos por la mitad. Saque las yemas y colóquelas en un tazón. En el tazón que contiene las yemas, agregue la mostaza Dijon, la mayonesa, las hojas de eneldo y la sal. Mezcle hasta que obtenga una textura cremosa. Pruebe para sazonar. Agregue esta mezcla de mayonesa y mostaza a una manga pastelera. Si no tienes una manga pastelera, añade esto a una cubierta de plástico gruesa (las que usas para comprar alimentos), corta el borde. Vierte esta cremosa mezcla de yemas de mayonesa y mostaza en las mitades de claras de huevo. Una vez listo, refrigera la Receta de Huevos Rellenos durante 30 minutos. Antes de servir la Receta de Huevos Rellenos, sácalos y decora con pimienta de cayena y hojas de eneldo recién picadas. Sirve estos deliciosos Huevos Rellenos con Mayonesa y Mostaza como entrante en tus fiestas junto con otros entrantes para fiestas como la Receta de Palomitas de Maíz con Pollo Crujiente al Estilo KFC, la Receta de Dedos de Pescado Peri Peri y la Receta de Croquetas de Coliflor. También puedes comer Huevos Rellenos con Mayonesa y Mostaza como un refrigerio por la noche junto con una taza caliente de Masala Chai.</t>
  </si>
  <si>
    <t>Pour commencer à préparer la recette d'œufs mimosa avec mayonnaise et moutarde, faites d'abord bouillir les œufs. Dans une casserole, ajoutez suffisamment d'eau pour submerger complètement les œufs. Pour que les œufs soient durs, il faudra jusqu'à 10 minutes dans l'eau bouillante. Éteignez le feu. Retirez les œufs durs de l'eau chaude et mettez-les dans un bol d'eau froide ou dans un bol de glaçons. Cela aidera à arrêter le processus de cuisson et à retirer facilement les coquilles d'œufs. Décortiquez les œufs et coupez-les en deux. Retirez les jaunes et mettez-les dans un bol. Dans le bol contenant les jaunes, ajoutez la moutarde de Dijon, la mayonnaise, les feuilles d'aneth et le sel. Mélangez jusqu'à obtenir une texture crémeuse. Goûtez pour l'assaisonnement. Ajoutez ce mélange de mayonnaise et de moutarde dans une poche à douille. Si vous n'avez pas de poche à douille, ajoutez-la à un couvercle en plastique épais (ceux dans lesquels vous obtenez vos courses), coupez le bord. Versez ce mélange crémeux de jaune d'œuf à la moutarde et à la mayonnaise dans les moitiés de blancs d'œufs. Une fois terminé, réfrigérez la recette d'œufs mimosa pendant 30 minutes. Avant de servir, sortez-les et garnissez-les de poivre de Cayenne et de feuilles d'aneth fraîchement hachées. Servez ces délicieux œufs mimosa à la mayonnaise et à la moutarde en entrée lors de vos fêtes, accompagnés d'autres entrées telles que la recette de pop-corn au poulet croustillant façon KFC, la recette de bâtonnets de poisson Peri-Peri et la recette de croquettes de chou-fleur. Vous pouvez également déguster des œufs mimosa à la mayonnaise et à la moutarde en collation le soir, accompagnés d'une tasse de chai masala chaud.</t>
  </si>
  <si>
    <t>http://www.archanaskitchen.com/deviled-eggs-recipe-with-mayo-and-mustard-recipe</t>
  </si>
  <si>
    <t>Strawberry Compote Galette Recipe</t>
  </si>
  <si>
    <t>Rezept für Erdbeerkompott-Galette</t>
  </si>
  <si>
    <t>Recette de galette à la compote de fraises</t>
  </si>
  <si>
    <t>Receta de galette de compota de fresa</t>
  </si>
  <si>
    <t>125 grammes de farine tout usage (Maida), 85 grammes de beurre (non salé) - froid et coupé en cubes, sel - une pincée, 1 cuillère à café de sucre en poudre, 2-3 cuillères à soupe d'eau - réfrigérée, 6-8 fraises - grosses, 1 cuillère à café de farine de maïs, 2 cuillères à soupe de sucre en poudre, 1/4 cuillère à café d'extrait de vanille, 1 œuf entier, 1 cuillère à café de sucre en poudre</t>
  </si>
  <si>
    <t>125 grams All Purpose Flour (Maida),85 grams Butter (unsalted) - cold and cubed,Salt - a pinch,1 teaspoon Caster Sugar,2-3 tablespoon Water - Chilled,6-8 Strawberries - large,1 teaspoon Corn flour,2 tablespoon Caster Sugar,1/4 teaspoon Vanilla Extract,1 Whole Egg,1 teaspoon Caster Sugar</t>
  </si>
  <si>
    <t>125 gramos de harina para todo uso (Maida), 85 gramos de mantequilla (sin sal) - fría y en cubos, sal - una pizca, 1 cucharadita de azúcar extrafino, 2-3 cucharadas de agua - fría, 6-8 fresas - grandes, 1 cucharadita de harina de maíz, 2 cucharadas de azúcar extrafino, 1/4 cucharadita de extracto de vainilla, 1 huevo entero, 1 cucharadita de azúcar extrafino</t>
  </si>
  <si>
    <t xml:space="preserve">To begin making Strawberry Compote Galette, we will first have to get the pie dough ready and refrigerate it for a couple of hours. In a large mixing bowl, sieve out the flour, salt and sugar. Add the cold and cubed unsalted butter into the floor. You can make this dough in the food processor as well. Work the butter into the flour with your fingers until the mixture resembles a coarse meal. When you hold the flour together, it should hold tight and when you let it loose, it will fall apart. With a knife, pastry cutter or your hands, cut the butter into the flour. The texture should be as that of coarse breadcrumbs. Don't worry if there are chunks of butter, it ll just make the pastry flakier when it bakes.Sprinkle ice water onto the flour and butter mixture. Using your hands push the dough from the sides to the middle of the bowl to form a ball that holds together. Do not knead the dough.Make sure to add little water at a time, as the heat from your hands will melt the butter and help form the dough as well. 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texture.As the dough rests, preheat oven to 200C.To make the filling:Slice the strawberries into 1/4 cm thick slices. Add the caster sugar, cornflour ,and vanilla essence into the strawberry and mix well.On a piece of parchment paper, sprinkle some flour, roll out the dough to a circle around 9 to10 inches in size and 1/4 inch thick.Add the strawberry filling in the centre, spread the filling at least 2 inches away from the edge of the dough.Fold the edges over, or you can also pleat the edges of the dough to make it decorative . Make sure fruit in the centre is still exposed.Transfer the parchment to your baking tray. Brush the beaten egg or milk over the dough.Sieve some caster sugar over the dough and fruit. Bake for 35 -45 mins at 200 C / 400 F until pastry is golden brown.Serve Strawberry Compote Galette along with Chicken Crepe Lasagne Recipe and Roasted Tomato And Pumpkin Soup Recipe to make it a beautiful Sunday lunch.
</t>
  </si>
  <si>
    <t>Para empezar a hacer la Galette de compota de fresa, primero tendremos que preparar la masa de tarta y refrigerarla durante un par de horas. En un bol grande, tamiza la harina, la sal y el azúcar. Agrega la mantequilla sin sal fría y cortada en cubos a la mezcla. También puedes hacer esta masa en el procesador de alimentos. Incorpora la mantequilla a la harina con los dedos hasta que la mezcla parezca una harina gruesa. Cuando mantienes la harina junta, debe mantenerse firme y cuando la sueltas, se deshará. Con un cuchillo, un cortador de masa o las manos, corta la mantequilla en la harina. La textura debe ser como la de pan rallado grueso. No te preocupes si hay trozos de mantequilla, solo hará que la masa sea más hojaldrada cuando se hornee. Espolvorea agua helada sobre la mezcla de harina y mantequilla. Con las manos, empuja la masa desde los lados hacia el centro del bol para formar una bola que se mantenga unida. No amases la masa. Asegúrate de agregar poca agua a la vez, ya que el calor de tus manos derretirá la mantequilla y también ayudará a formar la masa. Puedes transferir la masa de tarta a una superficie de trabajo y amasar la masa hasta que toda la harina se haya unido para formar una masa suave. Una vez hecho esto, envuelve la masa en una película adhesiva o una envoltura de plástico y refrigérala durante un par de horas. Este proceso de refrigeración ayuda a darle a la corteza de la tarta una textura hojaldrada. Mientras reposa la masa, precalienta el horno a 200 °C. Para hacer el relleno: Corta las fresas en rodajas de 1/4 cm de grosor. Añade el azúcar extrafino, la harina de maíz y la esencia de vainilla a la fresa y mezcla bien. En un trozo de papel vegetal, espolvorea un poco de harina, extiende la masa hasta formar un círculo de unos 23 a 25 cm de tamaño y 6 mm de grosor. Agrega el relleno de fresa en el centro, extiéndelo al menos a 5 cm del borde de la masa. Dobla los bordes o haz pliegues en ellos para que quede decorativo. Asegúrate de que la fruta del centro quede expuesta. Transfiere el papel vegetal a tu bandeja de horno. Pincela el huevo batido o la leche sobre la masa. Tamiza un poco de azúcar extrafino sobre la masa y la fruta. Hornea durante 35-45 minutos a 200 C / 400 F hasta que la masa esté dorada. Sirve la Galette de Compota de Fresa junto con la Receta de Lasaña de Crepes de Pollo y la Receta de Sopa de Tomate y Calabaza Asados ​​para que sea un hermoso almuerzo de domingo.</t>
  </si>
  <si>
    <t>Pour commencer à préparer la galette à la compote de fraises, nous devrons d'abord préparer la pâte à tarte et la réfrigérer pendant quelques heures. Dans un grand saladier, tamisez la farine, le sel et le sucre. Ajoutez le beurre non salé froid et coupé en dés. Vous pouvez également préparer cette pâte au robot culinaire. Travaillez le beurre dans la farine avec vos doigts jusqu'à ce que le mélange ressemble à une farine grossière. Lorsque vous maintenez la farine ensemble, elle doit tenir fermement et lorsque vous la relâchez, elle se défait. Avec un couteau, un coupe-pâte ou vos mains, coupez le beurre dans la farine. La texture doit être celle de la chapelure grossière. Ne vous inquiétez pas s'il y a des morceaux de beurre, cela rendra simplement la pâte plus feuilletée à la cuisson. Saupoudrez d'eau glacée sur le mélange de farine et de beurre. À l'aide de vos mains, poussez la pâte des côtés vers le milieu du bol pour former une boule qui se tient ensemble. Ne pétrissez pas la pâte. Assurez-vous d'ajouter peu d'eau à la fois, car la chaleur de vos mains fera fondre le beurre et aidera également à former la pâte. Vous pouvez transférer la pâte à tarte sur un plan de travail et pétrir la pâte jusqu'à ce que toute la farine se soit rassemblée pour former une pâte lisse. Une fois terminée, enveloppez la pâte dans un film alimentaire ou une pellicule plastique et réfrigérez-la pendant quelques heures. Ce processus de réfrigération aide à donner à la croûte de la tarte une texture feuilletée. Pendant que la pâte repose, préchauffez le four à 200 °C. Pour faire la garniture : Coupez les fraises en tranches de 1/4 cm d'épaisseur. Ajoutez le sucre semoule, la fécule de maïs et l'essence de vanille dans la fraise et mélangez bien. Sur une feuille de papier sulfurisé, saupoudrez un peu de farine, étalez la pâte en un cercle d'environ 23 à 25 cm de taille et 6 mm d'épaisseur. Ajoutez la garniture aux fraises au centre, étalez la garniture à au moins 5 cm du bord de la pâte. Repliez les bords, ou vous pouvez également plisser les bords de la pâte pour la rendre décorative. Assurez-vous que les fruits au centre sont toujours exposés. Transférez le papier sulfurisé sur votre plaque de cuisson. Badigeonnez l'œuf battu ou le lait sur la pâte. Tamisez un peu de sucre semoule sur la pâte et les fruits. Faites cuire au four pendant 35 à 45 minutes à 200 °C / 400 °F jusqu'à ce que la pâte soit dorée. Servez la galette à la compote de fraises avec la recette de lasagnes aux crêpes au poulet et la recette de soupe aux tomates rôties et au potiron pour en faire un délicieux déjeuner du dimanche.</t>
  </si>
  <si>
    <t>https://www.archanaskitchen.com/strawberry-compote-galette-recipe</t>
  </si>
  <si>
    <t>Beetroot Soft Tart Recipe</t>
  </si>
  <si>
    <t>Rezept für weiche Rote-Bete-Tarte</t>
  </si>
  <si>
    <t>Recette de tarte moelleuse à la betterave</t>
  </si>
  <si>
    <t>Receta de pastel de remolacha suave</t>
  </si>
  <si>
    <t>500 grammes de farine tout usage (Maida), 7 grammes de levure sèche active, 1 cuillère à café de sel, 2 cuillères à café de sucre, 2 cuillères à soupe de lait en poudre, 1 tasse de lait tiède, 40 grammes de beurre, 2 betteraves rouges coupées en dés, 1 carotte (Gajjar) coupée en dés, 1 oignon finement haché, 1/4 tasse de chou (Patta Gobi/Muttaikose) finement haché, 1 poivron vert finement haché, sel - selon les besoins, 1/2 cuillère à café de poudre de piment rouge, 1 cuillère à café d'origan séché, 2 cuillères à soupe de mayonnaise Tandoori Del Monte, 1/4 tasse de mozzarella, 1 cuillère à café d'huile de tournesol, 1 cuillère à café de beurre</t>
  </si>
  <si>
    <t>500 grams All Purpose Flour (Maida),7 grams Active dry yeast,1 teaspoon Salt,2 teaspoons Sugar,2 tablespoons Milk Powder,1 cup Milk - lukewarm,40 grams Butter,2 Beetroots - cubed,1 Carrot (Gajjar) - cubed,1 Onion - finely chopped,1/4 cup Cabbage (Patta Gobi/ Muttaikose) - finely chopped,1 Green Bell Pepper (Capsicum) - finely chopped,Salt - as required,1/2 teaspoon Red Chilli powder,1 teaspoon Dried oregano,2 tablespoons Del Monte Tandoori Mayo,1/4 cup Mozzarella cheese,1 teaspoon Sunflower Oil,1 teaspoon Butter</t>
  </si>
  <si>
    <t>500 gramos de harina para todo uso (Maida), 7 gramos de levadura seca activa, 1 cucharadita de sal, 2 cucharaditas de azúcar, 2 cucharadas de leche en polvo, 1 taza de leche tibia, 40 gramos de mantequilla, 2 remolachas en cubos, 1 zanahoria (Gajjar) en cubos, 1 cebolla finamente picada, 1/4 taza de repollo (Patta Gobi/Muttaikose) finamente picado, 1 pimiento verde (Capsicum) finamente picado, sal al gusto, 1/2 cucharadita de chile rojo en polvo, 1 cucharadita de orégano seco, 2 cucharadas de mayonesa tandoori Del Monte, 1/4 taza de queso mozzarella, 1 cucharadita de aceite de girasol, 1 cucharadita de mantequilla</t>
  </si>
  <si>
    <t xml:space="preserve">To begin making the Beetroot Soft Tart recipe, preheat the oven at 180°C. Grease a tart mould with some butter and dust with some flour.Take fresh yeast in a bowl. Add sugar and 1/2 cup of warm water, mix and set aside to activate.Sieve flour in a bowl. Add salt, milk powder, and mix.Make a whole in the centre, add activated yeast and mix well.Add some warm milk and water and knead into a soft dough. Dust some flour in another bowl and transfer the dough.Cover with cling film and prove for 30 to 40 minutes. Next, chop the veggies and keep it ready.Heat a heavy bottomed pan, add oil and butter, add the veggies and saute them for 2 minutes.Add chilli powder, white pepper powder and oregano (don't add salt right now otherwise it will get soggy). Remove from heat and cool.Dust the worktop with some flour, transfer proven dough and knock back to release air.Put butter and knead into a soft dough. Dust some flour and knead again.Dust the worktop with some flour, take a medium portion of dough and roll out to make a thick sheet. Line the greased tart mould with the sheet, covering the edges as well.Apply tandoori mayo on the sheet. Now add salt to the stuffing and mix well.Put the stuffing in lined tart mould and level it out, spread some cheese over it.Dust the worktop with some flour and roll out the medium dough portion to make a thick sheet. Place the sheet on top of veggie mixture, covering it.Discard the excess dough from the mould using a knife and lightly pinch edges to seal.Set aside to prove for 30 minutes. Put the mould on a baking tray. Place the baking tray in preheated oven and bake for 15-20 minutes.Remove from oven, brush some butter on top and cool.Remove from the mould and transfer the tart onto a serving platter. Cut into wedges and serve.Serve Beetroot Soft Tart along with Low Fat Vegetable Dip with Herbs and Red Wine Sangria Cocktail for a delicious weekend dinner.
</t>
  </si>
  <si>
    <t>Para empezar a preparar la receta de la Tarta Suave de Remolacha, precalienta el horno a 180 °C. Engrasa un molde para tarta con un poco de mantequilla y espolvorea con un poco de harina. Pon la levadura fresca en un bol. Agrega el azúcar y 1/2 taza de agua tibia, mezcla y reserva para que se active. Tamiza la harina en un bol. Agrega la sal, la leche en polvo y mezcla. Haz un agujero en el centro, agrega la levadura activada y mezcla bien. Agrega un poco de leche tibia y agua y amasa hasta formar una masa suave. Espolvorea un poco de harina en otro bol y transfiere la masa. Cubre con film transparente y deja levar de 30 a 40 minutos. A continuación, pica las verduras y reserva. Calienta una sartén de fondo grueso, agrega aceite y mantequilla, agrega las verduras y saltéalas durante 2 minutos. Agrega chile en polvo, pimienta blanca en polvo y orégano (no agregues sal ahora porque se ablandará). Retirar del fuego y dejar enfriar. Espolvorear la encimera con un poco de harina, transferir la masa leudada y golpear hacia atrás para liberar el aire. Agregar mantequilla y amasar hasta obtener una masa suave. Espolvorear un poco de harina y amasar de nuevo. Espolvorear la encimera con un poco de harina, tomar una porción mediana de masa y extenderla hasta formar una lámina gruesa. Forrar el molde de tarta engrasado con la lámina, cubriendo también los bordes. Aplicar mayonesa tandoori en la lámina. Ahora agregar sal al relleno y mezclar bien. Colocar el relleno en un molde de tarta forrado y nivelarlo, untar un poco de queso por encima. Espolvorear la encimera con un poco de harina y extender la porción mediana de masa hasta formar una lámina gruesa. Colocar la lámina sobre la mezcla de verduras, cubriéndola. Desechar el exceso de masa del molde con un cuchillo y pellizcar ligeramente los bordes para sellar. Dejar reposar para que leude durante 30 minutos. Colocar el molde en una bandeja de horno. Coloque la bandeja en el horno precalentado y hornee durante 15-20 minutos. Retire del horno, unte con mantequilla y deje enfriar. Desmolde y transfiera la tarta a una fuente. Corte en gajos y sirva. Sirva la tarta suave de remolacha junto con la salsa vegetal baja en grasa con hierbas y un cóctel de sangría de vino tinto para una deliciosa cena de fin de semana.</t>
  </si>
  <si>
    <t>Pour commencer la recette de la tarte moelleuse à la betterave, préchauffez le four à 180 °C. Beurrez un moule à tarte et saupoudrez-le de farine. Mettez la levure fraîche dans un saladier. Ajoutez le sucre et 120 ml d'eau tiède, mélangez et laissez agir. Tamisez la farine dans un saladier. Ajoutez le sel et le lait en poudre, puis mélangez. Faites un trou au centre, ajoutez la levure activée et mélangez bien. Ajoutez un peu de lait chaud et d'eau, puis pétrissez jusqu'à obtenir une pâte souple. Saupoudrez un peu de farine dans un autre saladier et transvasez la pâte. Couvrez d'un film alimentaire et laissez lever 30 à 40 minutes. Ensuite, coupez les légumes en dés et réservez. Faites chauffer une poêle à fond épais, ajoutez l'huile et le beurre, ajoutez les légumes et faites-les revenir 2 minutes. Ajoutez le piment en poudre, le poivre blanc en poudre et l'origan (ne salez pas tout de suite, sinon la pâte deviendra molle). Retirez du feu et laissez refroidir. Farinez le plan de travail, transvasez la pâte levée et secouez pour chasser l'air. Beurrez et pétrissez jusqu'à obtenir une pâte souple. Saupoudrez de farine et pétrissez à nouveau. Farinez le plan de travail, prenez une portion moyenne de pâte et étalez-la pour obtenir une feuille épaisse. Chemisez le moule à tarte beurré avec la feuille, en recouvrant également les bords. Appliquez de la mayonnaise tandoori sur la feuille. Salez la farce et mélangez bien. Versez la farce dans le moule à tarte chemisé, égalisez-le et étalez un peu de fromage dessus. Saupoudrez le plan de travail de farine et étalez la portion moyenne de pâte pour obtenir une feuille épaisse. Placez la feuille sur le mélange de légumes, en la recouvrant. Retirez l'excédent de pâte du moule à l'aide d'un couteau et pincez légèrement les bords pour sceller. Laissez lever 30 minutes. Placez le moule sur une plaque de cuisson. Placez la plaque dans un four préchauffé et faites cuire 15 à 20 minutes. Retirez du four, badigeonnez de beurre et laissez refroidir. Démoulez et transférez la tarte sur un plat de service. Coupez en quartiers et servez. Servez la tarte moelleuse à la betterave accompagnée d'une trempette de légumes faible en gras aux herbes et d'un cocktail de sangria au vin rouge pour un délicieux dîner de week-end.</t>
  </si>
  <si>
    <t>http://www.archanaskitchen.com/beetroot-soft-tart-recipe</t>
  </si>
  <si>
    <t>Delicious Strawberry Tea Cake Recipe</t>
  </si>
  <si>
    <t>Leckeres Erdbeer-Teekuchen-Rezept</t>
  </si>
  <si>
    <t>Délicieuse recette de gâteau au thé aux fraises</t>
  </si>
  <si>
    <t>Deliciosa receta de pastel de té de fresa</t>
  </si>
  <si>
    <t>80 grammes de beurre ramolli, 3/4 tasse de cassonade (sucre Demerara) - (plus pour saupoudrer), 3/4 tasse de farine de blé entier, 3/4 tasse de farine tout usage (Maida), 1-1/2 cuillère à café de levure chimique, 1 œuf entier - ou substitut d'œuf à base de lin, 1/2 tasse de lait, 1 cuillère à café d'extrait de vanille, 450 grammes de fraises - coupées en deux</t>
  </si>
  <si>
    <t>80 grams Butter - softened,3/4 cup Brown Sugar (Demerara Sugar) - (more for sprinkling),3/4 cup Whole Wheat Flour,3/4 cup All Purpose Flour (Maida),1-1/2 teaspoon Baking powder,1 Whole Egg - or flaxmeal egg replacer,1/2 cup Milk,1 teaspoon Vanilla Extract,450 grams Strawberries - halved</t>
  </si>
  <si>
    <t>80 gramos de mantequilla - ablandada, 3/4 taza de azúcar morena (azúcar Demerara) - (más para espolvorear), 3/4 taza de harina integral, 3/4 taza de harina para todo uso (Maida), 1-1/2 cucharadita de polvo para hornear, 1 huevo entero - o sustituto de huevo de harina de lino, 1/2 taza de leche, 1 cucharadita de extracto de vainilla, 450 gramos de fresas - cortadas por la mitad</t>
  </si>
  <si>
    <t xml:space="preserve">To begin making the 50% Whole-Wheat Strawberry Tea Cake Recipe, we will first begin by pre-heating the oven at 180° C and preparing the baking dish by buttering and flouring it (this cake rises a fair bit, so ensure the pan is deep enough)In a small mixing bowl, sift together the flours and the baking powderUsing a stand mixer or hand mixer, beat the softened butter and the sugar until light and fluffy. Gradually break in the egg or flaxmeal egg replacer, add milk and vanilla extract and beat it into the butter-sugar mixture until just combinedGradually add the flour mixture and beat until all the flour is well combined to make a smooth cake batter. Take care not to over mix.Spoon the batter into the prepared baking tin and place the halved strawberries on top with the cut side down in a single layer. Sprinkle the 2 teaspoons of sugar and bake the Strawberry Cake for about 30 minutes or until the cake is golden brown and a toothpick inserted in the center comes out clean (however, molten strawberries may be gooey).Once the cake is baked, remove from the oven and allow it to rest for about 10 minutes before you are ready to serve them.Serve the Whole-Wheat Strawberry Tea Cake Recipe for breakfast or as a tea time snack or even pack them into your kids lunch boxes too.
</t>
  </si>
  <si>
    <t>Para preparar la receta de pastel de té de fresa con trigo integral al 50%, primero precalentaremos el horno a 180 °C y prepararemos el molde enmantecado y enharinado (este pastel crece bastante, así que asegúrese de que el molde sea lo suficientemente profundo). En un tazón pequeño, tamice las harinas y la levadura en polvo. Con una batidora de pedestal o de mano, bata la mantequilla ablandada y el azúcar hasta que la mezcla esté ligera y esponjosa. Poco a poco, incorpore el huevo o el sustituto de huevo de harina de lino, agregue la leche y el extracto de vainilla y bata todo junto con la mezcla de mantequilla y azúcar hasta que esté bien integrado. Poco a poco, agregue la mezcla de harina y bata hasta que toda la harina esté bien integrada para obtener una masa suave. Tenga cuidado de no mezclar demasiado. Vierta la masa en el molde preparado y coloque las fresas cortadas por la mitad encima, con el lado cortado hacia abajo, en una sola capa. Espolvorea las 2 cucharaditas de azúcar y hornea el pastel de fresa durante unos 30 minutos o hasta que esté dorado y al insertar un palillo en el centro, este salga limpio (sin embargo, las fresas derretidas pueden quedar pegajosas). Una vez horneado el pastel, sácalo del horno y déjalo reposar unos 10 minutos antes de servirlo. Sirve la receta de pastel de té de fresa integral para el desayuno, como merienda o incluso llévalo a la lonchera de tus hijos.</t>
  </si>
  <si>
    <t>Pour commencer à préparer le gâteau au thé aux fraises 50 % blé complet, nous allons d'abord préchauffer le four à 180 °C et préparer le plat de cuisson en le beurrant et en le farinant (ce gâteau lève un peu, assurez-vous donc que le moule soit suffisamment profond). Dans un petit saladier, tamisez les farines et la levure chimique. À l'aide d'un batteur sur socle ou d'un batteur à main, battez le beurre ramolli et le sucre jusqu'à obtenir une consistance légère et mousseuse. Incorporez progressivement l'œuf ou le substitut d'œuf à base de farine de lin, ajoutez le lait et l'extrait de vanille et fouettez le tout dans le mélange beurre-sucre jusqu'à ce que le tout soit bien mélangé. Ajoutez progressivement le mélange de farine et battez jusqu'à ce que toute la farine soit bien incorporée pour obtenir une pâte à gâteau lisse. Veillez à ne pas trop mélanger. Versez la pâte dans le moule préparé et disposez les fraises coupées en deux dessus, côté coupé vers le bas, en une seule couche. Saupoudrez les 2 cuillères à café de sucre et faites cuire le gâteau aux fraises pendant environ 30 minutes ou jusqu'à ce que le gâteau soit doré et qu'un cure-dent inséré au centre en ressorte propre (cependant, les fraises fondues peuvent être gluantes). Une fois le gâteau cuit, retirez-le du four et laissez-le reposer pendant environ 10 minutes avant de le servir. Servez la recette de gâteau au thé aux fraises et au blé entier au petit-déjeuner ou comme collation à l'heure du thé, ou même emballez-les dans les boîtes à lunch de vos enfants.</t>
  </si>
  <si>
    <t>https://www.archanaskitchen.com/50-whole-wheat-strawberry-tea-cake-recipe</t>
  </si>
  <si>
    <t xml:space="preserve">Carrot, Sweet Potato, Mushrooms Fritters Recipe </t>
  </si>
  <si>
    <t>Rezept für Karotten-, Süßkartoffel- und Pilzpuffer</t>
  </si>
  <si>
    <t>Recette de crêpes aux carottes, patates douces et champignons</t>
  </si>
  <si>
    <t>Receta de panqueques de zanahoria, batata y champiñones</t>
  </si>
  <si>
    <t>2 carottes (Gajjar) - râpées, 2 patates douces - à moitié bouillies et râpées, 1 oignon, 1 tasse de champignons de Paris - hachés, 200 grammes de tofu - émietté, 6 cuillères à soupe de farine d'avoine, 3 brins de feuilles de coriandre (Dhania) - hachées, 2 cuillères à soupe de graines de cumin (Jeera) - grillées et moulues, 300 ml d'huile de tournesol, sel et poivre - au goût, huile de tournesol</t>
  </si>
  <si>
    <t>2 Carrots (Gajjar) - grated,2 Sweet Potatoes - half boiled and grated,1 Onion,1 cup Button mushrooms - chopped,200 grams Tofu - crumbled,6 tablespoon Oats Flour,3 sprig Coriander (Dhania) Leaves - chopped,2 tablespoon Cumin seeds (Jeera) - roasted and ground,300 ml Sunflower Oil,Salt and Pepper - to taste,Sunflower Oil</t>
  </si>
  <si>
    <t>2 zanahorias (Gajjar) - ralladas, 2 batatas - medio hervidas y ralladas, 1 cebolla, 1 taza de champiñones picados, 200 gramos de tofu desmenuzado, 6 cucharadas de harina de avena, 3 ramitas de hojas de cilantro (Dhania) picadas, 2 cucharadas de semillas de comino (Jeera) tostadas y molidas, 300 ml de aceite de girasol, sal y pimienta - al gusto, aceite de girasol</t>
  </si>
  <si>
    <t xml:space="preserve">To begin making the Carrot, Sweet Potato, and Mushrooms Fritters Recipe prep and keep all the ingredients ready in a bowl. Mix all the ingredients together and check for seasoning.Heat a kuzhi paniyaram pan, add some oil and simultaneously make balls out of the mixture and coat it with crumb and place these vegetable balls in each of the hollow cavities.Cook on either side for 3 minutes till golden brown on both sides. Transfer Carrot, Sweet Potato, and Mushrooms Fritters onto oil absorbent paper and serve.Serve the Carrot, Sweet Potato, Mushrooms Fritters Recipe with Tzatziki Recipe - A Greek Yogurt Dip as an after school time snack.
</t>
  </si>
  <si>
    <t>Para empezar a hacer la receta de buñuelos de zanahoria, boniato y champiñones, prepare y tenga todos los ingredientes listos en un tazón. Mezcle todos los ingredientes y verifique la sazón. Caliente una sartén kuzhi paniyaram, agregue un poco de aceite y simultáneamente haga bolas con la mezcla, cúbralas con pan rallado y coloque estas bolas de vegetales en cada una de las cavidades huecas. Cocine por cada lado durante 3 minutos hasta que estén dorados por ambos lados. Transfiera los buñuelos de zanahoria, boniato y champiñones a papel absorbente de aceite y sirva. Sirva la receta de buñuelos de zanahoria, boniato y champiñones con la receta de tzatziki: una salsa de yogur griego como refrigerio después de la escuela.</t>
  </si>
  <si>
    <t>Pour commencer à préparer la recette des beignets de carottes, de patates douces et de champignons, préparez et conservez tous les ingrédients dans un bol. Mélangez tous les ingrédients et vérifiez l'assaisonnement. Faites chauffer une poêle kuzhi paniyaram, ajoutez un peu d'huile et façonnez simultanément des boulettes avec le mélange, enrobez-les de chapelure et placez ces boulettes de légumes dans chaque cavité. Faites cuire de chaque côté pendant 3 minutes jusqu'à ce qu'elles soient dorées des deux côtés. Transférez les beignets de carottes, de patates douces et de champignons sur du papier absorbant et servez. Servez la recette de beignets de carottes, de patates douces et de champignons avec la recette de tzatziki - une trempette au yaourt grec - comme collation après l'école.</t>
  </si>
  <si>
    <t>https://www.archanaskitchen.com/carrot-sweet-potato-mushrooms-fritters-recipe</t>
  </si>
  <si>
    <t>Tomato &amp; Beetroot Soup Recipe</t>
  </si>
  <si>
    <t>Rezept für Tomaten-Rote-Bete-Suppe</t>
  </si>
  <si>
    <t>Recette de soupe aux tomates et aux betteraves</t>
  </si>
  <si>
    <t>Receta de sopa de tomate y remolacha</t>
  </si>
  <si>
    <t>500 grammes de tomates coupées en quartiers, 1 oignon finement haché, 50 grammes de betteraves grossièrement hachées, 3 gousses d'ail, 1 cuillère à café de grains de poivre noir entiers, 2,5 cm de bâton de cannelle (Dalchini), 2 clous de girofle (Laung), 2 gousses/graines de cardamome (Elaichi), 2 cuillères à café de beurre, 1 cuillère à café d'huile de tournesol, 2 tasses d'eau, 1/2 tasse de lait, sel - au goût</t>
  </si>
  <si>
    <t>500 grams Tomatoes - quartered,1 Onion - finely chopped,50 grams Beetroot - roughly chopped,3 cloves Garlic,1 teaspoon Whole Black Peppercorns,1 inch Cinnamon Stick (Dalchini),2 Cloves (Laung),2 Cardamom (Elaichi) Pods/Seeds,2 teaspoons Butter,1 teaspoon Sunflower Oil,2 cups Water,1/2 cup Milk,Salt - to taste</t>
  </si>
  <si>
    <t>500 gramos de tomates - en cuartos, 1 cebolla - finamente picada, 50 gramos de remolacha - picada gruesa, 3 dientes de ajo, 1 cucharadita de granos de pimienta negra enteros, 1 pulgada de rama de canela (Dalchini), 2 clavos (Laung), 2 vainas/semillas de cardamomo (Elaichi), 2 cucharaditas de mantequilla, 1 cucharadita de aceite de girasol, 2 tazas de agua, 1/2 taza de leche, sal - al gusto</t>
  </si>
  <si>
    <t xml:space="preserve">To begin making the Tomato &amp; Beetroot Soup, heat butter and oil in a pan.Add the whole spices (cardamom, cinnamon, cloves and peppercorn) to it and sauté them lightly till aromatic.Next, add the garlic and onions and saute them up till light brown and translucent.Then, tip in the quartered tomatoes and toss them continuously, cooking on a medium flame, until the skin shrinks.The next step is to add the beetroot, salt and water to this and pressure cook until you hear a couple of whistles. Turn off the heat after a couple of whistles and allow the pressure to release completely.Once the pressure has released from the cooker pour the tomato beetroot soup mixture into a blender to make a smooth puree.Strain the soup into a saucepan, add the milk and bring it to a gentle boil, allowing it to simmer for 2-3 minutes.Serve Tomato &amp; Beetroot Soup along with Cheese Garlic Bread and Chickpea Orange Salad with Sun Dried Tomatoes for a light weeknight dinner.
</t>
  </si>
  <si>
    <t>Para comenzar a hacer la sopa de tomate y remolacha, caliente la mantequilla y el aceite en una sartén. Agregue las especias enteras (cardamomo, canela, clavo y pimienta) y saltéelas ligeramente hasta que estén aromáticas. Luego, agregue el ajo y las cebollas y saltéelos hasta que estén ligeramente dorados y translúcidos. Luego, agregue los tomates cortados en cuartos y mézclelos continuamente, cocinando a fuego medio, hasta que la piel se encoja. El siguiente paso es agregar la remolacha, la sal y el agua a esto y cocinar a presión hasta que escuche un par de silbidos. Apaga el fuego después de un par de silbidos y deja que la presión se libere por completo. Una vez que la olla se haya liberado de presión, vierte la mezcla de sopa de tomate y remolacha en una licuadora para hacer un puré suave. Cuela la sopa en una cacerola, agrega la leche y llévala a ebullición suave, dejándola hervir a fuego lento durante 2-3 minutos. Sirve la sopa de tomate y remolacha junto con pan de ajo con queso y ensalada de naranja con garbanzos y tomates secos para una cena ligera entre semana.</t>
  </si>
  <si>
    <t>Pour commencer à préparer la soupe aux tomates et aux betteraves, faites chauffer le beurre et l'huile dans une poêle. Ajoutez-y les épices entières (cardamome, cannelle, clous de girofle et poivre) et faites-les revenir légèrement jusqu'à ce qu'elles soient aromatiques. Ensuite, ajoutez l'ail et les oignons et faites-les revenir jusqu'à ce qu'ils soient légèrement dorés et translucides. Ensuite, ajoutez les tomates coupées en quartiers et mélangez-les continuellement, en les faisant cuire à feu moyen, jusqu'à ce que la peau rétrécisse. L'étape suivante consiste à ajouter la betterave, le sel et l'eau et à cuire sous pression jusqu'à ce que vous entendiez quelques sifflements. Éteignez le feu après quelques sifflements et laissez la pression se relâcher complètement. Une fois la pression relâchée de la cocotte, versez le mélange de soupe tomate-betterave dans un mixeur pour obtenir une purée lisse. Filtrez la soupe dans une casserole, ajoutez le lait et portez-la à ébullition douce, en la laissant mijoter pendant 2 à 3 minutes. Servez la soupe tomate-betterave avec du pain à l'ail et du fromage et une salade d'oranges aux pois chiches et aux tomates séchées au soleil pour un dîner léger en semaine.</t>
  </si>
  <si>
    <t>https://www.archanaskitchen.com/tomato-beetroot-soup-recipe</t>
  </si>
  <si>
    <t>Carrot Bran Breakfast Muffin Recipe</t>
  </si>
  <si>
    <t>Rezept für Karottenkleie-Frühstücksmuffins</t>
  </si>
  <si>
    <t>Recette de muffins au son et aux carottes pour le petit-déjeuner</t>
  </si>
  <si>
    <t>Receta de muffins de salvado y zanahoria para el desayuno</t>
  </si>
  <si>
    <t>1 tasse de farine tout usage (Maida), 1/2 tasse de farine de blé entier, 1/2 tasse de son de blé, 1 cuillère à café de levure chimique, 1 cuillère à café de bicarbonate de soude, 1 cuillère à café de cannelle en poudre (Dalchini), 1 pincée de sel, 1 tasse de lait, 1/4 tasse d'huile de tournesol, 1/2 tasse de miel - ou de sirop d'érable, 1 cuillère à café d'extrait de vanille, 1 œuf entier, 2 carottes (Gajjar) - pelées et râpées, 1 cuillère à soupe de confiture d'orange, 1 cuillère à soupe de Grand Marnier - facultatif</t>
  </si>
  <si>
    <t>1 cup All Purpose Flour (Maida),1/2 cup Whole Wheat Flour,1/2 cup Wheat Bran,1 teaspoon Baking powder,1 teaspoon Baking soda,1 teaspoon Cinnamon Powder (Dalchini),1 pinch Salt,1 cup Milk,1/4 cup Sunflower Oil,1/2 cup Honey - or maple syrup,1 teaspoon Vanilla Extract,1 Whole Egg,2 Carrots (Gajjar) - peeled and grated,1 tablespoon Orange marmalade jam,1 tablespoon Grand Marnier - optional</t>
  </si>
  <si>
    <t>1 taza de harina para todo uso (Maida), 1/2 taza de harina integral, 1/2 taza de salvado de trigo, 1 cucharadita de polvo para hornear, 1 cucharadita de bicarbonato de sodio, 1 cucharadita de canela en polvo (Dalchini), 1 pizca de sal, 1 taza de leche, 1/4 taza de aceite de girasol, 1/2 taza de miel o jarabe de arce, 1 cucharadita de extracto de vainilla, 1 huevo entero, 2 zanahorias (Gajjar) - peladas y ralladas, 1 cucharada de mermelada de naranja, 1 cucharada de Grand Marnier - opcional</t>
  </si>
  <si>
    <t xml:space="preserve">To begin making Carrot Bran Breakfast Muffins, first pre-heat oven to 180 C and prepare a muffin tray by placing cupcake-liners and lightly greasing them with oil.Sift the flours, bran, baking powder, baking soda, cinnamon and salt together in a bowl and whisk to combine.Next in a bowl beat egg and oil together for a minute or till combined well. Add the vanilla extract, orange marmalade, Grand Marnier (or zest), honey, milk and whisk to combine.Now add the wet ingredients to the sifted flour mixture and stir to combine, ensuring that there are no lumps or flour streaks remain in the batter. Add the grated carrots and stir to combine.Spoon equal amount of batter in the prepared muffin liners. Bake the muffins for 15 - 20 minutes or until toothpick inserted in the centre of the muffin comes out clean. Once baked bring the muffins out from the oven and cool in the wire rack for sometime. Serve Carrot Bran Breakfast Muffins warm with masala chai during evening tea or breakfast, or store in an airtight box in the fridge to be served later.
</t>
  </si>
  <si>
    <t>Para comenzar a hacer Muffins de Desayuno de Zanahoria y Salvado, primero precaliente el horno a 180 C y prepare una bandeja para muffins colocando capacillos para muffins y engrasándolos ligeramente con aceite. Tamice las harinas, el salvado, el polvo para hornear, el bicarbonato de sodio, la canela y la sal juntos en un tazón y bata para combinar. Luego, en un tazón, bata el huevo y el aceite juntos durante un minuto o hasta que estén bien combinados. Agregue el extracto de vainilla, la mermelada de naranja, el Grand Marnier (o la ralladura), la miel, la leche y bata para combinar. Ahora agregue los ingredientes húmedos a la mezcla de harina tamizada y revuelva para combinar, asegurándose de que no queden grumos o vetas de harina en la masa. Agregue las zanahorias ralladas y revuelva para combinar. Vierta la misma cantidad de masa en los capacillos para muffins preparados. Hornee los muffins durante 15 a 20 minutos o hasta que al insertar un palillo en el centro del muffin, este salga limpio. Una vez horneados, saca los muffins del horno y déjalos enfriar en una rejilla durante un rato. Sirve los muffins de desayuno con salvado de zanahoria tibios con masala chai durante el té de la tarde o el desayuno, o guárdalos en un recipiente hermético en el refrigerador para servirlos más tarde.</t>
  </si>
  <si>
    <t>Pour commencer à préparer des muffins au son de carotte pour le petit-déjeuner, préchauffez d'abord le four à 180 °C et préparez un moule à muffins en plaçant des caissettes à cupcakes et en les graissant légèrement avec de l'huile. Tamisez les farines, le son, la levure chimique, le bicarbonate de soude, la cannelle et le sel dans un bol et fouettez pour mélanger. Ensuite, dans un bol, battez l'œuf et l'huile pendant une minute ou jusqu'à ce que le tout soit bien mélangé. Ajoutez l'extrait de vanille, la marmelade d'orange, le Grand Marnier (ou le zeste), le miel, le lait et fouettez pour mélanger. Ajoutez maintenant les ingrédients humides au mélange de farine tamisé et remuez pour mélanger, en vous assurant qu'il n'y a pas de grumeaux ou de traces de farine dans la pâte. Ajoutez les carottes râpées et remuez pour mélanger. Versez une quantité égale de pâte dans les caissettes à muffins préparées. Faites cuire les muffins pendant 15 à 20 minutes ou jusqu'à ce qu'un cure-dent inséré au centre du muffin en ressorte propre. Une fois cuits, sortez les muffins du four et laissez-les refroidir sur une grille pendant un certain temps. Servez les muffins au son de carotte chauds avec du masala chai pendant le thé du soir ou le petit-déjeuner, ou conservez-les dans une boîte hermétique au réfrigérateur pour les servir plus tard.</t>
  </si>
  <si>
    <t>http://www.archanaskitchen.com/carrot-bran-breakfast-muffin-recipes</t>
  </si>
  <si>
    <t>Cabbage Slaw with Ginger Tahini Dressing Recipe</t>
  </si>
  <si>
    <t>Krautsalat mit Ingwer-Tahini-Dressing Rezept</t>
  </si>
  <si>
    <t>Recette de salade de chou avec vinaigrette au gingembre et au tahini</t>
  </si>
  <si>
    <t>Receta de ensalada de col con aderezo de jengibre y tahini</t>
  </si>
  <si>
    <t>1/4 tasse d'eau, 2 cuillères à soupe de tahini, 1 cuillère à soupe de jus de citron, 1 cuillère à soupe de sauce moutarde, 1 cuillère à café de Tabasco Original - Sauce piquante, 1 cuillère à soupe de miel, 1 1/2 cuillère à soupe de gingembre râpé, 1/2 cuillère à café de flocons de piment rouge, 2 tasses de chou rouge râpé, 1/2 tasse de chou (Patta Gobi/Muttaikose) râpé, 2 carottes (Gajjar) râpées grossièrement, 1 betterave râpée grossièrement, 1 tasse de feuilles de menthe (Pudina) finement hachées, 1/2 tasse d'arachides crues (Moongphali) pilées</t>
  </si>
  <si>
    <t>1/4 cup Water,2 tablespoons Tahini,1 tablespoon Lemon juice,1 tablespoon Mustard sauce,1 teaspoon Tabasco Original - Hot Sauce,1 tablespoon Honey,1 1/2 tablespoon Ginger - grated,1/2 teaspoon Red Chilli flakes,2 cups Red cabbage - shredded,1/2 cup Cabbage (Patta Gobi/ Muttaikose) - shredded,2 Carrots (Gajjar) - coarsely grated,1 Beetroot - coarsely grated,1 cup Mint Leaves (Pudina) - finely chopped,1/2 cup Raw Peanuts (Moongphali) - pounded</t>
  </si>
  <si>
    <t>1/4 taza de agua, 2 cucharadas de tahini, 1 cucharada de jugo de limón, 1 cucharada de salsa de mostaza, 1 cucharadita de salsa picante Tabasco Original, 1 cucharada de miel, 1 1/2 cucharada de jengibre rallado, 1/2 cucharadita de hojuelas de chile rojo, 2 tazas de repollo morado rallado, 1/2 taza de repollo (Patta Gobi/Muttaikose) rallado, 2 zanahorias (Gajjar) ralladas gruesamente, 1 remolacha rallada gruesamente, 1 taza de hojas de menta (Pudina) finamente picadas, 1/2 taza de cacahuetes crudos (Moongphali) machacados</t>
  </si>
  <si>
    <t xml:space="preserve">We begin making the Cabbage Slaw with Ginger Tahini Dressing Recipe by prepping all the ingredients and cut vegetables and keep it ready in a mixing bowl.In another bowl mix all the ingredients for the dressing and whisk well till it combines. Add this dressing over the vegetables and toss it well. Sprinkle the sesame seeds.Serve the Cabbage Slaw with Ginger Tahini Dressing Recipe as an Appetizer for your Sunday Dinner meal.
</t>
  </si>
  <si>
    <t>Para preparar la ensalada de col con aderezo de jengibre y tahini, preparamos todos los ingredientes y las verduras cortadas en un bol. En otro bol, mezclamos todos los ingredientes del aderezo y batimos bien hasta que se integren. Añadimos este aderezo a las verduras y mezclamos bien. Espolvoreamos con semillas de sésamo. Sirve la ensalada de col con aderezo de jengibre y tahini como aperitivo para la cena del domingo.</t>
  </si>
  <si>
    <t>Nous commençons la préparation de la salade de chou à la vinaigrette au gingembre et au tahini en préparant tous les ingrédients et en coupant les légumes. Nous les conservons dans un saladier. Dans un autre saladier, mélangez tous les ingrédients de la vinaigrette et fouettez bien jusqu'à ce que le tout soit bien mélangé. Ajoutez cette vinaigrette sur les légumes et mélangez bien. Saupoudrez de graines de sésame. Servez la salade de chou à la vinaigrette au gingembre et au tahini en entrée pour votre dîner du dimanche.</t>
  </si>
  <si>
    <t>http://www.archanaskitchen.com/cabbage-slaw-with-ginger-tahini-dressing-recipe</t>
  </si>
  <si>
    <t>No Bake Oreo Chocolate Tart Recipe</t>
  </si>
  <si>
    <t>Rezept für eine Oreo-Schokoladentorte ohne Backen</t>
  </si>
  <si>
    <t>Recette de gâteau au chocolat Oreo sans cuisson</t>
  </si>
  <si>
    <t>Receta de pastel de chocolate con Oreo sin horno</t>
  </si>
  <si>
    <t>32 biscuits Oreo, 1/2 tasse de beurre fondu, 400 grammes de chocolat noir haché, 200 ml de crème à fouetter épaisse, 1/4 tasse de cerises fraîches ou de fraises fraîches, biscuits Oreo pour la décoration, noix mélangées hachées (amandes)</t>
  </si>
  <si>
    <t>32 Oreo biscuits,1/2 cup Butter - melted,400 grams Dark chocolate - chopped,200 ML Heavy whipping cream,1/4 cup Fresh Cherries - or fresh strawberries,Oreo biscuits - for decorating,Mixed nuts - chopped (almonds</t>
  </si>
  <si>
    <t>32 galletas Oreo, 1/2 taza de mantequilla derretida, 400 gramos de chocolate negro picado, 200 ml de crema batida espesa, 1/4 taza de cerezas frescas o fresas frescas, galletas Oreo para decorar, nueces mixtas picadas (almendras</t>
  </si>
  <si>
    <t xml:space="preserve">To begin making the No Bake Oreo Tart recipe, add oreo cookies into a food processor, until the texture of the cookie are in the form of crumbs. Transfer the crumbled cookies into a bowl and add in the melter butter and mix well until the crumbs are evenly moistened. In a tart pan, add the cookie mixture and press with the back of the spoon and your fingers where necessary, to form the crust for the tart. Freeze until you prepare the filling, just for few minutes.Place a small saucepan over low-medium flame, add the cream and let the cream come to a little boil. Remove the saucepan from heat and add the chopped chocolate into the warm cream. Stir until the chocolate  dissolves into the cream and forms a smooth mixture.Pour chocolate and cream filling over cookie crust, and top with cherries or fresh strawberries.Refrigerate for at least 3 to 4 hours or overnight before serving. Sprinkle the cherries and oreo cookies on the top and serve.Serve No Bake Oreo Tart during your weekend after your satisfying dinner of Pav Bhaji and Chole Aloo Tikki Chaat.
</t>
  </si>
  <si>
    <t>Para comenzar a hacer la receta de tarta de Oreo sin horno, agrega las galletas Oreo a un procesador de alimentos, hasta que la textura de la galleta sea en forma de migas. Transfiere las galletas desmenuzadas a un tazón y agrega la mantequilla derretida y mezcla bien hasta que las migas estén humedecidas de manera uniforme. En un molde para tarta, agrega la mezcla de galletas y presiona con el dorso de la cuchara y los dedos donde sea necesario, para formar la corteza de la tarta. Congela hasta que prepares el relleno, solo por unos minutos. Coloca una cacerola pequeña a fuego medio-bajo, agrega la crema y deja que la crema hierva un poco. Retira la cacerola del fuego y agrega el chocolate picado a la crema tibia. Revuelve hasta que el chocolate se disuelva en la crema y forme una mezcla suave. Vierte el relleno de chocolate y crema sobre la corteza de galletas y cubre con cerezas o fresas frescas. Refrigera durante al menos 3 a 4 horas o toda la noche antes de servir. Espolvorea las cerezas y las galletas Oreo por encima y sirve. Sirve la tarta de Oreo sin horno durante el fin de semana después de una abundante cena de Pav Bhaji y Chole Aloo Tikki Chaat.</t>
  </si>
  <si>
    <t>Pour commencer à préparer la recette de tarte Oreo sans cuisson, ajoutez les biscuits Oreo dans un robot culinaire, jusqu'à ce que la texture du biscuit soit en forme de chapelure. Transférez les biscuits émiettés dans un bol et ajoutez le beurre fondu et mélangez bien jusqu'à ce que les chapelures soient uniformément humidifiées. Dans un moule à tarte, ajoutez le mélange de biscuits et appuyez avec le dos de la cuillère et vos doigts si nécessaire, pour former la croûte de la tarte. Congelez jusqu'à ce que vous prépariez la garniture, juste pendant quelques minutes. Placez une petite casserole sur feu moyen-doux, ajoutez la crème et laissez la crème bouillir légèrement. Retirez la casserole du feu et ajoutez le chocolat haché dans la crème chaude. Remuez jusqu'à ce que le chocolat se dissolve dans la crème et forme un mélange lisse. Versez le chocolat et la garniture à la crème sur la croûte des biscuits et garnissez de cerises ou de fraises fraîches. Réfrigérez pendant au moins 3 à 4 heures ou toute la nuit avant de servir. Saupoudrez les cerises et les biscuits Oreo sur le dessus et servez. Servez la tarte Oreo sans cuisson pendant votre week-end après votre dîner copieux de Pav Bhaji et de Chole Aloo Tikki Chaat.</t>
  </si>
  <si>
    <t>http://www.archanaskitchen.com/no-bake-oreo-chocolate-tart-recipe</t>
  </si>
  <si>
    <t>Khus And Cucumber Mojito Recipe</t>
  </si>
  <si>
    <t>Khus- und Gurken-Mojito-Rezept</t>
  </si>
  <si>
    <t>Recette de Khus et Mojito au concombre</t>
  </si>
  <si>
    <t>Receta de mojito de khus y pepino</t>
  </si>
  <si>
    <t>4 cuillères à soupe de concombre, 4 cuillères à café de jus de citron, 2 cuillères à soupe de sirop de sucre, 2 cuillères à soupe de sirop de Khus, 400 ml d'eau gazeuse, glaçons (au besoin), 10 feuilles de menthe (Pudina), 8 citrons (tranchés finement), 1/2 concombre (tranché)</t>
  </si>
  <si>
    <t>4 tablespoon Cucumber,4 teaspoon Lemon juice,2 tablespoons Sugar syrup,2 tablespoons Khus syrup,400 ml Aerated water (Soda Water),Ice cubes - as required,10 Mint Leaves (Pudina),8 Lemon - sliced thin,1/2 Cucumber - sliced</t>
  </si>
  <si>
    <t>4 cucharadas de pepino, 4 cucharaditas de jugo de limón, 2 cucharadas de jarabe de azúcar, 2 cucharadas de jarabe de Khus, 400 ml de agua gasificada (agua de soda), cubitos de hielo (según se requiera), 10 hojas de menta (pudina), 8 limones en rodajas finas, 1/2 pepino en rodajas</t>
  </si>
  <si>
    <t xml:space="preserve">To begin making the Khus And Cucumber Mojito recipe, crush cucumber pieces in a mortar and collect the juice and Keep aside.In a pitcher squeeze lemon to extract the juice and add mint leaves. Crush the leaves with a pestle and add sugar syrup, khus syrup and cucumber extract.Stir it and add sparkling water into it. Take a serving glass, add lots of ice in it.Pour in the prepared drink and add slices of cucumber and lemon on top with some mint leaves. Serve chilled!Serve Khus And Cucumber Mojito along with some snacks like Herbed Baby Potatoes and Raw Banana Cutlet for a movie night or when you have some guest at home.
</t>
  </si>
  <si>
    <t>Para empezar a preparar la receta de mojito de khus y pepino, machaca trozos de pepino en un mortero, recoge el jugo y reserva. En una jarra, exprime el limón para extraer el jugo y añade hojas de menta. Machaca las hojas con un mortero y añade jarabe de azúcar, jarabe de khus y extracto de pepino. Remueve y añade agua con gas. Toma un vaso para servir y añade mucho hielo. Vierte la bebida preparada y añade rodajas de pepino y limón por encima con algunas hojas de menta. ¡Sírvelo frío! Sirve el mojito de khus y pepino junto con algunos aperitivos como patatas baby con hierbas y chuleta de plátano crudo para una noche de cine o cuando tengas invitados en casa.</t>
  </si>
  <si>
    <t>Pour commencer la recette du Mojito Khus et Concombre, écrasez des morceaux de concombre dans un mortier et récupérez le jus. Réservez. Dans un pichet, pressez un citron pour en extraire le jus et ajoutez des feuilles de menthe. Écrasez les feuilles avec un pilon et ajoutez le sirop de sucre, le sirop de khus et l'extrait de concombre. Remuez et ajoutez de l'eau gazeuse. Prenez un verre de service, ajoutez beaucoup de glaçons. Versez la boisson préparée et ajoutez des tranches de concombre et de citron par-dessus, ainsi que quelques feuilles de menthe. Servez frais ! Servez le Mojito Khus et Concombre avec des en-cas comme des pommes de terre grenaille aux herbes et une escalope de banane crue pour une soirée cinéma ou lorsque vous recevez des invités.</t>
  </si>
  <si>
    <t>http://www.archanaskitchen.com/khus-and-cucumber-mojito-recipe</t>
  </si>
  <si>
    <t>Eggless Traditional Christmas Cake Recipe - Vegan Options</t>
  </si>
  <si>
    <t>Rezept für traditionellen Weihnachtskuchen ohne Eier – Vegane Optionen</t>
  </si>
  <si>
    <t>Recette de gâteau de Noël traditionnel sans œufs – Options végétaliennes</t>
  </si>
  <si>
    <t>Receta tradicional de pastel navideño sin huevo (opciones veganas)</t>
  </si>
  <si>
    <t>3/4 tasse de raisins secs (sultanines), 1/4 tasse de pruneaux hachés, 1/4 tasse d'abricots hachés, 1/4 tasse de dattes hachées, 1/4 tasse de figues séchées hachées, 150 ml de rhum ou de brandy (facultatif), 60 ml de jus d'orange frais, 2 cuillères à soupe de zeste d'orange (écorce), 2 tasses de farine tout usage (Maida), 1 cuillère à café de levure chimique, 1-1/2 tasse de beurre (non salé) à température ambiante (1-1/2 tasse d'huile de canola ou végétale), 3/4 tasse de cassonade (sucre Demerara), 1/4 tasse de poudre d'amandes (poudre de Badam), 1 cuillère à café de poudre de cannelle (Dalchini), 1/2 cuillère à café de clous de girofle (Laung) moulus, 1 cuillère à café de poudre de gingembre sec, 1 tasse de Badam (amande) ou de noix de macadamia, 4 cuillères à soupe de poudre de graines de lin (farine de lin), 12 cuillères à soupe d'eau glacée</t>
  </si>
  <si>
    <t>3/4 cup Raisins - /sultanas,1/4 cup Prunes - chopped,1/4 cup Apricots - chopped,1/4 cup Dates - chopped,1/4 cup Dried Figs - chopped,150 ml Rum - or brandy  (optional),60 ml Fresh orange juice,2 tablespoons Orange Zest (Rind),2 cups All Purpose Flour (Maida),1 teaspoon Baking powder,1-1/2 cups Butter (unsalted) - at room temperature (1-1/2 cups canola or vegetable oil),3/4 cup Brown Sugar (Demerara Sugar),1/4 cup Almond Meal (Badam Powder),1 teaspoon Cinnamon Powder (Dalchini),1/2 teaspoon Cloves (Laung) - ground,1 teaspoon Dry ginger powder,1 cup Badam (Almond) - or macadamia nuts,4 tablespoons Flax seed powder (flax meal),12 tablespoons Chilled water</t>
  </si>
  <si>
    <t>3/4 taza de pasas - / sultanas, 1/4 taza de ciruelas pasas - picadas, 1/4 taza de albaricoques - picados, 1/4 taza de dátiles - picados, 1/4 taza de higos secos - picados, 150 ml de ron - o brandy (opcional), 60 ml de jugo de naranja fresco, 2 cucharadas de ralladura de naranja (cáscara), 2 tazas de harina para todo uso (Maida), 1 cucharadita de polvo para hornear, 1-1/2 tazas de mantequilla (sin sal) - a temperatura ambiente (1-1/2 tazas de aceite de canola o vegetal), 3/4 taza de azúcar morena (azúcar Demerara), 1/4 taza de harina de almendras (Badam en polvo), 1 cucharadita de canela en polvo (Dalchini), 1/2 cucharadita de clavos de olor (Laung) - molidos, 1 cucharadita de jengibre en polvo seco, 1 taza de Badam (almendras) - o nueces de macadamia, 4 cucharadas de polvo de semillas de lino (harina de lino), 12 cucharadas de agua fría</t>
  </si>
  <si>
    <t xml:space="preserve">To begin making the Eggless or Vegan Christmas Cake Recipe, we first have to soak all the dry fruits in rum and juice (you can avoid the rum). This process helps ferment the fruits and also helps to release all the flavors and make the christmas cake moist and rich.Place the sultanas, dried prunes, dried dates, dried figs and dried apricots into a large mixing bowl. Pour over the rum and orange juice and sprinkle over the orange zest. Mix until well combined, then cover the bowl with cling film and set aside overnight or a few weeks or a month or a year. They say the longer you ferment, the fruits get fermented, the richer the taste of the christmas cake.To Make Flax Meal Egg Replacer If your recipe asks for 4 eggs, measure 12 tablespoons of flax meal along with 6 tablespoons of water. Stir well and let the mixture rest for about 15 minutes. This process of resting helps the flax meal mixture develop a gelatinous consistency similar to eggs.To make the Batter Proceed to the remaining steps are once the fermentation of the fruits are over.Preheat the oven to 170 C.Sift the flour, baking powder and the spices together and keep aside. I like to sift it twice over as the flour gets good air pockets and also makes the cake more fluffy.Line the base and sides of a 9 inch spring foam cake pan with a double layer parchment paper, making sure the paper reaches the top of the tin.In a large bowl or a KitchenAid Stand Mixer, whisk the butter (oil) and sugar together until fluffy. Gradually beat in the eggs (flaxmeal egg replacer), one at a time. Add in the flour slowly until well combined.Slowly add in the soaked dried fruits, its liquids, the almond powder, chopped nuts and combine it into the flour mixture. Dont over beat, we just want all the ingredients to be well combined.Spoon the above cake mixture into the spring foam pan and level the surface with the back of a spoon. Bake for 1 and a half hours approximately or until a skewer inserted into the centre of the cake comes out clean.The cake typically tends to darken a lot during baking, if this happens cover the top with parchment paper in the middle of the baking process.Once the christmas cake is baked remove it from the oven allow it to cool completely in the pan.Store the Christmas Cake (eggless/ vegan) in an airtight container, wrapped in greaseproof paper and aluminium foil, for two to three months.You can also bake the Traditional Christmas Cake in smaller pans and gift them to your family this holiday season.Serve the Traditional Christmas Cake along with Qahwa | Arabic Coffee Recipe and Ginger Cardamom Chai (Spice Infused Indian Style Milk Tea) to compliment the cake for your evening.
</t>
  </si>
  <si>
    <t>Para comenzar a hacer la Receta de Pastel Navideño Sin Huevo o Vegano, primero tenemos que remojar todas las frutas secas en ron y jugo (puedes evitar el ron). Este proceso ayuda a fermentar las frutas y también ayuda a liberar todos los sabores y hacer que el pastel navideño sea húmedo y rico. Coloque las pasas sultanas, las ciruelas pasas secas, los dátiles secos, los higos secos y los albaricoques secos en un tazón grande. Vierta el ron y el jugo de naranja y espolvoree la ralladura de naranja. Mezcle hasta que estén bien combinados, luego cubra el tazón con film transparente y déjelo reposar durante la noche o algunas semanas o un mes o un año. Dicen que cuanto más fermentas, más rico es el sabor del pastel navideño. Para hacer un sustituto de huevo con harina de lino Si su receta pide 4 huevos, mida 12 cucharadas de harina de lino junto con 6 cucharadas de agua. Revuelva bien y deje reposar la mezcla durante unos 15 minutos. Este proceso de reposo ayuda a que la mezcla de harina de linaza desarrolle una consistencia gelatinosa similar a los huevos. Para hacer la masa, proceda a los pasos restantes una vez que la fermentación de las frutas haya terminado. Precaliente el horno a 170 C. Tamice la harina, el polvo para hornear y las especias juntos y reserve. Me gusta tamizarlo dos veces, ya que la harina obtiene buenas bolsas de aire y también hace que el pastel sea más esponjoso. Cubra la base y los lados de un molde para pastel de espuma de resorte de 9 pulgadas con una capa doble de papel pergamino, asegurándose de que el papel llegue a la parte superior del molde. En un tazón grande o una batidora de pie KitchenAid, bata la mantequilla (aceite) y el azúcar juntos hasta que quede esponjoso. Bata gradualmente los huevos (sustituto de huevo de harina de linaza), uno a la vez. Agregue la harina lentamente hasta que esté bien combinado. Agregue lentamente las frutas secas remojadas, sus líquidos, el polvo de almendras, las nueces picadas y combínelos con la mezcla de harina. No batas demasiado, solo queremos que todos los ingredientes estén bien combinados. Vierte la mezcla para pastel anterior en el molde de espuma de resorte y nivela la superficie con el dorso de una cuchara. Hornea durante 1 hora y media aproximadamente o hasta que un palillo insertado en el centro del pastel salga limpio. El pastel normalmente tiende a oscurecerse mucho durante el horneado, si esto sucede, cubre la parte superior con papel pergamino a mitad del proceso de horneado. Una vez horneado el pastel de Navidad, sácalo del horno y déjalo enfriar completamente en el molde. Guarda el pastel de Navidad (sin huevo / vegano) en un recipiente hermético, envuelto en papel vegetal y papel de aluminio, durante dos o tres meses. También puedes hornear el pastel de Navidad tradicional en moldes más pequeños y regalárselos a tu familia en estas fiestas. Sirve el pastel de Navidad tradicional junto con Qahwa | Receta de café árabe y Chai de jengibre y cardamomo (té con leche estilo indio con infusión de especias) para complementar el pastel para tu velada.</t>
  </si>
  <si>
    <t>Pour commencer à préparer la recette du gâteau de Noël sans œufs ou végétalien, nous devons d'abord faire tremper tous les fruits secs dans du rhum et du jus (vous pouvez éviter le rhum). Ce processus aide à fermenter les fruits et aide également à libérer toutes les saveurs et à rendre le gâteau de Noël moelleux et riche. Placez les raisins secs, les pruneaux secs, les dattes sèches, les figues sèches et les abricots secs dans un grand bol à mélanger. Versez le rhum et le jus d'orange et saupoudrez de zeste d'orange. Mélangez jusqu'à ce que le tout soit bien mélangé, puis couvrez le bol d'un film alimentaire et laissez reposer toute la nuit ou quelques semaines, un mois ou un an. On dit que plus vous fermentez longtemps, plus les fruits fermentent, plus le goût du gâteau de Noël est riche. Pour faire un substitut d'œuf à la farine de lin Si votre recette demande 4 œufs, mesurez 12 cuillères à soupe de farine de lin avec 6 cuillères à soupe d'eau. Remuez bien et laissez reposer le mélange pendant environ 15 minutes. Français Ce processus de repos aide le mélange de farine de lin à développer une consistance gélatineuse semblable à celle des œufs. Pour faire la pâte, passez aux étapes restantes une fois la fermentation des fruits terminée. Préchauffez le four à 170 °C. Tamisez la farine, la levure chimique et les épices ensemble et réservez. J'aime le tamiser deux fois car la farine forme de bonnes poches d'air et rend également le gâteau plus moelleux. Tapissez le fond et les côtés d'un moule à gâteau en mousse à ressort de 9 pouces d'une double couche de papier sulfurisé, en vous assurant que le papier atteint le haut du moule. Dans un grand bol ou un batteur sur socle KitchenAid, fouettez le beurre (huile) et le sucre jusqu'à consistance mousseuse. Incorporez graduellement les œufs (substitut d'œuf à base de farine de lin), un à la fois. Ajoutez lentement la farine jusqu'à ce que le tout soit bien mélangé. Ajoutez lentement les fruits secs trempés, leurs liquides, la poudre d'amande, les noix hachées et mélangez-les au mélange de farine. Ne pas trop battre, il faut juste que tous les ingrédients soient bien mélangés. Verser la préparation à gâteau ci-dessus dans le moule à charnière et égaliser la surface avec le dos d'une cuillère. Cuire au four pendant 1 heure et demie environ ou jusqu'à ce qu'une brochette insérée au centre du gâteau en ressorte propre. Le gâteau a généralement tendance à noircir beaucoup pendant la cuisson. Si cela se produit, recouvrir le dessus de papier sulfurisé à mi-cuisson. Une fois le gâteau de Noël cuit, le retirer du four et le laisser refroidir complètement dans le moule. Conserver le gâteau de Noël (sans œufs/végétalien) dans un récipient hermétique, enveloppé de papier sulfurisé et de papier aluminium, pendant deux à trois mois. Vous pouvez également cuire le gâteau de Noël traditionnel dans des moules plus petits et les offrir à votre famille pendant les fêtes. Servir le gâteau de Noël traditionnel avec du Qahwa | Recette de café arabe et du Chai au gingembre et à la cardamome (thé au lait indien infusé aux épices) pour accompagner le gâteau pour votre soirée.</t>
  </si>
  <si>
    <t>https://www.archanaskitchen.com/traditional-christmas-cake-with-an-eggless-cake-recipe</t>
  </si>
  <si>
    <t>Devil Chicken Recipe</t>
  </si>
  <si>
    <t>Rezept für Teufelshühnchen</t>
  </si>
  <si>
    <t>Recette de poulet à la diable</t>
  </si>
  <si>
    <t>Receta de pollo endiablado</t>
  </si>
  <si>
    <t>1/2 kg de poulet, 1 tasse de sauce tomate rôtie pour pâtes, 2 cuillères à soupe de sauce Worcestershire, 3 cuillères à café de gingembre râpé, 1 cuillère à soupe de cassonade (sucre Demerara), 3 gousses d'ail écrasées, 1 oignon finement haché, 1 cuillère à café de flocons de piment rouge</t>
  </si>
  <si>
    <t>1/2 Kg Chicken,1 cup Roasted tomato pasta sauce,2 tablespoons Worcestershire sauce,3 teaspoons Ginger - grated,1 tablespoons Brown Sugar (Demerara Sugar),3 cloves Garlic - crushed,1 Onion - finely chopped,1 teaspoon Red Chilli flakes</t>
  </si>
  <si>
    <t>1/2 kg de pollo, 1 taza de salsa de pasta de tomate asado, 2 cucharadas de salsa Worcestershire, 3 cucharaditas de jengibre rallado, 1 cucharada de azúcar morena (azúcar Demerara), 3 dientes de ajo machacados, 1 cebolla finamente picada, 1 cucharadita de hojuelas de chile rojo</t>
  </si>
  <si>
    <t xml:space="preserve">To begin making the Devil Chicken recipe, preheat the oven to 190°C.In a large bowl, combine the tomato sauce along with worcestershire sauce, ginger, brown sugar, garlic, onion, chilli flakes and chicken until it is well coated. Cover with cling film and refrigerate for at least 1 hour.Line a large ovenproof dish with parchment paper and transfer the chicken and all the marinade, cover with a layer of foil. Bake covered for about 1/2 an hour. Remove the foil and cook for another 20-25 minutes turning chicken occasionally and brushing with the marinade mixture. The chicken is ready when its cooked through, tender caramelized and dark golden brown. Serve Devil Chicken along with Buttered Herbed Rice Recipe , Pomegranate Mint Cocktail Recipe finished off the meal with The Bread Pudding Recipe with Baileys Irish Cream.
</t>
  </si>
  <si>
    <t>Para empezar a preparar la receta de Pollo al Diablo, precalienta el horno a 190 °C. En un tazón grande, combina la salsa de tomate junto con la salsa Worcestershire, el jengibre, el azúcar moreno, el ajo, la cebolla, las hojuelas de chile y el pollo hasta que esté bien cubierto. Cubre con film transparente y refrigera durante al menos 1 hora. Cubre una fuente grande apta para horno con papel pergamino y transfiere el pollo con toda la marinada, cubre con una capa de papel aluminio. Hornea tapado durante aproximadamente media hora. Retira el papel aluminio y cocina durante otros 20-25 minutos volteando el pollo ocasionalmente y pincelándolo con la mezcla de marinada. El pollo está listo cuando esté bien cocido, tierno, caramelizado y de color dorado oscuro. Sirve el Pollo al Diablo junto con la Receta de Arroz con Hierbas y Mantequilla, la Receta de Cóctel de Menta y Granada y remata la comida con la Receta de Budín de Pan con Crema Irlandesa Baileys.</t>
  </si>
  <si>
    <t>Pour commencer à préparer la recette du poulet du diable, préchauffez le four à 190 °C. Dans un grand bol, mélangez la sauce tomate avec la sauce Worcestershire, le gingembre, la cassonade, l'ail, l'oignon, les flocons de piment et le poulet jusqu'à ce qu'il soit bien enrobé. Couvrez d'un film alimentaire et réfrigérez pendant au moins 1 heure. Tapissez un grand plat allant au four de papier sulfurisé et transférez le poulet et toute la marinade, puis couvrez d'une couche de papier aluminium. Faites cuire à couvert pendant environ 30 minutes. Retirez le papier aluminium et laissez cuire encore 20 à 25 minutes en retournant le poulet de temps en temps et en le badigeonnant du mélange de marinade. Le poulet est prêt lorsqu'il est bien cuit, tendre, caramélisé et bien doré. Servez le poulet du diable avec la recette de riz aux herbes et au beurre, la recette de cocktail à la menthe et à la grenade, et terminez le repas avec la recette de pudding au pain avec de la crème irlandaise au Baileys.</t>
  </si>
  <si>
    <t>http://www.archanaskitchen.com/devil-chicken-recipe</t>
  </si>
  <si>
    <t>Vanilla Fruit Sauce With Left Over Fruits Recipe</t>
  </si>
  <si>
    <t>Rezept für Vanille-Fruchtsauce mit Obstresten</t>
  </si>
  <si>
    <t>Recette de sauce aux fruits à la vanille avec les restes de fruits</t>
  </si>
  <si>
    <t>Receta de salsa de vainilla con frutas sobrantes</t>
  </si>
  <si>
    <t>3 pommes, 3 bananes mûres, 1/4 tasse de myrtilles, 1/4 tasse de melon miel, 1 tasse d'eau, 1 cuillère à café d'extrait de vanille, 1 cuillère à café de miel</t>
  </si>
  <si>
    <t>3 Apples,3 Ripe Bananas,1/4 cup Blueberries,1/4 cup Honey dew melon,1 cup Water,1 teaspoon Vanilla Extract,1 teaspoon Honey</t>
  </si>
  <si>
    <t>3 manzanas, 3 plátanos maduros, 1/4 taza de arándanos, 1/4 taza de melón dulce, 1 taza de agua, 1 cucharadita de extracto de vainilla, 1 cucharadita de miel</t>
  </si>
  <si>
    <t xml:space="preserve">To begin making the Vanilla Fruit Sauce With Left Over Fruits recipe, wash and chop the fruits roughly after peeling the skin.Blend the fruits with enough water in a blender. Transfer the fruit pulp to a pot and add the remaining water, vanilla essence and honey.Let this cook and become thick like any other sauce consistency.Let it cool and store it in a bottle and refrigerate. It can stay upto a week in fridge. Serve Vanilla Fruit Sauce With Left Over Fruits along with Healthy Oats Waffles Recipe and Chocolate Banana Smoothie Recipe for a delicious Sunday breakfast. 
</t>
  </si>
  <si>
    <t>Para empezar a preparar la receta de Salsa de Vainilla con Frutas Sobrantes, lava y pica las frutas gruesas después de pelarlas. Licúa las frutas con suficiente agua en una licuadora. Transfiere la pulpa a una olla y añade el agua restante, la esencia de vainilla y la miel. Deja que se cocine hasta que espese como cualquier otra salsa. Deja enfriar, guarda en una botella y refrigera. Se puede conservar hasta una semana en el refrigerador. Sirve la Salsa de Vainilla con Frutas Sobrantes junto con la Receta de Waffles de Avena Saludables y la Receta de Smoothie de Chocolate y Plátano para un delicioso desayuno dominical.</t>
  </si>
  <si>
    <t>Pour préparer la recette de sauce aux fruits à la vanille avec les restes de fruits, lavez et coupez grossièrement les fruits après les avoir épluchés. Mixez-les avec suffisamment d'eau dans un blender. Transférez la pulpe dans une casserole et ajoutez le reste d'eau, l'essence de vanille et le miel. Laissez cuire jusqu'à obtenir une consistance épaisse, comme n'importe quelle autre sauce. Laissez refroidir, conservez-la dans une bouteille et réfrigérez-la. Elle se conserve jusqu'à une semaine au réfrigérateur. Servez la sauce aux fruits à la vanille avec les restes de fruits, accompagnée de la recette de gaufres à l'avoine et du smoothie chocolat-banane pour un délicieux petit-déjeuner dominical.</t>
  </si>
  <si>
    <t>http://www.archanaskitchen.com/vanilla-fruit-sauce-with-left-over-fruits-recipe</t>
  </si>
  <si>
    <t>Peanut Butter Cookies Recipe</t>
  </si>
  <si>
    <t>Rezept für Erdnussbutterkekse</t>
  </si>
  <si>
    <t>Recette de biscuits au beurre de cacahuète</t>
  </si>
  <si>
    <t>Receta de galletas de mantequilla de maní</t>
  </si>
  <si>
    <t>1-3/4 tasse de Vivatta Maida, 1/2 cuillère à café de levure chimique, 1 tasse de beurre de cacahuète - onctueux, extrait de vanille - quelques gouttes, 1 tasse de sucre glace, 3/4 tasse de beurre (non salé) - ramolli</t>
  </si>
  <si>
    <t>1-3/4 cup Vivatta Maida,1/2 teaspoon Baking powder,1 cup Peanut Butter - Smooth,Vanilla Extract - Few drops,1 cup Icing Sugar,3/4 cup Butter (unsalted) - softened</t>
  </si>
  <si>
    <t>1-3/4 taza de Vivatta Maida, 1/2 cucharadita de polvo para hornear, 1 taza de mantequilla de maní - suave, extracto de vainilla - unas gotas, 1 taza de azúcar glas, 3/4 taza de mantequilla (sin sal) - ablandada</t>
  </si>
  <si>
    <t xml:space="preserve">To begin making the Peanut Butter Cookies recipe, Pre-heat the oven at 350 F for 15 minutes.In a large bowl, add unsalted butter and peanut butter. Mix them well, an once it is mixed properly add sugar to it. Mix them again till the mixture turn creamy. Next, add vanilla essence to it. Sieve all purpose flour and baking powder in to the creamed butter mixer. Mix them slowly and form a dough.Divide the dough to equal parts and roll each of them to balls. Flatten each ball slightly by pressing it between palm and give some design using a fork or a cookie press if you have one. Place the shaped and designed cookie on a cookie tray lined with parchment paper.Bake for 10 to 15 minutes at 350 F. Check and bake till the cookies are light brown. Once baked let them sit on the tray for 10 to 15 mins again, after they cool transfer them to a wire rack and let them cool completely. Once they are done cooling transfer them to an air tight container and enjoy.Serve Peanut Butter Cookies along with Masala Mixed Sprouts Sandwich and Masala Chai for your tea time snack.
</t>
  </si>
  <si>
    <t>Para comenzar a hacer la receta de Galletas de Mantequilla de Maní, Precaliente el horno a 350 F por 15 minutos. En un tazón grande, agregue mantequilla sin sal y mantequilla de maní. Mézclelos bien, y una vez que esté bien mezclado agregue azúcar. Mézclelos nuevamente hasta que la mezcla se vuelva cremosa. Luego, agregue esencia de vainilla. Tamice la harina para todo uso y el polvo de hornear en la batidora de mantequilla cremosa. Mézclelos lentamente y forme una masa. Divida la masa en partes iguales y forme bolas con cada una de ellas. Aplane cada bola ligeramente presionándola entre la palma y dele un diseño con un tenedor o una prensa para galletas si tiene una. Coloque la galleta formada y diseñada en una bandeja para hornear forrada con papel pergamino. Hornee durante 10 a 15 minutos a 350 F. Verifique y hornee hasta que las galletas estén de color marrón claro. Una vez horneadas, déjelas reposar en la bandeja durante 10 a 15 minutos nuevamente, después de que se enfríen, transfiéralas a una rejilla de alambre y déjelas enfriar por completo. Una vez que se hayan enfriado, transfiéralas a un recipiente hermético y disfrútalas. Sirve las galletas de mantequilla de maní junto con el sándwich de brotes mixtos Masala y el Masala Chai como refrigerio para la hora del té.</t>
  </si>
  <si>
    <t>Pour commencer à préparer la recette des biscuits au beurre de cacahuète, préchauffez le four à 350 °F pendant 15 minutes. Dans un grand bol, ajoutez le beurre non salé et le beurre de cacahuète. Mélangez-les bien, et une fois qu'il est bien mélangé, ajoutez-y le sucre. Mélangez-les à nouveau jusqu'à ce que le mélange devienne crémeux. Ensuite, ajoutez-y l'essence de vanille. Tamisez la farine tout usage et la levure chimique dans le mélangeur à beurre crémeux. Mélangez-les lentement et formez une pâte. Divisez la pâte en parts égales et roulez chacune d'elles en boules. Aplatissez légèrement chaque boule en la pressant entre les paumes et donnez un motif à l'aide d'une fourchette ou d'une presse à biscuits si vous en avez une. Placez le biscuit façonné et conçu sur une plaque à biscuits recouverte de papier sulfurisé. Faites cuire au four pendant 10 à 15 minutes à 350 °F. Vérifiez et faites cuire jusqu'à ce que les biscuits soient légèrement dorés. Une fois cuits, laissez-les reposer sur la plaque pendant 10 à 15 minutes à nouveau, après qu'ils aient refroidi, transférez-les sur une grille et laissez-les refroidir complètement. Une fois refroidis, transférez-les dans un récipient hermétique et dégustez. Servez les biscuits au beurre de cacahuète avec un sandwich aux pousses mélangées Masala et du Masala Chai pour votre collation à l'heure du thé.</t>
  </si>
  <si>
    <t>http://www.archanaskitchen.com/peanut-butter-cookies-recipe</t>
  </si>
  <si>
    <t>Open Toast Macaroni Recipe</t>
  </si>
  <si>
    <t>Rezept für offene Toast-Makkaroni</t>
  </si>
  <si>
    <t>Recette de macaronis toastés ouverts</t>
  </si>
  <si>
    <t>Receta de macarrones tostados abiertos</t>
  </si>
  <si>
    <t>4 pains complets bruns, 1 cuillère à soupe de beurre, 250 grammes de pâtes macaroni, 1 cuillère à soupe de beurre, 1 cuillère à soupe de farine tout usage (Maida), 1 1/2 tasse de lait, 1 cuillère à café de feuilles de thym séchées, 1 cuillère à café de poudre de poivre noir, 2 cuillères à soupe de sauce tomate rôtie pour pâtes, 1 tasse de fromage râpé, sel (à ajuster selon votre goût), 4 brins de feuilles de basilic</t>
  </si>
  <si>
    <t>4 Whole Wheat Brown Bread,1 tablespoon Butter,250 grams Macaroni pasta,1 tablespoon Butter,1 tablespoon All Purpose Flour (Maida),1 1/2 cup Milk,1 teaspoon Dried Thyme Leaves,1 teaspoon Black pepper powder,2 tablespoons Roasted tomato pasta sauce,1 cup Cheese - grated,Salt - (adjust according to your taste),4 sprig Basil leaves</t>
  </si>
  <si>
    <t>4 panes integrales, 1 cucharada de mantequilla, 250 gramos de macarrones, 1 cucharada de mantequilla, 1 cucharada de harina para todo uso (Maida), 1 1/2 taza de leche, 1 cucharadita de hojas de tomillo secas, 1 cucharadita de pimienta negra en polvo, 2 cucharadas de salsa de pasta de tomate asado, 1 taza de queso rallado, sal (ajustar a su gusto), 4 ramitas de hojas de albahaca</t>
  </si>
  <si>
    <t xml:space="preserve">To begin making the Open Toast Marconi Recipe, we will first boil the macaroni pasta in water over a sauce pan. Sprinkle some salt and boil it for over 20 minutes.Check if the pasta is cooked, it has to be just Al-dante (just cooked). When done, drain the water and wash the pasta over cold running water and drizzle some olive oil to freeze the cooking process.We will move on to making the sauce for the pasta. Heat a sauce pan with 1 tablespoon butter. As the butter starts melting. Add a tablespoon of maida and whisk using a whisker and you will see the maida starts to crumble a bit.As soon as the butter and maida combines, you can add milk and start whisking to prevent any lumps.Add in pepper powder, thyme, pasta sauce, salt and keep whisking it. You can adjust the consistency of the sauce as you wish by adding some more milk.Once the consistency is set right, add in the grated cheese, freshly torn basil leaves and boiled pasta. Give it a stir so that the pasta coats really well with the sauce. Switch off the heat and set aside.Heat another flat skillet over a medium heat. Spread the butter on either side of the bread and toast it on to the tawa. Toast for about 2 minutes on either side until it is golden brown.Take the toast out and add 2 tablespoons of the mac and cheese on top and serve warm.Serve the Open Toast Marconi Recipe along with a glass of Plum Ginger Juice and White Bean Salad with Onions and Bell peppers by the side.
</t>
  </si>
  <si>
    <t>Para empezar a preparar la receta de Marconi con tostadas abiertas, primero herviremos la pasta de macarrones en agua en una cacerola. Espolvoreamos con sal y la hervimos durante más de 20 minutos. Comprueba si la pasta está cocida; debe estar al punto. Una vez cocida, escurre el agua y enjuaga la pasta con agua fría corriente. Rocía con un chorrito de aceite de oliva para congelar la cocción. A continuación, prepararemos la salsa para la pasta. Calienta una cacerola con 1 cucharada de mantequilla. Cuando la mantequilla empiece a derretirse, añade una cucharada de maida y bate con unas varillas; verás que la maida empieza a desmoronarse un poco. En cuanto la mantequilla y la maida se integren, puedes añadir leche y batir para evitar grumos. Añade pimienta en polvo, tomillo, salsa para pasta, sal y sigue batiendo. Puedes ajustar la consistencia de la salsa al gusto añadiendo un poco más de leche. Una vez que la consistencia esté bien cocida, añade el queso rallado, las hojas de albahaca recién cortadas y la pasta hervida. Remueve para que la pasta se impregne bien de la salsa. Apaga el fuego y reserva. Calienta otra sartén plana a fuego medio. Unta la mantequilla por ambos lados del pan y tuéstalo en la tawa. Tuéstalo durante unos 2 minutos por cada lado hasta que esté dorado. Retira la tostada, añade 2 cucharadas de macarrones con queso por encima y sirve caliente. Sirve la receta de tostada Marconi abierta junto con un vaso de zumo de ciruela y jengibre y una ensalada de judías blancas con cebolla y pimientos.</t>
  </si>
  <si>
    <t>Pour commencer la recette des Marconi toastés, nous allons d'abord faire bouillir les macaronis dans une casserole d'eau. Saupoudrer de sel et laisser mijoter pendant plus de 20 minutes. Vérifier la cuisson des pâtes : elles doivent être al dante (à peine cuites). Une fois cuites, égoutter et rincer les pâtes à l'eau froide courante, puis arroser d'un filet d'huile d'olive pour figer la cuisson. Nous allons maintenant préparer la sauce pour les pâtes. Faire chauffer une casserole avec 1 cuillère à soupe de beurre. Lorsque le beurre commence à fondre, ajouter une cuillère à soupe de maida et fouetter à l'aide d'un fouet. Vous verrez la maida s'émietter légèrement. Dès que le beurre et la maida sont bien mélangés, ajouter le lait et fouetter pour éviter les grumeaux. Ajouter le poivre en poudre, le thym, la sauce pour pâtes, le sel et continuer à fouetter. Vous pouvez ajuster la consistance de la sauce en ajoutant du lait. Une fois la consistance obtenue, ajouter le fromage râpé, les feuilles de basilic fraîchement ciselées et les pâtes cuites. Remuez bien pour que les pâtes soient bien enrobées de sauce. Éteignez le feu et réservez. Faites chauffer une autre poêle à feu moyen. Beurrez les deux côtés du pain et faites-le griller sur le tawa. Faites-le griller environ 2 minutes de chaque côté jusqu'à ce qu'il soit doré. Retirez le pain grillé, ajoutez 2 cuillères à soupe de macaroni au fromage et servez chaud. Servez la recette de Marconi avec un verre de jus de prune et gingembre et une salade de haricots blancs aux oignons et poivrons.</t>
  </si>
  <si>
    <t>https://www.archanaskitchen.com/open-toast-marconi-recipe</t>
  </si>
  <si>
    <t>Healthy Vanilla Chocolate Chip Breakfast Muffins Recipe</t>
  </si>
  <si>
    <t>Rezept für gesunde Frühstücksmuffins mit Vanille-Schokoladenstückchen</t>
  </si>
  <si>
    <t>Recette de muffins sains pour le petit-déjeuner avec des pépites de chocolat à la vanille</t>
  </si>
  <si>
    <t>Receta de muffins saludables para el desayuno con chispas de chocolate y vainilla</t>
  </si>
  <si>
    <t>1/2 tasse de flocons d'avoine instantanés (gruau), 2 cuillères à soupe de farine de sarrasin (Kuttu Ka Atta) - ou de farine de ragi, 1/2 tasse de bananes mûres - écrasées, 1/4 tasse de beurre de cacahuète, 1/4 tasse de sirop d'érable - ou de miel, 2 cuillères à café d'extrait de vanille, 3/4 cuillère à café de levure chimique, 250 grammes de Kala Chana (pois chiches bruns) - trempés pendant 8 heures et cuits, 1 cuillère à café de sel de fruit Enos - sans saveur, 1 pincée de sel, 2 cuillères à soupe de pépites de chocolat</t>
  </si>
  <si>
    <t>1/2 cup Instant Oats (Oatmeal),2 tablespoons Buckwheat Flour (Kuttu Ka Atta) - or ragi flour,1/2 cup Ripe Bananas - mashed,1/4 cup Peanut Butter,1/4 cup Maple syrup - or honey,2 teaspoons Vanilla Extract,3/4 teaspoon Baking powder,250 grams Kala Chana (Brown Chickpeas) - soaked for 8 hours and cooked,1 teaspoon Enos fruit salt - unflavoured,1 pinch Salt,2 tablespoon Chocolate chips</t>
  </si>
  <si>
    <t>1/2 taza de avena instantánea (avena), 2 cucharadas de harina de trigo sarraceno (Kuttu Ka Atta) o harina de ragi, 1/2 taza de plátanos maduros machacados, 1/4 taza de mantequilla de maní, 1/4 taza de jarabe de arce o miel, 2 cucharaditas de extracto de vainilla, 3/4 cucharadita de polvo para hornear, 250 gramos de Kala Chana (garbanzos marrones) remojados durante 8 horas y cocidos, 1 cucharadita de sal de fruta Enos sin sabor, 1 pizca de sal, 2 cucharadas de chispas de chocolate</t>
  </si>
  <si>
    <t xml:space="preserve">To start preparing Healthy Vanilla Chocolate Chip Breakfast Muffins Recipe, get all the ingredients handy first. Preheat oven to 180 degree Celsius and line a muffin tray with muffin papers (alternately, you can also grease them and proceed).Remove as much as moisture possible from chickpeas by patting it dry with a kitchen towel.In a hand blender/ food processor add banana, peanut butter, salt, maple syrup, chickpeas, baking powder and blend until smooth.To this mixture, fold in the quick oats, buckwheat flour, and chocolate chips one after the other in the mix well.Mix eno in a tablespoon of water and slowly incorporate this into the muffin batter. Make sure you do not overwork the batter as the air bubbles from eno might escape, leaving you with a very dense muffin.Put the batter into muffin tray, fill it up till 3/4th and bake in the oven for 12-18 minutes. Do a toothpick test. If the toothpick comes out clean, the muffins are done. Else, bake it further for two minutes.Serve the Healthy Vanilla Chocolate Chip Breakfast Muffins Recipe  with a strong cup of coffee for breakfast or pack the muffins with fresh fruits for kids’ snack box idea.
</t>
  </si>
  <si>
    <t>Para preparar la receta de Muffins Saludables de Vainilla con Chispas de Chocolate para el Desayuno, ten todos los ingredientes a mano. Precalienta el horno a 180 grados Celsius y forra una bandeja para muffins con papel de hornear (también puedes engrasarlo). Retira la mayor cantidad de humedad posible de los garbanzos secándolos con un paño de cocina. En una licuadora/procesador de alimentos, agrega el plátano, la mantequilla de cacahuete, la sal, el jarabe de arce, los garbanzos y la levadura en polvo, y mezcla hasta obtener una mezcla suave. A esta mezcla, incorpora la avena instantánea, la harina de trigo sarraceno y las chispas de chocolate, una tras otra, hasta integrar bien. Mezcla el eno con una cucharada de agua e incorpóralo lentamente a la masa de los muffins. Asegúrate de no trabajar demasiado la masa, ya que las burbujas de aire del eno podrían escaparse y quedar muy densos. Vierte la masa en una bandeja para muffins, llénala hasta 3/4 partes y hornea durante 12-18 minutos. Haz la prueba del palillo. Si el palillo sale limpio, los muffins están listos. De lo contrario, hornéalos dos minutos más. Sirve la receta de muffins saludables de vainilla con chispas de chocolate para el desayuno con un café bien cargado o llénalos con fruta fresca para la merienda de los niños.</t>
  </si>
  <si>
    <t>Pour commencer à préparer des muffins santé à la vanille et aux pépites de chocolat, rassemblez tous les ingrédients. Préchauffez le four à 180 °C et chemisez un moule à muffins de papier sulfurisé (vous pouvez également le graisser avant de continuer). Égouttez les pois chiches en les tamponnant avec un torchon. Dans un mixeur plongeant, ajoutez la banane, le beurre de cacahuète, le sel, le sirop d'érable, les pois chiches et la levure chimique, puis mixez jusqu'à obtenir une consistance lisse. Incorporez ensuite les flocons d'avoine, la farine de sarrasin et les pépites de chocolat, l'un après l'autre, en veillant à bien mélanger. Délayez l'eno dans une cuillère à soupe d'eau et incorporez-le lentement à la pâte à muffins. Veillez à ne pas trop travailler la pâte, car les bulles d'air de l'eno pourraient s'échapper et vous obtiendrez un muffin très dense. Versez la pâte dans un moule à muffins, remplissez-le aux 3/4 et enfournez pour 12 à 18 minutes. Testez avec un cure-dent : si le cure-dent ressort propre, les muffins sont cuits. Sinon, faites-le cuire encore deux minutes. Servez la recette de muffins sains au chocolat et à la vanille pour le petit-déjeuner avec une tasse de café fort pour le petit-déjeuner ou emballez les muffins avec des fruits frais pour une idée de boîte à goûter pour enfants.</t>
  </si>
  <si>
    <t>http://www.archanaskitchen.com/healthy-vanilla-chocolate-chip-breakfast-muffins-recipe</t>
  </si>
  <si>
    <t>Savory Melon Salad Recipe - Spiced with Ginger &amp; Mint</t>
  </si>
  <si>
    <t>Pikanter Melonensalat Rezept – Gewürzt mit Ingwer &amp; Minze</t>
  </si>
  <si>
    <t>Recette de salade de melon épicée – assaisonnée au gingembre et à la menthe</t>
  </si>
  <si>
    <t>Receta de ensalada de melón picante con jengibre y menta</t>
  </si>
  <si>
    <t>1/2 pastèque - coupée en dés, 1/2 melon musqué - coupé en dés, 2 concombres - pelés et coupés en dés, feuilles de menthe (Pudina) - un petit bouquet, 2 cuillères à café d'huile d'olive extra vierge, jus de citron - de 2 citrons, 2 cuillères à café de miel, 2,5 cm de gingembre - râpé, 1 Tabasco Original - Sauce piquante - arroser selon vos préférences, Sel - selon votre goût</t>
  </si>
  <si>
    <t>1/2 Watermelon - cut into cubes,1/2 Musk Melon - cut into cubes,2 Cucumbers - peeled and diced,Mint Leaves (Pudina) - a small bunch,2 teaspoon Extra Virgin Olive Oil,Lemon juice - from 2 lemons,2 teaspoon Honey,1 inch Ginger - grated,1 Tabasco Original - Hot Sauce - drizzle over as per preference,Salt - as per taste</t>
  </si>
  <si>
    <t>1/2 Sandía - cortada en cubos, 1/2 Melón almizclero - cortado en cubos, 2 Pepinos - pelados y cortados en cubitos, Hojas de menta (Pudina) - un manojo pequeño, 2 cucharaditas de aceite de oliva virgen extra, Jugo de limón - de 2 limones, 2 cucharaditas de miel, 1 pulgada de jengibre - rallado, 1 Tabasco Original - Salsa picante - rocíe según su preferencia, Sal - al gusto</t>
  </si>
  <si>
    <t xml:space="preserve">To begin making the Savory Melon Salad Recipe, we will first cube or ball the melons to bite size pieces. Add the cut melons into a large salad mixing bowl. Our next step is to combine all the ingredients for the dressing. Add the dressing ingredients into a small bowl and using a fork whisk all the ingredients together until well combined. You can prepare the dressing ahead of time and store it in a small jar in the refrigerator and use as desired.Once the salad dressing is ready, pour it over the cut melons and give the salad a good stir. Stir in the chopped mint leaves and feta cheese.Serve Savory Melon Salad along with Grilled Sub Sandwich With Paneer &amp; Roasted Vegetables for a light summer lunch.
</t>
  </si>
  <si>
    <t>Para empezar a preparar la receta de ensalada de melón sabrosa, primero cortaremos los melones en cubos o bolas del tamaño de un bocado. Añada los melones cortados a un tazón grande para mezclar ensaladas. Nuestro siguiente paso es combinar todos los ingredientes para el aderezo. Añada los ingredientes del aderezo a un tazón pequeño y, con un tenedor, bata todos los ingredientes hasta que estén bien combinados. Puede preparar el aderezo con anticipación y guardarlo en un frasco pequeño en el refrigerador para usarlo como desee. Una vez que el aderezo esté listo, viértalo sobre los melones cortados y revuelva bien la ensalada. Agregue las hojas de menta picadas y el queso feta. Sirva la ensalada de melón sabrosa junto con un sándwich submarino a la parrilla con paneer y verduras asadas para un almuerzo ligero de verano.</t>
  </si>
  <si>
    <t>Pour commencer à préparer la recette de salade de melon salée, nous allons d'abord couper les melons en dés ou en boules. Ajoutez les melons coupés dans un grand saladier. L'étape suivante consiste à mélanger tous les ingrédients de la vinaigrette. Ajoutez les ingrédients de la vinaigrette dans un petit bol et, à l'aide d'une fourchette, fouettez tous les ingrédients jusqu'à ce qu'ils soient bien mélangés. Vous pouvez préparer la vinaigrette à l'avance et la conserver dans un petit pot au réfrigérateur et l'utiliser comme vous le souhaitez. Une fois la vinaigrette prête, versez-la sur les melons coupés et remuez bien la salade. Incorporez les feuilles de menthe hachées et la feta. Servez la salade de melon salée avec un sandwich grillé au paneer et aux légumes rôtis pour un déjeuner d'été léger.</t>
  </si>
  <si>
    <t>http://www.archanaskitchen.com/savory-melon-salad-recipe-spiced-with-ginger-mint</t>
  </si>
  <si>
    <t>Ginger Brandy Cookie Recipe</t>
  </si>
  <si>
    <t>Rezept für Ingwer-Brandy-Kekse</t>
  </si>
  <si>
    <t>Recette de biscuits au gingembre et à l'eau-de-vie</t>
  </si>
  <si>
    <t>Receta de galletas de jengibre y brandy</t>
  </si>
  <si>
    <t>2 tasses de farine tout usage (Maida), 1/4 cuillère à café de sel, 1 cuillère à café de levure chimique, 1 cuillère à soupe de poudre de gingembre sec, 2 cuillères à café de poudre de cannelle (Dalchini), 1/2 tasse de beurre ramolli, 1/2 tasse de sucre, 1/4 tasse de miel, 1 œuf entier, 2 cuillères à soupe de brandy</t>
  </si>
  <si>
    <t>2 cups All Purpose Flour (Maida),1/4 teaspoon Salt,1 teaspoon Baking powder,1 tablespoon Dry ginger powder,2 teaspoons Cinnamon Powder (Dalchini),1/2 cup Butter - softened,1/2 cup Sugar,1/4 cup Honey,1 Whole Eggs,2 tablespoons Brandy</t>
  </si>
  <si>
    <t>2 tazas de harina para todo uso (Maida), 1/4 cucharadita de sal, 1 cucharadita de polvo para hornear, 1 cucharada de jengibre en polvo seco, 2 cucharaditas de canela en polvo (Dalchini), 1/2 taza de mantequilla ablandada, 1/2 taza de azúcar, 1/4 taza de miel, 1 huevo entero, 2 cucharadas de brandy</t>
  </si>
  <si>
    <t xml:space="preserve">To begin making the Ginger Brandy Cookie Recipe, cream the butter, sugar until light and fluffy. Add the honey, brandy and eggs and beat well until well combined.In a separate bowl, sift together the flour, salt, baking powder, ginger and cinnamon powder.  Gradually beat in the dry flour ingredients to the butter mixture. Combine well to form the cookie dough. Once it forms a cookie dough, cover with a clingfilm and refrigerate for 30 minutes.Preheat the oven to 180 C. Prepare the baking sheet by lining it with parchment paper.Shape the ginger brandy cookie dough into 1 inch balls and place them on the baking sheet. Bake for about 12 minutes, until just firm and a bit crisp around the edges. Remove the Ginger Brandy Cookies from the oven and transfer to a wire rack and let cool completely.Store the Ginger Brandy Cookies in airtight containers and serve as a snack for the holiday season. 
</t>
  </si>
  <si>
    <t>Para empezar a preparar la receta de galletas de jengibre y brandy, bata la mantequilla y el azúcar hasta obtener una mezcla ligera y esponjosa. Añada la miel, el brandy y los huevos y bata bien hasta que estén bien combinados. En un bol aparte, tamice la harina, la sal, el polvo para hornear, el jengibre y la canela en polvo. Incorpore gradualmente los ingredientes secos de la harina a la mezcla de mantequilla. Combine bien para formar la masa de galletas. Una vez formada, cúbrala con film transparente y refrigérela durante 30 minutos. Precaliente el horno a 180 °C. Prepare la bandeja para hornear forrándola con papel vegetal. Forme bolas de 2,5 cm con la masa de galletas de jengibre y brandy y colóquelas en la bandeja. Hornee durante unos 12 minutos, hasta que estén firmes y ligeramente crujientes en los bordes. Retire las galletas de jengibre y brandy del horno, páselas a una rejilla y déjelas enfriar por completo. Guarde las galletas de jengibre y brandy en recipientes herméticos y sírvalas como refrigerio para las fiestas.</t>
  </si>
  <si>
    <t>Pour commencer la recette des biscuits au gingembre et au brandy, crémez le beurre et le sucre jusqu'à obtenir une consistance légère et mousseuse. Ajoutez le miel, le brandy et les œufs et battez bien jusqu'à obtenir un mélange homogène. Dans un autre bol, tamisez la farine, le sel, la levure chimique, le gingembre et la cannelle en poudre. Incorporez progressivement les ingrédients secs à la farine au mélange de beurre. Mélangez bien pour former la pâte à biscuits. Une fois la pâte obtenue, couvrez d'un film alimentaire et réservez au réfrigérateur pendant 30 minutes. Préchauffez le four à 180 °C. Préparez la plaque de cuisson en la recouvrant de papier sulfurisé. Façonnez la pâte à biscuits au gingembre et au brandy en boules de 2,5 cm et déposez-les sur la plaque. Faites cuire environ 12 minutes, jusqu'à ce qu'elles soient fermes et légèrement croustillantes sur les bords. Retirez les biscuits au gingembre et au brandy du four, transférez-les sur une grille et laissez-les refroidir complètement. Conservez les biscuits au gingembre et au brandy dans des contenants hermétiques et servez-les comme collation pour les fêtes.</t>
  </si>
  <si>
    <t>https://www.archanaskitchen.com/ginger-brandy-cookie-recipe</t>
  </si>
  <si>
    <t>Rezept für Pilz-Brokkoli-Suppe</t>
  </si>
  <si>
    <t>Recette de soupe aux champignons et au brocoli</t>
  </si>
  <si>
    <t>Receta de sopa de champiñones y brócoli</t>
  </si>
  <si>
    <t>1 brocoli coupé en fleurons, 200 grammes de champignons de Paris hachés, 1 cuillère à café de graines de cumin (Jeera) écrasées, 2 cuillères à café de grains de poivre noir entiers écrasés, sel selon les besoins, 2 cuillères à soupe de crème fraîche, feuilles de coriandre (Dhania) selon les besoins, 1 cuillère à café d'huile de tournesol</t>
  </si>
  <si>
    <t>1 Broccoli - cut into florets,200 grams Button mushrooms - chopped,1 teaspoon Cumin seeds (Jeera) - crushed,2 teaspoons Whole Black Peppercorns - crushed,Salt - as required,2 tablespoons Fresh cream,Coriander (Dhania) Leaves - as required,1 teaspoon Sunflower Oil</t>
  </si>
  <si>
    <t>1 brócoli - cortado en floretes, 200 gramos de champiñones picados, 1 cucharadita de semillas de comino (Jeera) trituradas, 2 cucharaditas de granos de pimienta negra enteros triturados, sal - al gusto, 2 cucharadas de crema fresca, hojas de cilantro (Dhania) al gusto, 1 cucharadita de aceite de girasol</t>
  </si>
  <si>
    <t xml:space="preserve">To begin making the Mushroom and Broccoli Soup recipe, wash the broccoli and mushrooms. Cut broccoli into florets and slice mushroom into pieces. Keep it aside.Heat oil in a pressure cooker. Once hot, add coarsely crushed cumin and whole black peppercorns. Saute for a minute.Now add broccoli and saute for a minute. Add mushrooms and saute until it starts leaving water.Pour 2 cups of water and add required salt. Stir well and pressure cook for 2 whistles.Once the pressure releases, open cooker and allow the Mushroom and Broccoli Soup to cool a bit. Now using hand blender, mash and blend everything until smooth.Pour the Mushroom and Broccoli Soup in soup bowl and add a tablespoon of fresh cream on top. Garnish with coriander leaves, crushed pepper and serve hot.Serve Mushroom and Broccoli Soup as a starter before your simple meal of Panchmel Dal, Aloo Bhindi Ki Sabzi and Phulka for a weekday meal.
</t>
  </si>
  <si>
    <t>Para comenzar a hacer la receta de Sopa de Champiñones y Brócoli, lava el brócoli y los champiñones. Corta el brócoli en floretes y corta el champiñón en trozos. Mantenlo a un lado. Calienta el aceite en una olla a presión. Una vez caliente, agrega comino triturado grueso y granos de pimienta negra enteros. Saltea por un minuto. Ahora agrega el brócoli y saltea por un minuto. Agrega los champiñones y saltea hasta que comiencen a soltar agua. Vierte 2 tazas de agua y agrega la sal requerida. Revuelve bien y cocina a presión durante 2 silbidos. Una vez que se libera la presión, abre la olla y deja que la Sopa de Champiñones y Brócoli se enfríe un poco. Ahora, usando una batidora de mano, tritura y mezcla todo hasta que esté suave. Vierte la Sopa de Champiñones y Brócoli en un tazón de sopa y agrega una cucharada de crema fresca en la parte superior. Decorar con hojas de cilantro, pimienta molida y servir caliente. Sirva la sopa de champiñones y brócoli como entrante antes de su comida sencilla de Panchmel Dal, Aloo Bhindi Ki Sabzi y Phulka para una comida entre semana.</t>
  </si>
  <si>
    <t>Pour commencer la recette de soupe aux champignons et au brocoli, lavez le brocoli et les champignons. Coupez le brocoli en fleurettes et les champignons en morceaux. Réservez. Faites chauffer l'huile dans une cocotte-minute. Une fois chaude, ajoutez le cumin grossièrement concassé et les grains de poivre noir entiers. Faites revenir une minute. Ajoutez ensuite le brocoli et faites-le revenir une minute. Ajoutez les champignons et faites-les revenir jusqu'à ce qu'ils commencent à s'imprégner d'eau. Versez 500 ml d'eau et ajoutez le sel nécessaire. Bien mélanger et cuire sous pression pendant 2 sifflets. Une fois la pression retombée, ouvrez la cocotte et laissez refroidir légèrement la soupe aux champignons et au brocoli. À l'aide d'un mixeur plongeant, écrasez et mixez le tout jusqu'à obtenir une consistance lisse. Versez la soupe aux champignons et au brocoli dans un bol et ajoutez une cuillère à soupe de crème fraîche. Garnissez de feuilles de coriandre et de poivre concassé et servez chaud. Servez la soupe aux champignons et au brocoli en entrée avant votre repas simple de semaine composé de Panchmel Dal, d'Aloo Bhindi Ki Sabzi et de Phulka.</t>
  </si>
  <si>
    <t>https://www.archanaskitchen.com/mushroom-broccoli-soup-recipe</t>
  </si>
  <si>
    <t>Spicy Peanut, Black Rice Salad With Mango, Grapes And Avocado Recipe</t>
  </si>
  <si>
    <t>Rezept für würzigen Erdnuss-Schwarzreis-Salat mit Mango, Trauben und Avocado</t>
  </si>
  <si>
    <t>Recette de salade épicée aux cacahuètes et au riz noir avec mangue, raisins et avocat</t>
  </si>
  <si>
    <t>Ensalada picante de cacahuete y arroz negro con mango, uvas y aguacate</t>
  </si>
  <si>
    <t>2 tasses de riz noir cuit et assaisonné de sel, 1 orange pelée, 1/3 tasse de jus de citron, 2 cuillères à soupe d'huile d'olive extra vierge, 1 cuillère à soupe de sauce hoisin maison, 1/2 tasse de raisins verts sans pépins coupés en dés, 1 mangue mûre pelée, 1 avocat pelé, 1/2 tasse de feuilles de coriandre hachées, 1 oignon finement haché, 1/2 tasse de cacahuètes bouillies, 1 piment vert haché, 1 gousse d'ail hachée, 4 oignons nouveaux (bulbes et feuilles) finement tranchés, sel et poivre au goût</t>
  </si>
  <si>
    <t>2 cups Black Rice - cooked and seasoned with salt,1 Orange - peeled,1/3 cup Lemon juice,2 tablespoon Extra Virgin Olive Oil,1 tablespoon Homemade Hoisin Sauce,1/2 cup Green seedless Grapes - diced,1 Mango (Ripe) - peeled,1 Avocado - peeled,1/2 cup Coriander (Dhania) Leaves - chopped,1 Onion - finely chopped,1/2 cup Boiled Peanuts,1 Green Chilli - minced,1 clove Garlic - minced,4 Spring Onion (Bulb &amp; Greens) - thinly sliced,Salt and Pepper - to taste</t>
  </si>
  <si>
    <t>2 tazas de arroz negro - cocido y sazonado con sal, 1 naranja - pelada, 1/3 taza de jugo de limón, 2 cucharadas de aceite de oliva virgen extra, 1 cucharada de salsa hoisin casera, 1/2 taza de uvas verdes sin semillas - cortadas en cubitos, 1 mango (maduro) - pelado, 1 aguacate - pelado, 1/2 taza de hojas de cilantro (Dhania) - picadas, 1 cebolla - finamente picada, 1/2 taza de maní hervido, 1 chile verde - picado, 1 diente de ajo - picado, 4 cebollas de verdeo (bulbo y hojas) - en rodajas finas, sal y pimienta - al gusto</t>
  </si>
  <si>
    <t xml:space="preserve">To begin making Spicy Peanut, Black Rice Salad With Mango, Grapes And Avocado first place all he chopped mangoes and avocados in a medium bowl. Tumble the grapes and peanuts over it.Next, add the cooked black rice and combine.To prepare the dressing, add lemon juice, orange juice, olive oil, hoisin sauce, chopped green chilli, scallions, garlic into a smaller mixing bowl and whisk together with a fork.Season with salt and pepper and stir well once again. Store the dressing in the refrigerator until ready to use.When ready to serve, pour the dressing all over the salad and toss together to combine. Serve Spicy Peanut, Black Rice Salad With Mango, Grapes And Avocado along with Whole Wheat Crust Pizza with Zucchini and Basil Sauce for a weekend dinner.
</t>
  </si>
  <si>
    <t>Para empezar a preparar la ensalada picante de cacahuetes, arroz negro, mango, uvas y aguacate, primero coloca todos los mangos y aguacates picados en un tazón mediano. Revuelve las uvas y los cacahuetes encima. Luego, agrega el arroz negro cocido y mezcla. Para preparar el aderezo, agrega jugo de limón, jugo de naranja, aceite de oliva, salsa hoisin, chile verde picado, cebolletas y ajo en un tazón más pequeño y bate con un tenedor. Sazona con sal y pimienta y revuelve bien una vez más. Guarda el aderezo en el refrigerador hasta que esté listo para usar. Cuando esté listo para servir, vierte el aderezo por toda la ensalada y revuelve para combinar. Sirve la ensalada picante de cacahuetes, arroz negro con mango, uvas y aguacate junto con la pizza con masa integral de trigo con salsa de calabacín y albahaca para una cena de fin de semana.</t>
  </si>
  <si>
    <t>Pour commencer à préparer la salade épicée de cacahuètes, de riz noir, de mangue, de raisin et d'avocat, placez d'abord toutes les mangues et tous les avocats hachés dans un bol moyen. Versez les raisins et les cacahuètes dessus. Ajoutez ensuite le riz noir cuit et mélangez. Pour préparer la vinaigrette, ajoutez le jus de citron, le jus d'orange, l'huile d'olive, la sauce hoisin, le piment vert haché, les oignons verts et l'ail dans un bol plus petit et fouettez le tout à la fourchette. Assaisonnez de sel et de poivre et remuez bien à nouveau. Conservez la vinaigrette au réfrigérateur jusqu'à utilisation. Au moment de servir, versez la vinaigrette sur toute la salade et mélangez. Servez la salade épicée de cacahuètes, de riz noir, de mangue, de raisin et d'avocat avec une pizza à croûte de blé entier avec courgettes et sauce au basilic pour un dîner de week-end.</t>
  </si>
  <si>
    <t>http://www.archanaskitchen.com/spicy-peanut-black-rice-salad-with-mango-grapes-and-avocado-recipe</t>
  </si>
  <si>
    <t>Roasted Baby Potatoes Recipe</t>
  </si>
  <si>
    <t>Rezept für geröstete Babykartoffeln</t>
  </si>
  <si>
    <t>Recette de pommes de terre grenaille rôties</t>
  </si>
  <si>
    <t>Receta de papas baby asadas</t>
  </si>
  <si>
    <t>300 grammes de pommes de terre grenaille - coupées en deux, 5 gousses d'ail - hachées ou écrasées, 1 cuillère à café de poivre noir en poudre, 2 cuillères à café d'origan séché, 5 tiges d'oignon de printemps (bulbe et feuilles) - hachées, sel - au goût, 1 cuillère à soupe de beurre, huile de tournesol</t>
  </si>
  <si>
    <t>300 grams Baby Potatoes - cut into half,5 cloves Garlic - chopped or crushed,1 teaspoon Black pepper powder,2 teaspoon Dried oregano,5 Stalk Spring Onion (Bulb &amp; Greens) - chopped,Salt - to taste,1 tablespoon Butter,Sunflower Oil</t>
  </si>
  <si>
    <t>300 gramos de papas baby cortadas por la mitad, 5 dientes de ajo picados o machacados, 1 cucharadita de pimienta negra en polvo, 2 cucharaditas de orégano seco, 5 cebolletas (bulbo y hojas verdes) picadas, sal al gusto, 1 cucharada de mantequilla, aceite de girasol</t>
  </si>
  <si>
    <t xml:space="preserve">To begin making the Roasted Baby Potatoes Recipe, we will heat a flat skillet with oil. Add baby potatoes and sprinkle some salt and keep it closed with the lid.At regular intervals keep turning the potatoes so that the baby potatoes gets evenly roasted from all the sides.Once done after about 15 minutes, add chopped garlic, pepper powder, dried oregano and spring onions, a tablespoon of butter and toss it well.Keep roasting the potatoes for 10 more minutes until they turn soft and crispy on the outside. Serve the Roasted Baby Potatoes Recipe along with an Herb &amp; Cheese Mushroom Omelette, Sweet Potato &amp; Green Bean Salad, Chilli Cheese Toast and baked beans by the side to make your Sunday brunch delicious.
</t>
  </si>
  <si>
    <t>Para empezar a preparar la Receta de Papas Baby Asadas, calentaremos una sartén plana con aceite. Añada las papas baby, espolvoree con un poco de sal y manténgala cerrada con la tapa. A intervalos regulares, siga volteando las papas para que se asen uniformemente por todos lados. Una vez hecho esto, después de unos 15 minutos, agregue ajo picado, pimienta en polvo, orégano seco y cebolletas, una cucharada de mantequilla y revuelva bien. Siga asando las papas durante 10 minutos más hasta que estén suaves y crujientes por fuera. Sirva la Receta de Papas Baby Asadas junto con una Tortilla de Champiñones con Hierbas y Queso, Ensalada de Boniato y Judías Verdes, Tostada de Queso con Chile y frijoles al horno al lado para que su brunch dominical sea delicioso.</t>
  </si>
  <si>
    <t>Pour commencer à préparer la recette de pommes de terre grenaille rôties, nous allons chauffer une poêle plate avec de l'huile. Ajoutez les pommes de terre grenaille, saupoudrez de sel et gardez le couvercle fermé. À intervalles réguliers, continuez à retourner les pommes de terre pour qu'elles soient rôties uniformément de tous les côtés. Une fois cuites, après environ 15 minutes, ajoutez l'ail haché, la poudre de poivre, l'origan séché, les oignons nouveaux, une cuillère à soupe de beurre et mélangez bien. Continuez à rôtir les pommes de terre pendant 10 minutes supplémentaires jusqu'à ce qu'elles soient tendres et croustillantes à l'extérieur. Servez la recette de pommes de terre grenaille rôties avec une omelette aux champignons aux herbes et au fromage, une salade de patates douces et de haricots verts, un toast au fromage et au piment et des haricots blancs à l'accompagnement pour rendre votre brunch du dimanche délicieux.</t>
  </si>
  <si>
    <t>https://www.archanaskitchen.com/roasted-baby-potatoes-recipe</t>
  </si>
  <si>
    <t>Lemon Grass Oats &amp; Almonds Pudding Recipe with Macerated Berries</t>
  </si>
  <si>
    <t>Rezept für Zitronengras-Hafer-Mandel-Pudding mit mazerierten Beeren</t>
  </si>
  <si>
    <t>Recette de pudding à la citronnelle, à l'avoine et aux amandes avec des baies macérées</t>
  </si>
  <si>
    <t>Receta de pudín de limoncillo, avena y almendras con bayas maceradas</t>
  </si>
  <si>
    <t>1 tasse de bleuets - frais ou congelés, 1 tasse de canneberges, 2 tasses d'eau, 1/2 tasse de cassonade (sucre Demerara), 1 cuillère à café de zeste de citron, 2 tasses de crème fraîche, 3 tasses de lait, 2 feuilles de citron vert kaffir, 1 1/2 cuillère à soupe de citronnelle - finement hachée, 3/4 tasse d'avoine instantanée (gruau), 1/2 tasse de poudre d'amande (Badam), 1/2 tasse de sucre - (plus au goût), 2 Badam (amandes) - grossièrement hachées pour la garniture</t>
  </si>
  <si>
    <t>1 cup Blueberries - fresh or frozen,1 cup Cranberries,2 cups Water,1/2 cup Brown Sugar (Demerara Sugar),1 teaspoon Lemon zest,2 cups Fresh cream,3 cups Milk,2 Kaffir lime leaves,1 1/2 tablespoon Lemongrass - finely chopped,3/4 cup Instant Oats (Oatmeal),1/2 cup Almond Meal (Badam Powder),1/2 cup Sugar - (more to taste),2 Badam (Almond) - roughly chopped for garnish</t>
  </si>
  <si>
    <t>1 taza de arándanos azules (frescos o congelados), 1 taza de arándanos rojos, 2 tazas de agua, 1/2 taza de azúcar morena (azúcar Demerara), 1 cucharadita de ralladura de limón, 2 tazas de crema fresca, 3 tazas de leche, 2 hojas de lima kaffir, 1 1/2 cucharada de limoncillo (finamente picado), 3/4 taza de avena instantánea (avena), 1/2 taza de harina de almendras (polvo de Badam), 1/2 taza de azúcar (más al gusto), 2 Badam (almendras) - picadas gruesamente para decorar</t>
  </si>
  <si>
    <t xml:space="preserve">To begin making the Lemon Grass Oats &amp; Almonds Pudding Recipe with Macerated Berries, we will first get all the ingredients ready. First we will macerate the berries. In a large bowl, combine berries, sugar, water,lemon zest. With a masher or back of spoon, mash it well. Cover the berries and keep it aside for an hour.After an hour, transfer the berries to a heavy bottomed pan and cook it on medium heat until the berries soften. Once softened and the sauce is little thick, turn off the heat and allow the berries to cool. Keep it aside for later use.The next step is to make the Lemon Grass Oats &amp; Almonds Pudding.In a large saucepan, combine cream and milk and bring it to boil. Add lemongrass, kaffir lime leaves and simmer for 3-4 minutes until you can smell the flavors from the lemongrass and kaffir lime leaves coming through. At this stage, turn off the heat and keep it aside so that flavors further get infused into the milk.After 10 minutes, strain the lemon grass and kaffir lime leaves and discard the residue. Take it off the heat, cover and keep it aside 10 minutes so the flavors get infused into the milk. Strain it and discard the residue.Place the milk and cream mixture back into the pan and bring it to boil. Add almond meal, oats, sugar and simmer for 2-3 minutes.Reserve some macerated berries for topping and add the remaining macerated berries into the milk mixture. Keep stirring until the pudding thickens and is well combined.Cook for 6-7 minutes or until the pudding thickens slightly. Once done, take it off the heatPour the prepared Lemongrass Oats &amp; Almonds Pudding in serving goblets, top them with reserved macerated berries.Chill the pudding in refrigerator for few hours, preferably overnight to set and stabilise.Garnish the  Lemon Grass Oats &amp; Almonds Pudding with chopped almonds and serve chilled.Serve the Lemon Grass Oats &amp; Almonds Pudding as a perfect weekend dessert after a meal of Tomato Basil Risotto Recipe With Grilled Chicken and Red Wine Sangria Cocktail Recipe. 
</t>
  </si>
  <si>
    <t>Para comenzar a hacer la Receta de Pudín de Avena y Almendras con Hierba de Limón y Bayas Maceradas, primero prepararemos todos los ingredientes. Primero maceraremos las bayas. En un tazón grande, combine las bayas, el azúcar, el agua y la ralladura de limón. Con un machacador o el dorso de una cuchara, triture bien. Cubra las bayas y déjelas reposar durante una hora. Después de una hora, transfiera las bayas a una sartén de fondo grueso y cocínela a fuego medio hasta que se ablanden. Una vez que se ablanden y la salsa esté un poco espesa, apague el fuego y deje que las bayas se enfríen. Manténgala a un lado para usarla más tarde. El siguiente paso es hacer el Pudín de Avena y Almendras con Hierba de Limón. En una cacerola grande, combine la crema y la leche y llévela a ebullición. Agregue la hierba de limón, las hojas de lima kaffir y cocine a fuego lento durante 3-4 minutos hasta que pueda oler los sabores de la hierba de limón y las hojas de lima kaffir. En esta etapa, apague el fuego y déjelo a un lado para que los sabores se infundan más en la leche. Después de 10 minutos, cuele la hierba limón y las hojas de lima kaffir y deseche el residuo. Retire del fuego, cubra y déjelo a un lado 10 minutos para que los sabores se infundan en la leche. Cuélelo y deseche el residuo. Coloque la mezcla de leche y crema nuevamente en la cacerola y llévela a ebullición. Agregue la harina de almendras, la avena, el azúcar y cocine a fuego lento durante 2-3 minutos. Reserve algunas bayas maceradas para cubrir y agregue las bayas maceradas restantes a la mezcla de leche. Siga revolviendo hasta que el pudín espese y esté bien combinado. Cocine durante 6-7 minutos o hasta que el pudín espese ligeramente. Una vez listo, retírelo del fuego. Vierta el pudín de avena, limoncillo y almendras preparado en copas para servir y cúbralas con las bayas maceradas reservadas. Enfríe el pudín en el refrigerador durante unas horas, preferiblemente durante la noche para que cuaje y se estabilice. Decore el pudín de avena, limoncillo y almendras con almendras picadas y sirva frío. Sirva el pudín de avena, limoncillo y almendras como un postre perfecto para el fin de semana después de una comida de risotto de tomate y albahaca con pollo a la parrilla y cóctel de sangría de vino tinto.</t>
  </si>
  <si>
    <t xml:space="preserve">Pour commencer à préparer la recette de pouding à l'avoine et aux amandes à la citronnelle avec des baies macérées, nous allons d'abord préparer tous les ingrédients. Nous allons d'abord faire macérer les baies. Dans un grand bol, mélanger les baies, le sucre, l'eau et le zeste de citron. Avec un pilon ou le dos d'une cuillère, écrasez-le bien. Couvrez les baies et réservez pendant une heure. Après une heure, transférez les baies dans une casserole à fond épais et faites-les cuire à feu moyen jusqu'à ce que les baies ramollissent. Une fois ramollies et que la sauce est un peu épaisse, éteignez le feu et laissez les baies refroidir. Gardez-le de côté pour une utilisation ultérieure. L'étape suivante consiste à préparer le pouding à l'avoine et aux amandes à la citronnelle. Dans une grande casserole, mélangez la crème et le lait et portez à ébullition. Ajoutez la citronnelle, les feuilles de citron vert kaffir et laissez mijoter pendant 3 à 4 minutes jusqu'à ce que vous puissiez sentir les saveurs de la citronnelle et des feuilles de citron vert kaffir. À ce stade, éteignez le feu et réservez pour que les saveurs s'infusent davantage dans le lait. Après 10 minutes, filtrez la citronnelle et les feuilles de combava et jetez le résidu. Retirez du feu, couvrez et réservez 10 minutes pour que les saveurs s'infusent dans le lait. Filtrez et jetez le résidu. Remettez le mélange de lait et de crème dans la casserole et portez à ébullition. Ajoutez la poudre d'amandes, l'avoine, le sucre et laissez mijoter 2 à 3 minutes. Réservez quelques baies macérées pour la garniture et ajoutez le reste des baies macérées au mélange de lait. Continuez à remuer jusqu'à ce que le pudding épaississe et soit bien mélangé. Faites cuire pendant 6 à 7 minutes ou jusqu'à ce que le pudding épaississe légèrement. Une fois cuit, retirez du feu. Versez le pudding à la citronnelle, à l'avoine et aux amandes préparé dans des verres de service, puis garnissez-les des baies macérées réservées. Laissez refroidir le pudding au réfrigérateur pendant quelques heures, de préférence toute la nuit, pour qu'il prenne et se stabilise. Garnissez le pudding à la citronnelle, à l'avoine et aux amandes d'amandes hachées et servez frais. Servez le pudding à la citronnelle, à l'avoine et aux amandes comme dessert de week-end parfait après un repas composé de risotto aux tomates et au basilic avec poulet grillé et de sangria au vin rouge.
</t>
  </si>
  <si>
    <t>https://www.archanaskitchen.com/lemon-grass-oats-almonds-pudding-recipe-with-macerated-berries</t>
  </si>
  <si>
    <t>Vegetable Quinoa Patty Recipe</t>
  </si>
  <si>
    <t>Rezept für Gemüse-Quinoa-Pastetchen</t>
  </si>
  <si>
    <t>Recette de galettes de quinoa aux légumes</t>
  </si>
  <si>
    <t>Receta de hamburguesas de quinoa con verduras</t>
  </si>
  <si>
    <t>1 tasse de quinoa cuit, 1 oignon haché, 1/4 tasse de maïs doux bouilli, 1 carotte râpée, 1/4 tasse d'épinards hachés, 2 cuillères à soupe de farine de maïs ou de besan, 1 cuillère à café de poudre de poivre noir, 1 cuillère à café de flocons de piment rouge, huile de tournesol selon les besoins, sel au goût</t>
  </si>
  <si>
    <t>1 cup Quinoa - cooked,1 Onion - chopped,1/4 cup Sweet corn - boiled,1 Carrot (Gajjar) - grated,1/4 cup Spinach - chopped,2 tablespoons Corn flour - or besan,1 teaspoon Black pepper powder,1 teaspoon Red Chilli flakes,Sunflower Oil - as required,Salt - to taste</t>
  </si>
  <si>
    <t>1 taza de quinua cocida, 1 cebolla picada, 1/4 taza de maíz dulce hervido, 1 zanahoria (gajjar) rallada, 1/4 taza de espinaca picada, 2 cucharadas de harina de maíz o besan, 1 cucharadita de pimienta negra en polvo, 1 cucharadita de hojuelas de chile rojo, aceite de girasol (según se requiera), sal al gusto</t>
  </si>
  <si>
    <t xml:space="preserve">To begin making the Vegetable Quinoa Patty Recipe, we will have to cook quinoa and let it cool.Cook 1 cup of quinoa with 2 cups of water on low flame with lid on in a saucepan or any regular pan. Drain the excess water and keep the quinoa aside.In the meantime, heat some oil in a heavy bottomed pan. Add onion and cook till it becomes soft.Once the onions becomes soft, add carrot, corn kernels and spinach. Cook till all the vegetables becomes soft. Once done, turn off the heat and let it cool down.In a mixing bowl, add the cooked quinoa, sauteed veggies, corn flour, pepper powder, red chili flakes, salt and teaspoon of cooking oil. Do not add any water. Check the salt and spices and adjust according to taste.Mix everything properly and make Vegetable Quinoa Patty with the help of your palms. Heat a skillet with some oil. Once it is hot, add the Vegetable Quinoa Patty and cook it on both the sides till becomes evenly brown.Transfer the Vegetable Quinoa Patty into a serving platter and serve hot.Serve Vegetable Quinoa Patty Recipe as a snack along with Filter Coffee/Masala Tea. You can also serve it for dinner along with Tomato Noodle Soup and Summer Salad Recipe With Red Cabbage Lettuce Onions And Tomatoes.
</t>
  </si>
  <si>
    <t>Para comenzar a hacer la Receta de Tortita de Quinoa con Verduras, tendremos que cocinar la quinoa y dejarla enfriar.Cocine 1 taza de quinoa con 2 tazas de agua a fuego lento con tapa en una cacerola o cualquier sartén normal. Escurra el exceso de agua y reserve la quinoa.Mientras tanto, caliente un poco de aceite en una sartén de fondo grueso. Agregue la cebolla y cocine hasta que esté suave.Una vez que la cebolla esté suave, agregue la zanahoria, los granos de maíz y las espinacas. Cocine hasta que todas las verduras estén suaves. Una vez hecho esto, apague el fuego y deje que se enfríe.En un tazón, agregue la quinoa cocida, las verduras salteadas, la harina de maíz, la pimienta en polvo, las hojuelas de chile rojo, la sal y la cucharadita de aceite de cocina. No agregue agua. Verifique la sal y las especias y ajuste según el gusto.Mezcle todo bien y haga la Tortita de Quinoa con Verduras con la ayuda de sus palmas. Calienta una sartén con un poco de aceite. Una vez caliente, añade la hamburguesa de quinoa vegetal y cocínala por ambos lados hasta que se dore uniformemente. Transfiere la hamburguesa de quinoa vegetal a una fuente y sírvela caliente. Sirve esta receta de hamburguesa de quinoa vegetal como refrigerio junto con café de filtro o té masala. También puedes servirla para la cena junto con la sopa de fideos con tomate y la receta de ensalada de verano con col lombarda, lechuga, cebolla y tomate.</t>
  </si>
  <si>
    <t>Pour commencer à préparer la recette de galette de quinoa aux légumes, nous devrons cuire le quinoa et le laisser refroidir. Faites cuire 1 tasse de quinoa avec 2 tasses d'eau à feu doux avec un couvercle dans une casserole ou une poêle ordinaire. Égouttez l'excédent d'eau et réservez le quinoa. Pendant ce temps, faites chauffer un peu d'huile dans une poêle à fond épais. Ajoutez l'oignon et faites-le cuire jusqu'à ce qu'il devienne tendre. Une fois que les oignons sont tendres, ajoutez la carotte, les grains de maïs et les épinards. Faites cuire jusqu'à ce que tous les légumes soient tendres. Une fois terminé, éteignez le feu et laissez refroidir. Dans un bol, ajoutez le quinoa cuit, les légumes sautés, la farine de maïs, la poudre de poivre, les flocons de piment rouge, le sel et une cuillère à café d'huile de cuisson. N'ajoutez pas d'eau. Vérifiez le sel et les épices et ajustez selon votre goût. Mélangez bien le tout et préparez la galette de quinoa aux légumes à l'aide de vos paumes. Faites chauffer une poêle avec un peu d'huile. Une fois chaud, ajoutez la galette de quinoa aux légumes et faites-la cuire des deux côtés jusqu'à ce qu'elle soit uniformément dorée. Transférez la galette de quinoa aux légumes dans un plat de service et servez chaud. Servez la recette de galette de quinoa aux légumes en collation, accompagnée de café filtre ou de thé masala. Vous pouvez également la servir au dîner, accompagnée d'une soupe de nouilles à la tomate et d'une salade d'été au chou rouge, laitue, oignons et tomates.</t>
  </si>
  <si>
    <t>http://www.archanaskitchen.com/vegetable-quinoa-patty-recipe</t>
  </si>
  <si>
    <t>Homemade Chocolate Almond Spread Recipe</t>
  </si>
  <si>
    <t>Rezept für hausgemachten Schokoladen-Mandel-Aufstrich</t>
  </si>
  <si>
    <t>Recette de pâte à tartiner au chocolat et aux amandes maison</t>
  </si>
  <si>
    <t>Receta casera de crema de almendras y chocolate</t>
  </si>
  <si>
    <t>70 grammes de Badam (amande), 200 ml de crème fraîche, 120 grammes de chocolat au lait, 120 grammes de chocolat noir, 1/4 cuillère à café de sel, 1 cuillère à café d'extrait de vanille</t>
  </si>
  <si>
    <t>70 grams Badam (Almond),200 ml Fresh cream,120 grams Milk chocolate,120 grams Dark chocolate,1/4 teaspoon Salt,1 teaspoon Vanilla Extract</t>
  </si>
  <si>
    <t>70 gramos de Badam (almendra), 200 ml de crema fresca, 120 gramos de chocolate con leche, 120 gramos de chocolate negro, 1/4 cucharadita de sal, 1 cucharadita de extracto de vainilla</t>
  </si>
  <si>
    <t xml:space="preserve">To make this easy Homemade Chocolate Almond Spread Recipe, blanch and peel the almonds.Pat dry completely and then toast in a preheated oven at 180 degrees C for 10-12 minutes or until golden brown. Or you could toast them in a skillet for few minutes, alternatively.Grind half the almonds into a fine flour using a mixer or food processor.If you want a chunky spread, coarsely chop the remaining almonds. If you want a smoother consistency, grind the remaining almonds to a paste.In a saucepan, heat the cream and finely ground almond flour (at least half, in any case) together until the cream bubbles around the edges. Take off heat, cover and let rest for an hour.Pass this through a sieve. You may need a spoon or spatula to pass the mixture through the sieve.Chop up the chocolates into small pieces and melt until smooth in the microwave or in a heatproof bowl set over a saucepan of simmering water (double boiler method).Mix the chocolate and cream together.Mix in the salt and vanilla.Fold in the chopped almonds/ almond paste to the choco-almond spread.Store Homemade Chocolate Almond Spread Recipe an airtight container and use it as required.
</t>
  </si>
  <si>
    <t>Para preparar esta sencilla receta casera de crema de almendras y chocolate, escalda y pela las almendras. Sécalas bien y tuéstalas en un horno precalentado a 180 °C durante 10-12 minutos o hasta que estén doradas. También puedes tostarlas en una sartén durante unos minutos. Muele la mitad de las almendras con una batidora o un procesador de alimentos hasta obtener una harina fina. Si quieres una crema con más grumos, pica las almendras restantes en trozos grandes. Si quieres una consistencia más suave, muele las almendras restantes hasta obtener una pasta. En una cacerola, calienta la nata y la harina de almendras finamente molida (al menos la mitad) hasta que la nata burbujee por los bordes. Retira del fuego, tapa y deja reposar durante una hora. Pasa la mezcla por un colador. Es posible que necesites una cuchara o espátula para colar la mezcla. Corta los chocolates en trozos pequeños y derrítelos en el microondas o en un recipiente resistente al calor sobre una cacerola con agua hirviendo a fuego lento (para baño maría) hasta que estén suaves. Mezcla el chocolate con la nata. Incorpora la sal y la vainilla. Incorpora las almendras picadas o la pasta de almendras a la crema de chocolate y almendras. Guarda la receta de crema de chocolate y almendras casera en un recipiente hermético y úsala cuando la necesites.</t>
  </si>
  <si>
    <t>Pour réaliser cette recette facile de pâte à tartiner chocolat-amandes maison, blanchissez et pelez les amandes. Séchez-les soigneusement, puis faites-les griller au four préchauffé à 180 °C pendant 10 à 12 minutes ou jusqu'à ce qu'elles soient dorées. Vous pouvez également les griller quelques minutes à la poêle. Broyez la moitié des amandes en une farine fine à l'aide d'un mixeur ou d'un robot culinaire. Pour une pâte épaisse, hachez grossièrement le reste des amandes. Pour une consistance plus lisse, broyez le reste des amandes jusqu'à obtenir une pâte. Dans une casserole, faites chauffer la crème et la poudre d'amandes finement moulue (au moins la moitié) jusqu'à ce que la crème bouillonne sur les bords. Retirez du feu, couvrez et laissez reposer une heure. Passez au tamis. Vous aurez peut-être besoin d'une cuillère ou d'une spatule pour passer le mélange au tamis. Hachez les chocolats en petits morceaux et faites-les fondre jusqu'à consistance lisse au micro-ondes ou dans un bol résistant à la chaleur placé au-dessus d'une casserole d'eau frémissante (méthode du bain-marie). Mélangez le chocolat et la crème. Incorporez le sel et la vanille. Incorporez les amandes hachées/la pâte d'amandes à la pâte à tartiner chocolat-amandes. Conservez la recette de pâte à tartiner chocolat-amandes maison dans un récipient hermétique et utilisez-la selon vos besoins.</t>
  </si>
  <si>
    <t>http://www.archanaskitchen.com/homemade-chocolate-almond-spread-recipe</t>
  </si>
  <si>
    <t>Pavlova Recipe With Strawberries</t>
  </si>
  <si>
    <t>Pavlova-Rezept mit Erdbeeren</t>
  </si>
  <si>
    <t>Recette de Pavlova aux fraises</t>
  </si>
  <si>
    <t>Receta de Pavlova de Fresa</t>
  </si>
  <si>
    <t>4 blancs d'œufs, 1 tasse de sucre en poudre - superfin, 3 cuillères à café de farine de maïs, 1 cuillère à café de vinaigre, 250 grammes de mascarpone - fouetté, compote de fraises - pour servir</t>
  </si>
  <si>
    <t>4 Egg white,1 cup Caster Sugar - superfine,3 teaspoons Corn flour,1 teaspoon Vinegar,250 grams Mascarpone Cheese - whipped,Strawberry Compote - to serve</t>
  </si>
  <si>
    <t>4 claras de huevo, 1 taza de azúcar extrafina, 3 cucharaditas de harina de maíz, 1 cucharadita de vinagre, 250 gramos de queso mascarpone batido, compota de fresa para servir</t>
  </si>
  <si>
    <t xml:space="preserve">To begin making the Pavlova Recipe, preheat the oven to 150 C. Place the egg whites in the bowl of the stand mixer. Maker sure the mixer and the whisk is clean. If it is not, then the egg whites will not form soft peaks.Beat the eggs whites the mixer until the soft peaks form. Gradually add in the sugar, whisking well until the egg whites look glossy. It will get a shine and not look dull.Gradually sift in the cornflour and vinegar. This time, don't beat, but just fold through. Line a baking sheet with non stick butter paper. Using a large ladle, pile the meringue round (about 6 inches in diameter) on the baking tray. Place it in the oven, reduce the oven temperature to 120 C and bake for one hour.Turn off the oven and allow the meringue to cool in the oven. While the meringues are in the oven it continues to bake further even when the oven is off with the existing heat.Once the oven is cooled down, cool the meringues completely before storing them in airtight containers.When you are ready to serve the Pavlova's, whip the mascarpone cheese along with a little sugar (optional) until light and fluffy.Serve the Pavlovas topped with mascarpone cheese and strawberry compote for parties.
</t>
  </si>
  <si>
    <t>Para comenzar a hacer la Receta de Pavlova, precaliente el horno a 150 C. Coloque las claras de huevo en el tazón de la batidora de pedestal. Asegúrese de que la batidora y el batidor estén limpios. Si no lo están, las claras de huevo no formarán picos suaves. Bata las claras de huevo en la batidora hasta que se formen picos suaves. Agregue gradualmente el azúcar, batiendo bien hasta que las claras de huevo se vean brillantes. Obtendrán brillo y no se verán opacas. Poco a poco, incorpore la harina de maíz y el vinagre. Esta vez, no bata, solo incorpore. Cubra una bandeja para hornear con papel manteca antiadherente. Con un cucharón grande, apile el merengue redondo (aproximadamente 6 pulgadas de diámetro) en la bandeja para hornear. Colóquelo en el horno, reduzca la temperatura del horno a 120 C y hornee durante una hora. Apague el horno y deje que el merengue se enfríe en el horno. Mientras los merengues están en el horno, continúan horneándose incluso cuando el horno está apagado con el calor existente. Una vez que el horno se haya enfriado, enfríe los merengues por completo antes de guardarlos en recipientes herméticos. Cuando esté listo para servir las Pavlovas, bata el queso mascarpone junto con un poco de azúcar (opcional) hasta que estén suaves y esponjosas. Sirva las Pavlovas cubiertas con queso mascarpone y compota de fresa para fiestas.</t>
  </si>
  <si>
    <t>Pour commencer à préparer la recette de Pavlova, préchauffez le four à 150 °C. Placez les blancs d'œufs dans le bol du batteur sur socle. Assurez-vous que le batteur et le fouet sont propres. S'ils ne le sont pas, les blancs d'œufs ne formeront pas de pics mous. Battez les blancs d'œufs au batteur jusqu'à ce que des pics mous se forment. Ajoutez progressivement le sucre en fouettant bien jusqu'à ce que les blancs d'œufs soient brillants. Ils deviendront brillants et ne paraîtront pas ternes. Tamisez progressivement la fécule de maïs et le vinaigre. Cette fois, ne battez pas, mais incorporez simplement. Tapissez une plaque à pâtisserie de papier sulfurisé antiadhésif. À l'aide d'une grande louche, empilez le rond de meringue (environ 6 pouces de diamètre) sur la plaque à pâtisserie. Placez-le au four, réduisez la température du four à 120 °C et faites cuire pendant une heure. Éteignez le four et laissez la meringue refroidir dans le four. Pendant que les meringues sont au four, elles continuent de cuire même lorsque le four est éteint avec la chaleur existante. Une fois le four refroidi, laissez refroidir complètement les meringues avant de les conserver dans des récipients hermétiques. Lorsque vous êtes prêt à servir les Pavlova, fouettez le mascarpone avec un peu de sucre (facultatif) jusqu'à ce qu'il soit léger et mousseux. Servez les Pavlovas garnis de mascarpone et de compote de fraises pour les fêtes.</t>
  </si>
  <si>
    <t>https://www.archanaskitchen.com/pavlova-recipe-with-strawberries</t>
  </si>
  <si>
    <t>Banana Chia Seeds Muesli Muffin Recipe</t>
  </si>
  <si>
    <t>Bananen-Chiasamen-Müsli-Muffin-Rezept</t>
  </si>
  <si>
    <t>Recette de muffins à la banane et aux graines de chia</t>
  </si>
  <si>
    <t>Receta de muffins de plátano y semillas de chía</t>
  </si>
  <si>
    <t>1 tasse de farine de blé entier, 1/4 tasse de cacao en poudre, 1/4 cuillère à café de sel, 2 cuillères à café de levure chimique, 1 tasse de muesli, 1/2 tasse de graines de chia, 1/2 tasse de bananes mûres - écrasées, 8 dattes - dénoyautées et hachées, 1/2 tasse de lait, 1 cuillère à café d'extrait de vanille, 2 cuillères à soupe de miel, 2 cuillères à soupe d'huile d'olive extra vierge, 2 blancs d'œufs - battus</t>
  </si>
  <si>
    <t>1 cup Whole Wheat Flour,1/4 cup Cocoa Powder,1/4 teaspoon Salt,2 teaspoons Baking powder,1 cup Muesli,1/2 cup Chia Seeds,1/2 cup Ripe Bananas - mashed,8 Dates - pitted and chopped,1/2 cup Milk,1 teaspoon Vanilla Extract,2 tablespoons Honey,2 tablespoons Extra Virgin Olive Oil,2 Egg whites - beaten</t>
  </si>
  <si>
    <t>1 taza de harina integral, 1/4 taza de cacao en polvo, 1/4 cucharadita de sal, 2 cucharaditas de polvo para hornear, 1 taza de muesli, 1/2 taza de semillas de chía, 1/2 taza de plátanos maduros - machacados, 8 dátiles - sin hueso y picados, 1/2 taza de leche, 1 cucharadita de extracto de vainilla, 2 cucharadas de miel, 2 cucharadas de aceite de oliva virgen extra, 2 claras de huevo - batidas</t>
  </si>
  <si>
    <t>We begin making the Banana Chia Seeds Muesli Muffin Recipe by pre heating the oven at 180 degree Celsius for about 10 minutes.Using electric stand mixer, you can also use a hand mixer as well.  Add the egg, vanilla essence, honey and olive oil. Whip it till it becomes fluffy.Then slowly sift the wheat flour, cocoa powder, baking powder and salt. Give it a whip for few more minutes.Now add in the mashed ripe bananas and milk, mix slowly using a pastry palate knife or just with a spoon.  Finally add in the muesli and chia seeds. Give it one last mix till it all combines.Grease a cup cake tray, drop in a dollop of this batter into the tray till it reaches the brim and bake well. Serve the Banana Chia Seeds Muesli Muffin Recipe can be served as an evening time snack </t>
  </si>
  <si>
    <t>Español Comenzamos haciendo la Receta de Muffin de Muesli con Semillas de Chía y Plátano precalentando el horno a 180 grados Celsius durante unos 10 minutos. Usando una batidora eléctrica de pie, también puedes usar una batidora de mano. Agrega el huevo, la esencia de vainilla, la miel y el aceite de oliva. Bate hasta que quede esponjoso. Luego, tamiza lentamente la harina de trigo, el cacao en polvo, el polvo para hornear y la sal. Bate durante unos minutos más. Ahora agrega los plátanos maduros machacados y la leche, mezcla lentamente con una espátula de repostería o simplemente con una cuchara. Finalmente, agrega el muesli y las semillas de chía. Mezcla una última vez hasta que todo se combine. Engrasa un molde para cupcakes, coloca una cucharada de esta masa en el molde hasta que llegue al borde y hornea bien. Sirve La Receta de Muffin de Muesli con Semillas de Chía y Plátano se puede servir como un refrigerio por la noche.</t>
  </si>
  <si>
    <t>Nous commençons à préparer la recette du muffin au muesli et aux graines de chia à la banane en préchauffant le four à 180 degrés Celsius pendant environ 10 minutes. À l'aide d'un batteur sur socle électrique, vous pouvez également utiliser un batteur à main. Ajoutez l'œuf, l'essence de vanille, le miel et l'huile d'olive. Fouettez jusqu'à ce que le mélange devienne mousseux. Tamisez ensuite lentement la farine de blé, le cacao en poudre, la levure chimique et le sel. Fouettez encore quelques minutes. Ajoutez ensuite les bananes mûres écrasées et le lait, mélangez lentement à l'aide d'un couteau à pâtisserie ou simplement avec une cuillère. Ajoutez enfin le muesli et les graines de chia. Mélangez une dernière fois jusqu'à ce que le tout soit bien mélangé. Graissez un moule à cupcake, déposez une cuillerée de cette pâte dans le moule jusqu'à ce qu'elle atteigne le bord et faites bien cuire. Servez la recette du muffin au muesli et aux graines de chia à la banane comme collation du soir.</t>
  </si>
  <si>
    <t>http://www.archanaskitchen.com/banana-chia-seeds-muesli-muffin-recipe</t>
  </si>
  <si>
    <t>Steamed Chicken With Salad Recipe</t>
  </si>
  <si>
    <t>Rezept für gedämpftes Hähnchen mit Salat</t>
  </si>
  <si>
    <t>Recette de poulet vapeur avec salade</t>
  </si>
  <si>
    <t>Receta de pollo al vapor con ensalada</t>
  </si>
  <si>
    <t>1 poitrine de poulet, 1 cuillère à café de poudre de poivre noir, sel - au goût, 1 tasse de chou (Patta Gobi/Muttaikose) - râpé, 1 carotte (Gajjar) - râpée, 1 poivron rouge (Capsicum) - coupé en julienne, 1 œuf entier - dur, 2 brins de feuilles de coriandre (Dhania) - hachées, 1/4 tasse de jus d'orange frais, 1/4 tasse d'huile d'olive extra vierge, sel et poivre - au goût</t>
  </si>
  <si>
    <t>1 Chicken breasts,1 teaspoon Black pepper powder,Salt - to taste,1 cup Cabbage (Patta Gobi/ Muttaikose) - shredded,1 Carrot (Gajjar) - grated,1 Red Bell pepper (Capsicum) - julienned,1 Whole Egg - boiled,2 sprig Coriander (Dhania) Leaves - chopped,1/4 cup Fresh orange juice,1/4 cup Extra Virgin Olive Oil,Salt and Pepper - for taste</t>
  </si>
  <si>
    <t>1 pechuga de pollo, 1 cucharadita de pimienta negra en polvo, sal - al gusto, 1 taza de repollo (Patta Gobi/ Muttaikose) - rallado, 1 zanahoria (Gajjar) - rallada, 1 pimiento rojo (Capsicum) - cortado en juliana, 1 huevo entero - hervido, 2 ramitas de hojas de cilantro (Dhania) - picadas, 1/4 taza de jugo de naranja fresco, 1/4 taza de aceite de oliva virgen extra, sal y pimienta - al gusto</t>
  </si>
  <si>
    <t xml:space="preserve">To begin making the Steamed Chicken with Salad Recipe, we will keep the vegetable steamer on. Marinate the chicken with salt and pepper and keep it inside the steamer to steam for at least 25 minutes.Keep all the vegetables cut and ready to make the salad.In a separate bowl whisk in the dressing ingredients which includes orange juice, olive oil, salt and pepper and keep it ready.Pour some over the vegetable and toss it well, keep some to glaze the chicken.Once the chicken is steamed, slice them and glaze the chicken pieces with the reaming of the dressing mixture.To serve place the salad first over a serving plate, place the glazed chicken pieces and also slice the egg and keep it to the side. Sprinkle some seasoning if you on top. Serve the Steamed Chicken with Salad Recipe on its own with Garlic and Mushroom Soup for a healthy protein rich meal.
</t>
  </si>
  <si>
    <t>Para empezar a preparar la Receta de Pollo al Vapor con Ensalada, mantendremos la vaporera de verduras encendida. Marina el pollo con sal y pimienta y mantenlo dentro de la vaporera para que se cocine al vapor durante al menos 25 minutos. Mantén todas las verduras cortadas y listas para hacer la ensalada. En un recipiente aparte, incorpora los ingredientes del aderezo, que incluyen jugo de naranja, aceite de oliva, sal y pimienta, y tenlo listo. Vierte un poco sobre las verduras y revuelve bien, y guarda un poco para glasear el pollo. Una vez que el pollo esté cocido al vapor, córtalo en rodajas y glasea los trozos de pollo con el resto de la mezcla de aderezo. Para servir, coloca primero la ensalada en un plato, coloca los trozos de pollo glaseados y también corta el huevo en rodajas y déjalo a un lado. Espolvorea un poco de condimento por encima. Sirve la Receta de Pollo al Vapor con Ensalada sola con Sopa de Ajo y Champiñones para una comida saludable rica en proteínas.</t>
  </si>
  <si>
    <t>Pour commencer à préparer la recette de poulet vapeur avec salade, nous allons laisser le cuiseur vapeur allumé. Faites mariner le poulet avec du sel et du poivre et laissez-le cuire à la vapeur pendant au moins 25 minutes. Gardez tous les légumes coupés et prêts pour la salade. Dans un bol séparé, incorporez les ingrédients de la vinaigrette (jus d'orange, huile d'olive, sel et poivre) et réservez. Versez-en un peu sur les légumes et mélangez bien. Gardez-en un peu pour glacer le poulet. Une fois le poulet cuit à la vapeur, coupez-le en tranches et glacez-les avec le mélange de vinaigrette. Pour servir, placez d'abord la salade sur une assiette de service, disposez les morceaux de poulet glacés, coupez également l'œuf en tranches et réservez-le. Saupoudrez d'un peu d'assaisonnement si vous en avez sur le dessus. Servez la recette de poulet vapeur avec salade seule avec une soupe à l'ail et aux champignons pour un repas sain et riche en protéines.</t>
  </si>
  <si>
    <t>https://www.archanaskitchen.com/steamed-chicken-with-salad-recipe</t>
  </si>
  <si>
    <t>Plum Panna Shot Recipe</t>
  </si>
  <si>
    <t>Pflaumen-Panna-Shot-Rezept</t>
  </si>
  <si>
    <t>Recette de panna shot aux prunes</t>
  </si>
  <si>
    <t>Receta de shot de panna de ciruela</t>
  </si>
  <si>
    <t>6 prunes - rouges et fermes, jaggery - ou sucre selon les besoins, 2 cuillères à café de poudre de cumin (Jeera), 6 feuilles de menthe (Pudina), sel noir (Kala Namak) - selon les besoins, eau - réfrigérée selon les besoins</t>
  </si>
  <si>
    <t>6 Plums - red and firm,Jaggery - or sugar as required,2 teaspoon Cumin powder (Jeera),6 Mint Leaves (Pudina),Black Salt (Kala Namak) - as required,Water - chilled as required</t>
  </si>
  <si>
    <t>6 ciruelas rojas y firmes, jaggery o azúcar al gusto, 2 cucharaditas de comino en polvo (jeera), 6 hojas de menta (pudina), sal negra (kala namak) al gusto, agua fría al gusto</t>
  </si>
  <si>
    <t xml:space="preserve">To begin making the Plum Panna Shot Recipe, roast the plums on a gas stove till the skin is completely blackened.Place the roasted plums on a foil. Close and let them cool.Remove the skin and squeeze out the seeds and keep pulp aside.In a Blender, add pulp, jaggery/sugar, salt, cumin powder, and mint leaves. Blend to a smooth paste.You can strain the juice but it reduces the pulpiness which is delectable. (I skipped this step)Add chilled water, adjust salt and garnish with mint leaves.Serve the Plum Panna Shot Recipe as a starting drink for your party and have accompaniments like Pineapple and Cheese Skewers and Palak Pakora.
</t>
  </si>
  <si>
    <t>Para empezar a preparar la receta de shot de panna de ciruela, tuesta las ciruelas en una estufa de gas hasta que la piel esté completamente ennegrecida. Coloca las ciruelas asadas sobre papel de aluminio. Ciérralas y déjalas enfriar. Retira la piel, exprime las semillas y reserva la pulpa. En una licuadora, agrega la pulpa, el azúcar moreno, la sal, el comino en polvo y las hojas de menta. Licúa hasta obtener una pasta suave. Puedes colar el jugo, pero esto reduce la pulpa, lo cual es delicioso. (Yo omití este paso). Agrega agua fría, ajusta la sal y decora con hojas de menta. Sirve la receta de shot de panna de ciruela como bebida inicial para tu fiesta y acompaña con brochetas de piña y queso y palak pakora.</t>
  </si>
  <si>
    <t>Pour préparer le shot de panna aux prunes, faites rôtir les prunes sur une cuisinière à gaz jusqu'à ce que la peau soit complètement noircie. Placez les prunes rôties sur du papier aluminium. Fermez et laissez refroidir. Retirez la peau, pressez les pépins et réservez la pulpe. Dans un mixeur, ajoutez la pulpe, le sucre, le sel, le cumin en poudre et les feuilles de menthe. Mixez jusqu'à obtenir une pâte lisse. Vous pouvez filtrer le jus, mais cela réduit la pulpe, ce qui est délicieux. (J'ai sauté cette étape.) Ajoutez de l'eau froide, rectifiez le sel et décorez de feuilles de menthe. Servez le shot de panna aux prunes en entrée pour votre fête et accompagnez-le d'accompagnements comme des brochettes d'ananas et de fromage et du Palak Pakora.</t>
  </si>
  <si>
    <t>http://www.archanaskitchen.com/plum-panna-shots-recipe</t>
  </si>
  <si>
    <t>Mixed Beans Salad Recipe</t>
  </si>
  <si>
    <t>Rezept für gemischten Bohnensalat</t>
  </si>
  <si>
    <t>Recette de salade de haricots mélangés</t>
  </si>
  <si>
    <t>Receta de ensalada de frijoles mixtos</t>
  </si>
  <si>
    <t>1/2 tasse de Rajma (gros haricots rouges), 1/2 tasse de soja (soja dal entier), 1/2 tasse de haricots à œil noir (Lobia), 2 à 3 gousses d'ail, 1 oignon finement haché, 1 poivron rouge finement haché, 1 poivron jaune finement haché, 1 poivron vert finement haché, 6 à 8 tomates cerises coupées en deux, 4 à 5 oignons nouveaux hachés, feuilles de coriandre (Dhania) demi-bouquet, 1/4 tasse d'huile d'olive extra vierge, 2 cuillères à soupe de vinaigre de vin blanc, 1 cuillère à soupe de mayonnaise classique (avec œuf) faible en gras, 1 cuillère à café de moutarde de Dijon, poivre noir en poudre (au goût), sel (au goût)</t>
  </si>
  <si>
    <t>1/2 cup Rajma (Large Kidney Beans),1/2 cup Soybeans (Whole Soya dal),1/2 cup Black Eyed Beans (Lobia),2 - 3 cloves Garlic,1 Onion - finely chopped,1 Red Bell pepper (Capsicum) - finely chopped,1 Yellow Bell Pepper (Capsicum) - finely chopped,1 Green Bell Pepper (Capsicum) - finely chopped,6 - 8 Cherry tomatoes - halved,4 - 5 Spring Onion Greens - chopped,Coriander (Dhania) Leaves - half bunch,1/4 cup Extra Virgin Olive Oil,2 tablespoon White wine vinegar,1 tablespoon Classic Mayonnaise (With Egg) - low fat,1 teaspoon Dijon Mustard,Black pepper powder - as per taste,Salt - as per taste</t>
  </si>
  <si>
    <t>1/2 taza de Rajma (frijoles grandes), 1/2 taza de soja (dal de soja entero), 1/2 taza de frijoles de ojo negro (Lobia), 2-3 dientes de ajo, 1 cebolla - finamente picada, 1 pimiento rojo (Capsicum) - finamente picado, 1 pimiento amarillo (Capsicum) - finamente picado, 1 pimiento verde (Capsicum) - finamente picado, 6-8 tomates cherry - cortados por la mitad, 4-5 hojas de cebolleta - picadas, hojas de cilantro (Dhania) - medio manojo, 1/4 taza de aceite de oliva virgen extra, 2 cucharadas de vinagre de vino blanco, 1 cucharada de mayonesa clásica (con huevo) - baja en grasa, 1 cucharadita de mostaza Dijon, pimienta negra en polvo - al gusto, sal - al gusto</t>
  </si>
  <si>
    <t xml:space="preserve">To begin making the Mixed Beans Salad recipe, we will first cook the beans until soft. For cooking the beans first wash and soak them in enough water for at least 6 hours.Once soaked, drain the beans and transfer to the pressure cooker. Add salt, garlic cloves, 1 cup water and close the lid of the pressure cooker. Place the weight on and allow the beans to cook over medium heat until you hear two to three whistles. After two to three whistles, turn the heat to low and simmer for another 10 minutes. After 10 minutes turn off the heat. Allow the pressure to release naturally as the beans will continue to cook under the existing pressure.Once done, open and drain the excess liquids. You can use this in soups or even when cooking rice. Allow the beans to cool completely.Our next step is to prepare the dressing for the salad. Add all the ingredients for dressing like the olive oil, white wine vinegar, mayonnaise,dijon mustard , black pepper powder and salt in a bottle with the lid. Tightly close the lid and shake the bottle so all the ingredients get well combined. To prepare vegetables for the salad, finely chop bell peppers and onion and transfer to a bowl. Stir in the halved cherry tomatoes and the cooked beans, the spring onion greens and coriander. Pour the salad dressing and give the mixed beans salad a good stir and serve.Serve the Mixed Bean Salad immediately along Light And Creamy Broccoli Soup and Fettuccine (Tagliatelle) Pasta with Tomato Basil Sauce for a complete meal.
</t>
  </si>
  <si>
    <t>Para comenzar a hacer la receta de Ensalada de Frijoles Mixtos, primero cocinaremos los frijoles hasta que estén suaves. Para cocinar los frijoles primero lávelos y remójelos en suficiente agua durante al menos 6 horas. Una vez remojados, escurra los frijoles y transfiéralos a la olla a presión. Agregue sal, dientes de ajo, 1 taza de agua y cierre la tapa de la olla a presión. Coloque el peso y deje que los frijoles se cocinen a fuego medio hasta que escuche dos o tres silbidos. Después de dos o tres silbidos, baje el fuego y cocine a fuego lento durante otros 10 minutos. Después de 10 minutos, apague el fuego. Deje que la presión se libere naturalmente ya que los frijoles continuarán cocinándose bajo la presión existente. Una vez hecho esto, abra y escurra el exceso de líquido. Puede usarlo en sopas o incluso al cocinar arroz. Deje que los frijoles se enfríen por completo. Nuestro siguiente paso es preparar el aderezo para la ensalada. Agregue todos los ingredientes para el aderezo como el aceite de oliva, el vinagre de vino blanco, la mayonesa, la mostaza Dijon, la pimienta negra en polvo y la sal en una botella con tapa. Cierre bien la tapa y agite la botella para que todos los ingredientes se combinen bien. Para preparar las verduras para la ensalada, pique finamente los pimientos morrones y la cebolla y transfiéralos a un tazón. Agregue los tomates cherry cortados por la mitad y los frijoles cocidos, las hojas de cebolleta y el cilantro. Vierta el aderezo para ensaladas, revuelva bien la ensalada de frijoles mixtos y sirva. Sirva la ensalada de frijoles mixtos inmediatamente junto con la sopa ligera y cremosa de brócoli y la pasta fettuccine (tagliatelle) con salsa de tomate y albahaca para una comida completa.</t>
  </si>
  <si>
    <t>Pour commencer à préparer la recette de salade de haricots mélangés, nous allons d'abord cuire les haricots jusqu'à ce qu'ils soient tendres. Pour la cuisson des haricots, lavez-les d'abord et faites-les tremper dans suffisamment d'eau pendant au moins 6 heures. Une fois trempés, égouttez les haricots et transférez-les dans l'autocuiseur. Ajoutez le sel, les gousses d'ail, 1 tasse d'eau et fermez le couvercle de l'autocuiseur. Placez le poids et laissez les haricots cuire à feu moyen jusqu'à ce que vous entendiez deux à trois sifflements. Après deux à trois sifflements, baissez le feu et laissez mijoter encore 10 minutes. Après 10 minutes, éteignez le feu. Laissez la pression se relâcher naturellement car les haricots continueront de cuire sous la pression existante. Une fois terminé, ouvrez et égouttez l'excès de liquide. Vous pouvez l'utiliser dans des soupes ou même lors de la cuisson du riz. Laissez les haricots refroidir complètement. Notre prochaine étape consiste à préparer la vinaigrette pour la salade. Ajoutez tous les ingrédients de la vinaigrette comme l'huile d'olive, le vinaigre de vin blanc, la mayonnaise, la moutarde de Dijon, la poudre de poivre noir et le sel dans une bouteille avec le couvercle. Bien refermer le couvercle et secouer la bouteille pour bien mélanger tous les ingrédients. Pour préparer les légumes de la salade, hachez finement les poivrons et l'oignon et transférez-les dans un bol. Incorporez les tomates cerises coupées en deux, les haricots cuits, les oignons nouveaux et la coriandre. Versez la vinaigrette, remuez bien la salade de haricots mélangés et servez. Servez la salade de haricots mélangés immédiatement avec une soupe légère et crémeuse au brocoli et des fettuccine (tagliatelles) à la sauce tomate et basilic pour un repas complet.</t>
  </si>
  <si>
    <t>https://www.archanaskitchen.com/mixed-beans-salad-recipe</t>
  </si>
  <si>
    <t>Spinach Mushroom Scrambled Eggs Recipe</t>
  </si>
  <si>
    <t>Rezept für Rührei mit Spinat und Pilzen</t>
  </si>
  <si>
    <t>Recette d'œufs brouillés aux épinards et aux champignons</t>
  </si>
  <si>
    <t>Receta de huevos revueltos con espinacas y champiñones</t>
  </si>
  <si>
    <t>5 œufs entiers, sel - au goût, 1/2 cuillère à café de poudre de poivre noir - fraîchement moulu, 1 1/2 cuillère à café de beurre, 1 tasse de champignons de Paris - finement tranchés, 1 tasse de feuilles d'épinards (Palak) - hachées</t>
  </si>
  <si>
    <t>5 Whole Eggs,Salt - to taste,1/2 teaspoon Black pepper powder - freshly ground,1 1/2 teaspoon Butter,1 cup Button mushrooms - thinly sliced,1 cup Spinach Leaves (Palak) - chopped</t>
  </si>
  <si>
    <t>5 huevos enteros, sal - al gusto, 1/2 cucharadita de pimienta negra en polvo - recién molida, 1 1/2 cucharadita de mantequilla, 1 taza de champiñones - en rodajas finas, 1 taza de hojas de espinaca (Palak) - picadas</t>
  </si>
  <si>
    <t xml:space="preserve">To begin with, the Spinach Mushroom Scrambled Egg first, in a small bowl whisk eggs, salt, and pepper together and keep asideIn a wide non-stick pan, add butter. Once the butter melts, add sliced mushrooms and saute it. Cook and stir for about 4 minutes or until tender.Add spinach to mushrooms. Cook and stir until it is wilted.Simmer the flame and add egg mixture. Cook until the eggs are cooked and form a layer. Stir together.Stir in cheese if you like cheesy texture in the eggs.Your Spinach Mushroom Scrambled Eggs is ready to be served. serve it with some toast.Serve the protein rich Spinach Mushroom Scrambled Eggs with Whole Wheat Rosemary Focaccia Bread Recipe on the side and a glass of Carrot Pineapple Orange Juice Recipe.
</t>
  </si>
  <si>
    <t>Para empezar, el huevo revuelto con espinacas y champiñones, primero, en un tazón pequeño, bata los huevos, la sal y la pimienta juntos y reserve. En una sartén antiadherente ancha, agregue la mantequilla. Una vez que la mantequilla se derrita, agregue los champiñones rebanados y saltéelos. Cocine y revuelva durante unos 4 minutos o hasta que estén tiernos. Agregue las espinacas a los champiñones. Cocine y revuelva hasta que se ablanden. Cocine a fuego lento y agregue la mezcla de huevo. Cocine hasta que los huevos estén cocidos y formen una capa. Revuelva todo. Agregue queso si le gusta la textura de queso en los huevos. Sus huevos revueltos con espinacas y champiñones están listos para servir. Sírvalos con un poco de pan tostado. Sirva los huevos revueltos con espinacas y champiñones ricos en proteínas con la receta de pan focaccia de trigo integral con romero como acompañamiento y un vaso de la receta de jugo de zanahoria, piña y naranja.</t>
  </si>
  <si>
    <t>Pour commencer, préparez les œufs brouillés aux champignons et aux épinards. Dans un petit bol, fouettez les œufs, le sel et le poivre, puis réservez. Dans une grande poêle antiadhésive, ajoutez le beurre. Une fois le beurre fondu, ajoutez les champignons émincés et faites-les revenir. Faites cuire en remuant pendant environ 4 minutes ou jusqu'à ce qu'ils soient tendres. Ajoutez les épinards aux champignons. Faites cuire en remuant jusqu'à ce qu'ils soient ramollis. Laissez mijoter sur le feu et ajoutez le mélange d'œufs. Faites cuire jusqu'à ce que les œufs soient cuits et forment une couche. Mélangez. Incorporez le fromage si vous aimez la texture fromagère des œufs. Vos œufs brouillés aux champignons et aux épinards sont prêts à être servis. Servez-les avec du pain grillé. Servez les œufs brouillés aux champignons et aux épinards, riches en protéines, avec la recette de pain focaccia au romarin et au blé entier, à côté, accompagnés d'un verre de jus de carotte, d'ananas et d'orange.</t>
  </si>
  <si>
    <t>http://www.archanaskitchen.com/spinach-mushroom-scrambled-eggs-recipe</t>
  </si>
  <si>
    <t>Savory Yogurt Parfait Recipe</t>
  </si>
  <si>
    <t>Rezept für herzhaftes Joghurtparfait</t>
  </si>
  <si>
    <t>Recette de parfait au yaourt salé</t>
  </si>
  <si>
    <t>Receta de parfait de yogur salado</t>
  </si>
  <si>
    <t>1-1/2 tasse de yaourt grec (Hung Curd), 1 betterave - pelée et finement hachée (crue ou étuvée), 1 carotte (Gajjar) - pelée et finement hachée, 1-2 radis rouges - hachés + quelques tranches pour la garniture, feuilles de menthe (Pudina) - hachées (vous pouvez également utiliser du basilic/coriandre), 2 cuillères à café de graines de cumin (Jeera) - grillées et concassées, 2 cuillères à café de grains de poivre noir entiers - concassés, 1/2 cuillère à café de gingembre - râpé, 2 cuillères à soupe de cacahuètes grillées (Moongphali), 4 cuillères à soupe de germes de Moong verts, 1/4 tasse de grains soufflés - jowar grillé, 1-2 cuillères à soupe de graines de tournesol - (ou toute autre graine de votre choix), sel - au goût</t>
  </si>
  <si>
    <t>1-1/2 cups Hung Curd (Greek Yogurt),1 Beetroot - peeled and finely chopped (raw or parboiled),1 Carrot (Gajjar) - peeled and finely chopped,1-2 Red Radish - chopped +couple of slices for garnish,Mint Leaves (Pudina) - chopped (you can also use basil/coriander),2 teaspoon Cumin seeds (Jeera) - roasted  and crushed,2 teaspoon Whole Black Peppercorns - crushed,1/2 teaspoon Ginger - grated,2 tablespoons Roasted Peanuts (Moongphali),4 tablespoons Green Moong Sprouts,1/4 cup Puffed Grains - Roasted jowar,1-2 tablespoons Sunflower seeds - (or any other seeds of choice),Salt - to taste</t>
  </si>
  <si>
    <t>1-1/2 tazas de cuajada colgada (yogur griego), 1 remolacha, pelada y picada finamente (cruda o precocida), 1 zanahoria (gajjar), pelada y picada finamente, 1-2 rábanos rojos, picados + un par de rodajas para decorar, hojas de menta (pudina), picadas (también puedes usar albahaca/cilantro), 2 cucharaditas de semillas de comino (jeera), tostadas y trituradas, 2 cucharaditas de granos de pimienta negra enteros, triturados, 1/2 cucharadita de jengibre rallado, 2 cucharadas de cacahuetes tostados (moongphali), 4 cucharadas de brotes verdes de moong, 1/4 taza de granos inflados, jowar tostado, 1-2 cucharadas de semillas de girasol (o cualquier otra semilla de tu elección), sal, al gusto</t>
  </si>
  <si>
    <t xml:space="preserve">To begin making the Savoury Yogurt Parfait Recipe, first whisk together the yogurt with the herbs, cumin, pepper, ginger and salt (or any other seasoning you might want to use)Place half of the chopped vegetables at the bottom of a glass.Spread about a tablespoon of the yogurt over it.Spread half of the peanuts, chana, sprouts over the yogurt.Again spoon over a tablespoon or two of the yogurt.Add the popped grains and seeds next.Spoon over more yogurt.Garnish with sunflower seeds, mint leaves, and sliced radish.Repeat this with the rest of the ingredients in another glass.Serve Savoury Yogurt Parfait Recipe for breakfast with your favorite Masala tea.
</t>
  </si>
  <si>
    <t>Para preparar la receta de parfait de yogur salado, primero bate el yogur con las hierbas, el comino, la pimienta, el jengibre y la sal (o cualquier otro condimento que desees usar). Coloca la mitad de las verduras picadas en el fondo de un vaso. Esparce aproximadamente una cucharada de yogur por encima. Esparce la mitad de los cacahuetes, el chía y los brotes sobre el yogur. Agrega una o dos cucharadas de yogur. Agrega los cereales y las semillas. Agrega más yogur. Decora con semillas de girasol, hojas de menta y rábano en rodajas. Repite esto con el resto de los ingredientes en otro vaso. Sirve la receta de parfait de yogur salado en el desayuno con tu té masala favorito.</t>
  </si>
  <si>
    <t>Pour commencer à préparer la recette du parfait au yaourt salé, fouettez d'abord le yaourt avec les herbes, le cumin, le poivre, le gingembre et le sel (ou tout autre assaisonnement de votre choix). Placez la moitié des légumes hachés au fond d'un verre. Étalez environ une cuillère à soupe de yaourt dessus. Étalez la moitié des cacahuètes, du chana et des germes sur le yaourt. Versez à nouveau une cuillère à soupe ou deux de yaourt. Ajoutez ensuite les céréales et les graines éclatées. Versez plus de yaourt. Garnissez de graines de tournesol, de feuilles de menthe et de radis tranché. Répétez l'opération avec le reste des ingrédients dans un autre verre. Servez la recette du parfait au yaourt salé au petit-déjeuner avec votre thé Masala préféré.</t>
  </si>
  <si>
    <t>http://www.archanaskitchen.com/savoury-yogurt-parfait-recipe</t>
  </si>
  <si>
    <t>Broccoli Egg Scramble Recipe</t>
  </si>
  <si>
    <t>Rezept für Rührei mit Brokkoli</t>
  </si>
  <si>
    <t>Recette d'œufs brouillés au brocoli</t>
  </si>
  <si>
    <t>Receta de huevos revueltos con brócoli</t>
  </si>
  <si>
    <t>4 œufs entiers, 1 tasse de brocoli coupé en petites têtes, 1 cuillère à soupe de poudre de poivre noir, sel au goût, 1 cuillère à café d'huile de tournesol</t>
  </si>
  <si>
    <t>4 Whole Eggs,1 cup Broccoli - cut into small heads,1 tablespoon Black pepper powder,Salt - to taste,1 teaspoon Sunflower Oil</t>
  </si>
  <si>
    <t>4 huevos enteros, 1 taza de brócoli (cortado en cabezas pequeñas), 1 cucharada de pimienta negra en polvo, sal (al gusto), 1 cucharadita de aceite de girasol</t>
  </si>
  <si>
    <t xml:space="preserve">To begin making the Broccoli Egg Scramble Recipe, cut the broccoli by the florets and keep it aside.Heat a skillet with oil, add in the broccoli and sprinkle some salt and stir fry till they turn bright green and are soft. The broccoli will take about 10 minutes to cook.Take the broccoli out and keep the skillet on with a tablespoon of oil. Break the eggs into a bowl and whisk well.Add the eggs into the pan, and keep stirring until the eggs get cooked. Add enough salt and pepper powder and stir until the scramble is cooked. You can prepare the scrambled eggs according to the consistency that you like.Finally add stir fried broccoli along with the egg scramble and combine together. Switch off the heat and serve warm. Serve the Broccoli Egg Scramble Recipe along with fresh fruits and a Chickoo Banana Date Smoothie to make your breakfast healthy.
</t>
  </si>
  <si>
    <t>Para empezar a preparar la receta de revuelto de brócoli con huevo, corta el brócoli en ramilletes y resérvalo. Calienta una sartén con aceite, añade el brócoli, espolvorea un poco de sal y saltea hasta que se ponga verde brillante y esté suave. El brócoli tardará unos 10 minutos en cocinarse. Retira el brócoli y mantén la sartén encendida con una cucharada de aceite. Rompe los huevos en un bol y bate bien. Añade los huevos a la sartén y sigue removiendo hasta que se cocinen. Agrega suficiente sal y pimienta en polvo y revuelve hasta que el revuelto esté cocido. Puedes preparar los huevos revueltos según la consistencia que prefieras. Finalmente, añade el brócoli salteado junto con el revuelto de huevo y mezcla todo. Apaga el fuego y sirve caliente. Sirve la receta de revuelto de brócoli con fruta fresca y un batido de plátano y dátiles Chickoo para que tu desayuno sea saludable.</t>
  </si>
  <si>
    <t>Pour commencer la recette des œufs brouillés au brocoli, coupez le brocoli en fleurettes et réservez-le. Faites chauffer une poêle avec de l'huile, ajoutez le brocoli, salez et faites-le sauter jusqu'à ce qu'il devienne vert vif et tendre. La cuisson du brocoli prendra environ 10 minutes. Retirez le brocoli et laissez la poêle allumée avec une cuillère à soupe d'huile. Cassez les œufs dans un bol et fouettez bien. Ajoutez les œufs dans la poêle et continuez à remuer jusqu'à ce qu'ils soient cuits. Ajoutez suffisamment de sel et de poivre en poudre et remuez jusqu'à ce que les œufs brouillés soient cuits. Vous pouvez préparer les œufs brouillés selon la consistance que vous souhaitez. Enfin, ajoutez le brocoli sauté aux œufs brouillés et mélangez le tout. Éteignez le feu et servez chaud. Servez la recette des œufs brouillés au brocoli avec des fruits frais et un smoothie Chickoo, banane et dattes pour un petit-déjeuner sain.</t>
  </si>
  <si>
    <t>https://www.archanaskitchen.com/broccoli-egg-scramble-recipe</t>
  </si>
  <si>
    <t>Chicken And Egg Slider Recipe With Cheesy Garlic Mayo</t>
  </si>
  <si>
    <t>Rezept für Hühnchen-Ei-Slider mit Käse-Knoblauch-Mayo</t>
  </si>
  <si>
    <t>Recette de mini-burgers au poulet et aux œufs avec fromage et mayonnaise à l'ail</t>
  </si>
  <si>
    <t>Receta de mini hamburguesas de pollo y huevo con queso y mayonesa de ajo</t>
  </si>
  <si>
    <t>3 œufs entiers durs, 250 grammes de poulet désossé, 7 cuillères à soupe de mayonnaise à l'ail et au fromage Del Monte, 1/4 tasse d'oignons nouveaux (bulbes et verts), 1 cuillère à café de poudre de poivre noir, 2 cuillères à café d'huile d'olive extra vierge ou de beurre, 4 petits pains à slider, sel au goût</t>
  </si>
  <si>
    <t>3 Whole Eggs - hard boiled,250 gram Boneless chicken,7 tablespoon Del Monte Cheesy Garlic Mayo,1/4 cup Spring Onion (Bulb &amp; Greens),1 teaspoon Black pepper powder,2 teaspoon Extra Virgin Olive Oil - or butter,4 Slider bun,Salt - to taste</t>
  </si>
  <si>
    <t>3 huevos enteros - duros, 250 gramos de pollo deshuesado, 7 cucharadas de mayonesa de ajo con queso Del Monte, 1/4 taza de cebolla de verdeo (bulbo y hojas verdes), 1 cucharadita de pimienta negra en polvo, 2 cucharaditas de aceite de oliva virgen extra - o mantequilla, 4 panecillos deslizantes, sal - al gusto</t>
  </si>
  <si>
    <t xml:space="preserve">To begin making the Chicken Boiled Egg Sliders With Cheesy Garlic Mayo recipe, clean and wash chicken well. Cut into small cubes.Sprinkle salt and pepper powder over the chicken. Add 3 tablespoons DelMonte Cheesy Garlic Mayonnaise over it, mix well to coat evenly all over the chicken. Cover and keep it refrigerated for about 30 minutes.Heat olive oil in a pan. Thrown in the marinated chicken pieces and cook for about 7 to 10 minutes until chicken gets cooked through.Remove the cooked chicken from the pan and transfer into a bowl, let it cool down a bit. Shred the chicken. Break down boiled eggs into smaller pieces and put them into the same pan.Add 4 to 5 tablespoons of DelMonte Cheesy Garlic Mayonnaise over the chicken and egg, mix with a spoon to coat evenly. Sprinkle chives over it and mix gently.Cut the bun in the middle half way through making sure not to cut them into 2 separate pieces.Scoop a big spoon of this mixture and place it between the 2 slider buns and press the top bun. Serve immediately.Serve Chicken Boiled Egg Sliders With Cheesy Garlic Mayo along with Potato Wedges and a glass of your favourite beverage for a movie night or for a get-together.Serve Chicken Boiled Egg Sliders With Cheesy Garlic Mayo for breakfast with a glass of Nutty Delight Smoothie Recipe. 
</t>
  </si>
  <si>
    <t>Para preparar las Minihamburguesas de Huevo Cocido con Queso y Mayonesa de Ajo, limpia y lava bien el pollo. Córtalo en cubos pequeños. Espolvorea sal y pimienta en polvo sobre el pollo. Agrega 3 cucharadas de Mayonesa de Ajo con Queso DelMonte y mezcla bien para cubrirlo uniformemente. Tapa y refrigera durante unos 30 minutos. Calienta aceite de oliva en una sartén. Agrega los trozos de pollo marinados y cocina de 7 a 10 minutos hasta que el pollo esté bien cocido. Retira el pollo cocido de la sartén y pásalo a un tazón; déjalo enfriar un poco. Desmenuza el pollo. Rompe los huevos cocidos en trozos más pequeños y colócalos en la misma sartén. Agrega de 4 a 5 cucharadas de Mayonesa de Ajo con Queso DelMonte sobre el pollo y el huevo, mezclando con una cuchara para cubrirlos uniformemente. Espolvorea cebollino por encima y mezcla suavemente. Corta el panecillo por la mitad, asegurándote de no cortarlo en dos partes separadas. Toma una cucharada grande de esta mezcla y colócala entre los dos panecillos y presiona el panecillo superior. Sirve inmediatamente. Sirve las Mini Hamburguesas de Huevo Cocido con Queso y Mayonesa de Ajo junto con Papas Gajo y un vaso de tu bebida favorita para una noche de cine o para una reunión. Sirve las Mini Hamburguesas de Huevo Cocido con Queso y Mayonesa de Ajo para desayunar con un vaso de la Receta de Batido Nutty Delight.</t>
  </si>
  <si>
    <t>Pour préparer les mini-burgers au poulet et à la mayonnaise à l'ail et au fromage, lavez soigneusement le poulet. Coupez-le en petits dés. Saupoudrez-le de sel et de poivre. Ajoutez 3 cuillères à soupe de mayonnaise à l'ail et au fromage DelMonte et mélangez bien pour bien enrober le poulet. Couvrez et réservez au réfrigérateur pendant environ 30 minutes. Faites chauffer l'huile d'olive dans une poêle. Ajoutez les morceaux de poulet marinés et faites cuire 7 à 10 minutes, jusqu'à ce que le poulet soit bien cuit. Retirez le poulet cuit de la poêle et transférez-le dans un bol. Laissez-le refroidir. Effilochez le poulet. Cassez les œufs durs en petits morceaux et mettez-les dans la même poêle. Ajoutez 4 à 5 cuillères à soupe de mayonnaise à l'ail et au fromage DelMonte sur le poulet et l'œuf, mélangez à la cuillère pour bien enrober. Parsemez de ciboulette et mélangez délicatement. Coupez le pain en deux à mi-cuisson en veillant à ne pas le couper en deux. Prélevez une grosse cuillère de ce mélange et placez-la entre les deux petits pains et appuyez sur le dessus. Servez immédiatement. Servez les mini-mini-mini-œufs durs au poulet avec mayonnaise à l'ail et au fromage accompagnés de quartiers de pommes de terre et d'un verre de votre boisson préférée pour une soirée cinéma ou une réunion. Servez les mini-mini-œufs durs au poulet avec mayonnaise à l'ail et au fromage au petit-déjeuner, accompagnés d'un verre de smoothie Nutty Delight.</t>
  </si>
  <si>
    <t>https://www.archanaskitchen.com/chicken-boiled-egg-sliders-with-cheesy-garlic-mayo-recipe</t>
  </si>
  <si>
    <t>Fluffy Corn Muffins Recipe</t>
  </si>
  <si>
    <t>Rezept für fluffige Maismuffins</t>
  </si>
  <si>
    <t>Recette de muffins moelleux au maïs</t>
  </si>
  <si>
    <t>Receta de muffins de maíz suaves</t>
  </si>
  <si>
    <t>2 œufs entiers, 1-2/3 tasse de Vivatta Maida, 1-1/2 cuillères à soupe de levure chimique, 1/2 cuillère à café de sel, 2/3 tasse de Makki Ka Atta (farine de maïs jaune), 1/2 tasse de sucre, 1 tasse de lait, 2 cuillères à soupe d'huile d'olive extra vierge, 1/4 tasse de beurre</t>
  </si>
  <si>
    <t>2 Whole Eggs,1-2/3 cups Vivatta Maida,1-1/2 tablespoons Baking powder,1/2 teaspoon Salt,2/3 cup Makki Ka Atta (Yellow Corn Meal Flour),1/2 cup Sugar,1 cup Milk,2 tablespoons Extra Virgin Olive Oil,1/4 cup Butter</t>
  </si>
  <si>
    <t>2 huevos enteros, 1-2/3 tazas de Vivatta Maida, 1-1/2 cucharadas de polvo para hornear, 1/2 cucharadita de sal, 2/3 taza de Makki Ka Atta (harina de maíz amarillo), 1/2 taza de azúcar, 1 taza de leche, 2 cucharadas de aceite de oliva virgen extra, 1/4 taza de mantequilla</t>
  </si>
  <si>
    <t xml:space="preserve">To begin making Fluffy Corn Muffins Recipe, for making muffins first preheat oven in to 350 F (180 C).Whisk flour, cornmeal, baking powder and salt in a mixing bowl.In a large bowl with a hand mixer blend butter and sugar until creamy. Add milk and oil and blend again. Add in two eggs and slowly mix it.Slowly add dry mixture to the wet mixture and incorporate nicely.Use greased muffin tin or line up with cupcake liner and pour muffin mixture into 2/3 of muffin tin. Bake for 18- 20 minutes until muffins are lightly golden brown.Serve Fluffy Corn Muffins Recipe as an after school snack with Chocolate Banana Smoothie Recipe.
</t>
  </si>
  <si>
    <t>Para preparar la receta de Muffins de Maíz Esponjosos, precaliente el horno a 180 °C (350 °F). Bata la harina, la harina de maíz, el polvo para hornear y la sal en un tazón. En un tazón grande, con una batidora de mano, mezcle la mantequilla y el azúcar hasta obtener una mezcla cremosa. Agregue la leche y el aceite y vuelva a mezclar. Agregue dos huevos y mezcle lentamente. Incorpore lentamente la mezcla seca a la líquida e incorpórela bien. Use un molde para muffins engrasado o forre un capacillo para cupcakes y vierta la mezcla en 2/3 del molde. Hornee durante 18 a 20 minutos hasta que los muffins estén ligeramente dorados. Sirva la receta de Muffins de Maíz Esponjosos como refrigerio después de la escuela con la receta de Smoothie de Chocolate y Plátano.</t>
  </si>
  <si>
    <t>Pour commencer à préparer des muffins moelleux au maïs, préchauffez le four à 180 °C (350 °F). Fouettez la farine, la semoule de maïs, la levure chimique et le sel dans un saladier. Dans un grand saladier, mélangez le beurre et le sucre au batteur électrique jusqu'à obtenir une consistance crémeuse. Ajoutez le lait et l'huile et mélangez à nouveau. Ajoutez deux œufs et mélangez lentement. Incorporez lentement le mélange sec au mélange humide et incorporez-le bien. Utilisez un moule à muffins graissé ou tapissez-le de caissettes à cupcakes et versez la préparation aux 2/3 du moule. Enfournez 18 à 20 minutes, jusqu'à ce que les muffins soient légèrement dorés. Servez ces muffins moelleux au maïs comme collation après l'école, accompagnés d'un smoothie chocolat-banane.</t>
  </si>
  <si>
    <t>http://www.archanaskitchen.com/fluffy-corn-muffins-recipe</t>
  </si>
  <si>
    <t>Quinoa Veg Soup (Bolivian Style Stew) Recipe</t>
  </si>
  <si>
    <t>Rezept für Quinoa-Gemüsesuppe (Eintopf nach bolivianischer Art)</t>
  </si>
  <si>
    <t>Recette de soupe de légumes au quinoa (ragoût à la bolivienne)</t>
  </si>
  <si>
    <t>Receta de sopa de quinoa y verduras (cocido boliviano)</t>
  </si>
  <si>
    <t>1/4 tasse de quinoa - trempé dans de l'eau tiède pendant 10 minutes, 1 tasse de Kala Chana (pois chiches bruns) - cuits, 1/2 tasse de bouillon de légumes, 1 oignon - finement haché, 2 feuilles de laurier (tej patta), 1 tasse d'eau, 1 tasse de carottes (Gajjar) - haricots et pois, 1/2 tasse de poivron vert (Capsicum) - haché, 1 cuillère à café de gingembre - râpé, 1 cuillère à soupe d'huile de tournesol, 1/4 tasse de purée de tomates maison - ou de sauce pour pâtes, 1/2 cuillère à soupe de poudre de piment rouge du Cachemire, 1/2 cuillère à café de graines de cumin (Jeera), 1/2 cuillère à café de poudre de coriandre (Dhania), 1/2 cuillère à café de feuilles de coriandre (Dhania)</t>
  </si>
  <si>
    <t>1/4 cup Quinoa - soaked in warm water for 10 mins,1 cup Kala Chana (Brown Chickpeas) - cooked,1/2 cup Vegetable stock,1 Onions - finely chopped,2 Bay leaf (tej patta),1 cup Water,1 cup Carrots (Gajjar) - beans and peas,1/2 cup Green Bell Pepper (Capsicum) - chopped,1 teaspoon Ginger - grated,1 tablespoon Sunflower Oil,1/4 cup Homemade tomato puree - or pasta sauce,1/2 tablespoon Kashmiri Red Chilli Powder,1/2 teaspoon Cumin seeds (Jeera),1/2 teaspoon Coriander Powder (Dhania),1/2 teaspoon Coriander (Dhania) Leaves</t>
  </si>
  <si>
    <t>1/4 taza de quinoa - remojada en agua tibia durante 10 minutos, 1 taza de Kala Chana (garbanzos marrones) - cocidos, 1/2 taza de caldo de verduras, 1 cebolla - finamente picada, 2 hojas de laurel (tej patta), 1 taza de agua, 1 taza de zanahorias (Gajjar) - frijoles y guisantes, 1/2 taza de pimiento verde (Capsicum) - picado, 1 cucharadita de jengibre - rallado, 1 cucharada de aceite de girasol, 1/4 taza de puré de tomate casero - o salsa para pasta, 1/2 cucharada de chile rojo de Cachemira en polvo, 1/2 cucharadita de semillas de comino (Jeera), 1/2 cucharadita de cilantro en polvo (Dhania), 1/2 cucharadita de hojas de cilantro (Dhania)</t>
  </si>
  <si>
    <t xml:space="preserve">To begin making Quinoa Veg Soup, firstly add oil in a pressure cooker.Add onions, grated ginger, garlic and bay leaf and sauté till the onions turn golden brown.Once the onions turn golden brown, add tomato puree, bell pepper, veggies and sauté with salt.Add the cooked garbanzo, red chilli powder, jeera, dhania powder, quinoa, vegetable stock, water and pressure cook it for 2 whistles.Let the pressure die down on its own. Simmer for 3-4 mins till you get desired consistency and lastly add cilantro. Check the salt and spices and adjust to suit your taste and serve.Serve Quinoa Veg Soup with Chilli Cheese Toast or any other toast of your choice.
</t>
  </si>
  <si>
    <t>Para preparar la sopa de quinoa y verduras, primero ponga aceite en una olla a presión. Añada la cebolla, el jengibre rallado, el ajo y la hoja de laurel y saltee hasta que la cebolla esté dorada. Una vez dorada, añada el puré de tomate, el pimiento morrón y las verduras y saltee con sal. Añada el garbanzo cocido, el chile rojo en polvo, la jeera, el dhania en polvo, la quinoa, el caldo de verduras y el agua, y cocine a presión durante dos silbidos. Deje que la presión baje por sí sola. Cocine a fuego lento de 3 a 4 minutos hasta obtener la consistencia deseada y, por último, añada el cilantro. Rectifique la sal y las especias a su gusto y sirva. Sirva la sopa de quinoa y verduras con tostadas de queso y chile o cualquier otra tostada de su preferencia.</t>
  </si>
  <si>
    <t>Pour préparer la soupe de légumes au quinoa, versez d'abord l'huile dans une cocotte-minute. Ajoutez les oignons, le gingembre râpé, l'ail et le laurier et faites revenir jusqu'à ce que les oignons soient dorés. Une fois les oignons dorés, ajoutez le concentré de tomates, le poivron et les légumes, puis faites revenir avec du sel. Ajoutez les pois chiches cuits, la poudre de piment rouge, le jeera, la poudre de dhania, le quinoa, le bouillon de légumes et l'eau, puis faites cuire sous pression pendant 2 sifflets. Laissez la pression retomber. Laissez mijoter 3 à 4 minutes jusqu'à obtenir la consistance souhaitée, puis ajoutez la coriandre. Vérifiez le sel et les épices, ajustez à votre goût et servez. Servez la soupe de légumes au quinoa avec des toasts au fromage et au piment ou tout autre toast de votre choix.</t>
  </si>
  <si>
    <t>http://www.archanaskitchen.com/quinoa-veg-soup-bolivian-style-stew-recipe</t>
  </si>
  <si>
    <t>Classic Apple Pie Recipe (Stars in the Galaxy)</t>
  </si>
  <si>
    <t>Klassisches Apfelkuchenrezept (Sterne in der Galaxie)</t>
  </si>
  <si>
    <t>Recette classique de tarte aux pommes (Stars in the Galaxy)</t>
  </si>
  <si>
    <t>Receta clásica de tarta de manzana (Estrellas en la Galaxia)</t>
  </si>
  <si>
    <t>2 tasses de Vivatta Maida, 1 tasse de beurre congelé, 1 tasse de sucre en poudre, 2 cuillères à soupe d'eau glacée, 6 pommes finement hachées, 1 cuillère à café de cannelle en poudre (Dalchini), 1 cuillère à café de noix de muscade en poudre, 2 citrons - jus, 4 cuillères à soupe de cassonade (sucre Demerara), 2 cuillères à soupe de sucre, feuilles de menthe (Pudina) - selon les besoins</t>
  </si>
  <si>
    <t>2 cups Vivatta Maida,1 cup Butter - frozen,1 cup Sugar - powdered,2 tablespoon Water - ice cold,6 Apples - chopped finely,1 teaspoon Cinnamon Powder (Dalchini),1 teaspoon Nutmeg powder,2 Lemon - Juice,4 tablespoon Brown Sugar (Demerara Sugar),2 tablespoon Sugar,Mint Leaves (Pudina) - as required</t>
  </si>
  <si>
    <t>2 tazas de Vivatta Maida, 1 taza de mantequilla congelada, 1 taza de azúcar en polvo, 2 cucharadas de agua helada, 6 manzanas finamente picadas, 1 cucharadita de canela en polvo (dalchini), 1 cucharadita de nuez moscada en polvo, 2 limones (jugo), 4 cucharadas de azúcar morena (azúcar demerara), 2 cucharadas de azúcar, hojas de menta (pudina) según sea necesario</t>
  </si>
  <si>
    <t xml:space="preserve">To begin making the Classic Apple Pie recipe, first let’s knead the pie dough and let it rest. Till the time it will be ready to use, we will be done with all our preparations.Firstly we will make the dough and tart base. Take all purpose flour in a bowl and add sugar. Mix wellNow add diced butter and mix it well using your fingers. Don’t use any spoon or ladle to mix. Do it with fingers as it will make sure that every bit of flour has a buttery flavor to itAfter 5-10 minutes, you will start noticing crumbled texture of the flour. Dip your fingers in cold water and keep mixing it lightly.Once the dough is kneaded, it will be rough crumbled dough, cover it in a cling film and let it rest in fridge for 30 minsTake it out post 30 minutes and roll it out. Arrange it on the tart tin. Make sure you press the corners with thumb to make it stick in perfect shape.On the base, make impressions with fork. This will make sure that the dough will not rise during baking. Now, spread kidney beans or chana over the top and bake well till 12 minutes at 150 degrees. Once you will see light golden color of the base, tarts are ready. Do not un-mould them.The next step is to make the apple filling. Put all the stuff (except lemon juice and mint) in a pan and keep stirring it lightlyOnce the apples get moist and caramel comes out of the pan due to sugar, switch off the gas Now add lemon juice and mint leaves. Mix well, taste it and adjust the spices.Next, arrange apple filling over the baked tarts. Cover the top with the dough (design it as per your choice).Bake again for 10 minutes or till the top turns golden. Take them out and let them cool down for good 2-3 hours.Your Classic Apple Pie is ready. Savor them hot along with chilled vanilla icecream.Serve Classic Apple Pie along with Grilled Tofu Spinach/Lettuce Sandwich and Espresso Coffee for your next tea party.
</t>
  </si>
  <si>
    <t>Para comenzar a hacer la receta clásica de pastel de manzana, primero amasamos la masa del pastel y la dejamos reposar. Hasta el momento en que esté lista para usar, habremos terminado con todas nuestras preparaciones. Primero haremos la masa y la base de la tarta. Tome harina para todo uso en un tazón y agregue el azúcar. Mezcle bien Ahora agregue la mantequilla cortada en cubitos y mézclela bien con los dedos. No use ninguna cuchara o cucharón para mezclar. Hágalo con los dedos, ya que se asegurará de que cada trozo de harina tenga un sabor a mantequilla. Después de 5-10 minutos, comenzará a notar la textura desmenuzada de la harina. Sumerja los dedos en agua fría y siga mezclándola ligeramente. Una vez amasada la masa, será una masa áspera desmenuzada, cúbrala con una película adhesiva y déjela reposar en el refrigerador durante 30 minutos. Sáquela después de 30 minutos y extiéndala. Colóquela en el molde para tarta. Asegúrate de presionar las esquinas con el pulgar para que se adhiera en la forma perfecta. En la base, haz impresiones con un tenedor. Esto asegurará que la masa no suba durante la cocción. Ahora, esparce frijoles rojos o chana en la parte superior y hornea bien hasta 12 minutos a 150 grados. Una vez que veas un color dorado claro en la base, las tartas estarán listas. No las desmoldes. El siguiente paso es hacer el relleno de manzana. Pon todos los ingredientes (excepto el jugo de limón y la menta) en una sartén y sigue revolviendo ligeramente. Una vez que las manzanas se humedezcan y el caramelo salga de la sartén debido al azúcar, apaga el gas. Ahora agrega el jugo de limón y las hojas de menta. Mezcla bien, pruébalo y ajusta las especias. A continuación, coloca el relleno de manzana sobre las tartas horneadas. Cubre la parte superior con la masa (diséñala según tu elección). Hornea de nuevo durante 10 minutos o hasta que la parte superior se dore. Sácalas y déjalas enfriar durante 2-3 horas. Tu tarta de manzana clásica está lista. Disfrútelos calientes con helado de vainilla frío. Sirva la clásica tarta de manzana con un sándwich de tofu a la parrilla, espinacas y lechuga, y café expreso en su próxima merienda.</t>
  </si>
  <si>
    <t>Pour commencer à préparer la recette de tarte aux pommes classique, pétrissons d'abord la pâte à tarte et la laissons reposer. Jusqu'au moment où elle sera prête à être utilisée, nous aurons terminé tous nos préparatifs. Tout d'abord, nous allons préparer la pâte et la base de tarte. Prenez la farine tout usage dans un bol et ajoutez le sucre. Bien mélanger. Ajoutez maintenant le beurre en dés et mélangez bien avec vos doigts. N'utilisez pas de cuillère ou de louche pour mélanger. Faites-le avec les doigts car cela garantira que chaque morceau de farine ait une saveur de beurre. Après 5 à 10 minutes, vous commencerez à remarquer une texture émiettée de la farine. Trempez vos doigts dans de l'eau froide et continuez à mélanger légèrement. Une fois la pâte pétrie, ce sera une pâte grossièrement émiettée, couvrez-la d'un film alimentaire et laissez-la reposer au réfrigérateur pendant 30 minutes. Sortez-la après 30 minutes et étalez-la. Disposez-la sur le moule à tarte. Assurez-vous d'appuyer sur les coins avec le pouce pour qu'elle colle parfaitement. Sur la base, faites des empreintes avec une fourchette. Cela garantira que la pâte ne lèvera pas pendant la cuisson. Maintenant, étalez des haricots rouges ou du chana sur le dessus et faites cuire jusqu'à 12 minutes à 150 degrés. Une fois que vous verrez une légère couleur dorée de la base, les tartelettes sont prêtes. Ne les démoulez pas. L'étape suivante consiste à préparer la garniture aux pommes. Mettez tous les ingrédients (sauf le jus de citron et la menthe) dans une casserole et continuez à remuer légèrement. Une fois que les pommes sont humides et que le caramel sort de la casserole à cause du sucre, éteignez le gaz. Ajoutez maintenant le jus de citron et les feuilles de menthe. Mélangez bien, goûtez et ajustez les épices. Ensuite, disposez la garniture aux pommes sur les tartelettes cuites. Couvrez le dessus avec la pâte (concevez-la selon votre choix). Faites cuire à nouveau pendant 10 minutes ou jusqu'à ce que le dessus devienne doré. Sortez-les et laissez-les refroidir pendant 2 à 3 heures. Votre tarte aux pommes classique est prête. Savourez-les chauds accompagnés de glace à la vanille glacée. Servez la tarte aux pommes classique avec un sandwich au tofu grillé, aux épinards et à la laitue et un café expresso pour votre prochain goûter.</t>
  </si>
  <si>
    <t>https://www.archanaskitchen.com/classic-apple-pie-recipe-stars-in-the-galaxy</t>
  </si>
  <si>
    <t>8 Ingredient Sugar Free Granola Parfait Recipe</t>
  </si>
  <si>
    <t>Rezept für zuckerfreies Granola-Parfait mit 8 Zutaten</t>
  </si>
  <si>
    <t>Recette de parfait granola sans sucre avec 8 ingrédients</t>
  </si>
  <si>
    <t>Receta perfecta de granola sin azúcar con 8 ingredientes</t>
  </si>
  <si>
    <t>3 tasses d'avoine instantanée (gruau), 1/4 tasse de noix hachées, 1/4 tasse de badam (amandes) hachées, 10 abricots, 7 dattes hachées et épépinées, 1-1/2 tasse de miel, 1/2 tasse d'huile d'olive extra vierge, 1/2 cuillère à café de cannelle en poudre (dalchini), 1 pincée de sel, 250 grammes de caillé (dahi / yaourt) - (égouttez le lactosérum), 1 kiwi - coupé en rondelles, 5 cuillères à soupe de poudre d'anardana (poudre de graines de grenade)</t>
  </si>
  <si>
    <t>3 cups Instant Oats (Oatmeal),1/4 cup Walnuts - chopped,1/4 cup Badam (Almond) - chopped,10 Apricots,7 Dates - chopped and deseeded,1-1/2 cup Honey,1/2 cup Extra Virgin Olive Oil,1/2 teaspoon Cinnamon Powder (Dalchini),1 pinch Salt,250 grams Curd (Dahi / Yogurt) - (drain up the whey),1 Kiwi - sliced into roundels,5 tablespoons Anardana Powder (Pomegranate Seed Powder)</t>
  </si>
  <si>
    <t>3 tazas de avena instantánea (avena), 1/4 taza de nueces picadas, 1/4 taza de almendras picadas, 10 albaricoques, 7 dátiles picados y sin semillas, 1 1/2 taza de miel, 1/2 taza de aceite de oliva virgen extra, 1/2 cucharadita de canela en polvo (dalchini), 1 pizca de sal, 250 gramos de cuajada (dahi/yogur) (escurrir el suero), 1 kiwi cortado en rodajas, 5 cucharadas de anardana en polvo (granada en polvo)</t>
  </si>
  <si>
    <t xml:space="preserve">To begin making the 8 Ingredient Sugar Free Granola Parfait recipe, mix up the olive oil and honey in a mixing bowl. Stir them up. Preheat Oven at 170 Celsius for 10 minutes.Take a bowl, add rolled oats, chopped walnuts and almonds giving it a nice mix. Add cinnamon and salt and stir to combine.Pour in olive oil and honey to the rolled oats mixture. Give it thorough stir to combine.Brush up olive oil to the baking tray and spread up the Granola evenly to avoid any crumbles.Stir in Granola every 10 minutes and bake them for 25 to 30 minutes.After 20 minutes mix chopped Apricots and Dates into the granola.Lookout for Golden brown colour and let it cool.For making parfait, take the short glasses and layer them with granola in both the glasses. Stockup the greek yoghurt leaving place for Granola and pile up the fresh fruits on it.Serve 8 Ingredient Sugar Free Granola Parfait on its own for a healthy and filling breakfast or have it  along with a glass of Plum Ginger Juice Recipe and Muskmelon (Kharbuj) Juice Recipe.
</t>
  </si>
  <si>
    <t>Para preparar la receta de Parfait de Granola Sin Azúcar de 8 Ingredientes, mezcle el aceite de oliva y la miel en un tazón. Revuelva. Precaliente el horno a 170 °C durante 10 minutos. En un tazón, agregue la avena arrollada, las nueces picadas y las almendras hasta obtener una mezcla homogénea. Agregue canela y sal y revuelva para combinar. Vierta el aceite de oliva y la miel a la mezcla de avena arrollada. Revuelva bien para combinar. Unte con aceite de oliva la bandeja para hornear y extienda la granola uniformemente para evitar que se desmorone. Agregue la granola cada 10 minutos y hornee de 25 a 30 minutos. Después de 20 minutos, mezcle los albaricoques y los dátiles picados con la granola. Espere a que se dore y deje enfriar. Para preparar el parfait, tome los vasos bajos y coloque capas de granola en ambos vasos. Abastécete de yogur griego dejando espacio para la granola y apila encima las frutas frescas. Sirve este parfait de granola sin azúcar de 8 ingredientes solo para un desayuno saludable y abundante o tómalo junto con un vaso de jugo de ciruela y jengibre y jugo de melón (kharbuj).</t>
  </si>
  <si>
    <t>Pour commencer la recette du parfait au granola sans sucre à 8 ingrédients, mélangez l'huile d'olive et le miel dans un saladier. Remuez bien. Préchauffez le four à 170 °C pendant 10 minutes. Dans un saladier, ajoutez les flocons d'avoine, les noix et les amandes hachées et mélangez bien. Ajoutez la cannelle et le sel, puis mélangez bien. Versez l'huile d'olive et le miel sur le mélange de flocons d'avoine. Remuez bien. Badigeonnez d'huile d'olive la plaque de cuisson et étalez le granola uniformément pour éviter les miettes. Incorporez le granola toutes les 10 minutes et faites cuire au four pendant 25 à 30 minutes. Après 20 minutes, incorporez les abricots et les dattes hachés au granola. Attendez qu'il soit doré et laissez refroidir. Pour préparer le parfait, prenez les petits verres et disposez-y le granola en couches. Faites le plein de yaourt grec en laissant de la place pour le granola et empilez les fruits frais dessus. Servez le parfait granola sans sucre à 8 ingrédients seul pour un petit-déjeuner sain et copieux ou accompagnez-le d'un verre de jus de prune et de gingembre et de jus de melon musqué (Kharbuj).</t>
  </si>
  <si>
    <t>https://www.archanaskitchen.com/8-ingredient-sugar-free-granola-parfait-recipe</t>
  </si>
  <si>
    <t>Apple And Ginger Cocktail Recipe</t>
  </si>
  <si>
    <t>Rezept für einen Apfel-Ingwer-Cocktail</t>
  </si>
  <si>
    <t>Recette de cocktail pomme-gingembre</t>
  </si>
  <si>
    <t>Receta de cóctel de manzana y jengibre</t>
  </si>
  <si>
    <t>60 ml de vodka de pomme, 30 ml de liqueur d'orange, 30 ml de vinaigre de cidre de pomme, 2 cuillères à café de sucre, 2 cuillères à café de jus de gingembre, 6 feuilles de menthe (Pudina) - plus pour la garniture, glaçons - au besoin, 1 pomme - tranchée</t>
  </si>
  <si>
    <t>60 ml Apple Vodka,30 ml Orange liquor,30 ml Apple cider vinegar,2 teaspoons Sugar,2 teaspoons Ginger Juice,6 Mint Leaves (Pudina) - plus more for garnish,Ice cubes - as needed,1 Apple - sliced</t>
  </si>
  <si>
    <t>60 ml de vodka de manzana, 30 ml de licor de naranja, 30 ml de vinagre de sidra de manzana, 2 cucharaditas de azúcar, 2 cucharaditas de jugo de jengibre, 6 hojas de menta (pudina) - más para decorar, cubitos de hielo - según sea necesario, 1 manzana - en rodajas</t>
  </si>
  <si>
    <t xml:space="preserve">To begin making the Apple And Ginger Cocktail, place the ice cubes into the cocktail shaker.Pour the vodka, orange liqueur, lemon juice and apple cider over it. Add the sugar, ginger juice and crushed mint leaves to the cocktail shaker.Cover the cocktail shaker and shake vigorously until mixed well.Strain the Apple And Ginger Cocktail into a martini glass, garnish with apple slices.Serve Apple And Ginger Cocktail with an Indo-Chinese or Asian meal.
</t>
  </si>
  <si>
    <t>Para empezar a preparar el cóctel de manzana y jengibre, coloque los cubitos de hielo en la coctelera. Vierta encima el vodka, el licor de naranja, el zumo de limón y la sidra de manzana. Añada el azúcar, el zumo de jengibre y las hojas de menta trituradas a la coctelera. Tape la coctelera y agite vigorosamente hasta que esté bien mezclado. Cuele el cóctel de manzana y jengibre en una copa de martini y adorne con rodajas de manzana. Sirva el cóctel de manzana y jengibre con una comida indochina o asiática.</t>
  </si>
  <si>
    <t>Pour commencer à préparer le cocktail pomme et gingembre, placez les glaçons dans le shaker. Versez la vodka, la liqueur d'orange, le jus de citron et le cidre de pomme dessus. Ajoutez le sucre, le jus de gingembre et les feuilles de menthe écrasées dans le shaker. Couvrez le shaker et secouez vigoureusement jusqu'à ce que le tout soit bien mélangé. Filtrez le cocktail pomme et gingembre dans un verre à martini, décorez de tranches de pomme. Servez le cocktail pomme et gingembre avec un repas indochinois ou asiatique.</t>
  </si>
  <si>
    <t>http://www.archanaskitchen.com/apple-and-ginger-cocktail-recipe</t>
  </si>
  <si>
    <t>Blueberry and Lemon Iced Tea Recipe</t>
  </si>
  <si>
    <t>Rezept für Eistee mit Blaubeeren und Zitrone</t>
  </si>
  <si>
    <t>Recette de thé glacé aux myrtilles et au citron</t>
  </si>
  <si>
    <t>Receta de té helado de arándanos y limón</t>
  </si>
  <si>
    <t>1/3 tasse de myrtilles - ou toutes baies disponibles localement, 3 sachets de thé, 2 tasses d'eau, 1/4 tasse de sucre - au goût, jus de citron - de 2 citrons, glaçons, citron - tranché et menthe pour garnir</t>
  </si>
  <si>
    <t>1/3 cup Blueberries - or any locally available berries,3 Tea bags,2 cups Water,1/4 cup Sugar - to taste,Lemon juice - from 2 lemons,Ice cubes,Lemon - sliced and mint to garnish</t>
  </si>
  <si>
    <t>1/3 taza de arándanos (o cualquier baya disponible localmente), 3 bolsitas de té, 2 tazas de agua, 1/4 taza de azúcar (al gusto), jugo de limón (de 2 limones), cubitos de hielo, limón en rodajas y menta para decorar.</t>
  </si>
  <si>
    <t xml:space="preserve">To begin making the Blueberry And Lemon Iced Tea Recipe, in a saucepan, add the sugar, lemon juice and blueberries. Cook the berries on low heat until the sugar has dissolved and the blueberries are mushy.Add the water to the above mixture and bring it to boil. Once the water comes to a boil, add the tea bags and allow to steep for 5 minutes. Turn off the heat.Strain the entire mixture through a fine mesh sieve. Using the back of a spoon squeeze out the juices from the berries and the tea. Once all the juices have been extracted, pour the Blueberry And Lemon Iced Tea into a pitcher and refrigerate the tea for about an hour or more.When you are ready to serve, pour the Blueberry And Lemon Iced Tea into the serving glasses, add a few ice cubes and garnish with mint leaves and sliced lemon.Serve Blueberry and Lemon Iced Tea Recipe with Jalapeno Potato Cheese Balls Recipe With Four Pepper Cheese Dip for your next summer tea party.
</t>
  </si>
  <si>
    <t>Para empezar a preparar la receta de té helado de arándanos y limón, en una cacerola, añade el azúcar, el zumo de limón y los arándanos. Cocina los arándanos a fuego lento hasta que el azúcar se haya disuelto y los arándanos estén blandos. Añade el agua a la mezcla anterior y deja que hierva. Una vez que el agua hierva, añade las bolitas de té y deja reposar durante 5 minutos. Apaga el fuego. Cuela toda la mezcla a través de un colador de malla fina. Con el dorso de una cuchara, exprime los jugos de los arándanos y del té. Una vez extraídos todos los jugos, vierte el té helado de arándanos y limón en una jarra y refrigera el té durante una hora o más. Cuando estés listo para servir, vierte el té helado de arándanos y limón en los vasos para servir, añade unos cubitos de hielo y decora con hojas de menta y rodajas de limón. Sirve la receta de té helado de arándanos y limón con la receta de bolitas de queso y patata con jalapeño y salsa de queso a las cuatro pimientas para tu próxima fiesta de té de verano.</t>
  </si>
  <si>
    <t>Pour commencer la recette du thé glacé aux myrtilles et au citron, dans une casserole, ajoutez le sucre, le jus de citron et les myrtilles. Faites cuire les myrtilles à feu doux jusqu'à ce que le sucre soit dissous et que les myrtilles soient molles. Ajoutez l'eau au mélange précédent et portez à ébullition. Une fois l'eau à ébullition, ajoutez les sachets de thé et laissez infuser 5 minutes. Éteignez le feu. Filtrez le tout à travers une passoire fine. À l'aide du dos d'une cuillère, pressez le jus des myrtilles et du thé. Une fois tout le jus extrait, versez le thé glacé aux myrtilles et au citron dans un pichet et réfrigérez le thé pendant environ une heure ou plus. Au moment de servir, versez le thé glacé aux myrtilles et au citron dans les verres, ajoutez quelques glaçons et décorez de feuilles de menthe et de tranches de citron. Servez la recette du thé glacé aux myrtilles et au citron avec des boules de fromage aux pommes de terre et au jalapeño et une trempette au fromage aux quatre poivres pour votre prochain goûter d'été.</t>
  </si>
  <si>
    <t>http://www.archanaskitchen.com/blueberry-and-lemon-iced-tea-recipe</t>
  </si>
  <si>
    <t>No Bake Mango Yogurt Cheesecake Recipe With Raspberries</t>
  </si>
  <si>
    <t>Rezept für Mango-Joghurt-Käsekuchen ohne Backen mit Himbeeren</t>
  </si>
  <si>
    <t>Recette de cheesecake au yaourt et à la mangue sans cuisson avec des framboises</t>
  </si>
  <si>
    <t>Receta de tarta de queso con yogur de mango y frambuesas sin horno</t>
  </si>
  <si>
    <t>2 tasses de pulpe de mangue (purée), 500 grammes de fromage à la crème Britannia, 1 tasse de Hung Curd (yaourt grec), 3/4 tasse de sucre - (peut réduire à ½ tasse si vos mangues sont très sucrées), 2 cuillères à soupe de gélatine - ou d'agar-agar, 1/3 tasse d'eau, 1/2 tasse de compote de framboises - ou de purée, 250 grammes de biscuit Marie - (ou digestif Marie), 1/2 tasse de beurre - fondu</t>
  </si>
  <si>
    <t>2 cups Mango Pulp (Puree),500 grams Britannia Cream Cheese,1 cup Hung Curd (Greek Yogurt),3/4 cup Sugar - (can reduce to ½ cup if your mangoes are very sweet),2 tablespoons Gelatin - or Agar Agar,1/3 cup Water,1/2 cup Raspberry Compote - or puree,250 grams Marie Biscuit - (or digestive marie),1/2 cup Butter - melted</t>
  </si>
  <si>
    <t>2 tazas de pulpa de mango (puré), 500 gramos de queso crema Britannia, 1 taza de cuajada colgada (yogur griego), 3/4 taza de azúcar (puede reducir a ½ taza si sus mangos son muy dulces), 2 cucharadas de gelatina o agar agar, 1/3 taza de agua, 1/2 taza de compota de frambuesa o puré, 250 gramos de galleta María (o galleta María digestiva), 1/2 taza de mantequilla derretida</t>
  </si>
  <si>
    <t xml:space="preserve">To begin making No Bake Mango And Yogurt Cheesecake Recipe With Raspberries, make the crust first. Crush the marie biscuits in a mixer jar, until fine crumbs. You can also put the biscuits in a ziplock bag and using a rolling pin or a heavy pan, crush the biscuits.Line the bottom and sides of an 8 or 9 inch springform pan with parchment paper/baking paper.Melt the butter; mix together the melted butter and biscuit crumbs in a mixing bowl and press evenly onto the base of the prepared springform pan. Chill this prepared crust in the freezer for at least 10-20 minutes or till the crust firms up.Pour water in a microwaveable/heat proof bowl; add the gelatin powder/agar agar to the water. Heat the gelatin in a microwave or over a double boiler till it has dissolved completely. Keep aside.Add the cream cheese to the stand mixer jar and beat for a minute.Add sugar and beat till fluffy, about 2 minutes;Now add the yogurt, beat to combine.Later add the mango pulp, mix well.Add the gelatin and mix everything together. Pour this cream cheese -yogurt-mango mixture over the biscuit base in the prepared pan.Add small spoonfuls of raspberry puree on the surface of the cheesecake and create swirls using a skewer or toothpick, if you like. You can leave the bits of raspberry puree as it is, also.Refrigerate the mango raspberry cheesecake and chill for at least 4-5 hours or overnight.Serve this colourful No Bake Mango Yogurt Cheesecake Recipe With Raspberries as a summer dinner party dessert after a meal of Spicy Vegetarian Thai Noodle Bowl Recipe, Lavender Lemonade Cooler Recipe.
</t>
  </si>
  <si>
    <t>Para empezar a preparar la receta de tarta de queso con mango, yogur y frambuesas sin horno, primero prepara la base. Tritura las galletas María en el vaso de una batidora hasta obtener migas finas. También puedes meter las galletas en una bolsa con cierre hermético y, con un rodillo o una sartén gruesa, triturarlas. Cubre el fondo y los lados de un molde desmontable de 20 a 23 cm con papel vegetal. Derrite la mantequilla; mezcla la mantequilla derretida con las migas de galleta en un bol y presiona uniformemente sobre la base del molde. Refrigera la base en el congelador durante al menos 10-20 minutos o hasta que esté firme. Vierte agua en un recipiente apto para microondas o resistente al calor; añade la gelatina en polvo o agar agar al agua. Calienta la gelatina en el microondas o al baño maría hasta que se disuelva por completo. Reserva. Agrega el queso crema al vaso de la batidora y bate durante un minuto. Agrega el azúcar y bate hasta que quede esponjoso, aproximadamente 2 minutos. Ahora agrega el yogur, bate para combinar. Luego agrega la pulpa de mango, mezcla bien. Agrega la gelatina y mezcla todo junto. Vierte esta mezcla de queso crema, yogur y mango sobre la base de galleta en el molde preparado. Agrega pequeñas cucharadas de puré de frambuesa en la superficie de la tarta de queso y crea remolinos con una brocheta o un palillo, si lo deseas. También puedes dejar los trozos de puré de frambuesa como están. Refrigera la tarta de queso de mango y frambuesa y enfríala durante al menos 4-5 horas o toda la noche. Sirve esta colorida receta de tarta de queso con mango y yogur sin horno con frambuesas como postre para una cena de verano después de una comida de la Receta de tazón de fideos tailandeses vegetarianos picantes o la Receta de limonada refrescante de lavanda.</t>
  </si>
  <si>
    <t>Pour commencer la recette du cheesecake mangue-yaourt sans cuisson aux framboises, préparez d'abord la pâte. Écrasez les biscuits Marie dans un bol mixeur jusqu'à obtenir une chapelure fine. Vous pouvez également les placer dans un sac ziplock et, à l'aide d'un rouleau à pâtisserie ou d'une poêle épaisse, les écraser. Tapissez le fond et les bords d'un moule à charnière de 20 ou 23 cm de papier sulfurisé. Faites fondre le beurre ; mélangez le beurre fondu et les miettes de biscuits dans un saladier et tassez-le uniformément sur le fond du moule à charnière préparé. Placez la pâte au congélateur pendant au moins 10 à 20 minutes ou jusqu'à ce qu'elle se raffermisse. Versez de l'eau dans un bol allant au micro-ondes/résistant à la chaleur ; ajoutez la gélatine en poudre/l'agar-agar. Faites chauffer la gélatine au micro-ondes ou au bain-marie jusqu'à ce qu'elle soit complètement dissoute. Réservez. Ajoutez le fromage frais dans le bol du robot et battez pendant une minute. Ajoutez le sucre et battez jusqu'à obtenir une consistance mousseuse, environ 2 minutes. Ajoutez ensuite le yaourt et battez pour mélanger. Ajoutez ensuite la pulpe de mangue et mélangez bien. Ajoutez la gélatine et mélangez le tout. Versez ce mélange fromage frais, yaourt et mangue sur le fond de biscuit dans le moule préparé. Déposez de petites cuillerées de purée de framboises sur la surface du cheesecake et créez des tourbillons à l'aide d'une brochette ou d'un cure-dent, si vous le souhaitez. Vous pouvez également laisser les morceaux de purée de framboises tels quels. Réfrigérez le cheesecake mangue-framboise et laissez-le refroidir au moins 4 à 5 heures ou toute la nuit. Servez cette recette colorée de cheesecake mangue-yaourt sans cuisson aux framboises comme dessert pour un dîner d'été après un bol de nouilles thaïlandaises végétariennes épicées ou une limonade rafraîchissante à la lavande.</t>
  </si>
  <si>
    <t>http://www.archanaskitchen.com/no-bake-mango-and-yogurt-cheesecake-recipe-with-raspberries</t>
  </si>
  <si>
    <t>Nutty Chocolate High Fibre Biscuit Cake Recipe</t>
  </si>
  <si>
    <t>Rezept für einen ballaststoffreichen Nuss-Schokoladen-Kekskuchen</t>
  </si>
  <si>
    <t>Recette de gâteau aux biscuits aux noix et au chocolat riche en fibres</t>
  </si>
  <si>
    <t>Receta de pastel de galletas de nueces y chocolate con alto contenido de fibra</t>
  </si>
  <si>
    <t>2 cuillères à soupe de beurre, 1/2 tasse de cacao en poudre, 2 cuillères à soupe de miel, 2 cuillères à soupe d'eau, 1 cuillère à café d'extrait de vanille, 18 biscuits digestifs multigrains à l'avoine - cassés en petits morceaux, 1/2 tasse de noix - hachées, 2 cuillères à soupe de graines de tournesol</t>
  </si>
  <si>
    <t>2 tablespoons Butter,1/2 cup Cocoa Powder,2 tablespoons Honey,2 tablespoons Water,1 teaspoon Vanilla Extract,18 Multigrain Digestive Oat Biscuits - broken into small pieces,1/2 cup Walnuts - chopped,2 tablespoons Sunflower seeds</t>
  </si>
  <si>
    <t>2 cucharadas de mantequilla, 1/2 taza de cacao en polvo, 2 cucharadas de miel, 2 cucharadas de agua, 1 cucharadita de extracto de vainilla, 18 galletas de avena digestivas multigrano - cortadas en trozos pequeños, 1/2 taza de nueces - picadas, 2 cucharadas de semillas de girasol</t>
  </si>
  <si>
    <t xml:space="preserve">To begin making the Nutty Chocolate High Fibre Biscuit Cake Recipe, firstly add 2 tablespoons salted butter in the saucepan. Once it is melted, add 1/2 cup cocoa powder, 2 tablespoons honey, 2 tablespoons water, 1 teaspoon vanilla extract and stir well for 3 to 4 minutes until it forms a smooth mixture.  Next, add the Nutrichoice digestive biscuits in a bowl and break them into small pieces. In this, add 1/2 cup chopped Walnuts, 2 tablespoons Sunflower Seeds and the above prepared Chocolate Syrup. Mix everything well.Now, grease the pan with butter and dust some flour so that our cakes comes out easily after being refrigerated. Add the Nutty Chocolate Biscuit cake mixture in the greased pan and press it with the back of the spoon to level it from top.Once done, refrigerate it for 3 to 4 hours. Once done, slice the Biscuit cake and it is ready to be served.Serve Nutty Chocolate High Fibre Biscuit Cake along with Espresso Coffee for your evening snack or Pack it along with Peppery Mushroom Biryani and Tadka Raita in your Lunch Box.
</t>
  </si>
  <si>
    <t>Para comenzar a hacer la Receta de Pastel de Galletas con Alto Contenido de Fibra y Chocolate con Nueces, primero agregue 2 cucharadas de mantequilla salada en la cacerola. Una vez que se haya derretido, agregue 1/2 taza de cacao en polvo, 2 cucharadas de miel, 2 cucharadas de agua, 1 cucharadita de extracto de vainilla y revuelva bien durante 3 a 4 minutos hasta que se forme una mezcla suave. A continuación, agregue las galletas digestivas Nutrichoice en un tazón y rómpalas en trozos pequeños. En esto, agregue 1/2 taza de nueces picadas, 2 cucharadas de semillas de girasol y el jarabe de chocolate preparado anteriormente. Mezcle todo bien. Ahora, engrase el molde con mantequilla y espolvoree un poco de harina para que nuestros pasteles salgan fácilmente después de refrigerarlos. Agregue la mezcla de pastel de galletas de chocolate con nueces en el molde engrasado y presiónela con el dorso de la cuchara para nivelarla desde arriba. Una vez hecho esto, refrigérelo durante 3 a 4 horas. Una vez listo, corta el pastel de galletas y estará listo para servir. Sirve el pastel de galletas con nueces, chocolate y alto contenido en fibra junto con un café expreso para tu merienda o llévalo junto con un biryani de champiñones y pimienta y una raita de tadka en tu lonchera.</t>
  </si>
  <si>
    <t>Pour commencer à préparer la recette du gâteau aux biscuits au chocolat et aux noix à haute teneur en fibres, ajoutez d'abord 2 cuillères à soupe de beurre salé dans la casserole. Une fois fondu, ajoutez 1/2 tasse de cacao en poudre, 2 cuillères à soupe de miel, 2 cuillères à soupe d'eau, 1 cuillère à café d'extrait de vanille et remuez bien pendant 3 à 4 minutes jusqu'à ce qu'il forme un mélange lisse. Ensuite, ajoutez les biscuits digestifs Nutrichoice dans un bol et cassez-les en petits morceaux. Dans celui-ci, ajoutez 1/2 tasse de noix hachées, 2 cuillères à soupe de graines de tournesol et le sirop de chocolat préparé ci-dessus. Mélangez bien le tout. Maintenant, graissez le moule avec du beurre et saupoudrez un peu de farine pour que nos gâteaux sortent facilement après avoir été réfrigérés. Ajoutez le mélange à gâteau aux biscuits au chocolat et aux noix dans le moule graissé et appuyez dessus avec le dos de la cuillère pour le niveler du haut. Une fois terminé, réfrigérez-le pendant 3 à 4 heures. Une fois terminé, coupez le gâteau aux biscuits et il est prêt à être servi. Servez le gâteau aux biscuits au chocolat et aux noix à haute teneur en fibres avec du café expresso pour votre collation du soir ou emportez-le avec du biryani aux champignons poivrés et du tadka raita dans votre boîte à lunch.</t>
  </si>
  <si>
    <t>https://www.archanaskitchen.com/nutty-chocolate-high-fibre-biscuit-cake-recipe</t>
  </si>
  <si>
    <t>Spiced Carrot And Onion Soup Recipe</t>
  </si>
  <si>
    <t>Scharfe Karotten-Zwiebelsuppe Rezept – Rezept für eine würzige Karotten-Zwiebelsuppe</t>
  </si>
  <si>
    <t>Recette de soupe épicée aux carottes et aux oignons – Recette de soupe épicée aux carottes et aux oignons</t>
  </si>
  <si>
    <t>Receta de sopa picante de zanahoria y cebolla – Receta de sopa picante de zanahoria y cebolla</t>
  </si>
  <si>
    <t>1 oignon - finement haché, 2 carottes - petit haché, 2,5 cm de gingembre - finement tranché, 1 cuillère à café de cumin en poudre, 1/2 cuillère à café de curcuma en poudre, 1/4 cuillère à café de cannelle en poudre, 1 tasse de lait, 2 tasses de bouillon de légumes, 1 cuillère à soupe de beurre, coriandre verte - un peu, sel - selon le goût, sucre - selon le goût, poivre noir en poudre - écrasé, crème - pour la garniture</t>
  </si>
  <si>
    <t>1 onion - finely chopped, 2 carrots - small chopped, 1 inch ginger - thinly sliced, 1 tsp cumin powder, 1/2 tsp turmeric powder, 1/4 tsp cinnamon powder, 1 cup milk, 2 cups vegetable stock, 1 tbsp butter, green coriander - a little, salt - according to taste, sugar - according to taste, black pepper powder - crushed, cream - for garnish</t>
  </si>
  <si>
    <t>1 cebolla - finamente picada, 2 zanahorias - pequeñas picadas, 1 pulgada de jengibre - finamente rebanado, 1 cucharadita de comino en polvo, 1/2 cucharadita de cúrcuma en polvo, 1/4 cucharadita de canela en polvo, 1 taza de leche, 2 tazas de caldo de verduras, 1 cucharada de mantequilla, cilantro verde - un poco, sal - al gusto, azúcar - al gusto, pimienta negra en polvo - triturada, crema - para decorar</t>
  </si>
  <si>
    <t>To make Spicy Carrot Onion Soup Recipe, first heat butter in a saucepan. Add onion and ginger and cook till onion becomes soft. After onion becomes soft, add carrots and cover the saucepan. Cook till carrots become soft. In a small bowl, mix cumin powder, turmeric powder, cinnamon powder, salt, black pepper powder, sugar, little water and add this to the carrot and onion mixture. Mix and cook for 2 minutes. Turn off the gas and let it cool. After cooling, put it in a blender along with milk and vegetable stock and grind to make a puree. After making the puree, put it again in a saucepan and let it boil. After boiling, turn off the gas and take it out in a bowl. Garnish with coriander leaves and cream and serve hot. Serve Spicy Carrot Onion Soup Recipe before your meal. Serve Punjabi Tadka Daal, Bhindi Masala and Phulka with the meal.</t>
  </si>
  <si>
    <t>Para hacer la Receta de Sopa Picante de Cebolla y Zanahoria, primero calienta la mantequilla en una cacerola. Agrega la cebolla y el jengibre y cocina hasta que la cebolla esté suave. Después de que la cebolla esté suave, agrega las zanahorias y tapa la cacerola. Cocina hasta que las zanahorias estén suaves. En un tazón pequeño, mezcla comino en polvo, cúrcuma en polvo, canela en polvo, sal, pimienta negra en polvo, azúcar, un poco de agua y agrega esto a la mezcla de zanahoria y cebolla. Mezcla y cocina durante 2 minutos. Apaga el gas y deja enfriar. Después de enfriar, ponlo en una licuadora junto con la leche y el caldo de verduras y muele para hacer un puré. Después de hacer el puré, ponlo nuevamente en una cacerola y déjalo hervir. Después de que hierva, apaga el gas y sácalo en un tazón. Decora con hojas de cilantro y crema y sirve caliente. Sirve la Receta de Sopa Picante de Cebolla y Zanahoria antes de tu comida. Sirve Punjabi Tadka Daal, Bhindi Masala y Phulka con la comida.</t>
  </si>
  <si>
    <t>Pour préparer la soupe épicée aux carottes et oignons, faites chauffer le beurre dans une casserole. Ajoutez l'oignon et le gingembre et faites cuire jusqu'à ce que l'oignon soit tendre. Une fois l'oignon tendre, ajoutez les carottes et couvrez la casserole. Laissez cuire jusqu'à ce que les carottes soient tendres. Dans un petit bol, mélangez la poudre de cumin, la poudre de curcuma, la poudre de cannelle, le sel, la poudre de poivre noir, le sucre et un peu d'eau. Ajoutez le tout au mélange carottes-oignons. Mélangez et laissez cuire 2 minutes. Coupez le feu et laissez refroidir. Une fois refroidi, mixez avec le lait et le bouillon de légumes et réduisez en purée. Après avoir fait la purée, remettez-la dans une casserole et portez à ébullition. Après ébullition, coupez le feu et transférez-la dans un bol. Garnissez de feuilles de coriandre et de crème et servez chaud. Servez la soupe épicée aux carottes et oignons avant votre repas. Accompagnez-la de Punjabi Tadka Daal, de Bhindi Masala et de Phulka.</t>
  </si>
  <si>
    <t>http://www.archanaskitchen.com/spiced-carrot-and-onion-soup-recipe-in-hindi</t>
  </si>
  <si>
    <t>Pan Roasted Zucchini &amp; Mushroom Recipe</t>
  </si>
  <si>
    <t>Rezept für in der Pfanne gebratene Zucchini und Pilze</t>
  </si>
  <si>
    <t>Recette de courgettes et champignons poêlés</t>
  </si>
  <si>
    <t>Receta de calabacín y champiñones salteados</t>
  </si>
  <si>
    <t>1 courgette verte coupée en dés, 400 grammes de champignons de Paris coupés en deux, 1 cuillère à soupe d'huile d'olive extra vierge, 5 gousses d'ail écrasées, 1/2 cuillère à café de grains de poivre noir entiers écrasés, 2 cuillères à café d'herbes mélangées (séchées)</t>
  </si>
  <si>
    <t>1 Green zucchini - diced,400 grams Button mushrooms - cut into half,1 tablespoon Extra Virgin Olive Oil,5 cloves Garlic - crushed,1/2 teaspoon Whole Black Peppercorns - crushed,2 teaspoons Mixed Herbs (Dried)</t>
  </si>
  <si>
    <t>1 calabacín verde - cortado en cubitos, 400 gramos Champiñones - cortados por la mitad, 1 cucharada de aceite de oliva virgen extra, 5 dientes de ajo - machacados, 1/2 cucharadita Granos de pimienta negra enteros - machacados, 2 cucharaditas Hierbas mixtas (secas)</t>
  </si>
  <si>
    <t xml:space="preserve">To begin making the Pan Roasted Zucchini &amp; Mushroom Recipe in a skillet, heat oil on medium flame add the crushed peppercorns and garlic, once the garlic turns into a light brown colour, add the mushrooms. You will observe that the mushrooms will release a lot of water in this process. Increase the flame to medium-high and when the water has almost evaporated add in the zucchini and season with some .  Continue to cook until the zucchini is well roasted. Once the zucchini and mushrooms are done, turn off the flame. Toss in the mixed herbs, check the salt and adjust taste accordingly. Transfer the Roasted Zucchini &amp; Mushroom into a serving bowl and serve hot as a side dish.Serve Pan Roasted Zucchini &amp; Mushroom as a side dish along with Chicken In Lemon Butter Sauce Recipe and Jalapeno Cilantro Lime Rice Recipe for a delicious weekend dinner.
</t>
  </si>
  <si>
    <t>Para empezar a preparar la Receta de Calabacín y Champiñones Asados ​​en Sartén, calienta el aceite a fuego medio, añade los granos de pimienta machacados y el ajo. Una vez que el ajo adquiera un color marrón claro, añade los champiñones. Observarás que los champiñones soltarán mucha agua en este proceso. Aumenta el fuego a medio-alto y cuando el agua casi se haya evaporado, añade el calabacín y sazona con un poco de sal. Continúa cocinando hasta que el calabacín esté bien asado. Una vez que el calabacín y los champiñones estén listos, apaga el fuego. Incorpora las hierbas mixtas, comprueba la sal y ajusta el sabor según corresponda. Transfiere el Calabacín y Champiñones Asados ​​a un tazón para servir y sirve caliente como guarnición. Sirve el Calabacín y Champiñones Asados ​​en Sartén como guarnición junto con la Receta de Pollo en Salsa de Mantequilla de Limón y la Receta de Arroz con Jalapeño, Cilantro y Lima para una deliciosa cena de fin de semana.</t>
  </si>
  <si>
    <t>Pour commencer à préparer la recette de courgettes et champignons rôtis à la poêle, faites chauffer l'huile à feu moyen, ajoutez les grains de poivre écrasés et l'ail. Une fois que l'ail est brun clair, ajoutez les champignons. Vous remarquerez que les champignons libèrent beaucoup d'eau au cours de ce processus. Augmentez le feu à moyen-vif et lorsque l'eau est presque évaporée, ajoutez les courgettes et assaisonnez avec un peu de. Continuez à cuire jusqu'à ce que les courgettes soient bien rôties. Une fois les courgettes et les champignons cuits, éteignez le feu. Ajoutez les herbes mélangées, vérifiez le sel et ajustez le goût en conséquence. Transférez les courgettes et champignons rôtis dans un bol de service et servez chaud en accompagnement. Servez les courgettes et champignons rôtis à la poêle en accompagnement avec la recette de poulet à la sauce au beurre citronné et la recette de riz au citron vert et au jalapeño pour un délicieux dîner de week-end.</t>
  </si>
  <si>
    <t>http://www.archanaskitchen.com/pan-roasted-zucchini-mushroom-recipe</t>
  </si>
  <si>
    <t>Corn Meal and Zucchini Muffin Recipe</t>
  </si>
  <si>
    <t>Rezept für Maismehl-Zucchini-Muffins</t>
  </si>
  <si>
    <t>Recette de muffins aux courgettes et à la semoule de maïs</t>
  </si>
  <si>
    <t>Receta de muffins de calabacín y harina de maíz</t>
  </si>
  <si>
    <t>1 tasse de Makki Ka Atta (farine de maïs jaune), 1 tasse de farine tout usage (Maida), 1 cuillère à café de levure chimique, 1 tasse de courgettes vertes, 1 tasse de maïs doux moulu, 1 cuillère à soupe de sucre, 1 œuf entier, 1/2 tasse de lait, sel - une pincée</t>
  </si>
  <si>
    <t>1 cup Makki Ka Atta (Yellow Corn Meal Flour),1 cup All Purpose Flour (Maida),1 teaspoon Baking powder,1 cup Green zucchini,1 cup Sweet corn - ground,1 tablespoon Sugar,1 Whole Egg,1/2 cup Milk,Salt - a pinch</t>
  </si>
  <si>
    <t>1 taza de Makki Ka Atta (harina de maíz amarillo), 1 taza de harina para todo uso (Maida), 1 cucharadita de polvo para hornear, 1 taza de calabacín verde, 1 taza de maíz dulce molido, 1 cucharada de azúcar, 1 huevo entero, 1/2 taza de leche, sal - una pizca</t>
  </si>
  <si>
    <t xml:space="preserve">To begin making the Corn Meal and Zucchini Muffin Recipe, preheat the oven to 180 degree Celsius to 10 minutes.Mix all the dry ingredients (Maida, corn meal, sugar, baking powder and salt) into a bowl and mix it thoroughly.Add all the wet ingredients like the egg, milk, sweet corn, and combine well.  Grease a cupcake tray and add the batter into the moulds.Bake it in the oven for at least 30 minutes till you can see a nice golden brown on the surface of the cupcake.Serve these Cornmeal and Zucchini Muffin Recipe along with a cup of Tea or Cold coffee to enjoy your evening snack.
</t>
  </si>
  <si>
    <t>Para empezar a preparar la receta de muffins de harina de maíz y calabacín, precalienta el horno a 180 grados Celsius durante 10 minutos. Mezcla todos los ingredientes secos (maida, harina de maíz, azúcar, levadura en polvo y sal) en un bol y mézclalos bien. Agrega todos los ingredientes húmedos como el huevo, la leche y el maíz dulce y combina bien. Engrasa una bandeja para cupcakes y coloca la masa en los moldes. Hornea durante al menos 30 minutos hasta que puedas ver un bonito color dorado en la superficie del cupcake. Sirve estos muffins de harina de maíz y calabacín junto con una taza de té o café frío para disfrutar de tu merienda.</t>
  </si>
  <si>
    <t>Pour commencer à préparer la recette de muffins à la semoule de maïs et aux courgettes, préchauffez le four à 180 degrés Celsius pendant 10 minutes. Mélangez tous les ingrédients secs (Maida, semoule de maïs, sucre, levure chimique et sel) dans un bol et mélangez bien. Ajoutez tous les ingrédients humides comme l'œuf, le lait, le maïs doux et mélangez bien. Graissez un moule à cupcakes et ajoutez la pâte dans les moules. Faites cuire au four pendant au moins 30 minutes jusqu'à ce que vous puissiez voir un joli brun doré à la surface du cupcake. Servez cette recette de muffins à la semoule de maïs et aux courgettes avec une tasse de thé ou de café froid pour savourer votre collation du soir.</t>
  </si>
  <si>
    <t>http://www.archanaskitchen.com/corn-meal-and-zucchini-muffin-recipe</t>
  </si>
  <si>
    <t>Healthy Oats Waffles Recipe</t>
  </si>
  <si>
    <t>Rezept für gesunde Haferwaffeln</t>
  </si>
  <si>
    <t>Recette de gaufres à l'avoine saines</t>
  </si>
  <si>
    <t>Receta de waffles de avena saludables</t>
  </si>
  <si>
    <t>1-1/2 tasse d'avoine instantanée (gruau), 2 cuillères à soupe de graines de chia, 6 cuillères à soupe de lait de soja, 2 cuillères à café de levure chimique, 1/4 tasse de sucre de coco - sucre brut, 1/4 cuillère à café de sel, 1/4 tasse d'huile de coco - fondue, 2/3 tasse de lait de soja - lait de vache + 2 cuillères à soupe si nécessaire, 2 cuillères à café d'extrait de vanille, 1 cuillère à café de cannelle en poudre (Dalchini), sirop d'érable - ou miel au besoin, fruits frais - à servir au besoin (fruits de votre choix)</t>
  </si>
  <si>
    <t>1-1/2 cup Instant Oats (Oatmeal),2 tablespoons Chia Seeds,6 tablespoons Soy milk,2 teaspoons Baking powder,1/4 cup Coconut Sugar - raw sugar,1/4 teaspoon Salt,1/4 cup Coconut Oil - melted,2/3 cup Soy milk - cow's milk+ 2 tablespoons if needed,2 teaspoons Vanilla Extract,1 teaspoon Cinnamon Powder (Dalchini),Maple syrup - or honey as needed,Fresh fruits - to serve as needed (fruit of your choice)</t>
  </si>
  <si>
    <t>1-1/2 taza de avena instantánea (avena), 2 cucharadas de semillas de chía, 6 cucharadas de leche de soya, 2 cucharaditas de polvo para hornear, 1/4 taza de azúcar de coco - azúcar sin refinar, 1/4 cucharadita de sal, 1/4 taza de aceite de coco - derretido, 2/3 taza de leche de soya - leche de vaca + 2 cucharadas si es necesario, 2 cucharaditas de extracto de vainilla, 1 cucharadita de canela en polvo (Dalchini), jarabe de arce - o miel según sea necesario, frutas frescas - para servir según sea necesario (fruta de su elección)</t>
  </si>
  <si>
    <t xml:space="preserve">To begin making the Healthy Oats Waffles recipe, In a small bowl add chia seeds and 6 tablespoons of soy milk, mix well and set aside for 10 minutes to form a chia egg.In a blender, add oats and grind it to a flour like consistency.In a jug add melted coconut oil, chia egg and soy milk and mix well.In a mixing bowl add oat flour, baking powder, salt, coconut sugar and mix well.To this pour the mixed wet ingredients and mix well until combined. Add the extra 2 tablespoons of milk if the mixture is too thick.Now heat the waffle iron, grease it with some coconut oil and make waffles.Serve it on a bed of your favourite fruit and drizzle with maple syrup or honey. Serve Healthy Oat Waffles along with Maple Syrup, Cold Coffee Smoothie or a hot cup of Masala Tea.
</t>
  </si>
  <si>
    <t>Para empezar a preparar la receta de Waffles de Avena Saludables, en un tazón pequeño, agrega semillas de chía y 6 cucharadas de leche de soya, mezcla bien y deja reposar durante 10 minutos para formar un huevo de chía. En una licuadora, agrega avena y muélela hasta obtener una consistencia similar a la harina. En una jarra, agrega aceite de coco derretido, huevo de chía y leche de soya y mezcla bien. En un tazón, agrega harina de avena, polvo para hornear, sal, azúcar de coco y mezcla bien. A esto, vierte los ingredientes húmedos mezclados y mezcla bien hasta que se combinen. Agrega las 2 cucharadas adicionales de leche si la mezcla está demasiado espesa. Ahora calienta la waflera, engrásala con un poco de aceite de coco y prepara los waffles. Sírvelos sobre una cama de tu fruta favorita y rocía con jarabe de arce o miel. Sirve los Waffles de Avena Saludables junto con jarabe de arce, batido de café frío o una taza caliente de té Masala.</t>
  </si>
  <si>
    <t>Pour commencer à préparer la recette de gaufres à l'avoine saines, dans un petit bol, ajoutez les graines de chia et 6 cuillères à soupe de lait de soja, mélangez bien et laissez reposer 10 minutes pour former un œuf de chia. Dans un mixeur, ajoutez l'avoine et broyez-la jusqu'à obtenir une consistance semblable à de la farine. Dans un pichet, ajoutez l'huile de coco fondue, l'œuf de chia et le lait de soja et mélangez bien. Dans un saladier, ajoutez la farine d'avoine, la levure chimique, le sel et le sucre de coco et mélangez bien. Versez ensuite le mélange d'ingrédients humides et mélangez bien jusqu'à obtenir un mélange homogène. Ajoutez les 2 cuillères à soupe de lait supplémentaires si le mélange est trop épais. Faites chauffer le gaufrier, graissez-le avec un peu d'huile de coco et préparez les gaufres. Servez-les sur un lit de vos fruits préférés et arrosez de sirop d'érable ou de miel. Servez les gaufres à l'avoine saines avec du sirop d'érable, un smoothie au café froid ou une tasse chaude de thé Masala.</t>
  </si>
  <si>
    <t>http://www.archanaskitchen.com/healthy-oats-waffles-recipe</t>
  </si>
  <si>
    <t>Beetroot Carrot Tomato &amp; Ginger Juice Recipe</t>
  </si>
  <si>
    <t>Rezept für Rote-Bete-Karotten-Tomaten-Ingwer-Saft</t>
  </si>
  <si>
    <t>Recette de jus de betterave, carotte, tomate et gingembre</t>
  </si>
  <si>
    <t>Receta de jugo de remolacha, zanahoria, tomate y jengibre</t>
  </si>
  <si>
    <t>2 betteraves - pelées et coupées en dés, 2 tomates - coupées en dés, 5 cm de gingembre - haché, 2 carottes (Gajjar) - coupées en dés</t>
  </si>
  <si>
    <t>2 Beetroots - peeled and diced,2 Tomatoes - diced,2 inch Ginger - chopped,2 Carrots (Gajjar) - diced</t>
  </si>
  <si>
    <t>2 remolachas peladas y cortadas en cubitos, 2 tomates cortados en cubitos, 2 pulgadas de jengibre picado, 2 zanahorias (Gajjar) cortadas en cubitos</t>
  </si>
  <si>
    <t xml:space="preserve">To begin making the Beetroot Carrot Tomato &amp; Ginger Juice Recipe, prep all the ingredients and place them in the Juicer or a Mixer Grinder.If using a Juicer, add water to the pulp to extract until the last bit of the juicer and serve.If you are using a Mixer Grinder, blend adding water to make a smooth paste. Strain, add water to adjust the consistency of the juice and serve.Give this delicious Beetroot Carrot Tomato &amp; Ginger Juice Recipe a try and serve it along with Breakfast Oatmeal Raisin Muffin Recipe for your breakfast.
</t>
  </si>
  <si>
    <t>Para empezar a preparar la receta de jugo de remolacha, zanahoria, tomate y jengibre, prepara todos los ingredientes y colócalos en un exprimidor o una licuadora. Si usas un exprimidor, añade agua a la pulpa para extraer hasta el último resto del exprimidor y sirve. Si usas una licuadora, licúa añadiendo agua para hacer una pasta suave. Cuela, añade agua para ajustar la consistencia del jugo y sirve. Prueba esta deliciosa receta de jugo de remolacha, zanahoria, tomate y jengibre y sírvela junto con la receta de muffins de avena con pasas para el desayuno.</t>
  </si>
  <si>
    <t>Pour commencer à préparer la recette de jus de betterave, carotte, tomate et gingembre, préparez tous les ingrédients et placez-les dans la centrifugeuse ou un mixeur-broyeur. Si vous utilisez une centrifugeuse, ajoutez de l'eau à la pulpe pour extraire jusqu'au dernier morceau de la centrifugeuse et servez. Si vous utilisez un mixeur-broyeur, mixez en ajoutant de l'eau pour obtenir une pâte lisse. Filtrez, ajoutez de l'eau pour ajuster la consistance du jus et servez. Essayez cette délicieuse recette de jus de betterave, carotte, tomate et gingembre et servez-la avec la recette de muffins à l'avoine et aux raisins secs pour votre petit-déjeuner.</t>
  </si>
  <si>
    <t>https://www.archanaskitchen.com/beetroot-carrot-tomato-ginger-juice-recipe</t>
  </si>
  <si>
    <t>Potato Spinach Roulade Recipe With Parmesan Cheese &amp; Herbed Butter Sauce</t>
  </si>
  <si>
    <t>Kartoffel-Spinat-Roulade-Rezept mit Parmesankäse und Kräuterbuttersauce</t>
  </si>
  <si>
    <t>Recette de roulade de pommes de terre et d'épinards avec sauce au beurre aux herbes et au parmesan</t>
  </si>
  <si>
    <t>Receta de rollo de patata y espinacas con salsa de hierbas y mantequilla de parmesano</t>
  </si>
  <si>
    <t>500 grammes de pommes de terre (Aloo) - bouillies, 1/2 tasse de farine tout usage (Maida), 1/2 tasse de parmesan - râpé, 1/4 cuillère à café de sel, 3 œufs entiers, 150 grammes de feuilles d'épinards (Palak) - finement hachées, 1 brin de feuilles de basilic - finement hachées, 50 grammes de fromage feta, sel - au goût, poudre de piment rouge - au goût</t>
  </si>
  <si>
    <t>500 grams Potato (Aloo) - boiled,1/2 cup All Purpose Flour (Maida),1/2 cup Parmesan cheese - grated,1/4 teaspoon Salt,3 Whole Eggs,150 grams Spinach Leaves (Palak) - finely chopped,1 sprig Basil leaves - finely chopped,50 grams Feta Cheese,Salt - to taste,Red Chilli powder - to taste</t>
  </si>
  <si>
    <t>500 gramos de papa (Aloo) - hervida, 1/2 taza de harina para todo uso (Maida), 1/2 taza de queso parmesano - rallado, 1/4 cucharadita de sal, 3 huevos enteros, 150 gramos de hojas de espinaca (Palak) - finamente picadas, 1 ramita de hojas de albahaca - finamente picadas, 50 gramos de queso feta, sal - al gusto, chile rojo en polvo - al gusto</t>
  </si>
  <si>
    <t xml:space="preserve">To begin making the Potato Spinach Roulade Recipe, first boil the potatoes in water or a pressure cooker until well done. Peel the skin of the potatoes and allow it to cool. Once the potatoes have cooled, place it in a large mixing bowl and mash the potatoes with your hands or a potato masher. add salt, flour, cheese and eggs and mix all the ingredients into the potato until it forms a smooth dough like consistency. If it does not, add a little flour and allow it to form a dough.Prepare a baking sheet and spread a cheese cloth over the baking sheet. Spread the potato mixture over the cheese cloth to form a long rectangle. The potato will be about a 1/2 an inch thick. Keep this aside while we prepare the filling for the roulade.In a large wok, heat a teaspoon of oil over high heat. Add the spinach and basil and cook until the spinach has wilted down and all the moisture is evaporated. Once evaporated, allow the spinach to cool completely. Add the feta, salt and chili powder and check the taste. The filling is now ready.Spread the spinach mixture over the rolled out potato leaving a 1/2-inch on the edges. The next step is to make it into a roll.With the short side of the rectangle, using the cheesecloth as a support, roll the potato along with the filling to make a pinwheel like roll.  Once rolled, wrap the potato in the cheesecloth and tie the ends of the roll with a string.The final step is to steam the Potato Roulade or Boil it in water. You can cut the roulade into half and place it in a steamer. If you are using the steamer or plan to boil it in water along with the cheese cloth, steam/boil the roulade for at least 30 to 40 minutes on medium heat. Once done, transfer the roll to a serving platter and allow it to rest for 10-12 minutes before you can open the cheese cloth. After 10 minutes, remove the cheesecloth and cut the Potato Spinach Roulade into  slices. Serve it by drizzling with herbed butter sauce. Melt the herbed butter and pour it over the roulade.Serve Potato Spinach Roulade Recipe With Parmesan Cheese &amp; Herbed Butter Sauce for breakfast or even a weeknight dinner along with a glass of wine.
</t>
  </si>
  <si>
    <t>Para comenzar a hacer la Receta de Roulade de Espinacas y Papas, primero hierva las papas en agua o en una olla a presión hasta que estén bien hechas. Pele la piel de las papas y déjelas enfriar. Una vez que las papas se hayan enfriado, colóquelas en un tazón grande y triture las papas con las manos o con un machacador de papas. agregue sal, harina, queso y huevos y mezcle todos los ingredientes con la papa hasta que forme una consistencia suave como una masa. Si no es así, agregue un poco de harina y deje que se forme una masa. Prepare una bandeja para hornear y extienda una estameña sobre la bandeja para hornear. Extienda la mezcla de papas sobre la estameña para formar un rectángulo largo. La papa tendrá aproximadamente 1/2 pulgada de grosor. Mantén esto a un lado mientras preparamos el relleno para el roulade. En un wok grande, caliente una cucharadita de aceite a fuego alto. Agregue las espinacas y la albahaca y cocine hasta que las espinacas se hayan marchitado y toda la humedad se haya evaporado. Una vez evaporada, deje que las espinacas se enfríen por completo. Agregue el queso feta, la sal y el chile en polvo y verifique el sabor. El relleno ya está listo. Extiende la mezcla de espinacas sobre la papa enrollada dejando 1/2 pulgada en los bordes. El siguiente paso es convertirlo en un rollo. Con el lado corto del rectángulo, usando la estameña como soporte, enrolla la papa junto con el relleno para hacer un rollo como un remolino. Una vez enrollado, envuelve la papa en la estameña y ata los extremos del rollo con una cuerda. El paso final es cocinar al vapor el arrollado de papa o hervirlo en agua. Puedes cortar el arrollado por la mitad y colocarlo en una vaporera. Si estás usando la vaporera o planeas hervirlo en agua junto con la estameña, cocina al vapor/hierve el arrollado durante al menos 30 a 40 minutos a fuego medio. Una vez hecho esto, transfiere el rollo a una fuente para servir y déjalo reposar durante 10 a 12 minutos antes de poder abrir la estameña. Después de 10 minutos, retira la estameña y corta el arrollado de papa y espinacas en rodajas. Sírvelo rociándolo con salsa de mantequilla con hierbas. Derrite la mantequilla con hierbas y viértela sobre el rollo. Sirve la receta de rollo de patata y espinacas con queso parmesano y salsa de mantequilla con hierbas para el desayuno o incluso para una cena entre semana, con una copa de vino.</t>
  </si>
  <si>
    <t>Pour commencer à préparer la recette de roulade de pommes de terre aux épinards, faites d'abord bouillir les pommes de terre dans de l'eau ou dans un autocuiseur jusqu'à ce qu'elles soient bien cuites. Pelez la peau des pommes de terre et laissez-les refroidir. Une fois les pommes de terre refroidies, placez-les dans un grand bol et écrasez-les avec vos mains ou un presse-purée. Ajoutez le sel, la farine, le fromage et les œufs et mélangez tous les ingrédients dans la pomme de terre jusqu'à ce qu'elle forme une consistance lisse comme une pâte. Si ce n'est pas le cas, ajoutez un peu de farine et laissez-la former une pâte. Préparez une plaque à pâtisserie et étalez une étamine sur la plaque à pâtisserie. Étalez le mélange de pommes de terre sur l'étamine pour former un long rectangle. La pomme de terre aura une épaisseur d'environ 1/2 pouce. Gardez cela de côté pendant que nous préparons la garniture pour la roulade. Dans un grand wok, faites chauffer une cuillère à café d'huile à feu vif. Ajoutez les épinards et le basilic et faites cuire jusqu'à ce que les épinards soient fanés et que toute l'humidité soit évaporée. Une fois évaporée, laissez les épinards refroidir complètement. Ajoutez la feta, le sel et la poudre de chili et vérifiez le goût. La garniture est maintenant prête. Étalez le mélange d'épinards sur la pomme de terre étalée en laissant un 1/2 pouce sur les bords. L'étape suivante consiste à en faire un rouleau. Avec le côté court du rectangle, en utilisant l'étamine comme support, roulez la pomme de terre avec la garniture pour faire un rouleau en forme de moulinet. Une fois roulé, enveloppez la pomme de terre dans l'étamine et attachez les extrémités du rouleau avec une ficelle. L'étape finale consiste à cuire la roulade de pommes de terre à la vapeur ou à la faire bouillir dans l'eau. Vous pouvez couper la roulade en deux et la placer dans un cuiseur vapeur. Si vous utilisez le cuiseur vapeur ou prévoyez de la faire bouillir dans de l'eau avec l'étamine, faites cuire la roulade à la vapeur/bouillir pendant au moins 30 à 40 minutes à feu moyen. Une fois terminé, transférez le rouleau dans un plat de service et laissez-le reposer pendant 10 à 12 minutes avant de pouvoir ouvrir l'étamine. Après 10 minutes, retirez l'étamine et coupez la roulade de pommes de terre et d'épinards en tranches. Servez-la en l'arrosant de sauce au beurre aux herbes. Faites fondre le beurre aux herbes et versez-le sur la roulade. Servez la recette de roulade de pommes de terre et d'épinards avec du parmesan et de la sauce au beurre aux herbes au petit-déjeuner ou même pour un dîner en semaine accompagné d'un verre de vin.</t>
  </si>
  <si>
    <t>http://www.archanaskitchen.com/potato-spinach-roulade-recipe-with-parmesan-cheese-herbed-butter-sauce</t>
  </si>
  <si>
    <t>Choco Berry Chia Parfait Recipe</t>
  </si>
  <si>
    <t>Rezept für Schoko-Beeren-Chia-Parfait</t>
  </si>
  <si>
    <t>Recette de parfait au chocolat, aux baies et au chia</t>
  </si>
  <si>
    <t>Receta de parfait de chocolate, frutos rojos y chía</t>
  </si>
  <si>
    <t>1-1/2 cuillères à soupe de graines de chia - + 1 cuillère à café, 1 tasse de lait, 1/2 tasse de yaourt grec, 1/2 tasse de flocons d'avoine, 2 cuillères à soupe de miel, 1 cuillère à café d'extrait de vanille, 3 cuillères à soupe de pépites de chocolat - ou de chocolat noir haché, 1/2 tasse de fraises - ou de baies, 1-1/2 cuillère à soupe de cacao en poudre, 1 cuillère à soupe de sauce au chocolat - facultatif, 1 cuillère à soupe de beurre de cacahuète, sel - une pincée, 1 cuillère à soupe de fruits mélangés, 1 noix mélangée</t>
  </si>
  <si>
    <t>1-1/2 tablespoons Chia Seeds - + 1 teaspoon,1 cup Milk,1/2 cup Hung Curd (Greek Yogurt),1/2 cup Rolled Oats,2 tablespoons Honey,1 teaspoons Vanilla Extract,3 tablespoons Chocolate chips - or chopped dark chocolate,1/2 cup Strawberries - or any berries,1-1/2 tablespoon Cocoa Powder,1 tablespoon Chocolate sauce - optional,1 tablespoon Peanut Butter,Salt - a pinch,1 tablespoons Mixed fruits,1 Mixed nuts</t>
  </si>
  <si>
    <t>1-1/2 cucharada de semillas de chía - + 1 cucharadita, 1 taza de leche, 1/2 taza de cuajada colgada (yogur griego), 1/2 taza de avena arrollada, 2 cucharadas de miel, 1 cucharadita de extracto de vainilla, 3 cucharadas de chispas de chocolate - o chocolate negro picado, 1/2 taza de fresas - o cualquier baya, 1-1/2 cucharada de cacao en polvo, 1 cucharada de salsa de chocolate - opcional, 1 cucharada de mantequilla de maní, sal - una pizca, 1 cucharada de frutas mixtas, 1 nueces mixtas</t>
  </si>
  <si>
    <t xml:space="preserve">To begin making the Choco Berry Chia Parfait recipe, blend strawberries, 1/2 a cup of milk, 1/2 teaspoon vanilla and 1 tablespoon honey in a blender and pour it into a bowl.To this add 1-1/2 tablespoons of chia and mix well and set aside in the fridge for 15 minutes.After 15 minutes, mix this again until well combined and remove any lumps if any and let it soak for atleast 2 hours or overnight.In an another bowl mix oats, cocoa powder, 1 teaspoon of chia seeds, pinch of salt and chocolate chips.In the same bowl, add 1/2 cup of milk, greek yogurt, 1 tablespoon honey, nut butter, 1/2 a teaspoon vanilla and mix them all together and refrigerate for a minimum 2 hours or overnight.In a clean jar layer the chia pudding alternating with Chocolate oats and drizzle with chocolate sauce, fruit and nuts.Serve Choco Berry Chia Parfait on its own for a healthy and delicious breakfast. You can also have it as an evening snack.
</t>
  </si>
  <si>
    <t>Para comenzar a hacer la receta de Choco Berry Chia Parfait, licúe fresas, 1/2 taza de leche, 1/2 cucharadita de vainilla y 1 cucharada de miel en una licuadora y viértalo en un tazón. A esto agregue 1-1 / 2 cucharadas de chía y mezcle bien y reserve en el refrigerador durante 15 minutos. Después de 15 minutos, mezcle esto nuevamente hasta que esté bien combinado y elimine los grumos si los hay y déjelo remojar durante al menos 2 horas o durante la noche. En otro tazón mezcle la avena, el cacao en polvo, 1 cucharadita de semillas de chía, una pizca de sal y chispas de chocolate. En el mismo tazón, agregue 1/2 taza de leche, yogur griego, 1 cucharada de miel, mantequilla de nueces, 1/2 cucharadita de vainilla y mézclelos todos juntos y refrigere por un mínimo de 2 horas o durante la noche. En un frasco limpio, coloque capas de pudín de chía alternando con avena con chocolate y rocíe con salsa de chocolate, frutas y nueces. Sirva Choco Berry Chia Parfait solo para un desayuno saludable y delicioso. También puedes tomarlo como refrigerio por la noche.</t>
  </si>
  <si>
    <t>Pour commencer à préparer la recette du Choco Berry Chia Parfait, mélangez les fraises, 1/2 tasse de lait, 1/2 cuillère à café de vanille et 1 cuillère à soupe de miel dans un mixeur et versez-le dans un bol. Ajoutez à cela 1-1/2 cuillères à soupe de chia et mélangez bien et réservez au réfrigérateur pendant 15 minutes. Après 15 minutes, mélangez à nouveau jusqu'à ce que le tout soit bien mélangé et retirez les grumeaux s'il y en a et laissez tremper pendant au moins 2 heures ou toute la nuit. Dans un autre bol, mélangez l'avoine, la poudre de cacao, 1 cuillère à café de graines de chia, une pincée de sel et des pépites de chocolat. Dans le même bol, ajoutez 1/2 tasse de lait, du yaourt grec, 1 cuillère à soupe de miel, du beurre de noix, 1/2 cuillère à café de vanille et mélangez le tout et réfrigérez pendant au moins 2 heures ou toute la nuit. Dans un bocal propre, superposez le pudding au chia en alternance avec les flocons d'avoine au chocolat et arrosez de sauce au chocolat, de fruits et de noix. Servez le Choco Berry Chia Parfait seul pour un petit-déjeuner sain et délicieux. Vous pouvez également le déguster en collation le soir.</t>
  </si>
  <si>
    <t>https://www.archanaskitchen.com/choco-berry-chia-parfait-recipe</t>
  </si>
  <si>
    <t>Herbed Cheesy Bun Recipe</t>
  </si>
  <si>
    <t>Rezept für Käsebrötchen mit Kräutern</t>
  </si>
  <si>
    <t>Recette de rouleaux de fromage aux herbes</t>
  </si>
  <si>
    <t>Receta de rollitos de queso con hierbas</t>
  </si>
  <si>
    <t>2 tasses de farine tout usage (Maida), 1/2 tasse de lait, 1 cuillère à café de sucre, 2 cuillères à soupe d'huile de tournesol, 1 cuillère à soupe de levure sèche active, sel - au goût, eau tiède - pour faire une pâte molle, farine tout usage (Maida) - pour saupoudrer et rouler la pâte, huile de tournesol - pour graisser, 1 carotte (Gajjar) - hachée finement, 1 poivron vert (Capsicum) - haché finement, 1 tasse de chou (Patta Gobi/Muttaikose) - haché finement, 1 cuillère à café d'huile de tournesol, 1 cuillère à soupe de beurre, 2 cuillères à soupe de sauce tomate rôtie pour pâtes, 1 cuillère à soupe de sauce au piment rouge, 1 cuillère à café d'origan séché, 1 cuillère à café de feuilles de thym séchées, 1 cuillère à café de flocons de piment rouge, 1/2 cuillère à café de poudre de poivre noir, fromage - râpé, huile de tournesol - pour graisser le papier d'aluminium</t>
  </si>
  <si>
    <t>2 cup All Purpose Flour (Maida),1/2 cup Milk,1 teaspoon Sugar,2 tablespoons Sunflower Oil,1 tablespoon Active dry yeast,Salt - to taste,Lukewarm Water - to make soft dough,All Purpose Flour (Maida) - for dusting and rolling the dough,Sunflower Oil - for greasing,1 Carrot (Gajjar) - chopped finely,1 Green Bell Pepper (Capsicum) - chopped finely,1 cup Cabbage (Patta Gobi/ Muttaikose) - chopped finely,1 teaspoon Sunflower Oil,1 tablespoon Butter,2 tablespoon Roasted tomato pasta sauce,1 tablespoon Red Chilli sauce,1 teaspoon Dried oregano,1 teaspoon Dried Thyme Leaves,1 teaspoon Red Chilli flakes,1/2 teaspoon Black pepper powder,Cheese - grated,Sunflower Oil - to grease foil</t>
  </si>
  <si>
    <t>2 tazas de harina para todo uso (Maida), 1/2 taza de leche, 1 cucharadita de azúcar, 2 cucharadas de aceite de girasol, 1 cucharada de levadura seca activa, sal - al gusto, agua tibia - para hacer una masa suave, harina para todo uso (Maida) - para espolvorear y extender la masa, aceite de girasol - para engrasar, 1 zanahoria (Gajjar) - picada finamente, 1 pimiento verde (Capsicum) - picado finamente, 1 taza de repollo (Patta Gobi/ Muttaikose) - picado finamente, 1 cucharadita de aceite de girasol, 1 cucharada de mantequilla, 2 cucharadas de salsa de pasta de tomate asado, 1 cucharada de salsa de chile rojo, 1 cucharadita de orégano seco, 1 cucharadita de hojas de tomillo secas, 1 cucharadita de hojuelas de chile rojo, 1/2 cucharadita de pimienta negra en polvo, queso rallado, aceite de girasol - para engrasar papel de aluminio</t>
  </si>
  <si>
    <t xml:space="preserve">To prepare this Herbed Cheesy Bun Munch, by take the yeast in a bowl and add lukewarm water and sugar, leave the yeast to bloom. When the mixture becomes bubbly and yeast is active, add it to maida in a large bowl, you can add the milk, oil and required amount of water (about 1/2 cup) and knead it to a soft dough. After well kneading of the dough, make the dough into a ball shape and grease the dough with oil and dust the flour on the dough and keep it inside the bowl that you used for kneading. Cover the dough with a damp cloth and keep it in a warm place for 1 hours to double it up in volume.To prepare the stuffingHeat oil and butter on a flat pan over a medium heat. When butter starts melting, add chopped veggies and sauté for a minute.Add in the ingredients like tomato sauce, chilli sauce, pepper powder and salt. Save mixed herbs and cheese for later use.Once the vegetables are cooked, let the sautéed mixture cool down.After the dough has been proofed for about an hour, make small lemon sized dumplings from it.Dust with dry flour and roll the dumpling. Place the stuffing in the middle along with about a tablespoon of grated gouda cheese with it. (You could choose any cheese you prefer).Combine the edges and bring them together to form a dumpling by covering the cheese and filling from all four sides. Line a baking tray with aluminum foil and grease it well with oil. Place the dumplings on a tray and set aside for another hour to rise.Once the dough is rising , preheat the  Oven for 10 minutes at 200 degrees Celsius, and bake the Cheesy buns for about 10 minutes. Sprinkle the mixed herbs and bake for another 5 minutes.Serve this Herbed Cheesy Bun Munch with Peanut Chilli Dipping Sauce or spicy Mexican salsa along with Masala Chai during an evening.
</t>
  </si>
  <si>
    <t>Para preparar este bollo de queso y hierbas, tome la levadura en un tazón y agregue agua tibia y azúcar, deje que la levadura florezca. Cuando la mezcla se vuelva burbujeante y la levadura esté activa, agréguela a maida en un tazón grande, puede agregar la leche, el aceite y la cantidad requerida de agua (aproximadamente 1/2 taza) y amásela hasta obtener una masa suave. Después de amasar bien la masa, forme una bola con ella y engrase la masa con aceite y espolvoree la harina sobre la masa y manténgala dentro del recipiente que utilizó para amasar. Cubra la masa con un paño húmedo y manténgala en un lugar cálido durante 1 hora para duplicar su volumen. Para preparar el relleno Caliente el aceite y la mantequilla en una sartén plana a fuego medio. Cuando la mantequilla comience a derretirse, agregue las verduras picadas y saltee durante un minuto. Agregue los ingredientes como la salsa de tomate, la salsa de chile, la pimienta en polvo y la sal. Guarda las hierbas mixtas y el queso para usarlos más tarde. Una vez que las verduras estén cocidas, deja que la mezcla salteada se enfríe. Después de que la masa haya estado levada durante aproximadamente una hora, haz pequeñas albóndigas del tamaño de un limón. Espolvorea con harina seca y enrolla la albóndiga. Coloca el relleno en el medio junto con aproximadamente una cucharada de queso gouda rallado. (Puedes elegir cualquier queso que prefieras). Combina los bordes y júntalos para formar una albóndiga cubriendo el queso y el relleno por los cuatro lados. Cubre una bandeja para hornear con papel de aluminio y engrásala bien con aceite. Coloca las albóndigas en una bandeja y déjalas reposar durante otra hora para que suban. Una vez que la masa esté leudando, precalienta el horno durante 10 minutos a 200 grados Celsius y hornea los bollos con queso durante unos 10 minutos. Espolvoree las hierbas mixtas y hornee durante 5 minutos más. Sirva este panecillo con queso y hierbas con salsa de chile y cacahuete o salsa mexicana picante junto con Masala Chai durante la noche.</t>
  </si>
  <si>
    <t>Pour préparer ce petit pain au fromage et aux herbes, prenez la levure dans un bol et ajoutez de l'eau tiède et du sucre, laissez la levure fleurir. Lorsque le mélange devient bouillonnant et que la levure est active, ajoutez-le à la maida dans un grand bol, vous pouvez ajouter le lait, l'huile et la quantité d'eau requise (environ 1/2 tasse) et pétrissez-le jusqu'à obtenir une pâte molle. Après avoir bien pétri la pâte, façonnez-la en forme de boule et graissez-la avec de l'huile et saupoudrez la pâte de farine et conservez-la dans le bol que vous avez utilisé pour le pétrissage. Couvrez la pâte d'un linge humide et conservez-la dans un endroit chaud pendant 1 heure pour qu'elle double de volume. Pour préparer la farce, faites chauffer l'huile et le beurre dans une poêle plate à feu moyen. Lorsque le beurre commence à fondre, ajoutez les légumes hachés et faites revenir pendant une minute. Ajoutez les ingrédients comme la sauce tomate, la sauce chili, la poudre de poivre et le sel. Conservez les herbes mélangées et le fromage pour une utilisation ultérieure. Une fois les légumes cuits, laissez refroidir le mélange sauté. Une fois la pâte levée pendant environ une heure, faites-en de petites boulettes de la taille d'un citron. Saupoudrez de farine sèche et roulez la boulette. Placez la farce au milieu avec environ une cuillère à soupe de gouda râpé. (Vous pouvez choisir le fromage que vous préférez). Combinez les bords et rassemblez-les pour former une boulette en recouvrant le fromage et en remplissant les quatre côtés. Tapissez une plaque de cuisson de papier d'aluminium et graissez-la bien avec de l'huile. Placez les boulettes sur une plaque et laissez-les lever encore une heure. Une fois la pâte levée, préchauffez le four pendant 10 minutes à 200 degrés Celsius et faites cuire les petits pains au fromage pendant environ 10 minutes. Saupoudrez les herbes mélangées et faites cuire pendant 5 minutes supplémentaires. Servez ce petit pain au fromage et aux herbes avec une sauce chili aux arachides ou une salsa mexicaine épicée accompagnée de Masala Chai lors d'une soirée.</t>
  </si>
  <si>
    <t>https://www.archanaskitchen.com/herbed-cheesy-bun-munch-recipe</t>
  </si>
  <si>
    <t>Banana Date Chocolate Chip Cake Recipe</t>
  </si>
  <si>
    <t>Rezept für Bananen-Dattel-Schokoladenkuchen</t>
  </si>
  <si>
    <t>Recette de gâteau au chocolat banane-dattes</t>
  </si>
  <si>
    <t>Receta de pastel de chocolate con plátano y dátiles</t>
  </si>
  <si>
    <t>1/2 tasse de tartinade classique Nutralite, 1/2 tasse de cassonade (sucre Demerara), 2 œufs entiers, 1 tasse de farine de blé entier, 1/4 tasse de farine Jowar (sorgho), 1/4 tasse de farine Bajra (millet perlé), 2 cuillères à café de levure chimique, 1/4 cuillère à café de sel, 1-1/2 tasse de bananes mûres - écrasées, 1/4 tasse de dattes - finement hachées, 1/4 tasse de pépites de chocolat, 1 cuillère à café d'extrait de vanille</t>
  </si>
  <si>
    <t>1/2 cup Nutralite Classic Spread,1/2 cup Brown Sugar (Demerara Sugar),2 Whole Eggs,1 cup Whole Wheat Flour,1/4 cup Jowar Flour (Sorghum),1/4 cup Bajra Flour ( Pearl Millet),2 teaspoons Baking powder,1/4 teaspoon Salt,1-1/2 cups Ripe Bananas - mashed,1/4 cup Dates - finely chopped,1/4 cup Chocolate chips,1 teaspoon Vanilla Extract</t>
  </si>
  <si>
    <t>1/2 taza de Nutralite Classic Spread, 1/2 taza de azúcar morena (azúcar Demerara), 2 huevos enteros, 1 taza de harina integral, 1/4 taza de harina de Jowar (sorgo), 1/4 taza de harina de Bajra (mijo perla), 2 cucharaditas de polvo de hornear, 1/4 cucharadita de sal, 1-1/2 tazas de plátanos maduros - machacados, 1/4 taza de dátiles - finamente picados, 1/4 taza de chispas de chocolate, 1 cucharadita de extracto de vainilla</t>
  </si>
  <si>
    <t xml:space="preserve">To begin making the Banana Date Chocolate Chip Cake Recipe, first get all the ingredients ready and keep aside.Next preheat the oven to 180 C.  Prepare a loaf pan or a round cake pan greased with Nutralite Classic and flour. Keep aside.Into a large bowl or the bowl of the  Stand Mixer with the paddle attachment, add in the eggs (flax meal egg replacer), Nutralite Classic and sugar, salt and whisk them together until fluffy. Gradually add in the baking powder, the bananas, vanilla, and finally the flours.Beat all the ingredients together until well combined and fluffy. Do not over beat as you do not want the air pockets to die down with too much beating. Finally fold in the chocolate chips into the Banana Date Chocolate Chip Cake batterPour the Banana Date Chocolate Chip Cake batter into the prepared loaf / cake pan and bake in the preheated oven for 35 - 40 minutes or until done.This you will know when you insert a clean toothpick or a knife and it should come out clean with a little sticky crumbs. Cool the Banana Date Chocolate Chip Cake down for about 10 minutes. Cut and serve warm. Serve the Banana Date Chocolate Chip Cake along with Black Tea for a perfect afternoon snack with friends.
</t>
  </si>
  <si>
    <t>Para comenzar a hacer la Receta del Pastel de Chocolate con Chips de Dátiles y Plátano, primero prepare todos los ingredientes y resérvelos. Luego precaliente el horno a 180 C. Prepare un molde para pan o un molde para pastel redondo engrasado con Nutralite Classic y harina. Manténgalo a un lado. En un tazón grande o en el tazón de la batidora de pie con el accesorio de paleta, agregue los huevos (sustituto de huevo de harina de lino), Nutralite Classic y el azúcar, la sal y bátalos juntos hasta que estén esponjosos. Agregue gradualmente el polvo de hornear, los plátanos, la vainilla y finalmente las harinas. Bata todos los ingredientes juntos hasta que estén bien combinados y esponjosos. No bata demasiado ya que no quiere que las bolsas de aire desaparezcan con demasiado batido. Finalmente, incorpore las chispas de chocolate a la masa del pastel de plátano, dátiles y chispas de chocolate. Vierta la masa del pastel de plátano, dátiles y chispas de chocolate en el molde para pan o pastel preparado y hornee en el horno precalentado durante 35 a 40 minutos o hasta que esté listo. Lo sabrá cuando inserte un palillo limpio o un cuchillo y este salga limpio con algunas migas pegajosas. Deje enfriar el pastel de plátano, dátiles y chispas de chocolate durante unos 10 minutos. Corte y sirva caliente. Sirva el pastel de plátano, dátiles y chispas de chocolate junto con té negro para una merienda perfecta con amigos.</t>
  </si>
  <si>
    <t>Pour commencer à préparer la recette du gâteau aux pépites de chocolat et aux dattes et à la banane, préparez d'abord tous les ingrédients et réservez-les. Préchauffez ensuite le four à 180 °C. Préparez un moule à cake ou un moule à gâteau rond graissé avec du Nutralite Classic et de la farine. Réservez. Dans un grand bol ou dans le bol du batteur sur socle avec l'accessoire plat, ajoutez les œufs (substitut d'œuf à base de farine de lin), le Nutralite Classic et le sucre, le sel et fouettez-les ensemble jusqu'à ce qu'ils soient mousseux. Ajoutez graduellement la levure chimique, les bananes, la vanille et enfin les farines. Battez tous les ingrédients ensemble jusqu'à ce que le mélange soit bien mélangé et mousseux. Ne battez pas trop, car vous ne voulez pas que les poches d'air disparaissent en battant trop fort. Enfin, incorporez les pépites de chocolat à la pâte du gâteau aux dattes et à la banane. Versez la pâte du gâteau aux dattes et à la banane dans le moule à cake préparé et faites cuire au four préchauffé pendant 35 à 40 minutes ou jusqu'à ce que le gâteau soit cuit. Vous le saurez lorsque vous y insérerez un cure-dent propre ou un couteau et qu'il devrait ressortir propre avec un peu de miettes collantes. Laissez refroidir le gâteau aux dattes et à la banane pendant environ 10 minutes. Coupez et servez chaud. Servez le gâteau aux dattes et à la banane avec du thé noir pour un goûter parfait entre amis.</t>
  </si>
  <si>
    <t>https://www.archanaskitchen.com/banana-date-chocolate-chip-cake-recipe</t>
  </si>
  <si>
    <t xml:space="preserve">Lettuce, Apple And Carrot Salad With Chilli Dressing Recipe </t>
  </si>
  <si>
    <t>Rezept für Salat mit Äpfeln und Karotten und Chili-Dressing</t>
  </si>
  <si>
    <t>Recette de salade aux pommes et carottes et vinaigrette chili</t>
  </si>
  <si>
    <t>Receta de ensalada de manzana y zanahoria con vinagreta de chile</t>
  </si>
  <si>
    <t>2 tasses de laitue iceberg - grossièrement déchirée, 2 carottes (Gajjar) - coupées en longues lanières, 1 pomme - finement tranchée, 1 concombre - coupé en longues lanières, 2 cuillères à café de jus de citron, 1 cuillère à café de miel, 1 cuillère à café de poudre de piment rouge, sel - au goût</t>
  </si>
  <si>
    <t>2 cups Iceberg lettuce - roughly torn,2 Carrot (Gajjar) - cut into long strips,1 Apple - thinly sliced,1 Cucumber - cut into long strips,2 teaspoons Lemon juice,1 teaspoon Honey,1 teaspoon Red Chilli powder,Salt - to taste</t>
  </si>
  <si>
    <t>2 tazas de lechuga iceberg, cortada en trozos grandes, 2 zanahorias (Gajjar), cortadas en tiras largas, 1 manzana, cortada en rodajas finas, 1 pepino, cortado en tiras largas, 2 cucharaditas de jugo de limón, 1 cucharadita de miel, 1 cucharadita de chile rojo en polvo, sal, al gusto</t>
  </si>
  <si>
    <t xml:space="preserve">To begin making the Lettuce, Apple And Carrot Salad With Chilli Dressing, cut all vegetables and fruits lengthwise into long strips and keep it ready. In a mixing bowl, combine the roughly torn lettuce along with the sliced apples, thin strips of carrot and cucumber. Mix well, keep the salad bowl into the fridge and allow it to cool for about 20 to 30 minutes.To make the dressing, in a small bowl combine the red chilli powder, honey, salt and lemon juice. After 20 to 30 minutes, add the dressing into the salad. Toss the Lettuce, Apple And Carrot Salad with the dressing just before it is served. Serve Lettuce, Apple And Carrot Salad With Chilli Dressing Recipe along with Butternut Squash And Carrot Soup and a Grilled Tofu Spinach/Lettuce Sandwich for your weekend Brunch.
</t>
  </si>
  <si>
    <t>Para empezar a preparar la ensalada de lechuga, manzana y zanahoria con aderezo de chile, corte todas las verduras y frutas a lo largo en tiras largas y téngalas listas. En un tazón, combine la lechuga cortada en trozos grandes junto con las manzanas en rodajas, las tiras finas de zanahoria y el pepino. Mezcle bien, guarde la ensaladera en el refrigerador y déjela enfriar durante unos 20 a 30 minutos. Para hacer el aderezo, en un tazón pequeño combine el chile rojo en polvo, la miel, la sal y el jugo de limón. Después de 20 a 30 minutos, agregue el aderezo a la ensalada. Mezcle la ensalada de lechuga, manzana y zanahoria con el aderezo justo antes de servir. Sirva la receta de ensalada de lechuga, manzana y zanahoria con aderezo de chile junto con la sopa de calabaza y zanahoria y un sándwich de tofu a la parrilla con espinacas y lechuga para su brunch de fin de semana.</t>
  </si>
  <si>
    <t>Pour commencer à préparer la salade de laitue, de pommes et de carottes avec vinaigrette au piment, coupez tous les légumes et les fruits dans le sens de la longueur en longues lanières et réservez-la. Dans un saladier, mélangez la laitue grossièrement déchirée avec les pommes tranchées, les fines lanières de carotte et le concombre. Bien mélanger, conserver le saladier au réfrigérateur et laisser refroidir pendant environ 20 à 30 minutes. Pour préparer la vinaigrette, dans un petit bol, mélanger la poudre de piment rouge, le miel, le sel et le jus de citron. Après 20 à 30 minutes, ajoutez la vinaigrette à la salade. Mélangez la salade de laitue, de pommes et de carottes avec la vinaigrette juste avant de servir. Servez la recette de salade de laitue, de pommes et de carottes avec vinaigrette au piment avec une soupe de courge musquée et de carottes et un sandwich au tofu grillé, aux épinards et à la laitue pour votre brunch du week-end.</t>
  </si>
  <si>
    <t>https://www.archanaskitchen.com/lettuce-apple-and-carrot-salad-with-chilli-dressing-recipe</t>
  </si>
  <si>
    <t>Buttered Green Beans Recipe - Finger Food for Toddlers</t>
  </si>
  <si>
    <t>Rezept für gebutterte grüne Bohnen – Fingerfood für Kleinkinder</t>
  </si>
  <si>
    <t>Recette de haricots verts au beurre – amuse-gueules pour les tout-petits</t>
  </si>
  <si>
    <t>Receta de judías verdes con mantequilla: aperitivos para niños pequeños</t>
  </si>
  <si>
    <t>4 haricots verts (haricots verts) - coupés en morceaux de 2 pouces, 1/2 cuillère à café de beurre, sel - une pincée</t>
  </si>
  <si>
    <t>4 Green beans (French Beans) - chopped into 2 inch pieces,1/2 teaspoon Butter,Salt - a pinch</t>
  </si>
  <si>
    <t>4 judías verdes (judías verdes) cortadas en trozos de 5 cm, 1/2 cucharadita de mantequilla, sal (una pizca)</t>
  </si>
  <si>
    <t xml:space="preserve">To begin making the Buttered Green Beans, we have to first pressure cook the Green Beans. Add the chopped green beans into a pressure cooker along with 2 tablespoons of water. Add a pinch of salt. Pressure cook for 2 whistles and release the pressure immediately by running the pressure cooker under tap water. Open the lid and keep aside. In a pan, add 1/4 teaspoon of butter.Once the butter melts, add the pressure cooked  green beans and saute for a minute until the green beans are coated with the butter. Turn off the heat. Buttered Green Beans are ready to be served. Serve these Buttered Green Beans as finger foods to your babies/toddler above the age of 10 months as an evening snack or a mid morning snack.
</t>
  </si>
  <si>
    <t>Para empezar a preparar las judías verdes con mantequilla, primero las cocinamos a presión. Añada las judías verdes picadas a una olla a presión junto con 2 cucharadas de agua. Añada una pizca de sal. Cocine a presión durante 2 silbidos y libere la presión inmediatamente poniendo la olla bajo el grifo de agua. Abra la tapa y reserve. En una sartén, añada 1/4 de cucharadita de mantequilla. Una vez que la mantequilla se derrita, añada las judías verdes cocidas a presión y saltee durante un minuto hasta que estén cubiertas con la mantequilla. Apague el fuego. Las judías verdes con mantequilla están listas para servir. Sirva estas judías verdes con mantequilla como aperitivos para sus bebés o niños pequeños mayores de 10 meses, como merienda o refrigerio a media mañana.</t>
  </si>
  <si>
    <t>Pour commencer à préparer les haricots verts au beurre, nous devons d'abord les cuire sous pression. Ajoutez les haricots verts hachés dans un autocuiseur avec 2 cuillères à soupe d'eau. Ajoutez une pincée de sel. Faites cuire sous pression pendant 2 sifflets et relâchez la pression immédiatement en passant l'autocuiseur sous l'eau du robinet. Ouvrez le couvercle et réservez. Dans une casserole, ajoutez 1/4 de cuillère à café de beurre. Une fois le beurre fondu, ajoutez les haricots verts cuits sous pression et faites revenir pendant une minute jusqu'à ce qu'ils soient enrobés de beurre. Éteignez le feu. Les haricots verts au beurre sont prêts à être servis. Servez ces haricots verts au beurre comme amuse-gueules à vos bébés/tout-petits de plus de 10 mois, en collation du soir ou en milieu de matinée.</t>
  </si>
  <si>
    <t>https://www.archanaskitchen.com/buttered-green-beans-recipe-finger-food-for-toddlers</t>
  </si>
  <si>
    <t>Apple Carrot Sweet Potato Soup With Garam Masala Roasted Chickpeas Recipe</t>
  </si>
  <si>
    <t>Apfel-Karotten-Süßkartoffelsuppe mit Garam Masala und gerösteten Kichererbsen</t>
  </si>
  <si>
    <t>Soupe de pommes, carottes et patates douces avec garam masala et pois chiches rôtis</t>
  </si>
  <si>
    <t>Sopa de manzana, zanahoria y batata con garam masala y garbanzos tostados</t>
  </si>
  <si>
    <t>1 oignon haché, 3 carottes (Gajjar) grossièrement hachées, 1/2 patate douce pelée et hachée grossièrement, 1 pomme pelée et coupée en dés, 1 cuillère à soupe de poudre de curry, 4 cuillères à soupe de crème de coco (facultatif), 6 tasses de bouillon de légumes ou d'eau, 1 cuillère à soupe d'huile d'olive extra vierge, 2 cuillères à café de sirop d'érable ou de miel, feuilles de coriandre (Dhania) pour la garniture, 1 tasse de Kabuli Chana (pois chiches blancs) cuits, 2 cuillères à soupe de jus de citron, 2 cuillères à café de poudre de garam masala, 1 cuillère à café de poudre de piment rouge, 2 cuillères à soupe d'huile d'olive extra vierge, sel au goût</t>
  </si>
  <si>
    <t>1 Onion - chopped,3 Carrots (Gajjar) - chopped roughly,1/2 Sweet Potato - peeled and chopped roughly,1 Apple - peeled and diced,1 tablespoon Curry powder,4 tablespoons Coconut cream - optional,6 cups Vegetable stock - or water,1 tablespoon Extra Virgin Olive Oil,2 teaspoons Maple syrup - or honey,Coriander (Dhania) Leaves - for garnish,1 cup Kabuli Chana (White Chickpeas) - cooked,2 tablespoons Lemon juice,2 teaspoons Garam masala powder,1 teaspoon Red Chilli powder,2 tablespoons Extra Virgin Olive Oil,Salt - to taste</t>
  </si>
  <si>
    <t>1 cebolla picada, 3 zanahorias (Gajjar) picadas gruesas, 1/2 batata pelada y picada gruesa, 1 manzana pelada y cortada en cubitos, 1 cucharada de curry en polvo, 4 cucharadas de crema de coco (opcional), 6 tazas de caldo de verduras o agua, 1 cucharada de aceite de oliva virgen extra, 2 cucharaditas de jarabe de arce o miel, hojas de cilantro (Dhania) para decorar, 1 taza de Kabuli Chana (garbanzos blancos) cocidos, 2 cucharadas de jugo de limón, 2 cucharaditas de garam masala en polvo, 1 cucharadita de chile rojo en polvo, 2 cucharadas de aceite de oliva virgen extra, sal al gusto</t>
  </si>
  <si>
    <t xml:space="preserve">To prepare Apple Carrot Sweet Potato Soup With Garam Masala Roasted Chickpeas Recipe, Pat dry cooked chickpeas on a kitchen towel mix it with lemon juice and set it in the fridge for at least 30 minutes to 1 hour.Preheat the oven to 200 Degree C and in a mixing bowl combine garam masala powder, chilli powder, salt to taste and olive oil, add the chickpeas and coat it with the spice mixture throughout.Place it on a baking tray and bake for 40 minutes stirring them halfway to roast evenly and set aside.In a large sauce pan add oil, and toss in the onions and cook until transparent, now add carrots and sweet potatoes and give it a good mix.Add the stock and bring it a boil and cook until the vegetables are soft, alternately pressure cook to quicken the process. Now add the apples and let it soften slightly.Use an immersion blender and blend this mixture till smooth.Add curry powder, maple syrup and season with salt and bring this to a gentle boil and turn off the heat.Now ladle the Apple- Carrot-Sweet Potato Soup With Garam Masala Roasted Chickpeas Recipe into soup bowls and garnish with coconut cream, coriander and top it with spicy roasted chickpeas.Serve Apple Carrot Sweet Potato Soup along with Herbed Garlic Bread for a weeknight dinner.
</t>
  </si>
  <si>
    <t>Para preparar la receta de sopa de zanahoria, batata y manzana con garbanzos asados ​​​​con garam masala, seque los garbanzos cocidos en una toalla de cocina, mézclelos con jugo de limón y póngalos en el refrigerador durante al menos 30 minutos a 1 hora. Precaliente el horno a 200 grados C y en un tazón combine el polvo de garam masala, el chile en polvo, la sal al gusto y el aceite de oliva, agregue los garbanzos y cúbralos con la mezcla de especias. Colóquelo en una bandeja para hornear y hornee durante 40 minutos revolviéndolos a la mitad para asarlos uniformemente y reserve. En una cacerola grande, agregue aceite y mezcle las cebollas y cocine hasta que estén transparentes, ahora agregue las zanahorias y las batatas y mezcle bien. Agregue el caldo y déjelo hervir y cocine hasta que las verduras estén suaves, cocine a presión alternativamente para acelerar el proceso. Ahora agregue las manzanas y deje que se ablanden un poco. Use una licuadora de inmersión y licúe esta mezcla hasta que esté suave. Agregue curry en polvo, jarabe de arce y sazone con sal y lleve a ebullición suave y apague el fuego. Ahora sirva la receta de sopa de manzana, zanahoria y batata con garbanzos asados ​​Garam Masala en tazones de sopa y adorne con crema de coco, cilantro y cúbralo con garbanzos asados ​​picantes. Sirva la sopa de manzana, zanahoria y batata junto con pan de ajo con hierbas para una cena entre semana.</t>
  </si>
  <si>
    <t>Pour préparer la recette de soupe aux pommes, carottes et patates douces avec pois chiches rôtis au garam masala, séchez les pois chiches cuits sur un torchon, mélangez-les avec du jus de citron et placez-les au réfrigérateur pendant au moins 30 minutes à 1 heure. Préchauffez le four à 200 degrés C et dans un bol, mélangez la poudre de garam masala, la poudre de piment, le sel au goût et l'huile d'olive, ajoutez les pois chiches et enrobez-les du mélange d'épices. Placez-le sur une plaque de cuisson et faites cuire pendant 40 minutes en les remuant à mi-cuisson pour les rôtir uniformément et réservez. Dans une grande casserole, ajoutez l'huile, ajoutez les oignons et faites cuire jusqu'à ce qu'ils soient transparents, ajoutez maintenant les carottes et les patates douces et mélangez bien. Ajoutez le bouillon et portez à ébullition et faites cuire jusqu'à ce que les légumes soient tendres, en alternant la cuisson sous pression pour accélérer le processus. Ajoutez maintenant les pommes et laissez-les ramollir légèrement. Utilisez un mixeur plongeant et mixez ce mélange jusqu'à obtenir une consistance lisse. Ajoutez la poudre de curry, le sirop d'érable et assaisonnez avec du sel, portez à ébullition douce et éteignez le feu. Versez maintenant la soupe aux pommes, aux carottes et aux patates douces avec des pois chiches rôtis au garam masala dans des bols à soupe et garnissez de crème de coco, de coriandre et de pois chiches rôtis épicés. Servez la soupe aux pommes, aux carottes et aux patates douces avec du pain à l'ail aux herbes pour un dîner de semaine.</t>
  </si>
  <si>
    <t>https://www.archanaskitchen.com/apple-carrot-sweet-potato-soup-with-garam-masala-roasted-chickpeas-recipe</t>
  </si>
  <si>
    <t>Avocado, Grapefruit And Walnut Salad Recipe</t>
  </si>
  <si>
    <t>Rezept für Avocado-, Grapefruit- und Walnusssalat</t>
  </si>
  <si>
    <t>Recette de salade d'avocat, de pamplemousse et de noix</t>
  </si>
  <si>
    <t>Receta de ensalada de aguacate, pomelo y nueces</t>
  </si>
  <si>
    <t>1 avocat mûr, 1 pamplemousse coupé en segments, 1/2 tasse de tomates cerises ou de raisins, 1/4 tasse de noix grillées, 1/2 tasse de légumes verts mélangés comme des épinards, 1/8 tasse de jus de citron, 3 cuillères à soupe d'huile d'olive extra vierge, 1 cuillère à soupe de vinaigre blanc, 1 cuillère à soupe de sauce soja, 1 cuillère à soupe de miel, 1 cuillère à soupe d'échalotes hachées, 1/2 cuillère à café de moutarde de Dijon, 1/4 cuillère à café de sel, 1/4 cuillère à café de poivre noir en poudre</t>
  </si>
  <si>
    <t>1 Avocado - ripe,1 Grapefruit - cut into segments,1/2 cup Cherry tomatoes - or grapes,1/4 cup Walnuts - toasted,1/2 cup Mixed Greens - like spinach,1/8 cup Lemon juice,3 tablespoon Extra Virgin Olive Oil,1 tablespoon White vinegar,1 tablespoon Soy sauce,1 tablespoon Honey,1 tablespoon Shallots - minced,1/2 teaspoon Dijon Mustard,1/4 teaspoon Salt,1/4 teaspoon Black pepper powder</t>
  </si>
  <si>
    <t>1 aguacate (maduro), 1 pomelo (cortado en gajos), 1/2 taza de tomates cherry (o uvas), 1/4 taza de nueces tostadas, 1/2 taza de verduras mixtas (como espinacas), 1/8 taza de jugo de limón, 3 cucharadas de aceite de oliva virgen extra, 1 cucharada de vinagre blanco, 1 cucharada de salsa de soja, 1 cucharada de miel, 1 cucharada de chalotes picados, 1/2 cucharadita de mostaza Dijon, 1/4 cucharadita de sal, 1/4 cucharadita de pimienta negra en polvo</t>
  </si>
  <si>
    <t xml:space="preserve">To begin making the Avocado, Grapefruit and Walnut salad, slice the avocado, grapefruit and tomatoes and set them aside.In a small frying pan, over a low heat, gently toss the walnuts till they are fragrant and toasted. Once well toasted, set the walnuts aside to cool.In a medium bowl whisk together the ingredients for the dressing: lemon juice, olive oil, dijon mustard, vinegar, soy sauce and honey till it is creamy.Add in the minced shallots, salt and pepper and whisk once again. Set the dressing aside until you are ready to mix and serve the salad.In a large salad serving plate, layer the mixed greens and arrange the grapefruit and avocado slices over it. Scatter the halved tomatoes and toasted walnuts all over.Drizzle the prepared dressing generously over the salad and gently toss before you serve.Serve Avocado, Grapefruit And Walnut Salad along with Roasted Vegetable Pizza With Oat Flour Crust for a weeknight dinner.
</t>
  </si>
  <si>
    <t>Para empezar a preparar la ensalada de aguacate, pomelo y nueces, corta el aguacate, el pomelo y los tomates en rodajas y resérvalos. En una sartén pequeña, a fuego lento, revuelve suavemente las nueces hasta que estén fragantes y tostadas. Una vez bien tostadas, deja que las nueces se enfríen. En un tazón mediano, bate los ingredientes para el aderezo: jugo de limón, aceite de oliva, mostaza Dijon, vinagre, salsa de soja y miel hasta que esté cremoso. Agrega las chalotas picadas, sal y pimienta y vuelve a batir. Deja el aderezo a un lado hasta que esté listo para mezclar y servir la ensalada. En un plato grande para servir ensalada, coloca las verduras mixtas en capas y coloca las rodajas de pomelo y aguacate encima. Esparce los tomates cortados por la mitad y las nueces tostadas por encima. Rocía el aderezo preparado generosamente sobre la ensalada y revuelve suavemente antes de servir. Sirve la ensalada de aguacate, pomelo y nueces junto con la pizza de verduras asadas con masa de harina de avena para una cena entre semana.</t>
  </si>
  <si>
    <t xml:space="preserve">Pour commencer à préparer la salade d'avocat, de pamplemousse et de noix, coupez l'avocat, le pamplemousse et les tomates en tranches et réservez-les. Dans une petite poêle, à feu doux, mélangez délicatement les noix jusqu'à ce qu'elles soient parfumées et grillées. Une fois bien grillées, laissez les noix refroidir. Dans un bol moyen, fouettez ensemble les ingrédients de la vinaigrette : jus de citron, huile d'olive, moutarde de Dijon, vinaigre, sauce soja et miel jusqu'à ce qu'elle soit crémeuse. Ajoutez les échalotes hachées, le sel et le poivre et fouettez à nouveau. Réservez la vinaigrette jusqu'à ce que vous soyez prêt à mélanger et à servir la salade. Dans une grande assiette de service à salade, disposez les légumes verts mélangés et disposez les tranches de pamplemousse et d'avocat dessus. Répartissez les tomates coupées en deux et les noix grillées partout. Arrosez généreusement la salade de la vinaigrette préparée et mélangez délicatement avant de servir. Servez la salade d'avocat, de pamplemousse et de noix avec une pizza aux légumes rôtis avec croûte à la farine d'avoine pour un dîner de semaine.
</t>
  </si>
  <si>
    <t>https://www.archanaskitchen.com/avocado-grapefruit-and-walnut-salad-recipe</t>
  </si>
  <si>
    <t>Mango Lemonade Recipe</t>
  </si>
  <si>
    <t>Rezept für Mango-Limonade</t>
  </si>
  <si>
    <t>Recette de limonade à la mangue</t>
  </si>
  <si>
    <t>Receta de limonada de mango</t>
  </si>
  <si>
    <t>2 tasses de pulpe de mangue (purée) - mangue kesar, 1/2 tasse de sucre, 3/4 tasse d'eau, 1 jus de citron, feuilles de menthe (Pudina) - selon les besoins pour la garniture</t>
  </si>
  <si>
    <t>2 cups Mango Pulp (Puree) - kesar mango,1/2 cup Sugar,3/4 cup Water,1 Lemon juice,Mint Leaves (Pudina) - as required for garnishing</t>
  </si>
  <si>
    <t>2 tazas de pulpa de mango (puré) - mango kesar, 1/2 taza de azúcar, 3/4 taza de agua, jugo de 1 limón, hojas de menta (pudina) - según sea necesario para decorar</t>
  </si>
  <si>
    <t xml:space="preserve">To begin with Mango Lemonade recipe, firstly prepare sugar syrup by combining sugar along with water and cook it over medium heat in a saucepan until the sugar dissolves. Remove from heat and allow it to cool down.Once it is done, add 3/4 of the sugar syrup with lemon juice and mango pulp. Give it a stir and pour more sugar syrup if you want it to be sweeter.Add some ice cubes just before serving and pour the chilled Mango Lemonade in glasses. Garnish it with some lemon wedges and crushed mint.Serve Mango Lemonade with snacks like Spicy Paneer Bhurji Pav Sandwich or Aloo Tikki Stuffed Pita Sandwich to impress your guests.
</t>
  </si>
  <si>
    <t>Para empezar con la receta de limonada de mango, prepare el jarabe de azúcar mezclando el azúcar con el agua y cocínelo a fuego medio en una cacerola hasta que el azúcar se disuelva. Retire del fuego y deje enfriar. Una vez listo, agregue 3/4 del jarabe de azúcar con jugo de limón y pulpa de mango. Revuelva y agregue más jarabe de azúcar si lo desea más dulce. Agregue algunos cubos de hielo justo antes de servir y vierta la limonada de mango fría en vasos. Decórelo con algunas rodajas de limón y menta triturada. Sirva la limonada de mango con bocadillos como el sándwich picante de paneer bhurji pav o el sándwich de pita relleno de aloo tikki para impresionar a sus invitados.</t>
  </si>
  <si>
    <t>Pour commencer la recette de limonade à la mangue, préparez d'abord le sirop de sucre en mélangeant le sucre et l'eau. Faites chauffer à feu moyen dans une casserole jusqu'à dissolution complète du sucre. Retirez du feu et laissez refroidir. Ajoutez ensuite les 3/4 du sirop de sucre, le jus de citron et la pulpe de mangue. Remuez et ajoutez du sirop de sucre pour une touche plus sucrée. Ajoutez des glaçons juste avant de servir et versez la limonade à la mangue bien fraîche dans des verres. Décorez de quartiers de citron et de menthe ciselée. Servez la limonade à la mangue avec des amuse-gueules comme un sandwich au pavlon épicé au paneer et au bhurji ou un sandwich pita farci à l'aloo tikki pour épater vos invités.</t>
  </si>
  <si>
    <t>https://www.archanaskitchen.com/mango-lemonade-recipe</t>
  </si>
  <si>
    <t>Black Rice Porridge Recipe</t>
  </si>
  <si>
    <t>Rezept für schwarzen Reisbrei</t>
  </si>
  <si>
    <t>Recette de porridge de riz noir</t>
  </si>
  <si>
    <t>Receta de gachas de arroz negro</t>
  </si>
  <si>
    <t>1 tasse de riz noir, 1/4 cuillère à café de sel, 1/4 tasse de jaggery, 1 tasse de lait de coco, 1 mangue (mûre) - coupée en dés, 1 cuillère à soupe de baies de Goji - ou tout autre fruit sec, 1 cuillère à soupe de noix mélangées</t>
  </si>
  <si>
    <t>1 cup Black Rice,1/4 teaspoon Salt,1/4 cup Jaggery,1 cup Coconut milk,1 Mango (Ripe) - diced,1 tablespoon Goji berries - or any other dried fruit,1 tablespoon Mixed nuts</t>
  </si>
  <si>
    <t>1 taza de arroz negro, 1/4 cucharadita de sal, 1/4 taza de jaggery, 1 taza de leche de coco, 1 mango (maduro) cortado en cubitos, 1 cucharada de bayas de Goji (o cualquier otra fruta seca), 1 cucharada de frutos secos mixtos</t>
  </si>
  <si>
    <t xml:space="preserve">To prepare yummy Black Rice Porridge recipe, get ready with all the ingredients and bring 2 and 1/2 cups of water along with the black rice, salt, coconut milk, and sugar in a pan.Lower the flame to a simmer and cook covered for 40-45 mins or until the rice grains are tender and the liquid has evaporated.Stir in the coconut milk and the remaining coconut sugar to loosen the porridge and cook briefly not more than 2 minutes.Serve Black Rice Porridge Recipe warm or cold with fresh mango, dried fruit and flaked nuts.
</t>
  </si>
  <si>
    <t>Para preparar esta deliciosa receta de Gachas de Arroz Negro, prepare todos los ingredientes y coloque 2 tazas y media de agua junto con el arroz negro, la sal, la leche de coco y el azúcar en una cacerola. Reduzca el fuego a fuego lento y cocine tapado durante 40-45 minutos o hasta que los granos de arroz estén tiernos y el líquido se haya evaporado. Agregue la leche de coco y el azúcar de coco restante para diluir las gachas y cocine brevemente, no más de 2 minutos. Sirva la Receta de Gachas de Arroz Negro caliente o fría con mango fresco, frutos secos y nueces en hojuelas.</t>
  </si>
  <si>
    <t>Pour préparer une délicieuse recette de porridge de riz noir, préparez tous les ingrédients et portez 2 tasses et 1/2 d'eau avec le riz noir, le sel, le lait de coco et le sucre dans une casserole. Baissez le feu et laissez mijoter à couvert pendant 40 à 45 minutes ou jusqu'à ce que les grains de riz soient tendres et que le liquide se soit évaporé. Incorporez le lait de coco et le sucre de coco restant pour détendre le porridge et laissez cuire brièvement pas plus de 2 minutes. Servez la recette de porridge de riz noir chaude ou froide avec de la mangue fraîche, des fruits secs et des noix en flocons.</t>
  </si>
  <si>
    <t>http://www.archanaskitchen.com/black-rice-porridge-recipe</t>
  </si>
  <si>
    <t>Quinoa Chocolate Cookies Recipe</t>
  </si>
  <si>
    <t>Rezept für Quinoa-Schokoladenkekse</t>
  </si>
  <si>
    <t>Recette de biscuits au chocolat et au quinoa</t>
  </si>
  <si>
    <t>Receta de galletas de quinoa y chocolate</t>
  </si>
  <si>
    <t>1 tasse de quinoa cuit, 1 tasse de farine tout usage (Maida), 1/2 tasse de flocons d'avoine instantanés (gruau), 1/2 tasse de noix de coco râpée, 3/4 tasse de sucre de coco, 1 cuillère à soupe d'extrait de vanille, 1 cuillère à café de sel, 1 cuillère à café de levure chimique, 1/4 tasse d'huile de coco, 1 banane mûre écrasée, 1 œuf entier, 2 cuillères à soupe de graines de chia, 1-1/2 tasse de pépites de chocolat noir</t>
  </si>
  <si>
    <t>1 cup Quinoa - cooked,1 cup All Purpose Flour (Maida),1/2 cup Instant Oats (Oatmeal),1/2 cup Dessicated Coconut,3/4 cup Coconut Sugar,1 tablespoon Vanilla Extract,1 teaspoon Salt,1 teaspoon Baking powder,1/4 cup Coconut Oil,1 Ripe Bananas - mashed,1 Whole Eggs,2 tablespoons Chia Seeds,1-1/2 cups Dark Chocolate Chips</t>
  </si>
  <si>
    <t>1 taza de quinoa cocida, 1 taza de harina para todo uso (Maida), 1/2 taza de avena instantánea (avena), 1/2 taza de coco deshidratado, 3/4 taza de azúcar de coco, 1 cucharada de extracto de vainilla, 1 cucharadita de sal, 1 cucharadita de polvo para hornear, 1/4 taza de aceite de coco, 1 plátano maduro - machacado, 1 huevo entero, 2 cucharadas de semillas de chía, 1-1/2 tazas de chispas de chocolate negro</t>
  </si>
  <si>
    <t xml:space="preserve">To begin making Quinoa Chocolate Cookies, first preheat your oven to 180 C, while you prepare the cookie dough.The first step to prepare the cookie dough is to crack an egg into a medium-sized bowl. To this add the vanilla essence, salt, oil and beat it all together until well combined.Next, add the sugar to this mixture and beat once again. To this, add in the cooked quinoa, all purpose flour, shredded coconut, oats, baking powder, mashed banana and combine it all well.Scatter the chia seeds into the mix along with 1/2 cup of chocolate chips and stir once again.Line a baking sheet with wax paper or parchment paper on which you will bake the cookies. Using a small ice cream scoop, place scoops of the mixture on the paper, leaving an inch between them. This space allows the cookies to spread as they bake.Place the baking sheet in the preheated oven and bake the cookies for 12 to 15 minutes, until they're golden.When done, take the sheet out of the oven and place it on a wire rack to cool completely. The cookies continue to bake while they are hot out of the oven.Meanwhile, prepare the chocolate frosting by melting the remaining 1 cup of dark chocolate chips in a water bath. To do this, place a saucepan of water on the heat.Place the chocolate chips in a heatproof bowl and place the bowl over the saucepan with water, such that the water does not come in contact with the heatproof bowl.With a spatula or a whisk gently stir the chocolate chips, which will start melting due to the heat generated below. When the chocolate has melted completely, take it off the heat and allow it to settle for a couple of minutes.By now, the cookies would have cooled too. Dip the cookies into the chocolate and set them down to cool again. As it cools a second time, the chocolate will set, coating them evenly.Once done, allow it to cool and store the Quinoa Chocolate Cookies in a airtight container.Serve the Quinoa Chocolate Cookies as a tea time snack along with a cup of Masala Chai or even pack them into the snack box for kids. 
</t>
  </si>
  <si>
    <t>Para comenzar a hacer Galletas de Chocolate y Quinoa, primero precalienta tu horno a 180 C, mientras preparas la masa para galletas. El primer paso para preparar la masa para galletas es romper un huevo en un tazón mediano. A esto agrega la esencia de vainilla, la sal, el aceite y bate todo junto hasta que esté bien combinado. Luego, agrega el azúcar a esta mezcla y bate una vez más. A esto, agrega la quinoa cocida, la harina para todo uso, el coco rallado, la avena, el polvo para hornear, el plátano machacado y combina todo bien. Esparce las semillas de chía en la mezcla junto con 1/2 taza de chispas de chocolate y revuelve una vez más. Cubre una bandeja para hornear con papel encerado o papel pergamino en el que hornearás las galletas. Usando una pequeña cuchara para helado, coloca bolas de la mezcla en el papel, dejando una pulgada entre ellas. Este espacio permite que las galletas se extiendan al hornearse. Coloque la bandeja en el horno precalentado y hornee las galletas de 12 a 15 minutos, hasta que estén doradas. Una vez lista, retire la bandeja del horno y colóquela sobre una rejilla para que se enfríe por completo. Las galletas continúan horneándose mientras salen calientes del horno. Mientras tanto, prepare el glaseado de chocolate derritiendo la taza restante de chispas de chocolate negro al baño maría. Para ello, ponga una cacerola con agua al fuego. Coloque las chispas de chocolate en un recipiente resistente al calor y coloque el recipiente sobre la cacerola con agua, de modo que el agua no entre en contacto con el recipiente resistente al calor. Con una espátula o un batidor, remueva suavemente las chispas de chocolate, que comenzarán a derretirse debido al calor generado debajo. Cuando el chocolate se haya derretido por completo, retírelo del fuego y déjelo reposar un par de minutos. Para entonces, las galletas también se habrán enfriado. Sumerja las galletas en el chocolate y déjelas enfriar de nuevo. Al enfriarse por segunda vez, el chocolate se endurecerá, cubriéndolas uniformemente. Una vez hecho esto, deja que se enfríen y guarda las galletas de chocolate y quinoa en un recipiente hermético. Sirve las galletas de chocolate y quinoa como refrigerio para la hora del té junto con una taza de Masala Chai o incluso mételas en la caja de refrigerios para niños.</t>
  </si>
  <si>
    <t>Pour commencer à préparer des biscuits au chocolat et au quinoa, préchauffez d'abord votre four à 180 °C pendant que vous préparez la pâte à biscuits. La première étape pour préparer la pâte à biscuits est de casser un œuf dans un bol de taille moyenne. Ajoutez-y l'essence de vanille, le sel, l'huile et battez le tout jusqu'à ce que le tout soit bien mélangé. Ensuite, ajoutez le sucre à ce mélange et battez à nouveau. Ajoutez ensuite le quinoa cuit, la farine tout usage, la noix de coco râpée, l'avoine, la levure chimique, la banane écrasée et mélangez bien le tout. Répartissez les graines de chia dans le mélange avec 1/2 tasse de pépites de chocolat et remuez à nouveau. Tapissez une plaque à pâtisserie de papier ciré ou de papier sulfurisé sur laquelle vous ferez cuire les biscuits. À l'aide d'une petite cuillère à glace, déposez des boules du mélange sur le papier, en laissant un pouce entre elles. Cet espace permet aux biscuits de s'étaler pendant la cuisson. Placez la plaque de cuisson dans le four préchauffé et faites cuire les biscuits pendant 12 à 15 minutes, jusqu'à ce qu'ils soient dorés. Une fois la cuisson terminée, sortez la plaque du four et placez-la sur une grille pour qu'elle refroidisse complètement. Les biscuits continuent de cuire à chaud. Pendant ce temps, préparez le glaçage au chocolat en faisant fondre les 250 g de pépites de chocolat noir restantes au bain-marie. Pour ce faire, placez une casserole d'eau sur le feu. Placez les pépites de chocolat dans un bol résistant à la chaleur et placez le bol sur la casserole d'eau, en veillant à ce que l'eau n'entre pas en contact avec le bol. À l'aide d'une spatule ou d'un fouet, remuez délicatement les pépites de chocolat, qui commenceront à fondre sous l'effet de la chaleur. Une fois le chocolat complètement fondu, retirez-le du feu et laissez-le reposer quelques minutes. Les biscuits auront alors refroidi. Trempez-les dans le chocolat et laissez-les refroidir à nouveau. En refroidissant une deuxième fois, le chocolat va prendre et les enrober uniformément. Une fois cuits, laissez-les refroidir et conservez les biscuits au chocolat et au quinoa dans un récipient hermétique. Servez les biscuits au chocolat et au quinoa comme collation à l'heure du thé avec une tasse de Masala Chai ou mettez-les même dans la boîte à goûter pour les enfants.</t>
  </si>
  <si>
    <t>http://www.archanaskitchen.com/quinoa-chocolate-cookies-recipe</t>
  </si>
  <si>
    <t>Muesli Olive Oil Rusk Recipe</t>
  </si>
  <si>
    <t>Müsli-Olivenöl-Zwieback-Rezept</t>
  </si>
  <si>
    <t>Recette de biscottes au muesli et à l'huile d'olive</t>
  </si>
  <si>
    <t>Receta de bizcochos de muesli y aceite de oliva</t>
  </si>
  <si>
    <t>1 tasse de muesli, 1 tasse de farine de blé entier, 4 cuillères à soupe de jaggery, 1/2 tasse d'huile d'olive extra vierge, 1 cuillère à soupe d'extrait de vanille, 1/4 tasse de lait, 1 pincée de sel</t>
  </si>
  <si>
    <t>1 cup Muesli,1 cup Whole Wheat Flour,4 tablespoon Jaggery,1/2 cup Extra Virgin Olive Oil,1 tablespoon Vanilla Extract,1/4 cup Milk,1 pinch Salt</t>
  </si>
  <si>
    <t>1 taza de muesli, 1 taza de harina integral, 4 cucharadas de jaggery, 1/2 taza de aceite de oliva virgen extra, 1 cucharada de extracto de vainilla, 1/4 taza de leche, 1 pizca de sal</t>
  </si>
  <si>
    <t xml:space="preserve">To begin making the Muesli Olive Oil Rusk Recipe whisk oil and jaggery in a bowl until it combines.Then add vanilla essence, milk and whisk a bit more.Now add the flour, yeast and muesli. Mix everything well to get a sticky dough. Preheat the oven at 180 degrees.Place the whole dough on baking sheet and shape into approximate 6 cm wide and 20 cm long log. Bake for 25-30 minutes or until firm to the touch.Once done remove from the oven and allow it to cool for at least 15-20 minutes.Using a serrated knife, cut the log into 1 inch thick slices. Place the slices on their sides on the baking sheet.Bake for 10 minutes and take out. Flip them and bake for 10 more minutes.Remove the Muesli Olive Oil Rusk from oven and transfer to a wire rack to cool completely. It will become even harder after cooling. Once cooled store Muesli Olive Oil Rusk in an airtight container. Serve the Muesli Olive Oil Rusk Recipe as a tea time snack with Masala Chai Recipe.
</t>
  </si>
  <si>
    <t>Para comenzar a hacer la Receta de Muesli con Aceite de Oliva Rusk, bate el aceite y el jaggery en un tazón hasta que se combinen. Luego agrega la esencia de vainilla, la leche y bate un poco más. Ahora agrega la harina, la levadura y el muesli. Mezcla todo bien para obtener una masa pegajosa. Precalienta el horno a 180 grados. Coloca toda la masa en una bandeja para hornear y dale forma de tronco de aproximadamente 6 cm de ancho y 20 cm de largo. Hornea durante 25-30 minutos o hasta que esté firme al tacto. Una vez hecho esto, retíralo del horno y déjalo enfriar durante al menos 15-20 minutos. Con un cuchillo de sierra, corta el tronco en rebanadas de 1 pulgada de grosor. Coloca las rebanadas de lado en la bandeja para hornear. Hornea durante 10 minutos y sácalos. Voltéalos y hornea durante 10 minutos más. Retira el Muesli con Aceite de Oliva Rusk del horno y transfiérelo a una rejilla de alambre para que se enfríe por completo. Se pondrá aún más duro después de enfriarse. Una vez enfriado, guarda el Muesli con Aceite de Oliva Rusk en un recipiente hermético. Sirva la receta de bizcocho tostado con aceite de oliva y muesli como refrigerio para la hora del té con la receta de masala chai.</t>
  </si>
  <si>
    <t>Pour commencer à préparer la recette de biscotte au muesli et à l'huile d'olive, fouettez l'huile et le jaggery dans un bol jusqu'à ce que le tout soit bien mélangé. Ajoutez ensuite l'essence de vanille, le lait et fouettez encore un peu. Ajoutez maintenant la farine, la levure et le muesli. Mélangez bien le tout pour obtenir une pâte collante. Préchauffez le four à 180 degrés. Placez la pâte entière sur une plaque à pâtisserie et façonnez-la en bûche d'environ 6 cm de large et 20 cm de long. Faites cuire au four pendant 25 à 30 minutes ou jusqu'à ce qu'elle soit ferme au toucher. Une fois cuite, retirez-la du four et laissez-la refroidir pendant au moins 15 à 20 minutes. À l'aide d'un couteau dentelé, coupez la bûche en tranches de 1 pouce d'épaisseur. Placez les tranches sur le côté sur la plaque à pâtisserie. Faites cuire au four pendant 10 minutes, puis retirez-la. Retournez-les et faites cuire pendant 10 minutes supplémentaires. Retirez la biscotte au muesli et à l'huile d'olive du four et transférez-la sur une grille pour qu'elle refroidisse complètement. Elle deviendra encore plus dure après refroidissement. Une fois refroidie, conservez la biscotte au muesli et à l'huile d'olive dans un récipient hermétique. Servez la recette de biscottes à l'huile d'olive et au muesli comme collation à l'heure du thé avec la recette de Masala Chai.</t>
  </si>
  <si>
    <t>https://www.archanaskitchen.com/muesli-olive-oil-rusk-recipe</t>
  </si>
  <si>
    <t>Whole Wheat Crepe With Eggs And Roasted Peppers Recipe</t>
  </si>
  <si>
    <t>Rezept für Vollkorn-Crêpe mit Eiern und gerösteten Paprika</t>
  </si>
  <si>
    <t>Recette de crêpe complète aux œufs et poivrons rôtis</t>
  </si>
  <si>
    <t>Receta de crepe completa con huevos y pimientos asados</t>
  </si>
  <si>
    <t>1/2 tasse de farine de blé entier, 1 œuf entier, 1/4 tasse de lait, 1 cuillère à soupe de crème fraîche, 1 pincée de sel, 1 cuillère à soupe de beurre ramolli, 1/2 poivron vert (Capsicum) - tranché, 1/2 poivron rouge (Capsicum) - tranché, 1/2 poivron jaune (Capsicum) - tranché, 1 oignon - tranché, 1 cuillère à café de poudre de poivre noir, sel - au goût, 4 œufs entiers, huile d'olive extra vierge - pour la cuisson</t>
  </si>
  <si>
    <t>1/2 cup Whole Wheat Flour,1 Whole Egg,1/4 cup Milk,1 tablespoon Fresh cream,1 pinch Salt,1 tablespoon Butter - softened,1/2 Green Bell Pepper (Capsicum) - sliced,1/2 Red Bell pepper (Capsicum) - sliced,1/2 Yellow Bell Pepper (Capsicum) - sliced,1 Onion - sliced,1 teaspoon Black pepper powder,Salt - to taste,4 Whole Eggs,Extra Virgin Olive Oil - for cooking</t>
  </si>
  <si>
    <t>1/2 taza de harina integral, 1 huevo entero, 1/4 taza de leche, 1 cucharada de crema fresca, 1 pizca de sal, 1 cucharada de mantequilla - ablandada, 1/2 pimiento verde (Capsicum) - rebanado, 1/2 pimiento rojo (Capsicum) - rebanado, 1/2 pimiento amarillo (Capsicum) - rebanado, 1 cebolla - rebanada, 1 cucharadita de pimienta negra en polvo, sal - al gusto, 4 huevos enteros, aceite de oliva virgen extra - para cocinar</t>
  </si>
  <si>
    <t xml:space="preserve">To begin making the Whole Wheat Crepe With Eggs And Bell Peppers Recipe, first, in a bowl add milk, eggs and beat well. Add fresh cream, salt and beat again until well combined. Now add wheat flour and beat until no lumps are left and you get a thin smooth batter. Cover and refrigerate it for about 1 hour.To make the filling - heat 1 teaspoon olive oil in a pan. Break eggs into the oil and mix well until cooked but still soft. Add a pin of salt and mix well. Remove cooked scrambled eggs from pan and set aside.Into the same pan add remaining 1 teaspoon olive oil. Add sliced onions and sauté till onions turn translucent. Add thinly sliced bell peppers and sauté. Cook for 3 to 5 minutes on low flame. Add salt and pepper mix well. Remove from stove and keep aside.Now remove the crepes batter from the fridge, whisk again. Lightly grease the bottom of a skillet with a little butter using a brush or cotton cloth. Heat over medium heat until the pan is hot.Pour a ladle full of batter into hot pan and swirl the pan so the batter coats the bottom of the pan.Cook the crepe for about 1 minute, then flip and cook for another 30 seconds. Set aside and repeat with the remaining batter.Place the cooked crepes on serving plate. Add the roasted bell peppers and eggs on the top of the crepe, fold into half and then again into another half. Repeat this for all the crepes.Whole Wheat Crepe with Eggs and Roasted Peppers Recipe can be served for breakfast along with a glass of Pomegranate Juice or Plum Ginger Juice Recipe to make your feel refreshed in the morning.
</t>
  </si>
  <si>
    <t>Para comenzar a hacer la receta de crepa de trigo integral con huevos y pimientos morrones, primero, en un tazón agregue la leche, los huevos y bata bien. Agregue crema fresca, sal y bata nuevamente hasta que esté bien combinado. Ahora agregue la harina de trigo y bata hasta que no queden grumos y obtenga una masa suave y delgada. Cubra y refrigere durante aproximadamente 1 hora. Para hacer el relleno, caliente 1 cucharadita de aceite de oliva en una sartén. Rompa los huevos en el aceite y mezcle bien hasta que estén cocidos pero aún suaves. Agregue una pizca de sal y mezcle bien. Retire los huevos revueltos cocidos de la sartén y reserve. En la misma sartén, agregue la cucharadita de aceite de oliva restante. Agregue cebollas en rodajas y saltee hasta que las cebollas se vuelvan translúcidas. Agregue pimientos morrones en rodajas finas y saltee. Cocine durante 3 a 5 minutos a fuego lento. Agregue sal y pimienta, mezcle bien. Retire del fuego y reserve. Ahora retire la masa de crepas del refrigerador, bata nuevamente. Engrase ligeramente el fondo de una sartén con un poco de mantequilla usando un cepillo o un paño de algodón. Calienta a fuego medio hasta que la sartén esté caliente. Vierte un cucharón lleno de masa en la sartén caliente y gira la sartén para que la masa cubra el fondo. Cocina la crepa durante aproximadamente 1 minuto, luego voltea y cocina durante otros 30 segundos. Reserva y repite con la masa restante. Coloca las crepas cocidas en un plato para servir. Agrega los pimientos morrones asados ​​y los huevos encima de la crepa, dóblala por la mitad y luego de nuevo por la otra mitad. Repite esto con todas las crepas. La receta de crepa de trigo integral con huevos y pimientos asados ​​se puede servir para el desayuno junto con un vaso de jugo de granada o jugo de ciruela y jengibre para sentirte fresco por la mañana.</t>
  </si>
  <si>
    <t>Pour commencer à préparer la recette de crêpes de blé entier aux œufs et aux poivrons, ajoutez d'abord le lait et les œufs dans un bol et battez bien. Ajoutez la crème fraîche, le sel et battez à nouveau jusqu'à ce que le tout soit bien mélangé. Ajoutez maintenant la farine de blé et battez jusqu'à ce qu'il ne reste plus de grumeaux et que vous obteniez une pâte fine et lisse. Couvrez et réfrigérez pendant environ 1 heure. Pour préparer la garniture, faites chauffer 1 cuillère à café d'huile d'olive dans une poêle. Cassez les œufs dans l'huile et mélangez bien jusqu'à ce qu'ils soient cuits mais encore mous. Ajoutez une pincée de sel et mélangez bien. Retirez les œufs brouillés cuits de la poêle et réservez. Dans la même poêle, ajoutez la cuillère à café d'huile d'olive restante. Ajoutez les oignons émincés et faites revenir jusqu'à ce que les oignons deviennent translucides. Ajoutez les poivrons finement tranchés et faites revenir. Faites cuire pendant 3 à 5 minutes à feu doux. Ajoutez du sel et du poivre, mélangez bien. Retirez du feu et réservez. Retirez maintenant la pâte à crêpes du réfrigérateur, fouettez à nouveau. Graissez légèrement le fond d'une poêle avec un peu de beurre à l'aide d'un pinceau ou d'un chiffon en coton. Chauffer à feu moyen jusqu'à ce que la poêle soit chaude. Verser une louche de pâte dans la poêle chaude et faire tourner la poêle pour que la pâte recouvre le fond. Cuire la crêpe pendant environ 1 minute, puis la retourner et cuire encore 30 secondes. Réserver et répéter l'opération avec le reste de la pâte. Placer les crêpes cuites sur une assiette de service. Ajouter les poivrons rôtis et les œufs sur le dessus de la crêpe, plier en deux, puis à nouveau en une autre moitié. Répéter cette opération pour toutes les crêpes. La recette de crêpes de blé entier aux œufs et aux poivrons rôtis peut être servie au petit-déjeuner avec un verre de jus de grenade ou de jus de prune et gingembre pour vous rafraîchir le matin.</t>
  </si>
  <si>
    <t>http://www.archanaskitchen.com/whole-wheat-crepe-with-eggs-and-roasted-peppers-recipe</t>
  </si>
  <si>
    <t>Flourless Chilli Chocolate Cake Recipe</t>
  </si>
  <si>
    <t>Rezept für mehlfreien Chili-Schokoladenkuchen</t>
  </si>
  <si>
    <t>Recette de gâteau au chocolat et au chili sans farine</t>
  </si>
  <si>
    <t>Receta de pastel de chocolate y chile sin harina</t>
  </si>
  <si>
    <t>8 œufs entiers, 1/2 tasse de beurre, 240 grammes de chocolat noir haché, 1/2 tasse de sucre, 1 cuillère à soupe de poudre de paprika, 1 cuillère à café d'extrait de vanille, 1/4 cuillère à café de sel, 200 ml de crème fraîche, 340 grammes de chocolat noir haché finement (12 oz)</t>
  </si>
  <si>
    <t>8 Whole Eggs,1/2 cup Butter,240 grams Dark chocolate - chopped,1/2 cup Sugar,1 tablespoons Paprika powder,1 teaspoon Vanilla Extract,1/4 teaspoon Salt,200 ml Fresh cream,340 grams Dark chocolate - (12 oz) finely chopped</t>
  </si>
  <si>
    <t>8 huevos enteros, 1/2 taza de mantequilla, 240 gramos de chocolate negro picado, 1/2 taza de azúcar, 1 cucharada de pimentón en polvo, 1 cucharadita de extracto de vainilla, 1/4 cucharadita de sal, 200 ml de crema fresca, 340 gramos de chocolate negro (12 oz) finamente picado</t>
  </si>
  <si>
    <t xml:space="preserve">To begin making the Flourless Chilli Chocolate Cake Recipe, keep all the ingredients ready for preparing the cake.Preheat the oven to 180 degree Celsius for at least 10 minutes, grease the spring form pan with butter and dust it with flour and keep it ready.Melt the chocolate and butter over a “Baine Marie” or a double boiler and mix well. Once it is completely melted, set aside to cool down completely.Separate the egg yolks from the egg whites and keep it in two separate bowls.Keep a stand mixer on with the whisk, add only whites and whisk over medium speed. Gradually add sugar and whisk it till it comes a stiff peak.Meanwhile, once the chocolate is cooled down, mix it with the yolk, add vanilla essence, salt and paprika powder and gradually mix using a spatula.Once the egg whites have reached to the stiff peak stage. Take them out from the stand mixer and slowly mix it into the chocolate mixture.Do not over mix as your will disturb the aeration of the egg whites. Pour the batter over the greased spring form pan and bake it in the oven at 170 degree Celsius for 35 minutes.Check if the cake is done by giving it a slight shake, if the cake remains stiff then it is done. Cool it down outside and refrigerate for about 20 minutes.For the GanachePlace the cream in a sauce pan over medium heat and bring to boil.Remove from heat and add the chopped dark chocolate into the cream.Bring the saucepan, back to the heat and keep stirring the chocolate and the cream on low flame until the chocolate melts and until the mixture is glossy and smooth.Once you have a smooth chocolate and cream mixture, set the ganache aside to cool completely.Pour it over the Flourless Chilli Chocolate Cake and place it again in the refrigerator for the ganache to set for at least 6 hours.Serve the Flourless Chilli Chocolate Cake Recipe as a dessert after a nice meal of Mexican Salsa Chicken With Italian Cream Cheese and Red Wine Sangria Cocktail to enjoy your weekend.
</t>
  </si>
  <si>
    <t>Para empezar a preparar la receta del pastel de chocolate con chile sin harina, ten todos los ingredientes listos. Precalienta el horno a 180 °C durante al menos 10 minutos, engrasa un molde desmontable con mantequilla y espolvoréalo con harina. Manténlo listo. Derrite el chocolate y la mantequilla a baño maría o al baño maría y mezcla bien. Una vez derretido, reserva para que se enfríe por completo. Separa las yemas de las claras y reserva en dos recipientes separados. Con la batidora encendida, añade solo las claras y bate a velocidad media. Agrega poco a poco el azúcar y bate hasta que forme picos firmes. Mientras tanto, una vez que el chocolate se haya enfriado, mézclalo con las yemas, añade la esencia de vainilla, la sal y el pimentón y mezcla gradualmente con una espátula. Una vez que las claras hayan alcanzado el punto de nieve firme, sácalas de la batidora e incorpóralas lentamente a la mezcla de chocolate. No mezcles demasiado, ya que esto afectará la aireación de las claras. Vierta la masa sobre el molde desmontable engrasado y hornee a 170 grados Celsius durante 35 minutos. Compruebe si el pastel está listo agitándolo ligeramente; si permanece rígido, está listo. Déjelo enfriar afuera y refrigérelo durante unos 20 minutos. Para el ganache, coloque la crema en una cacerola a fuego medio y deje que hierva. Retire del fuego y agregue el chocolate negro picado a la crema. Vuelva a calentar la cacerola y siga revolviendo el chocolate y la crema a fuego lento hasta que el chocolate se derrita y la mezcla esté brillante y suave. Una vez que tenga una mezcla suave de chocolate y crema, deje que el ganache se enfríe por completo. Viértalo sobre el pastel de chocolate con chile sin harina y colóquelo nuevamente en el refrigerador para que el ganache cuaje durante al menos 6 horas. Sirva la receta de pastel de chocolate con chile sin harina como postre después de una buena comida de pollo con salsa mexicana con queso crema italiano y cóctel de sangría de vino tinto para disfrutar de su fin de semana.</t>
  </si>
  <si>
    <t>Pour commencer la recette du gâteau au chocolat et au piment sans farine, préparez tous les ingrédients. Préchauffez le four à 180 °C pendant au moins 10 minutes, beurrez un moule à charnière, farinez-le et réservez-le. Faites fondre le chocolat et le beurre au bain-marie ou au bain-marie et mélangez bien. Une fois fondu, laissez refroidir complètement. Séparez les jaunes des blancs et conservez-les dans deux bols séparés. Maintenez un batteur sur socle en marche avec le fouet, ajoutez uniquement les blancs et fouettez à vitesse moyenne. Ajoutez progressivement le sucre et fouettez jusqu'à obtenir une consistance ferme. Pendant ce temps, une fois le chocolat refroidi, mélangez-le avec les jaunes, ajoutez l'extrait de vanille, le sel et le paprika en poudre et mélangez progressivement à l'aide d'une spatule. Une fois les blancs montés en neige, retirez-les du batteur et incorporez-les lentement au mélange chocolaté. Ne mélangez pas trop, car cela perturberait la formation de pics fermes. Versez la pâte dans un moule à charnière graissé et faites cuire au four à 170 °C pendant 35 minutes. Vérifiez la cuisson du gâteau en le secouant légèrement. S'il reste ferme, il est cuit. Laissez-le refroidir à l'extérieur et placez-le au réfrigérateur pendant environ 20 minutes. Pour la ganache : placez la crème dans une casserole à feu moyen et portez à ébullition. Retirez du feu et ajoutez le chocolat noir haché à la crème. Remettez la casserole sur le feu et continuez à remuer le chocolat et la crème à feu doux jusqu'à ce que le chocolat fonde et que le mélange soit brillant et lisse. Une fois que vous avez obtenu un mélange de chocolat et de crème lisse, laissez la ganache refroidir complètement. Versez-la sur le gâteau au chocolat et au piment sans farine et placez-le à nouveau au réfrigérateur pour que la ganache prenne pendant au moins 6 heures. Servez la recette du gâteau au chocolat et au piment sans farine en dessert après un bon repas de poulet à la salsa mexicaine avec fromage à la crème italien et cocktail de sangria au vin rouge pour profiter de votre week-end.</t>
  </si>
  <si>
    <t>http://www.archanaskitchen.com/flourless-chilli-chocolate-cake-recipe</t>
  </si>
  <si>
    <t>One Pot Creamy Spinach Lentils Recipe</t>
  </si>
  <si>
    <t>Rezept für cremige Spinat-Linsen in einem Topf</t>
  </si>
  <si>
    <t>Recette de lentilles crémeuses aux épinards dans une seule casserole</t>
  </si>
  <si>
    <t>Receta cremosa de lentejas y espinacas en una sola olla</t>
  </si>
  <si>
    <t>1/2 tasse de Masoor Dal (entier), 1 tasse d'épinards hachés, 1/2 tasse de feuilles de roquette hachées (facultatif, utilisez plus d'épinards si vous n'en avez pas), 2 cuillères à café de beurre, 1 oignon haché, 1 tomate hachée, 1/4 tasse de crème fraîche, 1/4 tasse de lait, 1/2 tasse de vin blanc sec, 2-3 feuilles de basilic, sel au goût, 1 cuillère à café de flocons de piment rouge</t>
  </si>
  <si>
    <t>1/2 cup Masoor Dal (Whole),1 cup Spinach - chopped,1/2 cup Rocket leaves - chopped(optional use more spinach if you don't have),2 teaspoon Butter,1 Onion - chopped,1 Tomato - chopped,1/4 cup Fresh cream,1/4 cup Milk,1/2 cup Dry white wine,2-3 Basil leaves,Salt - to taste,1 teaspoon Red Chilli flakes</t>
  </si>
  <si>
    <t>1/2 taza de Masoor Dal (entero), 1 taza de espinacas picadas, 1/2 taza de hojas de rúcula picadas (opcional, use más espinacas si no tiene), 2 cucharaditas de mantequilla, 1 cebolla picada, 1 tomate picado, 1/4 taza de crema fresca, 1/4 taza de leche, 1/2 taza de vino blanco seco, 2-3 hojas de albahaca, sal al gusto, 1 cucharadita de hojuelas de chile rojo</t>
  </si>
  <si>
    <t xml:space="preserve">To begin with the One Pot Creamy Spinach Lentils first, in a heavy bottom pan heat butter and add chopped onions to it, Sauté till the onions are translucent and add the washed lentils to the same.Sauté for 2-3 minutes and add water to just cover the lentils, cover and cook for 45mins - 1 hour till the lentils are full cooked (you can alternatively use a pressure cooker to fasten this process)Add wine, spinach, rocket and tomato at this stage and let it simmer for 5-6 minutes.Add chilli, basil leaves, cream and milk. Bring to a boil and turn of the gas. Let the lentils stand for 15-20 minutes to absorb flavours before serving.Serve the One Pot Creamy Spinach Lentils for a sunday brunch  with some garlic bread on the side and Piña Colada Recipe (Pineapple with Coconut Milk Mocktail) for a refreshing drink.
</t>
  </si>
  <si>
    <t xml:space="preserve">Para comenzar con las Lentejas Cremosas de Espinacas en una Olla, primero caliente la mantequilla en una sartén de fondo grueso y agregue cebollas picadas, saltee hasta que las cebollas estén translúcidas y agregue las lentejas lavadas a la misma. Saltee durante 2-3 minutos y agregue agua para cubrir las lentejas, cubra y cocine durante 45 minutos - 1 hora hasta que las lentejas estén completamente cocidas (alternativamente, puede usar una olla a presión para acelerar este proceso) Agregue el vino, las espinacas, la rúcula y el tomate en esta etapa y deje hervir a fuego lento durante 5-6 minutos. Agregue el chile, las hojas de albahaca, la crema y la leche. Lleve a ebullición y apague el gas. Deje reposar las lentejas durante 15-20 minutos para que absorban los sabores antes de servir. Sirva las Lentejas Cremosas de Espinacas en una Olla para un brunch de domingo con un poco de pan de ajo al lado y la Receta de Piña Colada (Piña con Cóctel Sin Alcohol con Leche de Coco) para una bebida refrescante.
</t>
  </si>
  <si>
    <t>Pour commencer avec les lentilles crémeuses aux épinards en une seule casserole, faites chauffer le beurre dans une poêle à fond épais et ajoutez-y les oignons hachés. Faites revenir jusqu'à ce que les oignons soient translucides et ajoutez les lentilles lavées. Faites sauter pendant 2 à 3 minutes et ajoutez de l'eau pour couvrir les lentilles, couvrez et laissez cuire pendant 45 minutes à 1 heure jusqu'à ce que les lentilles soient bien cuites (vous pouvez également utiliser un autocuiseur pour accélérer ce processus). Ajoutez le vin, les épinards, la roquette et la tomate à ce stade et laissez mijoter pendant 5 à 6 minutes. Ajoutez le piment, les feuilles de basilic, la crème et le lait. Portez à ébullition et coupez le gaz. Laissez reposer les lentilles pendant 15 à 20 minutes pour qu'elles absorbent les saveurs avant de servir. Servez les lentilles crémeuses aux épinards en une seule casserole pour un brunch du dimanche avec du pain à l'ail à côté et une recette de Piña Colada (ananas au lait de coco sans alcool) pour une boisson rafraîchissante.</t>
  </si>
  <si>
    <t>http://www.archanaskitchen.com/one-pot-creamy-spinach-lentils-recipe</t>
  </si>
  <si>
    <t>Vegetable Sandwich Recipe With Mashed Avocado And Cottage Cheese</t>
  </si>
  <si>
    <t>Gemüsesandwich-Rezept mit zerdrückter Avocado und Hüttenkäse</t>
  </si>
  <si>
    <t>Recette de sandwich aux légumes avec purée d'avocat et fromage blanc</t>
  </si>
  <si>
    <t>Receta de sándwich de verduras con puré de aguacate y requesón</t>
  </si>
  <si>
    <t>6 pains bruns de blé entier, 1/2 tasse d'avocat écrasé, 1/2 tasse de pommes de terre (Aloo) écrasées, 1/4 tasse de paneer (fromage cottage maison) râpé, 12 concombres tranchés, 1 oignon finement tranché, 1 tomate finement tranchée, 1/4 tasse de chou (Patta Gobi/Muttaikose) râpé, sel au goût, 1/2 cuillère à soupe de poivre noir en poudre, 1 chutney vert (coriandre et menthe) - recette</t>
  </si>
  <si>
    <t>6 Whole Wheat Brown Bread,1/2 cup Avocado - mashed,1/2 cup Potato (Aloo) - mashed,1/4 cup Paneer (Homemade Cottage Cheese) - grated,12 Cucumber - sliced,1 Onion - thinly sliced,1 Tomato - thinly sliced,1/4 cup Cabbage (Patta Gobi/ Muttaikose) - shredded,Salt - to taste,1/2 tablespoon Black pepper powder,1 Green Chutney (Coriander &amp; Mint) - recipe</t>
  </si>
  <si>
    <t>6 panes integrales, 1/2 taza de aguacate machacado, 1/2 taza de papa (Aloo) machacada, 1/4 taza de paneer (requesón casero) rallado, 12 pepinos en rodajas, 1 cebolla en rodajas finas, 1 tomate en rodajas finas, 1/4 taza de repollo (Patta Gobi/Muttaikose) rallado, sal al gusto, 1/2 cucharada de pimienta negra en polvo, 1 chutney verde (cilantro y menta) - receta</t>
  </si>
  <si>
    <t xml:space="preserve">To begin making the Vegetable Sandwich With Mashed Avocado And Cottage Cheese, mix the potato, avocado and grated paneer in a big bowl.Now the next step is to assemble the sandwich.Take a spoonful of mint coriander chutney and spread it over one slice of bread.Place the other of bread on a flat surface. Spread the avocado, potato and paneer mixture on the bottom slice of the bread.Place the sliced cucumber, onion and tomato on the top. Sprinkle some salt and pepper on it.Then place a layer of shredded cabbage and cover it with the other chutney bread slice.Preheat the Sandwich Maker and place the sandwich on it carefully. Grill the sandwich until crisp and browned.Serve the Vegetable Sandwich With Mashed Avocado And Cottage Cheese for breakfast along with Muskmelon Juice or pack into a lunchbox or even as a tea time snack along with a hot cup of Masala Chai or Coffee.
</t>
  </si>
  <si>
    <t>Para empezar a preparar el sándwich de verduras con puré de aguacate y queso cottage, mezcla la patata, el aguacate y el paneer rallado en un bol grande. El siguiente paso es armar el sándwich. Toma una cucharada de chutney de menta y cilantro y úntala sobre una rebanada de pan. Coloca la otra rebanada de pan sobre una superficie plana. Extiende la mezcla de aguacate, patata y paneer en la rebanada inferior. Coloca encima las rodajas de pepino, cebolla y tomate. Espolvorea un poco de sal y pimienta. Luego, coloca una capa de repollo rallado y cúbrela con la otra rebanada de pan con chutney. Precalienta la sandwichera y coloca el sándwich encima con cuidado. Asa el sándwich hasta que esté crujiente y dorado. Sirve el sándwich de verduras con puré de aguacate y queso cottage para desayunar junto con zumo de melón, llévalo en una lonchera o incluso como merienda con una taza de Masala Chai o café caliente.</t>
  </si>
  <si>
    <t>Pour commencer à préparer le sandwich aux légumes avec purée d'avocat et fromage blanc, mélangez les pommes de terre, l'avocat et le paneer râpé dans un grand bol. L'étape suivante consiste à assembler le sandwich. Prenez une cuillère de chutney à la menthe et à la coriandre et étalez-la sur une tranche de pain. Placez l'autre tranche de pain sur une surface plane. Étalez le mélange d'avocat, de pommes de terre et de paneer sur la tranche inférieure du pain. Placez les tranches de concombre, d'oignon et de tomate sur le dessus. Saupoudrez de sel et de poivre. Ensuite, disposez une couche de chou râpé et recouvrez-la de l'autre tranche de pain au chutney. Préchauffez la machine à sandwich et placez-y délicatement le sandwich. Faites griller le sandwich jusqu'à ce qu'il soit croustillant et doré. Servez le sandwich aux légumes avec purée d'avocat et fromage blanc au petit-déjeuner avec du jus de melon, ou emballez-le dans une boîte à lunch ou même comme collation à l'heure du thé avec une tasse chaude de Masala Chai ou de café.</t>
  </si>
  <si>
    <t>http://www.archanaskitchen.com/vegetable-sandwich-recipe-with-mashed-avocado-and-cottage-cheese</t>
  </si>
  <si>
    <t>Blueberry Muffin Cake Recipe</t>
  </si>
  <si>
    <t>Rezept für Blaubeermuffinkuchen</t>
  </si>
  <si>
    <t>Recette de gâteau muffin aux myrtilles</t>
  </si>
  <si>
    <t>Receta de pastel de muffins de arándanos</t>
  </si>
  <si>
    <t>2 tasses de farine tout usage (Maida), 1-1/2 tasse de sucre - (ajuster), 1/4 tasse de beurre (non salé), 3/4 tasse de lait, 1 œuf entier - battu, 2 cuillères à café de levure chimique, 1 pincée de sel, 2 tasses de myrtilles - (j'ai utilisé des myrtilles surgelées), 3 cuillères à soupe de farine tout usage (Maida), 3/4 cuillère à café de cannelle en poudre (Dalchini), 1/2 tasse de sucre, 1/4 tasse de beurre - et 2 cuillères à soupe supplémentaires, 1/2 tasse de sucre glace, 1/2 cuillère à café d'extrait de vanille, 1/4 tasse de lait</t>
  </si>
  <si>
    <t>2 cups All Purpose Flour (Maida),1-1/2 cups Sugar - (adjust),1/4 cup Butter (unsalted),3/4 cup Milk,1 Whole Egg - beaten,2 teaspoon Baking powder,1 pinch Salt,2 cups Blueberries - (I used frozen,3 tablespoon All Purpose Flour (Maida),3/4 teaspoon Cinnamon Powder (Dalchini),1/2 cup Sugar,1/4 cup Butter - and 2 tablespoon more,1/2 cup Icing Sugar,1/2 teaspoon Vanilla Extract,1/4 cup Milk</t>
  </si>
  <si>
    <t>2 tazas de harina para todo uso (Maida), 1-1/2 tazas de azúcar - (ajustar), 1/4 taza de mantequilla (sin sal), 3/4 taza de leche, 1 huevo entero - batido, 2 cucharaditas de polvo de hornear, 1 pizca de sal, 2 tazas de arándanos - (yo usé congelados), 3 cucharadas de harina para todo uso (Maida), 3/4 cucharadita de canela en polvo (Dalchini), 1/2 taza de azúcar, 1/4 taza de mantequilla - y 2 cucharadas más, 1/2 taza de azúcar glas, 1/2 cucharadita de extracto de vainilla, 1/4 taza de leche</t>
  </si>
  <si>
    <t xml:space="preserve">To begin making Blueberry Muffin Cake Recipe, prepare the batter for crumble and the blueberry cake separately.Preheat the oven at 180 C. Prepare the cake pan by greasing it with some butter and dusting it with flour.Take a big mixing bowl, and mix all the cake ingredients for the blueberry cake together except the blueberries. Beat lightly with an electric beater or handheld beater until everything is combined well.Once the ingredients mix well, add the blueberries into the cake mix and fold them in the batter carefully. Add a little bit of water if you feel that the batter is too dry.In another bowl, mix all ingredients for the topping/crumble and keep mixing with a fork hand whisk until the mixture is blended well.Spread the cake batter into the prepared cake pan and top evenly with the crumb topping.Bake for 40 minutes or until the toothpick comes out clean. Let the cake cool on a wire rack for 10 to 15 minutes before serving to subdue the residual heat.Mix all the ingredients for sugar glaze together in a mixing bowl till no lumps and then drizzle it over the cake top once the cake is cooled. Eat it fresh and enjoy the heavenly taste.Serve Blueberry Muffin Cake Recipe along with Maple Roasted Cinnamon Spiced Latte Recipe over snacks or as a dessert after a one pot meal like Mexican Cottage Cheese Chicken Enchilada Recipe.
</t>
  </si>
  <si>
    <t>Para comenzar a hacer la Receta de Pastel de Muffins de Arándanos, prepare la masa para el crumble y el pastel de arándanos por separado. Precaliente el horno a 180 C. Prepare el molde para pastel engrasándolo con un poco de mantequilla y espolvoreándolo con harina. Tome un tazón grande para mezclar y mezcle todos los ingredientes del pastel para el pastel de arándanos juntos, excepto los arándanos. Bata ligeramente con una batidora eléctrica o una batidora de mano hasta que todo esté bien combinado. Una vez que los ingredientes se mezclan bien, agregue los arándanos a la mezcla para pastel e incorpórelos a la masa con cuidado. Agregue un poco de agua si siente que la masa está demasiado seca. En otro tazón, mezcle todos los ingredientes para la cobertura/crumble y siga mezclando con un tenedor y un batidor de mano hasta que la mezcla esté bien incorporada. Extienda la masa del pastel en el molde para pastel preparado y cubra uniformemente con la cobertura de migas. Hornee durante 40 minutos o hasta que el palillo salga limpio. Deja enfriar el pastel sobre una rejilla de alambre de 10 a 15 minutos antes de servir para atenuar el calor residual. Mezcla todos los ingredientes del glaseado de azúcar en un tazón hasta que no queden grumos y luego rocíalo sobre la superficie del pastel una vez que se haya enfriado. Cómelo fresco y disfruta de su sabor celestial. Sirve la Receta de Pastel de Muffins de Arándanos junto con la Receta de Latte Especiado con Canela Tostada y Arce con bocadillos o como postre después de una comida rápida como la Receta de Enchiladas de Pollo con Queso Fresco Mexicano.</t>
  </si>
  <si>
    <t>Pour commencer à préparer la recette du gâteau aux muffins aux myrtilles, préparez la pâte pour le crumble et le gâteau aux myrtilles séparément. Préchauffez le four à 180 °C. Préparez le moule à gâteau en le graissant avec un peu de beurre et en le saupoudrant de farine. Prenez un grand bol et mélangez tous les ingrédients du gâteau pour le gâteau aux myrtilles, sauf les myrtilles. Battez légèrement avec un batteur électrique ou un batteur à main jusqu'à ce que tout soit bien mélangé. Une fois les ingrédients bien mélangés, ajoutez les myrtilles dans le mélange à gâteau et incorporez-les délicatement à la pâte. Ajoutez un peu d'eau si vous pensez que la pâte est trop sèche. Dans un autre bol, mélangez tous les ingrédients pour la garniture/le crumble et continuez à mélanger avec un fouet à main à fourchette jusqu'à ce que le mélange soit bien mélangé. Étalez la pâte à gâteau dans le moule à gâteau préparé et recouvrez uniformément de la garniture de chapelure. Faites cuire au four pendant 40 minutes ou jusqu'à ce que le cure-dent en ressorte propre. Laissez refroidir le gâteau sur une grille pendant 10 à 15 minutes avant de servir afin d'atténuer la chaleur résiduelle. Mélangez tous les ingrédients du glaçage au sucre dans un saladier jusqu'à ce qu'il ne reste plus de grumeaux, puis versez-en un filet sur le dessus du gâteau une fois refroidi. Dégustez-le frais et savourez son goût divin. Servez la recette de gâteau muffin aux myrtilles avec la recette de latte épicé à la cannelle rôtie à l'érable en guise d'en-cas ou en dessert après un repas tout-en-un comme la recette d'enchiladas mexicaines au poulet et au fromage blanc.</t>
  </si>
  <si>
    <t>https://www.archanaskitchen.com/blueberry-muffin-cake-recipe</t>
  </si>
  <si>
    <t>Healthy Lemon Cupcakes Recipe (Eggless)</t>
  </si>
  <si>
    <t>Rezept für gesunde Zitronen-Cupcakes (ohne Ei)</t>
  </si>
  <si>
    <t>Recette de cupcakes sains au citron (sans œufs)</t>
  </si>
  <si>
    <t>Receta de cupcakes de limón saludables (sin huevo)</t>
  </si>
  <si>
    <t>1 tasse de farine de blé entier, 1 tasse d'eau, 1 tasse de sucre en poudre, 1 cuillère à soupe de jus de citron, 1 cuillère à soupe d'huile de tournesol, poudre de curcuma (Haldi) - une pincée, 1/2 cuillère à café de levure chimique, 1/4 cuillère à café de bicarbonate de soude, raisins secs - noirs pour la garniture</t>
  </si>
  <si>
    <t>1 cup Whole Wheat Flour,1 cup Water,1 cup Caster Sugar,1 tablespoon Lemon juice,1 tablespoon Sunflower Oil,Turmeric powder (Haldi) - a pinch,1/2 teaspoon Baking powder,1/4 teaspoon Baking soda,Raisins - black for garnishing</t>
  </si>
  <si>
    <t>1 taza de harina integral, 1 taza de agua, 1 taza de azúcar extrafino, 1 cucharada de jugo de limón, 1 cucharada de aceite de girasol, cúrcuma en polvo (Haldi) - una pizca, 1/2 cucharadita de polvo para hornear, 1/4 cucharadita de bicarbonato de sodio, pasas - negras para decorar</t>
  </si>
  <si>
    <t xml:space="preserve">To bgein making the Healthy Lemon Cupcakes recipe, firstly start preheating your microwave at 180 degrees.In a medium sized bowl, add water, castor sugar, turmeric powder and lemon juice and mix it well. Now, in another bowl, seive whole wheat flour, baking powder and baking soda all together.Gradually add flour mixture in two batches into water micture and stir until just combined. Set cupcake liners into cupcake mould and pour the batter into them.Bake them into preheated oven for 18-20 minutes. Its ready to serve!Serve Healthy Lemon Cupcakes along with Masala Chai for your tea time break or pack them in your kids snack box for a weekday treat.
</t>
  </si>
  <si>
    <t>Para empezar a hacer la receta de Cupcakes de Limón Saludables, primero precalienta tu microondas a 180 grados. En un tazón mediano, agrega agua, azúcar extrafino, cúrcuma en polvo y jugo de limón y mezcla bien. Ahora, en otro tazón, tamiza la harina integral, el polvo para hornear y el bicarbonato de sodio. Agrega gradualmente la mezcla de harina en dos tandas a la mezcla de agua y revuelve hasta que se combinen. Coloca capacillos en moldes para cupcakes y vierte la masa en ellos. Hornéalos en un horno precalentado durante 18-20 minutos. ¡Listo para servir! Sirve Cupcakes de Limón Saludables junto con Masala Chai para la hora del té o llévalos en la caja de refrigerios de tus hijos para un capricho entre semana.</t>
  </si>
  <si>
    <t>Pour commencer à préparer la recette des cupcakes au citron sains, commencez par préchauffer votre micro-ondes à 180 degrés. Dans un bol de taille moyenne, ajoutez l'eau, le sucre en poudre, la poudre de curcuma et le jus de citron et mélangez bien. Maintenant, dans un autre bol, tamisez la farine de blé entier, la levure chimique et le bicarbonate de soude ensemble. Ajoutez progressivement le mélange de farine en deux fois dans le mélange d'eau et remuez jusqu'à ce que le tout soit bien mélangé. Placez des caissettes à cupcakes dans un moule à cupcakes et versez-y la pâte. Faites-les cuire au four préchauffé pendant 18 à 20 minutes. C'est prêt à servir ! Servez des cupcakes au citron sains avec du Masala Chai pour votre pause thé ou mettez-les dans la boîte à goûter de vos enfants pour une friandise en semaine.</t>
  </si>
  <si>
    <t>http://www.archanaskitchen.com/healthy-lemon-cupcakes-recipe-eggless</t>
  </si>
  <si>
    <t>Eggless Chocolate Pistachio Biscotti Recipe</t>
  </si>
  <si>
    <t>Rezept für Schokoladen-Pistazien-Biscotti ohne Ei</t>
  </si>
  <si>
    <t>Recette de biscottis au chocolat et aux pistaches sans œufs</t>
  </si>
  <si>
    <t>Receta de biscotti de chocolate y pistacho sin huevo</t>
  </si>
  <si>
    <t>3/4 tasse de farine tout usage (Maida) - (plus pour saupoudrer), 2 cuillères à soupe de poudre de cacao, 1 cuillère à café de levure chimique, 5 cuillères à soupe de sucre en poudre - en poudre, 1 cuillère à soupe de lait, 5 cuillères à soupe d'huile de tournesol - (ou beurre fondu), 2 cuillères à café d'extrait de vanille, 1/4 tasse de pistaches - hachées grossièrement, 1/4 tasse de pépites de chocolat</t>
  </si>
  <si>
    <t>3/4 cup All Purpose Flour (Maida) - (more for dusting),2 tablespoons Cocoa Powder,1 teaspoon Baking powder,5 tablespoons Caster Sugar - powdered,1 tablespoon Milk,5 tablespoons Sunflower Oil - (or melted butter),2 teaspoons Vanilla Extract,1/4 cup Pistachios - coarsely chopped,1/4 cup Chocolate chips</t>
  </si>
  <si>
    <t>3/4 taza de harina para todo uso (Maida) - (más para espolvorear), 2 cucharadas de cacao en polvo, 1 cucharadita de polvo para hornear, 5 cucharadas de azúcar extrafino - en polvo, 1 cucharada de leche, 5 cucharadas de aceite de girasol - (o mantequilla derretida), 2 cucharaditas de extracto de vainilla, 1/4 taza de pistachos - picados gruesos, 1/4 taza de chispas de chocolate</t>
  </si>
  <si>
    <t xml:space="preserve">To prepare Eggless Chocolate Pistachio Biscotti Recipe, whisk oil and powdered caster sugar in a bowl until a smooth texture.Then add vanilla essence, milk and whisk a bit more.Now add all purpose flour, cocoa powder, baking powder, coarsely chopped pistachios and chocolate chips. Mix everything well to get a sticky dough.Preheat the oven at 180 degrees.Place the whole dough on baking sheet and shape into approximate 6 cm wide and 20 cm long log. Bake for 25-30 minutes or until firm to the touch.Remove from the oven and allow it to cool at least 15-20 minutes. Using a serrated knife, cut the log into 1 inch thick slices. Place the slices on their sides on the baking sheet.Bake for 10 minutes and take out. Flip them and bake for 10 more minutes.Remove from oven and transfer to a wire rack to cool completely. It will become even more hard after cooling. Serve these crunchy Eggless Chocolate Pistachio Biscotti Recipe as an accompaniment with Arabic Coffee or Adrak Chai
</t>
  </si>
  <si>
    <t>Para preparar la receta de biscotti de pistacho y chocolate sin huevo, bate el aceite y el azúcar extrafino en un bol hasta obtener una textura suave. Luego, agrega la esencia de vainilla, la leche y bate un poco más. Ahora agrega la harina para todo uso, el cacao en polvo, el polvo para hornear, los pistachos picados gruesos y las chispas de chocolate. Mezcla todo bien para obtener una masa pegajosa. Precalienta el horno a 180 grados. Coloca toda la masa en una bandeja para hornear y dale forma de tronco de aproximadamente 6 cm de ancho y 20 cm de largo. Hornea durante 25-30 minutos o hasta que esté firme al tacto. Retira del horno y deja enfriar al menos 15-20 minutos. Con un cuchillo de sierra, corta el tronco en rodajas de 1 pulgada de grosor. Coloca las rodajas de lado en la bandeja para hornear. Hornea durante 10 minutos y sácalas. Dales la vuelta y hornea durante 10 minutos más. Retira del horno y transfiere a una rejilla para que se enfríe por completo. Se pondrá aún más duro después de enfriarse. Sirva estos crujientes biscotti de pistacho y chocolate sin huevo como acompañamiento de café árabe o Adrak Chai.</t>
  </si>
  <si>
    <t>Pour préparer la recette de biscottis au chocolat et aux pistaches sans œufs, fouettez l'huile et le sucre en poudre dans un bol jusqu'à obtenir une texture lisse. Ajoutez ensuite l'essence de vanille, le lait et fouettez encore un peu. Ajoutez maintenant la farine tout usage, la poudre de cacao, la levure chimique, les pistaches grossièrement hachées et les pépites de chocolat. Mélangez bien le tout pour obtenir une pâte collante. Préchauffez le four à 180 degrés. Placez toute la pâte sur une plaque à pâtisserie et façonnez un bûche d'environ 6 cm de large et 20 cm de long. Faites cuire au four pendant 25 à 30 minutes ou jusqu'à ce qu'elle soit ferme au toucher. Retirez du four et laissez refroidir au moins 15 à 20 minutes. À l'aide d'un couteau dentelé, coupez la bûche en tranches de 1 pouce d'épaisseur. Placez les tranches sur le côté sur la plaque à pâtisserie. Faites cuire au four pendant 10 minutes et sortez. Retournez-les et faites cuire pendant 10 minutes supplémentaires. Retirez du four et transférez sur une grille pour refroidir complètement. Il deviendra encore plus dur après refroidissement. Servez ces croquants biscottis au chocolat et aux pistaches sans œufs en accompagnement d'un café arabe ou d'un Adrak Chai.</t>
  </si>
  <si>
    <t>https://www.archanaskitchen.com/eggless-chocolate-pistachio-biscotti-recipe</t>
  </si>
  <si>
    <t>Kidney Beans, Crumbled Feta, Basil Salad with Lemon Vinaigrette Recipe</t>
  </si>
  <si>
    <t>Rezept für Kidneybohnen, zerbröckelten Feta, Basilikumsalat mit Zitronenvinaigrette</t>
  </si>
  <si>
    <t>Recette de salade de haricots rouges, feta émiettée, basilic et vinaigrette au citron</t>
  </si>
  <si>
    <t>Receta de ensalada de frijoles rojos con queso feta desmenuzado, albahaca y vinagreta de limón</t>
  </si>
  <si>
    <t>1 tasse de fromage feta émietté, 6 brins de feuilles de basilic déchirés, 1 tasse de Rajma (gros haricots rouges) trempés dans l'eau pendant 8 heures, 1 jus de citron, 4 cuillères à soupe d'huile d'olive extra vierge, 1 cuillère à café de romarin, 1 cuillère à café d'origan séché, sel et poivre au goût</t>
  </si>
  <si>
    <t>1 cup Feta Cheese - crumbled,6 sprig Basil leaves - torn,1 cup Rajma (Large Kidney Beans) - Soaked in water for 8 hours,1 Lemon juice,4 tablespoon Extra Virgin Olive Oil,1 teaspoon Rosemary,1 teaspoon Dried oregano,Salt and Pepper - to taste</t>
  </si>
  <si>
    <t>1 taza de queso feta desmenuzado, 6 ramitas de hojas de albahaca desgarradas, 1 taza de Rajma (frijoles grandes) remojados en agua durante 8 horas, 1 jugo de limón, 4 cucharadas de aceite de oliva virgen extra, 1 cucharadita de romero, 1 cucharadita de orégano seco, sal y pimienta al gusto</t>
  </si>
  <si>
    <t xml:space="preserve">To begin making the Kidney Beans, Crumbled Feta, Basil Salad with Lemon Vinaigrette Recipe, pressure cook the soaked in kidney beans with water and cook for 5 whistle.Release the pressure naturally and drain the water. Add all the lemon dressing and toss it well.Add torn basil leaves and sprinkle with crumbled feta and serve.Serve the Kidney Beans, Crumbled Feta, and Basil Salad with Lemon Vinaigrette along with some pita bread and hummus to make a complete meal. 
</t>
  </si>
  <si>
    <t>Para empezar a preparar la receta de frijoles rojos, queso feta desmenuzado, ensalada de albahaca y vinagreta de limón, cocine a presión los frijoles rojos remojados con agua durante 5 silbidos. Libere la presión naturalmente y escurra el agua. Agregue todo el aderezo de limón y revuelva bien. Agregue hojas de albahaca picadas y espolvoree con queso feta desmenuzado. Sirva la ensalada de frijoles rojos, queso feta desmenuzado y ensalada de albahaca con vinagreta de limón junto con pan pita y hummus para completar la comida.</t>
  </si>
  <si>
    <t>Pour commencer la recette de salade de haricots rouges, feta émiettée et basilic à la vinaigrette au citron, faites cuire les haricots rouges trempés dans l'eau sous pression pendant 5 minutes. Relâchez la pression naturellement et égouttez l'eau. Ajoutez toute la vinaigrette au citron et mélangez bien. Ajoutez les feuilles de basilic déchirées, parsemez de feta émiettée et servez. Servez la salade de haricots rouges, feta émiettée et basilic à la vinaigrette au citron avec du pain pita et du houmous pour un repas complet.</t>
  </si>
  <si>
    <t>https://www.archanaskitchen.com/kidney-beans-crumbled-feta-basil-salad-with-lemon-vinaigrette-recipe</t>
  </si>
  <si>
    <t>Spiced Rice Breakfast Porridge Recipe</t>
  </si>
  <si>
    <t>Rezept für gewürzten Reis-Frühstücksbrei</t>
  </si>
  <si>
    <t>Recette de porridge de riz assaisonné pour le petit-déjeuner</t>
  </si>
  <si>
    <t>Receta de gachas de arroz sazonadas para el desayuno</t>
  </si>
  <si>
    <t>1 tasse de riz cuit, 1/4 tasse de lait, 1/4 cuillère à café de cannelle en poudre (Dalchini), 1/4 cuillère à café de gingembre sec en poudre, 1/4 cuillère à café de noix de muscade en poudre, 1 cuillère à café de sel, 1 cuillère à soupe de miel, fruits mélangés - de votre choix, noix mélangées - de votre choix</t>
  </si>
  <si>
    <t>1 cup Cooked rice,1/4 cup Milk,1/4 teaspoon Cinnamon Powder (Dalchini),1/4 teaspoon Dry ginger powder,1/4 teaspoon Nutmeg powder,1 teaspoon Salt,1 tablespoon Honey,Mixed fruits - of your choice,Mixed nuts - of your choice</t>
  </si>
  <si>
    <t>1 taza de arroz cocido, 1/4 taza de leche, 1/4 cucharadita de canela en polvo (dalchini), 1/4 cucharadita de jengibre seco en polvo, 1/4 cucharadita de nuez moscada en polvo, 1 cucharadita de sal, 1 cucharada de miel, frutas mixtas (de su elección), nueces mixtas (de su elección)</t>
  </si>
  <si>
    <t xml:space="preserve">To begin making the Spiced Rice Breakfast Porridge Recipe, make sure the cooked rice is soft enough to be mashed. If you use left over rice, mash the rice well. Add a few tablespoons of milk (note this is not mentioned in the ingredient list) and warm it up on low heat, keep stirring and mashing at regular intervals to soften it (takes about 2 minutes).Add milk, salt, and all the spice powders to the softened rice and give it a stir.Add honey and mix well until all ingredients are combined well.Pour it into serving bowls. Add fruits and nuts of your choice. Sprinkle some cinnamon powder on top and serve immediately.Warm and delicious breakfast rice porridge makes your busy mornings a breeze!Serve the Spiced Rice Breakfast Porridge along with Banana Walnut Chocolate Chip Muffin for a wholesome breakfast.
</t>
  </si>
  <si>
    <t>Para empezar a preparar la receta de gachas de arroz con especias para el desayuno, asegúrate de que el arroz cocido esté lo suficientemente suave como para machacarlo. Si usas arroz sobrante, machacalo bien. Agrega unas cucharadas de leche (ten en cuenta que esto no se menciona en la lista de ingredientes) y caliéntala a fuego lento, revolviendo y machacando a intervalos regulares para ablandarlo (toma unos 2 minutos). Agrega la leche, la sal y todas las especias en polvo al arroz ablandado y revuelve. Agrega la miel y mezcla bien hasta que todos los ingredientes estén bien combinados. Vierte la mezcla en tazones. Agrega las frutas y nueces de tu elección. Espolvorea un poco de canela en polvo por encima y sirve inmediatamente. ¡Las gachas de arroz para el desayuno, calientes y deliciosas, hacen que tus mañanas ajetreadas sean pan comido! Sirve las gachas de arroz con especias para el desayuno junto con un muffin de plátano, nueces y chispas de chocolate para un desayuno saludable.</t>
  </si>
  <si>
    <t>Pour commencer à préparer le porridge de riz épicé pour le petit-déjeuner, assurez-vous que le riz cuit est suffisamment tendre pour être écrasé. Si vous utilisez du riz restant, écrasez-le bien. Ajoutez quelques cuillères à soupe de lait (attention, cela n'est pas mentionné dans la liste des ingrédients) et faites chauffer à feu doux, en remuant et en écrasant régulièrement pour ramollir le riz (environ 2 minutes). Ajoutez le lait, le sel et toutes les épices en poudre au riz ramolli et remuez. Ajoutez le miel et mélangez bien jusqu'à ce que tous les ingrédients soient bien mélangés. Versez dans des bols de service. Ajoutez les fruits et les noix de votre choix. Saupoudrez de cannelle en poudre et servez immédiatement. Ce porridge de riz chaud et délicieux pour le petit-déjeuner vous facilitera la vie ! Servez le porridge de riz épicé pour le petit-déjeuner avec un muffin banane-noix-pépites de chocolat pour un petit-déjeuner sain.</t>
  </si>
  <si>
    <t>https://www.archanaskitchen.com/spiced-rice-breakfast-porridge-recipe</t>
  </si>
  <si>
    <t>Pistachio &amp; Cranberry Broken Wheat Pilaf Recipe</t>
  </si>
  <si>
    <t>Rezept für Weizen-Pilaw mit Pistazien und Cranberrys</t>
  </si>
  <si>
    <t>Recette de pilaf de blé aux pistaches et aux canneberges</t>
  </si>
  <si>
    <t>Receta de pilaf de trigo con pistachos y arándanos</t>
  </si>
  <si>
    <t>1 tasse de blé brisé (Dalia/Godumai Rava), 1 cuillère à soupe d'huile d'olive extra vierge, sel - au goût, 4 cuillères à soupe de canneberges - coupées en deux, 1 cuillère à café de grains de poivre noir entiers - écrasés, 4 cuillères à soupe de pistaches - coupées en deux, 1 cuillère à soupe de jus de citron, 2 brins de feuilles de menthe (Pudina) - grossièrement déchirées</t>
  </si>
  <si>
    <t>1 cup Broken Wheat (Dalia/ Godumai Rava),1 tablespoon Extra Virgin Olive Oil,Salt - to taste,4 tablespoons Cranberries - cut into half,1 teaspoon Whole Black Pepper Corns - crushed,4 tablespoons Pistachios - cut into half,1 tablespoon Lemon juice,2 sprig Mint Leaves (Pudina) - roughly torn</t>
  </si>
  <si>
    <t>1 taza de trigo partido (Dalia/Godumai Rava), 1 cucharada de aceite de oliva virgen extra, sal - al gusto, 4 cucharadas de arándanos - cortados por la mitad, 1 cucharadita de granos de pimienta negra enteros - triturados, 4 cucharadas de pistachos - cortados por la mitad, 1 cucharada de jugo de limón, 2 ramitas de hojas de menta (Pudina) - desgarradas en trozos grandes</t>
  </si>
  <si>
    <t xml:space="preserve">To begin making the Pistachio &amp; Cranberry Broken Wheat Pulao Recipe, heat a pressure cooker with olive oil on medium heat. Once the oil is hot add the broken wheat and roast for about 3-4 minutes, stirring continuously. To this, add the salt, pepper, mint leaves, cranberry and pistachios. Mix well and pressure cook for two whistles. Turn off the flame and allow the pressure to release naturally. Once the pressure has released, open the cooker, add in the lemon juice and mix the Pistachio &amp; Cranberry Broken Wheat Pulao until well combined. Transfer the Pistachio &amp; Cranberry Broken Wheat Pulao to a serving bowl, garnish with pistachio and serve hot. Serve Pistachio &amp; Cranberry Broken Wheat Pulao along with Herbed Vegetables In Roasted Bell Pepper Sauce Recipe or French Onion Chicken Recipe and a side of Creamy Garlic Mashed Potatoes Recipe and Classic Greek salad Recipe for a complete meal.
</t>
  </si>
  <si>
    <t>Para comenzar a hacer la Receta de Pulao de Trigo Quebrado con Pistacho y Arándanos, caliente una olla a presión con aceite de oliva a fuego medio. Una vez que el aceite esté caliente, agregue el trigo quebrado y tueste durante unos 3-4 minutos, revolviendo continuamente. A esto, agregue la sal, la pimienta, las hojas de menta, los arándanos y los pistachos. Mezcle bien y cocine a presión durante dos silbidos. Apague la llama y deje que la presión se libere naturalmente. Una vez que se haya liberado la presión, abra la olla, agregue el jugo de limón y mezcle el Pulao de Trigo Quebrado con Pistacho y Arándanos hasta que esté bien combinado. Transfiera el Pulao de Trigo Quebrado con Pistacho y Arándanos a un tazón para servir, adorne con pistacho y sirva caliente. Sirva el pulao de trigo partido con pistacho y arándanos junto con verduras con hierbas en salsa de pimiento morrón asado o pollo con cebolla francesa, y una guarnición de puré de papas cremoso con ajo y ensalada griega clásica para una comida completa.</t>
  </si>
  <si>
    <t xml:space="preserve">Pour commencer à préparer la recette de Pulao de blé brisé aux pistaches et aux canneberges, faites chauffer un autocuiseur avec de l'huile d'olive à feu moyen. Une fois l'huile chaude, ajoutez le blé brisé et faites-le rôtir pendant environ 3 à 4 minutes en remuant continuellement. Ajoutez le sel, le poivre, les feuilles de menthe, la canneberge et les pistaches. Mélangez bien et faites cuire sous pression pendant deux sifflets. Éteignez le feu et laissez la pression se relâcher naturellement. Une fois la pression relâchée, ouvrez l'autocuiseur, ajoutez le jus de citron et mélangez le Pulao de blé brisé aux pistaches et aux canneberges jusqu'à ce que le tout soit bien mélangé. Transférez le Pulao de blé brisé aux pistaches et aux canneberges dans un bol de service, garnissez de pistaches et servez chaud. Servez le Pulao de blé brisé aux pistaches et aux canneberges avec la recette de légumes aux herbes dans une sauce aux poivrons rôtis ou la recette de poulet à l'oignon français et un accompagnement de recette de purée de pommes de terre crémeuse à l'ail et de recette de salade grecque classique pour un repas complet.
</t>
  </si>
  <si>
    <t>http://www.archanaskitchen.com/pistachio-cranberry-broken-wheat-pulao-recipe</t>
  </si>
  <si>
    <t>Old Fashioned Bread Pudding Recipe</t>
  </si>
  <si>
    <t>Rezept für altmodischen Brotpudding</t>
  </si>
  <si>
    <t>Recette de pudding au pain à l'ancienne</t>
  </si>
  <si>
    <t>Receta de budín de pan tradicional</t>
  </si>
  <si>
    <t>5 tasses de pain brun de blé entier - coupé en morceaux de la taille d'une bouchée, 4 œufs entiers, 1 tasse de sucre en poudre, 1 cuillère à café d'extrait de vanille, 1/4 cuillère à café de cannelle en poudre (Dalchini), 1/4 tasse de beurre - fondu et refroidi, 3 tasses de lait, 1 cuillère à soupe de rhum - ou de brandy, 1/4 tasse de noix - hachées, 2 pommes - pommes, fruits secs - comme des raisins secs</t>
  </si>
  <si>
    <t>5 cups Whole Wheat Brown Bread - diced into bite sized pieces,4 Whole Eggs,1 cup Caster Sugar,1 teaspoon Vanilla Extract,1/4 teaspoon Cinnamon Powder (Dalchini),1/4 cup Butter - melted and cooled,3 cups Milk,1 tablespoon Rum - or brandy,1/4 cup Walnuts - chopped,2 Apples - apples,Dry Fruits - like raisins</t>
  </si>
  <si>
    <t>5 tazas de pan integral (cortado en cubitos del tamaño de un bocado), 4 huevos enteros, 1 taza de azúcar extrafino, 1 cucharadita de extracto de vainilla, 1/4 cucharadita de canela en polvo (dalchini), 1/4 taza de mantequilla derretida y enfriada, 3 tazas de leche, 1 cucharada de ron o brandy, 1/4 taza de nueces picadas, 2 manzanas, frutos secos como pasas.</t>
  </si>
  <si>
    <t xml:space="preserve">To begin making the Old Fashioned Bread Pudding Recipe, preheat oven to 150 C and place rack in center of oven.Grease a 10 x 10 square baking dish with butter. Place the cut bread cubes into the baking dish and sprinkle fruits or nuts- apples, walnuts and mixed dry fruits of your choice at this stage over the bread cubes.In a large bowl whisk the eggs and sugar on high speed until thick and fluffy. Beat in the vanilla extract; ground cinnamon, melted butter and milk/cream until well combined and fluffy.Pour the prepared custard over the bread cubes until completely covered. Press down the bread cubes with a fork so the custard seeps into the nooks and crevices of the baking dish so they are covered fully with the custard.Note that the pudding mixture is going to be cooked in a water bath. Place the bread pudding dish on the roasting pan. Pour in enough hot water into the roasting pan so that the water is halfway up sides of the baking pan with the pudding mixture inside it. Bake for about 45 minutes until a toothpick inserted in the center comes out clean. Once done, cool slightly and serve warm. This pudding can be served cold as well. Bake the bread pudding for about 45 minutes until a toothpick inserted in the center comes out clean. Once done, cool slightly and serve warm. This pudding can be served cold as well. Serve the Old Fashioned Bread Pudding for desserts during  the winters after a meal of Dragon Chicken Sizzler Recipe or Mushroom Cutlet Vegetarian Sizzler Recipe. 
</t>
  </si>
  <si>
    <t>Para comenzar a hacer la Receta del Budín de Pan Tradicional, precaliente el horno a 150 C y coloque la rejilla en el centro del horno. Engrase un molde para hornear cuadrado de 10 x 10 con mantequilla. Coloque los cubos de pan cortados en el molde para hornear y espolvoree frutas o nueces: manzanas, nueces y frutas secas mixtas de su elección en esta etapa sobre los cubos de pan. En un tazón grande, bata los huevos y el azúcar a alta velocidad hasta que espese y esponjoso. Bata el extracto de vainilla; la canela molida, la mantequilla derretida y la leche / crema hasta que estén bien combinados y esponjosos. Vierta las natillas preparadas sobre los cubos de pan hasta que estén completamente cubiertos. Presione los cubos de pan con un tenedor para que las natillas se filtren en los rincones y grietas del molde para hornear para que estén completamente cubiertos con las natillas. Tenga en cuenta que la mezcla de budín se cocinará en un baño de agua. Coloque el molde para budín de pan en la bandeja para asar. Vierta suficiente agua caliente en la bandeja para hornear hasta que el agua llegue a la mitad de los lados con la mezcla de pudín dentro. Hornee durante unos 45 minutos hasta que al insertar un palillo en el centro, este salga limpio. Una vez listo, deje enfriar un poco y sirva tibio. Este pudín también se puede servir frío. Hornee el pudín de pan durante unos 45 minutos hasta que al insertar un palillo en el centro, este salga limpio. Una vez listo, deje enfriar un poco y sirva tibio. Este pudín también se puede servir frío. Sirva el pudín de pan tradicional como postre durante los inviernos, después de una comida de pollo dragón a la brasa o de chuletas de champiñones vegetarianas a la brasa.</t>
  </si>
  <si>
    <t>Pour commencer à préparer la recette du pouding au pain à l'ancienne, préchauffez le four à 150 °C et placez la grille au centre du four. Graissez un plat de cuisson carré de 10 x 10 avec du beurre. Placez les cubes de pain coupés dans le plat de cuisson et saupoudrez de fruits ou de noix - pommes, noix et fruits secs mélangés de votre choix à ce stade - sur les cubes de pain. Dans un grand bol, fouettez les œufs et le sucre à grande vitesse jusqu'à ce que le mélange soit épais et mousseux. Incorporez l'extrait de vanille, la cannelle moulue, le beurre fondu et le lait/crème jusqu'à ce que le tout soit bien mélangé et mousseux. Versez la crème anglaise préparée sur les cubes de pain jusqu'à ce qu'ils soient complètement recouverts. Appuyez sur les cubes de pain avec une fourchette pour que la crème s'infiltre dans les coins et crevasses du plat de cuisson afin qu'ils soient entièrement recouverts de crème. Notez que le mélange de pouding va être cuit au bain-marie. Placez le plat de pouding au pain sur la rôtissoire. Versez suffisamment d'eau chaude dans la rôtissoire pour que l'eau arrive à mi-hauteur des côtés du plat de cuisson avec le mélange de pouding à l'intérieur. Cuire au four pendant environ 45 minutes, jusqu'à ce qu'un cure-dent inséré au centre en ressorte propre. Laisser refroidir légèrement et servir chaud. Ce pudding peut également être servi froid. Cuire au four pendant environ 45 minutes, jusqu'à ce qu'un cure-dent inséré au centre en ressorte propre. Laisser refroidir légèrement et servir chaud. Ce pudding peut également être servi froid. Servir le pudding au pain à l'ancienne en dessert en hiver, après un repas de recette de poulet grésillant au dragon ou de recette de côtelettes de champignons végétariennes grésillantes.</t>
  </si>
  <si>
    <t>https://www.archanaskitchen.com/old-fashioned-bread-pudding-recipe</t>
  </si>
  <si>
    <t>Eggless Mango Mousse Recipe</t>
  </si>
  <si>
    <t>Rezept für Mangomousse ohne Ei</t>
  </si>
  <si>
    <t>Recette de mousse de mangue sans œufs</t>
  </si>
  <si>
    <t>Receta de mousse de mango sin huevo</t>
  </si>
  <si>
    <t>4 tasses de pulpe de mangue (purée), 1 tasse de crème fraîche, 1/4 tasse de sucre en poudre, 2 cuillères à soupe de gélatine - ou d'agar-agar ou d'herbe de Chine (dissoute dans 2 cuillères à soupe d'eau tiède)</t>
  </si>
  <si>
    <t>4 cups Mango Pulp (Puree),1 cup Fresh cream,1/4 cup Caster Sugar,2 tablespoons Gelatin - or agar agar or china grass (dissolved in 2tablespoons warm water)</t>
  </si>
  <si>
    <t>4 tazas de pulpa de mango (puré), 1 taza de crema fresca, 1/4 taza de azúcar extrafino, 2 cucharadas de gelatina (o agar agar o china grass) (disuelta en 2 cucharadas de agua tibia)</t>
  </si>
  <si>
    <t xml:space="preserve">To begin making the Eggless Mango Mousse Recipe, whip the cream and sugar until light and fluffy and soft peaks form. Combine the gelatine and the water, microwave for 30 seconds or until the gelatine granules melted. Fold in the mango puree along with the dissolved gelatine into the cream and sugar mixture.Pour the Eggless Mango Mousse Mixture into individual dessert cups and refrigerate for at least 6 to 8 hours until set. You can optionally garnish with fresh mangoes or pomegranates or any other fruit of your choiceServe the Eggless Mango Mousse as a Dessert Party with friends and family.Serve the Eggless Mango Mousse after a meal of Chicken Teriyaki Rice Bowl Recipe or Mediterranean Quinoa Bowl Recipe With Red Bell Pepper Sauce and Guava And Papaya Mimosa Drink Recipe.
</t>
  </si>
  <si>
    <t>Para empezar a preparar la receta de mousse de mango sin huevo, bate la nata y el azúcar hasta que esté ligera y esponjosa, y se formen picos suaves. Combina la gelatina con el agua, calienta en el microondas durante 30 segundos o hasta que los gránulos de gelatina se hayan derretido. Incorpora el puré de mango junto con la gelatina disuelta a la mezcla de nata y azúcar. Vierte la mezcla de mousse de mango sin huevo en vasitos individuales para postre y refrigera durante al menos 6 a 8 horas hasta que cuaje. Opcionalmente, puedes decorar con mangos o granadas frescas o cualquier otra fruta de tu elección. Sirve la mousse de mango sin huevo como postre para una fiesta con amigos y familiares. Sirve la mousse de mango sin huevo después de una comida con la receta de tazón de arroz con pollo teriyaki o la receta de tazón de quinoa mediterránea con salsa de pimiento rojo y la receta de bebida de mimosa de guayaba y papaya.</t>
  </si>
  <si>
    <t>Pour commencer à préparer la recette de mousse à la mangue sans œufs, fouettez la crème et le sucre jusqu'à ce que des pics légers et mousseux se forment. Mélangez la gélatine et l'eau, puis faites chauffer au micro-ondes pendant 30 secondes ou jusqu'à ce que les granules de gélatine soient fondus. Incorporez la purée de mangue avec la gélatine dissoute au mélange de crème et de sucre. Versez le mélange de mousse à la mangue sans œufs dans des coupes à dessert individuelles et réfrigérez pendant au moins 6 à 8 heures jusqu'à ce que le mélange prenne. Vous pouvez éventuellement garnir de mangues fraîches, de grenades ou de tout autre fruit de votre choix. Servez la mousse à la mangue sans œufs lors d'une fête de desserts entre amis et en famille. Servez la mousse à la mangue sans œufs après un repas de recette de bol de riz au poulet teriyaki ou de recette de bol de quinoa méditerranéen avec sauce au poivron rouge et recette de boisson mimosa à la goyave et à la papaye.</t>
  </si>
  <si>
    <t>https://www.archanaskitchen.com/eggless-mango-mousse-recipe</t>
  </si>
  <si>
    <t>Eggless Whole Wheat Cake with Chocolate Buttercream Frosting Recipe</t>
  </si>
  <si>
    <t>Rezept für Vollkornkuchen ohne Eier mit Schokoladen-Buttercreme-Zuckerguss</t>
  </si>
  <si>
    <t>Recette de gâteau au blé entier sans œufs avec glaçage au beurre et au chocolat</t>
  </si>
  <si>
    <t>Receta de pastel integral sin huevo con glaseado de crema de mantequilla de chocolate</t>
  </si>
  <si>
    <t>2 tasses de farine de blé entier, 1 cuillère à café de levure chimique, 1/2 cuillère à café de bicarbonate de soude, 3/4 tasse d'huile d'olive extra vierge, 1 tasse de cassonade (sucre Demerara), 1/2 tasse de yaourt grec (Hung Curd), 1 tasse d'eau (ajuster), 1 cuillère à café de cannelle en poudre (Dalchini), 1 cuillère à soupe d'extrait de vanille, 1/2 tasse de noix hachées (ou utilisez les fruits secs de votre choix), cannelle en poudre (Dalchini) (pour saupoudrer et garnir), sucre glace (pour saupoudrer et garnir), 6 cuillères à soupe de cacao en poudre, 3 cuillères à soupe de beurre (non salé) ou de beurre de coco, 6 cuillères à soupe de sucre (ajuster), 4 cuillères à soupe de lait (ajuster)</t>
  </si>
  <si>
    <t>2 cups Whole Wheat Flour,1 teaspoon Baking powder,1/2 teaspoon Baking soda,3/4 cup Extra Virgin Olive Oil,1 cup Brown Sugar (Demerara Sugar),1/2 cup Hung Curd (Greek Yogurt),1 cup Water - (adjust),1 teaspoon Cinnamon Powder (Dalchini),1 tablespoon Vanilla Extract,1/2 cup Walnuts - chopped (or use any dry fruits you like),Cinnamon Powder (Dalchini) - (for dusting and garnish),Icing Sugar - (for dusting and garnish),6 tablespoon Cocoa Powder,3 tablespoon Butter (unsalted) - or coconut butter,6 tablespoon Sugar - (adjust),4 tablespoon Milk - (adjust)</t>
  </si>
  <si>
    <t>2 tazas de harina integral, 1 cucharadita de polvo para hornear, 1/2 cucharadita de bicarbonato de sodio, 3/4 taza de aceite de oliva virgen extra, 1 taza de azúcar morena (azúcar Demerara), 1/2 taza de cuajada colgada (yogur griego), 1 taza de agua - (ajustar), 1 cucharadita de canela en polvo (dalchini), 1 cucharada de extracto de vainilla, 1/2 taza de nueces picadas (o use cualquier fruta seca que le guste), canela en polvo (dalchini) - (para espolvorear y decorar), azúcar glas - (para espolvorear y decorar), 6 cucharadas de cacao en polvo, 3 cucharadas de mantequilla (sin sal) - o mantequilla de coco, 6 cucharadas de azúcar - (ajustar), 4 cucharadas de leche - (ajustar)</t>
  </si>
  <si>
    <t xml:space="preserve">To prepare Eggless Whole Wheat Cake with Chocolate Buttercream Frosting Recipe, preheat Oven to 350 degrees Fahrenheit.Combine the flour, baking soda and baking powder in a medium size mixing bowl.Mix curd and oil in another large bowl and whisk to form a homogenous mixture.Add sugar, vanilla extract and cinnamon powder. Mix well with a spatula till it forms a smooth creamy mixture.Now add the flour in batches into the creamed mixture.Continuously stir, scraping the sides and mix, till the flour is completely folded into the mixture before adding the next batch of flour. I added the flour in 5 batches.Make sure that the mixture is lump free.Once all the flour is incorporated into the cake batter, add water (I used a little less than one cup) slowly into the mixture to bring it to the dripping consistency.Add and fold in the chopped walnuts in the cake batter.Pour the batter into a greased baking dish and bake in the preheated oven for 35-45 minutes or until the cake is cooked.Insert a toothpick into the cake at 2-3 places and if it comes out clean, then the cake is cooked.Allow the cake to cool in the pan.In the meantime, prepare the chocolate buttercream frosting. Add butter and sugar in a saucepan.Cook on low medium heat till the butter melts and the sugar dissolves. Turn off the heat.Now add the cocoa powder and the milk into the Saucepan. Stir and whisk continuously till you get a smooth and slightly thickened frosting.While the cake is still warm, spread the buttercream frosting over the top of the cake.Refrigerate the cake for at least 2 hours for the frosting to set.Serve this delicious and moist Eggless Whole Wheat Cake with Chocolate Buttercream Frosting Recipe during tea time or after Delicious Italian Chicken Cacciatore Recipe with Mushrooms &amp; Olives dinner meal served as dessert.
</t>
  </si>
  <si>
    <t>Para preparar el pastel integral sin huevo con glaseado de crema de mantequilla de chocolate, precaliente el horno a 175 °C. Combine la harina, el bicarbonato y el polvo para hornear en un tazón mediano. En otro tazón grande, mezcle la cuajada y el aceite y bata hasta obtener una mezcla homogénea. Agregue el azúcar, el extracto de vainilla y la canela en polvo. Mezcle bien con una espátula hasta obtener una mezcla suave y cremosa. Ahora, incorpore la harina en tandas a la mezcla cremosa. Remueva continuamente, raspando los lados y mezclando hasta que la harina se integre completamente antes de agregar la siguiente tanda. Agregué la harina en 5 tandas. Asegúrate de que la mezcla no tenga grumos. Una vez que toda la harina esté incorporada a la masa del pastel, agrega agua (yo usé un poco menos de una taza) lentamente a la mezcla para que tenga una consistencia cremosa. Agrega y mezcla las nueces picadas con movimientos envolventes en la masa del pastel. Vierte la masa en un molde para hornear engrasado y hornea en el horno precalentado durante 35-45 minutos o hasta que el pastel esté cocido. Inserta un palillo en el pastel en 2-3 lugares y si sale limpio, entonces el pastel está cocido. Deja que el pastel se enfríe en el molde. Mientras tanto, prepara el glaseado de crema de mantequilla de chocolate. Agrega la mantequilla y el azúcar en una cacerola. Cocina a fuego medio bajo hasta que la mantequilla se derrita y el azúcar se disuelva. Apaga el fuego. Ahora agrega el cacao en polvo y la leche a la cacerola. Remueve y bate continuamente hasta obtener un glaseado suave y ligeramente espeso. Mientras el pastel aún esté tibio, extiende el glaseado de crema de mantequilla sobre la parte superior del pastel. Refrigera el pastel durante al menos 2 horas para que el glaseado se asiente. Sirve este delicioso y húmedo pastel de trigo integral sin huevo con glaseado de crema de mantequilla de chocolate durante la hora del té o después de la cena servida como postre.</t>
  </si>
  <si>
    <t>Pour préparer un gâteau complet sans œufs avec glaçage au beurre et au chocolat, préchauffez le four à 175 °C. Mélangez la farine, le bicarbonate de soude et la levure chimique dans un saladier de taille moyenne. Dans un autre grand saladier, mélangez le lait caillé et l'huile et fouettez jusqu'à obtenir un mélange homogène. Ajoutez le sucre, l'extrait de vanille et la cannelle en poudre. Mélangez bien à la spatule jusqu'à obtenir une consistance lisse et crémeuse. Incorporez ensuite la farine par lots à la préparation crémeuse. Remuez continuellement en raclant les bords et mélangez jusqu'à ce que la farine soit bien incorporée au mélange avant d'ajouter la farine suivante. J'ai ajouté la farine en 5 fois. Assurez-vous que le mélange soit sans grumeaux. Une fois toute la farine incorporée à la pâte à gâteau, ajoutez lentement de l'eau (j'ai utilisé un peu moins d'une tasse) dans le mélange pour obtenir une consistance dégoulinante. Ajoutez et incorporez les noix hachées dans la pâte à gâteau. Versez la pâte dans un plat de cuisson graissé et faites cuire au four préchauffé pendant 35 à 45 minutes ou jusqu'à ce que le gâteau soit cuit. Insérez un cure-dent dans le gâteau à 2 ou 3 endroits ; s'il ressort propre, le gâteau est cuit. Laissez le gâteau refroidir dans le moule. Pendant ce temps, préparez le glaçage à la crème au beurre au chocolat. Ajoutez le beurre et le sucre dans une casserole. Faites cuire à feu moyen-doux jusqu'à ce que le beurre fonde et que le sucre se dissolve. Éteignez le feu. Ajoutez ensuite le cacao en poudre et le lait dans la casserole. Remuez et fouettez continuellement jusqu'à obtenir un glaçage lisse et légèrement épaissi. Pendant que le gâteau est encore chaud, étalez le glaçage à la crème au beurre sur le dessus du gâteau. Réfrigérez le gâteau pendant au moins 2 heures pour que le glaçage prenne. Servez ce délicieux et moelleux gâteau de blé entier sans œufs avec glaçage à la crème au beurre au chocolat pendant l'heure du thé ou après un délicieux dîner de poulet cacciatore italien aux champignons et aux olives servi en dessert.</t>
  </si>
  <si>
    <t>https://www.archanaskitchen.com/eggless-whole-wheat-cake-with-chocolate-buttercream-frosting-recipe</t>
  </si>
  <si>
    <t>Spicy Chilli Mango Virgin Mojito Recipe</t>
  </si>
  <si>
    <t>Rezept für einen würzigen Virgin Mojito mit Chili und Mango</t>
  </si>
  <si>
    <t>Recette de Virgin Mojito épicé au piment et à la mangue</t>
  </si>
  <si>
    <t>Receta de mojito picante virgen con chile y mango</t>
  </si>
  <si>
    <t>1 tasse de mangue (mûre) - purée, 5 cm de gingembre - râpé, 60 ml de feuilles de menthe (Pudina) - grossièrement déchirées, 2 piments verts - hachés finement en diagonale, 2 cuillères à soupe de jus de citron, 2 citrons - coupés en quatre morceaux chacun, 250 ml d'eau gazeuse (eau gazeuse), sel - une pincée, glaçons - au besoin (pilés)</t>
  </si>
  <si>
    <t>1 cup Mango (Ripe) - puree,2 inch Ginger - grated,1/4 cup Mint Leaves (Pudina) - roughly torn,2 Green Chillies - chopped thin diagonally,2 tablespoons Lemon juice,2 Lemon - cut in four pieces each,250 ml Aerated water (Soda Water),Salt - a pinch,Ice cubes - as required (crushed)</t>
  </si>
  <si>
    <t>1 taza de mango (maduro) - puré, 2 pulgadas de jengibre - rallado, 1/4 taza de hojas de menta (pudina) - desgarradas en trozos grandes, 2 chiles verdes - picados finos en diagonal, 2 cucharadas de jugo de limón, 2 limones - cortados en cuatro trozos cada uno, 250 ml de agua gasificada (agua con gas), sal - una pizca, cubitos de hielo - según sea necesario (triturados)</t>
  </si>
  <si>
    <t xml:space="preserve">To begin making the Spicy Chilli Mango Virgin Mojito Recipe, sieve mango puree well and keep it aside.In a bowl, muddle the mint leaves and ginger together but don't crush them too much.Mix this mint lemon ginger mixture in mango puree. Add the green chillies, salt and the soda and give it brisk stir,Pour the Spicy Chilli Mango Virgin Mojito into glasses. Add ice cube and serve immediately. You can place the lemon wedges on the glass and serve.Serve the Spicy Chilli Mango Virgin Mojito Recipe to your guests along with starters like  Oats and Vegetable Kebab and a Achari Paneer Tikka.
</t>
  </si>
  <si>
    <t>Para empezar a preparar la receta de mojito de mango virgen con chile picante, cuela bien el puré de mango y resérvalo. En un bol, machaca las hojas de menta y el jengibre, pero no los tritures demasiado. Mezcla esta mezcla de menta, limón y jengibre con el puré de mango. Agrega los chiles verdes, la sal y la soda y revuelve enérgicamente. Vierte el mojito de mango virgen con chile picante en vasos. Agrega un cubo de hielo y sirve inmediatamente. Puedes colocar las rodajas de limón en el vaso y servir. Sirve la receta de mojito de mango virgen con chile picante a tus invitados junto con entrantes como kebab de avena y verduras y un achari paneer tikka.</t>
  </si>
  <si>
    <t>Pour commencer à préparer la recette du Mojito vierge épicé à la mangue et au piment, tamisez bien la purée de mangue et réservez-la. Dans un bol, écrasez les feuilles de menthe et le gingembre sans trop les écraser. Mélangez ce mélange menthe-citron-gingembre à la purée de mangue. Ajoutez les piments verts, le sel et le soda, puis remuez vivement. Versez le Mojito vierge épicé à la mangue et au piment dans des verres. Ajoutez des glaçons et servez immédiatement. Vous pouvez placer les quartiers de citron sur le verre et servir. Servez la recette du Mojito vierge épicé à la mangue et au piment à vos invités, accompagnée d'entrées comme des kebabs d'avoine et de légumes et un Achari Paneer Tikka.</t>
  </si>
  <si>
    <t>http://www.archanaskitchen.com/mango-ginger-virgin-mojito-recipe</t>
  </si>
  <si>
    <t>Grilled Cheese Chocolate Sandwich Recipe</t>
  </si>
  <si>
    <t>Rezept für gegrilltes Käse-Schokoladen-Sandwich</t>
  </si>
  <si>
    <t>Recette de sandwich au fromage grillé et au chocolat</t>
  </si>
  <si>
    <t>Receta de sándwich de queso a la parrilla con chocolate</t>
  </si>
  <si>
    <t>3 pains bruns de blé entier, 1 cuillère à soupe de tartinade au fromage Britannia - Chili mexicain, 3 cuillères à soupe de barre de chocolat - râpée, 3 cuillères à soupe de bloc de fromage Britannia - râpé</t>
  </si>
  <si>
    <t>3 Whole Wheat Brown Bread,1 tablespoon Britannia Cheese Spread - Mexican Chilli,3 tablespoon Chocolate Bar - grated,3 tablespoon Britannia Cheese Block - grated</t>
  </si>
  <si>
    <t>3 panes integrales, 1 cucharada de queso untable Britannia - chile mexicano, 3 cucharadas de barra de chocolate - rallada, 3 cucharadas de bloque de queso Britannia - rallado</t>
  </si>
  <si>
    <t xml:space="preserve">To begin making the Grilled Cheese Chocolate Sandwich Recipe first heat a tawa or a pan. Dry toast the bread slices until golden and crisp.Remove the bread slices from the pan once done and transfer onto a plate.Spread a layer of Britannia Mexican Chilli Cheese Spread over one bread slice.Add grated chocolate on the bread slice and then top the chocolate with grated cheese . Cover with a bread slice and again repeat to make one more layer.Place the Cheese Chocolate Sandwich in a preheated oven at 200 degree Celsius and grill until you notice the cheese melting.Cut and serve the Cheese Chocolate Sandwich immediately. Serve Grilled Cheese Chocolate Sandwich with Spicy Indian Style Masala Frittata and Banana Orange &amp; Spinach Smoothie  for  a special weekend breakfast.
</t>
  </si>
  <si>
    <t>Para empezar a preparar la receta del sándwich de queso y chocolate a la plancha, calienta primero una tawa o una sartén. Tuesta las rebanadas de pan hasta que estén doradas y crujientes. Retira las rebanadas de pan de la sartén una vez listas y colócalas en un plato. Unta una capa de queso untable mexicano Britannia con chile sobre una rebanada de pan. Agrega chocolate rallado a la rebanada de pan y luego cubre el chocolate con queso rallado. Cubre con una rebanada de pan y repite de nuevo para hacer una capa más. Coloca el sándwich de queso y chocolate en un horno precalentado a 200 grados Celsius y gratina hasta que notes que el queso se derrite. Corta y sirve el sándwich de queso y chocolate inmediatamente. Sirve el sándwich de queso y chocolate a la plancha con frittata picante de masala al estilo indio y batido de plátano, naranja y espinacas para un desayuno especial de fin de semana.</t>
  </si>
  <si>
    <t>Pour commencer à préparer le sandwich au fromage grillé et au chocolat, faites d'abord chauffer un tawa ou une poêle. Faites griller les tranches de pain à sec jusqu'à ce qu'elles soient dorées et croustillantes. Retirez les tranches de pain de la poêle une fois cuites et transférez-les dans une assiette. Étalez une couche de tartinade au fromage et au piment mexicain Britannia sur une tranche de pain. Ajoutez du chocolat râpé sur la tranche de pain, puis recouvrez le chocolat de fromage râpé. Recouvrez d'une tranche de pain et répétez l'opération pour faire une couche supplémentaire. Placez le sandwich au fromage et au chocolat dans un four préchauffé à 200 degrés Celsius et faites-le griller jusqu'à ce que le fromage fonde. Coupez et servez le sandwich au fromage et au chocolat immédiatement. Servez le sandwich au fromage grillé et au chocolat avec une frittata masala épicée à l'indienne et un smoothie banane, orange et épinards pour un petit-déjeuner de week-end spécial.</t>
  </si>
  <si>
    <t>https://www.archanaskitchen.com/grilled-cheese-chocolate-sandwich-recipe</t>
  </si>
  <si>
    <t>Carrot Soup Recipe</t>
  </si>
  <si>
    <t>Karottensuppe Rezept</t>
  </si>
  <si>
    <t>recette de soupe aux carottes</t>
  </si>
  <si>
    <t>receta de sopa de zanahoria</t>
  </si>
  <si>
    <t>5 carottes (Gajjar) - pelées et hachées, 1 oignon - tranché, 1 pomme de terre (Aloo) - coupée en dés, 1 céleri - haché, 2,5 cm de gingembre - pelé et haché, 1 cuillère à café de poudre de coriandre (Dhania), 2 cuillères à café de grains de poivre noir entiers - écrasés, 3 tasses de bouillon de légumes, 2 cuillères à café d'huile d'olive extra vierge, 1 quartier de citron</t>
  </si>
  <si>
    <t>5 Carrots (Gajjar) - peeled and chopped,1 Onion - sliced,1 Potato (Aloo) - cubed,1 Celery - chopped,1 inch Ginger - peeled and chopped,1 teaspoon Coriander Powder (Dhania),2 teaspoons Whole Black Peppercorns - crushed,3 cups Vegetable stock,2 teaspoons Extra Virgin Olive Oil,1 Lemon wedges</t>
  </si>
  <si>
    <t>5 zanahorias (Gajjar) - peladas y picadas, 1 cebolla - en rodajas, 1 papa (Aloo) - en cubos, 1 apio - picado, 1 pulgada de jengibre - pelado y picado, 1 cucharadita de cilantro en polvo (Dhania), 2 cucharaditas de granos de pimienta negra enteros - triturados, 3 tazas de caldo de verduras, 2 cucharaditas de aceite de oliva virgen extra, 1 gajo de limón</t>
  </si>
  <si>
    <t xml:space="preserve">To begin making the Carrot Soup recipe, first heat oil in a saucepan.Add the onion and sauté for a minute. Add the coriander powder and sauté for a few seconds.Add the ginger, celery, carrots and potato. Sprinkle some salt and mix everything well.Add 2 cups of stock, cover the pan and cook till the carrots and potatoes becomes soft. Cool it down and puree in a blender.Pour back the puree into the saucepan and heat. Adjust the consistency using the leftover the stock. Add pepper and boil for 1 to 2 minutes.Serve into individual bowls, squeeze some lime juice (if using) and serve immediately.Serve Carrot Soup with Smoked Tofu and Grilled Vegetable Salad for a light and healthy dinner.
</t>
  </si>
  <si>
    <t>Para empezar a preparar la receta de sopa de zanahoria, primero calienta el aceite en una cacerola. Agrega la cebolla y sofríe durante un minuto. Agrega el cilantro en polvo y sofríe durante unos segundos. Agrega el jengibre, el apio, las zanahorias y la papa. Espolvorea un poco de sal y mezcla todo bien. Agrega 2 tazas de caldo, tapa la cacerola y cocina hasta que las zanahorias y las papas estén blandas. Enfría y haz un puré en una licuadora. Vierte de nuevo el puré en la cacerola y calienta. Ajusta la consistencia con el caldo sobrante. Agrega pimienta y hierve durante 1 o 2 minutos. Sirve en tazones individuales, exprime un poco de jugo de lima (si lo usas) y sirve inmediatamente. Sirve la sopa de zanahoria con tofu ahumado y ensalada de verduras a la parrilla para una cena ligera y saludable.</t>
  </si>
  <si>
    <t>Pour préparer la soupe aux carottes, faites chauffer l'huile dans une casserole. Ajoutez l'oignon et faites-le revenir une minute. Ajoutez la coriandre en poudre et faites-le revenir quelques secondes. Ajoutez le gingembre, le céleri, les carottes et les pommes de terre. Salez et mélangez bien le tout. Ajoutez 500 ml de bouillon, couvrez la casserole et laissez cuire jusqu'à ce que les carottes et les pommes de terre soient tendres. Laissez refroidir et mixez au mixeur. Reversez la purée dans la casserole et faites chauffer. Ajustez la consistance avec le reste de bouillon. Poivrez et laissez mijoter 1 à 2 minutes. Servez dans des bols individuels, pressez un peu de jus de citron vert (si vous en utilisez) et servez immédiatement. Accompagnez la soupe aux carottes de tofu fumé et de salade de légumes grillés pour un dîner léger et sain.</t>
  </si>
  <si>
    <t>http://www.archanaskitchen.com/carrot-soup-recipe</t>
  </si>
  <si>
    <t>Sweet Potato Avocado Brownie Bites Recipe</t>
  </si>
  <si>
    <t>Rezept für Süßkartoffel-Avocado-Brownie-Bites</t>
  </si>
  <si>
    <t>Recette de bouchées de brownie à la patate douce et à l'avocat</t>
  </si>
  <si>
    <t>Receta de bocaditos de brownie de batata y aguacate</t>
  </si>
  <si>
    <t>1/2 tasse de patate douce - en purée ou purée de citrouille, 1 avocat, 2 œufs entiers, 1/2 tasse de miel, 2 cuillères à soupe d'huile de coco - fondue, 3 cuillères à soupe de farine de coco, 1/3 tasse de poudre de cacao, 1-1/2 cuillère à café de bicarbonate de soude, 1/4 cuillère à café de sel de mer, 1/3 tasse de pépites de chocolat, 1/4 tasse de noix - hachées (facultatif)</t>
  </si>
  <si>
    <t>1/2 cup Sweet Potato - pureed or pumpkin puree,1 Avocado,2 Whole Eggs,1/2 cup Honey,2 tablespoons Coconut Oil - melted,3 tablespoons Coconut flour,1/3 cup Cocoa Powder,1-1/2 teaspoon Baking soda,1/4 teaspoon Sea salt,1/3 cup Chocolate chips,1/4 cup Walnuts - chopped (optional)</t>
  </si>
  <si>
    <t>1/2 taza de puré de batata o puré de calabaza, 1 aguacate, 2 huevos enteros, 1/2 taza de miel, 2 cucharadas de aceite de coco derretido, 3 cucharadas de harina de coco, 1/3 taza de cacao en polvo, 1-1/2 cucharadita de bicarbonato de sodio, 1/4 cucharadita de sal marina, 1/3 taza de chispas de chocolate, 1/4 taza de nueces picadas (opcional)</t>
  </si>
  <si>
    <t xml:space="preserve">To begin making the Sweet Potato Avocado Brownie Bites recipe, preheat oven to 350 °F. Line a mini-muffin tin with paper liners or grease with oil.Combine all of the ingredients in a blender, mixer or food processor, except for the chocolate chips.Blend the ingredients just until smooth. Fold in 1/4 cup chocolate chips and optional walnuts. Fill each muffin well with batter.Top with remaining mini-chocolate chips. Bake in oven for 20 minutes. Remove from oven and let cool for about 5 minutes. Transfer muffins to a wire rack to finish cooling before enjoying.
</t>
  </si>
  <si>
    <t>Para empezar a preparar la receta de Brownie Bites de Batata y Aguacate, precalienta el horno a 175 °C. Cubre un molde para mini muffins con capacillos de papel o engrásalo con aceite. Combina todos los ingredientes en una licuadora, batidora o procesador de alimentos, excepto las chispas de chocolate. Licúa los ingredientes hasta que estén suaves. Incorpora 1/4 de taza de chispas de chocolate y nueces opcionales. Rellena cada muffin con la masa. Cubre con las chispas de chocolate restantes. Hornea durante 20 minutos. Retira del horno y deja enfriar durante unos 5 minutos. Transfiere los muffins a una rejilla para que se enfríen por completo antes de disfrutarlos.</t>
  </si>
  <si>
    <t>Pour commencer à préparer la recette de bouchées de brownie à la patate douce et à l'avocat, préchauffez le four à 175 °C. Chemisez un moule à mini-muffins de caissettes en papier ou graissez-le avec de l'huile. Mélangez tous les ingrédients dans un mélangeur, un batteur ou un robot culinaire, sauf les pépites de chocolat. Mixez les ingrédients jusqu'à obtenir une consistance lisse. Incorporez 60 ml de pépites de chocolat et les noix (facultatif). Remplissez chaque muffin de pâte. Garnissez du reste des mini-pépites de chocolat. Faites cuire au four pendant 20 minutes. Retirez du four et laissez refroidir environ 5 minutes. Transférez les muffins sur une grille pour qu'ils refroidissent complètement avant de déguster.</t>
  </si>
  <si>
    <t>https://www.archanaskitchen.com/sweet-potato-avocado-brownie-bites-recipe</t>
  </si>
  <si>
    <t>Fennel Pesto Pull-Apart Bread Recipe</t>
  </si>
  <si>
    <t>Rezept für Fenchelpesto-Zupfbrot</t>
  </si>
  <si>
    <t>Recette de pain à effilocher au pesto de fenouil</t>
  </si>
  <si>
    <t>Receta de pan desmenuzado con pesto de hinojo</t>
  </si>
  <si>
    <t>1-1/2 tasse de farine tout usage (Maida), 1-1/2 tasse de farine de blé entier, 1/4 tasse de lait en poudre, 4 cuillères à soupe d'huile d'olive extra vierge, 1 pomme de terre (Aloo) - bouillie et écrasée, 3 cuillères à soupe de miel, sel - au goût, 2-1/2 cuillères à café de levure sèche active, 1-1/8 tasse d'eau tiède, 1 cuillère à soupe de graines de sésame (graines Til), 1/4 tasse de noix - ou pignons de pin, feuilles de fenouil - un demi-bouquet, 50 grammes de cheddar, 1/4 tasse d'huile d'olive extra vierge, 4 à 5 gousses d'ail, jus de citron - d'un citron, zeste de citron - d'un demi-citron, sel et poivre - au goût</t>
  </si>
  <si>
    <t>1-1/2 cups All Purpose Flour (Maida),1-1/2 cups Whole Wheat Flour,1/4 cup Milk Powder,4 tablespoons Extra Virgin Olive Oil,1 Potato (Aloo) - boiled and mashed,3 tablespoon Honey,Salt - to taste,2-1/2 teaspoons Active dry yeast,1-1/8 cup Lukewarm Water,1 tablespoon Sesame seeds (Til seeds),1/4 cup Walnuts - or pine nuts,Fennel Leaves - half a bunch,50 gram Cheddar cheese,1/4 cup Extra Virgin Olive Oil,4 - 5 cloves Garlic,Lemon juice - of 1 lemon,Lemon zest - of half a lemon,Salt and Pepper - to taste</t>
  </si>
  <si>
    <t>1-1/2 tazas de harina para todo uso (Maida), 1-1/2 tazas de harina integral, 1/4 taza de leche en polvo, 4 cucharadas de aceite de oliva virgen extra, 1 papa (Aloo) - hervida y machacada, 3 cucharadas de miel, sal - al gusto, 2-1/2 cucharaditas de levadura seca activa, 1-1/8 taza de agua tibia, 1 cucharada de semillas de sésamo (semillas de Til), 1/4 taza de nueces - o piñones, hojas de hinojo - medio manojo, 50 gramos de queso cheddar, 1/4 taza de aceite de oliva virgen extra, 4 - 5 dientes de ajo, jugo de limón - de 1 limón, ralladura de limón - de medio limón, sal y pimienta - al gusto</t>
  </si>
  <si>
    <t xml:space="preserve">To begin making Fennel Pesto Pull-Apart Bread first make fennel pesto, dry roast the pine nuts in a skillet over low heat until brown spots appear on them. Roast the chopped fennel leaves and garlic for a minute or so.Transfer all the ingredients to a mixer along with olive oil, cheese, salt, pepper, zest, lemon juice and grind to a smooth paste. Transfer to a bowl or store up to 2 weeks in the fridge.To prepare the dough for the bread, dissolve the instant yeast in lukewarm water. In a mixing bowl, combine the dissolved yeast along with flour, milk powder, mashed potato and honey.Knead everything together to get a smooth dough by hand or using a stand mixer.Sprinkle the salt, olive oil and continue to knead. If you are using a stand mixer continue for about 7-10 minutes in low speed.Place the dough in a lightly greased bowl. Cling wrap the bowl and allow the dough to rise at room temperature till it is nearly doubled in size, around 1 hour. Lightly grease a 12-inch round cake pan.Once the dough has doubled in volume, transfer the dough to a lightly greased platform and gently deflate the dough. Roll out the dough into a large rectangular shaped sheet.Spread the fennel pesto over the rolled out dough sheet. Now start rolling the dough sheet from one side to form a cylindrical shaped swiss roll like shape.  Place the rolls in the round cake pan, spacing them evenly with some gap allowing room for the dough to rise. Cover the pan with Next cut even size circles from the round cylindrical roll. Arrange the rolls in the greased round cake pan, spacing them evenly with some gap in between allowing room for the dough to rise.Cover the pan with a lightly greased plastic wrap, and allow the rolls to rise till they are double in size. This process will take near about 1 hour. While the rolls are rising, preheat the oven to 190°C.The rolls are ready to be baked. Give it an egg wash or milk wash and sprinkle sesame seeds.Bake the rolls until they’re a deep golden brown on top, and lighter on the sides, about 25 to 35 minutes.Remove the rolls from the oven, brush with olive oil and carefully transfer to wire rack. Brush with more pesto sauce just before serving.Serve Fennel Pesto Pull-Apart Bread warm for a dinner with Tomato Corn Au Gratin.
</t>
  </si>
  <si>
    <t>Para empezar a hacer pan desmenuzado con pesto de hinojo, primero haga pesto de hinojo, tueste los piñones en una sartén a fuego lento hasta que aparezcan manchas marrones en ellos. Tueste las hojas de hinojo picadas y el ajo durante un minuto más o menos. Transfiera todos los ingredientes a una batidora junto con el aceite de oliva, el queso, la sal, la pimienta, la ralladura, el jugo de limón y muela hasta obtener una pasta suave. Transfiera a un tazón o guarde hasta 2 semanas en el refrigerador. Para preparar la masa para el pan, disuelva la levadura instantánea en agua tibia. En un tazón, combine la levadura disuelta junto con la harina, la leche en polvo, el puré de papas y la miel. Amase todo junto para obtener una masa suave a mano o usando una batidora de pie. Espolvoree la sal, el aceite de oliva y continúe amasando. Si está usando una batidora de pie, continúe durante unos 7-10 minutos a baja velocidad. Coloque la masa en un tazón ligeramente engrasado. Envuelva el tazón con film transparente y deje que la masa suba a temperatura ambiente hasta que casi doble su tamaño, alrededor de 1 hora. Engrase ligeramente un molde para pastel redondo de 12 pulgadas. Una vez que la masa haya duplicado su volumen, transfiera la masa a una plataforma ligeramente engrasada y desinfle suavemente la masa. Extienda la masa en una lámina rectangular grande. Extienda el pesto de hinojo sobre la lámina de masa estirada. Ahora comience a enrollar la lámina de masa desde un lado para formar un cilindro similar a un rollo suizo. Coloque los rollos en el molde para pastel redondo, espaciándolos uniformemente con un poco de espacio para que la masa suba. Cubra el molde con A continuación, corte círculos de tamaño uniforme del rollo cilíndrico redondo. Coloque los rollos en el molde para pastel redondo engrasado, espaciándolos uniformemente con un poco de espacio entre ellos para que la masa suba. Cubra el molde con una envoltura de plástico ligeramente engrasada y deje que los rollos suban hasta que doblen su tamaño. Este proceso tomará aproximadamente 1 hora. Mientras los panecillos suben, precalienta el horno a 190 °C. Los panecillos están listos para hornear. Báñalos con huevo o leche y espolvorea semillas de sésamo. Hornea los panecillos hasta que estén bien dorados por encima y más claros por los lados, aproximadamente de 25 a 35 minutos. Retira los panecillos del horno, úntalos con aceite de oliva y pásalos con cuidado a una rejilla. Unta con más salsa pesto justo antes de servir. Sirve el pan desmenuzado con pesto de hinojo caliente para una cena con tomate y maíz gratinado.</t>
  </si>
  <si>
    <t>Pour commencer à préparer du pain à déchirer au pesto de fenouil, préparez d'abord le pesto de fenouil, faites griller à sec les pignons de pin dans une poêle à feu doux jusqu'à ce que des taches brunes apparaissent dessus. Faites griller les feuilles de fenouil hachées et l'ail pendant environ une minute. Transférez tous les ingrédients dans un mixeur avec l'huile d'olive, le fromage, le sel, le poivre, le zeste, le jus de citron et broyez jusqu'à obtenir une pâte lisse. Transférez dans un bol ou conservez jusqu'à 2 semaines au réfrigérateur. Pour préparer la pâte à pain, dissolvez la levure instantanée dans de l'eau tiède. Dans un saladier, mélangez la levure dissoute avec la farine, le lait en poudre, la purée de pommes de terre et le miel. Pétrissez le tout pour obtenir une pâte lisse à la main ou à l'aide d'un batteur sur socle. Saupoudrez de sel, d'huile d'olive et continuez à pétrir. Si vous utilisez un batteur sur socle, continuez pendant environ 7 à 10 minutes à basse vitesse. Placez la pâte dans un bol légèrement graissé. Filmez le bol et laissez la pâte lever à température ambiante jusqu'à ce qu'elle ait presque doublé de volume, environ 1 heure. Graisser légèrement un moule à gâteau rond de 12 pouces. Une fois que la pâte a doublé de volume, transférer la pâte sur une plate-forme légèrement graissée et dégonfler doucement la pâte. Abaisser la pâte en une grande feuille de forme rectangulaire. Étaler le pesto de fenouil sur la feuille de pâte étalée. Maintenant, commencez à rouler la feuille de pâte d'un côté pour former une forme cylindrique de rouleau suisse. Placer les rouleaux dans le moule à gâteau rond, en les espaçant uniformément avec un peu d'espace pour permettre à la pâte de lever. Couvrir le moule avec Ensuite, couper des cercles de taille égale dans le rouleau cylindrique rond. Disposer les rouleaux dans le moule à gâteau rond graissé, en les espaçant uniformément avec un peu d'espace pour permettre à la pâte de lever. Couvrir le moule d'une pellicule plastique légèrement graissée et laisser lever les rouleaux jusqu'à ce qu'ils doublent de volume. Ce processus prendra environ 1 heure. Pendant que les rouleaux lèvent, préchauffer le four à 190 °C. Les rouleaux sont prêts à être cuits. Badigeonnez-les d'un œuf ou d'un lait et saupoudrez de graines de sésame. Faites cuire les petits pains jusqu'à ce qu'ils soient bien dorés sur le dessus et plus clairs sur les côtés, environ 25 à 35 minutes. Retirez les petits pains du four, badigeonnez-les d'huile d'olive et transférez-les délicatement sur une grille. Badigeonnez-les de pesto juste avant de servir. Servez le pain à effilocher au pesto de fenouil chaud pour un dîner accompagné d'un gratin de tomates et de maïs.</t>
  </si>
  <si>
    <t>https://www.archanaskitchen.com/fennel-pesto-pull-apart-bread-recipe</t>
  </si>
  <si>
    <t>Masala Omelette Sliders Recipe - High Protein Breakfast</t>
  </si>
  <si>
    <t>Rezept für Masala-Omelett-Slider – Proteinreiches Frühstück</t>
  </si>
  <si>
    <t>Recette de mini-omelettes Masala – Petit-déjeuner riche en protéines</t>
  </si>
  <si>
    <t>Receta de mini tortilla masala: desayuno rico en proteínas</t>
  </si>
  <si>
    <t>2 œufs entiers, 1 oignon finement haché, 1 tomate finement hachée, 2 cuillères à soupe de fromage râpé, 2 piments verts finement hachés, feuilles de coriandre (Dhania) - un petit bouquet finement haché, sel - au goût, 1 cuillère à café d'huile de tournesol, 2 pains Pav, 2 cuillères à café de chutney vert (coriandre et menthe), 2 cuillères à café de ketchup, 2 cuillères à café de beurre</t>
  </si>
  <si>
    <t>2 Whole Eggs,1 Onion - finely chopped,1 Tomato - finely chopped,2 tablespoons Cheese - grated,2 Green Chillies - finely chopped,Coriander (Dhania) Leaves - a small bunch finely chopped,Salt - to taste,1 teaspoon Sunflower Oil,2 Pav buns,2 teaspoons Green Chutney (Coriander &amp; Mint),2 teaspoon Tomato Ketchup,2 teaspoons Butter</t>
  </si>
  <si>
    <t>2 huevos enteros, 1 cebolla finamente picada, 1 tomate finamente picado, 2 cucharadas de queso rallado, 2 chiles verdes finamente picados, hojas de cilantro (Dhania) - un pequeño manojo finamente picado, sal - al gusto, 1 cucharadita de aceite de girasol, 2 panecillos Pav, 2 cucharaditas de chutney verde (cilantro y menta), 2 cucharaditas de ketchup de tomate, 2 cucharaditas de mantequilla</t>
  </si>
  <si>
    <t xml:space="preserve">To begin making the Masala Omelette Sliders Recipe, we will first make the omelette recipe.In a small bowl, chopped tomatoes, onions, green chillies, coriander leaves and grated cheese. Keep this aside.In a mixing bowl, break one egg and add half the chopped tomatoes, onions mixture. Add little salt and mix all the ingredients well to make the omelette mixture.Heat oil in an omelette pan with little oil on medium heat. Once the pan in hot, reduce the flame to low and add the Omelette mixture to the pan. Make sure the Omelette mixture is equally spread across the pan.Cover the pan with the lid, so that the omelette gets cooked a little faster.Remove the lid and check if the omelette has cooked. You can either flip the omelette to cook on the other side or fold the omelette in half and cover the pan again so that the cheese melts inside the omelette and all ingredients get cooked thoroughlyKeep the lid on for 30 seconds to minute and then turn off the flame.Make the other omelette the similar way.To assemble Masala omelette sliders, slit the Pav bread halfway horizontally.  Apply butter on both sides and toast the pavs, face down on a hot griddle on medium flame. Allow them to get golden brown and crisp.Once they get golden brown and crisp, turn off the heat and place them on a serving platter.Turn off the flame. Place the open pavs on a flat surface, apply green chutney on one side and tomato ketchup on the other.Fold the omelette first into half and then into quarter and finally place this omelette on one half of the pav and close with the other.Serve Masala Omelette Sliders Recipe along with Fresh Fruit Bowl Recipe and Hot Coffee Latte Recipe for breakfast or an evening snack.
</t>
  </si>
  <si>
    <t>Para comenzar a hacer la Receta de Mini Hamburguesas de Tortilla Masala, primero haremos la receta de la tortilla. En un tazón pequeño, tomates picados, cebollas, chiles verdes, hojas de cilantro y queso rallado. Mantén esto a un lado. En un tazón, rompe un huevo y agrega la mitad de los tomates picados, la mezcla de cebollas. Agrega un poco de sal y mezcla bien todos los ingredientes para hacer la mezcla de tortilla. Calienta el aceite en una sartén para tortilla con un poco de aceite a fuego medio. Una vez que la sartén esté caliente, reduce el fuego a bajo y agrega la mezcla de tortilla a la sartén. Asegúrate de que la mezcla de tortilla esté distribuida uniformemente en la sartén. Cubre la sartén con la tapa, para que la tortilla se cocine un poco más rápido. Retira la tapa y verifica si la tortilla se ha cocinado. Puedes voltear la tortilla para cocinarla por el otro lado o doblarla por la mitad y volver a tapar la sartén para que el queso se derrita dentro de la tortilla y todos los ingredientes se cocinen bien. Mantén la tapa puesta durante 30 segundos o un minuto y luego apaga el fuego. Prepara la otra tortilla de forma similar. Para armar las hamburguesas de tortilla Masala, corta el pan Pav por la mitad horizontalmente. Unta mantequilla por ambos lados y tuesta los pavs, boca abajo, sobre una plancha caliente a fuego medio. Deja que se doren y queden crujientes. Una vez que estén dorados y crujientes, apaga el fuego y colócalos en una fuente para servir. Apaga el fuego. Coloque los pavs abiertos sobre una superficie plana, unte chutney verde en un lado y kétchup de tomate en el otro. Doble la tortilla primero por la mitad y luego en un cuarto y finalmente coloque esta tortilla en una mitad del pav y cierre con la otra. Sirva la Receta de Mini Tortillas Masala junto con la Receta de Tazón de Frutas Frescas y la Receta de Café con Leche Caliente para el desayuno o una merienda.</t>
  </si>
  <si>
    <t>Pour commencer à préparer la recette des mini-omelettes Masala, nous allons d'abord préparer la recette d'omelette. Dans un petit bol, des tomates hachées, des oignons, des piments verts, des feuilles de coriandre et du fromage râpé. Gardez cela de côté. Dans un saladier, cassez un œuf et ajoutez la moitié du mélange de tomates hachées et d'oignons. Ajoutez un peu de sel et mélangez bien tous les ingrédients pour préparer le mélange d'omelette. Faites chauffer l'huile dans une poêle à omelette avec un peu d'huile à feu moyen. Une fois la poêle chaude, réduisez le feu à doux et ajoutez le mélange d'omelette dans la poêle. Assurez-vous que le mélange d'omelette est uniformément réparti dans la poêle. Couvrez la poêle avec le couvercle pour que l'omelette cuise un peu plus vite. Retirez le couvercle et vérifiez si l'omelette est cuite. Vous pouvez soit retourner l'omelette pour la cuire de l'autre côté, soit plier l'omelette en deux et recouvrir la poêle pour que le fromage fonde à l'intérieur de l'omelette et que tous les ingrédients soient bien cuits. Laissez le couvercle pendant 30 secondes à une minute, puis éteignez le feu. Préparez l'autre omelette de la même manière. Pour assembler les mini-omelettes Masala, coupez le pain Pav à moitié horizontalement. Appliquez du beurre des deux côtés et faites griller les pavés, face vers le bas, sur une plaque chauffante chaude à feu moyen. Laissez-les devenir dorés et croustillants. Une fois qu'ils sont dorés et croustillants, éteignez le feu et placez-les sur un plat de service. Éteignez le feu. Placez les pavés ouverts sur une surface plane, appliquez du chutney vert d'un côté et du ketchup de l'autre. Pliez l'omelette d'abord en deux, puis en quatre, puis placez cette omelette sur une moitié du pavé et fermez avec l'autre. Servez la recette des mini-omelettes Masala avec la recette du bol de fruits frais et la recette du café latte chaud pour le petit-déjeuner ou une collation en soirée.</t>
  </si>
  <si>
    <t>http://www.archanaskitchen.com/masala-omelette-sliders-recipe-high-protein-breakfast</t>
  </si>
  <si>
    <t>Beet Latte Recipe</t>
  </si>
  <si>
    <t>Rote-Bete-Latte-Rezept</t>
  </si>
  <si>
    <t>Recette de latte à la betterave</t>
  </si>
  <si>
    <t>Receta de café con leche de remolacha</t>
  </si>
  <si>
    <t>1 tasse de lait d'amande (lait de Badam) - chaud et mousseux, 1 cuillère à soupe de lait de coco, 1/4 cuillère à café de cannelle en poudre (Dalchini), 1/2 cuillère à café d'extrait de vanille, 1/2 cuillère à soupe de cacao en poudre, 1 cuillère à soupe de jus de betterave - fraîchement extrait, sucre de coco - selon votre goût</t>
  </si>
  <si>
    <t>1 cup Almond Milk (Badam Milk) - hot and frothed,1 tablespoon Coconut milk,1/4 teaspoon Cinnamon Powder (Dalchini),1/2 teaspoon Vanilla Extract,1/2 tablespoon Cocoa Powder,1 tablespoon Beetroot juice - freshly extracted,Coconut Sugar - as per taste</t>
  </si>
  <si>
    <t>1 taza de leche de almendras (leche de almendras) - caliente y espumosa, 1 cucharada de leche de coco, 1/4 cucharadita de canela en polvo (dalchini), 1/2 cucharadita de extracto de vainilla, 1/2 cucharada de cacao en polvo, 1 cucharada de jugo de remolacha - recién extraído, azúcar de coco - al gusto</t>
  </si>
  <si>
    <t xml:space="preserve">To begin making the Beet Latte, in a mug add beet juice, cinnamon powder, vanilla extract, coconut milk, coconut sugar and cocoa powder.Give a good whisk to this mixture and make sure that lumps are not formed. Now gradually add the hot almond milk and keep stirring. Pour into the a serving mug or glass and serve hot. Serve it with chocolate buckwheat pancakes for breakfast or during tea time. 
</t>
  </si>
  <si>
    <t>Para empezar a preparar el Latte de Remolacha, añade en una taza jugo de remolacha, canela en polvo, extracto de vainilla, leche de coco, azúcar de coco y cacao en polvo. Bate bien la mezcla para evitar grumos. Añade poco a poco la leche de almendras caliente y sigue removiendo. Vierte la mezcla en una taza o vaso y sirve caliente. Sírvelo con tortitas de trigo sarraceno y chocolate para desayunar o para la merienda.</t>
  </si>
  <si>
    <t>Pour préparer le Beet Latte, versez dans une tasse le jus de betterave, la cannelle en poudre, l'extrait de vanille, le lait de coco, le sucre de coco et le cacao en poudre. Fouettez bien le mélange et veillez à ce qu'il ne forme pas de grumeaux. Ajoutez ensuite progressivement le lait d'amande chaud et continuez de remuer. Versez dans une tasse ou un verre et servez chaud. Accompagnez de galettes de sarrasin au chocolat au petit-déjeuner ou à l'heure du thé.</t>
  </si>
  <si>
    <t>https://www.archanaskitchen.com/beet-latte-recipes</t>
  </si>
  <si>
    <t>Chocolate Buckwheat Pancake Skewers Recipe</t>
  </si>
  <si>
    <t>Rezept für Schokoladen-Buchweizen-Pfannkuchenspieße</t>
  </si>
  <si>
    <t>Recette de brochettes de galettes de sarrasin au chocolat</t>
  </si>
  <si>
    <t>Receta de brochetas de panqueques de trigo sarraceno con chocolate</t>
  </si>
  <si>
    <t>1 tasse de farine de sarrasin (Kuttu Ka Atta), 1 tasse de lait d'amande (Badam Milk) - + 2 cuillères à soupe, 1 cuillère à café de levure chimique, 1/4 tasse de bananes mûres - écrasées, 1 cuillère à soupe de poudre de cacao, 1/4 tasse de sucre de coco - ou sucre brut/jagré en poudre, 1 cuillère à café d'extrait de vanille, huile de coco - vierge selon les besoins, 1/4 tasse de poudre de cacao, 1/4 tasse d'huile de coco - vierge fondue (pressée à froid), 1 cuillère à soupe de sirop d'érable - ou de miel, fruits mélangés - (tranches de kiwi</t>
  </si>
  <si>
    <t>1 cup Buckwheat Flour (Kuttu Ka Atta),1 cup Almond Milk (Badam Milk) - + 2 tablespoons,1 teaspoon Baking powder,1/4 cup Ripe Bananas - mashed,1 tablespoon Cocoa Powder,1/4 cup Coconut Sugar - or raw sugar/powdered jaggery,1 teaspoon Vanilla Extract,Coconut Oil - Virgin as needed.,1/4 cup Cocoa Powder,1/4 cup Coconut Oil - melted virgin (cold pressed),1 tablespoon Maple syrup - or honey,Mixed fruits - (kiwi slices</t>
  </si>
  <si>
    <t>1 taza de harina de trigo sarraceno (Kuttu Ka Atta), 1 taza de leche de almendras (leche Badam) - + 2 cucharadas, 1 cucharadita de polvo para hornear, 1/4 taza de plátanos maduros - machacados, 1 cucharada de cacao en polvo, 1/4 taza de azúcar de coco - o azúcar sin refinar / azúcar moreno en polvo, 1 cucharadita de extracto de vainilla, aceite de coco - virgen según sea necesario, 1/4 taza de cacao en polvo, 1/4 taza de aceite de coco - virgen derretido (prensado en frío), 1 cucharada de jarabe de arce - o miel, frutas mixtas - (rodajas de kiwi</t>
  </si>
  <si>
    <t xml:space="preserve">To begin making the Chocolate Buckwheat Pancake Skewers, firstly we will prepare the pancakes. In a bowl, combine mashed banana, milk and vanilla extract.In another bowl combine all the dry ingredients and mix well. Add the dry ingredients into the wet mixture and mix everything well.Now heat the griddle and make pancakes by using about 1 tablespoon of batter for each pancake using coconut oil. Cover and cook the pancake for about 20-30 seconds on moderate heat and flip and cook for few more seconds. Set aside and let it cool.The next step is to make the raw chocolate drizzle. Measure and mix the coconut oil, raw cocoa and maple syrup together, make sure its lump free. Set it aside.Next, to make the skewers just slowly thread the pancakes and fruit as you like. Drizzle the chocolate all over the pancakes and fruit.Serve Chocolate Buckwheat Pancake Skewers as breakfast along with Cold Coffee Smoothie or during your fasting days.
</t>
  </si>
  <si>
    <t>Para empezar a hacer las brochetas de chocolate y trigo sarraceno, primero prepararemos los panqueques. En un tazón, combine el plátano machacado, la leche y el extracto de vainilla. En otro tazón, combine todos los ingredientes secos y mezcle bien. Agregue los ingredientes secos a la mezcla húmeda y mezcle todo bien. Ahora caliente la plancha y haga panqueques usando aproximadamente 1 cucharada de masa para cada panqueque con aceite de coco. Tape y cocine el panqueque durante unos 20-30 segundos a fuego moderado y voltee y cocine por unos segundos más. Reserve y deje enfriar. El siguiente paso es hacer la llovizna de chocolate crudo. Mida y mezcle el aceite de coco, el cacao crudo y el jarabe de arce juntos, asegúrese de que no haya grumos. Reserve. Luego, para hacer las brochetas, simplemente ensarte lentamente los panqueques y la fruta como desee. Rocíe el chocolate por encima de los panqueques y la fruta. Sirva las brochetas de chocolate y trigo sarraceno como desayuno junto con un batido de café frío o durante sus días de ayuno.</t>
  </si>
  <si>
    <t>Pour préparer les brochettes de crêpes au chocolat et au sarrasin, commencez par les préparer. Dans un bol, mélangez la banane écrasée, le lait et l'extrait de vanille. Dans un autre bol, mélangez tous les ingrédients secs. Ajoutez les ingrédients secs au mélange humide et mélangez bien. Faites chauffer la plaque de cuisson et préparez les crêpes en utilisant environ 1 cuillère à soupe de pâte pour chaque crêpe avec de l'huile de coco. Couvrez et faites cuire la crêpe pendant 20 à 30 secondes à feu moyen, puis retournez-la et laissez cuire quelques secondes supplémentaires. Réservez et laissez refroidir. L'étape suivante consiste à préparer le filet de chocolat cru. Mesurez et mélangez l'huile de coco, le cacao cru et le sirop d'érable, en veillant à ce qu'il ne reste pas de grumeaux. Réservez. Ensuite, pour confectionner les brochettes, enfilez lentement les crêpes et les fruits selon votre goût. Nappez de chocolat le tout. Servez les brochettes de crêpes au chocolat et au sarrasin au petit-déjeuner, accompagnées d'un smoothie au café froid, ou pendant vos jours de jeûne.</t>
  </si>
  <si>
    <t>http://www.archanaskitchen.com/chocolate-buckwheat-pancake-skewers-recipe</t>
  </si>
  <si>
    <t>Grilled Eggplant Roll Recipe With Spicy Herbed Carrots</t>
  </si>
  <si>
    <t>Rezept für gegrillte Auberginenrollen mit würzigen Kräuterkarotten</t>
  </si>
  <si>
    <t>Recette de rouleaux d'aubergines grillées aux carottes aux herbes épicées</t>
  </si>
  <si>
    <t>Rollitos de berenjena a la parrilla con hierbas picantes</t>
  </si>
  <si>
    <t>2 aubergines (Baingan / aubergines) - tranchées dans le sens de la longueur de 1/4 pouce d'épaisseur, 4 carottes (Gajjar) - coupées en julienne, 1/4 tasse de pesto au basilic maison - (vous pouvez également utiliser du pesto au basilic), feuilles de persil - un petit bouquet, 1/2 tasse de parmesan - ou plus, sel et poivre - (poivre noir fraîchement moulu), huile d'olive extra vierge - pour la cuisson, tzatziki - pour servir</t>
  </si>
  <si>
    <t>2 Brinjal (Baingan / Eggplant) - sliced lengthwise of 1/4 inch thickness,4 Carrots (Gajjar) - julienned,1/4 cup Homemade Basil Pesto - (you can also use basil pesto),Parsley leaves - a small bunch,1/2 cup Parmesan cheese - or more,Salt and Pepper - (freshly ground black pepper),Extra Virgin Olive Oil - for cooking,Tzatziki - to serve</t>
  </si>
  <si>
    <t>2 berenjenas (Baingan / berenjenas) cortadas a lo largo de 1/4 de pulgada de grosor, 4 zanahorias (Gajjar) cortadas en juliana, 1/4 taza de pesto de albahaca casero (también puedes usar pesto de albahaca), hojas de perejil (un pequeño manojo), 1/2 taza de queso parmesano (o más), sal y pimienta (pimienta negra recién molida), aceite de oliva virgen extra (para cocinar), tzatziki (para servir)</t>
  </si>
  <si>
    <t xml:space="preserve">To begin making the Roasted Eggplant Rolls Recipe we will first have to roast the eggplants. I personally like to roast it on the pan, but you can roast them in the oven too.First, slice the eggplant lengthwise into 1/4-inch thick slices, sprinkle some salt and drizzle some olive oil over the eggplants and toss them well until well coated. Roasting Eggplants in the Oven - Preheat oven to 180 CArrange the eggplants on a baking tray and loosely cover the tray with foil and roast the eggplants in the preheated oven roast until they are soft and pliable, about 15 to 20 minutes, turning them half way through while it is roasting. Roasting Eggplants on a SkilletPreheat a skillet on medium heat; place the eggplant slices on the skillet and roast them until soft and cooked on both sides. Proceed the same way to roast the remaining eggplants.Now, we will use only the eggplant that have the largest rounds, as we will be able to stuff and roll only the larger rounds. The smaller rounds you can chop them fine and use them as you wish.For the StuffingHeat a tablespoon of oil in wok and stir fry the carrots for a couple of minutes until al dente (not too soft - not too firm). Turn off the heat; sprinkle some salt and chopped parsley leaves and stir well.Place the grilled eggplants on a flat surface, arrange the roasted carrots, a teaspoon of pesto at end of each grilled eggplant slice. Roll the eggplant slices around to enclose the filling and arrange on the platter with the seam side down.When you are ready to serve, sprinkle more cheese on top of the eggplants that you have arrange in a baking dish and broil in the oven until the cheese melts.Serve the Grilled Eggplant Roll with Spicy Herbed Carrots with Tzatziki - Greek Yogurt Dip and a good red wine for parties.Serve the Grilled Eggplant Roll with Spicy Herbed Carrots as a healthy appetizer for your parties, may be along with Sichuan Style Chilli Potato Recipe or Stir Fried Honey Parsnip Recipe With Herbs.
</t>
  </si>
  <si>
    <t>Para comenzar a hacer la Receta de Rollitos de Berenjena Asados ​​primero tendremos que asar las berenjenas. Personalmente, me gusta asarlos en la sartén, pero también puedes asarlos en el horno. Primero, corta la berenjena a lo largo en rodajas de 1/4 de pulgada de grosor, espolvorea un poco de sal y rocía un poco de aceite de oliva sobre las berenjenas y revuélvelas bien hasta que estén bien cubiertas. Asar Berenjenas en el Horno - Precalienta el horno a 180 CAcomoda las berenjenas en una bandeja para hornear y cubre la bandeja sin apretar con papel de aluminio y asa las berenjenas en el horno precalentado hasta que estén suaves y flexibles, aproximadamente de 15 a 20 minutos, dándoles la vuelta a la mitad mientras se asan. Asar Berenjenas en una SarténPrecalienta una sartén a fuego medio; coloca las rodajas de berenjena en la sartén y ásalas hasta que estén suaves y cocidas por ambos lados. Proceda de la misma manera para asar las berenjenas restantes. Ahora, usaremos solo las berenjenas con los círculos más grandes, ya que solo podremos rellenarlos y enrollarlos. Los círculos más pequeños se pueden picar finamente y usar como se desee. Para el relleno: Caliente una cucharada de aceite en un wok y saltee las zanahorias durante un par de minutos hasta que estén al dente (ni muy blandas ni muy firmes). Apague el fuego; espolvoree con sal y perejil picado y remueva bien. Coloque las berenjenas asadas sobre una superficie plana, disponga las zanahorias asadas y una cucharadita de pesto al final de cada rodaja. Enrolle las rodajas de berenjena para envolver el relleno y colóquelas en una fuente con la costura hacia abajo. Cuando esté listo para servir, espolvoree más queso sobre las berenjenas que ha dispuesto en una fuente para horno y áselas en el horno hasta que el queso se derrita. Sirva el rollo de berenjena a la parrilla con zanahorias picantes con hierbas con tzatziki (dip de yogur griego) y un buen vino tinto para fiestas. Sirva el rollo de berenjena a la parrilla con zanahorias picantes con hierbas como un aperitivo saludable para sus fiestas, puede acompañarlo con la receta de papas al chili al estilo Sichuan o la receta de chirivía salteada con miel y hierbas.</t>
  </si>
  <si>
    <t>Pour commencer à préparer la recette des rouleaux d'aubergines rôties, nous devrons d'abord rôtir les aubergines. Personnellement, j'aime les rôtir à la poêle, mais vous pouvez aussi les rôtir au four. Tout d'abord, coupez l'aubergine dans le sens de la longueur en tranches de 1/4 de pouce d'épaisseur, saupoudrez de sel et arrosez d'un filet d'huile d'olive sur les aubergines et mélangez-les bien jusqu'à ce qu'elles soient bien enrobées. Rôtir les aubergines au four - Préchauffer le four à 180 C Disposer les aubergines sur une plaque de cuisson et recouvrir légèrement la plaque de papier d'aluminium et rôtir les aubergines dans le four préchauffé jusqu'à ce qu'elles soient tendres et souples, environ 15 à 20 minutes, en les retournant à mi-cuisson pendant la cuisson. Rôtir les aubergines à la poêle Préchauffer une poêle à feu moyen ; placer les tranches d'aubergines sur la poêle et les rôtir jusqu'à ce qu'elles soient tendres et cuites des deux côtés. Procédez de la même manière pour rôtir les aubergines restantes. Nous n'utiliserons que les aubergines les plus rondes, car nous ne pourrons farcir et rouler que les plus grosses. Vous pouvez hacher finement les plus petites et les utiliser comme vous le souhaitez. Pour la farce : Faites chauffer une cuillère à soupe d'huile dans un wok et faites revenir les carottes quelques minutes jusqu'à ce qu'elles soient al dente (ni trop molles, ni trop fermes). Éteignez le feu ; saupoudrez de sel et de persil haché et remuez bien. Disposez les aubergines grillées sur une surface plane, disposez les carottes rôties et une cuillère à café de pesto au bout de chaque tranche d'aubergine grillée. Roulez les tranches d'aubergines pour enfermer la garniture et disposez-les sur le plat, couture vers le bas. Lorsque vous êtes prêt à servir, saupoudrez plus de fromage sur les aubergines que vous avez disposées dans un plat allant au four et faites griller au four jusqu'à ce que le fromage fonde. Servez le rouleau d'aubergines grillées avec des carottes épicées aux herbes avec du tzatziki - trempette au yaourt grec - et un bon vin rouge pour les fêtes. Servez le rouleau d'aubergines grillées avec des carottes épicées aux herbes comme un apéritif sain pour vos fêtes, peut-être avec une recette de pommes de terre au piment à la sichuanaise ou une recette de panais au miel sauté aux herbes.</t>
  </si>
  <si>
    <t>http://www.archanaskitchen.com/grilled-eggplant-roll-recipe-with-spicy-herbed-carrots</t>
  </si>
  <si>
    <t>Summer Fruit Tart Recipe</t>
  </si>
  <si>
    <t>Rezept für Sommerfruchttorte</t>
  </si>
  <si>
    <t>Recette de gâteau aux fruits d'été</t>
  </si>
  <si>
    <t>Receta de pastel de frutas de verano</t>
  </si>
  <si>
    <t>250 grammes de biscuits à l'avoine et au blé entier, 75 grammes de beurre (non salé) - en cubes, 1 litre de crème glacée au caramel écossais - (achetée en magasin), 1/2 tasse de coulis de mangue - ou de coulis de fraises/myrtilles (selon votre goût), 1 mangue (mûre) - tranchée, 8 litchis - peau retirée et épépinée, 2 chikoo (fruit de sapote) - peau pelée, 2 prunes - épépinées et tranchées, 1 tasse de raisins verts sans pépins, 1/4 tasse de sucre glace</t>
  </si>
  <si>
    <t>250 grams Whole Wheat Oatmeal Cookies,75 grams Butter (unsalted) - cubed,1 liter Butterscotch ice cream - (store bought),1/2 cup Mango coulis - or strawberry/blueberry coulis (whichever you like),1 Mango (Ripe) - sliced,8 Lychee - skin removed and deseeded,2 Chikoo (Sapota Fruit) - skin peeled,2 Plums - deseeded and sliced,1 cup Green seedless Grapes,1/4 cup Icing Sugar</t>
  </si>
  <si>
    <t>250 gramos de galletas de avena integral, 75 gramos de mantequilla (sin sal) en cubos, 1 litro de helado de caramelo (comprado en la tienda), 1/2 taza de coulis de mango o coulis de fresa/arándano (el que prefiera), 1 mango (maduro) en rodajas, 8 lichis sin piel ni semillas, 2 chikoo (fruta de zapote) sin piel, 2 ciruelas sin semillas y en rodajas, 1 taza de uvas verdes sin semillas, 1/4 taza de azúcar glas</t>
  </si>
  <si>
    <t xml:space="preserve">To begin making the Summer Fruit Tart Recipe first, we have to make the tart base.You can click to our Tart Recipe, which will take you through the tart making process.  As your tart is done baking, freeze them for about 30 minutes or more and then take them out. When frozen pour the softened ice cream onto the prepared tart case. Transfer to the freezer. Freeze for at least 4 hours, preferably overnight.Remove from freezer 10 minutes before serving.Drizzle the tart with mango coulis  and top it up with your fruits or seasonal fruits of your choice. Dust Summer fruit tart with icing sugar and serve.Serve the Summer Fruit tart with some Chocolate Sauce and Caramel Sauce on the top and enjoy with your loved ones as a Tea Party dessert.
</t>
  </si>
  <si>
    <t>Para empezar a preparar la receta de tarta de frutas de verano, primero tenemos que hacer la base. Puedes hacer clic en nuestra receta de tarta, que te guiará en el proceso de elaboración. Una vez horneada la tarta, congélala durante unos 30 minutos o más y luego sácala. Una vez congelada, vierte el helado ablandado sobre la base preparada. Transfiere al congelador. Congela durante al menos 4 horas, preferiblemente toda la noche. Retira del congelador 10 minutos antes de servir. Rocía la tarta con coulis de mango y cúbrela con tus frutas o frutas de temporada de tu elección. Espolvorea la tarta de frutas de verano con azúcar glas y sirve. Sirve la tarta de frutas de verano con un poco de salsa de chocolate y salsa de caramelo por encima y disfrútala con tus seres queridos como postre para una fiesta de té.</t>
  </si>
  <si>
    <t>Pour commencer à préparer la recette de tarte aux fruits d'été, nous devons d'abord préparer le fond de tarte. Vous pouvez cliquer sur notre recette de tarte, qui vous guidera tout au long du processus de fabrication de la tarte. Une fois votre tarte cuite, congelez-la pendant environ 30 minutes ou plus, puis sortez-la. Une fois congelée, versez la glace ramollie sur le fond de tarte préparé. Transférez au congélateur. Congelez pendant au moins 4 heures, de préférence toute la nuit. Sortez du congélateur 10 minutes avant de servir. Arrosez la tarte de coulis de mangue et garnissez-la de vos fruits ou de fruits de saison de votre choix. Saupoudrez la tarte aux fruits d'été de sucre glace et servez. Servez la tarte aux fruits d'été nappée de sauce au chocolat et de sauce au caramel et dégustez-la avec vos proches comme dessert pour le goûter.</t>
  </si>
  <si>
    <t>http://www.archanaskitchen.com/summer-fruit-tart-recipe</t>
  </si>
  <si>
    <t>Stuffed Pita Recipe With Tandoori Mayo Chickpeas, Pickled Onions and Vegetables</t>
  </si>
  <si>
    <t>Gefülltes Pita-Rezept mit Tandoori-Mayo, Kichererbsen, eingelegten Zwiebeln und Gemüse</t>
  </si>
  <si>
    <t>Recette de pita farcie avec mayonnaise tandoori, pois chiches, oignons marinés et légumes</t>
  </si>
  <si>
    <t>Receta de pita rellena con mayonesa tandoori, garbanzos, cebollas encurtidas y verduras</t>
  </si>
  <si>
    <t>4 gousses d'ail finement hachées, 1 tasse de Kabuli Chana (pois chiches blancs) cuits, 2 brins de persil finement hachés, 1 cuillère à café de poudre de piment rouge, 1/2 tasse de mayonnaise Tandoori Del Monte, 1 poivron rouge finement tranché, 1 poivron vert finement tranché, 1 oignon finement tranché, 4 mini pains pita, 2 oignons finement tranchés, 1 cuillère à café de vinaigre, sel au goût, poudre de poivre noir au goût, 1 tasse de laitue iceberg râpée, 4 brins de persil finement hachés, huile d'olive extra vierge au besoin, beurre au besoin pour griller le pita</t>
  </si>
  <si>
    <t>4 cloves Garlic - finely chopped,1 cup Kabuli Chana (White Chickpeas) - cooked,2 sprig Parsley leaves - finely chopped,1 teaspoon Red Chilli powder,1/2 cup Del Monte Tandoori Mayo,1 Red Bell pepper (Capsicum) - thinly sliced,1 Green Bell Pepper (Capsicum) - thinly sliced,1 Onion - thinly sliced,4 Mini Pita Breads,2 Onions - thinly sliced,1 teaspoon Vinegar,Salt - to taste,Black pepper powder - to taste,1 cup Iceberg lettuce - shredded,4 sprig Parsley leaves - finely chopped,Extra Virgin Olive Oil - as required,Butter - as required for toasting pita</t>
  </si>
  <si>
    <t>4 dientes de ajo - finamente picados, 1 taza de Kabuli Chana (garbanzos blancos) - cocidos, 2 ramitas de hojas de perejil - finamente picadas, 1 cucharadita de chile rojo en polvo, 1/2 taza de mayonesa Tandoori Del Monte, 1 pimiento rojo (Capsicum) - finamente rebanado, 1 pimiento verde (Capsicum) - finamente rebanado, 1 cebolla - finamente rebanada, 4 mini panes de pita, 2 cebollas - finamente rebanadas, 1 cucharadita de vinagre, sal - al gusto, pimienta negra en polvo - al gusto, 1 taza de lechuga iceberg - rallada, 4 ramitas de hojas de perejil - finamente picadas, aceite de oliva virgen extra - al gusto, mantequilla - al gusto para tostar pita</t>
  </si>
  <si>
    <t xml:space="preserve">To begin making the Stuffed Pita Recipe with Tandoori Mayo Chickpeas, Pickled Onions and Vegetables, first get all the ingredients prepped and ready. Soak and cook the chickpeas until soft. Add chickpeas in a pressure cooker with required amount of water and close the lid. Let it cook till the cooker releases 7 to 8 whistles or cook for abut 30 minutes. Let the pressure release on its own. Open the cooker and take out the chickpeas in a bowl. Keep it aside.In a small mixing bowl, add the sliced onions, vinegar and salt. Allow it to marinate for at least 15 minutes to get the pickled taste.Shred the lettuce leaves and keep aside.Heat a teaspoon of olive oil in pan; add the garlic, chickpeas, parsley and red chili powder. Toss in the Tandoori Mayo and allow the chickpeas to simmer in the mayo for a few minutes. Turn off the heat.Check the salt and flavors and add more mayo if required. Adjust the salt to taste and add chili powder if required to add to the punch. Stir in the parsley leaves and keep aside.Heat a skillet on medium heat; butter the pita breads from the outside and toast them until golden on the pan. Turn off heat and allow it to cool a bit.In the same skillet, add a little oil and roast the capsicum and onions on low heat until soft and lightly caramelized.The final step is to assemble the pita with the spiced Tandoori Mayo chickpeas.Slit open the pita from the top to create a pocket. Place a few lettuce leaves in the bottom, spoon the Tandoori Mayo Chickpeas over the lettuce leaves, drizzle more Tandoori Mayo if you want the pita to be more creamy. Add the pickled onions and cucumber on the top and serve.Serve the Stuffed Pita with Tandoori Mayo Chickpeas, Pickled Onions and Vegetables as a wholesome weeknight dinner or even pack it into your lunch box or a picnic. You can also served it with Masala Chai.
</t>
  </si>
  <si>
    <t>Para comenzar a hacer la Receta de Pita Rellena con Garbanzos en Mayonesa Tandoori, Cebollas en Escabeche y Verduras, primero tenga todos los ingredientes preparados y listos. Remoje y cocine los garbanzos hasta que estén suaves. Agregue los garbanzos en una olla a presión con la cantidad necesaria de agua y cierre la tapa. Deje cocinar hasta que la olla suelte de 7 a 8 silbidos o cocine durante unos 30 minutos. Deje que la presión se libere por sí sola. Abra la olla y saque los garbanzos en un tazón. Manténgalo a un lado. En un tazón pequeño, agregue las cebollas en rodajas, el vinagre y la sal. Deje marinar durante al menos 15 minutos para obtener el sabor encurtido. Triture las hojas de lechuga y reserve. Caliente una cucharadita de aceite de oliva en una sartén; agregue el ajo, los garbanzos, el perejil y el chile rojo en polvo. Agregue la Mayonesa Tandoori y deje que los garbanzos hiervan a fuego lento en la mayonesa durante unos minutos. Apaga el fuego. Comprueba la sal y los sabores y añade más mayonesa si es necesario. Ajusta la sal al gusto y añade chile en polvo si es necesario para darle más sabor. Incorpora las hojas de perejil y reserva. Calienta una sartén a fuego medio; unta con mantequilla los panes pita por fuera y tuéstalos hasta que estén dorados en la sartén. Apaga el fuego y deja que se enfríe un poco. En la misma sartén, añade un poco de aceite y tuesta el pimiento y la cebolla a fuego lento hasta que estén suaves y ligeramente caramelizados. El paso final es montar la pita con los garbanzos especiados con mayonesa tandoori. Abre la pita desde arriba para crear un bolsillo. Coloca unas hojas de lechuga en el fondo, coloca los garbanzos con mayonesa tandoori sobre las hojas de lechuga y rocía con más mayonesa tandoori si quieres que la pita quede más cremosa. Añade las cebollas y el pepino encurtidos por encima y sirve. Sirve el pan pita relleno con mayonesa tandoori, garbanzos, cebollas encurtidas y verduras como una cena saludable entre semana o incluso para llevar en tu lonchera o para un picnic. También puedes acompañarlo con Masala Chai.</t>
  </si>
  <si>
    <t>Pour commencer à préparer la recette de pita farcie avec des pois chiches à la mayonnaise tandoori, des oignons marinés et des légumes, préparez d'abord tous les ingrédients. Faites tremper et cuire les pois chiches jusqu'à ce qu'ils soient tendres. Ajoutez les pois chiches dans un autocuiseur avec la quantité d'eau requise et fermez le couvercle. Laissez cuire jusqu'à ce que l'autocuiseur libère 7 à 8 sifflements ou faites cuire pendant environ 30 minutes. Laissez la pression se relâcher d'elle-même. Ouvrez l'autocuiseur et sortez les pois chiches dans un bol. Réservez-le. Dans un petit bol, ajoutez les oignons émincés, le vinaigre et le sel. Laissez mariner pendant au moins 15 minutes pour obtenir le goût mariné. Râpez les feuilles de laitue et réservez. Faites chauffer une cuillère à café d'huile d'olive dans une poêle ; ajoutez l'ail, les pois chiches, le persil et la poudre de piment rouge. Ajoutez la mayonnaise tandoori et laissez les pois chiches mijoter dans la mayonnaise pendant quelques minutes. Éteignez le feu. Vérifiez le sel et les saveurs et ajoutez plus de mayonnaise si nécessaire. Ajustez le sel au goût et ajoutez de la poudre de chili si nécessaire pour ajouter du punch. Incorporez les feuilles de persil et réservez. Faites chauffer une poêle à feu moyen ; beurrez les pains pita de l'extérieur et faites-les griller jusqu'à ce qu'ils soient dorés dans la poêle. Éteignez le feu et laissez-le refroidir un peu. Dans la même poêle, ajoutez un peu d'huile et faites rôtir le poivron et les oignons à feu doux jusqu'à ce qu'ils soient tendres et légèrement caramélisés. La dernière étape consiste à assembler le pita avec les pois chiches épicés à la mayonnaise Tandoori. Ouvrez le pita par le haut pour créer une poche. Placez quelques feuilles de laitue au fond, déposez les pois chiches à la mayonnaise Tandoori sur les feuilles de laitue, arrosez de plus de mayonnaise Tandoori si vous voulez que le pita soit plus crémeux. Ajoutez les oignons marinés et le concombre sur le dessus et servez. Servez le pita farci avec mayonnaise tandoori, pois chiches, oignons marinés et légumes comme un dîner sain en semaine ou emportez-le dans votre boîte à lunch ou pour un pique-nique. Vous pouvez également le servir avec du masala chai.</t>
  </si>
  <si>
    <t>https://www.archanaskitchen.com/tandoori-mayo-chickpea-stuffed-pita-recipe-with-pickled-onions-and-vegetables</t>
  </si>
  <si>
    <t>Rezept für klare Gemüsesuppe</t>
  </si>
  <si>
    <t>Recette de soupe claire aux légumes</t>
  </si>
  <si>
    <t>Receta de sopa clara de verduras</t>
  </si>
  <si>
    <t>2 bulbes d'oignons nouveaux - finement hachés, 1 carotte (Gajjar) - finement hachée, 4 gousses d'ail - hachées, 1 carotte (Gajjar) - finement hachée, 1 tasse de haricots verts (haricots verts) - finement hachés, 1 tasse de champignons de Paris - finement tranchés, 2 tiges d'oignons nouveaux verts - coupés en bâtonnets de 1 pouce, sel - au goût, 1 cuillère à café de grains de poivre noir entiers - grossièrement écrasés, 4 tasses d'eau, 1/2 citron - jus extrait</t>
  </si>
  <si>
    <t>2 Spring Onion Bulbs - finely chopped,1 Carrot (Gajjar) - finely chopped,4 cloves Garlic - chopped,1 Carrot (Gajjar) - finely chopped,1 cup Green beans (French Beans) - finely chopped,1 cup Button mushrooms - thinly sliced,2 stalk Spring Onion Greens - cut into 1 inch sticks,Salt - to taste,1 teaspoon Whole Black Pepper Corns - coarsely crushed,4 cups Water,1/2 Lemon - juice extracted</t>
  </si>
  <si>
    <t>2 bulbos de cebolleta finamente picados, 1 zanahoria (Gajjar) finamente picada, 4 dientes de ajo picados, 1 zanahoria (Gajjar) finamente picada, 1 taza de judías verdes (judías verdes) finamente picadas, 1 taza de champiñones en rodajas finas, 2 tallos de cebolleta verdes cortados en tiras de 1 pulgada, sal al gusto, 1 cucharadita de granos de pimienta negra enteros, triturados gruesos, 4 tazas de agua, 1/2 limón - jugo extraído</t>
  </si>
  <si>
    <t xml:space="preserve">To begin making the Vegetable Clear Soup Recipe, add a teaspoon of oil in a deep saucepan. Once the oil is slightly hot, add in the spring onion bulbs and saute for a minute. Next, add the chopped garlic and cook till the onions turn soft and transparent.Once the onions are soft, add all chopped carrots and beans. Sprinkle salt and saute for three to four minutes until the vegetables are lightly cooked. Now, add the mushrooms and stir for a minute.After a minute, add 1 teaspoon crushed pepper and add 4 cups of water and the spring onion greens and boil briskly for three to four minutes. Cook till the vegetables are done.Check seasoning of the Vegetable Clear Soup Recipe, adjust according to taste, squeeze juice of half lemon and serve hot.Serve the Vegetable Clear Soup Recipe along with Herb Mushroom Bruschetta and Vegetable Au Gratin with Cauliflower Carrots and Beans for your weeknight dinner.
</t>
  </si>
  <si>
    <t>Para empezar a preparar la Receta de Sopa Clara de Verduras, añade una cucharadita de aceite en una cacerola profunda. Una vez que el aceite esté ligeramente caliente, añade los bulbos de cebolleta y saltea durante un minuto. A continuación, añade el ajo picado y cocina hasta que las cebollas se ablanden y estén transparentes. Una vez que las cebollas estén blandas, añade todas las zanahorias picadas y los frijoles. Espolvorea con sal y saltea de tres a cuatro minutos hasta que las verduras estén ligeramente cocidas. Ahora, añade los champiñones y remueve durante un minuto. Después de un minuto, añade 1 cucharadita de pimienta molida y añade 4 tazas de agua y las hojas de cebolleta y hierve a fuego lento de tres a cuatro minutos. Cocina hasta que las verduras estén hechas. Revisa la sazón de la Receta de Sopa Clara de Verduras, ajusta al gusto, exprime el jugo de medio limón y sirve caliente. Sirve la Receta de Sopa Clara de Verduras junto con la Bruschetta de Champiñones con Hierbas y el Gratén de Verduras con Coliflor, Zanahorias y Frijoles para tu cena entre semana.</t>
  </si>
  <si>
    <t>Pour commencer la recette de soupe claire aux légumes, versez une cuillère à café d'huile dans une casserole profonde. Une fois l'huile légèrement chaude, ajoutez les oignons nouveaux et faites revenir une minute. Ajoutez ensuite l'ail haché et faites cuire jusqu'à ce que les oignons soient tendres et transparents. Une fois les oignons tendres, ajoutez les carottes et les haricots coupés en dés. Salez et faites revenir pendant trois à quatre minutes, jusqu'à ce que les légumes soient légèrement cuits. Ajoutez ensuite les champignons et remuez pendant une minute. Au bout d'une minute, ajoutez 1 cuillère à café de poivre concassé, 4 tasses d'eau et les feuilles d'oignon nouveau, puis laissez mijoter à feu vif pendant trois à quatre minutes. Laissez cuire jusqu'à ce que les légumes soient cuits. Vérifiez l'assaisonnement de la recette de soupe claire aux légumes, ajustez selon votre goût, pressez le jus d'un demi-citron et servez chaud. Servez la recette de soupe claire aux légumes avec une bruschetta aux champignons et aux herbes et un gratin de légumes au chou-fleur, carottes et haricots pour votre dîner de semaine.</t>
  </si>
  <si>
    <t>http://www.archanaskitchen.com/vegetable-clear-soup-recipe</t>
  </si>
  <si>
    <t>Spicy Kiwifruit Salsa &amp; Feta Toasties Recipe</t>
  </si>
  <si>
    <t>Rezept für würzige Kiwisalsa und Feta-Toasties</t>
  </si>
  <si>
    <t>Recette de croquettes de salsa épicée au kiwi et à la feta</t>
  </si>
  <si>
    <t>Receta de croquetas de kiwi picante y salsa feta</t>
  </si>
  <si>
    <t>10 pains complets, 100 grammes de feta, huile d'olive extra vierge ou beurre à griller, 4 kiwis pelés et coupés en quartiers, 1 oignon finement haché, 1 feuille de persil, 1 cuillère à café de Tabasco Original - sauce piquante, 1 cuillère à café de miel, jus de citron - d'un citron, sel - au goût</t>
  </si>
  <si>
    <t>10 Whole Wheat Brown Bread,100 grams Feta Cheese,Extra Virgin Olive Oil - or butter for toasting,4 Kiwi - peeled and quartered,1 Onion - finely chopped,1 Parsley leaves,1 teaspoon Tabasco Original - Hot Sauce,1 teaspoon Honey,Lemon juice - from one lemon,Salt - to taste</t>
  </si>
  <si>
    <t>10 panes integrales, 100 gramos de queso feta, aceite de oliva virgen extra o mantequilla para tostar, 4 kiwis pelados y cortados en cuartos, 1 cebolla finamente picada, 1 hoja de perejil, 1 cucharadita de salsa picante Tabasco Original, 1 cucharadita de miel, jugo de limón de un limón, sal al gusto</t>
  </si>
  <si>
    <t xml:space="preserve">To begin making Spicy Kiwifruit Salsa &amp; Feta Toasties combine all the ingredients for the Kiwifruit Salsa in a large mixing bowl. Check the salt and spice levels and adjust to suit your taste.Refrigerate this filling until the toasties are ready.Toast the bread slices either in an oven or in the bread toaster until golden brown and crisp. Apply some olive oil or butter over the toasts.You can either cut the toasts into rounds using a round cookie cutter or trim the edges and cut them into triangles.Place the toasted bread on the serving platter. Spoon the Spicy Kiwifruit Salsa over the toasted bread. Sprinkle the crumbled feta cheese over the toasties and serve immediately.Serve the Spicy Kiwifruit Salsa &amp; Feta Toasties as an evening snack along with Cold Coffee Smoothie Recipe.
</t>
  </si>
  <si>
    <t>Para empezar a preparar las tostadas de salsa de kiwi picante y queso feta, combina todos los ingredientes en un bol grande. Ajusta la sal y las especias a tu gusto. Refrigera el relleno hasta que las tostadas estén listas. Tuesta las rebanadas de pan en el horno o en la tostadora hasta que estén doradas y crujientes. Unta las tostadas con aceite de oliva o mantequilla. Puedes cortar las tostadas en rodajas con un cortador de galletas redondo o recortar los bordes y cortarlas en triángulos. Coloca el pan tostado en una fuente. Cubre con la salsa de kiwi picante. Espolvorea el queso feta desmenuzado y sirve inmediatamente. Sirve las tostadas de salsa de kiwi picante y queso feta como tentempié por la noche junto con la receta de batido de café frío.</t>
  </si>
  <si>
    <t>Pour préparer les croque-monsieur à la salsa épicée au kiwi et à la feta, mélangez tous les ingrédients dans un grand saladier. Vérifiez la quantité de sel et d'épices et ajustez-la à votre goût. Réfrigérez la garniture jusqu'à ce que les croque-monsieur soient prêts. Faites griller les tranches de pain au four ou au grille-pain jusqu'à ce qu'elles soient dorées et croustillantes. Badigeonnez les croque-monsieur d'un filet d'huile d'olive ou de beurre. Vous pouvez découper les croque-monsieur en rondelles à l'aide d'un emporte-pièce rond ou en couper les bords en triangles. Disposez le pain grillé sur le plat de service. Nappez-le de salsa épicée au kiwi. Parsemez les croque-monsieur de feta émiettée et servez immédiatement. Servez les croque-monsieur à la salsa épicée au kiwi et à la feta en collation, accompagnés d'un smoothie au café froid.</t>
  </si>
  <si>
    <t>http://www.archanaskitchen.com/spicy-kiwi-salsa-feta-toasties-recipe-made-from-zespri-kiwifruit</t>
  </si>
  <si>
    <t>Baked Yogurt Tart Recipe with Figs &amp; Blueberries Recipe(With Eggless Recipe Option)</t>
  </si>
  <si>
    <t>Rezept für gebackene Joghurttorte mit Feigen und Blaubeeren (optional auch ohne Eier)</t>
  </si>
  <si>
    <t>Recette de gâteau au yaourt cuit au four avec figues et myrtilles (éventuellement sans œufs)</t>
  </si>
  <si>
    <t>Receta de pastel de yogur horneado con higos y arándanos (opcionalmente sin huevo)</t>
  </si>
  <si>
    <t>1/4 tasse de cassonade (sucre Demerara), 1 tasse de flocons d'avoine instantanés (gruau) - en poudre, 1 tasse de farine tout usage (Maida), 1/2 cuillère à café de levure chimique, 1/2 cuillère à café de sel, 100 grammes de beurre - réfrigéré, 1 œuf entier - battu pour badigeonner (ou miel et lait), 1/4 tasse de sucre glace, 2 tasses de Hung Curd (yaourt grec), 1 cuillère à café d'extrait de vanille, 1 zeste de citron, 1 tasse de figues fraîches - hachées, 3/4 tasse de farine tout usage (Maida), 1/2 tasse de myrtilles, 1/2 cuillère à café de poudre de muscade</t>
  </si>
  <si>
    <t>1/4 cup Brown Sugar (Demerara Sugar),1 cup Instant Oats (Oatmeal) - powdered,1 cup All Purpose Flour (Maida),1/2 teaspoon Baking powder,1/2 teaspoon Salt,100 grams Butter - chilled,1 Whole Egg - beaten for basting (or honey and milk),1/4 cup Icing Sugar,2 cups Hung Curd (Greek Yogurt),1 teaspoon Vanilla Extract,1 Lemon zest,1 cup Fresh Figs - chopped,3/4 cup All Purpose Flour (Maida),1/2 cup Blueberries,1/2 teaspoon Nutmeg powder</t>
  </si>
  <si>
    <t>1/4 taza de azúcar morena (azúcar Demerara), 1 taza de avena instantánea (avena) - en polvo, 1 taza de harina para todo uso (Maida), 1/2 cucharadita de polvo para hornear, 1/2 cucharadita de sal, 100 gramos de mantequilla - fría, 1 huevo entero - batido para rociar (o miel y leche), 1/4 taza de azúcar glas, 2 tazas de cuajada colgada (yogur griego), 1 cucharadita de extracto de vainilla, 1 ralladura de limón, 1 taza de higos frescos - picados, 3/4 taza de harina para todo uso (Maida), 1/2 taza de arándanos, 1/2 cucharadita de nuez moscada en polvo</t>
  </si>
  <si>
    <t xml:space="preserve">To begin making the Baked Yogurt Tart Recipe with Figs &amp; Blueberries, we will first make the crustGrease a 9 inch Pie Pan with a detachable base with butter and keep aside.In a large bowl, mix together the flour, powdered oats, baking powder, salt and sugar. Add the chilled butter to the flour mixture. Use your hands and bring together to make a coarse crumb mixture. Add a tablespoon of chilled water at a time and bring together all the crust ingredients to make a firm dough. Knea for about 5 minutes. Wrap the dough in a cling wrap and refrigerate it for about 1 hour. This process helps in getting a flaky crust for the pie.After an hour, bring the dough out, place it on the well dusted and floured platform. Roll the dough out to fit the pie pan. Once rolled out, lift and place the pie crust dough on the pie pan, press it down and once again refrigerate it for about 20 to 30 minutes. In the meanwhile preheat the Oven to 170 degree Celsius. After about 20 minutes, prick the crust with fork all over and place the crust in the preheated oven. we will prebake the oat pie crust for about 15 mins. After about 10 minutes of baking, remove the crust from the oven and brush it with one egg(honey or milk) and put it back in the oven for about 7 mins till it looks set and all shiny. You will notice that the crust has a golden brown and is crisp from the edges.Note: If you don't want to use the egg, then you can mix a tablespoon of milk and honey and using a brush, smear it all over the crust. This process will also give the crust a light golden finish.Once the oat pie crust is baked, remove it from the oven and allow it to cool completely.  We will now proceed to prepare the Yogurt filling for the baked pie crust. In a large bowl, beat the eggs and sugar for 3 to 4 minutes till pale and thick.Gently fold the yogurt mixed with zest, vanilla extract, nutmeg powder into this until well combined. Sieve the flour into the yogurt mixture gradually in three batches, folding it while you go along. Take care not to over beat the yogurt, as it will have a tendency to become thin.Once the flour is combined well, pour the mixture into the pre-baked tart, arrange the fruits in the center and put it back into the oven to bake at 170 C for about 30 to 35 minutes till the edges start to turn golden brown and the mixture looks set. When you shake the pie pan, you will notice only the center wobbles a little but over all the pie will be set.Once you notice this, remove the pie from the oven and cool completely. Once the pie is cooled, refrigerate the pie for at least 6 hours before you are ready to serve. Note: If you plan to make this eggless (egg free), then omit the egg and the baking process after that.Combine the yogurt, sugar, vanilla, nutmeg powder along with 2 teaspoons of agar agar or gelatine (dissolved in very little water). Add the agar agar mixture to the yogurt and combine it well. Pour the mixture into the prebaked tart crust, top it with fruits and refrigerate until it is set. Once it is set the pie is ready to be served.Serve the Baked Yogurt Tart Recipe with Figs &amp; Blueberries Recipe(With Eggless Recipe Option) up at tea-time or at your next dinner party.
</t>
  </si>
  <si>
    <t>Para comenzar a hacer la Receta de Tarta de Yogur Horneada con Higos y Arándanos, primero haremos la cortezaEngrase un molde para tarta de 9 pulgadas con una base desmontable con mantequilla y déjelo a un lado.En un tazón grande, mezcle la harina, la avena en polvo, el polvo para hornear, la sal y el azúcar. Agregue la mantequilla fría a la mezcla de harina. Use sus manos y junte para hacer una mezcla de miga gruesa. Agregue una cucharada de agua fría a la vez y junte todos los ingredientes de la corteza para hacer una masa firme. Amase durante unos 5 minutos. Envuelva la masa en una envoltura adhesiva y refrigérela durante aproximadamente 1 hora. Este proceso ayuda a obtener una corteza hojaldrada para la tarta.Después de una hora, saque la masa, colóquela en la plataforma bien espolvoreada y enharinada. Extienda la masa para que se ajuste al molde para tarta.Una vez extendida, levante y coloque la masa de la corteza de la tarta en el molde para tarta, presiónela hacia abajo y vuelva a refrigerarla durante unos 20 a 30 minutos. Mientras tanto, precalienta el horno a 170 grados Celsius. Después de unos 20 minutos, pincha la corteza con un tenedor por todos lados y coloca la corteza en el horno precalentado. Prehornearemos la corteza de pastel de avena durante unos 15 minutos. Después de unos 10 minutos de horneado, retira la corteza del horno y úntala con un huevo (miel o leche) y vuelve a colocarla en el horno durante unos 7 minutos hasta que se vea firme y brillante. Notarás que la corteza tiene un color marrón dorado y está crujiente por los bordes. Nota: Si no quieres usar el huevo, puedes mezclar una cucharada de leche y miel y, con un pincel, untarlo por toda la corteza. Este proceso también le dará a la corteza un acabado dorado claro. Una vez horneada la corteza de pastel de avena, sácala del horno y déjala enfriar por completo. Ahora procederemos a preparar el relleno de yogur para la corteza de pastel horneada. En un tazón grande, bata los huevos y el azúcar durante 3 a 4 minutos hasta que estén pálidos y espesos. Incorpore suavemente el yogur mezclado con la ralladura, el extracto de vainilla y la nuez moscada en polvo hasta que estén bien combinados. Tamice la harina en la mezcla de yogur gradualmente en tres tandas, incorporándola mientras avanza. Tenga cuidado de no batir demasiado el yogur, ya que tenderá a diluirse. Una vez que la harina esté bien combinada, vierta la mezcla en la tarta precocida, coloque las frutas en el centro y vuelva a colocarla en el horno para hornear a 170 C durante aproximadamente 30 a 35 minutos hasta que los bordes comiencen a dorarse y la mezcla parezca lista. Cuando agite el molde para tarta, notará que solo el centro se tambalea un poco, pero en general la tarta estará lista. Una vez que note esto, retire la tarta del horno y déjela enfriar por completo. Una vez que la tarta se haya enfriado, refrigérela durante al menos 6 horas antes de que esté lista para servir. Nota: Si planeas preparar esta tarta sin huevo (sin huevo), omite el huevo y el horneado posterior. Combina el yogur, el azúcar, la vainilla, la nuez moscada en polvo y 2 cucharaditas de agar agar o gelatina (disuelta en muy poca agua). Agrega la mezcla de agar agar al yogur y mezcla bien. Vierte la mezcla sobre la base de tarta precocida, cúbrela con frutas y refrigera hasta que esté cuajada. Una vez cuajada, la tarta está lista para servir. Sirve la receta de tarta de yogur horneada con higos y arándanos (con opción de receta sin huevo) a la hora del té o en tu próxima cena.</t>
  </si>
  <si>
    <t>Pour commencer à préparer la recette de tarte au yaourt cuite au four avec des figues et des myrtilles, nous allons d'abord préparer la croûte. Graisser un moule à tarte de 9 pouces avec une base amovible avec du beurre et réserver. Dans un grand bol, mélanger la farine, les flocons d'avoine en poudre, la levure chimique, le sel et le sucre. Ajouter le beurre refroidi au mélange de farine. Utilisez vos mains et mélangez pour obtenir un mélange de chapelure grossière. Ajouter une cuillère à soupe d'eau froide à la fois et rassembler tous les ingrédients de la croûte pour obtenir une pâte ferme. Pétrir pendant environ 5 minutes. Envelopper la pâte dans un film alimentaire et la réfrigérer pendant environ 1 heure. Ce processus permet d'obtenir une croûte feuilletée pour la tarte. Au bout d'une heure, sortir la pâte, la placer sur la plate-forme bien saupoudrée et farinée. Abaisser la pâte pour qu'elle s'adapte au moule à tarte. Une fois étalée, soulever et placer la pâte à tarte sur le moule à tarte, appuyer dessus et la réfrigérer à nouveau pendant environ 20 à 30 minutes. Pendant ce temps, préchauffez le four à 170 degrés Celsius. Après environ 20 minutes, piquez la croûte avec une fourchette partout et placez la croûte dans le four préchauffé. Nous allons précuire la croûte à tarte à l'avoine pendant environ 15 minutes. Après environ 10 minutes de cuisson, retirez la croûte du four et badigeonnez-la d'un œuf (miel ou lait) et remettez-la au four pendant environ 7 minutes jusqu'à ce qu'elle soit prise et toute brillante. Vous remarquerez que la croûte est dorée et croustillante sur les bords. Remarque : si vous ne souhaitez pas utiliser l'œuf, vous pouvez mélanger une cuillère à soupe de lait et de miel et, à l'aide d'un pinceau, l'étaler sur toute la croûte. Ce processus donnera également à la croûte une finition légèrement dorée. Une fois la croûte à tarte à l'avoine cuite, retirez-la du four et laissez-la refroidir complètement. Nous allons maintenant procéder à la préparation de la garniture au yaourt pour la croûte à tarte cuite. Dans un grand bol, battez les œufs et le sucre pendant 3 à 4 minutes jusqu'à ce que le mélange soit pâle et épais. Incorporez délicatement le yaourt mélangé avec le zeste, l'extrait de vanille et la poudre de muscade jusqu'à ce que le tout soit bien mélangé. Tamisez la farine dans le mélange de yaourt progressivement en trois fois, en la pliant au fur et à mesure. Veillez à ne pas trop battre le yaourt, car il aura tendance à devenir liquide. Une fois la farine bien mélangée, versez le mélange dans la tarte précuite, disposez les fruits au centre et remettez-la au four pour cuire à 170 °C pendant environ 30 à 35 minutes jusqu'à ce que les bords commencent à dorer et que le mélange semble pris. Lorsque vous secouez le moule à tarte, vous remarquerez que seul le centre vacille un peu, mais dans l'ensemble, la tarte sera prise. Une fois que vous remarquez cela, retirez la tarte du four et laissez-la refroidir complètement. Une fois la tarte refroidie, réfrigérez-la pendant au moins 6 heures avant de la servir. Remarque : si vous prévoyez de préparer cette tarte sans œufs, omettez l'œuf et la cuisson. Mélangez le yaourt, le sucre, la vanille, la poudre de muscade et 2 cuillères à café d'agar-agar ou de gélatine (dissoute dans un peu d'eau). Ajoutez le mélange d'agar-agar au yaourt et mélangez bien. Versez le mélange dans la croûte à tarte précuite, garnissez-la de fruits et réfrigérez jusqu'à ce qu'elle soit prise. Une fois prise, la tarte est prête à être servie. Servez la recette de tarte au yaourt cuite au four avec figues et myrtilles (avec option de recette sans œufs) à l'heure du thé ou lors de votre prochain dîner.</t>
  </si>
  <si>
    <t>https://www.archanaskitchen.com/baked-yogurt-tart-recipe-with-figs-blueberries-with-eggless-recipe-option</t>
  </si>
  <si>
    <t>Orange Cranberry Cupcakes Recipe</t>
  </si>
  <si>
    <t>Rezept für Orangen-Cranberry-Cupcakes</t>
  </si>
  <si>
    <t>Recette de cupcakes à l'orange et aux canneberges</t>
  </si>
  <si>
    <t>Receta de cupcakes de naranja y arándanos</t>
  </si>
  <si>
    <t>1-1/4 tasse de farine tout usage (Maida), 2 cuillères à soupe de zeste d'orange (écorce), 3 cuillères à soupe de Tutti frutti, 1 tasse de canneberges hachées, 1/2 tasse de jus d'orange frais, 60 grammes de beurre (non salé), 2 œufs entiers, 1 tasse de sucre en poudre, 1 cuillère à soupe d'extrait de vanille, 1-1/2 cuillère à soupe de levure chimique, 1/4 cuillère à soupe de sel</t>
  </si>
  <si>
    <t>1-1/4 cup All Purpose Flour (Maida),2 tablespoon Orange Zest (Rind),3 tablespoon Tutti frutti,1 cup Cranberries - chopped,1/2 cup Fresh orange juice,60 gram Butter (unsalted),2 Whole Eggs,1 cup Caster Sugar,1 tablespoon Vanilla Extract,1-1/2 tablespoon Baking powder,1/4 tablespoon Salt</t>
  </si>
  <si>
    <t>1-1/4 taza de harina para todo uso (Maida), 2 cucharadas de ralladura de naranja, 3 cucharadas de tutti frutti, 1 taza de arándanos rojos picados, 1/2 taza de jugo de naranja fresco, 60 gramos de mantequilla (sin sal), 2 huevos enteros, 1 taza de azúcar extrafino, 1 cucharada de extracto de vainilla, 1-1/2 cucharada de polvo para hornear, 1/4 cucharada de sal</t>
  </si>
  <si>
    <t xml:space="preserve">To prepare Orange Cranberry Cupcakes Recipe, preheat oven to 180 degrees Celsius.Take a bowl,Add butter,eggs and sugar and beat it properly till it becomes light and fluffy.Add vanilla essence ,orange juice, and orange zest, mix it well.Take another bowl and add all dry ingredients,all-purpose flour,baking powder, and salt.Transfer this mixture into the first bowl which is having other wet ingredients(beaten egg,sugar,butter and orange mixture).Add chopped cranberries and tutti fruity.Mix everything well.Take cupcake molds and transfer mixture into molds,put them in the oven for 20-25 minutes.After 25 minutes ,take cupcakes out. To check if cupcakes are done or not,insert a toothpick into the center of the bread if it comes out clean ,if it is clean then cupcakes are done.Let the cupcakes cool down until warm.Orange Cranberry Cupcakes are ready to be served for breakfast or as a tea time snack.
</t>
  </si>
  <si>
    <t xml:space="preserve">Para preparar la receta de cupcakes de naranja y arándanos, precaliente el horno a 180 grados Celsius. Tome un tazón, agregue mantequilla, huevos y azúcar y bátalo bien hasta que esté ligero y esponjoso. Agregue esencia de vainilla, jugo de naranja y ralladura de naranja, mézclelo bien. Tome otro tazón y agregue todos los ingredientes secos, harina para todo uso, polvo para hornear y sal. Transfiera esta mezcla al primer tazón que tiene otros ingredientes húmedos (huevo batido, azúcar, mantequilla y mezcla de naranja). Agregue arándanos picados y tutti fruti. Mezcle todo bien. Tome moldes para cupcakes y transfiera la mezcla a los moldes, póngalos en el horno durante 20-25 minutos. Después de 25 minutos, saque los cupcakes. Para verificar si los cupcakes están listos o no, inserte un palillo en el centro del pan si sale limpio, si está limpio, entonces los cupcakes están listos. Deje que los cupcakes se enfríen hasta que estén tibios. Los cupcakes de naranja y arándanos están listos para servirse en el desayuno o como una merienda.
</t>
  </si>
  <si>
    <t>Pour préparer la recette des cupcakes à l'orange et aux canneberges, préchauffez le four à 180 degrés Celsius. Prenez un bol, ajoutez le beurre, les œufs et le sucre et battez bien jusqu'à ce que le mélange devienne léger et mousseux. Ajoutez l'essence de vanille, le jus d'orange et le zeste d'orange, mélangez bien. Prenez un autre bol et ajoutez tous les ingrédients secs, la farine tout usage, la levure chimique et le sel. Transférez ce mélange dans le premier bol contenant les autres ingrédients humides (œuf battu, sucre, beurre et mélange d'orange). Ajoutez les canneberges hachées et le tutti fruity. Mélangez bien le tout. Prenez des moules à cupcakes et transférez le mélange dans les moules, mettez-les au four pendant 20 à 25 minutes. Après 25 minutes, sortez les cupcakes. Pour vérifier si les cupcakes sont cuits ou non, insérez un cure-dent au centre du pain s'il en ressort propre, s'il est propre, les cupcakes sont cuits. Laissez les cupcakes refroidir jusqu'à ce qu'ils soient chauds. Les cupcakes à l'orange et aux canneberges sont prêts à être servis au petit-déjeuner ou comme collation à l'heure du thé.</t>
  </si>
  <si>
    <t>https://www.archanaskitchen.com/orange-cranberry-cupcakes-recipe</t>
  </si>
  <si>
    <t>Fizzy Pomegranate Mint Mocktail Recipe</t>
  </si>
  <si>
    <t>Rezept für einen spritzigen Granatapfel-Minz-Mocktail</t>
  </si>
  <si>
    <t>Recette de mocktail pétillant à la grenade et à la menthe</t>
  </si>
  <si>
    <t>Receta de cóctel sin alcohol espumoso de granada y menta</t>
  </si>
  <si>
    <t>1/2 tasse de noyaux de grenade frais, 1 cuillère à café de jus de citron, feuilles de menthe (Pudina) - un petit bouquet, 1/4 cuillère à café de sel noir (Kala Namak), 300 ml d'eau gazeuse (eau gazeuse) - réfrigérée, 2 cuillères à café de sucre, 5 glaçons - pilés</t>
  </si>
  <si>
    <t>1/2 cup Fresh Pomegranate Fruit Kernels,1 teaspoon Lemon juice,Mint Leaves (Pudina) - a small bunch,1/4 teaspoon Black Salt (Kala Namak),300 ml Aerated water (Soda Water) - Chilled,2 teaspoons Sugar,5 Ice cubes - crushed</t>
  </si>
  <si>
    <t>1/2 taza de semillas de granada fresca, 1 cucharadita de jugo de limón, hojas de menta (Pudina) - un manojo pequeño, 1/4 cucharadita de sal negra (Kala Namak), 300 ml de agua gasificada (agua de soda) - fría, 2 cucharaditas de azúcar, 5 cubos de hielo - triturados</t>
  </si>
  <si>
    <t xml:space="preserve">To begin making Fizzy Pomegranate Mint Mocktail Recipe, blend the pomegranate along with a little water, lemon, sugar to make a juice. Strain the pomegranate juice with a fine mesh strainer and remove the seeds.The pomegranate juice should be thick and not diluted. Now crush the mint leaves with help of mortar pestle and keep aside.Take wine glasses and, add about 2 tablespoons of blended pomegranate juice into each. Then add crushed mint leaves.Add a pinch of black salt, some crushed ice cubes (according to taste), and finally add soda in it. Mix slightly.Garnish the Pomegranate &amp; Mint Mocktail with lemon wedges.Serve this Fizzy Pomegranate Mint Mocktail Recipe with appetizer like Grilled Paneer Methi Tikki Recipe and Apple And Ginger Cocktail Recipe.
</t>
  </si>
  <si>
    <t>Para empezar a preparar la Receta de Cóctel Sin Alcohol de Granada y Menta con Gas, licúe la granada junto con un poco de agua, limón y azúcar para hacer un jugo. Cuele el jugo de granada con un colador de malla fina y retire las semillas. El jugo de granada debe ser espeso y no diluido. Ahora triture las hojas de menta con la ayuda de un mortero y reserve. Tome copas de vino y agregue aproximadamente 2 cucharadas de jugo de granada licuado en cada una. Luego agregue hojas de menta trituradas. Agregue una pizca de sal negra, algunos cubitos de hielo picados (al gusto) y finalmente agregue soda. Mezcle ligeramente. Decore el Cóctel Sin Alcohol de Granada y Menta con gajos de limón. Sirva esta Receta de Cóctel Sin Alcohol de Granada y Menta con gas con aperitivos como la Receta de Paneer Methi Tikki a la Parrilla y la Receta de Cóctel de Manzana y Jengibre.</t>
  </si>
  <si>
    <t>Pour commencer à préparer un cocktail sans alcool pétillant à la grenade et à la menthe, mixez la grenade avec un peu d'eau, du citron et du sucre pour obtenir un jus. Filtrez le jus de grenade avec une passoire fine et retirez les graines. Le jus de grenade doit être épais et non dilué. Écrasez ensuite les feuilles de menthe à l'aide d'un pilon à mortier et réservez. Prenez des verres à vin et ajoutez environ 2 cuillères à soupe de jus de grenade mixé dans chacun. Ajoutez ensuite les feuilles de menthe écrasées. Ajoutez une pincée de sel noir, quelques glaçons pilés (selon votre goût), et enfin du soda. Mélangez légèrement. Garnissez le cocktail sans alcool à la grenade et à la menthe de quartiers de citron. Servez ce cocktail sans alcool pétillant à la grenade et à la menthe avec des apéritifs comme le Paneer Methi Tikki grillé et le Cocktail Pomme-Gingembre.</t>
  </si>
  <si>
    <t>http://www.archanaskitchen.com/fizzy-pomegranate-mint-mocktail-recipe</t>
  </si>
  <si>
    <t>Steamed Vegetables With Chilli Lime Butter Recipe</t>
  </si>
  <si>
    <t>Rezept für gedünstetes Gemüse mit Chili-Limetten-Butter</t>
  </si>
  <si>
    <t>Recette de légumes vapeur au beurre pimenté et citron vert</t>
  </si>
  <si>
    <t>Receta de verduras al vapor con mantequilla de chile y limón</t>
  </si>
  <si>
    <t>1 tasse de carottes (Gajjar) - coupées en diagonales, 1 tasse de haricots verts (haricots verts) - coupés en 2 pouces, 1 tasse de maïs miniature - coupé en deux, 1 tasse de champignons de Paris - coupés en quartiers, 2 cuillères à soupe de beurre, 1 cuillère à café d'origan séché, 1 cuillère à café de flocons de piment rouge, sel et poivre - au goût, 1 cuillère à café de jus de citron</t>
  </si>
  <si>
    <t>1 cup Carrot (Gajjar) - cut into diagonals,1 cup Green beans (French Beans) - cut into 2 inch,1 cup Baby corn - cut into half,1 cup Button mushrooms - quartered,2 tablespoons Butter,1 teaspoon Dried oregano,1 teaspoon Red Chilli flakes,Salt and Pepper - to taste,1 teaspoon Lemon juice</t>
  </si>
  <si>
    <t>1 taza de zanahoria (Gajjar) - cortada en diagonales, 1 taza de judías verdes (judías verdes) - cortadas en 2 pulgadas, 1 taza de maíz bebé - cortado en mitades, 1 taza de champiñones - cortados en cuartos, 2 cucharadas de mantequilla, 1 cucharadita de orégano seco, 1 cucharadita de hojuelas de chile rojo, sal y pimienta - al gusto, 1 cucharadita de jugo de limón</t>
  </si>
  <si>
    <t xml:space="preserve">To begin making the Steamed Vegetables With Chilli Lime Butter Recipe, chop all the vegetables and keep it ready.Add carrot, green beans and baby corn into a pressure cooker, add in salt &amp; pepper with 2 tablespoons water and pressure cook for just one whistle. Turn off the heat and release the pressure immediately, but placing the pressure cooker under running water. Open the cooker and keep the steamed vegetables aside.Heat a sauce pan with butter, once the butter starts to melt add mushroom sauté well.Once the mushroom is cooked, add in steamed vegetables, salt, pepper, red chilli flakes, oregano and lemon juice. Stir and check the taste and adjust the condiments accordingly.Stir fry for a about a minute on high heat to combine all the ingredients to make a delicious tasting Steamed Vegetables With Chilli Lime Butter.Once done, turn off the heat and transfer the Steamed Vegetables With Chilli Lime Butter to a serving bowl and serve hot.Serve the Steamed Vegetables With Chilli Lime Butter Recipe along with Lemon butter chicken, Creamy Garlic Mashed Potatoes and Smoked Vegetarian Spanish Rice to make it a delicious continental dinner for your family.
</t>
  </si>
  <si>
    <t>Para comenzar a hacer la receta de verduras al vapor con mantequilla de lima y chile, corte todas las verduras y manténgalas listas. Agregue la zanahoria, las judías verdes y el maíz bebé en una olla a presión, agregue sal y pimienta con 2 cucharadas de agua y cocine a presión durante un silbido. Apague el fuego y libere la presión inmediatamente, pero coloque la olla a presión bajo el chorro de agua. Abra la olla y reserve las verduras al vapor. Caliente una cacerola con mantequilla, una vez que la mantequilla comience a derretirse agregue los champiñones y saltee bien. Una vez que los champiñones estén cocidos, agregue las verduras al vapor, la sal, la pimienta, las hojuelas de chile rojo, el orégano y el jugo de limón. Revuelva y verifique el sabor y ajuste los condimentos según corresponda. Saltee durante aproximadamente un minuto a fuego alto para combinar todos los ingredientes para hacer unas deliciosas verduras al vapor con mantequilla de lima y chile. Una vez listo, apague el fuego y transfiera las verduras al vapor con mantequilla de lima y chile a un tazón para servir y sirva caliente. Sirva la receta de verduras al vapor con mantequilla de lima y chile junto con pollo con mantequilla de limón, puré de papas cremoso con ajo y arroz español vegetariano ahumado para que sea una deliciosa cena continental para su familia.</t>
  </si>
  <si>
    <t>Pour commencer à préparer la recette de légumes cuits à la vapeur avec du beurre de citron vert et de piment, hachez tous les légumes et gardez-les prêts. Ajoutez la carotte, les haricots verts et le maïs miniature dans un autocuiseur, ajoutez du sel et du poivre avec 2 cuillères à soupe d'eau et faites cuire sous pression pendant un seul sifflement. Éteignez le feu et relâchez la pression immédiatement, mais placez l'autocuiseur sous l'eau courante. Ouvrez l'autocuiseur et gardez les légumes cuits à la vapeur de côté. Faites chauffer une casserole avec du beurre, une fois que le beurre commence à fondre, ajoutez les champignons et faites-les bien revenir. Une fois les champignons cuits, ajoutez les légumes cuits à la vapeur, le sel, le poivre, les flocons de piment rouge, l'origan et le jus de citron. Remuez et vérifiez le goût et ajustez les condiments en conséquence. Faites sauter pendant environ une minute à feu vif pour mélanger tous les ingrédients et préparer de délicieux légumes cuits à la vapeur avec du beurre de citron vert et du piment. Une fois terminé, éteignez le feu et transférez les légumes cuits à la vapeur avec du beurre de citron vert et du piment dans un bol de service et servez chaud. Servez la recette de légumes cuits à la vapeur avec du poulet au beurre de citron vert, de la purée de pommes de terre crémeuse à l'ail et du riz espagnol végétarien fumé pour en faire un délicieux dîner continental pour votre famille.</t>
  </si>
  <si>
    <t>https://www.archanaskitchen.com/steamed-vegetables-with-chilli-lime-butter-recipe</t>
  </si>
  <si>
    <t>Zitronengras-Tomaten-Mais-Suppe Rezept – Rezept für Zitronengras-Tomaten-Massuppe</t>
  </si>
  <si>
    <t>Recette de soupe citronnelle-tomate-maïs – Recette de soupe citronnelle-tomate-maïs</t>
  </si>
  <si>
    <t>Receta de sopa de limoncillo, tomate y maíz – Receta de sopa de limoncillo, tomate y maíz</t>
  </si>
  <si>
    <t>4 tomates - vertes, 2 tomates - rouges, 1 tasse de maïs doux, 4 tasses de bouillon de légumes, 1 oignon - rouge, 2,5 cm de gingembre, 2 gousses d'ail, 2 cuillères à soupe d'huile d'olive, 1 cuillère à soupe de citronnelle - moulue, 1 cuillère à café d'origan, 1 cuillère à café de poudre de poivre noir, 1 cuillère à café de poudre de curry, 1 brin de feuilles de basilic thaï, sel - selon le goût, poudre de poivre noir, beurre - selon le goût</t>
  </si>
  <si>
    <t>4 tomatoes - green, 2 tomatoes - red, 1 cup sweet corn, 4 cups vegetable stock, 1 onion - red, 1 inch ginger, 2 cloves garlic, 2 tablespoons olive oil, 1 tablespoon lemon grass - grind, 1 teaspoon oregano, 1 teaspoon black pepper powder, 1 teaspoon curry powder, 1 sprig Thai basil leaves, salt - according to taste, black pepper powder, butter - according to taste</t>
  </si>
  <si>
    <t>4 tomates - verdes, 2 tomates - rojos, 1 taza de maíz dulce, 4 tazas de caldo de verduras, 1 cebolla - roja, 1 pulgada de jengibre, 2 dientes de ajo, 2 cucharadas de aceite de oliva, 1 cucharada de hierba limón - molida, 1 cucharadita de orégano, 1 cucharadita de pimienta negra en polvo, 1 cucharadita de curry en polvo, 1 ramita de hojas de albahaca tailandesa, sal - al gusto, pimienta negra en polvo, mantequilla - al gusto</t>
  </si>
  <si>
    <t>To make Lemongrass Tomato Corn Soup Recipe, first chop tomatoes, onion, garlic, basil leaves, lemongrass and keep aside. Now heat oil in a pan. Add onion, ginger, garlic and cook till onion becomes soft and golden brown. Add basil, oregano, lemongrass, curry powder and cook for 10 seconds. Now add tomatoes, corn and cook for another 5 minutes. Now add vegetable stock, mix it and let it boil. After boiling, reduce the flame and let it cook for 15 minutes. Now take a hand blender and beat it well. Add crumbled basil leaves and mix it. Add salt and pepper to taste and mix it. Serve. Serve Lemongrass Tomato Corn Soup with Whole Wheat Rosemary Focaccia Bread for dinner or evening snack.</t>
  </si>
  <si>
    <t>Para preparar la receta de sopa de tomate, maíz y limoncillo, pique los tomates, la cebolla, el ajo, las hojas de albahaca y el limoncillo, y reserve. Caliente el aceite en una sartén. Añada la cebolla, el jengibre y el ajo y cocine hasta que la cebolla esté tierna y dorada. Añada la albahaca, el orégano, el limoncillo y el curry en polvo y cocine durante 10 segundos. Añada los tomates y el maíz y cocine durante 5 minutos más. Añada el caldo de verduras, mézclelo y deje que hierva. Después de que hierva, reduzca el fuego y cocine durante 15 minutos. Bata bien con una batidora de mano. Añada las hojas de albahaca desmenuzadas y mezcle. Salpimiente al gusto y mezcle. Sirva. Sirva la sopa de tomate, maíz y limoncillo con pan focaccia integral con romero para la cena o la merienda.</t>
  </si>
  <si>
    <t>Pour préparer la recette de soupe de maïs, tomates et citronnelle, hachez d'abord les tomates, l'oignon, l'ail, les feuilles de basilic et la citronnelle, puis réservez. Faites chauffer l'huile dans une poêle. Ajoutez l'oignon, le gingembre et l'ail, puis faites cuire jusqu'à ce que l'oignon soit tendre et doré. Ajoutez le basilic, l'origan, la citronnelle et le curry, puis faites cuire 10 secondes. Ajoutez ensuite les tomates et le maïs, puis laissez cuire 5 minutes supplémentaires. Ajoutez le bouillon de légumes, mélangez et laissez bouillir. Après ébullition, baissez le feu et laissez cuire 15 minutes. Battez bien le tout au mixeur plongeant. Ajoutez les feuilles de basilic émiettées et mélangez. Salez et poivrez à votre goût. Servez. Servez la soupe de maïs, tomates et citronnelle accompagnée de focaccia au romarin et au blé entier pour le dîner ou le goûter.</t>
  </si>
  <si>
    <t>http://www.archanaskitchen.com/lemongrass-tomato-corn-soup-recipe-in-hindi</t>
  </si>
  <si>
    <t>Homemade Herb Butter Recipe</t>
  </si>
  <si>
    <t>Rezept für hausgemachte Kräuterbutter</t>
  </si>
  <si>
    <t>Recette de beurre aux herbes maison</t>
  </si>
  <si>
    <t>Receta casera de mantequilla de hierbas</t>
  </si>
  <si>
    <t>150 grammes de beurre salé - ramolli, 1 cuillère à soupe de feuilles de persil - finement hachées, 1 cuillère à soupe de feuilles de basilic - finement hachées, 1 cuillère à soupe de ciboulette - finement hachée, 1/4 cuillère à café de zeste de citron</t>
  </si>
  <si>
    <t>150 grams Salted butter - softened,1 tablespoon Parsley leaves - finely chopped,1 tablespoon Basil leaves - finely chopped,1 tablespoon Chives - finely chopped,1/4 teaspoon Lemon zest</t>
  </si>
  <si>
    <t>150 gramos de mantequilla salada - ablandada, 1 cucharada de hojas de perejil - finamente picadas, 1 cucharada de hojas de albahaca - finamente picadas, 1 cucharada de cebollino - finamente picado, 1/4 cucharadita de ralladura de limón</t>
  </si>
  <si>
    <t xml:space="preserve">To begin making the Homemade Herb Butter Recipe, combine all the ingredient in a mini food processor. Once combined, transfer the herbed butter into a container where you can cover and store in the refrigerator.Refrigerate the Homemade Herb Butter for at least 4 hours and or for about a month and use it as desired on toasted bread, garlic bread, over pasta or even steamed vegetables.
</t>
  </si>
  <si>
    <t>Para empezar a preparar la receta de mantequilla de hierbas casera, combine todos los ingredientes en un mini procesador de alimentos. Una vez combinados, transfiera la mantequilla de hierbas a un recipiente que pueda cubrir y guardar en el refrigerador. Refrigere la mantequilla de hierbas casera durante al menos 4 horas o durante aproximadamente un mes y úsela como desee sobre pan tostado, pan de ajo, sobre pasta o incluso verduras al vapor.</t>
  </si>
  <si>
    <t>Pour commencer à préparer la recette de beurre aux herbes maison, mélangez tous les ingrédients dans un mini robot culinaire. Une fois mélangé, transférez le beurre aux herbes dans un récipient que vous pouvez couvrir et conserver au réfrigérateur. Réfrigérez le beurre aux herbes maison pendant au moins 4 heures et/ou pendant environ un mois et utilisez-le comme vous le souhaitez sur du pain grillé, du pain à l'ail, sur des pâtes ou même des légumes cuits à la vapeur.</t>
  </si>
  <si>
    <t>https://www.archanaskitchen.com/how-to-make-homemade-herb-butter-recipe</t>
  </si>
  <si>
    <t>Mushroom Stroganoff Recipe</t>
  </si>
  <si>
    <t>Pilz-Stroganoff-Rezept</t>
  </si>
  <si>
    <t>Recette de champignons Stroganoff</t>
  </si>
  <si>
    <t>Receta de stroganoff de champiñones</t>
  </si>
  <si>
    <t>1 oignon haché, 4 gousses d'ail hachées, 1 tasse de champignons de Paris coupés en quartiers, 1 carotte (Gajjar) coupée en diagonale, 1 tasse de haricots verts (haricots verts) coupés en tranches d'environ 5 cm, 1 tasse de mini-maïs coupé en diagonale, 1 cuillère à café d'origan séché, 1 cuillère à café de feuilles de thym séchées, 60 ml de crème fraîche, sel et poivre au goût, huile de tournesol, 1 tasse de riz cuit, 1 oignon haché, 4 gousses d'ail hachées, 120 ml de petits pois (Matar), 1 cuillère à café de sucre, 6 brins d'origan frais, 3 cuillères à soupe de beurre, sel au goût</t>
  </si>
  <si>
    <t>1 Onion - chopped,4 cloves Garlic - chopped,1 cup Button mushrooms - quatered,1 Carrot (Gajjar) - sliced diagonally,1 cup Green beans (French Beans) - sliced about to 2 inch,1 cup Baby corn - diagonally sliced,1 teaspoon Dried oregano,1 teaspoon Dried Thyme Leaves,1/4 cup Fresh cream,Salt and Pepper - to taste,Sunflower Oil,1 cup Cooked rice,1 Onion - chopped,4 cloves Garlic - chopped,1/2 cup Green peas (Matar),1 teaspoon Sugar,6 sprig Fresh oregano,3 tablespoon Butter,Salt - to taste</t>
  </si>
  <si>
    <t>1 cebolla - picada, 4 dientes de ajo - picados, 1 taza de champiñones - en cuartos, 1 zanahoria (Gajjar) - cortada en diagonal, 1 taza de judías verdes (judías verdes) - cortadas en rodajas de aproximadamente 2 pulgadas, 1 taza de maíz bebé - cortado en diagonal, 1 cucharadita de orégano seco, 1 cucharadita de hojas de tomillo secas, 1/4 taza de crema fresca, sal y pimienta - al gusto, aceite de girasol, 1 taza de arroz cocido, 1 cebolla - picada, 4 dientes de ajo - picados, 1/2 taza de guisantes verdes (Matar), 1 cucharadita de azúcar, 6 ramitas de orégano fresco, 3 cucharadas de mantequilla, sal - al gusto</t>
  </si>
  <si>
    <t xml:space="preserve">To begin making the Mushroom Stroganoff Recipe, keep all the ingredients ready and set for making the dish.Heat a skillet with oil, add onion and garlic and saute till they turn soft and translucent.Add in carrot and saute for a while, sprinkle some salt so that the cooking process gets faster.Add green beans and baby corn, saute till they turn soft. Once that is over you can add mushroom and cook till the water is all evaporated.Add 1 cup of water and allow it to boil for atleast 20 minutes so that the vegetables are nicely cooked and the flavor also goes into the waterAdd fresh cream, dried herbs, salt and pepper and bring it to a boil. Allow It to thicken a little.Now we will move ahead to make the herbed rice, heat a kadai with butter, add garlic and onions and saute till they soften.Add in a teaspoon of sugar and saute till they turn nice and brown. Once the onions are caramelized you can add green peas and saute for 2 minutes.Add cooked rice, fresh oregano and salt toss the rice well.To serve place the herbed rice on to your serving plate and pour some of the mushroom stroganoff on to the side and serve warm.Serve the Mushroom Stroganoff Recipe along with some herbed rice, Fresh Garden Salad and a Apple And Ginger Cocktail Recipe by the side to enjoy your Sunday brunch.
</t>
  </si>
  <si>
    <t>Para empezar a preparar el Stroganoff de Champiñones, ten todos los ingredientes listos. Calienta una sartén con aceite, añade la cebolla y el ajo y sofríe hasta que estén suaves y transparentes. Agrega la zanahoria y sofríe un rato, espolvorea con sal para que la cocción sea más rápida. Agrega las judías verdes y el maíz baby y sofríe hasta que estén suaves. Una vez hecho esto, puedes añadir los champiñones y cocinar hasta que se evapore el agua. Agrega 1 taza de agua y deja hervir durante al menos 20 minutos para que las verduras estén bien cocidas y el sabor se impregne. Agrega crema fresca, hierbas secas, sal y pimienta y deja hervir. Deja que espese un poco. Ahora, prepararemos el arroz con hierbas: calienta un kadai con mantequilla, añade el ajo y la cebolla y sofríe hasta que estén suaves. Agrega una cucharadita de azúcar y sofríe hasta que estén bien dorados. Una vez que las cebollas estén caramelizadas, puedes agregar los guisantes verdes y saltearlos durante 2 minutos. Agrega arroz cocido, orégano fresco y sal, revuelve bien el arroz. Para servir, coloca el arroz con hierbas en tu plato y vierte un poco del stroganoff de champiñones a un lado y sirve caliente. Sirve la receta de stroganoff de champiñones junto con un poco de arroz con hierbas, ensalada fresca de la huerta y una receta de cóctel de manzana y jengibre al lado para disfrutar de tu brunch dominical.</t>
  </si>
  <si>
    <t>Pour préparer la recette de champignons Stroganoff, préparez tous les ingrédients. Faites chauffer de l'huile dans une poêle, ajoutez l'oignon et l'ail et faites-les revenir jusqu'à ce qu'ils soient tendres et translucides. Ajoutez les carottes et faites-les revenir quelques instants, en salant légèrement pour accélérer la cuisson. Ajoutez les haricots verts et le maïs miniature et faites-les revenir jusqu'à ce qu'ils soient tendres. Ensuite, ajoutez les champignons et laissez cuire jusqu'à ce que l'eau soit complètement évaporée. Ajoutez 250 ml d'eau et laissez bouillir pendant au moins 20 minutes pour que les légumes soient bien cuits et que l'eau absorbe toute la saveur. Ajoutez la crème fraîche, les herbes séchées, le sel et le poivre et portez à ébullition. Laissez épaissir légèrement. Préparez maintenant le riz aux herbes : faites chauffer un kadai avec du beurre, ajoutez l'ail et les oignons et faites-les revenir jusqu'à ce qu'ils soient tendres. Ajoutez une cuillère à café de sucre et faites-les revenir jusqu'à ce qu'ils soient bien dorés. Une fois les oignons caramélisés, vous pouvez ajouter les petits pois et les faire revenir pendant 2 minutes. Ajoutez le riz cuit, l'origan frais et le sel, mélangez bien le riz. Pour servir, placez le riz aux herbes sur votre assiette de service et versez un peu de stroganoff aux champignons à côté et servez chaud. Servez la recette de stroganoff aux champignons avec du riz aux herbes, une salade fraîche du jardin et une recette de cocktail aux pommes et au gingembre à côté pour profiter de votre brunch du dimanche.</t>
  </si>
  <si>
    <t>https://www.archanaskitchen.com/mushroom-storgonoff-recipe</t>
  </si>
  <si>
    <t>Paneer Pancake Recipe</t>
  </si>
  <si>
    <t>Paneer-Pfannkuchen-Rezept</t>
  </si>
  <si>
    <t>Recette de crêpes au paneer</t>
  </si>
  <si>
    <t>Receta de panqueques de paneer</t>
  </si>
  <si>
    <t>250 grammes de paneer (fromage cottage fait maison), 2 œufs entiers ou un substitut d'œuf à base de farine de lin, 3 cuillères à soupe de sucre, 1/2 cuillère à café de levure chimique, 1/2 tasse de farine de blé entier, sel - une pincée, 3 cuillères à soupe de lait, 2 cuillères à soupe de beurre</t>
  </si>
  <si>
    <t>250 grams Paneer (Homemade Cottage Cheese),2 Whole Eggs - or Flax Meal Egg Replacer,3 tablespoons Sugar,1/2 teaspoon Baking powder,1/2 cup Whole Wheat Flour,Salt - a pinch,3 tablespoons Milk,2 tablespoons Butter</t>
  </si>
  <si>
    <t>250 gramos de Paneer (queso cottage casero), 2 huevos enteros (o sustituto de huevo de harina de lino), 3 cucharadas de azúcar, 1/2 cucharadita de polvo para hornear, 1/2 taza de harina integral, sal (una pizca), 3 cucharadas de leche, 2 cucharadas de mantequilla</t>
  </si>
  <si>
    <t xml:space="preserve">To begin making the Paneer Pancake, we will first grind the paneer in a food processor until smooth.Beat eggs in a clean and dry bowl till light and fluffy.If you want to replace the eggs then follow flax meal egg replacer to use instead of eggs.Add sugar and beat till the sugar is combined . Stir in the smooth paneer, baking powder, plain flour and salt to the beaten egg mixture. Add the milk and whisk to combine well. You should have a thick pancake batter.Heat a skillet over low heat. Melt some butter and pour in a large ladle of the paneer pancake batter on to the pan. The batter will spread on its own and settle down. When you notice bubbles appear on top, flip over and cook the paneer pancake the other side. Once done, proceed the same way with the remaining batter and transfer the paneer pancakes to a serving plate. Serve the Paneer Pancake topped with fruits and honey or a maple syrup as a wholesome high protein breakfast along with Banana Almond &amp; Prunes Smoothie.
</t>
  </si>
  <si>
    <t>Para comenzar a hacer el Paneer Pancake, primero moleremos el paneer en un procesador de alimentos hasta que esté suave. Bata los huevos en un tazón limpio y seco hasta que estén suaves y esponjosos. Si desea reemplazar los huevos, siga el sustituto de huevo de harina de lino para usar en lugar de huevos. Agregue el azúcar y bata hasta que el azúcar se combine. Agregue el paneer suave, el polvo de hornear, la harina común y la sal a la mezcla de huevo batido. Agregue la leche y bata para combinar bien. Debería tener una masa espesa para panqueques. Caliente una sartén a fuego lento. Derrita un poco de mantequilla y vierta un cucharón grande de la masa para panqueques de paneer en la sartén. La masa se extenderá por sí sola y se asentará. Cuando note que aparecen burbujas en la parte superior, voltee y cocine el panqueque de paneer por el otro lado. Una vez hecho esto, proceda de la misma manera con la masa restante y transfiera los panqueques de paneer a un plato para servir. Sirva el panqueque de paneer cubierto con frutas y miel o jarabe de arce como un desayuno saludable y rico en proteínas, junto con un batido de plátano, almendras y ciruelas pasas.</t>
  </si>
  <si>
    <t>Pour commencer à préparer la crêpe au paneer, nous allons d'abord broyer le paneer dans un robot culinaire jusqu'à consistance lisse. Battez les œufs dans un bol propre et sec jusqu'à ce qu'ils soient légers et mousseux. Si vous souhaitez remplacer les œufs, utilisez un substitut d'œuf à base de farine de lin. Ajoutez le sucre et battez jusqu'à ce que le sucre soit combiné. Incorporez le paneer lisse, la levure chimique, la farine nature et le sel au mélange d'œufs battus. Ajoutez le lait et fouettez pour bien mélanger. Vous devriez obtenir une pâte à crêpes épaisse. Faites chauffer une poêle à feu doux. Faites fondre un peu de beurre et versez une grande louche de pâte à crêpes au paneer dans la poêle. La pâte s'étalera d'elle-même et se déposera. Lorsque vous remarquez que des bulles apparaissent sur le dessus, retournez et faites cuire la crêpe au paneer de l'autre côté. Une fois terminé, procédez de la même manière avec le reste de la pâte et transférez les crêpes au paneer dans une assiette de service. Servez la crêpe au paneer garnie de fruits et de miel ou de sirop d'érable comme petit-déjeuner sain et riche en protéines, accompagnée d'un smoothie banane, amandes et pruneaux.</t>
  </si>
  <si>
    <t>http://www.archanaskitchen.com/paneer-pancake-recipe-homemade-cottage-cheese-pancake-with-egg-free-option</t>
  </si>
  <si>
    <t>Corn Toast Recipe With Moong Sprouts &amp; Vegetables</t>
  </si>
  <si>
    <t>Maistoast-Rezept mit Mungbohnensprossen und Gemüse</t>
  </si>
  <si>
    <t>Recette de pain grillé au maïs avec germes de haricots mungo et légumes</t>
  </si>
  <si>
    <t>Receta de tostadas de maíz con brotes de soja mungo y verduras</t>
  </si>
  <si>
    <t>4 pains bruns de blé entier, 1 cuillère à soupe de beurre ramolli, 1/2 tasse de maïs doux cuit à la vapeur, 1/2 tasse de germes de moong verts, 1/4 tasse de carottes (Gajjar) râpées, 1 tomate finement hachée, sel et poivre au goût, flocons de piment rouge pour la garniture, 1/2 tasse de lait, 1 cuillère à café de farine de maïs</t>
  </si>
  <si>
    <t>4 Whole Wheat Brown Bread,1 tablespoon Butter - softened,1/2 cup Sweet corn - steamed,1/2 cup Green Moong Sprouts,1/4 cup Carrots (Gajjar) - grated,1 Tomato - finely chopped,Salt and Pepper - to taste,Red Chilli flakes - for garnish,1/2 cup Milk,1 teaspoon Corn flour</t>
  </si>
  <si>
    <t>4 panes integrales, 1 cucharada de mantequilla - ablandada, 1/2 taza de maíz dulce - al vapor, 1/2 taza de brotes verdes Moong, 1/4 taza de zanahorias (Gajjar) - ralladas, 1 tomate - finamente picado, sal y pimienta - al gusto, hojuelas de chile rojo - para decorar, 1/2 taza de leche, 1 cucharadita de harina de maíz</t>
  </si>
  <si>
    <t xml:space="preserve">To begin making the Corn Toast Recipe With Moong Sprouts &amp; Vegetables, mix the milk and flour together in a small mixing bowl.Prepare all the remaining ingredients and keep them handy. In a small skillet, add the butter, corn, carrots,tomatoes, sprouts and the corn flour milk mixture. Add the salt and pepper to taste as well.Keep stirring the mixture until it is thickened and the corn flour is cooked through. In the meanwhile, toast the bread slices in the bread toaster or in the oven. Apply some butter over it and cut into triangles.Spoon the Corn and Moong Sprouts &amp; Vegetables topping mixture over the bread slices and serve immediately. Serve The Corn Toast Recipe With Moong Sprouts &amp; Vegetables along with Muskmelon (Kharbuj) Juice Recipe for breakfast or an after school snack.
</t>
  </si>
  <si>
    <t>Para empezar a preparar la receta de tostadas de maíz con brotes de moong y verduras, mezcle la leche y la harina en un tazón pequeño. Prepare todos los ingredientes restantes y téngalos a mano. En una sartén pequeña, agregue la mantequilla, el maíz, las zanahorias, los tomates, los brotes y la mezcla de leche y harina de maíz. Agregue también sal y pimienta al gusto. Siga revolviendo la mezcla hasta que espese y la harina de maíz esté bien cocida. Mientras tanto, tueste las rebanadas de pan en la tostadora de pan o en el horno. Unte un poco de mantequilla y córtelas en triángulos. Vierta la mezcla de maíz y brotes de moong y verduras sobre las rebanadas de pan y sirva inmediatamente. Sirva la receta de tostadas de maíz con brotes de moong y verduras junto con la receta de jugo de melón (kharbuj) para el desayuno o una merienda después de la escuela.</t>
  </si>
  <si>
    <t>Pour commencer à préparer la recette de pain grillé au maïs avec germes de moong et légumes, mélangez le lait et la farine dans un petit saladier. Préparez tous les ingrédients restants et gardez-les à portée de main. Dans une petite poêle, ajoutez le beurre, le maïs, les carottes, les tomates, les germes et le mélange de lait et de fécule de maïs. Salez et poivrez à votre goût. Continuez à remuer jusqu'à ce que le mélange épaississe et que la fécule de maïs soit bien cuite. Pendant ce temps, faites griller les tranches de pain au grille-pain ou au four. Beurrez-les et coupez-les en triangles. Versez le mélange de maïs, de germes de moong et de légumes sur les tranches de pain et servez immédiatement. Servez la recette de pain grillé au maïs avec germes de moong et légumes avec le jus de melon musqué (Kharbuj) au petit-déjeuner ou au goûter.</t>
  </si>
  <si>
    <t>https://www.archanaskitchen.com/corn-toast-recipe-with-moong-sprouts-vegetables</t>
  </si>
  <si>
    <t>Vegetarian Potato Hash Recipe</t>
  </si>
  <si>
    <t>Vegetarisches Kartoffel-Hash-Rezept</t>
  </si>
  <si>
    <t>Recette de hachis de pommes de terre végétarien</t>
  </si>
  <si>
    <t>Receta de hash de patata vegetariano</t>
  </si>
  <si>
    <t>200 grammes de champignons de Paris - coupés en quartiers, 1 poivron vert (Capsicum) - haché, 1/2 tasse de maïs doux - cuit à la vapeur, 1 oignon - finement coupé en dés, 3 pommes de terre (Aloo) - coupées en petits dés, 1 cuillère à soupe de ketchup, 2 cuillères à café de sauce soja, 1/2 cuillère à café d'assaisonnement italien, 1 cuillère à soupe de feuilles de thym frais - hachées, 1 cuillère à soupe d'eau, sel et poivre - au goût, huile d'olive extra vierge - pour la cuisson</t>
  </si>
  <si>
    <t>200 grams Button mushrooms - quartered,1 Green Bell Pepper (Capsicum) - chopped,1/2 cup Sweet corn - steamed,1 Onion - finely diced,3 Potatoes (Aloo) - diced small,1 tablespoon Tomato Ketchup,2 teaspoon Soy sauce,1/2 teaspoon Italian seasoning,1 tablespoon Fresh Thyme leaves - minced,1 tablespoon Water,Salt and Pepper - to taste,Extra Virgin Olive Oil - for cooking</t>
  </si>
  <si>
    <t>200 gramos de champiñones cortados en cuartos, 1 pimiento verde (Capsicum) picado, 1/2 taza de maíz dulce al vapor, 1 cebolla finamente picada, 3 papas (Aloo) cortadas en cubitos pequeños, 1 cucharada de ketchup de tomate, 2 cucharaditas de salsa de soja, 1/2 cucharadita de condimento italiano, 1 cucharada de hojas de tomillo fresco picadas, 1 cucharada de agua, sal y pimienta al gusto, aceite de oliva virgen extra para cocinar</t>
  </si>
  <si>
    <t xml:space="preserve">To begin making the Vegetarian Potato Hash, first get all the ingredients chopped and ready and keep them by the side.Heat 2 tablespoons of oil in a non stick skillet on low heat. Add the onions, the vegetables, sprinkle some salt and cook, stirring occasionally, until golden. You can optionally sprinkle some water, cover the pan and cook until the potatoes are cooked through.Once cooked, transfer the cooked vegetables to a plate. In the same pan add another tablespoon of oil, add the diced potatoes and cook. Stir occasionally and cook for about 13 minutes or until they form a golden crust. Meanwhile in a small bowl, mix the ketchup, soy sauce, water, Italian seasoning, minced thyme and stir well. Add the cooked mixed vegetables to the skillet along with potatoes. stir in the ketchup mixture and cook, stirring frequently. Cook for about 5 to 7 minutes or until the flavors blend in and the hash has browned nicely. Once done the Vegetarian Potato Hash is ready to be served.Serve the Vegetarian Potato Hash warm with Egg White Omelette with Spinach and Muskmelon (Kharbuj) Juice for breakfast.
</t>
  </si>
  <si>
    <t>Para comenzar a hacer el hash de papa vegetariano, primero corte todos los ingredientes y déjelos a un lado. Caliente 2 cucharadas de aceite en una sartén antiadherente a fuego lento. Agregue las cebollas, las verduras, espolvoree un poco de sal y cocine, revolviendo ocasionalmente, hasta que estén doradas. Opcionalmente, puede rociar un poco de agua, cubrir la sartén y cocinar hasta que las papas estén bien cocidas. Una vez cocidas, transfiera las verduras cocidas a un plato. En la misma sartén agregue otra cucharada de aceite, agregue las papas cortadas en cubitos y cocine. Revuelva ocasionalmente y cocine durante unos 13 minutos o hasta que formen una costra dorada. Mientras tanto, en un tazón pequeño, mezcle el ketchup, la salsa de soja, el agua, el condimento italiano, el tomillo picado y revuelva bien. Agregue las verduras mixtas cocidas a la sartén junto con las papas. agregue la mezcla de ketchup y cocine, revolviendo con frecuencia. Cocine durante unos 5 a 7 minutos o hasta que los sabores se mezclen y el hash se haya dorado bien. Una vez listo, el hash de papa vegetariano está listo para servir. Sirva el hash de papa vegetariano caliente con tortilla de clara de huevo con espinacas y jugo de melón (kharbuj) para el desayuno.</t>
  </si>
  <si>
    <t>Pour commencer à préparer le hachis de pommes de terre végétarien, commencez par préparer tous les ingrédients hachés et gardez-les de côté. Faites chauffer 2 cuillères à soupe d'huile dans une poêle antiadhésive à feu doux. Ajoutez les oignons, les légumes, saupoudrez de sel et faites cuire en remuant de temps en temps, jusqu'à ce qu'ils soient dorés. Vous pouvez éventuellement arroser d'eau, couvrir la poêle et cuire jusqu'à ce que les pommes de terre soient bien cuites. Une fois cuits, transférez les légumes cuits dans une assiette. Dans la même poêle, ajoutez une autre cuillère à soupe d'huile, ajoutez les pommes de terre coupées en dés et faites cuire. Remuez de temps en temps et faites cuire pendant environ 13 minutes ou jusqu'à ce qu'elles forment une croûte dorée. Pendant ce temps, dans un petit bol, mélangez le ketchup, la sauce soja, l'eau, l'assaisonnement italien, le thym haché et remuez bien. Ajoutez les légumes mélangés cuits dans la poêle avec les pommes de terre. Incorporez le mélange de ketchup et faites cuire en remuant fréquemment. Faites cuire pendant environ 5 à 7 minutes ou jusqu'à ce que les saveurs se mélangent et que le hachis soit bien doré. Une fois terminé, le hachis de pommes de terre végétarien est prêt à être servi. Servez le hachis de pommes de terre végétarien chaud avec une omelette aux blancs d'œufs aux épinards et du jus de melon musqué (Kharbuj) au petit-déjeuner.</t>
  </si>
  <si>
    <t>http://www.archanaskitchen.com/vegetarian-potato-hash-recipe</t>
  </si>
  <si>
    <t>Mango Musk Melon Chia Seeds Pudding Recipe</t>
  </si>
  <si>
    <t>Rezept für Mango-Zuckermelonen-Chiasamen-Pudding</t>
  </si>
  <si>
    <t>Recette de pudding à la mangue, au cantaloup et aux graines de chia</t>
  </si>
  <si>
    <t>Receta de pudín de mango, melón y semillas de chía</t>
  </si>
  <si>
    <t>2 tasses de melon musqué - pulpe, 2 mangues (mûres) - alphanso, 1/2 tasse de lait - ou de lait de coco, 2 cuillères à soupe de miel - ou de nectar d'agave, 3 cuillères à soupe de graines de chia, 2 cuillères à soupe de pistaches, bananes mûres - tranches, mangue (mûre) - cubes, pistaches - pour la garniture</t>
  </si>
  <si>
    <t>2 cups Musk Melon - pulp,2 Mango (Ripe) - alphanso,1/2 cup Milk - or coconut milk,2 tablespoons Honey - or agave nectar,3 tablespoons Chia Seeds,2 tablespoons Pistachios,Ripe Bananas - slices,Mango (Ripe) - cubes,Pistachios - for garnishing</t>
  </si>
  <si>
    <t>2 tazas de melón almizclero - pulpa, 2 mangos (maduros) - alphanso, 1/2 taza de leche - o leche de coco, 2 cucharadas de miel - o néctar de agave, 3 cucharadas de semillas de chía, 2 cucharadas de pistachos, plátanos maduros - rodajas, mango (maduro) - cubos, pistachos - para decorar</t>
  </si>
  <si>
    <t xml:space="preserve">To begin with Mango Musk Melon Chia Seeds Pudding, take mango and muskmelon pulp into a large bowl and add the milk. Blend the mixture using a hand blender till everything is mixed properly.Take the smoothie in a large bowl, add chia seeds and pistachios, whisk well to combine. Cling wrap and refrigerate for 4 hours minimum.To serve, spoon the pudding into the bowls, top it with banana and mango slices, sprinkle some pistachios, drizzle a little honey and serve.Serve Mango Musk Melon Chia Seeds Pudding with some fresh fruits and Coffee for your breakfast.
</t>
  </si>
  <si>
    <t>Para preparar el pudín de mango, melón y semillas de chía, coloca la pulpa de mango y melón en un tazón grande y añade la leche. Bate la mezcla con una batidora de mano hasta que esté bien integrada. Vierte el batido en un tazón grande, añade las semillas de chía y los pistachos, y bate bien para integrar. Cubre con film transparente y refrigera durante al menos 4 horas. Para servir, coloca el pudín en los tazones, cúbrelo con rodajas de plátano y mango, espolvorea con pistachos, rocía con un poco de miel y sirve. Sirve el pudín de mango, melón y semillas de chía con fruta fresca y café para desayunar.</t>
  </si>
  <si>
    <t>Pour commencer le pudding mangue-melon-graines de chia, mettez la pulpe de mangue et de melon dans un grand bol et ajoutez le lait. Mixez le tout à l'aide d'un mixeur plongeant jusqu'à obtenir un mélange homogène. Versez le smoothie dans un grand bol, ajoutez les graines de chia et les pistaches, puis fouettez bien. Filmez et réservez au réfrigérateur pendant au moins 4 heures. Pour servir, répartissez le pudding dans les bols, garnissez de tranches de banane et de mangue, parsemez de pistaches, arrosez d'un filet de miel et servez. Servez le pudding mangue-melon-graines de chia avec des fruits frais et du café au petit-déjeuner.</t>
  </si>
  <si>
    <t>https://www.archanaskitchen.com/mango-musk-melon-chia-seeds-pudding-recipe</t>
  </si>
  <si>
    <t>Muesli Chia Seeds Kaiser Roll Recipe - Hard Roll Recipe</t>
  </si>
  <si>
    <t>Müsli-Chiasamen-Kaiserbrötchen-Rezept - Hartbrötchen-Rezept</t>
  </si>
  <si>
    <t>Recette de petit pain Kaiser muesli-graines de chia - Recette de petit pain dur</t>
  </si>
  <si>
    <t>Receta de panecillo Kaiser de muesli y semillas de chía - Receta de panecillo duro</t>
  </si>
  <si>
    <t>2-1/2 tasses de farine tout usage (Maida), 1/2 tasse de flocons d'avoine instantanés (gruau), 1/4 tasse de muesli, 1/4 tasse de graines de chia, 1-1/2 cuillères à café de levure sèche active, 1 cuillère à café de sel, 1 cuillère à café de sucre, 1 œuf entier, 2 cuillères à soupe de beurre, 1 cuillère à soupe de lait, 2 cuillères à soupe de graines de sésame (graines Til)</t>
  </si>
  <si>
    <t>2-1/2 cups All Purpose Flour (Maida),1/2 cup Instant Oats (Oatmeal),1/4 cup Muesli,1/4 cup Chia Seeds,1-1/2 teaspoons Active dry yeast,1 teaspoon Salt,1 teaspoon Sugar,1 Whole Egg,2 tablespoons Butter,1 tablespoon Milk,2 tablespoons Sesame seeds (Til seeds)</t>
  </si>
  <si>
    <t>2-1/2 tazas de harina para todo uso (Maida), 1/2 taza de avena instantánea (avena), 1/4 taza de muesli, 1/4 taza de semillas de chía, 1-1/2 cucharaditas de levadura seca activa, 1 cucharadita de sal, 1 cucharadita de azúcar, 1 huevo entero, 2 cucharadas de mantequilla, 1 cucharada de leche, 2 cucharadas de semillas de sésamo (semillas de Til)</t>
  </si>
  <si>
    <t xml:space="preserve">We begin making the Muesli Chia Seeds Kaiser Roll Recipe by preheating the oven at 180 degree Celsius for about 10 minutes. In a large mixing bowl or the bowl of the hand mixer, add the all the dough ingredients and combine well. Add little warm water at a time and knead to make a smooth and supple dough. Grease the bowl in which you have kneaded the dough, place the kneaded dough in it - cover and allow the dough to rise. It should become double in size in about 1 to 2 hours. After the dough has risen, transfer the kaiser roll dough to a work surface, knead for a few seconds and divide the dough into six equal portions.Shape the kaiser roll dough into round balls, and place them on a greased baking sheet.Rest the dough for about 30 minutes. It will double its size. Brush the Kaiser rolls with milk and sprinkle the sesame seeds on the top. Using a scissor, cut a 1/4 inch deep cross on top of rolls to give it a finish of a Kaiser roll.Bake the Muesli Chia Seeds Kaiser Roll  in the oven 15-20 minutes or until the rolls have a golden brown crust on the top. Remove the Kaiser Rolls from the oven and transfer to wire racks to cool.Serve the Muesli Chia Seeds Kaiser Roll Recipe along with Quick Creamy Pea Soup for a wholesome weeknight dinner.
</t>
  </si>
  <si>
    <t>Comenzamos haciendo la Receta de Rollo Kaiser con Semillas de Chía y Muesli precalentando el horno a 180 grados Celsius durante unos 10 minutos. En un tazón grande para mezclar o en el tazón de la batidora de mano, agregue todos los ingredientes de la masa y combine bien. Agregue un poco de agua tibia a la vez y amase para hacer una masa suave y flexible. Engrase el tazón en el que ha amasado la masa, coloque la masa amasada en él, cubra y deje que la masa suba. Debería duplicar su tamaño en aproximadamente 1 a 2 horas. Después de que la masa haya subido, transfiera la masa del rollo kaiser a una superficie de trabajo, amase durante unos segundos y divida la masa en seis porciones iguales. Forme la masa del rollo kaiser en bolas redondas y colóquelas en una bandeja para hornear engrasada. Deje reposar la masa durante unos 30 minutos. Duplicará su tamaño. Unte los rollos Kaiser con leche y espolvoree las semillas de sésamo en la parte superior. Con unas tijeras, corte una cruz de 6 mm de profundidad en la parte superior de los panecillos para darles un acabado de rollo Kaiser. Hornee el rollo Kaiser con semillas de chía y muesli durante 15 a 20 minutos o hasta que los panecillos tengan una corteza dorada en la parte superior. Retire los rollos Kaiser del horno y páselos a una rejilla para que se enfríen. Sirva la receta del rollo Kaiser con semillas de chía y muesli junto con la sopa cremosa de guisantes rápida para una cena saludable entre semana.</t>
  </si>
  <si>
    <t>Nous commençons à préparer la recette du Kaiser Roll au muesli et aux graines de chia en préchauffant le four à 180 degrés Celsius pendant environ 10 minutes. Dans un grand bol ou dans le bol du batteur à main, ajoutez tous les ingrédients de la pâte et mélangez bien. Ajoutez un peu d'eau tiède à la fois et pétrissez pour obtenir une pâte lisse et souple. Graissez le bol dans lequel vous avez pétri la pâte, placez-y la pâte pétrie - couvrez et laissez la pâte lever. Elle devrait doubler de volume en 1 à 2 heures environ. Une fois la pâte levée, transférez la pâte du Kaiser Roll sur un plan de travail, pétrissez pendant quelques secondes et divisez la pâte en six portions égales. Façonnez la pâte du Kaiser Roll en boules rondes et placez-les sur une plaque à pâtisserie graissée. Laissez reposer la pâte pendant environ 30 minutes. Elle doublera de volume. Badigeonnez les Kaiser Rolls de lait et saupoudrez de graines de sésame sur le dessus. À l'aide de ciseaux, découpez une croix de 6 mm de profondeur sur le dessus des petits pains pour leur donner la finition d'un petit pain Kaiser. Faites cuire le petit pain Kaiser au muesli et aux graines de chia au four pendant 15 à 20 minutes ou jusqu'à ce que les petits pains aient une croûte dorée sur le dessus. Retirez les petits pains Kaiser du four et transférez-les sur des grilles pour les laisser refroidir. Servez la recette du petit pain Kaiser au muesli et aux graines de chia avec une soupe aux pois crémeuse rapide pour un dîner sain en semaine.</t>
  </si>
  <si>
    <t>http://www.archanaskitchen.com/muesli-chia-seeds-kaiser-roll-recipe-hard-roll-recipe</t>
  </si>
  <si>
    <t>Cheesy Masala Omelette Recipe With Roasted Vegetables</t>
  </si>
  <si>
    <t>Rezept für Käse-Masala-Omelett mit geröstetem Gemüse</t>
  </si>
  <si>
    <t>Recette d'omelette au fromage masala et légumes rôtis</t>
  </si>
  <si>
    <t>Receta de tortilla de queso masala y verduras asadas</t>
  </si>
  <si>
    <t>2 œufs entiers, feuilles de coriandre (Dhania) - petit bouquet, 1 piment vert - finement haché, sel - au goût, 2 gousses d'ail - finement hachées, 1/2 oignon - finement tranché, 1/4 tasse de mini-épis de maïs - coupé dans le sens de la longueur, 1/4 poivron rouge (Capsicum) - finement tranché, 1 cuillère à café de sauce chili douce Veeba, 2 tiges d'oignon vert de printemps - hachées, sel - au goût, 2 cuillères à café d'huile de tournesol, 2 cuillères à soupe de Britannia Cheezza - râpé</t>
  </si>
  <si>
    <t>2 Whole Eggs,Coriander (Dhania) Leaves - small bunch,1 Green Chilli - finely chopped,Salt - to taste,2 cloves Garlic - finely chopped,1/2 Onion - thinly sliced,1/4 cup Baby corn - cut lengthwise,1/4 Red Bell pepper (Capsicum) - thinly sliced,1 teaspoon Veeba Sweet Chilli Sauce,2 Stalks Spring Onion Greens - chopped,Salt - to taste,2 teaspoons Sunflower Oil,2 tablespoons Britannia Cheezza - grated</t>
  </si>
  <si>
    <t>2 huevos enteros, hojas de cilantro (Dhania) - manojo pequeño, 1 chile verde - picado fino, sal - al gusto, 2 dientes de ajo - picado fino, 1/2 cebolla - en rodajas finas, 1/4 taza de maíz bebé - cortado a lo largo, 1/4 pimiento rojo (Capsicum) - en rodajas finas, 1 cucharadita de salsa de chile dulce Veeba, 2 tallos de cebolleta - picados, sal - al gusto, 2 cucharaditas de aceite de girasol, 2 cucharadas de queso Britannia - rallado</t>
  </si>
  <si>
    <t xml:space="preserve">To begin making Cheesy Masala Omelette With Roasted Vegetables Recipe first grate the Britannia cheezza and keep it aside.Into a bowl break the eggs and add the coriander leaves, green chillies and salt to taste. Whisk the egg mixture well and keep aside. Add oil into a preheated pan add the garlic and onions and saute till the onions are slightly caramelized. Once done stir in the baby corn and red bell peppers, sprinkle a little salt and saute on high heat until they are roasted and become soft.Once done, stir in the sweet chilli sauce and the spring onion greens. Saute for a few seconds and turn off the heat.The final step is to make the Cheesy Masala Omelette.Add oil into a preheated pan; pour the egg mixture and allow it to cook well on both sides. Flip, when you notice the top is almost cooked.Once both sides of the omelette is done, add a few tablespoons of the roasted veggies on the omelette, sprinkle the Britannia Cheezza and fold in half. Cook for another minute till the cheese melts. Once the cheese melts transfer the Cheesy Masala Omelette With Roasted Vegetables into a serving plate and serve hot. Serve Cheesy Masala Omelette With Roasted Vegetables along with a toast with some Britannia Mexican Chilli Cheese Spreadz and Homemade Fresh Orange Juice.
</t>
  </si>
  <si>
    <t>Para comenzar a hacer la receta de tortilla masala con queso y verduras asadas, primero ralle el queso Britannia y déjelo a un lado. En un tazón, rompa los huevos y agregue las hojas de cilantro, los chiles verdes y la sal al gusto. Bata bien la mezcla de huevo y reserve. Agregue aceite a una sartén precalentada, agregue el ajo y las cebollas y saltee hasta que las cebollas estén ligeramente caramelizadas. Una vez hecho esto, agregue el maíz bebé y los pimientos morrones rojos, espolvoree un poco de sal y saltee a fuego alto hasta que estén asados ​​y suaves. Una vez hecho esto, agregue la salsa de chile dulce y las hojas de cebolleta. Saltee durante unos segundos y apague el fuego. El paso final es hacer la tortilla masala con queso. Agregue aceite a una sartén precalentada; vierta la mezcla de huevo y deje que se cocine bien por ambos lados. Voltéala cuando notes que la parte superior está casi cocida. Una vez que ambos lados de la tortilla estén listos, agrega unas cucharadas de verduras asadas, espolvorea el queso Britannia Cheezza y dóblalo por la mitad. Cocina durante un minuto más hasta que el queso se derrita. Una vez que el queso se derrita, transfiere la tortilla de masala con queso y verduras asadas a un plato para servir y sirve caliente. Sirve la tortilla de masala con queso y verduras asadas junto con una tostada con un poco de queso untable con chile mexicano Britannia y jugo de naranja fresco casero.</t>
  </si>
  <si>
    <t>Pour commencer à préparer une omelette au fromage masala avec des légumes rôtis, râpez d'abord la cheezza Britannia et réservez-la. Dans un bol, cassez les œufs et ajoutez les feuilles de coriandre, les piments verts et le sel au goût. Fouettez bien le mélange d'œufs et réservez. Ajoutez l'huile dans une poêle préchauffée, ajoutez l'ail et les oignons et faites revenir jusqu'à ce que les oignons soient légèrement caramélisés. Une fois terminé, incorporez le maïs miniature et les poivrons rouges, saupoudrez d'un peu de sel et faites revenir à feu vif jusqu'à ce qu'ils soient rôtis et deviennent tendres. Une fois terminé, incorporez la sauce chili douce et les oignons verts. Faites sauter quelques secondes et éteignez le feu. La dernière étape consiste à préparer l'omelette au fromage masala. Ajoutez l'huile dans une poêle préchauffée ; versez le mélange d'œufs et laissez-le bien cuire des deux côtés. Retournez-la lorsque vous constatez que le dessus est presque cuit. Une fois les deux côtés de l'omelette cuits, ajoutez quelques cuillères à soupe de légumes rôtis sur l'omelette, saupoudrez de Britannia Cheezza et pliez-la en deux. Laissez cuire encore une minute jusqu'à ce que le fromage fonde. Une fois le fromage fondu, transférez l'omelette au fromage masala avec des légumes rôtis dans une assiette de service et servez chaude. Servez l'omelette au fromage masala avec des légumes rôtis accompagnée d'un toast avec de la tartinade au fromage mexicain Britannia et du jus d'orange frais maison.</t>
  </si>
  <si>
    <t>http://www.archanaskitchen.com/cheesy-masala-omelette-recipe-with-roasted-vegetables</t>
  </si>
  <si>
    <t>Spinach &amp; Paneer Cornmeal Roll Recipe</t>
  </si>
  <si>
    <t>Rezept für Spinat-Paneer-Maismehlbrötchen</t>
  </si>
  <si>
    <t>Recette de rouleaux de paneer aux épinards et à la fécule de maïs</t>
  </si>
  <si>
    <t>Receta de rollitos de paneer con espinacas y maicena</t>
  </si>
  <si>
    <t>1 tasse de semoule de maïs, 1/2 tasse de farine de blé entier, 1/2 tasse de farine d'avoine, 1 cuillère à café de levure sèche active, 2 cuillères à café de sucre, 1/4 tasse d'huile d'olive extra vierge, 1/2 tasse de lait, 1/4 tasse de babeurre, eau - pour pétrir, sel - selon le goût, 1 tasse d'épinards - lavés et râpés, 1 tasse de paneer (fromage cottage fait maison) - râpé, 1/4 tasse de poivron rouge (Capsicum), 1 cuillère à soupe de poudre de piment rouge, 1 cuillère à café d'ajwain (graines de carambole) - en poudre, 1 cuillère à café de poudre de poivre noir</t>
  </si>
  <si>
    <t>1 cup Corn meal,1/2 cup Whole Wheat Flour,1/2 cup Oats Flour,1 teaspoon Active dry yeast,2 teaspoon Sugar,1/4 cup Extra Virgin Olive Oil,1/2 cup Milk,1/4 cup Buttermilk,Water - to knead,Salt - as per taste,1 cup Spinach - washed and shredded,1 cup Paneer (Homemade Cottage Cheese) - grated,1/4 cup Red Bell pepper (Capsicum),1 tablespoon Red Chilli powder,1 teaspoon Ajwain (Carom seeds) - powder,1 teaspoon Black pepper powder</t>
  </si>
  <si>
    <t>1 taza de harina de maíz, 1/2 taza de harina integral, 1/2 taza de harina de avena, 1 cucharadita de levadura seca activa, 2 cucharaditas de azúcar, 1/4 taza de aceite de oliva virgen extra, 1/2 taza de leche, 1/4 taza de suero de leche, agua - para amasar, sal - al gusto, 1 taza de espinaca - lavada y rallada, 1 taza de paneer (requesón casero) - rallado, 1/4 taza de pimiento rojo (Capsicum), 1 cucharada de chile rojo en polvo, 1 cucharadita de ajwain (semillas de carambola) - en polvo, 1 cucharadita de pimienta negra en polvo</t>
  </si>
  <si>
    <t>We begin making the Spinach &amp; Paneer Sausage Roll Recipe by making the bread first. Bloom the yeast with 5 tablespoon of luke warm water and sugar for about 10 minutes till you see enough bubbles.Then in a mixing bowl add the cornmeal, wheat flour, oat flour, and yeast and oil mixture into the bowl and mix well.Warm the milk and add it into the mixture, add the buttermilk as well and mix into a soft dough.Once the dough is kneaded enough, rest it in the same bowl covered with a wet blanket and keep it in a warm place for about 20 minutes.Pre heat the oven for about 180 degree Celsius for 10 minutes and keep it ready for baking.In the mean while prepare for the stuffing. Wash the spinach and chop them into thin strings. Heat a pan with oil, add garlic and onions and saute till it is translucent.Next add the spinach and give it a stir, let the water come out then you can add the crumbled paneer. Season it well with salt, jeera powder, pepper powder and red chilli powder. Keep it aside.Take out the bread and knock it down as it would increase in its size. Knead little more and roll it flat by dusting it out on your kitchen surface.The dough will be soft so handle delicately and keep dusting the flour and rolling it.Roll it into a huge rectangle shaped dough, with 1 inch thickness, add the stuffing and spread it evenly over the surface.Now carefully roll it over and form a log, cut the log into 10 slices, you will notice beautiful pin wheel the dough has formed into.Place the cornmeal roll slices close together in the greased pan. Cover and we will now allow it to rise for another 30 minutes.Keep a cup of milk with honey mixed for ready to brush it over the bread. Rest the bread for about 10 more minutes and sprinkle red bell peppers and bake it for about 30 minutes.In the middle you can brush it with honey to give that brown color to the bread. Once it is baked, rest it for few minutes and serve or serve immediately.Serve the Spinach &amp; Paneer Sausage Roll Recipe as a healthy snack</t>
  </si>
  <si>
    <t>Para preparar el rollo de salchicha de espinacas y paneer, primero preparamos el pan. Hierve la levadura con 5 cucharadas de agua tibia y azúcar durante unos 10 minutos hasta que veas suficientes burbujas. Luego, en un tazón, agrega la harina de maíz, la harina de trigo, la harina de avena y la mezcla de levadura y aceite, y mezcla bien. Calienta la leche y agrégala a la mezcla, agrega también el suero de leche y mezcla hasta formar una masa suave. Una vez que la masa esté lo suficientemente amasada, déjala reposar en el mismo tazón cubierta con un paño húmedo y mantenla en un lugar cálido durante unos 20 minutos. Precalienta el horno a unos 180 grados Celsius durante 10 minutos y mantenlo listo para hornear. Mientras tanto, prepara el relleno. Lava las espinacas y córtalas en tiras finas. Calienta una sartén con aceite, agrega el ajo y la cebolla y saltea hasta que estén transparentes. Luego, agrega las espinacas y revuelve, deja que escurra el agua y luego puedes agregar el paneer desmenuzado. Sazona bien con sal, jeera en polvo, pimienta en polvo y chile rojo en polvo. Reserva. Retira el pan y aplánalo a medida que aumenta de tamaño. Amasa un poco más y extiéndelo espolvoreándolo sobre la superficie de la cocina. La masa estará suave, así que manipúlala con cuidado y espolvoréala con harina. Extiéndela hasta formar un rectángulo grande de 2,5 cm de grosor. Agrega el relleno y extiéndelo uniformemente sobre la superficie. Ahora, con cuidado, forma un rollo. Córtalo en 10 rebanadas; verás que la masa forma un hermoso remolino. Coloca las rebanadas de pan de harina de maíz juntas en la bandeja engrasada. Cubre y deja reposar otros 30 minutos. Reserva una taza de leche con miel para untar el pan. Deja reposar el pan unos 10 minutos más, espolvorea pimientos rojos y hornéalo durante unos 30 minutos. Puedes untar el centro con miel para darle ese color marrón. Una vez horneado, déjelo reposar unos minutos y sirva o sirva inmediatamente. Sirva la receta de rollo de salchicha de espinaca y paneer como un refrigerio saludable.</t>
  </si>
  <si>
    <t>Pour préparer la recette de roulé aux épinards et au paneer, nous commençons par préparer le pain. Délayez la levure avec 5 cuillères à soupe d'eau tiède et le sucre pendant environ 10 minutes, jusqu'à ce que vous voyiez suffisamment de bulles. Ensuite, dans un saladier, ajoutez la semoule de maïs, la farine de blé, la farine d'avoine, le mélange levure-huile et bien mélangez. Faites chauffer le lait, ajoutez-le au mélange, puis ajoutez le babeurre et mélangez jusqu'à obtenir une pâte souple. Une fois la pâte suffisamment pétrie, laissez-la reposer dans le même saladier, recouverte d'une couverture humide, dans un endroit chaud pendant environ 20 minutes. Préchauffez le four à environ 180 °C pendant 10 minutes et laissez cuire. Pendant ce temps, préparez la farce. Lavez les épinards et coupez-les en fines lanières. Faites chauffer l'huile dans une poêle, ajoutez l'ail et les oignons et faites-les revenir jusqu'à ce qu'ils soient translucides. Ajoutez ensuite les épinards et remuez, laissez l'eau s'écouler, puis ajoutez le paneer émietté. Assaisonnez bien avec du sel, du jeera en poudre, du poivre en poudre et du piment rouge en poudre. Réservez. Sortez le pain et aplatissez-le pour éviter qu'il ne grossisse. Pétrissez encore un peu et étalez-le sur votre plan de travail. La pâte sera molle, manipulez-la délicatement en la saupoudrant de farine et en la roulant. Étalez-la en un grand rectangle de 2,5 cm d'épaisseur, ajoutez la farce et étalez-la uniformément sur la surface. Roulez-la ensuite délicatement pour former un boudin. Coupez-le en 10 tranches : vous remarquerez la belle forme de rouleau formée par la pâte. Placez les tranches de pain de semoule de maïs serrées les unes contre les autres dans le moule graissé. Couvrez et laissez lever encore 30 minutes. Gardez une tasse de lait mélangé au miel pour en badigeonner le pain. Laissez reposer le pain environ 10 minutes supplémentaires, parsemez de poivrons rouges et enfournez pour environ 30 minutes. Vous pouvez badigeonner le pain de miel au milieu pour lui donner une belle couleur brune. Une fois cuit, laissez reposer quelques minutes et servez ou servez immédiatement. Servez la recette de rouleau de saucisse aux épinards et au paneer comme une collation saine</t>
  </si>
  <si>
    <t>http://www.archanaskitchen.com/spinach-paneer-cornmeal-roll-recipe</t>
  </si>
  <si>
    <t>Homemade Trail Mix Recipe with Dry Fruits</t>
  </si>
  <si>
    <t>Rezept für selbstgemachtes Studentenfutter mit Trockenfrüchten</t>
  </si>
  <si>
    <t>Recette de mélange montagnard maison aux fruits secs</t>
  </si>
  <si>
    <t>Receta casera de mezcla de frutos secos</t>
  </si>
  <si>
    <t>1 tasse de noix coupées en quartiers, 1 tasse d'amandes tranchées, 1 tasse de pistaches tranchées, 1/2 tasse de raisins secs, 1/2 tasse de canneberges, 1/2 tasse de dattes, 1/2 tasse de graines de tournesol</t>
  </si>
  <si>
    <t>1 cup Walnuts - quartered,1 cup Badam (Almond) - sliced,1 cup Pistachios - sliced,1/2 cup Raisins,1/2 cup Cranberries,1/2 cup Dates,1/2 cup Sunflower seeds</t>
  </si>
  <si>
    <t>1 taza de nueces cortadas en cuartos, 1 taza de almendras en rodajas, 1 taza de pistachos en rodajas, 1/2 taza de pasas, 1/2 taza de arándanos rojos, 1/2 taza de dátiles, 1/2 taza de semillas de girasol</t>
  </si>
  <si>
    <t xml:space="preserve">To begin making the Homemade Trail Mix Recipe with Dry Fruits, all you have to do is get all the ingredients ready. Cut them into small bite size pieces and combine all of them together.Store the Homemade Trail Mix in airtight glass jars so they stay fresh for a long time.Serve Homemade Trail Mix Recipe as an after school snack to your kids along with Pineapple Banana &amp; Oat Smoothie Recipe.
</t>
  </si>
  <si>
    <t>Para empezar a preparar la receta de mezcla casera de frutos secos, solo tienes que tener todos los ingredientes listos. Córtalos en trozos pequeños y mézclalos. Guarda la mezcla casera de frutos secos en frascos de vidrio herméticos para que se mantenga fresca durante mucho tiempo. Sirve la receta de mezcla casera de frutos secos como refrigerio después de la escuela para tus hijos junto con la receta de batido de piña, plátano y avena.</t>
  </si>
  <si>
    <t>Pour commencer à préparer la recette de mélange montagnard maison aux fruits secs, il vous suffit de préparer tous les ingrédients. Coupez-les en petits morceaux et mélangez-les tous ensemble. Conservez le mélange montagnard maison dans des bocaux en verre hermétiques pour qu'ils restent frais longtemps. Servez la recette de mélange montagnard maison comme collation après l'école à vos enfants avec la recette de smoothie ananas banane et avoine.</t>
  </si>
  <si>
    <t>http://www.archanaskitchen.com/homemade-trail-mix-recipe-with-dry-fruits</t>
  </si>
  <si>
    <t>Roasted Cauliflower Dill Soup Recipe</t>
  </si>
  <si>
    <t>Rezept für geröstete Blumenkohl-Dill-Suppe</t>
  </si>
  <si>
    <t>Recette de soupe de chou-fleur rôti et d'aneth</t>
  </si>
  <si>
    <t>Receta de sopa de coliflor asada y eneldo</t>
  </si>
  <si>
    <t>1 chou-fleur (gobi) - coupé en fleurons moyens, 4 cuillères à soupe de lait, 2 brins de feuilles d'aneth, 2 cuillères à café de noix - grillées, sel - au goût, poivre noir en poudre - pour l'assaisonnement, huile de tournesol - pour la cuisson</t>
  </si>
  <si>
    <t>1 Cauliflower (gobi) - cut into medium floret,4 tablespoon Milk,2 sprigs Dill leaves,2 teaspoon Walnuts - toasted,Salt - to taste,Black pepper powder - for seasoning,Sunflower Oil - for cooking</t>
  </si>
  <si>
    <t>1 coliflor (gobi) - cortada en floretes medianos, 4 cucharadas de leche, 2 ramitas de hojas de eneldo, 2 cucharaditas de nueces tostadas, sal - al gusto, pimienta negra en polvo - para condimentar, aceite de girasol - para cocinar</t>
  </si>
  <si>
    <t xml:space="preserve">To begin making the Roasted Cauliflower Dill Soup Recipe cut the cauliflower into small sized florets and soaking them in water in order to remove any warms. Later wash the florets thoroughly, drain them and keep it aside.Heat a shallow frying pan with some oil, add in the florets and saute till it is roasted and has a charred look. You can add some salt while cooking.Once done set it aside to cool and blend it in a hand blender with milk to a fine smooth paste.Transfer the smooth cauliflower paste into a saucepan and add some water or milk to consistency that you wish to consume the soup.Add in the the dill leaves and check for the seasonings. Pour it into a serving bowl and garnish it with some toasted walnuts and a drizzle of olive oil.Serve the Roasted Cauliflower Dill Soup Recipe with breakfast meal.
</t>
  </si>
  <si>
    <t>Para empezar a preparar la Receta de Sopa de Coliflor Asada con Eneldo, corte la coliflor en ramilletes pequeños y remójelos en agua para eliminar cualquier resto de calor. Luego, lave bien los ramilletes, escúrralos y resérvelos. Caliente una sartén poco profunda con un poco de aceite, agregue los ramilletes y saltee hasta que estén asados ​​y tengan un aspecto carbonizado. Puede agregar un poco de sal mientras se cocina. Una vez hecho, déjelo enfriar y mézclelo en una batidora de mano con leche hasta obtener una pasta fina y suave. Transfiera la pasta suave de coliflor a una cacerola y agregue un poco de agua o leche hasta obtener la consistencia que desee para la sopa. Agregue las hojas de eneldo y pruebe los condimentos. Vierta la mezcla en un tazón para servir y decórelo con algunas nueces tostadas y un chorrito de aceite de oliva. Sirva la Receta de Sopa de Coliflor Asada con Eneldo con el desayuno.</t>
  </si>
  <si>
    <t>Pour commencer à préparer la recette de soupe de chou-fleur rôti à l'aneth, coupez le chou-fleur en petits bouquets et faites-les tremper dans de l'eau afin d'éliminer toute trace de chaleur. Ensuite, lavez soigneusement les bouquets, égouttez-les et réservez. Faites chauffer une poêle peu profonde avec un peu d'huile, ajoutez les bouquets et faites-les revenir jusqu'à ce qu'ils soient rôtis et carbonisés. Vous pouvez ajouter un peu de sel pendant la cuisson. Une fois terminé, laissez refroidir et mixez-le dans un mixeur plongeant avec du lait jusqu'à obtenir une pâte fine et lisse. Transférez la pâte de chou-fleur dans une casserole et ajoutez de l'eau ou du lait jusqu'à obtenir la consistance souhaitée. Ajoutez les feuilles d'aneth et vérifiez l'assaisonnement. Versez le tout dans un bol de service et garnissez de noix grillées et d'un filet d'huile d'olive. Servez la recette de soupe de chou-fleur rôti à l'aneth au petit-déjeuner.</t>
  </si>
  <si>
    <t>http://www.archanaskitchen.com/roasted-cauliflower-dill-soup-recipe</t>
  </si>
  <si>
    <t>Apple Vanilla Whole Wheat Pancakes Recipe</t>
  </si>
  <si>
    <t>Rezept für Apfel-Vanille-Vollkornpfannkuchen</t>
  </si>
  <si>
    <t>Recette de crêpes complètes pomme-vanille</t>
  </si>
  <si>
    <t>Receta de panqueques integrales de manzana y vainilla</t>
  </si>
  <si>
    <t>1 tasse de farine de blé entier, 1 cuillère à café de levure chimique, 1/4 cuillère à café de sel, 1 œuf entier - bien battu ou substitut d'œuf à base de farine de lin, 1 cuillère à café d'extrait de vanille, 1 tasse de lait - froid, 1 pomme - pelée et râpée, 1 cuillère à soupe d'huile de tournesol, miel - pour servir, fruits mélangés - ou pommes pour servir</t>
  </si>
  <si>
    <t>1 cup Whole Wheat Flour,1 teaspoon Baking powder,1/4 teaspoon Salt,1 Whole Eggs - well beaten or Flax meal Egg Replacer,1 teaspoon Vanilla Extract,1 cup Milk - cold,1 Apple - peeled and grated,1 tablespoon Sunflower Oil,Honey - for serving,Mixed fruits - or apples for serving</t>
  </si>
  <si>
    <t>1 taza de harina integral, 1 cucharadita de polvo para hornear, 1/4 cucharadita de sal, 1 huevo entero bien batido o sustituto de huevo de harina de lino, 1 cucharadita de extracto de vainilla, 1 taza de leche fría, 1 manzana pelada y rallada, 1 cucharada de aceite de girasol, miel para servir, frutas mixtas o manzanas para servir</t>
  </si>
  <si>
    <t xml:space="preserve">To begin making the Apple Vanilla Whole Wheat Pancakes Recipe, stir together wheat flour, baking powder and salt.Add eggs (or the flax eggs), milk, vanilla extract, grated apple, and oil and whisk until well blended.Heat skillet in medium heat. Pour a ladle full of the apple vanilla pancake mixture on the skillet. Do not spread the mixture on the skillet, once pour it on a hot skillet it creates on its own a boundary point .Cook until bubbles form and edges start to fry and turn lightly crisp. Flip over and cook until lightly browned.Serve the Apple Vanilla Whole Wheat Pancakes with more apples or other fruits drizzled with honey or any other seasonal fruit of your choice for a healthy breakfast.
</t>
  </si>
  <si>
    <t>Para empezar a preparar la receta de panqueques de trigo integral con manzana y vainilla, mezcla la harina de trigo, el polvo para hornear y la sal. Agrega los huevos (o los huevos de lino), la leche, el extracto de vainilla, la manzana rallada y el aceite y bate hasta que estén bien mezclados. Calienta una sartén a fuego medio. Vierte un cucharón lleno de la mezcla para panqueques de manzana y vainilla en la sartén. No esparzas la mezcla en la sartén, una vez que la viertas en una sartén caliente, crea por sí sola un punto límite. Cocina hasta que se formen burbujas y los bordes comiencen a freírse y se vuelvan ligeramente crujientes. Voltea y cocina hasta que estén ligeramente dorados. Sirve los panqueques de trigo integral con manzana y vainilla con más manzanas u otras frutas rociadas con miel o cualquier otra fruta de temporada de tu elección para un desayuno saludable.</t>
  </si>
  <si>
    <t>Pour commencer à préparer la recette de crêpes complètes à la pomme et à la vanille, mélangez la farine de blé, la levure chimique et le sel. Ajoutez les œufs (ou les œufs de lin), le lait, l'extrait de vanille, la pomme râpée et l'huile et fouettez jusqu'à ce que le tout soit bien mélangé. Faites chauffer une poêle à feu moyen. Versez une louche de préparation pour crêpes à la pomme et à la vanille dans la poêle. N'étalez pas le mélange sur la poêle, car une fois versé sur une poêle chaude, il crée tout seul un point de délimitation. Faites cuire jusqu'à ce que des bulles se forment et que les bords commencent à frire et deviennent légèrement croustillants. Retournez et faites cuire jusqu'à ce qu'ils soient légèrement dorés. Servez les crêpes complètes à la pomme et à la vanille avec plus de pommes ou d'autres fruits arrosés de miel ou de tout autre fruit de saison de votre choix pour un petit-déjeuner sain.</t>
  </si>
  <si>
    <t>https://www.archanaskitchen.com/apple-vanilla-whole-wheat-pancakes-recipe</t>
  </si>
  <si>
    <t>Ice-Apple And Plum Rose Juice Recipe</t>
  </si>
  <si>
    <t>Rezept für Eis-Apfel-Pflaumen-Rosensaft</t>
  </si>
  <si>
    <t>Recette de jus glacé de pomme, de prune et de rose</t>
  </si>
  <si>
    <t>Receta de jugo helado de manzana, ciruela y rosas</t>
  </si>
  <si>
    <t>3-4 prunes roses, 4 pommes glacées (Nongu), 1 cuillère à soupe de sucre - au goût, jus de citron - d'1/2 citron</t>
  </si>
  <si>
    <t>3-4 Plum Rose Fruit,4 Ice Apple (Nongu),1 tablespoon Sugar - to taste,Lemon juice - of 1/2 a lemon</t>
  </si>
  <si>
    <t>3-4 ciruelas rosas, 4 manzanas de hielo (Nongu), 1 cucharada de azúcar (al gusto), jugo de limón (de 1/2 limón)</t>
  </si>
  <si>
    <t xml:space="preserve">To begin making Ice-Apple And Plum Rose Juice, first chop the plum rose to medium pieces. Keep aside in a bowl. Next remove the shell of the nongu or ice apple and gently remove the brown skin reserving the juices. Reserve the nongu juice in a bowl and keep the fruit pulp in a separate bowl.In a juicer or blender add nongu juice, chopped plum rose and sugar, blend to a smooth shake like consistency, use little water if required to adjust the consistency of the juice.Add the lemon juice and stir to combine. Taste and adjust the amount of sugar accordingly. Serve the Ice-Apple And Plum Rose Juice chilled or at room temperature during hot summer afternoons.
</t>
  </si>
  <si>
    <t>Para empezar a preparar el jugo de manzana helada y rosa ciruela, primero corte la rosa ciruela en trozos medianos. Resérvelos en un tazón. A continuación, retire la cáscara de la manzana nong u o manzana helada y retire con cuidado la piel marrón, reservando el jugo. Reserve el jugo de nong u en un tazón y guarde la pulpa de la fruta en un tazón aparte. En un exprimidor o licuadora, agregue el jugo de nong u, la rosa ciruela picada y el azúcar, licúe hasta obtener una consistencia suave como la de un batido, use un poco de agua si es necesario para ajustar la consistencia del jugo. Agregue el jugo de limón y revuelva para combinar. Pruebe y ajuste la cantidad de azúcar según corresponda. Sirva el jugo de manzana helada y rosa ciruela frío o a temperatura ambiente durante las tardes calurosas de verano.</t>
  </si>
  <si>
    <t>Pour préparer un jus de pomme glacée et de rose de prune, commencez par couper la rose de prune en morceaux moyens. Réservez-la dans un bol. Retirez ensuite la coque du nongu ou de la pomme glacée et retirez délicatement la peau brune en réservant le jus. Réservez le jus de nongu dans un bol et conservez la pulpe du fruit dans un autre bol. Dans un presse-agrumes ou un mixeur, ajoutez le jus de nongu, la rose de prune hachée et le sucre. Mixez jusqu'à obtenir une consistance lisse, semblable à celle d'un milk-shake. Utilisez un peu d'eau si nécessaire pour ajuster la consistance du jus. Ajoutez le jus de citron et mélangez. Goûtez et ajustez la quantité de sucre en conséquence. Servez le jus de pomme glacée et de rose de prune frais ou à température ambiante lors des chaudes après-midi d'été.</t>
  </si>
  <si>
    <t>http://www.archanaskitchen.com/ice-apple-plum-and-rose-milkshake-recipe</t>
  </si>
  <si>
    <t>Avocado Egg Sandwich Recipe</t>
  </si>
  <si>
    <t>Avocado-Ei-Sandwich-Rezept</t>
  </si>
  <si>
    <t>Recette de sandwich aux œufs et à l'avocat</t>
  </si>
  <si>
    <t>Receta de sándwich de huevo y aguacate</t>
  </si>
  <si>
    <t>2 avocats coupés dans le sens de la longueur, 1 cuillère à café de jus de citron, 1 cuillère à café de poivre noir en poudre, 1 cuillère à café de poivre noir en poudre, 1 pincée de sel, 1 1/2 cuillère à café d'huile d'olive extra vierge, 1 1/2 cuillère à café d'huile d'olive, 8 pains complets, 1 concombre tranché, 10 jalapeños marinés, 2 œufs durs coupés en rondelles, laitue iceberg, 2 cornichons marinés, feuilles de coriandre (Dhania) finement hachées</t>
  </si>
  <si>
    <t>2 Avocados - cut lengthwise,1 teaspoon Lemon juice,1 teaspoon Black pepper powder - 1 teaspoon black pepper powder,1 pinch Salt,1 1/2 teaspoon Extra Virgin Olive Oil - 1 1/2 teaspoons olive oil,8 Whole Wheat Brown Bread,1 Cucumber - Sliced,10 Pickled Jalapenos - Pickled jalapenos,2 Boiled egg - sliced into rounds,Iceberg lettuce - Lettuce leaves,2 Gherkins - Pickled gherkins,Coriander (Dhania) Leaves - finely chopped</t>
  </si>
  <si>
    <t>2 aguacates cortados a lo largo, 1 cucharadita de jugo de limón, 1 cucharadita de pimienta negra en polvo, 1 pizca de sal, 1 1/2 cucharadita de aceite de oliva virgen extra, 1 1/2 cucharadita de aceite de oliva, 8 panes integrales, 1 pepino en rodajas, 10 jalapeños encurtidos, 2 huevos cocidos cortados en rodajas, lechuga iceberg, 2 pepinillos encurtidos, hojas de cilantro (dhania) finamente picadas</t>
  </si>
  <si>
    <t xml:space="preserve">To begin making the Avocado Egg Sandwich, first scoop out the flesh of 2 ripe avocados. Mash it with a fork, add the olive oil, salt, pepper, lime juice and mix it well until smooth.Chop the other two avocados lengthwise and sprinkle well with lemon juice. This prevents it from going black due to oxidation. Place the slices in a dish, cover and set aside.Boil the eggs, allow them to cool, shell and slice them into rounds.Take two slices of bread and spread the prepared avocado paste on each. Next, layer the toppings of your choice: lettuce, pickled gherkins, cucumber slices, boiled eggs and ripe avocado slicesTop the sandwich with coriander leaves.Serve Avocado Egg Sandwich along with Carrot Pineapple Orange Juice for a filling breakfast.
</t>
  </si>
  <si>
    <t>Para empezar a preparar el Sándwich de Huevo y Aguacate, primero extrae la pulpa de dos aguacates maduros. Tritúrala con un tenedor, añade aceite de oliva, sal, pimienta y zumo de lima, y ​​mezcla bien hasta obtener una mezcla homogénea. Corta los otros dos aguacates a lo largo y rocíalos con zumo de limón. Esto evita que se ennegrezcan por oxidación. Coloca las rodajas en un plato, cúbrelas y reserva. Hierve los huevos, déjalos enfriar, quítales la cáscara y córtalos en rodajas. Toma dos rebanadas de pan y unta cada una con la pasta de aguacate preparada. A continuación, coloca los ingredientes que prefieras: lechuga, pepinillos encurtidos, rodajas de pepino, huevos duros y rodajas de aguacate maduro. Cubre el sándwich con hojas de cilantro. Sirve el Sándwich de Huevo y Aguacate con zumo de zanahoria, piña y naranja para un desayuno saciante.</t>
  </si>
  <si>
    <t>Pour préparer le sandwich aux œufs et à l'avocat, prélevez la chair de deux avocats mûrs. Écrasez-la à la fourchette, ajoutez l'huile d'olive, le sel, le poivre et le jus de citron vert, puis mélangez bien jusqu'à obtenir une consistance lisse. Coupez les deux autres avocats dans le sens de la longueur et arrosez-les généreusement de jus de citron. Cela évite qu'ils ne noircissent à cause de l'oxydation. Disposez les tranches dans un plat, couvrez et réservez. Faites cuire les œufs, laissez-les refroidir, écalez-les et coupez-les en rondelles. Prenez deux tranches de pain et étalez la pâte d'avocat préparée sur chacune. Ensuite, superposez les garnitures de votre choix : laitue, cornichons marinés, tranches de concombre, œufs durs et tranches d'avocat mûr. Garnissez le sandwich de feuilles de coriandre. Servez le sandwich aux œufs et à l'avocat avec du jus de carotte, d'ananas et d'orange pour un petit-déjeuner copieux.</t>
  </si>
  <si>
    <t>https://www.archanaskitchen.com/chicken-and-cheese-sandwich-with-avocado-recipe</t>
  </si>
  <si>
    <t>Lemon Ginger Spice Detox Tea Recipe</t>
  </si>
  <si>
    <t>Rezept für Detox-Tee mit Zitrone und Ingwer</t>
  </si>
  <si>
    <t>Recette de thé détox au citron et au gingembre</t>
  </si>
  <si>
    <t>Receta de té desintoxicante de limón y jengibre</t>
  </si>
  <si>
    <t>2-1/2 tasses d'eau, 1 pouce de gingembre, 1/2 pouce de bâton de cannelle (Dalchini), 3 gousses/graines de cardamome (Elaichi) - écrasées, 4 feuilles de menthe (Pudina), 6 Tulsi (basilic sacré), citronnelle - (1 brin), 1 cuillère à café de thé noir - feuilles, 1 cuillère à café de sucre - (facultatif)</t>
  </si>
  <si>
    <t>2-1/2 cups Water,1 inch Ginger,1/2 inch Cinnamon Stick (Dalchini),3 Cardamom (Elaichi) Pods/Seeds - crushed,4 Mint Leaves (Pudina),6 Tulsi (holy basil),Lemongrass - (1 strand),1 teaspoon Black tea - leaves,1 teaspoon Sugar - (optional)</t>
  </si>
  <si>
    <t>2-1/2 tazas de agua, 1 pulgada de jengibre, 1/2 pulgada de rama de canela (Dalchini), 3 vainas/semillas de cardamomo (Elaichi) - trituradas, 4 hojas de menta (Pudina), 6 Tulsi (albahaca sagrada), limoncillo - (1 hebra), 1 cucharadita de hojas de té negro, 1 cucharadita de azúcar - (opcional)</t>
  </si>
  <si>
    <t xml:space="preserve">To prepare Lemon Ginger Spice Detox Tea Recipe, boil water in a saucepan and add lemon grass strand into the water and allow it to boil for few seconds.Now add crushed ginger, crushed cardamon and cinnamon to it and allow it a quick boil and simmer the gas for 5 minutes.Add tea leaves along with mint and tulsi leaves, and allow the tea to boil for another 2 minutes.You will now see the color of tea changing to golden.Turn off the gas and strain the tea and sip it on empty stomach for best results.You can serve Lemon Ginger Spice Detox Tea Recipe during evenings with healthy snacks as well.
</t>
  </si>
  <si>
    <t>Para preparar la receta de té desintoxicante de limón, jengibre y especias, hierva agua en una cacerola, añada hebras de limoncillo y déjela hervir unos segundos. A continuación, añada jengibre, cardamomo y canela machacados, deje que hierva rápidamente y cocine a fuego lento durante 5 minutos. Añada hojas de té, menta y tulsi, y deje que hierva otros 2 minutos. Verá que el té se vuelve dorado. Cierre el fuego, cuele el té y bébalo en ayunas para obtener mejores resultados. También puede servir la receta de té desintoxicante de limón, jengibre y especias por las tardes con refrigerios saludables.</t>
  </si>
  <si>
    <t>Pour préparer la recette du thé détox au citron et au gingembre, faites bouillir de l'eau dans une casserole, ajoutez un brin de citronnelle et laissez bouillir quelques secondes. Ajoutez ensuite le gingembre concassé, la cardamome concassée et la cannelle, laissez bouillir rapidement et laissez mijoter 5 minutes. Ajoutez les feuilles de thé, la menthe et les feuilles de tulsi, et laissez bouillir encore 2 minutes. Vous verrez alors la couleur du thé devenir dorée. Coupez le gaz, filtrez le thé et sirotez-le à jeun pour de meilleurs résultats. Vous pouvez également servir la recette du thé détox au citron et au gingembre le soir avec des collations saines.</t>
  </si>
  <si>
    <t>https://www.archanaskitchen.com/lemon-ginger-spice-detox-tea-recipe</t>
  </si>
  <si>
    <t>Basil Pesto Bombs Recipe</t>
  </si>
  <si>
    <t>Rezept für Basilikum-Pesto-Bomben</t>
  </si>
  <si>
    <t>Recette de bombes au pesto de basilic</t>
  </si>
  <si>
    <t>Receta de bombas de pesto de albahaca</t>
  </si>
  <si>
    <t>2 tasses de feuilles de basilic, 3 gousses d'ail, 1/3 tasse de noix - pignons de pin, 1/2 tasse d'huile d'olive extra vierge, 2 cuillères à soupe de parmesan, 1/2 poudre de poivre noir, 1/2 jus de citron, 1 pincée de sel, 400 grammes de patate douce, 1/2 graines de chia, 1/2 origan séché, 1/2 vinaigre de cidre de pomme, 1-2 gousses d'ail - hachées, 2 cuillères à café de flocons de piment rouge, 1-1/4 tasse de farine d'avoine, sel - au goût, huile de tournesol - pour cuire</t>
  </si>
  <si>
    <t>2 cups Basil leaves,3 cloves Garlic,1/3 cup Walnuts - pine nuts,1/2 cup Extra Virgin Olive Oil,2 tablespoons Parmesan cheese,1/2 Black pepper powder,1/2 Lemon juice,1 pinch Salt,400 grams Sweet Potato,1/2 Chia Seeds,1/2 Dried oregano,1/2 Apple cider vinegar,1-2 cloves Garlic - minced,2 teaspoons Red Chilli flakes,1-1/4 cup Oats Flour,Salt - to taste,Sunflower Oil - to cook</t>
  </si>
  <si>
    <t>2 tazas de hojas de albahaca, 3 dientes de ajo, 1/3 taza de nueces - piñones, 1/2 taza de aceite de oliva virgen extra, 2 cucharadas de queso parmesano, 1/2 pimienta negra en polvo, 1/2 jugo de limón, 1 pizca de sal, 400 gramos de batata, 1/2 semillas de chía, 1/2 orégano seco, 1/2 vinagre de sidra de manzana, 1-2 dientes de ajo picados, 2 cucharaditas de hojuelas de chile rojo, 1-1/4 taza de harina de avena, sal - al gusto, aceite de girasol - para cocinar</t>
  </si>
  <si>
    <t xml:space="preserve">To prepare Basil Pesto Bombs Recipe, to make basi pesto, wash the basil leaves and drain the excess water and dry them by placing them on kitchen towels.Now place all the ingredients of the basil pesto except olive in a food processor/ blender and blend them coarsely while slowly incorporating oil while blending or adding oil in intervals.Store this in an air tight container in the refrigerator for a couple of hours.Wash, peel and chop the sweet potato and let it steam cook until it is completely soft. Let this cool to room temperature.In a bowl, add chia seeds and add 1-1/2 tablespoons of water and let it swell for 10-15 minutes.Now in a large mixing bowl add sweet potato and mash it completely add 1 cup of oat flour, chia mixture, apple cider vinegar, oregano, garlic, salt, chilli flakes and mix them all together to form a dough.Let this rest for 15 minutes and check for the stickiness. It should not stick to your hands. If the dough is sticky add the remaining 1/4 cup oat flour and mix well.Now pinch a lemon sized dough, flatten it and spoon 1 teaspoon of basil pesto into the centre and seal all the sides to form a ball. Repeat with the remaining dough mixture.Cook them on a paniyaram pan/mini dutch pancake pan by drizzling very little oil on a low to medium heat by flipping in between, to get an even colour.Serve basil pesto bomb recipe with your favourite salad.
</t>
  </si>
  <si>
    <t>Para preparar la receta de bombas de pesto de albahaca, para hacer pesto de albahaca, lave las hojas de albahaca, escurra el exceso de agua y séquelas colocándolas sobre toallas de cocina. Ahora coloque todos los ingredientes del pesto de albahaca, excepto el de oliva, en un procesador de alimentos/licuadora y mézclelos gruesamente mientras incorpora lentamente el aceite mientras licua o agrega aceite en intervalos. Guarde esto en un recipiente hermético en el refrigerador durante un par de horas. Lave, pele y pique la batata y déjela cocer al vapor hasta que esté completamente blanda. Deje que se enfríe a temperatura ambiente. En un tazón, agregue las semillas de chía y agregue 1-1/2 cucharadas de agua y deje que se hinche durante 10-15 minutos. Ahora, en un tazón grande, agregue la batata y tritúrela completamente, agregue 1 taza de harina de avena, la mezcla de chía, el vinagre de sidra de manzana, el orégano, el ajo, la sal, las hojuelas de chile y mézclelos todos juntos para formar una masa. Deje reposar durante 15 minutos y verifique la pegajosidad. No debe pegarse a sus manos. Si la masa está pegajosa, añade el 1/4 de taza de avena restante y mezcla bien. Ahora, toma una porción de masa del tamaño de un limón, aplánala y añade una cucharadita de pesto de albahaca en el centro. Sella todos los lados para formar una bola. Repite con el resto de la masa. Cocina las bombas en una sartén para panqueques holandesa con un chorrito de aceite a fuego medio-bajo, dándoles la vuelta entre cada uso para que se doren uniformemente. Sirve la receta de bombas de pesto de albahaca con tu ensalada favorita.</t>
  </si>
  <si>
    <t>Pour préparer la recette des bombes de pesto au basilic, lavez les feuilles de basilic, égouttez-les et séchez-les sur du papier absorbant. Placez ensuite tous les ingrédients du pesto au basilic, sauf l'huile d'olive, dans un robot culinaire/mixeur et mixez grossièrement en incorporant lentement l'huile. Conservez le tout dans un récipient hermétique au réfrigérateur pendant quelques heures. Lavez, épluchez et coupez la patate douce en dés et laissez-la cuire à la vapeur jusqu'à ce qu'elle soit bien tendre. Laissez refroidir à température ambiante. Dans un bol, ajoutez les graines de chia, 1 cuillère à soupe et demie d'eau et laissez gonfler 10 à 15 minutes. Dans un grand saladier, ajoutez la patate douce et écrasez-la complètement. Ajoutez 250 ml de farine d'avoine, le mélange de chia, le vinaigre de cidre, l'origan, l'ail, le sel et les flocons de piment. Mélangez le tout jusqu'à obtenir une pâte. Laissez reposer 15 minutes et vérifiez si elle colle bien. Elle ne doit pas coller aux mains. Si la pâte est collante, ajoutez le quart de tasse de farine d'avoine restant et mélangez bien. Prenez une boule de pâte de la taille d'un citron, aplatissez-la et déposez-y une cuillère à café de pesto au centre. Refermez les bords pour former une boule. Répétez l'opération avec le reste de la pâte. Faites cuire les boules dans une poêle à paniyaram ou une mini-crêpe hollandaise en versant un filet d'huile à feu moyen-doux, en les retournant régulièrement pour obtenir une couleur uniforme. Servez cette recette de bombe au pesto au basilic avec votre salade préférée.</t>
  </si>
  <si>
    <t>https://www.archanaskitchen.com/basil-pesto-bombs-recipe</t>
  </si>
  <si>
    <t>Coffee Raisin Cake With Sugar Glaze Recipe</t>
  </si>
  <si>
    <t>Kaffee-Rosinen-Kuchen mit Zuckerglasur Rezept</t>
  </si>
  <si>
    <t>Recette de gâteau au café et aux raisins avec glaçage</t>
  </si>
  <si>
    <t>Receta de pastel de café y pasas con glaseado</t>
  </si>
  <si>
    <t>170 grammes de beurre (non salé) - ramolli, 1 tasse de sucre - granulé, 1 tasse de Vivatta Maida, 4 cuillères à café de levure chimique, 1 cuillère à café de sel, 1-1/4 tasse de lait, 3 œufs entiers, 2 cuillères à café de poudre de café instantané - mélangées dans une cuillère à café d'eau tiède, 170 grammes de beurre (non salé) - ramolli, 1/2 tasse de farine tout usage (Maida), 1-1/2 tasse de cassonade (sucre Demerara), 1 cuillère à café de poudre de café instantané, 1/2 tasse de raisins secs, 1 tasse de sucre - en poudre, 2 cuillères à café d'eau</t>
  </si>
  <si>
    <t>170 Grams Butter (unsalted) - softened,1 Cup Sugar - granulated,1 Cup Vivatta Maida,4 teaspoons Baking powder,1 teaspoon Salt,1-1/4 cup Milk,3 Whole Eggs,2 teaspoons Instant Coffee Powder - mixed in a teaspoon of warm water,170 Grams Butter (unsalted) - softened,1/2 cup All Purpose Flour (Maida),1-1/2 cup Brown Sugar (Demerara Sugar),1 teaspoon Instant Coffee Powder,1/2 cup Raisins,1 cup Sugar - powdered,2 teaspoons Water</t>
  </si>
  <si>
    <t>170 gramos de mantequilla (sin sal) - ablandada, 1 taza de azúcar - granulada, 1 taza de Vivatta Maida, 4 cucharaditas de polvo para hornear, 1 cucharadita de sal, 1-1/4 taza de leche, 3 huevos enteros, 2 cucharaditas de café instantáneo en polvo - mezclado en una cucharadita de agua tibia, 170 gramos de mantequilla (sin sal) - ablandada, 1/2 taza de harina para todo uso (Maida), 1-1/2 taza de azúcar morena (azúcar Demerara), 1 cucharadita de café instantáneo en polvo, 1/2 taza de pasas, 1 taza de azúcar - en polvo, 2 cucharaditas de agua</t>
  </si>
  <si>
    <t xml:space="preserve">To begin making the Coffee Raisin Cake With Sugar Glaze recipe, sift together the flour, baking powder, and salt in a bowl. Kep it aside. In a separate bowl, using electric beater, cream the butter and white sugar.In a small bowl, take 2 teaspoons of instant coffee and add in a teaspoon of warm water. Mix and add it to the creamed butter.Beat for few more seconds. In the creamed butter, add the sifted flour and the milk in alternate batches, mixing until just combined after each addition.Take the egg whites in a separate bowl and with beater, beat them on high till you get stiff peaks. Pour this beaten egg whites into the prepared flour batter and fold gently.Once it is done, pour the batter into a greased 9 x 13 baking pan for the coffee raisin cake. Spread evenly.In a bowl, add in ingredients mentioned for topping and mix with fork or hands. It will be a sticky mixture.Add it all over the poured cake batter. Now pop the pan into the oven and bake for 40 to 45 minutes at 350 degree Farenheit. (Don't worry if the batter is poufing and becoming all buttery and sugary, it is normal)Once the Coffee Raisin Cake With Sugar Glaze, remove out and keep on the cooling rack. Once it cools down, flip it on a tray. Turn over, so that the topping crumbly side faces up.The next step is to make the glaze. Take powdered sugar in a bowl and add a teaspoon of water at a time. Keep mixing until you get nice thick syrup.Drizzle over nicely cooled cake. Cut the cake into desired pieces and enjoy. Serve Coffee Raisin Cake for your tea break along with a cup of Espresso Coffee and Linzer cookies.
</t>
  </si>
  <si>
    <t>Para comenzar a hacer la receta del pastel de café con pasas y glaseado de azúcar, tamice la harina, el polvo para hornear y la sal en un tazón. Déjelo a un lado. En un tazón aparte, usando una batidora eléctrica, bata la mantequilla y el azúcar blanca. En un tazón pequeño, tome 2 cucharaditas de café instantáneo y agregue una cucharadita de agua tibia. Mezcle y agréguelo a la mantequilla cremosa. Bata durante unos segundos más. En la mantequilla cremosa, agregue la harina tamizada y la leche en tandas alternas, mezclando hasta que se combinen después de cada adición. Tome las claras de huevo en un tazón aparte y con una batidora, bátalas a velocidad alta hasta obtener picos rígidos. Vierta estas claras de huevo batidas en la masa de harina preparada y doble suavemente. Una vez hecho esto, vierta la masa en un molde para hornear engrasado de 9 x 13 para el pastel de café con pasas. Extienda uniformemente. En un tazón, agregue los ingredientes mencionados para la cobertura y mezcle con un tenedor o las manos. Será una mezcla pegajosa. Agréguela a la masa del pastel vertida. Ahora coloque el molde en el horno y hornee durante 40 a 45 minutos a 350 grados Fahrenheit. (No se preocupe si la masa se infla y se vuelve mantecosa y azucarada, es normal). Una vez que el pastel de café con pasas y glaseado de azúcar esté listo, sáquelo y déjelo enfriar en la rejilla. Una vez que se enfríe, voltee en una bandeja. Voltee, de modo que el lado desmenuzable de la cobertura quede hacia arriba. El siguiente paso es hacer el glaseado. Tome el azúcar glas en un tazón y agregue una cucharadita de agua a la vez. Siga mezclando hasta obtener un jarabe espeso y agradable. Rocíe sobre el pastel bien frío. Corte el pastel en los trozos deseados y disfrute. Sirva el pastel de café con pasas para su pausa del té junto con una taza de café expreso y galletas Linzer.</t>
  </si>
  <si>
    <t>Pour commencer à préparer la recette du gâteau au café et aux raisins avec glaçage au sucre, tamisez ensemble la farine, la levure chimique et le sel dans un bol. Gardez-le de côté. Dans un autre bol, à l'aide d'un batteur électrique, crémez le beurre et le sucre blanc. Dans un petit bol, prenez 2 cuillères à café de café instantané et ajoutez-y une cuillère à café d'eau tiède. Mélangez et ajoutez-le au beurre crémeux. Battez encore quelques secondes. Dans le beurre crémeux, ajoutez la farine tamisée et le lait en lots alternés, en mélangeant jusqu'à ce que le tout soit juste combiné après chaque ajout. Prenez les blancs d'œufs dans un bol séparé et, à l'aide d'un batteur, battez-les à vitesse élevée jusqu'à obtenir des pics fermes. Versez ces blancs d'œufs battus dans la pâte à farine préparée et incorporez délicatement. Une fois terminé, versez la pâte dans un moule à pâtisserie graissé de 9 x 13 pour le gâteau au café et aux raisins. Étalez uniformément. Dans un bol, ajoutez les ingrédients mentionnés pour la garniture et mélangez à la fourchette ou aux mains. Ce sera un mélange collant. Ajoutez-le partout sur la pâte à gâteau versée. Placez maintenant le moule au four et faites cuire pendant 40 à 45 minutes à 175 degrés Celsius. (Ne vous inquiétez pas si la pâte gonfle et devient beurrée et sucrée, c'est normal). Une fois le gâteau au café et aux raisins avec glaçage au sucre cuit, retirez-le et laissez-le sur la grille de refroidissement. Une fois refroidi, retournez-le sur une plaque. Retournez-le de manière à ce que le côté friable de la garniture soit vers le haut. L'étape suivante consiste à préparer le glaçage. Prenez du sucre glace dans un bol et ajoutez une cuillère à café d'eau à la fois. Continuez à mélanger jusqu'à obtenir un sirop bien épais. Versez sur le gâteau bien refroidi. Coupez le gâteau en morceaux souhaités et dégustez. Servez le gâteau au café et aux raisins pour votre pause thé avec une tasse de café expresso et des biscuits Linzer.</t>
  </si>
  <si>
    <t>https://www.archanaskitchen.com/coffee-raisin-cake-with-sugar-glaze-recipe</t>
  </si>
  <si>
    <t>Baked Egg With Quinoa &amp; Tomato Sauce Recipe</t>
  </si>
  <si>
    <t>Rezept für gebackenes Ei mit Quinoa und Tomatensoße</t>
  </si>
  <si>
    <t>Recette d'œuf au four avec quinoa et sauce tomate</t>
  </si>
  <si>
    <t>Receta de huevo al horno con quinoa y salsa de tomate</t>
  </si>
  <si>
    <t>2 œufs entiers, 1 tasse de quinoa, 1 cuillère à café d'herbes sèches, 1 cuillère à café de flocons de piment rouge, 1 cuillère à soupe d'huile d'olive extra vierge, 2 cuillères à soupe de cheddar râpé, sel au goût, 4 gousses d'ail hachées, 1 oignon finement haché, 4 tomates finement hachées, 1 cuillère à café d'origan séché, 2 cuillères à café d'herbes mélangées (séchées), 2 cuillères à café de flocons de piment rouge, 4 cuillères à soupe de sauce au piment rouge, sel au goût, huile d'olive extra vierge pour la cuisson</t>
  </si>
  <si>
    <t>2 Whole Egg,1 cup Quinoa,1 teaspoon Dry mix herbs,1 teaspoon Red Chilli flakes,1 tablespoon Extra Virgin Olive Oil,2 tablespoons Cheddar cheese - grated,Salt - to taste,4 cloves Garlic - chopped,1 Onion - finely chopped,4 Tomatoes - finely chopped,1 teaspoon Dried oregano,2 teaspoons Mixed Herbs (Dried),2 teaspoon Red Chilli flakes,4 tablespoons Red Chilli sauce,Salt - to taste,Extra Virgin Olive Oil - for cooking</t>
  </si>
  <si>
    <t>2 huevos enteros, 1 taza de quinoa, 1 cucharadita de hierbas secas, 1 cucharadita de hojuelas de chile rojo, 1 cucharada de aceite de oliva virgen extra, 2 cucharadas de queso cheddar rallado, sal al gusto, 4 dientes de ajo picados, 1 cebolla finamente picada, 4 tomates finamente picados, 1 cucharadita de orégano seco, 2 cucharaditas de hierbas mixtas (secas), 2 cucharaditas de hojuelas de chile rojo, 4 cucharadas de salsa de chile rojo, sal al gusto, aceite de oliva virgen extra para cocinar</t>
  </si>
  <si>
    <t xml:space="preserve">To begin making the Baked Egg With Quinoa &amp; Tomato Sauce Recipe, we will pressure cook the washed quinoa in a pressure cooker with 2 cups of water, salt to taste. Pressure cook for at least 3 to 4 whistles. Once done allow the pressure to release naturally. Heat a skillet with oil, add chopped garlic and saute till it softens. Add in chopped onion and saute till the onions get nicely caramelised. Add chopped tomatoes and sprinkle some salt and saute till the tomatoes become soft and mushy. Sprinkle seasonings like oregano, mixed herbs, red chilli flakes and mix it all. Using a potato masher, mash down the tomato mixture to a chunky paste. Bring the tomato sauce to a boil, cook until the sauce reduces. Check for salt and adjust accordingly. Keep it aside. Preheat the oven to 180 degree celsius for 10 minutes, Take two ceramic bowl in which you can bake. Add cooked quinoa first and layer it evenly. Then layer it with tomato sauce, break an egg on top and sprinkle with cheese on top. Bake this Egg With Quinoa &amp; Tomato Sauce in the oven for at least 25 minutes. Once done take it out and sprinkle with dried herbs and red chilli flakes and serve.Serve the Baked Egg With Quinoa &amp; Tomato Sauce Recipe along with a hot cup of Tea and some fresh fruits by the side to make your Sunday Brunch special. 
</t>
  </si>
  <si>
    <t>Para comenzar a hacer la Receta de Huevo al Horno con Quinoa y Salsa de Tomate, cocinaremos a presión la quinoa lavada en una olla a presión con 2 tazas de agua, sal al gusto. Cocine a presión durante al menos 3 a 4 silbidos. Una vez hecho esto, deje que la presión se libere naturalmente. Caliente una sartén con aceite, agregue ajo picado y saltee hasta que se ablande. Agregue cebolla picada y saltee hasta que las cebollas se caramelicen bien. Agregue tomates picados y espolvoree un poco de sal y saltee hasta que los tomates se vuelvan suaves y blandos. Espolvoree condimentos como orégano, hierbas mixtas, hojuelas de chile rojo y mezcle todo. Usando un machacador de papas, triture la mezcla de tomate hasta obtener una pasta espesa. Lleve la salsa de tomate a ebullición, cocine hasta que la salsa se reduzca. Verifique la sal y ajuste según corresponda. Déjelo a un lado. Precaliente el horno a 180 grados centígrados durante 10 minutos, tome dos recipientes de cerámica en los que pueda hornear. Agregue primero la quinoa cocida y colóquela en capas uniformemente. Luego, cúbrelo con salsa de tomate, rompe un huevo encima y espolvorea con queso. Hornea este huevo con quinoa y salsa de tomate durante al menos 25 minutos. Una vez listo, sácalo, espolvorea con hierbas secas y hojuelas de chile rojo y sirve. Sirve la receta de huevo al horno con quinoa y salsa de tomate junto con una taza de té caliente y algunas frutas frescas al lado para que tu brunch dominical sea especial.</t>
  </si>
  <si>
    <t>Pour commencer à préparer la recette d'œufs au four avec quinoa et sauce tomate, nous allons cuire sous pression le quinoa lavé dans un autocuiseur avec 2 tasses d'eau, saler au goût. Cuire sous pression pendant au moins 3 à 4 sifflements. Une fois terminé, laissez la pression se relâcher naturellement. Faites chauffer une poêle avec de l'huile, ajoutez l'ail haché et faites revenir jusqu'à ce qu'il ramollisse. Ajoutez l'oignon haché et faites revenir jusqu'à ce que les oignons soient bien caramélisés. Ajoutez les tomates hachées et saupoudrez de sel et faites sauter jusqu'à ce que les tomates deviennent molles et pâteuses. Saupoudrez d'assaisonnements comme de l'origan, des herbes mélangées, des flocons de piment rouge et mélangez le tout. À l'aide d'un presse-purée, écrasez le mélange de tomates en une pâte épaisse. Portez la sauce tomate à ébullition, faites cuire jusqu'à ce que la sauce réduise. Vérifiez la présence de sel et ajustez en conséquence. Gardez-le de côté. Préchauffez le four à 180 degrés Celsius pendant 10 minutes. Prenez deux bols en céramique dans lesquels vous pouvez cuire. Ajoutez d'abord le quinoa cuit et répartissez-le uniformément. Ensuite, nappez-le de sauce tomate, cassez un œuf dessus et saupoudrez de fromage. Faites cuire cet œuf au quinoa et à la sauce tomate au four pendant au moins 25 minutes. Une fois cuit, sortez-le et saupoudrez d'herbes séchées et de flocons de piment rouge, puis servez. Servez la recette d'œuf au four avec quinoa et sauce tomate avec une tasse de thé chaud et quelques fruits frais à côté pour rendre votre brunch du dimanche spécial.</t>
  </si>
  <si>
    <t>https://www.archanaskitchen.com/baked-egg-with-quinoa-tomato-sauce-recipe</t>
  </si>
  <si>
    <t>Strawberry Panna Cotta Tart With Chocolate Ganache Recipe</t>
  </si>
  <si>
    <t>Erdbeer-Panna-Cotta-Tarte mit Schokoladenganache-Rezept</t>
  </si>
  <si>
    <t>Recette de tarte panna cotta aux fraises et ganache au chocolat</t>
  </si>
  <si>
    <t>Receta de tarta de panna cotta de fresa con ganache de chocolate</t>
  </si>
  <si>
    <t>1-1/2 tasse de farine tout usage (Maida), 1 cuillère à café de sucre en poudre, 1/4 cuillère à café de sel, 4 cuillères à soupe de beurre (non salé) - réfrigéré et finement haché, eau glacée, 400 grammes de fraises, 1-1/2 tasse de crème fraîche, 2-1/4 cuillères à café de gélatine - sans saveur, 1/4 tasse de sucre glace, 1/8 cuillère à café de sel, 100 grammes de chocolat noir, 100 grammes de crème fraîche, quelques fraises, Badam (amande) - effilées, pistaches - effilées</t>
  </si>
  <si>
    <t>1-1/2 cups All Purpose Flour (Maida),1 teaspoon Sugar - powdered,1/4 teaspoon Salt,4 tablespoons Butter (unsalted) - chilled and finely chopped,Chilled water,400 grams Strawberries,1-1/2 cups Fresh cream,2-1/4 teaspoons Gelatin - unflavoured,1/4 cup Confectioners sugar,1/8 teaspoon Salt,100 grams Dark chocolate,100 grams Fresh cream,Strawberries - a few,Badam (Almond) - slivered,Pistachios - slivered</t>
  </si>
  <si>
    <t>1-1/2 tazas de harina para todo uso (Maida), 1 cucharadita de azúcar - en polvo, 1/4 cucharadita de sal, 4 cucharadas de mantequilla (sin sal) - fría y picada finamente, agua fría, 400 gramos de fresas, 1-1/2 tazas de crema fresca, 2-1/4 cucharaditas de gelatina - sin sabor, 1/4 taza de azúcar glas, 1/8 cucharadita de sal, 100 gramos de chocolate negro, 100 gramos de crema fresca, fresas - algunas, Badam (almendra) - en rodajas, pistachos - en rodajas</t>
  </si>
  <si>
    <t xml:space="preserve">To begin making Strawberry Panna Cotta Tart With Chocolate Ganache Recipe, first preheat your oven at 180°C to make the tart shell.In a large mixing bowl, combine melted butter, powdered sugar and salt. Mix well until all ingredients are combined. Sift all purpose flour into the butter and sugar mix until the mixture looks like soft crumbly dough. Using your palm and fingers, spread this dough evenly on the bottom and the sides of a tart pan with a removable base. Use a tart shell with removable bottom as it is easy to remove the whole tart from it and hence making it easy to cut and serve.Cover the tart shell with a cling film and refrigerate for 20 minutes. Once done, prick the shell all over with a fork; this is done so that the tart shell does not rise while it gets baked.Bake the tart shell at 180°C for around 20 mins or until golden brown. Remove from the oven and keep it aside to cool down.The next step is to make the Strawberry Panna Cotta. Chop the strawberries and blend them in a blender to make a fine puree. It will yield approximately 1 cup of strawberry puree. In a pan, take 1/4 cup of water and sprinkle the gelatin over it. Keep it aside for 10 minutes. The gelatine will bloom.Whisk the cream and sugar until smooth and form stiff peaks. Fold the gelatin and the strawberry puree into the cream mixture until well combine.Take care not to overbeat the mixture.Pour the strawberry Panna Cotta into chilled tart shell and keep it in the freezer to set for at least 2 to 3 hours. Once set, you can pour the chocolate Ganache we make below to the tart.Next, for the Chocolate Ganache. Chop the dark chocolate into small pieces, add it into the saucepan. Add cream to the chocolate and place it over a double boiler. Keep stirring it until the chocolate ganache becomes nice and smooth. Allow it to cool a bit.Spread the Chocolate Ganache immediately over the strawberry panna cotta layer and give it a swirl so that the ganache spreads evenly.Keep the Strawberry Panna Cotta Tart Recipe in refrigerator to set for at least 2 hours before serving.Garnish the Strawberry Panna Cotta Tart with fresh strawberries, chopped almonds and pistachiosServe Strawberry Panna Cotta Tart With Chocolate Ganache as a dessert after a Sunday Night Italian feast of Spaghetti Aglio Olio With Parmesan &amp; Greens Recipe and Whole Wheat Focaccia Bread.
</t>
  </si>
  <si>
    <t>Para comenzar a hacer la receta de tarta de panna cotta de fresa con ganache de chocolate, primero precalienta el horno a 180 °C para hacer la base de la tarta. En un tazón grande, combina la mantequilla derretida, el azúcar en polvo y la sal. Mezcla bien hasta que todos los ingredientes estén combinados. Tamiza la harina para todo uso en la mezcla de mantequilla y azúcar hasta que la mezcla parezca una masa suave y desmenuzable. Usando la palma y los dedos, extiende esta masa uniformemente en el fondo y los lados de un molde para tarta con base removible. Usa una base para tarta con base removible, ya que es fácil sacar toda la tarta de ella y, por lo tanto, es fácil de cortar y servir. Cubre la base de la tarta con una película adhesiva y refrigera durante 20 minutos. Una vez hecho esto, pincha la base por todos lados con un tenedor; esto se hace para que la base de la tarta no se levante mientras se hornea. Hornea la base de la tarta a 180 °C durante unos 20 minutos o hasta que esté dorada. Retira del horno y déjalo enfriar. El siguiente paso es hacer la Panna Cotta de Fresa. Corta las fresas y licualas hasta obtener un puré fino. Obtendrás aproximadamente 1 taza de puré de fresa. En una cacerola, coloca 1/4 de taza de agua y espolvorea la gelatina sobre ella. Déjalo reposar durante 10 minutos. La gelatina se derretirá. Bate la crema y el azúcar hasta que esté suave y forme picos firmes. Incorpora la gelatina y el puré de fresa a la mezcla de crema hasta que estén bien combinados. Ten cuidado de no batir demasiado la mezcla. Vierte la Panna Cotta de fresa en una base de tarta fría y guárdala en el congelador para que cuaje durante al menos 2 o 3 horas. Una vez listo, puedes verter el ganache de chocolate que hacemos a continuación en la tarta. A continuación, para el ganache de chocolate. Corta el chocolate negro en trozos pequeños, agrégalo a la cacerola. Agrega la crema al chocolate y colócalo a baño María. Sigue revolviendo hasta que el ganache de chocolate quede agradable y suave. Déjalo enfriar un poco. Extiende el ganache de chocolate inmediatamente sobre la capa de panna cotta de fresa y haz remolinos para que el ganache se extienda uniformemente. Mantén la receta de tarta de panna cotta de fresa en el refrigerador para que cuaje durante al menos 2 horas antes de servir. Decora la tarta de panna cotta de fresa con fresas frescas, almendras picadas y pistachos. Sirve la tarta de panna cotta de fresa con ganache de chocolate como postre después de un festín italiano de domingo por la noche de espaguetis aglio olio con parmesano y verduras y pan focaccia integral.</t>
  </si>
  <si>
    <t>Pour commencer à préparer la recette de tarte panna cotta aux fraises avec ganache au chocolat, préchauffez d'abord votre four à 180 °C pour préparer le fond de tarte. Dans un grand saladier, mélangez le beurre fondu, le sucre glace et le sel. Bien mélanger jusqu'à ce que tous les ingrédients soient combinés. Tamisez la farine tout usage dans le mélange de beurre et de sucre jusqu'à ce que le mélange ressemble à une pâte molle et friable. À l'aide de la paume et des doigts, étalez cette pâte uniformément sur le fond et les côtés d'un moule à tarte à fond amovible. Utilisez un fond de tarte à fond amovible car il est facile de retirer la tarte entière et donc de la couper et de la servir. Couvrez le fond de tarte d'un film alimentaire et réfrigérez pendant 20 minutes. Une fois terminé, piquez le fond de tarte partout avec une fourchette ; ceci est fait pour que le fond de tarte ne lève pas pendant la cuisson. Faites cuire le fond de tarte à 180 °C pendant environ 20 minutes ou jusqu'à ce qu'il soit doré. Retirez du four et laissez refroidir. L'étape suivante consiste à préparer la panna cotta aux fraises. Hachez les fraises et mixez-les dans un mixeur pour obtenir une purée fine. Cela donnera environ 1 tasse de purée de fraises. Dans une casserole, prenez 1/4 tasse d'eau et saupoudrez la gélatine dessus. Réservez pendant 10 minutes. La gélatine va fleurir. Fouettez la crème et le sucre jusqu'à consistance lisse et formez des pics fermes. Incorporez la gélatine et la purée de fraises au mélange de crème jusqu'à ce que le tout soit bien mélangé. Veillez à ne pas trop battre le mélange. Versez la Panna Cotta aux fraises dans le fond de tarte refroidi et conservez-la au congélateur pour qu'elle prenne pendant au moins 2 à 3 heures. Une fois prise, vous pouvez verser la ganache au chocolat que nous préparons ci-dessous sur la tarte. Ensuite, pour la ganache au chocolat. Hachez le chocolat noir en petits morceaux, ajoutez-le dans la casserole. Ajoutez la crème au chocolat et placez-le au bain-marie. Continuez à remuer jusqu'à ce que la ganache au chocolat devienne belle et lisse. Laissez refroidir un peu. Étalez immédiatement la ganache au chocolat sur la couche de panna cotta aux fraises et faites-la tourner pour que la ganache s'étale uniformément. Conservez la recette de tarte à la panna cotta aux fraises au réfrigérateur pendant au moins 2 heures avant de servir. Garnissez la tarte à la panna cotta aux fraises de fraises fraîches, d'amandes hachées et de pistaches. Servez la tarte à la panna cotta aux fraises avec ganache au chocolat en dessert après un festin italien du dimanche soir composé de spaghettis aglio olio au parmesan et aux légumes verts et de pain focaccia au blé entier.</t>
  </si>
  <si>
    <t>https://www.archanaskitchen.com/strawberry-panna-cotta-tart-with-chocolate-ganache-recipe</t>
  </si>
  <si>
    <t>Baked Brie In Puff Pastry With Fruits Recipe</t>
  </si>
  <si>
    <t>Rezept für gebackenen Brie im Blätterteig mit Früchten</t>
  </si>
  <si>
    <t>Recette de Brie au four en pâte feuilletée aux fruits</t>
  </si>
  <si>
    <t>Receta de Brie al horno en hojaldre con frutas</t>
  </si>
  <si>
    <t>125 grammes de fromage Brie, 1 pâte feuilletée (environ 6 x 6 pouces), 1 pomme pelée et hachée, 6 fraises équeutées et hachées, 2 cuillères à soupe de miel, 1 pincée de cannelle en poudre (Dalchini), 1/2 œuf entier fouetté, fruits frais pour servir, craquelins pour servir</t>
  </si>
  <si>
    <t>125 grams Brie cheese,1 Puff Pastry Sheet - (about 6*6 inches),1 Apple - peeled and chopped,6 Strawberries - hulled and chopped,2 tablespoon Honey,1 pinch Cinnamon Powder (Dalchini),1/2 Whole Egg - whisked,Fresh fruits - for serving,Crackers - for serving</t>
  </si>
  <si>
    <t>125 gramos de queso brie, 1 lámina de hojaldre (aproximadamente 6 x 6 pulgadas), 1 manzana (pelada y picada), 6 fresas (sin tallo y picadas), 2 cucharadas de miel, 1 pizca de canela en polvo (dalchini), 1/2 huevo entero (batido), frutas frescas (para servir), galletas (para servir)</t>
  </si>
  <si>
    <t xml:space="preserve">To begin making Baked Brie in puff pastry with fruits first pre-heat the oven to 190 deg C.Line a baking sheet with parchment paper.Place the rolled pastry on the baking sheet.Place the cheese wheel at the centre of the pastry.Mix the apple, strawberries, honey and cinnamon.Top the cheese with the fruits.Gather up the pastry from the edges and enclose the cheese and fruits completely. Press around so that it is neatly packed.Brush the egg over the top and sides of the pastry.Bake for about 20-25 minutes or till the pastry is golden.Serve Baked Brie In Puff Pastry With Fruits Recipe with more fruits and crackers.
</t>
  </si>
  <si>
    <t>Para preparar Brie al Horno en Hojaldre con Frutas, precaliente el horno a 190 °C. Cubra una bandeja para hornear con papel vegetal. Coloque la masa enrollada sobre ella. Coloque la rueda de queso en el centro. Mezcle la manzana, las fresas, la miel y la canela. Cubra el queso con las frutas. Separe la masa de los bordes y envuelva completamente el queso y las frutas. Presione para que quede bien compacta. Pinte con huevo la superficie y los lados de la masa. Hornee durante unos 20-25 minutos o hasta que la masa esté dorada. Sirva la receta de Brie al Horno en Hojaldre con Frutas con más frutas y galletas.</t>
  </si>
  <si>
    <t>Pour préparer un brie feuilleté aux fruits, préchauffez le four à 190 °C. Recouvrez une plaque de cuisson de papier sulfurisé. Déposez la pâte étalée dessus. Placez la meule de fromage au centre. Mélangez la pomme, les fraises, le miel et la cannelle. Garnissez le fromage de fruits. Rassemblez la pâte par les bords et recouvrez-la entièrement de fromage et de fruits. Pressez bien pour bien tasser. Badigeonnez d'œuf le dessus et les côtés de la pâte. Enfournez pour 20 à 25 minutes ou jusqu'à ce que la pâte soit dorée. Servez la recette de brie feuilleté aux fruits avec d'autres fruits et des crackers.</t>
  </si>
  <si>
    <t>http://www.archanaskitchen.com/baked-brie-in-puff-pastry-with-fruits-recipe</t>
  </si>
  <si>
    <t>Mushroom &amp; Bean Sloppy Joe Recipe</t>
  </si>
  <si>
    <t>Rezept für Sloppy Joe mit Pilzen und Bohnen</t>
  </si>
  <si>
    <t>Recette de Sloppy Joe aux champignons et aux haricots</t>
  </si>
  <si>
    <t>Receta de Sloppy Joe de champiñones y frijoles</t>
  </si>
  <si>
    <t>4 pains à hamburger, 200 grammes de champignons de Paris - tranchés, 1 oignon - finement haché, 6 gousses d'ail - finement hachées, 1 poivron rouge (Capsicum) - finement haché, 1 tasse de Rajma (gros haricots rouges) - trempés et cuits, 1/4 tasse de purée de tomates maison, 1 cuillère à soupe de cassonade (sucre Demerara), 2 cuillères à soupe de sauce Sriracha, 4 cuillères à soupe de mayonnaise sans œufs, 1/2 cuillère à café de sel, 1 concombre - tranché, 1 oignon - tranché</t>
  </si>
  <si>
    <t>4 Burger buns,200 grams Button mushrooms - sliced,1 Onion - finely chopped,6 cloves Garlic - finely chopped,1 Red Bell pepper (Capsicum) - finely chopped,1 cup Rajma (Large Kidney Beans) - soaked and cooked,1/4 cup Homemade tomato puree,1 tablespoon Brown Sugar (Demerara Sugar),2 tablespoons Sriracha sauce,4 tablespoons Eggless Mayonnaise,1/2 teaspoon Salt,1 Cucumber - sliced,1 Onion - sliced</t>
  </si>
  <si>
    <t>4 panecillos de hamburguesa, 200 gramos de champiñones rebanados, 1 cebolla finamente picada, 6 dientes de ajo finamente picados, 1 pimiento morrón rojo finamente picado, 1 taza de Rajma (frijoles grandes) remojados y cocidos, 1/4 taza de puré de tomate casero, 1 cucharada de azúcar morena (azúcar Demerara), 2 cucharadas de salsa Sriracha, 4 cucharadas de mayonesa sin huevo, 1/2 cucharadita de sal, 1 pepino en rodajas, 1 cebolla en rodajas</t>
  </si>
  <si>
    <t xml:space="preserve">To begin making the Mushroom &amp; Bean Sloppy Joe Recipe, soak the rajma beans for at least 8 hours and keep it ready.Pressure cook the rajma for about 30 minutes until the rajma is soft and completely cooked through. Once done, allow the pressure to release completely.After the pressure is released open the pressure cooker &amp; drain out the excess water from the rajma. You can use this as a stock or when cooking rice.In a large skillet, heat olive oil over medium heat. Add garlic, mushrooms, onion and capsicum.Saute until the onions and capsicum have become tender. Once done add in the cooked rajma beans, tomato puree, brown sugar, sriracha sauce,and salt to taste. Stir fry on high heat for about a minute and then add 2 tablespoon of mayonnaise. Stir fry for 2 to 3 minutes till the mixture becomes thick. Stir continuously to ensure that the rajma mixture does not stick to the bottom of the pan. Once the mixture has come together turn off the heat and keep it aside.Slice and toast the buns with olive oil in a skillet until it has become browned and crisp.The final step is to assemble the Mushroom &amp; Bean Sloppy Joe.Take a slice of burger bun and spread mayonnaise on the bun. Add sliced cucumber and then add a tablespoon of the rajma filling. Next add some sliced onions on top of the rajma filling. Finally place the other half of the burger bun and serve. Serve the Mushroom &amp; Bean Sloppy Joe Recipe along with delicious Rich Chocolate Almond Brownie along with vanilla ice cream for a delicious weekend dinner with your family.
</t>
  </si>
  <si>
    <t>Para comenzar a hacer la Receta de Sloppy Joe de Champiñones y Frijoles, remoje los frijoles rajma durante al menos 8 horas y manténgalos listos. Cocine a presión el rajma durante unos 30 minutos hasta que esté suave y completamente cocido. Una vez hecho esto, deje que la presión se libere por completo. Después de liberar la presión, abra la olla a presión y escurra el exceso de agua del rajma. Puede usarlo como caldo o para cocinar arroz. En una sartén grande, caliente el aceite de oliva a fuego medio. Agregue el ajo, los champiñones, la cebolla y el pimiento. Saltee hasta que las cebollas y el pimiento se hayan ablandado. Una vez hecho esto, agregue los frijoles rajma cocidos, el puré de tomate, el azúcar moreno, la salsa sriracha y sal al gusto. Saltee a fuego alto durante aproximadamente un minuto y luego agregue 2 cucharadas de mayonesa. Saltee durante 2 a 3 minutos hasta que la mezcla espese. Revuelva continuamente para asegurarse de que la mezcla de rajma no se pegue al fondo de la sartén. Una vez que la mezcla esté lista, apaga el fuego y reserva. Corta y tuesta los panecillos con aceite de oliva en una sartén hasta que estén dorados y crujientes. El paso final es armar el Sloppy Joe de Champiñones y Frijoles. Toma una rebanada de pan de hamburguesa y úntala con mayonesa. Agrega rodajas de pepino y luego una cucharada del relleno de rajma. Luego, agrega algunas cebollas en rodajas sobre el relleno de rajma. Finalmente, coloca la otra mitad del pan de hamburguesa y sirve. Sirve la Receta de Sloppy Joe de Champiñones y Frijoles junto con un delicioso Brownie de Almendras y Chocolate Rico y helado de vainilla para una deliciosa cena de fin de semana con tu familia.</t>
  </si>
  <si>
    <t>Pour commencer à préparer la recette de Sloppy Joe aux champignons et aux haricots, faites tremper les haricots rajma pendant au moins 8 heures et gardez-les prêts. Faites cuire le rajma sous pression pendant environ 30 minutes jusqu'à ce qu'il soit tendre et complètement cuit. Une fois terminé, laissez la pression se relâcher complètement. Une fois la pression relâchée, ouvrez l'autocuiseur et égouttez l'excès d'eau du rajma. Vous pouvez l'utiliser comme bouillon ou pour cuire du riz. Dans une grande poêle, faites chauffer l'huile d'olive à feu moyen. Ajoutez l'ail, les champignons, l'oignon et le poivron. Faites sauter jusqu'à ce que les oignons et les poivrons soient tendres. Une fois terminé, ajoutez les haricots rajma cuits, la purée de tomates, la cassonade, la sauce sriracha et le sel au goût. Faites sauter à feu vif pendant environ une minute, puis ajoutez 2 cuillères à soupe de mayonnaise. Faites sauter pendant 2 à 3 minutes jusqu'à ce que le mélange devienne épais. Remuez continuellement pour vous assurer que le mélange de rajma ne colle pas au fond de la poêle. Une fois le mélange homogène, éteignez le feu et réservez. Coupez les pains en tranches et faites-les griller dans une poêle avec de l'huile d'olive jusqu'à ce qu'ils soient dorés et croustillants. La dernière étape consiste à assembler le Sloppy Joe aux champignons et aux haricots. Prenez une tranche de pain à hamburger et tartinez-la de mayonnaise. Ajoutez des tranches de concombre, puis une cuillère à soupe de garniture au rajma. Ajoutez ensuite des oignons émincés sur la garniture au rajma. Enfin, placez l'autre moitié du pain à hamburger et servez. Servez la recette du Sloppy Joe aux champignons et aux haricots avec un délicieux brownie au chocolat et aux amandes accompagné de glace à la vanille pour un délicieux dîner de week-end en famille.</t>
  </si>
  <si>
    <t>https://www.archanaskitchen.com/mushroom-bean-sloppy-joe-recipe</t>
  </si>
  <si>
    <t>Savoury Pancakes Recipe With Spinach &amp; Paneer Filling</t>
  </si>
  <si>
    <t>Rezept für herzhafte Pfannkuchen mit Spinat-Paneer-Füllung</t>
  </si>
  <si>
    <t>Recette de crêpes salées fourrées aux épinards et au paneer</t>
  </si>
  <si>
    <t>Receta de panqueques salados rellenos de espinacas y paneer</t>
  </si>
  <si>
    <t>1 tasse de jeunes pousses d'épinards - déchirées et blanchies, 1 tasse de paneer (fromage cottage fait maison) - coupé en dés, 1 cuillère à café de graines de cumin (Jeera), 1/2 cuillère à café de poudre de piment rouge, 1/2 cuillère à café de poudre de curcuma (Haldi), 1 cuillère à café de poudre de garam masala, 1 cuillère à café d'ail - haché, 2 piments verts - finement hachés, huile de moutarde - pour arroser, sel - au goût, 1 tasse de farine de pois chiche (besan), 2 piments verts - finement hachés, 1 oignon - finement haché, 1/2 cuillère à café de poudre de piment rouge, 1/2 cuillère à café de poudre de curcuma (Haldi), 1/2 cuillère à café de poudre de garam masala, 1/2 huile de moutarde, sel - au goût, eau - selon les besoins pour la pâte</t>
  </si>
  <si>
    <t>1 Cup Baby spinach - tore and blanched,1 Cup Paneer (Homemade Cottage Cheese) - cubed,1 teaspoon Cumin seeds (Jeera),1/2 teaspoon Red Chilli powder,1/2 teaspoon Turmeric powder (Haldi),1 teaspoon Garam masala powder,1 teaspoon Garlic - minced,2 Green Chillies - finely chopped,Mustard oil - to drizzle,Salt - to taste,1 Cup Gram flour (besan),2 Green Chillies - finely chopped,1 Onion - finely chopped,1/2 teaspoon Red Chilli powder,1/2 teaspoon Turmeric powder (Haldi),1/2 teaspoon Garam masala powder,1/2 Mustard oil,Salt - to taste,Water - as required for batter</t>
  </si>
  <si>
    <t>1 taza de espinacas baby - desgarradas y blanqueadas, 1 taza de paneer (queso cottage casero) - en cubos, 1 cucharadita de semillas de comino (jeera), 1/2 cucharadita de chile rojo en polvo, 1/2 cucharadita de cúrcuma en polvo (haldi), 1 cucharadita de garam masala en polvo, 1 cucharadita de ajo - picado, 2 chiles verdes - finamente picados, aceite de mostaza - para rociar, sal - al gusto, 1 taza de harina de garbanzos (besan), 2 chiles verdes - finamente picados, 1 cebolla - finamente picada, 1/2 cucharadita de chile rojo en polvo, 1/2 cucharadita de cúrcuma en polvo (haldi), 1/2 cucharadita de garam masala en polvo, 1/2 aceite de mostaza, sal - al gusto, agua - la necesaria para la masa</t>
  </si>
  <si>
    <t xml:space="preserve">To begin making Savoury Pancakes Recipe With Spinach &amp; Paneer Filling, prep all the ingredients first, Blanch the spinach leaves in hot water and a bit of salt for a couple of minutes.Now in order to make the filling, first heat up some mustard oil in a pan/skillet and then add cumin seeds into it. Once the cumin seeds start crackling, then add chopped green chillies and minced garlic into it and cook for 1 minute or till the garlic is cooked.Next, add the cubed paneer pieces into the pan &amp; cook till they turn slightly golden. Now add the powdered spices into the pan and mix everything well. Cook for 3-4 minutes, till the paneer cubes, gets properly coated with spices.In the end, add the blanched spinach leaves &amp; salt into the pan and give it a good stir. Let it cook for 3 to 4 minutes again.Turn off the gas and keep this aside.Now in order to make the pancakes, put everything in the bowl apart from water &amp; oil and give it a good stir. Now add 1/2 teaspoon of oil and mix again.Start adding water into the pancake batter and make sure it is not becoming very thick or thin.Once you achieve the perfect consistency, whisk it well.Next heat up a skillet/pan and add a few drops of oil. Tilt the pan to properly coat it with oil.Once the oil is heated enough pour the batter into the pan using a ladle and make sure that whole pan is covered with batter. Filip it after a while in order to cook from both sides. Repeat making pancakes to complete the batter.Once pancakes are ready then lay them flat in a plate and use paneer &amp; spinach as a filling. Fold the pancakes from the middle after filling it. You can serve Savoury Pancakes Recipe With Spinach &amp; Paneer Filling with Homemade Fresh Orange Juice Recipe
</t>
  </si>
  <si>
    <t>Para empezar a preparar la receta de panqueques salados con relleno de espinacas y paneer, prepare primero todos los ingredientes. Escalde las hojas de espinaca en agua caliente con un poco de sal durante un par de minutos. Para el relleno, caliente un poco de aceite de mostaza en una sartén y agregue semillas de comino. Una vez que las semillas de comino comiencen a crujir, agregue chiles verdes picados y ajo picado y cocine durante 1 minuto o hasta que el ajo esté cocido. Luego, agregue los cubos de paneer a la sartén y cocine hasta que se doren ligeramente. Agregue las especias en polvo a la sartén y mezcle todo bien. Cocine durante 3-4 minutos, hasta que los cubos de paneer estén bien cubiertos con las especias. Finalmente, agregue las hojas de espinaca blanqueadas y la sal a la sartén y revuelva bien. Déjalo cocinar de 3 a 4 minutos nuevamente. Apaga el gas y déjalo a un lado. Ahora, para hacer los panqueques, pon todo en el tazón excepto agua y aceite y revuelve bien. Ahora agrega 1/2 cucharadita de aceite y mezcla nuevamente. Comienza a agregar agua a la masa de panqueques y asegúrate de que no se esté volviendo muy espesa o delgada. Una vez que logres la consistencia perfecta, bátelo bien. Luego calienta una sartén/cacerola y agrega unas gotas de aceite. Inclina la sartén para cubrirla adecuadamente con aceite. Una vez que el aceite se haya calentado lo suficiente, vierte la masa en la sartén con un cucharón y asegúrate de que toda la sartén esté cubierta con la masa. Golpéala después de un rato para cocinar por ambos lados. Repite haciendo panqueques para completar la masa. Una vez que los panqueques estén listos, colócalos planos en un plato y usa paneer y espinacas como relleno. Dobla los panqueques desde el medio después de rellenarlos. Puedes servir la receta de panqueques salados rellenos de espinacas y paneer con jugo de naranja fresco casero.</t>
  </si>
  <si>
    <t>Pour préparer des crêpes salées aux épinards et au paneer, préparez tous les ingrédients. Blanchissez les feuilles d'épinards dans de l'eau chaude avec un peu de sel pendant quelques minutes. Pour la garniture, faites chauffer de l'huile de moutarde dans une poêle, puis ajoutez les graines de cumin. Dès que les graines de cumin commencent à crépiter, ajoutez les piments verts hachés et l'ail émincé et faites cuire 1 minute ou jusqu'à ce que l'ail soit cuit. Ajoutez ensuite les morceaux de paneer coupés en dés et faites-les dorer légèrement. Ajoutez ensuite les épices en poudre et mélangez bien le tout. Laissez cuire 3 à 4 minutes, jusqu'à ce que les cubes de paneer soient bien enrobés d'épices. Enfin, ajoutez les feuilles d'épinards blanchies et le sel et remuez bien. Laissez cuire à nouveau 3 à 4 minutes. Éteignez le gaz et réservez. Maintenant, pour faire les crêpes, mettez tout dans le bol sauf l'eau et l'huile et remuez bien. Ajoutez maintenant 1/2 cuillère à café d'huile et mélangez à nouveau. Commencez à ajouter de l'eau dans la pâte à crêpes et assurez-vous qu'elle ne devienne pas trop épaisse ou trop fine. Une fois que vous avez obtenu la consistance parfaite, fouettez bien. Ensuite, faites chauffer une poêle/poêle et ajoutez quelques gouttes d'huile. Inclinez la poêle pour bien l'enrober d'huile. Une fois l'huile suffisamment chaude, versez la pâte dans la poêle à l'aide d'une louche et assurez-vous que toute la poêle est recouverte de pâte. Pliez-la après un moment afin de cuire des deux côtés. Répétez la préparation des crêpes pour compléter la pâte. Une fois les crêpes prêtes, disposez-les à plat dans une assiette et utilisez du paneer et des épinards comme garniture. Pliez les crêpes en partant du milieu après les avoir garnies. Vous pouvez servir des crêpes salées fourrées aux épinards et au paneer avec du jus d'orange frais fait maison.</t>
  </si>
  <si>
    <t>https://www.archanaskitchen.com/savoury-pancakes-recipe-with-spinach-paneer-filling</t>
  </si>
  <si>
    <t>Oatmeal Pancake Recipe With Orange</t>
  </si>
  <si>
    <t>Haferflockenpfannkuchen-Rezept mit Orange</t>
  </si>
  <si>
    <t>Recette de crêpes à l'avoine et à l'orange</t>
  </si>
  <si>
    <t>Receta de panqueques de avena y naranja</t>
  </si>
  <si>
    <t>1/2 tasse de farine de blé entier, 1/2 tasse de farine tout usage (Maida), 1/2 tasse d'avoine instantanée (gruau), 1/4 tasse de caillé (dahi / yaourt), 2 œufs entiers, 1 cuillère à café de levure chimique, 2 cuillères à café de zeste d'orange (écorce) - en poudre, 1/4 tasse de jus d'orange frais, 1 pincée de sel, huile de tournesol - pour arroser</t>
  </si>
  <si>
    <t>1/2 cup Whole Wheat Flour,1/2 cup All Purpose Flour (Maida),1/2 cup Instant Oats (Oatmeal),1/4 cup Curd (Dahi / Yogurt),2 Whole Eggs,1 teaspoon Baking powder,2 teaspoons Orange Zest (Rind) - powdered,1/4 cup Fresh orange juice,1 pinch Salt,Sunflower Oil - to drizzle</t>
  </si>
  <si>
    <t>1/2 taza de harina integral, 1/2 taza de harina para todo uso (Maida), 1/2 taza de avena instantánea (avena), 1/4 taza de cuajada (Dahi / yogur), 2 huevos enteros, 1 cucharadita de polvo para hornear, 2 cucharaditas de ralladura de naranja (cáscara) - en polvo, 1/4 taza de jugo de naranja fresco, 1 pizca de sal, aceite de girasol - para rociar</t>
  </si>
  <si>
    <t xml:space="preserve">To begin making the Oatmeal Pancake Recipe with Orange, combine all the ingredients except the oil in a large mixing bowl. Whisk well until fluffy and well combined. The consistency of the pancake batter has to be of thick pouring consistency.Heat a 8 inch pan over medium heat and melt 1/2 tablespoon butter or 1/2 tablespoon oil in the pan.When the butter is hot but not smoking, lower the heat to medium-low and drop one heaping soup spoon of batter into the pan.Cook the pancake about 2 minutes on each side, until browned and cooked. Continue with remaining pancakes.Serve Oatmeal Pancake Recipe With Orange along with honey, a bowl of fruit, a glass of Mulled Apple Juice Recipe or Carrot Cashew Smoothie Recipe.
</t>
  </si>
  <si>
    <t>Para empezar a preparar la receta de panqueques de avena con naranja, combine todos los ingredientes excepto el aceite en un tazón grande. Bata bien hasta que la mezcla quede esponjosa y bien integrada. La masa para panqueques debe ser espesa y fácil de verter. Caliente una sartén de 20 cm a fuego medio y derrita 1/2 cucharada de mantequilla o 1/2 cucharada de aceite. Cuando la mantequilla esté caliente pero no humeante, baje el fuego a medio-bajo y vierta una cucharada colmada de masa en la sartén. Cocine el panqueque unos 2 minutos por cada lado, hasta que esté dorado y cocido. Continúe con el resto de los panqueques. Sirva la receta de panqueques de avena con naranja con miel, un tazón de fruta, un vaso de jugo de manzana caliente o un batido de zanahoria y anacardos.</t>
  </si>
  <si>
    <t>Pour commencer la recette de crêpes à l'avoine et à l'orange, mélangez tous les ingrédients sauf l'huile dans un grand saladier. Fouettez bien jusqu'à obtenir une pâte légère et homogène. La pâte doit être épaisse et onctueuse. Faites chauffer une poêle de 20 cm à feu moyen et faites-y fondre 1/2 cuillère à soupe de beurre ou 1/2 cuillère à soupe d'huile. Lorsque le beurre est chaud mais ne fume pas, baissez le feu à moyen-doux et versez une bonne cuillère à soupe de pâte dans la poêle. Faites cuire les crêpes environ 2 minutes de chaque côté, jusqu'à ce qu'elles soient dorées et cuites. Répétez l'opération avec les autres crêpes. Servez les crêpes à l'avoine et à l'orange avec du miel, un bol de fruits, un verre de jus de pomme chaud ou de smoothie carottes-cajou.</t>
  </si>
  <si>
    <t>https://www.archanaskitchen.com/oatmeal-pancake-recipe-with-orange</t>
  </si>
  <si>
    <t>Simple &amp; Easy Chicken Cutlet Recipe - High Protein Dish</t>
  </si>
  <si>
    <t>Einfaches und leichtes Hähnchenschnitzel-Rezept – proteinreiches Gericht</t>
  </si>
  <si>
    <t>Recette simple et facile d'escalope de poulet - plat riche en protéines</t>
  </si>
  <si>
    <t>Receta sencilla y fácil de escalope de pollo: un plato rico en proteínas</t>
  </si>
  <si>
    <t>250 grammes de poitrines de poulet hachées, 2 tasses de pommes de terre (Aloo) bouillies et écrasées, 1 oignon finement haché, 2 piments verts finement hachés, 1 cuillère à café de graines de fenouil (Saunf) grossièrement pilées, 2 cuillères à café de poudre de garam masala, 1/2 cuillère à café de poudre de curcuma (Haldi), 1 cuillère à café de poudre de piment rouge (facultatif), 1/4 tasse de feuilles de coriandre (Dhania) finement hachées, sel au goût, huile de tournesol pour la friture peu profonde, 1 œuf entier battu, 1/2 tasse de chapelure de blé entier</t>
  </si>
  <si>
    <t>250 grams Chicken breasts - minced,2 cup Potato (Aloo) - boiled and mashed,1 Onion - finely chopped,2 Green Chillies - finely chopped,1 teaspoon Fennel seeds (Saunf) - coarsely pounded,2 teaspoons Garam masala powder,1/2 teaspoon Turmeric powder (Haldi),1 teaspoon Red Chilli powder - optional,1/4 cup Coriander (Dhania) Leaves - finely chopped,Salt - to taste,Sunflower Oil - for shallow frying,1 Whole Eggs - beaten,1/2 cup Whole Wheat Bread crumbs</t>
  </si>
  <si>
    <t>250 gramos de pechugas de pollo picadas, 2 tazas de papas hervidas y machacadas, 1 cebolla finamente picada, 2 chiles verdes finamente picados, 1 cucharadita de semillas de hinojo (saunf) machacadas gruesamente, 2 cucharaditas de garam masala en polvo, 1/2 cucharadita de cúrcuma en polvo (haldi), 1 cucharadita de chile rojo en polvo (opcional), 1/4 taza de hojas de cilantro (dhania) finamente picadas, sal al gusto, aceite de girasol para freír ligeramente, 1 huevo entero batido, 1/2 taza de pan rallado integral</t>
  </si>
  <si>
    <t xml:space="preserve">To begin making the quick and easy Chicken Cutlet recipe, first mince the chicken using the food processor.In a large mixing bowl, add the chicken, onion, green chillies and all the remaining ingredients except the bread crumbs and the egg. Combine well, ensure the salt and spiced are according to your taste.Divide the chicken cutlet mixture into equal sized portions and shape them into round discs.Whisk the egg in a bowl and keep aside.Heat a pan/skillet over medium heat. Dip the chicken cutlet in the beaten egg mixture and then roll it over bread crumbs so the chicken cutlets gets well coated with bread crumbs.Place the bread crumb coated chicken cutlet on the heated skillet, drizzle oil and cook the chicken on low to medium heat for about 8-10 minutes until browned and crisp. Ensure you keep pressing and flipping to cook the cutlet, so it gets cooked evenly from the inside. Serve the Quick And Easy Chicken Cutlet with Tomato Ketchup and serve it for your parties or a healthy high protein snack.Serve it as an Indian evening snack along with slices of bread and Green Chutney Recipe - Coriander Mint Chutney Recipe
</t>
  </si>
  <si>
    <t>Para comenzar a hacer la receta rápida y fácil de Chuleta de Pollo, primero pique el pollo usando el procesador de alimentos. En un tazón grande, agregue el pollo, la cebolla, los chiles verdes y todos los ingredientes restantes excepto el pan rallado y el huevo. Combine bien, asegúrese de que la sal y las especias sean de su gusto. Divida la mezcla de chuleta de pollo en porciones de tamaño igual y forme discos redondos. Bata el huevo en un tazón y reserve. Caliente una sartén/sartén a fuego medio. Sumerja la chuleta de pollo en la mezcla de huevo batido y luego pásela sobre el pan rallado para que las chuletas de pollo queden bien cubiertas con pan rallado. Coloque la chuleta de pollo cubierta con pan rallado en la sartén caliente, rocíe aceite y cocine el pollo a fuego lento a medio durante unos 8-10 minutos hasta que esté dorado y crujiente. Asegúrese de seguir presionando y volteando para cocinar la chuleta, para que se cocine uniformemente desde el interior. Sirva la chuleta de pollo fácil y rápida con kétchup de tomate en sus fiestas o como un refrigerio saludable y rico en proteínas. Sírvala como un refrigerio indio para la tarde junto con rebanadas de pan y chutney verde. Receta de chutney de cilantro y menta.</t>
  </si>
  <si>
    <t xml:space="preserve">Pour commencer à préparer la recette rapide et facile d'escalope de poulet, hachez d'abord le poulet à l'aide du robot culinaire. Dans un grand bol, ajoutez le poulet, l'oignon, les piments verts et tous les ingrédients restants, sauf la chapelure et l'œuf. Bien mélanger, assurez-vous que le sel et les épices sont à votre goût. Divisez le mélange d'escalopes de poulet en portions de taille égale et façonnez-les en disques ronds. Fouettez l'œuf dans un bol et réservez. Faites chauffer une poêle/poêle à feu moyen. Trempez l'escalope de poulet dans le mélange d'œufs battus, puis roulez-la sur la chapelure pour que les escalopes de poulet soient bien enrobées de chapelure. Placez l'escalope de poulet panée sur la poêle chauffée, arrosez d'huile et faites cuire le poulet à feu doux à moyen pendant environ 8 à 10 minutes jusqu'à ce qu'elle soit dorée et croustillante. Assurez-vous de continuer à appuyer et à retourner pour cuire l'escalope, afin qu'elle soit cuite uniformément de l'intérieur. Servez l'escalope de poulet rapide et facile avec du ketchup et servez-la pour vos fêtes ou comme collation saine et riche en protéines. Servez-la comme collation indienne du soir avec des tranches de pain et une recette de chutney vert - Recette de chutney à la menthe et à la coriandre
</t>
  </si>
  <si>
    <t>https://www.archanaskitchen.com/chicken-cutlet-recipe</t>
  </si>
  <si>
    <t>Choco Swirl Cookies Recipe (Eggless Choco Pinwheel Cookies)</t>
  </si>
  <si>
    <t>Rezept für Choco Swirl Cookies (Schoko-Windrad-Kekse ohne Ei)</t>
  </si>
  <si>
    <t>Recette de biscuits tourbillonnants au chocolat (biscuits roulés au chocolat sans œufs)</t>
  </si>
  <si>
    <t>Receta de galletas de chocolate con remolino (galletas de chocolate enrolladas sin huevo)</t>
  </si>
  <si>
    <t>1 tasse de farine tout usage (Maida), 1/3 tasse de sucre, 1/3 tasse de beurre, 1 cuillère à soupe de lait - (ajuster), 1/2 cuillère à café d'extrait de vanille, 1 cuillère à café de levure chimique, 1/4 cuillère à café de sel, 1 tasse de farine tout usage (Maida), 2 cuillères à soupe de cacao en poudre, 1/3 tasse de sucre, 1/3 tasse de beurre, 1/2 cuillère à café d'extrait de vanille, 1 cuillère à café de levure chimique - (ajuster), 1 cuillère à soupe de lait, 1/4 cuillère à café de sel</t>
  </si>
  <si>
    <t>1 cup All Purpose Flour (Maida),1/3 cup Sugar,1/3 cup Butter,1 tablespoon Milk - (adjust),1/2 teaspoon Vanilla Extract,1 teaspoon Baking powder,1/4 teaspoon Salt,1 cup All Purpose Flour (Maida),2 tablespoon Cocoa Powder,1/3 cup Sugar,1/3 cup Butter,1/2 teaspoon Vanilla Extract,1 teaspoon Baking powder - (adjust),1 tablespoon Milk,1/4 teaspoon Salt</t>
  </si>
  <si>
    <t>1 taza de harina para todo uso (Maida), 1/3 taza de azúcar, 1/3 taza de mantequilla, 1 cucharada de leche (ajustar), 1/2 cucharadita de extracto de vainilla, 1 cucharadita de polvo para hornear, 1/4 cucharadita de sal, 1 taza de harina para todo uso (Maida), 2 cucharadas de cacao en polvo, 1/3 taza de azúcar, 1/3 taza de mantequilla, 1/2 cucharadita de extracto de vainilla, 1 cucharadita de polvo para hornear (ajustar), 1 cucharada de leche, 1/4 cucharadita de sal</t>
  </si>
  <si>
    <t xml:space="preserve">To make the Choco Swirl Cookies Recipe (Eggless Choco Pinwheel Cookies), firstly prepare the plain cookie dough and then the chocolate cookie dough.To prepare the plain cookie dough or vanilla cookie dough, in a bowl, sieve flour, salt, baking powder together. Mix it well and keep aside.In a separate mixing bowl, add butter (at room temperature), sugar, milk and vanilla essence and whisk together to form a creamy structure.Now add the flour mixture and mix well to form a smooth dough. Add 2-3 teaspoon of extra milk if needed. Wrap in a plastic wrap and chill in fridge for 30 minutes.Repeat the procedure for chocolate cookie dough with the ingredients mentioned. Here, add cocoa powder while sieving flour, salt, baking powder.After 30 minutes, take out the dough, first, roll the plain cookie dough with a chapati roller on a butter paper till just about 1/4 inch thickness and keep it aside.Next, roll the chocolate cookie dough and transfer it over the top of plain cookie dough rolled sheet.Next starting at the end nearest you, begin rolling up the dough into a tight roll. Wrap and chill in the freezer for 30 minutes.Meanwhile, preheat oven to 180 degrees Celsius for 10 minutes.Take out the tightly rolled dough from fridge, thaw for 1-2 minutes. Then cut into 1/2-inch thick choco swirl cookies.Take carefully and place the choco pinwheel cookies on a baking tray lined with butter paper.Bake for 15-20 minutes or until the edges turn golden brown. Switch off the oven, allow the cookies to cool on the tray itself for few minutes, then cool them on a wire rack.Once cooled, store them in an airtight container until serving!Serve the Choco Swirl Cookies Recipe (Eggless Choco Pinwheel Cookies) over Cinnamon Spiced Orange Iced tea during an evening or whenever you feel to nibble up something.
</t>
  </si>
  <si>
    <t>Para preparar la receta de galletas de remolino de chocolate (galletas de remolino de chocolate sin huevo), primero prepare la masa de galleta simple y luego la de chocolate. Para preparar la masa de galleta simple o la de vainilla, en un tazón, tamice la harina, la sal y la levadura química. Mezcle bien y reserve. En un tazón aparte, agregue la mantequilla (a temperatura ambiente), el azúcar, la leche y la esencia de vainilla y bata hasta formar una masa cremosa. Ahora agregue la mezcla de harina y mezcle bien hasta formar una masa suave. Añada 2-3 cucharaditas de leche extra si es necesario. Envuelva en film transparente y refrigere durante 30 minutos. Repita el procedimiento para la masa de galleta de chocolate con los ingredientes mencionados. Aquí, agrega el cacao en polvo mientras tamizas la harina, la sal y la levadura. Después de 30 minutos, saca la masa. Primero, extiende la masa de galleta con un rodillo de chapati sobre papel manteca hasta que tenga aproximadamente 6 mm de grosor y reserva. Luego, extiende la masa de galleta de chocolate y colócala sobre la parte superior de la lámina de masa de galleta. Comenzando por el extremo más cercano a ti, comienza a enrollar la masa hasta formar un rollo apretado. Envuelve y refrigera en el congelador durante 30 minutos. Mientras tanto, precalienta el horno a 180 °C durante 10 minutos. Saca la masa apretada del refrigerador y descongélala durante 1 o 2 minutos. Luego, corta en galletas de chocolate con espiral de 1,25 cm de grosor. Coloca con cuidado las galletas de chocolate con espiral en una bandeja para hornear forrada con papel manteca. Hornea durante 15 a 20 minutos o hasta que los bordes estén dorados. Apaga el horno, deja que las galletas se enfríen en la bandeja durante unos minutos y luego déjalas enfriar sobre una rejilla. Una vez enfriadas, guárdalas en un recipiente hermético hasta el momento de servir. Sirve la receta de galletas de remolino de chocolate (galletas de remolino de chocolate sin huevo) con té helado de naranja con especias de canela por la noche o cuando quieras picar algo.</t>
  </si>
  <si>
    <t>Pour réaliser la recette des cookies tourbillons au chocolat (biscuits roulés au chocolat sans œufs), préparez d'abord la pâte à cookies nature, puis la pâte à cookies au chocolat. Pour la pâte à cookies nature ou à la vanille, tamisez la farine, le sel et la levure chimique dans un saladier. Mélangez bien et réservez. Dans un saladier, ajoutez le beurre (à température ambiante), le sucre, le lait et l'extrait de vanille, puis fouettez jusqu'à obtenir une consistance crémeuse. Ajoutez ensuite le mélange de farine et mélangez bien jusqu'à obtenir une pâte lisse. Ajoutez 2 à 3 cuillères à café de lait si nécessaire. Enveloppez dans du film alimentaire et placez au réfrigérateur pendant 30 minutes. Répétez l'opération pour la pâte à cookies au chocolat avec les ingrédients mentionnés. Ajoutez le cacao en poudre tout en tamisant la farine, le sel et la levure chimique. Après 30 minutes, sortez la pâte. Étalez d'abord la pâte à biscuits nature avec un rouleau à chapati sur du papier sulfurisé jusqu'à obtenir une épaisseur d'environ 6 mm et réservez-la. Ensuite, étalez la pâte à biscuits au chocolat et transférez-la sur la plaque de cuisson. En commençant par l'extrémité la plus proche de vous, enroulez la pâte en un rouleau serré. Enveloppez et placez au congélateur pendant 30 minutes. Pendant ce temps, préchauffez le four à 180 °C pendant 10 minutes. Sortez la pâte bien roulée du réfrigérateur, laissez-la décongeler 1 à 2 minutes. Découpez ensuite des biscuits tourbillonnants au chocolat de 1,25 cm d'épaisseur. Placez délicatement les biscuits tourbillonnants au chocolat sur une plaque de cuisson recouverte de papier sulfurisé. Faites cuire au four pendant 15 à 20 minutes ou jusqu'à ce que les bords soient dorés. Éteignez le four, laissez les biscuits refroidir sur la plaque pendant quelques minutes, puis laissez-les refroidir sur une grille. Une fois refroidis, conservez-les dans un récipient hermétique jusqu'au moment de servir ! Servez la recette de biscuits tourbillonnants au chocolat (biscuits moulinets au chocolat sans œufs) sur du thé glacé à l'orange et à la cannelle épicée en soirée ou chaque fois que vous avez envie de grignoter quelque chose.</t>
  </si>
  <si>
    <t>https://www.archanaskitchen.com/choco-swirl-cookies-recipe-eggless-choco-pinwheel-cookies</t>
  </si>
  <si>
    <t>Roasted Chickpeas With Apples Salad Recipe</t>
  </si>
  <si>
    <t>Rezept für Salat mit gerösteten Kichererbsen und Äpfeln</t>
  </si>
  <si>
    <t>Recette de salade aux pois chiches rôtis et aux pommes</t>
  </si>
  <si>
    <t>Receta de ensalada de garbanzos asados ​​y manzana</t>
  </si>
  <si>
    <t>1/4 tasse de Kala Chana (pois chiches bruns) - trempés toute la nuit, 1/2 pomme - coupée en tranches fines comme des allumettes, 1 tasse de feuilles de salade, 4-5 betteraves - marinées/rôties, 1 cuillère à soupe de jus de citron, sel - au besoin, huile d'olive extra vierge - au besoin, 1/4 cuillère à café de poudre de piment rouge, 1/2 avocat - tranché, 8 noix</t>
  </si>
  <si>
    <t>1/4 cup Kala Chana (Brown Chickpeas) - soaked overnight,1/2 Apple - cut into matchstick-thin slices,1 cup Salad leaves,4-5 Beetroot - pickled/roasted,1 tablespoon Lemon juice,Salt - as needed,Extra Virgin Olive Oil - as needed,1/4 teaspoon Red Chilli powder,1/2 Avocado - sliced,8 Walnuts</t>
  </si>
  <si>
    <t>1/4 taza de Kala Chana (garbanzos marrones) - remojados durante la noche, 1/2 manzana - cortada en rodajas finas como cerillas, 1 taza de hojas de ensalada, 4-5 remolachas - encurtidas/asadas, 1 cucharada de jugo de limón, sal - según sea necesario, aceite de oliva virgen extra - según sea necesario, 1/4 cucharadita de chile rojo en polvo, 1/2 aguacate - en rodajas, 8 nueces</t>
  </si>
  <si>
    <t xml:space="preserve">To prepare Roasted Chickpeas With Apples Salad Recipe, soak chickpeas overnight and cook soaked chickpeas until tender but not mushy. Once it cools down, drain excess water by laying them on paper towels.Drizzle lemon juice, salt and chilli powder and set aside for 30 minutes. Drizzle some olive oil and toss the chickpeas to coat it thoroughly.Spread this on a Baking tray, make sure they do not overlap.Bake this for 40 minutes at 200 degree Celsius preheated Oven stirring them in between so they evenly bake. These may not be excessively crunchy, you can bake further to crunch them up if you desire.Place salad leaves on a plate, and layer all the elements of the salad on top of the salad leaves and drizzle with Mayonnaise.Enjoy this playful Roasted Chickpeas With Apples Salad Recipe with a Vegetable Clear Soup With Lemon Grass Recipe recipe for light lunch or dinner.
</t>
  </si>
  <si>
    <t>Para preparar la receta de garbanzos asados ​​con ensalada de manzana, remoje los garbanzos durante la noche y cocínelos hasta que estén tiernos pero no blandos. Una vez que se enfríen, escurra el exceso de agua colocándolos sobre toallas de papel. Rocíe jugo de limón, sal y chile en polvo y deje reposar durante 30 minutos. Rocíe un poco de aceite de oliva y revuelva los garbanzos para cubrirlos bien. Extienda esto en una bandeja para hornear, asegúrese de que no se superpongan. Hornee durante 40 minutos a 200 grados Celsius en un horno precalentado, revolviéndolos entre medio para que se horneen uniformemente. Puede que no queden excesivamente crujientes, puede hornearlos más para que se crujan si lo desea. Coloque las hojas de ensalada en un plato y coloque todos los ingredientes de la ensalada en capas sobre las hojas de ensalada y rocíe con mayonesa. Disfrute de esta divertida receta de ensalada de garbanzos asados ​​con manzanas con una receta de sopa clara de verduras con limoncillo para un almuerzo o cena ligeros.</t>
  </si>
  <si>
    <t>Pour préparer la salade de pois chiches rôtis aux pommes, faites-les tremper toute la nuit et faites-les cuire jusqu'à ce qu'ils soient tendres, mais pas trop. Une fois refroidis, égouttez-les sur du papier absorbant. Arrosez de jus de citron, de sel et de piment en poudre, puis laissez reposer 30 minutes. Arrosez d'un filet d'huile d'olive et mélangez bien les pois chiches. Étalez-les sur une plaque de cuisson en veillant à ce qu'ils ne se chevauchent pas. Faites cuire 40 minutes au four préchauffé à 200 °C en remuant régulièrement pour une cuisson uniforme. Ces pois chiches ne doivent pas être trop croustillants, mais vous pouvez les prolonger la cuisson pour les rendre plus croustillants. Disposez les feuilles de salade dans une assiette, superposez tous les ingrédients de la salade et arrosez de mayonnaise. Savourez cette salade de pois chiches rôtis aux pommes, accompagnée d'une soupe de légumes à la citronnelle, pour un déjeuner ou un dîner léger.</t>
  </si>
  <si>
    <t>https://www.archanaskitchen.com/roasted-chickpeas-with-apples-salad-recipe</t>
  </si>
  <si>
    <t>Creamy Veg Spring Roll Recipe</t>
  </si>
  <si>
    <t>Rezept für cremige vegetarische Frühlingsrollen</t>
  </si>
  <si>
    <t>Recette de rouleaux de printemps végétariens crémeux</t>
  </si>
  <si>
    <t>Receta de rollitos de primavera cremosos vegetarianos</t>
  </si>
  <si>
    <t>4 feuilles de rouleau de printemps faites maison, 4 cuillères à soupe de farine tout usage (Maida), 1 tasse de nouilles Hakka bouillies, 1 carotte (Gajjar) finement hachée, 1 poivron jaune finement haché, 1/2 tasse de chou (Patta Gobi/Muttaikose) finement râpé, 3 cuillères à soupe de mayonnaise sans œufs, sel et poivre au goût, huile de tournesol pour la friture</t>
  </si>
  <si>
    <t>4 Spring Roll Wrappers - homemade,4 tablespoons All Purpose Flour (Maida),1 cup Hakka Noodles - boiled,1 Carrot (Gajjar) - chopped finely,1 Yellow Bell Pepper (Capsicum) - chopped finely,1/2 cup Cabbage (Patta Gobi/ Muttaikose) - finely shredded,3 tablespoon Eggless Mayonnaise,Salt and Pepper - to taste,Sunflower Oil - for deep frying</t>
  </si>
  <si>
    <t>4 envoltorios de rollitos de primavera caseros, 4 cucharadas de harina multiusos (Maida), 1 taza de fideos Hakka hervidos, 1 zanahoria (Gajjar) finamente picada, 1 pimiento amarillo (Capsicum) finamente picado, 1/2 taza de repollo (Patta Gobi/Muttaikose) finamente rallado, 3 cucharadas de mayonesa sin huevo, sal y pimienta al gusto, aceite de girasol para freír.</t>
  </si>
  <si>
    <t xml:space="preserve">To begin making the Creamy Veg Spring Roll Recipe, prep all the vegetables and keep it ready.Make the spring roll wrappers according to the recipe and keep them aside. In a small bowl, make a mixture of the all purpose flour (maida) and add just enough water to make a thick paste. This will be used to seal the spring rolls.Heat oil in a frying pan over medium heat; add the carrots, bell peppers and cabbage and saute for 10 minutes until softened. Toss in the noodles and sprinkle the salt and pepper to taste. Stir in the Del Monte Eggless Mayo into the spring roll mixture and keep aside.Place each spring roll wrapper on a flat surface. Apply a little flour paste along the edges of the wrapper. Place a tablespoon of the filling at one corner/edge of the wrapper. Watch this video on how to shape the spring rollFold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Creamy Veg Spring Roll Recipe along with a sweet tomato sauce and a glass of Apple Almond Date Smoothie Recipe as a fun snack for the kids.
</t>
  </si>
  <si>
    <t>Para comenzar a hacer la Receta de Rollito de Primavera de Vegetales Cremosos, prepare todas las verduras y téngalas listas. Prepare las envolturas de los rollitos de primavera según la receta y resérvelas. En un tazón pequeño, haga una mezcla de harina para todo uso (maida) y agregue suficiente agua para hacer una pasta espesa. Esto se usará para sellar los rollitos de primavera. Caliente el aceite en una sartén a fuego medio; agregue las zanahorias, los pimientos morrones y el repollo y saltee durante 10 minutos hasta que se ablanden. Agregue los fideos y espolvoree sal y pimienta al gusto. Incorpore la mayonesa sin huevo Del Monte a la mezcla de rollitos de primavera y resérvela. Coloque cada envoltura de rollito de primavera sobre una superficie plana. Aplique un poco de pasta de harina a lo largo de los bordes de la envoltura. Coloque una cucharada del relleno en una esquina/borde de la envoltura. Vea este video sobre cómo darle forma al rollito de primavera. Doble desde la esquina llena y comience a enrollar hasta llegar al centro. Al llegar al centro, dobla los extremos que salen del centro. En esta etapa, aplica la pasta de harina nuevamente en los bordes y enrolla hasta llegar al final. Asegúrate de que los bordes estén bien sellados. La pasta de harina es importante, ya que ayuda a sellar los rollitos de primavera para que no se abran al freírlos. Repite el mismo proceso y procede a hacer el resto de los rollitos de primavera. Precalienta el aceite para freír; agrega algunos rollitos a la vez y fríelos a fuego medio hasta que estén dorados. Sirve la Receta de Rollitos de Primavera Cremosos de Verduras junto con una salsa de tomate dulce y un vaso de la Receta de Batido de Manzana, Almendras y Dátiles como una merienda divertida para los niños.</t>
  </si>
  <si>
    <t>Pour commencer à préparer la recette de rouleaux de printemps crémeux aux légumes, préparez tous les légumes et gardez-les prêts. Préparez les emballages de rouleaux de printemps selon la recette et réservez-les. Dans un petit bol, préparez un mélange de farine tout usage (maida) et ajoutez juste assez d'eau pour faire une pâte épaisse. Cela servira à sceller les rouleaux de printemps. Faites chauffer l'huile dans une poêle à feu moyen ; ajoutez les carottes, les poivrons et le chou et faites revenir pendant 10 minutes jusqu'à ce qu'ils soient tendres. Ajoutez les nouilles et saupoudrez de sel et de poivre au goût. Incorporez la mayonnaise sans œufs Del Monte au mélange de rouleaux de printemps et réservez. Placez chaque emballage de rouleau de printemps sur une surface plane. Appliquez un peu de pâte de farine le long des bords de l'emballage. Placez une cuillère à soupe de garniture dans un coin/bord de l'emballage. Regardez cette vidéo sur la façon de façonner le rouleau de printemps. Pliez à partir du coin rempli et commencez à rouler jusqu'à atteindre le centre. Arrivé au centre, repliez les extrémités qui en sortent. À ce stade, appliquez à nouveau la pâte de farine sur les bords et roulez jusqu'au bout. Assurez-vous que les bords soient bien soudés. La pâte de farine est importante car elle permet de sceller les rouleaux de printemps afin qu'ils ne s'ouvrent pas lors de la friture. Répétez le même processus et préparez le reste des rouleaux de printemps. Préchauffez l'huile pour la friture ; ajoutez quelques rouleaux à la fois et faites-les frire à feu moyen jusqu'à ce qu'ils soient dorés. Servez la recette de rouleaux de printemps crémeux aux légumes avec une sauce tomate sucrée et un verre de smoothie pomme-amande-datte pour un goûter amusant pour les enfants.</t>
  </si>
  <si>
    <t>https://www.archanaskitchen.com/creamy-veg-spring-roll-recipe-kids-recipes-made-with-del-monte</t>
  </si>
  <si>
    <t>Fusion Wrap Recipe (Mixed Vegetables Wrapped In Tortilla)</t>
  </si>
  <si>
    <t>Fusion Wrap Rezept (gemischtes Gemüse in Tortilla gewickelt)</t>
  </si>
  <si>
    <t>Recette de Fusion Wrap (légumes mélangés enveloppés dans une tortilla)</t>
  </si>
  <si>
    <t>Receta de Wrap Fusión (Verduras Mixtas Envueltas en Tortilla)</t>
  </si>
  <si>
    <t>1 cuillère à soupe d'huile d'olive extra vierge, 1 oignon finement tranché, 8 gousses d'ail moulues en pâte, 1/2 tasse de poivron vert (Capsicum) tranché, 1/2 tasse de poivron jaune (Capsicum), 1/2 tasse de maïs doux bouilli, 1 carotte (Gajjar) coupée en julienne, 1 tomate épépinée et hachée, 1 pomme de terre (Aloo) bouillie et hachée, grains de poivre noir entiers concassés, 1 cuillère à soupe d'assaisonnement pour pizza, 1 cuillère à soupe de flocons de piment rouge, 2 cuillères à soupe de ketchup, sel au goût, 3 tortillas, 1 cuillère à soupe de mayonnaise classique (avec œuf), laitue iceberg, 1 cuillère à soupe de cheddar râpé</t>
  </si>
  <si>
    <t>1 tablespoon Extra Virgin Olive Oil,1 Onion - thinly sliced,8 cloves Garlic - ground to paste,1/2 cup Green Bell Pepper (Capsicum) - sliced,1/2 cup Yellow Bell Pepper (Capsicum),1/2 cup Sweet corn - boiled,1 Carrot (Gajjar) - julienned,1 Tomato - deseeded &amp; chopped,1 Potato (Aloo) - boiled and chopped,Whole Black Peppercorns - crushed,1 tablespoon Pizza seasoning,1 tablespoon Red Chilli flakes,2 tablespoons Tomato Ketchup,Salt - to taste,3 Tortillas,1 tablespoon Classic Mayonnaise (With Egg),Iceberg lettuce - few,1 tablespoon Cheddar cheese - grated</t>
  </si>
  <si>
    <t>1 cucharada de aceite de oliva virgen extra, 1 cebolla - finamente rebanada, 8 dientes de ajo - molidos para hacer una pasta, 1/2 taza de pimiento verde (Capsicum) - rebanado, 1/2 taza de pimiento amarillo (Capsicum), 1/2 taza de maíz dulce - hervido, 1 zanahoria (Gajjar) - en juliana, 1 tomate - sin semillas y picado, 1 papa (Aloo) - hervida y picada, granos de pimienta negra enteros - triturados, 1 cucharada de condimento para pizza, 1 cucharada de hojuelas de chile rojo, 2 cucharadas de kétchup de tomate, sal - al gusto, 3 tortillas, 1 cucharada de mayonesa clásica (con huevo), lechuga iceberg - pocas, 1 cucharada de queso cheddar - rallado</t>
  </si>
  <si>
    <t xml:space="preserve">To prepare Fusion Wrap Recipe (Mixed Vegetables Wrapped In Tortilla), heat one tablespoon olive oil in a pan.Add thinly sliced onion and garlic paste,saute them for few seconds.Now add yellow and green bell peppers and saute them properly but don't overcook them.Now add carrot, boiled yellow corn and deseeded tomatoes and saute it for couple of minutes.After few minutes,add mashed potato and mix it well and let it cook for one more minute.Add crushed black pepper, Italian pizza seasoning ,chilli flakes and ketchup. Add salt to taste. Mix everything well.Now turn off the flame, and transfer the mixture in a bowl and let it cool down.To make the wrap, brush tortilla on both sides with a teaspoon olive oil and heat them on a pan or skillet.Take tortilla off the heat and apply a thin layer of mayonnaise, place a lettuce leaf and now add filling. Top it with some grated cheese.Wrap Fusion Wrap Recipe (Mixed Vegetables Wrapped In Tortilla) with more tomato sauceor as it is.
</t>
  </si>
  <si>
    <t>Para preparar la receta de Fusion Wrap (vegetales mixtos envueltos en tortilla), caliente una cucharada de aceite de oliva en una sartén. Agregue cebolla en rodajas finas y pasta de ajo, saltee durante unos segundos. Ahora agregue pimientos amarillos y verdes y saltee bien, pero no los cocine demasiado. Ahora agregue zanahoria, maíz amarillo hervido y tomates sin semillas y saltee durante un par de minutos. Después de unos minutos, agregue puré de papas y mézclelo bien y déjelo cocinar durante un minuto más. Agregue pimienta negra triturada, condimento para pizza italiana, hojuelas de chile y ketchup. Agregue sal al gusto. Mezcle todo bien. Ahora apague el fuego y transfiera la mezcla a un tazón y déjela enfriar. Para hacer el wrap, pincele la tortilla por ambos lados con una cucharadita de aceite de oliva y caliéntelas en una sartén o sartén. Retire la tortilla del fuego y aplique una capa fina de mayonesa, coloque una hoja de lechuga y ahora agregue el relleno. Cúbrelo con un poco de queso rallado. Receta de Wrap Fusion (Verduras Mixtas Envueltas en Tortilla) con más salsa de tomate o tal cual.</t>
  </si>
  <si>
    <t>Pour préparer la recette Fusion Wrap (légumes mélangés enveloppés dans une tortilla), faites chauffer une cuillère à soupe d'huile d'olive dans une poêle. Ajoutez l'oignon finement émincé et la pâte d'ail, faites-les revenir quelques secondes. Ajoutez maintenant les poivrons jaunes et verts et faites-les revenir correctement mais ne les faites pas trop cuire. Ajoutez maintenant la carotte, le maïs jaune bouilli et les tomates épépinées et faites-les revenir pendant quelques minutes. Après quelques minutes, ajoutez la purée de pommes de terre et mélangez bien et laissez cuire encore une minute. Ajoutez du poivre noir concassé, de l'assaisonnement pour pizza italienne, des flocons de piment et du ketchup. Ajoutez du sel au goût. Mélangez bien le tout. Éteignez maintenant le feu et transférez le mélange dans un bol et laissez-le refroidir. Pour faire le wrap, badigeonnez la tortilla des deux côtés avec une cuillère à café d'huile d'olive et faites-les chauffer dans une poêle ou une poêle. Retirez la tortilla du feu et appliquez une fine couche de mayonnaise, placez une feuille de laitue et ajoutez maintenant la garniture. Recouvrez-le de fromage râpé. Recette de wrap Fusion Wrap (légumes mélangés enveloppés dans une tortilla) avec plus de sauce tomate ou tel quel.</t>
  </si>
  <si>
    <t>http://www.archanaskitchen.com/fusion-wrap-recipe-mixed-vegetables-wrapped-in-tortilla</t>
  </si>
  <si>
    <t>Shredded Chicken Cheese Sandwich Recipe</t>
  </si>
  <si>
    <t>Rezept für ein Käse-Sandwich mit zerkleinertem Hähnchen</t>
  </si>
  <si>
    <t>Recette de sandwich au fromage avec du poulet effiloché</t>
  </si>
  <si>
    <t>Receta de sándwich de pollo desmenuzado con queso</t>
  </si>
  <si>
    <t>1 poitrine de poulet, 4 feuilles de basilic, 2 cuillères à soupe de sauce pour pizza et pâtes maison, 1 cuillère à café d'assaisonnement italien, 4 gousses d'ail, 1/2 cuillère à café de poudre de poivre noir, 1/2 tasse de fromage mozzarella râpé, 1/2 tasse de fromage râpé, 2 cuillères à soupe de beurre fondu, 1 cuillère à soupe d'huile d'olive extra vierge</t>
  </si>
  <si>
    <t>1 Chicken breasts,4 Basil leaves,2 Tablespoon Homemade Pizza And Pasta Sauce,1 teaspoon Italian seasoning,4 cloves Garlic,1/2 teaspoon Black pepper powder,1/2 Cup Mozzarella cheese - grated,1/2 Cup Cheese - grated,2 tablespoon Butter - melted,1 tablespoon Extra Virgin Olive Oil</t>
  </si>
  <si>
    <t>1 pechuga de pollo, 4 hojas de albahaca, 2 cucharadas de salsa casera para pizza y pasta, 1 cucharadita de condimento italiano, 4 dientes de ajo, 1/2 cucharadita de pimienta negra en polvo, 1/2 taza de queso mozzarella rallado, 1/2 taza de queso rallado, 2 cucharadas de mantequilla derretida, 1 cucharada de aceite de oliva virgen extra</t>
  </si>
  <si>
    <t xml:space="preserve">To begin making the Shredded Chicken Cheese Sandwich recipe, we will start by boiling the boiling chicken breastIn a saucepan, boil water on medium flame, add the chicken pieces until it becomes tender. Once it is ready &amp; cooked, drain out the water and let it cool down.Then shred the chicken using a knife. Set aside.Next heat up some olive oil in a heavy bottom pan on medium flame and add chopped garlic into it. Saute it for a couple of minutes then add tomato pasta sauce into the pan.Now add chopped basil leaves, Italian seasoning &amp; black pepper into the pan and give it a good stir.At this stage add the shredded chicken pieces into the pan and let it cook for a couple of minutes. Next, add 1 tablespoon of both the cheese and cook for another 2 minutes.Turn off the heat.Now apply melted butter on the outer sides of sandwich bread and then stuff it with chicken. Add both of the cheeses on the top. Put another bread on top to finish the sandwich.Pop the sandwich into the preheated oven at 150 C for 8-10 minutes.Once done, slice it into two halves &amp; enjoy the cheesy goodness.Serve Shredded Chicken Cheese Sandwich along with Espresso Coffee for your evening snacks. You can also make this Sandwich for your tea parties along with other snacks. 
</t>
  </si>
  <si>
    <t>Para empezar a preparar la receta del Sándwich de Pollo Desmenuzado con Queso, comenzaremos por hervir la pechuga de pollo. En una cacerola, hierva agua a fuego medio, agregue los trozos de pollo hasta que estén tiernos. Una vez listo y cocido, escurra el agua y deje que se enfríe. Luego desmenuce el pollo con un cuchillo. Reserve. Luego, caliente un poco de aceite de oliva en una sartén de fondo grueso a fuego medio y agregue ajo picado. Saltee durante un par de minutos y luego agregue la salsa de tomate para pasta a la sartén. Ahora agregue hojas de albahaca picadas, condimento italiano y pimienta negra a la sartén y revuelva bien. En esta etapa, agregue los trozos de pollo desmenuzado a la sartén y deje cocinar durante un par de minutos. Luego, agregue 1 cucharada de ambos quesos y cocine por otros 2 minutos. Apague el fuego. Ahora unte mantequilla derretida en los lados exteriores del pan de sándwich y luego rellénelo con el pollo. Agregue ambos quesos en la parte superior. Pon otro pan encima para terminar el sándwich. Mete el sándwich en el horno precalentado a 150 °C durante 8-10 minutos. Una vez listo, córtalo en dos mitades y disfruta de su delicioso sabor a queso. Sirve el sándwich de pollo desmenuzado con queso junto con un café expreso para tus meriendas. También puedes preparar este sándwich para tus meriendas con otros bocadillos.</t>
  </si>
  <si>
    <t>Pour préparer le sandwich au poulet et fromage effiloché, commencez par faire bouillir le blanc de poulet. Dans une casserole, faites bouillir de l'eau à feu moyen, puis ajoutez les morceaux de poulet jusqu'à ce qu'ils soient tendres. Une fois cuit, égouttez-le et laissez-le refroidir. Effilochez ensuite le poulet à l'aide d'un couteau. Réservez. Faites chauffer un peu d'huile d'olive dans une poêle à fond épais à feu moyen et ajoutez l'ail haché. Faites revenir quelques minutes, puis ajoutez la sauce tomate. Ajoutez ensuite les feuilles de basilic hachées, l'assaisonnement italien et le poivre noir, puis remuez bien. Ajoutez ensuite les morceaux de poulet effiloché et laissez cuire quelques minutes. Ajoutez ensuite 1 cuillère à soupe de fromage et poursuivez la cuisson 2 minutes. Éteignez le feu. Beurrez ensuite les côtés extérieurs du pain de mie, puis farcissez-le de poulet. Ajoutez les deux fromages par-dessus. Ajoutez une autre tranche de pain par-dessus pour terminer le sandwich. Enfournez le sandwich au four préchauffé à 150 °C pendant 8 à 10 minutes. Une fois cuit, coupez-le en deux et savourez son délicieux goûter. Servez le sandwich au poulet effiloché et au fromage accompagné d'un expresso pour vos collations du soir. Vous pouvez également préparer ce sandwich pour vos goûters, accompagné d'autres en-cas.</t>
  </si>
  <si>
    <t>http://www.archanaskitchen.com/shredded-chicken-cheese-sandwich-recipe</t>
  </si>
  <si>
    <t>Homemade Mango Ice-Cream Recipe</t>
  </si>
  <si>
    <t>Rezept für hausgemachtes Mangoeis</t>
  </si>
  <si>
    <t>Recette de glace à la mangue maison</t>
  </si>
  <si>
    <t>Receta de helado de mango casero</t>
  </si>
  <si>
    <t>400 ml de crème fraîche - Amul, 1 tasse de pulpe de mangue (purée), 3/4 tasse de sucre, 1 tasse de mangue (mûre) - hachée</t>
  </si>
  <si>
    <t>400 ml Fresh cream - Amul,1 cup Mango Pulp (Puree),3/4 cup Sugar,1 cup Mango (Ripe) - chopped</t>
  </si>
  <si>
    <t>400 ml de crema fresca - Amul, 1 taza de pulpa de mango (puré), 3/4 taza de azúcar, 1 taza de mango (maduro) - picado</t>
  </si>
  <si>
    <t xml:space="preserve">To begin making the Homemade Mango Ice-Cream Recipe,  Into a blender add cream, mango puree and sugar. Blend until  well combined, about 2 minutes. Keep aside.Now we will set up the Kitchenif Ice Cream Maker.Place the ice cream bowl which has been kept in the freezer for 2 days into the kitchenif ice cream maker. Attach the paddle and start the ice cream maker .Pour the mango ice cream mixture through the opening into the ice cream maker.Run the ice cream maker for 20 minutes and do not turn off the machine in between. You will see that slowly, the ice cream will start to turn thick and creamy.After 20 minutes add the chopped mangoes into the churning mango ice cream and run the ice cream maker for another 5 minutes . Turn off the ice cream maker.Once done, spoon the churned Mango Ice Cream into a container with an air tight lid (You can also use a loaf pan). Cover and freeze the mango ice cream for 4 to 5 hours. Once the Mango ice cream is frozen, scoop out the ice cream into a cone or a bowl and top it up with some freshly cut mangoes and serve.Serve Homemade Mango Ice-Cream topped with some freshly cut mango after a meal of Whole Wheat Crust Pizza With Zucchini And Basil Sauce for a weekend treat.
</t>
  </si>
  <si>
    <t>Para comenzar a hacer la Receta de Helado de Mango Casero, en una licuadora agregue crema, puré de mango y azúcar. Licúe hasta que esté bien combinado, aproximadamente 2 minutos. Deje a un lado. Ahora configuraremos la máquina para hacer helados Kitchenif. Coloque el tazón de helado que se ha mantenido en el congelador durante 2 días en la máquina para hacer helados Kitchenif. Coloque la paleta y encienda la máquina para hacer helados. Vierta la mezcla de helado de mango a través de la abertura en la máquina para hacer helados. Haga funcionar la máquina para hacer helados durante 20 minutos y no apague la máquina en el medio. Verá que poco a poco, el helado comenzará a volverse espeso y cremoso. Después de 20 minutos, agregue los mangos picados al helado de mango batido y haga funcionar la máquina para hacer helados durante otros 5 minutos. Apague la máquina para hacer helados. Una vez hecho esto, vierta con una cuchara el helado de mango batido en un recipiente con tapa hermética (también puede usar un molde para pan). Cubra y congele el helado de mango durante 4 a 5 horas. Una vez que el helado de mango esté congelado, vierta el helado en un cono o tazón y cúbralo con algunos mangos recién cortados y sirva. Sirva el helado de mango casero cubierto con un poco de mango recién cortado después de una comida de pizza con masa integral, calabacín y salsa de albahaca para un capricho de fin de semana.</t>
  </si>
  <si>
    <t>Pour commencer à préparer la recette de glace à la mangue maison, ajoutez la crème, la purée de mangue et le sucre dans un mixeur. Mélangez jusqu'à ce que le tout soit bien mélangé, environ 2 minutes. Réservez. Nous allons maintenant installer la sorbetière Kitchenif. Placez le bol de crème glacée qui a été conservé au congélateur pendant 2 jours dans la sorbetière Kitchenif. Fixez la palette et démarrez la sorbetière. Versez le mélange de crème glacée à la mangue par l'ouverture dans la sorbetière. Faites fonctionner la sorbetière pendant 20 minutes et n'éteignez pas la machine entre-temps. Vous verrez que lentement, la crème glacée commencera à devenir épaisse et crémeuse. Après 20 minutes, ajoutez les mangues hachées dans la glace à la mangue en train de baratter et faites fonctionner la sorbetière pendant encore 5 minutes. Éteignez la sorbetière. Une fois terminé, versez la crème glacée à la mangue barattée dans un récipient avec un couvercle hermétique (vous pouvez également utiliser un moule à pain). Couvrez et congelez la glace à la mangue pendant 4 à 5 heures. Une fois la glace à la mangue congelée, versez-la dans un cornet ou un bol et garnissez-la de quelques mangues fraîchement coupées et servez. Servez une glace à la mangue maison garnie de quelques mangues fraîchement coupées après un repas de pizza à croûte de blé entier avec sauce aux courgettes et au basilic pour un régal de week-end.</t>
  </si>
  <si>
    <t>https://www.archanaskitchen.com/homemade-mango-ice-cream-recipe</t>
  </si>
  <si>
    <t>Pan Roasted Herbed Baby Potato Recipe With Vegetables</t>
  </si>
  <si>
    <t>Rezept für in der Pfanne gebratene Babykartoffeln mit Kräutern und Gemüse</t>
  </si>
  <si>
    <t>Recette de pommes de terre grenaille poêlées aux herbes et légumes</t>
  </si>
  <si>
    <t>Receta de patatas baby salteadas con hierbas y verduras</t>
  </si>
  <si>
    <t>200 grammes de champignons de Paris - tige coupée, 1 carotte (Gajjar) - coupée en diagonale, 1 tasse de chou-fleur (gobi) - coupé en fleurons de taille moyenne, 15 pommes de terre grenaille - coupées en deux, 10 gousses d'ail, 1 cuillère à soupe d'origan séché, 1 cuillère à soupe de feuilles de thym séchées, 2 cuillères à soupe de flocons de piment rouge, 8 feuilles de basilic - hachées, sel - au goût, huile d'olive extra vierge - pour la cuisson</t>
  </si>
  <si>
    <t>200 grams Button mushrooms - stem cut,1 Carrot (Gajjar) - cut diagonally,1 cup Cauliflower (gobi) - cut into medium sized florets,15 Baby Potatoes - cut into half,10 cloves Garlic,1 tablespoon Dried oregano,1 tablespoon Dried Thyme Leaves,2 tablespoon Red Chilli flakes,8 Basil leaves - chopped,Salt - to taste,Extra Virgin Olive Oil - for cooking</t>
  </si>
  <si>
    <t>200 gramos de champiñones - cortados por el tallo, 1 zanahoria (Gajjar) - cortada en diagonal, 1 taza de coliflor (gobi) - cortada en floretes medianos, 15 papas pequeñas - cortadas por la mitad, 10 dientes de ajo, 1 cucharada de orégano seco, 1 cucharada de hojas de tomillo secas, 2 cucharadas de hojuelas de chile rojo, 8 hojas de albahaca - picadas, sal - al gusto, aceite de oliva virgen extra - para cocinar</t>
  </si>
  <si>
    <t xml:space="preserve">To begin making the Herbed Pan Roasted Vegetables Recipe, Keep all the vegetables prepped and ready to roast them.Heat a flat skillet with some olive oil, add in baby potatoes, sprinkle some salt and saute for few seconds. Cover it with the lid and leave it for 25 minutes. Keep checking at regular interval of time so that the potatoes are evenly roasted.Once the potatoes are done keep the pan separately and let’s move on to roast cauliflower and carrot. Heat another flat skillet with oil, add cauliflower and carrot, sprinkle some salt and saute for few minutes.Cover it with the lid and cook for 20 minutes, again keep checking at regular interval of time. Once done transfer it to a bowl.Into the same pan, add little more olive oil, add in mushroom and garlic cloves, and sprinkle a little salt. Cover it with the lid, roast until the mushroom sweat a little, this will take about 5 minutes to get done.Finally, keep the pan that has the roasted baby potatoes, add in roasted cauliflower, carrot, mushroom and cloves. Sprinkle seasonings like red chilli flakes, oregano, thyme, chopped basil leaves and salt and give it a toss.Serve the Herbed Pan Roasted Vegetables Recipe along with French Onion Chicken , Red Wine Sangria Cocktail to make your weekend meal complete.
</t>
  </si>
  <si>
    <t>Para empezar a preparar la receta de verduras asadas con hierbas, ten todas las verduras preparadas y listas para asar. Calienta una sartén plana con un poco de aceite de oliva, añade las patatas baby, espolvorea con sal y saltea durante unos segundos. Tapa y deja reposar durante 25 minutos. Revisa periódicamente para que las patatas se asen uniformemente. Una vez que las patatas estén listas, guarda la sartén aparte y pasamos a asar la coliflor y la zanahoria. Calienta otra sartén plana con aceite, añade la coliflor y la zanahoria, espolvorea con sal y saltea durante unos minutos. Tapa y cocina durante 20 minutos, revisando periódicamente. Una vez listo, pásalo a un bol. En la misma sartén, añade un poco más de aceite de oliva, añade los champiñones y los dientes de ajo, y espolvorea con un poco de sal. Cubre con la tapa, asa hasta que los champiñones suden un poco, esto tomará unos 5 minutos en estar listo. Finalmente, guarda la sartén con las papas baby asadas, agrega la coliflor asada, la zanahoria, los champiñones y los clavos. Espolvorea condimentos como hojuelas de chile rojo, orégano, tomillo, hojas de albahaca picadas y sal y revuelve. Sirve la receta de vegetales asados ​​con hierbas junto con pollo con cebolla francesa y cóctel de sangría de vino tinto para completar tu comida de fin de semana.</t>
  </si>
  <si>
    <t>Pour commencer la recette de légumes rôtis aux herbes, préparez tous les légumes et préparez-les pour la cuisson. Faites chauffer une poêle avec un peu d'huile d'olive, ajoutez les pommes de terre grenaille, salez et faites revenir quelques secondes. Couvrez et laissez cuire 25 minutes. Surveillez régulièrement la cuisson pour que les pommes de terre soient uniformément rôties. Une fois les pommes de terre cuites, gardez la poêle à part et passez au rôtissage du chou-fleur et des carottes. Faites chauffer une autre poêle avec de l'huile, ajoutez le chou-fleur et les carottes, salez et faites revenir quelques minutes. Couvrez et laissez cuire 20 minutes, en surveillant régulièrement la cuisson. Une fois la cuisson terminée, transférez dans un bol. Dans la même poêle, ajoutez un peu d'huile d'olive, ajoutez les champignons et les gousses d'ail, et salez légèrement. Couvrez et faites cuire jusqu'à ce que les champignons suent légèrement. Cela prendra environ 5 minutes. Enfin, conservez la poêle contenant les pommes de terre grenaille rôties et ajoutez-y le chou-fleur rôti, la carotte, les champignons et les clous de girofle. Saupoudrez d'épices comme des flocons de piment rouge, de l'origan, du thym, des feuilles de basilic hachées et du sel, puis mélangez. Servez la recette de légumes rôtis aux herbes avec du poulet à l'oignon français et un cocktail de sangria au vin rouge pour compléter votre repas du week-end.</t>
  </si>
  <si>
    <t>http://www.archanaskitchen.com/pan-roasted-herbed-baby-potato-recipe-with-vegetables</t>
  </si>
  <si>
    <t>Beans On Toast Recipe</t>
  </si>
  <si>
    <t>Rezept für Bohnen auf Toast</t>
  </si>
  <si>
    <t>Recette de haricots sur toast</t>
  </si>
  <si>
    <t>Receta de frijoles tostados</t>
  </si>
  <si>
    <t>1 tasse de haricots secs, 3 cuillères à soupe d'huile d'olive extra vierge, 4 gousses d'ail hachées, 2 oignons hachés, 1/2 tasse de purée de tomates maison, 1 cuillère à café de cassonade (sucre Demerara) - (réduisez si vous préférez des haricots moins sucrés), 1 cuillère à café de poudre de cumin (Jeera), 1-1/2 cuillère à soupe de poivre de Cayenne - ou de poudre de piment rouge, sel - au goût, 2 à 3 tasses d'eau, feuilles de coriandre (Dhania) - pour la garniture, 4 tranches de pain brun de blé entier</t>
  </si>
  <si>
    <t>1 cup Dry beans,3 tablespoon Extra Virgin Olive Oil,4 cloves Garlic - chopped,2 Onions - chopped,1/2 cup Homemade tomato puree,1 teaspoon Brown Sugar (Demerara Sugar) - (reduce if you prefer less sweetened beans),1 teaspoon Cumin powder (Jeera),1-1/2 tablespoon Cayenne Pepper - or red chilli powder,Salt - to taste,2 to 3 cups Water,Coriander (Dhania) Leaves - for garnish,4 slices Whole Wheat Brown Bread</t>
  </si>
  <si>
    <t>1 taza de frijoles secos, 3 cucharadas de aceite de oliva virgen extra, 4 dientes de ajo picados, 2 cebollas picadas, 1/2 taza de puré de tomate casero, 1 cucharadita de azúcar morena (azúcar Demerara) (reducir si prefiere frijoles menos dulces), 1 cucharadita de comino en polvo (Jeera), 1-1/2 cucharada de pimienta de cayena o chile rojo en polvo, sal al gusto, 2 a 3 tazas de agua, hojas de cilantro (Dhania) para decorar, 4 rebanadas de pan integral</t>
  </si>
  <si>
    <t xml:space="preserve">To begin with Beans on Toast recipe, soak the beans overnight or about for 10 to 12 hours.After 10-12 hours, drain the beans in a colander and rinse it off with fresh cold water.Heat the olive oil in a pan, add the chopped garlic and onions and gently cook for a few mins until it softens.Add the tomato puree and let it cook till the puree gets thick.Now add all the spices into the pan and stir briefly to mix them properly.The next step is to add the soaked beans and sauté the mixture for 3 to 4 minutes. Add 2 cups of water and bring a boil on the high flame. After a boil, reduce the heat to medium. Cook the beans with lid on for about 45 minutes to 60 minutes. Keep stirring at regular intervals and keep adding water if you see the pan turning dry.Once beans are fully cooked, add the brown sugar and mix it well. Turn off the flame and let the beans settle for some time.The next step is to bake the beans. Transfer the beans to a baking dish and cover it with a lid or with a aluminium foil.Bake the Beans on Toast at 180 degrees centigrade for about an hour. Check if it is baked properly, if not bake it for some more time until it's fully done.Take the baked beans out from the oven and serve it hot with toasted bread. Sprinkle some fresh coriander leaves or parsley for that beautiful hint of freshness in your bite.Serve Beans on Toast with Cocoa Banana Almond Date Smoothie to complete your delicious meal.
</t>
  </si>
  <si>
    <t>Para comenzar con la receta de Frijoles en Tostadas, remoje los frijoles durante la noche o aproximadamente durante 10 a 12 horas. Después de 10-12 horas, escurra los frijoles en un colador y enjuáguelos con agua fría fresca. Caliente el aceite de oliva en una sartén, agregue el ajo picado y las cebollas y cocine suavemente durante unos minutos hasta que se ablande. Agregue el puré de tomate y deje cocinar hasta que el puré espese. Ahora agregue todas las especias a la sartén y revuelva brevemente para mezclarlas correctamente. El siguiente paso es agregar los frijoles remojados y saltear la mezcla durante 3 a 4 minutos. Agregue 2 tazas de agua y hierva a fuego alto. Después de que hierva, reduzca el fuego a medio. Cocine los frijoles con la tapa puesta durante unos 45 minutos a 60 minutos. Siga revolviendo a intervalos regulares y siga agregando agua si ve que la sartén se seca. Una vez que los frijoles estén completamente cocidos, agregue el azúcar moreno y mézclelo bien. Apague el fuego y deje reposar los frijoles por un tiempo. El siguiente paso es hornear los frijoles. Transfiera los frijoles a una fuente para hornear y cúbrala con una tapa o papel aluminio. Hornee las tostadas de frijoles a 180 grados centígrados durante aproximadamente una hora. Compruebe si están bien cocidas; de lo contrario, hornéelas un poco más hasta que estén completamente cocidas. Retire las tostadas del horno y sírvalas calientes con pan tostado. Espolvoree con hojas frescas de cilantro o perejil para darle un toque fresco. Sirva las tostadas de frijoles con un batido de cacao, plátano, almendras y dátiles para completar su deliciosa comida.</t>
  </si>
  <si>
    <t>Pour commencer la recette de haricots sur toast, faites tremper les haricots pendant la nuit ou pendant environ 10 à 12 heures. Après 10 à 12 heures, égouttez les haricots dans une passoire et rincez-les à l'eau froide fraîche. Faites chauffer l'huile d'olive dans une poêle, ajoutez l'ail et les oignons hachés et faites cuire doucement pendant quelques minutes jusqu'à ce qu'ils ramollissent. Ajoutez la purée de tomates et laissez cuire jusqu'à ce que la purée épaississe. Ajoutez maintenant toutes les épices dans la poêle et remuez brièvement pour bien les mélanger. L'étape suivante consiste à ajouter les haricots trempés et à faire sauter le mélange pendant 3 à 4 minutes. Ajoutez 2 tasses d'eau et portez à ébullition à feu vif. Après ébullition, réduisez le feu à moyen. Faites cuire les haricots avec un couvercle pendant environ 45 à 60 minutes. Continuez à remuer à intervalles réguliers et continuez à ajouter de l'eau si vous voyez que la poêle devient sèche. Une fois les haricots complètement cuits, ajoutez la cassonade et mélangez bien. Éteignez le feu et laissez les haricots reposer pendant un certain temps. L'étape suivante consiste à cuire les haricots. Transférez les haricots dans un plat allant au four et couvrez-le d'un couvercle ou d'une feuille d'aluminium. Faites cuire les haricots sur toast à 180 °C pendant environ une heure. Vérifiez la cuisson ; sinon, prolongez la cuisson jusqu'à ce qu'ils soient bien cuits. Sortez les haricots du four et servez-les chauds avec du pain grillé. Parsemez de feuilles de coriandre fraîche ou de persil pour une délicieuse touche de fraîcheur. Accompagnez les haricots sur toast d'un smoothie cacao-banane-amande-dattes pour compléter ce délicieux repas.</t>
  </si>
  <si>
    <t>https://www.archanaskitchen.com/beans-on-toast-recipe</t>
  </si>
  <si>
    <t>Ragi (Finger Millet) Chocolate Brownie Recipe</t>
  </si>
  <si>
    <t>Ragi (Fingerhirse) Schokoladen-Brownie-Rezept</t>
  </si>
  <si>
    <t>Recette de brownie au chocolat et au ragi (millet des doigts)</t>
  </si>
  <si>
    <t>Receta de brownie de chocolate con ragi (mijo africano)</t>
  </si>
  <si>
    <t>3/4 tasse de cacao en poudre, 1 tasse de cassonade (sucre Demerara), 1/2 tasse de farine de ragi (millet des doigts/Nagli) - (il est préférable d'utiliser du ragi huri hittu), 1/2 tasse de farine de blé entier - ou maida, 200 grammes de beurre (non salé) - ramolli, 2 œufs entiers, 1 cuillère à café d'extrait de vanille, 1/4 cuillère à café de sel, 1/2 cuillère à café de levure chimique, 2 cuillères à soupe de lait, 1 amande effilée (Badam) - ou noix hachées au goût</t>
  </si>
  <si>
    <t>3/4 cup Cocoa Powder,1 cup Brown Sugar (Demerara Sugar),1/2 cup Ragi Flour (Finger Millet/ Nagli) - (ragi huri hittu is best to use),1/2 cup Whole Wheat Flour - or maida,200 grams Butter (unsalted) - softened,2 Whole Eggs,1 teaspoon Vanilla Extract,1/4 teaspoon Salt,1/2 teaspoon Baking powder,2 tablespoons Milk,1 Slivered Almonds (Badam) - or chopped walnuts to taste</t>
  </si>
  <si>
    <t>3/4 taza de cacao en polvo, 1 taza de azúcar morena (azúcar Demerara), 1/2 taza de harina de ragi (mijo de dedo/nagli) - (es mejor usar ragi huri hittu), 1/2 taza de harina de trigo integral - o maida, 200 gramos de mantequilla (sin sal) - ablandada, 2 huevos enteros, 1 cucharadita de extracto de vainilla, 1/4 cucharadita de sal, 1/2 cucharadita de polvo para hornear, 2 cucharadas de leche, 1 almendra fileteada (badam) - o nueces picadas al gusto</t>
  </si>
  <si>
    <t xml:space="preserve">To begin making the Ragi (Finger Millet) Chocolate Brownie Recipe, preheat oven to 180 C.Take a sauce pan and melt butter in really low heat. Wait till it melts, but ensure it doesn't boil or bubble. Add sieved cocoa to the butter. Stir it into a nice, gooey consistency. Add vanilla essence and take it off the heat.Add the brown sugar and stir well till the sugar has slightly melted.Sieve the flours and baking powder and add to the mixture. Combine well.Whisk the eggs well using a hand mixer and add it to the mixture. Stir in almonds or walnuts and mix well. Add a couple of tablespoons of milk for smoother texture and consistency. Make sure you do not add too much.Pop the ragi brownie into the oven in a greased baking tin and bake for about 25 minutes. (oven times may vary). Once baked completed and when a tester inserted in the center comes out clean, remove from the oven and allow it cool completely and cut into squares to serve.Store the Ragi (Finger Millet) Chocolate Brownie an air-tight container in the refrigerator up to 3-4 days and serve as desired.
</t>
  </si>
  <si>
    <t>Para empezar a preparar la receta del brownie de chocolate con ragi (mijo africano), precalienta el horno a 180 °C. En una cacerola, derrite la mantequilla a fuego muy lento. Espera a que se derrita, pero asegúrate de que no hierva ni burbujee. Agrega el cacao tamizado a la mantequilla. Remueve hasta obtener una consistencia agradable y pastosa. Agrega la esencia de vainilla y retira del fuego. Agrega el azúcar moreno y remueve bien hasta que se derrita ligeramente. Tamiza las harinas y la levadura química y añádelas a la mezcla. Mezcla bien. Bate bien los huevos con una batidora de mano y añádelos a la mezcla. Incorpora almendras o nueces y mezcla bien. Agrega un par de cucharadas de leche para una textura más suave. Asegúrate de no añadir demasiada. Hornea el brownie de ragi en un molde engrasado y hornea durante unos 25 minutos (el tiempo de horneado puede variar). Una vez horneado y cuando al insertar un palillo en el centro este salga limpio, retírelo del horno, déjelo enfriar completamente y córtelo en cuadritos para servir. Guarde el brownie de chocolate con ragi (mijo de dedo) en un recipiente hermético en el refrigerador hasta por 3 o 4 días y sírvalo como desee.</t>
  </si>
  <si>
    <t>Pour préparer le brownie au chocolat et au ragi (millet rouge), préchauffez le four à 180 °C. Faites fondre le beurre dans une casserole à feu très doux. Laissez-le fondre, sans qu'il ne bout ni ne bouillonne. Ajoutez le cacao tamisé au beurre et remuez jusqu'à obtenir une consistance onctueuse. Ajoutez l'extrait de vanille et retirez du feu. Ajoutez la cassonade et remuez bien jusqu'à ce que le sucre soit légèrement fondu. Tamisez les farines et la levure chimique et ajoutez-les au mélange. Mélangez bien. Fouettez les œufs au batteur électrique et ajoutez-les au mélange. Incorporez les amandes ou les noix et mélangez bien. Ajoutez quelques cuillères à soupe de lait pour une texture et une consistance plus lisses. Veillez à ne pas en mettre trop. Enfournez le brownie au ragi dans un moule beurré et laissez cuire environ 25 minutes (les temps de cuisson peuvent varier). Une fois la cuisson terminée et lorsqu'un testeur inséré au centre en ressort propre, retirez-le du four et laissez-le refroidir complètement, puis coupez-le en carrés pour servir. Conservez le brownie au chocolat Ragi (millet des doigts) dans un récipient hermétique au réfrigérateur jusqu'à 3 à 4 jours et servez comme vous le souhaitez.</t>
  </si>
  <si>
    <t>https://www.archanaskitchen.com/ragi-finger-millet-chocolate-brownies-recipe</t>
  </si>
  <si>
    <t>Herbed Butter Rice Recipe With Rosemary &amp; Thyme</t>
  </si>
  <si>
    <t>Kräuterbutterreis-Rezept mit Rosmarin und Thymian</t>
  </si>
  <si>
    <t>Recette de riz au beurre aux herbes, au romarin et au thym</t>
  </si>
  <si>
    <t>Receta de arroz con mantequilla, hierbas, romero y tomillo</t>
  </si>
  <si>
    <t>2 tasses de riz cuit, 1 cuillère à soupe de beurre, 3 gousses d'ail finement hachées, 1 cuillère à soupe de romarin, 1 cuillère à soupe de feuilles de thym séchées, 1 cuillère à soupe de flocons de piment rouge, sel au goût, 1 cuillère à soupe de feuilles de coriandre (Dhania) finement hachées</t>
  </si>
  <si>
    <t>2 cups Cooked rice,1 tablespoon Butter,3 cloves Garlic - finely chopped,1 tablespoon Rosemary,1 tablespoon Dried Thyme Leaves,1 tablespoon Red Chilli flakes,Salt - to taste,1 tablespoon Coriander (Dhania) Leaves - finely chopped</t>
  </si>
  <si>
    <t>2 tazas de arroz cocido, 1 cucharada de mantequilla, 3 dientes de ajo finamente picados, 1 cucharada de romero, 1 cucharada de hojas de tomillo secas, 1 cucharada de hojuelas de chile rojo, sal al gusto, 1 cucharada de hojas de cilantro (Dhania) finamente picadas</t>
  </si>
  <si>
    <t xml:space="preserve">To begin making the Herbed Butter Rice Recipe With Rosemary &amp; Thyme, keep the cooked white rice ready. In a skillet, heat butter on low flame, add the chopped garlic and saute for a couple of minutes until the garlic turns into a light brown colour. Next add in the rosemary, thyme, chilli flakes and salt. Mix well. Finally add in the cooked white rice and toss the Herbed Butter Rice well. Garnish with coriander leaves and serve. Serve Herbed Butter Rice Recipe With Rosemary &amp; Thyme along with Chicken In Lemon Butter Sauce Recipe,  Sweet Potato Mash Recipe, Broccoli Salad Recipe with Roasted Onion &amp; Peppers and finish off the meal with a dessert of Apple Pie Ice Cream Recipe. 
</t>
  </si>
  <si>
    <t>Para empezar a preparar la Receta de Arroz con Mantequilla, Hierbas, Romero y Tomillo, ten listo el arroz blanco cocido. En una sartén, calienta la mantequilla a fuego lento, añade el ajo picado y saltea durante un par de minutos hasta que el ajo adquiera un color marrón claro. A continuación, añade el romero, el tomillo, las hojuelas de chile y la sal. Mezcla bien. Por último, añade el arroz blanco cocido y mezcla bien el Arroz con Mantequilla, Hierbas. Decora con hojas de cilantro y sirve. Sirve la Receta de Arroz con Mantequilla, Hierbas, Romero y Tomillo junto con la Receta de Pollo en Salsa de Mantequilla y Limón, la Receta de Puré de Boniato, la Receta de Ensalada de Brócoli con Cebolla y Pimientos Asados ​​y termina la comida con un postre de Receta de Helado de Pastel de Manzana.</t>
  </si>
  <si>
    <t>Pour commencer la recette de riz au beurre aux herbes, romarin et thym, préparez le riz blanc cuit. Dans une poêle, faites chauffer le beurre à feu doux, ajoutez l'ail haché et faites revenir quelques minutes jusqu'à ce qu'il prenne une couleur brun clair. Ajoutez ensuite le romarin, le thym, les flocons de piment et le sel. Mélangez bien. Ajoutez enfin le riz blanc cuit et mélangez bien le riz au beurre aux herbes. Décorez de feuilles de coriandre et servez. Servez le riz au beurre aux herbes, romarin et thym avec le poulet au beurre citronné, la purée de patates douces, la salade de brocoli aux oignons et poivrons rôtis et terminez le repas par une glace à la tarte aux pommes.</t>
  </si>
  <si>
    <t>https://www.archanaskitchen.com/herbed-butter-rice-recipe-with-rosemary-thyme</t>
  </si>
  <si>
    <t>Detox Blueberry Salad Recipe</t>
  </si>
  <si>
    <t>Rezept für Detox-Blaubeersalat</t>
  </si>
  <si>
    <t>Recette de salade de myrtilles détox</t>
  </si>
  <si>
    <t>Receta de ensalada de arándanos desintoxicante</t>
  </si>
  <si>
    <t>3/4 tasse de bleuets, 3/4 tasse de chou frisé - mélange d'épinards et de carde, 1/2 tasse de chou rouge - finement coupé en dés, 1/4 tasse de concombre - finement coupé en dés, 1/4 tasse d'avocat - finement coupé en dés, 1/4 tasse de laitue iceberg - finement coupée en dés, 1/4 tasse d'oignon rouge - finement coupé en dés, 1 cuillère à soupe de poivrons rouges, jaunes et verts (Capsicum) - finement coupés en dés, 2 cuillères à soupe de betteraves - finement coupées en dés, 3 cuillères à soupe de caillé (Dahi / Yaourt) - (préférez faible en gras), 1-1/2 cuillère à soupe d'huile d'olive extra vierge, 1 cuillère à soupe de jus de citron, 1/2 sel de mer - ou sel au goût, 1/4 cuillère à café de poudre de poivre noir - fraîchement moulu, 1 cuillère à soupe de Badam (amande) - grillée et coupée en dés, 1/2 cuillère à soupe de graines de lin</t>
  </si>
  <si>
    <t>3/4 cup Blueberries,3/4 cup Kale - spinach &amp; card mix,1/2 cup Red cabbage - finely diced,1/4 cup Cucumber - finely diced,1/4 cup Avocado - finely diced,1/4 cup Iceberg lettuce - finely diced,1/4 cup Red onion - finely diced,1 tablespoon Red Yellow and Green Bell Peppers (Capsicum) - finely diced,2 tablespoon Beetroot - finely diced,3 tablespoon Curd (Dahi / Yogurt) - (prefer low fat),1-1/2 tablespoon Extra Virgin Olive Oil,1 tablespoon Lemon juice,1/2 Sea salt - or salt to taste,1/4 teaspoon Black pepper powder - freshly ground,1 tablespoon Badam (Almond) - toasted and diced,1/2 tablespoon Flax seeds</t>
  </si>
  <si>
    <t>3/4 taza de arándanos, 3/4 taza de col rizada - mezcla de espinacas y cardamomo, 1/2 taza de repollo morado - finamente picado, 1/4 taza de pepino - finamente picado, 1/4 taza de aguacate - finamente picado, 1/4 taza de lechuga iceberg - finamente picada, 1/4 taza de cebolla morada - finamente picada, 1 cucharada de pimientos morrones rojos, amarillos y verdes (Capsicum) - finamente picados, 2 cucharadas de remolacha - finamente picada, 3 cucharadas de cuajada (Dahi / yogur) - (preferiblemente bajo en grasa), 1-1/2 cucharada de aceite de oliva virgen extra, 1 cucharada de jugo de limón, 1/2 sal marina - o sal al gusto, 1/4 cucharadita de pimienta negra en polvo - recién molida, 1 cucharada de Badam (almendra) - tostada y picada, 1/2 cucharada de semillas de lino</t>
  </si>
  <si>
    <t xml:space="preserve">To begin making the Detox Blueberry Salad, firstly we will prepare the dressing for the salad. Place all ingredients mentioned under ‘For dressing’ in a big bowl and mix everything well.Put all the ingredients in a mixer and pulse them to obtain a smooth paste.The next step is to make the salad. Place all the vegetables in a large bowl and toss them to combine.Pour the dressing over the salad and mix to combine. Garnish it with toasted almonds and flax seeds.Serve Detox Blueberry Salad on its own for a healthy and light dinner.
</t>
  </si>
  <si>
    <t>Para empezar a preparar la Ensalada Detox de Arándanos, primero prepararemos el aderezo. Coloca todos los ingredientes mencionados en la sección "Aderezo" en un tazón grande y mézclalos bien. Pon todos los ingredientes en una licuadora y tritura hasta obtener una pasta suave. El siguiente paso es preparar la ensalada. Coloca todas las verduras en un tazón grande y revuélvelas. Vierte el aderezo sobre la ensalada y mezcla bien. Decora con almendras tostadas y semillas de lino. Sirve la Ensalada Detox de Arándanos sola para una cena saludable y ligera.</t>
  </si>
  <si>
    <t>Pour préparer la salade détox aux myrtilles, commencez par préparer la vinaigrette. Dans un grand bol, mélangez bien tous les ingrédients mentionnés sous « Vinaigrette ». Mixez tous les ingrédients au mixeur jusqu'à obtenir une pâte lisse. Ensuite, préparez la salade. Dans un grand bol, mélangez tous les légumes. Versez la vinaigrette sur la salade et mélangez. Garnissez d'amandes grillées et de graines de lin. Servez la salade détox aux myrtilles seule pour un dîner sain et léger.</t>
  </si>
  <si>
    <t>https://www.archanaskitchen.com/detox-blueberry-salad-recipe</t>
  </si>
  <si>
    <t>Grilled Eggplant With Spirulina Basil Pesto and Tofu Recipe</t>
  </si>
  <si>
    <t>Gegrillte Aubergine mit Spirulina-Basilikum-Pesto und Tofu-Rezept</t>
  </si>
  <si>
    <t>Recette d'aubergines grillées au pesto de basilic spiruline et tofu</t>
  </si>
  <si>
    <t>Receta de berenjena a la parrilla con pesto de albahaca y espirulina y tofu</t>
  </si>
  <si>
    <t>1 aubergine (Baingan / aubergine) - coupée en rondelles, 4 cuillères à soupe de tofu - coupé en cubes, 1 tasse de feuilles de basilic, 1/2 tasse de feuilles de menthe (Pudina), 1 cuillère à soupe de spiruline, 1/2 tasse de badam (amande) - blanchie, 4 gousses d'ail, 1/2 tasse de tofu, 1 cuillère à café de poudre de poivre noir, 2 cuillères à café de sel, 1/4 tasse d'huile d'olive extra vierge, 1 oignon - tranché, 1 poivron jaune (Capsicum) - tranché, 1 poivron vert (Capsicum) - tranché, 1/2 cuillère à café de poudre de poivre noir, 4 gousses d'ail - hachées, 1 pouce de gingembre - haché, 2 cuillères à café de sauce au piment rouge, 1 cuillère à soupe d'huile d'olive extra vierge</t>
  </si>
  <si>
    <t>1 Brinjal (Baingan / Eggplant) - cut into roundels,4 tablespoons Tofu - cut into cubes,1 cup Basil leaves,1/2 cup Mint Leaves (Pudina),1 tablespoon Spirulina,1/2 cup Badam (Almond) - blanched ,4 cloves Garlic,1/2 cup Tofu,1 teaspoon Black pepper powder,2 teaspoon Salt,1/4 cup Extra Virgin Olive Oil,1 Onion - sliced,1 Yellow Bell Pepper (Capsicum) - sliced,1 Green Bell Pepper (Capsicum) - sliced,1/2 teaspoon Black pepper powder,4 cloves Garlic - chopped,1 inch Ginger - chopped,2 teaspoon Red Chilli sauce,1 tablespoon Extra Virgin Olive Oil</t>
  </si>
  <si>
    <t>1 berenjena (Baingan / berenjena) - cortada en rodajas, 4 cucharadas de tofu - cortado en cubos, 1 taza de hojas de albahaca, 1/2 taza de hojas de menta (Pudina), 1 cucharada de espirulina, 1/2 taza de Badam (almendra) - blanqueada, 4 dientes de ajo, 1/2 taza de tofu, 1 cucharadita de pimienta negra en polvo, 2 cucharaditas de sal, 1/4 taza de aceite de oliva virgen extra, 1 cebolla - en rodajas, 1 pimiento amarillo (Capsicum) - en rodajas, 1 pimiento verde (Capsicum) - en rodajas, 1/2 cucharadita de pimienta negra en polvo, 4 dientes de ajo - picados, 1 pulgada de jengibre - picado, 2 cucharaditas de salsa de chile rojo, 1 cucharada de aceite de oliva virgen extra</t>
  </si>
  <si>
    <t xml:space="preserve">To begin making the Grilled Eggplant With Spirulina Basil Pesto and Tofu Recipe, slice the eggplant into discs of about 1/4-1/2 inch thickness, spread it on a plate and sprinkle salt and leave it for 15 minutes.Wash it under flowing water and wipe it dry with tissue paper. Heat a flat skillet and drizzle some oil and arrange all the eggplant slices on the hot pan . Brush each piece with olive oil and season with salt and pepper.Cook it on each side for 10 minutes until the eggplant is cooked and golden brown in colour. Remove onto a plate once done.To Make the Spirulina Basil Pesto Add all the ingredients into a blender and blitz it into a smooth paste check for seasoning. Keep it aside.To make the Vegetable ToppingHeat a flat skillet, add oil and saute the ginger, garlic and onion till the onions turn translucent.  Once done add the capsicum and saute till it is cooked. Finally add the red chili sauce give it a stir. Once done keep it aside.To assemble the Grilled Eggplant With Spirulina Basil Pesto and Tofu RecipeTake each egg plant roundels and add a tablespoon of pesto and smear it evenly and garnish it with sauteed vegetables and cut tofu on top. Serve the Grilled Eggplant With Spirulina Basil Pesto and Tofu Recipe as an Party Appetizer along with a party meal of Cheesy Baked Spaghetti Pasta Recipe In Tomato Basil Sauce and Red Wine Sangria Cocktail Recipe
</t>
  </si>
  <si>
    <t>Para comenzar a hacer la receta de berenjena a la parrilla con pesto de albahaca y espirulina y tofu, corte la berenjena en discos de aproximadamente 1/4-1/2 pulgada de grosor, extiéndala en un plato, espolvoree sal y déjela durante 15 minutos. Lávela con agua corriente y séquela con papel de seda. Caliente una sartén plana y rocíe un poco de aceite y coloque todas las rodajas de berenjena en la sartén caliente. Unte cada pieza con aceite de oliva y sazone con sal y pimienta. Cocínela por cada lado durante 10 minutos hasta que la berenjena esté cocida y dorada. Retire a un plato una vez hecho. Para hacer el pesto de albahaca y espirulina, agregue todos los ingredientes en una licuadora y triture hasta obtener una pasta suave, verifique el condimento. Déjelo a un lado. Para hacer la cobertura de vegetales, caliente una sartén plana, agregue aceite y saltee el jengibre, el ajo y la cebolla hasta que las cebollas se vuelvan translúcidas. Una vez hecho esto, agregue el pimiento y saltee hasta que esté cocido. Finalmente, agregue la salsa de chile rojo y revuelva. Una vez listo, déjalo a un lado. Para armar la receta de berenjenas a la parrilla con pesto de albahaca y espirulina y tofu, toma cada rodaja de berenjena, agrega una cucharada de pesto, úntala uniformemente y decora con vegetales salteados y tofu cortado por encima. Sirve la receta de berenjenas a la parrilla con pesto de albahaca y espirulina y tofu como aperitivo para fiestas, junto con una comida de espaguetis al horno con queso en salsa de tomate y albahaca y una receta de cóctel de sangría de vino tinto.</t>
  </si>
  <si>
    <t>Pour commencer à préparer la recette d'aubergines grillées au pesto de basilic et spiruline et au tofu, coupez l'aubergine en rondelles d'environ 1/4 à 1/2 pouce d'épaisseur, étalez-la sur une assiette, saupoudrez de sel et laissez reposer 15 minutes. Lavez-la sous l'eau courante et essuyez-la avec du papier de soie. Faites chauffer une poêle plate, arrosez d'un filet d'huile et disposez toutes les tranches d'aubergine sur la poêle chaude. Badigeonnez chaque morceau d'huile d'olive et assaisonnez de sel et de poivre. Faites-la cuire de chaque côté pendant 10 minutes jusqu'à ce que l'aubergine soit cuite et dorée. Retirez-la sur une assiette une fois cuite. Pour préparer le pesto de basilic et spiruline, ajoutez tous les ingrédients dans un mixeur et mixez-les jusqu'à obtenir une pâte lisse, vérifiez l'assaisonnement. Gardez-le de côté. Pour préparer la garniture aux légumes, faites chauffer une poêle plate, ajoutez l'huile et faites revenir le gingembre, l'ail et l'oignon jusqu'à ce que les oignons deviennent translucides. Une fois terminé, ajoutez le poivron et faites-le revenir jusqu'à ce qu'il soit cuit. Enfin, ajoutez la sauce chili rouge et remuez. Une fois terminé, réservez. Pour assembler la recette d'aubergines grillées au pesto de basilic et spiruline et au tofu, prenez chaque rondelle d'aubergine et ajoutez une cuillère à soupe de pesto, étalez-la uniformément et garnissez-la de légumes sautés et de tofu coupé. Servez la recette d'aubergines grillées au pesto de basilic et spiruline et au tofu en entrée de fête, accompagnée d'un repas de fête composé de spaghettis au fromage cuits au four, de sauce tomate et basilic et d'une recette de cocktail sangria au vin rouge.</t>
  </si>
  <si>
    <t>https://www.archanaskitchen.com/grilled-eggplant-with-italian-herbs-recipe</t>
  </si>
  <si>
    <t>Tofu Chocolate Mousse Recipe</t>
  </si>
  <si>
    <t>Rezept für Tofu-Schokoladenmousse</t>
  </si>
  <si>
    <t>Recette de mousse au chocolat et au tofu</t>
  </si>
  <si>
    <t>Receta de mousse de chocolate y tofu</t>
  </si>
  <si>
    <t>340 grammes de tofu - égoutté (ferme et soyeux), 3/4 tasse de cacao en poudre, 1/3 tasse de sirop d'érable - ou de miel, sel - une pincée, 1/2 cuillère à café d'extrait de vanille, 1/4 tasse d'huile de coco - fondue, 1/2 tasse de lait d'amande (lait de Badam)</t>
  </si>
  <si>
    <t>340 grams Tofu - drained (Firm Silken),3/4 cup Cocoa Powder,1/3 cup Maple syrup - or honey,Salt - a pinch,1/2 teaspoons Vanilla Extract,1/4 cup Coconut Oil - melted,1/2 cup Almond Milk (Badam Milk)</t>
  </si>
  <si>
    <t>340 gramos de tofu, escurrido (firme y sedoso), 3/4 taza de cacao en polvo, 1/3 taza de jarabe de arce o miel, sal (una pizca), 1/2 cucharadita de extracto de vainilla, 1/4 taza de aceite de coco derretido, 1/2 taza de leche de almendras (leche de almendras)</t>
  </si>
  <si>
    <t xml:space="preserve">To begin making the Tofu Chocolate Mousse recipe, firstly add silken tofu, cocoa powder, maple syrup, salt, Vanilla extract, coconut oil and almond milk into the blender jar. Blend the mixture until smooth. Once it runs smooth, spoon them into serving cups and refrigerate at least for 1-2 hours before serving.Adding extra liquid depends on the brand and the consistency of the tofu, add 2 tablespoons at a time if needed until it reaches desired consistency.You will have smooth, soft, only a just about set tofu chocolate mousse. Serve Tofu Chocolate Mousse as a dessert after your simple meal of Cheese Garlic Bread Recipe, and Cheesy Baked Spaghetti Pasta Recipe In Tomato Basil Sauce. 
</t>
  </si>
  <si>
    <t>Para empezar a preparar la receta de mousse de chocolate y tofu, primero añade tofu sedoso, cacao en polvo, sirope de arce, sal, extracto de vainilla, aceite de coco y leche de almendras al vaso de la licuadora. Licúa la mezcla hasta que esté suave. Una vez que esté suave, viértela en tazas para servir y refrigera al menos durante 1 o 2 horas antes de servir. Añadir líquido adicional depende de la marca y la consistencia del tofu; añade 2 cucharadas a la vez si es necesario hasta que alcance la consistencia deseada. Obtendrás una mousse de chocolate y tofu suave, casi cuajada. Sirve la mousse de chocolate y tofu como postre después de tu comida sencilla de receta de pan de ajo con queso y receta de espaguetis al horno con queso en salsa de tomate y albahaca.</t>
  </si>
  <si>
    <t>Pour commencer la recette de la mousse au chocolat et au tofu, ajoutez d'abord le tofu soyeux, la poudre de cacao, le sirop d'érable, le sel, l'extrait de vanille, l'huile de coco et le lait d'amande dans le bol du mixeur. Mixez le mélange jusqu'à obtenir une consistance lisse. Une fois lisse, versez le mélange dans des coupes et réfrigérez au moins 1 à 2 heures avant de servir. L'ajout de liquide dépend de la marque et de la consistance du tofu. Ajoutez 2 cuillères à soupe à la fois si nécessaire jusqu'à obtenir la consistance souhaitée. Vous obtiendrez une mousse au chocolat et au tofu lisse, moelleuse et presque ferme. Servez la mousse au chocolat et au tofu en dessert après votre recette de pain à l'ail et au fromage et votre recette de spaghettis au fromage et sauce tomate-basilic.</t>
  </si>
  <si>
    <t>http://www.archanaskitchen.com/tofu-chocolate-mousse-recipe</t>
  </si>
  <si>
    <t>Potato Basil Fritters Recipe</t>
  </si>
  <si>
    <t>Rezept für Kartoffel-Basilikum-Puffer</t>
  </si>
  <si>
    <t>Recette de galettes de pommes de terre et basilic</t>
  </si>
  <si>
    <t>Receta de panqueques de papa y albahaca</t>
  </si>
  <si>
    <t>4 pommes de terre (Aloo), 1/4 tasse de feuilles de basilic, 3 cuillères à soupe de chapelure de blé entier, 1 cuillère à soupe d'assaisonnement italien, 1 œuf entier, 1 cuillère à café de flocons de piment rouge, sel - au goût, huile de tournesol - pour la friture peu profonde</t>
  </si>
  <si>
    <t>4 Potatoes (Aloo),1/4 cup Basil leaves,3 tablespoon Whole Wheat Bread crumbs,1 tablespoon Italian seasoning,1 Whole Eggs,1 teaspoon Red Chilli flakes,Salt - to taste,Sunflower Oil - for shallow frying</t>
  </si>
  <si>
    <t>4 papas (Aloo), 1/4 taza de hojas de albahaca, 3 cucharadas de pan rallado integral, 1 cucharada de condimento italiano, 1 huevo entero, 1 cucharadita de hojuelas de chile rojo, sal - al gusto, aceite de girasol - para freír ligeramente</t>
  </si>
  <si>
    <t xml:space="preserve">To begin with Potato Basil Fritters, peel and grate the potatoes. Put them in salt water for five minutes.After 5 minutes, squeeze and remove all the water possible from the potato.Spread it on a kitchen towel and press it to remove any remaining water content.Transfer the grated potatoes to a mixing bowl. Add the Italian seasoning, chilli flakes, egg, bread crumbs, salt and chopped basil to this and mix everything properly.Heat a pan over medium heat. Once the pan is hot, pour 2 teaspoons of oil on it.Give the pan a swirl to spread the oil. Spoon 1.5 tablespoon of the potato mixture onto the pan and spread it a little.Make 3 to 5 of them at a time, depending on the size of your pan. Flip it over once you see that it is golden brown.Press it gently with the spoon and let it crisp up. Repeat the same process with the remaining mixture.Serve Potato Basil Fritters with Peanut Chilli Dipping Sauce, Spicy Mexican Salsa or any other dip of your choice.
</t>
  </si>
  <si>
    <t>Para preparar los buñuelos de patata y albahaca, pela y ralla las patatas. Remójalas en agua con sal durante cinco minutos. Después, exprime la patata para eliminar toda el agua posible. Extiéndela sobre un paño de cocina y presiónala para eliminar cualquier resto de agua. Pasa las patatas ralladas a un bol. Añade el condimento italiano, las hojuelas de chile, el huevo, el pan rallado, la sal y la albahaca picada y mezcla todo bien. Calienta una sartén a fuego medio. Una vez caliente, vierte 2 cucharaditas de aceite. Remueve la sartén para distribuir el aceite. Vierte 1,5 cucharadas de la mezcla de patata en la sartén y extiéndela un poco. Prepara de 3 a 5 porciones a la vez, dependiendo del tamaño de la sartén. Dale la vuelta cuando veas que está dorada. Presiónala suavemente con la cuchara y deja que se dore. Repita el mismo proceso con la mezcla restante. Sirva los buñuelos de papa y albahaca con salsa de chile y cacahuete, salsa mexicana picante o cualquier otra salsa de su elección.</t>
  </si>
  <si>
    <t>Pour commencer les beignets de pommes de terre au basilic, épluchez et râpez les pommes de terre. Plongez-les dans de l'eau salée pendant cinq minutes. Au bout de cinq minutes, pressez-les pour en extraire toute l'eau. Étalez-les sur un torchon et pressez-les pour éliminer l'eau restante. Transférez les pommes de terre râpées dans un saladier. Ajoutez l'assaisonnement italien, les flocons de piment, l'œuf, la chapelure, le sel et le basilic haché, puis mélangez bien le tout. Faites chauffer une poêle à feu moyen. Une fois chaude, versez 2 cuillères à café d'huile. Faites tourner la poêle pour bien répartir l'huile. Déposez 1,5 cuillère à soupe de préparation de pommes de terre dans la poêle et étalez-la légèrement. Préparez-en 3 à 5 à la fois, selon la taille de votre poêle. Retournez-la dès qu'elle est dorée. Pressez-la délicatement avec la cuillère et laissez-la croustiller. Répétez le même processus avec le reste du mélange. Servez les beignets de pommes de terre au basilic avec une sauce chili aux arachides, une salsa mexicaine épicée ou toute autre trempette de votre choix.</t>
  </si>
  <si>
    <t>http://www.archanaskitchen.com/potato-basil-fritters-recipe</t>
  </si>
  <si>
    <t>Cheesy Garlic Spinach Corn Paneer Sandwich Recipe</t>
  </si>
  <si>
    <t>Rezept für ein Paneer-Sandwich mit Käse, Knoblauch, Spinat und Mais</t>
  </si>
  <si>
    <t>Recette de sandwich au paneer avec fromage, ail, épinards et maïs</t>
  </si>
  <si>
    <t>Receta de sándwich de paneer con queso, ajo, espinacas y maíz</t>
  </si>
  <si>
    <t>2 gousses d'ail finement hachées, 2 tasses d'épinards finement hachés, 1 tasse de maïs doux cuit à la vapeur, 1 tasse de paneer (fromage cottage fait maison) coupé en petits cubes, 1/4 tasse de fromage Britannia râpé, 2 cuillères à soupe de mayonnaise à l'ail et au fromage Nutralite, 8 tranches de pain brun de blé entier, 2 cuillères à soupe de beurre aux herbes</t>
  </si>
  <si>
    <t>2 cloves Garlic - finely chopped,2 cups Spinach - finely chopped,1 cup Sweet corn - steamed,1 cup Paneer (Homemade Cottage Cheese) - cut into small cubes,1/4 cup Britannia Cheese Block - grated,2 tablespoons Nutralite Cheesy Garlic Mayo,8 Whole Wheat Brown Bread - slices,2 tablespoon Herb Butter</t>
  </si>
  <si>
    <t>2 dientes de ajo finamente picados, 2 tazas de espinacas finamente picadas, 1 taza de maíz dulce al vapor, 1 taza de paneer (requesón casero) cortado en cubos pequeños, 1/4 taza de bloque de queso Britannia rallado, 2 cucharadas de mayonesa de ajo y queso Nutralite, 8 rebanadas de pan integral, 2 cucharadas de mantequilla de hierbas</t>
  </si>
  <si>
    <t xml:space="preserve">To begin making the Cheesy Garlic Spinach Corn Paneer Sandwich Recipe, heat herb butter in a wide pan and allow it to melt. Once it is heated, add garlic and saute till the aromas from the garlic is released.Once done add in the spinach and saute the spinach for about 3 to 4 minutes until the spinach wilts. After the spinach has wilted add the steamed corn, paneer and grated cheese. Keep stirring until the moisture from the spinach goes away.  Once all the moisture has evaporated add the Nutralite Cheesy Garlic Mayo and stir well to combine. Taste the mixture and add salt and pepper if required.The next step is to assemble the Spinach Corn Paneer Sandwich.Take 4 slice of bread and place them on a counter. Spread some paneer and corn filling on two slices of bread and cover the filling with another slice to make a sandwich. Spread Herbed butter on both the sides of the sandwich and Grill the Cheesy Garlic Spinach Corn Paneer Sandwich on a preheated pan till it turns brown and crisp on both the sides.Once done transfer the Cheesy Garlic Spinach Corn Paneer Sandwich onto a serving plate. Cut it in half and serve immediately.Serve Cheesy Garlic Spinach Corn Paneer Sandwich Recipe along with a Apple Almond Date Smoothie Recipe for  breakfast or an after school snack for kids.
</t>
  </si>
  <si>
    <t>Para comenzar a hacer la Receta del Sándwich de Espinacas, Maíz y Paneer con Queso y Ajo, calienta la mantequilla de hierbas en una sartén ancha y deja que se derrita. Una vez caliente, agrega el ajo y saltea hasta que se liberen los aromas del ajo. Una vez hecho esto, agrega las espinacas y saltea las espinacas durante unos 3 a 4 minutos hasta que las espinacas se marchiten. Después de que las espinacas se hayan marchitado, agrega el maíz al vapor, el paneer y el queso rallado. Sigue revolviendo hasta que desaparezca la humedad de las espinacas. Una vez que toda la humedad se haya evaporado, agrega la Mayonesa de Ajo con Queso Nutralite y revuelve bien para combinar. Prueba la mezcla y agrega sal y pimienta si es necesario. El siguiente paso es armar el Sándwich de Espinacas, Maíz y Paneer. Toma 4 rebanadas de pan y colócalas en una encimera. Unta un poco de relleno de paneer y maíz en dos rebanadas de pan y cubre el relleno con otra rebanada para hacer un sándwich. Unta mantequilla con hierbas en ambos lados del sándwich y asa el sándwich de queso, ajo, espinacas, maíz y paneer en una sartén precalentada hasta que esté dorado y crujiente por ambos lados. Una vez listo, transfiere el sándwich de queso, ajo, espinacas, maíz y paneer a un plato para servir. Córtalo por la mitad y sirve inmediatamente. Sirve la receta del sándwich de queso, ajo, espinacas, maíz y paneer junto con una receta de batido de manzana, almendras y dátiles para el desayuno o una merienda después de la escuela para los niños.</t>
  </si>
  <si>
    <t>Pour commencer à préparer la recette du sandwich au paneer de maïs, aux épinards et à l'ail au fromage, faites chauffer le beurre aux herbes dans une grande poêle et laissez-le fondre. Une fois chaud, ajoutez l'ail et faites revenir jusqu'à ce que les arômes de l'ail se libèrent. Une fois terminé, ajoutez les épinards et faites-les revenir pendant environ 3 à 4 minutes jusqu'à ce qu'ils flétrissent. Une fois les épinards flétris, ajoutez le maïs cuit à la vapeur, le paneer et le fromage râpé. Continuez à remuer jusqu'à ce que l'humidité des épinards disparaisse. Une fois toute l'humidité évaporée, ajoutez la mayonnaise à l'ail et au fromage Nutralite et remuez bien pour mélanger. Goûtez le mélange et ajoutez du sel et du poivre si nécessaire. L'étape suivante consiste à assembler le sandwich au paneer de maïs et aux épinards. Prenez 4 tranches de pain et placez-les sur un comptoir. Étalez un peu de paneer et de garniture de maïs sur deux tranches de pain et recouvrez la garniture avec une autre tranche pour faire un sandwich. Étalez du beurre aux herbes sur les deux côtés du sandwich et faites griller le sandwich au fromage, à l'ail, aux épinards, au maïs et au paneer dans une poêle préchauffée jusqu'à ce qu'il devienne doré et croustillant des deux côtés. Une fois terminé, transférez le sandwich au fromage, à l'ail, aux épinards, au maïs et au paneer sur une assiette de service. Coupez-le en deux et servez immédiatement. Servez la recette du sandwich au fromage, à l'ail, aux épinards, au maïs et au paneer avec une recette de smoothie aux pommes, aux amandes et aux dattes pour le petit-déjeuner ou comme collation après l'école pour les enfants.</t>
  </si>
  <si>
    <t>http://www.archanaskitchen.com/spinach-corn-sandwich-recipe</t>
  </si>
  <si>
    <t>Tofu Strawberry Puree Recipe For Babies And Toddlers</t>
  </si>
  <si>
    <t>Tofu-Erdbeerpüree-Rezept für Babys und Kleinkinder</t>
  </si>
  <si>
    <t>Recette de purée de tofu et de fraises pour bébés et tout-petits</t>
  </si>
  <si>
    <t>Receta de puré de tofu y fresas para bebés y niños pequeños</t>
  </si>
  <si>
    <t>10 fraises, 1/4 tasse de tofu</t>
  </si>
  <si>
    <t>10 Strawberries,1/4 cup Tofu</t>
  </si>
  <si>
    <t>10 fresas, 1/4 taza de tofu</t>
  </si>
  <si>
    <t xml:space="preserve">To begin making Tofu Strawberry Puree, we need to make sure that the strawberries are cleaned and the leaves are removed.Chop up the strawberries roughly and add it to the mixer.Next, chop your tofu roughly into medium chunks and add it into the mixer too.Blend the strawberries and tofu in the mixer until you have a smooth mixture or puree like consistency.Pour out the Strawberry Tofu mixture into a bowl. Strawberry Tofu Puree is ready to be served.Serve this Tofu Strawberry Puree as a snack for your toddlers or as a meal by itself for your babies who are above 8 months old.
</t>
  </si>
  <si>
    <t>Para empezar a hacer puré de tofu y fresa, debemos asegurarnos de que las fresas estén limpias y sin hojas. Picar las fresas en trozos grandes y añadirlas a la batidora. A continuación, picar el tofu en trozos medianos y añadirlo también a la batidora. Licuar las fresas y el tofu en la batidora hasta obtener una mezcla suave o con una consistencia similar a la de un puré. Verter la mezcla de tofu y fresa en un bol. El puré de tofu y fresa está listo para servir. Sirva este puré de tofu y fresa como refrigerio para sus niños pequeños o como una comida sola para sus bebés mayores de 8 meses.</t>
  </si>
  <si>
    <t>Pour commencer à préparer la purée de fraises au tofu, nous devons nous assurer que les fraises sont nettoyées et que les feuilles sont retirées. Hachez grossièrement les fraises et ajoutez-les au mixeur. Ensuite, hachez grossièrement votre tofu en morceaux moyens et ajoutez-le également au mixeur. Mixez les fraises et le tofu dans le mixeur jusqu'à obtenir un mélange lisse ou une consistance de purée. Versez le mélange de fraises et de tofu dans un bol. La purée de fraises et de tofu est prête à être servie. Servez cette purée de fraises et de tofu comme collation pour vos tout-petits ou comme repas seul pour vos bébés de plus de 8 mois.</t>
  </si>
  <si>
    <t>https://www.archanaskitchen.com/tofu-strawberry-puree-recipe</t>
  </si>
  <si>
    <t>Rezept für gebratenen Spinat und Pilze</t>
  </si>
  <si>
    <t>Recette d'épinards et champignons frits</t>
  </si>
  <si>
    <t>Receta de espinacas y champiñones fritos</t>
  </si>
  <si>
    <t>400 grammes d'épinards hachés, 250 grammes de champignons de Paris coupés en deux, 1 oignon émincé, 4 gousses d'ail finement hachées, 1 cuillère à café de grains de poivre noir entiers grossièrement pilés, 1 cuillère à café de cumin en poudre (Jeera), sel au goût</t>
  </si>
  <si>
    <t>400 grams Spinach - chopped,250 grams Button mushrooms - halved,1 Onion - sliced,4 cloves Garlic - finely chopped,1 teaspoon Whole Black Pepper Corns - coarsely pounded,1 teaspoon Cumin powder (Jeera),Salt - to taste</t>
  </si>
  <si>
    <t>400 gramos de espinacas picadas, 250 gramos de champiñones cortados por la mitad, 1 cebolla cortada en rodajas, 4 dientes de ajo picados finamente, 1 cucharadita de granos de pimienta negra enteros machacados en trozos grandes, 1 cucharadita de comino en polvo (Jeera), sal al gusto</t>
  </si>
  <si>
    <t xml:space="preserve">To begin making the Continental Spinach Mushroom Stir Fry Recipe, heat oil in flat saucepan on medium heat.Add the chopped garlic and onions and sauté till the onions turn translucent.Once the onions are softened, stir add in mushroom and stir fry until the mushroom starts to sweat.Add chopped spinach, sprinkle salt, pepper and cumin powder and give it a mix.Keep stir frying on medium heat until the spinach is cooked and the moisture is released.You can let the moisture remain in the stir fry and not dry out too much.Spinach will take a minute or to cook and wilt down.Once done, check the salt and seasonings and adjust according to taste and turn off the heat.Transfer the Spinach Mushroom Stir Fry Recipe into a serving bowl and serve hot.Serve the Continental Spinach &amp; Mushroom Stir Fry Recipe along with Grilled lemon chicken, some herbed rice to make a complete meal.
</t>
  </si>
  <si>
    <t>Para empezar a preparar la receta de salteado continental de espinacas y champiñones, caliente el aceite en una cacerola plana a fuego medio. Añada el ajo y la cebolla picados y saltee hasta que la cebolla se vuelva translúcida. Una vez que la cebolla esté blanda, agregue los champiñones y saltee hasta que comiencen a sudar. Agregue las espinacas picadas, espolvoree con sal, pimienta y comino en polvo y mezcle. Siga salteando a fuego medio hasta que las espinacas estén cocidas y hayan liberado la humedad. Puede dejar que la humedad permanezca en el salteado y no se seque demasiado. Las espinacas tardarán un minuto o más en cocinarse y se marchitarán. Una vez hecho, revise la sal y los condimentos y ajuste según su gusto y apague el fuego. Transfiera la receta de salteado continental de espinacas y champiñones a un tazón para servir y sirva caliente. Sirva la receta de salteado continental de espinacas y champiñones junto con pollo al limón a la parrilla y un poco de arroz con hierbas para hacer una comida completa.</t>
  </si>
  <si>
    <t>Pour commencer à préparer la recette continentale de sauté aux épinards et aux champignons, faites chauffer l'huile dans une casserole plate à feu moyen. Ajoutez l'ail et les oignons hachés et faites revenir jusqu'à ce que les oignons deviennent translucides. Une fois les oignons ramollis, ajoutez les champignons et faites sauter jusqu'à ce qu'ils commencent à suer. Ajoutez les épinards hachés, saupoudrez de sel, de poivre et de cumin en poudre et mélangez. Continuez à faire sauter à feu moyen jusqu'à ce que les épinards soient cuits et que l'humidité soit libérée. Vous pouvez laisser l'humidité rester dans le sauté et ne pas trop sécher. Les épinards prendront une minute ou deux pour cuire et flétrir. Une fois terminé, vérifiez le sel et les assaisonnements et ajustez selon votre goût et éteignez le feu. Transférez la recette continentale de sauté aux épinards et aux champignons dans un bol de service et servez chaud. Servez la recette continentale de sauté aux épinards et aux champignons avec du poulet grillé au citron et du riz aux herbes pour faire un repas complet.</t>
  </si>
  <si>
    <t>http://www.archanaskitchen.com/continental-spinach-mushroom-stir-fry-recipe</t>
  </si>
  <si>
    <t>Couscous Salad With Cucumber And Feta Cheese Recipe</t>
  </si>
  <si>
    <t>Couscous-Salat mit Gurke und Feta-Käse-Rezept</t>
  </si>
  <si>
    <t>Recette de salade de couscous au concombre et au fromage feta</t>
  </si>
  <si>
    <t>Receta de ensalada de cuscús con pepino y queso feta</t>
  </si>
  <si>
    <t>1 tasse de couscous, 2 tasses d'eau, 1 cuillère à café d'huile de tournesol, sel - au goût, 1 concombre - coupé en dés, 1/4 tasse de raisins secs, 1/3 tasse d'olives Kalmatta - hachées, 1/2 tasse de fromage feta - émietté grossièrement, 2 cuillères à soupe de feuilles de coriandre (Dhania) - hachées, 3 cuillères à soupe d'huile d'olive extra vierge, sel - au goût, poudre de poivre noir - au goût</t>
  </si>
  <si>
    <t>1 cup Couscous,2 cups Water,1 teaspoon Sunflower Oil,Salt - to taste,1 Cucumber - diced,1/4 cup Raisins,1/3 cup Kalmatta olives - chopped,1/2 cup Feta Cheese - crumbled roughly,2 tablespoons Coriander (Dhania) Leaves - chopped,3 tablespoons Extra Virgin Olive Oil,Salt - to taste,Black pepper powder - to taste</t>
  </si>
  <si>
    <t>1 taza de cuscús, 2 tazas de agua, 1 cucharadita de aceite de girasol, sal - al gusto, 1 pepino - picado, 1/4 taza de pasas, 1/3 taza de aceitunas Kalmatta - picadas, 1/2 taza de queso feta - desmenuzado gruesamente, 2 cucharadas de hojas de cilantro (Dhania) - picadas, 3 cucharadas de aceite de oliva virgen extra, sal - al gusto, pimienta negra en polvo - al gusto</t>
  </si>
  <si>
    <t xml:space="preserve">To begin making Couscous Salad With Cucumber And Feta Cheese, we must first prepare the couscous.In a saucepan, boil two cups of water with a teaspoon of oil and ½ teaspoon salt. Bring the water to a boil, add couscous and turn the heat off.Cover the saucepan and let the couscous cook until all the water has been absorbed. The couscous should be fluffy and plumped up now. Fluff it up with fork and keep aside to cool.In a mixing bowl or salad bowl, add the diced cucumber, kalamata olives, raisins. Drizzle the olive oil and sprinkle the salt and pepper over it. Sprinkle the cooked couscous over and stir everything together.Refrigerate the Couscous Salad With Cucumber And Feta Cheese for at least an hour. Lastly, sprinkle the chopped coriander leaves, crumbled feta cheese and serve chilled.
</t>
  </si>
  <si>
    <t>Para empezar a preparar la ensalada de cuscús con pepino y queso feta, primero debemos preparar el cuscús. En una cacerola, hierva dos tazas de agua con una cucharadita de aceite y ½ cucharadita de sal. Hierva el agua, agregue el cuscús y apague el fuego. Tape la cacerola y deje que el cuscús se cocine hasta que se haya absorbido toda el agua. El cuscús ahora debe estar esponjoso y esponjoso. Esponje con un tenedor y reserve para que se enfríe. En un tazón o ensaladera, agregue el pepino cortado en dados, las aceitunas Kalamata y las pasas. Rocíe con aceite de oliva y espolvoree con sal y pimienta. Espolvoree el cuscús cocido por encima y revuelva todo junto. Refrigere la ensalada de cuscús con pepino y queso feta durante al menos una hora. Por último, espolvoree las hojas de cilantro picadas, el queso feta desmenuzado y sirva frío.</t>
  </si>
  <si>
    <t>Pour préparer une salade de couscous au concombre et à la feta, préparez le couscous. Dans une casserole, faites bouillir deux tasses d'eau avec une cuillère à café d'huile et une demi-cuillère à café de sel. Portez l'eau à ébullition, ajoutez le couscous et éteignez le feu. Couvrez la casserole et laissez cuire jusqu'à absorption complète. Le couscous doit être moelleux et rebondi. Égrainez-le à la fourchette et réservez pour refroidir. Dans un saladier, ajoutez le concombre coupé en dés, les olives Kalamata et les raisins secs. Arrosez d'huile d'olive, salez et poivrez. Parsemez de couscous cuit et mélangez le tout. Réfrigérez la salade de couscous au concombre et à la feta pendant au moins une heure. Enfin, parsemez de feuilles de coriandre hachées et de feta émiettée. Servez frais.</t>
  </si>
  <si>
    <t>http://www.archanaskitchen.com/couscous-salad-with-cucumber-and-feta-cheese-recipe</t>
  </si>
  <si>
    <t>Rezept für mexikanische Hühnersuppe</t>
  </si>
  <si>
    <t>Recette de soupe au poulet mexicaine</t>
  </si>
  <si>
    <t>Receta de sopa de pollo mexicana</t>
  </si>
  <si>
    <t>1 oignon haché, 1 carotte hachée, 1 céleri haché, 1 cuillère à soupe de maïs doux, 4 gousses d'ail hachées, 2 piments verts hachés, 2 tomates hachées, 1/2 tasse de poitrines de poulet râpées, 1 cuillère à café d'origan séché, 1/2 cuillère à café de poudre de piment rouge, 1/2 cuillère à café de poudre de cumin (Jeera), 2 cuillères à soupe de feuilles de coriandre hachées, 4 tasses de bouillon de poulet, 1 cuillère à soupe de jus de citron, sel au goût, 2 cuillères à soupe d'huile de canola</t>
  </si>
  <si>
    <t>1 Onion - chopped,1 Carrot (Gajjar) - chopped,1 Celery - chopped,1 tablespoon Sweet corn,4 cloves Garlic - chopped,2 Green Chilli - chopped,2 Tomatoes - chopped,1/2 cup Chicken breasts - shredded ,1 teaspoon Dried oregano,1/2 teaspoon Red Chilli powder,1/2 teaspoon Cumin powder (Jeera),2 tablespoons Coriander (Dhania) Leaves - chopped,4 cups Chicken stock,1 tablespoons Lemon juice,Salt - to taste,2 tablespoons Canola Oil</t>
  </si>
  <si>
    <t>1 cebolla picada, 1 zanahoria (Gajjar) picada, 1 apio picado, 1 cucharada de maíz dulce, 4 dientes de ajo picados, 2 chiles verdes picados, 2 tomates picados, 1/2 taza de pechugas de pollo desmenuzadas, 1 cucharadita de orégano seco, 1/2 cucharadita de chile rojo en polvo, 1/2 cucharadita de comino en polvo (Jeera), 2 cucharadas de hojas de cilantro (Dhania) picadas, 4 tazas de caldo de pollo, 1 cucharada de jugo de limón, sal al gusto, 2 cucharadas de aceite de canola</t>
  </si>
  <si>
    <t xml:space="preserve">To begin making the Mexican Chicken Soup recipe, heat oil in a sauce pan on medium heat and add chopped garlic, green chilies, celery, onions and saute till onion softens.this will take about 3-4 minutes. Now add carrots, corn kernels, chilli powder, cumin powder, salt and mix well. Fry for another couple of minutes.Now slowly add chicken broth and let the vegetables cook in low heat. This may take 10 to 12 mins.Once the broth starts reducing, add tomatoes, oregano and give it a boil.Lower the flame and let the soup cook till tomatoes turn mushy.Add cooked chicken pieces and lime juice. Check salt and adjust the seasoning as per choice.Add chopped coriander and turn off the gas. Serve hot with a garnish of fresh veggies and some broken lemon grass (optional).Serve Mexican Chicken Soup with some hot Whole Wheat Stuffed Bread Sticks Recipe and Baked Mexican Rice for weekend dinner.
</t>
  </si>
  <si>
    <t>Para empezar a preparar la receta de sopa de pollo mexicana, calienta el aceite en una cacerola a fuego medio y añade ajo picado, chiles verdes, apio, cebolla y saltea hasta que la cebolla se ablande. Esto tomará unos 3-4 minutos. Ahora añade zanahorias, granos de elote, chile en polvo, comino en polvo, sal y mezcla bien. Fríe durante un par de minutos más. Ahora añade lentamente el caldo de pollo y deja que las verduras se cocinen a fuego lento. Esto puede tomar de 10 a 12 minutos. Una vez que el caldo comience a reducirse, añade tomates, orégano y deja que hierva. Baja el fuego y deja que la sopa se cocine hasta que los tomates se ablanden. Agrega los trozos de pollo cocido y el jugo de limón. Comprueba la sal y ajusta el condimento a tu gusto. Añade cilantro picado y apaga el gas. Sirve caliente con una guarnición de verduras frescas y un poco de limoncillo roto (opcional). Sirve la sopa de pollo mexicana con una receta de palitos de pan rellenos de trigo integral calientes y arroz mexicano horneado para la cena del fin de semana.</t>
  </si>
  <si>
    <t>Pour commencer à préparer la recette de soupe mexicaine au poulet, faites chauffer l'huile dans une casserole à feu moyen et ajoutez l'ail haché, les piments verts, le céleri et les oignons. Faites revenir jusqu'à ce que l'oignon soit tendre. Cela prendra environ 3 à 4 minutes. Ajoutez ensuite les carottes, les grains de maïs, la poudre de chili, la poudre de cumin, le sel et mélangez bien. Faites revenir pendant quelques minutes supplémentaires. Ajoutez ensuite lentement le bouillon de poulet et laissez cuire les légumes à feu doux. Cela peut prendre 10 à 12 minutes. Une fois que le bouillon commence à réduire, ajoutez les tomates, l'origan et portez à ébullition. Baissez le feu et laissez cuire la soupe jusqu'à ce que les tomates deviennent molles. Ajoutez les morceaux de poulet cuits et le jus de citron vert. Vérifiez le sel et rectifiez l'assaisonnement selon votre goût. Ajoutez la coriandre hachée et coupez le gaz. Servez chaud avec une garniture de légumes frais et de la citronnelle concassée (facultatif). Servez la soupe mexicaine au poulet avec des bâtonnets de pain farcis au blé entier et du riz mexicain cuit au four pour le dîner du week-end.</t>
  </si>
  <si>
    <t>https://www.archanaskitchen.com/mexican-chicken-soup-recipe</t>
  </si>
  <si>
    <t>Orange &amp; Date Muffin Recipe</t>
  </si>
  <si>
    <t>Orangen-Dattel-Muffin-Rezept</t>
  </si>
  <si>
    <t>Recette de muffins à l'orange et aux dattes</t>
  </si>
  <si>
    <t>Receta de muffins de naranja y dátiles</t>
  </si>
  <si>
    <t>1 tasse de farine de blé entier, 1 tasse de farine tout usage (Maida), 1/2 tasse de cassonade (sucre Demerara), 2 cuillères à café de levure chimique, 1/2 cuillère à café de bicarbonate de soude, 1/4 cuillère à café de sel, 1 cuillère à café de cannelle en poudre (Dalchini), 2 cuillères à café de zeste d'orange (zeste), 1/3 tasse de jus d'orange frais, 1/4 tasse de beurre (non salé) - fondu et refroidi, 2/3 tasse de babeurre, 1 œuf entier - ou substitut d'œuf aux graines de lin, 2/3 tasse de dattes - hachées, 2/3 tasse de noix - hachées</t>
  </si>
  <si>
    <t>1 cup Whole Wheat Flour,1 cup All Purpose Flour (Maida),1/2 cup Brown Sugar (Demerara Sugar),2 teaspoon Baking powder,1/2 teaspoon Baking soda,1/4 teaspoon Salt,1 teaspoon Cinnamon Powder (Dalchini),2 teaspoon Orange Zest (Rind),1/3 cup Fresh orange juice,1/4 cup Butter (unsalted) - melted and cooled,2/3 cup Buttermilk,1 Whole Egg - or flaxseed egg replacer,2/3 cup Dates - chopped,2/3 cup Walnuts - chopped</t>
  </si>
  <si>
    <t>1 taza de harina integral, 1 taza de harina para todo uso (Maida), 1/2 taza de azúcar morena (azúcar Demerara), 2 cucharaditas de polvo para hornear, 1/2 cucharadita de bicarbonato de sodio, 1/4 cucharadita de sal, 1 cucharadita de canela en polvo (dalchini), 2 cucharaditas de ralladura de naranja (cáscara), 1/3 taza de jugo de naranja fresco, 1/4 taza de mantequilla (sin sal) derretida y enfriada, 2/3 taza de suero de leche, 1 huevo entero o sustituto de huevo de linaza, 2/3 taza de dátiles picados, 2/3 taza de nueces picadas</t>
  </si>
  <si>
    <t xml:space="preserve">To begin making the Orange &amp; Date Muffin Recipe, preheat oven to 180 C and line a 12 cup muffin pan with liners or grease with butter and dust with flour.In a large mixing bowl, combine the whole wheat flour, all purpose flour, sugar, baking powder, baking soda, and salt.In another medium bowl, beat together the orange juice, buttermilk, egg (or flax egg) and melted butter.Add buttermilk mixture to the flour mixture. Stir together all the muffin batter ingredients just until combined. Don't overmix the batter. Fold in the orange rind, dates and walnuts. Spoon the muffin batter into the greased 12 muffins cavities. Place the muffin tray in the preheated oven and bake for 15 to 18 minutes, until done.You will know it's done, when you insert a tester like a toothpick in the center of the muffin and it will come out clean. Once the muffins are baked, remove them from the oven and allow them to cool completely. Serve the Orange &amp; Date Muffin at tea time or pack them in your child's snack box.
</t>
  </si>
  <si>
    <t>Para comenzar a hacer la Receta de Muffins de Naranja y Dátiles, precaliente el horno a 180 C y cubra un molde para muffins de 12 tazas con capacillos o engráselos con mantequilla y espolvoree con harina. En un tazón grande, combine la harina integral, la harina para todo uso, el azúcar, el polvo para hornear, el bicarbonato de sodio y la sal. En otro tazón mediano, bata el jugo de naranja, el suero de leche, el huevo (o huevo de lino) y la mantequilla derretida. Agregue la mezcla de suero de leche a la mezcla de harina. Revuelva todos los ingredientes de la masa de muffins hasta que se combinen. No mezcle demasiado la masa. Incorpore la ralladura de naranja, los dátiles y las nueces. Vierta la masa de muffins en las cavidades engrasadas para 12 muffins. Coloque la bandeja para muffins en el horno precalentado y hornee durante 15 a 18 minutos, hasta que esté listo. Sabrá que está listo cuando inserte un probador como un palillo de dientes en el centro del muffin y salga limpio. Una vez horneados los muffins, sáquelos del horno y déjelos enfriar por completo. Sirva los muffins de naranja y dátiles a la hora del té o guárdelos en la merienda de su hijo.</t>
  </si>
  <si>
    <t>Pour commencer à préparer la recette de muffins à l'orange et aux dattes, préchauffez le four à 180 °C et chemisez un moule à muffins de 12 tasses avec des caissettes ou graissez-le de beurre et saupoudrez-le de farine. Dans un grand bol, mélangez la farine de blé entier, la farine tout usage, le sucre, la poudre à pâte, le bicarbonate de soude et le sel. Dans un autre bol moyen, battez ensemble le jus d'orange, le babeurre, l'œuf (ou l'œuf de lin) et le beurre fondu. Ajoutez le mélange de babeurre au mélange de farine. Mélangez tous les ingrédients de la pâte à muffins jusqu'à ce qu'ils soient bien combinés. Ne mélangez pas trop la pâte. Incorporez le zeste d'orange, les dattes et les noix. Déposez la pâte à muffins dans les 12 cavités à muffins graissées. Placez le moule à muffins dans le four préchauffé et faites cuire pendant 15 à 18 minutes, jusqu'à ce qu'ils soient cuits. Vous saurez qu'il est cuit lorsque vous insérez un testeur comme un cure-dent au centre du muffin et qu'il en ressortira propre. Une fois les muffins cuits, retirez-les du four et laissez-les refroidir complètement. Servez le muffin à l'orange et aux dattes à l'heure du thé ou placez-le dans la boîte à goûter de votre enfant.</t>
  </si>
  <si>
    <t>https://www.archanaskitchen.com/orange-date-muffin-recipe</t>
  </si>
  <si>
    <t>Mango Buckwheat Porridge Recipe</t>
  </si>
  <si>
    <t>Rezept für Mango-Buchweizenbrei</t>
  </si>
  <si>
    <t>Recette de bouillie de sarrasin à la mangue</t>
  </si>
  <si>
    <t>Receta de gachas de trigo sarraceno con mango</t>
  </si>
  <si>
    <t>1 tasse de farine de sarrasin (Kuttu Ka Atta) - kuttu ka dalia, 1 banane mûre, 1 tasse de mangue (mûre), 5 dattes, 3/4 tasse de lait - lait d'amande, 2 cuillères à café de jus de citron, 10 noix de cajou - trempées pendant 30 minutes, 4 fraises - d'autres fruits sont également facultatifs, 4 Badam (amande) - effilées, 2 brins de feuilles de menthe (Pudina)</t>
  </si>
  <si>
    <t>1 cup Buckwheat Flour (Kuttu Ka Atta) - kuttu ka dalia,1 Ripe Bananas,1 cup Mango (Ripe),5 Dates,3/4 cup Milk - almond milk,2 teaspoons Lemon juice,10 Cashew nuts - soaked for 30 minutes,4 Strawberries - other fruits are also optional,4 Badam (Almond) - slivered ,2 sprig Mint Leaves (Pudina)</t>
  </si>
  <si>
    <t>1 taza de harina de trigo sarraceno (Kuttu Ka Atta) - kuttu ka dalia, 1 plátano maduro, 1 taza de mango (maduro), 5 dátiles, 3/4 taza de leche - leche de almendras, 2 cucharaditas de jugo de limón, 10 anacardos - remojados durante 30 minutos, 4 fresas - otras frutas también son opcionales, 4 Badam (almendras) - en rodajas, 2 ramitas de hojas de menta (Pudina)</t>
  </si>
  <si>
    <t xml:space="preserve">To begin making the Mango Buckwheat Porridge recipe, wash the buckwheat groats thoroughly using a mesh sieve as they are very slimy after soaking.Make sure that water runs clear free from any slime after washing.Drain the excess water and add this to a blender/mixer jar.Add all the other ingredients like the almond milk, lemon juice, cashew nuts, ripe bananas, dates and mangoes.Blend till smooth and and few tablespoons more milk if you need a thinner porridge, serve in bowls.Garnish Mango Buckwheat Porridge with strawberry, badam and mint leaves and serve. Make Mango Buckwheat Porridge while you are holding a fast or a breakfast powering you for the rest of the day. You can also accompany it with Bermuda Grass Ginger &amp; Pepper Juice or Beetroot, Amla And Pudina Juice Recipe.
</t>
  </si>
  <si>
    <t>Para empezar a preparar la receta de Gachas de Trigo Sarraceno con Mango, lava bien los granos de trigo sarraceno con un colador de malla, ya que quedan muy viscosos después de remojarlos. Asegúrate de que el agua salga limpia y sin babas después de lavarlos. Escurre el exceso de agua y agrégalo a una licuadora/batidora. Agrega todos los demás ingredientes como la leche de almendras, el jugo de limón, los anacardos, los plátanos maduros, los dátiles y los mangos. Licúa hasta que esté suave y añade unas cucharadas más de leche si necesitas unas gachas más líquidas; sirve en tazones. Decora las Gachas de Trigo Sarraceno con fresas, badam y hojas de menta y sirve. Prepara las Gachas de Trigo Sarraceno con Mango mientras ayunas o con un desayuno que te dé energía para el resto del día. También puedes acompañarlas con Jugo de Jengibre y Pimienta de Hierba Bermuda o la Receta de Jugo de Remolacha, Amla y Pudina.</t>
  </si>
  <si>
    <t>Pour commencer la recette du porridge à la mangue et au sarrasin, lavez soigneusement les grains de sarrasin à l'aide d'une passoire à mailles fines, car ils sont très visqueux après trempage. Assurez-vous que l'eau qui s'écoule est claire et exempte de toute trace de visqueux après le lavage. Égouttez l'excédent d'eau et versez-le dans le bol d'un mixeur. Ajoutez tous les autres ingrédients comme le lait d'amande, le jus de citron, les noix de cajou, les bananes mûres, les dattes et les mangues. Mixez jusqu'à obtenir une consistance lisse. Ajoutez quelques cuillères à soupe de lait si vous souhaitez un porridge plus liquide. Servez dans des bols. Garnissez le porridge à la mangue et au sarrasin de fraises, de badam et de feuilles de menthe, puis servez. Préparez le porridge à la mangue et au sarrasin pendant votre jeûne ou votre petit-déjeuner, pour vous donner de l'énergie pour le reste de la journée. Vous pouvez également l'accompagner de jus d'herbe des Bermudes, de gingembre et de poivre ou de jus de betterave, d'amla et de pudina.</t>
  </si>
  <si>
    <t>http://www.archanaskitchen.com/mango-buckwheat-porridge-recipe</t>
  </si>
  <si>
    <t>Fresh Fruit Bowl Recipe</t>
  </si>
  <si>
    <t>Rezept für eine Schüssel mit frischem Obst</t>
  </si>
  <si>
    <t>Recette pour un bol de fruits frais</t>
  </si>
  <si>
    <t>Receta para un tazón de fruta fresca</t>
  </si>
  <si>
    <t>2 fraises hachées, 1/4 tasse de raisins verts sans pépins, 1/4 tasse d'orange pelée, 1 banane mûre pelée, 2 cuillères à soupe de noyaux de grenade frais, 1 kiwi pelé, 1 pomme hachée, 1/4 tasse de raisins rouges, poudre de chaat masala (facultatif), sel et poivre (facultatif)</t>
  </si>
  <si>
    <t>2 Strawberries - chopped,1/4 cup Green seedless Grapes,1/4 cup Orange - peeled,1 Ripe Bananas - peeled,2 tablespoon Fresh Pomegranate Fruit Kernels,1 Kiwi - peeled,1 Apple - chopped,1/4 cup Red grapes,Chaat Masala Powder - (optional),Salt and Pepper - (optional)</t>
  </si>
  <si>
    <t>2 fresas picadas, 1/4 taza de uvas verdes sin semillas, 1/4 taza de naranja pelada, 1 plátano maduro pelado, 2 cucharadas de semillas de granada fresca, 1 kiwi pelado, 1 manzana picada, 1/4 taza de uvas rojas, Chaat Masala en polvo (opcional), sal y pimienta (opcional)</t>
  </si>
  <si>
    <t xml:space="preserve">To begin making Fresh Fruit Bowl Recipe, prep with all the cut fruits first. Try to use seasonal fruits so that they pack in the nutrition demanded of a particular season.Once all the fruits are peeled and chopped (try to use the peel of fruits which have an edible peel, like apples or chikku), take a large mixing bowl and put all the fruits together and toss lightly, with spices if you are using any.Serve Fresh Fruit Bowl Recipe in individual bowls for a mid morning snack or along with Home Made Breakfast Granola Recipe and yogurt or milk as a complete breakfast. You can also accompany it with a glass of Fresh Orange Juice Recipe and a Boiled Egg.
</t>
  </si>
  <si>
    <t>Para empezar a preparar la Receta de Tazón de Fruta Fresca, prepare primero todas las frutas cortadas. Procure usar frutas de temporada para que contengan los nutrientes que requiere cada estación. Una vez peladas y picadas todas las frutas (intente usar la cáscara de las frutas que tienen cáscara comestible, como las manzanas o el chikku), tome un tazón grande para mezclar, mezcle todas las frutas y mezcle ligeramente, con especias si las usa. Sirva la Receta de Tazón de Fruta Fresca en tazones individuales para un refrigerio de media mañana o junto con la Receta de Granola Casera para el Desayuno y yogur o leche para un desayuno completo. También puede acompañarlo con un vaso de Receta de Jugo de Naranja Fresco y un Huevo Cocido.</t>
  </si>
  <si>
    <t>Pour commencer à préparer la recette du bol de fruits frais, commencez par préparer tous les fruits coupés. Privilégiez les fruits de saison pour qu'ils apportent les nutriments nécessaires à chaque saison. Une fois tous les fruits pelés et hachés (privilégiez les écorces comestibles, comme les pommes ou le chikku), prenez un grand saladier et mélangez délicatement. Ajoutez les épices si vous en utilisez. Servez le bol de fruits frais dans des bols individuels pour une collation en milieu de matinée ou avec du granola maison et du yaourt ou du lait pour un petit-déjeuner complet. Vous pouvez également l'accompagner d'un verre de jus d'orange frais et d'un œuf à la coque.</t>
  </si>
  <si>
    <t>http://www.archanaskitchen.com/fresh-fruit-bowl-recipe</t>
  </si>
  <si>
    <t>Whole Wheat Pasta Salad With Capsicum And Corn Recipe</t>
  </si>
  <si>
    <t>Rezept für Vollkorn-Nudelsalat mit Paprika und Mais</t>
  </si>
  <si>
    <t>Recette de salade de pâtes complètes aux poivrons et au maïs</t>
  </si>
  <si>
    <t>Receta de ensalada de pasta integral con pimientos y maíz</t>
  </si>
  <si>
    <t>200 grammes de pâtes Fusilli, 1/2 tasse de maïs doux cuit à la vapeur, 1 tomate coupée en gros morceaux, 1 tasse de poivrons rouges, jaunes et verts (Capsicum) hachés, feuilles de laitue (au besoin), 1/4 tasse de feuilles de coriandre (Dhania) hachées, 2 cuillères à soupe de mayonnaise classique (avec œuf), 3 cuillères à soupe de caillé (Dahi / yaourt), 3 gousses d'ail pilées, 1 cuillère à soupe d'huile d'olive extra vierge, sel et poivre au goût</t>
  </si>
  <si>
    <t>200 grams Pasta  Fusilli,1/2 cup Sweet corn - steamed,1 Tomato - chopped in large chunks,1 cup Red Yellow and Green Bell Peppers (Capsicum) - chopped,Lettuce leaves - as required,1/4 cup Coriander (Dhania) Leaves - chopped,2 tablespoons Classic Mayonnaise (With Egg),3 tablespoons Curd (Dahi / Yogurt),3 cloves Garlic - pounded,1 tablespoon Extra Virgin Olive Oil,Salt and Pepper - to taste</t>
  </si>
  <si>
    <t>200 gramos de Pasta Fusilli, 1/2 taza de maíz dulce - al vapor, 1 tomate - picado en trozos grandes, 1 taza de pimientos morrones rojos, amarillos y verdes (Capsicum) - picados, hojas de lechuga - al gusto, 1/4 taza de hojas de cilantro (Dhania) - picadas, 2 cucharadas de mayonesa clásica (con huevo), 3 cucharadas de cuajada (Dahi / yogur), 3 dientes de ajo - machacados, 1 cucharada de aceite de oliva virgen extra, sal y pimienta - al gusto</t>
  </si>
  <si>
    <t xml:space="preserve">To begin making the Whole Wheat Pasta Salad With Capsicum And Corn recipe, first boil the pasta.Heat a saucepan with enough water. Once the water starts boiling, add in the pasta with salt and cook it till the pasta becomes soft.Make sure you do not overcook it. Once done, drain the water, run the pasta in cold water to stop the cooking process and add a little oil in the pasta so that they don't stick to each other. Keep it aside.Next, in a mixing bowl. add mayonnaise, yogurt, pounded garlic and extra virgin olive oil. Mix everything well.Add salt and pepper according to your taste and give it a mix. The dressing for your Whole Wheat Pasta Salad is ready.In a mixing bowl, add whole wheat fusilli pasta, sweet corn, tomato, lettuce, bell pepper and fresh coriander. Give it a mix again.Add dressing and mix it well so that the vegetables are properly coated with the dressing. The Whole Wheat Pasta Salad is ready to be served.Serve Whole Wheat Pasta Salad With Capsicum And Corn along with a delicious Butternut Squash And Carrot Soup for a healthy weeknight dinner.
</t>
  </si>
  <si>
    <t>Para comenzar a hacer la receta de Ensalada de Pasta Integral con Pimiento y Maíz, primero hierva la pasta. Caliente una cacerola con suficiente agua. Una vez que el agua comience a hervir, agregue la pasta con sal y cocínela hasta que la pasta esté suave. Asegúrese de no cocinarla demasiado. Una vez hecho esto, escurra el agua, pase la pasta por agua fría para detener el proceso de cocción y agregue un poco de aceite a la pasta para que no se peguen entre sí. Déjelo a un lado. Luego, en un tazón, agregue mayonesa, yogur, ajo machacado y aceite de oliva virgen extra. Mezcle todo bien. Agregue sal y pimienta según su gusto y mezcle. El aderezo para su Ensalada de Pasta Integral está listo. En un tazón, agregue pasta fusilli de trigo integral, maíz dulce, tomate, lechuga, pimiento morrón y cilantro fresco. Mezcle nuevamente. Agregue el aderezo y mézclelo bien para que las verduras estén bien cubiertas con el aderezo. La ensalada de pasta integral está lista para servir. Sirva esta ensalada de pasta integral con pimiento y maíz junto con una deliciosa sopa de calabaza y zanahoria para una cena saludable entre semana.</t>
  </si>
  <si>
    <t>Pour commencer à préparer la recette de salade de pâtes au blé entier avec poivron et maïs, faites d'abord bouillir les pâtes. Faites chauffer une casserole avec suffisamment d'eau. Une fois que l'eau commence à bouillir, ajoutez les pâtes avec du sel et faites-les cuire jusqu'à ce qu'elles deviennent molles. Assurez-vous de ne pas trop les cuire. Une fois cuits, égouttez l'eau, passez les pâtes dans de l'eau froide pour arrêter la cuisson et ajoutez un peu d'huile dans les pâtes pour qu'elles ne collent pas les unes aux autres. Réservez. Ensuite, dans un saladier, ajoutez la mayonnaise, le yaourt, l'ail pilé et l'huile d'olive extra vierge. Mélangez bien le tout. Ajoutez du sel et du poivre selon votre goût et mélangez. La vinaigrette pour votre salade de pâtes au blé entier est prête. Dans un saladier, ajoutez les pâtes fusilli au blé entier, le maïs doux, la tomate, la laitue, le poivron et la coriandre fraîche. Mélangez à nouveau. Ajoutez la vinaigrette et mélangez bien pour que les légumes soient bien enrobés de vinaigrette. La salade de pâtes au blé entier est prête à être servie. Servez la salade de pâtes au blé entier avec poivrons et maïs avec une délicieuse soupe à la courge musquée et aux carottes pour un dîner sain en semaine.</t>
  </si>
  <si>
    <t>https://www.archanaskitchen.com/whole-wheat-pasta-salad-with-capsicum-and-corn-recipe</t>
  </si>
  <si>
    <t>Rezept für geröstete Blumenkohl-Dill-Suppe – Rezept für die beste Blumenkohl-Dill-Suppe</t>
  </si>
  <si>
    <t>Recette de soupe de chou-fleur rôti à l'aneth – Recette de la meilleure soupe de chou-fleur à l'aneth</t>
  </si>
  <si>
    <t>Receta de sopa de coliflor asada con eneldo: la mejor receta de sopa de coliflor con eneldo</t>
  </si>
  <si>
    <t>1 chou fleur coupé, 4 cuillères à soupe de lait, 2 brins de feuilles de cœur, 2 cuillères à café de noix grillées, sel selon le goût, poivre en poudre selon le goût, huile selon l'utilisation</t>
  </si>
  <si>
    <t>1 flower cabbage - cut, 4 tbsp milk, 2 sprig heart leaves, 2 tsp walnuts - roast, salt - according to taste, pepper powder - according to taste, oil - as per use</t>
  </si>
  <si>
    <t>1 col de flor cortada, 4 cucharadas de leche, 2 hojas de corazón de ramita, 2 cucharaditas de nueces tostadas, sal al gusto, pimienta en polvo al gusto, aceite al gusto.</t>
  </si>
  <si>
    <t>To make Roasted Cauliflower Dil Soup Recipe, first chop the cauliflower. Wash it thoroughly and keep it aside. Now heat oil in a pan. Add cauliflower, salt and cook till the cauliflower turns light brown. Let it cool down once it is cooked. After cooling, put it in a blender and make a paste. Put this cauliflower paste in a saucepan with milk or water and let it boil for 1 minute. Now add dill leaves and cook for another 2 minutes. Transfer it to a serving bowl and garnish with walnuts and olive oil. Serve Roasted Cauliflower Dil Soup Recipe before your everyday meal or serve it for dinner with any salad.</t>
  </si>
  <si>
    <t>Para preparar la receta de sopa de coliflor asada con eneldo, primero pique la coliflor. Lávela bien y resérvela. Caliente aceite en una sartén. Añada la coliflor, sal y cocine hasta que adquiera un color marrón claro. Deje enfriar una vez cocida. Una vez fría, póngala en una licuadora y forme una pasta. Vierta esta pasta en una cacerola con leche o agua y deje hervir durante 1 minuto. Añada hojas de eneldo y cocine durante 2 minutos más. Vierta la pasta en un recipiente y decore con nueces y aceite de oliva. Sirva la sopa de coliflor asada con eneldo antes de su comida habitual o con una ensalada para la cena.</t>
  </si>
  <si>
    <t>Pour préparer la soupe de chou-fleur rôti à l'aneth, commencez par hacher le chou-fleur. Lavez-le soigneusement et réservez-le. Faites chauffer l'huile dans une poêle. Ajoutez le chou-fleur, salez et faites-le cuire jusqu'à ce qu'il soit légèrement doré. Laissez refroidir une fois cuit. Une fois refroidi, mixez et réduisez en purée. Versez cette purée dans une casserole avec du lait ou de l'eau et laissez bouillir 1 minute. Ajoutez ensuite les feuilles d'aneth et laissez cuire 2 minutes supplémentaires. Transférez dans un saladier et garnissez de noix et d'huile d'olive. Servez la soupe de chou-fleur rôti à l'aneth avant vos repas ou au dîner avec une salade.</t>
  </si>
  <si>
    <t>http://www.archanaskitchen.com/roasted-cauliflower-dill-soup-recipe-in-hindi</t>
  </si>
  <si>
    <t>Kale And Mushroom French Soup Recipe</t>
  </si>
  <si>
    <t>Französisches Suppenrezept mit Grünkohl und Pilzen – Französisches Suppenrezept mit Grünkohl und Pilzen</t>
  </si>
  <si>
    <t>Recette de soupe française au chou frisé et aux champignons – Recette de soupe française au chou frisé et aux champignons</t>
  </si>
  <si>
    <t>Receta de sopa de col rizada y champiñones – Receta de sopa de col rizada y champiñones</t>
  </si>
  <si>
    <t>1 tasse de chou frisé haché, 100 g de champignons de Paris, 1 oignon haché, 2 gousses d'ail hachées, poivron (rouge) haché, 2 tasses de bouillon de légumes ou de bouillon de poulet, poivron (pili) haché. Prenez 1 cuillère à café de vinaigre de cidre de pomme, 1 cuillère à soupe de poudre, 2 cuillères à café de crème, sel au goût, poudre de poivre noir au goût, 1 cuillère à café de beurre</t>
  </si>
  <si>
    <t>1 cup kale - chopped, 100 gm button mushrooms, 1 onion - chopped, 2 cloves garlic - chopped, capsicum (red) - chopped, 2 cups vegetable stock - or chicken stock, capsicum (pili) - chopped Take 1 tsp Apple cider vinegar, 1 tbsp parcel, 2 tsp cream, salt - to taste, black pepper powder - to taste, 1 tsp butter</t>
  </si>
  <si>
    <t>1 taza de col rizada picada, 100 g de champiñones, 1 cebolla picada, 2 dientes de ajo picados, pimiento rojo picado, 2 tazas de caldo de verduras o caldo de pollo, pimiento pili picado Tome 1 cucharadita de vinagre de sidra de manzana, 1 cucharada de paquete, 2 cucharaditas de crema, sal al gusto, pimienta negra en polvo al gusto, 1 cucharadita de mantequilla</t>
  </si>
  <si>
    <t>To make Kale and Mushroom French Soup recipe, first wash and chop the mushrooms. Chop all of them and keep aside. Now heat butter in a sauce pan. Add chopped garlic and cook for 1 minute. Now add onion and cook till it becomes soft. After onion becomes soft, add mushrooms and cook for 2 minutes. After 2 minutes add vegetable or chicken stock and let it boil. After boiling add 1 teaspoon apple cider vinegar and mix it. Now add kale and capsicum and cook for 2 minutes. After 2 minutes add parsley, salt, pepper and mix it. Now add cream and cook for 3 to 4 minutes. Turn off the gas and serve. Serve Kale and Mushroom French Soup with Garlic Bread and Fettuccini Pasta with Tomato Sauce for dinner.</t>
  </si>
  <si>
    <t>Para preparar la receta de sopa francesa de col rizada y champiñones, primero lave y pique los champiñones. Píquelos todos y resérvelos. Caliente la mantequilla en una cacerola. Añada ajo picado y cocine durante 1 minuto. Añada la cebolla y cocine hasta que esté tierna. Una vez que la cebolla esté tierna, añada los champiñones y cocine durante 2 minutos. Después de 2 minutos, añada caldo de verduras o de pollo y deje que hierva. Después de que hierva, añada 1 cucharadita de vinagre de sidra de manzana y mezcle. Añada la col rizada y el pimiento y cocine durante 2 minutos. Después de 2 minutos, añada perejil, sal y pimienta y mezcle. Añada la nata y cocine de 3 a 4 minutos. Apague el fuego y sirva. Sirva la sopa francesa de col rizada y champiñones con pan de ajo y fettuccini con salsa de tomate para la cena.</t>
  </si>
  <si>
    <t>Pour préparer la soupe française au chou frisé et aux champignons, lavez et hachez les champignons. Hachez-les tous et réservez. Faites chauffer le beurre dans une casserole. Ajoutez l'ail haché et faites cuire 1 minute. Ajoutez l'oignon et faites-le fondre. Une fois l'oignon fondant, ajoutez les champignons et faites cuire 2 minutes. Au bout de 2 minutes, ajoutez le bouillon de légumes ou de poulet et portez à ébullition. Après ébullition, ajoutez 1 cuillère à café de vinaigre de cidre et mélangez. Ajoutez le chou frisé et les poivrons et faites cuire 2 minutes. Ajoutez ensuite le persil, le sel et le poivre et mélangez. Ajoutez la crème et faites cuire 3 à 4 minutes. Coupez le feu et servez. Servez la soupe française au chou frisé et aux champignons avec du pain à l'ail et des fettuccines à la sauce tomate pour le dîner.</t>
  </si>
  <si>
    <t>http://www.archanaskitchen.com/kale-and-mushroom-french-soup-recipe-in-hindi</t>
  </si>
  <si>
    <t>Cheesy Corn On The Cob Recipe</t>
  </si>
  <si>
    <t>Rezept für Maiskolben mit Käse</t>
  </si>
  <si>
    <t>Recette d'épis de maïs au fromage</t>
  </si>
  <si>
    <t>Receta de mazorcas de maíz con queso</t>
  </si>
  <si>
    <t>4 épis de maïs doux, 2 cuillères à soupe de beurre salé, 2 cuillères à café de gingembre râpé, 2 cuillères à café de jus de citron, 1/2 cuillère à café de zeste de citron râpé sans la moelle, 4 cuillères à soupe de parmesan ou de fromage de votre choix, 1 cuillère à café d'huile de tournesol, 2 cuillères à café de feuilles de coriandre (Dhania) pour la garniture</t>
  </si>
  <si>
    <t>4 Sweet corn - on the cob,2 tablespoons Salted butter,2 teaspoon Ginger - grated,2 teaspoon Lemon juice,1/2 teaspoon Lemon zest - grated without the pith,4 tablespoons Parmesan cheese - or any cheese of your choice,1 teaspoon Sunflower Oil,2 teaspoon Coriander (Dhania) Leaves - for garnish</t>
  </si>
  <si>
    <t>4 mazorcas de maíz dulce, 2 cucharadas de mantequilla salada, 2 cucharaditas de jengibre rallado, 2 cucharaditas de jugo de limón, 1/2 cucharadita de ralladura de limón sin pulpa, 4 cucharadas de queso parmesano o cualquier queso de su elección, 1 cucharadita de aceite de girasol, 2 cucharaditas de hojas de cilantro (Dhania) para decorar</t>
  </si>
  <si>
    <t xml:space="preserve">To begin making Cheesy Corn on the Cob Recipe, take a small bowl, add the melted butter, grated ginger, lemon juice and lemon rind, mix well and keep the flavored butter aside.Next, gently massage the corn cobs with a little oil and roast it over the stove top/barbecue, one by one till cooked well and keep aside.To arrange the dish, take the roasted corn cob, brush it generously with the ginger and lemon butter, add the grated parmesan or cheese of your choice over its top.You can also, microwave the readily prepared Cheesy Corn on the Cob to let the cheese melt for half a minute before serving.Serve the Cheesy Corn on the Cob as an after school snack for the kids with Biscottior include it as a starter to your next barbecue party menu on a weekend.
</t>
  </si>
  <si>
    <t>Para empezar a preparar la receta de mazorcas de maíz con queso, toma un tazón pequeño, agrega la mantequilla derretida, el jengibre rallado, el jugo de limón y la ralladura de limón. Mezcla bien y reserva la mantequilla aromatizada. Luego, masajea suavemente las mazorcas de maíz con un poco de aceite y ásalas en la estufa/barbacoa, una por una, hasta que estén bien cocidas. Reserva. Para preparar el plato, toma la mazorca de maíz asada, úntala generosamente con la mantequilla de jengibre y limón, agrega el parmesano rallado o el queso de tu elección por encima. También puedes calentar la mazorca de maíz con queso ya preparada en el microondas para que el queso se derrita durante medio minuto antes de servir. Sirve la mazorca de maíz con queso como una merienda después de la escuela para los niños con biscotti o inclúyela como entrada en el menú de tu próxima barbacoa de fin de semana.</t>
  </si>
  <si>
    <t>Pour commencer à préparer la recette d'épis de maïs au fromage, prenez un petit bol, ajoutez le beurre fondu, le gingembre râpé, le jus et le zeste de citron, mélangez bien et réservez le beurre aromatisé. Ensuite, massez délicatement les épis de maïs avec un peu d'huile et faites-les rôtir sur la cuisinière/barbecue, un par un, jusqu'à ce qu'ils soient bien cuits et réservez. Pour dresser le plat, prenez l'épi de maïs rôti, badigeonnez-le généreusement de beurre au gingembre et au citron, ajoutez le parmesan râpé ou le fromage de votre choix par-dessus. Vous pouvez également faire fondre le fromage au micro-ondes pendant une demi-minute avant de servir. Servez l'épi de maïs au fromage comme collation après l'école pour les enfants avec du Biscotti ou incluez-le comme entrée pour votre prochain menu de barbecue le week-end.</t>
  </si>
  <si>
    <t>http://www.archanaskitchen.com/cheesy-corn-on-the-cob-recipe</t>
  </si>
  <si>
    <t>Egg White Cheese Scrambled Eggs With Spinach &amp; Caramelized Onion Recipe</t>
  </si>
  <si>
    <t>Rezept für Rührei mit Eiweiß und Käse, Spinat und karamellisierten Zwiebeln</t>
  </si>
  <si>
    <t>Recette d'œufs brouillés aux blancs d'œufs et au fromage, aux épinards et aux oignons caramélisés</t>
  </si>
  <si>
    <t>Huevos revueltos con claras de huevo y queso, espinacas y cebollas caramelizadas</t>
  </si>
  <si>
    <t>4 blancs d'œufs, 1 oignon, 1/2 tasse d'épinards - bien tassés, 1 cuillère à soupe de beurre - plus un peu plus, 2 cuillères à soupe de cheddar, sel - au goût, poivre noir en poudre - au goût</t>
  </si>
  <si>
    <t>4 Egg whites,1 Onion,1/2 cup Spinach - tightly packed,1 tablespoon Butter - plus extra,2 tablespoon Cheddar cheese,Salt - to taste,Black pepper powder - to taste</t>
  </si>
  <si>
    <t>4 claras de huevo, 1 cebolla, 1/2 taza de espinacas bien compactas, 1 cucharada de mantequilla (más extra), 2 cucharadas de queso cheddar, sal (al gusto), pimienta negra en polvo (al gusto)</t>
  </si>
  <si>
    <t xml:space="preserve">To begin with Egg White Cheese Scrambled Eggs With Spinach &amp; Caramelized Onion, thinly sliced the onions. Wash spinach leaves and chop them into small pieces.Add 1 tablespoon of butter in a skillet. Add thin slices of onions and sauté until it turn light golden brown (caramelized onions).Next add chopped spinach and cook until spinach until soft. Whisk egg whites along with salt and pepper well until frothy.Pour the whisked egg whites into the skillet and turn the heat down. Use a spatula to fold the eggs from the edge of the pan into the centre until they are fully cooked.This will help keep them light and fluffy. They should only cook for about 30 seconds as this will keep the texture perfect.Turn off flame and add grated cheese.Serve Egg White Cheese Scrambled Eggs With Spinach &amp; Caramelized Onion with toast and Mango Tofu Smoothie for a healthy breakfast.
</t>
  </si>
  <si>
    <t>Para empezar con los huevos revueltos con claras de huevo, queso, espinacas y cebolla caramelizada, corta la cebolla en rodajas finas. Lava las hojas de espinaca y pícalas en trozos pequeños. Agrega 1 cucharada de mantequilla a una sartén. Agrega rodajas finas de cebolla y saltea hasta que adquieran un color dorado claro (cebolla caramelizada). Luego agrega las espinacas picadas y cocina hasta que estén blandas. Bate las claras de huevo junto con la sal y la pimienta bien hasta que estén espumosas. Vierte las claras de huevo batidas en la sartén y baja el fuego. Usa una espátula para doblar los huevos desde el borde de la sartén hacia el centro hasta que estén completamente cocidos. Esto ayudará a mantenerlos ligeros y esponjosos. Solo deben cocinarse durante unos 30 segundos para mantener la textura perfecta. Apaga el fuego y agrega queso rallado. Sirve los huevos revueltos con claras de huevo, queso, espinacas y cebolla caramelizada con tostadas y batido de mango y tofu para un desayuno saludable.</t>
  </si>
  <si>
    <t>Pour commencer, émincez finement les oignons. Lavez les feuilles d'épinards et coupez-les en petits morceaux. Ajoutez 1 cuillère à soupe de beurre dans une poêle. Ajoutez de fines tranches d'oignons et faites-les revenir jusqu'à ce qu'ils soient légèrement dorés (oignons caramélisés). Ajoutez ensuite les épinards hachés et faites-les cuire jusqu'à ce qu'ils soient tendres. Fouettez les blancs d'œufs avec du sel et du poivre jusqu'à ce qu'ils soient mousseux. Versez les blancs d'œufs battus dans la poêle et baissez le feu. À l'aide d'une spatule, repliez les œufs du bord vers le centre de la poêle jusqu'à ce qu'ils soient bien cuits. Cela les aidera à rester légers et aérés. Ne les laissez cuire qu'environ 30 secondes pour une texture parfaite. Éteignez le feu et ajoutez le fromage râpé. Servez les œufs brouillés aux blancs d'œufs, aux épinards et aux oignons caramélisés avec du pain grillé et un smoothie mangue-tofu pour un petit-déjeuner sain.</t>
  </si>
  <si>
    <t>https://www.archanaskitchen.com/egg-white-cheese-scrambled-eggs-with-spinach-caramelized-onion-recipe</t>
  </si>
  <si>
    <t>Carrot Cashew Smoothie Recipe</t>
  </si>
  <si>
    <t>Karotten-Cashew-Smoothie-Rezept</t>
  </si>
  <si>
    <t>Recette de smoothie aux carottes et aux noix de cajou</t>
  </si>
  <si>
    <t>Receta de batido de zanahoria y anacardos</t>
  </si>
  <si>
    <t>2 tasses de carottes (Gajjar) - coupées en morceaux, 1/2 tasse de noix de cajou, poudre de cardamome (Elaichi) - une pincée, 2 cuillères à café de miel</t>
  </si>
  <si>
    <t>2 cups Carrots (Gajjar) - cut into chunks,1/2 cup Cashew nuts,Cardamom Powder (Elaichi) - a pinch,2 teaspoon Honey</t>
  </si>
  <si>
    <t>2 tazas de zanahorias (Gajjar) - cortadas en trozos, 1/2 taza de anacardos, cardamomo en polvo (Elaichi) - una pizca, 2 cucharaditas de miel</t>
  </si>
  <si>
    <t xml:space="preserve">To start making Carrot Cashew Smoothie Recipe, Pressure-cook the carrots and cashew nuts in 2 cups of water for a whistle, or microwave them on high for 5 minutes. Let them cool.Place the cooled carrots, cashew, the cooked carrot broth, and honey in a high-powered blender and blend until smooth. Add cardamom and stir.You can also make this ahead of time and chill in the fridge. Carrot Cashew Smoothie Recipe is a great welcome drink for parties too!Serve Carrot Cashew Smoothie along with Akuri and Toast for breakfast.
</t>
  </si>
  <si>
    <t>Para empezar a preparar el batido de zanahoria y anacardos, cocina a presión las zanahorias y los anacardos en 2 tazas de agua durante un rato o caliéntalos en el microondas a alta potencia durante 5 minutos. Déjalos enfriar. Coloca las zanahorias frías, los anacardos, el caldo de zanahoria cocido y la miel en una licuadora de alta potencia y licua hasta obtener una mezcla suave. Agrega el cardamomo y revuelve. También puedes prepararlo con antelación y refrigerarlo. ¡El batido de zanahoria y anacardos es una excelente bebida de bienvenida para fiestas! Sirve el batido de zanahoria y anacardos con akuri y tostadas para desayunar.</t>
  </si>
  <si>
    <t>Pour commencer la recette du smoothie carottes-cajou, faites cuire les carottes et les noix de cajou sous pression dans 500 ml d'eau pendant 5 minutes, ou passez-les au micro-ondes à puissance maximale pendant 5 minutes. Laissez refroidir. Placez les carottes refroidies, les noix de cajou, le bouillon de carottes cuit et le miel dans un mixeur puissant et mixez jusqu'à obtenir une consistance lisse. Ajoutez la cardamome et remuez. Vous pouvez également le préparer à l'avance et le conserver au réfrigérateur. Ce smoothie carottes-cajou est également idéal pour les fêtes ! Servez-le avec de l'Akuri et du pain grillé au petit-déjeuner.</t>
  </si>
  <si>
    <t>http://www.archanaskitchen.com/carrot-cashew-smoothie-recipe</t>
  </si>
  <si>
    <t>Pearl Barley Vegetable Soup Recipe</t>
  </si>
  <si>
    <t>Rezept für Perlgraupen-Gemüsesuppe</t>
  </si>
  <si>
    <t>Recette de soupe de légumes à l'orge perlé</t>
  </si>
  <si>
    <t>Receta de sopa de verduras con cebada perlada</t>
  </si>
  <si>
    <t>1/2 tasse d'orge (graines) - trempée pendant 5 à 6 heures, 1 cuillère à café d'huile d'olive extra vierge, 1 oignon - finement haché, 2 gousses d'ail - finement hachées, 1 branche de céleri - finement hachée, 1 carotte (Gajjar) - coupée en petits dés, 1 pomme de terre (Aloo) - pelée et coupée en petits dés, 200 grammes de champignons de Paris - coupés en quartiers, 1 feuille de laurier (tej patta), 4 tasses de bouillon de légumes, feuilles de persil - pour la garniture, 1 cuillère à café de grains de poivre noir entiers - grossièrement moulus, sel - au goût, poudre de piment rouge - au goût</t>
  </si>
  <si>
    <t>1/2 cup Barley (seeds) - soaked for 5 to 6 hours,1 teaspoon Extra Virgin Olive Oil,1 Onion - finely chopped,2 cloves Garlic - finely chopped,1 Stalk Celery - finely chopped,1 Carrot (Gajjar) - diced small,1 Potato (Aloo) - peeled and diced small,200 grams Button mushrooms - quartered,1 Bay leaf (tej patta),4 cups Vegetable stock,Parsley leaves - for garnishing,1 teaspoon Whole Black Peppercorns - coarsely grounded,Salt - to taste,Red Chilli powder - to taste</t>
  </si>
  <si>
    <t>1/2 taza de cebada (semillas) - remojadas durante 5 a 6 horas, 1 cucharadita de aceite de oliva virgen extra, 1 cebolla - finamente picada, 2 dientes de ajo - finamente picados, 1 tallo de apio - finamente picado, 1 zanahoria (Gajjar) - cortada en cubitos pequeños, 1 papa (Aloo) - pelada y cortada en cubitos pequeños, 200 gramos de champiñones - en cuartos, 1 hoja de laurel (tej patta), 4 tazas de caldo de verduras, hojas de perejil - para decorar, 1 cucharadita de granos de pimienta negra enteros - molidos gruesos, sal - al gusto, chile rojo en polvo - al gusto</t>
  </si>
  <si>
    <t xml:space="preserve">To begin making the Pearl Barley Vegetable Soup, make sure you have soaked the barley for at least 5 to 6 hours. The soaking process helps to cook the grains faster and more evenly.Our next step is to get all the ingredients ready. If you don't have vegetable stock ready, you can use water, but you will have to adjust the taste and spices accordingly once the soup is ready.We will use a pressure cooker method to cook the Pearl Barley Vegetable Soup. If you plan to use the saucepan method, continue with the similar procedure, but cook until the barley has cooked through completely and is edible.Heat oil in the pressure cooker on medium heat; add the onions, garlic and celery. Saute for a couple of minutes until they become lightly tender. Add the remaining ingredients, except the parsley and give it a good stir. Check the salt and spice levels and adjust to suit your taste.Cover the pressure cooker, place the weight on and cook until you hear 3 to 4 whistles. After 3 to 4 whistles, turn the heat to low and simmer the soup for another 5 to 10 minutes. After which, turn off the heat.Allow the pressure cooker to rest until the pressure releases naturally. The cooking process continues in the cooker as long as there is pressure inside it.Once the pressure is released, you can open the cooker and the soup will be ready. Do check if the barley is cooked through, sometimes the age of the grain makes it take a little longer than expected. Check the salt and spice levels, adjust to suit your taste and stir in the parsley.Serve the Pearl Barley Vegetable Soup as a wholesome meal for weeknight dinner along with warm Masala French Toast.
</t>
  </si>
  <si>
    <t>Para comenzar a hacer la sopa de verduras con cebada perlada, asegúrese de haber remojado la cebada durante al menos 5 a 6 horas. El proceso de remojo ayuda a cocinar los granos más rápido y de manera más uniforme. Nuestro siguiente paso es tener todos los ingredientes listos. Si no tiene caldo de verduras listo, puede usar agua, pero tendrá que ajustar el sabor y las especias según corresponda una vez que la sopa esté lista. Usaremos un método de olla a presión para cocinar la sopa de verduras con cebada perlada. Si planea usar el método de cacerola, continúe con el procedimiento similar, pero cocine hasta que la cebada se haya cocido completamente y sea comestible. Caliente el aceite en la olla a presión a fuego medio; agregue las cebollas, el ajo y el apio. Saltee durante un par de minutos hasta que estén ligeramente tiernos. Agregue los ingredientes restantes, excepto el perejil y revuelva bien. Verifique los niveles de sal y especias y ajústelos a su gusto. Tape la olla a presión, coloque el peso y cocine hasta que escuche de 3 a 4 silbidos. Después de 3 o 4 silbidos, baje el fuego y cocine la sopa a fuego lento durante otros 5 a 10 minutos. Después, apague el fuego. Deje reposar la olla a presión hasta que la presión se libere naturalmente. El proceso de cocción continúa en la olla mientras haya presión en su interior. Una vez que se libere la presión, puede abrir la olla y la sopa estará lista. Compruebe si la cebada está bien cocida, ya que a veces la edad del grano hace que tarde un poco más de lo esperado. Compruebe los niveles de sal y especias, ajuste a su gusto y agregue el perejil. Sirva la sopa de verduras con cebada perlada como una comida completa para la cena entre semana junto con tostadas francesas Masala calientes.</t>
  </si>
  <si>
    <t>Pour commencer à préparer la soupe de légumes à l'orge perlé, assurez-vous d'avoir trempé l'orge pendant au moins 5 à 6 heures. Le processus de trempage aide à cuire les grains plus rapidement et plus uniformément. Notre prochaine étape consiste à préparer tous les ingrédients. Si vous n'avez pas de bouillon de légumes prêt, vous pouvez utiliser de l'eau, mais vous devrez ajuster le goût et les épices en conséquence une fois la soupe prête. Nous utiliserons une méthode d'autocuiseur pour cuire la soupe de légumes à l'orge perlé. Si vous prévoyez d'utiliser la méthode de la casserole, continuez avec la même procédure, mais faites cuire jusqu'à ce que l'orge soit complètement cuite et comestible. Faites chauffer l'huile dans l'autocuiseur à feu moyen ; ajoutez les oignons, l'ail et le céleri. Faites revenir pendant quelques minutes jusqu'à ce qu'ils deviennent légèrement tendres. Ajoutez le reste des ingrédients, sauf le persil et remuez bien. Vérifiez les niveaux de sel et d'épices et ajustez à votre goût. Couvrez l'autocuiseur, placez le poids dessus et faites cuire jusqu'à ce que vous entendiez 3 à 4 sifflements. Après 3 ou 4 sifflements, baissez le feu et laissez mijoter la soupe pendant 5 à 10 minutes supplémentaires. Ensuite, éteignez le feu. Laissez l'autocuiseur reposer jusqu'à ce que la pression se relâche naturellement. La cuisson se poursuit tant que la pression est présente. Une fois la pression relâchée, ouvrez l'autocuiseur et la soupe est prête. Vérifiez la cuisson de l'orge : l'âge du grain peut parfois prolonger la cuisson. Vérifiez la quantité de sel et d'épices, ajustez-la à votre goût et ajoutez le persil. Servez la soupe de légumes à l'orge perlé comme un repas sain pour un dîner de semaine, accompagnée de pain perdu masala chaud.</t>
  </si>
  <si>
    <t>https://www.archanaskitchen.com/vegetable-barley-soup-recipe</t>
  </si>
  <si>
    <t>Jello Poke Cake Recipe</t>
  </si>
  <si>
    <t>Rezept für Jello Poke Cake</t>
  </si>
  <si>
    <t>Recette de gâteau Jello Poke</t>
  </si>
  <si>
    <t>Receta de pastel de gelatina</t>
  </si>
  <si>
    <t>1 1/2 tasse de Vivatta Maida, 1 cuillère à soupe de levure chimique, 1/2 tasse de beurre (non salé) - à température ambiante, 1 tasse de sucre, 2 œufs entiers, 1/2 tasse de lait, 1/4 cuillère à café de sel, 1/2 cuillère à café d'extrait de brin de vanille Bourbon naturelle, 1 mélange pour gelée - n'importe quelle saveur fera l'affaire, 1 tasse d'eau chaude, 1 1/2 tasse de sucre - en poudre, 1/2 cuillère à soupe de lait, 1/6 tasse de beurre (non salé) - à température ambiante, 1/2 cuillère à café d'extrait de brin de vanille Bourbon naturelle, 1 tasse de noix - hachées, 1 tasse de pacanes - hachées</t>
  </si>
  <si>
    <t>1 1/2 cups Vivatta Maida,1 tablespoon Baking powder,1/2 cup Butter (unsalted) - at room temperature,1 cup Sugar,2 Whole Eggs,1/2 cup Milk,1/4 teaspoon Salt,1/2 teaspoon Sprig Extract of Natural Bourbon Vanilla,1 Jelly Mix - any flavour will do,1 cup Hot water,1 1/2 cups Sugar - powdered,1/2 tablespoon Milk,1/6 cup Butter (unsalted) - at room temperature,1/2 teaspoon Sprig Extract of Natural Bourbon Vanilla,1 cup Walnuts - chopped,1 cup Pecans - chopped</t>
  </si>
  <si>
    <t>1 1/2 tazas de Vivatta Maida, 1 cucharada de polvo para hornear, 1/2 taza de mantequilla (sin sal) - a temperatura ambiente, 1 taza de azúcar, 2 huevos enteros, 1/2 taza de leche, 1/4 cucharadita de sal, 1/2 cucharadita de extracto de ramita de vainilla Bourbon natural, 1 mezcla de gelatina - cualquier sabor servirá, 1 taza de agua caliente, 1 1/2 tazas de azúcar - en polvo, 1/2 cucharada de leche, 1/6 taza de mantequilla (sin sal) - a temperatura ambiente, 1/2 cucharadita de extracto de ramita de vainilla Bourbon natural, 1 taza de nueces - picadas, 1 taza de nueces pecanas - picadas</t>
  </si>
  <si>
    <t xml:space="preserve">To make the cakeTo begin making Jello Poke Cake Recipe, preheat the oven to 400/200 F/CIn a large glass mixing bowl, sift Vivatta Maida, baking powder and salt. In an another bowl add the soft butter and sugar and whisk with a spatula or use an electric mixer set on low speed. Make it soft and fluffy then add eggs (one at a time), add vanilla extract and milk and beat on high speed for 2 minutes. Add this mixture to the maida and mix until cake batter is homogeneous and all the ingredients have combined well. Grease an 8 inch round cake pan with butter or cooking oil and dust with flour.Pour cake batter and bake for 30 - 35 minutes. When you insert a skewer inside the cake, it should come out clean. Cool cake in a pan for 5 minutes then place it in a wire rack and cool completely.Using a chopstick or wooden spoon, poke all over the cake so that there is space for the jelly to set.Mix jello powder in 1 cup boiling water until dissolves. Carefully pour the liquid all over the cake. Cover and place it in refrigerator for 3 hours to set.To make the frostingIn a bowl whisk powdered sugar and butter with spoon or electric mixer on low speed. Stir in vanilla and 1/2 tablespoon milk. Whisk until all the ingredients combine well. Your frosting is ready. After the cake is set smear vanilla frosting on top add chopped nuts on top. Jello poke cake is ready to serve.Serve Jello Poke Cake Recipe at tea time along with Basil Tea 
</t>
  </si>
  <si>
    <t>Para hacer el pastel Para comenzar a hacer la receta de pastel de gelatina, precaliente el horno a 400/200 F/C En un tazón grande de vidrio, tamice Vivatta Maida, polvo para hornear y sal. En otro tazón agregue la mantequilla suave y el azúcar y bata con una espátula o use una batidora eléctrica a baja velocidad. Hágalo suave y esponjoso, luego agregue los huevos (uno a la vez), agregue el extracto de vainilla y la leche y bata a alta velocidad durante 2 minutos. Agregue esta mezcla a la maida y mezcle hasta que la masa del pastel esté homogénea y todos los ingredientes se hayan combinado bien. Engrase un molde para pastel redondo de 8 pulgadas con mantequilla o aceite de cocina y espolvoree con harina. Vierta la masa del pastel y hornee durante 30 a 35 minutos. Cuando inserte un palillo dentro del pastel, debe salir limpio. Enfríe el pastel en un molde durante 5 minutos, luego colóquelo en una rejilla y deje enfriar por completo. Con un palillo o una cuchara de madera, pinche todo el pastel para que haya espacio para que la gelatina cuaje. Mezcle la gelatina en polvo en 1 taza de agua hirviendo hasta que se disuelva. Vierta con cuidado el líquido por todo el pastel. Cubra y coloque en el refrigerador durante 3 horas para que cuaje. Para hacer el glaseado: en un tazón, bata el azúcar glas y la mantequilla con una cuchara o batidora eléctrica a baja velocidad. Agregue la vainilla y 1/2 cucharada de leche. Bata hasta que todos los ingredientes se combinen bien. Su glaseado está listo. Después de que el pastel esté cuajado, unte el glaseado de vainilla por encima y agregue las nueces picadas por encima. El pastel de gelatina está listo para servir. Sirva la receta de pastel de gelatina a la hora del té junto con el té de albahaca.</t>
  </si>
  <si>
    <t>Pour faire le gâteauPour commencer à préparer la recette du gâteau Jello Poke, préchauffez le four à 400/200 F/CDans un grand bol en verre, tamisez la Vivatta Maida, la levure chimique et le sel. Dans un autre bol, ajoutez le beurre mou et le sucre et fouettez avec une spatule ou utilisez un batteur électrique réglé à basse vitesse. Rendez-le doux et mousseux, puis ajoutez les œufs (un à la fois), ajoutez l'extrait de vanille et le lait et battez à grande vitesse pendant 2 minutes. Ajoutez ce mélange à la maida et mélangez jusqu'à ce que la pâte à gâteau soit homogène et que tous les ingrédients soient bien mélangés. Graissez un moule à gâteau rond de 8 pouces avec du beurre ou de l'huile de cuisson et saupoudrez de farine.Versez la pâte à gâteau et faites cuire au four pendant 30 à 35 minutes. Lorsque vous insérez une brochette à l'intérieur du gâteau, elle doit ressortir propre. Laissez refroidir le gâteau dans un moule pendant 5 minutes, puis placez-le sur une grille et laissez-le refroidir complètement. À l'aide d'une baguette ou d'une cuillère en bois, piquez le gâteau pour laisser de la place à la gelée. Mélangez la poudre de gelée avec 250 ml d'eau bouillante jusqu'à dissolution complète. Versez délicatement le liquide sur le gâteau. Couvrez et placez au réfrigérateur pendant 3 heures pour qu'il prenne. Pour le glaçage : Dans un bol, fouettez le sucre glace et le beurre à l'aide d'une cuillère ou d'un batteur électrique à basse vitesse. Incorporez la vanille et 1/2 cuillère à soupe de lait. Fouettez jusqu'à ce que tous les ingrédients soient bien mélangés. Votre glaçage est prêt. Une fois le gâteau pris, étalez le glaçage à la vanille sur le dessus et ajoutez des noix hachées. Le gâteau Jello Poke est prêt à servir. Servez la recette du gâteau Jello Poke à l'heure du thé, accompagné d'une tisane au basilic.</t>
  </si>
  <si>
    <t>http://www.archanaskitchen.com/jello-poke-cake-recipe</t>
  </si>
  <si>
    <t>Chewy Strawberry Muesli Oats Cookie Recipe</t>
  </si>
  <si>
    <t>Rezept für zähe Erdbeer-Müsli-Haferkekse</t>
  </si>
  <si>
    <t>Recette de galettes d'avoine moelleuses aux fraises et au muesli</t>
  </si>
  <si>
    <t>Receta de esponjosas tortas de avena con fresas y muesli</t>
  </si>
  <si>
    <t>1 tasse de farine de blé entier, 1 cuillère à café de cannelle en poudre (Dalchini), 1/2 tasse d'avoine instantanée (gruau), 1/2 tasse de muesli, 200 grammes de fraises - finement hachées, 1 cuillère à café d'extrait de vanille, 1/2 tasse de jaggery - émietté, 1/4 tasse d'huile d'olive extra vierge, 1/4 tasse de lait, 1 œuf entier</t>
  </si>
  <si>
    <t>1 cup Whole Wheat Flour,1 teaspoon Cinnamon Powder (Dalchini),1/2 cup Instant Oats (Oatmeal),1/2 cup Muesli,200 grams Strawberries - finely chopped,1 teaspoon Vanilla Extract,1/2 cup Jaggery - crumbled,1/4 cup Extra Virgin Olive Oil,1/4 cup Milk,1 Whole Egg</t>
  </si>
  <si>
    <t>1 taza de harina integral, 1 cucharadita de canela en polvo (dalchini), 1/2 taza de avena instantánea (avena), 1/2 taza de muesli, 200 gramos de fresas finamente picadas, 1 cucharadita de extracto de vainilla, 1/2 taza de jaggery desmenuzado, 1/4 taza de aceite de oliva virgen extra, 1/4 taza de leche, 1 huevo entero</t>
  </si>
  <si>
    <t>We begin making the Chewy Strawberry Muesli Oats Cookie Recipe by pre heating the oven to 180 degree Celsius for 10 minutes.Then In a bowl add in all the ingredients and mix it well make it a slight wet dough so you can hold it and shape them into cookies.Grease the tray with oil, and place the cookies with an inch apart from each other. Once done Refrigerate it for about 10 minutes.Then bake it in the oven for about 25 minutes till it crisps up. Once baked take them out and grease it with little honey over it and serve. Serve the Chewy Strawberry Muesli Oats Cookie Recipe as a tea time snack </t>
  </si>
  <si>
    <t>Comenzamos haciendo la Receta de Galletas de Avena y Muesli con Fresa Masticables precalentando el horno a 180 grados Celsius durante 10 minutos. Luego, en un tazón, agregue todos los ingredientes y mezcle bien para formar una masa ligeramente húmeda para que pueda sostenerla y darles forma de galletas. Engrase la bandeja con aceite y coloque las galletas con una pulgada de distancia entre sí. Una vez hecho, refrigérelo durante unos 10 minutos. Luego, hornéelo en el horno durante unos 25 minutos hasta que esté crujiente. Una vez horneados, sáquelos, engráselos con un poco de miel por encima y sirva. Sirva la Receta de Galletas de Avena y Muesli con Fresa Masticables como un refrigerio para la hora del té.</t>
  </si>
  <si>
    <t>Nous commençons à préparer la recette des biscuits moelleux à l'avoine et au muesli aux fraises en préchauffant le four à 180 degrés Celsius pendant 10 minutes. Ensuite, dans un bol, ajoutez tous les ingrédients et mélangez bien pour obtenir une pâte légèrement humide afin de pouvoir la tenir et les façonner en biscuits. Graissez la plaque avec de l'huile et placez les biscuits à 2,5 cm les uns des autres. Une fois terminé, réfrigérez-les pendant environ 10 minutes. Ensuite, faites-les cuire au four pendant environ 25 minutes jusqu'à ce qu'ils soient croustillants. Une fois cuits, sortez-les et graissez-les avec un peu de miel et servez. Servez la recette des biscuits moelleux à l'avoine et au muesli aux fraises comme collation à l'heure du thé.</t>
  </si>
  <si>
    <t>http://www.archanaskitchen.com/chewy-strawberry-muesli-oats-cookie-recipe</t>
  </si>
  <si>
    <t>Hot Coffee Latte Recipe</t>
  </si>
  <si>
    <t>Rezept für heißen Kaffee Latte</t>
  </si>
  <si>
    <t>Recette de café latte chaud</t>
  </si>
  <si>
    <t>Receta de café con leche caliente</t>
  </si>
  <si>
    <t>1-1/2 tasse de lait, 2 cuillères à café de sucre, 1/2 tasse de décoction de café, 2 pincées de poudre de cacao - (facultatif)</t>
  </si>
  <si>
    <t>1-1/2 cups Milk,2 teaspoons Sugar,1/2 cup Coffee Decoction,2 pinch Cocoa Powder - (optional)</t>
  </si>
  <si>
    <t>1-1/2 tazas de leche, 2 cucharaditas de azúcar, 1/2 taza de decocción de café, 2 pizcas de cacao en polvo (opcional)</t>
  </si>
  <si>
    <t xml:space="preserve">To begin making Hot Coffee Latte Recipe, in a large jar with leak-proof lid, add milk and shake vigorously for about 1 minute or two.Open the lid and microwave the jar on a high power for 2 minutes. Make sure the container has space for the milk to foam up.In a big mug, add the espresso in equal quantity and hold the mug in a tilted position. Keep adding the frothed milk into one cup from the mug's edge in a steady pattern till the cup is full such that it forms a coffee art on top. You can optionally sprinkle with a dash of coa powder on top.Serve Hot Coffee Latte Recipe with Whole Wheat Apple Muffins Recipe or a Spiced Saffron &amp; Coconut Pumpkin Cake Recipe for a rainy evening.
</t>
  </si>
  <si>
    <t>Para empezar a preparar la receta de café latte caliente, en un frasco grande con tapa hermética, añade leche y agita enérgicamente durante 1 o 2 minutos. Abre la tapa y calienta el frasco en el microondas a alta potencia durante 2 minutos. Asegúrate de que el recipiente tenga espacio para que la leche forme espuma. En una taza grande, añade el espresso en cantidades iguales y mantén la taza inclinada. Sigue añadiendo la leche espumosa en una taza desde el borde de la taza de forma constante hasta que la taza esté llena, de modo que forme una textura de café en la parte superior. Opcionalmente, puedes espolvorear con una pizca de cacao en polvo por encima. Sirve la receta de café latte caliente con la receta de muffins de manzana integrales o con la receta de pastel de calabaza especiado con azafrán y coco para una tarde lluviosa.</t>
  </si>
  <si>
    <t>Pour commencer à préparer la recette du café latte chaud, versez le lait dans un grand bocal avec un couvercle étanche et secouez vigoureusement pendant 1 à 2 minutes. Ouvrez le couvercle et faites chauffer le bocal au micro-ondes à puissance maximale pendant 2 minutes. Assurez-vous que le récipient dispose d'un espace suffisant pour que le lait mousse. Dans une grande tasse, versez l'espresso en quantité égale et tenez la tasse inclinée. Continuez à verser le lait mousseux dans une tasse, en partant du bord de la tasse, de manière régulière, jusqu'à ce que la tasse soit pleine, de manière à former une œuvre d'art sur le dessus. Vous pouvez éventuellement saupoudrer d'un peu de poudre de cacao sur le dessus. Servez la recette du café latte chaud avec une recette de muffins aux pommes et au blé entier ou une recette de gâteau à la citrouille épicé au safran et à la noix de coco pour une soirée pluvieuse.</t>
  </si>
  <si>
    <t>https://www.archanaskitchen.com/hot-coffee-latte-recipe</t>
  </si>
  <si>
    <t>Eggless Paneer Mc Puff Recipe -Mc Donald's Style</t>
  </si>
  <si>
    <t>Rezept für Paneer Mc Puff ohne Ei – nach McDonald’s-Art</t>
  </si>
  <si>
    <t>Recette de Paneer Mc Puff sans œuf – façon McDonald's</t>
  </si>
  <si>
    <t>Receta de Paneer McPuff sin huevo al estilo McDonald's</t>
  </si>
  <si>
    <t>2 tasses de farine tout usage (Maida), 2-1/2 cuillères à soupe de ghee - ou de beurre, sel - au goût, 1 tasse d'eau glacée, 1 tasse de paneer (fromage cottage fait maison) - finement haché, 1 poivron vert (Capsicum) - finement haché, 1/2 poivron rouge (Capsicum) - haché, 1 cuillère à soupe d'ail - finement haché, 1-1/2 cuillères à soupe de sauce chili verte, 1 cuillère à soupe de sauce pour pâtes aux tomates rôties, 1/2 cuillère à café de sauce soja, 1/2 cuillère à café de poudre de poivre noir, sel - au goût, 1 cuillère à soupe de beurre, 1 pincée de sucre</t>
  </si>
  <si>
    <t>2 cups All Purpose Flour (Maida),2-1/2 tablespoons Ghee - or butter,Salt - to taste,1 cup Chilled water,1 cup Paneer (Homemade Cottage Cheese) - finely chopped,1 Green Bell Pepper (Capsicum) - finely chopped,1/2 Red Bell pepper (Capsicum) - chopped,1 tablespoon Garlic - finely chopped,1-1/2 tablespoons Green Chilli Sauce,1 tablespoon Roasted tomato pasta sauce,1/2 teaspoon Soy sauce,1/2 teaspoon Black pepper powder,Salt - to taste,1 tablespoon Butter,1 pinch Sugar</t>
  </si>
  <si>
    <t>2 tazas de harina para todo uso (Maida), 2-1/2 cucharadas de ghee o mantequilla, sal al gusto, 1 taza de agua fría, 1 taza de paneer (queso cottage casero) finamente picado, 1 pimiento verde (Capsicum) finamente picado, 1/2 pimiento rojo (Capsicum) picado, 1 cucharada de ajo finamente picado, 1-1/2 cucharadas de salsa de chile verde, 1 cucharada de salsa de pasta de tomate asado, 1/2 cucharadita de salsa de soja, 1/2 cucharadita de pimienta negra en polvo, sal al gusto, 1 cucharada de mantequilla, 1 pizca de azúcar</t>
  </si>
  <si>
    <t xml:space="preserve">To begin making Eggless Paneer Mc Puff Recipe,prep all the ingredients and start by making pastry dough.Sift flour in a large mixing bowl, add salt and butter, and mix to form crumbles.Start adding water and knead to make a soft and smooth dough.Cover the dough and keep it aside to rest for 15 minutes.Meanwhile, prepare the filling for the puffs. Heat butter in a wok and add chopped garlic and sauté till golden.Add chopped capsicum, red bell pepper, salt, black pepper, and sauté till soft.Now add all the three sauces and stir well for 2-3 minutes.Add finely chopped paneer pieces into the saucy mix and stir such that everything incorporates well.Sprinkle a pinch of sugar, give a quick mix and set aside to cool.For Making Paneer Mc PuffsPinch a large tennis ball sized dough and roll to make a ball.Place the dough ball on the dusted counter and roll out to make a thin sheet.Cut the sheet into equal sized 2 x 2 inch squares with a knife or a pizza cutter. Collect the extras from the sized, and keep aside.Take a teaspoon of the filling and place on the center of a square.Wet your index finger with water and slide across the sides of the square sheet.Place another 2-inch dough sheet over it and press the sides gently.Make impressions with a fork across the sides to seal.Place the puff on a lined Baking tray.Similarly, make more puffs and place them on the baking tray. (You can make square, round, crescent shapes etc)Preheat the Oven at 180 degrees Celsius for 10-15 minutes (adjust according to your oven).Bake the Paneer Puffs for 15-20 minutes or till you see them turning crisp and golden.Cool them on a cooling rack for three minutes before serving.Serve Eggless Paneer Mc Puff Recipe with Roasted tomato sauce or delicious dips like Cottage cheese dip or Peanut chilli dip during tea time or as appetizer for your party meal of Vegetable Au Gratin with Cauliflower Carrots and Beans and Summer Lettuce Salad.
</t>
  </si>
  <si>
    <t>Para comenzar a hacer la receta de Paneer Mc Puff sin huevo, prepare todos los ingredientes y comience haciendo la masa de hojaldre. Tamice la harina en un tazón grande, agregue sal y mantequilla y mezcle para formar migajas. Comience a agregar agua y amase para hacer una masa suave y tersa. Cubra la masa y déjela reposar durante 15 minutos. Mientras tanto, prepare el relleno para los hojaldres. Calentar la mantequilla en un wok y agregar el ajo picado y saltear hasta que esté dorado. Agregar el pimiento picado, el pimiento rojo, la sal, la pimienta negra y saltear hasta que esté suave. Ahora agregar las tres salsas y revolver bien durante 2-3 minutos. Agregar trozos de paneer finamente picados a la mezcla de salsa y revolver de modo que todo se incorpore bien. Espolvorear una pizca de azúcar, mezclar rápidamente y dejar enfriar. Para hacer Paneer Mc Puffs Pellizcar una masa del tamaño de una pelota de tenis grande y enrollar para formar una bola. Colocar la bola de masa sobre el mostrador espolvoreado y extenderla para hacer una lámina fina. Cortar la lámina en cuadrados de igual tamaño de 2 x 2 pulgadas con un cuchillo o un cortador de pizza. Recoja los sobrantes del tamaño y manténgalos a un lado. Tome una cucharadita del relleno y colóquela en el centro de un cuadrado. Moje su dedo índice con agua y deslícelo por los lados de la hoja cuadrada. Coloque otra hoja de masa de 2 pulgadas sobre ella y presione los lados suavemente. Haga impresiones con un tenedor en los lados para sellar. Coloque el hojaldre en una bandeja para hornear forrada. Del mismo modo, haga más hojaldres y colóquelos en la bandeja para hornear. (Puedes hacer formas cuadradas, redondas, de medialuna, etc.) Precalienta el horno a 180 grados Celsius durante 10-15 minutos (ajusta según tu horno). Hornea los paneer puffs durante 15-20 minutos o hasta que veas que se vuelven crujientes y dorados. Déjalos enfriar en una rejilla durante tres minutos antes de servir. Sirve la receta de paneer Mc Puff sin huevo con salsa de tomate asado o deliciosas salsas como salsa de queso cottage o salsa de chile y cacahuete durante la hora del té o como aperitivo para tu comida de fiesta de verduras gratinadas con coliflor, zanahorias y frijoles y ensalada de lechuga de verano.</t>
  </si>
  <si>
    <t>Pour commencer à préparer la recette de Paneer Mc Puff sans œufs, préparez tous les ingrédients et commencez par faire de la pâte feuilletée. Tamisez la farine dans un grand bol à mélanger, ajoutez le sel et le beurre et mélangez pour former des miettes. Commencez à ajouter de l'eau et pétrissez pour obtenir une pâte molle et lisse. Couvrez la pâte et laissez-la reposer 15 minutes. Pendant ce temps, préparez la garniture pour les choux. Faites chauffer le beurre dans un wok et ajoutez l'ail haché et faites revenir jusqu'à ce qu'il soit doré. Ajoutez le poivron haché, le poivron rouge, le sel, le poivre noir et faites revenir jusqu'à ce qu'ils soient tendres. Ajoutez maintenant les trois sauces et remuez bien pendant 2 à 3 minutes. Ajoutez des morceaux de paneer finement hachés dans le mélange de sauce et remuez pour que tout s'incorpore bien. Saupoudrez une pincée de sucre, mélangez rapidement et laissez refroidir. Pour faire des Paneer Mc Puffs Pincez une grosse pâte de la taille d'une balle de tennis et roulez-la pour faire une boule. Placez la boule de pâte sur le comptoir saupoudré et étalez-la pour faire une fine feuille. Coupez la feuille en carrés de taille égale de 2 x 2 pouces avec un couteau ou un coupe-pizza. Récupérez les extras de la taille et réservez-les. Prenez une cuillère à café de garniture et placez-la au centre d'un carré. Mouillez votre index avec de l'eau et faites-le glisser sur les côtés de la feuille carrée. Placez une autre feuille de pâte de 2 pouces dessus et appuyez doucement sur les côtés. Faites des empreintes avec une fourchette sur les côtés pour sceller. Placez la feuille sur une plaque de cuisson tapissée. De même, faites plus de feuilletés et placez-les sur la plaque de cuisson. (Vous pouvez faire des formes carrées, rondes, en croissant, etc.) Préchauffez le four à 180 degrés Celsius pendant 10 à 15 minutes (ajustez en fonction de votre four). Faites cuire les Paneer Puffs pendant 15 à 20 minutes ou jusqu'à ce qu'ils deviennent croustillants et dorés. Laissez-les refroidir sur une grille de refroidissement pendant trois minutes avant de servir. Servez la recette de Paneer Mc Puff sans œufs avec de la sauce tomate rôtie ou de délicieuses trempettes comme une trempette au fromage cottage ou une trempette au piment et aux cacahuètes à l'heure du thé ou en apéritif pour votre repas de fête de gratin de légumes avec chou-fleur, carottes et haricots et salade de laitue d'été.</t>
  </si>
  <si>
    <t>http://www.archanaskitchen.com/eggless-paneer-mc-puff-recipe-mc-donald-s-style</t>
  </si>
  <si>
    <t>Grilled Sub Sandwich Recipe With Paneer &amp; Roasted Vegetables</t>
  </si>
  <si>
    <t>Rezept für gegrilltes Sub-Sandwich mit Paneer und geröstetem Gemüse</t>
  </si>
  <si>
    <t>Recette de sandwich grillé au paneer et légumes rôtis</t>
  </si>
  <si>
    <t>Receta de sándwich de paneer a la parrilla y verduras asadas</t>
  </si>
  <si>
    <t>2 baguettes, 150 grammes de paneer (fromage cottage fait maison) - coupé en épaisseur de 1 pouce, 1 poivron rouge (Capsicum) - finement tranché, 1 courgette jaune - finement tranchée, 2 gousses d'ail - râpées, 1 cuillère à café de flocons de piment rouge, 1/2 cuillère à café d'origan séché, 1/2 cuillère à café de feuilles de thym séchées, 1/2 cuillère à café de romarin - séché, jus de citron - d'un citron, 1 cuillère à soupe d'huile d'olive extra vierge, sel et poivre - au goût, sauce moutarde - selon les besoins, 3/4 tasse de laitue iceberg - grossièrement déchirée, 1 cuillère à café de beurre, 2 tranches de fromage</t>
  </si>
  <si>
    <t>2 Baguette,150 grams Paneer (Homemade Cottage Cheese) - cut in 1 inch size thickness,1 Red Bell pepper (Capsicum) - thinly sliced,1 Yellow Zucchini - thinly sliced,2 cloves Garlic - grated,1 teaspoon Red Chilli flakes,1/2 teaspoon Dried oregano,1/2 teaspoon Dried Thyme Leaves,1/2 teaspoon Rosemary - dried,Lemon juice - of 1 lemon,1 tablespoon Extra Virgin Olive Oil,Salt and Pepper - to taste,Mustard sauce - as required,3/4 cup Iceberg lettuce - roughly torn,1 teaspoon Butter,2 Cheese - slices</t>
  </si>
  <si>
    <t>2 baguettes, 150 gramos de paneer (queso cottage casero) cortado en 2,5 cm de grosor, 1 pimiento morrón rojo en rodajas finas, 1 calabacín amarillo en rodajas finas, 2 dientes de ajo rallados, 1 cucharadita de hojuelas de chile rojo, 1/2 cucharadita de orégano seco, 1/2 cucharadita de hojas de tomillo secas, 1/2 cucharadita de romero seco, jugo de limón de 1 limón, 1 cucharada de aceite de oliva virgen extra, sal y pimienta al gusto, salsa de mostaza al gusto, 3/4 taza de lechuga iceberg cortada en tiras gruesas, 1 cucharadita de mantequilla, 2 rebanadas de queso.</t>
  </si>
  <si>
    <t xml:space="preserve">To begin making the Grilled Sub Sandwich Recipes With Paneer &amp; Roasted Vegetables, first let’s make the marinade.In a clean large mixing bowl, add finely chopped garlic, dried oregano, dried thyme, dried rosemary, red chilli flakes, lemon juice, 1 tablespoon olive oil, salt and pepper. Mix them all well.Next we will roast the vegetables. Heat a teaspoon of oil in a heavy bottomed pan or a wok, add the sliced vegetable, sprinkle some salt and roast them until lightly softened. Turn off the heat.Add paneer slices and roasted veggies to the marinade and gently toss them well, cover and keep it aside for 5 minutes.Next, heat and grease the grill pan (if using cast iron grill pan, brush it with little olive oil).Place the marinated paneer slices on the grill pan and grill it on high heat for 2 minutes on each side. Take out the grilled paneer from the pan and keep it aside in a bowl. The next step is to assemble the Sub Sandwich with Paneer &amp; Roasted Vegetables.Next, slice the submarine bread horizontally. Apply butter on both the halves of the bread. Toast  both the halves of the bread on same grill pan until slightly golden brown and crisp. Once the bread is toasted, remove from the heat.Place the toasted bread on a flat surface.  Place a cheese slice on lower half of the bread and make an even layer of iceberg lettuce. Place the grilled vegetables and the grilled paneer pieces on the top.Top it with dollops of mustard sauce and the remaining marinade from the bowl. Cover the sandwich with the other half of the bread and serve.Serve Grilled Sub Sandwich With Paneer &amp; Roasted Vegetables along with Zucchini Salad Recipe With Thai Hot Chili Dressing and a delicious Apple Almond Date Smoothie  for your weekend Brunch.
</t>
  </si>
  <si>
    <t>Para comenzar a hacer las Recetas de Sándwich Sub a la Parrilla con Paneer y Vegetales Asados, primero hagamos la marinada. En un tazón grande limpio, agregue ajo finamente picado, orégano seco, tomillo seco, romero seco, hojuelas de chile rojo, jugo de limón, 1 cucharada de aceite de oliva, sal y pimienta. Mézclalos bien. Luego asaremos los vegetales. Caliente una cucharadita de aceite en una sartén de fondo grueso o un wok, agregue los vegetales en rodajas, espolvoree un poco de sal y áselos hasta que estén ligeramente blandos. Apague el fuego. Agregue rodajas de paneer y vegetales asados ​​a la marinada y revuelva bien suavemente, cubra y deje reposar durante 5 minutos. Luego, caliente y engrase la sartén para parrilla (si usa una sartén para parrilla de hierro fundido, úntela con un poco de aceite de oliva). Coloque las rodajas de paneer marinadas en la sartén para parrilla y áselas a fuego alto durante 2 minutos por cada lado. Saque el paneer a la parrilla de la sartén y déjelo a un lado en un tazón. El siguiente paso es armar el Sándwich Sub con Paneer y Vegetales Asados. Luego, corta el pan submarino horizontalmente. Unta mantequilla en ambas mitades del pan. Tuesta ambas mitades del pan en la misma parrilla hasta que estén ligeramente doradas y crujientes. Una vez que el pan esté tostado, retíralo del fuego. Coloca el pan tostado en una superficie plana. Coloca una loncha de queso en la mitad inferior del pan y forma una capa uniforme de lechuga iceberg. Coloca las verduras asadas y los trozos de paneer asados ​​encima. Cúbrelo con cucharadas de salsa de mostaza y el adobo restante del tazón. Cubre el sándwich con la otra mitad del pan y sirve. Sirve el Sándwich Sub a la Parrilla con Paneer y Vegetales Asados ​​junto con la Receta de Ensalada de Calabacín con Aderezo de Chile Picante Tailandés y un delicioso Batido de Manzana, Almendras y Dátiles para tu Brunch de fin de semana.</t>
  </si>
  <si>
    <t>Pour commencer à préparer les recettes de sandwichs grillés au paneer et aux légumes rôtis, préparons d'abord la marinade. Dans un grand bol propre, ajoutez l'ail finement haché, l'origan séché, le thym séché, le romarin séché, les flocons de piment rouge, le jus de citron, 1 cuillère à soupe d'huile d'olive, le sel et le poivre. Mélangez bien le tout. Ensuite, nous allons rôtir les légumes. Faites chauffer une cuillère à café d'huile dans une poêle à fond épais ou un wok, ajoutez les légumes tranchés, saupoudrez de sel et faites-les rôtir jusqu'à ce qu'ils soient légèrement tendres. Éteignez le feu. Ajoutez les tranches de paneer et les légumes rôtis à la marinade et mélangez-les délicatement, couvrez et réservez pendant 5 minutes. Ensuite, faites chauffer et graissez la poêle à griller (si vous utilisez une poêle à griller en fonte, badigeonnez-la d'un peu d'huile d'olive). Placez les tranches de paneer marinées sur la poêle à griller et faites-les griller à feu vif pendant 2 minutes de chaque côté. Retirez le paneer grillé de la poêle et réservez-le dans un bol. L'étape suivante consiste à assembler le sandwich sous-marin au paneer et aux légumes rôtis. Ensuite, coupez le pain sous-marin horizontalement. Beurrez les deux moitiés de pain. Faites griller les deux moitiés de pain sur la même poêle à griller jusqu'à ce qu'elles soient légèrement dorées et croustillantes. Une fois le pain grillé, retirez-le du feu. Placez le pain grillé sur une surface plane. Placez une tranche de fromage sur la moitié inférieure du pain et faites une couche uniforme de laitue iceberg. Placez les légumes grillés et les morceaux de paneer grillés sur le dessus. Garnissez de cuillerées de sauce moutarde et du reste de la marinade du bol. Couvrez le sandwich avec l'autre moitié de pain et servez. Servez le sandwich sous-marin grillé au paneer et aux légumes rôtis avec une recette de salade de courgettes avec vinaigrette chili thaï et un délicieux smoothie pomme-amande-datte pour votre brunch du week-end.</t>
  </si>
  <si>
    <t>https://www.archanaskitchen.com/grilled-sub-sandwich-recipes-with-paneer-roasted-vegetables</t>
  </si>
  <si>
    <t>Eggless Oreo Cake Recipe With Buttercream Frosting</t>
  </si>
  <si>
    <t>Rezept für Oreo-Kuchen ohne Eier mit Buttercreme-Zuckerguss</t>
  </si>
  <si>
    <t>Recette de gâteau Oreo sans œufs avec glaçage à la crème au beurre</t>
  </si>
  <si>
    <t>Receta de pastel de Oreo sin huevo con glaseado de crema de mantequilla</t>
  </si>
  <si>
    <t>24 biscuits Oreo - (2 gros paquets), 2 tasses de lait, sucre - (seulement si nécessaire) (je n'en ai pas ajouté dans cette recette), sel de fruits Enos - un sachet ou 1/4 cuillère à café de levure chimique, 2 tasses de sucre en poudre, 1/2 tasse de beurre, 3/4 cuillère à café d'extrait de vanille, 1 cuillère à soupe de lait, sucre glace - pour saupoudrer (facultatif), 1-1/2 cuillère à soupe de Badam (amande) - finement tranché, 7 biscuits Oreo - coupés en deux</t>
  </si>
  <si>
    <t>24 Oreo biscuits - (2 large packs),2 cups Milk,Sugar - (only if required) (I have not added in this recipe),Enos fruit salt - a sachet or 1/4 teaspoon baking powder,2 cups Caster Sugar,1/2 cup Butter,3/4 teaspoon Vanilla Extract,1 tablespoon Milk,Icing Sugar - for dusting (optional),1-1/2 tablespoon Badam (Almond) - thinly sliced,7 Oreo biscuits - cut into halves</t>
  </si>
  <si>
    <t>24 galletas Oreo (2 paquetes grandes), 2 tazas de leche, azúcar (solo si es necesario) (no la he añadido en esta receta), sal de fruta Enos (un sobre o 1/4 cucharadita de levadura en polvo), 2 tazas de azúcar extrafino, 1/2 taza de mantequilla, 3/4 cucharadita de extracto de vainilla, 1 cucharada de leche, azúcar glas (para espolvorear, opcional), 1 1/2 cucharada de almendras (en rodajas finas), 7 galletas Oreo (cortadas en mitades)</t>
  </si>
  <si>
    <t xml:space="preserve">To prepare Oreo Cake Recipe With Butter Cream Frosting, break the oreo cookies into chunks.Blend the oreo cookies to a fine powder and then add the required milk to form a thick batter of cake-batter consistency not too runny, but thick enough to pour into a greased container.Once you are about to pour into the cake baking tray- add the eno and mix it well.Pour the batter immediately into a greased pan, you can use parchment/ butter paper to avoid the cake from sticking at the bottom.Microwave for 4-5 minutes on high. If you are using the OTG/Convection Oven – 180 degrees Celsius for 15 -20 minutes depending on your oven.Buttercream FrostingTo prepare buttercream frosting, mix butter and sugar with a hand mixer for about 2-3 minutes.Add milk, vanilla and continue blending for 2-3 minutes. Adjust milk to achieve a spreading consistency.Once the cake is cooled on a wire rack, apply a generous coat of buttercream frosting.Decorate with almonds and halved oreo biscuits.Serve Oreo Cake Recipe With Butter Cream Frosting as a light dessert after a meal with Ratatouille with Grilled Cottage Cheese Steak or Potato Wedges.
</t>
  </si>
  <si>
    <t>Para preparar la receta de pastel de Oreo con glaseado de crema de mantequilla, rompa las galletas Oreo en trozos. Mezcle las galletas Oreo hasta obtener un polvo fino y luego agregue la leche necesaria para formar una masa espesa con la consistencia de una masa de pastel, no muy líquida, pero lo suficientemente espesa como para verterla en un recipiente engrasado. Una vez que esté a punto de verterla en la bandeja para hornear pasteles, agregue el eno y mezcle bien. Vierta la masa inmediatamente en un molde engrasado, puede usar papel pergamino / mantequilla para evitar que el pastel se pegue en el fondo. Microondas durante 4-5 minutos a alta potencia. Si está usando el horno OTG / convección - 180 grados Celsius durante 15-20 minutos, dependiendo de su horno. Glaseado de crema de mantequilla Para preparar el glaseado de crema de mantequilla, mezcle la mantequilla y el azúcar con una batidora de mano durante unos 2-3 minutos. Agregue la leche, la vainilla y continúe mezclando durante 2-3 minutos. Ajuste la leche para lograr una consistencia untable. Una vez que el pastel se haya enfriado sobre una rejilla, aplique una capa generosa de glaseado de crema de mantequilla. Decore con almendras y galletas Oreo cortadas por la mitad. Sirva la Receta de Pastel Oreo con Glaseado de Crema de Mantequilla como un postre ligero después de una comida con Ratatouille con Filete de Queso Cottage a la Parrilla o Papas Gajo.</t>
  </si>
  <si>
    <t>Pour préparer la recette de gâteau Oreo avec glaçage à la crème au beurre, cassez les biscuits Oreo en morceaux. Mélangez les biscuits Oreo en une poudre fine, puis ajoutez le lait nécessaire pour former une pâte épaisse de consistance de pâte à gâteau pas trop liquide, mais suffisamment épaisse pour être versée dans un récipient graissé. Une fois que vous êtes sur le point de verser dans le moule à gâteau, ajoutez l'eno et mélangez bien. Versez immédiatement la pâte dans un moule graissé, vous pouvez utiliser du papier sulfurisé/beurre pour éviter que le gâteau ne colle au fond. Faites chauffer au micro-ondes pendant 4 à 5 minutes à puissance maximale. Si vous utilisez le four OTG/à convection - 180 degrés Celsius pendant 15 à 20 minutes selon votre four. Glaçage à la crème au beurre Pour préparer le glaçage à la crème au beurre, mélangez le beurre et le sucre avec un batteur à main pendant environ 2 à 3 minutes. Ajoutez le lait, la vanille et continuez à mélanger pendant 2 à 3 minutes. Ajustez le lait pour obtenir une consistance à tartiner. Une fois le gâteau refroidi sur une grille, appliquez une généreuse couche de glaçage à la crème au beurre. Décorez avec des amandes et des biscuits Oreo coupés en deux. Servez la recette de gâteau Oreo avec glaçage à la crème au beurre comme un dessert léger après un repas avec une ratatouille avec un steak au fromage cottage grillé ou des quartiers de pommes de terre.</t>
  </si>
  <si>
    <t>http://www.archanaskitchen.com/oreo-cake-recipe-with-buttercream-frosting-eggless</t>
  </si>
  <si>
    <t>Red Smoothie Bowl Recipe</t>
  </si>
  <si>
    <t>Rezept für eine rote Smoothie-Bowl</t>
  </si>
  <si>
    <t>Recette pour un bol de smoothie rouge</t>
  </si>
  <si>
    <t>Receta de un tazón de batido rojo</t>
  </si>
  <si>
    <t>1 banane mûre congelée, 1/2 tasse de mangue (mûre) coupée en dés, 100 grammes de concombre tranché, 1 épinard haché, 2 brocolis coupés en fleurons, 4 fraises équeutées, 1 betterave coupée en dés, 1/2 branche de céleri, 2 cuillères à café de poudre de graines de lin (farine de lin), 1/2 citron pressé, 1/2 tasse d'eau de coco tendre, glaçons au besoin, 2 cuillères à soupe de crème de coco, feuilles de menthe (Pudina) pour garnir, kiwi tranché ou tout autre fruit de votre choix</t>
  </si>
  <si>
    <t>1 Ripe Bananas - frozen,1/2 cup Mango (Ripe) - diced,100 grams Cucumber - sliced,1 Spinach - chopped,2 Broccoli - cut into florets,4 Strawberries - hulled,1 Beetroot - diced,1/2 Celery - stick,2 teaspoons Flax seed powder (flax meal),1/2 Lemon - juiced,1/2 cup Tender coconut water,Ice cubes - as needed,2 tablespoons Coconut cream,Mint Leaves (Pudina) - to garnish,Kiwi - Sliced or any fruit of your choice</t>
  </si>
  <si>
    <t>1 plátano maduro congelado, 1/2 taza de mango (maduro) en cubitos, 100 gramos de pepino en rodajas, 1 espinaca picada, 2 brócolis cortados en floretes, 4 fresas sin tallo, 1 remolacha en cubitos, 1/2 rama de apio, 2 cucharaditas de polvo de semilla de lino (harina de lino), 1/2 limón exprimido, 1/2 taza de agua de coco tierno, cubitos de hielo según sea necesario, 2 cucharadas de crema de coco, hojas de menta (pudina) para decorar, kiwi en rodajas o cualquier fruta de su elección</t>
  </si>
  <si>
    <t xml:space="preserve">To begin with red smoothie bowl, prepare all the vegetables and fruits by washing and chopping.Set aside the coconut cream, mint leaves and sliced kiwi. Add remaining ingredients into a blender and blend till smooth.Serve this in a bowl swirl in the coconut cream, and top it with mint and kiwi.Serve Red Smoothie Bowl on its own for a breakfast or you can even serve it as a smoothie.
</t>
  </si>
  <si>
    <t>Para empezar con el Smoothie Bowl Rojo, prepara todas las verduras y frutas lavándolas y picarlas. Reserva la crema de coco, las hojas de menta y el kiwi en rodajas. Agrega el resto de los ingredientes a una licuadora y tritura hasta obtener una mezcla suave. Sírvelo en un tazón, añade la crema de coco y decora con menta y kiwi. Sirve el Smoothie Bowl Rojo solo para desayunar o como batido.</t>
  </si>
  <si>
    <t>Pour commencer le smoothie bowl rouge, préparez tous les légumes et fruits : lavez-les et coupez-les en morceaux. Réservez la crème de coco, les feuilles de menthe et les tranches de kiwi. Ajoutez le reste des ingrédients dans un blender et mixez jusqu'à obtenir une consistance lisse. Servez dans un bol, ajoutez la crème de coco en tourbillonnant et garnissez de menthe et de kiwi. Servez le smoothie bowl rouge seul au petit-déjeuner ou en smoothie.</t>
  </si>
  <si>
    <t>http://www.archanaskitchen.com/red-smoothie-bowl-recipe</t>
  </si>
  <si>
    <t>Walnut Cranberry No Bake Cheesecake Recipe With Strawberries</t>
  </si>
  <si>
    <t>Walnuss-Cranberry-Käsekuchen ohne Backen mit Erdbeeren</t>
  </si>
  <si>
    <t>Cheesecake aux noix, aux canneberges et aux fraises sans cuisson</t>
  </si>
  <si>
    <t>Tarta de queso sin horno con arándanos, fresas y nueces</t>
  </si>
  <si>
    <t>250 grammes de fromage à la crème Britannia - réfrigéré et épais, 1/2 tasse de Hung Curd (yaourt grec) - réfrigéré et épais, 1/2 tasse de crème fraîche - réfrigérée et épaisse, 1/2 tasse de sucre glace, 1/2 cuillère à café d'extrait de vanille, 1/2 tasse de noix, 1/4 tasse de canneberges, 1/4 tasse de noix de coco desséchée - grillée, 250 grammes de fraises - finement tranchées</t>
  </si>
  <si>
    <t>250 grams Britannia Cream Cheese - chilled &amp; thick,1/2 cup Hung Curd (Greek Yogurt) - chilled &amp; thick,1/2 cup Fresh cream - chilled &amp; thick,1/2 cup Icing Sugar,1/2 teaspoon Vanilla Extract,1/2 cup Walnuts,1/4 cup Cranberries,1/4 cup Dessicated Coconut - roasted,250 grams Strawberries - thinly sliced across</t>
  </si>
  <si>
    <t>250 gramos de queso crema Britannia, frío y espeso, 1/2 taza de cuajada colgada (yogur griego), frío y espeso, 1/2 taza de crema fresca, fría y espesa, 1/2 taza de azúcar glas, 1/2 cucharadita de extracto de vainilla, 1/2 taza de nueces, 1/4 taza de arándanos rojos, 1/4 taza de coco deshidratado tostado, 250 gramos de fresas cortadas en rodajas finas.</t>
  </si>
  <si>
    <t xml:space="preserve">To begin making Walnut Cranberry No Bake Cheesecake Recipe With Strawberries first make the Yogurt Cream Cheese mixture. In a mixing bowl of a stand mixer or using a mixer with whisk attachment, combine hung curd, fresh cream, cream cheese, sugar and vanilla extract and whisk well to combine. First add the cream cheese and beat and then add the other ingredients.You will notice that the mixture will form light stiff peaks. Once you notice the light stiff peaks, refrigerate the cheesecake mixture until we prepare the Walnut Cranberry Crumble.Next make the Walnut Cranberry Crumble.Heat a shallow frying pan on medium flame, add in the desiccated coconut and saute till the coconut turns golden brown in colour. Transfer in a bowl and allow it to cool. Add the walnuts and the cranberries ingredients to a mixer grinder and pulse three or four times to get a coarse crumble. Stir in the roasted coconut , combine well and keep the Walnut Cranberry Crumble aside. To assemble Walnut Cranberry No Bake Cheesecake Recipe With StrawberriesTake a dessert glass or a small dessert glass jar spoon two spoons of the crumble at the bottom and then press it down just a little.Top it up with two spoons of yogurt cream cheese mixture and then add a layer of strawberries.Again add a layer of crumble, cream cheese mixture and decorate with strawberries and a little bit of walnut crumble and a walnut at the top. Refrigerate the Walnut Cranberry No Bake Cheesecake Recipe With Strawberries for a good 6 to 8 hours for it to set well. Once set, you can serve the Walnut Cranberry No Bake Cheesecake Recipe With Strawberries for your parties.This Walnut Cranberry No Bake Cheesecake Recipe will stay for 4 to 5 days in the refrigerator and hence can be made ahead and kept.Serve Walnut Cranberry No Bake Cheesecake Recipe With Strawberries along with a party meal of Delicious Avocado Salad Recipe with Vegetables,  Millet Cottage Cheese Fritters and Cauliflower Au Gratin.
</t>
  </si>
  <si>
    <t>Para comenzar a hacer la receta de tarta de queso sin horno con nueces y arándanos y fresas, primero prepare la mezcla de queso crema con yogur. En un tazón de una batidora de pedestal o usando una batidora con accesorio de batidor, combine la cuajada colgada, la crema fresca, el queso crema, el azúcar y el extracto de vainilla y bata bien para combinar. Primero agregue el queso crema y bata y luego agregue los demás ingredientes. Notará que la mezcla formará picos ligeros y rígidos. Una vez que note los picos ligeros y rígidos, refrigere la mezcla de tarta de queso hasta que preparemos el crumble de nueces y arándanos. Luego haga el crumble de nueces y arándanos. Caliente una sartén poco profunda a fuego medio, agregue el coco rallado y saltee hasta que el coco se dore. Transfiera a un tazón y deje que se enfríe. Agregue las nueces y los ingredientes de los arándanos a una batidora y pulse tres o cuatro veces para obtener un crumble grueso. Agregue el coco tostado, combine bien y reserve el crumble de nueces y arándanos. Para armar la Receta de Tarta de Queso con Nueces, Arándanos y Sin Horno con FresasTome un vaso de postre o un frasco pequeño de vidrio para postres, coloque dos cucharadas de crumble en el fondo y luego presione hacia abajo solo un poco. Cúbralo con dos cucharadas de la mezcla de yogur y queso crema y luego agregue una capa de fresas. Nuevamente agregue una capa de crumble, mezcla de queso crema y decore con fresas y un poco de crumble de nueces y una nuez en la parte superior. Refrigere la Receta de Tarta de Queso con Nueces, Arándanos y Sin Horno con Fresas durante 6 a 8 horas para que cuaje bien. Una vez listo, puedes servir la receta de tarta de queso sin horno con nueces y arándanos rojos y fresas en tus fiestas. Esta receta se conservará de 4 a 5 días en el refrigerador, por lo que se puede preparar con anticipación y conservar. Sirve la receta de tarta de queso sin horno con nueces y arándanos rojos y fresas junto con una comida para fiestas de deliciosa ensalada de aguacate con verduras, buñuelos de mijo y requesón y coliflor gratinada.</t>
  </si>
  <si>
    <t>Pour commencer à préparer la recette de cheesecake aux noix et aux canneberges sans cuisson avec des fraises, préparez d'abord le mélange de fromage à la crème au yaourt. Dans le bol d'un batteur sur socle ou à l'aide d'un batteur avec fouet, mélangez le caillé suspendu, la crème fraîche, le fromage à la crème, le sucre et l'extrait de vanille et fouettez bien pour combiner. Ajoutez d'abord le fromage à la crème et battez, puis ajoutez les autres ingrédients. Vous remarquerez que le mélange formera des pics légers et fermes. Une fois que vous remarquez les pics légers et fermes, réfrigérez le mélange de cheesecake jusqu'à ce que nous préparions le crumble aux noix et aux canneberges. Ensuite, préparez le crumble aux noix et aux canneberges. Faites chauffer une poêle peu profonde à feu moyen, ajoutez la noix de coco râpée et faites revenir jusqu'à ce que la noix de coco devienne dorée. Transférez dans un bol et laissez refroidir. Ajoutez les noix et les ingrédients des canneberges dans un mixeur-broyeur et pulsez trois ou quatre fois pour obtenir un crumble grossier. Incorporez la noix de coco grillée, mélangez bien et réservez le crumble aux noix et aux canneberges. Pour assembler la recette de cheesecake aux noix, aux canneberges et aux fraises sans cuissonPrenez un verre à dessert ou un petit bocal en verre à dessert, déposez deux cuillères à soupe de crumble au fond, puis appuyez légèrement dessus.Recouvrez-le de deux cuillères à soupe de mélange de fromage à la crème au yaourt, puis ajoutez une couche de fraises.Ajoutez à nouveau une couche de crumble, de mélange de fromage à la crème et décorez avec des fraises et un peu de crumble aux noix et une noix sur le dessus.Réfrigérez la recette de cheesecake aux noix, aux canneberges et aux fraises sans cuisson pendant 6 à 8 heures pour qu'elle prenne bien. Une fois prête, vous pouvez servir la recette de cheesecake aux noix, aux canneberges et aux fraises sans cuisson pour vos fêtes. Cette recette de cheesecake aux noix, aux canneberges et aux fraises sans cuisson se conservera 4 à 5 jours au réfrigérateur et peut donc être préparée à l'avance et conservée. Servez la recette de cheesecake aux noix, aux canneberges et aux fraises sans cuisson avec un repas de fête composé d'une délicieuse salade d'avocat aux légumes, de beignets de millet au fromage cottage et de gratin de chou-fleur.</t>
  </si>
  <si>
    <t>http://www.archanaskitchen.com/walnut-cranberry-no-bake-cheesecake-recipe-with-strawberries</t>
  </si>
  <si>
    <t>Lemon Grilled Chicken Recipe</t>
  </si>
  <si>
    <t>Rezept für gegrilltes Hähnchen mit Zitrone</t>
  </si>
  <si>
    <t>Recette de poulet grillé au citron</t>
  </si>
  <si>
    <t>Receta de pollo a la parrilla con limón</t>
  </si>
  <si>
    <t>1 poitrine de poulet, 1 jus de citron, 1 cuillère à café d'origan séché, 1 cuillère à café de feuilles de thym séchées, 1 cuillère à café de poudre de poivre noir, sel - au goût, 1 cuillère à soupe d'huile d'olive extra vierge, 2 patates douces - peau pelée et hachée finement, 250 ml de lait, 50 grammes de beurre, 3 gousses d'ail - tranchées, sel et poivre - au goût, 1/2 tasse de brocoli - coupé en petits fleurons, 1/2 tasse de poivron rouge (Capsicum) - coupé en diagonale, 1 betterave - coupée en diagonale, 1 cuillère à café d'origan séché, sel et poivre - au goût</t>
  </si>
  <si>
    <t>1 Chicken breasts,1 Lemon juice,1 teaspoon Dried oregano,1 teaspoon Dried Thyme Leaves,1 teaspoon Black pepper powder,Salt - to taste,1 tablespoon Extra Virgin Olive Oil,2 Sweet Potatoes - skin peeled and chopped small,250 ml Milk,50 grams Butter,3 cloves Garlic - sliced,Salt and Pepper - to taste,1/2 cup Broccoli - cut into small florets,1/2 cup Red Bell pepper (Capsicum) - cut diagonally,1 Beetroot - cut diagonally,1 teaspoon Dried oregano,Salt and Pepper - to taste</t>
  </si>
  <si>
    <t>1 pechuga de pollo, 1 jugo de limón, 1 cucharadita de orégano seco, 1 cucharadita de hojas de tomillo secas, 1 cucharadita de pimienta negra en polvo, sal - al gusto, 1 cucharada de aceite de oliva virgen extra, 2 batatas - peladas y picadas pequeñas, 250 ml de leche, 50 gramos de mantequilla, 3 dientes de ajo - en rodajas, sal y pimienta - al gusto, 1/2 taza de brócoli - cortado en floretes pequeños, 1/2 taza de pimiento rojo (Capsicum) - cortado en diagonal, 1 remolacha - cortada en diagonal, 1 cucharadita de orégano seco, sal y pimienta - al gusto</t>
  </si>
  <si>
    <t xml:space="preserve">To begin making the Lemon Grilled Chicken Recipe, add the chicken with lemon juice, thyme, oregano, salt and pepper in a mixing bowl and keep it aside for about 1 hour.We will move on to make the mashed potato, add the chopped sweet potato, milk, garlic and butter into a sauce pan and leave it to boil.Boil until the potatoes have become soft and fluffy. Using a potato masher, mash all the potatoes, add little salt and mix well. Before serving sprinkle some pepper so till then keep it aside.To saute the vegetables, heat a sauce pan with oil, add beetroot and saute until it softens.Next, add in the bell peppers and broccoli. Saute for some more time by sprinkling little water and salt.Cover and cook so that the vegetables will get cooked inside the steam. Once the vegetables are steamed, open the lid, add seasoning and salt as per your taste and keep it aside.To grill the chicken, grease the grilled pan with oil and keep it on medium heat. Once the pan becomes hot, place the chicken on the grill pan and allow it to cook. Cook on both the sides for 10 minutes.Keep brushing the chicken with the leftover dressing so that the chicken will develop enough flavor.Keep grilling the chicken until it is done. The chicken breast will take about 15 minutes to cook on either side on medium heat.To serve, place the grilled chicken on the plate. Spread the mashed potato next to the chicken and place some sautéed vegetables also by the side and serve.Serve the Lemon Grilled Chicken Recipe can be had along with a glass of Pomegranate Mint Cocktail Recipe to complete your Sunday meals.
</t>
  </si>
  <si>
    <t>Para preparar la receta de pollo a la parrilla con limón, agregue el pollo con jugo de limón, tomillo, orégano, sal y pimienta a un tazón y déjelo reposar durante aproximadamente una hora. Luego, prepare el puré de papas: agregue el boniato picado, la leche, el ajo y la mantequilla a una cacerola y déjelo hervir hasta que las papas estén suaves y esponjosas. Con un machacador de papas, triture todas las papas, agregue un poco de sal y mezcle bien. Antes de servir, espolvoree un poco de pimienta y reserve. Para saltear las verduras, caliente una cacerola con aceite, agregue remolacha y saltee hasta que se ablande. Luego, agregue los pimientos y el brócoli. Saltee un poco más con un poco de agua y sal. Tape y cocine para que las verduras se cocinen en el vapor. Una vez que las verduras estén cocidas, abra la tapa, agregue condimentos y sal al gusto y reserve. Para asar el pollo, engrase la sartén con aceite y manténgala a fuego medio. Una vez caliente la sartén, coloca el pollo en la parrilla y déjalo cocinar. Cocina por ambos lados durante 10 minutos. Continúa untando el pollo con el aderezo sobrante para que adquiera suficiente sabor. Continúa asando el pollo hasta que esté listo. La pechuga tardará unos 15 minutos en cocinarse por cada lado a fuego medio. Para servir, coloca el pollo a la parrilla en el plato. Extiende el puré de papas junto al pollo y coloca algunas verduras salteadas también al lado. Sirve. La receta de pollo a la parrilla con limón se puede acompañar con un vaso de cóctel de granada y menta para completar tus comidas dominicales.</t>
  </si>
  <si>
    <t>Pour commencer la recette du poulet grillé au citron, ajoutez le poulet avec le jus de citron, le thym, l'origan, le sel et le poivre dans un saladier et laissez reposer environ 1 heure. Poursuivons avec la purée de pommes de terre : ajoutez la patate douce hachée, le lait, l'ail et le beurre dans une casserole et laissez bouillir. Laissez cuire jusqu'à ce que les pommes de terre soient tendres et légères. À l'aide d'un presse-purée, écrasez toutes les pommes de terre, salez légèrement et mélangez bien. Avant de servir, poivrez et réservez. Pour faire revenir les légumes, faites chauffer de l'huile dans une poêle, ajoutez les betteraves et faites-les revenir jusqu'à ce qu'elles soient tendres. Ajoutez ensuite les poivrons et le brocoli. Poursuivez la cuisson en ajoutant un peu d'eau et du sel. Couvrez et laissez cuire à la vapeur pour que les légumes cuisent. Une fois les légumes cuits, ouvrez le couvercle, assaisonnez et salez selon votre goût et réservez. Pour griller le poulet, graissez la poêle avec de l'huile et maintenez-la sur feu moyen. Une fois la poêle chaude, placez le poulet sur le gril et laissez-le cuire. Faites-le cuire des deux côtés pendant 10 minutes. Continuez à badigeonner le poulet avec la vinaigrette restante pour qu'il développe suffisamment de saveur. Continuez à griller le poulet jusqu'à ce qu'il soit cuit. La poitrine de poulet prendra environ 15 minutes à cuire de chaque côté à feu moyen. Pour servir, placez le poulet grillé dans l'assiette. Étalez la purée de pommes de terre à côté du poulet et disposez également des légumes sautés à côté. Servez. La recette de poulet grillé au citron peut être accompagnée d'un verre de cocktail grenade-menthe pour compléter vos repas du dimanche.</t>
  </si>
  <si>
    <t>https://www.archanaskitchen.com/lemon-grilled-chicken-recipe</t>
  </si>
  <si>
    <t>Whole Wheat and Jowar (Pearl Millet) Orange Cake With Orange Glaze Recipe</t>
  </si>
  <si>
    <t>Rezept für Orangenkuchen aus Vollkorn und Jowar (Perlhirse) mit Orangenglasur</t>
  </si>
  <si>
    <t>Recette de gâteau à l'orange à base de blé complet et de jowar (millet perlé) avec glaçage à l'orange</t>
  </si>
  <si>
    <t>Receta de pastel de naranja elaborado con trigo integral y jowar (mijo perla) con glaseado de naranja</t>
  </si>
  <si>
    <t>1/4 tasse de farine de blé entier, 1/4 tasse de farine de sorgho, 1/2 cuillère à café de levure chimique, 2 œufs entiers, 1/4 tasse de cassonade (sucre Demerara), 2 cuillères à soupe de zeste d'orange (écorce) - (d'une orange), 1 cuillère à soupe de beurre - fondu, 2 cuillères à café de lait - chaud, 1 cuillère à soupe de cassonade (sucre Demerara), 1 tasse de jus d'orange frais, 1 cuillère à soupe de rhum - ou de porto (facultatif)</t>
  </si>
  <si>
    <t>1/4 cup Whole Wheat Flour,1/4 cup Jowar Flour (Sorghum),1/2 teaspoon Baking powder,2 Whole Eggs,1/4 cup Brown Sugar (Demerara Sugar),2 tablespoon Orange Zest (Rind) - (from one orange),1 tablespoon Butter - melted,2 teaspoons Milk - warm,1 tablespoon Brown Sugar (Demerara Sugar),1 cup Fresh orange juice,1 tablespoon Rum - or Port (optional)</t>
  </si>
  <si>
    <t>1/4 taza de harina integral, 1/4 taza de harina de sorgo, 1/2 cucharadita de polvo para hornear, 2 huevos enteros, 1/4 taza de azúcar morena (azúcar Demerara), 2 cucharadas de ralladura de naranja (de una naranja), 1 cucharada de mantequilla derretida, 2 cucharaditas de leche tibia, 1 cucharada de azúcar morena (azúcar Demerara), 1 taza de jugo de naranja fresco, 1 cucharada de ron o oporto (opcional)</t>
  </si>
  <si>
    <t xml:space="preserve"> To begin making Whole Wheat and Jowar(Pearl Millet) Orange Cake With Orange Glaze Recipe, in a mixing bowl, whisk eggs with sugar and orange zest till nice and fluffy.In another mixing bowl, sieve the whole wheat and jowar flour with baking powder and fold in the flour mixture into the egg and sugar mixture. Mix the cake batter well. In a small bowl, mix butter with warm milk and stir well. Pour this mixture into the cake batter.Meanwhile Preheat oven to 180 Degree Celsius.Grease and dust a cake tin. Pour the cake batter into the cake tin. Bake for 20 minutes. Check with a skewer/toothpick/knife to see if the cake is cooked through. The skewer/toothpick or knife should come out clean.Once done, take the cake tin out and place on a cooling rack. Prick holes on the cake while still hot.To prepare the orange glazeMix juice of one orange with sugar and rum/port (optional). Pour this glaze over the cake while the cake is still warm, allowing the cake to soak up all the syrup.Serve a portion of the cake on in a serving dish for your tea time snack, breakfast or pack it for your snack box.
</t>
  </si>
  <si>
    <t>Para comenzar a hacer la receta de pastel de naranja de trigo integral y jowar (mijo perla) con glaseado de naranja, en un tazón, bata los huevos con el azúcar y la ralladura de naranja hasta que quede una mezcla agradable y esponjosa. En otro tazón, tamice la harina de trigo integral y jowar con el polvo para hornear e incorpore la mezcla de harina a la mezcla de huevo y azúcar. Mezcle bien la masa del pastel. En un tazón pequeño, mezcle la mantequilla con la leche tibia y revuelva bien. Vierta esta mezcla en la masa del pastel. Mientras tanto, precaliente el horno a 180 grados Celsius. Engrase y espolvoree un molde para pastel. Vierta la masa del pastel en el molde. Hornee durante 20 minutos. Verifique con una brocheta / palillo / cuchillo para ver si el pastel está cocido. La brocheta / palillo o cuchillo debe salir limpio. Una vez hecho esto, saque el molde para pastel y colóquelo en una rejilla para enfriar. Pinche agujeros en el pastel mientras aún está caliente. Para preparar el glaseado de naranja Mezcle el jugo de una naranja con azúcar y ron / oporto (opcional). Vierta este glaseado sobre el pastel mientras aún esté tibio, permitiendo que absorba todo el almíbar. Sirva una porción del pastel en una fuente para servir como merienda, desayuno o llévelo para su caja de refrigerios.</t>
  </si>
  <si>
    <t>Pour commencer à préparer la recette du gâteau à l'orange au blé entier et au jowar (millet perlé) avec glaçage à l'orange, dans un saladier, fouettez les œufs avec le sucre et le zeste d'orange jusqu'à obtenir une consistance lisse et mousseuse. Dans un autre saladier, tamisez la farine de blé entier et de jowar avec la levure chimique et incorporez le mélange de farine au mélange d'œufs et de sucre. Bien mélanger la pâte à gâteau. Dans un petit bol, mélanger le beurre avec le lait chaud et bien mélanger. Versez ce mélange dans la pâte à gâteau. Pendant ce temps, préchauffez le four à 180 degrés Celsius. Graissez et saupoudrez un moule à gâteau. Versez la pâte à gâteau dans le moule à gâteau. Faites cuire au four pendant 20 minutes. Vérifiez avec une brochette/un cure-dent/un couteau si le gâteau est bien cuit. La brochette/le cure-dent ou le couteau doit ressortir propre. Une fois terminé, sortez le moule à gâteau et placez-le sur une grille de refroidissement. Percez des trous sur le gâteau encore chaud. Pour préparer le glaçage à l'orange, mélangez le jus d'une orange avec le sucre et le rhum/porto (facultatif). Versez ce glaçage sur le gâteau pendant qu'il est encore chaud, en laissant le gâteau absorber tout le sirop. Servez une portion du gâteau dans un plat de service pour votre goûter, votre petit-déjeuner ou emballez-le pour votre boîte à goûter.</t>
  </si>
  <si>
    <t>https://www.archanaskitchen.com/whole-wheat-and-jowar-pearl-millet-orange-cake-with-orange-glaze-recipe</t>
  </si>
  <si>
    <t>Jalapeno Cilantro Lime Rice Recipe</t>
  </si>
  <si>
    <t>Rezept für Jalapeno-Koriander-Limetten-Reis</t>
  </si>
  <si>
    <t>Recette de riz au citron vert, coriandre et jalapeño</t>
  </si>
  <si>
    <t>Receta de arroz con lima, cilantro y jalapeño</t>
  </si>
  <si>
    <t>2-1/2 tasses de riz cuit, 1 oignon haché, 4 gousses d'ail hachées, 1 pouce de gingembre haché, 1 tasse de feuilles de coriandre (Dhania) grossièrement hachées à moudre, 1 cuillère à soupe de feuilles de thym séchées, 1 cuillère à soupe d'origan séché, 2 cuillères à soupe de flocons de piment rouge, 10 jalapeños marinés tranchés, sel au goût, 1 citron jus de citron</t>
  </si>
  <si>
    <t>2-1/2 cups Cooked rice,1 Onion - chopped,4 cloves Garlic - chopped,1 inch Ginger - chopped,1 cup Coriander (Dhania) Leaves - roughly chopped- to be ground,1 tablespoon Dried Thyme Leaves,1 tablespoon Dried oregano,2 tablespoon Red Chilli flakes,10 Pickled Jalapenos - sliced,Salt - to taste,1 Lemon - juice from the lemon</t>
  </si>
  <si>
    <t>2-1/2 tazas de arroz cocido, 1 cebolla picada, 4 dientes de ajo picados, 1 pulgada de jengibre picado, 1 taza de hojas de cilantro (Dhania) picadas gruesas para moler, 1 cucharada de hojas de tomillo secas, 1 cucharada de orégano seco, 2 cucharadas de hojuelas de chile rojo, 10 jalapeños encurtidos en rodajas, sal al gusto, 1 limón - jugo del limón</t>
  </si>
  <si>
    <t xml:space="preserve">To begin making the Jalapeno Cilantro Lime Rice, Keep your rice cooked and ready for the recipe. You can check out the link on How to cook rice in a pressure cooker.Add freshly washed coriander leaves into a mixer and grind it into a coarse paste and keep it aside.Heat a kadai with oil, once hot add ginger and garlic and saute till they become soft. Add in chopped onion and saute till they turn translucent.Once the onion changes the colour to light brown, add in the sliced jalapeños and a give it a light mix. You can add cooked rice as well.Sprinkle all the seasonings, red chilli flaxes, thyme, oregano, and ground coriander paste and salt to taste.Toss the rice well and mix until you notice that all the grains have changed to a bright green colour. Squeeze in the lemon juice, check the salt and seasoning and adjust according to taste. Turn off the heat and transfer the Jalapeno Cilantro Lime Rice into a serving bowl and serve hot.Serve the Jalapeno Cilantro Lime Rice along with Jamaican Stew,  Delicious Herbed Hassel back Potatoes and a glass of wine to make a delicious continental meal.
</t>
  </si>
  <si>
    <t>Para preparar el arroz con jalapeño, cilantro y limón, mantén el arroz cocido y listo para la receta. Puedes consultar el enlace sobre cómo cocinar arroz en una olla a presión. Agrega hojas de cilantro recién lavadas a una licuadora y muélelas hasta obtener una pasta gruesa. Reserva. Calienta un kadai con aceite; una vez caliente, agrega jengibre y ajo y sofríe hasta que estén suaves. Agrega cebolla picada y sofríe hasta que se vuelva translúcida. Una vez que la cebolla cambie a un color marrón claro, agrega los jalapeños rebanados y revuelve ligeramente. También puedes agregar arroz cocido. Espolvorea todos los condimentos, chile rojo, lino, tomillo, orégano, pasta de cilantro molida y sal al gusto. Revuelve bien el arroz hasta que notes que todos los granos han adquirido un color verde brillante. Exprime el jugo de limón, prueba la sal y el condimento y ajusta al gusto. Apaga el fuego y transfiere el arroz con jalapeño, cilantro y limón a un tazón para servir y sirve caliente. Sirve el arroz con jalapeño, cilantro y limón junto con estofado jamaicano, deliciosas papas hasselback con hierbas y una copa de vino para preparar una deliciosa comida continental.</t>
  </si>
  <si>
    <t>Pour commencer la préparation du riz au jalapeño, à la coriandre et au citron vert, gardez votre riz cuit et prêt pour la recette. Vous pouvez consulter le lien « Cuisson du riz à l'autocuiseur ». Ajoutez des feuilles de coriandre fraîchement lavées dans un mixeur et réduisez-les en purée grossière. Réservez. Faites chauffer un kadai avec de l'huile. Une fois chaud, ajoutez le gingembre et l'ail et faites-les revenir jusqu'à ce qu'ils soient tendres. Ajoutez l'oignon haché et faites-le revenir jusqu'à ce qu'il devienne translucide. Lorsque l'oignon brunit légèrement, ajoutez les jalapeños tranchés et mélangez délicatement. Vous pouvez également ajouter du riz cuit. Saupoudrez tous les assaisonnements : graines de lin, thym, origan, pâte de coriandre moulue et salez à votre goût. Remuez bien le riz jusqu'à ce que tous les grains soient vert vif. Pressez le jus de citron, vérifiez le sel et l'assaisonnement et ajustez selon votre goût. Éteignez le feu et transférez le riz au piment jalapeño, à la coriandre et au citron vert dans un bol de service et servez chaud. Servez le riz au piment jalapeño, à la coriandre et au citron vert avec un ragoût jamaïcain, de délicieuses pommes de terre Hassel Back aux herbes et un verre de vin pour préparer un délicieux repas continental.</t>
  </si>
  <si>
    <t>http://www.archanaskitchen.com/jalapeno-cilantro-lime-rice-recipe</t>
  </si>
  <si>
    <t>Pina Colada Cake Recipe</t>
  </si>
  <si>
    <t>Rezept für Pina-Colada-Kuchen</t>
  </si>
  <si>
    <t>Recette de gâteau à la Pina Colada</t>
  </si>
  <si>
    <t>Receta de pastel de piña colada</t>
  </si>
  <si>
    <t>2 tasses de Vivatta Maida, 3/4 tasse de lait, 1/2 tasse d'huile de tournesol, 1/2 tasse de beurre (non salé), 1-1/2 tasse de sucre, 1/2 cuillère à café de levure chimique, 1 pincée de bicarbonate de soude, 1 tasse de noix de coco sèche (kopra) - râpée, 2 cuillères à café de rhum - (rhum de noix de coco - facultatif), 1 ananas - coupé en morceaux, 1 tasse de beurre (non salé) - ramolli, 2 tasses de sucre en poudre, 2 cuillères à soupe de lait de coco</t>
  </si>
  <si>
    <t>2 cups Vivatta Maida,3/4 cup Milk,1/2 cup Sunflower Oil,1/2 cup Butter (unsalted),1-1/2 cups Sugar,1/2 teaspoon Baking powder,1 pinch Baking soda,1 cup Dry coconut (kopra) - shredded,2 teaspoons Rum - (coconut rum - optional),1 Pineapple - sliced to chunks,1 cup Butter (unsalted) - softened,2 cups Caster Sugar,2 tablespoons Coconut milk</t>
  </si>
  <si>
    <t>2 tazas de Vivatta Maida, 3/4 taza de leche, 1/2 taza de aceite de girasol, 1/2 taza de mantequilla (sin sal), 1-1/2 tazas de azúcar, 1/2 cucharadita de polvo para hornear, 1 pizca de bicarbonato de sodio, 1 taza de coco seco (kopra) - rallado, 2 cucharaditas de ron - (ron de coco - opcional), 1 piña - cortada en trozos, 1 taza de mantequilla (sin sal) - ablandada, 2 tazas de azúcar extrafino, 2 cucharadas de leche de coco</t>
  </si>
  <si>
    <t xml:space="preserve">To begin making Pina Colada Cake Recipe, in a large bowl, mix the butter and sugar well with the help of a hand mixer.To this, add the flour, baking soda, baking powder and mix well. Then add milk, oil and pineapple chunks and 1/2 cup of shredded and toasted coconut. Add a teaspoon of coconut rum if desired and mix evenly.Preheat oven at 325 degrees F for about 10 minutes.Meanwhile grease two 8 inch pans (any pan of your choice) and pour the cake batter into them after greasing them with a little butter.Bake in oven for 25 minutes or more till the toothpick inserted in the middle of the pan comes out clean. Take the pans out and cool on a wire rack.Meanwhile for the frosting, beat the butter till it becomes light in a blender. Add sugar, coconut milk to the butter and mix well to achieve a creamy texture.Take the cakes out of the pans. On a plate, first keep a cake and apply frosting all over the cake. Arrange four pineapple slices and also add the toasted coconut all over.Keep the other cake on top of this carefully. Apply the frosting again all over the other cake and cover both of them completely with the frosting.Spread the toasted coconut all over the cake carefully. Arrange the remaining pineapple slices as shown in the picture or can be done of your own choice.Refrigerate for at least 2 to 3 hours before serving. Serve Pina Colada Cake Recipe with Samosa Recipe, Cold Coffee Smoothie Recipe and more tea time snacks.
</t>
  </si>
  <si>
    <t>Para comenzar a hacer la Receta de Pastel de Piña Colada, en un tazón grande, mezcle bien la mantequilla y el azúcar con la ayuda de una batidora de mano. A esto, agregue la harina, el bicarbonato de sodio, el polvo para hornear y mezcle bien. Luego agregue la leche, el aceite y los trozos de piña y 1/2 taza de coco rallado y tostado. Agregue una cucharadita de ron de coco si lo desea y mezcle uniformemente. Precaliente el horno a 325 grados F durante unos 10 minutos. Mientras tanto, engrase dos moldes de 8 pulgadas (cualquier molde de su elección) y vierta la masa del pastel en ellos después de engrasarlos con un poco de mantequilla. Hornee en el horno durante 25 minutos o más hasta que al insertar un palillo en el centro del molde, este salga limpio. Retire los moldes y deje enfriar sobre una rejilla de alambre. Mientras tanto, para el glaseado, bata la mantequilla hasta que esté ligera en una licuadora. Agregue el azúcar, la leche de coco a la mantequilla y mezcle bien para lograr una textura cremosa. Retire los pasteles de los moldes. En un plato, primero coloque un pastel y aplique glaseado por todo el pastel. Coloque cuatro rodajas de piña y agregue también el coco tostado por encima. Mantenga el otro pastel encima de este con cuidado. Aplique el glaseado nuevamente por todo el otro pastel y cubra ambos completamente con el glaseado. Extienda el coco tostado por todo el pastel con cuidado. Coloque las rodajas de piña restantes como se muestra en la imagen o puede hacerlo a su gusto. Refrigere durante al menos 2 a 3 horas antes de servir. Sirva la Receta de Pastel de Piña Colada con la Receta de Samosa, la Receta de Batido de Café Frío y más bocadillos para la hora del té.</t>
  </si>
  <si>
    <t>Pour commencer à préparer la recette du gâteau Pina Colada, dans un grand bol, mélangez bien le beurre et le sucre à l'aide d'un batteur à main. Ajoutez à cela la farine, le bicarbonate de soude, la levure chimique et mélangez bien. Ajoutez ensuite le lait, l'huile et les morceaux d'ananas et 1/2 tasse de noix de coco râpée et grillée. Ajoutez une cuillère à café de rhum à la noix de coco si vous le souhaitez et mélangez uniformément. Préchauffez le four à 325 degrés F pendant environ 10 minutes. Pendant ce temps, graissez deux moules de 8 pouces (le moule de votre choix) et versez-y la pâte à gâteau après les avoir graissés avec un peu de beurre. Faites cuire au four pendant 25 minutes ou plus jusqu'à ce que le cure-dent inséré au milieu du moule en ressorte propre. Retirez les moules et laissez refroidir sur une grille. Pendant ce temps, pour le glaçage, battez le beurre jusqu'à ce qu'il devienne léger dans un mélangeur. Ajoutez le sucre, le lait de coco au beurre et mélangez bien pour obtenir une texture crémeuse. Sortez les gâteaux des moules. Sur une assiette, gardez d'abord un gâteau et appliquez le glaçage sur tout le gâteau. Disposez quatre tranches d'ananas et ajoutez également la noix de coco grillée partout. Gardez l'autre gâteau par-dessus soigneusement. Appliquez à nouveau le glaçage sur tout l'autre gâteau et recouvrez-les entièrement de glaçage. Étalez soigneusement la noix de coco grillée sur tout le gâteau. Disposez les tranches d'ananas restantes comme indiqué sur la photo ou faites-le vous-même. Réfrigérez pendant au moins 2 à 3 heures avant de servir. Servez la recette du gâteau Pina Colada avec la recette des samosas, la recette du smoothie au café froid et d'autres collations pour l'heure du thé.</t>
  </si>
  <si>
    <t>http://www.archanaskitchen.com/pina-colada-cake-recipe</t>
  </si>
  <si>
    <t>Stuffed Bun With Veggies Recipe</t>
  </si>
  <si>
    <t>Rezept für gefüllte Brötchen mit Gemüse</t>
  </si>
  <si>
    <t>Recette de rouleaux farcis aux légumes</t>
  </si>
  <si>
    <t>Receta de rollitos rellenos de verduras</t>
  </si>
  <si>
    <t>1-1/2 tasse de farine tout usage (Maida), 1/4 tasse de lait, 1/4 tasse d'eau tiède - (ajuster), 3/4 cuillère à soupe de levure sèche active, 1 cuillère à soupe de sucre, sel - au goût, 3 cuillères à soupe d'huile d'olive extra vierge, 1 cuillère à café de graines de sésame noires, 1 cuillère à café de graines de sésame (graines de Til), 1 tasse de chou (Patta Gobi/Muttaikose) - haché, 1 pomme de terre (Aloo) - bouillie et écrasée, 1 carotte (Gajjar) - hachée finement, 1/2 haricot vert (haricots verts) - haché finement, 1 oignon - haché, 1 cuillère à café d'Ajwain (graines de carambole), 1/4 cuillère à café de poudre de Garam masala, 1/4 tasse de fromage - (facultatif), 1/4 cuillère à café de poudre de piment rouge, 1/8 cuillère à café de poudre de curcuma (Haldi), 2 brins de feuilles de coriandre (Dhania) - hachées, 1/2 jus de citron, 1 cuillère à café d'huile de tournesol, sel - au besoin</t>
  </si>
  <si>
    <t>1-1/2 cup All Purpose Flour (Maida),1/4 cup Milk,1/4 cup Lukewarm Water - (adjust),3/4 tablespoon Active dry yeast,1 tablespoon Sugar,Salt - to taste,3 tablespoon Extra Virgin Olive Oil,1 teaspoon Black sesame seeds,1 teaspoon Sesame seeds (Til seeds),1 cup Cabbage (Patta Gobi/ Muttaikose) - chopped,1 Potato (Aloo) - boiled and mashed,1 Carrot (Gajjar) - chopped finely,1/2 Green beans (French Beans) - chopped finely,1 Onion - chopped,1 teaspoon Ajwain (Carom seeds),1/4 teaspoon Garam masala powder,1/4 cup Cheese - (optional),1/4 teaspoon Red Chilli powder,1/8 teaspoon Turmeric powder (Haldi),2 sprig Coriander (Dhania) Leaves - chopped,1/2 Lemon juice,1 teaspoon Sunflower Oil,Salt - as needed</t>
  </si>
  <si>
    <t>1-1/2 taza de harina para todo uso (Maida), 1/4 taza de leche, 1/4 taza de agua tibia (ajustar), 3/4 cucharada de levadura seca activa, 1 cucharada de azúcar, sal (al gusto), 3 cucharadas de aceite de oliva virgen extra, 1 cucharadita de semillas de sésamo negro, 1 cucharadita de semillas de sésamo (semillas de Til), 1 taza de repollo (Patta Gobi/ Muttaikose) picado, 1 patata (Aloo) hervida y machacada, 1 zanahoria (Gajjar) picada finamente, 1/2 judías verdes (judías verdes) picadas finamente, 1 cebolla picada, 1 cucharadita de ajwain (semillas de carambola), 1/4 cucharadita de garam masala en polvo, 1/4 taza de queso (opcional), 1/4 cucharadita de chile rojo en polvo, 1/8 cucharadita de cúrcuma en polvo (Haldi), 2 ramitas de cilantro (Dhania) hojas picadas, 1/2 jugo de limón, 1 cucharadita de aceite de girasol, sal (según se requiera)</t>
  </si>
  <si>
    <t xml:space="preserve">To prepare Stuffed Bun With Veggies Recipe, get prep with all chopping of all the vegetables.Pour warm milk into a bowl and add sugar to it and mix well.Add the yeast to it and mix well. Keep aside for 5 mins. It will froth and raise. If it does not raise, discard and start a new batch.Take a large mixing bowl and add flour. Make a dent, add water, olive oil, salt in it and the yeast mixture.Mix and make a smooth dough, keep in a warm place covered with a cling wrap for an hour.Meanwhile, prepare the stuffing. Heat a Kadai with a teaspoon of oil.Add jeera, allow it to crackle.Add onions and fry till transparent and cooked.Add the chopped vegetables and cook until tender.Add salt, red chilli powder, turmeric, garam masala, and give a good mix.Remove from fire and add coriander leaves, cheese (if using) and lemon extract. Allow to cool completely.Once the dough has risen to almost double its size after an hour or more, punch it down and knead.Pinch out small balls. This recipe should yield 6 dough balls.Line a baking tray with aluminum foil and grease with olive oil.Take a bun dough and make a dent in middle and fill with vegetable stuffing. Bring the edges together, pinching with fingers and then smoothen the balls to give an even look.Arrange them on a Baking tray. Brush with olive oil.Preheat Oven to 190 degrees Celsius.Sprinkle sesame seeds on each stuffed dough ball and rest till the oven is getting pre heated. The balls would have risen a little, by the time oven is preheated. Generously brush with milk.Bake for 17-20 minutes or until the crust turns golden brown and smells heavenly!You can serve it with Mayonnaise or Roasted tomato sauce during a snack time or as an appetizer during a pizza party along with few refreshing drink like Mango Melange Drink Recipe-A Summer Cooler.
</t>
  </si>
  <si>
    <t>Para preparar la receta de pan relleno con verduras, comience picando todas las verduras. Vierta la leche tibia en un tazón, añada el azúcar y mezcle bien. Añada la levadura y revuelva bien. Deje reposar durante 5 minutos. Formará espuma y subirá. Si no sube, deséchelo y comience una nueva tanda. Tome un tazón grande y agregue la harina. Haga una hendidura, agregue agua, aceite de oliva, sal y la mezcla de levadura. Mezcle hasta formar una masa suave, manténgala en un lugar cálido cubierta con film transparente durante una hora. Mientras tanto, prepare el relleno. Caliente un Kadai con una cucharadita de aceite. Agregue jeera y deje que cruja. Agregue cebollas y fría hasta que estén transparentes y cocidas. Agregue las verduras picadas y cocine hasta que estén tiernas. Agregue sal, chile rojo en polvo, cúrcuma, garam masala y mezcle bien. Retire del fuego y agregue hojas de cilantro, queso (si se usa) y extracto de limón. Dejar enfriar por completo. Una vez que la masa haya subido a casi el doble de su tamaño después de una hora o más, golpéela y amásela. Pellizque pequeñas bolas. Esta receta debe rendir 6 bolas de masa. Cubra una bandeja para hornear con papel de aluminio y engrase con aceite de oliva. Tome una masa de pan y haga una abolladura en el medio y rellénela con relleno de verduras. Junte los bordes, pellizcándolos con los dedos y luego alise las bolas para darles una apariencia uniforme. Colóquelas en una bandeja para hornear. Pincele con aceite de oliva. Precaliente el horno a 190 grados Celsius. Espolvoree semillas de sésamo en cada bola de masa rellena y deje reposar hasta que el horno se precaliente. Las bolas habrán subido un poco, para cuando el horno esté precalentado. Pincele generosamente con leche. Hornee durante 17-20 minutos o hasta que la corteza se dore y huela delicioso. Puede servirlo con mayonesa o salsa de tomate asado como refrigerio o como aperitivo durante una fiesta de pizza junto con alguna bebida refrescante como la Receta de Bebida de Mango Melange - Un Refrescante de Verano.</t>
  </si>
  <si>
    <t>Pour préparer la recette du pain farci aux légumes, commencez par couper tous les légumes. Versez le lait chaud dans un bol, ajoutez le sucre et mélangez bien. Ajoutez la levure et mélangez bien. Laissez reposer 5 minutes. La pâte va mousser et gonfler. Si elle ne gonfle pas, jetez-la et recommencez. Prenez un grand saladier et ajoutez la farine. Faites un creux, ajoutez l'eau, l'huile d'olive, le sel et le mélange de levure. Mélangez jusqu'à obtenir une pâte lisse et réservez au chaud, recouverte d'un film alimentaire, pendant une heure. Pendant ce temps, préparez la farce. Faites chauffer un kadai avec une cuillère à café d'huile. Ajoutez le jeera et laissez-le crépiter. Ajoutez les oignons et faites-les revenir jusqu'à ce qu'ils soient transparents et cuits. Ajoutez les légumes hachés et faites-les cuire jusqu'à ce qu'ils soient tendres. Ajoutez le sel, la poudre de piment rouge, le curcuma, le garam masala et mélangez bien. Retirez du feu et ajoutez les feuilles de coriandre, le fromage (si vous en utilisez) et l'extrait de citron. Laisser refroidir complètement. Une fois que la pâte a presque doublé de volume après une heure ou plus, la dégonfler et la pétrir. Pincer de petites boules. Cette recette devrait donner 6 boules de pâte. Recouvrir une plaque de cuisson de papier d'aluminium et graisser avec de l'huile d'olive. Prendre une pâte à pain et faire une entaille au milieu et remplir de farce aux légumes. Rapprocher les bords, pincer avec les doigts puis lisser les boules pour donner un aspect uniforme. Les disposer sur une plaque de cuisson. Badigeonner d'huile d'olive. Préchauffer le four à 190 degrés Celsius. Saupoudrer de graines de sésame sur chaque boule de pâte farcie et laisser reposer jusqu'à ce que le four soit préchauffé. Les boules auront un peu levé, au moment où le four est préchauffé. Badigeonnez généreusement de lait. Faites cuire au four pendant 17 à 20 minutes ou jusqu'à ce que la croûte devienne dorée et sente divinement bon ! Vous pouvez le servir avec de la mayonnaise ou de la sauce tomate rôtie lors d'une collation ou en apéritif lors d'une soirée pizza avec quelques boissons rafraîchissantes comme la recette de boisson au mélange de mangue - Un rafraîchissement d'été.</t>
  </si>
  <si>
    <t>https://www.archanaskitchen.com/stuffed-bun-with-veggies-recipe</t>
  </si>
  <si>
    <t>Chicken Sandwich With Sweet Corn Recipe</t>
  </si>
  <si>
    <t>Rezept für Hühnchensandwich mit Zuckermais</t>
  </si>
  <si>
    <t>Recette de sandwich au poulet et au maïs doux</t>
  </si>
  <si>
    <t>Receta de sándwich de pollo y maíz dulce</t>
  </si>
  <si>
    <t>1 poitrine de poulet - cuite sous pression jusqu'à tendreté (3 sifflements), 3 cuillères à soupe de maïs doux - bouilli jusqu'à tendreté, 4 cuillères à soupe de mayonnaise classique (avec œuf) - (la saveur de l'ail est meilleure), sel - au goût, 3 cuillères à soupe de ketchup aux tomates, grains de poivre noir entiers - fraîchement moulus au goût, 2 pains à hot-dog, 2 laitues iceberg - au besoin, 1 tomate - tranchée (4-5 tranches), 1 oignon - tranché en rondelles (environ 5 tranches)</t>
  </si>
  <si>
    <t>1 Chicken breasts - pressure cooked till tender (3 whistles),3 tablespoon Sweet corn - boiled till tender,4 tablespoon Classic Mayonnaise (With Egg) - (garlic flavour tastes best),Salt - to taste,3 tablespoon Tomato Ketchup,Whole Black Peppercorns - freshly ground to taste,2 Hot Dog Bread,2 Iceberg lettuce - as needed,1 Tomato - sliced (4-5 slices),1 Onion - sliced to rings (about 5 slices)</t>
  </si>
  <si>
    <t>1 pechuga de pollo - cocida a presión hasta que esté tierna (3 silbidos), 3 cucharadas de maíz dulce - hervido hasta que esté tierno, 4 cucharadas de mayonesa clásica (con huevo) - (el sabor a ajo sabe mejor), sal - al gusto, 3 cucharadas de ketchup de tomate, granos de pimienta negra enteros - recién molidos al gusto, 2 panes para hot dogs, 2 lechugas iceberg - según sea necesario, 1 tomate - en rodajas (4-5 rodajas), 1 cebolla - cortada en rodajas (aproximadamente 5 rodajas)</t>
  </si>
  <si>
    <t xml:space="preserve">To begin making Chicken Sandwich With Sweet Corn Recipe, thaw the sweet corn if using frozen corn, or boil them till soft. Also pressure cook chicken for about 3 whistles or till tender and get prep with other ingredients as well.Shred cooked chicken breast into small pieces.In a large mixing bowl, smear garlic mayonnaise, ketchup, black pepper and salt as per taste in the shredded chicken &amp; sweet corn and mix till well combined.Halve the hot dog bread roll.Arrange the lettuce leaves, onion rings and tomatoes inside the roll add this mixture over the lettuce, onions &amp; tomato and close the sandwich.Enjoy Chicken Sandwich With Sweet Corn Recipe as it is, or grilled further to taste. Serve with Oven Baked Sweet Potato Fries for lunch.
</t>
  </si>
  <si>
    <t>Para preparar la receta de sándwich de pollo con maíz dulce, descongele el maíz dulce si lo usa congelado o hiérvalo hasta que esté blando. También cocine el pollo a presión durante unos 3 silbidos o hasta que esté tierno y prepare el resto de los ingredientes. Desmenuce la pechuga de pollo cocida en trozos pequeños. En un tazón grande, mezcle el pollo desmenuzado con el maíz dulce con mayonesa de ajo, kétchup, pimienta negra y sal al gusto, y mezcle bien. Corte el panecillo de hot dog por la mitad. Coloque las hojas de lechuga, los aros de cebolla y los tomates dentro del panecillo; agregue esta mezcla sobre la lechuga, la cebolla y el tomate y cierre el sándwich. Disfrute la receta de sándwich de pollo con maíz dulce solo o asado a la parrilla al gusto. Sírvalo con papas fritas de camote al horno para el almuerzo.</t>
  </si>
  <si>
    <t>Pour commencer la recette du sandwich au poulet et au maïs, décongelez le maïs si vous utilisez du maïs surgelé, ou faites-le bouillir jusqu'à ce qu'il soit tendre. Faites également cuire le poulet sous pression pendant environ 3 sifflements ou jusqu'à ce qu'il soit tendre, puis préparez-le avec les autres ingrédients. Déchiquetez le blanc de poulet cuit en petits morceaux. Dans un grand saladier, badigeonnez le poulet et le maïs effilochés de mayonnaise à l'ail, de ketchup, de poivre noir et de sel (selon votre goût) et mélangez jusqu'à obtenir un mélange homogène. Coupez le pain à hot-dog en deux. Disposez les feuilles de laitue, les rondelles d'oignon et les tomates à l'intérieur du pain, ajoutez ce mélange sur la laitue, les oignons et les tomates, puis refermez le sandwich. Dégustez le sandwich au poulet et au maïs tel quel ou grillé selon votre goût. Servez avec des frites de patates douces au four pour le déjeuner.</t>
  </si>
  <si>
    <t>https://www.archanaskitchen.com/chicken-sandwich-with-sweet-corn-recipe</t>
  </si>
  <si>
    <t>Apple Cucumber Salad Recipe</t>
  </si>
  <si>
    <t>Apfel-Gurken-Salat-Rezept – Rezept für Apfel-Gurken-Salat</t>
  </si>
  <si>
    <t>Recette de salade de pommes et de concombres – Recette de salade de pommes et de concombres</t>
  </si>
  <si>
    <t>Receta de ensalada de manzana y pepino – Receta de ensalada de manzana y pepino</t>
  </si>
  <si>
    <t>1 pomme - hachée, 1 concombre - coupé en rondelles, 3 brins de menthe - hachés, sel - selon le goût, écrasé 1/2 cuillère à café de poivre entier - 1 cuillère à café de miel, 1 cuillère à café de jus de citron</t>
  </si>
  <si>
    <t>1 apple - chopped, 1 cucumber - cut round round, 3 sprigs mint - chopped, salt - as per taste, crush 1/2 tsp whole pepper - 1 tsp honey, 1 tsp lemon juice</t>
  </si>
  <si>
    <t>1 manzana - picada, 1 pepino - cortado en rodajas, 3 ramitas de menta - picada, sal - al gusto, machacada, 1/2 cucharadita de pimienta entera - 1 cucharadita de miel, 1 cucharadita de jugo de limón</t>
  </si>
  <si>
    <t>To make Apple Cucumber Salad Recipe, take apples, honey, lemon juice, black pepper, salt in a mixing bowl and mix well. Now add mint leaves and mix again. Serve. Serve Apple Cucumber Salad Recipe with Lemon Coriander Soup and Broccoli Paneer Mayo Sandwich.</t>
  </si>
  <si>
    <t>Para preparar la receta de ensalada de manzana y pepino, mezcle bien las manzanas, la miel, el jugo de limón, la pimienta negra y la sal en un tazón. Añada hojas de menta y vuelva a mezclar. Sirva. Acompañe la receta de ensalada de manzana y pepino con sopa de limón y cilantro y un sándwich de brócoli, paneer y mayonesa.</t>
  </si>
  <si>
    <t>Pour réaliser la salade de pommes et concombres, mélangez bien les pommes, le miel, le jus de citron, le poivre noir et le sel dans un saladier. Ajoutez ensuite les feuilles de menthe et mélangez à nouveau. Servez. Accompagnez la salade de pommes et concombres d'une soupe citron-coriandre et d'un sandwich au brocoli, paneer et mayonnaise.</t>
  </si>
  <si>
    <t>https://www.archanaskitchen.com/apple-cucumber-salad-recipe-in-hindi</t>
  </si>
  <si>
    <t>Herbed Tofu &amp; Spinach In Tomato Basil Sauce Recipe</t>
  </si>
  <si>
    <t>Rezept für Kräutertofu und Spinat in Tomaten-Basilikum-Sauce</t>
  </si>
  <si>
    <t>Recette de tofu aux herbes et épinards à la sauce tomate-basilic</t>
  </si>
  <si>
    <t>Receta de tofu con hierbas y espinacas con salsa de tomate y albahaca</t>
  </si>
  <si>
    <t>250 grammes de tofu, 100 grammes d'épinards déchirés, 1 poivron rouge (Capsicum) tranché, 1 oignon finement haché, 4 gousses d'ail finement hachées, 2 tasses de purée de tomates maison, 2 cuillères à soupe d'herbes mélangées (séchées), 2 cuillères à soupe d'huile d'olive extra vierge, 1/2 cuillère à café de poivre de Cayenne, 1/2 cuillère à café de poudre de poivre noir, 1/2 tasse d'eau, 1 cuillère à café de farine de maïs, sel au goût</t>
  </si>
  <si>
    <t>250 grams Tofu,100 grams Spinach - torn,1 Red Bell pepper (Capsicum) - sliced,1 Onion - finely chopped,4 cloves Garlic - finely chopped,2 cup Homemade tomato puree,2 tablespoon Mixed Herbs (Dried),2 tablespoon Extra Virgin Olive Oil,1/2 teaspoon Cayenne Pepper,1/2 teaspoon Black pepper powder,1/2 cup Water,1 teaspoon Corn flour,Salt - to taste</t>
  </si>
  <si>
    <t>250 gramos de tofu, 100 gramos de espinacas (desgarradas), 1 pimiento rojo (Capsicum) (rebanado), 1 cebolla (finamente picada), 4 dientes de ajo (finamente picados), 2 tazas de puré de tomate casero, 2 cucharadas de hierbas mixtas (secas), 2 cucharadas de aceite de oliva virgen extra, 1/2 cucharadita de pimienta de cayena, 1/2 cucharadita de pimienta negra en polvo, 1/2 taza de agua, 1 cucharadita de harina de maíz, sal (al gusto)</t>
  </si>
  <si>
    <t xml:space="preserve">To begin making Herbed Tofu &amp; Spinach In Tomato Basil Sauce first remove the tofu from the cover and keep it in between paper towels to remove any excess water. Next heat oil in a skillet, once oil is hot add onions and saute till the onions turn translucent. Then add garlic and saute for a minute. Add the tomato puree and saute.Cook covered on low heat till the tomatoes are cooked completely and becomes a thick paste. All the raw smell of the tomatoes should go away. This will take about 15 minutes. Stir in between to make sure that the tomatoes do not stick to the bottom of the pan.After the tomatoes are cooked add one tablespoon of mixed herbs and the capsicum. Saute for a minute. Next add the torn up spinach pieces and saute. Add 1/2 cup of water and season with salt and pepper. Cook covered for 5 more minutes and turn off gas.Now remove the tofu from the paper towels and place on a plate.Sprinkle cornflour and mixed herbs on both the sides of the tofu.Heat a pan and add some oil. Pan fry tofu till it turns golden brown on the outside.Place the tomato, capsicum, spinach sauce on a serving plate and then place the herbed seared tofu on the top and the Herbed Tofu &amp; Spinach In Tomato Basil Sauce is ready to be served Serve Herbed Tofu &amp; Spinach In Tomato Basil Sauce with Cream Of Mushroom &amp; Spring Onion Soup , Creamy Polenta and No-Bake Strawberry Cream Cheese Dessert for a lovely weeknight dinner.
</t>
  </si>
  <si>
    <t>Para comenzar a hacer Tofu con Hierbas y Espinacas en Salsa de Tomate y Albahaca, primero retire el tofu de la tapa y manténgalo entre toallas de papel para eliminar el exceso de agua. Luego caliente el aceite en una sartén, una vez que el aceite esté caliente agregue las cebollas y saltee hasta que las cebollas se vuelvan translúcidas. Luego agregue el ajo y saltee por un minuto. Agregue el puré de tomate y saltee. Cocine tapado a fuego lento hasta que los tomates estén completamente cocidos y se conviertan en una pasta espesa. Todo el olor crudo de los tomates debería desaparecer. Esto tomará unos 15 minutos. Revuelva para asegurarse de que los tomates no se peguen al fondo de la sartén. Después de que los tomates estén cocidos, agregue una cucharada de hierbas mixtas y el pimiento. Saltee por un minuto. Luego agregue los trozos de espinaca desgarrados y saltee. Agregue 1/2 taza de agua y sazone con sal y pimienta. Cocine tapado durante 5 minutos más y apague el gas. Ahora retire el tofu de las toallas de papel y colóquelo en un plato. Espolvoree harina de maíz y hierbas mixtas en ambos lados del tofu. Caliente una sartén y agregue un poco de aceite. Fría el tofu en la sartén hasta que se dore por fuera. Coloque la salsa de tomate, pimiento y espinacas en un plato para servir y luego coloque el tofu sellado con hierbas encima y el tofu con hierbas y espinacas en salsa de tomate y albahaca estará listo para servir. Sirva el tofu con hierbas y las espinacas en salsa de tomate y albahaca con crema de champiñones y sopa de cebolleta, polenta cremosa y postre de queso crema con fresas sin horno para una deliciosa cena entre semana.</t>
  </si>
  <si>
    <t>Pour commencer à préparer du tofu aux herbes et des épinards à la sauce tomate et basilic, retirez d'abord le tofu du couvercle et conservez-le entre des serviettes en papier pour éliminer l'excès d'eau. Faites ensuite chauffer l'huile dans une poêle, une fois l'huile chaude, ajoutez les oignons et faites-les revenir jusqu'à ce qu'ils deviennent translucides. Ajoutez ensuite l'ail et faites revenir pendant une minute. Ajoutez la purée de tomates et faites revenir. Faites cuire à couvert à feu doux jusqu'à ce que les tomates soient complètement cuites et deviennent une pâte épaisse. Toute l'odeur crue des tomates devrait disparaître. Cela prendra environ 15 minutes. Remuez entre les deux pour vous assurer que les tomates ne collent pas au fond de la poêle. Une fois les tomates cuites, ajoutez une cuillère à soupe d'herbes mélangées et le poivron. Faites sauter pendant une minute. Ajoutez ensuite les morceaux d'épinards déchirés et faites revenir. Ajoutez 1/2 tasse d'eau et assaisonnez de sel et de poivre. Cuire à couvert pendant 5 minutes supplémentaires et couper le gaz. Retirez maintenant le tofu du papier absorbant et placez-le sur une assiette. Saupoudrez de fécule de maïs et d'herbes mélangées des deux côtés du tofu. Faites chauffer une poêle et ajoutez un peu d'huile. Faites revenir le tofu jusqu'à ce qu'il soit doré à l'extérieur. Placez la sauce tomate, poivron et épinards sur une assiette de service, puis placez le tofu poêlé aux herbes sur le dessus et le tofu aux herbes et épinards à la sauce tomate et basilic est prêt à être servi. Servez le tofu aux herbes et épinards à la sauce tomate et basilic avec une crème de champignons et d'oignons nouveaux, de la polenta crémeuse et un dessert au fromage frais à la fraise sans cuisson pour un délicieux dîner de semaine.</t>
  </si>
  <si>
    <t>http://www.archanaskitchen.com/herbed-tofu-spinach-in-tomato-basil-sauce-recipe</t>
  </si>
  <si>
    <t>Pistachio Lemon Cookie Recipe</t>
  </si>
  <si>
    <t>Pistazien-Zitronen-Plätzchen-Rezept – Rezept für Pistazien-Zitronen-Kuchen</t>
  </si>
  <si>
    <t>Recette de biscuits au citron et à la pistache – Recette de gâteau au citron et à la pistache</t>
  </si>
  <si>
    <t>Receta de Galletas de Limón y Pistacho – Receta de Pastel de Limón y Pistacho</t>
  </si>
  <si>
    <t>1-3 / 4 tasse de maida (farine tout usage), 1 cuillère à café de levure chimique, 1/2 cuillère à café de sel, 1/2 tasse de beurre, 1/2 tasse de sucre, 1/2 tasse de miel, 3 cuillères à soupe de caillé hongrois, 1 cuillère à café de jus de citron, 1 cuillère à soupe de jus de citron, 1/4 tasse de pistaches moulues, sucre glace</t>
  </si>
  <si>
    <t>1-3 / 4 cups maida (all purpose flour), 1 tsp baking powder, 1/2 tsp salt, 1/2 cup butter, 1/2 cup sugar, 1/2 cup honey, 3 tablespoons hung curd, 1 teaspoon lemon juice, 1 tablespoon lemon juice, 1/4 cup pistachios, grind, icing sugar</t>
  </si>
  <si>
    <t>1-3 / 4 tazas de maida (harina para todo uso), 1 cucharadita de polvo para hornear, 1/2 cucharadita de sal, 1/2 taza de mantequilla, 1/2 taza de azúcar, 1/2 taza de miel, 3 cucharadas de cuajada colgada, 1 cucharadita de jugo de limón, 1 cucharada de jugo de limón, 1/4 taza de pistachos, molidos, azúcar glas</t>
  </si>
  <si>
    <t xml:space="preserve">To make Pistachio Lemon Cookie Recipe, first of all, sieve all purpose flour, salt and baking powder in a large bowl. Keep it aside. In another bowl, add butter, sugar and beat it well using a blender. Now add curd, honey, lemon zest, lemon juice and mix it well. After mixing it well, add flour mixture, pistachios and mix it well again. Now make small balls from this mixture and cover them with cling film. Keep it in the fridge for 2 to 3 hours. Now preheat the oven to 180 C. Line a baking sheet with parchment paper. Now place these cookies on a baking tray and put it in the oven. Bake for 10 to 12 minutes until golden brown. Remove after 12 minutes and keep it aside to cool. Serve. Serve Pistachio Lemon Cookie Recipe in the evening with masala tea or filter coffee.
</t>
  </si>
  <si>
    <t>Para preparar la receta de galletas de pistacho y limón, primero tamiza la harina común, la sal y la levadura en polvo en un tazón grande. Reserva. En otro tazón, agrega la mantequilla, el azúcar y bátelo bien con una licuadora. Agrega la cuajada, la miel, la ralladura y el jugo de limón y mezcla bien. Después de mezclar bien, agrega la mezcla de harina y los pistachos y vuelve a mezclar. Forma bolitas con esta mezcla y cúbrelas con film transparente. Consérvalas en el refrigerador de 2 a 3 horas. Precalienta el horno a 180 °C. Cubre una bandeja para hornear con papel vegetal. Coloca las galletas en una bandeja y hornéalas. Hornea de 10 a 12 minutos hasta que estén doradas. Retíralas después de 12 minutos y reserva para que se enfríen. Sirve. Sirve la receta de galletas de pistacho y limón por la noche con té masala o café de filtro.</t>
  </si>
  <si>
    <t>Pour réaliser la recette des biscuits pistaches-citron, tamisez la farine blanche, le sel et la levure chimique dans un grand bol. Réservez. Dans un autre bol, ajoutez le beurre et le sucre et battez bien au mixeur. Ajoutez ensuite le lait caillé, le miel, le zeste et le jus de citron et mélangez bien. Après avoir bien mélangé, ajoutez le mélange de farine et les pistaches et mélangez à nouveau. Formez des petites boules avec ce mélange et recouvrez-les de film alimentaire. Réservez au réfrigérateur pendant 2 à 3 heures. Préchauffez le four à 180 °C. Recouvrez une plaque de cuisson de papier sulfurisé. Disposez les biscuits sur une plaque de cuisson et enfournez. Faites cuire 10 à 12 minutes jusqu'à ce qu'ils soient dorés. Retirez au bout de 12 minutes et laissez refroidir. Servez. Servez la recette des biscuits pistaches-citron le soir avec du thé masala ou du café filtre.</t>
  </si>
  <si>
    <t>https://www.archanaskitchen.com/pistachio-lemon-cookie-recipe-in-hindi</t>
  </si>
  <si>
    <t>Mango &amp; Lemon Bar Recipe</t>
  </si>
  <si>
    <t>Rezept für Mango-Zitronen-Riegel</t>
  </si>
  <si>
    <t>Recette de barres mangue-citron</t>
  </si>
  <si>
    <t>Receta de barra de mango y limón</t>
  </si>
  <si>
    <t>1 1/2 tasse de farine tout usage (Maida), 1/4 cuillère à café de sel, 1/4 tasse de sucre glace, 1/2 tasse de beurre - à température ambiante, 1 tasse de sucre, 2 cuillères à soupe de farine tout usage (Maida), 4 œufs entiers, 1 1/2 tasse de pulpe de mangue (purée), 1/3 tasse de jus de citron, 1 cuillère à soupe de zeste de citron, 1 cuillère à café d'extrait de vanille</t>
  </si>
  <si>
    <t>1 1/2 cups All Purpose Flour (Maida),1/4 teaspoon Salt,1/4 cup Icing Sugar,1/2 cup Butter - at room temperature,1 cup Sugar,2 tablespoons All Purpose Flour (Maida),4 Whole Eggs,1 1/2 cups Mango Pulp (Puree),1/3 cup Lemon juice,1 tablespoon Lemon zest,1 teaspoon Vanilla Extract</t>
  </si>
  <si>
    <t>1 1/2 tazas de harina para todo uso (Maida), 1/4 cucharadita de sal, 1/4 taza de azúcar glas, 1/2 taza de mantequilla a temperatura ambiente, 1 taza de azúcar, 2 cucharadas de harina para todo uso (Maida), 4 huevos enteros, 1 1/2 tazas de pulpa de mango (puré), 1/3 taza de jugo de limón, 1 cucharada de ralladura de limón, 1 cucharadita de extracto de vainilla</t>
  </si>
  <si>
    <t xml:space="preserve">To begin making the Mango &amp; Lemon Bar Recipe, heat the butter in a heavy bottomed pan, on medium heat, while constantly swirling it, until it turns a deep golden/brown colour.Take care to constantly move the butter around and keep the heat on medium so that the butter does not burn.Cool the butter and chill it for 30 minutes in the freezer until it solidified again. Cut the butter into 8-10 squares.Preheat your oven at 180 degrees C, while you prepare the rest of the ingredients.In a mixing bowl, measure out the flour. Add the sugar and salt to it and mix. Place the cubed, cold butter into the flour mixture and rub it into the flour using your fingers till it resembles bread crumbs.You may alternatively do this in a food processor, by blending together the flour, sugar and salt and then adding in butter and pulsing it a couple of times until the butter is completely incorporated.Once the butter is incorporated into the flour mixture, transfer the mixture into a greased pan layered with parchment paper. Press the flour mixture firmly into the pan, into an even layer, using your fingers.Next, place the tray in the oven and bake the crust/base for about 15 minutes at 180 C, until the edges set and the crust looks slightly browned.While the crust is baking, prepare the filling. To do this, first whisk the sugar and flour together. Then beat in the eggs one by one, followed by the mango puree and lemon juice. Mix everything well until just incorporated.When the crust is baked, take it out of the oven and pour the mango and lemon filling over the hot baked base.Reduce the temperature of the oven to 160 C and return the pan to oven. This time around, bake it for 22-24 minutes, until the filling is set.Take the lemon bars out of the oven and set it aside to cool completely. You may also do this by placing the pan in the fridge. Then, using a damp knife, slice baked dish into bars, so you get even edges and serve them chilled.Serve the Mango &amp; Lemon Bars for your next Tea party along with Potato Basil Fritters Recipe and Masala Chai  or to pack as a special treat in your child’s snack box.
</t>
  </si>
  <si>
    <t>Para empezar a preparar la receta de la Barra de Mango y Limón, calienta la mantequilla en una sartén de fondo grueso a fuego medio, revolviéndola constantemente, hasta que adquiera un color dorado intenso. Remueve la mantequilla constantemente y mantén el fuego medio para que no se queme. Enfría la mantequilla y guárdala en el congelador durante 30 minutos hasta que se solidifique. Corta la mantequilla en 8-10 cuadrados. Precalienta el horno a 180 °C mientras preparas el resto de los ingredientes. En un bol, mide la harina. Añade el azúcar y la sal y mezcla. Incorpora la mantequilla fría cortada en cubos a la mezcla de harina y frótala con los dedos hasta que parezca pan rallado. También puedes hacerlo en un procesador de alimentos, mezclando la harina, el azúcar y la sal, y luego añadiendo la mantequilla y pulsando un par de veces hasta que se integre por completo. Una vez que la mantequilla se haya incorporado a la mezcla de harina, transfiere la mezcla a un molde engrasado con papel vegetal. Presiona la mezcla de harina firmemente en el molde, formando una capa uniforme con los dedos. Luego, coloca el molde en el horno y hornea la base durante unos 15 minutos a 180 °C, hasta que los bordes se endurezcan y la base se vea ligeramente dorada. Mientras se hornea la base, prepara el relleno. Para ello, primero bate el azúcar y la harina. Luego, incorpora los huevos uno a uno, seguidos del puré de mango y el jugo de limón. Mezcla todo bien hasta que se integre. Cuando la base esté horneada, sácala del horno y vierte el relleno de mango y limón sobre la base horneada caliente. Reduce la temperatura del horno a 160 °C y vuelve a colocar el molde en el horno. Esta vez, hornea durante 22-24 minutos, hasta que el relleno esté cuajado. Retira las barras de limón del horno y déjalas enfriar por completo. También puedes hacerlo colocando el molde en el refrigerador. Luego, con un cuchillo húmedo, corte el plato horneado en barras, de modo que los bordes queden parejos, y sírvalas frías. Sirva las barras de mango y limón en su próxima fiesta de té junto con la receta de buñuelos de papa y albahaca y Masala Chai, o para empacar como un obsequio especial en la caja de refrigerios de su hijo.</t>
  </si>
  <si>
    <t>Pour préparer la recette de la barre mangue-citron, faites chauffer le beurre dans une poêle à fond épais, à feu moyen, en le remuant constamment, jusqu'à ce qu'il prenne une couleur dorée/brune foncée. Veillez à remuer constamment le beurre et à maintenir le feu moyen pour éviter qu'il ne brûle. Laissez refroidir le beurre et placez-le au congélateur pendant 30 minutes jusqu'à ce qu'il se solidifie. Coupez-le en 8 à 10 carrés. Préchauffez votre four à 180 °C pendant que vous préparez le reste des ingrédients. Dans un saladier, mesurez la farine. Ajoutez le sucre et le sel et mélangez. Ajoutez le beurre froid coupé en dés au mélange de farine et frottez-le avec les doigts jusqu'à obtenir une consistance de chapelure. Vous pouvez également utiliser un robot culinaire en mélangeant la farine, le sucre et le sel, puis en ajoutant le beurre en le mixant plusieurs fois jusqu'à ce qu'il soit complètement incorporé. Une fois le beurre incorporé, transférez le mélange dans un moule graissé recouvert de papier sulfurisé. Pressez fermement le mélange de farine dans le moule, en une couche uniforme, avec les doigts. Enfournez ensuite la plaque et faites cuire la pâte pendant environ 15 minutes à 180 °C, jusqu'à ce que les bords soient pris et que la pâte soit légèrement dorée. Pendant la cuisson, préparez la garniture. Pour cela, fouettez d'abord le sucre et la farine. Incorporez ensuite les œufs un à un, puis la purée de mangue et le jus de citron. Mélangez bien jusqu'à ce que le tout soit bien incorporé. Une fois la pâte cuite, sortez-la du four et versez la garniture mangue-citron sur la pâte chaude. Baissez la température du four à 160 °C et remettez le moule au four. Cette fois, faites cuire pendant 22 à 24 minutes, jusqu'à ce que la garniture soit prise. Sortez les barres au citron du four et laissez-les refroidir complètement. Vous pouvez également placer le moule au réfrigérateur. Ensuite, à l'aide d'un couteau humide, coupez le plat cuit en barres, de manière à obtenir des bords réguliers et servez-les frais. Servez les barres à la mangue et au citron pour votre prochain goûter avec la recette de beignets de pommes de terre au basilic et le Masala Chai ou pour les emporter comme friandise spéciale dans la boîte à goûter de votre enfant.</t>
  </si>
  <si>
    <t>https://www.archanaskitchen.com/mango-lemon-bar-recipe</t>
  </si>
  <si>
    <t>Muesli Chia Seed and Dry Fruit Jar Recipe</t>
  </si>
  <si>
    <t>Rezept für Müsli im Glas mit Chiasamen und Trockenfrüchten</t>
  </si>
  <si>
    <t>Recette de muesli en verre aux graines de chia et fruits secs</t>
  </si>
  <si>
    <t>Receta de muesli en vaso con semillas de chía y frutos secos</t>
  </si>
  <si>
    <t>100 grammes de muesli, 50 grammes de graines de chia - trempées dans ½ tasse d'eau, 1/2 tasse de caillé (dahi / yaourt), 1 cuillère à café de poudre de cannelle (dalchini), 2 bananes mûres - tranchées, 1 cuillère à soupe de miel, sel - au goût, 1 cuillère à soupe de pruneaux - hachés, 1 cuillère à soupe de canneberges, 1 cuillère à soupe de poudre d'Anardana (poudre de graines de grenade)</t>
  </si>
  <si>
    <t>100 grams Muesli,50 grams Chia Seeds - soaked in ½ cup water,1/2 cup Curd (Dahi / Yogurt),1 teaspoon Cinnamon Powder (Dalchini),2 Ripe Bananas - sliced,1 tablespoon Honey,Salt - to taste,1 tablespoon Prunes - chopped,1 tablespoon Cranberries,1 tablespoon Anardana Powder (Pomegranate Seed Powder)</t>
  </si>
  <si>
    <t>100 gramos de muesli, 50 gramos de semillas de chía remojadas en ½ taza de agua, 1/2 taza de cuajada (dahi/yogur), 1 cucharadita de canela en polvo (dalchini), 2 plátanos maduros en rodajas, 1 cucharada de miel, sal al gusto, 1 cucharada de ciruelas pasas picadas, 1 cucharada de arándanos rojos, 1 cucharada de anardana en polvo (polvo de semilla de granada)</t>
  </si>
  <si>
    <t xml:space="preserve">We begin making the Muesli Chia Seed and Dry Fruit Jar Recipe by soaking the chia seeds in water for 10 minutes and then mix it along with yogurt and tablespoon of honey and cinnamon powder. Keep it in the refrigerator to set.Take a jar, add a heap tablespoon of chia seeds mixed with yogurt, and then drop in the muesli and finally some chopped dry fruits. Repeat the process till reach the top of your jar.Serve the Muesli Chia Seed and Dry Fruit Jar Recipe as a Healthy Breakfast or as a Snack after school to your kids.
</t>
  </si>
  <si>
    <t>Comenzamos preparando la receta de Muesli con Semillas de Chía y Frutos Secos en Tarro remojando las semillas de chía en agua durante 10 minutos y luego mezclándolas con yogur, una cucharada de miel y canela en polvo. Reservamos en el refrigerador para que cuaje. En un frasco, agregamos una cucharada colmada de semillas de chía mezcladas con yogur, luego el muesli y, por último, algunos frutos secos picados. Repetimos el proceso hasta llenar el frasco. Sirve la receta de Muesli con Semillas de Chía y Frutos Secos en Tarro como un desayuno saludable o como refrigerio después de la escuela para tus hijos.</t>
  </si>
  <si>
    <t>Pour préparer le muesli aux graines de chia et aux fruits secs, faites tremper les graines de chia dans de l'eau pendant 10 minutes, puis mélangez-les avec du yaourt, une cuillère à soupe de miel et de cannelle en poudre. Laissez reposer au réfrigérateur. Prenez un bocal, ajoutez une cuillère à soupe bombée de graines de chia mélangées à du yaourt, puis ajoutez le muesli et quelques fruits secs hachés. Répétez l'opération jusqu'au bord du bocal. Servez le muesli aux graines de chia et aux fruits secs comme petit-déjeuner sain ou comme goûter après l'école à vos enfants.</t>
  </si>
  <si>
    <t>https://www.archanaskitchen.com/muesli-chia-seed-and-dry-fruit-jar-recipe</t>
  </si>
  <si>
    <t>Beet Quinoa Sliders Recipe</t>
  </si>
  <si>
    <t>Rezept für Rote-Bete-Quinoa-Slider</t>
  </si>
  <si>
    <t>Recette de mini-burgers à la betterave et au quinoa</t>
  </si>
  <si>
    <t>Receta de mini hamburguesas de remolacha y quinoa</t>
  </si>
  <si>
    <t>250 grammes de patate douce, 1/2 tasse de quinoa, 1 cuillère à café de cumin en poudre (Jeera), 100 grammes de tofu ferme et émietté, 1 tasse de betterave râpée, 1 oignon finement haché, 1/2 tasse de noix légèrement grillées et grossièrement moulues, 3 cuillères à soupe de chapelure de blé entier, 2 cuillères à soupe de feuilles de coriandre hachées, 1 cuillère à café de piment rouge en poudre, 1/2 cuillère à café de poivre noir en poudre, 2 cuillères à café de feuilles de persil sèches, 1/2 cuillère à café d'origan séché, 1/2 cuillère à café de feuilles de basilic séchées, 4 gousses d'ail finement hachées, 2 cuillères à soupe de jus de citron, 1 cuillère à soupe de sauce au piment rouge, sel au besoin, 8 pains à hamburger complets, mayonnaise classique (avec œuf) au besoin, sauce moutarde au besoin, 16 jalapeños marinés, laitue iceberg au besoin (laitue/épinards), 2 avocats tranchés, supplément Huile d'olive vierge - selon les besoins</t>
  </si>
  <si>
    <t>250 grams Sweet Potato,1/2 cup Quinoa,1 teaspoon Cumin powder (Jeera),100 grams Tofu - firm and crumbled,1 cup Beetroot - grated,1 Onion - finely chopped,1/2 cup Walnuts - lightly toasted and coarsely ground,3 tablespoons Whole Wheat Bread crumbs,2 tablespoons Coriander (Dhania) Leaves - chopped,1 teaspoon Red Chilli powder,1/2 teaspoon Black pepper powder,2 teaspoons Parsley leaves - dry,1/2 teaspoon Dried oregano,1/2 teaspoon Dried basil leaves,4 cloves Garlic - finely chopped,2 tablespoons Lemon juice,1 tablespoon Red Chilli sauce,Salt - as required,8 Burger buns - whole wheat,Classic Mayonnaise (With Egg) - as required,Mustard sauce - as required,16 Pickled Jalapenos - pickles,Iceberg lettuce - as needed (lettuce/spinach),2 Avocados - sliced,Extra Virgin Olive Oil - as needed</t>
  </si>
  <si>
    <t>250 gramos de batata, 1/2 taza de quinoa, 1 cucharadita de comino en polvo (Jeera), 100 gramos de tofu - firme y desmenuzado, 1 taza de remolacha - rallada, 1 cebolla - finamente picada, 1/2 taza de nueces - ligeramente tostadas y molidas gruesas, 3 cucharadas de pan rallado integral, 2 cucharadas de hojas de cilantro (Dhania) - picadas, 1 cucharadita de chile rojo en polvo, 1/2 cucharadita de pimienta negra en polvo, 2 cucharaditas de hojas de perejil - secas, 1/2 cucharadita de orégano seco, 1/2 cucharadita de hojas de albahaca secas, 4 dientes de ajo - finamente picados, 2 cucharadas de jugo de limón, 1 cucharada de salsa de chile rojo, sal - al gusto, 8 panecillos de hamburguesa - integrales, mayonesa clásica (con huevo) - al gusto, salsa de mostaza - al gusto, 16 jalapeños encurtidos - encurtidos, lechuga iceberg - al gusto (lechuga/espinaca), 2 aguacates - en rodajas, aceite de oliva virgen extra - según sea necesario</t>
  </si>
  <si>
    <t xml:space="preserve">To begin making the Beet Quinoa Sliders recipe, we will first cook the quinoa in a pressure cooker. First rinse the quinoa well under running water. Place quinoa along with 1 cup of water in the pan of the pressure cooker.Keep the weight on, cover the pressure cooker. Cook on medium high heat and after the first whistle turn the heat to low. Once you turn the heat to low, simmer for 3 minutes.After 3 minutes, turn off the heat and allow the pressure to release naturally and then open the pressure. Fluff up the quinoa and keep it aside.Next we will pressure cook the sweet potatoes. Wash and peel the sweet potato. Chop into chunks and add it into a pressure cooker. Add 1/2 cup of water. Place the lid on the pressure cooker pan with its weight placed on it and allow it to cook until you hear 4 whistles.After 4 whistles, turn off the heat and allow the pressure to release naturally. After the pressure has released remove the potatoes from the pressure cooker. Let them cool and mash and keep aside.In a pan add some oil, the onions and garlic and saute until the onions caramelised. After the onions have caramelized add the grated beetroot and saute till the moisture evaporates. Turn off the heat and allow to cool.To make the Beet Quinoa Burger PattyTransfer the cooled onions and beetroot into a large mixing bowl along with the mashed sweet potato and cooked quinoa. Add all the other ingredients as well like the cumin powder, tofu, walnuts, bread crumbs, coriander leaves, red chilli powder, black pepper powder, dry parsley leaves, dried oregano, dried basil leaves, lemon juice, red chilli sauce and salt to taste. Mix well to combine. Divide the mixture into 8 portions and shape them like a burger and lay them on a lined tray and rest it in the refrigerator for at least 1 hour so the flavours are absorbed into the patties.After one hour into a preheated pan add some oil. Once the oil is hot place the burger patties on the pan and pan fry them till golden brown on both sides. Remove when done and let it cool.To assemble the Beet quinoa slidersSlice the buns into half.Take one half of the bun and spread mayonnaise, mustard. Layer with. lettuce, pickled jalapenos and avocados. Place a beet quinoa patty on top and close with the other slice of bun and serve. If avocados are not available you can add sliced onions and tomatoes as well. Serve Beet Quinoa Sliders with a glass of chilled Pomegranate Mint Cocktail Recipe for a house party or weekend dinner.
</t>
  </si>
  <si>
    <t>Para comenzar a hacer la receta de Sliders de quinoa y remolacha, primero cocinaremos la quinoa en una olla a presión. Primero enjuague bien la quinoa bajo el chorro de agua. Coloque la quinoa junto con 1 taza de agua en la olla a presión. Mantenga el peso puesto, cubra la olla a presión. Cocine a fuego medio alto y después del primer silbido baje el fuego a bajo. Una vez que baje el fuego, cocine a fuego lento durante 3 minutos. Después de 3 minutos, apague el fuego y deje que la presión se libere naturalmente y luego abra la presión. Esponje la quinoa y déjela a un lado. A continuación, cocinaremos a presión las batatas. Lave y pele la batata. Córtela en trozos y agréguela a una olla a presión. Agregue 1/2 taza de agua. Coloque la tapa en la olla a presión con su peso colocado sobre ella y deje que se cocine hasta que escuche 4 silbidos. Después de 4 silbidos, apague el fuego y deje que la presión se libere naturalmente. Después de que se haya liberado la presión, retira las patatas de la olla a presión. Déjalas enfriar, haz un puré y reserva. En una sartén, añade un poco de aceite, las cebollas y el ajo y saltea hasta que las cebollas se caramelicen. Después de que las cebollas se hayan caramelizado, añade la remolacha rallada y saltea hasta que la humedad se evapore. Apaga el fuego y deja enfriar. Para hacer la hamburguesa de remolacha y quinoa, transfiere las cebollas y la remolacha enfriadas a un tazón grande junto con el puré de batata y la quinoa cocida. Agrega todos los demás ingredientes, así como el comino en polvo, el tofu, las nueces, el pan rallado, las hojas de cilantro, el chile rojo en polvo, la pimienta negra en polvo, las hojas de perejil seco, el orégano seco, las hojas de albahaca seca, el jugo de limón, la salsa de chile rojo y sal al gusto. Mezcla bien para combinar. Divide la mezcla en 8 porciones y dales forma de hamburguesa. Colócalas en una bandeja forrada y déjalas reposar en el refrigerador durante al menos 1 hora para que los sabores se absorban en las hamburguesas. Después de una hora, en una sartén precalentada, agrega un poco de aceite. Una vez que el aceite esté caliente, coloca las hamburguesas en la sartén y fríelas hasta que estén doradas por ambos lados. Retíralas cuando estén listas y déjalas enfriar. Para armar las hamburguesas de quinoa y remolacha: Corta los panecillos por la mitad. Toma una mitad del pan y unta mayonesa y mostaza. Coloca una capa de lechuga, jalapeños encurtidos y aguacates. Coloca una hamburguesa de quinoa y remolacha encima y cierra con la otra rebanada de pan y sirve. Si no tienes aguacates, puedes agregar cebollas y tomates en rodajas. Sirve las hamburguesas de quinoa y remolacha con un vaso de cóctel de menta y granada frío para una fiesta en casa o una cena de fin de semana.</t>
  </si>
  <si>
    <t>Pour commencer à préparer la recette des Sliders au Quinoa et à la Betterave, nous allons d'abord cuire le quinoa dans un autocuiseur. Rincez d'abord bien le quinoa sous l'eau courante. Placez le quinoa avec 1 tasse d'eau dans la casserole de l'autocuiseur. Gardez le poids, couvrez l'autocuiseur. Cuire à feu moyen-vif et après le premier sifflement, baissez le feu. Une fois le feu bas, laissez mijoter pendant 3 minutes. Après 3 minutes, éteignez le feu et laissez la pression se relâcher naturellement, puis ouvrez la pression. Égrainez le quinoa et réservez-le. Ensuite, nous allons cuire les patates douces sous pression. Lavez et épluchez la patate douce. Coupez-la en morceaux et ajoutez-la dans un autocuiseur. Ajoutez 1/2 tasse d'eau. Placez le couvercle sur la casserole de l'autocuiseur avec son poids placé dessus et laissez cuire jusqu'à ce que vous entendiez 4 sifflements. Après 4 sifflements, éteignez le feu et laissez la pression se relâcher naturellement. Une fois la pression relâchée, retirez les pommes de terre de l'autocuiseur. Laissez-les refroidir, écrasez-les et réservez. Dans une poêle, ajoutez un peu d'huile, les oignons et l'ail et faites revenir jusqu'à ce que les oignons soient caramélisés. Une fois les oignons caramélisés, ajoutez la betterave râpée et faites revenir jusqu'à ce que l'humidité s'évapore. Éteignez le feu et laissez refroidir. Pour préparer le steak haché au quinoa et à la betterave, transférez les oignons et la betterave refroidis dans un grand saladier avec la purée de patate douce et le quinoa cuit. Ajoutez tous les autres ingrédients comme la poudre de cumin, le tofu, les noix, la chapelure, les feuilles de coriandre, la poudre de piment rouge, la poudre de poivre noir, les feuilles de persil séchées, l'origan séché, les feuilles de basilic séchées, le jus de citron, la sauce au piment rouge et le sel au goût. Mélangez bien. Divisez le mélange en 8 portions et façonnez-les comme un hamburger, puis disposez-les sur une plaque recouverte de papier sulfurisé et laissez-les reposer au réfrigérateur pendant au moins 1 heure afin que les saveurs soient absorbées par les galettes. Après une heure, dans une poêle préchauffée, ajoutez un peu d'huile. Une fois l'huile chaude, placez les galettes de burger dans la poêle et faites-les dorer des deux côtés. Retirez-les une fois cuits et laissez-les refroidir. Pour assembler les mini-burgers au quinoa et à la betterave, coupez les pains en deux. Prenez une moitié du pain et tartinez-la de mayonnaise et de moutarde. Ajoutez ensuite de la laitue, des jalapeños marinés et des avocats. Placez une galette de quinoa et de betterave dessus, fermez avec l'autre tranche de pain et servez. Si vous n'avez pas d'avocats, vous pouvez également ajouter des oignons et des tomates émincés. Servez les mini-burgers au quinoa et à la betterave avec un verre de cocktail à la grenade et à la menthe bien frais pour une fête à la maison ou un dîner de week-end.</t>
  </si>
  <si>
    <t>https://www.archanaskitchen.com/beet-quinoa-sliders-recipe</t>
  </si>
  <si>
    <t>Chicken In Lemon Butter Sauce Recipe</t>
  </si>
  <si>
    <t>Rezept für Hühnchen in Zitronenbuttersoße</t>
  </si>
  <si>
    <t>Recette de poulet à la sauce au beurre citronné</t>
  </si>
  <si>
    <t>Receta de pollo con mantequilla y limón</t>
  </si>
  <si>
    <t>1 poitrine de poulet coupée en deux, 1/2 jus de citron, sel et poivre pour l'assaisonnement, 1 oignon émincé, 4 gousses d'ail hachées, 1 cuillère à café de miel, 1 jus de citron, 2 cuillères à soupe de beurre, 3 brins d'origan frais, 1/4 tasse de crème fraîche, 1/4 tasse de parmesan, 1 cuillère à café de farine de maïs, sel et poivre au goût</t>
  </si>
  <si>
    <t>1 Chicken breasts - cut into two pieces,1/2 Lemon juice,Salt and Pepper - for seasoning,1 Onion - sliced,4 cloves Garlic - chopped,1 teaspoon Honey,1 Lemon juice,2 tablespoon Butter,3 sprig Fresh oregano,1/4 cup Fresh cream,1/4 cup Parmesan cheese,1 teaspoon Corn flour,Salt and Pepper - to taste</t>
  </si>
  <si>
    <t>1 pechuga de pollo cortada en dos trozos, jugo de 1/2 limón, sal y pimienta para condimentar, 1 cebolla en rodajas, 4 dientes de ajo picados, 1 cucharadita de miel, jugo de 1 limón, 2 cucharadas de mantequilla, 3 ramitas de orégano fresco, 1/4 taza de crema fresca, 1/4 taza de queso parmesano, 1 cucharadita de harina de maíz, sal y pimienta al gusto</t>
  </si>
  <si>
    <t xml:space="preserve">To begin making the Chicken in Lemon Butter Sauce Recipe, we will first marinade the chicken breast in a bowl.Add lemon juice, salt and place the pieces of Chicken in it.  Mix everything well and rest the chicken pieces for at least 30 minutes.After marinating, heat a skillet with butter. Place the Chicken breast and slightly press so that the breast piece is charred well.After 10 minutes flip it on the other side and cook again for 10 more minutes.Once done, take the chicken out and in the same pan, add one more tablespoon of butter, add onions and saute till they turn translucent .Once the onions are translucent, add in the chopped garlic and saute till they soften. Squeeze in lemon juice, fresh oregano, parmesan cheese, honey and stir well for some time.Finally, add cream and 1/2 cup water mixed with corn flour and bring it to a boil. Finally add seasonings and adjust according to your palate.Add this sauce on the chicken and serve hot.Serve the Chicken in Lemon Butter Sauce Recipe along with Garlic Bread/Bun and Light And Creamy Broccoli Soup by the side to make it a complete meal. You can also serve it with Steamed Rice.
</t>
  </si>
  <si>
    <t>Para comenzar a hacer la Receta de Pollo en Salsa de Mantequilla de Limón, primero marinaremos la pechuga de pollo en un tazón. Agregue jugo de limón, sal y coloque los trozos de pollo en él. Mezcle todo bien y deje reposar los trozos de pollo durante al menos 30 minutos. Después de marinar, caliente una sartén con mantequilla. Coloque la pechuga de pollo y presione ligeramente para que la pieza de pechuga se dore bien. Después de 10 minutos, dale la vuelta y cocina de nuevo durante 10 minutos más. Una vez hecho esto, saque el pollo y en la misma sartén, agregue una cucharada más de mantequilla, agregue las cebollas y saltee hasta que se vuelvan translúcidas. Una vez que las cebollas estén translúcidas, agregue el ajo picado y saltee hasta que se ablanden. Exprima el jugo de limón, el orégano fresco, el queso parmesano, la miel y revuelva bien durante un tiempo. Finalmente, agregue la crema y 1/2 taza de agua mezclada con harina de maíz y llévela a ebullición. Finalmente, añade los condimentos y ajusta a tu gusto. Agrega esta salsa al pollo y sirve caliente. Sirve la receta de pollo en salsa de mantequilla y limón junto con pan o bollo de ajo y una sopa de brócoli ligera y cremosa como acompañamiento para completar la comida. También puedes servirla con arroz al vapor.</t>
  </si>
  <si>
    <t>Pour commencer à préparer la recette de poulet à la sauce au beurre citronné, nous allons d'abord faire mariner la poitrine de poulet dans un bol. Ajoutez le jus de citron, le sel et placez-y les morceaux de poulet. Mélangez bien le tout et laissez reposer les morceaux de poulet pendant au moins 30 minutes. Après la marinade, faites chauffer une poêle avec du beurre. Placez la poitrine de poulet et appuyez légèrement pour que le morceau de poitrine soit bien carbonisé. Après 10 minutes, retournez-le de l'autre côté et faites cuire à nouveau pendant 10 minutes supplémentaires. Une fois terminé, sortez le poulet et dans la même poêle, ajoutez une cuillère à soupe de beurre supplémentaire, ajoutez les oignons et faites revenir jusqu'à ce qu'ils deviennent translucides. Une fois les oignons translucides, ajoutez l'ail haché et faites revenir jusqu'à ce qu'ils ramollissent. Pressez le jus de citron, l'origan frais, le parmesan, le miel et remuez bien pendant un certain temps. Enfin, ajoutez la crème et 1/2 tasse d'eau mélangée à de la farine de maïs et portez à ébullition. Enfin, assaisonnez et ajustez selon votre goût. Versez cette sauce sur le poulet et servez chaud. Servez la recette de poulet au beurre citronné avec du pain à l'ail et une soupe légère et crémeuse au brocoli pour un repas complet. Vous pouvez également le servir avec du riz vapeur.</t>
  </si>
  <si>
    <t>http://www.archanaskitchen.com/chicken-in-lemon-butter-sauce-recipe</t>
  </si>
  <si>
    <t>Ajo Blanco Recipe (Chilled White Grape and Almond Gazpacho)</t>
  </si>
  <si>
    <t>Ajo Blanco-Rezept (gekühltes Gazpacho aus weißen Trauben und Mandeln)</t>
  </si>
  <si>
    <t>Recette d'Ajo Blanco (gaspacho glacé à base de raisins blancs et d'amandes)</t>
  </si>
  <si>
    <t>Receta de Ajo Blanco (gazpacho helado elaborado con uvas blancas y almendras)</t>
  </si>
  <si>
    <t>1/2 tasse de Badam (amandes) blanchies, 1/2 tasse de glaçons pour blanchir les amandes, 1 gousse d'ail, 2 pains bruns de blé entier, 1 tasse de raisins verts sans pépins, 1 tasse de tranches de concombre, 1 tasse d'eau glacée (ou jus de raisin blanc), 1/2 tasse d'huile d'olive extra vierge, 1 cuillère à soupe de feuilles de persil, 2 cuillères à soupe de vinaigre de vin blanc ou de vinaigre de Xérès, 1/2 cuillère à café de sel, 1/2 cuillère à café de poivre noir en poudre, Badam (amandes) selon les besoins pour la garniture, raisins verts sans pépins selon les besoins pour la garniture</t>
  </si>
  <si>
    <t>1/2 cup Badam (Almond) - blanched,1/2 cup Ice cubes - for blanching the almonds,1 clove Garlic,2 Whole Wheat Brown Bread - white bread,1 cup Green seedless Grapes,1 cup Cucumber - slices,1 cup Chilled water - (or white grape juice),1/2 cup Extra Virgin Olive Oil,1 tablespoon Parsley leaves,2 tablespoons White wine vinegar - or sherry vinegar,1/2 teaspoon Salt,1/2 teaspoon Black pepper powder,Badam (Almond) - as required for garnish,Green seedless Grapes - as required for garnish</t>
  </si>
  <si>
    <t>1/2 taza de Badam (almendra) - blanqueada, 1/2 taza de cubitos de hielo - para blanquear las almendras, 1 diente de ajo, 2 panes integrales - pan blanco, 1 taza de uvas verdes sin semillas, 1 taza de pepino - rodajas, 1 taza de agua fría - (o jugo de uva blanca), 1/2 taza de aceite de oliva virgen extra, 1 cucharada de hojas de perejil, 2 cucharadas de vinagre de vino blanco - o vinagre de jerez, 1/2 cucharadita de sal, 1/2 cucharadita de pimienta negra en polvo, Badam (almendra) - lo necesario para decorar, uvas verdes sin semillas - lo necesario para decorar</t>
  </si>
  <si>
    <t xml:space="preserve">To begin making the Ajo Blanco recipe, peel and slice the cucumber and mince the parsley. Select white bread that is about a day old, remove the crust and tear to pieces.On the other side blanch the almonds and reserve a few for the garnish.Place the unsalted almonds in a pan of boiling water for 60 -120 seconds.Remove from the hot water and rinse immediately for a few seconds in water and ice.Rub away the almond peel with your fingers or a napkin. Dry the almonds completely on a clean napkin and set aside till required. Our almonds are blanched now.Grind the rest of the blanched almonds in a food processor, into powder.Soak the bread for about 30 seconds in just enough water to cover it, squeeze lightly and add to the almond powder in the food processor.Add the garlic, cucumber, grapes, parsley and vinegar into the food processor. Run the processor for 30 seconds.Add the olive oil and half the cold water, the salt and pepper and run the processor till the soup is blended. You may need to blend it in batches, as the liquids may overflow during processing.Add as much of the rest of the cold water as required for the soup to attain a fluid but creamy consistency.I like a little texture in my soups, so that they don't turn out like smoothies, and I added a few grapes and almonds in the end, running the processor for just 10 seconds.Remove the soup from the processor and chill it, covered, in the fridge, for at least an hour, until ready to serve.Serve cold, garnished with slices of grape, sliced almonds and extra virgin olive oil drizzled on top.Serve Ajo Blanco along with Penne Pasta Arrabiata and Garlic Bread for a weekend dinner with your friends.
</t>
  </si>
  <si>
    <t>Para empezar a preparar la receta de Ajo Blanco, pela y corta el pepino en rodajas y pica el perejil. Elige pan blanco de un día, quítale la corteza y desmenúzalo. Por otro lado, blanquea las almendras y reserva algunas para decorar. Coloca las almendras sin sal en una olla con agua hirviendo durante 60-120 segundos. Retíralas del agua caliente y enjuágalas inmediatamente durante unos segundos con agua y hielo. Frota la cáscara de las almendras con los dedos o una servilleta. Seca las almendras completamente con una servilleta limpia y reserva hasta que las necesites. Nuestras almendras ya están blanqueadas. Muele el resto de las almendras blanqueadas en un procesador de alimentos hasta convertirlas en polvo. Remoja el pan durante unos 30 segundos en agua suficiente para cubrirlo, exprímelo ligeramente y añádelo al polvo de almendras en el procesador de alimentos. Agrega el ajo, el pepino, las uvas, el perejil y el vinagre al procesador de alimentos. Procesa durante 30 segundos. Agrega el aceite de oliva y la mitad del agua fría, la sal y la pimienta, y procesa hasta que la sopa esté bien integrada. Quizás tengas que procesarla en tandas, ya que los líquidos podrían desbordarse durante el procesamiento. Agrega la cantidad de agua fría restante necesaria para que la sopa adquiera una consistencia fluida pero cremosa. Me gusta que mis sopas tengan un poco de textura, para que no queden como batidos, y añadí unas uvas y almendras al final, procesando el procesador solo 10 segundos. Retira la sopa del procesador y enfríala, tapada, en el refrigerador, durante al menos una hora, hasta que esté lista para servir. Sírvela fría, adornada con rodajas de uva, almendras fileteadas y un chorrito de aceite de oliva virgen extra por encima. Sirve Ajo Blanco junto con Pasta Penne Arrabiata y Pan de Ajo para una cena de fin de semana con tus amigos.</t>
  </si>
  <si>
    <t>Pour commencer la recette de l'Ajo Blanco, épluchez et coupez le concombre en rondelles et hachez le persil. Choisissez du pain blanc de la veille, retirez la croûte et déchirez-le en morceaux. Blanchissez les amandes de l'autre côté et réservez-en quelques-unes pour la garniture. Plongez les amandes non salées dans une casserole d'eau bouillante pendant 60 à 120 secondes. Retirez-les de l'eau chaude et rincez-les immédiatement quelques secondes à l'eau glacée. Frottez la peau des amandes avec vos doigts ou un mouchoir en papier. Séchez soigneusement les amandes sur un mouchoir propre et réservez jusqu'à utilisation. Nos amandes sont maintenant blanchies. Broyez le reste des amandes blanchies au robot culinaire pour les réduire en poudre. Trempez le pain environ 30 secondes dans juste assez d'eau pour le recouvrir, pressez-le légèrement et ajoutez-le à la poudre d'amandes dans le robot culinaire. Ajoutez l'ail, le concombre, les raisins, le persil et le vinaigre dans le robot culinaire. Faites tourner le robot pendant 30 secondes. Ajoutez l'huile d'olive, la moitié de l'eau froide, le sel et le poivre, puis faites tourner le robot jusqu'à obtenir une soupe homogène. Vous devrez peut-être le mélanger par lots, car les liquides peuvent déborder pendant le traitement. Ajoutez autant d'eau froide restante que nécessaire pour que la soupe atteigne une consistance fluide mais crémeuse. J'aime un peu de texture dans mes soupes, pour qu'elles ne ressemblent pas à des smoothies, et j'ai ajouté quelques raisins et amandes à la fin, en faisant fonctionner le robot pendant seulement 10 secondes. Retirez la soupe du robot et laissez-la refroidir, couverte, au réfrigérateur, pendant au moins une heure, jusqu'au moment de servir. Servez froid, garni de tranches de raisin, d'amandes effilées et d'un filet d'huile d'olive extra vierge. Servez l'Ajo Blanco avec des pâtes Penne Arrabiata et du pain à l'ail pour un dîner de week-end entre amis.</t>
  </si>
  <si>
    <t>http://www.archanaskitchen.com/ajo-blanco-recipe-chilled-white-grape-and-almond-gazpacho</t>
  </si>
  <si>
    <t>Almond Meal Muffins Recipe (Gluten Free and Grain Free)</t>
  </si>
  <si>
    <t>Rezept für Mandelmehl-Muffins (glutenfrei und getreidefrei)</t>
  </si>
  <si>
    <t>Recette de muffins à la farine d'amandes (sans gluten et sans céréales)</t>
  </si>
  <si>
    <t>Receta de Muffins de Harina de Almendras (Sin Gluten ni Granos)</t>
  </si>
  <si>
    <t>1 tasse de poudre d'amandes (Badam Powder), 1 cuillère à soupe de graines de chia ou de graines de lin, 1/4 cuillère à café de cannelle en poudre (Dalchini), 1 cuillère à café de levure chimique, 1/4 cuillère à café de sel, 1/4 tasse de myrtilles ou toute baie disponible localement, 1/4 tasse de framboises fraîches ou toute baie disponible localement, 1/4 tasse de lait (lait d'amande pour les végétaliens), 2 cuillères à soupe d'huile de coco ou d'huile d'amande, 2 cuillères à soupe de miel, 1/2 cuillère à café d'extrait de vanille, 2 œufs entiers battus jusqu'à obtenir une couleur pâle, substitut d'œuf à base de farine de lin (au lieu d'œufs pour la pâtisserie végétalienne)</t>
  </si>
  <si>
    <t>1 cup Almond Meal (Badam Powder),1 tablespoon Chia Seeds - or flax seeds,1/4 teaspoon Cinnamon Powder (Dalchini),1 teaspoon Baking powder,1/4 teaspoon Salt,1/4 cup Blueberries - or any locally available berry,1/4 cup Fresh raspberries - or any locally available berry,1/4 cup Milk - almond milk for vegans,2 tablespoons Coconut Oil - or almond oil,2 tablespoons Honey,1/2 teaspoon Vanilla Extract,2 Whole Eggs - beaten to a pale color,Flaxmeal Egg Replacer - instead of eggs for vegan baking</t>
  </si>
  <si>
    <t>1 taza de harina de almendras (Badam Powder), 1 cucharada de semillas de chía o semillas de lino, 1/4 cucharadita de canela en polvo (Dalchini), 1 cucharadita de levadura en polvo, 1/4 cucharadita de sal, 1/4 taza de arándanos o cualquier baya disponible localmente, 1/4 taza de frambuesas frescas o cualquier baya disponible localmente, 1/4 taza de leche (leche de almendras para veganos), 2 cucharadas de aceite de coco o aceite de almendras, 2 cucharadas de miel, 1/2 cucharadita de extracto de vainilla, 2 huevos enteros batidos hasta obtener un color pálido, sustituto de huevo de harina de lino (en lugar de huevos para repostería vegana)</t>
  </si>
  <si>
    <t xml:space="preserve">To start making Almond Meal Muffins, preheat your oven to 350'F (180 C). If you plan to make this recipe eggless (egg free) then prepare the Flax meal Egg Replacer and keep it aside.Grease your 6 cup muffin tins with some coconut oil or butter or nonstick spray and set aside (use paper liners if you need).In a food processor jar,  add whole milk (or almond milk), coconut oil, honey, and vanilla extract and blend until it is smooth. To the above mixture, add blanched almond flour (meal), chia seeds (or flax seeds), powdered cinnamon, baking soda, salt to the milk mixture and pulse long enough to combine everything together.Add beaten eggs (or the Flax meal Egg Replacer) to this mixture and pulse until it is well incorporated (please do not over mix).Pour the muffin batter to fill 1/3rd of each greased muffin cup. Add few berries and evenly divide the remaining batter among the muffin cups and top with additional berries. Bake the Almond Meal Muffins for about 20 minutes or until a toothpick when pricked in middle of the muffin comes out clean.Cool the Almond Meal Muffins in the tray for 5 minutes. Run through a knife on the sides of each cup and invert them over a plate and serve. Pack Almond Meal Muffins into a school snack box or serve it along with your afternoon masala chai, these are simply delicious.
</t>
  </si>
  <si>
    <t>Para comenzar a hacer Muffins de harina de almendras, precaliente su horno a 350 'F (180 C). Si planea hacer esta receta sin huevo (sin huevo), prepare el sustituto de huevo de harina de lino y déjelo a un lado. Engrase sus moldes para muffins de 6 tazas con un poco de aceite de coco o mantequilla o aerosol antiadherente y reserve (use revestimientos de papel si es necesario). En un frasco de procesador de alimentos, agregue leche entera (o leche de almendras), aceite de coco, miel y extracto de vainilla y mezcle hasta que esté suave. A la mezcla anterior, agregue harina de almendras blanqueadas (harina), semillas de chía (o semillas de lino), canela en polvo, bicarbonato de sodio, sal a la mezcla de leche y pulse lo suficiente para combinar todo junto. Agregue huevos batidos (o el sustituto de huevo de harina de lino) a esta mezcla y pulse hasta que esté bien incorporado (por favor, no mezcle demasiado). Vierta la masa de muffins para llenar 1/3 de cada molde de muffin engrasado. Añade algunas bayas y divide la masa restante uniformemente entre los moldes para muffins y cubre con bayas adicionales. Hornea los muffins de harina de almendras durante unos 20 minutos o hasta que al pinchar un palillo en el centro del muffin, este salga limpio. Deja enfriar los muffins de harina de almendras en la bandeja durante 5 minutos. Pasa un cuchillo por los lados de cada molde, dales la vuelta sobre un plato y sírvelos. Empaca los muffins de harina de almendras en una merienda escolar o sírvelos junto con tu masala chai de la tarde; son simplemente deliciosos.</t>
  </si>
  <si>
    <t>Pour commencer à préparer des muffins à la farine d'amandes, préchauffez votre four à 350 °F (180 °C). Si vous prévoyez de préparer cette recette sans œufs (sans œufs), préparez le substitut d'œuf à la farine de lin et réservez-le. Graissez vos moules à muffins de 6 tasses avec de l'huile de noix de coco, du beurre ou un spray antiadhésif et réservez (utilisez des moules en papier si nécessaire). Dans le bol d'un robot culinaire, ajoutez le lait entier (ou le lait d'amande), l'huile de noix de coco, le miel et l'extrait de vanille et mélangez jusqu'à obtenir une consistance lisse. Au mélange ci-dessus, ajoutez la farine d'amandes blanchies (farine), les graines de chia (ou les graines de lin), la cannelle en poudre, le bicarbonate de soude, le sel au mélange de lait et mélangez suffisamment longtemps pour tout mélanger. Ajoutez les œufs battus (ou le substitut d'œuf à la farine de lin) à ce mélange et mélangez jusqu'à ce qu'il soit bien incorporé (ne mélangez pas trop). Versez la pâte à muffins pour remplir 1/3 de chaque moule à muffins graissé. Ajoutez quelques baies et répartissez uniformément le reste de la pâte dans les moules à muffins et garnissez de baies supplémentaires. Faites cuire les muffins aux amandes pendant environ 20 minutes ou jusqu'à ce qu'un cure-dent piqué au milieu du muffin en ressorte propre. Laissez refroidir les muffins aux amandes dans le plateau pendant 5 minutes. Passez un couteau sur les côtés de chaque moule, retournez-les sur une assiette et servez. Emballez les muffins aux amandes dans une boîte à goûter scolaire ou servez-les avec votre masala chai de l'après-midi, ils sont tout simplement délicieux.</t>
  </si>
  <si>
    <t>https://www.archanaskitchen.com/almond-flour-muffins-gluten-free-and-grain-free-recipe</t>
  </si>
  <si>
    <t>Coffee Banana Oats Smoothie Recipe</t>
  </si>
  <si>
    <t>Rezept für einen Kaffee-Bananen-Hafer-Smoothie</t>
  </si>
  <si>
    <t>Recette de smoothie café-banane-avoine</t>
  </si>
  <si>
    <t>Receta de batido de café, plátano y avena</t>
  </si>
  <si>
    <t>4 cuillères à soupe d'avoine instantanée (gruau) - instantanée, 2 bananes mûres - entières et mûres, 2 tasses de lait - (réfrigéré ou à température ambiante), 1 cuillère à soupe de café instantané en poudre, 1 cuillère à soupe de sucre - facultatif</t>
  </si>
  <si>
    <t>4 tablespoons Instant Oats (Oatmeal) - instant,2 Ripe Bananas - whole ripe,2 cups Milk - (chilled or at room temperature),1 tablespoon Instant Coffee Powder,1 tablespoon Sugar - optional</t>
  </si>
  <si>
    <t>4 cucharadas de avena instantánea (avena) - instantánea, 2 plátanos maduros - maduros y enteros, 2 tazas de leche - (fría o a temperatura ambiente), 1 cucharada de café instantáneo en polvo, 1 cucharada de azúcar - opcional</t>
  </si>
  <si>
    <t xml:space="preserve">To begin making the Coffee Banana Oats Smoothie recipe, take milk into mixture jar, add oats and blend them well.You can use chilled milk or milk at room temperature for this recipe.Then add banana, coffee powder, sugar and blend until smooth and creamy. Your smoothie is ready to serve.Serve Coffee Banana Oats Smoothie along with Grilled Rajma Masala Sandwich for a weekend breakfast.
</t>
  </si>
  <si>
    <t>Para preparar el batido de café, plátano y avena, vierte la leche en un vaso mezclador, añade la avena y licúa bien. Puedes usar leche fría o a temperatura ambiente. Luego, añade el plátano, el café en polvo y el azúcar, y licúa hasta obtener una mezcla suave y cremosa. Tu batido está listo para servir. Sirve el batido de café, plátano y avena con un sándwich de rajma masala a la parrilla para un desayuno de fin de semana.</t>
  </si>
  <si>
    <t>Pour préparer le smoothie café-banane-avoine, versez le lait dans le bol, ajoutez les flocons d'avoine et mixez bien. Vous pouvez utiliser du lait froid ou à température ambiante. Ajoutez ensuite la banane, le café en poudre, le sucre et mixez jusqu'à obtenir une consistance lisse et crémeuse. Votre smoothie est prêt à servir. Servez le smoothie café-banane-avoine avec un sandwich Rajma Masala grillé pour un petit-déjeuner du week-end.</t>
  </si>
  <si>
    <t>http://www.archanaskitchen.com/coffee-banana-oats-smoothie-recipe</t>
  </si>
  <si>
    <t>Broccoli, Paneer &amp; Peanut Sandwich Recipe</t>
  </si>
  <si>
    <t>Rezept für ein Sandwich mit Brokkoli, Paneer und Erdnüssen</t>
  </si>
  <si>
    <t>Recette de sandwich au brocoli, paneer et cacahuètes</t>
  </si>
  <si>
    <t>Receta de sándwich de brócoli, paneer y cacahuete</t>
  </si>
  <si>
    <t>4 pains, 1 brocoli - coupé en petits morceaux, 150 grammes de fromage cottage - coupé en petits morceaux, 4 cuillères à soupe de cacahuètes - coupées en petits morceaux, 4 gousses d'ail - hachées, 2 cuillères à soupe de sauce au piment rouge, 1 cuillère à café de poudre de poivre, sel - selon le goût 2 cuillères à soupe de beurre, huile</t>
  </si>
  <si>
    <t>4 breads, 1 broccoli - cut into small pieces, 150 grams cottage cheese - cut into small pieces, 4 tablespoons peanuts - cut into small pieces, 4 cloves garlic - chopped, 2 tablespoons red chilli sauce, 1 teaspoon pepper powder, salt - as per taste 2 tablespoons butter, oil</t>
  </si>
  <si>
    <t>4 panes, 1 brócoli - cortado en trozos pequeños, 150 gramos de queso cottage - cortado en trozos pequeños, 4 cucharadas de maní - cortado en trozos pequeños, 4 dientes de ajo - picados, 2 cucharadas de salsa de chile rojo, 1 cucharadita de pimienta en polvo, sal - al gusto 2 cucharadas de mantequilla, aceite</t>
  </si>
  <si>
    <t>To make Broccoli, Paneer and Peanut Sandwich Recipe, first take broccoli and add 1 cup hot water in a mixing bowl. Keep it aside for 10 minutes. Heat oil in a pan. Add garlic and cook till it becomes light brown. Now add broccoli and cook for 2 minutes. Now add crumbled paneer, salt, black pepper powder, red chilli sauce and mix it well. After paneer is cooked, turn off the gas and let it cool. Now add peanuts and mix it well. Now preheat the sandwich maker. Now put bread slices in it. Place paneer broccoli mixture in the middle and cover it with another bread. Apply butter and cook the sandwich till it becomes golden brown from both the sides.</t>
  </si>
  <si>
    <t>Para preparar la receta del sándwich de brócoli, paneer y cacahuete, primero tome el brócoli y agregue 1 taza de agua caliente en un tazón. Déjelo reposar durante 10 minutos. Caliente el aceite en una sartén. Agregue el ajo y cocine hasta que se dore ligeramente. Ahora agregue el brócoli y cocine durante 2 minutos. Añada el paneer desmenuzado, la sal, la pimienta negra en polvo, la salsa de chile rojo y mezcle bien. Una vez cocido el paneer, apague el gas y deje enfriar. Agregue el cacahuete y mezcle bien. Ahora precaliente la sandwichera. Coloque rebanadas de pan en ella. Coloque la mezcla de paneer y brócoli en el centro y cúbralo con otro pan. Unte con mantequilla y cocine el sándwich hasta que se dore por ambos lados.</t>
  </si>
  <si>
    <t>Pour préparer un sandwich au brocoli, au paneer et aux cacahuètes, ajoutez 250 ml d'eau chaude dans un saladier. Réservez 10 minutes. Faites chauffer l'huile dans une poêle. Ajoutez l'ail et faites-le dorer. Ajoutez ensuite le brocoli et faites-le cuire 2 minutes. Ajoutez ensuite le paneer émietté, le sel, le poivre noir en poudre, la sauce chili rouge et mélangez bien. Une fois le paneer cuit, coupez le feu et laissez refroidir. Ajoutez les cacahuètes et mélangez bien. Préchauffez l'appareil à sandwich. Placez les tranches de pain dedans. Disposez le mélange de paneer et de brocoli au milieu et recouvrez d'une autre tranche de pain. Beurrez et faites dorer le sandwich des deux côtés.</t>
  </si>
  <si>
    <t>http://www.archanaskitchen.com/broccoli-paneer-peanut-sandwich-recipe-in-hindi</t>
  </si>
  <si>
    <t>Grilled Chicken Salad Recipe</t>
  </si>
  <si>
    <t>Rezept für gegrillten Hühnersalat</t>
  </si>
  <si>
    <t>Recette de salade de poulet grillé</t>
  </si>
  <si>
    <t>Receta de ensalada de pollo a la parrilla</t>
  </si>
  <si>
    <t>4 poitrines de poulet coupées en morceaux de 2,5 cm, 2 cuillères à café d'huile d'olive extra vierge pour la marinade et 2 cuillères à café pour la cuisson du poulet, 10 feuilles de laitue grossièrement hachées, petit morceau de fromage Gouda (facultatif), 1/2 poivron vert haché, 1 concombre haché, 8 amandes rôties et salées, 3 tomates cerises coupées en deux, sel au goût, poivre noir en poudre au goût, 1 cuillère à café de jus de citron, 2 gousses d'ail râpées, 2 brins de persil hachés pour la marinade du poulet, 1 cuillère à café de vinaigre, 1 cuillère à café d'huile d'olive extra vierge, 2 brins de persil, 3 gousses d'ail râpées, sel au goût, flocons de piment rouge au besoin.</t>
  </si>
  <si>
    <t>4 Chicken breasts - cut into 1 inch pieces,2 teaspoons Extra Virgin Olive Oil - for marinating &amp; 2 teaspoon to cook chicken,10 Lettuce leaves - roughly chopped,Gouda cheese - Small piece (optional),1/2 Green Bell Pepper (Capsicum) - chopped,1 Cucumber - chopped,8 Badam (Almond) - roasted &amp; salted,3 Cherry tomatoes - cut into half,Salt - to taste,Black pepper powder - to taste,1 teaspoon Lemon juice,2 cloves Garlic - grated,2 sprig Parsley leaves - thoroughly chopped for marinating the chicken,1 teaspoon Vinegar,1 teaspoon Extra Virgin Olive Oil,2 sprig Parsley leaves,3 cloves Garlic - grated,Salt - to taste,Red Chilli flakes - as required</t>
  </si>
  <si>
    <t>4 pechugas de pollo - cortadas en trozos de 1 pulgada, 2 cucharaditas de aceite de oliva virgen extra - para marinar y 2 cucharaditas para cocinar el pollo, 10 hojas de lechuga - picadas gruesamente, queso Gouda - trozo pequeño (opcional), 1/2 pimiento verde (Capsicum) - picado, 1 pepino - picado, 8 Badam (almendra) - tostado y salado, 3 tomates cherry - cortados por la mitad, sal - al gusto, pimienta negra en polvo - al gusto, 1 cucharadita de jugo de limón, 2 dientes de ajo - rallados, 2 ramitas de hojas de perejil - bien picadas para marinar el pollo, 1 cucharadita de vinagre, 1 cucharadita de aceite de oliva virgen extra, 2 ramitas de hojas de perejil, 3 dientes de ajo - rallados, sal - al gusto, hojuelas de chile rojo - según se requiera</t>
  </si>
  <si>
    <t xml:space="preserve">To begin making the Grilled Chicken Salad recipe, firstly wash and clean the chicken well.To marinate, in a mixing bowl add the chicken breast with salt &amp; pepper, parsley, lime juice, 2 teaspoon olive oil and garlic. Leave it aside for  1 hour.Grill the chicken on a grilling pan on medium heat until well done on both sides. this will take about 10-12 minutes.  Add the remaining olive oil while grilling the chicken and grill it until perfectly cooked.Meanwhile, to make the  vinaigrette’ in a mixing bowl combine - vinegar, olive oil,  parsley, garlic, salt and chilli flakes. Set aside.In a mixing bowl, add the lettuce, cucumber, capsicum, tomatoes, gouda cheese, almonds and toss it along with the vinaigrette.Add in the grilled chicken pieces and cheese.Serve Grilled Chicken Salad on its own or with The best spicy Spaghetti Bolognese for a delicious weekend dinner.
</t>
  </si>
  <si>
    <t>Para comenzar a hacer la receta de ensalada de pollo a la parrilla, primero lava y limpia bien el pollo. Para marinar, en un tazón agrega la pechuga de pollo con sal y pimienta, perejil, jugo de limón, 2 cucharaditas de aceite de oliva y ajo. Déjalo reposar durante 1 hora. Asa el pollo en una sartén para asar a fuego medio hasta que esté bien hecho por ambos lados. Esto tomará unos 10-12 minutos. Agrega el aceite de oliva restante mientras asas el pollo y ásalo hasta que esté perfectamente cocido. Mientras tanto, para hacer la vinagreta, en un tazón combina: vinagre, aceite de oliva, perejil, ajo, sal y hojuelas de chile. Reserva. En un bol, añade la lechuga, el pepino, el pimiento, los tomates, el queso gouda y las almendras y mézclalo con la vinagreta. Agrega los trozos de pollo a la parrilla y el queso. Sirve la ensalada de pollo a la parrilla sola o con los mejores espaguetis a la boloñesa picantes para una deliciosa cena de fin de semana.</t>
  </si>
  <si>
    <t>Pour commencer à préparer la recette de salade de poulet grillé, lavez et nettoyez d'abord bien le poulet. Pour la mariner, dans un saladier, ajoutez la poitrine de poulet avec du sel et du poivre, du persil, du jus de citron vert, 2 cuillères à café d'huile d'olive et de l'ail. Laissez reposer 1 heure. Faites griller le poulet dans une poêle à griller à feu moyen jusqu'à ce qu'il soit bien cuit des deux côtés. Cela prendra environ 10 à 12 minutes. Ajoutez le reste de l'huile d'olive pendant la cuisson du poulet et faites-le griller jusqu'à ce qu'il soit parfaitement cuit. Pendant ce temps, pour préparer la vinaigrette, dans un saladier, mélangez le vinaigre, l'huile d'olive, le persil, l'ail, le sel et les flocons de piment. Réservez. Dans un saladier, ajoutez la laitue, le concombre, le poivron, les tomates, le gouda, les amandes et mélangez avec la vinaigrette. Ajoutez les morceaux de poulet grillé et le fromage. Servez la salade de poulet grillé seule ou avec les meilleurs spaghettis bolognaise épicés pour un délicieux dîner de week-end.</t>
  </si>
  <si>
    <t>https://www.archanaskitchen.com/grilled-chicken-salad-recipe</t>
  </si>
  <si>
    <t>Butternut Squash And Carrot Soup Recipe</t>
  </si>
  <si>
    <t>Rezept für Butternusskürbis-Karottensuppe</t>
  </si>
  <si>
    <t>Recette de soupe à la courge butternut et aux carottes</t>
  </si>
  <si>
    <t>Receta de sopa de calabaza y zanahoria</t>
  </si>
  <si>
    <t>1 courge butternut - pelée et épépinée, 1 oignon - finement haché, 3 carottes (Gajjar) - coupées en dés, 1 branche de céleri, 2 brins de feuilles de coriandre (Dhania) - hachées, 6 feuilles de basilic - pour l'assaisonnement, 4 tasses de bouillon de légumes, 1/2 cuillère à soupe de jus de citron - pressé, 1 cuillère à soupe d'huile d'olive extra vierge, 1 cuillère à soupe de beurre, sel - au goût, 1/2 cuillère à café de grains de poivre noir entiers - fraîchement écrasés, 1 cuillère à soupe de crème fraîche - pour la garniture</t>
  </si>
  <si>
    <t>1 Butternut squash - peeled and seeded,1 Onion - finely chopped,3 Carrots (Gajjar) - diced,1 Stalk Celery,2 sprig Coriander (Dhania) Leaves - chopped,6 Basil leaves - for seasoning,4 cups Vegetable stock,1/2 tablespoon Lemon juice - squeezed,1 tablespoon Extra Virgin Olive Oil,1 tablespoon Butter,Salt - to taste,1/2 teaspoon Whole Black Peppercorns - freshly crushed,1 tablespoon Fresh cream - for garnish</t>
  </si>
  <si>
    <t>1 calabaza moscada - pelada y sin semillas, 1 cebolla - finamente picada, 3 zanahorias (Gajjar) - en cubitos, 1 tallo de apio, 2 ramitas de hojas de cilantro (Dhania) - picadas, 6 hojas de albahaca - para condimentar, 4 tazas de caldo de verduras, 1/2 cucharada de jugo de limón - exprimido, 1 cucharada de aceite de oliva virgen extra, 1 cucharada de mantequilla, sal - al gusto, 1/2 cucharadita de granos de pimienta negra enteros - recién triturados, 1 cucharada de crema fresca - para decorar</t>
  </si>
  <si>
    <t xml:space="preserve">To begin with the Butternut Squash And Carrot Soup we first heat preheat the oven for 10 minutes.Place the butternut squash topped with coriander, basil, and butter in the baking sheet and roast it for 45 minutes till they become soft and tender.Heat oil in a pan over medium heat; add the chopped onions, carrots, and celery and saute for a minute until lightly roasted and softenedAdd in the roasted butternut squash and saute for another 5 minutes until cooked.Sprinkle salt and freshly crushed black pepper.Add the vegetable stock along with this add the lemon juice. Allow it to cool a bit and blend to make a smooth soup.Once done, check the salt and flavours and adjust to suit your taste. Warm the soup again when you are ready to serve.Serve in bowls with fresh cream and garnish with coriander leaves and serve hot.Serve the Butternut Squash And Carrot soup as an appetizer for your dinner along with Spaghetti with Pesto &amp; Parmesan RecipeYou can serve the Butternut Squash And Carrot soup with some  Whole Wheat Rosemary Focaccia Bread.
</t>
  </si>
  <si>
    <t>Para comenzar con la sopa de calabaza y zanahoria, primero precalentamos el horno durante 10 minutos. Colocamos la calabaza cubierta con cilantro, albahaca y mantequilla en la bandeja para hornear y la asamos durante 45 minutos hasta que esté suave y tierna. Calentamos el aceite en una sartén a fuego medio; agregamos las cebollas picadas, las zanahorias y el apio y salteamos durante un minuto hasta que estén ligeramente asados ​​y blandos. Agregamos la calabaza asada y salteamos durante otros 5 minutos hasta que esté cocida. Espolvoreamos sal y pimienta negra recién molida. Agregamos el caldo de verduras junto con este, agregamos el jugo de limón. Dejamos enfriar un poco y mezclamos para hacer una sopa suave. Una vez hecho esto, verificamos la sal y los sabores y ajustamos a tu gusto. Calienta la sopa de nuevo cuando estés listo para servir. Sírvela en tazones con crema fresca y decora con hojas de cilantro. Sírvela caliente. Sirve la sopa de calabaza y zanahoria como aperitivo para la cena junto con la receta de espaguetis con pesto y parmesano. Puedes servir la sopa de calabaza y zanahoria con pan focaccia integral con romero.</t>
  </si>
  <si>
    <t>Pour commencer avec la soupe de courge musquée et de carottes, nous préchauffons d'abord le four pendant 10 minutes. Placez la courge musquée garnie de coriandre, de basilic et de beurre dans la plaque à pâtisserie et faites-la rôtir pendant 45 minutes jusqu'à ce qu'elle devienne tendre et tendre. Faites chauffer l'huile dans une poêle à feu moyen ; ajoutez les oignons, les carottes et le céleri hachés et faites revenir pendant une minute jusqu'à ce qu'ils soient légèrement rôtis et ramollis. Ajoutez la courge musquée rôtie et faites revenir pendant encore 5 minutes jusqu'à ce qu'elle soit cuite. Saupoudrez de sel et de poivre noir fraîchement concassé. Ajoutez le bouillon de légumes avec le jus de citron. Laissez refroidir un peu et mixez pour obtenir une soupe onctueuse. Une fois terminé, vérifiez le sel et les saveurs et ajustez selon votre goût. Réchauffez à nouveau la soupe lorsque vous êtes prêt à servir. Servez dans des bols avec de la crème fraîche et décorez de feuilles de coriandre et servez chaud. Servez la soupe de courge musquée et de carottes en apéritif pour votre dîner avec la recette de spaghettis au pesto et au parmesan. Vous pouvez servir la soupe de courge musquée et de carottes avec du pain focaccia au romarin et au blé entier.</t>
  </si>
  <si>
    <t>https://www.archanaskitchen.com/butternut-squash-and-carrot-soup-recipe</t>
  </si>
  <si>
    <t>Boiled Egg White Sandwich Recipe</t>
  </si>
  <si>
    <t>Rezept für ein Sandwich mit gekochtem Eiweiß</t>
  </si>
  <si>
    <t>Recette de sandwich aux blancs d'œufs durs</t>
  </si>
  <si>
    <t>Receta de sándwich de clara de huevo duro</t>
  </si>
  <si>
    <t>2 œufs entiers - durs, 3 pains bruns de blé entier, 1/2 oignon - coupé en julienne, 1/2 cuillère à café de poivre noir en poudre, 1 fromage - en tranches, 2 cuillères à soupe de beurre, sel - selon les besoins</t>
  </si>
  <si>
    <t>2 Whole Eggs - boiled,3 Whole Wheat Brown Bread,1/2 Onion - julienned,1/2 teaspoon Black pepper powder,1 Cheese - slice,2 tablespoon Butter,Salt - as required</t>
  </si>
  <si>
    <t>2 huevos enteros - cocidos, 3 panes integrales, 1/2 cebolla - cortada en juliana, 1/2 cucharadita de pimienta negra en polvo, 1 queso - rebanada, 2 cucharadas de mantequilla, sal - según se requiera</t>
  </si>
  <si>
    <t xml:space="preserve">To begin making the Boiled Egg White Sandwich, De shell the boiled eggs and separate the egg yolk. Cut the egg whites into small cubes.To a mixing bowl, add the egg white cubes, julienned onions, cheese, black pepper powder and salt. Mix everything well.The next step is to assemble the sandwiches. Apply butter on one side of the bread slices.Take a slice of bread and spread some egg white and onion mixture on it. Top this with another slice of bread.Again spread some more egg white and onion mixture on this. Close this with the third bread slice.Grill the sandwich in a grill pan till the top most bread turns brownish. Cut into triangle and it is ready to be served.Boiled Egg White Sandwich can be served along with Masala Chai or juice, when you have guests in the evening or for kitty parties.
</t>
  </si>
  <si>
    <t>Para empezar a preparar el sándwich de clara de huevo cocida, pela los huevos cocidos y separa las yemas. Corta las claras en cubos pequeños. En un bol, añade los cubos de clara, la cebolla cortada en juliana, el queso, la pimienta negra en polvo y la sal. Mezcla todo bien. El siguiente paso es armar los sándwiches. Unta mantequilla en un lado de las rebanadas de pan. Toma una rebanada de pan y unta un poco de la mezcla de clara de huevo y cebolla. Cúbrela con otra rebanada de pan. Vuelve a untarla con un poco más de la mezcla de clara de huevo y cebolla. Cierra con la tercera rebanada de pan. Asa el sándwich en una parrilla hasta que la parte superior del pan se dore. Córtalo en triángulos y estará listo para servir. El sándwich de clara de huevo cocida se puede servir con Masala Chai o jugo, cuando tengas invitados por la noche o para fiestas de gatitos.</t>
  </si>
  <si>
    <t>Pour commencer à préparer le sandwich aux blancs d'œufs durs, écalez les œufs durs et séparez le jaune. Coupez les blancs d'œufs en petits cubes. Dans un saladier, ajoutez les cubes de blancs d'œufs, les oignons en julienne, le fromage, le poivre noir en poudre et le sel. Bien mélanger le tout. L'étape suivante consiste à assembler les sandwichs. Beurrez un côté des tranches de pain. Prenez une tranche de pain et étalez-y le mélange de blancs d'œufs et d'oignons. Recouvrez d'une autre tranche de pain. Étalez à nouveau le mélange de blancs d'œufs et d'oignons. Refermez avec la troisième tranche de pain. Faites griller le sandwich dans une poêle à griller jusqu'à ce que le dessus du pain brunisse. Coupez en triangle et c'est prêt à être servi. Le sandwich aux blancs d'œufs durs peut être servi avec du Masala Chai ou du jus, lorsque vous recevez des invités le soir ou pour des fêtes de chats.</t>
  </si>
  <si>
    <t>http://www.archanaskitchen.com/boiled-egg-white-sandwich-recipe</t>
  </si>
  <si>
    <t>Watermelon Basil Sei White Tea Recipe</t>
  </si>
  <si>
    <t>Wassermelonen-Basilikum-Weißtee-Rezept – Wassermelonen-Basilikum-Sei-Weißtee-Rezept</t>
  </si>
  <si>
    <t>Recette de thé blanc à la pastèque et au basilic – Recette de thé blanc à la pastèque et au basilic</t>
  </si>
  <si>
    <t>Receta de té blanco de sandía y albahaca – Receta de té blanco de sandía y albahaca</t>
  </si>
  <si>
    <t>2 cuillères à soupe de thé blanc, 2 tasses de jus de pastèque, 1 cuillère à soupe de jus de citron, 2 brins de basilic</t>
  </si>
  <si>
    <t>2 tablespoons white tea, 2 cups watermelon juice, 1 tablespoon lemon juice, 2 sprigs basil</t>
  </si>
  <si>
    <t>2 cucharadas de té blanco, 2 tazas de jugo de sandía, 1 cucharada de jugo de limón, 2 ramitas de albahaca</t>
  </si>
  <si>
    <t>To make Watermelon Basil White Tea Recipe, first take water in a saucepan and let it boil. After boiling, turn off the gas and add white tea to it. Cover and keep it aside for 2 minutes. Now strain the tea and keep it aside to cool. After it cools, add watermelon juice, lemon juice and basil leaves to it. Mix it well. Refrigerate it to chill and serve. Serve Watermelon Basil White Tea Recipe with Roasted Vegetable Tart and Paneer Cheese Puff for your parties.</t>
  </si>
  <si>
    <t>Para preparar la receta de té blanco de sandía y albahaca, primero hierva agua en una cacerola. Después de que hierva, apague el fuego y agregue el té blanco. Tape y deje reposar durante 2 minutos. Luego, cuele el té y déjelo enfriar. Una vez enfriado, agregue jugo de sandía, jugo de limón y hojas de albahaca. Mezcle bien. Refrigere y sirva. Sirva la receta de té blanco de sandía y albahaca con tarta de verduras asadas y hojaldre de queso paneer en sus fiestas.</t>
  </si>
  <si>
    <t>Pour préparer la recette du thé blanc pastèque-basilic, portez de l'eau à ébullition dans une casserole. Après ébullition, coupez le feu et ajoutez le thé blanc. Couvrez et laissez reposer 2 minutes. Filtrez le thé et laissez-le refroidir. Une fois refroidi, ajoutez le jus de pastèque, le jus de citron et les feuilles de basilic. Mélangez bien. Réservez au réfrigérateur et servez. Servez la recette du thé blanc pastèque-basilic avec une tarte aux légumes rôtis et un feuilleté au paneer pour vos réceptions.</t>
  </si>
  <si>
    <t>https://www.archanaskitchen.com/watermelon-basil-sei-white-tea-recipe-in-hindi</t>
  </si>
  <si>
    <t>Spiced Bottle Gourd And Spinach Juice Recipe</t>
  </si>
  <si>
    <t>Rezept für gewürzten Flaschenkürbis-Spinatsaft</t>
  </si>
  <si>
    <t>Recette de jus de courge bouteille épicé et d'épinards</t>
  </si>
  <si>
    <t>Receta de jugo picante de calabaza y espinacas</t>
  </si>
  <si>
    <t>1 gourde (lauki) - pelée, 1/4 - 1/2 tasse de feuilles d'épinards (Palak) - lavées et feuilles cueillies, 1/2 concombre - lavé, 1 cuillère à soupe de gingembre - haché, 1/2 cuillère à soupe de graines de cumin (Jeera), sel noir (Kala Namak) - au goût, 1 citron - pressé, eau - selon les besoins</t>
  </si>
  <si>
    <t>1 Bottle gourd (lauki) - peeled,1/4 - 1/2 cup Spinach Leaves (Palak) - washed and leaves picked,1/2 Cucumber - washed,1 tablespoon Ginger - chopped,1/2 tablespoon Cumin seeds (Jeera),Black Salt (Kala Namak) - to taste,1 Lemon - juiced,Water - as required</t>
  </si>
  <si>
    <t>1 calabaza (lauki) - pelada, 1/4 - 1/2 taza de hojas de espinaca (Palak) - lavadas y hojas recogidas, 1/2 pepino - lavado, 1 cucharada de jengibre - picado, 1/2 cucharada de semillas de comino (Jeera), sal negra (Kala Namak) - al gusto, 1 limón - jugo, agua - según se requiera</t>
  </si>
  <si>
    <t xml:space="preserve">To begin making the Spiced Bottle Gourd And Spinach Juice Recipe, firstly prepare all the greens for the juice.Into a blender, add all the ingredients including bottle gourd, spinach, cucumber, ginger, cumin seeds, black salt, lemon along with a little water. Blend till you get a smooth texture.Once a smooth juice is obtained, check for salt and cumin and add more if necessary.Add water to achieve desired consistency.Chill The Green Flush (Healthy Fresh Juice Recipe) in the refrigerator or serve immediately for good health. Serve Spiced Bottle Gourd And Spinach Juice Recipe in the morning before your breakfast.
</t>
  </si>
  <si>
    <t>Para preparar el jugo de calabaza especiado y espinacas, prepare todas las verduras. En una licuadora, agregue todos los ingredientes: calabaza, espinacas, pepino, jengibre, comino, sal negra y limón, junto con un poco de agua. Licúe hasta obtener una textura suave. Una vez que el jugo esté suave, revise la sal y el comino y agregue más si es necesario. Agregue agua para lograr la consistencia deseada. Enfríe el jugo de calabaza especiado y espinacas en el refrigerador o sírvalo inmediatamente para una buena salud. Sirva el jugo de calabaza especiado y espinacas por la mañana antes del desayuno.</t>
  </si>
  <si>
    <t>Pour commencer à préparer la recette de jus de courge bouteille épicé et d'épinards, préparez d'abord tous les légumes verts pour le jus. Dans un mixeur, ajoutez tous les ingrédients : la courge bouteille, les épinards, le concombre, le gingembre, les graines de cumin, le sel noir, le citron et un peu d'eau. Mixez jusqu'à obtenir une texture lisse. Une fois le jus lisse obtenu, vérifiez la présence de sel et de cumin et ajoutez-en si nécessaire. Ajoutez de l'eau pour obtenir la consistance souhaitée. Conservez le jus de courge bouteille épicé et d'épinards au réfrigérateur ou servez-le immédiatement pour une meilleure santé. Servez la recette de jus de courge bouteille épicé et d'épinards le matin avant le petit-déjeuner.</t>
  </si>
  <si>
    <t>http://www.archanaskitchen.com/the-green-flush-healthy-fresh-juice-recipe</t>
  </si>
  <si>
    <t>Paleo Breakfast Casserole Recipe In A Mug</t>
  </si>
  <si>
    <t>Paleo-Frühstücksauflauf-Rezept in einer Tasse</t>
  </si>
  <si>
    <t>Recette de cocotte de petit-déjeuner paléo dans une tasse</t>
  </si>
  <si>
    <t>Receta de cazuela de desayuno paleo en taza</t>
  </si>
  <si>
    <t>4 œufs entiers, 2 oignons finement hachés, 1 piment vert finement haché, 1 tasse de chou-fleur (gobi) râpé, 1 tasse de poivron rouge finement haché, 1 tasse de poivron jaune finement haché, 1/2 cuillère à café de flocons de piment rouge, 1/2 cuillère à café de poivre noir en poudre fraîchement pilé, sel au goût</t>
  </si>
  <si>
    <t>4 Whole Eggs,2 Onions - finely chopped,1 Green Chilli - finely chopped,1 Cup Cauliflower (gobi) - grated,1 cup Red Bell pepper (Capsicum) - finely chopped,1 cup Yellow Bell Pepper (Capsicum) - finely chopped,1/2 teaspoon Red Chilli flakes,1/2 teaspoon Black pepper powder - freshly pounded,Salt - to taste</t>
  </si>
  <si>
    <t>4 huevos enteros, 2 cebollas finamente picadas, 1 chile verde finamente picado, 1 taza de coliflor (gobi) rallada, 1 taza de pimiento morrón rojo (Capsicum) finamente picado, 1 taza de pimiento morrón amarillo (Capsicum) finamente picado, 1/2 cucharadita de hojuelas de chile rojo, 1/2 cucharadita de pimienta negra en polvo recién molida, sal al gusto</t>
  </si>
  <si>
    <t xml:space="preserve">To make Paleo Breakfast Casserole Recipe In A Mug, In a bowl, add eggs, grated cauliflower, onions, green chilli, and chopped bell peppers. Whisk them together until they blend well.Season it with salt, red chili flakes and pepper powder.Preheat oven to 350 degree Fahrenheit.In an oven safe ramekins/mug, add egg mixture to three-fourth of the mug.Bake in oven for about 35 minutes until the eggs are set in the middle of the mug. If you don’t prefer watery eggs or undercooked ones, bake them for about additional 10 minutes until the top layer raises up and becomes little brownish.Remove the mug from the oven and leave them as it is for few minutes.Serve Paleo Breakfast Casserole Recipe In A Mug for a healthy and scrumptious breakfast with fresh fruit juice so that you just love your mornings.
</t>
  </si>
  <si>
    <t>Para preparar la receta de Cazuela de Desayuno Paleo en Taza, en un tazón, agrega los huevos, la coliflor rallada, la cebolla, el chile verde y los pimientos morrones picados. Bate bien. Sazona con sal, hojuelas de chile rojo y pimienta en polvo. Precalienta el horno a 175 °C. En un ramequin o taza apto para horno, agrega la mezcla de huevo hasta llenar tres cuartos de la taza. Hornea durante unos 35 minutos hasta que los huevos estén cuajados en el centro de la taza. Si prefieres huevos aguados o poco cocidos, hornéalos durante unos 10 minutos más hasta que la capa superior se levante y adquiera un ligero tono marrón. Retira la taza del horno y déjalos reposar unos minutos. Sirve la receta de Cazuela de Desayuno Paleo en Taza para un desayuno saludable y delicioso con jugo de fruta fresca para que disfrutes de tus mañanas.</t>
  </si>
  <si>
    <t>Pour préparer une cocotte paléo pour le petit-déjeuner dans une tasse, ajoutez les œufs, le chou-fleur râpé, les oignons, le piment vert et les poivrons hachés dans un bol. Fouettez jusqu'à obtenir un mélange homogène. Assaisonnez avec du sel, des flocons de piment rouge et du piment en poudre. Préchauffez le four à 175 °C. Dans un ramequin ou une tasse allant au four, versez le mélange d'œufs aux trois quarts de la tasse. Enfournez pendant environ 35 minutes, jusqu'à ce que les œufs soient pris au centre. Si vous préférez les œufs trop liquides ou pas assez cuits, prolongez la cuisson d'environ 10 minutes, jusqu'à ce que la couche supérieure se lève et prenne une couleur brunâtre. Retirez la tasse du four et laissez-la telle quelle pendant quelques minutes. Servez cette cocotte paléo pour un petit-déjeuner sain et savoureux, accompagné d'un jus de fruits frais, pour un réveil en douceur.</t>
  </si>
  <si>
    <t>https://www.archanaskitchen.com/paleo-breakfast-casserole-recipe-in-a-mug</t>
  </si>
  <si>
    <t>Spinat-Knoblauch-Pfanne-Rezept – Spinat-Pfannenrezept mit Knoblauch</t>
  </si>
  <si>
    <t>Recette de poêlée d'épinards et d'ail – Recette de poêlée d'épinards à l'ail</t>
  </si>
  <si>
    <t>Receta de Espinacas Salteadas con Ajo – Receta de Espinacas Salteadas con Ajo</t>
  </si>
  <si>
    <t>4 tasses d'épinards - finement hachés, 6 gousses d'ail - finement hachées, 1 cuillère à soupe de beurre, sel - selon le goût, 1/2 cuillère à café de poudre de poivre noir, 1/2 cuillère à café d'herbes mélangées</t>
  </si>
  <si>
    <t>4 cups spinach - finely chopped, 6 cloves garlic - finely chopped, 1 tablespoon butter, salt - according to taste, 1/2 teaspoon black pepper powder, 1/2 teaspoon mixed herbs</t>
  </si>
  <si>
    <t>4 tazas de espinacas finamente picadas, 6 dientes de ajo finamente picados, 1 cucharada de mantequilla, sal al gusto, 1/2 cucharadita de pimienta negra en polvo, 1/2 cucharadita de hierbas mixtas</t>
  </si>
  <si>
    <t>To make Spinach Garlic Stir Fry Recipe, first heat butter in a pan. Now add garlic and cook till it becomes light brown. Now add spinach and cook till the spinach becomes soft. This will take at least 3 to 4 minutes. Now add salt, black pepper powder and mix it. Turn off the gas and serve. Serve Spinach Garlic Stir Fry Recipe with Herb Butter Rice and Chicken in Lemon Butter Sauce for dinner.</t>
  </si>
  <si>
    <t>Para preparar la receta de espinacas salteadas con ajo, primero caliente la mantequilla en una sartén. Añada el ajo y cocine hasta que esté ligeramente dorado. Añada las espinacas y cocine hasta que estén tiernas. Esto tomará al menos de 3 a 4 minutos. Añada sal y pimienta negra en polvo y mezcle. Apague el fuego y sirva. Sirva la receta de espinacas salteadas con arroz con mantequilla y hierbas y pollo en salsa de mantequilla y limón para la cena.</t>
  </si>
  <si>
    <t>Pour préparer ce sauté d'épinards à l'ail, faites chauffer le beurre dans une poêle. Ajoutez l'ail et faites-le dorer légèrement. Ajoutez ensuite les épinards et faites-les cuire jusqu'à ce qu'ils soient tendres. Cela prendra au moins 3 à 4 minutes. Ajoutez le sel et le poivre noir en poudre, puis mélangez. Coupez le feu et servez. Servez ce sauté d'épinards à l'ail avec du riz au beurre aux herbes et du poulet au beurre citronné pour le dîner.</t>
  </si>
  <si>
    <t>https://www.archanaskitchen.com/spinach-stir-fry-recipe-with-garlic-in-hindi</t>
  </si>
  <si>
    <t>Glazed Apples and Banana Wheat Crumb Tart Recipe</t>
  </si>
  <si>
    <t>Rezept für Weizenstreuselkuchen mit glasierten Äpfeln und Bananen</t>
  </si>
  <si>
    <t>Recette de crumble de blé aux pommes et bananes glacées</t>
  </si>
  <si>
    <t>Receta de crumble de trigo con manzanas y plátanos glaseados</t>
  </si>
  <si>
    <t>1/2 tasse de biscuits Marie en poudre, 1/2 tasse de flocons de blé (céréales) en poudre, 20 grammes de beurre fondu, 2 pommes coupées en tranches, 2 bananes mûres coupées en tranches, 1 cuillère à café de poudre de noix de muscade, 1 cuillère à café d'amandes effilées (Badam) - livre, 2 cuillères à soupe de miel, 1/2 tasse de yaourt grec (Hung Curd) fouetté jusqu'à consistance lisse, 2 brins de sauge - pour la garniture (facultatif)</t>
  </si>
  <si>
    <t>1/2 cup Marie Biscuit - powdered,1/2 cup Wheat Flakes (Cereal) - powdered,20 grams Butter - melted,2 Apples - sliced,2 Ripe Bananas - sliced,1 teaspoon Nutmeg powder,1 teaspoon Slivered Almonds (Badam) - pound,2 tablespoon Honey,1/2 cup Hung Curd (Greek Yogurt) - whisked till smooth,2 sprig Sage - for garnish (optional)</t>
  </si>
  <si>
    <t>1/2 taza de galleta María en polvo, 1/2 taza de hojuelas de trigo (cereal) en polvo, 20 gramos de mantequilla derretida, 2 manzanas en rodajas, 2 plátanos maduros en rodajas, 1 cucharadita de nuez moscada en polvo, 1 cucharadita de almendras fileteadas (Badam) - libra, 2 cucharadas de miel, 1/2 taza de cuajada colgada (yogur griego) - batido hasta que esté suave, 2 ramitas de salvia - para decorar (opcional)</t>
  </si>
  <si>
    <t>We begin making the Glazed Apples and Banana Wheat Crumb Tart Recipe  by making the base first, powder the wheat faxes and Marie biscuits and add the melted butter. Mix well till it combines and binds well.Add this mixture on to a tart pan and carefully flatten it into the tart shape. Refrigerate in the oven for about 15 minutes.Heat a pan with oil, and saute the apples and add banana and roast them for few minutes. Drizzle some honey and nutmeg powder and give it a toss and keep it aside.Take out the crumb tarts from the fridge and add a dollop of thick yogurt that has been whisked and spread well.Top it up with the glazed apples and bananas and garnish it with sage and serve. Serve the Glazed Apples and Banana Wheat Crumb Tart Recipe as a No Sugar Dessert </t>
  </si>
  <si>
    <t>Comenzamos haciendo la Receta de Tarta de Migas de Trigo con Manzanas Glaseadas y Plátano haciendo primero la base, espolvoreamos los frijoles de trigo y las galletas María y agregamos la mantequilla derretida. Mezclamos bien hasta que se combine y se una bien. Agregamos esta mezcla a un molde para tarta y con cuidado la aplanamos en la forma de tarta. Refrigeramos en el horno durante unos 15 minutos. Calentamos una sartén con aceite y salteamos las manzanas y agregamos el plátano y los asamos durante unos minutos. Rociamos un poco de miel y nuez moscada en polvo y revolvemos y reservamos. Saca las tartas de migas del refrigerador y agregamos una cucharada de yogur espeso que ha sido batido y bien esparcido. Cúbrelo con las manzanas y los plátanos glaseados y decora con salvia y sirve. Sirve la Receta de Tarta de Migas de Trigo con Manzanas Glaseadas y Plátano como un Postre Sin Azúcar</t>
  </si>
  <si>
    <t>Nous commençons à préparer la recette de tarte aux pommes glacées et à la banane en préparant d'abord la base, en saupoudrant les flocons de blé et les biscuits Marie et en ajoutant le beurre fondu. Bien mélanger jusqu'à ce que le mélange se combine et se lie bien. Versez ce mélange dans un moule à tarte et aplatissez-le soigneusement pour lui donner la forme de la tarte. Réfrigérez au four pendant environ 15 minutes. Faites chauffer une poêle avec de l'huile, faites revenir les pommes et ajoutez la banane et faites-les rôtir pendant quelques minutes. Arrosez de miel et de poudre de muscade, mélangez et réservez. Sortez les tartelettes du réfrigérateur et ajoutez une cuillerée de yaourt épais qui a été fouetté et bien étalé. Garnissez avec les pommes et les bananes glacées, décorez de sauge et servez. Servez la recette de tarte aux pommes glacées et à la banane en dessert sans sucre.</t>
  </si>
  <si>
    <t>https://www.archanaskitchen.com/glazed-apples-and-banana-wheat-crumb-tart-recipe</t>
  </si>
  <si>
    <t>Brownie Butter Cake Recipe</t>
  </si>
  <si>
    <t>Brownie-Butterkuchen-Rezept</t>
  </si>
  <si>
    <t>Recette de gâteau au beurre et aux brownies</t>
  </si>
  <si>
    <t>Receta de pastel de mantequilla y brownies</t>
  </si>
  <si>
    <t>1 tasse de chocolat noir, 1/4 tasse de beurre, 1/4 tasse de sucre, 1 œuf entier, 1/4 tasse de farine tout usage (Maida), 1/2 cuillère à café de poudre de café instantané, 1 tasse de farine tout usage (Maida), 1/4 cuillère à café de levure chimique, 1 tasse de sucre, 3/4 tasse de beurre, 2 œufs entiers, 3 cuillères à soupe de lait, 1 cuillère à café d'extrait de vanille, 1 cuillère à café de colorant alimentaire rose</t>
  </si>
  <si>
    <t>1 cup Dark chocolate,1/4 cup Butter,1/4 cup Sugar,1 Whole Egg,1/4 cup All Purpose Flour (Maida),1/2 teaspoon Instant Coffee Powder,1 cup All Purpose Flour (Maida),1/4 teaspoon Baking powder,1 cup Sugar,3/4 cup Butter,2 Whole Eggs,3 tablespoon Milk,1 teaspoon Vanilla Extract,1 teaspoon Pink Food colour</t>
  </si>
  <si>
    <t>1 taza de chocolate negro, 1/4 taza de mantequilla, 1/4 taza de azúcar, 1 huevo entero, 1/4 taza de harina para todo uso (Maida), 1/2 cucharadita de café instantáneo en polvo, 1 taza de harina para todo uso (Maida), 1/4 cucharadita de polvo para hornear, 1 taza de azúcar, 3/4 taza de mantequilla, 2 huevos enteros, 3 cucharadas de leche, 1 cucharadita de extracto de vainilla, 1 cucharadita de colorante alimentario rosa</t>
  </si>
  <si>
    <t xml:space="preserve">To begin with Brownie Butter cake, preheat the oven at 180 degree celsius.Grease or line a 8" inch loaf pan with parchment paper.Melt chocolate, butter and coffee granules in microwave. Once it is melted, add sugar in the melted chocolate and stir well and keep it aside to cool.Now add egg and vanilla extract and whisk again. Add sifted flour and fold in gently to make a batter.Pour in the batter in the prepared pan and bake for 15 mins only. While the brownieThe next step is to make the butter cake. Take butter and sugar in bowl and beat until light and creamy.Add the eggs and vanilla extract and beat it very nicely till it becomes creamy and frothy.Sift flour and baking powder together and add into the egg mix. Fold in gently and slowly add milk and strawberry pink colour to make a smooth and silky batter.After 15 mins the brownie must be half done, remove the pan from the oven and pour in the cake batter over the brownie. Tap gently to settle the air bubbles and put the pan inside the oven.Reduce the oven temperature to 160 degree C and bake for another 25-30 mins or till the tooth pick inserted comes out clean.Take out the pan and let it rest on a wire rack for 10-15 mins.Carefully hold the parchment paper and lift the cake from the pan and keep it on a tray and allow it to cool completely.Serve Brownie Butter cake as a Dessert after your dinner and impress your family and friends.
</t>
  </si>
  <si>
    <t>Para preparar el pastel de mantequilla de brownie, precalienta el horno a 180 °C. Engrasa o forra un molde para pan de 20 cm con papel vegetal. Derrite el chocolate, la mantequilla y el café molido en el microondas. Una vez derretido, añade el azúcar al chocolate fundido, remueve bien y reserva para que se enfríe. Añade el huevo y el extracto de vainilla y vuelve a batir. Incorpora la harina tamizada e incorpora suavemente hasta obtener una masa. Vierte la masa en el molde preparado y hornea durante 15 minutos. Mientras se prepara el brownie, el siguiente paso es preparar el pastel de mantequilla. Mezcla la mantequilla y el azúcar en un bol hasta obtener una mezcla ligera y cremosa. Agrega los huevos y el extracto de vainilla y bate bien hasta obtener una mezcla cremosa y espumosa. Tamiza la harina y la levadura química y añádelas a la mezcla de huevo. Incorpora suavemente y añade poco a poco la leche y el colorante rosa fresa hasta obtener una masa suave y cremosa. Después de 15 minutos, el brownie debe estar medio hecho. Retira el molde del horno y vierte la masa del pastel sobre él. Golpea suavemente para que se asiente. Quita las burbujas de aire y mete el molde en el horno. Reduce la temperatura del horno a 160 °C y hornea durante 25-30 minutos más o hasta que al insertar un palillo, este salga limpio. Retira el molde y déjalo reposar sobre una rejilla durante 10-15 minutos. Sujeta con cuidado el papel vegetal, levanta el pastel del molde y colócalo en una bandeja para que se enfríe por completo. Sirve el pastel de mantequilla de brownie como postre después de la cena e impresiona a tu familia y amigos.</t>
  </si>
  <si>
    <t>Pour préparer le gâteau au beurre de brownie, préchauffez le four à 180 °C. Graissez ou chemisez un moule à cake de 20 cm de diamètre avec du papier sulfurisé. Faites fondre le chocolat, le beurre et les grains de café au micro-ondes. Une fois fondu, ajoutez le sucre au chocolat fondu, mélangez bien et laissez refroidir. Ajoutez ensuite l'œuf et l'extrait de vanille, puis fouettez à nouveau. Ajoutez la farine tamisée et incorporez délicatement pour obtenir une pâte. Versez la pâte dans le moule préparé et enfournez pour 15 minutes seulement. Pendant la préparation du brownie, préparez le gâteau au beurre. Dans un saladier, battez le beurre et le sucre jusqu'à obtenir une consistance légère et crémeuse. Ajoutez les œufs et l'extrait de vanille et battez vigoureusement jusqu'à obtenir une consistance crémeuse et mousseuse. Tamisez la farine et la levure chimique ensemble et ajoutez-les au mélange d'œufs. Incorporez délicatement le lait et le colorant rose fraise pour obtenir une pâte lisse et onctueuse. Au bout de 15 minutes, le brownie doit être à moitié cuit. Retirez le moule du four et versez la pâte à gâteau sur le brownie. Tapotez délicatement pour tasser. Éliminez les bulles d'air et placez le moule au four. Réduisez la température du four à 160 °C et laissez cuire encore 25 à 30 minutes ou jusqu'à ce que le cure-dent inséré en ressorte propre. Retirez le moule et laissez-le reposer sur une grille pendant 10 à 15 minutes. Tenez délicatement le papier sulfurisé et soulevez le gâteau du moule, placez-le sur un plateau et laissez-le refroidir complètement. Servez le gâteau au beurre brownie en dessert après votre dîner et impressionnez votre famille et vos amis.</t>
  </si>
  <si>
    <t>https://www.archanaskitchen.com/brownie-butter-cake-recipe</t>
  </si>
  <si>
    <t>Chopped Spinach And Pomegranate Salad Recipe</t>
  </si>
  <si>
    <t>Rezept für gehackten Spinat-Granatapfel-Salat</t>
  </si>
  <si>
    <t>Recette de salade d'épinards hachés et de grenade</t>
  </si>
  <si>
    <t>Receta de ensalada de espinacas picadas y granada</t>
  </si>
  <si>
    <t>100 grammes d'épinards - grossièrement hachés, 1 noyau de grenade frais - décortiqué, 1 oignon - émincé, 1/2 tasse de noix de pécan - ou de noix, 2 cuillères à soupe d'huile d'olive extra vierge, 1 cuillère à soupe de vinaigre, 1/2 cuillère à café d'origan séché, 1/4 cuillère à café de feuilles de persil - séchées, sel et poivre - au goût</t>
  </si>
  <si>
    <t>100 grams Spinach - roughly chopped,1 Fresh Pomegranate Fruit Kernels - shelled,1 Onion - sliced,1/2 cup Pecans - or walnuts,2 tablespoons Extra Virgin Olive Oil,1 tablespoon Vinegar,1/2 teaspoon Dried oregano,1/4 teaspoon Parsley leaves - dried,Salt and Pepper - to taste</t>
  </si>
  <si>
    <t>100 gramos de espinacas picadas gruesas, 1 grano de granada fresca sin cáscara, 1 cebolla en rodajas, 1/2 taza de nueces pecanas o nueces, 2 cucharadas de aceite de oliva virgen extra, 1 cucharada de vinagre, 1/2 cucharadita de orégano seco, 1/4 cucharadita de hojas de perejil secas, sal y pimienta al gusto</t>
  </si>
  <si>
    <t xml:space="preserve">To begin making the Chopped Spinach And Pomegranate Salad, first wash the spinach thoroughly before chopping as dirt can be stuck in between the leaves and roots. In a small mixing bowl, whisk together all the ingredients mentioned under dressing till combined. In case you plan to serve the salad later, make the dressing and keep separately. Toss with dressing just before serving.In a mixing bowl, add pomegranate, spinach, onions and pecans. Toss with the salad dressing and serve immediately.Serve Chopped Spinach And Pomegranate Salad for a weeknight dinner or pack it into your lunch box along with Roasted Vegetable Sandwich with Feta.
</t>
  </si>
  <si>
    <t>Para empezar a preparar la ensalada de espinacas picadas y granada, primero lava bien las espinacas antes de picarlas, ya que puede quedar tierra atrapada entre las hojas y las raíces. En un tazón pequeño, mezcla todos los ingredientes mencionados en el aderezo hasta que se combinen. En caso de que planees servir la ensalada más tarde, prepara el aderezo y guárdalo por separado. Mezcla con el aderezo justo antes de servir. En un tazón, agrega la granada, las espinacas, las cebollas y las nueces pecanas. Mezcla con el aderezo para ensalada y sirve inmediatamente. Sirve la ensalada de espinacas picadas y granada para una cena entre semana o llévala en tu lonchera junto con el sándwich de verduras asadas con queso feta.</t>
  </si>
  <si>
    <t>Pour commencer à préparer la salade d'épinards hachés et de grenade, lavez d'abord soigneusement les épinards avant de les hacher, car de la terre peut rester coincée entre les feuilles et les racines. Dans un petit bol, fouettez tous les ingrédients mentionnés sous la vinaigrette jusqu'à ce qu'ils soient bien mélangés. Si vous prévoyez de servir la salade plus tard, préparez la vinaigrette et conservez-la séparément. Mélangez avec la vinaigrette juste avant de servir. Dans un bol, ajoutez la grenade, les épinards, les oignons et les pacanes. Mélangez avec la vinaigrette et servez immédiatement. Servez la salade d'épinards hachés et de grenade pour un dîner de semaine ou emportez-la dans votre boîte à lunch avec un sandwich aux légumes rôtis à la feta.</t>
  </si>
  <si>
    <t>https://www.archanaskitchen.com/chopped-spinach-and-pomegranate-salad-recipe</t>
  </si>
  <si>
    <t>Lavender Lemonade Cooler Recipe</t>
  </si>
  <si>
    <t>Rezept für Lavendel-Limonade-Cooler</t>
  </si>
  <si>
    <t>Recette de limonade rafraîchissante à la lavande</t>
  </si>
  <si>
    <t>Receta refrescante de limonada de lavanda</t>
  </si>
  <si>
    <t>1 tasse d'eau, 1/2 tasse de sucre, 1 cuillère à soupe de fleurs de lavande - séchées ou fraîchement cueillies, jus de citron - de 3 citrons, sel - au goût, sucre - au goût, 3 à 4 tasses d'eau, quelques glaçons</t>
  </si>
  <si>
    <t>1 cup Water,1/2 cup Sugar,1 tablespoon Lavender Flowers - dried or freshly picked,Lemon juice - from 3 lemons,Salt - to taste,Sugar -  to taste,3 - 4 cups Water,Few Ice cubes</t>
  </si>
  <si>
    <t>1 taza de agua, 1/2 taza de azúcar, 1 cucharada de flores de lavanda (secas o recién recogidas), jugo de limón (de 3 limones), sal (al gusto), azúcar (al gusto), 3-4 tazas de agua, algunos cubitos de hielo.</t>
  </si>
  <si>
    <t xml:space="preserve">To begin making the Lavender Lemonade Recipe, we will first make the Lavender Syrup. For that bring water to a boil over high heat in a saucepan. Once the water begins to boil, reduce the heat to medium-low, add the sugar and lavender. Stir the syrup occasionally while it is simmering. Once the sugar is dissolved completely and lavender is infused in the water, turn off the heat. Strain the syrup using a sieve and allow the Lavender Syrup to cool completely. You can also store the Lavender Syrup in the refrigerator and use it as and when required. To prepare the Lavender Lemonade Cooler, in a large jug, combine the juice of 3 lemons, water and half of the reserved lavender syrup or to taste. Stir to combine. Season the Lemonade with salt and sugar to taste. You can keep the lemonade in the fridge to chill before serving. To serve the Lavender Lemonade, add ice cubes in each of the serving glasses. Pour lemonade over the ice cubes and serve chilled for the summers.
</t>
  </si>
  <si>
    <t>Para comenzar a hacer la Receta de Limonada de Lavanda, primero haremos el jarabe de lavanda. Para eso, ponga agua a hervir a fuego alto en una cacerola. Una vez que el agua comience a hervir, reduzca el fuego a medio-bajo, agregue el azúcar y la lavanda. Revuelva el jarabe de vez en cuando mientras hierve a fuego lento. Una vez que el azúcar se haya disuelto completamente y la lavanda esté infundida en el agua, apague el fuego. Cuele el jarabe con un colador y deje que el jarabe de lavanda se enfríe por completo. También puede guardar el jarabe de lavanda en el refrigerador y usarlo cuando lo necesite. Para preparar el refresco de limonada de lavanda, en una jarra grande, combine el jugo de 3 limones, agua y la mitad del jarabe de lavanda reservado o al gusto. Revuelva para combinar. Sazone la limonada con sal y azúcar al gusto. Puede mantener la limonada en el refrigerador para que se enfríe antes de servir. Para servir la limonada de lavanda, añade cubitos de hielo en cada vaso. Vierte la limonada sobre los cubitos y sírvela fría para el verano.</t>
  </si>
  <si>
    <t>Pour commencer à préparer la recette de limonade à la lavande, nous allons d'abord préparer le sirop de lavande. Pour cela, portez l'eau à ébullition à feu vif dans une casserole. Une fois que l'eau commence à bouillir, réduisez le feu à moyen-doux, ajoutez le sucre et la lavande. Remuez le sirop de temps en temps pendant qu'il mijote. Une fois le sucre complètement dissous et la lavande infusée dans l'eau, éteignez le feu. Filtrez le sirop à l'aide d'un tamis et laissez le sirop de lavande refroidir complètement. Vous pouvez également conserver le sirop de lavande au réfrigérateur et l'utiliser au besoin. Pour préparer le refroidisseur de limonade à la lavande, dans un grand pichet, mélangez le jus de 3 citrons, l'eau et la moitié du sirop de lavande réservé ou au goût. Remuez pour mélanger. Assaisonnez la limonade avec du sel et du sucre au goût. Vous pouvez conserver la limonade au réfrigérateur pour la refroidir avant de servir. Pour servir la limonade à la lavande, ajoutez des glaçons dans chacun des verres de service. Versez la limonade sur les glaçons et servez frais pour l'été.</t>
  </si>
  <si>
    <t>https://www.archanaskitchen.com/lavender-lemonade-cooler-recipe</t>
  </si>
  <si>
    <t>Roasted Vegetable Panini Sandwich With Feta Cheese Recipe</t>
  </si>
  <si>
    <t>Rezept für Panini-Sandwich mit geröstetem Gemüse und Feta-Käse</t>
  </si>
  <si>
    <t>Recette de sandwich panini aux légumes rôtis et au fromage feta</t>
  </si>
  <si>
    <t>Receta de sándwich panini de verduras asadas y queso feta</t>
  </si>
  <si>
    <t>3 pains panini - coupés en deux, 2 courgettes vertes - coupées en tranches de 1/4 de pouce d'épaisseur, 2 poivrons rouges (Capsicum) - finement tranchés, 2 tomates - finement tranchées en rondelles, 2 oignons rouges - coupés en rondelles d'oignon, fromage feta - égoutté, 1/2 tasse de pesto au basilic maison - (ou pesto au basilic), Tabasco Original - Sauce piquante - au goût (facultatif pour les épices), Sel et poivre - au goût</t>
  </si>
  <si>
    <t>3 Panini Bread - sliced half,2 Green zucchini - cut into 1/4-inch-thick slices,2 Red Bell pepper (Capsicum) - thinly sliced,2 Tomatoes - thinly sliced into rounds,2 Red onion - cut into onion rings,Feta Cheese - drained,1/2 cup Homemade Basil Pesto - (or basil pesto),Tabasco Original - Hot Sauce - to taste (optional for spice),Salt and Pepper - to taste</t>
  </si>
  <si>
    <t>3 panes panini - cortados a la mitad, 2 calabacines verdes - cortados en rodajas de 1/4 de pulgada de grosor, 2 pimientos morrones rojos (Capsicum) - en rodajas finas, 2 tomates - en rodajas finas, 2 cebollas rojas - cortadas en aros de cebolla, queso feta - escurrido, 1/2 taza de pesto de albahaca casero - (o pesto de albahaca), salsa picante Tabasco Original - al gusto (opcional para condimentar), sal y pimienta - al gusto</t>
  </si>
  <si>
    <t xml:space="preserve">To begin making the Roasted Vegetable Sandwich With Feta Cheese Recipe, you will first have to either roast or grill the vegetables. Heat a tablespoon of oil in a wok, add in the red bell peppers and a pinch of salt. Cover the pan and stir fry on medium heat until the bell peppers are roasted and have softened. Once done, remove the pepper from the wok and keep them aside.In the same wok, add a teaspoon of olive oil and add in the sliced zucchini. Sprinkle some salt and stir fry on high heat until it is tender and roasted. It will also get grilled along with the Panini, so its ok for them to be a little firm. Keep them aside.Cool the roasted red pepper and zucchini completely.Slice the Panini's into half. Place them on a working surface. Spread the Basil pesto on both the sides. Working with the bottom slice, stack the slices of zucchini, roasted peppers, onions, tomatoes, sprinkle salt and pepper, optionally tabasco sauce and finally the feta cheese. Place top half of panini bread on top.Press the bread down with the palm of your hand. Continue the same way with the remaining Panini breads. At this stage, you could choose to wrap the sandwiches in a wrap and refrigerate and grill them as and when required or have them chilled for a picnic.If you plan to grill the roasted vegetable panini, then heat a cast iron grill pan and grease it with olive oil. Brush the top of the sandwiches panini's also with some oil or butter. Place the buttered side down on the heated grill pan and using a press or a flat spatula, press down the sandwich to get neat sear marks on the sandwich.After a minute, flip the sandwich and grill the other side the similar way. Proceed the same way of grilling the Panini's the similar way.You can also use a Panini Press and it can make it a lot easier to Grill Sandwiches.Serve Roasted Vegetable Sandwich With Feta Cheese Recipe along with Dhaniya Pudina Chutney Recipe (Green Chutney), or Mayonnaise Recipe along with a Quick Creamy Pea Soup Recipe or salad for a wholesome dinner.
</t>
  </si>
  <si>
    <t>Para comenzar a hacer la receta de sándwich de verduras asadas con queso feta, primero tendrás que asar o cocinar a la parrilla las verduras. Calienta una cucharada de aceite en un wok, agrega los pimientos rojos y una pizca de sal. Cubre la sartén y saltea a fuego medio hasta que los pimientos estén asados ​​y se hayan ablandado. Una vez hecho esto, retira el pimiento del wok y déjalo a un lado. En el mismo wok, agrega una cucharadita de aceite de oliva y agrega el calabacín en rodajas. Espolvorea un poco de sal y saltea a fuego alto hasta que esté tierno y asado. También se asará junto con el panini, así que está bien que esté un poco firme. Mantenlos a un lado. Enfría completamente el pimiento rojo asado y el calabacín. Corta el panini por la mitad. Colócalos en una superficie de trabajo. Unta el pesto de albahaca en ambos lados. Trabajando con la rebanada inferior, apila las rebanadas de calabacín, pimientos asados, cebollas, tomates, espolvorea sal y pimienta, opcionalmente salsa tabasco y finalmente el queso feta. Coloca la mitad superior del pan panini encima. Presiona el pan hacia abajo con la palma de tu mano. Continúa de la misma manera con los panini restantes. En esta etapa, puedes optar por envolver los sándwiches en una envoltura y refrigerarlos y asarlos cuando sea necesario o tenerlos refrigerados para un picnic. Si planeas asar el panini de verduras asadas, calienta una sartén de hierro fundido y engrásala con aceite de oliva. Pincela la parte superior de los paninis de sándwich también con un poco de aceite o mantequilla. Coloca el lado untado con mantequilla hacia abajo en la sartén caliente y usando una prensa o una espátula plana, presiona el sándwich para obtener marcas de sellado limpias en el sándwich. Después de un minuto, voltea el sándwich y asa el otro lado de manera similar. Proceda de la misma manera que asar los paninis. También puede usar una prensa para paninis, lo que facilitará mucho la preparación de sándwiches. Sirva la receta de sándwich de verduras asadas con queso feta junto con la receta de chutney Dhaniya Pudina (chutney verde) o la receta de mayonesa junto con una receta de sopa cremosa de guisantes rápida o ensalada para una cena saludable.</t>
  </si>
  <si>
    <t>Pour commencer à préparer la recette du sandwich aux légumes rôtis avec du fromage feta, vous devrez d'abord rôtir ou griller les légumes. Faites chauffer une cuillère à soupe d'huile dans un wok, ajoutez les poivrons rouges et une pincée de sel. Couvrez la poêle et faites sauter à feu moyen jusqu'à ce que les poivrons soient rôtis et ramollis. Une fois cuits, retirez le poivron du wok et réservez-le. Dans le même wok, ajoutez une cuillère à café d'huile d'olive et ajoutez les courgettes tranchées. Saupoudrez de sel et faites sauter à feu vif jusqu'à ce qu'elles soient tendres et rôties. Elles seront également grillées en même temps que les paninis, il est donc normal qu'elles soient un peu fermes. Gardez-les de côté. Laissez refroidir complètement le poivron rouge rôti et les courgettes. Coupez les paninis en deux. Placez-les sur un plan de travail. Étalez le pesto au basilic des deux côtés. En travaillant avec la tranche inférieure, empilez les tranches de courgettes, les poivrons rôtis, les oignons, les tomates, saupoudrez de sel et de poivre, éventuellement de sauce tabasco et enfin de fromage feta. Placez la moitié supérieure du pain panini dessus. Appuyez sur le pain avec la paume de votre main. Continuez de la même manière avec les pains panini restants. À ce stade, vous pouvez choisir d'envelopper les sandwichs dans une pellicule plastique et de les réfrigérer et de les griller au besoin ou de les laisser refroidir pour un pique-nique. Si vous prévoyez de griller les paninis aux légumes rôtis, faites chauffer une poêle en fonte et graissez-la avec de l'huile d'olive. Badigeonnez également le dessus des paninis avec un peu d'huile ou de beurre. Placez le côté beurré vers le bas sur la poêle à griller chauffée et à l'aide d'une presse ou d'une spatule plate, appuyez sur le sandwich pour obtenir des marques de cuisson nettes sur le sandwich. Après une minute, retournez le sandwich et faites griller l'autre côté de la même manière. Procédez de la même manière pour griller les paninis. Vous pouvez également utiliser une presse à panini et cela peut rendre la cuisson des sandwichs beaucoup plus facile. Servez la recette de sandwich aux légumes rôtis avec du fromage feta avec la recette de chutney Dhaniya Pudina (chutney vert) ou la recette de mayonnaise avec une recette de soupe aux pois crémeuse rapide ou une salade pour un dîner sain.</t>
  </si>
  <si>
    <t>https://www.archanaskitchen.com/roasted-vegetable-panini-sandwich-with-feta-cheese-recipe</t>
  </si>
  <si>
    <t>Delicious Paneer Satay Recipe With Tandoori Mayo Recipe</t>
  </si>
  <si>
    <t>Köstliches Paneer-Satay-Rezept mit Tandoori-Mayo-Rezept</t>
  </si>
  <si>
    <t>Délicieuse recette de paneer satay avec mayonnaise tandoori</t>
  </si>
  <si>
    <t>Deliciosa receta de paneer satay con mayonesa tandoori</t>
  </si>
  <si>
    <t>400 grammes de paneer (fromage cottage fait maison), 4 cuillères à soupe de mayonnaise à la menthe Del Monte, 2 cuillères à soupe de cacahuètes crues (Moongphali) - grossièrement pilées, 1 cuillère à café de jus de citron, 1 cuillère à soupe d'huile d'olive extra vierge, sel - au goût</t>
  </si>
  <si>
    <t>400 grams Paneer (Homemade Cottage Cheese),4 tablespoon Del Monte Mint Mayo,2 tablespoon Raw Peanuts (Moongphali) - coarsely pounded,1 teaspoon Lemon juice,1 tablespoon Extra Virgin Olive Oil,Salt - to taste</t>
  </si>
  <si>
    <t>400 gramos de Paneer (queso cottage casero), 4 cucharadas de mayonesa de menta Del Monte, 2 cucharadas de cacahuetes crudos (Moongphali) - machacados gruesos, 1 cucharadita de jugo de limón, 1 cucharada de aceite de oliva virgen extra, sal - al gusto</t>
  </si>
  <si>
    <t xml:space="preserve">To begin making the Delicious Paneer Satay Recipe With Tandoori Mayo recipe, cut paneer into long slices measuring around 4”x 1”inches and keep them aside.In a mixing bowl, add Del Monte Tandoori Mayo along with salt, lemon juice, some crushed peanuts and oil. Mix all together with a spoon to make a paste.Take paneer slices and coat them well with the prepared mayo mix from all sides.Place the coated paneer slices on a plate, cling wrap and marinade for minimum 30 mins before cooking.Heat a grill pan or a non stick pan and grease it with some oil or butter.Take mini bamboo skewers and insert into the paneer piece from one end.Place the skewers on the grill pan and grill from all sides.Collect the grilled paneer satay and plate them well on a serving plate.Sprinkle some crushed peanuts on top and serve hot.Serve Delicious Paneer Satay Recipe With Tandoori Mayo along with Dhaniya Pudina Chutney, Tomato Garlic Chutney or any other Chutney of your choice.
</t>
  </si>
  <si>
    <t>Para comenzar a preparar la deliciosa receta de Paneer Satay con mayonesa tandoori, corte el paneer en rodajas largas que midan alrededor de 4” x 1” pulgadas y déjelas a un lado. En un tazón, agregue la mayonesa tandoori Del Monte junto con la sal, el jugo de limón, un poco de maní triturado y aceite. Mezclar todo con una cuchara para hacer una pasta. Tomar las rodajas de paneer y cubrirlas bien con la mezcla de mayonesa preparada por todos lados. Colocar las rodajas de paneer cubiertas en un plato, envolver en film transparente y marinar durante al menos 30 minutos antes de cocinar. Calentar una sartén para parrilla o una sartén antiadherente y engrasarla con un poco de aceite o mantequilla. Tomar mini brochetas de bambú e insertarlas en la pieza de paneer desde un extremo. Colocar las brochetas en la sartén para parrilla y asar por todos lados. Recoger el satay de paneer a la parrilla y servirlo bien en un plato. Espolvorear un poco de cacahuetes triturados por encima y servir caliente. Servir la deliciosa receta de Paneer Satay con mayonesa Tandoori junto con Dhaniya Pudina Chutney, Chutney de tomate y ajo o cualquier otro chutney de su elección.</t>
  </si>
  <si>
    <t>Pour commencer à préparer la délicieuse recette de Paneer Satay avec mayonnaise tandoori, coupez le paneer en longues tranches mesurant environ 4" x 1" pouces et réservez-les. Dans un bol à mélanger, ajoutez la mayonnaise Del Monte Tandoori avec du sel, du jus de citron, des cacahuètes concassées et de l'huile. Mélangez le tout avec une cuillère pour faire une pâte. Prenez des tranches de paneer et enrobez-les bien du mélange de mayonnaise préparé de tous les côtés. Placez les tranches de paneer enrobées sur une assiette, filmez-les et laissez mariner pendant au moins 30 minutes avant la cuisson. Faites chauffer une poêle à griller ou une poêle antiadhésive et graissez-la avec un peu d'huile ou de beurre. Prenez des mini brochettes en bambou et insérez-les dans le morceau de paneer par une extrémité. Placez les brochettes sur la poêle à griller et faites-les griller de tous les côtés. Récupérez le satay de paneer grillé et dressez-le bien sur une assiette de service. Saupoudrez de cacahuètes concassées et servez chaud. Servez une délicieuse recette de satay de paneer avec de la mayonnaise tandoori avec du chutney Dhaniya Pudina, du chutney à la tomate et à l'ail ou tout autre chutney de votre choix.</t>
  </si>
  <si>
    <t>http://www.archanaskitchen.com/delicious-paneer-satay-recipe-with-tandoori-mayo-recipe</t>
  </si>
  <si>
    <t>Mini Lemon Tarts Recipe</t>
  </si>
  <si>
    <t>Rezept für Mini-Zitronentörtchen</t>
  </si>
  <si>
    <t>Recette de mini tartelettes au citron</t>
  </si>
  <si>
    <t>Receta de mini tartas de limón</t>
  </si>
  <si>
    <t>1-1/2 tasse de farine tout usage (Maida) - fera 40 mini tartelettes, 1/2 cuillère à café de sel, 1 cuillère à soupe de sucre, 1/2 tasse de beurre froid - coupé en petits morceaux de la taille d'un pois, 3 cuillères à soupe d'eau froide - (ajuster), 2 œufs entiers, 2 jaunes d'œufs, 1/4 tasse de sucre en poudre, 1 cuillère à café de zeste de citron - râpé, 1 jus de citron, 100 grammes de beurre</t>
  </si>
  <si>
    <t>1-1/2 cups All Purpose Flour (Maida) - will make 40 mini tarts,1/2 teaspoon Salt,1 tablespoon Sugar,1/2 cup Chilled butter - cut into small pea size pieces,3 tablespoons Chilled water - (adjust),2 Whole Egg,2 Egg yolks,1/4 cup Caster Sugar,1 teaspoon Lemon zest - grated,1 Lemon juice,100 grams Butter</t>
  </si>
  <si>
    <t>1-1/2 tazas de harina para todo uso (Maida) - hará 40 mini tartas, 1/2 cucharadita de sal, 1 cucharada de azúcar, 1/2 taza de mantequilla fría - cortada en trozos pequeños del tamaño de un guisante, 3 cucharadas de agua fría - (ajustar), 2 huevos enteros, 2 yemas de huevo, 1/4 taza de azúcar extrafino, 1 cucharadita de ralladura de limón, jugo de 1 limón, 100 gramos de mantequilla</t>
  </si>
  <si>
    <t xml:space="preserve">To begin making the Mini Lemon Tarts Recipe, preheat the oven to 170 degree celsius. Pre make the pastry crust according to instructions. Refrigerate the fridge till you make the lemon curd.Mix egg, egg yolk, lemon juice, caster sugar, lemon rind and whisk well till it combines. Add softened butter.Place the bowl a bain marie (A saucepan filled with water), keep whisking until the the mixture thickens and turns to a thick curd.Once done, set aside, cover it with a plastic wrap and place it in the refrigerator until it cools down.Take the lemon curd out and spoon the mixture into the prepared pie crust pans. Place the tartlets into the fridge for 3 to 4 hours before serving.Before serving you can top it with slices of tropical fruits and mint. Serve these lovely little lemon tarts along with Seiki Peppermint Green Tea, it will give a great burst of flavours as it will refresh your palate and at the same time complements the sourness from the tart.
</t>
  </si>
  <si>
    <t>Para comenzar a hacer la Receta de Mini Tartas de Limón, precaliente el horno a 170 grados centígrados. Prepare previamente la masa de hojaldre según las instrucciones. Refrigere el refrigerador hasta que haga la crema de limón. Mezcle el huevo, la yema de huevo, el jugo de limón, el azúcar extrafino, la ralladura de limón y bata bien hasta que se combine. Agregue la mantequilla ablandada. Coloque el tazón a baño maría (una cacerola llena de agua), siga batiendo hasta que la mezcla espese y se convierta en una cuajada espesa. Una vez hecho esto, reserve, cúbralo con una envoltura de plástico y colóquelo en el refrigerador hasta que se enfríe. Saque la crema de limón y vierta la mezcla en los moldes de masa de pastel preparados. Coloque las tartaletas en el refrigerador durante 3 a 4 horas antes de servir. Antes de servir, puede cubrirlo con rodajas de frutas tropicales y menta. Sirva estas deliciosas tartaletas de limón junto con el té verde de menta Seiki. Le aportará una gran explosión de sabor, ya que refrescará su paladar y, al mismo tiempo, complementará la acidez de la tarta.</t>
  </si>
  <si>
    <t>Pour commencer à préparer la recette des mini tartelettes au citron, préchauffez le four à 170 degrés Celsius. Préparez la croûte de pâte selon les instructions. Réfrigérez le réfrigérateur jusqu'à ce que vous prépariez la crème au citron. Mélangez l'œuf, le jaune d'œuf, le jus de citron, le sucre en poudre, le zeste de citron et fouettez bien jusqu'à ce que le tout soit combiné. Ajoutez le beurre ramolli. Placez le bol au bain-marie (une casserole remplie d'eau), continuez à fouetter jusqu'à ce que le mélange épaississe et se transforme en une crème épaisse. Une fois terminé, réservez, couvrez-le d'une pellicule plastique et placez-le au réfrigérateur jusqu'à ce qu'il refroidisse. Retirez la crème au citron et versez le mélange dans les moules à tarte préparés. Placez les tartelettes au réfrigérateur pendant 3 à 4 heures avant de servir. Avant de servir, vous pouvez le garnir de tranches de fruits tropicaux et de menthe. Servez ces délicieuses petites tartelettes au citron avec du thé vert à la menthe poivrée Seiki, cela donnera une belle explosion de saveurs car cela rafraîchira votre palais et complétera en même temps l'acidité de la tarte.</t>
  </si>
  <si>
    <t>http://www.archanaskitchen.com/mini-lemon-tarts-recipe</t>
  </si>
  <si>
    <t>Figs and Muesli Bread Pudding Recipe</t>
  </si>
  <si>
    <t>Rezept für Feigen-Müsli-Brotpudding</t>
  </si>
  <si>
    <t>Recette de pudding au pain muesli et aux figues</t>
  </si>
  <si>
    <t>Receta de pudín de pan con higos y muesli</t>
  </si>
  <si>
    <t>4 cuillères à soupe de muesli, 4 figues fraîches coupées en quartiers, 2 pains complets de blé entier coupés en petits triangles, 2 œufs entiers, 1 tasse de lait, 2 cuillères à café d'extrait de vanille, 2 cuillères à soupe de miel, 2 cuillères à café de poudre de muscade</t>
  </si>
  <si>
    <t>4 tablespoon Muesli,4 Fresh Figs - quartered,2 Whole Wheat Brown Bread - cut into small triangle,2 Whole Eggs,1 cup Milk,2 teaspoon Vanilla Extract,2 tablespoon Honey,2 teaspoon Nutmeg powder</t>
  </si>
  <si>
    <t>4 cucharadas de muesli, 4 higos frescos (cortados en cuartos), 2 panes integrales (cortados en triángulos pequeños), 2 huevos enteros, 1 taza de leche, 2 cucharaditas de extracto de vainilla, 2 cucharadas de miel, 2 cucharaditas de nuez moscada en polvo</t>
  </si>
  <si>
    <t xml:space="preserve">We begin making the Figs and Muesli Bread Pudding Recipe by pre heating the oven to 180 degree Celsius for 10 minutes.Meanwhile, toast the bread with a teaspoon of oil till it is golden brown and cut them into small triangles and keep it aside.In a mixing bowl crack the eggs and mix all the ingredients and whisk well. This recipe will serve you in two ceramic bowls.Take two ceramic bowls, place the toasted bread, few figs in each of the bowls, sprinkle few muesli and top it up with little egg mixture into each bowl, make sure you pour about a tablespoon in each.Then place the remaining toasted bread in each of the bowl and drop in the remaining figs. Pour in the left over egg mixture equally in both the bowls. Sprinkle it with muesli on top.Bake the Figs and Muesli Bread Pudding for about 25 minutes till it rises up and has a golden crust on top.Serve the Figs and Muesli Bread Pudding Recipe as a dessert after Spinach Pizza with Sun-dried Tomatoes &amp; Feta Cheese to enjoy your meal.
</t>
  </si>
  <si>
    <t>Comenzamos preparando el pudín de pan con higos y muesli precalentando el horno a 180 grados Celsius durante 10 minutos. Mientras tanto, tuesta el pan con una cucharadita de aceite hasta que esté dorado, córtalo en triángulos pequeños y reserva. En un tazón, casca los huevos, mezcla todos los ingredientes y bate bien. Esta receta se sirve en dos tazones de cerámica. Toma dos tazones de cerámica, coloca el pan tostado y algunos higos en cada uno, espolvorea un poco de muesli y agrega un poco de la mezcla de huevo en cada tazón (asegurate de verter aproximadamente una cucharada en cada uno). Luego, coloca el pan tostado restante en cada tazón y agrega los higos restantes. Vierte la mezcla de huevo restante equitativamente en ambos tazones. Espolvoréalo con muesli por encima. Hornea el pudín de pan con higos y muesli durante unos 25 minutos hasta que suba y tenga una corteza dorada. Sirve la receta de pudín de pan con higos y muesli como postre después de la pizza de espinacas con tomates secos y queso feta para disfrutar de tu comida.</t>
  </si>
  <si>
    <t>Pour préparer le pudding au pain aux figues et au muesli, préchauffez le four à 180 °C pendant 10 minutes. Pendant ce temps, faites dorer le pain avec une cuillère à café d'huile, puis coupez-le en petits triangles et réservez. Dans un saladier, cassez les œufs, mélangez tous les ingrédients et fouettez bien. Cette recette est servie dans deux bols en céramique. Prenez deux bols en céramique, placez le pain grillé, quelques figues dans chacun, parsemez de muesli et ajoutez un peu de mélange d'œufs dans chaque bol. Assurez-vous d'en verser environ une cuillère à soupe dans chaque bol. Ensuite, placez le reste du pain grillé dans chaque bol et ajoutez les figues restantes. Répartissez le reste du mélange d'œufs de manière égale dans les deux bols. Saupoudrez de muesli sur le dessus. Faites cuire le pudding au pain aux figues et au muesli pendant environ 25 minutes jusqu'à ce qu'il lève et ait une croûte dorée sur le dessus. Servez la recette de pudding au pain aux figues et au muesli en dessert après la pizza aux épinards avec tomates séchées au soleil et fromage feta pour savourer votre repas.</t>
  </si>
  <si>
    <t>https://www.archanaskitchen.com/figs-and-muesli-bread-pudding-recipe</t>
  </si>
  <si>
    <t>Eggless Peanut Butter Cookies Recipe</t>
  </si>
  <si>
    <t>Rezept für Erdnussbutterkekse ohne Eier</t>
  </si>
  <si>
    <t>Recette de biscuits au beurre de cacahuète sans œufs</t>
  </si>
  <si>
    <t>Receta de galletas de mantequilla de cacahuete sin huevo</t>
  </si>
  <si>
    <t>1 tasse de beurre d'arachide - 1/2 tasse de beurre d'arachide lisse et 1/2 tasse de beurre d'arachide croquant, 1 tasse de farine tout usage (Maida), 1/2 tasse de sucre en poudre, 1/4 cuillère à café de levure chimique, 1/4 cuillère à café de bicarbonate de soude, 4 cuillères à soupe de lait</t>
  </si>
  <si>
    <t>1 cup Peanut Butter - 1/2 cup smooth peanut butter &amp; 1/2 cup crunchy peanut butter,1 cup All Purpose Flour (Maida),1/2 cup Sugar - powdered,1/4 teaspoon Baking powder,1/4 teaspoon Baking soda,4 tablespoon Milk</t>
  </si>
  <si>
    <t>1 taza de mantequilla de maní - 1/2 taza de mantequilla de maní suave y 1/2 taza de mantequilla de maní crujiente, 1 taza de harina para todo uso (Maida), 1/2 taza de azúcar - en polvo, 1/4 cucharadita de polvo para hornear, 1/4 cucharadita de bicarbonato de sodio, 4 cucharadas de leche</t>
  </si>
  <si>
    <t xml:space="preserve">To begin with Eggless Peanut Butter Cookies, sift together flour, salt, baking soda and baking powder in a mixing bowl. Keep this flour mixture aside.In a wide bowl, cream peanut butter for 3-4 minutes at minimum speed using a hand mixer. Add in the powdered sugar, 2 tablespoon milk and cream the mixture again for 3 minutes.At this stage, add flour mixture to the bowl and gradually mix at a very low speed until they are all well blended. Use hands and gently form a dough.If the dough is too thick, add a tablespoon of milk and refrigerate the dough for 20 minutes.Divide the dough into medium lemon sized balls and place them on a baking sheetUsing a fork, you can make a criss-cross pattern to achieve the classic look of peanut butter cookies.Make sure to leave enough space between them. Since the cookies tend to expand when they start baking in the oven.Preheat oven to 180 C and bake until the edges turn into slightly golden brown colour. It takes approximately 13-14 minutes.Once the cookies are cooled down, they become crunchy. You can store these baked goodies in an air tight container and they stay good for up to 5 days.Serve Eggless Peanut Butter Cookies with Masala Chai or a cup of coffee during your evening work-time.
</t>
  </si>
  <si>
    <t>Para comenzar con las galletas de mantequilla de maní sin huevo, tamice la harina, la sal, el bicarbonato de sodio y el polvo para hornear en un tazón. Mantenga esta mezcla de harina a un lado. En un tazón ancho, bata la mantequilla de maní durante 3-4 minutos a velocidad mínima con una batidora de mano. Agregue el azúcar en polvo, 2 cucharadas de leche y bata la mezcla nuevamente durante 3 minutos. En esta etapa, agregue la mezcla de harina al tazón y mezcle gradualmente a una velocidad muy baja hasta que todos estén bien combinados. Use las manos y forme una masa con cuidado. Si la masa es demasiado espesa, agregue una cucharada de leche y refrigere la masa durante 20 minutos. Divida la masa en bolas medianas del tamaño de un limón y colóquelas en una bandeja para hornear. Con un tenedor, puede hacer un patrón entrecruzado para lograr el aspecto clásico de las galletas de mantequilla de maní. Asegúrese de dejar suficiente espacio entre ellas. Dado que las galletas tienden a expandirse cuando comienzan a hornearse en el horno, precaliente el horno a 180 C y hornee hasta que los bordes se vuelvan de color marrón ligeramente dorado. Tarda aproximadamente entre 13 y 14 minutos. Una vez frías, las galletas quedan crujientes. Puedes guardarlas en un recipiente hermético y se conservan en buen estado hasta 5 días. Sirve las galletas de mantequilla de cacahuete sin huevo con Masala Chai o una taza de café durante tu jornada laboral.</t>
  </si>
  <si>
    <t>Pour commencer avec les biscuits au beurre de cacahuète sans œufs, tamisez ensemble la farine, le sel, le bicarbonate de soude et la levure chimique dans un bol à mélanger. Gardez ce mélange de farine de côté. Dans un grand bol, crémez le beurre de cacahuète pendant 3 à 4 minutes à vitesse minimale à l'aide d'un batteur à main. Ajoutez le sucre en poudre, 2 cuillères à soupe de lait et crémez à nouveau le mélange pendant 3 minutes. À ce stade, ajoutez le mélange de farine dans le bol et mélangez progressivement à très basse vitesse jusqu'à ce que le tout soit bien mélangé. Utilisez les mains et formez délicatement une pâte. Si la pâte est trop épaisse, ajoutez une cuillère à soupe de lait et réfrigérez la pâte pendant 20 minutes. Divisez la pâte en boules de la taille d'un citron moyen et placez-les sur une plaque à pâtisserie. À l'aide d'une fourchette, vous pouvez faire un motif croisé pour obtenir l'aspect classique des biscuits au beurre de cacahuète. Assurez-vous de laisser suffisamment d'espace entre eux. Étant donné que les biscuits ont tendance à gonfler lorsqu'ils commencent à cuire au four, Préchauffez le four à 180 °C et faites cuire jusqu'à ce que les bords deviennent légèrement dorés. Cela prend environ 13 à 14 minutes. Une fois refroidis, les biscuits deviennent croustillants. Vous pouvez conserver ces pâtisseries dans un récipient hermétique et elles se conserveront jusqu'à 5 jours. Servez ces biscuits au beurre de cacahuète sans œufs avec du masala chai ou une tasse de café pendant votre travail du soir.</t>
  </si>
  <si>
    <t>http://www.archanaskitchen.com/eggless-peanut-butter-cookies-recipe</t>
  </si>
  <si>
    <t>Kale Apple Salad Recipe</t>
  </si>
  <si>
    <t>Rezept für Grünkohl-Apfelsalat</t>
  </si>
  <si>
    <t>Recette de salade de chou frisé et de pomme</t>
  </si>
  <si>
    <t>Receta de ensalada de col rizada y manzana</t>
  </si>
  <si>
    <t>1 pomme coupée en fines tranches, 1 1/2 tasse de feuilles de chou frisé, 1/4 tasse d'amandes effilées, 1 cuillère à café de graines de chia, 1 cuillère à café de moutarde de Dijon, 1 cuillère à café de miel, sel au goût</t>
  </si>
  <si>
    <t>1 Apple - chopped into thin slices,1 1/2 cups Kale - leaves,1/4 cup Badam (Almond) - slivered,1 teaspoon Chia Seeds,1 teaspoon Dijon Mustard,1 teaspoon Honey,Salt - to taste</t>
  </si>
  <si>
    <t>1 manzana cortada en rodajas finas, 1 1/2 taza de hojas de col rizada, 1/4 taza de almendras en rodajas finas, 1 cucharadita de semillas de chía, 1 cucharadita de mostaza Dijon, 1 cucharadita de miel, sal al gusto.</t>
  </si>
  <si>
    <t xml:space="preserve">To begin making Kale Apple Salad Recipe, first clean the Kale leaves thoroughly as they contain fine mud particles in its crevices. Drain the water from the leaves and chop the Kale leaves.Mix the Kale leaves with a little salt in a bowl and rest for 5 minutes.Take a small mixing bowl and add Dijon mustard and honey. Mix them well. Now to assemble the salad, take a large salad bowl and add the kale leaves into it. Add the sliced apples, slivered almonds and dijon mustard and honey mix. to the kale and toss the salad well.Sprinkle chia seeds on top and serve cold.Serve Kale and Apple Salad for your sunday continental meal along with Cream of Mushroom Soup and Garlic Bread
</t>
  </si>
  <si>
    <t>Para preparar la receta de ensalada de col rizada y manzana, primero limpie bien las hojas de col rizada, ya que contienen partículas finas de barro en sus grietas. Escurra el agua de las hojas y píquelas. Mezcle las hojas de col rizada con un poco de sal en un tazón y deje reposar durante 5 minutos. En un tazón pequeño, agregue mostaza Dijon y miel. Mezcle bien. Ahora, para armar la ensalada, en un tazón grande, agregue las hojas de col rizada. Añada las manzanas en rodajas, las almendras fileteadas y la mezcla de mostaza Dijon y miel a la col rizada y mezcle bien. Espolvoree semillas de chía por encima y sirva fría. Sirva la ensalada de col rizada y manzana para su comida continental del domingo junto con crema de champiñones y pan de ajo.</t>
  </si>
  <si>
    <t>Pour préparer la salade de chou frisé aux pommes, nettoyez soigneusement les feuilles de chou frisé, car elles contiennent de fines particules de boue dans leurs interstices. Égouttez l'eau des feuilles et hachez-les. Mélangez les feuilles de chou frisé avec un peu de sel dans un bol et laissez reposer 5 minutes. Dans un petit saladier, ajoutez la moutarde de Dijon et le miel. Mélangez bien. Pour la préparation de la salade, prenez un grand saladier et ajoutez-y les feuilles de chou frisé. Ajoutez les pommes coupées en tranches, les amandes effilées et le mélange moutarde de Dijon et miel au chou frisé et mélangez bien la salade. Parsemez de graines de chia et servez froid. Servez la salade de chou frisé aux pommes pour votre repas continental du dimanche, accompagnée d'une crème de champignons et de pain à l'ail.</t>
  </si>
  <si>
    <t>http://www.archanaskitchen.com/kale-apple-salad-recipe</t>
  </si>
  <si>
    <t>Mini Key Lime Pie Recipe (No Bake And Eggless)</t>
  </si>
  <si>
    <t>Rezept für Mini-Key-Lime-Pie (ohne Backen und ohne Eier)</t>
  </si>
  <si>
    <t>Recette de mini tarte au citron vert (sans cuisson et sans œufs)</t>
  </si>
  <si>
    <t>Receta de mini tarta de lima (sin horno ni huevos)</t>
  </si>
  <si>
    <t>15 biscuits Marie, 1/4 tasse de beurre fondu, 1 tasse de crème à fouetter épaisse - ajoutez 4 cuillères à soupe de sucre glace tout en fouettant, 1/4 tasse de lait concentré, 2 cuillères à soupe de jus de citron, 1 jus de citron, 1/4 tasse d'eau, 1/4 tasse de sucre, 1/2 cuillère à café de colorant alimentaire vert</t>
  </si>
  <si>
    <t>15 Marie Biscuit,1/4 cup Butter - melted,1 cup Heavy whipping cream - add 4 tablespoon icing sugar while whipping,1/4 cup Condensed Milk,2 tablespoon Lemon juice,1 Lemon juice,1/4 cup Water,1/4 cup Sugar,1/2 teaspoon Green food colour</t>
  </si>
  <si>
    <t>15 galletas María, 1/4 taza de mantequilla derretida, 1 taza de crema batida espesa - agregue 4 cucharadas de azúcar glas mientras bate, 1/4 taza de leche condensada, 2 cucharadas de jugo de limón, 1 jugo de limón, 1/4 taza de agua, 1/4 taza de azúcar, 1/2 cucharadita de colorante alimentario verde</t>
  </si>
  <si>
    <t xml:space="preserve">To begin with Mini Key Lime Pie, firstly crush the marie biscuits to fine crumbs in a food processor.Add melted butter to the biscuit crumbs and mix well until it resembles wet sand texture.Take 6 shot glasses or bowls and spoon 2 teaspoons of the mixture into each bowl and press them using the back of a spoon and level it smooth.Keep these bowls in the refrigerator for 15 minutes or until the butter sets and the mixture firms up.Meanwhile, prepare the filling. Beat 1 cup of whipping cream until it becomes really soft.In an another bowl, mix well condensed milk and lime juice and add into the whipped cream. Fold in gently until everything mixes well.Take a piping bag and put in a nozzle of your choice.Transfer filling into the piping bag, and start piping each bowl on top of the biscuit base.Once all are done, chill them in the refrigerator till you serve.The next step is to glaze the mixture. For the glaze, in a saucepan add in water, lime juice, sugar, green food colour and let it simmer for 3 to 4 mins while continuously stirring.When done, let it cool down fully and then drizzle over the mini key lime pies.Garnish the mini pies with lime wedges, chill and serve.Serve Mini Key Lime Pie as Dessert during your tea or as Dinner party dessert with your friends and family.
</t>
  </si>
  <si>
    <t>Para preparar el mini pastel de lima, tritura las galletas María en un procesador de alimentos. Agrega mantequilla derretida a las migas de galleta y mezcla bien hasta obtener una textura similar a la arena húmeda. Toma 6 vasos de chupito o tazones y vierte 2 cucharaditas de la mezcla en cada uno. Presiona con el dorso de una cuchara para nivelar. Guarda los tazones en el refrigerador durante 15 minutos o hasta que la mantequilla cuaje y la mezcla esté firme. Mientras tanto, prepara el relleno. Bate 1 taza de crema batida hasta que esté bien suave. En otro tazón, mezcla bien la leche condensada y el jugo de limón e incorpóralos a la crema batida. Incorpora con movimientos envolventes hasta que todo esté bien integrado. Usa una manga pastelera y coloca la boquilla de tu elección. Transfiere el relleno a la manga pastelera y comienza a colocar cada tazón sobre la base de galleta. Una vez listo, refrigéralos hasta que los sirvas. El siguiente paso es glasear la mezcla. Para el glaseado, en una cacerola, agregue agua, jugo de limón, azúcar, colorante verde y deje hervir a fuego lento durante 3 a 4 minutos, revolviendo continuamente. Cuando esté listo, deje que se enfríe por completo y luego rocíe sobre las mini tartas de lima. Decore las mini tartas con gajos de lima, enfríe y sirva. Sirva la mini tarta de lima como postre durante su té o como postre para una cena con sus amigos y familiares.</t>
  </si>
  <si>
    <t>Pour commencer la Mini Key Lime Pie, écrasez les biscuits Marie en fines miettes dans un robot culinaire. Ajoutez le beurre fondu aux miettes de biscuits et mélangez bien jusqu'à obtenir une texture de sable humide. Prenez 6 verres à shot ou bols et versez 2 cuillères à café de la préparation dans chaque bol. Tassez-les avec le dos d'une cuillère et égalisez-les. Conservez les bols au réfrigérateur pendant 15 minutes ou jusqu'à ce que le beurre prenne et que le mélange se raffermisse. Pendant ce temps, préparez la garniture. Battez 250 ml de crème fouettée jusqu'à ce qu'elle soit bien souple. Dans un autre bol, mélangez bien le lait concentré et le jus de citron vert et ajoutez-les à la crème fouettée. Incorporez délicatement jusqu'à ce que le tout soit bien mélangé. Prenez une poche à douille et insérez-y une douille de votre choix. Versez la garniture dans la poche à douille et commencez à pocher chaque bol sur la base de biscuits. Une fois tous les bols prêts, placez-les au réfrigérateur jusqu'au moment de servir. L'étape suivante consiste à glacer le mélange. Pour le glaçage, dans une casserole, ajoutez l'eau, le jus de citron vert, le sucre, le colorant alimentaire vert et laissez mijoter pendant 3 à 4 minutes en remuant continuellement. Une fois terminé, laissez refroidir complètement, puis arrosez les mini tartes au citron vert. Garnissez les mini tartes de quartiers de citron vert, laissez refroidir et servez. Servez la mini tarte au citron vert comme dessert pendant votre thé ou comme dessert lors d'un dîner avec vos amis et votre famille.</t>
  </si>
  <si>
    <t>https://www.archanaskitchen.com/mini-key-lime-pie-no-bake-and-eggless-recipe</t>
  </si>
  <si>
    <t>Dates Chocolate &amp; Nut Balls Recipe (Energy Balls)</t>
  </si>
  <si>
    <t>Rezept für Dattel-Schoko-Nuss-Bällchen (Energiebällchen)</t>
  </si>
  <si>
    <t>Recette de boules dattes-chocolat-noix (boules énergétiques)</t>
  </si>
  <si>
    <t>Receta de bolitas de dátiles, chocolate y nueces (bolas energéticas)</t>
  </si>
  <si>
    <t>500 grammes de dattes sans pépins, 30 noix de cajou, 30 badam (amandes), 30 pistaches, 2 cuillères à soupe de cacao en poudre, 1/4 tasse de graines de sésame (graines de Til) grillées (ou de cacao en poudre ou de noix de coco), 2 cuillères à soupe de ghee</t>
  </si>
  <si>
    <t>500 grams Dates - seedless,30 Cashew nuts,30 Badam (Almond),30 Pistachios,2 tablespoons Cocoa Powder,1/4 cup Sesame seeds (Til seeds) - roasted (or cocoa powder or coconut),2 tablespoons Ghee</t>
  </si>
  <si>
    <t>500 gramos de dátiles sin semillas, 30 anacardos, 30 almendras, 30 pistachos, 2 cucharadas de cacao en polvo, 1/4 taza de semillas de sésamo tostadas (o cacao en polvo o coco), 2 cucharadas de ghee</t>
  </si>
  <si>
    <t xml:space="preserve">To begin making the Dates Choco Balls Recipe, first grind the seedless dates in a food processor or your mixer. Grind the dates to a fine paste without adding any water.Next, chop the cashew nuts, almonds and pistachios into small pieces and keep them aside until later use.In a non-stick flat bottom pan heat 1/2 tablespoon ghee and roast the nuts on a low-medium heat. Take care to roast them gently so they turn golden and aromatic, but not burn. Take them out of the ghee and set them aside.In the same pan heat the remaining 1/2 tablespoon of ghee and add the ground date paste and saute it for 2-3 minutes. Then, take it off the heat.Now add the roasted cashew nuts, almonds, pistachios, along with the cocoa powder, to the date mixture and combine it all. Allow the mixture to cool down.Once it is cool enough to handle, shape of your choice. You can roll the date chocolate mixture into lemon-sized balls for convenience. Then, roll them over sesame seeds, or coconut or even cocoa powder and store refrigerated for a couple of weeks.Making the Date Chocolate Balls bite-sized makes it convenient to carry when travelling too, or to gift them for the festivals like Diwali. You can also pop them into lunch boxes, snack on them after exercise and use them to satisfy your sweet cravings too.
</t>
  </si>
  <si>
    <t>Para empezar a preparar las bolitas de chocolate con dátiles, muele los dátiles sin semillas en un procesador de alimentos o batidora. Tritura los dátiles hasta obtener una pasta fina sin añadir agua. A continuación, pica los anacardos, las almendras y los pistachos en trozos pequeños y resérvalos para su uso posterior. En una sartén antiadherente de fondo plano, calienta 1/2 cucharada de ghee y tuesta los anacardos a fuego medio-bajo. Tuéstalos suavemente para que se doren y desprendan su aroma, pero sin que se quemen. Sácalos del ghee y resérvalos. En la misma sartén, calienta la 1/2 cucharada de ghee restante y añade la pasta de dátiles molida. Saltéalo durante 2-3 minutos. Retíralo del fuego. Añade los anacardos, las almendras y los pistachos tostados, junto con el cacao en polvo, a la mezcla de dátiles y mézclalos. Deja que la mezcla se enfríe. Una vez fría, dale la forma que prefieras. Puedes formar bolitas del tamaño de un limón con la mezcla de chocolate con dátiles para mayor comodidad. Luego, rebózalas con semillas de sésamo, coco o incluso cacao en polvo y guárdalas en el refrigerador durante un par de semanas. Al preparar las bolitas de chocolate y dátiles en un tamaño pequeño, son prácticas para llevar de viaje o para regalar en festividades como Diwali. También puedes meterlas en la lonchera, comerlas después de hacer ejercicio o para saciar tus antojos dulces.</t>
  </si>
  <si>
    <t>Pour préparer les boules de chocolat aux dattes, commencez par broyer les dattes sans pépins au robot culinaire ou au mixeur. Réduisez-les en pâte fine sans ajouter d'eau. Ensuite, hachez les noix de cajou, les amandes et les pistaches en petits morceaux et réservez-les. Dans une poêle antiadhésive à fond plat, faites chauffer 1/2 cuillère à soupe de ghee et torréfiez les noix à feu moyen-doux. Prenez soin de les dorer et de les parfumer, sans les brûler. Retirez-les du ghee et réservez. Dans la même poêle, faites chauffer la 1/2 cuillère à soupe de ghee restante, ajoutez la pâte de dattes moulue et faites-la revenir 2 à 3 minutes. Retirez ensuite du feu. Ajoutez les noix de cajou, les amandes et les pistaches grillées, ainsi que le cacao en poudre, au mélange de dattes et mélangez le tout. Laissez refroidir. Une fois refroidi, façonnez-les selon votre goût. Vous pouvez également rouler le mélange de dattes et chocolat en boules de la taille d'un citron. Roulez-les ensuite sur des graines de sésame, de la noix de coco ou même du cacao en poudre et conservez-les au réfrigérateur pendant quelques semaines. Préparer ces boules de chocolat aux dattes en bouchées les rend pratiques à emporter en voyage ou à offrir pour des fêtes comme Diwali. Vous pouvez également les glisser dans votre boîte à lunch, les grignoter après l'effort et les utiliser pour satisfaire vos envies de sucré.</t>
  </si>
  <si>
    <t>http://www.archanaskitchen.com/dates-chocolate-nut-balls-recipe-energy-balls-recipe</t>
  </si>
  <si>
    <t>Nutella Pancakes Recipe</t>
  </si>
  <si>
    <t>Rezept für Nutella-Pfannkuchen</t>
  </si>
  <si>
    <t>Recette de crêpes au Nutella</t>
  </si>
  <si>
    <t>Receta de crepas de Nutella</t>
  </si>
  <si>
    <t>10 cuillères à soupe de pâte à tartiner Nutella, 2 tasses de farine tout usage (Maida), 1 cuillère à café de levure chimique, 2 cuillères à soupe de sucre, une pincée de sel, 1 œuf entier, 1 tasse de lait, 1 cuillère à soupe d'extrait de vanille, 2 cuillères à soupe de beurre fondu + 2 cuillères à soupe pour la cuisson, fraises coupées en tranches selon les besoins (facultatif)</t>
  </si>
  <si>
    <t>10 tablespoons Nutella Spread,2 cups All Purpose Flour (Maida),1 teaspoon Baking powder,2 tablespoon Sugar,Salt - a pinch,1 Whole Egg,1 cup Milk,1 tablespoon Vanilla Extract,2 tablespoon Butter - melted + 2 tablespoon for cooking,Strawberries - sliced as required (optional)</t>
  </si>
  <si>
    <t>10 cucharadas de Nutella, 2 tazas de harina para todo uso (Maida), 1 cucharadita de polvo para hornear, 2 cucharadas de azúcar, sal - una pizca, 1 huevo entero, 1 taza de leche, 1 cucharada de extracto de vainilla, 2 cucharadas de mantequilla - derretida + 2 cucharadas para cocinar, fresas - cortadas en rodajas según sea necesario (opcional)</t>
  </si>
  <si>
    <t xml:space="preserve">To begin making the Nutella Pancakes recipe, line a baking sheet with parchment paper.Dollop two tablespoon nutella on baking tray and spread into a round disk shape around 2-1/2 inch in diameter and 1/8 inch thick. Repeat it for next 4 discs. Make sure you leave some space between each disk.Place the tray in freezer and let them freeze for 20-25 minutesAfter 25 minutes, peel off the disks from preachment paper and keep the disks in freezer until required.On other hand, add all dry ingredients in a mixing bowl including all purpose flour, baking powder, sugar, salt and mix it well.Now add all the wet ingredients including eggs, melted butter, milk and vanilla essence. Whisk everything well and make sure that the batter is lump free.Next, melt 1/4 tablespoon of butter on a non stick fry pan.Scoop 1/3 cup of batter on hot pan and place the Nutella disk in between and then top the disk with some more pancake batter. Make sure that you hide Nutella disk properly with batter.Let it cook for 2 to 3 minutes until golden in colour on one side, then flip it to other side and cook until other side is golden too.Repeat the same process with remaining batter and Nutella disks. Serve hot with sliced strawberries.Serve Nutella Pancakes for your weekend breakfast with Scrambled Egg Sandwich Recipe and Espresso Coffee.
</t>
  </si>
  <si>
    <t>Para comenzar a hacer la receta de Panqueques de Nutella, cubra una bandeja para hornear con papel pergamino. Coloque dos cucharadas de nutella en la bandeja para hornear y extiéndala en forma de disco redondo de alrededor de 2-1/2 pulgadas de diámetro y 1/8 de pulgada de grosor. Repítalo para los siguientes 4 discos. Asegúrese de dejar algo de espacio entre cada disco. Coloque la bandeja en el congelador y déjelos congelar durante 20-25 minutos. Después de 25 minutos, retire los discos del papel pergamino y manténgalos en el congelador hasta que los necesite. Por otro lado, agregue todos los ingredientes secos en un tazón, incluyendo harina para todo uso, polvo para hornear, azúcar, sal y mezcle bien. Ahora agregue todos los ingredientes húmedos, incluidos los huevos, la mantequilla derretida, la leche y la esencia de vainilla. Bata todo bien y asegúrese de que la masa no tenga grumos. Luego, derrita 1/4 cucharada de mantequilla en una sartén antiadherente. Coloque 1/3 de taza de masa en una sartén caliente y coloque el disco de Nutella en el medio y luego cubra el disco con un poco más de masa para panqueques. Asegúrate de cubrir bien el disco de Nutella con la masa. Déjalo cocinar de 2 a 3 minutos hasta que esté dorado por un lado, luego dale la vuelta y cocina hasta que el otro lado también esté dorado. Repite el mismo proceso con el resto de la masa y los discos de Nutella. Sirve caliente con fresas rebanadas. Sirve los panqueques de Nutella para tu desayuno de fin de semana con la receta del sándwich de huevos revueltos y café expreso.</t>
  </si>
  <si>
    <t>Pour commencer à préparer la recette des crêpes au Nutella, tapissez une plaque à pâtisserie de papier sulfurisé. Déposez deux cuillères à soupe de Nutella sur une plaque à pâtisserie et étalez-la en un disque rond d'environ 2-1/2 pouces de diamètre et 1/8 pouce d'épaisseur. Répétez l'opération pour les 4 disques suivants. Assurez-vous de laisser un peu d'espace entre chaque disque. Placez le plateau au congélateur et laissez-les congeler pendant 20 à 25 minutes. Après 25 minutes, décollez les disques du papier sulfurisé et conservez-les au congélateur jusqu'à ce que vous en ayez besoin. D'autre part, ajoutez tous les ingrédients secs dans un bol à mélanger, y compris la farine tout usage, la levure chimique, le sucre, le sel et mélangez bien. Ajoutez maintenant tous les ingrédients humides, y compris les œufs, le beurre fondu, le lait et l'essence de vanille. Fouettez bien le tout et assurez-vous que la pâte est sans grumeaux. Ensuite, faites fondre 1/4 cuillère à soupe de beurre dans une poêle antiadhésive. Prélevez 1/3 tasse de pâte sur une poêle chaude et placez le disque de Nutella entre les deux, puis recouvrez le disque d'un peu plus de pâte à crêpes. Assurez-vous de bien recouvrir le disque de Nutella de pâte. Laissez cuire 2 à 3 minutes jusqu'à ce qu'il soit doré d'un côté, puis retournez-le et laissez cuire jusqu'à ce que l'autre côté soit également doré. Répétez le même processus avec le reste de pâte et les disques de Nutella. Servez chaud avec des fraises coupées en tranches. Servez des crêpes au Nutella pour votre petit-déjeuner du week-end avec la recette du sandwich aux œufs brouillés et un café expresso.</t>
  </si>
  <si>
    <t>https://www.archanaskitchen.com/nutella-pancakes-recipe</t>
  </si>
  <si>
    <t>Erdbeersalat Rezept - Rezept für Erdbeersalat</t>
  </si>
  <si>
    <t>Recette de salade de fraises - Recette de salade de fraises</t>
  </si>
  <si>
    <t>Receta de ensalada de fresas - Receta de ensalada de fresas</t>
  </si>
  <si>
    <t>10 à 12 fraises - hachées, 1 oignon - petit, 1 concombre - haché, 3 brins de feuilles de coriandre - hachées, 1/4 tasse d'huile d'olive, 1 cuillère à soupe de flocons de piment rouge, sel - selon le goût, 1/2 cuillère à café de miel</t>
  </si>
  <si>
    <t>10 to 12 strawberries - chopped, 1 onion - small, 1 cucumber - chopped, 3 sprigs of coriander leaves - chopped, 1/4 cup olive oil, 1 tablespoon red chilli flakes, salt - according to taste, 1/2 teaspoon honey</t>
  </si>
  <si>
    <t>10 a 12 fresas picadas, 1 cebolla pequeña, 1 pepino picado, 3 ramitas de hojas de cilantro picadas, 1/4 taza de aceite de oliva, 1 cucharada de hojuelas de chile rojo, sal al gusto, 1/2 cucharadita de miel</t>
  </si>
  <si>
    <t>To make strawberry salad recipe, first of all prepare all the ingredients. Now put strawberries, onion, cucumber, green coriander in a bowl and mix well. Put olive oil, red chilli flakes, salt, honey in another bowl and mix well. Pour this dressing on the salad and mix everything well.</t>
  </si>
  <si>
    <t>Para preparar la receta de ensalada de fresas, primero prepare todos los ingredientes. Ponga las fresas, la cebolla, el pepino y el cilantro verde en un tazón y mezcle bien. En otro tazón, agregue aceite de oliva, hojuelas de chile rojo, sal y miel, y mezcle bien. Vierta este aderezo sobre la ensalada y mezcle bien.</t>
  </si>
  <si>
    <t>Pour préparer la salade de fraises, préparez d'abord tous les ingrédients. Dans un bol, mettez les fraises, l'oignon, le concombre et la coriandre verte et mélangez bien. Dans un autre bol, ajoutez l'huile d'olive, les flocons de piment rouge, le sel et le miel et mélangez bien. Versez cette vinaigrette sur la salade et mélangez bien le tout.</t>
  </si>
  <si>
    <t>http://www.archanaskitchen.com/strawberry-salad-recipe-in-hindi</t>
  </si>
  <si>
    <t>Savory Bread Pudding with Broccoli and Tomato Recipe</t>
  </si>
  <si>
    <t>Rezept für herzhaften Brotpudding mit Brokkoli und Tomaten</t>
  </si>
  <si>
    <t>Recette de pudding au pain salé au brocoli et aux tomates</t>
  </si>
  <si>
    <t>Receta de budín de pan sabroso con brócoli y tomates</t>
  </si>
  <si>
    <t>150 grammes de Kaddu (Parangikai/citrouille) - peau pelée et coupée en cubes, 1 tasse de brocoli - coupé en fleurons moyens, 1 oignon - tranché, 2 gousses d'ail - hachées, 1 cuillère à café de romarin, 1/2 cuillère à café de cannelle en poudre (Dalchini), sel - au goût, 1/2 baguette - blé entier, 1/4 tasse de lait, 1 tomate - tranchée, 1 œuf entier, 1 tasse de lait, 1 cuillère à café d'extrait de vanille, 2 cuillères à soupe de miel</t>
  </si>
  <si>
    <t>150 grams Kaddu (Parangikai/ Pumpkin) - skin peeled and cubed,1 cup Broccoli - chopped into medium florets,1 Onion - sliced,2 cloves Garlic - chopped,1 teaspoon Rosemary,1/2 teaspoon Cinnamon Powder (Dalchini),Salt - to taste,1/2 Baguette - whole wheat,1/4 cup Milk,1 Tomato - sliced,1 Whole Egg,1 cup Milk,1 teaspoon Vanilla Extract,2 tablespoons Honey</t>
  </si>
  <si>
    <t>150 gramos de Kaddu (Parangikai/calabaza) - piel pelada y cortada en cubos, 1 taza de brócoli - picado en floretes medianos, 1 cebolla - en rodajas, 2 dientes de ajo - picados, 1 cucharadita de romero, 1/2 cucharadita de canela en polvo (Dalchini), sal - al gusto, 1/2 baguette - integral, 1/4 taza de leche, 1 tomate - en rodajas, 1 huevo entero, 1 taza de leche, 1 cucharadita de extracto de vainilla, 2 cucharadas de miel</t>
  </si>
  <si>
    <t xml:space="preserve">To begin making the Savory Bread Pudding with Broccoli and Tomato Recipe, pressure cook the pumpkin with water for about 3 whistle. Keep it aside until the pressure is released naturally.Pre heat the oven to 180 degree Celsius to 10 minutes.Heat a sauce pan with oil, add onions and garlic sauté until it softens. Add broccoli and sauté until the broccoli has the slight crunch.Add boiled pumpkin along with cinnamon powder, rosemary, salt and pepper. Give it a toss.Add milk and check for salt. Cook until the mixture thickens little.Take out a baking tray, layer half of the mixture first. Add half of the chopped baguette. Layer the rest of the mixture on top and add the remaining baguette.Whisk in the egg, milk, vanilla and honey together and pour it over.Add sliced tomatoes over the top and sprinkle with the rest of seasonings and bake it in the oven for 20 minutes. Serve the Bread Pudding with Broccoli and Tomato Recipe along with Plum Ginger Juice and Fresh Fruit Bowl to kick start your mornings.
</t>
  </si>
  <si>
    <t>Para comenzar a hacer la receta de budín de pan sabroso con brócoli y tomate, cocine a presión la calabaza con agua durante aproximadamente 3 silbidos. Déjela a un lado hasta que la presión se libere naturalmente. Precaliente el horno a 180 grados Celsius a 10 minutos. Caliente una cacerola con aceite, agregue cebollas y ajo salteado hasta que se ablande. Agregue el brócoli y saltee hasta que el brócoli tenga un ligero crujido. Agregue la calabaza hervida junto con la canela en polvo, el romero, la sal y la pimienta. Revuelva. Agregue la leche y verifique la sal. Cocine hasta que la mezcla espese un poco. Saque una bandeja para hornear, coloque la mitad de la mezcla primero. Agregue la mitad de la baguette picada. Coloque el resto de la mezcla en la parte superior y agregue la baguette restante. Bata el huevo, la leche, la vainilla y la miel juntos y viértalo encima. Agregue tomates en rodajas en la parte superior y espolvoree con el resto de los condimentos y hornee en el horno durante 20 minutos. Sirva la receta de budín de pan con brócoli y tomate junto con jugo de ciruela y jengibre y un tazón de fruta fresca para comenzar sus mañanas con energía.</t>
  </si>
  <si>
    <t>Pour commencer à préparer la recette de pouding au pain salé au brocoli et à la tomate, faites cuire la citrouille sous pression avec de l'eau pendant environ 3 sifflets. Gardez-la de côté jusqu'à ce que la pression se relâche naturellement. Préchauffez le four à 180 degrés Celsius pendant 10 minutes. Faites chauffer une casserole avec de l'huile, ajoutez les oignons et l'ail et faites revenir jusqu'à ce qu'ils ramollissent. Ajoutez le brocoli et faites sauter jusqu'à ce qu'il soit légèrement croquant. Ajoutez la citrouille bouillie avec la cannelle en poudre, le romarin, le sel et le poivre. Mélangez. Ajoutez le lait et vérifiez la présence de sel. Faites cuire jusqu'à ce que le mélange épaississe un peu. Sortez une plaque de cuisson, superposez d'abord la moitié du mélange. Ajoutez la moitié de la baguette hachée. Superposez le reste du mélange et ajoutez la baguette restante. Incorporez l'œuf, le lait, la vanille et le miel ensemble et versez dessus. Ajoutez les tomates tranchées sur le dessus et saupoudrez du reste des assaisonnements et faites cuire au four pendant 20 minutes. Servez la recette de pouding au pain avec brocoli et tomates avec du jus de prune et de gingembre et un bol de fruits frais pour bien démarrer vos matinées.</t>
  </si>
  <si>
    <t>http://www.archanaskitchen.com/savory-bread-pudding-with-broccoli-and-tomato-recipe</t>
  </si>
  <si>
    <t>Rice Sizzler With Tomato Coulis Recipe</t>
  </si>
  <si>
    <t>Reis-Sizzler mit Tomatencoulis-Rezept</t>
  </si>
  <si>
    <t>Recette de riz grésillant au coulis de tomates</t>
  </si>
  <si>
    <t>Receta de arroz chisporroteante con coulis de tomate</t>
  </si>
  <si>
    <t>2 cuillères à café d'huile de tournesol, 2 clous de girofle (Laung), 1 feuille de laurier (tej patta), 1 bâton de cannelle (Dalchini), 2 gousses/graines de cardamome (Elaichi), 1 cardamome noire (Badi Elaichi), 8 à 10 grains de poivre noir entiers, 1 cuillère à café de graines de cumin (Jeera), 1 oignon finement haché, 2 piments verts finement hachés, 1 carotte (Gajjar) hachée, 2 cuillères à soupe de pois verts (Matar), 1/2 tasse de riz basmati trempé dans l'eau pendant environ une heure, 4 tomates, 1 cuillère à soupe d'huile de tournesol, 1 cuillère à café d'ail haché, sel au goût, poivre noir en poudre au goût, 1 cuillère à café de beurre, 1/2 tasse de carotte (Gajjar) coupée en dés, poivron vert coupé en dés, 1 tasse de pommes de terre (Aloo) en quartiers, feuilles de coriandre (Dhania) une poignée, 1 cuillère à café de beurre, 1 cuillère à café d'huile de tournesol mélangée à 4 cuillères à soupe d'eau donnez-lui un effet crépitant.</t>
  </si>
  <si>
    <t>2 teaspoon Sunflower Oil,2 Cloves (Laung),1 Bay leaf (tej patta),1 Cinnamon Stick (Dalchini),2 Cardamom (Elaichi) Pods/Seeds,1 Black cardamom (Badi Elaichi),8-10 Whole Black Peppercorns,1 teaspoon Cumin seeds (Jeera),1 Onion - finely chopped,2 Green Chillies - finely chopped,1 Carrot (Gajjar) - chopped,2 tablespoons Green peas (Matar),1/2 cup Basmati rice - soaked in water for about an hour,4 Tomatoes,1 tablespoon Sunflower Oil,1 teaspoon Garlic - chopped,Salt - to taste,Black pepper powder - to taste,1 teaspoon Butter,1/2 cup Carrot (Gajjar) - chopped into cubes,Green Bell Pepper (Capsicum) - chopped into cubes,1 cup Potato (Aloo) - wedges,Coriander (Dhania) Leaves - Handful,1 teaspoon Butter,1 teaspoon Sunflower Oil - mixed with 4 tablespoon water to give it a sizzling effect.</t>
  </si>
  <si>
    <t>2 cucharaditas de aceite de girasol, 2 clavos (Laung), 1 hoja de laurel (tej patta), 1 rama de canela (Dalchini), 2 vainas/semillas de cardamomo (Elaichi), 1 cardamomo negro (Badi Elaichi), 8-10 granos de pimienta negra enteros, 1 cucharadita de semillas de comino (Jeera), 1 cebolla - finamente picada, 2 chiles verdes - finamente picados, 1 zanahoria (Gajjar) - picada, 2 cucharadas de guisantes verdes (Matar), 1/2 taza de arroz basmati - remojado en agua durante aproximadamente una hora, 4 tomates, 1 cucharada de aceite de girasol, 1 cucharadita de ajo - picado, sal - al gusto, pimienta negra en polvo - al gusto, 1 cucharadita de mantequilla, 1/2 taza de zanahoria (Gajjar) - picada en cubos, pimiento verde (Capsicum) - picado en cubos, 1 taza de papa (Aloo) - gajos, hojas de cilantro (Dhania) - puñado, 1 cucharadita de mantequilla, 1 cucharadita de aceite de girasol - mezclado con 4 cucharadas de agua para darle un efecto chisporroteante.</t>
  </si>
  <si>
    <t xml:space="preserve">To begin making the Rice Sizzler With Tomato Coulis recipe, firstly we will prepare the tomato coulis sauce.Dip the tomatoes in a saucepan of hot boiling water for about 20-30 seconds. After 20-30 seconds, peel of the skin of the tomatoes and chop them very finely.Heat the oil in a pan and sauté the tomatoes with garlic for about 10 minutes on low heatOnce it is done, add salt, pepper and butter. Blend the mixture in a mixer to make a puree out of it and keep it aside.The next step is to make the rice. Heat oil in a kadhai and add cloves, bay leaf, cinnamon, cardamom, black elaichi, black pepper corns and cumin seeds. Saute them for about a minute.After a minute, add onion and sauté them again for another minute. Now add green chili, carrot, green peas, basmati rice and double the volume of water. Cover and cook it on low heat till the rice is soft.Preheat the sizzle plate in the oven for about 30 minutes.The next step is to combine and serve it on a sizzler plate. Drizzle some butter and spread cabbage leaves. Fill a small round cup with the rice and invert it in the centre of sizzler plate.Pour the half tomato coulis over rice. Mix vegetables with the remaining sauce and cook for two minutes in a pan.Arrange saucy vegetables and potato wedges at the side of the hot plate and sprinkle some coriander leaves and serve.Make Rice Sizzler With Tomato Coulis for a light dinner during your busy weekdays and enjoy it with your family.You can optionally add some stuffed grilled tomatoes by the side for an addition twist.
</t>
  </si>
  <si>
    <t>Para empezar a preparar la receta de Arroz Sizzler con Coulis de Tomate, primero prepararemos la salsa de coulis de tomate. Sumerja los tomates en una cacerola con agua hirviendo durante unos 20-30 segundos. Después de 20-30 segundos, pélelos y píquelos muy finos. Caliente el aceite en una sartén y sofría los tomates con ajo durante unos 10 minutos a fuego lento. Una vez hecho, añada sal, pimienta y mantequilla. Triture la mezcla en una batidora hasta obtener un puré y reserve. El siguiente paso es preparar el arroz. Caliente el aceite en un kadhai y añada clavo, laurel, canela, cardamomo, elaichi negro, pimienta negra en grano y comino. Sofría durante aproximadamente un minuto. Después de un minuto, añada la cebolla y sofría de nuevo durante otro minuto. A continuación, añada el chile verde, la zanahoria, los guisantes, el arroz basmati y duplique el volumen de agua. Tapa y cocina a fuego lento hasta que el arroz esté tierno. Precalienta la plancha en el horno durante unos 30 minutos. El siguiente paso es mezclar y servir en una plancha. Rocía con mantequilla y extiende hojas de col. Llena un vaso pequeño y redondo con el arroz y colócalo boca abajo en el centro de la plancha. Vierte la mitad del coulis de tomate sobre el arroz. Mezcla las verduras con la salsa restante y cocina durante dos minutos en una sartén. Coloca las verduras con la salsa y las patatas gajo a un lado de la plancha, espolvorea con hojas de cilantro y sirve. Prepara un arroz con coulis de tomate para una cena ligera durante tus días de semana y disfrútalo en familia. Opcionalmente, puedes añadir tomates asados ​​rellenos para darle un toque especial.</t>
  </si>
  <si>
    <t>Pour préparer le riz grésillant au coulis de tomates, commencez par préparer la sauce tomate. Plongez les tomates dans une casserole d'eau bouillante pendant 20 à 30 secondes. Après 20 à 30 secondes, épluchez-les et hachez-les finement. Faites chauffer l'huile dans une poêle et faites revenir les tomates avec l'ail pendant environ 10 minutes à feu doux. Salez, poivrez et beurrez. Mixez le tout au mixeur pour obtenir une purée et réservez. Préparez ensuite le riz. Faites chauffer l'huile dans un kadhai et ajoutez les clous de girofle, le laurier, la cannelle, la cardamome, l'élaichi noir, les grains de poivre noir et les graines de cumin. Faites revenir le tout pendant environ une minute. Ajoutez ensuite l'oignon et faites revenir encore une minute. Ajoutez ensuite le piment vert, la carotte, les petits pois, le riz basmati et doublez le volume d'eau. Couvrez et laissez cuire à feu doux jusqu'à ce que le riz soit tendre. Préchauffez le plat à gratin au four pendant environ 30 minutes. Ensuite, mélangez et servez dans un plat à gratin. Arrosez d'un filet de beurre et parsemez de feuilles de chou. Remplissez une petite coupelle ronde de riz et retournez-la au centre du plat à gratin. Versez la moitié du coulis de tomates sur le riz. Mélangez les légumes avec le reste de sauce et faites cuire deux minutes à la poêle. Disposez les légumes en sauce et les quartiers de pommes de terre sur le côté du plat chaud, parsemez de feuilles de coriandre et servez. Préparez un riz à gratin au coulis de tomates pour un dîner léger en semaine, à savourer en famille. Vous pouvez éventuellement ajouter des tomates grillées farcies à côté pour une touche d'originalité.</t>
  </si>
  <si>
    <t>https://www.archanaskitchen.com/rice-sizzler-with-tomato-coulis-recipe</t>
  </si>
  <si>
    <t>Sprouted Mung Bean and Spinach Soup Recipe</t>
  </si>
  <si>
    <t>Rezept für gekeimte Mungobohnen-Spinat-Suppe</t>
  </si>
  <si>
    <t>Recette de soupe aux haricots mungo germés et aux épinards</t>
  </si>
  <si>
    <t>Receta de sopa de frijoles mungo germinados y espinacas</t>
  </si>
  <si>
    <t>3/4 à 1 tasse de pousses de moong vertes, 1 tasse de feuilles d'épinards (Palak) - (avec les tiges) lavées et hachées, 1 oignon - haché, 1 tomate - blanchie, 1/2 cuillère à café de gingembre - râpé, 1 à 2 gousses d'ail - hachées, 1/2 cuillère à café de cumin en poudre (Jeera), 1 pincée de poudre de piment rouge - ou de flocons, sel et poivre - au goût, 2 cuillères à café d'huile de tournesol - ou de ghee ou de beurre, 2 quartiers de citron vert, 2 brins de feuilles de coriandre (Dhania) - ou de feuilles de menthe pour servir</t>
  </si>
  <si>
    <t>3/4-1 cup Green Moong Sprouts,1 cup Spinach Leaves (Palak) - (with stems) washed and chopped,1 Onion - chopped,1 Tomato - blanched,1/2 teaspoon Ginger - grated,1-2 cloves Garlic - minced,1/2 teaspoon Cumin powder (Jeera),1 pinch Red Chilli powder - or flakes,Salt and Pepper - to taste,2 teaspoon Sunflower Oil - or ghee or butter,2 Lime Wedges,2 sprigs Coriander (Dhania) Leaves - or mint leaves to serve</t>
  </si>
  <si>
    <t>3/4-1 taza de brotes de Moong verdes, 1 taza de hojas de espinaca (Palak) - (con tallos) lavadas y picadas, 1 cebolla - picada, 1 tomate - blanqueado, 1/2 cucharadita de jengibre - rallado, 1-2 dientes de ajo - picados, 1/2 cucharadita de comino en polvo (Jeera), 1 pizca de chile rojo en polvo - o hojuelas, sal y pimienta - al gusto, 2 cucharaditas de aceite de girasol - o ghee o mantequilla, 2 gajos de lima, 2 ramitas de hojas de cilantro (Dhania) - u hojas de menta para servir</t>
  </si>
  <si>
    <t xml:space="preserve">To begin making the Sprouted Mung beans and Spinach Soup Recipe, first heat oil or ghee or butter in a saucepan.Add the onion, garlic and sauté for 1-2 minutes.Add the ginger, chilli powder and cumin powder. Mix and add the mung beans.Add 2-2 1/2 cups of vegetable stock and cook covered for 5-6 minutes.Add the tomato and season with salt.Mix well. Add the spinach leaves and cook for 2-3 minutes.Serve Sprouted Mung beans and Spinach Soup Recipe in individual bowls, garnished with lime juice and coriander/mint leaves.Serve the Sprouted Mung Bean and Spinach Soup Recipe as a starter to your sunday meal before Mexican Sizzler Recipe and end it with a Butterscotch Marshmallow Mousse Recipe.
</t>
  </si>
  <si>
    <t>Para empezar a preparar la receta de sopa de frijoles mungo germinados y espinacas, primero calienta aceite, ghee o mantequilla en una cacerola. Agrega la cebolla, el ajo y saltea durante 1-2 minutos. Agrega el jengibre, el chile en polvo y el comino en polvo. Mezcla y agrega los frijoles mungo. Agrega de 2 a 2 1/2 tazas de caldo de verduras y cocina tapado durante 5-6 minutos. Agrega el tomate y sazona con sal. Mezcla bien. Agrega las hojas de espinaca y cocina durante 2-3 minutos. Sirve la receta de sopa de frijoles mungo germinados y espinacas en tazones individuales, adornados con jugo de limón y hojas de cilantro/menta. Sirve la receta de sopa de frijoles mungo germinados y espinacas como entrada para tu comida del domingo antes de la receta de Sizzler mexicano y termínala con una receta de mousse de caramelo y malvavisco.</t>
  </si>
  <si>
    <t>Pour commencer à préparer la soupe aux haricots mungo germés et aux épinards, faites chauffer l'huile, le ghee ou le beurre dans une casserole. Ajoutez l'oignon et l'ail et faites revenir 1 à 2 minutes. Ajoutez le gingembre, le piment en poudre et le cumin en poudre. Mélangez et ajoutez les haricots mungo. Ajoutez 500 ml à 600 ml de bouillon de légumes et laissez mijoter à couvert pendant 5 à 6 minutes. Ajoutez la tomate et salez. Bien mélanger. Ajoutez les feuilles d'épinards et laissez mijoter 2 à 3 minutes. Servez la soupe aux haricots mungo germés et aux épinards dans des bols individuels, garnis de jus de citron vert et de feuilles de coriandre/menthe. Servez la soupe aux haricots mungo germés et aux épinards en entrée de votre repas du dimanche avant la recette du Sizzler mexicain et terminez par une recette de mousse de guimauve au caramel.</t>
  </si>
  <si>
    <t>http://www.archanaskitchen.com/sprouted-mung-bean-and-spinach-soup-recipe</t>
  </si>
  <si>
    <t>Healthy Rose Cookies Recipe With Persian Twist</t>
  </si>
  <si>
    <t>Gesundes Rosenkekse-Rezept mit persischem Touch</t>
  </si>
  <si>
    <t>Recette de biscuits à la rose sains avec une touche persane</t>
  </si>
  <si>
    <t>Receta de galletas de rosas saludables con un toque persa</t>
  </si>
  <si>
    <t>1 tasse de farine de blé entier, 1/4 tasse de Sooji (semoule/Rava), 1/4 tasse de farine de pois chiche (besan), 1/4 tasse de noix de coco râpée, 1 tasse de pétales de rose, 1/2 tasse de dattes, 2 cuillères à soupe de pistaches grossièrement concassées, 3/4 tasse de beurre à température ambiante, 1 cuillère à café de levure chimique, 3 cuillères à soupe de sucre, 1/2 tasse de pétales de rose, 1 cuillère à soupe d'eau</t>
  </si>
  <si>
    <t>1 cup Whole Wheat Flour,1/4 cup Sooji (Semolina/ Rava),1/4 cup Gram flour (besan),1/4 cup Dessicated Coconut,1 cup Rose Petals,1/2 cup Dates,2 tablespoons Pistachios - coarsely broken,3/4 cup Butter - at room temperature,1 teaspoon Baking powder,3 tablespoon Sugar,1/2 cup Rose Petals,1 tablespoon Water</t>
  </si>
  <si>
    <t>1 taza de harina integral, 1/4 taza de Sooji (sémola/rava), 1/4 taza de harina de garbanzos (besan), 1/4 taza de coco deshidratado, 1 taza de pétalos de rosa, 1/2 taza de dátiles, 2 cucharadas de pistachos - partidos en trozos grandes, 3/4 taza de mantequilla - a temperatura ambiente, 1 cucharadita de polvo para hornear, 3 cucharadas de azúcar, 1/2 taza de pétalos de rosa, 1 cucharada de agua</t>
  </si>
  <si>
    <t xml:space="preserve">Before we start making Healthy Rose Cookies Recipe With Persian Twist, make sure all the ingredients required are at room temperature.Mix together the dry ingredients- flour, semolina, coconut, baking powder and dried rose petals.Now, gently add in butter, date syrup, and knead the mix to form a crumbly dough, then knead to make a firm cookie dough. Set aside.To prepare the glaze or rose reduction, add sugar, rose petals and water in a pan and heat on a low flame till the rose juice gets evenly dissolved and the mixture turns pinkish and turbid. Keep aside to cool.Preheat Oven to 200 degrees Celsius.Roll out the cookie dough and cut to the round shape with a Cookie cutter. Add and gently press some broken pistachios into each cookie.Arrange them on a Baking sheet on the baking tray and bake in the oven for about 20 minutes or till done.Glaze the rose reduction/glaze on your cookies with the help of a basting brush for that shiny layer and texture.Serve Healthy Rose Cookies Recipe With Persian Twist with Qahwa and Lentil Tabbouleh during snack time. 
</t>
  </si>
  <si>
    <t>Antes de empezar a preparar la Receta de Galletas de Rosa Saludables con un Toque Persa, asegúrate de que todos los ingredientes estén a temperatura ambiente. Mezcla los ingredientes secos: harina, sémola, coco, levadura química y pétalos de rosa secos. Agrega suavemente la mantequilla y el jarabe de dátiles, y amasa hasta obtener una masa desmenuzable. Luego, amasa hasta obtener una masa firme. Reserva. Para preparar el glaseado o la reducción de rosas, agrega el azúcar, los pétalos de rosa y el agua en una cacerola y calienta a fuego lento hasta que el jugo de rosas se disuelva uniformemente y la mezcla adquiera un tono rosado y turbio. Reserva para que se enfríe. Precalienta el horno a 200 grados Celsius. Extiende la masa de galletas y córtala en forma redonda con un cortador de galletas. Añade y presiona suavemente algunos pistachos rotos en cada galleta. Colócalas en una bandeja para hornear y hornéalas durante unos 20 minutos o hasta que estén listas. Glasea la reducción/glaseado de rosas sobre tus galletas con la ayuda de un pincel para lograr una capa brillante y textura uniforme. Sirve la receta de galletas de rosas saludables con un toque persa con Qahwa y tabulé de lentejas durante la merienda.</t>
  </si>
  <si>
    <t>Avant de commencer à préparer la recette de biscuits à la rose sains avec une touche persane, assurez-vous que tous les ingrédients nécessaires sont à température ambiante. Mélangez les ingrédients secs : farine, semoule, noix de coco, levure chimique et pétales de rose séchés. Ajoutez délicatement le beurre, le sirop de dattes et pétrissez le mélange jusqu'à obtenir une pâte friable, puis ferme. Réservez. Pour préparer le glaçage ou la réduction de rose, ajoutez le sucre, les pétales de rose et l'eau dans une casserole et faites chauffer à feu doux jusqu'à ce que le jus de rose soit uniformément dissous et que le mélange devienne rose et trouble. Laissez refroidir. Préchauffez le four à 200 °C. Étalez la pâte à biscuits et découpez-la en forme de rond à l'aide d'un emporte-pièce. Ajoutez et pressez délicatement quelques pistaches cassées dans chaque biscuit. Disposez-les sur une plaque de cuisson et faites cuire au four pendant environ 20 minutes ou jusqu'à ce qu'elles soient cuites. Badigeonnez vos biscuits de réduction/glaçage à la rose à l'aide d'un pinceau à badigeonner pour obtenir une couche et une texture brillantes. Servez la recette de biscuits à la rose sains avec une touche persane avec du Qahwa et du taboulé de lentilles pendant le goûter.</t>
  </si>
  <si>
    <t>https://www.archanaskitchen.com/healthy-rose-cookies-recipe-with-persian-twist</t>
  </si>
  <si>
    <t>Oats Carrot Cake Cookies Recipe</t>
  </si>
  <si>
    <t>Rezept für Hafer-Karottenkuchen-Kekse</t>
  </si>
  <si>
    <t>Recette de biscuits au gâteau aux carottes et à l'avoine</t>
  </si>
  <si>
    <t>Receta de galletas de avena y pastel de zanahoria</t>
  </si>
  <si>
    <t>1 tasse de flocons d'avoine instantanés (gruau), 3/4 tasse de farine de blé entier, 1 cuillère à soupe de poudre de cannelle (Dalchini), 1 cuillère à soupe de levure chimique, 1/4 cuillère à soupe de sel de mer - ou au goût, 8 noix - hachées, 4 cuillères à soupe de raisins secs, 1/4 cuillère à soupe de gingembre - râpé, 1-1/2 tasse de carottes (Gajjar) - râpées, 1 œuf entier, 1/2 tasse de miel, 1/2 tasse d'huile de coco</t>
  </si>
  <si>
    <t>1 cup Instant Oats (Oatmeal),3/4 cup Whole Wheat Flour,1 tablespoon Cinnamon Powder (Dalchini),1 tablespoon Baking powder,1/4 tablespoon Sea salt - or to taste,8 Walnuts - chopped,4 tablespoons Raisins,1/4 tablespoon Ginger - grated,1-1/2 cup Carrot (Gajjar) - grated,1 Whole Egg,1/2 cup Honey,1/2 cup Coconut Oil</t>
  </si>
  <si>
    <t>1 taza de avena instantánea (avena), 3/4 taza de harina integral, 1 cucharada de canela en polvo (dalchini), 1 cucharada de polvo para hornear, 1/4 cucharada de sal marina (o al gusto), 8 nueces picadas, 4 cucharadas de pasas, 1/4 cucharada de jengibre rallado, 1-1/2 taza de zanahoria rallada (gajjar), 1 huevo entero, 1/2 taza de miel, 1/2 taza de aceite de coco</t>
  </si>
  <si>
    <t xml:space="preserve">To begin making Oats Carrot Cake Cookies Recipe, preheat oven at 180 degree.In a large mixing bowl, add oats, whole wheat flour, baking powder, cinnamon, salt and grated ginger. Mix everything well.Add grated carrot, walnuts and raisins. Stir to combine.Take another bowl and mix honey and oil together, whisk it properly so that oil n honey mix together properly.Add one large egg and beat it again (if you don't eat egg, you can skip this part)Add oil, honey and egg mixture to our first mixing bowl which is having flour and oats mixture.Fold the mixture well and make a dough, now cover the dough with plastic cling film and keep it in fridge.After 15-20 minutes, take the dough out and scoop out some dough with a spoon or ice cream scoop, spread on baking tray lined with parchment paper. Flattened each cookie dough by using ur palm.Repeat the same process with rest of the dough.Make sure that you leave space between each cookie .Bake at 180 degree for 15-17 minutes or until golden and firm around the edges.Cool down the cookies for 10 minutes and cookies are ready to eat.Serve Oats Carrot Cake Cookies Recipe and Healthy Rose Cookies Recipe With Persian Twist along with Cinnamon Spiced Black Lemon Tea Recipe.
</t>
  </si>
  <si>
    <t>Para empezar a preparar la receta de galletas de avena y zanahoria, precalienta el horno a 180 grados. En un tazón grande, agrega la avena, la harina integral, el polvo para hornear, la canela, la sal y el jengibre rallado. Mezcla todo bien. Agrega la zanahoria rallada, las nueces y las pasas. Revuelve para combinar. En otro tazón, mezcla la miel y el aceite, batiendo bien para que se integren bien. Agrega un huevo grande y vuelve a batirlo (si no comes huevo, puedes omitir este paso). Agrega la mezcla de aceite, miel y huevo al primer tazón que contiene la mezcla de harina y avena. Mezcla bien y forma una masa. Cubre la masa con film transparente y guárdala en el refrigerador. Después de 15-20 minutos, saca la masa y saca un poco con una cuchara o una cuchara para helado, extiéndela en una bandeja para hornear forrada con papel pergamino. Aplana cada masa de galleta con la palma de la mano. Repite el mismo proceso con el resto de la masa. Asegúrate de dejar espacio entre cada galleta. Hornea a 180 grados durante 15-17 minutos o hasta que estén doradas y firmes alrededor de los bordes. Deja enfriar las galletas durante 10 minutos y estarán listas para comer. Sirve la Receta de Galletas de Pastel de Zanahoria con Avena y la Receta de Galletas de Rosa Saludables con un Toque Persa junto con la Receta de Té de Limón Negro con Especias y Canela.</t>
  </si>
  <si>
    <t>Pour commencer la recette des biscuits au gâteau aux carottes et à l'avoine, préchauffez le four à 180 °C. Dans un grand saladier, ajoutez les flocons d'avoine, la farine complète, la levure chimique, la cannelle, le sel et le gingembre râpé. Mélangez bien le tout. Ajoutez la carotte râpée, les noix et les raisins secs. Mélangez bien. Dans un autre saladier, mélangez le miel et l'huile, fouettez bien pour bien mélanger. Ajoutez un gros œuf et battez à nouveau (si vous ne mangez pas d'œuf, vous pouvez sauter cette étape). Ajoutez le mélange d'huile, de miel et d'œufs dans le premier saladier contenant le mélange farine-avoine. Pliez bien le mélange et formez une pâte. Couvrez-la d'un film plastique et conservez-la au réfrigérateur. Après 15 à 20 minutes, sortez la pâte et prélevez-en un peu à l'aide d'une cuillère ou d'une cuillère à glace. Étalez-la sur une plaque de cuisson recouverte de papier sulfurisé. Aplatissez chaque pâte à biscuits à l'aide de votre paume. Répétez le même processus avec le reste de la pâte. Assurez-vous de laisser de l'espace entre chaque biscuit. Faites cuire au four à 180 degrés pendant 15 à 17 minutes ou jusqu'à ce qu'ils soient dorés et fermes sur les bords. Laissez refroidir les biscuits pendant 10 minutes et les biscuits sont prêts à être consommés. Servez la recette de biscuits au gâteau aux carottes et à l'avoine et la recette de biscuits à la rose sains avec une touche persane avec la recette de thé au citron noir épicé à la cannelle.</t>
  </si>
  <si>
    <t>https://www.archanaskitchen.com/oats-carrot-cake-cookies-recipe</t>
  </si>
  <si>
    <t>Eggless Apple Strudel Recipe With Homemade Pastry Sheet</t>
  </si>
  <si>
    <t>Apfelstrudel-Rezept ohne Eier mit selbstgemachtem Teigblatt</t>
  </si>
  <si>
    <t>Recette de strudel aux pommes sans œufs avec pâte feuilletée maison</t>
  </si>
  <si>
    <t>Receta de strudel de manzana sin huevo con hojaldre casero</t>
  </si>
  <si>
    <t>1 pâte feuilletée, 3 cuillères à soupe de confiture de fruits mélangés, 2 pommes coupées en dés, 2 cuillères à soupe de chapelure de blé entier, 1 cuillère à café de cannelle en poudre (Dalchini), 2 cuillères à soupe de sucre en poudre, 1/2 tasse de badam (amande) grossièrement hachée, 1/2 tasse de raisins secs, 1/2 tasse de beurre fondu, 1 cuillère à soupe de cannelle en poudre (Dalchini), 1 cuillère à soupe de sucre en poudre</t>
  </si>
  <si>
    <t>1 Pastry dough,3 tablespoons Jam - Mixed Fruit,2 Apples - chopped in cubes,2 tablespoons Whole Wheat Bread crumbs,1 teaspoon Cinnamon Powder (Dalchini),2 tablespoon Caster Sugar,1/2 cup Badam (Almond) - roughly chopped,1/2 cup Raisins,1/2 cup Butter - melted,1 tablespoon Cinnamon Powder (Dalchini),1 tablespoon Caster Sugar</t>
  </si>
  <si>
    <t>1 masa de hojaldre, 3 cucharadas de mermelada de frutas mixtas, 2 manzanas picadas en cubos, 2 cucharadas de pan rallado integral, 1 cucharadita de canela en polvo (dalchini), 2 cucharadas de azúcar extrafino, 1/2 taza de almendras picadas gruesas, 1/2 taza de pasas, 1/2 taza de mantequilla derretida, 1 cucharada de canela en polvo (dalchini), 1 cucharada de azúcar extrafino</t>
  </si>
  <si>
    <t xml:space="preserve">To begin making the Eggless Apple Strudel Recipe With Homemade Puff Pastry Sheet, first prepare the pastry dough and refrigerate for about an hour.Once chilled, roll it out very thin and cut a big square sheet from it. Keep aside.The next step is to prepare the stuffing for the Eggless Apple Strudel Recipe.In a bowl, add dry fruits along with bread crumbs, caster sugar, cinnamon, chopped apples, raisins and mix it well.Apply the mix fruit jam on center of the sheet and place the chopped apples on it.Apply the melted butter on one side of sheet and fold it inside over the apple stuffing. Fold other side as well and press gently. It should form an envelope.Press gently top and bottom part as well to seal the strudel.Apply the butter on over the top and around and make the vertical cuts on it using a knife. Place the Eggless Apple Strudel on a greased baking sheet.Preheat the microwave at 190 C and bake this apple strudel for 40 minutes until golden brown and crisp on all sides.Once baked, cut the Eggless Apple Strudel and serve warm or chilled.Serve the Eggless Apple Strudel after a light salad like Sweet Potato &amp; Green Bean Salad Recipe or Grilled Winter Vegetable Salad Recipe  as it is or along with a vanilla ice cream for dessert.
</t>
  </si>
  <si>
    <t>Para comenzar a hacer la Receta de Strudel de Manzana sin Huevo con Lámina de Hojaldre Casera, primero prepare la masa de hojaldre y refrigérela durante aproximadamente una hora. Una vez fría, extiéndala muy fina y corte una lámina cuadrada grande. Déjela a un lado. El siguiente paso es preparar el relleno para la Receta de Strudel de Manzana sin Huevo. En un tazón, agregue frutas secas junto con migas de pan, azúcar extrafino, canela, manzanas picadas, pasas y mezcle bien. Aplique la mermelada de frutas mixtas en el centro de la lámina y coloque las manzanas picadas sobre ella. Aplique la mantequilla derretida en un lado de la lámina y dóblela hacia adentro sobre el relleno de manzana. Doble también el otro lado y presione suavemente. Debería formar un sobre. Presione suavemente la parte superior e inferior también para sellar el strudel. Aplique la mantequilla en la parte superior y alrededor y haga cortes verticales con un cuchillo. Coloque el strudel de manzana sin huevo en una bandeja para hornear engrasada. Precaliente el microondas a 190 °C y hornee este strudel de manzana durante 40 minutos hasta que esté dorado y crujiente por todos lados. Una vez horneado, corte el strudel de manzana sin huevo y sirva caliente o frío. Sirva el strudel de manzana sin huevo después de una ensalada ligera como la receta de ensalada de batata y judías verdes o la receta de ensalada de verduras de invierno a la parrilla solo o con un helado de vainilla como postre.</t>
  </si>
  <si>
    <t>Pour commencer à préparer la recette de strudel aux pommes sans œufs avec une feuille de pâte feuilletée maison, préparez d'abord la pâte feuilletée et réfrigérez-la pendant environ une heure. Une fois refroidie, étalez-la très finement et découpez-en une grande feuille carrée. Réservez. L'étape suivante consiste à préparer la farce pour la recette de strudel aux pommes sans œufs. Dans un bol, ajoutez les fruits secs avec la chapelure, le sucre semoule, la cannelle, les pommes hachées, les raisins secs et mélangez bien. Appliquez la confiture de fruits mélangés au centre de la feuille et placez les pommes hachées dessus. Appliquez le beurre fondu sur un côté de la feuille et repliez-la à l'intérieur sur la farce aux pommes. Pliez également l'autre côté et appuyez doucement. Cela devrait former une enveloppe. Appuyez doucement sur les parties supérieure et inférieure pour sceller le strudel. Appliquez le beurre sur le dessus et autour et faites les coupes verticales à l'aide d'un couteau. Placez le strudel aux pommes sans œufs sur une plaque à pâtisserie graissée. Préchauffez le micro-ondes à 190 °C et faites cuire ce strudel aux pommes pendant 40 minutes jusqu'à ce qu'il soit doré et croustillant de tous les côtés. Une fois cuit, coupez le strudel aux pommes sans œufs et servez chaud ou froid. Servez le strudel aux pommes sans œufs après une salade légère comme la recette de salade de patates douces et de haricots verts ou la recette de salade de légumes d'hiver grillés tel quel ou avec une glace à la vanille en dessert.</t>
  </si>
  <si>
    <t>http://www.archanaskitchen.com/eggless-apple-strudel-recipe-with-homemade-pastry-sheet</t>
  </si>
  <si>
    <t>Wheat Pizza Pockets Recipe Baked with Chicken Filling</t>
  </si>
  <si>
    <t>Rezept für Weizenpizzataschen mit Hühnerfüllung</t>
  </si>
  <si>
    <t>Recette de pizzas à la farine de blé farcies au poulet</t>
  </si>
  <si>
    <t>Receta de pizzas de harina de trigo rellenas de pollo</t>
  </si>
  <si>
    <t>1-1/2 tasse de farine de blé entier, 1/4 tasse d'eau tiède - + supplémentaire si nécessaire, 1 cuillère à soupe de levure sèche active, 1 cuillère à café de sucre, 1/2 cuillère à café de sel, 1 cuillère à café d'huile d'olive extra vierge, 300 grammes de poulet désossé - coupé en petits morceaux, 1/3 tasse de poivron vert (Capsicum) - coupé en plus petits morceaux, 1/3 tasse de poivron rouge (Capsicum) - coupé en plus petits morceaux, 1/3 tasse de poivron jaune (Capsicum) - coupé en plus petits morceaux, 1 oignon, 5 gousses d'ail - hachées, sel - au goût, poivre noir en poudre - au goût, 1/2 tasse de fromage mozzarella, 1/2 tasse de fromage ricotta, 2 cuillères à café d'huile d'olive extra vierge, lait - pour badigeonner, 3 cuillères à soupe de sauce pour pizza et pâtes maison</t>
  </si>
  <si>
    <t>1-1/2 cup Whole Wheat Flour,1/4 cup Lukewarm Water - + extra if needed,1 tablespoon Active dry yeast,1 teaspoon Sugar,1/2 teaspoon Salt,1 teaspoon Extra Virgin Olive Oil,300 grams Boneless chicken - cut into small pieces,1/3 cup Green Bell Pepper (Capsicum) - cut into smaller pieces,1/3 cup Red Bell pepper (Capsicum) - cut into smaller pieces,1/3 cup Yellow Bell Pepper (Capsicum) - cut into smaller pieces,1 Onions,5 cloves Garlic - minced,Salt - to taste,Black pepper powder - to taste,1/2 cup Mozzarella cheese,1/2 cup Ricotta Cheese,2 teaspoon Extra Virgin Olive Oil,Milk - for brushing,3 tablespoon Homemade Pizza And Pasta Sauce</t>
  </si>
  <si>
    <t>1-1/2 taza de harina integral, 1/4 taza de agua tibia - + extra si es necesario, 1 cucharada de levadura seca activa, 1 cucharadita de azúcar, 1/2 cucharadita de sal, 1 cucharadita de aceite de oliva virgen extra, 300 gramos de pollo deshuesado - cortado en trozos pequeños, 1/3 taza de pimiento verde (Capsicum) - cortado en trozos más pequeños, 1/3 taza de pimiento rojo (Capsicum) - cortado en trozos más pequeños, 1/3 taza de pimiento amarillo (Capsicum) - cortado en trozos más pequeños, 1 cebolla, 5 dientes de ajo - picados, sal - al gusto, pimienta negra en polvo - al gusto, 1/2 taza de queso mozzarella, 1/2 taza de queso ricotta, 2 cucharaditas de aceite de oliva virgen extra, leche - para pincelar, 3 cucharadas de salsa casera para pizza y pasta</t>
  </si>
  <si>
    <t xml:space="preserve">To make Wheat Pizza Pockets Recipe Baked with Chicken Filling, we will first make the pizza dough.  Add yeast, sugar in a bowl and pour lukewarm water and let it sit for 5 minutes until the yeast starts bubbling. If the yeast doesn’t react discard it and start yet another batch.In another bowl, add flour, salt, and mix with your fingers, make a well in the center and pour in the yeast mixture. Mix well. Knead in the same bowl for about 5-10 minutes.Clean your counter surface thoroughly, dust with flour, transfer the dough to the counter and start kneading. Knead until smooth, soft and shiny dough.Place the dough into the bowl used for kneading, and cover it with a damp cloth. Set it aside for 1 to 1-1/2 hours, for the dough to prove. After 1-1/2 hours dough would have risen and it would be double the size.Once the dough is proven, knock down the down (punch it with your fist), this is done to release all the air that would have collected. Gently knead for another 2 minutes and pizza dough is ready to use.To make the chicken stuffing,Sauté minced garlic, finely chopped onions and chicken pieces in a Kadai with a teaspoon of  oil for about 2-3 minutes. Add capsicum and saute for a couple of more minutes.Once it cools down, add a little pizza sauce to the chicken filling. Do not add more pizza sauce since it might ooze out. of the pizza pockets. Preheat Oven to 200 degrees Celsius.Meanwhile, assemble pizza pockets by taking equal small portions of the dough. Flatten the pizza base to the shape and size you wish. Preferably mini ones that are small in size. Sprinkle ricotta and mozzarella cheese mixture on the pizza base.Add a spoon full of chicken and top it with cheese mix again. Sprinkle dried oregano and pizza seasoning on top.Fold carefully into half. Seal the edges to prevent the cheese from oozing out. With a sharp knife make some slits on the surface to prevent it from bursting. This also ensures even cooking.Make all the pizza pockets similarly.Place the pizza pockets carefully on a baking tray lined with parchment paper. Keep them apart about 2 inches.Brush with milk and bake them in preheated Oven at 200 degrees centigrade for about 20 minutes or until you see the pockets turning brown and cooked.Serve Wheat Pizza Pockets Recipe Baked with Chicken Filling along with Roasted tomato sauce and Spicy Chilli Mango Virgin Mojito Recipe for an evening snack.
</t>
  </si>
  <si>
    <t>Para hacer la receta de Pizza Pockets de trigo horneada con relleno de pollo, primero haremos la masa de pizza. Agregue la levadura, el azúcar en un tazón y vierta agua tibia y deje reposar durante 5 minutos hasta que la levadura comience a burbujear. Si la levadura no reacciona, deséchela y comience otra tanda. En otro tazón, agregue la harina, la sal y mezcle con los dedos, haga un hueco en el centro y vierta la mezcla de levadura. Mezcle bien. Amase en el mismo tazón durante unos 5-10 minutos. Limpie bien la superficie de su encimera, espolvoree con harina, transfiera la masa a la encimera y comience a amasar. Amase hasta obtener una masa suave, lisa y brillante. Coloque la masa en el tazón utilizado para amasar y cúbralo con un paño húmedo. Déjela reposar durante 1 a 1-1/2 horas, para que la masa leude. Después de 1 hora y media la masa habrá subido y será el doble de grande. Una vez que la masa haya levado, golpéela con el puño para liberar todo el aire que se haya acumulado. Amase suavemente durante otros 2 minutos y la masa de pizza estará lista para usar. Para hacer el relleno de pollo, saltee el ajo picado, la cebolla finamente picada y los trozos de pollo en un Kadai con una cucharadita de aceite durante unos 2-3 minutos. Agregue el pimiento y saltee durante un par de minutos más. Una vez que se enfríe, agregue un poco de salsa para pizza al relleno de pollo. No agregue más salsa para pizza ya que podría rezumar. de los bolsillos de pizza. Precaliente el horno a 200 grados Celsius. Mientras tanto, arme los bolsillos de pizza tomando pequeñas porciones iguales de masa. Aplane la base de pizza a la forma y el tamaño que desee. Preferiblemente mini que sean de tamaño pequeño. Espolvorea la mezcla de ricotta y mozzarella sobre la base de la pizza. Agrega una cucharada de pollo y cúbrela nuevamente con la mezcla de queso. Espolvorea orégano seco y condimento para pizza por encima. Dobla con cuidado por la mitad. Sella los bordes para evitar que el queso se salga. Con un cuchillo afilado, haz algunos cortes en la superficie para evitar que reviente. Esto también asegura una cocción uniforme. Prepara todos los bolsillos de pizza de la misma manera. Coloca los bolsillos de pizza con cuidado en una bandeja para hornear forrada con papel pergamino. Mantenlos separados por unos 5 cm. Pincela con leche y hornéalos en un horno precalentado a 200 grados centígrados durante unos 20 minutos o hasta que veas que los bolsillos se doran y están cocidos. Sirve la Receta de Bolsillos de Pizza de Trigo Horneados con Relleno de Pollo junto con salsa de tomate asado y la Receta de Mojito de Mango Picante con Chile Virgen para un refrigerio por la noche.</t>
  </si>
  <si>
    <t>Pour réaliser la recette des Pizza Pockets au blé cuites au four avec une garniture au poulet, nous allons d'abord préparer la pâte à pizza. Ajoutez la levure, le sucre dans un bol et versez de l'eau tiède et laissez reposer 5 minutes jusqu'à ce que la levure commence à bouillonner. Si la levure ne réagit pas, jetez-la et recommencez. Dans un autre bol, ajoutez la farine, le sel et mélangez avec vos doigts, faites un puits au centre et versez le mélange de levure. Bien mélanger. Pétrissez dans le même bol pendant environ 5 à 10 minutes. Nettoyez soigneusement votre plan de travail, saupoudrez de farine, transférez la pâte sur le plan de travail et commencez à pétrir. Pétrissez jusqu'à obtenir une pâte lisse, douce et brillante. Placez la pâte dans le bol utilisé pour le pétrissage et couvrez-la d'un linge humide. Laissez reposer 1 heure à 1 heure 30 pour que la pâte lève. Après 1 heure et demie, la pâte aura levé et aura doublé de volume. Une fois la pâte levée, abattez-la (frappez-la avec votre poing), ceci est fait pour libérer tout l'air qui se serait accumulé. Pétrissez doucement pendant encore 2 minutes et la pâte à pizza est prête à être utilisée. Pour faire la farce au poulet, faites revenir l'ail émincé, les oignons finement hachés et les morceaux de poulet dans un Kadai avec une cuillère à café d'huile pendant environ 2 à 3 minutes. Ajoutez le poivron et faites revenir pendant quelques minutes de plus. Une fois refroidi, ajoutez un peu de sauce à pizza à la garniture au poulet. N'ajoutez pas plus de sauce à pizza car elle pourrait couler des poches à pizza. Préchauffez le four à 200 degrés Celsius. Pendant ce temps, assemblez les poches à pizza en prenant de petites portions égales de pâte. Aplatissez la base de la pizza à la forme et à la taille souhaitées. De préférence des mini-pizzas de petite taille. Saupoudrer le mélange de ricotta et de mozzarella sur la base de la pizza. Ajouter une cuillère à soupe de poulet et recouvrir à nouveau du mélange de fromage. Saupoudrer d'origan séché et d'assaisonnement pour pizza. Plier délicatement en deux. Sceller les bords pour éviter que le fromage ne coule. À l'aide d'un couteau bien aiguisé, faire des incisions sur la surface pour éviter qu'elle n'éclate. Cela garantit également une cuisson uniforme. Préparer toutes les pizzas de la même manière. Placer délicatement les pizzas sur une plaque de cuisson recouverte de papier sulfurisé. Les espacer d'environ 5 cm. Badigeonner de lait et cuire au four préchauffé à 200 °C pendant environ 20 minutes ou jusqu'à ce que les pizzas soient dorées et cuites. Servir la recette de pizzas au blé cuites au four avec une garniture au poulet accompagnées de sauce tomate rôtie et de mojito vierge épicé à la mangue et au piment pour un goûter.</t>
  </si>
  <si>
    <t>https://www.archanaskitchen.com/wheat-pizza-pockets-recipe-baked-with-chicken-filling</t>
  </si>
  <si>
    <t>Roasted Cauliflower Soup Recipe</t>
  </si>
  <si>
    <t>Rezept für geröstete Blumenkohlsuppe</t>
  </si>
  <si>
    <t>Recette de soupe de chou-fleur rôti</t>
  </si>
  <si>
    <t>Receta de sopa de coliflor asada</t>
  </si>
  <si>
    <t>2 tasses de chou-fleur (gobi) - coupé en fleurons, 1/2 tasse de céleri - haché, 5 gousses d'ail, 2 cuillères à soupe d'huile d'olive extra vierge, sel - au goût, 1 tasse de lait, 1/2 tasse d'eau, 1 cuillère à café de poudre de poivre noir, 1 cuillère à café de beurre, 2 grains de poivre noir entiers - écrasés</t>
  </si>
  <si>
    <t>2 cups Cauliflower (gobi) - cut in florets,1/2 cup Celery - chopped,5 cloves Garlic,2 tablespoons Extra Virgin Olive Oil,Salt - to taste,1 cup Milk,1/2 cup Water,1 teaspoon Black pepper powder,1 teaspoon Butter,2 Whole Black Pepper Corns - crushed</t>
  </si>
  <si>
    <t>2 tazas de coliflor (gobi) - cortada en floretes, 1/2 taza de apio - picado, 5 dientes de ajo, 2 cucharadas de aceite de oliva virgen extra, sal - al gusto, 1 taza de leche, 1/2 taza de agua, 1 cucharadita de pimienta negra en polvo, 1 cucharadita de mantequilla, 2 granos de pimienta negra enteros - triturados</t>
  </si>
  <si>
    <t xml:space="preserve">To begin with Roasted Cauliflower Soup Recipe, heat a pan with olive oil on medium flame. Into the pan, add the garlic cloves and celery and saute for about a minute, until the aroma rises. Now add the cauliflower, sprinkle salt and pan roast the cauliflower for 4-6 minutes on high heat. Now sprinkle some water, cover and continue to cook for 5 more minutes. Turn off the heat, and allow it to cool down to room temperature. Transfer to a mixer jar and grind to a smooth puree with some water. Heat a pan with a teaspoon of butter, add the cauliflower puree and bring it to a single boil. Now add the water, milk and black pepper powder and bring the soup to a rolling boil. Garnish with cracked black pepper corns and serve. Serve Roasted Cauliflower Soup Recipe along with Roasted Vegetable Panini Sandwich With Feta Cheese Recipe followed by a dessert of New York Style Baked Cheesecake Recipe for a complete meal. 
</t>
  </si>
  <si>
    <t>Para comenzar con la Receta de Sopa de Coliflor Asada, calienta una sartén con aceite de oliva a fuego medio. En la sartén, agrega los dientes de ajo y el apio y saltea durante aproximadamente un minuto, hasta que suba el aroma. Ahora agrega la coliflor, espolvorea sal y asa la coliflor en la sartén durante 4-6 minutos a fuego alto. Ahora rocía un poco de agua, tapa y continúa cocinando durante 5 minutos más. Apaga el fuego y deja que se enfríe a temperatura ambiente. Transfiere a una jarra de batidora y muele hasta obtener un puré suave con un poco de agua. Calienta una sartén con una cucharadita de mantequilla, agrega el puré de coliflor y llévalo a ebullición. Ahora agrega el agua, la leche y la pimienta negra en polvo y lleva la sopa a ebullición. Decora con granos de pimienta negra molidos y sirve. Sirva la receta de sopa de coliflor asada junto con la receta de sándwich de panini de verduras asadas con queso feta, seguida de un postre de tarta de queso horneada al estilo neoyorquino para una comida completa.</t>
  </si>
  <si>
    <t>Pour commencer la recette de soupe de chou-fleur rôti, faites chauffer une poêle avec de l'huile d'olive à feu moyen. Dans la poêle, ajoutez les gousses d'ail et le céleri et faites revenir pendant environ une minute, jusqu'à ce que l'arôme monte. Ajoutez maintenant le chou-fleur, saupoudrez de sel et faites rôtir le chou-fleur à la poêle pendant 4 à 6 minutes à feu vif. Arrosez maintenant d'un peu d'eau, couvrez et poursuivez la cuisson pendant 5 minutes supplémentaires. Éteignez le feu et laissez refroidir à température ambiante. Transférez dans un bol de mixeur et réduisez en purée lisse avec un peu d'eau. Faites chauffer une poêle avec une cuillère à café de beurre, ajoutez la purée de chou-fleur et portez à ébullition. Ajoutez maintenant l'eau, le lait et la poudre de poivre noir et portez la soupe à ébullition. Garnissez de grains de poivre noir concassés et servez. Servez la recette de soupe de chou-fleur rôti avec la recette de sandwich panini aux légumes rôtis et au fromage feta, suivie d'un dessert de recette de cheesecake cuit au four à la new-yorkaise pour un repas complet.</t>
  </si>
  <si>
    <t>http://www.archanaskitchen.com/cauliflower-soup-recipe</t>
  </si>
  <si>
    <t>Homemade Tamarind Water Recipe</t>
  </si>
  <si>
    <t>Rezept für hausgemachtes Tamarindenwasser</t>
  </si>
  <si>
    <t>Recette d'eau de tamarin maison</t>
  </si>
  <si>
    <t>Receta casera de agua de tamarindo</t>
  </si>
  <si>
    <t>40 grammes de tamarin, 1 tasse d'eau chaude</t>
  </si>
  <si>
    <t>40 grams Tamarind,1 cup Hot water</t>
  </si>
  <si>
    <t>40 gramos de Tamarindo, 1 taza de Agua caliente</t>
  </si>
  <si>
    <t xml:space="preserve">To begin making homemade tamarind extract or water, first place the lemon-sized ball of tamarind in a bowl.Warm a cup of water to a rolling boil and pour it over the tamarind. Allow the the tamarind to soak in the water for about 10 minutes. This process helps to soften the tamarind, which in turn helps make extraction of the pulp easier.After 10 minutes, using your fingers, mash the tamarind well into the water until it feels completely soft. This process helps to extract the juice and sourness from the tamarind.Next, strain the tamarind water into a fresh bowl and squeeze out as much extract from the pulp as possible.Next we will proceed to the second extraction of the remaining tamarind pulp. Add another 1/2 cup of water and mash the pulp once again to make more tamarind water.Strain this second extract over the earlier one. The tamarind water is now ready for use in Curries and many other things that require a tangy or sour flavour.
</t>
  </si>
  <si>
    <t>Para preparar extracto o agua de tamarindo casera, coloque una bola de tamarindo del tamaño de un limón en un tazón. Caliente una taza de agua a ebullición y viértala sobre el tamarindo. Deje que el tamarindo se remoje en el agua durante unos 10 minutos. Este proceso ayuda a ablandarlo, lo que a su vez facilita la extracción de la pulpa. Después de 10 minutos, con los dedos, machaque bien el tamarindo en el agua hasta que esté completamente blando. Este proceso ayuda a extraer el jugo y la acidez del tamarindo. A continuación, cuele el agua de tamarindo en un tazón nuevo y exprima la pulpa al máximo. A continuación, procederemos a la segunda extracción de la pulpa de tamarindo restante. Añada otra 1/2 taza de agua y machaque la pulpa de nuevo para obtener más agua de tamarindo. Cuele este segundo extracto sobre el anterior. El agua de tamarindo ya está lista para usar en curris y muchas otras preparaciones con un sabor ácido o agrio.</t>
  </si>
  <si>
    <t>Pour préparer un extrait ou une eau de tamarin maison, placez d'abord une boule de tamarin de la taille d'un citron dans un bol. Portez une tasse d'eau à ébullition et versez-la sur le tamarin. Laissez-le tremper dans l'eau pendant environ 10 minutes. Ce processus permet de ramollir le tamarin, ce qui facilite l'extraction de la pulpe. Après 10 minutes, écrasez le tamarin avec les doigts jusqu'à ce qu'il soit complètement mou. Ce processus permet d'extraire le jus et l'acidité du tamarin. Ensuite, filtrez l'eau de tamarin dans un bol propre et pressez-la pour en extraire le plus d'extrait possible. Procédez ensuite à la deuxième extraction de la pulpe restante. Ajoutez 120 ml d'eau et écrasez à nouveau la pulpe pour obtenir de l'eau de tamarin. Filtrez ce deuxième extrait par-dessus le précédent. L'eau de tamarin est alors prête à être utilisée dans les currys et bien d'autres plats nécessitant une saveur acidulée.</t>
  </si>
  <si>
    <t>https://www.archanaskitchen.com/video-recipe-how-to-make-homemade-tamarind-water</t>
  </si>
  <si>
    <t>Sweet Pumpkin Green Smoothie Recipe</t>
  </si>
  <si>
    <t>Rezept für einen süßen grünen Kürbis-Smoothie</t>
  </si>
  <si>
    <t>Recette de smoothie sucré à la citrouille verte</t>
  </si>
  <si>
    <t>Receta de batido dulce de calabaza verde</t>
  </si>
  <si>
    <t>1 tasse de Kaddu (Parangikai/citrouille) - rouge - coupé en morceaux, 1 tasse d'épinards - nettoyés, 1-1/2 tasse de lait - ou de lait d'amande, 1/4 cuillère à café de cannelle en poudre (Dalchini), 1 datte - pour la douceur (facultatif), 1 cuillère à soupe de graines de citrouille</t>
  </si>
  <si>
    <t>1 cup Kaddu (Parangikai/ Pumpkin) - red one- cut into chunks,1 cup Spinach - cleaned,1-1/2 cup Milk - or almond milk,1/4 teaspoon Cinnamon Powder (Dalchini),1 Dates - for sweetness (optional),1 tablespoon Pumpkin seeds</t>
  </si>
  <si>
    <t>1 taza de Kaddu (Parangikai/calabaza) - roja - cortada en trozos, 1 taza de espinaca - limpia, 1-1/2 taza de leche - o leche de almendras, 1/4 cucharadita de canela en polvo (Dalchini), 1 dátil - para endulzar (opcional), 1 cucharada de semillas de calabaza</t>
  </si>
  <si>
    <t xml:space="preserve">To begin making the Sweet Pumpkin Green Smoothie recipe, cut the pumpkin roughly into large pieces with skin and bake them in a 175 C preheated oven for 45 minutes to 1 hour until the pumpkin is soft.Let it cool and store this in your Fridge.Scoop the pumpkin flesh from the skin and add 1 cup pumpkin chunks in a blender with spinach, cinnamon, milk and date if you are using and blend it until smooth. Top the green smoothie with pumpkin seeds and enjoy your smoothie.Serve Sweet Pumpkin Green Smoothie during your breakfast with Akuri and Toast.
</t>
  </si>
  <si>
    <t>Para empezar a preparar la receta de batido verde de calabaza dulce, corte la calabaza en trozos grandes con piel y hornéelos en un horno precalentado a 175 °C durante 45 minutos a 1 hora hasta que la calabaza esté blanda. Déjela enfriar y guárdela en el refrigerador. Retire la pulpa de la calabaza de la piel y agregue 1 taza de trozos de calabaza en una licuadora con espinacas, canela, leche y dátiles (si los usa) y licúe hasta que quede suave. Cubra el batido verde con semillas de calabaza y disfrute de su batido. Sirva el batido verde de calabaza dulce durante su desayuno con akuri y tostadas.</t>
  </si>
  <si>
    <t>Pour commencer à préparer la recette de smoothie vert à la citrouille sucrée, coupez la citrouille grossièrement en gros morceaux avec la peau et faites-les cuire dans un four préchauffé à 175 °C pendant 45 minutes à 1 heure jusqu'à ce que la citrouille soit tendre. Laissez-la refroidir et conservez-la dans votre réfrigérateur. Retirez la chair de la citrouille de la peau et ajoutez 1 tasse de morceaux de citrouille dans un mélangeur avec des épinards, de la cannelle, du lait et des dattes si vous en utilisez et mixez jusqu'à consistance lisse. Garnissez le smoothie vert de graines de citrouille et savourez votre smoothie. Servez le smoothie vert à la citrouille sucrée au petit-déjeuner avec de l'Akuri et du pain grillé.</t>
  </si>
  <si>
    <t>https://www.archanaskitchen.com/sweet-pumpkin-green-smoothie-recipe</t>
  </si>
  <si>
    <t>French Toast Oatmeal Bake Recipe</t>
  </si>
  <si>
    <t>Rezept für French Toast mit Haferflocken</t>
  </si>
  <si>
    <t>Recette de pain perdu aux flocons d'avoine</t>
  </si>
  <si>
    <t>Receta de tostadas francesas de avena</t>
  </si>
  <si>
    <t>1 banane mûre écrasée à la fourchette, 1/2 tasse de lait d'amande (Badam Milk) non sucré, 2 cuillères à soupe de beurre de cacahuète ou toute autre crème aromatisée préférée, 2 cuillères à café de sirop d'érable, 1 cuillère à café de cannelle en poudre (Dalchini) et plus à saupoudrer sur le dessus, 1 cuillère à café d'extrait de vanille, 2 pains bruns de blé entier multigrains (en cubes), 1/2 tasse d'avoine instantanée (gruau), 1 cuillère à café de poudre de graines de lin (farine de lin), 15 raisins secs, 6 noix hachées, 1 cuillère à café de sucre de coco à saupoudrer sur le dessus (facultatif)</t>
  </si>
  <si>
    <t>1 Ripe Bananas - mashed with a fork,1/2 cup Almond Milk (Badam Milk) - unsweetened,2 tablespoons Peanut Butter - or any other flavoured cream preferred,2 teaspoons Maple syrup,1 teaspoon Cinnamon Powder (Dalchini) - + more to sprinkle on top,1 teaspoon Vanilla Extract,2 Whole Wheat Brown Bread - multigrain (cubed),1/2 cup Instant Oats (Oatmeal),1 teaspoon Flax seed powder (flax meal),15 Sultanas,6 Walnuts - chopped,1 teaspoon Coconut Sugar - to sprinkle on top (optional)</t>
  </si>
  <si>
    <t>1 plátano maduro - machacado con un tenedor, 1/2 taza de leche de almendras (leche de almendras) - sin azúcar, 2 cucharadas de mantequilla de maní - o cualquier otra crema saborizada preferida, 2 cucharaditas de jarabe de arce, 1 cucharadita de canela en polvo (dalchini) - + más para espolvorear por encima, 1 cucharadita de extracto de vainilla, 2 panes integrales de trigo integral - multigrano (en cubos), 1/2 taza de avena instantánea (avena), 1 cucharadita de polvo de semilla de lino (harina de lino), 15 pasas sultanas, 6 nueces - picadas, 1 cucharadita de azúcar de coco - para espolvorear por encima (opcional)</t>
  </si>
  <si>
    <t xml:space="preserve">To begin making the French Toast Oatmeal Bake Recipe, preheat the oven at 180C and grease individual oven proof dishes. This recipe needs about 3 medium sized ramekins.Combine mashed Banana, nut butter, maple syrup, cinnamon, vanilla, flaxseed meal, milk in a large mixing bowl. Stir in the quick oats, walnuts and sultanas until fully combined. Gently fold in the cubed bread, avoid heavy mixing.Spoon the french toast batter into the ramekins and sprinkle the cinnamon and coconut sugar.Place the French Toast Oatmeal into the preheated oven and bake for about 20 minutes until you notice the tops crusty and golden. Once Ready enjoy this warm bake just on its own or with some cold non-dairy cream.Serve the French Toast Oatmeal Bake Recipe along with freshly cut fruits like banana and a cup of Cold Coffee Smoothie for breakfast or as an after school snack for kids.
</t>
  </si>
  <si>
    <t>Para comenzar a hacer la receta de avena horneada con tostada francesa, precaliente el horno a 180 °C y engrase platos individuales aptos para horno. Esta receta necesita aproximadamente 3 moldes de tamaño mediano. Combine el puré de plátano, la mantequilla de nueces, el jarabe de arce, la canela, la vainilla, la harina de linaza y la leche en un tazón grande. Agregue la avena instantánea, las nueces y las pasas sultanas hasta que estén completamente combinados. Incorpore suavemente el pan en cubos, evite mezclar fuertemente. Vierta la masa de tostada francesa en los moldes y espolvoree la canela y el azúcar de coco. Coloque la avena con tostada francesa en el horno precalentado y hornee durante unos 20 minutos hasta que note que la parte superior está crujiente y dorada. Una vez listo, disfrute de este horneado tibio solo o con un poco de crema fría no láctea. Sirva la receta de horneado de avena y tostadas francesas junto con frutas recién cortadas como plátano y una taza de batido de café frío para el desayuno o como una merienda después de la escuela para los niños.</t>
  </si>
  <si>
    <t xml:space="preserve">Pour commencer à préparer la recette de gratin de pain doré à l'avoine, préchauffez le four à 180 °C et graissez des plats individuels allant au four. Cette recette nécessite environ 3 ramequins de taille moyenne. Mélangez la purée de banane, le beurre de noix, le sirop d'érable, la cannelle, la vanille, la farine de graines de lin et le lait dans un grand bol. Incorporez les flocons d'avoine rapides, les noix et les raisins secs jusqu'à ce que le tout soit bien mélangé. Incorporez délicatement le pain coupé en dés, en évitant de trop mélanger. Versez la pâte à pain doré dans les ramequins et saupoudrez de cannelle et de sucre de coco. Placez le gratin de pain doré à l'avoine dans le four préchauffé et faites cuire pendant environ 20 minutes jusqu'à ce que vous remarquiez que le dessus est croustillant et doré. Une fois prêt, savourez ce gratin chaud seul ou avec de la crème non laitière froide. Servez la recette de gratin de pain doré à l'avoine avec des fruits fraîchement coupés comme une banane et une tasse de smoothie au café froid pour le petit-déjeuner ou comme collation après l'école pour les enfants.
</t>
  </si>
  <si>
    <t>http://www.archanaskitchen.com/french-toast-oatmeal-bake-recipe</t>
  </si>
  <si>
    <t>Nutella Filled Hand Pies Recipe</t>
  </si>
  <si>
    <t>Rezept für mit Nutella gefüllte Hand Pies</t>
  </si>
  <si>
    <t>Recette de tartelettes fourrées au Nutella</t>
  </si>
  <si>
    <t>Receta de tartaleta rellena de Nutella</t>
  </si>
  <si>
    <t>1 croûte à tarte tout usage, 2 cuillères à soupe de noix, 1/4 tasse de pâte à tartiner Nutella, 2 cuillères à soupe de miel</t>
  </si>
  <si>
    <t>1 All Purpose Pie Crust,2 tablespoon Walnuts,1/4 cup Nutella Spread,2 tablespoons Honey</t>
  </si>
  <si>
    <t>1 masa para tarta multiusos, 2 cucharadas de nueces, 1/4 taza de Nutella, 2 cucharadas de miel</t>
  </si>
  <si>
    <t xml:space="preserve">To prepare the pie crust, click here to see the recipe of easy all-purpose pie crust. Keep the pie dough in the fridge wrapped in the cling foil while you prepare the filling.To prepare the Nutella filling, in a food processor, pulse the nuts to form a smooth powder. Set aside until required. Combine the Nutella along with powdered walnuts and stir to combine.Whisk the honey along with a teaspoon of milk and keep aside.  This will be the honey wash to coat the crust. The coating of honey on the top of the crust gives it a good color.Bring out the pie dough from the fridge. Roll out the pie dough into a large circular disc. Use a cookie cutter and cut small circular discs from the dough.Spoon a tablespoon of Nutella filling equally in the centre of the disc, leaving an inch border along the sides.Brush the border of the crust with the egg wash and then fold the top half of the circle over the lower half, creating a half-moon shape. Gently press the edges with a fork to seal.Use a small knife to cut a half an inch slit on the top of each pie to release steam while baking.Brush each pie with honey wash and place them on a greased baking sheet. Proceed the same way with the remaining circular cut dough. Chill the pies in the freezer for 15-20 minutes before baking.Meanwhile pre-heat the oven at 180 C. Grease a baking sheet with little oil or line with parchment paper. Bake the pies until they are golden brown, about 20 to 25 minutes. Cool the Nutella Filled Hand Pies Recipe on the wire rack for few minutes before serving. Serve Nutella Filled Hand Pies with a cup of coffee of tea for the evening Snack party or it can be a great party dessert as well.
</t>
  </si>
  <si>
    <t>Para preparar la corteza de la tarta, haz clic aquí para ver la receta de la corteza de tarta multiusos fácil. Mantén la masa de tarta en el refrigerador envuelta en papel de aluminio mientras preparas el relleno. Para preparar el relleno de Nutella, en un procesador de alimentos, pulsa las nueces para formar un polvo suave. Reserva hasta que se necesite. Combina la Nutella junto con las nueces en polvo y revuelve para combinar. Bate la miel junto con una cucharadita de leche y reserva. Este será el lavado de miel para cubrir la corteza. La capa de miel en la parte superior de la corteza le da un buen color. Saca la masa de tarta del refrigerador. Extiende la masa de tarta en un disco circular grande. Usa un cortador de galletas y corta pequeños discos circulares de la masa. Coloca una cucharada de relleno de Nutella equitativamente en el centro del disco, dejando un borde de una pulgada a lo largo de los lados. Pincela el borde de la corteza con el huevo batido y luego dobla la mitad superior del círculo sobre la mitad inferior, creando una forma de media luna. Presiona suavemente los bordes con un tenedor para sellar. Usa un cuchillo pequeño para cortar una ranura de media pulgada en la parte superior de cada pastel para liberar el vapor mientras se hornea. Pincela cada pastel con miel y colócalos en una bandeja para hornear engrasada. Procede de la misma manera con el resto de la masa cortada en círculo. Enfría los pasteles en el congelador durante 15-20 minutos antes de hornear. Mientras tanto, precalienta el horno a 180 °C. Engrasa una bandeja para hornear con un poco de aceite o cúbrela con papel pergamino. Hornea los pasteles hasta que estén dorados, aproximadamente de 20 a 25 minutos. Deja enfriar la Receta de Pasteles de Mano Rellenos de Nutella en la rejilla de alambre durante unos minutos antes de servir. Sirve los Pasteles de Mano Rellenos de Nutella con una taza de café o té para la merienda de la noche o también puede ser un excelente postre para fiestas.</t>
  </si>
  <si>
    <t>Pour préparer la croûte à tarte, cliquez ici pour voir la recette de croûte à tarte tout usage facile. Gardez la pâte à tarte au réfrigérateur enveloppée dans du papier aluminium pendant que vous préparez la garniture. Pour préparer la garniture au Nutella, dans un robot culinaire, mixez les noix pour former une poudre lisse. Réservez jusqu'au moment voulu. Mélangez le Nutella avec les noix en poudre et remuez pour combiner. Fouettez le miel avec une cuillère à café de lait et réservez. Ce sera le bain de miel pour enrober la croûte. L'enrobage de miel sur le dessus de la croûte lui donne une belle couleur. Sortez la pâte à tarte du réfrigérateur. Abaissez la pâte à tarte en un grand disque circulaire. Utilisez un emporte-pièce et découpez de petits disques circulaires dans la pâte. Déposez une cuillère à soupe de garniture au Nutella uniformément au centre du disque, en laissant une bordure de 2,5 cm sur les côtés. Badigeonnez le bord de la croûte avec la dorure à l'œuf, puis repliez la moitié supérieure du cercle sur la moitié inférieure, créant une forme de demi-lune. Appuyez doucement sur les bords avec une fourchette pour sceller. Utilisez un petit couteau pour couper une fente d'un demi-pouce sur le dessus de chaque tarte pour libérer la vapeur pendant la cuisson. Badigeonnez chaque tarte de miel et placez-les sur une plaque à pâtisserie graissée. Procédez de la même manière avec le reste de la pâte coupée en cercle. Refroidissez les tartes au congélateur pendant 15 à 20 minutes avant la cuisson. Pendant ce temps, préchauffez le four à 180 °C. Graissez une plaque à pâtisserie avec un peu d'huile ou recouvrez-la de papier sulfurisé. Faites cuire les tartes jusqu'à ce qu'elles soient dorées, environ 20 à 25 minutes. Laissez refroidir la recette des tartelettes fourrées au Nutella sur la grille pendant quelques minutes avant de servir. Servez les tartelettes fourrées au Nutella avec une tasse de café ou de thé pour le goûter du soir ou cela peut également être un excellent dessert de fête.</t>
  </si>
  <si>
    <t>http://www.archanaskitchen.com/nutella-filled-hand-pies-recipe</t>
  </si>
  <si>
    <t>Orange Flavored Barbecue Chicken With Fresh Salad Recipe</t>
  </si>
  <si>
    <t>Rezept für Barbecue-Hähnchen mit Orangengeschmack und frischem Salat</t>
  </si>
  <si>
    <t>Recette de poulet barbecue à l'orange et salade fraîche</t>
  </si>
  <si>
    <t>Receta de pollo a la barbacoa con naranja y ensalada fresca</t>
  </si>
  <si>
    <t>1 cuisse de poulet, 3 cuillères à soupe de jus d'orange frais, 1 cuillère à soupe de sauce chili rouge, 2 cuillères à soupe de sauce barbecue, 1 cuillère à café de sirop de dattes, 1 cuillère à café de poudre de poivre noir, sel - au goût, 1 tasse de feuilles d'épinards (Palak) - fraîches et lavées, 1 orange - coupée en petits segments, 1 pomme - coupée en diagonales, 1 orange - pressée en jus, 1 jus de citron, sel et poivre - pour l'assaisonnement, 1 tasse de pommes de terre grenaille - coupées en deux, 1 cuillère à soupe de beurre, 1 cuillère à café d'origan séché, sel et poivre - pour le goût</t>
  </si>
  <si>
    <t>1 Chicken thigh,3 tablespoons Fresh orange juice,1 tablespoon Red Chilli sauce,2 tablespoons Barbeque sauce,1 teaspoon Date syrup,1 teaspoon Black pepper powder,Salt - to taste,1 cup Spinach Leaves (Palak) - fresh and washed,1 Orange - cut into small segments,1 Apple - cut into diagonals,1 Orange - squeezed into juice,1 Lemon juice,Salt and Pepper - for seasoning,1 cup Baby Potatoes - cut into half,1 tablespoon Butter,1 teaspoon Dried oregano,Salt and Pepper - for taste</t>
  </si>
  <si>
    <t>1 muslo de pollo, 3 cucharadas de jugo de naranja fresco, 1 cucharada de salsa de chile rojo, 2 cucharadas de salsa de barbacoa, 1 cucharadita de jarabe de dátiles, 1 cucharadita de pimienta negra en polvo, sal - al gusto, 1 taza de hojas de espinaca (Palak) - frescas y lavadas, 1 naranja - cortada en gajos pequeños, 1 manzana - cortada en diagonales, 1 naranja - exprimida en jugo, 1 jugo de limón, sal y pimienta - para condimentar, 1 taza de papas pequeñas - cortadas en mitades, 1 cucharada de mantequilla, 1 cucharadita de orégano seco, sal y pimienta - para gusto</t>
  </si>
  <si>
    <t xml:space="preserve">To Begin making the Orange Flavored Barbecue Chicken With Fresh Salad Recipe, marinate the chicken with all the ingredients like orange juice, barbeque sauce, red chilli sauce, date syrup, salt and pepper.We will move on to boil the baby potatoes in a pressure cooker for about 1 whistle. Once boiled, heat a sauce pan with butter, add the cooked baby potatoes and stir fry.Add the seasonings and check for salt and stir fry for few minutes and keep it aside.Keep the salad ingredients ready, mix all the ingredients for the dressing in a separate bowl and keep it ready in the fridge.Heat a sauce pan with little butter and place the chicken thigh and cook on either side for about 20 minutes.Keep glazing the chicken with leftover marinated syrup and cook until the chicken is done.Place the chicken on the serving plate, toss the salad with the dressing and place it fresh next to the chicken. Add the sautéed baby potatoes along with the salad and serve.Serve the Orange Flavored Barbecue Chicken on its own or along with Couscous Raw Mango Salad Recipe for a weekday meal.
</t>
  </si>
  <si>
    <t>Para empezar a preparar la receta de pollo a la barbacoa con sabor a naranja y ensalada fresca, marina el pollo con todos los ingredientes: jugo de naranja, salsa barbacoa, salsa de chile rojo, jarabe de dátiles, sal y pimienta. Herviremos las papas baby en una olla a presión durante aproximadamente un silbato. Una vez hervidas, calentamos una cacerola con mantequilla, agregamos las papas baby cocidas y salteamos. Agregamos los condimentos, rectificamos de sal y salteamos durante unos minutos. Reservamos. Preparamos los ingredientes de la ensalada, mezclamos todos los ingredientes del aderezo en un recipiente aparte y lo guardamos en el refrigerador. Calentamos una cacerola con un poco de mantequilla y colocamos el muslo de pollo. Cocinamos por ambos lados durante unos 20 minutos. Glaseamos el pollo con el jarabe marinado sobrante y cocinamos hasta que esté listo. Colocamos el pollo en el plato para servir, mezclamos la ensalada con el aderezo y lo colocamos junto al pollo. Añade las patatas baby salteadas junto con la ensalada y sirve. Sirve el pollo a la barbacoa con sabor a naranja solo o junto con la receta de ensalada de mango crudo con cuscús para una comida entre semana.</t>
  </si>
  <si>
    <t>Pour commencer à préparer la recette de poulet barbecue à l'orange avec salade fraîche, faites mariner le poulet avec tous les ingrédients comme le jus d'orange, la sauce barbecue, la sauce chili rouge, le sirop de dattes, le sel et le poivre. Nous allons continuer à faire bouillir les pommes de terre grenaille dans un autocuiseur pendant environ 1 sifflet. Une fois bouillies, faites chauffer une casserole avec du beurre, ajoutez les pommes de terre grenaille cuites et faites sauter. Ajoutez les assaisonnements et vérifiez le sel et faites sauter pendant quelques minutes et réservez. Gardez les ingrédients de la salade prêts, mélangez tous les ingrédients de la vinaigrette dans un bol séparé et conservez-le prêt au réfrigérateur. Faites chauffer une casserole avec un peu de beurre et placez la cuisse de poulet et faites cuire de chaque côté pendant environ 20 minutes. Continuez à glacer le poulet avec le reste de sirop mariné et laissez cuire jusqu'à ce que le poulet soit cuit. Placez le poulet sur l'assiette de service, mélangez la salade avec la vinaigrette et placez-la fraîche à côté du poulet. Ajoutez les pommes de terre grenaille sautées avec la salade et servez. Servez le poulet barbecue à l'orange seul ou avec la recette de salade de couscous à la mangue crue pour un repas de semaine.</t>
  </si>
  <si>
    <t>https://www.archanaskitchen.com/orange-flavored-barbecue-chicken-with-fresh-salad-recipe</t>
  </si>
  <si>
    <t>Light And Creamy Broccoli Soup Recipe</t>
  </si>
  <si>
    <t>Rezept für leichte und cremige Brokkolisuppe</t>
  </si>
  <si>
    <t>Recette de soupe de brocoli légère et crémeuse</t>
  </si>
  <si>
    <t>Receta de sopa de brócoli ligera y cremosa</t>
  </si>
  <si>
    <t>500 grammes de brocoli - fleurons, 1 pomme de terre (Aloo) - bouillie, 1 cuillère à café d'huile d'olive extra vierge, 1 tasse de bouillon de légumes - ou d'eau, 1/2 tasse de lait, sel et poivre - au goût</t>
  </si>
  <si>
    <t>500 grams Broccoli - florets,1 Potato (Aloo) - boiled,1 teaspoon Extra Virgin Olive Oil,1 cup Vegetable stock - or water,1/2 cup Milk,Salt and Pepper - to taste</t>
  </si>
  <si>
    <t>500 gramos de brócoli - floretes, 1 papa (Aloo) - hervida, 1 cucharadita de aceite de oliva virgen extra, 1 taza de caldo de verduras - o agua, 1/2 taza de leche, sal y pimienta - al gusto</t>
  </si>
  <si>
    <t xml:space="preserve">To begin making the Cream of Broccoli Soup Recipe, heat the oil in a wok or a heavy bottomed pan. Add in the broccoli florets, sprinkle some salt and stir fry until the broccoli is tender and feels cooked.Place all the ingredients into the blender along with a teaspoon of whole black pepper corns (or less) and blend to make a smooth puree.Once blended pour the soup into the sauce pan and warm it only when you are ready to serve to get the maximum nutrition benefits.Check the salt levels and adjust to suit your taste.Serve Light And Creamy Broccoli Soup Recipe with Garlic Toasted Beans Salad Recipe and Sundried Tomato Focaccia Bread Recipe to make a complete meal.
</t>
  </si>
  <si>
    <t>Para preparar la receta de crema de brócoli, caliente el aceite en un wok o una sartén gruesa. Añada los ramilletes de brócoli, espolvoree con sal y saltee hasta que el brócoli esté tierno y se sienta cocido. Coloque todos los ingredientes en la licuadora junto con una cucharadita de granos de pimienta negra (o menos) y licúe hasta obtener un puré suave. Una vez licuados, vierta la sopa en la cacerola y caliéntela solo cuando esté lista para servir para obtener los máximos beneficios nutricionales. Verifique el nivel de sal y ajuste a su gusto. Sirva la ligera y cremosa sopa de brócoli con la ensalada de frijoles tostados con ajo y la focaccia con tomate seco para una comida completa.</t>
  </si>
  <si>
    <t>Pour préparer la recette de la crème de brocoli, faites chauffer l'huile dans un wok ou une poêle à fond épais. Ajoutez les fleurons de brocoli, salez et faites sauter jusqu'à ce qu'ils soient tendres et cuits. Placez tous les ingrédients dans le blender avec une cuillère à café de grains de poivre noir entiers (ou moins) et mixez jusqu'à obtenir une purée lisse. Une fois mixée, versez la soupe dans la casserole et réchauffez-la seulement au moment de servir pour profiter au maximum de ses bienfaits nutritionnels. Vérifiez la teneur en sel et ajustez-la à votre goût. Servez cette soupe de brocoli légère et crémeuse avec une salade de haricots grillés à l'ail et une focaccia aux tomates séchées pour un repas complet.</t>
  </si>
  <si>
    <t>https://www.archanaskitchen.com/light-and-creamy-broccoli-soup-recipe</t>
  </si>
  <si>
    <t>Healthy Yogurt Parfait with Oats and Fresh Fruits Recipe</t>
  </si>
  <si>
    <t>Rezept für gesundes Joghurtparfait mit Hafer und frischen Früchten</t>
  </si>
  <si>
    <t>Recette de parfait au yaourt sain avec flocons d'avoine et fruits frais</t>
  </si>
  <si>
    <t>Receta de parfait de yogur saludable con avena y fruta fresca</t>
  </si>
  <si>
    <t>1/2 tasse de flocons d'avoine instantanés (gruau), 1/2 tasse de lait de coco, 1 cuillère à soupe de miel, 1 pincée de sel, 1/2 tasse de caillé (dahi/yaourt), 1 cuillère à soupe de miel, 1 banane crue hachée, 1 pomme hachée, 4 pruneaux hachés, 1 cuillère à soupe de pistaches (livre)</t>
  </si>
  <si>
    <t>1/2 cup Instant Oats (Oatmeal),1/2 cup Coconut milk,1 tablespoon Honey,1 pinch Salt,1/2 cup Curd (Dahi / Yogurt),1 tablespoon Honey,1 Raw Banana - chopped,1 Apple - chopped,4 Prunes - chopped,1 tablespoon Pistachios - pound</t>
  </si>
  <si>
    <t>1/2 taza de avena instantánea (avena), 1/2 taza de leche de coco, 1 cucharada de miel, 1 pizca de sal, 1/2 taza de cuajada (dahi/yogur), 1 cucharada de miel, 1 plátano crudo picado, 1 manzana picada, 4 ciruelas pasas picadas, 1 cucharada de pistachos (libra)</t>
  </si>
  <si>
    <t xml:space="preserve">We begin making the Healthy Yogurt Parfait with Oats and Fresh Fruits Recipe by cooking the oats first, heat a sauce pan add all the ingredients and mix, stir till it thickens and keep it aside to let it cool down.Whisk in the yogurt and honey mixture in a separate bowl till it smooth and thick and keep it aside in the fridge till you assemble. To assemble, take any jar, layer it with oats mixture, then add chopped apple, and layer it with yogurt, add some chopped banana, again add the yogurt layer and top it up with prunes and pistachios. Serve the Healthy Yogurt Parfait with Oats and Fresh Fruits Recipe as a breakfast recipe to start your morning in a healthy way.
</t>
  </si>
  <si>
    <t>Comenzamos haciendo la Receta de Parfait de Yogur Saludable con Avena y Frutas Frescas cocinando primero la avena, calentamos una cacerola, agregamos todos los ingredientes y mezclamos, revolvemos hasta que espese y reservamos para que se enfríe. Batimos la mezcla de yogur y miel en un recipiente aparte hasta que esté suave y espesa y la reservamos en el refrigerador hasta que la armemos. Para armarla, toma cualquier frasco, coloca una capa con la mezcla de avena, luego agregamos manzana picada y una capa con yogur, agregamos un poco de plátano picado, nuevamente agregamos la capa de yogur y la cubrimos con ciruelas pasas y pistachos. Sirve la Receta de Parfait de Yogur Saludable con Avena y Frutas Frescas como una receta de desayuno para comenzar tu mañana de manera saludable.</t>
  </si>
  <si>
    <t>Nous commençons à préparer la recette du parfait au yaourt sain avec de l'avoine et des fruits frais en faisant d'abord cuire l'avoine, en faisant chauffer une casserole, en ajoutant tous les ingrédients et en mélangeant, en remuant jusqu'à ce que le mélange épaississe et en le laissant refroidir. Incorporez le mélange de yaourt et de miel dans un bol séparé jusqu'à ce qu'il soit lisse et épais et gardez-le de côté au réfrigérateur jusqu'à l'assemblage. Pour assembler, prenez n'importe quel pot, superposez-le avec le mélange d'avoine, puis ajoutez de la pomme hachée, puis du yaourt, ajoutez de la banane hachée, ajoutez à nouveau la couche de yaourt et garnissez de pruneaux et de pistaches. Servez la recette du parfait au yaourt sain avec de l'avoine et des fruits frais comme recette de petit-déjeuner pour commencer votre matinée de manière saine.</t>
  </si>
  <si>
    <t>http://www.archanaskitchen.com/healthy-yogurt-parfait-with-oats-and-fresh-fruits-recipe</t>
  </si>
  <si>
    <t>Homemade Harissa Paste Recipe</t>
  </si>
  <si>
    <t>Rezept für hausgemachte Harissa-Paste</t>
  </si>
  <si>
    <t>Recette de pâte de harissa maison</t>
  </si>
  <si>
    <t>Receta de pasta de harissa casera</t>
  </si>
  <si>
    <t>4 poivrons rouges (Capsicum) - épépinés et finement hachés, 4 gousses d'ail - grossièrement hachées, 1/4 tasse de tomates séchées au soleil - trempées dans de l'huile d'olive, 1 cuillère à soupe de graines de coriandre (Dhania), 1 cuillère à soupe de graines de cumin (Jeera), 4 piments rouges secs, 1/2 tasse d'huile d'olive extra vierge, 1 cuillère à soupe de sucre, sel - au goût</t>
  </si>
  <si>
    <t>4 Red Bell pepper (Capsicum) - deseeded and finely chopped,4 cloves Garlic - roughly chopped,1/4 cup Sun Dried Tomatoes - soaked in olive oil,1 tablespoon Coriander (Dhania) Seeds,1 tablespoon Cumin seeds (Jeera),4 Dry Red Chillies,1/2 cup Extra Virgin Olive Oil,1 tablespoon Sugar,Salt - to taste</t>
  </si>
  <si>
    <t>4 pimientos morrones rojos (Capsicum) - sin semillas y picados finamente, 4 dientes de ajo - picados gruesamente, 1/4 taza de tomates secados al sol - remojados en aceite de oliva, 1 cucharada de semillas de cilantro (Dhania), 1 cucharada de semillas de comino (Jeera), 4 chiles rojos secos, 1/2 taza de aceite de oliva virgen extra, 1 cucharada de azúcar, sal - al gusto</t>
  </si>
  <si>
    <t xml:space="preserve">To begin making the Homemade Harissa Recipe, all you need is a set of basic ingredients. Make sure you have all of them ready and kept aside.The first step is to roast the red bell peppers, you can roast them in the oven on in a wok. I personally prefer roasting it in the wok, as it gets done faster and gets great flavors as well. Heat a teaspoon of oil in the wok, add the garlic, the chopped red bell peppers and sprinkle some salt. Stir fry the red bell pepper on medium heat until well roasted and softened. Once you notice the peppers are roasted and softened turn off the heat.In the next step, we have to roast the coriander, cumin and chillies. Heat a small pan on medium heat and add the coriander, cumin seeds and dry red chillies. Roast on medium heat until you smell the aromas coming through. This will take less than 2 minutes.The next step is to process all the ingredients in a food processor. Add the roasted peppers, the roasted coriander and cumin and the remaining ingredients including the olive oil into the food processor. Process all the ingredients to make a smooth paste. The Harissa Paste is now ready for used as a condiment in a variety of dishes like Harissa Roasted Carrot Pizza with Pomegranate Sauce &amp; Greek Yogurt, Couscous Eggplant And Tomato Gratin Recipe and more.
</t>
  </si>
  <si>
    <t>Para comenzar a hacer la Receta de Harissa Casera, todo lo que necesitas es un conjunto de ingredientes básicos. Asegúrate de tenerlos todos listos y reservados. El primer paso es asar los pimientos rojos, puedes asarlos en el horno o en un wok. Personalmente prefiero asarlo en el wok, ya que se hace más rápido y también obtiene excelentes sabores. Calienta una cucharadita de aceite en el wok, agrega el ajo, los pimientos rojos picados y espolvorea un poco de sal. Saltea el pimiento rojo a fuego medio hasta que esté bien asado y suave. Una vez que notes que los pimientos están asados ​​y suaves, apaga el fuego. En el siguiente paso, tenemos que asar el cilantro, el comino y los chiles. Calienta una sartén pequeña a fuego medio y agrega el cilantro, las semillas de comino y los chiles rojos secos. Asa a fuego medio hasta que huelas los aromas. Esto tomará menos de 2 minutos. El siguiente paso es procesar todos los ingredientes en un procesador de alimentos. Añade los pimientos asados, el cilantro y el comino asados, y el resto de los ingredientes, incluyendo el aceite de oliva, al procesador de alimentos. Procesa todos los ingredientes hasta obtener una pasta suave. La pasta de harissa ya está lista para usarse como condimento en diversos platos, como la pizza de zanahoria asada con harissa, salsa de granada y yogur griego, la receta de cuscús, berenjena y gratinado de tomate, y muchos más.</t>
  </si>
  <si>
    <t>Pour commencer à préparer la recette de Harissa maison, tout ce dont vous avez besoin est un ensemble d'ingrédients de base. Assurez-vous de les avoir tous prêts et mis de côté. La première étape consiste à rôtir les poivrons rouges, vous pouvez les rôtir au four ou dans un wok. Personnellement, je préfère le rôtir au wok, car cela cuit plus rapidement et obtient également de bonnes saveurs. Faites chauffer une cuillère à café d'huile dans le wok, ajoutez l'ail, les poivrons rouges hachés et saupoudrez de sel. Faites sauter le poivron rouge à feu moyen jusqu'à ce qu'il soit bien rôti et ramolli. Une fois que vous remarquez que les poivrons sont rôtis et ramollis, éteignez le feu. Dans l'étape suivante, nous devons rôtir la coriandre, le cumin et les piments. Faites chauffer une petite poêle à feu moyen et ajoutez la coriandre, les graines de cumin et les piments rouges secs. Rôtissez à feu moyen jusqu'à ce que vous sentiez les arômes se dégager. Cela prendra moins de 2 minutes. L'étape suivante consiste à traiter tous les ingrédients dans un robot culinaire. Ajoutez les poivrons rôtis, la coriandre et le cumin rôtis ainsi que le reste des ingrédients, y compris l'huile d'olive, dans le robot culinaire. Mixez tous les ingrédients jusqu'à obtenir une pâte lisse. La pâte d'harissa est maintenant prête à être utilisée comme condiment dans une variété de plats comme la pizza aux carottes rôties à l'harissa avec sauce à la grenade et yaourt grec, la recette de gratin d'aubergines et de tomates au couscous, et bien plus encore.</t>
  </si>
  <si>
    <t>http://www.archanaskitchen.com/homemade-harissa-paste-recipe</t>
  </si>
  <si>
    <t>Herbed Lentil Loaf Recipe Using Horsegram</t>
  </si>
  <si>
    <t>Rezept für Linsenbrot mit Kräutern und Pferdebohnen</t>
  </si>
  <si>
    <t>Recette de pain aux lentilles aux herbes et aux féveroles</t>
  </si>
  <si>
    <t>Receta de pan de lentejas con hierbas y habas</t>
  </si>
  <si>
    <t>1 tasse de flocons d'avoine instantanés (gruau), 1/2 tasse de farine de quinoa ou de millet, 1 tasse de Moong Dal vert (entier), 1 œuf entier battu, 1 cuillère à soupe de sauce soja, 1 cuillère à café de vinaigre de vin blanc, 2 cuillères à soupe d'huile d'olive extra vierge, 1 cuillère à soupe de purée de tomates maison, 1 cuillère à café de poudre d'ail, 1 cuillère à café de poudre de cumin (Jeera), 1 cuillère à café de poudre de piment rouge, feuilles de persil - petit bouquet, 1/2 tasse de chapelure de blé entier, sel - au goût, poivre noir en poudre - au goût</t>
  </si>
  <si>
    <t>1 cup Instant Oats (Oatmeal),1/2 cup Quinoa flour - or millet flour,1 cup Green Moong Dal (Whole),1 Whole Egg - beaten,1 tablespoon Soy sauce,1 teaspoon White wine vinegar,2 tablespoons Extra Virgin Olive Oil,1 tablespoon Homemade tomato puree,1 teaspoon Garlic powder,1 teaspoon Cumin powder (Jeera),1 teaspoon Red Chilli powder,Parsley leaves - small bunch,1/2 cup Whole Wheat Bread crumbs,Salt - to taste,Black pepper powder - to taste</t>
  </si>
  <si>
    <t>1 taza de avena instantánea (avena), 1/2 taza de harina de quinoa o harina de mijo, 1 taza de Moong Dal verde (entero), 1 huevo entero batido, 1 cucharada de salsa de soja, 1 cucharadita de vinagre de vino blanco, 2 cucharadas de aceite de oliva virgen extra, 1 cucharada de puré de tomate casero, 1 cucharadita de ajo en polvo, 1 cucharadita de comino en polvo (Jeera), 1 cucharadita de chile rojo en polvo, hojas de perejil - manojo pequeño, 1/2 taza de pan rallado integral, sal - al gusto, pimienta negra en polvo - al gusto</t>
  </si>
  <si>
    <t xml:space="preserve">To begin making the Herbed Lentil Loaf recipe, we will first cook the lentils. Bring 2 cups of water to a boil.  Add lentils and simmer 25 to 30 minutes, until lentils are soft. Drain any excess water and partially mash lentils.  Keep the lentils aside to cool.Next, preheat the oven to 180 C. Lightly grease a loaf pan.Add the cooked lentils and all the remaining ingredients into a large mixing bowl. Stir well to combine all the ingredients.Check the salt and spice levels and adjust to suit your taste.Transfer the lentil loaf mixture to the loaf pan.Bake until loaf is browned on the surface and cooked through from the inside. This will take 15 to 20 minutes and when a tester is inserted in the center, it will come out cooked and almost clean.Slice and serve the Herbed Lentil Loaf along with mashed potatoes and vegetables for a  wholesome weeknight dinner with family.
</t>
  </si>
  <si>
    <t>Para comenzar a hacer la receta de Pan de Lentejas con Hierbas, primero cocinaremos las lentejas. Pon a hervir 2 tazas de agua. Agrega las lentejas y cocina a fuego lento de 25 a 30 minutos, hasta que las lentejas estén blandas. Escurre el exceso de agua y tritura parcialmente las lentejas. Deja las lentejas a un lado para que se enfríen. Luego, precalienta el horno a 180 C. Engrasa ligeramente un molde para pan. Agrega las lentejas cocidas y todos los ingredientes restantes en un tazón grande para mezclar. Revuelve bien para combinar todos los ingredientes. Revisa los niveles de sal y especias y ajústalos a tu gusto. Transfiere la mezcla de pan de lentejas al molde para pan. Hornea hasta que el pan esté dorado en la superficie y cocido por dentro. Esto tomará de 15 a 20 minutos y al insertar un palillo en el centro, saldrá cocido y casi limpio. Corte y sirva el pan de lentejas con hierbas junto con puré de papas y verduras para una cena saludable entre semana con la familia.</t>
  </si>
  <si>
    <t>Pour commencer à préparer la recette du pain aux lentilles et aux herbes, nous allons d'abord cuire les lentilles. Portez 2 tasses d'eau à ébullition. Ajoutez les lentilles et laissez mijoter 25 à 30 minutes, jusqu'à ce que les lentilles soient tendres. Égouttez l'excédent d'eau et écrasez partiellement les lentilles. Réservez les lentilles pour les laisser refroidir. Ensuite, préchauffez le four à 180 °C. Graissez légèrement un moule à pain. Ajoutez les lentilles cuites et tous les ingrédients restants dans un grand bol à mélanger. Remuez bien pour combiner tous les ingrédients. Vérifiez les niveaux de sel et d'épices et ajustez selon votre goût. Transférez le mélange de pain aux lentilles dans le moule à pain. Faites cuire jusqu'à ce que le pain soit doré à la surface et cuit à l'intérieur. Cela prendra 15 à 20 minutes et lorsqu'un testeur est inséré au centre, il en ressortira cuit et presque propre. Tranchez et servez le pain aux lentilles aux herbes avec de la purée de pommes de terre et des légumes pour un dîner sain en semaine en famille.</t>
  </si>
  <si>
    <t>http://www.archanaskitchen.com/herbed-lentil-loaf-recipe-from-horse-gram-kollu</t>
  </si>
  <si>
    <t>Wholesome Lentil Salad Recipe with Oven Roasted Tomatoes</t>
  </si>
  <si>
    <t>Gesundes Linsensalat-Rezept mit Ofentomaten</t>
  </si>
  <si>
    <t>Recette de salade de lentilles saine avec tomates au four</t>
  </si>
  <si>
    <t>Receta saludable de ensalada de lentejas con tomates al horno</t>
  </si>
  <si>
    <t>1/2 tasse de Masoor Dal (entier) - bouilli, 1 oignon - émincé, 4 brins de feuilles de menthe (Pudina) - hachées, feuilles de coriandre (Dhania) - un demi-bouquet, 2 cuillères à café de câpres - hachées finement, 1/4 tasse d'amandes effilées (Badam) - grillées, 5 tomates, 5 cuillères à soupe d'huile d'olive extra vierge, 2 cuillères à soupe de vinaigre de cidre de pomme, 1 gousse d'ail - hachée, sel - au goût, poivre noir en poudre - au goût</t>
  </si>
  <si>
    <t>1/2 cup Masoor Dal (Whole) - boiled,1 Onion - sliced,4 sprig Mint Leaves (Pudina) - chopped,Coriander (Dhania) Leaves - half a bunch,2 teaspoons Capers - chopped finely,1/4 cup Slivered Almonds (Badam) - toasted,5 Tomato,5 tablespoons Extra Virgin Olive Oil,2 tablespoons Apple cider vinegar,1 clove Garlic - minced,Salt - to taste,Black pepper powder - to taste</t>
  </si>
  <si>
    <t>1/2 taza de Masoor Dal (entero) - hervido, 1 cebolla - en rodajas, 4 ramitas de hojas de menta (Pudina) - picadas, hojas de cilantro (Dhania) - medio manojo, 2 cucharaditas de alcaparras - picadas finamente, 1/4 taza de almendras fileteadas (Badam) - tostadas, 5 tomates, 5 cucharadas de aceite de oliva virgen extra, 2 cucharadas de vinagre de sidra de manzana, 1 diente de ajo - picado, sal - al gusto, pimienta negra en polvo - al gusto</t>
  </si>
  <si>
    <t xml:space="preserve">To begin making the Wholesome Lentil Salad Recipe with Oven Roasted Tomatoes, we begin by slow-roasting the tomatoes in the oven.Preheat your oven at 200 degrees C.Slice the tomato in half and place them in a baking sheet. Drizzle 4 tablespoons of olive oil, salt, pepper, a teaspoon of dry basil leaves and 3 pods of minced garlic over the sliced tomato.Reduce the temperature of the oven to 100 degrees C and roast the tomato for 40-45 minutes till they are cooked through. Tomato can be roasted in the grill pan as well over the gas flame. Add the boiled lentil in a salad mixing bowl along with the sliced onions, coriander and mint leaves.In a small bottle or glass bowl, add all the ingredients for the dressing which is the olive oil, apple cider vinegar,garlic, salt and black pepper powder and shake/whisk well to emulsify. Place the dressing in the fridge until you are ready to serve the salad.Once the tomato is roasted, allow them to cool completely. Chop them into pieces and add to  a bowl. Add onions, mint leaves, coriander leaves, capers and mix well to combine.. Sprinkle the toasted almond slivers and crumbled cheese (if using) on top.Whisk the dressing one last time before adding to the salad. Pour the dressing over the salad and gently toss the salad in the dressing. Serve Wholesome Lentil Salad for the weeknight dinner along with Pasta Aglio Olio Recipe or as an evening snack. 
</t>
  </si>
  <si>
    <t>Para comenzar a hacer la Receta de Ensalada de Lentejas Saludable con Tomates Asados ​​al Horno, comenzamos asando lentamente los tomates en el horno. Precalienta el horno a 200 grados C. Corta el tomate por la mitad y colócalos en una bandeja para hornear. Rocía 4 cucharadas de aceite de oliva, sal, pimienta, una cucharadita de hojas de albahaca seca y 3 vainas de ajo picado sobre el tomate en rodajas. Reduce la temperatura del horno a 100 grados C y asa el tomate durante 40-45 minutos hasta que esté bien cocido. El tomate también se puede asar en la sartén a la parrilla sobre la llama de gas. Agrega la lenteja hervida en un tazón para mezclar ensalada junto con las cebollas en rodajas, el cilantro y las hojas de menta. En una botella pequeña o tazón de vidrio, agrega todos los ingredientes para el aderezo que es el aceite de oliva, el vinagre de sidra de manzana, el ajo, la sal y la pimienta negra en polvo y agita/bata bien para emulsionar. Guarda el aderezo en el refrigerador hasta que estés listo para servir la ensalada. Una vez asado el tomate, déjalo enfriar por completo. Córtalo en trozos y agrégalos a un tazón. Agrega cebolla, hojas de menta, hojas de cilantro, alcaparras y mezcla bien. Espolvorea las almendras laminadas tostadas y el queso desmenuzado (si lo usas) por encima. Bate el aderezo una última vez antes de agregarlo a la ensalada. Vierte el aderezo sobre la ensalada y revuélvela suavemente con él. Sirve la Ensalada de Lentejas Saludable para la cena entre semana junto con la Receta de Pasta Aglio Olio o como un refrigerio por la noche.</t>
  </si>
  <si>
    <t>Pour commencer à préparer la recette de salade de lentilles saine avec des tomates rôties au four, nous commençons par rôtir lentement les tomates au four. Préchauffez votre four à 200 degrés C. Coupez la tomate en deux et placez-les sur une plaque à pâtisserie. Arrosez la tomate tranchée de 4 cuillères à soupe d'huile d'olive, de sel, de poivre, d'une cuillère à café de feuilles de basilic sèches et de 3 gousses d'ail émincées. Réduisez la température du four à 100 degrés C et faites rôtir la tomate pendant 40 à 45 minutes jusqu'à ce qu'elle soit bien cuite. La tomate peut également être rôtie dans la poêle à griller sur la flamme du gaz. Ajoutez les lentilles bouillies dans un saladier avec les oignons émincés, la coriandre et les feuilles de menthe. Dans une petite bouteille ou un bol en verre, ajoutez tous les ingrédients de la vinaigrette, à savoir l'huile d'olive, le vinaigre de cidre de pomme, l'ail, le sel et la poudre de poivre noir et secouez/fouettez bien pour émulsionner. Placez la vinaigrette au réfrigérateur jusqu'au moment de servir la salade. Une fois les tomates rôties, laissez-les refroidir complètement. Coupez-les en morceaux et mettez-les dans un bol. Ajoutez les oignons, les feuilles de menthe, les feuilles de coriandre et les câpres, puis mélangez bien. Parsemez d'amandes effilées grillées et de fromage émietté (si vous en utilisez). Fouettez la vinaigrette une dernière fois avant de l'ajouter à la salade. Versez la vinaigrette sur la salade et mélangez délicatement. Servez cette salade de lentilles complète pour un dîner de semaine, accompagnée de la recette de pâtes à l'ail ou en collation.</t>
  </si>
  <si>
    <t>http://www.archanaskitchen.com/wholesome-lentil-salad-recipe-with-oven-roasted-tomatoes</t>
  </si>
  <si>
    <t>Buckwheat Crepe Recipe with Fruit Compote</t>
  </si>
  <si>
    <t>Buchweizen-Crêpe-Rezept mit Fruchtkompott</t>
  </si>
  <si>
    <t>Recette de crêpes au sarrasin et compote de fruits</t>
  </si>
  <si>
    <t>Receta de panqueques de trigo sarraceno con compota de frutas</t>
  </si>
  <si>
    <t>1 tasse de farine de sarrasin (Kuttu Ka Atta), 1/2 tasse de farine de blé entier, 1 cuillère à café de levure chimique, 1/4 cuillère à café de bicarbonate de soude, 2 œufs entiers, 3/4 tasse de babeurre, 1/4 tasse de beurre fondu, 1 pincée de sel, 3 prunes évidées et hachées, 8 fraises hachées, 1/4 tasse de cassonade (sucre Demerara), 1/2 cuillère à café de cannelle en poudre (Dalchini), 1/4 cuillère à café de feuilles de thym séchées</t>
  </si>
  <si>
    <t>1 cup Buckwheat Flour (Kuttu Ka Atta),1/2 cup Whole Wheat Flour,1 teaspoon Baking powder,1/4 teaspoon Baking soda,2 Whole Eggs,3/4 cup Buttermilk,1/4 cup Butter - melted,1 pinch Salt,3 Plum - cored and chopped,8 Strawberries - chopped,1/4 cup Brown Sugar (Demerara Sugar),1/2 teaspoon Cinnamon Powder (Dalchini),1/4 teaspoon Dried Thyme Leaves</t>
  </si>
  <si>
    <t>1 taza de harina de trigo sarraceno (Kuttu Ka Atta), 1/2 taza de harina integral, 1 cucharadita de polvo para hornear, 1/4 cucharadita de bicarbonato de sodio, 2 huevos enteros, 3/4 taza de suero de leche, 1/4 taza de mantequilla derretida, 1 pizca de sal, 3 ciruelas - sin corazón y picadas, 8 fresas - picadas, 1/4 taza de azúcar morena (azúcar Demerara), 1/2 cucharadita de canela en polvo (Dalchini), 1/4 cucharadita de hojas de tomillo secas</t>
  </si>
  <si>
    <t xml:space="preserve">To begin making the Buckwheat Crepes Recipe with Fruit Compote, first prepare the plum and strawberry compote.Clean and chop the fruits and transfer them into a heavy bottom pan, along wit h the brown sugar, cinnamon powder and thyme.Place the pan on the heat and allow the fruit to cook down till it begins to bubble. Reduce the heat and simmer for about 15-20 minutes till the plums are cooked but not mushy.Set the compote aside and prepare the pancakes. For the pancakes, Sift together buckwheat flour, whole wheat flour, baking powder, baking soda and salt in a mixing bowl.In another bowl, whisk together the eggs, buttermilk, melted butter and brown sugar till blended well.Add the egg-buttermilk (wet ingredients) mixture to the sifted flour and whisk together gently till it forms a smooth batter.Place a skillet on the heat and preheat it.When ready to make the crepes, pour a ladle full of pancake batter on the warm skillet and gently spread it into a thin layer, using outward circular motions.Cook on medium heat for two minutes. Flip and cook for 2 mins till done.Serve warm with compote a dollop of cream, if desired.Serve Buckwheat Crepe Recipe with Fruit Compote with a glass of fresh juice or a hot cup of coffee. You could also pack them in your kids snack box or for a weekend family picnic.
</t>
  </si>
  <si>
    <t>Para empezar a preparar la receta de crepas de trigo sarraceno con compota de frutas, primero prepare la compota de ciruelas y fresas. Limpie y pique las frutas y transfiéralas a una cacerola de fondo grueso junto con el azúcar moreno, la canela en polvo y el tomillo. Coloque la cacerola al fuego y deje que la fruta se reduzca hasta que empiece a burbujear. Reduzca el fuego y cocine a fuego lento durante unos 15-20 minutos hasta que las ciruelas estén cocidas, pero no blandas. Reserve la compota y prepare las crepas. Para los panqueques, tamice juntos la harina de trigo sarraceno, la harina integral, el polvo para hornear, el bicarbonato de sodio y la sal en un tazón. En otro tazón, bata los huevos, el suero de leche, la mantequilla derretida y el azúcar moreno hasta que se combinen bien. Agregue la mezcla de huevo y suero de leche (ingredientes húmedos) a la harina tamizada y bata suavemente hasta formar una masa suave. Coloque una sartén al fuego y precaliéntela. Cuando esté listo para hacer los crepes, vierta un cucharón lleno de masa para panqueques en la sartén caliente y extiéndala suavemente en una capa delgada, con movimientos circulares hacia afuera. Cocine a fuego medio durante dos minutos. Voltee y cocine durante 2 minutos hasta que esté listo. Sirva caliente con compota o una cucharada de crema, si lo desea. Sirva la Receta de Crepes de Trigo Sarraceno con Compota de Frutas con un vaso de jugo fresco o una taza de café caliente. También puede empacarlos en la caja de refrigerio de sus hijos o para un picnic familiar de fin de semana.</t>
  </si>
  <si>
    <t>Pour préparer les crêpes au sarrasin et à la compote de fruits, commencez par préparer la compote de prunes et de fraises. Nettoyez et coupez les fruits en dés, puis transférez-les dans une casserole à fond épais avec la cassonade, la cannelle en poudre et le thym. Placez la casserole sur le feu et laissez mijoter jusqu'à ce que les fruits commencent à bouillonner. Réduisez le feu et laissez mijoter 15 à 20 minutes, jusqu'à ce que les prunes soient cuites, mais pas trop molles. Réservez la compote et préparez les crêpes. Pour les crêpes, tamisez la farine de sarrasin, la farine de blé entier, la levure chimique, le bicarbonate de soude et le sel dans un saladier. Dans un autre saladier, fouettez les œufs, le babeurre, le beurre fondu et la cassonade jusqu'à obtenir un mélange homogène. Ajoutez le mélange œufs-babeurre (ingrédients humides) à la farine tamisée et fouettez délicatement jusqu'à obtenir une pâte lisse. Préchauffez une poêle sur le feu. Pour préparer les crêpes, versez une louche de pâte à crêpes dans la poêle chaude et étalez-la délicatement en une fine couche, par mouvements circulaires. Faites cuire à feu moyen pendant deux minutes. Retournez et laissez cuire 2 minutes jusqu'à cuisson complète. Servez chaud avec une compote et une noisette de crème, si désiré. Servez la recette de crêpes au sarrasin avec une compote de fruits avec un verre de jus de fruits frais ou une tasse de café chaud. Vous pouvez également les emporter dans la boîte à goûter de vos enfants ou pour un pique-nique en famille le week-end.</t>
  </si>
  <si>
    <t>https://www.archanaskitchen.com/buckwheat-crepes-with-fruit-compote-recipe</t>
  </si>
  <si>
    <t>Hidden Banana Cupcake Recipe</t>
  </si>
  <si>
    <t>Rezept für versteckte Bananen-Cupcakes</t>
  </si>
  <si>
    <t>Recette de cupcakes cachés à la banane</t>
  </si>
  <si>
    <t>Receta de cupcakes de plátano ocultos</t>
  </si>
  <si>
    <t>2 tasses de Vivatta Maida, 1 tasse de mangue (mûre) - hachée finement, 1 tasse de sucre, 1/4 tasse d'huile de tournesol, 1 cuillère à café de levure chimique, 1 cuillère à café de bicarbonate de soude, 1 tasse de lait, 1/4 tasse de bananes mûres - hachées, 3 cuillères à café de sucre, 1 cuillère à soupe de beurre (non salé), 1/4 tasse de beurre (non salé), 1-1/2 tasse de sucre en poudre, 1/4 tasse de lait, 1 cuillère à café d'extrait de vanille, pulpe de mangue (purée) - pour la décoration</t>
  </si>
  <si>
    <t>2 cups Vivatta Maida,1 cup Mango (Ripe) - chopped finely,1 cup Sugar,1/4 cup Sunflower Oil,1 teaspoon Baking powder,1 teaspoon Baking soda,1 cup Milk,1/4 cup Ripe Bananas - chopped,3 teaspoons Sugar,1 tablespoon Butter (unsalted),1/4 cup Butter (unsalted),1-1/2 cup Caster Sugar,1/4 cup Milk,1 teaspoon Vanilla Extract,Mango Pulp (Puree) - for decoration</t>
  </si>
  <si>
    <t>2 tazas de Vivatta Maida, 1 taza de mango (maduro) - picado finamente, 1 taza de azúcar, 1/4 taza de aceite de girasol, 1 cucharadita de polvo de hornear, 1 cucharadita de bicarbonato de sodio, 1 taza de leche, 1/4 taza de plátanos maduros - picados, 3 cucharaditas de azúcar, 1 cucharada de mantequilla (sin sal), 1/4 taza de mantequilla (sin sal), 1-1/2 taza de azúcar extrafino, 1/4 taza de leche, 1 cucharadita de extracto de vainilla, pulpa de mango (puré) - para decorar</t>
  </si>
  <si>
    <t xml:space="preserve">To begin making Hidden Banana Cupcake Recipe, preheat oven to 350 degrees.Mix in all the dry ingredients for the cake in a mixing bowl -flour, baking powder and baking soda. Mix the sugar well into the bowl.Now add the wet ingredients one by one, beginning with oil and then milk. Blend well till smooth in a hand mixer. Add in the mango pieces and just give it a gentle mix (fold it in) with spatula or whisk.Line the muffin tray with paper liners and scoop the mixture into each of them until half way in each cavity. This is since the cupcake will rise almost doubling the space up.Bake at 350 degrees for about 25 to 30 minutes. Check by inserting a toothpick and it comes out clean.Meanwhile when the cupcakes are baking, in a mixing bowl, blend the sugar and butter for the frosting in a hand blender till light and fluffy. Then add in the bananas and blend well.Similarly blend the sugar and butter for the frosting in a separate bowl. Add in milk and vanilla extract and keep the frosting aside. Cool down the cupcakes and inject the banana mixture into each of them.Cover them with the frosting. Garnish them with banana pieces and drizzle some mango puree on top of each of them.Serve Hidden Banana Cupcake Recipe along with Parmesan Corn Chili Fries Recipe and Blueberry Banana Smoothie Recipe.
</t>
  </si>
  <si>
    <t>Para comenzar a hacer la Receta de Cupcakes de Plátano Ocultos, precaliente el horno a 350 grados. Mezcle todos los ingredientes secos para el pastel en un tazón: harina, polvo para hornear y bicarbonato de sodio. Mezcle bien el azúcar en el tazón. Ahora agregue los ingredientes húmedos uno por uno, comenzando con el aceite y luego la leche. Mezcle bien hasta que esté suave en una batidora de mano. Agregue los trozos de mango y simplemente mezcle suavemente (incorpórelo) con una espátula o un batidor. Cubra la bandeja para muffins con capacillos de papel y coloque la mezcla en cada uno de ellos hasta la mitad en cada cavidad. Esto se debe a que el cupcake se elevará casi duplicando el espacio. Hornee a 350 grados durante unos 25 a 30 minutos. Verifique insertando un palillo y salga limpio. Mientras tanto, cuando los cupcakes se estén horneando, en un tazón, mezcle el azúcar y la mantequilla para el glaseado en una batidora de mano hasta que esté ligero y esponjoso. Luego, agrega los plátanos y mezcla bien. De igual forma, mezcla el azúcar y la mantequilla para el glaseado en un recipiente aparte. Agrega la leche y el extracto de vainilla y reserva el glaseado. Deja enfriar los cupcakes y vierte la mezcla de plátano en cada uno. Cúbrelos con el glaseado. Decóralos con trozos de plátano y rocía un poco de puré de mango sobre cada uno. Sirve la receta de cupcakes de plátano ocultos junto con la receta de papas fritas con chile, maíz y parmesano y la receta de batido de plátano y arándanos.</t>
  </si>
  <si>
    <t>Pour commencer à préparer la recette de cupcake à la banane cachée, préchauffez le four à 350 degrés. Mélangez tous les ingrédients secs du gâteau dans un bol à mélanger - farine, levure chimique et bicarbonate de soude. Mélangez bien le sucre dans le bol. Ajoutez maintenant les ingrédients humides un par un, en commençant par l'huile puis le lait. Mélangez bien jusqu'à consistance lisse dans un batteur à main. Ajoutez les morceaux de mangue et mélangez doucement (incorporez-les) avec une spatule ou un fouet. Tapissez le moule à muffins de caissettes en papier et versez le mélange dans chacun d'eux jusqu'à la moitié de chaque cavité. Ceci est dû au fait que le cupcake lèvera presque en doublant l'espace. Faites cuire au four à 350 degrés pendant environ 25 à 30 minutes. Vérifiez en insérant un cure-dent et il en ressort propre. Pendant ce temps, lorsque les cupcakes cuisent, dans un bol à mélanger, mélangez le sucre et le beurre pour le glaçage dans un mélangeur à main jusqu'à ce qu'ils soient légers et mousseux. Ajoutez ensuite les bananes et mélangez bien. Mélangez de la même manière le sucre et le beurre pour le glaçage dans un bol séparé. Ajoutez le lait et l'extrait de vanille et réservez le glaçage. Laissez refroidir les cupcakes et injectez le mélange à la banane dans chacun d'eux. Recouvrez-les de glaçage. Garnissez-les de morceaux de banane et arrosez-les de purée de mangue. Servez la recette de cupcakes à la banane cachée avec la recette de frites de maïs au parmesan et au chili et la recette de smoothie banane-myrtille.</t>
  </si>
  <si>
    <t>http://www.archanaskitchen.com/hidden-banana-cupcake-recipe</t>
  </si>
  <si>
    <t>Cottage Cheese Pancake Recipe Stuffed With Chocolate - Russian Syrniki Recipe</t>
  </si>
  <si>
    <t>Rezept für Hüttenkäsepfannkuchen mit Schokoladenfüllung – Russisches Syrniki-Rezept</t>
  </si>
  <si>
    <t>Recette de crêpes au fromage blanc fourrées au chocolat – recette de syrniki russes</t>
  </si>
  <si>
    <t>Receta de panqueques de requesón rellenos de chocolate: receta de syrniki rusos</t>
  </si>
  <si>
    <t>250 grammes de paneer (fromage cottage fait maison), 2 œufs entiers, 4 cuillères à soupe de miel, 1/4 cuillère à café de sel, 1 cuillère à café d'extrait de vanille, 1 tasse de farine tout usage (Maida), 1/2 cuillère à café de levure chimique, 1/2 tasse de barre de chocolat (au choix), 1/2 tasse de farine tout usage (Maida) (pour saupoudrer), beurre (selon les besoins pour la poêle)</t>
  </si>
  <si>
    <t>250 grams Paneer (Homemade Cottage Cheese),2 Whole Eggs,4 tablespoons Honey,1/4 teaspoon Salt,1 teaspoon Vanilla Extract,1 cup All Purpose Flour (Maida),1/2 teaspoon Baking powder,1/2 cup Chocolate Bar - any,1/2 cup All Purpose Flour (Maida) - for dusting,Butter - as required for pan frying</t>
  </si>
  <si>
    <t>250 gramos de Paneer (queso cottage casero), 2 huevos enteros, 4 cucharadas de miel, 1/4 cucharadita de sal, 1 cucharadita de extracto de vainilla, 1 taza de harina multiusos (Maida), 1/2 cucharadita de polvo para hornear, 1/2 taza de barra de chocolate (cualquiera), 1/2 taza de harina multiusos (Maida) - para espolvorear, mantequilla (la necesaria para freír en sartén)</t>
  </si>
  <si>
    <t xml:space="preserve">To begin making the Cottage Cheese Pancake Recipe, prepare the paneer (cottage cheese) according to the homemade paneer recipe and keep aside. The next step it to make the pancakes.Mix the sifted flour, baking powder and salt. Set aside.Blend together the cottage cheese, eggs, sugar, and vanilla in small food processor just until cheese is almost smooth.Remove it from the food processor into a large mixing bowl. Add in the dry flour ingredients to and stir with a spatula just until combined. The mixture will be very sticky. Heat 2 tablespoons of butter in a nonstick skillet on low-medium heat. Make sure that the butter is hot enough before you start frying the pancakes, but not smoking.Using a medium cookie scoop, scoop a ball of dough. Then place the chopped chocolate inside the scooped ball of dough, and put it directly on the flour. Sprinkle flour over the top of the ball. Continue the process with the rest of the dough, until it’s all gone. You should get about 7-8 balls.Lightly pat on the balls to remove the excess flour. Then flatten the ball with your palm to make it into a patty and place it in the skillet.Fry both sides on low-medium heat until golden brown then place on paper towel to remove any excess oil.Dust the Cottage Cheese Pancake (Russian Syrniki) with powdered sugar and serve with strawberry coulis and garnish with some freshly cut strawberries.The Cottage Cheese Pancake Recipe is quick and simple to make and makes a wholesome snack box for kids school or even an after school snack.Serve Cottage Cheese Pancake Recipe Stuffed With Chocolate with Fresh Fruit Bowl and Punjabi Style Espresso Coffee for a brunch.
</t>
  </si>
  <si>
    <t>Para comenzar a hacer la Receta de Panqueques de Queso Cottage, prepare el paneer (requesón) de acuerdo con la receta casera de paneer y manténgalo a un lado. El siguiente paso es hacer los panqueques. Mezcle la harina tamizada, el polvo para hornear y la sal. Deje a un lado. Mezcle el requesón, los huevos, el azúcar y la vainilla en un procesador de alimentos pequeño hasta que el queso esté casi suave. Retírelo del procesador de alimentos a un tazón grande. Agregue los ingredientes secos de la harina y revuelva con una espátula hasta que se combinen. La mezcla estará muy pegajosa. Caliente 2 cucharadas de mantequilla en una sartén antiadherente a fuego medio-bajo. Asegúrese de que la mantequilla esté lo suficientemente caliente antes de comenzar a freír los panqueques, pero sin humear. Usando una cuchara para galletas mediana, forme una bola de masa. Luego coloque el chocolate picado dentro de la bola de masa y póngala directamente sobre la harina. Espolvoree harina sobre la parte superior de la bola. Continúe el proceso con el resto de la masa, hasta que se acabe todo. Deberías obtener unas 7-8 bolas. Golpea ligeramente las bolas para retirar el exceso de harina. Luego, aplánalas con la palma de la mano para formar una hamburguesa y colócalas en la sartén. Fríelas por ambos lados a fuego medio-bajo hasta que estén doradas y luego colócalas sobre papel absorbente para retirar el exceso de aceite. Espolvorea el panqueque de requesón (syrniki ruso) con azúcar glas y sírvelo con coulis de fresa y decora con fresas recién cortadas. La receta de panqueques de requesón es rápida y sencilla de hacer, y constituye una merienda saludable para la escuela de los niños o incluso una merienda después de la escuela. Sirve la receta de panqueques de requesón rellenos de chocolate con un tazón de fruta fresca y café expreso estilo punjabi para un brunch.</t>
  </si>
  <si>
    <t>Pour commencer à préparer la recette de crêpes au fromage cottage, préparez le paneer (fromage cottage) selon la recette de paneer maison et réservez-le. L'étape suivante consiste à faire les crêpes. Mélangez la farine tamisée, la levure chimique et le sel. Réservez. Mélangez le fromage cottage, les œufs, le sucre et la vanille dans un petit robot culinaire jusqu'à ce que le fromage soit presque lisse. Retirez-le du robot culinaire dans un grand bol à mélanger. Ajoutez les ingrédients secs de la farine et remuez avec une spatule jusqu'à ce que le tout soit combiné. Le mélange sera très collant. Faites chauffer 2 cuillères à soupe de beurre dans une poêle antiadhésive à feu moyen-doux. Assurez-vous que le beurre est suffisamment chaud avant de commencer à faire frire les crêpes, mais pas fumant. À l'aide d'une cuillère à biscuits moyenne, formez une boule de pâte. Placez ensuite le chocolat haché à l'intérieur de la boule de pâte creusée et placez-la directement sur la farine. Saupoudrez de farine sur le dessus de la boule. Continuez le processus avec le reste de la pâte, jusqu'à ce qu'il n'y en ait plus. Vous devriez obtenir environ 7 à 8 boules. Tapotez légèrement les boules pour enlever l'excédent de farine. Aplatissez ensuite la boule avec votre paume pour en faire une galette et placez-la dans la poêle. Faites frire les deux côtés à feu doux-moyen jusqu'à ce qu'ils soient dorés, puis placez-les sur du papier absorbant pour enlever l'excédent d'huile. Saupoudrez la crêpe au fromage cottage (Syrniki russe) de sucre glace et servez avec du coulis de fraises et garnissez de quelques fraises fraîchement coupées. La recette de crêpe au fromage cottage est rapide et simple à préparer et constitue une boîte à collation saine pour l'école des enfants ou même une collation après l'école. Servez la recette de crêpe au fromage cottage fourrée au chocolat avec un bol de fruits frais et un café expresso de style punjabi pour un brunch.</t>
  </si>
  <si>
    <t>https://www.archanaskitchen.com/cottage-cheese-pancake-recipe-stuffed-with-chocolate-russian-syrniki-recipe</t>
  </si>
  <si>
    <t>3 Ingredients Banana Ice Cream Recipe - Healthy Version</t>
  </si>
  <si>
    <t>Bananeneis-Rezept mit 3 Zutaten – Gesunde Variante</t>
  </si>
  <si>
    <t>Recette de glace à la banane avec 3 ingrédients – Version saine</t>
  </si>
  <si>
    <t>Receta de helado de plátano de 3 ingredientes (versión saludable)</t>
  </si>
  <si>
    <t>4 bananes mûres, 1 cuillère à soupe de miel, 4 cuillères à soupe de chocolat blanc ou de pépites de chocolat blanc</t>
  </si>
  <si>
    <t>4 Ripe Bananas,1 tablespoon Honey,4 tablespoons White Chocolate - or white chocolate chips</t>
  </si>
  <si>
    <t>4 plátanos maduros, 1 cucharada de miel, 4 cucharadas de chocolate blanco o chispas de chocolate blanco</t>
  </si>
  <si>
    <t xml:space="preserve">To begin making 3 Ingredients Banana Ice Cream Recipe , take ripe bananas ,cut into pieces and freeze it overnight.Next day once the bananas are frozen, take a blender and blend all frozen bananas until you get creamy texture.Transfer the blended bananas in an airtight container, add some honey and chocolate chips. Mix well.Line a loaf pan with a parchment paper and then pour in the ice cream mix. Cover with a parchment paper and keep the loaf pan/ice cream pan in freezer under deep refrigeration for 3-4 hours or till frozen.Banana ice cream is ready to serve.Serve 3 Ingredients Banana Ice Cream Recipe (Healthy Version) after a delicious meal of Butter Garlic Naan Recipe and Sweet Potato &amp; Oatmeal Kofta Curry (Non Fried) or a one pot meal like Chicken Crepe Lasagne Recipe as a weekend treat to your family and friends.
</t>
  </si>
  <si>
    <t>Para empezar a preparar la Receta de Helado de Plátano de 3 Ingredientes, toma plátanos maduros, córtalos en trozos y congélalos durante la noche. Al día siguiente, una vez congelados los plátanos, licúa todos los plátanos congelados hasta obtener una textura cremosa. Transfiere los plátanos licuados a un recipiente hermético, agrega un poco de miel y chispas de chocolate. Mezcla bien. Cubre un molde para pan con papel pergamino y luego vierte la mezcla para helado. Cubre con papel pergamino y mantén el molde para pan/helado en el congelador bajo refrigeración profunda durante 3-4 horas o hasta que esté congelado. El helado de plátano está listo para servir. Sirve la Receta de Helado de Plátano de 3 Ingredientes (Versión Saludable) después de una deliciosa comida de Receta de Naan de Ajo con Mantequilla y Curry Kofta de Avena y Camote (No Frito) o una comida de una sola olla como Receta de Lasaña de Crepas de Pollo como un capricho de fin de semana para tu familia y amigos.</t>
  </si>
  <si>
    <t>Pour commencer à préparer une recette de glace à la banane à 3 ingrédients, prenez des bananes mûres, coupez-les en morceaux et congelez-les toute la nuit. Le lendemain, une fois les bananes congelées, prenez un mixeur et mixez toutes les bananes congelées jusqu'à obtenir une texture crémeuse. Transférez les bananes mixées dans un récipient hermétique, ajoutez du miel et des pépites de chocolat. Bien mélanger. Tapissez un moule à cake de papier sulfurisé, puis versez le mélange à glace. Couvrez de papier sulfurisé et conservez le moule à cake/à glace au congélateur sous réfrigération profonde pendant 3 à 4 heures ou jusqu'à ce qu'il soit congelé. La glace à la banane est prête à servir. Servez la recette de glace à la banane à 3 ingrédients (version saine) après un délicieux repas de recette de naan au beurre et à l'ail et de curry de kofta à la patate douce et à l'avoine (non frit) ou un repas tout-en-un comme la recette de lasagnes aux crêpes au poulet comme friandise du week-end pour votre famille et vos amis.</t>
  </si>
  <si>
    <t>http://www.archanaskitchen.com/3-ingredients-banana-ice-cream-recipe-healthy-version</t>
  </si>
  <si>
    <t>Whole Wheat Sunflower Seed Bread Recipe</t>
  </si>
  <si>
    <t>Rezept für Vollkornbrot mit Sonnenblumenkernen</t>
  </si>
  <si>
    <t>Recette de pain complet aux graines de tournesol</t>
  </si>
  <si>
    <t>Receta de pan integral con semillas de girasol</t>
  </si>
  <si>
    <t>1/2 tasse de graines de tournesol grillées, 1 tasse de farine de blé entier, 1/2 tasse de farine d'avoine, 1 tasse de farine tout usage (Maida), 1-1/2 cuillère à café de levure sèche active, 3 cuillères à soupe de miel, 1/2 cuillère à café de sel, 1/4 tasse de caillé (Dahi / Yaourt), 1-1/4 tasse d'eau, 1/4 tasse d'huile d'olive extra vierge</t>
  </si>
  <si>
    <t>1/2 cup Sunflower seeds - roasted,1 cup Whole Wheat Flour,1/2 cup Oats Flour,1 cup All Purpose Flour (Maida),1-1/2 teaspoon Active dry yeast - Active dry yeast,3 tablespoons Honey,1/2 teaspoon Salt,1/4 cup Curd (Dahi / Yogurt),1-1/4 cups Water,1/4 cup Extra Virgin Olive Oil</t>
  </si>
  <si>
    <t>1/2 taza de semillas de girasol tostadas, 1 taza de harina integral, 1/2 taza de harina de avena, 1 taza de harina para todo uso (Maida), 1-1/2 cucharadita de levadura seca activa - levadura seca activa, 3 cucharadas de miel, 1/2 cucharadita de sal, 1/4 taza de cuajada (Dahi / yogur), 1-1/4 tazas de agua, 1/4 taza de aceite de oliva virgen extra</t>
  </si>
  <si>
    <t xml:space="preserve">To begin making the Whole Wheat Sunflower Seed Bread Recipe, we will first make sure we have all the ingredients ready. Do make sure you have yeast that has been bought fresh. I most often use the sourdough culture  I make at home or the active instant dry yeast.Combine all the wet ingredients in a small mixing bowl and keep aside. Keep as few sunflower seeds aside for sprinkling on the top of the loaf.  Toss this extra sunflower seeds in a little honey and keep aside.Combine all the dry ingredients in a large mixing bowl of the bowl of the stand mixer. A stand mixer helps to a great extent when you make breads at home. The process of kneading gets super simplified especially when you bake breads.Gradually add the wet ingredient mixture to the flour mixture and keep kneading it you get a smooth and soft dough. If you feel the dough has become too soft, add in some flour and knead again. And if you feel that the dough is dry, add a little water and knead.Once all the ingredients have come together. Knead well for about 5 minutes using all your muscle powder. After which, place it in a bow, cover the bowl and allow it to rise and double. This would take about 3 hours.After the sunflower bread dough has doubled in size, remove it from the bowl and knead again. Transferred dough to a greased bread pan, covered and let rise again for 30 minutes. After 30 minutes, sprinkle the remaining sunflower seeds on the top of the loaf and lightly press it in.Preheat the oven at 180 C and place the risen loaf in the oven and bake for 30 to 40 minutes. Testing breads is not like a cake, where you insert a tester and it will come out clean. You will have to remove the loaf from the pan and tap the bottom of the loaf. If it does not sound hollow or is not golden enough, then we put it back in the oven to bake.The main test is the "Tap - Hollow Sound Test" for testing whether the bread is baked.Once the bread has passed the deep golden colour test and the  "Tap - Hollow Sound Test", then remove from the oven and allow it to cool. Serve Whole Wheat Sunflower Seed Bread along with Tzatziki Dip or with your evening masala chai.
</t>
  </si>
  <si>
    <t>Para comenzar a hacer la Receta de Pan Integral con Semillas de Girasol, primero nos aseguraremos de tener todos los ingredientes listos. Asegúrate de tener levadura comprada fresca. Yo suelo utilizar la masa madre que hago en casa o la levadura seca instantánea activa. Combina todos los ingredientes húmedos en un tazón pequeño y reserva. Reserva algunas semillas de girasol para espolvorear sobre el pan. Mezcla estas semillas de girasol adicionales con un poco de miel y reserva. Combina todos los ingredientes secos en un tazón grande o en el tazón de la batidora de pie. Una batidora de pie ayuda en gran medida cuando haces pan en casa. El proceso de amasado se simplifica muchísimo, especialmente cuando horneas pan. Agrega gradualmente la mezcla de ingredientes húmedos a la mezcla de harina y sigue amasando hasta obtener una masa suave y lisa. Si sientes que la masa se ha vuelto demasiado blanda, agrega un poco de harina y vuelve a amasar. Y si sientes que la masa está seca, agrega un poco de agua y amasa. Una vez que todos los ingredientes se hayan unido. Amasar bien durante unos 5 minutos usando toda la fuerza de tus músculos. Después, colócalo en un bol, tapa el bol y déjalo levar y duplicar su tamaño. Esto tomaría alrededor de 3 horas. Después de que la masa de pan de girasol haya duplicado su tamaño, retírala del bol y vuelve a amasar. Transfiere la masa a un molde para pan engrasado, cúbrelo y déjalo levar nuevamente durante 30 minutos. Después de 30 minutos, espolvorea las semillas de girasol restantes en la parte superior del pan y presiónalo ligeramente. Precalienta el horno a 180 C y coloca el pan levado en el horno y hornea durante 30 a 40 minutos. Probar panes no es como un pastel, donde insertas un probador y saldrá limpio. Tendrás que sacar el pan del molde y golpear la parte inferior del mismo. Si no suena hueco o no está lo suficientemente dorado, lo volvemos a meter al horno para hornear. La prueba principal es la "Prueba del Sonido Hueco del Golpe" para comprobar si el pan está horneado. Una vez que el pan haya pasado la prueba del color dorado intenso y la "Prueba del Sonido Hueco del Golpe", sáquelo del horno y déjelo enfriar. Sirva el Pan Integral de Semillas de Girasol con Salsa Tzatziki o con su masala chai de la tarde.</t>
  </si>
  <si>
    <t>Pour commencer à préparer la recette de pain complet aux graines de tournesol, nous allons d'abord nous assurer que nous avons tous les ingrédients prêts. Assurez-vous d'avoir de la levure fraîche achetée. J'utilise le plus souvent la culture de levain que je fais à la maison ou la levure sèche instantanée active. Mélangez tous les ingrédients humides dans un petit bol à mélanger et réservez. Gardez quelques graines de tournesol de côté pour saupoudrer le dessus du pain. Mélangez ces graines de tournesol supplémentaires dans un peu de miel et réservez. Mélangez tous les ingrédients secs dans un grand bol à mélanger ou dans le bol du batteur sur socle. Un batteur sur socle aide beaucoup lorsque vous faites du pain à la maison. Le processus de pétrissage est très simplifié, surtout lorsque vous faites du pain. Ajoutez progressivement le mélange d'ingrédients humides au mélange de farine et continuez à pétrir jusqu'à obtenir une pâte lisse et molle. Si vous sentez que la pâte est devenue trop molle, ajoutez un peu de farine et pétrissez à nouveau. Et si vous sentez que la pâte est sèche, ajoutez un peu d'eau et pétrissez. Une fois tous les ingrédients réunis. Pétrissez bien pendant environ 5 minutes en utilisant toute votre poudre musculaire. Après quoi, placez-la dans un bol, couvrez le bol et laissez-la lever et doubler de volume. Cela prendrait environ 3 heures. Une fois que la pâte à pain au tournesol a doublé de volume, retirez-la du bol et pétrissez à nouveau. Transférez la pâte dans un moule à pain graissé, couvrez et laissez lever à nouveau pendant 30 minutes. Après 30 minutes, saupoudrez les graines de tournesol restantes sur le dessus du pain et appuyez légèrement dessus. Préchauffez le four à 180 °C et placez le pain levé au four et faites cuire pendant 30 à 40 minutes. Tester les pains n'est pas comme un gâteau, où vous insérez un testeur et il en ressortira propre. Vous devrez retirer le pain du moule et tapoter le fond du pain. S'il ne sonne pas creux ou n'est pas assez doré, nous le remettons au four pour le cuire. Le test principal est le « Tap - Hollow Sound Test » pour vérifier si le pain est cuit. Une fois que le pain a passé le test de couleur dorée foncée et le « Tap - Hollow Sound Test », retirez-le du four et laissez-le refroidir. Servez le pain complet aux graines de tournesol avec une trempette tzatziki ou avec votre masala chai du soir.</t>
  </si>
  <si>
    <t>https://www.archanaskitchen.com/whole-wheat-sunflower-seed-bread-recipe</t>
  </si>
  <si>
    <t>Spinach And Sweet Potato Bombs Recipe</t>
  </si>
  <si>
    <t>Rezept für Spinat-Süßkartoffelbomben</t>
  </si>
  <si>
    <t>Recette de bombes aux épinards et à la patate douce</t>
  </si>
  <si>
    <t>Receta de bombas de espinacas y boniato</t>
  </si>
  <si>
    <t>2 patates douces - peau pelée et coupée en morceaux, 1 tasse d'épinards - hachés, 1 oignon - haché, 4 gousses d'ail - hachées, 1 cuillère à café de feuilles de thym séchées, 2 cuillères à café d'origan séché, 2 cuillères à café de flocons de piment rouge, 1 cuillère à café de poudre de poivre noir, 1 jus de citron, sel - au goût, huile de tournesol</t>
  </si>
  <si>
    <t>2 Sweet Potatoes - skin peeled and cut into chunks,1 cup Spinach - chopped,1 Onion - chopped,4 cloves Garlic - chopped,1 teaspoon Dried Thyme Leaves,2 teaspoon Dried oregano,2 teaspoon Red Chilli flakes,1 teaspoon Black pepper powder,1 Lemon juice,Salt - to taste,Sunflower Oil</t>
  </si>
  <si>
    <t>2 batatas (peladas y cortadas en trozos), 1 taza de espinacas (picadas), 1 cebolla (picada), 4 dientes de ajo (picados), 1 cucharadita de hojas de tomillo secas, 2 cucharaditas de orégano seco, 2 cucharaditas de hojuelas de chile rojo, 1 cucharadita de pimienta negra en polvo, 1 jugo de limón, sal (al gusto), aceite de girasol.</t>
  </si>
  <si>
    <t xml:space="preserve">To begin making the Spinach and Sweet Potato Bombs Recipe, we will boil the sweet potato in a pressure cooker with water for about 4 whistle till they are soft.Heat a kadai with oil, add chopped garlic and saute until they soften. Add chopped onions and saute them till they turn translucent.Add spinach leaves and saute till the spinach leaves leave out water and completely dries up. Add all the seasonings mentioned above including thyme leaves, dried oregano, red chilli flakes and black pepper powder.Add in the cooked sweet potato and sprinkle salt according to your palate.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You can serve it with a dollop of cream on top and some toasted nuts.Serve the Spinach and Sweet Potato Bombs Recipe along with Tzatziki Recipe - A Greek Yogurt Dip and White Bean Salad with Onions and Bell Peppers by the side.
</t>
  </si>
  <si>
    <t>Para empezar a preparar la receta de bombas de espinaca y boniato, herviremos el boniato en una olla a presión con agua durante unos 4 silbidos hasta que esté blando. Calentamos un kadai con aceite, añadimos ajo picado y salteamos hasta que se ablande. Añadimos cebolla picada y salteamos hasta que se vuelva translúcida. Añadimos hojas de espinaca y salteamos hasta que las hojas de espinaca suelten el agua y se sequen por completo. Añadimos todos los condimentos mencionados anteriormente, incluyendo hojas de tomillo, orégano seco, hojuelas de chile rojo y pimienta negra en polvo. Incorporamos el boniato cocido y espolvoreamos con sal al gusto. Con un machacador de patatas, trituramos bien y mezclamos la mezcla. Apagamos el fuego y dejamos enfriar. Formamos bolitas medianas y reservamos. Calentamos una sartén kuzhi paniyaram con un poco de aceite en cada cavidad. Colocamos las bolitas de kofta en las cavidades de la sartén; Rocía las koftas con un poco de aceite y fríelas en la sartén hasta que estén doradas por ambos lados. Dales la vuelta para que se frían uniformemente por todos lados. Puedes servirlas con una cucharada de crema por encima y unas nueces tostadas. Sirve la receta de bombas de espinacas y boniato junto con la receta de tzatziki (una salsa de yogur griego) y la ensalada de frijoles blancos con cebolla y pimientos morrones.</t>
  </si>
  <si>
    <t>Pour commencer la recette des bombes aux épinards et à la patate douce, faites bouillir la patate douce dans une cocotte-minute avec de l'eau pendant environ 4 minutes, jusqu'à ce qu'elle soit tendre. Faites chauffer un kadai avec de l'huile, ajoutez l'ail haché et faites-le revenir jusqu'à ce qu'il soit tendre. Ajoutez les oignons hachés et faites-les revenir jusqu'à ce qu'ils deviennent translucides. Ajoutez les feuilles d'épinards et faites-les revenir jusqu'à ce qu'elles soient complètement sèches. Ajoutez tous les assaisonnements mentionnés ci-dessus, notamment les feuilles de thym, l'origan séché, les flocons de piment rouge et le poivre noir en poudre. Ajoutez la patate douce cuite et salez à votre goût. À l'aide d'un presse-purée, écrasez-les bien et mélangez le tout. Éteignez le feu et laissez refroidir. Façonnez-les en boulettes de taille moyenne et réservez. Faites chauffer une poêle kuzhi paniyaram avec un peu d'huile dans chaque cavité. Placez les boulettes de kofta dans les cavités de la poêle ; Arrosez les koftas d'un filet d'huile et faites-les dorer des deux côtés. Retournez les boulettes de kofta pour qu'elles soient bien dorées. Vous pouvez les servir avec une noisette de crème et quelques noix grillées. Accompagnez la recette de bombes aux épinards et à la patate douce d'une sauce au yaourt grec et d'une salade de haricots blancs aux oignons et aux poivrons.</t>
  </si>
  <si>
    <t>http://www.archanaskitchen.com/spinach-and-sweet-potato-bombs-recipe</t>
  </si>
  <si>
    <t>Sweet Potato Brownie Recipe</t>
  </si>
  <si>
    <t>Süßkartoffel-Brownie-Rezept</t>
  </si>
  <si>
    <t>Recette de brownie à la patate douce</t>
  </si>
  <si>
    <t>Receta de brownie de batata</t>
  </si>
  <si>
    <t>2 patates douces, 1/3 tasse de cassonade (sucre Demerara), 1 tasse de badam (amande) en poudre, 1/2 tasse de farine de riz ou de sarrasin, 4 cuillères à soupe de cacao en poudre, 3 cuillères à soupe de miel ou de sirop d'érable, 1/2 cuillère à café de sel</t>
  </si>
  <si>
    <t>2 Sweet Potatoes,1/3 cup Brown Sugar (Demerara Sugar),1 cup Badam (Almond) - powdered,1/2 cup Rice flour - or buckwheat flour,4 tablespoons Cocoa Powder,3 tablespoon Honey - or maple syrup,1/2 teaspoon Salt</t>
  </si>
  <si>
    <t>2 batatas, 1/3 taza de azúcar morena (azúcar Demerara), 1 taza de Badam (almendra) en polvo, 1/2 taza de harina de arroz o harina de trigo sarraceno, 4 cucharadas de cacao en polvo, 3 cucharadas de miel o jarabe de arce, 1/2 cucharadita de sal</t>
  </si>
  <si>
    <t xml:space="preserve">To begin with Sweet Potato Brownie Recipe, firstly wash and peel sweet potatoes and cut them into small chunks. Place the chunks in steamer and cook them for about 20 minutes or until soft.After 20 minutes, place the sweet potato chunks in a food processor and pulse few times to get a creamy paste. Add a little water if the paste seems impossible to pulse.Preheat the oven to 350 F. Line a square glass baking tray with parchment paper.In an another bowl, add the sweet potato paste, brown sugar, rice powder, salt, honey and cocoa powder. Whisk until it is properly combined.Pour the mixture into the prepared tray and bake for about 30 to 40 minutes or check it by putting a toothpick in the mixture. If it comes out dry, it is ready.Remove the tray from oven and let it cool for about 15 to 20 minutes to let it set completely.Remove brownie from the tray and wait for 10 minutes more before cutting. Cut it into square pieces.Serve Sweet Potato Brownie Recipe during your tea time with a cup of hot coffee or Masala Chai You can also pack this in you kids snack box.
</t>
  </si>
  <si>
    <t>Para empezar con la receta de brownie de boniato, primero lava y pela los boniatos y córtalos en trozos pequeños. Coloca los trozos en una vaporera y cocínalos durante unos 20 minutos o hasta que estén blandos. Después de 20 minutos, coloca los trozos de boniato en un procesador de alimentos y pulsa varias veces hasta obtener una pasta cremosa. Agrega un poco de agua si la pasta parece difícil de pulsar. Precalienta el horno a 175 °C. Cubre una bandeja cuadrada de vidrio para hornear con papel vegetal. En otro tazón, agrega la pasta de boniato, el azúcar moreno, el polvo de arroz, la sal, la miel y el cacao en polvo. Bate hasta que esté bien combinado. Vierte la mezcla en la bandeja preparada y hornea durante unos 30 a 40 minutos o comprueba si está bien integrada pinchando con un palillo. Si sale seco, está listo. Retira la bandeja del horno y déjala enfriar de 15 a 20 minutos para que cuaje por completo. Retira el brownie de la bandeja y espera 10 minutos más antes de cortarlo. Córtalo en trozos cuadrados. Sirve la receta de brownie de batata durante la hora del té con una taza de café caliente o Masala Chai. También puedes empacarlo en la caja de refrigerio de tus hijos.</t>
  </si>
  <si>
    <t>Pour commencer la recette du brownie à la patate douce, lavez et épluchez les patates douces, puis coupez-les en petits morceaux. Placez-les dans un cuiseur vapeur et faites-les cuire environ 20 minutes, jusqu'à ce qu'ils soient tendres. Au bout de 20 minutes, placez-les dans un robot culinaire et mixez quelques fois pour obtenir une pâte crémeuse. Ajoutez un peu d'eau si la pâte semble impossible à mixer. Préchauffez le four à 175 °C. Chemisez une plaque de cuisson carrée en verre de papier sulfurisé. Dans un autre bol, ajoutez la pâte de patate douce, la cassonade, la poudre de riz, le sel, le miel et le cacao en poudre. Fouettez jusqu'à ce que le mélange soit homogène. Versez la préparation dans la plaque préparée et faites cuire 30 à 40 minutes ou vérifiez la cuisson en plantant un cure-dent. S'il ressort sec, c'est prêt. Retirez la plaque du four et laissez refroidir 15 à 20 minutes pour qu'elle prenne complètement. Retirez le brownie de la plaque et attendez 10 minutes supplémentaires avant de le découper. Coupez-le en morceaux carrés. Servez la recette de brownie à la patate douce pendant votre thé avec une tasse de café chaud ou de Masala Chai. Vous pouvez également l'emballer dans la boîte à collation de vos enfants.</t>
  </si>
  <si>
    <t>https://www.archanaskitchen.com/sweet-potato-brownie-recipe</t>
  </si>
  <si>
    <t>Banana Orange &amp; Spinach Smoothie Recipe</t>
  </si>
  <si>
    <t>Bananen-Orangen-Spinat-Smoothie-Rezept – Bananen-Orangen-Spinat-Smoothie-Rezept</t>
  </si>
  <si>
    <t>Recette de smoothie banane, orange et épinards – Recette de smoothie banane, orange et épinards</t>
  </si>
  <si>
    <t>Receta de batido de plátano, naranja y espinacas – Receta de batido de plátano, naranja y espinacas</t>
  </si>
  <si>
    <t>Épinards - selon les besoins, 1 banane, 2 oranges, 2-3 mûres - n'importe quelle baie, 1 cuillère à café de miel - ou selon votre goût, 1-1/2 tasse de lait de coco</t>
  </si>
  <si>
    <t>Spinach - as per requirement, 1 banana, 2 oranges, 2-3 blackberries - any berry, 1 tsp honey - or as per taste, 1-1/2 cup coconut milk</t>
  </si>
  <si>
    <t>Espinacas - según requerimiento, 1 plátano, 2 naranjas, 2-3 moras - cualquier baya, 1 cucharadita de miel - o al gusto, 1-1/2 taza de leche de coco</t>
  </si>
  <si>
    <t>To make Banana Orange and Spinach Smoothie Recipe, first wash the spinach thoroughly and chop it. Peel the orange and banana. Now put orange, banana, spinach, blackberry, honey, coconut milk in a blender and grind it well. Now put it in the fridge and let it cool for a while. Serve. Serve Banana Orange and Spinach Smoothie Recipe with scrambled eggs and bread toast for breakfast.</t>
  </si>
  <si>
    <t>Para preparar el Smoothie de Plátano, Naranja y Espinacas, primero lava bien las espinacas y pícalas. Pela la naranja y el plátano. Ahora, coloca la naranja, el plátano, las espinacas, la mora, la miel y la leche de coco en una licuadora y muélelos bien. Mételo en el refrigerador y déjalo enfriar un rato. Sirve. Sirve el Smoothie de Plátano, Naranja y Espinacas con huevos revueltos y tostadas de pan para desayunar.</t>
  </si>
  <si>
    <t>Pour préparer le smoothie banane-orange-épinards, lavez soigneusement les épinards et hachez-les. Pelez l'orange et la banane. Mixez ensuite l'orange, la banane, les épinards, la mûre, le miel et le lait de coco dans un mixeur. Laissez refroidir au réfrigérateur. Servez. Accompagnez ce smoothie d'œufs brouillés et de toasts au petit-déjeuner.</t>
  </si>
  <si>
    <t>https://www.archanaskitchen.com/banana-orange-spinach-smoothie-recipe-in-hindi</t>
  </si>
  <si>
    <t>Fresh Homemade Basil Pesto recipe</t>
  </si>
  <si>
    <t>Rezept für frisches, hausgemachtes Basilikumpesto</t>
  </si>
  <si>
    <t>Recette de pesto de basilic frais fait maison</t>
  </si>
  <si>
    <t>Receta casera de pesto de albahaca fresca</t>
  </si>
  <si>
    <t>200 grammes de feuilles de basilic - avec les tiges retirées, 1/4 tasse de noix grillées, 4 gousses d'ail - finement hachées, sel - au goût, 1 cuillère à café de poudre de cumin (Jeera), 1/4 cuillère à café de poudre de piment rouge - ou grains de poivre noir, 1/4 tasse d'huile d'olive extra vierge, 1/2 tasse de parmesan - râpé (facultatif)</t>
  </si>
  <si>
    <t>200 grams Basil leaves - with stems removed,1/4 cup Walnuts - toasted,4 cloves Garlic - finely chopped,Salt - to taste,1 teaspoon Cumin powder (Jeera),1/4 teaspoon Red Chilli powder - or black pepper corns,1/4 cup Extra Virgin Olive Oil,1/2 cup Parmesan cheese - grated (optional)</t>
  </si>
  <si>
    <t>200 gramos de hojas de albahaca - sin tallos, 1/4 taza de nueces tostadas, 4 dientes de ajo finamente picados, sal al gusto, 1 cucharadita de comino en polvo (Jeera), 1/4 cucharadita de chile rojo en polvo o granos de pimienta negra, 1/4 taza de aceite de oliva virgen extra, 1/2 taza de queso parmesano rallado (opcional)</t>
  </si>
  <si>
    <t xml:space="preserve">To begin, making the Basil Pesto Recipe we will first have to grind all the ingredients together.Place the walnuts, garlic, basil leaves, salt, cumin powder, red chilli powder in the food processor along with some water, olive oil and churn until coarse texture or a smooth texture - as per your personal choice.  If you are using Parmesan, add it once the pesto is purred and blend again until combined.Serve the basil pesto along with your favorite pasta or use it as your recipe call it from sandwiches, breads, baked dishes, wraps and more.Store the Fresh Basil Pesto in the refrigerator and use as and when required to make salads, tarts and even pastas.
</t>
  </si>
  <si>
    <t>Para comenzar a preparar la receta de pesto de albahaca, primero tendremos que moler todos los ingredientes. Coloque las nueces, el ajo, las hojas de albahaca, la sal, el comino en polvo, el chile rojo en polvo en el procesador de alimentos junto con un poco de agua, aceite de oliva y bata hasta obtener una textura gruesa o suave, según su preferencia. Si usa parmesano, agréguelo una vez que el pesto esté dorado y mezcle nuevamente hasta que se combine. Sirva el pesto de albahaca junto con su pasta favorita o úselo como lo indique su receta en sándwiches, panes, platos horneados, wraps y más. Guarde el pesto de albahaca fresca en el refrigerador y úselo cuando lo necesite para hacer ensaladas, tartas e incluso pastas.</t>
  </si>
  <si>
    <t>Pour commencer, préparer la recette du pesto au basilic, nous devrons d'abord moudre tous les ingrédients ensemble. Placez les noix, l'ail, les feuilles de basilic, le sel, la poudre de cumin, la poudre de piment rouge dans le robot culinaire avec un peu d'eau, de l'huile d'olive et barattez jusqu'à obtenir une texture grossière ou une texture lisse - selon votre choix personnel. Si vous utilisez du parmesan, ajoutez-le une fois le pesto ronronné et mélangez à nouveau jusqu'à ce qu'il soit combiné. Servez le pesto au basilic avec vos pâtes préférées ou utilisez-le comme votre recette, appelez-le des sandwichs, du pain, des plats cuits au four, des wraps et plus encore. Conservez le pesto de basilic frais au réfrigérateur et utilisez-le au fur et à mesure des besoins pour faire des salades, des tartes et même des pâtes.</t>
  </si>
  <si>
    <t>https://www.archanaskitchen.com/fresh-basil-pesto-recipe</t>
  </si>
  <si>
    <t>Rezept für Apfel-Gurken-Salat</t>
  </si>
  <si>
    <t>Recette de salade de pommes et de concombres</t>
  </si>
  <si>
    <t>Receta de ensalada de manzana y pepino</t>
  </si>
  <si>
    <t>1 pomme - tranchée et coupée en quartiers, 1 concombre - tranché et coupé en demi-cercles, 3 brins de feuilles de menthe (Pudina) - grossièrement hachées, sel - au goût, 1/2 cuillère à café de grains de poivre noir - écrasés, 1 cuillère à café de miel, 1 cuillère à café de jus de citron</t>
  </si>
  <si>
    <t>1 Apples - sliced and cut into quarters,1 Cucumbers - sliced and cut into semi circles,3 sprig Mint Leaves (Pudina) - roughly chopped,Salt - to taste,1/2 teaspoon Black pepper corns - crushed,1 teaspoon Honey,1 teaspoon Lemon juice</t>
  </si>
  <si>
    <t>1 manzana - cortada en rodajas y cuartos, 1 pepino - cortado en rodajas y semicírculos, 3 ramitas de hojas de menta (pudina) - picadas gruesamente, sal - al gusto, 1/2 cucharadita de granos de pimienta negra - triturados, 1 cucharadita de miel, 1 cucharadita de jugo de limón</t>
  </si>
  <si>
    <t xml:space="preserve">To begin making the Apple Cucumber Salad Recipe, in a large mixing bowl, combine the cucumbers with the apples, honey, lemon juice, crushed black pepper and salt to taste. Add a few chopped mint leaves and toss well. Keep the Apple Cucumber Salad chill until ready to serve.Serve Apple Cucumber Salad Recipe along with Lemon Coriander Soup Recipe and Cheesy Grilled Sandwich With Smoked Chicken Recipe or Broccoli Paneer Mayo Sandwich Recipe for a complete meal.
</t>
  </si>
  <si>
    <t>Para empezar a preparar la receta de ensalada de manzana y pepino, en un tazón grande, combine los pepinos con las manzanas, la miel, el jugo de limón, la pimienta negra molida y la sal al gusto. Agregue unas hojas de menta picadas y mezcle bien. Mantenga la ensalada de manzana y pepino refrigerada hasta que esté lista para servir. Sirva la receta de ensalada de manzana y pepino junto con la receta de sopa de limón y cilantro y el sándwich de queso a la parrilla con pollo ahumado o la receta de sándwich de brócoli, paneer y mayonesa para una comida completa.</t>
  </si>
  <si>
    <t>Pour commencer à préparer la recette de salade de pommes et concombres, dans un grand saladier, mélangez les concombres avec les pommes, le miel, le jus de citron, le poivre noir concassé et le sel au goût. Ajoutez quelques feuilles de menthe hachées et mélangez bien. Gardez la salade de pommes et concombres au frais jusqu'au moment de servir. Servez la recette de salade de pommes et concombres avec la recette de soupe citron-coriandre, la recette de sandwich grillé au fromage et poulet fumé ou la recette de sandwich au brocoli, paneer et mayonnaise pour un repas complet.</t>
  </si>
  <si>
    <t>http://www.archanaskitchen.com/apple-cucumber-minty-salad-recipe</t>
  </si>
  <si>
    <t>Grilled Cheese Sandwich Recipe With Scrambled Eggs</t>
  </si>
  <si>
    <t>Rezept für gegrilltes Käsesandwich mit Rührei</t>
  </si>
  <si>
    <t>Recette de sandwich au fromage grillé avec œufs brouillés</t>
  </si>
  <si>
    <t>Receta de sándwich de queso a la plancha con huevos revueltos</t>
  </si>
  <si>
    <t>4 œufs entiers, 2 cuillères à soupe de feuilles d'aneth - ou de feuilles de menthe ou de coriandre, 2 cuillères à soupe de tartinade au fromage Britannia - ail rôti, 4 tranches de fromage Britannia, 8 pains bruns de blé entier, beurre - selon les besoins</t>
  </si>
  <si>
    <t>4 Whole Egg,2 tablespoons Dill leaves - or Mint or Coriander leaves,2 tablespoons Britannia Cheese Spread - Roasted Garlic,4 Britannia Cheese Slice,8 Whole Wheat Brown Bread,Butter - as required</t>
  </si>
  <si>
    <t>4 huevos enteros, 2 cucharadas de hojas de eneldo (o hojas de menta o cilantro), 2 cucharadas de queso untable Britannia (ajo asado), 4 rebanadas de queso Britannia, 8 panes integrales, mantequilla (según se requiera)</t>
  </si>
  <si>
    <t xml:space="preserve">To begin making the Grilled Cheese Sandwich Recipe With Scrambled Eggs first we will first scramble the eggs.Crack 4 eggs into a bowl and whisk them up until light and frothy. Keep aside.Into a preheated pan add 1 tablespoon of butter. Once the butter is hot add the whisked eggs into the pan and stir the eggs. Cook on medium heat until the eggs come together.Once the eggs start coming together turn off the heat and add chopped dill leaves and Britannia Roasted Garlic Cheese Spreadz into the scrambled eggs and stir well to combine. Keep the eggs aside.If you over cook and stir the eggs then the scrambled eggs will become dry. Also I have not added any salt while scrambling the eggs as the butter and the cheese have salt in them.Once done preheat the grilling pan. While the pan is getting heated we will assemble the sandwich. Spoon the scrambled eggs evenly on a bread slice. Place a  Britannia Cheese Slice over the eggs and finally cover it with another slice of bread.Smear softened butter on the top of the bread slice and place the buttered side down on the grill pan. Smear butter on the top side now and grill on medium heat until golden brown on both sides. Transfer the Grilled Cheese Sandwich Recipe With Scrambled Eggs onto a serving plate and serve. Serve Grilled Cheese Sandwich Recipe With Scrambled Eggs with Homemade Fresh Orange Juice  and ketchup for a delicious breakfast.
</t>
  </si>
  <si>
    <t>Para comenzar a hacer la Receta de Sándwich de Queso a la Parrilla con Huevos Revueltos primero revolveremos los huevos. Rompa 4 huevos en un tazón y bátalos hasta que estén livianos y espumosos. Manténgalos a un lado. En una sartén precalentada agregue 1 cucharada de mantequilla. Una vez que la mantequilla esté caliente agregue los huevos batidos a la sartén y revuelva los huevos. Cocine a fuego medio hasta que los huevos se unan. Una vez que los huevos comiencen a unirse apague el fuego y agregue hojas de eneldo picadas y queso untable con ajo asado Britannia a los huevos revueltos y revuelva bien para combinar. Mantenga los huevos a un lado. Si cocina demasiado y revuelve los huevos, los huevos revueltos se secarán. Además, no he agregado sal mientras revolvía los huevos, ya que la mantequilla y el queso tienen sal. Una vez hecho esto, precaliente la sartén para asar. Mientras la sartén se calienta, armaremos el sándwich. Coloque los huevos revueltos uniformemente sobre una rebanada de pan. Coloque una rebanada de queso Britannia sobre los huevos y finalmente cúbrala con otra rebanada de pan. Unte mantequilla suavizada en la parte superior de la rebanada de pan y coloque el lado untado hacia abajo en la parrilla. Unte mantequilla en el lado superior ahora y ase a fuego medio hasta que esté dorado por ambos lados. Transfiera la receta de sándwich de queso a la parrilla con huevos revueltos a un plato para servir y sirva. Sirva la receta de sándwich de queso a la parrilla con huevos revueltos con jugo de naranja fresco casero y kétchup para un desayuno delicioso.</t>
  </si>
  <si>
    <t>Pour commencer à préparer la recette du sandwich au fromage grillé avec des œufs brouillés, nous allons d'abord brouiller les œufs.Cassez 4 œufs dans un bol et fouettez-les jusqu'à ce qu'ils soient légers et mousseux. Réservez.Dans une poêle préchauffée, ajoutez 1 cuillère à soupe de beurre. Une fois le beurre chaud, ajoutez les œufs battus dans la poêle et remuez les œufs. Faites cuire à feu moyen jusqu'à ce que les œufs se rassemblent.Une fois que les œufs commencent à se rassembler, éteignez le feu et ajoutez les feuilles d'aneth hachées et la tartinade au fromage à l'ail rôti Britannia dans les œufs brouillés et remuez bien pour combiner. Gardez les œufs de côté.Si vous faites trop cuire et remuez les œufs, les œufs brouillés deviendront secs. De plus, je n'ai pas ajouté de sel pendant que je brouillais les œufs car le beurre et le fromage contiennent du sel.Une fois cela fait, préchauffez la poêle à griller. Pendant que la poêle chauffe, nous allons assembler le sandwich. Répartissez les œufs brouillés uniformément sur une tranche de pain. Placez une tranche de fromage Britannia sur les œufs et recouvrez-la d'une autre tranche de pain. Badigeonnez le dessus de la tranche de pain de beurre ramolli et placez le côté beurré vers le bas sur la poêle à griller. Badigeonnez maintenant le dessus de beurre et faites griller à feu moyen jusqu'à ce qu'il soit doré des deux côtés. Transférez la recette de sandwich au fromage grillé avec des œufs brouillés sur une assiette de service et servez. Servez la recette de sandwich au fromage grillé avec des œufs brouillés avec du jus d'orange frais fait maison et du ketchup pour un délicieux petit-déjeuner.</t>
  </si>
  <si>
    <t>https://www.archanaskitchen.com/grilled-cheese-sandwich-recipe-with-scrambled-eggs</t>
  </si>
  <si>
    <t>Spicy Raisins And Walnut Cake Recipe</t>
  </si>
  <si>
    <t>Rezept für würzigen Rosinen-Walnuss-Kuchen</t>
  </si>
  <si>
    <t>Recette de gâteau épicé aux raisins secs et aux noix</t>
  </si>
  <si>
    <t>Receta de pastel de pasas y nueces con especias</t>
  </si>
  <si>
    <t>2-1/4 tasses d'eau, 1 tasse de raisins secs, 8 cuillères à soupe de beurre (non salé), 3 tasses de farine tout usage (Maida), 1 tasse de sucre en poudre, 1-1/2 cuillère à soupe de bicarbonate de soude, 3/4 cuillère à soupe de levure chimique, 1/4 cuillère à soupe de sel, 1/2 cuillère à soupe de cannelle en poudre (Dalchini), 1/2 cuillère à soupe de muscade, 1/4 cuillère à soupe de clous de girofle (Laung) - écrasés, 2 œufs entiers - légèrement battus, 1/2 tasse de noix - grossières, sauce au caramel - au besoin</t>
  </si>
  <si>
    <t>2-1/4 cups Water,1 cup Raisins,8 tablespoon Butter (unsalted),3 cups All Purpose Flour (Maida),1 cup Sugar - powdered,1-1/2 tablespoon Baking soda,3/4 tablespoon Baking powder,1/4 tablespoon Salt,1/2 tablespoon Cinnamon Powder (Dalchini),1/2 tablespoon Nutmeg,1/4 tablespoon Cloves (Laung) - crushed,2 Whole Eggs - slightly beaten,1/2 cup Walnuts - coarse,Caramel Sauce - as required</t>
  </si>
  <si>
    <t>2-1/4 tazas de agua, 1 taza de pasas, 8 cucharadas de mantequilla (sin sal), 3 tazas de harina para todo uso (Maida), 1 taza de azúcar - en polvo, 1-1/2 cucharada de bicarbonato de sodio, 3/4 cucharada de polvo para hornear, 1/4 cucharada de sal, 1/2 cucharada de canela en polvo (Dalchini), 1/2 cucharada de nuez moscada, 1/4 cucharada de clavos de olor (Laung) - triturados, 2 huevos enteros - ligeramente batidos, 1/2 taza de nueces - gruesas, salsa de caramelo - según se requiera</t>
  </si>
  <si>
    <t xml:space="preserve">To begin making the Spicy Raisins And Walnut Cake recipe, heat water in a sauce pan, add raisins and butter, boil on medium heat for 15 minutes.Remove pan from heat and let it cool for 15 minutes.Now take a mixing bowl, add all purpose flour, sugar, baking soda, baking powder, salt, cinnamon powder, nutmeg and crushed cloves.Now pour slightly cooled raisin mixture with dry ingredients, stir with the help of spatula.Add beaten eggs and stir it with a spatula in mixture. Stir in chopped walnuts in mixture.Grease a baking pan and add mixture in it, bake it in a preheated oven for 30 minutes, to check if its cooked properly. Insert a toothpick into the centre, if it comes out mostly clean with some moist breadcrumb attached then it is ready to serve. Serve it with caramel sauce.Serve Spicy Raisins And Walnut Cake during your tea parties along with Masala Chai and Grilled Rajma Masala Sandwich Recipe.
</t>
  </si>
  <si>
    <t>Para comenzar a hacer la receta del pastel picante de pasas y nueces, caliente agua en una cacerola, agregue las pasas y la mantequilla, hierva a fuego medio durante 15 minutos. Retire la sartén del fuego y déjela enfriar durante 15 minutos. Ahora tome un tazón, agregue la harina para todo uso, el azúcar, el bicarbonato de sodio, el polvo de hornear, la sal, la canela en polvo, la nuez moscada y el clavo triturado. Ahora vierta la mezcla de pasas ligeramente enfriada con los ingredientes secos, revuelva con la ayuda de una espátula. Agregue los huevos batidos y revuelva con una espátula en la mezcla. Incorpore las nueces picadas en la mezcla. Engrase un molde para hornear y agregue la mezcla, hornéelo en un horno precalentado durante 30 minutos, para verificar si está bien cocido. Inserte un palillo en el centro, si sale casi limpio con un poco de pan rallado húmedo adherido, entonces está listo para servir. Sírvelo con salsa de caramelo. Sirve pastel de pasas picantes y nueces durante tus fiestas de té junto con la receta de Masala Chai y el sándwich Rajma Masala a la parrilla.</t>
  </si>
  <si>
    <t>Pour commencer la recette du gâteau épicé aux raisins secs et aux noix, faites chauffer de l'eau dans une casserole, ajoutez les raisins secs et le beurre, faites bouillir à feu moyen pendant 15 minutes. Retirez la casserole du feu et laissez refroidir 15 minutes. Prenez ensuite un saladier, ajoutez la farine tout usage, le sucre, le bicarbonate de soude, la levure chimique, le sel, la cannelle en poudre, la muscade et les clous de girofle écrasés. Versez ensuite le mélange de raisins secs légèrement refroidi avec les ingrédients secs et remuez à l'aide d'une spatule. Ajoutez les œufs battus et remuez avec une spatule. Incorporez les noix hachées au mélange. Graissez un moule à pâtisserie et versez-y le mélange. Enfournez dans un four préchauffé pendant 30 minutes pour vérifier la cuisson. Insérez un cure-dent au centre ; s'il ressort presque propre et recouvert de chapelure humide, c'est prêt à servir. Servez avec de la sauce caramel. Servez le gâteau épicé aux raisins secs et aux noix lors de vos goûters, accompagné du Masala Chai et du sandwich Rajma Masala grillé.</t>
  </si>
  <si>
    <t>https://www.archanaskitchen.com/spicy-raisins-and-walnut-cake-recipe</t>
  </si>
  <si>
    <t>Stuffed Chicken Pockets Recipe With Mint Mayo Recipe</t>
  </si>
  <si>
    <t>Rezept für gefüllte Hähnchentaschen mit Minzmayonnaise</t>
  </si>
  <si>
    <t>Recette de poches de poulet farcies à la mayonnaise à la menthe</t>
  </si>
  <si>
    <t>Receta de bolsillos de pollo rellenos de mayonesa de menta</t>
  </si>
  <si>
    <t>250 grammes de poulet désossé - coupé en petits morceaux, 2 cuillères à soupe de mayonnaise à la menthe Del Monte, 2,5 cm de gingembre - râpé, 3 gousses d'ail - râpées, 1 cuillère à café de grains de poivre noir entiers - grossièrement pilés, 2 brins de feuilles de menthe (Pudina) - finement hachées, 2 brins de feuilles de coriandre (Dhania) - finement hachées, 1 cuillère à café de vinaigre, 1/2 cuillère à café de sel, 1 cuillère à soupe d'huile de tournesol, 1/2 tasse de farine tout usage (Maida), 1 cuillère à café de ghee, 1/2 cuillère à café de sel, 1/2 tasse d'eau tiède, huile de tournesol - nécessaire pour la friture</t>
  </si>
  <si>
    <t>250 grams Boneless chicken - cut into small pieces,2 tablespoon Del Monte Mint Mayo,1 inch Ginger - grated,3 cloves Garlic - grated,1 teaspoon Whole Black Peppercorns - coarsely pounded,2 sprig Mint Leaves (Pudina) - finely chopped,2 sprig Coriander (Dhania) Leaves - finely chopped,1 teaspoon Vinegar,1/2 teaspoon Salt,1 tablespoon Sunflower Oil,1/2 cup All Purpose Flour (Maida),1 teaspoon Ghee,1/2 teaspoon Salt,1/2 cup Lukewarm Water,Sunflower Oil - required for deep frying</t>
  </si>
  <si>
    <t>250 gramos de pollo deshuesado - cortado en trozos pequeños, 2 cucharadas de mayonesa de menta Del Monte, 1 pulgada de jengibre - rallado, 3 dientes de ajo - rallado, 1 cucharadita de granos de pimienta negra enteros - machacados gruesos, 2 ramitas de hojas de menta (Pudina) - finamente picadas, 2 ramitas de hojas de cilantro (Dhania) - finamente picadas, 1 cucharadita de vinagre, 1/2 cucharadita de sal, 1 cucharada de aceite de girasol, 1/2 taza de harina para todo uso (Maida), 1 cucharadita de ghee, 1/2 cucharadita de sal, 1/2 taza de agua tibia, aceite de girasol - necesario para freír</t>
  </si>
  <si>
    <t xml:space="preserve">To begin making the Stuffed Chicken Pockets Recipe With Mint Mayo recipe, clean and wash chicken pieces nicely and keep aside.In a mixing bowl, add del monte mint mayo along with ginger garlic paste, crushed black pepper and mix to make a fine paste.Add chicken pieces to the paste and mix them nicely. Clang wrap the bowl and marinade for 30 minutes before cooking.Heat 1 tablespoon oil in a non stick wok/pan and add the marinated chicken, stir fry the chicken till the raw smell goes off.Add finely chopped coriander and mint along with vinegar and stir well.Cook in medium to low flame till the chicken is cooked well. Adjust salt if required.Once the chicken is cooked, turn off the heat and allow it to cool down completely.Meanwhile start preparing the dough. For making the dough, sieve flour in a bowl and add ghee and salt to it.Gradually start adding warm water and knead to make a firm dough. Cover the dough with a kitchen towel and keep aside to rest for 5 minutes.Heat oil in a wok/kadhai (for deep frying), while the oil is heating, pinch a large ball sized dough and roll out to make a large chapatti on the dusted counter.Take a pizza cutter or a knife and cut the rolled out dough into 4”x4” inches square.Keep a bowl of water ready on the counter before you start making the pockets.Take a square and add spoonful of prepared chicken, place it in the centre.Wet the four sides of the square with water with the help of your index finger.Take another square and place it over the bottom square such that it covers the filling placed in the centre.Gently press the sides and seal them well. Take a fork and make impression on the sides. Similarly prepare more pockets and keep aside.Once the oil is piping hot, simmer the flames and carefully drop the chicken pockets in batches of 4-5 at a time.Fry them golden from both sides and transfer on a kitchen towel to absorb excess oil.Serve Stuffed Chicken Pockets Recipe With Mint Mayo along with Homemade Red Chilli Garlic Sauce Recipe for an evening snack.
</t>
  </si>
  <si>
    <t>Para preparar la receta de bolsitas de pollo rellenas con mayonesa de menta, limpie y lave bien los trozos de pollo y resérvelos. En un bol, añada mayonesa de menta Del Monte, pasta de jengibre y ajo, pimienta negra molida y mezcle hasta obtener una pasta fina. Añada los trozos de pollo a la pasta y mézclelos bien. Envuelva el bol en una envoltura de plástico y deje marinar durante 30 minutos antes de cocinar. Caliente 1 cucharada de aceite en un wok/sartén antiadherente y añada el pollo marinado. Saltee hasta que desaparezca el olor a crudo. Añada cilantro y menta finamente picados junto con vinagre y remueva bien. Cocine a fuego medio-bajo hasta que el pollo esté bien cocido. Rectifique de sal si es necesario. Una vez cocido, apague el fuego y deje que se enfríe por completo. Mientras tanto, prepare la masa. Para prepararla, tamice la harina en un bol y añada ghee y sal. Añada poco a poco agua tibia y amase hasta obtener una masa firme. Cubre la masa con un paño de cocina y déjala reposar durante 5 minutos. Calienta aceite en un wok/kadhai (para freír), mientras se calienta el aceite, haz una bola grande de masa y extiéndela para formar un chapatti grande sobre la encimera espolvoreada. Toma un cortador de pizza o un cuchillo y corta la masa extendida en cuadrados de 10 x 10 cm. Ten un recipiente con agua listo en la encimera antes de empezar a hacer los bolsillos. Toma un cuadrado y añade una cucharada de pollo preparado, colócalo en el centro. Humedece los cuatro lados del cuadrado con agua con la ayuda del dedo índice. Toma otro cuadrado y colócalo sobre el cuadrado inferior de manera que cubra el relleno colocado en el centro. Presiona suavemente los lados y séllalos bien. Toma un tenedor y haz una impresión en los lados. Del mismo modo, prepare más bolsillos y resérvelos. Una vez que el aceite esté bien caliente, cocine a fuego lento y coloque con cuidado los bolsillos de pollo en tandas de 4 a 5 a la vez. Fríalos hasta que estén dorados por ambos lados y páselos a una toalla de cocina para absorber el exceso de aceite. Sirva la Receta de Bolsillos de Pollo Rellenos con Mayonesa de Menta junto con la Receta de Salsa Casera de Ajo y Chile Rojo para una merienda.</t>
  </si>
  <si>
    <t>Pour préparer les pochettes de poulet farcies à la mayonnaise à la menthe, lavez soigneusement les morceaux de poulet et réservez-les. Dans un saladier, ajoutez la mayonnaise à la menthe Del Monte, la pâte d'ail et de gingembre et le poivre noir concassé, puis mélangez jusqu'à obtenir une pâte fine. Ajoutez les morceaux de poulet à la pâte et mélangez bien. Enveloppez le saladier dans du papier sulfurisé et laissez mariner 30 minutes avant la cuisson. Faites chauffer 1 cuillère à soupe d'huile dans un wok/une poêle antiadhésif et ajoutez le poulet mariné. Faites-le revenir jusqu'à ce que l'odeur de cru disparaisse. Ajoutez la coriandre et la menthe finement hachées, ainsi que le vinaigre, et remuez bien. Faites cuire à feu moyen-doux jusqu'à ce que le poulet soit bien cuit. Ajustez la quantité de sel si nécessaire. Une fois le poulet cuit, éteignez le feu et laissez-le refroidir complètement. Pendant ce temps, préparez la pâte. Tamisez la farine dans un saladier, ajoutez-y le ghee et le sel. Ajoutez progressivement de l'eau tiède et pétrissez jusqu'à obtenir une pâte ferme. Couvrez la pâte avec un torchon et laissez reposer 5 minutes. Faites chauffer l'huile dans un wok/kadhai (pour la friture). Pendant que l'huile chauffe, formez une grosse boule de pâte et étalez-la sur le plan de travail saupoudré pour former un grand chapati. Prenez un coupe-pizza ou un couteau et découpez la pâte étalée en carrés de 10 x 10 cm. Gardez un bol d'eau à portée de main sur le plan de travail avant de commencer à préparer les pochettes. Prenez un carré et ajoutez une cuillerée de poulet préparé, placez-le au centre. Humidifiez les quatre côtés du carré avec de l'eau à l'aide de votre index. Prenez un autre carré et placez-le sur le carré inférieur de manière à recouvrir la garniture placée au centre. Appuyez doucement sur les côtés et scellez-les bien. Prenez une fourchette et faites une empreinte sur les côtés. Préparez de la même manière d'autres poches et réservez-les. Une fois que l'huile est bien chaude, laissez mijoter les flammes et déposez délicatement les poches de poulet par lots de 4 à 5 à la fois. Faites-les frire jusqu'à ce qu'elles soient dorées des deux côtés et transférez-les sur un torchon de cuisine pour absorber l'excès d'huile. Servez la recette de poches de poulet farcies avec de la mayonnaise à la menthe avec la recette de sauce à l'ail et au piment rouge maison pour une collation en soirée.</t>
  </si>
  <si>
    <t>http://www.archanaskitchen.com/stuffed-chicken-pockets-recipe-with-mint-mayo-recipe</t>
  </si>
  <si>
    <t>Baked Homemade Croutons Recipe With Herbs</t>
  </si>
  <si>
    <t>Rezept für gebackene hausgemachte Croutons mit Kräutern</t>
  </si>
  <si>
    <t>Recette de croûtons maison aux herbes</t>
  </si>
  <si>
    <t>Receta de crutones caseros con hierbas</t>
  </si>
  <si>
    <t>4 tasses de pain brun de blé entier - coupé en cubes (un pain ordinaire ou une baguette feront l'affaire), 1/3 tasse d'huile d'olive extra vierge, 1 cuillère à café de poudre d'ail, 2 cuillères à café d'herbes mélangées (séchées), 1/4 cuillère à café de sel</t>
  </si>
  <si>
    <t>4 cups Whole Wheat Brown Bread - cut into cubes (regular loaf or baguette will work),1/3 cup Extra Virgin Olive Oil,1 teaspoon Garlic powder,2 teaspoons Mixed Herbs (Dried),1/4 teaspoon Salt</t>
  </si>
  <si>
    <t>4 tazas de pan integral cortado en cubos (funcionará un pan normal o una baguette), 1/3 de taza de aceite de oliva virgen extra, 1 cucharadita de ajo en polvo, 2 cucharaditas de hierbas mixtas (secas), 1/4 de cucharadita de sal</t>
  </si>
  <si>
    <t xml:space="preserve">To begin making the Baked Homemade Croutons Recipe With Herbs, preheat the oven to 160 C.In a large bowl, combine the bread, garlic powder, herbs and salt.Drizzle olive oil over bread while stirring all the herbs and salt. The olive oil helps the bread get coated with all of the salt and herbs. Hence ensure you toss it gently and well until all the olive oil is absorbed.Spread the herbed bread cubes into an even layer on a baking sheet. Ensure you place them evenly spread apart on the baking sheet, and it's not crowded.Place the herbed bread croutons into the preheated oven and bake for about 15 minutes until the bread has evenly crisped on all sides. Toss it in between the baking process so all the sides get crisp well.Once done, remove the Baked Homemade Croutons from the oven and allow it to rest at room temperature and cool down.This cooling process helps the croutons get more crisp. Once done, store the Baked Homemade Croutons With Herbs in air tight containers and use as required.
</t>
  </si>
  <si>
    <t>Para comenzar a hacer la Receta de Crutones Caseros Horneados Con Hierbas, precaliente el horno a 160 C. En un tazón grande, combine el pan, el ajo en polvo, las hierbas y la sal. Rocíe aceite de oliva sobre el pan mientras revuelve todas las hierbas y la sal. El aceite de oliva ayuda a que el pan se cubra con toda la sal y las hierbas. Por lo tanto, asegúrese de revolverlo suave y bien hasta que se absorba todo el aceite de oliva. Extienda los cubos de pan con hierbas en una capa uniforme sobre una bandeja para hornear. Asegúrese de colocarlos uniformemente esparcidos en la bandeja para hornear, y no está amontonado. Coloque los crutones de pan con hierbas en el horno precalentado y hornee durante unos 15 minutos hasta que el pan esté crujiente uniformemente por todos lados. Revuélvalo entre el proceso de horneado para que todos los lados queden bien crujientes. Una vez hecho esto, retire los crutones caseros horneados del horno y déjelos reposar a temperatura ambiente y enfriar. Este proceso de enfriamiento ayuda a que los crutones queden más crujientes. Una vez listo, guarde los crutones caseros horneados con hierbas en recipientes herméticos y úselos según sea necesario.</t>
  </si>
  <si>
    <t>Pour commencer à préparer la recette de croûtons maison cuits au four aux herbes, préchauffez le four à 160 °C. Dans un grand bol, mélangez le pain, la poudre d'ail, les herbes et le sel. Versez un filet d'huile d'olive sur le pain tout en remuant toutes les herbes et le sel. L'huile d'olive aide le pain à s'enrober de tout le sel et des herbes. Assurez-vous donc de le mélanger doucement et bien jusqu'à ce que toute l'huile d'olive soit absorbée. Étalez les cubes de pain aux herbes en une couche uniforme sur une plaque à pâtisserie. Assurez-vous de les placer uniformément répartis sur la plaque à pâtisserie, et qu'il n'y ait pas de foule. Placez les croûtons de pain aux herbes dans le four préchauffé et faites cuire pendant environ 15 minutes jusqu'à ce que le pain soit uniformément croustillant de tous les côtés. Remuez-le entre les cuissons pour que tous les côtés soient bien croustillants. Une fois cuit, retirez les croûtons maison cuits au four du four et laissez-les reposer à température ambiante et refroidir. Ce processus de refroidissement aide les croûtons à devenir plus croustillants. Une fois terminé, conservez les croûtons faits maison aux herbes dans des récipients hermétiques et utilisez-les selon vos besoins.</t>
  </si>
  <si>
    <t>https://www.archanaskitchen.com/baked-homemade-croutons-recipe-with-herbs</t>
  </si>
  <si>
    <t>Lemon Cucumber Detox Water Recipe</t>
  </si>
  <si>
    <t>Rezept für Zitronen-Gurken-Detox-Wasser</t>
  </si>
  <si>
    <t>Recette d'eau détox au citron et au concombre</t>
  </si>
  <si>
    <t>Receta de agua desintoxicante de limón y pepino</t>
  </si>
  <si>
    <t>1 litre d'eau glacée, 1 concombre coupé en tranches, 1 citron coupé en tranches, 8 à 10 feuilles de menthe (Pudina)</t>
  </si>
  <si>
    <t>1 liter Chilled water,1 Cucumber - sliced,1 Lemon - sliced,8-10 Mint Leaves (Pudina)</t>
  </si>
  <si>
    <t>1 litro de agua fría, 1 pepino en rodajas, 1 limón en rodajas, 8-10 hojas de menta (pudina)</t>
  </si>
  <si>
    <t xml:space="preserve">To begin making the Lemon Cucumber Detox Water, mix all ingredients together in a Pitcher.Allow it to steep in the refrigerator for a minimum of 3 hours before consuming it.The Lemon Cucumber Detox Water can also be prepared and kept in the refrigerator overnight.Lemon Cucumber Detox Water can be prepared and refrigerated overnight and consumed the next day as well with  Sweet Mixed Fruits and Granola Breakfast Wraps Recipe.
</t>
  </si>
  <si>
    <t>Para empezar a preparar el agua desintoxicante de limón y pepino, mezcle todos los ingredientes en una jarra. Déjela reposar en el refrigerador durante un mínimo de 3 horas antes de consumirla. El agua desintoxicante de limón y pepino también puede prepararse y conservarse en el refrigerador durante la noche. El agua desintoxicante de limón y pepino puede prepararse y refrigerarse durante la noche y consumirse al día siguiente también con la receta de wraps de desayuno de frutas mixtas dulces y granola.</t>
  </si>
  <si>
    <t>Pour commencer à préparer l'eau détox citron-concombre, mélangez tous les ingrédients dans un pichet. Laissez infuser au réfrigérateur pendant au moins 3 heures avant de la consommer. L'eau détox citron-concombre peut également être préparée et conservée au réfrigérateur pendant la nuit. L'eau détox citron-concombre peut également être préparée et réfrigérée pendant la nuit et consommée le lendemain avec la recette de wraps petit-déjeuner aux fruits mélangés sucrés et au granola.</t>
  </si>
  <si>
    <t>http://www.archanaskitchen.com/lemon-cucumber-detox-water-recipe</t>
  </si>
  <si>
    <t>Mushroom And Scrambled Egg Bagel Sandwich Recipe</t>
  </si>
  <si>
    <t>Rezept für Bagel-Sandwich mit Pilzen und Rührei</t>
  </si>
  <si>
    <t>Recette de sandwich bagel aux champignons et œufs brouillés</t>
  </si>
  <si>
    <t>Receta de sándwich de bagel con champiñones y huevos revueltos</t>
  </si>
  <si>
    <t>1 bagel, 1 cuillère à soupe de beurre, 1 tasse de champignons de Paris - tranchés, 1 cuillère à café de romarin, sel et poivre - pour l'assaisonnement, 1 œuf entier, 2 cuillères à soupe de lait, 1/2 tasse de brocoli - tiges retirées, 1 cuillère à café d'origan séché, sel et poivre - au goût, 2 cuillères à soupe de crème fraîche</t>
  </si>
  <si>
    <t>1 Bagel,1 tablespoon Butter,1 cup Button mushrooms - sliced,1 teaspoon Rosemary,Salt and Pepper - for seasoning,1 Whole Egg,2 tablespoon Milk,1/2 cup Broccoli - stems removed,1 teaspoon Dried oregano,Salt and Pepper - to taste,2 tablespoons Fresh cream</t>
  </si>
  <si>
    <t>1 bagel, 1 cucharada de mantequilla, 1 taza de champiñones rebanados, 1 cucharadita de romero, sal y pimienta para condimentar, 1 huevo entero, 2 cucharadas de leche, 1/2 taza de brócoli sin tallos, 1 cucharadita de orégano seco, sal y pimienta al gusto, 2 cucharadas de crema fresca</t>
  </si>
  <si>
    <t xml:space="preserve">To begin making the Mushroom and Scrambled Egg Bagel Sandwich Recipe, we will saute the mushroom over a pan with oil.Saute until the water has all evaporated, sprinkle with salt and seasonings. Mix well and cook till the mushrooms are done. Keep it aside.In the same pan, add little oil and saute the broccoli until well cooked. Whisk in the egg in a separate bowl with milk before adding it on to the pan.Add the milk along with other seasonings. Use a spatula and scramble the egg. Cook till the eggs are down. Set aside to cook and mix it with cream.Cut the bagel into half, layer it with butter on either slice and toast them on a hot tawa pan till golden brown.To assemble, take the down side of the bagel first, add the scrambled egg on top and top it up with mushrooms and close it with the another slice. Serve the Mushroom and Scrambled Egg Bagel Sandwich Recipe along with Espresso Coffee or Adrak Chai for your breakfast or for evening snacks.
</t>
  </si>
  <si>
    <t>Para comenzar a hacer la Receta de Sándwich de Bagel con Champiñones y Huevos Revueltos, saltearemos los champiñones en una sartén con aceite. Saltear hasta que el agua se haya evaporado por completo, espolvorear con sal y condimentos. Mezclar bien y cocinar hasta que los champiñones estén listos. Reservar. En la misma sartén, agregar un poco de aceite y saltear el brócoli hasta que esté bien cocido. Batir el huevo en un recipiente aparte con leche antes de agregarlo a la sartén. Agregar la leche junto con otros condimentos. Usar una espátula y revolver el huevo. Cocinar hasta que los huevos estén bajos. Reservar para cocinar y mezclar con crema. Cortar el bagel por la mitad, cubrir con mantequilla cada rebanada y tostarlas en una sartén tawa caliente hasta que estén doradas. Para armar, tomar primero el lado inferior del bagel, agregar el huevo revuelto encima y cubrirlo con champiñones y cerrarlo con la otra rebanada. Sirva la receta de sándwich de bagel con champiñones y huevos revueltos junto con café expreso o Adrak Chai para el desayuno o como refrigerio por la noche.</t>
  </si>
  <si>
    <t>Pour commencer à préparer la recette du sandwich bagel aux champignons et aux œufs brouillés, nous allons faire sauter les champignons dans une poêle avec de l'huile. Faire sauter jusqu'à ce que l'eau soit complètement évaporée, saupoudrer de sel et d'assaisonnements. Bien mélanger et cuire jusqu'à ce que les champignons soient cuits. Réserver. Dans la même poêle, ajouter un peu d'huile et faire revenir le brocoli jusqu'à ce qu'il soit bien cuit. Incorporer l'œuf dans un bol séparé avec du lait avant de l'ajouter à la poêle. Ajouter le lait avec les autres assaisonnements. Utiliser une spatule et brouiller l'œuf. Cuire jusqu'à ce que les œufs soient cuits. Réserver pour cuire et mélanger avec de la crème. Couper le bagel en deux, le beurrer sur chaque tranche et les faire griller sur une poêle tawa chaude jusqu'à ce qu'ils soient dorés. Pour assembler, prendre d'abord le côté inférieur du bagel, ajouter l'œuf brouillé dessus et garnir de champignons et le fermer avec l'autre tranche. Servez la recette de sandwich bagel aux champignons et aux œufs brouillés avec du café expresso ou de l'Adrak Chai pour votre petit-déjeuner ou pour une collation en soirée.</t>
  </si>
  <si>
    <t>http://www.archanaskitchen.com/mushroom-and-scrambled-egg-bagel-sandwich-recipe</t>
  </si>
  <si>
    <t>Cheesy Stuffed Mushrooms With Spinach Recipe</t>
  </si>
  <si>
    <t>Rezept für mit Käse gefüllte Champignons mit Spinat</t>
  </si>
  <si>
    <t>Recette de champignons farcis au fromage et aux épinards</t>
  </si>
  <si>
    <t>Receta de champiñones rellenos de queso y espinacas</t>
  </si>
  <si>
    <t>6 champignons de Paris - gros, 3 tasses d'épinards - finement hachés, 6 gousses d'ail - finement hachées, 2 cuillères à soupe de fromage à tartiner Britannia - Asli Pepper, 1 cuillère à soupe de Britannia Cheezza - râpée, 1 cuillère à café d'huile d'olive extra vierge</t>
  </si>
  <si>
    <t>6 Button mushrooms - large,3 cups Spinach - finely chopped,6 cloves Garlic - finely chopped,2 tablespoons Britannia Cheese Spread - Asli Pepper,1 tablespoon Britannia Cheezza - grated,1 teaspoon Extra Virgin Olive Oil</t>
  </si>
  <si>
    <t>6 champiñones grandes, 3 tazas de espinacas finamente picadas, 6 dientes de ajo finamente picados, 2 cucharadas de queso untable Britannia - pimienta negra, 1 cucharada de queso Britannia rallado, 1 cucharadita de aceite de oliva virgen extra</t>
  </si>
  <si>
    <t xml:space="preserve">To begin making Cheesy Stuffed Mushrooms With Spinach Recipe we will first cook the spinach.Into a preheated pan add oil and once the oil is hot add  the finely chopped garlic and saute it for a few secondsAdd the chopped spinach and saute until the spinach wilts completely and most of the moisture is evaporated. Do not add salt and cook the spinach, because if you do the spinach will release a lot of water and will take a long time for the moisture to evaporate.  Once the spinach is cooked well and we have the right texture, turn off the heat and stir in the Britannia Asli Pepper Cheese Spreadz to give the sauted spinach a creamy consistency. Keep aside.Preheat the oven for 15 minutes at 200 degrees Celsius.The next step is to prep the mushrooms.Remove the stem of the mushrooms and slide the knife to create a cavity to fill in the spinach.Use a tiny spoon and fill the spinach mixture into the mushrooms. Sprinkle the grated Britannia Cheezza on top of each stuffed mushroom and arrange them on a baking tray.Grill it in the oven for 6 to 8 minutes until the mushrooms are done and the cheese has meltedRemove Cheesy Stuffed Mushrooms With Spinach from the oven and place these on the serving platter and serve hot.Serve Cheesy Stuffed Mushrooms With Spinach Recipe as an appetizer along with a party meal of Lavender Lemonade Cooler, Herbed Buttered Rice Recipe With Green Peas , Herbed Vegetables In Roasted Bell Pepper Sauce Recipe and   Apple Tart with Puff Pastry Recipe (Open Pie)
</t>
  </si>
  <si>
    <t>Para comenzar a hacer la receta de Champiñones Rellenos de Queso con Espinacas, primero cocinaremos las espinacas. En una sartén precalentada, agrega aceite y una vez que el aceite esté caliente, agrega el ajo finamente picado y saltéalo durante unos segundos. Agrega las espinacas picadas y saltea hasta que las espinacas se marchiten completamente y la mayor parte de la humedad se haya evaporado. No agregues sal y cocines las espinacas, porque si lo haces, las espinacas soltarán mucha agua y la humedad tardará mucho en evaporarse. Una vez que las espinacas estén bien cocidas y tengamos la textura adecuada, apaga el fuego y agrega el Britannia Asli Pepper Cheese Spreadz para darle a las espinacas salteadas una consistencia cremosa. Reserva. Precalienta el horno durante 15 minutos a 200 grados Celsius. El siguiente paso es preparar los champiñones. Retira el tallo de los champiñones y desliza el cuchillo para crear una cavidad para rellenar las espinacas. Usa una cuchara pequeña y rellena los champiñones con la mezcla de espinacas. Espolvorea queso Britannia Cheezza rallado sobre cada champiñón relleno y colócalos en una bandeja para hornear. Asa en el horno de 6 a 8 minutos hasta que los champiñones estén listos y el queso se haya derretido. Retira los champiñones rellenos de queso con espinacas del horno y colócalos en una fuente para servir. Sírvelos calientes. Sirve la receta de champiñones rellenos de queso con espinacas como aperitivo junto con una comida para fiestas: limonada refrescante de lavanda, arroz con mantequilla y hierbas con guisantes, verduras con hierbas en salsa de pimientos asados ​​y tarta de manzana con hojaldre (pastel abierto).</t>
  </si>
  <si>
    <t>Pour commencer à préparer la recette de champignons farcis au fromage et aux épinards, nous allons d'abord cuire les épinards. Dans une poêle préchauffée, ajoutez l'huile et une fois l'huile chaude, ajoutez l'ail finement haché et faites-le revenir pendant quelques secondes. Ajoutez les épinards hachés et faites-les revenir jusqu'à ce qu'ils flétrissent complètement et que la majeure partie de l'humidité soit évaporée. N'ajoutez pas de sel et ne faites pas cuire les épinards, car si vous le faites, les épinards libéreront beaucoup d'eau et l'humidité mettra beaucoup de temps à s'évaporer. Une fois que les épinards sont bien cuits et que nous avons la bonne texture, éteignez le feu et incorporez le Britannia Asli Pepper Cheese Spreadz pour donner aux épinards sautés une consistance crémeuse. Réservez. Préchauffez le four pendant 15 minutes à 200 degrés Celsius. L'étape suivante consiste à préparer les champignons. Retirez la tige des champignons et faites glisser le couteau pour créer une cavité pour remplir les épinards. Utilisez une petite cuillère et remplissez les champignons du mélange d'épinards. Saupoudrez de fromage Britannia râpé sur chaque champignon farci et disposez-les sur une plaque de cuisson. Faites-les griller au four pendant 6 à 8 minutes, jusqu'à ce que les champignons soient cuits et que le fromage soit fondu. Retirez les champignons farcis au fromage et aux épinards du four, placez-les sur un plat de service et servez chaud. Servez la recette de champignons farcis au fromage et aux épinards en apéritif, accompagnée d'un repas de fête composé d'une limonade rafraîchissante à la lavande, d'un riz au beurre aux herbes et aux petits pois, de légumes aux herbes dans une sauce aux poivrons rôtis et d'une tarte aux pommes feuilletée (tarte ouverte).</t>
  </si>
  <si>
    <t>https://www.archanaskitchen.com/stuffed-mushroom-recipe</t>
  </si>
  <si>
    <t>Chicken with Creamy Mushroom Sauce Recipe</t>
  </si>
  <si>
    <t>Rezept für Hühnchen mit cremiger Pilzsauce</t>
  </si>
  <si>
    <t>Recette de poulet à la sauce crémeuse aux champignons</t>
  </si>
  <si>
    <t>Receta de pollo con salsa cremosa de champiñones</t>
  </si>
  <si>
    <t>400 grammes de champignons de Paris - tranchés, 3 blancs de poulet, 1 cuillère à soupe d'herbes mélangées (séchées), 1 cuillère à soupe de grains de poivre noir entiers - grossièrement pilés, 1 cuillère à café de poudre de piment rouge, 1 oignon - finement haché, 6 gousses d'ail - finement hachées, 1 cuillère à soupe d'huile d'olive extra vierge, feuilles de persil - une poignée, 1/2 tasse de crème fraîche, 2 cuillères à soupe de fromage à tartiner - saveur de poivre préférée, sel - au goût</t>
  </si>
  <si>
    <t>400 grams Button mushrooms - sliced,3 Chicken breasts,1 tablespoon Mixed Herbs (Dried),1 tablespoon Whole Black Pepper Corns - coarsely pounded,1 teaspoon Red Chilli powder,1 Onion - finely chopped,6 cloves Garlic - finely chopped,1 tablespoon Extra Virgin Olive Oil,Parsley leaves - a handful,1/2 cup Fresh cream,2 tablespoons Cheese spread - pepper flavour prefered,Salt - to taste</t>
  </si>
  <si>
    <t>400 gramos de champiñones rebanados, 3 pechugas de pollo, 1 cucharada de hierbas mixtas (secas), 1 cucharada de granos de pimienta negra enteros (machacados gruesos), 1 cucharadita de chile rojo en polvo, 1 cebolla (finamente picada), 6 dientes de ajo (finamente picados), 1 cucharada de aceite de oliva virgen extra, hojas de perejil (un puñado), 1/2 taza de crema fresca, 2 cucharadas de queso para untar (preferiblemente con sabor a pimienta), sal (al gusto)</t>
  </si>
  <si>
    <t xml:space="preserve">To begin making the Chicken with Creamy Mushroom Sauce Recipe, firstly wash and clean the chicken well. Heat a grilling pan with oil, add garlic and onions and allow let it cook for until the onions become just about tender. Add the mushrooms and saute the mushrooms for about a minute. Add the chicken breast pieces, sprinkle some salt &amp; cover the pan. Allow the chicken to grill on the pan for about 5 minutes. Keep turning the chicken around while it is cooking. After 5 minutes, add the herbs, black pepper, red chilli powder, cream, cream cheese, salt and parsley.Toss well for 2 minutes on high heat. Turn the heat to low, cover the pan and allow the Chicken with Creamy Mushroom Sauce to simmer for another 5 to 7 minutes until the chicken is cooked according to your liking.Once done, check the salt and spices and adjust to taste accordingly and turn off the heat. Transfer the Chicken with Creamy Mushroom Sauce to a serving bowl and serve hot.Serve Chicken with Creamy Mushroom Sauce Recipe along with Herbed Brown Rice and Thai Raw Papaya Salad Recipe for a healthy weeknight dinner.
</t>
  </si>
  <si>
    <t>Para comenzar a hacer la Receta de Pollo con Salsa Cremosa de Champiñones, primero lava y limpia bien el pollo. Calienta una sartén para asar con aceite, agrega ajo y cebolla y deja cocinar hasta que las cebollas estén casi tiernas. Agrega los champiñones y saltéalos durante aproximadamente un minuto. Agrega los trozos de pechuga de pollo, espolvorea un poco de sal y cubre la sartén. Deja que el pollo se ase en la sartén durante unos 5 minutos. Sigue volteando el pollo mientras se cocina. Después de 5 minutos, agrega las hierbas, la pimienta negra, el chile rojo en polvo, la crema, el queso crema, la sal y el perejil. Revuelve bien durante 2 minutos a fuego alto. Baja el fuego, cubre la sartén y deja que el Pollo con Salsa Cremosa de Champiñones hierva a fuego lento durante otros 5 a 7 minutos hasta que el pollo esté cocido a tu gusto. Una vez hecho esto, revisa la sal y las especias y ajusta al gusto y apaga el fuego. Transfiera el pollo con salsa cremosa de champiñones a un tazón y sirva caliente. Sirva la receta de pollo con salsa cremosa de champiñones junto con el arroz integral con hierbas y la receta de ensalada de papaya cruda tailandesa para una cena saludable entre semana.</t>
  </si>
  <si>
    <t>Pour commencer à préparer la recette de poulet à la sauce crémeuse aux champignons, lavez et nettoyez d'abord bien le poulet. Faites chauffer une poêle à griller avec de l'huile, ajoutez l'ail et les oignons et laissez cuire jusqu'à ce que les oignons soient presque tendres. Ajoutez les champignons et faites revenir les champignons pendant environ une minute. Ajoutez les morceaux de poitrine de poulet, saupoudrez de sel et couvrez la poêle. Laissez le poulet griller dans la poêle pendant environ 5 minutes. Continuez à retourner le poulet pendant la cuisson. Après 5 minutes, ajoutez les herbes, le poivre noir, la poudre de piment rouge, la crème, le fromage à la crème, le sel et le persil. Bien mélanger pendant 2 minutes à feu vif. Baissez le feu, couvrez la poêle et laissez mijoter le poulet à la sauce crémeuse aux champignons pendant encore 5 à 7 minutes jusqu'à ce que le poulet soit cuit selon votre goût. Une fois terminé, vérifiez le sel et les épices et ajustez au goût en conséquence et éteignez le feu. Transférez le poulet à la sauce crémeuse aux champignons dans un bol de service et servez chaud. Servez la recette de poulet à la sauce crémeuse aux champignons avec du riz brun aux herbes et une recette de salade de papaye crue thaï pour un dîner sain en semaine.</t>
  </si>
  <si>
    <t>http://www.archanaskitchen.com/montreal-mushroom-and-chicken-stir-fry-recipe</t>
  </si>
  <si>
    <t>Baby Potato Salad with Onion &amp; Cheese Recipe</t>
  </si>
  <si>
    <t>Baby-Kartoffelsalat mit Zwiebeln und Käse Rezept</t>
  </si>
  <si>
    <t>Recette de salade de pommes de terre grenaille aux oignons et au fromage</t>
  </si>
  <si>
    <t>Receta de ensalada de papas baby con cebolla y queso</t>
  </si>
  <si>
    <t>250 grammes de pommes de terre grenailles - coupées en deux, 1 oignon - émincé, 4 gousses d'ail - finement hachées, 100 grammes de mozzarella - râpée ou émiettée, 2 cuillères à café de paprika en poudre, 2 cuillères à café d'herbes mélangées (séchées), 3 cuillères à café de flocons de piment rouge, sel - au goût, 4 brins de feuilles de coriandre (Dhania)</t>
  </si>
  <si>
    <t>250 grams Baby Potatoes - halved,1 Onion - sliced,4 cloves Garlic - finely chopped,100 grams Mozzarella cheese - grated or crumbled,2 teaspoon Paprika powder,2 teaspoon Mixed Herbs (Dried),3 teaspoon Red Chilli flakes,Salt - to taste,4 sprig Coriander (Dhania) Leaves</t>
  </si>
  <si>
    <t>250 gramos de papas baby cortadas por la mitad, 1 cebolla cortada en rodajas, 4 dientes de ajo picados finamente, 100 gramos de queso mozzarella rallado o desmenuzado, 2 cucharaditas de pimentón en polvo, 2 cucharaditas de hierbas mixtas (secas), 3 cucharaditas de hojuelas de chile rojo, sal al gusto, 4 ramitas de hojas de cilantro (Dhania)</t>
  </si>
  <si>
    <t xml:space="preserve">To begin making the Baby Potato Salad with Onion &amp; Cheese Recipe, we will heat skillet on a medium heat, drizzle 2 tablespoon of oil. Add halved baby potatoes, sprinkle salt, and keep roasting them until it has a got a golden crust and the potatoes are just cooked. Cover the baby potatoes with a lid to make it cook faster. Once the baby potatoes are cooked, add 2 teaspoon of paprika powder, a teaspoon of mixed herbs, a teaspoon of red chilli flakes give it a toss. Once done switch off the heat, add the pan roasted baby potatoes into a serving bowl, add sliced onions, chopped garlic and crumbled mozzarella cheese.Sprinkle Baby Potato Salad finally with some mixed herbs, red chilli flakes and fresh coriander leaves to serve. Serve the Baby Potato Salad with Onion &amp; Cheese Recipe along with mains like Greek Style Grilled Pita Pizza and Greek Style Spinach Spanakopita to make Sunday Brunch special.
</t>
  </si>
  <si>
    <t>Para comenzar a hacer la receta de ensalada de papas baby con cebolla y queso, calentaremos una sartén a fuego medio, rociaremos 2 cucharadas de aceite. Agregue las papas baby cortadas por la mitad, espolvoree sal y siga asándolas hasta que tengan una costra dorada y las papas estén cocidas. Cubra las papas baby con una tapa para que se cocinen más rápido. Una vez que las papas baby estén cocidas, agregue 2 cucharaditas de pimentón en polvo, una cucharadita de hierbas mixtas, una cucharadita de hojuelas de chile rojo y revuelva. Una vez hecho esto, apague el fuego, agregue las papas baby asadas en la sartén en un tazón para servir, agregue cebollas en rodajas, ajo picado y queso mozzarella desmenuzado. Espolvoree la ensalada de papas baby finalmente con algunas hierbas mixtas, hojuelas de chile rojo y hojas de cilantro fresco para servir. Sirva la receta de ensalada de papas baby con cebolla y queso junto con platos principales como pizza de pita a la parrilla al estilo griego y spanakopita de espinacas al estilo griego para que el brunch del domingo sea especial.</t>
  </si>
  <si>
    <t>Pour commencer à préparer la recette de salade de pommes de terre grenailles aux oignons et au fromage, nous allons chauffer une poêle à feu moyen, arroser de 2 cuillères à soupe d'huile. Ajouter les pommes de terre grenailles coupées en deux, saupoudrer de sel et continuer à les rôtir jusqu'à ce qu'elles aient une croûte dorée et que les pommes de terre soient juste cuites. Couvrir les pommes de terre grenailles avec un couvercle pour accélérer la cuisson. Une fois les pommes de terre grenailles cuites, ajouter 2 cuillères à café de poudre de paprika, une cuillère à café d'herbes mélangées, une cuillère à café de flocons de piment rouge et remuer. Une fois terminé, éteignez le feu, ajoutez les pommes de terre grenailles poêlées dans un bol de service, ajoutez les oignons émincés, l'ail haché et la mozzarella émiettée. Saupoudrer enfin la salade de pommes de terre grenailles avec quelques herbes mélangées, des flocons de piment rouge et des feuilles de coriandre fraîche pour servir. Servir la recette de salade de pommes de terre grenailles aux oignons et au fromage avec des plats principaux comme la pizza pita grillée à la grecque et la spanakopita aux épinards à la grecque pour rendre le brunch du dimanche spécial.</t>
  </si>
  <si>
    <t>http://www.archanaskitchen.com/baby-potato-salad-with-onion-cheese-recipe</t>
  </si>
  <si>
    <t>Spinach and Banana Smoothie With Chia Seeds Recipe</t>
  </si>
  <si>
    <t>Rezept für Spinat-Bananen-Smoothie mit Chiasamen</t>
  </si>
  <si>
    <t>Recette de smoothie aux épinards et à la banane avec des graines de chia</t>
  </si>
  <si>
    <t>Receta de batido de espinacas y plátano con semillas de chía</t>
  </si>
  <si>
    <t>1 tasse d'épinards hachés, 2 bananes mûres hachées, 5 amandes, 30 ml de lait de coco, 1 cuillère à café de graines de chia</t>
  </si>
  <si>
    <t>1 cup Spinach - chopped,2 Ripe Bananas - chopped,5 Badam (Almond),30 ml Coconut milk,1 teaspoon Chia Seeds</t>
  </si>
  <si>
    <t>1 taza de espinacas picadas, 2 plátanos maduros picados, 5 almendras, 30 ml de leche de coco, 1 cucharadita de semillas de chía</t>
  </si>
  <si>
    <t xml:space="preserve">To begin making the Spinach and Banana Smoothie, add all the ingredients into the mixer except the chia seeds and add little water and grind it into a smooth paste.You can add little more water and adjust according to the consistency that you need.Pour it in the glass and sprinkle with chia seeds and serve. Serve the Spinach and Banana Smoothie Recipe as an post workout drink, giving you that immense energy and nutrition.
</t>
  </si>
  <si>
    <t>Para empezar a preparar el batido de espinacas y plátano, añade todos los ingredientes a la batidora, excepto las semillas de chía, y añade un poco de agua hasta obtener una pasta suave. Puedes añadir un poco más de agua y ajustar la consistencia según tus necesidades. Viértelo en un vaso, espolvorea con semillas de chía y sirve. Sirve la receta de batido de espinacas y plátano como bebida post-entrenamiento, ya que te aportará mucha energía y nutrición.</t>
  </si>
  <si>
    <t>Pour commencer à préparer le smoothie aux épinards et à la banane, ajoutez tous les ingrédients dans le mixeur, sauf les graines de chia, ajoutez un peu d'eau et broyez-les en une pâte lisse. Vous pouvez ajouter un peu plus d'eau et ajuster en fonction de la consistance dont vous avez besoin. Versez-le dans le verre, saupoudrez de graines de chia et servez. Servez la recette de smoothie aux épinards et à la banane comme boisson après l'entraînement, vous procurant cette immense énergie et cette nutrition.</t>
  </si>
  <si>
    <t>https://www.archanaskitchen.com/spinach-and-banana-smoothie-recipe</t>
  </si>
  <si>
    <t>Nutty Chocolate Banana Smoothie Recipe</t>
  </si>
  <si>
    <t>Rezept für einen nussigen Schokoladen-Bananen-Smoothie</t>
  </si>
  <si>
    <t>Recette de smoothie banane-chocolat aux noix</t>
  </si>
  <si>
    <t>Receta de batido de plátano, chocolate y nueces</t>
  </si>
  <si>
    <t>2 bananes mûres - grossièrement hachées, 2 tasses de lait, 2 cuillères à soupe de beurre de cacahuète, 4 dattes - dénoyautées et hachées, 2 cuillères à soupe d'avoine instantanée (gruau), 1 cuillère à soupe de cacao en poudre, 1 cuillère à café de graines de chia - ou de noix</t>
  </si>
  <si>
    <t>2 Ripe Bananas - roughly chopped,2 cups Milk,2 tablespoons Peanut Butter,4 Dates - pitted and chopped,2 tablespoons Instant Oats (Oatmeal),1 tablespoon Cocoa Powder,1 teaspoon Chia Seeds - or nuts</t>
  </si>
  <si>
    <t>2 plátanos maduros picados gruesamente, 2 tazas de leche, 2 cucharadas de mantequilla de maní, 4 dátiles sin hueso y picados, 2 cucharadas de avena instantánea (avena), 1 cucharada de cacao en polvo, 1 cucharadita de semillas de chía o nueces</t>
  </si>
  <si>
    <t xml:space="preserve">To begin making the Nutty Chocolate Banana Smoothie Recipe, into a blender add the ripe bananas, milk, dates, peanut butter, oats and cocoa powder and make a smooth mixture. Once done transfer the Nutty Chocolate Banana Smoothie Recipe to a glass, add the chia seeds on the top and serve chilledServe Nutty Chocolate Banana Smoothie Recipe with Egg White Spinach Omelette Recipe With Garlic &amp; Oregano for a complete breakfast.
</t>
  </si>
  <si>
    <t>Para empezar a preparar la receta de batido de plátano y chocolate con nueces, en una licuadora, añade los plátanos maduros, la leche, los dátiles, la mantequilla de cacahuete, la avena y el cacao en polvo hasta obtener una mezcla suave. Una vez listo, transfiere la receta de batido de plátano y chocolate con nueces a un vaso, añade las semillas de chía por encima y sirve frío. Sirve la receta de batido de plátano y chocolate con nueces con la receta de tortilla de espinacas con claras de huevo y ajo y orégano para un desayuno completo.</t>
  </si>
  <si>
    <t>Pour commencer à préparer la recette de smoothie banane-chocolat aux noix, ajoutez les bananes mûres, le lait, les dattes, le beurre de cacahuète, l'avoine et la poudre de cacao dans un mixeur et obtenez un mélange lisse. Une fois terminé, transférez la recette de smoothie banane-chocolat aux noix dans un verre, ajoutez les graines de chia sur le dessus et servez frais. Servez la recette de smoothie banane-chocolat aux noix avec la recette d'omelette aux épinards et aux blancs d'œufs avec de l'ail et de l'origan pour un petit-déjeuner complet.</t>
  </si>
  <si>
    <t>https://www.archanaskitchen.com/nutty-delight-smoothie-recipe</t>
  </si>
  <si>
    <t>Spicy Sweet Potato Hash Brown Waffles Recipe</t>
  </si>
  <si>
    <t>Rezept für würzige Süßkartoffel-Rösti-Waffeln</t>
  </si>
  <si>
    <t>Recette de gaufres épicées aux röstis de patates douces</t>
  </si>
  <si>
    <t>Receta de gofres picantes con rösti de boniato</t>
  </si>
  <si>
    <t>1 tasse de patate douce râpée, 4 œufs entiers, 1/4 tasse de lait, 1 oignon finement haché, 1 cuillère à soupe de poudre de piment rouge, 1 cuillère à café de poudre de poivre noir, 1 cuillère à café de poudre de cumin (Jeera), 1 cuillère à café d'origan séché, 1 cuillère à café de feuilles de thym séchées, sel au goût</t>
  </si>
  <si>
    <t>1 cup Sweet Potato - grated,4 Whole Eggs,1/4 cup Milk,1 Onion - finely chopped,1 tablespoon Red Chilli powder,1 teaspoon Black pepper powder,1 teaspoon Cumin powder (Jeera),1 teaspoon Dried oregano,1 teaspoon Dried Thyme Leaves,Salt - to taste</t>
  </si>
  <si>
    <t>1 taza de batata rallada, 4 huevos enteros, 1/4 taza de leche, 1 cebolla finamente picada, 1 cucharada de chile rojo en polvo, 1 cucharadita de pimienta negra en polvo, 1 cucharadita de comino en polvo (Jeera), 1 cucharadita de orégano seco, 1 cucharadita de hojas de tomillo secas, sal - al gusto</t>
  </si>
  <si>
    <t xml:space="preserve">To begin making the Spicy Sweet Potato Hash Brown Waffles Recipe, Keep the sweet potato grated and kept ready in a bowl.Into the same bowl, break an egg, add chopped onion, milk, and spice powders like red chilli powder, cumin powder, pepper powder, seasonings like oregano and dried thyme into the bowl.Beat well, heat the waffle maker by the side and keep it ready. Once the waffle plates get hot, grease the plates with enough butter so that the waffle does not get stuck into the groves.Slowly pour the whisked Sweet Potato Hash Brown Waffles mixture into the waffle maker, just enough so that it fills up. Close the waffle maker and let it cook for at least 15 minutes.Open after 5 to 7 minutes and you will see the Sweet Potato waffles have risen and has changed to light brown color.Slowly lift the Sweet Potato waffles and serve it onto your serving plate.Serve the Spicy Sweet Potato Hash Brown Waffles Recipe along with bowl of sour cream, Corn Pineapple Salsa Salad and cup of coffee to make it a complete Breakfast meal of its own.
</t>
  </si>
  <si>
    <t>Para comenzar a hacer la Receta de Waffles Picantes de Papas Dulces y Hash Brown, mantenga la papa dulce rallada y lista en un tazón. En el mismo tazón, rompa un huevo, agregue cebolla picada, leche y especias en polvo como chile rojo en polvo, comino en polvo, pimienta en polvo, condimentos como orégano y tomillo seco en el tazón. Bata bien, caliente la waflera a un lado y manténgala lista. Una vez que las placas de los waffles se calienten, engrase las placas con suficiente mantequilla para que el waffle no se pegue en las ranuras. Vierta lentamente la mezcla batida de Waffles de Papas Dulces y Hash Brown en la waflera, lo suficiente para que se llene. Cierre la waflera y déjela cocinar durante al menos 15 minutos. Ábrala después de 5 a 7 minutos y verá que los waffles de camote han subido y han cambiado a un color marrón claro. Levante lentamente los waffles de camote y sírvalos en su plato para servir. Sirva la receta de waffles picantes de camote con papas hash brown junto con un tazón de crema agria, ensalada de salsa de piña y maíz y una taza de café para que sea un desayuno completo.</t>
  </si>
  <si>
    <t>Pour commencer à préparer la recette de gaufres épicées aux patates douces et aux pommes de terre rissolées, gardez la patate douce râpée et prête dans un bol. Dans le même bol, cassez un œuf, ajoutez l'oignon haché, le lait et les poudres d'épices comme la poudre de piment rouge, la poudre de cumin, la poudre de poivre, les assaisonnements comme l'origan et le thym séché dans le bol. Battez bien, faites chauffer le gaufrier à côté et gardez-le prêt. Une fois les plaques à gaufres chaudes, graissez-les avec suffisamment de beurre pour que la gaufre ne reste pas coincée dans les rainures. Versez lentement le mélange fouetté de gaufres aux patates douces et aux pommes de terre rissolées dans le gaufrier, juste assez pour qu'il se remplisse. Fermez le gaufrier et laissez cuire pendant au moins 15 minutes. Ouvrez après 5 à 7 minutes et vous verrez que les gaufres de patate douce ont levé et ont changé de couleur brun clair. Soulevez lentement les gaufres de patate douce et servez-les dans votre assiette de service. Servez la recette de gaufres de patate douce épicées avec un bol de crème sure, une salade de salsa de maïs et d'ananas et une tasse de café pour en faire un petit-déjeuner complet.</t>
  </si>
  <si>
    <t>https://www.archanaskitchen.com/spicy-sweet-potato-hash-brown-waffles-recipe</t>
  </si>
  <si>
    <t>Banana Bread With Chocolate Chips And Walnut Recipe</t>
  </si>
  <si>
    <t>Bananenbrot mit Schokoladenstückchen und Walnüssen Rezept</t>
  </si>
  <si>
    <t>Recette de pain aux bananes aux pépites de chocolat et aux noix</t>
  </si>
  <si>
    <t>Receta de pan de plátano con nueces y chispas de chocolate</t>
  </si>
  <si>
    <t>1 1/2 tasse de farine tout usage (Maida), 1 cuillère à café de levure chimique, 2 œufs entiers, 100 grammes de beurre fondu, 3 cuillères à soupe d'huile de tournesol, 100 grammes de cassonade (sucre Demerara), 100 grammes de sucre, 1 cuillère à café d'extrait de vanille, 4 bananes mûres, 1/2 tasse de pépites de chocolat, 1/2 tasse de noix, 1/2 tasse de noix</t>
  </si>
  <si>
    <t>1 1/2 cup All Purpose Flour (Maida),1 teaspoon Baking powder,2 Whole Eggs,100 grams Butter - melted,3 tablespoon Sunflower Oil,100 grams Brown Sugar (Demerara Sugar),100 grams Sugar,1 teaspoon Vanilla Extract,4 Ripe Bananas,1/2 cup Chocolate chips,1/2 cup Walnuts,1/2 cup Walnuts</t>
  </si>
  <si>
    <t>1 1/2 taza de harina para todo uso (Maida), 1 cucharadita de polvo para hornear, 2 huevos enteros, 100 gramos de mantequilla derretida, 3 cucharadas de aceite de girasol, 100 gramos de azúcar morena (azúcar Demerara), 100 gramos de azúcar, 1 cucharadita de extracto de vainilla, 4 plátanos maduros, 1/2 taza de chispas de chocolate, 1/2 taza de nueces, 1/2 taza de nueces</t>
  </si>
  <si>
    <t xml:space="preserve">To begin with the Banana Bread With Chocolate Chip And Walnut first, take a 9” by 5” inch loaf pan and grease it properly,dust it with flour and tap on the base to remove excess flour.Take flour ,baking soda and baking powder together in a strainer and strain it to make uniform mixture.In a blender add brown sugar, white sugar and grind them to a fine powder.In a bowl break 2 eggs and whick them. Now on the other hand grind the bananas into a nice pureeAdd the Banana's and sugar mixture into another bowl and mix them well. To this mixture add some vanilla essence and butter and give it a good mix until they combine together. Now Add this mixture to the flour and also add the whisked eggs, oil. With a hand blender mix the mixture. Now once you get a good mix add chocolate chips and give a light mix to the flour mix. Transfer the mixture to a loaf pan, in a preheated oven at 180 degree celsius bake the bread for 45 - 50 minutes.Once cake is done ,you can do the skewer test ,if its come out clean then your bread is done.Serve the Banana bread with chocolate chips and walnut with a yummy scoop of ice cream for a tea time snack. 
</t>
  </si>
  <si>
    <t>Para comenzar con el pan de plátano con chispas de chocolate y nueces, primero tome un molde para pan de 9 "por 5" pulgadas y engráselo adecuadamente, espolvoréelo con harina y golpee la base para eliminar el exceso de harina. Tome la harina, el bicarbonato de sodio y el polvo de hornear juntos en un colador y cuélelo para hacer una mezcla uniforme. En una licuadora agregue el azúcar morena, el azúcar blanca y muélelos hasta obtener un polvo fino. En un tazón rompa 2 huevos y bátalos. Ahora, por otro lado, muele los plátanos en un buen puré. Agregue la mezcla de plátanos y azúcar en otro tazón y mézclelos bien. A esta mezcla agregue un poco de esencia de vainilla y mantequilla y mezcle bien hasta que se combinen. Ahora agregue esta mezcla a la harina y también agregue los huevos batidos, el aceite. Con una batidora de mano mezcle la mezcla. Ahora, una vez que obtenga una buena mezcla, agregue chispas de chocolate y mezcle ligeramente con la mezcla de harina. Transfiera la mezcla a un molde para pan, en un horno precalentado a 180 grados centígrados, hornee el pan durante 45 a 50 minutos. Una vez que el pastel esté listo, puede hacer la prueba del palillo, si sale limpio, entonces el pan está listo. Sirva el pan de plátano con chispas de chocolate y nueces con una deliciosa bola de helado para una merienda.</t>
  </si>
  <si>
    <t>Pour commencer avec le pain aux bananes aux pépites de chocolat et aux noix, prenez un moule à pain de 9 pouces sur 5 pouces et graissez-le correctement, saupoudrez-le de farine et tapez sur le fond pour enlever l'excédent de farine. Prenez la farine, le bicarbonate de soude et la levure chimique ensemble dans une passoire et filtrez-le pour obtenir un mélange uniforme. Dans un mixeur, ajoutez la cassonade, le sucre blanc et broyez-les en poudre fine. Dans un bol, cassez 2 œufs et fouettez-les. Maintenant, d'autre part, broyez les bananes en une belle purée. Ajoutez le mélange de bananes et de sucre dans un autre bol et mélangez bien. À ce mélange, ajoutez un peu d'essence de vanille et de beurre et mélangez bien jusqu'à ce qu'ils se combinent. Ajoutez maintenant ce mélange à la farine et ajoutez également les œufs battus, l'huile. Avec un mixeur plongeant, mélangez le mélange. Maintenant, une fois que vous obtenez un bon mélange, ajoutez les pépites de chocolat et mélangez légèrement le mélange de farine. Transférez le mélange dans un moule à pain, dans un four préchauffé à 180 degrés Celsius, faites cuire le pain pendant 45 à 50 minutes. Une fois le gâteau cuit, vous pouvez faire le test de la brochette, si elle ressort propre, votre pain est cuit. Servez le pain aux bananes avec des pépites de chocolat et des noix avec une délicieuse boule de glace pour une collation à l'heure du thé.</t>
  </si>
  <si>
    <t>https://www.archanaskitchen.com/banana-bread-with-chocolate-chips-and-walnut-recipe</t>
  </si>
  <si>
    <t>Rustic Rosemary Garlic Zucchini Bread Recipe</t>
  </si>
  <si>
    <t>Rezept für rustikales Zucchinibrot mit Rosmarin und Knoblauch</t>
  </si>
  <si>
    <t>Recette de pain rustique aux courgettes au romarin et à l'ail</t>
  </si>
  <si>
    <t>Receta de pan rústico de calabacín con romero y ajo</t>
  </si>
  <si>
    <t>2 tasses de farine de blé entier, 1 tasse de farine tout usage (Maida), 1/4 tasse d'eau tiède, 1 1/4 cuillère à café de levure sèche active, 1 cuillère à café de sucre, 3/4 cuillère à café de sel, 1 cuillère à soupe d'ail haché, 1/2 cuillère à soupe de romarin finement haché, 1 1/2 tasse de courgettes vertes râpées, 1 cuillère à soupe de graines de tournesol, 2 cuillères à soupe d'eau à ajouter à la pâte</t>
  </si>
  <si>
    <t>2 cups Whole Wheat Flour,1 cup All Purpose Flour (Maida),1/4 cup Lukewarm Water,1 1/4 teaspoon Active dry yeast,1 teaspoon Sugar,3/4 teaspoon Salt,1 tablespoon Garlic - minced,1/2 tablespoon Rosemary - finely chopped,1 1/2 cup Green zucchini - shredded,1 tablespoon Sunflower seeds,2 tablespoons Water - to add to the dough</t>
  </si>
  <si>
    <t>2 tazas de harina integral, 1 taza de harina para todo uso (Maida), 1/4 taza de agua tibia, 1 1/4 cucharadita de levadura seca activa, 1 cucharadita de azúcar, 3/4 cucharadita de sal, 1 cucharada de ajo picado, 1/2 cucharada de romero finamente picado, 1 1/2 taza de calabacín verde rallado, 1 cucharada de semillas de girasol, 2 cucharadas de agua para agregar a la masa</t>
  </si>
  <si>
    <t xml:space="preserve">To begin making the Rustic Rosemary Garlic Zucchini Bread Recipe, combine spelt bread flour and all purpose flour, yeast, sugar and salt in a large bowl. Mix well to combine.To the flour mixture, add the minced garlic, rosemary, shredded zucchini and sunflower seeds.Add little warm water at a time and knead the dough with hand or using an electric mixer with dough hook attachment.Keep kneading until the flour comes together and the dough is smooth, yet firm - slowly until the dough comes clean from the sides of the bowl.Take care when you add water as there will be moisture in the shredded zucchini as well. Dough should come together well at this point; slightly sticky is fine.Place dough ball in well oiled bowl, turning dough a few times so that dough surfaces are protected by oil.Tightly cover bowl with cling wrap. Place in warm, draft-free area to rise until zucchini bread dough is doubled in size.After dough has doubled, divide the dough in two balls and flatten them just a little bit. Sprinkle some rosemary on the top.Place on baking sheet, cover with plastic wrap again and let rest for the second rise.Minutes before the rise period is over, preheat oven to 190 C or 375 F.Using a sharp knife, make surface cuts on the dough to avoid cracking.Bake at 190 C or 375F for 30 to 40 minutes until the top is a nice golden brown, taking care not to over bake. The bread loaves should sound hollow when tapped on the back side.Once done, remove the Zucchini Bread from the oven and immediately brush with butter. Let the butter melt softening the crust.Allow them to cool completely on a wire rack. Serve the Rustic Rosemary Garlic Zucchini Bread along with Pasta In Roasted Red Pepper Sauce for weekend dinner.
</t>
  </si>
  <si>
    <t>Para comenzar a hacer la Receta de Pan Rústico de Calabacín, Ajo y Romero, combine la harina de espelta y la harina para todo uso, la levadura, el azúcar y la sal en un tazón grande. Mezcle bien para combinar. A la mezcla de harina, agregue el ajo picado, el romero, el calabacín rallado y las semillas de girasol. Agregue un poco de agua tibia a la vez y amase la masa con la mano o usando una batidora eléctrica con accesorio de gancho para masa. Siga amasando hasta que la harina se una y la masa esté suave, pero firme, lentamente hasta que la masa se despegue de los lados del tazón. Tenga cuidado cuando agregue agua, ya que también habrá humedad en el calabacín rallado. La masa debe unirse bien en este punto; ligeramente pegajosa está bien. Coloque la bola de masa en un tazón bien engrasado, girando la masa unas cuantas veces para que las superficies de la masa estén protegidas por el aceite. Cubra bien el tazón con film transparente. Colóquelo en un área cálida y sin corrientes de aire para que suba hasta que la masa de pan de calabacín doble su tamaño. Después de que la masa se haya duplicado, divídala en dos bolas y aplánelas un poco. Espolvoree un poco de romero en la parte superior. Coloque en una bandeja para hornear, cubra con envoltura plástica nuevamente y deje reposar para el segundo levado. Minutos antes de que termine el período de levado, precaliente el horno a 190 C o 375 F. Con un cuchillo afilado, haga cortes superficiales en la masa para evitar que se agriete. Hornee a 190 C o 375 F durante 30 a 40 minutos hasta que la parte superior esté bien dorada, teniendo cuidado de no hornear demasiado. Los panes deben sonar huecos cuando se golpean en la parte posterior. Una vez hecho esto, retire el pan de calabacín del horno y pincele inmediatamente con mantequilla. Deje que la mantequilla se derrita ablandando la corteza. Déjelos enfriar completamente sobre una rejilla de alambre. Sirva el pan rústico de calabacín con ajo y romero junto con pasta en salsa de pimiento rojo asado para la cena del fin de semana.</t>
  </si>
  <si>
    <t>Pour commencer à préparer la recette de pain rustique aux courgettes et à l'ail et au romarin, mélangez la farine à pain d'épeautre et la farine tout usage, la levure, le sucre et le sel dans un grand bol. Bien mélanger. Au mélange de farine, ajoutez l'ail émincé, le romarin, les courgettes râpées et les graines de tournesol. Ajoutez un peu d'eau tiède à la fois et pétrissez la pâte à la main ou à l'aide d'un batteur électrique avec crochet pétrisseur. Continuez à pétrir jusqu'à ce que la farine se rassemble et que la pâte soit lisse, mais ferme - lentement jusqu'à ce que la pâte se détache proprement des parois du bol. Faites attention lorsque vous ajoutez de l'eau car il y aura également de l'humidité dans les courgettes râpées. La pâte doit bien se rassembler à ce stade ; légèrement collante est acceptable. Placez la boule de pâte dans un bol bien huilé, en retournant la pâte plusieurs fois pour que les surfaces de pâte soient protégées par l'huile. Couvrez hermétiquement le bol d'un film alimentaire. Placer dans un endroit chaud et à l'abri des courants d'air pour laisser lever jusqu'à ce que la pâte à pain aux courgettes ait doublé de volume. Une fois que la pâte a doublé, divisez-la en deux boules et aplatissez-les légèrement. Saupoudrer de romarin sur le dessus. Placer sur une plaque à pâtisserie, couvrir à nouveau d'une pellicule plastique et laisser reposer pour la deuxième levée. Quelques minutes avant la fin de la période de levée, préchauffer le four à 190 °C ou 375 °F. À l'aide d'un couteau bien aiguisé, faire des entailles en surface sur la pâte pour éviter les fissures. Cuire au four à 190 °C ou 375 °F pendant 30 à 40 minutes jusqu'à ce que le dessus soit bien doré, en veillant à ne pas trop cuire. Les pains doivent sonner creux lorsqu'on les tape sur le dos. Une fois cuits, retirez le pain aux courgettes du four et badigeonnez-les immédiatement de beurre. Laissez le beurre fondre pour ramollir la croûte. Laissez-les refroidir complètement sur une grille. Servez le pain rustique aux courgettes, à l'ail et au romarin avec des pâtes à la sauce aux poivrons rouges rôtis pour le dîner du week-end.</t>
  </si>
  <si>
    <t>http://www.archanaskitchen.com/rustic-rosemary-garlic-zucchini-bread-recipe</t>
  </si>
  <si>
    <t>Almond Milk Chia Seeds Pudding With Fresh Fruits Recipe</t>
  </si>
  <si>
    <t>Rezept für Mandelmilch-Chiasamen-Pudding mit frischen Früchten</t>
  </si>
  <si>
    <t>Recette de pudding au lait d'amande et aux graines de chia avec des fruits frais</t>
  </si>
  <si>
    <t>Receta de pudín de leche de almendras y semillas de chía con fruta fresca</t>
  </si>
  <si>
    <t>2/3 tasse de graines de chia, 2 tasses de lait d'amande (Badam Milk) - ou de lait entier, 2 cuillères à soupe de raisins secs, 2 cuillères à soupe de noix hachées, 1 cuillère à café d'extrait de vanille, 1/2 cuillère à café de cannelle en poudre (Dalchini), 2 cuillères à café de miel, 1 fruit frais - comme des fraises ou des myrtilles de saison</t>
  </si>
  <si>
    <t>2/3 cup Chia Seeds,2 cup Almond Milk (Badam Milk) - or whole milk,2 tablespoon Raisins,2 tablespoon Walnuts - chopped,1 teaspoon Vanilla Extract,1/2 teaspoon Cinnamon Powder (Dalchini),2 teaspoon Honey,1 Fresh fruits - like strawberries or blueberries that are seasonal</t>
  </si>
  <si>
    <t>2/3 taza de semillas de chía, 2 tazas de leche de almendras (leche de almendras) o leche entera, 2 cucharadas de pasas, 2 cucharadas de nueces picadas, 1 cucharadita de extracto de vainilla, 1/2 cucharadita de canela en polvo (dalchini), 2 cucharaditas de miel, 1 fruta fresca, como fresas o arándanos de temporada.</t>
  </si>
  <si>
    <t xml:space="preserve">To begin making Almond Milk Chia Seeds Pudding With Fresh Fruits Recipe, in a mixing bowl combine, the chia seeds with milk, raisins, walnuts, vanilla essence, cinnamon powder, honey. Fill dessert glass cups with the mixture. Cover them with a cling film and refrigerate overnight.Garnish with raisins and chopped walnuts and fresh seasonal fruits and serve Almond Milk Chia Seeds Pudding With Fresh Fruits.Serve the Almond Milk Chia Seeds Pudding as part of a breakfast meal alongside Poached Eggs Recipe With Arugula Fig Walnut Salad.  
</t>
  </si>
  <si>
    <t>Para empezar a preparar la receta de pudín de semillas de chía con leche de almendras y frutas frescas, en un bol, mezcla las semillas de chía con la leche, las pasas, las nueces, la esencia de vainilla, la canela en polvo y la miel. Llena vasitos de postre con la mezcla. Cúbrelos con film transparente y refrigéralos durante la noche. Decora con pasas, nueces picadas y frutas frescas de temporada y sirve el pudín de semillas de chía con leche de almendras y frutas frescas. Sirve el pudín de semillas de chía con leche de almendras como parte de un desayuno junto con la receta de huevos escalfados con ensalada de rúcula, higos y nueces.</t>
  </si>
  <si>
    <t>Pour commencer la préparation du pudding aux graines de chia et au lait d'amande avec des fruits frais, mélangez dans un saladier les graines de chia avec le lait, les raisins secs, les noix, l'extrait de vanille, la cannelle en poudre et le miel. Remplissez des verrines avec ce mélange. Couvrez-les d'un film alimentaire et laissez-les au réfrigérateur toute la nuit. Garnissez de raisins secs, de noix hachées et de fruits frais de saison. Servez le pudding aux graines de chia et au lait d'amande avec des fruits frais. Servez-le au petit-déjeuner, accompagné d'œufs pochés à la roquette, aux figues et aux noix.</t>
  </si>
  <si>
    <t>http://www.archanaskitchen.com/almond-milk-chia-seeds-pudding-with-fresh-fruits-recipe</t>
  </si>
  <si>
    <t>Decadent Chocolate Truffles Recipe</t>
  </si>
  <si>
    <t>Rezept für dekadente Schokoladentrüffel</t>
  </si>
  <si>
    <t>Recette de truffes au chocolat décadentes</t>
  </si>
  <si>
    <t>Receta de trufas de chocolate decadentes</t>
  </si>
  <si>
    <t>250 grammes de chocolat mi-amer - haché ou râpé, 1/2 tasse de crème à fouetter épaisse, 1/2 cuillère à café de cannelle en poudre (Dalchini), 200 grammes de chocolat noir, 1 cuillère à soupe de beurre - à température ambiante, poudre de cacao - pour saupoudrer</t>
  </si>
  <si>
    <t>250 grams Bitter sweet chocolate - chopped or grated,1/2 cup Heavy whipping cream,1/2 teaspoon Cinnamon Powder (Dalchini),200 grams Dark chocolate,1 tablespoon Butter - at room temperature,Cocoa Powder - for dusting</t>
  </si>
  <si>
    <t>250 gramos de chocolate amargo - picado o rallado, 1/2 taza de crema batida espesa, 1/2 cucharadita de canela en polvo (Dalchini), 200 gramos de chocolate negro, 1 cucharada de mantequilla - a temperatura ambiente, cacao en polvo - para espolvorear</t>
  </si>
  <si>
    <t xml:space="preserve">To begin with Decadent Chocolate Truffles Recipe, add chopped chocolates in a large bowl.Add cream and cinnamon powder in a pan and bring it to a boil. Once the cream has come to boil, pour it over the chocolate.Mix and whisk the mixture until it is smooth and shiny. Line up a plate with butter paper and pour the melted chocolate mixture and refrigerate it for about 2 hours or until it is set.After 2 hours, take a spoonful of truffle mixture and roll it into a small ball. Do this as quickly as possible as heat generated in your palm while rolling will start melting the mixture.Place the rolled truffle balls onto a plate and refrigerate for another couple of hours or put it in a freezer for an hour to chill it completely before coating it with chocolate.The next step is coating. Melt the chocolate either in a double-boiler or in a microwave.Add butter into the chocolate mixture and whisk it well until it is melted. When mixture comes to a warm temperature, dip the truffle balls and place it immediately on the tray lined with butter paper. Repeat the same process for the remains chocolate balls.Chill it for further an hour or you can just roll the truffles in a cocoa powder and chill itServe Decadent Chocolate Truffles To your friends and family during some special occasion at your home.
</t>
  </si>
  <si>
    <t>Para empezar con la receta de Trufas de Chocolate Delicioso, añade el chocolate picado en un bol grande. En una cacerola, añade la nata y la canela en polvo y ponla a hervir. Una vez que la nata hierva, viértela sobre el chocolate. Mezcla y bate hasta que esté suave y brillante. Cubre un plato con papel manteca, vierte la mezcla de chocolate derretido y refrigérala durante unas 2 horas o hasta que cuaje. Después de 2 horas, toma una cucharada de la mezcla de trufa y forma una bolita. Hazlo lo más rápido posible, ya que el calor que se genera en la palma de la mano al enrollarla empezará a derretirla. Coloca las bolitas de trufa enrolladas en un plato y refrigéralas un par de horas más o mételas en el congelador durante una hora para que se enfríen por completo antes de cubrirlas con chocolate. El siguiente paso es el recubrimiento. Derrite el chocolate al baño maría o en el microondas. Añade la mantequilla a la mezcla de chocolate y bate bien hasta que se derrita. Cuando la mezcla esté tibia, sumerge las bolitas de trufa y colócalas inmediatamente en la bandeja forrada con papel manteca. Repite el mismo proceso para las bolitas de chocolate restantes. Enfríalas durante una hora más o simplemente puedes rebozarlas en cacao en polvo y enfriarlas. Sirve deliciosas trufas de chocolate a tus amigos y familiares en alguna ocasión especial en tu casa.</t>
  </si>
  <si>
    <t>Pour commencer la recette des truffes au chocolat décadentes, mettez les chocolats hachés dans un grand bol. Ajoutez la crème et la cannelle en poudre dans une casserole et portez à ébullition. Une fois la crème portée à ébullition, versez-la sur le chocolat. Mélangez et fouettez jusqu'à obtenir une consistance lisse et brillante. Recouvrez une assiette de papier sulfurisé et versez le mélange de chocolat fondu. Placez-le au réfrigérateur pendant environ 2 heures, ou jusqu'à ce qu'il soit pris. Au bout de 2 heures, prenez une cuillerée de mélange de truffes et roulez-la en une petite boule. Faites-le le plus rapidement possible, car la chaleur générée par le roulage dans votre paume commencera à faire fondre le mélange. Placez les boules de truffes roulées sur une assiette et placez-les au réfrigérateur pendant quelques heures ou au congélateur pendant une heure pour les refroidir complètement avant de les enrober de chocolat. L'étape suivante consiste à enrober les boules. Faites fondre le chocolat au bain-marie ou au micro-ondes. Ajoutez le beurre au mélange de chocolat et fouettez bien jusqu'à ce qu'il soit fondu. Lorsque le mélange est chaud, trempez les boules de truffes et déposez-les immédiatement sur la plaque recouverte de papier sulfurisé. Répétez le même processus pour les boules de chocolat restantes. Laissez refroidir pendant une heure supplémentaire ou vous pouvez simplement rouler les truffes dans une poudre de cacao et les refroidir. Servez des truffes au chocolat décadentes à vos amis et à votre famille lors d'une occasion spéciale chez vous.</t>
  </si>
  <si>
    <t>http://www.archanaskitchen.com/decadent-chocolate-truffles-recipe</t>
  </si>
  <si>
    <t>Basil &amp; Cherry Tomato Omelette Recipe</t>
  </si>
  <si>
    <t>Rezept für Omelett mit Basilikum und Kirschtomaten</t>
  </si>
  <si>
    <t>Recette d'omelette au basilic et aux tomates cerises</t>
  </si>
  <si>
    <t>Receta de tortilla de albahaca y tomate cherry</t>
  </si>
  <si>
    <t>2 œufs entiers, 4 feuilles de basilic, 4 tomates cerises coupées en deux, 1/2 cuillère à café de poivre noir en poudre, sel au goût, huile d'olive extra vierge pour arroser</t>
  </si>
  <si>
    <t>2 Whole Eggs,4 Basil leaves,4 Cherry tomatoes - halved,1/2 teaspoon Black pepper powder,Salt - to taste,Extra Virgin Olive Oil - to drizzle</t>
  </si>
  <si>
    <t>2 huevos enteros, 4 hojas de albahaca, 4 tomates cherry cortados por la mitad, 1/2 cucharadita de pimienta negra en polvo, sal al gusto, aceite de oliva virgen extra para rociar</t>
  </si>
  <si>
    <t xml:space="preserve">To begin making Basil &amp; Cherry Tomato Omelette Recipe, tear the fresh basil leaves roughly. Next, cut the cherry tomatoes in half and keep them aside.Crack the eggs into a mixing bowl. Now add salt and pepper into the eggs &amp; beat well with a fork until fully combined.Next place a small non-stick frying pan or skillet on a low heat to warm up.Add 1/2 tablespoon of olive oil to the pan and turn the heat up to high.Add the cherry tomatoes into the heated pan and fry for 1 minute. Turn the heat down to low and sprinkle over the basil leaves. Carefully pour in the eggs, then tilt the pan to spread them out evenly. Using a fork, swirl the eggs around the pan a little.Now pour in the eggs, then tilt the pan to spread them out evenly. Using a fork, swirl the eggs around the pan a little.Cover it for few seconds and then turn off the heat.Serve Basil &amp; Cherry Tomato Omelette Recipe along with Bread Toast Recipe and Apple Almond Date Smoothie Recipe for busy morning breakfast
</t>
  </si>
  <si>
    <t>Para comenzar a hacer la Receta de Tortilla de Albahaca y Tomate Cherry, corta las hojas de albahaca fresca toscamente. Luego, corta los tomates cherry por la mitad y déjalos a un lado. Rompe los huevos en un tazón. Ahora agrega sal y pimienta a los huevos y bate bien con un tenedor hasta que estén completamente combinados. Luego coloca una sartén antiadherente pequeña o una sartén a fuego lento para calentar. Agrega 1/2 cucharada de aceite de oliva a la sartén y sube el fuego a alto. Agrega los tomates cherry a la sartén caliente y fríe durante 1 minuto. Baja el fuego a bajo y espolvorea las hojas de albahaca. Vierte con cuidado los huevos, luego inclina la sartén para esparcirlos uniformemente. Usando un tenedor, gira un poco los huevos alrededor de la sartén. Ahora vierte los huevos, luego inclina la sartén para esparcirlos uniformemente. Con un tenedor, remueve un poco los huevos en la sartén. Cubre la sartén unos segundos y luego apaga el fuego. Sirve la receta de tortilla de albahaca y tomate cherry junto con la receta de tostadas de pan y la receta de batido de manzana, almendras y dátiles para un desayuno matutino intenso.</t>
  </si>
  <si>
    <t>Pour commencer à préparer la recette d'omelette au basilic et aux tomates cerises, déchirez grossièrement les feuilles de basilic frais. Ensuite, coupez les tomates cerises en deux et réservez-les. Cassez les œufs dans un saladier. Ajoutez maintenant du sel et du poivre aux œufs et battez bien avec une fourchette jusqu'à ce que le tout soit bien mélangé. Ensuite, placez une petite poêle ou une poêle antiadhésive sur feu doux pour la réchauffer. Ajoutez 1/2 cuillère à soupe d'huile d'olive dans la poêle et augmentez le feu à vif. Ajoutez les tomates cerises dans la poêle chauffée et faites-les frire pendant 1 minute. Baissez le feu à doux et parsemez de feuilles de basilic. Versez délicatement les œufs, puis inclinez la poêle pour les répartir uniformément. À l'aide d'une fourchette, faites tourner légèrement les œufs dans la poêle. Versez maintenant les œufs, puis inclinez la poêle pour les répartir uniformément. À l'aide d'une fourchette, faites tourner légèrement les œufs dans la poêle. Couvrez pendant quelques secondes, puis éteignez le feu. Servez la recette d'omelette au basilic et aux tomates cerises avec la recette de pain grillé et la recette de smoothie aux pommes, aux amandes et aux dattes pour un petit-déjeuner matinal chargé.</t>
  </si>
  <si>
    <t>https://www.archanaskitchen.com/basil-cherry-tomato-omelette-recipe</t>
  </si>
  <si>
    <t>Shrewsbury Cookies Recipe (Butter Cookies)</t>
  </si>
  <si>
    <t>Rezept für Shrewsbury-Kekse (Butterkekse)</t>
  </si>
  <si>
    <t>Recette de biscuits Shrewsbury (biscuits au beurre)</t>
  </si>
  <si>
    <t>Receta de galletas Shrewsbury (de mantequilla)</t>
  </si>
  <si>
    <t>2 tasses de farine tout usage (Maida), 80 grammes de beurre (non salé), 1/2 tasse de sucre en poudre, 1 œuf entier, 3 cuillères à soupe de lait, 1/4 cuillère à soupe de bicarbonate de soude, sel - une pincée</t>
  </si>
  <si>
    <t>2 cup All Purpose Flour (Maida),80 grams Butter (unsalted),1/2 cup Sugar - powdered,1 Whole Eggs,3 tablespoons Milk,1/4 tablespoon Baking soda,Salt - a pinch</t>
  </si>
  <si>
    <t>2 tazas de harina para todo uso (Maida), 80 gramos de mantequilla (sin sal), 1/2 taza de azúcar en polvo, 1 huevo entero, 3 cucharadas de leche, 1/4 cucharada de bicarbonato de sodio, sal - una pizca</t>
  </si>
  <si>
    <t xml:space="preserve">To begin making the Shrewsbury Cookies recipe, sieve all purpose flour in a mixing bowl. Add salt and baking soda in the same bowl.Now take another mixing bowl, add unsalted butter and powdered sugar. Beat them together properly using a hand mixer.Add egg and beat again till the mixture gets soft and smooth. Once it is done, add the above dry mixture to egg, butter and sugar mixture.Add milk to the mixture and mix it with a spatula.Transfer the mixture onto a floured board and knead until smooth.Roll out the dough and cut cookies into 1/2 inch round shape using a cookie cutter. Place the roundels on a parchment paper on baking sheet and bake them in a preheated oven for 20 minutes or till the edges turn golden.Let them cool on a wire rack. Your delicious Shrewsbury cookies are ready to serve.Serve Shrewsbury Cookies along with Masala Tea and Spicy Chutney Sandwich With Mayo for your tea party break or you can also pack it in your kids snack box.
</t>
  </si>
  <si>
    <t xml:space="preserve">Para comenzar a hacer la receta de Galletas Shrewsbury, tamice la harina para todo uso en un tazón. Agregue sal y bicarbonato de sodio en el mismo tazón. Ahora tome otro tazón, agregue mantequilla sin sal y azúcar en polvo. Bátalos juntos bien con una batidora de mano. Agregue el huevo y bata nuevamente hasta que la mezcla esté suave y tersa. Una vez hecho esto, agregue la mezcla seca anterior a la mezcla de huevo, mantequilla y azúcar. Agregue leche a la mezcla y mézclela con una espátula. Transfiera la mezcla a una tabla enharinada y amase hasta que esté suave. Extienda la masa y corte las galletas en forma redonda de 1/2 pulgada con un cortador de galletas. Coloque los círculos en un papel pergamino en una bandeja para hornear y hornéelos en un horno precalentado durante 20 minutos o hasta que los bordes se doren. Déjelos enfriar sobre una rejilla de alambre. Sus deliciosas galletas Shrewsbury están listas para servir. Sirva las Galletas Shrewsbury junto con el Té Masala y el Sándwich de Chutney Picante con Mayonesa para la pausa del té o también puede empacarlo en la caja de bocadillos de sus hijos.
</t>
  </si>
  <si>
    <t xml:space="preserve">Pour commencer à préparer la recette des biscuits Shrewsbury, tamisez la farine tout usage dans un saladier. Ajoutez le sel et le bicarbonate de soude dans le même saladier. Prenez ensuite un autre saladier, ajoutez le beurre non salé et le sucre glace. Battez-les bien à l'aide d'un batteur à main. Ajoutez l'œuf et battez à nouveau jusqu'à ce que le mélange devienne mou et lisse. Une fois terminé, ajoutez le mélange sec ci-dessus au mélange d'œufs, de beurre et de sucre. Ajoutez le lait au mélange et mélangez avec une spatule. Transférez le mélange sur une planche farinée et pétrissez jusqu'à obtenir une consistance lisse. Abaissez la pâte et découpez les biscuits en forme de rond de 1,25 cm à l'aide d'un emporte-pièce. Placez les rondelles sur une plaque à pâtisserie en papier sulfurisé et faites-les cuire au four préchauffé pendant 20 minutes ou jusqu'à ce que les bords soient dorés. Laissez-les refroidir sur une grille. Vos délicieux biscuits Shrewsbury sont prêts à être servis. Servez les biscuits Shrewsbury avec du thé Masala et un sandwich au chutney épicé avec mayonnaise pour votre pause goûter ou vous pouvez également les emballer dans la boîte à goûter de vos enfants.
</t>
  </si>
  <si>
    <t>http://www.archanaskitchen.com/shrewsbury-cookies-recipe-butter-cookies</t>
  </si>
  <si>
    <t>Watermelon Ice Popsicles Recipe</t>
  </si>
  <si>
    <t>Rezept für Wassermelonen-Eis am Stiel</t>
  </si>
  <si>
    <t>Recette de sucettes glacées à la pastèque</t>
  </si>
  <si>
    <t>Receta de paleta de sandía</t>
  </si>
  <si>
    <t>1 pastèque - coupée en dés (retirer les graines), 3 cuillères à soupe de sucre - (ajuster), 3 cuillères à café de jus de citron</t>
  </si>
  <si>
    <t>1 Watermelon - cubed (remove seeds),3 tablespoons Sugar - (adjust),3 teaspoons Lemon juice</t>
  </si>
  <si>
    <t>1 sandía cortada en cubos (sin semillas), 3 cucharadas de azúcar (ajustar), 3 cucharaditas de jugo de limón</t>
  </si>
  <si>
    <t xml:space="preserve">To prepare the Watermelon Popsicles, combine the watermelon cubes and sugar in a blender. Blend together to a consistency of a thick juice and ensure there are no lumps. Sieve the liquid mixture if required. Add the lemon juice and stir to combine.Pour the watermelon juice into the popsicle molds and freeze until firm. Once frozen, to unmold the ice popsicles, dip the mold into the lukewarm water for the few seconds for easy release. Enjoy the Watermelon Popsicles for hot summers and the kids are sure to enjoy these as treats after their play.
</t>
  </si>
  <si>
    <t>Para preparar las paletas de sandía, combine los cubos de sandía y el azúcar en una licuadora. Licúe hasta obtener una consistencia de jugo espeso, asegurándose de que no queden grumos. Si es necesario, cuele la mezcla líquida. Agregue el jugo de limón y revuelva para combinar. Vierta el jugo de sandía en los moldes para paletas y congélelos hasta que estén firmes. Una vez congelados, para desmoldar las paletas, sumerja el molde en agua tibia durante unos segundos para facilitar su desmoldado. Disfrute de las paletas de sandía durante los veranos calurosos; los niños seguro que las disfrutarán como golosinas después de jugar.</t>
  </si>
  <si>
    <t>Pour préparer les glaces à la pastèque, mélangez les cubes de pastèque et le sucre dans un blender. Mixez jusqu'à obtenir un jus épais et sans grumeaux. Tamisez le mélange liquide si nécessaire. Ajoutez le jus de citron et mélangez. Versez le jus de pastèque dans les moules et congelez jusqu'à ce que le mélange soit ferme. Une fois congelés, pour démouler les glaces, plongez le moule dans l'eau tiède pendant quelques secondes pour faciliter le démoulage. Profitez des glaces à la pastèque pendant les étés chauds ; les enfants les apprécieront certainement après leurs jeux.</t>
  </si>
  <si>
    <t>http://www.archanaskitchen.com/watermelon-ice-popsicles-recipe</t>
  </si>
  <si>
    <t>Grilled Pineapple and Chicken Salad Recipe- Tangy Summer Salad</t>
  </si>
  <si>
    <t>Rezept für gegrillten Ananas-Hähnchen-Salat – Würziger Sommersalat</t>
  </si>
  <si>
    <t>Recette de salade de poulet grillé à l'ananas – Salade d'été épicée</t>
  </si>
  <si>
    <t>Receta de ensalada de pollo a la parrilla con piña: ensalada picante de verano</t>
  </si>
  <si>
    <t>1 tasse de poitrines de poulet hachées, 2 tasses d'ananas coupés en lanières de 2,5 cm, 1 tasse de feuilles de roquette, 2 piments rouges thaïlandais finement hachés, 2 cuillères à café d'huile d'olive extra vierge, 1 cuillère à café d'huile d'olive extra vierge, 2 gousses d'ail écrasées, 1 cuillère à café de miel, 1/4 cuillère à café de Tabasco Original - Sauce piquante, sel et poivre au goût</t>
  </si>
  <si>
    <t>1 cup Chicken breasts - chopped,2 cups Pineapple - cut into 1 inch strips,1 cup Arugula leaves,2 Thai Red chilli (Birds Eye Chilli) - finely chopped,2 teaspoons Extra Virgin Olive Oil,1 teaspoon Extra Virgin Olive Oil,2 cloves Garlic - crushed,1 teaspoon Honey,1/4 teaspoon Tabasco Original - Hot Sauce,Salt and Pepper - to taste</t>
  </si>
  <si>
    <t>1 taza de pechugas de pollo picadas, 2 tazas de piña cortada en tiras de 1 pulgada, 1 taza de hojas de rúcula, 2 chiles rojos tailandeses (chile Birds Eye) finamente picados, 2 cucharaditas de aceite de oliva virgen extra, 1 cucharadita de aceite de oliva virgen extra, 2 dientes de ajo machacados, 1 cucharadita de miel, 1/4 cucharadita de salsa picante Tabasco Original, sal y pimienta al gusto</t>
  </si>
  <si>
    <t xml:space="preserve">To begin making the Grilled Pineapple And Chicken Salad Recipe, first prep all the ingredients and keep them ready.Heat oil in a grill pan on medium heat.  Add a teaspoon of olive oil and roast the chicken on medium heat. Sprinkle some salt and cook until the chicken is done. This will take about  8-10 minutes.Once the chicken is cooked, transfer it to a bowl and set aside. Alternatively, if you do not have a grill pan, you can pan roast the chicken in a skillet. In the same grill pan, heat another teaspoon of olive oil on high heat, and roast the pineapple pieces for 4-5 minutes, until lightly browned and the grill marks appear. Once done, transfer it to the same bowl as the chicken. Into this bowl of chicken and pineapple, add the bird's eye chilies and mix well.For the DressingIn another small mixing bowl, combine olive oil, garlic, honey, tabasco sauce, salt and pepper. Whisk them all together and pour it over the chicken and pineapple. Allow the chicken and pineapple to marinate in the dressing for half an hour.When you are ready to serve, toss in the Arugula leaves along with the Grilled Pineapple and ChickenServe the Grilled Pineapple and Chicken Salad along with Vegetarian Mexican Tacos with Baked Beans and Mexican Bean Enchiladas for a complete meal. 
</t>
  </si>
  <si>
    <t>Para comenzar a hacer la Receta de Ensalada de Piña y Pollo a la Parrilla, primero prepare todos los ingredientes y téngalos listos. Caliente el aceite en una sartén para parrilla a fuego medio. Agregue una cucharadita de aceite de oliva y ase el pollo a fuego medio. Espolvoree un poco de sal y cocine hasta que el pollo esté listo. Esto tomará alrededor de 8-10 minutos. Una vez que el pollo esté cocido, transfiéralo a un tazón y déjelo a un lado. Como alternativa, si no tiene una sartén para parrilla, puede asar el pollo en una sartén. En la misma sartén para parrilla, caliente otra cucharadita de aceite de oliva a fuego alto y ase los trozos de piña durante 4-5 minutos, hasta que estén ligeramente dorados y aparezcan las marcas de la parrilla. Una vez hecho esto, transfiéralo al mismo tazón que el pollo. En este tazón de pollo y piña, agregue los chiles ojo de pájaro y mezcle bien. Para el aderezo En otro tazón pequeño, combine el aceite de oliva, el ajo, la miel, la salsa tabasco, la sal y la pimienta. Bátalos todos juntos y viértalos sobre el pollo y la piña. Deje marinar el pollo y la piña en el aderezo durante media hora. Cuando esté listo para servir, agregue las hojas de rúcula junto con la piña y el pollo a la parrilla. Sirva la ensalada de piña y pollo a la parrilla junto con los tacos mexicanos vegetarianos con frijoles horneados y las enchiladas mexicanas de frijoles para una comida completa.</t>
  </si>
  <si>
    <t>Pour commencer à préparer la recette de salade d'ananas et de poulet grillés, préparez d'abord tous les ingrédients et gardez-les prêts. Faites chauffer l'huile dans une poêle à griller à feu moyen. Ajoutez une cuillère à café d'huile d'olive et faites rôtir le poulet à feu moyen. Saupoudrez de sel et faites cuire jusqu'à ce que le poulet soit cuit. Cela prendra environ 8 à 10 minutes. Une fois le poulet cuit, transférez-le dans un bol et réservez. Alternativement, si vous n'avez pas de poêle à griller, vous pouvez faire rôtir le poulet à la poêle. Dans la même poêle à griller, faites chauffer une autre cuillère à café d'huile d'olive à feu vif et faites rôtir les morceaux d'ananas pendant 4 à 5 minutes, jusqu'à ce qu'ils soient légèrement dorés et que les marques du gril apparaissent. Une fois terminé, transférez-le dans le même bol que le poulet. Dans ce bol de poulet et d'ananas, ajoutez les piments oiseau et mélangez bien. Pour la vinaigrette Dans un autre petit bol, mélangez l'huile d'olive, l'ail, le miel, la sauce tabasco, le sel et le poivre. Fouettez le tout et versez-le sur le poulet et l'ananas. Laissez mariner le poulet et l'ananas dans la vinaigrette pendant une demi-heure. Lorsque vous êtes prêt à servir, ajoutez les feuilles de roquette avec l'ananas grillé et le poulet. Servez la salade d'ananas grillé et de poulet avec des tacos mexicains végétariens avec des haricots blancs au four et des enchiladas mexicaines aux haricots pour un repas complet.</t>
  </si>
  <si>
    <t>http://www.archanaskitchen.com/grilled-pineapple-and-chicken-salad-recipe-tangy-summer-salad</t>
  </si>
  <si>
    <t>Low Fat Apple Crumble with Muesli Recipe</t>
  </si>
  <si>
    <t>Rezept für fettarmen Apfel-Crumble mit Müsli</t>
  </si>
  <si>
    <t>Recette de crumble aux pommes allégé au muesli</t>
  </si>
  <si>
    <t>Receta de crumble ligero de manzana con muesli</t>
  </si>
  <si>
    <t>1 tasse de pommes hachées, 1/2 tasse de lait, 2 cuillères à soupe de farine de maïs, 1 cuillère à café de poudre de muscade, 1 pincée de sel, 1 tasse de muesli, 1/2 tasse de farine de blé entier, 2 cuillères à soupe de beurre fondu</t>
  </si>
  <si>
    <t>1 cup Apples - chopped,1/2 cup Milk,2 tablespoon Corn flour,1 teaspoon Nutmeg powder,1 pinch Salt,1 cup Muesli,1/2 cup Whole Wheat Flour,2 tablespoon Butter - melted</t>
  </si>
  <si>
    <t>1 taza de manzanas picadas, 1/2 taza de leche, 2 cucharadas de harina de maíz, 1 cucharadita de nuez moscada en polvo, 1 pizca de sal, 1 taza de muesli, 1/2 taza de harina integral, 2 cucharadas de mantequilla derretida</t>
  </si>
  <si>
    <t xml:space="preserve">We begin making the Low Fat Apple Crumble with Muesli Recipe Pre heat the oven to 180 degree Celsius for 10 minutes.Mix the corn flour with milk and adding it to the chopped apples. Sprinkle the nutmeg powder and salt and toss it over. Keep it aside.To make the crumble, add the muesli, wheat and butter and crumble it with your hand till it is a coarse mixture.Add the apple mixture on to a ceramic cup, then top it up with the muesli crumble. Bake the apple crumble for about 25 minutes. Serve the Low Fat Apple Crumble with Muesli Recipe as a dessert to finish of your meal after Vegetarian Mexican Quesadilla Recipe.
</t>
  </si>
  <si>
    <t>Comenzamos haciendo la Receta de Crumble de Manzana Bajo en Grasa con Muesli Precalienta el horno a 180 grados Celsius durante 10 minutos. Mezcla la harina de maíz con leche y añádela a las manzanas picadas. Espolvorea la nuez moscada en polvo y la sal y revuelve. Reserva. Para hacer el crumble, agrega el muesli, el trigo y la mantequilla y desmenúzalo con la mano hasta que quede una mezcla gruesa. Agrega la mezcla de manzana a una taza de cerámica, luego cúbrela con el crumble de muesli. Hornea el crumble de manzana durante unos 25 minutos. Sirve la Receta de Crumble de Manzana Bajo en Grasa con Muesli como postre para terminar tu comida después de la Receta de Quesadilla Mexicana Vegetariana.</t>
  </si>
  <si>
    <t>Nous commençons à préparer la recette de crumble aux pommes allégé au muesli. Préchauffez le four à 180 degrés Celsius pendant 10 minutes. Mélangez la farine de maïs avec le lait et ajoutez-la aux pommes hachées. Saupoudrez de poudre de muscade et de sel et mélangez. Réservez. Pour faire le crumble, ajoutez le muesli, le blé et le beurre et émiettez-le à la main jusqu'à obtenir un mélange grossier. Versez le mélange de pommes dans une tasse en céramique, puis recouvrez-le de crumble au muesli. Faites cuire le crumble aux pommes pendant environ 25 minutes. Servez la recette de crumble aux pommes allégé au muesli en dessert pour terminer votre repas après la recette de quesadilla mexicaine végétarienne.</t>
  </si>
  <si>
    <t>https://www.archanaskitchen.com/low-fat-apple-crumble-with-muesli-recipe</t>
  </si>
  <si>
    <t>Fresh Fig Compote Recipe For Desserts</t>
  </si>
  <si>
    <t>Rezept für frisches Feigenkompott für Desserts</t>
  </si>
  <si>
    <t>Recette de compote de figues fraîches pour desserts</t>
  </si>
  <si>
    <t>Receta de compota de higos frescos para postres</t>
  </si>
  <si>
    <t>200 grammes de figues fraîches - coupées en quartiers, 1 cuillère à soupe de beurre, 1/4 cuillère à café de noix de muscade, 2 cuillères à soupe de cassonade (sucre Demerara), 1 cuillère à soupe de miel</t>
  </si>
  <si>
    <t>200 grams Fresh Figs - cut into quarters,1 tablespoon Butter,1/4 teaspoon Nutmeg,2 tablespoons Brown Sugar (Demerara Sugar),1 tablespoon Honey</t>
  </si>
  <si>
    <t>200 gramos de higos frescos cortados en cuartos, 1 cucharada de mantequilla, 1/4 de cucharadita de nuez moscada, 2 cucharadas de azúcar morena (azúcar Demerara), 1 cucharada de miel</t>
  </si>
  <si>
    <t xml:space="preserve">To begin making the Fresh Fig Compote Recipe, heat a small skillet on medium-low heat, add butter. Once the butter has melted, add the figs. To the skillet add the demerara sugar, honey and nutmeg powder. Give it a good stir and cook until the figs, lose shape and become slightly mushy. Once the Fig Compote has turned mushy, turn off the flame and allow the compote to cool. Transfer the cooked Fresh Fig Compote into a sterilised jar and store it in the refrigerator for 3-4 days and use as desired.Serve Fresh Fig Compote with some No Bake Steamed Bread Pudding Recipe for a delicious warm dessert with a scoop of vanilla ice cream. 
</t>
  </si>
  <si>
    <t>Para empezar a preparar la receta de compota de higos frescos, calienta una sartén pequeña a fuego medio-bajo y añade mantequilla. Una vez derretida la mantequilla, añade los higos. Añade a la sartén el azúcar demerara, la miel y la nuez moscada en polvo. Remueve bien y cocina hasta que los higos pierdan su forma y se ablanden ligeramente. Una vez que la compota de higos se haya ablandado, apaga el fuego y deja que se enfríe. Transfiere la compota de higos frescos cocida a un frasco esterilizado y guárdala en el refrigerador durante 3 o 4 días; úsala como desees. Sirve la compota de higos frescos con un poco de budín de pan al vapor sin horno para un delicioso postre caliente con una bola de helado de vainilla.</t>
  </si>
  <si>
    <t>Pour commencer à préparer la recette de compote de figues fraîches, faites chauffer une petite poêle à feu moyen-doux et ajoutez le beurre. Une fois le beurre fondu, ajoutez les figues. Dans la poêle, ajoutez le sucre demerara, le miel et la poudre de muscade. Remuez bien et laissez cuire jusqu'à ce que les figues se déforment et deviennent légèrement molles. Une fois la compote de figues molles, éteignez le feu et laissez-la refroidir. Transférez la compote de figues fraîches cuite dans un bocal stérilisé et conservez-la au réfrigérateur pendant 3 à 4 jours. Utilisez-la comme vous le souhaitez. Servez la compote de figues fraîches avec du pouding au pain vapeur sans cuisson pour un délicieux dessert chaud accompagné d'une boule de glace à la vanille.</t>
  </si>
  <si>
    <t>https://www.archanaskitchen.com/fresh-fig-compote-recipe-for-desserts</t>
  </si>
  <si>
    <t>Stuffed Cabbage Rolls Recipe</t>
  </si>
  <si>
    <t>Rezept für gefüllte Kohlrouladen</t>
  </si>
  <si>
    <t>Recette de rouleaux de chou farcis</t>
  </si>
  <si>
    <t>Receta de rollitos de col rellenos</t>
  </si>
  <si>
    <t>1 chou (Patta Gobi/Muttaikose) - feuilles, 1/2 tasse de riz cuit, 6 champignons de Paris - finement hachés, 1 carotte (Gajjar) - râpée, 1 oignon - finement haché, 3 gousses d'ail - hachées, 1/2 cuillère à café de poudre de poivre noir - écrasé, 2 cuillères à café d'herbes mélangées (séchées), 1 cuillère à soupe d'huile de tournesol, sel - au goût, 3 tomates - blanchies, 1 oignon - finement haché, 2 gousses d'ail - hachées, 1/2 cuillère à café de poudre de poivre noir - écrasé, 1/4 cuillère à café de poudre de piment rouge, 2 cuillères à café d'huile de tournesol, 1 pincée de sucre, sel - au goût</t>
  </si>
  <si>
    <t>1 Cabbage (Patta Gobi/ Muttaikose) - leaves,1/2 cup Cooked rice,6 Button mushrooms - finely chopped,1 Carrot (Gajjar) - grated,1 Onion - finely chopped,3 cloves Garlic - minced,1/2 teaspoon Black pepper powder - crushed,2 teaspoon Mixed Herbs (Dried),1 tablespoon Sunflower Oil,Salt - to taste,3 Tomatoes - blanched,1 Onion - finely chopped,2 cloves Garlic - minced,1/2 teaspoon Black pepper powder - crushed,1/4 teaspoon Red Chilli powder,2 teaspoons Sunflower Oil,1 Pinch Sugar,Salt - to taste</t>
  </si>
  <si>
    <t>1 repollo (Patta Gobi/Muttaikose) - hojas, 1/2 taza de arroz cocido, 6 champiñones - finamente picados, 1 zanahoria (Gajjar) - rallada, 1 cebolla - finamente picada, 3 dientes de ajo - picados, 1/2 cucharadita de pimienta negra en polvo - triturada, 2 cucharaditas de hierbas mixtas (secas), 1 cucharada de aceite de girasol, sal - al gusto, 3 tomates - blanqueados, 1 cebolla - finamente picada, 2 dientes de ajo - picados, 1/2 cucharadita de pimienta negra en polvo - triturada, 1/4 cucharadita de chile rojo en polvo, 2 cucharaditas de aceite de girasol, 1 pizca de azúcar, sal - al gusto</t>
  </si>
  <si>
    <t xml:space="preserve">To begin making Stuffed Cabbage Rolls Recipe, first make the sauce.Heat oil in a saucepan.Add garlic and onion and sauté till the onion becomes translucent.Add crushed tomatoes, salt, sugar, pepper or chilli powder and simmer for 4-5 minutes.Add little water if required.Take it off the heat and keep aside till required.To make the cabbage rolls: Blanch the cabbage leaves in boiling salted water for 6-7 minutes, till they are just soft and easy to roll. Do not cook them through.Drain water and place leaves on a kitchen towel to soak off the excess moisture.In a pan, heat oil.Add garlic and onion and sauté till the onion becomes translucent.Add the carrots and mushrooms. Saute for a minute.Add rice, salt, herbs, pepper and stir.Take it off the heat.Place one cabbage leaf on the work surface.With a sharp knife cut out the thick part of the vein.Add about a tablespoon and half of the rice stuffing in the center of the bottom part of the leaf.Starting with the stem end, roll the leaf up tightly, tucking in the sides as you roll.Repeat and stuff all the other leaves in a similar way.Prepare a steamer.Place the cabbage rolls in a Steamer seam side down.Steam for about 12-15 minutes or till the leaves are cooked through.To serve: Spread some tomato sauce on a serving dish.Place the cabbage rolls on it.Spread some sauce over each roll.Garnish with herbs and serve Stuffed Cabbage Rolls Recipe along with World main course recipes for a cozy weekend dinner. You can also serve these stuffed cabbage rolls with a crusty bread to side for a light meals on busy weekdays.
</t>
  </si>
  <si>
    <t xml:space="preserve">Para preparar la receta de Rollitos de Col Rellenos, primero prepare la salsa. Caliente el aceite en una cacerola. Agregue el ajo y la cebolla y sofría hasta que la cebolla esté translúcida. Añada tomate triturado, sal, azúcar, pimienta o chile en polvo y cocine a fuego lento durante 4-5 minutos. Añada un poco de agua si es necesario. Retire del fuego y reserve hasta que se necesite. Para preparar los rollitos de col: Escalde las hojas de col en agua hirviendo con sal durante 6-7 minutos, hasta que estén suaves y fáciles de enrollar. No las cocine completamente. Escurra el agua y coloque las hojas sobre un paño de cocina para absorber el exceso de humedad. En una cacerola, caliente el aceite. Agregue el ajo y la cebolla y sofría hasta que la cebolla esté translúcida. Agregue las zanahorias y los champiñones. Saltee durante un minuto. Agregue arroz, sal, hierbas, pimienta y revuelva. Retire del fuego. Coloque una hoja de col en la superficie de trabajo. Con un cuchillo afilado corte la parte gruesa de la vena. Agregue aproximadamente una cucharada y media del relleno de arroz en el centro de la parte inferior de la hoja. Comenzando con el extremo del tallo, enrolle la hoja firmemente, metiendo los lados mientras enrolla. Repita y rellene todas las demás hojas de manera similar. Prepare una vaporera. Coloque los rollitos de col en una vaporera con la costura hacia abajo. Cocine al vapor durante unos 12-15 minutos o hasta que las hojas estén bien cocidas. Para servir: Unte un poco de salsa de tomate en una fuente para servir. Coloque los rollitos de col encima. Unte un poco de salsa sobre cada rollo. Decore con hierbas y sirva la Receta de Rollitos de Col Rellenos junto con recetas de platos principales del mundo para una acogedora cena de fin de semana. También puede servir estos rollitos de col rellenos con pan crujiente como acompañamiento para comidas ligeras en días laborables ocupados.
</t>
  </si>
  <si>
    <t>Pour commencer à préparer la recette des rouleaux de chou farcis, préparez d'abord la sauce. Faites chauffer l'huile dans une casserole. Ajoutez l'ail et l'oignon et faites revenir jusqu'à ce que l'oignon devienne translucide. Ajoutez les tomates concassées, le sel, le sucre, le poivre ou le piment en poudre et laissez mijoter 4 à 5 minutes. Ajoutez un peu d'eau si nécessaire. Retirez du feu et réservez jusqu'à utilisation. Pour préparer les rouleaux de chou : Blanchissez les feuilles de chou dans de l'eau bouillante salée pendant 6 à 7 minutes, jusqu'à ce qu'elles soient tendres et faciles à rouler. Ne les faites pas cuire à cœur. Égouttez l'eau et placez les feuilles sur un torchon pour absorber l'excès d'humidité. Dans une casserole, faites chauffer l'huile. Ajoutez l'ail et l'oignon et faites revenir jusqu'à ce que l'oignon devienne translucide. Ajoutez les carottes et les champignons. Faire sauter pendant une minute. Ajouter le riz, le sel, les herbes, le poivre et remuer. Retirer du feu. Placer une feuille de chou sur le plan de travail. À l'aide d'un couteau bien aiguisé, découper la partie épaisse de la veine. Ajouter environ une cuillère à soupe et demie de farce de riz au centre de la partie inférieure de la feuille. En commençant par l'extrémité de la tige, enrouler la feuille fermement, en rentrant les côtés au fur et à mesure que vous roulez. Répéter et farcir toutes les autres feuilles de la même manière. Préparer un cuiseur vapeur. Placer les rouleaux de chou dans un cuiseur vapeur, joint vers le bas. Cuire à la vapeur pendant environ 12 à 15 minutes ou jusqu'à ce que les feuilles soient bien cuites. Pour servir : Étaler un peu de sauce tomate sur un plat de service. Déposer les rouleaux de chou dessus. Étaler un peu de sauce sur chaque rouleau. Garnir d'herbes et servir la recette de rouleaux de chou farcis avec des recettes de plats principaux du monde pour un dîner de week-end chaleureux. Vous pouvez également servir ces rouleaux de chou farcis avec du pain croustillant en accompagnement pour un repas léger les jours de semaine chargés.</t>
  </si>
  <si>
    <t>http://www.archanaskitchen.com/stuffed-cabbage-rolls-recipe</t>
  </si>
  <si>
    <t>Sun Dried Tomato, Sprouts And Cream Cheese Bagel Sandwich Recipe</t>
  </si>
  <si>
    <t>Rezept für ein Bagel-Sandwich mit sonnengetrockneten Tomaten, Sprossen und Frischkäse</t>
  </si>
  <si>
    <t>Recette de sandwich bagel aux tomates séchées, pousses et fromage à la crème</t>
  </si>
  <si>
    <t>Receta de sándwich de bagel con tomates secados al sol, brotes y queso crema</t>
  </si>
  <si>
    <t>8 cuillères à soupe de fromage à la crème Britannia - ramolli, 1/3 tasse de germes de soja, 5 tomates séchées au soleil - finement hachées, 2 cuillères à café de feuilles de persil - séchées, 2 figues séchées - finement hachées, 2 cuillères à café de jus de citron, 1 pincée de sel - au goût, 4 bagels - grillés</t>
  </si>
  <si>
    <t>8 tablespoon Britannia Cream Cheese - softened,1/3 cup Bean Sprouts,5 Sun Dried Tomatoes - finely chopped,2 teaspoon Parsley leaves - dried,2 Dried Figs - finely chopped,2 teaspoon Lemon juice,1 pinch Salt - to taste,4 Bagel - toasted</t>
  </si>
  <si>
    <t>8 cucharadas de queso crema Britannia - ablandado, 1/3 taza de brotes de soja, 5 tomates secados al sol - finamente picados, 2 cucharaditas de hojas de perejil - secas, 2 higos secos - finamente picados, 2 cucharaditas de jugo de limón, 1 pizca de sal - al gusto, 4 bagels - tostados</t>
  </si>
  <si>
    <t xml:space="preserve">To begin making the Sun Dried Tomato, Sprouts And Cream Cheese Bagel Sandwich Recipe, first add cream cheese, bean sprouts, chopped dried tomatoes, parsley, salt, lemon juice and combine using a fork, in a mixing bowl.Slice the bagel down the middle and toast it.Separate the two halves of the toasted bagel and spread one heaped tablespoon of prepared mixture on the bottom slice. Cover with the top bagel and serve immediately.Serve Sun Dried Tomato, Sprouts And Cream Cheese Bagel Sandwich Recipe along with Carrot Pineapple Orange Juice for a healthy breakfast.
</t>
  </si>
  <si>
    <t>Para preparar el Sándwich de Bagel con Tomate Seco, Brotes y Queso Crema, primero agrega queso crema, brotes de soja, tomates secos picados, perejil, sal, jugo de limón y mezcla con un tenedor en un tazón. Corta el bagel por la mitad y tuéstalo. Separa las dos mitades del bagel tostado y unta una cucharada colmada de la mezcla preparada en la rebanada inferior. Cubre con el bagel superior y sirve inmediatamente. Sirve el Sándwich de Bagel con Tomate Seco, Brotes y Queso Crema junto con jugo de naranja, piña y zanahoria para un desayuno saludable.</t>
  </si>
  <si>
    <t>Pour commencer à préparer le sandwich bagel aux tomates séchées, aux germes et au fromage frais, ajoutez d'abord le fromage frais, les germes de soja, les tomates séchées hachées, le persil, le sel et le jus de citron, puis mélangez à l'aide d'une fourchette dans un saladier. Coupez le bagel en deux et faites-le griller. Séparez les deux moitiés du bagel grillé et étalez une cuillère à soupe bombée du mélange préparé sur la tranche inférieure. Recouvrez avec le bagel supérieur et servez immédiatement. Servez le sandwich bagel aux tomates séchées, aux germes et au fromage frais avec du jus de carotte, d'ananas et d'orange pour un petit-déjeuner sain.</t>
  </si>
  <si>
    <t>http://www.archanaskitchen.com/sun-dried-tomato-raw-sprouts-and-cream-cheese-bagel-sandwich-recipe</t>
  </si>
  <si>
    <t>Caramelized Coconut Cake Recipe</t>
  </si>
  <si>
    <t>Rezept für karamellisierten Kokosnusskuchen</t>
  </si>
  <si>
    <t>Recette de gâteau à la noix de coco caramélisée</t>
  </si>
  <si>
    <t>Receta de pastel de coco caramelizado</t>
  </si>
  <si>
    <t>1/2 tasse de farine de blé entier, 1/2 tasse de farine tout usage (Maida), 1 cuillère à café de levure chimique, 1/4 cuillère à café de bicarbonate de soude, 1 tasse de sucre en poudre (divisé en deux portions égales), 1/2 tasse de lait de coco à température ambiante, 1/3 tasse d'huile de tournesol, 2 œufs entiers à température ambiante, 1 tasse de noix de coco fraîche râpée, 1/2 cuillère à café d'extrait de vanille, 1/4 cuillère à café de sel, 2 cuillères à soupe d'eau, 1 cuillère à soupe de beurre</t>
  </si>
  <si>
    <t>1/2 cup Whole Wheat Flour,1/2 cup All Purpose Flour (Maida),1 teaspoon Baking powder,1/4 teaspoon Baking soda,1 cup Sugar - powdered ( divided into two equal portions),1/2 cup Coconut milk - at room temperature,1/3 cup Sunflower Oil,2 Whole Eggs - at room temperature,1 cup Fresh coconut - grated,1/2 teaspoon Vanilla Extract,1/4 teaspoon Salt,2 tablespoons Water,1 tablespoon Butter</t>
  </si>
  <si>
    <t>1/2 taza de harina integral, 1/2 taza de harina para todo uso (Maida), 1 cucharadita de polvo para hornear, 1/4 cucharadita de bicarbonato de sodio, 1 taza de azúcar - en polvo (dividida en dos porciones iguales), 1/2 taza de leche de coco - a temperatura ambiente, 1/3 taza de aceite de girasol, 2 huevos enteros - a temperatura ambiente, 1 taza de coco fresco - rallado, 1/2 cucharadita de extracto de vainilla, 1/4 cucharadita de sal, 2 cucharadas de agua, 1 cucharada de mantequilla</t>
  </si>
  <si>
    <t xml:space="preserve">To begin making Caramelized Coconut Cake, in a pan, combine 1/2 cup of sugar along with 2 tablespoons of water and heat it on medium-low flame.  Do not mix or touch the sugar-water sugar, once the sugar gets caramelized and reaches a deep brown colour, reduce the heat to lowest and add butter.Whisk vigorously using a hand-whisk and then add the grated coconut. Mix well for about 30 seconds and then remove from heat. Keep aside to cool down.Preheat the oven at 180°C and grease your baking pan with soft butter and dust it with flour.In a mixing bowl, combine the whole wheat flour, all purpose flour, baking powder, baking soda, and salt. Sift through a fine sieve and keep aside.In a separate bowl, add eggs and beat using an electric beater for 15 seconds. Now add the remaining 1/2 cup sugar and beat till the mixture becomes pale and fluffy. This will take about 2-3 minutes. Now add oil, coconut milk, and vanilla extract to the egg mixture and beat till everything is well incorporated.Next, add the caramelized coconut and beat at lowest speed till well mixed. You don't have to completely cool the caramelized coconut before adding it to the batter. Lukewarm is fine.Now, add the sifted flour mixture and gently fold in with the help of a spatula. Do not over mix.Pour the prepared batter in the greased pan and bake at 180°C for 30-35 minutes or until a toothpick inserted comes out clean.Serve Caramelized Coconut Cake at tea time along with a cup of hot Punjabi Style Espresso Coffee and some Kucho Nimkis to much on the side.
</t>
  </si>
  <si>
    <t>Para comenzar a hacer el Pastel de Coco Caramelizado, en una sartén, combine 1/2 taza de azúcar junto con 2 cucharadas de agua y caliéntela a fuego medio-bajo. No mezcle ni toque el azúcar del agua y el azúcar, una vez que el azúcar se caramelice y alcance un color marrón oscuro, reduzca el fuego al mínimo y agregue la mantequilla. Bata vigorosamente con un batidor de mano y luego agregue el coco rallado. Mezcle bien durante unos 30 segundos y luego retire del fuego. Deje enfriar. Precaliente el horno a 180 °C y engrase su molde para hornear con mantequilla suave y espolvoréelo con harina. En un tazón, combine la harina integral, la harina para todo uso, el polvo para hornear, el bicarbonato de sodio y la sal. Tamice a través de un colador fino y reserve. En un tazón aparte, agregue los huevos y bata con una batidora eléctrica durante 15 segundos. Ahora agregue la 1/2 taza de azúcar restante y bata hasta que la mezcla se vuelva pálida y esponjosa. Esto tomará alrededor de 2-3 minutos. Ahora agrega aceite, leche de coco y extracto de vainilla a la mezcla de huevo y bate hasta que todo esté bien incorporado. Luego, agrega el coco caramelizado y bate a la velocidad más baja hasta que esté bien mezclado. No es necesario que el coco caramelizado se enfríe completamente antes de agregarlo a la masa. Tibio está bien. Ahora, agrega la mezcla de harina tamizada e incorpórala suavemente con la ayuda de una espátula. No mezcles demasiado. Vierte la masa preparada en el molde engrasado y hornea a 180 °C durante 30-35 minutos o hasta que al insertar un palillo, este salga limpio. Sirve el pastel de coco caramelizado a la hora del té junto con una taza de café expreso estilo punjabi caliente y algunos Kucho Nimkis (si es demasiado) al lado.</t>
  </si>
  <si>
    <t>Pour commencer à préparer le gâteau à la noix de coco caramélisée, dans une casserole, mélanger 1/2 tasse de sucre avec 2 cuillères à soupe d'eau et chauffer à feu moyen-doux. Ne pas mélanger ni toucher le sucre-eau, une fois que le sucre est caramélisé et atteint une couleur brun foncé, réduire le feu au minimum et ajouter le beurre. Fouetter vigoureusement à l'aide d'un fouet à main, puis ajouter la noix de coco râpée. Bien mélanger pendant environ 30 secondes, puis retirer du feu. Réserver pour refroidir. Préchauffer le four à 180 °C et graisser votre moule à pâtisserie avec du beurre mou et le saupoudrer de farine. Dans un saladier, mélanger la farine de blé entier, la farine tout usage, la levure chimique, le bicarbonate de soude et le sel. Tamiser à travers un tamis fin et réserver. Dans un autre bol, ajouter les œufs et battre à l'aide d'un batteur électrique pendant 15 secondes. Ajouter ensuite la 1/2 tasse de sucre restante et battre jusqu'à ce que le mélange devienne pâle et mousseux. Cela prendra environ 2 à 3 minutes. Ajoutez ensuite l'huile, le lait de coco et l'extrait de vanille au mélange d'œufs et battez jusqu'à ce que le tout soit bien incorporé. Ajoutez ensuite la noix de coco caramélisée et battez à vitesse minimale jusqu'à ce que le tout soit bien mélangé. Il n'est pas nécessaire de laisser refroidir complètement la noix de coco caramélisée avant de l'ajouter à la pâte. Une fois tiède, c'est parfait. Ajoutez ensuite le mélange de farine tamisée et incorporez délicatement à l'aide d'une spatule. Ne mélangez pas trop. Versez la pâte préparée dans le moule graissé et faites cuire au four à 180 °C pendant 30 à 35 minutes ou jusqu'à ce qu'un cure-dent inséré en ressorte propre. Servez le gâteau à la noix de coco caramélisée à l'heure du thé, accompagné d'une tasse de café expresso chaud de style punjabi et de quelques Kucho Nimkis à côté.</t>
  </si>
  <si>
    <t>http://www.archanaskitchen.com/caramelized-coconut-cake-recipe</t>
  </si>
  <si>
    <t>Watermelon Cranberry Mocktail Recipe</t>
  </si>
  <si>
    <t>Rezept für einen alkoholfreien Wassermelonen-Cranberry-Mocktail</t>
  </si>
  <si>
    <t>Recette de mocktail sans alcool à la pastèque et aux canneberges</t>
  </si>
  <si>
    <t>Receta de cóctel sin alcohol de sandía y arándanos</t>
  </si>
  <si>
    <t>250 kg de pastèque - coupée en dés et épépinée, 1 tasse de jus de canneberge, 1 cuillère à café d'eau de rose - ou une goutte d'essence de rose (facultatif), sucre de palme - (si nécessaire), glaçons - pour servir</t>
  </si>
  <si>
    <t>250 kg Watermelon - diced and deseeded,1 cup Cranberry juice,1 teaspoon Rose water - or a drop of rose essence (optional),Palm sugar - (if required),Ice cubes - to serve</t>
  </si>
  <si>
    <t>250 kg de sandía cortada en cubitos y sin semillas, 1 taza de jugo de arándano, 1 cucharadita de agua de rosas o una gota de esencia de rosas (opcional), azúcar de palma (si se requiere), cubitos de hielo para servir</t>
  </si>
  <si>
    <t xml:space="preserve">To begin with Watermelon-Cranberry Mocktail, blend watermelon, cranberry juice, rose syrup/essence and palm sugar in a juicer.Add water and make sure everything is mixed well.Serve chilled with ice cubes.Serve Watermelon-Cranberry Mocktail to your guests with some homemade snacks like Mozzarella Stuffed Potato Balls and Mushrooms On Toast.
</t>
  </si>
  <si>
    <t>Para empezar con el Mocktail de Sandía y Arándanos, licúe la sandía, el jugo de arándanos, el jarabe/esencia de rosas y el azúcar de palma en un exprimidor. Agregue agua y asegúrese de que todo esté bien mezclado. Sirva frío con cubitos de hielo. Sirva el Mocktail de Sandía y Arándanos a sus invitados con algunos bocadillos caseros como bolitas de papa rellenas de mozzarella y champiñones sobre pan tostado.</t>
  </si>
  <si>
    <t>Pour commencer le Mocktail Pastèque-Canneberge, mélangez la pastèque, le jus de canneberge, le sirop/essence de rose et le sucre de palme dans un presse-agrumes. Ajoutez de l'eau et assurez-vous que tout est bien mélangé. Servez frais avec des glaçons. Servez le Mocktail Pastèque-Canneberge à vos invités avec des collations maison comme des boulettes de pommes de terre farcies à la mozzarella et des champignons sur du pain grillé.</t>
  </si>
  <si>
    <t>http://www.archanaskitchen.com/watermelon-cranberry-mocktail-recipe</t>
  </si>
  <si>
    <t>Healthy Oatmeal Energy Bar With Dates &amp; Nuts Recipe</t>
  </si>
  <si>
    <t>Gesunder Haferflocken-Energieriegel mit Datteln und Nüssen Rezept</t>
  </si>
  <si>
    <t>Recette de barre énergétique saine à l'avoine avec dattes et noix</t>
  </si>
  <si>
    <t>Receta de barrita energética de avena saludable con dátiles y nueces</t>
  </si>
  <si>
    <t>1-1/2 tasse de flocons d'avoine instantanés (gruau) - roulés, 1 datte, 1/4 tasse de miel - (ou sirop d'agave), 1/4 tasse de beurre d'arachide, 1/2 tasse de badam (amandes) - grillées, 1/4 tasse de pistaches - grillées, 1/4 tasse de pacanes - grillées</t>
  </si>
  <si>
    <t>1-1/2 cups Instant Oats (Oatmeal) - rolled,1 Dates,1/4 cup Honey - (or agave syrup),1/4 cup Peanut Butter,1/2 cup Badam (Almond) - toasted,1/4 cup Pistachios - toasted,1/4 cup Pecans - toasted</t>
  </si>
  <si>
    <t>1-1/2 tazas de avena instantánea (avena) - laminada, 1 dátil, 1/4 taza de miel - (o jarabe de agave), 1/4 taza de mantequilla de maní, 1/2 taza de almendras - tostadas, 1/4 taza de pistachos - tostados, 1/4 taza de nueces pecanas - tostadas</t>
  </si>
  <si>
    <t xml:space="preserve">To prepare these Healthy Oatmeal Energy Bar With Dates &amp; Nuts Recipe, chop the assorted nuts first.Process dates in a food processor until coarsely done. It should form a “dough” like consistency and will roll into a ball.Dry roast or toast the rolled oats in a non-stick pan for a few minutes until its color has changed to light brown. Take care not to burn the oats.Place the oats, chopped nuts, and dates in a bowl and set aside.In a small pan, warm honey and peanut butter over low heat. Stir and pour over the oats mixture and then mix, breaking up the dates till well combined.Once thoroughly mixed, transfer to a dish/ pan lined with aluminum foil/ parchment paper so they lift out easily. Press down until uniformly flattened. Cover with aluminum foil/ parchment paper or plastic wrap, and let it set in the refrigerator or freezer for 25 to 30 minutes to harden.Remove the set Healthy Oatmeal Energy Bar With Dates &amp; Nuts Recipe from the dish and chop into even bars. Store in an airtight container in the refrigerator. These stay well for a month.
</t>
  </si>
  <si>
    <t>Para preparar esta receta de Barra Energética de Avena Saludable con Dátiles y Nueces, primero pique los frutos secos. Triture los dátiles en un procesador de alimentos hasta que estén gruesos. Debe tener una consistencia similar a una masa y se enrollará en una bola. Tueste la avena arrollada en una sartén antiadherente durante unos minutos hasta que adquiera un color marrón claro. Tenga cuidado de no quemarla. Coloque la avena, los frutos secos picados y los dátiles en un tazón y reserve. En una sartén pequeña, caliente la miel y la mantequilla de cacahuete a fuego lento. Revuelva y vierta sobre la mezcla de avena y luego mezcle, desmenuzando los dátiles hasta que estén bien combinados. Una vez bien mezclados, transfiéralos a un plato o sartén forrado con papel aluminio o papel vegetal para que se desprendan fácilmente. Presione hasta que estén uniformemente aplanados. Cubre con papel aluminio, papel vegetal o film transparente y deja reposar en el refrigerador o congelador de 25 a 30 minutos para que endurezca. Retira la receta de Barritas Energéticas de Avena Saludable con Dátiles y Frutos Secos del plato y córtalas en barras uniformes. Guárdalas en un recipiente hermético en el refrigerador. Se conservan bien durante un mes.</t>
  </si>
  <si>
    <t>Pour préparer cette recette de barres énergétiques saines à l'avoine, aux dattes et aux noix, hachez d'abord les noix. Passez les dattes au robot culinaire jusqu'à ce qu'elles soient grossièrement cuites. La pâte doit former une boule. Faites griller les flocons d'avoine à sec ou à l'huile dans une poêle antiadhésive pendant quelques minutes, jusqu'à ce qu'ils soient légèrement dorés. Veillez à ne pas les brûler. Mettez les flocons d'avoine, les noix hachées et les dattes dans un bol et réservez. Dans une petite casserole, faites chauffer le miel et le beurre de cacahuète à feu doux. Remuez et versez sur le mélange d'avoine, puis mélangez en écrasant les dattes jusqu'à ce qu'elles soient bien mélangées. Une fois le mélange homogène, transférez-le dans un plat/une poêle recouvert(e) de papier aluminium/parchemin pour qu'il/elle se détache facilement. Appuyez jusqu'à ce qu'il/elle soit uniformément aplati(e). Couvrez de papier aluminium, de papier sulfurisé ou de film plastique et laissez durcir au réfrigérateur ou au congélateur pendant 25 à 30 minutes. Retirez la barre énergétique à l'avoine saine aux dattes et aux noix du plat et coupez-la en barres régulières. Conservez-la dans un récipient hermétique au réfrigérateur. Elle se conserve un mois.</t>
  </si>
  <si>
    <t>http://www.archanaskitchen.com/healthy-oatmeal-energy-bar-with-dates-nuts-recipe</t>
  </si>
  <si>
    <t>Vanilla Choco Mousse Recipe With Chocolate Chips</t>
  </si>
  <si>
    <t>Rezept für Vanille-Schoko-Mousse mit Schokoladenstückchen</t>
  </si>
  <si>
    <t>Recette de mousse au chocolat à la vanille avec des morceaux de chocolat</t>
  </si>
  <si>
    <t>Receta de mousse de chocolate y vainilla con trozos de chocolate</t>
  </si>
  <si>
    <t>200 grammes de gâteau au chocolat - nature ou glacé, 100 grammes de ganache au chocolat, 100 grammes de crème fouettée épaisse, 1 cuillère à café d'extrait de vanille, 1 + 1 cuillère à café de poudre de café instantané, 2 cuillères à soupe de pépites de chocolat, 1/2 tasse d'eau, 1 cuillère à café de sucre</t>
  </si>
  <si>
    <t>200 grams Chocolate Cake - plain or frosted,100 grams Chocolate ganache,100 grams Heavy whipping cream,1 teaspoon Vanilla Extract,1 + 1 teaspoon Instant Coffee Powder,2 tablespoon Chocolate chips,1/2 cup Water,1 teaspoon Sugar</t>
  </si>
  <si>
    <t>200 gramos de pastel de chocolate (simple o glaseado), 100 gramos de ganache de chocolate, 100 gramos de crema batida espesa, 1 cucharadita de extracto de vainilla, 1 + 1 cucharadita de café instantáneo en polvo, 2 cucharadas de chispas de chocolate, 1/2 taza de agua, 1 cucharadita de azúcar</t>
  </si>
  <si>
    <t xml:space="preserve">To prepare Vanilla Choco Mousse Recipe with chocolate chips start by cutting the Chocolate Cake into small pieces or crumbling it with hand.Here's how ro make a Eggless Easy Chocolate Cake Recipe - Vegan OptionTake a bowl and add vanilla extract to whipped cream. This makes the vanilla cream. Keep asideTake a saucepan and heat water in it on medium flame. After water gets hot add 1 teaspoon coffee powder and 1 teaspoon sugar to it. When sugar gets dissolved turn off the flame and allow it to cool completely.Now take a glass and first put a thin layer of vanilla cream followed by the layer of cake.On the layer of cake and put little bit coffee syrup (around 1/2 teaspoon per layer of chocolate cake).Now put a layer of vanilla cream followed by a teaspoon of chocolate chips.Continue this process and make about 4 more layers.Lastly, sprinkle coffee powder with the help of a sieve.Set this glass for 1 hr in the fridge. Vanilla Choco Mousse With Chocolate Chips is now ready to serve.Serve Vanilla Choco Mousse Recipe as a dessert after a meal of Lemony Pasta Recipe With Roasted Shrimps or Penne Pasta Recipe In Creamy Cauliflower Sauce with Cheese Garlic Bread Recipe.
</t>
  </si>
  <si>
    <t>Para preparar la receta de mousse de chocolate y vainilla con chispas de chocolate, comience cortando el pastel de chocolate en trozos pequeños o desmenuzándolo con la mano. Aquí se explica cómo hacer una receta de pastel de chocolate fácil sin huevo - Opción vegana Tome un tazón y agregue extracto de vainilla a la crema batida. Esto hace la crema de vainilla. Reservar Tome una cacerola y caliente agua en ella a fuego medio. Después de que el agua se caliente, agregue 1 cucharadita de café en polvo y 1 cucharadita de azúcar. Cuando el azúcar se disuelva, apague el fuego y deje que se enfríe por completo. Ahora tome un vaso y primero ponga una capa delgada de crema de vainilla seguida de la capa de pastel. En la capa de pastel y ponga un poco de jarabe de café (alrededor de 1/2 cucharadita por capa de pastel de chocolate). Ahora ponga una capa de crema de vainilla seguida de una cucharadita de chispas de chocolate. Continúe este proceso y haga aproximadamente 4 capas más. Por último, espolvoree café en polvo con la ayuda de un colador. Coloque este vaso durante 1 hora en el refrigerador. El mousse de chocolate y vainilla con chispas de chocolate ya está listo para servir. Sirva el mousse de chocolate y vainilla como postre después de una comida con pasta al limón con camarones asados ​​o pasta penne en salsa cremosa de coliflor con queso o pan de ajo.</t>
  </si>
  <si>
    <t>Pour préparer la recette de mousse au chocolat à la vanille avec des pépites de chocolat, commencez par couper le gâteau au chocolat en petits morceaux ou émiettez-le à la main. Voici comment préparer une recette de gâteau au chocolat facile sans œufs - Option végétalienne Prenez un bol et ajoutez l'extrait de vanille à la crème fouettée. Cela donne la crème à la vanille. Réservez Prenez une casserole et faites chauffer de l'eau à feu moyen. Une fois l'eau chaude, ajoutez-y 1 cuillère à café de poudre de café et 1 cuillère à café de sucre. Lorsque le sucre est dissous, éteignez le feu et laissez-le refroidir complètement. Maintenant, prenez un verre et mettez d'abord une fine couche de crème à la vanille suivie de la couche de gâteau. Sur la couche de gâteau et mettez un peu de sirop de café (environ 1/2 cuillère à café par couche de gâteau au chocolat). Maintenant, mettez une couche de crème à la vanille suivie d'une cuillère à café de pépites de chocolat. Continuez ce processus et faites environ 4 autres couches. Enfin, saupoudrez de poudre de café à l'aide d'un tamis. Placez ce verre pendant 1 heure au réfrigérateur. La mousse au chocolat et à la vanille avec pépites de chocolat est maintenant prête à être servie. Servez la recette de mousse au chocolat et à la vanille en dessert après un repas de pâtes au citron avec crevettes rôties ou de pâtes penne à la sauce crémeuse au chou-fleur avec du fromage ou de pain à l'ail.</t>
  </si>
  <si>
    <t>http://www.archanaskitchen.com/vanilla-choco-mousse-recipe-with-chocolate-chips</t>
  </si>
  <si>
    <t>Egg Salad Recipe With Sun Dried Tomatoes And Scallions</t>
  </si>
  <si>
    <t>Eiersalat-Rezept mit sonnengetrockneten Tomaten und Frühlingszwiebeln</t>
  </si>
  <si>
    <t>Recette de salade d'œufs aux tomates séchées et aux oignons nouveaux</t>
  </si>
  <si>
    <t>Receta de ensalada de huevo con tomates secos y cebolletas</t>
  </si>
  <si>
    <t>3 œufs entiers - durs, 1 cuillère à soupe de mayonnaise classique (avec œuf), 1 cuillère à soupe d'huile d'olive extra vierge, 1/3 tasse de feuilles d'oignons nouveaux - finement hachées, 1/3 tasse de tomates séchées au soleil - finement hachées, 1 cuillère à café de jus de citron, 1 cuillère à café de feuilles de thym frais - finement hachées, sel et poivre - au goût</t>
  </si>
  <si>
    <t>3 Whole Eggs - hard boiled,1 tablespoon Classic Mayonnaise (With Egg),1 tablespoon Extra Virgin Olive Oil,1/3 cup Spring Onion Greens - finely chopped,1/3 cup Sun Dried Tomatoes - finely chopped,1 teaspoon Lemon juice,1 teaspoon Fresh Thyme leaves - finely chopped,Salt and Pepper - to taste</t>
  </si>
  <si>
    <t>3 huevos enteros - duros, 1 cucharada de mayonesa clásica (con huevo), 1 cucharada de aceite de oliva virgen extra, 1/3 taza de cebolletas finamente picadas, 1/3 taza de tomates secados al sol finamente picados, 1 cucharadita de jugo de limón, 1 cucharadita de hojas de tomillo fresco finamente picadas, sal y pimienta - al gusto</t>
  </si>
  <si>
    <t xml:space="preserve">To begin making the Egg Salad Recipe With Sun Dried Tomatoes And Scallions, we will first boil the eggs into hard boiled eggs. To hard boil eggs, place eggs in a pot and fill it with water. Bring it to a boil. Once the water starts boiling, switch off the flame and cover the pot. Let this sit for 12 minutes, after which you can cool the eggs under running water and remove the shells.Once the eggs have cooled, cut them into quarters. To start making Egg Salad with Sun dried Tomatoes and Scallions, in a medium bowl add all the ingredients except eggs and stir well. Add the eggs, stir well. Mix well until combined.Serve the Egg Salad With Sun Dried Tomatoes And Scallions as wholesome dinner along with a bowl of Cream Of Mushroom &amp; Spring Onion Soup.
</t>
  </si>
  <si>
    <t>Para empezar a preparar la receta de ensalada de huevo con tomates secos y cebolletas, primero herviremos los huevos hasta que estén duros. Para cocer los huevos duros, colóquelos en una olla y llénela con agua. Llévela a ebullición. Una vez que el agua empiece a hervir, apague el fuego y cubra la olla. Deje reposar durante 12 minutos, después de lo cual puede enfriar los huevos bajo el chorro de agua y quitarles las cáscaras. Una vez que los huevos se hayan enfriado, córtelos en cuartos. Para empezar a preparar la ensalada de huevo con tomates secos y cebolletas, en un tazón mediano agregue todos los ingredientes excepto los huevos y revuelva bien. Agregue los huevos, revuelva bien. Mezcle bien hasta que se combinen. Sirva la ensalada de huevo con tomates secos y cebolletas como una cena saludable junto con un tazón de sopa crema de champiñones y cebolleta.</t>
  </si>
  <si>
    <t>Pour commencer à préparer la recette de salade d'œufs aux tomates séchées et aux oignons verts, nous allons d'abord faire bouillir les œufs jusqu'à obtenir des œufs durs. Pour faire cuire des œufs durs, placez les œufs dans une casserole et remplissez-la d'eau. Portez à ébullition. Une fois que l'eau commence à bouillir, éteignez le feu et couvrez la casserole. Laissez reposer 12 minutes, après quoi vous pouvez refroidir les œufs sous l'eau courante et retirer les coquilles. Une fois les œufs refroidis, coupez-les en quartiers. Pour commencer à préparer la salade d'œufs aux tomates séchées et aux oignons verts, dans un bol moyen, ajoutez tous les ingrédients sauf les œufs et remuez bien. Ajoutez les œufs, remuez bien. Mélangez bien jusqu'à ce que le tout soit bien mélangé. Servez la salade d'œufs aux tomates séchées et aux oignons verts comme un dîner sain avec un bol de crème de champignons et de soupe à l'oignon nouveau.</t>
  </si>
  <si>
    <t>https://www.archanaskitchen.com/egg-salad-recipe-with-sun-dried-tomatoes-and-scallions</t>
  </si>
  <si>
    <t>Oven Baked Rice Casserole Recipe</t>
  </si>
  <si>
    <t>Rezept für im Ofen gebackenen Reisauflauf</t>
  </si>
  <si>
    <t>Recette de cocotte de riz au four</t>
  </si>
  <si>
    <t>Receta de cazuela de arroz al horno</t>
  </si>
  <si>
    <t>2 cuillères à café d'huile d'olive extra vierge, 4 gousses d'ail finement hachées, 1 oignon finement tranché, sel au goût, 1 cuillère à café de romarin séché, 1 tasse de riz lavé et trempé, 1 cuillère à soupe d'huile d'olive extra vierge, 1 cuillère à café de flocons de piment rouge, 1/3 tasse de poivron rouge finement haché, 1/3 tasse de poivron jaune finement haché, sel au goût, 1/3 tasse de poivron vert finement haché, 2 cuillères à café d'herbes mélangées séchées, feuilles de persil, 1 cuillère à soupe d'huile d'olive extra vierge, 2 carottes coupées en diagonales, 1 courgette jaune coupée en diagonales, 1 courgette verte coupée en diagonales, 10 mini épis de maïs coupés en diagonales, 1 cuillère à soupe d'herbes sèches mélangées, sel au goût, 1 cuillère à café d'huile d'olive extra vierge, 1 cuillère à soupe d'ail finement haché, 8 feuilles de basilic grossièrement déchirées, sel au goût goût, 3/4 tasse de purée de tomates maison, 1/2 cuillère à café de sucre, 1 cuillère à café de Tabasco Original - Sauce piquante, 1/2 cuillère à café de poudre de paprika, 1/4 tasse de crème fraîche, 1/2 tasse de lait, 1/2 tasse de fromage mozzarella</t>
  </si>
  <si>
    <t>2 teaspoons Extra Virgin Olive Oil,4 cloves Garlic - finely chopped,1 Onion - thinly sliced,Salt - to taste,1 teaspoon Rosemary - dried,1 cup Rice - washed and soaked,1 tablespoon Extra Virgin Olive Oil,1 teaspoon Red Chilli flakes,1/3 cup Red Bell pepper (Capsicum) - finely chopped,1/3 cup Yellow Bell Pepper (Capsicum) - finely chopped,Salt - to taste,1/3 cup Green Bell Pepper (Capsicum) - finely chopped,2 teaspoons Mixed Herbs (Dried),Parsley leaves,1 tablespoon Extra Virgin Olive Oil,2 Carrots (Gajjar) - cut into diagonals,1 Yellow Zucchini - cut into diagonals,1 Green zucchini - cut into diagonals,10 Baby corn - cut into diagonals,1 tablespoon Dry mix herbs,Salt - to taste,1 teaspoon Extra Virgin Olive Oil,1 tablespoon Garlic - finely chopped,8 Basil leaves - roughly torn,Salt - to taste,3/4 cup Homemade tomato puree,1/2 teaspoon Sugar,1 teaspoon Tabasco Original - Hot Sauce,1/2 teaspoon Paprika powder,1/4 cup Fresh cream,1/2 cup Milk,1/2 cup Mozzarella cheese</t>
  </si>
  <si>
    <t>2 cucharaditas de aceite de oliva virgen extra, 4 dientes de ajo finamente picados, 1 cebolla finamente rebanada, sal al gusto, 1 cucharadita de romero seco, 1 taza de arroz lavado y remojado, 1 cucharada de aceite de oliva virgen extra, 1 cucharadita de hojuelas de chile rojo, 1/3 taza de pimiento rojo (Capsicum) finamente picado, 1/3 taza de pimiento amarillo (Capsicum) finamente picado, sal al gusto, 1/3 taza de pimiento verde (Capsicum) finamente picado, 2 cucharaditas de hierbas mixtas (secas), hojas de perejil, 1 cucharada de aceite de oliva virgen extra, 2 zanahorias (Gajjar) cortadas en diagonales, 1 calabacín amarillo cortado en diagonales, 1 calabacín verde cortado en diagonales, 10 mazorcas de maíz bebé cortadas en diagonales, 1 cucharada de hierbas secas mixtas, sal al gusto, 1 cucharadita de aceite de oliva virgen extra, 1 cucharada de ajo finamente picado, 8 hojas de albahaca desgarradas, sal al gusto, 3/4 taza de tomate casero puré, 1/2 cucharadita de azúcar, 1 cucharadita de salsa picante Tabasco Original, 1/2 cucharadita de pimentón en polvo, 1/4 taza de crema fresca, 1/2 taza de leche, 1/2 taza de queso mozzarella</t>
  </si>
  <si>
    <t xml:space="preserve">To begin making the Oven Baked Rice Casserole Recipe, we need to make three elements. To make the Bell Pepper &amp; Parsley Rice In a pressure cooker, heat the olive oil on medium flame, to this add, garlic and saute for 30 seconds. To this add the onions, and continue to saute until it turns translucent. This will take about 2-3 minutes. Next to this, add salt and dried rosemary, soaked and drained rice, 2 cups of water and close the pressure cooker. Pressure cook for 2 whistles and turn off the flame. Allow the pressure to release naturally. Once the pressure has released, open the cooker, fluff the rice with the help of a fork and spread the rice in a platter allowing the rice grains to separate and cool down to room temperature. Next, in a skillet heat olive oil, add the red chilli flakes, and the three coloured peppers - red, green and yellow. Sprinkle salt. Saute for 4-5 minutes, until the bell peppers are just about cooked, yet have a bite to them. Add the mixed herbs and mix well. Turn off the flame. Finally, add these pan roasted peppers over the rice, along with chopped parsley and toss well using a fork and spoon and set aside. To make the Pan- roasted Herbed Vegetables Heat a pan with olive oil on medium flame, add the vegetables - carrot, babycorn, yellow zucchini and green zucchini and pan roast for 8-10 minutes until the vegetables are cooked yet have a crunch in them. Sprinkle some salt and the herbs and mix well and set aside. To make the Creamy Spicy Tomato Garlic Sauce In a skillet heat olive oil on medium flame, add the garlic and fry till it turns into a deep golden brown. Next add the basil leaves, and tomato puree and simmer for a few minutes. Add salt to taste, sugar, tabasco sauce and paprika powder and mixed herbs. Bring to a brisk boil. Now reduce the flame, add in the cream and milk , bring to a single boil and turn off the flame. Set aside. To assemble the Oven Baked Rice Casserole RecipePreheat the oven at 200 degree celsius. In a deep baking dish, spread a layer of the Bell Pepper &amp; Parsley Rice, then add a layer of the pan roasted herbed vegetables, top it generously with the creamy spicy tomato garlic sauce, sprinkle an even layer of mozzarella cheese. Flash bake the casserole in the oven for about 15-18 minutes or until the cheese has turned golden brown to form a crust on the top.  Serve hot. Serve Oven Baked Rice Casserole Recipe along with Pomegranate Mint Cocktail Recipe followed by a dessert of Greek Yogurt Chocolate Mousse Recipe for a lovely Sunday brunch. 
</t>
  </si>
  <si>
    <t>Para comenzar a hacer la Receta de Cazuela de Arroz al Horno, necesitamos hacer tres elementos. Para hacer el Arroz con Pimiento y Perejil En una olla a presión, calienta el aceite de oliva a fuego medio, a esto agrega el ajo y saltea durante 30 segundos. A esto agrega las cebollas y continúa salteando hasta que se vuelva translúcida. Esto tomará alrededor de 2-3 minutos. A continuación, agrega sal y romero seco, arroz remojado y escurrido, 2 tazas de agua y cierra la olla a presión. Cocina a presión durante 2 silbidos y apaga la llama. Deja que la presión se libere naturalmente. Una vez que se haya liberado la presión, abre la olla, esponja el arroz con la ayuda de un tenedor y extiéndelo en una fuente permitiendo que los granos de arroz se separen y se enfríen a temperatura ambiente. A continuación, en una sartén calienta el aceite de oliva, agrega las hojuelas de chile rojo y los tres pimientos de colores: rojo, verde y amarillo. Espolvorea sal. Saltee durante 4-5 minutos, hasta que los pimientos estén casi cocidos, pero tengan un toque crujiente. Agregue las hierbas mixtas y mezcle bien. Apague el fuego. Finalmente, agregue estos pimientos asados ​​​​a la sartén sobre el arroz, junto con el perejil picado y mezcle bien con un tenedor y una cuchara y reserve. Para hacer las verduras con hierbas asadas en sartén, caliente una sartén con aceite de oliva a fuego medio, agregue las verduras: zanahoria, maíz bebé, calabacín amarillo y calabacín verde y ase en la sartén durante 8-10 minutos hasta que las verduras estén cocidas pero tengan un toque crujiente. Espolvoree un poco de sal y las hierbas, mezcle bien y reserve. Para hacer la salsa cremosa de tomate y ajo picante, en una sartén caliente el aceite de oliva a fuego medio, agregue el ajo y fría hasta que se dore. Luego agregue las hojas de albahaca y el puré de tomate y cocine a fuego lento durante unos minutos. Añade sal al gusto, azúcar, salsa tabasco, pimentón en polvo y hierbas mixtas. Deja que hierva a fuego lento. Ahora reduce el fuego, agrega la crema y la leche, deja que hierva una vez y apaga el fuego. Reserva. Para armar la receta de cazuela de arroz al horno, precalienta el horno a 200 grados centígrados. En una fuente para horno profunda, extiende una capa de arroz con pimiento morrón y perejil, luego agrega una capa de vegetales con hierbas asados ​​en sartén, cúbrelo generosamente con la salsa cremosa de tomate y ajo picante, espolvorea una capa uniforme de queso mozzarella. Hornea rápidamente la cazuela en el horno durante unos 15-18 minutos o hasta que el queso se haya dorado para formar una costra en la parte superior. Sirve caliente. Sirva la receta de cazuela de arroz al horno junto con la receta de cóctel de menta y granada, seguida de un postre de mousse de chocolate con yogur griego para un delicioso brunch dominical.</t>
  </si>
  <si>
    <t>Pour commencer à préparer la recette de la cocotte de riz au four, nous devons préparer trois éléments. Pour préparer le riz aux poivrons et au persil, dans une cocotte-minute, faites chauffer l'huile d'olive à feu moyen, ajoutez-y l'ail et faites revenir pendant 30 secondes. Ajoutez les oignons et continuez à faire revenir jusqu'à ce qu'ils deviennent translucides. Cela prendra environ 2 à 3 minutes. Ajoutez ensuite le sel et le romarin séché, le riz trempé et égoutté, 2 tasses d'eau et fermez l'autocuiseur. Faites cuire sous pression pendant 2 sifflets, puis éteignez le feu. Laissez la pression se relâcher naturellement. Une fois la pression relâchée, ouvrez l'autocuiseur, égrainez le riz à l'aide d'une fourchette et étalez le riz dans un plat en laissant les grains de riz se séparer et refroidir à température ambiante. Ensuite, dans une poêle, faites chauffer l'huile d'olive, ajoutez les flocons de piment rouge et les trois poivrons colorés - rouge, vert et jaune. Saupoudrez de sel. Faire sauter pendant 4 à 5 minutes, jusqu'à ce que les poivrons soient presque cuits, mais qu'ils aient du croquant. Ajouter les herbes mélangées et bien mélanger. Éteindre le feu. Enfin, ajouter ces poivrons poêlés sur le riz, ainsi que le persil haché, bien mélanger à l'aide d'une fourchette et d'une cuillère et réserver. Pour préparer les légumes aux herbes poêlés, faire chauffer une poêle avec de l'huile d'olive à feu moyen, ajouter les légumes - carottes, mini-maïs, courgettes jaunes et courgettes vertes - et faire rôtir à la poêle pendant 8 à 10 minutes jusqu'à ce que les légumes soient cuits mais croquants. Saupoudrer de sel et d'herbes, bien mélanger et réserver. Pour préparer la sauce crémeuse à l'ail et à la tomate épicée, faire chauffer l'huile d'olive dans une poêle à feu moyen, ajouter l'ail et faire revenir jusqu'à ce qu'il prenne une couleur brun doré foncé. Ajouter ensuite les feuilles de basilic et la purée de tomates et laisser mijoter quelques minutes. Ajoutez du sel à votre goût, du sucre, de la sauce Tabasco, du paprika en poudre et des herbes mélangées. Portez à ébullition vive. Réduisez ensuite le feu, ajoutez la crème et le lait, portez à ébullition et éteignez le feu. Réservez. Pour assembler la recette de la cocotte de riz au four : Préchauffez le four à 200 °C. Dans un plat allant au four profond, étalez une couche de riz aux poivrons et au persil, puis ajoutez une couche de légumes aux herbes rôtis à la poêle, nappez généreusement de sauce tomate-ail épicée et crémeuse, puis saupoudrez d'une couche uniforme de mozzarella. Faites cuire la cocotte au four pendant environ 15 à 18 minutes ou jusqu'à ce que le fromage soit doré et forme une croûte sur le dessus. Servez chaud. Servez la recette de la cocotte de riz au four avec la recette de cocktail à la grenade et à la menthe, suivie d'un dessert de mousse au chocolat et au yaourt grec pour un délicieux brunch du dimanche.</t>
  </si>
  <si>
    <t>http://www.archanaskitchen.com/oven-baked-rice-casserole-recipe</t>
  </si>
  <si>
    <t>Mushroom Cutlet Vegetarian Sizzler Recipe</t>
  </si>
  <si>
    <t>Vegetarisches Pilzkotelett-Sizzler-Rezept</t>
  </si>
  <si>
    <t>Recette de côtelettes de champignons végétariennes grillées</t>
  </si>
  <si>
    <t>Receta de chuletas de champiñones vegetarianas a la parrilla</t>
  </si>
  <si>
    <t>1/2 tasse de légumes mélangés - au choix, chou (Patta Gobi/Muttaikose) - quelques feuilles, sel - au goût, poivre noir en poudre - au goût, 2 cuillères à café d'huile de tournesol, 1 tasse de riz cuit, 2 gousses d'ail, 1 cuillère à café de poivre noir en poudre, 1 cuillère à café de vinaigre de piment, 1/2 cuillère à café de sauce soja, sel - au goût, 1 cuillère à soupe d'huile de tournesol, 2 pommes de terre (Aloo) - bouillies et pelées, 1 tasse de champignons de Paris - finement hachés, sel - au goût, 1 cuillère à soupe de poudre de piment rouge, 1/2 tasse de chapelure de blé entier, huile de tournesol - pour la friture peu profonde, 1 cuillère à café d'huile de tournesol, 1 cuillère à café de poudre de poivre noir, 2 gousses d'ail - hachées, 1 cuillère à soupe de sauce au piment rouge, 1 cuillère à café de vinaigre de piment, 1 cuillère à café de sauce soja, 1 cuillère à soupe de ketchup, 3 cuillères à soupe d'eau - (ajuster)</t>
  </si>
  <si>
    <t>1/2 cup Mixed vegetables - of choice,Cabbage (Patta Gobi/ Muttaikose) - few leaves,Salt - to taste,Black pepper powder - to taste,2 teaspoon Sunflower Oil,1 cup Cooked rice,2 cloves Garlic,1 teaspoon Black pepper powder,1 teaspoon Chilli vinegar,1/2 teaspoon Soy sauce,Salt - to taste,1 tablespoon Sunflower Oil,2 Potatoes (Aloo) - boiled and peeled,1 cup Button mushrooms - finely chopped,Salt - to taste,1 tablespoon Red Chilli powder,1/2 cup Whole Wheat Bread crumbs,Sunflower Oil - for shallow frying,1 teaspoon Sunflower Oil,1 teaspoon Black pepper powder,2 cloves Garlic - minced,1 tablespoon Red Chilli sauce,1 teaspoon Chilli vinegar,1 teaspoon Soy sauce,1 tablespoon Tomato Ketchup,3 tablespoon Water - (adjust)</t>
  </si>
  <si>
    <t>1/2 taza de verduras mixtas (a elección), repollo (Patta Gobi/Muttaikose) (algunos gajos), sal (al gusto), pimienta negra en polvo (al gusto), 2 cucharaditas de aceite de girasol, 1 taza de arroz cocido, 2 dientes de ajo, 1 cucharadita de pimienta negra en polvo, 1 cucharadita de vinagre de chile, 1/2 cucharadita de salsa de soja, sal (al gusto), 1 cucharada de aceite de girasol, 2 papas (Aloo) hervidas y peladas, 1 taza de champiñones picados finamente, sal (al gusto), 1 cucharada de chile rojo en polvo, 1/2 taza de pan rallado integral, aceite de girasol (para freír ligeramente), 1 cucharadita de aceite de girasol, 1 cucharadita de pimienta negra en polvo, 2 dientes de ajo picados, 1 cucharada de salsa de chile rojo, 1 cucharadita de vinagre de chile, 1 cucharadita de salsa de soja, 1 cucharada de ketchup de tomate, 3 cucharadas de agua (ajustar)</t>
  </si>
  <si>
    <t xml:space="preserve">To begin making the Mushroom Cutlet Vegetarian Sizzler Recipe we will make all the individual dishes first and keep them ready.To make mushroom cutletInto a mixing bowl add the boiled potatoes and mash them well. Keep aside.Heat oil in a kadai. Add finely chopped mushrooms and saute until mushrooms are well cooked and all the water has evaporated from the mushrooms. Turn off the heat and allow the mushrooms to cool. Add the cooled mushrooms to the mashed potatoes along with chili powder, salt and mix well to combine.Make equal sized balls and flatten it into a round to make the cutlet. Coat the mushroom cutlets in breadcrumbs on both sides and keep them aside.Add enough oil to a preheated pan and shallow fry the mushroom cutlets till golden brown on both sides. To make fried riceCook rice  in a pressure cooker and keep aside to cool completely. Follow Steamed Rice Recipe - Pressure Cooker &amp; Saucepan Methods to cook rice.Heat oil in a wok. Add finely chopped garlic and saute for few seconds, then add the cooked rice and toss.Next add vinegar, soy sauce, pepper powder, salt to taste and toss well to combine.To make stir fry veggiesCut vegetables of your choice like carrots, beans, capsicum or broccoli into chunks. Heat oil in a pan, add the vegetables, salt and pepper powder and saute on high heat for a minute or two until the vegetables have softened a bit. There should still be a bite to the vegetables. Remove from heat and keep aside.To make your own sauceHeat oil in a kadai. Add minced garlic and saute until raw smell goes off. Do not brown the garlic. Add chili sauce, soy sauce, vinegar, ketchup, pepper powder and stir quickly to combine. Turn off the heat.To assemble Mushroom Cutlet Vegetarian SizzlerHeat the sizzling iron plate to red hot, be careful while doing this and make sure no kids are present nearby.Once the plate it red hot, remove from heat, sprinkle some water.Place a few leaves of cabbage over it.Spoon fried rice over &amp;  stir fry veggies on the rice and the mushroom cutlets over it. Drizzle some sauce and serve Mushroom Cutlet Vegetarian Sizzler Recipe hot.Serve Mushroom Cutlet Vegetarian Sizzler Recipe as a one dish for weekend dinner along with Red Wine Sangria Cocktail Recipe.
</t>
  </si>
  <si>
    <t>Para comenzar a hacer la Receta Vegetariana de Chuletas de Champiñones Sizzler, prepararemos primero todos los platos individuales y los tendremos listos. Para hacer chuletas de champiñones, en un bol, agregue las papas hervidas y tritúrelas bien. Reserve. Caliente el aceite en un kadai. Agregue los champiñones finamente picados y saltee hasta que los champiñones estén bien cocidos y toda el agua se haya evaporado de los champiñones. Apague el fuego y deje que los champiñones se enfríen. Agregue los champiñones enfriados al puré de papas junto con el chile en polvo, la sal y mezcle bien para combinar. Haga bolas de igual tamaño y aplánelas en un círculo para hacer la chuleta. Cubra las chuletas de champiñones con pan rallado por ambos lados y reserve. Agregue suficiente aceite a una sartén precalentada y fría las chuletas de champiñones hasta que estén doradas por ambos lados. Para hacer arroz frito, cocine el arroz en una olla a presión y reserve para que se enfríe por completo. Sigue los métodos de la Receta de arroz al vapor en olla a presión y cacerola para cocinar el arroz. Calienta el aceite en un wok. Agrega ajo finamente picado y saltea durante unos segundos, luego agrega el arroz cocido y revuelve. Luego agrega vinagre, salsa de soja, pimienta en polvo, sal al gusto y revuelve bien para combinar. Para hacer verduras salteadas Corta las verduras de tu elección, como zanahorias, frijoles, pimiento o brócoli en trozos. Calienta el aceite en una sartén, agrega las verduras, sal y pimienta en polvo y saltea a fuego alto durante un minuto o dos hasta que las verduras se hayan ablandado un poco. Las verduras aún deben estar un poco tiernas. Retira del fuego y reserva. Para hacer tu propia salsa Calienta el aceite en un kadai. Agrega ajo picado y saltea hasta que desaparezca el olor a crudo. No dores el ajo. Agrega salsa de chile, salsa de soja, vinagre, kétchup, pimienta en polvo y revuelve rápidamente para combinar. Apaga el fuego. Para armar la receta de chuletas de champiñones vegetarianas Sizzler, calienta la plancha de hierro al rojo vivo; ten cuidado al hacerlo y asegúrate de que no haya niños cerca. Una vez que la plancha esté al rojo vivo, retírala del fuego y rocía un poco de agua. Coloca unas hojas de col encima. Vierte arroz frito encima y saltea las verduras sobre el arroz y las chuletas de champiñones. Rocía un poco de salsa y sirve la receta de chuletas de champiñones vegetarianas Sizzler caliente. Sirve la receta de chuletas de champiñones vegetarianas Sizzler como plato único para la cena de fin de semana junto con la receta de cóctel de sangría de vino tinto.</t>
  </si>
  <si>
    <t>Pour commencer à préparer la recette de grésillement végétarien aux escalopes de champignons, nous préparerons d'abord tous les plats individuels et les garderons prêts. Pour faire des escalopes de champignons, ajoutez les pommes de terre bouillies dans un saladier et écrasez-les bien. Réservez. Faites chauffer l'huile dans un kadai. Ajoutez les champignons finement hachés et faites-les revenir jusqu'à ce qu'ils soient bien cuits et que toute l'eau se soit évaporée. Éteignez le feu et laissez les champignons refroidir. Ajoutez les champignons refroidis à la purée de pommes de terre avec la poudre de chili, le sel et mélangez bien. Faites des boules de taille égale et aplatissez-les en un rond pour faire l'escalope. Enrobez les escalopes de champignons de chapelure des deux côtés et réservez-les. Ajoutez suffisamment d'huile dans une poêle préchauffée et faites frire les escalopes de champignons jusqu'à ce qu'elles soient dorées des deux côtés. Pour faire du riz frit, faites cuire le riz dans un autocuiseur et réservez pour qu'il refroidisse complètement. Suivez la recette de riz à la vapeur - Méthodes de l'autocuiseur et de la casserole pour cuire le riz. Faites chauffer l'huile dans un wok. Ajoutez l'ail finement haché et faites revenir pendant quelques secondes, puis ajoutez le riz cuit et mélangez. Ajoutez ensuite le vinaigre, la sauce soja, la poudre de poivre, le sel au goût et mélangez bien. Pour faire des légumes sautés Coupez les légumes de votre choix comme les carottes, les haricots, le poivron ou le brocoli en morceaux. Faites chauffer l'huile dans une poêle, ajoutez les légumes, le sel et la poudre de poivre et faites revenir à feu vif pendant une minute ou deux jusqu'à ce que les légumes soient un peu tendres. Il devrait encore y avoir un peu de mordant dans les légumes. Retirez du feu et réservez. Pour faire votre propre sauce Faites chauffer l'huile dans un kadai. Ajoutez l'ail émincé et faites revenir jusqu'à ce que l'odeur crue disparaisse. Ne faites pas dorer l'ail. Ajoutez la sauce chili, la sauce soja, le vinaigre, le ketchup, la poudre de poivre et remuez rapidement pour mélanger. Éteignez le feu. Pour préparer le grésillement végétarien aux escalopes de champignons, faites chauffer la plaque de cuisson au rouge vif. Soyez prudent et assurez-vous qu'aucun enfant ne soit présent à proximité. Une fois que l'assiette est rouge vif, retirez-la du feu et arrosez d'un peu d'eau. Déposez quelques feuilles de chou dessus. Versez du riz frit dessus et faites sauter les légumes dessus, puis les escalopes de champignons. Arrosez de sauce et servez chaud. Servez ce grésillement végétarien aux escalopes de champignons comme plat unique pour le dîner du week-end, accompagné d'un cocktail de sangria au vin rouge.</t>
  </si>
  <si>
    <t>https://www.archanaskitchen.com/mushroom-cutlet-vegetarian-sizzler-recipe</t>
  </si>
  <si>
    <t>Poached Eggs Recipe With Arugula Fig Walnut Salad</t>
  </si>
  <si>
    <t>Rezept für pochierte Eier mit Rucola-Feigen-Walnuss-Salat</t>
  </si>
  <si>
    <t>Recette d'œufs pochés avec salade de roquette, figues et noix</t>
  </si>
  <si>
    <t>Receta de huevo escalfado con ensalada de rúcula, higos y nueces</t>
  </si>
  <si>
    <t>2 tasses de feuilles de roquette, 1 oignon finement tranché, 1/4 tasse d'olives noires, 10 noix, 8 figues séchées coupées en quartiers, 2 cuillères à café de miel, 1 cuillère à café de sauce soja, 1 cuillère à café de flocons de piment rouge, 1 cuillère à soupe de vinaigrette au vin rouge, 2 œufs entiers, sel et poivre pour saupoudrer, 2 cuillères à soupe de vinaigre de cidre de pomme</t>
  </si>
  <si>
    <t>2 cups Arugula leaves,1 Onions - thinly sliced,1/4 cup Black olives,10 Walnuts,8 Dried Figs - cut into quarters,2 teaspoons Honey,1 teaspoons Soy sauce,1 teaspoon Red Chilli flakes,1 tablespoon Red Wine Vinaigrette,2 Whole Eggs,Salt and Pepper - to sprinkle,2 tablespoons Apple cider vinegar</t>
  </si>
  <si>
    <t>2 tazas de hojas de rúcula, 1 cebolla en rodajas finas, 1/4 taza de aceitunas negras, 10 nueces, 8 higos secos cortados en cuartos, 2 cucharaditas de miel, 1 cucharadita de salsa de soja, 1 cucharadita de hojuelas de chile rojo, 1 cucharada de vinagreta de vino tinto, 2 huevos enteros, sal y pimienta para espolvorear, 2 cucharadas de vinagre de sidra de manzana</t>
  </si>
  <si>
    <t xml:space="preserve">To begin making the Poached Eggs Recipe With Arugula Fig Walnut Salad, we will first make the dressing for the salad. To make the dressing for the Arugula Fig Walnut SaladIn a Mixing bowl, combine the honey, soy sauce, red chilli flakes and red wine vinaigrette. Mix well and allow it to chill. To make the Arugula Fig Walnut SaladIn a mixing bowl, combine the arugula leaves along with onions, olives, walnuts and figs, toss in the already prepared dressing and mix well. Arrange the Arugula Fig Walnut Salad in a serving platter and set aside. To poach the eggs Bring water to boil in a saucepan oh high heat. When you see the water come to a rolling boil, add in the apple cider vinegar and reduce the heat to medium-low. Break the egg in a bowl and gently slip the whole egg into the bubbling water, let the egg coagulate. This will take about 6-8 minutes. When you feel the egg white is firm enough to hold the runny yolk, gradually dip in a slotted spoon and remove the egg from the water. Repeat the same for the other egg as well. Carefully place the poached eggs over the Arugula Fig Walnut Salad, sprinkle some salt and pepper and serve. Serve Poached Eggs Recipe With Arugula Fig Walnut Salad along with Maple Roasted Cinnamon Spiced Latte Recipe, some fresh fruit and nuts. 
</t>
  </si>
  <si>
    <t>Para comenzar a hacer la Receta de Huevos Poché con Ensalada de Rúcula, Higos y Nueces, primero haremos el aderezo para la ensalada. Para hacer el aderezo para la Ensalada de Rúcula, Higos y Nueces: En un tazón, combine la miel, la salsa de soya, las hojuelas de chile rojo y la vinagreta de vino tinto. Mezcle bien y deje que se enfríe. Para hacer la Ensalada de Rúcula, Higos y Nueces: En un tazón, combine las hojas de rúcula junto con las cebollas, las aceitunas, las nueces y los higos, agregue el aderezo ya preparado y mezcle bien. Coloque la Ensalada de Rúcula, Higos y Nueces en una fuente para servir y reserve. Para escalfar los huevos: Ponga agua a hervir en una cacerola a fuego alto. Cuando vea que el agua hierve, agregue el vinagre de sidra de manzana y reduzca el fuego a medio-bajo. Rompe el huevo en un bol y sumérgelo con cuidado en el agua hirviendo. Deja que se coagule. Esto tardará entre 6 y 8 minutos. Cuando sientas que la clara está lo suficientemente firme como para contener la yema líquida, introduce gradualmente una espumadera y retira el huevo del agua. Repite el proceso con el otro huevo. Coloca con cuidado los huevos escalfados sobre la ensalada de rúcula, higos y nueces, espolvorea con sal y pimienta y sirve. Sirve la receta de huevos escalfados con ensalada de rúcula, higos y nueces junto con la receta de café con leche con especias de canela y arce, fruta fresca y frutos secos.</t>
  </si>
  <si>
    <t>Pour commencer à préparer la recette d'œufs pochés avec salade de roquette, figues et noix, nous allons d'abord préparer la vinaigrette pour la salade. Pour préparer la vinaigrette pour la salade de roquette, figues et noix Dans un bol, mélanger le miel, la sauce soja, les flocons de piment rouge et la vinaigrette au vin rouge. Bien mélanger et laisser refroidir. Pour préparer la salade de roquette, figues et noix Dans un bol, mélanger les feuilles de roquette avec les oignons, les olives, les noix et les figues, incorporer la vinaigrette déjà préparée et bien mélanger. Disposer la salade de roquette, figues et noix dans un plat de service et réserver. Pour pocher les œufs Porter de l'eau à ébullition dans une casserole à feu vif. Lorsque vous voyez l'eau arriver à ébullition, ajouter le vinaigre de cidre de pomme et réduire le feu à moyen-doux. Casser l'œuf dans un bol et glisser délicatement l'œuf entier dans l'eau bouillante, laisser l'œuf coaguler. Cela prendra environ 6 à 8 minutes. Lorsque vous sentez que le blanc d'œuf est suffisamment ferme pour retenir le jaune coulant, plongez-le progressivement dans une écumoire et retirez l'œuf de l'eau. Répétez la même opération pour l'autre œuf. Déposez délicatement les œufs pochés sur la salade de roquette, de figues et de noix, saupoudrez de sel et de poivre et servez. Servez la recette d'œufs pochés avec la salade de roquette, de figues et de noix avec la recette de latte épicé à la cannelle rôtie à l'érable, des fruits frais et des noix.</t>
  </si>
  <si>
    <t>https://www.archanaskitchen.com/poached-eggs-recipe-with-arugula-fig-walnut-salad</t>
  </si>
  <si>
    <t>Orange Apple Arugula Salad Recipe With Honey Roasted Almonds &amp; Ginger Dressing</t>
  </si>
  <si>
    <t>Orangen-Apfel-Rucola-Salat-Rezept mit gerösteten Honigmandeln und Ingwer-Dressing</t>
  </si>
  <si>
    <t>Recette de salade d'orange, de pomme et de roquette avec des amandes grillées au miel et une vinaigrette au gingembre</t>
  </si>
  <si>
    <t>Ensalada de naranja, manzana y rúcula con almendras tostadas con miel y vinagreta de jengibre</t>
  </si>
  <si>
    <t>1 bouquet de feuilles de roquette, 1 orange coupée en quartiers, 1 pomme coupée en quartiers, 1/2 tasse d'oignons marinés, 1 cuillère à soupe de jus de citron, 2 cuillères à soupe de jus d'orange frais, 1 cuillère à café de miel, 1/2 pouce de gingembre râpé, sel au goût, 2 cuillères à café d'huile d'olive extra vierge - 2 cuillères à café d'huile d'olive, 1 cuillère à café de poudre de poivre noir, 1 cuillère à soupe de graines de pavot - 1 cuillère à soupe de graines de pavot, 10 Badam (amandes) coupées dans le sens de la longueur, 1 cuillère à café de beurre, 1 cuillère à café de miel</t>
  </si>
  <si>
    <t>1 bunch Arugula leaves,1 Orange - cut into wedges,1 Apple - cut into wedges,1/2 cup Pickled onions,1 tablespoon Lemon juice,2 tablespoons Fresh orange juice,1 teaspoon Honey,1/2 inch Ginger - grated,Salt - to taste,2 teaspoons Extra Virgin Olive Oil - 2 teaspoon olive oil,1 teaspoon Black pepper powder,1 tablespoon Poppy seeds - 1 tablespoon poppy seeds,10 Badam (Almond) - cut lengthwise,1 teaspoon Butter,1 teaspoon Honey</t>
  </si>
  <si>
    <t>1 manojo de hojas de rúcula, 1 naranja - cortada en gajos, 1 manzana - cortada en gajos, 1/2 taza de cebollas encurtidas, 1 cucharada de jugo de limón, 2 cucharadas de jugo de naranja fresco, 1 cucharadita de miel, 1/2 pulgada de jengibre - rallado, sal - al gusto, 2 cucharaditas de aceite de oliva virgen extra - 2 cucharaditas de aceite de oliva, 1 cucharadita de pimienta negra en polvo, 1 cucharada de semillas de amapola - 1 cucharada de semillas de amapola, 10 Badam (almendras) - cortadas a lo largo, 1 cucharadita de mantequilla, 1 cucharadita de miel</t>
  </si>
  <si>
    <t xml:space="preserve">To begin making the Orange Apple Arugula Salad Recipe With Honey Roasted Almonds &amp; Ginger Dressing, keep all the fresh ingredients ready. In a mixing bowl, combine the arugula leaves along with oranges, apples, and pickled onions. Allow it to chill in the refrigerator. To make the Ginger DressingIn a small mixing bowl, combine the lemon juice, freshly squeezed orange juice, honey, olive oil, ginger, black pepper powder, salt and poppy seeds. Mix well and allow it to chill. To make the Honey Roasted AlmondsHeat a skillet with butter on medium flame, add the almonds and fry for 1 minute. Reduce the flame, add the honey and mix it into the almonds. Increase the flame for 30 seconds, mixing the almonds continuously until it gets well coated with honey and is sticky and crisp. Once done, turn off the flame, transfer to a bowl and set aside. Finally to make the salad, toss in the ginger dressing, into the chilled arugula leaves, oranges, apples, and pickled onions. Mix well. Serve Orange Apple Arugula Salad in a platter and garnish with the honey roasted almonds. Serve the Orange Apple Arugula Salad Recipe With Honey Roasted Almonds &amp; Ginger Dressing along with Spinach Garlic Bruschetta Recipe With Red Bell Pepper Sauce, followed by a dessert of Creme Caramel Flan Recipe to complete the meal. 
</t>
  </si>
  <si>
    <t>Para comenzar a hacer la Receta de Ensalada de Rúcula, Manzana y Naranja con Almendras Tostadas con Miel y Aderezo de Jengibre, tenga todos los ingredientes frescos listos. En un tazón, combine las hojas de rúcula junto con las naranjas, las manzanas y las cebollas encurtidas. Deje que se enfríe en el refrigerador. Para hacer el Aderezo de Jengibre En un tazón pequeño, combine el jugo de limón, el jugo de naranja recién exprimido, la miel, el aceite de oliva, el jengibre, la pimienta negra en polvo, la sal y las semillas de amapola. Mezcle bien y deje que se enfríe. Para hacer las Almendras Tostadas con Miel Caliente una sartén con mantequilla a fuego medio, agregue las almendras y fría durante 1 minuto. Reduzca el fuego, agregue la miel y mézclela con las almendras. Aumente el fuego durante 30 segundos, mezclando las almendras continuamente hasta que estén bien cubiertas con miel y estén pegajosas y crujientes. Una vez hecho esto, apague el fuego, transfiera a un tazón y reserve. Finalmente, para preparar la ensalada, agregue el aderezo de jengibre a las hojas de rúcula frías, las naranjas, las manzanas y las cebollas encurtidas. Mezcle bien. Sirva la ensalada de rúcula, naranja, manzana y naranja en una fuente y decore con las almendras tostadas con miel. Sirva la receta de ensalada de rúcula, naranja, manzana y naranja con almendras tostadas con miel y aderezo de jengibre junto con la receta de bruschetta de espinacas y ajo con salsa de pimiento rojo, seguida de un postre de flan de crema de caramelo para completar la comida.</t>
  </si>
  <si>
    <t>Pour commencer à préparer la recette de salade de roquette aux pommes et à l'orange avec des amandes grillées au miel et une vinaigrette au gingembre, gardez tous les ingrédients frais à portée de main. Dans un saladier, mélangez les feuilles de roquette avec les oranges, les pommes et les oignons marinés. Laissez refroidir au réfrigérateur. Pour préparer la vinaigrette au gingembre Dans un petit saladier, mélangez le jus de citron, le jus d'orange fraîchement pressé, le miel, l'huile d'olive, le gingembre, la poudre de poivre noir, le sel et les graines de pavot. Mélangez bien et laissez refroidir. Pour préparer les amandes grillées au miel Faites chauffer une poêle avec du beurre à feu moyen, ajoutez les amandes et faites-les revenir pendant 1 minute. Réduisez le feu, ajoutez le miel et mélangez-le aux amandes. Augmentez le feu pendant 30 secondes, en mélangeant continuellement les amandes jusqu'à ce qu'elles soient bien enrobées de miel et qu'elles soient collantes et croustillantes. Une fois terminé, éteignez le feu, transférez dans un bol et réservez. Enfin, pour préparer la salade, ajoutez la vinaigrette au gingembre aux feuilles de roquette refroidies, aux oranges, aux pommes et aux oignons marinés. Mélangez bien. Servez la salade de roquette à l'orange et aux pommes dans un plat et garnissez d'amandes grillées au miel. Servez la recette de salade de roquette à l'orange et aux pommes avec des amandes grillées au miel et une vinaigrette au gingembre accompagnée d'une bruschetta aux épinards et à l'ail avec une sauce aux poivrons rouges, suivie d'un dessert de flan à la crème caramel pour compléter le repas.</t>
  </si>
  <si>
    <t>https://www.archanaskitchen.com/orange-apple-arugula-salad-recipe-with-honey-roasted-almonds-ginger-dressing</t>
  </si>
  <si>
    <t>Maltesers Butter Cookie Recipe</t>
  </si>
  <si>
    <t>Maltesers Butterkeks-Rezept</t>
  </si>
  <si>
    <t>Recette de biscuits au beurre Maltesers</t>
  </si>
  <si>
    <t>Receta de galletas de mantequilla Maltesers</t>
  </si>
  <si>
    <t>100 grammes de Maltesers, 3/4 tasse de beurre, 1 tasse de sucre glace, 3 cuillères à soupe de lait, 1 cuillère à café d'extrait de vanille, 2-1/2 tasses de farine tout usage (Maida), 1/2 cuillère à café de sel</t>
  </si>
  <si>
    <t>100 grams Maltesers,3/4 cup Butter,1 cup Icing Sugar,3 tablespoon Milk,1 teaspoon Vanilla Extract,2-1/2 cups All Purpose Flour (Maida),1/2 teaspoon Salt</t>
  </si>
  <si>
    <t>100 gramos de Maltesers, 3/4 taza de mantequilla, 1 taza de azúcar glas, 3 cucharadas de leche, 1 cucharadita de extracto de vainilla, 2-1/2 tazas de harina para todo uso (Maida), 1/2 cucharadita de sal</t>
  </si>
  <si>
    <t xml:space="preserve">To begin making the Maltesers Butter Cookie Recipe, line up a baking tray with baking sheet and keep aside. Sift together flour and salt and keep aside.Add butter and icing sugar together in the bowl of your electric beater. Beat on medium speed until the mixture becomes creamy.Add the milk, vanilla extract and beat again until combined. Now add the flour and beat on slow speed until flour gets well mixed.Do not over beat. Use your hands to bring the dough together. Wrap the butter cookie dough in a cling film and refrigerate for about an hour.Once the cookie dough has firmed up in the refrigerator. Preheat oven to 180 C.Dust a rolling surface with enough flour, roll the butter cookie dough and using a cookie cutter, cut the dough as any shape as you desire. Transfer the butter cookies in a lined baking tray.Drop a maltesers on the top and slightly give a press. Bake the cookies for 10 -15 minutes in middle rack of the oven until you notice slight cracks on the cookie.Remove the cookie from the oven and allow the Maltesers Butter Cookie to cool completely on a wire rack. Once cooled, the cookies are ready to be served.
</t>
  </si>
  <si>
    <t>Para comenzar a hacer la Receta de Galletas de Mantequilla Maltesers, alinee una bandeja para hornear con una bandeja para hornear y déjela a un lado. Tamice la harina y la sal juntas y déjelas a un lado. Agregue la mantequilla y el azúcar glas juntos en el tazón de su batidora eléctrica. Bata a velocidad media hasta que la mezcla se vuelva cremosa. Agregue la leche, el extracto de vainilla y bata nuevamente hasta que se combinen. Ahora agregue la harina y bata a velocidad lenta hasta que la harina esté bien mezclada. No bata demasiado. Use sus manos para unir la masa. Envuelva la masa de galletas de mantequilla en una película adhesiva y refrigere durante aproximadamente una hora. Una vez que la masa de galletas se haya reafirmado en el refrigerador. Precaliente el horno a 180 C. Espolvoree una superficie para hornear con suficiente harina, extienda la masa de galletas de mantequilla y, con un cortador de galletas, corte la masa en la forma que desee. Transfiera las galletas de mantequilla a una bandeja para hornear forrada. Deje caer un maltesers en la parte superior y presione ligeramente. Hornee las galletas de 10 a 15 minutos en la rejilla central del horno hasta que note pequeñas grietas. Retire la galleta del horno y deje que la Galleta de Mantequilla Maltesers se enfríe completamente sobre una rejilla. Una vez frías, estarán listas para servir.</t>
  </si>
  <si>
    <t>Pour commencer à préparer la recette de biscuits au beurre Maltesers, alignez une plaque de cuisson avec une feuille de cuisson et réservez. Tamisez ensemble la farine et le sel et réservez. Ajoutez le beurre et le sucre glace dans le bol de votre batteur électrique. Battez à vitesse moyenne jusqu'à ce que le mélange devienne crémeux. Ajoutez le lait, l'extrait de vanille et battez à nouveau jusqu'à ce que le tout soit combiné. Ajoutez maintenant la farine et battez à vitesse lente jusqu'à ce que la farine soit bien mélangée. Ne battez pas trop. Utilisez vos mains pour rassembler la pâte. Enveloppez la pâte à biscuits au beurre dans un film alimentaire et réfrigérez pendant environ une heure. Une fois la pâte à biscuits raffermie au réfrigérateur. Préchauffez le four à 180 °C. Saupoudrez une surface de roulement avec suffisamment de farine, étalez la pâte à biscuits au beurre et à l'aide d'un emporte-pièce, découpez la pâte dans la forme que vous désirez. Transférez les biscuits au beurre dans une plaque de cuisson tapissée. Déposez un Maltesers sur le dessus et appuyez légèrement. Faites cuire les biscuits pendant 10 à 15 minutes sur la grille du milieu du four, jusqu'à ce que de légères fissures apparaissent. Retirez-les du four et laissez-les refroidir complètement sur une grille. Une fois refroidis, les biscuits sont prêts à être servis.</t>
  </si>
  <si>
    <t>https://www.archanaskitchen.com/maltesers-butter-cookie-recipe</t>
  </si>
  <si>
    <t>Pineapple, Onions and Cabbage Slaw with Honey Mustard Recipe</t>
  </si>
  <si>
    <t>Rezept für Ananas-, Zwiebel- und Kohlsalat mit Honig-Senf-Sauce</t>
  </si>
  <si>
    <t>Recette de salade d'ananas, d'oignons et de chou avec sauce miel et moutarde</t>
  </si>
  <si>
    <t>Ensalada de piña, cebolla y repollo con aderezo de mostaza y miel</t>
  </si>
  <si>
    <t>1 tasse de chou (Patta Gobi/Muttaikose) - râpé, 1 tasse d'ananas - haché, 1 oignon - tranché, 2 cuillères à soupe de sauce moutarde, 1 cuillère à café de miel, 1 jus de citron, 3 cuillères à soupe de crème fraîche, sel - au goût</t>
  </si>
  <si>
    <t>1 cup Cabbage (Patta Gobi/ Muttaikose) - shredded,1 cup Pineapple - chopped,1 Onion - sliced,2 tablespoons Mustard sauce,1 teaspoon Honey,1 Lemon juice,3 tablespoons Fresh cream,Salt - to taste</t>
  </si>
  <si>
    <t>1 taza de repollo (Patta Gobi/Muttaikose) - rallado, 1 taza de piña - picada, 1 cebolla - en rodajas, 2 cucharadas de salsa de mostaza, 1 cucharadita de miel, 1 jugo de limón, 3 cucharadas de crema fresca, sal - al gusto</t>
  </si>
  <si>
    <t xml:space="preserve">To begin making Pineapple, Onions, Cabbage Slaw with Honey Mustard Recipe we will add mustard sauce, honey, lemon juice, cream and salt into a large bowl and whip till it is well combined.Add in the freshly chopped vegetables to the bowl and mix well. Toss it evenly till the dressing is mixed well with vegetables . Check the seasoning and adjust according to your taste.Serve the Pineapple, Onions, and Cabbage Slaw with Honey Mustard Recipe along with Mexican Lime Chicken Recipe or Mexican tacos to enjoy your Sunday lunch.
</t>
  </si>
  <si>
    <t>Para preparar la receta de ensalada de piña, cebolla y repollo con mostaza y miel, añadiremos la salsa de mostaza, la miel, el jugo de limón, la crema y la sal a un tazón grande y batiremos hasta que esté bien combinado. Añada las verduras recién picadas al tazón y mezcle bien. Revuelva uniformemente hasta que el aderezo se integre bien con las verduras. Pruebe la sazón y ajuste a su gusto. Sirva la receta de ensalada de piña, cebolla y repollo con mostaza y miel junto con la receta de pollo al limón mexicano o tacos mexicanos para disfrutar de su almuerzo dominical.</t>
  </si>
  <si>
    <t>Pour commencer la recette de salade de chou à l'ananas, aux oignons et à la moutarde au miel, ajoutez la sauce moutarde, le miel, le jus de citron, la crème et le sel dans un grand bol et fouettez jusqu'à ce que le tout soit bien mélangé. Ajoutez les légumes fraîchement coupés dans le bol et mélangez bien. Mélangez bien jusqu'à ce que la vinaigrette soit bien mélangée aux légumes. Vérifiez l'assaisonnement et ajustez selon votre goût. Servez la recette de salade de chou à l'ananas, aux oignons et à la moutarde au miel avec une recette de poulet mexicain au citron vert ou des tacos mexicains pour votre déjeuner du dimanche.</t>
  </si>
  <si>
    <t>http://www.archanaskitchen.com/pineapple-onions-and-cabbage-slaw-with-honey-mustard-recipe</t>
  </si>
  <si>
    <t>Delicious &amp; Cheesy Spaghetti Sandwich Recipe</t>
  </si>
  <si>
    <t>Leckeres &amp; käsiges Spaghetti-Sandwich-Rezept</t>
  </si>
  <si>
    <t>Recette de sandwich aux spaghettis délicieux et au fromage</t>
  </si>
  <si>
    <t>Deliciosa receta de sándwich de espaguetis con queso</t>
  </si>
  <si>
    <t>4 pains à hot-dog ou bagutte, 200 grammes de pâtes spaghetti, 1/2 tasse de sauce tomate et basilic, 1/4 tasse de fromage mozzarella, 1/4 tasse de fromage cheddar, beurre à l'ail - à tartiner, 2 gousses d'ail - râpées, huile d'olive extra vierge - selon les besoins, sel - au goût</t>
  </si>
  <si>
    <t>4 Hot Dog Bread - or Bagutte,200 grams Spaghetti Pasta,1/2 cup Tomato Basil Pasta Sauce,1/4 cup Mozzarella cheese,1/4 cup Cheddar cheese,Garlic Butter - to spread,2 cloves Garlic - grated,Extra Virgin Olive Oil - as required,Salt - to taste</t>
  </si>
  <si>
    <t>4 panes para hot dogs o baguttes, 200 gramos de pasta espagueti, 1/2 taza de salsa para pasta con tomate y albahaca, 1/4 taza de queso mozzarella, 1/4 taza de queso cheddar, mantequilla de ajo para untar, 2 dientes de ajo rallados, aceite de oliva virgen extra (según se requiera), sal al gusto</t>
  </si>
  <si>
    <t xml:space="preserve">To begin making the Cheesy Spaghetti Sandwich Recipe, first you will need to keep the get the tomato basil pasta sauce ready.You can either use store bought sauce or make the sauce at home using this recipe - Tomato Basil Pasta Sauce and Pizza Sauce Recipe.We will then cook the spaghetti pasta along with salt in boiling water until al dente.Once the pasta is cooked, drain it from the hot water and run it under cold water immediately to stop the process of cooking.Drain the pasta from its water and drizzle a bit of olive oil to prevent it from sticking to each other. Keep the pasta aside.In a heavy bottomed pan, add in a tablespoon of olive oil and the grated garlic. Saute for a few seconds andNow add the cooked spaghetti to this pan along with the tomato basil pasta sauce and stir wellOnce the pasta is well coated with the sauce, turn off the heat.Next, slit the submarine bread horizontally. Apply butter on both the halves of the bread. Toast both halves of the bread on a griddle over medium heat until slightly golden brown and crisp. Once the bread is toasted, remove from the heat.In a mixing bowl, combine the cheddar cheese and mozzarella cheese and set aside.Place the toasted subway bread on a flat surface.  Place some tomato basil spaghetti on lower half of the bread and top it generously with cheese on the top. Cover the sandwich with the other half of the breadTo lightly met the cheese, place this Cheesy Spaghetti Sandwich in the microwave for 1 minute on high heat.Serve this Cheesy Spaghetti Sandwich Recipe along with French Onion Soup Recipe for a special weekend dinner along with Rich Dark Chocolate Mousse as a dessert
</t>
  </si>
  <si>
    <t>Para comenzar a hacer la Receta del Sándwich de Espaguetis con Queso, primero tendrás que tener lista la salsa de pasta con tomate y albahaca. Puedes usar salsa comprada en la tienda o hacer la salsa en casa usando esta receta: Salsa de Pasta con Tomate y Albahaca y Receta de Salsa para Pizza. Luego cocinaremos la pasta con espaguetis junto con sal en agua hirviendo hasta que esté al dente. Una vez que la pasta esté cocida, escúrrela del agua caliente y pásala inmediatamente por agua fría para detener el proceso de cocción. Escurre la pasta de su agua y rocía un poco de aceite de oliva para evitar que se pegue. Deja la pasta a un lado. En una sartén de fondo grueso, agrega una cucharada de aceite de oliva y el ajo rallado. Saltea durante unos segundos yAhora agrega los espaguetis cocidos a esta sartén junto con la salsa de pasta con tomate y albahaca y revuelve bienUna vez que la pasta esté bien cubierta con la salsa, apaga el fuego.A continuación, corta el pan submarino horizontalmente. Aplica mantequilla en ambas mitades del pan. Tuesta ambas mitades del pan en una plancha a fuego medio hasta que estén ligeramente doradas y crujientes. Una vez tostado, retira del fuego. En un bol, mezcla el queso cheddar y el mozzarella y reserva. Coloca el pan tostado en una superficie plana. Coloca espaguetis con tomate y albahaca en la parte inferior y cúbrelos generosamente con queso. Cubre el sándwich con la otra mitad. Para que el queso se funda ligeramente, calienta este sándwich de espaguetis con queso en el microondas durante 1 minuto a fuego alto. Sirve esta receta de sándwich de espaguetis con queso junto con la sopa de cebolla francesa para una cena especial de fin de semana, y con un rico mousse de chocolate negro como postre.</t>
  </si>
  <si>
    <t>Pour commencer à préparer la recette du sandwich aux spaghettis au fromage, vous devrez d'abord préparer la sauce tomate et basilic pour pâtes. Vous pouvez utiliser une sauce achetée en magasin ou préparer la sauce à la maison en utilisant cette recette - Recette de sauce tomate et basilic pour pâtes et sauce à pizza. Nous allons ensuite cuire les pâtes spaghetti avec du sel dans de l'eau bouillante jusqu'à ce qu'elles soient al dente. Une fois les pâtes cuites, égouttez-les de l'eau chaude et passez-les immédiatement sous l'eau froide pour arrêter le processus de cuisson. Égouttez les pâtes de leur eau et arrosez d'un peu d'huile d'olive pour éviter qu'elles ne collent les unes aux autres. Gardez les pâtes de côté. Dans une poêle à fond épais, ajoutez une cuillère à soupe d'huile d'olive et l'ail râpé. Faites revenir quelques secondes et ajoutez maintenant les spaghettis cuits dans cette poêle avec la sauce tomate et basilic pour pâtes et remuez bien. Une fois les pâtes bien enrobées de sauce, éteignez le feu. Ensuite, coupez le pain sous-marin horizontalement. Appliquez du beurre sur les deux moitiés du pain. Faites griller les deux moitiés du pain sur une plaque chauffante à feu moyen jusqu'à ce qu'elles soient légèrement dorées et croustillantes. Une fois le pain grillé, retirez-le du feu. Dans un saladier, mélangez le cheddar et la mozzarella, puis réservez. Déposez le pain Subway grillé sur une surface plane. Déposez des spaghettis tomate-basilic sur la moitié inférieure du pain et garnissez généreusement de fromage. Recouvrez le sandwich avec l'autre moitié du pain. Pour faire fondre légèrement le fromage, placez ce sandwich au fromage et aux spaghettis au micro-ondes pendant 1 minute à feu vif. Servez ce sandwich au fromage et aux spaghettis accompagné d'une soupe à l'oignon française pour un dîner de week-end spécial, accompagné d'une mousse au chocolat noir onctueuse en dessert.</t>
  </si>
  <si>
    <t>https://www.archanaskitchen.com/delicious-cheesy-spaghetti-sandwich-recipe</t>
  </si>
  <si>
    <t>Broccoli Oats Smoothie Bowl Recipe</t>
  </si>
  <si>
    <t>Rezept für eine Smoothie-Bowl mit Brokkoli und Hafer</t>
  </si>
  <si>
    <t>Recette de smoothie bowl au brocoli et à l'avoine</t>
  </si>
  <si>
    <t>Receta de batido de brócoli y avena</t>
  </si>
  <si>
    <t>1 tasse de brocoli cuit à la vapeur, 3/4 tasse de lait, 1 tasse de caillé (dahi / yaourt), 1/4 tasse d'avoine instantanée (gruau), miel ou sucre au besoin, fruits mélangés au besoin, fruits secs mélangés au besoin</t>
  </si>
  <si>
    <t>1 cup Broccoli - steamed,3/4 cup Milk,1 cup Curd (Dahi / Yogurt),1/4 cup Instant Oats (Oatmeal),Honey - or sugar as required,Mixed fruits - as required,Mixed dry fruits - as required</t>
  </si>
  <si>
    <t>1 taza de brócoli al vapor, 3/4 taza de leche, 1 taza de cuajada (dahi/yogur), 1/4 taza de avena instantánea (avena), miel o azúcar al gusto, frutas mixtas al gusto, frutas secas mixtas al gusto</t>
  </si>
  <si>
    <t xml:space="preserve">To begin making the Broccoli Oats Smoothie Bowl, add the steamed broccoli, milk, curd, oats and honey in a blender.Blend everything until it is well combined and smooth. Once done, transfer the roccoli Oats smoothie in a bowl and garnish it with fruits and dry fruits of your choice.Serve Broccoli Oats Smoothie Bowl on its own for a healthy or for a more filling breakfast serve with with Masala Omelette Waffles or Spicy Jalapeno Scrambled Eggs Recipe.
</t>
  </si>
  <si>
    <t>Para preparar el Smoothie Bowl de Brócoli y Avena, añade el brócoli al vapor, la leche, la cuajada, la avena y la miel a la licuadora. Licúa todo hasta obtener una mezcla homogénea. Una vez listo, transfiere el Smoothie Bowl de Brócoli y Avena a un tazón y decora con frutas y frutos secos de tu elección. Sirve el Smoothie Bowl de Brócoli y Avena solo para un desayuno saludable o más completo, o acompáñalo con waffles de tortilla masala o huevos revueltos con jalapeño picante.</t>
  </si>
  <si>
    <t>Pour préparer le smoothie au brocoli et à l'avoine, ajoutez le brocoli cuit à la vapeur, le lait, le lait caillé, l'avoine et le miel dans un mixeur. Mixez le tout jusqu'à obtenir une consistance lisse. Une fois le smoothie au brocoli et à l'avoine prêt, transférez-le dans un bol et garnissez-le de fruits et de fruits secs de votre choix. Servez le smoothie au brocoli et à l'avoine seul pour un petit-déjeuner sain ou plus copieux, accompagné de gaufres à l'omelette Masala ou d'œufs brouillés au jalapeño épicé.</t>
  </si>
  <si>
    <t>http://www.archanaskitchen.com/broccoli-oats-smoothie-bowl-recipe</t>
  </si>
  <si>
    <t>Eggless Red Velvet Beetroot Muffins Recipe</t>
  </si>
  <si>
    <t>Rezept für eifreie Red Velvet Rote-Bete-Muffins</t>
  </si>
  <si>
    <t>Recette de muffins à la betterave et au velours rouge sans œufs</t>
  </si>
  <si>
    <t>Receta de muffins de remolacha y terciopelo rojo sin huevo</t>
  </si>
  <si>
    <t>1 tasse de farine tout usage (Maida), 3/4 tasse de sucre en poudre, 1-1/4 cuillère à café de levure chimique, 2 cuillères à café de cacao en poudre, 1/4 cuillère à café de sel, 1/4 tasse d'huile de tournesol, 1/3 tasse de caillé (Dahi / Yaourt), 1/2 tasse de betteraves rouges en purée (environ 2 betteraves de taille moyenne), 1 cuillère à café de jus de citron ou de vinaigre, 1 cuillère à café d'extrait de vanille, pépites de chocolat - une poignée</t>
  </si>
  <si>
    <t>1 cup All Purpose Flour (Maida),3/4 cup Sugar - powdered,1-1/4 teaspoon Baking powder,2 teaspoons Cocoa Powder,1/4 teaspoon Salt,1/4 cup Sunflower Oil,1/3 cup Curd (Dahi / Yogurt),1/2 cup Beetroot - pureed (around 2 medium sized beets),1 teaspoon Lemon juice - or Vinegar,1 teaspoon Vanilla Extract,Chocolate chips - a handful</t>
  </si>
  <si>
    <t>1 taza de harina para todo uso (Maida), 3/4 taza de azúcar - en polvo, 1-1/4 cucharadita de polvo para hornear, 2 cucharaditas de cacao en polvo, 1/4 cucharadita de sal, 1/4 taza de aceite de girasol, 1/3 taza de cuajada (Dahi / yogur), 1/2 taza de remolacha - hecha puré (alrededor de 2 remolachas de tamaño mediano), 1 cucharadita de jugo de limón - o vinagre, 1 cucharadita de extracto de vainilla, chispas de chocolate - un puñado</t>
  </si>
  <si>
    <t xml:space="preserve">To begin making Eggless Red Velvet Beetroot Muffins, we have to first prepare the beetroot pureeTo make the beetroot puree along with 1/2 cup of water in a pressure cooker for about 4 to 5 whistles. Once cooked well, allow it to cool and then puree the beetroot in a mixer grinder.Measure 1/2 cup beetroot puree and keep aside. (only add a little water to the blender if necessary)Put your oven on preheat at 180°C and line your muffin tray with cupcake liners.In a bowl, sift together flour, cocoa powder, baking powder, and salt. Keep aside.In another bowl, add curd and sugar, and beat it at high speed till sugar gets dissolved.Next, add oil and vanilla essence to the curd mixture and beat till oil is well incorporated.Now add the beetroot puree and lemon juice (or vinegar) and beat at low speed till everything is well mixed.Next, add the sifted flour mixture in 3 parts and mix at lowest speed till just combined. Do not over mix the Eggless Beetroot muffin batter.Pour the prepared muffin batter into the moulds and sprinkle some white chocolate chips on top. Bake the Eggless Beetroot muffins at 180°C for about 25 minutes or until a toothpick inserted comes out clean. Once done, take the Eggless Beetroot muffin out of the oven and keep them on a wire rack to cool down. Your Eggless Red Velvet Beetroot Muffins are ready to be served. Serve Eggless Red Velvet Beetroot Muffins along with a cup of Masala Tea or pack in as a snack in your kid's snack box 
</t>
  </si>
  <si>
    <t>Para empezar a hacer Muffins de Remolacha Red Velvet sin Huevo, primero tenemos que preparar el puré de remolachaPara hacer el puré de remolacha junto con 1/2 taza de agua en una olla a presión durante unos 4 a 5 silbidos. Una vez cocido bien, déjelo enfriar y luego haga puré de remolacha en una licuadora. Mida 1/2 taza de puré de remolacha y reserve. (solo agregue un poco de agua a la licuadora si es necesario)Precaliente el horno a 180 ° C y cubra su bandeja de muffins con capacillos para cupcakes.En un tazón, tamice la harina, el cacao en polvo, el polvo para hornear y la sal. Español Reservar. En otro bol, añadir la cuajada y el azúcar, y batir a alta velocidad hasta que el azúcar se disuelva. A continuación, añadir el aceite y la esencia de vainilla a la mezcla de cuajada y batir hasta que el aceite esté bien incorporado. Ahora añadir el puré de remolacha y el zumo de limón (o vinagre) y batir a baja velocidad hasta que todo esté bien mezclado. A continuación, añadir la mezcla de harina tamizada en 3 partes y mezclar a la velocidad más baja hasta que se combinen. No mezcle demasiado la masa de muffins de remolacha sin huevo. Verter la masa de muffins preparada en los moldes y espolvorear algunas chispas de chocolate blanco por encima. Hornear los muffins de remolacha sin huevo a 180 °C durante unos 25 minutos o hasta que al insertar un palillo, este salga limpio. Una vez hecho esto, sacar los muffins de remolacha sin huevo del horno y dejarlos sobre una rejilla para que se enfríen. Sus muffins de remolacha Red Velvet sin huevo están listos para servir. Sirva muffins de remolacha Red Velvet sin huevo con una taza de té Masala o llévelos como refrigerio en la caja de refrigerios de sus hijos.</t>
  </si>
  <si>
    <t>Pour commencer à préparer des muffins à la betterave Red Velvet sans œufs, nous devons d'abord préparer la purée de betterave. Pour préparer la purée de betterave avec 1/2 tasse d'eau dans un autocuiseur pendant environ 4 à 5 sifflements. Une fois bien cuite, laissez-la refroidir, puis réduisez la betterave en purée dans un mixeur-broyeur. Mesurez 1/2 tasse de purée de betterave et réservez. (ajoutez seulement un peu d'eau au mixeur si nécessaire) Mettez votre four à préchauffer à 180 ° C et tapissez votre moule à muffins de caissettes à cupcakes. Dans un bol, tamisez ensemble la farine, le cacao en poudre, la levure chimique et le sel. Français Réservez. Dans un autre bol, ajoutez le caillé et le sucre et battez à grande vitesse jusqu'à ce que le sucre soit dissous. Ensuite, ajoutez l'huile et l'essence de vanille au mélange de caillé et battez jusqu'à ce que l'huile soit bien incorporée. Ajoutez maintenant la purée de betterave et le jus de citron (ou le vinaigre) et battez à basse vitesse jusqu'à ce que tout soit bien mélangé. Ensuite, ajoutez le mélange de farine tamisé en 3 parties et mélangez à la vitesse la plus basse jusqu'à ce que le tout soit juste combiné. Ne mélangez pas trop la pâte à muffins à la betterave sans œufs. Versez la pâte à muffins préparée dans les moules et saupoudrez de pépites de chocolat blanc sur le dessus. Faites cuire les muffins à la betterave sans œufs à 180 °C pendant environ 25 minutes ou jusqu'à ce qu'un cure-dent inséré en ressorte propre. Une fois cuit, sortez les muffins à la betterave sans œufs du four et laissez-les refroidir sur une grille. Vos muffins à la betterave Red Velvet sans œufs sont prêts à être servis. Servez les muffins Red Velvet à la betterave sans œufs avec une tasse de thé Masala ou placez-les comme collation dans la boîte à goûter de votre enfant.</t>
  </si>
  <si>
    <t>https://www.archanaskitchen.com/eggless-red-velvet-beetroot-muffins-recipe</t>
  </si>
  <si>
    <t>Spiced Whole Wheat Cookie Recipe (Atta Biscuit)</t>
  </si>
  <si>
    <t>Rezept für gewürzte Vollkornkekse (Atta Biscuit)</t>
  </si>
  <si>
    <t>Recette de biscuits complets épicés (Atta Biscuit)</t>
  </si>
  <si>
    <t>Receta de galletas integrales especiadas (Atta Biscuit)</t>
  </si>
  <si>
    <t>1 tasse de farine de blé entier, 1/2 tasse de sucre en poudre, 1/2 tasse de beurre réfrigéré, 1 cuillère à soupe de poudre de graines de lin (farine de lin), 1 cuillère à café de poudre de cardamome (Elaichi), lait - au besoin</t>
  </si>
  <si>
    <t>1 cup Whole Wheat Flour,1/2 cup Sugar - powdered,1/2 cup Butter - chilled,1 tablespoon Flax seed powder (flax meal),1 teaspoon Cardamom Powder (Elaichi),Milk - as required</t>
  </si>
  <si>
    <t>1 taza de harina integral, 1/2 taza de azúcar en polvo, 1/2 taza de mantequilla fría, 1 cucharada de polvo de semilla de lino (harina de lino), 1 cucharadita de cardamomo en polvo (Elaichi), leche (según se requiera)</t>
  </si>
  <si>
    <t xml:space="preserve">To begin making the Spiced Whole Wheat Cookie Recipe (Atta Biscuit), first get all the ingredients ready and keep aside. Cut the butter into small pieces.In a large mixing bowl, add the sugar, flour, cardamon powder and stir well to combine. Add the butter pieces and rub it into the flour until it becomes like a coarse mixture of breadcrumb like texture.Add little milk at a time and knead to make a firm dough. Add just enough milk that will hold the dough together and you can shape it into a cookie. Wrap the dough in a cling wrap and refrigerate for 30 minutes. This process will firm up the dough and make it crisp when baking.Once chilled, dust the surface with flour and roll the cookie dough and using a cookie cutter cut them into circles of 1/4 inch thickness. Arrange the whole wheat flour spiced cookies in a baking tray.Preheat the oven to 180 C. Place the wheat cookies in the oven and bake for about 10 to 12 minutes until you notice the cookie cracking up, turning crisp and brown.Once done, remove the wheat cookies from the oven and allow them to cool in a wire rack. Once cooled, store the cookies in an airtight container for about 2 weeks.Serve the Spiced Whole Wheat Cookie along with masala chai or coffee or simply a chilled glass of milk for an evening snack.
</t>
  </si>
  <si>
    <t>Para comenzar a hacer la Receta de Galletas de Trigo Integral Especiadas (Atta Biscuit), primero prepare todos los ingredientes y déjelos a un lado. Corte la mantequilla en trozos pequeños. En un tazón grande, agregue el azúcar, la harina, el cardamomo en polvo y revuelva bien para combinar. Agregue los trozos de mantequilla y frótelos en la harina hasta que se vuelva como una mezcla gruesa con textura de pan rallado. Agregue un poco de leche a la vez y amase para hacer una masa firme. Agregue solo la leche suficiente para mantener la masa unida y pueda darle forma de galleta. Envuelva la masa en una envoltura adhesiva y refrigere durante 30 minutos. Este proceso reafirmará la masa y la hará crujiente al hornear. Una vez fría, espolvoree la superficie con harina y enrolle la masa para galletas y, con un cortador de galletas, córtelas en círculos de 1/4 de pulgada de grosor. Coloca las galletas de harina integral especiadas en una bandeja para hornear. Precalienta el horno a 180 °C. Hornea de 10 a 12 minutos hasta que notes que se agrietan, se vuelven crujientes y doradas. Una vez listas, retira las galletas del horno y déjalas enfriar sobre una rejilla. Una vez frías, guárdalas en un recipiente hermético durante aproximadamente dos semanas. Sirve las galletas de harina integral especiadas con masala chai, café o simplemente con un vaso de leche fría para una merienda.</t>
  </si>
  <si>
    <t>Pour commencer à préparer la recette de biscuits au blé entier épicés (biscuits Atta), préparez d'abord tous les ingrédients et réservez-les. Coupez le beurre en petits morceaux. Dans un grand bol, ajoutez le sucre, la farine, la poudre de cardamome et remuez bien pour mélanger. Ajoutez les morceaux de beurre et frottez-les dans la farine jusqu'à obtenir une texture grossière de chapelure. Ajoutez un peu de lait à la fois et pétrissez pour obtenir une pâte ferme. Ajoutez juste assez de lait pour maintenir la pâte ensemble et vous pourrez la façonner en biscuit. Enveloppez la pâte dans un film alimentaire et réfrigérez pendant 30 minutes. Ce processus raffermira la pâte et la rendra croustillante à la cuisson. Une fois refroidie, saupoudrez la surface de farine et roulez la pâte à biscuits et, à l'aide d'un emporte-pièce, coupez-les en cercles de 1/4 de pouce d'épaisseur. Disposez les biscuits épicés à la farine de blé entier sur une plaque de cuisson. Préchauffez le four à 180 °C. Enfournez et laissez cuire 10 à 12 minutes, jusqu'à ce qu'ils se fissurent, deviennent croustillants et dorés. Une fois cuits, sortez les biscuits du four et laissez-les refroidir sur une grille. Conservez-les ensuite dans un récipient hermétique pendant environ deux semaines. Servez les biscuits épicés au blé entier avec du chai masala, du café ou simplement un verre de lait frais pour une collation en soirée.</t>
  </si>
  <si>
    <t>http://www.archanaskitchen.com/spiced-whole-wheat-cookie-recipe-atta-biscuit</t>
  </si>
  <si>
    <t>Grilled Paneer Mint Salad Recipe With Pickled Onions &amp; Pomegranates</t>
  </si>
  <si>
    <t>Rezept für gegrillten Paneer-Minzsalat mit eingelegten Zwiebeln und Granatäpfeln</t>
  </si>
  <si>
    <t>Recette de salade de paneer grillé à la menthe avec oignons marinés et grenades</t>
  </si>
  <si>
    <t>Receta de ensalada de paneer a la parrilla con menta, cebollas encurtidas y granadas</t>
  </si>
  <si>
    <t>1 laitue iceberg, 200 grammes de paneer (fromage cottage fait maison), 1/2 cuillère à café de poudre de poivre noir, 1/2 cuillère à café de poudre de cumin (Jeera), 1 cuillère à soupe de jus de citron, sel - au goût, 1/2 tasse de noyaux de grenade frais, 2 brins de feuilles de menthe (Pudina) - pour garnir, quartiers de citron - pour servir, 1 cuillère à café de poudre de chaat masala - pour saupoudrer, 2 oignons - coupés en rondelles, 1 cuillère à soupe de jus de citron, sel - au goût, 1 cuillère à café de jus de citron, 1/2 cuillère à café de poudre de poivre noir, 1/2 cuillère à café de poudre de cumin (Jeera), 1/2 cuillère à café d'huile d'olive extra vierge, 3 gousses d'ail - finement hachées, 1 cuillère à soupe de miel</t>
  </si>
  <si>
    <t>1 Iceberg lettuce,200 grams Paneer (Homemade Cottage Cheese),1/2 teaspoon Black pepper powder,1/2 teaspoon Cumin powder (Jeera),1 tablespoon Lemon juice,Salt - to taste,1/2 cup Fresh Pomegranate Fruit Kernels,2 sprig Mint Leaves (Pudina) - to garnish,Lemon wedges - to serve,1 teaspoon Chaat Masala Powder - to sprinkle,2 Onions - cut into roundels,1 tablespoons Lemon juice,Salt - to taste,1 teaspoon Lemon juice,1/2 teaspoon Black pepper powder,1/2 teaspoon Cumin powder (Jeera),1/2 teaspoon Extra Virgin Olive Oil,3 cloves Garlic - finely chopped,1 tablespoon Honey</t>
  </si>
  <si>
    <t>1 lechuga iceberg, 200 gramos de paneer (requesón casero), 1/2 cucharadita de pimienta negra en polvo, 1/2 cucharadita de comino en polvo (jeera), 1 cucharada de jugo de limón, sal al gusto, 1/2 taza de semillas de granada fresca, 2 ramitas de hojas de menta (pudina) para decorar, gajos de limón para servir, 1 cucharadita de polvo de chaat masala para espolvorear, 2 cebollas cortadas en rodajas, 1 cucharada de jugo de limón, sal al gusto, 1 cucharadita de jugo de limón, 1/2 cucharadita de pimienta negra en polvo, 1/2 cucharadita de comino en polvo (jeera), 1/2 cucharadita de aceite de oliva virgen extra, 3 dientes de ajo finamente picados, 1 cucharada de miel</t>
  </si>
  <si>
    <t xml:space="preserve">To begin making the Grilled Paneer Mint Salad Recipe With Pickled Onions &amp; Pomegranates, slice the paneer and cut them into small triangles. Place the paneer triangles in a mixing bowl and marinate it along with some salt, black pepper powder, cumin powder and lemon juice. Set aside for 30 minutes. Heat a grill pan on high heat, grease with some oil, place the marinated paneer pieces and cook for 2 minutes on each side, until it gets the grill marks. Remove the paneer from the grill pan and place it on a plate. To make the Pickled OnionsIn a mixing bowl, combine the onion roundels along with freshly squeeze lemon juice and some salt. Cover the bowl and allow the onions to rest for about an hour.To make the Salad dressing In a small mixing bowl, combine garlic, lemon juice, honey, black pepper powder, cumin powder, and olive oil. Mix well and keep refrigerated. In another mixing bowl, add the lettuce leaves, pomegranates, pickled onions, prepared salad dressing and toss well. In a serving platter, arrange the lettuce leaves to make the base, top it with pickled onions and pomegranates and arrange the grilled paneer pieces. Garnish with mint leaves, sprinkle chaat masala and serve immediately with wedges of lemon. Serve Grilled Paneer Mint Salad Recipe With Pickled Onions &amp; Pomegranates along with Carrot Soup Recipe, Mozzarella Basil Sandwiches Recipe and Kiwi Basil Lemonade Recipe, followed by a dessert of Chocolate And Salted Caramel Tart Recipe. 
</t>
  </si>
  <si>
    <t>Para comenzar a hacer la Receta de Ensalada de Menta y Paneer a la Parrilla con Cebollas en Escabeche y Granadas, corte el paneer en rodajas y córtelos en pequeños triángulos. Coloque los triángulos de paneer en un tazón y marínelos junto con un poco de sal, pimienta negra en polvo, comino en polvo y jugo de limón. Déjelos reposar durante 30 minutos. Caliente una sartén para parrilla a fuego alto, engrase con un poco de aceite, coloque los trozos de paneer marinados y cocínelos durante 2 minutos por cada lado, hasta que obtenga las marcas de la parrilla. Retire el paneer de la sartén para parrilla y colóquelo en un plato. Para hacer las Cebollas en Escabeche En un tazón, combine los círculos de cebolla junto con el jugo de limón recién exprimido y un poco de sal. Cubra el tazón y deje reposar las cebollas durante aproximadamente una hora. Para hacer el aderezo para ensaladas En un tazón pequeño, combine el ajo, el jugo de limón, la miel, la pimienta negra en polvo, el comino en polvo y el aceite de oliva. Mezcle bien y mantenga refrigerado. En otro tazón, agregue las hojas de lechuga, las granadas, las cebollas encurtidas, el aderezo para ensalada preparado y mezcle bien. En una fuente para servir, disponga las hojas de lechuga para hacer la base, cúbralas con cebollas encurtidas y granadas y disponga los trozos de paneer a la parrilla. Decore con hojas de menta, espolvoree chaat masala y sirva inmediatamente con gajos de limón. Sirva la Receta de Ensalada de Menta de Paneer a la Parrilla con Cebollas encurtidas y Granadas junto con la Receta de Sopa de Zanahoria, la Receta de Sándwiches de Albahaca y Mozzarella y la Receta de Limonada de Albahaca y Kiwi, seguida de un postre de Receta de Tarta de Chocolate y Caramelo Salado.</t>
  </si>
  <si>
    <t>Pour commencer à préparer la recette de salade de paneer grillé à la menthe avec oignons marinés et grenades, coupez le paneer en tranches et en petits triangles. Placez les triangles de paneer dans un bol et faites-les mariner avec du sel, du poivre noir en poudre, du cumin en poudre et du jus de citron. Laissez reposer 30 minutes. Faites chauffer une poêle à griller à feu vif, graissez-la avec un peu d'huile, placez les morceaux de paneer marinés et faites-les cuire 2 minutes de chaque côté, jusqu'à ce qu'ils soient marqués par le gril. Retirez le paneer de la poêle à griller et placez-le sur une assiette. Pour préparer les oignons marinés Dans un bol, mélangez les rondelles d'oignon avec du jus de citron fraîchement pressé et un peu de sel. Couvrez le bol et laissez reposer les oignons pendant environ une heure. Pour préparer la vinaigrette Dans un petit bol, mélangez l'ail, le jus de citron, le miel, le poivre noir en poudre, le cumin en poudre et l'huile d'olive. Bien mélanger et conserver au réfrigérateur. Dans un autre saladier, ajoutez les feuilles de laitue, les grenades, les oignons marinés et la vinaigrette préparée, puis mélangez bien. Dans un plat de service, disposez les feuilles de laitue pour former la base, ajoutez les oignons marinés et les grenades, puis disposez les morceaux de paneer grillé. Garnissez de feuilles de menthe, saupoudrez de chaat masala et servez immédiatement avec des quartiers de citron. Servez la salade de paneer grillé à la menthe, aux oignons marinés et aux grenades, accompagnée de la soupe aux carottes, des sandwichs mozzarella-basilic et de la limonade kiwi-basilic, suivie d'une tarte au chocolat et au caramel salé.</t>
  </si>
  <si>
    <t>http://www.archanaskitchen.com/grilled-paneer-mint-salad-recipe-with-pickled-onions-pomegranates</t>
  </si>
  <si>
    <t>Blueberry Fool Recipe - Quick Dessert with Whipped Cream &amp; Fresh Berries</t>
  </si>
  <si>
    <t>Blueberry Fool Rezept – Schnelles Dessert mit Schlagsahne &amp; frischen Beeren</t>
  </si>
  <si>
    <t>Recette de Blueberry Fool – Dessert rapide avec crème fouettée et baies fraîches</t>
  </si>
  <si>
    <t>Receta de Arándanos Tontos: Postre Rápido con Crema Batida y Bayas Frescas</t>
  </si>
  <si>
    <t>360 ml de crème fouettée épaisse, 50 grammes de sucre glace, 1 cuillère à café de zeste d'orange (zeste), 1 cuillère à soupe de jus d'orange frais, 1 cuillère à soupe de liqueur d'orange - comme le Grand Marnier (facultatif), 250 grammes de myrtilles - ou toute autre baie de saison, 1 pincée de sel, 50 grammes de sucre en poudre, myrtilles - pour la garniture, biscuits sablés - pour la garniture</t>
  </si>
  <si>
    <t>360 ml Heavy whipping cream,50 grams Icing Sugar,1 teaspoon Orange Zest (Rind),1 tablespoon Fresh orange juice,1 tablespoon Orange liquor - like Grand Marnier (optional),250 grams Blueberries - or any other berry in season,1 pinch Salt,50 grams Caster Sugar,Blueberries - for garnish,Shortbread cookies - for garnish</t>
  </si>
  <si>
    <t>360 ml de crema batida espesa, 50 gramos de azúcar glas, 1 cucharadita de ralladura de naranja (cáscara), 1 cucharada de jugo de naranja fresco, 1 cucharada de licor de naranja - como Grand Marnier (opcional), 250 gramos de arándanos - o cualquier otra baya de temporada, 1 pizca de sal, 50 gramos de azúcar extrafino, arándanos - para decorar, galletas de mantequilla - para decorar</t>
  </si>
  <si>
    <t xml:space="preserve">To begin making the Blueberries in Cream Dessert (The Fool), we will first make the blueberry sauce.To make the blueberry sauce; place the blueberries, the sugar and salt into a saucepan over medium. Keep stirring until the blueberries begin to start softening and also the mixture becomes sauce-like.Once you notice the blueberries soften, turn the heat to low and cook, stirring occasionally until the blueberries are completely soft. This would take about 5 minutes.Stir in the orange zest, juice and liqueur. Turn off the heat and allow the blueberry sauce to cool completely. You will notice it will thicken as it cools down. You can also refrigerate this sauce until you prepare the whipped cream.In a large mixing bowl or the bowl of the stand mixer, pour in the chilled heavy cream and icing sugar. Whisk until the cream becomes fluffy and thick. When you notice the cream has thickened, stop whisking to prevent the cream from breaking apart. Keep the cream aside.Finally, keep the crumble the shortbread cookies or the wafers and keep aside.Place 6 dessert bowls on the platform. We will spoon the cream and the blueberry sauce alternatively into the dessert bowls to form layers. Finally, top the Blueberry Fool Dessert with fresh blueberries and the shortbread crumbles.Refrigerate the Blueberry Fool for about 4 to 5 hours before you are ready to serve it for a dessert.Serve Blueberry Fool Recipe after a meal of Savoury Crepes with Za'atar Spiced Chicken Recipe or Chickpea &amp; Oats Falafel Recipe.
</t>
  </si>
  <si>
    <t>Para empezar a preparar el postre de arándanos en crema (El Loco), primero prepararemos la salsa de arándanos. Para prepararla, coloque los arándanos, el azúcar y la sal en una cacerola a fuego medio. Remueva constantemente hasta que los arándanos comiencen a ablandarse y la mezcla adquiera una consistencia de salsa. Una vez que note que los arándanos se ablandan, baje el fuego y cocine, revolviendo ocasionalmente, hasta que estén completamente blandos. Esto tomará unos 5 minutos. Incorpore la ralladura, el jugo y el licor de naranja. Apague el fuego y deje que la salsa de arándanos se enfríe por completo. Notará que espesará al enfriarse. También puede refrigerar esta salsa hasta que prepare la crema batida. En un tazón grande o en el tazón de la batidora, vierta la crema espesa fría y el azúcar glas. Bata hasta que la crema esté esponjosa y espesa. Cuando note que la crema ha espesado, deje de batir para evitar que se deshaga. Reserva la crema. Finalmente, reserva el crumble de las galletas de mantequilla o las obleas. Coloca 6 tazones de postre en la plataforma. Con una cuchara, iremos alternando la crema y la salsa de arándanos en los tazones para formar capas. Finalmente, cubre el postre Blueberry Fool con arándanos frescos y el crumble de galletas de mantequilla. Refrigera el Blueberry Fool durante unas 4 o 5 horas antes de servirlo como postre. Sirve la receta de Blueberry Fool después de una comida de Crepes Saladas con Pollo Especiado con Za'atar o de Falafel con Garbanzos y Avena.</t>
  </si>
  <si>
    <t>Pour préparer le dessert aux myrtilles à la crème (Le Fou), nous allons d'abord préparer la sauce aux myrtilles. Pour cela, mettez les myrtilles, le sucre et le sel dans une casserole sur feu moyen. Continuez à remuer jusqu'à ce que les myrtilles commencent à ramollir et que le mélange prenne la consistance d'une sauce. Dès que les myrtilles ramollissent, baissez le feu et laissez cuire en remuant de temps en temps jusqu'à ce qu'elles soient complètement fondantes. Cela prend environ 5 minutes. Incorporez le zeste, le jus et la liqueur d'orange. Éteignez le feu et laissez la sauce aux myrtilles refroidir complètement. Vous remarquerez qu'elle épaissira en refroidissant. Vous pouvez également la conserver au réfrigérateur jusqu'à la préparation de la crème fouettée. Dans un grand saladier ou dans le bol d'un robot pâtissier, versez la crème épaisse froide et le sucre glace. Fouettez jusqu'à ce que la crème soit mousseuse et épaisse. Dès que la crème épaissit, arrêtez de fouetter pour éviter qu'elle ne se désagrège. Réservez la crème. Enfin, conservez le crumble, les sablés ou les gaufrettes. Placez 6 coupes à dessert sur la plateforme. Nous y verserons la crème et la sauce aux myrtilles en alternance pour former des couches. Enfin, garnissez le dessert aux myrtilles de myrtilles fraîches et de sablés émiettés. Réfrigérez le dessert aux myrtilles pendant environ 4 à 5 heures avant de le servir en dessert. Servez la recette des myrtilles après un repas de crêpes salées au poulet au zaatar ou de falafels aux pois chiches et à l'avoine.</t>
  </si>
  <si>
    <t>https://www.archanaskitchen.com/blueberry-fool-recipe-quick-dessert-with-whipped-cream-fresh-berries</t>
  </si>
  <si>
    <t>Eggless Whole Wheat Banana Muffins Recipe</t>
  </si>
  <si>
    <t>Rezept für Vollkorn-Bananenmuffins ohne Ei</t>
  </si>
  <si>
    <t>Recette de muffins complets à la banane sans œufs</t>
  </si>
  <si>
    <t>Receta de muffins de plátano integrales sin huevo</t>
  </si>
  <si>
    <t>4 bananes mûres écrasées, 1 tasse de farine de blé entier, 3/4 tasse de lait, 1/2 tasse d'huile de tournesol, 3/4 tasse de sucre en poudre, 1 pincée de sel, 1 cuillère à café de levure chimique, 1/2 tasse de noix de cajou hachées</t>
  </si>
  <si>
    <t>4 Ripe Bananas - mashed,1 cup Whole Wheat Flour,3/4 cup Milk,1/2 cup Sunflower Oil,3/4 cup Caster Sugar,1 Pinch Salt,1 teaspoon Baking powder,1/2 cup Cashew nuts - chopped</t>
  </si>
  <si>
    <t>4 plátanos maduros - machacados, 1 taza de harina integral, 3/4 taza de leche, 1/2 taza de aceite de girasol, 3/4 taza de azúcar extrafino, 1 pizca de sal, 1 cucharadita de polvo para hornear, 1/2 taza de anacardos picados</t>
  </si>
  <si>
    <t xml:space="preserve">To begin with Eggless Whole Wheat Banana Muffins, firstly sift the flour, baking powder, powdered sugar and salt and mix them in a bowl. Keep it aside.In an another bowl, mash the bananas by hand or with a fork. Add vegetable oil and milk and whisk well. You can use hand mixer too for mixing.Add cashew-nut pieces and mix everything well.Pre-heat the oven for 5 Minutes at 175 degree C in convection mode. Line the muffin tray with cupcake covers and fill them with the prepared batter.Fill only till 3/4th of the cupcake cover and leave some space as the muffins will rise. Bake them for about 25-30 minutes. Keep checking after 20 minutes that the muffins are ready or not.To check if the muffin is baked, pierce a toothpick at the centre of the muffin. If the toothpick comes out clean, then it is baked properly. Otherwise, bake it for another 5 minutes.Serve Eggless Whole Wheat Banana Muffins with hot Masala Chai and Grilled Spicy Potato sandwich for your tea time parties.
</t>
  </si>
  <si>
    <t>Para preparar los Muffins de Plátano Integral sin Huevo, tamiza la harina, la levadura química, el azúcar glas y la sal, y mézclalos en un bol. Reserva. En otro bol, machaca los plátanos a mano o con un tenedor. Agrega el aceite vegetal y la leche y bate bien. También puedes usar una batidora de mano. Agrega los trozos de anacardo y mezcla todo bien. Precalienta el horno durante 5 minutos a 175 °C en modo convección. Cubre la bandeja para muffins con las cápsulas y rellénalas con la masa preparada. Llena solo hasta 3/4 de la cápsula y deja espacio para que los muffins crezcan. Hornéalos durante unos 25-30 minutos. Revisa después de 20 minutos si los muffins están listos. Para comprobar si el muffin está horneado, pincha con un palillo en el centro. Si el palillo sale limpio, está bien horneado. De lo contrario, hornéelo durante 5 minutos más. Sirva muffins de plátano integral sin huevo con un Masala Chai caliente y un sándwich de papa picante a la parrilla para sus fiestas de té.</t>
  </si>
  <si>
    <t>Pour préparer des muffins complets à la banane et aux œufs, tamisez la farine, la levure chimique, le sucre glace et le sel et mélangez-les dans un bol. Réservez. Dans un autre bol, écrasez les bananes à la main ou à la fourchette. Ajoutez l'huile végétale et le lait et fouettez bien. Vous pouvez également utiliser un batteur électrique. Ajoutez les noix de cajou concassées et mélangez bien le tout. Préchauffez le four 5 minutes à 175 °C en mode chaleur tournante. Chemisez le moule à muffins de caissettes à cupcakes et remplissez-les de pâte préparée. Remplissez-les seulement jusqu'aux 3/4 et laissez un peu d'espace car les muffins vont lever. Enfournez pour 25 à 30 minutes. Vérifiez régulièrement la cuisson après 20 minutes. Pour vérifier la cuisson, piquez un cure-dent au centre. Si le cure-dent ressort propre, c'est que le muffin est bien cuit. Sinon, faites-le cuire encore 5 minutes. Servez des muffins à la banane et au blé entier sans œufs avec du masala chai chaud et un sandwich aux pommes de terre épicées grillées pour vos goûters.</t>
  </si>
  <si>
    <t>https://www.archanaskitchen.com/eggless-whole-wheat-banana-muffins-recipe</t>
  </si>
  <si>
    <t>Lemon And Rosemary Shortbread Cookies Recipe</t>
  </si>
  <si>
    <t>Rezept für Shortbread-Kekse mit Zitrone und Rosmarin</t>
  </si>
  <si>
    <t>Recette de biscuits sablés au citron et au romarin</t>
  </si>
  <si>
    <t>Receta de galletas de mantequilla con limón y romero</t>
  </si>
  <si>
    <t>1 tasse de farine tout usage (Maida), 1/2 tasse de beurre ramolli, 1/3 tasse de sucre, 1 cuillère à café de romarin frais, 1 cuillère à café de zeste de citron, 1 cuillère à café de jus de citron, 1/2 cuillère à café d'extrait de vanille, 1 pincée de sel</t>
  </si>
  <si>
    <t>1 cup All Purpose Flour (Maida),1/2 cup Butter - softened,1/3 cup Sugar,1 teaspoon Rosemary - fresh,1 teaspoon Lemon - rind,1 teaspoon Lemon juice,1/2 teaspoon Vanilla Extract,1 pinch Salt</t>
  </si>
  <si>
    <t>1 taza de harina para todo uso (Maida), 1/2 taza de mantequilla - ablandada, 1/3 taza de azúcar, 1 cucharadita de romero - fresco, 1 cucharadita de ralladura de limón, 1 cucharadita de jugo de limón, 1/2 cucharadita de extracto de vainilla, 1 pizca de sal</t>
  </si>
  <si>
    <t xml:space="preserve">To begin making the Lemon And Rosemary Shortbread Cookies Recipe, mix the flour, rosemary and lemon rind together and keep it aside.Cream the butter and sugar till smooth and fluffy with an Electric hand mixer for nearly 2 minutes.Add the lemon juice and vanilla extract, and mix again till incorporated.Slowly add in the flour mixture and mix until just combined.Use your hands to make a dough without applying much pressure.Form the dough into a disk shape and cover with a cling film. Chill for at least an hour.When ready to bake, preheat the Oven to 170 degrees Celsius and line a baking sheet with a parchment paper.On a lightly floured surface, roll out the dough to 1/4 inch thick sheet.Cut with a Cookie cutter of your choice.Place the Shortbread Cookies on the baking sheet and bake for 12-15 minutes or till they are light brown on the edges.Remove Lemon And Rosemary Shortbread Cookies from the sheet and cool on a wire rack.Serve Lemon And Rosemary Shortbread Cookies Recipe along with Blueberry and Lemon Iced Tea for tea time.
</t>
  </si>
  <si>
    <t>Para comenzar a hacer la Receta de Galletas de Mantequilla con Limón y Romero, mezcle la harina, el romero y la ralladura de limón y déjelo a un lado. Bata la mantequilla y el azúcar hasta que quede suave y esponjoso con una batidora de mano eléctrica durante casi 2 minutos. Agregue el jugo de limón y el extracto de vainilla y mezcle nuevamente hasta que se incorporen. Agregue lentamente la mezcla de harina y mezcle hasta que se combine. Use sus manos para hacer una masa sin aplicar mucha presión. Forme la masa en forma de disco y cúbrala con una película adhesiva. Enfríe durante al menos una hora. Cuando esté listo para hornear, precaliente el horno a 170 grados Celsius y cubra una bandeja para hornear con papel pergamino. En una superficie ligeramente enharinada, extienda la masa hasta una lámina de 1/4 de pulgada de grosor. Corte con un cortador de galletas de su elección. Coloque las galletas de mantequilla en la bandeja para hornear y hornee durante 12-15 minutos o hasta que estén ligeramente doradas en los bordes. Retire las galletas de mantequilla de limón y romero de la bandeja y enfríe sobre una rejilla de alambre. Sirva la receta de galletas de mantequilla de limón y romero junto con té helado de arándanos y limón para la hora del té.</t>
  </si>
  <si>
    <t>Pour commencer à préparer la recette de biscuits sablés au citron et au romarin, mélangez la farine, le romarin et le zeste de citron et réservez. Crémez le beurre et le sucre jusqu'à consistance lisse et mousseuse avec un batteur à main électrique pendant près de 2 minutes. Ajoutez le jus de citron et l'extrait de vanille et mélangez à nouveau jusqu'à ce qu'ils soient incorporés. Ajoutez lentement le mélange de farine et mélangez jusqu'à ce qu'il soit juste combiné. Utilisez vos mains pour faire une pâte sans appliquer beaucoup de pression. Façonnez la pâte en forme de disque et couvrez d'un film alimentaire. Laissez refroidir pendant au moins une heure. Lorsque vous êtes prêt à cuire, préchauffez le four à 170 degrés Celsius et recouvrez une plaque à pâtisserie de papier sulfurisé. Sur une surface légèrement farinée, étalez la pâte sur une feuille de 1/4 de pouce d'épaisseur. Découpez avec un emporte-pièce de votre choix. Placez les biscuits sablés sur la plaque à pâtisserie et faites cuire pendant 12 à 15 minutes ou jusqu'à ce qu'ils soient légèrement dorés sur les bords. Retirez les biscuits sablés au citron et au romarin de la plaque et laissez-les refroidir sur une grille. Servez la recette de biscuits sablés au citron et au romarin avec du thé glacé aux myrtilles et au citron pour l'heure du thé.</t>
  </si>
  <si>
    <t>http://www.archanaskitchen.com/lemon-and-rosemary-shortbread-cookies-recipe</t>
  </si>
  <si>
    <t>Oats Peanut Butter &amp; Chocolate Chip Trail Mix Recipe</t>
  </si>
  <si>
    <t>Rezept für Studentenfutter mit Hafer, Erdnussbutter und Schokoladenstückchen</t>
  </si>
  <si>
    <t>Recette de mélange montagnard avec flocons d'avoine, beurre de cacahuète et pépites de chocolat</t>
  </si>
  <si>
    <t>Receta de mezcla de frutos secos con avena, mantequilla de maní y chispas de chocolate</t>
  </si>
  <si>
    <t>1-1/2 tasse de flocons d'avoine, 3/4 tasse de flocons de noix de coco, 1/2 tasse de graines de pastèque, 1/3 tasse de graines de sésame (graines Til), 3/4 tasse de pépites de chocolat, 1/2 tasse de beurre d'arachide, 1/4 tasse de sirop de dattes Lion</t>
  </si>
  <si>
    <t>1-1/2 cups Rolled Oats,3/4 cup Coconut flakes,1/2 cup Watermelon seeds,1/3 cup Sesame seeds (Til seeds),3/4 cup Chocolate chips,1/2 cup Peanut Butter,1/4 cup Lion Dates Syrup</t>
  </si>
  <si>
    <t>1-1/2 tazas de avena arrollada, 3/4 taza de hojuelas de coco, 1/2 taza de semillas de sandía, 1/3 taza de semillas de sésamo (semillas de Til), 3/4 taza de chispas de chocolate, 1/2 taza de mantequilla de maní, 1/4 taza de jarabe de dátiles Lion</t>
  </si>
  <si>
    <t xml:space="preserve">To begin making the Oats Peanut Butter &amp; Chocolate Chip Trail Mix Recipe, in a baking tray combine the rolled oats, coconut flakes, watermelon seeds and sesame seeds. Bake it in a preheated oven at 180 degree celsius for 10 minutes. After 10 minutes remove the tray from the oven and set aside. In a small pan, add the dates syrup along with the peanut butter and cook on low heat until the peanut butter has melted and the mixture is well combined. Turn off the flame and pour this mixture over the freshly roasted oats-coconut flakes mix. Using a fork, combine the mixture evenly, until the peanut butter-date mixture is evenly mixed. Place the tray back in the oven and continue to roast it for another 10 minutes. After 10 minutes, remove from the oven and allow it to cool completely. After about two hours, mix in the chocolate chips. Serve Oats Peanut Butter &amp; Chocolate Chip Trail Mix Recipe along with a bowl of yogurt or milk for breakfast or just eat the trail mix, as is, as an evening snack. 
</t>
  </si>
  <si>
    <t>Para comenzar a hacer la Receta de Mezcla de Avena, Mantequilla de Maní y Chispas de Chocolate, en una bandeja para hornear combine la avena arrollada, las hojuelas de coco, las semillas de sandía y las semillas de sésamo. Hornee en un horno precalentado a 180 grados centígrados durante 10 minutos. Después de 10 minutos, retire la bandeja del horno y reserve. En una sartén pequeña, agregue el jarabe de dátiles junto con la mantequilla de maní y cocine a fuego lento hasta que la mantequilla de maní se haya derretido y la mezcla esté bien combinada. Apague el fuego y vierta esta mezcla sobre la mezcla de avena y hojuelas de coco recién tostadas. Con un tenedor, combine la mezcla uniformemente, hasta que la mezcla de mantequilla de maní y dátiles esté mezclada de manera uniforme. Coloque la bandeja nuevamente en el horno y continúe asándola durante otros 10 minutos. Después de 10 minutos, retírela del horno y déjela enfriar por completo. Después de aproximadamente dos horas, agregue las chispas de chocolate. Sirva la receta de mezcla de frutos secos con avena, mantequilla de maní y chispas de chocolate junto con un tazón de yogur o leche para el desayuno o simplemente coma la mezcla de frutos secos, tal cual, como refrigerio por la noche.</t>
  </si>
  <si>
    <t>Pour commencer à préparer la recette de mélange montagnard à l'avoine, au beurre de cacahuète et aux pépites de chocolat, dans une plaque de cuisson, mélanger les flocons d'avoine, les flocons de noix de coco, les graines de pastèque et les graines de sésame. Cuire au four préchauffé à 180 degrés Celsius pendant 10 minutes. Après 10 minutes, retirer la plaque du four et réserver. Dans une petite casserole, ajouter le sirop de dattes avec le beurre de cacahuète et cuire à feu doux jusqu'à ce que le beurre de cacahuète ait fondu et que le mélange soit bien mélangé. Éteindre le feu et verser ce mélange sur le mélange d'avoine et de flocons de noix de coco fraîchement grillés. À l'aide d'une fourchette, mélanger le mélange uniformément, jusqu'à ce que le mélange de beurre de cacahuète et de dattes soit homogène. Remettre la plaque au four et continuer à la rôtir pendant 10 minutes supplémentaires. Après 10 minutes, retirer du four et laisser refroidir complètement. Après environ deux heures, incorporer les pépites de chocolat. Servez la recette de mélange montagnard à l'avoine, au beurre de cacahuète et aux pépites de chocolat avec un bol de yaourt ou de lait au petit-déjeuner ou mangez simplement le mélange montagnard tel quel, comme collation du soir.</t>
  </si>
  <si>
    <t>http://www.archanaskitchen.com/oats-peanut-butter-chocolate-chip-trail-mix-recipe</t>
  </si>
  <si>
    <t>Whole Wheat Chocolate Cinnamon Cupcakes Recipe</t>
  </si>
  <si>
    <t>Rezept für Vollkorn-Schokoladen-Zimt-Cupcakes</t>
  </si>
  <si>
    <t>Recette de cupcakes au chocolat et à la cannelle au blé entier</t>
  </si>
  <si>
    <t>Receta de cupcakes de chocolate y canela con trigo integral</t>
  </si>
  <si>
    <t>1-1/2 tasse de farine de blé entier, 1 tasse de lait, 2 cuillères à soupe d'huile de tournesol, 1 tasse de sucre en poudre, 1 cuillère à café d'extrait de vanille, 1/2 cuillère à café de levure chimique, 1/4 cuillère à café de bicarbonate de soude, 1 cuillère à soupe de cannelle en poudre (Dalchini), 2 cuillères à soupe de cacao en poudre, pépites de chocolat - au besoin, cannelle en poudre (Dalchini) - au besoin</t>
  </si>
  <si>
    <t>1-1/2 cup Whole Wheat Flour,1 cup Milk,2 tablespoons Sunflower Oil,1 cup Caster Sugar,1 teaspoon Vanilla Extract,1/2 teaspoon Baking powder,1/4 teaspoon Baking soda,1 tablespoon Cinnamon Powder (Dalchini),2 tablespoons Cocoa Powder,Chocolate chips - as required,Cinnamon Powder (Dalchini) - as required</t>
  </si>
  <si>
    <t>1-1/2 taza de harina integral, 1 taza de leche, 2 cucharadas de aceite de girasol, 1 taza de azúcar extrafino, 1 cucharadita de extracto de vainilla, 1/2 cucharadita de polvo para hornear, 1/4 cucharadita de bicarbonato de sodio, 1 cucharada de canela en polvo (dalchini), 2 cucharadas de cacao en polvo, chispas de chocolate (según se requiera), canela en polvo (dalchini) (según se requiera)</t>
  </si>
  <si>
    <t xml:space="preserve">To begin making the Whole Wheat Chocolate Cinnamon Cupcakes recipe, in a mixing bowl, add milk, oil, vanilla extract and castor sugar and mix it well.In another bowl, sieve whole wheat flour with baking powder, baking soda, cinnamon powder and cocoa powder all together. Now gradually add this mixture into milk mixture and mix it into all combined.Preheat the microwave at 180 degrees. Set the cupcake liners into cupcake mould and pour the batter into liners and sprinkle chocolate chips on top.Bake them for 20-25 minutes into preheated microwave. Let them cool and garnish them with cinnamon powder on top.Serve Whole Wheat Chocolate Cinnamon Cupcakes along with Espresso Coffee and Avocado Egg Sandwich for your next tea party.
</t>
  </si>
  <si>
    <t>Para empezar a hacer la receta de Cupcakes de Trigo Integral con Chocolate y Canela, en un tazón, agregue leche, aceite, extracto de vainilla y azúcar extrafino y mezcle bien. En otro tazón, tamice la harina integral con el polvo para hornear, el bicarbonato de sodio, la canela en polvo y el cacao en polvo, todo junto. Ahora, agregue gradualmente esta mezcla a la mezcla de leche y mézclela con todo. Precaliente el microondas a 180 grados. Coloque los capacillos para cupcakes en un molde para cupcakes y vierta la masa en los capacillos y espolvoree chispas de chocolate por encima. Hornéelos durante 20-25 minutos en el microondas precalentado. Déjelos enfriar y decórelos con canela en polvo por encima. Sirva los Cupcakes de Trigo Integral con Chocolate y Canela junto con Café Espresso y Sándwich de Huevo con Aguacate para su próxima fiesta de té.</t>
  </si>
  <si>
    <t>Pour commencer à préparer la recette des cupcakes au chocolat et à la cannelle au blé entier, dans un saladier, ajoutez le lait, l'huile, l'extrait de vanille et le sucre en poudre et mélangez bien. Dans un autre bol, tamisez la farine de blé entier avec la levure chimique, le bicarbonate de soude, la cannelle en poudre et le cacao en poudre. Ajoutez ensuite progressivement ce mélange au mélange de lait et mélangez bien. Préchauffez le micro-ondes à 180 degrés. Placez les caissettes à cupcakes dans un moule à cupcakes, versez la pâte dans les caissettes et saupoudrez de pépites de chocolat. Faites-les cuire pendant 20 à 25 minutes dans un micro-ondes préchauffé. Laissez-les refroidir et garnissez-les de cannelle en poudre. Servez les cupcakes au chocolat et à la cannelle au blé entier avec un café expresso et un sandwich aux œufs et à l'avocat pour votre prochain goûter.</t>
  </si>
  <si>
    <t>https://www.archanaskitchen.com/whole-wheat-chocolate-cinnamon-cupcakes-recipe</t>
  </si>
  <si>
    <t>Homemade Fresh Orange Juice Recipe</t>
  </si>
  <si>
    <t>Rezept für hausgemachten frischen Orangensaft</t>
  </si>
  <si>
    <t>Recette de jus d'orange frais maison</t>
  </si>
  <si>
    <t>Receta de jugo de naranja fresco casero</t>
  </si>
  <si>
    <t>4 oranges, sel (ou sel noir) au goût, sucre au goût</t>
  </si>
  <si>
    <t>4 Orange,Salt - (or black salt) to taste,Sugar - to taste</t>
  </si>
  <si>
    <t>4 naranjas, sal (o sal negra) al gusto, azúcar al gusto</t>
  </si>
  <si>
    <t xml:space="preserve">To begin making Homemade Fresh Orange Juice Recipe, select the best, healthy looking and juicy oranges to prepare the juice.Squeeze the orange juice between your hands to soften the pulp and to get maximum juice extraction.Optionally, you can also microwave the whole fruit for 10 seconds on full power.Cut the fruit, save the middle most thin slice for garnish, and squeeze out all the juice on a citrus press.You can also spoon out the rind which is left after extracting juice and blend it using a hand blender. Remember to discard seeds. Ground up orange seeds make the juice bitter in taste.You can skip this step if you like watery orange juice. Following this step will provide a thick orange juice.In a mixing bowl, mix the orange juice and the extracted pulp. Give them a quick blend, with your hand blender. You can add sugar and salt/ black salt to taste if you like, at this stage.Serve Homemade Fresh Orange Juice with Shakshuka With Spinach &amp; Feta Cheese Recipe  for a wholesome breakfast.
</t>
  </si>
  <si>
    <t>Para empezar a preparar la receta de jugo de naranja fresco casero, selecciona las naranjas más jugosas y saludables. Exprime el jugo con las manos para ablandar la pulpa y obtener la máxima extracción. Opcionalmente, puedes calentar la fruta entera en el microondas durante 10 segundos a máxima potencia. Corta la fruta, reserva la rodaja más fina del medio para decorar y exprime todo el jugo con un exprimidor. También puedes sacar con una cuchara la cáscara que queda después de extraer el jugo y licuarla con una batidora de mano. Recuerda desechar las semillas. Las semillas de naranja molidas le dan un sabor amargo al jugo. Puedes omitir este paso si te gusta el jugo de naranja aguado. Seguir este paso te dará un jugo de naranja espeso. En un tazón, mezcla el jugo de naranja y la pulpa extraída. Licúa rápidamente con tu batidora de mano. Puedes agregar azúcar y sal/sal negra al gusto si lo deseas. Sirve el jugo de naranja fresco casero con la receta de shakshuka con espinacas y queso feta para un desayuno saludable.</t>
  </si>
  <si>
    <t>Pour commencer à préparer votre recette de jus d'orange frais maison, sélectionnez les meilleures oranges, saines et juteuses. Pressez le jus d'orange entre vos mains pour ramollir la pulpe et en extraire le maximum. Vous pouvez également passer le fruit entier au micro-ondes pendant 10 secondes à pleine puissance. Coupez le fruit, conservez la tranche la plus fine du milieu pour la garniture et pressez-en tout le jus avec un presse-agrumes. Vous pouvez également prélever l'écorce restante après l'extraction du jus et la mixer à l'aide d'un mixeur plongeant. N'oubliez pas de jeter les pépins. Les pépins d'orange moulus donnent au jus un goût amer. Vous pouvez sauter cette étape si vous aimez les jus d'orange aqueux. Cette étape vous permettra d'obtenir un jus d'orange épais. Dans un saladier, mélangez le jus d'orange et la pulpe extraite. Mixez rapidement avec votre mixeur plongeant. Vous pouvez ajouter du sucre et du sel/sel noir à votre goût. Servez ce jus d'orange frais maison accompagné d'une recette de chakchouka aux épinards et à la feta pour un petit-déjeuner sain.</t>
  </si>
  <si>
    <t>http://www.archanaskitchen.com/homemade-fresh-orange-juice-recipe</t>
  </si>
  <si>
    <t>Peach Cobbler Scones Recipe</t>
  </si>
  <si>
    <t>Rezept für Pfirsich-Cobbler-Scones</t>
  </si>
  <si>
    <t>Recette de scones aux pêches</t>
  </si>
  <si>
    <t>Receta de bollitos de melocotón</t>
  </si>
  <si>
    <t>3 tasses de farine tout usage (Maida), 1/4 tasse de sucre granulé, 3 cuillères à café de levure chimique, 3/4 cuillère à café de sel, 3/4 tasse de beurre (non salé) réfrigéré et coupé en cubes, 1 œuf entier battu, 1 tasse de babeurre froid, 1 cuillère à café d'extrait de vanille, 2 pêches tranchées (vous pouvez utiliser des pêches en conserve, mais assurez-vous de les égoutter complètement), 2 cuillères à soupe de sucre granulé, 1 cuillère à café de bâton de cannelle moulu</t>
  </si>
  <si>
    <t>3 cups All Purpose Flour (Maida),1/4 cup Sugar - granulated,3 teaspoons Baking powder,3/4 teaspoon Salt,3/4 cup Butter (unsalted) - chilled and cubed,1 Whole Eggs - beaten,1 cup Buttermilk - cold,1 teaspoon Vanilla Extract,2 Peaches - sliced (you may use tinned peaches but be sure to drain them completely),2 tablespoons Sugar - granulated,1 teaspoon Cinnamon Stick (Dalchini) - ground</t>
  </si>
  <si>
    <t>3 tazas de harina para todo uso (Maida), 1/4 taza de azúcar - granulada, 3 cucharaditas de polvo para hornear, 3/4 cucharadita de sal, 3/4 taza de mantequilla (sin sal) - fría y en cubos, 1 huevo entero - batido, 1 taza de suero de leche - frío, 1 cucharadita de extracto de vainilla, 2 duraznos - en rodajas (puede usar duraznos enlatados, pero asegúrese de escurrirlos por completo), 2 cucharadas de azúcar - granulada, 1 cucharadita de rama de canela (Dalchini) - molida</t>
  </si>
  <si>
    <t xml:space="preserve">To begin making Peach Cobbler Scones, place a rack in the center of the oven and preheat it to 180 C.In a large mixing bowl, sift together the flour, sugar, baking powder and salt. Cut the butter into small cubes. Add the cubes to the flour and gently rub them into the flour mixture, till they disintegrate and the flour begins to resemble coarse meal or bread crumbs.Set this aside for some time.Meanwhile, in another bowl combine the beaten egg, vanilla and 3/4 cup of buttermilk, retaining the rest for later use. Beat this together lightly. Add this mixture to the flour mixture and knead it to combine all the ingredients and make a soft dough. Do not over-knead. It is alright for the mixture to still be a little rough.Cover the bowl and chill the mixture for 10 minutes in the refrigerator.Take the dough out from the refrigerator and gently roll the dough into an even circle of about 1/2 inch thickness. Dust with flour if the dough is sticky. And if you feel you have had to use too much flour to dust, you can always use a pastry brush to brush away the extra dry flour, later.Brush half of the rolled out dough with buttermilk (the reserved 1/4 cup). Arrange peach slices, in a single layer, across the buttermilk moistened dough. Sprinkle with half of the cinnamon sugar mixture. Carefully pick the empty side of dough and fold over the layer of peaches.Press the edges of the dough to seal them together. Using a floured knife or a pizza cutter, slice dough into even pieces (about 8-10).Place the scones on lined baking sheets or silpat leaving enough room for them to expand. Brush each scone with buttermilk, and sprinkle with remaining cinnamon sugar.Bake for 15-18 minutes, until golden brown and cooked through.Serve the Peach Cobbler Scones as a tea time snack along with a cup of tea or coffee. It even make a great breakfast party snack.
</t>
  </si>
  <si>
    <t>Para empezar a preparar los Scones de Pastel de Melocotón, coloca una rejilla en el centro del horno y precaliéntalo a 180 °C. En un tazón grande, tamiza la harina, el azúcar, la levadura química y la sal. Corta la mantequilla en cubos pequeños. Agrega los cubos a la harina y frótalos suavemente hasta que se deshagan y la harina parezca harina gruesa o pan rallado. Deja reposar un rato. Mientras tanto, en otro tazón, mezcla el huevo batido, la vainilla y 3/4 de taza de suero de leche, reservando el resto para usar más tarde. Bate todo ligeramente. Agrega esta mezcla a la mezcla de harina y amasa hasta integrar todos los ingredientes y formar una masa suave. No amases demasiado. No importa si la mezcla aún está un poco áspera. Cubre el tazón y refrigera la mezcla durante 10 minutos. Retira la masa del refrigerador y estírala suavemente hasta formar un círculo uniforme de aproximadamente 1,25 cm de grosor. Espolvorea con harina si la masa está pegajosa. Si sientes que usaste demasiada harina para espolvorear, puedes usar una brocha de repostería para retirar la harina seca después. Pincela la mitad de la masa extendida con suero de leche (el 1/4 de taza reservado). Coloca las rodajas de durazno, en una sola capa, sobre la masa humedecida con suero de leche. Espolvorea con la mitad de la mezcla de azúcar y canela. Toma con cuidado el lado vacío de la masa y dóblalo sobre la capa de duraznos. Presiona los bordes de la masa para sellarlos. Con un cuchillo enharinado o un cortador de pizza, corta la masa en trozos iguales (aproximadamente 8-10). Coloca los scones en bandejas de horno forradas o en una bandeja de horno, dejando suficiente espacio para que se expandan. Pincela cada scón con suero de leche y espolvorea con el azúcar y canela restante. Hornea durante 15-18 minutos, hasta que estén dorados y bien cocidos. Sirve los scones de zapatero de durazno como refrigerio para la hora del té, junto con una taza de té o café. Incluso son un excelente refrigerio para un desayuno.</t>
  </si>
  <si>
    <t>Pour commencer à préparer des scones aux pêches, placez une grille au centre du four et préchauffez-le à 180 °C. Dans un grand saladier, tamisez la farine, le sucre, la levure chimique et le sel. Coupez le beurre en petits dés. Ajoutez-les à la farine et incorporez-les délicatement au mélange jusqu'à ce qu'ils se désintègrent et que la farine commence à ressembler à de la semoule grossière ou à de la chapelure. Réservez le mélange quelques instants. Pendant ce temps, dans un autre saladier, mélangez l'œuf battu, la vanille et 170 ml de babeurre, en conservant le reste pour une utilisation ultérieure. Battez légèrement le tout. Ajoutez ce mélange au mélange de farine et pétrissez jusqu'à obtenir une pâte souple. Ne pétrissez pas trop. La pâte peut être encore un peu rugueuse. Couvrez le saladier et laissez reposer 10 minutes au réfrigérateur. Sortez la pâte du réfrigérateur et étalez-la délicatement en un cercle régulier d'environ 1,25 cm d'épaisseur. Saupoudrez de farine si la pâte est collante. Si vous avez l'impression d'avoir utilisé trop de farine pour saupoudrer, vous pouvez toujours utiliser un pinceau à pâtisserie pour enlever l'excédent de farine sèche plus tard. Badigeonnez la moitié de la pâte étalée de babeurre (les 60 ml réservés). Disposez les tranches de pêches, en une seule couche, sur la pâte humidifiée au babeurre. Saupoudrez de la moitié du mélange sucre-cannelle. Prenez délicatement le côté vide de la pâte et repliez-le sur la couche de pêches. Appuyez sur les bords de la pâte pour les souder. À l'aide d'un couteau fariné ou d'un coupe-pizza, coupez la pâte en morceaux réguliers (environ 8 à 10). Placez les scones sur des plaques de cuisson recouvertes de papier sulfurisé ou sur du silpat en leur laissant suffisamment de place pour gonfler. Badigeonnez chaque scone de babeurre et saupoudrez du reste de sucre-cannelle. Enfournez pendant 15 à 18 minutes, jusqu'à ce qu'ils soient dorés et cuits à cœur. Servez les scones au Peach Cobbler à l'heure du thé, accompagnés d'une tasse de thé ou de café. Ils constituent même un excellent petit-déjeuner.</t>
  </si>
  <si>
    <t>https://www.archanaskitchen.com/peach-cobbler-scones-recipe</t>
  </si>
  <si>
    <t>Mango Milkshake Recipe - Mango Milkshake Recipe</t>
  </si>
  <si>
    <t>Mango-Milchshake-Rezept – Mango-Milchshake-Rezept</t>
  </si>
  <si>
    <t>Recette de milkshake à la mangue – Recette de milkshake à la mangue</t>
  </si>
  <si>
    <t>Receta de batido de mango – Receta de batido de mango</t>
  </si>
  <si>
    <t>2 tasses de mangue hachée, 2 tasses de lait, 2 cuillères à café de sucre</t>
  </si>
  <si>
    <t>2 cups mango - chopped, 2 cups milk, 2 teaspoons sugar</t>
  </si>
  <si>
    <t>2 tazas de mango picado, 2 tazas de leche, 2 cucharaditas de azúcar</t>
  </si>
  <si>
    <t>To make Mango Milkshake Recipe, first cool the mango and milk in the fridge. Now peel the mango and cut it into small pieces. Put mango, milk and sugar in a mixer grinder and blend it. Pour it in a glass and serve. Serve Mango Milkshake Recipe with Parsi Akuri and Bread Toast for your morning breakfast.</t>
  </si>
  <si>
    <t>Para preparar la receta de batido de mango, primero enfríe el mango y la leche en el refrigerador. Luego, pele el mango y córtelo en trozos pequeños. Coloque el mango, la leche y el azúcar en una licuadora y tritúrelos. Vierta la mezcla en un vaso y sirva. Sirva la receta de batido de mango con Parsi Akuri y pan tostado en su desayuno.</t>
  </si>
  <si>
    <t>Pour préparer le milkshake à la mangue, commencez par laisser refroidir la mangue et le lait au réfrigérateur. Pelez ensuite la mangue et coupez-la en petits morceaux. Mettez la mangue, le lait et le sucre dans un mixeur-hachoir et mixez. Versez dans un verre et servez. Accompagnez ce milkshake de parsi akuri et de pain grillé au petit-déjeuner.</t>
  </si>
  <si>
    <t>http://www.archanaskitchen.com/mango-milkshake-recipe-mango-smoothie-in-hindi</t>
  </si>
  <si>
    <t>Whole Wheat, Oatmeal and Amaranth Fruitcake Cookie Recipe</t>
  </si>
  <si>
    <t>Rezept für Früchtekuchenplätzchen aus Vollkorn, Haferflocken und Amaranth</t>
  </si>
  <si>
    <t>Recette de biscuits aux fruits à base de céréales complètes, de flocons d'avoine et d'amarante</t>
  </si>
  <si>
    <t>Receta de galletas de frutas elaboradas con cereales integrales, copos de avena y amaranto</t>
  </si>
  <si>
    <t>1-1/4 tasse de farine de blé entier, 2 cuillères à soupe de farine de blé entier, 1 tasse d'avoine instantanée (gruau), 1/2 tasse de farine Rajgira (farine d'amarante), 1 cuillère à soupe de poudre de graines de lin (farine de lin), 1/2 cuillère à café de levure chimique - légèrement bombée, 1/2 cuillère à café de bicarbonate de soude - légèrement bombée, 1/2 tasse de cassonade (sucre Demerara) - réglable, 3/4 tasse de fruits secs - trempés dans du rhum, 1/4 tasse de noix - grossièrement hachées, 1 à 2 cuillères à soupe de pépites de chocolat noir, 3/4 tasse d'huile de tournesol, 1 œuf entier - battu (banane écrasée pour remplacer l'œuf), 5 cuillères à soupe de lait</t>
  </si>
  <si>
    <t>1-1/4 cups Whole Wheat Flour,2 tablespoons Whole Wheat Flour,1 cup Instant Oats (Oatmeal),1/2 cup Rajgira Flour (Amaranth Flour),1 tablespoon Flax seed powder (flax meal),1/2 teaspoon Baking powder - slightly heaped,1/2 teaspoon Baking soda - slightly heaped,1/2 cup Brown Sugar (Demerara Sugar) - adjustable,3/4 cup Dry Fruits - rum soaked,1/4 cup Walnuts - coarsley chopped,1 to 2 tablespoons Dark Chocolate Chips,3/4 cup Sunflower Oil,1 Whole Eggs - beaten ( Mashed banana to replace egg),5 tablespoons Milk</t>
  </si>
  <si>
    <t>1-1/4 tazas de harina integral, 2 cucharadas de harina integral, 1 taza de avena instantánea (avena), 1/2 taza de harina Rajgira (harina de amaranto), 1 cucharada de polvo de semilla de lino (harina de lino), 1/2 cucharadita de polvo de hornear - ligeramente colmada, 1/2 cucharadita de bicarbonato de sodio - ligeramente colmada, 1/2 taza de azúcar morena (azúcar Demerara) - ajustable, 3/4 taza de frutos secos - remojados en ron, 1/4 taza de nueces - picadas gruesas, 1 a 2 cucharadas de chispas de chocolate negro, 3/4 taza de aceite de girasol, 1 huevo entero - batido (plátano machacado para reemplazar el huevo), 5 cucharadas de leche</t>
  </si>
  <si>
    <t xml:space="preserve">To begin the Whole Wheat, Oatmeal and Amaranth Fruitcake Cookie Recipe, preheat oven to 180 degree Celsius. Lightly grease a baking sheet.Mix together the flours, oats, ground flax, baking powder, baking soda, sugar, rum soaked fruits, walnuts and chocolate chips in a large bowl.In another bowl, whisk/beat together the egg, (If using mashed banana instead of egg do not add it during this step. Add it during the above step with the rest of the dry ingredients and mix well.) oil &amp; milk together. Make a well in the center of the dry ingredients and pour in the egg mixture. Mix the mixture together well with either a fork or a whisk or a wooden spoon to make a soft but not sticky dough.Shape cookies and arrange well apart on the greased baking sheet; flatten the tops down slightly with a fork. Transfer the biscuits to a preheated oven and bake for 10 -12 mins until golden. (oven times may vary)Remove from the oven and allow it to cool for 2-3 mins on the baking sheet.Transfer the cookies to a wire rack to cool. Serve the Whole Wheat, Oatmeal and Amaranth Fruitcake Cookie cold or store in an airtight container to serve later.Notes:Make sure all excess liquid from the rum soaked fruits are drained.These cookies are soft cakey cookies. So don't worry if you don't achieve the usual cookie texture.
</t>
  </si>
  <si>
    <t>Para empezar la receta de galletas integrales de avena y amaranto, precalienta el horno a 180 °C. Engrasa ligeramente una bandeja para hornear. Mezcla las harinas, la avena, la linaza molida, el polvo para hornear, el bicarbonato, el azúcar, las frutas remojadas en ron, las nueces y las chispas de chocolate en un tazón grande. En otro tazón, bate el huevo (si usas plátano machacado en lugar de huevo, no lo agregues en este paso. Agrégalo durante el paso anterior con el resto de los ingredientes secos y mezcla bien). Haz un hueco en el centro de los ingredientes secos y vierte la mezcla de huevo. Mezcla bien con un tenedor, un batidor o una cuchara de madera para obtener una masa suave pero no pegajosa. Forma las galletas y colócalas separadas en la bandeja para hornear engrasada; aplana ligeramente la superficie con un tenedor. Transfiere las galletas a un horno precalentado y hornea durante 10-12 minutos hasta que estén doradas. (El tiempo de horneado puede variar). Retire del horno y deje enfriar de 2 a 3 minutos en la bandeja. Transfiera las galletas a una rejilla para que se enfríen. Sirva las galletas de trigo integral, avena y amaranto frías o guárdelas en un recipiente hermético para servir más tarde. Nota: Asegúrese de escurrir todo el exceso de líquido de las frutas remojadas en ron. Estas galletas son suaves y esponjosas. Así que no se preocupe si no logra la textura habitual.</t>
  </si>
  <si>
    <t>Pour commencer la recette de biscuits aux fruits au blé complet, à l'avoine et à l'amarante, préchauffez le four à 180 °C. Graissez légèrement une plaque de cuisson. Dans un grand bol, mélangez les farines, l'avoine, le lin moulu, la levure chimique, le bicarbonate de soude, le sucre, les fruits macérés au rhum, les noix et les pépites de chocolat. Dans un autre bol, fouettez l'œuf (si vous utilisez de la banane écrasée à la place de l'œuf, ne l'ajoutez pas à cette étape. Ajoutez-la à l'étape précédente avec le reste des ingrédients secs et mélangez bien). Faites un puits au centre des ingrédients secs et versez-y le mélange d'œufs. Mélangez bien le tout à l'aide d'une fourchette, d'un fouet ou d'une cuillère en bois pour obtenir une pâte souple mais non collante. Façonnez les biscuits et disposez-les bien espacés sur la plaque de cuisson graissée ; aplatissez légèrement le dessus à la fourchette. Enfournez les biscuits dans un four préchauffé et faites-les cuire 10 à 12 minutes jusqu'à ce qu'ils soient dorés. (Les temps de cuisson peuvent varier) Retirez du four et laissez refroidir 2 à 3 minutes sur la plaque. Transférez les biscuits sur une grille pour les laisser refroidir. Servez le gâteau aux fruits complet, avoine et amarante froid ou conservez-le dans un récipient hermétique pour le servir plus tard. Remarques : Assurez-vous d'égoutter l'excédent de liquide des fruits imbibés de rhum. Ces biscuits sont moelleux. Ne vous inquiétez donc pas si vous n'obtenez pas la texture habituelle.</t>
  </si>
  <si>
    <t>http://www.archanaskitchen.com/whole-wheat-oatmeal-and-amaranth-fruitcake-cookies-recipe</t>
  </si>
  <si>
    <t>Rezept für geröstete Paprika-Quinoa</t>
  </si>
  <si>
    <t>Recette de quinoa aux poivrons rôtis</t>
  </si>
  <si>
    <t>Receta de quinoa con pimientos asados</t>
  </si>
  <si>
    <t>1 tasse de quinoa, 2 tasses d'eau, sel - au goût, 1 cuillère à soupe d'huile d'olive extra vierge, 1 cuillère à café de romarin, 1 poivron vert (Capsicum) - finement haché, 1 poivron rouge (Capsicum) - finement haché, 4 gousses d'ail - finement hachées, sel - au goût, 1 cuillère à café de poudre de poivre noir, 1 cuillère à café de jus de citron, 1 cuillère à café de jus de citron</t>
  </si>
  <si>
    <t>1 cup Quinoa,2 cups Water,Salt - to taste,1 tablespoon Extra Virgin Olive Oil,1 teaspoon Rosemary,1 Green Bell Pepper (Capsicum) - finely chopped,1 Red Bell pepper (Capsicum) - finely chopped,4 cloves Garlic - finely chopped,Salt - to taste,1 teaspoon Black pepper powder,1 teaspoon Lemon juice,1 teaspoon Lemon juice</t>
  </si>
  <si>
    <t>1 taza de quinoa, 2 tazas de agua, sal - al gusto, 1 cucharada de aceite de oliva virgen extra, 1 cucharadita de romero, 1 pimiento verde (Capsicum) - finamente picado, 1 pimiento rojo (Capsicum) - finamente picado, 4 dientes de ajo - finamente picados, sal - al gusto, 1 cucharadita de pimienta negra en polvo, 1 cucharadita de jugo de limón, 1 cucharadita de jugo de limón</t>
  </si>
  <si>
    <t xml:space="preserve">To begin making the Roasted Bell Pepper Quinoa Recipe, wash the quinoa and set aside. In a pressure cooker, combine the quinoa with water, add 1 teaspoon olive oil and salt, mix well and close the pressure cooker. Pressure cook the quinoa for 4 whistles and turn off the heat. Allow the pressure to release naturally. In a skillet, heat oil on medium flame, add the garlic and saute until it turns into a light brown colour. To this add rosemary, finely chopped bell peppers, salt and cook on high heat for a couple of minutes until the bell peppers soften a bit.Finally add black pepper powder and turn off the heat. Stir in the quinoa to the roasted bell peppers, add freshly squeezed lemon juice and toss well. Once done, give the Roasted Bell Pepper Quinoa a taste, adjust the seasonings and transfer to a serving bowl.Serve Roasted Bell Pepper Quinoa Recipe along with Tomato Basil Chicken Curry Recipe or Jamaican Style Vegetarian Stew Recipe and Mustard Mayo Baby Potato Salad Recipe followed  by a dessert of warm Flourless Chilli Chocolate Cake Recipe along with a scoop of ice cream. 
</t>
  </si>
  <si>
    <t>Para comenzar a hacer la Receta de Quinoa con Pimiento Morrón Asado, lava la quinoa y déjala a un lado. En una olla a presión, combina la quinoa con agua, agrega 1 cucharadita de aceite de oliva y sal, mezcla bien y cierra la olla a presión. Cocina a presión la quinoa durante 4 silbidos y apaga el fuego. Deja que la presión se libere naturalmente. En una sartén, calienta el aceite a fuego medio, agrega el ajo y saltea hasta que se vuelva de un color marrón claro. A esto agrega romero, pimientos morrones finamente picados, sal y cocina a fuego alto durante un par de minutos hasta que los pimientos morrones se ablanden un poco. Finalmente, agrega pimienta negra en polvo y apaga el fuego. Incorpora la quinoa a los pimientos morrones asados, agrega jugo de limón recién exprimido y mezcla bien. Una vez listo, prueba la quinoa con pimientos morrones asados, ajusta los condimentos y transfiérelos a un tazón para servir. Sirve la receta de quinoa con pimientos morrones asados ​​junto con la receta de pollo al curry con tomate y albahaca o la receta de estofado vegetariano al estilo jamaicano y la receta de ensalada de papas baby con mayonesa y mostaza, seguido de un postre de pastel de chocolate con chile sin harina tibio junto con una bola de helado.</t>
  </si>
  <si>
    <t>Pour commencer à préparer la recette de quinoa aux poivrons grillés, lavez le quinoa et réservez-le. Dans un autocuiseur, mélangez le quinoa avec de l'eau, ajoutez 1 cuillère à café d'huile d'olive et du sel, mélangez bien et fermez l'autocuiseur. Faites cuire le quinoa sous pression pendant 4 sifflements et éteignez le feu. Laissez la pression se relâcher naturellement. Dans une poêle, faites chauffer l'huile à feu moyen, ajoutez l'ail et faites-le revenir jusqu'à ce qu'il prenne une couleur brun clair. Ajoutez à cela le romarin, les poivrons finement hachés, le sel et faites cuire à feu vif pendant quelques minutes jusqu'à ce que les poivrons ramollissent un peu. Enfin, ajoutez la poudre de poivre noir et éteignez le feu. Incorporez le quinoa aux poivrons grillés, ajoutez le jus de citron fraîchement pressé et mélangez bien. Une fois terminé, goûtez le quinoa aux poivrons grillés, rectifiez l'assaisonnement et transférez-le dans un bol de service. Servez la recette de quinoa aux poivrons grillés avec la recette de curry de poulet aux tomates et au basilic ou la recette de ragoût végétarien à la jamaïcaine et la recette de salade de pommes de terre grelots à la mayonnaise et à la moutarde, suivie d'un dessert chaud de gâteau au chocolat et au piment sans farine accompagné d'une boule de glace.</t>
  </si>
  <si>
    <t>http://www.archanaskitchen.com/roasted-bell-pepper-quinoa-recipe</t>
  </si>
  <si>
    <t>Dulce de Leche Brownie Recipe</t>
  </si>
  <si>
    <t>Dulce de Leche Brownie-Rezept</t>
  </si>
  <si>
    <t>Recette de brownie au dulce de leche</t>
  </si>
  <si>
    <t>Receta de brownie de dulce de leche</t>
  </si>
  <si>
    <t>3/4 tasse de farine tout usage (Maida), 1/4 tasse de poudre de cacao, 1/2 tasse de cassonade (sucre Demerara) - ou sucre, 2 œufs entiers, 100 grammes de beurre, 1 cuillère à café de levure chimique, 2/3 tasse de chocolat noir - haché, 1 cuillère à café d'extrait de vanille, 1/4 tasse de noix - ou de pacanes, 1/3 tasse de dulce de leche</t>
  </si>
  <si>
    <t>3/4 cup All Purpose Flour (Maida),1/4 cup Cocoa Powder,1/2 cup Brown Sugar (Demerara Sugar) - or sugar,2 Whole Eggs,100 grams Butter,1 teaspoon Baking powder,2/3 cup Dark chocolate - chopped,1 teaspoon Vanilla Extract,1/4 cup Walnuts - or pecans,1/3 cup Dulce de leche</t>
  </si>
  <si>
    <t>3/4 taza de harina para todo uso (Maida), 1/4 taza de cacao en polvo, 1/2 taza de azúcar morena (azúcar Demerara) - o azúcar, 2 huevos enteros, 100 gramos de mantequilla, 1 cucharadita de polvo para hornear, 2/3 taza de chocolate negro - picado, 1 cucharadita de extracto de vainilla, 1/4 taza de nueces - o pecanas, 1/3 taza de dulce de leche</t>
  </si>
  <si>
    <t xml:space="preserve">To begin making the Dulce De Leche Brownies, first preheat the oven to 180 C.Prepare a 10x7 inch brownie pan or a 9 inch square pan.Sift the Flour, Cocoa and baking powder and keep it aside.Place the butter and chocolate in a microwave safe bowl and soften for about a minute. You can use a double boiler for the same. Once the butter and chocolate have melted, stir well until soft and fluffy an d keep aside to cool.In another mixing bowl, whisk the eggs using a hand mixer until fluffy. Add the butter and chocolate mixture to the eggs and beat it in. Gradually add the sugar and vanilla extract and beat till everything blends well.Once all the above ingredients are well incorporated, fold in the flour, the walnuts or pecan and mix well.Once the batter is well combined, pour the batter into the prepared pan and spread evenly.Drop spoonfuls of the dulche de leche at intervals on top of the batter.Use a fork or knife to gently swirl the dulce de leche, taking care to retain it on top. Place the Dulce De Leche Brownies to bake in the oven for about 35-40 minutes, until a tester inserted in the center comes out clean.Once done, remove the Dulce De Leche Brownies from the oven and allow it to cool before you can serve.Serve the delicious Dulce de Leche brownies as a tea time snack or serve it with a scoop of Vanilla ice cream as a dessert for dinner.
</t>
  </si>
  <si>
    <t>Para empezar a preparar los brownies de dulce de leche, precalienta el horno a 180 °C. Prepara un molde para brownies de 25 x 18 cm o uno cuadrado de 23 cm. Tamiza la harina, el cacao y la levadura química y reserva. Coloca la mantequilla y el chocolate en un recipiente apto para microondas y deja que se ablanden durante un minuto aproximadamente. Puedes usar baño maría para esto. Una vez que la mantequilla y el chocolate se hayan derretido, remueve bien hasta que la mezcla esté suave y esponjosa y reserva para que se enfríe. En otro recipiente, bate los huevos con una batidora de mano hasta que la mezcla esté esponjosa. Añade la mezcla de mantequilla y chocolate a los huevos y bate. Agrega gradualmente el azúcar y el extracto de vainilla y bate hasta que todo esté bien mezclado. Una vez que todos los ingredientes anteriores estén bien incorporados, incorpora la harina, las nueces o pecanas y mezcla bien. Una vez que la masa esté bien combinada, viértela en el molde preparado y extiéndela uniformemente. Deja caer cucharadas de dulce de leche a intervalos sobre la masa. Usa un tenedor o cuchillo para remover suavemente el dulce de leche, teniendo cuidado de mantenerlo en la parte superior. Coloca los Brownies de Dulce de Leche para hornear en el horno durante unos 35-40 minutos, hasta que al insertar un palillo en el centro, este salga limpio. Una vez hecho esto, retira los Brownies de Dulce de Leche del horno y déjalos enfriar antes de servir. Sirve los deliciosos brownies de dulce de leche como un refrigerio para la hora del té o sírvelos con una bola de helado de vainilla como postre para la cena.</t>
  </si>
  <si>
    <t>Pour préparer les brownies au dulce de leche, préchauffez le four à 180 °C. Préparez un moule à brownie de 25 x 18 cm ou un moule carré de 23 cm. Tamisez la farine, le cacao et la levure chimique et réservez. Placez le beurre et le chocolat dans un bol allant au micro-ondes et laissez-les ramollir environ une minute. Vous pouvez également utiliser un bain-marie. Une fois le beurre et le chocolat fondus, remuez bien jusqu'à obtenir une consistance mousseuse et laissez refroidir. Dans un autre saladier, fouettez les œufs au batteur électrique jusqu'à obtenir une consistance mousseuse. Ajoutez le mélange de beurre et de chocolat aux œufs et battez. Ajoutez progressivement le sucre et l'extrait de vanille et battez jusqu'à ce que tout soit bien mélangé. Une fois tous les ingrédients ci-dessus bien incorporés, incorporez la farine, les noix ou les noix de pécan et mélangez bien. Une fois la pâte bien mélangée, versez la pâte dans le moule préparé et étalez-la uniformément. Déposez des cuillerées de dulce de leche à intervalles réguliers sur la pâte. Utilisez une fourchette ou un couteau pour faire tournoyer délicatement le dulce de leche, en prenant soin de le conserver sur le dessus. Placez les brownies au dulce de leche à cuire au four pendant environ 35 à 40 minutes, jusqu'à ce qu'un cure-dent inséré au centre en ressorte propre. Une fois cuits, retirez les brownies au dulce de leche du four et laissez-les refroidir avant de servir. Servez les délicieux brownies au dulce de leche comme collation à l'heure du thé ou servez-les avec une boule de glace à la vanille comme dessert pour le dîner.</t>
  </si>
  <si>
    <t>https://www.archanaskitchen.com/dulce-de-leche-brownie-recipe</t>
  </si>
  <si>
    <t>Sweet Chili Lime Grilled Chicken Recipe</t>
  </si>
  <si>
    <t>Rezept für gegrilltes Hähnchen mit süßer Chili-Limette</t>
  </si>
  <si>
    <t>Recette de poulet grillé au piment doux et au citron vert</t>
  </si>
  <si>
    <t>Receta de pollo a la parrilla con chile dulce y lima</t>
  </si>
  <si>
    <t>1 blanc de poulet, 1 cuillère à soupe de sauce chili rouge douce et épicée (sauce tomate et piment), 1 cuillère à café de sirop de dattes, 1/4 cuillère à café de sauce soja, 1 jus de citron, 1 cuillère à café d'origan séché, 1 cuillère à café de poudre de poivre noir, sel - au goût, 10 haricots verts (haricots verts) - parés des bords, 1 cuillère à soupe de beurre, 2 gousses d'ail - hachées, sel - au goût, poudre de poivre noir - pour l'assaisonnement, 1 maïs doux, 1 cuillère à soupe de beurre, 1 cuillère à café d'origan séché, sel - au goût, sel - au goût</t>
  </si>
  <si>
    <t>1 Chicken breasts,1 tablespoon Sweet and Spicy Red Chilli Sauce (Tomato Chilli Sauce),1 teaspoon Date syrup,1/4 teaspoon Soy sauce,1 Lemon juice,1 teaspoon Dried oregano,1 teaspoon Black pepper powder,Salt - to taste,10 Green beans (French Beans) - trimmed from the edges,1 tablespoon Butter,2 cloves Garlic - chopped,Salt - to taste,Black pepper powder - for seasoning,1 Sweet corn,1 tablespoon Butter,1 teaspoon Dried oregano,Salt - to taste,Salt - to taste</t>
  </si>
  <si>
    <t>1 pechuga de pollo, 1 cucharada de salsa de chile rojo agridulce (salsa de chile y tomate), 1 cucharadita de jarabe de dátiles, 1/4 cucharadita de salsa de soja, 1 jugo de limón, 1 cucharadita de orégano seco, 1 cucharadita de pimienta negra en polvo, sal - al gusto, 10 judías verdes (judías verdes) - recortadas de los bordes, 1 cucharada de mantequilla, 2 dientes de ajo - picados, sal - al gusto, pimienta negra en polvo - para condimentar, 1 maíz dulce, 1 cucharada de mantequilla, 1 cucharadita de orégano seco, sal - al gusto, sal - al gusto</t>
  </si>
  <si>
    <t xml:space="preserve">To begin making the Sweet Chili Lime Grilled Chicken Recipe, in a mixing bowl,  marinate the chicken pieces along with the red chilli sauce, date syrup, soy sauce, lemon juice, dried oregano, pepper, and salt to taste. Marinate and keep it aside for about an hour.Steam the green beans in the pressure cooker along with 1 tablespoon of water for one whistle and turn off the heat. Release the pressure immediately, by running the cooker under cold water. This will help the green beans remain green.In a pan; melt the butter and saute the garlic for a few seconds. Add the steamed green beans, salt and pepper and toss for about a minute and turn off the heat. Keep it aside.We will move on to make the roasted corn, for that boil the corn in a pressure cooker with little water and salt for about 1 whistle. This will keep the corn soft and moist.Heat a grilling pan, one it is hot drizzle some oil over and place the boiled corn and grease it with butter and sprinkle dried oregano over it.Keep turning the corn to evenly roast and take it out once it has got a nice brown color.To grill the chicken, grease the same grilled pan with oil and keep it on medium heat. Once the pan becomes hot. Place the chicken on the grill pan and allow it to cook. Cook on either side for 10 minutes.Keep brushing the chicken with the leftover dressing so that the chicken will develop enough flavor.Keep grilling the chicken until it is done. The chicken breast will take about 15 minutes to cook on either side on medium heat.Serve the Sweet Chili Lime Grilled Chicken Recipe along with Green Beans and Corn can be served as a lunch along with a glass of Red Wine Sangria Cocktail Recipe. 
</t>
  </si>
  <si>
    <t>Para comenzar a hacer la Receta de Pollo a la Parrilla con Lima y Chile Dulce, en un tazón, marine los trozos de pollo junto con la salsa de chile rojo, el jarabe de dátiles, la salsa de soya, el jugo de limón, el orégano seco, la pimienta y la sal al gusto. Marine y déjelo reposar durante aproximadamente una hora. Cocine al vapor las judías verdes en la olla a presión junto con 1 cucharada de agua durante un silbato y apague el fuego. Libere la presión inmediatamente, pasando la olla bajo agua fría. Esto ayudará a que las judías verdes permanezcan verdes. En una sartén; derrita la mantequilla y saltee el ajo durante unos segundos. Agregue las judías verdes al vapor, sal y pimienta y revuelva durante aproximadamente un minuto y apague el fuego. Déjelo a un lado. Pasaremos a hacer el maíz tostado, para eso hierva el maíz en una olla a presión con poca agua y sal durante aproximadamente 1 silbato. Esto mantendrá el maíz suave y húmedo. Calienta una sartén para asar, una vez caliente rocía un poco de aceite y coloca el maíz hervido. Engrásalo con mantequilla y espolvorea orégano seco por encima. Sigue volteando el maíz para asarlo uniformemente y sácalo una vez que tenga un bonito color marrón. Para asar el pollo, engrasa la misma sartén con aceite y mantenla a fuego medio. Una vez que la sartén esté caliente, coloca el pollo en la sartén y déjalo cocinar. Cocina por cada lado durante 10 minutos. Sigue pincelando el pollo con el aderezo sobrante para que desarrolle suficiente sabor. Sigue asando el pollo hasta que esté listo. La pechuga de pollo tardará unos 15 minutos en cocinarse por cada lado a fuego medio. Sirve la Receta de Pollo a la Parrilla con Chile Dulce y Lima junto con Judías Verdes y Maíz. Se puede servir como almuerzo junto con una copa de Receta de Cóctel de Sangría de Vino Tinto.</t>
  </si>
  <si>
    <t>Pour commencer à préparer la recette de poulet grillé au piment doux et au citron vert, dans un bol, faites mariner les morceaux de poulet avec la sauce au piment rouge, le sirop de dattes, la sauce soja, le jus de citron, l'origan séché, le poivre et le sel au goût. Laissez mariner et réservez pendant environ une heure. Faites cuire les haricots verts à la vapeur dans l'autocuiseur avec 1 cuillère à soupe d'eau pendant un sifflement et éteignez le feu. Relâchez immédiatement la pression en passant l'autocuiseur sous l'eau froide. Cela aidera les haricots verts à rester verts. Dans une poêle, faites fondre le beurre et faites revenir l'ail pendant quelques secondes. Ajoutez les haricots verts cuits à la vapeur, salez et poivrez et remuez pendant environ une minute, puis éteignez le feu. Réservez. Nous allons passer à la préparation du maïs rôti, pour cela, faites bouillir le maïs dans un autocuiseur avec un peu d'eau et de sel pendant environ 1 sifflement. Cela gardera le maïs tendre et moelleux. Faites chauffer une poêle à griller. Une fois chaude, versez un filet d'huile dessus et placez le maïs bouilli. Graissez-le de beurre et saupoudrez d'origan séché. Continuez à retourner le maïs pour le faire rôtir uniformément et retirez-le lorsqu'il a pris une belle couleur brune. Pour griller le poulet, graissez la même poêle à griller avec de l'huile et maintenez-la à feu moyen. Une fois la poêle chaude, placez le poulet sur la poêle à griller et laissez-le cuire. Faites-le cuire de chaque côté pendant 10 minutes. Continuez à badigeonner le poulet avec le reste de vinaigrette pour qu'il développe suffisamment de saveur. Continuez à griller le poulet jusqu'à ce qu'il soit cuit. La poitrine de poulet prendra environ 15 minutes à cuire de chaque côté à feu moyen. Servez la recette de poulet grillé au piment doux et au citron vert avec des haricots verts et du maïs. Vous pouvez le servir au déjeuner avec un verre de sangria au vin rouge.</t>
  </si>
  <si>
    <t>https://www.archanaskitchen.com/sweet-chili-lime-grilled-chicken-roasted-corn-and-sweet-potato-mash-recipe</t>
  </si>
  <si>
    <t>Whole Wheat Buttermilk Banana Pancakes Recipes</t>
  </si>
  <si>
    <t>Rezepte für Vollkorn-Buttermilch-Bananenpfannkuchen</t>
  </si>
  <si>
    <t>Recettes de crêpes à la banane et au babeurre de blé entier</t>
  </si>
  <si>
    <t>Recetas de panqueques de plátano con suero de leche y trigo integral</t>
  </si>
  <si>
    <t>1 banane mûre hachée, 1 tasse de farine de blé entier, 1 1/2 cuillère à café de levure chimique, 1/4 cuillère à café de sel, 3/4 tasse de babeurre, 1 œuf entier ou substitut d'œuf à base de farine de lin, 1/2 cuillère à café d'extrait de vanille, 1 cuillère à soupe d'huile de tournesol, beurre ou huile pour la cuisson des crêpes</t>
  </si>
  <si>
    <t>1 Ripe Bananas - chopped,1 cup Whole Wheat Flour,1 1/2 teaspoons Baking powder,1/4 teaspoon Salt,3/4 cup Buttermilk,1 Whole Egg - or Flax meal Egg Replacer,1/2 teaspoon Vanilla Extract,1 tablespoon Sunflower Oil,Butter - or oil for cooking pancakes</t>
  </si>
  <si>
    <t>1 plátano maduro picado, 1 taza de harina integral, 1 1/2 cucharadita de polvo para hornear, 1/4 cucharadita de sal, 3/4 taza de suero de leche, 1 huevo entero o sustituto de huevo de harina de lino, 1/2 cucharadita de extracto de vainilla, 1 cucharada de aceite de girasol, mantequilla o aceite para cocinar panqueques</t>
  </si>
  <si>
    <t xml:space="preserve">To begin making the Whole Wheat Buttermilk Banana Pancakes, stir together wheat flour, baking powder and salt.Into the flour mixture, add the eggs (flax meal egg replacer), buttermilk, vanilla extract, chopped banana, and oil and whisk until well blended.Heat skillet to medium heat. Pour a ladle full of the buttermilk banana pancake mixture on the skillet.Do not spread the mixture on the skillet, once pour it on a hot skillet it creates on its own a boundary point .Cook until bubbles form and edges start to fry and turn lightly crisp. Flip over the Whole Wheat Banana Pancake and cook until lightly browned.Serve  Whole Wheat Buttermilk Banana Pancakes drizzled with Maple Syrup or honey, topped with nuts and butter or even fresh fruits, along with Banana And Mango Smoothie for a filling breakfast.
</t>
  </si>
  <si>
    <t>Para empezar a preparar los panqueques de plátano con suero de leche y trigo integral, mezcle la harina de trigo, el polvo para hornear y la sal. A la mezcla de harina, agregue los huevos (sustituto de huevo de harina de linaza), el suero de leche, el extracto de vainilla, el plátano picado y el aceite y bata hasta que estén bien mezclados. Caliente la sartén a fuego medio. Vierta un cucharón lleno de la mezcla para panqueques de plátano con suero de leche en la sartén. No extienda la mezcla en la sartén, una vez que la vierta en una sartén caliente, crea por sí sola un punto límite. Cocine hasta que se formen burbujas y los bordes comiencen a freírse y se vuelvan ligeramente crujientes. Voltee el panqueque de plátano con suero de leche y cocine hasta que esté ligeramente dorado. Sirva los panqueques de plátano con suero de leche y trigo integral rociados con jarabe de arce o miel, cubiertos con nueces y mantequilla o incluso frutas frescas, junto con un batido de plátano y mango para un desayuno abundante.</t>
  </si>
  <si>
    <t>Pour commencer à préparer les crêpes au babeurre et à la banane au blé entier, mélangez la farine de blé, la levure chimique et le sel. Dans le mélange de farine, ajoutez les œufs (substitut d'œuf à base de farine de lin), le babeurre, l'extrait de vanille, la banane hachée et l'huile et fouettez jusqu'à ce que le tout soit bien mélangé. Chauffez la poêle à feu moyen. Versez une louche de préparation pour crêpes au babeurre et à la banane dans la poêle. N'étalez pas le mélange sur la poêle, une fois versé sur une poêle chaude, il crée tout seul un point de délimitation. Faites cuire jusqu'à ce que des bulles se forment et que les bords commencent à frire et deviennent légèrement croustillants. Retournez la crêpe au babeurre et à la banane et faites cuire jusqu'à ce qu'elle soit légèrement dorée. Servez les crêpes au babeurre et à la banane au blé entier arrosées de sirop d'érable ou de miel, garnies de noix et de beurre ou même de fruits frais, accompagnées d'un smoothie banane et mangue pour un petit-déjeuner copieux.</t>
  </si>
  <si>
    <t>http://www.archanaskitchen.com/whole-wheat-buttermilk-banana-pancakes-recipes</t>
  </si>
  <si>
    <t>Grilled Stuffed Mushrooms Recipe With Onion Parmesan &amp; Herbs</t>
  </si>
  <si>
    <t>Rezept für gegrillte gefüllte Champignons mit Zwiebelparmesan und Kräutern</t>
  </si>
  <si>
    <t>Recette de champignons farcis grillés aux oignons, parmesan et herbes</t>
  </si>
  <si>
    <t>Receta de champiñones rellenos a la parrilla con cebolla, parmesano y hierbas</t>
  </si>
  <si>
    <t>400 grammes de champignons de Paris - ou de champignons portabello, 1 cuillère à café d'huile d'olive extra vierge, 1 cuillère à café de poudre de poivre noir, 1 cuillère à soupe de fromage cheddar - (ajuster), 1/4 tasse d'oignon - haché, 4 gousses d'ail - finement hachées, 1 cuillère à soupe de feuilles de coriandre (Dhania) - hachées, sel - au goût, huile d'olive extra vierge - ou spray de cuisson au besoin</t>
  </si>
  <si>
    <t>400 grams Button mushrooms - or portabello mushrooms,1 teaspoon Extra Virgin Olive Oil,1 teaspoons Black pepper powder,1 tablespoon Cheddar cheese - (adjust),1/4 cup Onion - chopped,4 cloves Garlic - finely chopped,1 tablespoon Coriander (Dhania) Leaves - chopped,Salt - to taste,Extra Virgin Olive Oil - or Cooking spray as needed</t>
  </si>
  <si>
    <t>400 gramos de champiñones o champiñones portobello, 1 cucharadita de aceite de oliva virgen extra, 1 cucharadita de pimienta negra en polvo, 1 cucharada de queso cheddar (ajustar), 1/4 taza de cebolla picada, 4 dientes de ajo finamente picados, 1 cucharada de hojas de cilantro (Dhania) picadas, sal al gusto, aceite de oliva virgen extra o aerosol para cocinar según sea necesario</t>
  </si>
  <si>
    <t xml:space="preserve">To begin making the Grilled Stuffed Mushrooms Recipe With Onion Parmesan &amp; Herbs, clean mushrooms with wet paper towels, scoop out stems of every mushrooms to make a cavity, set aside. Chop down all mushroom stems into small pieces.Heat a teaspoon of olive oil in a shallow fry pan. Add chopped onions and saute until light brown in colour.Once done add garlic, chopped mushroom stems, salt, black pepper powder. Saute until the mushroom is tender. After the mushrooms are cooked add fresh cilantro and cheddar cheese, mix well and take out the mixture onto a plate.Sprinkle salt on mushrooms and spray some cooking oil. Fill out the mushrooms with the prepared mixture.Heat a cast iron grill pan, spray some cooking oil and place all the mushrooms gently on grill pan and grill on medium heat until mushrooms are tender.Alternately you can also grill in an preheated oven at 375 degrees Fahrenheit for 10 minutes.Serve Grilled Stuffed Mushrooms Recipe With Onion Parmesan &amp; Herbs along side  Pistachio &amp; Cranberry Broken Wheat Pilaf Recipe and Olive &amp; Tofu In Harissa Curry Recipe  for a complete meal.
</t>
  </si>
  <si>
    <t>Para comenzar a hacer la Receta de Champiñones Rellenos a la Parrilla con Cebolla, Parmesano y Hierbas, limpie los champiñones con toallas de papel húmedas, saque los tallos de cada champiñón para hacer una cavidad, reserve. Corte todos los tallos de los champiñones en trozos pequeños. Caliente una cucharadita de aceite de oliva en una sartén poco profunda. Agregue las cebollas picadas y saltee hasta que estén de color marrón claro. Una vez hecho esto, agregue el ajo, los tallos de los champiñones picados, la sal y la pimienta negra en polvo. Saltee hasta que el champiñón esté tierno. Después de que los champiñones estén cocidos, agregue cilantro fresco y queso cheddar, mezcle bien y saque la mezcla a un plato. Espolvoree sal sobre los champiñones y rocíe un poco de aceite de cocina. Rellena los champiñones con la mezcla preparada. Calienta una parrilla de hierro fundido, rocía un poco de aceite de cocina y coloca todos los champiñones suavemente sobre la parrilla y ásalos a fuego medio hasta que estén tiernos. Alternativamente, también puedes asarlos en un horno precalentado a 375 grados Fahrenheit durante 10 minutos. Sirve la receta de champiñones rellenos a la parrilla con cebolla, parmesano y hierbas junto con la receta de pilaf de trigo roto con pistacho y arándanos y la receta de curry de aceitunas y tofu en harissa para una comida completa.</t>
  </si>
  <si>
    <t>Pour commencer à préparer la recette de champignons farcis grillés avec oignon, parmesan et herbes, nettoyez les champignons avec du papier absorbant humide, retirez les tiges de chaque champignon pour faire une cavité, réservez. Coupez toutes les tiges de champignons en petits morceaux. Faites chauffer une cuillère à café d'huile d'olive dans une poêle peu profonde. Ajoutez les oignons hachés et faites-les revenir jusqu'à ce qu'ils soient légèrement dorés. Une fois cuits, ajoutez l'ail, les tiges de champignons hachées, le sel et le poivre noir en poudre. Faites sauter jusqu'à ce que les champignons soient tendres. Une fois les champignons cuits, ajoutez la coriandre fraîche et le cheddar, mélangez bien et sortez le mélange sur une assiette. Saupoudrez de sel sur les champignons et vaporisez un peu d'huile de cuisson. Remplissez les champignons avec le mélange préparé. Faites chauffer une poêle à griller en fonte, vaporisez un peu d'huile de cuisson et placez délicatement tous les champignons sur la poêle à griller et faites-les griller à feu moyen jusqu'à ce qu'ils soient tendres. Vous pouvez également les griller dans un four préchauffé à 375 degrés Fahrenheit pendant 10 minutes. Servez la recette de champignons farcis grillés avec oignon, parmesan et herbes avec la recette de pilaf de blé brisé aux pistaches et aux canneberges et la recette de curry aux olives et au tofu à la harissa pour un repas complet.</t>
  </si>
  <si>
    <t>https://www.archanaskitchen.com/grilled-stuffed-mushrooms-recipe-with-onion-parmesan-herbs</t>
  </si>
  <si>
    <t>Carrot Cake Recipe for Healthy Heart</t>
  </si>
  <si>
    <t>Karottenkuchen-Rezept für ein gesundes Herz</t>
  </si>
  <si>
    <t>Recette de gâteau aux carottes pour un cœur en bonne santé</t>
  </si>
  <si>
    <t>Receta de pastel de zanahoria para un corazón sano</t>
  </si>
  <si>
    <t>1 tasse de farine de blé entier, 1-1/2 cuillères à café de levure chimique, 1/2 tasse de sucre, 2 œufs entiers, 2 cuillères à café d'extrait de vanille, 1/2 tasse d'huile d'olive extra vierge, 1/2 tasse de carottes (Gajjar) - finement râpées, 1/4 tasse de noix de cajou - finement hachées</t>
  </si>
  <si>
    <t>1 cup Whole Wheat Flour,1-1/2 teaspoons Baking powder,1/2 cup Sugar,2 Whole Eggs,2 teaspoons Vanilla Extract,1/2 cup Extra Virgin Olive Oil,1/2 cup Carrot (Gajjar) - finely grated,1/4 cup Cashew nuts - finely chopped</t>
  </si>
  <si>
    <t>1 taza de harina integral, 1-1/2 cucharadita de polvo para hornear, 1/2 taza de azúcar, 2 huevos enteros, 2 cucharaditas de extracto de vainilla, 1/2 taza de aceite de oliva virgen extra, 1/2 taza de zanahoria (Gajjar) - finamente rallada, 1/4 taza de anacardos - finamente picados</t>
  </si>
  <si>
    <t xml:space="preserve">To begin making the Carrot Cake Recipe for Healthy Heart, first get all the ingredients ready and keep aside.Preheat the oven to 180 C, grease a baking pan with butter and dust it flour and keep aside.Sift the flour and baking powder in a bowl and keep aside.In a large mixing bowl, using a hand mixer, beat in the eggs until creamy. Gradually add the olive oil and beat in. Add the vanilla essence and sugar and beat.Gradually add the flour mixture, the grated carrots, and finely chopped cashewnuts. Beat until all the ingredients are just about combined. Once well combined, pour the carrot cake batter into the prepare baking pan and place it in the preheated oven.Bake in the preheated oven, for about 35 to 40 minutes until the tester inserted in the center comes out clean.Once done, remove the heart healthy carrot cake from the oven and allow it to cool a bit and serve.Serve the Carrot Cake along with a tall glass for milk for breakfast or even as an evening tea time snack along with a cup of Green tea.
</t>
  </si>
  <si>
    <t>Para empezar a preparar la Receta de Pastel de Zanahoria para un Corazón Saludable, primero prepara todos los ingredientes y resérvalos. Precalienta el horno a 180 °C, engrasa un molde para hornear con mantequilla, espolvoréalo con harina y resérvalo. Tamiza la harina y la levadura química en un bol y resérvalo. En un bol grande, con una batidora de mano, incorpora los huevos hasta obtener una mezcla cremosa. Agrega poco a poco el aceite de oliva y bate. Agrega la esencia de vainilla y el azúcar y bate. Incorpora poco a poco la mezcla de harina, las zanahorias ralladas y los anacardos finamente picados. Bate hasta que todos los ingredientes estén casi integrados. Una vez bien combinado, vierta la masa del pastel de zanahoria en el molde preparado y colóquelo en el horno precalentado. Hornee en el horno precalentado durante unos 35 a 40 minutos hasta que al insertar un palillo en el centro, este salga limpio. Una vez listo, retire el pastel de zanahoria del horno, déjelo enfriar un poco y sirva. Sirva el pastel de zanahoria junto con un vaso alto de leche para el desayuno o incluso como refrigerio para la hora del té con una taza de té verde.</t>
  </si>
  <si>
    <t>Pour commencer à préparer la recette du gâteau aux carottes pour un cœur en bonne santé, préparez tous les ingrédients et réservez-les. Préchauffez le four à 180 °C, beurrez un moule à cake, farinez-le et réservez-le. Tamisez la farine et la levure chimique dans un saladier et réservez-les. Dans un grand saladier, battez les œufs au batteur électrique jusqu'à obtenir une consistance crémeuse. Ajoutez progressivement l'huile d'olive et battez. Ajoutez l'extrait de vanille et le sucre et battez. Ajoutez progressivement le mélange de farine, les carottes râpées et les noix de cajou finement hachées. Battez jusqu'à ce que tous les ingrédients soient bien mélangés. Une fois bien mélangé, versez la pâte à gâteau aux carottes dans le moule préparé et placez-le dans le four préchauffé. Faites cuire au four préchauffé pendant environ 35 à 40 minutes jusqu'à ce que le testeur inséré au centre en ressorte propre. Une fois terminé, retirez le gâteau aux carottes sain pour le cœur du four et laissez-le refroidir un peu avant de servir. Servez le gâteau aux carottes avec un grand verre de lait pour le petit-déjeuner ou même comme collation du soir avec une tasse de thé vert.</t>
  </si>
  <si>
    <t>http://www.archanaskitchen.com/carrot-cake-recipe-for-healthy-heart</t>
  </si>
  <si>
    <t>Sago Yogurt Parfait Recipe (Creamy Tapioca Pearls With Assorted Fruits)</t>
  </si>
  <si>
    <t>Rezept für Sago-Joghurt-Parfait (cremige Tapiokaperlen mit verschiedenen Früchten)</t>
  </si>
  <si>
    <t>Recette de parfait au yaourt et au sagou (perles de tapioca crémeuses aux fruits variés)</t>
  </si>
  <si>
    <t>Receta de parfait de yogur de sagú (perlas cremosas de tapioca con frutas mixtas)</t>
  </si>
  <si>
    <t>1 tasse de farine de tapioca (sagou) - trempée, 1 tasse de caillé (dahi / yaourt), 1 banane mûre - tranchée, 1 pomme - coupée en cubes, 1/2 tasse de poudre d'anardana (poudre de graines de grenade), 4 cuillères à soupe de miel, 2 cuillères à soupe de badam (amande) - grillée</t>
  </si>
  <si>
    <t>1 cup Tapioca Flour (Sago) - soaked,1 cup Curd (Dahi / Yogurt),1 Ripe Bananas - sliced,1 Apple - cubed,1/2 cup Anardana Powder (Pomegranate Seed Powder),4 tablespoon Honey,2 tablespoon Badam (Almond) - roasted</t>
  </si>
  <si>
    <t>1 taza de harina de tapioca (sagú) remojada, 1 taza de cuajada (dahi/yogur), 1 plátano maduro en rodajas, 1 manzana en cubos, 1/2 taza de polvo de anardana (polvo de semilla de granada), 4 cucharadas de miel, 2 cucharadas de badam (almendra) tostada</t>
  </si>
  <si>
    <t xml:space="preserve">We begin making Sago Yogurt Parfait Recipe ( Creamy Tapioca Pearls With Assorted Fruits Recipe) by soaking the tapioca pearls in water for about 4 hours. Then later drain the water and boil it in water with 1/2 cup of water for about 5 minutes till it is soft and done.Keep all the fruits ready and cut. Mix the boiled sago with yogurt, fruits, and nuts in a bowl. Drizzle the honey over it.Serve your Sago Yogurt Parfait ( Creamy Tapioca Pearls With Assorted Fruits) for a quick breakfast with Spinach omelette recipe or broccoli pesto open toast for a healthy start.
</t>
  </si>
  <si>
    <t>Comenzamos preparando la receta de parfait de yogur de sagú (perlas cremosas de tapioca con frutas variadas) remojando las perlas de tapioca en agua durante aproximadamente 4 horas. Luego, escurrimos el agua y las hervimos en agua con 1/2 taza de agua durante unos 5 minutos hasta que estén suaves y listas. Mantenemos todas las frutas listas y cortadas. Mezclamos el sagú hervido con el yogur, las frutas y los frutos secos en un tazón. Rociamos la miel por encima. Sirve tu parfait de yogur de sagú (perlas cremosas de tapioca con frutas variadas) para un desayuno rápido con la receta de tortilla de espinacas o tostadas abiertas con pesto de brócoli para un comienzo saludable.</t>
  </si>
  <si>
    <t>Nous commençons à préparer la recette du parfait au yaourt au sagou (perles de tapioca crémeuses aux fruits assortis) en faisant tremper les perles de tapioca dans de l'eau pendant environ 4 heures. Ensuite, égouttez l'eau et faites-la bouillir dans de l'eau avec 1/2 tasse d'eau pendant environ 5 minutes jusqu'à ce qu'elle soit tendre et cuite. Gardez tous les fruits prêts et coupés. Mélangez le sagou bouilli avec le yaourt, les fruits et les noix dans un bol. Arrosez de miel. Servez votre parfait au yaourt au sagou (perles de tapioca crémeuses aux fruits assortis) pour un petit-déjeuner rapide avec une recette d'omelette aux épinards ou du pain grillé ouvert au pesto de brocoli pour un début sain.</t>
  </si>
  <si>
    <t>https://www.archanaskitchen.com/sago-yogurt-parfait-recipe-creamy-tapioca-pearls-with-assorted-fruits-recipe</t>
  </si>
  <si>
    <t>Banana Apple Porridge Recipe - 6 Months Above For Babies &amp; Toddlers</t>
  </si>
  <si>
    <t>Bananen-Apfel-Porridge-Rezept – Für Babys und Kleinkinder ab 6 Monaten</t>
  </si>
  <si>
    <t>Recette de porridge à la banane et aux pommes – Pour les bébés et les tout-petits à partir de 6 mois</t>
  </si>
  <si>
    <t>Receta de papilla de plátano y manzana: para bebés y niños pequeños de 6 meses en adelante</t>
  </si>
  <si>
    <t>1 banane mûre - petite variété (banane Yelaki), 1 pomme - pelée et évidée, 1/4 tasse de riz</t>
  </si>
  <si>
    <t>1 Ripe Bananas - small variety (Yelakki Banana),1 Apple - peeled and cored,1/4 cup Rice</t>
  </si>
  <si>
    <t>1 plátano maduro (variedad pequeña, plátano Yelakkí), 1 manzana (pelada y sin corazón), 1/4 taza de arroz</t>
  </si>
  <si>
    <t xml:space="preserve">To begin making the Banana and Apple Porridge for babies, we have to first cook the rice.Add 1/4 cup rice along with 1/2 cup water to a pressure cooker. Pressure cook for 3 whistles, turn off the heat and release the pressure naturally. Meanwhile, mash the banana in a bowl and keep aside. Peel and core an apple and cut the apple into small pieces.Add 1/4 cup water into a saucepan. Add the cut apple pieces to the saucepan and boil the apple pieces in the water until it is well cooked. Once the apple pieces are cooked, remove from the saucepan and mash them. In a bowl, add the cooked rice and mash it. Next add the mashed banana and apples into the mashed rice. Give it a good mix. Banana and Apple Porridge is ready to be served. You can add some water or milk if you baby prefers it to be thinner.Serve this delicious Banana and Apple Porridge as a meal to your baby/toddler during lunch or dinner for a wholesome meal.
</t>
  </si>
  <si>
    <t>Para comenzar a hacer las gachas de plátano y manzana para bebés, primero tenemos que cocinar el arroz. Agregue 1/4 de taza de arroz junto con 1/2 taza de agua a una olla a presión. Cocine a presión durante 3 silbidos, apague el fuego y libere la presión naturalmente. Mientras tanto, triture el plátano en un tazón y reserve. Pele y quite el corazón de una manzana y córtela en trozos pequeños. Agregue 1/4 de taza de agua a una cacerola. Agregue los trozos de manzana cortados a la cacerola y hierva los trozos de manzana en el agua hasta que estén bien cocidos. Una vez que los trozos de manzana estén cocidos, sáquelos de la cacerola y tritúrelos. En un tazón, agregue el arroz cocido y tritúrelo. Luego agregue el plátano y las manzanas machacadas al arroz machacado. Mezcle bien. Las gachas de plátano y manzana están listas para servir. Puedes agregar un poco de agua o leche si tu bebé lo prefiere más líquido. Sirve estas deliciosas gachas de plátano y manzana como comida para tu bebé o niño pequeño durante el almuerzo o la cena para una comida saludable.</t>
  </si>
  <si>
    <t>Pour commencer à préparer le porridge à la banane et aux pommes pour bébés, nous devons d'abord cuire le riz. Ajoutez 1/4 tasse de riz avec 1/2 tasse d'eau dans un autocuiseur. Faites cuire sous pression pendant 3 sifflements, éteignez le feu et relâchez la pression naturellement. Pendant ce temps, écrasez la banane dans un bol et réservez. Pelez et épépinez une pomme et coupez-la en petits morceaux. Ajoutez 1/4 tasse d'eau dans une casserole. Ajoutez les morceaux de pomme coupés dans la casserole et faites bouillir les morceaux de pomme dans l'eau jusqu'à ce qu'ils soient bien cuits. Une fois les morceaux de pomme cuits, retirez-les de la casserole et écrasez-les. Dans un bol, ajoutez le riz cuit et écrasez-le. Ajoutez ensuite la banane et les pommes écrasées dans le riz écrasé. Mélangez bien. Le porridge à la banane et aux pommes est prêt à être servi. Vous pouvez ajouter un peu d'eau ou de lait si votre bébé le préfère plus liquide. Servez ce délicieux porridge à la banane et aux pommes comme repas à votre bébé/tout-petit pendant le déjeuner ou le dîner pour un repas sain.</t>
  </si>
  <si>
    <t>https://www.archanaskitchen.com/banana-apple-porridge-recipe-for-babies-and-toddlers</t>
  </si>
  <si>
    <t>Pumpkin Cupcakes Recipe With Finger Millet And Flax Seed</t>
  </si>
  <si>
    <t>Kürbis-Cupcakes-Rezept mit Fingerhirse und Leinsamen</t>
  </si>
  <si>
    <t>Recette de cupcakes à la citrouille avec millet et graines de lin</t>
  </si>
  <si>
    <t>Receta de cupcakes de calabaza con mijo y semillas de lino</t>
  </si>
  <si>
    <t>1/2 tasse de Vivatta Maida, 1/2 tasse de farine de Ragi (millet des doigts/Nagli), 1/3 tasse de poudre de graines de lin (farine de lin), 1 tasse de purée de citrouille, 1/2 tasse de sucre, 1 cuillère à soupe de beurre fondu, 1 cuillère à soupe de levure chimique, 1/4 cuillère à café de cannelle en poudre (Dalchini), 1 œuf entier, 2 cuillères à soupe de lait - (ajuster)</t>
  </si>
  <si>
    <t>1/2 cup Vivatta Maida,1/2 cup Ragi Flour (Finger Millet/ Nagli),1/3 cup Flax seed powder (flax meal),1 cup Pumpkin puree,1/2 cup Sugar,1 tablespoon Butter - melted,1 tablespoon Baking powder,1/4 teaspoon Cinnamon Powder (Dalchini),1 Whole Egg,2 tablespoons Milk - (adjust)</t>
  </si>
  <si>
    <t>1/2 taza de Vivatta Maida, 1/2 taza de harina de Ragi (mijo de dedo/Nagli), 1/3 taza de polvo de semilla de lino (harina de lino), 1 taza de puré de calabaza, 1/2 taza de azúcar, 1 cucharada de mantequilla derretida, 1 cucharada de polvo para hornear, 1/4 cucharadita de canela en polvo (Dalchini), 1 huevo entero, 2 cucharadas de leche (ajustar)</t>
  </si>
  <si>
    <t xml:space="preserve">To begin making Pumpkin Cupcakes Recipe With Finger Millet And Flax Seed, heat the oven to 375 degrees Fahrenheit.In a big bowl, add the sugar and melted butter. Whisk them together with a hand mixer. To this, add the egg and whisk them all together.Add 1/2 cup of all-purpose flour, whisk and then add 1/2 cup of pumpkin puree.Whisk them together; at this point the batter will be thick. Add milk to thin it out as needed.Add the 1/2 cup of finger millet flour, whisk it all in and then add the remaining 1/2 cup of pumpkin puree. Whisk it together.Finally, add the baking powder, flax seed powder and the cinnamon powder. Whisk them together to a smooth batter.Line the cupcake pan (I used a metal non-stick pan) with paper cupcake liners/molds. Using an ice cream scoop, pour the batter into the molds. That way each mold gets about the same amount of batter. Bake for 15 min at 375 degrees Fahrenheit. Check by inserting a toothpick into one of the cupcakes and remove from oven once the toothpick comes out clean.Serve Pumpkin Cupcakes Recipe With Finger Millet And Flax Seed with Garlic &amp; Ginger Spiced Potato Wedges Recipe (Baked) and Ice-Apple And Plum Rose Juice Recipe.
</t>
  </si>
  <si>
    <t>Para comenzar a hacer la Receta de Cupcakes de Calabaza con Mijo Dedo y Semillas de Lino, precalienta el horno a 375 grados Fahrenheit. En un tazón grande, agrega el azúcar y la mantequilla derretida. Bátelos juntos con una batidora de mano. A esto, agrega el huevo y bátelos todos juntos. Agrega 1/2 taza de harina para todo uso, bate y luego agrega 1/2 taza de puré de calabaza. Bátelos juntos; en este punto, la masa estará espesa. Agrega leche para diluirla según sea necesario. Agrega la 1/2 taza de harina de mijo dedo, bátelo todo y luego agrega la 1/2 taza restante de puré de calabaza. Bátelo todo. Finalmente, agrega el polvo de hornear, el polvo de semilla de lino y el polvo de canela. Bátelos juntos hasta obtener una masa suave. Cubre el molde para cupcakes (yo usé un molde antiadherente de metal) con capacillos/moldes de papel para cupcakes. Usando una cuchara para helado, vierte la masa en los moldes. De esa manera cada molde obtiene aproximadamente la misma cantidad de masa. Hornee durante 15 minutos a 190 °C. Compruebe insertando un palillo en uno de los cupcakes y retírelo del horno cuando salga limpio. Sirva la receta de cupcakes de calabaza con mijo de dedo y semillas de lino con gajos de papa especiados con ajo y jengibre (horneados) y la receta de jugo de manzana helada, ciruela y rosas.</t>
  </si>
  <si>
    <t>Pour commencer à préparer la recette de cupcakes à la citrouille avec du millet et des graines de lin, préchauffez le four à 190 degrés Celsius. Dans un grand bol, ajoutez le sucre et le beurre fondu. Fouettez-les ensemble avec un batteur à main. Ajoutez l'œuf et fouettez le tout. Ajoutez 1/2 tasse de farine tout usage, fouettez puis ajoutez 1/2 tasse de purée de citrouille. Fouettez-les ensemble ; à ce stade, la pâte sera épaisse. Ajoutez du lait pour la diluer si nécessaire. Ajoutez 1/2 tasse de farine de millet, fouettez le tout puis ajoutez la 1/2 tasse restante de purée de citrouille. Fouettez le tout ensemble. Enfin, ajoutez la levure chimique, la poudre de graines de lin et la poudre de cannelle. Fouettez-les ensemble jusqu'à obtenir une pâte lisse. Tapissez le moule à cupcakes (j'ai utilisé un moule en métal antiadhésif) de caissettes/moules à cupcakes en papier. À l'aide d'une cuillère à glace, versez la pâte dans les moules. De cette façon, chaque moule reçoit à peu près la même quantité de pâte. Cuire au four pendant 15 minutes à 190 °C. Vérifier la cuisson en insérant un cure-dent dans l'un des cupcakes et retirer du four dès que le cure-dent en ressort propre. Servir la recette de cupcakes à la citrouille avec du millet rouge et des graines de lin, avec des quartiers de pommes de terre épicés à l'ail et au gingembre (cuits au four) et la recette de jus de rose glacé aux pommes et aux prunes.</t>
  </si>
  <si>
    <t>http://www.archanaskitchen.com/pumpkin-cupcakes-recipe-with-finger-millet-and-flax-seed</t>
  </si>
  <si>
    <t>Eggless Nutella Swirl Cupcakes Recipe</t>
  </si>
  <si>
    <t>Rezept für Nutella-Swirl-Cupcakes ohne Ei</t>
  </si>
  <si>
    <t>Recette de cupcakes tourbillonnés au Nutella sans œufs</t>
  </si>
  <si>
    <t>Receta de cupcakes con remolino de Nutella sin huevo</t>
  </si>
  <si>
    <t>1 tasse de farine tout usage (Maida), 3 cuillères à soupe de lait concentré, 100 grammes de pâte à tartiner Nutella, 60 grammes de beurre, 1 cuillère à café de levure chimique, 1/2 cuillère à café de bicarbonate de soude, 1/2 tasse de lait tiède, 1 cuillère à café d'extrait de vanille, 1 1/2 cuillère à café de vinaigre, 1 cuillère à soupe de sucre</t>
  </si>
  <si>
    <t>1 cup All Purpose Flour (Maida),3 tablespoons Condensed Milk,100 grams Nutella Spread,60 grams Butter,1 teaspoon Baking powder,1/2 teaspoon Baking soda,1/2 cup Milk - lukewarm,1 teaspoon Vanilla Extract,1 1/2 teaspoon Vinegar,1 tablespoon Sugar</t>
  </si>
  <si>
    <t>1 taza de harina para todo uso (Maida), 3 cucharadas de leche condensada, 100 gramos de Nutella, 60 gramos de mantequilla, 1 cucharadita de polvo para hornear, 1/2 cucharadita de bicarbonato de sodio, 1/2 taza de leche tibia, 1 cucharadita de extracto de vainilla, 1 1/2 cucharadita de vinagre, 1 cucharada de azúcar</t>
  </si>
  <si>
    <t xml:space="preserve">To begin making the Eggless Nutella Swirl Cupcakes recipe, firstly preheat the oven to 180℃.Grease cupcake tin with some butter or cooking oil.Take a big bowl and sift flour, baking powder, baking soda twice together in it. Keep it aside.Now in a large bowl, add butter, condensed milk, vanilla essence and sugar together and whisk them until combined or gets creamy texture.Now mix wet and dry ingredients together with the help of luke warm milk. Now add vinegar and mix well.Take prepared cupcake tin or moulds and fill each cup about 2/3 full with the batter.Drop 1 teaspoon of nutella to each and swirl it around a few times with a toothpick.Bake them for 10 to 12 minutes. Check the cupcake by inserting a toothpick in the centre of the cake. If it comes out clean that means cupcake is ready and if not then bake it for another 2 to 3 minutes.Let the cake cool down for 3 to 4 minutes and then serve.Serve Eggless Nutella Swirl Cupcakes along with Cucumber Cheese sandwich and Masala Tea during tea time break.
</t>
  </si>
  <si>
    <t>Para empezar a hacer la receta de Cupcakes de Nutella sin Huevo, primero precalienta el horno a 180 ℃. Engrasa un molde para cupcakes con un poco de mantequilla o aceite de cocina. Toma un tazón grande y tamiza la harina, el polvo para hornear y el bicarbonato de sodio dos veces juntos. Reserva. Ahora en un tazón grande, agrega la mantequilla, la leche condensada, la esencia de vainilla y el azúcar juntos y bate hasta que se combinen o obtengan una textura cremosa. Ahora mezcla los ingredientes húmedos y secos con la ayuda de la leche tibia. Ahora agrega el vinagre y mezcla bien. Toma el molde o moldes para cupcakes preparados y llena cada taza aproximadamente 2/3 de su capacidad con la masa. Deja caer 1 cucharadita de Nutella en cada uno y haz círculos con un palillo. Hornéalos durante 10 a 12 minutos. Revisa el cupcake insertando un palillo en el centro del pastel. Si sale limpio, significa que el cupcake está listo; si no, hornéalo durante 2 o 3 minutos más. Deja enfriar el cupcake durante 3 o 4 minutos y luego sírvelo. Sirve los cupcakes de Nutella sin huevo junto con el sándwich de queso y pepino y el té Masala durante la hora del té.</t>
  </si>
  <si>
    <t>Pour préparer les cupcakes tourbillonnés au Nutella sans œufs, préchauffez le four à 180 °C. Beurrez ou huilez un moule à cupcakes. Tamisez deux fois la farine, la levure chimique et le bicarbonate de soude dans un grand bol. Réservez. Dans un grand bol, ajoutez le beurre, le lait concentré, l'extrait de vanille et le sucre, puis fouettez jusqu'à obtenir une texture crémeuse. Mélangez les ingrédients secs et humides avec du lait tiède. Ajoutez ensuite le vinaigre et mélangez bien. Remplissez chaque moule à cupcakes aux 2/3 environ avec la pâte. Déposez 1 cuillère à café de Nutella dans chaque moule et faites-le tourner à plusieurs reprises avec un cure-dent. Enfournez pour 10 à 12 minutes. Vérifiez la cuisson en insérant un cure-dent au centre. S'il ressort propre, cela signifie que le cupcake est prêt et sinon, faites-le cuire encore 2 à 3 minutes. Laissez le gâteau refroidir pendant 3 à 4 minutes, puis servez. Servez les cupcakes tourbillonnés au Nutella sans œufs avec un sandwich au concombre et au fromage et du thé Masala pendant la pause thé.</t>
  </si>
  <si>
    <t>https://www.archanaskitchen.com/eggless-nutella-swirl-cupcakes-recipe</t>
  </si>
  <si>
    <t>Tomato &amp; Beetroot Soup Recipe – Tomato &amp; Beetroot Soup Recipe</t>
  </si>
  <si>
    <t>Rezept für Tomaten-Rote-Bete-Suppe – Rezept für Tomaten-Rote-Bete-Suppe</t>
  </si>
  <si>
    <t>Recette de soupe aux tomates et betteraves – Recette de soupe aux tomates et betteraves</t>
  </si>
  <si>
    <t>Receta de sopa de remolacha y tomate – Receta de sopa de remolacha y tomate</t>
  </si>
  <si>
    <t>500 grammes de tomates hachées, 1 oignon finement haché, 50 grammes de Chakundar haché, 3 gousses d'ail, 1 cuillère à café de poivre noir entier, 2,5 cm de cannelle, 2 longues, 2 cardamomes, 2 cuillères à café de beurre, 1 cuillère à café d'huile, 2 tasses d'eau, 1/2 tasse de lait, sel - selon le goût</t>
  </si>
  <si>
    <t>500 grams Tomatoes - chopped, 1 onion - finely chopped, 50 grams Chakundar - chopped, 3 cloves garlic, 1 teaspoon whole black pepper, 1 inch cinnamon, 2 long, 2 cardamom, 2 teaspoons butter, 1 teaspoon Oil, 2 cups water, 1/2 cup milk, salt - as per taste</t>
  </si>
  <si>
    <t>500 gramos de tomates picados, 1 cebolla finamente picada, 50 gramos de chakundar picado, 3 dientes de ajo, 1 cucharadita de pimienta negra entera, 1 pulgada de canela, 2 dientes largos, 2 cardamomos, 2 cucharaditas de mantequilla, 1 cucharadita de aceite, 2 tazas de agua, 1/2 taza de leche, sal al gusto</t>
  </si>
  <si>
    <t>To make Tomato and Beetroot Soup Recipe, first heat oil in a pan. Add cardamom, cinnamon, cloves, black pepper and cook for 30 seconds. After 30 seconds add garlic, onion and cook till they become soft. Now add tomatoes and cook till the skin of tomatoes comes off. Now add beetroot, salt, water and cook till 2 to 3 whistles. Turn off the gas and let the pressure release automatically. After the pressure is released, open the cooker and let the mixture cool down a bit. Pour it in the blender and grind it. After grinding, strain it and keep it aside. Pour this mixture in a saucepan along with milk and cook for 2 to 3 minutes. Serve Tomato and Beetroot Soup Recipe before your meal. Serve Palak Daal, Onion Bhindi and Phulka with the meal.</t>
  </si>
  <si>
    <t>Para preparar la receta de sopa de tomate y remolacha, primero caliente el aceite en una sartén. Añada cardamomo, canela, clavo de olor y pimienta negra y cocine durante 30 segundos. Después de 30 segundos, añada el ajo y la cebolla y cocine hasta que estén tiernos. Ahora, añada los tomates y cocine hasta que se desprenda la piel. Añada la remolacha, la sal y el agua y cocine hasta que suenen 2 o 3 silbidos. Apague el gas y deje que se libere la presión automáticamente. Una vez liberada la presión, abra la olla y deje que la mezcla se enfríe un poco. Viértala en la licuadora y muélala. Después de molerla, cuélela y resérvela. Vierta esta mezcla en una cacerola junto con la leche y cocine durante 2 o 3 minutos. Sirva la receta de sopa de tomate y remolacha antes de la comida. Sirva Palak Daal, Onion Bhindi y Phulka con la comida.</t>
  </si>
  <si>
    <t>Pour préparer la soupe tomate-betterave, faites chauffer l'huile dans une poêle. Ajoutez la cardamome, la cannelle, les clous de girofle et le poivre noir et faites cuire 30 secondes. Ajoutez ensuite l'ail et l'oignon et faites cuire jusqu'à ce qu'ils soient tendres. Ajoutez ensuite les tomates et faites cuire jusqu'à ce que la peau se détache. Ajoutez ensuite la betterave, le sel et l'eau et laissez cuire pendant 2 à 3 sifflements. Coupez le gaz et laissez la pression se relâcher automatiquement. Une fois la pression relâchée, ouvrez la cocotte et laissez refroidir légèrement. Versez le mélange dans un mixeur et mixez-le. Après broyage, filtrez-le et réservez. Versez ce mélange dans une casserole avec le lait et faites cuire 2 à 3 minutes. Servez la soupe tomate-betterave avant votre repas. Accompagnez-le de Palak Daal, d'Onion Bhindi et de Phulka.</t>
  </si>
  <si>
    <t>http://www.archanaskitchen.com/tomato-beetroot-soup-recipe-in-hindi</t>
  </si>
  <si>
    <t>Beetroot Pancake Recipe</t>
  </si>
  <si>
    <t>Rote-Bete-Pfannkuchen-Rezept</t>
  </si>
  <si>
    <t>Recette de crêpes à la betterave</t>
  </si>
  <si>
    <t>Receta de panqueques de remolacha</t>
  </si>
  <si>
    <t>2 betteraves - pelées et coupées en morceaux, 1 tasse de farine de blé entier, 1/2 cuillère à café de levure chimique, 4 cuillères à soupe de sucre, 1 cuillère à café d'huile de tournesol, 1 tasse de lait, 1 œuf entier, huile de tournesol - selon les besoins</t>
  </si>
  <si>
    <t>2 Beetroot - peel and cut into chunks,1 cups Whole Wheat Flour,1/2 teaspoon Baking powder,4 tablespoons Sugar,1 teaspoon Sunflower Oil,1 cup Milk,1 Whole Eggs,Sunflower Oil - as required</t>
  </si>
  <si>
    <t>2 remolachas (peladas y cortadas en trozos), 1 taza de harina integral, 1/2 cucharadita de polvo para hornear, 4 cucharadas de azúcar, 1 cucharadita de aceite de girasol, 1 taza de leche, 1 huevo entero, aceite de girasol (según se requiera)</t>
  </si>
  <si>
    <t xml:space="preserve">To begin making the Beetroot Pancakes recipe, wash the beetroot, peel the skin and cut into pieces.Place the beetroot in a pressure cooker along with 2 tablespoons of water and pressure cook for 3 to 4 whistles. Turn off the heat and allow it to cool.Once done, drain the water and allow it to cool. Add the cooked beetroot to mixer and pulse into smooth puree.Now to the beetroot puree, add wheat flour, baking powder, egg, milk, oil and sugar. Blend everything into thick smooth batter.Pour Beetroot Pancake batter into mixing bowl and keep aside for 10 minutes. Adjust the consistency adding little water if required.Heat a pan or griddle and drizzle some oil, pour a ladle full of Beetroot Pancake Batter and do not spread. Cook in medium flame until it forms bubbles on top.Carefully flip the Beetroot Pancake to the other side and cook for few seconds. Remove from pan and repeat for remaining batter.Arrange Beetroot Pancakes in serving plate, dust some powdered sugar and garnish with fresh fruits.Serve Beetroot Pancake Recipe along with some sliced fruits of your choice and a cup of Punjabi Style Espresso Coffee on the side for a weekend breakfast.You can also add a Classic Grilled Tomato Cucumber Sandwich With Chutney to your breakfast meal.
</t>
  </si>
  <si>
    <t>Para comenzar a hacer la receta de Panqueques de Remolacha, lava la remolacha, pela la piel y córtala en trozos. Coloca la remolacha en una olla a presión junto con 2 cucharadas de agua y cocina a presión durante 3 o 4 silbidos. Apaga el fuego y deja que se enfríe. Una vez hecho esto, escurre el agua y deja que se enfríe. Agrega la remolacha cocida a la batidora y pulsa hasta obtener un puré suave. Ahora, al puré de remolacha, agrega la harina de trigo, el polvo para hornear, el huevo, la leche, el aceite y el azúcar. Mezcla todo en una masa espesa y suave. Vierte la masa de Panqueques de Remolacha en un tazón y deja reposar durante 10 minutos. Ajusta la consistencia agregando un poco de agua si es necesario. Calienta una sartén o plancha y rocía un poco de aceite, vierte un cucharón lleno de Masa de Panqueques de Remolacha y no la esparzas. Cocina a fuego medio hasta que forme burbujas en la parte superior. Con cuidado, voltea el Panqueque de Remolacha hacia el otro lado y cocina durante unos segundos. Retire de la sartén y repita el procedimiento con el resto de la masa. Coloque los panqueques de remolacha en un plato para servir, espolvoree con un poco de azúcar glas y decore con frutas frescas. Sirva la receta de panqueques de remolacha junto con algunas frutas en rodajas de su elección y una taza de café expreso estilo punjabi como acompañamiento para un desayuno de fin de semana. También puede agregar un sándwich clásico de tomate y pepino a la parrilla con chutney a su desayuno.</t>
  </si>
  <si>
    <t>Pour commencer à préparer la recette des crêpes à la betterave, lavez la betterave, épluchez la peau et coupez-la en morceaux. Placez la betterave dans un autocuiseur avec 2 cuillères à soupe d'eau et faites cuire sous pression pendant 3 à 4 sifflements. Éteignez le feu et laissez refroidir. Une fois terminé, égouttez l'eau et laissez refroidir. Ajoutez la betterave cuite au mixeur et mixez jusqu'à obtenir une purée lisse. Maintenant, à la purée de betterave, ajoutez la farine de blé, la levure chimique, l'œuf, le lait, l'huile et le sucre. Mélangez le tout jusqu'à obtenir une pâte épaisse et lisse. Versez la pâte à crêpes à la betterave dans un bol et réservez pendant 10 minutes. Ajustez la consistance en ajoutant un peu d'eau si nécessaire. Faites chauffer une poêle ou une plaque chauffante et arrosez d'un filet d'huile, versez une louche de pâte à crêpes à la betterave et ne l'étalez pas. Faites cuire à feu moyen jusqu'à ce qu'elle forme des bulles sur le dessus. Retournez délicatement la crêpe à la betterave de l'autre côté et faites cuire pendant quelques secondes. Retirer de la poêle et répéter l'opération pour le reste de la pâte. Disposer les crêpes à la betterave dans une assiette de service, saupoudrer de sucre glace et garnir de fruits frais. Servir la recette de crêpes à la betterave avec des tranches de fruits de votre choix et une tasse de café expresso de style punjabi à côté pour un petit-déjeuner de week-end. Vous pouvez également ajouter un sandwich classique aux tomates grillées et au concombre avec chutney à votre petit-déjeuner.</t>
  </si>
  <si>
    <t>https://www.archanaskitchen.com/beetroot-pancakes-recipe</t>
  </si>
  <si>
    <t>Cheesy Mushroom &amp; Corn Open Toast</t>
  </si>
  <si>
    <t>Offener Toast mit Käse, Pilzen und Mais</t>
  </si>
  <si>
    <t>Toast ouvert au fromage, champignons et maïs</t>
  </si>
  <si>
    <t>Tostada abierta con queso, champiñones y maíz</t>
  </si>
  <si>
    <t>1 cuillère à café d'huile de tournesol, 200 grammes de champignons de Paris - tranchés, 1/4 tasse de maïs doux, 6 gousses d'ail - finement hachées, 1 oignon - finement haché, 1/4 cuillère à café de poudre de curcuma (Haldi), 3 cuillères à soupe de tartinade au fromage Britannia - Chili mexicain, sel - au goût, 4 pains bruns de blé entier, beurre - selon les besoins, feuilles de persil - finement hachées</t>
  </si>
  <si>
    <t>1 teaspoon Sunflower Oil,200 grams Button mushrooms - sliced,1/4 cup Sweet corn,6 cloves Garlic - finely chopped,1 Onion - finely chopped,1/4 teaspoon Turmeric powder (Haldi),3 tablespoons Britannia Cheese Spread - Mexican Chilli,Salt - to taste,4 Whole Wheat Brown Bread,Butter - as required,Parsley leaves - finely chopped</t>
  </si>
  <si>
    <t>1 cucharadita de aceite de girasol, 200 gramos de champiñones rebanados, 1/4 taza de maíz dulce, 6 dientes de ajo finamente picados, 1 cebolla finamente picada, 1/4 cucharadita de cúrcuma en polvo (Haldi), 3 cucharadas de queso untable Britannia - chile mexicano, sal - al gusto, 4 panes integrales, mantequilla - según se requiera, hojas de perejil finamente picadas</t>
  </si>
  <si>
    <t xml:space="preserve">To begin making Cheesy Mushroom &amp; Corn Open Toast, into a preheated pan add oil. Once the oil is hot add the garlic, onions and saute until the onions soften and turn golden brown in color.Once the onions become golden in color add the mushrooms, turmeric powder and saute until the mushrooms have softened. Let all the water evaporate from the pan and roast the mushrooms well. Once done add the sweet corn and a pinch of salt, the mexican chili cheese spread, parsley leaves and toss well to combine. Turn off the heat and keep aside.To make the toasted bread smear butter over the bread slices and place it on a preheated pan. Flip and toast the bread until golden brown and crips on both sides.Place the toasted bread on a platter and spoon the cheese mushroom filling on top. Add more herbs on top and serve hot. Serve Cheesy Mushroom &amp; Corn Open Toast Recipe for Tea Time Snacks along with a hot cup of Espresso Coffee. 
</t>
  </si>
  <si>
    <t>Para comenzar a hacer tostadas abiertas de maíz y champiñones con queso, en una sartén precalentada agregue aceite. Una vez que el aceite esté caliente agregue el ajo, las cebollas y saltee hasta que las cebollas se ablanden y se doren. Una vez que las cebollas se doren agregue los champiñones, la cúrcuma en polvo y saltee hasta que los champiñones se hayan ablandado. Deje que toda el agua se evapore de la sartén y tueste bien los champiñones. Una vez hecho esto agregue el maíz dulce y una pizca de sal, el queso untable de chile mexicano, las hojas de perejil y revuelva bien para combinar. Apague el fuego y reserve. Para hacer el pan tostado unte mantequilla sobre las rebanadas de pan y colóquelas en una sartén precalentada. Voltee y tueste el pan hasta que esté dorado y crujiente por ambos lados. Coloque el pan tostado en una fuente y coloque el relleno de champiñones con queso encima. Agregue más hierbas encima y sirva caliente. Sirva la receta de tostadas abiertas de maíz, champiñones y queso como refrigerio para la hora del té junto con una taza de café expreso caliente.</t>
  </si>
  <si>
    <t>Pour commencer à préparer des toasts ouverts aux champignons et au maïs, dans une poêle préchauffée, ajoutez de l'huile. Une fois l'huile chaude, ajoutez l'ail, les oignons et faites revenir jusqu'à ce que les oignons ramollissent et deviennent dorés. Une fois que les oignons sont dorés, ajoutez les champignons, la poudre de curcuma et faites revenir jusqu'à ce que les champignons soient tendres. Laissez toute l'eau s'évaporer de la poêle et faites bien rôtir les champignons. Une fois terminé, ajoutez le maïs doux et une pincée de sel, la tartinade au fromage et au chili mexicain, les feuilles de persil et mélangez bien. Éteignez le feu et réservez. Pour faire le pain grillé, badigeonnez de beurre les tranches de pain et placez-les sur une poêle préchauffée. Retournez et faites griller le pain jusqu'à ce qu'il soit doré et croustillant des deux côtés. Placez le pain grillé sur un plat et versez la garniture au fromage et aux champignons dessus. Ajoutez plus d'herbes sur le dessus et servez chaud. Servez la recette de pain grillé ouvert aux champignons et au maïs pour le goûter, accompagné d'une tasse de café expresso chaud.</t>
  </si>
  <si>
    <t>https://www.archanaskitchen.com/mushrooms-on-toast-recipe</t>
  </si>
  <si>
    <t>Lentil &amp; Coconut Milk Soup Recipe</t>
  </si>
  <si>
    <t>Rezept für Linsen-Kokosmilch-Suppe</t>
  </si>
  <si>
    <t>Recette de soupe de lentilles au lait de coco</t>
  </si>
  <si>
    <t>Receta de sopa de lentejas con leche de coco</t>
  </si>
  <si>
    <t>1 tasse de Masoor Dal (entier), 250 ml de lait de coco, 1 cuillère à café d'huile d'olive extra vierge, 1 oignon finement haché, 3 gousses d'ail émincées, 1 carotte finement hachée, 1 poivron rouge finement haché, 2 tomates blanchies et hachées, 1/2 cuillère à café de poudre de curcuma (Haldi), 1/2 cuillère à café de poudre de cumin (Jeera), 1 piment vert finement haché, sel et poivre, feuilles de coriandre (Dhania) - petit bouquet, 1/2 tasse de Kabuli Chana (pois chiches blancs) - cuits, 1/4 tasse d'huile de tournesol</t>
  </si>
  <si>
    <t>1 cup Masoor Dal (Whole),250 ml Coconut milk,1 teaspoon Extra Virgin Olive Oil,1 Onion - finely chopped,3 cloves Garlic - minced,1 Carrot (Gajjar) - finely chopped,1 Red Bell pepper (Capsicum) - finely chopped,2 Tomatoes - blanched and chopped,1/2 teaspoon Turmeric powder (Haldi),1/2 teaspoon Cumin powder (Jeera),1 Green Chilli - finely chopped,Salt and Pepper,Coriander (Dhania) Leaves - small bunch,1/2 cup Kabuli Chana (White Chickpeas) - cooked,1/4 cup Sunflower Oil</t>
  </si>
  <si>
    <t>1 taza de Masoor Dal (Entero), 250 ml de leche de coco, 1 cucharadita de aceite de oliva virgen extra, 1 cebolla - finamente picada, 3 dientes de ajo - picados, 1 zanahoria (Gajjar) - finamente picada, 1 pimiento rojo (Capsicum) - finamente picado, 2 tomates - blanqueados y picados, 1/2 cucharadita de cúrcuma en polvo (Haldi), 1/2 cucharadita de comino en polvo (Jeera), 1 chile verde - finamente picado, sal y pimienta, hojas de cilantro (Dhania) - pequeño manojo, 1/2 taza de Kabuli Chana (garbanzos blancos) - cocidos, 1/4 taza de aceite de girasol</t>
  </si>
  <si>
    <t xml:space="preserve">To begin making the Lentil And Coconut Milk Soup Recipe, soak lentils/dal in water for 1 hour.In a large sauce pan add 1 teaspoon oil. Add chopped garlic. Once the garlic starts to brown, add chopped onions and allow it to cook until it is transparent. Once the onions have softened, add the tomatoes, carrots, bell pepper and saute for about 5 to 6 minutes until you get a roasted aroma. At this stage add the soaked lentils, turmeric powder, cumin powder, green chili and salt. Give it a good stir. Add 2 cups of water and bring the lentil soup to a brisk boil. Once the lentils comes to a brisk boil, turn the heat to low, cover the pan and cook the lentils until done.Once the lentil is cooked through, add coconut milk. Add water to get the desired consistency. Check the salt and adjust to suit your taste. Let it cook on low heat for 5 minutes and stir in the chopped coriander leaves. Turn off the heat.For crispy Chickpea topping: In a small pan add oil and add cooked chickpea, some cumin powder and little salt. Fry till chickpeas feels slightly crispy. Pour the fried chickpeas over the Lentil and Coconut Milk Soup. Serve the Lentil And Coconut Milk Soup along with a Crusty Garlic Bread and enjoy this soup with friends and family.
</t>
  </si>
  <si>
    <t>Para comenzar a hacer la Receta de Sopa de Lentejas y Leche de Coco, remoje las lentejas/dal en agua durante 1 hora. En una cacerola grande agregue 1 cucharadita de aceite. Agregue ajo picado. Una vez que el ajo comience a dorarse, agregue cebollas picadas y deje que se cocine hasta que esté transparente. Una vez que las cebollas se hayan ablandado, agregue los tomates, las zanahorias, el pimiento morrón y saltee durante unos 5 a 6 minutos hasta que obtenga un aroma tostado. En esta etapa agregue las lentejas remojadas, la cúrcuma en polvo, el comino en polvo, el chile verde y la sal. Revuelva bien. Agregue 2 tazas de agua y hierva la sopa de lentejas. Una vez que las lentejas hiervan rápidamente, baje el fuego, cubra la cacerola y cocine las lentejas hasta que estén listas. Una vez que la lenteja esté cocida, agregue leche de coco. Agregue agua para obtener la consistencia deseada. Verifique la sal y ajuste a su gusto. Deje cocinar a fuego lento durante 5 minutos y agregue las hojas de cilantro picadas. Apaga el fuego. Para una cobertura crujiente de garbanzos: En una sartén pequeña, añade aceite y añade los garbanzos cocidos, un poco de comino en polvo y un poco de sal. Fríe hasta que los garbanzos estén ligeramente crujientes. Vierte los garbanzos fritos sobre la sopa de lentejas y leche de coco. Sirve la sopa de lentejas y leche de coco junto con un pan de ajo crujiente y disfruta de esta sopa con amigos y familiares.</t>
  </si>
  <si>
    <t>Pour commencer à préparer la recette de soupe aux lentilles et au lait de coco, faites tremper les lentilles/dal dans l'eau pendant 1 heure. Dans une grande casserole, ajoutez 1 cuillère à café d'huile. Ajoutez l'ail haché. Une fois que l'ail commence à dorer, ajoutez les oignons hachés et laissez cuire jusqu'à ce qu'ils soient transparents. Une fois les oignons ramollis, ajoutez les tomates, les carottes, le poivron et faites revenir pendant environ 5 à 6 minutes jusqu'à ce que vous obteniez un arôme rôti. À ce stade, ajoutez les lentilles trempées, la poudre de curcuma, la poudre de cumin, le piment vert et le sel. Remuez bien. Ajoutez 2 tasses d'eau et portez la soupe aux lentilles à ébullition rapide. Une fois que les lentilles arrivent à ébullition rapide, baissez le feu, couvrez la casserole et faites cuire les lentilles jusqu'à ce qu'elles soient cuites. Une fois les lentilles cuites, ajoutez le lait de coco. Ajoutez de l'eau pour obtenir la consistance désirée. Vérifiez le sel et ajustez à votre goût. Laissez cuire à feu doux pendant 5 minutes et incorporez les feuilles de coriandre hachées. Éteignez le feu. Pour une garniture croustillante aux pois chiches : Dans une petite poêle, ajoutez de l’huile et ajoutez les pois chiches cuits, un peu de cumin en poudre et un peu de sel. Faites frire jusqu’à ce que les pois chiches soient légèrement croustillants. Versez les pois chiches frits sur la soupe aux lentilles et au lait de coco. Servez la soupe aux lentilles et au lait de coco avec un pain à l’ail croustillant et dégustez cette soupe entre amis et en famille.</t>
  </si>
  <si>
    <t>http://www.archanaskitchen.com/lentil-and-coconut-milk-soup-recipe</t>
  </si>
  <si>
    <t>Bell Pepper &amp; Parsley Rice Recipe</t>
  </si>
  <si>
    <t>Rezept für Paprika- und Petersilienreis – Rezept für Paprika- und Petersilienreis</t>
  </si>
  <si>
    <t>Recette de riz au poivre et au persil – Recette de riz au poivre et au persil</t>
  </si>
  <si>
    <t>Receta de arroz con pimienta y perejil – Receta de arroz con pimienta y perejil</t>
  </si>
  <si>
    <t>2 cuillères à café d'huile d'olive, 4 gousses d'ail finement hachées, 1 oignon finement coupé et droit, sel au goût, 1 cuillère à café de romarin séché, 1 tasse de riz lavé et séché, 1 cuillère à soupe d'huile d'olive, 1 cuillère à café de lin pimenté rouge, sel au goût, 1/3 tasse de poivron vert finement haché, 2 cuillères à café d'herbes mélangées, 1/2 tasse de poivron rouge finement haché, 1/3 tasse de poivron finement haché, persil</t>
  </si>
  <si>
    <t>2 tsp olive oil, 4 cloves garlic - finely chopped, 1 onion - thin and straight cut, salt - as per taste, 1 tsp rosemary - dried, 1 cup rice - washed and dried, 1 tbsp olive Oil, 1 tsp red chilli flax, salt - as per taste, 1/3 cup capsicum (green) - finely chopped, 2 tsp mixed herbs, 1/2 cup capsicum (red) - finely chopped, 1 / 3 cups capsicum - finely chopped, parsley</t>
  </si>
  <si>
    <t>2 cucharaditas de aceite de oliva, 4 dientes de ajo - finamente picados, 1 cebolla - fina y cortada recta, sal - al gusto, 1 cucharadita de romero - seco, 1 taza de arroz - lavado y seco, 1 cucharada de aceite de oliva, 1 cucharadita de chile rojo, lino, sal - al gusto, 1/3 taza de pimiento (verde) - finamente picado, 2 cucharaditas de hierbas mixtas, 1/2 taza de pimiento (rojo) - finamente picado, 1/3 tazas de pimiento - finamente picado, perejil</t>
  </si>
  <si>
    <t>To make Bell Pepper and Parsley Rice Recipe, first heat olive oil in a pressure cooker. Add garlic and cook for 30 seconds. After 30 seconds add onions and cook till onions become soft. It will take minimum 2 minutes. Add salt, rosemary, rice, 2 cups of water, mix well and close the pressure cooker. Cook till 2 whistles and turn off the gas. Let the pressure release automatically. Open the cooker and let the rice cool down a bit. Now heat olive oil in a pan. Add red chilli flakes, all three capsicums - red, green and yellow, salt and mix well. Let it cook for 4 to 5 minutes. Add mixed herbs and mix well. Add this mixture to the rice along with parsley and mix well. Serve. Serve Bell Pepper and Parsley Rice Recipe with Roasted Chicken Curry and Creamy Garlic Mash Potato for dinner.</t>
  </si>
  <si>
    <t>Para preparar la receta de arroz con pimientos y perejil, primero calienta el aceite de oliva en una olla a presión. Agrega el ajo y cocina durante 30 segundos. Después de 30 segundos, agrega las cebollas y cocina hasta que las cebollas se ablanden. Tomará un mínimo de 2 minutos. Agrega sal, romero, arroz, 2 tazas de agua, mezcla bien y cierra la olla a presión. Cocina hasta que suenen 2 silbidos y apaga el gas. Deja que la presión se libere automáticamente. Abre la olla y deja que el arroz se enfríe un poco. Ahora calienta el aceite de oliva en una sartén. Agrega hojuelas de chile rojo, los tres pimientos (rojo, verde y amarillo), sal y mezcla bien. Deja cocinar durante 4 a 5 minutos. Agrega hierbas mixtas y mezcla bien. Agrega esta mezcla al arroz junto con el perejil y mezcla bien. Sirve. Sirve la receta de arroz con pimientos y perejil con curry de pollo asado y puré de papas cremoso con ajo para la cena.</t>
  </si>
  <si>
    <t>Pour préparer la recette de riz aux poivrons et au persil, faites chauffer l'huile d'olive dans une cocotte-minute. Ajoutez l'ail et faites cuire 30 secondes. Après 30 secondes, ajoutez les oignons et faites cuire jusqu'à ce qu'ils soient tendres. Comptez au moins 2 minutes. Ajoutez le sel, le romarin, le riz et 500 ml d'eau. Mélangez bien. Fermez l'autocuiseur. Laissez cuire jusqu'à 2 sifflements, puis coupez le gaz. Laissez la pression se relâcher automatiquement. Ouvrez l'autocuiseur et laissez le riz refroidir un peu. Faites chauffer l'huile d'olive dans une poêle. Ajoutez les flocons de piment rouge, les trois poivrons (rouge, vert et jaune), le sel et mélangez bien. Laissez cuire 4 à 5 minutes. Ajoutez les herbes mélangées et mélangez bien. Ajoutez ce mélange au riz avec le persil et mélangez bien. Servez. Servez la recette de riz aux poivrons et au persil avec du poulet rôti au curry et de la purée de pommes de terre crémeuse à l'ail pour le dîner.</t>
  </si>
  <si>
    <t>http://www.archanaskitchen.com/bell-pepper-parsley-rice-recipe-in-hindi</t>
  </si>
  <si>
    <t>Homemade Baked Donuts Recipe</t>
  </si>
  <si>
    <t>Rezept für selbstgemachte Donuts</t>
  </si>
  <si>
    <t>Recette de beignets maison</t>
  </si>
  <si>
    <t>Receta de donas caseras</t>
  </si>
  <si>
    <t>1-1/3 tasse de farine tout usage (Maida), 2 cuillères à café de levure chimique, sel - au besoin, 1-1/2 cuillère à soupe de caillé (Dahi / Yaourt), 1/2 tasse de sucre, 3/4 tasse de lait, 2-1/2 cuillères à soupe d'huile de tournesol, 2 cuillères à café d'extrait de vanille</t>
  </si>
  <si>
    <t>1-1/3 cup All Purpose Flour (Maida),2 teaspoon Baking powder,Salt - as required,1-1/2 tablespoon Curd (Dahi / Yogurt),1/2 cup Sugar,3/4 cup Milk,2-1/2 tablespoon Sunflower Oil,2 teaspoon Vanilla Extract</t>
  </si>
  <si>
    <t>1-1/3 taza de harina para todo uso (Maida), 2 cucharaditas de polvo para hornear, sal (según se requiera), 1-1/2 cucharada de cuajada (Dahi/yogur), 1/2 taza de azúcar, 3/4 taza de leche, 2-1/2 cucharadas de aceite de girasol, 2 cucharaditas de extracto de vainilla</t>
  </si>
  <si>
    <t xml:space="preserve">To begin with Homemade Baked Donuts, preheat the oven to 180 degree celsius and grease the donut pan.In a small bowl, mix together flour, baking powder and salt. Set it aside.In a medium bowl, whisk together yogurt and sugar. Once done, add milk, oil, and vanilla essence. Mix properly until everything is combined well. Gently stir in the flour mixture, whisking until there are no lumps.Fill each donut pan with the batter leaving 1/4 of each mould. Bake for 15-20 minutes or until a toothpick inserted in the donut comes out clean. Place donuts on a cooling rack and cool it completely.Serve Homemade Baked Donuts during tea time parties or pack it in your kids snack box.
</t>
  </si>
  <si>
    <t>Para empezar con las donas horneadas caseras, precalienta el horno a 180 grados centígrados y engrasa el molde. En un tazón pequeño, mezcla la harina, el polvo para hornear y la sal. Reserva. En un tazón mediano, bate el yogur y el azúcar. Una vez listo, agrega la leche, el aceite y la esencia de vainilla. Mezcla bien hasta que todo esté bien combinado. Incorpora suavemente la mezcla de harina, batiendo hasta que no queden grumos. Llena cada molde con la masa, dejando 1/4 de cada molde. Hornea durante 15-20 minutos o hasta que al insertar un palillo en la dona, este salga limpio. Coloca las donas en una rejilla para enfriar por completo. Sirve las donas horneadas caseras durante las fiestas de té o llévalas en la caja de refrigerios de tus hijos.</t>
  </si>
  <si>
    <t>Pour commencer avec des beignets faits maison, préchauffez le four à 180 degrés Celsius et graissez le moule à beignets. Dans un petit bol, mélangez la farine, la levure chimique et le sel. Réservez. Dans un bol moyen, fouettez le yaourt et le sucre. Une fois la cuisson terminée, ajoutez le lait, l'huile et l'essence de vanille. Mélangez bien jusqu'à ce que le tout soit bien mélangé. Incorporez délicatement le mélange de farine en fouettant jusqu'à ce qu'il n'y ait plus de grumeaux. Remplissez chaque moule à beignets de pâte en laissant un quart de chaque moule. Faites cuire au four pendant 15 à 20 minutes ou jusqu'à ce qu'un cure-dent inséré dans le beignet en ressorte propre. Placez les beignets sur une grille et laissez-les refroidir complètement. Servez les beignets faits maison à l'heure du goûter ou placez-les dans la boîte à goûter de vos enfants.</t>
  </si>
  <si>
    <t>https://www.archanaskitchen.com/homemade-baked-donuts-recipe</t>
  </si>
  <si>
    <t>Homemade Quick Puff Pastry Sheet Recipe | Perfect For Puffs, Tarts &amp; Pies.</t>
  </si>
  <si>
    <t>Rezept für selbstgemachten Blätterteig | Perfekt für Blätterteiggebäck, Törtchen und Kuchen.</t>
  </si>
  <si>
    <t>Recette de pâte feuilletée maison | Parfaite pour les feuilletés, les tartes et les gâteaux.</t>
  </si>
  <si>
    <t>Receta de Hojaldre Casero | Perfecto para pasteles, tartas y pasteles.</t>
  </si>
  <si>
    <t>315 grammes de farine tout usage (Maida), 5 grammes de sel, 220 grammes de beurre (non salé) - réfrigéré et coupé en morceaux de 3/4 de pouce, 120 ml d'eau réfrigérée</t>
  </si>
  <si>
    <t>315 grams All Purpose Flour (Maida),5 grams Salt,220 grams Butter (unsalted) - chilled and chopped into 3/4 inch pieces,120 ml Chilled water</t>
  </si>
  <si>
    <t>315 gramos de harina para todo uso (Maida), 5 gramos de sal, 220 gramos de mantequilla (sin sal) - fría y picada en trozos de 3/4 de pulgada, 120 ml de agua fría</t>
  </si>
  <si>
    <t xml:space="preserve">To begin making the Quick Puff Pastry Recipe Sheet for making puffs, measure all the ingredients and keep them ready.Add flour and salt to a large mixing bowl and give a quick stir to combine it. Add the large cubes of butter into the flour mixture.Ensure each piece of butter is coated fully into flour. When it is coated in flour it will be less likely to melt and also less likely to melt out of the dough later when we roll to make the sheets.This process of covering the butter with flour is called lamination of the butter with flour. If it is not laminated well, the butter will melt out of the dough and you will end up with a puff that is not flaky. Next, squish up the cubes of butter coated with flour by pressing between your fingers.  Like shown in the image below.Once all the pieces are squished, just toss them in flour once again. You need to ensure all the butter pieces are well coated with flour.Make a well in the center and add little ice water at a time. Starting with 1/3 cup and then adding more if required a tablespoon at a time. Because every single brand of flour absorbs moisture differently, we need to ensure we add that water little at a time. To mix the water in, toss the flour into the water and it helps the water get incorporated to form the dough without kneading. Do not knead the dough, as it can activate too much gluten.When it gets to a stage where the puff pastry dough forms large clumps, you can knead a little to understand how much more moisture is needed to bring the dough together without breaking those butter shingles. Add a few tablespoons of water if needed again to bring the dry flour together to form the dough. It is important to get the dough to the right hydration level. If it becomes too wet, then the dough will become sticky and might not be the best thing for puff pastry. Gently press and bring the flour together to form a dough without kneading. It is important to work as quickly as possible. If you take too long and knead too long the heat from your hands will melt the butter and make it sticky. We need to ensure that the butter is still in big pieces in the dough after bringing it together.The dough will look rough and not smooth and you will be able to see the big chunks of butter and will not look totally smooth.Divide the dough in two halves and shape each piece into an almost square disk.Wrap each disc of dough in a plastic/ cling film wrap and refrigerate for at least one hour. Based on the warmth and the humidity of the region, a minimum one hour will allow the dough to rest before we begin the folds to make the puff pastry sheet.After one hour, remove the dough from the refrigerator.Dust the working surface with very little flour. Open one of the discs while the other is still in refrigeration. First RoundRoll out the dough into a rough rectangle shape to about 1/2 inch thickness. The dough will be tough, so use a little muscle to roll it out.If you feel the dough is sticky with butter, sprinkle a little bit of flour in the area where the butter feels sticky.  Ensure you dust off any excess flour.Once you have rolled it into a 1/2 inch thick rectangle, fold the dough into half and then fold the half into a quarter again. This is the first fold. We will proceed to make the 2nd fold in the same round.Dust a little flour if required and roll into a 1/2 inch rectangle again and then do the folds (first into half and then again fold the half into a quarter).Wrap this dough the same cling wrap and refrigerate for at least 30 minutes to an hour until the dough is firm.Second RoundAfter an hour, repeat the process mentioned in the first round again. Once you are done with at least 3 to 4 rounds of rolling, folding and chilling process, the puff pastry dough is ready. You need to ensure you refrigerate the puff pastry dough for at least 6 to 8 hours before you are ready to use it to make puffs, tarts and more. These puff pastry sheets can be stored in the freezer for up to 3 to 4 months. When you are ready to use them, thaw for 15 to 20 minutes at room temperature and begin using it for the recipes. 
</t>
  </si>
  <si>
    <t>Para comenzar a hacer la Hoja de Receta Rápida de Hojaldre para hacer hojaldres, mide todos los ingredientes y tenlos listos. Agrega la harina y la sal a un tazón grande y revuelve rápidamente para combinar. Agrega los cubos grandes de mantequilla a la mezcla de harina. Asegúrate de que cada trozo de mantequilla esté completamente cubierto de harina. Cuando está cubierto de harina, será menos probable que se derrita y también menos probable que se derrita de la masa más tarde cuando la extendamos para hacer las láminas. Este proceso de cubrir la mantequilla con harina se llama laminación de la mantequilla con harina. Si no está bien laminada, la mantequilla se derretirá de la masa y terminarás con un hojaldre que no está hojaldrado. Luego, aplasta los cubos de mantequilla cubiertos con harina presionando entre tus dedos. Como se muestra en la imagen de abajo. Una vez que todos los trozos estén aplastados, simplemente mézclalos en harina una vez más. Debes asegurarte de que todos los trozos de mantequilla estén bien cubiertos de harina. Haz un hueco en el centro y agrega un poco de agua helada a la vez. Comience con 1/3 de taza y luego agregue más si es necesario, una cucharada a la vez. Debido a que cada marca de harina absorbe la humedad de manera diferente, debemos asegurarnos de agregar esa agua poco a poco. Para mezclar el agua, agregue la harina al agua y ayudará a que el agua se incorpore para formar la masa sin amasar. No amases la masa, ya que puedes activar demasiado gluten. Cuando llegue a una etapa en la que la masa de hojaldre forme grumos grandes, puedes amasar un poco para comprender cuánta más humedad se necesita para unir la masa sin romper esas tejas de mantequilla. Agrega algunas cucharadas de agua si es necesario nuevamente para unir la harina seca para formar la masa. Es importante que la masa alcance el nivel de hidratación adecuado. Si se vuelve demasiado húmeda, la masa se volverá pegajosa y podría no ser lo mejor para el hojaldre. Presione suavemente y junte la harina para formar una masa sin amasar. Es importante trabajar lo más rápido posible. Si te tomas demasiado tiempo y amasas demasiado tiempo, el calor de tus manos derretirá la mantequilla y la hará pegajosa. Necesitamos asegurarnos de que la mantequilla todavía esté en trozos grandes en la masa después de unirla. La masa se verá áspera y no lisa y podrás ver los trozos grandes de mantequilla y no se verá totalmente lisa. Divide la masa en dos mitades y forma cada pieza en un disco casi cuadrado. Envuelve cada disco de masa en una envoltura de plástico / film transparente y refrigera durante al menos una hora. Según el calor y la humedad de la región, un mínimo de una hora permitirá que la masa repose antes de que comencemos los pliegues para hacer la lámina de hojaldre. Después de una hora, retira la masa del refrigerador. Espolvorea la superficie de trabajo con muy poca harina. Abre uno de los discos mientras el otro todavía está en el refrigerador. Primera ronda Extiende la masa en forma de rectángulo áspero de aproximadamente 1/2 pulgada de grosor. La masa estará dura, así que usa un poco de músculo para extenderla. Si sientes que la masa está pegajosa con mantequilla, espolvorea un poco de harina en el área donde la mantequilla se siente pegajosa. Asegúrate de quitar el exceso de harina. Una vez que la hayas enrollado en un rectángulo de 1/2 pulgada de grosor, dobla la masa por la mitad y luego dobla la mitad en un cuarto nuevamente. Este es el primer pliegue. Procederemos a hacer el segundo pliegue en la misma ronda. Espolvorea un poco de harina si es necesario y enrolla en un rectángulo de 1/2 pulgada nuevamente y luego haz los pliegues (primero por la mitad y luego nuevamente dobla la mitad en un cuarto). Envuelve esta masa con el mismo film transparente y refrigera durante al menos 30 minutos a una hora hasta que la masa esté firme. Segunda ronda Después de una hora, repite el proceso mencionado en la primera ronda nuevamente. Una vez que hayas terminado con al menos 3 o 4 rondas de proceso de enrollado, plegado y enfriamiento, la masa de hojaldre está lista. Debes asegurarte de refrigerar la masa de hojaldre durante al menos 6 a 8 horas antes de usarla para hacer hojaldres, tartas y más. Estas láminas de hojaldre se pueden guardar en el congelador hasta 3 o 4 meses. Cuando estés listo para usarlas, descongélalas de 15 a 20 minutos a temperatura ambiente y empieza a usarlas para las recetas.</t>
  </si>
  <si>
    <t>Pour commencer à préparer la recette rapide de pâte feuilletée, mesurez tous les ingrédients et gardez-les prêts. Ajoutez la farine et le sel dans un grand saladier et remuez rapidement pour mélanger. Ajoutez les gros cubes de beurre au mélange de farine. Assurez-vous que chaque morceau de beurre est entièrement enrobé de farine. Lorsqu'il est enrobé de farine, il aura moins de chances de fondre et également moins de chances de fondre de la pâte plus tard lorsque nous l'étalerons pour faire les feuilles. Ce processus de recouvrement du beurre avec de la farine s'appelle le laminage du beurre avec de la farine. S'il n'est pas bien laminé, le beurre fondra de la pâte et vous vous retrouverez avec un feuilleté qui n'est pas feuilleté. Ensuite, écrasez les cubes de beurre enrobés de farine en les pressant entre vos doigts. Comme indiqué sur l'image ci-dessous. Une fois tous les morceaux écrasés, il suffit de les enrober à nouveau de farine. Vous devez vous assurer que tous les morceaux de beurre sont bien enrobés de farine. Faites un puits au centre et ajoutez un peu d'eau glacée à la fois. Commencez par 1/3 tasse, puis ajoutez-en plus si nécessaire, une cuillère à soupe à la fois. Parce que chaque marque de farine absorbe l'humidité différemment, nous devons nous assurer d'ajouter cette eau petit à petit. Pour mélanger l'eau, jetez la farine dans l'eau et cela aide l'eau à s'incorporer pour former la pâte sans pétrir. Ne pétrissez pas la pâte, car cela peut activer trop de gluten. Lorsqu'elle arrive à un stade où la pâte feuilletée forme de gros grumeaux, vous pouvez pétrir un peu pour comprendre combien d'humidité supplémentaire est nécessaire pour rassembler la pâte sans casser ces bardeaux de beurre. Ajoutez quelques cuillères à soupe d'eau si nécessaire à nouveau pour rassembler la farine sèche pour former la pâte. Il est important d'amener la pâte au bon niveau d'hydratation. Si elle devient trop humide, la pâte deviendra collante et pourrait ne pas être la meilleure chose pour la pâte feuilletée. Appuyez doucement et rassemblez la farine pour former une pâte sans pétrir. Il est important de travailler le plus rapidement possible. Si vous prenez trop de temps et pétrissez trop longtemps, la chaleur de vos mains fera fondre le beurre et le rendra collant. Nous devons nous assurer que le beurre est encore en gros morceaux dans la pâte après l'avoir rassemblée. La pâte aura l'air rugueuse et non lisse et vous pourrez voir les gros morceaux de beurre et ne sera pas totalement lisse. Divisez la pâte en deux moitiés et façonnez chaque morceau en un disque presque carré. Enveloppez chaque disque de pâte dans une pellicule plastique/film alimentaire et réfrigérez pendant au moins une heure. En fonction de la chaleur et de l'humidité de la région, un minimum d'une heure permettra à la pâte de reposer avant de commencer les plis pour faire la pâte feuilletée. Après une heure, retirez la pâte du réfrigérateur. Saupoudrez le plan de travail avec très peu de farine. Ouvrez l'un des disques pendant que l'autre est encore au réfrigérateur. Premier tour Abaissez la pâte en une forme rectangulaire approximative d'environ 1/2 pouce d'épaisseur. La pâte sera dure, alors utilisez un peu de muscle pour l'étaler. Si vous sentez que la pâte est collante avec du beurre, saupoudrez un peu de farine dans la zone où le beurre est collant. Assurez-vous de dépoussiérer tout excès de farine. Une fois que vous l'avez roulée en un rectangle de 1/2 pouce d'épaisseur, pliez la pâte en deux, puis pliez à nouveau la moitié en un quart. C'est le premier pli. Nous allons procéder au 2ème pli du même tour. Saupoudrez un peu de farine si nécessaire et roulez à nouveau en un rectangle de 1/2 pouce, puis faites les plis (d'abord en deux, puis pliez à nouveau la moitié en un quart). Enveloppez cette pâte dans le même film alimentaire et réfrigérez pendant au moins 30 minutes à une heure jusqu'à ce que la pâte soit ferme. Deuxième tour Après une heure, répétez le processus mentionné au premier tour. Une fois que vous avez terminé au moins 3 à 4 tours de roulage, de pliage et de refroidissement, la pâte feuilletée est prête. Il est important de conserver la pâte feuilletée au réfrigérateur pendant au moins 6 à 8 heures avant de l'utiliser pour réaliser des choux, des tartes et autres. Ces feuilles de pâte feuilletée se conservent au congélateur jusqu'à 3 à 4 mois. Pour les utiliser, décongelez-les 15 à 20 minutes à température ambiante et commencez à les utiliser pour vos recettes.</t>
  </si>
  <si>
    <t>http://www.archanaskitchen.com/homemade-quick-puff-pastry-sheet-recipe-perfect-for-puffs-tarts-pies</t>
  </si>
  <si>
    <t>Spicy Avocado Scrambled Eggs Recipe</t>
  </si>
  <si>
    <t>Rezept für würziges Avocado-Rührei</t>
  </si>
  <si>
    <t>Recette d'œufs brouillés épicés à l'avocat</t>
  </si>
  <si>
    <t>Receta de huevos revueltos picantes con aguacate</t>
  </si>
  <si>
    <t>1 avocat mûr, 4 œufs entiers, 2 à 3 cuillères à soupe de lait, 2 piments verts hachés, 1/2 cuillère à café de poivre noir en poudre (facultatif), 1 cuillère à café de cumin en poudre (Jeera), 1 oignon haché, 1 cuillère à café d'origan séché, 2 gousses d'ail finement hachées, feuilles de coriandre (Dhania) hachées pour la garniture, 1 cuillère à soupe d'huile de tournesol, sel au goût</t>
  </si>
  <si>
    <t>1 Avocado - ripe,4 Whole Eggs,2-3 tablespoon Milk,2 Green Chillies - chopped,1/2 teaspoon Black pepper powder - optional,1 teaspoon Cumin powder (Jeera),1 Onion - chopped,1 teaspoon Dried oregano,2 cloves Garlic - finely minced,Coriander (Dhania) Leaves - chopped for garnishing,1 tablespoon Sunflower Oil,Salt - to taste</t>
  </si>
  <si>
    <t>1 aguacate maduro, 4 huevos enteros, 2-3 cucharadas de leche, 2 chiles verdes picados, 1/2 cucharadita de pimienta negra en polvo (opcional), 1 cucharadita de comino en polvo (Jeera), 1 cebolla picada, 1 cucharadita de orégano seco, 2 dientes de ajo finamente picados, hojas de cilantro (Dhania) picadas para decorar, 1 cucharada de aceite de girasol, sal al gusto</t>
  </si>
  <si>
    <t xml:space="preserve">To begin making the Spicy Avocado Scrambled Eggs Recipe, first, crack the eggs in a large bowl and whisk till fluffy. Now add milk and salt, pepper powder and oregano to the whisked eggs and whisk again for a few seconds.Heat the oil in a pan and add the chopped onion and garlic and sauté till the onions becomes soft and translucent. Once done add the chillies, cumin powder and mix well to combine. Stir in the eggs and whisk while cooking on low heat.When the eggs just start setting, stir in the Avocado. stir and cook for a few seconds and take off the heat.Garnish with chopped coriander leaves and serve immediately. Serve Spicy Avocado Scrambled Eggs Recipe with chilli garlic toast and a glass of fresh melon juice.
</t>
  </si>
  <si>
    <t>Para empezar a preparar la Receta de Huevos Revueltos con Aguacate Picante, primero, rompe los huevos en un tazón grande y bate hasta que estén esponjosos. Ahora agrega leche, sal, pimienta en polvo y orégano a los huevos batidos y bate de nuevo durante unos segundos. Calienta el aceite en una sartén y agrega la cebolla y el ajo picados y saltea hasta que la cebolla esté suave y translúcida. Una vez listo, agrega los chiles, el comino en polvo y mezcla bien para combinar. Incorpora los huevos y bate mientras cocinas a fuego lento. Cuando los huevos comiencen a cuajar, agrega el aguacate. Revuelve y cocina durante unos segundos y retira del fuego. Decora con hojas de cilantro picadas y sirve inmediatamente. Sirve la Receta de Huevos Revueltos con Aguacate Picante con tostadas de ajo y chile y un vaso de jugo de melón fresco.</t>
  </si>
  <si>
    <t>Pour commencer à préparer la recette d'œufs brouillés à l'avocat épicé, cassez d'abord les œufs dans un grand bol et fouettez jusqu'à ce qu'ils soient mousseux. Ajoutez ensuite le lait, le sel, le poivre en poudre et l'origan aux œufs battus et fouettez à nouveau pendant quelques secondes. Faites chauffer l'huile dans une poêle et ajoutez l'oignon et l'ail hachés et faites revenir jusqu'à ce que les oignons deviennent tendres et translucides. Une fois terminé, ajoutez les piments, le cumin en poudre et mélangez bien. Incorporez les œufs et fouettez pendant la cuisson à feu doux. Lorsque les œufs commencent à prendre, incorporez l'avocat. Remuez et faites cuire pendant quelques secondes, puis retirez du feu. Garnissez de feuilles de coriandre hachées et servez immédiatement. Servez la recette d'œufs brouillés à l'avocat épicé avec du pain grillé à l'ail et au piment et un verre de jus de melon frais.</t>
  </si>
  <si>
    <t>https://www.archanaskitchen.com/spicy-avocado-scrambled-eggs-recipe</t>
  </si>
  <si>
    <t>Mango Smoothie Bowl Recipe</t>
  </si>
  <si>
    <t>Rezept für eine Mango-Smoothie-Bowl</t>
  </si>
  <si>
    <t>Recette de smoothie bowl à la mangue</t>
  </si>
  <si>
    <t>Receta de batido de mango</t>
  </si>
  <si>
    <t>2 tasses de mangue (mûre) - fraîchement coupée en morceaux, 1/2 tasse de papaye - fraîchement coupée en morceaux, 1/4 tasse de caillé (dahi / yaourt), 1/2 tasse de pastèque - évidée, 1/2 tasse de kiwi - tranché, 1 cuillère à café de noix de coco desséchée - râpée, 1 cuillère à café de graines de citrouille</t>
  </si>
  <si>
    <t>2 cups Mango (Ripe) - freshly cut into chunks,1/2 cup Papaya - freshly cut into chunks,1/4 cup Curd (Dahi / Yogurt),1/2 cup Watermelon - scooped,1/2 cup Kiwi - sliced,1 teaspoon Dessicated Coconut - grated,1 teaspoon Pumpkin seeds</t>
  </si>
  <si>
    <t>2 tazas de mango (maduro) - recién cortado en trozos, 1/2 taza de papaya - recién cortada en trozos, 1/4 taza de cuajada (dahi/yogur), 1/2 taza de sandía - sacada con una cuchara, 1/2 taza de kiwi - en rodajas, 1 cucharadita de coco deshidratado - rallado, 1 cucharadita de semillas de calabaza</t>
  </si>
  <si>
    <t xml:space="preserve">To begin making the Mango Smoothie Bowl recipe, blend Mango, Papaya and Yogurt for 10 to 20 seconds in a blender. Pour the Mango Smoothie into a bowl and top it with watermelon scoops, kiwi slices, coconut and pumpkin seeds.Serve Mango Smoothie Bowl on its own for a Morning breakfast along with Mushroom Masala Cheese Omelette.
</t>
  </si>
  <si>
    <t>Para comenzar a preparar la receta de Smoothie Bowl de Mango, licúe el mango, la papaya y el yogur durante 10 a 20 segundos en una licuadora. Vierta el Smoothie de Mango en un tazón y cúbralo con bolas de sandía, rodajas de kiwi, coco y semillas de calabaza. Sirva el Smoothie Bowl de Mango solo para un desayuno matutino junto con una tortilla de queso y champiñones masala.</t>
  </si>
  <si>
    <t>Pour commencer à préparer la recette du bol de smoothie à la mangue, mixez la mangue, la papaye et le yaourt pendant 10 à 20 secondes dans un mixeur. Versez le smoothie à la mangue dans un bol et garnissez-le de boules de pastèque, de tranches de kiwi, de noix de coco et de graines de citrouille. Servez le bol de smoothie à la mangue seul pour un petit-déjeuner matinal accompagné d'une omelette au fromage et aux champignons Masala.</t>
  </si>
  <si>
    <t>http://www.archanaskitchen.com/mango-smoothie-bowl-recipe</t>
  </si>
  <si>
    <t>Cold Coffee Recipe</t>
  </si>
  <si>
    <t>Rezept für kalten Kaffee</t>
  </si>
  <si>
    <t>Recette de café froid</t>
  </si>
  <si>
    <t>Receta de café frío</t>
  </si>
  <si>
    <t>2 cuillères à soupe de café instantané en poudre, 2 tasses de lait, 2 cuillères à soupe de sucre en poudre, 1/2 tasse de crème glacée à la vanille ou au chocolat (facultatif), glaçons selon les besoins</t>
  </si>
  <si>
    <t>2 tablespoon Instant Coffee Powder,2 cups Milk,2 tablespoons Sugar - powdered,1/2 cup Ice cream - vanilla or chocolate (optional),Ice cubes - as required</t>
  </si>
  <si>
    <t>2 cucharadas de café instantáneo en polvo, 2 tazas de leche, 2 cucharadas de azúcar en polvo, 1/2 taza de helado de vainilla o chocolate (opcional), cubitos de hielo, según sea necesario</t>
  </si>
  <si>
    <t xml:space="preserve">To begin making the Cold Coffee recipe, firstly keep all the mentioned ingredients ready.Next take a blender and add milk, required sugar and coffee powder. Blend it for about 30 seconds.Open the jar and add ice cubes. If you want a thick consistency, add less ice cubes. Close the jar and blend it again for about 30 to 40 seconds till everything is mixed properly.You can also add 1 tablespoon ice cream in the coffee to add an extra flavour to the coffee.Once it is done, pour it in the glass and sprinkle some coffee powder on the top.Serve Cold Coffee along with Scrambled Egg Sandwich With Cucumber or with any other Sandwich of your choice for a weekday breakfast or enjoy it with your family after a tiring day at work.
</t>
  </si>
  <si>
    <t>Para preparar la receta de café frío, ten listos todos los ingredientes. Luego, en una licuadora, añade la leche, el azúcar y el café molido. Licúa durante unos 30 segundos. Abre el frasco y añade cubitos de hielo. Si quieres una consistencia más espesa, añade menos cubitos. Cierra el frasco y vuelve a licuar durante unos 30 o 40 segundos hasta que todo esté bien mezclado. También puedes añadir 1 cucharada de helado al café para darle un sabor extra. Una vez listo, viértelo en el vaso y espolvorea un poco de café molido por encima. Sirve el café frío con un sándwich de huevos revueltos con pepino o con cualquier otro sándwich de tu elección para un desayuno entre semana o disfrútalo con tu familia después de un día agotador de trabajo.</t>
  </si>
  <si>
    <t>Pour préparer le café froid, préparez tous les ingrédients mentionnés. Prenez ensuite un mixeur et ajoutez le lait, le sucre et le café en poudre. Mixez pendant environ 30 secondes. Ouvrez le bocal et ajoutez des glaçons. Pour une consistance épaisse, ajoutez moins de glaçons. Refermez le bocal et mixez à nouveau pendant 30 à 40 secondes, jusqu'à ce que le mélange soit homogène. Vous pouvez également ajouter une cuillère à soupe de glace au café pour lui donner un goût supplémentaire. Une fois le café prêt, versez-le dans le verre et saupoudrez de café en poudre. Servez le café froid avec un sandwich aux œufs brouillés et au concombre ou tout autre sandwich de votre choix pour un petit-déjeuner en semaine ou pour le déguster en famille après une journée de travail fatigante.</t>
  </si>
  <si>
    <t>http://www.archanaskitchen.com/cold-coffee-recipe</t>
  </si>
  <si>
    <t>Napa Cabbage Coleslaw with Greek Yogurt Recipe</t>
  </si>
  <si>
    <t>Rezept für Chinakohl-Krautsalat mit griechischem Joghurt</t>
  </si>
  <si>
    <t>Recette de salade de chou chinois au yaourt grec</t>
  </si>
  <si>
    <t>Receta de ensalada de col china con yogur griego</t>
  </si>
  <si>
    <t>1 tasse de chou chinois coupé en fines lanières, 2 carottes (Gajjar) coupées en juliennes, 1 concombre sans le cœur et coupé en juliennes, 1 cuillère à café de graines de tournesol, 2 cuillères à café de canneberges séchées, 1 tasse de yaourt grec (Hung Curd), 1 cuillère à soupe de miel, sel au goût</t>
  </si>
  <si>
    <t>1 cup Napa Cabbage - cut into thin stripes,2 Carrot (Gajjar) - cut into juliennes,1 Cucumber - core removed and cut into juliennes,1 teaspoon Sunflower seeds,2 teaspoons Cranberries - dried,1 cup Hung Curd (Greek Yogurt),1 tablespoon Honey,Salt - to taste</t>
  </si>
  <si>
    <t>1 taza de repollo Napa - cortado en tiras finas, 2 zanahorias (Gajjar) - cortadas en juliana, 1 pepino - sin corazón y cortado en juliana, 1 cucharadita de semillas de girasol, 2 cucharaditas de arándanos rojos - secos, 1 taza de cuajada colgada (yogur griego), 1 cucharada de miel, sal - al gusto</t>
  </si>
  <si>
    <t xml:space="preserve">To begin making the Napa Cabbage Coleslaw with Greek Yogurt Recipe, we will first prep the vegetables and add it in one bowl.Add the Greek yogurt, honey and salt into the same bowl and mix it evenly with all the vegetables. Make sure all the vegetables are coated well.Top Napa Cabbage Coleslaw  with sunflower seeds and dried cranberries and serve fresh.Serve the Napa Cabbage Coleslaw with Greek Yogurt Recipe along with a Burger and glass of Homemade Pomegranate Juice with Ginger Recipe by the side to enrich your Sunday meal.
</t>
  </si>
  <si>
    <t>Para empezar a preparar la ensalada de col con col china y yogur griego, primero prepararemos las verduras y las añadiremos a un bol. Añada el yogur griego, la miel y la sal al mismo bol y mezcle uniformemente con todas las verduras. Asegúrese de que todas las verduras estén bien cubiertas. Cubra la ensalada de col con semillas de girasol y arándanos rojos secos y sirva fresca. Sirva la ensalada de col con col china y yogur griego junto con una hamburguesa y un vaso de zumo de granada casero con jengibre para enriquecer su comida del domingo.</t>
  </si>
  <si>
    <t>Pour commencer à préparer la salade de chou nappa au yaourt grec, nous allons d'abord préparer les légumes et les mettre dans un bol. Ajoutez le yaourt grec, le miel et le sel dans le même bol et mélangez uniformément avec tous les légumes. Assurez-vous que tous les légumes sont bien enrobés. Garnissez la salade de chou nappa de graines de tournesol et de canneberges séchées et servez fraîche. Servez la salade de chou nappa au yaourt grec avec un burger et un verre de jus de grenade maison au gingembre pour enrichir votre repas du dimanche.</t>
  </si>
  <si>
    <t>https://www.archanaskitchen.com/napa-cabbage-coleslaw-with-greek-yogurt-recipe</t>
  </si>
  <si>
    <t>Simple &amp; Luscious Pista Ice Cream Recipe</t>
  </si>
  <si>
    <t>Einfaches und köstliches Pistazieneis-Rezept</t>
  </si>
  <si>
    <t>Recette simple et délicieuse de glace à la pistache</t>
  </si>
  <si>
    <t>Receta de helado de pistacho sencilla y deliciosa</t>
  </si>
  <si>
    <t>1 tasse de crème fraîche, 1/4 tasse de lait concentré, 2 cuillères à soupe de pistaches, 1 cuillère à café d'extrait de pistache</t>
  </si>
  <si>
    <t>1 cup Fresh cream,1/4 cup Condensed Milk,2 tablespoon Pistachios,1 teaspoon Pistachio extract</t>
  </si>
  <si>
    <t>1 taza de crema fresca, 1/4 taza de leche condensada, 2 cucharadas de pistachos, 1 cucharadita de extracto de pistacho</t>
  </si>
  <si>
    <t xml:space="preserve">To begin making Simple &amp; Luscious Pista Ice Cream Recipe, take the Pistachios in a blender and crush it to form a coarse mixture and keep aside.In a mixing bowl take the fresh cream. Whip it on a high speed with a electric hand blender or stand mixer for about 3 mins. The cream would become thick.Now add in the condensed milk and whip once gain such that both cream and condensed milk are blended evenly. This is the ice cream base we can customize the ice cream with as many flavours as we need.Next add in the Pista Essence and whip for another 30 secs. Now add in the crushed pistachios and add it to the Ice cream mixture and fold once.In a freezer safe bowl pour the ice-cream base.Freeze it for minimum 8 hours or overnight for it to get set. After freezing scoop the ice cream and serve Simple &amp; Luscious Pista Ice Cream Recipe garnished with crushed pistachios as a party dessert with Shrewsbury Cookies Recipe (Butter Cookies) and Aloo Tikki Burger Recipe.
</t>
  </si>
  <si>
    <t>Para empezar a preparar la sencilla y deliciosa receta de helado de pistacho, tritura los pistachos en una licuadora hasta obtener una mezcla gruesa. Reserva. En un bol, añade la nata. Bátela a alta velocidad con una batidora de mano o de pedestal durante unos 3 minutos. La nata quedará espesa. Añade la leche condensada y bate de nuevo hasta que la nata y la leche condensada se integren uniformemente. Esta es la base del helado, con la que podemos personalizarlo con todos los sabores que necesitemos. A continuación, añade la esencia de pistacho y bate durante otros 30 segundos. Añade los pistachos triturados a la mezcla de helado e incorpóralos con movimientos envolventes. Vierte la base del helado en un recipiente apto para congelador. Congélala durante un mínimo de 8 horas o toda la noche para que cuaje. Después de congelarlo, saque el helado y sírvalo como postre de fiesta.
Receta de helado de pistacho simple y delicioso, adornado con pistachos triturados, junto con la receta de galletas Shrewsbury (galletas de mantequilla) y la receta de hamburguesa Aloo Tikki.</t>
  </si>
  <si>
    <t>Pour commencer à préparer une recette simple et savoureuse de glace à la pistache, mettez les pistaches dans un blender et concassez-les jusqu'à obtenir une préparation grossière. Réservez. Dans un saladier, fouettez la crème fraîche à grande vitesse avec un mixeur plongeant ou un robot pâtissier pendant environ 3 minutes. La crème devrait épaissir. Ajoutez ensuite le lait concentré et fouettez encore une fois pour obtenir un mélange homogène. Vous obtiendrez ainsi la base de glace que vous pourrez personnaliser avec autant de parfums que vous le souhaitez. Ajoutez ensuite l'essence de pistache et fouettez encore 30 secondes. Ajoutez ensuite les pistaches concassées, incorporez-les à la préparation et incorporez-les une fois. Versez la base de glace dans un bol allant au congélateur. Congelez-la pendant au moins 8 heures ou toute la nuit pour qu'elle prenne. Après congélation, préparez la glace et servez la recette simple et succulente de glace à la pistache garnie de pistaches concassées comme dessert de fête avec la recette de biscuits Shrewsbury (biscuits au beurre) et la recette de burger Aloo Tikki.</t>
  </si>
  <si>
    <t>https://www.archanaskitchen.com/simple-luscious-pista-ice-cream-recipe</t>
  </si>
  <si>
    <t>Heart Shaped Cake Pops Recipe</t>
  </si>
  <si>
    <t>Rezept für herzförmige Cake Pops</t>
  </si>
  <si>
    <t>Recette de cake pops en forme de cœur</t>
  </si>
  <si>
    <t>Receta de cake pops en forma de corazón</t>
  </si>
  <si>
    <t>Gâteau au citron - 1 recette, 1/4 tasse de lait concentré - au besoin, sucre décoratif (paillettes pour gâteaux/bonbons) - au besoin, 1 tasse de cacao en poudre, 1 tasse de lait</t>
  </si>
  <si>
    <t>Lemon Pound Cake - 1 recipe,1/4 cup Condensed Milk - as required,Decorative sugar (Cake/ Candy Sprinkles) - as needed,1 cup Cocoa Powder,1 cup Milk</t>
  </si>
  <si>
    <t>Pastel de limón - 1 receta, 1/4 taza de leche condensada (según se requiera), azúcar decorativa (chispas para pastel o dulces) (según se requiera), 1 taza de cacao en polvo, 1 taza de leche</t>
  </si>
  <si>
    <t xml:space="preserve">To begin making the Heart Shaped Cake Pops Recipe, you must have the pound cake ready. You can optionally buy a store bought cake and make it into crumbles.Add the crumbled cake into a large mixing bowl. Add a tablespoon of condensed milk at a time to bind the cake to make a cake dough. Take care to make sure the cake does not become too moist. The cake dough should be firm and shapeable. Pat and press the cake dough into a flat baking sheet with about 1-1/2 inch thickness. Use a small heart shaped cookie cutter and cut small to make heart shaped cake pops.You can either make small ladoo shaped balls or use a small heart shaped cookie cutter for the shape. If making round balls, make sure there are no cracks in the ball. It should be very smooth. Proceed the similar way with the remaining dough. Place the cake pops on a foil sheet covered tray. Keep it in refrigerator for 30 minutes or till the cake pops are set firm. Once the cake pops are set, take them out and dust with cocoa powder. Make sure the cake pops are fully covered with cocoa powder. Take a heart cake pop and insert a toothpick right across the cake pop.Place the cake pops again in refrigerator for 15 minutes. Take 1 tablespoon of water or milk in a bowl. Take out the cake pops from the refrigerator. Brush them lightly with milk and sprinkle colored sprinkles and serve.Make these cute Heart Shaped Cake Pops for Valentine's day, for a baby shower or simply for your kids and enjoy it with a cup of delicious coffee.
</t>
  </si>
  <si>
    <t>Para comenzar a hacer la Receta de Cake Pops en Forma de Corazón, debes tener listo el bizcocho. Opcionalmente, puedes comprar un bizcocho comprado en la tienda y hacerlo migas. Agrega el bizcocho desmenuzado a un tazón grande para mezclar. Agrega una cucharada de leche condensada a la vez para unir el bizcocho para hacer una masa de bizcocho. Ten cuidado de asegurarte de que el bizcocho no quede demasiado húmedo. La masa de bizcocho debe ser firme y moldeable. Aplana y presiona la masa de bizcocho en una bandeja para hornear plana con un grosor de aproximadamente 1-1/2 pulgada. Usa un cortador de galletas pequeño en forma de corazón y corta en trozos pequeños para hacer cake pops en forma de corazón. Puedes hacer bolitas pequeñas con forma de ladoo o usar un cortador de galletas pequeño en forma de corazón para la forma. Si haces bolitas redondas, asegúrate de que no haya grietas en la bolita. Debe ser muy suave. Procede de la misma manera con la masa restante. Coloca los cake pops en una bandeja cubierta con papel de aluminio. Mantenla en el refrigerador durante 30 minutos o hasta que los cake pops estén firmes. Una vez que los cake pops estén firmes, sácalos y espolvorea con cacao en polvo. Asegúrate de que los cake pops estén completamente cubiertos de cacao en polvo. Toma un cake pop con forma de corazón e inserta un palillo a lo largo. Vuelve a colocar los cake pops en el refrigerador durante 15 minutos. Vierte 1 cucharada de agua o leche en un tazón. Retira los cake pops del refrigerador. Pincélalos ligeramente con leche, espolvorea chispas de colores y sirve. Prepara estos lindos cake pops con forma de corazón para San Valentín, un baby shower o simplemente para tus hijos, y disfrútalos con un delicioso café.</t>
  </si>
  <si>
    <t>Pour commencer à préparer la recette des Cake Pops en forme de cœur, vous devez avoir le quatre-quarts prêt. Vous pouvez éventuellement acheter un gâteau du commerce et le transformer en crumbles. Ajoutez le gâteau émietté dans un grand bol à mélanger. Ajoutez une cuillère à soupe de lait concentré à la fois pour lier le gâteau et faire une pâte à gâteau. Veillez à ce que le gâteau ne devienne pas trop humide. La pâte à gâteau doit être ferme et façonnable. Tapotez et pressez la pâte à gâteau dans une plaque à pâtisserie plate d'environ 1-1/2 pouce d'épaisseur. Utilisez un petit emporte-pièce en forme de cœur et coupez-le petit pour faire des cake pops en forme de cœur. Vous pouvez faire de petites boules en forme de ladoo ou utiliser un petit emporte-pièce en forme de cœur pour la forme. Si vous faites des boules rondes, assurez-vous qu'il n'y a pas de fissures dans la boule. Elle doit être très lisse. Procédez de la même manière avec le reste de la pâte. Placez les cake pops sur une plaque recouverte d'une feuille de papier d'aluminium. Gardez-la au réfrigérateur pendant 30 minutes ou jusqu'à ce que les cake pops soient bien fermes. Une fois les cake pops pris, sortez-les et saupoudrez de cacao en poudre. Assurez-vous que les cake pops soient entièrement recouverts de cacao en poudre. Prenez un cake pop en forme de cœur et piquez-le avec un cure-dent. Placez-le à nouveau au réfrigérateur pendant 15 minutes. Versez 1 cuillère à soupe d'eau ou de lait dans un bol. Sortez les cake pops du réfrigérateur. Badigeonnez-les légèrement de lait, saupoudrez de vermicelles colorés et servez. Préparez ces adorables cake pops en forme de cœur pour la Saint-Valentin, une baby shower ou tout simplement pour vos enfants, et dégustez-les avec un délicieux café.</t>
  </si>
  <si>
    <t>http://www.archanaskitchen.com/heart-shaped-cake-pops-recipe</t>
  </si>
  <si>
    <t>Stir Fried Honey Parsnip Recipe With Herbs</t>
  </si>
  <si>
    <t>Rezept für gebratene Honig-Pastinaken mit Kräutern</t>
  </si>
  <si>
    <t>Recette de panais rôtis au miel et aux herbes</t>
  </si>
  <si>
    <t>Receta de chirivías asadas con miel y hierbas</t>
  </si>
  <si>
    <t>800 grammes de panais ou de carottes, 1/2 tasse de miel, 3 cuillères à soupe d'huile de sésame (gingembre), 2 cuillères à soupe de sauce soja, 5 gousses d'ail, 1 cuillère à soupe de feuilles de thym séchées, 1/2 cuillère à café d'origan séché, 1/4 tasse de bouillon de légumes, 1 cuillère à soupe de poudre de poivre noir</t>
  </si>
  <si>
    <t>800 grams Parsnip - or carrots,1/2 cup Honey,3 tablespoon Sesame (Gingelly) Oil,2 tablespoons Soy sauce,5 cloves Garlic,1 tablespoon Dried Thyme Leaves,1/2 teaspoon Dried oregano,1/4 cup Vegetable stock,1 tablespoon Black pepper powder</t>
  </si>
  <si>
    <t>800 gramos de chirivía o zanahorias, 1/2 taza de miel, 3 cucharadas de aceite de sésamo (aceite de jengibre), 2 cucharadas de salsa de soja, 5 dientes de ajo, 1 cucharada de hojas de tomillo secas, 1/2 cucharadita de orégano seco, 1/4 taza de caldo de verduras, 1 cucharada de pimienta negra en polvo</t>
  </si>
  <si>
    <t xml:space="preserve">To start making Stir Fried Honey Parsnips With Herbs, peel the parsnips, then cut them across along their length into 1 inch long slices or like french fried potato sized pieces. While cutting make sure to discard the tough white core from parsnips.Bring a medium saucepan of water to boil over high heat. Add the parsnips and cook until tender or for about 5 minutes until cooked through and yet firm. Drain in a colander, rinse in cold water and keep aside.Set a heavy bottomed wok over medium heat. Add oil, garlic and sauté for 2 minutes. Add the crushed peppercorns and stir fry for a few seconds.Pour in the vegetable broth, soy sauce and honey. Cook the honey sauce until it starts to bubble.Add the blanched parsnips and stir fry until well roasted from all sides. Turn off and stir in thyme, Oregano. Transfer to a serving platter and serve.Serve the Stir Fried Honey Parsnips With Herbs as a side dish along with Roasted Vegetable Lasagna With Ricotta.
</t>
  </si>
  <si>
    <t>Para preparar chirivías salteadas con miel y hierbas, pélelas y córtelas a lo largo en rodajas de 2,5 cm o del tamaño de una papa frita. Al cortarlas, asegúrese de desechar la parte blanca y dura. Ponga a hervir agua en una cacerola mediana a fuego alto. Añada las chirivías y cocine hasta que estén tiernas o durante unos 5 minutos, hasta que estén bien cocidas pero firmes. Escúrralas en un colador, enjuáguelas con agua fría y reserve. Coloque un wok de fondo grueso a fuego medio. Añada aceite, ajo y saltee durante 2 minutos. Añada los granos de pimienta machacados y saltee durante unos segundos. Vierta el caldo de verduras, la salsa de soja y la miel. Cocine la salsa de miel hasta que empiece a burbujear. Añada las chirivías blanqueadas y saltee hasta que estén bien tostadas por todos lados. Apague el fuego y añada el tomillo y el orégano. Transfiera a una fuente para servir y sirva. Sirva las chirivías salteadas con miel y hierbas como guarnición junto con la lasaña de verduras asadas con ricotta.</t>
  </si>
  <si>
    <t>Pour préparer des panais sautés au miel et aux herbes, épluchez les panais, puis coupez-les dans le sens de la longueur en tranches de 2,5 cm ou en morceaux de la taille de frites. Lors de la découpe, veillez à retirer le cœur blanc et dur des panais. Portez une casserole d'eau moyenne à ébullition à feu vif. Ajoutez les panais et faites-les cuire jusqu'à ce qu'ils soient tendres ou pendant environ 5 minutes, jusqu'à ce qu'ils soient cuits à cœur et encore fermes. Égouttez-les dans une passoire, rincez-les à l'eau froide et réservez. Placez un wok à fond épais sur feu moyen. Ajoutez l'huile et l'ail et faites revenir 2 minutes. Ajoutez les grains de poivre concassés et faites sauter quelques secondes. Versez le bouillon de légumes, la sauce soja et le miel. Faites cuire la sauce au miel jusqu'à ce qu'elle commence à bouillonner. Ajoutez les panais blanchis et faites-les sauter jusqu'à ce qu'ils soient bien dorés de tous les côtés. Éteignez le feu et incorporez le thym et l'origan. Transférer dans un plat de service et servir. Servir les panais sautés au miel et aux herbes en accompagnement avec des lasagnes aux légumes rôtis et à la ricotta.</t>
  </si>
  <si>
    <t>http://www.archanaskitchen.com/stir-fried-honey-parsnip-recipe-with-herbs</t>
  </si>
  <si>
    <t>Eggless Jam-Filled Thumbprint Cookies Recipe</t>
  </si>
  <si>
    <t>Rezept für mit Marmelade gefüllte Daumenabdruckkekse ohne Eier</t>
  </si>
  <si>
    <t>Recette de biscuits à la confiture et aux empreintes digitales sans œufs</t>
  </si>
  <si>
    <t>Receta de galletas de mermelada y huellas dactilares sin huevo</t>
  </si>
  <si>
    <t>1 tasse de farine tout usage (Maida), 1/2 tasse de beurre (non salé) - ramolli (température ambiante), 1/3 tasse de sucre en poudre, 1 cuillère à café d'extrait de vanille, 1/4 cuillère à café de sel, 1/4 tasse de confiture - confiture de fruits mélangés ou conserves</t>
  </si>
  <si>
    <t>1 cup All Purpose Flour (Maida),1/2 cup Butter (unsalted) - softened (room temperature),1/3 cup Caster Sugar,1 teaspoon Vanilla Extract,1/4 teaspoon Salt,1/4 cup Jam - mixed fruit jam or preserves</t>
  </si>
  <si>
    <t>1 taza de harina para todo uso (Maida), 1/2 taza de mantequilla (sin sal) - ablandada (a temperatura ambiente), 1/3 taza de azúcar extrafino, 1 cucharadita de extracto de vainilla, 1/4 cucharadita de sal, 1/4 taza de mermelada - mermelada de frutas mixtas o conservas</t>
  </si>
  <si>
    <t xml:space="preserve">To prepare Eggless Jam-Filled Thumbprint Cookies Recipe, preheat Oven to 350 degrees Fahrenheit or 180 degrees Centigrade. Line a Baking pan with parchment paper.Mix the flour and salt with a whisk or spoon.In a mixing bowl, add the butter and with an Hand mixer on medium-high, beat the butter till soft.Add the sugar and beat again, till fluffy and creamy. Add half of the flour mixture and beat on low till just mixed.Add the rest of the flour and mix again. Do not over mix. You can use a spatula to mix in the flour till just combined.Place some granulated sugar in a small bowl.Shape dough into 1-inch balls. Roll each ball of dough in the sugar to coat lightly and place on the baking sheet.Make a small indentation in the center of each dough ball with your thumb and fill it with about 1/4 teaspoon of jam or preserve. I used the flat end of a 1/4 teaspoon measuring spoon to make the indentation.Bake for about 12 to 13 minutes till the edge starts to get a light brown color.Let stand for about a minute on the sheet and then transfer to a wired cooling rack to cool completely.Store Eggless Jam-Filled Thumbprint Cookies Recipe in an airtight container between sheets of parchment paper or foil to avoid the cookies from sticking together.These Eggless Jam-filled thumbprint cookies make a delicious combination during tea time with Ginger Tea or Coffee.
</t>
  </si>
  <si>
    <t>Para preparar la receta de galletas de huellas dactilares rellenas de mermelada sin huevo, precaliente el horno a 350 grados Fahrenheit o 180 grados Centígrados. Cubra una bandeja para hornear con papel pergamino. Mezcle la harina y la sal con un batidor o una cuchara. En un tazón, agregue la mantequilla y con una batidora de mano a velocidad media-alta, bata la mantequilla hasta que esté suave. Agregue el azúcar y bata nuevamente, hasta que esté esponjoso y cremoso. Agregue la mitad de la mezcla de harina y bata a velocidad baja hasta que se mezcle. Agregue el resto de la harina y mezcle nuevamente. No mezcle demasiado. Puede usar una espátula para mezclar la harina hasta que se combine. Coloque un poco de azúcar granulada en un tazón pequeño. Forme la masa en bolas de 1 pulgada. Enrolle cada bola de masa en el azúcar para cubrirla ligeramente y colóquela en la bandeja para hornear. Haga una pequeña hendidura en el centro de cada bola de masa con el pulgar y rellénela con aproximadamente 1/4 de cucharadita de mermelada o conserva. Usé el extremo plano de una cuchara medidora de 1/4 de cucharadita para hacer la hendidura. Hornee durante unos 12 a 13 minutos hasta que el borde comience a adquirir un color marrón claro. Deje reposar durante aproximadamente un minuto en la bandeja y luego transfiera a una rejilla para enfriar por completo. Guarde la receta de galletas de huellas dactilares rellenas de mermelada sin huevo en un recipiente hermético entre hojas de papel pergamino o papel aluminio para evitar que las galletas se peguen. Estas galletas de huellas dactilares rellenas de mermelada sin huevo son una combinación deliciosa para la hora del té con té de jengibre o café.</t>
  </si>
  <si>
    <t>Pour préparer la recette de biscuits au pouce fourrés à la confiture sans œufs, préchauffez le four à 350 degrés Fahrenheit ou 180 degrés Celsius. Tapissez un plat allant au four de papier sulfurisé. Mélangez la farine et le sel avec un fouet ou une cuillère. Dans un bol, ajoutez le beurre et, avec un batteur à main à vitesse moyenne-élevée, battez le beurre jusqu'à ce qu'il soit mou. Ajoutez le sucre et battez à nouveau jusqu'à ce qu'il soit mousseux et crémeux. Ajoutez la moitié du mélange de farine et battez à basse vitesse jusqu'à ce que le tout soit juste mélangé. Ajoutez le reste de la farine et mélangez à nouveau. Ne mélangez pas trop. Vous pouvez utiliser une spatule pour incorporer la farine jusqu'à ce que le tout soit juste combiné. Placez un peu de sucre cristallisé dans un petit bol. Façonnez la pâte en boules de 1 pouce. Roulez chaque boule de pâte dans le sucre pour l'enrober légèrement et placez-la sur la plaque à pâtisserie. Faites une petite empreinte au centre de chaque boule de pâte avec votre pouce et remplissez-la d'environ 1/4 de cuillère à café de confiture ou de conserve. J'ai utilisé l'extrémité plate d'une cuillère à mesurer de 1/4 de cuillère à café pour faire l'empreinte. Cuire au four pendant environ 12 à 13 minutes jusqu'à ce que le bord commence à prendre une couleur brun clair. Laisser reposer environ une minute sur la plaque, puis transférer sur une grille de refroidissement pour refroidir complètement. Conserver la recette de biscuits au pouce fourrés à la confiture sans œufs dans un récipient hermétique entre des feuilles de papier sulfurisé ou de papier d'aluminium pour éviter que les biscuits ne collent ensemble. Ces biscuits au pouce fourrés à la confiture sans œufs constituent une délicieuse combinaison à l'heure du thé avec du thé au gingembre ou du café.</t>
  </si>
  <si>
    <t>http://www.archanaskitchen.com/eggless-jam-filled-thumbprint-cookies-recipe</t>
  </si>
  <si>
    <t>Millet Energy Bites With Almonds, Dates And Coconut Recipe</t>
  </si>
  <si>
    <t>Hirse-Energiebällchen mit Mandeln, Datteln und Kokosnuss Rezept</t>
  </si>
  <si>
    <t>Recette de boules énergétiques au millet, aux amandes, aux dattes et à la noix de coco</t>
  </si>
  <si>
    <t>Receta de bolitas energéticas con mijo, almendras, dátiles y coco</t>
  </si>
  <si>
    <t>1/2 tasse de farine de Ragi (millet des doigts/Nagli), 1/2 tasse de farine de Bajra (millet perlé), 1 tasse de dattes, 1 tasse de Badam (amandes) - entières, 1 tasse de noix de coco desséchée, 1/2 tasse de miel</t>
  </si>
  <si>
    <t>1/2 cup Ragi Flour (Finger Millet/ Nagli),1/2 cup Bajra Flour ( Pearl Millet),1 cup Dates,1 cup Badam (Almond) - whole,1 cup Dessicated Coconut,1/2 cup Honey</t>
  </si>
  <si>
    <t>1/2 taza de harina de Ragi (mijo de dedo/Nagli), 1/2 taza de harina de Bajra (mijo perlado), 1 taza de dátiles, 1 taza de Badam (almendra) - entera, 1 taza de coco deshidratado, 1/2 taza de miel</t>
  </si>
  <si>
    <t xml:space="preserve">To begin making Millet Energy Bites with Almonds, Dates and Coconut recipe, firstly dry roast the ragi and bajra flour in a wide pan over medium heat.After about 3 to 5 minutes, the flours will be aromatic. Remove from the heat and let it cool completely.In a mixer grinder, add the millet flours, dates, almonds and coconut flakes. Give it about 8 to 10 pulses, until the almonds, dates and coconuts and all shredded down uniformly.Add honey now, and give it quick pulse until the mixture is crumbly and starts to gather into a dough.Remove and mold them into lemon sized balls. They can be stored at room temperature. Chilling it in the fridge will keep if fresh for up to two weeks.Serve Millet Energy Bites With Almonds, Dates And Coconut as a snack to your kids during exam time or carry it as a snack while travelling 
</t>
  </si>
  <si>
    <t>Para empezar a preparar la receta de Bocados Energéticos de Mijo con Almendras, Dátiles y Coco, tuesta la harina de ragi y bajra en una sartén ancha a fuego medio. Después de 3 a 5 minutos, las harinas estarán aromáticas. Retira del fuego y deja enfriar por completo. En una licuadora, añade las harinas de mijo, los dátiles, las almendras y el coco rallado. Pulsa de 8 a 10 veces hasta que las almendras, los dátiles y el coco estén triturados uniformemente. Añade la miel y pulsa rápidamente hasta que la mezcla se desmorone y empiece a formar una masa. Retíralos y forma bolitas del tamaño de un limón. Se pueden conservar a temperatura ambiente. Enfriarlos en el refrigerador los mantendrá frescos hasta dos semanas. Sirve los Bocados Energéticos de Mijo con Almendras, Dátiles y Coco como refrigerio para tus hijos durante la época de exámenes o llévalos de viaje.</t>
  </si>
  <si>
    <t>Pour préparer les Bouchées Énergétiques au Millet, Amandes, Dattes et Noix de Coco, faites d'abord griller à sec le ragi et la farine de bajra dans une grande poêle à feu moyen. Après 3 à 5 minutes, les farines seront aromatiques. Retirez du feu et laissez refroidir complètement. Dans un mixeur-hachoir, ajoutez les farines de millet, les dattes, les amandes et la noix de coco râpée. Donnez 8 à 10 impulsions, jusqu'à ce que les amandes, les dattes et la noix de coco soient râpées uniformément. Ajoutez le miel et donnez 8 à 10 impulsions rapides jusqu'à ce que le mélange soit friable et commence à former une pâte. Sortez-les et façonnez-les en boules de la taille d'un citron. Elles se conservent à température ambiante. Au réfrigérateur, elles se conserveront jusqu'à deux semaines. Servez les Bouchées Énergétiques au Millet, Amandes, Dattes et Noix de Coco comme en-cas pour vos enfants pendant les examens ou emportez-les en voyage.</t>
  </si>
  <si>
    <t>http://www.archanaskitchen.com/millet-energy-bites-with-almonds-dates-and-coconut-recipe</t>
  </si>
  <si>
    <t>Sweet Potato Mash Recipe</t>
  </si>
  <si>
    <t>Rezept für Süßkartoffelpüree</t>
  </si>
  <si>
    <t>Recette de purée de patates douces</t>
  </si>
  <si>
    <t>Receta de puré de batata</t>
  </si>
  <si>
    <t>4 patates douces - peau pelée et hachée finement, 500 ml de lait, 100 grammes de beurre, 5 gousses d'ail - tranchées, sel et poivre - au goût</t>
  </si>
  <si>
    <t>4 Sweet Potatoes - skin peeled and chopped small,500 ml Milk,100 grams Butter,5 cloves Garlic - sliced,Salt and Pepper - to taste</t>
  </si>
  <si>
    <t>4 batatas (peladas y cortadas en trozos pequeños), 500 ml de leche, 100 gramos de mantequilla, 5 dientes de ajo (en rodajas), sal y pimienta (al gusto).</t>
  </si>
  <si>
    <t xml:space="preserve">To begin making the Sweet Potato Mash Recipe, add the chopped sweet potato, milk, garlic and butter into a sauce pan and leave it to boil.Boil until the potatoes have become soft and fluffy. Using a potato masher, mash all the potatoes and add little salt and mix well.You can also pass the mashed potatoes into a sieve to get a smooth consistency. Before serving sprinkle some pepper and serve.Serve the Sweet Potato Mash Recipe along with Oven Baked Chicken with a fresh salad like Chickpea Orange Salad Recipe with Sun Dried Tomatoes by the side. 
</t>
  </si>
  <si>
    <t>Para empezar a preparar el puré de batata, añade la batata picada, la leche, el ajo y la mantequilla a una cacerola y deja que hierva. Hierve hasta que las batatas estén suaves y esponjosas. Con un machacador de papas, machaca todas las papas, añade un poco de sal y mezcla bien. También puedes pasar el puré por un colador para obtener una consistencia suave. Antes de servir, espolvorea un poco de pimienta y sirve. Sirve el puré de batata junto con el pollo al horno y una ensalada fresca como la de garbanzos y naranja con tomates secos.</t>
  </si>
  <si>
    <t>Pour préparer la purée de patates douces, ajoutez les patates douces hachées, le lait, l'ail et le beurre dans une casserole et portez à ébullition. Laissez cuire jusqu'à ce que les pommes de terre soient tendres et aérées. À l'aide d'un presse-purée, écrasez toutes les pommes de terre, salez légèrement et mélangez bien. Vous pouvez également passer la purée au tamis pour obtenir une consistance lisse. Avant de servir, poivrez et servez. Servez la purée de patates douces accompagnée de poulet au four, accompagné d'une salade fraîche comme la salade de pois chiches à l'orange et aux tomates séchées.</t>
  </si>
  <si>
    <t>https://www.archanaskitchen.com/sweet-potato-mash-recipe</t>
  </si>
  <si>
    <t>Spicy Mango Lime Grilled Chicken Recipe</t>
  </si>
  <si>
    <t>Rezept für gegrilltes Hähnchen mit würziger Mango und Limette</t>
  </si>
  <si>
    <t>Recette de poulet grillé à la mangue épicée et au citron vert</t>
  </si>
  <si>
    <t>Receta de pollo a la parrilla con mango picante y lima</t>
  </si>
  <si>
    <t>2 poitrines de poulet, 1 mangue (mûre) - réduite en purée, 2 cuillères à soupe de jus de citron, 2 cuillères à soupe de sauce Sriracha - ou n'importe quelle sauce au piment rouge, 1 cuillère à café de sauce de poisson, 1 cuillère à soupe d'huile d'olive extra vierge, 4 gousses d'ail - finement hachées, sel - au goût, 1 cuillère à café de miel, 1 cuillère à café de sauce Sriracha, 1 cuillère à soupe de farine de maïs, 1/4 tasse d'eau, huile d'olive extra vierge - pour griller le poulet</t>
  </si>
  <si>
    <t>2 Chicken breasts,1 Mango (Ripe) - made into a puree,2 tablespoons Lemon juice,2 tablespoons Sriracha sauce - or any red chilli sauce,1 teaspoon Fish sauce,1 tablespoon Extra Virgin Olive Oil,4 cloves Garlic - finely chopped,Salt - to taste,1 teaspoon Honey,1 teaspoon Sriracha sauce,1 tablespoon Corn flour,1/4 cup Water,Extra Virgin Olive Oil - to grill the chicken</t>
  </si>
  <si>
    <t>2 pechugas de pollo, 1 mango (maduro) - hecho puré, 2 cucharadas de jugo de limón, 2 cucharadas de salsa Sriracha - o cualquier salsa de chile rojo, 1 cucharadita de salsa de pescado, 1 cucharada de aceite de oliva virgen extra, 4 dientes de ajo - finamente picados, sal - al gusto, 1 cucharadita de miel, 1 cucharadita de salsa Sriracha, 1 cucharada de harina de maíz, 1/4 taza de agua, aceite de oliva virgen extra - para asar el pollo</t>
  </si>
  <si>
    <t xml:space="preserve">To begin making the Spicy Grilled Lime &amp; Mango Chicken Recipe we will first make the marinade. To make the marinade in a mixer jar combine, the ripe mango with sriracha sauce, fish sauce, lemon juice, olive oil and garlic. Grind this into a smooth paste and set aside. You will have approximately 1 cup of the marinade mixture. You can add additional ripe mangoes if you would like more sauce.Wash the chicken breasts thoroughly and make diagonal slits on the surface of the breasts. In a mixing bowl, place the chicken breasts and pour this marinade over it. Marinade for about an hour.  Cover the chicken and keep it aside, while it is marinating.Heat a grill pan on medium heat and brush some oil on it. Ensure the pan is well heated. Once the chicken has been marinated for an hour, place it on the hot grill pan and cook it for about 3-4 minutes on each side, or until well done, ensuring the chicken has cooked through nicely. Ensure not to over cook as the chicken then becomes hard and rubbery.Once it is well cooked, remove it from the pan and allow it to rest on a plate. Transfer the remaining marinade into a saucepan, add in some more sriracha sauce, some honey and bring it to a single boil. Next in a small bowl make a slurry of the corn flour along with the water and add it to the saucepan which has the mango mixture and bring it to a boil and allow the sauce to thicken.Turn off the heat. Observe the sauce has thickened and has a nice sheen on it. This will be the sauce for our Spicy Grilled Lime &amp; Mango Chicken Recipe.Once done, spoon the Mango Sauce on a platter and place a portion of the grilled chicken and serve hot.Serve Spicy Grilled Lime &amp; Mango Chicken as an appetizer with some lemon wedges along with the sauce.Or you could also serve it as a main along with Buttered Herbed Rice Recipe or Garlic Bread With Herb Butter Recipe and some Roasted Mushroom Recipe for a steak style meal. Finish of with a dessert of Greek Yogurt Chocolate Mousse Recipe. 
</t>
  </si>
  <si>
    <t>Para comenzar a hacer la Receta de Pollo Picante a la Parrilla con Lima y Mango, primero haremos la marinada. Para hacer la marinada en una jarra de licuadora, combine el mango maduro con salsa sriracha, salsa de pescado, jugo de limón, aceite de oliva y ajo. Muele esto hasta formar una pasta suave y reserva. Tendrá aproximadamente 1 taza de la mezcla de marinada. Puede agregar mangos maduros adicionales si desea más salsa. Lave bien las pechugas de pollo y haga cortes diagonales en la superficie de las pechugas. En un tazón, coloque las pechugas de pollo y vierta esta marinada sobre ellas. Marinar durante aproximadamente una hora. Cubra el pollo y déjelo a un lado, mientras se marina. Caliente una sartén para parrilla a fuego medio y unte un poco de aceite. Asegúrese de que la sartén esté bien caliente. Una vez que el pollo haya estado marinado durante una hora, colóquelo en la sartén para parrilla caliente y cocínelo durante unos 3-4 minutos por cada lado, o hasta que esté bien hecho, asegurándose de que el pollo se haya cocido bien. Asegúrese de no cocinar demasiado ya que el pollo se vuelve duro y gomoso. Una vez que esté bien cocido, retírelo de la sartén y déjelo reposar en un plato. Transfiera el resto de la marinada a una cacerola, agregue un poco más de salsa sriracha, un poco de miel y llévelo a ebullición. Luego, en un tazón pequeño, haga una papilla de harina de maíz junto con el agua y agréguela a la cacerola que tiene la mezcla de mango y llévela a ebullición y deje que la salsa espese. Apague el fuego. Observe que la salsa se ha espesado y tiene un brillo agradable. Esta será la salsa para nuestra Receta de Pollo Picante a la Parrilla con Lima y Mango. Una vez listo, sirva la Salsa de Mango en una fuente, coloque una porción del pollo a la parrilla y sirva caliente. Sirva el Pollo Picante a la Parrilla con Lima y Mango como aperitivo con unas rodajas de limón junto con la salsa. O también puede servirlo como plato principal junto con Arroz con Hierbas y Mantequilla o Pan de Ajo con Mantequilla de Hierbas y Champiñones Asados ​​para una comida estilo bistec. Termine con un postre de Mousse de Chocolate con Yogur Griego.</t>
  </si>
  <si>
    <t>Pour commencer à préparer la recette de poulet grillé épicé au citron vert et à la mangue, nous allons d'abord préparer la marinade. Pour préparer la marinade, dans un bol, mélangez la mangue mûre avec la sauce sriracha, la sauce de poisson, le jus de citron, l'huile d'olive et l'ail. Broyez le tout en une pâte lisse et réservez. Vous aurez environ 1 tasse du mélange de marinade. Vous pouvez ajouter des mangues mûres supplémentaires si vous souhaitez plus de sauce. Lavez soigneusement les poitrines de poulet et faites des fentes diagonales sur la surface des poitrines. Dans un bol, placez les poitrines de poulet et versez cette marinade dessus. Laissez mariner pendant environ une heure. Couvrez le poulet et réservez-le pendant qu'il marine. Faites chauffer une poêle à griller à feu moyen et badigeonnez-la d'un peu d'huile. Assurez-vous que la poêle est bien chaude. Une fois le poulet mariné pendant une heure, placez-le sur la poêle à griller chaude et faites-le cuire pendant environ 3 à 4 minutes de chaque côté, ou jusqu'à ce qu'il soit bien cuit, en vous assurant que le poulet est bien cuit. Assurez-vous de ne pas trop cuire car le poulet devient alors dur et caoutchouteux. Une fois bien cuit, retirez-le de la poêle et laissez-le reposer sur une assiette. Transférez le reste de la marinade dans une casserole, ajoutez un peu plus de sauce sriracha, un peu de miel et portez à ébullition. Ensuite, dans un petit bol, faites une bouillie de farine de maïs avec l'eau et ajoutez-la à la casserole qui contient le mélange de mangue et portez-la à ébullition et laissez la sauce épaissir. Éteignez le feu. Observez que la sauce a épaissi et a une belle brillance. Ce sera la sauce pour notre recette de poulet grillé épicé au citron vert et à la mangue. Une fois la sauce terminée, versez-la sur un plat, déposez une portion de poulet grillé et servez chaud. Servez le poulet grillé épicé au citron vert et à la mangue en entrée avec quelques quartiers de citron et la sauce. Vous pouvez également le servir en plat principal, accompagné d'un riz au beurre et aux herbes, d'un pain à l'ail au beurre aux herbes et de champignons rôtis pour un repas de style steak. Terminez par une mousse au chocolat et au yaourt grec.</t>
  </si>
  <si>
    <t>https://www.archanaskitchen.com/spicy-mango-lime-grilled-chicken-recipe</t>
  </si>
  <si>
    <t>Overnight Pumpkin French Toast Baked Casserole Recipe</t>
  </si>
  <si>
    <t>Rezept für über Nacht gebackenen Kürbis-Arme Ritter-Auflauf</t>
  </si>
  <si>
    <t>Recette de casserole de pain perdu à la citrouille cuite au four pendant la nuit</t>
  </si>
  <si>
    <t>Receta de cazuela de tostadas francesas de calabaza horneadas durante la noche</t>
  </si>
  <si>
    <t>2 œufs entiers, 1 cuillère à café d'extrait de vanille, 2 cuillères à soupe de sucre, sel - au goût, 1-1/2 cuillère à café de cannelle en poudre (Dalchini), 1/4 cuillère à café de clous de girofle (Laung) - moulus, poudre de muscade - pincée, 1/2 tasse de purée de citrouille, 4 tasses de pain français - en dés ou tout autre pain, 1/2 tasse de cassonade (sucre Demerara), 1/2 tasse de noix, 1/3 tasse de beurre - froid/tranché, 1/2 tasse de lait</t>
  </si>
  <si>
    <t>2 Whole Eggs,1 teaspoon Vanilla Extract,2 tablespoon Sugar,Salt - to taste,1-1/2 teaspoon Cinnamon Powder (Dalchini),1/4 teaspoon Cloves (Laung) - ground,Nutmeg powder - pinch,1/2 cup Pumpkin puree,4 cups French Loaf - diced or any other bread,1/2 cup Brown Sugar (Demerara Sugar),1/2 cup Walnuts,1/3 cup Butter - cold/sliced,1/2 cup Milk</t>
  </si>
  <si>
    <t>2 huevos enteros, 1 cucharadita de extracto de vainilla, 2 cucharadas de azúcar, sal - al gusto, 1-1/2 cucharadita de canela en polvo (Dalchini), 1/4 cucharadita de clavos de olor (Laung) - molidos, nuez moscada en polvo - pizca, 1/2 taza de puré de calabaza, 4 tazas de pan francés - cortado en cubitos o cualquier otro pan, 1/2 taza de azúcar morena (azúcar Demerara), 1/2 taza de nueces, 1/3 taza de mantequilla - fría/en rodajas, 1/2 taza de leche</t>
  </si>
  <si>
    <t xml:space="preserve">To start making Overnight Pumpkin French Toast Baked Casserole, first get all the ingredients ready. If you don't have french loaf, you can also use regular bread or even croissants to make this French Toast. In a medium bowl whisk eggs, vanilla extract, sugar, salt, ground cloves, ground cinnamon, ground nutmeg, brown sugar, pumpkin puree together, do not work too much just stir to combine.Add milk and stir well again. Grease 8 x 8 baking dish with some butter. Arrange and level the diced bread. Pour the prepared egg mixture over the top making sure its covered all over the bread.Use a spatula and stir to coat. Cover up with a plastic wrap and refrigerate overnight. Next day preheat oven to 180 C.Remove the plastic wrap and place some sliced butter all over on the top. Sprinkle the walnuts. Bake uncovered for 40 to 45 minutes or until the knife poked in the center comes out clean. Cool down for 10 minutes and serve.Serve Overnight Pumpkin French Toast Baked Casserole along with Chocolate Banana Smoothie for a super filling breakfast.
</t>
  </si>
  <si>
    <t>Para empezar a hacer la Cazuela Horneada de Tostada Francesa de Calabaza Nocturna, primero prepare todos los ingredientes. Si no tiene pan francés, también puede usar pan normal o incluso croissants para hacer esta tostada francesa. En un tazón mediano, bata los huevos, el extracto de vainilla, el azúcar, la sal, el clavo molido, la canela molida, la nuez moscada molida, el azúcar moreno y el puré de calabaza; no trabaje demasiado, solo revuelva para combinar. Agregue la leche y revuelva bien nuevamente. Engrase un molde para hornear de 8 x 8 con un poco de mantequilla. Coloque y nivele el pan cortado en cubitos. Vierta la mezcla de huevo preparada sobre la parte superior asegurándose de que esté cubierta por todo el pan. Use una espátula y revuelva para cubrir. Cubra con una envoltura de plástico y refrigere durante la noche. Al día siguiente, precaliente el horno a 180 C. Retire la envoltura de plástico y coloque un poco de mantequilla en rodajas por encima. Espolvoree las nueces. Hornee sin tapar durante 40 a 45 minutos o hasta que al pinchar el centro con un cuchillo, este salga limpio. Deje enfriar durante 10 minutos y sirva. Sirva la cazuela de tostadas francesas de calabaza horneadas durante la noche junto con un batido de chocolate y plátano para un desayuno súper abundante.</t>
  </si>
  <si>
    <t>Pour commencer à préparer une cocotte de pain perdu à la citrouille cuite au four pendant la nuit, préparez d'abord tous les ingrédients. Si vous n'avez pas de pain français, vous pouvez également utiliser du pain ordinaire ou même des croissants pour faire ce pain perdu. Dans un bol moyen, fouettez les œufs, l'extrait de vanille, le sucre, le sel, les clous de girofle moulus, la cannelle moulue, la muscade moulue, la cassonade et la purée de citrouille. Ne travaillez pas trop, remuez simplement pour combiner. Ajoutez le lait et remuez bien à nouveau. Graissez un plat de cuisson de 8 x 8 avec un peu de beurre. Disposez et nivelez le pain en dés. Versez le mélange d'œufs préparé sur le dessus en vous assurant qu'il recouvre tout le pain. Utilisez une spatule et remuez pour enrober. Couvrez d'une pellicule plastique et réfrigérez toute la nuit. Le lendemain, préchauffez le four à 180 °C. Retirez la pellicule plastique et placez du beurre en tranches sur le dessus. Saupoudrez les noix. Faites cuire à découvert pendant 40 à 45 minutes ou jusqu'à ce que le couteau piqué au centre en ressorte propre. Laissez refroidir pendant 10 minutes et servez. Servez la cocotte de pain doré à la citrouille cuite au four avec un smoothie au chocolat et à la banane pour un petit-déjeuner super copieux.</t>
  </si>
  <si>
    <t>https://www.archanaskitchen.com/overnight-pumpkin-french-toast-a-baked-casserole-recipe</t>
  </si>
  <si>
    <t>Pear And Alfalfa Sprouts Salad Recipe</t>
  </si>
  <si>
    <t>Rezept für Birnen- und Alfalfasprossensalat</t>
  </si>
  <si>
    <t>Recette de salade de poires et de germes de luzerne</t>
  </si>
  <si>
    <t>Receta de ensalada de pera y brotes de alfalfa</t>
  </si>
  <si>
    <t>2 poires vertes croustillantes, 1/2 tasse de germes de luzerne, 1 cuillère à soupe d'arachides grillées (Moongphali) grossièrement pilées, 4 feuilles de basilic râpées, 1 cuillère à soupe de fromage Brie finement tranché (facultatif), 1 cuillère à soupe de vinaigre balsamique, 1/2 cuillère à café de poivre noir en poudre, sel au goût</t>
  </si>
  <si>
    <t>2 Pears - crispy green,1/2 cup Alfalfa Sprouts,1 tablespoon Roasted Peanuts (Moongphali) - coarsely pounded,4 Basil leaves - shredded,1 tablespoon Brie cheese - thinly sliced (optional),1 tablespoon Balsamic Vinegar,1/2 teaspoon Black pepper powder,Salt - to taste</t>
  </si>
  <si>
    <t>2 peras verdes crujientes, 1/2 taza de brotes de alfalfa, 1 cucharada de maní tostado (Moongphali) - machacado grueso, 4 hojas de albahaca - ralladas, 1 cucharada de queso brie - en rodajas finas (opcional), 1 cucharada de vinagre balsámico, 1/2 cucharadita de pimienta negra en polvo, sal - al gusto</t>
  </si>
  <si>
    <t xml:space="preserve">To begin making the Pear And Alfalfa Sprouts Salad, wash and slice pears in thin slices and add it to a large salad bowl.Combine all ingredients together along with the sliced pears until just about combined. Make sure the sprouts and pear are dry. Wet ingredients can lead to limp salads.Serve the Pear And Alfalfa Sprouts along with a warm toasted garlic bread and Vegetable Clear Soup With Lemon Grass Recipe for light or dinner, garnished with a few basil leaves for a light lunch or dinner.
</t>
  </si>
  <si>
    <t>Para empezar a preparar la ensalada de pera y brotes de alfalfa, lava y corta las peras en rodajas finas y añádelas a una ensaladera grande. Combina todos los ingredientes junto con las peras cortadas hasta que estén casi combinados. Asegúrate de que los brotes y la pera estén secos. Los ingredientes húmedos pueden dar lugar a ensaladas blandas. Sirve los brotes de pera y alfalfa junto con pan de ajo tostado caliente y sopa clara de verduras con limoncillo como almuerzo o cena ligera, adornada con unas hojas de albahaca para un almuerzo o cena ligera.</t>
  </si>
  <si>
    <t>Pour commencer à préparer la salade de poires et de germes de luzerne, lavez et coupez les poires en fines tranches et ajoutez-les dans un grand saladier. Mélangez tous les ingrédients avec les poires tranchées jusqu'à ce que le tout soit bien mélangé. Assurez-vous que les germes et la poire soient secs. Les ingrédients humides peuvent donner des salades molles. Servez les germes de poires et de luzerne avec du pain à l'ail grillé chaud et une recette de soupe claire aux légumes à la citronnelle pour un déjeuner ou un dîner léger, garni de quelques feuilles de basilic pour un déjeuner ou un dîner léger.</t>
  </si>
  <si>
    <t>http://www.archanaskitchen.com/pear-and-alfa-alfa-sprouts-salad-recipe</t>
  </si>
  <si>
    <t>Onion And Cheese Pepper Sandwich Recipe</t>
  </si>
  <si>
    <t>Rezept für Zwiebel-Käse-Pfeffer-Sandwich</t>
  </si>
  <si>
    <t>Recette de sandwich aux oignons, au fromage et au poivron</t>
  </si>
  <si>
    <t>Receta de sándwich de cebolla, queso y pimiento</t>
  </si>
  <si>
    <t>8 pains bruns de blé entier, 1/2 tasse de cheddar râpé, 1/2 tasse de mozzarella râpée, 1/2 tasse d'oignons finement hachés, 1 cuillère à café de poudre de poivre noir, 1/2 cuillère à café d'origan séché, 1 cuillère à soupe de beurre, sel au goût</t>
  </si>
  <si>
    <t>8 Whole Wheat Brown Bread,1/2 cup Cheddar cheese - grated,1/2 cup Mozzarella cheese - grated,1/2 cup Onions - finely chopped,1 teaspoon Black pepper powder,1/2 teaspoon Dried oregano,1 tablespoon Butter,Salt - to taste</t>
  </si>
  <si>
    <t>8 panes integrales, 1/2 taza de queso cheddar rallado, 1/2 taza de queso mozzarella rallado, 1/2 taza de cebollas finamente picadas, 1 cucharadita de pimienta negra en polvo, 1/2 cucharadita de orégano seco, 1 cucharada de mantequilla, sal al gusto</t>
  </si>
  <si>
    <t xml:space="preserve">To begin making Onion and Cheese Pepper Sandwich Recipe, take a medium sized bowl, add the grated cheese, finely chopped onions, black pepper powder and oregano.Mix all the ingredients well and keep aside.Take a slice of bread, place enough filling and press it tightly with another slice. Likewise, prepare the other 3 sets of the sandwich.Heat butter in a skillet on medium flame, place a set of sandwich, cook until the bottom turns golden brown. Flip over and cook the other side too.Similarly, grill the other three sets of sandwiches in the skillet with enough butter.Serve the Onion and Cheese Pepper Sandwich Recipe in kids lunch box or as an after school snack along with a fruit smoothie.
</t>
  </si>
  <si>
    <t>Para preparar la receta del Sándwich de Cebolla, Queso y Pimiento, toma un tazón mediano, agrega el queso rallado, la cebolla finamente picada, la pimienta negra en polvo y el orégano. Mezcla bien todos los ingredientes y reserva. Toma una rebanada de pan, coloca suficiente relleno y presiónala firmemente con otra rebanada. Prepara de la misma manera los otros tres sándwiches. Calienta la mantequilla en una sartén a fuego medio, coloca un sándwich y cocina hasta que la base esté dorada. Dale la vuelta y cocina también el otro lado. De igual manera, asa los otros tres sándwiches en la sartén con suficiente mantequilla. Sirve la receta del Sándwich de Cebolla, Queso y Pimiento en la lonchera de los niños o como refrigerio después de la escuela, junto con un batido de frutas.</t>
  </si>
  <si>
    <t>Pour préparer le sandwich au fromage et aux poivrons, prenez un bol moyen, ajoutez le fromage râpé, les oignons finement hachés, le poivre noir en poudre et l'origan. Mélangez bien tous les ingrédients et réservez. Prenez une tranche de pain, disposez-y suffisamment de garniture et tassez-la fermement avec une autre tranche. Préparez de la même manière les trois autres sandwichs. Faites chauffer le beurre dans une poêle à feu moyen, placez un sandwich et faites-le dorer jusqu'à ce que le dessous soit doré. Retournez-le et faites-le cuire de l'autre côté. Faites de même, grillez les trois autres sandwichs dans la même poêle avec suffisamment de beurre. Servez le sandwich au fromage et aux poivrons dans la boîte à lunch des enfants ou comme goûter après l'école, accompagné d'un smoothie aux fruits.</t>
  </si>
  <si>
    <t>https://www.archanaskitchen.com/onion-and-cheese-pepper-sandwich-recipe</t>
  </si>
  <si>
    <t>Radish Sandwich Recipe</t>
  </si>
  <si>
    <t>Rezept für ein Radieschen-Sandwich</t>
  </si>
  <si>
    <t>Recette de sandwich au radis</t>
  </si>
  <si>
    <t>Receta de sándwich de rábano</t>
  </si>
  <si>
    <t>4 pains complets bruns, 1 Mooli/Mullangi (radis), 1/2 poivron vert (Capsicum) - coupé en julienne, 1 cuillère à café de poudre de poivre noir, 1 cuillère à café de poudre de Chaat Masala, 1 piment vert - finement haché, 2 cuillères à soupe de fromage - râpé, 2 cuillères à soupe de beurre, sel - au goût</t>
  </si>
  <si>
    <t>4 Whole Wheat Brown Bread,1 Mooli/ Mullangi (Radish),1/2 Green Bell Pepper (Capsicum) - julienned,1 teaspoon Black pepper powder,1 teaspoon Chaat Masala Powder,1 Green Chilli - finely chopped,2 tablespoons Cheese - grated,2 tablespoons Butter,Salt - to taste</t>
  </si>
  <si>
    <t>4 panes integrales, 1 mooli/mullangi (rábano), 1/2 pimiento verde (capsicum) - cortado en juliana, 1 cucharadita de pimienta negra en polvo, 1 cucharadita de polvo de chaat masala, 1 chile verde - picado finamente, 2 cucharadas de queso - rallado, 2 cucharadas de mantequilla, sal - al gusto</t>
  </si>
  <si>
    <t xml:space="preserve">To begin making the Radish Sandwich recipe, firstly grate the radish and keep aside.Tightly hold the grated radish in your fist and extract the water from it and discard.To a mixing bowl, add grated radish, black pepper powder, chat masala, finely chopped green chilli and salt and mix well.Now let us assemble the sandwich.Take a bread slice, apply some butter to it.Spread grated radish mixture on this. Top this with 3-4 capsicum juliennes.Sprinkle grated cheese all over it. Close this with other slice of bread.Similarly assemble the other sandwiches. Grill the sandwiches in a grill pan for 5 minutes or till the bread slices appear brownish and crispy.Cut it into bite sized pieces and serve hot. So make this yummy Radish Sandwich and serve it with Tomato Garlic Chutney, Dhaniya Pudina Chutney or any other chutney of your choice.
</t>
  </si>
  <si>
    <t>Para empezar a hacer la receta del Sándwich de Rábano, primero ralla el rábano y resérvalo. Sujeta firmemente el rábano rallado en tu puño, extrae el agua y deséchala. En un bol, añade el rábano rallado, la pimienta negra en polvo, el chat masala, el chile verde finamente picado y la sal, y mezcla bien. Ahora vamos a armar el sándwich. Toma una rebanada de pan, úntale un poco de mantequilla. Unta la mezcla de rábano rallado encima. Cúbrela con 3 o 4 julianas de pimiento. Espolvorea queso rallado por encima. Cierra con la otra rebanada de pan. Arma los demás sándwiches de forma similar. Asa los sándwiches en una parrilla durante 5 minutos o hasta que las rebanadas de pan se vean doradas y crujientes. Córtalos en trozos pequeños y sírvelos calientes. Así que prepara este delicioso Sándwich de Rábano y sírvelo con Chutney de Tomate y Ajo, Chutney Dhaniya Pudina o cualquier otro chutney de tu elección.</t>
  </si>
  <si>
    <t>Pour commencer à préparer la recette du sandwich au radis, râpez d'abord le radis et réservez-le. Tenez fermement le radis râpé dans votre poing, extrayez-en l'eau et jetez-la. Dans un saladier, ajoutez le radis râpé, le poivre noir en poudre, le chat masala, le piment vert finement haché et le sel et mélangez bien. Maintenant, assemblons le sandwich. Prenez une tranche de pain, appliquez-y un peu de beurre. Étalez le mélange de radis râpé dessus. Garnissez de 3 à 4 juliennes de poivron. Saupoudrez de fromage râpé. Refermez avec l'autre tranche de pain. Assemblez les autres sandwichs de la même manière. Faites griller les sandwichs dans une poêle à griller pendant 5 minutes ou jusqu'à ce que les tranches de pain soient dorées et croustillantes. Coupez-les en morceaux de la taille d'une bouchée et servez chaud. Préparez donc ce délicieux sandwich au radis et servez-le avec du chutney à la tomate et à l'ail, du chutney Dhaniya Pudina ou tout autre chutney de votre choix.</t>
  </si>
  <si>
    <t>https://www.archanaskitchen.com/radish-sandwich-recipe</t>
  </si>
  <si>
    <t>Baked Salmon Recipe Flavored With Herbs And Tartare Dip</t>
  </si>
  <si>
    <t>Rezept für gebackenen Lachs mit Kräutern und Tartar-Dip</t>
  </si>
  <si>
    <t>Recette de saumon au four avec herbes et sauce tartare</t>
  </si>
  <si>
    <t>Receta de salmón al horno con hierbas y salsa tártara</t>
  </si>
  <si>
    <t>1 filet de saumon (j'ai utilisé du norvégien), sel (au goût), 1 cuillère à café de poivre noir en poudre, 4 cuillères à soupe d'herbes fraîches (j'ai utilisé de l'aneth), 4 cuillères à soupe de sauce tartare Del Monte, beurre (ou huile d'olive pour graisser)</t>
  </si>
  <si>
    <t>1 Salmon fillet - (I used Norwegian),Salt - to taste,1 teaspoon Black pepper powder,4 tablespoons Fresh Herbs - (I used dill,4 tablespoons Del Monte Tartare Dip,Butter - or olive oil to grease</t>
  </si>
  <si>
    <t>1 filete de salmón (yo usé noruego), sal (a gusto), 1 cucharadita de pimienta negra en polvo, 4 cucharadas de hierbas frescas (yo usé eneldo), 4 cucharadas de salsa tártara Del Monte, mantequilla (o aceite de oliva para engrasar)</t>
  </si>
  <si>
    <t xml:space="preserve">To begin making the Baked Salmon Recipe Flavored with Herbs and Tartare Dip, clean the Salmon fillet. Pat it with a kitchen towel.Spray olive oil or brush butter over an aluminum foil. Place the salmon fillet on top.Sprinkle salt and pepper over the fillet and rub it to spread evenly all over the fillet and on both sides.Spread DelMonte Tartare Dip over the salmon fillet, evenly and on both sides. Now sprinkle the fresh chopped herbs.Bake the salmon in a preheated oven at 170 C for about 15 to 20 minutes or until Salmon fillet is cooked through.Remove the Salmon fillet from oven once cooked and let it rest in the same pan for about 5 minutes.Once done, remove the baked salmon and serve it hot with some roasted baby potatoes.Serve the Baked Salmon Recipe Flavored with Herbs and Tartare Dip and serve as a side dish for dinner or even as a starter for parties along with a party meal of Tofu Parmigiana Recipe with Spaghetti and Tomato Basil Sauce and Tiramisu Recipe .
</t>
  </si>
  <si>
    <t>Para empezar a preparar la receta de salmón al horno con hierbas y salsa tártara, limpia el filete de salmón. Sécalo con un paño de cocina. Rocía aceite de oliva o unta mantequilla sobre papel aluminio. Coloca el filete de salmón encima. Espolvorea sal y pimienta sobre el filete y frótala para que se extienda uniformemente por todo el filete y por ambos lados. Unta la salsa tártara DelMonte sobre el filete de salmón, uniformemente y por ambos lados. Ahora espolvorea las hierbas frescas picadas. Hornea el salmón en un horno precalentado a 170 °C durante unos 15 a 20 minutos o hasta que el filete de salmón esté bien cocido. Retira el filete de salmón del horno una vez cocido y déjalo reposar en la misma sartén durante unos 5 minutos. Una vez hecho esto, retira el salmón horneado y sírvelo caliente con unas patatas baby asadas. Sirve la Receta de Salmón al Horno con Sabor a Hierbas y Salsa Tártara y sírvela como guarnición para la cena o incluso como entrante para fiestas junto con una comida de fiesta de la Receta de Tofu a la Parmesana con Espaguetis y Salsa de Tomate y Albahaca y la Receta de Tiramisú.</t>
  </si>
  <si>
    <t>Pour commencer à préparer la recette de saumon cuit au four aromatisé aux herbes et à la trempette tartare, nettoyez le filet de saumon. Tamponnez-le avec un torchon de cuisine. Vaporisez de l'huile d'olive ou badigeonnez de beurre une feuille d'aluminium. Placez le filet de saumon dessus. Saupoudrez de sel et de poivre sur le filet et frottez-le pour l'étaler uniformément sur tout le filet et des deux côtés. Étalez la trempette tartare DelMonte sur le filet de saumon, uniformément et des deux côtés. Saupoudrez maintenant les herbes fraîches hachées. Faites cuire le saumon dans un four préchauffé à 170 °C pendant environ 15 à 20 minutes ou jusqu'à ce que le filet de saumon soit bien cuit. Retirez le filet de saumon du four une fois cuit et laissez-le reposer dans la même poêle pendant environ 5 minutes. Une fois cuit, retirez le saumon cuit et servez-le chaud avec des pommes de terre grenaille rôties. Servez la recette de saumon cuit au four aromatisé aux herbes et à la trempette tartare comme plat d'accompagnement pour le dîner ou même comme entrée pour les fêtes avec un repas de fête composé de la recette de tofu parmigiana avec spaghetti et sauce tomate basilic et de la recette de tiramisu.</t>
  </si>
  <si>
    <t>https://www.archanaskitchen.com/baked-salmon-recipe-flavored-with-herbs-and-tartare-dip</t>
  </si>
  <si>
    <t>Bread Boats Recipe Filled With Spinach, Eggs And Sandwich Spread</t>
  </si>
  <si>
    <t>Rezept für Brotboote gefüllt mit Spinat, Eiern und Brotaufstrich</t>
  </si>
  <si>
    <t>Recette de bateaux de pain farcis aux épinards, aux œufs et à la pâte à tartiner</t>
  </si>
  <si>
    <t>Receta de barquitos de pan rellenos de espinacas, huevos y untable</t>
  </si>
  <si>
    <t>4 bûches de pain croustillantes (environ 15 cm), feuilles d'épinards (Palak) - un bouquet finement haché, 1 oignon - finement haché, 2 ails - finement hachés, 4 cuillères à soupe de pâte à tartiner Del Monte, 3 œufs entiers - fouettés, 2 cuillères à café de grains de poivre noir entiers - écrasés, 2 cuillères à café d'huile d'olive extra vierge, sel - au goût, 1/4 cuillère à café de sucre, 5 tomates cerises - pour garnir, 2 cuillères à soupe de beurre - fondu (facultatif)</t>
  </si>
  <si>
    <t>4 Crusty bread log - (about 6 inches),Spinach Leaves (Palak) - a bunch finely chopped,1 Onion - finely chopped,2 Garlic - finely minced,4 tablespoon Del Monte Sandwich Spread,3 Whole Eggs - whisked,2 teaspoon Whole Black Peppercorns - crushed,2 teaspoon Extra Virgin Olive Oil,Salt - to taste,1/4 teaspoon Sugar,5 Cherry tomatoes - to garnish,2 tablespoon Butter - melted (optional)</t>
  </si>
  <si>
    <t>4 panes crujientes (de aproximadamente 6 pulgadas), hojas de espinaca (Palak) - un manojo finamente picado, 1 cebolla - finamente picada, 2 ajos - finamente picados, 4 cucharadas de Del Monte Sandwich Spread, 3 huevos enteros - batidos, 2 cucharaditas de granos de pimienta negra enteros - triturados, 2 cucharaditas de aceite de oliva virgen extra, sal - al gusto, 1/4 cucharadita de azúcar, 5 tomates cherry - para decorar, 2 cucharadas de mantequilla - derretida (opcional)</t>
  </si>
  <si>
    <t xml:space="preserve">To begin making the Bread Boats filled with Spinach, Eggs &amp; Del Monte Sandwich Spread, first heat oil in a pan.Once the oil is hot add garlic and onion and sauté for a few seconds till the onions turn translucent.Once done add the spinach, sprinkle salt and sauté till the spinach just wilts. Turn off the heat and let it cool.After the spinach has cooled add the whisked egg, Del Monte sandwich spread, pepper and sugar to the spinach mixture.Preheat the oven to 200 degree Celsius.Cut out an oval from the top of the bread. Scoop/pull out the bread in the center to create a cavity, leaving the sides intact.Brush the sides of the bread with butter, if using.Place the hollow bread boats on lightly greased or lined baking sheet.Add about 3 to 4 tablespoons of the filling to the bread cavities.This quantity may change depending on the size and type of bread used.Bake the Bread Boats filled with Spinach, Eggs &amp; Del Monte Sandwich Spread  for about 15 to 20 minutes till eggs just set. Garnish with sliced/halved cherry tomatoes and onion greens. Cut and serve Bread Boats filled With Spinach, Eggs &amp; Del Monte Sandwich Spread immediately.Serve Bread Boats Filled With Spinach, Eggs And Sandwich Spread along with Hot Masala Chai or Espresso Coffee  and Fresh Fruit Bowl for a lovely breakfast or brunch.
</t>
  </si>
  <si>
    <t>Para preparar los barquitos de pan rellenos de espinacas, huevos y pasta Del Monte, primero calienta aceite en una sartén. Una vez caliente, añade el ajo y la cebolla y sofríe unos segundos hasta que la cebolla esté translúcida. Una vez listos, añade las espinacas, espolvorea con sal y sofríe hasta que se ablanden. Apaga el fuego y deja enfriar. Una vez frías las espinacas, añade el huevo batido, la pasta Del Monte, la pimienta y el azúcar a la mezcla. Precalienta el horno a 200 °C. Corta un óvalo en la parte superior del pan. Saque el pan por el centro para crear una cavidad, dejando los lados intactos. Unte los lados del pan con mantequilla, si la usa. Coloque los barquitos de pan huecos en una bandeja para hornear ligeramente engrasada o forrada. Agregue de 3 a 4 cucharadas del relleno a las cavidades del pan. Esta cantidad puede variar según el tamaño y el tipo de pan utilizado. Hornee los barquitos de pan rellenos de espinacas, huevos y pasta para sándwiches Del Monte durante unos 15 a 20 minutos hasta que los huevos estén cuajados. Decore con tomates cherry rebanados o cortados por la mitad y hojas de cebolla. Corte y sirva los barquitos de pan rellenos de espinacas, huevos y pasta para sándwiches Del Monte inmediatamente. Sirva los barquitos de pan rellenos de espinacas, huevos y pasta para sándwiches junto con un Masala Chai caliente o un café expreso y un tazón de fruta fresca para un delicioso desayuno o brunch.</t>
  </si>
  <si>
    <t>Pour préparer les pains-bateaux garnis d'épinards, d'œufs et de pâte à tartiner Del Monte, faites chauffer l'huile dans une poêle. Une fois l'huile chaude, ajoutez l'ail et l'oignon et faites-les revenir quelques secondes jusqu'à ce que les oignons deviennent translucides. Ajoutez ensuite les épinards, salez et faites-les revenir jusqu'à ce qu'ils soient tendres. Éteignez le feu et laissez refroidir. Une fois les épinards refroidis, ajoutez l'œuf battu, la pâte à tartiner Del Monte, le poivre et le sucre au mélange d'épinards. Préchauffez le four à 200 °C. Découpez un ovale sur le dessus du pain. Creusez/retirez le pain au centre pour créer une cavité, en laissant les côtés intacts. Badigeonnez les côtés du pain de beurre, si vous en utilisez. Placez les bateaux à pain creux sur une plaque à pâtisserie légèrement graissée ou tapissée. Ajoutez environ 3 à 4 cuillères à soupe de garniture dans les cavités du pain. Cette quantité peut varier en fonction de la taille et du type de pain utilisé. Faites cuire les bateaux à pain remplis d'épinards, d'œufs et de tartinade à sandwich Del Monte pendant environ 15 à 20 minutes jusqu'à ce que les œufs soient pris. Garnissez de tomates cerises coupées en deux ou en tranches et de feuilles d'oignon. Coupez et servez les bateaux à pain remplis d'épinards, d'œufs et de tartinade à sandwich Del Monte immédiatement. Servez les bateaux à pain remplis d'épinards, d'œufs et de tartinade à sandwich avec du Masala Chai chaud ou du café expresso et un bol de fruits frais pour un délicieux petit-déjeuner ou un brunch.</t>
  </si>
  <si>
    <t>https://www.archanaskitchen.com/bread-boats-filled-with-spinach-eggs-and-sandwich-spread-recipe</t>
  </si>
  <si>
    <t>Whole Wheat Roasted Vegetable Pizza Pockets Recipe</t>
  </si>
  <si>
    <t>Rezept für Pizzataschen aus geröstetem Vollkorngemüse</t>
  </si>
  <si>
    <t>Recette de pizzas à base de légumes complets rôtis</t>
  </si>
  <si>
    <t>Receta de pizza de verduras integrales asadas</t>
  </si>
  <si>
    <t>1 courgette jaune coupée en dés, 1 courgette verte coupée en dés, 1 poivron jaune coupé en dés, 1 poivron rouge coupé en dés, 1 oignon grossièrement coupé, sel de mer au goût, poivre noir en poudre au goût, 1 cuillère à café d'origan séché, 1 cuillère à café de feuilles de basilic séchées, 1 cuillère à café de flocons de piment rouge, huile d'olive extra vierge pour arroser, 3-1/2 farine de blé entier (plus 1/2 tasse), 3 cuillères à soupe d'huile d'olive extra vierge, 10 grammes de levure sèche active, 1 cuillère à soupe de sucre, 1/2 tasse de lait, 1/2 tasse d'eau (plus 1-1/2 tasse), 2 cuillères à café de feuilles de basilic séchées, mozzarella râpée au besoin, sauce pour pizza et pâtes maison (au besoin), assaisonnement italien au besoin</t>
  </si>
  <si>
    <t>1 Yellow Zucchini - cubed,1 Green zucchini - cubed,1 Yellow Bell Pepper (Capsicum) - diced,1 Red Bell pepper (Capsicum) - diced,1 Onion - roughly cut,Sea salt - to taste,Black pepper powder - to taste,1 teaspoon Dried oregano,1 teaspoon Dried basil leaves,1 teaspoon Red Chilli flakes,Extra Virgin Olive Oil - for drizzling,3-1/2 Whole Wheat Flour - +1/2 cup more,3 tablespoon Extra Virgin Olive Oil,10 grams Active dry yeast,1 tablespoon Sugar,1/2 cup Milk,1/2 cup Water - + 1-1/2 cup more,2 teaspoon Dried basil leaves,Mozzarella cheese - grated as required,Homemade Pizza And Pasta Sauce - as required,Italian seasoning - as required</t>
  </si>
  <si>
    <t>1 calabacín amarillo en cubos, 1 calabacín verde en cubos, 1 pimiento amarillo en cubos, 1 pimiento rojo en cubos, 1 cebolla cortada gruesa, sal marina al gusto, pimienta negra en polvo al gusto, 1 cucharadita de orégano seco, 1 cucharadita de hojas de albahaca seca, 1 cucharadita de hojuelas de chile rojo, aceite de oliva virgen extra para rociar, 3-1/2 harina integral + 1/2 taza más, 3 cucharadas de aceite de oliva virgen extra, 10 gramos de levadura seca activa, 1 cucharada de azúcar, 1/2 taza de leche, 1/2 taza de agua + 1-1/2 taza más, 2 cucharaditas de hojas de albahaca seca, queso mozzarella rallado al gusto, salsa casera para pizza y pasta al gusto, condimento italiano al gusto</t>
  </si>
  <si>
    <t xml:space="preserve">To begin making the Whole Wheat Roasted Vegetable Pizza Pockets Recipe, first preheat the oven at 200 degrees C for 20 minutes.Then, proceed to prep the vegetables for roasting. In a bowl, combine together green and yellow zucchini, yellow and red pepper, onion, oregano, basil and liberally drizzle the olive oil.Toss the veggies thoroughly until they are all well coated with the herbs and oil. Pour them onto a lined baking sheet and spread them out evenly.Season with sea salt and black pepper. Place the sheet in the oven to roast, for 20 minutess.When the vegetables are roasted, take them out and set aside to cool. Then, mix a teaspoon full of chilli flakes into the roasted vegetables and keep it aside for later use.To prepare the pizza dough warm together 1/2 cup of water and 1/2 cup of milk. It should be slightly warm, not scalding.In a large bowl, add warm water milk mixture and sugar. Mix well. Add 1/2 cup of flour and instant yeast. Mix to form a paste.Cover with a cling film and keep it in a warm place for an hour. The mixture will become frothy after an hour.In the same bowl, add 3 tablespoon of olive oil, basil, oregano, salt, 3-1/2 cup flour, 1-1/2 cup of water. Mix everything and start kneading the mixture until it comes together in to a manageable dough.Once the mixture forms a dough, transfer it on a clean counter and knead the dough with the heels of your palm for 8 to 10 mins. The dough will become soft, pliable and manageable.Oil the dough and place it in a large bowl. Cover with a cling wrap or damp kitchen towel and keep it in a warm place for 1-1/2 to 2 hours to rise.The dough will double in size and rise during this time. After that punch punch the dough down, transfer it on to the counter and knead it for another 2 to 3 mins. If the dough is sticky, you can dust it with flour. Divide the dough into six equal parts. Take one part and roll it out into a disc of about 13 to 14 inches of diameter with the thickness of approximately 6 to 7 mm.Now, depending upon the size and shape of the pizza pockets you prefer, cut out smaller circles from the rolled disc. I preferred making them circles of 3 to 4 inches of diameter.Take one cut circle, spread a teaspoon pizza sauce over it. Place a teaspoon of roasted vegetables over the sauce and top with grated mozzarella.Sprinkle little Italian seasoning on top. The sauce, stuffing and cheese quantity will vary based on the size and shape of pocket you choose but remember to do it just right, do not overfill or under fill it.Please ensure that you place the filling in the centre such that you leave 1 cm space at the edges to fold.Place another cut circle on top of the stuffing such that it is completely covered and press the edges to seal it well either using a fork or twist with fingers to form a pattern.Gently snip a small hole on the top to allow the steam from the filling to flow out when baked. Make all the pockets in the same way.Gently place these prepared pizza pockets on a baking tray lined with parchment paper.When the dough is finished, bake these pockets in a pre-heated oven at 200 degrees centigrade for 12-15 mins or until they are light golden brown and baked well.Take them out of the oven and serve warm.Serve the Whole Wheat Roasted Vegetable Pizza Pockets along with other appetisers such as Mustard Mayo Baby Potatoes and KFC Style Crispy Chicken Popcorn for your house parties with a glass of wine or chilled beer.
</t>
  </si>
  <si>
    <t>Para preparar la receta de Pizza Pockets de Verduras Asadas con Trigo Integral, precalienta el horno a 200 °C durante 20 minutos. Luego, prepara las verduras para asar. En un tazón, mezcla el calabacín verde y amarillo, el pimiento amarillo y rojo, la cebolla, el orégano, la albahaca y rocía generosamente con aceite de oliva. Revuelve bien las verduras hasta que estén bien cubiertas con las hierbas y el aceite. Viértelas en una bandeja para hornear forrada y extiéndelas uniformemente. Sazona con sal marina y pimienta negra. Coloca la bandeja en el horno para asar durante 20 minutos. Cuando las verduras estén asadas, sácalas y déjalas enfriar. Luego, mezcla una cucharadita de hojuelas de chile con las verduras asadas y resérvalas para usarlas más tarde. Para preparar la masa de pizza, calienta 1/2 taza de agua y 1/2 taza de leche. Debe estar ligeramente tibia, no hirviendo. En un tazón grande, agrega la mezcla de agua, leche y azúcar. Mezcla bien. Añade 1/2 taza de harina y levadura instantánea. Mezcla hasta formar una pasta. Cubre con film transparente y déjala en un lugar cálido durante una hora. La mezcla se volverá espumosa después de una hora. En el mismo bol, añade 3 cucharadas de aceite de oliva, albahaca, orégano, sal, 3-1/2 tazas de harina, 1-1/2 tazas de agua. Mezcla todo y empieza a amasar hasta formar una masa manejable. Una vez que la mezcla forme una masa, transfiérela a una encimera limpia y amásala con la palma de la mano durante 8 a 10 minutos. La masa se volverá suave, flexible y manejable. Engrasa la masa y colócala en un bol grande. Cubre con film transparente o una toalla de cocina húmeda y déjala en un lugar cálido durante 1-1/2 a 2 horas para que suba. La masa duplicará su tamaño y subirá durante este tiempo. Después de eso, golpea la masa hacia abajo, transfiérela a la encimera y amásala durante otros 2 a 3 minutos. Si la masa está pegajosa, puedes espolvorearla con harina. Divide la masa en seis partes iguales. Toma una parte y extiéndela hasta formar un disco de unos 33 a 35 cm de diámetro y unos 6 a 7 mm de grosor. Ahora, según el tamaño y la forma que prefieras para las pizzas, corta círculos más pequeños del disco. Yo preferí círculos de 7 a 10 cm de diámetro. Toma un círculo cortado y úntalo con una cucharadita de salsa para pizza. Coloca una cucharadita de verduras asadas sobre la salsa y cúbrelo con mozzarella rallada. Espolvorea un poco de condimento italiano por encima. La cantidad de salsa, relleno y queso variará según el tamaño y la forma del bolsillo que elijas, pero recuerda hacerlo bien, no lo llenes demasiado ni de menos. Asegúrate de colocar el relleno en el centro de modo que dejes 1 cm de espacio en los bordes para doblar. Coloca otro círculo cortado encima del relleno de modo que quede completamente cubierto y presiona los bordes para sellarlo bien, ya sea con un tenedor o girando con los dedos para formar un patrón. Corta con cuidado un pequeño agujero en la parte superior para permitir que salga el vapor del relleno cuando se hornee. Prepara todos los bolsillos de la misma manera. Coloca con cuidado los bolsillos de pizza preparados en una bandeja para hornear forrada con papel pergamino. Cuando la masa esté lista, hornea estos bolsillos en un horno precalentado a 200 grados centígrados durante 12-15 minutos o hasta que estén ligeramente dorados y bien horneados. Sácalos del horno y sírvelos calientes. Sirve los bolsillos de pizza integrales con vegetales asados ​​junto con otros aperitivos como papas baby con mostaza y mayonesa y palomitas de maíz crujientes con pollo al estilo KFC para tus fiestas en casa con una copa de vino o una cerveza fría.</t>
  </si>
  <si>
    <t>Pour préparer la recette des Pizzas aux Légumes Rôtis au Blé Complet, préchauffez le four à 200 °C pendant 20 minutes. Ensuite, préparez les légumes. Dans un bol, mélangez les courgettes vertes et jaunes, les poivrons jaunes et rouges, l'oignon, l'origan, le basilic et arrosez généreusement d'huile d'olive. Mélangez bien les légumes jusqu'à ce qu'ils soient bien enrobés d'herbes et d'huile. Versez-les sur une plaque de cuisson recouverte de papier sulfurisé et étalez-les uniformément. Assaisonnez de sel marin et de poivre noir. Enfournez pour 20 minutes. Une fois les légumes rôtis, sortez-les et laissez-les refroidir. Ajoutez ensuite une cuillère à café de flocons de piment aux légumes rôtis et réservez. Pour la pâte à pizza, faites chauffer 120 ml d'eau et 120 ml de lait. La pâte doit être tiède, mais pas bouillante. Dans un grand bol, ajoutez le mélange eau-lait et sucre. Bien mélanger. Ajoutez 120 ml de farine et la levure instantanée. Mélangez jusqu'à obtenir une pâte. Couvrez d'un film alimentaire et réservez dans un endroit chaud pendant une heure. Le mélange deviendra mousseux au bout d'une heure. Dans le même bol, ajoutez 3 cuillères à soupe d'huile d'olive, le basilic, l'origan, le sel, 900 ml de farine et 300 ml d'eau. Mélangez le tout et commencez à pétrir jusqu'à obtenir une pâte homogène. Une fois la pâte formée, transférez-la sur un plan de travail propre et pétrissez-la avec la paume de la main pendant 8 à 10 minutes. La pâte deviendra souple, malléable et malléable. Huilez la pâte et placez-la dans un grand bol. Couvrez-la d'un film alimentaire ou d'un torchon humide et laissez-la lever dans un endroit chaud pendant 1 heure 30 à 2 heures. La pâte doublera de volume et lèvera pendant ce temps. Ensuite, dégazez la pâte, transférez-la sur le plan de travail et pétrissez-la encore 2 à 3 minutes. Si la pâte est collante, vous pouvez la fariner. Divisez la pâte en six parts égales. Prenez une part et étalez-la en un disque d'environ 33 à 35 cm de diamètre et 6 à 7 mm d'épaisseur. Ensuite, selon la taille et la forme des pizzas que vous préférez, découpez des cercles plus petits dans le disque étalé. J'ai préféré des cercles de 7,5 à 10 cm de diamètre. Prenez un cercle découpé, étalez-y une cuillère à café de sauce à pizza. Disposez une cuillère à café de légumes rôtis sur la sauce et garnissez de mozzarella râpée. Saupoudrez d'un peu d'assaisonnement italien. La quantité de sauce, de farce et de fromage variera en fonction de la taille et de la forme de la poche que vous choisissez, mais n'oubliez pas de le faire correctement, ne la remplissez pas trop ou pas assez. Assurez-vous de placer la garniture au centre de manière à laisser 1 cm d'espace sur les bords pour plier. Placez un autre cercle coupé sur la farce de manière à ce qu'il soit complètement recouvert et appuyez sur les bords pour bien le sceller, soit à l'aide d'une fourchette, soit en le tournant avec les doigts pour former un motif. Découpez délicatement un petit trou sur le dessus pour permettre à la vapeur de la garniture de s'écouler une fois cuite. Préparez toutes les poches de la même manière. Placez délicatement ces poches à pizza préparées sur une plaque de cuisson recouverte de papier sulfurisé. Lorsque la pâte est terminée, faites cuire ces poches dans un four préchauffé à 200 degrés centigrades pendant 12 à 15 minutes ou jusqu'à ce qu'elles soient légèrement dorées et bien cuites. Sortez-les du four et servez chaud. Servez les poches à pizza aux légumes rôtis au blé entier avec d'autres entrées telles que des pommes de terre grenaille à la moutarde et à la mayonnaise et du pop-corn au poulet croustillant style KFC pour vos fêtes à la maison avec un verre de vin ou une bière fraîche.</t>
  </si>
  <si>
    <t>http://www.archanaskitchen.com/whole-wheat-roasted-vegetable-pizza-pockets-recipe</t>
  </si>
  <si>
    <t>Paneer Sizzler Recipe In Chilli Garlic Sauce With Rice</t>
  </si>
  <si>
    <t>Paneer Sizzler Rezept in Chili-Knoblauch-Sauce mit Reis</t>
  </si>
  <si>
    <t>Recette de Paneer Sizzler à la sauce chili-ail avec du riz</t>
  </si>
  <si>
    <t>Receta de Paneer Sizzler en salsa de ajo y chile con arroz</t>
  </si>
  <si>
    <t>1 cuillère à café d'huile de sésame (gingembre), 4 gousses d'ail - finement hachées ou râpées, 2 tomates blanchies - réduites en purée, 3 cuillères à café de sauce au piment rouge, 2 tasses d'eau, 2 cuillères à café de farine de maïs - mélanger avec 2 cuillères à soupe de fécule de maïs, 1 cuillère à café de sucre, 1/4 tasse de légumes mélangés - hachés, sel - au goût, 1 tasse de riz basmati - tremper pendant 30 minutes, 1 oignon - finement haché, 1 carotte (gajjar) - finement hachée, 5-6 haricots verts (haricots verts) - finement hachés, 1/4 tasse de poivrons rouges, jaunes et verts (capsicum) - finement hachés, 2 piments verts - finement hachés (ajuster), 1 cuillère à café de pâte d'ail et de gingembre, 2 cuillères à café d'huile de sésame (gingembre), sel - au goût, 200 grammes de paneer (fromage cottage fait maison) - en cubes, 1 oignon - en dés, 1 carotte (gajjar) - en dés et blanchie, 1 tomate - épépinée et coupé en dés, 1/2 chou-fleur (gobi) - coupé en fleurons et blanchi, 1/4 tasse de maïs doux - blanchi, 7 haricots verts (haricots verts) - coupés en morceaux de 3 pouces, 2 cuillères à café d'huile de tournesol, 1/2 cuillère à café de grains de poivre noir entiers - pilés, sel - au goût, 1/4 tasse de feuilles d'oignons nouveaux - finement hachées, chou (Patta Gobi/Muttaikose) - quelques feuilles, 1 cuillère à café de beurre</t>
  </si>
  <si>
    <t>1 teaspoon Sesame (Gingelly) Oil,4 cloves Garlic - finely chopped or grated,2 Blanched tomatoes - pureed,3 teaspoons Red Chilli sauce,2 cups Water,2 teaspoons Corn flour - mix with 2 tablespoon cornflour,1 teaspoon Sugar,1/4 cup Mixed vegetables - chopped,Salt - to taste,1 cup Basmati rice - soak for 30 minutes,1 Onion - finely chopped,1 Carrot (Gajjar) - finely chopped,5-6 Green beans (French Beans) - finely chopped,1/4 cup Red Yellow and Green Bell Peppers (Capsicum) - finely chopped,2 Green Chillies - finely chopped (adjust),1 teaspoon Ginger Garlic Paste,2 teaspoons Sesame (Gingelly) Oil,Salt - to taste,200 grams Paneer (Homemade Cottage Cheese) - cubed,1 Onion - diced,1 Carrot (Gajjar) - diced &amp; blanched,1 Tomato - deeseeded &amp; diced,1/2 Cauliflower (gobi) - cut to florets &amp; blanched,1/4 cup Sweet corn - blanched,7 Green beans (French Beans) - cut to 3 inch pieces,2 teaspoons Sunflower Oil,1/2 teaspoon Whole Black Peppercorns - pounded,Salt - to taste,1/4 cup Spring Onion Greens - finely chopped,Cabbage (Patta Gobi/ Muttaikose) - few leaves,1 teaspoon Butter</t>
  </si>
  <si>
    <t>1 cucharadita de aceite de sésamo (Gingelly), 4 dientes de ajo - finamente picados o rallados, 2 tomates blanqueados - hechos puré, 3 cucharaditas de salsa de chile rojo, 2 tazas de agua, 2 cucharaditas de harina de maíz - mezclar con 2 cucharadas de harina de maíz, 1 cucharadita de azúcar, 1/4 taza de verduras mixtas - picadas, sal - al gusto, 1 taza de arroz basmati - remojar durante 30 minutos, 1 cebolla - finamente picada, 1 zanahoria (Gajjar) - finamente picada, 5-6 judías verdes (judías verdes) - finamente picadas, 1/4 taza de pimientos morrones rojos amarillos y verdes (Capsicum) - finamente picados, 2 chiles verdes - finamente picados (ajustar), 1 cucharadita de pasta de ajo y jengibre, 2 cucharaditas de aceite de sésamo (Gingelly), sal - al gusto, 200 gramos de paneer (requesón casero) - en cubos, 1 cebolla - en cubos, 1 zanahoria (Gajjar) - en cubos y blanqueada, 1 tomate - desgranado y cortado en cubitos, 1/2 coliflor (gobi) - cortada en floretes y blanqueada, 1/4 taza de maíz dulce - blanqueado, 7 judías verdes (judías verdes) - cortadas en trozos de 3 pulgadas, 2 cucharaditas de aceite de girasol, 1/2 cucharadita de granos de pimienta negra enteros - machacados, sal - al gusto, 1/4 taza de cebolletas verdes - finamente picadas, repollo (Patta Gobi/ Muttaikose) - algunas hojas, 1 cucharadita de mantequilla</t>
  </si>
  <si>
    <t xml:space="preserve">To begin making the  Paneer Sizzler Recipe In Chilli Garlic Sauce With Rice, we will first roast the vegetablesHeat a wide pan with oil and roast the paneer till it is golden brown on both sides. Remove from pan and keep aside. Next in the same pan add the carrots, cauliflower, onions, green beans, salt and pepper and saute for a few minutes on high till they are nearly done. At this stage add the tomatoes and corn and saute till the vegetables are done and well roasted. They vegetables should still have a bite to them and yet be cooked.Once done turn off the heat and keep them aside.To make the Chilli garlic sauceHeat a pan over low flame and add garlic.Saute for 1-2 minutes or till the garlic is light brown and immediately add the chopped vegetables like the onions, carrots, green beans, green chillis  and saute for three to four minutes till the vegetables are cooked.Once the vegetables are cooked, add the tomato puree, sugar, salt and allow the mixture to cook for 3-4 minutes over low flame.Now add water and the corn flour mixture.Once the mixture thickens, switch off and garnish with some spring onion leaves.To make the rice:Heat a pan with oil.Add the ginger garlic paste, green chillies and fry for 1 minute over medium flame.Add the chopped vegetables and give it a good mix.Once the vegetables are cooked, add the rice , salt and mix well to combine.Switch off and garnishTo assemble the sizzlerGrease the sizzler pan with butter.Line the pan with cabbage leaves.Place the pan on the gas stove over low heat.As the sizzler pan is heating, arrange the roasted vegetables, and rice.Heat the chilli garlic sauce and when the pan is screaming hot , pour it over the paneer and roasted vegetables.Switch off the gas and add a 1/2 teaspoon of melted butter on the sides of the pan and this will help it to sizzle.Carefully lift the sizzler pan and place it on the wooden board ( part of the sizzler pan) and serve it to your family.Serve Paneer Sizzler Recipe In Chilli Garlic Sauce With Rice along with Pomegranate Frozen Margarita and Chocolate Salted Caramel Tart Recipe for a lovely party meal.
</t>
  </si>
  <si>
    <t>Para comenzar a hacer la Receta de Paneer Sizzler en Salsa de Ajo y Chile con Arroz, primero asaremos las verduras. Calentaremos una sartén ancha con aceite y asaremos el paneer hasta que esté dorado por ambos lados. Retírelo de la sartén y reserve. A continuación, en la misma sartén, agregue las zanahorias, la coliflor, las cebollas, las judías verdes, la sal y la pimienta y saltee durante unos minutos a fuego alto hasta que estén casi hechos. En esta etapa, agregue los tomates y el maíz y saltee hasta que las verduras estén hechas y bien asadas. Las verduras aún deben tener un toque de picante y estar cocidas. Una vez hechas, apaga el fuego y déjalas a un lado. Para hacer la salsa de ajo y chile, calienta una sartén a fuego lento y agrega el ajo. Saltea durante 1-2 minutos o hasta que el ajo esté ligeramente dorado e inmediatamente agrega las verduras picadas como las cebollas, las zanahorias, las judías verdes, los chiles verdes y saltea durante tres o cuatro minutos hasta que las verduras estén cocidas. Una vez que las verduras estén cocidas, agrega el puré de tomate, el azúcar, la sal y deja que la mezcla se cocine durante 3-4 minutos a fuego lento. Ahora agrega agua y la mezcla de harina de maíz. Una vez que la mezcla espese, apaga y decora con algunas hojas de cebolleta. Para hacer el arroz: Calienta una sartén con aceite. Agrega la pasta de ajo y jengibre, los chiles verdes y fríe durante 1 minuto a fuego medio. Agrega las verduras picadas y mezcla bien. Una vez que las verduras estén cocidas, agrega el arroz, la sal y mezcla bien para combinar. Apaga y decora. Para armar el sizzler Engrasa la sartén del sizzler con mantequilla. Forra la sartén con hojas de col. Coloque la sartén en la estufa de gas a fuego lento. Mientras se calienta la sartén, disponga las verduras asadas y el arroz. Caliente la salsa de ajo y chile y cuando la sartén esté bien caliente, viértala sobre el paneer y las verduras asadas. Apague el gas y agregue 1/2 cucharadita de mantequilla derretida a los lados de la sartén; esto ayudará a que chisporrotee. Levante con cuidado la sartén y colóquela sobre la tabla de madera (parte de la sartén) y sírvala a su familia. Sirva la Receta de Paneer Sizzler en Salsa de Ajo y Chile con Arroz junto con la Margarita Helada de Granada y la Receta de Tarta de Caramelo Salado de Chocolate para una deliciosa comida de fiesta.</t>
  </si>
  <si>
    <t>Pour commencer à préparer la recette de Paneer Sizzler à la sauce chili à l'ail avec du riz, nous allons d'abord rôtir les légumes. Chauffez une grande poêle avec de l'huile et rôtissez le paneer jusqu'à ce qu'il soit doré des deux côtés. Retirez de la poêle et réservez. Ensuite, dans la même poêle, ajoutez les carottes, le chou-fleur, les oignons, les haricots verts, le sel et le poivre et faites revenir quelques minutes à feu vif jusqu'à ce qu'ils soient presque cuits. À ce stade, ajoutez les tomates et le maïs et faites revenir jusqu'à ce que les légumes soient cuits et bien rôtis. Les légumes doivent encore avoir du mordant tout en étant cuits. Une fois cuits, éteignez le feu et réservez-les. Pour préparer la sauce chili à l'ail, faites chauffer une poêle à feu doux et ajoutez l'ail. Faites sauter pendant 1 à 2 minutes ou jusqu'à ce que l'ail soit légèrement doré, puis ajoutez immédiatement les légumes hachés comme les oignons, les carottes, les haricots verts et les piments verts. Faites sauter pendant trois à quatre minutes jusqu'à ce que les légumes soient cuits. Une fois les légumes cuits, ajoutez la purée de tomates, le sucre, le sel et laissez cuire le mélange pendant 3 à 4 minutes à feu doux. Ajoutez ensuite l'eau et le mélange de farine de maïs. Une fois le mélange épaissi, éteignez le feu et décorez avec quelques feuilles d'oignon vert. Pour préparer le riz : faites chauffer une poêle avec de l'huile. Ajoutez la pâte de gingembre et d'ail, les piments verts et faites revenir pendant 1 minute à feu moyen. Ajoutez les légumes hachés et mélangez bien. Une fois les légumes cuits, ajoutez le riz, le sel et mélangez bien. Éteignez le feu et décorez. Pour assembler le grésillement, graissez le grésillement avec du beurre. Tapissez le poêle avec des feuilles de chou.Placez la poêle sur la cuisinière à gaz à feu doux.Pendant que la poêle à grésiller chauffe, disposez les légumes rôtis et le riz.Faites chauffer la sauce chili à l'ail et lorsque la poêle est bien chaude, versez-la sur le paneer et les légumes rôtis.Éteignez le gaz et ajoutez une 1/2 cuillère à café de beurre fondu sur les côtés de la poêle et cela l'aidera à grésiller.Soulevez délicatement la poêle à grésiller et placez-la sur la planche en bois (une partie de la poêle à grésiller) et servez-la à votre famille.Servez la recette de Paneer Sizzler dans une sauce chili à l'ail avec du riz avec une margarita glacée à la grenade et une recette de tarte au caramel salé au chocolat pour un délicieux repas de fête.</t>
  </si>
  <si>
    <t>http://www.archanaskitchen.com/paneer-sizzler-recipe-in-chilli-garlic-sauce-with-rice</t>
  </si>
  <si>
    <t>Whole Wheat Black Forest Cake In A Jar Recipe (Eggless)</t>
  </si>
  <si>
    <t>Rezept für Vollkorn-Schwarzwälder Kirschtorte im Glas (ohne Eier)</t>
  </si>
  <si>
    <t>Recette de gâteau Forêt-Noire complet en verrine (sans œufs)</t>
  </si>
  <si>
    <t>Receta de una tarta Selva Negra completa en vaso (sin huevo)</t>
  </si>
  <si>
    <t>2 cuillères à soupe de beurre fondu, 2,5 cuillères à soupe de lait caillé (dahi/yaourt), 5 cuillères à soupe de lait, 3,5 cuillères à soupe de farine de blé entier, 3 cuillères à soupe de sucre en poudre, 1/2 cuillère à café de levure chimique, une pincée de bicarbonate de soude, 1 cuillère à soupe de cacao en poudre, 1 cuillère à soupe de pépites de chocolat, 1/2 tasse d'eau, 1 tasse de fraises finement hachées, 3 cuillères à soupe de sucre, 200 ml de crème fouettée épaisse, 4 cuillères à soupe de sucre en poudre, 2 cuillères à café d'extrait de vanille, fraises tranchées, pépites de chocolat selon les besoins</t>
  </si>
  <si>
    <t>2 tablespoon Butter - melted,2-1/2 tablespoon Curd (Dahi / Yogurt),5 tablespoons Milk,3-1/2 tablespoons Whole Wheat Flour,3 tablespoons Caster Sugar,1/2 teaspoon Baking powder,Baking soda - a pinch,1 tablespoon Cocoa Powder,1 tablespoon Chocolate chips,1/2 cup Water,1 cup Strawberries - finely chopped,3 tablespoons Sugar,200 ml Heavy whipping cream,4 tablespoons Caster Sugar,2 teaspoons Vanilla Extract,Strawberries - sliced,Chocolate chips - as required</t>
  </si>
  <si>
    <t>2 cucharadas de mantequilla derretida, 2-1/2 cucharadas de cuajada (Dahi / yogur), 5 cucharadas de leche, 3-1/2 cucharadas de harina integral, 3 cucharadas de azúcar extrafino, 1/2 cucharadita de polvo para hornear, bicarbonato de sodio - una pizca, 1 cucharada de cacao en polvo, 1 cucharada de chispas de chocolate, 1/2 taza de agua, 1 taza de fresas - finamente picadas, 3 cucharadas de azúcar, 200 ml de crema batida espesa, 4 cucharadas de azúcar extrafino, 2 cucharaditas de extracto de vainilla, fresas - en rodajas, chispas de chocolate - según se requiera</t>
  </si>
  <si>
    <t xml:space="preserve">To begin making the Whole Wheat Black Forest Cake In A Jar recipe, firstly we will make the eggless chocolate whole whaet cake.In a microwave safe bowl, add butter, curd, milk, whole wheat flour, caster sugar, baking powder, baking soda and cocoa powder and mix it well using whisk.Sprinkle some chocolate chips and bake it for 20 minutes into preheated microwave at 180 degrees. Once cake has cooled, cut cake into tiny rounds and keep them aside.The next step is to make the strawberry syrup. In a saucepan, add in strawberries, water and sugar and toss it.Place saucepan on low heat until sugar begin to melt. Continue to stir until sauce it becomes very thick, about 4 minutes. Remove from heat cool completely and keep it aside.Now we will make the whipping cream. Whip heavy whipping cream, sugar and vanilla on high until stiff peaks form. Refrigerate until ready to use.The last step is to assemble the cake in the jar. Choose any medium sized jar. Stuff the jar first with chocolate cake piece.Add about 2 tablespoons strawberry syrup on top of cake piece (it will most likely soak through the cake as opposed to just sitting on top. Add strawberry slices. Top with whipped cream and chocolate chips.Repeat the steps 1-3 until jar is full and topped with whip cream. Garnish it with some chocolate chips, strawberry slices. Cover and refrigerate until ready to serve. Will stay fresh in refrigerator for about 4 days.Serve Whole Wheat Black Forest Cake In A Jar as a dessert after your meal or make them for your kids birthday parties.
</t>
  </si>
  <si>
    <t>Para empezar a hacer la receta de Pastel Selva Negra Integral en Tarro, primero haremos el pastel de chocolate integral sin huevo. En un recipiente apto para microondas, agregue mantequilla, cuajada, leche, harina integral, azúcar extrafino, polvo para hornear, bicarbonato de sodio y cacao en polvo y mezcle bien con un batidor. Espolvoree algunas chispas de chocolate y hornee durante 20 minutos en el microondas precalentado a 180 grados. Una vez que el pastel se haya enfriado, córtelo en rodajas pequeñas y déjelas a un lado. El siguiente paso es hacer el jarabe de fresa. En una cacerola, agregue las fresas, el agua y el azúcar y revuelva. Coloque la cacerola a fuego lento hasta que el azúcar comience a derretirse. Continúe revolviendo hasta que la salsa se vuelva muy espesa, aproximadamente 4 minutos. Retire del fuego, enfríe completamente y déjelo a un lado. Ahora haremos la crema para batir. Bata la crema para batir espesa, el azúcar y la vainilla a alta velocidad hasta que se formen picos rígidos. Refrigere hasta que esté listo para usar. El último paso es ensamblar el pastel en el frasco. Elige un frasco mediano. Rellena el frasco con un trozo de pastel de chocolate. Agrega unas 2 cucharadas de sirope de fresa encima (lo más probable es que lo absorba en lugar de quedarse encima). Agrega rodajas de fresa. Cubre con crema batida y chispas de chocolate. Repite los pasos 1 a 3 hasta llenar el frasco y cubrirlo con crema batida. Decora con chispas de chocolate y rodajas de fresa. Cubre y refrigera hasta que esté listo para servir. Se mantendrá fresco en el refrigerador durante unos 4 días. Sirve el Pastel Selva Negra Integral en Frasco como postre después de la comida o prepáralos para las fiestas de cumpleaños de tus hijos.</t>
  </si>
  <si>
    <t>Pour commencer à préparer la recette du gâteau Forêt-Noire au blé entier dans un bocal, nous allons d'abord préparer le gâteau au chocolat et au blé entier sans œufs. Dans un bol allant au micro-ondes, ajoutez le beurre, le caillé, le lait, la farine de blé entier, le sucre en poudre, la levure chimique, le bicarbonate de soude et le cacao en poudre et mélangez bien à l'aide d'un fouet. Saupoudrez de pépites de chocolat et faites cuire au four pendant 20 minutes dans un micro-ondes préchauffé à 180 degrés. Une fois le gâteau refroidi, coupez-le en petits ronds et réservez-les. L'étape suivante consiste à préparer le sirop de fraise. Dans une casserole, ajoutez les fraises, l'eau et le sucre et mélangez. Placez la casserole sur feu doux jusqu'à ce que le sucre commence à fondre. Continuez à remuer jusqu'à ce que la sauce devienne très épaisse, environ 4 minutes. Retirez du feu, laissez refroidir complètement et réservez. Maintenant, nous allons préparer la crème fouettée. Fouettez la crème fouettée épaisse, le sucre et la vanille à puissance maximale jusqu'à formation de pics fermes. Réfrigérez jusqu'à utilisation. La dernière étape consiste à assembler le gâteau dans le bocal. Choisissez un pot de taille moyenne. Remplissez d'abord le pot avec un morceau de gâteau au chocolat. Ajoutez environ 2 cuillères à soupe de sirop de fraise sur le dessus du morceau de gâteau (il va probablement imprégner le gâteau au lieu de simplement rester dessus). Ajoutez des tranches de fraises. Garnissez de crème fouettée et de pépites de chocolat. Répétez les étapes 1 à 3 jusqu'à ce que le pot soit plein et garni de crème fouettée. Garnissez-le de pépites de chocolat et de tranches de fraises. Couvrez et réfrigérez jusqu'au moment de servir. Se conserve au réfrigérateur pendant environ 4 jours. Servez le gâteau Forêt-Noire au blé entier dans un pot comme dessert après votre repas ou préparez-le pour les fêtes d'anniversaire de vos enfants.</t>
  </si>
  <si>
    <t>https://www.archanaskitchen.com/whole-wheat-black-forest-cake-in-a-jar-recipe-eggless</t>
  </si>
  <si>
    <t>Rezept für gekühlte Spinat-Gurken-Suppe</t>
  </si>
  <si>
    <t>Feuilles d'épinards (Palak) - un bouquet, 1 concombre - pelé et haché, 1 carotte (Gajjar) - pelée et hachée, 1 gousse d'ail, 1/2 pouce de gingembre - haché, 1 piment vert, 1 oignon - haché, 1/4 cuillère à café de poudre de paprika, 2 cuillères à soupe de caillé (Dahi / Yaourt), 1 cuillère à soupe de vinaigre balsamique, 1 cuillère à café d'huile d'olive extra vierge, 2 cuillères à soupe de pignons de pin - pelés</t>
  </si>
  <si>
    <t>Spinach Leaves (Palak) - a bunch,1 Cucumber - peeled and chopped,1 Carrot (Gajjar) - peeled and chopped,1 clove Garlic,1/2 inch Ginger - chopped,1 Green Chilli,1 Onion - chopped,1/4 teaspoon Paprika powder,2 tablespoon Curd (Dahi / Yogurt),1 tablespoon Balsamic Vinegar,1 teaspoon Extra Virgin Olive Oil,2 tablespoons Pine nuts - peeled</t>
  </si>
  <si>
    <t>Hojas de espinaca (Palak) - un manojo, 1 pepino - pelado y picado, 1 zanahoria (Gajjar) - pelada y picada, 1 diente de ajo, 1/2 pulgada de jengibre - picado, 1 chile verde, 1 cebolla - picada, 1/4 cucharadita de pimentón en polvo, 2 cucharadas de cuajada (Dahi / yogur), 1 cucharada de vinagre balsámico, 1 cucharadita de aceite de oliva virgen extra, 2 cucharadas de piñones - pelados</t>
  </si>
  <si>
    <t xml:space="preserve">To prepare the Chilled Spinach and Cucumber Soup, first clean and wash the spinach leaves. Roughly chop them and keep aside.Bring 2 cups of water and some salt to a boil in a saucepan. Keep a bowl of iced water ready on the side. Blanch the spinach leaves by adding it to the boiling water for 2 minutes.Drain it and plunge it into the bowl of iced water for another 2 minutes to stop it from cooking.Add the remaining chopped vegetables in the blender. Drain the spinach in a colander, reserving a little of the iced water to use while blending the vegetables.Add the drained spinach leaves and about 1/2 cup of the iced water to the blender and blend until smooth.Once smooth, add the yogurt, the balsamic vinegar, paprika, pepper and blend once again. Taste and season with salt and pepper accordingly. Adjust the consistency of the soup by adding little water. Transfer to a bowl/container and cover with cling film before placing in the refrigerator to chill for an hour.While the soup is chilling, dry roast some pine nuts in a skillet over low heat until they are lightly browned, about 4-5 minutes.Serve Chilled Spinach and Cucumber Soup sprinkle with toasted pine nuts and olive oil. 
</t>
  </si>
  <si>
    <t>Para preparar la sopa fría de espinacas y pepino, primero limpie y lave las hojas de espinaca. Córtelas en trozos grandes y resérvelas. Ponga a hervir 2 tazas de agua y un poco de sal en una cacerola. Tenga a mano un recipiente con agua helada. Escalde las hojas de espinaca añadiéndolas al agua hirviendo durante 2 minutos. Escúrralas y sumérjalas en el recipiente con agua helada durante otros 2 minutos para detener la cocción. Agregue las verduras picadas restantes a la licuadora. Escurra las espinacas en un colador, reservando un poco del agua helada para usar mientras licúa las verduras. Agregue las hojas de espinaca escurridas y aproximadamente 1/2 taza de agua helada a la licuadora y licúe hasta que esté suave. Una vez suave, agregue el yogur, el vinagre balsámico, el pimentón, la pimienta y licúe una vez más. Pruebe y sazone con sal y pimienta según corresponda. Ajuste la consistencia de la sopa agregando un poco de agua. Transfiera a un tazón o recipiente y cubra con film transparente antes de colocarlo en el refrigerador para que se enfríe durante una hora. Mientras la sopa se enfría, tueste algunos piñones en una sartén a fuego lento hasta que estén ligeramente dorados, aproximadamente 4-5 minutos. Sirva la sopa fría de espinacas y pepino espolvoreando con piñones tostados y aceite de oliva.</t>
  </si>
  <si>
    <t>Pour préparer la soupe froide aux épinards et au concombre, nettoyez et lavez d'abord les feuilles d'épinards. Hachez-les grossièrement et réservez. Portez 2 tasses d'eau et un peu de sel à ébullition dans une casserole. Gardez un bol d'eau glacée à portée de main. Blanchissez les feuilles d'épinards en les ajoutant à l'eau bouillante pendant 2 minutes. Égouttez-les et plongez-les dans le bol d'eau glacée pendant 2 minutes supplémentaires pour arrêter la cuisson. Ajoutez les légumes hachés restants dans le mélangeur. Égouttez les épinards dans une passoire, en réservant un peu d'eau glacée pour mélanger les légumes. Ajoutez les feuilles d'épinards égouttées et environ 1/2 tasse d'eau glacée dans le mélangeur et mixez jusqu'à consistance lisse. Une fois lisse, ajoutez le yaourt, le vinaigre balsamique, le paprika, le poivre et mixez à nouveau. Goûtez et assaisonnez de sel et de poivre en conséquence. Ajustez la consistance de la soupe en ajoutant un peu d'eau. Transférer dans un bol/récipient et couvrir d'un film alimentaire avant de placer au réfrigérateur pour refroidir pendant une heure. Pendant que la soupe refroidit, faire griller à sec des pignons de pin dans une poêle à feu doux jusqu'à ce qu'ils soient légèrement dorés, environ 4 à 5 minutes. Servir la soupe froide aux épinards et au concombre, saupoudrer de pignons de pin grillés et d'huile d'olive.</t>
  </si>
  <si>
    <t>https://www.archanaskitchen.com/chilled-spinach-and-cucumber-soup-recipe</t>
  </si>
  <si>
    <t>Cheese Garlic Cracked Bread Recipe</t>
  </si>
  <si>
    <t>Rezept für Käse-Knoblauch-Rissbrot</t>
  </si>
  <si>
    <t>Recette de pain craquelé au fromage et à l'ail</t>
  </si>
  <si>
    <t>Receta de pan partido con queso y ajo</t>
  </si>
  <si>
    <t>3 petits pains à hamburger - mini, 3 cuillères à soupe de sauce pour pâtes Veeba, 1/2 tasse de mozzarella, 3 cuillères à soupe de beurre salé, 1 cuillère à soupe d'huile d'olive extra vierge, 2 cuillères à soupe d'ail - finement haché, 2 cuillères à café d'herbes mélangées (séchées), 1 cuillère à soupe de feuilles de coriandre (Dhania)</t>
  </si>
  <si>
    <t>3 Burger buns - mini,3 tablespoons Veeba Pasta sauce,1/2 cup Mozzarella cheese,3 tablespoons Salted butter,1 tablespoon Extra Virgin Olive Oil,2 tablespoons Garlic - finely chopped,2 teaspoons Mixed Herbs (Dried),1 tablespoon Coriander (Dhania) Leaves</t>
  </si>
  <si>
    <t>3 panecillos de hamburguesa (mini), 3 cucharadas de salsa para pasta Veeba, 1/2 taza de queso mozzarella, 3 cucharadas de mantequilla salada, 1 cucharada de aceite de oliva virgen extra, 2 cucharadas de ajo finamente picado, 2 cucharaditas de hierbas mixtas (secas), 1 cucharada de hojas de cilantro (Dhania)</t>
  </si>
  <si>
    <t xml:space="preserve">To start making the Cheese Garlic Cracked Bread Recipe, preheat the oven to 200 degree celsius.We need to now cut the burger buns to give a cracked effect.To do that, we need to use a serrated bread knife, make 1 inch diagonal cuts across the burger buns making sure you don’t cut the bread all the way through.First cut straight standing lines and the cut straight sleeping lines almost until the end, making sure to don't cut it fully.In a tadka pan , heat the butter and olive on medium heat, add the chopped garlic and fry until it gets a light golden colour. Once it gets the desired colour, turn off the flame, add the mixed herbs and the fresh coriander leaves.  Allow it to cool.Next use a spoon to drizzle the garlic butter into the the cuts of the buns, and lightly spread a little veeba pasta pizza sauce in the cuts.Finally, stuff grated cheese in the cuts and arrange on a baking tray.Bake these buns in a preheated oven at 200 degree celsius for 7-10 minutes, till the bread gets crispy and a light brown colour on the top.Remove from the oven , brush the top with the leftover garlic butter and serve hot.You can also serve Cheese Garlic Cracked Bread Recipe along with Spinach Tomato Soup Italian Style Recipe and Grilled Pineapple And Chicken Salad Recipe for a light meal. 
</t>
  </si>
  <si>
    <t>Para empezar a hacer la Receta de Pan de Queso con Ajo y Queso, precalienta el horno a 200 grados centígrados. Ahora necesitamos cortar los panecillos de hamburguesa para darle un efecto agrietado. Para hacer eso, necesitamos usar un cuchillo de pan de sierra, hacer cortes diagonales de 1 pulgada a través de los panecillos de hamburguesa asegurándonos de no cortar el pan por completo. Primero corta líneas rectas de pie y luego líneas rectas para dormir casi hasta el final, asegurándote de no cortarlo completamente. En una sartén tadka, calienta la mantequilla y el aceite de oliva a fuego medio, agrega el ajo picado y fríe hasta que adquiera un color dorado claro. Una vez que adquiera el color deseado, apaga el fuego, agrega las hierbas mixtas y las hojas frescas de cilantro. Déjalo enfriar. Luego, usa una cuchara para rociar la mantequilla de ajo en los cortes de los panecillos y unta ligeramente un poco de salsa de pizza Veeba Pasta en los cortes. Finalmente, rellena los cortes con queso rallado y colócalos en una bandeja para hornear. Hornea estos panecillos en un horno precalentado a 200 grados centígrados durante 7-10 minutos, hasta que el pan esté crujiente y de un color marrón claro en la parte superior. Retíralos del horno, pincela la parte superior con la mantequilla de ajo sobrante y sirve caliente. También puedes servir la Receta de Pan de Ajo con Queso junto con la Receta de Sopa de Tomate con Espinacas al Estilo Italiano y la Receta de Ensalada de Piña y Pollo a la Parrilla para una comida ligera.</t>
  </si>
  <si>
    <t>Pour commencer à préparer la recette de pain craquelé au fromage et à l'ail, préchauffez le four à 200 degrés Celsius. Nous devons maintenant couper les pains à hamburger pour donner un effet craquelé. Pour ce faire, nous devons utiliser un couteau à pain dentelé, faire des coupes diagonales de 1 pouce sur les pains à hamburger en veillant à ne pas couper le pain complètement. Coupez d'abord des lignes droites debout et des lignes droites dormantes presque jusqu'au bout, en veillant à ne pas le couper complètement. Dans une poêle à tadka, faites chauffer le beurre et l'olive à feu moyen, ajoutez l'ail haché et faites-le revenir jusqu'à ce qu'il obtienne une couleur légèrement dorée. Une fois la couleur désirée obtenue, éteignez le feu, ajoutez les herbes mélangées et les feuilles de coriandre fraîche. Laissez refroidir. Ensuite, utilisez une cuillère pour verser le beurre à l'ail dans les coupes des petits pains et étalez légèrement un peu de sauce à pizza aux pâtes veeba dans les coupes. Enfin, farcissez les coupes de fromage râpé et disposez-les sur une plaque de cuisson. Faites cuire ces petits pains dans un four préchauffé à 200 degrés Celsius pendant 7 à 10 minutes, jusqu'à ce que le pain devienne croustillant et d'une couleur brun clair sur le dessus. Retirez du four, badigeonnez le dessus avec le reste de beurre à l'ail et servez chaud. Vous pouvez également servir la recette de pain concassé à l'ail et au fromage avec la recette de soupe aux épinards et aux tomates à l'italienne et la recette de salade d'ananas grillé et de poulet pour un repas léger.</t>
  </si>
  <si>
    <t>https://www.archanaskitchen.com/cheese-garlic-cracked-bread-recipe</t>
  </si>
  <si>
    <t>Pear and Apple Coleslaw Recipe</t>
  </si>
  <si>
    <t>Rezept für Birnen-Apfel-Krautsalat</t>
  </si>
  <si>
    <t>Recette de salade de chou aux poires et aux pommes</t>
  </si>
  <si>
    <t>Receta de ensalada de col con pera y manzana</t>
  </si>
  <si>
    <t>1/2 chou (Patta Gobi/ Muttaikose) - râpé, 1 pomme - en julienne, 1 poire - en julienne, 4 cuillères à soupe de caillé (Dahi / Yogourt) - (faible en gras), 3 cuillères à soupe de jus d'ananas, 1 cuillère à café de Tabasco Original - Sauce piquante - (ou toute sauce piquante de votre choix), 1 cuillère à soupe de sucre, 3 brins de coriandre (Dhania) Feuilles - hachées pour la garniture</t>
  </si>
  <si>
    <t>1/2 Cabbage (Patta Gobi/ Muttaikose) - shredded,1 Apple - julienned,1 Pears - julienned,4 tablespoons Curd (Dahi / Yogurt) - (low fat),3 tablespoons Pineapple juice,1 teaspoon Tabasco Original - Hot Sauce - (or any hot sauce of choice),1 tablespoon Sugar,3 sprigs Coriander (Dhania) Leaves - chopped for garnish</t>
  </si>
  <si>
    <t>1/2 repollo (Patta Gobi/Muttaikose) - rallado, 1 manzana - cortada en juliana, 1 pera - cortada en juliana, 4 cucharadas de cuajada (Dahi/yogur) - (baja en grasa), 3 cucharadas de jugo de piña, 1 cucharadita de Tabasco Original - salsa picante - (o cualquier salsa picante de su elección), 1 cucharada de azúcar, 3 ramitas de hojas de cilantro (Dhania) - picadas para decorar</t>
  </si>
  <si>
    <t xml:space="preserve">To begin making the Pear and Apple Coleslaw Recipe; we will first get the dressing for the salad ready.To make the dressing for the coleslaw, whisk together yogurt, hot sauce, pineapple juice and sugar in a large bowl with a wire whisk until well combined. The dressing can be prepped in advance and refrigerated until required.To make the dressing for the coleslaw, whisk together yogurt, hot sauce, pineapple juice and sugar in a large bowl with a wire whisk until well combined. The dressing can be prepped in advance and refrigerated until you are ready to use it for a salad.With the help of a mandoline or a knife, shred half the cabbage, slice and julienne the apple and pear. The use of mandoline ensures uniformity in the size.Finally, in a salad bowl, toss the cabbage, apple and pear. Drizzle over the chilled dressing and mix well.Chill the Fruit Coleslaw and garnish with finely chopped coriander just before serving.The Pear and Apple Coleslaw makes a perfect accompaniment with Beet Quinoa Sliders Recipe; I quite often fill my Pita Bread with the Pear and Apple Coleslaw Recipe and serve it for dinner.
</t>
  </si>
  <si>
    <t>Para empezar a preparar la receta de ensalada de col con pera y manzana, primero prepararemos el aderezo. Para ello, bata el yogur, la salsa picante, el jugo de piña y el azúcar en un tazón grande con un batidor de varillas hasta que estén bien combinados. Puede preparar el aderezo con antelación y refrigerarlo hasta que esté listo para usarlo en una ensalada. Con una mandolina o un cuchillo, ralle la mitad del repollo y corte la manzana y la pera en rodajas y juliana. Usar la mandolina asegura un tamaño uniforme. Finalmente, en una ensaladera, mezcle el repollo, la manzana y la pera. Rocíe el aderezo frío y mezcle bien. Enfríe la ensalada de col con frutas y adorne con cilantro finamente picado justo antes de servir. La ensalada de col con pera y manzana es un acompañamiento perfecto para la receta de hamburguesas de quinoa y remolacha. A menudo relleno mi pan pita con la receta de ensalada de col con pera y manzana y lo sirvo para la cena.</t>
  </si>
  <si>
    <t>Pour préparer la salade de chou aux poires et aux pommes, nous allons d'abord préparer la vinaigrette. Dans un grand bol, fouettez le yaourt, la sauce piquante, le jus d'ananas et le sucre jusqu'à ce que le tout soit bien mélangé. Vous pouvez préparer la vinaigrette à l'avance et la conserver au réfrigérateur jusqu'à utilisation. À l'aide d'une mandoline ou d'un couteau, émincez la moitié du chou, puis coupez la pomme et la poire en julienne. L'utilisation de la mandoline assure une taille uniforme. Enfin, dans un saladier, mélangez le chou, la pomme et la poire. Arrosez de vinaigrette froide et mélangez bien. Refroidissez la salade de chou aux fruits et garnissez de coriandre finement hachée juste avant de servir. La salade de chou aux poires et aux pommes accompagne parfaitement la recette des mini-burgers à la betterave et au quinoa ; je remplis assez souvent mon pain pita avec la recette de salade de chou aux poires et aux pommes et je la sers au dîner.</t>
  </si>
  <si>
    <t>http://www.archanaskitchen.com/pear-and-apple-coleslaw-recipe</t>
  </si>
  <si>
    <t>Hash Brown With Spinach &amp; Cheese Recipe</t>
  </si>
  <si>
    <t>Rezept für Rösti mit Spinat und Käse</t>
  </si>
  <si>
    <t>Recette de Rösti aux épinards et au fromage</t>
  </si>
  <si>
    <t>Receta de rösti de espinacas y queso</t>
  </si>
  <si>
    <t>2 pommes de terre (Aloo) - à moitié bouillies et râpées, 1 tasse d'épinards - hachés, 100 grammes de fromage, 1 cuillère à café d'origan séché, 1 cuillère à café de flocons de piment rouge, poudre de poivre noir - pour l'assaisonnement, sel - au goût</t>
  </si>
  <si>
    <t>2 Potatoes (Aloo) - half boiled and grated,1 cup Spinach - chopped,100 grams Cheese,1 teaspoon Dried oregano,1 teaspoon Red Chilli flakes,Black pepper powder - for seasoning,Salt - to taste</t>
  </si>
  <si>
    <t>2 papas (Aloo) - medio hervidas y ralladas, 1 taza de espinaca - picada, 100 gramos de queso, 1 cucharadita de orégano seco, 1 cucharadita de hojuelas de chile rojo, pimienta negra en polvo - para condimentar, sal - al gusto</t>
  </si>
  <si>
    <t xml:space="preserve">To begin making Hash Browns With Spinach &amp; Cheese Recipe, mix all the ingredients in a mixing bowl. Check for the seasonings. Do not mash them hard be gentle with the dough. Divide them equally into small size and press lightly and shape them into patties.Heat a flat pan with little oil and place the hash browns and toast it on both the sides for about 5 minutes.Serve your crispy Hash brown With Spinach &amp; Cheese Recipe with some toasted bread and tomato ketchup for a perfect light Mulled Apple Juice Recipe.
</t>
  </si>
  <si>
    <t>Para empezar a preparar la receta de papas hash brown con espinacas y queso, mezcla todos los ingredientes en un tazón. Revisa los condimentos. No los aplastes demasiado, sé cuidadoso con la masa. Divídelos equitativamente en porciones pequeñas y presiona ligeramente para darles forma de hamburguesas. Calienta una sartén plana con un poco de aceite y coloca las papas hash brown y tuéstalas por ambos lados durante unos 5 minutos. Sirve tu crujiente papa hash brown con espinacas y queso con un poco de pan tostado y kétchup de tomate para una receta perfecta de jugo de manzana caliente ligero.</t>
  </si>
  <si>
    <t>Pour commencer à préparer la recette de galettes de pommes de terre aux épinards et au fromage, mélangez tous les ingrédients dans un saladier. Vérifiez l'assaisonnement. Ne les écrasez pas trop fort, soyez doux avec la pâte. Divisez-les en petits morceaux, appuyez légèrement et façonnez-les en galettes. Faites chauffer une poêle plate avec un peu d'huile, placez les galettes de pommes de terre et faites-les griller des deux côtés pendant environ 5 minutes. Servez votre recette de galettes de pommes de terre croustillantes aux épinards et au fromage avec du pain grillé et du ketchup pour une recette de jus de pomme chaud léger et parfait.</t>
  </si>
  <si>
    <t>https://www.archanaskitchen.com/hashbrown-with-spinach-cheese-recipe</t>
  </si>
  <si>
    <t>Savory French Toast Recipe With Creamy Achari Mushroom</t>
  </si>
  <si>
    <t>Herzhaftes French Toast-Rezept mit cremigen Achari-Pilzen</t>
  </si>
  <si>
    <t>Recette de pain perdu salé aux champignons achari crémeux</t>
  </si>
  <si>
    <t>Receta de tostadas francesas sabrosas con cremosos hongos achari</t>
  </si>
  <si>
    <t>Tartinade à l'ail et à l'origan Nutralite - au besoin, 4 pains bruns de blé entier - pain brioché de préférence, 1 oignon - finement haché, 2 piments verts - finement hachés, 200 grammes de champignons de Paris - tranchés, 2 cuillères à soupe de mayonnaise Achari, feuilles de menthe (Pudina) - finement hachées, 3 œufs entiers, 1/4 tasse de lait, 1/4 tasse de crème fraîche, 1/4 cuillère à café de grains de poivre noir entiers - grossièrement pilés, sel - au goût</t>
  </si>
  <si>
    <t>Nutralite Garlic &amp; Oregano Spread - as needed,4 Whole Wheat Brown Bread - brioche bread preferred,1 Onion - finely Chopped,2 Green Chillies - finely chopped,200 Grams Button mushrooms - sliced,2 tablespoons Achari Mayo,Mint Leaves (Pudina) - finely chopped,3 Whole Eggs,1/4 Cup Milk,1/4 Cup Fresh cream,1/4 teaspoon Whole Black Pepper Corns - coarsely pounded,Salt - to taste</t>
  </si>
  <si>
    <t>Crema de ajo y orégano Nutralite (según se requiera), 4 panes integrales (preferiblemente brioche), 1 cebolla finamente picada, 2 chiles verdes finamente picados, 200 gramos de champiñones rebanados, 2 cucharadas de mayonesa Achari, hojas de menta (pudina) finamente picadas, 3 huevos enteros, 1/4 taza de leche, 1/4 taza de crema fresca, 1/4 cucharadita de granos de pimienta negra enteros (machacados gruesos), sal al gusto</t>
  </si>
  <si>
    <t xml:space="preserve">To begin making the Savory French Toast Recipe With Creamy Achari Mushroom, first prep all the ingredients and keep ready.Melt Nutralite Garlic &amp; Oregano Spread in a stir fry pan; add the onionS and saute until softened and lightly browned.Add the chopped green chillies and sliced mushrooms, sprinkle some salt and saute until the mushrooms become soft. A this stage add the Nutralite Achari Mayo, give it a stir and turn off the heat. Keep the Creamy Achari Mushroom aside.For the Savoury French Toast, in a mixing bowl; break the eggs, add milk, cream, salt and pepper. Whisk to combine well until smooth.Dip the bread slices in the egg mixture and allow the slices to get well soaked.Melt the Nutralite Garlic &amp; Oregano spread in a preheated pan; place these egg dipped bread slices in the pan and cook on medium high heat until the French Toast is golden brown and all of the egg mixture is cooked through and absorbed well into the bread.Once done, place the French Toast on a serving platter, spoon the creamy Achari Mushroom filling on the top and serve hot.Serve the Savory French Toast Topped With Creamy Achari Mushroom along with a cup of coffee for a wholesome high protein weekend breakfast.
</t>
  </si>
  <si>
    <t>Para comenzar a hacer la Receta de Tostada Francesa Sabrosa con Champiñones Achari Cremosos, primero prepare todos los ingredientes y téngalos listos. Derrita la Crema de Ajo y Orégano Nutralite en una sartén para saltear; agregue las cebollas y saltee hasta que estén blandas y ligeramente doradas. Agregue los chiles verdes picados y los champiñones rebanados, espolvoree un poco de sal y saltee hasta que los champiñones se ablanden. En esta etapa, agregue la Mayonesa Nutralite Achari, revuelva y apague el fuego. Mantenga la Crema de Champiñones Achari a un lado. Para la Tostada Francesa Sabrosa, en un tazón, rompa los huevos, agregue la leche, la crema, la sal y la pimienta. Bata para combinar bien hasta que quede suave. Sumerja las rebanadas de pan en la mezcla de huevo y deje que las rebanadas se empapen bien. Derrita la Crema de Ajo y Orégano Nutralite en una sartén precalentada; Coloque estas rebanadas de pan bañadas en huevo en la sartén y cocine a fuego medio alto hasta que la tostada francesa esté dorada y toda la mezcla de huevo esté bien cocida y absorbida por el pan. Una vez listo, coloque la tostada francesa en una fuente para servir, coloque con una cuchara el relleno cremoso de hongos achari encima y sirva caliente. Sirva la tostada francesa sabrosa cubierta con cremoso hongo achari junto con una taza de café para un desayuno saludable y rico en proteínas para el fin de semana.</t>
  </si>
  <si>
    <t>Pour commencer à préparer la recette de pain doré salé aux champignons achari crémeux, préparez d'abord tous les ingrédients et gardez-les prêts. Faites fondre la tartinade à l'ail et à l'origan Nutralite dans une poêle à sauter ; ajoutez les oignons et faites-les revenir jusqu'à ce qu'ils soient tendres et légèrement dorés. Ajoutez les piments verts hachés et les champignons tranchés, saupoudrez de sel et faites revenir jusqu'à ce que les champignons deviennent tendres. À cette étape, ajoutez la mayonnaise à l'ail Nutralite, remuez et éteignez le feu. Réservez les champignons achari crémeux. Pour le pain doré salé, dans un saladier ; cassez les œufs, ajoutez le lait, la crème, le sel et le poivre. Fouettez pour bien mélanger jusqu'à obtenir une consistance lisse. Trempez les tranches de pain dans le mélange d'œufs et laissez les tranches bien imbiber. Faites fondre la tartinade à l'ail et à l'origan Nutralite dans une poêle préchauffée ; Placez ces tranches de pain trempées dans l'œuf dans la poêle et faites cuire à feu moyen-vif jusqu'à ce que le pain perdu soit doré et que tout le mélange d'œufs soit bien cuit et bien absorbé par le pain. Une fois terminé, placez le pain perdu sur un plat de service, déposez la garniture crémeuse aux champignons Achari sur le dessus et servez chaud. Servez le pain perdu salé garni de champignons Achari crémeux avec une tasse de café pour un petit-déjeuner de week-end sain et riche en protéines.</t>
  </si>
  <si>
    <t>https://www.archanaskitchen.com/savory-french-toast-recipe-with-creamy-achari-mushroom</t>
  </si>
  <si>
    <t>Frozen Mango Yogurt Recipe-Mango Froyo</t>
  </si>
  <si>
    <t>Rezept für gefrorenen Mango-Joghurt – Mango Froyo</t>
  </si>
  <si>
    <t>Recette de yaourt glacé à la mangue – Mango Froyo</t>
  </si>
  <si>
    <t>Receta de yogur helado de mango</t>
  </si>
  <si>
    <t>2 tasses de caillé (dahi/yaourt), 2 mangues (mûres) - pelées et hachées, 1 pincée de brins de safran - trempés dans 2 cuillères à soupe de lait, 1 pincée de poudre de cardamome (elaichi), 2-3 cuillères à soupe de sucre - (ajuster)</t>
  </si>
  <si>
    <t>2 cups Curd (Dahi / Yogurt),2 Mango (Ripe) - peeled &amp; chopped,1 pinch Saffron strands - soaked in 2 tablespoons milk,1 pinch Cardamom Powder (Elaichi),2-3 tablespoons Sugar - (adjust)</t>
  </si>
  <si>
    <t>2 tazas de cuajada (Dahi/yogur), 2 mangos (maduros) - pelados y picados, 1 pizca de hebras de azafrán - remojadas en 2 cucharadas de leche, 1 pizca de cardamomo en polvo (Elaichi), 2-3 cucharadas de azúcar - (ajustar)</t>
  </si>
  <si>
    <t xml:space="preserve">To begin making the Mango Froyo -Frozen Yogurt Recipe, first drain the yogurt by pouring it into a fine sieve, lined with a muslin cloth or you can use a cloth strainer. Place a bowl below to collect the whey, and leave aside for about an hour or till all the excess water content is drained from the yogurt. Once the whey is drained yogurt looks like the soft cheese. Transfer to a bowl. Add the hung yogurt in the blender along with the chopped mangoes, saffron and cardamom powder. Blend into a smooth puree. Taste and add adjust the amount of sugar accordingly. You can replace the sugar with honey as well if you like.Pour the mixture into a freezer-safe box, seal the box with the lid and freeze for 3 hours or till almost frozen. Remove from the fridge and blend once again in the blender to remove the ice crystals. Pour it back into the freezer-safe box and return it to the freezer for next few hours to set. Once again, remove from the fridge, blend one last time, before pouring it back into the box and freeze. So essentially you will have a creamy yogurt when you freeze and blend a couple of times. After the third time of freezing, the Mango Froyo (Frozen Yogurt) will be ready to be served.To serve Mango Froyo scoop it into individual servings and garnish with mint sprigs and serve chilled. You can also optionally top it with fresh mangoes and almonds to give it added flavor and crunch.Serve Frozen Mango Yogurt Recipe-Mango Froyo as dessert after a meal of  Spiced Kumbh Pulao and Tomato Onion Cucumber Raita Recipe.
</t>
  </si>
  <si>
    <t>Para comenzar a hacer la Receta de Yogur Congelado de Mango Froyo, primero escurra el yogur vertiéndolo en un colador fino, forrado con una tela de muselina o puede usar un colador de tela. Coloque un tazón debajo para recolectar el suero y déjelo reposar durante aproximadamente una hora o hasta que todo el exceso de contenido de agua se haya drenado del yogur. Una vez que el suero se haya drenado, el yogur se parece al queso blando. Transfiera a un tazón. Agregue el yogur colgado en la licuadora junto con los mangos picados, el azafrán y el cardamomo en polvo. Licúe hasta obtener un puré suave. Pruebe y agregue ajuste la cantidad de azúcar según corresponda. También puede reemplazar el azúcar con miel si lo desea. Vierta la mezcla en una caja apta para congelador, selle la caja con la tapa y congélela durante 3 horas o hasta que esté casi congelada. Retire del refrigerador y licúe una vez más en la licuadora para eliminar los cristales de hielo. Viértalo de nuevo en la caja apta para congelador y regréselo al congelador durante las próximas horas para que cuaje. Una vez más, sáquelo del refrigerador, licúe una última vez, antes de verterlo nuevamente en la lata y congelarlo. Así que esencialmente obtendrá un yogur cremoso cuando lo congele y licúe un par de veces. Después de la tercera congelación, el Mango Froyo (Yogur Helado) estará listo para ser servido. Para servir el Mango Froyo, viértalo en porciones individuales y decórelo con ramitas de menta y sirva frío. También puede cubrirlo con mangos frescos y almendras para darle más sabor y textura crujiente. Sirva la Receta de Yogur Helado de Mango Froyo - Mango Froyo como postre después de una comida de Kumbh Pulao Especiado y Receta de Raita de Tomate, Cebolla y Pepino.</t>
  </si>
  <si>
    <t>Pour commencer à préparer la recette de yaourt glacé au mangue froyo, égouttez d'abord le yaourt en le versant dans un tamis fin, recouvert d'une mousseline ou vous pouvez utiliser une passoire en tissu. Placez un bol en dessous pour recueillir le lactosérum et laissez reposer pendant environ une heure ou jusqu'à ce que tout l'excès d'eau soit égoutté du yaourt. Une fois le lactosérum égoutté, le yaourt ressemble au fromage à pâte molle. Transférez dans un bol. Ajoutez le yaourt suspendu dans le mélangeur avec les mangues hachées, le safran et la poudre de cardamome. Mixez jusqu'à obtenir une purée lisse. Goûtez et ajoutez, ajustez la quantité de sucre en conséquence. Vous pouvez également remplacer le sucre par du miel si vous le souhaitez. Versez le mélange dans une boîte allant au congélateur, fermez la boîte avec le couvercle et congelez pendant 3 heures ou jusqu'à ce qu'il soit presque congelé. Retirez du réfrigérateur et mixez à nouveau dans le mélangeur pour éliminer les cristaux de glace. Remettez-le dans la boîte allant au congélateur et remettez-le au congélateur pendant quelques heures pour qu'il prenne. Une fois de plus, retirez du réfrigérateur, mixez une dernière fois, avant de remettre le tout dans la boîte et congelez. Vous obtiendrez donc un yaourt crémeux après avoir congelé et mixé plusieurs fois. Après la troisième congélation, le Mango Froyo (yaourt glacé) sera prêt à être servi. Pour servir le Mango Froyo, répartissez-le en portions individuelles, décorez de brins de menthe et servez frais. Vous pouvez également le garnir de mangues fraîches et d'amandes pour lui donner plus de saveur et de croquant. Servez la recette de yaourt glacé à la mangue - Mango Froyo en dessert après un repas de Kumbh Pulao épicé et de Raita tomate, oignon et concombre.</t>
  </si>
  <si>
    <t>http://www.archanaskitchen.com/frozen-mango-yogurt-recipe-mango-froyo</t>
  </si>
  <si>
    <t>Homemade Black Bean Burger Recipe</t>
  </si>
  <si>
    <t>Rezept für hausgemachten Burger mit schwarzen Bohnen</t>
  </si>
  <si>
    <t>Recette de burgers aux haricots noirs faits maison</t>
  </si>
  <si>
    <t>Receta de hamburguesas caseras de frijoles negros</t>
  </si>
  <si>
    <t>1 tasse de haricots noirs en conserve, 2 cuillères à soupe d'huile d'olive extra vierge, 1 oignon finement haché, 2 gousses d'ail râpées, 2,5 cm de gingembre râpé, feuilles de menthe (Pudina) - un petit bouquet finement haché, 1/2 tasse de chapelure de blé entier, 1/2 tasse de farine d'avoine</t>
  </si>
  <si>
    <t>1 cup Canned black beans,2 tablespoons Extra Virgin Olive Oil,1 Onion - finely chopped,2 cloves Garlic - grated,1 inch Ginger - grated,Mint Leaves (Pudina) - a small bunch finely chopped,1/2 cup Whole Wheat Bread crumbs,1/2 cup Oats Flour</t>
  </si>
  <si>
    <t>1 taza de frijoles negros enlatados, 2 cucharadas de aceite de oliva virgen extra, 1 cebolla finamente picada, 2 dientes de ajo rallados, 1 pulgada de jengibre rallado, hojas de menta (pudina) - un pequeño manojo finamente picado, 1/2 taza de pan rallado integral, 1/2 taza de harina de avena</t>
  </si>
  <si>
    <t xml:space="preserve">To begin making Homemade Black Bean Burger Recipe, soak the beans for at least 8 hours.After 8 hours, transfer the beans along with the water into a pressure cooker and pressure cook for 6-8 whistles.Turn off the flame and allow the pressure to release naturally.Open the cooker, drain the excess water and keep the beans aside. Click here to see the video of how to cook beans and legumes in the pressure cooker.The next step is to combine all the ingredients for the burger pattie in a large mixing bowl.Into a food processor, add the onion, ginger, garlic, cooked black beans, breadcrumbs, oat flour, mint leaves, paprika, oregano, required salt, pepper and process until everything is combined well enough until the epatty mixture comes together. Transfer the mixer to a large mixing bowl and check the salt and spices. Adjust to suit your taste. Shape the black bean burger pattie into 4 medium size patties and refrigerate for 30 minutes. The size of the pattie will depend on the size of your burger bun. The next step is to cook the patties on a skillet. Preheat and grease the skillet with oil. Place the burger patties on the preheated skillet and cook until browned on both sides. You can optionally drizzle a bit of oil and continue to cook.Once burger patties are browned evenly turn off the heat. Place the cheese slices over the patties. Heat from the burger will melt the cheese.Place the cheese slices over the patties. Heat from the burger will melt the cheese.Take the whole wheat sandwich buns, cut them half horizontally, add mustard sauce on both sides of the bun. Place the cooked black bean patties and top with lettuce, sliced tomatoes and onions. Serve hot.Wrap the Homemade Black Bean Burger into parchment paper and take them for summer picnics or have a fun summer afternoon lunch with a smoothie.Serve Homemade Black Bean Burger Recipe along with Cajun Style Potatoes Recipe and Orange Peppermint Green Tea Punch Recipe
</t>
  </si>
  <si>
    <t>Para comenzar a hacer la Receta de Hamburguesa Casera de Frijoles Negros, remoje los frijoles durante al menos 8 horas. Después de 8 horas, transfiera los frijoles junto con el agua a una olla a presión y cocine a presión durante 6-8 silbidos. Apague la llama y deje que la presión se libere naturalmente. Abra la olla, escurra el exceso de agua y reserve los frijoles. Haga clic aquí para ver el video de cómo cocinar frijoles y legumbres en la olla a presión. El siguiente paso es combinar todos los ingredientes para la hamburguesa en un tazón grande. En un procesador de alimentos, agregue la cebolla, el jengibre, el ajo, los frijoles negros cocidos, el pan rallado, la harina de avena, las hojas de menta, el pimentón, el orégano, la sal requerida, la pimienta y procese hasta que todo esté combinado lo suficientemente bien como para que la mezcla de la hamburguesa se una. Transfiera la batidora a un tazón grande y verifique la sal y las especias. Ajuste a su gusto. Forme la hamburguesa de frijoles negros en 4 hamburguesas de tamaño mediano y refrigere durante 30 minutos. El tamaño de la hamburguesa dependerá del tamaño del pan de hamburguesa. El siguiente paso es cocinar las hamburguesas en una sartén. Precaliente y engrase la sartén con aceite. Coloque las hamburguesas en la sartén precalentada y cocine hasta que se doren por ambos lados. Opcionalmente, puede rociar un poco de aceite y continuar cocinando. Una vez que las hamburguesas estén doradas de manera uniforme, apague el fuego. Coloque las rebanadas de queso sobre las hamburguesas. El calor de la hamburguesa derretirá el queso. Tome los panecillos integrales para sándwich, córtelos por la mitad horizontalmente, agregue salsa de mostaza en ambos lados del pan. Coloque las hamburguesas de frijoles negros cocidas y cúbralas con lechuga, tomates en rodajas y cebollas. Sirva caliente. Envuelva la hamburguesa casera de frijoles negros en papel pergamino y llévela a picnics de verano o disfrute de una divertida tarde de verano con un batido. Sirva la receta de hamburguesa casera de frijoles negros junto con la receta de papas al estilo cajún y la receta de ponche de té verde con menta y naranja.</t>
  </si>
  <si>
    <t>Pour commencer à préparer une recette de burger aux haricots noirs maison, faites tremper les haricots pendant au moins 8 heures. Après 8 heures, transférez les haricots avec l'eau dans un autocuiseur et faites cuire sous pression pendant 6 à 8 sifflements. Éteignez le feu et laissez la pression se relâcher naturellement. Ouvrez l'autocuiseur, égouttez l'excès d'eau et réservez les haricots. Cliquez ici pour voir la vidéo expliquant comment cuire des haricots et des légumineuses dans l'autocuiseur. L'étape suivante consiste à mélanger tous les ingrédients de la galette de burger dans un grand bol. Dans un robot culinaire, ajoutez l'oignon, le gingembre, l'ail, les haricots noirs cuits, la chapelure, la farine d'avoine, les feuilles de menthe, le paprika, l'origan, le sel et le poivre nécessaires et mélangez jusqu'à ce que tout soit bien mélangé jusqu'à ce que le mélange de galettes se rassemble. Transférez le mixeur dans un grand bol et vérifiez le sel et les épices. Ajustez selon votre goût. Façonnez la galette de burger aux haricots noirs en 4 galettes de taille moyenne et réfrigérez pendant 30 minutes. La taille de la galette dépendra de la taille de votre pain à hamburger. L'étape suivante consiste à cuire les galettes dans une poêle. Préchauffez et graissez la poêle avec de l'huile. Placez les galettes de hamburger sur la poêle préchauffée et faites-les cuire jusqu'à ce qu'elles soient dorées des deux côtés. Vous pouvez éventuellement arroser d'un peu d'huile et poursuivre la cuisson. Une fois que les galettes de hamburger sont dorées uniformément, éteignez le feu. Placez les tranches de fromage sur les galettes. La chaleur du hamburger fera fondre le fromage. Placez les tranches de fromage sur les galettes. La chaleur du hamburger fera fondre le fromage. Prenez les pains à sandwich de blé entier, coupez-les en deux horizontalement, ajoutez de la sauce moutarde des deux côtés du pain. Placez les galettes de haricots noirs cuites et garnissez de laitue, de tomates tranchées et d'oignons. Servir chaud. Envelopper le burger aux haricots noirs fait maison dans du papier sulfurisé et l'emporter pour les pique-niques d'été ou pour un déjeuner d'après-midi d'été amusant avec un smoothie. Servir la recette du burger aux haricots noirs fait maison avec la recette des pommes de terre à la cajun et la recette du punch au thé vert à l'orange et à la menthe poivrée.</t>
  </si>
  <si>
    <t>https://www.archanaskitchen.com/homemade-black-bean-burger-recipe</t>
  </si>
  <si>
    <t>Nando's Peri Peri Chicken Recipe</t>
  </si>
  <si>
    <t>Nando's Peri-Peri-Hühnchen-Rezept</t>
  </si>
  <si>
    <t>Recette de poulet peri-peri de Nando</t>
  </si>
  <si>
    <t>Receta de pollo peri-peri de Nando</t>
  </si>
  <si>
    <t>400 grammes de poulet désossé, 100 grammes de marinade de poulet Nando's Peri Peri, feuilles de coriandre (Dhania) - petit bouquet, 2 cuillères à soupe d'huile d'olive extra vierge, 1 cuillère à soupe de jus de citron, 2 piments rouges frais - hachés (facultatif)</t>
  </si>
  <si>
    <t>400 grams Boneless chicken,100 grams Nando's Peri Peri Chicken Marinade,Coriander (Dhania) Leaves - small bunch,2 tablespoons Extra Virgin Olive Oil,1 tablespoon Lemon juice,2 Fresh Red chillies - chopped (optional)</t>
  </si>
  <si>
    <t>400 gramos de pollo deshuesado, 100 gramos de adobo de pollo Peri Peri de Nando, hojas de cilantro (Dhania) - manojo pequeño, 2 cucharadas de aceite de oliva virgen extra, 1 cucharada de jugo de limón, 2 chiles rojos frescos - picados (opcional)</t>
  </si>
  <si>
    <t xml:space="preserve">To begin making Nando's Peri Peri Chicken Recipe, add the chicken to a zip-closed bag and pour the marinade over top. Close the top and toss the chicken. Marinate overnight.Heat the oil in a shallow fry pan over medium heat, place chicken pieces in and cook until fully cooked.Turn to the other side and cook till evenly golden brown. Or you can deep fry them instead, as well. This takes about 10 minutes.Stir in coriander and chili and Serve with the lemon wedges.Serve Nando's Peri Peri Chicken Recipe along with Curried Couscous Recipe and a mocktail like Piña Colada Recipe (Pineapple with Coconut Milk Mocktail) for your evening party with your friends and family.
</t>
  </si>
  <si>
    <t>Para empezar a preparar la Receta de Pollo Peri Peri de Nando's, coloca el pollo en una bolsa con cierre hermético y vierte la marinada por encima. Cierra la bolsa y revuelve el pollo. Deja marinar durante la noche. Calienta el aceite en una sartén poco profunda a fuego medio, coloca los trozos de pollo y cocina hasta que estén completamente cocidos. Voltéalos hacia el otro lado y cocínalos hasta que estén dorados de manera uniforme. También puedes freírlos en abundante aceite. Esto toma unos 10 minutos. Incorpora el cilantro y el chile y sirve con las rodajas de limón. Sirve la Receta de Pollo Peri Peri de Nando's junto con la Receta de Cuscús al Curry y un cóctel sin alcohol como la Receta de Piña Colada (Cóctel sin alcohol de piña con leche de coco) para tu fiesta nocturna con tus amigos y familiares.</t>
  </si>
  <si>
    <t>Pour commencer à préparer la recette de poulet Peri Peri de Nando's, placez le poulet dans un sac à fermeture éclair et versez la marinade dessus. Fermez le sac et mélangez le poulet. Laissez mariner toute la nuit. Faites chauffer l'huile dans une poêle peu profonde à feu moyen, placez les morceaux de poulet et faites-les cuire jusqu'à ce qu'ils soient bien cuits. Retournez-les et faites-les dorer uniformément. Vous pouvez également les faire frire. Cela prend environ 10 minutes. Incorporez la coriandre et le piment et servez avec les quartiers de citron. Servez la recette de poulet Peri Peri de Nando's avec la recette de couscous au curry et un cocktail sans alcool comme la recette de Piña Colada (ananas au lait de coco) pour votre soirée entre amis et en famille.</t>
  </si>
  <si>
    <t>http://www.archanaskitchen.com/nando-s-peri-peri-chicken-recipe</t>
  </si>
  <si>
    <t>Chilli Roasted Black Eyed Peas Recipe</t>
  </si>
  <si>
    <t>Rezept für mit Chili geröstete Schwarzaugenbohnen</t>
  </si>
  <si>
    <t>Recette de haricots à œil noir rôtis au chili</t>
  </si>
  <si>
    <t>Receta de frijoles de ojo negro asados ​​con chile</t>
  </si>
  <si>
    <t>1 tasse de haricots à œil noir (Lobia) - trempés dans l'eau pendant la nuit, 2 cuillères à soupe de Tabasco Original - Sauce piquante, 1 cuillère à café de poudre de piment rouge, 1 cuillère à café de romarin, 1 cuillère à café d'origan séché, 1 jus de citron, Sel - au goût, Huile de tournesol</t>
  </si>
  <si>
    <t>1 cup Black Eyed Beans (Lobia) - soaked in water overnight,2 tablespoons Tabasco Original - Hot Sauce,1 teaspoon Red Chilli powder,1 teaspoon Rosemary,1 teaspoon Dried oregano,1 Lemon juice,Salt - to taste,Sunflower Oil</t>
  </si>
  <si>
    <t>1 taza de frijoles de ojo negro (Lobia) - remojados en agua durante la noche, 2 cucharadas de salsa picante Tabasco Original, 1 cucharadita de chile rojo en polvo, 1 cucharadita de romero, 1 cucharadita de orégano seco, jugo de 1 limón, sal - al gusto, aceite de girasol</t>
  </si>
  <si>
    <t xml:space="preserve">To begin making the Chilli Roasted Black Eyed Peas Recipe, we will cook the soaked black eyed peas in pressure cooker with water for about 2 whistle till the black eyed peas are just cooked.Allow the pressure to release naturally and drain all the water.Heat a flat skillet with oil, add cooked black eyed peas and fry till they crisp up.Add all the seasonings along with tobacco sauce, chilli powder, rosemary, dried oregano and salt and coat the black eyed peas well.Saute for 5 more minutes and turn off the heat and drizzle lemon juice over the chilli roasted black eyed peas and serve hot.Serve the Chili Roasted Black Eyed Peas Recipe along with Chai and some more tea time snacks like pakoda and Baked Chevdo Recipe (Chivda Mixture -Tea Time Snack).
</t>
  </si>
  <si>
    <t>Para empezar a preparar la Receta de Guisantes de Ojo Negro Asados ​​con Chile, cocinaremos los guisantes de ojo negro remojados en una olla a presión con agua durante unos 2 silbidos hasta que estén cocidos. Deje que la presión se libere naturalmente y escurra toda el agua. Caliente una sartén plana con aceite, agregue los guisantes de ojo negro cocidos y fría hasta que estén crujientes. Agregue todos los condimentos junto con la salsa de tabaco, el chile en polvo, el romero, el orégano seco y la sal y cubra bien los guisantes de ojo negro. Saltee durante 5 minutos más y apague el fuego y rocíe jugo de limón sobre los guisantes de ojo negro asados ​​con chile y sirva caliente. Sirva la Receta de Guisantes de Ojo Negro Asados ​​con Chile junto con Chai y algunos bocadillos más para la hora del té como pakoda y Receta de Chevdo Horneado (Mezcla de Chivda - Bocadillo para la Hora del Té).</t>
  </si>
  <si>
    <t>Pour commencer à préparer la recette de pois aux yeux noirs rôtis au piment, nous allons cuire les pois aux yeux noirs trempés dans une cocotte-minute avec de l'eau pendant environ 2 minutes jusqu'à ce que les pois aux yeux noirs soient cuits. Laissez la pression se relâcher naturellement et égouttez toute l'eau. Faites chauffer une poêle plate avec de l'huile, ajoutez les pois aux yeux noirs cuits et faites-les frire jusqu'à ce qu'ils soient croustillants. Ajoutez tous les assaisonnements ainsi que la sauce au tabac, la poudre de chili, le romarin, l'origan séché et le sel et enrobez bien les pois aux yeux noirs. Faites sauter pendant 5 minutes supplémentaires, puis éteignez le feu et arrosez les pois aux yeux noirs rôtis au piment de jus de citron et servez chaud. Servez la recette de pois aux yeux noirs rôtis au piment avec du chai et d'autres collations à l'heure du thé comme le pakoda et la recette de chevdo au four (mélange de chivda - collation à l'heure du thé).</t>
  </si>
  <si>
    <t>http://www.archanaskitchen.com/chilli-roasted-black-eyed-peas-recipe</t>
  </si>
  <si>
    <t>Cream Cheese Carrot Raisin Sandwich Recipe</t>
  </si>
  <si>
    <t>Rezept für ein Sandwich mit Frischkäse, Karotten und Rosinen</t>
  </si>
  <si>
    <t>Recette de sandwich au fromage frais, carottes et raisins secs</t>
  </si>
  <si>
    <t>Receta de sándwich de queso crema, zanahoria y pasas</t>
  </si>
  <si>
    <t>8 pains bruns de blé entier, 1/4 tasse de fromage à la crème Britannia, 1 tasse de carottes (Gajjar) - râpées, 3 cuillères à soupe de raisins secs, 12 cuillères à café de feuilles de coriandre (Dhania) - persil ou toute autre herbe de votre choix (facultatif)</t>
  </si>
  <si>
    <t>8 Whole Wheat Brown Bread,1/4 cup Britannia Cream Cheese,1 cup Carrots (Gajjar) - grated,3 tablespoon Raisins,12 teaspoon Coriander (Dhania) Leaves - parsley or any herb of choice (optional)</t>
  </si>
  <si>
    <t>8 panes integrales, 1/4 taza de queso crema Britannia, 1 taza de zanahorias (Gajjar) ralladas, 3 cucharadas de pasas, 12 cucharaditas de hojas de cilantro (Dhania), perejil o cualquier hierba de su elección (opcional)</t>
  </si>
  <si>
    <t xml:space="preserve">To begin making the Cream Cheese Carrot Raisin Sandwich Recipe,spread cream cheese on one side of all 4 bread slices.Spread grated carrots and then raisins on the top. Place the bread slices together to form Cream Cheese Carrot Raisin Sandwich and serve.Serve Cream Cheese Carrot Raisin Sandwich Recipe with Papaya &amp; Banana or Strawberry &amp; Oats Smoothie for your morning breakfast or your  Kids Lunch Box.
</t>
  </si>
  <si>
    <t>Para comenzar a preparar la receta del sándwich de zanahoria, pasas y queso crema, unta queso crema en un lado de las 4 rebanadas de pan. Unta zanahorias ralladas y pasas encima. Junta las rebanadas de pan para formar el sándwich de zanahoria, pasas y queso crema y sirve. Sirve el sándwich de zanahoria, pasas y queso crema con un batido de papaya y plátano o de fresa y avena en el desayuno o en la lonchera de tus hijos.</t>
  </si>
  <si>
    <t>Pour commencer à préparer la recette du sandwich au fromage à la crème, carottes et raisins secs, étalez du fromage à la crème sur un côté des 4 tranches de pain. Étalez des carottes râpées puis des raisins secs sur le dessus. Placez les tranches de pain ensemble pour former un sandwich au fromage à la crème, carottes et raisins secs et servez. Servez la recette du sandwich au fromage à la crème, carottes et raisins secs avec un smoothie à la papaye et à la banane ou à la fraise et à l'avoine pour votre petit-déjeuner du matin ou votre boîte à lunch pour enfants.</t>
  </si>
  <si>
    <t>http://www.archanaskitchen.com/cream-cheese-carrot-raisin-sandwich-recipe</t>
  </si>
  <si>
    <t>Whole Wheat Muesli Pancake with Spirulina Recipe</t>
  </si>
  <si>
    <t>Vollkornmüsli-Pfannkuchen mit Spirulina-Rezept</t>
  </si>
  <si>
    <t>Recette de crêpes au muesli complet et à la spiruline</t>
  </si>
  <si>
    <t>Receta de panqueques con muesli integral y espirulina</t>
  </si>
  <si>
    <t>1/2 tasse de flocons d'avoine instantanés (gruau), 1/4 tasse de farine de blé entier, 1/2 tasse de muesli - Saffola Lite Delight, 1/2 cuillère à café de levure chimique, 4 pruneaux - finement hachés, 1 cuillère à café de miel, 1/4 cuillère à café de sel, 1 cuillère à soupe de spiruline, 1/2 tasse de caillé (dahi / yaourt)</t>
  </si>
  <si>
    <t>1/2 cup Instant Oats (Oatmeal),1/4 cup Whole Wheat Flour,1/2 cup Muesli - Saffola Lite Delight,1/2 teaspoon Baking powder,4 Prunes - finely chopped,1 teaspoon Honey,1/4 teaspoon Salt,1 tablespoon Spirulina,1/2 cup Curd (Dahi / Yogurt)</t>
  </si>
  <si>
    <t>1/2 taza de avena instantánea (avena), 1/4 taza de harina integral, 1/2 taza de muesli - Saffola Lite Delight, 1/2 cucharadita de polvo para hornear, 4 ciruelas pasas - finamente picadas, 1 cucharadita de miel, 1/4 cucharadita de sal, 1 cucharada de espirulina, 1/2 taza de cuajada (Dahi / yogur)</t>
  </si>
  <si>
    <t xml:space="preserve">We begin making the Whole Wheat Muesli Pancake with Spirulina Recipe by mixing all the ingredients in a mixing bowl. Mix well till it combines.Heat a nonstick flat skillet, add a ladle of the pancake and flatten it evenly in the shape of a thick pan cake.After 2 minutes, flip it over carefully and cook it again on the other side for 2 more minutes till it is brown enough.Serve the Whole Wheat Muesli Pancake with Spirulina Recipe with some chopped strawberries and almond flaxes as a Healthy Breakfast Meal. 
</t>
  </si>
  <si>
    <t>Comenzamos preparando la receta de panqueque de muesli integral con espirulina mezclando todos los ingredientes en un tazón. Mezcle bien hasta que se integren. Caliente una sartén antiadherente plana, agregue un cucharón de panqueque y aplánelo uniformemente hasta formar un panqueque grueso. Después de 2 minutos, dale la vuelta con cuidado y cocínelo por el otro lado durante 2 minutos más hasta que esté lo suficientemente dorado. Sirva la receta de panqueque de muesli integral con espirulina con fresas picadas y semillas de lino y almendras como un desayuno saludable.</t>
  </si>
  <si>
    <t>Pour préparer la recette de la crêpe au muesli complet et à la spiruline, mélangez tous les ingrédients dans un saladier. Mélangez bien jusqu'à obtenir une consistance homogène. Faites chauffer une poêle antiadhésive, ajoutez une louche de crêpe et aplatissez-la uniformément pour obtenir une galette épaisse. Après 2 minutes, retournez-la délicatement et poursuivez la cuisson 2 minutes supplémentaires, jusqu'à ce qu'elle soit suffisamment dorée. Servez la recette de la crêpe au muesli complet et à la spiruline avec des fraises hachées et des graines de lin amandes pour un petit-déjeuner sain.</t>
  </si>
  <si>
    <t>https://www.archanaskitchen.com/whole-wheat-muesli-pancake-with-spirulina-recipe</t>
  </si>
  <si>
    <t>Chicken Corn Fritters Recipe</t>
  </si>
  <si>
    <t>Rezept für Hühnchen-Mais-Krapfen</t>
  </si>
  <si>
    <t>Recette de beignets de poulet et de maïs</t>
  </si>
  <si>
    <t>Receta de buñuelos de pollo y maíz</t>
  </si>
  <si>
    <t>1 tasse de poitrines de poulet, 1/2 tasse de grains de maïs entiers Del Monte, 1 œuf entier légèrement battu, 1/2 tasse de lait, 2 cuillères à soupe de beurre, 1/2 cuillère à café de sel, 1 cuillère à café de poudre de piment rouge, 1 cuillère à café de poudre de poivre noir, 1 tasse de farine tout usage (Maida), 1 cuillère à café de levure chimique, 1/2 tasse d'eau, huile de tournesol pour la friture</t>
  </si>
  <si>
    <t>1 cup Chicken breasts,1/2 cup Del Monte Whole Corn Kernels,1 Whole Egg - lightly beaten,1/2 cup Milk,2 tablespoons Butter,1/2 teaspoon Salt,1 teaspoon Red Chilli powder,1 teaspoon Black pepper powder,1 cup All Purpose Flour (Maida),1 teaspoon Baking powder,1/2 cup Water,Sunflower Oil - for deep frying</t>
  </si>
  <si>
    <t>1 taza de pechugas de pollo, 1/2 taza de granos de maíz enteros Del Monte, 1 huevo entero - ligeramente batido, 1/2 taza de leche, 2 cucharadas de mantequilla, 1/2 cucharadita de sal, 1 cucharadita de chile rojo en polvo, 1 cucharadita de pimienta negra en polvo, 1 taza de harina para todo uso (Maida), 1 cucharadita de polvo para hornear, 1/2 taza de agua, aceite de girasol - para freír</t>
  </si>
  <si>
    <t xml:space="preserve">To begin making the Chicken Corn Fritters recipe, wash chicken breasts with water thoroughly and chop them into small pieces.In a small pan, add the chopped chicken pieces and a pinch of salt. Add 2 to 3 tablespoons of water and cook for few minutes until the chicken turns white.Switch off the flame. Drain the water from the chicken and hammer them well. Gently mash them with hands.In a separate bowl, add flour, cooked chicken pieces, and beaten egg. Mix them together with a spatula.Add butter, milk, spice powders, salt and combine them together.Meanwhile, in a kadai, heat oil for frying fritters. Ensure the oil is right consistency by dropping a small ball of the flour and it should rise steadily.Once the oil is hot, take a small ball of the mixture and gently drop them into the oilFry the fritters in medium heat flipping occasionally until they turn golden in colour.Prepare this protein-rich Chicken Corn Fritters with Dhaniya Pudina Chutney and enjoy your evening with a hot cup of Masala Tea.
</t>
  </si>
  <si>
    <t>Para preparar la receta de Buñuelos de Pollo y Maíz, lave bien las pechugas de pollo con agua y córtelas en trozos pequeños. En una sartén pequeña, agregue los trozos de pollo picados y una pizca de sal. Añada de 2 a 3 cucharadas de agua y cocine durante unos minutos hasta que el pollo se ponga blanco. Apague el fuego. Escurra el agua del pollo y macháquelo bien. Aplástelo suavemente con las manos. En un recipiente aparte, agregue la harina, los trozos de pollo cocidos y el huevo batido. Mézclelos con una espátula. Añada la mantequilla, la leche, las especias en polvo y la sal y mezcle. Mientras tanto, en un kadai, caliente el aceite para freír los buñuelos. Asegúrese de que el aceite tenga la consistencia adecuada dejando caer una pequeña bola de harina; debería subir de forma constante. Una vez caliente el aceite, tome una pequeña bola de la mezcla y colóquela suavemente en el aceite. Fría los buñuelos a fuego medio, volteándolos de vez en cuando, hasta que se doren. Prepare estos buñuelos de pollo y maíz ricos en proteínas con chutney Dhaniya Pudina y disfrute de la velada con una taza caliente de té Masala.</t>
  </si>
  <si>
    <t>Pour préparer les beignets de poulet et de maïs, lavez soigneusement les blancs de poulet à l'eau et coupez-les en petits morceaux. Dans une petite casserole, ajoutez les morceaux de poulet hachés et une pincée de sel. Ajoutez 2 à 3 cuillères à soupe d'eau et faites cuire quelques minutes jusqu'à ce que le poulet blanchisse. Éteignez le feu. Égouttez le poulet et écrasez-le délicatement à la main. Dans un autre bol, ajoutez la farine, les morceaux de poulet cuits et l'œuf battu. Mélangez le tout à la spatule. Ajoutez le beurre, le lait, les épices en poudre et le sel, puis mélangez le tout. Pendant ce temps, dans un kadai, faites chauffer l'huile pour la friture des beignets. Assurez-vous que l'huile a la bonne consistance en déposant une petite boule de farine et elle devrait monter régulièrement. Une fois l'huile chaude, prenez une petite boule du mélange et déposez-la délicatement dans l'huile. Faites frire les beignets à feu moyen en les retournant de temps en temps jusqu'à ce qu'ils deviennent dorés. Préparez ces beignets de poulet et de maïs riches en protéines avec du chutney Dhaniya Pudina et profitez de votre soirée avec une tasse chaude de thé Masala.</t>
  </si>
  <si>
    <t>https://www.archanaskitchen.com/chicken-corn-fritters-recipe</t>
  </si>
  <si>
    <t>Spinach Salad Recipe With Boiled Eggs And Mushrooms</t>
  </si>
  <si>
    <t>Spinatsalat-Rezept mit gekochten Eiern und Pilzen</t>
  </si>
  <si>
    <t>Recette de salade d'épinards aux œufs durs et aux champignons</t>
  </si>
  <si>
    <t>Receta de ensalada de espinacas con huevos cocidos y champiñones</t>
  </si>
  <si>
    <t>5 champignons de Paris - tranchés, 1 cuillère à café d'huile d'olive extra vierge, 4 tasses de feuilles d'épinards (Palak) - (jeunes feuilles), 2 œufs entiers - durs et hachés, sel, poivre noir en poudre - au goût, 1 cuillère à soupe de jus de citron, 1/2 cuillère à café de gingembre, 1 cuillère à café de moutarde de Dijon, 2 cuillères à soupe d'huile de sésame (Gingelly), 1 cuillère à café de graines de citrouille - grillées</t>
  </si>
  <si>
    <t>5 Button mushrooms - sliced,1 teaspoon Extra Virgin Olive Oil,4 cups Spinach Leaves (Palak) - (baby leaves),2 Whole Eggs - hard boiled &amp; chopped,Salt,Black pepper powder - to taste,1 tablespoon Lemon juice,1/2 teaspoon Ginger,1 teaspoon Dijon Mustard,2 tablespoon Sesame (Gingelly) Oil,1 teaspoon Pumpkin seeds - roasted</t>
  </si>
  <si>
    <t>5 champiñones rebanados, 1 cucharadita de aceite de oliva virgen extra, 4 tazas de hojas de espinaca (Palak) (hojas baby), 2 huevos enteros cocidos y picados, sal, pimienta negra en polvo (al gusto), 1 cucharada de jugo de limón, 1/2 cucharadita de jengibre, 1 cucharadita de mostaza Dijon, 2 cucharadas de aceite de sésamo (Gingelly), 1 cucharadita de semillas de calabaza tostadas</t>
  </si>
  <si>
    <t xml:space="preserve">To start making Spinach Salad with Boiled Eggs and Mushrooms, in a saute pan add mushrooms with little olive oil, salt and pepper.Roast until the water evaporates, Keep aside.In a small bowl add lemon juice, grated ginger, sesame oil, dijon mustard with little salt and pepper. Whisk well until combined.In a large salad bowl, add sautéed mushrooms, spinach leaves with prepared vinaigrette and toss well to combine. Add eggs finally and stir well. Top with some roasted pumpkin seeds while serving.Serve the Spinach Salad with Boiled Eggs and Mushrooms along with a hearty soup like Curried Apple &amp; Celery Soup for a weeknight dinner or pack it into your lunch box for work.
</t>
  </si>
  <si>
    <t>Para empezar a preparar la ensalada de espinacas con huevos cocidos y champiñones, saltee los champiñones en una sartén con un poco de aceite de oliva, sal y pimienta. Áselos hasta que se evapore el agua. Reserve. En un tazón pequeño, agregue jugo de limón, jengibre rallado, aceite de sésamo y mostaza Dijon con un poco de sal y pimienta. Bata bien hasta que se integren. En una ensaladera grande, agregue los champiñones salteados, las hojas de espinaca con la vinagreta preparada y mezcle bien. Finalmente, agregue los huevos y revuelva bien. Espolvoree con semillas de calabaza tostadas al servir. Sirva la ensalada de espinacas con huevos cocidos y champiñones con una sopa abundante como la de manzana al curry y apio para una cena entre semana o llévela en su lonchera para el trabajo.</t>
  </si>
  <si>
    <t>Pour préparer une salade d'épinards aux œufs durs et aux champignons, faites revenir les champignons dans une sauteuse avec un peu d'huile d'olive, du sel et du poivre. Faites-les rôtir jusqu'à évaporation complète. Réservez. Dans un petit bol, ajoutez le jus de citron, le gingembre râpé, l'huile de sésame et la moutarde de Dijon, salez et poivrez légèrement. Fouettez bien jusqu'à homogénéité. Dans un grand saladier, ajoutez les champignons sautés, les feuilles d'épinards et la vinaigrette préparée, puis mélangez bien. Ajoutez enfin les œufs et mélangez bien. Parsemez de graines de courge grillées au moment de servir. Servez la salade d'épinards aux œufs durs et aux champignons avec une soupe consistante, comme une soupe de pommes au curry et de céleri, pour un dîner de semaine ou emportez-la dans votre boîte à lunch pour le travail.</t>
  </si>
  <si>
    <t>https://www.archanaskitchen.com/spinach-salad-with-boiled-eggs-and-mushrooms-recipe</t>
  </si>
  <si>
    <t>Delicious Avocado Salad Recipe with Vegetables</t>
  </si>
  <si>
    <t>Leckeres Avocadosalat-Rezept mit Gemüse</t>
  </si>
  <si>
    <t>Délicieuse recette de salade d'avocat aux légumes</t>
  </si>
  <si>
    <t>Deliciosa receta de ensalada de aguacate con verduras</t>
  </si>
  <si>
    <t>1 carotte (Gajjar) - coupée en petits morceaux, 2 avocats - écrasés, 1 concombre - coupé en petits morceaux, 1/4 tasse de tomates cerises - coupées en deux, 1/4 tasse d'olives noires - coupées en deux, 1/4 tasse de maïs doux - bouilli, 1 tasse de laitue iceberg - grossièrement hachée, 1 cuillère à café de graines de sésame (graines de Til), 1 cuillère à café d'huile d'olive extra vierge, 1 cuillère à café de miel, sel, poudre de poivre noir, feuilles de menthe (Pudina) - quelques brins finement hachés, 1 cuillère à café d'origan séché - écrasé (peut être haché si vous utilisez de l'origan frais)</t>
  </si>
  <si>
    <t>1 Carrots (Gajjar) - sliced into small pieces,2 Avocado - mashed,1 Cucumber - cut into small pieces,1/4 cup Cherry tomatoes - halved,1/4 cup Black olives - halved,1/4 cup Sweet corn - boiled,1 cup Iceberg lettuce - roughly chopped,1 teaspoon Sesame seeds (Til seeds),1 teaspoon Extra Virgin Olive Oil,1 teaspoon Honey,Salt,Black pepper powder,Mint Leaves (Pudina) - a few sprigs finely chopped,1 teaspoon Dried oregano - crushed (can chop if using fresh oregano)</t>
  </si>
  <si>
    <t>1 zanahoria (Gajjar) - cortada en trozos pequeños, 2 aguacates - machacados, 1 pepino - cortado en trozos pequeños, 1/4 taza de tomates cherry - cortados por la mitad, 1/4 taza de aceitunas negras - cortadas por la mitad, 1/4 taza de maíz dulce - hervido, 1 taza de lechuga iceberg - picada gruesa, 1 cucharadita de semillas de sésamo (semillas de Til), 1 cucharadita de aceite de oliva virgen extra, 1 cucharadita de miel, sal, pimienta negra en polvo, hojas de menta (Pudina) - unas ramitas finamente picadas, 1 cucharadita de orégano seco - triturado (se puede picar si se usa orégano fresco)</t>
  </si>
  <si>
    <t xml:space="preserve">To begin the preparation of Delicious Avocado Salad Recipe with Vegetables chop all the vegetables (carrot, avocado, cherry tomatoes, iceberg, cucumber and sweet corn) mentioned and mix in a salad bowl.In another bowl, add all the ingredients (olive oil, honey, salt, pepper, mint leaves and dried oregano) for the dressing. Mix it well. Refrigerate both separately and mix them only while serving. This will make sure the vegetables remain crunchy and do not leave water which is naturally present in them.Add sesame seeds and mix the salad well.Serve the Delicious Avocado Salad Recipe with Vegetables as a healthy evening snack, or as a dinner appetizers before Pan Grilled Balsamic Chicken Breast And Mushrooms. 
</t>
  </si>
  <si>
    <t>Para comenzar la preparación de la Deliciosa Receta de Ensalada de Aguacate con Verduras, corte todas las verduras mencionadas (zanahoria, aguacate, tomates cherry, lechuga iceberg, pepino y maíz dulce) y mézclelas en una ensaladera. En otro tazón, agregue todos los ingredientes (aceite de oliva, miel, sal, pimienta, hojas de menta y orégano seco) para el aderezo. Mezcle bien. Refrigere ambos ingredientes por separado y mézclelos solo al servir. Esto asegurará que las verduras permanezcan crujientes y no suelten el agua que está presente naturalmente en ellas. Agregue semillas de sésamo y mezcle bien la ensalada. Sirva la Deliciosa Receta de Ensalada de Aguacate con Verduras como un refrigerio saludable por la noche o como un aperitivo para la cena antes de la Pechuga de Pollo y Champiñones a la Plancha con Balsámico.</t>
  </si>
  <si>
    <t>Pour commencer la préparation de cette délicieuse salade d'avocats aux légumes, hachez tous les légumes mentionnés (carotte, avocat, tomates cerises, iceberg, concombre et maïs doux) et mélangez-les dans un saladier. Dans un autre bol, ajoutez tous les ingrédients (huile d'olive, miel, sel, poivre, feuilles de menthe et origan séché) pour la vinaigrette. Mélangez bien. Réfrigérez les deux ingrédients séparément et mélangez-les uniquement au moment de servir. Cela permettra aux légumes de rester croquants et de ne pas laisser l'eau naturellement présente. Ajoutez les graines de sésame et mélangez bien la salade. Servez cette délicieuse salade d'avocats aux légumes comme collation saine en soirée ou comme entrée avant le blanc de poulet balsamique poêlé et les champignons.</t>
  </si>
  <si>
    <t>http://www.archanaskitchen.com/delicious-avocado-salad-recipe-with-vegetables</t>
  </si>
  <si>
    <t>White Chocolate Pistachio Bars Recipe | White Chocolate Pistachio Fudge</t>
  </si>
  <si>
    <t>Rezept für weiße Schokoladen-Pistazien-Riegel | Weiße Schokoladen-Pistazien-Fudge</t>
  </si>
  <si>
    <t>Recette de barres de chocolat blanc et pistaches | Fudge au chocolat blanc et pistaches</t>
  </si>
  <si>
    <t>Receta de barra de chocolate blanco y pistacho | Fudge de chocolate blanco y pistacho</t>
  </si>
  <si>
    <t>1 tasse de chocolat blanc, 1 cuillère à soupe de beurre (non salé), 1/3 tasse de lait concentré, 1/2 tasse de pistaches hachées</t>
  </si>
  <si>
    <t>1 cup White Chocolate,1 tablespoon Butter (unsalted),1/3 cup Condensed Milk,1/2 cup Pistachios - chopped</t>
  </si>
  <si>
    <t>1 taza de chocolate blanco, 1 cucharada de mantequilla (sin sal), 1/3 de taza de leche condensada, 1/2 taza de pistachos picados</t>
  </si>
  <si>
    <t xml:space="preserve">To begin making White Chocolate Pistachio Bars Recipe | White Chocolate Pistachio Fudge, scrape in the chocolate in a microwave safe bowl.To this add in condensed milk and butter.Microwave it on medium for 1 minute, the chocolate will now start to melt. With the help of a spatula, mix everything well. If the chocolate is still chunky, melt in microwave for another 30 seconds.To the melted chocolate, now add in the chopped pistachios and mix well.Prepare a tin lined with parchment paper.Now pour the melted chocolate and refrigerate for an hour. After refrigeration the chocolate would have set .With a serrated knife chop into any desired shapes or break into bars and serve White Chocolate Pistachio Bars Recipe | White Chocolate Pistachio Fudge as a dessert with hot coffee.
</t>
  </si>
  <si>
    <t>Para preparar la receta de Barras de Pistacho y Chocolate Blanco | Fudge de Pistacho y Chocolate Blanco, vierta el chocolate en un recipiente apto para microondas. Añada la leche condensada y la mantequilla. Caliente en el microondas a potencia media durante 1 minuto; el chocolate comenzará a derretirse. Con una espátula, mezcle bien. Si el chocolate aún está grumoso, derrítalo en el microondas durante 30 segundos más. Añada los pistachos picados al chocolate derretido y mezcle bien. Prepare un molde forrado con papel vegetal. Vierta el chocolate derretido y refrigere durante una hora. Después de refrigerar, el chocolate habrá cuajado. Con un cuchillo de sierra, corte en la forma deseada o desmolde en barras y sirva la receta de Barras de Pistacho y Chocolate Blanco | Fudge de Pistacho y Chocolate Blanco como postre con café caliente.</t>
  </si>
  <si>
    <t>Pour commencer la recette des barres chocolatées et pistaches | Fudge au chocolat blanc et pistaches, versez le chocolat dans un bol allant au micro-ondes. Ajoutez le lait concentré et le beurre. Faites chauffer au micro-ondes à puissance moyenne pendant 1 minute, le chocolat commence à fondre. À l'aide d'une spatule, mélangez bien le tout. Si le chocolat est encore grumeleux, faites-le fondre au micro-ondes pendant 30 secondes supplémentaires. Ajoutez ensuite les pistaches hachées au chocolat fondu et mélangez bien. Préparez un moule recouvert de papier sulfurisé. Versez le chocolat fondu et réservez au réfrigérateur pendant une heure. Après refroidissement, le chocolat aura pris. À l'aide d'un couteau dentelé, découpez-le selon la forme souhaitée ou cassez-le en barres et servez-le en dessert avec un café chaud.</t>
  </si>
  <si>
    <t>http://www.archanaskitchen.com/white-chocolate-pistachio-bars-recipe-white-chocolate-pistachio-fudge</t>
  </si>
  <si>
    <t>Whole Wheat Oats And Pesto Bread Recipe</t>
  </si>
  <si>
    <t>Rezept für Vollkorn-Hafer-Pesto-Brot</t>
  </si>
  <si>
    <t>Recette de pain au pesto et à l'avoine complète</t>
  </si>
  <si>
    <t>Receta de pan de avena integral con pesto</t>
  </si>
  <si>
    <t>3/4 tasse de farine de blé entier, 1/3 tasse de flocons d'avoine instantanés (gruau), 3 cuillères à soupe de pesto au basilic maison, 1 cuillère à café de levure sèche active, 2 cuillères à soupe d'huile d'olive extra vierge, 1 cuillère à café de sel, 1 cuillère à café de poudre d'ail</t>
  </si>
  <si>
    <t>3/4 cup Whole Wheat Flour,1/3 cup Instant Oats (Oatmeal),3 tablespoons Homemade Basil Pesto,1 teaspoon Active dry yeast,2 tablespoons Extra Virgin Olive Oil,1 teaspoon Salt,1 teaspoon Garlic powder</t>
  </si>
  <si>
    <t>3/4 taza de harina integral, 1/3 taza de avena instantánea (avena), 3 cucharadas de pesto de albahaca casero, 1 cucharadita de levadura seca activa, 2 cucharadas de aceite de oliva virgen extra, 1 cucharadita de sal, 1 cucharadita de ajo en polvo</t>
  </si>
  <si>
    <t xml:space="preserve">To begin making the Whole Wheat Oats And Pesto Bread Recipe, mix the flour, oats, salt, yeast, garlic and pesto together either using the paddle attachment of your hand mixer. (If you are using active dry yeast or fresh yeast you will have to let the yeast stand in water for 10 minutes before mixing)When it's just about combined, switch to the dough hook and slowly add warm water and knead it starts looking a dough like. Add the oil at this stage and knead using the hand mixer for about 5 minutes until you notice the dough begins to come away from the sides of the pan.If you are kneading by hand continue kneading for 10 minutes or so. You need to knead it the dough is soft and elastic in nature.Once you have kneaded the dough, place the dough in a greased bowl, covered with cling wrap and leave it in a warm place for 1 to 2 hours till it rises and becomes double in size.Once you notice the dough has doubled in size after a couple of hours, knock back all the air out of the fermented dough and knead it gently again for about 2-3 minutes. At this point of time don’t be very harsh with your dough.Let the dough rest for another 15 minutes. Knock back the air again and shape it into a desired shape and place it on the baking tray.Let it proof again (rise) for about 45 minutes or so till it doubles. About 15 minutes after, preheat your oven to 250 C.Brush the bread with egg wash (optional but it gives the crust a beautiful color, if you don’t want to use egg you can also use oil + milk to brush the bread)Reduce the temperature of the oven to 200 C and place the bake the bread for about 35 minutes or until the crust is browned and the bottom of the bread sounds hollow when tapped.Remove the bread from the oven and allow it to cool completely before you can serve.Serve the Whole Wheat Oats And Pesto Bread once it has cooled down along with Minestrone Soup for a weeknight dinner.
</t>
  </si>
  <si>
    <t>Para empezar a preparar el pan integral de avena y pesto, mezcle la harina, la avena, la sal, la levadura, el ajo y el pesto con la batidora de mano. (Si usa levadura seca activa o levadura fresca, déjela reposar en agua durante 10 minutos antes de mezclar). Cuando esté casi integrado, cambie a la batidora de gancho y agregue lentamente agua tibia. Amase hasta que la masa adquiera la consistencia deseada. Añada el aceite y amase con la batidora de mano durante unos 5 minutos hasta que note que la masa se despega de las paredes. Si amasa a mano, continúe durante unos 10 minutos. Tienes que amasarla, la masa es suave y elástica por naturaleza. Una vez que hayas amasado la masa, colócala en un recipiente engrasado, cúbrela con film transparente y déjala en un lugar cálido durante 1 o 2 horas hasta que suba y doble su tamaño. Una vez que notes que la masa ha duplicado su tamaño después de un par de horas, retira todo el aire de la masa fermentada y amásala suavemente de nuevo durante unos 2-3 minutos. En este punto, no seas muy duro con la masa. Deja reposar la masa durante otros 15 minutos. Vuelve a retirar el aire, dale la forma deseada y colócala en la bandeja para hornear. Déjala reposar de nuevo (subir) durante unos 45 minutos aproximadamente hasta que duplique su tamaño. Después de unos 15 minutos, precalienta el horno a 250 °C. Pincela el pan con huevo batido (opcional, pero le da un color bonito a la corteza; si no quieres usar huevo, también puedes usar aceite y leche para pintar el pan). Reduce la temperatura del horno a 200 °C y hornea el pan durante unos 35 minutos o hasta que la corteza esté dorada y la base del pan suene hueca al golpearla. Retira el pan del horno y deja que se enfríe por completo antes de servir. Sirve el pan integral de avena y pesto una vez que se haya enfriado junto con la sopa minestrone para una cena entre semana.</t>
  </si>
  <si>
    <t>Pour commencer la recette du pain complet à l'avoine et au pesto, mélangez la farine, les flocons d'avoine, le sel, la levure, l'ail et le pesto à l'aide du fouet plat de votre batteur électrique. (Si vous utilisez de la levure sèche active ou fraîche, laissez-la reposer dans l'eau pendant 10 minutes avant de mélanger.) Une fois le mélange homogène, utilisez le crochet pétrisseur et ajoutez lentement de l'eau tiède. Pétrissez jusqu'à obtenir une pâte. Ajoutez l'huile et pétrissez au batteur électrique pendant environ 5 minutes, jusqu'à ce que la pâte se détache des parois de la casserole. Si vous pétrissez à la main, continuez à pétrir pendant environ 10 minutes. Vous devez la pétrir, la pâte est molle et élastique par nature. Une fois que vous avez pétri la pâte, placez-la dans un bol graissé, recouvert d'un film alimentaire et laissez-la dans un endroit chaud pendant 1 à 2 heures jusqu'à ce qu'elle lève et double de volume. Une fois que vous remarquez que la pâte a doublé de volume après quelques heures, chassez tout l'air de la pâte fermentée et pétrissez-la à nouveau doucement pendant environ 2 à 3 minutes. À ce stade, ne soyez pas très dur avec votre pâte. Laissez reposer la pâte pendant encore 15 minutes. Chassez à nouveau l'air et façonnez-la dans la forme souhaitée et placez-la sur la plaque de cuisson. Laissez-la lever à nouveau (lever) pendant environ 45 minutes jusqu'à ce qu'elle double de volume. Environ 15 minutes après, préchauffez votre four à 250 °C. Badigeonnez le pain de dorure à l'œuf (facultatif mais cela donne à la croûte une belle couleur, si vous ne voulez pas utiliser d'œuf, vous pouvez également utiliser de l'huile + du lait pour badigeonner le pain). Réduisez la température du four à 200 °C et placez le pain au four pendant environ 35 minutes ou jusqu'à ce que la croûte soit dorée et que le dessous du pain sonne creux lorsqu'on le tapote. Retirez le pain du four et laissez-le refroidir complètement avant de servir. Servez le pain complet à l'avoine et au pesto une fois refroidi avec une soupe minestrone pour un dîner de semaine.</t>
  </si>
  <si>
    <t>https://www.archanaskitchen.com/whole-wheat-oats-and-pesto-bread-recipe</t>
  </si>
  <si>
    <t>Whole Wheat Butter Cookies Recipe</t>
  </si>
  <si>
    <t>Rezept für Vollkornbutterkekse</t>
  </si>
  <si>
    <t>Recette de biscuits au beurre de blé entier</t>
  </si>
  <si>
    <t>Receta de galletas de mantequilla de trigo integral</t>
  </si>
  <si>
    <t>1 tasse de farine de blé entier, 1/3 tasse de cassonade (sucre Demerara), 1/4 tasse de sucre décoratif (paillettes pour gâteaux/bonbons), 1/2 cuillère à café de poudre de cardamome (Elaichi), 1 pincée de levure chimique, 100 grammes de beurre - (ajuster), 50 grammes d'huile d'olive extra vierge</t>
  </si>
  <si>
    <t>1 cup Whole Wheat Flour,1/3 cup Brown Sugar (Demerara Sugar),1/4 cup Decorative sugar (Cake/ Candy Sprinkles),1/2 teaspoon Cardamom Powder (Elaichi),1 pinch Baking powder,100 grams Butter - (adjust),50 gram Extra Virgin Olive Oil</t>
  </si>
  <si>
    <t>1 taza de harina integral, 1/3 taza de azúcar morena (azúcar Demerara), 1/4 taza de azúcar decorativa (chispas para pastel/dulces), 1/2 cucharadita de cardamomo en polvo (Elaichi), 1 pizca de polvo para hornear, 100 gramos de mantequilla - (ajustar), 50 gramos de aceite de oliva virgen extra</t>
  </si>
  <si>
    <t xml:space="preserve">To prepare Whole Wheat Butter Cookies Recipe, powder Sugar and cardamom in a Mixer into a fine mix.Mix flour, sugar, cardamom, sprinkles, baking powder in a mixing bowl and mix them well.Add the olive oil and mix well.Melt the butter (optional) and add into the mix little by little. You may choose not to melt the butter as the hand heat itself is enough while mixing.Make the whole grain butter cookie dough.Grease your hands with butter and make small balls and flatten them into round shaped cookies. Or you can shape them the way you like, with a cookie cutter.Take a Baking tray and place baking sheet/parchment paper.Place the cookies one by one giving a good gap of at least an inch between each one of them.If required use a fork and just put a simple design.Preheat Oven for 5 minutes at 180 degrees Celsius.Place the cookies and let it bake. It will take around 12 – 15 minutes. Keep watching after 10 minutes as the baking varies with ovens.Once baked, place them on a wire rack and let Whole Wheat Butter Cookies cool completely.Store Whole Wheat Butter Cookies Recipe in an air-tight container and served with Milkshake to the kids or with Masala Chai or Qahwa to adults.
</t>
  </si>
  <si>
    <t>Para preparar la receta de galletas de mantequilla integral, mezcla el azúcar en polvo y el cardamomo en una batidora hasta obtener una mezcla fina. Mezcla la harina, el azúcar, el cardamomo, las chispas y el polvo para hornear en un tazón y mezcla bien. Agrega el aceite de oliva y mezcla bien. Derrite la mantequilla (opcional) y agrégala a la mezcla poco a poco. Puedes optar por no derretir la mantequilla, ya que el calor de las manos es suficiente mientras mezclas. Prepara la masa para galletas de mantequilla integral. Engrasa tus manos con mantequilla, forma pequeñas bolas y aplánalas hasta formar galletas redondas. O puedes darles la forma que prefieras con un cortador de galletas. Toma una bandeja para hornear y coloca papel para hornear o papel pergamino. Coloca las galletas una por una dejando un buen espacio de al menos una pulgada entre cada una. Si es necesario, usa un tenedor y simplemente haz un diseño simple. Precalienta el horno durante 5 minutos a 180 grados Celsius. Coloca las galletas y deja hornear. Tomará alrededor de 12 a 15 minutos. Sigue observando después de 10 minutos, ya que el horneado varía según el horno. Una vez horneadas, colócalas sobre una rejilla y deja que las galletas de mantequilla integral se enfríen por completo. Guarda la receta de galletas de mantequilla integral en un recipiente hermético y sírvelas con batido para los niños o con Masala Chai o Qahwa para los adultos.</t>
  </si>
  <si>
    <t>Pour préparer la recette des biscuits au beurre complet, mélangez finement le sucre et la cardamome au mixeur. Dans un saladier, mélangez la farine, le sucre, la cardamome, les vermicelles et la levure chimique. Ajoutez l'huile d'olive et mélangez bien. Faites fondre le beurre (facultatif) et incorporez-le petit à petit. Vous pouvez choisir de ne pas le faire fondre, la chaleur des mains suffit pour mélanger. Préparez la pâte à biscuits au beurre complet. Beurrez vos mains et formez de petites boules que vous aplatirez pour obtenir des biscuits ronds. Vous pouvez également les façonner à votre guise avec un emporte-pièce. Prenez une plaque de cuisson et placez-y du papier sulfurisé. Disposez les biscuits un par un en les espaçant d'au moins 2,5 cm. Si nécessaire, utilisez une fourchette et dessinez un motif simple. Préchauffez le four 5 minutes à 180 °C. Disposez les biscuits et laissez cuire environ 12 à 15 minutes. Continuez à surveiller après 10 minutes car la cuisson varie selon les fours. Une fois cuits, placez-les sur une grille et laissez les biscuits au beurre de blé entier refroidir complètement. Conservez la recette de biscuits au beurre de blé entier dans un récipient hermétique et servez-la avec un milkshake pour les enfants ou avec du Masala Chai ou du Qahwa pour les adultes.</t>
  </si>
  <si>
    <t>https://www.archanaskitchen.com/whole-wheat-butter-cookies-recipe</t>
  </si>
  <si>
    <t xml:space="preserve">Broccoli, Paneer &amp; Peanut Sandwich Recipe </t>
  </si>
  <si>
    <t>Rezept für Sandwich mit Brokkoli, Paneer und Erdnüssen</t>
  </si>
  <si>
    <t>4 pains complets bruns, 1 brocoli (une tête), 150 grammes de paneer (fromage cottage fait maison) coupé en petits cubes, 4 cuillères à soupe de cacahuètes grillées (moongphali) (une livre), 4 gousses d'ail hachées, 2 cuillères à soupe de sauce chili rouge, 1 cuillère à café de poivre noir en poudre, sel (au goût), 2 cuillères à soupe de beurre, 1 cuillère à café d'huile de tournesol</t>
  </si>
  <si>
    <t>4 Whole Wheat Brown Bread,1 Broccoli - one head,150 grams Paneer (Homemade Cottage Cheese) - cut into small cubes,4 tablespoons Roasted Peanuts (Moongphali) - pound,4 cloves Garlic - chopped,2 tablespoons Red Chilli sauce,1 teaspoon Black pepper powder,Salt - to taste,2 tablespoons Butter,1 teaspoon Sunflower Oil</t>
  </si>
  <si>
    <t>4 panes integrales, 1 brócoli (una cabeza), 150 gramos de paneer (queso cottage casero) cortado en cubos pequeños, 4 cucharadas de cacahuetes tostados (Moongphali) (una libra), 4 dientes de ajo picados, 2 cucharadas de salsa de chile rojo, 1 cucharadita de pimienta negra en polvo, sal al gusto, 2 cucharadas de mantequilla, 1 cucharadita de aceite de girasol</t>
  </si>
  <si>
    <t xml:space="preserve">To begin making the Broccoli, Paneer &amp; Peanut Sandwich Recipe, in a mixing bowl, add the broccoli florets and pour 1 cup of boiling hot water over it and let it sit. Heat oil in a skillet on medium heat, add garlic and saute until it turns light brown in colour. This will take about a minute or so.Once the garlic has turned golden brown, drain the water from the broccoli and add it to the pan, stir fry for a couple of minutes. Do not overcook as broccoli loses its nutrition when overcooked. To the cooked broccoli, add crumbled paneer, salt, pepper powder, sichuan sauce and saute until the ingredients are well combined.Once done turn off the heat, mix in the toasted peanut and keep aside to cool. Preheat the sandwich maker.Apply butter on either side of the bread slices. On one of the slice add the Broccoli, Paneer &amp; Peanut stuffing and cover it with the other bread slice to make a sandwich. Toast Broccoli, Paneer &amp; Peanut Sandwich in a sandwich maker until golden brown. Once done transfer the Broccoli, Paneer &amp; Peanut Sandwich from the sandwich maker and into a serving plate. Slice the Broccoli, Paneer &amp; Peanut Sandwich diagonally and serve. Serve Broccoli, Paneer &amp; Peanut Sandwich Recipe along with a Date and Banana Smoothie or a freshly squeezed Orange Juice for a delectable breakfast option.
</t>
  </si>
  <si>
    <t>Para comenzar a hacer la Receta de Sándwich de Brócoli, Paneer y Maní, en un tazón, agregue los floretes de brócoli y vierta 1 taza de agua hirviendo sobre ellos y déjelos reposar. Caliente el aceite en una sartén a fuego medio, agregue el ajo y saltee hasta que se vuelva de color marrón claro. Esto tomará alrededor de un minuto más o menos. Una vez que el ajo se haya vuelto dorado, escurra el agua del brócoli y agréguelo a la sartén, saltee durante un par de minutos. No lo cocine demasiado ya que el brócoli pierde su nutrición cuando se cocina demasiado. Al brócoli cocido, agregue paneer desmenuzado, sal, pimienta en polvo, salsa Sichuan y saltee hasta que los ingredientes estén bien combinados. Una vez hecho esto, apague el fuego, mezcle con el maní tostado y reserve para que se enfríe. Precaliente la sandwichera. Aplique mantequilla en ambos lados de las rebanadas de pan. En una de las rebanadas agregue el relleno de brócoli, paneer y maní y cúbralo con la otra rebanada de pan para hacer un sándwich. Tuesta el sándwich de brócoli, paneer y cacahuete en una sandwichera hasta que esté dorado. Una vez listo, transfiérelo de la sandwichera a un plato para servir. Córtalo en diagonal y sírvelo. Sirve la receta del sándwich de brócoli, paneer y cacahuete junto con un batido de dátiles y plátano o un zumo de naranja recién exprimido para un desayuno delicioso.</t>
  </si>
  <si>
    <t>Pour commencer à préparer la recette du sandwich au brocoli, au paneer et aux arachides, dans un bol, ajoutez les fleurons de brocoli et versez 1 tasse d'eau bouillante dessus et laissez reposer. Faites chauffer l'huile dans une poêle à feu moyen, ajoutez l'ail et faites revenir jusqu'à ce qu'il devienne brun clair. Cela prendra environ une minute. Une fois que l'ail est doré, égouttez l'eau du brocoli et ajoutez-le à la poêle, faites sauter pendant quelques minutes. Ne faites pas trop cuire car le brocoli perd ses nutriments lorsqu'il est trop cuit. Au brocoli cuit, ajoutez le paneer émietté, le sel, la poudre de poivre, la sauce sichuanaise et faites revenir jusqu'à ce que les ingrédients soient bien mélangés. Une fois terminé, éteignez le feu, incorporez les arachides grillées et réservez pour refroidir. Préchauffez la machine à sandwich. Appliquez du beurre de chaque côté des tranches de pain. Sur l'une des tranches, ajoutez la farce au brocoli, au paneer et aux arachides et recouvrez-la de l'autre tranche de pain pour faire un sandwich. Faites griller le sandwich au brocoli, au paneer et aux cacahuètes dans un appareil à sandwich jusqu'à ce qu'il soit doré. Une fois cuit, transférez le sandwich au brocoli, au paneer et aux cacahuètes de l'appareil à sandwich dans une assiette de service. Coupez le sandwich au brocoli, au paneer et aux cacahuètes en diagonale et servez. Servez la recette du sandwich au brocoli, au paneer et aux cacahuètes avec un smoothie aux dattes et à la banane ou un jus d'orange fraîchement pressé pour un délicieux petit-déjeuner.</t>
  </si>
  <si>
    <t>https://www.archanaskitchen.com/broccoli-paneer-peanut-sandwich-recipe</t>
  </si>
  <si>
    <t>Beetroot And Celery Juice Recipe</t>
  </si>
  <si>
    <t>Rezept für Rote-Bete-Sellerie-Saft</t>
  </si>
  <si>
    <t>Recette de jus de betterave et de céleri</t>
  </si>
  <si>
    <t>Receta de jugo de remolacha y apio</t>
  </si>
  <si>
    <t>2 betteraves coupées en dés, 1 branche de céleri, 2,5 cm de gingembre, une pincée de sel noir (Kala Namak) au goût</t>
  </si>
  <si>
    <t>2 Beetroot - diced,1 Stalk Celery,1 inch Ginger,pinch Black Salt (Kala Namak) - to taste</t>
  </si>
  <si>
    <t>2 remolachas cortadas en cubitos, 1 tallo de apio, 1 pulgada de jengibre, una pizca de sal negra (Kala Namak) al gusto</t>
  </si>
  <si>
    <t xml:space="preserve">To begin making the Beetroot And Celery Juice Recipe, get all the ingredients ready and all you need to do is add the raw cut vegetables into the Juicer. Extract the first juice and add more water to get the 2nd extract out from the pulp. Pour the juice into a jar, add the salt and lemon if required. Check the taste and adjust the consistency of the juice by adding more water if required.Serve the Beetroot And Celery Juice immediately along with Whole Wheat Pancake Recipe With Banana, Honey And Nuts.to get the maximum benefits from the raw vegetables.
</t>
  </si>
  <si>
    <t>Para empezar a preparar el jugo de remolacha y apio, prepara todos los ingredientes. Solo tienes que añadir las verduras crudas cortadas al exprimidor. Extrae el primer jugo y añade más agua para extraer el segundo extracto de la pulpa. Vierte el jugo en un frasco y añade sal y limón si es necesario. Prueba el sabor y ajusta la consistencia del jugo añadiendo más agua si es necesario. Sirve el jugo de remolacha y apio inmediatamente junto con la receta de panqueques de trigo integral con plátano, miel y nueces para aprovechar al máximo los beneficios de las verduras crudas.</t>
  </si>
  <si>
    <t>Pour commencer à préparer la recette de jus de betterave et de céleri, préparez tous les ingrédients et ajoutez simplement les légumes crus coupés dans l'extracteur de jus. Extrayez le premier jus et ajoutez plus d'eau pour extraire le deuxième extrait de la pulpe. Versez le jus dans un bocal, ajoutez du sel et du citron si nécessaire. Vérifiez le goût et ajustez la consistance du jus en ajoutant plus d'eau si nécessaire. Servez le jus de betterave et de céleri immédiatement avec la recette de crêpes au blé complet à la banane, au miel et aux noix pour profiter au maximum des bienfaits des légumes crus.</t>
  </si>
  <si>
    <t>https://www.archanaskitchen.com/beetroot-and-celery-juice-recipe</t>
  </si>
  <si>
    <t>Nut Filled Chocolate Pastry Recipe</t>
  </si>
  <si>
    <t>Rezept für Schokoladengebäck mit Nussfüllung</t>
  </si>
  <si>
    <t>Recette de pâtisseries au chocolat fourrées aux noix</t>
  </si>
  <si>
    <t>Receta de pastelitos de chocolate rellenos de nueces</t>
  </si>
  <si>
    <t>1 pâte feuilletée, 1 barre de chocolat, 8 noix de cajou concassées, 1 œuf entier, sucre en poudre (selon les besoins)</t>
  </si>
  <si>
    <t>1 Puff Pastry Sheet,1 Chocolate Bar,8 Cashew nuts - crushed,1 Whole Egg,Caster Sugar - as needed</t>
  </si>
  <si>
    <t>1 lámina de hojaldre, 1 barra de chocolate, 8 anacardos triturados, 1 huevo entero, azúcar glas (la necesaria)</t>
  </si>
  <si>
    <t xml:space="preserve">To begin making Nut Filled Chocolate Pastry Recipe, preheat your oven at 200 C. prepare a baking sheet lined with a parchment paper.Flatten the puff pastry sheet using a rolling pin and give it a rectangular shape.Now place the chocolate bar in the middle of the puff pastry.Sprinkle the crushed cashew nuts on top of the chocolate bar.Next, make cuts in the pastry sheet using a knife or kitchen scissor for braiding. Pull in alternative free ends of the pastry sheet that is cut slantly. Once the braiding is done, then carefully place the braided pastry of baking tray lined with parchment paper.Now take egg + 1 teaspoon water in a small bowl and whisk it using a fork.Apply this egg wash on the top of the pastry using a silicon brush.You can also use milk instead of the egg if you are a vegetarian.Bake the pastry for 20 minutes or until it turns golden in colour.Dust some powdered sugar on the pastry and serve the warm pastry with a hot cup of tea.Optional: Once the pastry is baked, you can stick some cashew nuts on top of it and bake it again for 5 more minutes before cooling it down to room temperature.Serve Nut Filled Chocolate Pastry Recipe as a dessert after a dinner of Cheesy Pasta Casserole With Broccoli And Cheese Recipe or along with Maple Roasted Cinnamon Spiced Latte Recipe in the evening.
</t>
  </si>
  <si>
    <t>Para empezar a preparar la receta de Pastel de Chocolate Relleno de Nueces, precalienta el horno a 200 °C. Prepara una bandeja para hornear forrada con papel vegetal. Aplana la lámina de hojaldre con un rodillo y dale forma rectangular. Coloca la barra de chocolate en el centro. Espolvorea los anacardos triturados sobre la barra de chocolate. A continuación, haz cortes en la lámina de hojaldre con un cuchillo o unas tijeras de cocina para trenzar. Retira los extremos libres de la lámina de hojaldre que esté cortada oblicuamente. Una vez que el trenzado esté listo, coloque con cuidado la masa trenzada en una bandeja para hornear forrada con papel pergamino. Ahora tome huevo + 1 cucharadita de agua en un tazón pequeño y bátalo con un tenedor. Aplique este baño de huevo en la parte superior de la masa con un pincel de silicona. También puede usar leche en lugar del huevo si es vegetariano. Hornee la masa durante 20 minutos o hasta que se dore. Espolvoree un poco de azúcar glas sobre la masa y sirva la masa caliente con una taza de té caliente. Opcional: Una vez que la masa esté horneada, puede pegar algunos anacardos encima y hornearla de nuevo durante 5 minutos más antes de enfriarla a temperatura ambiente. Sirva la Receta de Pastel de Chocolate Relleno de Nueces como postre después de una cena de Cazuela de Pasta con Queso, Brócoli y Queso o junto con la Receta de Latte con Especias de Canela Tostada con Arce por la noche.</t>
  </si>
  <si>
    <t>Pour commencer la recette de pâte feuilletée au chocolat fourrée aux noix, préchauffez votre four à 200 °C. Préparez une plaque de cuisson recouverte de papier sulfurisé. Aplatissez la pâte feuilletée à l'aide d'un rouleau à pâtisserie et donnez-lui une forme rectangulaire. Placez ensuite la barre de chocolat au centre. Parsemez de noix de cajou concassées. Ensuite, faites des entailles dans la pâte à l'aide d'un couteau ou de ciseaux de cuisine pour tresser. Rentrez les extrémités libres de la pâte coupées en biais. Une fois le tressage terminé, placez délicatement la pâte tressée sur une plaque de cuisson recouverte de papier sulfurisé. Prenez maintenant l'œuf + 1 cuillère à café d'eau dans un petit bol et fouettez-le à l'aide d'une fourchette. Appliquez cette dorure sur le dessus de la pâte à l'aide d'un pinceau en silicone. Vous pouvez également utiliser du lait à la place de l'œuf si vous êtes végétarien. Faites cuire la pâte pendant 20 minutes ou jusqu'à ce qu'elle devienne dorée. Saupoudrez un peu de sucre glace sur la pâte et servez la pâte chaude avec une tasse de thé chaud. Facultatif : une fois la pâte cuite, vous pouvez coller des noix de cajou dessus et la faire cuire à nouveau pendant 5 minutes supplémentaires avant de la laisser refroidir à température ambiante. Servez la recette de pâtisserie au chocolat fourrée aux noix en dessert après un dîner de recette de casserole de pâtes au fromage avec brocoli et fromage ou avec une recette de latte épicé à la cannelle rôtie à l'érable le soir.</t>
  </si>
  <si>
    <t>http://www.archanaskitchen.com/nut-filled-chocolate-pastry-recipe</t>
  </si>
  <si>
    <t>Filter Coffee Fudge Brownies Recipe</t>
  </si>
  <si>
    <t>Rezept für Filterkaffee-Fudge-Brownies</t>
  </si>
  <si>
    <t>Recette de brownies au fudge et au café filtre</t>
  </si>
  <si>
    <t>Receta de brownie de café filtrado y dulce de azúcar</t>
  </si>
  <si>
    <t>1 tasse de beurre - à température ambiante + plus pour graisser, 4 œufs entiers, 1/4 tasse de décoction de café, 1 cuillère à soupe de poudre de cacao, 1 tasse de cassonade (sucre Demerara), 1 cuillère à café d'extrait de vanille, 350 grammes de chocolat noir - (j'ai utilisé 70% de cacao), 1/2 tasse de farine tout usage (Maida), 1/2 tasse de noix, 1/2 tasse de pépites de chocolat noir, 1 tasse de crème à fouetter épaisse, 1 1/4 tasse de pépites de chocolat noir - ou de chocolat haché, 1 cuillère à soupe de poudre de café instantané - (comme Nescafé)</t>
  </si>
  <si>
    <t>1 cup Butter - at room temperature + more for greasing,4 Whole Eggs,1/4 cup Coffee Decoction,1 tablespoon Cocoa Powder,1 cup Brown Sugar (Demerara Sugar),1 teaspoon Vanilla Extract,350 grams Dark chocolate - (i used 70% cocoa),1/2 cup All Purpose Flour (Maida),1/2 cup Walnuts,1/2 cup Dark Chocolate Chips,1 cup Heavy whipping cream,1 1/4 cup Dark Chocolate Chips - or chopped chocolate,1 tablespoon Instant Coffee Powder - (like Nescafé)</t>
  </si>
  <si>
    <t>1 taza de mantequilla - a temperatura ambiente + más para engrasar, 4 huevos enteros, 1/4 taza de decocción de café, 1 cucharada de cacao en polvo, 1 taza de azúcar morena (azúcar Demerara), 1 cucharadita de extracto de vainilla, 350 gramos de chocolate negro - (usé 70% cacao), 1/2 taza de harina para todo uso (Maida), 1/2 taza de nueces, 1/2 taza de chispas de chocolate negro, 1 taza de crema batida espesa, 1 1/4 taza de chispas de chocolate negro - o chocolate picado, 1 cucharada de café instantáneo en polvo - (como Nescafé)</t>
  </si>
  <si>
    <t xml:space="preserve">To make the Filter Coffee Fudge Brownies Recipe, prepare a Square brownie pan by greasing it with butter and line it with greaseproof paper.Preheat the Oven to 180 degree Celsius.Melt dark chocolate bar and butter in a heatproof bowl over a pot of simmering water (double boiling method). Make sure water doesn’t touch the bottom of the bowl. Once melted, turn off the heat.Now add the filter coffee, cocoa powder, vanilla extract and sugar into the chocolate mixture and whisk well until the sugar has dissolved.Now crack an egg into a bowl and then transfer it into the chocolate mixture and whisk it in until it is combined.Repeat it with the remaining eggs. Sift in the flour and salt, fold it in gently.Now combine the walnuts and chocolate chips into the batter.Pour this mixture into the prepared tin and bake it for 30-40 minutes or until the skewer comes out clean.Transfer this to a cooling rack and cool completely.Meanwhile to prepare the frosting, in a saucepan, add cream and swirl in the instant coffee and bring it to a gentle simmer. Let it infuse for half an hour.Now strain this mixture into a fresh saucepan and bring this to a gentle boil.Pour this over a bowl of chocolate chips and let it sit for a minute. Now gently mix it with a spatula until it is homogenous and well combined.Transfer the brownie back into the tin it was baked in and pour this fudge sauce over the brownie and spread it all over. (This helps in brownie be thickly covered with fudge). Now let this sit on the counter for 3-4 hours.Slice Filter Coffee Fudge Brownies Recipe and serve either warm or cold, with a scoop of vanilla ice cream with dessert at the end of the meal.
</t>
  </si>
  <si>
    <t>Para preparar la receta de brownies de fudge con café de filtro, prepara un molde cuadrado para brownies engrasándolo con mantequilla y cúbrelo con papel vegetal. Precalienta el horno a 180 °C. Derrite la barra de chocolate negro y la mantequilla en un recipiente resistente al calor sobre una olla con agua hirviendo a fuego lento (método de baño maría). Asegúrate de que el agua no toque el fondo del recipiente. Una vez derretida, apaga el fuego. Agrega el café de filtro, el cacao en polvo, el extracto de vainilla y el azúcar a la mezcla de chocolate y bate bien hasta que el azúcar se disuelva. Casca un huevo en un tazón, incorpóralo a la mezcla de chocolate y bátelo hasta que se integre. Repite el proceso con los huevos restantes. Tamiza la harina y la sal, incorpóralas suavemente. Ahora combina las nueces y las chispas de chocolate en la masa. Vierte esta mezcla en el molde preparado y hornea durante 30-40 minutos o hasta que al insertar un palillo, este salga limpio. Transfiere esto a una rejilla para enfriar y deja enfriar completamente. Mientras tanto, para preparar el glaseado, en una cacerola, agrega la crema e incorpora el café instantáneo y llévalo a fuego lento. Deja infusionar durante media hora. Ahora cuela esta mezcla en una cacerola nueva y llévala a ebullición suave. Vierte esto sobre un tazón de chispas de chocolate y deja reposar durante un minuto. Ahora mezcla suavemente con una espátula hasta que esté homogéneo y bien combinado. Transfiere el brownie de vuelta al molde en el que se horneó y vierte esta salsa de fudge sobre el brownie y extiéndela por todas partes. (Esto ayuda a que el brownie quede bien cubierto de fudge). Ahora deje reposar esto en la encimera durante 3 a 4 horas. Corte la receta de brownies de fudge con café de filtro y sírvala caliente o fría, con una bola de helado de vainilla como postre al final de la comida.</t>
  </si>
  <si>
    <t>Pour réaliser la recette des brownies au fudge et au café filtre, préparez un moule à brownies carré en le beurrant et en le recouvrant de papier sulfurisé. Préchauffez le four à 180 °C. Faites fondre la tablette de chocolat noir et le beurre dans un bol résistant à la chaleur, au-dessus d'une casserole d'eau frémissante (méthode du double bain-marie). Assurez-vous que l'eau ne touche pas le fond du bol. Une fois fondu, éteignez le feu. Ajoutez ensuite le café filtre, le cacao en poudre, l'extrait de vanille et le sucre au mélange de chocolat et fouettez bien jusqu'à ce que le sucre soit dissous. Cassez ensuite un œuf dans un bol, puis transférez-le dans le mélange de chocolat et fouettez jusqu'à ce que le tout soit bien mélangé. Répétez l'opération avec les œufs restants. Tamisez la farine et le sel et incorporez délicatement. Incorporez ensuite les noix et les pépites de chocolat à la pâte. Versez ce mélange dans le moule préparé et enfournez pour 30 à 40 minutes, ou jusqu'à ce que la brochette en ressorte propre. Transférez le tout sur une grille et laissez refroidir complètement. Pendant ce temps, préparez le glaçage : dans une casserole, ajoutez la crème, incorporez le café instantané et portez à frémissement. Laissez infuser une demi-heure. Filtrez le mélange dans une casserole propre et portez à ébullition. Versez le mélange sur un bol de pépites de chocolat et laissez reposer une minute. Mélangez délicatement à la spatule jusqu'à obtenir une consistance homogène. Remettez le brownie dans son moule et versez la sauce au fudge sur le brownie. (Cela permet d'obtenir une couche épaisse de fudge sur le brownie.) Laissez reposer sur le comptoir pendant 3 à 4 heures. Coupez la recette des brownies au fudge et au café filtre en tranches et servez-la chaude ou froide, avec une boule de glace à la vanille en dessert à la fin du repas.</t>
  </si>
  <si>
    <t>https://www.archanaskitchen.com/filter-coffee-fudge-brownies-recipe</t>
  </si>
  <si>
    <t>Peanut Butter And Flax Oats Bar With Chocolate Chip Recipe</t>
  </si>
  <si>
    <t>Rezept für einen Erdnussbutter-Leinsamen-Haferriegel mit Schokoladenstückchen</t>
  </si>
  <si>
    <t>Recette de barre d'avoine au beurre de cacahuète et aux graines de lin avec pépites de chocolat</t>
  </si>
  <si>
    <t>Receta de barra de avena con mantequilla de maní, semillas de lino y chispas de chocolate</t>
  </si>
  <si>
    <t>1 1/2 tasse de flocons d'avoine instantanés (gruau), 1/2 tasse de beurre d'arachide, 1/4 tasse de miel, 2 cuillères à soupe de graines de lin moulues, 1/4 tasse de pépites de chocolat</t>
  </si>
  <si>
    <t>1 1/2 cup Instant Oats (Oatmeal),1/2 cup Peanut Butter,1/4 cup Honey,2 tablespoons Flax seeds - ground,1/4 cup Chocolate chips</t>
  </si>
  <si>
    <t>1 1/2 taza de avena instantánea (avena), 1/2 taza de mantequilla de maní, 1/4 taza de miel, 2 cucharadas de semillas de lino molidas, 1/4 taza de chispas de chocolate</t>
  </si>
  <si>
    <t xml:space="preserve">To begin with the Peanut Butter And Flax Oats Bar With Chocolate Chip Recipe first, line a pan with foil or parchment paper.Take a mixing bowl and add the oats and ground flax into it. Combine well.Melt the honey and peanut butter together until it’s smooth enough to mix with the oats. You could do this in the microwave for approximately 1 to 2 minutes because it’s faster]Combine the mixture with the oats and flax and mix well.Allow it to cool for some time. Add the chocolate chips and stir well. Pour it into your prepared pan, and store it in the refrigerator/ freezer for a four hours until it’s set enough to cut into squares.Once ready cut them into squares and serve them. Serve the Peanut Butter And Flax Oat Squares With Chocolate Chips as a snack and munch it whenever you are hungry or serve it with some Cantaloupe Pomegranate and Mint Juice.
</t>
  </si>
  <si>
    <t>Para comenzar con la receta de barra de avena con mantequilla de maní y lino con chispas de chocolate, primero forre un molde con papel aluminio o papel pergamino. Tome un tazón y agregue la avena y el lino molido. Combine bien. Derrita la miel y la mantequilla de maní juntas hasta que esté lo suficientemente suave como para mezclar con la avena. Puede hacer esto en el microondas durante aproximadamente 1 a 2 minutos porque es más rápido]. Combine la mezcla con la avena y el lino y mezcle bien. Deje que se enfríe por un tiempo. Agregue las chispas de chocolate y revuelva bien. Vierta la mezcla en el molde preparado y guárdelo en el refrigerador/congelador durante cuatro horas hasta que esté lo suficientemente cuajado como para cortarlo en cuadritos. Una vez listo, córtelos en cuadritos y sírvalos. Sirva los cuadrados de avena con mantequilla de maní y lino con chispas de chocolate como un refrigerio y cómalos cuando tenga hambre o sírvalos con un poco de jugo de melón, granada y menta.</t>
  </si>
  <si>
    <t>Pour commencer la recette de la barre d'avoine au beurre de cacahuète et au lin avec des pépites de chocolat, recouvrez un moule de papier aluminium ou de papier sulfurisé. Prenez un bol et ajoutez-y l'avoine et le lin moulu. Bien mélanger. Faites fondre le miel et le beurre de cacahuète jusqu'à ce que le mélange soit suffisamment lisse pour être mélangé à l'avoine. Vous pouvez le faire au micro-ondes pendant environ 1 à 2 minutes, car c'est plus rapide. Mélangez le mélange avec l'avoine et le lin et mélangez bien. Laissez refroidir un moment. Ajoutez les pépites de chocolat et remuez bien. Versez le mélange dans votre moule préparé et conservez-le au réfrigérateur/congélateur pendant quatre heures, jusqu'à ce qu'il soit suffisamment pris pour être coupé en carrés. Une fois prêts, coupez-les en carrés et servez-les. Servez les carrés d'avoine au beurre de cacahuète et au lin avec des pépites de chocolat comme collation et grignotez-les chaque fois que vous avez faim ou servez-les avec du jus de cantaloup, de grenade et de menthe.</t>
  </si>
  <si>
    <t>http://www.archanaskitchen.com/peanut-butter-and-flax-oats-bar-with-chocolate-chip-recipe</t>
  </si>
  <si>
    <t>Beetroot and Carrot Veg balls with sautéed leek Recipe</t>
  </si>
  <si>
    <t>Rote-Bete-Karotten-Gemüsebällchen mit sautiertem Lauch Rezept</t>
  </si>
  <si>
    <t>Recette de boulettes de légumes à la betterave et à la carotte avec poireaux sautés</t>
  </si>
  <si>
    <t>Receta de albóndigas de remolacha y zanahoria con puerros salteados</t>
  </si>
  <si>
    <t>1 poireau finement émincé, 1 cuillère à café de graines de sésame noires, 1 cuillère à café de beurre, 2 carottes (Gajjar) épluchées et râpées, 1 betterave pelée et râpée, 50 grammes de paneer (fromage cottage maison) émietté, 2,5 cm de gingembre haché, 1 oignon haché, 1 cuillère à café d'origan séché, 1 cuillère à café d'estragon, 1 cuillère à café de romarin, 2 cuillères à café de flocons de piment rouge, 1 cuillère à café de miel, 2 cuillères à soupe de farine de pois chiche (besan), sel au goût, huile de tournesol</t>
  </si>
  <si>
    <t>1 Leek - thinly sliced,1 teaspoon Black sesame seeds,1 teaspoon Butter,2 Carrots (Gajjar) - pelled and grated,1 Beetroot - peeled and grated,50 grams Paneer (Homemade Cottage Cheese) - crumbled,1 inch Ginger - chopped,1 Onion - chopped,1 teaspoon Dried oregano,1 teaspoon Tarragon,1 teaspoon Rosemary,2 teaspoon Red Chilli flakes,1 teaspoon Honey,2 tablespoon Gram flour (besan),Salt - to taste,Sunflower Oil</t>
  </si>
  <si>
    <t>1 puerro - en rodajas finas, 1 cucharadita de semillas de sésamo negro, 1 cucharadita de mantequilla, 2 zanahorias (gajjar) - peladas y ralladas, 1 remolacha - pelada y rallada, 50 gramos de paneer (requesón casero) - desmenuzado, 1 pulgada de jengibre - picado, 1 cebolla - picada, 1 cucharadita de orégano seco, 1 cucharadita de estragón, 1 cucharadita de romero, 2 cucharaditas de hojuelas de chile rojo, 1 cucharadita de miel, 2 cucharadas de harina de garbanzos (besan), sal - al gusto, aceite de girasol</t>
  </si>
  <si>
    <t xml:space="preserve">To begin making the Beetroot and Carrot Veg balls with sautéed leek Recipe, we will keep all the vegetables ready.Heat a skillet with oil, add ginger and allow it to soften. Add onions and stir fry till they turn translucent.Add grated carrot and beetroot and saute till they are cooked. Add paneer along with all the dried seasonings and salt.Add honey and chickpea flour and give it a stir. The mixture will become soft and sticky.Switch off the heat. Heat a kuzhi paniyaram pan with oil to fry. Once the veg ball mixture cools down. Shape them to balls and place it in each cavity and fry evenly till Beetroot and Carrot Veg balls crisps up.Once done keep it aside. Do the same for the rest of the mixture.Heat a flat skillet separately with butter, add black sesame seeds and add sliced leeks into it.Saute till it softens add salt and stir well. Place the sautéed leeks first over a plate and then place your crispy vegetable balls on top.Serve the Beetroot and Carrot Veg balls with sauteed leek Recipe along with some Tzatziki dip or Mexican Chilli &amp; Cheesy Bean Dip Recipe with a bowl of Potato and Spring Onion Soup Recipe and Baked Creamy Potato Gratin Recipe for Sunday brunch.
</t>
  </si>
  <si>
    <t>Para comenzar a hacer la receta de bolas de verduras de remolacha y zanahoria con puerro salteado, tendremos todas las verduras listas. Calentamos una sartén con aceite, agregamos jengibre y dejamos que se ablande. Agregamos cebollas y salteamos hasta que se vuelvan translúcidas. Agregamos zanahoria rallada y remolacha y salteamos hasta que estén cocidas. Agregamos paneer junto con todos los condimentos secos y sal. Agregamos miel y harina de garbanzos y revolvemos. La mezcla se volverá suave y pegajosa. Apagamos el fuego. Calentamos una sartén kuzhi paniyaram con aceite para freír. Una vez que la mezcla de bolas de verduras se enfríe, formamos bolas y las colocamos en cada cavidad y freímos uniformemente hasta que las bolas de verduras de remolacha y zanahoria estén crujientes. Una vez hecho esto, lo dejamos a un lado. Hacemos lo mismo con el resto de la mezcla. Calentamos una sartén plana por separado con mantequilla, agregamos semillas de sésamo negro y agregamos puerros en rodajas. Salteamos hasta que se ablande, agregamos sal y revolvemos bien. Coloque primero los puerros salteados en un plato y luego coloque las bolitas de verduras crujientes encima. Sirva las bolitas de verduras de remolacha y zanahoria con puerro salteado junto con salsa tzatziki o salsa mexicana de chile y frijoles con queso, junto con un tazón de sopa de papa y cebolleta y un gratinado cremoso de papa al horno para el brunch del domingo.</t>
  </si>
  <si>
    <t>Pour commencer à préparer la recette de boulettes de légumes à la betterave et à la carotte avec poireaux sautés, nous garderons tous les légumes prêts. Faites chauffer une poêle avec de l'huile, ajoutez le gingembre et laissez-le ramollir. Ajoutez les oignons et faites sauter jusqu'à ce qu'ils deviennent translucides. Ajoutez la carotte râpée et la betterave et faites sauter jusqu'à ce qu'elles soient cuites. Ajoutez le paneer avec tous les assaisonnements séchés et le sel. Ajoutez le miel et la farine de pois chiche et remuez. Le mélange deviendra mou et collant. Éteignez le feu. Faites chauffer une poêle kuzhi paniyaram avec de l'huile pour faire frire. Une fois le mélange de boulettes de légumes refroidi, façonnez-les en boules et placez-les dans chaque cavité et faites-les frire uniformément jusqu'à ce que les boulettes de légumes à la betterave et à la carotte deviennent croustillantes. Une fois terminé, gardez-le de côté. Faites de même pour le reste du mélange. Faites chauffer une poêle plate séparément avec du beurre, ajoutez des graines de sésame noir et ajoutez-y des poireaux émincés. Faites sauter jusqu'à ce qu'il ramollisse, ajoutez du sel et remuez bien. Placez d'abord les poireaux sautés sur une assiette, puis placez vos boulettes de légumes croustillantes dessus. Servez la recette de boulettes de légumes à la betterave et à la carotte avec des poireaux sautés avec une sauce tzatziki ou une sauce mexicaine au piment et aux haricots au fromage avec un bol de soupe de pommes de terre et d'oignons nouveaux et de gratin de pommes de terre crémeux au four pour le brunch du dimanche.</t>
  </si>
  <si>
    <t>http://www.archanaskitchen.com/ginger-and-carrot-veg-balls-with-sauteed-leek-recipe</t>
  </si>
  <si>
    <t>Wheat Berry Salad With Cranberries &amp; Carrots Recipe</t>
  </si>
  <si>
    <t>Weizenbeerensalat mit Preiselbeeren und Karotten Rezept</t>
  </si>
  <si>
    <t>Recette de salade de grains de blé aux canneberges et aux carottes</t>
  </si>
  <si>
    <t>Receta de ensalada de trigo con arándanos y zanahoria</t>
  </si>
  <si>
    <t>1 orange - peler et retirer la chair de la membrane, 1/2 cuillère à café de feuilles de thym frais - hachées, 1/2 cuillère à café de romarin, 2 cuillères à soupe d'huile d'olive extra vierge, 1 cuillère à soupe de vinaigrette au vin rouge, sel et poivre - au goût, 1/2 tasse de grains de blé/blé entier, 1 = carotte (Gajjar) - finement tranchée, 1/4 tasse de canneberges - séchées, 1/8 tasse de noix - ou de pacanes</t>
  </si>
  <si>
    <t>1 Orange - peel and remove the flesh from membrane,1/2 teaspoon Fresh Thyme leaves - chopped,1/2 teaspoon Rosemary,2 tablespoon Extra Virgin Olive Oil,1 tablespoon Red Wine Vinaigrette,Salt and Pepper - to taste,1/2 cup Wheat Berries/ Whole Wheat,1 = Carrot (Gajjar) - thinly sliced,1/4 cup Cranberries - dried,1/8 cup Walnuts - or pecans</t>
  </si>
  <si>
    <t>1 naranja - pelar y retirar la pulpa de la membrana, 1/2 cucharadita de hojas de tomillo fresco - picadas, 1/2 cucharadita de romero, 2 cucharadas de aceite de oliva virgen extra, 1 cucharada de vinagreta de vino tinto, sal y pimienta - al gusto, 1/2 taza de granos de trigo / trigo integral, 1 = zanahoria (Gajjar) - en rodajas finas, 1/4 taza de arándanos rojos - secos, 1/8 taza de nueces - o pecanas</t>
  </si>
  <si>
    <t xml:space="preserve">To begin making the Wheat Berry Salad With Cranberries &amp; Carrots Recipe, we will first soak and cook the wheat berries until soft and firm.Soak the wheat berries for a couple of hours. Once soaked, drain the water out. Place the berries along with 1 cup of water and salt in a saucepan. Bring the wheat berries to a brisk boil.Once it comes to a brisk boil, cover the pan and cook until soft and all the water is absorbed. Turn off the heat. If you feel the berries are not yet cooked, add a little more water and simmer until soft.Once the wheat berries are cooked through, allow it to cool.Now to start making wheat berry salad, in a large bowl, combine the orange juice, thyme, rosemary, oil and vinegar. Whisk well to combine and season with required salt and pepper.Add wheat berries, carrot, cherries, orange segments and pecans to the dressing and toss to combine. Check the salt and seasonings and adjust to suit your taste.Serve the Wheat Berry Salad with Cranberries and Carrots as a complete meal for summers or even as a salad for dinner or lunch alongside Cheese and Spinach Tart Recipe.
</t>
  </si>
  <si>
    <t>Para comenzar a hacer la receta de ensalada de trigo con arándanos rojos y zanahorias, primero remojaremos y cocinaremos los granos de trigo hasta que estén suaves y firmes. Remoje los granos de trigo durante un par de horas. Una vez remojados, escurra el agua. Coloque las bayas junto con 1 taza de agua y sal en una cacerola. Hierva los granos de trigo. Una vez que hierva, cubra la cacerola y cocine hasta que estén suaves y se haya absorbido toda el agua. Apague el fuego. Si siente que las bayas aún no están cocidas, agregue un poco más de agua y cocine a fuego lento hasta que estén suaves. Una vez que los granos de trigo estén bien cocidos, déjelos enfriar. Ahora, para comenzar a hacer la ensalada de trigo, en un tazón grande, combine el jugo de naranja, el tomillo, el romero, el aceite y el vinagre. Bata bien para combinar y sazone con la sal y la pimienta necesarias. Agregue los granos de trigo, la zanahoria, las cerezas, los gajos de naranja y las nueces pecanas al aderezo y revuelva para combinar. Pruebe la sal y los condimentos y ajuste a su gusto. Sirva la ensalada de trigo con arándanos rojos y zanahorias como una comida completa para el verano o incluso como ensalada para la cena o el almuerzo junto con la receta de tarta de queso y espinacas.</t>
  </si>
  <si>
    <t>Pour commencer à préparer la recette de salade de grains de blé aux canneberges et aux carottes, nous allons d'abord faire tremper et cuire les grains de blé jusqu'à ce qu'ils soient tendres et fermes. Faites tremper les grains de blé pendant quelques heures. Une fois trempés, égouttez l'eau. Placez les grains avec 1 tasse d'eau et du sel dans une casserole. Portez les grains de blé à ébullition vive. Une fois à ébullition vive, couvrez la casserole et laissez cuire jusqu'à ce qu'ils soient tendres et que toute l'eau soit absorbée. Éteignez le feu. Si vous sentez que les grains ne sont pas encore cuits, ajoutez un peu plus d'eau et laissez mijoter jusqu'à ce qu'ils soient tendres. Une fois les grains de blé bien cuits, laissez-les refroidir. Maintenant, pour commencer à préparer la salade de grains de blé, dans un grand bol, mélangez le jus d'orange, le thym, le romarin, l'huile et le vinaigre. Fouettez bien pour mélanger et assaisonnez avec le sel et le poivre nécessaires. Ajoutez les grains de blé, la carotte, les cerises, les segments d'orange et les pacanes à la vinaigrette et mélangez. Vérifiez le sel et les assaisonnements et ajustez-les selon votre goût. Servez la salade de blé aux canneberges et aux carottes comme un repas complet pour l'été ou même comme salade pour le dîner ou le déjeuner avec la recette de tarte au fromage et aux épinards.</t>
  </si>
  <si>
    <t>http://www.archanaskitchen.com/wheat-berry-salad-with-cranberries-recipe</t>
  </si>
  <si>
    <t>Hawaiian Chicken Skewers Recipe</t>
  </si>
  <si>
    <t>Rezept für hawaiianische Hähnchenspieße</t>
  </si>
  <si>
    <t>Recette de brochettes de poulet hawaïennes</t>
  </si>
  <si>
    <t>Receta de brochetas de pollo hawaianas</t>
  </si>
  <si>
    <t>2 tasses de poitrines de poulet coupées en dés, 1/3 tasse de ketchup, 1/4 tasse de cassonade (sucre Demerara), 1/3 tasse de sauce soja, 1/3 tasse de vinaigre blanc, 1/4 tasse de jus d'ananas, sel selon votre goût, 1 cuillère à soupe d'huile de sésame (gingembre), 6 gousses d'ail hachées, 1 cuillère à soupe de gingembre haché, 3 cuillères à soupe de grains de poivre noir entiers fraîchement moulus, 1 poivron rouge coupé en dés, 1 poivron jaune coupé en dés, 1 poivron vert coupé en dés, 1 tasse d'ananas coupé en dés</t>
  </si>
  <si>
    <t>2 cups Chicken breasts - cubed,1/3 cup Tomato Ketchup,1/4 cup Brown Sugar (Demerara Sugar),1/3 cup Soy sauce,1/3 cup White vinegar,1/4 cup Pineapple juice,Salt - as per your taste,1 tablespoon Sesame (Gingelly) Oil,6 cloves Garlic - minced,1 tablespoon Ginger - minced,3 tablespoons Whole Black Peppercorns - freshly ground,1 Red Bell pepper (Capsicum) - cubed,1 Yellow Bell Pepper (Capsicum) - cubed,1 Green Bell Pepper (Capsicum) - cubed,1 cup Pineapple - cubed</t>
  </si>
  <si>
    <t>2 tazas de pechugas de pollo en cubos, 1/3 de taza de ketchup de tomate, 1/4 de taza de azúcar morena (azúcar Demerara), 1/3 de taza de salsa de soja, 1/3 de taza de vinagre blanco, 1/4 de taza de jugo de piña, sal - a su gusto, 1 cucharada de aceite de sésamo (Gingelly), 6 dientes de ajo - picados, 1 cucharada de jengibre - picado, 3 cucharadas de granos de pimienta negra enteros - recién molidos, 1 pimiento rojo (Capsicum) - en cubos, 1 pimiento amarillo (Capsicum) - en cubos, 1 pimiento verde (Capsicum) - en cubos, 1 taza de piña - en cubos</t>
  </si>
  <si>
    <t xml:space="preserve">To prepare Hawaiian Chicken Skewers Recipe, get ready with all the ingredients mentioned and start by coarsely grinding ginger and garlic in a Mixer and keep aside.In a bowl, combine tomato ketchup, soy sauce, rice vinegar, sugar, salt, pepper, olive oil, sesame oil, ginger garlic paste, and chicken. Adjust spices to suit your taste. Mix them well. Place them in an airtight bowl. Keep them aside for about 2 hours.Preheat the Oven to 350 degrees Fahrenheit/180 degrees Celsius.Combine cubed peppers and pineapple chunks in a bowl. Add a tablespoon of olive oil, salt and pepper to the vegetables. Mix them together.In a wood skewer, thread chicken pieces, peppers, and pineapple chunks according to your imagination level. Soak the wood skewers in a cold water for about 20 minutes before usageArrange the wood skewers in a griller and cook them for about 15 minutes, turning sides for every 5 minutes.Brush the remaining oil on top of the chicken while cooking in an oven. The chicken would leave water on the tray while cooking and this is expected.Once the chicken pieces are half cooked, change the oven to broil mode and broil the chicken for about 10 minutes, turning sides for every 3-4 minutes.Once the chicken is cooked, remove the skewer from the oven and cool down. Do not overcook as the chicken might become hard and lose its juiciness.Serve Hawaiian chicken skewers recipe with with Crispy Whole Wheat Flatbread with Spinach Pesto &amp; Roasted Vegetables on the sides and homemade mayonnaise and enjoy the start of a perfect Hawaiian island dinner at the comfort of your home.
</t>
  </si>
  <si>
    <t>Para preparar la Receta de Brochetas de Pollo Hawaianas, prepárese con todos los ingredientes mencionados y comience moliendo grueso el jengibre y el ajo en una batidora y reserve. En un tazón, combine la salsa de tomate, la salsa de soja, el vinagre de arroz, el azúcar, la sal, la pimienta, el aceite de oliva, el aceite de sésamo, la pasta de jengibre y ajo y el pollo. Ajuste las especias a su gusto. Mézclelos bien. Colóquelos en un recipiente hermético. Manténgalos a un lado durante aproximadamente 2 horas. Precaliente el horno a 350 grados Fahrenheit/180 grados Celsius. Combine los pimientos cortados en cubos y los trozos de piña en un tazón. Agregue una cucharada de aceite de oliva, sal y pimienta a las verduras. Mézclalos. En una brocheta de madera, ensarte los trozos de pollo, los pimientos y los trozos de piña según su nivel de imaginación. Remoje las brochetas de madera en agua fría durante unos 20 minutos antes de usarlas. Coloque las brochetas de madera en una parrilla y cocínelas durante unos 15 minutos, volteándolas cada 5 minutos. Unte el aceite restante sobre el pollo mientras se cocina en el horno. El pollo dejaría agua en la bandeja mientras se cocina, lo cual es normal. Una vez que las piezas de pollo estén medio cocidas, cambie el horno a modo de asar y ase el pollo durante unos 10 minutos, volteándolos cada 3-4 minutos. Una vez que el pollo esté cocido, retire la brocheta del horno y enfríe. No lo cocine demasiado, ya que el pollo podría endurecerse y perder su jugosidad. Sirva la receta de brochetas de pollo hawaianas con pan plano integral crujiente con pesto de espinacas y verduras asadas como acompañamiento y mayonesa casera, y disfrute del comienzo de una cena isleña hawaiana perfecta en la comodidad de su hogar.</t>
  </si>
  <si>
    <t>Pour préparer la recette de brochettes de poulet hawaïennes, préparez tous les ingrédients mentionnés et commencez par broyer grossièrement le gingembre et l'ail dans un mixeur et réservez. Dans un bol, mélanger le ketchup, la sauce soja, le vinaigre de riz, le sucre, le sel, le poivre, l'huile d'olive, l'huile de sésame, la pâte de gingembre et d'ail et le poulet. Ajustez les épices selon votre goût. Mélangez-les bien. Placez-les dans un bol hermétique. Gardez-les de côté pendant environ 2 heures. Préchauffez le four à 350 degrés Fahrenheit/180 degrés Celsius. Mélangez les poivrons en cubes et les morceaux d'ananas dans un bol. Ajoutez une cuillère à soupe d'huile d'olive, du sel et du poivre aux légumes. Mélangez-les ensemble. Dans une brochette en bois, enfilez les morceaux de poulet, les poivrons et les morceaux d'ananas selon votre niveau d'imagination. Faites tremper les brochettes en bois dans de l'eau froide pendant environ 20 minutes avant utilisation. Disposez-les dans un gril et faites-les cuire pendant environ 15 minutes, en les retournant toutes les 5 minutes. Badigeonnez le poulet du reste d'huile pendant la cuisson au four. Le poulet laissera de l'eau sur la plaque pendant la cuisson, ce qui est normal. Une fois les morceaux de poulet à moitié cuits, passez le four en mode gril et faites griller le poulet pendant environ 10 minutes, en le retournant toutes les 3 à 4 minutes. Une fois le poulet cuit, retirez la brochette du four et laissez-la refroidir. Ne la faites pas trop cuire, car le poulet pourrait devenir dur et perdre sa jutosité. Servez la recette de brochettes de poulet hawaïennes avec du pain plat croustillant au blé entier, du pesto d'épinards et des légumes rôtis, ainsi que de la mayonnaise maison, et savourez le début d'un dîner hawaïen parfait dans le confort de votre maison.</t>
  </si>
  <si>
    <t>http://www.archanaskitchen.com/hawaiian-chicken-skewers-recipe</t>
  </si>
  <si>
    <t>Mushrooms Stuffed With Carrots And Mint Mayo Recipe</t>
  </si>
  <si>
    <t>Rezept für mit Karotten und Minzmayonnaise gefüllte Pilze</t>
  </si>
  <si>
    <t>Recette de champignons farcis aux carottes et mayonnaise à la menthe</t>
  </si>
  <si>
    <t>Receta de champiñones rellenos de zanahoria y mayonesa de menta</t>
  </si>
  <si>
    <t>10-12 champignons de Paris nettoyés, 1/2 carotte (Gajjar) pelée et râpée, 2-3 cuillères à soupe de mayonnaise à la menthe Del Monte, 1 cuillère à soupe d'oignons hachés, 1 ail écrasé, 2-3 cuillères à soupe de cacahuètes grillées (Moongphali) écrasées, 1/2 cuillère à café de grains de poivre noir entiers écrasés, 1 cuillère à soupe d'huile d'olive extra vierge, sel au goût</t>
  </si>
  <si>
    <t>10-12 Button mushrooms - cleaned,1/2 Carrot (Gajjar) - peeled and grated,2-3 tablespoons Del Monte Mint Mayo,1 tablespoon Onions - chopped,1 Garlic - crushed,2-3 tablespoons Roasted Peanuts (Moongphali) - crushed,1/2 teaspoon Whole Black Peppercorns - crushed,1 tablespoon Extra Virgin Olive Oil,Salt - to taste</t>
  </si>
  <si>
    <t>10-12 champiñones limpios, 1/2 zanahoria (gajjar) pelada y rallada, 2-3 cucharadas de mayonesa de menta Del Monte, 1 cucharada de cebolla picada, 1 ajo machacado, 2-3 cucharadas de cacahuetes tostados (moongphali) machacados, 1/2 cucharadita de granos de pimienta negra enteros machacados, 1 cucharada de aceite de oliva virgen extra, sal al gusto</t>
  </si>
  <si>
    <t xml:space="preserve">To begin making Mushrooms Stuffed With Carrots And Mint Mayo Recipe, first pre- heat the oven to 190 degree Celsius.Lightly grease a mini muffin pan or baking sheet with few drops little oil.Chop the mushroom stems.In a small pan, heat the oil. Add garlic, onion and sauté for a few seconds.Add the carrots and chopped mushroom stem. Sprinkle some salt and sauté for 1 minute or till the carrots and mushrooms sweat out. Take it off the heat.Add black pepper and Del Monte Mint Mayo.Using a spoon fill the mushroom caps with the carrot-mayo mixture.Sprinkle crushed groundnuts over it.Bake for 10-12 minutes till the mushrooms are cooked and filling slightly browns. You can alternatively pan fry the mushrooms using little oil.Serve Mushrooms Stuffed With Carrots And Mint Mayo Recipe hot as an appetizer or as an evening snack.
</t>
  </si>
  <si>
    <t>Para preparar la receta de Champiñones Rellenos de Zanahoria y Mayonesa de Menta, precalienta el horno a 190 °C. Engrasa ligeramente un molde para muffins o una bandeja para hornear con unas gotas de aceite. Pica los tallos de los champiñones. Calienta el aceite en una sartén pequeña. Agrega el ajo y la cebolla y sofríe durante unos segundos. Agrega las zanahorias y el tallo de los champiñones picados. Espolvorea con un poco de sal y sofríe durante 1 minuto o hasta que las zanahorias y los champiñones suden. Retira del fuego. Agrega pimienta negra y mayonesa de menta Del Monte. Con una cuchara, rellena los sombreros de los champiñones con la mezcla de zanahoria y mayonesa. Espolvorea cacahuetes triturados por encima. Hornea de 10 a 12 minutos hasta que los champiñones estén cocidos y el relleno se dore ligeramente. También puedes freírlos en la sartén con un poco de aceite. Sirve la receta de Champiñones Rellenos de Zanahoria y Mayonesa de Menta caliente como aperitivo o como merienda.</t>
  </si>
  <si>
    <t>Pour préparer les champignons farcis aux carottes et à la mayonnaise à la menthe, préchauffez le four à 190 °C. Graissez légèrement un moule à mini-muffins ou une plaque de cuisson avec quelques gouttes d'huile. Hachez les pieds des champignons. Dans une petite poêle, faites chauffer l'huile. Ajoutez l'ail et l'oignon et faites revenir quelques secondes. Ajoutez les carottes et les pieds des champignons hachés. Salez et faites revenir 1 minute, jusqu'à ce que les carottes et les champignons soient bien fondants. Retirez du feu. Ajoutez du poivre noir et de la mayonnaise à la menthe Del Monte. À l'aide d'une cuillère, garnissez les chapeaux des champignons du mélange carottes-mayonnaise. Parsemez de cacahuètes concassées. Enfournez 10 à 12 minutes, jusqu'à ce que les champignons soient cuits et que la garniture soit légèrement dorée. Vous pouvez également les poêler dans un peu d'huile. Servez les champignons farcis aux carottes et à la mayonnaise à la menthe chauds, en entrée ou en collation.</t>
  </si>
  <si>
    <t>https://www.archanaskitchen.com/mushrooms-stuffed-with-carrots-and-mint-mayo-recipe</t>
  </si>
  <si>
    <t>Parmesan And Fresh Herbs Savoury Scones Recipe</t>
  </si>
  <si>
    <t>Rezept für herzhafte Scones mit Parmesan und frischen Kräutern</t>
  </si>
  <si>
    <t>Recette de scones salés au parmesan et aux herbes fraîches</t>
  </si>
  <si>
    <t>Receta de Scones Salados con Parmesano y Hierbas Frescas</t>
  </si>
  <si>
    <t>2 tasses de farine tout usage (Maida), 1 cuillère à café de levure chimique, 2 cuillères à café de sucre, 1/2 cuillère à café de sel, 1/4 cuillère à café de bicarbonate de soude, 1 bâtonnet de beurre (non salé), 1 tasse de parmesan, 1/2 tasse d'herbes mélangées (séchées), 1/4 tasse de crème fraîche, 1/4 tasse de lait, 1 œuf entier</t>
  </si>
  <si>
    <t>2 cups All Purpose Flour (Maida),1 teaspoon Baking powder,2 teaspoon Sugar,1/2 teaspoon Salt,1/4 teaspoon Baking soda,1 Butter (unsalted) - stick,1 cup Parmesan cheese,1/2 cup Mixed Herbs (Dried),1/4 cup Fresh cream,1/4 cup Milk,1 Whole Egg</t>
  </si>
  <si>
    <t>2 tazas de harina para todo uso (Maida), 1 cucharadita de polvo para hornear, 2 cucharaditas de azúcar, 1/2 cucharadita de sal, 1/4 cucharadita de bicarbonato de sodio, 1 barra de mantequilla (sin sal), 1 taza de queso parmesano, 1/2 taza de hierbas mixtas (secas), 1/4 taza de crema fresca, 1/4 taza de leche, 1 huevo entero</t>
  </si>
  <si>
    <t xml:space="preserve">To begin making Parmesan And Fresh Herbs Savoury Scones, first set your oven to preheat at 180 degrees C. Place the oven rack to the lower-middle position. Line a baking sheet with parchment paper and set it aside for later use.In a medium bowl, mix the flour, baking powder, sugar, salt and baking soda. Grate 1/3rd of the solid cold butter using large holes of a grater into the flour mixture. Toss the flour to coat the grated butter. Repeat the process until the butter is completed grated. Then work the butter and flour well together. Mix in the cheese and fresh herbs. Stir well.In a small bowl, mix the heavy cream, milk and egg with a fork until smooth.Pour the egg mixture into the dry ingredients. Stir with a fork until large dough clumps form. Then, using your hands, press the dough to the sides of the bowl and gather it together to form a ball. Do not add any additional cream or water at this stage, and simply continue to press so the dough will come together.Place the dough on a lightly floured surface and pat it into a circle of 3/4 inch thickness and 7 inch diameter. Use a knife and cut the dough into 8 wedges.Arrange them on the lined baking sheet, an inch apart. Place the tray in the oven to bake for 15 to 17 minutes or until the scones turn golden on top.When baked through, remove the sheet form the oven and place the scones on a rack to cool.Serve Parmesan And Fresh Herbs Savoury Scones warm, with a dab of butter and Egg White Omelette with Spinach for breakfast, or as a tea time snack with masala chai.
</t>
  </si>
  <si>
    <t>Para empezar a hacer Scones Salados de Parmesano y Hierbas Frescas, primero precalienta el horno a 180 grados C. Coloca la rejilla del horno en la posición media-baja. Cubre una bandeja para hornear con papel pergamino y resérvala para usarla más tarde. En un tazón mediano, mezcla la harina, el polvo para hornear, el azúcar, la sal y el bicarbonato de sodio. Ralla 1/3 de la mantequilla sólida fría con agujeros grandes de un rallador en la mezcla de harina. Revuelve la harina para cubrir la mantequilla rallada. Repite el proceso hasta que la mantequilla esté completamente rallada. Luego, mezcla bien la mantequilla y la harina. Mezcla el queso y las hierbas frescas. Revuelve bien. En un tazón pequeño, mezcla la crema espesa, la leche y el huevo con un tenedor hasta que esté suave. Vierte la mezcla de huevo en los ingredientes secos. Revuelve con un tenedor hasta que se formen grumos grandes de masa. Luego, con las manos, presiona la masa contra los lados del tazón y júntala para formar una bola. No agregue más crema ni agua en esta etapa, y simplemente continúe presionando para que la masa se una. Coloque la masa sobre una superficie ligeramente enharinada y dé golpecitos hasta formar un círculo de 3/4 de pulgada de grosor y 7 pulgadas de diámetro. Use un cuchillo y corte la masa en 8 gajos. Colóquelos en la bandeja para hornear forrada, separados por una pulgada. Coloque la bandeja en el horno para hornear durante 15 a 17 minutos o hasta que los bollos se doren por encima. Cuando estén bien horneados, retire la bandeja del horno y coloque los bollos en una rejilla para que se enfríen. Sirva los bollos salados con parmesano y hierbas frescas calientes, con un poco de mantequilla y tortilla de claras de huevo con espinacas para el desayuno, o como un refrigerio para la hora del té con masala chai.</t>
  </si>
  <si>
    <t>Pour commencer à préparer des scones salés au parmesan et aux herbes fraîches, préchauffez votre four à 180 °C. Placez la grille du four en position basse, au milieu. Recouvrez une plaque de cuisson de papier sulfurisé et réservez-la. Dans un bol moyen, mélangez la farine, la levure chimique, le sucre, le sel et le bicarbonate de soude. Râpez 1/3 du beurre froid solide à l'aide d'une râpe à gros trous dans le mélange de farine. Mélangez la farine pour enrober le beurre râpé. Répétez l'opération jusqu'à ce que le beurre soit entièrement râpé. Travaillez ensuite le beurre et la farine ensemble. Incorporez le fromage et les herbes fraîches. Bien mélanger. Dans un petit bol, mélangez la crème épaisse, le lait et l'œuf à la fourchette jusqu'à obtenir une consistance lisse. Versez le mélange d'œufs dans les ingrédients secs. Remuez à la fourchette jusqu'à ce que de gros grumeaux se forment. Ensuite, à la main, appuyez la pâte sur les parois du bol et rassemblez-la pour former une boule. N'ajoutez pas de crème ni d'eau supplémentaire à ce stade, et continuez simplement à appuyer pour que la pâte se rassemble. Placez la pâte sur une surface légèrement farinée et tapotez-la pour former un cercle de 1,9 cm d'épaisseur et de 18 cm de diamètre. Utilisez un couteau et coupez la pâte en 8 quartiers. Disposez-les sur la plaque de cuisson tapissée, à 2,5 cm d'intervalle. Placez la plaque au four et faites cuire pendant 15 à 17 minutes ou jusqu'à ce que les scones soient dorés sur le dessus. Une fois cuits, retirez la plaque du four et placez les scones sur une grille pour les laisser refroidir. Servez les scones salés au parmesan et aux herbes fraîches chauds, avec une noisette de beurre et une omelette aux blancs d'œufs et aux épinards au petit-déjeuner, ou comme collation à l'heure du thé avec du masala chai.</t>
  </si>
  <si>
    <t>https://www.archanaskitchen.com/parmesan-and-fresh-herbs-savoury-scones-recipe</t>
  </si>
  <si>
    <t>Buckwheat &amp; Oat Waffle Recipe With Bananas &amp; Vanilla Ice Cream</t>
  </si>
  <si>
    <t>Buchweizen-Haferwaffel-Rezept mit Bananen und Vanilleeis</t>
  </si>
  <si>
    <t>Recette de gaufres au sarrasin et à l'avoine avec bananes et glace à la vanille</t>
  </si>
  <si>
    <t>Receta de gofres de trigo sarraceno y avena con plátano y helado de vainilla</t>
  </si>
  <si>
    <t>3/4 tasse de farine de sarrasin (Kuttu Ka Atta), 1/2 tasse de farine de blé entier, 1/2 tasse d'avoine instantanée (gruau) - instantané, 1-1/2 cuillère à café de levure chimique, 1 cuillère à café de sucre, 1 cuillère à café d'extrait de vanille, 1/4 cuillère à café de sel, 1/4 cuillère à café de clous de girofle (Laung) - moulus, 1 tasse de caillé (Dahi / Yaourt) - ajouter plus si nécessaire, 1 œuf entier, 1 cuillère à soupe d'huile de tournesol, 2 crèmes glacées - vanille, 2 bananes mûres - tranchées, sauce au chocolat - ou sirop d'érable pour arroser le dessus, noix mélangées - finement hachées pour la garniture (facultatif)</t>
  </si>
  <si>
    <t>3/4 cup Buckwheat Flour (Kuttu Ka Atta),1/2 cup Whole Wheat Flour,1/2 cup Instant Oats (Oatmeal) - instant,1-1/2 teaspoon Baking powder,1 teaspoon Sugar,1 teaspoon Vanilla Extract,1/4 teaspoon Salt,1/4 teaspoon Cloves (Laung) - ground,1 cup Curd (Dahi / Yogurt) - add more if required,1 Whole Egg,1 tablespoon Sunflower Oil,2 Ice cream - vanilla,2 Ripe Bananas - sliced,Chocolate sauce - or maple syrup to drizzle on top,Mixed nuts - finely chopped for garnish (optional)</t>
  </si>
  <si>
    <t>3/4 taza de harina de trigo sarraceno (Kuttu Ka Atta), 1/2 taza de harina integral, 1/2 taza de avena instantánea (avena) - instantánea, 1-1/2 cucharadita de polvo para hornear, 1 cucharadita de azúcar, 1 cucharadita de extracto de vainilla, 1/4 cucharadita de sal, 1/4 cucharadita de clavo (Laung) - molido, 1 taza de cuajada (Dahi / yogur) - agregue más si es necesario, 1 huevo entero, 1 cucharada de aceite de girasol, 2 helados - vainilla, 2 plátanos maduros - en rodajas, salsa de chocolate - o jarabe de arce para rociar por encima, nueces mixtas - finamente picadas para decorar (opcional)</t>
  </si>
  <si>
    <t xml:space="preserve">To begin making the Buckwheat &amp; Oat Waffle Recipe With Bananas &amp; Vanilla Ice Cream, in a mixing bowl, add the buckwheat flour, whole wheat flour, instant oats, baking powder, sugar, salt, ground clove and stir all the dry ingredients.Once the dry ingredients for the buckwheat and oat waffles are combined, add the wet ingredients-vanilla extract, yogurt and more if required, egg and oil.Stir well to make a thick waffle batter.The next step is to cook the buckwheat and oat waffles. Drizzle oil in the waffle cavities of the waffle maker. Spoon the waffle batter into the cavities, ensure that you don't overfill the cavities, else the waffle batter will ooze out from the sides while it is getting cooked. Allow the waffles to get cooked through or until the waffle maker shows a light indicator that it's done.Once done, remove the buckwheat and oat waffles from the waffle maker. Place it on the serving platter and serve along with bananas, vanilla ice cream and chocolate sauce or maple syrup drizzled on top and garnished with chopped nuts. Serve these Buckwheat &amp; Oat Waffle With Bananas &amp; Vanilla Ice Cream as a dessert for parties or even for an indulgent breakfast.
</t>
  </si>
  <si>
    <t>Para comenzar a hacer la receta de waffles de trigo sarraceno y avena con plátanos y helado de vainilla, en un tazón, agregue la harina de trigo sarraceno, la harina integral, la avena instantánea, el polvo para hornear, el azúcar, la sal, el clavo molido y revuelva todos los ingredientes secos. Una vez que los ingredientes secos para los waffles de trigo sarraceno y avena se combinen, agregue los ingredientes húmedos: extracto de vainilla, yogur y más si es necesario, huevo y aceite. Revuelva bien para hacer una masa de waffle espesa. El siguiente paso es cocinar los waffles de trigo sarraceno y avena. Rocíe aceite en las cavidades de los waffles de la waflera. Vierta la masa de waffle en las cavidades, asegúrese de no llenar demasiado las cavidades, de lo contrario la masa de waffle se saldrá por los lados mientras se cocina. Deja que los waffles se cocinen por completo o hasta que la waflera muestre una luz indicadora de que están listos. Una vez listos, retira los waffles de trigo sarraceno y avena de la waflera. Colócalos en una fuente y sírvelos con plátanos, helado de vainilla y un chorrito de salsa de chocolate o sirope de arce, y decora con nueces picadas. Sirve estos waffles de trigo sarraceno y avena con plátanos y helado de vainilla como postre para fiestas o incluso para un desayuno indulgente.</t>
  </si>
  <si>
    <t>Pour commencer à préparer la recette de gaufres au sarrasin et à l'avoine avec des bananes et de la glace à la vanille, dans un bol, ajoutez la farine de sarrasin, la farine de blé entier, les flocons d'avoine instantanés, la levure chimique, le sucre, le sel, le clou de girofle moulu et mélangez tous les ingrédients secs. Une fois les ingrédients secs pour les gaufres au sarrasin et à l'avoine combinés, ajoutez les ingrédients humides - extrait de vanille, yaourt et plus si nécessaire, œuf et huile. Bien mélanger pour obtenir une pâte à gaufres épaisse. L'étape suivante consiste à cuire les gaufres au sarrasin et à l'avoine. Versez un filet d'huile dans les cavités du gaufrier. Déposez la pâte à gaufres dans les cavités, assurez-vous de ne pas trop remplir les cavités, sinon la pâte à gaufres coulera sur les côtés pendant la cuisson. Laissez les gaufres cuire à cœur ou jusqu'à ce que le voyant du gaufrier indique la cuisson. Une fois cuites, retirez les gaufres au sarrasin et à l'avoine du gaufrier. Placez-les sur un plat de service et servez-les avec des bananes, de la glace à la vanille et de la sauce au chocolat ou du sirop d'érable, le tout garni de noix hachées. Servez ces gaufres au sarrasin et à l'avoine, aux bananes et à la glace à la vanille, en dessert pour les fêtes ou même pour un petit-déjeuner gourmand.</t>
  </si>
  <si>
    <t>https://www.archanaskitchen.com/buckwheat-oat-waffle-recipe-with-bananas-vanilla-ice-cream</t>
  </si>
  <si>
    <t>Carrot Cake Overnight Oats Recipe</t>
  </si>
  <si>
    <t>Rezept für Karottenkuchen-Overnight-Oats</t>
  </si>
  <si>
    <t>Recette de flocons d'avoine au gâteau aux carottes pour la nuit</t>
  </si>
  <si>
    <t>Receta de pastel de zanahoria con avena preparada durante la noche</t>
  </si>
  <si>
    <t>1-1/4 tasse de lait d'amande (Badam Milk), 1/2 tasse de Hung Curd (yaourt grec), 2 cuillères à café d'extrait de vanille, 1/2 tasse de carottes (Gajjar) - râpées, 1 cuillère à café de cannelle en poudre (Dalchini), 1 pincée de sel, 1 pincée de poudre de muscade, 2 cuillères à café de graines de chia, 2 cuillères à soupe de miel - ou selon les besoins, 2 cuillères à soupe de noix de coco râpée, 1 1/4 tasse de flocons d'avoine, 1/3 tasse de noix mélangées - grossièrement hachées, granola - et plus de noix pour la garniture</t>
  </si>
  <si>
    <t>1-1/4 cup Almond Milk (Badam Milk),1/2 cup Hung Curd (Greek Yogurt),2 teaspoon Vanilla Extract,1/2 cup Carrots (Gajjar) - grated,1 teaspoon Cinnamon Powder (Dalchini),1 pinch Salt,1 pinch Nutmeg powder,2 teaspoon Chia Seeds,2 tablespoon Honey - or as needed,2 tablespoon Dessicated Coconut,1 1/4 cup Rolled Oats,1/3 cup Mixed nuts - roughly chopped,Granola - and more nuts for topping</t>
  </si>
  <si>
    <t>1-1/4 taza de leche de almendras (leche de almendras), 1/2 taza de cuajada colgada (yogur griego), 2 cucharaditas de extracto de vainilla, 1/2 taza de zanahorias (gajjar) ralladas, 1 cucharadita de canela en polvo (dalchini), 1 pizca de sal, 1 pizca de nuez moscada en polvo, 2 cucharaditas de semillas de chía, 2 cucharadas de miel (o según sea necesario), 2 cucharadas de coco deshidratado, 1 1/4 taza de avena arrollada, 1/3 taza de frutos secos mixtos (picados gruesamente), granola y más frutos secos para cubrir</t>
  </si>
  <si>
    <t xml:space="preserve">To make the Carrot Cake Overnight Oats, mix together all the ingredients, except the granola and nuts for topping, in a medium sized bowl.Stir them all well until it is fully combined.Divide the oats mixture into smaller mason jars or single serving bowls. Cover them and refrigerate overnight or for at least for 3 hours, until the oats soak up the liquid and turn soft and tender.At breakfast time, when ready to eat, top with some nuts or granola. If you prefer your oats warm, microwave the jar/bowl for 40 to 50 seconds.Serve the Carrot Cake Overnight Oats along with a bowl of fruits.
</t>
  </si>
  <si>
    <t>Para preparar la avena nocturna con pastel de zanahoria, mezcle todos los ingredientes, excepto la granola y las nueces para la cobertura, en un tazón mediano. Revuelva bien hasta que esté bien integrado. Divida la mezcla de avena en frascos de vidrio más pequeños o tazones individuales. Cúbralos y refrigérelos durante la noche o al menos 3 horas, hasta que la avena absorba el líquido y esté suave y tierna. A la hora del desayuno, cuando esté listo para comer, añada nueces o granola por encima. Si prefiere la avena tibia, caliente el frasco/tazón en el microondas de 40 a 50 segundos. Sirva la avena nocturna con pastel de zanahoria acompañada de un tazón de frutas.</t>
  </si>
  <si>
    <t>Pour préparer les flocons d'avoine au gâteau aux carottes, mélangez tous les ingrédients, sauf le granola et les noix pour la garniture, dans un bol moyen. Remuez bien jusqu'à ce que le tout soit bien mélangé. Répartissez le mélange dans des bocaux Mason plus petits ou des bols individuels. Couvrez-les et laissez-les au réfrigérateur pendant une nuit ou au moins 3 heures, jusqu'à ce que les flocons d'avoine absorbent le liquide et deviennent tendres. Au petit-déjeuner, au moment de déguster, garnissez de noix ou de granola. Si vous préférez vos flocons d'avoine tièdes, passez le bocal/bol au micro-ondes pendant 40 à 50 secondes. Servez les flocons d'avoine au gâteau aux carottes accompagnés d'un bol de fruits.</t>
  </si>
  <si>
    <t>https://www.archanaskitchen.com/carrot-cake-overnight-oats-recipe</t>
  </si>
  <si>
    <t>Spiced Carrot Walnut Cake Recipe With Chocolate</t>
  </si>
  <si>
    <t>Rezept für gewürzten Karotten-Walnuss-Kuchen mit Schokolade</t>
  </si>
  <si>
    <t>Recette de gâteau aux carottes épicées et aux noix avec du chocolat</t>
  </si>
  <si>
    <t>Receta de pastel picante de zanahoria y nueces con chocolate</t>
  </si>
  <si>
    <t>1-1/4 tasse de farine tout usage (Maida), 1 cuillère à café de levure chimique, 1/4 cuillère à café de sel, 1/4 cuillère à café de poudre de cardamome (Elaichi), 1/4 cuillère à café de poudre de cannelle (Dalchini), 3/4 tasse de sucre, 2 tasses de carottes (Gajjar) - râpées, 1/2 tasse d'huile de tournesol, 2 œufs entiers, 1/4 tasse de noix - grillées, 1/4 tasse de chocolat noir - haché</t>
  </si>
  <si>
    <t>1-1/4 cup All Purpose Flour (Maida),1 teaspoon Baking powder,1/4 teaspoon Salt,1/4 teaspoon Cardamom Powder (Elaichi),1/4 teaspoon Cinnamon Powder (Dalchini),3/4 cup Sugar,2 cups Carrots (Gajjar) - grated,1/2 cup Sunflower Oil,2 Whole Eggs,1/4 cup Walnuts - toasted,1/4 cup Dark chocolate - chopped</t>
  </si>
  <si>
    <t>1-1/4 taza de harina para todo uso (Maida), 1 cucharadita de polvo para hornear, 1/4 cucharadita de sal, 1/4 cucharadita de cardamomo en polvo (Elaichi), 1/4 cucharadita de canela en polvo (Dalchini), 3/4 taza de azúcar, 2 tazas de zanahorias (Gajjar) - ralladas, 1/2 taza de aceite de girasol, 2 huevos enteros, 1/4 taza de nueces tostadas, 1/4 taza de chocolate negro picado</t>
  </si>
  <si>
    <t xml:space="preserve">To begin making the Spiced Carrot Walnut Cake Recipe, first get all the ingredients ready - like grating carrots, measuring the ingredients, chopping the chocolate etc.Preheat the oven to 180 C and grease a round or square baking dish with butter and dust it with flour.In a mixing bowl, sift together the flour, cinnamon powder, cardamom powder, baking powder and salt. Add the sugar, carrots, oil, eggs and toasted walnuts. Using a hand mixer, beat all the ingredients together until well combined.Pour the carrot cake batter into the baking dish and bake in the oven for about 25 to 30 minutes until done. When you insert a tester into the cake, it should come out clean.Once baked, remove the carrot cake from the oven and allow it to cool, while we make our topping.Melt the chocolate in a double boiler or in the microwave until you get a smooth paste of the chocolate.Spread the melted chocolate over the cake and serve.Serve the Spiced Carrot Walnut Cake with Chocolate as a tea time snack along with a cup of coffee or pack into the snack box for kids.
</t>
  </si>
  <si>
    <t>Para comenzar a hacer la Receta de Pastel de Nueces y Zanahorias Especiadas, primero prepare todos los ingredientes, como rallar zanahorias, medir los ingredientes, picar el chocolate, etc. Precaliente el horno a 180 C y engrase un molde para hornear redondo o cuadrado con mantequilla y espolvoréelo con harina. En un tazón, tamice juntos la harina, la canela en polvo, el cardamomo en polvo, el polvo para hornear y la sal. Agregue el azúcar, las zanahorias, el aceite, los huevos y las nueces tostadas. Con una batidora de mano, bata todos los ingredientes hasta que estén bien combinados. Vierta la masa del pastel de zanahoria en el molde para hornear y hornee en el horno durante unos 25 a 30 minutos hasta que esté listo. Al insertar un palillo en el pastel, este debe salir limpio. Una vez horneado, retira el pastel de zanahoria del horno y déjalo enfriar mientras preparamos la cobertura. Derrite el chocolate a baño maría o en el microondas hasta obtener una pasta suave. Extiende el chocolate derretido sobre el pastel y sirve. Sirve el pastel de zanahoria, nueces y chocolate con especias como merienda junto con una taza de café o guárdalo en la caja de refrigerios para niños.</t>
  </si>
  <si>
    <t>Pour commencer à préparer la recette du gâteau aux carottes et aux noix épicé, préparez d'abord tous les ingrédients - comme râper les carottes, mesurer les ingrédients, hacher le chocolat, etc. Préchauffez le four à 180 °C et graissez un plat de cuisson rond ou carré avec du beurre et saupoudrez-le de farine. Dans un saladier, tamisez ensemble la farine, la cannelle en poudre, la cardamome en poudre, la levure chimique et le sel. Ajoutez le sucre, les carottes, l'huile, les œufs et les noix grillées. À l'aide d'un batteur à main, battez tous les ingrédients jusqu'à ce qu'ils soient bien mélangés. Versez la pâte à gâteau aux carottes dans le plat de cuisson et faites cuire au four pendant environ 25 à 30 minutes jusqu'à ce qu'elle soit cuite. Lorsque vous insérez un testeur dans le gâteau, il doit ressortir propre. Une fois cuit, retirez le gâteau aux carottes du four et laissez-le refroidir, pendant que nous préparons notre garniture. Faites fondre le chocolat au bain-marie ou au micro-ondes jusqu'à obtenir une pâte lisse de chocolat. Étalez le chocolat fondu sur le gâteau et servez. Servez le gâteau aux carottes épicées et aux noix avec du chocolat comme collation à l'heure du thé avec une tasse de café ou mettez-le dans la boîte à collation pour les enfants.</t>
  </si>
  <si>
    <t>http://www.archanaskitchen.com/spiced-carrot-walnut-cake-recipe-with-chocolate</t>
  </si>
  <si>
    <t>Twice Baked Potatoes Recipe</t>
  </si>
  <si>
    <t>Rezept für zweimal gebackene Kartoffeln</t>
  </si>
  <si>
    <t>Recette de pommes de terre cuites deux fois</t>
  </si>
  <si>
    <t>Receta de papas al horno dos veces</t>
  </si>
  <si>
    <t>4 pommes de terre (Aloo) - (2 si grosses) bien lavées, 1 à 2 cuillères à café d'huile d'olive extra vierge, sel et poivre - selon les besoins, 1/2 tasse de bouillon de légumes - réchauffé, 1 cuillère à soupe de beurre, 1 oignon - finement tranché, 1 cuillère à café d'ail - haché, 1/2 cuillère à café de gingembre - râpé, 1/2 tasse de pois verts (Matar), 1 piment vert - finement haché, une pincée de poudre de cumin (Jeera), 1/4 cuillère à café d'asafoetida (hing), une pincée de poudre de coriandre (Dhania), 1/2 cuillère à café de poudre de curcuma (Haldi), une pincée de poudre de piment rouge du Cachemire, 1/2 cuillère à café d'amchur (poudre de mangue sèche), 1 cuillère à soupe de farine tout usage (Maida), 1 cuillère à soupe de crème sure, 1/3 tasse de mozzarella - râpée, 2 cuillères à soupe de feuilles de coriandre (Dhania) - hachées</t>
  </si>
  <si>
    <t>4 Potatoes (Aloo) - (2 if large) scrubbed clean,1-2 teaspoons Extra Virgin Olive Oil,Salt and Pepper - as required,1/2 cup Vegetable stock - warmed,1 tablespoon Butter,1 Onion - thinly sliced,1 teaspoon Garlic - minced,1/2 teaspoon Ginger - grated,1/2 cup Green peas (Matar),1 Green Chilli - finely chopped,pinch Cumin powder (Jeera),1/4 teaspoon Asafoetida (hing),pinch Coriander Powder (Dhania),1/2 teaspoon Turmeric powder (Haldi),pinch Kashmiri Red Chilli Powder,1/2 teaspoon Amchur (Dry Mango Powder),1 tablespoon All Purpose Flour (Maida),1 tablespoon Sour cream,1/3 cup Mozzarella cheese - grated,2 tablespoon Coriander (Dhania) Leaves - chopped</t>
  </si>
  <si>
    <t>4 papas (Aloo) - (2 si son grandes) bien lavadas, 1-2 cucharaditas de aceite de oliva virgen extra, sal y pimienta - al gusto, 1/2 taza de caldo de verduras - calentado, 1 cucharada de mantequilla, 1 cebolla - finamente rebanada, 1 cucharadita de ajo - picado, 1/2 cucharadita de jengibre - rallado, 1/2 taza de guisantes verdes (Matar), 1 chile verde - finamente picado, pizca de comino en polvo (Jeera), 1/4 cucharadita de asafétida (hing), pizca de cilantro en polvo (Dhania), 1/2 cucharadita de cúrcuma en polvo (Haldi), pizca de chile rojo de Cachemira en polvo, 1/2 cucharadita de amchur (mango en polvo seco), 1 cucharada de harina multiusos (Maida), 1 cucharada de crema agria, 1/3 taza de queso mozzarella - rallado, 2 cucharadas de hojas de cilantro (Dhania) - picadas</t>
  </si>
  <si>
    <t xml:space="preserve">To begin making the Twice Baked Potatoes first preheat the oven to 180 degrees C.Rub the cleaned potatoes with some oil and salt. Take a square of aluminium foil and wrap each potato tightly inside it.When the oven is hot enough, place the covered potatoes on a baking sheet and bake them for 30 minutes until tender. When done, remove them from the oven and allow them to cool slightly.Open the potatoes up and halve them. Scoop the flesh out leaving just enough inside so the potato forms a firm shell outside. Collect the baked potato in a bowl and set aside till later use.Meanwhile, in a skillet heat 1/2 tablespoon butter over medium heat. Add the onions, green chilli, salt and pepper and cook down till the onions are nicely browned. This might take 7-8 minutes.Next, add the garlic, ginger and cook until fragrant. Stir in the peas and toss to coat well. Transfer the mixture into a medium bowl.In the same skillet melt remaining butter, add cumin powder, turmeric powder, kashmiri chilli powder, flour, asafetida and stir for few seconds. Slowly add the broth and simmer until the sauce thickens. Add the prepared onion, green peas mixture which you had set aside.Add the scooped baked potato to this too along with sour cream, dry mango powder, chopped coriander leaves stir to combine. Check for salt and pepper or season if needed.Divide the mixture equally to the halved potato shells.Top them with grated cheese and bake for about 12 to 15 minutes or until the top of the cheese is golden brown.Serve the Twice Baked Potatoes as a warm appetiser along with Roasted Vegetable Lasagna With Ricotta for a weeknight dinner.
</t>
  </si>
  <si>
    <t>Para preparar las papas horneadas dos veces, precalienta el horno a 180 °C. Unta las papas limpias con un poco de aceite y sal. Envuelve cada papa firmemente en un cuadrado de papel aluminio. Cuando el horno esté lo suficientemente caliente, coloca las papas tapadas en una bandeja para hornear y hornéalas durante 30 minutos hasta que estén tiernas. Una vez listas, sácalas del horno y déjalas enfriar un poco. Abre las papas y córtalas por la mitad. Retira la pulpa, dejando solo lo suficiente para que la papa forme una cáscara firme. Guarda las papas horneadas en un tazón y resérvalas para usarlas más adelante. Mientras tanto, en una sartén calienta 1/2 cucharada de mantequilla a fuego medio. Agrega la cebolla, el chile verde, la sal y la pimienta y cocina a fuego lento hasta que la cebolla esté bien dorada. Esto puede tomar de 7 a 8 minutos. Luego, agrega el ajo y el jengibre y cocina hasta que desprendan un aroma agradable. Incorpora los guisantes y revuelve para que se impregnen bien. Transfiera la mezcla a un tazón mediano. En la misma sartén, derrita la mantequilla restante, agregue comino en polvo, cúrcuma en polvo, chile en polvo de Cachemira, harina, asafétida y revuelva durante unos segundos. Agregue lentamente el caldo y cocine a fuego lento hasta que la salsa espese. Agregue la cebolla preparada, la mezcla de guisantes verdes que había reservado. Agregue la papa horneada con cuchara a esto también junto con la crema agria, el mango en polvo seco, las hojas de cilantro picadas y revuelva para combinar. Rectifique de sal y pimienta o sazone si es necesario. Divida la mezcla equitativamente entre las cáscaras de papa cortadas por la mitad. Cúbralas con queso rallado y hornee durante unos 12 a 15 minutos o hasta que la parte superior del queso esté dorada. Sirva las papas dos veces horneadas como un aperitivo caliente junto con lasaña de verduras asadas con ricotta para una cena entre semana.</t>
  </si>
  <si>
    <t>Pour préparer les pommes de terre deux fois cuites, préchauffez le four à 180 °C. Badigeonnez les pommes de terre nettoyées d'huile et de sel. Enveloppez chaque pomme de terre dans un carré de papier aluminium. Lorsque le four est suffisamment chaud, placez les pommes de terre recouvertes sur une plaque de cuisson et faites-les cuire 30 minutes, jusqu'à ce qu'elles soient tendres. Une fois cuites, retirez-les du four et laissez-les refroidir légèrement. Ouvrez les pommes de terre et coupez-les en deux. Retirez la chair en laissant juste assez de chair à l'intérieur pour que la pomme de terre forme une coque ferme à l'extérieur. Récupérez les pommes de terre cuites dans un bol et réservez. Pendant ce temps, faites chauffer 1/2 cuillère à soupe de beurre dans une poêle à feu moyen. Ajoutez les oignons, le piment vert, le sel et le poivre et faites revenir jusqu'à ce que les oignons soient bien dorés. Cela peut prendre 7 à 8 minutes. Ajoutez ensuite l'ail et le gingembre et faites cuire jusqu'à ce qu'ils soient parfumés. Incorporez les petits pois et mélangez bien pour bien les enrober. Transférer le mélange dans un bol moyen. Dans la même poêle, faire fondre le reste du beurre, ajouter le cumin en poudre, le curcuma en poudre, le piment du Cachemire en poudre, la farine et l'asafoetida et remuer quelques secondes. Ajouter lentement le bouillon et laisser mijoter jusqu'à ce que la sauce épaississe. Ajouter le mélange d'oignons et de petits pois préparé que vous aviez réservé. Ajouter également la pomme de terre au four évidée, la crème fraîche, la poudre de mangue séchée et les feuilles de coriandre hachées, puis mélanger. Vérifier le sel et le poivre ou assaisonner si nécessaire. Répartir le mélange équitablement dans les moitiés de pommes de terre. Garnir de fromage râpé et cuire au four pendant environ 12 à 15 minutes ou jusqu'à ce que le dessus du fromage soit doré. Servir les pommes de terre deux fois cuites en entrée chaude avec des lasagnes de légumes rôtis à la ricotta pour un dîner de semaine.</t>
  </si>
  <si>
    <t>https://www.archanaskitchen.com/twice-baked-potatoes-recipe</t>
  </si>
  <si>
    <t>Tomato and Zucchini Frittata Recipe</t>
  </si>
  <si>
    <t>Rezept für Frittata mit Tomaten und Zucchini</t>
  </si>
  <si>
    <t>Recette de frittata aux tomates et courgettes</t>
  </si>
  <si>
    <t>Receta de frittata de tomate y calabacín</t>
  </si>
  <si>
    <t>2 œufs entiers, 50 ml de lait, 1 cuillère à café d'origan séché, 1 cuillère à café de flocons de piment rouge, 1 cuillère à café de feuilles de thym séchées, 1 tomate coupée en tranches, 50 grammes de courgettes vertes coupées en tranches, 2 cuillères à soupe de paneer (fromage cottage fait maison), sel au goût</t>
  </si>
  <si>
    <t>2 Whole Eggs,50 ml Milk,1 teaspoon Dried oregano,1 teaspoon Red Chilli flakes,1 teaspoon Dried Thyme Leaves,1 Tomato - sliced,50 grams Green zucchini - sliced,2 tablespoons Paneer (Homemade Cottage Cheese),Salt - to taste</t>
  </si>
  <si>
    <t>2 huevos enteros, 50 ml de leche, 1 cucharadita de orégano seco, 1 cucharadita de hojuelas de chile rojo, 1 cucharadita de hojas de tomillo seco, 1 tomate en rodajas, 50 gramos de calabacín verde en rodajas, 2 cucharadas de paneer (requesón casero), sal - al gusto</t>
  </si>
  <si>
    <t xml:space="preserve">To begin making the Tomato and Zucchini Frittata, break the eggs in a bowl, add milk and beat it until fluffy.Preheat the oven to 180 degree for 10 minutes and keep the oven ready. Take out a small skillet pan, drizzle some oil, pour in the beaten egg mixture. Place the sliced tomato, zucchini into the pan and sprinkle red chilli flakes, thyme, oregano and salt.Add paneer over the eggs and tomatoes and zucchini and bake it in the oven for at least 20 -25 minutes until your eggs get cooked. Once done remove the Tomato and Zucchini Frittata out of the oven and serve. Serve the Tomato and Zucchini Frittata Recipe along with a cup of hot chocolate and a bowl filled with assorted fruits for a healthy breakfast.
</t>
  </si>
  <si>
    <t>Para empezar a preparar la Frittata de Tomate y Calabacín, rompe los huevos en un bol, añade la leche y bate hasta que quede esponjoso. Precalienta el horno a 180 grados durante 10 minutos y tenlo listo. Saca una sartén pequeña, rocía un poco de aceite y vierte la mezcla de huevo batido. Coloca el tomate en rodajas y el calabacín en la sartén y espolvorea hojuelas de chile rojo, tomillo, orégano y sal. Agrega paneer sobre los huevos, los tomates y el calabacín y hornea durante al menos 20-25 minutos hasta que los huevos estén cocidos. Una vez hecho esto, retira la Frittata de Tomate y Calabacín del horno y sirve. Sirve la Receta de Frittata de Tomate y Calabacín junto con una taza de chocolate caliente y un bol lleno de frutas variadas para un desayuno saludable.</t>
  </si>
  <si>
    <t>Pour commencer à préparer la frittata aux tomates et aux courgettes, cassez les œufs dans un bol, ajoutez le lait et battez jusqu'à ce que le mélange soit mousseux. Préchauffez le four à 180 degrés pendant 10 minutes et laissez le four prêt. Prenez une petite poêle, arrosez d'un filet d'huile, versez le mélange d'œufs battus. Placez les tranches de tomates et de courgettes dans la poêle et saupoudrez de flocons de piment rouge, de thym, d'origan et de sel. Ajoutez du paneer sur les œufs, les tomates et les courgettes et faites cuire au four pendant au moins 20 à 25 minutes jusqu'à ce que vos œufs soient cuits. Une fois terminé, retirez la frittata aux tomates et aux courgettes du four et servez. Servez la recette de frittata aux tomates et aux courgettes avec une tasse de chocolat chaud et un bol rempli de fruits assortis pour un petit-déjeuner sain.</t>
  </si>
  <si>
    <t>https://www.archanaskitchen.com/tomato-and-zucchini-frittata-recipe</t>
  </si>
  <si>
    <t>Triple Bean Vegetarian Cutlet or Patty Recipe</t>
  </si>
  <si>
    <t>Rezept für vegetarisches Schnitzel oder Pastetchen mit drei Bohnen</t>
  </si>
  <si>
    <t>Recette d'escalope végétarienne ou galette aux trois haricots</t>
  </si>
  <si>
    <t>Receta de escalope vegetariano o panqueque de tres frijoles</t>
  </si>
  <si>
    <t>1 tasse de haricots mélangés (kabuli channa/pois chiches blancs), 1/2 tasse de légumes mélangés (carottes), 1 pomme de terre (Aloo) bouillie, 1/4 tasse de chapelure de blé entier, 1 oignon finement haché, 2 piments verts finement hachés, 2 gousses d'ail râpées, 2,5 cm de gingembre râpé, 1 cuillère à café de poudre de garam masala, 1/2 cuillère à café de poudre de piment rouge, 2 cuillères à soupe de feuilles de coriandre (Dhania) hachées, 2 cuillères à soupe de feuilles de menthe (Pudina) hachées, sel et poivre au goût, 4 à 5 cuillères à soupe d'huile de tournesol pour une friture peu profonde</t>
  </si>
  <si>
    <t>1 cup Mixed Beans - (kabuli channa/white chickpeas,1/2 cup Mixed vegetables - (carrots,1 Potato (Aloo) - boiled,1/4 cup Whole Wheat Bread crumbs,1 Onion - finely chopped,2 Green Chillies - finely chopped,2 cloves Garlic - grated,1 inch Ginger - grated,1 teaspoon Garam masala powder,1/2 teaspoon Red Chilli powder,2 tablespoons Coriander (Dhania) Leaves - chopped,2 tablespoons Mint Leaves (Pudina) - chopped,Salt and Pepper - to taste,4-5 tablespoons Sunflower Oil - for shallow frying</t>
  </si>
  <si>
    <t>1 taza de frijoles mixtos (kabuli channa/garbanzos blancos), 1/2 taza de verduras mixtas (zanahorias, 1 papa (Aloo) hervida, 1/4 taza de pan rallado integral, 1 cebolla finamente picada, 2 chiles verdes finamente picados, 2 dientes de ajo rallados, 1 pulgada de jengibre rallado, 1 cucharadita de garam masala en polvo, 1/2 cucharadita de chile rojo en polvo, 2 cucharadas de hojas de cilantro (Dhania) picadas, 2 cucharadas de hojas de menta (Pudina) picadas, sal y pimienta al gusto, 4-5 cucharadas de aceite de girasol para freír.</t>
  </si>
  <si>
    <t xml:space="preserve">To begin making the Triple Bean Cutlet, we have to first prep all the components.Steam the finely chopped carrots and beans, along with the fresh corn. You can either do this in a pressure cooker or a steamer. Put the steamed vegetables in a bowl and set aside to cool.Boil the potato, peel it and set it aside to cool.Pressure cook the soaked beans until completely soft. When the pressure releases from the cooker, pour the beans into a colander, and set aside for the water to drain completely. This is important, to ensure that there is no moisture left in the beans as this will cause them to disintegrate when shaping the cutlets.In a big mixing bowl, add the vegetables, potato and beans. Use a potato masher to mix it all up together into a thick mixture.Add the ginger, garlic , chopped onions, green chillies, coriander leaves, mint leaves and mix well using your fingers.Next, season with garam masala, red chilli powder, salt and pepper. Sprinkle the bread crumbs all over and combine once again. The mixture should hold together like a dough now. Check the salt and spices and adjust to suit your taste.Gently shape the cutlets to the desired size. Line them up on a tray or plate. Set the cutlets in the fridge to cool for at least an hour. This helps them to hold shape better.When you are ready to fry the cutlets, warm a little bit of oil in a shallow frying pan, or cast iron skillet. Pan-fry the cutlets in batches till they are crisp on either side.Serve the Triple Bean Vegetarian Cutlet or Patty as bite-sized appetizers along with a Black Bean Burger.
</t>
  </si>
  <si>
    <t>Para empezar a preparar la Chuleta Triple de Frijoles, primero debemos preparar todos los ingredientes. Cocine al vapor las zanahorias y los frijoles picados finamente, junto con el maíz fresco. Puede hacerlo en una olla a presión o en una vaporera. Coloque las verduras al vapor en un tazón y déjelas enfriar. Hierva la papa, pélela y déjela enfriar. Cocine a presión los frijoles remojados hasta que estén completamente blandos. Cuando la olla deje de presionar, vierta los frijoles en un colador y déjelos escurrir completamente. Esto es importante para asegurar que no queden restos de humedad en los frijoles, ya que esto hará que se deshagan al dar forma a las chuletas. En un tazón grande, agregue las verduras, la papa y los frijoles. Use un machacador de papas para mezclar todo hasta obtener una mezcla espesa. Agregue el jengibre, el ajo, la cebolla picada, los chiles verdes, las hojas de cilantro y las hojas de menta y mezcle bien con los dedos. Luego, sazone con garam masala, chile rojo en polvo, sal y pimienta. Espolvorea el pan rallado por encima y vuelve a mezclar. La mezcla debería mantenerse unida como una masa. Ajusta la sal y las especias a tu gusto. Dale forma a las chuletas con cuidado al tamaño deseado. Colócalas en una bandeja o plato. Deja enfriar las chuletas en el refrigerador durante al menos una hora. Esto ayuda a que mantengan mejor su forma. Cuando estés listo para freír las chuletas, calienta un poco de aceite en una sartén poco profunda o de hierro fundido. Fríe las chuletas en tandas hasta que estén crujientes por ambos lados. Sirve la chuleta o hamburguesa vegetariana de triple frijol como aperitivo junto con una hamburguesa de frijoles negros.</t>
  </si>
  <si>
    <t>Pour préparer l'escalope de haricots triples, il faut d'abord préparer tous les ingrédients. Faites cuire à la vapeur les carottes et les haricots finement hachés, ainsi que le maïs frais. Vous pouvez utiliser un autocuiseur ou un cuiseur vapeur. Mettez les légumes vapeur dans un bol et laissez refroidir. Faites bouillir la pomme de terre, épluchez-la et laissez-la refroidir. Faites cuire les haricots trempés sous pression jusqu'à ce qu'ils soient bien tendres. Une fois la pression retombée, versez les haricots dans une passoire et laissez-les s'égoutter complètement. Ceci est important pour éviter qu'ils ne restent humides, car ils se désintégreraient lors du façonnage des escalopes. Dans un grand saladier, ajoutez les légumes, la pomme de terre et les haricots. À l'aide d'un presse-purée, mélangez le tout jusqu'à obtenir une consistance épaisse. Ajoutez le gingembre, l'ail, les oignons hachés, les piments verts, les feuilles de coriandre et de menthe, et mélangez bien du bout des doigts. Assaisonnez ensuite avec du garam masala, de la poudre de piment rouge, du sel et du poivre. Saupoudrez de chapelure et mélangez à nouveau. Le mélange doit maintenant se former comme une pâte. Vérifiez le sel et les épices et ajustez la quantité selon votre goût. Façonnez délicatement les escalopes à la taille souhaitée. Alignez-les sur un plateau ou une assiette. Placez les escalopes au réfrigérateur pendant au moins une heure. Cela leur permet de mieux conserver leur forme. Lorsque vous êtes prêt à frire les escalopes, faites chauffer un peu d'huile dans une poêle peu profonde ou une poêle en fonte. Poêlez les escalopes par lots jusqu'à ce qu'elles soient croustillantes de chaque côté. Servez l'escalope ou le steak végétarien aux trois haricots en bouchées avec un burger aux haricots noirs.</t>
  </si>
  <si>
    <t>http://www.archanaskitchen.com/triple-bean-vegetarian-cutlets-or-patty-recipe</t>
  </si>
  <si>
    <t>Whole Wheat Waffles with Caramelised Bananas (Egg and Eggless Recipe)</t>
  </si>
  <si>
    <t>Vollkornwaffeln mit karamellisierten Bananen (Rezept mit und ohne Ei)</t>
  </si>
  <si>
    <t>Gaufres complètes aux bananes caramélisées (recette avec et sans œuf)</t>
  </si>
  <si>
    <t>Gofres integrales con plátano caramelizado (receta con y sin huevo)</t>
  </si>
  <si>
    <t>1 substitut d'œuf à base de lin - ou 1 œuf, 3/4 tasse de lait, 1/4 tasse d'huile de tournesol, 2 cuillères à café de sucre, 2 cuillères à café de levure chimique, 1/8 cuillère à café de sel, 1/4 cuillère à café d'extrait de vanille, 1 tasse de farine de blé entier, 2 cuillères à soupe de beurre (non salé), 2 bananes mûres - coupées en tranches épaisses en diagonale, 1/4 tasse de cassonade (sucre Demerara), 1 cuillère à café de cannelle en poudre (Dalchini)</t>
  </si>
  <si>
    <t>1 Flaxmeal Egg Replacer - or 1 egg,3/4 cup Milk,1/4 cup Sunflower Oil,2 teaspoons Sugar,2 teaspoons Baking powder,1/8 teaspoon Salt,1/4 teaspoon Vanilla Extract,1 cup Whole Wheat Flour,2 tablespoons Butter (unsalted),2 Ripe Bananas - thickly sliced diagonally,1/4 cup Brown Sugar (Demerara Sugar),1 teaspoon Cinnamon Powder (Dalchini)</t>
  </si>
  <si>
    <t>1 sustituto de huevo de harina de lino (o 1 huevo), 3/4 taza de leche, 1/4 taza de aceite de girasol, 2 cucharaditas de azúcar, 2 cucharaditas de polvo para hornear, 1/8 cucharadita de sal, 1/4 cucharadita de extracto de vainilla, 1 taza de harina integral, 2 cucharadas de mantequilla (sin sal), 2 plátanos maduros cortados en rodajas gruesas en diagonal, 1/4 taza de azúcar morena (azúcar Demerara), 1 cucharadita de canela en polvo (dalchini)</t>
  </si>
  <si>
    <t>Preheat waffle iron. Beat eggs in large bowl with hand beater until fluffy. Beat in milk, vegetable oil, sugar, baking powder, salt and vanilla, just until smooth. Finally add in the flour and stir to combine well, until it is smooth with no lumpsGrease the waffle iron pan with oil. Pour mix onto hot waffle iron. Cook until golden brown. Remove from the pan and keep aside till we prepare the caramelized bananas.Place a large non-stick frying pan over medium-high heat. When hot, sizzle the two tablespoons of butter in the pan for a few seconds, then add bananas.Allow bananas to brown for about 30 seconds without stirring or moving them. Use a spatula to turn bananas over, then add brown sugar and  cinnamon. Shaking pan to keep bananas moving, cook about one minute more, until sugar is melted and bananas are caramelized, but still solid. Turn off the heat and keep them aside.To serve, place the waffles on the serving platter and spoon the caramelized bananas over the waffles and drizzle maple syrup or honey over the waffles.Serve the Whole Wheat Flour Waffles topped with caramelized bananas as a breakfast recipe</t>
  </si>
  <si>
    <t>Precalienta la waflera. Bate los huevos en un tazón grande con un batidor de mano hasta que estén esponjosos. Bate la leche, el aceite vegetal, el azúcar, el polvo para hornear, la sal y la vainilla, hasta que esté suave. Finalmente, agrega la harina y revuelve para combinar bien, hasta que esté suave sin grumos. Engrasa la sartén para waflera con aceite. Vierte la mezcla sobre la waflera caliente. Cocina hasta que esté dorada. Retira de la sartén y reserva hasta que preparemos los plátanos caramelizados. Coloca una sartén antiadherente grande a fuego medio-alto. Cuando esté caliente, chisporrotea las dos cucharadas de mantequilla en la sartén durante unos segundos, luego agrega los plátanos. Deja que los plátanos se doren durante unos 30 segundos sin revolverlos ni moverlos. Usa una espátula para voltear los plátanos, luego agrega el azúcar morena y la canela. Agita la sartén para mantener los plátanos en movimiento, cocina aproximadamente un minuto más, hasta que el azúcar se derrita y los plátanos estén caramelizados, pero aún sólidos. Apaga el fuego y déjalos a un lado. Para servir, coloca los waffles en la fuente y coloca los plátanos caramelizados sobre ellos y rocía jarabe de arce o miel sobre los waffles. Sirve los waffles de harina integral cubiertos con plátanos caramelizados como una receta de desayuno.</t>
  </si>
  <si>
    <t>Préchauffer le gaufrier. Battre les œufs dans un grand bol avec un batteur à main jusqu'à ce qu'ils soient mousseux. Incorporer le lait, l'huile végétale, le sucre, la levure chimique, le sel et la vanille, jusqu'à consistance lisse. Enfin, ajouter la farine et remuer pour bien mélanger, jusqu'à ce que le mélange soit lisse et sans grumeaux. Graisser le moule à gaufres avec de l'huile. Verser le mélange sur le gaufrier chaud. Cuire jusqu'à ce qu'il soit doré. Retirer de la poêle et réserver jusqu'à ce que nous préparions les bananes caramélisées. Placer une grande poêle antiadhésive sur feu moyen-vif. Lorsqu'elle est chaude, faire grésiller les deux cuillères à soupe de beurre dans la poêle pendant quelques secondes, puis ajouter les bananes. Laisser dorer les bananes pendant environ 30 secondes sans les remuer ni les déplacer. Utiliser une spatule pour retourner les bananes, puis ajouter la cassonade et la cannelle. Secouer la poêle pour faire bouger les bananes, cuire environ une minute de plus, jusqu'à ce que le sucre soit fondu et que les bananes soient caramélisées, mais encore solides. Éteignez le feu et réservez. Pour servir, placez les gaufres sur le plat de service et déposez les bananes caramélisées sur les gaufres et arrosez de sirop d'érable ou de miel sur les gaufres. Servez les gaufres à la farine de blé entier garnies de bananes caramélisées comme recette de petit-déjeuner</t>
  </si>
  <si>
    <t>https://www.archanaskitchen.com/whole-wheat-waffles-with-caramelised-bananas-egg-and-eggless-recipe</t>
  </si>
  <si>
    <t>Rezept für braunen Reis mit Frühlingszwiebeln und geröstetem Knoblauch</t>
  </si>
  <si>
    <t>Recette de riz brun aux oignons nouveaux et à l'ail rôti</t>
  </si>
  <si>
    <t>Receta de arroz integral con cebolletas y ajo asado</t>
  </si>
  <si>
    <t>1-1/2 tasse de riz brun - lavé et trempé, 1 cuillère à soupe d'huile d'olive extra vierge, 6 gousses d'ail - finement hachées, 1/4 tasse d'oignon de printemps (bulbe et feuilles) - bulbes, sel - au goût, 1/4 tasse de feuilles d'oignon de printemps</t>
  </si>
  <si>
    <t>1-1/2 cup Brown Rice - washed and soaked,1 tablespoon Extra Virgin Olive Oil,6 cloves Garlic - finely chopped,1/4 cup Spring Onion (Bulb &amp; Greens) - bulbs,Salt - to taste,1/4 cup Spring Onion Greens</t>
  </si>
  <si>
    <t>1-1/2 taza de arroz integral - lavado y remojado, 1 cucharada de aceite de oliva virgen extra, 6 dientes de ajo - finamente picados, 1/4 taza de cebolla de verdeo (bulbo y hojas) - bulbos, sal - al gusto, 1/4 taza de hojas de cebolla de verdeo</t>
  </si>
  <si>
    <t xml:space="preserve">To begin making Spring Onion &amp; Roasted Garlic Brown Rice Recipe, keep the rice soaked for a minimum of 30 minutes. Heat a pressure cooker with olive oil on medium flame, to this add the garlic cloves and roast until it turns into a light brown colour. Next add in the spring onions bulbs and cook until it turns transparent. This will take only about a minute or two. Next add in the salt, drained brown rice and 2-1/2 cups of water and close the pressure cooker. Pressure cook for about 4-5 whistles and turn off the flame. Allow the pressure to release naturally before opening the pressure cooker. Once the pressure is released, open  the pressure cooker and fluff the Spring Onion &amp; Roasted Garlic Brown Rice  with a fork, add in the finely chopped spring onions greens and give it a gentle mix, without breaking the rice grains. Serve Spring Onion &amp; Roasted Garlic Brown Rice along with Chicken with Creamy Mushroom Sauce Recipe or Spinach Ricotta Balls in Garlic Tomato Basil Sauce Recipe, and a side of Pan Roasted Zucchini &amp; Mushroom Recipe. Serve Greek Yogurt Chocolate Mousse Recipe as dessert.
</t>
  </si>
  <si>
    <t>Para comenzar a hacer la Receta de Arroz Integral con Cebolleta y Ajo Asado, mantenga el arroz en remojo durante un mínimo de 30 minutos. Caliente una olla a presión con aceite de oliva a fuego medio, a esto agregue los dientes de ajo y tueste hasta que se vuelva de un color marrón claro. Luego agregue los bulbos de cebolletas y cocine hasta que se vuelvan transparentes. Esto tomará solo alrededor de uno o dos minutos. Luego agregue la sal, el arroz integral escurrido y 2-1 / 2 tazas de agua y cierre la olla a presión. Cocine a presión durante aproximadamente 4-5 silbidos y apague la llama. Deje que la presión se libere naturalmente antes de abrir la olla a presión. Una vez que se libera la presión, abra la olla a presión y esponje el Arroz Integral con Cebolleta y Ajo Asado con un tenedor, agregue las cebolletas finamente picadas y mezcle suavemente, sin romper los granos de arroz. Sirva arroz integral con cebolleta y ajo asado junto con pollo con salsa cremosa de champiñones o bolitas de ricotta y espinacas en salsa de ajo, tomate y albahaca, y una guarnición de calabacín y champiñones asados. Sirva mousse de chocolate con yogur griego como postre.</t>
  </si>
  <si>
    <t>Pour commencer à préparer la recette de riz brun aux oignons nouveaux et à l'ail rôti, laissez le riz tremper pendant au moins 30 minutes. Chauffez un autocuiseur avec de l'huile d'olive à feu moyen, ajoutez les gousses d'ail et faites-les rôtir jusqu'à ce qu'elles prennent une couleur brun clair. Ajoutez ensuite les bulbes d'oignons nouveaux et faites-les cuire jusqu'à ce qu'ils deviennent transparents. Cela ne prendra qu'une minute ou deux environ. Ajoutez ensuite le sel, le riz brun égoutté et 2-1/2 tasses d'eau et fermez l'autocuiseur. Faites cuire sous pression pendant environ 4 à 5 sifflements et éteignez le feu. Laissez la pression se relâcher naturellement avant d'ouvrir l'autocuiseur. Une fois la pression relâchée, ouvrez l'autocuiseur et égrainez le riz brun aux oignons nouveaux et à l'ail rôti avec une fourchette, ajoutez les oignons nouveaux finement hachés et mélangez délicatement, sans casser les grains de riz. Servez le riz brun aux oignons nouveaux et à l'ail rôti avec le poulet à la sauce crémeuse aux champignons ou les boulettes d'épinards et de ricotta à la sauce tomate-basilic à l'ail, accompagnés de courgettes et de champignons poêlés. Servez la mousse au chocolat au yaourt grec en dessert.</t>
  </si>
  <si>
    <t>http://www.archanaskitchen.com/spring-onion-roasted-garlic-brown-rice-recipe</t>
  </si>
  <si>
    <t>Rezept für Paprika-Petersilienreis</t>
  </si>
  <si>
    <t>Recette de riz au paprika et au persil</t>
  </si>
  <si>
    <t>Receta de arroz con pimentón y perejil</t>
  </si>
  <si>
    <t>2 cuillères à café d'huile d'olive extra vierge, 4 gousses d'ail finement hachées, 1 oignon finement tranché, sel au goût, 1 cuillère à café de romarin séché, 1 tasse de riz lavé et trempé, 1 cuillère à soupe d'huile d'olive extra vierge, 1 cuillère à café de flocons de piment rouge, sel au goût, 1/3 tasse de poivron vert (Capsicum) finement haché, 2 cuillères à café d'herbes mélangées (séchées), 1/3 tasse de poivron rouge (Capsicum) finement haché, 1/3 tasse de poivron jaune (Capsicum) finement haché, feuilles de persil</t>
  </si>
  <si>
    <t>2 teaspoons Extra Virgin Olive Oil,4 cloves Garlic - finely chopped,1 Onion - thinly sliced,Salt - to taste,1 teaspoon Rosemary - dried,1 cup Rice - washed and soaked,1 tablespoon Extra Virgin Olive Oil,1 teaspoon Red Chilli flakes,Salt - to taste,1/3 cup Green Bell Pepper (Capsicum) - finely chopped,2 teaspoons Mixed Herbs (Dried),1/3 cup Red Bell pepper (Capsicum) - finely chopped,1/3 cup Yellow Bell Pepper (Capsicum) - finely chopped,Parsley leaves</t>
  </si>
  <si>
    <t>2 cucharaditas de aceite de oliva virgen extra, 4 dientes de ajo finamente picados, 1 cebolla finamente rebanada, sal al gusto, 1 cucharadita de romero seco, 1 taza de arroz lavado y remojado, 1 cucharada de aceite de oliva virgen extra, 1 cucharadita de hojuelas de chile rojo, sal al gusto, 1/3 taza de pimiento verde (Capsicum) finamente picado, 2 cucharaditas de hierbas mixtas (secas), 1/3 taza de pimiento rojo (Capsicum) finamente picado, 1/3 taza de pimiento amarillo (Capsicum) finamente picado, hojas de perejil</t>
  </si>
  <si>
    <t xml:space="preserve">To begin making the Bell Pepper &amp; Parsley Rice Recipe, in a pressure cooker, heat the olive oil on medium flame, to this add, garlic and saute for 30 seconds. To this add the onions, and continue to saute until it turns translucent. This will take about 2-3 minutes. Next to this, add salt and dried rosemary, soaked and drained rice, 2 cups of water and close the pressure cooker. Pressure cook for 2 whistles and turn off the flame. Allow the pressure to release naturally. Once the pressure has released, open the cooker, fluff the rice with the help of a fork and spread the rice in a platter allowing the rice grains to separate and cool down to room temperature. Next, in a skillet heat olive oil, add the red chilli flakes, and the three coloured peppers - red,green and yellow. Sprinkle salt. Saute for 4-5 minutes, until the bell peppers are just about cooked, yet have a bite to them. Add the mixed herbs and mix well. Turn off the flame. Finally, add these pan roasted peppers over the rice, along with chopped parsley and toss well using a fork and spoon. Transfer to a platter and serve. Serve Bell Pepper &amp; Parsley Rice Recipe along with Herbed Vegetables In Roasted Bell Pepper Sauce Recipe or Roasted Chicken Curry Recipe In Spinach Parmesan Sauce and a side of Creamy Garlic Mashed Potatoes Recipe, followed by Strawberry Coconut Trifle Pudding Recipe. 
</t>
  </si>
  <si>
    <t>Para comenzar a hacer la Receta de Arroz con Pimiento Morrón y Perejil, en una olla a presión, caliente el aceite de oliva a fuego medio, a esto agregue el ajo y saltee durante 30 segundos. A esto agregue las cebollas y continúe salteando hasta que se vuelva translúcida. Esto tomará alrededor de 2-3 minutos. A continuación, agregue sal y romero seco, arroz remojado y escurrido, 2 tazas de agua y cierre la olla a presión. Cocine a presión durante 2 silbidos y apague el fuego. Deje que la presión se libere naturalmente. Una vez que se haya liberado la presión, abra la olla, esponje el arroz con la ayuda de un tenedor y extiéndalo en una fuente permitiendo que los granos de arroz se separen y se enfríen a temperatura ambiente. A continuación, en una sartén caliente el aceite de oliva, agregue las hojuelas de chile rojo y los tres pimientos de colores: rojo, verde y amarillo. Espolvoree sal. Saltee durante 4-5 minutos, hasta que los pimientos estén casi cocidos, pero tengan un toque picante. Agregue las hierbas mixtas y mezcle bien. Apague el fuego. Finalmente, agregue estos pimientos asados ​​​​a la sartén sobre el arroz, junto con el perejil picado y mezcle bien con un tenedor y una cuchara. Transfiera a una fuente y sirva. Sirva la Receta de Arroz con Pimiento Morrón y Perejil junto con la Receta de Vegetales con Hierbas en Salsa de Pimiento Morrón Asado o la Receta de Curry de Pollo Asado en Salsa de Espinacas y Parmesano y una guarnición de la Receta de Puré de Papas Cremoso con Ajo, seguida de la Receta de Pudín de Trifle de Fresa y Coco.</t>
  </si>
  <si>
    <t>Pour commencer à préparer la recette de riz aux poivrons et au persil, dans un autocuiseur, faites chauffer l'huile d'olive à feu moyen, ajoutez-y l'ail et faites revenir pendant 30 secondes. Ajoutez les oignons et continuez à faire revenir jusqu'à ce qu'ils deviennent translucides. Cela prendra environ 2 à 3 minutes. Ajoutez ensuite le sel et le romarin séché, le riz trempé et égoutté, 2 tasses d'eau et fermez l'autocuiseur. Faites cuire sous pression pendant 2 sifflets et éteignez le feu. Laissez la pression se relâcher naturellement. Une fois la pression relâchée, ouvrez l'autocuiseur, égrainez le riz à l'aide d'une fourchette et étalez le riz dans un plat en laissant les grains de riz se séparer et refroidir à température ambiante. Ensuite, dans une poêle, faites chauffer l'huile d'olive, ajoutez les flocons de piment rouge et les trois poivrons colorés - rouge, vert et jaune. Saupoudrez de sel. Faites sauter pendant 4 à 5 minutes, jusqu'à ce que les poivrons soient presque cuits, mais qu'ils aient du mordant. Ajoutez les herbes mélangées et mélangez bien. Éteignez le feu. Enfin, ajoutez ces poivrons poêlés sur le riz, ainsi que le persil haché, et mélangez bien à l'aide d'une fourchette et d'une cuillère. Transférez dans un plat et servez. Servez la recette de riz aux poivrons et au persil avec la recette de légumes aux herbes dans une sauce aux poivrons rôtis ou la recette de poulet rôti au curry dans une sauce aux épinards et au parmesan, accompagnée d'une recette de purée de pommes de terre crémeuse à l'ail, suivie d'une recette de pouding au bagatelle de fraises et de noix de coco.</t>
  </si>
  <si>
    <t>http://www.archanaskitchen.com/bell-pepper-parsley-rice-recipe</t>
  </si>
  <si>
    <t>Eggless Whole Wheat Orange Cake Recipe</t>
  </si>
  <si>
    <t>Rezept für Orangenkuchen aus Vollkorn ohne Eier</t>
  </si>
  <si>
    <t>Recette de gâteau à l'orange complet sans œufs</t>
  </si>
  <si>
    <t>Receta de pastel de naranja integral sin huevo</t>
  </si>
  <si>
    <t>1 tasse de farine de blé entier, 1 cuillère à soupe de farine de maïs, 1/2 cuillère à café de bicarbonate de soude, 1/2 cuillère à café de levure chimique, 1 pincée de sel, 1/2 tasse de sucre glace, 1/4 tasse d'huile de tournesol, 1 tasse de jus d'orange frais, 1 cuillère à café de zeste d'orange (écorce)</t>
  </si>
  <si>
    <t>1 cup Whole Wheat Flour,1 tablespoon Corn flour,1/2 teaspoon Baking soda,1/2 teaspoon Baking powder,1 pinch Salt,1/2 cup Icing Sugar,1/4 cup Sunflower Oil,1 cup Fresh orange juice,1 teaspoon Orange Zest (Rind)</t>
  </si>
  <si>
    <t>1 taza de harina integral, 1 cucharada de harina de maíz, 1/2 cucharadita de bicarbonato de sodio, 1/2 cucharadita de polvo para hornear, 1 pizca de sal, 1/2 taza de azúcar glas, 1/4 taza de aceite de girasol, 1 taza de jugo de naranja fresco, 1 cucharadita de ralladura de naranja (cáscara)</t>
  </si>
  <si>
    <t xml:space="preserve">To begin making the Eggless Whole Wheat Orange Cake recipe, preheat your oven to 180 degree C.Sieve 1 cup whole wheat flour with corn flour, salt, baking powder, baking soda and keep aside.In a blender take, the granulated sugar, oil and blend well till the mixture get creamy.I made orange juice at home, you can take ready made juice too.You can also blend the orange segments (seeds removed) and strain the  juice like I have done. I used three medium oranges to get a bit more than 1 cup juice.Now add 1 cup orange juice in the sugar oil mixture and stir well.Now add the sieved flour mixture and 1 teaspoon orange zest to get a more dominant flavor of oranges, you can also add orange extract or essence.To get the zest of orange, just grate the orange peel, before you peel the oranges.Only grate the orange part, don’t grate the white  part.Mix everything very well with a spatula and check there should be no lumps in the cake batter.Pour the batter in a lined or greased cake tin of about 6 inches.Bake in a preheated oven for 180 degrees C for 30-35 minutes or till the tooth pick inserted in the centre comes out clean.Transfer the cake on a wire rack and allow it to cool completely before cutting into slices. Serve Eggless Whole Wheat Orange Cake on its own as a dessert after your meal or serve its slices during tea time with  a cup of hot Masala Chai.
</t>
  </si>
  <si>
    <t>Para comenzar a hacer la receta de pastel de naranja integral sin huevo, precaliente el horno a 180 grados C. Tamice 1 taza de harina integral con harina de maíz, sal, polvo para hornear, bicarbonato de sodio y reserve. En una licuadora, tome el azúcar granulada, el aceite y mezcle bien hasta que la mezcla se vuelva cremosa. Hice jugo de naranja en casa, también puede tomar jugo ya preparado. También puede licuar los gajos de naranja (sin semillas) y colar el jugo como lo he hecho yo. Usé tres naranjas medianas para obtener un poco más de 1 taza de jugo. Ahora agregue 1 taza de jugo de naranja a la mezcla de aceite de azúcar y revuelva bien. Ahora agregue la mezcla de harina tamizada y 1 cucharadita de ralladura de naranja para obtener un sabor más dominante de naranjas, también puede agregar extracto o esencia de naranja. Para obtener la ralladura de naranja, simplemente ralle la cáscara de naranja, antes de pelar las naranjas. Solo ralle la parte naranja, no ralle la parte blanca. Mezcle todo muy bien con una espátula y verifique que no haya grumos en la masa del pastel. Vierta la masa en un molde para pastel forrado o engrasado de aproximadamente 6 pulgadas. Hornee en un horno precalentado a 180 grados C durante 30-35 minutos o hasta que el palillo insertado en el centro salga limpio. Transfiera el pastel a una rejilla de alambre y deje que se enfríe completamente antes de cortarlo en rebanadas. Sirva el pastel de naranja integral sin huevo solo como postre después de la comida o sirva sus rebanadas durante la hora del té con una taza de Masala Chai caliente.</t>
  </si>
  <si>
    <t xml:space="preserve">Pour commencer à préparer la recette du gâteau à l'orange au blé entier sans œufs, préchauffez votre four à 180 degrés C. Tamisez 1 tasse de farine de blé entier avec la farine de maïs, le sel, la levure chimique, le bicarbonate de soude et réservez. Dans un mixeur, prenez le sucre cristallisé, l'huile et mélangez bien jusqu'à ce que le mélange devienne crémeux. J'ai fait du jus d'orange à la maison, vous pouvez aussi prendre du jus prêt à l'emploi. Vous pouvez également mélanger les segments d'orange (graines retirées) et filtrer le jus comme je l'ai fait. J'ai utilisé trois oranges moyennes pour obtenir un peu plus d'une tasse de jus. Ajoutez maintenant 1 tasse de jus d'orange dans le mélange d'huile de sucre et remuez bien. Ajoutez maintenant le mélange de farine tamisée et 1 cuillère à café de zeste d'orange pour obtenir une saveur plus dominante d'oranges, vous pouvez également ajouter de l'extrait ou de l'essence d'orange. Pour obtenir le zeste d'orange, râpez simplement le zeste d'orange avant de peler les oranges. Râpez uniquement la partie orange, ne râpez pas la partie blanche. Mélangez très bien le tout avec une spatule et vérifiez qu'il n'y a pas de grumeaux dans la pâte à gâteau. Versez la pâte dans un moule à gâteau chemisé ou graissé d'environ 6 pouces. Faites cuire au four préchauffé à 180 degrés C pendant 30 à 35 minutes ou jusqu'à ce que le cure-dent inséré au centre en ressorte propre. Transférez le gâteau sur une grille et laissez-le refroidir complètement avant de le couper en tranches. Servez le gâteau à l'orange au blé entier sans œufs seul comme dessert après votre repas ou servez ses tranches à l'heure du thé avec une tasse de Masala Chai chaud.
</t>
  </si>
  <si>
    <t>http://www.archanaskitchen.com/whole-wheat-eggless-orange-cake-recipe</t>
  </si>
  <si>
    <t>Eggless Strawberry, Rose And Pistachio Cake Recipe</t>
  </si>
  <si>
    <t>Rezept für Erdbeer-Rosen-Pistazienkuchen ohne Eier</t>
  </si>
  <si>
    <t>Recette de gâteau fraise rose pistache sans œufs</t>
  </si>
  <si>
    <t>Receta de pastel rosa de pistacho, fresa y sin huevo</t>
  </si>
  <si>
    <t>1/2 tasse de farine de blé entier, 1/2 tasse de farine tout usage (Maida), 1/2 tasse de sucre en poudre, 1/2 tasse de babeurre, 1 cuillère à café de levure chimique, 1/4 tasse de beurre fondu, 1 cuillère à café d'extrait de vanille, 1/3 tasse de fraises hachées, 1/4 tasse de pistaches hachées en flocons, 2 cuillères à soupe de pétales de rose, sel - une pincée, 1/4 tasse d'eau</t>
  </si>
  <si>
    <t>1/2 cup Whole Wheat Flour,1/2 cup All Purpose Flour (Maida),1/2 cup Caster Sugar,1/2 cup Buttermilk,1 teaspoon Baking powder,1/4 cup Butter - melted,1 teaspoon Vanilla Extract,1/3 cup Strawberries - chopped,1/4 cup Pistachios - chopped to flakes,2 tablespoon Rose Petals,Salt - a pinch,1/4 cup Water</t>
  </si>
  <si>
    <t>1/2 taza de harina integral, 1/2 taza de harina para todo uso (Maida), 1/2 taza de azúcar extrafino, 1/2 taza de suero de leche, 1 cucharadita de polvo para hornear, 1/4 taza de mantequilla derretida, 1 cucharadita de extracto de vainilla, 1/3 taza de fresas picadas, 1/4 taza de pistachos picados en hojuelas, 2 cucharadas de pétalos de rosa, sal - una pizca, 1/4 taza de agua</t>
  </si>
  <si>
    <t xml:space="preserve">To prepare the Eggless Strawberry, Rose and Pistachio Cake Recipe, we will first preheat the oven to 180 C. Line a 6-inch cake tin with parchment paper or grease with little butter and keep aside until required.Next sift together the baking powder, salt and both the flours. In a mixing bowl, whisk together the buttermilk, vanilla essence and melted butter for few minutes till the mixture turns light and creamy in texture.To the wet ingredients, add the sugar and half of the flour mixture. Combine using a spatula or wooden spoon. Fold in the remaining sifted flour, water along with chopped strawberries, pistachio and rose petals.The cake batter should be of a dropping consistency. When a dollop of the batter is raised in a spoon and dropped from a small height, it must fall off and not pour.Transfer the batter to the lined cake tin and bake in preheated oven for 25-30 minutes or till a skewer inserted in the center comes out clean.Take it out on a cooling rack and let it sit in the tin till completely cool before unmolding. Serve warm with a dollop ofrecipe perfect for the summer parties. The batter for this cake is quick and easy to make and the cake is baked in a short span of time. The aroma of rose petals and juiciness of strawberry make this cake really delectable. The pistachio provides the right crunch to the cake.Serve Strawberry, Rose and Pistachio Cake warm with a scoop of Homemade Mango Ice Cream for the summer party dessert with a drizzle of Sticky Date Pudding With Butterscotch Sauce on top.Note: To make buttermilk - To 1 cup of lukewarm milk add a teaspoon of white vinegar. Stir to combine. Allow the mixture to curdle. This should take about 5 minutes or so.
</t>
  </si>
  <si>
    <t>Para preparar la Receta de Pastel de Fresas, Rosas y Pistachos sin Huevo, primero precalentaremos el horno a 180 C. Forraremos un molde para pastel de 6 pulgadas con papel pergamino o engrasamos con un poco de mantequilla y reservamos hasta que se necesite. Luego tamizamos juntos el polvo para hornear, la sal y ambas harinas. En un tazón, mezclamos el suero de leche, la esencia de vainilla y la mantequilla derretida durante unos minutos hasta que la mezcla se vuelva ligera y cremosa en textura. A los ingredientes húmedos, agregamos el azúcar y la mitad de la mezcla de harina. Combina usando una espátula o cuchara de madera. Incorpora la harina tamizada restante, el agua junto con las fresas picadas, el pistacho y los pétalos de rosa. La masa del pastel debe tener una consistencia fluida. Al levantar una cucharada de masa con una cuchara y dejarla caer desde una altura pequeña, esta debe caerse, no derramarse. Transfiera la masa al molde forrado y hornee en horno precalentado durante 25-30 minutos o hasta que al insertar un palillo en el centro, este salga limpio. Sáquelo a una rejilla y déjelo reposar en el molde hasta que se enfríe por completo antes de desmoldar. Sírvalo caliente con una cucharada de la receta perfecta para las fiestas de verano. La masa de este pastel es rápida y fácil de hacer, y se hornea en poco tiempo. El aroma a pétalos de rosa y la jugosidad de las fresas lo hacen realmente delicioso. El pistacho le da el toque crujiente perfecto al pastel. Sirva el pastel de fresa, rosa y pistacho tibio con una bola de helado de mango casero como postre para la fiesta de verano, con un chorrito de pudín de dátiles pegajoso con salsa de caramelo por encima. Nota: Para preparar suero de leche: a 1 taza de leche tibia, agregue una cucharadita de vinagre blanco. Revuelva para combinar. Deje que la mezcla cuaje. Esto debería tomar unos 5 minutos aproximadamente.</t>
  </si>
  <si>
    <t>Pour préparer la recette du gâteau aux fraises, à la rose et aux pistaches sans œufs, nous allons d'abord préchauffer le four à 180 °C. Tapisser un moule à gâteau de 6 pouces de papier sulfurisé ou graisser avec un peu de beurre et réserver jusqu'à ce que vous en ayez besoin. Ensuite, tamiser ensemble la levure chimique, le sel et les deux farines. Dans un bol, fouetter ensemble le babeurre, l'essence de vanille et le beurre fondu pendant quelques minutes jusqu'à ce que le mélange devienne léger et crémeux. Aux ingrédients humides, ajouter le sucre et la moitié du mélange de farine. Mélanger à l'aide d'une spatule ou d'une cuillère en bois. Incorporer le reste de farine tamisée, l'eau ainsi que les fraises hachées, les pistaches et les pétales de rose. La pâte à gâteau doit avoir une consistance tombante. Français Lorsqu'une cuillerée de pâte est soulevée dans une cuillère et lâchée d'une petite hauteur, elle doit tomber et ne pas couler. Transférez la pâte dans le moule à gâteau chemisé et faites cuire au four préchauffé pendant 25 à 30 minutes ou jusqu'à ce qu'une brochette insérée au centre en ressorte propre. Sortez-la sur une grille de refroidissement et laissez-la reposer dans le moule jusqu'à ce qu'elle refroidisse complètement avant de la démouler. Servez chaud avec une cuillerée de recette parfaite pour les fêtes d'été. La pâte pour ce gâteau est rapide et facile à préparer et le gâteau est cuit en peu de temps. L'arôme des pétales de rose et le jus de la fraise rendent ce gâteau vraiment délicieux. La pistache apporte le bon croquant au gâteau. Servez le gâteau aux fraises, à la rose et à la pistache chaud avec une boule de glace à la mangue maison pour le dessert de la fête d'été avec un filet de pudding aux dattes collant avec sauce au caramel sur le dessus. Remarque : Pour faire du babeurre - À 1 tasse de lait tiède, ajoutez une cuillère à café de vinaigre blanc. Remuez pour mélanger. Laissez le mélange cailler. Cela devrait prendre environ 5 minutes.</t>
  </si>
  <si>
    <t>https://www.archanaskitchen.com/eggless-strawberry-rose-and-pistachio-cake-recipe-eggless-egg-free</t>
  </si>
  <si>
    <t>Roasted Cauliflower Salad With Quinoa &amp; Garlic Yogurt Recipe</t>
  </si>
  <si>
    <t>Rezept für gerösteten Blumenkohlsalat mit Quinoa und Knoblauchjoghurt</t>
  </si>
  <si>
    <t>Recette de salade de chou-fleur rôti au quinoa et yaourt à l'ail</t>
  </si>
  <si>
    <t>Receta de ensalada de coliflor asada con quinoa y yogur de ajo</t>
  </si>
  <si>
    <t>2 tasses de chou-fleur (gobi) - coupé en fleurons moyens, 1 cuillère à soupe de poudre de paprika, 1 cuillère à soupe d'origan séché, 1 cuillère à café de poudre de poivre noir, sel - au goût, huile d'olive extra vierge - pour la cuisson, 1 tasse de quinoa, 2 cuillères à café de flocons de piment rouge, 2 cuillères à café d'herbes mélangées (séchées), sel - au goût, 2 cuillères à soupe d'huile d'olive extra vierge, 1 tasse de Hung Curd (yaourt grec), 8 gousses d'ail - finement hachées, 1 jus de citron, 1/4 tasse de noyaux de grenade frais</t>
  </si>
  <si>
    <t>2 cups Cauliflower (gobi) - cut into medium florets,1 tablespoon Paprika powder,1 tablespoon Dried oregano,1 teaspoon Black pepper powder,Salt - to taste,Extra Virgin Olive Oil - for cooking,1 cup Quinoa,2 teaspoon Red Chilli flakes,2 teaspoon Mixed Herbs (Dried),Salt - to taste,2 tablespoon Extra Virgin Olive Oil,1 cup Hung Curd (Greek Yogurt),8 cloves Garlic - finely chopped,1 Lemon juice,1/4 cup Fresh Pomegranate Fruit Kernels</t>
  </si>
  <si>
    <t>2 tazas de coliflor (gobi) - cortada en floretes medianos, 1 cucharada de pimentón en polvo, 1 cucharada de orégano seco, 1 cucharadita de pimienta negra en polvo, sal - al gusto, aceite de oliva virgen extra - para cocinar, 1 taza de quinoa, 2 cucharaditas de hojuelas de chile rojo, 2 cucharaditas de hierbas mixtas (secas), sal - al gusto, 2 cucharadas de aceite de oliva virgen extra, 1 taza de cuajada colgada (yogur griego), 8 dientes de ajo - finamente picados, jugo de 1 limón, 1/4 taza de semillas de granada fresca</t>
  </si>
  <si>
    <t xml:space="preserve">To begin making the Roasted Cauliflower Salad With Quinoa &amp; Garlic Yogurt Recipe, prep all the ingredients and keep it aside.Into a pan; add a little oil and preheat it over medium. Add the cauliflower florets, sprinkle some salt and roast the cauliflower until it is firm and yet cooked.To Make the Quinoa Pressure cook the quinoa with 1 cup of water, salt to taste in a pressure cooker for 3 to 4 whistles. Once done allow the pressure to release naturally. Transfer the quinoa to a serving bowl, add seasonings like red chilli flakes and mixed herbs, mix well. To Make Garlic Yogurt Into a mixing bowl, add the hung curd, drizzle olive oil, add garlic, salt and lemon juice. Check the taste and adjust seasonings accordingly. Once done transfer the garlic yogurt to a serving bowl.To Make the Salad Place the seasoned quinoa below on your serving platter, add your roasted cauliflower on top, pour in some of the garlic yogurt dip and sprinkle with pomegranate seeds and serve.Serve the Roasted Cauliflower Salad With Quinoa &amp; Garlic Yogurt Recipe along with Creamy Chicken Pesto Spaghetti Pasta and Light And Creamy Broccoli Soup for your weekend dinner meal.
</t>
  </si>
  <si>
    <t>Para comenzar a hacer la receta de ensalada de coliflor asada con quinoa y yogur de ajo, prepare todos los ingredientes y déjelos a un lado. En una sartén; agregue un poco de aceite y precaliéntelo a fuego medio. Agregue los floretes de coliflor, espolvoree un poco de sal y ase la coliflor hasta que esté firme pero cocida. Para hacer la quinoa, cocine a presión la quinoa con 1 taza de agua, sal al gusto en una olla a presión durante 3 a 4 silbidos. Una vez hecho esto, deje que la presión se libere naturalmente. Transfiera la quinoa a un tazón para servir, agregue condimentos como hojuelas de chile rojo y hierbas mixtas, mezcle bien. Para hacer yogur de ajo En un tazón, agregue la cuajada colgada, rocíe aceite de oliva, agregue ajo, sal y jugo de limón. Verifique el sabor y ajuste los condimentos según corresponda. Una vez listo, transfiera el yogur de ajo a un tazón para servir. Para preparar la ensalada, coloque la quinoa sazonada en su plato para servir, agregue la coliflor asada encima, vierta un poco de la salsa de yogur de ajo y espolvoree con semillas de granada y sirva. Sirva la receta de ensalada de coliflor asada con quinoa y yogur de ajo junto con la pasta de espagueti con pesto de pollo cremoso y la sopa de brócoli ligera y cremosa para su cena de fin de semana.</t>
  </si>
  <si>
    <t>Pour commencer à préparer la recette de salade de chou-fleur rôti au quinoa et au yaourt à l'ail, préparez tous les ingrédients et réservez-les. Dans une poêle, ajoutez un peu d'huile et préchauffez-la à feu moyen. Ajoutez les fleurons de chou-fleur, saupoudrez de sel et faites rôtir le chou-fleur jusqu'à ce qu'il soit ferme et cuit. Pour préparer le quinoa, faites cuire le quinoa sous pression avec 1 tasse d'eau, salez au goût dans un autocuiseur pendant 3 à 4 sifflements. Une fois terminé, laissez la pression se relâcher naturellement. Transférez le quinoa dans un bol de service, ajoutez des assaisonnements comme des flocons de piment rouge et des herbes mélangées, mélangez bien. Pour préparer le yaourt à l'ail, dans un bol à mélanger, ajoutez le caillé suspendu, arrosez d'huile d'olive, ajoutez l'ail, le sel et le jus de citron. Vérifiez le goût et ajustez les assaisonnements en conséquence. Une fois terminé, transférez le yaourt à l'ail dans un bol de service. Pour préparer la salade, placez le quinoa assaisonné ci-dessous sur votre plat de service, ajoutez votre chou-fleur rôti dessus, versez un peu de trempette au yaourt à l'ail et saupoudrez de graines de grenade et servez. Servez la recette de salade de chou-fleur rôti avec quinoa et yaourt à l'ail avec des pâtes spaghetti crémeuses au poulet et au pesto et une soupe légère et crémeuse au brocoli pour votre dîner du week-end.</t>
  </si>
  <si>
    <t>http://www.archanaskitchen.com/roasted-cauliflower-salad-with-quinoa-garlic-yogurt-recipe</t>
  </si>
  <si>
    <t>Black Bean Walnut Burger Recipe</t>
  </si>
  <si>
    <t>Rezept für einen Burger mit schwarzen Bohnen und Walnüssen</t>
  </si>
  <si>
    <t>Recette de burger aux haricots noirs et aux noix</t>
  </si>
  <si>
    <t>Receta de hamburguesa de frijoles negros y nueces</t>
  </si>
  <si>
    <t>2 pains à hamburger, beurre - pour griller les pains à hamburger, 1 oignon - coupé en rondelles, 1/2 tasse de fèves de soja noires - trempées pendant 4 heures et cuites jusqu'à ce qu'elles soient tendres, 1 pomme de terre (Aloo) - bouillie et pelée, 1/4 tasse d'oignons - finement hachés, 1/4 tasse de poivron vert (Capsicum) - finement haché, 1/4 tasse de poivron rouge (Capsicum) - finement haché, 1 cuillère à soupe de farine de maïs, 1 cuillère à café de poudre de piment rouge, 2 cuillères à café de poudre de cumin (Jeera), 1 cuillère à café de poudre de poivre noir, 1/4 tasse de chapelure de blé entier, 1/3 tasse de noix - concassées, 2 cuillères à soupe de sauce soja, 2 cuillères à soupe de sauce Sriracha, 1 cuillère à soupe de miel, 2 cuillères à soupe de ketchup</t>
  </si>
  <si>
    <t>2 Burger buns,Butter - to toast the burger buns,1 Onions - sliced into rings,1/2 cup Black Soy Beans - soaked for 4 hours &amp; cooked until soft,1 Potatoes (Aloo) - boiled and peeled,1/4 cup Onions - finely chopped,1/4 cup Green Bell Pepper (Capsicum) - finely chopped,1/4 cup Red Bell pepper (Capsicum) - finely chopped,1 tablespoon Corn flour,1 teaspoon Red Chilli powder,2 teaspoons Cumin powder (Jeera),1 teaspoon Black pepper powder,1/4 cup Whole Wheat Bread crumbs,1/3 cup Walnuts - crushed,2 tablespoons Soy sauce,2 tablespoons Sriracha sauce,1 tablespoon Honey,2 tablespoons Tomato Ketchup</t>
  </si>
  <si>
    <t>2 panecillos de hamburguesa, mantequilla - para tostar los panecillos de hamburguesa, 1 cebolla - cortada en aros, 1/2 taza de frijoles de soja negros - remojados durante 4 horas y cocidos hasta que estén blandos, 1 papa (Aloo) - hervida y pelada, 1/4 taza de cebollas - finamente picadas, 1/4 taza de pimiento verde (Capsicum) - finamente picado, 1/4 taza de pimiento rojo (Capsicum) - finamente picado, 1 cucharada de harina de maíz, 1 cucharadita de chile rojo en polvo, 2 cucharaditas de comino en polvo (Jeera), 1 cucharadita de pimienta negra en polvo, 1/4 taza de pan rallado integral, 1/3 taza de nueces - trituradas, 2 cucharadas de salsa de soja, 2 cucharadas de salsa Sriracha, 1 cucharada de miel, 2 cucharadas de ketchup de tomate</t>
  </si>
  <si>
    <t xml:space="preserve">To begin making the Black Bean Walnut Burger Recipe we will first make the sauce and keep it ready. To make the sauce, in a mixing bowl, combine the soy sauce, sriracha sauce, honey, tomato ketchup. Mix well and set aside.  Cook the black beans in the pressure cooker for about 20 minutes until soft. Once cooked, allow the pressure to release naturally. Drain out any excess water and keep aside.To make the Black Bean Walnut Burger PattyIn a mixing bowl, combine the cooked black soybean, boiled and mashed potato, onions, green capsicum, red bell pepper, corn flour, salt, red chili powder, cumin powder, black pepper powder, bread crumbs, walnuts. Mix well and bring the patty mixture together. Preheat a tawa on medium-high heat, brush some oil on the surface of the tawa. Grease your palms with oil and take a ladle full of the Black SoyBean and Walnut Patty mixture in your palm, flatten it, shaping it like a patty and place it on the hot tawa. Cook on both sides for about 3-4 minutes, till it gets a nice brown colour on both sides. Remove the Black Bean Walnut Burger Patty on a plate and set aside. To assemble the Black Bean Walnut Burger RecipeCut the burger in half horizontally, slather butter on both sides, place it butter face down on the hot tawa and toast until it turns into a light brown colour. Place the cooked Black Bean Walnut Burger Patty on the bottom half of the burger bun, place onion rings over it, spread the sweet-spicy-tangy sauce on the upper half of the burger bun. Close the Black Bean Walnut Burger and serve. Serve Black Bean Walnut Burger Recipe as a meal over the weekend along with Baked Potato Wedge Recipe, Blueberry and Lemon Iced Tea Recipe, followed by a dessert of Mango &amp; Mixed Fruit Popsicles Recipe
</t>
  </si>
  <si>
    <t>Para comenzar a hacer la Receta de hamburguesa de nueces y frijoles negros, primero haremos la salsa y la mantendremos lista. Para hacer la salsa, en un tazón, combine la salsa de soya, la salsa sriracha, la miel y la salsa de tomate. Mezcle bien y reserve. Cocine los frijoles negros en la olla a presión durante unos 20 minutos hasta que estén suaves. Una vez cocidos, deje que la presión se libere naturalmente. Escurra el exceso de agua y reserve. Para hacer la hamburguesa de nueces y frijoles negros En un tazón, combine la soya negra cocida, la papa hervida y hecha puré, las cebollas, el pimiento verde, el pimiento rojo, la harina de maíz, la sal, el chile rojo en polvo, el comino en polvo, la pimienta negra en polvo, el pan rallado y las nueces. Mezcle bien y junte la mezcla de la hamburguesa. Precaliente una tawa a fuego medio-alto, unte un poco de aceite en la superficie de la tawa. Engrase sus palmas con aceite y tome un cucharón lleno de la mezcla de hamburguesa de soja negra y nueces en su palma, aplánela, dándole forma de hamburguesa y colóquela en la tawa caliente. Cocine por ambos lados durante unos 3-4 minutos, hasta que adquiera un bonito color marrón en ambos lados. Retire la hamburguesa de nueces y frijoles negros en un plato y reserve. Para armar la receta de hamburguesa de nueces y frijoles negros Corte la hamburguesa por la mitad horizontalmente, unte mantequilla en ambos lados, colóquela con la mantequilla hacia abajo en la tawa caliente y tueste hasta que adquiera un color marrón claro. Coloque la hamburguesa de nueces y frijoles negros cocida en la mitad inferior del pan de hamburguesa, coloque aros de cebolla encima, esparza la salsa agridulce en la mitad superior del pan de hamburguesa. Cierre la hamburguesa de nueces y frijoles negros y sirva. Sirva la hamburguesa de frijoles negros y nueces como comida durante el fin de semana junto con la papa gajo al horno, el té helado de arándanos y limón, y un postre de paletas de mango y frutas mixtas.</t>
  </si>
  <si>
    <t>Pour commencer à préparer la recette du burger aux haricots noirs et aux noix, nous allons d'abord préparer la sauce et la garder prête. Pour préparer la sauce, dans un bol, mélanger la sauce soja, la sauce sriracha, le miel et le ketchup. Bien mélanger et réserver. Cuire les haricots noirs dans l'autocuiseur pendant environ 20 minutes jusqu'à ce qu'ils soient tendres. Une fois cuits, laisser la pression se relâcher naturellement. Égoutter l'excès d'eau et réserver. Pour préparer le steak haché aux haricots noirs et aux noix Dans un bol, mélanger le soja noir cuit, les pommes de terre bouillies et écrasées, les oignons, le poivron vert, le poivron rouge, la farine de maïs, le sel, la poudre de piment rouge, la poudre de cumin, la poudre de poivre noir, la chapelure et les noix. Bien mélanger et rassembler le mélange de galettes. Préchauffer un tawa à feu moyen-vif, badigeonner d'huile la surface du tawa. Graissez vos paumes avec de l'huile et prenez une louche pleine du mélange de galette de soja noir et de noix dans votre paume, aplatissez-la en lui donnant la forme d'une galette et placez-la sur le tawa chaud. Faites cuire des deux côtés pendant environ 3 à 4 minutes, jusqu'à ce qu'elle prenne une belle couleur brune des deux côtés. Retirez la galette de burger aux haricots noirs et aux noix sur une assiette et réservez. Pour assembler la recette du burger aux haricots noirs et aux noix Coupez le burger en deux horizontalement, badigeonnez de beurre les deux côtés, placez-le face beurrée vers le bas sur le tawa chaud et faites-le griller jusqu'à ce qu'il prenne une couleur brun clair. Placez la galette de burger aux haricots noirs et aux noix cuite sur la moitié inférieure du pain à burger, placez des rondelles d'oignon dessus, étalez la sauce aigre-douce-piquante sur la moitié supérieure du pain à burger. Fermez le burger aux haricots noirs et aux noix et servez. Servez la recette de burger aux haricots noirs et aux noix comme repas du week-end, accompagnée d'une recette de quartiers de pommes de terre au four, d'une recette de thé glacé aux myrtilles et au citron, suivie d'un dessert composé de glaces à la mangue et aux fruits mélangés.</t>
  </si>
  <si>
    <t>https://www.archanaskitchen.com/black-soya-bean-and-walnut-burger-recipe</t>
  </si>
  <si>
    <t>Pancakes Drizzled With Chocolate Sauce Served With Fruits &amp; Jaggery Recipe (Breakfast In Bed)</t>
  </si>
  <si>
    <t>Pfannkuchen mit Schokoladensauce, serviert mit Früchten und Palmzucker (Frühstück im Bett)</t>
  </si>
  <si>
    <t>Crêpes à la sauce au chocolat, servies avec des fruits et du sucre de palme (petit-déjeuner au lit)</t>
  </si>
  <si>
    <t>Crepes con salsa de chocolate, servidas con fruta y azúcar de palma (desayuno en la cama)</t>
  </si>
  <si>
    <t>1 tasse de lait, 1 œuf entier, 1/2 tasse de farine tout usage (Maida), 1/2 cuillère à café de levure chimique, 4 cuillères à café de sucre, 1 cuillère à café de beurre - plus pour étaler pendant la cuisson, 3 extraits de vanille, sel - une pincée, 1 banane mûre, 1 cuillère à soupe de jaggery - en poudre, mangue (mûre) - quelques tranches, cerises fraîches - (ou en conserve) quelques</t>
  </si>
  <si>
    <t>1 cup Milk,1 Whole Egg,1/2 cup All Purpose Flour (Maida),1/2 teaspoon Baking powder,4 teaspoon Sugar,1 teaspoon Butter - more to smear while cooking,3 Vanilla Extract,Salt - a pinch,1 Ripe Bananas,1 tablespoon Jaggery - powdered,Mango (Ripe) - a few slices,Fresh Cherries - (or canned) a few</t>
  </si>
  <si>
    <t>1 taza de leche, 1 huevo entero, 1/2 taza de harina para todo uso (Maida), 1/2 cucharadita de polvo para hornear, 4 cucharaditas de azúcar, 1 cucharadita de mantequilla (más para untar mientras se cocina), 3 extractos de vainilla, sal (una pizca), 1 plátano maduro, 1 cucharada de jaggery (en polvo), mango (maduro) - algunas rodajas, cerezas frescas (o enlatadas) algunas</t>
  </si>
  <si>
    <t xml:space="preserve">To begin making Pancakes Drizzled With Chocolate Sauce Served With Fruits &amp; Jaggery Recipe (Breakfast In Bed), first mix maida, baking powder, and salt in a mixing bowl as a start to make the pancakes.In another bowl, break in an egg and slightly beat it with a hand whisk till even. To this beaten egg, add butter, vanilla extract and milk and whisk to combine.Make a well in the center of dry ingredients. Add the milk mixture, and stir to mix.Grease a crepe pan with a bit of butter on a low medium heat.Pour the desired amount of the prepared pancake mixture to make small, medium or large circles. Two to three tablespoon of mixture in a ladle is ideal for small to medium sized pancakes.Let stand till the bottom side is browned. You can as well cook on the other side if you want, or leave on the same side on low-medium heat till the whole pancake is cooked.Spoon onto a serving plate. Finish up with rest of the pancake mixture in batches, smearing butter before you pour on the pan.Arrange the pancakes in a serving plate, along with sliced banana topped with powdered jaggery. Place the chopped seasonal fruits like mangoes and cherries on the sides and serve with a drizzle chocolate sauce on the pancakes.Serve this breakfast plate of Pancakes Drizzled With Chocolate Sauce Served With Fruits &amp; Jaggery Recipe (Breakfast In Bed) along with Hot Coffee Latte Recipe or Cocoa Banana Almond Date Smoothie, and Breakfast Hash Browns Recipe for a Sunday brunch.
</t>
  </si>
  <si>
    <t>Para comenzar a hacer Panqueques Rociados con Salsa de Chocolate Servidos con Frutas y Jaggery Receta (Desayuno en la Cama), primero mezcle maida, polvo para hornear y sal en un tazón para mezclar como comienzo para hacer los panqueques. En otro tazón, rompa un huevo y bátalo ligeramente con un batidor de mano hasta que esté uniforme. A este huevo batido, agregue mantequilla, extracto de vainilla y leche y bata para combinar. Haga un pozo en el centro de los ingredientes secos. Agregue la mezcla de leche y revuelva para mezclar. Engrase una sartén para crepas con un poco de mantequilla a fuego medio bajo. Vierta la cantidad deseada de la mezcla preparada para panqueques para hacer círculos pequeños, medianos o grandes. De dos a tres cucharadas de mezcla en un cucharón es ideal para panqueques de tamaño pequeño a mediano. Deje reposar hasta que el lado inferior esté dorado. También puede cocinar por el otro lado si lo desea, o dejarlo en el mismo lado a fuego medio bajo hasta que todo el panqueque esté cocido. Vierta en un plato para servir. Termina con el resto de la mezcla para panqueques en tandas, untando mantequilla antes de verterla en la sartén. Coloca los panqueques en un plato para servir, junto con rodajas de plátano cubiertas con jaggery en polvo. Coloca las frutas de temporada picadas, como mangos y cerezas, a los lados y sirve con un chorrito de salsa de chocolate sobre los panqueques. Sirve este plato de desayuno de Panqueques Rociados con Salsa de Chocolate Servidos con Frutas y Jaggery (Receta de Desayuno en la Cama) junto con la Receta de Café Latte Caliente o el Batido de Cacao, Plátano, Almendras y Dátiles, y la Receta de Papas Hash Brown para el Desayuno para un brunch dominical.</t>
  </si>
  <si>
    <t>Pour commencer à préparer des crêpes arrosées de sauce au chocolat servies avec des fruits et du jaggery (recette de petit-déjeuner au lit), mélangez d'abord le maida, la levure chimique et le sel dans un bol à mélanger pour commencer à faire les crêpes. Dans un autre bol, cassez un œuf et battez-le légèrement avec un fouet à main jusqu'à ce qu'il soit homogène. À cet œuf battu, ajoutez le beurre, l'extrait de vanille et le lait et fouettez pour mélanger. Faites un puits au centre des ingrédients secs. Ajoutez le mélange de lait et remuez pour mélanger. Graissez une poêle à crêpes avec un peu de beurre à feu moyen-doux. Versez la quantité souhaitée du mélange à crêpes préparé pour faire des cercles petits, moyens ou grands. Deux à trois cuillères à soupe de mélange dans une louche sont idéales pour des crêpes de petite à moyenne taille. Laissez reposer jusqu'à ce que le dessous soit doré. Vous pouvez également cuire de l'autre côté si vous le souhaitez, ou laisser du même côté à feu moyen-doux jusqu'à ce que toute la crêpe soit cuite. Déposez sur une assiette de service. Terminez avec le reste de la préparation pour crêpes par lots, en badigeonnant de beurre avant de verser sur la poêle. Disposez les crêpes dans une assiette de service, accompagnées de tranches de banane recouvertes de jaggery en poudre. Disposez les fruits de saison hachés, comme les mangues et les cerises, sur les côtés et servez avec un filet de sauce au chocolat sur les crêpes. Servez cette assiette de petit-déjeuner composée de crêpes arrosées de sauce au chocolat, servies avec des fruits et du jaggery (recette du petit-déjeuner au lit), accompagnée d'un latte au café chaud, d'un smoothie cacao-banane-amandes-dattes et de galettes de pommes de terre pour le petit-déjeuner, pour un brunch du dimanche.</t>
  </si>
  <si>
    <t>https://www.archanaskitchen.com/pancakes-drizzled-with-chocolate-sauce-served-with-fruits-jaggery-recipe-breakfast-in-bed</t>
  </si>
  <si>
    <t>Creamy Potato and Vegetable Salad Recipe</t>
  </si>
  <si>
    <t>Rezept für cremigen Kartoffel-Gemüse-Salat</t>
  </si>
  <si>
    <t>Recette de salade crémeuse de pommes de terre et de légumes</t>
  </si>
  <si>
    <t>Receta de ensalada cremosa de papas y verduras</t>
  </si>
  <si>
    <t>3 pommes de terre (Aloo) - bouillies et coupées en dés, sel - au goût, 2 carottes (Gajjar) - coupées en dés et cuites à la vapeur, 1/4 tasse de haricots verts (haricots verts) - coupés en morceaux de 1 pouce et cuits à la vapeur, 2 cuillères à soupe de raisins secs, 1 oignon rouge - finement tranché, 2 brins de feuilles de coriandre (Dhania) - grossièrement hachées, 1 cuillère à soupe de moutarde de Dijon, 1/4 tasse de crème fraîche, 1 cuillère à soupe de grains de poivre noir entiers - grossièrement pilés, 1 cuillère à soupe d'huile d'olive extra vierge</t>
  </si>
  <si>
    <t>3 Potatoes (Aloo) - boiled and diced,Salt - to taste,2 Carrots (Gajjar) - diced and steamed,1/4 cup Green beans (French Beans) - cut into inch pieces and steamed,2 tablespoons Raisins,1 Red onion - thinly sliced,2 sprigs Coriander (Dhania) Leaves - roughly chopped,1 tablespoon Dijon Mustard,1/4 cup Fresh cream,1 tablespoon Whole Black Peppercorns - coarsely pounded,1 tablespoon Extra Virgin Olive Oil</t>
  </si>
  <si>
    <t>3 papas (Aloo) - hervidas y cortadas en cubitos, sal - al gusto, 2 zanahorias (Gajjar) - cortadas en cubitos y cocidas al vapor, 1/4 taza de judías verdes (judías verdes) - cortadas en trozos de una pulgada y cocidas al vapor, 2 cucharadas de pasas, 1 cebolla roja - en rodajas finas, 2 ramitas de hojas de cilantro (Dhania) - picadas gruesamente, 1 cucharada de mostaza Dijon, 1/4 taza de crema fresca, 1 cucharada de granos de pimienta negra enteros - machacados gruesos, 1 cucharada de aceite de oliva virgen extra</t>
  </si>
  <si>
    <t xml:space="preserve">To Creamy Potato and Vegetable Salad Recipe, boil the potatoes and steam the vegetables.Cool and keep them aside.Meanwhile, in a small bowl, whisk together the ingredients for the dressing. Check the salt and seasoning and adjust accordingly. Keep aside.Add the cooked vegetables to a mixing bowl, toss it along with the prepared dressing and serve. Serve the Creamy Potato and Vegetable Salad as a one dish meal, along with a bowl of Vegetable Clear Soup with Lemongrass  and Fennel Pesto Pull-Apart Bread for dinner.
</t>
  </si>
  <si>
    <t>Para preparar la ensalada cremosa de papa y vegetales, hierva las papas y cocine las verduras al vapor. Déjelas enfriar y reserve. Mientras tanto, en un tazón pequeño, mezcle los ingredientes para el aderezo. Compruebe la sal y el condimento y ajuste según corresponda. Reserve. Agregue las verduras cocidas a un tazón, mezcle con el aderezo preparado y sirva. Sirva la ensalada cremosa de papa y vegetales como un plato único, junto con un tazón de sopa clara de vegetales con pan desmenuzado con pesto de limoncillo e hinojo para la cena.</t>
  </si>
  <si>
    <t>Pour préparer la salade crémeuse de pommes de terre et de légumes, faites bouillir les pommes de terre et cuire les légumes à la vapeur. Laissez refroidir et réservez. Pendant ce temps, dans un petit bol, fouettez les ingrédients de la vinaigrette. Vérifiez le sel et l'assaisonnement et ajustez en conséquence. Réservez. Ajoutez les légumes cuits dans un saladier, mélangez-les avec la vinaigrette préparée et servez. Servez la salade crémeuse de pommes de terre et de légumes en plat unique, accompagnée d'un bol de soupe claire de légumes à la citronnelle et de pain à effilocher au pesto de fenouil pour le dîner.</t>
  </si>
  <si>
    <t>https://www.archanaskitchen.com/creamy-potato-and-vegetable-salad-recipe</t>
  </si>
  <si>
    <t>Upside Down Choco Orange Cake Recipe</t>
  </si>
  <si>
    <t>Rezept für umgedrehten Schoko-Orangen-Kuchen</t>
  </si>
  <si>
    <t>Recette de gâteau renversé au chocolat et à l'orange</t>
  </si>
  <si>
    <t>Receta de pastel invertido de chocolate y naranja</t>
  </si>
  <si>
    <t>90 grammes de Vivatta Maida, 90 grammes de farine de blé entier, 2 cuillères à café de levure chimique, 1/4 cuillère à café de bicarbonate de soude, 1 cuillère à soupe de zeste d'orange (écorce), 140 grammes de beurre (non salé), 150 grammes de sucre, 3/4 tasse de jus d'orange frais - (divisé), 2 œufs entiers, 1/2 tasse de pépites de chocolat, 4 cuillères à soupe de beurre (non salé), 1/3 tasse de cassonade (sucre Demerara), 3 oranges - tranchées</t>
  </si>
  <si>
    <t>90 gram Vivatta Maida,90 gram Whole Wheat Flour,2 teaspoons Baking powder,1/4 teaspoon Baking soda,1 tablespoon Orange Zest (Rind),140 grams Butter (unsalted),150 grams Sugar,3/4 cup Fresh orange juice - (divided),2 Whole Eggs,1/2 cup Chocolate chips,4 tablespoons Butter (unsalted),1/3 cup Brown Sugar (Demerara Sugar),3 Oranges - sliced</t>
  </si>
  <si>
    <t>90 gramos de Vivatta Maida, 90 gramos de harina integral, 2 cucharaditas de polvo para hornear, 1/4 cucharadita de bicarbonato de sodio, 1 cucharada de ralladura de naranja (cáscara), 140 gramos de mantequilla (sin sal), 150 gramos de azúcar, 3/4 taza de jugo de naranja fresco - (dividido), 2 huevos enteros, 1/2 taza de chispas de chocolate, 4 cucharadas de mantequilla (sin sal), 1/3 taza de azúcar morena (azúcar Demerara), 3 naranjas - en rodajas</t>
  </si>
  <si>
    <t xml:space="preserve">For the toppingTo begin making Upside Down Choco Orange Cake Recipe, proceed with preparing the topping first. Melt the butter in a pan on medium heat, taking care to ensure that it does not burn. Add demerara sugar.Let the mixture boil. Remove from heat after about 1 minute when it is caramelised.Pour the mixture into round springform baking pan. Roll the pan to ensure that the mixture coats the bottom of the pan completely. Set it aside.For the CakeSift all the dry ingredients: maida, wheat flour, baking powder and baking soda thrice. This ensures all ingredients are well mixed and aerated, resulting in a lighter cake. Add the orange zest and mix lightly.Put butter and sugar together in a big bowl. With the help of a hand mixer, beat the sugar and white butter till light and fluffy.Add 1 egg at a time to this bowl. Beat to incorporate the eggs into sugar butter mixture completely.Now add the orange juice and beat till mixed. Keep aside.For AssemblyCut the oranges into thin slices.Arrange the slices over the hardened bottom of the baking pan. Start from the centre and work outwards. Place the slices in circle – one overlapping the other till the whole pan bottom is covered with the slices. Topping is now ready.Add dry and wet cake ingredients together and beat for a few seconds.Coat the chocolate chips with maida and fold them in the cake dough. Coating them in flour helps the chocolate chips in keeping them from sinking to the bottom. Pour it over the orange slices in the baking pan.Bake the cake in a pre-heated oven at 170 deg Celsius for 35-40 minutes. Insert a cake pin or a skewer in the middle of the cake and if the cake is baked well, the skewer will come out clean.Remove the cake pan from oven once done.Invert the cake over the cake dish when hot (Since it is difficult to remove the cake once it cools down. But if you use a springform cake pan, it's easier)Serve Upside Down Choco Orange Cake Recipe with Maple Roasted Cinnamon Spiced Latte Recipe for teatime.
</t>
  </si>
  <si>
    <t>Para la cobertura: Para empezar a preparar la receta del pastel de chocolate y naranja invertido, primero prepara la cobertura. Derrite la mantequilla en una sartén a fuego medio, evitando que se queme. Agrega azúcar demerara. Deja que la mezcla hierva. Retírala del fuego después de aproximadamente 1 minuto, cuando esté caramelizada. Vierte la mezcla en un molde redondo desmontable. Enrolla el molde para asegurarte de que la mezcla cubra completamente el fondo. Reserva. Para el pastel: Tamiza todos los ingredientes secos: maida, harina de trigo, levadura química y bicarbonato tres veces. Esto asegura que todos los ingredientes estén bien mezclados y aireados, resultando en un pastel más ligero. Agrega la ralladura de naranja y mezcla ligeramente. Pon la mantequilla y el azúcar juntos en un tazón grande. Con la ayuda de una batidora de mano, bate el azúcar y la mantequilla blanca hasta que esté ligera y esponjosa. Agrega un huevo a la vez a este tazón. Bate para integrar completamente los huevos con la mezcla de azúcar y mantequilla. Ahora agrega el jugo de naranja y bate hasta que se integre. Reservar. Para el montaje: Cortar las naranjas en rodajas finas. Colocar las rodajas sobre el fondo endurecido del molde. Comenzar desde el centro hacia afuera. Colocar las rodajas en círculo, una sobre la otra, hasta cubrir todo el fondo del molde. La cobertura ya está lista. Mezclar los ingredientes secos y húmedos del pastel y batir durante unos segundos. Rebozar las chispas de chocolate con maida e incorporarlas a la masa. Rebozarlas en harina ayuda a que las chispas de chocolate no se hundan. Verter la mezcla sobre las rodajas de naranja en el molde. Hornear el pastel en un horno precalentado a 170 °C durante 35-40 minutos. Inserta un palillo o una brocheta en el centro del pastel y, si está bien horneado, la brocheta saldrá limpia. Retira el molde del horno una vez listo. Voltéalo sobre el molde cuando esté caliente (es difícil desmoldarlo una vez frío, pero si usas un molde desmontable, es más fácil). Sirve el pastel de chocolate y naranja invertido con la receta de café con leche con especias, canela y arce tostado para la hora del té.</t>
  </si>
  <si>
    <t>Pour la garniture : Pour commencer la recette du gâteau renversé au chocolat et à l’orange, commencez par préparer la garniture. Faites fondre le beurre dans une casserole à feu moyen, en veillant à ce qu’il ne brûle pas. Ajoutez le sucre demerara. Laissez bouillir. Retirez du feu après environ 1 minute, une fois caramélisé. Versez la préparation dans un moule à charnière rond. Roulez le moule pour bien enrober le fond. Réservez. Pour le gâteau : Tamisez trois fois tous les ingrédients secs : farine de maïs, farine de blé, levure chimique et bicarbonate de soude. Cela permet de bien mélanger et d’aérer tous les ingrédients, ce qui donne un gâteau plus léger. Ajoutez le zeste d’orange et mélangez délicatement. Dans un grand saladier, mélangez le beurre et le sucre. À l’aide d’un batteur électrique, battez le sucre et le beurre blanc jusqu’à obtenir une consistance légère et mousseuse. Ajoutez un œuf à la fois dans le saladier. Battez pour bien incorporer les œufs au mélange sucre-beurre. Ajoutez ensuite le jus d’orange et mélangez. Réserver. Pour le montage : Couper les oranges en fines tranches. Disposer les tranches sur le fond durci du moule. Commencer par le centre et progresser vers l'extérieur. Disposer les tranches en cercle, l'une se chevauchant l'autre, jusqu'à ce que le fond du moule soit entièrement recouvert. La garniture est prête. Incorporer les ingrédients secs et humides du gâteau et battre quelques secondes. Enrober les pépites de chocolat de maida et les incorporer à la pâte à gâteau. Les enrober de farine permet aux pépites de chocolat de ne pas couler au fond. Verser la préparation sur les tranches d'orange dans le moule. Cuire le gâteau dans un four préchauffé à 170 °C pendant 35 à 40 minutes. Insérez un rouleau à pâtisserie ou une brochette au milieu du gâteau. Si le gâteau est bien cuit, la brochette ressortira propre. Retirez le moule à gâteau du four une fois cuit. Retournez le gâteau sur le plat à gâteau lorsqu'il est chaud (car il est difficile de le démouler une fois refroidi. Mais si vous utilisez un moule à charnière, c'est plus facile). Servez la recette de gâteau renversé au chocolat et à l'orange avec la recette de latte épicé à l'érable et à la cannelle rôtie pour l'heure du thé.</t>
  </si>
  <si>
    <t>http://www.archanaskitchen.com/upside-down-choco-orange-cake-recipe</t>
  </si>
  <si>
    <t>Southern Buttermilk Biscuits Recipe</t>
  </si>
  <si>
    <t>Rezept für Buttermilchkekse nach Südstaatenart</t>
  </si>
  <si>
    <t>Recette de biscuits au babeurre à la mode du Sud</t>
  </si>
  <si>
    <t>Receta de galletas de suero de leche sureñas</t>
  </si>
  <si>
    <t>1 tasse de farine tout usage (Maida), 1 cuillère à café de levure chimique, 1/4 cuillère à café de bicarbonate de soude, 1/4 cuillère à café de sel, 3 cuillères à soupe de beurre (non salé) - réfrigéré, 1/2 tasse de babeurre - froid, 2 cuillères à soupe de crème fraîche</t>
  </si>
  <si>
    <t>1 cup All Purpose Flour (Maida),1 teaspoon Baking powder,1/4 teaspoon Baking soda,1/4 teaspoon Salt,3 tablespoons Butter (unsalted) - refrigerated,1/2 cup Buttermilk - cold,2 tablespoons Fresh cream</t>
  </si>
  <si>
    <t>1 taza de harina para todo uso (Maida), 1 cucharadita de polvo para hornear, 1/4 cucharadita de bicarbonato de sodio, 1/4 cucharadita de sal, 3 cucharadas de mantequilla (sin sal) - refrigerada, 1/2 taza de suero de leche - frío, 2 cucharadas de crema fresca</t>
  </si>
  <si>
    <t xml:space="preserve">To begin making the Southern Buttermilk Biscuits recipe, Preheat oven to 450F.Prepare a baking pan. Line it with aluminium foil and grease it.Combine and sieve together flour, baking powder, baking soda and salt into a mixing bowl.Add the cubed butter and mix it till the flour blends well with the butter. Add cold buttermilk intermittently and knead it into a smooth dough. Make sure that the dough is not dry.Using your hands, gently pat the dough out until it is 1/2 inch thickness.Do not use a rolling pin to roll out the dough as it overstimulates the gluten and harden the biscuits.Fold the dough about 4 times and gently press the dough down to a 1 inch thick.Use a round cutter to cut into rounds. You can combine the scraps and gently knead them together to make a small biscuit.Place the biscuits on the prepared pan. Brush the top with cream and bake in the preheated oven for 12 to 15 minutes or until lightly golden brown.Remove from the oven and brush the tops with melted butter. Serve Southern Buttermilk Biscuits with a cup of hot Masala Chai and Masala Oats &amp; Potato Sandwich for a delicious breakfast. You can also serve as a tea time snack.
</t>
  </si>
  <si>
    <t>Para empezar a preparar la receta de Galletas de Suero de Leche del Sur, precalienta el horno a 232 °C. Prepara un molde para hornear. Cúbrelo con papel aluminio y engrásalo. Mezcla y tamiza la harina, el polvo para hornear, el bicarbonato y la sal en un bol. Agrega la mantequilla en cubos y mezcla hasta que la harina se integre bien con la mantequilla. Agrega el suero de leche frío de vez en cuando y amasa hasta obtener una masa suave. Asegúrate de que la masa no esté seca. Con las manos, extiende la masa suavemente hasta que tenga 1,27 cm de grosor. No uses un rodillo para extender la masa, ya que sobreestimula el gluten y endurece las galletas. Dobla la masa unas 4 veces y presiónala suavemente hasta que tenga 2,5 cm de grosor. Usa un cortador redondo para cortar en círculos. Puedes combinar los restos y amasarlos suavemente para formar una galleta pequeña. Coloca las galletas en el molde preparado. Unte la superficie con crema y hornee en el horno precalentado de 12 a 15 minutos o hasta que estén ligeramente dorados. Retire del horno y unte la superficie con mantequilla derretida. Sirva las galletas Southern Buttermilk Biscuits con una taza de Masala Chai caliente y un sándwich de avena y papa Masala para un desayuno delicioso. También puede servirlas como refrigerio para la hora del té.</t>
  </si>
  <si>
    <t>Pour commencer la recette des biscuits au babeurre du Sud, préchauffez le four à 230 °C. Préparez un moule à pâtisserie. Tapissez-le de papier aluminium et graissez-le. Mélangez et tamisez la farine, la levure chimique, le bicarbonate de soude et le sel dans un saladier. Ajoutez le beurre coupé en dés et mélangez jusqu'à ce que la farine soit bien mélangée au beurre. Ajoutez le babeurre froid par intermittence et pétrissez jusqu'à obtenir une pâte lisse. Assurez-vous que la pâte ne soit pas sèche. Étalez délicatement la pâte à la main jusqu'à obtenir une épaisseur de 1,25 cm. N'utilisez pas de rouleau à pâtisserie pour étaler la pâte, car cela stimulerait le gluten et durcirait les biscuits. Pliez la pâte environ 4 fois et appuyez doucement sur elle pour obtenir une épaisseur de 2,5 cm. Utilisez un emporte-pièce rond pour découper des ronds. Vous pouvez mélanger les chutes et les pétrir délicatement pour former un petit biscuit. Déposez les biscuits sur le moule préparé. Badigeonner le dessus de crème et cuire au four préchauffé pendant 12 à 15 minutes ou jusqu'à ce qu'ils soient légèrement dorés. Retirer du four et badigeonner le dessus de beurre fondu. Servir les biscuits au babeurre du Sud avec une tasse de chai masala chaud et un sandwich à l'avoine et aux pommes de terre masala pour un délicieux petit-déjeuner. Vous pouvez également les servir comme collation à l'heure du thé.</t>
  </si>
  <si>
    <t>https://www.archanaskitchen.com/southern-buttermilk-biscuits-recipe</t>
  </si>
  <si>
    <t>Creamy Spinach And Potato Breakfast Casserole Recipe</t>
  </si>
  <si>
    <t>Rezept für cremigen Spinat-Kartoffel-Frühstücksauflauf</t>
  </si>
  <si>
    <t>Recette de cocotte crémeuse aux épinards et aux pommes de terre pour le petit-déjeuner</t>
  </si>
  <si>
    <t>Receta de cazuela cremosa de espinacas y papas para el desayuno</t>
  </si>
  <si>
    <t>1/2 tasse d'oignons hachés, 1 tasse de morceaux de soja cuits, 1 cuillère à café de poudre de piment rouge, 1/4 cuillère à café de poudre de garam masala, 4 feuilles d'épinards grossièrement hachées, 2 œufs entiers, 2 gousses d'ail, 1/2 tasse de pommes de terre râpées, 1/3 tasse de crème et de lait, 2/3 tasse de mozzarella râpée, 2 cuillères à soupe d'huile d'olive extra vierge, sel et poivre au goût</t>
  </si>
  <si>
    <t>1/2 cup Onions - chopped,1 cup Soy Chunks (Nuggets) - cooked,1 teaspoon Red Chilli powder,1/4 teaspoon Garam masala powder,4 Spinach Leaves (Palak) - roughly chopped,2 Whole Eggs,2 cloves Garlic,1/2 cup Potatoes (Aloo) - grated,1/3 cup Half and half - (cream and milk),2/3 cup Mozzarella cheese - grated,2 tablespoon Extra Virgin Olive Oil,Salt and Pepper - to taste</t>
  </si>
  <si>
    <t>1/2 taza de cebollas picadas, 1 taza de trozos de soja (nuggets) cocidos, 1 cucharadita de chile rojo en polvo, 1/4 cucharadita de garam masala en polvo, 4 hojas de espinaca (palak) picadas gruesamente, 2 huevos enteros, 2 dientes de ajo, 1/2 taza de papas (aloo) ralladas, 1/3 taza de mitad y mitad (crema y leche), 2/3 taza de queso mozzarella rallado, 2 cucharadas de aceite de oliva virgen extra, sal y pimienta al gusto</t>
  </si>
  <si>
    <t xml:space="preserve">To begin making Creamy Spinach And Potato Breakfast Casserole Recipe, get all the ingredients prepped. Grate potatoes, cheese, chop onions, spinach, cook the soya chunks/nuggets.Preheat oven to 400 degrees F.Grease 9 x 8 baking tray or a lasagna pan with some olive oil.In the food processor, add the cooked soya chunks and mince by running the processor a couple of times.Heat a skillet, add olive oil, add grated garlic, saute until the raw smell goes disappears.Add onions and cook until golden. Add the minced soya chunks and stir well to combine.Add chili powder, garam masala with required salt and cook until the mixture is combined well, switch off the stove and let this cool down little bit.In a mixing bowl, add the cooked soya chunks, spinach, eggs, potatoes, milk, cheese with required salt and pepper. Stir well to combine everything well.Add the prepared mixture to the baking tray and bake for about 30-35 minutes or until the top of the dish is golden, springs back when touched on top.Serve Creamy Spinach And Potato Breakfast Casserole Recipe with Chilli Cheese Toast Recipe (Breakfast Bread Pizza) and Mulled Apple Juice Recipe for brunch.
</t>
  </si>
  <si>
    <t>Para preparar la receta de Cazuela Cremosa de Espinacas y Papas para el Desayuno, prepare todos los ingredientes. Ralle las papas, el queso, pique la cebolla y las espinacas, y cocine los trozos/nuggets de soya. Precaliente el horno a 200 °C. Engrase una bandeja para hornear de 23 x 20 cm o una bandeja para lasaña con aceite de oliva. En el procesador de alimentos, agregue los trozos de soya cocidos y píquelos girándolos un par de veces. Caliente una sartén, agregue aceite de oliva, agregue ajo rallado y saltee hasta que desaparezca el olor a crudo. Agregue la cebolla y cocine hasta que esté dorada. Agregue los trozos de soya picados y revuelva bien. Agregue chile en polvo, garam masala con la sal necesaria y cocine hasta que la mezcla esté bien integrada. Apague el fuego y deje enfriar un poco. En un tazón, agregue los trozos de soya cocidos, las espinacas, los huevos, las papas, la leche y el queso con la sal y la pimienta necesarias. Revuelve bien para combinar todo. Agrega la mezcla preparada a la bandeja para hornear y hornea durante unos 30-35 minutos o hasta que la parte superior del plato esté dorada y recupere su forma original al tocarla. Sirve la receta de cazuela cremosa de espinacas y papas para el desayuno con la receta de tostadas de queso y chile (pizza de pan de desayuno) y la receta de jugo de manzana caliente para el brunch.</t>
  </si>
  <si>
    <t>Pour commencer à préparer une cocotte crémeuse aux épinards et pommes de terre, préparez tous les ingrédients. Râpez les pommes de terre, le fromage, hachez les oignons et les épinards. Faites cuire les morceaux de soja. Préchauffez le four à 200 °C. Graissez une plaque de cuisson de 23 x 20 cm ou un plat à lasagnes avec un peu d'huile d'olive. Dans un robot culinaire, ajoutez les morceaux de soja cuits et hachez-les en faisant tourner le robot plusieurs fois. Faites chauffer une poêle, ajoutez l'huile d'olive, ajoutez l'ail râpé et faites revenir jusqu'à ce que l'odeur de cru disparaisse. Ajoutez les oignons et faites-les dorer. Ajoutez les morceaux de soja hachés et mélangez bien. Ajoutez la poudre de chili, le garam masala et le sel requis. Faites cuire jusqu'à ce que le mélange soit homogène. Éteignez le feu et laissez refroidir légèrement. Dans un saladier, ajoutez les morceaux de soja cuits, les épinards, les œufs, les pommes de terre, le lait, le fromage et le sel et le poivre requis. Bien mélanger pour bien mélanger le tout. Ajouter le mélange préparé sur la plaque de cuisson et cuire au four pendant environ 30 à 35 minutes ou jusqu'à ce que le dessus du plat soit doré et reprenne sa forme lorsqu'on le touche. Servir la recette de cocotte crémeuse aux épinards et aux pommes de terre pour le petit-déjeuner avec une recette de pain grillé au fromage et au piment (pizza au pain pour le petit-déjeuner) et une recette de jus de pomme chaud pour le brunch.</t>
  </si>
  <si>
    <t>http://www.archanaskitchen.com/creamy-spinach-and-potato-breakfast-casserole-recipe</t>
  </si>
  <si>
    <t>Chettinad Vegetable Pulao Recipe - Chettinad Vegetable Pulao Recipe</t>
  </si>
  <si>
    <t>செட்டிநாடு வெஜிடேபிள் புலாவ் ரெசிபி - செட்டிநாடு வெஜிடபிள் புலாவ் ரெசிபி</t>
  </si>
  <si>
    <t>1 கப் சாவல் - பானி மேம் அச்சி தரஹ் சே தோ லே,12 க்டோட் பியாஜ் - பாரிக் காட் லெ,2 ஹல் -1 கப் சாவல் இஞ்ச் அதரக் - கஸ் லே,2 ஹரி மிர்ச் - சீதா மற்றும் படல காட் லெ,1 தேஜ் பட்டா - டோட் ச லே,1 லால் மிர்ச் பௌடர்,1 சோட்டா சம்மச் ஹல்டி பௌடர்,1 காஜர் - காட் லெ,12 ஹரா,2 ஆலு - சீலகர் காட் லே,கி - பிரயோக் அனுசார்,2 லவுங்,1 அங்குல தாளசீனி,1 ௧௮௦௦௦௦ चोटा चम्मच पूरी काली मर्च,1 छोटा चम्मच धनिया बीज,1/4 कप लहरे - 4 புதினா - பாரிக் காட் லே</t>
  </si>
  <si>
    <t>1 cup rice - wash well in water, 12 small onions - finely chopped, 2 cloves garlic - tighten, 1 inch ginger - tighten, 2 green chillies - straight and thin cut, 1 bay leaf - break , 1 tsp red chilli powder, 1 tsp turmeric powder, 1 carrot - chop, 12 green beans - chop, 2 potatoes - peel and chop, ghee - as per use, 2 cloves, 1 inch cinnamon, 1 tsp fennel , 1 tsp whole pepper, 1 tsp coriander seeds, 1/4 cup green peas - steam, 1/4 cup mint leaves - finely chopped</t>
  </si>
  <si>
    <t>To make Chettinad Vegetable Pulao, first chop all the vegetables. Soak the rice for 30 minutes. Heat a pan on gas. Add cloves, cinnamon, fennel seeds, whole black pepper, coriander seeds and fry for 2 to 3 minutes. Turn off the gas and let this spice mixture cool down. After cooling, put it in a blender and grind it. Keep it aside. Now heat ghee in a pan. Add ginger, garlic, onion, green chilies and cook till the onion becomes soft. After the onion becomes soft, add carrots, green beans, potatoes, bay leaves, turmeric powder, red chili powder, ground masala and mix well. After 2 minutes add rice, salt, 2 cups of water and let it boil. After boiling, reduce the flame, cover the pan and cook till the rice is cooked. If the rice remains raw, add some more water and cook. Once cooked, turn off the gas, cover and let it rest for 10 minutes. Serve. Serve Chettinad Vegetable Pulao Recipe with Boondi Raita and Roasted Papad for lunch.</t>
  </si>
  <si>
    <t xml:space="preserve">செட்டிநாடு இணையதளம் சாவல் கோ 30 நிமிடங்களுக்கு பிகோ தே. ஒரு கதை. இதேபோல் லாங், டாலசீனி, சவுன்ஃப், பூரி காளி மிர்ச், தனியாவின் பீஜ் டேல் சர் 3 க்கு 2 லெ.  गैस बंद करें गैस बंद करें इस मसाले को देडा होने दे. தண்டா ஹொனே கே பாத் இது ஒரு பிளெண்டரில் டாலே மற்றும் பீஸ் லே. अलग से रख दे. இப்போது ஒரு கதை. அதரக், லஹசுன், ப்யாஜ், ஹரி மிர்ச் டாலே மற்றும் ப்யாஜ் ஆகியவை அடங்கும். காஜர், ஹரா பீன்ஸ், ஆலூ, தேஜ் பட்டா, ஹலபட், போன்ற மிர்ச் பௌடர், பிசா ஹுவா மசாலா டாலே மற்றும் அச்சி தரஹ் சே மிலா லே. 2 நிமிடங்களுக்கு சாவல், நமக், 2 கப் பானி டேல் மற்றும் உபலனே தே. உபாலா ஆனே கே பாத், ஆஞ்ச் கம் கரேம், கதாயி கோ ட்கே மற்றும் சாவல் கே பக் ஜானே தக் ஏ. அகர் சாவல் கச்சே ரஹ் ஜாயே தோ டோடா மற்றும் பானி டாலகர் பக்கா லே. பக்கத்தின் கீழ், கைகள் பந்தங்கள், மற்றும் 10 நிமிடங்களுக்கு ஒரு நிமிடம் வரை. பரோஸ். செட்டிநாடு வெஜிடேபிள் புலாவ் ரெசிபி கோ பூண்டி ராயதா மற்றும் சேக் ஹுஏ பாட் கேட் லியே பரோஸ்.
</t>
  </si>
  <si>
    <t>https://www.archanaskitchen.com/chettinad-vegetable-pulao-recipe-with-kohinoor-silver-basmati-rice-in-hindi</t>
  </si>
  <si>
    <t>Chettinad</t>
  </si>
  <si>
    <t>Chettinad Meetha Paniyaram Recipe - Chettinad Sweet Paniyaram Recipe</t>
  </si>
  <si>
    <t>செட்டிநாடு மீத்தா பணியாரம் ரெசிபி - செட்டிநாடு இனிப்பு பணியாரம் ரெசிபி</t>
  </si>
  <si>
    <t>1 கப் இட்லி தோசா மிஷ்ரண்,4 படே சமச் சாவல் கா ரவா,1/3 கப் குட,3 சப் நாரியல் - கஸ் லெ,1 பட சமச் இலைச்சி பௌடர்,நமக் - ஸ்வாத் அனுசார்,பானி - பிரயோகரன் பிரயோக் அனுசார்</t>
  </si>
  <si>
    <t>1 cup idli dosa mixture, 4 tablespoons rice rava, 1/3 cup jaggery, 3 tablespoons coconut - grated, 1 tablespoon of cardamom powder, salt - as per taste, water - as per use, oil - as per use</t>
  </si>
  <si>
    <t>To make Chettinad Sweet Paniyaram Recipe, first take a mixing bowl and add Idli Dosa Mix, Rice Rawa, Jaggery, Coconut, Salt, Cardamom Powder, Some Water and mix well. Keep aside for 5 minutes and mix again. Heat a paniyaram pan and pour some oil in each hole. Once heated, pour the mixture and cover. Cook on low flame. Once one side is cooked, flip it and cook the other side. Cook till both sides turn golden. Remove from the pan and serve. Serve Chettinad Sweet Paniyaram Recipe with Masala Chai or Filter Coffee for evening snack.</t>
  </si>
  <si>
    <t xml:space="preserve">செட்டிநாடு மீதா பணியாரம் ரெசிபி பனேன் மிஷ்ரண், சாவல் கா ரவா, குட், நாரியல், நமக், இலைச்சி பௌடர், டோடா பானி. 5 நிமிடங்கள் பணியாரம் பைன் கோ கரம் கரேங் மற்றும் ஹர் ஹோல் गरम होने के बाद, मिश्रन को दाले மற்றும் ढक ले. தீமி ஆஞ்ச் பகாே. எக் சைட் சே பக்க ஜானே கே பாத், இஸ்ஸே பலடே மற்றும் தூசரி தரஃப் சே பகா. दोनों तरफ से सुनहरा होने तक पका ले. பைன் செ நிகலே மற்றும் பரோஸ். செட்டிநாடு மீதா பணியாரம் ரெசிபி கோ மசாலா சாயா யா ஃபில்டர் காஃபி கேட்க வேண்டும் பரோஸ்.
</t>
  </si>
  <si>
    <t>http://www.archanaskitchen.com/chettinad-sweet-paniyaram-recipe-in-hindi</t>
  </si>
  <si>
    <t>Chettinad Style Chicken Roast Recipe</t>
  </si>
  <si>
    <t>செட்டிநாடு ஸ்டைல் ​​சிக்கன் ரோஸ்ட் ரெசிபி</t>
  </si>
  <si>
    <t>1 கோழிக்கால், 1/4 கப் தொங்க தயிர் (கிரேக்க தயிர்), 1/2 டீஸ்பூன் மஞ்சள் தூள் (ஹால்டி), உப்பு - ருசிக்கேற்ப, 1 டீஸ்பூன் சூரியகாந்தி எண்ணெய், 1 வெங்காயம் - நறுக்கியது, 4 பல் பூண்டு, 1/2 இன்ச் இஞ்சி, 2 டேபிள் ஸ்பூன் புதிய தேங்காய் - துருவல், 2 டீஸ்பூன் சீரகம், 2 தேக்கரண்டி மேத்தி விதைகள் (வெந்தய விதைகள்), 1/4 தேக்கரண்டி கலோஞ்சி (வெங்காயம் நைஜெல்லா விதைகள்), 1 தேக்கரண்டி முழு கருப்பு மிளகுத்தூள், 2 காய்ந்த மிளகாய், 1 தேக்கரண்டி பெருஞ்சீரகம் விதைகள் (சான்ஃப்), 1/2 இன்ச் இலவங்கப்பட்டை (டால்சினி), 2 கிராம்பு (லாங்), 1 ஏலக்காய் (1 தேக்கரண்டி / சீமை காய்கள்) நெய், 1 தேக்கரண்டி புளி விழுது, 1 தேக்கரண்டி வெல்லம், 1 தேக்கரண்டி நெய், 1/2 தேக்கரண்டி கடுகு, 1 துளிர் கறிவேப்பிலை, 4 பல் பூண்டு</t>
  </si>
  <si>
    <t>1 Chicken legs,1/4 cup Hung Curd (Greek Yogurt),1/2 teaspoon Turmeric powder (Haldi),Salt - to taste,1 teaspoon Sunflower Oil,1 Onion - sliced,4 cloves Garlic,1/2 inch Ginger,2 tablespoon Fresh coconut - grated,2 teaspoon Cumin seeds (Jeera),2 teaspoons Coriander (Dhania) Seeds,1/4 teaspoon Methi Seeds (Fenugreek Seeds),1/4 teaspoon Kalonji (Onion Nigella Seeds),1 teaspoon Whole Black Peppercorns,2 Dry Red Chillies,1 teaspoon Fennel seeds (Saunf),1/2 inch Cinnamon Stick (Dalchini),2 Cloves (Laung),1 Cardamom (Elaichi) Pods/Seeds,1/2 teaspoon Mustard seeds,1 tablespoon Ghee,1 teaspoon Tamarind Paste,1 teaspoon Jaggery,1 teaspoon Ghee,1/2 teaspoon Mustard seeds,1 sprig Curry leaves,4 cloves Garlic</t>
  </si>
  <si>
    <t xml:space="preserve">To begin making the Chettinad Style Chicken Roast Recipe, thoroughly wash and clean the chicken leg. Keep it aside. Heat oil in a heavy bottomed pan, on medium flame. Add onions, coconut, ginger and garlic and cook till the onions become soft and the coconut turn light brown in colour.Turn off the flame and grind to a coarse paste with a little water in a mixer grinder.The next step is to marinate the chicken. In a mixing bowl, add the onion coconut paste, yogurt, turmeric powder and chicken legs.Mix everything well and ensure that the chicken is properly quoted with the masala. Keep it aside for 30 Minutes.For the Chettinad Spice MixHeat a heavy bottomed pan. Add chettinad spice mix ingredients -  includes cumin seeds, coriander seeds, fenugreek seeds, kalonji, black peppercorn, dry red chillies, fennel seeds, cinnamon stick, cloves, cardamom and mustard seeds.Dry roast them for about 2 minutes. Once done, let it cool down a bit. Now, add thes spices into a mixer grinder and grind it into a powder.Heat ghee in the same pan and add this Chettinad spice mix into the ghee. After 30 seconds, add the chicken along with all the marinade.Mix everything well, add the tamarind pulp, jaggery and 1/4 cup of water. Cover the pan and cook for about 8 to 10 minutes or till the chicken is 3/4th done.Turn off flame. Take out the chicken pieces seperatly and keep the masala aside.Heat a grill pan on high heat, until smoking hot and place only the chicken leg on it.Let this get a nice crispy skin by cooking it for about 5-7 minutes on each side. Once done, turn off the heat and keep the chicken piece on a plate.The final step is to temper the chicken. To make the tempering, heat ghee in a tadka pan on medium flame.Add mustard seeds, curry leaves and allow it to crackle. Add the chopped garlic and fry till golden brown. Turn off the flame.To assemble the Chettinad Style Chicken Roast Recipe, in a serving plate, place the chicken leg, top it with the thick masala and garnish with the tadka. It is ready to be served.Serve this Chettinad Style Chicken Roast Recipe on its own as a party starter or with Kerala Style Appam Recipe (Without Yeast) or Mangalorean Neer Dosa Recipe (Savory Rice &amp; Coconut Crepe) for a complete meal.
</t>
  </si>
  <si>
    <t xml:space="preserve">செட்டிநாடு ஸ்டைல் ​​சிக்கன் ரோஸ்ட் ரெசிபியைத் தொடங்க, சிக்கன் காலை நன்கு கழுவி சுத்தம் செய்யவும். ஒதுக்கி வைக்கவும். அடி கனமான பாத்திரத்தில், மிதமான தீயில் எண்ணெயை சூடாக்கவும். வெங்காயம், தேங்காய், இஞ்சி மற்றும் பூண்டு சேர்த்து வெங்காயம் மென்மையாகும் வரை வதக்கவும், தேங்காய் வெளிர் பழுப்பு நிறமாக மாறும் வரை வதக்கவும். தீயை அணைத்து, மிக்ஸி கிரைண்டரில் சிறிது தண்ணீர் சேர்த்து கரடுமுரடான பேஸ்டாக அரைக்கவும். அடுத்த படியாக சிக்கன் மாரினேட் ஆகும். ஒரு கலவை பாத்திரத்தில், வெங்காயம் தேங்காய் விழுது, தயிர், மஞ்சள் தூள் மற்றும் கோழி கால்கள் சேர்க்கவும். எல்லாம் நன்றாக கலந்து மற்றும் கோழி மசாலா சரியாக மேற்கோள் என்று உறுதி. 30 நிமிடங்கள் ஒதுக்கி வைக்கவும். செட்டிநாடு மசாலா கலவைக்கு அடி கனமான பாத்திரத்தை சூடாக்கவும். செட்டிநாடு மசாலா கலவை பொருட்களைச் சேர்க்கவும் -  சீரகம், கொத்தமல்லி விதைகள், வெந்தயம், கலோஞ்சி, கருப்பு மிளகு, காய்ந்த சிவப்பு மிளகாய், பெருஞ்சீரகம், இலவங்கப்பட்டை, கிராம்பு, ஏலக்காய் மற்றும் கடுகு ஆகியவை அடங்கும். அவற்றை சுமார் 2 நிமிடங்கள் உலர வைக்கவும். செய்தவுடன், சிறிது ஆறவிடவும். இப்போது, ​​இந்த மசாலாவை மிக்ஸி கிரைண்டரில் சேர்த்து பொடியாக அரைக்கவும். அதே கடாயில் நெய்யை சூடாக்கி, இந்த செட்டிநாடு மசாலா கலவையை நெய்யில் சேர்க்கவும். 30 விநாடிகளுக்குப் பிறகு, அனைத்து இறைச்சியையும் சேர்த்து கோழியைச் சேர்க்கவும். எல்லாவற்றையும் நன்றாகக் கலந்து, புளி கூழ், வெல்லம் மற்றும் 1/4 கப் தண்ணீர் சேர்க்கவும். கடாயை மூடி சுமார் 8 முதல் 10 நிமிடங்கள் அல்லது கோழி இறைச்சி 3/4 ஆகும் வரை சமைக்கவும். தீயை அணைக்கவும். சிக்கன் துண்டுகளை தனித்தனியாக எடுத்து, மசாலாவை தனியாக வைக்கவும். ஒரு கிரில் பாத்திரத்தை அதிக வெப்பத்தில் சூடாக்கி, சூடாக புகைபிடிக்கும் வரை அதன் மீது சிக்கன் காலை மட்டும் வைக்கவும். ஒவ்வொரு பக்கமும் சுமார் 5-7 நிமிடங்கள் சமைப்பதன் மூலம் ஒரு நல்ல மிருதுவான தோலைப் பெறவும். முடிந்ததும், அடுப்பை அணைத்துவிட்டு, சிக்கன் துண்டை ஒரு தட்டில் வைத்துக்கொள்ளவும்.இறுதிப் படி கோழியை மென்மையாக்க வேண்டும். தட்கா பாத்திரத்தில் நெய்யை மிதமான தீயில் சூடாக்கவும். கடுகு, கறிவேப்பிலை சேர்த்து வெடிக்க அனுமதிக்கவும். நறுக்கிய பூண்டு சேர்த்து பொன்னிறமாக வதக்கவும். தீயை அணைக்கவும். செட்டிநாடு ஸ்டைல் ​​சிக்கன் ரோஸ்ட் ரெசிபியை அசெம்பிள் செய்ய, பரிமாறும் தட்டில் சிக்கன் லெக்கை வைத்து, அதன் மேல் தடிமனான மசாலாவை வைத்து, தட்காவுடன் அலங்கரிக்கவும். இது சேவை செய்யத் தயாராக உள்ளது. இந்த செட்டினாட் ஸ்டைல் ​​சிக்கன் ரோஸ்ட் செய்முறையை ஒரு கட்சி ஸ்டார்ட்டராக அல்லது கேரள பாணி அப்பம் செய்முறை (ஈஸ்ட் இல்லாமல்) அல்லது மங்கலோரியன் நீர் தோசை செய்முறை (சுவையான அரிசி &amp; தேங்காய் க்ரீப்) ஒரு முழுமையான உணவுக்காக சேவையாற்றுங்கள்.
</t>
  </si>
  <si>
    <t>https://www.archanaskitchen.com/chettinad-style-chicken-roast-recipe</t>
  </si>
  <si>
    <t>Chettinad Style Prawn Biryani Recipe</t>
  </si>
  <si>
    <t>செட்டிநாடு ஸ்டைல் ​​இறால் பிரியாணி செய்முறை</t>
  </si>
  <si>
    <t>200 கிராம் இறால் - அல்லது இறால், 1-1/2 கப் பாஸ்மதி அரிசி, 4-5 சுண்டைக்காய், 1 தேக்கரண்டி இஞ்சி - விழுது, 1 தேக்கரண்டி பூண்டு - விழுது, 3 தேக்கரண்டி புதிய தேங்காய் - துருவியது, 1 தேக்கரண்டி பச்சை மிளகாய் - விழுது, 1/2 கப் தொங்க தயிர் (கிரேக்க தயிர்), 2 ஸ்பூன் கறி, 1 கப் கறிவேப்பிலை, 1 கப் கறிவேப்பிலை கொத்தமல்லி தூள் (தானியா), 1 டீஸ்பூன் சிவப்பு மிளகாய் தூள், 1/2 டீஸ்பூன் மஞ்சள் தூள் (ஹால்டி), 1 தேக்கரண்டி கரம் மசாலா தூள், 5-6 முழு கருப்பு மிளகு, 4 ஏலக்காய் (எலச்சி) காய்கள் / விதைகள், 2 கருப்பு ஏலக்காய் (பாடி எலைச்சி), 1 இன்ச் சினமன் குச்சி (டால்சி 2, 2 டீஸ்பூன் 2, 2 தாழை இலைகள்), மிளகாய், 1/2 தேக்கரண்டி சீரகம் (ஜீரா)</t>
  </si>
  <si>
    <t>200 grams Shrimps - or prawns,1-1/2 cups Basmati rice,4-5 Shallots,1 tablespoon Ginger - paste,1 tablespoon Garlic - paste,3 tablespoons Fresh coconut - grated,1 teaspoon Green Chilli - paste,1/2 cup Hung Curd (Greek Yogurt),2 sprig Curry leaves,1 cup Sunflower Oil,2 tablespoons Ghee,1 teaspoon Coriander Powder (Dhania),1 teaspoon Red Chilli powder,1/2 teaspoon Turmeric powder (Haldi),1 teaspoon Garam masala powder,5-6 Whole Black Peppercorns,4 Cardamom (Elaichi) Pods/Seeds,2 Black cardamom (Badi Elaichi),1 inch Cinnamon Stick (Dalchini),2 Bay leaves (tej patta),2-3 Dry Red Chilli,1/2 teaspoon Cumin seeds (Jeera)</t>
  </si>
  <si>
    <t xml:space="preserve">To prepare Chettinad Style Prawn Biryani Recipe, wash and clean prawns well, collect in a bowl and add ginger garlic paste, red chili powder, turmeric, few drops of lemon juice and 2-3 pinch salt. Mix well and marinate for 15-20 minutes.Wash and soak rice in water for a minimum 30 minutes before cooking.Heat oil in a large and thick bottomed handi and add the whole spices and wait till they splutter.Now add shallots and saute them till they are pale in color.Add green chili paste, grated coconut and marinated prawns and mix well.Fry for 4-5 minutes and then slowly add curd and carefully mix everything to avoid breaking the prawns.Keep the flames high and let the water from curd dry up completely.Season with coriander powder, garam masala powder and salt. Fry till it is cooked and deeper in color.Now add the soaked rice and again stir well such that everything incorporates well with each other.Add warm water (double the quantity of rice), check salt and add a dollop of ghee and mix well.Allow the rice to come to a boil, close the lid and let the rice cook at low heat.Keep the lid covered till the rice is done. Gently mix the rice and collect in a serving bowl.Garnish with chopped coriander and chopped curry leaves.Serve the Chettinad Style Prawn Biryani hot with raita for a wholesome meal.
</t>
  </si>
  <si>
    <t xml:space="preserve">செட்டிநாடு ஸ்டைல் ​​இறால் பிரியாணி ரெசிபியை தயார் செய்ய, இறாலை நன்கு கழுவி சுத்தம் செய்து, ஒரு பாத்திரத்தில் சேகரித்து, இஞ்சி பூண்டு விழுது, சிவப்பு மிளகாய் தூள், மஞ்சள் தூள், சில துளிகள் எலுமிச்சை சாறு மற்றும் 2-3 சிட்டிகை உப்பு சேர்க்கவும். நன்கு கலந்து 15-20 நிமிடங்கள் ஊறவைக்கவும். அரிசியை சமைப்பதற்கு முன் குறைந்தது 30 நிமிடங்கள் தண்ணீரில் ஊற வைக்கவும். ஒரு பெரிய மற்றும் தடிமனான ஹாண்டியில் எண்ணெய் சூடாக்கி, முழு மசாலாவையும் சேர்த்து, அவை தெறிக்கும் வரை காத்திருக்கவும். இப்போது வெங்காயம் சேர்த்து, அவை வெளிர் நிறமாக மாறும் வரை வதக்கவும். தயிர் மற்றும் இறால்கள் உடைவதைத் தவிர்க்க எல்லாவற்றையும் கவனமாகக் கலக்கவும். தீயை அதிகமாக வைத்து, தயிரில் உள்ள தண்ணீரை முழுவதுமாக உலர விடவும். கொத்தமல்லித் தூள், கரம் மசாலா தூள் மற்றும் உப்பு சேர்த்துப் பொடிக்கவும். நன்கு வேகும் வரை வறுக்கவும் அரிசியை மெதுவாகக் கலந்து பரிமாறும் பாத்திரத்தில் சேகரிக்கவும். நறுக்கிய கொத்தமல்லி மற்றும் நறுக்கிய கறிவேப்பிலையால் அலங்கரிக்கவும். செட்டிநாடு ஸ்டைல் ​​இறால் பிரியாணியை ரைதாவுடன் சூடாகப் பரிமாறவும்.
</t>
  </si>
  <si>
    <t>http://www.archanaskitchen.com/chettinad-style-prawn-biryani-recipe</t>
  </si>
  <si>
    <t>Chettinadu Thakali Rice Recipe (Chettinadu Style Tomato Rice)</t>
  </si>
  <si>
    <t>செட்டிநாடு தக்கலி சாதம் செய்முறை (செட்டிநாடு ஸ்டைல் ​​தக்காளி சாதம்)</t>
  </si>
  <si>
    <t>2 கப் அரிசி - சமைத்த, 2 தக்காளி - பொடியாக நறுக்கியது, 1 வெங்காயம் - மெல்லியதாக நறுக்கியது, 1 டீஸ்பூன் சிவப்பு மிளகாய் தூள், 1 பச்சை மிளகாய் - கீறல், புதினா இலைகள் (புதினா) - முஷ்டி, கொத்தமல்லி (தானியா) இலைகள் - சிறிய கொத்து, 1 இலவங்கப்பட்டை (டால்சீனி), கிராம்பு 1 தேக்கரண்டி, 21 தேக்கரண்டி நெய், உப்பு - ருசிக்கேற்ப, 1 அங்குல இஞ்சி - தோராயமாக நறுக்கியது, 3 முதல் 4 பல் பூண்டு, 1 தேக்கரண்டி பெருஞ்சீரகம் விதைகள் (சான்ஃப்)</t>
  </si>
  <si>
    <t>2 cups Rice - cooked,2 Tomatoes - finely chopped,1 Onion - thinly sliced,1 teaspoon Red Chilli powder,1 Green Chilli - slit,Mint Leaves (Pudina) - fistful,Coriander (Dhania) Leaves - small bunch,1 Cinnamon Stick (Dalchini),2 Cloves (Laung),1 sprig Curry leaves,1 tablespoon Ghee,Salt - to taste,1 inch Ginger - roughly chopped,3 to 4 cloves Garlic,1 teaspoon Fennel seeds (Saunf)</t>
  </si>
  <si>
    <t xml:space="preserve">To begin making Chettinad Takkali Sadam Recipe, cook the rice to a fluffy texture and keep aside.Also, coarsely pound the ginger, garlic and fennel seeds using a mortar and pestle and keep aside.Heat ghee in a pan on medium flame, add the cinnamon stick and cloves and let it splutter.Add the ginger, garlic and fennel seeds mix and saute until the raw smell goes away.Add the curry leaves and sliced onions and saute until the onions turn translucent.Add the tomatoes and saute until its half cooked.Now, add the slit green chilli, red chilli powder, mint and coriander leaves and mix well.Season with salt and cook the mix until the tomatoes are well cooked and the whole mixture comes together. This will take around 10 minutes.Now, add the cooked rice and mix it evenly using a fork.Let it simmer for 5 minutes and switch off the flame.Serve the Chettinad Takkali Sadam Recipe along with Cauliflower &amp; Cucumber Raita Recipe (Cauliflower Yogurt Salad) for lunch or for kids lunchbox.
</t>
  </si>
  <si>
    <t xml:space="preserve">செட்டிநாடு தக்கலி சாதம் ரெசிபியை செய்ய ஆரம்பிக்க, அரிசியை பஞ்சு போல் சமைத்து தனியாக வைக்கவும்.மேலும், இஞ்சி, பூண்டு மற்றும் பெருஞ்சீரகம் ஆகியவற்றை ஒரு சாந்தியினால் அரைத்து, தனியே வைக்கவும். மிதமான தீயில் ஒரு கடாயில் நெய்யை சூடாக்கி, இலவங்கப்பட்டை மற்றும் கிராம்புகளைச் சேர்த்து, பூண்டைத் துடைக்கவும். பச்சை வாசனை போகும் வரை வதக்கவும்.கறிவேப்பிலை மற்றும் நறுக்கிய வெங்காயம் சேர்த்து வெங்காயம் ஒளிரும் வரை வதக்கவும்.தக்காளி சேர்த்து பாதி வேகும் வரை வதக்கவும்.இப்போது, ​​நறுக்கிய பச்சை மிளகாய், சிவப்பு மிளகாய் தூள், புதினா மற்றும் கொத்தமல்லி இலைகளை சேர்த்து நன்கு கலக்கவும். உப்பு சேர்த்து நன்கு வதக்கவும். இதற்கு சுமார் 10 நிமிடங்கள் ஆகும்.இப்போது, ​​சமைத்த அரிசியைச் சேர்த்து, ஒரு முட்கரண்டியைப் பயன்படுத்தி சமமாக கலக்கவும். அதை 5 நிமிடம் கொதிக்க வைத்து, தீயை அணைக்கவும். செட்டிநாடு தக்கலி சாதம் செய்முறையை காலிஃபிளவர் மற்றும் வெள்ளரிக்காய் ரைதா ரெசிபியுடன் (காலிஃபிளவர் தயிர் சாலட்) மதிய உணவாகவோ அல்லது குழந்தைகளுக்கான மதிய உணவாகவோ பரிமாறவும்.
</t>
  </si>
  <si>
    <t>https://www.archanaskitchen.com/chettinad-takkali-sadam-recipe-chettinad-style-tomato-rice</t>
  </si>
  <si>
    <t>Chettinad Pakora Curry Recipe</t>
  </si>
  <si>
    <t>செட்டிநாடு பக்கோரா கறி செய்முறை</t>
  </si>
  <si>
    <t>1/2 கப் சனா பருப்பு (பெங்கால் பருப்பு) - 20 நிமிடம் ஊறவைத்தது, 2 காய்ந்த மிளகாய், 1 தேக்கரண்டி பெருஞ்சீரகம் (சான்ஃப்), உப்பு - ருசிக்கேற்ப, சூரியகாந்தி எண்ணெய் - பக்கோடாவை வதக்க, 1 வெங்காயம் - பொடியாக நறுக்கியது, 1 தக்காளி - பொடியாக நறுக்கியது, 7 பச்சை மிளகாய் - 1 பொடியாக நறுக்கியது. நறுக்கியது, 2 டீஸ்பூன் கொத்தமல்லி தூள் (தானியா), 1 டீஸ்பூன் சிவப்பு மிளகாய் தூள், 1 இலவங்கப்பட்டை (டால்சினி), 1 வளைகுடா இலை (தேஜ் பட்டா), 2 ஏலக்காய் (எலச்சி) காய்கள் / விதைகள், 1 டீஸ்பூன் பெருஞ்சீரகம் (சான்ஃப்), 1 ஸ்பூன் கறிவேப்பிலை, 2 டீஸ்பூன் கொத்தமல்லி (பொடியாக நறுக்கிய கொத்தமல்லி) சூரியகாந்தி எண்ணெய், உப்பு - ருசிக்கேற்ப, 2 தேக்கரண்டி புதிய தேங்காய், 1 தேக்கரண்டி கசகசா, 1 தேக்கரண்டி பெருஞ்சீரகம் (சான்ஃப்), 5 முந்திரி, 2 தேக்கரண்டி வறுத்த பருப்பு (பொட்டுகடலை)</t>
  </si>
  <si>
    <t>1/2 cup Chana dal (Bengal Gram Dal) - soaked for 20 minutes,2 Dry Red Chillies,1 teaspoon Fennel seeds (Saunf),Salt - to taste,Sunflower Oil - for frying the pakodas,1 Onion - finely chopped,1 Tomato - finely chopped,1 Green Chillies - finely chopped,7 cloves Garlic - finely chopped,2 teaspoons Coriander Powder (Dhania),1 teaspoon Red Chilli powder,1 Cinnamon Stick (Dalchini),1 Bay leaf (tej patta),2 Cardamom (Elaichi) Pods/Seeds,1 teaspoon Fennel seeds (Saunf),1 sprig Curry leaves,2 teaspoons Coriander (Dhania) Leaves - finely chopped for garnish,1 tablespoon Sunflower Oil,Salt - to taste,2 tablespoons Fresh coconut,1 teaspoon Poppy seeds,1 teaspoon Fennel seeds (Saunf),5 Cashew nuts,2 tablespoons Roasted Gram Dal (Pottukadalai)</t>
  </si>
  <si>
    <t xml:space="preserve">To begin making Chettinad Pakoda Curry Recipe, we first prepare making the batter for the pakodas.Soak the channa dal along with red chillies for 20 minutes and then grind it with fennel seeds, salt using a mixer grinder to a coarse paste with very little water.Now, heat oil in a pan, and drop a spoon full of the pakoda mix into the oil and fry until golden brown in medium heat.Remove it on a kitchen towel and keep aside.Like wise, prepare the next batch of the pakodas with the remaining batter and keep aside.Now, grind the ingredients mentioned in the 'to grind' table to a smooth paste using a mixer grinder and keep aside.To prepare the gravy, heat oil in a pan, add the bay leaf, cinnamon stick, cardamom and let it release its aroma into the oil.Add the fennel seeds, curry leaves and let it splutter.Add the garlic and fry until golden brown.Add the finely chopped onions and saute until transparent.Add the tomatoes, green chillies, a pinch of saute and saute until the tomatoes are mushy.Add the coriander and red chilli powder and saute for a minute.Now, add the ground paste, 1.5 cups of water, salt and simmer until the masala paste is cooked well and the gravy comes together.Add in the prepared pakodas and simmer for another 5 minutes.The gravy will eventually be watery, but the pakodas will soak up the water and thicken the gravy.Switch off the flame and garnish with coriander leaves.Serve the Chettinad Pakoda Curry Recipe along with Tawa Parathas or Roti's, Steamed Rice, Poondu Rasam and Papad.
</t>
  </si>
  <si>
    <t xml:space="preserve">செட்டிநாடு பக்கோடா கறி செய்முறையைத் தொடங்க, முதலில் பக்கோடாக்களுக்கான மாவைத் தயார் செய்கிறோம். 20 நிமிடம் சன்னப் பருப்பை சிவப்பு மிளகாயுடன் ஊறவைத்து, பின்னர் பெருஞ்சீரகம், உப்பு சேர்த்து மிக்சி கிரைண்டரைப் பயன்படுத்தி மிகக் குறைந்த நீர் விட்டு கரடுமுரடான பேஸ்டாக அரைக்கவும். மிதமான தீயில்.அதை ஒரு கிச்சன் டவலில் அகற்றி ஒதுக்கி வைக்கவும்.அடுத்த பக்கோடாவை மீதமுள்ள மாவுடன் தயார் செய்து தனியே வைக்கவும் எண்ணெயில். பெருஞ்சீரகம் விதைகள், கறிவேப்பிலை சேர்த்து வதக்கவும். பூண்டு சேர்த்து பொன்னிறமாக வதக்கவும். பொடியாக நறுக்கிய வெங்காயத்தை சேர்த்து வதக்கவும். தக்காளி, பச்சை மிளகாய், ஒரு சிட்டிகை வதக்கி, தக்காளி வதங்கும் வரை வதக்கவும். 1.5 கப் தண்ணீர், உப்பு மற்றும் மசாலா பேஸ்ட் நன்கு சமைத்து, குழம்பு வரும் வரை இளங்கொதிவாக்கவும். தயாரிக்கப்பட்ட பக்கோடாவைச் சேர்த்து மேலும் 5 நிமிடங்களுக்கு இளங்கொதிவாக்கவும். கிரேவி இறுதியில் தண்ணீராக இருக்கும், ஆனால் பக்கோடாக்கள் தண்ணீரை ஊறவைத்து, குழம்பு கெட்டியாக மாறும். தவா பராத்தா அல்லது ரொட்டி, வேகவைத்த சாதம், பூண்டு ரசம் மற்றும் பாப்பாட் ஆகியவற்றுடன் கறி செய்முறை.
</t>
  </si>
  <si>
    <t>https://www.archanaskitchen.com/chettinad-pakoda-curry-recipe</t>
  </si>
  <si>
    <t>Chettinad Dry Pepper Chicken Recipe</t>
  </si>
  <si>
    <t>செட்டிநாடு ட்ரை பெப்பர் சிக்கன் ரெசிபி</t>
  </si>
  <si>
    <t>500 கிராம் சிக்கன் - (எலும்புகளுடன் கூடிய கோழி இறைச்சி நல்ல சுவையைத் தரும்), 1 வெங்காயம், 1 தக்காளி, 2 துளிர் கறிவேப்பிலை, 1 தேக்கரண்டி இஞ்சி பூண்டு விழுது, 1/2 தேக்கரண்டி மஞ்சள் தூள் (ஹால்டி), 1 தேக்கரண்டி சீரகப் பொடி (ஜீரா) - வறுத்தது, 1 தேக்கரண்டி பெருஞ்சீரகம் தூள் - வறுத்த, 1 தேக்கரண்டி பெருங்காயத்தூள், 1 தேக்கரண்டி பெருங்காயத்தூள். - சுவைக்கு, சூரியகாந்தி எண்ணெய் - தேவைக்கேற்ப, தண்ணீர் - தேவைக்கேற்ப, கொத்தமல்லி (தானியா) இலைகள் - அலங்காரத்திற்கு</t>
  </si>
  <si>
    <t>500 grams Chicken - (chicken with bones gives better taste),1 Onion,1 Tomato,2 sprig Curry leaves,1 tablespoon Ginger Garlic Paste,1/2 teaspoon Turmeric powder (Haldi),1 teaspoon Cumin powder (Jeera) - roasted,1 teaspoon Fennel Powder - roasted,1 tablespoon Coriander Powder (Dhania),2-1/2 tablespoon Black pepper powder,Salt - to taste,Sunflower Oil - as required,Water - as required,Coriander (Dhania) Leaves - for garnish</t>
  </si>
  <si>
    <t xml:space="preserve">To begin making the Chettinad Dry Pepper Chicken Recipe, clean the chicken thoroughly and wash it well.Place it in a bowl,  then add about 1/2 teaspoon of turmeric powder and water until chicken in fully immersed and let it sit for 10 minutes. After 10 minutes, drain the turmeric water and marinate with little salt. This step of washing chicken in turmeric water will reduce the smell in the chicken.Heat oil in a kadai/wok on medium flame, add finely chopped onions and sauté till onions turn soft.Once the onions are soft, add ginger garlic paste and cook till the raw smell of the paste is gone. Add curry leaves and mix well.At this stage add finely chopped tomatoes and cook till tomatoes turn soft and mushy. This will take about 3-4 minutes. Now add the marinated chettinad chicken and let it cook for 3-5 minutes. Add all the spice powders- cumin powder, fennel seeds powder, coriander powder, crushed pepper or pepper powder and salt.Mix the Chettinad Dry Pepper Chicken and cook for another 5 minutes. Now add about 1/4 cup water. Cover and cook till the Chettinad Dry Pepper Chicken is fully cooked and all water is evaporated. Once done, check the salt and spices and adjust accordingly.Hot, spicy, flavourful Chettinad Dry Pepper Chicken is ready to be served.Serve Chettinad Dry Pepper Chicken Recipe with Pickled onions as an appetizer. Or you could also serve it as a side dish to a meal along wit steamed rice and Milagu Rasam Recipe (Village Style Pepper Rasam).
</t>
  </si>
  <si>
    <t xml:space="preserve">செட்டிநாடு ட்ரை பெப்பர் சிக்கன் ரெசிபியைத் தொடங்க, சிக்கனை நன்கு சுத்தம் செய்து நன்றாகக் கழுவவும். ஒரு கிண்ணத்தில் வைக்கவும்,  பிறகு சுமார் 1/2 டீஸ்பூன் மஞ்சள் தூள் மற்றும் தண்ணீரைச் சேர்த்து சிக்கன் முழுவதுமாக மூழ்கும் வரை 10 நிமிடங்கள் உட்கார வைக்கவும். 10 நிமிடங்களுக்குப் பிறகு, மஞ்சள் தண்ணீரை வடிகட்டி, சிறிது உப்பு சேர்த்து தாளிக்கவும். கோழிக்கறியை மஞ்சள் நீரில் கழுவினால் கோழியின் வாசனை குறையும். மிதமான தீயில் ஒரு கடாயில்/வாக்கில் எண்ணெயை சூடாக்கி, பொடியாக நறுக்கிய வெங்காயத்தை சேர்த்து, வெங்காயம் மென்மையாகும் வரை வதக்கவும். வெங்காயம் மென்மையாக வந்ததும், இஞ்சி பூண்டு விழுது சேர்த்து, பச்சை வாசனை போகும் வரை வதக்கவும். கறிவேப்பிலை சேர்த்து நன்கு கலக்கவும். இந்த நிலையில் பொடியாக நறுக்கிய தக்காளியைச் சேர்த்து, தக்காளி மென்மையாகவும், மிருதுவாகவும் மாறும் வரை வதக்கவும். இது சுமார் 3-4 நிமிடங்கள் எடுக்கும். இப்போது மேரினேட் செட்டிநாடு சிக்கன் சேர்த்து 3-5 நிமிடம் வேக விடவும். அனைத்து மசாலாப் பொடிகளையும்- சீரகத் தூள், பெருஞ்சீரகம் தூள், கொத்தமல்லித் தூள், நொறுக்கப்பட்ட மிளகு அல்லது மிளகுத் தூள் மற்றும் உப்பு சேர்க்கவும். செட்டிநாடு ட்ரை பெப்பர் சிக்கனைக் கலந்து மேலும் 5 நிமிடங்களுக்கு சமைக்கவும். இப்போது சுமார் 1/4 கப் தண்ணீர் சேர்க்கவும். செட்டிநாடு ட்ரை பெப்பர் சிக்கன் முழுவதுமாக வெந்து தண்ணீர் அனைத்தும் ஆவியாகும் வரை மூடி வைத்து சமைக்கவும். முடிந்ததும், உப்பு மற்றும் மசாலாவை சரிபார்த்து, அதற்கேற்ப சரிசெய்யவும். சூடான, காரமான, சுவையான செட்டிநாடு ட்ரை பெப்பர் சிக்கன் பரிமாற தயாராக உள்ளது. செட்டிநாடு ட்ரை பெப்பர் சிக்கன் ரெசிபியை ஊறுகாய் வெங்காயத்துடன் ஒரு பசியாகப் பரிமாறவும். அல்லது விட் வேகவைக்கப்பட்ட சாதம் மற்றும் மிளகு ரசம் ரெசிபி (கிராமத்து பாணி மிளகு ரசம்) ஆகியவற்றுடன் சாப்பாட்டுக்கு பக்க உணவாகவும் பரிமாறலாம்.
</t>
  </si>
  <si>
    <t>http://www.archanaskitchen.com/chettinad-pepper-chicken-dry-recipe</t>
  </si>
  <si>
    <t>Tamil Nadu Style White Paniyaram Recipe - Semi Sweet Rice &amp; Lentil Fry</t>
  </si>
  <si>
    <t>தமிழ்நாடு ஸ்டைல் ​​வெள்ளை பணியாரம் ரெசிபி - அரை இனிப்பு சாதம் &amp; பருப்பு பொரியல்</t>
  </si>
  <si>
    <t>1 கப் அரிசி - 2 மணி நேரம் ஊறவைத்தது, 2 டேபிள் ஸ்பூன் கருப்பு உளுத்தம் பருப்பு (முழு) - 2 மணி நேரம் ஊறவைத்தது, 1/4 கப் பால், 1 டேபிள் ஸ்பூன் சர்க்கரை, உப்பு - சுவைக்கேற்ப, சூரியகாந்தி எண்ணெய் - ஆழமாக வறுக்க</t>
  </si>
  <si>
    <t>1 cup Rice - soaked for 2 hours,2 tablespoon Black Urad Dal (Whole) - soaked for 2 hours,1/4 cup Milk,1 tablespoon Sugar,Salt - to taste,Sunflower Oil - for deep frying</t>
  </si>
  <si>
    <t xml:space="preserve">To begin making the Tamil Nadu Style Vellai Paniyaram Recipe, wash and soak rice and urad dal in water for 2 hours.Grind them till completely smooth in a Mixer grinder.Add only just enough water for it to grind and do not make it watery. Keep the batter as thick as possible.Add sugar and salt to the batter, and let it rest for another hour.Heat oil in a Kadai/Frying pan for deep frying.Mix the batter well. Add milk to make it watery at this stage. The consistency should be more watery than a dosa batter.Drop one tablespoon full of batter into the Kadai. It will rise and puff up. Once the Vellai paniyaram is cooked on one side, flip it and let it fry for a couple of seconds. Transfer Vellai Paniyaram on a kitchen towel. Pat the Vellai Paniyaram with an oil absorbent paper to remove excess oil and serve.Serve Vellai Paniyaram spicy Tangy Tomato chutney or Dhaniya Pudina Chutney during evenings.
</t>
  </si>
  <si>
    <t xml:space="preserve">தமிழ்நாடு ஸ்டைல் ​​வெள்ளை பணியாரம் ரெசிபியை செய்ய ஆரம்பிக்க, அரிசி மற்றும் உளுத்தம்பருப்பை தண்ணீரில் கழுவி 2 மணி நேரம் ஊற வைக்கவும். மிக்ஸி கிரைண்டரில் முழுவதுமாக மிருதுவாக அரைக்கவும். அரைப்பதற்கு தேவையான அளவு தண்ணீர் மட்டும் சேர்க்கவும், அது தண்ணீராக மாறாது. மாவை முடிந்தவரை கெட்டியாக வைக்கவும். மாவுடன் சர்க்கரை மற்றும் உப்பு சேர்த்து, மேலும் ஒரு மணி நேரம் ஓய்வெடுக்கவும். ஆழமான வறுக்க ஒரு கடாயில் / வாணலியில் எண்ணெயை சூடாக்கவும். மாவை நன்கு கலக்கவும். இந்த நிலையில் பால் சேர்க்கவும். ஒரு தோசை மாவை விட நிலைத்தன்மை அதிக நீர்ச்சத்துள்ளதாக இருக்க வேண்டும். ஒரு டேபிள்ஸ்பூன் மாவை கடாயில் விடவும். அது எழுந்து கொப்பளிக்கும். வெள்ளை பணியாரம் ஒரு பக்கம் வெந்ததும், அதை புரட்டி இரண்டு வினாடிகள் பிரட்டி விடவும். வெள்ளை பணியாரத்தை சமையலறை டவலில் மாற்றவும். வெள்ளை பணியாரத்தை எண்ணெய் உறிஞ்சும் காகிதத்துடன் தடவி, அதிகப்படியான எண்ணெயை அகற்றி பரிமாறவும். மாலை நேரங்களில் வெள்ளை பணியாரம் காரமான டங்கி தக்காளி சட்னி அல்லது தனியா புதினா சட்னியை பரிமாறவும்.
</t>
  </si>
  <si>
    <t>http://www.archanaskitchen.com/tamil-nadu-style-vella-paniyaram-recipe-semi-sweet-rice-dal-fritters</t>
  </si>
  <si>
    <t>Beetroot Millet Recipe</t>
  </si>
  <si>
    <t>பீட்ரூட் தினை பணியாரம் செய்முறை</t>
  </si>
  <si>
    <t>100 கிராம் பீட்ரூட் - தோலுரித்து நறுக்கியது, 1/2 கப் ஃபாக்ஸ்டெயில் தினை, 1/4 கப் உடனடி ஓட்ஸ் (ஓட்ஸ்), 2 டேபிள் ஸ்பூன் அரிசி மாவு, 1 டீஸ்பூன் பேக்கிங் பவுடர், 1/4 கப் வெல்லம் - பொடி, 1 டீஸ்பூன் ஏலக்காய் தூள் (எலச்சி), நெய் - வறுக்க</t>
  </si>
  <si>
    <t>100 grams Beetroot - peeled and chopped,1/2 cup Foxtail Millet,1/4 cup Instant Oats (Oatmeal),2 tablespoon Rice flour,1 teaspoon Baking powder,1/4 cup Jaggery - powdered,1 teaspoon Cardamom Powder (Elaichi),Ghee - bfor frying</t>
  </si>
  <si>
    <t xml:space="preserve">To begin making the Beetroot Millet Paniyaram Recipe, soak foxtail millet in warm water for 2-3 hours. Once soaked well drain water completely and blend the millet in a mixer grinder to smooth batter without adding water.Add chopped beetroot to this and blend again. Transfer the batter to a mixing bowl.Add oats, rice flour, baking powder, powdered jaggery and cardamom powder. Mix everything well. Add a little water to make a thick pouring batter.Heat Paniyaram pan on low-medium heat.  Pour 1 teaspoon ghee into each cavity of the pan. Spoon the Beetroot Millet Paniyaram batter into the cavities. Don't fill it to the brim, but only 3/4th full.Cover the pan with a lid and cook on low to medium heat for about 3 to 4 minutes until the top of the paniyaram is steamed. Once the top looks steamed, flip the Beetroot Paniyarams over the cook on the other side (without closing the lid) until golden brown.Once each Paniyaram is cooked, remove from the pan and pour another batch of batter and proceed the similar way.Serve this Beetroot Millet Paniyaram as a high protein snack for kids or as a dessert for parties.
</t>
  </si>
  <si>
    <t xml:space="preserve">பீட்ரூட் தினை பணியாரம் செய்முறையைத் தொடங்க, ஃபாக்ஸ்டெயில் தினையை வெதுவெதுப்பான நீரில் 2-3 மணி நேரம் ஊற வைக்கவும். நன்கு ஊறியதும் தண்ணீரை முழுவதுமாக வடித்துவிட்டு, மிக்சி கிரைண்டரில் தினையை தண்ணீர் சேர்க்காமல் மிருதுவாகக் கலக்கவும். இதனுடன் நறுக்கிய பீட்ரூட்டைச் சேர்த்து மீண்டும் கலக்கவும். மாவை ஒரு கலவை பாத்திரத்திற்கு மாற்றவும். ஓட்ஸ், அரிசி மாவு, பேக்கிங் பவுடர், பொடித்த வெல்லம் மற்றும் ஏலக்காய் தூள் சேர்க்கவும். எல்லாவற்றையும் நன்றாக கலக்கவும். தடிமனான ஊற்று மாவை உருவாக்க சிறிது தண்ணீர் சேர்க்கவும். பணியாரம் கடாயை குறைந்த நடுத்தர வெப்பத்தில் சூடாக்கவும்.  வாணலியின் ஒவ்வொரு குழியிலும் 1 தேக்கரண்டி நெய் ஊற்றவும். பீட்ரூட் தினை பணியாரம் மாவை துவாரங்களில் ஸ்பூன் செய்யவும். அதை விளிம்பு வரை நிரப்ப வேண்டாம், ஆனால் 3/4 வது அளவு மட்டுமே. கடாயை ஒரு மூடியால் மூடி, பணியாரத்தின் மேல் வேகவைக்கும் வரை குறைந்த முதல் நடுத்தர வெப்பத்தில் சுமார் 3 முதல் 4 நிமிடங்கள் வரை சமைக்கவும். மேலே வேகவைத்தவுடன், பீட்ரூட் பணியாரத்தை மறுபுறம் உள்ள சமையல்காரரின் மேல் (மூடியை மூடாமல்) பொன்னிறமாகும் வரை புரட்டவும். ஒவ்வொரு பணியாரமும் வெந்ததும், கடாயில் இருந்து இறக்கி, மற்றொரு மாவை ஊற்றி, அதே வழியில் தொடரவும். இந்த பீட்ரூட் மில்லட் பணியாரத்தை குழந்தைகளுக்கு அதிக புரோட்டீன் சிற்றுண்டியாகவோ அல்லது விருந்துகளாகவோ பரிமாறவும்.
</t>
  </si>
  <si>
    <t>https://www.archanaskitchen.com/beetroot-millet-paniyaram-recipe</t>
  </si>
  <si>
    <t>Chettinad Vengaiya Kosu Recipe (Spicy Curry from Chettinad Cuisine)</t>
  </si>
  <si>
    <t>செட்டிநாடு வெங்கையா கொசு செய்முறை (செட்டிநாடு உணவு வகைகளில் இருந்து காரமான கறி)</t>
  </si>
  <si>
    <t>1 வெங்காயம் - மெல்லியதாக நறுக்கியது, 2 தக்காளி - பொடியாக நறுக்கியது, 8-10 கறிவேப்பிலை, 1/2 தேக்கரண்டி எள் (இஞ்சி) எண்ணெய், 1/2 தேக்கரண்டி பெருஞ்சீரகம் (சான்ஃப்), 1/2 டீஸ்பூன் மஞ்சள் தூள் (ஹால்டி), உப்பு - சுவைக்கேற்ப, 5 முதல் 6 காய்ந்த மிளகாய் - 1 கப், தேங்காய் துருவல், 4 கப். கொத்தமல்லி (தானியா) இலைகள் - அலங்காரத்திற்காக பொடியாக நறுக்கியது</t>
  </si>
  <si>
    <t>1 Onion - thinly sliced,2 Tomatoes - finely chopped,8-10 Curry leaves,1/2 tablespoon Sesame (Gingelly) Oil,1/2 teaspoon Fennel seeds (Saunf),1/2 teaspoon Turmeric powder (Haldi),Salt - to taste,5 to 6 Dry Red Chillies - adjust according to taste,1/4 cup Fresh coconut - chopped,2 sprig Coriander (Dhania) Leaves - finely chopped for garnishing</t>
  </si>
  <si>
    <t xml:space="preserve">To begin making Chettinad Vengaya Kosu Recipe, first make the spice paste for the kosu. Heat a kadai on medium heat and dry roast red chillies and fennel seeds till they turn fragrant. Turn off the heat and let them cool. Once the red chilli and fennel seeds are cooled, grind them in a mixie jar along with coconut. Add a little water to make a smooth paste. keep the masala paste aside. You can proceed to make the tempering.To prepare the tempering, heat a kadai on medium heat. Add sesame oil and temper with fennel seeds and curry leaves. Add the sliced onions and tomatoes. Add turmeric powder and salt.Mix well and let them cook on low flame till the tomatoes become soft and pulpy. Add 1 cup of water to the mixture. Now add the ground masala and mix well.Let the gravy simmer for 3-4 minutes.After 3-4 minutes, turn off the heat. Transfer Chettinad Vengaya Kosu in a serving bowl.Garnish with chopped cilantro/mint leaves and serve hot with Biryani, Ven Pongal or Onion Rava Dosa Recipe for breakfast, lunch or weeknight dinner.
</t>
  </si>
  <si>
    <t xml:space="preserve">செட்டிநாடு வெங்கையா கொசு செய்முறையைத் தொடங்க, முதலில் கொசுவிற்கான மசாலா பேஸ்ட்டைத் தயாரிக்கவும். ஒரு கடாயை மிதமான சூட்டில் சூடாக்கி, சிவப்பு மிளகாய் மற்றும் பெருஞ்சீரகம் விதைகளை வாசனை வரும் வரை வறுக்கவும். வெப்பத்தை அணைத்து, அவற்றை குளிர்விக்க விடவும். சிவப்பு மிளகாய் மற்றும் பெருஞ்சீரகம் ஆறியவுடன் மிக்ஸி ஜாரில் தேங்காய் சேர்த்து அரைக்கவும். மென்மையான பேஸ்ட் செய்ய சிறிது தண்ணீர் சேர்க்கவும். மசாலா பேஸ்ட்டை ஒதுக்கி வைக்கவும். நீங்கள் டெம்பரிங் செய்ய தொடரலாம். டெம்பரிங் தயார் செய்ய, ஒரு கடாயை மிதமான சூட்டில் சூடாக்கவும். நல்லெண்ணெய் சேர்த்து பெருஞ்சீரகம் மற்றும் கறிவேப்பிலையுடன் வதக்கவும். நறுக்கிய வெங்காயம் மற்றும் தக்காளி சேர்க்கவும். மஞ்சள் தூள் மற்றும் உப்பு சேர்க்கவும். நன்கு கலந்து, தக்காளி மென்மையாகவும், கூழ் போலவும் மாறும் வரை சிறிய தீயில் சமைக்கவும். கலவையில் 1 கப் தண்ணீர் சேர்க்கவும். இப்போது அரைத்த மசாலாவைச் சேர்த்து நன்கு கலக்கவும். குழம்பு 3-4 நிமிடங்கள் கொதிக்க விடவும். 3-4 நிமிடங்களுக்குப் பிறகு, தீயை அணைக்கவும். செட்டிநாடு வெங்கையா கொசுவை பரிமாறும் பாத்திரத்தில் மாற்றவும். நறுக்கிய கொத்தமல்லி/புதினா இலைகளால் அலங்கரித்து, பிரியாணி, வெண் பொங்கல் அல்லது வெங்காய ரவா தோசையுடன் காலை உணவு, மதிய உணவு அல்லது வார இரவு உணவிற்கு சூடாகப் பரிமாறவும்.
</t>
  </si>
  <si>
    <t>http://www.archanaskitchen.com/chettinad-vengaya-kosu-recipe-spicy-curry-from-chettinad-cuisine</t>
  </si>
  <si>
    <t>Thalicha Yogurt Rice Recipe - Spicy Yogurt Rice</t>
  </si>
  <si>
    <t>தாளிச்சா தயிர் சாதம் செய்முறை - காரமான தயிர் சாதம்</t>
  </si>
  <si>
    <t>1-1/2 கப் சமைத்த அரிசி, 3 கப் தயிர் (தயிர் / தயிர்), 1/4 கப் அனார்தன தூள் (மாதுளை விதை தூள்), 1 பச்சை மிளகாய் - பொடியாக நறுக்கியது, உப்பு - ருசிக்கேற்ப, 1/2 டீஸ்பூன் கடுகு, 1 டீஸ்பூன் வெள்ளை உளுத்தம்பருப்பு (பிளவு), 1 டீஸ்பூன் கருவேப்பிலை</t>
  </si>
  <si>
    <t>1-1/2 cups Cooked rice,3 cups Curd (Dahi / Yogurt),1/4 cup Anardana Powder (Pomegranate Seed Powder),1 Green Chillies - finely chopped,Salt - to taste,1/2 teaspoon Mustard seeds,1 teaspoon White Urad Dal (Split),1 sprig Curry leaves,1 teaspoon Sunflower Oil</t>
  </si>
  <si>
    <t xml:space="preserve">To begin making the Thalicha Thayir Sadam Recipe (Spicy Seasoned Curd Rice), make sure you have some cooked rice ready. The rice should be cooked very soft, such that if you place it between your fingers it will mash very easily.Place the rice in a large mixing bowl. If the rice is a little war, it will help in mashing the rice to a more soft consistency. Add a ladle of yogurt to the rice and using your hands or the Potato Masher mash the rice well to combine it with the yogurt.Once the rice is mashed well, add the remaining yogurt, green chilies, pomegranates and salt. Stir to combine well and check the salt and adjust to suit your taste.The next step is to make the seasoning for the Curd Rice. Heat a small Tadka Pan with a teaspoon of oil. Once the oil heats up, add the mustard seeds, the urad dal and allow it to crackle. Once it crackles and the urad dal turns golden, add the curry leaves. Turn off the heat.Pour the seasoning over the prepared Curd Rice (Thayir Sadam) and give it a stir.The Thalicha Thayir Sadam Recipe (Spicy Seasoned Curd Rice) is ready to be served chilled for an afternoon lunch.Serve Thalicha Thayir Sadam Recipe with Andhra Avakaya and Elai Vadam for a comforting lunch.
</t>
  </si>
  <si>
    <t xml:space="preserve">தாலிச்சா தயிர் சாதம் ரெசிபி (காரமான பதப்படுத்தப்பட்ட தயிர் சாதம்) செய்யத் தொடங்க, உங்களிடம் கொஞ்சம் சமைத்த சாதம் தயாராக இருப்பதை உறுதிப்படுத்திக் கொள்ளுங்கள். அரிசி மிகவும் மென்மையாக சமைக்கப்பட வேண்டும், அதாவது உங்கள் விரல்களுக்கு இடையில் வைத்தால் அது மிக எளிதாக பிசைந்துவிடும்.அரிசியை ஒரு பெரிய கலவை கிண்ணத்தில் வைக்கவும். அரிசி ஒரு சிறிய போர் என்றால், அது அரிசி மிகவும் மென்மையான நிலைத்தன்மையுடன் பிசைவதற்கு உதவும். சாதத்தில் ஒரு கரண்டி தயிர் சேர்த்து, உங்கள் கைகளால் அல்லது உருளைக்கிழங்கு மாஷரைப் பயன்படுத்தி அரிசியை நன்கு பிசைந்து தயிருடன் இணைக்கவும். அரிசி நன்றாக மசிந்ததும், மீதமுள்ள தயிர், பச்சை மிளகாய், மாதுளை மற்றும் உப்பு சேர்க்கவும். நன்கு கலக்கவும், உப்பை சரிபார்த்து, உங்கள் சுவைக்கு ஏற்ப சரிசெய்யவும். அடுத்த படியாக தயிர் சாதத்திற்கு தாளிக்க வேண்டும். ஒரு சிறிய தட்கா பானை ஒரு டீஸ்பூன் எண்ணெயுடன் சூடாக்கவும். எண்ணெய் சூடானதும், கடுகு, உளுத்தம் பருப்பு சேர்த்து வெடிக்க அனுமதிக்கவும். அது வெடித்து, உளுத்தம் பருப்பு பொன்னிறமாக மாறியதும், கறிவேப்பிலை சேர்க்கவும். அடுப்பை அணைக்கவும். தயார் செய்த தயிர் சாதம் (தயிர் சாதம்) மீது தாளிக்கக் கொடுத்துள்ள பொருட்களைக் கொட்டி கிளறவும். மதியம் மதிய உணவிற்குத் தாளிச்சாத் தயிர் சாதம் ரெசிபி (காரமான தயிர் சாதம்) தயார்.
</t>
  </si>
  <si>
    <t>https://www.archanaskitchen.com/thalicha-thayir-sadam-recipe-spicy-seasoned-curd-rice</t>
  </si>
  <si>
    <t>Delicious Flaxseed Multigrain Crackers Recipe</t>
  </si>
  <si>
    <t>சுவையான ஆளி விதை மல்டிகிரைன் கிராக்கர்ஸ் ரெசிபி</t>
  </si>
  <si>
    <t>3/4 கப் முழு கோதுமை மாவு, 1/2 கப் ஜவ்வரிசி மாவு (சோறு), 1/4 கப் ராகி மாவு (விரல் தினை/ நாகிலி), 2 டீஸ்பூன் சூரியகாந்தி எண்ணெய், 2 தேக்கரண்டி எள் (டில் விதைகள்) - வெள்ளை, 2 தேக்கரண்டி ஆளி விதைகள், 3 முதல் 5 பச்சை மிளகாய் - பொடியாக நறுக்கிய கொத்தமல்லி இலைகள் - பொடியாக நறுக்கியது, சிறிதளவு கறிவேப்பிலை - பொடியாக நறுக்கியது, தண்ணீர் - தேவைக்கேற்ப, உப்பு - தேவையான அளவு</t>
  </si>
  <si>
    <t>3/4 cup Whole Wheat Flour,1/2 cup Jowar Flour (Sorghum),1/4 cup Ragi Flour (Finger Millet/ Nagli),2 teaspoons Sunflower Oil,2 tablespoons Sesame seeds (Til seeds) - white,2 tablespoons Flax seeds,3 to 5 Green Chillies - finely chopped (adjustable),Few sprig Coriander (Dhania) Leaves - finely chopped,Few Curry leaves - finely chopped,Water - as required,Salt - to taste</t>
  </si>
  <si>
    <t xml:space="preserve">To begin making the Savory Flax Seed Multigrain Crackers recipe, slightly roast white sesame seeds till they start cracking in a small pan.Roast flax seeds and roast them till the popping sound reduces. Turn off the flame and transfer the flax seeds to a separate plate and allow it to cool. Once the flaxseeds have cooled, add them to a mixer and make into a smooth powder.To a big mixing bowl, add ragi flour, wheat flour, jowar flour, roasted sesame seeds, powdered flax seeds, salt, green chillies, coriander and curry leaves.Add oil and mix everything nicely with your finger tips to form bread crumb like texture.Next, add water in steps and combine everything together to form a dough. Don't add whole water together as required water quantity may vary little depending on flour quality.Allow the dough to rest for 15 to 30 minutes. Preheat the oven at 180 deg C for 8 to 10 minutes. Divide the dough into two equal portions.Dust the slab and roll each portion into a big circle thicker than the roti. While rolling edges may break, try sealing them with your fingers and roll.Using a cookie cutter or any lid cut them into your desired shape and size.Slowly lift them and arrange them on a baking tray lined with parchment paper sheet and bake it for around 15 to 25 minutes at 160 deg C in an oven.Check the cookies after 15 minutes. Remove them if you see the edges turning red in colour.Once done, place them on a cooling rack to cool . They become more crispier once they cool down. Store the cookies in airtight containers.Serve Savory Flaxseed Multigrain Crackers along with Masala Chai for a perfect tea time break with your family.
</t>
  </si>
  <si>
    <t xml:space="preserve">சுவையான ஆளி விதை மல்டிகிரேன் பட்டாசு செய்முறையைத் தொடங்க, வெள்ளை எள்ளை ஒரு சிறிய பாத்திரத்தில் வெடிக்கத் தொடங்கும் வரை சிறிது வறுக்கவும். ஆளி விதைகளை வறுத்து, சத்தம் குறையும் வரை வறுக்கவும். தீயை அணைத்து, ஆளி விதைகளை ஒரு தனி தட்டில் மாற்றி, அதை குளிர்விக்க அனுமதிக்கவும். ஆளிவிதை ஆறியதும், அவற்றை மிக்ஸியில் சேர்த்து மிருதுவான பொடியாக ஆக்கிக் கொள்ளவும். ஒரு பெரிய கலவை கிண்ணத்தில் ராகி மாவு, கோதுமை மாவு, வெல்லம் மாவு, வறுத்த எள், பொடித்த ஆளி விதைகள், உப்பு, பச்சை மிளகாய், கொத்தமல்லி மற்றும் கறிவேப்பிலை ஆகியவற்றைச் சேர்க்கவும். ஒரு மாவை. தேவையான நீரின் அளவு மாவின் தரத்தைப் பொறுத்து சிறிது மாறுபடலாம். மாவை 15 முதல் 30 நிமிடங்கள் வரை ஓய்வெடுக்க அனுமதிக்கவும். அடுப்பை 180 டிகிரி செல்சியஸ் வெப்பநிலையில் 8 முதல் 10 நிமிடங்கள் வரை சூடாக்கவும். மாவை இரண்டு சம பாகங்களாகப் பிரிக்கவும். ஸ்லாப்பைத் தூவி, ஒவ்வொரு பகுதியையும் ரோட்டியை விட தடிமனாக பெரிய வட்டமாக உருட்டவும். உருளும் விளிம்புகள் உடைந்து போகும்போது, ​​அவற்றை உங்கள் விரல்களால் சீல் செய்து உருட்டவும். குக்கீ கட்டர் அல்லது ஏதேனும் மூடியைப் பயன்படுத்தி அவற்றை உங்களுக்கு விருப்பமான வடிவத்திலும் அளவிலும் வெட்டவும். மெதுவாக அவற்றைத் தூக்கி, காகிதத்தாளில் வரிசையாக ஒரு பேக்கிங் தட்டில் அடுக்கி, சுமார் 15 முதல் 25 நிமிடங்கள் வரை 160 டிகிரி செல்சியஸ் வரை சுடவும். விளிம்புகள் சிவப்பு நிறமாக மாறுவதை நீங்கள் கண்டால், அவற்றை அகற்றவும். முடிந்ததும், குளிர்விக்க ஒரு கூலிங் ரேக்கில் வைக்கவும். அவை குளிர்ந்தவுடன் மேலும் மிருதுவாக மாறும். குக்கீகளை காற்றுப் புகாத கொள்கலன்களில் சேமித்து வைக்கவும். உங்கள் குடும்பத்தினருடன் ஒரு சிறந்த தேநீர் இடைவேளைக்காக மசாலா சாயுடன்  சுவையான ஆளிவிதை மல்டிகிரைன் பட்டாசுகளை பரிமாறவும்.
</t>
  </si>
  <si>
    <t>http://www.archanaskitchen.com/savory-flaxseed-multigrain-crackers-recipe</t>
  </si>
  <si>
    <t>Chettinad Thakali Rice Recipe - Chettinad Thakali Rice Recipe</t>
  </si>
  <si>
    <t>செட்டிநாடு தக்கலி சாதம் ரெசிபி - செட்டிநாடு தக்கலி சாதம் செய்முறை</t>
  </si>
  <si>
    <t>2 டமாடர் - பாரிக் காட் லே,1 ப்யாஜ் - படலா மற்றும் சீதா காட் லெ,2 கப் சாவல் - பக்கே ஹுச்டா,1 சமாட்டா லால் மிர்ச் பவுடர்,1 ஹரி மிர்ச் - சீதா காட் லே,புதீனா - தோடா, ஹரா தானியா, 1 டாலசீனி,2 லாங்,1 டஹனி கதாடி பட்டா,1 பட சம்மச் घी,நமக் - ஸ்வாந்தம்,1அனுசா காட் லெ,3 கலி லஹசுன்,1 ச்டோடா சம்மச் சவுன்ஃப்</t>
  </si>
  <si>
    <t>2 tomatoes - finely chopped, 1 onion - thinly sliced, 2 cups rice - cooked, 1 tsp red chilli powder, 1 green chilli - sliced, mint - a little, coriander leaves - a little, 1 cinnamon stick, 2 cloves, 1 sprig curry leaves, 1 tbsp ghee, salt - according to taste, 1 inch ginger - sliced, 3 cloves garlic, 1 tsp fennel</t>
  </si>
  <si>
    <t>To make Chettinad Takkali Sadam Recipe, first cook the rice well and keep it aside. Now take ginger, garlic, fennel seeds in a mortar and grind it. Keep it aside. Heat ghee in a pan. Add cinnamon, cloves and cook for 10 seconds. After 10 seconds add ginger, garlic, fennel seeds and cook for 3 minutes. Add curry leaves, onions and cook till onions become soft. After onions become soft add tomatoes and cook till tomatoes are half cooked. Now add green chillies, red chilli powder, mint, coriander leaves and mix it. Add salt and cook till tomatoes are cooked well. It will take at least 10 minutes. After 10 minutes add cooked rice and mix it well. Cook for 5 minutes and turn off the gas. Serve. Serve Chettinad Takkali Sadam recipe along with Boondi Raita and Papad for the day.</t>
  </si>
  <si>
    <t xml:space="preserve">செட்டிநாடு தக்கலி சாதம் ரெசிபி கோ பனானே கே லியே சபேஸ் பஹலே சாவல் கோ அச்ச் சத் த்ரே அலக சே ரக் தே.அப் ஒரு ஹமனதஸ்தே என்று அதரக், லஹசுன், சவுன்ஃப் டேல் மற்றும் பீஸ் லே. அலக சே ரக் லே.ஏக் கதாயி மென் घी गरम करें. அதே போல் டல்சீனி, லாங் டேல் மற்றும் 10 செகண்ட்ஸ் தக லெ.10 செகண்ட்ஸ் பேட்,அட லஹசுன், சவுன்ஃப் டேல் மற்றும் 3 நிமிடங்களுக்குப் பிறகு. கத்தீ பட்டா, ப்யாஜ் டேல் மற்றும் ப்யாஜ் கே நரம் ஹோனே தக் பகா லே. ப்யாஜ் கே நரம் ஹோனே பாத் டமாடர் டேல் மற்றும் டமாடர் கே ஆதா பகனே தக் பகா லே. இப்போது ஹரி மிர்ச், லால் மிர்ச் பௌடர், புதினா, ஹரா தனியா டாலே மற்றும் மிலா லே. नमक दाले மற்றும் टमार के आच्छी तरह से पकने तक पका ले. அதே நேரம் 10 நிமிடம். 10 நிமிடங்களுக்குப் பிறகு, இது போன்றது. 5 நிமிடங்களுக்கு பக்கா மற்றும் கைஸ் பண்ட் கர் லே. பரோஸ். செட்டிநாடு தக்கலி சாதம் ரெசிபி கோ பூண்டி ராயதா மற்றும் பாவம் போன்றவற்றைப் பற்றி பேசவும்.
</t>
  </si>
  <si>
    <t>http://www.archanaskitchen.com/chettinad-takkali-sadam-recipe-chettinad-style-tomato-rice-in-hindi</t>
  </si>
  <si>
    <t>Restaurant Style Chettinad Style Fish Gravy Recipe</t>
  </si>
  <si>
    <t>ரெஸ்டாரன்ட் ஸ்டைல் ​​செட்டிநாடு ஸ்டைல் ​​மீன் குழம்பு ரெசிபி</t>
  </si>
  <si>
    <t>5-6 மீன் ஃபில்லட் - சுர்மாய் அல்லது பாம்ப்ரெட் ரகம், 1 டீஸ்பூன் மஞ்சள் தூள் (ஹால்டி), 2 டீஸ்பூன் சூரியகாந்தி எண்ணெய், 2 டீஸ்பூன் சீரக விதைகள் (ஜீரா), 6 முழு கருப்பு மிளகுத்தூள் - (சரிசெய்தல்), 3 கிராம்பு (லாங்), 1/2 இன்ச் இலவங்கப்பட்டை (டால்சினி, 1 ஏலக்காய், 2 ஏலக்காய், 2 ஏலக்காய்) துளிர் கறிவேப்பிலை, 2 டீஸ்பூன் புதிய தேங்காய் - துருவல், 10 பல் பூண்டு, 1 இன்ச் இஞ்சி, 2 வெங்காயம் - நறுக்கியது, 8 முத்து வெங்காயம் (சாம்பார் வெங்காயம்), 1 தக்காளி - நறுக்கியது, 4 தேக்கரண்டி புளி தண்ணீர் - (சரிசெய்து), உப்பு - சுவைக்கு, தண்ணீர் - தேவைக்கேற்ப, கொத்தமல்லி (தானியா)</t>
  </si>
  <si>
    <t>5-6 Fish fillet - surmai or pomphret variety,1 teaspoon Turmeric powder (Haldi),2 teaspoon Sunflower Oil,2 teaspoon Cumin seeds (Jeera),6 Whole Black Peppercorns - (adjust),3 Cloves (Laung),1/2 inch Cinnamon Stick (Dalchini),2 Cardamom (Elaichi) Pods/Seeds,2 Dry Red Chilli,1 sprig Curry leaves,2 teaspoon Fresh coconut - grated,10 cloves Garlic,1 inch Ginger,2 Onions - chopped,8 Pearl onions (Sambar Onions),1 Tomato - chopped,4 teaspoon Tamarind Water - (adjust),Salt - to taste,Water - as needed,Coriander (Dhania) Leaves - to garish</t>
  </si>
  <si>
    <t xml:space="preserve">To begin making the Restaurant Style Chettinad Style Fish Curry Recipe, clean the fish fillets and apply salt &amp; turmeric powder on it. Keep aside.In a shallow fry pan add oil &amp; fry onions until they turn brownish, keep aside to grind later. Add the shallots &amp; fry for 2 minutes then add tomatoes. Switch off the gas &amp; keep the cover the pot with a lid.In a grinder, make a fine powder of cumin seeds, peppercorns, cloves, cinnamon, cardamom &amp; red chilli. Keep aside for later use.Add the fried onions, ginger, garlic, grated coconut &amp; tamarind to the make a smooth paste.Add the dry masala powder &amp; paste to the tomato-onion, add water as required to make gravy.When the gravy comes to a boil add the fish, add curry leaves. Cover the pot n let the fish cook properly. Garnish with freshly chopped coriander.Don't make the gravy too thick or watery. Serve this delicious and full of flavour Chettinad Style Fish Curry Recipe along with Idiyappam's or Steamed Rice and Elai Vadam for an everyday meal.
</t>
  </si>
  <si>
    <t xml:space="preserve">ரெஸ்டாரன்ட் ஸ்டைல் ​​செட்டிநாடு ஸ்டைல் ​​ஃபிஷ் கறி ரெசிபியைத் தொடங்க, மீன் ஃபில்லட்டை சுத்தம் செய்து, அதன் மீது உப்பு மற்றும் மஞ்சள் தூள் தடவவும். ஒதுக்கி வைக்கவும். ஒரு மேலோட்டமான வாணலியில் எண்ணெய் சேர்த்து வெங்காயம் பொன்னிறமாகும் வரை வறுக்கவும், பின்னர் அரைக்க தனியாக வைக்கவும். வெங்காயம் சேர்த்து 2 நிமிடம் வதக்கவும் பிறகு தக்காளி சேர்க்கவும். வாயுவை அணைத்து, பானையை மூடி வைக்கவும். ஒரு கிரைண்டரில், சீரகம், மிளகு, கிராம்பு, இலவங்கப்பட்டை, ஏலக்காய் மற்றும் சிவப்பு மிளகாய் ஆகியவற்றை நன்றாக தூள் செய்யவும். பிறகு உபயோகிக்க தனியாக வைக்கவும்.பொரித்த வெங்காயம், இஞ்சி, பூண்டு, தேங்காய் துருவல் &amp; புளி சேர்த்து மிருதுவான பேஸ்ட் செய்து கொள்ளவும். தக்காளி-வெங்காயத்துடன் காய்ந்த மசாலா தூள் &amp; விழுது சேர்க்கவும், கிரேவி செய்ய தேவையான தண்ணீர் சேர்க்கவும். குழம்பு கொதித்ததும் மீன் சேர்க்கவும், கறிவேப்பிலை சேர்க்கவும். பானையை மூடி, மீனை சரியாக வேக விடவும். புதிதாக நறுக்கிய கொத்தமல்லி கொண்டு அலங்கரிக்கவும். கிரேவியை மிகவும் கெட்டியாகவோ அல்லது தண்ணீராகவோ செய்ய வேண்டாம். இந்த சுவையான மற்றும் சுவை நிறைந்த செட்டிநாடு வகை மீன் குழம்பு செய்முறையை இடியாப்பம் அல்லது வேகவைத்த சாதம் மற்றும் எலை வடம் உடன் தினசரி உணவாக பரிமாறவும்.
</t>
  </si>
  <si>
    <t>https://www.archanaskitchen.com/restaurant-style-chettinad-style-fish-curry-recipe</t>
  </si>
  <si>
    <t>Gosamali Recipe - Chettinad Style Brinjhi and Potato Mush Recipe</t>
  </si>
  <si>
    <t>கோசமலி ரெசிபி - செட்டிநாடு ஸ்டைல் ​​பிரிஞ்சி மற்றும் உருளைக்கிழங்கு மஷ் ரெசிபி</t>
  </si>
  <si>
    <t>4 பெங்களூர்,2 ஆலூ,15 க்டோட் பியாஜ் - பாரிக் காட் லெ,2 டமாடர் - பாரிக் காட் லெ,4 பாரிக் காட் லெ,2 க்டோட் சமச்ச டெல்,1 க்ஹோடா சமச்ச ரை,1 ச்சோட்டா ரம்சம் பௌடர்,1 படா சமச் இமலி கா பெஸ்ட்,1 டஹனி கத்தீ பட்டா,3 டஹானி ர -தரா காட் லே,நமக் - ஸ்வாத் அனுசார்</t>
  </si>
  <si>
    <t>4 brinjals, 2 potatoes, 15 small onions - finely chopped, 2 tomatoes - finely chopped, 4 green chillies - finely chopped, 2 teaspoons oil, 1 teaspoon mustard seeds, 1 teaspoon red chilli powder, 1 tablespoon tamarind paste, 1 sprig curry leaves, 3 sprigs coriander leaves - finely chopped, salt - according to taste</t>
  </si>
  <si>
    <t>To make Kosamali recipe, first cook potatoes and brinjals for 2 whistles. Peel potatoes and brinjals and mash them. Keep aside. Heat oil in a pan. Add mustard seeds and let them crackle. After crackling, add curry leaves and cook for 10 seconds. After 10 seconds, add chopped onions and cook till they become soft. Now add chopped tomatoes, green chilies and cook for 5 minutes. Add red chili powder and mix. Now add brinjals and potatoes. Add water as per your requirement and mix. Add salt, tamarind paste and let it boil. After boiling, turn off the gas and garnish with coriander leaves. Serve Kosamali recipe with rice or ediyappam for lunch.</t>
  </si>
  <si>
    <t xml:space="preserve">கோசமலி ரெசிபி பனான் கே லியே சபேஸ் பஹலே ஆலூ மற்றும் பேங்கன் கோ 2 சிட்டி ஆன தக். ஆலூ மற்றும் வங்கிகள் अलग से रख ले.  ஒரு கதை. அதே போல் ரை டாலே மற்றும் தடகனே தே. பின்தொடர்தல் மற்றும் 10 செகண்ட்ஸ் வரை. 10 செகண்ட்ஸ் பாரிக் கேட் ஹுவே பியாஜ் டேல் மற்றும் உனக்கே நரம் ஹோன். இப்போது கேட் டமாடர், ஹரி மிர்ச் டேல் மற்றும் 5 நிமிடங்களுக்குப் பிறகு. லால் மிர்ச் பவுடர் டாலே மற்றும் மிலா லே. இப்போது வங்கி, ஆலூ டாலே. அபனே அனுசார் பானி டாலே மற்றும் மிலா லே.நமக், இமலி கா பெஸ்ட் டேல் மற்றும் உபலனே தே. உபாலா ஆனே கே பாத், கைஸ் பண்ட் கரேன் மற்றும் ஹரே தானியே சே கார்னிஷ் கரேம். கோசமலி ரெசிபி கோ சாவல் அல்லது ஈடியப்பம் போன்றவற்றைப் பற்றி பேசலாம்.
</t>
  </si>
  <si>
    <t>http://www.archanaskitchen.com/kosamalli-recipe-chettinad-style-brinjal-and-potato-mash-in-hindi</t>
  </si>
  <si>
    <t>Chettinad Vengaya Kosu Recipe - Chettinad Vengaya Kosu Recipe</t>
  </si>
  <si>
    <t>செட்டிநாடு வெங்கயா கோசு ரெசிபி - Chettinad Vengaya Kosu Recipe</t>
  </si>
  <si>
    <t>1 பியாஜ் - பாதலா மற்றும் சீதா காட் லெ,2 டமாடர் - பாரிக் காட் லெ,8 கத்தீ பட்டா,1/2 பட்ச் டெல்,1-1/2 ச்சோடா சம்மச் சவுன்ஃப்,1/2 ச்சோடா சம்மச் ஹல்டி பவுடர்,நமக் - ஸ்வாஸர்,5 மிர்ச்,1/4 கப் நாரியல் - காட் லே,2 டஹனி ஹரா தனியா - பாரிக் காட் லெ,2 டஹானி கரா - தனா</t>
  </si>
  <si>
    <t>1 onion - thinly sliced, 2 tomatoes - finely sliced, 8 curry leaves, 1/2 tbsp sesame oil, 1-1/2 tsp fennel seeds, 1/2 tsp turmeric powder, salt - according to taste, 5 dried red chillies, 1/4 cup coconut - chopped, 2 sprigs coriander leaves - finely sliced, 2 sprigs coriander leaves - finely sliced</t>
  </si>
  <si>
    <t>To make Chettinad Vengaya Kosu Recipe, we will first make the masala. In a pan, add dry red chillies, 3/4th fennel seeds and cook for 1 to 2 minutes. Turn off the gas and let it cool. Now add coconut to this mixture and grind it in a mixer jar. Add some water and grind again. Keep it aside. Now heat sesame oil in a pan. Add fennel seeds, curry leaves and cook for 15 seconds. Now add onion, tomato, turmeric powder, salt and cook till tomatoes become soft. Add 1 cup water, ground masala and cook for 3 to 4 minutes. Turn off the gas and serve. Serve Chettinad Vengaya Kosu with Ghee Roast Dosa or South Indian Biryani for your everyday meal.</t>
  </si>
  <si>
    <t xml:space="preserve">செட்டிநாடு வெங்கையா கோசு ரெசிபி பனானே கே லியே சபேஸ் பஹலே ஹம் மசாலா பனாகே. ஒரு கதையில் சுகி லால் மிர்ச், 3/4 சௌன்ஃப் டேல் மற்றும் 1 முதல் 2 நிமிடங்கள் வரை. கேஸ் நாட் கரென் மற்றும் தண்டா ஹோனே தே. AB இந்த மிஷ்ரண் மென் நாரியல் டேல் மற்றும் மிக்சர் ஜார் மென் இஸ் பீஸ் லே. தோடா சா பானி டாலே மற்றும் ஃபிர் சே பீஸ் லே. अलग से रख ले. இப்போது ஒரு கதை. இதே போல் சவுன்ஃப், கத்தீ பட்டா டேல் மற்றும் 15 செகண்ட்ஸ் தக பக லே.அப் இசமென் ப்யாஜ், த்டா பௌடர், நமக் டாலே மற்றும் டமாடர் போன்றவற்றின் மூலம் அறியப்படுகிறது. 1 கப் பானி, பிசா ஹுவா மசாலா டாலே மற்றும் 3 செ 4 நிமிட தக லெ. गैस बंद करें गरें गैस बंद करें बरोसे. செட்டிநாடு வெங்கயா கோசு கோ கி ரோஸ்ட் டோசா அல்லது தெற்கு பாரதிய கேரியர் கேரியா கானே பற்றி.
</t>
  </si>
  <si>
    <t>http://www.archanaskitchen.com/chettinad-vengaya-kosu-recipe-spicy-curry-from-chettinad-cuisine-in-hindi</t>
  </si>
  <si>
    <t>Chettinad Beans &amp; Cauliflower Fry Recipe (South Indian Stir Fry)</t>
  </si>
  <si>
    <t>செட்டிநாடு பீன்ஸ் &amp; காலிஃபிளவர் பொரியல் செய்முறை (தென்னிந்திய ஸ்டிர் ஃப்ரை)</t>
  </si>
  <si>
    <t>1 காலிஃபிளவர் (கோபி) - பூக்களாக நறுக்கியது, 200 கிராம் பச்சை பீன்ஸ் (பிரஞ்சு பீன்ஸ்) - பொடியாக நறுக்கியது, 1 டீஸ்பூன் கடுகு, 1 டீஸ்பூன் வெள்ளை உளுத்தம் (பிரிக்க), 1 ஸ்பூன் கறிவேப்பிலை, 1 தேக்கரண்டி சிவப்பு மிளகாய் தூள், 1/2 தேக்கரண்டி மஞ்சள் தூள் (ஹால்டி), உப்பு - ருசிக்கேற்ப</t>
  </si>
  <si>
    <t>1 Cauliflower (gobi) - cut into florets,200 grams Green beans (French Beans) - finely chopped,1 teaspoon Mustard seeds,1 teaspoon White Urad Dal (Split),1 sprig Curry leaves,1 teaspoon Red Chilli powder,1/2 teaspoon Turmeric powder (Haldi),Salt - to taste,1 tablespoon Sesame (Gingelly) Oil</t>
  </si>
  <si>
    <t xml:space="preserve">To begin making the Chettinad Beans &amp; Cauliflower Poriyal Recipe, first prepare the vegetables by cutting them in appropriate sizes.Steam the cauliflower and beans along with a little salt in a steamer and cook until just about soft. Dont over steam and overcook the vegetables.Heat a heavy bottomed pan, heat the oil over medium heat; add the mustard seeds, urad dal and allow it to crackle. Wait for the dal to brown until golden.Stir in the curry leaves, chili powder, turmeric powder, and the steamed cauliflower and beans. Toss well until all the ingredients are well combined. Once combined, saute for a couple of more minute, check the salt and spices and serve.Serve the Chettinad Beans &amp; Cauliflower Poriyal along with Drumstick Sambar, Steamed Rice and Appalam for a lunch or dinner.
</t>
  </si>
  <si>
    <t xml:space="preserve">செட்டிநாடு பீன்ஸ் &amp; காலிஃபிளவர் பொரியல் செய்முறையைத் தொடங்க, முதலில் காய்கறிகளை பொருத்தமான அளவுகளில் நறுக்கி தயார் செய்யவும். காலிஃபிளவர் மற்றும் பீன்ஸை சிறிது உப்பு சேர்த்து ஆவியில் வேகவைத்து, மென்மையாகும் வரை சமைக்கவும். நீராவி மற்றும் காய்கறிகளை அதிகமாக வேகவைக்க வேண்டாம். அடி கனமான கடாயை சூடாக்கி, மிதமான தீயில் எண்ணெயை சூடாக்கவும்; கடுகு, உளுத்தம் பருப்பு சேர்த்து வெடிக்க அனுமதிக்கவும். பருப்பு பொன்னிறமாகும் வரை காத்திருக்கவும். கறிவேப்பிலை, மிளகாய் தூள், மஞ்சள் தூள் மற்றும் வேகவைத்த காலிஃபிளவர் மற்றும் பீன்ஸ் சேர்த்து கிளறவும். அனைத்து பொருட்களும் நன்றாக சேரும் வரை நன்கு கிளறவும். ஒன்று சேர்ந்ததும், மேலும் இரண்டு நிமிடம் வதக்கி, உப்பு மற்றும் மசாலாவை சரிபார்த்து பரிமாறவும். செட்டிநாடு பீன்ஸ் &amp; காலிஃபிளவர் பொரியலை முருங்கை சாம்பார், வேகவைத்த சாதம் மற்றும் அப்பளத்துடன் மதிய உணவு அல்லது இரவு உணவாகப் பரிமாறவும்.
</t>
  </si>
  <si>
    <t>http://www.archanaskitchen.com/chettinad-beans-cauliflower-poriyal-recipe-south-indian-stir-fry</t>
  </si>
  <si>
    <t>Chettinad Egg Masala Recipe - Chettinad Style Egg Custard</t>
  </si>
  <si>
    <t>செட்டிநாடு முட்டை மசாலா செய்முறை - செட்டிநாடு ஸ்டைல் ​​முட்டை குழம்பு</t>
  </si>
  <si>
    <t>4 முழு முட்டைகள் - வேகவைத்து பாதியாக நறுக்கியது, 1 கப் வெங்காயம் - மெல்லியதாக நறுக்கியது, 1 தக்காளி - மெல்லியதாக நறுக்கியது, 2 டீஸ்பூன் கொத்தமல்லி தூள் (தானியா), 1 தேக்கரண்டி கரம் மசாலா தூள், 1/2 தேக்கரண்டி சிவப்பு மிளகாய் தூள், 1 இலவங்கப்பட்டை (டால்சினி), 2 கிராம்பு (லாங்), 2 டேபிள்ஸ்பூன், சூரியகாந்தி சுவை, 2 தேக்கரண்டி (தானியா) விதைகள், 4 கிராம்பு பூண்டு, 2 அங்குல இஞ்சி, 3 தேக்கரண்டி புதிய தேங்காய் - துருவியது, 2 தேக்கரண்டி பெருஞ்சீரகம் விதைகள் (சான்ஃப்), 1 தேக்கரண்டி முழு கருப்பு மிளகு, 2 தேக்கரண்டி கசகசா, 1 தேக்கரண்டி சீரகம் (ஜீரா), 1 காய்ந்த மிளகாய்</t>
  </si>
  <si>
    <t>4 Whole Eggs - hard boiled &amp; halved,1 cup Onion - thinly sliced,1 Tomato - thinly sliced,2 teaspoons Coriander Powder (Dhania),1 teaspoon Garam masala powder,1/2 teaspoon Red Chilli powder,1 Cinnamon Stick (Dalchini),2 Cloves (Laung),2 tablespoons Sunflower Oil,Salt - to taste,2 tablespoons Coriander (Dhania) Seeds,4 cloves Garlic,2 inch Ginger,3 tablespoons Fresh coconut - grated,2 teaspoon Fennel seeds (Saunf),1 teaspoon Whole Black Peppercorns,2 teaspoons Poppy seeds,1 teaspoon Cumin seeds (Jeera),1 Dry Red Chilli</t>
  </si>
  <si>
    <t xml:space="preserve">To begin making Chettinad Muttai Masala Recipe, hard boil the eggs in boiling water for 12 minutes. Once cooled, remove the shells and keep aside.Now, dry roast the ingredients listed under the Chettinad masala paste like the coriander seeds, garlic, ginger, coconut, fennel seeds, peppercorns, poppy seeds, cumin seeds and red chill in a Shallow fry pan till the coconut starts to turn brown. Turn off the heat and let the masala cool down.Once cool grind the roasted masala into a smooth paste in a Mixer grinder with a little water and keep aside.Heat oil in a Kadai on medium flame, add the cinnamon stick and cloves and let the spices release its aroma into the oil.Now, add the sliced onions and sauté until it turns translucent. Add the tomatoes and cook until it is well cooked, soft and mushy.Now, add the ground Chettinad masala mix and mix well. Simmer for 5 minutes until the mix is cooked well.Add the coriander powder, red chilli powder, garam masala powder and sauté until the oil separates.Add half a cup of water, season with salt and let it simmer for another 3 minutes.Now, add the halved boiled eggs and turn off the heat. Transfer the Chettinad Muttai Masala into a serving bowl and serve.Garnish with coriander leaves and serve the Chettinad Muttai Masala along with Kerala Parotta and Tomato Onion Cucumber Raita for dinner.
</t>
  </si>
  <si>
    <t xml:space="preserve">செட்டிநாடு முட்டை மசாலா செய்முறையைத் தொடங்க, முட்டைகளை கொதிக்கும் நீரில் 12 நிமிடங்கள் வேகவைக்கவும். ஆறியதும், ஓடுகளை அகற்றி தனியாக வைக்கவும்.இப்போது, ​​செட்டிநாடு மசாலா பேஸ்ட்டின் கீழ் பட்டியலிடப்பட்டுள்ள கொத்தமல்லி விதைகள், பூண்டு, இஞ்சி, தேங்காய், பெருஞ்சீரகம், மிளகுத்தூள், கசகசா, சீரகம் மற்றும் ரெட் சில் போன்றவற்றை ஒரு ஷாலோ ஃப்ரை பாத்திரத்தில் தேங்காய் பழுப்பு நிறமாக மாறும் வரை வறுக்கவும். அடுப்பை அணைத்து, மசாலாவை ஆற விடவும். ஆறியவுடன் வறுத்த மசாலாவை மிக்ஸி கிரைண்டரில் சிறிது தண்ணீர் சேர்த்து மிருதுவான பேஸ்டாக அரைத்து தனியே வைக்கவும். மிதமான தீயில் கடாயில் எண்ணெயைச் சூடாக்கி, இலவங்கப்பட்டை மற்றும் கிராம்புகளைச் சேர்த்து, மசாலாவை அதன் வாசனையை எண்ணெயில் விடவும். தக்காளியைச் சேர்த்து நன்கு வெந்து, மென்மையாகவும், மிருதுவாகவும் வரும் வரை வதக்கவும். இப்போது அரைத்த செட்டிநாடு மசாலா கலவையைச் சேர்த்து நன்கு கலக்கவும். கலவை நன்கு வேகும் வரை 5 நிமிடங்கள் வதக்கவும். கொத்தமல்லி தூள், சிவப்பு மிளகாய் தூள், கரம் மசாலா தூள் சேர்த்து எண்ணெய் பிரியும் வரை வதக்கவும். அரை கப் தண்ணீர் சேர்த்து, உப்பு சேர்த்து மேலும் 3 நிமிடம் கொதிக்க விடவும். இப்போது, ​​பாதியாக வேகவைத்த முட்டைகளை சேர்த்து, தீயை அணைக்கவும். செட்டிநாடு முட்டை மசாலாவை பரிமாறும் பாத்திரத்தில் மாற்றிப் பரிமாறவும். கொத்தமல்லி இலைகளால் அலங்கரித்து, இரவு உணவிற்கு செட்டிநாடு முட்டை மசாலாவை, கேரளா பரோட்டா மற்றும் தக்காளி வெங்காய வெள்ளரிக்காய் ரைத்தாவுடன் பரிமாறவும்.
</t>
  </si>
  <si>
    <t>http://www.archanaskitchen.com/chettinad-muttai-masala-recipe-chettinad-style-egg-curry</t>
  </si>
  <si>
    <t>Eggplant Rolled Yam Kale Kala Gulambu Recipe</t>
  </si>
  <si>
    <t>கத்திரிக்காய் உருளை கிழங்கு கார குழம்பு செய்முறை</t>
  </si>
  <si>
    <t>6 பிரிஞ்சி (பைங்கன் / கத்தரிக்காய்) - க்யூப்ட், 1 உருளைக்கிழங்கு (ஆலு) - க்யூப்ட், 15 சுண்டைக்காய் - பொடியாக நறுக்கியது, 1 தக்காளி - பொடியாக நறுக்கியது, 1 டீஸ்பூன் சாம்பார் பொடி, 1 டீஸ்பூன் சிவப்பு மிளகாய் தூள், 1/4 டீஸ்பூன் மஞ்சள் தூள் (ஹால்டி), 1/2 டீஸ்பூன் உப்பு, 2 டேபிள்ஸ்பூன் தண்ணீர், 2 டீஸ்பூன் தண்ணீர் எண்ணெய், 1/8 டீஸ்பூன் பெருங்காயம் (கீல்), கறிவேப்பிலை - கைப்பிடி, 3 காய்ந்த மிளகாய், 1/4 தேக்கரண்டி மேத்தி விதைகள் (வெந்தய விதைகள்), 1 தேக்கரண்டி கடுகு, 1 தேக்கரண்டி வெள்ளை உளுத்தம் பருப்பு (பிரிக்கவும்)</t>
  </si>
  <si>
    <t>6 Brinjal (Baingan / Eggplant) - cubed,1 Potato (Aloo) - cubed,15 Shallots - finely chopped,1 Tomato - finely chopped,1 teaspoon Sambar Powder,1 teaspoon Red Chilli powder,1/4 teaspoon Turmeric powder (Haldi),1/2 teaspoon Salt,2 1/2 cup Water,Tamarind - lemon sized,2 tablespoon Sunflower Oil,1/8 teaspoon Asafoetida (hing),Curry leaves - handful,3 Dry Red Chilli,1/4 teaspoon Methi Seeds (Fenugreek Seeds),1 teaspoon Mustard seeds,1 teaspoon White Urad Dal (Split)</t>
  </si>
  <si>
    <t xml:space="preserve">To begin the preparation of Kathirikai Urulaikizhanghu Kuzhambhu, in a medium sized pan, heat oil over medium heat. Once the oil is hot, add mustard seeds.Once the mustard seeds splutter, Add the remaining ingredients mentioned under tempering to the oilFry until the urad dal turns slightly brownishAdd chopped onions and cook until they are translucentAdd chopped tomatoes and cook until they become tenderNow, add cubed Brinjals and potato to the mixture in the panAdd sambar powder, chili powder and salt to the mixture. Stir them well so that the vegetables are evenly coated with the spice blend.Cook with the lid covered until brinjals and potato become tender.Heat a ½ cup of water and add tamarind to the hot water. Extract tamarind juice and set asideAdd the extracted tamarind juice to the blend in the pan. Add 2 cups of water to the gravyCook the curry over low heat until Brinjals and Potatoes are cooked well.Simmer the curry till the oil separates from the gravy.Serve the Kathirikai Urulaikizhanghu Kuzhambhu with hot rice and fried pappad
</t>
  </si>
  <si>
    <t xml:space="preserve">கத்திரிக்காய் உருளைக்கிழங்கு குழம்பு தயாரிப்பைத் தொடங்க, நடுத்தர அளவிலான கடாயில், மிதமான தீயில் எண்ணெயை சூடாக்கவும். எண்ணெய் சூடானதும், கடுகு போடவும். கடுகு வதங்கியதும், மீதமுள்ள பொருட்களை எண்ணெயில் போட்டு வதக்கவும் கலவைக்கு. காய்கறிகள் மசாலா கலவையுடன் சமமாக பூசப்படும் வகையில் அவற்றை நன்கு கிளறவும். பிரிஞ்சி மற்றும் உருளைக்கிழங்கு மென்மையாக மாறும் வரை மூடியை மூடி வைத்து சமைக்கவும். ½ கப் தண்ணீரை சூடாக்கி, சூடான நீரில் புளி சேர்க்கவும். புளி சாறு பிரித்தெடுத்து ஒதுக்கி வைக்கவும், பிரித்தெடுத்த புளி சாற்றை கடாயில் உள்ள கலவையில் சேர்க்கவும். கிரேவியில் 2 கப் தண்ணீர் சேர்த்து, பிரிஞ்சி மற்றும் உருளைக்கிழங்கு நன்கு வேகும் வரை கறியை குறைந்த வெப்பத்தில் சமைக்கவும். குழம்பிலிருந்து எண்ணெய் பிரியும் வரை கறியை வேகவைக்கவும். கத்திரிக்காய் உருளைகிழங்கு குழம்பு சூடான சாதம் மற்றும் வறுத்த பப்புடன் பரிமாறவும்.
</t>
  </si>
  <si>
    <t>https://www.archanaskitchen.com/kathirikai-urulaikizhangu-kara-kuzhambhu-recipe</t>
  </si>
  <si>
    <t>Chettinad Beetroot Kuruma Recipe</t>
  </si>
  <si>
    <t>செட்டிநாடு பீட்ரூட் குருமா செய்முறை</t>
  </si>
  <si>
    <t>2 பீட்ரூட் - க்யூப்ஸாக நறுக்கியது, 1/2 கப் பச்சைப் பட்டாணி (மேட்டர்), 1 வெங்காயம் - பொடியாக நறுக்கியது, 1 தக்காளி - பொடியாக நறுக்கியது, 1/2 டேபிள் ஸ்பூன் இஞ்சி - விழுது, 1/2 டேபிள் ஸ்பூன் பூண்டு - விழுது, 1/4 கப் தயிர் (தாஹி / தயிர்), 1/2 தேக்கரண்டி மஞ்சள் தூள் (ஹால்டி), 1 டீஸ்பூன் பச்சைத் தூள் (ஹால்டி 1), இலைகள், 2 டீஸ்பூன் கொத்தமல்லி (தானியா) இலைகள் - அலங்காரத்திற்காக பொடியாக நறுக்கியது, 1 டேபிள் ஸ்பூன் நெய் - அல்லது எண்ணெய், உப்பு - ருசிக்கேற்ப, 3 கிராம்பு (லாங்), 2 ஏலக்காய் (ஏலக்காய்) காய்கள் / விதைகள், 1 இலவங்கப்பட்டை (டால்சினி), 1 நட்சத்திர சோம்பு, 3 காய்ந்த மிளகாய் (2 டேபிள்ஸ்பூன் டிரை மிளகாய், 2 தேக்கரண்டி) விதைகள், 1 தேக்கரண்டி சீரகம் (ஜீரா), 1 தேக்கரண்டி பெருஞ்சீரகம் விதைகள் (சான்ஃப்)</t>
  </si>
  <si>
    <t>2 Beetroots - cut into cubes,1/2 cup Green peas (Matar),1 Onion - finely chopped,1 Tomato - finely chopped,1/2 tablespoon Ginger - paste,1/2 tablespoon Garlic - paste,1/4 cup Curd (Dahi / Yogurt),1/2 teaspoon Turmeric powder (Haldi),1 Bay leaf (tej patta),1 sprig Curry leaves,2 teaspoons Coriander (Dhania) Leaves - finely chopped for garnish,1 tablespoon Ghee - or oil,Salt - to taste,3 Cloves (Laung),2 Cardamom (Elaichi) Pods/Seeds,1 Cinnamon Stick (Dalchini),1 Star anise,3 Dry Red Chillies,2 tablespoons Cashew nuts,2 tablespoons Coriander (Dhania) Seeds,1 teaspoon Cumin seeds (Jeera),1 teaspoon Fennel seeds (Saunf)</t>
  </si>
  <si>
    <t xml:space="preserve">To begin making Chettinad Beetroot Kurma Recipe, heat a pan and dry roast all the ingredients mentioned in the Chettinad masala table except coconut till it gets fragrant and keep aside.Once its cool, grind it along with the coconut to a smooth paste adding little water using a mixer grinder and keep aside.Heat ghee in the same pan on medium flame, add the bay leaf and chopped onions and fry until it turns translucent.Add the curry leaves, ginger garlic paste and turmeric powder and saute until the raw smell of the ginger-garlic goes away.Add the beetroot cubes and saute for a minute.Add the ground Chettinad masala paste, curd, season with salt, mix well and let the gravy simmer for 10 minutes with the lid on.Add the green peas, tomatoes, a cup of water if the gravy is too thick and simmer for another 10 minutes and switch off the flame.Serve the delicious Chettinad Beetroot Kurma Recipe along with Whole Wheat Lachha Paratha and Boondi Raita for a weekday lunch or dinner.
</t>
  </si>
  <si>
    <t xml:space="preserve">செட்டிநாடு பீட்ரூட் குருமா செய்முறையைத் தொடங்க, ஒரு கடாயை சூடாக்கி, தேங்காய்த் தவிர, செட்டிநாடு மசாலா டேபிளில் உள்ள அனைத்து பொருட்களையும் நன்கு வாசனை வரும் வரை வறுத்து, தனியே வைக்கவும். ஆறியவுடன், மிக்ஸி கிரைண்டரைப் பயன்படுத்தி சிறிது தண்ணீர் சேர்த்து மிருதுவான பேஸ்ட்டாக தேங்காய்த் துருவல் சேர்த்து அரைத்து வைக்கவும். கசியும் வரை வதக்கவும். கறிவேப்பிலை, இஞ்சி பூண்டு விழுது மற்றும் மஞ்சள் தூள் சேர்த்து இஞ்சி-பூண்டு பச்சை வாசனை போகும் வரை வதக்கவும். பீட்ரூட் க்யூப்ஸ் சேர்த்து ஒரு நிமிடம் வதக்கவும். அரைத்த செட்டிநாடு மசாலா விழுது, தயிர், உப்பு சேர்த்து, 10 நிமிடம் நன்கு கிளறவும். பச்சைப் பட்டாணி, தக்காளி, ஒரு கப் தண்ணீர், குழம்பு மிகவும் கெட்டியாக இருந்தால், மேலும் 10 நிமிடம் வதக்கி, தீயை அணைக்கவும். சுவையான செட்டிநாடு பீட்ரூட் குர்மா ரெசிபியுடன் முழு கோதுமை லச்சா பராத்தா மற்றும் பூண்டி ரைதா வுடன் ஒரு வார நாள் மதிய உணவு அல்லது இரவு உணவிற்குப் பரிமாறவும்.
</t>
  </si>
  <si>
    <t>https://www.archanaskitchen.com/chettinad-beetroot-kurma-recipe</t>
  </si>
  <si>
    <t>Chettinad Egg Masala Recipe - Chettinad Egg Masala</t>
  </si>
  <si>
    <t>செட்டிநாடு முட்டை மசாலா ரெசிபி - செட்டிநாடு முட்டை மசாலா</t>
  </si>
  <si>
    <t>4 அண்டே - உபாலகர்,1 கப் ப்யாஜ் - படலா காட் லெ,1 டமாடர் - படல காட் லே,2 சத்தம் பௌடர்,1 ச்சோடா சமச்ச கரம் மசாலா பவுடர்,1/2 க்டோடா சமச்ச லால் மிர்ட,1 சீன,2 லாங்,2 படே சமச் டெல்,நமக் - ஸ்வாத் அனுசார்,2 பட சமச் 4 லஹசுன்,2 அங்குல அதரக்,3 படே சமச்ச நாரியல் - கஸ் லெ,2 வாக்கு சமச்ச சௌ,1 சமச்ச பூரி காளி மிர்ச்,2 சட்டே சமச்ச கஸ் கஸ்,1 சோடா சமச்சரகா,1 ஜலச மிர்ச்</t>
  </si>
  <si>
    <t>4 eggs - boiled, 1 cup onion - finely chopped, 1 tomato - finely chopped, 2 tsp coriander powder, 1 tsp garam masala powder, 1/2 tsp red chilli powder, 1 cinnamon stick, 2 cloves, 2 tbsp oil, salt - according to taste, 2 tbsp coriander seeds, 4 cloves garlic, 2 inch ginger, 3 tbsp coconut - grated, 2 tsp fennel seeds, 1 tsp whole black pepper, 2 tsp poppy seeds, 1 tsp cumin seeds, 1 dried red chilli</t>
  </si>
  <si>
    <t>To make Chettinad Muttai Masala, first take eggs in a saucepan along with water. Cook for 10 to 12 minutes, remove the peel and keep aside. Now heat a pan. Add coriander seeds, garlic, ginger, coconut, fennel seeds, black pepper, poppy seeds, cumin seeds and dried red chillies. Cook for 2 to 3 minutes. After it cools down, put it in a mixer grinder along with some water and make a paste. Your Chettinad Masala is ready. Heat oil in a pan. Add cinnamon, cloves and cook for 10 seconds. Now add onions and cook till the onions become soft. After the onions become soft, add tomatoes and cook till they become soft. Now add grinded Chettinad Masala and let it cook for 5 minutes. After 5 minutes add coriander powder, red chili powder, garam masala powder and cook for 2 to 3 minutes. Add 1/2 cup water, salt and cook for 3 minutes. Halve the eggs and add it to the gravy. Cook for another 1 minute and garnish with coriander leaves. Serve Chettinad Muttai Masala with Jeera Rice/ Tawa Paratha and Kachumber Salad for dinner.</t>
  </si>
  <si>
    <t xml:space="preserve">செட்டிநாடு முட்டை மசாலா பொருட்கள் 10 செ 12 நிமிடம் பகாயே, छिलका निकाले மற்றும் अलग से रख ले. AB ஒரு கதை அதே போல் தானியே கே பீஜ், லஹசுன், அதரக், நாரியல், சௌஃப், காலி மிர்ச், கஸ் கஸ், ஜீரஸ் காஸ் டாலே. 2 செப்டம்பர் 3 நிமிடங்களுக்குப் பிறகு. சாத் டாலே மற்றும் பெஸ்ட் பனா லே. आपका चेटिनाड मसाल ैयार है.ஒரு கதையில் டெல் கரம் கரேம் அதே போல் டால் சீனும், லாங் டேல் மற்றும் 10 செகண்ட்ஸ் ஆகியவை அடங்கும். இப்போது ப்யாஜ் டேல் மற்றும் ப்யாஜ் பற்றி பேசலாம். ப்யாஜ் கேன் நரம் ஹோனே பேட் இஸ்மேம் டமாடர் டேல் மற்றும் உனக்கே நரம் ஹோனே தக் பகா லே. இப்போது பிசா ஹுவா செடிநாட் மசாலா டாலே மற்றும் 5 நிமிடங்களுக்குப் பிறகு. 2 பகா லெ.1/2 கப் பானி, நமக் டேல் மற்றும் 3 நிமிடங்களுக்கு பகா லே. மேலும் ஒரு நிமிடம் செட்டிநாடு முட்டை மசாலா கோ ஜீரா ரைஸ்/ தவா பராத்தா மற்றும் கசும்பர் சாலட் போன்ற உணவு வகைகள் பரோஸ்.
</t>
  </si>
  <si>
    <t>https://www.archanaskitchen.com/chettinad-muttai-masala-recipe-chettinad-style-egg-curry-in-hindi</t>
  </si>
  <si>
    <t>Chettinad Eggplant Chops Recipe - Eggplant gravy for biryani</t>
  </si>
  <si>
    <t>செட்டிநாடு கத்திரிக்காய் சாப்ஸ் செய்முறை - பிரியாணிக்கு கத்தரிக்காய் குழம்பு</t>
  </si>
  <si>
    <t>5 சிறிய பிரிஞ்சி (பைங்கன் / கத்திரிக்காய்), 1/2 டீஸ்பூன் மஞ்சள் தூள் (ஹால்டி), 2 தேக்கரண்டி கரம் மசாலா தூள், 2 தேக்கரண்டி சிவப்பு மிளகாய் தூள், 2 தேக்கரண்டி வெல்லம், 1 தேக்கரண்டி புளி விழுது, 2 தக்காளி - பொடியாக நறுக்கியது, உப்பு - சுவைக்கேற்ப, 2 தேக்கரண்டி உளுந்து, 2 தேக்கரண்டி உளுந்து, 2 தேக்கரண்டி (ஜீரா), 1 இன்ச் இஞ்சி, 6 கிராம்பு பூண்டு, 2 வெங்காயம் - நறுக்கியது, 2 பச்சை மிளகாய், 1 தேக்கரண்டி நல்லெண்ணெய், 1 தேக்கரண்டி கடுகு, 1 சிட்டிகை சாதம் (கீல்), 2 துளிர் கறிவேப்பிலை</t>
  </si>
  <si>
    <t>5 Small Brinjal (Baingan / Eggplant),1/2 teaspoon Turmeric powder (Haldi),2 teaspoons Garam masala powder,2 teaspoons Red Chilli powder,2 teaspoons Jaggery,1 tablespoon Tamarind Paste,2 Tomatoes - finely chopped,Salt - to taste,2 tablespoons Black sesame seeds,2 tablespoons Raw Peanuts (Moongphali),2 teaspoon Cumin seeds (Jeera),1 inch Ginger,6 cloves Garlic,2 Onions - sliced,2 Green Chillies,1 tablespoon Gingelly oil,1 teaspoon Mustard seeds,1 pinch Asafoetida (hing),2 sprig Curry leaves</t>
  </si>
  <si>
    <t xml:space="preserve">To begin making the Chettinad Kathirikai Chops, wash and cut the brinjals into wedges and soak it a bowl of salted water. In a small pan on medium flame, dry roast the cumin seeds, black sesame seeds and peanuts until fragrant. Turn off the flame and allow it to cool.In a mixer jar, grind the roasted cumin seeds, sesame seeds, peanuts, ginger, garlic, green chilies and onions into a fine paste using little water. Set aside.Moving ahead, in a heavy bottomed pan, heat oil on medium flame, add the mustard seeds and let them crackleAdd asafoetida, and curry leaves. Saute for a few minutes until the curry leaves stop crackling. Add the ground masala, turmeric powder, garam masala powder, red chilli powder and salt. Mix well. Add the drained brinjal wedges, tomatoes, cover and cook on low flame for 2 minutes.Open the lid, add the jaggery, tamarind pulp, half a cup of water and bring to a boil. Adjust water to the required consistency. Cover and cook on low flame for 12-15 minutes, until the Brinjals are completely cooked and begin to become mushy. Turn off the flame. Serve Chettinad Kathirikai Chops along with Hyderabadi Biryani With Basmati Rice (Mutton &amp; Chicken) or Ambur Star Chicken Biryani Recipe and Sweet &amp; Spicy Coriander Tadka Raita for a complete Biryani meal.
</t>
  </si>
  <si>
    <t xml:space="preserve">செட்டிநாடு கத்திரிக்காய் சாப்ஸ் செய்ய ஆரம்பிக்க, கத்தரிக்காயைக் கழுவி, குடைமிளகாய் நறுக்கி, ஒரு கிண்ணம் உப்பு நீரில் ஊற வைக்கவும். மிதமான தீயில் ஒரு சிறிய கடாயில், சீரகம், கருப்பு எள் மற்றும் வேர்க்கடலையை வாசனை வரும் வரை வறுக்கவும். அடுப்பை அணைத்து, ஆற விடவும். மிக்சி ஜாரில் வறுத்த சீரகம், தனியா, வேர்க்கடலை, இஞ்சி, பூண்டு, பச்சை மிளகாய் மற்றும் வெங்காயத்தை சிறிது தண்ணீர் சேர்த்து நன்றாக விழுதாக அரைக்கவும். ஒரு அடி கனமான கடாயில், மிதமான தீயில் எண்ணெய் ஊற்றி கடுகு தாளித்து, பெருங்காயம், மற்றும் கறிவேப்பிலை சேர்க்கவும். கறிவேப்பிலை வெடிப்பதை நிறுத்தும் வரை சில நிமிடங்கள் வதக்கவும். அரைத்த மசாலா, மஞ்சள் தூள், கரம் மசாலா தூள், சிவப்பு மிளகாய் தூள் மற்றும் உப்பு சேர்க்கவும். நன்றாக கலக்கவும். வடிகட்டிய பிரிஞ்சி குடைமிளகாய், தக்காளி சேர்த்து, மூடி 2 நிமிடம் குறைந்த தீயில் சமைக்கவும். மூடியைத் திறந்து, வெல்லம், புளி கூழ், அரை கப் தண்ணீர் சேர்த்து கொதிக்க வைக்கவும். தேவையான நிலைத்தன்மைக்கு தண்ணீரை சரிசெய்யவும். 12-15 நிமிடங்களுக்கு குறைந்த தீயில் மூடி வைத்து வேகவைக்கவும், பிரிஞ்சி முழுவதுமாக சமைத்து, மிருதுவாக மாறும் வரை. தீயை அணைக்கவும். செட்டிநாடு கத்திரிக்காய் சாப்ஸை ஹைதராபாத் பிரியாணியுடன் பாஸ்மதி அரிசியுடன் (மட்டன் &amp; சிக்கன்) அல்லது ஆம்பூர் ஸ்டார் சிக்கன் பிரியாணி ரெசிபி மற்றும் ஸ்வீட் &amp; காரமான கொத்தமல்லி தட்கா ரைதா உடன் பிரியாணி உணவாக பரிமாறவும்.
</t>
  </si>
  <si>
    <t>https://www.archanaskitchen.com/chettinad-kathirikai-chops-recipe-brinjal-curry-for-biryanis</t>
  </si>
  <si>
    <t>Chettinad Style Kalimirch Gobi Recipe - Cauliflower Pepper Fry Recipe</t>
  </si>
  <si>
    <t>செட்டிநாடு ஸ்டைல் ​​காளிமிர்ச் கோபி ரெசிபி - காலிஃபிளவர் மிளகு பொரியல் செய்முறை</t>
  </si>
  <si>
    <t>2 கப் கோபி - காட் லே,1 ச்டோடா சம்மச் டெல்,1/2 க்டோடா சம்மச் ராய்,ஹிஞ்ச் - भट தஹனி கத்தீ பட்டா,1 ச்சோடா சம்மச் ஹல்டி பௌடர்,2 க்டோட் சம்மச்சா, 1 ஜீரா சம்மச் பூரி காளி மிர்ச்,2 சுகி லால் மிர்ச்,நமக் - ஸ்வாத் அனுசார்</t>
  </si>
  <si>
    <t>2 cups cauliflower - chopped, 1 tsp oil, 1/2 tsp mustard seeds, a pinch of asafoetida, 2 sprigs of curry leaves, 1 tsp turmeric powder, 2 tsp cumin seeds, 1 tsp whole black pepper, 2 dried red chillies, salt - according to taste</t>
  </si>
  <si>
    <t>To make Chettinad Style Kali Mirch Gobi Recipe, first heat oil in a pan. Add mustard seeds and let them crackle. After the mustard seeds crackle, add asafoetida, curry leaves and cook for 10 seconds. Add gobi and mix well. After 1 minute add turmeric powder, salt and mix well. Sprinkle some water, cover the pan and cook for 10 minutes. Meanwhile, in a mixer grinder, add cumin seeds, black pepper, dry red chillies and grind them. After 10 minutes, add this powder to the curry and mix well. Cook for 2 minutes, turn off the gas and serve. Serve Chettinad Style Kali Mirch Gobi Recipe with Lobia Sambar, Rice and Papad for lunch. You can also pack it in your lunch box along with Tawa Paratha.</t>
  </si>
  <si>
    <t xml:space="preserve">செட்டிநாடு ஸ்டைல் ​​காளிமிர்ச் கோபி ரெசிபி பனானே பற்றி கரம் கரேன். அதே போல் ரை டாலே மற்றும் தடகனே தே.ராய் கே தடகனே போன்ற பாடல்கள் ஹிங், கதா 0 பதம் செகண்ட்ஸ் பற்றி இப்போது கோபி டாலே மற்றும் அச்சி தரஹ் சே மிலா லே. 1 நிமிடம் பாத ஹல்டி பௌடர், நமக் டாலே மற்றும் மிலா லே. தோடா பானி ஷிட்கே, கதாயி கோ ட்கே மற்றும் 10 நிமிடங்களுக்குப் பிறகு லே.இஸ் பிச், கிரைண்டர் மென் ஜீரா, காளி மிர்ச், சுகி லால் மிர்ச் டேல் மற்றும் பீஸ் லே. 10 நிமிடங்களில் இந்த பௌடர் கோ சப்ஜியில் டாலே மற்றும் அச்சிறியது போன்றது. இரண்டு நிமிடங்கள் செட்டிநாடு ஸ்டைல் ​​காளிமிர்ச் கோபி ரெசிபி கோ லோபியா சாம்பர், சாவல் பௌட் கானே பற்றி. நீங்கள் இந்த லாஞ்ச் பெட்டிகளில் இருந்து பிக் பேக் செய்ய வேண்டும்.
</t>
  </si>
  <si>
    <t>https://www.archanaskitchen.com/cauliflower-pepper-fry-recipe-chettinad-style-in-hindi</t>
  </si>
  <si>
    <t>Chettinad Style Pulyokare Kojju Recipe</t>
  </si>
  <si>
    <t>செட்டிநாடு ஸ்டைல் ​​புளியோகரே கொஜ்ஜு ரெசிபி</t>
  </si>
  <si>
    <t>12 காய்ந்த மிளகாய் - (அவற்றில் பாதியை தாளிக்க வைக்கவும்), 3 தேக்கரண்டி முழு கருப்பு மிளகு, 6 ​​தேக்கரண்டி சீரகம் (ஜீரா), 1/2 கப் சனா பருப்பு (பெங்கால் பருப்பு), 1/4 கப் வெள்ளை உளுத்தம் பருப்பு (பிரிக்க), 1/2 கப் எள் (துருவல்), 1 கப் துருவிய தேங்காய் (கோப்ரா) 1 கப். இலைகள், 1/2 டீஸ்பூன் சாதத்தை (கீல்), 1/2 கப் வெல்லம், 1/4 கப் புளி விழுது - (அல்லது ஊறவைத்த புளி கூழ் - 1/2 கப்), 1/2 கப் வறுத்த வேர்க்கடலை (மூங்பாலி), 1-1/2 கப் சூரியகாந்தி எண்ணெய்</t>
  </si>
  <si>
    <t>12 Dry Red Chillies - (keep aside half of them for seasoning),3 tablespoons Whole Black Peppercorns,6 tablespoons Cumin seeds (Jeera),1/2 cup Chana dal (Bengal Gram Dal),1/4 cup White Urad Dal (Split),1/2 cup Sesame seeds (Til seeds),1 cup Dry coconut (kopra) - grated,1 teaspoon Mustard seeds,20 Curry leaves,1/2 teaspoon Asafoetida (hing),1/2 cup Jaggery,1/4 cup Tamarind Paste - (Or Soaked tamarind pulp - 1/2 cup),1/2 cup Roasted Peanuts (Moongphali),1-1/2 cups Sunflower Oil</t>
  </si>
  <si>
    <t xml:space="preserve">To begin making Chettinad Style Puliyogare Gojju Recipe, get prep with all the ingredients mentioned and keep them handy.In a kadai, dry roast each of the ingredients individually one at a time, on a low heat - Urad Dal, Chana Dal - both until slightly brown, black pepper, Cumin seeds, Red Chillies a bit until fragrant.Allow to cool by spreading them on a large plate. Once cooled, grind all the above dry roasted ingredients by using a mixer grinder. Set aside.Next dry roast these ingredients: Sesame seeds, Dry coconut. Coarsely grind both of these ingredients and mix it with the ground spices you prepared in mixer earlier.In an aluminium vessel, or a thick bottomed Kadai, heat about 2 cups of water, add jaggery, tamarind pulp, salt to taste and bring to a boil. Check on the tangy v/s sweet admixture of flavours. Adjust as per requirement by adding in more jaggery/tamarind pulp - as this is the mixture that gives the rice its unique flavour.Allow to cool. Once the jaggery - tamarind mixture cools down add the ground dal spice &amp; coconut powder and stir well to form a nice thick semi dry dough like consistency. Set aside.In a kadai/wok, heat oil, add in the mustard seeds to splutter, curry leaves &amp; dry red chillies.Add the groundnuts and fry for about 2-3 minutes on a low flame.To the above mixture, finally, add asafoetida/ hing powder.While it's still hot transfer it into the kadai in which is the jaggery tamarind and spice powder mixture is resting. Stir well so that the oil and tempered spices coat the overall mixture and help in preserving it for a longer time.Chettinad Style Puliyogare Gojju Recipe is ready, you can store this in an air tight container in a refrigerator for weeks together.Just take a few table spoons of the gojju and mix it with cooked plain rice, as and when you want to relish this tangy goodness.Serve Chettinad Style Puliyogare Gojju Recipe with Aama Vadai, or Akki Peni Sandige for breakfast or lunch.
</t>
  </si>
  <si>
    <t xml:space="preserve">செட்டிநாடு ஸ்டைல் ​​புளியோகரே கோஜ்ஜு ரெசிபியை செய்யத் தொடங்க, குறிப்பிட்டுள்ள அனைத்து பொருட்களையும் தயார் செய்து, கைவசம் வைத்துக்கொள்ளவும். ஒரு கடாயில், ஒவ்வொரு பொருட்களையும் தனித்தனியாக ஒரு நேரத்தில், குறைந்த வெப்பத்தில் - உளுத்தம் பருப்பு, சனா பருப்பு - இரண்டையும் சிறிது பழுப்பு நிறமாக, கருப்பு மிளகு, சீரகம், சிவப்பு மிளகாய் ஆகியவற்றை சிறிது பெரிய தட்டில் பரப்பவும். ஆறியவுடன், மேலே உள்ள உலர்ந்த வறுத்த பொருட்கள் அனைத்தையும் மிக்ஸி கிரைண்டரைப் பயன்படுத்தி அரைக்கவும். ஒதுக்கி வைக்கவும்.அடுத்து இந்த பொருட்களை வறுக்கவும்: எள், காய்ந்த தேங்காய். இந்த இரண்டு பொருட்களையும் கரடுமுரடாக அரைத்து, முன்பு மிக்சியில் நீங்கள் தயாரித்த மசாலாப் பொருட்களுடன் கலக்கவும். ஒரு அலுமினிய பாத்திரத்தில் அல்லது ஒரு கெட்டியான கடாயில், சுமார் 2 கப் தண்ணீரை சூடாக்கி, வெல்லம், புளி கூழ், சுவைக்கு உப்பு சேர்த்து கொதிக்க வைக்கவும். சுவைகளின் கசப்பான v/s இனிப்பு கலவையைச் சரிபார்க்கவும். மேலும் வெல்லம்/புளி கூழ் சேர்த்து தேவைக்கேற்ப சரிசெய்யவும் - இது அரிசிக்கு தனித்துவமான சுவையைத் தரும் கலவையாகும். குளிர்விக்க அனுமதிக்கவும். வெல்லம் - புளி கலவை ஆறியவுடன், அரைத்த பருப்பு மசாலா மற்றும் தேங்காய்த் தூள் சேர்த்து நன்கு கிளறி, கெட்டியான அரை உலர்ந்த மாவை நிலைத்தன்மையைப் போல் உருவாக்கவும். ஒரு கடாயில் / வாணலியில் எண்ணெயை சூடாக்கி, கடுகு, கறிவேப்பிலை மற்றும் காய்ந்த மிளகாய் சேர்க்கவும். நிலக்கடலையை சேர்த்து 2-3 நிமிடம் சிறிய தீயில் 2-3 நிமிடங்கள் வறுக்கவும். மேலே உள்ள கலவையில், இறுதியாக, சாதம் / கீல் தூள் சேர்க்கவும். சூடாக இருக்கும் போது, ​​​​கடாய் மற்றும் மசாலா கலவையில் மாற்றவும். எண்ணெய் மற்றும் பதப்படுத்தப்பட்ட மசாலா கலவையை நன்றாகக் கிளறவும், மேலும் நீண்ட நேரம் பாதுகாக்க உதவும். செட்டிநாடு ஸ்டைல் ​​புளியோகரே கோஜ்ஜு ரெசிபி தயார், நீங்கள் இதை குளிர்சாதன பெட்டியில் வாரங்களுக்கு காற்று புகாத கொள்கலனில் சேமிக்கலாம். செட்டிநாடு ஸ்டைல் ​​புளியோகரே கொஜ்ஜு ரெசிபியை ஆமா வடை அல்லது அக்கி பேணி சண்டிகேயுடன் காலை உணவு அல்லது மதிய உணவாக பரிமாறவும்.
</t>
  </si>
  <si>
    <t>https://www.archanaskitchen.com/chettinad-style-puliyogare-gojju-recipe</t>
  </si>
  <si>
    <t>Eggplant Garlic Pretzel Recipe - Fry eggplant with garlic in South Indian style</t>
  </si>
  <si>
    <t>கத்திரிக்காய் பூண்டு பிரட்டல் செய்முறை - தென்னிந்திய பாணியில் கத்தரிக்காயை பூண்டுடன் வறுக்கவும்</t>
  </si>
  <si>
    <t>500 கிராம் நீளமான பச்சைக் கத்தரிக்காய் - நீளமாக நறுக்கியது, 1 வெங்காயம் - பொடியாக நறுக்கியது, 12 பல் பூண்டு - நீளவாக்கில் பாதியாக நறுக்கியது, 1 தக்காளி - பொடியாக நறுக்கியது, 1/2 டீஸ்பூன் மஞ்சள் தூள் (ஹால்டி), 1 டேபிள் ஸ்பூன் சாம்பார் பொடி, உப்பு - ருசிக்கேற்ப, 2 டேபிள் ஸ்பூன் சூரியகாந்தி எண்ணெய், 1 தேக்கரண்டி கடுக்காய், 1 தேக்கரண்டி அசாஃபோடிடா (ஹிங்), 1 துளிர் கறிவேப்பிலை, 1 காய்ந்த மிளகாய்</t>
  </si>
  <si>
    <t>500 grams Long Green Brinjal - cut into long strips,1 Onion - finely chopped,12 cloves Garlic - cut lengthwise into half,1 Tomato - finely chopped,1/2 teaspoon Turmeric powder (Haldi),1 tablespoon Sambar Powder,Salt - to taste,2 tablespoons Sunflower Oil,1 teaspoon Mustard seeds,1 teaspoon White Urad Dal (Split),1 pinch SSP Asafoetida (Hing),1 sprig Curry leaves,1 Dry Red Chilli</t>
  </si>
  <si>
    <t xml:space="preserve">To begin making Kathirikai Poondu Pirattal Recipe , chop the brinjals vertically and place them in a bowl filled with salt water to avoid oxidation. Heat oil in a Heavy bottomed pan over medium heat, add mustard seeds and urad dal and let it splutter and the dal to turn golden brown.To this add the hing, curry leaves and dried red chilli and allow it to roast for a few seconds.Next add the garlic and onions and fry until it turns into a light brown colour. This will take about a minute or so. Once done, add the tomatoes and cook until soft.Once the tomatoes are soft, add the brinjals and season with salt. Sprinkle with some water and cook the brinjals on a low heat with the pan covered with a lid. It will take around 10 minutes.Once the brinjals are cooked, add the turmeric powder and sambar powder and stir well. Let the Kathirikai Poondu Pirattal cook for another 3-4 minutes, occasionally keep stirring in between and switch off the flame. Check the salt and seasonings and adjust according to taste.Once done, transfer the Kathirikai Poondu Pirattal to a serving bowl and serve hot.Serve the Kathirikai Poondu Pirattal Recipe along with Steamed Rice, Chow Chow Kootu and Village Style Pepper Rasam along with Sabudana fryums to make an interesting Chettinad cuisine influenced Sunday lunch.
</t>
  </si>
  <si>
    <t xml:space="preserve">கத்திரிக்காய் பூண்டு பிரட்டல் செய்முறையைத் தொடங்க, கத்தரிக்காயை செங்குத்தாக நறுக்கி, ஆக்ஸிஜனேற்றத்தைத் தவிர்க்க உப்பு நீர் நிரப்பப்பட்ட பாத்திரத்தில் வைக்கவும். அடி கனமான கடாயில் மிதமான சூட்டில் எண்ணெயை சூடாக்கி, கடுகு மற்றும் உளுத்தம்பருப்பு சேர்த்து, துருவல் மற்றும் உளுத்தம் பருப்பை பொன்னிறமாக மாற்றவும். இதனுடன் கீல், கறிவேப்பிலை மற்றும் காய்ந்த மிளகாய் சேர்த்து சில நொடிகள் வறுக்கவும். அடுத்து பூண்டு மற்றும் வெங்காயம் சேர்த்து வெளிர் பழுப்பு நிறமாக மாறும் வரை வதக்கவும். இதற்கு ஒரு நிமிடம் அல்லது அதற்கு மேல் ஆகும். வதங்கியதும், தக்காளியைச் சேர்த்து மென்மையாகும் வரை வதக்கவும்.தக்காளி மென்மையாக வந்ததும், பிரிஞ்சியைச் சேர்த்து, உப்பு சேர்த்துப் பொடிக்கவும். சிறிது தண்ணீர் தெளித்து, கடாயை மூடி வைத்து குறைந்த தீயில் பிரிஞ்சியை சமைக்கவும். இது சுமார் 10 நிமிடங்கள் எடுக்கும். பிரிஞ்சிகள் வெந்ததும், மஞ்சள் தூள் மற்றும் சாம்பார் தூள் சேர்த்து நன்கு கிளறவும். கத்திரிக்காய் பூண்டு பிரட்டலை மேலும் 3-4 நிமிடங்கள் சமைக்கவும், இடையிடையே கிளறிக் கொண்டே தீயை அணைக்கவும். உப்பு மற்றும் மசாலாப் பொருட்களைச் சரிபார்த்து, சுவைக்கேற்ப சரிசெய்யவும். முடிந்ததும், கத்திரிகைப் பூண்டுப் பிரட்டலைப் பரிமாறும் கிண்ணத்திற்கு மாற்றி, சூடாகப் பரிமாறவும். கத்திரிக்காய்ப் பூண்டுப் பிரட்டல் செய்முறையை வேகவைத்த சாதம், சௌ சௌ கூத்து மற்றும் கிராமத்து ஸ்டைல் ​​மிளகு ரசம் சேர்க்கையுடன் சேர்த்து சுவாரஸ்யமாக சேர்க்க அடனா ஞாயிறு மதிய உணவு.
</t>
  </si>
  <si>
    <t>http://www.archanaskitchen.com/kathirikai-poondu-pirattal-recipe-south-indian-style-brinjal-stir-fry-with-garlic</t>
  </si>
  <si>
    <t>Chettinad Gouni Rice Sweet Recipe (Black Rice Pudding)</t>
  </si>
  <si>
    <t>செட்டிநாடு கவுனி அரிசி இனிப்பு செய்முறை (கருப்பு அரிசி புட்டு)</t>
  </si>
  <si>
    <t>1 கப் கருப்பு அரிசி, 3 கப் தண்ணீர், 1/2 கப் பனை சர்க்கரை - அல்லது வெல்லம், 1/2 டீஸ்பூன் ஏலக்காய் தூள் (எலச்சி), 1/2 கப் புதிய தேங்காய் - துருவிய, 1 தேக்கரண்டி நெய்</t>
  </si>
  <si>
    <t>1 cup Black Rice,3 cups Water,1/2 cup Palm sugar - or jaggery,1/2 teaspoon Cardamom Powder (Elaichi),1/2 cup Fresh coconut - grated,1 teaspoon Ghee</t>
  </si>
  <si>
    <t xml:space="preserve">To begin making the Chettinad Kavuni Arisi Sweet recipe, wash the rice and soak adding lots of water for about 8 hours or overnight.Drain the water and add the rice to a pressure cooker. Pour 3 cups of water to the rice, drained water can also be used.Pressure cook for 5 to 6 whistles. Once the pressure seizes, open the lid of cooker.Add palm sugar or jaggery along with cardamom powder to the rice. Mix and keep cooking in medium flame by mashing with a ladle.Add grated coconut to it and mix well. Cook until it becomes thick.Remove from flame and add in ghee. Mix and serve warm.Serve Chettinad Kavuni Arisi Sweet after your simple meal of Vegetable Sambar, Steamed Rice and Elai Vadam on a weekday.
</t>
  </si>
  <si>
    <t xml:space="preserve">செட்டிநாடு கவுனி அரிசி ஸ்வீட் செய்முறையைத் தொடங்க, அரிசியைக் கழுவி, நிறைய தண்ணீர் சேர்த்து சுமார் 8 மணிநேரம் அல்லது இரவு முழுவதும் ஊறவைக்கவும். தண்ணீரை வடிகட்டி, அரிசியை பிரஷர் குக்கரில் சேர்க்கவும். அரிசிக்கு 3 கப் தண்ணீர் ஊற்றவும், வடிகட்டிய தண்ணீரையும் பயன்படுத்தலாம். 5 முதல் 6 விசில் வரை பிரஷர் குக் செய்யவும். அழுத்தம் குறைந்தவுடன், குக்கரின் மூடியைத் திறக்கவும். அரிசியில் ஏலக்காய் பொடியுடன் பனை சர்க்கரை அல்லது வெல்லம் சேர்க்கவும். ஒரு கரண்டியால் மசித்து, மிதமான தீயில் வேகவைக்கவும். அதனுடன் துருவிய தேங்காய் சேர்த்து நன்கு கலக்கவும். கெட்டியாகும் வரை சமைக்கவும். தீயில் இருந்து இறக்கி நெய்யில் சேர்க்கவும். கலந்து சூடாகப் பரிமாறவும். ஒரு வார நாளில் காய்கறி சாம்பார், வேகவைத்த சாதம் மற்றும் எலை வடம் உங்கள் எளிய உணவுக்குப் பிறகு செட்டிநாடு கவுனி அரிசி ஸ்வீட்டைப் பரிமாறவும்.
</t>
  </si>
  <si>
    <t>https://www.archanaskitchen.com/chettinad-kavuni-arisi-sweet-recipe-black-rice-pudding</t>
  </si>
  <si>
    <t>Chettinad Mutton Chops Gravy Recipe-Mutton Chops Curry</t>
  </si>
  <si>
    <t>செட்டிநாடு மட்டன் சாப்ஸ் குழம்பு செய்முறை-மட்டன் சாப்ஸ் கறி</t>
  </si>
  <si>
    <t>500 கிராம் மட்டன் - சாப்ஸ், 2 வெங்காயம் - பொடியாக நறுக்கியது, 3 தக்காளி, 1 டேபிள் ஸ்பூன் இஞ்சி பூண்டு விழுது, 1 பச்சை மிளகாய், 1 டீஸ்பூன் சீரகம் (ஜீரா), 1-1/2 டீஸ்பூன் முழு கருப்பு மிளகு, 1/2 தேக்கரண்டி கடுகு, 1 டேபிள் ஸ்பூன் கொத்தமல்லி (தானியா) விதைகள், 2 காய்ந்த மிளகாய் தூள், 1 டீஸ்பூன் கொத்தமல்லி. (தானியா), 1/2 டீஸ்பூன் மஞ்சள் தூள் (ஹால்டி), 4 கிராம்பு (லாங்), 1 இன்ச் இலவங்கப்பட்டை (டால்சினி), 1 பே இலை (தேஜ் பட்டா), உப்பு - ருசிக்கேற்ப, 2 தேக்கரண்டி சூரியகாந்தி எண்ணெய், 1 தேக்கரண்டி சிவப்பு மிளகாய் தூள், 1 தேக்கரண்டி உப்பு, மட்டன் - தேவைக்கேற்ப, 1 வெங்காயம் - பொடியாக நறுக்கியது, - அலங்காரத்திற்காக</t>
  </si>
  <si>
    <t>500 grams Mutton - chops,2 Onions - finely chopped,3 Tomatoes,1 tablespoon Ginger Garlic Paste,1 Green Chilli,1 teaspoon Cumin seeds (Jeera),1-1/2 teaspoon Whole Black Peppercorns,1/2 teaspoon Mustard seeds,1 tablespoon Coriander (Dhania) Seeds,2 Dry Red Chillies,1 teaspoon Red Chilli powder,1 teaspoon Coriander Powder (Dhania),1/2 teaspoon Turmeric powder (Haldi),4 Cloves (Laung),1 inch Cinnamon Stick (Dalchini),1 Bay leaf (tej patta),Salt - to taste,2 tablespoon Sunflower Oil,1 teaspoon Red Chilli powder,1 teaspoon Salt,Mutton - as required,1 Onion - finely chopped,1 teaspoon Cumin seeds (Jeera),Coriander (Dhania) Leaves - for garnish</t>
  </si>
  <si>
    <t xml:space="preserve">To begin making the Chettinad Mutton Chops Kuzhambu recipe, first clean and wash the mutton chops well. Marinate the chops with 1 teaspoon red chili powder and salt for about 2 to 4 hours.To the marinated mutton add 1 teaspoon cumin seeds and 1 finely chopped onions and 1 cup water and pressure cook for 3 to 4 whistles.Chop onions fine and puree them along with green chili. Chop tomatoes and puree it separately. Keep them aside.Heat a wide pan. Dry roast cumin seeds, black pepper corns, coriander seeds, dried red chilies and mustard seeds.Roast them on low flame for about a minute until it starts to splutter. Be careful, these whole spices can burn easily. So make sure you reduce the flame and roast it for about a minute. Remove from flame, let it cool and then grind into powder in a mixer grinder.Heat 2 tablespoons oil in a wide pan. Add cloves, cinnamon stick and bay leaf.Add onion green chili paste and sauté till raw smell of the onion paste is gone.Add ginger garlic paste and cook till the raw smell of the paste is gone. Now add tomato puree and cook till tomato puree thickens and oil separates from the edges of the pan.Once it is done, add spice powders including red chili powder, turmeric powder, coriander powder and the powdered spice mix along with salt. Cook for about 1 minute.Add cooked mutton chops along with the water in it. Simmer and cook for about 25 minutes. Add water if needed. Check for salt and it is ready to be served.Serve Chettinad Mutton Chops Kuzhambu with Steamed Rice, Dosa or Phulkas for weekend dinners.
</t>
  </si>
  <si>
    <t xml:space="preserve">செட்டிநாடு மட்டன் சாப்ஸ் குழம்பு செய்முறையைத் தொடங்க, முதலில் மட்டன் சாப்ஸை நன்கு சுத்தம் செய்து கழுவவும். 1 டீஸ்பூன் சிவப்பு மிளகாய் தூள் மற்றும் உப்பு சேர்த்து சுமார் 2 முதல் 4 மணி நேரம் சாப்ஸை மேரினேட் செய்யவும். மாரினேட் செய்யப்பட்ட மட்டனில் 1 டீஸ்பூன் சீரகம் மற்றும் 1 பொடியாக நறுக்கிய வெங்காயம் மற்றும் 1 கப் தண்ணீர் சேர்த்து 3 முதல் 4 விசில் வரை பிரஷர் செய்யவும். வெங்காயத்தை நன்றாக நறுக்கி பச்சை மிளகாயுடன் சேர்த்து ப்யூரி செய்யவும். தக்காளியை நறுக்கி தனித்தனியாக அரைக்கவும். அவற்றை ஒதுக்கி வைக்கவும்.அகலமான பாத்திரத்தை சூடாக்கவும். சீரக விதைகள், கருப்பு மிளகு சோளம், கொத்தமல்லி விதைகள், காய்ந்த மிளகாய் மற்றும் கடுகு ஆகியவற்றை வறுக்கவும். ஒரு நிமிடம் குறைந்த தீயில் வறுக்கவும். கவனமாக இருங்கள், இந்த முழு மசாலாப் பொருட்களும் எளிதில் எரியும். எனவே நெருப்பைக் குறைத்து ஒரு நிமிடம் வறுக்கவும். நெருப்பிலிருந்து இறக்கி, ஆறவிட்டு, மிக்ஸி கிரைண்டரில் பொடியாக அரைக்கவும். அகலமான பாத்திரத்தில் 2 டேபிள்ஸ்பூன் எண்ணெயைச் சூடாக்கவும். கிராம்பு, இலவங்கப்பட்டை மற்றும் வளைகுடா இலை சேர்க்கவும். வெங்காயம் பச்சை மிளகாய் விழுது சேர்த்து வெங்காய விழுது பச்சை வாசனை போகும் வரை வதக்கவும். இஞ்சி பூண்டு விழுது சேர்த்து பேஸ்ட்டின் பச்சை வாசனை போகும் வரை சமைக்கவும். இப்போது தக்காளி கூழ் சேர்த்து, தக்காளி கூழ் கெட்டியாகும் வரை சமைக்கவும் மற்றும் கடாயின் விளிம்புகளில் இருந்து எண்ணெய் பிரிந்து வரும் வரை சமைக்கவும். அது முடிந்ததும், சிவப்பு மிளகாய் தூள், மஞ்சள் தூள், கொத்தமல்லி தூள் மற்றும் உப்பு சேர்த்து தூள் மசாலா கலவையை சேர்க்கவும். சுமார் 1 நிமிடம் சமைக்கவும். அதில் தண்ணீர் சேர்த்து சமைத்த மட்டன் சாப்ஸ் சேர்க்கவும். வேகவைத்து சுமார் 25 நிமிடங்கள் சமைக்கவும். தேவைப்பட்டால் தண்ணீர் சேர்க்கவும். உப்பு உள்ளதா என்று சரிபார்த்து, அது பரிமாறத் தயாராக உள்ளது. வார இறுதி இரவு உணவிற்கு செட்டிநாடு மட்டன் சாப்ஸ் குழம்பு வேகவைத்த சாதம், தோசை அல்லது புல்காஸ் உடன் பரிமாறவும்.
</t>
  </si>
  <si>
    <t>http://www.archanaskitchen.com/chettinad-mutton-chops-kozhumbhu-mutton-chops-curry-recipe</t>
  </si>
  <si>
    <t>Chettinad Style Paneer Kurma Recipe - Chettinad Style Paneer Kurma Recipe</t>
  </si>
  <si>
    <t>பால்கட்டி செட்டிநாடு குழம்பு செய்முறை -Chettinad Style Paneer Kurma Recipe</t>
  </si>
  <si>
    <t>250 கிராம் பனீர் (வீட்டில் தயாரிக்கப்பட்ட பாலாடைக்கட்டி) - க்யூப்ஸ், 1/2 கப் முத்து வெங்காயம் (சாம்பார் வெங்காயம்) - கால், 1 தக்காளி - நறுக்கியது, 1 தேக்கரண்டி கடுகு, 1 டேபிள் ஸ்பூன் சிவப்பு மிளகாய் தூள், உப்பு - ருசிக்கேற்ப, சூரியகாந்தி எண்ணெய் - சமையலுக்கு, 2 துளிர் கறிவேப்பிலை, 1 டீஸ்பூன் கொத்தமல்லி (3 தேக்கரண்டி) அங்குல இலவங்கப்பட்டை (டால்சினி), 1 ஏலக்காய் (எலச்சி) காய்கள் / விதைகள், 2 தேக்கரண்டி முழு கருப்பு மிளகு, 3 கல்பாசி இலைகள், 2 நட்சத்திர சோம்பு, 6 காய்ந்த மிளகாய், 1 டீஸ்பூன் கசகசா, 1/2 கப் புதிய தேங்காய் - துருவியது, 2 பச்சை மிளகாய் - கீறல், கொத்தமல்லி இலைகள் - ஒரு சிறிய கொத்தமல்லி வெட்டப்பட்டது</t>
  </si>
  <si>
    <t>250 grams Paneer (Homemade Cottage Cheese) - cubed,1/2 cup Pearl onions (Sambar Onions) - quartered,1 Tomato - chopped,1 teaspoon Mustard seeds,1 tablespoon Red Chilli powder,Salt - to taste,Sunflower Oil - for cooking,2 sprig Curry leaves,2 tablespoon Coriander (Dhania) Seeds,3 Cloves (Laung),1 inch Cinnamon Stick (Dalchini),1 Cardamom (Elaichi) Pods/Seeds,2 teaspoon Whole Black Peppercorns,3 Kalpasi leaves,2 Star anise,6 Dry Red Chilli,1 teaspoon Poppy seeds,1/2 cup Fresh coconut - grated,2 Green Chillies - slit,1 sprig Curry leaves,Coriander (Dhania) Leaves - a small bunch finely chopped</t>
  </si>
  <si>
    <t xml:space="preserve">To begin making Paalkatti Chettinad Curry Recipe (Chettinad Style Paneer Kurma Recipe) by roast the ingredients listed under Chettinad paste.In a Preheated pan add all the ingredients, cinnamon, cloves, cardamom ,peppercorn, kalpasi leaves, star anise, poppy seeds dry red chillies and grated coconut. Saute and roast them until the coconut turns golden brown. Cool it down and blend it using a grinder to a nice smooth paste by adding a little water.The next step is to heat a nonstick shallow pan and add oil, once it is heated up add mustard seeds and asafoetida (hing), let it splutter for few seconds.Then add garlic, onions saute till it is nice and brown. Add in the chopped tomatoes and fry till the raw smell goes away, you can add a little salt to make it cook faster.Once done add the paneer along with the paste and give it a stir. Add water and cover the pan cook it for some time, like for about 3 minutes.Open the lid and add the chopped coriander to Paalkatti Chettinad Curry and give it a stir.Serve your spicy Paalkatti Chettinad Curry Recipe along with Tawa Paratha and Carrot Cucumber Tomato Salad with Lemon and Coriander  for a weekday dinner.
</t>
  </si>
  <si>
    <t xml:space="preserve">செட்டிநாடு பேஸ்டின் கீழ் பட்டியலிடப்பட்டுள்ள பொருட்களை வறுத்து பால்கட்டி செட்டிநாடு கறி செய்முறையை (செட்டிநாடு ஸ்டைல் ​​பனீர் கூர்மா ரெசிபி) செய்யத் தொடங்கவும். முன் சூடாக்கப்பட்ட கடாயில் அனைத்து பொருட்கள், இலவங்கப்பட்டை, கிராம்பு, ஏலக்காய், மிளகுத்தூள், கல்பாசி இலைகள், நட்சத்திர சோம்பு, கசகசா மற்றும் தேங்காய் துருவல் ஆகியவற்றைச் சேர்க்கவும். தேங்காய் பொன்னிறமாகும் வரை வதக்கி வறுக்கவும். அதை ஆறவைத்து, சிறிது தண்ணீரைச் சேர்த்து, கிரைண்டரைப் பயன்படுத்தி நன்றாக மிருதுவான பேஸ்டாகக் கலக்கவும். அடுத்த படியாக, நான்ஸ்டிக் குறைவான பாத்திரத்தை சூடாக்கி எண்ணெய் சேர்க்கவும், அது சூடுபடுத்தப்பட்டதும் கடுகு மற்றும் பெருங்காயம் (ஹிங்) சேர்த்து சில நொடிகள் வதக்க வேண்டும். பிறகு பூண்டு, வெங்காயம் சேர்த்து நன்றாக பொன்னிறமாகும் வரை வதக்கவும். நறுக்கிய தக்காளியைச் சேர்த்து, பச்சை வாசனை போகும் வரை வதக்கவும், நீங்கள் சிறிது உப்பு சேர்த்து வேகவைக்கலாம். முடிந்ததும் பனீரை பேஸ்டுடன் சேர்த்து கிளறவும். தண்ணீரைச் சேர்த்து, கடாயை மூடி, சுமார் 3 நிமிடங்கள் வரை சமைக்கவும். மூடியைத் திறந்து, பால்கட்டி செட்டிநாடு கறியில் நறுக்கிய கொத்தமல்லியைச் சேர்த்து, கிளறவும். உங்கள் காரமான பால்கட்டி செட்டிநாடு கறி ரெசிபியுடன் தவா பராத்தா மற்றும் கேரட் கொத்தமல்லி ஒரு வாரம்  லெப்பர் மற்றும் காரட் கொத்தமல்லி சாதத்துடன் பரிமாறவும். இரவு உணவு.
</t>
  </si>
  <si>
    <t>https://www.archanaskitchen.com/paal-katti-chettiand-curry-recipe-chettinad-style-paneer-kurma-recipe</t>
  </si>
  <si>
    <t>Chettinad Fruit Payasam Recipe - Fruit Payasam Recipe</t>
  </si>
  <si>
    <t>செட்டிநாடு பழ பாயசம் செய்முறை - Fruit Payasam Recipe</t>
  </si>
  <si>
    <t>1 லிட்டர் பால், 10 முழு முந்திரி - தண்ணீரில் ஊறவைத்தது, 10 பாதாம் (பாதாம்) - தண்ணீரில் ஊறவைத்து தோல் நீக்கியது, 1/2 டீஸ்பூன் ஏலக்காய் தூள் (எலச்சி), 2 மாங்காய் (பழுத்தது) - துருவியது மற்றும் நறுக்கியது, 1/2 கப் சர்க்கரை, 2 பழுத்த வாழைப்பழங்கள் - தோல் மற்றும் நறுக்கிய ஆப்பிள் - 1 நறுக்கியது தோல் உரித்து நறுக்கியது, 1/2 கப் பச்சை திராட்சை - நறுக்கியது, 1/2 கப் கருப்பு திராட்சை - நறுக்கியது, 1/2 கப் புதிய மாதுளை பழங்கள், 2 தேக்கரண்டி தேன்</t>
  </si>
  <si>
    <t>1 liter Milk,10 Whole cashews - soaked in water,10 Badam (Almond) - soaked in water and skin removed,1/2 teaspoon Cardamom Powder (Elaichi),2 Mango (Ripe) - peeled and chopped,1/2 cup Sugar,2 Ripe Bananas - peeled and chopped,1 Apple - peeled and chopped,1 Orange - peeled and chopped,1/2 cup Green Grapes - chopped,1/2 cup Black grapes - chopped,1/2 cup Fresh Pomegranate Fruit Kernels,2 tablespoons Honey</t>
  </si>
  <si>
    <t xml:space="preserve">To begin making the Chettinad Pazha Payasam recipe, soak almonds and cashews for 4 to 5 hours and grind them to a smooth paste using a mixer grinder.Add milk in a saucepan and bring it to boil. When it starts boiling, add almond cashew paste in it and mix everything properly. Cook on low flame till it is reduced to 3/4th in quantity. Stir constantly to ensure that the milk does not burn.Once the milk has reduced add sugar and cook till it is reduced to 1/2 in quantity. Add cardamom powder, stir and turn off the heat.Allow the Payasam mixture to cool till it reaches room temperature and then refrigerate for an hour.Meanwhile cut all the fruits in to small pieces and mix them together with honey. Refrigerate the mixed fruits for an hour.After an hour combine both Payasam and fruits together and serve the Chettinad Pazha Payasam immediately.Serve Chettinad Pazha Payasam as a dessert after a delicious meal of Chettinad Pattani Kurma, Chettinad Style Poondu Rasam and Steamed Rice.
</t>
  </si>
  <si>
    <t xml:space="preserve">செட்டிநாடு பழ பாயசம் செய்முறையைத் தொடங்க, பாதாம் மற்றும் முந்திரியை 4 முதல் 5 மணி நேரம் ஊறவைத்து, மிக்ஸி கிரைண்டரைப் பயன்படுத்தி மென்மையான பேஸ்டாக அரைக்கவும். ஒரு பாத்திரத்தில் பால் சேர்த்து கொதிக்க வைக்கவும். கொதிக்க ஆரம்பித்ததும், அதில் பாதாம் முந்திரி விழுதைச் சேர்த்து எல்லாவற்றையும் சரியாகக் கலக்கவும். அளவு 3/4 ஆக குறையும் வரை குறைந்த தீயில் சமைக்கவும். பால் எரியாமல் இருக்க தொடர்ந்து கிளறவும். பால் குறைந்தவுடன் சர்க்கரை சேர்த்து 1/2 அளவு குறையும் வரை சமைக்கவும். ஏலக்காய் தூள் சேர்த்து, கிளறி, தீயை அணைக்கவும். பாயாசம் கலவையை அறை வெப்பநிலையை அடையும் வரை ஆற வைக்கவும், பின்னர் ஒரு மணி நேரம் குளிரூட்டவும். இதற்கிடையில் அனைத்து பழங்களையும் சிறிய துண்டுகளாக வெட்டி தேனுடன் கலக்கவும். கலந்த பழங்களை ஒரு மணி நேரம் ஃப்ரிட்ஜில் வைக்கவும். ஒரு மணி நேரம் கழித்து பாயாசம் மற்றும் பழங்கள் இரண்டையும் ஒன்றாக சேர்த்து உடனடியாக செட்டிநாடு பழ பாயசத்தை பரிமாறவும்
</t>
  </si>
  <si>
    <t>http://www.archanaskitchen.com/chettinad-pazha-payasam-recipe-chettinad-style-fruit-payasam</t>
  </si>
  <si>
    <t>Kathirikai Poondu Pirattal Recipe - Kathirikai Poondu Pirattal Recipe</t>
  </si>
  <si>
    <t>கத்திரிக்காய் பூண்டு பிரட்டல் ரெசிபி - Kathirikai Poondu Pirattal Recipe</t>
  </si>
  <si>
    <t>500 கிராம் பேங்கன் - லம்பா லம்பா காட் லெ,1 பியாஜ் - பாரிக் காட் லே,12 கலி லஹசுன்,1 காட் லெ,1/2 ச்சோடா சமச்ச ஹல்டி பௌடர்,1 க்டோடா சமச்ச ரை,1/2 சட்ச் சனா தால்,ஹீங்,1 தஹனி கத்தீ பட்டா,1 சுகி லால் மிர்ச்,2 படே சமச்சத் - அனுசார்,1 படா சமச்ச தனியா கே பீஜ்,1 ச்சோடா சமச்ச ஜீரா,1 ச்சோசடா சவுண்ட்,1/2 चोटा चमाच्च काली मर्च बाडर,4 சுகி லால் மிர்ச்,1 டஹானி கத்தத்</t>
  </si>
  <si>
    <t>500 g brinjal - cut into long pieces, 1 onion - finely chopped, 12 cloves garlic, 1 tomato - finely chopped, 1/2 teaspoon turmeric powder, 1 teaspoon mustard, 1/2 teaspoon gram lentils, asafoetida, 1 sprig curry leaves, 1 dry red chili, 2 tablespoons oil, salt - as per taste, 1 tablespoon coriander seeds, 1 teaspoon cumin seeds, 1 teaspoon fennel seeds, 1/2 teaspoon black pepper powder, 4 dry red chillies 1 sprig curry leaves</t>
  </si>
  <si>
    <t>To make Kathirikai Poondu Pirattal Recipe, first take a bowl and add water and salt and mix it. Chop the brinjal straight and add it to the bowl. In a pan, add coriander seeds, cumin seeds, fennel seeds, black pepper powder, dried red chillies and curry leaves. Saute for 2 minutes and grind it. Keep it aside. Heat oil in a pan. Add cumin seeds, chana dal and cook for 10 seconds. After 10 seconds add curry leaves, dried red chillies and cook for 10 seconds. Add garlic and cook till it turns brown. Now add onions and cook till it becomes soft. After onions are cooked add tomatoes and cook till they become soft. Now add brinjal, turmeric powder, salt and mix it. Sprinkle some water, cover the pan and cook till brinjal becomes soft. It will take at least 10 minutes. After the brinjal is cooked, add the ground masala and mix well. Cook for 3 to 4 minutes and turn off the gas. Serve Kathirikai Poondu Pirattal with Rice and Keerai Sambar for dinner.</t>
  </si>
  <si>
    <t xml:space="preserve">கதிரிகை பூண்டு பிறந்தால் ரெசிபி பனேன் பேங்கன் கோ சீதா காட் கர் இந்த பவுல் மென் டால் தே. ஒரு கதையில் தனியா கே பீஜ், ஜீரா, சவுன்ஃப், காளி மிர்ச் பௌடர், சுகி லால் சர். பட்டா தாலே. 2 நிமிடங்களுக்கு மற்றும் பீஸ் லே. अलग से रख दे. ஒரு கதை. அதே போல் ஜீரா, சனா டால் டேல் மற்றும் 10 செகண்ட்ஸ் ஆகியவை அடங்கும். 10 செகண்ட்ஸ் அதே போல் கதி பட்டா, சுகி லால் மிர்ச் டேல் மற்றும் 10 செகண்ட்ஸ் அதே போல் லஹசுன் டாலே மற்றும் பூரா ஹோனே தக் பகா லே. இப்போது ப்யாஜ் டேல் மற்றும் நரம் ஹோனே தக பகா லே. ப்யாஜ் கே பகனே கே பாத் இஸ்மென்ட் டமாடர் டேல் மற்றும் உனக்கே நரம் ஹோனே தக் பகா லே. இப்போது வங்கி, ஹல்டி பௌடர், நமக் டாலே மற்றும் மிலா லே. தோடா பானி ஷிடகே, கதாயி கோ தட்கே மற்றும் பேங்கன் போன்றவை. அதே நேரம் 10 நிமிடம். பேங்கன் பிசா ஹுவா மசாலா டாலே மற்றும் மிலா லே. 3 செப்டம்பர் 4 நிமிடம் கத்திரிக்கா பூண்டு பிறந்தல் கோ சாவல் மற்றும் கீரை சாம்பர் போன்றவற்றைப் பார்க்கவும்.
</t>
  </si>
  <si>
    <t>http://www.archanaskitchen.com/kathirikai-poondu-pirattal-recipe-south-indian-style-brinjal-stir-fry-with-garlic-in-hindi</t>
  </si>
  <si>
    <t>Chettinad Sweet Paniyaram Recipe</t>
  </si>
  <si>
    <t>செட்டிநாடு இனிப்பு பணியாரம் செய்முறை</t>
  </si>
  <si>
    <t>1 கப் இட்லி தோசை மாவு, 4 டேபிள் ஸ்பூன் அரிசி ரவா, 1/3 கப் வெல்லம், 3 டேபிள் ஸ்பூன் புதிய தேங்காய் - துருவிய 1 டீஸ்பூன், ஏலக்காய் தூள் (ஏலக்கி), உப்பு - ருசிக்கேற்ப, தண்ணீர் - தேவைக்கேற்ப, சூரியகாந்தி எண்ணெய் - தேவைக்கேற்ப</t>
  </si>
  <si>
    <t>1 cup Idli Dosa Batter,4 tablespoons Rice rava,1/3 cup Jaggery,3 tablespoons Fresh coconut - grated,1 teaspoon Cardamom Powder (Elaichi),Salt - to taste,Water - as required,Sunflower Oil - as required</t>
  </si>
  <si>
    <t xml:space="preserve">To begin making the Chettinad Sweet Paniyaram recipe, take dosa batter in a mixing bowl, add rava, powdered jaggery, coconut, salt, cardamom powder to it.Add required water and mix well with a ladle into thick batter. Keep aside for 5 minutes and mix again.Add little water if required to adjust the consistency. Heat paniyaram pan and add oil to all holes.Once hot, pour batter into all the holes and cover cook with a lid in low flame.Once cooked, flip to the other side gently with a spoon and cook until golden.Remove from pan and arrange in a plate. Serve hot and enjoy.Serve Chettinad Sweet Paniyaram along with a hot cup of Filter coffee for your tea time break.
</t>
  </si>
  <si>
    <t xml:space="preserve">செட்டிநாடு ஸ்வீட் பணியாரம் செய்முறையைத் தொடங்க, ஒரு கலவை பாத்திரத்தில் தோசை மாவை எடுத்து, அதனுடன் ரவா, பொடித்த வெல்லம், தேங்காய், உப்பு, ஏலக்காய்த்தூள் சேர்க்கவும். தேவையான தண்ணீர் சேர்த்து கெட்டியான மாவில் ஒரு கரண்டியால் நன்கு கலக்கவும். 5 நிமிடங்கள் ஒதுக்கி வைத்து, மீண்டும் கலக்கவும். நிலைத்தன்மையை சரிசெய்ய தேவைப்பட்டால் சிறிது தண்ணீர் சேர்க்கவும். பணியாரம் கடாயை சூடாக்கி, அனைத்து ஓட்டைகளிலும் எண்ணெய் சேர்க்கவும். சூடானதும், அனைத்து துளைகளிலும் மாவை ஊற்றி, குறைந்த தீயில் மூடி வைத்து சமைக்கவும். சமைத்தவுடன், ஒரு கரண்டியால் மெதுவாக மறுபுறம் திருப்பி, பொன்னிறமாக சமைக்கவும். கடாயில் இருந்து அகற்றி ஒரு தட்டில் வைக்கவும். சூடாகப் பரிமாறவும், மகிழவும். செட்டிநாடு ஸ்வீட் பணியாரத்தை ஒரு சூடான கப் ஃபில்டர் காபியுடன் உங்கள் தேநீர் இடைவேளைக்கு பரிமாறவும்.
</t>
  </si>
  <si>
    <t>https://www.archanaskitchen.com/chettinad-sweet-paniyaram-recipe</t>
  </si>
  <si>
    <t>Chettinad Vegetable Pulao Recipe</t>
  </si>
  <si>
    <t>செட்டிநாடு வெஜிடபிள் புலாவ் செய்முறை</t>
  </si>
  <si>
    <t>1 கப் பாசுமதி அரிசி - தண்ணீரில் நன்றாகக் கழுவி, 12 முத்து வெங்காயம் (சாம்பார் வெங்காயம்) - பொடியாக நறுக்கியது, 2 பல் பூண்டு - துருவியது, 1 இன்ச் இஞ்சி - துருவியது, 2 பச்சை மிளகாய் - கீறல், 1 பே இலைகள் (தேஜ் பட்டா) - இரண்டாக கிழிந்தது, 1 டீஸ்பூன் சிவப்பு மிளகாய் தூள், 1 டீஸ்பூன் மஞ்சள் தூள் (1 தேக்கரண்டி மஞ்சள்தூள்), பச்சை பீன்ஸ் (பிரெஞ்சு பீன்ஸ்) - நறுக்கியது, 2 உருளைக்கிழங்கு (ஆலு) - தோலுரித்து துண்டுகளாக்கப்பட்டது, நெய் - சமையலுக்கு, 2 கிராம்பு (லாங்), 1 அங்குல இலவங்கப்பட்டை (டால்சினி), 1 தேக்கரண்டி முழு கருப்பு மிளகு, 1 தேக்கரண்டி பெருஞ்சீரகம் விதைகள் (சான்ஃப்), 1 தேக்கரண்டி கொத்தமல்லி (1 டீஸ்பூன்) பச்சை விதைகள் வேகவைத்த, 1/4 கப் புதினா இலைகள் (புதினா) - இறுதியாக நறுக்கியது</t>
  </si>
  <si>
    <t>1 cup Basmati rice - washed well in water,12 Pearl onions (Sambar Onions) - finely chopped,2 cloves Garlic - grated,1 inch Ginger - grated,2 Green Chillies - slit,1 Bay leaves (tej patta) - torn into half,1 teaspoon Red Chilli powder,1 teaspoon Turmeric powder (Haldi),1 Carrot (Gajjar) - diced,12 Green beans (French Beans) - chopped,2 Potatoes (Aloo) - peeled and diced,Ghee - for cooking,2 Cloves (Laung),1 inch Cinnamon Stick (Dalchini),1 teaspoon Whole Black Peppercorns,1 teaspoon Fennel seeds (Saunf),1 teaspoon Coriander (Dhania) Seeds,1/4 cup Green peas (Matar) - steamed,1/4 cup Mint Leaves (Pudina) - finely chopped</t>
  </si>
  <si>
    <t xml:space="preserve">To begin making the Chettinad Vegetable Pulao, first prep all the ingredient like chop the vegetables and get all the ingredients measured and keep it handy. Soak the Kohinoor Super Basmati Rice for 30 minutes.The first step is to roast and grind all the ingredients for spice powder. Heat a small skillet over medium heat. Add the whole spices including cloves, cinnamon stick, whole black peppercorns, fennel seeds, coriander seeds and roast for two to three minutes until you smell the aromas and the spices are get a roasted colour.Once done, allow the spice to cool and then blend into a fine spice powder using a blender. Keep aside.The next step is the make the Chettinad pulao in one single pot.Heat 2 tablespoons of ghee in a large saucepan over medium heat. Add the ginger garlic, onion and green chilies. Saute until the onions soften.Once the onions soften, add carrot, green beans, potatoes, bay leaf, turmeric powder, red chili powder and freshly ground spice powder. Stir well to combine.Add the washed Kohinoor Super Basmati rice, salt and 2 cups of water. Bring the rice to a roaring boil. Once it comes to a roaring boil, turn the heat to low, cover the pan and cook the rice until all the water is absorbed and turn off the heat.Allow the Chettinad vegetable pulao to rest for 10 minutes. After 10 minutes stir in the mint leaves and the green peas and serve.Serve the Chettinad Vegetable Pulao along with Tomato Onion Raita and Vegetable Kurma for lunch or dinner.
</t>
  </si>
  <si>
    <t xml:space="preserve">செட்டிநாடு வெஜிடபிள் புலாவ் செய்யத் தொடங்க, முதலில் காய்கறிகளை நறுக்குவது போன்ற அனைத்துப் பொருட்களையும் தயார் செய்து, அனைத்து பொருட்களையும் அளந்து எடுத்து வைத்துக் கொள்ளவும். கோஹினூர் சூப்பர் பாஸ்மதி அரிசியை 30 நிமிடம் ஊற வைக்கவும்.மசாலா பொடிக்கான அனைத்து பொருட்களையும் வறுத்து அரைக்க வேண்டும். ஒரு சிறிய வாணலியை மிதமான தீயில் சூடாக்கவும். கிராம்பு, இலவங்கப்பட்டை, முழு கருப்பு மிளகுத்தூள், பெருஞ்சீரகம் விதைகள், கொத்தமல்லி விதைகள் உட்பட முழு மசாலாப் பொருட்களையும் சேர்த்து, வாசனை வரும் வரை இரண்டு முதல் மூன்று நிமிடங்கள் வறுக்கவும், மசாலா வறுக்கப்பட்ட நிறத்தைப் பெறும். ஒதுக்கி வைக்கவும்.அடுத்த படி செட்டிநாடு புலாவை ஒரே பாத்திரத்தில் செய்யவும். 2 டேபிள்ஸ்பூன் நெய்யை ஒரு பெரிய பாத்திரத்தில் மிதமான சூட்டில் சூடாக்கவும். இஞ்சி பூண்டு, வெங்காயம் மற்றும் பச்சை மிளகாய் சேர்க்கவும். வெங்காயம் மென்மையாகும் வரை வதக்கவும். வெங்காயம் மென்மையாக மாறியதும், கேரட், பச்சை பீன்ஸ், உருளைக்கிழங்கு, வளைகுடா இலை, மஞ்சள் தூள், சிவப்பு மிளகாய் தூள் மற்றும் புதிதாக அரைத்த மசாலா தூள் சேர்க்கவும். நன்கு கலக்கவும். கழுவிய கோஹினூர் சூப்பர் பாஸ்மதி அரிசி, உப்பு மற்றும் 2 கப் தண்ணீர் சேர்க்கவும். அரிசியை ஒரு கொதி நிலைக்கு கொண்டு வாருங்கள். ஒரு கொதி வந்ததும், வெப்பத்தை குறைத்து, பாத்திரத்தை மூடி, தண்ணீர் முழுவதும் உறிஞ்சும் வரை அரிசியை சமைக்கவும் மற்றும் வெப்பத்தை அணைக்கவும். செட்டிநாடு காய்கறி புலாவ் 10 நிமிடங்கள் ஓய்வெடுக்க அனுமதிக்கவும். 10 நிமிடங்களுக்குப் பிறகு புதினா இலைகள் மற்றும் பச்சைப் பட்டாணியைச் சேர்த்துக் கிளறி பரிமாறவும். செட்டிநாடு வெஜிடபிள் புலாவ், தக்காளி வெங்காய ரைதா மற்றும் வெஜிடபிள் குருமா  ஆகியவற்றை மதிய உணவு அல்லது இரவு உணவாகப் பரிமாறவும்.
</t>
  </si>
  <si>
    <t>https://www.archanaskitchen.com/chettinad-vegetable-pulao-recipe-with-kohinoor-silver-basmati-rice</t>
  </si>
  <si>
    <t>Spicy Chettinad Fish Fry Recipe</t>
  </si>
  <si>
    <t>காரமான செட்டிநாடு மீன் பொரியல் செய்முறை</t>
  </si>
  <si>
    <t>4 சீர் மீன் - ஸ்டீக்ஸ், சூரியகாந்தி எண்ணெய் - வதக்க, 1 தக்காளி - நறுக்கியது, 1 துளிர் கறிவேப்பிலை, 30 கிராம் புளி - 1-2 டேபிள் ஸ்பூன் தண்ணீரில் ஊறவைத்தது, 1 தேக்கரண்டி கடுகு, 8 பல் பூண்டு - நறுக்கியது, 1 தேக்கரண்டி இஞ்சி பூண்டு விழுது, 1 டீஸ்பூன் சீரக விதைகள், (Saunf), 10 முழு கருப்பு மிளகு, 1 தேக்கரண்டி சிவப்பு மிளகாய் தூள், 1 தேக்கரண்டி மஞ்சள் தூள் (ஹால்டி), உப்பு - ருசிக்க, 1 தேக்கரண்டி சூரியகாந்தி எண்ணெய் - அனுசரிப்பு, 2 எலுமிச்சை குடைமிளகாய்</t>
  </si>
  <si>
    <t>4 Seer fish - steaks,Sunflower Oil - to fry,1 Tomato - chopped,1 sprig Curry leaves,30 grams Tamarind - soaked in 1-2 tablespoon water,1 teaspoon Mustard seeds,8 cloves Garlic - chopped,1 teaspoon Ginger Garlic Paste,1 teaspoon Cumin seeds (Jeera),1 teaspoon Coriander (Dhania) Seeds,1 teaspoon Fennel seeds (Saunf),10 Whole Black Peppercorns,1 teaspoon Red Chilli powder,1 teaspoon Turmeric powder (Haldi),Salt - to taste,1 teaspoon Sunflower Oil - adjustable,2 Lemon wedges</t>
  </si>
  <si>
    <t xml:space="preserve">To begin making the Chettinad Fish Fry Recipe, wash the seer fish steaks and keep it aside.Heat a Tadka pan and dry roast curry leaves, garlic and the spices till a nice aroma is released.After the spices cool down, using a Mortar and Pestle to grind these spices by adding a little oil.Now add tomato and tamarind along with its soaked water, the ground spices, ginger-garlic paste, turmeric powder, red chilli powder and salt to a Mixer.Grind it into a thick paste. The paste will be dark brown in colour.Check salt, adjust and mix well.Smear every seer fish steak with this spicy paste on both sides. Be generous while smearing the paste. Let it be thick to achieve the spicy Chettinad effect.Marinate these steaks for at least 20 minutes.After 20 minutes, heat a Non-stick pan for shallow frying.Add adequate oil for shallow frying and place the fish steaks on the pan.After 5 minutes, carefully flip the fish to the other side on the pan.Continue to fry till the fish gets cooked and crisp. The fish will appear flaky when it’s cooked.Garnish Spicy Chettinad Fish Fry Recipe with lime juice, garnish with lemon wedges and serve hot.Serve Chettinad Fish Fry Recipe along with Steamed Rice and Chettinad Paruppu Urundai Kuzhambu to make it a complete meal.
</t>
  </si>
  <si>
    <t xml:space="preserve">செட்டிநாடு ஃபிஷ் ஃப்ரை ரெசிபியைத் தொடங்க, சீர் ஃபிஷ் ஸ்டீக்ஸைக் கழுவி, தனியே வைக்கவும். ஒரு தட்கா கடாயை சூடாக்கி, கறிவேப்பிலை, பூண்டு மற்றும் மசாலாப் பொருட்களை நன்கு வாசனை வரும் வரை வறுக்கவும். மசாலா, இஞ்சி-பூண்டு விழுது, மஞ்சள் தூள், சிவப்பு மிளகாய் தூள் மற்றும் உப்பு ஒரு மிக்சியில். அதை ஒரு கெட்டியான பேஸ்டாக அரைக்கவும். பேஸ்ட் அடர் பழுப்பு நிறத்தில் இருக்கும். உப்பை சரிபார்த்து, சரிசெய்து நன்றாக கலக்கவும். இந்த காரமான பேஸ்ட்டுடன் ஒவ்வொரு சீர் ஃபிஷ் ஸ்டீக்கையும் தடவவும். பேஸ்ட்டை தடவும்போது தாராளமாக இருங்கள். காரமான செட்டிநாடு விளைவை அடைய இது கெட்டியாக இருக்கட்டும். இந்த மாமிசத்தை குறைந்தது 20 நிமிடங்களுக்கு மரைனேட் செய்யவும். 20 நிமிடங்களுக்குப் பிறகு, ஒரு நான்-ஸ்டிக் பானை சூடாக்கவும். மேலோட்டமாக வறுக்க போதுமான எண்ணெய் சேர்க்கவும். 5 நிமிடங்களுக்குப் பிறகு, மீன் வேகவைக்கும் வரை மீனை மறுபுறம் வேகவைக்கும் வரை கவனமாக புரட்டவும். மிருதுவான. மீன் சமைக்கும் போது செதில்களாகத் தோன்றும். காரமான செட்டிநாடு மீன் வறுவல் செய்முறையை சுண்ணாம்பு சாறுடன் அலங்கரித்து, எலுமிச்சை குடைமிளகாய் கொண்டு அலங்கரித்து சூடாகப் பரிமாறவும். செட்டிநாடு மீன் வறுவல் செய்முறையை வேகவைத்த சாதம் மற்றும் செட்டிநாடு பருப்பு உருண்டை குழம்பு  சேர்த்து பரிமாறவும்.
</t>
  </si>
  <si>
    <t>http://www.archanaskitchen.com/spicy-chettinad-fish-fry-recipe</t>
  </si>
  <si>
    <t>Gandharappam Recipe (Chettinad Sweet Appam)</t>
  </si>
  <si>
    <t>கந்தரப்பம் செய்முறை (செட்டிநாடு இனிப்பு அப்பம்)</t>
  </si>
  <si>
    <t>1 கப் அரிசி, 1 கப் சமைத்த அரிசி - துருவியது, 1/4 கப் வெள்ளை உளுத்தம் பருப்பு (பிரிந்தது), 2 டேபிள் ஸ்பூன் மஞ்சள் மூங்கில் பருப்பு (பிரிந்தது), 2 டேபிள் ஸ்பூன் அர்ஹர் பருப்பு (பிளட் துவரம் பருப்பு), 2 டேபிள் ஸ்பூன் சனா பருப்பு (பெங்கால் பருப்பு), சிட்டிகை உப்பு, 1 1/2 - 2 கப், கேரட் துருவல் - 2 கப், கேரட் 2 கப். தூள் (எலைச்சி), தண்ணீர் - அரைக்க தேவையானவை</t>
  </si>
  <si>
    <t>1 cup Rice,1 cup Cooked rice - parboiled,1/4 cup White Urad Dal (Split),2 tablespoon Yellow Moong Dal (Split),2 tablespoon Arhar dal (Split Toor Dal),2 tablespoon Chana dal (Bengal Gram Dal),pinch Salt,1 1/2 - 2 cups Jaggery - grated,1/2 cup Fresh coconut - grated,1/2 teaspoon Cardamom Powder (Elaichi),Water - required for grinding</t>
  </si>
  <si>
    <t xml:space="preserve">To prepare Kandarappam Recipe (Chettinad Sweet Appam), soak rice and dals separately in water for about 4 hours. Drain the excess water and grind into a fine paste adding required amount of water in a mixer.Add grated Jaggery and coconut and grind into a batter. The batter should have the consistency similar to dosa batter.Now, add cardamom powder and salt to the batter and combine them well.Refrigerate the batter for about 30 minutes. This helps us while pouring the batter into oil directly. This ensures that the appam has proper edges.Meanwhile, heat oil in a Kadai over medium heat.Once the oil is hot, take batter in a small serving spoon and pour the batter directly into the oil. Once the appam comes up, pour hot oil over the top layer of appam using a ladle. This enables fast cooking and helps us to get puffed appam.Fry until the appam becomes light brownish flipping through the half way. Appam cooks fastly and darkens soon. Ensure they are removed from the flame once it turns light brownish.Repeat the same for the remaining batter. Serve Kandarappam (Appam) warmly on festive occasion and celebrate life with authentic Chettinad sweet.
</t>
  </si>
  <si>
    <t xml:space="preserve">கந்தரப்பம் ரெசிபி (செட்டிநாடு இனிப்பு அப்பம்) தயார் செய்ய, அரிசி மற்றும் பருப்பை தனித்தனியாக தண்ணீரில் சுமார் 4 மணி நேரம் ஊற வைக்கவும். அதிகப்படியான தண்ணீரை வடிகட்டி, மிக்ஸியில் தேவையான அளவு தண்ணீர் சேர்த்து நன்றாக விழுதாக அரைக்கவும். துருவிய வெல்லம் மற்றும் தேங்காய் சேர்த்து மாவாக அரைக்கவும். மாவில் தோசை மாவு போன்ற நிலைத்தன்மை இருக்க வேண்டும். இப்போது, ​​ஏலக்காய் தூள் மற்றும் உப்பு சேர்த்து நன்கு கலக்கவும். மாவை சுமார் 30 நிமிடங்கள் குளிரூட்டவும். மாவை நேரடியாக எண்ணெயில் ஊற்றும்போது இது நமக்கு உதவுகிறது. இது அப்பம் சரியான விளிம்புகளைக் கொண்டிருப்பதை உறுதி செய்கிறது. இதற்கிடையில், கடாயில் எண்ணெயை மிதமான சூட்டில் சூடாக்கவும். எண்ணெய் சூடானதும், ஒரு சிறிய பரிமாறும் கரண்டியில் மாவை எடுத்து, மாவை நேரடியாக எண்ணெயில் ஊற்றவும். ஆப்பம் வந்தவுடன், ஒரு லேடலைப் பயன்படுத்தி அப்பத்தின் மேல் அடுக்கில் சூடான எண்ணெயை ஊற்றவும். இது வேகமான சமையலைச் செயல்படுத்துகிறது மற்றும் கொப்பளித்த ஆப்பம் பெற உதவுகிறது. ஆப்பம் வெளிர் பழுப்பு நிறமாக மாறும் வரை பாதி வழியில் புரட்டவும். அப்பம் சீக்கிரம் சமைத்து விரைவில் கருமையாகிவிடும். அது வெளிர் பழுப்பு நிறமாக மாறியவுடன் அவை தீயிலிருந்து அகற்றப்படுவதை உறுதிசெய்யவும். மீதமுள்ள மாவிற்கும் அதையே செய்யவும். பண்டிகை காலங்களில் கந்தரப்பத்தை (அப்பம்) அன்புடன் பரிமாறவும், உண்மையான செட்டிநாட்டு இனிப்புடன் வாழ்க்கையை கொண்டாடவும்.
</t>
  </si>
  <si>
    <t>http://www.archanaskitchen.com/kandarappam-recipe-chettinad-sweet-appam</t>
  </si>
  <si>
    <t>Chettinad Spinach Mandi Recipe with Amaranth Spinach</t>
  </si>
  <si>
    <t>அமராந்த் கீரையுடன் செட்டிநாடு கீரை மண்டி செய்முறை</t>
  </si>
  <si>
    <t>2 கப் பச்சை அமராந்த் இலைகள் - சுத்தம் செய்து, பொடியாக நறுக்கியது, 8 சுண்டைக்காய் - பொடியாக நறுக்கியது, 1 பச்சை மிளகாய் - பொடியாக நறுக்கியது, 2 காய்ந்த மிளகாய், 1 டீஸ்பூன் கடுகு, 1/2 டீஸ்பூன் வெள்ளை உளுத்தம் பருப்பு (பிளந்தது), 1 கப் மண்டி - (அரிசியைக் கழுவியதில் எஞ்சிய தண்ணீர்), 1/4 கப் தேங்காய் பால் (2 டீஸ்பூன் தேங்காய் பால்) எண்ணெய், உப்பு - சுவைக்கேற்ப</t>
  </si>
  <si>
    <t>2 cups Green Amaranth Leaves - cleaned and finely chopped,8 Shallots - finely chopped,1 Green Chilli - finely chopped,2 Dry Red Chillies,1 teaspoon Mustard seeds,1/2 teaspoon White Urad Dal (Split),1 cup Mandi - (leftover water from washing rice),1/4 cup Coconut milk - (optional but recommended),2 teaspoon Sesame (Gingelly) Oil,Salt - to taste</t>
  </si>
  <si>
    <t xml:space="preserve">To begin making Chettinad Keerai Mandi Recipe, clean, wash and finely chop the amaranth leaves or any greens of your choice and keep aside.Collect one cup of mandi water by washing the raw rice and keep aside.Heat oil in a pan on medium flame, add the mustard seeds, urad dal and let it crackle.Add the dried red chillies and let it splutter.Add the shallots, green chilly and saute until the onions turn translucent.Add the amaranth greens, season with salt and saute until the greens wilts.Add the mandi water and simmer for 2 minutes.Now, add the coconut milk, bring it to a rolling boil and switch off the flame.Serve the Chettinad Keerai Mandi Recipe along with Steamed Rice, Paruppu Urundai Kuzhambu and Beans Poriyal to make it a complete Chettinad style lunch over the weekend.
</t>
  </si>
  <si>
    <t xml:space="preserve">செட்டிநாடு கீரை மண்டி ரெசிபியை செய்ய ஆரம்பிப்பதற்கு, செட்டிநாடு இலைகளையோ அல்லது உங்களுக்கு விருப்பமான கீரைகளையோ சுத்தம் செய்து கழுவி பொடியாக நறுக்கி தனியாக வைக்கவும் வெங்காயம், பச்சை மிளகாய் மற்றும் வெங்காயம் கசியும் வரை வதக்கவும். பெருங்காயத்தூள் சேர்த்து, உப்பு சேர்த்து, பச்சை வாடும் வரை வதக்கவும். மண்டி தண்ணீர் சேர்த்து 2 நிமிடம் வதக்கவும். இப்போது, ​​தேங்காய்ப் பால் சேர்த்து, ஒரு கொதி நிலைக்கு கொண்டு வந்து, செட்டிநாடு கீரை, செட்டிநாடு கீரையுடன் சேர்த்து பரிமாறவும். குழம்பு மற்றும் பீன்ஸ் பொரியல் வார இறுதியில் செட்டிநாடு பாணி மதிய உணவாக மாற்றும்.
</t>
  </si>
  <si>
    <t>http://www.archanaskitchen.com/chettinad-keerai-mandi-recipe-with-amaranth-greens</t>
  </si>
  <si>
    <t>Chettinad Style Kolhu Thogyal Recipe (Horse Chutney)</t>
  </si>
  <si>
    <t>செட்டிநாடு ஸ்டைல் ​​கொள்ளு தோகயல் செய்முறை (குதிரை சட்னி)</t>
  </si>
  <si>
    <t>1/2 கப் குதிரைவாலி (கொள்ளு/குளித்), 3 காய்ந்த மிளகாய், 10 பல் பூண்டு, 20 கிராம் புளி - நெல்லிக்காய் அளவு, 1 வெங்காயம் - நடுத்தர அளவு, 1 டீஸ்பூன் சீரகம் (ஜீரா), 1/2 தேக்கரண்டி முழு கருப்பு மிளகு, உப்பு - தேவைக்கேற்ப, 2 தேக்கரண்டி சூரியகாந்தி விதைகள், 1 தேக்கரண்டி சூரியகாந்தி விதைகள், 1 தேக்கரண்டி சூரியகாந்தி விதைகள் தளிர் கறிவேப்பிலை</t>
  </si>
  <si>
    <t>1/2 cup Horse Gram Dal (Kollu/ Kulith),3 Dry Red Chillies,10 cloves Garlic,20 grams Tamarind - gooseberry sized,1 Onion - medium size,1 teaspoon Cumin seeds (Jeera),1/2 teaspoon Whole Black Peppercorns,Salt - as required,2 teaspoon Sunflower Oil,1 teaspoon Sunflower Oil,1 teaspoon Mustard seeds,1 sprig Curry leaves</t>
  </si>
  <si>
    <t xml:space="preserve">To begin making Chettinadu Style Kollu Thogayal, dry roast the kollu in low flame on a heavy bottomed pan for few minutes. Switch off the flame once you get the aromas of the lentil. Once roasted, let it cool. Add the roasted kollu to pressure cooker along with enough water to cover the amount of kollu in the vessel. Pressure cook for 3 whistles. Once the pressure releases naturally, drain excess water into a bowl. You can use this kollu water for making rasam or add it while grinding chutney. Heat a heavy bottomed pan with oil, add Cumin seeds and whole black pepper seeds. Once it splutters, add red chilli, garlic and onion on a medium flame. Saute until the onion turns translucent. Add tamarind to the mixture, switch off and allow it to cool.Once this mixture cools, add it to mixer along with cooked kollu and required amount of salt. Add a little filtered kollu water and grind into coarse paste.In a tempering pan, heat one teaspoon oil and add mustard seeds and curry leaves to oil and allow them to crackle.  Once it stops crackling add it to the chutney and stir well.Serve Chettinadu Style Kollu Thogayal with hot rice and Homemade Ghee and Veppam Poo Rasam Recipe to make it a brilliant lunch for a busy day.
</t>
  </si>
  <si>
    <t xml:space="preserve">செட்டிநாடு ஸ்டைல் ​​கொள்ளுத் தோகையை உருவாக்கத் தொடங்க, கொள்ளுவை அடி கனமான பாத்திரத்தில் சில நிமிடங்களுக்கு குறைந்த தீயில் வறுக்கவும். பருப்பு வாசனை வந்ததும் தீயை அணைக்கவும். வெந்ததும் ஆறவிடவும். வறுத்த கொள்ளுவை பிரஷர் குக்கரில் போதுமான அளவு தண்ணீர் சேர்த்து பாத்திரத்தில் உள்ள கொள்ளு அளவு மறைக்கவும். 3 விசில் வரை பிரஷர் குக் செய்யவும். அழுத்தம் இயற்கையாக வெளியேறியதும், அதிகப்படியான தண்ணீரை ஒரு கிண்ணத்தில் வடிகட்டவும். இந்த கொள்ளு நீரை ரசம் செய்வதற்கு பயன்படுத்தலாம் அல்லது சட்னி அரைக்கும் போது சேர்க்கலாம். அடி கனமான பாத்திரத்தை எண்ணெயுடன் சூடாக்கி, சீரகம் மற்றும் முழு கருப்பு மிளகு விதைகளை சேர்க்கவும். அது வதங்கியதும், மிதமான தீயில் சிவப்பு மிளகாய், பூண்டு மற்றும் வெங்காயத்தை சேர்க்கவும். வெங்காயம் கசியும் வரை வதக்கவும். கலவையில் புளியைச் சேர்த்து, அணைத்து, ஆறவிடவும். இந்தக் கலவை ஆறியவுடன், சமைத்த கொள்ளு மற்றும் தேவையான அளவு உப்பு சேர்த்து மிக்ஸியில் சேர்க்கவும். சிறிது வடிகட்டி கொள்ளு தண்ணீர் சேர்த்து கரடுமுரடான விழுதாக அரைக்கவும். ஒரு டீஸ்பூன் எண்ணெயை சூடாக்கி, கடுகு மற்றும் கறிவேப்பிலையை எண்ணெயில் சேர்த்து வெடிக்க அனுமதிக்கவும்.  வெடிப்பதை நிறுத்தியதும், சட்னியில் சேர்த்து நன்கு கிளறவும். செட்டிநாடு ஸ்டைல் ​​கொள்ளுத் தோகையை சூடான சாதம் மற்றும் வீட்டில் செய்த நெய் மற்றும் வேப்பம் பூ ரசம் ரெசிபியுடன்  பரிமாறவும்.
</t>
  </si>
  <si>
    <t>http://www.archanaskitchen.com/chettinadu-style-kollu-thogayal-recipe-horsegram-chutney</t>
  </si>
  <si>
    <t>Chakravalli Potato Fry Recipe - Spicy Sweet Potato Fry</t>
  </si>
  <si>
    <t>சக்கரவல்லி கிழங்கு பொரியல் செய்முறை - காரமான இனிப்பு உருளைக்கிழங்கு வறுவல்</t>
  </si>
  <si>
    <t>3 உருளைக்கிழங்கு, 1/2 டீஸ்பூன் பெருங்காயம் (கீல்), 1/4 டீஸ்பூன் கடுகு, 1/4 டீஸ்பூன் வெள்ளை உளுத்தம் பருப்பு (பிளவு), 1/4 டீஸ்பூன் மஞ்சள் தூள் (ஹால்டி), 1 டீஸ்பூன் சிவப்பு மிளகாய் தூள், 1 துளிர் கறிவேப்பிலை, 2 தேக்கரண்டி எள் (இஞ்சி) எண்ணெய், உப்பு - சுவைக்க</t>
  </si>
  <si>
    <t>3 Sweet Potatoes,1/2 teaspoon Asafoetida (hing),1/4 teaspoon Mustard seeds,1/4 teaspoon White Urad Dal (Split),1/4 teaspoon Turmeric powder (Haldi),1 teaspoon Red Chilli powder,1 sprig Curry leaves,2 tablespoons Sesame (Gingelly) Oil,Salt - to taste</t>
  </si>
  <si>
    <t xml:space="preserve">To begin making the Spicy Sweet Potato Roast Recipe/ Sakkaravalli Kizhangu Poriyal Recipe, first get all the ingredients ready. Peel and cut the sweet potatoes into 1 inch size pieces and soak in water to prevent discoloration.Heat two tablespoon of oil in a wok over medium heat. Add the mustard seeds, urad dal and allow them to crackle and turn golden brown and crisp.Stir in the curry leaves, asafoetida and finally the peeled and cut sweet potatoes.Sprinkle salt and stir well to combine. Cover the pan and turn the heat to low and cook the sweet potatoes until they are almost cooked.Towards the end, stir in the turmeric powder and red chilli powder. Stir well to combine and finally cook the sweet potato roast/ Sakkaravalli Kizhangu Poriyal without the lid and allow it to roast until golden and slightly crisp. Roast the sweet potatoes/Sakkaravalli Kizhangu Poriyal until they have a slightly crispy texture. Remember the sweet potatoes drink a lot of oil, so adding more oil will give a more roasted feel, but watch out for that excess. Once the Sweet potatoes/Sakkaravalli Kizhangu Poriyal are well roasted, check the salt and spice levels and adjust to suit your taste. Turn off the heat and transfer the Sakkaravalli Kizhangu Poriyal into a serving dish.Serve Sakkaravalli Kizhangu Poriyal along with Yeruvalli Kuzhambuand Steamed Rice for a weekday lunch. You can also pack this with Tawa Paratha for Lunch Box.
</t>
  </si>
  <si>
    <t xml:space="preserve">காரவல்லி கிழங்கு பொரியல் ரெசிபி/ காரவல்லி கிழங்கு பொரியல் ரெசிபியை செய்ய ஆரம்பிக்க, முதலில் அனைத்து பொருட்களையும் தயார் செய்யவும். உருளைக்கிழங்கை தோலுரித்து, 1 அங்குல அளவு துண்டுகளாக வெட்டி, நிறமாற்றத்தைத் தடுக்க தண்ணீரில் ஊற வைக்கவும். மிதமான தீயில் ஒரு வாணலியில் இரண்டு தேக்கரண்டி எண்ணெயை சூடாக்கவும். கடுகு, உளுத்தம்பருப்பு சேர்த்து, வெடித்து, பொன்னிறமாகவும், மிருதுவாகவும் மாறவும். கறிவேப்பிலை, பெருங்காயம் மற்றும் இறுதியாக நறுக்கிய இனிப்பு உருளைக்கிழங்கு சேர்த்து கிளறவும். உப்பு தூவி நன்கு கலக்கவும். கடாயை மூடி, வெப்பத்தை குறைத்து, இனிப்பு உருளைக்கிழங்குகள் கிட்டத்தட்ட வேகும் வரை சமைக்கவும். இறுதியில், மஞ்சள் தூள் மற்றும் சிவப்பு மிளகாய் தூள் சேர்த்து கிளறவும். ஒன்றிணைக்க நன்கு கிளறி, இறுதியாக இனிப்பு உருளைக்கிழங்கு வறுவல்/ சக்கரவல்லி கிழங்கு பொரியலை மூடி இல்லாமல் சமைக்கவும், பொன்னிறமாகவும் சற்று மிருதுவாகவும் வறுக்க அனுமதிக்கவும். இனிப்பு உருளைக்கிழங்கு/சக்கரவல்லி கிழங்கு பொரியலை சிறிது மிருதுவாகும் வரை வறுக்கவும். இனிப்பு உருளைக்கிழங்கு நிறைய எண்ணெய் குடிப்பதை நினைவில் கொள்ளுங்கள், எனவே அதிக எண்ணெயைச் சேர்ப்பது அதிக வறுத்த உணர்வைத் தரும், ஆனால் அது அதிகமாக இருப்பதைக் கவனியுங்கள். இனிப்பு உருளைக்கிழங்கு / சக்கரவல்லி கிழங்கு பொரியல் நன்கு வறுத்தவுடன், உப்பு மற்றும் மசாலா அளவை சரிபார்த்து, உங்கள் சுவைக்கு ஏற்ப சரிசெய்யவும். வெப்பத்தை அணைத்துவிட்டு, சக்கரவல்லி கிஷங்கு போரியலை ஒரு பரிமாறும் உணவாக மாற்றவும். மதிய உணவுப் பெட்டிக்கான தவா பராத்தா இதையும் பேக் செய்யலாம்.
</t>
  </si>
  <si>
    <t>https://www.archanaskitchen.com/sakkaravalli-kizhangu-poriyal-recipe-spicy-sweet-potato-roast</t>
  </si>
  <si>
    <t>Chettinad Style Pepper Mushroom Recipe - Chettinad Style Pepper Mushroom (Hindi Recipe)</t>
  </si>
  <si>
    <t>செட்டிநாடு ஸ்டைல் ​​மிர்ச் மஷ்ரூம் ரெசிபி - செட்டிநாடு ஸ்டைல் ​​பெப்பர் காளான் (இந்தி செய்முறை)</t>
  </si>
  <si>
    <t>1 கப் பட்டன் மஷரும் - சாஃப் கரகே காட் லே,1 டமாடர் - பாரிக் காட் லெ,1 ஹரி மிர்ச் - கே, 1 பட்டா,1/2 चोटा चम्च सौंफ,1 टहनी कढ़ी पत्ता,टहनी हरा धनिया - लका, 2 க்டோடா சமச்ச டெல்,நமக் - ஸ்வாத் அனுசார்,4 ச்சோடா சமச்ச நாரியல் - கஸ் லே,1 பட்ச் தானியே கே பீஜ்,1 சோடா சமச்ச பூரி காளி மிர்ச்,1 ச்சோடா சமச்ச ஜீரா, 1 சமச்ச குஸ் குஸ்,1 ச்சோடா சமச்ச சவுண்ட்,1 டல் சீனி,2 இலைச்சி,4 லக்,1 ஃபூல்,1 ஜாவித்ரி,1/4 க்டோடா சமச்ச ஜெயஃபல்,3 சுகி லால் மிர்ச்,2 சந்தோசம் உரத் தால் (பிளவு),10 பியாஜ்,5 லாங் லஹசுன் - சில்கா நிகல் லெ,2 இது அதரக்,1 டஹனி க,1த்/2 छोटा चम्च हल्दी बोडर</t>
  </si>
  <si>
    <t>1 cup Button mushrooms - clean and chop, 1 tomato - finely chopped, 1 green chili - chopped, 1 bay leaf, 1/2 teaspoon fennel, 1 sprig curry leaves, sprig green coriander - finely chopped, 2 small Spoon oil, salt - as per taste, 4 teaspoons coconut - Tighten, 1 tablespoon coriander seeds, 1 teaspoon whole pepper, 1 teaspoon cumin seeds, 1 teaspoon poppy seeds, 1 teaspoon fennel, 1 lentil sugar, 2 cardamom, 4 long, 1 round flower, 1 mace, 1/4 teaspoon nutmeg, 3 dry red chillies, 2 teaspoons white urad dal (split), 10 onions, 5 long garlic - peel off, 2 ginger, 1 sprig curry leaves, 1/2 teaspoon turmeric powder</t>
  </si>
  <si>
    <t>To make Chettinad Style Pepper Mushroom, first make the spice mix. Now take a pan and add all the spices. Roast them and then grind them in a mixer grinder. Now take a jar and add onion, ginger, garlic, curry leaves and turmeric powder in it and keep it aside. Now heat oil in a pan. Add bay leaves, fennel seeds, curry leaves and cook for 10 seconds. After 10 seconds add tomatoes, green chillies and cook for 5 minutes. After 5 minutes add onion, ginger garlic paste and cook for 3 minutes. After 3 minutes, add dry ground masala, salt and some water and cook for 10 minutes. After 10 minutes add mushrooms and cook for 3 minutes. After the mushrooms are cooked, turn off the gas and garnish with coriander leaves. Serve Chettinad Style Pepper Mushrooms along with Gujarati Dal, Boondi Raita and Phulkas for dinner.</t>
  </si>
  <si>
    <t xml:space="preserve">செட்டிநாடு ஸ்டைல் ​​காளி மிர்ச் மஷரும் பனானே ஸ்பைஸ் மிக்ஸ் பேனா AB ஒரு கதை லே மற்றும் சாரே மசாலே தால் லே. அவர் செக் லே மற்றும் ஃபிர் மிக்சர் கிரைண்டர் மென் டால் கர் பீஸ் லே.  அபி ஒரு ஜார் லே மற்றும் உசமே ப்யாஜ், அதரக், லஹசுன், கத்தீ பட்டா மற்றும் ஹல்டி வடை से रख दे.AB ஒரு கதையில் டெல் கரம் கர் லே. இதேபோல் தேஜ் பட்டா, சவுன்ஃப், கத்தீ பட்டா டாலே மற்றும் 10 செகண்ட்ஸ் தக் பகாஏ. 10 விநாடிகள் அதே போல் டமாடர், ஹரி மிர்ச் டேல் மற்றும் 5 நிமிடங்களுக்குப் பிறகு. 5 நிமிடங்களுக்குப் பிறகு ப்யாஜ், அடர்க் லஹசுன் கா பெஸ்ட் டேல் மற்றும் 3 நிமிடம் பகாஏ. 3 நிமிடம், அதே போல் சுகா பிசா ஹுவா மசாலா, நமக் மற்றும் டோடா பானி டால் டால் 10 10 நிமிடங்களுக்குப் பிறகு மஷரும் டேல் மற்றும் 3 நிமிடம். மஷரும் கே பக் ஜானே கே பாத் கைஸ் பந்த் கரேன் மற்றும் ஹரே தனியே சே கார்னிஷ் கரேம். செட்டிநாடு ஸ்டைல் ​​காளி மிர்ச் மஷரும் கோ குஜராத்தி தால், பூண்டி ராயதா கேதர் கேஃபர் கானே பற்றி.
</t>
  </si>
  <si>
    <t>https://www.archanaskitchen.com/chettinad-style-pepper-mushroom-recipe-in-hindi</t>
  </si>
  <si>
    <t>Chettinad Pea Kuruma Recipe (Chettinad Pea Gravy)</t>
  </si>
  <si>
    <t>செட்டிநாடு பட்டாணி குருமா செய்முறை (செட்டிநாடு பட்டாணி குழம்பு)</t>
  </si>
  <si>
    <t>4 டேபிள் ஸ்பூன் புதிய தேங்காய் - துருவியது, 5 முந்திரி பருப்பு, 2 டீஸ்பூன் சனா பருப்பு, 2 டீஸ்பூன் கசகசா, 5 கிராம்பு பூண்டு, 1 இன்ச் இஞ்சி, 1 இலவங்கப்பட்டை (டால்சினி), 3 கிராம்பு (லாங்), 1 ஏலக்காய் (எலச்சி) காய்கள்/விதைக்கு 1 தேக்கரண்டி, ருசி, 1 கப் பச்சைப் பட்டாணி (மேட்டர்) - வேகவைத்தது, 1 வெங்காயம் - பொடியாக நறுக்கியது, 1 தக்காளி - பொடியாக நறுக்கியது, 2 டீஸ்பூன் சூரியகாந்தி எண்ணெய், 1 இலவங்கப்பட்டை (டால்சினி), 2 கிராம்பு (லாங்), 1 ஏலக்காய் (எலைச்சி) காய்கள்/விதைகள், 1/2 தேக்கரண்டி பெருஞ்சீரகம், விதைகள் 1 தேக்கரண்டி, லெஸ்பிரி சாறு, 1 தேக்கரண்டி கறிவேப்பிலை, உப்பு - தேவையான அளவு</t>
  </si>
  <si>
    <t>4 tablespoons Fresh coconut - grated,5 Cashew nuts,2 teaspoons Chana dal (Bengal Gram Dal),2 teaspoons Poppy seeds,5 cloves Garlic,1 inch Ginger,1 Cinnamon Stick (Dalchini),3 Cloves (Laung),1 Cardamom (Elaichi) Pods/Seeds,1 teaspoon Fennel seeds (Saunf),4 Green Chillies - adjust as per taste,1 cup Green peas (Matar) - steamed,1 Onion - finely chopped,1 Tomato - finely chopped,2 teaspoons Sunflower Oil,1 Cinnamon Stick (Dalchini),2 Cloves (Laung),1 Cardamom (Elaichi) Pods/Seeds,1/2 teaspoon Fennel seeds (Saunf),1 teaspoon Red Chilli powder,2 teaspoon Lemon juice,1 sprig Curry leaves,Salt - to taste</t>
  </si>
  <si>
    <t xml:space="preserve">To begin making Chettinad Pattani Kuruma Recipe (Chettinad Peas Curry), steam the green peas in a pressure cooker or steamer for few minutes and keep it aside.Now take a pan and dry roast the ingredients except grated coconut in medium heat till aromatic.Lastly, add the coconut and stir till it becomes light brown. Cool this mixture and grind it in a mixer grinder to a paste consistency by adding a little water in a mixer and keep it aside.Take another pan heat oil, put the cinnamon stick, cloves, cardamom and fennel seeds and let it splutter.To this add the onions and sauté till it becomes translucent.Add the chopped tomatoes and cook until the mixture becomes mushy.Add the ground paste to this and enough water, season with salt and bring it to a rolling boil. The gravy should be little thin since it will thicken when it cools down.Add the steamed green peas and simmer over low heat for ten minutes and switch off the flame.Pour the lemon juice over it, mix and serve the Chettinad Pattani Kurma Recipe (Chettinad Peas Curry) with ghee rice or any Indian bread like Phulkas, Tawa Paratha or Naan.
</t>
  </si>
  <si>
    <t xml:space="preserve">செட்டிநாடு பட்டாணி குருமா ரெசிபி (செட்டிநாடு பட்டாணி குழம்பு) செய்ய ஆரம்பிக்க, பச்சை பட்டாணியை பிரஷர் குக்கரில் அல்லது ஸ்டீமரில் சில நிமிடங்கள் ஆவியில் வேகவைத்து தனியாக வைக்கவும். இப்போது ஒரு கடாயை எடுத்து, துருவிய தேங்காய் தவிர பொருட்களை மிதமான சூட்டில் வாசனை வரும் வரை வறுக்கவும். இந்தக் கலவையை ஆறவைத்து, மிக்ஸியில் சிறிது தண்ணீர் சேர்த்து பேஸ்ட் பதத்திற்கு அரைத்து, தனியே வைக்கவும். மற்றொரு கடாயில் எண்ணெய் ஊற்றி, லவங்கப்பட்டை, கிராம்பு, ஏலக்காய், பெருஞ்சீரகம் ஆகியவற்றைப் போட்டு வதக்கி இறக்கவும். இதற்கு தேவையான அளவு தண்ணீர், உப்பு சேர்த்து கொதிக்க வைக்கவும். குழம்பு சிறிது மெல்லியதாக இருக்க வேண்டும், ஏனெனில் அது ஆறியதும் கெட்டியாகும். வேகவைத்த பச்சை பட்டாணியைச் சேர்த்து, பத்து நிமிடம் குறைந்த தீயில் வதக்கி, தீயை அணைக்கவும். எலுமிச்சை சாற்றை ஊற்றி, செட்டிநாடு பட்டாணி குருமா செய்முறையை (செட்டிநாடு பட்டாணி கறி) நெய் சாதம் அல்லது தவ பராத்தா போன்ற இந்திய ரொட்டியுடன் கலந்து பரிமாறவும்.
</t>
  </si>
  <si>
    <t>http://www.archanaskitchen.com/chettinad-pattani-kurma-recipe-chettinad-peas-curry</t>
  </si>
  <si>
    <t>Chettinad Chicken Gravy Recipe - Chettinad Chicken Gravy</t>
  </si>
  <si>
    <t>செட்டிநாடு கோழி குழம்பு செய்முறை - செட்டிநாடு கோழி குழம்பு</t>
  </si>
  <si>
    <t>500 கிராம் சிக்கன், 1-1/2 கப் வெங்காயம் - பொடியாக நறுக்கியது, 1 தக்காளி - நறுக்கியது, 2 துளிர் கறிவேப்பிலை, 1/2 தேக்கரண்டி பெருஞ்சீரகம் (சான்ஃப்), 4 காய்ந்த மிளகாய், 3 பச்சை மிளகாய், 1 தேக்கரண்டி இஞ்சி பூண்டு விழுது, 1/2 தேக்கரண்டி மஞ்சள் தூள் - 1 தேக்கரண்டி வறுத்த, 1 தேக்கரண்டி கொத்தமல்லி தூள் (தானியா), 2 தேக்கரண்டி சிவப்பு மிளகாய் தூள், 1 தேக்கரண்டி கருப்பு மிளகு தூள், 1/2 கப் புளி தண்ணீர், உப்பு - சுவைக்கு, 3 தேக்கரண்டி சூரியகாந்தி எண்ணெய், தண்ணீர் - தேவைக்கேற்ப, கொத்தமல்லி (தானியா) இலைகள் - அலங்காரத்திற்காக நறுக்கியது</t>
  </si>
  <si>
    <t>500 grams Chicken,1-1/2 cup Shallots - chopped,1 Tomatoes - chopped,2 sprig Curry leaves,1/2 teaspoon Fennel seeds (Saunf),4 Dry Red Chillies,3 Green Chillies,1 tablespoon Ginger Garlic Paste,1/2 teaspoon Turmeric powder (Haldi) - + 1/2 teaspoon extra,1 teaspoon Fennel Powder - roasted,1 tablespoon Coriander Powder (Dhania),2 tablespoon Red Chilli powder,1 teaspoon Black pepper powder,1/2 cup Tamarind Water,Salt - to taste,3 tablespoon Sunflower Oil,Water - as required,Coriander (Dhania) Leaves - chopped for garnish</t>
  </si>
  <si>
    <t xml:space="preserve">To begin making the Chettinadu Kuzhambu recipe, clean the chicken thoroughly. Then add about 1/2 teaspoon of turmeric powder and water until chicken in fully immersed and let it sit for 10 minutes. Then drain the turmeric water and marinate with little salt. This step of washing chicken in turmeric water will reduce the smell in the chicken.In a wok/kadai, add oil on medium flame. First add finely chopped shallots and sauté till onions turn soft. Then add ginger garlic paste and cook till the raw smell of the paste is gone.Add fennel seeds, curry leaves, dried red chilies, green chilies and continur to cook for another minute or so. Add finely chopped tomatoes and cook till tomatoes turn soft and mushy.Now add the marinated chicken and let it cook for 3 to 5 minutes.Add all the spice powders, mix well. Cook for another 5 minutes.Now add salt and about 1/2 cup water. Cover and cook until chicken is 3/4 cooked.Now add tamarind juice, mix well and continue to cook on low flame for about 10 minutes.Finally add chopped fresh coriander leaves and curry leaves. Turn off flame. Serve hot.Serve Chettinadu Kozhi Kuzhambu Recipe  along with Steamed Rice  and Spicy Chettinad Fish Fry Recipe for a weekday lunch or dinner.
</t>
  </si>
  <si>
    <t xml:space="preserve">செட்டிநாடு குழம்பு செய்முறையைத் தொடங்க, கோழியை நன்கு சுத்தம் செய்யவும். பின்னர் சுமார் 1/2 டீஸ்பூன் மஞ்சள் தூள் மற்றும் தண்ணீரை கோழி முழுவதுமாக மூழ்கும் வரை சேர்த்து 10 நிமிடங்கள் உட்கார வைக்கவும். பிறகு மஞ்சள் தண்ணீரை வடித்து சிறிது உப்பு சேர்த்து தாளிக்கவும். கோழிக்கறியை மஞ்சள் நீரில் கழுவும் இந்த படி கோழியின் வாசனையை குறைக்கும். ஒரு வாணலியில்/கடாயில், மிதமான தீயில் எண்ணெய் சேர்க்கவும். முதலில் பொடியாக நறுக்கிய வெங்காயத்தைச் சேர்த்து வெங்காயம் மென்மையாகும் வரை வதக்கவும். பின்னர் இஞ்சி பூண்டு விழுது சேர்த்து, பேஸ்டின் பச்சை வாசனை போகும் வரை வதக்கவும். பெருஞ்சீரகம் விதைகள், கறிவேப்பிலை, காய்ந்த சிவப்பு மிளகாய், பச்சை மிளகாய் சேர்த்து மற்றொரு நிமிடம் அல்லது அதற்கு மேல் சமைக்கவும். பொடியாக நறுக்கிய தக்காளியைச் சேர்த்து, தக்காளி மென்மையாகவும், மிருதுவாகவும் மாறும் வரை வதக்கவும். இப்போது மாரினேட் செய்த சிக்கனைச் சேர்த்து 3 முதல் 5 நிமிடங்கள் வரை சமைக்கவும். அனைத்து மசாலாப் பொடிகளையும் சேர்த்து நன்கு கலக்கவும். மற்றொரு 5 நிமிடங்களுக்கு சமைக்கவும். இப்போது உப்பு மற்றும் சுமார் 1/2 கப் தண்ணீர் சேர்க்கவும். கோழிக்கறி 3/4 வேகும் வரை மூடி வைத்து சமைக்கவும். இப்போது புளி சாறு சேர்த்து நன்கு கலந்து குறைந்த தீயில் சுமார் 10 நிமிடங்கள் சமைக்கவும். இறுதியாக நறுக்கிய புதிய கொத்தமல்லி இலைகள் மற்றும் கறிவேப்பிலை சேர்க்கவும். தீயை அணைக்கவும். சூடாகப் பரிமாறவும். செட்டிநாடு கோழிக் குழம்பு ரெசிபியை  வேகவைத்த அரிசி  மற்றும் மசாலா செட்டிநாடு மீன் வறுவல் ரெசிபி யுடன் வார நாள் மதிய உணவு அல்லது இரவு உணவிற்குப் பரிமாறவும்.
</t>
  </si>
  <si>
    <t>https://www.archanaskitchen.com/chettinadu-kozhi-kuzhambu-recipe-chettinadu-chicken-curry</t>
  </si>
  <si>
    <t>Eggplant Sundakkai Vathal Kulambu Recipe</t>
  </si>
  <si>
    <t>கத்திரிக்காய் சுண்டக்காய் வத்தல் குழம்பு செய்முறை</t>
  </si>
  <si>
    <t>2 தேக்கரண்டி சுண்டக்காய் (வான்கோழி பெர்ரி), 2 தேக்கரண்டி எள் (இஞ்சி) எண்ணெய், 1/2 தேக்கரண்டி கடுகு, 1/4 டீஸ்பூன் மேத்தி விதைகள் (வெந்தயம் விதைகள்), 2 துளிர் கறிவேப்பிலை, 1/4 டீஸ்பூன் சாதத்தை (கீல்), 12 முத்து வெங்காயம் (சாம்பார் வெங்காயம் மற்றும் கால் துருவல்) - கத்தரிக்காய் - கால்சட்டை மற்றும் உப்பு நீரில் ஊறவைத்தது, 50 கிராம் புளி - தண்ணீரில் ஊறவைத்தது, 2 டேபிள்ஸ்பூன் சாம்பார் பொடி - வீட்டில், 1 கப் தண்ணீர், 1 தேக்கரண்டி வெல்லம், உப்பு - தேவையான அளவு</t>
  </si>
  <si>
    <t>2 tablespoons Sundakkai (Turkey Berries),2 tablespoons Sesame (Gingelly) Oil,1/2 teaspoon Mustard seeds,1/4 teaspoon Methi Seeds (Fenugreek Seeds),2 sprig Curry leaves,1/4 teaspoon Asafoetida (hing),12 Pearl onions (Sambar Onions) - peeled and quartered,6 Brinjal (Baingan / Eggplant) - quartered and soaked in salt water,50 grams Tamarind - soaked in water,2 tablespoons Sambar Powder - homemade,1 cup Water,1 tablespoon Jaggery,Salt - to taste</t>
  </si>
  <si>
    <t xml:space="preserve">To begin making Kathirikai Sundakkai Vathal Kuzhambu, prep all the ingredients and keep ready.Extract the tamarind water, until you get 2 cups of tamarind water from the soaked tamarind. Keep this aside.Heat oil in a pan over medium heat; add the sundakkai and roast until it is dark brown in colour and crisp. Once roasted, keep the sundakkai to the side.Preheat oil in a pan over medium heat, add the mustard seeds and fenugreek seeds. Allow it to crackle.Add the curry leaves, asafoetida, onion and brinjal (drain the water it was soaked in). Saute the onion and brinjal until the onion is roasted and brinjal is cooked and roasted. Cover the pan so the brinjal cooks faster.Once done, add the roasted sundakkai, tamarind water, water, homemade sambar powder, jaggery and salt. Simmer the Kathirikai Sundakkai Vathal Kuzhambu for 15 to 20 minutes until the raw taste from the tamarind goes away and the vathal kuzhambu has thickened. Give the Kathirikai Sundakkai Vathal Kuzhambu a stir occasionally so that the gravy does not stick to the bottom. Once done, check the taste and adjust the salt and spices accordingly. Turn off the heat and transfer the Kathirikai Sundakkai Vathal Kuzhambu to a serving bowl and serve hot.Serve this delicious Kathirikai Sundakkai Vathal Kuzhambu along with Hot Steamed Rice, Capsicum Masala Poriyal Recipe and Elai Vadam for a delicious Tamilnadu Style lunch. 
</t>
  </si>
  <si>
    <t xml:space="preserve">கத்திரிக்காய் சுண்டக்காய் வத்தல் குழம்பு தயாரிக்கத் தொடங்க, அனைத்து பொருட்களையும் தயார் செய்து தயார் நிலையில் வைக்கவும். ஊறவைத்த புளியில் இருந்து 2 கப் புளி தண்ணீர் கிடைக்கும் வரை புளி தண்ணீரை எடுக்கவும். இதை ஒதுக்கி வைக்கவும்.ஒரு பாத்திரத்தில் மிதமான சூட்டில் எண்ணெயை சூடாக்கவும்; சுண்டக்காய் சேர்த்து அது அடர் பழுப்பு நிறமாகவும் மிருதுவாகவும் இருக்கும் வரை வறுக்கவும். வறுத்தவுடன், சுண்டக்காய் பக்கவாட்டில் வைக்கவும். மிதமான தீயில் ஒரு கடாயில் எண்ணெயை சூடாக்கி, கடுகு மற்றும் வெந்தயத்தை சேர்க்கவும். வெடிக்க அனுமதிக்கவும். கறிவேப்பிலை, சாதத்தை, வெங்காயம் மற்றும் பிரிஞ்சி சேர்க்கவும் (அதில் ஊறவைத்த தண்ணீரை வடிகட்டவும்). வெங்காயம் மற்றும் கத்தரிக்காயை வெங்காயம் வறுத்து, கத்தரிக்காயை சமைத்து வறுக்கும் வரை வதக்கவும். கடாயை மூடி வைக்கவும், அதனால் பிரிஞ்சி வேகமாக வேகும். முடிந்ததும், வறுத்த சுண்டக்காய், புளி தண்ணீர், தண்ணீர், வீட்டில் சாம்பார் பொடி, வெல்லம் மற்றும் உப்பு சேர்க்கவும். கத்திரிக்காய் சுண்டக்காய் வத்தல் குழம்புவை 15 முதல் 20 நிமிடங்கள் வரை வேகவைக்கவும். கிரேவி அடியில் ஒட்டாமல் இருக்க கத்திரிக்காய் சுண்டக்காய் வத்தல் குழம்புவை அவ்வப்போது கிளறவும். முடிந்ததும், சுவையை சரிபார்த்து, அதற்கேற்ப உப்பு மற்றும் மசாலாவை சரிசெய்யவும். வெப்பத்தை அணைத்து, கத்திரிக்காய் சுண்டக்காய் வத்தல் குழம்புவை பரிமாறும் பாத்திரத்தில் மாற்றி சூடாகப் பரிமாறவும். இந்த சுவையான கத்திரிகை சுண்டக்காய் வத்தல் குழம்பு, சூடான வேகவைத்த சாதம், கேப்சிகம் மசாலா பொரியல் செய்முறை மற்றும் இலை வடம் ஆகியவற்றுடன் சுவையான தமிழ்நாட்டு ஸ்டைல் ​​மதிய உணவாக பரிமாறவும். 
</t>
  </si>
  <si>
    <t>http://www.archanaskitchen.com/chettinadu-style-kathirikai-sundakkai-vathal-kuzhambu-gravy-recipe</t>
  </si>
  <si>
    <t>Chettinad Vegetable Biryani Recipe</t>
  </si>
  <si>
    <t>செட்டிநாடு வெஜிடபிள் பிரியாணி செய்முறை</t>
  </si>
  <si>
    <t>2 கிராம்பு (லாங்), 2 ஏலக்காய் (எலச்சி) காய்கள் / விதைகள், 1 அங்குல இலவங்கப்பட்டை (டால்சினி), 1 டீஸ்பூன் முழு கருப்பு மிளகு, 1 தேக்கரண்டி பெருஞ்சீரகம் விதைகள் (சான்ஃப்), 1 நட்சத்திர சோம்பு, 2 கல் பூ - சிறியது, 1 கப் அரிசி, 1 கேரட் (கஜ்ஜார்) - 1 கப் பச்சையாக வெட்டப்பட்டது, உருளைக்கிழங்கு (ஆலு) - துருவியது, 1/4 கப் பச்சை பட்டாணி (மேட்டர்), 12 முத்து வெங்காயம் (சாம்பார் வெங்காயம்) - பொடியாக நறுக்கியது, 2 தக்காளி - தோராயமாக நறுக்கியது, 4 பல் பூண்டு - பொடியாக நறுக்கியது, 1 இன்ச் இஞ்சி - பொடியாக நறுக்கியது, 1 பே இலை (தேஜ் பட்டாணி, 4 கப்) - தோராயமாக நறுக்கியது, 1 தேக்கரண்டி சிவப்பு மிளகாய் தூள், 1 தேக்கரண்டி கொத்தமல்லி தூள் (தானியா), 1 தேக்கரண்டி நெய், உப்பு - ருசிக்கேற்ப, 1 தேக்கரண்டி நெய், 1/4 கப் முந்திரி பருப்பு - உடைந்தது</t>
  </si>
  <si>
    <t>2 Cloves (Laung),2 Cardamom (Elaichi) Pods/Seeds,1 inch Cinnamon Stick (Dalchini),1 teaspoon Whole Black Peppercorns,1 teaspoon Fennel seeds (Saunf),1 Star anise,2 Stone flower - small,1 cup Rice,1 Carrot (Gajjar) - diced,1/2 cup Green beans (French Beans) - cut lengthwise,1 Potato (Aloo) - diced,1/4 cup Green peas (Matar),12 Pearl onions (Sambar Onions) - finely chopped,2 Tomatoes - roughly chopped,4 cloves Garlic - finely chopped,1 inch Ginger - finely chopped,1 Bay leaf (tej patta) - roughly torn,1/4 cup Mint Leaves (Pudina) - roughly chopped,1 teaspoon Red Chilli powder,1 tablespoon Coriander Powder (Dhania),1 tablespoon Ghee,Salt - to taste,1 tablespoon Ghee,1/4 cup Cashew nuts - broken</t>
  </si>
  <si>
    <t xml:space="preserve">To begin making the Chettinad Vegetable Biryani Recipe, get all the ingredients ready and keep them aside.The first step is to roast all the spices. In to a pan, add the cloves, cardamom, pepper, fennel seeds, cinnamon, star anise and stone flower. Roast for about a minute until you get a roasted aroma.Once roasted, grind to make a fine powder of the spices. This will be our Biryani Masala.The next step is to make the Chettinad Veg Biryani. Heat ghee or oil into the pressure cooker over medium heat.Add the onion, ginger, garlic and saute until the onions soften. Once the onions are softened, add the tomatoes, and cook until the tomatoes soften.Finally add the vegetables, the Biryani Masala, coriander powder, red chilli powder, rice and saute for a few minutes until the rice is coated with the masalas. Stir in the mint leaves and salt.Add 2 cups water and pressure cook the biryani for 2 whistles. After 2 whistles, turn the heat to low and simmer for 3 minutes and turn off the heat. Allow the pressure to release naturally.Once the pressure releases, open the cooker and allow the Chettinad Veg Biryani to rest for about a minute before you stir.In the meanwhile, heat ghee over medium heat. Add the cashew nuts and roast until golden and crisp.Stir in the roasted cashew nuts into the Chettinad Veg Biryani and transfer to a bowl.Serve Chettinadu Vegetables Biryani along with Tomato Onion Raita and Paneer Kurma for a delicious sunday lunch.
</t>
  </si>
  <si>
    <t xml:space="preserve">செட்டிநாடு வெஜிடபிள் பிரியாணி ரெசிபியை செய்யத் தொடங்க, அனைத்து பொருட்களையும் தயார் செய்து ஒதுக்கி வைக்கவும். முதல் படி அனைத்து மசாலாப் பொருட்களையும் வறுக்க வேண்டும். ஒரு கடாயில், கிராம்பு, ஏலக்காய், மிளகு, பெருஞ்சீரகம் விதைகள், இலவங்கப்பட்டை, நட்சத்திர சோம்பு மற்றும் கல் பூவை சேர்க்கவும். வறுத்த வாசனை வரும் வரை சுமார் ஒரு நிமிடம் வறுக்கவும். வறுத்தவுடன், மசாலாவை நன்றாக தூள் செய்ய அரைக்கவும். இது எங்கள் பிரியாணி மசாலாவாக இருக்கும்.அடுத்த கட்டமாக செட்டிநாடு வெஜ் பிரியாணி செய்ய வேண்டும். பிரஷர் குக்கரில் நெய் அல்லது எண்ணெயை மிதமான சூட்டில் சூடாக்கவும். வெங்காயம், இஞ்சி, பூண்டு சேர்த்து வெங்காயம் மென்மையாகும் வரை வதக்கவும். வெங்காயம் வதங்கியதும், தக்காளியைச் சேர்த்து, தக்காளி மென்மையாகும் வரை வதக்கவும். இறுதியாக காய்கறிகள், பிரியாணி மசாலா, கொத்தமல்லி தூள், சிவப்பு மிளகாய் தூள், அரிசி மற்றும் அரிசி மசாலாவுடன் பூசப்படும் வரை சில நிமிடங்கள் வதக்கவும். புதினா இலைகள் மற்றும் உப்பு சேர்த்து கிளறவும். 2 கப் தண்ணீர் சேர்த்து பிரியாணியை 2 விசில் விட்டு பிரஷர் செய்யவும். 2 விசில் வந்ததும் அடுப்பை குறைத்து 3 நிமிடம் வேக வைத்து அடுப்பை அணைக்கவும். பிரஷரை இயற்கையாக வெளியிட அனுமதிக்கவும். பிரஷர் வெளியானதும், குக்கரைத் திறந்து, கிளறுவதற்கு முன் செட்டிநாடு வெஜ் பிரியாணியை ஒரு நிமிடம் ஓய்வெடுக்க அனுமதிக்கவும். இதற்கிடையில், மிதமான தீயில் நெய்யை சூடாக்கவும். முந்திரி பருப்பை சேர்த்து பொன்னிறமாக வறுக்கவும்
</t>
  </si>
  <si>
    <t>http://www.archanaskitchen.com/chettinad-vegetable-biryani-recipe</t>
  </si>
  <si>
    <t>Chettinad Aral Thoku Recipe - Prawn Masala</t>
  </si>
  <si>
    <t>செட்டிநாடு ஏரல் தோக்கு செய்முறை - இறால் மசாலா</t>
  </si>
  <si>
    <t>400 கிராம் இறால் - சுத்தம் செய்து வடித்தது, 1/2 கப் வெங்காயம் - தோராயமாக நறுக்கியது, 2 தக்காளி - நறுக்கியது, 2 துளிர் கறிவேப்பிலை, 1 பச்சை மிளகாய் - துண்டு, 1 1/2 டீஸ்பூன் இஞ்சி பூண்டு விழுது, 1 தேக்கரண்டி சிவப்பு மிளகாய் தூள், 1 தேக்கரண்டி கொத்தமல்லி தூள் (1 டீஸ்பூன் மல்லி தூள்), 1 தேக்கரண்டி டீஸ்பூன் எலுமிச்சை சாறு, உப்பு - ருசிக்கேற்ப, 1-1/2 தேக்கரண்டி சூரியகாந்தி எண்ணெய், கொத்தமல்லி (தானியா) இலைகள் - அலங்காரத்திற்காக நறுக்கியது</t>
  </si>
  <si>
    <t>400 grams Prawns - cleaned and deveined,1/2 cup Shallots - roughly chopped,2 Tomatoes - chopped,2 sprig Curry leaves,1 Green Chillies - slit,1 1/2 teaspoon Ginger Garlic Paste,1 tablespoon Red Chilli powder,1 teaspoon Coriander Powder (Dhania),1 teaspoon Black pepper powder,1/2 teaspoon Turmeric powder (Haldi),1 teaspoon Lemon juice,Salt - to taste,1-1/2 tablespoon Sunflower Oil,Coriander (Dhania) Leaves - chopped for garnish</t>
  </si>
  <si>
    <t xml:space="preserve">To begin making the Chettinad Eral Thokku Recipe,add salt and lemon juice to the cleaned prawns, mix well and marinate for 15 minutes in fridge.Heat oil in a Kadai. Add ginger garlic paste and sauté till the raw smell of the paste is gone.  Once done add chopped shallots, curry leaves and green chilies and cook till onions turn translucent.After the onions have turned translucent add chopped tomatoes. Cook till tomatoes turn soft and mushy and oil releases from the sides of the pan.At this stage add the spice powders like the red chilli powder, turmeric powder, coriander powder black pepper powder, salt and stir well to combine.Add marinated prawns and give it a good mix, ensure all the prawns are coated well with the masala.Add 1 tablespoon water, mix well and then cover and cook till prawns are fully cooked. If needed, add more water if the masala turns dry. The prawns release some water as well. Keep the heat to medium high. Once the prawns are cooked and the gravy has reached the desired semi gravy consistency turn off the heat. Garnish with fresh coriander leaves and serve Chettinad Eral Thokku hot.Serve Chettinad Eral Thokku with  Steamed Rice and Palak Tovve or Palak Dal Recipe (Spinach and Lentil Curry) for a comforting lunch or dinner.
</t>
  </si>
  <si>
    <t xml:space="preserve">செட்டிநாடு ஏரல் தோக்கு செய்முறையைத் தொடங்க, சுத்தம் செய்யப்பட்ட இறாலில் உப்பு மற்றும் எலுமிச்சைச் சாறு சேர்த்து, நன்றாகக் கலந்து 15 நிமிடம் ஃப்ரிட்ஜில் ஊற வைக்கவும். கடாயில் எண்ணெயைச் சூடாக்கவும். இஞ்சி பூண்டு விழுது சேர்த்து, பேஸ்டின் பச்சை வாசனை போகும் வரை வதக்கவும்.  முடிந்ததும் நறுக்கிய வெங்காயம், கறிவேப்பிலை மற்றும் பச்சை மிளகாய் சேர்த்து வெங்காயம் ஒளிரும் வரை வதக்கவும். வெங்காயம் ஒளிரும் வரை வதக்கவும். தக்காளி மென்மையாகவும், கடாயின் ஓரங்களில் இருந்து எண்ணெய் வெளியேறும் வரை வதக்கவும். இந்த நிலையில் மசாலா தூள்களான சிவப்பு மிளகாய் தூள், மஞ்சள் தூள், மல்லி தூள் கருப்பு மிளகு தூள், உப்பு சேர்த்து நன்கு கிளறவும். இறால் முழுமையாக சமைக்கப்படுகிறது. தேவைப்பட்டால், மசாலா வறண்டு போனால் மேலும் தண்ணீர் சேர்க்கவும். இறால்கள் சிறிது தண்ணீரையும் வெளியிடுகின்றன. வெப்பத்தை நடுத்தர உயரத்தில் வைக்கவும். இறால்கள் வெந்ததும், கிரேவி விரும்பிய அரை கிரேவி நிலைத்தன்மையை அடைந்ததும் அடுப்பை அணைக்கவும். புதிய கொத்தமல்லி இலைகளுடன் அலங்கரித்து, செட்டினாட் எரல் தோகு சூடாக பரிமாறவும்.
</t>
  </si>
  <si>
    <t>http://www.archanaskitchen.com/chettinad-eral-thokku-recipe-prawn-masala</t>
  </si>
  <si>
    <t>Chettinad Rasam Powder Recipe</t>
  </si>
  <si>
    <t>செட்டிநாடு ரசம் பொடி செய்முறை</t>
  </si>
  <si>
    <t>1 கப் காய்ந்த மிளகாய், 1/2 கப் கொத்தமல்லி (தானியா) விதைகள், 1/4 கப் அர்ஹர் பருப்பு (தூள் துருவல்), 1 தேக்கரண்டி சீரகம் (ஜீரா), 1 தேக்கரண்டி முழு கருப்பு மிளகு, 1 தேக்கரண்டி மேத்தி விதைகள் (வெந்தய விதைகள்), 1 தேக்கரண்டி எள் (இஞ்சி) எண்ணெய்</t>
  </si>
  <si>
    <t>1 cup Dry Red Chillies,1/2 cup Coriander (Dhania) Seeds,1/4 cup Arhar dal (Split Toor Dal),1 tablespoon Cumin seeds (Jeera),1 tablespoon Whole Black Peppercorns,1 teaspoon Methi Seeds (Fenugreek Seeds),1 tablespoon Sesame (Gingelly) Oil</t>
  </si>
  <si>
    <t xml:space="preserve">To begin making the Chettinad Rasam Powder Recipe, heat a medium size pan and dry roast the coriander seeds,fenugreek seeds and pigeon peas all separately. Roast them until they are crisp and the dals turn pinkish brown.Once roasted, set them aside to cool.In the same pan, heat 1/2 tablespoon oil in low heat and fry chillies for about 2 to 3 minutes and set it aside to cool.Heat the another 1/2 tablespoon of oil over low heat and fry cumin seeds and peppercorns separately till fragrant and set aside to cool.Combine all the above roasted chettinad rasam powder ingredients and grind them to a coarse powder and store the Chettinad Rasam powder in an airtight container.  If you plan to use it occasionally, then place the bottle in the freezer and it will remain fresh for a long time. 
</t>
  </si>
  <si>
    <t xml:space="preserve">செட்டிநாடு ரசம் பொடி செய்முறையைத் தொடங்க, நடுத்தர அளவிலான கடாயை சூடாக்கி, கொத்தமல்லி விதைகள், வெந்தயம் மற்றும் புறா பட்டாணி அனைத்தையும் தனித்தனியாக வறுக்கவும். அவை மிருதுவாகவும், பருப்புகள் இளஞ்சிவப்பு நிறமாக மாறும் வரை வறுக்கவும். வறுத்தவுடன், அவற்றை ஆற வைக்கவும். அதே கடாயில், 1/2 தேக்கரண்டி எண்ணெயை குறைந்த வெப்பத்தில் சூடாக்கி, மிளகாயை சுமார் 2 முதல் 3 நிமிடங்கள் வறுக்கவும், ஆறவைக்கவும். மற்றொரு 1/2 தேக்கரண்டி எண்ணெயை குறைந்த வெப்பத்தில் சூடாக்கவும். வறுத்த செட்டிநாடு ரசம் தூள் பொருட்கள் மற்றும் ஒரு கரடுமுரடான தூள் அவற்றை அரைத்து மற்றும் செட்டிநாடு ரசம் தூள் காற்று புகாத கொள்கலனில் சேமிக்கவும்.  நீங்கள் எப்போதாவது அதைப் பயன்படுத்த திட்டமிட்டால், பாட்டிலை ஃப்ரீசரில் வைக்கவும், அது நீண்ட நேரம் புதியதாக இருக்கும். 
</t>
  </si>
  <si>
    <t>https://www.archanaskitchen.com/chettinad-rasam-powder-recipe</t>
  </si>
  <si>
    <t>Chettinad Mint Potato Biryani Recipe</t>
  </si>
  <si>
    <t>செட்டிநாடு புதினா உருளைக்கிழங்கு பிரியாணி செய்முறை</t>
  </si>
  <si>
    <t>1 கப் பாசுமதி அரிசி, 1 வெங்காயம் - நறுக்கியது, 1 தக்காளி, 6 கிராம்பு பூண்டு - நசுக்கியது, 1/2 இன்ச் இஞ்சி, 2 பச்சை மிளகாய் - நறுக்கியது, 2 உருளைக்கிழங்கு (ஆலு) - க்யூப்ஸாக நறுக்கியது, 1 கப் பனீர் (வீட்டில் தயாரிக்கப்படும் பாலாடைக்கட்டி) - க்யூப்ஸாக நறுக்கியது, 2 தேக்கரண்டி கர்ட், 2 தேக்கரண்டி கர்ட் பிரியாணி மசாலா தூள், 1 டீஸ்பூன் கொத்தமல்லி தூள் (தானியா), 1/2 டீஸ்பூன் சிவப்பு மிளகாய் தூள், உப்பு - ருசிக்கேற்ப, சூரியகாந்தி எண்ணெய் - தேவைக்கேற்ப, 1/2 இன்ச் இலவங்கப்பட்டை (டால்சினி), 3 கிராம்பு (லாங்), 2 ஏலக்காய் (எலச்சி) காய்கள்/விதைகள், வெங்காயம், 1 பேரிச்சம்பழம், நறுக்கியது (தேவைக்கேற்ப), 1 தேக்கரண்டி பெருஞ்சீரகம் விதைகள் (சான்ஃப்)</t>
  </si>
  <si>
    <t>1 cup Basmati rice,1 Onion - chopped,1 Tomato,6 cloves Garlic - crushed,1/2 inch Ginger,2 Green Chillies - chopped,2 Potato (Aloo) - cut into cubes,1 cup Paneer (Homemade Cottage Cheese) - cut into cubes,2 tablespoon Curd (Dahi / Yogurt),2 teaspoons Garam masala powder,1 teaspoon Biryani Masala Powder,1 teaspoon Coriander Powder (Dhania),1/2 teaspoon Red Chilli powder,Salt - to taste,Sunflower Oil - as required,1/2 inch Cinnamon Stick (Dalchini),3 Cloves (Laung),2 Cardamom (Elaichi) Pods/Seeds,1 Bay leaf (tej patta),1 Onion,Mint Leaves (Pudina) - chopped (as required),1 teaspoon Fennel seeds (Saunf)</t>
  </si>
  <si>
    <t xml:space="preserve">To begin making the Chettinad Mint Potato Biryani Recipe, wash the rice and soak it for 10 minutes. I have used seeraga/jeeraga samba rice. Chop the onion and tomato lengthwise. Crush the garlic and ginger.Wash and chop potatoes into cubes. Slice the paneer into cubes.Take one chopped onion, mint leaves and fennel seeds in a blender. Add a little water and grind into a puree. Keep aside.Heat oil in a pressure cooker, add the spices listed under “dry spices" including cinnamom stick, cloves, cardamom and bay leaf. Saute for a minute.Add chopped onion and saute until translucent. Add slit green chilli and crushed ginger garlic.Saute well until the raw smell goes. Add chopped tomatoes and cook until it turns soft and mushy.Now add the ground mint puree, curd, few mint leaves, potato and paneer cubes. Stir and cook until the oil separates.Add coriander powder, red chilli powder, garam masala and biryani masala powder. Mix and cook for 5 minutes.Add rice along with required water to it. Mix and bring to boil.Close the lid and pressure cook for 3 whistles. Once done, wait until the pressure releases naturally and open the lid. Fluff the rice gently and serve hot.Serve Chettinad Mint Potato Biryani along with Mirchi Ka Salan and , Burani Raita or any raita of your choice.
</t>
  </si>
  <si>
    <t xml:space="preserve">செட்டிநாடு புதினா உருளைக்கிழங்கு பிரியாணி செய்முறையைத் தொடங்க, அரிசியைக் கழுவி 10 நிமிடம் ஊற வைக்கவும். நான் சீரக/ஜீரக சம்பா அரிசியைப் பயன்படுத்தினேன். வெங்காயம், தக்காளியை நீளவாக்கில் நறுக்கவும். பூண்டு மற்றும் இஞ்சியை நசுக்கவும். உருளைக்கிழங்கைக் கழுவி க்யூப்ஸாக நறுக்கவும். பனீரை க்யூப்ஸாக நறுக்கவும். நறுக்கிய வெங்காயம், புதினா இலைகள் மற்றும் பெருஞ்சீரகம் ஆகியவற்றை ஒரு பிளெண்டரில் எடுத்துக் கொள்ளவும். சிறிது தண்ணீர் சேர்த்து ப்யூரியாக அரைக்கவும். ஒதுக்கி வைக்கவும். பிரஷர் குக்கரில் எண்ணெயை சூடாக்கி, இலவங்கப்பட்டை, கிராம்பு, ஏலக்காய் மற்றும் வளைகுடா இலை உள்ளிட்ட “உலர்ந்த மசாலாப் பொருட்களின்” கீழ் பட்டியலிடப்பட்டுள்ள மசாலாப் பொருள்களைச் சேர்க்கவும். ஒரு நிமிடம் வதக்கவும். நறுக்கிய வெங்காயத்தைச் சேர்த்து, ஒளிரும் வரை வதக்கவும். கீறிய பச்சை மிளகாய் மற்றும் நசுக்கிய இஞ்சி பூண்டு சேர்க்கவும். பச்சை வாசனை போகும் வரை நன்றாக வதக்கவும். நறுக்கிய தக்காளியைச் சேர்த்து, மென்மையாகவும், மிருதுவாகவும் மாறும் வரை சமைக்கவும். இப்போது அரைத்த புதினா ப்யூரி, தயிர், சில புதினா இலைகள், உருளைக்கிழங்கு மற்றும் பனீர் க்யூப்ஸ் சேர்க்கவும். எண்ணெய் பிரியும் வரை கிளறி சமைக்கவும். கொத்தமல்லி தூள், சிவப்பு மிளகாய் தூள், கரம் மசாலா மற்றும் பிரியாணி மசாலா தூள் சேர்க்கவும். கலந்து 5 நிமிடம் சமைக்கவும். தேவையான தண்ணீர் சேர்த்து அரிசி சேர்க்கவும். கலந்து கொதிக்க வைக்கவும். மூடியை மூடி 3 விசில் வரும் வரை பிரஷர் செய்யவும். முடிந்ததும், அழுத்தம் இயற்கையாக வெளியேறும் வரை காத்திருந்து மூடியைத் திறக்கவும். சாதத்தை மெதுவாகப் பிசைந்து சூடாகப் பரிமாறவும். செட்டிநாடு புதினா உருளைக்கிழங்கு பிரியாணியுடன் மிர்ச்சி கா சலான் மற்றும் புரானி ரைதா அல்லது உங்களுக்கு விருப்பமான ரைதாவுடன் பரிமாறவும்.
</t>
  </si>
  <si>
    <t>http://www.archanaskitchen.com/chettinad-mint-potato-biryani-recipe</t>
  </si>
  <si>
    <t>Coconut Milk Kuruma Recipe - Mixed vegetables in coconut gravy</t>
  </si>
  <si>
    <t>தேங்காய் பால் குருமா ரெசிபி - தேங்காய் குழம்பில் கலந்த காய்கறிகள்</t>
  </si>
  <si>
    <t>2 உருளைக்கிழங்கு (ஆலூ), 1/2 கப் பச்சை பட்டாணி (மேட்டர்), 1 கப் காலிஃபிளவர் (கோபி) - பூக்கள், 1 வெங்காயம் - நறுக்கியது, 3 முதல் 4 பச்சை மிளகாய் - செங்குத்தாக கீறவும் (உங்கள் மசாலா நிலைக்கு ஏற்ப மிளகாயின் எண்ணிக்கையை சரிசெய்யவும்), 1 இன்ச் இலவங்கப்பட்டை (டால்சினி, 3 ஏலக்காய்), 3 ஏலக்காய் (லாங்), 1 பே இலை (தேஜ் பட்டா), 1 டேபிள் ஸ்பூன் நெய் - எண்ணெய், 1 கப் தேங்காய் பால் - கெட்டியானது, உப்பு - தேவைக்கேற்ப</t>
  </si>
  <si>
    <t>2 Potato (Aloo),1/2 cup Green peas (Matar),1 cup Cauliflower (gobi) - florets,1 Onion - chopped,3 to 4 Green Chillies - slit vertically (adjust the number of chilies according to your spice level),1 inch Cinnamon Stick (Dalchini),3 Cardamom (Elaichi) Pods/Seeds,3 Cloves (Laung),1 Bay leaf (tej patta),1 tablespoon Ghee - oil,1 cup Coconut milk - thick,Salt - as required</t>
  </si>
  <si>
    <t xml:space="preserve">To begin making the Thengai Paal Kurma Recipe, pressure cook the potatoes for two whistles and cut them into small cubes.Steam the cauliflower florets and peas and keep them aside.Heat ghee/oil in a kadai/wok and once the oil is hot add cinnamon, cardamom, cloves and bay leaf . Saute for a few seconds till the aromas are released. Once done add onion,chilies and cook until onions become transparent.After the onions have become transparent add the cooked potatoes, cauliflower florets and peas.Add salt and a cup of water. Once the water starts boiling, add thick coconut milk and cook over medium heat for about 5 minutes.Adjust coconut milk according to suit your taste. If the gravy is too watery you can mash a few pieces of potato in the gravy to make the gravy thicker. Once the gravy has reached the desired consistency turn off the heat and transfer the Thengai Paal Kurma  into a serving bowl and serve.Serve Thengai Paal Kurma Recipe with  Appam or Idiyappam or Kerala Style Whole Wheat Parotta for a perfect meal.
</t>
  </si>
  <si>
    <t xml:space="preserve">தேங்காய் பால் குருமா செய்முறையைத் தொடங்குவதற்கு, உருளைக்கிழங்கை இரண்டு விசில்கள் வரும் வரை வேகவைத்து, சிறிய க்யூப்ஸாக நறுக்கவும். காலிஃபிளவர் பூக்கள் மற்றும் பட்டாணியை ஆவியில் வேகவைத்து தனியே வைக்கவும். கடாயில் / வாணலியில் நெய் / எண்ணெயை சூடாக்கி, எண்ணெய் சூடானதும் இலவங்கப்பட்டை, ஏலக்காய், கிராம்பு மற்றும் வளைகுடா இலை சேர்க்கவும். நறுமணம் வெளிவரும் வரை சில நொடிகள் வதக்கவும். முடிந்ததும் வெங்காயம், மிளகாய் சேர்த்து வெங்காயம் வெளிப்படையானதாக மாறும் வரை வதக்கவும். வெங்காயம் வெளிப்படையானதாக மாறிய பிறகு வேகவைத்த உருளைக்கிழங்கு, காலிஃபிளவர் பூக்கள் மற்றும் பட்டாணி சேர்க்கவும். உப்பு மற்றும் ஒரு கப் தண்ணீர் சேர்க்கவும். தண்ணீர் கொதிக்க ஆரம்பித்தவுடன், கெட்டியான தேங்காய்ப்பால் சேர்த்து மிதமான தீயில் சுமார் 5 நிமிடங்கள் சமைக்கவும். தேங்காய் பாலை உங்கள் சுவைக்கு ஏற்ப சரிசெய்யவும். குழம்பு மிகவும் தண்ணியாக இருந்தால், கிரேவியை கெட்டியாக மாற்ற, கிரேவியில் சில உருளைக்கிழங்கு துண்டுகளை மசிக்கலாம். கிரேவி விரும்பிய நிலைத்தன்மையை அடைந்தவுடன், வெப்பத்தை அணைத்து, அப்போதே பால் குர்மாவை ஒரு பரிமாறும் கிண்ணமாக மாற்றி பரிமாறவும்.
</t>
  </si>
  <si>
    <t>https://www.archanaskitchen.com/thengai-paal-kurma-recipe-mixed-vegetables-in-coconut-gravy</t>
  </si>
  <si>
    <t>Chettinad Chicken Rasam Recipe - Chettinad Chicken Rasam</t>
  </si>
  <si>
    <t>செட்டிநாடு கோழி ரசம் செய்முறை - செட்டிநாடு கோழி ரசம்</t>
  </si>
  <si>
    <t>250 கிராம் சிக்கன் - எலும்புகளுடன் அல்லது இல்லாமல், 6 வெங்காயம், 1 தக்காளி - முழுமையாக பழுத்த, 2 தேக்கரண்டி சிவப்பு மிளகாய் தூள், 1/2 தேக்கரண்டி மஞ்சள் தூள் (ஹால்டி), உப்பு - தேவைக்கேற்ப, 1 தேக்கரண்டி முழு கருப்பு மிளகு, 1 தேக்கரண்டி சீரகம் (ஜீரா), 1 தேக்கரண்டி பெருஞ்சீரகம் (2 டீஸ்பூன் துவரம்பருப்பு), மிளகாய், 2 சுண்டைக்காய், 5 பல் பூண்டு</t>
  </si>
  <si>
    <t>250 grams Chicken - with or without bones,6 Shallots,1 Tomato - fully ripe,2 teaspoons Red Chilli powder,1/2 teaspoon Turmeric powder (Haldi),Salt - as needed,1 teaspoon Whole Black Peppercorns,1 teaspoon Cumin seeds (Jeera),1 teaspoon Fennel seeds (Saunf),1-1/2 teaspoon Coriander Powder (Dhania),2 Dry Red Chillies,2 Shallots,5 cloves Garlic</t>
  </si>
  <si>
    <t xml:space="preserve">To begin making the Chettinad Kozhi Rasam, clean and wash the chicken thoroughly.Add chicken with the minced shallots, tomato, chilli powder, turmeric powder, and salt as needed along with 4 cups of water in a pressure cooker. Pressure cook for 1 whistle and then simmer the gas.Cook on low flame for another 5  minutes and switch off the gas.Meanwhile, prepare rasam powder by grinding fennel seeds, peppercorns, cumin and chilies and grind using a mixer-grinder.Now add some coriander powder to the spice mix. Grind once again and collect in a bowl.In the same grinder jar add garlic and onion and grind together without adding any water..Heat 1 teaspoon of oil in a wok and season the rasam with some mustard seeds, cumin, dry red chilies, asafoetida and curry leaves. Allowing it to crackle. Add this to the rasam in the pressure cooker. Add the rasam powder and the salt needed. Bring the rasam to a nice boil and switch off the stove.Garnish the Rasam with some fresh chopped coriander leaves before serving.Serve Chettinad Kozhi Rasam along with Steamed Rice and Elai Vadam for a weekday meal.
</t>
  </si>
  <si>
    <t xml:space="preserve">செட்டிநாடு கோழி ரசம் செய்யத் தொடங்க, கோழியை சுத்தம் செய்து நன்றாகக் கழுவவும். பிரஷர் குக்கரில் 4 கப் தண்ணீருடன், அரைத்த வெங்காயம், தக்காளி, மிளகாய்த் தூள், மஞ்சள் தூள் மற்றும் உப்பு சேர்த்து தேவையான அளவு உப்பு சேர்க்கவும். 1 விசில் பிரஷர் குக் செய்து, பிறகு கேஸை வேகவைக்கவும். குறைந்த தீயில் மேலும் 5 நிமிடம் சமைக்கவும், கேஸை அணைக்கவும். இதற்கிடையில், பெருஞ்சீரகம், மிளகுத்தூள், சீரகம் மற்றும் மிளகாய் ஆகியவற்றை அரைத்து ரசம் பொடியை தயார் செய்து, மிக்சி-கிரைண்டரைப் பயன்படுத்தி அரைக்கவும். இப்போது மசாலா கலவையில் சிறிது கொத்தமல்லி தூள் சேர்க்கவும். மீண்டும் ஒருமுறை அரைத்து ஒரு பாத்திரத்தில் சேகரிக்கவும்.அதே கிரைண்டர் ஜாடியில் பூண்டு மற்றும் வெங்காயம் சேர்த்து தண்ணீர் சேர்க்காமல் ஒன்றாக அரைக்கவும்.ஒரு வாணலியில் 1 டீஸ்பூன் எண்ணெயை சூடாக்கி, ரசத்தை சிறிது கடுகு, சீரகம், காய்ந்த மிளகாய், பெருங்காயம் மற்றும் கறிவேப்பிலை சேர்த்து தாளிக்கவும். அதை வெடிக்க அனுமதிக்கிறது. இதை பிரஷர் குக்கரில் உள்ள ரசத்துடன் சேர்க்கவும். ரசம் பொடி மற்றும் தேவையான உப்பு சேர்க்கவும். ரசத்தை நன்றாகக் கொதிக்க வைத்து அடுப்பை அணைக்கவும். பரிமாறும் முன் ரசத்தை புதிதாக நறுக்கிய கொத்தமல்லித் தழைகளால் அலங்கரிக்கவும். செட்டிநாடு கோழி ரசம் வேகவைத்த சாதம் மற்றும் எலை வடம் உடன் ஒரு வார நாள் உணவாகப் பரிமாறவும்.
</t>
  </si>
  <si>
    <t>http://www.archanaskitchen.com/chettinad-kozhi-rasam-recipe-chettinad-chicken-rasam</t>
  </si>
  <si>
    <t>Chettinad Style Tomato Vermicelli Upma Recipe</t>
  </si>
  <si>
    <t>செட்டிநாடு ஸ்டைல் ​​தக்காளி வெர்மிசெல்லி உப்மா செய்முறை</t>
  </si>
  <si>
    <t>1 கப் சேமியா (புதினா) - வறுத்தது, 1 முத்து வெங்காயம் (சாம்பார் வெங்காயம்) - பொடியாக நறுக்கியது, 4 பல் பூண்டு - பொடியாக நறுக்கியது, 1 இன்ச் இஞ்சி - பொடியாக நறுக்கியது, 3 தக்காளி - தோராயமாக நறுக்கியது, 1/4 கப் புதினா இலைகள் (புதினா) - பொடியாக நறுக்கியது (ஒரு டீஸ்பூன்) பொடித்தது, 1 டீஸ்பூன் கடுகு, 1 டீஸ்பூன் முழு கருப்பு மிளகுத்தூள் - கரகரப்பாக அரைத்தது, 1 இன்ச் இலவங்கப்பட்டை (டால்சினி), 2 கிராம்பு (லாங்), 1 துளிர் கறிவேப்பிலை, 1 தேக்கரண்டி சிவப்பு மிளகாய் தூள், 1/2 தேக்கரண்டி மஞ்சள் தூள் (ஹால்டி), 1 தேக்கரண்டி எலுமிச்சை சாறு, சூரியகாந்தி எண்ணெய் - தேவையான அளவு.</t>
  </si>
  <si>
    <t>1 cup Semiya (Vermicelli) - roasted,1 Pearl onions (Sambar Onions) - finely chopped,4 cloves Garlic - finely chopped,1 inch Ginger - finely chopped,3 Tomatoes - roughly chopped,1/4 cup Mint Leaves (Pudina) - finely chopped,1 teaspoon Fennel seeds (Saunf) - coarsely pounded,1 teaspoon Mustard seeds,1 teaspoon Whole Black Peppercorns - coarsely pounded,1 inch Cinnamon Stick (Dalchini),2 Cloves (Laung),1 sprig Curry leaves,1 teaspoon Red Chilli powder,1/2 teaspoon Turmeric powder (Haldi),1 tablespoon Lemon juice,Sunflower Oil - as required,Salt - to taste</t>
  </si>
  <si>
    <t xml:space="preserve">To begin making the Chettinad Style Tomato Vermicelli Recipe, heat a pan with cooking oil on medium heat, add the mustard seeds, cinnamon stick, cloves, curry leaves and let it splutter.Stir in the onions, ginger and garlic and saute for a couple of minutes. Once the onions soften, add the tomatoes and saute for a few seconds. Add the fennel seeds, black pepper corns, turmeric powder, red chilli powder and cook until it all combined together. Stir in the mint leaves, semiya, salt and 1 1/2 cups of water. Cover the pan and allow the Chettinad Style Tomato Vermicelli to cook on low to medium heat until all the water is absorbed and the semiya upma is cooked. Once done, turn off the heat, stir in the lemon juice and gently mix everything together.Serve the Chettinad Style Tomato Vermicelli along Tomato Onion Chutney,  Coconut Coriander Chutney and Sliced bananas. End the south indian breakfast along with a hot cup of Espresso coffee.
</t>
  </si>
  <si>
    <t xml:space="preserve">செட்டிநாடு ஸ்டைல் ​​தக்காளி வெர்மிசெல்லி ரெசிபியை செய்யத் தொடங்க, ஒரு பாத்திரத்தை சமையல் எண்ணெயுடன் மிதமான சூட்டில் சூடாக்கி, கடுகு, இலவங்கப்பட்டை, கிராம்பு, கறிவேப்பிலை சேர்த்து வதக்கவும். வெங்காயம், இஞ்சி மற்றும் பூண்டு சேர்த்துக் கிளறி இரண்டு நிமிடங்கள் வதக்கவும். வெங்காயம் வதங்கியதும் தக்காளியைச் சேர்த்து சில நொடிகள் வதக்கவும். பெருஞ்சீரகம் விதைகள், கருப்பு மிளகுத்தூள், மஞ்சள் தூள், சிவப்பு மிளகாய் தூள் சேர்த்து அனைத்தையும் ஒன்றாக இணைக்கும் வரை சமைக்கவும். புதினா இலைகள், சேமியா, உப்பு மற்றும் 1 1/2 கப் தண்ணீர் சேர்த்து கிளறவும். கடாயை மூடி, செட்டிநாடு ஸ்டைல் ​​தக்காளி வெர்மிசெல்லியை குறைந்த முதல் மிதமான தீயில் தண்ணீர் முழுவதும் உறிஞ்சி சேமியா உப்மா வேகும் வரை சமைக்கவும். முடிந்ததும், அடுப்பை அணைத்து, எலுமிச்சை சாறு சேர்த்து கிளறி, அனைத்தையும் ஒன்றாக சேர்த்து மெதுவாக கலக்கவும். செட்டிநாடு ஸ்டைல் ​​தக்காளி வெர்மிசெல்லியை தக்காளி வெங்காய சட்னி,  தேங்காய் கொத்தமல்லி சட்னி  மற்றும் நறுக்கிய வாழைப்பழத்துடன் பரிமாறவும். ஒரு சூடான கப் எஸ்பிரெசோ காபியுடன் தென்னிந்திய காலை உணவை முடிக்கவும்.
</t>
  </si>
  <si>
    <t>http://www.archanaskitchen.com/chettinad-style-tomato-vermicelli-recipe</t>
  </si>
  <si>
    <t>Chettinad Vegetable Pulao Recipe -</t>
  </si>
  <si>
    <t>செட்டிநாடு வெஜிடபிள் புலாவ் செய்முறை -</t>
  </si>
  <si>
    <t>1 கப் அரிசி - தண்ணீரில் நன்கு கழுவி, 12 முத்து வெங்காயம் (சாம்பார் வெங்காயம்) - பொடியாக நறுக்கியது, 2 பல் பூண்டு - துருவியது, 1 அங்குலம் இஞ்சி - துருவியது, 2 பச்சை மிளகாய் - கீறல், 1 பே இலைகள் (தேஜ் பட்டா) - இரண்டாக கிழிந்தது, 3 கிராம்பு (லாங்), 2 ஏலக்காய், 1 டீஸ்பூன், துருவல், 1 தேக்கரண்டி. மஞ்சள் தூள் (ஹால்டி), 1 டீஸ்பூன் கொத்தமல்லி தூள் (தானியா), 1 கேரட் (கஜ்ஜார்) - துண்டுகளாக்கப்பட்ட, 12 பச்சை பீன்ஸ் (பிரெஞ்சு பீன்ஸ்) - நறுக்கியது, 2 உருளைக்கிழங்கு (ஆலூ) - தோலுரித்து துண்டுகளாக்கப்பட்டது, 1 டேபிள் ஸ்பூன் ஃபிகாரோ தூய ஆலிவ் எண்ணெய் - 1/4 கப். இலைகள், உப்பு - ருசிக்கேற்ப, 1/4 கப் பச்சை பட்டாணி (மாட்டர்) - வேகவைத்தது, 1/4 கப் பச்சை பட்டாணி (மாட்டர்) - வேகவைத்தது, 1/4 கப் புதினா இலைகள் (புதினா) - பொடியாக நறுக்கியது</t>
  </si>
  <si>
    <t>1 cup Rice - washed well in water,12 Pearl onions (Sambar Onions) - finely chopped,2 cloves Garlic - grated,1 inch Ginger - grated,2 Green Chillies - slit,1 Bay leaves (tej patta) - torn into half,3 Cloves (Laung),2 Cardamom (Elaichi) Pods/Seeds,1 teaspoon Red Chilli powder,1 teaspoon Turmeric powder (Haldi),1 teaspoon Coriander Powder (Dhania),1 Carrot (Gajjar) - diced,12 Green beans (French Beans) - chopped,2 Potatoes (Aloo) - peeled and diced,1 tablespoon Figaro Pure Olive Oil - for cooking,1/4 cup Coriander (Dhania) Leaves - finely chopped or mint leaves,Salt - to taste,1/4 cup Green peas (Matar) - steamed,1/4 cup Green peas (Matar) - steamed,1/4 cup Mint Leaves (Pudina) - finely chopped</t>
  </si>
  <si>
    <t xml:space="preserve">To begin making the Chettinad Vegetable Pulao, first prepare the entire ingredient like chopping the vegetables and getting all the ingredients measured and keeping it handy. Soak the rice for 30 minutes.Pound the ginger and garlic in a pestle and mortar and keep aside.Into the pressure cooker, add a tablespoon of Figaro Olive Oil.  Add the ginger garlic and saute for a few seconds. Add the chopped pearl onions, saute until softened and not caramelized.Once the onions are softened, add in the spices, the powder, rice and vegetables. Add water, salt to taste and cover the pressure cooker. Cook for 3 to 4 whistles and turn off the heat and allow the pressure to release naturally.Once the pressure has released, open the cooker, stir in  Figaro Extra Virgin Olive oil to add to the flavor and serve warm.Serve the Chettinad Vegetable Pulao along with Tomato Onion Raita and Vegetable Kurma for lunch or dinner.
</t>
  </si>
  <si>
    <t xml:space="preserve">செட்டிநாடு வெஜிடபிள் புலாவ் செய்யத் தொடங்க, முதலில் காய்கறிகளை நறுக்கி, அனைத்து பொருட்களையும் அளந்து எடுத்து, கையில் வைத்திருப்பது போன்ற முழுப் பொருளையும் தயார் செய்யவும். அரிசியை 30 நிமிடம் ஊறவைக்கவும். இஞ்சி மற்றும் பூண்டை அரைத்து, தனியே வைக்கவும். பிரஷர் குக்கரில், ஒரு டேபிள் ஸ்பூன் ஃபிகரோ ஆலிவ் ஆயில் சேர்க்கவும்.  இஞ்சி பூண்டு சேர்த்து சில நொடிகள் வதக்கவும். நறுக்கிய முத்து வெங்காயத்தைச் சேர்த்து, மென்மையாகும் வரை வதக்கி, கேரமல் ஆகாமல் வதக்கவும். வெங்காயம் மென்மையாக வந்ததும், மசாலா, தூள், அரிசி மற்றும் காய்கறிகளைச் சேர்க்கவும். தண்ணீர், சுவைக்கு உப்பு சேர்த்து பிரஷர் குக்கரை மூடி வைக்கவும். 3 முதல் 4 விசில் வரை வேகவைத்து, வெப்பத்தை அணைத்து, பிரஷரை இயல்பாக வெளியிட அனுமதிக்கவும். பிரஷர் வெளியானதும், குக்கரைத் திறந்து,  ஃபிகரோ எக்ஸ்ட்ரா வெர்ஜின் ஆலிவ் ஆயிலை சேர்த்துக் கிளறி, சுவையைக் கூட்டி சூடாகப் பரிமாறவும். செட்டிநாடு வெஜிடபிள் புலாவ், தக்காளி வெங்காய ரைதா மற்றும் வெஜிடபிள் டின்னர் களுடன் பரிமாறவும்.
</t>
  </si>
  <si>
    <t>http://www.archanaskitchen.com/chettinad-vegetable-pulao-recipe-with-figaro-olive-oil</t>
  </si>
  <si>
    <t>Chettinad Style Chili Mushroom Recipe</t>
  </si>
  <si>
    <t>செட்டிநாடு ஸ்டைல் ​​மிளகு காளான் செய்முறை</t>
  </si>
  <si>
    <t>1 கப் பட்டன் காளான் - சுத்தம் செய்து நறுக்கியது, 1 தக்காளி - பொடியாக நறுக்கியது, 1 பச்சை மிளகாய் - கீறல், 1 பே இலை (தேஜ் பட்டா), 1/2 டீஸ்பூன் பெருஞ்சீரகம் (சான்ஃப்), 1 துளிர் கறிவேப்பிலை, கொத்தமல்லி (தானியா) இலைகள் - சிறிய கொத்து, 2 டேபிள் ஸ்பூன், தேங்காய் துருவல் - ருசிக்கேற்ப 1 தேக்கரண்டி, தேங்காய் துருவல் கொத்தமல்லி (தானியா) விதைகள், 1 தேக்கரண்டி முழு கருப்பு மிளகு, 1 தேக்கரண்டி சீரகம் (ஜீரா), 1 தேக்கரண்டி கசகசா, 1 தேக்கரண்டி பெருஞ்சீரகம் விதைகள் (சான்ஃப்), 1 இலவங்கப்பட்டை (டால்சினி), 2 ஏலக்காய் (எலச்சி) காய்கள் / விதைகள், 4 கிராம்பு (லாங்), 1 சிறிய நட்சத்திர சோம்பு, 1 டீஸ்பூன் தூள், 3 காய்ந்த மிளகாய், 2 டீஸ்பூன் வெள்ளை உளுத்தம் பருப்பு (பிரிக்கவும்), 10 சுண்டைக்காய், 5 பல் பூண்டு - துருவியது, 2 இன்ச் இஞ்சி, 1 துளிர் கறிவேப்பிலை, 1/2 தேக்கரண்டி மஞ்சள் தூள் (ஹால்டி)</t>
  </si>
  <si>
    <t>1 cup Button mushrooms - cleaned and sliced,1 Tomato - finely chopped,1 Green Chilli - slit,1 Bay leaf (tej patta),1/2 teaspoon Fennel seeds (Saunf),1 sprig Curry leaves,Coriander (Dhania) Leaves - small bunch,2 tablespoons Sunflower Oil,Salt - to taste,4 teaspoons Fresh coconut - grated,1 tablespoon Coriander (Dhania) Seeds,1 teaspoon Whole Black Peppercorns,1 teaspoon Cumin seeds (Jeera),1 teaspoon Poppy seeds,1 teaspoon Fennel seeds (Saunf),1 Cinnamon Stick (Dalchini),2 Cardamom (Elaichi) Pods/Seeds,4 Cloves (Laung),1 Star anise,1 Mace (Javitri) - small flower,1/4 teaspoon Nutmeg powder,3 Dry Red Chilli,2 teaspoons White Urad Dal (Split),10 Shallots,5 cloves Garlic - peeled,2 inch Ginger,1 sprig Curry leaves,1/2 teaspoon Turmeric powder (Haldi)</t>
  </si>
  <si>
    <t xml:space="preserve">To begin making Chettinad Style Pepper Mushroom Recipe, start with making the aromatic spice mix. Take a pan and dry roast the ingredients listed in the spice mix till aromatic, grind it to a fine paste using a mixer and keep it aside.Now, make a paste of shallots, ginger, garlic, curry leaves and turmeric powder to fine paste and keep it aside.Heat a wide pan in low flame, pour oil, put the bay leaf, fennel seeds, and curry leaves and let it splutter.Now add the chopped tomato and the slit green chili and sauté for five minutes.Add the onion, ginger garlic paste that was made earlier and cook till the raw smell of the ginger garlic goes away.Add the aromatic spice mixture, season with salt and add a little water and let it cook for ten minutes, keep stirring the gravy in between.Now add the cleaned, sliced mushrooms and cook it with the lid on for few more minutes.Once the mushrooms are cooked, switch off the flame and garnish with the finely chopped coriander leaves.Serve Chettinad Style Pepper Mushroom Recipe with rotis or steamed rice for lunch or dinner.
</t>
  </si>
  <si>
    <t xml:space="preserve">செட்டிநாடு ஸ்டைல் ​​பெப்பர் காளான் செய்முறையைத் தொடங்க, நறுமண மசாலா கலவையைத் தயாரிக்கவும். ஒரு கடாயை எடுத்து, மசாலா கலவையில் பட்டியலிடப்பட்டுள்ள பொருட்களை வாசனை வரும் வரை வறுத்து, மிக்ஸியில் நன்றாக அரைத்து, தனியே வைக்கவும். இப்போது, ​​வெங்காயம், இஞ்சி, பூண்டு, கறிவேப்பிலை மற்றும் மஞ்சள் தூள் ஆகியவற்றை நன்றாக பேஸ்ட் செய்து, தனியாக வைக்கவும். நறுக்கிய தக்காளி மற்றும் கீறிய பச்சை மிளகாயைச் சேர்த்து ஐந்து நிமிடம் வதக்கவும். முன்பு செய்த வெங்காயம், இஞ்சி பூண்டு விழுது சேர்த்து இஞ்சி பூண்டின் பச்சை வாசனை போகும் வரை வதக்கவும். நறுமண மசாலா கலவையை சேர்த்து உப்பு சேர்த்து சிறிது தண்ணீர் சேர்த்து பத்து நிமிடம் வதக்கவும். இன்னும் சில நிமிடங்களுக்கு மூடி வைக்கவும். காளான்கள் வெந்ததும், தீயை அணைத்து, பொடியாக நறுக்கிய கொத்தமல்லி இலைகளால் அலங்கரிக்கவும். செட்டிநாடு ஸ்டைல் ​​மிளகு காளான் செய்முறையை ரொட்டி அல்லது வேகவைத்த அரிசியுடன் மதிய உணவு அல்லது இரவு உணவிற்கு பரிமாறவும்.
</t>
  </si>
  <si>
    <t>http://www.archanaskitchen.com/chettinad-style-pepper-mushroom-recipe</t>
  </si>
  <si>
    <t>Chettinad Sura Meen Kulambu Recipe (Shark Meen Kulambu)</t>
  </si>
  <si>
    <t>செட்டிநாடு சுர மீன் குழம்பு செய்முறை (சுறா மீன் குழம்பு)</t>
  </si>
  <si>
    <t>500 கிராம் சுறா மீன் - (தோலுடன், 15 சுண்டைக்காய் - நறுக்கியது, 5 பல் பூண்டு - நறுக்கியது, 2 டீஸ்பூன் சிவப்பு மிளகாய் தூள், 3 டேபிள் ஸ்பூன் கொத்தமல்லி தூள் (தானியா), 1 டீஸ்பூன் மஞ்சள் தூள் (ஹால்டி), 1 டீஸ்பூன் பெருஞ்சீரகம், 1 டீஸ்பூன் பெருங்காயத்தூள், 1 டீஸ்பூன் சீரகத்தூள் (ஜீரா) - தேவையான அளவு வறுக்கப்பட்டது. பெருஞ்சீரகம் விதைகள் (சான்ஃப்), 1/2 தேக்கரண்டி கடுகு, 1/2 தேக்கரண்டி சீரகம் (ஜீரா), 1-1/2 கப் தண்ணீர், 1/4 கப் புளி தண்ணீர், 1 துளிர் கறிவேப்பிலை, 3 காய்ந்த மிளகாய்</t>
  </si>
  <si>
    <t>500 grams Shark fish - (with skin,15 Shallots - chopped,5 cloves Garlic - chopped,2 teaspoons Red Chilli powder,3 tablespoons Coriander Powder (Dhania),1 teaspoon Turmeric powder (Haldi),1 teaspoon Fennel Powder,1 teaspoon Cumin powder (Jeera) - roasted,Salt - as required,Sunflower Oil - as required,1/2 teaspoon Fennel seeds (Saunf),1/2 teaspoon Mustard seeds,1/2 teaspoon Cumin seeds (Jeera),1-1/2 cups Water,1/4 cup Tamarind Water,1 sprig Curry leaves,3 Dry Red Chillies</t>
  </si>
  <si>
    <t xml:space="preserve">To begin making the Chettinad Sura Meen Kuzhambu recipe, clean and wash the fish pieces and marinate with turmeric and keep aside.Heat oil in a wok/kadai and when the oil is hot add fennel seeds, curry leaves, dry red chilli, cumin and mustard seeds and wait till they splutter.Now add chopped shallots and chopped garlic cloves. Saute until onions are transparent and pale.Mix red chilli powder, coriander powder, cumin powder and fennel powder to the tamarind water and stir well until smooth. Add this to the wok and mix well.Add 1-1/2 cups of water, season with salt and bring the curry to boil.When the curry starts boiling, cover with lid and simmer curry for 5 to 6 minutes.Now add the shark fish pieces to the curry and stir gently and cook for another 5 minutes or until fish pieces are tender and oil floats on top of gravy.Turn off the heat and serve hot. Serve Chettinad Sura Meen Kuzhambu along with Steamed Rice and Kachumber Salad for a weekday meal.
</t>
  </si>
  <si>
    <t xml:space="preserve">செட்டிநாடு சுர மீன் குழம்பு செய்முறையைத் தொடங்க, மீன் துண்டுகளை சுத்தம் செய்து கழுவி, மஞ்சள்தூள் சேர்த்து வதக்கி, தனியே வைக்கவும். வாணலி/கடையில் எண்ணெயைச் சூடாக்கி, எண்ணெய் சூடானதும் பெருஞ்சீரகம், கறிவேப்பிலை, காய்ந்த மிளகாய், சீரகம், கடுகு ஆகியவற்றைச் சேர்த்து, அவைகள் தெறிக்கும் வரை காத்திருக்கவும்.இப்போது பொடியாக நறுக்கிய வெங்காயத்தைச் சேர்க்கவும். வெங்காயம் வெளிப்படையான மற்றும் வெளிர் ஆகும் வரை வதக்கவும். புளி தண்ணீரில் சிவப்பு மிளகாய் தூள், கொத்தமல்லி தூள், சீரக தூள் மற்றும் பெருஞ்சீரகம் தூள் கலந்து, மென்மையான வரை நன்கு கிளறவும். இதை வாணலியில் சேர்த்து நன்கு கலக்கவும். 1-1/2 கப் தண்ணீர் சேர்த்து, உப்பு சேர்த்து, கறியை கொதிக்க விடவும். கறி கொதித்ததும், மூடியால் மூடி, கறியை 5 முதல் 6 நிமிடங்கள் வேகவைக்கவும். இப்போது சுறா மீன் துண்டுகளை கறியில் சேர்த்து மேலும் 5 நிமிடங்கள் அல்லது மீன் துருவல் மேலே வதக்கவும். சூடாக பரிமாறவும். செட்டிநாடு சுர மீன் குழம்பு, வேகவைத்த சாதம் மற்றும் கச்சும்பர் சாலட் உடன் ஒரு வார நாள் உணவாகப் பரிமாறவும்.
</t>
  </si>
  <si>
    <t>http://www.archanaskitchen.com/chettinad-sura-meen-kuzhambu-recipe-shark-fish-curry</t>
  </si>
  <si>
    <t>Chettinad Beans and Gobi Fry Recipe - Chettinad Beans &amp; Cauliflower Fry (Recipe in Hindi)</t>
  </si>
  <si>
    <t>செட்டிநாடு பீன்ஸ் மற்றும் கோபி பொரியல் ரெசிபி - செட்டிநாடு பீன்ஸ் &amp; காலிஃபிளவர் பொரியல் (இந்தியில் செய்முறை)</t>
  </si>
  <si>
    <t>1 கோபி - டுகடே கர் லே,200 கிராம் ஹரா பீன்ஸ் - பாரிக் காட் லெ,1 ச்சோடா இச்சம், 1 चोटा चमच्च सफेद उरद दल,1 टहनी कदी बाता,1 चोटा चलचम्चा பௌடர்,1/2 க்டோடா சமச்ச ஹல்டி பௌடர்,நமக் - ஸ்வாத் அனுசார்,1 படத் தலச்சம்</t>
  </si>
  <si>
    <t>1 cabbage - cut into pieces, 200 grams green beans - finely chopped, 1 teaspoon mustard, 1 teaspoon white urad dal, 1 sprig curry leaves, 1 teaspoon red chilli powder, 1/2 teaspoon turmeric powder, salt - 1 tablespoon sesame oil, as per taste</t>
  </si>
  <si>
    <t>To make Chettinad Beans and Cauliflower Poriyal, first chop all the vegetables. Now put the cauliflower and beans in a steamer with salt and cook till they become soft. Heat oil in a pan. Add mustard seeds, urad dal and cook till they become light brown. Now add curry leaves, red chilli powder, turmeric powder, salt and steamed vegetables. Mix everything and let it cook for 2 minutes. Serve. Serve Chettinad Beans and Cauliflower Poriyal with Mixed Vegetable Sambar and Rice.</t>
  </si>
  <si>
    <t xml:space="preserve">செட்டிநாடு பீன்ஸ் மற்றும் கோபி போரியல் பனான் AB கோபி மற்றும் பீன்ஸ் கோ ஒரு திரையரங்கில் உள்ளவர். ஒரு கதை. அதே போல் ராய், உரத் தால் டாலே மற்றும் ஹல்கா பூரா ஹோனே தக் பகா. இப்போது கத்தீ பட்டா, லால் மிர்ச் பௌடர், ஹல்டி பௌடர், நமக் மற்றும் भाबी हुबी டாலே. சபகோ மிலா லே மற்றும் 2 நிமிடம் பகனே தே. பரோஸ். செட்டிநாடு பீன்ஸ் மற்றும் கோபி பொரியல் கோ மிக்ஸ்ட் வெஜிடேபல் சாம்பர் மற்றும் சாப்.
</t>
  </si>
  <si>
    <t>http://www.archanaskitchen.com/chettinad-beans-cauliflower-poriyal-recipe-in-hindi</t>
  </si>
  <si>
    <t>Koshamalli Recipe (Chettinad Style Brinjhi and Potato Mashup)</t>
  </si>
  <si>
    <t>கொசமல்லி ரெசிபி (செட்டிநாடு ஸ்டைல் ​​பிரிஞ்சி மற்றும் உருளைக்கிழங்கு மசிப்பு)</t>
  </si>
  <si>
    <t>4 பிரிஞ்சி (பைங்கன் / கத்திரிக்காய்), 2 உருளைக்கிழங்கு (ஆலு), 15 சுண்டைக்காய் - பொடியாக நறுக்கியது, 2 தக்காளி - பொடியாக நறுக்கியது, 4 பச்சை மிளகாய் - பொடியாக நறுக்கியது, 2 டீஸ்பூன் சூரியகாந்தி எண்ணெய், 1 டீஸ்பூன் கடுகு, 1 டீஸ்பூன் சிகப்பு மிளகாய் தூள், 1 தேக்கரண்டி புளி, பெருங்காயத்தூள், 1 தேக்கரண்டி புளி (தானியா) இலைகள் - பொடியாக நறுக்கியது, உப்பு - சுவைக்கேற்ப</t>
  </si>
  <si>
    <t>4 Brinjal (Baingan / Eggplant),2 Potatoes (Aloo),15 Shallots - finely chopped,2 Tomatoes - finely chopped,4 Green Chillies - finely chopped,2 teaspoons Sunflower Oil,1 teaspoon Mustard seeds,1 teaspoon Red Chilli powder,1 tablespoon Tamarind - pulp,1 sprig Curry leaves,Few sprig Coriander (Dhania) Leaves - finely chopped,Salt - to taste</t>
  </si>
  <si>
    <t xml:space="preserve">To begin making Kosamalli Recipe (Chettinad Style Brinjal and Potato Mash), pressure cook the brinjals and potatoes for two whistles. D-skin the vegetables and mash it to a pulpy consistency and keep it aside.Take a big wok, heat oil in medium flame, add the mustard seeds and let it crackle. To this add the curry leaves and let it splutter.Add the finely chopped shallots and sauté till it is cooked firmly.Now add the chopped tomatoes and green chilies and sauté for five minutes.Add the red chili powder and stir it.To this add the brinjal and potato mash, enough water to bring it to a sambar like consistency.Season with salt, add the tamarind pulp and bring it to a rolling boil.Add the finely chopped coriander leaves and switch off the flame.Serve the Kosamalli Recipe (Chettinad Style Brinjal and Potato Mash) with idiyappam or idli/dosas for a weekday breakfast.
</t>
  </si>
  <si>
    <t xml:space="preserve">கொசமல்லி ரெசிபி (செட்டிநாடு ஸ்டைல் ​​பிரிஞ்சி மற்றும் உருளைக்கிழங்கு மசிப்பு) செய்யத் தொடங்க, கத்தரிக்காயையும் உருளைக்கிழங்கையும் அழுத்தம் செய்து இரண்டு விசில் வரும். காய்கறிகளை தோல் நீக்கி, கூழ் போல் பிசைந்து தனியாக வைக்கவும். ஒரு பெரிய வாணலியை எடுத்து, மிதமான தீயில் எண்ணெய் சூடாக்கி, கடுகு சேர்த்து வெடிக்க விடவும். இதனுடன் கறிவேப்பிலை சேர்த்து வதக்கவும்.பொடியாக நறுக்கிய வெங்காயத்தை சேர்த்து நன்கு வேகும் வரை வதக்கவும்.இப்போது நறுக்கிய தக்காளி மற்றும் பச்சை மிளகாயை சேர்த்து ஐந்து நிமிடம் வதக்கவும்.சிவப்பு மிளகாய் தூள் சேர்த்து கிளறி இறக்கவும். புளி கூழ் மற்றும் அதை ஒரு கொதி நிலைக்கு கொண்டு வாருங்கள். இறுதியாக நறுக்கிய கொத்தமல்லி இலைகளை சேர்த்து, தீயை அணைக்கவும். கொசமல்லி செய்முறையை (செட்டிநாடு ஸ்டைல் ​​பிரிஞ்சி மற்றும் உருளைக்கிழங்கு மசிப்பு) ஒரு வார நாள் காலை உணவாக இடியாப்பம் அல்லது இட்லி/தோசையுடன் பரிமாறவும்.
</t>
  </si>
  <si>
    <t>http://www.archanaskitchen.com/kosamalli-recipe-chettinad-style-brinjal-and-potato-mash</t>
  </si>
  <si>
    <t>Chettinad Crab Rooster Recipe (Crab Fry with Baby Onions)</t>
  </si>
  <si>
    <t>செட்டிநாடு நண்டு வருவல் செய்முறை (குழந்தை வெங்காயத்துடன் நண்டு பொரியல்)</t>
  </si>
  <si>
    <t>500 கிராம் நண்டு, 1 கப் வெங்காயம் - நறுக்கியது, 2 தக்காளி - நறுக்கியது, 2 பச்சை மிளகாய், 2 காய்ந்த மிளகாய், 1-1/2 தேக்கரண்டி இஞ்சி பூண்டு விழுது, 2 துளிர் கறிவேப்பிலை, 1 டேபிள் ஸ்பூன் கொத்தமல்லி தூள் (தானியா), 3/4 டேபிள் ஸ்பூன் சிவப்பு மிளகாய் தூள், 2 டீஸ்பூன் துளசி தூள், 1/2 தேக்கரண்டி தூள், உப்பு - ருசிக்கேற்ப, 2 டேபிள் ஸ்பூன் சூரியகாந்தி எண்ணெய், கொத்தமல்லி (தானியா) இலைகள் - அலங்காரத்திற்குத் தேவையான அளவு</t>
  </si>
  <si>
    <t>500 grams Crab,1 cup Shallots - chopped,2 Tomatoes - chopped,2 Green Chillies,2 Dry Red Chillies,1-1/2 teaspoon Ginger Garlic Paste,2 sprig Curry leaves,1 tablespoon Coriander Powder (Dhania),3/4 tablespoon Red Chilli powder,2 teaspoon Black pepper powder,1/2 teaspoon Turmeric powder (Haldi),1-1/2 teaspoon Fennel Powder,Salt - to taste,2 tablespoons Sunflower Oil,Coriander (Dhania) Leaves - as required for garnish</t>
  </si>
  <si>
    <t xml:space="preserve">To begin making the Chettinadu Nandu Varuval recipe, clean and wash crab well. I cut them into pieces. Marinate crab with little turmeric powder, salt and keep aside for 30 minutes.Bring 1 litre of water to boil and add crab to the boiling water. Cook for 3-5 minutes, drain the crab from boiled water and keep aside.In a wok/kadhai, heat oil. Add ginger garlic paste and cook until the raw smell of the paste is gone. Add shallots, green chilies and dried red chilies. Saute and cook until onions turn translucent.Now add tomatoes and cook until tomatoes turn mushy and oil separates from the sides of the pan.Add the spice powders and give it a quick mix. Add salt to taste, mix.Add cooked crab into the pan, mix well to coat all the crab pieces well with the spice masala. Reduce the flame to low, cover and cook until crab is fully cooked and masala turns dry.Remove from pan, garnish with coriander leaves and serve hot. Serve Chettinad Nandu Varuval with steamed rice and Mamsaam Chops as side dish or serve it as a starter.
</t>
  </si>
  <si>
    <t xml:space="preserve">செட்டிநாடு நண்டு வருவல் செய்முறையைத் தொடங்க, நண்டை நன்கு சுத்தம் செய்து கழுவவும். நான் அவற்றை துண்டுகளாக வெட்டினேன். நண்டை சிறிது மஞ்சள் தூள், உப்பு சேர்த்து 30 நிமிடம் தனியாக வைக்கவும்.1 லிட்டர் தண்ணீரை கொதிக்க வைத்து கொதிக்கும் நீரில் நண்டு சேர்க்கவும். 3-5 நிமிடங்களுக்கு சமைக்கவும், வேகவைத்த தண்ணீரில் நண்டை வடித்து தனியே வைக்கவும். ஒரு வாணலியில் / கடாயில், எண்ணெயை சூடாக்கவும். இஞ்சி பூண்டு விழுது சேர்த்து பச்சை வாசனை போகும் வரை வதக்கவும். வெங்காயம், பச்சை மிளகாய் மற்றும் காய்ந்த சிவப்பு மிளகாய் சேர்க்கவும். வெங்காயம் கசியும் வரை வதக்கி, வதக்கவும். இப்போது தக்காளியைச் சேர்த்து, தக்காளியைச் சேர்த்து, கடாயின் ஓரங்களில் இருந்து எண்ணெய் பிரிந்து வரும் வரை வதக்கவும். மசாலாப் பொடிகளைச் சேர்த்து வேகவைக்கவும். ருசிக்க உப்பு சேர்த்து, கலக்கவும். கடாயில் சமைத்த நண்டு சேர்த்து, மசாலா மசாலாவுடன் அனைத்து நண்டு துண்டுகளையும் நன்கு பூசவும். சுடரைக் குறைத்து, நண்டு முழுவதுமாக வெந்து, மசாலா வறண்டு போகும் வரை மூடி, சமைக்கவும். கடாயில் இருந்து அகற்றி, கொத்தமல்லி இலைகளால் அலங்கரித்து சூடாகப் பரிமாறவும். செட்டிநாடு நந்து வருவாலை வேகவைத்த அரிசி மற்றும் மம்சம் சாப்ஸ் உடன் பரிமாறவும் அல்லது ஒரு தொடக்கப் பொருளாகப் பரிமாறவும்.
</t>
  </si>
  <si>
    <t>https://www.archanaskitchen.com/chettinadu-nandu-varuval-recipe-crab-fry-dry-with-baby-onions</t>
  </si>
  <si>
    <t>Chettinad Mushroom and Green Pea Roast Recipe</t>
  </si>
  <si>
    <t>செட்டிநாடு காளான் மற்றும் பச்சை பட்டாணி வறுவல் செய்முறை</t>
  </si>
  <si>
    <t>1 வெங்காயம் - 1 இன்ச் இஞ்சி, 4 கிராம்பு பூண்டு - நறுக்கியது, 1 கப் பட்டன் காளான் - நறுக்கியது, 1/2 பச்சை பட்டாணி (மேட்டர்), 1 டீஸ்பூன் பெருஞ்சீரகம் (சான்ஃப்), 1 டீஸ்பூன் மேத்தி விதைகள் (வெந்தயம்), 1 தேக்கரண்டி கசகசா, 1 டீஸ்பூன் முழு கருப்பு மிளகு, 1 தேக்கரண்டி குச்சி (டால்சினி), 1 ஏலக்காய் (எலைச்சி) காய்கள்/விதைகள், 2 காய்ந்த மிளகாய்</t>
  </si>
  <si>
    <t>1 Onion - sliced,1 inch Ginger,4 cloves Garlic - chopped,1 cup Button mushrooms - sliced,1/2 Green peas (Matar),1 teaspoon Fennel seeds (Saunf),1 teaspoon Methi Seeds (Fenugreek Seeds),1 teaspoon Poppy seeds,1 teaspoon Whole Black Peppercorns,1 teaspoon Coriander (Dhania) Seeds,1 inch Cinnamon Stick (Dalchini),1 Cardamom (Elaichi) Pods/Seeds,2 Dry Red Chillies</t>
  </si>
  <si>
    <t xml:space="preserve">To begin making the Chettinad Mushroom and Green Peas Stir Fry Recipe, by roasting the spices for the chettinad masala and grinding into a smooth powder.Next to stir fry the mushrooms, take a pan with oil add the chopped ginger and garlic, allow them to fry for few minutes.Then add in the onions, saute till it becomes translucent and slight brown. Next add in your chopped mushroom and saute till it releases all the water and cooks well.At this point, you can add in your ground masala and green peas and mix it well. Stir fry till the raw smell of the masala goes away. Serve it on to a plate. Serve the Chettinad Mushroom and Green Peas Stir Fry Recipe along with some Egg Masoor Dal Recipe (Lentil Curry With Eggs) and Kerala Style Whole Wheat Parotta Recipe to make a complete meal.
</t>
  </si>
  <si>
    <t xml:space="preserve">செட்டிநாடு காளான் மற்றும் பச்சைப் பட்டாணி வறுவல் செய்முறையைத் தொடங்க, செட்டிநாடு மசாலாவிற்கான மசாலாவை வறுத்து, மிருதுவான தூளாக அரைக்கவும். காளானை வறுக்க அடுத்து, எண்ணெயுடன் ஒரு கடாயில் நறுக்கிய இஞ்சி மற்றும் பூண்டு சேர்த்து, சில நிமிடங்கள் வதக்கவும். பின்னர் அதில் வதக்கவும். அடுத்து உங்கள் நறுக்கிய காளானை சேர்த்து, தண்ணீர் விட்டு நன்கு வேகும் வரை வதக்கவும். இந்த கட்டத்தில், நீங்கள் உங்கள் அரைத்த மசாலா மற்றும் பச்சை பட்டாணியில் சேர்த்து நன்கு கலக்கலாம். மசாலாவின் பச்சை வாசனை போகும் வரை வறுக்கவும். அதை ஒரு தட்டில் பரிமாறவும். செட்டிநாடு காளான் மற்றும் பச்சை பட்டாணி ஸ்டிர் ஃப்ரை ரெசிபியுடன் சில முட்டை மசூர் தால் ரெசிபி (முட்டையுடன் பருப்பு கறி) மற்றும்  கேரளா ஸ்டைல் ​​ஹோல் கோதுமை பரோட்டா ரெசிபி  ஆகியவற்றைப் பரிமாறவும்.
</t>
  </si>
  <si>
    <t>http://www.archanaskitchen.com/chettinad-mushroom-and-green-peas-stir-fry-recipe</t>
  </si>
  <si>
    <t>Potato Roast Recipe - Spicy Potato Roast Recipe</t>
  </si>
  <si>
    <t>உருளை கிழங்கு ரோஸ்ட் ரெசிபி - காரமான உருளைக்கிழங்கு வறுவல் செய்முறை</t>
  </si>
  <si>
    <t>3 உருளைக்கிழங்கு (ஆலு) - வேகவைத்து, பொடியாக நறுக்கியது, 1/2 டீஸ்பூன் பெருங்காயம் (கீல்), 1/4 டீஸ்பூன் கடுகு, 1/4 டீஸ்பூன் சீரகம் (ஜீரா), 1/4 டீஸ்பூன் மஞ்சள் தூள் (ஹால்டி), 1 டீஸ்பூன் சிவப்பு மிளகாய் தூள், 1 துளிர் கறிவேப்பிலை, 2 டேபிள் ஸ்பூன் எள் (இஞ்சி, ருசிக்கு)</t>
  </si>
  <si>
    <t>3 Potatoes (Aloo) - boiled and diced,1/2 teaspoon Asafoetida (hing),1/4 teaspoon Mustard seeds,1/4 teaspoon Cumin seeds (Jeera),1/4 teaspoon Turmeric powder (Haldi),1 teaspoon Red Chilli powder,1 sprig Curry leaves,2 tablespoons Sesame (Gingelly) Oil,Salt - to taste</t>
  </si>
  <si>
    <t xml:space="preserve">To begin making the Spicy Potato Roast Recipe/ Urulai Kizhangu Roast Recipe, first get all the ingredients ready. It good to have the potatoes firmly boiled as well. To cook the potatoes, cut the potatoes in half and place it in the pressure cooker. Add 1/4 cup of water, cover the pressure cooker, place the weight on and pressure cook until you hear a couple of whistles.After a couple of whistles turn off the heat. Allow the pressure to release naturally. Once the pressure is released, open the cooker and peel the skin of the potatoes and allow it to cool down completely.Once the potatoes are cooled down, cut the potatoes into a desired shape and add it to a bowl. Heat a tablespoon of oil in a wok. Add the mustard seeds, cumin seeds, curry leaves, asafoetida and allow them to crackle.Add the potatoes, turmeric powder, salt and red chilli powder and mix well.and stir well until all the condiments get well coated.Reduce the flame to medium and cover the pan with a lid and roast the  Urulai Kizhangu Roast on low to medium heat, stirring occasionally.Roast the potatoes until they have a slightly crispy texture. More like the some crumbs of the potatoes turn crispy.Remember potatoes drink a lot of oil, so adding more oil will give a more roasted feel, but watch out for that excess. Once the potatoes are well roasted, check the salt and spice levels and adjust to suit your taste. Turn off the heat and transfer the  Urulai Kizhangu Roast into a serving dish.Serve Spicy Potato Roast Recipe/  Urulai Kizhangu Roast along with Keerai Sambar and Steamed Rice for a weekday lunch. You can also pack this with Tawa Paratha for Lunch Box.
</t>
  </si>
  <si>
    <t xml:space="preserve">காரமான உருளைக்கிழங்கு ரோஸ்ட் ரெசிபி/ உருளை கிழங்கு ரோஸ்ட் ரெசிபியைத் தொடங்க, முதலில் அனைத்து பொருட்களையும் தயார் செய்து கொள்ளவும். உருளைக்கிழங்கை நன்கு வேகவைப்பது நல்லது. உருளைக்கிழங்கை சமைக்க, உருளைக்கிழங்கை இரண்டாக வெட்டி பிரஷர் குக்கரில் வைக்கவும். 1/4 கப் தண்ணீர் சேர்த்து, பிரஷர் குக்கரை மூடி, வெயிட் ஆன் செய்து, இரண்டு விசில் சத்தம் கேட்கும் வரை பிரஷர் குக் செய்யவும். ஓரிரு விசில்கள் வந்த பிறகு, அடுப்பை அணைக்கவும். அழுத்தத்தை இயற்கையாக வெளியிட அனுமதிக்கவும். பிரஷர் வெளியானதும், குக்கரைத் திறந்து உருளைக்கிழங்கின் தோலை உரித்து, முழுவதுமாக ஆறவிடவும். உருளைக்கிழங்கு ஆறியவுடன், உருளைக்கிழங்கை விரும்பிய வடிவில் வெட்டி ஒரு பாத்திரத்தில் சேர்க்கவும். வாணலியில் ஒரு தேக்கரண்டி எண்ணெயை சூடாக்கவும். கடுகு, சீரகம், கறிவேப்பிலை, பெருங்காயம் சேர்த்து வெடிக்க விடவும். உருளைக்கிழங்கு, மஞ்சள் தூள், உப்பு மற்றும் சிவப்பு மிளகாய் தூள் சேர்த்து நன்கு கலக்கவும். அனைத்து மசாலாப் பொருட்களும் நன்கு பூசும் வரை நன்கு கிளறவும். சுடரை மிதமாகக் குறைத்து, கடாயை மூடி, உருளைக்கிழங்கை மிதமாக சூடாக்கும் வரை கிழங்கு வறுக்கவும். அவை சற்று மிருதுவான அமைப்பைக் கொண்டுள்ளன. உருளைக்கிழங்கின் சில துண்டுகள் மிருதுவாக மாறும். உருளைக்கிழங்கு நன்கு வறுத்தவுடன், உப்பு மற்றும் மசாலா அளவை சரிபார்த்து, உங்கள் சுவைக்கு ஏற்ப சரிசெய்யவும். தீயை அணைத்து,  உருளை கிழங்கு வறுத்தலை பரிமாறும் உணவாக மாற்றவும். காரமான உருளைக்கிழங்கு வறுவல் செய்முறை/  உருளை கிழங்கு வறுவல்                           உருளைக்கிழங்கு உருளைக்கிழங்கு                               உருளை கிழங்கு வறுவல்  மற்றும் வேகவைத்த சாதத்தை ஒரு வார மதிய உணவாகப் பரிமாறவும். மதிய உணவுப் பெட்டிக்கான தவா பராத்தா இதையும் பேக் செய்யலாம்.
</t>
  </si>
  <si>
    <t>http://www.archanaskitchen.com/urulai-kizhangu-roast-recipe-spicy-potato-roast-recipe</t>
  </si>
  <si>
    <t>Coconut Tamarind Vengaia Kulambu Recipe (South Indian Style Spicy and Tangy Kala Sana)</t>
  </si>
  <si>
    <t>கொண்டகடலை புளி வெங்கையா குழம்பு ரெசிபி (தென்னிந்திய ஸ்டைல் ​​காரமான மற்றும் டேங்கி கலா சானா)</t>
  </si>
  <si>
    <t>1 கப் கலா சானா (பிரவுன் கொண்டைக்கடலை), 12 முத்து வெங்காயம் (சாம்பார் வெங்காயம்) - பாதியாக, 1 டேபிள் ஸ்பூன் சாம்பார் பொடி, 1 தேக்கரண்டி மஞ்சள் தூள் (ஹால்டி), 1 டீஸ்பூன் வெல்லம், 1 கப் புளி தண்ணீர், 1/2 கப் வீட்டில் தக்காளி துருவல், 1/2 டீஸ்பூன் கடுகு விதைகள், 1/4 டீஸ்பூன் மெத்தி விதைகள், 1/4 தேக்கரண்டி தோராயமாக கிழிந்தது, உப்பு - சுவைக்கு, எள் (இஞ்சி) எண்ணெய் - சமையலுக்கு</t>
  </si>
  <si>
    <t>1 cup Kala Chana (Brown Chickpeas),12 Pearl onions (Sambar Onions) - halved,1 tablespoon Sambar Powder,1 teaspoon Turmeric powder (Haldi),1 teaspoon Jaggery,1 cup Tamarind Water,1/2 cup Homemade tomato puree,1/2 teaspoon Mustard seeds,1/4 teaspoon Methi Seeds (Fenugreek Seeds),1 sprig Curry leaves - roughly torn,Salt - to taste,Sesame (Gingelly) Oil - for cooking</t>
  </si>
  <si>
    <t xml:space="preserve">To begin making the Kondakadalai Puli Vengaya Kuzhambu Recipe, first soak the kala chan (kondakadalai) in water for at least 8 hours.Cook the Kondakadalai with salt and water in the Pressure cooker for about 7 to 8 whistles. Turn the heat to low and simmer for another 15 minutes. Ensure that the kondakadalai is cooked well. Once done keep aside.Heat oil in a pan, add the mustard seeds, fenugreek seeds and allow them to crackle. Add the onions, curry leaves and roast the onions until tender. Add the tamarind water, tomato puree, jaggery, sambar powder, turmeric powder, cooked kondakadalai and salt to taste.Simmer the kondakadalai Kuzhambu for 10 to 15 minutes until the masala get well incorporated into the kondakadalai and the raw taste from the tamarind goes away. Once done, turn off the heat, check the salt and spices and adjust the taste accordingly. Serve the Kondakadalai Puli Vengaya Kuzhambu along with Beetroot Poriyal and hot steamed rice for lunch or dinner.
</t>
  </si>
  <si>
    <t xml:space="preserve">கொண்டகடலை புளி வெங்கையா குழம்பு ரெசிபியை செய்ய தொடங்க, முதலில் கலசானை (கொண்டகடலை) தண்ணீரில் குறைந்தது 8 மணிநேரம் ஊற வைக்கவும். கொண்டகடலையை உப்பு மற்றும் தண்ணீருடன் பிரஷர் குக்கரில் சுமார் 7 முதல் 8 விசில் வரை சமைக்கவும். வெப்பத்தை குறைத்து மற்றொரு 15 நிமிடங்கள் இளங்கொதிவாக்கவும். கொண்டகடலை நன்கு வேகவைக்கப்பட்டுள்ளதா என்பதை உறுதிப்படுத்தவும். ஒரு கடாயில் எண்ணெயை சூடாக்கி, கடுகு, பெருங்காயம் சேர்த்து வெடிக்க அனுமதிக்கவும். வெங்காயம், கறிவேப்பிலை சேர்த்து வெங்காயத்தை வதக்கும் வரை வறுக்கவும். புளி தண்ணீர், தக்காளி கூழ், வெல்லம், சாம்பார் தூள், மஞ்சள் தூள், சமைத்த கொண்டகடலை மற்றும் உப்பு சேர்த்து ருசிக்கவும். கொண்டகடலை குழம்புவை 10 முதல் 15 நிமிடங்கள் வரை வேகவைக்கவும். முடிந்ததும், தீயை அணைத்து, உப்பு மற்றும் மசாலாவை சரிபார்த்து, அதற்கேற்ப சுவையை சரிசெய்யவும். கொண்டகடலை புளி வெங்கையா குழம்பு, பீட்ரூட் பொரியல் மற்றும் சூடான வேகவைத்த சாதத்துடன் மதிய உணவு அல்லது இரவு உணவிற்கு பரிமாறவும்.
</t>
  </si>
  <si>
    <t>http://www.archanaskitchen.com/kondakadalai-puli-vengaya-kuzhambu-recipe-south-indian-style-spicy-and-tangy-kala-chana</t>
  </si>
  <si>
    <t>Chettinad Thakali Vanga Kulambu Recipe</t>
  </si>
  <si>
    <t>செட்டிநாடு தக்கலி வேங்கை குழம்பு செய்முறை</t>
  </si>
  <si>
    <t>2 கப் புளி தண்ணீர், 12 முத்து வெங்காயம் (சாம்பார் வெங்காயம்) - தோல் நீக்கி பாதியாக நறுக்கியது, 2 தக்காளி - பொடியாக நறுக்கியது, 1 டீஸ்பூன் சாம்பார் பொடி, 1 டீஸ்பூன் முழு கருப்பு மிளகுத்தூள் - பொடியாக நறுக்கியது, உப்பு - ருசிக்கேற்ப, 1 டீஸ்பூன் வெல்லம், 1 டீஸ்பூன் கடுகு, எள் 2 தேக்கரண்டி (வெந்தய விதைகள்), 2 துளிர் கறிவேப்பிலை - தோராயமாக கிழிந்தது</t>
  </si>
  <si>
    <t>2 cups Tamarind Water,12 Pearl onions (Sambar Onions) - peeled and halved,2 Tomatoes - roughly chopped,1 teaspoon Sambar Powder,1 teaspoon Whole Black Peppercorns - coarsely pounded,Salt - to taste,1 teaspoon Jaggery,1 teaspoon Sesame (Gingelly) Oil,1 teaspoon Mustard seeds,1/2 teaspoon Methi Seeds (Fenugreek Seeds),2 sprig Curry leaves - roughly torn</t>
  </si>
  <si>
    <t xml:space="preserve">To begin making the Chettinad Thakkali Vengaya Kuzhambu Recipe, first get all the ingredients prepped and ready. Make the tamarind water according to the recipe - How To Make Tamarind WaterOnce the ingredients are prepped, we will cook them all in the pressure cooker. Into the pressure cooker, add the tomatoes, onions, tamarind water, salt, jaggery, sambar powder, pepper and salt. Stir well to combine and cook until you hear a couple of whistles. After a couple of whistles, turn of the heat and allow the pressure to release naturally. Once released, stir well and transfer to a boil. The Kuzhambu will be a little runny, if you like a thicker Chettinad Vengaya Kuzhambu, then you can simmer the Kuzhambu on low heat until it thickens.Check the salt and spices and adjust to suit your taste.The final step is the seasoning. Heat a little oil in a small tadka pan, add the mustard seeds, fenugreek seeds and allow it to crackle. Once it crackles add the curry leaves and stir. Turn off the heat and add the seasoning to the Chettinad Vengaya Kuzhambu and serve.Serve the Chettinad Thakkali Vengaya Kuzhambu along with some steaming hot rice, Cabbage Poriyal and Appalam. Serve it for lunch or dinner and you will surely enjoy this spicy curry.
</t>
  </si>
  <si>
    <t xml:space="preserve">செட்டிநாடு தக்கலி வெங்கையா குழம்பு ரெசிபியைத் தொடங்க, முதலில் அனைத்து பொருட்களையும் தயார் செய்து தயார் செய்யவும். செய்முறையின்படி புளி நீரை உருவாக்கவும் - புளி தண்ணீரை எப்படி செய்வது என்பது பொருட்கள் தயாரிக்கப்பட்டவுடன், அவை அனைத்தையும் பிரஷர் குக்கரில் சமைப்போம். பிரஷர் குக்கரில், தக்காளி, வெங்காயம், புளி தண்ணீர், உப்பு, வெல்லம், சாம்பார் தூள், மிளகு மற்றும் உப்பு சேர்க்கவும். ஒன்றிரண்டு விசில் கேட்கும் வரை நன்றாகக் கிளறி, கலக்கவும். ஓரிரு விசில்களுக்குப் பிறகு, வெப்பத்தை அணைத்து, அழுத்தத்தை இயற்கையாக வெளியிட அனுமதிக்கவும். வெளியானதும், நன்கு கிளறி ஒரு கொதி நிலைக்கு மாற்றவும். குழம்பு கொஞ்சம் சளியாக இருக்கும், நீங்கள் கெட்டியான செட்டிநாடு வெங்கையா குழம்பு விரும்பினால், குழம்பு கெட்டியாகும் வரை குறைந்த தீயில் வேகவைக்கலாம். உப்பு மற்றும் மசாலாவை சரிபார்த்து, உங்கள் சுவைக்கு ஏற்றவாறு சரிசெய்யவும். கடைசி கட்டம் மசாலா. ஒரு சிறிய தட்கா கடாயில் சிறிது எண்ணெயை சூடாக்கி, கடுகு, பெருங்காயம் சேர்த்து வெடிக்க அனுமதிக்கவும். வெடித்ததும் கறிவேப்பிலை சேர்த்து கிளறவும். அடுப்பை அணைத்துவிட்டு, செட்டிநாடு வெங்கையா குழம்புடன் தாளிக்கக் கொடுத்துள்ளவற்றைச் சேர்த்துப் பரிமாறவும். செட்டிநாடு தக்கலி வேங்கைக் குழம்பு, சிறிது சூடான சாதம், முட்டைக்கோஸ் பொரியல்  மற்றும் அப்பளத்துடன் பரிமாறவும். இதை மதிய உணவு அல்லது இரவு உணவிற்கு பரிமாறவும், இந்த காரமான கறியை நீங்கள் நிச்சயமாக ரசிப்பீர்கள்.
</t>
  </si>
  <si>
    <t>http://www.archanaskitchen.com/chettinad-thakkali-vengaya-kuzhambu-recipe</t>
  </si>
  <si>
    <t>Gauni Rice Payasam Recipe - Black Rice Keer</t>
  </si>
  <si>
    <t>கவுனி அரிசி பாயசம் செய்முறை - கருப்பு அரிசி கீர்</t>
  </si>
  <si>
    <t>1 கப் கறுப்பு அரிசி, 3 கப் தண்ணீர், 3 கப் பால், 1/2 கப் சர்க்கரை, 3 ஏலக்காய் (ஏலக்காய்) காய்கள்/விதைகள், 2 டீஸ்பூன் நெய், 10 முந்திரி, திராட்சை - ஒரு கைப்பிடி</t>
  </si>
  <si>
    <t>1 cup Black Rice,3 cups Water,3 cup Milk,1/2 cup Sugar,3 Cardamom (Elaichi) Pods/Seeds,2 teaspoon Ghee,10 Cashew nuts,Raisins - a handful</t>
  </si>
  <si>
    <t xml:space="preserve">To begin making Kavuni Arisi Payasam Recipe, wash and soak the black rice overnight. The next morning transfer the black rice along with the water and  pressure cook for 5 whistles, turn down the flame and simmer for 5 more minutes. Turn off the flame. Allow the pressure to release naturally. If you want to make Kavuni Arisi Payasam the same day, soak the black rice for an hour and pressure cook for 15 whistles adding 3 cups of water. Once the pressure releases, slightly mash the rice with a ladle.Heat a deep bottom pan on medium heat, add the milk and cooked rice and cook on a medium flame. To this add crushed Cardamom and sugar and stir well. Cook and stir until it thickens like a porridge and switch off the flame. It will take about 15-20 minutes to thicken. In a separate pan, fry Cashews and Raisins in ghee on a low flame and add it to payasam. Mix well and serve hot.Serve Kavuni Arisi Payasam Recipe as a dessert after a simple Sunday afternoon meal of Thakkali Rasam Recipe (South Indian Tomato Rasam), Steamed Rice and Pavakkai Poriyal Recipe (Karela Ki Sabzi).
</t>
  </si>
  <si>
    <t xml:space="preserve">கவுனி அரிசி பாயசம் செய்முறையைத் தொடங்க, கருப்பு அரிசியைக் கழுவி இரவு முழுவதும் ஊற வைக்கவும். மறுநாள் காலையில் கறுப்பு அரிசியை தண்ணீருடன் சேர்த்து 5 விசில் விட்டு பிரஷர் செய்து, தீயைக் குறைத்து மேலும் 5 நிமிடங்கள் இளங்கொதிவாக்கவும். தீயை அணைக்கவும். அழுத்தத்தை இயற்கையாக வெளியிட அனுமதிக்கவும். அதே நாளில் கவுனி அரிசி பாயசம் செய்ய விரும்பினால், கருப்பு அரிசியை ஒரு மணி நேரம் ஊறவைத்து, 3 கப் தண்ணீர் சேர்த்து 15 விசில் விட்டு பிரஷர் செய்யவும். அழுத்தம் வெளியானதும், அரிசியை ஒரு கரண்டியால் சிறிது பிசைந்து கொள்ளவும். ஒரு ஆழமான பானையை மிதமான சூட்டில் சூடாக்கி, பால் மற்றும் சமைத்த அரிசியைச் சேர்த்து மிதமான தீயில் சமைக்கவும். இதனுடன் அரைத்த ஏலக்காய் மற்றும் சர்க்கரை சேர்த்து நன்கு கிளறவும். கஞ்சி போல் கெட்டியாகும் வரை சமைத்து கிளறி அடுப்பை அணைக்கவும். இது கெட்டியாக 15-20 நிமிடங்கள் எடுக்கும். தனி கடாயில் நெய்யில் முந்திரி, திராட்சையை வறுத்து பாயாசத்தில் சேர்க்கவும். நன்கு கலந்து சூடாக பரிமாறவும்.
</t>
  </si>
  <si>
    <t>http://www.archanaskitchen.com/kavuni-arisi-payasam-recipe-black-rice-kheer</t>
  </si>
  <si>
    <t>Chettinad masala powder recipe</t>
  </si>
  <si>
    <t>செட்டிநாடு மசாலா பொடி செய்முறை</t>
  </si>
  <si>
    <t>2 தேக்கரண்டி கொத்தமல்லி (தானியா) விதைகள், 1 தேக்கரண்டி சீரகம் (ஜீரா), 6 காய்ந்த மிளகாய், 1/2 தேக்கரண்டி அஜ்வைன் (கேரம் விதைகள்), 1 நட்சத்திர சோம்பு, 2 ஏலக்காய் (எலைச்சி) காய்கள் / விதைகள், 1 அங்குல இலவங்கப்பட்டை (டால்சினி), 3 கிராம்பு (லாங் 6), 1 தேக்கரண்டி மிளகுத்தூள், 1/4 டீஸ்பூன் மேத்தி விதைகள் (வெந்தய விதைகள்), 1 தேக்கரண்டி கசகசா, 1/2 இன்ச் மசீச (ஜாவித்ரி)</t>
  </si>
  <si>
    <t>2 tablespoons Coriander (Dhania) Seeds,1 teaspoons Cumin seeds (Jeera),6 Dry Red Chillies,1/2 teaspoon Ajwain (Carom seeds),1 Star anise,2 Cardamom (Elaichi) Pods/Seeds,1 inch Cinnamon Stick (Dalchini),3 Cloves (Laung),1 teaspoon Fennel seeds (Saunf),6 Whole Black Peppercorns,1/4 teaspoon Methi Seeds (Fenugreek Seeds),1 teaspoon Poppy seeds,1/2 inch Mace (Javitri)</t>
  </si>
  <si>
    <t xml:space="preserve">To begin making the Chettinad Masala Powder Recipe, heat a skillet on low-medium, add the whole spices - coriander seeds, cumin seeds, red chillies, carom seeds, star anise, cardamom , cinnamon, cloves, fennel seeds, peppercorns, fenugreek seeds, poppy seeds, mace until fragrant. This will take about 8-10 minutes. Turn off the flame. Once the roasted Chettinad masala powder ingredients has cooled down to room temperature, transfer to a mixer-jar and grind until you get a fine powder. Store the Chettinad masala powder in an airtight container and can be used for upto 3-4 months.
</t>
  </si>
  <si>
    <t xml:space="preserve">செட்டிநாடு மசாலா பொடி செய்முறையைத் தொடங்க, ஒரு வாணலியை மிதமான அளவில் சூடாக்கி, முழு மசாலாப் பொருட்களையும் சேர்க்கவும் - கொத்தமல்லி விதைகள், சீரகம், சிவப்பு மிளகாய், கேரம் விதைகள், நட்சத்திர சோம்பு, ஏலக்காய் ,  இலவங்கப்பட்டை, கிராம்பு, பெருஞ்சீரகம், மிளகுத்தூள், வெந்தயம், கசகசா, கசகசா. இது சுமார் 8-10 நிமிடங்கள் எடுக்கும். தீயை அணைக்கவும். வறுத்த செட்டிநாடு மசாலாத் தூள் பொருட்கள் அறை வெப்பநிலையில் ஆறியதும், மிக்சி ஜாடிக்கு மாற்றி நன்றாக பொடியாக வரும் வரை அரைக்கவும். செட்டிநாடு மசாலா பொடியை காற்று புகாத டப்பாவில் சேமித்து 3-4 மாதங்கள் வரை பயன்படுத்தலாம்.
</t>
  </si>
  <si>
    <t>http://www.archanaskitchen.com/chettinad-masala-powder-recipe</t>
  </si>
  <si>
    <t>Chettinad Dry Pepper Chicken Recipe - Chettinad Dry Pepper Chicken Recipe</t>
  </si>
  <si>
    <t>செட்டிநாடு ட்ரை பெப்பர் சிக்கன் ரெசிபி - செட்டிநாடு ட்ரை பெப்பர் சிக்கன் ரெசிபி</t>
  </si>
  <si>
    <t>500 கிராம் சிக்கன், 1 பியாஜ், 1 டமாடர், 2 டஹானி கத்தீ பட்டா, 1 பட சம்மச் அடர்கட் பெஸ்ட்,1/2 ச்சோடா சம்மச் ஹல்டி பௌடர்,1 ச்சோடா சம்மச் ஜீரா பாடர் - 1 சம்மச் தனியா பௌடர்,1 ச்சோடா சம்மச் சவுண்ட் பௌடர் - செக் லே,2-1/2 படசம் பௌடர்,நமக் - ஸ்வாத் அனுசார்,பானி - பிரயோக் அனுசார்,தெல் - பிரயோக் அனுசார்,ஹரா தானியா - கே.</t>
  </si>
  <si>
    <t>500 grams of chicken, 1 onion, 1 tomato, 2 sprig curry leaves, 1 tbsp ginger garlic paste, 1/2 tsp turmeric powder, 1 tsp cumin powder - compress, 1 tbsp coriander powder, 1 tsp fennel Powder - roast, 2-1 / 2 tbsp. Black pepper powder, salt - as per taste, water - as per use, oil - as per use, coriander - for garnish</t>
  </si>
  <si>
    <t>To make Chettinad Dry Pepper Chicken Recipe, first wash and clean the chicken thoroughly. Now add turmeric powder, water and chicken in a bowl and keep it aside for 10 minutes. After 10 minutes drain the water and marinate it with salt. Keep it aside. Now heat oil in a pan. Add onions and cook till they become soft. After onions become soft, add ginger garlic paste and cook for 2 minutes. After 2 minutes add curry leaves and mix well. Now add tomatoes and cook till tomatoes become soft. It will take 3 to 4 minutes. After 3 to 4 minutes add marinated chicken and cook for 3 to 5 minutes. Now add cumin powder, fennel powder, coriander powder, black pepper powder, salt and mix it. Cook for 5 minutes. Now add 1/4 cup water and cook for 3 to 4 minutes. Serve. Serve Chettinad Dry Pepper Chicken Recipe along with Tomato Rasam and Rice for dinner.</t>
  </si>
  <si>
    <t xml:space="preserve">செட்டிநாடு ட்ரை பெப்பர் சிக்கன் ரெசிபி பனேன் பற்றி லெ மற்றும் சாஃப் கர் லே. இப்போது ஒரு பவுலில் ஹல்டி பௌடர், பனி மற்றும் சிக்கன் டேல் மற்றும் 10 நிமிடங்கள் அல.க. 10 நிமிடங்களுக்கு பானி நிகால் லே மற்றும் நமக் செ மேரீனெட் கர் லே. अलग से रख दे. இப்போது ஒரு கதை. இதே போல் ப்யாஜ் டாலே மற்றும் உனக்கே நரம் ஹோனே தக் பகா லே. தயவு செய்து மேலும் 2 நிமிடங்களுக்கு 2 நிமிடங்களுக்கு மேல். அதே போல் கத்தீ பட்டா டாலே மற்றும் அச்சி தரஹ் சே மிலா லே. அபி டமாடர் டேல் மற்றும் டமாடர் கே நரம் ஹோனே தக் பகா லே. இதேபோல் 3 செப்டம்பர் 4 நிமிடங்களில். 3 செ 4 நிமிடங்களுக்குப் பிறகு மெரினெட் கியா ஹுயா சிக்கன் டேல் மற்றும் 3 செ 5 நிமிடம் கூட. இப்போது ஜீரா பௌடர், சவுன்ப் பௌடர், தானியா பௌடர், காளி மிர்ச் பௌடர், நம. லெ. 5 நிமிடங்களுக்கு. இப்போது 1/4 கப் பானி டேல் மற்றும் 3 செ 4 நிமிடங்களுக்கு. பரோஸ். செட்டிநாடு ட்ரை பெப்பர் சிக்கன் ரெசிபி கோ டமாட்டர் ரசம் மற்றும் சாவல் போன்றவற்றைத் தெரிந்துகொள்ளவும்.
</t>
  </si>
  <si>
    <t>https://www.archanaskitchen.com/chettinad-dry-pepper-chicken-recipe-in-hindi</t>
  </si>
  <si>
    <t>Chettinad Podalangai Vada Recipe (Chettinad Style Snake Fry)</t>
  </si>
  <si>
    <t>செட்டிநாடு பொடலங்காய் வடை ரெசிபி (செட்டிநாடு ஸ்டைல் ​​பாம்பு பொரியல்)</t>
  </si>
  <si>
    <t>1 கப் சனா பருப்பு (பெங்கால் பருப்பு), 1/4 கப் மஞ்சள் மூங்கில் பருப்பு (பிளவு), 3 முதல் 4 காய்ந்த மிளகாய், 1 இன்ச் இஞ்சி, 1 டீஸ்பூன் பெருஞ்சீரகம் (சான்ஃப்), 1 இலவங்கப்பட்டை (டால்சினி) - சிறியது, 2 முதல் 3 கிராம்பு (லாங்), 1 கப் பாம்பு முதல் 3 கிராம்பு வரை மிளகாய் - பொடியாக நறுக்கியது, 1 துளிர் கறிவேப்பிலை, 2 முதல் 3 துளிர் கொத்தமல்லி (தானியா) இலைகள் - பொடியாக நறுக்கியது</t>
  </si>
  <si>
    <t>1 cup Chana dal (Bengal Gram Dal),1/4 cup Yellow Moong Dal (Split),3 to 4 Dry Red Chillies,1 inch Ginger,1 teaspoon Fennel seeds (Saunf),1 Cinnamon Stick (Dalchini) - small,2 to 3 Cloves (Laung),1 cup Snake gourd (pudulangai) - finely chopped,2 to 3 Green Chillies - finely chopped,1 sprig Curry leaves,2 to 3 sprig Coriander (Dhania) Leaves - finely chopped</t>
  </si>
  <si>
    <t xml:space="preserve">To begin making the Chettinad Podalangai Vadai (Chettinad Style Snake Gourd Fritters) recipe, wash and soak the channa and moong dals along with dried red chillies for 2 hours.Now, coarsely grind the soaked dals and dried red chillies using a mixer grinder and keep aside. Make sure you do not add any water, as the snake gourd will keep releasing water into the batter.Add the chopped snake gourd's in a small bowl, sprinkle some salt over it and let is sit for 10 minutes. This will help remove any excess water from the vegetable.In the mean, heat a small tadka pan and dry roast the fennel seeds, cinnamon and cloves. Grind this along with ginger to a fine paste in a mixer using little water and keep aside.Take a big bowl, add the coarsely ground chana and moong dal mix, snake gourd with water completely squeezed out, ginger and spice paste, finely chopped green chillies, coriander and curry leaves. Season with salt and mix well.Heat enough oil for frying in a frying pan on medium heat, when the oil is well heated, make small vadai's and slowly drop it into the oil.Let it cook on one side for 3 minutes and until it turns slightly golden brown.Once the vadai's are cooked on one side, flip it over and let it cook on the other side for another 3 minutes.Remove from oil and let it drain in a kitchen paper.Serve this Chettinad Podalangai Vadai (Chettinad Style Snake Gourd Fritters) Recipe during Navratri or include it as a condiment while making a Chettinad themed elaborate weekend brunch.
</t>
  </si>
  <si>
    <t xml:space="preserve">செட்டிநாடு பொடலங்காய் வடை (செட்டிநாடு ஸ்டைல் ​​பாம்புப் பொரியல்) செய்முறையைத் தொடங்க, காய்ந்த மிளகாயுடன் சன்னா மற்றும் உளுந்தை 2 மணி நேரம் ஊற வைக்கவும். தண்ணீர் சேர்க்காமல் பார்த்துக் கொள்ளுங்கள், ஏனெனில் பாம்பு வடை மாவுக்குள் தண்ணீரை வெளியிடும். ஒரு சிறிய கிண்ணத்தில் நறுக்கிய பாம்புக்காயைச் சேர்த்து, அதன் மேல் சிறிது உப்பு தூவி, 10 நிமிடங்கள் உட்காரவும். இது காய்கறியிலிருந்து அதிகப்படியான தண்ணீரை அகற்ற உதவும். சராசரியாக, ஒரு சிறிய தட்கா பாத்திரத்தை சூடாக்கி, பெருஞ்சீரகம் விதைகள், இலவங்கப்பட்டை மற்றும் கிராம்புகளை வறுக்கவும். இதை இஞ்சியுடன் சேர்த்து மிக்ஸியில் சிறிதளவு தண்ணீர் சேர்த்து நன்றாக விழுதாக அரைத்து தனியே வைக்கவும். ஒரு பெரிய கிண்ணத்தை எடுத்து, கரடுமுரடான சானா மற்றும் உளுத்தம்பருப்பு கலவை, பாம்புக்காய், இஞ்சி மற்றும் மசாலா விழுது, பொடியாக நறுக்கிய பச்சை மிளகாய், கொத்தமல்லி மற்றும் கறிவேப்பிலை சேர்க்கவும். உப்பு சேர்த்து நன்கு கலக்கவும். மிதமான சூட்டில் வாணலியில் பொரிப்பதற்குத் தேவையான அளவு எண்ணெயைச் சூடாக்கி, எண்ணெய் நன்கு காய்ந்ததும், சிறிய வடைகளைச் செய்து, மெதுவாக எண்ணெயில் இறக்கவும். ஒரு பக்கம் 3 நிமிடம் வேகவைத்து, சிறிது பொன்னிறமாக மாறும் வரை. காகிதம். நவராத்திரியின் போது இந்த செட்டிநாடு பொடலங்காய் வடை (செட்டிநாடு ஸ்டைல் ​​பாம்பு பஜ்ஜி) ரெசிபியை பரிமாறவும் அல்லது செட்டிநாடு தீம் கொண்ட விரிவான வார இறுதி ப்ரூன்ச் செய்யும் போது இதை ஒரு கான்டிமென்டாக சேர்க்கவும்.
</t>
  </si>
  <si>
    <t>http://www.archanaskitchen.com/chettinad-podalangai-vadai-recipe-chettinad-style-snake-gourd-fritters</t>
  </si>
  <si>
    <t>Cauliflower Pepper Fry Recipe (Chettinad Style)</t>
  </si>
  <si>
    <t>காலிஃபிளவர் பெப்பர் ஃப்ரை ரெசிபி (செட்டிநாடு ஸ்டைல்)</t>
  </si>
  <si>
    <t>2 கப் காலிஃபிளவர் (கோபி) - சிறிய பூக்களாக நறுக்கியது, 1 டீஸ்பூன் சூரியகாந்தி எண்ணெய், 1/2 டீஸ்பூன் கடுகு, 1 சிட்டிகை பெருங்காயம் (கீல்), 2 துளிர் கறிவேப்பிலை, 1 தேக்கரண்டி மஞ்சள் தூள் (ஹால்டி), 2 டீஸ்பூன் சீரகம் (ஜீரா), 1 டீஸ்பூன் முழு கருப்பு மிளகு - ருசிக்கு 2 டீஸ்பூன்.</t>
  </si>
  <si>
    <t>2 cups Cauliflower (gobi) - cut into small florets,1 teaspoon Sunflower Oil,1/2 teaspoon Mustard seeds,1 pinch Asafoetida (hing),2 sprig Curry leaves,1 teaspoon Turmeric powder (Haldi),2 teaspoons Cumin seeds (Jeera),1 teaspoon Whole Black Peppercorns,2 Dry Red Chillies,Salt - to taste</t>
  </si>
  <si>
    <t xml:space="preserve">To begin making Cauliflower Pepper Fry (Chettinad Style), heat a pan and pour oil, put the mustard seeds and let it crackle.To this add the asafoetida and a sprig of curry leaves and let it splutter.Add the cauliflower florets to this and give it a stir.Add turmeric powder, season with salt and sprinkle with little water and cook with the lid on top for about 10 minutes.In the meanwhile, make a coarse dry mixture of cumin seeds, peppercorns and dried red chili in a mixer grinder.Once the cauliflower florets are cooked, put this coarse mixture over it and sauté it for well 2 minutes.Garnish with a sprig of curry leaves and serve Cauliflower Pepper Fry Recipe (Chettinad Style) with steamed rice and Beetroot Garlic Lemon Rasam for a complete meal.
</t>
  </si>
  <si>
    <t xml:space="preserve">காலிஃபிளவர் பெப்பர் ஃப்ரை (செட்டிநாடு ஸ்டைல்) செய்ய ஆரம்பிக்க, ஒரு கடாயை சூடாக்கி எண்ணெய் ஊற்றி, கடுகு போட்டு வெடிக்க விடவும். இதனுடன் பெருங்காயம் மற்றும் ஒரு துளிர் கறிவேப்பிலை சேர்த்து வதக்கவும். காலிஃபிளவர் பூக்களை இதனுடன் சேர்த்து கிளறி இறக்கவும். 10 நிமிடங்கள். இதற்கிடையில், ஒரு மிக்சி கிரைண்டரில் சீரகம், மிளகுத்தூள் மற்றும் காய்ந்த மிளகாய் ஆகியவற்றின் கரடுமுரடான உலர்ந்த கலவையை உருவாக்கவும். காலிஃபிளவர் பூக்கள் வெந்ததும், இந்த கரடுமுரடான கலவையை அதன் மேல் வைத்து நன்கு 2 நிமிடங்கள் வதக்கவும். வேகவைத்த அரிசி மற்றும் பீட்ரூட் பூண்டு எலுமிச்சை ரசம் ஒரு முழுமையான உணவு.
</t>
  </si>
  <si>
    <t>http://www.archanaskitchen.com/cauliflower-pepper-fry-recipe-chettinad-style</t>
  </si>
  <si>
    <t>Milk pudding recipe</t>
  </si>
  <si>
    <t>பால் கொழுக்கட்டை செய்முறை</t>
  </si>
  <si>
    <t>1 கப் அரிசி மாவு, 2 கப் பால் - பிரித்து, 1 கப் வெல்லம், 1 கப் தேங்காய் பால், 1 தேக்கரண்டி ஏலக்காய் தூள் (எலச்சி), 2 தேக்கரண்டி புதிய தேங்காய் - துருவியது, 1 தேக்கரண்டி உப்பு, தண்ணீர் - தேவைக்கேற்ப, 2 தேக்கரண்டி நெய்</t>
  </si>
  <si>
    <t>1 cup Rice flour,2 cup Milk - divided,1 cup Jaggery,1 cup Coconut milk,1 teaspoon Cardamom Powder (Elaichi),2 tablespoon Fresh coconut - grated,1 teaspoon Salt,Water - as required,2 tablespoon Ghee</t>
  </si>
  <si>
    <t xml:space="preserve">To begin with the Paal Kozhukatai Recipe, In a pan add jaggery and add a little water just enough to cover the jaggery in the pan. Bring it to boil. Take it off from the stove and let it cool a little. Filter to remove any impurities in jaggery, keep aside.In a nonstick pan add sieved rice flour, 1 cup milk, salt and water (as required) and whisk all together to get a lump-free, creamy consistency mix. Now place the pan on a stove and cook on low flame with constant stirring until the rice mix turns thick and start leaving the sides of the pan. You can add 1 teaspoon ghee to the pan to gather all the mix together. Remove the thick rice paste onto a plate and let it cool for 2 to 3 minutes.Grease your palm with ghee and pinch a tiny portion of the rice paste and roll into balls. Repeat this for all the paste. Keep the rolled kozhukattai covered with damp cloth to prevent it from drying. In another pan, heat 1 cup milk and 1 cup water. Bring it to boil. Add the kozhukattai balls into the boiling milk. Let it cook for 2 to 3 minutes. Very gently stir to prevent the balls from sticking to the bottom. Once kozhukattai is cooked, it will float on top. Now add filtered jaggery syrup, cardamom powder and give a gentle stir again. Cover and boil for another 3 minutes.Add coconut milk and give it a mix. Wait for a minute and turn off flame. Do not boil the milk once coconut milk is added. If you boil after adding coconut milk, the milk will curdle.Your paal kozhukattai is ready. Garnish with few broken saffron strands (optional) before serving. Serve it chilled or warm.Enjoy the paal kozhukatai recipe as dessert after your dinner. Serve the paal kozhukatai with some snacks like thatai, muruku.
</t>
  </si>
  <si>
    <t xml:space="preserve">பால் கொழுக்கடை ரெசிபியுடன் தொடங்க, ஒரு பாத்திரத்தில் வெல்லம் சேர்த்து, கடாயில் வெல்லத்தை மூடும் அளவுக்கு சிறிது தண்ணீர் சேர்க்கவும். அதை கொதிக்க வைக்கவும். அடுப்பிலிருந்து இறக்கி சிறிது ஆறவிடவும். ஜவ்வரிசியில் உள்ள அசுத்தங்களை நீக்க வடிகட்டி, ஒதுக்கி வைக்கவும். ஒரு நான்ஸ்டிக் பாத்திரத்தில் சலித்த அரிசி மாவு, 1 கப் பால், உப்பு மற்றும் தண்ணீர் (தேவைக்கேற்ப) சேர்த்து, அனைத்தையும் ஒன்றாகக் கிளறி, கட்டி இல்லாத, கிரீமி நிலைத்தன்மையுடன் கலவையைப் பெறவும். இப்போது கடாயை ஒரு அடுப்பில் வைத்து, அரிசி கலவை கெட்டியாக மாறும் வரை தொடர்ந்து கிளறி குறைந்த தீயில் சமைக்கவும். அனைத்து கலவையையும் ஒன்றாக சேகரிக்க நீங்கள் கடாயில் 1 தேக்கரண்டி நெய் சேர்க்கலாம். தடிமனான அரிசி பேஸ்ட்டை ஒரு தட்டில் எடுத்து 2 முதல் 3 நிமிடங்கள் ஆறவிடவும். உங்கள் உள்ளங்கையில் நெய் தடவி, அரிசி பேஸ்ட்டின் ஒரு சிறிய பகுதியை கிள்ளவும் மற்றும் உருண்டைகளாக உருட்டவும். அனைத்து பேஸ்டுக்கும் இதை மீண்டும் செய்யவும். உருட்டிய கொழுக்கட்டை உலராமல் இருக்க ஈரத்துணியால் மூடி வைக்கவும். மற்றொரு பாத்திரத்தில், 1 கப் பால் மற்றும் 1 கப் தண்ணீர் சூடாக்கவும். அதை கொதிக்க வைக்கவும். கொதிக்கும் பாலில் கொழுக்கட்டை உருண்டைகளைச் சேர்க்கவும். அதை 2 முதல் 3 நிமிடங்கள் சமைக்கவும். பந்துகள் கீழே ஒட்டாமல் இருக்க மிகவும் மெதுவாக கிளறவும். கொழுக்கட்டை வெந்ததும் மேலே மிதக்கும். இப்போது வடிகட்டிய வெல்லம் பாகு, ஏலக்காய்த் தூள் சேர்த்து மீண்டும் மெதுவாக கிளறவும். மூடி வைத்து மேலும் 3 நிமிடம் கொதிக்க வைக்கவும்.தேங்காய் பால் சேர்த்து ஒரு கலவையை கொடுக்கவும். ஒரு நிமிடம் காத்திருந்து தீயை அணைக்கவும். தேங்காய் பால் சேர்த்தவுடன் பாலை கொதிக்க விடாதீர்கள். தேங்காய்ப்பால் சேர்த்து கொதிக்க வைத்தால், பால் தயிர் தரும்.உங்கள் பால் கொழுக்கட்டை தயார். பரிமாறும் முன் சில உடைந்த குங்குமப்பூ இழைகளால் (விரும்பினால்) அலங்கரிக்கவும். குளிர்ச்சியாகவோ அல்லது சூடாகவோ பரிமாறவும். இரவு உணவிற்குப் பிறகு பால் கொழுக்கடை செய்முறையை இனிப்பாக அனுபவிக்கவும். தட்டை, முருகு போன்ற சில சிற்றுண்டிகளுடன் பால் கொழுக்கட்டை பரிமாறவும்.
</t>
  </si>
  <si>
    <t>https://www.archanaskitchen.com/paal-kozhukattai-recipe</t>
  </si>
  <si>
    <t>Chettinad Masala Powder Recipe - Chettinad Masala Powder Recipe</t>
  </si>
  <si>
    <t>செட்டிநாடு மசாலா பவுடர் ரெசிபி - செட்டிநாடு மசாலா பொடி செய்முறை</t>
  </si>
  <si>
    <t>2 படே சம்மச் தானியே கே பீஜ்,1 ச்சோடா சம்மச் ஜீரா,6 சுகி லால் மிர்ச்,1/2 அஜ்வைன்,1 ஸ்டார் அனிஸ்,1 அங்குல டாலசீனி,2 இலைச்சி,3 லாங்,1 ச்சோடா சம்ஃப்,6 காலி மிர்ச்,1/4 க்டோடா சம்மச் மேதி கே டானே,1 க்டோடா சம்மச் குஸ் குஸ்,1/2 ௨௦</t>
  </si>
  <si>
    <t>2 tbsp coriander seeds, 1 tsp cumin seeds, 6 dry red chillies, 1/2 tsp celery, 1 star anis, 1 inch cinnamon, 2 cardamom, 3 long, 1 tsp fennel, 6 whole black peppercorns, 1 / 4 tsp fenugreek seeds, 1 tsp khus khus, 1/2 inch mace</t>
  </si>
  <si>
    <t>To make Chettinad Masala Powder Recipe, first of all take a pan and add coriander seeds, cumin seeds, dried red chillies, celery, star anise, cardamom, cinnamon, cloves, fennel seeds, black pepper, fenugreek seeds, khus khus and mace. Roast it for 8 to 10 minutes. Turn off the gas and let it cool. Now put it in a mixer grinder and grind it. Put this powder in an air tight container and store it. Put Chettinad Masala Powder Recipe in an air tight container and you can store it for 3 to 4 months.</t>
  </si>
  <si>
    <t xml:space="preserve">செட்டிநாடு மசாலா பௌடர் ரெசிபி பனேன் சுகி லால் மிர்ச், அஜவைன், ஸ்டார் அனீஸ், இலைச்சி, தளசீனி, லாங், சவுண்ட், கே, டானே, குஸ் குஸ் மற்றும் ஜாவித்ரி டேல்.8 செ 10 நிமிடங்களுக்கு ரோஸ்ட் கர் லே. கைஸ் பந்த் மற்றும் தண்டா ஹோனே டெ.அப் இது ஒரு மிக்சர் கிரெய்ண்டர் மென்ட். இந்த பௌடர் கோ ஒரு ஏயர் டைட் கன்டனர் மற்றும் ஸ்டோர். செட்டிநாடு மசாலா பவுடர் ரெசிபி கோ ஆப் ஏயர் டைட் கன்டனர் ல் டேல் 4 பேர் LIE ஸ்டோர் கர் சக்தே உள்ளது.
</t>
  </si>
  <si>
    <t>http://www.archanaskitchen.com/chettinad-masala-powder-recipe-in-hindi</t>
  </si>
  <si>
    <t>Chettinad Prawn Gravy Recipe</t>
  </si>
  <si>
    <t>செட்டிநாடு இறால் குழம்பு செய்முறை</t>
  </si>
  <si>
    <t>15 இறால்கள், 2 வெங்காயம் - பொடியாக நறுக்கியது, 3 தக்காளி, 2 டீஸ்பூன் இஞ்சி பூண்டு விழுது, 2 கப் தண்ணீர், 5 முழு கருப்பு மிளகு, 4 காய்ந்த மிளகாய், 1/4 தேக்கரண்டி கடுகு, 1 இன்ச் இலவங்கப்பட்டை (டால்சினி), 1 துளிர் கறிவேப்பிலை, கொத்தமல்லி (நறுக்கியது 2 தேக்கரண்டி) தூள் (ஹால்டி), 1/2 டீஸ்பூன் சீரகத்தூள் (ஜீரா), 1/4 தேக்கரண்டி புளி விழுது, 2 தேக்கரண்டி தக்காளி - விழுது, 4 தேக்கரண்டி சூரியகாந்தி எண்ணெய், உப்பு - தேவையான அளவு</t>
  </si>
  <si>
    <t>15 Prawns,2 Onion - finely chopped,3 Tomato,2 teaspoon Ginger Garlic Paste,2 cups Water,5 Whole Black Peppercorns,4 Dry Red Chillies,1/4 teaspoon Mustard seeds,1 inch Cinnamon Stick (Dalchini),1 sprig Curry leaves,Coriander (Dhania) Leaves -  A handful (chopped),1/2 teaspoon Turmeric powder (Haldi),1/2 teaspoon Cumin powder (Jeera),1/4 teaspoon Tamarind Paste,2 tablespoon Tomato - paste,4 teaspoon Sunflower Oil,Salt - to taste</t>
  </si>
  <si>
    <t xml:space="preserve">To begin making the Chettinad Prawn Curry, firstly wash and devein the prawns and cut off the heads.Add dry red chillies and a little water in the mixer grinder and make a paste out of it. Heat a saucepan with water add tomato, cinnamon, tamarind paste and the required salt. Let it boil to the point where the tomatoes soften, about 10 minutes. Cool it.Strain the tomato juice water and reserve for cooking.Take a bowl with 3 teaspoons of water and mix all the dry masala.Heat a heavy bottomed pan with oil and temper with mustard seeds, whole black peppercorns and curry leaves. Add the prawns and fry for 2 minutes. Take the prawns out and keep it aside. Add the onions, ginger and garlic paste, salt and fry till the onions become translucent. Pour the tomato spicy juice, bring up to a boil.Mix the tomato paste and dry masala water. Add the prawns and let it boil till gravy consistency is formed. Check the salt and seasoning. Garnish with coriander leaves and serve hot.Enjoy Chettinad Prawn Curry along with Steamed Rice and Onion Tomato Mixed Bean Sprout Salad for a comforting and delicious weekday meal.
</t>
  </si>
  <si>
    <t xml:space="preserve">செட்டிநாடு இறால் குழம்பு செய்யத் தொடங்க, முதலில் இறாலைக் கழுவித் துடைத்து, தலையை துண்டிக்கவும். காய்ந்த மிளகாய் மற்றும் மிக்ஸி கிரைண்டரில் சிறிது தண்ணீர் சேர்த்து, அதிலிருந்து பேஸ்ட் செய்யவும். தக்காளி, இலவங்கப்பட்டை, புளி விழுது மற்றும் தேவையான உப்பு சேர்த்து தண்ணீரில் ஒரு பாத்திரத்தை சூடாக்கவும். சுமார் 10 நிமிடங்கள் தக்காளி மென்மையாகும் வரை கொதிக்க விடவும். ஆறவைக்கவும்.தக்காளி சாற்றை வடிகட்டவும், சமையலுக்கு ஒதுக்கவும்.ஒரு கிண்ணத்தில் 3 டீஸ்பூன் தண்ணீர் சேர்த்து காய்ந்த மசாலா அனைத்தையும் கலந்து கொள்ளவும் இறால் சேர்த்து 2 நிமிடம் வதக்கவும். இறாலை வெளியே எடுத்து தனியாக வைக்கவும். வெங்காயம், இஞ்சி பூண்டு விழுது, உப்பு சேர்த்து வெங்காயம் ஒளிரும் வரை வதக்கவும். தக்காளி மசாலா சாற்றை ஊற்றவும், ஒரு கொதி நிலைக்கு கொண்டு வாருங்கள். தக்காளி விழுது மற்றும் உலர்ந்த மசாலா தண்ணீரை கலக்கவும். இறால்களைச் சேர்த்து குழம்பு பதம் வரும் வரை கொதிக்க விடவும். உப்பு மற்றும் மசாலாவை சரிபார்க்கவும். கொத்தமல்லி இலைகளால் அலங்கரித்து, சூடாகப் பரிமாறவும். செட்டிநாடு இறால் வறுவல், வேகவைத்த சாதம் மற்றும் வெங்காயம் தக்காளி கலந்த பீன் ஸ்ப்ரூட் சாலட் உடன் ஒரு ஆறுதலான மற்றும் ருசியான வார நாள் உணவு.
</t>
  </si>
  <si>
    <t>https://www.archanaskitchen.com/chettinad-prawn-curry-recipe</t>
  </si>
  <si>
    <t>Chettinad Style Mirch Gobi Recipe - Cauliflower Pepper Fry (Recipe in Hindi)</t>
  </si>
  <si>
    <t>செட்டிநாடு ஸ்டைல் ​​மிர்ச் கோபி ரெசிபி - காலிஃபிளவர் பெப்பர் ஃப்ரை (இந்தியில் செய்முறை)</t>
  </si>
  <si>
    <t>2 கப்ஸ் கோபி - காட் லெ,1 க்டோடா சமச்ச டெல்,1/2 க்டோடா சமச்ச ரை,1 சக் - भर,2 टहनी कधी बाता,1 छोटा चम्च हल्दी बडार, 2 छोटा चोटचचू ச்டோடா சமச்ச பூரி காளி மிர்ச்,2 சுகி லால் மிர்ச்,நமக் - ஸ்வாத் அனுசார்</t>
  </si>
  <si>
    <t>2 cups cabbage - chopped, 1 tsp oil, 1/2 tsp mustard seeds, 1 asafoetida - a pinch, 2 sprigs curry leaves, 1 tsp turmeric powder, 2 tsp cumin seeds, 1 tsp whole black pepper, 2 dried red chillies, salt - according to taste</t>
  </si>
  <si>
    <t>To make Chettinad Style Kali Mirch Cauliflower, heat oil in a pan. Add mustard seeds and let it cook for 10 seconds. After 10 seconds add asafoetida, curry leaves and cook for 15 seconds. After 15 seconds add chopped cabbage and mix well. Add turmeric powder, salt and sprinkle some water. Push the pan and cook for 10 minutes. Meanwhile, take cumin seeds, black pepper and dry red chillies in a mixer grinder and grind it. Add, mix and once the cabbage is cooked, add this ground mixture and cook for 2 minutes. After 2 minutes, turn off the gas and serve hot. Serve Chettinad Style Kali Mirch Cauliflower with Beetroot Sambar, Rice and Papad.</t>
  </si>
  <si>
    <t xml:space="preserve">செட்டிநாடு ஸ்டைல் ​​காளி மிர்ச் கோபி பனானே போன்ற ஒரு கதையில் தொலைபேசி. இதேபோல் ரை டாலே மற்றும் 10 செகண்ட்ஸ் தக பக்கனே தே.  10 செகண்ட்ஸ் மட்டும் ஹிங், கத்தீ பட்டா டேல் மற்றும் 15 செகண்ட்ஸ் தக் பகா. 15 செகண்ட்ஸ் கட்டி ஹுய் கோபி டாலே மற்றும் மிலா லே. ஹல்டி பௌடர், நமக் டாலே மற்றும் தோடா சா பானி ஷிட்கே. கத்தாய் கோ தக்லே மற்றும் 10 நிமிடம். உஸ் பிச், ஒரு மிக்சர் கிரைண்டர் மற்றும் ஜீரா, காளி மிர்ச் மற்றும் சுகி லால் மிர்ச் டால். மிலா மற்றும் கோபியின் பக்கம் ஜானே கே பாத், உசமே யே பிசா ஹுயா மிக்சச்சர் டேல் மற்றும் 2 நிமிடங்களுக்கு. பாத், கைஸ் பந்த் மற்றும் கரமா கரம் பரோஸ்.  செட்டிநாடு ஸ்டைல் ​​காளி மிர்ச் கோபி கோ பீட்ரூட் சாம்பர், சாவல் மற்றும் பாப்.
</t>
  </si>
  <si>
    <t>https://www.archanaskitchen.com/cauliflower-pepper-fry-recipe-in-hindi</t>
  </si>
  <si>
    <t>Mixed Sprouts in Chettinad Masala Recipe</t>
  </si>
  <si>
    <t>செட்டிநாடு மசாலா செய்முறையில் கலந்த முளைகள்</t>
  </si>
  <si>
    <t>2 கப் கலந்த முளைகள் - வேகவைத்த, 1 வெங்காயம் - மெல்லியதாக நறுக்கியது, 2 தக்காளி - மெல்லியதாக நறுக்கியது, 2 பச்சை மிளகாய் - கீறல், 1 இன்ச் இலவங்கப்பட்டை (டால்சினி), 1 பே இலை (தேஜ் பட்டா), 2 ஏலக்காய் (எலச்சி) காய்கள்/விதைகள், 1 தேக்கரண்டி (ஸ்பூன் கிராம்பு), 1 தேக்கரண்டி தூள், 2 துளிர் கறிவேப்பிலை, 1 தேக்கரண்டி எள் (இஞ்சி) எண்ணெய், உப்பு - ருசிக்கேற்ப, 2 தேக்கரண்டி முழு கருப்பு மிளகு, 1 தேக்கரண்டி சீரகம் (ஜீரா), 2 தேக்கரண்டி பெருஞ்சீரகம் விதைகள் (சான்ஃப்), 1 தேக்கரண்டி கொத்தமல்லி (தானியா) விதைகள், 10 கிராம்பு பூண்டு, தேங்காய் 2/4 துருவல் கப்</t>
  </si>
  <si>
    <t>2 cups Mixed Sprouts - boiled,1 Onion - thinly sliced,2 Tomatoes - thinly sliced,2 Green Chillies - slit,1 inch Cinnamon Stick (Dalchini),1 Bay leaf (tej patta),2 Cardamom (Elaichi) Pods/Seeds,3 Cloves (Laung),1 teaspoon Fennel seeds (Saunf),1 teaspoon Garam masala powder,2 sprig Curry leaves,1 tablespoon Sesame (Gingelly) Oil,Salt - to taste,2 teaspoons Whole Black Peppercorns,1 teaspoon Cumin seeds (Jeera),2 teaspoons Fennel seeds (Saunf),1 tablespoon Coriander (Dhania) Seeds,10 cloves Garlic,2 inch Ginger,1/4 cup Fresh coconut - grated,2 teaspoons Sunflower Oil</t>
  </si>
  <si>
    <t xml:space="preserve">To begin making Mixed Sprouts In Chettinad Masala Recipe, wash and pressure cook the mixed sprouts for 2 whistles using a pressure cooker and keep aside.Turn off the heat after two whistles and allow the pressure to release naturally. We have used the mixed sprouts containing green gram, horse gram, black chickpeas and cow peas. You can add any whole lentils of your choice. Next, to prepare the chettinad masala heat oil in a small pan, add the black pepper corns, cumin, fennel and coriander seeds, saute until it gets roasted and turns aromatic.Add the ginger, garlic and cook until the garlic turns a bit brown.Add in the grated coconut and saute until the whole mixture turns brown and aromatic. Cool and grind it into a smooth paste using a mixer grinder and keep aside.Heat sesame oil in a heavy bottomed pan on medium flame, add the cloves, green cardamom, bay leaf, cinnamon stick, fennel seeds and let it become fragrant.Add in the sliced onions, a pinch of salt and saute until it turns golden brown. Add the slit green chilies, curry leaves and saute for a minute.Add the chopped tomatoes and cook until it turns soft. Now, add in the prepared chettinad masala and saute until the whole mixture comes together and oil leaves the sides of the pan.Add the boiled sprouts, garam masala, season with salt and let it simmer for 10 minutes. Occasionally stir in between. Once the whole curry becomes a little thick, switch off the heat and serve hot.Serve the Mixed Sprouts In Chettinad Masala Recipe along with Steamed Rice and Chow Chow Thoran for a delicious and comforting weeknight dinner.
</t>
  </si>
  <si>
    <t xml:space="preserve">செட்டிநாடு மசாலா ரெசிபியில் கலவைத் தளிர்களை உருவாக்கத் தொடங்க, பிரஷர் குக்கரைப் பயன்படுத்தி 2 விசில் வரும் அளவுக்குக் கழுவி, பிரஷர் செய்து தனியாக வைக்கவும். இரண்டு விசில் வந்ததும் அடுப்பை அணைத்து, பிரஷரை இயற்கையாக வெளியிட அனுமதிக்கவும். பச்சைப்பயறு, குதிரைவாலி, உளுந்து, மாட்டுப் பட்டாணி அடங்கிய கலவை முளைகளைப் பயன்படுத்தியுள்ளோம். உங்களுக்கு விருப்பமான எந்த முழு பருப்பையும் சேர்க்கலாம். அடுத்து, ஒரு சிறிய கடாயில் செட்டிநாடு மசாலா எண்ணெய் தயார் செய்ய, கருப்பு மிளகுத்தூள், சீரகம், பெருஞ்சீரகம் மற்றும் கொத்தமல்லி விதைகளை சேர்த்து, வறுத்து வாசனை வரும் வரை வதக்கவும். இஞ்சி, பூண்டு சேர்த்து பூண்டு சிறிது பழுப்பு நிறமாக மாறும் வரை வதக்கவும். தேங்காய் துருவல் மற்றும் முழு கலவையும் பழுப்பு நிறமாக மாறும் வரை வதக்கவும். ஆறவைத்து, மிக்ஸி கிரைண்டரைப் பயன்படுத்தி மிருதுவான பேஸ்டாக அரைத்து, தனியே வைக்கவும். அடி கனமான கடாயில் எள் எண்ணெயை மிதமான தீயில் சூடாக்கி, கிராம்பு, பச்சை ஏலக்காய், பெருங்காயம், இலவங்கப்பட்டை, பெருஞ்சீரகம் சேர்த்து வாசனை வரவும். நறுக்கிய வெங்காயத்தைச் சேர்த்து, ஒரு சிட்டிகை உப்பு சேர்த்து பொன்னிறமாகும் வரை வதக்கவும். கீறிய பச்சை மிளகாய், கறிவேப்பிலை சேர்த்து ஒரு நிமிடம் வதக்கவும். நறுக்கிய தக்காளியை சேர்த்து மென்மையாக மாறும் வரை வதக்கவும். இப்போது, ​​தயாரிக்கப்பட்ட செட்டிநாடு மசாலாவில் சேர்த்து, முழு கலவையும் ஒன்றாக வரும் வரை மற்றும் கடாயின் ஓரங்களில் எண்ணெய் விட்டு வரும் வரை வதக்கவும். வேகவைத்த முளைகள், கரம் மசாலா, உப்பு சேர்த்து 10 நிமிடம் கொதிக்க விடவும். இடையிடையே கிளறவும். முழு கறியும் சிறிது கெட்டியானதும், அடுப்பை அணைத்துவிட்டு, சூடாகப் பரிமாறவும்.  மிக்ஸ்டு ஸ்ப்ரவுட்ஸ் இன் செட்டிநாடு மசாலா ரெசிபியுடன் வேகவைத்த சாதம் மற்றும் சௌ சௌ தோரன் உடன் சுவையான மற்றும் ஆறுதலான வார இரவு உணவாகப் பரிமாறவும்.
</t>
  </si>
  <si>
    <t>http://www.archanaskitchen.com/mixed-sprouts-in-chettinad-masala-recipe</t>
  </si>
  <si>
    <t>Pepper Colombo recipe</t>
  </si>
  <si>
    <t>மிளகு கொழம்பு செய்முறை</t>
  </si>
  <si>
    <t>20 முத்து வெங்காயம் (சாம்பார் வெங்காயம்), 5 பல் பூண்டு, 1/4 டீஸ்பூன் மேத்தி விதைகள் (வெந்தயம்), 1 தேக்கரண்டி கடுகு, 2 தேக்கரண்டி நல்லெண்ணெய் - + 1 தேக்கரண்டி, புளி - 3/4 கப் தண்ணீரில் ஊறவைத்த எலுமிச்சை அளவு, உப்பு - ருசிக்கேற்ப, 2 ஸ்பூன் கறிவேப்பிலை, 1 தேக்கரண்டி கறிவேப்பிலை, 1 தேக்கரண்டி (தானியா) விதைகள், 2 டீஸ்பூன் அர்ஹர் பருப்பு (பிளந்த துவரம் பருப்பு), 4 காய்ந்த மிளகாய், 1 டீஸ்பூன் வெள்ளை உளுத்தம் பருப்பு (பிளவு), 1/4 டீஸ்பூன் அசாஃபோடிடா (கீல்), 1 துளிர் கறிவேப்பிலை</t>
  </si>
  <si>
    <t>20 Pearl onions (Sambar Onions),5 cloves Garlic,1/4 teaspoon Methi Seeds (Fenugreek Seeds),1 teaspoon Mustard seeds,2 tablespoon Gingelly oil - + 1 teaspoon,Tamarind - lemon sized soaked in 3/4 cup water,Salt - to taste,2 sprig Curry leaves,1 teaspoon Jaggery,2 tablespoon Whole Black Peppercorns,1 tablespoon Coriander (Dhania) Seeds,2 teaspoon Arhar dal (Split Toor Dal),4 Dry Red Chillies,1 teaspoon White Urad Dal (Split),1/4 teaspoon Asafoetida (hing),1 sprig Curry leaves</t>
  </si>
  <si>
    <t xml:space="preserve">To begin making the Milagu Kozhambu recipe, dry roast all ingredients mentioned under the list ‘for milagu masala powder’. Let the spices cool and grind into powder.Heat gingerly oil in a pan. Add crushed garlic and shallots and saute till the onions turn translucent. Add fenugreek seeds.Extract the juice of tamarind and pour into the pan. Boil the tamarind juice until oil separates from the sides of the pan.Add 4 heaped tablespoon of milagu masala powder along with salt to taste, stir well. Let it cook for 5 minutes on low flame.Meanwhile heat 1 teaspoon oil in another pan. Add mustard seeds and let it splutter. Add curry leaves and a pinch of asafoetida. Add the tempering into the curry. Serve hot.Serve Milagu Kozhambu along with Carrot and Beans Thoran and Steamed Rice for a weekday meal.
</t>
  </si>
  <si>
    <t xml:space="preserve">மிளகு கொழம்பு செய்முறையைத் தொடங்க, 'மிளகு மசாலாப் பொடிக்கு' பட்டியலில் குறிப்பிடப்பட்டுள்ள அனைத்து பொருட்களையும் உலர் வறுக்கவும். மசாலாவை ஆறவைத்து பொடியாக அரைக்கவும். கடாயில் இஞ்சி எண்ணெயை சூடாக்கவும். நறுக்கிய பூண்டு மற்றும் வெங்காயத்தைச் சேர்த்து வெங்காயம் ஒளிரும் வரை வதக்கவும். வெந்தய விதைகளை சேர்க்கவும்.புளியின் சாறு பிரித்தெடுத்து கடாயில் ஊற்றவும். கடாயின் ஓரங்களில் இருந்து எண்ணெய் பிரியும் வரை புளி சாற்றை கொதிக்க வைக்கவும். 4 குவியல் மிளகு மசாலா பொடியை சுவைக்க உப்பு சேர்த்து நன்கு கிளறவும். குறைந்த தீயில் 5 நிமிடங்கள் சமைக்கவும். இதற்கிடையில் மற்றொரு கடாயில் 1 தேக்கரண்டி எண்ணெயை சூடாக்கவும். பாசிப்பருப்பு சேர்த்து வதக்கவும். கறிவேப்பிலை மற்றும் ஒரு சிட்டிகை சாதத்தை சேர்க்கவும். கறியில் தாளிப்பைச் சேர்க்கவும். சூடாகப் பரிமாறவும். மிளகு கொழம்பு கேரட் மற்றும் பீன்ஸ் தோரணம் மற்றும் வேகவைத்த அரிசி உடன் வார நாள் உணவாகப் பரிமாறவும்.
</t>
  </si>
  <si>
    <t>https://www.archanaskitchen.com/milagu-kozhambu-recipe</t>
  </si>
  <si>
    <t>Chettinad Fish Fry French Beans Recipe with Roasted Corn, Onions and Carrots</t>
  </si>
  <si>
    <t>வறுத்த சோளம், வெங்காயம் மற்றும் கேரட்டுடன் செட்டிநாடு மீன் வறுவல் பிரெஞ்ச் பீன்ஸ் செய்முறை</t>
  </si>
  <si>
    <t>1/2 கிலோ மீன், 4 டீஸ்பூன் சிவப்பு மிளகாய் தூள், 4 டீஸ்பூன் கொத்தமல்லி தூள் (தானியா), 1 டீஸ்பூன் மஞ்சள் தூள் (ஹால்டி), 1 டீஸ்பூன், 2 டீஸ்பூன் கருப்பு மிளகு தூள், 3 காய்ந்த மிளகாய், 1 டீஸ்பூன் கடுகு, 3 டீஸ்பூன் சனா பருப்பு (பெங்கால் பருப்பு), 8 கறிவேப்பிலை, சூரியகாந்தி எண்ணெய் - தேவையான அளவு, 2 கிராம் - முனைகள், 2 தேக்கரண்டி சோள கருவை, 1 கேரட் (கஜ்ஜார்) - துண்டுகளாக்கப்பட்டது, 2 வெங்காயம் - தோராயமாக நறுக்கியது, 2 தேக்கரண்டி பூண்டு - நறுக்கியது, 1 தேக்கரண்டி கருப்பு மிளகு தூள், 2 தேக்கரண்டி வெண்ணெய், 4 தேக்கரண்டி கூடுதல் வெர்ஜின் ஆலிவ் எண்ணெய், 3 தேக்கரண்டி பார்மேசன் சீஸ், 1 தேக்கரண்டி தேன், 2 தேக்கரண்டி பால்சாமிக் வைன்கர்</t>
  </si>
  <si>
    <t>1/2 kg Fish,4 teaspoon Red Chilli powder,4 teaspoon Coriander Powder (Dhania),1 teaspoon Turmeric powder (Haldi),1 Lemon,2 teaspoon Black pepper powder,3 Dry Red Chilli,1 teaspoon Mustard seeds,3 teaspoons Chana dal (Bengal Gram Dal),8 Curry leaves,Sunflower Oil - as required,Salt - as needed,250 grams Green beans (French Beans) - ends cut,2 tablespoons Corn Kernels,1 Carrot (Gajjar) - diced,2 Onions - roughly chopped,2 teaspoons Garlic - chopped,1 teaspoon Black pepper powder,2 tablespoons Butter,4 tablespoons Extra Virgin Olive Oil,3 tablespoons Parmesan cheese,1 teaspoon Honey,2 teaspoons Balsamic Vinegar</t>
  </si>
  <si>
    <t xml:space="preserve">To begin making the Chettinad Fish Fry With Roasted Corn, Onions And Carrots With French Beans recipe, squeeze lemon juice in a bowl, add red chilli powder, coriander powder, turmeric powder and salt as needed.Make a paste and keep aside. Clean and wash the fish pieces.Now add the paste to the fish and mix well. Marinate this for about an hour.Dry roast the ingredients given under ‘For Special Chettinad powder’ and grind them into a fine powder and keep aside.After 1 hour of fish marination, take the fish pieces and coat them well with the roasted powder and keep aside.Heat oil in a cast iron skillet and place the fish on the skillet one by one and fry from both sides to golden brown and crisp.The next step is to make the Roasted Corn, Onions And Carrots With French Beans.Bring the water and 1 teaspoon of the salt to the boil In a medium saucepan.Add the French beans and blanch for 3 minutes.Remove from the water and put into an ice water bath &amp; drain.Heat the grill or the gas burners and dry roast the corn kernels. Keep aside.Add the oil to a large saute pan over a medium heat, after 30 seconds add the onions and saute for 4 to 5 minutes.Add the French beans, roasted corns, carrots and garlic &amp; Saute for 4 minutes.De-glaze with the balsamic vinegar and honey, season with salt and pepper and add the butter. Garnish with Parmesan and serve it with the fish.Serve Chettinad Fish Fry With Roasted Corn, Onions And Carrots With French Beans on its own for a delicious weeknight dinner.
</t>
  </si>
  <si>
    <t xml:space="preserve">வறுத்த சோளம், வெங்காயம் மற்றும் கேரட் மற்றும் பிரெஞ்ச் பீன்ஸ் செய்முறையுடன் செட்டிநாடு மீன் வறுவல் செய்ய ஆரம்பிக்க, ஒரு பாத்திரத்தில் எலுமிச்சை சாறு பிழிந்து, தேவையான அளவு சிவப்பு மிளகாய் தூள், மல்லி தூள், மஞ்சள் தூள் மற்றும் உப்பு சேர்த்து. பேஸ்ட் செய்து தனியே வைக்கவும். மீன் துண்டுகளை சுத்தம் செய்து கழுவவும்.இப்போது பேஸ்ட்டை மீனில் சேர்த்து நன்கு கலக்கவும். இதை ஒரு மணி நேரம் ஊற வைக்கவும்.‘ஸ்பெஷல் செட்டிநாடு பொடிக்கு’ கீழ் கொடுக்கப்பட்டுள்ள பொருட்களை காயவைத்து பொடியாக அரைத்து தனியாக வைக்கவும்.1 மணி நேரம் கழித்து மீன் துருவல்களை எடுத்து வறுத்த பொடியில் நன்றாக பூசி தனியே வைக்கவும் பிரெஞ்ச் பீன்ஸுடன் வறுத்த சோளம், வெங்காயம் மற்றும் கேரட். மிதமான பாத்திரத்தில் தண்ணீர் மற்றும் 1 டீஸ்பூன் உப்பு சேர்த்து கொதிக்க வைக்கவும். பிரெஞ்ச் பீன்ஸ் சேர்த்து 3 நிமிடம் ப்ளான்ச் செய்யவும். தண்ணீரில் இருந்து நீக்கி ஐஸ் வாட்டர் பாத் மற்றும் வடிகால் வைக்கவும். கிரில் அல்லது கேஸ் பர்னர்களை சூடாக்கி சோளக் கருவை உலர வைக்கவும். ஒதுக்கி வைக்கவும். மிதமான தீயில் ஒரு பெரிய சாட் பானில் எண்ணெய் சேர்த்து, 30 விநாடிகள் கழித்து வெங்காயம் சேர்த்து 4 முதல் 5 நிமிடங்கள் வதக்கவும். பிரெஞ்ச் பீன்ஸ், வறுத்த சோளம், கேரட் மற்றும் பூண்டு சேர்த்து 4 நிமிடம் வதக்கவும். பால்சாமிக் வினிகர் மற்றும் தேனுடன் மெருகூட்டவும், உப்பு மற்றும் மிளகு சேர்த்து வெண்ணெய் சேர்க்கவும். பார்மேசனுடன் அலங்கரித்து, அதை மீனுடன் பரிமாறவும். செட்டிநாடு மீன் வறுவல் வறுத்த சோளம், வெங்காயம் மற்றும் கேரட் உடன் பிரெஞ்ச் பீன்ஸுடன் சுவையான வார இரவு உணவாக பரிமாறவும்.
</t>
  </si>
  <si>
    <t>http://www.archanaskitchen.com/chettinad-fish-fry-with-roasted-corn-onions-and-carrots-with-french-beans-recipe</t>
  </si>
  <si>
    <t>Chettinad Sweet Cheetah Recipe</t>
  </si>
  <si>
    <t>செட்டிநாடு இனிப்பு சீயம் செய்முறை</t>
  </si>
  <si>
    <t>1 கப் பாசுமதி அரிசி, 3/4 கப் வெள்ளை உளுத்தம் பருப்பு (பிளவு), 1 டீஸ்பூன் உப்பு, சூரியகாந்தி எண்ணெய் - ஆழமாக வறுக்க தேவையான அளவு, 1 கப் சானா பருப்பு (பெங்கால் பருப்பு), 1-1/2 கப் வெல்லம், 1/2 கப் புதிய தேங்காய் - துருவியது, 1 தேக்கரண்டி ஏலக்காய் தூள் (எலச்சி)</t>
  </si>
  <si>
    <t>1 cup Basmati rice,3/4 cup White Urad Dal (Split),1 teaspoon Salt,Sunflower Oil - as required for deep frying,1 cup Chana dal (Bengal Gram Dal),1-1/2 cup Jaggery,1/2 cup Fresh coconut - grated,1 teaspoon Cardamom Powder (Elaichi)</t>
  </si>
  <si>
    <t xml:space="preserve">To begin making the Chettinad Inippu Seeyam recipe, soak rice and urad dal separately in water for about 4 hours. Drain the water and grind into thick consistency batter. Add a teaspoon salt and keep aside.Soak Bengal gram dal for about 2 hours. Then cook in open pot until dal is well cooked and turns soft.  Do not overcook dal and make it mushy.Remove dal from heat, drain any excess water if remains. Mash it well.In a heavy bottomed pan, heat crushed jaggery with 2 tablespoon water. Once jaggery melts, add cooked Bengal gram, grated coconut and mix well. Continue to cook until the mix turns thick. Add cardamom powder and mix well.Remove from heat and let it cool down. Divide into equal portions and roll into balls.Meanwhile, heat oil for deep frying. Dip each ball into rice-dal batter gently, coat well. Then carefully drop into hot oil and deep fry on medium low flame until it turns golden brown. Remove from oil and drain on kitchen paper to absorb excess oil. Serve hot or cold.Serve Chettinad Inippu Seeyam as a dessert after your meal of Chettinad Muttai Masala and Whole Wheat Lachha Paratha.
</t>
  </si>
  <si>
    <t xml:space="preserve">செட்டிநாடு இனிப்பு சீயம் செய்முறையைத் தொடங்க, அரிசி மற்றும் உளுத்தம் பருப்பை தனித்தனியாக சுமார் 4 மணி நேரம் தண்ணீரில் ஊற வைக்கவும். தண்ணீரை வடிகட்டி கெட்டியான மாவு பதத்திற்கு அரைக்கவும். ஒரு டீஸ்பூன் உப்பு சேர்த்து தனியே வைக்கவும். வங்காளப் பருப்பை சுமார் 2 மணி நேரம் ஊற வைக்கவும். பின்னர் திறந்த பாத்திரத்தில் பருப்பு நன்கு வெந்து மென்மையாக மாறும் வரை சமைக்கவும்.  பருப்பை அதிகமாக வேகவைத்து, அதை மிருதுவாக்க வேண்டாம். சூட்டில் இருந்து பருப்பை நீக்கவும், எஞ்சியிருந்தால் அதிகப்படியான தண்ணீரை வடிகட்டவும். அதை நன்றாக மசிக்கவும். அடி கனமான பாத்திரத்தில், அரைத்த வெல்லத்தை 2 டேபிள் ஸ்பூன் தண்ணீரில் சூடாக்கவும். வெல்லம் உருகியதும், வேகவைத்த வங்கம் பருப்பு, துருவிய தேங்காய் சேர்த்து நன்கு கலக்கவும். கலவை கெட்டியாகும் வரை தொடர்ந்து சமைக்கவும். ஏலக்காய் தூள் சேர்த்து நன்கு கலக்கவும். வெப்பத்திலிருந்து நீக்கி இறக்கவும். சம பாகங்களாகப் பிரித்து உருண்டைகளாக உருட்டவும். ஒவ்வொரு உருண்டையையும் அரிசி-பருப்பு மாவில் மெதுவாக நனைத்து, நன்கு பூசவும். பின்னர் கவனமாக சூடான எண்ணெயில் இறக்கி, பொன்னிறமாகும் வரை மிதமான தீயில் வறுக்கவும். எண்ணெயிலிருந்து அகற்றி, அதிகப்படியான எண்ணெயை உறிஞ்சுவதற்கு சமையலறை காகிதத்தில் வடிகட்டவும். சூடாகவோ அல்லது குளிராகவோ பரிமாறவும். செட்டிநாடு முட்டை மசாலா மற்றும் முழு கோதுமை லச்சா பராத்தா சாப்பிட்ட பிறகு செட்டிநாடு இனிப்பு சீயத்தை இனிப்பாகப் பரிமாறவும்.
</t>
  </si>
  <si>
    <t>https://www.archanaskitchen.com/chettinad-inippu-seeyam-recipe</t>
  </si>
  <si>
    <t>Chettinad Idiyappam Recipe</t>
  </si>
  <si>
    <t>செட்டிநாடு இடியாப்பம் செய்முறை</t>
  </si>
  <si>
    <t>300 கிராம் இடியாப்பம் - வெந்நீரில் ஊறவைத்தது, 10 சுண்டைக்காய் - பாதியாக, 2 புதிய சிவப்பு மிளகாய் - மிளகாயின் சூடுக்கு ஏற்ப சரிசெய்யவும், 1/2 கேரட் (கஜ்ஜர்) - தோல் நீக்கி, மெல்லியதாக நறுக்கியது, 1/4 பச்சை மிளகாய் (கேப்சிகம்) - மெல்லிய சிவப்பு மிளகு, 1 கப், 1/4 மிளகு முட்டைக்கோஸ் (பட்டா கோபி/ முட்டைக்கோஸ்) - துருவியது, 3 பல் பூண்டு - துருவியது, 1/2 இன்ச் இஞ்சி - துருவியது, 2 டீஸ்பூன் எள் (இஞ்சி) எண்ணெய், உப்பு - சுவைக்கேற்ப, வெங்காய கீரைகள் - பொடியாக நறுக்கியது</t>
  </si>
  <si>
    <t>300 grams Idiyappam - soaked in hot water,10 Shallots - halved,2 Fresh Red Chilli - adjust according to heat of the chillies,1/2 Carrot (Gajjar) - peeled and thinly sliced,1/4 Green Bell Pepper (Capsicum) - thinly sliced,1/4 Red Bell pepper (Capsicum) - or yellow,1/4 cup Cabbage (Patta Gobi/ Muttaikose) - shredded,3 cloves Garlic - grated,1/2 inch Ginger - grated,2 teaspoons Sesame (Gingelly) Oil,Salt - to taste,Spring Onion Greens - finely chopped</t>
  </si>
  <si>
    <t xml:space="preserve">To begin making the Chettinad Idiyappam Recipe, heat a pan with oil add the grated ginger and garlic .Stir well for 30 seconds on low flame and then add the shallots. Saute the onions till they turn transparent and then stir in the vegetables.Add chilli paste, salt  and fry them over low to medium flame till they are fork tender. Now add the cooked idiappam and toss them together over high heat for 1 to 2 minutes.Switch off and garnish with the greens of spring onion.Serve the Chettinad Idiyappam with coconut chutney or tomato chutney for a healthy wholesome breakfast.
</t>
  </si>
  <si>
    <t xml:space="preserve">செட்டிநாடு இடியாப்பம் செய்முறையைத் தொடங்க, ஒரு கடாயை எண்ணெயுடன் சூடாக்கவும், அதில் துருவிய இஞ்சி மற்றும் பூண்டு சேர்க்கவும். குறைந்த தீயில் 30 விநாடிகள் நன்கு கிளறி, பின்னர் வெங்காயத்தை சேர்க்கவும். வெங்காயம் வெளிப்படையானதாக மாறும் வரை வதக்கி, பின்னர் காய்கறிகளைச் சேர்த்துக் கிளறவும். மிளகாய் விழுது, உப்பு  சேர்த்து, அவை முட்கரண்டி மென்மையாகும் வரை குறைந்த முதல் மிதமான தீயில் வதக்கவும். இப்போது சமைத்த இடியாப்பத்தைச் சேர்த்து, 1 முதல் 2 நிமிடங்களுக்கு அதிக வெப்பத்தில் ஒன்றாகச் சேர்த்துக் கிளறவும். அணைத்துவிட்டு வெங்காயத்தின் கீரைகளால் அலங்கரிக்கவும். செட்டிநாடு இடியாப்பத்தை தேங்காய்ச் சட்னி அல்லது தக்காளி சட்னியுடன்  ஆரோக்கியமான ஆரோக்கியமான காலை உணவாகப் பரிமாறவும்.
</t>
  </si>
  <si>
    <t>http://www.archanaskitchen.com/chettinad-idiappam-recipe</t>
  </si>
  <si>
    <t>Kauni Rice Paniyaram Recipe (Black Rice Paniyaram)</t>
  </si>
  <si>
    <t>கவுனி அரிசி பணியாரம் செய்முறை (கருப்பு அரிசி பணியாரம்)</t>
  </si>
  <si>
    <t>1 கப் கருப்பு அரிசி, 6 தேக்கரண்டி பனை வெல்லம் - தூள், 2 தேக்கரண்டி முழு கோதுமை மாவு, சுகாதார கலவை - (விரும்பினால்), சூரியகாந்தி எண்ணெய் - பணியாரம் கடாயில் வறுக்க</t>
  </si>
  <si>
    <t>1 cup Black Rice,6 tablespoons Palm jaggery - powder,2 tablespoons Whole Wheat Flour,Health Mix - (optional),Sunflower Oil - for frying in paniyaram pan</t>
  </si>
  <si>
    <t xml:space="preserve">To begin making Kavuni Arisi Paniyaram, wash and soak the rice in enough water for about 4 hours. Once done, drain the rice from water and add it to a mixer. Add 1/2 a cup or required amount of drained water to the rice and grind into smooth batter.Transfer the batter into a mixing bowl and add wheat flour and powdered palm and powered palm jaggery to it. You can also add 2-3 tablespoons of health mix or sathu maavu to the mixture, this step is optional. Mix everything together into dosa batter consistency.Heat a paniyaram pan adding required amount of oil. Once the pan is hot, ladle the batter into all holes and cook in medium flame until golden. Put the lid of the pan on so that the paniyarams cook/steam.   Open the lid in intervals of a 30 seconds to check if the paniyarams are cooked. Now, flip to the other side using a spoon and cook for 2-3 minutes until golden on all sides. Remove from pan and repeat for remaining batter.The healthy and tasty Kavuni Arisi Karupatti Paniyaram is ready. Serve Kavuni Arisi Paniyaram at breakfast or at tea time as healthy snack along with a hot cup of Ginger Tea. You can also serve as a side dish along with your South Indian Meal of Mixed Vegetable Sambar, Chow Chow Thoran and Steamed Rice.
</t>
  </si>
  <si>
    <t xml:space="preserve">கவுனி அரிசி பணியாரம் செய்யத் தொடங்க, அரிசியைக் கழுவி, தேவையான அளவு தண்ணீரில் சுமார் 4 மணி நேரம் ஊற வைக்கவும். முடிந்ததும், அரிசியை தண்ணீரில் இருந்து வடிகட்டி மிக்ஸியில் சேர்க்கவும். அரிசியில் 1/2 கப் அல்லது தேவையான அளவு வடிகட்டிய தண்ணீரைச் சேர்த்து, மிருதுவான மாவாக அரைக்கவும். மாவை ஒரு கலவை பாத்திரத்தில் மாற்றி, அதில் கோதுமை மாவு மற்றும் பொடித்த பனை மற்றும் பனை வெல்லம் சேர்க்கவும். கலவையில் 2-3 டேபிள் ஸ்பூன் ஹெல்த் மிக்ஸ் அல்லது சாது மாவு சேர்க்கலாம், இந்த படி விருப்பமானது. தோசை மாவு நிலைத்தன்மையுடன் அனைத்தையும் ஒன்றாக கலக்கவும். தேவையான அளவு எண்ணெய் சேர்த்து பணியாரம் கடாயை சூடாக்கவும். பான் சூடானதும், மாவை அனைத்து துளைகளிலும் ஊற்றி, மிதமான தீயில் பொன்னிறமாகும் வரை சமைக்கவும். பணியாரம் வேகும் / ஆவியில் வேகும் வகையில் கடாயின் மூடியை வைக்கவும்.   பணியாரம் வெந்துவிட்டதா என்று பார்க்க 30 வினாடிகள் இடைவெளியில் மூடியைத் திறக்கவும். இப்போது, ​​ஒரு ஸ்பூன் பயன்படுத்தி மறுபுறம் புரட்டவும் மற்றும் அனைத்து பக்கங்களிலும் பொன்னிறமாகும் வரை 2-3 நிமிடங்கள் சமைக்கவும். கடாயில் இருந்து நீக்கி, மீதமுள்ள மாவுக்காக மீண்டும் செய்யவும். ஆரோக்கியமான மற்றும் சுவையான கவுனி அரிசி கருப்பட்டி பணியாரம் தயார். கவுனி அரிசி பணியாரத்தை காலை உணவு அல்லது தேநீர் நேரத்தில் ஒரு சூடான கப் இஞ்சி டீயுடன் சேர்த்து ஆரோக்கியமான சிற்றுண்டியாக பரிமாறவும். உங்கள் தென்னிந்திய உணவான கலப்பு காய்கறி சாம்பார், சௌ சௌ தோரன் மற்றும் வேகவைத்த சாதம் ஆகியவற்றுடன் நீங்கள் ஒரு பக்க உணவாகவும் பரிமாறலாம்.
</t>
  </si>
  <si>
    <t>http://www.archanaskitchen.com/kavuni-arisi-paniyaram-recipe-black-rice-paniyaram-recipe</t>
  </si>
  <si>
    <t>Pal Katti Chettinad Curry Recipe - Chettinad Style Paneer Kurma (Recipe in Hindi)</t>
  </si>
  <si>
    <t>பால் கட்டி செட்டிநாடு கரி ரெசிபி - செட்டிநாடு ஸ்டைல் ​​பனீர் குர்மா (இந்தியில் செய்முறை)</t>
  </si>
  <si>
    <t>250 கிராம் பனீர் - சோகோர் கட்டா ஹுயா,1/2 கப் க்ஹோட்டே பியாஜ் - சார் டுகோடொம் ஹுவா,1 டமாடர் - கட்டா ஹுயா,1 ச்சோடி சமச்ச ராய்,1 படா சமச்சர் லாட், ஸ்வாதனுசார்,தெல் - பகானே கே லியே,2 டாலி கரி பட்டே,2 பட சமச்ச தனியே பீஜ்,3,1 தலசீனி,1 இலைச்சி,2 சட்டே சமச்ச பூரி காளி மிர்ச்,3 கல்பசியின் பட்டே,2 கு,6 லால் மிர்ச்,1 ச்சோடி சமச்ச கஸ் கஸ்,1/2 கப் நாரியல் - கசா ஹுயா,2 ஹரி மிர்ச் - ஹரி,சி 1 பத்தே,ஹரா தனியா - பாரிக் கட்டா ஹுவா</t>
  </si>
  <si>
    <t>250 grams Paneer - Chopped chopped, 1/2 cup small onions - cut into four pieces, 1 tomato - chopped, 1 teaspoon mustard, 1 tablespoon red chili powder, salt - as per taste, oil - to cook, 2 Nuggets curry leaves, 2 tablespoons coriander seeds, 3 lavang, 1 inch cinnamon, 1 cardamom, 2 teaspoons whole pepper, 3 kalpasi leaves, 2 chakra flowers, 6 dry red chillies, 1 teaspoon poppy poppy seeds, 1 / 2 cups coconut - grated, 2 green chillies - sliced, 1 curry leaves, coriander - finely chopped</t>
  </si>
  <si>
    <t>To make Paal Katti Chettinad Curry, first fry all the ingredients of Chettinad Paste till it turns brown. Let it cool and then add some water and grind it well in a blender. Now heat oil in a non-stick pan, add mustard seeds and asafoetida and let it cook. Now add garlic and onion and cook till it turns brown. Add chopped tomatoes and cook well. You can also add salt to cook it fast. Once the curry is cooked, add paneer and mix it well. Add some water, cover it and let it cook for 3-4 minutes. After it is cooked, add finely chopped coriander on top and mix it. Serve Paal Katti Chettinad Curry with Tawa Paratha.</t>
  </si>
  <si>
    <t xml:space="preserve">பால் கட்டி செட்டிநாடு கரி பனானே, சபேஸ் பஹலே செட்டிநாடு பெஸ்டில் को अच्छे से भूरा होने तक செங்கலேன். தண்டா ஹோனே தே மற்றும் ஹல்கா சா பானி டாலகர் பிளெண்டர் செ அச்சி செ பீசலே.அப் நேம் தேல் கரம் ஹோனே பர், உசமே ராய் மற்றும் ஹிங் டாலகர் பகனே தே.  அபி லஹசுன் மற்றும் ப்யாஜ் டாலகர் பூரா ஹோனே தக் பகா. கட்டே ஹுஏ டமாடர் டாலகர் அச்சி தரஹ பகாலே. நீங்கள் இதை ஜல்தி பகானே என்று அழைக்கலாம்.     எக் பார் யஹ் கரீ பக் ஜாவே, அதே போல் பன்னீர் டல்கர் அச் செ மிலாலே. தோடா பானி டாலகர் இஸே தகலே மற்றும் 3-4 நிமிடம் பகனே தே.  பாரிக் கடா தானிய டாலே மற்றும் மிலாலே. பால் கட்டி செட்டிநாடு கரி கோ தவா பராதா கே சத் போஜனில் பரோசே. 
</t>
  </si>
  <si>
    <t>https://www.archanaskitchen.com/chettinad-style-paneer-kurma-recipe-in-hindi</t>
  </si>
  <si>
    <t>Bengaluru Style Brinjal Gravy Recipe - For Biryani</t>
  </si>
  <si>
    <t>ಬೆಂಗಳೂರು ಶೈಲಿಯ ಬದನೆಕಾಯಿ ಗ್ರೇವಿ ರೆಸಿಪಿ - ಬಿರಿಯಾನಿಗಾಗಿ</t>
  </si>
  <si>
    <t>1 ಬದನೆ (ಬೈಂಗನ್ / ಬದನೆ) - ದೊಡ್ಡ ತುಂಡುಗಳಾಗಿ ಕತ್ತರಿಸಿ, 4 ಟೊಮ್ಯಾಟೊ, 2 ಈರುಳ್ಳಿ - ಸ್ಥೂಲವಾಗಿ ಕತ್ತರಿಸಿದ, 1 ಚಮಚ ಶುಂಠಿ ಬೆಳ್ಳುಳ್ಳಿ ಪೇಸ್ಟ್, 20 ಗ್ರಾಂ ಹುಣಸೆಹಣ್ಣು - ಬಿಸಿ ನೀರಿನಲ್ಲಿ ನೆನೆಸಿ, 1 ಚಮಚ ಸಾಸಿವೆ, 1 ಚಮಚ ಸಂಪೂರ್ಣ ಕಪ್ಪು ಮೆಣಸು, 1/2 ಚಮಚ ಬೆಲ್ಲ, 1/2 ಚಮಚ ಬೆಲ್ಲದ ಪುಡಿ - 1/4 ಚಮಚ. ಟೀಚಮಚ ಸೂರ್ಯಕಾಂತಿ ಎಣ್ಣೆ, ಉಪ್ಪು - ನಿಮ್ಮ ರುಚಿಗೆ ತಕ್ಕಂತೆ, ಕೊತ್ತಂಬರಿ ಸೊಪ್ಪು (ಧನಿಯಾ) ಎಲೆಗಳು - ಅಲಂಕಾರಕ್ಕಾಗಿ</t>
  </si>
  <si>
    <t>1 Brinjal (Baingan / Eggplant) - cut into big pieces,4 Tomatoes,2 Onions - roughly chopped,1 tablespoon Ginger Garlic Paste,20 grams Tamarind - soaked in hot water,1 teaspoon Mustard seeds,1 tablespoon Whole Black Peppercorns,1/2 tablespoon Jaggery - powdered,1/4 teaspoon Turmeric powder (Haldi),1/4 teaspoon Red Chilli powder,2 teaspoons Sunflower Oil,Salt - as per your taste,Coriander (Dhania) Leaves - for garnish</t>
  </si>
  <si>
    <t xml:space="preserve">To begin making the Brinjal Gravy For Biryani, first soak a lemon sized or 20 grams tamarind in hot water for 20 minutes.After 20 minutes extract the pulp of tamarind and keep aside. You will need 1/4 cup of tamarind pulp for this recipe. Add roughly chopped onions in a mixer and make an onion paste. Remove and keep it aside. In the same mixer, add the tomatoes and puree them. Keep aside.In a heavy bottomed pan, add 1 teaspoon of cooking oil. Let it warm up.Once the oil is hot, add the chopped brinjal till the skin becomes slightly brown. Once they are browned, remove from the pan and keep it aside. (Browning indicates that it has cooked halfway)In the same pan, add one more teaspoon of oil and add mustard seeds and peppercorns and wait for them to splutter. Keep it on a low flame as the peppercorns might sputter everywhere the moment it touches heat. Next, add in the ground onion paste, ginger garlic paste and saute for a few minutes until the raw smell of onion, ginger and garlic go away. Next, add the tomato puree, tamarind extract and salt according to your taste. Cover the pan and cook on a low flame for about 15 minutes. Open the pan occasionally and stir so that the gravy does not stick to the bottom of the pan. After 15 minutes, add the powdered jaggery in to the tamarind gravy and give it a good mix. Finally add the half cooked brinjals, 1/2 cup of water and cook till the brinjals are soft. Turn off the flame and garnish with coriander leaves.Serve Brinjal Gravy For Biryani with Hyderabadi Vegetable Biryani Recipe or Ambur Style Chicken BIryani along with a Tadka Raita for a delicious Sunday Lunch. 
</t>
  </si>
  <si>
    <t xml:space="preserve">ಬಿರಿಯಾನಿಗಾಗಿ ಬ್ರಿಂಜಾಲ್ ಗ್ರೇವಿಯನ್ನು ತಯಾರಿಸಲು ಪ್ರಾರಂಭಿಸಲು, ಮೊದಲು ನಿಂಬೆ ಗಾತ್ರದ ಅಥವಾ 20 ಗ್ರಾಂ ಹುಣಸೆಹಣ್ಣನ್ನು ಬಿಸಿ ನೀರಿನಲ್ಲಿ 20 ನಿಮಿಷಗಳ ಕಾಲ ನೆನೆಸಿಡಿ. 20 ನಿಮಿಷಗಳ ನಂತರ ಹುಣಸೆಹಣ್ಣಿನ ತಿರುಳನ್ನು ಹೊರತೆಗೆಯಿರಿ ಮತ್ತು ಪಕ್ಕಕ್ಕೆ ಇರಿಸಿ. ಈ ಪಾಕವಿಧಾನಕ್ಕಾಗಿ ನಿಮಗೆ 1/4 ಕಪ್ ಹುಣಸೆ ಹಣ್ಣಿನ ತಿರುಳು ಬೇಕಾಗುತ್ತದೆ. ಮಿಕ್ಸರ್ನಲ್ಲಿ ಸ್ಥೂಲವಾಗಿ ಕತ್ತರಿಸಿದ ಈರುಳ್ಳಿ ಸೇರಿಸಿ ಮತ್ತು ಈರುಳ್ಳಿ ಪೇಸ್ಟ್ ಮಾಡಿ. ತೆಗೆದು ಪಕ್ಕಕ್ಕೆ ಇಡಿ. ಅದೇ ಮಿಕ್ಸರ್ನಲ್ಲಿ, ಟೊಮೆಟೊಗಳನ್ನು ಸೇರಿಸಿ ಮತ್ತು ಅವುಗಳನ್ನು ಪ್ಯೂರಿ ಮಾಡಿ. ಪಕ್ಕಕ್ಕೆ ಇರಿಸಿ. ಭಾರೀ ತಳವಿರುವ ಪ್ಯಾನ್‌ನಲ್ಲಿ, 1 ಟೀಚಮಚ ಅಡುಗೆ ಎಣ್ಣೆಯನ್ನು ಸೇರಿಸಿ. ಇದು ಬೆಚ್ಚಗಾಗಲು ಬಿಡಿ. ಎಣ್ಣೆ ಬಿಸಿಯಾದ ನಂತರ, ಚರ್ಮವು ಸ್ವಲ್ಪ ಕಂದು ಬಣ್ಣ ಬರುವವರೆಗೆ ಕತ್ತರಿಸಿದ ಬದನೆ ಸೇರಿಸಿ. ಅವು ಕಂದುಬಣ್ಣವಾದ ನಂತರ, ಪ್ಯಾನ್‌ನಿಂದ ತೆಗೆದುಹಾಕಿ ಮತ್ತು ಅದನ್ನು ಪಕ್ಕಕ್ಕೆ ಇರಿಸಿ. (ಕಂದು ಬಣ್ಣವು ಅರ್ಧದಷ್ಟು ಬೇಯಿಸಿರುವುದನ್ನು ಸೂಚಿಸುತ್ತದೆ) ಅದೇ ಬಾಣಲೆಯಲ್ಲಿ ಇನ್ನೂ ಒಂದು ಟೀಚಮಚ ಎಣ್ಣೆಯನ್ನು ಸೇರಿಸಿ ಮತ್ತು ಸಾಸಿವೆ ಮತ್ತು ಕಾಳುಮೆಣಸು ಸೇರಿಸಿ ಮತ್ತು ಅವು ಚಿಮುಕಿಸುವವರೆಗೆ ಕಾಯಿರಿ. ಮೆಣಸಿನಕಾಯಿಗಳು ಶಾಖವನ್ನು ಮುಟ್ಟಿದ ಕ್ಷಣದಲ್ಲಿ ಎಲ್ಲೆಂದರಲ್ಲಿ ಚಿಮ್ಮುವ ಸಾಧ್ಯತೆಯಿರುವುದರಿಂದ ಅದನ್ನು ಕಡಿಮೆ ಉರಿಯಲ್ಲಿ ಇರಿಸಿ. ಮುಂದೆ, ರುಬ್ಬಿದ ಈರುಳ್ಳಿ ಪೇಸ್ಟ್, ಶುಂಠಿ ಬೆಳ್ಳುಳ್ಳಿ ಪೇಸ್ಟ್ ಸೇರಿಸಿ ಮತ್ತು ಈರುಳ್ಳಿ, ಶುಂಠಿ ಮತ್ತು ಬೆಳ್ಳುಳ್ಳಿಯ ಹಸಿ ವಾಸನೆ ಹೋಗುವವರೆಗೆ ಕೆಲವು ನಿಮಿಷಗಳ ಕಾಲ ಹುರಿಯಿರಿ. ಮುಂದೆ, ನಿಮ್ಮ ರುಚಿಗೆ ತಕ್ಕಂತೆ ಟೊಮೆಟೊ ಪ್ಯೂರಿ, ಹುಣಸೆ ಸಾರ ಮತ್ತು ಉಪ್ಪನ್ನು ಸೇರಿಸಿ. ಪ್ಯಾನ್ ಅನ್ನು ಮುಚ್ಚಿ ಮತ್ತು ಸುಮಾರು 15 ನಿಮಿಷಗಳ ಕಾಲ ಕಡಿಮೆ ಉರಿಯಲ್ಲಿ ಬೇಯಿಸಿ. ಸಾಂದರ್ಭಿಕವಾಗಿ ಪ್ಯಾನ್ ತೆರೆಯಿರಿ ಮತ್ತು ಗ್ರೇವಿ ಪ್ಯಾನ್‌ನ ಕೆಳಭಾಗಕ್ಕೆ ಅಂಟಿಕೊಳ್ಳದಂತೆ ಬೆರೆಸಿ. 15 ನಿಮಿಷಗಳ ನಂತರ, ಹುಣಸೆಹಣ್ಣಿನ ಗ್ರೇವಿಗೆ ಪುಡಿ ಮಾಡಿದ ಬೆಲ್ಲವನ್ನು ಸೇರಿಸಿ ಮತ್ತು ಉತ್ತಮ ಮಿಶ್ರಣವನ್ನು ನೀಡಿ. ಅಂತಿಮವಾಗಿ ಅರ್ಧ ಬೇಯಿಸಿದ ಬದನೆ, 1/2 ಕಪ್ ನೀರು ಸೇರಿಸಿ ಮತ್ತು ಬದನೆ ಮೃದುವಾಗುವವರೆಗೆ ಬೇಯಿಸಿ. ಜ್ವಾಲೆಯನ್ನು ಆಫ್ ಮಾಡಿ ಮತ್ತು ಕೊತ್ತಂಬರಿ ಸೊಪ್ಪಿನಿಂದ ಅಲಂಕರಿಸಿ. ಬಿರಿಯಾನಿಗಾಗಿ ಬ್ರಿಂಜಾಲ್ ಗ್ರೇವಿಯನ್ನು ಹೈದರಾಬಾದ್ ವೆಜಿಟೇಬಲ್ ಬಿರಿಯಾನಿ ರೆಸಿಪಿ ಅಥವಾ ಆಂಬುರ್ ಸ್ಟೈಲ್ ಚಿಕನ್ ಬಿರಿಯಾನಿ ಜೊತೆಗೆ ತಡ್ಕಾ ರೈತಾ ಜೊತೆಗೆ ರುಚಿಕರವಾದ ಭಾನುವಾರದ ಊಟಕ್ಕೆ ಬಡಿಸಿ. 
</t>
  </si>
  <si>
    <t>http://www.archanaskitchen.com/bengaluru-style-brinjal-gravy-recipe-for-biryani</t>
  </si>
  <si>
    <t>Karnataka</t>
  </si>
  <si>
    <t>Khara Obbattu Recipe (Bread Stuffed With Spicy Potato Mixture Recipe)</t>
  </si>
  <si>
    <t>ಖಾರ ಒಬ್ಬಟ್ಟು ರೆಸಿಪಿ (ಮಸಾಲೆಯುಕ್ತ ಆಲೂಗಡ್ಡೆ ಮಿಶ್ರಣದೊಂದಿಗೆ ಬ್ರೆಡ್ ಸ್ಟಫ್ಡ್ ರೆಸಿಪಿ)</t>
  </si>
  <si>
    <t>1 ಕಪ್ ಸಂಪೂರ್ಣ ಗೋಧಿ ಹಿಟ್ಟು, 1/4 ಕಪ್ ಆಲ್ ಪರ್ಪಸ್ ಹಿಟ್ಟು (ಮೈದಾ), 1/4 ಕಪ್ ಸೂಜಿ (ರವೆ / ರವಾ), 2 ಚಮಚ ಮೊಸರು (ದಹಿ / ಮೊಸರು), 1 ಟೀಚಮಚ ಅರಿಶಿನ ಪುಡಿ (ಹಾಲ್ಡಿ), ಉಪ್ಪು - ಚಿಟಿಕೆ, ಸೂರ್ಯಕಾಂತಿ ಎಣ್ಣೆ - ಕಲಸಲು, 4 ಸಿಡ್ ಆಲೂಗಡ್ಡೆಗಳು - 1 ಟೀಚಮಚ. (ಜೀರಾ), 1 ಈರುಳ್ಳಿ - ನುಣ್ಣಗೆ ಕತ್ತರಿಸಿದ, 4 ಲವಂಗ ಬೆಳ್ಳುಳ್ಳಿ - ನುಣ್ಣಗೆ ರುಬ್ಬಿದ, 1/2 ಇಂಚು ಶುಂಠಿ - ಸಣ್ಣದಾಗಿ ಕೊಚ್ಚಿದ, 2 ಹಸಿರು ಮೆಣಸಿನಕಾಯಿಗಳು - ಸಣ್ಣದಾಗಿ ಕೊಚ್ಚಿದ, 5 ಕರಿಬೇವಿನ ಎಲೆಗಳು - ನುಣ್ಣಗೆ ಕತ್ತರಿಸಿದ, 2 ಕೊತ್ತಂಬರಿ (ಧನಿಯಾ) ಎಲೆಗಳು - ಸಣ್ಣದಾಗಿ ಕೊಚ್ಚಿದ, 2 ಟೀಚಮಚ ಕೆಂಪು ಮೆಣಸಿನ ಪುಡಿ, 1 ಚಮಚ ಕೆಂಪು ಮೆಣಸಿನ ಪುಡಿ, ರುಚಿ, ಸೂರ್ಯಕಾಂತಿ ಎಣ್ಣೆ - ಅಗತ್ಯವಿರುವಂತೆ</t>
  </si>
  <si>
    <t>1 cup Whole Wheat Flour,1/4 cup All Purpose Flour (Maida),1/4 cup Sooji (Semolina/ Rava),2 tablespoon Curd (Dahi / Yogurt),1 teaspoon Turmeric powder (Haldi),Salt - a pinch,Sunflower Oil - for kneading,4 Potatoes (Aloo) - boiled and mashed,1/2 teaspoon Cumin seeds (Jeera),1 Onion - finely chopped,4 cloves Garlic - finely crushed,1/2 inch Ginger - finely chopped,2 Green Chillies - finely chopped,5 Curry leaves - finely chopped,2 sprig Coriander (Dhania) Leaves - finely chopped,2 teaspoon Red Chilli powder,1/4 teaspoon Turmeric powder (Haldi),Salt - to taste,Sunflower Oil - as needed</t>
  </si>
  <si>
    <t xml:space="preserve">We begin by baking Kara Obbattu Recipe(Bread Stuffed with Spicy Potato Mixture Recipe) the dough by combining all the ingredients with curd and soak it for 10 minutes then knead with enough water till it is soft and stretchy. Add oil for a good binding.For the filling heat the pan with oil and temper with cumin and curry leaves. Then add the rest of the ingredients except boiled potato and the spice powders.Once the onions are translucent add the spice powders. Then add the mashed potato and combine it together, finally add some coriander leaves. Bind them and make small balls and keep it aside.Make small balls and divide the dough equally.Keeping a little flour for dusting handy on a plate; roll out the dough into 3 inch diameter circles. Place a portion of the filling (potato) mixture into the center of the circle. 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medium-high; place the rolled obbattu onto the skillet to cook until golden brown on both sides. You can cook the obbattu with ghee to give it a richer taste and flavor.Repeat the above process for all the remaining dough and filling portions.Serve the Karnataka style Kara Obbattu hot with ghee smeared on the top, or with allam pachadi recipe
</t>
  </si>
  <si>
    <t xml:space="preserve">ನಾವು ಕಾರ ಒಬ್ಬಟ್ಟು ರೆಸಿಪಿ (ಮಸಾಲೆಯುಕ್ತ ಆಲೂಗಡ್ಡೆ ಮಿಶ್ರಣದಿಂದ ತುಂಬಿದ ಬ್ರೆಡ್) ಹಿಟ್ಟನ್ನು ಎಲ್ಲಾ ಪದಾರ್ಥಗಳನ್ನು ಮೊಸರಿನೊಂದಿಗೆ ಸೇರಿಸಿ ಮತ್ತು 10 ನಿಮಿಷಗಳ ಕಾಲ ಅದನ್ನು ನೆನೆಸಿ ನಂತರ ಅದನ್ನು ಮೃದುವಾದ ಮತ್ತು ಹಿಗ್ಗಿಸುವವರೆಗೆ ಸಾಕಷ್ಟು ನೀರಿನಿಂದ ಬೆರೆಸಿ. ಉತ್ತಮ ಬೈಂಡಿಂಗ್‌ಗಾಗಿ ಎಣ್ಣೆಯನ್ನು ಸೇರಿಸಿ. ಭರ್ತಿ ಮಾಡಲು ಪ್ಯಾನ್ ಅನ್ನು ಎಣ್ಣೆಯಿಂದ ಬಿಸಿ ಮಾಡಿ ಮತ್ತು ಜೀರಿಗೆ ಮತ್ತು ಕರಿಬೇವಿನ ಎಲೆಗಳೊಂದಿಗೆ ಹದಗೊಳಿಸಿ. ನಂತರ ಬೇಯಿಸಿದ ಆಲೂಗಡ್ಡೆ ಮತ್ತು ಮಸಾಲೆ ಪುಡಿಗಳನ್ನು ಹೊರತುಪಡಿಸಿ ಉಳಿದ ಪದಾರ್ಥಗಳನ್ನು ಸೇರಿಸಿ. ಈರುಳ್ಳಿ ಅರೆಪಾರದರ್ಶಕವಾದ ನಂತರ ಮಸಾಲೆ ಪುಡಿಗಳನ್ನು ಸೇರಿಸಿ. ನಂತರ ಹಿಸುಕಿದ ಆಲೂಗಡ್ಡೆಯನ್ನು ಸೇರಿಸಿ ಮತ್ತು ಅದನ್ನು ಒಟ್ಟಿಗೆ ಸೇರಿಸಿ, ಅಂತಿಮವಾಗಿ ಸ್ವಲ್ಪ ಕೊತ್ತಂಬರಿ ಸೊಪ್ಪನ್ನು ಸೇರಿಸಿ. ಅವುಗಳನ್ನು ಬಂಧಿಸಿ ಮತ್ತು ಸಣ್ಣ ಉಂಡೆಗಳನ್ನು ಮಾಡಿ ಮತ್ತು ಅದನ್ನು ಪಕ್ಕಕ್ಕೆ ಇರಿಸಿ. ಸಣ್ಣ ಉಂಡೆಗಳನ್ನು ಮಾಡಿ ಮತ್ತು ಹಿಟ್ಟನ್ನು ಸಮಾನವಾಗಿ ಭಾಗಿಸಿ. ಒಂದು ಪ್ಲೇಟ್ನಲ್ಲಿ ಹಿಟ್ಟನ್ನು ಪುಡಿ ಮಾಡಲು ಸ್ವಲ್ಪ ಹಿಟ್ಟನ್ನು ಇಡುವುದು; ಹಿಟ್ಟನ್ನು 3 ಇಂಚು ವ್ಯಾಸದ ವಲಯಗಳಾಗಿ ಸುತ್ತಿಕೊಳ್ಳಿ. ತುಂಬುವ (ಆಲೂಗಡ್ಡೆ) ಮಿಶ್ರಣದ ಒಂದು ಭಾಗವನ್ನು ವೃತ್ತದ ಮಧ್ಯಭಾಗದಲ್ಲಿ ಇರಿಸಿ. ವೃತ್ತದ ಅಂಚುಗಳನ್ನು ಮಧ್ಯದ ಕಡೆಗೆ ತನ್ನಿ ಮತ್ತು ಸಂಪೂರ್ಣ ಭರ್ತಿಯನ್ನು ಮುಚ್ಚಲು ಮಡಿಸಿ; ಯಾವುದೇ ತೆರೆಯುವಿಕೆ ಇದ್ದಲ್ಲಿ ಅವುಗಳನ್ನು ಒಟ್ಟಿಗೆ ಪಿಂಚ್ ಮಾಡುವ ಮೂಲಕ ಅಂಚುಗಳನ್ನು ಚೆನ್ನಾಗಿ ಮುಚ್ಚಲಾಗಿದೆ ಎಂದು ಖಚಿತಪಡಿಸಿಕೊಳ್ಳಿ. ಸ್ಟಫ್ ಮಾಡಿದ ಹಿಟ್ಟನ್ನು ಚಪ್ಪಟೆಗೊಳಿಸಿ; ಸ್ವಲ್ಪ ಹಿಟ್ಟಿನ ಮೇಲೆ ಹಿಟ್ಟನ್ನು ಪುಡಿಮಾಡಿ ಮತ್ತು 5 ರಿಂದ 6 ಇಂಚಿನ ವ್ಯಾಸದ ವೃತ್ತಕ್ಕೆ ನಿಧಾನವಾಗಿ ಸುತ್ತಿಕೊಳ್ಳಿ ಏಕೆಂದರೆ ತುಂಬುವಿಕೆಯು ಹಿಟ್ಟಿನಿಂದ ಹೊರಬರಬಹುದು. ಮಧ್ಯಮ-ಎತ್ತರದ ಮೇಲೆ ಕಬ್ಬಿಣದ ಬಾಣಲೆಯನ್ನು ಪೂರ್ವಭಾವಿಯಾಗಿ ಕಾಯಿಸಿ; ಎರಡೂ ಬದಿಗಳಲ್ಲಿ ಗೋಲ್ಡನ್ ಬ್ರೌನ್ ರವರೆಗೆ ಬೇಯಿಸಲು ಸುತ್ತಿಕೊಂಡ ಒಬ್ಬಟ್ಟು ಬಾಣಲೆಯ ಮೇಲೆ ಇರಿಸಿ. ನೀವು ಒಂದು ಉತ್ಕೃಷ್ಟ ರುಚಿ ಮತ್ತು ಪರಿಮಳವನ್ನು ನೀಡಲು ತುಪ್ಪದೊಂದಿಗೆ ಒಬ್ಬಟ್ಟುವನ್ನು ಬೇಯಿಸಬಹುದು. ಎಲ್ಲಾ ಉಳಿದ ಹಿಟ್ಟು ಮತ್ತು ಭರ್ತಿ ಮಾಡುವ ಭಾಗಗಳಿಗೆ ಮೇಲಿನ ಪ್ರಕ್ರಿಯೆಯನ್ನು ಪುನರಾವರ್ತಿಸಿ. ಕರ್ನಾಟಕ ಶೈಲಿಯ ಕಾರ ಒಬ್ಬಟ್ಟು ಬಿಸಿಯಾಗಿ ತುಪ್ಪ ಸವರಿದ ಮೇಲೆ ಅಥವಾ ಅಲ್ಲಂ ಪಚಡಿ ರೆಸಿಪಿಯೊಂದಿಗೆ ಬಡಿಸಿ.
</t>
  </si>
  <si>
    <t>https://www.archanaskitchen.com/kara-obbattu-recipe-bread-stuffed-with-spicy-potato-mixture-recipe</t>
  </si>
  <si>
    <t>Karnataka Style Gorai Kai Kara Recipe - Cluster Beans Chutney</t>
  </si>
  <si>
    <t>ಕರ್ನಾಟಕ ಶೈಲಿಯ ಗೊರೈ ಕಾಯಿ ಕಾರಾ ರೆಸಿಪಿ - ಕ್ಲಸ್ಟರ್ ಬೀನ್ಸ್ ಚಟ್ನಿ</t>
  </si>
  <si>
    <t>15 ಗವಾರ್ ಫಾಲಿ (ಕೋತವರಂಗೈ / ಕ್ಲಸ್ಟರ್ ಬೀನ್ಸ್) - ಕತ್ತರಿಸಿದ, 1 ಇಂಚಿನ ಶುಂಠಿ - ಕತ್ತರಿಸಿದ, 4 ಲವಂಗ ಬೆಳ್ಳುಳ್ಳಿ - ಕತ್ತರಿಸಿದ, 5 ಹಸಿರು ಮೆಣಸಿನಕಾಯಿಗಳು - ಕತ್ತರಿಸಿದ, 3 ಟೇಬಲ್ಸ್ಪೂನ್ ಹುರಿದ ಕಡಲೆಕಾಯಿ (ಮೂಂಗ್ಫಾಲಿ) - ಒಣ ಹುರಿದ, 1/4 ಟೀಚಮಚ ಕೊತ್ತಂಬರಿ (ಜೆ) ಬೀಜಗಳು, 1/8 ಗ್ರಾಂ ಬೀಜಗಳು, 1/2 ಟೀಚಮಚ ಹುಣಸೆಹಣ್ಣು, ಉಪ್ಪು - ರುಚಿಗೆ, 1 ಟೀಚಮಚ ಸಾಸಿವೆ, 1 ಟೀಚಮಚ ಬಿಳಿ ಉರಡ್ ದಾಲ್ (ಒಡೆದ), 1 ಚಿಟಿಕೆ ಇಂಗು (ಹಿಂಗ್)</t>
  </si>
  <si>
    <t>15 Gawar Phali (Kothavarangai / Cluster beans) - chopped,1 inch Ginger - chopped,4 cloves Garlic - chopped,5 Green Chillies - chopped,3 tablespoons Roasted Peanuts (Moongphali) - dry roasted,1/4 teaspoon Coriander (Dhania) Seeds,1/2 teaspoon Cumin seeds (Jeera),18 grams Tamarind,Salt - to taste,1 teaspoon Mustard seeds,1 teaspoon White Urad Dal (Split),1 pinch Asafoetida (hing)</t>
  </si>
  <si>
    <t xml:space="preserve">To begin making the Karnataka Style Gorai Kai Kara Recipe (Cluster Beans Chutney Recipe), firstly begin by washing the cluster beans and removing the two pointed ends. Chop them half and keep it aside.Heat a kadai with oil and splutter cumin seeds, coriander seeds and curry leaves. Add the chopped onions and sauté them till it turns translucent.Once the onions are translucent, add the chopped garlic, ginger, green chilies and the cluster beans. Add salt and fry them till it is cooked. You can cover it with the lid and let it cook over medium heat.Once that is done let it cool down and add it in a mixer along with tamarind and roasted peanuts. Grind this into a smooth paste. The next step is to make the tempering for the chutney. Heat required oil in a tadka pan. When the oil is hot, add in the mustard seeds, urad dal, asafoetida, curry leaves and let the mustard seeds splutter. Once done, switch off the gas and pour the tempering over the chutney and give it a mix. Your chutney is ready to be served.Serve the Karnataka Style Gorai Kai Kara Recipe along with Ghee Roast Dosa and Filter Coffee for your morning breakfast.
</t>
  </si>
  <si>
    <t xml:space="preserve">ಕರ್ನಾಟಕ ಶೈಲಿಯ ಗೊರೈ ಕಾಯಿ ಕಾರಾ ರೆಸಿಪಿ (ಕ್ಲಸ್ಟರ್ ಬೀನ್ಸ್ ಚಟ್ನಿ ರೆಸಿಪಿ) ತಯಾರಿಸಲು ಪ್ರಾರಂಭಿಸಲು, ಮೊದಲು ಕ್ಲಸ್ಟರ್ ಬೀನ್ಸ್ ಅನ್ನು ತೊಳೆದು ಎರಡು ಮೊನಚಾದ ತುದಿಗಳನ್ನು ತೆಗೆಯುವ ಮೂಲಕ ಪ್ರಾರಂಭಿಸಿ. ಅವುಗಳನ್ನು ಅರ್ಧದಷ್ಟು ಕತ್ತರಿಸಿ ಪಕ್ಕಕ್ಕೆ ಇರಿಸಿ. ಎಣ್ಣೆ ಮತ್ತು ಜೀರಿಗೆ, ಕೊತ್ತಂಬರಿ ಬೀಜಗಳು ಮತ್ತು ಕರಿಬೇವಿನ ಎಲೆಗಳೊಂದಿಗೆ ಕಡಾಯಿಯನ್ನು ಬಿಸಿ ಮಾಡಿ. ಕತ್ತರಿಸಿದ ಈರುಳ್ಳಿಯನ್ನು ಸೇರಿಸಿ ಮತ್ತು ಅದು ಅರೆಪಾರದರ್ಶಕವಾಗುವವರೆಗೆ ಅವುಗಳನ್ನು ಹುರಿಯಿರಿ. ಈರುಳ್ಳಿ ಅರೆಪಾರದರ್ಶಕವಾದ ನಂತರ, ಕತ್ತರಿಸಿದ ಬೆಳ್ಳುಳ್ಳಿ, ಶುಂಠಿ, ಹಸಿರು ಮೆಣಸಿನಕಾಯಿಗಳು ಮತ್ತು ಕ್ಲಸ್ಟರ್ ಬೀನ್ಸ್ ಸೇರಿಸಿ. ಉಪ್ಪು ಸೇರಿಸಿ ಮತ್ತು ಅವುಗಳನ್ನು ಬೇಯಿಸುವವರೆಗೆ ಹುರಿಯಿರಿ. ನೀವು ಅದನ್ನು ಮುಚ್ಚಳದಿಂದ ಮುಚ್ಚಬಹುದು ಮತ್ತು ಮಧ್ಯಮ ಉರಿಯಲ್ಲಿ ಬೇಯಿಸಲು ಬಿಡಿ. ಅದು ಮುಗಿದ ನಂತರ ಅದನ್ನು ತಣ್ಣಗಾಗಲು ಬಿಡಿ ಮತ್ತು ಹುಣಸೆಹಣ್ಣು ಮತ್ತು ಹುರಿದ ಕಡಲೆಕಾಯಿಗಳೊಂದಿಗೆ ಮಿಕ್ಸರ್ನಲ್ಲಿ ಸೇರಿಸಿ. ಇದನ್ನು ನಯವಾದ ಪೇಸ್ಟ್ ಆಗಿ ರುಬ್ಬಿಕೊಳ್ಳಿ. ಮುಂದಿನ ಹಂತವೆಂದರೆ ಚಟ್ನಿಗಾಗಿ ಹದಗೊಳಿಸುವಿಕೆಯನ್ನು ಮಾಡುವುದು. ತಡ್ಕಾ ಬಾಣಲೆಯಲ್ಲಿ ಅಗತ್ಯವಾದ ಎಣ್ಣೆಯನ್ನು ಬಿಸಿ ಮಾಡಿ. ಎಣ್ಣೆ ಬಿಸಿಯಾದಾಗ ಸಾಸಿವೆ, ಉದ್ದಿನಬೇಳೆ, ಇಂಗು, ಕರಿಬೇವಿನ ಸೊಪ್ಪು ಸೇರಿಸಿ ಮತ್ತು ಸಾಸಿವೆ ಚೆಲ್ಲಲು ಬಿಡಿ. ಒಮ್ಮೆ ಮಾಡಿದ ನಂತರ, ಗ್ಯಾಸ್ ಅನ್ನು ಸ್ವಿಚ್ ಆಫ್ ಮಾಡಿ ಮತ್ತು ಚಟ್ನಿಯ ಮೇಲೆ ಟೆಂಪರಿಂಗ್ ಅನ್ನು ಸುರಿಯಿರಿ ಮತ್ತು ಅದನ್ನು ಮಿಶ್ರಣ ಮಾಡಿ. ನಿಮ್ಮ ಚಟ್ನಿ ಸೇವೆ ಮಾಡಲು ಸಿದ್ಧವಾಗಿದೆ. ಕರ್ನಾಟಕ ಶೈಲಿಯ ಗೋರೈ ಕೈ ಕಾರಾ ಪಾಕವಿಧಾನ ಮತ್ತು ತುಪ್ಪ ಹುರಿದ ದೋಸಾ ಮತ್ತು ನಿಮ್ಮ ಬೆಳಿಗ್ಗೆ ಉಪಾಹಾರಕ್ಕಾಗಿ ಕಾಫಿಯನ್ನು ಫಿಲ್ಟರ್ ಮಾಡಿ.
</t>
  </si>
  <si>
    <t>https://www.archanaskitchen.com/karanataka-style-goraikai-kara-recipe-cluster-beans-chutney-recipe</t>
  </si>
  <si>
    <t>Karnataka Style Ragi Ujju Rotti Recipe</t>
  </si>
  <si>
    <t>ಕರ್ನಾಟಕ ಶೈಲಿಯ ರಾಗಿ ಉಜ್ಜು ರೊಟ್ಟಿ ರೆಸಿಪಿ</t>
  </si>
  <si>
    <t>1 ಕಪ್ ರಾಗಿ ಹಿಟ್ಟು (ಫಿಂಗರ್ ರಾಗಿ / ನಗ್ಲಿ), 1 ಕಪ್ ನೀರು, ಉಪ್ಪು - ರುಚಿಗೆ, 1 ಟೀಚಮಚ ಸೂರ್ಯಕಾಂತಿ ಎಣ್ಣೆ, ತುಪ್ಪ - ಹುರಿದ, ಅಕ್ಕಿ ಹಿಟ್ಟು - ಧೂಳು ತೆಗೆಯಲು</t>
  </si>
  <si>
    <t>1 cup Ragi Flour (Finger Millet/ Nagli),1 cup Water,Salt - to taste,1 teaspoon Sunflower Oil,Ghee - roasting,Rice flour - for dusting</t>
  </si>
  <si>
    <t xml:space="preserve">To begin making the Ragi Ujju Rotti Recipe, in a medium sized vessel, bring the water to a boil in a pan with salt and oil.Lower the flame and pour ragi flour into the boiling water from a cup, pour it in the center of the boiling water.Let it get cooked on a low to medium flame untouched for 8-10 minutes without lid.Turn off the flame, take a wooden stick or a wooden spatula, run it under a tap to wet it and then mix the flour and water mixture vigorously until combined. This step must be done quickly to avoid lumps. This takes about 2 minutes.Cover for a couple of minutes and let it cool until you can handle the mixture.Drop it on an oiled surface and knead well after wetting the hands with water. Moist and freshly washed hands are required since the dough is sticky.Knead for about 5-7 minutes to get rid of lumps if any and to smoothen the pre-cooked flour.Roll the mixture into a cylinder and divide them equally. This should give you about 4 equal sized balls.Keep them covered at all times. Knead each ball for 15-20 seconds and roll it out just like regular ujju rotis using rice flour to dust. Just make sure you do it slow and steady since the edges might crack.Roll out all the balls and stack the roti one on top of another on a plate first and then start roasting them. Use a little rice flour in-between each, to avoid getting stuck to one another.Heat a Tawa and cook the Ujju Roti just like a chapati by smearing oil /ghee on both sides. Cooking will take 1-1.5 minutes on each side.Serve Karnataka Style Ragi Ujju Roti with Steamed Vegetable in Coconut and Lentil Curry or your favorite chutney like Heerekai Sippe Chutney or Kadale Chutney Recipe.
</t>
  </si>
  <si>
    <t xml:space="preserve">ರಾಗಿ ಉಜ್ಜು ರೊಟ್ಟಿ ರೆಸಿಪಿಯನ್ನು ತಯಾರಿಸಲು ಪ್ರಾರಂಭಿಸಲು, ಮಧ್ಯಮ ಗಾತ್ರದ ಪಾತ್ರೆಯಲ್ಲಿ, ಉಪ್ಪು ಮತ್ತು ಎಣ್ಣೆಯನ್ನು ಹೊಂದಿರುವ ಬಾಣಲೆಯಲ್ಲಿ ನೀರನ್ನು ಕುದಿಸಿ. ಜ್ವಾಲೆಯನ್ನು ಕಡಿಮೆ ಮಾಡಿ ಮತ್ತು ರಾಗಿ ಹಿಟ್ಟನ್ನು ಒಂದು ಕಪ್ನಿಂದ ಕುದಿಯುವ ನೀರಿಗೆ ಸುರಿಯಿರಿ, ಕುದಿಯುವ ನೀರಿನ ಮಧ್ಯದಲ್ಲಿ ಅದನ್ನು ಸುರಿಯಿರಿ. ಕಡಿಮೆ ಅಥವಾ ಮಧ್ಯಮ ಜ್ವಾಲೆಯ ಮೇಲೆ ಅದನ್ನು ಬೇಯಿಸಲು ಬಿಡಿ ಸ್ಪಾಟುಲಾ, ಅದನ್ನು ಒದ್ದೆ ಮಾಡಲು ಟ್ಯಾಪ್ ಅಡಿಯಲ್ಲಿ ಓಡಿಸಿ ಮತ್ತು ನಂತರ ಹಿಟ್ಟು ಮತ್ತು ನೀರಿನ ಮಿಶ್ರಣವನ್ನು ಸಂಯೋಜಿಸುವವರೆಗೆ ತೀವ್ರವಾಗಿ ಮಿಶ್ರಣ ಮಾಡಿ. ಉಂಡೆಗಳನ್ನೂ ತಪ್ಪಿಸಲು ಈ ಹಂತವನ್ನು ತ್ವರಿತವಾಗಿ ಮಾಡಬೇಕು. ಇದು ಸುಮಾರು 2 ನಿಮಿಷಗಳನ್ನು ತೆಗೆದುಕೊಳ್ಳುತ್ತದೆ. ಒಂದೆರಡು ನಿಮಿಷಗಳ ಕಾಲ ಕವರ್ ಮಾಡಿ ಮತ್ತು ನೀವು ಮಿಶ್ರಣವನ್ನು ನಿಭಾಯಿಸುವವರೆಗೆ ಅದನ್ನು ತಣ್ಣಗಾಗಲು ಬಿಡಿ. ಎಣ್ಣೆ ಸವರಿದ ಮೇಲ್ಮೈಯಲ್ಲಿ ಅದನ್ನು ಬಿಡಿ ಮತ್ತು ನೀರಿನಿಂದ ಕೈಗಳನ್ನು ಒದ್ದೆ ಮಾಡಿದ ನಂತರ ಚೆನ್ನಾಗಿ ಬೆರೆಸಿಕೊಳ್ಳಿ. ಹಿಟ್ಟು ಜಿಗುಟಾದ ಕಾರಣ ತೇವ ಮತ್ತು ಹೊಸದಾಗಿ ತೊಳೆದ ಕೈಗಳ ಅಗತ್ಯವಿರುತ್ತದೆ. ಉಂಡೆಗಳಿದ್ದರೆ ಅದನ್ನು ತೊಡೆದುಹಾಕಲು ಮತ್ತು ಮೊದಲೇ ಬೇಯಿಸಿದ ಹಿಟ್ಟನ್ನು ಮೃದುಗೊಳಿಸಲು ಸುಮಾರು 5-7 ನಿಮಿಷಗಳ ಕಾಲ ಬೆರೆಸಿಕೊಳ್ಳಿ. ಮಿಶ್ರಣವನ್ನು ಸಿಲಿಂಡರ್ಗೆ ರೋಲ್ ಮಾಡಿ ಮತ್ತು ಅವುಗಳನ್ನು ಸಮಾನವಾಗಿ ಭಾಗಿಸಿ. ಇದು ನಿಮಗೆ ಸುಮಾರು 4 ಸಮಾನ ಗಾತ್ರದ ಚೆಂಡುಗಳನ್ನು ನೀಡುತ್ತದೆ. ಅವುಗಳನ್ನು ಎಲ್ಲಾ ಸಮಯದಲ್ಲೂ ಮುಚ್ಚಿಡಿ. ಪ್ರತಿ ಚೆಂಡನ್ನು 15-20 ಸೆಕೆಂಡುಗಳ ಕಾಲ ಬೆರೆಸಿಕೊಳ್ಳಿ ಮತ್ತು ಅಕ್ಕಿ ಹಿಟ್ಟನ್ನು ಧೂಳೀಕರಿಸಲು ಸಾಮಾನ್ಯ ಉಜ್ಜು ರೊಟ್ಟಿಗಳಂತೆಯೇ ಸುತ್ತಿಕೊಳ್ಳಿ. ನೀವು ಅದನ್ನು ನಿಧಾನವಾಗಿ ಮತ್ತು ಸ್ಥಿರವಾಗಿ ಮಾಡುತ್ತಿದ್ದೀರಿ ಎಂದು ಖಚಿತಪಡಿಸಿಕೊಳ್ಳಿ ಏಕೆಂದರೆ ಅಂಚುಗಳು ಬಿರುಕು ಬಿಡಬಹುದು. ಎಲ್ಲಾ ಚೆಂಡುಗಳನ್ನು ಉರುಳಿಸಿ ಮತ್ತು ರೊಟ್ಟಿಯನ್ನು ಒಂದರ ಮೇಲೊಂದು ಪ್ಲೇಟ್‌ನಲ್ಲಿ ಮೊದಲು ಜೋಡಿಸಿ ಮತ್ತು ನಂತರ ಅವುಗಳನ್ನು ಹುರಿಯಲು ಪ್ರಾರಂಭಿಸಿ. ಒಂದಕ್ಕೊಂದು ಅಂಟಿಕೊಳ್ಳುವುದನ್ನು ತಪ್ಪಿಸಲು ಪ್ರತಿಯೊಂದರ ನಡುವೆ ಸ್ವಲ್ಪ ಅಕ್ಕಿ ಹಿಟ್ಟನ್ನು ಬಳಸಿ. ಒಂದು ತವಾವನ್ನು ಬಿಸಿ ಮಾಡಿ ಮತ್ತು ಉಜ್ಜು ರೊಟ್ಟಿಯನ್ನು ಚಪಾತಿಯಂತೆ ಎರಡೂ ಬದಿಗಳಲ್ಲಿ ಎಣ್ಣೆ / ತುಪ್ಪವನ್ನು ಸವರಿ ಮಾಡಿ. ಪ್ರತಿ ಬದಿಯಲ್ಲಿ ಅಡುಗೆ ಮಾಡಲು 1-1.5 ನಿಮಿಷಗಳನ್ನು ತೆಗೆದುಕೊಳ್ಳುತ್ತದೆ. ಕರ್ನಾಟಕ ಶೈಲಿಯ ರಾಗಿ ಉಜ್ಜು ರೊಟ್ಟಿಯನ್ನು ತೆಂಗಿನಕಾಯಿ ಮತ್ತು ಲೆಂಟಿಲ್ ಕರಿಯಲ್ಲಿ ಬೇಯಿಸಿದ ತರಕಾರಿ ಅಥವಾ ಹೀರೆಕಾಯಿ ಸಿಪ್ಪೆ ಚಟ್ನಿ ಅಥವಾ ಕಡಲೆ ಚಟ್ನಿ ರೆಸಿಪಿಯಂತಹ ನಿಮ್ಮ ನೆಚ್ಚಿನ ಚಟ್ನಿಯೊಂದಿಗೆ ಬಡಿಸಿ.
</t>
  </si>
  <si>
    <t>https://www.archanaskitchen.com/ragi-ujju-rotti-recipe</t>
  </si>
  <si>
    <t>Hunase Gojju Recipe</t>
  </si>
  <si>
    <t>ಹುಣಸೆ ಗೊಜ್ಜು ರೆಸಿಪಿ - Hunase Gojju Recipe</t>
  </si>
  <si>
    <t>1 ಕಪ್ ಇಮಲಿ ಕಾ ಪೆಸ್ಟ್,1/2 ಕಪ್ ಗುಡ,1 ಛೋಟಾ ಚಮಚ್ಚ ರಸಂ ಪೌಡರ್ - ಯಾ ಲಾಲ್ ಮಿರ್ಡಾರ್ ಸ್ವಾದ ಅನುಸಾರ,1 ಬಡಾ ಚಮಚ್ಚ ತೇಲ್,1 ಛೋಟಾ ಚಮಚ್ಚ ಮೆಥಿಗೆ ದಾನೆ,10 ಕಥೆ, 1ಪತ್ ಚಮಚ್ಚ ರೈ, ಹೀಂಗ್ - ಚುಟಕಿ ಭಾರ,4 ರಿಂದ 5 ಹರಿ ಮಿರ್ಚ್ - ಪಾತಾಳ ಮತ್ತು ಸೀಧಾ ಕಾಟ್ ಲೆ</t>
  </si>
  <si>
    <t>1 cup tamarind paste, 1/2 cup jaggery, 1 teaspoon rasam powder - or red chili powder, salt - as per taste, 1 tablespoon oil, 1 teaspoon fenugreek seeds, 10 curry leaves, 1 teaspoon mustard, asafoetida - Pinch, 4 to 5 green chillies - thin and straight cut</t>
  </si>
  <si>
    <t>"To begin with, heat oil in a pan. Add mustard seeds, fenugreek seeds, curry leaves, asafoetida and chillies. After 15 to 20 seconds, add tamarind paste, jaggery, rasam powder, mix it and cook for 2 minutes. Now add 2 cups of water and let it boil for 15 minutes, add salt and turn off the gas after 15 minutes. Serve. Serve Hunase Gojju Recipe with Rice, Chow Chow Thoran and Papad for lunch."</t>
  </si>
  <si>
    <t xml:space="preserve">ಹುನಾಸೆ ಗೊಜ್ಜು ರೆಸಿಪಿ ಬನಾನೆಗೆ ಸಬಸೆ ಪಹಳೆ ಒಂದು ಕಥೆಯಲ್ಲಿ ಟೆಲ್ ಗರಂ ಕರ ್ಲೆ. ಇದೇ ರೈ, ಮೇಥಿಗೆ ದಾನೆ, ಕಢೀ ಪತ್ತಾ, ಹೀಂಗ್ ಮತ್ತು ಮಿರ್ಚ್ ಡೇಲ್.15 ಸೆ 20 ಸೆಕಂಡ್ ಇಂಡಸ್ಟ್ರೀಸ್ ಇಮಲಿ ಕಾ ಪೆಸ್ಟ್, ಗುಡ, ರಸಂ ಪೌಡರ್ ಡಾಲೆ, ಮಿಲಾಯೆ ಮತ್ತು 2 ನಿಮಿಷಗಳು ಪಕಾ ಲೆ. ಈಗ 2 ಕಪ್ ಪಾನಿ ಡೇಲ್ ಮತ್ತು 15 ನಿಮಿಷಗಳು ಲೆ. ಪರೋಸ್. ಹುನಾಸೆ ಗೊಜ್ಜು ರೆಸಿಪಿ ಕೊ ದಿನ ಖಾತೆಗೆ ಚಾವಲ್, ಚೌ ಚಾವು ಥೋರನ್ ಪ್ರೋಡರ್ ಪಾ.
</t>
  </si>
  <si>
    <t>http://www.archanaskitchen.com/hunase-gojju-recipe-in-hindi</t>
  </si>
  <si>
    <t>Rava Chakli Recipe - Karnataka Style With Rava &amp; Rice Flour</t>
  </si>
  <si>
    <t>ರವಾ ಚಕ್ಲಿ ರೆಸಿಪಿ - ರವಾ ಮತ್ತು ಅಕ್ಕಿ ಹಿಟ್ಟಿನೊಂದಿಗೆ ಕರ್ನಾಟಕ ಶೈಲಿ</t>
  </si>
  <si>
    <t>1 ಕಪ್ ಚಿರೋಟಿ ರವಾ, 2 ಕಪ್ ಅಕ್ಕಿ ಹಿಟ್ಟು, 1/2 ಟೀ ಚಮಚ ಜೀರಿಗೆ (ಜೀರಾ), 1/2 ಟೀಚಮಚ ಅಜ್ವೈನ್ (ಕೇರಂ ಬೀಜಗಳು), 1 ಚಮಚ ಇಂಗು (ಹಿಂಗ್), 2 ಚಮಚ ಬೆಣ್ಣೆ, ಉಪ್ಪು - ರುಚಿಗೆ, ಸೂರ್ಯಕಾಂತಿ ಎಣ್ಣೆ - ಬೇಯಿಸಲು</t>
  </si>
  <si>
    <t>1 cup Chiroti Rava,2 cups Rice flour,1/2 teaspoon Cumin seeds (Jeera),1/2 teaspoon Ajwain (Carom seeds),1 teaspoon Asafoetida (hing),2 tablespoon Butter,Salt - to taste,Sunflower Oil - to cook</t>
  </si>
  <si>
    <t xml:space="preserve">To begin making the Rava Chakli Recipe, take water in a pan and allow it to boil, add salt to this and mix well.Add chiroti rava to boiling water. Mix well to form lump free mixture similar to the uppittu. Switch off the flame and then add rice flour, jeera, hing, butter.Prepare the dough when it is cool enough to handle. Do not allow it to cool completelyHeat the oil in a pan for deep frying on medium high heat. Add a ball of dough into the chakli press and begin to press it over the oil, in circular motion to make flat circular spirals like that of a jalebi. Deep fry the chakli in batches over medium heat till they are fried to crisp. Remember not to overcrowd the oil or the chaklis will not be crisp.Remove chakli from hot oil once they stop sizzling and sink to the bottom, or when you notice the right color change.Drain on an absorbent paper to remove the excess oil. Once they are cooled to room temperature, store in airtight container till needed. This can stay good for up to 10 days.Serve Rava Chakkuli Recipe (Karnataka Style Chakli With Rava &amp; Rice Flour) along with other snacks like Bhel Puri Recipe and South Indian Filter Coffee Recipe during evening.
</t>
  </si>
  <si>
    <t xml:space="preserve">ರವಾ ಚಕ್ಲಿ ಪಾಕವಿಧಾನವನ್ನು ತಯಾರಿಸಲು ಪ್ರಾರಂಭಿಸಲು, ಒಂದು ಪ್ಯಾನ್‌ನಲ್ಲಿ ನೀರನ್ನು ತೆಗೆದುಕೊಂಡು ಅದನ್ನು ಕುದಿಯಲು ಬಿಡಿ, ಇದಕ್ಕೆ ಉಪ್ಪು ಸೇರಿಸಿ ಮತ್ತು ಚೆನ್ನಾಗಿ ಮಿಶ್ರಣ ಮಾಡಿ. ಕುದಿಯುವ ನೀರಿಗೆ ಚಿರೋಟಿ ರವಾ ಸೇರಿಸಿ. ಉಪ್ಪಿಟ್ಟಿನಂತೆಯೇ ಉಂಡೆ ಮುಕ್ತ ಮಿಶ್ರಣವನ್ನು ರೂಪಿಸಲು ಚೆನ್ನಾಗಿ ಮಿಶ್ರಣ ಮಾಡಿ. ಜ್ವಾಲೆಯನ್ನು ಆಫ್ ಮಾಡಿ ಮತ್ತು ನಂತರ ಅಕ್ಕಿ ಹಿಟ್ಟು, ಜೀರಿಗೆ, ಹಿಂಗ್, ಬೆಣ್ಣೆಯನ್ನು ಸೇರಿಸಿ. ಹಿಟ್ಟನ್ನು ನಿಭಾಯಿಸಲು ಸಾಕಷ್ಟು ತಂಪಾಗಿರುವಾಗ ಅದನ್ನು ತಯಾರಿಸಿ. ಅದನ್ನು ಸಂಪೂರ್ಣವಾಗಿ ತಣ್ಣಗಾಗಲು ಬಿಡಬೇಡಿ ಮಧ್ಯಮ ಹೆಚ್ಚಿನ ಶಾಖದ ಮೇಲೆ ಆಳವಾದ ಹುರಿಯಲು ಎಣ್ಣೆಯನ್ನು ಬಾಣಲೆಯಲ್ಲಿ ಬಿಸಿ ಮಾಡಿ. ಚಕ್ಲಿ ಪ್ರೆಸ್‌ಗೆ ಹಿಟ್ಟಿನ ಚೆಂಡನ್ನು ಸೇರಿಸಿ ಮತ್ತು ಜಿಲೇಬಿಯಂತೆ ಸಮತಟ್ಟಾದ ವೃತ್ತಾಕಾರದ ಸುರುಳಿಗಳನ್ನು ಮಾಡಲು ವೃತ್ತಾಕಾರದ ಚಲನೆಯಲ್ಲಿ ಎಣ್ಣೆಯ ಮೇಲೆ ಒತ್ತಲು ಪ್ರಾರಂಭಿಸಿ. ಚಕ್ಲಿಯನ್ನು ಮಧ್ಯಮ ಉರಿಯಲ್ಲಿ ಗರಿಗರಿಯಾಗುವವರೆಗೆ ಡೀಪ್ ಫ್ರೈ ಮಾಡಿ. ಎಣ್ಣೆಯನ್ನು ತುಂಬಿಸಬೇಡಿ ಅಥವಾ ಚಕ್ಲಿಗಳು ಗರಿಗರಿಯಾಗುವುದಿಲ್ಲ ಎಂಬುದನ್ನು ನೆನಪಿಡಿ. ಬಿಸಿ ಎಣ್ಣೆಯಿಂದ ಚಕ್ಲಿಯನ್ನು ತೆಗೆದುಹಾಕಿ ಮತ್ತು ಅವು ಸಿಜ್ಲಿಂಗ್ ಅನ್ನು ನಿಲ್ಲಿಸಿ ಕೆಳಕ್ಕೆ ಮುಳುಗಿದ ನಂತರ ಅಥವಾ ಸರಿಯಾದ ಬಣ್ಣ ಬದಲಾವಣೆಯನ್ನು ನೀವು ಗಮನಿಸಿದಾಗ. ಹೆಚ್ಚುವರಿ ಎಣ್ಣೆಯನ್ನು ತೆಗೆದುಹಾಕಲು ಹೀರಿಕೊಳ್ಳುವ ಕಾಗದದ ಮೇಲೆ ಹರಿಸುತ್ತವೆ. ಕೋಣೆಯ ಉಷ್ಣಾಂಶಕ್ಕೆ ತಣ್ಣಗಾದ ನಂತರ, ಗಾಳಿಯಾಡದ ಪಾತ್ರೆಯಲ್ಲಿ ಅಗತ್ಯವಿರುವವರೆಗೆ ಸಂಗ್ರಹಿಸಿ. ಇದು 10 ದಿನಗಳವರೆಗೆ ಉತ್ತಮವಾಗಿರುತ್ತದೆ. ರವಾ ಚಕ್ಕುಲಿ ರೆಸಿಪಿ (ರವಾ ಮತ್ತು ಅಕ್ಕಿ ಹಿಟ್ಟಿನೊಂದಿಗೆ ಕರ್ನಾಟಕ ಶೈಲಿಯ ಚಕ್ಲಿ) ಜೊತೆಗೆ ಇತರ ತಿಂಡಿಗಳಾದ ಭೇಲ್ ಪುರಿ ರೆಸಿಪಿ ಮತ್ತು ದಕ್ಷಿಣ ಭಾರತೀಯ ಫಿಲ್ಟರ್ ಕಾಫಿ ರೆಸಿಪಿ ಯನ್ನು ಸಂಜೆಯ ಸಮಯದಲ್ಲಿ ಬಡಿಸಿ.
</t>
  </si>
  <si>
    <t>https://www.archanaskitchen.com/rava-chakkuli-recipe-karnataka-style-chakli-with-rava-rice-flour</t>
  </si>
  <si>
    <t>Karnataka Style Gasagase Payasa Recipe- Poppy seed Payasam</t>
  </si>
  <si>
    <t>ಕರ್ನಾಟಕ ಶೈಲಿಯ ಗಸಗಸೆ ಪಾಯಸ ರೆಸಿಪಿ- ಗಸಗಸೆ ಪಾಯಸ</t>
  </si>
  <si>
    <t>3 ಚಮಚ ಗಸಗಸೆ, 2 ಚಮಚ ಅಕ್ಕಿ, 2 ಚಮಚ ತಾಜಾ ತೆಂಗಿನಕಾಯಿ, 4 ಚಮಚ ಬೆಲ್ಲ, 1 ಕಪ್ ಹಾಲು, 2 ಏಲಕ್ಕಿ (ಎಲೈಚಿ) ಕಾಳುಗಳು/ಬೀಜಗಳು, 1 ಚಿಟಿಕೆ ಉಪ್ಪು, 2 ಚಮಚ ತುಪ್ಪ, 10 ಗೋಡಂಬಿ, 10 ಒಣದ್ರಾಕ್ಷಿ</t>
  </si>
  <si>
    <t>3 tablespoon Poppy seeds,2 teaspoon Rice,2 tablespoon Fresh coconut,4 tablespoon Jaggery,1 cup Milk,2 Cardamom (Elaichi) Pods/Seeds,1 pinch Salt,2 tablespoon Ghee,10 Cashew nuts,10 Raisins</t>
  </si>
  <si>
    <t xml:space="preserve">To begin making the Karnataka Style Gasagase Payasa, roast the poppy seeds and rice  in a skillet on low-medium heat  until it turns into a nice golden brown. This will take about 4-6 minutes. Turn off the flame and allow it to cool.Transfer into a mixer jar. and grind it into a coarse mixture, add grated coconut and water and grind again to a smooth mixture.Heat a sauce pan with milk on medium flame, add the ground poppy seeds and coconut mixture, cardamom pods, jaggery and bring it to a boil.Boil the payasam till it thickens.Heat ghee in a tadka pan, on low flame and fry the cashew nuts and raisins for 2 minutes. Turn off the flame and pour it over the payasam and serve.Serve the Gasagase Payasa after having a Spicy Mixed Vegetable Pulao Recipe with Tomato Onion Cucumber Raita to cool down your palate with a sweet note.
</t>
  </si>
  <si>
    <t xml:space="preserve">ಕರ್ನಾಟಕ ಶೈಲಿಯ ಗಸಗಸೆ ಪಾಯಸವನ್ನು ತಯಾರಿಸಲು ಪ್ರಾರಂಭಿಸಲು, ಗಸಗಸೆ ಮತ್ತು ಅಕ್ಕಿಯನ್ನು ಬಾಣಲೆಯಲ್ಲಿ ಕಡಿಮೆ ಮಧ್ಯಮ ಶಾಖದ ಮೇಲೆ ಅದು ಉತ್ತಮವಾದ ಗೋಲ್ಡನ್ ಬ್ರೌನ್ ಆಗುವವರೆಗೆ ಹುರಿಯಿರಿ. ಇದು ಸುಮಾರು 4-6 ನಿಮಿಷಗಳನ್ನು ತೆಗೆದುಕೊಳ್ಳುತ್ತದೆ. ಉರಿಯನ್ನು ಆಫ್ ಮಾಡಿ ಮತ್ತು ಅದನ್ನು ತಣ್ಣಗಾಗಲು ಅನುಮತಿಸಿ. ಮಿಕ್ಸರ್ ಜಾರ್ಗೆ ವರ್ಗಾಯಿಸಿ. ಮತ್ತು ಅದನ್ನು ಒರಟಾದ ಮಿಶ್ರಣಕ್ಕೆ ರುಬ್ಬಿಕೊಳ್ಳಿ, ತುರಿದ ತೆಂಗಿನಕಾಯಿ ಮತ್ತು ನೀರನ್ನು ಸೇರಿಸಿ ಮತ್ತು ನಯವಾದ ಮಿಶ್ರಣಕ್ಕೆ ಮತ್ತೆ ರುಬ್ಬಿಕೊಳ್ಳಿ. ಮಧ್ಯಮ ಉರಿಯಲ್ಲಿ ಹಾಲಿನೊಂದಿಗೆ ಸಾಸ್ ಪ್ಯಾನ್ ಅನ್ನು ಬಿಸಿ ಮಾಡಿ, ರುಬ್ಬಿದ ಗಸಗಸೆ ಮತ್ತು ತೆಂಗಿನ ಮಿಶ್ರಣ, ಏಲಕ್ಕಿ ಕಾಳುಗಳು, ಬೆಲ್ಲವನ್ನು ಸೇರಿಸಿ ಮತ್ತು ಕುದಿಸಿ. ನಿಮಿಷಗಳು. ಜ್ವಾಲೆಯನ್ನು ಆಫ್ ಮಾಡಿ ಮತ್ತು ಪಾಯಸಂ ಮೇಲೆ ಸುರಿಯಿರಿ ಮತ್ತು ಬಡಿಸಿ. ಸಿಹಿಯಾದ ಟಿಪ್ಪಣಿಯೊಂದಿಗೆ ನಿಮ್ಮ ರುಚಿಯನ್ನು ತಣ್ಣಗಾಗಲು ಟೊಮೆಟೊ ಈರುಳ್ಳಿ ಸೌತೆಕಾಯಿ ರೈಟಾದೊಂದಿಗೆ ಮಸಾಲೆ ಮಿಶ್ರಿತ ತರಕಾರಿ ಪುಲಾವ್ ರೆಸಿಪಿಯನ್ನು ಸೇವಿಸಿದ ನಂತರ ಗಸಗಸೆ ಪಾಯಸವನ್ನು ಬಡಿಸಿ.
</t>
  </si>
  <si>
    <t>https://www.archanaskitchen.com/karnataka-style-gasagase-payasa-recipe-poppy-seed-payasam</t>
  </si>
  <si>
    <t>Mixed Vegetable Sagu Recipe - Karnataka Style Vegetable Kurma Recipe</t>
  </si>
  <si>
    <t>ಮಿಶ್ರ ತರಕಾರಿ ಸಾಗು ರೆಸಿಪಿ - ಕರ್ನಾಟಕ ಶೈಲಿಯ ತರಕಾರಿ ಕುರ್ಮಾ ರೆಸಿಪಿ</t>
  </si>
  <si>
    <t>1 ಕ್ಯಾರೆಟ್ (ಗಜ್ಜರ್) - ಚೂರುಗಳು, 1 ಆಲೂಗಡ್ಡೆ (ಆಲೂ) - ಕ್ಯೂಬ್ಡ್, 1/2 ಕಪ್ ಹಸಿರು ಬೀನ್ಸ್ (ಫ್ರೆಂಚ್ ಬೀನ್ಸ್) - ½ ಇಂಚು ಗಾತ್ರದಲ್ಲಿ ಕತ್ತರಿಸಿ, 1 ನೋಲ್ ಖೋಲ್ (ಗಂತ್ ಗೋಬಿ / ಕದಮ್) - ಘನ, 1/4 ಕಪ್ ಹಸಿರು ಬಟಾಣಿ (ಮಟರ್), 1 ಟೊಮೇಟೊ - 4 ಟೀಸ್ಪೂನ್ ಕತ್ತರಿಸಿದ, (ಹಲ್ದಿ), 4 ಟೀ ಚಮಚ ಸೂರ್ಯಕಾಂತಿ ಎಣ್ಣೆ - ತುಪ್ಪ, 1/4 ಟೀಚಮಚ ಸಾಸಿವೆ, 1/2 ಟೀಚಮಚ ಬಿಳಿ ಉದ್ದಿನ ಬೇಳೆ (ಒಡೆದ), 4 ಕರಿಬೇವಿನ ಎಲೆಗಳು, ಉಪ್ಪು - ರುಚಿಗೆ, 1/2 ಕಪ್ ತಾಜಾ ತೆಂಗಿನಕಾಯಿ, 1 ಇಂಚು ಶುಂಠಿ - ಕತ್ತರಿಸಿದ, 3 ಲವಂಗ ಬೆಳ್ಳುಳ್ಳಿ, 1 ಚಮಚ ಕೊತ್ತಂಬರಿ (ಧನಿಯಾ) ಬೀಜಗಳು, 1/2 ಟೀಚಮಚ ಜೀರಿಗೆ ಬೀಜಗಳು (ಪೊಟ್ಟುಕದಲೈ), 1 ಟೀಚಮಚ ಗಸಗಸೆ, 2 ಹಸಿರು ಮೆಣಸಿನಕಾಯಿಗಳು, 1/2 ಇಂಚಿನ ದಾಲ್ಚಿನ್ನಿ ಕಡ್ಡಿ (ದಾಲ್ಚಿನಿ), 4 ಲವಂಗ (ಲಾಂಗ್), 1 ಸ್ಟಾರ್ ಸೋಂಪು, 1 ಏಲಕ್ಕಿ (ಎಲೈಚಿ) ಕಾಳುಗಳು / ಬೀಜಗಳು, 1/4 ಕಪ್ ಕೊತ್ತಂಬರಿ (ಧನಿಯಾ) ಎಲೆಗಳು, 1/4 ಕಪ್ ಪುದಿನಾ ಎಲೆಗಳು (ಪುದಿನಾ ಎಲೆಗಳು)</t>
  </si>
  <si>
    <t>1 Carrot (Gajjar) - cubed,1 Potato (Aloo) - cubed,1/2 cup Green beans (French Beans) - chopped into ½ inch size,1 Knol Khol (Ganth Gobi/kadam) - cubed,1/4 cup Green peas (Matar),1 Onion - chopped,1 Tomato - chopped,1/4 teaspoon Turmeric powder (Haldi),4 teaspoon Sunflower Oil - Ghee,1/4 teaspoon Mustard seeds,1/2 teaspoon White Urad Dal (Split),4 Curry leaves,Salt - to taste,1/2 cup Fresh coconut,1 inch Ginger - chopped,3 cloves Garlic,1 teaspoon Coriander (Dhania) Seeds,1/2 teaspoon Cumin seeds (Jeera),2 tablespoons Roasted Gram Dal (Pottukadalai),1 teaspoon Poppy seeds,2 Green Chillies,1/2 inch Cinnamon Stick (Dalchini),4 Cloves (Laung),1 Star anise,1 Cardamom (Elaichi) Pods/Seeds,1/4 cup Coriander (Dhania) Leaves,1/4 cup Mint Leaves (Pudina)</t>
  </si>
  <si>
    <t xml:space="preserve">To begin making the Karnataka Style Mixed Vegetable Sagu Recipe, begin by chopping all the vegetables and keeping it ready.Place the cut vegetables into the pressure cooker except the green peas. Add 1/4 cup of water and pressure cook for 3 to 4 whistles. After 3 to 4 whistles, turn off the heat and allow the pressure to release naturally. Keep the cooked vegetables aside.We will now make the sagu masala. Into the mixer grinder, add the grated coconut, roasted gram dal, poppy seeds, coriander seeds, cumin seeds, cinnamon stick, cloves, star anise, cardamom pods, javitri, ginger, garlic, green chillies, pudina leaves,  coriander leaves and  1/2 cup of warm water.Blend to make a smooth paste of the sagu masala ingredients. Keep aside.Heat oil in a pan over medium heat; add the mustard seeds, urad dal and allow the dal to turn golden brown. Stir in the curry leaves and red chillies and saute for a few seconds.Stir in the onions, Sauté the onions till it is translucent. Once that is done, add the tomatoes and saute them till it is soft. Once the tomatoes turn soft, add te sagu masala and saute for a few minutes until the raw smell goes away. Next add all the chopped vegetables and the steamed green peas. Add a cup or two of water, salt to taste and simmer the Mixed Vegetable Sagu for 5 to 6 minutes. Once done, turn off the heat and keep aside.Serve the Karnataka Style Mixed Vegetable Saagu along with Rava Idli or Mangalore Buns for breakfast along with a hot cup of South Indian Filter Coffee.
</t>
  </si>
  <si>
    <t xml:space="preserve">ಕರ್ನಾಟಕ ಶೈಲಿಯ ಮಿಶ್ರ ತರಕಾರಿ ಸಾಗು ರೆಸಿಪಿಯನ್ನು ತಯಾರಿಸಲು ಪ್ರಾರಂಭಿಸಲು, ಎಲ್ಲಾ ತರಕಾರಿಗಳನ್ನು ಕತ್ತರಿಸಿ ಅದನ್ನು ಸಿದ್ಧವಾಗಿಟ್ಟುಕೊಳ್ಳುವ ಮೂಲಕ ಪ್ರಾರಂಭಿಸಿ. ಹಸಿರು ಬಟಾಣಿಗಳನ್ನು ಹೊರತುಪಡಿಸಿ ಕತ್ತರಿಸಿದ ತರಕಾರಿಗಳನ್ನು ಒತ್ತಡದ ಕುಕ್ಕರ್‌ನಲ್ಲಿ ಇರಿಸಿ. 1/4 ಕಪ್ ನೀರು ಸೇರಿಸಿ ಮತ್ತು 3 ರಿಂದ 4 ಸೀಟಿಗಳವರೆಗೆ ಕುಕ್ ಮಾಡಿ. 3 ರಿಂದ 4 ಸೀಟಿಗಳ ನಂತರ, ಶಾಖವನ್ನು ಆಫ್ ಮಾಡಿ ಮತ್ತು ಒತ್ತಡವನ್ನು ನೈಸರ್ಗಿಕವಾಗಿ ಬಿಡುಗಡೆ ಮಾಡಲು ಅನುಮತಿಸಿ. ಬೇಯಿಸಿದ ತರಕಾರಿಗಳನ್ನು ಪಕ್ಕಕ್ಕೆ ಇರಿಸಿ. ನಾವು ಈಗ ಸಾಗು ಮಸಾಲವನ್ನು ಮಾಡುತ್ತೇವೆ. ಮಿಕ್ಸರ್ ಗ್ರೈಂಡರ್‌ಗೆ, ತುರಿದ ತೆಂಗಿನಕಾಯಿ, ಹುರಿದ ಬೇಳೆ, ಗಸಗಸೆ, ಕೊತ್ತಂಬರಿ ಬೀಜಗಳು, ಜೀರಿಗೆ, ದಾಲ್ಚಿನ್ನಿ ಕಡ್ಡಿ, ಲವಂಗ,  ನಕ್ಷತ್ರ ಸೋಂಪು, ಏಲಕ್ಕಿ ಕಾಳುಗಳು, ಜಾವಿತ್ರಿ, ಶುಂಠಿ, ಬೆಳ್ಳುಳ್ಳಿ, ಹಸಿರು ಮೆಣಸಿನಕಾಯಿಗಳು, ಪುದಿನ ಎಲೆಗಳು,     ಕೊತ್ತಂಬರಿ ಸೊಪ್ಪನ್ನು            ಕೊತ್ತಂಬರಿ ಸೊಪ್ಪನ್ನು ಬೆಚ್ಚಗಿನ ನೀರು ಸೇರಿಸಿ. ಸಾಗು ಮಸಾಲಾ ಪದಾರ್ಥಗಳು. ಪಕ್ಕಕ್ಕೆ ಇರಿಸಿ. ಮಧ್ಯಮ ಶಾಖದ ಮೇಲೆ ಬಾಣಲೆಯಲ್ಲಿ ಎಣ್ಣೆಯನ್ನು ಬಿಸಿ ಮಾಡಿ; ಸಾಸಿವೆ ಕಾಳು, ಉದ್ದಿನಬೇಳೆ ಸೇರಿಸಿ ಮತ್ತು ಬೇಳೆ ಗೋಲ್ಡನ್ ಬ್ರೌನ್ ಆಗಲು ಅವಕಾಶ ಮಾಡಿಕೊಡಿ. ಕರಿಬೇವಿನ ಎಲೆಗಳು ಮತ್ತು ಕೆಂಪು ಮೆಣಸಿನಕಾಯಿಗಳನ್ನು ಬೆರೆಸಿ ಮತ್ತು ಕೆಲವು ಸೆಕೆಂಡುಗಳ ಕಾಲ ಹುರಿಯಿರಿ. ಈರುಳ್ಳಿಯಲ್ಲಿ ಬೆರೆಸಿ, ಈರುಳ್ಳಿಯನ್ನು ಪಾರದರ್ಶಕವಾಗುವವರೆಗೆ ಹುರಿಯಿರಿ. ಅದು ಮುಗಿದ ನಂತರ, ಟೊಮೆಟೊಗಳನ್ನು ಸೇರಿಸಿ ಮತ್ತು ಅದು ಮೃದುವಾಗುವವರೆಗೆ ಹುರಿಯಿರಿ. ಟೊಮೆಟೊಗಳು ಮೃದುವಾದ ನಂತರ, ಟೆ ಸಾಗು ಮಸಾಲಾ ಸೇರಿಸಿ ಮತ್ತು ಹಸಿ ವಾಸನೆ ಹೋಗುವವರೆಗೆ ಕೆಲವು ನಿಮಿಷಗಳ ಕಾಲ ಹುರಿಯಿರಿ. ನಂತರ ಎಲ್ಲಾ ಕತ್ತರಿಸಿದ ತರಕಾರಿಗಳು ಮತ್ತು ಬೇಯಿಸಿದ ಹಸಿರು ಬಟಾಣಿಗಳನ್ನು ಸೇರಿಸಿ. ಒಂದು ಕಪ್ ಅಥವಾ ಎರಡು ಕಪ್ ನೀರು, ರುಚಿಗೆ ತಕ್ಕಷ್ಟು ಉಪ್ಪು ಸೇರಿಸಿ ಮತ್ತು ಮಿಶ್ರ ತರಕಾರಿ ಸಾಗುವನ್ನು 5 ರಿಂದ 6 ನಿಮಿಷಗಳ ಕಾಲ ಕುದಿಸಿ. ಒಮ್ಮೆ ಮಾಡಿದ ನಂತರ, ಉರಿಯನ್ನು ಆಫ್ ಮಾಡಿ ಮತ್ತು ಪಕ್ಕಕ್ಕೆ ಇರಿಸಿ. ಕರ್ನಾಟಕ ಶೈಲಿಯ ಮಿಶ್ರ ತರಕಾರಿ ಸಾಗುವನ್ನು ರವಾ ಇಡ್ಲಿ ಅಥವಾ ಮಂಗಳೂರು ಬನ್ಸ್  ಜೊತೆಗೆ ಬೆಳಗಿನ ಉಪಾಹಾರಕ್ಕಾಗಿ ಬಿಸಿ ಕಪ್ ಸೌತ್ ಇಂಡಿಯನ್ ಫಿಲ್ಟರ್ ಕಾಫಿಯೊಂದಿಗೆ ಬಡಿಸಿ.
</t>
  </si>
  <si>
    <t>http://www.archanaskitchen.com/karnataka-style-mixed-vegetable-saagu-recipe-spicy-vegetable-coconut-gravy-recipe</t>
  </si>
  <si>
    <t>Black Eyed Peas Masala Vadas Recipe</t>
  </si>
  <si>
    <t>ಕಪ್ಪು ಕಣ್ಣಿನ ಬಟಾಣಿ ಮಸಾಲಾ ವಡಾಸ್ ರೆಸಿಪಿ</t>
  </si>
  <si>
    <t>1 ಕಪ್ ಬ್ಲ್ಯಾಕ್ ಐಡ್ ಬೀನ್ಸ್ (ಲೋಬಿಯಾ) - ಕನಿಷ್ಠ 4 ಗಂಟೆಗಳ ಕಾಲ ನೆನೆಸಿದ, 1/3 ಕಪ್ ಸ್ವೀಟ್ ಕಾರ್ನ್ - ಪುಡಿಮಾಡಿದ, 20 ಕರಿಬೇವಿನ ಎಲೆಗಳು - ಹರಿದ, 1/4 ಕಪ್ ಕೊತ್ತಂಬರಿ (ಧನಿಯಾ) ಎಲೆಗಳು - ಕತ್ತರಿಸಿದ, 2 ಟೇಬಲ್ಸ್ಪೂನ್ ಪುದೀನಾ ಎಲೆಗಳು (ಪುದೀನಾ) - ಕತ್ತರಿಸಿದ, 5 ಹಸಿರು ಮೆಣಸಿನಕಾಯಿಗಳು, 1 ಇಂಚು ಕೊಬ್ಬರಿ. (ಐಚ್ಛಿಕ), 1/4 ಟೀಚಮಚ ಇಂಗು (ಹಿಂಗ್), 2 ಟೇಬಲ್ಸ್ಪೂನ್ ಎಳ್ಳು ಬೀಜಗಳು (ಟಿಲ್ ಬೀಜಗಳು), 1 ಈರುಳ್ಳಿ - ಸಣ್ಣದಾಗಿ ಕೊಚ್ಚಿದ, ಉಪ್ಪು - ರುಚಿಗೆ, ಸೂರ್ಯಕಾಂತಿ ಎಣ್ಣೆ - ಆಳವಾದ ಹುರಿಯಲು</t>
  </si>
  <si>
    <t>1 cup Black Eyed Beans (Lobia) - soaked for at least 4 hours,1/3 cup Sweet corn - crushed,20 Curry leaves - torn,1/4 cup Coriander (Dhania) Leaves - chopped,2 tablespoons Mint Leaves (Pudina) - chopped,5 Green Chillies,1 inch Ginger,1/4 cup Dry coconut (kopra) - chopped (optional),1/4 teaspoon Asafoetida (hing),2 tablespoons Sesame seeds (Til seeds),1 Onion - finely chopped,Salt - to taste,Sunflower Oil - to deep fry</t>
  </si>
  <si>
    <t xml:space="preserve">To begin making the Black Eyed Peas Masala Vadas recipe, strain the water from the lobhia using a colander and pat dry to remove as much moisture as possible.In a mixer jar add green chillies, ginger, salt, asafoetida and 2 tablespoons of the lobhia and grind and add this into a mixing bowl.Now add the remaining Lobhia into the mixer jar and grind coarsely, add to the mixing bowl.Squeeze out extra moisture from the crushed corn and add it into the mixing bowl.Add all the remaining ingredients into the mixing bowl. Combine everything and taste to adjust seasoning.Shape the mixture into vadas and deep fry until golden in a deep fry pan. Make sure to cook on a medium to high flame so that its cooked through.If the vada mixture is very moist it could absorb lots of oil, the trick is to pat the vadas on a clean dry towel so it absorbs excess moisture.Then transfer them to your hands and drop them gently into the oil to fry, this way you will get crispy non greasy vadas.Serve Black Eyed Peas Masala Vadas with South Indian Coconut Chutney or Tomato Garlic Chutney on a rainy day.
</t>
  </si>
  <si>
    <t xml:space="preserve">ಬ್ಲ್ಯಾಕ್ ಐಡ್ ಬಟಾಣಿ ಮಸಾಲಾ ವಡಾಸ್ ಪಾಕವಿಧಾನವನ್ನು ತಯಾರಿಸಲು ಪ್ರಾರಂಭಿಸಲು, ಲೋಬಿಯಾದಿಂದ ನೀರನ್ನು ಕೋಲಾಂಡರ್ ಬಳಸಿ ಮತ್ತು ಸಾಧ್ಯವಾದಷ್ಟು ತೇವಾಂಶವನ್ನು ತೆಗೆದುಹಾಕಲು ಒಣಗಿಸಿ. ಮಿಕ್ಸರ್ ಜಾರ್ನಲ್ಲಿ ಹಸಿರು ಮೆಣಸಿನಕಾಯಿಗಳು, ಶುಂಠಿ, ಉಪ್ಪು, ಇಂಗು ಮತ್ತು 2 ಟೇಬಲ್ಸ್ಪೂನ್ ಲೋಬಿಯಾ ಸೇರಿಸಿ ಮತ್ತು ರುಬ್ಬಿಕೊಳ್ಳಿ ಮತ್ತು ಉಳಿದ ಮಿಶ್ರಣಕ್ಕೆ ಸೇರಿಸಿ. ಒರಟಾಗಿ, ಮಿಕ್ಸಿಂಗ್ ಬೌಲ್‌ಗೆ ಸೇರಿಸಿ. ಪುಡಿಮಾಡಿದ ಕಾರ್ನ್‌ನಿಂದ ಹೆಚ್ಚುವರಿ ತೇವಾಂಶವನ್ನು ಹಿಂಡಿ ಮತ್ತು ಅದನ್ನು ಮಿಶ್ರಣ ಬೌಲ್‌ಗೆ ಸೇರಿಸಿ. ಉಳಿದ ಎಲ್ಲಾ ಪದಾರ್ಥಗಳನ್ನು ಮಿಶ್ರಣ ಬೌಲ್‌ಗೆ ಸೇರಿಸಿ. ಎಲ್ಲವನ್ನೂ ಒಗ್ಗೂಡಿಸಿ ಮತ್ತು ಮಸಾಲೆಯನ್ನು ಸರಿಹೊಂದಿಸಲು ರುಚಿ. ಮಿಶ್ರಣವನ್ನು ವಡಾಗಳಾಗಿ ಆಕಾರ ಮಾಡಿ ಮತ್ತು ಆಳವಾದ ಫ್ರೈ ಪ್ಯಾನ್‌ನಲ್ಲಿ ಗೋಲ್ಡನ್ ಆಗುವವರೆಗೆ ಡೀಪ್ ಫ್ರೈ ಮಾಡಿ. ಮಧ್ಯಮದಿಂದ ಹೆಚ್ಚಿನ ಜ್ವಾಲೆಯಲ್ಲಿ ಬೇಯಿಸಲು ಖಚಿತಪಡಿಸಿಕೊಳ್ಳಿ ಇದರಿಂದ ಅದು ಬೇಯಿಸಲಾಗುತ್ತದೆ. ವಡಾ ಮಿಶ್ರಣವು ತುಂಬಾ ತೇವವಾಗಿದ್ದರೆ ಅದು ಸಾಕಷ್ಟು ಎಣ್ಣೆಯನ್ನು ಹೀರಿಕೊಳ್ಳುತ್ತದೆ, ವಡಾಗಳನ್ನು ಸ್ವಚ್ಛವಾದ ಒಣ ಟವೆಲ್ ಮೇಲೆ ತಟ್ಟುವುದು ಟ್ರಿಕ್ ಆಗಿದೆ, ಅದು ಹೆಚ್ಚುವರಿ ತೇವಾಂಶವನ್ನು ಹೀರಿಕೊಳ್ಳುತ್ತದೆ. ನಂತರ ಅವುಗಳನ್ನು ನಿಮ್ಮ ಕೈಗೆ ವರ್ಗಾಯಿಸಿ ಮತ್ತು ಹುರಿಯಲು ಎಣ್ಣೆಯಲ್ಲಿ ನಿಧಾನವಾಗಿ ಬಿಡಿ, ಈ ರೀತಿಯಾಗಿ ನೀವು ಗರಿಗರಿಯಾದ ಜಿಡ್ಡಿನಲ್ಲದ ಕಪ್ಪು ಪೇಸರಿ ವಡಾಗಳನ್ನು ಪಡೆಯುತ್ತೀರಿ. ಮಳೆಯ ದಿನದಂದು ದಕ್ಷಿಣ ಭಾರತದ ತೆಂಗಿನಕಾಯಿ ಚಟ್ನಿ ಅಥವಾ ಟೊಮೆಟೊ ಬೆಳ್ಳುಳ್ಳಿ ಚಟ್ನಿಯೊಂದಿಗೆ.
</t>
  </si>
  <si>
    <t>http://www.archanaskitchen.com/black-eyed-peas-masala-vadas-recipe</t>
  </si>
  <si>
    <t>Mysore Chutney Recipe</t>
  </si>
  <si>
    <t>ಮೈಸೂರ್ ಚಟ್ನಿ ರೆಸಿಪಿ - ಮೈಸೂರು ಚಟ್ನಿ ರೆಸಿಪಿ</t>
  </si>
  <si>
    <t>1 ಛೋಟಾ ಚಮ್ಮಚ ತೇಲ್,1/2 ಕಪ್ ಚನಾ ದಾಲ್,5 ಸುಖಿ ಲಾಲ್ ಮಿರ್ಚ್,1 ಬಡಾ ಚಮ್ಮಾಚ ನಿಮ್ಕ, ನಮ್ಕ ಸ್ವಾದ ಅನುಸಾರ್,1 ಛೋಟಾ ಚಮ್ಮಚ ನಾರಿಯಲ್ ಪೌಡರ್,1 ಟಹನಿ ಕಢಿ ಪತ್ತಾ,1 ಚಮ್ತಾ ಚಮ್ತಾ ಲೆ</t>
  </si>
  <si>
    <t>1 tsp oil, 1/2 cup chana dal, 5 dry red chillies, 1 tbsp lemon juice, salt - as per taste, 1 tsp coconut powder, 1 spoon curry leaves, 1 tsp ginger - cut</t>
  </si>
  <si>
    <t>"To make Mysore Chutney Recipe, first heat oil in a pan. Add chana dal and fry it. Cook till chana dal turns light golden. Remove once cooked and keep aside to cool. Now soak dry red chillies in hot water for half an hour. After that, put it in a mixer grinder along with roasted dal, dry red chillies, tamarind pulp, salt, coconut, curry leaves, ginger and water. Grind well. After grinding, take it out in a bowl and serve. Serve Mysore Chutney Recipe with Vegetable Uttapam and Filter Coffee for your morning breakfast."</t>
  </si>
  <si>
    <t xml:space="preserve">ಮೈಸೂರ್ ಚಟನಿ ರೆಸಿಪಿ ಬನಾನೆಗೆ ಲಿಯೇ ಸಬಸೆ ಪಹಲೆ ಎಕ್ ಕಢೈ ಮೆಂ ಟೆಲ್ ಗರಂ ಕರ ಲೆ. ಅದೇ ರೀತಿ ಚನಾ ದಾಲ್ ಡಾಲೆ ಮತ್ತು ಸೆಕ್ ಲೆ. ಚನಾ ದಾಲ್ ಕೆ ಹಲ್ಕಾ ಸುನಹರಾ ಹೋನೆ ತಕ ಪಕ ಲೇ. ಪಕ್ ಜಾನೆ ಕೆ ಬಾದ ನಿಕಾಲೆ ಮತ್ತು ಥಂಡಾ ಹೋನೆಗೆ ಅಳಗ ಸೆ ರಖ ಲೆ. ಅಬ್ ಸುಖಿ ಲಾಲ್ ಮಿರ್ಚ್ ಕೋ ಗರಂ ಪಾನಿ ಮೆಂ ಆಧೆ ಘಂಟೆಗೆ ಭಿಗೋ ಲೆ. ಉಸಕೆ ಬೇಡ ಎಂದರೆ ಒಂದು ಮಿಕ್ಸರ್ ಗ್ರೈಂಡರ್ ಮೆನ್ ಸೇಕಿ ಹುಯಿ ದಾಲ್, ಸುಖಿ ಲಾಲ್ ಮಿರ್ಚ್, ಮಕ್, ಮಲಕ್ ನಾರಿಯಲ್, ಕಢಿ ಪತ್ತಾ, ಅದರ್ ಮತ್ತು ಪಾನಿ ಸಾಥ್ ಡಾಲೆ. ಅಚ್ಛಿ ತರಹ ಸೆ ಪೀಸ್ ಲೆ. ಪೀಸನೆ ಕೆ ಬಾದ ಎಕ್ ಬೌಲ್ ಮೆಂ ನಿಕಾಲೆ ಮತ್ತು ಪರೋಸೆ. ಮೈಸೂರ್ ಚಟನಿ ರೆಸಿಪಿ ಕೋ ಅಪನೇ ಸುಭಾದ ನಷ್ಟಕ್ಕೆ ವೇಜಿಟೆಬಲ್ ಉತ್ಪನ್ನ ಮತ್ತು ಲಫ್. ಸಾಥ್ ಪರೋಸೆ.
</t>
  </si>
  <si>
    <t>http://www.archanaskitchen.com/mysore-chutney-recipe-chana-dal-chutney-in-hindi</t>
  </si>
  <si>
    <t>Ragi Halwa Recipe | Healthy Indian Sweet Made With Ragi</t>
  </si>
  <si>
    <t>ರಾಗಿ ಹಲ್ವಾ ರೆಸಿಪಿ | ರಾಗಿಯೊಂದಿಗೆ ತಯಾರಿಸಲಾದ ಆರೋಗ್ಯಕರ ಭಾರತೀಯ ಸಿಹಿತಿಂಡಿ</t>
  </si>
  <si>
    <t>1 ಕಪ್ ರಾಗಿ ಬೀಜಗಳು - ಕನಿಷ್ಠ 12 ಗಂಟೆಗಳ ಕಾಲ ನೆನೆಸಿದ, 1-1/4 ಕಪ್ ಬೆಲ್ಲ, 1 ಚಮಚ ಏಲಕ್ಕಿ ಪುಡಿ (ಎಲೈಚಿ), 3 ಕಪ್ ಹಾಲು, 3 ಕಪ್ ನೀರು, 50 ಗ್ರಾಂ ಗೋಡಂಬಿ, 3 ಚಮಚ ತುಪ್ಪ - + ಗ್ರೀಸ್ಗೆ ಹೆಚ್ಚು</t>
  </si>
  <si>
    <t>1 cup Ragi Seeds - soaked for at least 12 hours,1-1/4 cup Jaggery,1 teaspoon Cardamom Powder (Elaichi),3 cups Milk,3 cups Water,50 grams Cashew nuts,3 tablespoons Ghee - + more to grease</t>
  </si>
  <si>
    <t xml:space="preserve">To prepare this yummy Ragi Halwa Recipe | Healthy Indian Sweet Made With Ragi, soak Ragi for at least 12 hours in water and get ready with the other ingredients as well.In a saucepan, cook jaggery and 1 cup of water until it is melted (Syrup is not required). Now strain this through a sieve to get rid of any impurities within.In a tadka pan, heat 2 tablespoons of ghee and fry the cashews until golden. Set aside.Drain the water from the ragi through a sieve and remove excess water.Add Ragi and 1 cup of water in a mixer/blender and blend until very smooth and fine, this helps in extracting as much ragi milk as possible. Slowly add another cup of water into this and blend further. This process should take about 7-10 minutes depending on the power of your mixer/blender.Now pass this liquid through a fine muslin cloth/cheese cloth and separate the ragi milk from the meal.Grease a Thaali/rimmed steel plate with some ghee and keep it ready.In a wide and deep pan add 2 cups of the extracted Ragi milk, jaggery water and 3 cups of milk and bring this to a boil by mixing with a wooden flat spoon.Cook this mixture on medium to high heat, whilst stirring continuously.After about 20 minutes of cooking and continuous stirring, add 1 tablespoon of Ghee and continue to stir about 10 minutes.You will notice thickening and starts to coat the back of the wooden spoon. Wet your hands lightly and touch the surface of the halwa, it shouldn’t stick to your wet hands.Cook for a further of 5-6 minutes and whisk in the Cardamom powder and fried cashews.Pour the mixture onto a greased thaali and let it cool to room temperature.Run a freshly washed Knife to cut the halwa into squares or diamond shaped ragi halwas.This Ragi Halwa Recipe is a great dish for toddlers and growing children since it is sweetened so you can also serve it after having Bisi Bele Bath Recipe (A Spicy Mixed Vegetable Sambar Rice) to have a sweet note at the end.
</t>
  </si>
  <si>
    <t xml:space="preserve">ಈ ರುಚಿಕರವಾದ ರಾಗಿ ಹಲ್ವಾ ರೆಸಿಪಿಯನ್ನು ತಯಾರಿಸಲು | ರಾಗಿಯೊಂದಿಗೆ ತಯಾರಿಸಿದ ಆರೋಗ್ಯಕರ ಭಾರತೀಯ ಸಿಹಿತಿಂಡಿ, ರಾಗಿಯನ್ನು ಕನಿಷ್ಠ 12 ಗಂಟೆಗಳ ಕಾಲ ನೀರಿನಲ್ಲಿ ನೆನೆಸಿ ಮತ್ತು ಇತರ ಪದಾರ್ಥಗಳೊಂದಿಗೆ ಸಿದ್ಧರಾಗಿ. ಒಂದು ಲೋಹದ ಬೋಗುಣಿಗೆ, ಬೆಲ್ಲ ಮತ್ತು 1 ಕಪ್ ನೀರು ಕರಗುವ ತನಕ ಬೇಯಿಸಿ (ಸಿರಪ್ ಅಗತ್ಯವಿಲ್ಲ). ಒಳಗಿರುವ ಯಾವುದೇ ಕಲ್ಮಶಗಳನ್ನು ತೊಡೆದುಹಾಕಲು ಈಗ ಇದನ್ನು ಜರಡಿ ಮೂಲಕ ಶೋಧಿಸಿ. ತಡ್ಕಾ ಪ್ಯಾನ್‌ನಲ್ಲಿ, 2 ಚಮಚ ತುಪ್ಪವನ್ನು ಬಿಸಿ ಮಾಡಿ ಮತ್ತು ಗೋಡಂಬಿಯನ್ನು ಗೋಲ್ಡನ್ ಆಗುವವರೆಗೆ ಹುರಿಯಿರಿ. ಪಕ್ಕಕ್ಕೆ ಇರಿಸಿ. ರಾಗಿಯಿಂದ ನೀರನ್ನು ಜರಡಿ ಮೂಲಕ ಹರಿಸುತ್ತವೆ ಮತ್ತು ಹೆಚ್ಚುವರಿ ನೀರನ್ನು ತೆಗೆದುಹಾಕಿ. ರಾಗಿ ಮತ್ತು 1 ಕಪ್ ನೀರನ್ನು ಮಿಕ್ಸರ್ / ಬ್ಲೆಂಡರ್ನಲ್ಲಿ ಸೇರಿಸಿ ಮತ್ತು ತುಂಬಾ ನಯವಾದ ಮತ್ತು ನುಣ್ಣಗೆ ರವರೆಗೆ ಮಿಶ್ರಣ ಮಾಡಿ, ಇದು ಸಾಧ್ಯವಾದಷ್ಟು ರಾಗಿ ಹಾಲನ್ನು ಹೊರತೆಗೆಯಲು ಸಹಾಯ ಮಾಡುತ್ತದೆ. ಇದಕ್ಕೆ ಇನ್ನೊಂದು ಕಪ್ ನೀರನ್ನು ನಿಧಾನವಾಗಿ ಸೇರಿಸಿ ಮತ್ತು ಮಿಶ್ರಣ ಮಾಡಿ. ಈ ಪ್ರಕ್ರಿಯೆಯು ನಿಮ್ಮ ಮಿಕ್ಸರ್/ಬ್ಲೆಂಡರ್‌ನ ಶಕ್ತಿಯನ್ನು ಅವಲಂಬಿಸಿ ಸುಮಾರು 7-10 ನಿಮಿಷಗಳನ್ನು ತೆಗೆದುಕೊಳ್ಳುತ್ತದೆ. ಈಗ ಈ ದ್ರವವನ್ನು ಉತ್ತಮವಾದ ಮಸ್ಲಿನ್ ಬಟ್ಟೆ/ಚೀಸ್ ಬಟ್ಟೆಯ ಮೂಲಕ ಹಾಯಿಸಿ ಮತ್ತು ರಾಗಿ ಹಾಲನ್ನು ಊಟದಿಂದ ಬೇರ್ಪಡಿಸಿ. ಥಾಲಿ/ರಿಮ್ಡ್ ಸ್ಟೀಲ್ ಪ್ಲೇಟ್ ಅನ್ನು ಸ್ವಲ್ಪ ತುಪ್ಪದೊಂದಿಗೆ ಗ್ರೀಸ್ ಮಾಡಿ ಮತ್ತು ಅದನ್ನು ಸಿದ್ಧವಾಗಿಡಿ. ಅಗಲವಾದ ಮತ್ತು ಆಳವಾದ ಪ್ಯಾನ್‌ನಲ್ಲಿ 2 ಕಪ್ ಹಾಲು ಮತ್ತು ತೆಗೆದ ರಾಗಿ ಹಾಲನ್ನು ಕುದಿಸಿ ಮತ್ತು 3 ಲೋಟ ಹಾಲು ಕುದಿಸಿ. ಮರದ ಚಪ್ಪಟೆ ಚಮಚ. ಈ ಮಿಶ್ರಣವನ್ನು ಮಧ್ಯಮದಿಂದ ಹೆಚ್ಚಿನ ಶಾಖದಲ್ಲಿ ಬೇಯಿಸಿ, ನಿರಂತರವಾಗಿ ಸ್ಫೂರ್ತಿದಾಯಕ ಮಾಡುವಾಗ. ಸುಮಾರು 20 ನಿಮಿಷಗಳ ಅಡುಗೆ ಮತ್ತು ನಿರಂತರ ಸ್ಫೂರ್ತಿದಾಯಕ ನಂತರ, 1 ಚಮಚ ತುಪ್ಪವನ್ನು ಸೇರಿಸಿ ಮತ್ತು ಸುಮಾರು 10 ನಿಮಿಷಗಳ ಕಾಲ ಬೆರೆಸಿ ಮುಂದುವರಿಸಿ. ನೀವು ದಪ್ಪವಾಗುವುದನ್ನು ಗಮನಿಸಬಹುದು ಮತ್ತು ಮರದ ಚಮಚದ ಹಿಂಭಾಗವನ್ನು ಲೇಪಿಸಲು ಪ್ರಾರಂಭಿಸುತ್ತೀರಿ. ನಿಮ್ಮ ಕೈಗಳನ್ನು ಲಘುವಾಗಿ ಒದ್ದೆ ಮಾಡಿ ಮತ್ತು ಹಲ್ವಾದ ಮೇಲ್ಮೈಯನ್ನು ಸ್ಪರ್ಶಿಸಿ, ಅದು ನಿಮ್ಮ ಒದ್ದೆಯಾದ ಕೈಗಳಿಗೆ ಅಂಟಿಕೊಳ್ಳಬಾರದು. ಇನ್ನೂ 5-6 ನಿಮಿಷ ಬೇಯಿಸಿ ಮತ್ತು ಏಲಕ್ಕಿ ಪುಡಿ ಮತ್ತು ಹುರಿದ ಗೋಡಂಬಿಯನ್ನು ಪೊರಕೆ ಹಾಕಿ. ಮಿಶ್ರಣವನ್ನು ತುಪ್ಪ ಸವರಿದ ಥಾಲಿಗೆ ಸುರಿಯಿರಿ ಮತ್ತು ಕೋಣೆಯ ಉಷ್ಣಾಂಶಕ್ಕೆ ತಣ್ಣಗಾಗಲು ಬಿಡಿ. ಹಲ್ವಾ ರೆಸಿಪಿಯು ಅಂಬೆಗಾಲಿಡುವ ಮಕ್ಕಳಿಗೆ ಮತ್ತು ಬೆಳೆಯುತ್ತಿರುವ ಮಕ್ಕಳಿಗೆ ಉತ್ತಮವಾದ ಖಾದ್ಯವಾಗಿದೆ, ಏಕೆಂದರೆ ಇದನ್ನು ಸಿಹಿಗೊಳಿಸಲಾಗುತ್ತದೆ ಆದ್ದರಿಂದ ನೀವು ಬಿಸಿ ಬೇಳೆ ಬಾತ್ ರೆಸಿಪಿ (ಒಂದು ಮಸಾಲೆ ಮಿಶ್ರಿತ ತರಕಾರಿ ಸಾಂಬಾರ್ ರೈಸ್) ಅನ್ನು ಸೇವಿಸಿದ ನಂತರ ಅದನ್ನು ಬಡಿಸಬಹುದು.
</t>
  </si>
  <si>
    <t>https://www.archanaskitchen.com/ragi-halwa-recipe-healthy-indian-sweet-made-with-ragi</t>
  </si>
  <si>
    <t>Karwar Style Bibya Usal Recipe (Spiced Cashew Nut Sabzi)</t>
  </si>
  <si>
    <t>ಕಾರವಾರ ಶೈಲಿಯ ಬಿಬ್ಯಾ ಉಸಲ್ ರೆಸಿಪಿ (ಮಸಾಲೆಯುಕ್ತ ಗೋಡಂಬಿ ಸಬ್ಜಿ)</t>
  </si>
  <si>
    <t>1/2 ಕಪ್ ಗೋಡಂಬಿ - 15 ನಿಮಿಷಗಳ ಕಾಲ ಬೆಚ್ಚಗಿನ ನೀರು ಮತ್ತು ಉಪ್ಪಿನಲ್ಲಿ ನೆನೆಸಿ, 3 ಚಮಚ ತಾಜಾ ತೆಂಗಿನ ತುರಿ, 1 ಚಮಚ ಸಕ್ಕರೆ, ಉಪ್ಪು - ರುಚಿಗೆ 2 ಚಮಚ, ತೆಂಗಿನ ಎಣ್ಣೆ 1 ಚಮಚ, ಬಿಳಿ ಉರಡ್ ದಾಲ್ (ಒಡೆದ), 1/2 ಟೀಚಮಚ ಸಾಸಿವೆ, 3 ಒಣ ಕೆಂಪು ಮೆಣಸಿನಕಾಯಿಗಳು - ಮುರಿದ (ರುಚಿಗೆ ಸರಿಹೊಂದಿಸಿದ ಬೆಳ್ಳುಳ್ಳಿ, 1 ಚಮಚ ಬೆಳ್ಳುಳ್ಳಿ), 4 (ಹಲ್ದಿ), ಕರಿಬೇವಿನ ಎಲೆಗಳು - ಕೆಲವು</t>
  </si>
  <si>
    <t>1/2 cup Cashew nuts - soaked in warm water and salt for 15 minutes,3 tablespoons Fresh coconut - grated,1 teaspoon Sugar,Salt - to taste,2 teaspoons Coconut Oil,1 teaspoon White Urad Dal (Split),1/2 teaspoon Mustard seeds,3 Dry Red Chillies - broken (adjust to taste),4 cloves Garlic - crushed,1/4 teaspoon Turmeric powder (Haldi),Curry leaves - a few</t>
  </si>
  <si>
    <t xml:space="preserve">To begin making the Karwar Style Bibya Usal Recipe (Spiced Cashew Nut Sabzi), soak the cashews in warm water and a little salt for about 10 minutes.Heat oil in a heavy bottomed pan. Once the oil is hot, add the mustard seeds and let them splutter.As the mustard splutters, add split black gram and fry till them till it turns golden brown.Break in the dry red chillies into half into the kadai and add curry leaves along with crushed garlicAfter a few seconds of frying them, add the cashew nuts and turmeric. Toss cashews to mix with the tempering. Keep sautéing for a couple of minutes on medium heat.Add salt, sugar and about 1/4 cup of water and mix everything well. Now cover and cook in low heat for 5 to 10 minutes. Cashew nuts should be soft but slightly crunchy.Add grated coconut and allow all the water to dry up with stirring. Check for salt and adjust spices if needed, allow to sit for a minute and switch off.Serve Karwar Style Bibya Usal Recipe (Spiced Cashew Nut Sabzi) along with Karwar Style Muga Ambat and Phulkas for a weekday meal.
</t>
  </si>
  <si>
    <t xml:space="preserve">ಕಾರವಾರ ಸ್ಟೈಲ್ ಬಿಬ್ಯಾ ಉಸಲ್ ರೆಸಿಪಿ (ಮಸಾಲೆಯುಕ್ತ ಗೋಡಂಬಿ ಸಬ್ಜಿ) ತಯಾರಿಸಲು ಪ್ರಾರಂಭಿಸಲು, ಗೋಡಂಬಿಯನ್ನು ಬೆಚ್ಚಗಿನ ನೀರು ಮತ್ತು ಸ್ವಲ್ಪ ಉಪ್ಪಿನಲ್ಲಿ ಸುಮಾರು 10 ನಿಮಿಷಗಳ ಕಾಲ ನೆನೆಸಿಡಿ. ಭಾರೀ ತಳವಿರುವ ಪ್ಯಾನ್‌ನಲ್ಲಿ ಎಣ್ಣೆಯನ್ನು ಬಿಸಿ ಮಾಡಿ. ಎಣ್ಣೆ ಬಿಸಿಯಾದ ನಂತರ, ಸಾಸಿವೆ ಹಾಕಿ ಮತ್ತು ಅವುಗಳನ್ನು ಚೆಲ್ಲಲು ಬಿಡಿ. ಸಾಸಿವೆ ಒಡೆದಂತೆಯೇ, ಒಡೆದ ಕಾಳುಗಳನ್ನು ಹಾಕಿ ಮತ್ತು ಗೋಲ್ಡನ್ ಬ್ರೌನ್ ಆಗುವವರೆಗೆ ಅವುಗಳನ್ನು ಫ್ರೈ ಮಾಡಿ. ಒಣ ಕೆಂಪು ಮೆಣಸಿನಕಾಯಿಯನ್ನು ಕದೈ ಆಗಿ ಅರ್ಧಕ್ಕೆ ಒಡೆದು ಮತ್ತು ಪುಡಿಮಾಡಿದ ಬೆಳ್ಳುಳ್ಳಿಯೊಂದಿಗೆ ಕರಿಬೇವಿನ ಎಲೆಗಳನ್ನು ಸೇರಿಸಿ ಕೆಲವು ಸೆಕೆಂಡುಗಳ ನಂತರ ಅವುಗಳನ್ನು ಹುರಿದ ನಂತರ, ಗೋಡಂಬಿ ಮತ್ತು ಗೋಡಂಬಿ ಸೇರಿಸಿ. ಹದಗೊಳಿಸುವಿಕೆಯೊಂದಿಗೆ ಮಿಶ್ರಣ ಮಾಡಲು ಗೋಡಂಬಿಯನ್ನು ಟಾಸ್ ಮಾಡಿ. ಮಧ್ಯಮ ಉರಿಯಲ್ಲಿ ಒಂದೆರಡು ನಿಮಿಷಗಳ ಕಾಲ ಹುರಿಯಿರಿ. ಉಪ್ಪು, ಸಕ್ಕರೆ ಮತ್ತು ಸುಮಾರು 1/4 ಕಪ್ ನೀರು ಸೇರಿಸಿ ಮತ್ತು ಎಲ್ಲವನ್ನೂ ಚೆನ್ನಾಗಿ ಮಿಶ್ರಣ ಮಾಡಿ. ಈಗ ಮುಚ್ಚಿ ಮತ್ತು ಕಡಿಮೆ ಉರಿಯಲ್ಲಿ 5 ರಿಂದ 10 ನಿಮಿಷ ಬೇಯಿಸಿ. ಗೋಡಂಬಿ ಮೃದು ಆದರೆ ಸ್ವಲ್ಪ ಕುರುಕಲು ಇರಬೇಕು. ತುರಿದ ತೆಂಗಿನಕಾಯಿ ಸೇರಿಸಿ ಮತ್ತು ಸ್ಫೂರ್ತಿದಾಯಕ ಎಲ್ಲಾ ನೀರು ಒಣಗಲು ಅವಕಾಶ. ಉಪ್ಪನ್ನು ಪರಿಶೀಲಿಸಿ ಮತ್ತು ಅಗತ್ಯವಿದ್ದಲ್ಲಿ ಮಸಾಲೆಗಳನ್ನು ಹೊಂದಿಸಿ, ಒಂದು ನಿಮಿಷ ಕುಳಿತುಕೊಳ್ಳಲು ಅನುಮತಿಸಿ ಮತ್ತು ಸ್ವಿಚ್ ಆಫ್ ಮಾಡಲು ಅನುಮತಿಸಿ. ವಾರದ ದಿನದ ಊಟಕ್ಕೆ ಕಾರವಾರ ಶೈಲಿಯ ಬಿಬ್ಯಾ ಉಸಲ್ ರೆಸಿಪಿ (ಮಸಾಲೆಯುಕ್ತ ಗೋಡಂಬಿ ಸಬ್ಜಿ) ಜೊತೆಗೆ ಕಾರವಾರ ಸ್ಟೈಲ್ ಮುಗ ಅಂಬಾಟ್ ಮತ್ತು ಫುಲ್ಕಾಸ್ ಅನ್ನು ಬಡಿಸಿ.
</t>
  </si>
  <si>
    <t>http://www.archanaskitchen.com/bibya-usal-recipe-karwar-spiced-cashew-nut-sabzi</t>
  </si>
  <si>
    <t>Karantaka Style Seke Undlaka/ Undlige Recipe (Mini steamed sweet dumplings Recipe)</t>
  </si>
  <si>
    <t>ಕರಂಟಕ ಸ್ಟೈಲ್ ಸೆಕೆ ಉಂಡ್ಲಾಕ/ ಉಂಡ್ಲಿಗೆ ರೆಸಿಪಿ (ಮಿನಿ ಆವಿಯಲ್ಲಿ ಬೇಯಿಸಿದ ಸಿಹಿ ಕುಂಬಳಕಾಯಿಯ ಪಾಕವಿಧಾನ)</t>
  </si>
  <si>
    <t>1 ಕಪ್ ಅಕ್ಕಿ ಹಿಟ್ಟು, 1 ಪಿಂಚ್ ಉಪ್ಪು, 2 ಚಮಚ ಬೆಲ್ಲ, 4 ಚಮಚ ತಾಜಾ ತೆಂಗಿನಕಾಯಿ, 1 ಏಲಕ್ಕಿ (ಎಲೈಚಿ) ಬೀಜಗಳು/ಬೀಜಗಳು</t>
  </si>
  <si>
    <t>1 cup Rice flour,1 pinch Salt,2 tablespoon Jaggery,4 tablespoon Fresh coconut,1 Cardamom (Elaichi) Pods/Seeds</t>
  </si>
  <si>
    <t xml:space="preserve">We begin making the Karnataka Style Seke Undlaka/ Undlige Recipe (Mini steamed sweet dumplings Recipe) by boiling water over a sauce. About 1/2 cup.Once it comes to a boil, add the rice flour with a pinch of salt. Then keep mixing till it combines.Once done switch it off, and by using ghee start making small dumpling when it is hot itself.Heat an idli or dhokla steamer and stream these dumplings for about 10 minutes. Keep it aside.Heat a pan, add the jaggery, coconut and cardamom. Leave the jaggery to melt and combine.Add these steamed dumplings and coat it nicely with this sweet mixture. Serve the Karnataka Style Seke Undlaka/ Undlige Recipe (Mini steamed sweet dumplings Recipe) after a nice meal of Mavinakayi Chitranna Recipe (Spiced Raw Mango Tempered Rice) or Avalakki Bisi Bele Bhat Recipe.
</t>
  </si>
  <si>
    <t xml:space="preserve">ನಾವು ಸಾಸ್ ಮೇಲೆ ನೀರನ್ನು ಕುದಿಸುವ ಮೂಲಕ ಕರ್ನಾಟಕ ಸ್ಟೈಲ್ ಸೆಕೆ ಉಂಡ್ಲಾಕಾ/ಉಂಡ್ಲಿಗೆ ರೆಸಿಪಿ (ಮಿನಿ ಸ್ಟೀಮ್ಡ್ ಸಿಹಿ ಡಂಪ್ಲಿಂಗ್ಸ್ ರೆಸಿಪಿ) ತಯಾರಿಸಲು ಪ್ರಾರಂಭಿಸುತ್ತೇವೆ. ಸುಮಾರು 1/2 ಕಪ್. ಅದು ಕುದಿ ಬಂದ ನಂತರ, ಅಕ್ಕಿ ಹಿಟ್ಟನ್ನು ಚಿಟಿಕೆ ಉಪ್ಪಿನೊಂದಿಗೆ ಸೇರಿಸಿ. ನಂತರ ಅದು ಒಗ್ಗೂಡುವವರೆಗೆ ಮಿಶ್ರಣ ಮಾಡಿ. ಒಮ್ಮೆ ಮಾಡಿದ ನಂತರ ಅದನ್ನು ಸ್ವಿಚ್ ಆಫ್ ಮಾಡಿ ಮತ್ತು ತುಪ್ಪವನ್ನು ಬಳಸಿ ಅದು ಬಿಸಿಯಾಗಿರುವಾಗ ಸಣ್ಣ ಡಂಪ್ಲಿಂಗ್ ಮಾಡಲು ಪ್ರಾರಂಭಿಸಿ. ಇಡ್ಲಿ ಅಥವಾ ಧೋಕ್ಲಾ ಸ್ಟೀಮರ್ ಅನ್ನು ಬಿಸಿ ಮಾಡಿ ಮತ್ತು ಸುಮಾರು 10 ನಿಮಿಷಗಳ ಕಾಲ ಈ dumplings ಅನ್ನು ಸ್ಟ್ರೀಮ್ ಮಾಡಿ. ಅದನ್ನು ಪಕ್ಕಕ್ಕೆ ಇರಿಸಿ. ಪ್ಯಾನ್ ಅನ್ನು ಬಿಸಿ ಮಾಡಿ, ಬೆಲ್ಲ, ತೆಂಗಿನಕಾಯಿ ಮತ್ತು ಏಲಕ್ಕಿ ಸೇರಿಸಿ. ಬೆಲ್ಲವನ್ನು ಕರಗಿಸಲು ಮತ್ತು ಸಂಯೋಜಿಸಲು ಬಿಡಿ. ಈ ಆವಿಯಲ್ಲಿ ಬೇಯಿಸಿದ ಡಂಪ್ಲಿಂಗ್‌ಗಳನ್ನು ಸೇರಿಸಿ ಮತ್ತು ಈ ಸಿಹಿ ಮಿಶ್ರಣದೊಂದಿಗೆ ಚೆನ್ನಾಗಿ ಲೇಪಿಸಿ. ಮಾವಿನಕಾಯಿ ಚಿತ್ರಾನ್ನ ರೆಸಿಪಿ (ಮಸಾಲೆಯುಕ್ತ ಹಸಿ ಮಾವಿನಕಾಯಿ ಟೆಂಪರ್ಡ್ ರೈಸ್) ಅಥವಾ ಅವಲಕ್ಕಿ ಬಿಸಿ ಬೇಳೆ ಭಾತ್ ರೆಸಿಪಿಯ ಉತ್ತಮ ಊಟದ ನಂತರ ಕರ್ನಾಟಕ ಸ್ಟೈಲ್ ಸೆಕೆ ಉಂಡ್ಲಾಕ/ ಉಂಡ್ಲಿಗೆ ರೆಸಿಪಿ (ಮಿನಿ ಆವಿಯಲ್ಲಿ ಬೇಯಿಸಿದ ಸಿಹಿ ಡಂಪ್ಲಿಂಗ್ಸ್ ರೆಸಿಪಿ) ಅನ್ನು ಬಡಿಸಿ.
</t>
  </si>
  <si>
    <t>https://www.archanaskitchen.com/karantaka-style-seke-undlaka-undlige-recipe-mini-steamed-sweet-dumplings-recipe</t>
  </si>
  <si>
    <t>Chicken Donne Biryani Recipe - Bangalore Shivaji Military Style</t>
  </si>
  <si>
    <t>ಚಿಕನ್ ಡೊನ್ನೆ ಬಿರಿಯಾನಿ ರೆಸಿಪಿ - ಬೆಂಗಳೂರು ಶಿವಾಜಿ ಮಿಲಿಟರಿ ಶೈಲಿ</t>
  </si>
  <si>
    <t>500 ಗ್ರಾಂ ಚಿಕನ್ - ತೊಳೆದು ಸ್ವಚ್ಛಗೊಳಿಸಿದ, 1/2 ಕಪ್ ಮೊಸರು (ದಹಿ / ಮೊಸರು), 1 1/2 ಟೀಚಮಚ ಅರಿಶಿನ ಪುಡಿ (ಹಲ್ದಿ), 1 ಟೀಚಮಚ ನಿಂಬೆ ರಸ, ಉಪ್ಪು - ರುಚಿಗೆ, 1/2 ಕಪ್ ಕೊತ್ತಂಬರಿ (ಧನಿಯಾ) ಎಲೆಗಳು, 1/4 ಕಪ್ ಪುದೀನಾ (ಪುದೀನಾ) ಎಲೆಗಳು, 1/4 ಕಪ್ ಪುದೀನಾ ಎಲೆಗಳು (ಪುದೀನಾ) ತೊಳೆದು ನೆನೆಸಿದ, 2 ಟೇಬಲ್ಸ್ಪೂನ್ ಸೂರ್ಯಕಾಂತಿ ಎಣ್ಣೆ, 1 ಬೇ ಎಲೆ (ತೇಜ್ ಪಟ್ಟಾ), 1 ಇಂಚಿನ ದಾಲ್ಚಿನ್ನಿ ಕಡ್ಡಿ (ದಾಲ್ಚಿನಿ), 2 ಲವಂಗ (ಲಾಂಗ್), 1 ಏಲಕ್ಕಿ (ಎಲೈಚಿ) ಕಾಳುಗಳು / ಬೀಜಗಳು, 2 ಸ್ಟಾರ್ ಸೋಂಪು, 2 ಈರುಳ್ಳಿ - ತೆಳುವಾಗಿ ಕತ್ತರಿಸಿದ, 1 1/2 ಟೇಬಲ್ಸ್ಪೂನ್ ಶುಂಠಿ, ನುಣ್ಣಗೆ ಕತ್ತರಿಸಿದ ಶುಂಠಿ - 1 ಚಮಚ ಕತ್ತರಿಸಿದ, ಉಪ್ಪು - ರುಚಿಗೆ</t>
  </si>
  <si>
    <t>500 grams Chicken - washed and cleaned,1/2 cup Curd (Dahi / Yogurt),1 1/2 teaspoon Turmeric powder (Haldi),1 teaspoon Lemon juice,Salt - to taste,1/2 cup Coriander (Dhania) Leaves,1/4 cup Mint Leaves (Pudina),4 Green Chillies,1 1/2 cups Seeraga (Jeeraga) Samba rice - washed and soaked,2 tablespoons Sunflower Oil,1 Bay leaf (tej patta),1 inch Cinnamon Stick (Dalchini),2 Cloves (Laung),1 Cardamom (Elaichi) Pods/Seeds,2 Star anise,2 Onions - thinly sliced,1 1/2 tablespoons Ginger - finely chopped,1 1/2 tablespoons Garlic - finely chopped,Salt - to taste</t>
  </si>
  <si>
    <t xml:space="preserve">To begin making the Chicken Donne Biryani Recipe, thoroughly clean and wash the chicken pieces.*For the marinationIn a large mixing bowl combine the chicken, yogurt, turmeric powder, salt and lemon juice. Nicely massage the chicken for 5 minutes and then allow it to rest for a minimum of 30 minutes.*For the green biryani masalaIn a mixer-jar combine the coriander leaves, mint leaves, and green chilies and grind to a thick fine paste along with some water. Transfer to a bowl and set aside.To make the Donne Biryani, in a heavy bottomed pan, heat oil on medium flame, add all the whole spices including bay leaf, cinnamon stick, cloves, cardamom and star anise, let this sizzle.Once the whole spices have sizzled add ginger and garlic paste and the sliced onions, fry until the onions turn golden brown in colour. This will take about 5 minutes.  Once the ginger-garlic-onion mixture has cooked well, add in the chicken pieces along with the marinade. Mix and continue to cook the entire mixture for 5-7 more minutes, stirring continuously.Finally add in the freshly ground green biryani masala and washed and drained rice, 3 cups of water into the pan. Give the Chicken Donne Biryani a good mix and cover the pan. Turn the flame to the lowest heat.In a saucepan, boil water and turn off the flame and place this hot pan on the lid of the kadai. This process is done in order to seal the kadai in which the Chicken Donne Biryani is cooking. The heat from the hot water in the saucepan provides heat from the top.After 20-25 minutes open the lid to check if the chicken and rice is done. If its is done, lightly fluff up the Chicken Donne Biryani with a fork . Transfer the Donne Biryani into a serving plate and serve piping hot.Serve this Chicken Donne Biryani Recipe along with Pudina &amp; Dhaniya Raita Recipe, Roasted Papad and Satvik Carrot Sprout Salad for a hearty Sunday lunch.
</t>
  </si>
  <si>
    <t xml:space="preserve">ಚಿಕನ್ ಡೊನ್ನೆ ಬಿರಿಯಾನಿ ರೆಸಿಪಿಯನ್ನು ತಯಾರಿಸಲು ಪ್ರಾರಂಭಿಸಲು, ಚಿಕನ್ ತುಂಡುಗಳನ್ನು ಚೆನ್ನಾಗಿ ಸ್ವಚ್ಛಗೊಳಿಸಿ ಮತ್ತು ತೊಳೆಯಿರಿ.*ಮ್ಯಾರಿನೇಶನ್ಗಾಗಿ ದೊಡ್ಡ ಮಿಶ್ರಣ ಬಟ್ಟಲಿನಲ್ಲಿ ಚಿಕನ್, ಮೊಸರು, ಅರಿಶಿನ ಪುಡಿ, ಉಪ್ಪು ಮತ್ತು ನಿಂಬೆ ರಸವನ್ನು ಸೇರಿಸಿ. ಚಿಕನ್ ಅನ್ನು 5 ನಿಮಿಷಗಳ ಕಾಲ ಚೆನ್ನಾಗಿ ಮಸಾಜ್ ಮಾಡಿ ಮತ್ತು ನಂತರ ಅದನ್ನು ಕನಿಷ್ಠ 30 ನಿಮಿಷಗಳ ಕಾಲ ವಿಶ್ರಾಂತಿಗೆ ಬಿಡಿ.*ಹಸಿರು ಬಿರಿಯಾನಿ ಮಸಾಲಾಗೆ ಮಿಕ್ಸರ್-ಜಾರ್‌ನಲ್ಲಿ ಕೊತ್ತಂಬರಿ ಸೊಪ್ಪು, ಪುದೀನ ಎಲೆಗಳು ಮತ್ತು ಹಸಿರು ಮೆಣಸಿನಕಾಯಿಗಳನ್ನು ಸೇರಿಸಿ ಮತ್ತು ಸ್ವಲ್ಪ ನೀರಿನೊಂದಿಗೆ ದಪ್ಪವಾದ ನುಣ್ಣಗೆ ಪೇಸ್ಟ್‌ಗೆ ರುಬ್ಬಿಕೊಳ್ಳಿ. ಒಂದು ಬೌಲ್‌ಗೆ ವರ್ಗಾಯಿಸಿ ಮತ್ತು ಪಕ್ಕಕ್ಕೆ ಇರಿಸಿ. ದೊನ್ನೆ ಬಿರಿಯಾನಿ ಮಾಡಲು, ದಪ್ಪ ತಳದ ಬಾಣಲೆಯಲ್ಲಿ, ಮಧ್ಯಮ ಉರಿಯಲ್ಲಿ ಎಣ್ಣೆಯನ್ನು ಬಿಸಿ ಮಾಡಿ, ಬೇ ಎಲೆ, ದಾಲ್ಚಿನ್ನಿ ಕಡ್ಡಿ, ಲವಂಗ, ಏಲಕ್ಕಿ ಮತ್ತು ಸ್ಟಾರ್ ಸೋಂಪು ಸೇರಿದಂತೆ ಎಲ್ಲಾ ಮಸಾಲೆಗಳನ್ನು ಸೇರಿಸಿ, ಇದನ್ನು ಕುದಿಸಿ. ಇದು ಸುಮಾರು 5 ನಿಮಿಷಗಳನ್ನು ತೆಗೆದುಕೊಳ್ಳುತ್ತದೆ.  ಶುಂಠಿ-ಬೆಳ್ಳುಳ್ಳಿ-ಈರುಳ್ಳಿ ಮಿಶ್ರಣವನ್ನು ಚೆನ್ನಾಗಿ ಬೇಯಿಸಿದ ನಂತರ, ಮ್ಯಾರಿನೇಡ್ ಜೊತೆಗೆ ಚಿಕನ್ ತುಂಡುಗಳನ್ನು ಸೇರಿಸಿ. ಮಿಶ್ರಣ ಮಾಡಿ ಮತ್ತು ಸಂಪೂರ್ಣ ಮಿಶ್ರಣವನ್ನು 5-7 ನಿಮಿಷಗಳ ಕಾಲ ಬೇಯಿಸುವುದನ್ನು ಮುಂದುವರಿಸಿ, ನಿರಂತರವಾಗಿ ಬೆರೆಸಿ. ಅಂತಿಮವಾಗಿ ಹೊಸದಾಗಿ ನೆಲದ ಹಸಿರು ಬಿರಿಯಾನಿ ಮಸಾಲಾ ಮತ್ತು ತೊಳೆದು ಬರಿದು ಮಾಡಿದ ಅಕ್ಕಿ, 3 ಕಪ್ ನೀರನ್ನು ಪ್ಯಾನ್‌ಗೆ ಸೇರಿಸಿ. ಚಿಕನ್ ಡೊನ್ನೆ ಬಿರಿಯಾನಿಗೆ ಉತ್ತಮ ಮಿಶ್ರಣವನ್ನು ನೀಡಿ ಮತ್ತು ಪ್ಯಾನ್ ಅನ್ನು ಮುಚ್ಚಿ. ಜ್ವಾಲೆಯನ್ನು ಕಡಿಮೆ ಶಾಖಕ್ಕೆ ತಿರುಗಿಸಿ. ಒಂದು ಲೋಹದ ಬೋಗುಣಿಗೆ, ನೀರನ್ನು ಕುದಿಸಿ ಮತ್ತು ಜ್ವಾಲೆಯನ್ನು ಆಫ್ ಮಾಡಿ ಮತ್ತು ಈ ಬಿಸಿ ಪ್ಯಾನ್ ಅನ್ನು ಕಡಾಯಿಯ ಮುಚ್ಚಳದ ಮೇಲೆ ಇರಿಸಿ. ಚಿಕನ್ ದೊನ್ನೆ ಬಿರಿಯಾನಿ ಬೇಯಿಸುವ ಕಡಾಯಿಯನ್ನು ಮುಚ್ಚುವ ಸಲುವಾಗಿ ಈ ಪ್ರಕ್ರಿಯೆಯನ್ನು ಮಾಡಲಾಗುತ್ತದೆ. ಲೋಹದ ಬೋಗುಣಿ ಬಿಸಿ ನೀರಿನಿಂದ ಶಾಖವು ಮೇಲಿನಿಂದ ಶಾಖವನ್ನು ಒದಗಿಸುತ್ತದೆ. 20-25 ನಿಮಿಷಗಳ ನಂತರ ಚಿಕನ್ ಮತ್ತು ಅಕ್ಕಿ ಮಾಡಲಾಗುತ್ತದೆಯೇ ಎಂದು ಪರಿಶೀಲಿಸಲು ಮುಚ್ಚಳವನ್ನು ತೆರೆಯಿರಿ. ಅದು ಮುಗಿದರೆ, ಚಿಕನ್ ಡೊನ್ನೆ ಬಿರಿಯಾನಿಯನ್ನು ಫೋರ್ಕ್‌ನಿಂದ ಲಘುವಾಗಿ ನಯಗೊಳಿಸಿ. ಡೊನ್ನೆ ಬಿರಿಯಾನಿಯನ್ನು ಸರ್ವಿಂಗ್ ಪ್ಲೇಟ್‌ಗೆ ವರ್ಗಾಯಿಸಿ ಮತ್ತು ಬಿಸಿ ಬಿಸಿಯಾಗಿ ಬಡಿಸಿ. ಈ ಚಿಕನ್ ಡೊನ್ನೆ ಬಿರಿಯಾನಿ ರೆಸಿಪಿ  ಜೊತೆಗೆ ಪುದೀನಾ ಮತ್ತು ಧನಿಯಾ ರೈತಾ ರೆಸಿಪಿ,  ಹುರಿದ ಪಾಪಡ್ ಮತ್ತು ಸಾತ್ವಿಕ್ ಕ್ಯಾರೆಟ್ ಸ್ಪ್ರೌಟ್ ಸಲಾಡ್ ಜೊತೆಗೆ ಹೃತ್ಪೂರ್ವಕ ಭಾನುವಾರದ ಊಟಕ್ಕೆ ಬಡಿಸಿ.
</t>
  </si>
  <si>
    <t>http://www.archanaskitchen.com/chicken-donne-biryani-recipe-bangalore-shivaji-military-style</t>
  </si>
  <si>
    <t>Karnataka Style Orange Peels Curry Recipe</t>
  </si>
  <si>
    <t>ಕರ್ನಾಟಕ ಸ್ಟೈಲ್ ಆರೆಂಜ್ ಪೀಲ್ಸ್ ಕರಿ ರೆಸಿಪಿ</t>
  </si>
  <si>
    <t>2 ಕಿತ್ತಳೆ, ಹುಣಸೆಹಣ್ಣು - ದೊಡ್ಡ ನಿಂಬೆ ಗಾತ್ರ, 3 ಚಮಚ ಬೆಲ್ಲ - ಹೊಂದಾಣಿಕೆ, 1 ಚಮಚ ರಸಂ ಪುಡಿ, 1 ಚಮಚ ಕೆಂಪು ಮೆಣಸಿನ ಪುಡಿ, 1 ಚಮಚ ಅಕ್ಕಿ ಹಿಟ್ಟು, ಉಪ್ಪು - ರುಚಿಗೆ, 1 ಚಮಚ ಸೂರ್ಯಕಾಂತಿ ಎಣ್ಣೆ, 1 ಚಮಚ ಸಾಸಿವೆ, 1/2 ಚಮಚ ಜೀರಿಗೆ (ಜೀರಾ), 1/4 ಟೀ ಚಮಚ ಮೇಥಿ ಬೀಜಗಳು (ಮೆಂತ್ಯ 1 ಚಮಚ), ಮುರಿದ, 1 ಹಸಿರು ಮೆಣಸಿನಕಾಯಿ - ಸೀಳು, ಇಂಗು (ಹಿಂಗ್) - ಒಂದು ಚಿಟಿಕೆ, 1/4 ಟೀಚಮಚ ಅರಿಶಿನ ಪುಡಿ (ಹಲ್ಡಿ)</t>
  </si>
  <si>
    <t>2 Orange,Tamarind - big lemon size,3 tablespoon Jaggery - adjustable,1 teaspoon Rasam Powder,1 teaspoon Red Chilli powder,1 tablespoon Rice flour,Salt - to taste,1 tablespoon Sunflower Oil,1 teaspoon Mustard seeds,1/2 teaspoon Cumin seeds (Jeera),1/4 teaspoon Methi Seeds (Fenugreek Seeds),1 teaspoon White Urad Dal (Split),1 Dry Red Chilli - broken,1 Green Chilli - slit,Asafoetida (hing) - a pinch,1/4 teaspoon Turmeric powder (Haldi)</t>
  </si>
  <si>
    <t xml:space="preserve">To begin making the Karnataka Style Orange Peels Curry recipe, Peel out 2 oranges. Gently scrape the white region from the orange peel using a spoon. Remove as much as possible as this will reduce the bitterness .Chop the orange peels finely.Soak tamarind in water. After it's soaked well, squeeze out tamarind water and keep aside.Heat oil in a heavy bottomed pan and temper with mustard seeds, urad dal, cumin seeds &amp; fenugreek seeds. When it splutters add curry leaves, red chilli powder, green chilli, hing and turmeric powder. Mix and add chopped orange peel. Fry for 4-5 minutes.Later add tamarind water, salt, jaggery, red chilli powder and rasam powder. Add some water and close the lid. Keep the flame on low medium and allow the peel to cook well. Mix in between.Meanwhile  in a mixing bowl, mix rice flour in water such that no lumps are formed.When orange peels are cooked well, add the rice flour mix to the curry and allow it to boil for 1-2 minutes. Adding rice flour gives nice thickness to the gravy. If the desired consistency is attained, switch off.Serve Karnataka Style Orange Peels Curry along with Cabbage Thoran and Whole Wheat Lachha Paratha for your weekday meal. It even tastes great with Steamed Rice.
</t>
  </si>
  <si>
    <t xml:space="preserve">ಕರ್ನಾಟಕ ಶೈಲಿಯ ಕಿತ್ತಳೆ ಸಿಪ್ಪೆಗಳ ಕರಿ ಪಾಕವಿಧಾನವನ್ನು ತಯಾರಿಸಲು ಪ್ರಾರಂಭಿಸಲು, 2 ಕಿತ್ತಳೆ ಸಿಪ್ಪೆ ತೆಗೆಯಿರಿ. ಚಮಚವನ್ನು ಬಳಸಿ ಕಿತ್ತಳೆ ಸಿಪ್ಪೆಯಿಂದ ಬಿಳಿ ಪ್ರದೇಶವನ್ನು ನಿಧಾನವಾಗಿ ಉಜ್ಜಿಕೊಳ್ಳಿ. ಸಾಧ್ಯವಾದಷ್ಟು ತೆಗೆಯಿರಿ ಇದರಿಂದ ಕಹಿ ಕಡಿಮೆಯಾಗುತ್ತದೆ .ಕಿತ್ತಳೆ ಸಿಪ್ಪೆಯನ್ನು ನುಣ್ಣಗೆ ಕತ್ತರಿಸಿ. ಹುಣಸೆ ಹಣ್ಣನ್ನು ನೀರಿನಲ್ಲಿ ನೆನೆಸಿಡಿ ಇದು ಚೆನ್ನಾಗಿ ನೆನೆಸಿದ ನಂತರ, ಹುಣಸೆಹಣ್ಣಿನ ನೀರನ್ನು ಹಿಂಡಿ ಮತ್ತು ಪಕ್ಕಕ್ಕೆ ಇರಿಸಿ. ಭಾರೀ ತಳದ ಬಾಣಲೆಯಲ್ಲಿ ಎಣ್ಣೆಯನ್ನು ಬಿಸಿ ಮಾಡಿ ಮತ್ತು ಸಾಸಿವೆ ಕಾಳುಗಳು, ಉದ್ದಿನ ಬೇಳೆ, ಜೀರಿಗೆ ಮತ್ತು ಮೆಂತ್ಯ ಕಾಳುಗಳೊಂದಿಗೆ ಹದಗೊಳಿಸಿ. ಅದು ಚೆಲ್ಲಿದಾಗ ಕರಿಬೇವು, ಕೆಂಪು ಮೆಣಸಿನ ಪುಡಿ, ಹಸಿರು ಮೆಣಸಿನಕಾಯಿ, ಹಿಂಗನ್ನು ಮತ್ತು ಅರಿಶಿನ ಪುಡಿಯನ್ನು ಸೇರಿಸಿ. ಮಿಶ್ರಣ ಮತ್ತು ಕತ್ತರಿಸಿದ ಕಿತ್ತಳೆ ಸಿಪ್ಪೆ ಸೇರಿಸಿ. 4-5 ನಿಮಿಷಗಳ ಕಾಲ ಫ್ರೈ ಮಾಡಿ. ನಂತರ ಹುಣಸೆಹಣ್ಣು ನೀರು, ಉಪ್ಪು, ಬೆಲ್ಲ, ಕೆಂಪು ಮೆಣಸಿನ ಪುಡಿ ಮತ್ತು ರಸಂ ಪುಡಿ ಸೇರಿಸಿ. ಸ್ವಲ್ಪ ನೀರು ಸೇರಿಸಿ ಮತ್ತು ಮುಚ್ಚಳವನ್ನು ಮುಚ್ಚಿ. ಜ್ವಾಲೆಯನ್ನು ಕಡಿಮೆ ಮಧ್ಯಮದಲ್ಲಿ ಇರಿಸಿ ಮತ್ತು ಸಿಪ್ಪೆಯನ್ನು ಚೆನ್ನಾಗಿ ಬೇಯಿಸಲು ಅನುಮತಿಸಿ. ಮಧ್ಯದಲ್ಲಿ ಮಿಶ್ರಣ ಮಾಡಿ. ಅಷ್ಟರಲ್ಲಿ  ಮಿಕ್ಸಿಂಗ್ ಬೌಲ್‌ನಲ್ಲಿ, ಯಾವುದೇ ಉಂಡೆಗಳು ಉಂಟಾಗದಂತೆ ನೀರಿನಲ್ಲಿ ಅಕ್ಕಿ ಹಿಟ್ಟನ್ನು ಮಿಶ್ರಣ ಮಾಡಿ. ಕಿತ್ತಳೆ ಸಿಪ್ಪೆಗಳು ಚೆನ್ನಾಗಿ ಬೇಯಿಸಿದಾಗ, ಅಕ್ಕಿ ಹಿಟ್ಟಿನ ಮಿಶ್ರಣವನ್ನು ಮೇಲೋಗರಕ್ಕೆ ಸೇರಿಸಿ ಮತ್ತು ಅದನ್ನು 1-2 ನಿಮಿಷಗಳ ಕಾಲ ಕುದಿಸಲು ಬಿಡಿ. ಅಕ್ಕಿ ಹಿಟ್ಟು ಸೇರಿಸುವುದರಿಂದ ಗ್ರೇವಿಗೆ ಒಳ್ಳೆಯ ದಪ್ಪ ಬರುತ್ತದೆ. ಬಯಸಿದ ಸ್ಥಿರತೆಯನ್ನು ಸಾಧಿಸಿದರೆ, ಸ್ವಿಚ್ ಆಫ್ ಮಾಡಿ. ನಿಮ್ಮ ವಾರದ ದಿನದ ಊಟಕ್ಕೆ ಕರ್ನಾಟಕ ಶೈಲಿಯ ಕಿತ್ತಳೆ ಸಿಪ್ಪೆಗಳ ಕರಿಯನ್ನು  ಎಲೆಕೋಸು ತೋರನ್ ಮತ್ತು ಇಡೀ ಗೋಧಿ ಲಚ್ಚಾ ಪರಾಠ  ಜೊತೆಗೆ ಬಡಿಸಿ. ಇದು ಸ್ಟೀಮ್ಡ್ ರೈಸ್‌ನೊಂದಿಗೆ ಸಹ ಉತ್ತಮ ರುಚಿಯನ್ನು ನೀಡುತ್ತದೆ.
</t>
  </si>
  <si>
    <t>https://www.archanaskitchen.com/karnataka-style-orange-peels-curry-recipe</t>
  </si>
  <si>
    <t>Khara Bhath Recipe-South Indian Rava Bhath</t>
  </si>
  <si>
    <t>ಖಾರಾ ಭಾತ್ ರೆಸಿಪಿ-ದಕ್ಷಿಣ ಭಾರತೀಯ ರವಾ ಭಾತ್</t>
  </si>
  <si>
    <t>1 ಕಪ್ ಸೂಜಿ (ರವೆ/ ರವಾ), 1 ಈರುಳ್ಳಿ - ಸಣ್ಣದಾಗಿ ಕೊಚ್ಚಿದ, 1 ಟೊಮೆಟೊ - ಕತ್ತರಿಸಿದ, 1 ಹಸಿರು ಬೆಲ್ ಪೆಪ್ಪರ್ (ಕ್ಯಾಪ್ಸಿಕಂ) - ಕತ್ತರಿಸಿದ, 3/4 ಕಪ್ ಮಿಶ್ರ ತರಕಾರಿಗಳು - (ಬೀನ್ಸ್, 1 ಶುಂಠಿ - ಸಣ್ಣದಾಗಿ ಕೊಚ್ಚಿದ, 2 ಹಸಿರು ಮೆಣಸಿನಕಾಯಿಗಳು - ಸೀಳು, 3 ಟೀ ಚಮಚ ವಾಂಗಿ ಬಾತ್ ನೀರು, 3 ಚಮಚ ಲೀ ಬಾತ್ ನೀರು, 3 ಡಿ. ಎಲೆಗಳು - ಅಲಂಕರಿಸಲು (ಅಗತ್ಯವಿದ್ದಷ್ಟು), ತಾಜಾ ತೆಂಗಿನಕಾಯಿ - ಅಲಂಕರಿಸಲು ತುರಿದ (ಅಗತ್ಯವಿದ್ದಷ್ಟು), ಉಪ್ಪು - ರುಚಿಗೆ, 1 ಟೀಚಮಚ ಸಾಸಿವೆ, 1 ಟೀಚಮಚ ಬಿಳಿ ಉದ್ದಿನ ಬೇಳೆ (ಒಡೆದ), 1/2 ಟೀಚಮಚ ಚನಾ ದಾಲ್ (ಬಂಗಾಳ ಬೇಳೆ), 1 ಗೋಡಂಬಿ - ಕೆಲವು, 1 ಕರಿಬೇವಿನ ಎಲೆಗಳು - ಕೆಲವು, 1 ಒಣ ಕೆಂಪು ಮೆಣಸಿನಕಾಯಿಗಳು (ತುರಿದ ಕೆಂಪು ಮೆಣಸಿನಕಾಯಿಗಳು) ಎಣ್ಣೆ - ಬೇಯಿಸಲು, 1 ಚಮಚ ತುಪ್ಪ</t>
  </si>
  <si>
    <t>1 cup Sooji (Semolina/ Rava),1 Onion - finely chopped,1 Tomato - chopped,1 Green Bell Pepper (Capsicum) - chopped,3/4 cup Mixed vegetables - (beans,1 Ginger - finely chopped,2 Green Chillies - slit,3 teaspoons Vangi Bath Powder,3 cups Water,1/2 Lemon,Coriander (Dhania) Leaves - to garnish (as required),Fresh coconut - grated to garnish (as required),Salt - to taste,1 teaspoon Mustard seeds,1 teaspoon White Urad Dal (Split),1/2 teaspoon Chana dal (Bengal Gram Dal),1 Cashew nuts - few,1 Curry leaves - few,1 Dry Red Chillies - broken,1 pinch Turmeric powder (Haldi),Sunflower Oil - to cook,1 tablespoon Ghee</t>
  </si>
  <si>
    <t xml:space="preserve">To start making the Khara Bhath Recipe, get all the ingredients handy. Start with dry roasting rava on medium flame in a pan and keep stirring to avoid darkening. Saute until roasted well and aromatic. Keep aside.To temper, pick all the required ingredients. Add oil and ghee in a kadai. Once hot, add mustard. Upon spluttering, add urad and chana dal.Once they seem crisp and lightly browned, add chopped onions and capsicum. Saute till tender and onions appear translucent.Add chopped veggies, a little salt, turmeric and saute till the vegetables becomes tender. Add vangibhath powder and mix well.Add 3 cups of water and salt. Once the mixture starts boiling, simmer the flame and gradually add roasted rava. While adding it in one hand, keep swirling and mixing the mixture to avoid lumps in Khara Bhath.Once all the rava is added and mixed, close the lid and wait for 2-3 minutes to allow the rava to be cooked.Switch off flame, scoop the Khara Bhat Recipe out and serve garnished with chopped coriander leaves and coconut.Serve Khara Bhath along with South Indian Coconut Chutney and Masala Chai for your weekday breakfast.
</t>
  </si>
  <si>
    <t xml:space="preserve">ಖಾರಾ ಭಾತ್ ಪಾಕವಿಧಾನವನ್ನು ತಯಾರಿಸಲು ಪ್ರಾರಂಭಿಸಲು, ಎಲ್ಲಾ ಪದಾರ್ಥಗಳನ್ನು ಕೈಗೆತ್ತಿಕೊಳ್ಳಿ. ಬಾಣಲೆಯಲ್ಲಿ ಮಧ್ಯಮ ಉರಿಯಲ್ಲಿ ಒಣ ಹುರಿಯುವ ರವೆಯೊಂದಿಗೆ ಪ್ರಾರಂಭಿಸಿ ಮತ್ತು ಕಪ್ಪಾಗುವುದನ್ನು ತಪ್ಪಿಸಲು ಬೆರೆಸಿ. ಚೆನ್ನಾಗಿ ಹುರಿದು ಪರಿಮಳ ಬರುವವರೆಗೆ ಹುರಿಯಿರಿ. ಪಕ್ಕಕ್ಕೆ ಇರಿಸಿ. ಹದಗೊಳಿಸಲು, ಅಗತ್ಯವಿರುವ ಎಲ್ಲಾ ಪದಾರ್ಥಗಳನ್ನು ಆರಿಸಿ. ಕಡಾಯಿಯಲ್ಲಿ ಎಣ್ಣೆ ಮತ್ತು ತುಪ್ಪ ಸೇರಿಸಿ. ಬಿಸಿಯಾದ ನಂತರ ಸಾಸಿವೆ ಹಾಕಿ. ಚೆಲ್ಲಾಪಿಲ್ಲಿಯಾದ ಮೇಲೆ, ಉದ್ದಿನಬೇಳೆ ಮತ್ತು ಚನಾ ದಾಲ್ ಅನ್ನು ಸೇರಿಸಿ. ಒಮ್ಮೆ ಅವು ಗರಿಗರಿಯಾದ ಮತ್ತು ಸ್ವಲ್ಪ ಕಂದು ಬಣ್ಣಕ್ಕೆ ಬಂದಂತೆ ತೋರಿದರೆ, ಕತ್ತರಿಸಿದ ಈರುಳ್ಳಿ ಮತ್ತು ಕ್ಯಾಪ್ಸಿಕಂ ಸೇರಿಸಿ. ಕೋಮಲವಾಗುವವರೆಗೆ ಮತ್ತು ಈರುಳ್ಳಿ ಅರೆಪಾರದರ್ಶಕವಾಗುವವರೆಗೆ ಹುರಿಯಿರಿ. ಕತ್ತರಿಸಿದ ತರಕಾರಿಗಳು, ಸ್ವಲ್ಪ ಉಪ್ಪು, ಅರಿಶಿನ ಸೇರಿಸಿ ಮತ್ತು ತರಕಾರಿಗಳು ಕೋಮಲವಾಗುವವರೆಗೆ ಹುರಿಯಿರಿ. ವಾಂಗಿಭಾತ್ ಪುಡಿಯನ್ನು ಸೇರಿಸಿ ಮತ್ತು ಚೆನ್ನಾಗಿ ಮಿಶ್ರಣ ಮಾಡಿ. 3 ಕಪ್ ನೀರು ಮತ್ತು ಉಪ್ಪು ಸೇರಿಸಿ. ಮಿಶ್ರಣವು ಕುದಿಯಲು ಪ್ರಾರಂಭಿಸಿದ ನಂತರ, ಜ್ವಾಲೆಯನ್ನು ಕುದಿಸಿ ಮತ್ತು ಕ್ರಮೇಣ ಹುರಿದ ರವೆಯನ್ನು ಸೇರಿಸಿ. ಇದನ್ನು ಒಂದು ಕೈಯಲ್ಲಿ ಸೇರಿಸುವಾಗ, ಖಾರ ಭಾತ್‌ನಲ್ಲಿ ಉಂಡೆಗಳನ್ನು ತಪ್ಪಿಸಲು ಮಿಶ್ರಣವನ್ನು ಸುತ್ತುತ್ತಿರಿ ಮತ್ತು ಮಿಶ್ರಣ ಮಾಡಿ. ಎಲ್ಲಾ ರವೆ ಸೇರಿಸಿ ಮಿಶ್ರಣ ಮಾಡಿದ ನಂತರ, ಮುಚ್ಚಳವನ್ನು ಮುಚ್ಚಿ ಮತ್ತು ರವಾ ಬೇಯಿಸಲು ಅನುಮತಿಸಲು 2-3 ನಿಮಿಷಗಳ ಕಾಲ ಕಾಯಿರಿ. ಉರಿಯನ್ನು ಆಫ್ ಮಾಡಿ, ಖಾರ ಭಾತ್ ರೆಸಿಪಿಯನ್ನು ಸ್ಕೂಪ್ ಮಾಡಿ ಮತ್ತು ಕತ್ತರಿಸಿದ ತೆಂಗಿನಕಾಯಿ ಎಲೆಗಳೊಂದಿಗೆ ಅಲಂಕರಿಸಿ ಬಡಿಸಿ. ನಿಮ್ಮ ವಾರದ ದಿನದ ಉಪಹಾರಕ್ಕಾಗಿ ಭಾರತೀಯ ತೆಂಗಿನಕಾಯಿ ಚಟ್ನಿ ಮತ್ತು ಮಸಾಲಾ ಚಾಯ್.
</t>
  </si>
  <si>
    <t>http://www.archanaskitchen.com/khara-bhath-recipe-south-indian-rava-bhath</t>
  </si>
  <si>
    <t>Lentil Dosa</t>
  </si>
  <si>
    <t>ಬೇಲೆ ದೋಸಾ ರೆಸಿಪಿ - ಲೆಂಟಿಲ್ ದೋಸೆ (ಹಿಂದಿಯಲ್ಲಿ ಪಾಕವಿಧಾನ)</t>
  </si>
  <si>
    <t>1 ಕಪ್ ಸಫೇದ ಉರದ ದಾಲ್ (ವಿಭಜನೆ), 1 ಕಪ್ ಪಿಲಿ ಮೂಂಗ್ ದಾಲ್,1 ಕಪ್ ಅರ್ಹ ದಾಲ್,2 ಕಪ್ ಚಾವಲ್,1/4 ಕೆಪಿ, 1 ಮೇ ಪಯಾಜ್,3 ಹರಿ ಮಿರ್ಚ್,1 ತಹನಿ ಕಢೀ ಪತ್ತಾ,1/4 ಕಪ್ ನಾರಿಯಲ್,2 ಛೋಟೆ ಚಮಚ್ಚ ನಾಮಕರ,5ಸ, ತಹನಿ ಹರಾ ಧನಿಯಾ</t>
  </si>
  <si>
    <t>1 कप सफेद उरद दाल (split),1 कप पिली मूंग दाल,1 कप अरहर दाल,2 कप चावल,1/4 कप मेथी के दाने,1 प्याज,3 हरी मिर्च,1 टहनी कढ़ी पत्ता,1/4 कप नारियल,2 छोटे चमच्च जीरा,नमक - स्वाद अनुसार,5 टहनी हरा धनिया</t>
  </si>
  <si>
    <t xml:space="preserve">To make Belle Dosa, first take saari, soak rice, fenugreek seeds and cumin seeds in water. Soak them overnight and next morning grind them in a mixer grinder with remaining ingredients and some water. To make the dosa, heat a dosa pan. After it is heated, pour some dosa mixture in it and with the help of a spoon, roll it in a circular motion and make dosa as per your liking. Pour some oil or ghee all around and let it cook till it turns brown on both sides. After one side is cooked, flip it and cook the other side as well. Serve hot. Serve Belle Dosa with Coconut Chutney and Mixed Vegetable Sambar for breakfast.
</t>
  </si>
  <si>
    <t xml:space="preserve">ಬೇಲೆ ದೋಸೆ ಭಿಗೋ ಲೆ. ಪೂರಿ ರತ ಭಿಗೋ ಕರ್ ರಖೆ ಮತ್ತು ಅಗಲಿ ದಿನ ಸುಬಹ ಮಿಕ್ಸರ್ ಗ್ರೈಂಡರ್ ನಲ್ಲಿ ಬಚಿ ಸಹ ಥೋಡೆ ಪಾನಿ ಕೆ ಸಾಥ್ ಪೀಸ್ ಲೆ. ದೋಸಾ ಬನಾನೆಗಾಗಿ, ಒಂದು ದೋಸಾ ತವಾ ಗರಂ ಕರೆಂ. ಗರಂ ಹೋನೆಗೆ ದಡದ ದೋಸೆ ಗೋಲ್ ಗೋಲ್ ಘುಮಾ ಕರ್ ಅಪನೇ ಅನುಸಾರ್ ದೋಸಾ ಬನಾ ಲೆ. ಚಾರೋ ತರಫ್ ಥೋಡಾ ತೇಲ್ ಯಾ ಘಿ ದಾಲೆ ಮತ್ತು ದೋನೋಂ ತರಫ್ ಸೆ ಭೂರಾ ಹೋನೆ ತಕ ಪಕೆ. ಒಂದು ತರಫ್ ಸೆ ಪಕನೇ ಕೆ ಬಾದ, ಉಸೇ ಪಲತೆ ಮತ್ತು ದೂಸರಿ ತರಫ್ ಸೆ ಭೀ ಪಕಾ ಲೆ. ಗರಾಮ ಗರಂ ಪರೋಸೆ.  ಬೇಳೆ ದೋಸಾ ಕೋ ನಾರಿಯಲ್ ಕಿ ಚಟನಿ ಅಥವಾ ಮಿಕ್ಸ್ಡ್ ವೆಜಿಟೇಬಲ್ ಸಾಂಬರ್‌ಗೆ ನಷ್ಟವನ್ನುಂಟುಮಾಡುತ್ತದೆ.
</t>
  </si>
  <si>
    <t>https://www.archanaskitchen.com/lentil-dosa-recipe-in-hindi</t>
  </si>
  <si>
    <t>Karwar Style Varan Kadhi Recipe - Toor Dal in Coconut Milk Curry</t>
  </si>
  <si>
    <t>ಕಾರವಾರ ಸ್ಟೈಲ್ ವರನ್ ಕಧಿ ರೆಸಿಪಿ - ತೆಂಗಿನ ಹಾಲಿನ ಕರಿಯಲ್ಲಿ ತೂರ್ ದಾಲ್</t>
  </si>
  <si>
    <t>1 ಕಪ್ ಅರ್ಹರ್ ದಾಲ್ (ಒಡೆದ ದಾಲ್), 1/2 ಟೀಚಮಚ ಅರಿಶಿನ ಪುಡಿ (ಹಲ್ದಿ), 1/4 ಟೀಚಮಚ ಇಂಗು (ಹಿಂಗ್), ಉಪ್ಪು - ರುಚಿಗೆ, 1/2 ಕಪ್ ತಾಜಾ ತೆಂಗಿನಕಾಯಿ - ತುರಿದ, 1 ಹಸಿರು ಮೆಣಸಿನಕಾಯಿ, 2 ಟೇಬಲ್ಸ್ಪೂನ್ ಬೆಲ್ಲ, 4 ಕೋಕಮ್ (ಮಲಬಾರ್ ಹುಣಸೆಹಣ್ಣು), ಉಪ್ಪು - ರುಚಿಗೆ</t>
  </si>
  <si>
    <t>1 cup Arhar dal (Split Toor Dal),1/2 teaspoon Turmeric powder (Haldi),1/4 teaspoon Asafoetida (hing),Salt - to taste,1/2 cup Fresh coconut - grated,1 Green Chilli,2 tablespoons Jaggery,4 Kokum (Malabar Tamarind),Salt - to taste</t>
  </si>
  <si>
    <t xml:space="preserve">To begin making the Karwar Style Varan Kadhi Recipe by cooking the dal in a pressure cooker with 2 cups water, salt and teaspoon of turmeric powder.Pressure cook it for 4 whistles, turn off the flame and allow the pressure to release naturally. Meanwhile, grind the coconut and green chilies in a grinder to a smooth paste. Keep it aside.Once the dal is cooked, using a masher, mash the dal into a smooth texture. Place the cooker on medium heat.Transfer the coconut mixture into the dal and mix it, later add some jaggery and kokum. Check for seasoning as per your taste. Keep stirring till it comes to a boil.Serve the Karwar Style Varan Kadhi Recipe along with Steamed Rice, Bharva Bhindi and Phulka to enjoy your comforting meal.
</t>
  </si>
  <si>
    <t xml:space="preserve">2 ಕಪ್ ನೀರು, ಉಪ್ಪು ಮತ್ತು ಟೀಚಮಚ ಅರಿಶಿನ ಪುಡಿಯೊಂದಿಗೆ ಪ್ರೆಶರ್ ಕುಕ್ಕರ್‌ನಲ್ಲಿ ದಾಲ್ ಅನ್ನು ಬೇಯಿಸುವ ಮೂಲಕ ಕಾರವಾರ ಸ್ಟೈಲ್ ವರಣ್ ಕಧಿ ರೆಸಿಪಿಯನ್ನು ತಯಾರಿಸಲು ಪ್ರಾರಂಭಿಸಲು. 4 ಸೀಟಿಗಳವರೆಗೆ ಅದನ್ನು ಕುಕ್ ಮಾಡಿ, ಜ್ವಾಲೆಯನ್ನು ಆಫ್ ಮಾಡಿ ಮತ್ತು ಒತ್ತಡವನ್ನು ನೈಸರ್ಗಿಕವಾಗಿ ಬಿಡುಗಡೆ ಮಾಡಲು ಅನುಮತಿಸಿ. ಈ ಮಧ್ಯೆ, ತೆಂಗಿನಕಾಯಿ ಮತ್ತು ಹಸಿಮೆಣಸಿನಕಾಯಿಯನ್ನು ಗ್ರೈಂಡರ್‌ನಲ್ಲಿ ನಯವಾದ ಪೇಸ್ಟ್‌ಗೆ ರುಬ್ಬಿಕೊಳ್ಳಿ. ಅದನ್ನು ಪಕ್ಕಕ್ಕೆ ಇರಿಸಿ. ದಾಲ್ ಅನ್ನು ಬೇಯಿಸಿದ ನಂತರ, ಮ್ಯಾಶರ್ ಅನ್ನು ಬಳಸಿ, ದಾಲ್ ಅನ್ನು ಮೃದುವಾದ ವಿನ್ಯಾಸಕ್ಕೆ ಮ್ಯಾಶ್ ಮಾಡಿ. ಕುಕ್ಕರ್ ಅನ್ನು ಮಧ್ಯಮ ಉರಿಯಲ್ಲಿ ಇರಿಸಿ. ತೆಂಗಿನಕಾಯಿ ಮಿಶ್ರಣವನ್ನು ದಾಲ್ಗೆ ವರ್ಗಾಯಿಸಿ ಮತ್ತು ಅದನ್ನು ಮಿಶ್ರಣ ಮಾಡಿ, ನಂತರ ಸ್ವಲ್ಪ ಬೆಲ್ಲ ಮತ್ತು ಕೋಕಮ್ ಸೇರಿಸಿ. ನಿಮ್ಮ ರುಚಿಗೆ ತಕ್ಕಂತೆ ಮಸಾಲೆಗಾಗಿ ಪರಿಶೀಲಿಸಿ. ಅದು ಕುದಿ ಬರುವವರೆಗೆ ಬೆರೆಸಿ. ಕಾರವಾರ ಶೈಲಿಯ ವರಣ್ ಕಧಿ ರೆಸಿಪಿಯನ್ನು ಆವಿಯಲ್ಲಿ ಬೇಯಿಸಿದ ಅನ್ನ, ಭರ್ವ ಭಿಂಡಿ ಮತ್ತು ಫುಲ್ಕಾ ಜೊತೆಗೆ ನಿಮ್ಮ ಸಾಂತ್ವನದ ಊಟವನ್ನು ಆನಂದಿಸಿ.
</t>
  </si>
  <si>
    <t>https://www.archanaskitchen.com/karwar-style-varan-kadhi-recipe</t>
  </si>
  <si>
    <t>Karnataka Style Ranjaka Recipe</t>
  </si>
  <si>
    <t>ಕರ್ನಾಟಕ ಸ್ಟೈಲ್ ರಂಜಕ ರೆಸಿಪಿ - Karnataka Style Ranjaka Recipe</t>
  </si>
  <si>
    <t>10 ಸುಖಿ ಲಾಲ ಮಿರ್ಚ್,1 ಛೋಟಾ ಚಮಚ್ಚ ಮೇಥಿಗೆ ದಾನೆ,1 ನಿಂಬೂ ಕಾ ರಸ,1 ಬಡ ಸಂಚಮ ತೇಲ,1 ಛೋಟಾ ಚಮಚ್ಚ ರೈ,1 ತಹನಿ ಕಢೀ ಪತ್ತಾ,ಹಿಂಗ - ಚುಟಕಿ ಭರ</t>
  </si>
  <si>
    <t>10 dry red chillies, 1 teaspoon of fenugreek seeds, 1 lemon juice, 1 tablespoon mustard oil, 1 teaspoon mustard oil, 1 sprig curry leaves, asafetida - a pinch</t>
  </si>
  <si>
    <t>"To make Karnataka Style Ranjaka, first boil dry red chillies in 1 cup water for 20 minutes. Switch off the gas, drain the water and keep it aside. Now in a mixer grinder add chillies along with fenugreek seeds, lemon juice and make a paste. Now for the tempering, heat oil in a tempering pan. Add mustard seeds and let it crackle for 10 seconds. Add curry leaves and let it cook for another 10 seconds. Add this tempering to the chutney and serve. Serve Karnataka Style Ranjaka with Yellow Pumpkin Daal, Palya, Tawa Paratha and Beetroot Pachadi for lunch."</t>
  </si>
  <si>
    <t xml:space="preserve">ಕರ್ನಾಟಕ ಸ್ಟೈಲ್ ರಂಜಕ ಬನಾನೆ ಗೆ ಲಿಯೇ ಸಬಸೆ ಪಹಲೆ ಸುಖಿ ಲಾಲ್ ಮಿರ್ಚ್ ಕೋ 1 ಕಪ್ ಪಾನಿ 20 ರಲ್ಲಿ ಉಬಾಲ್ ಲೇ. ಗೈಸ್ ಬಂದ ಕರೆಂ, ಪಾನಿ ನಿಕಾಲ್ ಲೆ ಮತ್ತು ಅಲಗ್ ಸೆ ರಖ್ ಲೆ. ಅಬ್ ಎಕ್ ಮಿಕ್ಸರ್ ಗ್ರೈಂಡರ್ ಮೆನ್ ಮಿರ್ಚ್ ಕೆ ಸಾಥ್ ಮೆಥಿ ಬೀಜ್, ನಿಂಬೂ ಕಾ ರಸ್ ಡೇಲ್ ಮತ್ತು ಡಾಲ್ ಪೇ.  ಅಬ್ ತಡಕೆ, ಒಂದು ತಡಕಾ ಪೈನ್ ಮೆಂ ತೇಲ್ ಗರಂ ಕರೆಂ. ಅದೇ ರೀತಿ ರೈ ಡೇಲ್ ಮತ್ತು 10 ಸೆಕೆಂಡ್‌ಗಳಿಗೆ ತಡಕಾನೆ ದೆ.ಕಡತಿ ಪತ್ತದ ಡಾಲೆ ಮತ್ತು 10 ಕೆ.ಎಸ್. ಮತ್ತು ಪಕನೇ ದೇ. ಇಸ್ ತಡಕೆ ಕೋ ಚಟನಿ ಮೆನ್ ಡಾಲೆ ಮತ್ತು ಪರೋಸೆ. ಕರ್ನಾಟಕ ಸ್ಟೈಲ್ ರಂಜಕಾ ಕೋ ಪಿಲಿ ಕದ್ದು ಕಿ ದಾಲ್, ಪಾಳ್ಯ, ತವ ಪರಾಠಾ ಮತ್ತು ಬೀಟರ್ ಕೆಟರ್ ಸಾಥ್ ದಿನ್ ಕೆ ಖಾನೆಗಾಗಿ ಪರೋಸೆ.
</t>
  </si>
  <si>
    <t>https://www.archanaskitchen.com/karnataka-style-ranjaka-recipe-red-chili-chutney-recipe-in-hindi</t>
  </si>
  <si>
    <t>Surti Obbattu Recipe - Fruit &amp; Nut Pooris In Saffron Milk</t>
  </si>
  <si>
    <t>ಸೂರ್ತಿ ಒಬ್ಬಟ್ಟು ರೆಸಿಪಿ - ಕೇಸರಿ ಹಾಲಿನಲ್ಲಿ ಹಣ್ಣು ಮತ್ತು ಕಾಯಿ ಪೂರಿ</t>
  </si>
  <si>
    <t>1 ಕಪ್ ಸೂಜಿ (ರವೆ/ ರವೆ) - ನುಣ್ಣಗೆ, 1/4 ಕಪ್ ಆಲ್ ಪರ್ಪಸ್ ಹಿಟ್ಟು (ಮೈದಾ), 2 ಚಮಚ ತುಪ್ಪ, ಸೂರ್ಯಕಾಂತಿ ಎಣ್ಣೆ - ಹುರಿಯಲು, ಗುಲಾಬಿ ದಳಗಳು - ಅಲಂಕರಿಸಲು, 100 ಗ್ರಾಂ ಬಾದಾಮ್ (ಬಾದಾಮಿ) - ಸರಿಸುಮಾರು ಕತ್ತರಿಸಿದ, 25 ಗ್ರಾಂ ಗೋಡಂಬಿ ಚೂರುಗಳು - 1 ಚಮಚ, 2 ಚಮಚಗಳು (ಐಚ್ಛಿಕ), 1/2 ಟೀಚಮಚ ಏಲಕ್ಕಿ ಪುಡಿ (ಎಲೈಚಿ), 1-1/2 ಕಪ್ ತಾಜಾ ತೆಂಗಿನಕಾಯಿ - ತುರಿದ, 2 ಟೇಬಲ್ಸ್ಪೂನ್ ಸಕ್ಕರೆ, 3 ಕಪ್ ಹಾಲು, 8 ಟೇಬಲ್ಸ್ಪೂನ್ ಸಕ್ಕರೆ, 16 ಕೇಸರಿ ಎಳೆಗಳು, 1 ಕಪ್ ಹಾಲು, 4 ಟೇಬಲ್ಸ್ಪೂನ್ ಸಕ್ಕರೆ, 12 ಕೇಸರಿ ಎಳೆಗಳು, 70 ಗ್ರಾಂ ಬಾದಾಮ್ (ರಾತ್ರಿಯಲ್ಲಿ ನೆನೆಸಿದ ಬಾದಾಮಿ) -</t>
  </si>
  <si>
    <t>1 cup Sooji (Semolina/ Rava) - fine,1/4 cup All Purpose Flour (Maida),2 tablespoon Ghee,Sunflower Oil - for frying,Rose Petals - for garnish,100 grams Badam (Almond) - roughly chopped,25 grams Cashew nuts - roughly chopped,25 grams Sultanas,1 tablespoon Gulkand - as required (optional),1/2 teaspoon Cardamom Powder (Elaichi),1-1/2 cup Fresh coconut - grated,2 tablespoons Sugar,3 cups Milk,8 tablespoons Sugar,16 Saffron strands,1 cup Milk,4 tablespoons Sugar,12 Saffron strands,70 grams Badam (Almond) - (soaked overnight and peeled)</t>
  </si>
  <si>
    <t xml:space="preserve">To prepare Surti Obbattu, mix semolina, maida, 1 tablespoon of ghee and enough water to make a soft dough, cover and set it aside for 30 minutes to rest.Add the remaining ghee in a pan and roast the almond, cashews, sultanas and coconut on a low flame and toss in the sugar and cardamom and cook until any water evaporates. Dish it into a bowl.In a pan, add all the ingredients for soaking surti obbattu and bring it to a boil and let it cool until use. This is to warm when needed.In a mixer jar, add the soaked and peeled almonds and grind coarsely. Add this along with the other ingredients for the badam milk to be spooned on top of soaked surti obbattu and bring it to a boil in a pan and turn off the flame and set aside until needed, to cool it as well.Divide the dough into 8 portions and roll it out into pooris and deep fry in hot oil. This must be done quickly and must not sit in the oil for too long. These pooris need not be crispy.Now dip this one at a time into the soaking milk and let it sit for 30 seconds to 1 minute, take it on to a plate, center the dry fruit mixture and roll it into cylindrical rolls. You can also use Rose gulkand along with the dry fruit mixture into the rolls.Spoon the thick Badam milk on top and garnish with Rose petals.
</t>
  </si>
  <si>
    <t xml:space="preserve">ಸೂರ್ತಿ ಒಬ್ಬಟ್ಟು ತಯಾರಿಸಲು, ರವೆ, ಮೈದಾ, 1 ಚಮಚ ತುಪ್ಪ ಮತ್ತು ಸಾಕಷ್ಟು ನೀರು ಬೆರೆಸಿ ಮೃದುವಾದ ಹಿಟ್ಟನ್ನು ತಯಾರಿಸಿ, ಮುಚ್ಚಿ ಮತ್ತು 30 ನಿಮಿಷಗಳ ಕಾಲ ವಿಶ್ರಾಂತಿಗಾಗಿ ಪಕ್ಕಕ್ಕೆ ಇರಿಸಿ. ಉಳಿದ ತುಪ್ಪವನ್ನು ಬಾಣಲೆಯಲ್ಲಿ ಸೇರಿಸಿ ಮತ್ತು ಬಾದಾಮಿ, ಗೋಡಂಬಿ, ಸುಲ್ತಾನ ಮತ್ತು ತೆಂಗಿನಕಾಯಿಯನ್ನು ಕಡಿಮೆ ಉರಿಯಲ್ಲಿ ಹುರಿದು ಸಕ್ಕರೆ ಮತ್ತು ಏಲಕ್ಕಿಯನ್ನು ಬೇಯಿಸಿ. ಇದನ್ನು ಒಂದು ಬಟ್ಟಲಿನಲ್ಲಿ ಡಿಶ್ ಮಾಡಿ. ಒಂದು ಪ್ಯಾನ್‌ನಲ್ಲಿ, ಸೂರ್ತಿ ಒಬ್ಬಟ್ಟು ನೆನೆಸಲು ಎಲ್ಲಾ ಪದಾರ್ಥಗಳನ್ನು ಸೇರಿಸಿ ಮತ್ತು ಅದನ್ನು ಕುದಿಸಿ ಮತ್ತು ಅದನ್ನು ಬಳಸುವವರೆಗೆ ತಣ್ಣಗಾಗಲು ಬಿಡಿ. ಇದು ಅಗತ್ಯವಿದ್ದಾಗ ಬೆಚ್ಚಗಾಗಲು. ಮಿಕ್ಸರ್ ಜಾರ್‌ನಲ್ಲಿ ನೆನೆಸಿದ ಮತ್ತು ಸಿಪ್ಪೆ ಸುಲಿದ ಬಾದಾಮಿಯನ್ನು ಸೇರಿಸಿ ಮತ್ತು ಒರಟಾಗಿ ರುಬ್ಬಿಕೊಳ್ಳಿ. ನೆನೆಸಿದ ಸೂರ್ತಿ ಒಬ್ಬಟ್ಟು ಮೇಲೆ ಚಮಚ ಮಾಡಲು ಬಾದಾಮ್ ಹಾಲಿನ ಇತರ ಸಾಮಾಗ್ರಿಗಳೊಂದಿಗೆ ಇದನ್ನು ಸೇರಿಸಿ ಮತ್ತು ಅದನ್ನು ಬಾಣಲೆಯಲ್ಲಿ ಕುದಿಸಿ ಮತ್ತು ಜ್ವಾಲೆಯನ್ನು ಆಫ್ ಮಾಡಿ ಮತ್ತು ಅಗತ್ಯವಿರುವವರೆಗೆ ಪಕ್ಕಕ್ಕೆ ಇರಿಸಿ, ಅದನ್ನು ತಣ್ಣಗಾಗಲು. ಇದನ್ನು ತ್ವರಿತವಾಗಿ ಮಾಡಬೇಕು ಮತ್ತು ಹೆಚ್ಚು ಹೊತ್ತು ಎಣ್ಣೆಯಲ್ಲಿ ಕುಳಿತುಕೊಳ್ಳಬಾರದು. ಈ ಪೂರಿಗಳು ಗರಿಗರಿಯಾಗಿರಬೇಕಾಗಿಲ್ಲ. ಈಗ ಇದನ್ನು ನೆನೆಸಿದ ಹಾಲಿನಲ್ಲಿ ಒಮ್ಮೆಗೆ ಅದ್ದಿ ಮತ್ತು 30 ಸೆಕೆಂಡುಗಳಿಂದ 1 ನಿಮಿಷದವರೆಗೆ ಕುಳಿತುಕೊಳ್ಳಿ, ಅದನ್ನು ಪ್ಲೇಟ್‌ಗೆ ತೆಗೆದುಕೊಂಡು, ಒಣ ಹಣ್ಣಿನ ಮಿಶ್ರಣವನ್ನು ಮಧ್ಯದಲ್ಲಿ ಮತ್ತು ಸಿಲಿಂಡರಾಕಾರದ ರೋಲ್‌ಗಳಾಗಿ ಸುತ್ತಿಕೊಳ್ಳಿ. ಒಣ ಹಣ್ಣಿನ ಮಿಶ್ರಣದೊಂದಿಗೆ ನೀವು ರೋಸ್ ಗುಲ್ಕಂಡ್ ಅನ್ನು ರೋಲ್‌ಗಳಲ್ಲಿ ಬಳಸಬಹುದು. ಮೇಲೆ ದಪ್ಪವಾದ ಬಾದಾಮ್ ಹಾಲನ್ನು ಚಮಚ ಮಾಡಿ ಮತ್ತು ಗುಲಾಬಿ ದಳಗಳಿಂದ ಅಲಂಕರಿಸಿ.
</t>
  </si>
  <si>
    <t>https://www.archanaskitchen.com/surti-obbattu-recipe-fruit-nut-pooris-saffron-milk</t>
  </si>
  <si>
    <t>Togarikalu Akki Recipe - Karnataka Style Rice Rava Upma with Fresh Pigeon Peas</t>
  </si>
  <si>
    <t>ತೊಗರಿಕಾಳು ಅಕ್ಕಿ ರೆಸಿಪಿ - ಕರ್ನಾಟಕ ಸ್ಟೈಲ್ ರೈಸ್ ರವಾ ಉಪ್ಮಾ ಜೊತೆಗೆ ತಾಜಾ ಪಾರಿವಾಳ</t>
  </si>
  <si>
    <t>2 ಕಪ್ ಅಕ್ಕಿ ರವೆ, 1 ಕಪ್ ತಾಜಾ ಹಸಿರು ಟೂರ್ ದಾಲ್ (ಪಾರಿವಾಳ ಬಟಾಣಿ), 3 ಚಮಚ ತಾಜಾ ತೆಂಗಿನಕಾಯಿ - ತುರಿದ, 1 ಟೀಚಮಚ ಸಾಸಿವೆ, 1 ಟೀಚಮಚ ಬಿಳಿ ಉದ್ದಿನ ಬೇಳೆ (ಒಡೆದ), 1 ಟೀಚಮಚ ಚನಾ ದಾಲ್ (ಬಂಗಾಳ ಬೇಳೆ), 1/4 ಟೀಚಮಚ ಇಂಗು (ಹಿಂಗ್), 2 ಒಣ ಕೆಂಪು ಮೆಣಸಿನಕಾಯಿಗಳು, 1 ಚಮಚ ಬಿಸಿ ಮೆಣಸು, 1 ಚಮಚ ರುಚಿ, 4 ಟೇಬಲ್ಸ್ಪೂನ್ ಅರ್ಹರ್ ದಾಲ್ (ಸ್ಪ್ಲಿಟ್ ಟೂರ್ ದಾಲ್), 2 ಟೀ ಚಮಚ ಜೀರಿಗೆ (ಜೀರಾ), 1 ಟೀಚಮಚ ಸಂಪೂರ್ಣ ಕಪ್ಪು ಮೆಣಸು</t>
  </si>
  <si>
    <t>2 cups Rice rava,1 cup Fresh Green Toor Dal (Pigeon Pea),3 tablespoons Fresh coconut - grated,1 teaspoon Mustard seeds,1 teaspoon White Urad Dal (Split),1 teaspoon Chana dal (Bengal Gram Dal),1/4 teaspoon Asafoetida (hing),2 Dry Red Chillies,1 sprig Curry leaves,1 tablespoon Sunflower Oil,Salt - to taste,4 tablespoons Arhar dal (Split Toor Dal),2 teaspoons Cumin seeds (Jeera),1 teaspoon Whole Black Peppercorns</t>
  </si>
  <si>
    <t xml:space="preserve">To begin making Togarikalu Akki Recipe, make a coarse mix of toor dal, cumin seeds and peppercorns using a mixer grinder and keep aside.Heat oil in a pressure cooker on medium heat, add the mustard seeds, chana and urad dal and let it crackle.Add the red chillies, asafoetida and curry leaves and let it splutter.Add the fresh pigeon peas and saute for a minute.Now, add the ground toor dal mix and saute for another minute.Add the rice rava, 3 1/2 cups of water, season with salt, close the lid and cook till one whistle and switch off the flame. Allow the pressure release naturally, open the lid and fork it up so it doesn't stick to each other. Serve the Togarikalu Akki Recipe in kids lunch box or for breakfast along with a hot cup of masala chai.
</t>
  </si>
  <si>
    <t xml:space="preserve">ತೊಗರಿಕಾಳು ಅಕ್ಕಿ ರೆಸಿಪಿಯನ್ನು ತಯಾರಿಸಲು ಪ್ರಾರಂಭಿಸಲು, ಮಿಕ್ಸರ್ ಗ್ರೈಂಡರ್ ಬಳಸಿ ದಟ್ಟವಾದ ಬೇಳೆ, ಜೀರಿಗೆ ಮತ್ತು ಮೆಣಸಿನಕಾಯಿಯನ್ನು ಒರಟಾದ ಮಿಶ್ರಣವನ್ನು ಮಾಡಿ ಮತ್ತು ಪಕ್ಕಕ್ಕೆ ಇರಿಸಿ. ಮಧ್ಯಮ ಉರಿಯಲ್ಲಿ ಪ್ರೆಶರ್ ಕುಕ್ಕರ್‌ನಲ್ಲಿ ಎಣ್ಣೆಯನ್ನು ಬಿಸಿ ಮಾಡಿ, ಸಾಸಿವೆ ಕಾಳು, ಉದ್ದಿನಬೇಳೆ ಮತ್ತು ಉದ್ದಿನ ಬೇಳೆಯನ್ನು ಸೇರಿಸಿ ಮತ್ತು ಅದನ್ನು ಸಿಡಿಸಲು ಬಿಡಿ. ಒಂದು ನಿಮಿಷ. ಈಗ, ರುಬ್ಬಿದ ತೊಗರಿಬೇಳೆ ಮಿಶ್ರಣವನ್ನು ಸೇರಿಸಿ ಮತ್ತು ಇನ್ನೊಂದು ನಿಮಿಷ ಹುರಿಯಿರಿ. ಅಕ್ಕಿ ರವೆ, 3 1/2 ಕಪ್ ನೀರು, ಉಪ್ಪು ಸೇರಿಸಿ, ಮುಚ್ಚಳವನ್ನು ಮುಚ್ಚಿ ಮತ್ತು ಒಂದು ಸೀಟಿ ಬರುವವರೆಗೆ ಬೇಯಿಸಿ ಮತ್ತು ಉರಿಯನ್ನು ಆಫ್ ಮಾಡಿ. ಒತ್ತಡದ ಬಿಡುಗಡೆಯನ್ನು ನೈಸರ್ಗಿಕವಾಗಿ ಅನುಮತಿಸಿ, ಮುಚ್ಚಳವನ್ನು ತೆರೆಯಿರಿ ಮತ್ತು ಅದನ್ನು ಫೋರ್ಕ್ ಮಾಡಿ ಆದ್ದರಿಂದ ಅದು ಪರಸ್ಪರ ಅಂಟಿಕೊಳ್ಳುವುದಿಲ್ಲ. ತೊಗರಿಕಾಳು ಅಕ್ಕಿ ರೆಸಿಪಿಯನ್ನು ಮಕ್ಕಳ ಊಟದ ಬಾಕ್ಸ್‌ನಲ್ಲಿ ಅಥವಾ ಬೆಳಗಿನ ಉಪಾಹಾರಕ್ಕಾಗಿ ಬಿಸಿ ಕಪ್ ಮಸಾಲಾ ಚಾಯ್ ಜೊತೆಗೆ ಬಡಿಸಿ.
</t>
  </si>
  <si>
    <t>http://www.archanaskitchen.com/togarikalu-akki-recipe-karnataka-style-rice-rava-upma-with-fresh-pigeon-peas</t>
  </si>
  <si>
    <t>Karnataka Style Avarekalu Huli Saru Recipe (Field Beans in a Coconut based Gravy Recipe)</t>
  </si>
  <si>
    <t>ಕರ್ನಾಟಕ ಶೈಲಿಯ ಅವರೆಕಾಳು ಹುಲಿ ಸಾರು ರೆಸಿಪಿ (ತೆಂಗಿನಕಾಯಿ ಆಧಾರಿತ ಗ್ರೇವಿ ರೆಸಿಪಿಯಲ್ಲಿ ಫೀಲ್ಡ್ ಬೀನ್ಸ್)</t>
  </si>
  <si>
    <t>1/2 ಕಪ್ ಅವರೆಕಾಳು / ಲಿಲ್ವಾ ಬೀನ್ಸ್ - ಫೀಲ್ಡ್ ಬೀನ್ಸ್, 1 ಆಲೂಗಡ್ಡೆ (ಆಲೂ) - ಚೂರುಗಳು, 1 ಬದನೆ (ಬೈಂಗನ್ / ಬದನೆ) - ಚೂರುಗಳು, 15 ಲವಂಗ ಬೆಳ್ಳುಳ್ಳಿ - ರುಬ್ಬಿದ, 1 ಮುತ್ತು ಈರುಳ್ಳಿ (ಸಾಂಬಾರ್ ಈರುಳ್ಳಿ) - ನುಣ್ಣಗೆ ಕತ್ತರಿಸಿದ, 1 ಟೊಮೇಟೊ - 1 ಕಪ್ ರುಚಿಗೆ, 1 ಗ್ರಾಂ ತಮಟೆ ತಾಜಾ ತೆಂಗಿನಕಾಯಿ, 1 ಚಮಚ ಕೆಂಪು ಮೆಣಸಿನ ಪುಡಿ, 2 ಚಮಚ ಕೊತ್ತಂಬರಿ (ಧನಿಯಾ) ಎಲೆಗಳು, 1/8 ಟೀಚಮಚ ಅರಿಶಿನ ಪುಡಿ (ಹಲ್ದಿ), 1 ಚಿಗುರು ಕೊತ್ತಂಬರಿ (ಧನಿಯಾ) ಎಲೆಗಳು, 1/2 ಟೀಚಮಚ ಸಾಸಿವೆ, 1/4 ಟೀಚಮಚ ಜೀರಿಗೆ (ಜೀರಾ), 1/2 ಟೀಚಮಚ ಬಿಳಿ ಉರಡ್ ದಾಲ್ (ಒಡೆ), 2 ಚಮಚ ಸೇವಂತಿ</t>
  </si>
  <si>
    <t>1/2 cup Avarekalu / Lilva Beans - Field beans,1 Potato (Aloo) - diced,1 Brinjal (Baingan / Eggplant) - diced,15 cloves Garlic - crushed,1 Pearl onions (Sambar Onions) - finely chopped,1 Tomato - chopped,Salt - to taste,18 grams Tamarind,1/2 cup Fresh coconut,1 tablespoon Red Chilli powder,2 teaspoon Coriander (Dhania) Leaves,1/8 teaspoon Turmeric powder (Haldi),1 sprig Coriander (Dhania) Leaves,1/2 teaspoon Mustard seeds,1/4 teaspoon Cumin seeds (Jeera),1/2 teaspoon White Urad Dal (Split),2 sprig Curry leaves,Sunflower Oil - sauteing</t>
  </si>
  <si>
    <t xml:space="preserve">We begin making the Karnataka Style Avarekalu Huli Saru Recipe (Field Beans in a Coconut based Gravy Recipe) by soaking the averekallu in water for half an hour and remove the skin. Next heat a pressure cooker with oil and then saute the list of ingridients mention in the list to grind for few minutes till it turns golden. Once that is done, cool it down and grind it into a smooth paste using the mixer or a blender into a smooth paste.In the same pressure cooker, add some oil and saute the garlic, onion and tomato for few mintues till it becomes mushy and the raw smell goes away. Then add in the chopped vegetables along with the beans in the pressure cooker, adjust consistency by adding water into it. Cover it with the lid and pressure cook it for 4 whistle and open till all the pressure is released. Now to temper, heat a small skillet with oil and slowly temper the ingredients mentioned in the list and add it onto the gravy. Serve the Karnataka Style Avarekalu Huli Saru Recipe (Field Beans in a Coconut based Gravy Recipe) along with Steam Rice or Ragi Mudde to enjoy your lunch meal.
</t>
  </si>
  <si>
    <t xml:space="preserve">ನಾವು ಕರ್ನಾಟಕ ಶೈಲಿಯ ಅವರೆಕಾಳು ಹುಲಿ ಸಾರು ರೆಸಿಪಿ (ತೆಂಗಿನಕಾಯಿ ಆಧಾರಿತ ಗ್ರೇವಿ ರೆಸಿಪಿಯಲ್ಲಿ ಫೀಲ್ಡ್ ಬೀನ್ಸ್) ಅನ್ನು ಅರ್ಧ ಘಂಟೆಯವರೆಗೆ ನೀರಿನಲ್ಲಿ ನೆನೆಸಿ ಮತ್ತು ಚರ್ಮವನ್ನು ತೆಗೆಯುವ ಮೂಲಕ ತಯಾರಿಸಲು ಪ್ರಾರಂಭಿಸುತ್ತೇವೆ. ಮುಂದೆ ಪ್ರೆಶರ್ ಕುಕ್ಕರ್ ಅನ್ನು ಎಣ್ಣೆಯಿಂದ ಬಿಸಿ ಮಾಡಿ ಮತ್ತು ನಂತರ ಪಟ್ಟಿಯಲ್ಲಿರುವ ಪದಾರ್ಥಗಳ ಪಟ್ಟಿಯನ್ನು ಗೋಲ್ಡನ್ ಆಗುವವರೆಗೆ ಕೆಲವು ನಿಮಿಷಗಳ ಕಾಲ ರುಬ್ಬಿಕೊಳ್ಳಿ. ಅದು ಮುಗಿದ ನಂತರ, ಅದನ್ನು ತಣ್ಣಗಾಗಿಸಿ ಮತ್ತು ಮಿಕ್ಸರ್ ಅಥವಾ ಬ್ಲೆಂಡರ್ ಬಳಸಿ ನಯವಾದ ಪೇಸ್ಟ್ ಆಗಿ ರುಬ್ಬಿಕೊಳ್ಳಿ. ಅದೇ ಒತ್ತಡದ ಕುಕ್ಕರ್‌ನಲ್ಲಿ ಸ್ವಲ್ಪ ಎಣ್ಣೆಯನ್ನು ಸೇರಿಸಿ ಮತ್ತು ಬೆಳ್ಳುಳ್ಳಿ, ಈರುಳ್ಳಿ ಮತ್ತು ಟೊಮೆಟೊವನ್ನು ಕೆಲವು ನಿಮಿಷಗಳ ಕಾಲ ಅದು ಮೆತ್ತಗಾಗುವವರೆಗೆ ಮತ್ತು ಹಸಿ ವಾಸನೆ ಹೋಗುವವರೆಗೆ ಹುರಿಯಿರಿ. ನಂತರ ಒತ್ತಡದ ಕುಕ್ಕರ್‌ನಲ್ಲಿ ಬೀನ್ಸ್ ಜೊತೆಗೆ ಕತ್ತರಿಸಿದ ತರಕಾರಿಗಳನ್ನು ಸೇರಿಸಿ, ಅದರಲ್ಲಿ ನೀರನ್ನು ಸೇರಿಸುವ ಮೂಲಕ ಸ್ಥಿರತೆಯನ್ನು ಹೊಂದಿಸಿ. ಅದನ್ನು ಮುಚ್ಚಳದಿಂದ ಮುಚ್ಚಿ ಮತ್ತು ಒತ್ತಡದಲ್ಲಿ 4 ಸೀಟಿಗೆ ಬೇಯಿಸಿ ಮತ್ತು ಎಲ್ಲಾ ಒತ್ತಡವು ಬಿಡುಗಡೆಯಾಗುವವರೆಗೆ ತೆರೆಯಿರಿ. ಈಗ ಹದಗೊಳಿಸಲು, ಎಣ್ಣೆಯೊಂದಿಗೆ ಸಣ್ಣ ಬಾಣಲೆಯನ್ನು ಬಿಸಿ ಮಾಡಿ ಮತ್ತು ಪಟ್ಟಿಯಲ್ಲಿ ನಮೂದಿಸಿರುವ ಪದಾರ್ಥಗಳನ್ನು ನಿಧಾನವಾಗಿ ಹದಗೊಳಿಸಿ ಮತ್ತು ಅದನ್ನು ಗ್ರೇವಿಯ ಮೇಲೆ ಸೇರಿಸಿ. ನಿಮ್ಮ ಮಧ್ಯಾಹ್ನದ ಊಟವನ್ನು ಆನಂದಿಸಲು ಸ್ಟೀಮ್ ರೈಸ್ ಅಥವಾ ರಾಗಿ ಮುದ್ದೆ ಜೊತೆಗೆ ಕರ್ನಾಟಕ ಶೈಲಿಯ ಅವರೆಕಾಳು ಹುಲಿ ಸಾರು ರೆಸಿಪಿ (ತೆಂಗಿನಕಾಯಿ ಆಧಾರಿತ ಗ್ರೇವಿ ರೆಸಿಪಿಯಲ್ಲಿ ಫೀಲ್ಡ್ ಬೀನ್ಸ್) ಅನ್ನು ಬಡಿಸಿ.
</t>
  </si>
  <si>
    <t>http://www.archanaskitchen.com/karnataka-style-avarekalu-huli-saru-recipe-field-beans-in-a-coconut-based-gravy-recipe</t>
  </si>
  <si>
    <t>Karnataka Style Sorakkai Palya Recipe - Karnataka Style Bottle Gourd Sabzi</t>
  </si>
  <si>
    <t>ಕರ್ನಾಟಕ ಸ್ಟೈಲ್ ಸೊರಕ್ಕಾಯಿ ಪಲ್ಯ ರೆಸಿಪಿ - ಕರ್ನಾಟಕ ಶೈಲಿಯ ಬಾಟಲ್ ಸೋರೆಕಾಯಿ ಸಬ್ಜಿ</t>
  </si>
  <si>
    <t>1 ಬಾಟಲ್ ಸೋರೆಕಾಯಿ (ಲೌಕಿ) - ಸಿಪ್ಪೆ ಸುಲಿದ ಮತ್ತು ಕತ್ತರಿಸಿದ, 1 ಟೊಮೆಟೊ - ಕತ್ತರಿಸಿದ, 1 ಟೀಚಮಚ ಜೀರಿಗೆ (ಜೀರಾ), 1 ಚಮಚ ಅರಿಶಿನ ಪುಡಿ (ಹಲ್ದಿ), 1 ಚಮಚ ಕೆಂಪು ಮೆಣಸಿನ ಪುಡಿ, 2 ಚಮಚ ಸಾಂಬಾರ್ ಪುಡಿ, 1 ಚಿಗುರು ಕರಿಬೇವಿನ ಎಲೆಗಳು, ಉಪ್ಪು - ರುಚಿಗೆ, ಸೂರ್ಯಕಾಂತಿ ಎಣ್ಣೆ - ಅಡುಗೆಗೆ</t>
  </si>
  <si>
    <t>1 Bottle gourd (lauki) - peeled and chopped,1 Tomato - chopped,1 teaspoon Cumin seeds (Jeera),1 teaspoon Turmeric powder (Haldi),1 teaspoon Red Chilli powder,2 tablespoon Sambar Powder,1 sprig Curry leaves,Salt - to taste,Sunflower Oil - for cooking</t>
  </si>
  <si>
    <t xml:space="preserve">We begin making the Karnataka Style Sorakkai Palya Recipe (Pressure Cooked Bottle Gourd Recipe) by heating oil in the pressure cooker, temper the cumin seeds and add the curry leaves. Let the curry leaves splutter for few seconds.Then add the chopped tomato, saute with little salt till it is mushy and is cooked, at this point, you can add in the spice powders like turmeric powder, red chilli powder, and sambar powder and also mix in the chopped bottle gourd. Check for seasoning if required.Once it is evenly coated, add 1/2 cup water and pressure cook it for 3 whistles till it is done, let the pressure release naturally and then serve hot. Serve Karnataka Style Sorakkai Palya Recipe along with Mixed Vegetable Sambar and Steamed Rice for a weekday meal.
</t>
  </si>
  <si>
    <t xml:space="preserve">ನಾವು ಪ್ರೆಶರ್ ಕುಕ್ಕರ್‌ನಲ್ಲಿ ಎಣ್ಣೆಯನ್ನು ಬಿಸಿ ಮಾಡಿ, ಜೀರಿಗೆಯನ್ನು ಹದಗೊಳಿಸಿ ಮತ್ತು ಕರಿಬೇವಿನ ಎಲೆಗಳನ್ನು ಸೇರಿಸಿ ಕರ್ನಾಟಕ ಶೈಲಿಯ ಸೊರಕ್ಕೈ ಪಲ್ಯ ರೆಸಿಪಿ (ಒತ್ತಡದಲ್ಲಿ ಬೇಯಿಸಿದ ಬಾಟಲ್ ಸೋರೆಕಾಯಿ ಪಾಕವಿಧಾನ) ತಯಾರಿಸಲು ಪ್ರಾರಂಭಿಸುತ್ತೇವೆ. ಕರಿಬೇವಿನ ಎಲೆಗಳು ಕೆಲವು ಸೆಕೆಂಡುಗಳ ಕಾಲ ಚಿಮ್ಮಲು ಬಿಡಿ. ನಂತರ ಕತ್ತರಿಸಿದ ಟೊಮ್ಯಾಟೊ ಸೇರಿಸಿ, ಸ್ವಲ್ಪ ಉಪ್ಪು ಹಾಕಿ ಅದು ಮೆತ್ತಗಾಗುವವರೆಗೆ ಮತ್ತು ಬೇಯಿಸುವವರೆಗೆ ಹುರಿಯಿರಿ, ಈ ಸಮಯದಲ್ಲಿ, ನೀವು ಅರಿಶಿನ ಪುಡಿ, ಕೆಂಪು ಮೆಣಸಿನ ಪುಡಿ ಮತ್ತು ಸಾಂಬಾರ್ ಪುಡಿಯಂತಹ ಮಸಾಲೆ ಪುಡಿಗಳಲ್ಲಿ ಸೇರಿಸಬಹುದು ಮತ್ತು ಕತ್ತರಿಸಿದ ಬಾಟಲ್ ಸೋರೆಕಾಯಿಯಲ್ಲಿ ಮಿಶ್ರಣ ಮಾಡಬಹುದು. ಅಗತ್ಯವಿದ್ದರೆ ಮಸಾಲೆಗಾಗಿ ಪರಿಶೀಲಿಸಿ. ಇದು ಸಮವಾಗಿ ಲೇಪಿತವಾದ ನಂತರ, 1/2 ಕಪ್ ನೀರು ಸೇರಿಸಿ ಮತ್ತು ಅದು ಮುಗಿಯುವವರೆಗೆ ಅದನ್ನು 3 ಸೀಟಿಗಳವರೆಗೆ ಕುಕ್ ಮಾಡಿ, ಒತ್ತಡವನ್ನು ನೈಸರ್ಗಿಕವಾಗಿ ಬಿಡುಗಡೆ ಮಾಡಿ ನಂತರ ಬಿಸಿಯಾಗಿ ಬಡಿಸಿ. ವಾರದ ದಿನದ ಊಟಕ್ಕೆ ಮಿಕ್ಸ್ಡ್ ವೆಜಿಟೆಬಲ್ ಸಾಂಬಾರ್ ಮತ್ತು ಸ್ಟೀಮ್ಡ್ ರೈಸ್ ಜೊತೆಗೆ ಕರ್ನಾಟಕ ಶೈಲಿಯ ಸೊರಕ್ಕೈ ಪಲ್ಯ ರೆಸಿಪಿಯನ್ನು ಬಡಿಸಿ.
</t>
  </si>
  <si>
    <t>http://www.archanaskitchen.com/karnataka-style-sorakkai-palya-recipe-pressure-cooked-bottle-gourd-recipe</t>
  </si>
  <si>
    <t>Karwar Style Kairichi Udid Methi Recipe (Raw Mango Methi Curry)</t>
  </si>
  <si>
    <t>ಕಾರವಾರ ಸ್ಟೈಲ್ ಕೈರಿಚಿ ಉಡಿದ್ ಮೇತಿ ರೆಸಿಪಿ (ಹಸಿ ಮಾವಿನಕಾಯಿ ಮೇತಿ ಕರಿ)</t>
  </si>
  <si>
    <t>2 ಮಾವು (ಹಸಿ) - ಸಿಪ್ಪೆ ಸುಲಿದ ಮತ್ತು ಕತ್ತರಿಸಿದ, 1 ಕಪ್ ತಾಜಾ ತೆಂಗಿನಕಾಯಿ - ತುರಿದ, 1 ಚಮಚ ಬಿಳಿ ಉದ್ದಿನ ಬೇಳೆ (ಒಡೆದ), 1 ಚಮಚ ಮೆಂತ್ಯ ಬೀಜಗಳು (ಮೆಂತ್ಯ ಬೀಜಗಳು), 1 ಚಮಚ ಬಾಸ್ಮತಿ ಅಕ್ಕಿ, 5 ಒಣ ಕೆಂಪು ಮೆಣಸಿನಕಾಯಿಗಳು, 1/2 ಟೀಸ್ಪೂನ್ ಅರಿಶಿನ ಪುಡಿ (ಹಲ್ದಿ), ಕರಿಬೇವಿನ ಎಲೆಗಳು - ಕೆಲವು, 1/2 ಚಮಚ ಸಾಸಿವೆ ಬೆಲ್ಲ - ಹೊಂದಾಣಿಕೆ, ಉಪ್ಪು - ರುಚಿಗೆ, ತೆಂಗಿನ ಎಣ್ಣೆ - ಅಗತ್ಯವಿರುವಂತೆ</t>
  </si>
  <si>
    <t>2 Mango (Raw) - peeled and chopped,1 cup Fresh coconut - grated,1 tablespoon White Urad Dal (Split),1 teaspoon Methi Seeds (Fenugreek Seeds),1 tablespoon Basmati rice,5 Dry Red Chillies,1/2 teaspoon Turmeric powder (Haldi),Curry leaves - few,1/2 teaspoon Mustard seeds,Asafoetida (hing) - a pinch,2 tablespoons Jaggery - adjustable,Salt - to taste,Coconut Oil - as required</t>
  </si>
  <si>
    <t xml:space="preserve">To begin making the Karwar Style Kairichi Udid Methi Recipe (Raw Mango Methi Curry), chop raw mango into bite sized pieces. Into the pressure cooker, add  turmeric powder, salt and 1/4 cup of water and pressure cook for 3 whistles.Meanwhile, in a small pan, roast the urad dal, fenugreek seeds, rice and red chillies till crisp. Grind this along with coconut adding little water and make a smooth paste.When the raw mangoes are cooked add the ground masala to it. Add salt, jaggery and few curry leaves. Mix everything well and bring the Kairichi Udid Methi Curry to boil. Add some water to get the desired consistencyThe next step is to prepare the tempering. Add oil in a small tadka pan and when its hot add mustard seeds, hing and few curry leaves. Pour into Kairichi Udid Methi and it is ready to be served.Serve Karwar Style Kairichi Udid Methi Recipe (Raw Mango Methi Curry) along with Punjabi Style Tinda Sabji, Palak Raita and Phulka for your everyday meal.
</t>
  </si>
  <si>
    <t xml:space="preserve">ಕಾರವಾರ ಶೈಲಿಯ ಕೈರಿಚಿ ಉಡಿದ್ ಮೇಥಿ ರೆಸಿಪಿ (ಹಸಿ ಮಾವಿನ ಮೇತಿ ಕರಿ) ತಯಾರಿಸಲು ಪ್ರಾರಂಭಿಸಲು, ಹಸಿ ಮಾವಿನಕಾಯಿಯನ್ನು ಕಚ್ಚುವಿಕೆಯ ಗಾತ್ರದ ತುಂಡುಗಳಾಗಿ ಕತ್ತರಿಸಿ. ಪ್ರೆಶರ್ ಕುಕ್ಕರ್‌ಗೆ, ಅರಿಶಿನ ಪುಡಿ, ಉಪ್ಪು ಮತ್ತು 1/4 ಕಪ್ ನೀರು ಸೇರಿಸಿ ಮತ್ತು 3 ಸೀಟಿಗಳಿಗೆ ಪ್ರೆಶರ್ ಕುಕ್ ಮಾಡಿ. ಈ ಮಧ್ಯೆ, ಒಂದು ಸಣ್ಣ ಪ್ಯಾನ್‌ನಲ್ಲಿ, ಉದ್ದಿನಬೇಳೆ, ಮೆಂತ್ಯ ಬೀಜಗಳು, ಅಕ್ಕಿ ಮತ್ತು ಕೆಂಪು ಮೆಣಸಿನಕಾಯಿಗಳನ್ನು ಗರಿಗರಿಯಾಗುವವರೆಗೆ ಹುರಿಯಿರಿ. ಇದನ್ನು ತೆಂಗಿನಕಾಯಿಯೊಂದಿಗೆ ಸ್ವಲ್ಪ ನೀರು ಸೇರಿಸಿ ರುಬ್ಬಿಕೊಳ್ಳಿ ಮತ್ತು ನಯವಾದ ಪೇಸ್ಟ್ ಮಾಡಿ. ಹಸಿ ಮಾವಿನಕಾಯಿಯನ್ನು ಬೇಯಿಸಿದಾಗ ಅದಕ್ಕೆ ರುಬ್ಬಿದ ಮಸಾಲಾ ಸೇರಿಸಿ. ಉಪ್ಪು, ಬೆಲ್ಲ ಮತ್ತು ಕೆಲವು ಕರಿಬೇವಿನ ಎಲೆಗಳನ್ನು ಸೇರಿಸಿ. ಎಲ್ಲವನ್ನೂ ಚೆನ್ನಾಗಿ ಮಿಶ್ರಣ ಮಾಡಿ ಮತ್ತು ಕೈರಿಚಿ ಉಡಿದ್ ಮೇತಿ ಕರಿ ಕುದಿಸಿ. ಅಪೇಕ್ಷಿತ ಸ್ಥಿರತೆಯನ್ನು ಪಡೆಯಲು ಸ್ವಲ್ಪ ನೀರನ್ನು ಸೇರಿಸಿ ಮುಂದಿನ ಹಂತವು ಹದಗೊಳಿಸುವಿಕೆಯನ್ನು ಸಿದ್ಧಪಡಿಸುವುದು. ಸಣ್ಣ ತಡ್ಕಾ ಬಾಣಲೆಯಲ್ಲಿ ಎಣ್ಣೆಯನ್ನು ಸೇರಿಸಿ ಮತ್ತು ಅದು ಬಿಸಿಯಾದಾಗ ಸಾಸಿವೆ, ಹಿಂಗ್ ಮತ್ತು ಕೆಲವು ಕರಿಬೇವಿನ ಎಲೆಗಳನ್ನು ಸೇರಿಸಿ. ಕೈರಿಚಿ ಉಡಿದ್ ಮೇಥಿಗೆ ಸುರಿಯಿರಿ ಮತ್ತು ಅದು ಬಡಿಸಲು ಸಿದ್ಧವಾಗಿದೆ. ಕಾರವಾರ ಶೈಲಿಯ ಕೈರಿಚಿ ಉಡಿದ್ ಮೇಥಿ ರೆಸಿಪಿ (ಹಸಿ ಮಾವಿನಕಾಯಿ ಮೇಥಿ ಕರಿ) ಜೊತೆಗೆ ಪಂಜಾಬಿ ಸ್ಟೈಲ್ ತಿಂಡಾ ಸಬ್ಜಿ, ಪಾಲಕ್ ರೈತ ಮತ್ತು ಫುಲ್ಕಾ ನಿಮ್ಮ ದೈನಂದಿನ ಊಟಕ್ಕೆ ಬಡಿಸಿ.
</t>
  </si>
  <si>
    <t>https://www.archanaskitchen.com/udid-methi-recipe-karwar-style-green-mango-curry-with-methi</t>
  </si>
  <si>
    <t>Menthya Matvadi Palya Recipe - Madhwa Brahmin Style Methi-Chana Dal Sabzi</t>
  </si>
  <si>
    <t>ಮೆಂತ್ಯ ಮತ್ತವಡಿ ಪಲ್ಯ ರೆಸಿಪಿ - ಮಾಧ್ವ ಬ್ರಾಹ್ಮಣ ಶೈಲಿಯ ಮೇತಿ-ಚನ ದಾಲ್ ಸಬ್ಜಿ</t>
  </si>
  <si>
    <t>50 ಗ್ರಾಂ ಮೇಥಿ ಎಲೆಗಳು (ಮೆಂತ್ಯ ಎಲೆಗಳು), 1 ಚಮಚ ಸೂರ್ಯಕಾಂತಿ ಎಣ್ಣೆ, 1 ಚಮಚ ಸಾಸಿವೆ, 1 ಚಿಗುರು ಕರಿಬೇವಿನ ಎಲೆಗಳು, 2 ಒಣ ಕೆಂಪು ಮೆಣಸಿನಕಾಯಿಗಳು, ಉಪ್ಪು - ರುಚಿಗೆ, 1/2 ಕಪ್ ಚನಾ ಬೇಳೆ (ಬಂಗಾಳ ಬೇಳೆ) - 2 ಗಂಟೆಗಳ ಕಾಲ ನೆನೆಸಿದ, 1/2 ಕಪ್ ತಾಜಾ ತೆಂಗಿನಕಾಯಿ, 1 ಚಮಚ ಹಸಿ ಮೆಣಸಿನಕಾಯಿ ಬೀಜಗಳು, ಕರಿಬೇವಿನ ಎಲೆಗಳು - ಕೆಲವು, 1 ಟೀಚಮಚ ಜೀರಿಗೆ (ಜೀರಾ), 1/4 ಟೀಚಮಚ ಅರಿಶಿನ ಪುಡಿ (ಹಲ್ದಿ), 1/4 ಟೀಚಮಚ ಇಂಗು (ಹಿಂಗ್)</t>
  </si>
  <si>
    <t>50 grams Methi Leaves (Fenugreek Leaves),1 tablespoon Sunflower Oil,1 teaspoon Mustard seeds,1 sprig Curry leaves,2 Dry Red Chillies,Salt - to taste,1/2 cup Chana dal (Bengal Gram Dal) - soaked for 2 hours,1/2 cup Fresh coconut - grated,6 Dry Red Chillies,1 teaspoon Coriander (Dhania) Seeds,Curry leaves - few,1 teaspoon Cumin seeds (Jeera),1/4 teaspoon Turmeric powder (Haldi),1/4 teaspoon Asafoetida (hing)</t>
  </si>
  <si>
    <t xml:space="preserve">To prepare Matwadi Palya Recipe (Madhwa Brahmin Style Methi-Chana Dal Sabzi); drain the water from the soaked channa dal and grind all the ingredients mentioned under "to grind" adding very little water to make a coarse paste.In a steamer, steam the ground masala till soft, for about 10 minutes on high heat using Idli molds.Meanwhile, wash and chop the methi leaves finely.In a kadai, heat oil and mustard seeds and allow it to splutter, add the red chillies and curry leaves and roast for a few seconds.Add finely chopped methi leaves and salt and allow it to wilt down. Once the methi leaves are cooked, add the ground chana dal mixture and mix them and allow it to cook on low flame till everything combines well. Turn off heat. Check the salt and adjust accordingly to taste.Serve Matwadi Palya Recipe (Madhwa Brahmin Style Methi-Chana Dal Sabzi) along with Tawa paratha, Karnataka Special Huli Tovve Recipe and steamed rice for lunch or dinner.
</t>
  </si>
  <si>
    <t xml:space="preserve">ಮಾತವಾಡಿ ಪಲ್ಯ ರೆಸಿಪಿ (ಮಾಧ್ವ ಬ್ರಾಹ್ಮಣ ಶೈಲಿಯ ಮೇಥಿ-ಚನ ದಾಲ್ ಸಬ್ಜಿ) ತಯಾರಿಸಲು; ನೆನೆಸಿದ ಚನ್ನ ದಾಲ್‌ನಿಂದ ನೀರನ್ನು ಸೋಸಿ, "ರುಬ್ಬಲು" ಕೆಳಗೆ ನಮೂದಿಸಿರುವ ಎಲ್ಲಾ ಪದಾರ್ಥಗಳನ್ನು ರುಬ್ಬಿ, ಒರಟಾದ ಪೇಸ್ಟ್ ಮಾಡಲು ಸ್ವಲ್ಪ ನೀರು ಸೇರಿಸಿ. ಸ್ಟೀಮರ್‌ನಲ್ಲಿ, ರುಬ್ಬಿದ ಮಸಾಲವನ್ನು ಮೃದುವಾಗುವವರೆಗೆ, ಸುಮಾರು 10 ನಿಮಿಷಗಳ ಕಾಲ ಹೆಚ್ಚಿನ ಉರಿಯಲ್ಲಿ ಇಡ್ಲಿ ಅಚ್ಚುಗಳನ್ನು ಬಳಸಿ ಬೇಯಿಸಿ. ಮೆಣಸಿನಕಾಯಿಗಳು ಮತ್ತು ಕರಿಬೇವಿನ ಎಲೆಗಳು ಮತ್ತು ಕೆಲವು ಸೆಕೆಂಡುಗಳ ಕಾಲ ಹುರಿದುಕೊಳ್ಳಿ. ನುಣ್ಣಗೆ ಕತ್ತರಿಸಿದ ಮೇಥಿ ಎಲೆಗಳು ಮತ್ತು ಉಪ್ಪನ್ನು ಸೇರಿಸಿ ಮತ್ತು ಅದು ಒಣಗಲು ಬಿಡಿ. ಮೇಥಿ ಎಲೆಗಳು ಬೆಂದ ನಂತರ, ರುಬ್ಬಿದ ಚನಾ ದಾಲ್ ಮಿಶ್ರಣವನ್ನು ಸೇರಿಸಿ ಮತ್ತು ಅವುಗಳನ್ನು ಮಿಶ್ರಣ ಮಾಡಿ ಮತ್ತು ಎಲ್ಲವನ್ನೂ ಚೆನ್ನಾಗಿ ಸಂಯೋಜಿಸುವವರೆಗೆ ಕಡಿಮೆ ಉರಿಯಲ್ಲಿ ಬೇಯಿಸಲು ಅನುಮತಿಸಿ. ಶಾಖವನ್ನು ಆಫ್ ಮಾಡಿ. ಉಪ್ಪನ್ನು ಪರೀಕ್ಷಿಸಿ ಮತ್ತು ರುಚಿಗೆ ತಕ್ಕಂತೆ ಹೊಂದಿಸಿ. ತವಾ ಪರಾಠ, ಕರ್ನಾಟಕ ವಿಶೇಷ ಹುಲಿ ತೊವ್ವೆ ರೆಸಿಪಿ ಮತ್ತು ಮಧ್ಯಾಹ್ನ ಅಥವಾ ರಾತ್ರಿಯ ಊಟಕ್ಕೆ ಬೇಯಿಸಿದ ಅನ್ನದೊಂದಿಗೆ ಮತ್ತವಾಡಿ ಪಲ್ಯ ರೆಸಿಪಿ (ಮಧ್ವ ಬ್ರಾಹ್ಮಣ ಶೈಲಿಯ ಮೇಥಿ-ಚನ ದಾಲ್ ಸಬ್ಜಿ) ಅನ್ನು ಬಡಿಸಿ.
</t>
  </si>
  <si>
    <t>https://www.archanaskitchen.com/matwadi-palya-recipe-madhwa-brahmin-style-methi-chana-dal-sabzi</t>
  </si>
  <si>
    <t>Hayagreeva Recipe</t>
  </si>
  <si>
    <t>ಹಯಗ್ರೀವ ರೆಸಿಪಿ</t>
  </si>
  <si>
    <t>1 ಕಪ್ ಚನಾ ದಾಲ್ (ಬಂಗಾಳ ಬೇಳೆ), 1 ಕಪ್ ಬೆಲ್ಲ, 2 ಚಮಚ ಗಸಗಸೆ, 1/4 ಕಪ್ ಒಣ ತೆಂಗಿನಕಾಯಿ (ಕೋಪ್ರಾ) - ತುರಿದ, 1 ಟೀಚಮಚ ಏಲಕ್ಕಿ ಪುಡಿ (ಎಲೈಚಿ)</t>
  </si>
  <si>
    <t>1 cup Chana dal (Bengal Gram Dal),1 cup Jaggery,2 tablespoons Poppy seeds,1/4 cup Dry coconut (kopra) - grated,1 teaspoon Cardamom Powder (Elaichi)</t>
  </si>
  <si>
    <t xml:space="preserve">To begin making the Hayagreeva, soak the bengal gram dal for half an hour. Once soaked pressure cook the dal in 1 cup of water until cooked through and soft. In the next step we will prepare the jaggery syrup. In a deep sauce pan, boil 2 cups of water along with jaggery, poppy seeds and the grated dry coconut. Keep stirring and boiling until the jaggery is dissolved completely and it gets syrupy consistency. Not one string consistency but just syrupy.Add the cooked bengal gram dal into this syrup, cover it and cook it until the lentils soak up all the syrup and thickens. Make sure you do not mash the lentils too much, we want it to be grainy.Finally, add cardamom powder to the Hayagreeva and give it a good stir. Garnish it with some grated dry coconut and toasted poppy seeds.Serve Hayagreeva hot as a delicious dessert during festive occasions like Diwali, Navratri et al along with Angoori Rasmalai.
</t>
  </si>
  <si>
    <t xml:space="preserve">ಹಯಗ್ರೀವವನ್ನು ತಯಾರಿಸಲು ಪ್ರಾರಂಭಿಸಲು, ಬೆಂಗಾಲಿ ಬೇಳೆಯನ್ನು ಅರ್ಧ ಘಂಟೆಯವರೆಗೆ ನೆನೆಸಿಡಿ. ಒಮ್ಮೆ ನೆನೆಸಿದ ಒತ್ತಡದಲ್ಲಿ ಬೇಳೆಯನ್ನು 1 ಕಪ್ ನೀರಿನಲ್ಲಿ ಬೇಯಿಸಿ ಮೃದುವಾಗುವವರೆಗೆ ಬೇಯಿಸಿ. ಮುಂದಿನ ಹಂತದಲ್ಲಿ ನಾವು ಬೆಲ್ಲದ ಸಿರಪ್ ಅನ್ನು ತಯಾರಿಸುತ್ತೇವೆ. ಆಳವಾದ ಸಾಸ್ ಪ್ಯಾನ್‌ನಲ್ಲಿ, ಬೆಲ್ಲ, ಗಸಗಸೆ ಮತ್ತು ತುರಿದ ಒಣ ತೆಂಗಿನಕಾಯಿಯೊಂದಿಗೆ 2 ಕಪ್ ನೀರನ್ನು ಕುದಿಸಿ. ಬೆಲ್ಲವು ಸಂಪೂರ್ಣವಾಗಿ ಕರಗುವವರೆಗೆ ಮತ್ತು ಸಿರಪ್ ಸ್ಥಿರತೆಯನ್ನು ಪಡೆಯುವವರೆಗೆ ಬೆರೆಸಿ ಮತ್ತು ಕುದಿಸಿ. ಒಂದು ಸ್ಟ್ರಿಂಗ್ ಸ್ಥಿರತೆ ಅಲ್ಲ ಆದರೆ ಕೇವಲ ಸಿರಪಿ. ಈ ಸಿರಪ್‌ಗೆ ಬೇಯಿಸಿದ ಬೆಂಗಾಲ್ ಬೇಳೆಯನ್ನು ಸೇರಿಸಿ, ಅದನ್ನು ಮುಚ್ಚಿ ಮತ್ತು ಮಸೂರವು ಎಲ್ಲಾ ಸಿರಪ್ ಅನ್ನು ನೆನೆಸಿ ದಪ್ಪವಾಗುವವರೆಗೆ ಬೇಯಿಸಿ. ನೀವು ಮಸೂರವನ್ನು ಹೆಚ್ಚು ಮ್ಯಾಶ್ ಮಾಡಬೇಡಿ ಎಂದು ಖಚಿತಪಡಿಸಿಕೊಳ್ಳಿ, ಅದು ಧಾನ್ಯವಾಗಿರಬೇಕೆಂದು ನಾವು ಬಯಸುತ್ತೇವೆ. ಅಂತಿಮವಾಗಿ, ಹಯಗ್ರೀವಕ್ಕೆ ಏಲಕ್ಕಿ ಪುಡಿಯನ್ನು ಸೇರಿಸಿ ಮತ್ತು ಅದನ್ನು ಚೆನ್ನಾಗಿ ಬೆರೆಸಿ. ಸ್ವಲ್ಪ ತುರಿದ ಒಣ ತೆಂಗಿನಕಾಯಿ ಮತ್ತು ಸುಟ್ಟ ಗಸಗಸೆಯಿಂದ ಇದನ್ನು ಅಲಂಕರಿಸಿ. ಹಯಗ್ರೀವವನ್ನು ದೀಪಾವಳಿ, ನವರಾತ್ರಿ ಮತ್ತು ಇತರ ಹಬ್ಬದ ಸಂದರ್ಭಗಳಲ್ಲಿ ಅಂಗೂರಿ ರಸಮಲೈ ಜೊತೆಗೆ ರುಚಿಕರವಾದ ಸಿಹಿಭಕ್ಷ್ಯವಾಗಿ ಬಡಿಸಿ.
</t>
  </si>
  <si>
    <t>http://www.archanaskitchen.com/hayagreeva-recipe-bengal-gram-sweet-from-karnataka</t>
  </si>
  <si>
    <t>Iyengar Style Masala Toast Recipe</t>
  </si>
  <si>
    <t>ಅಯ್ಯಂಗಾರ್ ಸ್ಟೈಲ್ ಮಸಾಲಾ ಟೋಸ್ಟ್ ರೆಸಿಪಿ</t>
  </si>
  <si>
    <t>4 ಕ್ರಸ್ಟಿ ಬ್ರೆಡ್ ಲಾಗ್ - ಚೂರುಗಳಾಗಿ ಕತ್ತರಿಸಿ, 1 ಚಮಚ ನ್ಯೂಟ್ರಾಲೈಟ್ ಕ್ಲಾಸಿಕ್ ಸ್ಪ್ರೆಡ್, 2 ಕ್ಯಾರೆಟ್ (ಗಜ್ಜರ್) - ತುರಿದ, 1 ಕಪ್ ಎಲೆಕೋಸು (ಪಟ್ಟಾ ಗೋಬಿ / ಮುತ್ತೈಕೋಸ್) - ಕತ್ತರಿಸಿದ, 1 ಈರುಳ್ಳಿ - ಕತ್ತರಿಸಿದ, 1 ಟೊಮೆಟೊ - ಕತ್ತರಿಸಿದ, 1 ಇಂಚು ಶುಂಠಿ - ಕತ್ತರಿಸಿದ, 4 ಲವಂಗ - 1 ಹಸಿಮೆಣಸಿನಕಾಯಿ, 1 ಚಮಚ ಬೆಳ್ಳುಳ್ಳಿ ಬೀಜಗಳು, 1 ಚಿಟಿಕೆ ಇಂಗು (ಹಿಂಗ್), 1 ಚಮಚ ಗರಂ ಮಸಾಲಾ ಪುಡಿ, 1 ಚಮಚ ಆಚಾರಿ ಮೇಯೊ, ಉಪ್ಪು - ರುಚಿಗೆ</t>
  </si>
  <si>
    <t>4 Crusty bread log - cut into slices,1 tablespoon Nutralite Classic Spread,2 Carrots (Gajjar) - grated,1 cup Cabbage (Patta Gobi/ Muttaikose) - chopped,1 Onion - chopped,1 Tomato - chopped,1 inch Ginger - chopped,4 Cloves (Laung) - garlic,1 Green Chilli - chopped,1 teaspoon Mustard seeds,1 pinch Asafoetida (hing),1 teaspoon Garam masala powder,1 tablespoon Achari Mayo,Salt - to taste</t>
  </si>
  <si>
    <t xml:space="preserve">To begin making the Iyengar Style Masala Toast Recipe, heat Nutralite Classic Spread over medium heat. Add mustard seeds, hing and allow it to splutter.Add ginger, garlic, and allow it soften for few seconds. Add in the chopped onions and saute till the onions turn translucent.Add in the green chilies and tomatoes, sprinkle little salt so that the tomatoes will soften.You can add carrot and cabbage and cook till the vegetables are soft and cooked.Once the vegetables are cooked, you can add salt and garam masala and the Nutralite Achari Mayo. Saute until the masala is coated.Heat a grill pan, add butter when it starts to sizzle you can add the bread and toast them till they turn brown.To assemble, you can add a tablespoon of the sautéed vegetable and serve.Serve the Iyengar Style Masala Toast Recipe along with some Cocoa Banana Almond Date Smoothie or a glass of fresh juice like Mulled Apple Juice Recipe.
</t>
  </si>
  <si>
    <t xml:space="preserve">ಅಯ್ಯಂಗಾರ್ ಸ್ಟೈಲ್ ಮಸಾಲಾ ಟೋಸ್ಟ್ ರೆಸಿಪಿಯನ್ನು ತಯಾರಿಸಲು ಪ್ರಾರಂಭಿಸಲು, ಮಧ್ಯಮ ಶಾಖದ ಮೇಲೆ ನ್ಯೂಟ್ರಾಲೈಟ್ ಕ್ಲಾಸಿಕ್ ಸ್ಪ್ರೆಡ್ ಅನ್ನು ಬಿಸಿ ಮಾಡಿ. ಸಾಸಿವೆ ಕಾಳುಗಳು, ಹಿಂಗನ್ನು ಸೇರಿಸಿ ಮತ್ತು ಅದನ್ನು ಸ್ಪ್ಲಟರ್ ಮಾಡಲು ಅನುಮತಿಸಿ. ಶುಂಠಿ, ಬೆಳ್ಳುಳ್ಳಿ ಸೇರಿಸಿ ಮತ್ತು ಕೆಲವು ಸೆಕೆಂಡುಗಳ ಕಾಲ ಅದನ್ನು ಮೃದುಗೊಳಿಸಲು ಅನುಮತಿಸಿ. ಕತ್ತರಿಸಿದ ಈರುಳ್ಳಿಯನ್ನು ಸೇರಿಸಿ ಮತ್ತು ಈರುಳ್ಳಿ ಅರೆಪಾರದರ್ಶಕವಾಗುವವರೆಗೆ ಹುರಿಯಿರಿ. ಹಸಿರು ಮೆಣಸಿನಕಾಯಿಗಳು ಮತ್ತು ಟೊಮ್ಯಾಟೊ ಸೇರಿಸಿ, ಸ್ವಲ್ಪ ಉಪ್ಪು ಸಿಂಪಡಿಸಿ ಇದರಿಂದ ಟೊಮ್ಯಾಟೊ ಮೃದುವಾಗುತ್ತದೆ. ನೀವು ಕ್ಯಾರೆಟ್ ಮತ್ತು ಎಲೆಕೋಸು ಸೇರಿಸಿ ಮತ್ತು ತರಕಾರಿಗಳು ಮೃದುವಾದ ಮತ್ತು ಬೇಯಿಸುವವರೆಗೆ ಬೇಯಿಸಬಹುದು. ತರಕಾರಿಗಳು ಬೇಯಿಸಿದ ನಂತರ, ನೀವು ಉಪ್ಪು ಮತ್ತು ಗರಂ ಮಸಾಲಾ ಮತ್ತು ನ್ಯೂಟ್ರಲೈಟ್ ಆಚಾರಿ ಸೇರಿಸಿ. ಮಸಾಲಾವನ್ನು ಲೇಪಿಸುವವರೆಗೆ ಹುರಿಯಿರಿ. ಗ್ರಿಲ್ ಪ್ಯಾನ್ ಅನ್ನು ಬಿಸಿ ಮಾಡಿ, ಬೆಣ್ಣೆಯನ್ನು ಸೇರಿಸಿ ಅದು ಸಿಜ್ ಮಾಡಲು ಪ್ರಾರಂಭಿಸಿದಾಗ ನೀವು ಬ್ರೆಡ್ ಅನ್ನು ಸೇರಿಸಿ ಮತ್ತು ಕಂದು ಬಣ್ಣಕ್ಕೆ ತಿರುಗುವವರೆಗೆ ಅವುಗಳನ್ನು ಟೋಸ್ಟ್ ಮಾಡಬಹುದು. ಜೋಡಿಸಲು, ನೀವು ಒಂದು ಚಮಚ ಸೌತೆಡ್ ತರಕಾರಿಯನ್ನು ಸೇರಿಸಿ ಮತ್ತು ಬಡಿಸಬಹುದು. ಅಯ್ಯಂಗಾರ್ ಸ್ಟೈಲ್ ಮಸಾಲಾ ಟೋಸ್ಟ್ ರೆಸಿಪಿ ಜೊತೆಗೆ ಕೆಲವು ಕೋಕೋ ಡಾಬಾನ್ ಗ್ಲಾಸ್ ತಾಜಾ ಬಾಳೆಹಣ್ಣಿನ ಜ್ಯೂಸ್ ಅನ್ನು ಬಡಿಸಿ. ಆಪಲ್ ಜ್ಯೂಸ್ ರೆಸಿಪಿ.
</t>
  </si>
  <si>
    <t>https://www.archanaskitchen.com/iyengar-style-masala-toast-recipe</t>
  </si>
  <si>
    <t>Gorikayi Palya Recipe - Karnataka Style Gawar Phali Sabzi</t>
  </si>
  <si>
    <t>ಗೋರಿಕಾಯಿ ಪಲ್ಯ ರೆಸಿಪಿ - ಕರ್ನಾಟಕ ಸ್ಟೈಲ್ ಗವರ್ ಫಾಲಿ ಸಬ್ಜಿ</t>
  </si>
  <si>
    <t>250 ಗ್ರಾಂ ಗವರ್ ಫಾಲಿ (ಕೋತವರಂಗೈ / ಕ್ಲಸ್ಟರ್ ಬೀನ್ಸ್) - ಕಚ್ಚಲು ಸ್ನ್ಯಾಪ್ ಮಾಡಿದ ಗಾತ್ರ, 1 ಟೀಚಮಚ ತೆಂಗಿನ ಎಣ್ಣೆ, 1/4 ಟೀಚಮಚ ಸಾಸಿವೆ, 2 ಚಿಗುರು ಕರಿಬೇವಿನ ಎಲೆಗಳು, 2 ಒಣ ಕೆಂಪು ಮೆಣಸಿನಕಾಯಿಗಳು, 1/4 ಕಪ್ ತಾಜಾ ತೆಂಗಿನಕಾಯಿ, 2 ಟೇಬಲ್ಸ್ಪೂನ್ ಎಳ್ಳು ಬೀಜಗಳು (ಟಿಲ್ ಬೀಜಗಳು), 4 ಲವಂಗ, ಕೆಂಪು ಮೆಣಸು, 1 ಚಮಚ ಹಸಿಮೆಣಸಿನಕಾಯಿ - 1 ಗ್ರಾಂ. ಬೆಲ್ಲ, ಉಪ್ಪು - ರುಚಿಗೆ</t>
  </si>
  <si>
    <t>250 grams Gawar Phali (Kothavarangai / Cluster beans) - snapped to bite size,1 teaspoon Coconut Oil,1/4 teaspoon Mustard seeds,2 sprig Curry leaves,2 Dry Red Chillies,1/4 cup Fresh coconut,2 tablespoon Sesame seeds (Til seeds),4 cloves Garlic - peeled,3 Dry Red Chillies,10 grams Tamarind,1 tablespoon Jaggery,Salt - to taste</t>
  </si>
  <si>
    <t xml:space="preserve">To begin making the Gorikayi Palya Recipe (Karnataka Style Cluster Beans Sabzi), steam gawar phali or cluster beans (Gorikayi) in a vegetable steamer or in a pressure cooked, adding 1 tablespoon water and cook for two whistles.Once cooked, turn off the heat and release the pressure immediately, so the Gorikayi remains green.Blend all the ingredients mentioned in the "To Grind" section to a coarse paste including fresh coconut, sesame seeds, garlic, dry red chillies, tamarind, jaggery and salt without adding any water.Heat oil in a kadai with a little oil. Add mustard seeds and allow it to crackle. Add curry leaves and red chillies saute till crisp. Stir in the ground coconut mixture and the steamed Gorikayi and give it a stir to combine well.Check the salt and adjust accordingly. Once done, turn off the heat and serve.Make this Gorikayi Palya for lunch or dinner and serve along with Thandu Keerai Sambar, Steamed Rice and Elai Vadam.
</t>
  </si>
  <si>
    <t xml:space="preserve">ಗೋರಿಕಾಯಿ ಪಲ್ಯ ರೆಸಿಪಿ (ಕರ್ನಾಟಕ ಸ್ಟೈಲ್ ಕ್ಲಸ್ಟರ್ ಬೀನ್ಸ್ ಸಬ್ಜಿ), ಸ್ಟೀಮ್ ಗವರ್ ಫಾಲಿ ಅಥವಾ ಕ್ಲಸ್ಟರ್ ಬೀನ್ಸ್ (ಗೋರಿಕಾಯಿ) ಅನ್ನು ತರಕಾರಿ ಸ್ಟೀಮರ್‌ನಲ್ಲಿ ಅಥವಾ ಬೇಯಿಸಿದ ಒತ್ತಡದಲ್ಲಿ ತಯಾರಿಸಲು ಪ್ರಾರಂಭಿಸಲು, 1 ಚಮಚ ನೀರು ಸೇರಿಸಿ ಮತ್ತು ಎರಡು ಸೀಟಿಗಳಿಗೆ ಬೇಯಿಸಿ. ಬೇಯಿಸಿದ ನಂತರ, ಉರಿಯನ್ನು ಆಫ್ ಮಾಡಿ ಮತ್ತು ಒತ್ತಿದ ಪದಾರ್ಥಗಳನ್ನು ತಕ್ಷಣ ಬಿಡಿ. ತಾಜಾ ತೆಂಗಿನಕಾಯಿ, ಎಳ್ಳು, ಬೆಳ್ಳುಳ್ಳಿ, ಒಣ ಮೆಣಸಿನಕಾಯಿ, ಹುಣಸೆಹಣ್ಣು, ಬೆಲ್ಲ ಮತ್ತು ಉಪ್ಪು ಸೇರಿದಂತೆ ಒರಟಾದ ಪೇಸ್ಟ್‌ಗೆ "ರುಬ್ಬಲು" ವಿಭಾಗವನ್ನು ಯಾವುದೇ ನೀರನ್ನು ಸೇರಿಸದೆ. ಕಡಾಯಿಯಲ್ಲಿ ಸ್ವಲ್ಪ ಎಣ್ಣೆಯೊಂದಿಗೆ ಎಣ್ಣೆಯನ್ನು ಬಿಸಿ ಮಾಡಿ. ಸಾಸಿವೆ ಕಾಳುಗಳನ್ನು ಸೇರಿಸಿ ಮತ್ತು ಅದನ್ನು ಸಿಡಿಸಲು ಬಿಡಿ. ಕರಿಬೇವಿನ ಎಲೆಗಳು ಮತ್ತು ಕೆಂಪು ಮೆಣಸಿನಕಾಯಿಗಳನ್ನು ಸೇರಿಸಿ ಗರಿಗರಿಯಾಗುವವರೆಗೆ ಹುರಿಯಿರಿ. ರುಬ್ಬಿದ ತೆಂಗಿನಕಾಯಿ ಮಿಶ್ರಣ ಮತ್ತು ಆವಿಯಲ್ಲಿ ಬೇಯಿಸಿದ ಗೋರಿಕಾಯಿಯನ್ನು ಬೆರೆಸಿ ಮತ್ತು ಚೆನ್ನಾಗಿ ಮಿಶ್ರಣ ಮಾಡಲು ಬೆರೆಸಿ. ಉಪ್ಪನ್ನು ಪರಿಶೀಲಿಸಿ ಮತ್ತು ಅದಕ್ಕೆ ತಕ್ಕಂತೆ ಹೊಂದಿಸಿ. ಒಮ್ಮೆ ಮಾಡಿದ ನಂತರ, ಶಾಖವನ್ನು ಆಫ್ ಮಾಡಿ ಮತ್ತು ಬಡಿಸಿ. ಈ ಗೋರಿಕಾಯಿ ಪಲ್ಯವನ್ನು ಮಧ್ಯಾಹ್ನ ಅಥವಾ ರಾತ್ರಿಯ ಊಟಕ್ಕೆ ಮಾಡಿ ಮತ್ತು ತಂಡು ಕೀರೈ ಸಾಂಬಾರ್, ಬೇಯಿಸಿದ ಅನ್ನ ಮತ್ತು ಎಲೈ ವಡಮ್ ಜೊತೆಗೆ ಬಡಿಸಿ.
</t>
  </si>
  <si>
    <t>https://www.archanaskitchen.com/gorikayi-palya-recipe-karnataka-style-cluster-beans-sabzi</t>
  </si>
  <si>
    <t>Sesame Seeds Chutney</t>
  </si>
  <si>
    <t>ಎಲ್ಲು ಚಟನಿ ರೆಸಿಪಿ - ಎಳ್ಳು ಬೀಜಗಳ ಚಟ್ನಿ (ಹಿಂದಿಯಲ್ಲಿ ಪಾಕವಿಧಾನ)</t>
  </si>
  <si>
    <t>3 ಬಡೆ ಚಮಚ್ಚ ಕಾಲೆ ತಿಲ,1 ಬಡ ಚಮಚ್ಚ ಸಫ಼ೆದ ಉರದ ದಲ, ೩ ಬಡಚದಮ - ಕಸ್ ಲೇ,5 ಸುಖಿ ಲಾಲ್ ಮಿರ್ಚ್,ಕಢಿ ಪತ್ತಾ - ತೊಡೆ,ಇಮಲಿ - ಛೋಟಿ,ನಮಕ - ಸ್ವಾದ ಅನುಸಾರ,1 ಚಮಚ್ಚ ತೇಲ್ - ಪ್ರಯೋಗ ಅನುಸಾರ್,1 ಛೋಟಾ ಚಮಚ್ಚ ತೇಲ್,1/2 ಛೋಟಾ ಚಮಚ್ಚ್, ಇಚ್ಛೆ ಥೋಡೆ</t>
  </si>
  <si>
    <t>3 बड़े चमच्च काले तिल,1 बड़ा चमच्च सफ़ेद उरद दाल,3 बड़े चमच्च नारियल - कस ले,5 सुखी लाल मिर्च,कढ़ी पत्ता - थोड़े,इमली - छोटी,नमक - स्वाद अनुसार,1 छोटा चमच्च तेल - प्रयोग अनुसार,1 छोटा चमच्च तेल,1/2 छोटा चमच्च राइ,कढ़ी पत्ता - थोड़े</t>
  </si>
  <si>
    <t>"To make Ellu Chutney, first soak tamarind in some water. Now heat a pan and add black sesame seeds to it. Keep roasting on medium flame. After roasting, take it out and keep it aside. Now heat 1 teaspoon oil in the same pan. Add urad dal, dried red chilli and curry leaves to it, cook till the dal turns golden. Turn off the gas. Now in a mixer grinder, add black sesame seeds, tamarind along with water, red chilli and dal mixture and salt. Grind till it forms a thick paste. Take out this chutney in a bowl. Now heat oil in a tempering pan. Add mustard seeds to it and let it cook for 10 seconds. After 10 seconds, add curry leaves to it. After 5 seconds, add this tempering to the chutney and mix it. Serve. Serve Ellu Chutney with Mixed Vegetable Sambar, Rice and Chow Chow Thoran."</t>
  </si>
  <si>
    <t xml:space="preserve">ಎಲ್ಲಾ ಚಟನಿ ಕೋ ಬನಾನೆ ಗೆ ಲಿಯೇ ಸಬಸೆ ಪಹಳೆ ಇಮಲಿ ಕೋ ತೊಡೆ ಪಾನಿ ಮೆಂ ಭಿಗೋ. ಅಬ್ ಎಕ್ ಕಢೈ ಗರಂ ಕರೆಂ ಮತ್ತು ಉಸಮೆ ಕಾಲೇ ತಿಲ್ ಡಾಲೆ. ಮಧ್ಯಮ ಆಂಚ್ ಪರ್ ರೋಸ್ಟ್ ಕರತೆ ರಹೇ. ರೋಸ್ಟ್ ಹೋ ಜಾನೇ ಕೆ ಬಾದ್ ಅಲಗ್ ಸೆ ನಿಕಾಲ್ ಕರ್ ರಖ್ ದೇ. AB ಉಸಿ ಕಥೆಯಲ್ಲಿ 1 ಛೋಟಾ ಚಮಚ್ಚ ತೇಲ್ ಗರಂ ಕರೆಂ. ಅದೇ ರೀತಿ ಉರದ ದಾಲ್, ಸುಖಿ ಲಾಲ್ ಮಿರ್ಚ್ ಮತ್ತು ಕಢೀ ಪತ್ತಾ ದಾಲೆ, ದಾಲ್ ಕೆ ಸುನಹರಾ ಹೋನೆ ಗೈಸ್ ಬಂದ ಕರ್ ಲೇ. ಅಬ್ ಎಕ್ ಮಿಕ್ಸರ್ ಗ್ರೈಂಡರ್ ನಲ್ಲಿ ಕಾಲೆ ತಿಲ್, ಇಮಲಿ ಪಾನಿ ಕೆ ಸಾಥ್, ಲಾಲ್ ಮಿರ್ಚ್ ಮತ್ತು ದಾಲ್ ಕಾ ರಮಣಶ್ ದಾಲೆ. ಗಾಢಾ ಪೆಸ್ಟ್ ಬನಾನೆ ತಕ ಪೀಸ್ ಲೆ. ಈ ಚಟನಿ ಕೋ ಒಂದು ಬೌಲ್ ಮೆನ್ ನಿಕಾಲ್ ಲೆ. ಅಬ್ ಎಕ್ ತಡಕಾ ಪೈನ್ ಮೆಂ ತೇಲ್ ಗರಂ ಕರೆಂ. ಅದೇ ರೀತಿ ರೈ ದಾಲೆ ಮತ್ತು 10 ಸೆಕಂಡ್ಸ್ ತಕ ಪಕನೆ ದೆ. 10 ಸೆಕೆಂಡ್‌ಗಳು 5 ಸೆಕೆಂಡ್‌ಗಳು ಈ ಕೆಳಗಿನವುಗಳನ್ನು ಮಾಡುತ್ತವೆ. ಪರೋಸ್. ಎಲ್ಲಾ ಚಟನಿ ಕೋ ಮಿಕ್ಸ್ಡ್ ವೆಜಿಟೇಬಲ್ ಸಾಂಬರ್, ಚಾವಲ್ ಮತ್ತು ಚಾವು ಚಾವು ಥೋರನ್ ಕೆ.
</t>
  </si>
  <si>
    <t>http://www.archanaskitchen.com/sesame-seeds-chutney-recipe-in-hindi</t>
  </si>
  <si>
    <t>Karnataka Style Bassaru Palya Recipe - Toor Dal And Dill Leaves Stir Fry</t>
  </si>
  <si>
    <t>ಕರ್ನಾಟಕ ಶೈಲಿಯ ಬಸ್ಸಾರು ಪಲ್ಯ ರೆಸಿಪಿ - ತೂರ್ ದಾಲ್ ಮತ್ತು ಸಬ್ಬಸಿಗೆ ಎಲೆಗಳನ್ನು ಬೆರೆಸಿ ಫ್ರೈ ಮಾಡಿ</t>
  </si>
  <si>
    <t>1 ಕಪ್ ಅರ್ಹರ್ ದಾಲ್ (ಸ್ಪ್ಲಿಟ್ ದಲ್), 1/2 ಕಪ್ ಸಬ್ಬಸಿಗೆ ಎಲೆಗಳು, 1 ಈರುಳ್ಳಿ - ಕತ್ತರಿಸಿದ, 4 ಲವಂಗ ಬೆಳ್ಳುಳ್ಳಿ - ರುಬ್ಬಿದ, 1 ಟೀಚಮಚ ಸಾಸಿವೆ, 2 ಒಣ ಕೆಂಪು ಮೆಣಸಿನಕಾಯಿಗಳು, 1 ಟೀಚಮಚ ಬಿಳಿ ಉರಡ್ ದಾಲ್ (ಒಡೆದ), 1 ಟೀಚಮಚ ಚನಾ ದಾಲ್ (ಬಂಗಾಳ ಬೇಳೆ), 1 ಚಮಚ ಕರಿಬೇವಿನ ಎಲೆಗಳು, 1 ಚಮಚ ಕರಿಬೇವಿನ ಎಲೆಗಳು,</t>
  </si>
  <si>
    <t>1 cup Arhar dal (Split Toor Dal),1/2 cup Dill leaves,1 Onion - chopped,4 cloves Garlic - crushed,1 teaspoon Mustard seeds,2 Dry Red Chillies,1 teaspoon White Urad Dal (Split),1 teaspoon Chana dal (Bengal Gram Dal),1 sprig Curry leaves,1 teaspoon Turmeric powder (Haldi),Salt - to taste</t>
  </si>
  <si>
    <t xml:space="preserve">To begin making the Karnataka Style Bassaru Palya Recipe, firstly pressure cook the toor dal with 2 cups of water in a pressure cooker, add a little salt as well. Cook for about 2 whistle.Then once done, add in the dill leaves, and add about 1/2 cup of water and pressure cook again for about 1 whistle.Once done, drain all the water and keep the cooked dal and dill leaves.Heat a kadai with oil, and crackle the mustard seeds, urad dal, chana dal, dry red chilli and curry leaves.Add in onions and garlic and saute till it translucent. Then add in the cooked dal mixture and give it stir, season it with salt and turmeric powder. Mix well and serve. Serve the Karnataka Style Bassaru Palya Recipe along with Keerai Sambar and Steamed Rice for your everyday meals or serve it along with Tawa Paratha and Boondi Raita.
</t>
  </si>
  <si>
    <t xml:space="preserve">ಕರ್ನಾಟಕ ಶೈಲಿಯ ಬಸ್ಸಾರು ಪಲ್ಯ ರೆಸಿಪಿಯನ್ನು ತಯಾರಿಸಲು ಪ್ರಾರಂಭಿಸಲು, ಮೊದಲು ಪ್ರೆಶರ್ ಕುಕ್ಕರ್‌ನಲ್ಲಿ 2 ಕಪ್ ನೀರು ಹಾಕಿ, ಸ್ವಲ್ಪ ಉಪ್ಪನ್ನು ಸೇರಿಸಿ. ಸುಮಾರು 2 ವಿಸಿಲ್ ಬೇಯಿಸಿ. ನಂತರ ಒಮ್ಮೆ ಮಾಡಿದ ನಂತರ, ಸಬ್ಬಸಿಗೆ ಎಲೆಗಳನ್ನು ಸೇರಿಸಿ, ಮತ್ತು ಸುಮಾರು 1/2 ಕಪ್ ನೀರು ಸೇರಿಸಿ ಮತ್ತು ಸುಮಾರು 1 ಸೀಟಿಗೆ ಮತ್ತೊಮ್ಮೆ ಕುಕ್ ಮಾಡಿ. ಒಮ್ಮೆ ಮಾಡಿದ ನಂತರ, ಎಲ್ಲಾ ನೀರನ್ನು ಹರಿಸುತ್ತವೆ ಮತ್ತು ಬೇಯಿಸಿದ ಬೇಳೆ ಮತ್ತು ಮೆಂತ್ಯ ಎಲೆಗಳನ್ನು ಇಟ್ಟುಕೊಳ್ಳಿ. ಒಂದು ಕಡಾಯಿಯನ್ನು ಎಣ್ಣೆಯಿಂದ ಬಿಸಿ ಮಾಡಿ ಮತ್ತು ಸಾಸಿವೆ, ಉದ್ದಿನ ಬೇಳೆ, ಹಸಿಮೆಣಸು ಮತ್ತು ಬೆಳ್ಳುಳ್ಳಿ, ಒಣ ಮೆಣಸಿನಕಾಯಿ ಮತ್ತು ಕರಿಮೆಣಸಿನ ಮೇಲೆ ರುಬ್ಬಿಕೊಳ್ಳಿ. ಅರೆಪಾರದರ್ಶಕ. ನಂತರ ಬೇಯಿಸಿದ ದಾಲ್ ಮಿಶ್ರಣವನ್ನು ಸೇರಿಸಿ ಮತ್ತು ಅದನ್ನು ಬೆರೆಸಿ, ಉಪ್ಪು ಮತ್ತು ಅರಿಶಿನ ಪುಡಿಯೊಂದಿಗೆ ಒಗ್ಗರಣೆ ನೀಡಿ. ಚೆನ್ನಾಗಿ ಮಿಶ್ರಣ ಮಾಡಿ ಮತ್ತು ಬಡಿಸಿ. ಕರ್ನಾಟಕ ಶೈಲಿಯ ಬಸ್ಸಾರು ಪಲ್ಯ ರೆಸಿಪಿಯನ್ನು ಕೀರಾಯಿ ಸಾಂಬಾರ್ ಮತ್ತು ಸ್ಟೀಮ್ಡ್ ರೈಸ್ ಜೊತೆಗೆ ನಿಮ್ಮ ದಿನನಿತ್ಯದ ಊಟಕ್ಕೆ ಬಡಿಸಿ ಅಥವಾ ತವಾ ಪರಾಠ ಮತ್ತು ಬೂಂದಿ ರೈತಾ ಜೊತೆಗೆ ಬಡಿಸಿ.
</t>
  </si>
  <si>
    <t>https://www.archanaskitchen.com/karantaka-style-bassaur-palya-recipe-toor-dal-and-dill-leaves-stir-fry-recipe</t>
  </si>
  <si>
    <t>Karwar Style Phodni Phov Recipe- Red Rice Poha With Cashew Nuts</t>
  </si>
  <si>
    <t>ಕಾರವಾರ ಸ್ಟೈಲ್ ಫೋಡ್ನಿ ಫೋವ್ ರೆಸಿಪಿ- ಗೋಡಂಬಿಯೊಂದಿಗೆ ರೆಡ್ ರೈಸ್ ಪೋಹಾ</t>
  </si>
  <si>
    <t>2 ಕಪ್ ಕೆಂಪು ಪೋಹಾ (ಚಪ್ಪಟೆಯಾದ ಕೆಂಪು ಅಕ್ಕಿ), 4 ಟೇಬಲ್ಸ್ಪೂನ್ ತಾಜಾ ತೆಂಗಿನಕಾಯಿ - ತುರಿದ, 1/2 ಕಪ್ ಗೋಡಂಬಿ - ಅರ್ಧಕ್ಕೆ ಮುರಿದು, 1 ಟೀಚಮಚ ಸಾಸಿವೆ, 1/2 ಟೀಚಮಚ ಬಿಳಿ ಉದ್ದಿನ ಬೇಳೆ (ಒಡೆದ), 1/2 ಟೀಚಮಚ ಚನಾ ದಾಲ್ (ಬಂಗಾಳ ಬೇಳೆ), 1 ಚಿಟಿಕೆ ಇಂಗು (ಹಿಂಗ್), 1 ಚಮಚ ಎಲೆಕೋಸು, 2 ಟೀ ಚಮಚ ರಸ, ಉಪ್ಪು - ರುಚಿಗೆ</t>
  </si>
  <si>
    <t>2 cups Red Poha (Flattened Red Rice),4 tablespoons Fresh coconut - grated,1/2 cup Cashew nuts - broken into half,1 teaspoon Mustard seeds,1/2 teaspoon White Urad Dal (Split),1/2 teaspoon Chana dal (Bengal Gram Dal),1 pinch Asafoetida (hing),1 sprig Curry leaves,2 teaspoons Sunflower Oil,2 teaspoon Lemon juice,Salt - to taste</t>
  </si>
  <si>
    <t xml:space="preserve">To begin making Karwar Style Phodni Phov Recipe ( Red Rice Poha With Cashew Nuts), rinse the red poha in running water and then soak it in hot water for 8 minutes. Drain and wash again in cold water and keep aside in a strainer.Heat oil in a pan, add mustard seeds, urad and chana dal and let it splutter.Add asafoetida, curry leaves and let it crackle.Add the cashew nuts and saute until they have turned golden brown in colour.Now, add the drained red poha, season with salt and saute gently till everything comes together.Cover with a lid and cook for about 10 minutes or till done.Once done, add in the grated coconut, lemon juice and mix gently and switch off the heat.Serve the Karwar Style Phodni Phov Recipe ( Red Rice Poha With Cashew Nuts) for a healthy breakfast with a filter coffee or an evening after school snack along with Muskmelon (Kharbuj) Juice Recipe.
</t>
  </si>
  <si>
    <t xml:space="preserve">ಕಾರವಾರ ಸ್ಟೈಲ್ ಫೋಡ್ನಿ ಫೋವ್ ರೆಸಿಪಿ (ಗೋಡಂಬಿಯೊಂದಿಗೆ ಕೆಂಪು ಅಕ್ಕಿ ಪೋಹಾ) ತಯಾರಿಸಲು ಪ್ರಾರಂಭಿಸಲು, ಕೆಂಪು ಪೋಹಾವನ್ನು ಹರಿಯುವ ನೀರಿನಲ್ಲಿ ತೊಳೆಯಿರಿ ಮತ್ತು ನಂತರ ಅದನ್ನು 8 ನಿಮಿಷಗಳ ಕಾಲ ಬಿಸಿ ನೀರಿನಲ್ಲಿ ನೆನೆಸಿಡಿ. ಮತ್ತೆ ತಣ್ಣೀರಿನಲ್ಲಿ ತೊಳೆದು ಸೋಸಿ ಪಕ್ಕಕ್ಕೆ ಇಡಿ. ಬಾಣಲೆಯಲ್ಲಿ ಎಣ್ಣೆ ಬಿಸಿ ಮಾಡಿ ಸಾಸಿವೆ, ಉದ್ದಿನಬೇಳೆ, ಉದ್ದಿನಬೇಳೆ ಹಾಕಿ ಚಿಮುಕಿಸಲಿ ಒಟ್ಟಿಗೆ. ಒಂದು ಮುಚ್ಚಳದಿಂದ ಮುಚ್ಚಿ ಮತ್ತು ಸುಮಾರು 10 ನಿಮಿಷ ಬೇಯಿಸಿ ಅಥವಾ ಮುಗಿಯುವವರೆಗೆ ಬೇಯಿಸಿ. ಮುಗಿದ ನಂತರ, ತುರಿದ ತೆಂಗಿನಕಾಯಿ, ನಿಂಬೆ ರಸವನ್ನು ಸೇರಿಸಿ ಮತ್ತು ನಿಧಾನವಾಗಿ ಮಿಶ್ರಣ ಮಾಡಿ ಮತ್ತು ಉರಿಯನ್ನು ಆಫ್ ಮಾಡಿ. ಕಾರವಾರ ಸ್ಟೈಲ್ ಫೋಡ್ನಿ ಫೋವ್ ರೆಸಿಪಿ (ಗೋಡಂಬಿಯೊಂದಿಗೆ ಕೆಂಪು ಅಕ್ಕಿ ಪೋಹಾ) ಅನ್ನು ಆರೋಗ್ಯಕರ ಉಪಹಾರಕ್ಕಾಗಿ ಫಿಲ್ಟರ್ ಕಾಫಿ ಅಥವಾ ಸಂಜೆಯ ನಂತರ ಶಾಲಾ ತಿಂಡಿಯೊಂದಿಗೆ (ಎಂಸಿಬುಜ್ ಮೆಲ್ನ್) ಜೊತೆಗೆ ಬಡಿಸಿ.
</t>
  </si>
  <si>
    <t>http://www.archanaskitchen.com/phodni-phov-recipe-karwar-style-poha-with-cashewnuts</t>
  </si>
  <si>
    <t>Avarekalu Tikki Recipe</t>
  </si>
  <si>
    <t>ಅವರೆಕಾಳು ಟಿಕ್ಕಿ ರೆಸಿಪಿ</t>
  </si>
  <si>
    <t>1 ಕಪ್ ಅವರೆಕಾಳು / ಲಿಲ್ವಾ ಬೀನ್ಸ್, 3 ಆಲೂಗಡ್ಡೆ (ಆಲೂ) - ಬೇಯಿಸಿದ ಮತ್ತು ಸಿಪ್ಪೆ ಸುಲಿದ, 2 ಸಿಹಿ ಗೆಣಸು - ಬೇಯಿಸಿದ ಮತ್ತು ಸಿಪ್ಪೆ ಸುಲಿದ, 1 ಚಮಚ ಶುಂಠಿ - ತುರಿದ, 2 ಹಸಿರು ಮೆಣಸಿನಕಾಯಿಗಳು - ಸಣ್ಣದಾಗಿ ಕೊಚ್ಚಿದ, 1 ಈರುಳ್ಳಿ - ನುಣ್ಣಗೆ ಕತ್ತರಿಸಿದ, 1 ಚಮಚ ಕೊತ್ತಂಬರಿ ಪುಡಿ (1 ಚಮಚ ಧನಿಯಾ ಪುಡಿ), 1 ಚಮಚ ಧನಿಯಾ ಪುಡಿ (1 ಚಮಚ ಧನಿಯಾ), ಅರಿಶಿನ ಪುಡಿ (ಹಲ್ದಿ), 1/4 ಕಪ್ ಪುದೀನಾ (ಪುದೀನಾ) - ಕತ್ತರಿಸಿದ, 1/4 ಕಪ್ ಕೊತ್ತಂಬರಿ (ಧನಿಯಾ) ಎಲೆಗಳು - ಕತ್ತರಿಸಿದ, ಸೂರ್ಯಕಾಂತಿ ಎಣ್ಣೆ - ತುಪ್ಪಕ್ಕಾಗಿ, ಉಪ್ಪು - ರುಚಿಗೆ</t>
  </si>
  <si>
    <t>1 cup Avarekalu / Lilva Beans,3 Potatoes (Aloo) - boiled and peeled,2 Sweet Potatoes - boiled and peeled,1 teaspoon Ginger - grated,2 Green Chillies - finely chopped,1 Onion - finely chopped,1 tablespoon Coriander Powder (Dhania),1 tablespoon Garam masala powder,1 tablespoon Cumin powder (Jeera),1 teaspoon Turmeric powder (Haldi),1/4 cup Mint Leaves (Pudina) - chopped,1/4 cup Coriander (Dhania) Leaves - chopped,Sunflower Oil - for greasing,Salt - to taste</t>
  </si>
  <si>
    <t xml:space="preserve">To begin making the Avarekalu Tikki Recipe Recipe, first prep all the ingredients and keep them ready.Boil the potatoes in the pressure cooker, peel and keep them aside. In the same pressure cooker add the avarekalu with some water and salt and boil it for 3 whistles. Leave it aside to release the pressure naturally.In a bowl, add in both the boiled regular potatoes and sweet potatoes, cooked avarekalu beans, a teaspoon of grated ginger, two roughly chopped green chilies, a large finely chopped onion, spice powder, chopped mint leaves, coriander leaves and some salt to taste.Use your hand to mash them until the potatoes are coarsely mashed and all the ingredients come together. Once it is mixed well, shape them into kebabs or tikkis.Grease your fingers with a little oil and shape the potato dough into bite size tikkis or large lemon size balls.Proceed the similar way with the remaining mixture.You can also shape the dough in the form of a cylinder like the kebabs, dust them in breadcrumbs and insert them into a skewer and grill them. I will now place the tikkis over a heated flat pan for about 15 minutes on either side until lightly browned.Drizzle some oil on each of the tikkis. If you want it to be crisper then you can drizzle some more oil on top of the aloo tikkis .The oil will give them a soft and yet crisp texture.Serve the Avarekalu Tikki Recipe along with Masala Chai and Mavinakayi Chitranna Recipe for your evening snack.
</t>
  </si>
  <si>
    <t xml:space="preserve">ಅವರೆಕಾಳು ಟಿಕ್ಕಿ ರೆಸಿಪಿಯನ್ನು ತಯಾರಿಸಲು ಪ್ರಾರಂಭಿಸಲು, ಮೊದಲು ಎಲ್ಲಾ ಪದಾರ್ಥಗಳನ್ನು ತಯಾರಿಸಿ ಮತ್ತು ಅವುಗಳನ್ನು ಸಿದ್ಧವಾಗಿಡಿ. ಒತ್ತಡದ ಕುಕ್ಕರ್‌ನಲ್ಲಿ ಆಲೂಗಡ್ಡೆಯನ್ನು ಕುದಿಸಿ, ಸಿಪ್ಪೆ ತೆಗೆದು ಅವುಗಳನ್ನು ಪಕ್ಕಕ್ಕೆ ಇರಿಸಿ. ಅದೇ ಪ್ರೆಶರ್ ಕುಕ್ಕರ್‌ನಲ್ಲಿ ಅವರೆಕಾಳು ಸ್ವಲ್ಪ ನೀರು ಮತ್ತು ಉಪ್ಪು ಸೇರಿಸಿ 3 ಸೀಟಿಗೆ ಕುದಿಸಿ. ನೈಸರ್ಗಿಕವಾಗಿ ಒತ್ತಡವನ್ನು ಬಿಡುಗಡೆ ಮಾಡಲು ಅದನ್ನು ಬಿಡಿ. ಒಂದು ಬಟ್ಟಲಿನಲ್ಲಿ, ಬೇಯಿಸಿದ ಸಾಮಾನ್ಯ ಆಲೂಗಡ್ಡೆ ಮತ್ತು ಸಿಹಿ ಗೆಣಸು, ಬೇಯಿಸಿದ ಅವರೆಕಾಳು ಬೀನ್ಸ್, ಒಂದು ಚಮಚ ತುರಿದ ಶುಂಠಿ, ಎರಡು ಸ್ಥೂಲವಾಗಿ ಕತ್ತರಿಸಿದ ಹಸಿರು ಮೆಣಸಿನಕಾಯಿಗಳು, ಸಣ್ಣದಾಗಿ ಕೊಚ್ಚಿದ ಈರುಳ್ಳಿ, ಮಸಾಲೆ ಪುಡಿ, ಕತ್ತರಿಸಿದ ಪುದೀನ ಎಲೆಗಳು, ಕೊತ್ತಂಬರಿ ಸೊಪ್ಪು ಮತ್ತು ಸ್ವಲ್ಪ ಉಪ್ಪು ಸೇರಿಸಿ. ಇದು ಚೆನ್ನಾಗಿ ಮಿಶ್ರಣವಾದ ನಂತರ, ಅವುಗಳನ್ನು ಕಬಾಬ್ ಅಥವಾ ಟಿಕ್ಕಿಗಳಾಗಿ ಆಕಾರ ಮಾಡಿ. ನಿಮ್ಮ ಬೆರಳುಗಳಿಗೆ ಸ್ವಲ್ಪ ಎಣ್ಣೆಯಿಂದ ಗ್ರೀಸ್ ಮಾಡಿ ಮತ್ತು ಆಲೂಗಡ್ಡೆ ಹಿಟ್ಟನ್ನು ಬೈಟ್ ಗಾತ್ರದ ಟಿಕ್ಕಿಗಳು ಅಥವಾ ದೊಡ್ಡ ನಿಂಬೆ ಗಾತ್ರದ ಉಂಡೆಗಳಾಗಿ ರೂಪಿಸಿ. ಉಳಿದ ಮಿಶ್ರಣದೊಂದಿಗೆ ಇದೇ ರೀತಿಯಲ್ಲಿ ಮುಂದುವರಿಯಿರಿ. ನೀವು ಹಿಟ್ಟನ್ನು ಸಿಲಿಂಡರ್ ರೂಪದಲ್ಲಿ ಕಬಾಬ್ಗಳಂತೆಯೇ ರೂಪಿಸಬಹುದು ಮತ್ತು ಅವುಗಳನ್ನು ಬ್ರೆಡ್ ಕ್ರಂಬ್ಸ್ನಲ್ಲಿ ಪುಡಿಮಾಡಿ. ನಾನು ಈಗ ಟಿಕ್ಕಿಗಳನ್ನು ಬಿಸಿಮಾಡಿದ ಫ್ಲಾಟ್ ಪ್ಯಾನ್‌ನಲ್ಲಿ ಸುಮಾರು 15 ನಿಮಿಷಗಳ ಕಾಲ ಎರಡೂ ಬದಿಯಲ್ಲಿ ಲಘುವಾಗಿ ಕಂದು ಬಣ್ಣ ಬರುವವರೆಗೆ ಇಡುತ್ತೇನೆ. ಪ್ರತಿ ಟಿಕ್ಕಿಗಳ ಮೇಲೆ ಸ್ವಲ್ಪ ಎಣ್ಣೆಯನ್ನು ಸವರಿ. ಇದು ಗರಿಗರಿಯಾಗಬೇಕೆಂದು ನೀವು ಬಯಸಿದರೆ ನಂತರ ನೀವು ಆಲೂ ಟಿಕ್ಕಿಗಳ ಮೇಲೆ ಇನ್ನೂ ಸ್ವಲ್ಪ ಎಣ್ಣೆಯನ್ನು ಚಿಮುಕಿಸಬಹುದು .ಎಣ್ಣೆ ಅವುಗಳಿಗೆ ಮೃದುವಾದ ಮತ್ತು ಇನ್ನೂ ಗರಿಗರಿಯಾದ ವಿನ್ಯಾಸವನ್ನು ನೀಡುತ್ತದೆ. ಅವರೆಕಾಳು ಟಿಕ್ಕಿ ರೆಸಿಪಿ ಜೊತೆಗೆ ಮಸಾಲಾ ಚಾಯ್ ಮತ್ತು ಮಾವಿನಕಾಯಿ ಚಿತ್ರಾನ್ನ ರೆಸಿಪಿಯನ್ನು ನಿಮ್ಮ ಸಂಜೆಯ ತಿಂಡಿಗಾಗಿ ಬಡಿಸಿ.
</t>
  </si>
  <si>
    <t>http://www.archanaskitchen.com/avarekalu-tikki-recipe</t>
  </si>
  <si>
    <t>Karnataka Style Sabsige Soppu Akki Rotti (Dill leaves and flattened Rice Bread Recipe)</t>
  </si>
  <si>
    <t>ಕರ್ನಾಟಕ ಶೈಲಿಯ ಸಬ್ಸಿಗೆ ಸೊಪ್ಪು ಅಕ್ಕಿ ರೊಟ್ಟಿ (ಸಬ್ಬಸಿಗೆ ಎಲೆಗಳು ಮತ್ತು ಚಪ್ಪಟೆಯಾದ ರೈಸ್ ಬ್ರೆಡ್ ರೆಸಿಪಿ)</t>
  </si>
  <si>
    <t>1 ಕಪ್ ಅಕ್ಕಿ ಹಿಟ್ಟು, 1 ಕಪ್ ಪೋಹಾ (ಚಪ್ಪಟೆಯಾದ ಅಕ್ಕಿ), 1 ಕಪ್ ಸಬ್ಬಸಿಗೆ ಎಲೆಗಳು - ಕತ್ತರಿಸಿದ, 2 ಹಸಿರು ಮೆಣಸಿನಕಾಯಿ - ಕತ್ತರಿಸಿದ, 1 ಚಮಚ ಜೀರಿಗೆ (ಜೀರಾ), ಉಪ್ಪು - ರುಚಿಗೆ</t>
  </si>
  <si>
    <t>1 cup Rice flour,1 cup Poha (Flattened rice),1 cup Dill leaves - chopped,2 Green Chilli - chopped,1 teaspoon Cumin seeds (Jeera),Salt - to taste</t>
  </si>
  <si>
    <t xml:space="preserve">We begin making the Karnataka Style Sabsige Soppu Akki Rotti (Dill leaves and flattened Rice Bread Recipe) by soaking the flattened rice with 1/2 cup water for about 30 minutes.Then mash it, till it becomes a soft dough and add the remaining ingredients and bind it using 1/4 cup luke warm water. Knead it to a wet dough but not sticky.Cover with a damp cloth and rest for about 10 minutes.Now to prepare the roti, place a non stick tawa/skillet on the heat. Spread out a large piece of plastic, or parchment paper on your work surface.Grease your palms with oil. Pinch a big ball of dough place it in the centre of the parchment or plastic. Then gently flatten it out to form a hand-patted disc, similar to Thalipeeth.Lift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roti off the skillet, add a dollop of butter or ghee, and serve immediately. Serve the Karnataka Style Sabsige Soppu Akki Rotti (Dill leaves and flattened Rice Bread Recipe) can be serve along with Karuveppilai Chutney Recipe (A Healthy Curry Leaves Chutney).
</t>
  </si>
  <si>
    <t xml:space="preserve">ನಾವು ಚಪ್ಪಟೆಯಾದ ಅಕ್ಕಿಯನ್ನು 1/2 ಕಪ್ ನೀರಿನಲ್ಲಿ ಸುಮಾರು 30 ನಿಮಿಷಗಳ ಕಾಲ ನೆನೆಸಿ ಕರ್ನಾಟಕ ಶೈಲಿಯ ಸಬ್ಬಸಿಗೆ ಸೊಪ್ಪು ಅಕ್ಕಿ ರೊಟ್ಟಿ (ಸಬ್ಬಸಿಗೆ ಎಲೆಗಳು ಮತ್ತು ಚಪ್ಪಟೆಯಾದ ರೈಸ್ ಬ್ರೆಡ್ ರೆಸಿಪಿ) ತಯಾರಿಸಲು ಪ್ರಾರಂಭಿಸುತ್ತೇವೆ. ಇದನ್ನು ಒದ್ದೆಯಾದ ಹಿಟ್ಟಿಗೆ ಬೆರೆಸಿಕೊಳ್ಳಿ ಆದರೆ ಅಂಟಿಕೊಳ್ಳುವುದಿಲ್ಲ. ಒದ್ದೆಯಾದ ಬಟ್ಟೆಯಿಂದ ಮುಚ್ಚಿ ಮತ್ತು ಸುಮಾರು 10 ನಿಮಿಷಗಳ ಕಾಲ ವಿಶ್ರಾಂತಿ ಮಾಡಿ. ಈಗ ರೋಟಿಯನ್ನು ತಯಾರಿಸಲು, ಶಾಖದ ಮೇಲೆ ನಾನ್ ಸ್ಟಿಕ್ ತವಾ / ಬಾಣಲೆಯನ್ನು ಇರಿಸಿ. ನಿಮ್ಮ ಕೆಲಸದ ಮೇಲ್ಮೈಯಲ್ಲಿ ದೊಡ್ಡದಾದ ಪ್ಲಾಸ್ಟಿಕ್ ಅಥವಾ ಚರ್ಮಕಾಗದದ ಕಾಗದವನ್ನು ಹರಡಿ. ನಿಮ್ಮ ಅಂಗೈಗಳನ್ನು ಎಣ್ಣೆಯಿಂದ ಗ್ರೀಸ್ ಮಾಡಿ. ಹಿಟ್ಟಿನ ದೊಡ್ಡ ಚೆಂಡನ್ನು ಪಿಂಚ್ ಮಾಡಿ ಅದನ್ನು ಚರ್ಮಕಾಗದದ ಅಥವಾ ಪ್ಲಾಸ್ಟಿಕ್‌ನ ಮಧ್ಯದಲ್ಲಿ ಇರಿಸಿ. ನಂತರ ಥಾಲಿಪೀತ್‌ನಂತೆಯೇ ಕೈಯಿಂದ ಪ್ಯಾಟೆಡ್ ಡಿಸ್ಕ್ ಅನ್ನು ರೂಪಿಸಲು ಅದನ್ನು ನಿಧಾನವಾಗಿ ಚಪ್ಪಟೆಗೊಳಿಸಿ. ಕಾಗದವನ್ನು ಮೇಲಕ್ಕೆತ್ತಿ, ಅದರ ಮೇಲೆ ರೊಟ್ಟಿಯೊಂದಿಗೆ ಮತ್ತು ಅದನ್ನು ತಿರುಗಿಸಿ, ಬಿಸಿ ಬಾಣಲೆಯ ಮೇಲೆ ರೊಟ್ಟಿಯೊಂದಿಗೆ ಬಾಣಲೆಯ ಮೇಲೆ ಇರಿಸಿ. ಕಾಗದದಿಂದ ರೊಟ್ಟಿ ಸಿಪ್ಪೆಯನ್ನು ಎಚ್ಚರಿಕೆಯಿಂದ ಬೆಂಬಲಿಸುವುದು. ರೊಟ್ಟಿಯ ಅಂಚುಗಳ ಉದ್ದಕ್ಕೂ ಮತ್ತು ಮಧ್ಯದಲ್ಲಿ ಸ್ವಲ್ಪ ಎಣ್ಣೆಯನ್ನು ಚಿಮುಕಿಸಿ, ರೊಟ್ಟಿಯ ಮೇಲೆ ಮಾಡಿದ ರಂಧ್ರಕ್ಕೆ ಮತ್ತು ಅದನ್ನು ಸಿಝಲ್ ಮತ್ತು ಗರಿಗರಿಯಾಗಲು ಅನುಮತಿಸಿ. ಅರ್ಧ ಬೇಯಿಸಿದಂತೆ ತೋರಿದಾಗ, ಇನ್ನೊಂದು ಬದಿಯಲ್ಲಿ ಬೇಯಿಸಲು ಒಂದು ಚಾಕು ಜೊತೆ ರೊಟ್ಟಿಯನ್ನು ತಿರುಗಿಸಿ. ನಿಮಗೆ ಎರಡೂ ಬದಿಗಳಲ್ಲಿ ಕಂದು ತೇಪೆಗಳಿರುವವರೆಗೆ ಚೆನ್ನಾಗಿ ಬೇಯಿಸಿ. ನಂತರ, ಬಾಣಲೆಯಿಂದ ರೊಟ್ಟಿಯನ್ನು ತೆಗೆದುಕೊಂಡು, ಬೆಣ್ಣೆ ಅಥವಾ ತುಪ್ಪವನ್ನು ಸೇರಿಸಿ ಮತ್ತು ತಕ್ಷಣವೇ ಬಡಿಸಿ. ಕರ್ನಾಟಕ ಶೈಲಿಯ ಸಬ್ಸಿಗೆ ಸೊಪ್ಪು ಅಕ್ಕಿ ರೊಟ್ಟಿ (ಸಬ್ಬಸಿಗೆ ಎಲೆಗಳು ಮತ್ತು ಚಪ್ಪಟೆಯಾದ ಅಕ್ಕಿ ರೊಟ್ಟಿ ರೆಸಿಪಿ) ಅನ್ನು ಕರುವೆಪ್ಪಿಲೈ ಚಟ್ನಿ ರೆಸಿಪಿ (ಒಂದು ಆರೋಗ್ಯಕರ ಕರಿಬೇವಿನ ಚಟ್ನಿ) ಜೊತೆಗೆ ಬಡಿಸಬಹುದು.
</t>
  </si>
  <si>
    <t>https://www.archanaskitchen.com/karnataka-style-sabsige-soppu-akki-rotti-dill-leaves-and-flattened-rice-bread-recipe</t>
  </si>
  <si>
    <t>Sagu Masala Dosa Recipe</t>
  </si>
  <si>
    <t>ಸಾಗು ಮಸಾಲಾ ದೋಸೆ ರೆಸಿಪಿ</t>
  </si>
  <si>
    <t>3/4 ಕಪ್ ಬಿಳಿ ಉರಡ್ ದಾಲ್ (ಒಡೆದ), 1 ಕಪ್ ಕೆಂಪು ಮಟ್ಟಾ ಅಕ್ಕಿ, 1 ಕಪ್ ದೋಸೆ ಅಕ್ಕಿ, 1/4 ಕಪ್ ಪೋಹಾ (ಚಪ್ಪಟೆಯಾದ ಅಕ್ಕಿ), 1/4 ಕಪ್ ಚನಾ ದಾಲ್ (ಬಂಗಾಳ ಬೇಳೆ), 1/4 ಕಪ್ ಅರ್ಹರ್ ದಾಲ್ (ಒಡೆದ ದಾಲ್), 2 ಟೀ ಚಮಚ ಮೇಥಿ ಬೀಜಗಳು (ಮೆಂತ್ಯ ಬೀಜಗಳು), 2 ಕಪ್ ಅಕ್ಕಿ - 2 ಕಪ್, ಹಿಟ್ಟು / ರುಚಿಗೆ 2 ಕಪ್, ಶುಂಠಿ ಕ್ಯಾರೆಟ್ (ಗಜ್ಜರ್) - 1/2 ಇಂಚಿನ ತುಂಡುಗಳಾಗಿ ಕತ್ತರಿಸಿ, 1/2 ಕಪ್ ಹಸಿರು ಬೀನ್ಸ್ (ಫ್ರೆಂಚ್ ಬೀನ್ಸ್) - 1/2 ಇಂಚಿನ ತುಂಡುಗಳಾಗಿ ಕತ್ತರಿಸಿ, 1/2 ಕಪ್ ಟರ್ನಿಪ್ಸ್ - 1/2 ಇಂಚಿನ ತುಂಡುಗಳಾಗಿ ಕತ್ತರಿಸಿ, 1/2 ಕಪ್ ಕಡ್ಡು (ಪರಂಗಿಕಾಯಿ (ಒಂದು ಕುಂಬಳಕಾಯಿ) (ಕೆಂಪು / ಕುಂಬಳಕಾಯಿ) ದಾಲ್) - + 1 ಟೀಚಮಚ ಹೆಚ್ಚುವರಿ, 2 ಟೀಚಮಚ ಹುಣಸೆ ಪೇಸ್ಟ್, ಬೆಲ್ಲ - ಅಗತ್ಯವಿರುವಂತೆ (ಐಚ್ಛಿಕ), 2 ಟೇಬಲ್ಸ್ಪೂನ್ ಕೊತ್ತಂಬರಿ (ಧನಿಯಾ) ಎಲೆಗಳು - ಸಣ್ಣದಾಗಿ ಕೊಚ್ಚಿದ, ಸೂರ್ಯಕಾಂತಿ ಎಣ್ಣೆ - ಅಗತ್ಯವಿದ್ದಷ್ಟು, 1/2 ಟೀಚಮಚ ಜೀರಿಗೆ (ಜೀರಾ), 1 ಚಮಚ ಕೊತ್ತಂಬರಿ (ಧನಿಯಾ) ಬೀಜಗಳು, 3 ಒಣ ಮೆಣಸಿನಕಾಯಿ, ಒಣ ಮೆಣಸಿನಕಾಯಿಗಳು ಕಡ್ಡಿ (ದಾಲ್ಚಿನಿ), ಅರಿಶಿನ ಪುಡಿ (ಹಲ್ದಿ) - ಒಂದು ಚಿಟಿಕೆ, 2 ಚಮಚ ತಾಜಾ ತೆಂಗಿನಕಾಯಿ - ತುರಿದ, 1 ಈರುಳ್ಳಿ - ಸಣ್ಣದಾಗಿ ಕೊಚ್ಚಿದ, 1 ಟೀಚಮಚ ಸಾಸಿವೆ, 1 ಒಣ ಕೆಂಪು ಮೆಣಸಿನಕಾಯಿ, 1/4 ಟೀಚಮಚ ಇಂಗು (ಹಿಂಗ್), 8-10 ಕರಿಬೇವಿನ ಎಲೆಗಳು, ಉಪ್ಪು - ರುಚಿಗೆ, 1/3 ಕಪ್ ಹುರಿದ ಚಿಪ್ಪಿನ ದಳ ಚಮಚ ತಾಜಾ ತೆಂಗಿನಕಾಯಿ - ತುರಿದ, 1/2 ಟೀಚಮಚ ಹುಣಸೆಹಣ್ಣಿನ ಪೇಸ್ಟ್, 3 ಲವಂಗ ಬೆಳ್ಳುಳ್ಳಿ, ಉಪ್ಪು - ರುಚಿಗೆ</t>
  </si>
  <si>
    <t>3/4 cup White Urad Dal (Split),1 cup Red matta rice,1 cup Dosa rice,1/4 cup Poha (Flattened rice),1/4 cup Chana dal (Bengal Gram Dal),1/4 cup Arhar dal (Split Toor Dal),2 teaspoon Methi Seeds (Fenugreek Seeds),2 cups Rice flour,Salt - to taste,Sugar - a pinch,1/2 cup Carrots (Gajjar) - diced into 1/2 inch cubes,1/2 cup Green beans (French Beans) - diced into 1/2 inch cubes,1/2 cup Turnips - diced into 1/2 inch cubes,1/2 cup Kaddu (Parangikai/ Pumpkin) - red one (with skin),3 Chana dal (Bengal Gram Dal) - + 1 teaspoon extra,2 teaspoons Tamarind Paste,Jaggery - as required (optional),2 tablespoons Coriander (Dhania) Leaves - finely chopped,Sunflower Oil - as required,1/2 teaspoon Cumin seeds (Jeera),1 tablespoon Coriander (Dhania) Seeds,3 Byadagi Dried Chillies,3 Guntur Dried Chillies,1 inch Cinnamon Stick (Dalchini),Turmeric powder (Haldi) - a pinch,2 tablespoons Fresh coconut - grated,1 Onion - finely chopped,1 teaspoon Mustard seeds,1 Dry Red Chilli,1/4 teaspoon Asafoetida (hing),8-10 Curry leaves,Salt - to taste,1/3 cup Roasted Gram Dal (Pottukadalai),3 Byadagi Dried Chillies,1 tablespoon Fresh coconut - grated,1/2 teaspoon Tamarind Paste,3 cloves Garlic,Salt - to taste</t>
  </si>
  <si>
    <t xml:space="preserve">*To Prepare the Dosa batterTo begin making the Sagu Masala Dosa recipe, firstly wash and soak urad dal with fenugreek seeds in enough water for about 4 hoursWash and soak rice, toor dal, chana dal, poha in enough water for 6 hours or overnight. Once everything is soaked, grind the urad dal mixture with little water until silky smooth in a mixer or using a stone grinder. Add this to a large mixing bowl.Now grind the rice and dal mixture slightly coarsely with little water in the mixer grinder and add it into the urad mixture.To the same bowl add the 2 cups rice flour and mix all the ingredients to resemble a batter between thick and flowy.Sit this on a warm place and ferment for 8-12 hours depending on where you live. Once fermented add the salt and sugar mix well and now the batter is ready to make dosas.*To make the Saagu.  In a tiny bowl soak 3 teaspoons chana dal and in another cup soak another 1 teaspoon chana dal in water for about an hour. Meanwhile, chop all the vegetables and set aside.In a mixer jar, add all the ingredients under grinding - Jeera seeds, Coriander seeds, Byadgi Chillies, Guntur Chillies, cinnamon stick, turmeric powder and fresh coconut with the 3 teaspoons of soaked chana dal and grind to slightly coarse paste with very little water.In a wide vessel add the vegetables - carrots, beans, turnips except pumpkin with little water and cook until just done but not very soft. This will take about 5 to 6 minutes. Once it is done, add pumpkin and cook until its soft.Now add the ground paste, tamarind extract, salt and cook for 5-7 minutes or until the Sagu thickens.This sagu must not be very watery or this will make the dosa very soggy. Add jaggery if your pumpkin isn't very sweet or simply skip it.In another pan heat some oil, crackle the mustard seeds, follow it with asafoetida, 1 red chilli broken, curry leaves and 1 teaspoon of soaked chana dal that has been drained.Next, add in the finely chopped onions and cook until transparent. Pour this tadka into the sagu and mix until combined. Cook for a couple of minutes more and top with coriander. Your Sagu is ready.*To make the red chutneyWe will add all the ingredients mentioned under chutney which includes Roasted Chana Dal, Byadgi Red Dry Chillies, Fresh Coconut, Tamarind Paste, Garlic and Salt.Grind to a slightly coarse consistency with enough water to bring it all together.*To assemble the dosa. Scoop out some batter into a bowl and add water to make the batter to a flowy consistency.Heat a dosa tawa, add some oil and then wipe it out with a clean kitchen towel. Pour a ladle of batter in the centre and spread it thinly in circles to make a dosa.Add oil or ghee to cook, once the top is cooked smear the red chutney, top it with 2-3 tablespoons of vegetable sagu. Once it is done, let it cook until golden, fold and remove the dosa onto a plate and serve hot.Serve Sagu Masala Dosa along with Tomato Onion Sambar and South Indian Coconut Chutney for your weekend breakfast or for a weekday night dinner recipe.
</t>
  </si>
  <si>
    <t xml:space="preserve">*ದೋಸಾ ಹಿಟ್ಟನ್ನು ತಯಾರಿಸಲು ಸಾಗು ಮಸಾಲಾ ದೋಸಾ ರೆಸಿಪಿಯನ್ನು ತಯಾರಿಸಲು ಪ್ರಾರಂಭಿಸಲು, ಮೊದಲು ಉದ್ದಿನಬೇಳೆಯನ್ನು ಮೆಂತ್ಯ ಬೀಜಗಳೊಂದಿಗೆ ಸಾಕಷ್ಟು ನೀರಿನಲ್ಲಿ ಸುಮಾರು 4 ಗಂಟೆಗಳ ಕಾಲ ತೊಳೆದು ನೆನೆಸಿ ಮತ್ತು ಅಕ್ಕಿ, ಬೇಳೆ, ಚನಾ ದಾಲ್, ಪೋಹಾವನ್ನು ಸಾಕಷ್ಟು ನೀರಿನಲ್ಲಿ 6 ಗಂಟೆಗಳ ಕಾಲ ಅಥವಾ ರಾತ್ರಿಯಲ್ಲಿ ನೆನೆಸಿಡಿ. ಎಲ್ಲವನ್ನೂ ನೆನೆಸಿದ ನಂತರ, ಉದ್ದಿನಬೇಳೆ ಮಿಶ್ರಣವನ್ನು ಸ್ವಲ್ಪ ನೀರಿನೊಂದಿಗೆ ಮಿಕ್ಸರ್‌ನಲ್ಲಿ ಅಥವಾ ಸ್ಟೋನ್ ಗ್ರೈಂಡರ್ ಬಳಸಿ ರೇಷ್ಮೆಯಂತಹ ನಯವಾದ ತನಕ ರುಬ್ಬಿಕೊಳ್ಳಿ. ಇದನ್ನು ಒಂದು ದೊಡ್ಡ ಮಿಕ್ಸಿಂಗ್ ಬೌಲ್‌ಗೆ ಸೇರಿಸಿ.ಈಗ ಅಕ್ಕಿ ಮತ್ತು ಬೇಳೆ ಮಿಶ್ರಣವನ್ನು ಮಿಕ್ಸರ್ ಗ್ರೈಂಡರ್‌ನಲ್ಲಿ ಸ್ವಲ್ಪ ನೀರಿನೊಂದಿಗೆ ಸ್ವಲ್ಪ ಒರಟಾಗಿ ರುಬ್ಬಿಕೊಳ್ಳಿ ಮತ್ತು ಅದನ್ನು ಉರಡ್ ಮಿಶ್ರಣಕ್ಕೆ ಸೇರಿಸಿ. ಅದೇ ಬಟ್ಟಲಿಗೆ 2 ಕಪ್ ಅಕ್ಕಿ ಹಿಟ್ಟನ್ನು ಸೇರಿಸಿ ಮತ್ತು ದಪ್ಪ ಮತ್ತು ಹಿಟ್ಟಿನ ನಡುವೆ ಹಿಟ್ಟನ್ನು ಹೋಲುವ ಎಲ್ಲಾ ಪದಾರ್ಥಗಳನ್ನು ಮಿಶ್ರಣ ಮಾಡಿ. ಒಮ್ಮೆ ಹುದುಗಿಸಿದ ನಂತರ ಉಪ್ಪು ಮತ್ತು ಸಕ್ಕರೆಯನ್ನು ಚೆನ್ನಾಗಿ ಮಿಶ್ರಣ ಮಾಡಿ ಮತ್ತು ಈಗ ಹಿಟ್ಟು ದೋಸೆ ಮಾಡಲು ಸಿದ್ಧವಾಗಿದೆ.* ಸಾಗು ಮಾಡಲು.  ಒಂದು ಸಣ್ಣ ಬಟ್ಟಲಿನಲ್ಲಿ 3 ಚಮಚ ಚನಾ ಬೇಳೆಯನ್ನು ನೆನೆಸಿ ಇನ್ನೊಂದು ಕಪ್‌ನಲ್ಲಿ ಇನ್ನೊಂದು 1 ಚಮಚ ಚನಾ ಬೇಳೆಯನ್ನು ಸುಮಾರು ಒಂದು ಗಂಟೆ ನೀರಿನಲ್ಲಿ ನೆನೆಸಿಡಿ. ಅಷ್ಟರಲ್ಲಿ, ಎಲ್ಲಾ ತರಕಾರಿಗಳನ್ನು ಕತ್ತರಿಸಿ ಪಕ್ಕಕ್ಕೆ ಇರಿಸಿ. ಮಿಕ್ಸರ್ ಜಾರ್‌ನಲ್ಲಿ, ರುಬ್ಬುವ ಎಲ್ಲಾ ಪದಾರ್ಥಗಳನ್ನು ಸೇರಿಸಿ - ಜೀರಿಗೆ, ಕೊತ್ತಂಬರಿ, ಬ್ಯಾಡಗಿ ಮೆಣಸಿನಕಾಯಿ, ಗುಂಟೂರು ಮೆಣಸಿನಕಾಯಿ, ದಾಲ್ಚಿನ್ನಿ ಕಡ್ಡಿ, ಅರಿಶಿನ ಪುಡಿ ಮತ್ತು ತಾಜಾ ತೆಂಗಿನಕಾಯಿಯನ್ನು 3 ಟೀ ಚಮಚ ನೆನೆಸಿದ ಚನ್ ಬೇಲ್ನೊಂದಿಗೆ ಸೇರಿಸಿ ಮತ್ತು ತರಕಾರಿಗಳನ್ನು ಹೊರತುಪಡಿಸಿ ಸ್ವಲ್ಪ ಒರಟಾದ ಪೇಸ್ಟ್ಗೆ ರುಬ್ಬಿಕೊಳ್ಳಿ. ಕುಂಬಳಕಾಯಿಯನ್ನು ಸ್ವಲ್ಪ ನೀರು ಸೇರಿಸಿ ಮತ್ತು ಕೇವಲ ಮುಗಿಯುವವರೆಗೆ ಬೇಯಿಸಿ ಆದರೆ ತುಂಬಾ ಮೃದುವಾಗಿರುವುದಿಲ್ಲ. ಇದು ಸುಮಾರು 5 ರಿಂದ 6 ನಿಮಿಷಗಳನ್ನು ತೆಗೆದುಕೊಳ್ಳುತ್ತದೆ. ಇದು ಮಾಡಿದ ನಂತರ, ಕುಂಬಳಕಾಯಿಯನ್ನು ಸೇರಿಸಿ ಮತ್ತು ಮೃದುವಾಗುವವರೆಗೆ ಬೇಯಿಸಿ. ಈಗ ರುಬ್ಬಿದ ಪೇಸ್ಟ್, ಹುಣಸೆ ಸಾರ, ಉಪ್ಪು ಸೇರಿಸಿ ಮತ್ತು 5-7 ನಿಮಿಷ ಬೇಯಿಸಿ ಅಥವಾ ಸಾಗು ದಪ್ಪವಾಗುವವರೆಗೆ ಬೇಯಿಸಿ. ನಿಮ್ಮ ಕುಂಬಳಕಾಯಿ ತುಂಬಾ ಸಿಹಿಯಾಗಿಲ್ಲದಿದ್ದರೆ ಬೆಲ್ಲವನ್ನು ಸೇರಿಸಿ ಅಥವಾ ಅದನ್ನು ಬಿಟ್ಟುಬಿಡಿ. ಇನ್ನೊಂದು ಪ್ಯಾನ್‌ನಲ್ಲಿ ಸ್ವಲ್ಪ ಎಣ್ಣೆಯನ್ನು ಬಿಸಿ ಮಾಡಿ, ಸಾಸಿವೆ ಕಾಳುಗಳನ್ನು ಸಿಡಿಸಿ, ಇಂಗು, 1 ಕೆಂಪು ಮೆಣಸಿನಕಾಯಿ, ಕರಿಬೇವಿನ ಎಲೆಗಳು ಮತ್ತು 1 ಟೀಚಮಚ ನೆನೆಸಿದ ಚನಾ ದಾಲ್ ಅನ್ನು ಹಾಕಿ. ನಂತರ, ಸಣ್ಣದಾಗಿ ಕೊಚ್ಚಿದ ಈರುಳ್ಳಿ ಸೇರಿಸಿ ಮತ್ತು ಪಾರದರ್ಶಕವಾಗುವವರೆಗೆ ಬೇಯಿಸಿ. ಈ ತಡ್ಕಾವನ್ನು ಸಾಗುಗೆ ಸುರಿಯಿರಿ ಮತ್ತು ಸಂಯೋಜಿಸುವವರೆಗೆ ಮಿಶ್ರಣ ಮಾಡಿ. ಒಂದೆರಡು ನಿಮಿಷ ಹೆಚ್ಚು ಬೇಯಿಸಿ ಮತ್ತು ಕೊತ್ತಂಬರಿ ಸೊಪ್ಪಿನಿಂದ ಮೇಲಕ್ಕೆ ಹಾಕಿ. ನಿಮ್ಮ ಸಾಗು ಸಿದ್ಧವಾಗಿದೆ.*ಕೆಂಪು ಚಟ್ನಿ ಮಾಡಲು ನಾವು ಹುರಿದ ಚನಾ ದಾಲ್, ಬೈದಗಿ ಕೆಂಪು ಒಣ ಮೆಣಸಿನಕಾಯಿಗಳು, ತಾಜಾ ತೆಂಗಿನಕಾಯಿ, ಹುಣಸೆಹಣ್ಣಿನ ಪೇಸ್ಟ್, ಬೆಳ್ಳುಳ್ಳಿ ಮತ್ತು ಉಪ್ಪನ್ನು ಒಳಗೊಂಡಿರುವ ಎಲ್ಲಾ ಪದಾರ್ಥಗಳನ್ನು ಚಟ್ನಿಯ ಅಡಿಯಲ್ಲಿ ಸೇರಿಸುತ್ತೇವೆ. ಎಲ್ಲವನ್ನೂ ಒಟ್ಟಿಗೆ ತರಲು ಸಾಕಷ್ಟು ನೀರಿನೊಂದಿಗೆ ಸ್ವಲ್ಪ ಒರಟಾದ ಸ್ಥಿರತೆಗೆ ರುಬ್ಬಿಕೊಳ್ಳಿ.*ದೋಸಾವನ್ನು ಜೋಡಿಸಲು. ಸ್ವಲ್ಪ ಹಿಟ್ಟನ್ನು ಒಂದು ಬೌಲ್‌ಗೆ ಸ್ಕೂಪ್ ಮಾಡಿ ಮತ್ತು ಹಿಟ್ಟನ್ನು ಹರಿಯುವ ಸ್ಥಿರತೆಗೆ ನೀರನ್ನು ಸೇರಿಸಿ. ಒಂದು ದೋಸೆ ತವಾವನ್ನು ಬಿಸಿ ಮಾಡಿ, ಸ್ವಲ್ಪ ಎಣ್ಣೆಯನ್ನು ಸೇರಿಸಿ ಮತ್ತು ನಂತರ ಅದನ್ನು ಕ್ಲೀನ್ ಕಿಚನ್ ಟವೆಲ್‌ನಿಂದ ಒರೆಸಿ. ಹಿಟ್ಟಿನ ಲೋಟವನ್ನು ಮಧ್ಯದಲ್ಲಿ ಸುರಿಯಿರಿ ಮತ್ತು ದೋಸೆ ಮಾಡಲು ಅದನ್ನು ವೃತ್ತಾಕಾರವಾಗಿ ತೆಳುವಾಗಿ ಹರಡಿ. ಬೇಯಿಸಲು ಎಣ್ಣೆ ಅಥವಾ ತುಪ್ಪವನ್ನು ಸೇರಿಸಿ, ಮೇಲ್ಭಾಗವು ಬೇಯಿಸಿದ ನಂತರ ಕೆಂಪು ಚಟ್ನಿಯನ್ನು ಸ್ಮೀಯರ್ ಮಾಡಿ, ಅದರ ಮೇಲೆ 2-3 ಟೇಬಲ್ಸ್ಪೂನ್ ತರಕಾರಿ ಸಾಗು ಹಾಕಿ. ಇದನ್ನು ಮಾಡಿದ ನಂತರ, ಅದು ಗೋಲ್ಡನ್ ಆಗುವವರೆಗೆ ಬೇಯಿಸಲು ಬಿಡಿ, ದೋಸೆಯನ್ನು ಪ್ಲೇಟ್‌ಗೆ ಮಡಚಿ ಮತ್ತು ತೆಗೆದುಹಾಕಿ ಮತ್ತು ಬಿಸಿಯಾಗಿ ಬಡಿಸಿ. ಟೊಮೇಟೊ ಈರುಳ್ಳಿ ಸಾಂಬಾರ್ ಮತ್ತು ದಕ್ಷಿಣ ಭಾರತೀಯ ತೆಂಗಿನಕಾಯಿ ಚಟ್ನಿ ಜೊತೆಗೆ ಸಾಗು ಮಸಾಲಾ ದೋಸೆಯನ್ನು ನಿಮ್ಮ ವಾರಾಂತ್ಯದ ಉಪಹಾರಕ್ಕಾಗಿ ಅಥವಾ ವಾರದ ರಾತ್ರಿಯ ರಾತ್ರಿಯ ಪಾಕವಿಧಾನಕ್ಕಾಗಿ ಬಡಿಸಿ.
</t>
  </si>
  <si>
    <t>http://www.archanaskitchen.com/sagu-masala-dosa-recipe</t>
  </si>
  <si>
    <t>Karwar Style Madgane Recipe With Oats &amp; Rajgira</t>
  </si>
  <si>
    <t>ಓಟ್ಸ್ ಮತ್ತು ರಾಜಗಿರಾ ಜೊತೆ ಕಾರವಾರ ಸ್ಟೈಲ್ ಮಾಡ್ಗಾನೆ ರೆಸಿಪಿ</t>
  </si>
  <si>
    <t>1/2 ಕಪ್ ಚನಾ ದಾಲ್ (ಬಂಗಾಳ ಬೇಳೆ), 2 ಕಪ್ ನೀರು, 1/4 ಕಪ್ ತ್ವರಿತ ಓಟ್ಸ್ (ಓಟ್ ಮೀಲ್), 1-1/2 ಕಪ್ ತಾಜಾ ತೆಂಗಿನಕಾಯಿ - ತುರಿದ, 1-1/2 ಕಪ್ ಬೆಲ್ಲ - (ಹೊಂದಿಸಿ), 1 ಚಮಚ ಅಕ್ಕಿ ಹಿಟ್ಟು, 1-1/2 ಟೇಬಲ್ಸ್ಪೂನ್ ರಾಜ್ಗಿರಾ ಹಿಟ್ಟು (ಅಮರಾಂತ್ ಹಿಟ್ಟು), 1 ಟೀಚಮಚ (ಏಲಕ್ಕಿ ಹಿಟ್ಟು), 1 ಚಮಚ - ಅರ್ಧ, 5 ಖರ್ಜೂರ - ಕತ್ತರಿಸಿದ, 2 ಚಮಚ ಒಣದ್ರಾಕ್ಷಿ - ಅಲಂಕರಿಸಲು ಹೆಚ್ಚು, 1 ಚಮಚ ತುಪ್ಪ, 1 ಚಿಟಿಕೆ ಉಪ್ಪು</t>
  </si>
  <si>
    <t>1/2 cup Chana dal (Bengal Gram Dal),2 cups Water,1/4 cup Instant Oats (Oatmeal),1-1/2 cups Fresh coconut - grated,1-1/2 cup Jaggery - (adjust),1 tablespoon Rice flour,1-1/2 tablespoons Rajgira Flour (Amaranth Flour),1 teaspoon Cardamom Powder (Elaichi),20 Cashew nuts - halved,5 Dates - chopped,2 teaspoons Raisins - more to garnish,1 teaspoon Ghee,1 pinch Salt</t>
  </si>
  <si>
    <t xml:space="preserve">To begin making Karwar Style Madgane Recipe With Oats &amp; Rajgira, soak dal in adequate water for about an hour. Wash thoroughly and drain.Take a big saucepan, add the given quantity of dal and water and bring it to boil on high heat.When the water in the pan starts boiling, reduce the flame to medium and keep simmered for the dal to cook, (do not cover with lid at any stage) stirring occasionally till soft and done.In the meantime, grind the coconut using water to extract coconut milk by squeezing tightly the ground coconut over a sieve.The first extract will be thick and should be about 3/4 to 1 cup.Repeat this process using less water each time to get more coconut milk which will be comparatively thinner and the coconut milk should be about 2 cups.Check the dal and when it is almost cooked, add to it the cashew nuts and mix well.Here a little hot water can be added to daal if there is very less water in it.When dal is completely cooked but not mushy (almost all water should be evaporated by now), add jaggery, cardamom powder and salt.Stir till jaggery dissolves.Using a little of the thin coconut extract make a slurry of the rice and rajgira flours in a mixing bowl.(rice flour is a must as it prevents the coconut milk from splitting)Add this slurry, oats and all the thin coconut extract to the dal and bring to a boil stirring constantly.Now add the dates, half of the raisins and the thick coconut extract and again bring to a boil stirring constantly on medium heat.Switch off heat now since after adding coconut milk, too much cooking is not required not desirable for the recipe.Heat ghee in a small kadai, add the cashew nuts and raisins (which were reserved) to garnish the Madgane.Serve Karwar Style Madgane Recipe With Oats &amp; Rajgira as a dessert with a meal of steamed rice, Karwar Style Sol Kadhi Recipe, and Kadgi Chakko Recipe for lunch.
</t>
  </si>
  <si>
    <t xml:space="preserve">ಓಟ್ಸ್ ಮತ್ತು ರಾಜ್‌ಗಿರಾದೊಂದಿಗೆ ಕಾರವಾರ ಸ್ಟೈಲ್ ಮಾಡ್ಗಾನೆ ರೆಸಿಪಿ ತಯಾರಿಸಲು ಪ್ರಾರಂಭಿಸಲು, ದಾಲ್ ಅನ್ನು ಸಾಕಷ್ಟು ನೀರಿನಲ್ಲಿ ಸುಮಾರು ಒಂದು ಗಂಟೆ ನೆನೆಸಿಡಿ. ಚೆನ್ನಾಗಿ ತೊಳೆದು ಒಣಗಿಸಿ. ದೊಡ್ಡ ಲೋಹದ ಬೋಗುಣಿ ತೆಗೆದುಕೊಂಡು, ಕೊಟ್ಟಿರುವ ಪ್ರಮಾಣದ ದಾಲ್ ಮತ್ತು ನೀರನ್ನು ಸೇರಿಸಿ ಮತ್ತು ಹೆಚ್ಚಿನ ಉರಿಯಲ್ಲಿ ಕುದಿಸಿ. ಪ್ಯಾನ್‌ನಲ್ಲಿ ನೀರು ಕುದಿಯಲು ಪ್ರಾರಂಭಿಸಿದಾಗ, ಜ್ವಾಲೆಯನ್ನು ಮಧ್ಯಮಕ್ಕೆ ತಗ್ಗಿಸಿ ಮತ್ತು ಬೇಳೆ ಬೇಯಿಸಲು ತಳಮಳಿಸುತ್ತಿರು, (ಯಾವುದೇ ಹಂತದಲ್ಲೂ ಮುಚ್ಚಳದಿಂದ ಮುಚ್ಚಬೇಡಿ) ತೆಂಗಿನಕಾಯಿ ಹಾಲನ್ನು ಸಾಂದರ್ಭಿಕವಾಗಿ ಬೆರೆಸಿ ತೆಂಗಿನಕಾಯಿಯನ್ನು ಮೃದುವಾಗಿ ಮತ್ತು ಬೇಯಿಸಿ. ಒಂದು ಜರಡಿ ಮೇಲೆ ತೆಂಗಿನಕಾಯಿಯನ್ನು ಬಿಗಿಯಾಗಿ ಪುಡಿಮಾಡಿ. ಮೊದಲ ಸಾರವು ದಪ್ಪವಾಗಿರುತ್ತದೆ ಮತ್ತು ಸುಮಾರು 3/4 ರಿಂದ 1 ಕಪ್ ಆಗಿರಬೇಕು. ಹೆಚ್ಚು ತೆಂಗಿನ ಹಾಲು ಪಡೆಯಲು ಪ್ರತಿ ಬಾರಿಯೂ ಕಡಿಮೆ ನೀರನ್ನು ಬಳಸಿ ಈ ಪ್ರಕ್ರಿಯೆಯನ್ನು ಪುನರಾವರ್ತಿಸಿ ಅದು ತುಲನಾತ್ಮಕವಾಗಿ ತೆಳುವಾಗಿರುತ್ತದೆ ಮತ್ತು ತೆಂಗಿನ ಹಾಲು ಸುಮಾರು 2 ಕಪ್ ಆಗಿರಬೇಕು. ಬೇಳೆಯನ್ನು ಸಂಪೂರ್ಣವಾಗಿ ಬೇಯಿಸಲಾಗುತ್ತದೆ ಆದರೆ ಮೆತ್ತಗಿಲ್ಲ (ಈಗಾಗಲೇ ಬಹುತೇಕ ಎಲ್ಲಾ ನೀರು ಆವಿಯಾಗಬೇಕು), ಬೆಲ್ಲ, ಏಲಕ್ಕಿ ಪುಡಿ ಮತ್ತು ಉಪ್ಪು ಸೇರಿಸಿ. ಬೆಲ್ಲ ಕರಗುವ ತನಕ ಬೆರೆಸಿ. ತೆಳುವಾದ ತೆಂಗಿನಕಾಯಿ ಸಾರವನ್ನು ಸ್ವಲ್ಪ ಬಳಸಿ ಮಿಶ್ರಣದ ಬಟ್ಟಲಿನಲ್ಲಿ ಅಕ್ಕಿ ಮತ್ತು ರಾಜಗೀರಾ ಹಿಟ್ಟಿನ ಸ್ಲರಿ ಮಾಡಿ. ಬೇಲ್‌ಗೆ ಹೊರತೆಗೆಯಿರಿ ಮತ್ತು ನಿರಂತರವಾಗಿ ಬೆರೆಸಿ ಕುದಿಸಿ. ಈಗ ಖರ್ಜೂರ, ಅರ್ಧ ಒಣದ್ರಾಕ್ಷಿ ಮತ್ತು ದಪ್ಪ ತೆಂಗಿನಕಾಯಿ ಸಾರವನ್ನು ಸೇರಿಸಿ ಮತ್ತು ಮತ್ತೆ ಮಧ್ಯಮ ಉರಿಯಲ್ಲಿ ನಿರಂತರವಾಗಿ ಬೆರೆಸಿ ಕುದಿಸಿ. ಈಗ ಶಾಖವನ್ನು ಆಫ್ ಮಾಡಿ, ಏಕೆಂದರೆ ತೆಂಗಿನ ಹಾಲು ಸೇರಿಸಿದ ನಂತರ, ಹೆಚ್ಚು ಅಡುಗೆ ಅಗತ್ಯವಿಲ್ಲ. ಪಾಕವಿಧಾನಕ್ಕೆ ತುಪ್ಪವನ್ನು ಬಿಸಿ ಮಾಡಿ, ಸಣ್ಣ ಕಡಾಯಿಯಲ್ಲಿ ತುಪ್ಪವನ್ನು ಕಾಯಿಸಿ. ಮಡ್ಗಣೆಯನ್ನು ಅಲಂಕರಿಸಿ. ಓಟ್ಸ್ ಮತ್ತು ರಾಜ್‌ಗಿರಾದೊಂದಿಗೆ ಕಾರವಾರ ಸ್ಟೈಲ್ ಮಡ್‌ಗನೆ ರೆಸಿಪಿಯನ್ನು ಸಿಹಿಭಕ್ಷ್ಯವಾಗಿ ಬೇಯಿಸಿದ ಅನ್ನದೊಂದಿಗೆ ಬಡಿಸಿ, ಕಾರವಾರ ಸ್ಟೈಲ್ ಸೋಲ್ ಕಧಿ ರೆಸಿಪಿ ಮತ್ತು ಮಧ್ಯಾಹ್ನದ ಊಟಕ್ಕೆ ಕಡ್ಗಿ ಚಕ್ಕೊ ರೆಸಿಪಿ.
</t>
  </si>
  <si>
    <t>https://www.archanaskitchen.com/konkani-style-madgane-recipe-with-oats-rajgira</t>
  </si>
  <si>
    <t>Karnataka Style Kashi Halwa Recipe With Ash Gourd</t>
  </si>
  <si>
    <t>ಬೂದಿ ಸೋರೆಕಾಯಿಯೊಂದಿಗೆ ಕರ್ನಾಟಕ ಶೈಲಿಯ ಕಾಶಿ ಹಲ್ವಾ ರೆಸಿಪಿ</t>
  </si>
  <si>
    <t>3 ಕಪ್ ವೆಲ್ಲೈ ಪೂಸನಿಕಾಯಿ (ಬೂದಿ ಸೋರೆಕಾಯಿ/ಬಿಳಿ ಕುಂಬಳಕಾಯಿ) - ತುರಿದ, 1 ಕಪ್ ಸಕ್ಕರೆ, 1/2 ಟೀಚಮಚ ಏಲಕ್ಕಿ ಪುಡಿ (ಎಲೈಚಿ), ಕೇಸರಿ ಎಳೆಗಳು - ಕೆಲವು, 10 ಗೋಡಂಬಿ - ಅರ್ಧ/ಮುರಿದ, 3 ಚಮಚ ತುಪ್ಪ</t>
  </si>
  <si>
    <t>3 cups Vellai Poosanikai (Ash gourd/White Pumpkin) - grated,1 cup Sugar,1/2 teaspoon Cardamom Powder (Elaichi),Saffron strands - a few,10 Cashew nuts - halved/broken,3 tablespoons Ghee</t>
  </si>
  <si>
    <t xml:space="preserve">To begin making Karnataka Style Kashi Halwa Recipe With Ash Gourd, heat a pan over medium heat.Add 1 tablespoon ghee and cashews to it and saute the cashews till they turn golden brown in colour.Once done turn off the heat and keep them aside.Next into a preheated pan add the grated ash gourd and saute the ash gourd on medium heat till all the water evaporates and the ash gourd is cooked and soft.This processes of cooking the ash gourd will take about 15 to 20 minutes.Keep stirring occasionally to get and even cooking of the ash gourd and ensuring that the ash gourd does not burn and stick to the bottom of the pan. Once the ash gourd is cooked stir in the sugar, cardamom powder and a few saffron strands. Continue stirring until the sugar melts and the halwa thickens.Add the remaining ghee to the halwa and continue stirring until the kashi halwa leaves the sides of the pan. This will take about 8 minutes.Stir in the roasted cashews.Mix well to combine and turn off the heat. Transfer Karnataka Style Kashi Halwa Recipe With Ash Gourd into serving bowls and serve hot or cold.Serve Karnataka Style Kashi Halwa Recipe With Ash Gourd along with a festive breakfast meal plate of Masala Akki Roti, Kopparai Thengai Milagai Podi and Red Chilli Coconut Chutney.
</t>
  </si>
  <si>
    <t xml:space="preserve">ಬೂದಿ ಸೋರೆಕಾಯಿಯೊಂದಿಗೆ ಕರ್ನಾಟಕ ಶೈಲಿಯ ಕಾಶಿ ಹಲ್ವಾ ಪಾಕವಿಧಾನವನ್ನು ತಯಾರಿಸಲು ಪ್ರಾರಂಭಿಸಲು, ಮಧ್ಯಮ ಉರಿಯಲ್ಲಿ ಪ್ಯಾನ್ ಅನ್ನು ಬಿಸಿ ಮಾಡಿ. ಅದಕ್ಕೆ 1 ಚಮಚ ತುಪ್ಪ ಮತ್ತು ಗೋಡಂಬಿ ಸೇರಿಸಿ ಮತ್ತು ಗೋಡಂಬಿಯನ್ನು ಗೋಲ್ಡನ್ ಬ್ರೌನ್ ಬಣ್ಣಕ್ಕೆ ಬರುವವರೆಗೆ ಹುರಿಯಿರಿ. ನಂತರ ಶಾಖವನ್ನು ಆಫ್ ಮಾಡಿ ಮತ್ತು ಅವುಗಳನ್ನು ಪಕ್ಕಕ್ಕೆ ಇರಿಸಿ. ಬೂದಿ ಸೋರೆಕಾಯಿಯನ್ನು ಬೇಯಿಸಲಾಗುತ್ತದೆ ಮತ್ತು ಮೃದುವಾಗಿರುತ್ತದೆ. ಬೂದಿ ಸೋರೆಕಾಯಿಯನ್ನು ಬೇಯಿಸುವ ಈ ಪ್ರಕ್ರಿಯೆಯು ಸುಮಾರು 15 ರಿಂದ 20 ನಿಮಿಷಗಳನ್ನು ತೆಗೆದುಕೊಳ್ಳುತ್ತದೆ. ಬೂದಿ ಸೋರೆಕಾಯಿಯನ್ನು ಪಡೆಯಲು ಸಾಂದರ್ಭಿಕವಾಗಿ ಬೆರೆಸಿ ಮತ್ತು ಬೂದಿ ಸೋರೆಕಾಯಿಯನ್ನು ಬೇಯಿಸಿ ಮತ್ತು ಬೂದಿ ಸೋರೆಕಾಯಿ ಸುಡುವುದಿಲ್ಲ ಮತ್ತು ಪ್ಯಾನ್‌ನ ಕೆಳಭಾಗಕ್ಕೆ ಅಂಟಿಕೊಳ್ಳುವುದಿಲ್ಲ ಎಂದು ಖಚಿತಪಡಿಸಿಕೊಳ್ಳಿ. ಬೂದಿ ಸೋರೆಕಾಯಿ ಬೇಯಿಸಿದ ನಂತರ ಸಕ್ಕರೆ, ಏಲಕ್ಕಿ ಪುಡಿ ಮತ್ತು ಕೆಲವು ಕೇಸರಿ ಎಳೆಗಳನ್ನು ಬೆರೆಸಿ. ಸಕ್ಕರೆ ಕರಗುವವರೆಗೆ ಮತ್ತು ಹಲ್ವಾ ದಪ್ಪವಾಗುವವರೆಗೆ ಬೆರೆಸಿ ಮುಂದುವರಿಸಿ. ಉಳಿದ ತುಪ್ಪವನ್ನು ಹಲ್ವಾಗೆ ಸೇರಿಸಿ ಮತ್ತು ಕಾಶಿ ಹಲ್ವಾ ಪ್ಯಾನ್‌ನ ಬದಿಗಳನ್ನು ಬಿಡುವವರೆಗೆ ಬೆರೆಸಿ. ಇದು ಸುಮಾರು 8 ನಿಮಿಷಗಳನ್ನು ತೆಗೆದುಕೊಳ್ಳುತ್ತದೆ. ಹುರಿದ ಗೋಡಂಬಿಯನ್ನು ಬೆರೆಸಿ. ಒಗ್ಗೂಡಿಸಲು ಚೆನ್ನಾಗಿ ಮಿಶ್ರಣ ಮಾಡಿ ಮತ್ತು ಶಾಖವನ್ನು ಆಫ್ ಮಾಡಿ. ಕರ್ನಾಟಕ ಶೈಲಿಯ ಕಾಶಿ ಹಲ್ವಾ ಪಾಕವಿಧಾನವನ್ನು ಬೂದಿ ಸೋರೆಕಾಯಿಯೊಂದಿಗೆ ಬಡಿಸುವ ಬಟ್ಟಲುಗಳಿಗೆ ವರ್ಗಾಯಿಸಿ ಮತ್ತು ಬಿಸಿ ಅಥವಾ ತಣ್ಣಗೆ ಬಡಿಸಿ
</t>
  </si>
  <si>
    <t>https://www.archanaskitchen.com/karnataka-style-kashi-halwa-recipe-with-ash-gourd</t>
  </si>
  <si>
    <t>Karwar Style Khatkhate Recipe (Mixed Vegetable Curry With Toor Dal &amp; Coconut)</t>
  </si>
  <si>
    <t>ಕಾರವಾರ ಶೈಲಿಯ ಖಟ್ಖಾಟೆ ರೆಸಿಪಿ (ತೂರ್ ದಾಲ್ ಮತ್ತು ತೆಂಗಿನಕಾಯಿ ಮಿಶ್ರಿತ ತರಕಾರಿ ಕರಿ)</t>
  </si>
  <si>
    <t>1/2 ಕಪ್ ಅರಹರ್ ದಾಲ್ (ಒಡೆದ ದಾಲ್), 2 ಕಪ್ ಮಿಶ್ರ ತರಕಾರಿಗಳು - (ಬೀನ್ಸ್, 1/2 ಟೀಚಮಚ ಅರಿಶಿನ ಪುಡಿ (ಹಲ್ದಿ), 2 ಚಮಚ ಬೆಲ್ಲ - ಹೊಂದಾಣಿಕೆ, 5 ಕೋಕಮ್ (ಮಲಬಾರ್ ಹುಣಸೆಹಣ್ಣು) - ಬಿಸಿ ನೀರಿನಲ್ಲಿ ನೆನೆಸಿ ರಸ ತೆಗೆಯಿರಿ, ಉಪ್ಪು - ರುಚಿಗೆ ತಕ್ಕಷ್ಟು, 1/2 ತಾಜಾ ತೆಂಗಿನಕಾಯಿ, 2 ಒಣ ಮೆಣಸಿನಕಾಯಿಗಳು (ಧನಿಯಾ), 8 ಸಿಚುವಾನ್ ಮೆಣಸು, 2 ಟೀ ಚಮಚ ಸೂರ್ಯಕಾಂತಿ ಎಣ್ಣೆ, 1 ಚಮಚ ಸಾಸಿವೆ, 1/2 ಟೀಚಮಚ ಜೀರಿಗೆ (ಜೀರಾ), ಕರಿಬೇವಿನ ಎಲೆಗಳು - ಕೆಲವು</t>
  </si>
  <si>
    <t>1/2 cup Arhar dal (Split Toor Dal),2 cups Mixed vegetables - (beans,1/2 teaspoon Turmeric powder (Haldi),2 tablespoons Jaggery - adjustable,5 Kokum (Malabar Tamarind) - soak in hot water and extract juice,Salt - to taste,1/2 Fresh coconut - grated,4 Dry Red Chillies,1/2 teaspoon Coriander Powder (Dhania),8 Sichuan peppercorns,2 teaspoons Sunflower Oil,1 teaspoon Mustard seeds,1/2 teaspoon Cumin seeds (Jeera),Curry leaves - few</t>
  </si>
  <si>
    <t xml:space="preserve">To begin making the Karwar Style Khatkhate Recipe, wash and pressure cook toor dal with a pinch of turmeric for 2-3 whistles. Once cooked, mash it well and keep aside. Dice the vegetables and cook them with enough water in a pressure cooker for one whistle. Turn off the flame and immediately release the pressure. They should just be cooked. make sure you don't overcook them.Meanwhile, grind coconut, red chillies, coriander powder  and turmeric powder with little water to a smooth paste. Add sichuan pepper and grind the paste again for few more seconds.When the vegetables are almost done, add ground coconut paste and mashed toor dal. Add salt, kokam and jaggery. Mix everything well and bring to boil .Finally prepare the tempering for the curry. Heat oil in a kadhai. Add mustard seeds, cumin seeds and curry leaves. Cook for about a minute and then pour it on Khatkhate. Serve Karwar Style Khatkhate Recipe (Mixed Vegetable Curry With Toor Dal &amp; Coconut) along with Karwar Style Lasani Kadhi and Steamed Rice for a weekday meal.
</t>
  </si>
  <si>
    <t xml:space="preserve">ಕಾರವಾರ ಸ್ಟೈಲ್ ಖತ್ಖಾಟೆ ರೆಸಿಪಿಯನ್ನು ತಯಾರಿಸಲು ಪ್ರಾರಂಭಿಸಲು, 2-3 ಸೀಟಿಗಳಿಗೆ ಒಂದು ಚಿಟಿಕೆ ಅರಿಶಿನದೊಂದಿಗೆ ತೊಳೆದ ದಾಲ್ ಅನ್ನು ತೊಳೆದು ಒತ್ತಡದಲ್ಲಿ ಬೇಯಿಸಿ. ಬೆಂದ ನಂತರ ಚೆನ್ನಾಗಿ ಮ್ಯಾಶ್ ಮಾಡಿ ಪಕ್ಕಕ್ಕೆ ಇಡಿ. ತರಕಾರಿಗಳನ್ನು ಡೈಸ್ ಮಾಡಿ ಮತ್ತು ಒತ್ತಡದ ಕುಕ್ಕರ್‌ನಲ್ಲಿ ಒಂದು ಸೀಟಿಗೆ ಸಾಕಷ್ಟು ನೀರು ಹಾಕಿ ಬೇಯಿಸಿ. ಜ್ವಾಲೆಯನ್ನು ಆಫ್ ಮಾಡಿ ಮತ್ತು ತಕ್ಷಣ ಒತ್ತಡವನ್ನು ಬಿಡುಗಡೆ ಮಾಡಿ. ಅವುಗಳನ್ನು ಕೇವಲ ಬೇಯಿಸಬೇಕು. ನೀವು ಅವುಗಳನ್ನು ಅತಿಯಾಗಿ ಬೇಯಿಸುವುದಿಲ್ಲ ಎಂದು ಖಚಿತಪಡಿಸಿಕೊಳ್ಳಿ. ಅದೇ ಸಮಯದಲ್ಲಿ, ತೆಂಗಿನಕಾಯಿ, ಕೆಂಪು ಮೆಣಸಿನಕಾಯಿಗಳು, ಕೊತ್ತಂಬರಿ ಪುಡಿ  ಮತ್ತು ಅರಿಶಿನ ಪುಡಿಯನ್ನು ಸ್ವಲ್ಪ ನೀರಿನೊಂದಿಗೆ ನಯವಾದ ಪೇಸ್ಟ್‌ಗೆ ರುಬ್ಬಿಕೊಳ್ಳಿ. ಸಿಚುವಾನ್ ಪೆಪ್ಪರ್ ಸೇರಿಸಿ ಮತ್ತು ಪೇಸ್ಟ್ ಅನ್ನು ಮತ್ತೆ ಕೆಲವು ಸೆಕೆಂಡುಗಳ ಕಾಲ ರುಬ್ಬಿಕೊಳ್ಳಿ. ತರಕಾರಿಗಳು ಬಹುತೇಕ ಮುಗಿದ ನಂತರ, ರುಬ್ಬಿದ ತೆಂಗಿನಕಾಯಿ ಪೇಸ್ಟ್ ಮತ್ತು ಹಿಸುಕಿದ ದಾಲ್ ಸೇರಿಸಿ. ಉಪ್ಪು, ಕೋಕಂ ಮತ್ತು ಬೆಲ್ಲ ಸೇರಿಸಿ. ಎಲ್ಲವನ್ನೂ ಚೆನ್ನಾಗಿ ಮಿಶ್ರಣ ಮಾಡಿ ಮತ್ತು ಕುದಿಯಲು ತನ್ನಿ .ಅಂತಿಮವಾಗಿ ಮೇಲೋಗರಕ್ಕೆ ಟೆಂಪರಿಂಗ್ ತಯಾರಿಸಿ. ಕಡಾಯಿಯಲ್ಲಿ ಎಣ್ಣೆಯನ್ನು ಬಿಸಿ ಮಾಡಿ. ಸಾಸಿವೆ, ಜೀರಿಗೆ ಮತ್ತು ಕರಿಬೇವಿನ ಸೊಪ್ಪು ಹಾಕಿ. ಸುಮಾರು ಒಂದು ನಿಮಿಷ ಬೇಯಿಸಿ ನಂತರ ಅದನ್ನು ಖಟ್ಖಾಟೆ ಮೇಲೆ ಸುರಿಯಿರಿ. ವಾರದ ದಿನದ ಊಟಕ್ಕೆ ಕಾರವಾರ ಶೈಲಿಯ ಖತ್‌ಖಾಟೆ ರೆಸಿಪಿ (ತೂರ್ ದಾಲ್ ಮತ್ತು ತೆಂಗಿನಕಾಯಿ ಮಿಶ್ರಿತ ತರಕಾರಿ ಕರಿ) ಜೊತೆಗೆ ಕಾರವಾರ ಶೈಲಿಯ ಲಸಾನಿ ಕಡಿ ಮತ್ತು ಸ್ಟೀಮ್ಡ್ ರೈಸ್ ಅನ್ನು ಬಡಿಸಿ.
</t>
  </si>
  <si>
    <t>http://www.archanaskitchen.com/khatkhate-recipe-karwar-style-mixed-vegetable-curry-with-toor-dal-coconut</t>
  </si>
  <si>
    <t>एल्लु चटनी रेसिपी - Ellu Chutney Recipe</t>
  </si>
  <si>
    <t>ಎಲ್ಲು ಚಟನಿ ರೆಸಿಪಿ - Ellu Chutney Recipe</t>
  </si>
  <si>
    <t>1/4 ಕಪ್ ಕಾಲೆ ತಿಲ್,1 ಬಡಾ ಚಮ್ಮಚ್ ಸಫೆಡೆ ಉರದ ದಾಲ್,1/4 ಕಪ್ ನಾರಿಯಲ್ - ಕಸ್ ಲೆ,5 ಸುಲಖಿ, ಪತ್ತಾ - ತೊಡ,20 ಗ್ರಾಮ ಇಮಲಿ - ಪಾನಿ ಮೆಂ ಭಿಗೋ ಲೇ,ನಮಕ - ಸ್ವಾದ ಅನುಸಾರ,1 ಛೋಟ,1 ಚಮತಾ, ಛೋಟಾ ಚಮ್ಮಚ್ ರೈ,ಕಢಿ ಪತ್ತಾ - ತೊಡೆ</t>
  </si>
  <si>
    <t>1/4 cup black sesame seeds, 1 tbsp white urad dal, 1/4 cup coconut - grated, 5 dry red chillies, curry leaves - a little, 20 grams tamarind - soaked in water, salt - 1 tsp Oil, 1/2 teaspoon mustard seeds, curry leaves - some</t>
  </si>
  <si>
    <t xml:space="preserve">एल्लु चटनी रेसिपी बनाने के लिए सबसे पहले इमली को थोड़े पानी में भिगो ले.अब उरद दाल को भूरा होने तक सेक ले. अब इसमें काले तिल, सुखी लाल मिर्च, कसा हुआ नारियल डाले और 2 से 3 मिनट के लिए रोस्ट कर ले.  अब एक मिक्सर ग्राइंडर में तिल, इमली पानी के साथ, उरद दाल, सुखी लाल मिर्च, नमक डाले और पेस्ट बना ले. इस पेस्ट को एक बाउल में निकाल ले.अब एक तड़का पैन में तेल गरम करें। इसमें राइ डाले और तड़कने दे. इसके बाद इसमें कढ़ी पत्ता डाले और 5 सेकण्ड्स के लिए पका ले. इस तड़के को चटनी में डाले और मिला ले. परोसे। एल्लु चटनी रेसिपी को घी रोस्ट डोसा और टमाटर प्याज सांबर के साथ सुबह के नाश्ते के लिए परोसे।
</t>
  </si>
  <si>
    <t xml:space="preserve">ಎಲ್ಲಾ ಚಟನಿ ರೆಸಿಪಿ ಬನಾನೆಗಾಗಿ ದಾಲ್ ಕೊ ಭೂರಾ ಹೋನೆ ತಕ ಸೆಕ್ ಲೆ. ಈಗ ಕಾಲೇ ತಿಲ್, ಸುಖಿ ಲಾಲ್ ಮಿರ್ಚ್, ಕಸ ಹುವಾ ನಾರಿಯಲ್ ಡಾಲೆ ಮತ್ತು 2 ಸೆ 3 ನಿಮಿಷಗಳು.  ಅಬ್ ಎಕ್ ಮಿಕ್ಸರ್ ಗ್ರೈಂಡರ್ ಮೆನ್ ತಿಲ್, ಇಮಲಿ ಪಾನಿ ಕೆ ಸಾಥ್, ಉರದ ದಾಲ್, ಸುಖಿ ಲಾಲ್ ಮಿರ್ಡಕ, ನಮ್ ಪೆಸ್ಟ್ ಬನಾ ಲೆ. ಈ ಪೆಸ್ಟ್ ಕೋ ಎಕ್ ಬೌಲ್ ಮೆನ್ ನಿಕಾಲ್ ಲೆ.ಅಬ್ ಎಕ್ ತಡಕಾ ಪೈನ್ ಮೆಂ ಟೆಲ್ ಗರಂ ಕರೆಂ. ಅದೇ ರೀತಿ ರೈ ದಾಲೆ ಮತ್ತು ತಡಕನೆ ದೆ. ಇಸಕೆ ಬಾದ ಇಸ್ಮಂ ಕಢಿ ಪತ್ತಾ ಡೇಲ್ ಮತ್ತು 5 ಸೆಕಂಡ್ಸ್ ಗೆ ಪಕ ಲೆ. ಇಸ್ ತಡಕೆ ಕೋ ಚಟನಿ ಮೆಂ ಡಾಲೆ ಮತ್ತು ಮಿಲಾ ಲೆ. ಪರೋಸ್. ಅಲ್ಲಿ ಚಟನಿ ರೆಸಿಪಿ ಕೋ ಘಿ ರೋಸ್ಟ್ ಡೋಸಾ ಮತ್ತು ಟಮಾಟರ್ ಪ್ಯಾಜ್ ಸಾಂಬಾರ್ ಪರೋಸ್.
</t>
  </si>
  <si>
    <t>http://www.archanaskitchen.com/ellu-chutney-sesame-seeds-chutney-recipe-in-hindi</t>
  </si>
  <si>
    <t>Pudina Mavinakayi Chutney Recipe - Mint Mango Chutney</t>
  </si>
  <si>
    <t>ಪುದಿನಾ ಮಾವಿನಕಾಯಿ ಚಟ್ನಿ ರೆಸಿಪಿ - ಪುದಿನಾ ಮಾವಿನಕಾಯಿ ಚಟ್ನಿ</t>
  </si>
  <si>
    <t>1 ಮಾವು (ಹಸಿ) - ತುರಿದ, 1 ಕಪ್ ತಾಜಾ ತೆಂಗಿನಕಾಯಿ, 1/2 ಕಪ್ ಕೊತ್ತಂಬರಿ (ಧನಿಯಾ) ಎಲೆಗಳು, 1/2 ಕಪ್ ಪುದೀನಾ ಎಲೆಗಳು (ಪುದೀನಾ), 1 ಇಂಚು ಶುಂಠಿ, 2 ಹಸಿರು ಮೆಣಸಿನಕಾಯಿಗಳು, 1 ಚಮಚ ನಿಂಬೆ ರಸ, ಉಪ್ಪು - ರುಚಿಗೆ, 1 ಟೀಚಮಚ ಬಿಳಿ ಉರಡ್ ದಾಲ್ (ಒಡೆ), 1 ಟೀಚಮಚ ಸಾಸಿವೆ ಕಾಳುಗಳು, 2 ಡ್ರೈಫ್ಲೋ ಕಾಳುಗಳು</t>
  </si>
  <si>
    <t>1 Mango (Raw) - grated,1 cup Fresh coconut,1/2 cup Coriander (Dhania) Leaves,1/2 cup Mint Leaves (Pudina),1 inch Ginger,2 Green Chillies,1 tablespoon Lemon juice,Salt - to taste,1 teaspoon White Urad Dal (Split),1 teaspoon Mustard seeds,2 Dry Red Chilli,Sunflower Oil - for tempering</t>
  </si>
  <si>
    <t xml:space="preserve">To begin making the Karnataka Style Pudina Mavinakayi Chutney Recipe, in a mixer-jar, combine all the ingredients-  raw mango, coconut, coriander leaves,  mint leaves, ginger,  green chillies, lemon juice and salt along with  1/4 cup water and grind it into a smooth paste.Heat a small tempering pan with oil, add mustard seeds and allow it to splutter, next add the urad dal and allow it to turn golden brown. Add the dry red chillies as well and leave it for 10 seconds.Pour the tempering over the Pudina Mavinakayi Chutney and serve.Serve the Karnataka Style Pudina Mavinakayi Chutney Recipe along with dosa, idli or pesarattu to enjoy your breakfast. 
</t>
  </si>
  <si>
    <t xml:space="preserve">ಕರ್ನಾಟಕ ಶೈಲಿಯನ್ನು ತಯಾರಿಸಲು ಪ್ರಾರಂಭಿಸಲು, ಮಿಕ್ಸರ್-ಜಾರ್ನಲ್ಲಿ, ಎಲ್ಲಾ ಪದಾರ್ಥಗಳನ್ನು ಸೇರಿಸಿ- ಕಚ್ಚಾ ಮಾವು, ತೆಂಗಿನಕಾಯಿ, ಕೊತ್ತಂಬರಿ ಎಲೆಗಳು, ಪುದೀನ ಎಲೆಗಳು, ಶುಂಠಿ, ಹಸಿರು ಮೆಣಸಿನಕಾಯಿ, ನಿಂಬೆ ರಸ ಮತ್ತು ಉಪ್ಪಿನೊಂದಿಗೆ 1/4 ಕಪ್ ನೀರು ಮತ್ತು 1/4 ಕಪ್ ನೀರು ಮತ್ತು 1/4 ಕಪ್ ನೀರು ಮತ್ತು ಅದನ್ನು ನಯವಾದ ಪಾಸ್ಟ್ ಮಾಡಿ, ನಾಳದೊಂದಿಗೆ ಒಂದು ಸಣ್ಣ ಉದ್ವೇಗಕ್ಕೆ ಗುರಿಯಾಗಿಸಿ. ಅದನ್ನು ಚಿಮುಕಿಸಲು ಅನುಮತಿಸಿ, ಮುಂದೆ ಉದ್ದಿನಬೇಳೆಯನ್ನು ಸೇರಿಸಿ ಮತ್ತು ಅದನ್ನು ಗೋಲ್ಡನ್ ಬ್ರೌನ್ ಮಾಡಲು ಅನುಮತಿಸಿ. ಒಣ ಕೆಂಪು ಮೆಣಸಿನಕಾಯಿಯನ್ನು ಸೇರಿಸಿ ಮತ್ತು 10 ಸೆಕೆಂಡುಗಳ ಕಾಲ ಬಿಡಿ. ಪುಡಿನ ಮಾವಿನಕಾಯಿ ಚಟ್ನಿಯ ಮೇಲೆ ಹದಗೊಳಿಸಿ ಮತ್ತು ಬಡಿಸಿ. ನಿಮ್ಮ ಬೆಳಗಿನ ಉಪಾಹಾರವನ್ನು ಆನಂದಿಸಲು ದೋಸಾ, ಇಡ್ಲಿ ಅಥವಾ ಪೆಸರಟ್ಟು  ಜೊತೆಗೆ ಕರ್ನಾಟಕ ಶೈಲಿಯ ಪುದಿನಾ ಮಾವಿನಕಾಯಿ ಚಟ್ನಿಯನ್ನು ಬಡಿಸಿ. 
</t>
  </si>
  <si>
    <t>http://www.archanaskitchen.com/karnataka-style-pudina-mavinkayi-chutney-recipe-mint-mango-chutney</t>
  </si>
  <si>
    <t>Hunase Saaru Recipe - Mysore Style Spicy Tamarind Rasam</t>
  </si>
  <si>
    <t>ಹುಣಸೆ ಸಾರು ರೆಸಿಪಿ - ಮೈಸೂರು ಶೈಲಿಯ ಮಸಾಲೆ ಹುಣಸೆ ರಸ</t>
  </si>
  <si>
    <t>1/2 ಕಪ್ ಹುಣಸೆಹಣ್ಣು - ನೆನೆಸಿದ ಮತ್ತು ತಿರುಳು (ನೀವು ಹುಣಸೆ ನೀರನ್ನು ತಯಾರಿಸಲು ಈ ಪಾಕವಿಧಾನವನ್ನು ಸಹ ಪ್ರಯತ್ನಿಸಬಹುದು), 1 ಚಮಚ ಜೀರಿಗೆ (ಜೀರಾ), 1 ಚಮಚ ಸಾಸಿವೆ, 1 ಚಿಟಿಕೆ ಇಂಗು (ಹಿಂಗ್), 12 ಕರಿಬೇವಿನ ಎಲೆಗಳು, 4 ಒಣ ಕೆಂಪು ಮೆಣಸಿನಕಾಯಿಗಳು, 1 ಟೀಚಮಚ ರಸಂ ಪುಡಿ - ಅಥವಾ ಕೆಂಪು ಮೆಣಸಿನ ಪುಡಿ - 2 ಟೀಸ್ಪೂನ್.</t>
  </si>
  <si>
    <t>1/2 cup Tamarind - soaked and pulped (you can also try this recipe for preparing tamarind water),1 tablespoon Cumin seeds (Jeera),1 teaspoon Mustard seeds,1 pinch Asafoetida (hing),12 Curry leaves,4 Dry Red Chillies,1 teaspoon Rasam Powder - or red chilly powder,2 tablespoon Jaggery - powdered,Salt - to taste,1 tablespoon Ghee</t>
  </si>
  <si>
    <t xml:space="preserve">To begin making the Hunase Saaru Recipe or Mysore Style Spicy Tamarind Rasam first heat ghee in a kadai,  to this, add mustard seeds and cumin and allow it to crackle.Next, add asafoetida, curry leaves and red chillies and stir gently till they crisp up.Add the prepared tamarind extract, 1.5 cups water along with the rasam powder, salt, jaggery powder and bring the whole mixture to a boil on a high heat.Allow it to simmer for 5 to 10 mins till the quantity reduces to 3/4th its original volume. By now the tamarind will lose its raw smell and the spices will  be well amalgamated. Taste the rasam for spice, tang and sweetness levels and adjust by adding rasam powder/chilli powder or jaggery, as required.Take it off the heat and serve hot as a drink accompanying a South Indian thali meal, or over Steamed Rice with a dollop of ghee.
</t>
  </si>
  <si>
    <t xml:space="preserve">ಹುಣಸೆ ಸಾರು ರೆಸಿಪಿ ಅಥವಾ ಮೈಸೂರು ಶೈಲಿಯ ಮಸಾಲೆಯುಕ್ತ ಹುಣಸೆ ರಸವನ್ನು ತಯಾರಿಸಲು ಪ್ರಾರಂಭಿಸಲು, ಮೊದಲು ಕಡಾಯಿಯಲ್ಲಿ ತುಪ್ಪವನ್ನು ಬಿಸಿ ಮಾಡಿ, ಸಾಸಿವೆ ಮತ್ತು ಜೀರಿಗೆ ಸೇರಿಸಿ ಮತ್ತು ಅದನ್ನು ಸಿಡಿಸಲು ಬಿಡಿ. ಉಪ್ಪು, ಬೆಲ್ಲದ ಪುಡಿ ಮತ್ತು ಸಂಪೂರ್ಣ ಮಿಶ್ರಣವನ್ನು ಹೆಚ್ಚಿನ ಶಾಖದ ಮೇಲೆ ಕುದಿಸಿ. ಪ್ರಮಾಣವು ಅದರ ಮೂಲ ಪರಿಮಾಣದ 3/4 ಕ್ಕೆ ಕಡಿಮೆಯಾಗುವವರೆಗೆ 5 ರಿಂದ 10 ನಿಮಿಷಗಳ ಕಾಲ ಕುದಿಸಲು ಅನುಮತಿಸಿ. ಈ ಹೊತ್ತಿಗೆ ಹುಣಸೆಹಣ್ಣು ತನ್ನ ಹಸಿ ವಾಸನೆಯನ್ನು ಕಳೆದುಕೊಳ್ಳುತ್ತದೆ ಮತ್ತು ಮಸಾಲೆಗಳು ಚೆನ್ನಾಗಿ ಮಿಶ್ರಣಗೊಳ್ಳುತ್ತವೆ. ಮಸಾಲೆ, ಟ್ಯಾಂಗ್ ಮತ್ತು ಮಾಧುರ್ಯದ ಮಟ್ಟಗಳಿಗಾಗಿ ರಸವನ್ನು ರುಚಿ ಮಾಡಿ ಮತ್ತು ಅಗತ್ಯವಿರುವಂತೆ ರಸಂ ಪುಡಿ/ಮೆಣಸಿನ ಪುಡಿ ಅಥವಾ ಬೆಲ್ಲವನ್ನು ಸೇರಿಸುವ ಮೂಲಕ ಹೊಂದಿಸಿ. ಅದನ್ನು ಶಾಖದಿಂದ ತೆಗೆದುಹಾಕಿ ಮತ್ತು ದಕ್ಷಿಣ ಭಾರತದ ಥಾಲಿ ಊಟದೊಂದಿಗೆ ಪಾನೀಯವಾಗಿ ಅಥವಾ ಒಂದು ಗೊಂಬೆ ತುಪ್ಪದೊಂದಿಗೆ ಬೇಯಿಸಿದ ಅನ್ನದೊಂದಿಗೆ ಬಿಸಿಯಾಗಿ ಬಡಿಸಿ.
</t>
  </si>
  <si>
    <t>https://www.archanaskitchen.com/hunase-saaru-recipe-mysore-style-spicy-tamarind-rasam</t>
  </si>
  <si>
    <t>Karnataka Style Southekayi Seppe Chutney Recipe (Mangalore Cucumber Peel Chutney Recipe)</t>
  </si>
  <si>
    <t>ಕರ್ನಾಟಕ ಸ್ಟೈಲ್ ಸೌತೆಕಾಯಿ ಸೆಪ್ಪೆ ಚಟ್ನಿ ರೆಸಿಪಿ (ಮಂಗಳೂರು ಸೌತೆಕಾಯಿ ಸಿಪ್ಪೆ ಚಟ್ನಿ ರೆಸಿಪಿ)</t>
  </si>
  <si>
    <t>1 ಮಂಗಳೂರು ಸೌತೆಕಾಯಿ - ಸಿಪ್ಪೆ ತೆಗೆದ, 4 ಚಮಚ ತಾಜಾ ತೆಂಗಿನಕಾಯಿ - ತುರಿದ, 2 ಒಣ ಕೆಂಪು ಮೆಣಸಿನಕಾಯಿಗಳು, 2 ಟೀಚಮಚ ಬಿಳಿ ಉದ್ದಿನ ಬೇಳೆ (ಒಡೆದ), 2 ಟೀಚಮಚ ಚನಾ ದಾಲ್ (ಬಂಗಾಳ ಬೇಳೆ), 18 ಗ್ರಾಂ ಹುಣಸೆಹಣ್ಣು, 1 ಚಮಚ ಬೆಲ್ಲ, 1 ಚಮಚ ಸೂರ್ಯಕಾಂತಿ ಎಣ್ಣೆ, 1 ಟೀಚಮಚ ಸಾಸಿವೆ, 1 ಕರಿಬೇವಿನ ಎಲೆಗಳು</t>
  </si>
  <si>
    <t>1 Mangalorean cucumber - Peel removed,4 tablespoon Fresh coconut - grated,2 Dry Red Chillies,2 teaspoon White Urad Dal (Split),2 teaspoon Chana dal (Bengal Gram Dal),18 grams Tamarind,1 teaspoon Jaggery,1 tablespoon Sunflower Oil,1 teaspoon Mustard seeds,1 sprig Curry leaves</t>
  </si>
  <si>
    <t xml:space="preserve">We begin making the Southekayi Seppe Chutney Recipe (Mangalore Cucumber Peel Chutney Recipe) by peeling the skin of the mangalore cucumber. Keep the flesh for later use.Heat Kadai with oil, fry these chopped peel till it is soft. Then take them out. In the same kadai, add the urad dal, chana dal and coconut and roast them for 2 minutes.Once done grind along with the rest of the ingredients mentioned above including the Mangalore peel.Season it with salt if required and put it into a serving cup. Heat a small kadai, and temper the ingredients by crackling the mustard seeds and curry leaves and pour it over the chutney.Serve the Southekayi Seppe Chutney Recipe (Mangalore Cucumber Peel Chutney Recipe) along with Konkani Style Phanna Doddak Recipe (Tempered Dosa Recipe) for your morning breakfast.
</t>
  </si>
  <si>
    <t xml:space="preserve">ನಾವು ಮಂಗಳೂರು ಸೌತೆಕಾಯಿಯ ಸಿಪ್ಪೆ ಸುಲಿದು ಸೌತೆಕಾಯಿ ಸೆಪ್ಪೆ ಚಟ್ನಿ ರೆಸಿಪಿ (ಮಂಗಳೂರು ಸೌತೆಕಾಯಿ ಸಿಪ್ಪೆ ಚಟ್ನಿ ರೆಸಿಪಿ) ಮಾಡಲು ಪ್ರಾರಂಭಿಸುತ್ತೇವೆ. ನಂತರದ ಬಳಕೆಗಾಗಿ ಮಾಂಸವನ್ನು ಇರಿಸಿ. ಕಡಾಯಿಯನ್ನು ಎಣ್ಣೆಯಿಂದ ಬಿಸಿ ಮಾಡಿ, ಈ ಕತ್ತರಿಸಿದ ಸಿಪ್ಪೆಯನ್ನು ಮೃದುವಾಗುವವರೆಗೆ ಹುರಿಯಿರಿ. ನಂತರ ಅವುಗಳನ್ನು ಹೊರತೆಗೆಯಿರಿ. ಅದೇ ಕಡಾಯಿಯಲ್ಲಿ, ಉದ್ದಿನಬೇಳೆ, ಕಡಲೆ ಬೇಳೆ ಮತ್ತು ತೆಂಗಿನಕಾಯಿಯನ್ನು ಸೇರಿಸಿ ಮತ್ತು ಅವುಗಳನ್ನು 2 ನಿಮಿಷಗಳ ಕಾಲ ಹುರಿದುಕೊಳ್ಳಿ. ಒಮ್ಮೆ ಮಂಗಳೂರು ಸಿಪ್ಪೆ ಸೇರಿದಂತೆ ಮೇಲೆ ತಿಳಿಸಿದ ಉಳಿದ ಪದಾರ್ಥಗಳೊಂದಿಗೆ ರುಬ್ಬಿಕೊಳ್ಳಿ. ಅಗತ್ಯವಿದ್ದರೆ ಉಪ್ಪು ಮತ್ತು ಅದನ್ನು ಸರ್ವಿಂಗ್ ಕಪ್ಗೆ ಹಾಕಿ. ಸಣ್ಣ ಕಡಾಯಿಯನ್ನು ಬಿಸಿ ಮಾಡಿ ಮತ್ತು ಸಾಸಿವೆ ಮತ್ತು ಕರಿಬೇವಿನ ಸೊಪ್ಪನ್ನು ಒಡೆದು ಸಾಮಾಗ್ರಿಗಳನ್ನು ಹದಗೊಳಿಸಿ ಚಟ್ನಿಯ ಮೇಲೆ ಸುರಿಯಿರಿ. ಕೊಂಕಣಿ ಶೈಲಿಯ ಫನ್ನಾ ದೊಡ್ಡಕ್ ರೆಸಿಪಿಯೊಂದಿಗೆ ಸೌತೆಕಾಯಿ ಸೆಪ್ಪೆ ಚಟ್ನಿ ರೆಸಿಪಿ (ಮಂಗಳೂರು ಸೌತೆಕಾಯಿ ಸಿಪ್ಪೆ ಚಟ್ನಿ ರೆಸಿಪಿ) ಅನ್ನು ಬಡಿಸಿ.
</t>
  </si>
  <si>
    <t>https://www.archanaskitchen.com/karnataka-style-southekayi-seppe-chutney-recipe-mangalore-cucumber-peel-chutney-recipe</t>
  </si>
  <si>
    <t>Pudina Tambuli Recipe</t>
  </si>
  <si>
    <t>ಪುದಿನಾ ತಂಬುಳಿ ರೆಸಿಪಿ</t>
  </si>
  <si>
    <t>1/2 ಕಪ್ ಪುದೀನಾ (ಪುದೀನಾ), 1 ಟೀಚಮಚ ಜೀರಿಗೆ (ಜೀರಾ), 3 ಸಂಪೂರ್ಣ ಕಪ್ಪು ಮೆಣಸು, 1 ಹಸಿರು ಮೆಣಸಿನಕಾಯಿ, 1/4 ಕಪ್ ತಾಜಾ ತೆಂಗಿನಕಾಯಿ - ತುರಿದ, 1-1/2 ಕಪ್ ಮಜ್ಜಿಗೆ, 1 ಟೀಚಮಚ ತುಪ್ಪ, ಉಪ್ಪು - ರುಚಿಗೆ, 1 ಟೀಚಮಚ ತುಪ್ಪ, 1/2 ಟೀಚಮಚ ಸಾಸಿವೆ ಬೀಜಗಳು, 1/2 ಟೀ ಚಮಚ ಸಾಸಿವೆ, ಮುರಿದಿದೆ</t>
  </si>
  <si>
    <t>1/2 cup Mint Leaves (Pudina),1 teaspoon Cumin seeds (Jeera),3 Whole Black Peppercorns,1 Green Chilli,1/4 cup Fresh coconut - grated,1-1/2 cup Buttermilk,1 teaspoon Ghee,Salt - to taste,1 teaspoon Ghee,1/2 teaspoon Mustard seeds,1/2 teaspoon Cumin seeds (Jeera),6 Curry leaves,1 Dry Red Chilli - broken</t>
  </si>
  <si>
    <t xml:space="preserve">To begin making the Pudina Tambuli recipe, clean and  wash mint leaves .In a pan add few drops of ghee and roast jeera, pepper and green chilli. Fry for a minute.Add the pudina leaves and sauté for 2-3 minutes or till the leaves turn soft and change their colour.Remove from the flame and keep aside to cool. Grind leaves, spice mix, coconut and salt to a very smooth paste in a mixer by adding little water.Pour the mixture to a bowl and add buttermilk/curd. Mix well.Adjust the consistency as required. The consistency should be thin .Heat the remaining ghee in a small pan. Add mustard seeds and jeera ,when it splutters add curry leaves. Pour the tempering on the thambli.Serve Pudina Tambli in room temperature with hot steaming rice and Keerai Sambar or relish as such as a drink.
</t>
  </si>
  <si>
    <t xml:space="preserve">ಪುದೀನಾ ತಂಬುಳಿ ಪಾಕವಿಧಾನವನ್ನು ತಯಾರಿಸಲು ಪ್ರಾರಂಭಿಸಲು, ಪುದೀನಾ ಎಲೆಗಳನ್ನು ಸ್ವಚ್ಛಗೊಳಿಸಿ ಮತ್ತು ತೊಳೆಯಿರಿ ಒಂದು ನಿಮಿಷ ಫ್ರೈ ಮಾಡಿ. ಪುದೀನಾ ಎಲೆಗಳನ್ನು ಸೇರಿಸಿ ಮತ್ತು 2-3 ನಿಮಿಷಗಳ ಕಾಲ ಅಥವಾ ಎಲೆಗಳು ಮೃದುವಾಗುವವರೆಗೆ ಮತ್ತು ಅವುಗಳ ಬಣ್ಣವನ್ನು ಬದಲಾಯಿಸುವವರೆಗೆ ಹುರಿಯಿರಿ. ಉರಿಯಿಂದ ತೆಗೆದುಹಾಕಿ ಮತ್ತು ತಣ್ಣಗಾಗಲು ಪಕ್ಕಕ್ಕೆ ಇರಿಸಿ. ಸ್ವಲ್ಪ ನೀರು ಸೇರಿಸಿ ಮಿಕ್ಸಿಯಲ್ಲಿ ಎಲೆಗಳು, ಮಸಾಲೆ ಮಿಶ್ರಣ, ತೆಂಗಿನಕಾಯಿ ಮತ್ತು ಉಪ್ಪನ್ನು ತುಂಬಾ ನಯವಾದ ಪೇಸ್ಟ್‌ಗೆ ರುಬ್ಬಿಕೊಳ್ಳಿ. ಮಿಶ್ರಣವನ್ನು ಒಂದು ಬಟ್ಟಲಿಗೆ ಸುರಿಯಿರಿ ಮತ್ತು ಮಜ್ಜಿಗೆ / ಮೊಸರು ಸೇರಿಸಿ. ಚೆನ್ನಾಗಿ ಮಿಶ್ರಣ ಮಾಡಿ. ಅಗತ್ಯವಿರುವಂತೆ ಸ್ಥಿರತೆಯನ್ನು ಹೊಂದಿಸಿ. ಸ್ಥಿರತೆ ತೆಳುವಾಗಿರಬೇಕು .ಉಳಿದ ತುಪ್ಪವನ್ನು ಸಣ್ಣ ಬಾಣಲೆಯಲ್ಲಿ ಬಿಸಿ ಮಾಡಿ. ಸಾಸಿವೆ ಮತ್ತು ಜೀರಿಗೆ ಸೇರಿಸಿ, ಅದು ಚೆಲ್ಲಿದಾಗ ಕರಿಬೇವಿನ ಎಲೆಗಳನ್ನು ಸೇರಿಸಿ. ತಂಬ್ಲಿಯ ಮೇಲೆ ಹದಗೊಳಿಸುವಿಕೆಯನ್ನು ಸುರಿಯಿರಿ. ಕೋಣೆಯ ಉಷ್ಣಾಂಶದಲ್ಲಿ ಬಿಸಿ ಹಬೆಯ ಅನ್ನ ಮತ್ತು ಕೀರಾಯಿ ಸಾಂಬಾರ್ ಜೊತೆಗೆ ಪುದಿನಾ ತಂಬ್ಳಿಯನ್ನು ಬಡಿಸಿ ಅಥವಾ ಪಾನೀಯದಂತೆಯೇ ಸವಿಯಿರಿ.
</t>
  </si>
  <si>
    <t>https://www.archanaskitchen.com/pudina-tambuli-recipe</t>
  </si>
  <si>
    <t>Karnataka Style Ranjaka Recipe (Red Chili Chutney Recipe)</t>
  </si>
  <si>
    <t>ಕರ್ನಾಟಕ ಶೈಲಿಯ ರಂಜಕ ರೆಸಿಪಿ (ಕೆಂಪು ಮೆಣಸಿನಕಾಯಿ ಚಟ್ನಿ ರೆಸಿಪಿ)</t>
  </si>
  <si>
    <t>10 ಒಣ ಕೆಂಪು ಮೆಣಸಿನಕಾಯಿಗಳು, 1 ಟೀಚಮಚ ಮೇಥಿ ಬೀಜಗಳು (ಮೆಂತ್ಯ ಬೀಜಗಳು), 1 ನಿಂಬೆ ರಸ, 1 ಚಮಚ ಸಾಸಿವೆ ಎಣ್ಣೆ, 1 ಟೀಚಮಚ ಸಾಸಿವೆ ಬೀಜಗಳು, 1 ಚಿಗುರು ಕರಿಬೇವಿನ ಎಲೆಗಳು, 1 ಚಿಟಿಕೆ ಇಂಗು (ಹಿಂಗ್)</t>
  </si>
  <si>
    <t>10 Dry Red Chillies,1 teaspoon Methi Seeds (Fenugreek Seeds),1 Lemon juice,1 tablespoon Mustard oil,1 teaspoon Mustard seeds,1 sprig Curry leaves,1 pinch Asafoetida (hing)</t>
  </si>
  <si>
    <t xml:space="preserve">To begin preparing the Ranjaka Recipe, boil the dry red chillies with 1 cup water for about 20minutes till the chillies become soft.Add the chilies with fenugreek seeds and lemon juice into a grinder and grind it into a coarse paste.To temper, heat a small kadai with oil and add the mustard seeds and leave it crackle. Add the curry leaves and allow it splutter and pour this over the chutney and serve. Serve the Karnataka Style Ranjaka Recipe with Tawa paratha, Yellow Pumpkin Dal Recipe and palya by the side.
</t>
  </si>
  <si>
    <t xml:space="preserve">ರಂಜಕ ರೆಸಿಪಿಯನ್ನು ತಯಾರಿಸಲು ಪ್ರಾರಂಭಿಸಲು, ಒಣ ಮೆಣಸಿನಕಾಯಿಯನ್ನು 1 ಕಪ್ ನೀರಿನಲ್ಲಿ 20 ನಿಮಿಷಗಳ ಕಾಲ ಕುದಿಸಿ, ಮೆಣಸಿನಕಾಯಿ ಮತ್ತು ನಿಂಬೆ ರಸವನ್ನು ಗ್ರೈಂಡರ್‌ಗೆ ಸೇರಿಸಿ ಮತ್ತು ಒರಟಾದ ಪೇಸ್ಟ್‌ಗೆ ರುಬ್ಬಿಕೊಳ್ಳಿ. ಕರಿಬೇವಿನ ಎಲೆಗಳನ್ನು ಸೇರಿಸಿ ಮತ್ತು ಅದನ್ನು ಚಿಮುಕಿಸಲು ಅವಕಾಶ ಮಾಡಿಕೊಡಿ ಮತ್ತು ಇದನ್ನು ಚಟ್ನಿಯ ಮೇಲೆ ಸುರಿಯಿರಿ ಮತ್ತು ಬಡಿಸಿ. ಕರ್ನಾಟಕ ಶೈಲಿಯ ರಂಜಕ ರೆಸಿಪಿಯನ್ನು ತವಾ ಪರಾಠ, ಹಳದಿ ಕುಂಬಳಕಾಯಿ ದಾಲ್ ರೆಸಿಪಿ ಮತ್ತು ಪಲ್ಯವನ್ನು ಪಕ್ಕದಲ್ಲಿ ಬಡಿಸಿ.
</t>
  </si>
  <si>
    <t>https://www.archanaskitchen.com/karnataka-style-ranjaka-recipe-red-chili-chutney-recipe</t>
  </si>
  <si>
    <t>Karnataka Style Menthya Soppu Hesaru Kaalu Palya Recipe</t>
  </si>
  <si>
    <t>ಕರ್ನಾಟಕ ಸ್ಟೈಲ್ ಮೆಂತ್ಯ ಸೊಪ್ಪು ಹೆಸರು ಕಾಳು ಪಲ್ಯ ರೆಸಿಪಿ</t>
  </si>
  <si>
    <t>2 ಕಪ್ ಹಸಿರು ಮೂಂಗ್ ಮೊಗ್ಗುಗಳು - ಆವಿಯಲ್ಲಿ ಬೇಯಿಸಿದ, 1 ಕಪ್ ಮೇಥಿ ಎಲೆಗಳು (ಮೆಂತ್ಯ ಎಲೆಗಳು) - ಸ್ಥೂಲವಾಗಿ ಕತ್ತರಿಸಿದ, 1 ಈರುಳ್ಳಿ - ಸಣ್ಣದಾಗಿ ಕೊಚ್ಚಿದ, 1 ಟೊಮ್ಯಾಟೊ - ಸಣ್ಣದಾಗಿ ಕೊಚ್ಚಿದ, 1/4 ಟೀಚಮಚ ಅರಿಶಿನ ಪುಡಿ (ಹಲ್ದಿ), 1 ಚಮಚ ಬೆಲ್ಲ - ಸೂರ್ಯ ಪುಡಿ, ಕೊತ್ತಂಬರಿ (ಧನಿಯಾ) ಎಲೆಗಳು - ಒಂದು ಚಮಚ ರುಚಿಗೆ ತಕ್ಕಷ್ಟು, 4 ಸೊಪ್ಪು - ಕತ್ತರಿಸಿದ, 3 ಲವಂಗ ಬೆಳ್ಳುಳ್ಳಿ, 1 ಒಣ ಕೆಂಪು ಮೆಣಸಿನಕಾಯಿ, 1 ಟೀಚಮಚ ಜೀರಿಗೆ (ಜೀರಾ)</t>
  </si>
  <si>
    <t>2 cups Green Moong Sprouts - steamed,1 cup Methi Leaves (Fenugreek Leaves) - roughly chopped,1 Onion - finely chopped,1 Tomato - finely chopped,1/4 teaspoon Turmeric powder (Haldi),1 teaspoon Jaggery - powdered,Coriander (Dhania) Leaves - a few sprigs,2 teaspoons Sunflower Oil,Salt - to taste,4 Shallots - chopped,3 cloves Garlic,1 Dry Red Chilli,1 teaspoon Cumin seeds (Jeera)</t>
  </si>
  <si>
    <t xml:space="preserve">To begin making Menthya Soppu Hesaru Kaalu Palya Recipe, pressure cook the sprouted green gram for one whistle adding a cup of water using a pressure cooker and keep aside.Make a course mix of the shallots, garlic cloves, cumin seeds and dry red chilli using a mortar and pestle and keep aside.Heat oil in a heavy bottomed pan, once the cooking oil is hot, add the onions over medium heat and saute until they turn translucent.Add in the pounded masala mix and saute until the raw smell of the garlic and shallots disappears.Once the mixture is smelling cooked, add the chopped tomatoes and cook until it turns mushy.After the tomatoes are a bit mushy, add the fenugreek leaves, turmeric powder, season with required salt to taste and mix well by sauteing.Let the fenugreek leaves cook to 3/4th, and occasionally keep stirring the mix. You can ad a bit of water if you need, at this stage.Occasionally keep stirring on low medium heat, until the methi/fenugreek leaves are mostly done. Add in the cooked sprouted green gram, jaggery powder and mix well.Let the mix simmer for about 5 minutes or till done and let the water evaporate if any.Garnish with coriander leaves, mix well and switch off the heat.Serve Menthya Soppu Hesaru Kaalu Palya Recipe (Karnataka Style Fenugreek Leaves and Green Gram Stir Fry) along with Akki Rotti Recipe (Spicy Gluten Free Rice Flour Flat Breads), Karnataka Style Badanekai Yennegai Gojju Recipe and Indian Vegetable Salad Recipe.
</t>
  </si>
  <si>
    <t xml:space="preserve">ಮೆಂತ್ಯ ಸೊಪ್ಪು ಹೆಸರುಕಾಳು ಪಲ್ಯವನ್ನು ತಯಾರಿಸಲು ಪ್ರಾರಂಭಿಸಲು, ಮೊಳಕೆಯೊಡೆದ ಹಸಿಬೇಳೆಯನ್ನು ಒಂದು ಸೀಟಿಗೆ ಪ್ರೆಶರ್ ಕುಕ್ಕರ್ ಬಳಸಿ ಒಂದು ಕಪ್ ನೀರು ಸೇರಿಸಿ ಒಂದು ಸೀಟಿಗೆ ಕುಕ್ ಮಾಡಿ ಮತ್ತು ಪಕ್ಕಕ್ಕೆ ಇಟ್ಟುಕೊಳ್ಳಿ. ಒಂದು ಗಾರೆ ಮತ್ತು ಪೆಸ್ಟಲ್ ಅನ್ನು ಬಳಸಿ, ಹಸಿಮೆಣಸು, ಬೆಳ್ಳುಳ್ಳಿ ಎಸಳು, ಜೀರಿಗೆ ಮತ್ತು ಒಣ ಮೆಣಸಿನಕಾಯಿಯನ್ನು ಮಿಶ್ರಣ ಮಾಡಿ. ಮಧ್ಯಮ ಉರಿ ಮತ್ತು ಅವು ಅರೆಪಾರದರ್ಶಕವಾಗುವವರೆಗೆ ಹುರಿಯಿರಿ. ಪುಡಿಮಾಡಿದ ಮಸಾಲಾ ಮಿಶ್ರಣದಲ್ಲಿ ಸೇರಿಸಿ ಮತ್ತು ಬೆಳ್ಳುಳ್ಳಿ ಮತ್ತು ಈರುಳ್ಳಿಯ ಹಸಿ ವಾಸನೆ ಹೋಗುವವರೆಗೆ ಹುರಿಯಿರಿ. ಮಿಶ್ರಣವು ಬೇಯಿಸಿದ ನಂತರ, ಕತ್ತರಿಸಿದ ಟೊಮೆಟೊಗಳನ್ನು ಸೇರಿಸಿ ಮತ್ತು ಅದು ಮೆತ್ತಗಾಗುವವರೆಗೆ ಬೇಯಿಸಿ. ಎಲೆಗಳು 3/4 ರಷ್ಟು ಬೇಯಿಸಿ, ಮತ್ತು ಸಾಂದರ್ಭಿಕವಾಗಿ ಮಿಶ್ರಣವನ್ನು ಬೆರೆಸಿ ಇರಿಸಿಕೊಳ್ಳಿ. ಈ ಹಂತದಲ್ಲಿ ನಿಮಗೆ ಅಗತ್ಯವಿದ್ದಲ್ಲಿ ನೀವು ಸ್ವಲ್ಪ ನೀರನ್ನು ಜಾಹೀರುಗೊಳಿಸಬಹುದು. ಸಾಂದರ್ಭಿಕವಾಗಿ ಕಡಿಮೆ ಮಧ್ಯಮ ಉರಿಯಲ್ಲಿ ಮೇಥಿ/ಮೆಂತ್ಯ ಎಲೆಗಳು ಹೆಚ್ಚು ಸಿದ್ಧವಾಗುವವರೆಗೆ ಬೆರೆಸಿ. ಬೇಯಿಸಿದ ಮೊಳಕೆ ಕಾಳು, ಬೆಲ್ಲದ ಪುಡಿಯನ್ನು ಸೇರಿಸಿ ಮತ್ತು ಚೆನ್ನಾಗಿ ಮಿಶ್ರಣ ಮಾಡಿ. ಮಿಶ್ರಣವು ಸುಮಾರು 5 ನಿಮಿಷಗಳ ಕಾಲ ಕುದಿಯಲು ಬಿಡಿ ಅಥವಾ ಅದು ಮುಗಿಯುವವರೆಗೆ ಮತ್ತು ನೀರು ಆವಿಯಾಗಲು ಬಿಡಿ. ಕೊತ್ತಂಬರಿ ಸೊಪ್ಪಿನಿಂದ ಅಲಂಕರಿಸಿ, ಚೆನ್ನಾಗಿ ಮಿಶ್ರಣ ಮಾಡಿ ಮತ್ತು ಉರಿಯನ್ನು ಆಫ್ ಮಾಡಿ. ಮೆಂತ್ಯ ಸೊಪ್ಪು ಹೆಸರುಕಾಳು ಪಲ್ಯ ರೆಸಿಪಿ (ಕರ್ನಾಟಕ ಮತ್ತು ಗ್ರೀನ್ಸ್ ಪೇಸ್ಟ್ರಿ ಸ್ಟ್ರೈವ್) ಜೊತೆಗೆ ಬಡಿಸಿ. ಅಕ್ಕಿ ರೊಟ್ಟಿ ರೆಸಿಪಿ (ಮಸಾಲೆಯುಕ್ತ ಅಂಟು ರಹಿತ ರೈಸ್ ಫ್ಲಾಟ್ ಬ್ರೆಡ್‌ಗಳು), ಕರ್ನಾಟಕ ಶೈಲಿಯ ಬದನೆಕಾಯಿ ಯೆನ್ನೆಗೈ ಗೊಜ್ಜು ರೆಸಿಪಿ ಮತ್ತು ಭಾರತೀಯ ತರಕಾರಿ ಸಲಾಡ್ ರೆಸಿಪಿಯೊಂದಿಗೆ.
</t>
  </si>
  <si>
    <t>http://www.archanaskitchen.com/karnataka-style-menthya-soppu-hesaru-kaalu-palya-recipe</t>
  </si>
  <si>
    <t>Avarekalu Payasa Recipe - Broad Beans Payasa</t>
  </si>
  <si>
    <t>ಅವರೆಕಾಳು ಪಾಯಸ ರೆಸಿಪಿ - ಬ್ರಾಡ್ ಬೀನ್ಸ್ ಪಾಯಸ</t>
  </si>
  <si>
    <t>1/2 ಕಪ್ ಅವರೆಕಾಳು / ಲಿಲ್ವಾ ಬೀನ್ಸ್, 1/3 ಕಪ್ ತಾಜಾ ತೆಂಗಿನಕಾಯಿ, 3 ಚಮಚ ಗಸಗಸೆ, 1/3 ಕಪ್ ಬೆಲ್ಲ, ಉಪ್ಪು - ಒಂದು ಚಿಟಿಕೆ, 3 ಲವಂಗ ಏಲಕ್ಕಿ (ಎಲೈಚಿ) ಕಾಳುಗಳು / ಬೀಜಗಳು, 2 ಟೀ ಚಮಚ ತುಪ್ಪ, 10 ಗೋಡಂಬಿ, 10 ಒಣದ್ರಾಕ್ಷಿ</t>
  </si>
  <si>
    <t>1/2 cup Avarekalu / Lilva Beans,1/3 cup Fresh coconut,3 teaspoons Poppy seeds,1/3 cup Jaggery,Salt - a pinch,3 cloves Cardamom (Elaichi) Pods/Seeds,2 teaspoon Ghee,10 Cashew nuts,10 Raisins</t>
  </si>
  <si>
    <t xml:space="preserve">To begin making Avarekalu Payasa Recipe, wash the field beans and add them in a pressure cooker with enough water. Pressure cook for one whistle and turn of the flame, allow the pressure to release naturally. Once pressure releases, drain the beans from the water and keep aside. The field beans shouldn’t be cooked mushy. You can also de-skin it if needed; de skinning adds a smooth texture to the payasa.  In a mixer-jar, add grated coconut, poppy seeds and cardamom in a mixer, add very little water and grind into thick paste. Keep aside.Place a heavy bottom pan on a low flame, add jaggery and a little water to dissolve jaggery. Once it is dissolved, filter the jaggery syrup to remove impurities. Add it back to the pan and now add the ground coconut paste and cooked avarekalu. On a low flame boil the payasa for 10 -12 minutes. Keep stirring and mash the beans lightly if you want a smooth texture. Turn off the flame. Meanwhile, in a separate pan, add a tablespoon of ghee and fry the cashew nuts and raisins. Once the cashews are brown turn off the flame. Add this to the Payasa and mix well. The delicious avarekalu payasa is ready.Serve Avarekalu Payasa as a dessert after a Karnataka Style meal of Karnataka Style Majjige Huli Recipe, Steamed Rice and Akki Peni Sandige (Rice idiyappam Fryums)
</t>
  </si>
  <si>
    <t xml:space="preserve">ಅವರೆಕಾಳು ಪಾಯಸವನ್ನು ತಯಾರಿಸಲು ಪ್ರಾರಂಭಿಸಲು, ಫೀಲ್ಡ್ ಬೀನ್ಸ್ ಅನ್ನು ತೊಳೆದು ಒತ್ತಡದ ಕುಕ್ಕರ್‌ನಲ್ಲಿ ಸಾಕಷ್ಟು ನೀರು ಸೇರಿಸಿ. ಒಂದು ಸೀಟಿಗೆ ಪ್ರೆಶರ್ ಕುಕ್ ಮಾಡಿ ಮತ್ತು ಜ್ವಾಲೆಯನ್ನು ತಿರುಗಿಸಿ, ಒತ್ತಡವನ್ನು ನೈಸರ್ಗಿಕವಾಗಿ ಬಿಡುಗಡೆ ಮಾಡಲು ಅವಕಾಶ ಮಾಡಿಕೊಡಿ. ಒತ್ತಡ ಬಿಡುಗಡೆಯಾದ ನಂತರ, ಬೀನ್ಸ್ ಅನ್ನು ನೀರಿನಿಂದ ಹರಿಸುತ್ತವೆ ಮತ್ತು ಪಕ್ಕಕ್ಕೆ ಇರಿಸಿ. ಫೀಲ್ಡ್ ಬೀನ್ಸ್ ಅನ್ನು ಮೃದುವಾಗಿ ಬೇಯಿಸಬಾರದು. ಅಗತ್ಯವಿದ್ದರೆ ನೀವು ಅದನ್ನು ಡಿ-ಸ್ಕಿನ್ ಮಾಡಬಹುದು; ಡಿ ಸ್ಕಿನ್ನಿಂಗ್ ಪಾಯಸಕ್ಕೆ ಮೃದುವಾದ ವಿನ್ಯಾಸವನ್ನು ಸೇರಿಸುತ್ತದೆ.  ಮಿಕ್ಸರ್-ಜಾರ್‌ನಲ್ಲಿ, ತೆಂಗಿನ ತುರಿ, ಗಸಗಸೆ ಮತ್ತು ಏಲಕ್ಕಿಯನ್ನು ಮಿಕ್ಸಿಯಲ್ಲಿ ಸೇರಿಸಿ, ಸ್ವಲ್ಪ ನೀರು ಸೇರಿಸಿ ಮತ್ತು ದಪ್ಪ ಪೇಸ್ಟ್‌ಗೆ ರುಬ್ಬಿಕೊಳ್ಳಿ. ಪಕ್ಕಕ್ಕೆ ಇರಿಸಿ. ಕಡಿಮೆ ಜ್ವಾಲೆಯ ಮೇಲೆ ಭಾರವಾದ ಕೆಳಭಾಗದ ಪ್ಯಾನ್ ಅನ್ನು ಇರಿಸಿ, ಬೆಲ್ಲವನ್ನು ಕರಗಿಸಲು ಬೆಲ್ಲ ಮತ್ತು ಸ್ವಲ್ಪ ನೀರು ಸೇರಿಸಿ. ಅದು ಕರಗಿದ ನಂತರ, ಕಲ್ಮಶಗಳನ್ನು ತೆಗೆದುಹಾಕಲು ಬೆಲ್ಲದ ಸಿರಪ್ ಅನ್ನು ಫಿಲ್ಟರ್ ಮಾಡಿ. ಅದನ್ನು ಮತ್ತೆ ಬಾಣಲೆಗೆ ಸೇರಿಸಿ ಮತ್ತು ಈಗ ರುಬ್ಬಿದ ತೆಂಗಿನಕಾಯಿ ಪೇಸ್ಟ್ ಮತ್ತು ಬೇಯಿಸಿದ ಅವರೆಕಾಳು ಸೇರಿಸಿ. ಕಡಿಮೆ ಉರಿಯಲ್ಲಿ ಪಾಯಸವನ್ನು 10-12 ನಿಮಿಷಗಳ ಕಾಲ ಕುದಿಸಿ. ನೀವು ಮೃದುವಾದ ವಿನ್ಯಾಸವನ್ನು ಬಯಸಿದರೆ ಬೀನ್ಸ್ ಅನ್ನು ಲಘುವಾಗಿ ಬೆರೆಸಿ ಮತ್ತು ಮ್ಯಾಶ್ ಮಾಡಿ. ಜ್ವಾಲೆಯನ್ನು ಆಫ್ ಮಾಡಿ. ಈ ಮಧ್ಯೆ, ಪ್ರತ್ಯೇಕ ಬಾಣಲೆಯಲ್ಲಿ, ಒಂದು ಚಮಚ ತುಪ್ಪವನ್ನು ಸೇರಿಸಿ ಮತ್ತು ಗೋಡಂಬಿ ಮತ್ತು ಒಣದ್ರಾಕ್ಷಿಗಳನ್ನು ಹುರಿಯಿರಿ. ಗೋಡಂಬಿ ಕಂದು ಬಣ್ಣಕ್ಕೆ ಬಂದ ನಂತರ ಉರಿಯನ್ನು ಆಫ್ ಮಾಡಿ. ಇದನ್ನು ಪಾಯಸಕ್ಕೆ ಸೇರಿಸಿ ಚೆನ್ನಾಗಿ ಕಲಸಿ. ರುಚಿಕರವಾದ ಅವರೆಕಾಳು ಪಾಯಸ ಸಿದ್ಧವಾಗಿದೆ.ಕರ್ನಾಟಕ ಶೈಲಿಯ ಮಜ್ಜಿಗೆ ಹುಲಿ ರೆಸಿಪಿ, ಸ್ಟೀಮ್ಡ್ ರೈಸ್ ಮತ್ತು ಅಕ್ಕಿ ಪೇಣಿ ಸಂಡಿಗೆ (ರೈಸ್ ಇಡಿಯಪ್ಪಂ ಫ್ರೈಮ್ಸ್) ಕರ್ನಾಟಕ ಶೈಲಿಯ ಊಟದ ನಂತರ ಅವರೆಕಾಳು ಪಾಯಸವನ್ನು ಸಿಹಿತಿಂಡಿಯಾಗಿ ಬಡಿಸಿ.
</t>
  </si>
  <si>
    <t>http://www.archanaskitchen.com/avarekalu-payasa-recipe-broad-beans-pudding</t>
  </si>
  <si>
    <t>Karnataka Style Badnekayi Mosaru Gojju Recipe</t>
  </si>
  <si>
    <t>ಕರ್ನಾಟಕ ಸ್ಟೈಲ್ ಬದ್ನೆಕಾಯಿ ಮೊಸರು ಗೊಜ್ಜು ರೆಸಿಪಿ</t>
  </si>
  <si>
    <t>1 ಬದನೆ (ಬೈಂಗನ್ / ಬದನೆ), 1 ಕಪ್ ಹಂಗ್ ಮೊಸರು (ಗ್ರೀಕ್ ಮೊಸರು), 2 ಕೊತ್ತಂಬರಿ (ಧನಿಯಾ) ಎಲೆಗಳು - ಕತ್ತರಿಸಿದ, 1 ಹಸಿರು ಮೆಣಸಿನಕಾಯಿ - ಕತ್ತರಿಸಿದ, ಉಪ್ಪು - ರುಚಿಗೆ, 1 ಟೀಚಮಚ ಸಾಸಿವೆ ಬೀಜಗಳು, 1 ಟೀಚಮಚ ಬಿಳಿ ಉರಡ್ ದಾಲ್ (ಒಡೆ), 1 ಟೀಚಮಚ ಚನಾ ದಾಲ್ (2 ಟೀಚಮಚ), 1 ಟೀಚಮಚ ಚನಾ ದಾಲ್ (2 ಚಮಚ), ಕೆಂಪು ಮೆಣಸಿನಕಾಯಿ, 1 ಚಿಗುರು ಕರಿಬೇವಿನ ಎಲೆಗಳು</t>
  </si>
  <si>
    <t>1 Brinjal (Baingan / Eggplant),1 cup Hung Curd (Greek Yogurt),2 sprig Coriander (Dhania) Leaves - chopped,1 Green Chilli - chopped,Salt - to taste,1 teaspoon Mustard seeds,1 teaspoon White Urad Dal (Split),1 teaspoon Chana dal (Bengal Gram Dal),1 teaspoon Asafoetida (hing),2 Dry Red Chilli,1 sprig Curry leaves</t>
  </si>
  <si>
    <t xml:space="preserve">We begin making the Karnataka Style Badnekayi Mosaru Gojju Recipe by roasting the eggplant. Try to poke the eggplant on all the sides.Roast them on your stove directly or you can slowly roast them on a griddle as well. Keep turning them evenly and add a tablespoon of oil.Roast them until the eggplant becomes soft and the skin starts to peel off slowly. Take it out and rest it for coupe of minutes.Then peel off the skin and chop the flesh and mash it coarsely. Mix it with curd, green chilli and salt. Adjust the consistency by adding water if necessary.Now to make the tadka, heat a kadai with oil and then add in the mustard seeds, urad dal, channa dal, hing and dry red chilli, crackle the curry leaves. Pour it over the Gojju and serve.Serve the Karnataka Style Badnekayi Mosaru Gojju Recipe along with some steamed rice,Palak Tovve or Palak Dal Recipe (Spinach and Lentil Curry) and Gorikayi Palya Recipe to complete a meal.
</t>
  </si>
  <si>
    <t xml:space="preserve">ನಾವು ಬದನೆಕಾಯಿಯನ್ನು ಹುರಿಯುವ ಮೂಲಕ ಕರ್ನಾಟಕ ಶೈಲಿಯ ಬದನೆಕಾಯಿ ಮೊಸರು ಗೊಜ್ಜು ರೆಸಿಪಿಯನ್ನು ತಯಾರಿಸಲು ಪ್ರಾರಂಭಿಸುತ್ತೇವೆ. ಬಿಳಿಬದನೆಯನ್ನು ಎಲ್ಲಾ ಕಡೆಗಳಲ್ಲಿ ಇರಿಯಲು ಪ್ರಯತ್ನಿಸಿ. ಅವುಗಳನ್ನು ನೇರವಾಗಿ ನಿಮ್ಮ ಒಲೆಯ ಮೇಲೆ ಹುರಿಯಿರಿ ಅಥವಾ ನೀವು ಅವುಗಳನ್ನು ನಿಧಾನವಾಗಿ ಗ್ರಿಡಲ್‌ನಲ್ಲಿಯೂ ಹುರಿಯಬಹುದು. ಅವುಗಳನ್ನು ಸಮವಾಗಿ ತಿರುಗಿಸಿ ಮತ್ತು ಒಂದು ಚಮಚ ಎಣ್ಣೆಯನ್ನು ಸೇರಿಸಿ. ಬಿಳಿಬದನೆ ಮೃದುವಾಗುವವರೆಗೆ ಅವುಗಳನ್ನು ಹುರಿಯಿರಿ ಮತ್ತು ಚರ್ಮವು ನಿಧಾನವಾಗಿ ಸಿಪ್ಪೆ ಸುಲಿಯಲು ಪ್ರಾರಂಭಿಸುತ್ತದೆ. ಅದನ್ನು ಹೊರತೆಗೆದು ಕೆಲವು ನಿಮಿಷಗಳ ಕಾಲ ವಿಶ್ರಾಂತಿ ಮಾಡಿ. ನಂತರ ಚರ್ಮವನ್ನು ತೆಗೆದುಹಾಕಿ ಮತ್ತು ಮಾಂಸವನ್ನು ಕತ್ತರಿಸಿ ಒರಟಾಗಿ ಮ್ಯಾಶ್ ಮಾಡಿ. ಇದನ್ನು ಮೊಸರು, ಹಸಿರು ಮೆಣಸಿನಕಾಯಿ ಮತ್ತು ಉಪ್ಪಿನೊಂದಿಗೆ ಮಿಶ್ರಣ ಮಾಡಿ. ಅಗತ್ಯವಿದ್ದರೆ ನೀರನ್ನು ಸೇರಿಸುವ ಮೂಲಕ ಸ್ಥಿರತೆಯನ್ನು ಹೊಂದಿಸಿ. ಈಗ ತಡ್ಕಾವನ್ನು ತಯಾರಿಸಲು, ಕಡಾಯಿಯನ್ನು ಎಣ್ಣೆಯಿಂದ ಬಿಸಿ ಮಾಡಿ ನಂತರ ಸಾಸಿವೆ, ಉದ್ದಿನ ಬೇಳೆ, ಚನ್ನ ದಾಲ್, ಹಿಂಗನ್ನು ಮತ್ತು ಒಣ ಕೆಂಪು ಮೆಣಸಿನಕಾಯಿಯನ್ನು ಸೇರಿಸಿ, ಕರಿಬೇವಿನ ಎಲೆಗಳನ್ನು ಕ್ರ್ಯಾಕ್ ಮಾಡಿ. ಇದನ್ನು ಗೊಜ್ಜು ಮೇಲೆ ಸುರಿಯಿರಿ ಮತ್ತು ಬಡಿಸಿ.ಕರ್ನಾಟಕ ಶೈಲಿಯ ಬದನೆಕಾಯಿ ಮೊಸರು ಗೊಜ್ಜು ರೆಸಿಪಿ ಜೊತೆಗೆ ಸ್ವಲ್ಪ ಬೇಯಿಸಿದ ಅನ್ನ, ಪಾಲಕ್ ತೊವ್ವೆ ಅಥವಾ ಪಾಲಾಕ್ ದಾಲ್ ರೆಸಿಪಿ (ಪಾಲಕ್ ಮತ್ತು ಲೆಂಟಿಲ್ ಕರಿ) ಮತ್ತು ಗೋರಿಕಾಯಿ ಪಲ್ಯ ರೆಸಿಪಿಯನ್ನು ಊಟವನ್ನು ಪೂರ್ಣಗೊಳಿಸಲು ಬಡಿಸಿ.
</t>
  </si>
  <si>
    <t>https://www.archanaskitchen.com/karnataka-style-badnekayi-mosaru-gojju-recipe</t>
  </si>
  <si>
    <t>ಹುಣಸೆ ಗೊಜ್ಜು ರೆಸಿಪಿ</t>
  </si>
  <si>
    <t>1 ಕಪ್ ಹುಣಸೆಹಣ್ಣಿನ ಪೇಸ್ಟ್, 1/2 ಕಪ್ ಬೆಲ್ಲ, 1 ಟೀಚಮಚ ರಸಂ ಪುಡಿ - ಅಥವಾ ಕೆಂಪು ಮೆಣಸಿನ ಪುಡಿ, ಉಪ್ಪು - ರುಚಿಗೆ ತಕ್ಕಷ್ಟು, 1 ಚಮಚ ಸೂರ್ಯಕಾಂತಿ ಎಣ್ಣೆ, 1 ಚಮಚ ಮೆಂತ್ಯ ಬೀಜಗಳು (ಮೆಂತ್ಯ ಬೀಜಗಳು), 10 ಕರಿಬೇವಿನ ಎಲೆಗಳು, 1 ಚಮಚ ಸಾಸಿವೆ, 1 ಚಿಟಿಕೆ ಇಂಗು (ಹಿಂಗ್), 4 ರಿಂದ 5 ಹಸಿರು ಮೆಣಸಿನಕಾಯಿ -</t>
  </si>
  <si>
    <t>1 cup Tamarind Paste,1/2 cup Jaggery,1 teaspoon Rasam Powder - or red chilli powder,Salt - to taste,1 tablespoon Sunflower Oil,1 teaspoon Methi Seeds (Fenugreek Seeds),10 Curry leaves,1 teaspoon Mustard seeds,1 pinch Asafoetida (hing),4 to 5 Green Chilli - slit</t>
  </si>
  <si>
    <t xml:space="preserve">To begin with, the Hunase Gojju Recipe, take deep pan and heat oil in it. As the oil heats up add mustard seeds, fenugreek, curry leaves, hing and chillies. Saute them thoroughly.Add the tamarind pulp, jaggery and rasam powder to the pan and let it cook for 2 minutes. Now add 2 cups of water to the mixture and let it boil for about 15 minutes so that all the flavours are combined. And salt and taste according to your taste. The gojju will have a tangy, spicy and sweet taste, Serve it with rice and potato curry. 
</t>
  </si>
  <si>
    <t xml:space="preserve">ಪ್ರಾರಂಭಿಸಲು, ಹುಣಸೆ ಗೊಜ್ಜು ಪಾಕವಿಧಾನ, ಆಳವಾದ ಪ್ಯಾನ್ ತೆಗೆದುಕೊಂಡು ಅದರಲ್ಲಿ ಎಣ್ಣೆಯನ್ನು ಬಿಸಿ ಮಾಡಿ. ಎಣ್ಣೆ ಬಿಸಿಯಾಗುತ್ತಿದ್ದಂತೆ ಸಾಸಿವೆ, ಮೆಂತ್ಯ, ಕರಿಬೇವು, ಹಿಂಗನ್ನು ಮತ್ತು ಮೆಣಸಿನಕಾಯಿಯನ್ನು ಹಾಕಿ. ಅವುಗಳನ್ನು ಸಂಪೂರ್ಣವಾಗಿ ಹುರಿಯಿರಿ. ಹುಣಸೆ ಹಣ್ಣಿನ ತಿರುಳು, ಬೆಲ್ಲ ಮತ್ತು ರಸಂ ಪುಡಿಯನ್ನು ಪ್ಯಾನ್‌ಗೆ ಸೇರಿಸಿ ಮತ್ತು ಅದನ್ನು 2 ನಿಮಿಷ ಬೇಯಿಸಲು ಬಿಡಿ. ಈಗ ಮಿಶ್ರಣಕ್ಕೆ 2 ಕಪ್ ನೀರು ಸೇರಿಸಿ ಮತ್ತು ಅದನ್ನು ಸುಮಾರು 15 ನಿಮಿಷಗಳ ಕಾಲ ಕುದಿಯಲು ಬಿಡಿ ಇದರಿಂದ ಎಲ್ಲಾ ಸುವಾಸನೆಗಳು ಸಂಯೋಜಿಸಲ್ಪಡುತ್ತವೆ. ಮತ್ತು ನಿಮ್ಮ ರುಚಿಗೆ ತಕ್ಕಂತೆ ಉಪ್ಪು ಮತ್ತು ರುಚಿ. ಗೊಜ್ಜು ಕಟುವಾದ, ಮಸಾಲೆಯುಕ್ತ ಮತ್ತು ಸಿಹಿ ರುಚಿಯನ್ನು ಹೊಂದಿರುತ್ತದೆ, ಇದನ್ನು ಅನ್ನ ಮತ್ತು ಆಲೂಗಡ್ಡೆ ಮೇಲೋಗರದೊಂದಿಗೆ ಬಡಿಸಿ. 
</t>
  </si>
  <si>
    <t>https://www.archanaskitchen.com/hunase-gojju-recipe</t>
  </si>
  <si>
    <t>Mysore Chutney Recipe - Chana Dal Chutney</t>
  </si>
  <si>
    <t>ಮೈಸೂರು ಚಟ್ನಿ ರೆಸಿಪಿ - ಚನಾ ದಾಲ್ ಚಟ್ನಿ</t>
  </si>
  <si>
    <t>1 ಟೀಚಮಚ ಸೂರ್ಯಕಾಂತಿ ಎಣ್ಣೆ, 1/2 ಕಪ್ ಚನಾ ದಾಲ್ (ಬಂಗಾಳ ಬೇಳೆ), 5 ಒಣ ಮೆಣಸಿನಕಾಯಿಗಳು - ಮುರಿದು, 1 ಚಮಚ ನಿಂಬೆ ರಸ, ಉಪ್ಪು - ಅಗತ್ಯಕ್ಕೆ ಅನುಗುಣವಾಗಿ, 1 ಟೀಚಮಚ ಡೆಸಿಕೇಟೆಡ್ ತೆಂಗಿನಕಾಯಿ, 20 ಗ್ರಾಂ ಹುಣಸೆಹಣ್ಣು, 1 ಚಿಗುರು ಕರಿಬೇವಿನ ಎಲೆಗಳು, 1 ಚಮಚ ಶುಂಠಿ - ಕತ್ತರಿಸಿದ</t>
  </si>
  <si>
    <t>1 teaspoon Sunflower Oil,1/2 cup Chana dal (Bengal Gram Dal),5 Dry Red Chillies - broken,1 tablespoon Lemon juice,Salt - as required,1 teaspoon Dessicated Coconut,20 grams Tamarind,1 sprig Curry leaves,1 teaspoon Ginger - chopped</t>
  </si>
  <si>
    <t xml:space="preserve">To begin making the Mysore Chutney Recipe, first Soak dry red chillies in warm water for half an hour. Soak the tamarind in little water to extract the pulp.Heat oil in a wide pan. Add chana dal and roast well on low to medium heat until golden brown in colour. Once done, keep it aside to cool.Once cooled grind together roasted dal, dry red chillies,, tamarind pulp, salt, coconut, curry leaves, ginger and water in a blender.Grind to a coarse paste. Transfer the Mysore chutney into a serving bowl and serve.Serve Mysore Chutney with homemade soft idli or masala dosa and  South Indian Filter Coffee.
</t>
  </si>
  <si>
    <t xml:space="preserve">ಮೈಸೂರು ಚಟ್ನಿ ಪಾಕವಿಧಾನವನ್ನು ತಯಾರಿಸಲು ಪ್ರಾರಂಭಿಸಲು, ಮೊದಲು ಒಣ ಕೆಂಪು ಮೆಣಸಿನಕಾಯಿಯನ್ನು ಬೆಚ್ಚಗಿನ ನೀರಿನಲ್ಲಿ ಅರ್ಧ ಘಂಟೆಯವರೆಗೆ ನೆನೆಸಿಡಿ. ತಿರುಳನ್ನು ಹೊರತೆಗೆಯಲು ಹುಣಸೆಹಣ್ಣನ್ನು ಸ್ವಲ್ಪ ನೀರಿನಲ್ಲಿ ನೆನೆಸಿ. ಅಗಲವಾದ ಬಾಣಲೆಯಲ್ಲಿ ಎಣ್ಣೆಯನ್ನು ಬಿಸಿ ಮಾಡಿ. ಚನಾ ದಾಲ್ ಸೇರಿಸಿ ಮತ್ತು ಗೋಲ್ಡನ್ ಬ್ರೌನ್ ಬಣ್ಣ ಬರುವವರೆಗೆ ಕಡಿಮೆ ಮಧ್ಯಮ ಉರಿಯಲ್ಲಿ ಚೆನ್ನಾಗಿ ಹುರಿಯಿರಿ. ಒಮ್ಮೆ ಮಾಡಿದ ನಂತರ, ಅದನ್ನು ತಣ್ಣಗಾಗಲು ಪಕ್ಕಕ್ಕೆ ಇರಿಸಿ. ತಣ್ಣಗಾದ ನಂತರ ಹುರಿದ ದಾಲ್, ಒಣ ಕೆಂಪು ಮೆಣಸಿನಕಾಯಿಗಳು, ಹುಣಸೆ ತಿರುಳು, ಉಪ್ಪು, ತೆಂಗಿನಕಾಯಿ, ಕರಿಬೇವಿನ ಎಲೆಗಳು, ಶುಂಠಿ ಮತ್ತು ನೀರನ್ನು ಬ್ಲೆಂಡರ್ನಲ್ಲಿ ರುಬ್ಬಿಕೊಳ್ಳಿ. ಒರಟಾದ ಪೇಸ್ಟ್ಗೆ ರುಬ್ಬಿಕೊಳ್ಳಿ. ಮೈಸೂರು ಚಟ್ನಿಯನ್ನು ಸರ್ವಿಂಗ್ ಬೌಲ್‌ಗೆ ವರ್ಗಾಯಿಸಿ ಮತ್ತು ಬಡಿಸಿ. ಮನೆಯಲ್ಲಿ ತಯಾರಿಸಿದ ಮೃದುವಾದ ಇಡ್ಲಿ ಅಥವಾ ಮಸಾಲಾ ದೋಸೆ ಮತ್ತು               ಮೈಸೂರ್ ಚಟ್ನಿಯನ್ನು ಮೈಸೂರ್ ಚಟ್ನಿಯನ್ನು ಸರ್ವಿಂಗ್ ಮಾಡಿ
</t>
  </si>
  <si>
    <t>https://www.archanaskitchen.com/mysore-chutney-recipe-chana-dal-chutney</t>
  </si>
  <si>
    <t>Karnataka Style Obbattu Saaru Recipe - Sweet &amp; Spicy Rasam Recipe</t>
  </si>
  <si>
    <t>ಕರ್ನಾಟಕ ಸ್ಟೈಲ್ ಒಬ್ಬಟ್ಟು ಸಾರು ರೆಸಿಪಿ - Sweet &amp; Spicy Rasam Recipe</t>
  </si>
  <si>
    <t>1 ಕಪ್ ಹುಣಸೆ ನೀರು, 1/4 ಕಪ್ ಚನಾ ದಾಲ್ (ಬಂಗಾಳ ಬೇಳೆ), 1/4 ಕಪ್ ಬೆಲ್ಲ, 1/4 ಕಪ್ ತಾಜಾ ತೆಂಗಿನಕಾಯಿ - ತುರಿದ, 1 ಟೀಚಮಚ ಏಲಕ್ಕಿ ಪುಡಿ (ಎಲೈಚಿ), 1 ಟೀಚಮಚ ಮೇಥಿ ಬೀಜಗಳು (ಮೆಂತ್ಯ ಬೀಜಗಳು), 2 ಟೀಚಮಚ ಕೊತ್ತಂಬರಿ (ಧನಿಯಾ) ಬೀಜಗಳು, 1/2 ಟೀಚಮಚ ಅಜ್ವೈನ್ ಬೀಜಗಳು, 1/2 ಟೀಚಮಚ ತೆಂಗಿನಕಾಯಿ ಬೀಜಗಳು, 1 ಟೀಸ್ಪೂನ್. (ಕೋಪ್ರಾ), 4 ಒಣ ಕೆಂಪು ಮೆಣಸಿನಕಾಯಿಗಳು, 1 ಈರುಳ್ಳಿ - ಹೋಳುಗಳು, 2 ಟೊಮ್ಯಾಟೊ - ಕತ್ತರಿಸಿದ, 2 ಚಿಗುರು ಕರಿಬೇವಿನ ಎಲೆಗಳು, 2 ಚಿಗುರು ಕೊತ್ತಂಬರಿ (ಧನಿಯಾ) ಎಲೆಗಳು - ಕತ್ತರಿಸಿದ, 1 ಟೀಚಮಚ ಸಾಸಿವೆ ಬೀಜಗಳು, 1 ಚಮಚ ಸೂರ್ಯಕಾಂತಿ ಎಣ್ಣೆ, 1 ಚಿಟಿಕೆ ಇಂಗು (ಹಿಂಗ್), 1 ಚಮಚ ತುಪ್ಪ</t>
  </si>
  <si>
    <t>1 cup Tamarind Water,1/4 cup Chana dal (Bengal Gram Dal),1/4 cup Jaggery,1/4 cup Fresh coconut - grated,1 teaspoon Cardamom Powder (Elaichi),1 teaspoon Methi Seeds (Fenugreek Seeds),2 teaspoon Coriander (Dhania) Seeds,1/2 teaspoon Ajwain (Carom seeds),1 teaspoon Poppy seeds,2 tablespoon Dry coconut (kopra),4 Dry Red Chillies,1 Onion - sliced,2 Tomatoes - chopped,2 sprig Curry leaves,2 sprig Coriander (Dhania) Leaves - chopped,1 teaspoon Mustard seeds,1 tablespoon Sunflower Oil,1 pinch Asafoetida (hing),1 tablespoon Ghee</t>
  </si>
  <si>
    <t xml:space="preserve">To begin making the Karnataka Style Obbattu Saaru Recipe, first cook the chana dal with 1-1/2 cups of water until soft and is well cooked. Cook the dal in the pressure cooker for about 4 to 5 whistles and turn off the heat.Allow the pressure to release naturally. Once done, open the cooker, drain any excess water from the dal and keep it aside. Mash the dal well to make a coarse mixture.Heat ghee in a pan on medium heat, add the jaggery and sugar and stir until the jaggery and sugar dissolve completely. Stir in the cooked mixture, coconut and cardamom to the jaggery mixture until well combined.Continue stirring the the Obbattu poornam until the mixture begins to thicken and leaves the sides of the pan.  Keep aside.For the Saaru /Rasam MixHeat a skillet and dry roast all the ingredients that is mentioned in the rasam powder list and grind them into a smooth powder. Keep it in the blender itself.In the same skillet, add oil and fry the curry leaves, onions and tomatoes. Fry them till the raw smell goes away. Once done cool it down and grind them along with the rasam spice powder to a smooth paste.To make the Obbattu Saaru recipeHeat a kadai, add 2 cups water, tamarind water, the poornam dal mix and bring it to boil. Then add the rasam spice mixture, boil the Obbattu Saaru in on medium heat for about 20 minutes.To temperHeat a small tempering pan with oil, splutter mustard seeds and hing. Add this tempering over the Obbattu Saaru and serve with some chopped coriander leaves. Check the salt and spices and adjust according to taste.Serve the Karnataka Style Obbattu Saaru Recipe along with Steamed rice and Karnataka Style Sorakaya Palya Recipe.
</t>
  </si>
  <si>
    <t xml:space="preserve">ಕರ್ನಾಟಕ ಶೈಲಿಯ ಒಬ್ಬಟ್ಟು ಸಾರು ರೆಸಿಪಿಯನ್ನು ತಯಾರಿಸಲು ಪ್ರಾರಂಭಿಸಲು, ಮೊದಲು ಚನಾ ದಾಲ್ ಅನ್ನು 1-1/2 ಕಪ್ ನೀರಿನಲ್ಲಿ ಮೃದುವಾಗಿ ಮತ್ತು ಚೆನ್ನಾಗಿ ಬೇಯಿಸುವವರೆಗೆ ಬೇಯಿಸಿ. ಪ್ರೆಶರ್ ಕುಕ್ಕರ್‌ನಲ್ಲಿ ದಾಲ್ ಅನ್ನು ಸುಮಾರು 4 ರಿಂದ 5 ಸೀಟಿಗಳವರೆಗೆ ಬೇಯಿಸಿ ಮತ್ತು ಶಾಖವನ್ನು ಆಫ್ ಮಾಡಿ. ಒತ್ತಡವನ್ನು ನೈಸರ್ಗಿಕವಾಗಿ ಬಿಡುಗಡೆ ಮಾಡಲು ಅನುಮತಿಸಿ. ಒಮ್ಮೆ ಮಾಡಿದ ನಂತರ, ಕುಕ್ಕರ್ ತೆರೆಯಿರಿ, ದಾಲ್ನಿಂದ ಹೆಚ್ಚುವರಿ ನೀರನ್ನು ಹರಿಸುತ್ತವೆ ಮತ್ತು ಅದನ್ನು ಪಕ್ಕಕ್ಕೆ ಇರಿಸಿ. ಒರಟಾದ ಮಿಶ್ರಣವನ್ನು ಮಾಡಲು ದಾಲ್ ಅನ್ನು ಚೆನ್ನಾಗಿ ಮ್ಯಾಶ್ ಮಾಡಿ. ಮಧ್ಯಮ ಉರಿಯಲ್ಲಿ ಬಾಣಲೆಯಲ್ಲಿ ತುಪ್ಪವನ್ನು ಬಿಸಿ ಮಾಡಿ, ಬೆಲ್ಲ ಮತ್ತು ಸಕ್ಕರೆಯನ್ನು ಸೇರಿಸಿ ಮತ್ತು ಬೆಲ್ಲ ಮತ್ತು ಸಕ್ಕರೆ ಸಂಪೂರ್ಣವಾಗಿ ಕರಗುವ ತನಕ ಬೆರೆಸಿ. ಬೆಲ್ಲದ ಮಿಶ್ರಣಕ್ಕೆ ಬೇಯಿಸಿದ ಮಿಶ್ರಣ, ತೆಂಗಿನಕಾಯಿ ಮತ್ತು ಏಲಕ್ಕಿಯನ್ನು ಚೆನ್ನಾಗಿ ಸಂಯೋಜಿಸುವವರೆಗೆ ಬೆರೆಸಿ. ಮಿಶ್ರಣವು ದಪ್ಪವಾಗಲು ಪ್ರಾರಂಭವಾಗುವವರೆಗೆ ಮತ್ತು ಪ್ಯಾನ್‌ನ ಬದಿಗಳನ್ನು ಬಿಡುವವರೆಗೆ ಒಬ್ಬಟ್ಟು ಪೂರ್ಣಂ ಅನ್ನು ಬೆರೆಸಿ.  ಪಕ್ಕಕ್ಕೆ ಇರಿಸಿ. ಸಾರು / ರಸಂ ಮಿಶ್ರಣಕ್ಕಾಗಿ ಒಂದು ಬಾಣಲೆಯನ್ನು ಬಿಸಿ ಮಾಡಿ ಮತ್ತು ರಸಂ ಪುಡಿಯ ಪಟ್ಟಿಯಲ್ಲಿ ಉಲ್ಲೇಖಿಸಲಾದ ಎಲ್ಲಾ ಪದಾರ್ಥಗಳನ್ನು ಒಣಗಿಸಿ ಮತ್ತು ಅವುಗಳನ್ನು ನಯವಾದ ಪುಡಿಯಾಗಿ ಪುಡಿಮಾಡಿ. ಬ್ಲೆಂಡರ್ನಲ್ಲಿಯೇ ಇರಿಸಿ. ಅದೇ ಬಾಣಲೆಯಲ್ಲಿ ಎಣ್ಣೆಯನ್ನು ಸೇರಿಸಿ ಮತ್ತು ಕರಿಬೇವಿನ ಎಲೆಗಳು, ಈರುಳ್ಳಿ ಮತ್ತು ಟೊಮೆಟೊಗಳನ್ನು ಫ್ರೈ ಮಾಡಿ. ಹಸಿ ವಾಸನೆ ಹೋಗುವವರೆಗೆ ಅವುಗಳನ್ನು ಫ್ರೈ ಮಾಡಿ. ಒಮ್ಮೆ ಅದನ್ನು ತಣ್ಣಗಾಗಿಸಿ ಮತ್ತು ಅವುಗಳನ್ನು ನಯವಾದ ಪೇಸ್ಟ್‌ಗೆ ರಸಂ ಮಸಾಲೆ ಪುಡಿಯೊಂದಿಗೆ ರುಬ್ಬಿಕೊಳ್ಳಿ.ಒಬ್ಬಟ್ಟು ಸಾರು ರೆಸಿಪಿ ಮಾಡಲು ಒಂದು ಕಡಾಯಿಯನ್ನು ಬಿಸಿ ಮಾಡಿ, 2 ಕಪ್ ನೀರು, ಹುಣಸೆ ನೀರು, ಪೂರ್ಣಂ ದಾಲ್ ಮಿಶ್ರಣವನ್ನು ಸೇರಿಸಿ ಮತ್ತು ಕುದಿಸಿ. ನಂತರ ರಸಂ ಮಸಾಲೆ ಮಿಶ್ರಣವನ್ನು ಸೇರಿಸಿ, ಮಧ್ಯಮ ಉರಿಯಲ್ಲಿ ಸುಮಾರು 20 ನಿಮಿಷಗಳ ಕಾಲ ಒಬ್ಬಟ್ಟು ಸಾರುವನ್ನು ಕುದಿಸಿ. ಎಣ್ಣೆ, ಸಾಸಿವೆ ಕಾಳುಗಳು ಮತ್ತು ಹಿಂಗಿನಿಂದ ಸಣ್ಣ ಟೆಂಪರಿಂಗ್ ಪ್ಯಾನ್ ಅನ್ನು ಬಿಸಿ ಮಾಡಿ. ಒಬ್ಬಟ್ಟು ಸಾರು ಮೇಲೆ ಈ ಟೆಂಪರಿಂಗ್ ಅನ್ನು ಸೇರಿಸಿ ಮತ್ತು ಕೊತ್ತಂಬರಿ ಸೊಪ್ಪನ್ನು ಕತ್ತರಿಸಿ. ಉಪ್ಪು ಮತ್ತು ಮಸಾಲೆಗಳನ್ನು ಪರಿಶೀಲಿಸಿ ಮತ್ತು ರುಚಿಗೆ ತಕ್ಕಂತೆ ಹೊಂದಿಸಿ. ಕರ್ನಾಟಕ ಶೈಲಿಯ ಒಬ್ಬಟ್ಟು ಸಾರು ರೆಸಿಪಿಯನ್ನು ಆವಿಯಲ್ಲಿ ಬೇಯಿಸಿದ ಅನ್ನ ಮತ್ತು ಕರ್ನಾಟಕ ಶೈಲಿಯ ಸೊರಕಾಯ ಪಲ್ಯ ರೆಸಿಪಿಯೊಂದಿಗೆ ಬಡಿಸಿ.
</t>
  </si>
  <si>
    <t>http://www.archanaskitchen.com/karnataka-style-obbattu-saaru-recipe</t>
  </si>
  <si>
    <t>Karnataka Style Hurali Kalu Saaru Recipe</t>
  </si>
  <si>
    <t>ಕರ್ನಾಟಕ ಸ್ಟೈಲ್ ಹುರಳಿ ಕಾಳು ಸಾರು ರೆಸಿಪಿ</t>
  </si>
  <si>
    <t>1/2 ಕಪ್ ಕುದುರೆ ಬೇಳೆ (ಕೋಲು/ ಕುಳಿತ್) - 2 ಗಂಟೆಗಳ ಕಾಲ ನೀರಿನಲ್ಲಿ ನೆನೆಸಿದ, 2 ಆಲೂಗಡ್ಡೆ (ಆಲೂ) - ಕತ್ತರಿಸಿದ, ಉಪ್ಪು - ರುಚಿಗೆ, ಸೂರ್ಯಕಾಂತಿ ಎಣ್ಣೆ - ಅಡುಗೆಗೆ, 1 ಟೀಚಮಚ ಅರಿಶಿನ ಪುಡಿ (ಹಲ್ದಿ), 1 ಈರುಳ್ಳಿ - ಕತ್ತರಿಸಿದ, 2 ಲವಂಗ (ಲವಂಗ), 1 ಇಂಚು, 1 ಇಂಚಿನ ಚೀನೀಕಾಯಿ ಇಂಚಿನ ಶುಂಠಿ, 1 ಟೊಮೆಟೊ - ಕತ್ತರಿಸಿದ, 4 ಚಮಚ ತಾಜಾ ತೆಂಗಿನಕಾಯಿ - ತುರಿದ, 1 ಕೊತ್ತಂಬರಿ (ಧನಿಯಾ) ಎಲೆಗಳು</t>
  </si>
  <si>
    <t>1/2 cup Horse Gram Dal (Kollu/ Kulith) - soaked in water for 2 hours,2 Potatoes (Aloo) - chopped,Salt - to taste,Sunflower Oil - for cooking,1 teaspoon Turmeric powder (Haldi),1 Onion - chopped,2 Cloves (Laung),1 inch Cinnamon Stick (Dalchini),4 cloves Garlic,1 inch Ginger,1 Tomato - chopped,4 tablespoon Fresh coconut - grated,1 sprig Coriander (Dhania) Leaves</t>
  </si>
  <si>
    <t xml:space="preserve">To begin making the Karnataka Style Hurali Kalu Saaru, start making the onion paste first. Grind the onion, clove, cinnamon stick, garlic clove and ginger to a smooth paste and keep it aside.Clean the mixer and grind the tomato and coconut into a smooth paste and keep it aside.Heat a pressure cooker with oil, add the mustard seeds and splutter for 10 seconds.Add the onion paste, and keep sauteing till the raw smell goes away. Add the tomato paste along with salt and turmeric powder. Give it a stir. Saute for 10 more minutes.Add the horse gram and potato and add about 1 1/2 cups water and pressure cook for 3 whistle.Once done leave the pressure cooker to release the pressure by itself and then serve by garnishing it with chopped coriander seeds.  Serve the Hurali Kalu with steamed rice and Gorikayi Palya Recipe and Pineapple Gojju Recipe to make it a complete meal that your family will enjoy for lunch.
</t>
  </si>
  <si>
    <t xml:space="preserve">ಕರ್ನಾಟಕ ಶೈಲಿಯ ಹುರಳಿ ಕಾಳು ಸಾರು ತಯಾರಿಸಲು ಪ್ರಾರಂಭಿಸಲು, ಮೊದಲು ಈರುಳ್ಳಿ ಪೇಸ್ಟ್ ಮಾಡಲು ಪ್ರಾರಂಭಿಸಿ. ಈರುಳ್ಳಿ, ಲವಂಗ, ದಾಲ್ಚಿನ್ನಿ, ಬೆಳ್ಳುಳ್ಳಿ ಎಸಳು ಮತ್ತು ಶುಂಠಿಯನ್ನು ನಯವಾದ ಪೇಸ್ಟ್ ಆಗಿ ರುಬ್ಬಿಕೊಳ್ಳಿ ಮತ್ತು ಅದನ್ನು ಪಕ್ಕಕ್ಕೆ ಇರಿಸಿ. ಮಿಕ್ಸರ್ ಅನ್ನು ಸ್ವಚ್ಛಗೊಳಿಸಿ ಮತ್ತು ಟೊಮೆಟೊ ಮತ್ತು ತೆಂಗಿನಕಾಯಿಯನ್ನು ನುಣ್ಣಗೆ ಪೇಸ್ಟ್ ಮಾಡಿ ಮತ್ತು ಪಕ್ಕಕ್ಕೆ ಇರಿಸಿ. ಪ್ರೆಶರ್ ಕುಕ್ಕರ್ ಅನ್ನು ಎಣ್ಣೆಯೊಂದಿಗೆ ಬಿಸಿ ಮಾಡಿ, ಸಾಸಿವೆ ಸೇರಿಸಿ ಮತ್ತು 10 ಸೆಕೆಂಡುಗಳ ಕಾಲ ಸ್ಪ್ಲಟರ್ ಸೇರಿಸಿ. ಉಪ್ಪು ಮತ್ತು ಅರಿಶಿನ ಪುಡಿಯೊಂದಿಗೆ ಟೊಮೆಟೊ ಪೇಸ್ಟ್ ಸೇರಿಸಿ. ಒಂದು ಸ್ಟಿರ್ ನೀಡಿ. ಇನ್ನೂ 10 ನಿಮಿಷಗಳ ಕಾಲ ಹುರಿಯಿರಿ. 1 1/2 ಕಪ್ ನೀರು ಸೇರಿಸಿ ಮತ್ತು 3 ಸೀಟಿಗೆ ಪ್ರೆಶರ್ ಕುಕ್ ಮಾಡಿ. ಒಮ್ಮೆ ಒತ್ತಡವನ್ನು ಸ್ವತಃ ಬಿಡುಗಡೆ ಮಾಡಲು ಪ್ರೆಶರ್ ಕುಕ್ಕರ್ ಅನ್ನು ಬಿಡಿ ಮತ್ತು ನಂತರ ಕತ್ತರಿಸಿದ ಕೊತ್ತಂಬರಿ ಬೀಜಗಳಿಂದ ಅಲಂಕರಿಸಿ ಬಡಿಸಿ.  ಆವಿಯಲ್ಲಿ ಬೇಯಿಸಿದ ಅನ್ನ ಮತ್ತು ಗೋರಿಕಾಯಿ ಪಲ್ಯ ರೆಸಿಪಿ ಮತ್ತು ಅನಾನಸ್ ಗೊಜ್ಜು ರೆಸಿಪಿಯೊಂದಿಗೆ ಹುರಳಿ ಕಾಳುವನ್ನು ಬಡಿಸಿ ಇದನ್ನು ನಿಮ್ಮ ಕುಟುಂಬವು ಮಧ್ಯಾಹ್ನದ ಊಟಕ್ಕೆ ಆನಂದಿಸುವ ಸಂಪೂರ್ಣ ಊಟವನ್ನಾಗಿ ಮಾಡಿ.
</t>
  </si>
  <si>
    <t>https://www.archanaskitchen.com/karanataka-style-hurali-kaalu-saaru-recipe</t>
  </si>
  <si>
    <t>Peanut Chutney Podi Recipe</t>
  </si>
  <si>
    <t>ಕಡಲೆಕಾಯಿ ಚಟ್ನಿ ಪೋಡಿ ರೆಸಿಪಿ</t>
  </si>
  <si>
    <t>2 ಕಪ್ ಹುರಿದ ಕಡಲೆಕಾಯಿ (ಮೂಂಗ್‌ಫಾಲಿ) - ಸಿಪ್ಪೆ ಸುಲಿದ, 6 ಒಣ ಕೆಂಪು ಮೆಣಸಿನಕಾಯಿಗಳು, 4 ಲವಂಗ ಬೆಳ್ಳುಳ್ಳಿ, 1 ಟೀಸ್ಪೂನ್ ಜೀರಿಗೆ (ಜೀರಾ), 2 ಟೀ ಚಮಚ ಕೊತ್ತಂಬರಿ (ಧನಿಯಾ) ಬೀಜಗಳು, 1 ಚಿಗುರು ಕರಿಬೇವಿನ ಎಲೆಗಳು, 15 ಗ್ರಾಂ ಹುಣಸೆಹಣ್ಣು, ಉಪ್ಪು - ರುಚಿಗೆ</t>
  </si>
  <si>
    <t>2 cups Roasted Peanuts (Moongphali) - deskinned,6 Dry Red Chillies,4 cloves Garlic,1 teaspoon Cumin seeds (Jeera),2 teaspoons Coriander (Dhania) Seeds,1 sprig Curry leaves,15 grams Tamarind,Salt - to taste</t>
  </si>
  <si>
    <t xml:space="preserve">To begin making the Peanut Chutney Podi Recipe, into a preheated pan add the dry red chillies, cumin seeds,coriander seeds and roast for about two minutes on medium heat till the cumin seeds start to turn brown in colour. Add the garlic pods and curry leaves to the pan and saute till the curry leaves become crisp. Keep aside to cool.Once the roasted ingredients are cooled add them to a chopper or blender along with the tamarind, roasted peanuts and salt to taste. Blend to make a coarse powder. If you over blend then the podi becomes a paste and becomes sticky with all the oils released from the peanuts. So while blending stop in between and pulse a couple of times.Transfer Peanut Chutney Podi Recipe into an airtight jar. Serve Peanut Chutney Podi Recipe with Jolada Roti Recipe (Jowar Bhakri) or Homemade Soft Idli and Tomato Garlic Chutney Recipe.
</t>
  </si>
  <si>
    <t xml:space="preserve">ಕಡಲೆಕಾಯಿ ಚಟ್ನಿ ಪೋಡಿ ಪಾಕವಿಧಾನವನ್ನು ತಯಾರಿಸಲು ಪ್ರಾರಂಭಿಸಲು, ಪೂರ್ವಭಾವಿಯಾಗಿ ಕಾಯಿಸಲ್ಪಟ್ಟಿರುವ ಪ್ಯಾನ್‌ಗೆ ಒಣ ಕೆಂಪು ಮೆಣಸಿನಕಾಯಿಗಳು, ಜೀರಿಗೆ, ಕೊತ್ತಂಬರಿ ಬೀಜಗಳನ್ನು ಸೇರಿಸಿ ಮತ್ತು ಜೀರಿಗೆ ಬೀಜಗಳು ಕಂದು ಬಣ್ಣಕ್ಕೆ ತಿರುಗುವವರೆಗೆ ಮಧ್ಯಮ ಉರಿಯಲ್ಲಿ ಸುಮಾರು ಎರಡು ನಿಮಿಷಗಳ ಕಾಲ ಹುರಿಯಿರಿ. ಬೆಳ್ಳುಳ್ಳಿ ಕಾಳುಗಳು ಮತ್ತು ಕರಿಬೇವಿನ ಎಲೆಗಳನ್ನು ಬಾಣಲೆಗೆ ಸೇರಿಸಿ ಮತ್ತು ಕರಿಬೇವಿನ ಎಲೆಗಳು ಗರಿಗರಿಯಾಗುವವರೆಗೆ ಹುರಿಯಿರಿ. ತಣ್ಣಗಾಗಲು ಪಕ್ಕಕ್ಕೆ ಇರಿಸಿ. ಹುರಿದ ಪದಾರ್ಥಗಳು ತಣ್ಣಗಾದ ನಂತರ ಅವುಗಳನ್ನು ಹುಣಸೆಹಣ್ಣು, ಹುರಿದ ಕಡಲೆಕಾಯಿ ಮತ್ತು ರುಚಿಗೆ ಉಪ್ಪು ಜೊತೆಗೆ ಚಾಪರ್ ಅಥವಾ ಬ್ಲೆಂಡರ್ಗೆ ಸೇರಿಸಿ. ಒರಟಾದ ಪುಡಿ ಮಾಡಲು ಮಿಶ್ರಣ ಮಾಡಿ. ನೀವು ಹೆಚ್ಚು ಮಿಶ್ರಣ ಮಾಡಿದರೆ, ಪೋಡಿ ಪೇಸ್ಟ್ ಆಗುತ್ತದೆ ಮತ್ತು ಕಡಲೆಕಾಯಿಯಿಂದ ಬಿಡುಗಡೆಯಾದ ಎಲ್ಲಾ ಎಣ್ಣೆಗಳೊಂದಿಗೆ ಅಂಟಿಕೊಳ್ಳುತ್ತದೆ. ಆದ್ದರಿಂದ ಮಿಶ್ರಣ ಮಾಡುವಾಗ ಮಧ್ಯೆ ನಿಲ್ಲಿಸಿ ಮತ್ತು ಒಂದೆರಡು ಬಾರಿ ಪಲ್ಸ್ ಮಾಡಿ. ಕಡಲೆಕಾಯಿ ಚಟ್ನಿ ಪೋಡಿ ರೆಸಿಪಿಯನ್ನು ಗಾಳಿಯಾಡದ ಜಾರ್‌ಗೆ ವರ್ಗಾಯಿಸಿ. ಕಡಲೆಕಾಯಿ ಚಟ್ನಿ ಪೋಡಿ ರೆಸಿಪಿಯನ್ನು ಜೋಲಾಡಾ ರೋಟಿ ರೆಸಿಪಿ (ಜೋವರ್ ಭಕ್ರಿ) ಅಥವಾ ಮನೆಯಲ್ಲಿ ತಯಾರಿಸಿದ ಮೃದುವಾದ ಇಡ್ಲಿ ಮತ್ತು ಟೊಮೆಟೊ ಬೆಳ್ಳುಳ್ಳಿ ಚಟ್ನಿ ರೆಸಿಪಿಯೊಂದಿಗೆ ಬಡಿಸಿ.
</t>
  </si>
  <si>
    <t>http://www.archanaskitchen.com/peanut-chutney-powder-recipe</t>
  </si>
  <si>
    <t>Bellada Coffee Recipe With Milk (Karnataka Style Filter Coffee With Jaggery)</t>
  </si>
  <si>
    <t>ಬೆಲ್ಲದ ಕಾಫಿ ಪಾಕವಿಧಾನ ಹಾಲಿನೊಂದಿಗೆ (ಕರ್ನಾಟಕ ಶೈಲಿಯ ಫಿಲ್ಟರ್ ಕಾಫಿ ಬೆಲ್ಲ)</t>
  </si>
  <si>
    <t>2 ಕಪ್ ಹಾಲು, 3 ಟೇಬಲ್ಸ್ಪೂನ್ ಫಿಲ್ಟರ್ ಕಾಫಿ ಪೌಡರ್ - (ಪುಡಿ ಹುರಿದ ಕಾಫಿ ಬೀಜಗಳು), 1 ಕಪ್ ನೀರು, 4 ಚಮಚ ಬೆಲ್ಲ - ಪುಡಿ</t>
  </si>
  <si>
    <t>2 cups Milk,3 tablespoons Filter Coffee Powder - (powdered roasted coffee beans),1 cup Water,4 teaspoons Jaggery - powdered</t>
  </si>
  <si>
    <t xml:space="preserve">To begin making Bella Coffee With Milk (Karnataka Style Filter Coffee With Jaggery), we first start by brewing the filter coffee decoction.Add the coffee powder on the upper compartment of the coffee filter, and pour a cup of hot boiling water.The coffee decoction will drip and will be collected in the lower compartment. This will take around 5 minutes.Bring milk to a boil in a sauce pan, add the powdered jaggery and let it disolve completely.Pour decoction into two tumblers, pour the jaggery sweetened milk, mix well.Serve the Bellada Coffee Recipe With Milk (Karnataka Style Filter Coffee With Jaggery) along with the morning breakfast of Karnataka Style Sooji Upma Recipe With Coconut and South Indian Coconut Chutney.
</t>
  </si>
  <si>
    <t xml:space="preserve">ಹಾಲಿನೊಂದಿಗೆ ಬೆಲ್ಲ ಕಾಫಿ (ಕರ್ನಾಟಕ ಶೈಲಿಯ ಫಿಲ್ಟರ್ ಕಾಫಿ ಬೆಲ್ಲದೊಂದಿಗೆ) ತಯಾರಿಸಲು ಪ್ರಾರಂಭಿಸಲು, ನಾವು ಮೊದಲು ಫಿಲ್ಟರ್ ಕಾಫಿ ಡಿಕಾಕ್ಷನ್ ಅನ್ನು ತಯಾರಿಸುವ ಮೂಲಕ ಪ್ರಾರಂಭಿಸುತ್ತೇವೆ. ಕಾಫಿ ಫಿಲ್ಟರ್‌ನ ಮೇಲಿನ ಕಂಪಾರ್ಟ್‌ಮೆಂಟ್‌ಗೆ ಕಾಫಿ ಪುಡಿಯನ್ನು ಸೇರಿಸಿ ಮತ್ತು ಒಂದು ಕಪ್ ಬಿಸಿ ಕುದಿಯುವ ನೀರನ್ನು ಸುರಿಯಿರಿ. ಕಾಫಿ ಡಿಕಾಕ್ಷನ್ ತೊಟ್ಟಿಕ್ಕುತ್ತದೆ ಮತ್ತು ಕೆಳಗಿನ ಕಂಪಾರ್ಟ್‌ಮೆಂಟ್‌ನಲ್ಲಿ ಸಂಗ್ರಹಿಸಲಾಗುತ್ತದೆ. ಇದು ಸುಮಾರು 5 ನಿಮಿಷಗಳನ್ನು ತೆಗೆದುಕೊಳ್ಳುತ್ತದೆ. ಒಂದು ಸಾಸ್ ಪ್ಯಾನ್‌ನಲ್ಲಿ ಹಾಲನ್ನು ಕುದಿಸಿ, ಪುಡಿ ಮಾಡಿದ ಬೆಲ್ಲವನ್ನು ಸೇರಿಸಿ ಮತ್ತು ಅದನ್ನು ಸಂಪೂರ್ಣವಾಗಿ ಕರಗಿಸಲು ಬಿಡಿ. ಎರಡು ಟಂಬ್ಲರ್‌ಗಳಿಗೆ ಡಿಕಾಕ್ಷನ್ ಸುರಿಯಿರಿ, ಬೆಲ್ಲದ ಸಿಹಿಯಾದ ಹಾಲನ್ನು ಸುರಿಯಿರಿ, ಚೆನ್ನಾಗಿ ಮಿಶ್ರಣ ಮಾಡಿ. ಬೆಲ್ಲದ ಕಾಫಿ ರೆಸಿಪಿಯನ್ನು ಹಾಲಿನೊಂದಿಗೆ (ಕರ್ನಾಟಕ ಶೈಲಿಯ ಫಿಲ್ಟರ್ ಕಾಫಿ) ಜೊತೆಗೆ ಬೆಲ್ಲದ ಕಾಫಿಯೊಂದಿಗೆ ಬಡಿಸಿ. ತೆಂಗಿನಕಾಯಿ ಮತ್ತು ದಕ್ಷಿಣ ಭಾರತದ ತೆಂಗಿನಕಾಯಿ ಚಟ್ನಿಯೊಂದಿಗೆ ಸೂಜಿ ಉಪ್ಮಾ ರೆಸಿಪಿ.
</t>
  </si>
  <si>
    <t>https://www.archanaskitchen.com/bellada-coffee-recipe-with-milk-karnataka-style-filter-coffee-with-jaggery</t>
  </si>
  <si>
    <t>Karnataka Style Harive Soppu Bendi Recipe (Amaranth Leaves Cooked in Coconut Broth)</t>
  </si>
  <si>
    <t>ಕರ್ನಾಟಕ ಶೈಲಿಯ ಹರಿವೆ ಸೊಪ್ಪು ಬೆಂಡಿ ರೆಸಿಪಿ (ಕೊಬ್ಬರಿ ಸಾರುಗಳಲ್ಲಿ ಬೇಯಿಸಿದ ಅಮರಂಥ್ ಎಲೆಗಳು)</t>
  </si>
  <si>
    <t>ಹಸಿರು ಅಮರಂಥ್ ಎಲೆಗಳು - ಒಂದು ಗೊಂಚಲು, 1 ಕಪ್ ತಾಜಾ ತೆಂಗಿನಕಾಯಿ - ತುರಿದ, 1 ಟೀಚಮಚ ಜೀರಿಗೆ (ಜೀರಾ), 1 ಹಸಿರು ಮೆಣಸಿನಕಾಯಿ, 1 ಟೀಚಮಚ ಬೆಲ್ಲ - 1 ಟೀಚಮಚ, 1 ಟೀಚಮಚ ಸಾಸಿವೆ, 1/2 ಬಿಳಿ ಉದ್ದಿನ ಬೇಳೆ (ಒಡೆದ), 1 ಒಣ ಕೆಂಪು ಮೆಣಸಿನಕಾಯಿ, ಇಂಗು (ಹಿಂಗ್) - ಒಂದು ಚಿಟಿಕೆ, 1 ಚಿಟಿಕೆ, ರುಚಿಗೆ 2 ಚಮಚ</t>
  </si>
  <si>
    <t>Green Amaranth Leaves - a bunch,1 cup Fresh coconut - grated,1 teaspoon Cumin seeds (Jeera),1 Green Chilli,1 teaspoon Jaggery - crushed,1 teaspoon Mustard seeds,1/2 White Urad Dal (Split),1 Dry Red Chilli,Asafoetida (hing) - a pinch,1 sprig Curry leaves,2 teaspoons Sunflower Oil,Salt - to taste</t>
  </si>
  <si>
    <t xml:space="preserve">To begin making Harive Soppu Bendi Recipe (Karnataka Style Amaranth Leaves Cooked in Coconut Broth), clean, wash and rough chop the amaranth greens and keep aside.Make a smooth paste of the grated coconut, cumin seeds and green chilli using a mixer grinder with little water and keep aside.Now, cook the amaranth greens along with water and jaggery with 2 cups of water until the greens wilts.To this add the ground coconut masala paste and simmer for 10 minutes.Season with salt mix well and keep aside.Now heat oil in a small tadka pan, add mustard and urad dal and let it splutter.Once they splutter, add the asafoetida, red chilli and curry leaves and let it crackle.Once done, switch off the flame and transfer the tadka over the amaranth greens mixture.Serve the Harive Soppu Bendi Recipe (Karnataka Style Amaranth Leaves Cooked in Coconut Broth) along with steamed rice, Hunase Saaru Recipe (Mysore Style Spicy Tamarind Rasam), Gorikayi Palya Recipe  and elai vadam for a simple weekday lunch.
</t>
  </si>
  <si>
    <t xml:space="preserve">ಹರಿವೆ ಸೊಪ್ಪು ಬೆಂಡಿ ರೆಸಿಪಿ (ಕರ್ನಾಟಕ ಶೈಲಿಯ ಅಮರಂಥ್ ಎಲೆಗಳು ತೆಂಗಿನಕಾಯಿ ಸಾರುಗಳಲ್ಲಿ ಬೇಯಿಸಲಾಗುತ್ತದೆ) ಮಾಡಲು ಪ್ರಾರಂಭಿಸಲು, ಅಮರಂಥ್ ಸೊಪ್ಪನ್ನು ಸ್ವಚ್ಛಗೊಳಿಸಿ, ತೊಳೆದು ಒರಟಾಗಿ ಕತ್ತರಿಸಿ ಮತ್ತು ಪಕ್ಕಕ್ಕೆ ಇರಿಸಿ. ತುರಿದ ತೆಂಗಿನಕಾಯಿ, ಜೀರಿಗೆ ಮತ್ತು ಹಸಿರು ಮೆಣಸಿನಕಾಯಿಯನ್ನು ಮಿಕ್ಸರ್ ಗ್ರೈಂಡರ್ ಬಳಸಿ ಸ್ವಲ್ಪ ನೀರು ಸೇರಿಸಿ ಮತ್ತು ಹಸಿಮೆಣಸಿನಕಾಯಿಯನ್ನು ಮೃದುವಾದ ಪೇಸ್ಟ್ ಮಾಡಿ. 2 ಕಪ್ ನೀರು ಹಸಿರು ಬಾಡುವವರೆಗೆ. ಇದಕ್ಕೆ ರುಬ್ಬಿದ ತೆಂಗಿನ ಮಸಾಲಾ ಪೇಸ್ಟ್ ಅನ್ನು ಸೇರಿಸಿ ಮತ್ತು 10 ನಿಮಿಷಗಳ ಕಾಲ ತಳಮಳಿಸುತ್ತಿರು. ಉಪ್ಪು ಹಾಕಿ ಚೆನ್ನಾಗಿ ಮಿಶ್ರಣ ಮಾಡಿ ಮತ್ತು ಪಕ್ಕಕ್ಕೆ ಇರಿಸಿ. ಈಗ ಸಣ್ಣ ತಡ್ಕಾ ಪ್ಯಾನ್‌ನಲ್ಲಿ ಎಣ್ಣೆಯನ್ನು ಬಿಸಿ ಮಾಡಿ, ಸಾಸಿವೆ ಮತ್ತು ಉದ್ದಿನ ಬೇಳೆಯನ್ನು ಹಾಕಿ ಮತ್ತು ಅದನ್ನು ಚಿಮುಕಿಸಲು ಬಿಡಿ. ಅಮರಂಥ್ ಗ್ರೀನ್ಸ್ ಮಿಶ್ರಣದ ಮೇಲೆ ತಡ್ಕಾ. ಹರಿವೆ ಸೊಪ್ಪು ಬೆಂಡಿ ರೆಸಿಪಿ (ಕರ್ನಾಟಕ ಶೈಲಿಯ ಅಮರಂಥ್ ಎಲೆಗಳು ತೆಂಗಿನ ಸಾರುಗಳಲ್ಲಿ ಬೇಯಿಸಲಾಗುತ್ತದೆ) ಜೊತೆಗೆ ಆವಿಯಲ್ಲಿ ಬೇಯಿಸಿದ ಅನ್ನ, ಹುಣಸೆ ಸಾರು ರೆಸಿಪಿ (ಮೈಸೂರು ಶೈಲಿಯ ಮಸಾಲೆಯುಕ್ತ ಹುಣಸೆ ರಸ), ಗೋರಿಕಾಯಿಯ ಪಲ್ಯ ಮತ್ತು ಸರಳ ದಿನಕ್ಕಾಗಿ ಬಡಿಸಿ.
</t>
  </si>
  <si>
    <t>http://www.archanaskitchen.com/karnataka-style-harive-soppu-bendi-recipe-amaranth-leaves-cooked-in-coconut-broth</t>
  </si>
  <si>
    <t>Karnataka Style Mangrasa Recipe - Raw Mango Chutney Recipe</t>
  </si>
  <si>
    <t>ಕರ್ನಾಟಕ ಶೈಲಿಯ ಮಂಗ್ರಾಸ ರೆಸಿಪಿ - ಹಸಿ ಮಾವಿನಕಾಯಿ ಚಟ್ನಿ ರೆಸಿಪಿ</t>
  </si>
  <si>
    <t>2 ಮಾವು (ಹಸಿರು) - (ಅರ್ಧ ಹಣ್ಣಾದ ತೋತಾಪುರಿ ತಳಿ), 1/2 ಕಪ್ ಬೆಲ್ಲ - ತುರಿದ, 1 ಚಮಚ ಕೆಂಪು ಮೆಣಸಿನ ಪುಡಿ, 2 ಚಮಚ ಮೇಥಿ ಬೀಜಗಳು (ಮೆಂತ್ಯ ಬೀಜಗಳು), 2 ಟೀ ಚಮಚ ಜೀರಿಗೆ (ಜೀರಾ), 1/2 ಟೀಚಮಚ ಇಂಗು (ಹಿಂಗ್), 1/2 ಕಪ್ ನೀರು - (ಒಂದು ಕಪ್ ರುಚಿಗೆ), 1/2 ಕಪ್ ತೆಂಗಿನಕಾಯಿ</t>
  </si>
  <si>
    <t>2 Mango (Raw) - (half ripen Totapuri cultivar),1/2 cup Jaggery - grated,1 tablespoon Red Chilli powder,2 teaspoons Methi Seeds (Fenugreek Seeds),2 teaspoons Cumin seeds (Jeera),1/2 teaspoon Asafoetida (hing),1/2 cup Water - (adjust),1/2 cup Coconut Oil,Salt - to taste</t>
  </si>
  <si>
    <t xml:space="preserve">To begin making the Karnataka Style Mango Rasa Recipe | Mangrasa, remove the skin of mangoes and cut the mango into small thin slices. Keep this aside for further use.In a tadka pan,  add fenugreek seeds and dry roast until you get nice aroma. Keep this aside to cool.To the same pan, add cumin sauté well on medium heat for a minute or till fragrant. Switch off the heat and keep aside.Once the fenugreek and cumin seeds cool down, transfer them into a mixer jar and grind it into a fine powder.In a pan, add oil and heat for a minute on medium flame. Now add the ground masala powder and sauté for a minute. Now add hing and fry for about 30 seconds.Next, add mango slices and cook on medium flame for 5 minutes. Now add grated jaggery, red chilli powder and salt to the cooked mango rasa.Add water to this mango rasa and cook for 5 minutes until the jaggery melts.Cook the Mango Rasa on medium flame for 5 more minutes until it thickens to jam type consistency. Switch off the flame.Cool the mango rasa or mangrasa and store in airtight container. This can stay good for 5-7 days under refrigeration when kept in an airtight container.Serve Karnataka Style Mango Rasa Recipe | Mangrasa along with Udupi Style Pelakai Teepee Dosa Recipe and South Indian Coconut Chutney for breakfast.
</t>
  </si>
  <si>
    <t xml:space="preserve">ಕರ್ನಾಟಕ ಶೈಲಿಯ ಮಾವಿನ ಹಣ್ಣಿನ ರಸವನ್ನು ತಯಾರಿಸಲು ಪ್ರಾರಂಭಿಸಲು | ಮಂಗ್ರಾಸ, ಮಾವಿನ ಸಿಪ್ಪೆ ತೆಗೆದು ಮಾವಿನಕಾಯಿಯನ್ನು ಸಣ್ಣ ಸಣ್ಣ ಹೋಳುಗಳಾಗಿ ಕತ್ತರಿಸಿ. ಹೆಚ್ಚಿನ ಬಳಕೆಗಾಗಿ ಇದನ್ನು ಪಕ್ಕಕ್ಕೆ ಇರಿಸಿ. ತಡ್ಕಾ ಪ್ಯಾನ್‌ನಲ್ಲಿ,  ಮೆಂತ್ಯ ಬೀಜಗಳನ್ನು ಸೇರಿಸಿ ಮತ್ತು ನೀವು ಉತ್ತಮ ಪರಿಮಳವನ್ನು ಪಡೆಯುವವರೆಗೆ ಒಣ ರೋಸ್ಟ್ ಮಾಡಿ. ಇದನ್ನು ತಣ್ಣಗಾಗಲು ಪಕ್ಕಕ್ಕೆ ಇರಿಸಿ. ಅದೇ ಪ್ಯಾನ್‌ಗೆ ಜೀರಿಗೆ ಸೇರಿಸಿ ಮಧ್ಯಮ ಉರಿಯಲ್ಲಿ ಒಂದು ನಿಮಿಷ ಅಥವಾ ಪರಿಮಳ ಬರುವವರೆಗೆ ಚೆನ್ನಾಗಿ ಹುರಿಯಿರಿ. ಉರಿಯನ್ನು ಆಫ್ ಮಾಡಿ ಮತ್ತು ಪಕ್ಕಕ್ಕೆ ಇರಿಸಿ. ಮೆಂತ್ಯ ಮತ್ತು ಜೀರಿಗೆ ತಣ್ಣಗಾದ ನಂತರ, ಅವುಗಳನ್ನು ಮಿಕ್ಸರ್ ಜಾರ್‌ಗೆ ವರ್ಗಾಯಿಸಿ ಮತ್ತು ಅದನ್ನು ನುಣ್ಣಗೆ ಪುಡಿಯಾಗಿ ರುಬ್ಬಿಕೊಳ್ಳಿ. ಒಂದು ಪ್ಯಾನ್‌ನಲ್ಲಿ, ಎಣ್ಣೆಯನ್ನು ಸೇರಿಸಿ ಮತ್ತು ಮಧ್ಯಮ ಉರಿಯಲ್ಲಿ ಒಂದು ನಿಮಿಷ ಬಿಸಿ ಮಾಡಿ. ಈಗ ರುಬ್ಬಿದ ಮಸಾಲಾ ಪುಡಿಯನ್ನು ಸೇರಿಸಿ ಮತ್ತು ಒಂದು ನಿಮಿಷ ಹುರಿಯಿರಿ. ಈಗ ಹಿಂಗ್ ಸೇರಿಸಿ ಮತ್ತು ಸುಮಾರು 30 ಸೆಕೆಂಡುಗಳ ಕಾಲ ಫ್ರೈ ಮಾಡಿ. ನಂತರ, ಮಾವಿನ ಹೋಳುಗಳನ್ನು ಸೇರಿಸಿ ಮತ್ತು 5 ನಿಮಿಷಗಳ ಕಾಲ ಮಧ್ಯಮ ಉರಿಯಲ್ಲಿ ಬೇಯಿಸಿ. ಈಗ ಬೇಯಿಸಿದ ಮಾವಿನ ರಸಕ್ಕೆ ತುರಿದ ಬೆಲ್ಲ, ಕೆಂಪು ಮೆಣಸಿನ ಪುಡಿ ಮತ್ತು ಉಪ್ಪನ್ನು ಸೇರಿಸಿ. ಈ ಮಾವಿನ ರಸಕ್ಕೆ ನೀರನ್ನು ಸೇರಿಸಿ ಮತ್ತು ಬೆಲ್ಲ ಕರಗುವವರೆಗೆ 5 ನಿಮಿಷ ಬೇಯಿಸಿ. ಮಾವಿನ ರಸವನ್ನು ಜಾಮ್ ಪ್ರಕಾರದ ಸ್ಥಿರತೆಗೆ ದಪ್ಪವಾಗುವವರೆಗೆ ಮಧ್ಯಮ ಉರಿಯಲ್ಲಿ 5 ನಿಮಿಷ ಬೇಯಿಸಿ. ಉರಿಯನ್ನು ಆಫ್ ಮಾಡಿ. ಮಾವಿನ ರಸ ಅಥವಾ ಮಂಗರಾಸವನ್ನು ತಣ್ಣಗಾಗಿಸಿ ಮತ್ತು ಗಾಳಿಯಾಡದ ಪಾತ್ರೆಯಲ್ಲಿ ಸಂಗ್ರಹಿಸಿ. ಇದನ್ನು ಗಾಳಿಯಾಡದ ಕಂಟೇನರ್‌ನಲ್ಲಿ ಇರಿಸಿದಾಗ ಶೈತ್ಯೀಕರಣದಲ್ಲಿ 5-7 ದಿನಗಳವರೆಗೆ ಚೆನ್ನಾಗಿ ಉಳಿಯಬಹುದು. ಕರ್ನಾಟಕ ಸ್ಟೈಲ್ ಮಾವಿನ ರಸ ರೆಸಿಪಿ | ಬೆಳಗಿನ ಉಪಾಹಾರಕ್ಕಾಗಿ ಉಡುಪಿ ಶೈಲಿಯ ಪೆಲಕಾಯಿ ಟೀಪೀ ದೋಸೆ ರೆಸಿಪಿ ಮತ್ತು ದಕ್ಷಿಣ ಭಾರತದ ತೆಂಗಿನಕಾಯಿ ಚಟ್ನಿ ಜೊತೆಗೆ ಮಂಗ್ರಾಸ.
</t>
  </si>
  <si>
    <t>https://www.archanaskitchen.com/karnataka-style-mango-rasa-recipe-mangrasa</t>
  </si>
  <si>
    <t>Huli Soppu Saaru Recipe - Karnataka Style Mixed Greens Sambar</t>
  </si>
  <si>
    <t>ಹುಲಿ ಸೊಪ್ಪು ಸಾರು ರೆಸಿಪಿ - ಕರ್ನಾಟಕ ಸ್ಟೈಲ್ ಮಿಕ್ಸೆಡ್ ಗ್ರೀನ್ಸ್ ಸಾಂಬಾರ್</t>
  </si>
  <si>
    <t>1 ಕಪ್ ಅರ್ಹರ್ ದಾಲ್ (ಒಡೆದ ದಾಲ್), 2 ಕಪ್ ಮಿಶ್ರ ಸೊಪ್ಪುಗಳು - ಸ್ಥೂಲವಾಗಿ ಕತ್ತರಿಸಿದ, 10 ಗ್ರಾಂ ಹುಣಸೆಹಣ್ಣು - ಬೆಚ್ಚಗಿನ ನೀರಿನಲ್ಲಿ ನೆನೆಸಿ ಮತ್ತು ತೆಗೆದ ತಿರುಳು, 1 ಈರುಳ್ಳಿ - ತುಂಡು, 4 ಲವಂಗ (ಲಾಂಗ್) - ಬೆಳ್ಳುಳ್ಳಿ, 2 ಟೀಚಮಚ ಬೆಲ್ಲ - ತುರಿದ, ಉಪ್ಪು - ರುಚಿಗೆ ತಕ್ಕಷ್ಟು, 2 ಟೇಬಲ್ಸ್ಪೂನ್ ಕೊರಿಯನ್ ಕಾಳುಗಳು (1 ಚಮಚ ಕೊರಿಯನ್ ಬೀಜಗಳು) ಬೇಳೆ), 2 ಚಮಚ ಬಿಳಿ ಉರಡ್ ದಾಲ್ (ಒಡೆದ), 2 ಚಮಚ ತಾಜಾ ತೆಂಗಿನಕಾಯಿ - ತುರಿದ, 1 ಚಮಚ ಮೇಥಿ ಬೀಜಗಳು (ಮೆಂತ್ಯ ಬೀಜಗಳು), 4 ಒಣ ಕೆಂಪು ಮೆಣಸಿನಕಾಯಿಗಳು, 2 ಟೀ ಚಮಚ ಜೀರಿಗೆ (ಜೀರಾ), 1 ಚಮಚ ಸಂಪೂರ್ಣ ಕಪ್ಪು ಮೆಣಸು, 1 ಟೀಚಮಚ ಸೂರ್ಯಕಾಂತಿ ಎಣ್ಣೆ, 1 ಈರುಳ್ಳಿ - ತೆಳುವಾಗಿ ಕತ್ತರಿಸಿದ ಈರುಳ್ಳಿ, 1 ಚಮಚ ಒಣಮೆಣಸಿನಕಾಯಿ, 1 ಟೀಸ್ಪೂನ್. ಚಿಗುರು ಕರಿಬೇವಿನ ಎಲೆಗಳು, 1/4 ಟೀಚಮಚ ಇಂಗು (ಹಿಂಗ್), 2 ಟೀ ಚಮಚ ಸೂರ್ಯಕಾಂತಿ ಎಣ್ಣೆ</t>
  </si>
  <si>
    <t>1 cup Arhar dal (Split Toor Dal),2 cups Mixed Greens - roughly chopped,10 grams Tamarind - soaked in warm water and pulp extracted,1 Onion - thingly sliced,4 Cloves (Laung) - garlic,2 teaspoons Jaggery - grated,Salt - to taste,2 tablespoons Coriander (Dhania) Seeds,1 tablespoon Chana dal (Bengal Gram Dal),2 teaspoons White Urad Dal (Split),2 tablespoons Fresh coconut - grated,1 teaspoon Methi Seeds (Fenugreek Seeds),4 Dry Red Chillies,2 teaspoon Cumin seeds (Jeera),1 teaspoon Whole Black Peppercorns,1 teaspoon Sunflower Oil,1 Onion - thinly sliced,2 Dry Red Chilli,1 teaspoon Mustard seeds,1 teaspoon Cumin seeds (Jeera),1 sprig Curry leaves,1/4 teaspoon Asafoetida (hing),2 teaspoons Sunflower Oil</t>
  </si>
  <si>
    <t xml:space="preserve">To begin making Huli Soppu Saaru Recipe (Karnataka Style Mixed Greens Sambar), clean, wash and roughly chop all the greens and keep aside.Heat oil in a small pan and roast all the ingredients mentioned for the masala including coriander seeds, chana dal, urad dal, fenugreek seeds, dry red chillies,cumin seeds and black pepper corns until they turn golden brown and aromatic.Once they are done, add coconut and grind this into a smooth paste adding little water using a mixer grinder and keep aside.Pressure cook the toor dal along with onions, garlic and mixed greens for 2 whistles adding enough water. Let the pressure release on its own and open the lid.Now, put the pressure cooked dal and mixed greens back on heat and mix well.Add the ground masala paste to the pan, tamarind extract, season with salt and simmer for 10 minutes until everything mixes together.At this point you could add a little more water, to your desired consistensy and let it simmer for a few more minutes.Add the jaggery, bring it to a rolling point and switch off the heat.The next step is to temper the Sambar. For the tadka, heat oil in a tadka pan, add mustard seeds, cumin seeds, asafoetida and let it splutter.Add the red chillies, curry leaves and let it crackle. This will take about 15 seconds.Add in the sliced onion and saute until it turns brown and crisp and turn off the heat. Add this tadka to the dal and give it a mix. It is ready to be served.Serve Huli Soppu Saaru Recipe (Karnataka Style Mixed Greens Sambar) along with Steamed Rice, Udupi Tomato Rasam Recipe, Aralu Sandige Recipe (Puffed Paddy Fryums) and Karnataka Style Beetroot Palya Recipe for a delicious South Indian meal.
</t>
  </si>
  <si>
    <t xml:space="preserve">ಹುಲಿ ಸೊಪ್ಪು ಸಾರು ರೆಸಿಪಿ (ಕರ್ನಾಟಕ ಶೈಲಿಯ ಮಿಶ್ರ ಸೊಪ್ಪಿನ ಸಾಂಬಾರ್) ತಯಾರಿಸಲು ಪ್ರಾರಂಭಿಸಲು, ಎಲ್ಲಾ ಸೊಪ್ಪನ್ನು ಸ್ವಚ್ಛಗೊಳಿಸಿ, ತೊಳೆದು ಒರಟಾಗಿ ಕತ್ತರಿಸಿ ಪಕ್ಕಕ್ಕೆ ಇರಿಸಿ. ಸಣ್ಣ ಪ್ಯಾನ್‌ನಲ್ಲಿ ಎಣ್ಣೆಯನ್ನು ಬಿಸಿ ಮಾಡಿ ಮತ್ತು ಕೊತ್ತಂಬರಿ ಬೀಜಗಳು, ಚನಾ ದಾಲ್, ಉದ್ದಿನ ಬೇಳೆ, ಮೆಂತ್ಯ ಬೀಜಗಳು ಮತ್ತು ಒಣ ಮೆಣಸಿನಕಾಯಿಗಳು, ಕರಿಮೆಣಸು ಮತ್ತು ಕೆಂಪು ಮೆಣಸಿನಕಾಯಿಗಳು ಸೇರಿದಂತೆ ಮಸಾಲಾಕ್ಕೆ ಸೂಚಿಸಲಾದ ಎಲ್ಲಾ ಪದಾರ್ಥಗಳನ್ನು ಹುರಿಯಿರಿ. ಆರೊಮ್ಯಾಟಿಕ್.ಅವುಗಳು ಮುಗಿದ ನಂತರ, ತೆಂಗಿನಕಾಯಿಯನ್ನು ಸೇರಿಸಿ ಮತ್ತು ಮಿಕ್ಸರ್ ಗ್ರೈಂಡರ್ ಬಳಸಿ ಸ್ವಲ್ಪ ನೀರು ಸೇರಿಸಿ ನಯವಾದ ಪೇಸ್ಟ್ ಆಗಿ ರುಬ್ಬಿಕೊಳ್ಳಿ ಮತ್ತು ಪಕ್ಕಕ್ಕೆ ಇರಿಸಿ. ಈರುಳ್ಳಿ, ಬೆಳ್ಳುಳ್ಳಿ ಮತ್ತು ಮಿಶ್ರಿತ ಸೊಪ್ಪಿನ ಜೊತೆಗೆ 2 ಸೀಟಿಗಳಿಗೆ ಸಾಕಷ್ಟು ನೀರು ಸೇರಿಸಿ 2 ಸೀಟಿಗೆ ಒತ್ತರಿಸಿ. ಒತ್ತಡವು ತನ್ನದೇ ಆದ ಮೇಲೆ ಬಿಡುಗಡೆಯಾಗಲಿ ಮತ್ತು ಮುಚ್ಚಳವನ್ನು ತೆರೆಯಿರಿ. ಈಗ, ಒತ್ತಾಗಿ ಬೇಯಿಸಿದ ದಾಲ್ ಮತ್ತು ಮಿಶ್ರಿತ ಸೊಪ್ಪನ್ನು ಮತ್ತೆ ಶಾಖಕ್ಕೆ ಹಾಕಿ ಮತ್ತು ಚೆನ್ನಾಗಿ ಮಿಶ್ರಣ ಮಾಡಿ. ಪ್ಯಾನ್‌ಗೆ ರುಬ್ಬಿದ ಮಸಾಲಾ ಪೇಸ್ಟ್, ಹುಣಸೆಹಣ್ಣಿನ ಸಾರವನ್ನು ಸೇರಿಸಿ ಮತ್ತು ಉಪ್ಪು ಸೇರಿಸಿ ಮತ್ತು ಎಲ್ಲವೂ ಒಟ್ಟಿಗೆ ಮಿಶ್ರಣವಾಗುವವರೆಗೆ 10 ನಿಮಿಷಗಳ ಕಾಲ ಕುದಿಸಿ. ಅದನ್ನು ರೋಲಿಂಗ್ ಪಾಯಿಂಟ್‌ಗೆ ತಂದು ಶಾಖವನ್ನು ಆಫ್ ಮಾಡಿ. ಮುಂದಿನ ಹಂತವೆಂದರೆ ಸಾಂಬಾರ್ ಅನ್ನು ಹದಗೊಳಿಸುವುದು. ತಡ್ಕಾಗಾಗಿ, ತಡ್ಕಾ ಬಾಣಲೆಯಲ್ಲಿ ಎಣ್ಣೆಯನ್ನು ಬಿಸಿ ಮಾಡಿ, ಸಾಸಿವೆ, ಜೀರಿಗೆ, ಇಂಗು ಸೇರಿಸಿ ಮತ್ತು ಅದನ್ನು ಚಿಮುಕಿಸಲು ಬಿಡಿ. ಕೆಂಪು ಮೆಣಸಿನಕಾಯಿಗಳು, ಕರಿಬೇವಿನ ಎಲೆಗಳನ್ನು ಸೇರಿಸಿ ಮತ್ತು ಅದನ್ನು ಸಿಡಿಸಲು ಬಿಡಿ. ಇದು ಸುಮಾರು 15 ಸೆಕೆಂಡುಗಳನ್ನು ತೆಗೆದುಕೊಳ್ಳುತ್ತದೆ. ಕತ್ತರಿಸಿದ ಈರುಳ್ಳಿಯನ್ನು ಸೇರಿಸಿ ಮತ್ತು ಕಂದು ಮತ್ತು ಗರಿಗರಿಯಾದ ತನಕ ಹುರಿಯಿರಿ ಮತ್ತು ಶಾಖವನ್ನು ಆಫ್ ಮಾಡಿ. ಈ ತಡ್ಕಾವನ್ನು ದಾಲ್ಗೆ ಸೇರಿಸಿ ಮತ್ತು ಮಿಶ್ರಣವನ್ನು ನೀಡಿ. ಇದು ಬಡಿಸಲು ಸಿದ್ಧವಾಗಿದೆ. ಹುಲಿ ಸೊಪ್ಪು ಸಾರು ರೆಸಿಪಿ (ಕರ್ನಾಟಕ ಶೈಲಿಯ ಮಿಶ್ರಿತ ಗ್ರೀನ್ಸ್ ಸಾಂಬಾರ್) ಜೊತೆಗೆ ಸ್ಟೀಮ್ಡ್ ರೈಸ್, ಉಡುಪಿ ಟೊಮೆಟೊ ರಸಂ ರೆಸಿಪಿ, ಅರಳು ಸಂಡಿಗೆ ರೆಸಿಪಿ (ಉಬ್ಬಿದ ಭತ್ತದ ಫ್ರೈಮ್ಸ್) ಮತ್ತು ಕರ್ನಾಟಕ ಶೈಲಿಯ ಬೀಟ್ರೂಟ್ ಪಲ್ಯ ರೆಸಿಪಿ ರುಚಿಕರವಾದ ದಕ್ಷಿಣ ಭಾರತೀಯ ಊಟಕ್ಕೆ ಬಡಿಸಿ.
</t>
  </si>
  <si>
    <t>http://www.archanaskitchen.com/huli-soppu-saaru-recipe-karnataka-style-mixed-greens-sambar</t>
  </si>
  <si>
    <t>Palak Tambuli Recipe (Udupi Style Spinach Tambli)</t>
  </si>
  <si>
    <t>ಪಾಲಕ್ ತಂಬುಳಿ ರೆಸಿಪಿ (ಉಡುಪಿ ಶೈಲಿಯ ಪಾಲಕ್ ತಂಬ್ಲಿ)</t>
  </si>
  <si>
    <t>15 ಪಾಲಕ್ ಎಲೆಗಳು (ಪಾಲಕ್), 1 ಟೀಚಮಚ ಜೀರಿಗೆ (ಜೀರಾ), 3 ಸಂಪೂರ್ಣ ಕಪ್ಪು ಮೆಣಸು, 2 ಹಸಿರು ಮೆಣಸಿನಕಾಯಿ, 1/4 ಕಪ್ ತಾಜಾ ತೆಂಗಿನಕಾಯಿ - ತುರಿದ, 1 ಕಪ್ ಮೊಸರು (ದಹಿ / ಮೊಸರು) - ಹುಳಿ ಅಥವಾ ಮಜ್ಜಿಗೆ, 1 ಟೀಚಮಚ ತುಪ್ಪ, ಉಪ್ಪು - ರುಚಿಗೆ, 1 ಚಮಚ ತುಪ್ಪ, 1 ಚಮಚ ತುಪ್ಪ (ಜೀರ), ಕರಿಬೇವಿನ ಎಲೆಗಳು - ಕೆಲವು, 1 ಒಣ ಕೆಂಪು ಮೆಣಸಿನಕಾಯಿ - ಮುರಿದು</t>
  </si>
  <si>
    <t>15 Spinach Leaves (Palak),1 teaspoon Cumin seeds (Jeera),3 Whole Black Peppercorns,2 Green Chilli,1/4 cup Fresh coconut - grated,1 cup Curd (Dahi / Yogurt) - sour or buttermilk,1 teaspoon Ghee,Salt - to taste,1 teaspoon Ghee,1/2 teaspoon Mustard seeds,1/2 teaspoon Cumin seeds (Jeera),Curry leaves - few,1 Dry Red Chilli - broken</t>
  </si>
  <si>
    <t xml:space="preserve">To prepare Palak Tambuli / Udupi Style Spinach Tambli Recipe, clean, wash and roughly chop palak leaves (you can retain tender stems too).In a pan add few drops of ghee and roast jeera, pepper and green chilli. Fry for a minute.Remove from the flame and keep aside to cool.Grind leaves -spice mix, coconut and salt to a very smooth paste in a mixer by adding little water.Pour the mixture to a bowl and add buttermilk / curd .Mix well. Adjust the consistency as required. The consistency should be thin.Heat the remaining ghee in a small pan. Add mustard seeds and jeera, when it splutters add curry leaves .Pour the tempering on the tambli.Serve Palak Tambuli / Udupi Style Spinach Tambli Recipe in room temperature with hot steaming rice and pickle for dinner or relish as such as a drink during evening.
</t>
  </si>
  <si>
    <t xml:space="preserve">ಪಾಲಕ್ ತಂಬುಳಿ/ಉಡುಪಿ ಸ್ಟೈಲ್ ಸ್ಪಿನಾಚ್ ತಂಬ್ಲಿ ರೆಸಿಪಿಯನ್ನು ತಯಾರಿಸಲು, ಪಾಲಾಕ್ ಎಲೆಗಳನ್ನು ಸ್ವಚ್ಛಗೊಳಿಸಿ, ತೊಳೆಯಿರಿ ಮತ್ತು ಸ್ಥೂಲವಾಗಿ ಕತ್ತರಿಸಿ (ನೀವು ಕೋಮಲ ಕಾಂಡಗಳನ್ನು ಸಹ ಉಳಿಸಿಕೊಳ್ಳಬಹುದು). ಒಂದು ಪ್ಯಾನ್‌ನಲ್ಲಿ ಕೆಲವು ಹನಿ ತುಪ್ಪವನ್ನು ಸೇರಿಸಿ ಮತ್ತು ಜೀರಾ, ಮೆಣಸು ಮತ್ತು ಹಸಿರು ಮೆಣಸಿನಕಾಯಿಯನ್ನು ಹುರಿಯಿರಿ. ಒಂದು ನಿಮಿಷ ಫ್ರೈ ಮಾಡಿ. ಜ್ವಾಲೆಯಿಂದ ತೆಗೆದುಹಾಕಿ ಮತ್ತು ತಣ್ಣಗಾಗಲು ಪಕ್ಕಕ್ಕೆ ಇರಿಸಿ. ರುಬ್ಬಿದ ಎಲೆಗಳು - ಮಸಾಲೆ ಮಿಶ್ರಣ, ತೆಂಗಿನಕಾಯಿ ಮತ್ತು ಉಪ್ಪನ್ನು ಮಿಕ್ಸರ್ನಲ್ಲಿ ಸ್ವಲ್ಪ ನೀರು ಸೇರಿಸಿ ತುಂಬಾ ನಯವಾದ ಪೇಸ್ಟ್ಗೆ ಸೇರಿಸಿ. ಮಿಶ್ರಣವನ್ನು ಒಂದು ಬಟ್ಟಲಿಗೆ ಸುರಿಯಿರಿ ಮತ್ತು ಮಜ್ಜಿಗೆ / ಮೊಸರು ಸೇರಿಸಿ. ಚೆನ್ನಾಗಿ ಮಿಶ್ರಣ ಮಾಡಿ. ಅಗತ್ಯವಿರುವಂತೆ ಸ್ಥಿರತೆಯನ್ನು ಹೊಂದಿಸಿ. ಸ್ಥಿರತೆ ತೆಳುವಾಗಿರಬೇಕು.ಉಳಿದ ತುಪ್ಪವನ್ನು ಸಣ್ಣ ಪ್ಯಾನ್‌ನಲ್ಲಿ ಬಿಸಿ ಮಾಡಿ. ಸಾಸಿವೆ ಮತ್ತು ಜೀರಿಗೆ ಸೇರಿಸಿ, ಅದು ಚೆಲ್ಲಿದಾಗ ಕರಿಬೇವಿನ ಎಲೆಗಳನ್ನು ಸೇರಿಸಿ. ತಂಬ್ಲಿ ಮೇಲೆ ಹದಗೊಳಿಸಿ. ಪಾಲಕ್ ತಂಬುಳಿ / ಉಡುಪಿ ಶೈಲಿ ಪಾಲಕ್ ತಂಬ್ಲಿ ರೆಸಿಪಿಯನ್ನು ಕೋಣೆಯ ಉಷ್ಣಾಂಶದಲ್ಲಿ ಬಿಸಿ ಹಬೆಯ ಅನ್ನ ಮತ್ತು ಉಪ್ಪಿನಕಾಯಿಯೊಂದಿಗೆ ಊಟಕ್ಕೆ ಅಥವಾ ಸಂಜೆಯ ಸಮಯದಲ್ಲಿ ಪಾನೀಯದಂತಹ ಸವಿಯಿರಿ.
</t>
  </si>
  <si>
    <t>https://www.archanaskitchen.com/palak-tambuli-udupi-style-spinach-tambli-recipe</t>
  </si>
  <si>
    <t>Karwar style Tousali Recipe-Cucumber Steamed Cake</t>
  </si>
  <si>
    <t>ಕಾರವಾರ ಶೈಲಿಯ ತೌಸಲಿ ರೆಸಿಪಿ- ಸೌತೆಕಾಯಿ ಬೇಯಿಸಿದ ಕೇಕ್</t>
  </si>
  <si>
    <t>1 ಸೌತೆಕಾಯಿ - ತುರಿದ, 1/2 ಕಪ್ ಅಕ್ಕಿ, 2 ಚಮಚ ಸೂಜಿ (ರವೆ/ ರವೆ), 1/2 ಕಪ್ ತಾಜಾ ತೆಂಗಿನಕಾಯಿ, 1 ಚಮಚ ತುಪ್ಪ, 1/2 ಚಮಚ ಬೆಲ್ಲ, 1 ಚಮಚ ಎನೋಸ್ ಹಣ್ಣು ಉಪ್ಪು, ಉಪ್ಪು - ರುಚಿಗೆ</t>
  </si>
  <si>
    <t>1 Cucumber - grated,1/2 cup Rice,2 tablespoon Sooji (Semolina/ Rava),1/2 cup Fresh coconut,1 teaspoon Ghee,1/2 teaspoon Jaggery,1 teaspoon Enos fruit salt,Salt - to taste</t>
  </si>
  <si>
    <t xml:space="preserve">To begin making the Karwar style Tousali Recipe-Cucumber Steamed Cake by soaking the rice in water for 2 hours and then drain the water, spread the rice on a kitchen paper towel to let it dry completely.Then using a mixer, grind the rice to a coarse mixture and not too smooth and add it to a mixing bowl.Add the remaining ingredients to the batter, mix well. Add the batter on a greased dhokla plate.Steam the batter in the Dhokla steamer for about 10 minutes and serve.Serve the Karwar style Tousali Recipe-Cucumber Steamed Cake along with Green Chutney Recipe  to make it your breakfast meal.
</t>
  </si>
  <si>
    <t xml:space="preserve">ಕಾರವಾರ ಶೈಲಿಯ ತೌಸಲಿ ರೆಸಿಪಿ-ಸೌತೆಕಾಯಿ ಆವಿಯಿಂದ ಬೇಯಿಸಿದ ಕೇಕ್ ಅನ್ನು 2 ಗಂಟೆಗಳ ಕಾಲ ನೀರಿನಲ್ಲಿ ನೆನೆಸಿ ನಂತರ ನೀರನ್ನು ಹರಿಸುತ್ತವೆ, ಅಕ್ಕಿಯನ್ನು ಸಂಪೂರ್ಣವಾಗಿ ಒಣಗಲು ಅಡಿಗೆ ಪೇಪರ್ ಟವೆಲ್ ಮೇಲೆ ಹರಡಿ. ನಂತರ ಮಿಕ್ಸರ್ ಬಳಸಿ, ಅಕ್ಕಿಯನ್ನು ಒರಟಾದ ಮಿಶ್ರಣಕ್ಕೆ ರುಬ್ಬಿಕೊಳ್ಳಿ ಮತ್ತು ತುಂಬಾ ನಯವಾದ ಮಿಶ್ರಣಕ್ಕೆ ಸೇರಿಸಿ. ಉಳಿದ ಪದಾರ್ಥಗಳನ್ನು ಬ್ಯಾಟರ್ಗೆ ಸೇರಿಸಿ ಗ್ರೀಸ್ ಮಾಡಿದ ಧೋಕ್ಲಾ ಪ್ಲೇಟ್‌ನಲ್ಲಿ ಹಿಟ್ಟನ್ನು ಸೇರಿಸಿ. ಧೋಕ್ಲಾ ಸ್ಟೀಮರ್‌ನಲ್ಲಿ ಸುಮಾರು 10 ನಿಮಿಷಗಳ ಕಾಲ ಹಿಟ್ಟನ್ನು ಸ್ಟೀಮ್ ಮಾಡಿ ಮತ್ತು ಬಡಿಸಿ. ಕಾರವಾರ ಶೈಲಿಯ ತೌಸಲಿ ರೆಸಿಪಿ-ಸೌತೆಕಾಯಿ ಬೇಯಿಸಿದ ಕೇಕ್ ಅನ್ನು ಗ್ರೀನ್ ಚಟ್ನಿ ರೆಸಿಪಿ ಜೊತೆಗೆ ಬಡಿಸಿ ನಿಮ್ಮ ಉಪಹಾರವನ್ನು ಮಾಡಿ.
</t>
  </si>
  <si>
    <t>https://www.archanaskitchen.com/karwar-style-tousali-recipe-cucumber-cake-recipe</t>
  </si>
  <si>
    <t>Karnataka Style Bassaru Recipe - Dill flavored Coconut Rasam</t>
  </si>
  <si>
    <t>ಕರ್ನಾಟಕ ಶೈಲಿಯ ಬಸ್ಸಾರು ರೆಸಿಪಿ - ಸಬ್ಬಸಿಗೆ ರುಚಿಯ ತೆಂಗಿನಕಾಯಿ ರಸಂ</t>
  </si>
  <si>
    <t>1 ಕಪ್ ಅರ್ಹರ್ ದಾಲ್ (ಸ್ಪ್ಲಿಟ್ ದಲ್), 1/2 ಕಪ್ ಸಬ್ಬಸಿಗೆ ಎಲೆಗಳು, 2 ಚಮಚ ಗಸಗಸೆ - ಹುರಿದ, 1 ಚಮಚ ಸಂಪೂರ್ಣ ಕಪ್ಪು ಮೆಣಸು - ಹುರಿದ, 1 ಈರುಳ್ಳಿ - ಕತ್ತರಿಸಿದ, 4 ಒಣ ಕೆಂಪು ಮೆಣಸಿನಕಾಯಿಗಳು, 4 ಚಮಚ ತಾಜಾ ತೆಂಗಿನಕಾಯಿ - ತುರಿದ, 4 ಲವಂಗ ಬೆಳ್ಳುಳ್ಳಿ, 1 ಚಮಚ ಸಾಸಿವೆ ಬೀಜಗಳು, 2 ಚಿಗುರು ಎಲೆಗಳು</t>
  </si>
  <si>
    <t>1 cup Arhar dal (Split Toor Dal),1/2 cup Dill leaves,2 tablespoon Poppy seeds - roasted,1 tablespoon Whole Black Peppercorns - roasted,1 Onion - chopped,4 Dry Red Chillies,4 tablespoon Fresh coconut - grated,4 cloves Garlic,1 teaspoon Mustard seeds,2 sprig Dill leaves - for garnish</t>
  </si>
  <si>
    <t xml:space="preserve">We begin making the Karnataka Style Bassaru Recipe (Dill flavored Coconut Rasam Recipe) by pressure cooking the toor dal with 2 cups of water in a pressure cooker, add a little salt as well. Cook for about 2 whistle. Allow the pressure to release naturally. Then once done, open the cooker add in the dill leaves, and add about 1/2 cup of water and pressure cook again for about 1 whistle.Once done, wait for the pressure to release naturally, open the cooker, drain all the water into a sauce pan. In a mixer jar combine, poppy seeds, peppercorns, onion,  dry red chillies and coconut, grind into a fine paste. Add this ground mixture into the drained water and keep it on the stove. Let it simmer for at least 20 minutes.Now to make the temper, heat a tadka pan over medium heat, add some oil add the mustard seeds, curry leaves and allow them to splutter, add garlic and keep it going for 30 seconds. Turn off the flame and  pour it over the rasam and serve. Serve the Karnataka Style Bassaru Recipe (Dill flavored Coconut Rasam Recipe) along with Steamed rice, and different palyas like Kuruku Kaalan Recipe (Raw Bananas in Coconut Curry) or Manjal Poosanikai Sambar Recipe (Yellow Pumpkin in Toor Dal Recipe)
</t>
  </si>
  <si>
    <t xml:space="preserve">ನಾವು ಕರ್ನಾಟಕ ಶೈಲಿಯ ಬಸ್ಸಾರು ರೆಸಿಪಿ (ಡಿಲ್ ಫ್ಲೇವರ್ಡ್ ಕೊಬ್ಬರಿ ರಸಂ ರೆಸಿಪಿ) ಅನ್ನು ಪ್ರೆಶರ್ ಕುಕ್ಕರ್‌ನಲ್ಲಿ 2 ಕಪ್ ನೀರಿನೊಂದಿಗೆ ಒತ್ತಡದ ಮೂಲಕ ಬೇಯಿಸಲು ಪ್ರಾರಂಭಿಸುತ್ತೇವೆ, ಸ್ವಲ್ಪ ಉಪ್ಪು ಸೇರಿಸಿ. ಸುಮಾರು 2 ಸೀಟಿಗೆ ಬೇಯಿಸಿ. ಒತ್ತಡವನ್ನು ನೈಸರ್ಗಿಕವಾಗಿ ಬಿಡುಗಡೆ ಮಾಡಲು ಅನುಮತಿಸಿ. ನಂತರ ಒಮ್ಮೆ ಮಾಡಿದ ನಂತರ, ಕುಕ್ಕರ್ ತೆರೆಯಿರಿ ಸಬ್ಬಸಿಗೆ ಎಲೆಗಳನ್ನು ಸೇರಿಸಿ, ಮತ್ತು ಸುಮಾರು 1/2 ಕಪ್ ನೀರು ಸೇರಿಸಿ ಮತ್ತು ಸುಮಾರು 1 ಸೀಟಿಗೆ ಮತ್ತೆ ಪ್ರೆಶರ್ ಕುಕ್ ಮಾಡಿ. ಒಮ್ಮೆ ಮಾಡಿದ ನಂತರ, ನೈಸರ್ಗಿಕವಾಗಿ ಒತ್ತಡ ಬಿಡುಗಡೆಯಾಗುವವರೆಗೆ ಕಾಯಿರಿ, ಕುಕ್ಕರ್ ತೆರೆಯಿರಿ, ಎಲ್ಲಾ ನೀರನ್ನು ಸಾಸ್ ಪ್ಯಾನ್‌ಗೆ ಹರಿಸುತ್ತವೆ. ಮಿಕ್ಸರ್ ಜಾರ್‌ನಲ್ಲಿ ಗಸಗಸೆ, ಮೆಣಸಿನಕಾಯಿ, ಈರುಳ್ಳಿ,  ಒಣ ಕೆಂಪು ಮೆಣಸಿನಕಾಯಿ ಮತ್ತು ತೆಂಗಿನಕಾಯಿಯನ್ನು ಸೇರಿಸಿ, ನುಣ್ಣಗೆ ಪೇಸ್ಟ್‌ಗೆ ರುಬ್ಬಿಕೊಳ್ಳಿ. ಈ ರುಬ್ಬಿದ ಮಿಶ್ರಣವನ್ನು ಬರಿದು ಮಾಡಿದ ನೀರಿಗೆ ಸೇರಿಸಿ ಮತ್ತು ಒಲೆಯ ಮೇಲೆ ಇರಿಸಿ. ಇದು ಕನಿಷ್ಠ 20 ನಿಮಿಷಗಳ ಕಾಲ ತಳಮಳಿಸುತ್ತಿರಲಿ. ಈಗ ಟೆಂಪರ್ ಮಾಡಲು, ತಡ್ಕಾ ಪ್ಯಾನ್ ಅನ್ನು ಮಧ್ಯಮ ಉರಿಯಲ್ಲಿ ಬಿಸಿ ಮಾಡಿ, ಸ್ವಲ್ಪ ಎಣ್ಣೆ ಸೇರಿಸಿ ಸಾಸಿವೆ ಕಾಳುಗಳು, ಕರಿಬೇವಿನ ಎಲೆಗಳನ್ನು ಸೇರಿಸಿ ಮತ್ತು ಅವುಗಳನ್ನು ಚಿಮುಕಿಸಲು ಅನುಮತಿಸಿ, ಬೆಳ್ಳುಳ್ಳಿ ಸೇರಿಸಿ ಮತ್ತು 30 ಸೆಕೆಂಡುಗಳ ಕಾಲ ಅದನ್ನು ಮುಂದುವರಿಸಿ. ಉರಿಯನ್ನು ಆಫ್ ಮಾಡಿ ಮತ್ತು ಅದನ್ನು ರಸದ ಮೇಲೆ ಸುರಿಯಿರಿ ಮತ್ತು ಬಡಿಸಿ. ಆವಿಯಲ್ಲಿ ಬೇಯಿಸಿದ ಅನ್ನದೊಂದಿಗೆ ಕರ್ನಾಟಕ ಶೈಲಿಯ ಬಸ್ಸಾರು ರೆಸಿಪಿ (ಸಬ್ಬಸಿಗೆ ರುಚಿಯ ತೆಂಗಿನಕಾಯಿ ರಸಂ ರೆಸಿಪಿ) ಮತ್ತು ಕುರುಕು ಕಾಲನ್ ರೆಸಿಪಿ (ಕೊಬ್ಬರಿ ಕರಿಯಲ್ಲಿ ಹಸಿ ಬಾಳೆಹಣ್ಣುಗಳು) ಅಥವಾ ಮಂಜಲ್ ಪೂಸನಿಕಾಯಿ ಸಾಂಬಾರ್ ರೆಸಿಪಿ (ತೂರ್ ದಾಲ್‌ನಲ್ಲಿ ಹಳದಿ ಕುಂಬಳಕಾಯಿ) ನಂತಹ ವಿಭಿನ್ನ ಪಲ್ಯಗಳನ್ನು ಬಡಿಸಿ.
</t>
  </si>
  <si>
    <t>https://www.archanaskitchen.com/karnataka-style-bassaru-recipe-dill-flavored-coconut-rasam-recipe</t>
  </si>
  <si>
    <t>Karwar Style Muga Ambat Recipe (Moong Sprouts in Coconut Curry)</t>
  </si>
  <si>
    <t>ಕಾರವಾರ ಶೈಲಿಯ ಮುಗ ಅಂಬಾಟ್ ರೆಸಿಪಿ (ತೆಂಗಿನಕಾಯಿ ಕರಿಯಲ್ಲಿ ಮೂಂಗ್ ಮೊಳಕೆ)</t>
  </si>
  <si>
    <t>1 ಕಪ್ ಹಸಿರು ಮೂಂಗ್ ಮೊಳಕೆ, 1 ಚಮಚ ಹುಣಸೆ ಪೇಸ್ಟ್, 1/4 ಟೀಚಮಚ ಅರಿಶಿನ ಪುಡಿ (ಹಲ್ದಿ), 1/2 ಟೀಚಮಚ ಸಕ್ಕರೆ, ಉಪ್ಪು - ರುಚಿಗೆ, 1/2 ಕಪ್ ತಾಜಾ ತೆಂಗಿನಕಾಯಿ - ತುರಿದ, 2 ಒಣ ಕೆಂಪು ಮೆಣಸಿನಕಾಯಿಗಳು, 1 ಟೀಚಮಚ ಕೊತ್ತಂಬರಿ (ಧನಿಯಾ) ಬೀಜಗಳು, 1 ಟೀಚಮಚ ಸೂರ್ಯಕಾಂತಿ ಎಣ್ಣೆ, 1 ಟೀಚಮಚ ಸಾಸಿವೆ ಬೀಜಗಳು - 4 ಚಮಚ ಸೀಗಡಿ, ಆಸಾ - ಹರಿದ</t>
  </si>
  <si>
    <t>1 cup Green Moong Sprouts,1 tablespoon Tamarind Paste,1/4 teaspoon Turmeric powder (Haldi),1/2 teaspoon Sugar,Salt - to taste,1/2 cup Fresh coconut - grated,2 Dry Red Chillies,1 teaspoon Coriander (Dhania) Seeds,1 teaspoon Sunflower Oil,1 teaspoon Mustard seeds,Asafoetida (hing) - a pinch,3-4 Curry leaves - torn</t>
  </si>
  <si>
    <t xml:space="preserve">To prepare Karwar Style Muga Ambat Recipe (Moong Sprouts in Coconut Curry), remove the skin of the green gram/moong sprouts by soaking them in water for 20 minutes and then rubbing off with hands.One the moong sprouts are ready, heat a kadai/wok with oil and temper with mustard and curry leaves.Add the onions, sugar and a pinch of salt and keep stirring over low heat till the onions turn brown.Now add the sprouted green gram, tamarind pulp, turmeric powder and mix well and cook them covered over low flame for 5 minutes.Open the lid and add 1 cup of water to the mixture.In a mixer grinder, combine the coconut along with the coriander seeds, salt and red chillies and grind  this along with some water to make a thick coconut paste. Adjust salt and stir in the thick coconut paste into the curry. Mix Muga Ambat well and allow them to cook for another 3-4 minutes and switch off.Serve Karwar Style Muga Ambat (Moong Sprouts in Coconut Curry) with Steamed rice or poori and poriyal to enjoy your everyday meal. 
</t>
  </si>
  <si>
    <t xml:space="preserve">ಕಾರವಾರ ಸ್ಟೈಲ್ ಮುಗ ಅಂಬಾಟ್ ರೆಸಿಪಿ (ತೆಂಗಿನಕಾಯಿ ಕರಿಯಲ್ಲಿ ಮೂಂಗ್ ಮೊಳಕೆ) ತಯಾರಿಸಲು, 20 ನಿಮಿಷಗಳ ಕಾಲ ನೀರಿನಲ್ಲಿ ನೆನೆಸಿ ನಂತರ ಕೈಗಳಿಂದ ರುಬ್ಬುವ ಮೂಲಕ ಹಸಿರು ಬೇಳೆ / ಮೂಂಗ್ ಮೊಗ್ಗುಗಳ ಚರ್ಮವನ್ನು ತೆಗೆದುಹಾಕಿ. ಒಂದು ಬೆಳದಿಂಗಳು ಸಿದ್ಧವಾಗಿದೆ, ಒಂದು ಕಡಾಯಿ/ವಾಕ್ ಸಿದ್ಧವಾಗಿದೆ, ಎಣ್ಣೆ ಮತ್ತು ಕರಿಬೇವಿನ ಎಲೆಗಳೊಂದಿಗೆ ಎಣ್ಣೆ ಮತ್ತು ಕರಿಬೇವಿನ ಎಲೆಗಳನ್ನು ಬಿಸಿ ಮಾಡಿ. ಮತ್ತು ಈರುಳ್ಳಿ ಕಂದು ಬಣ್ಣಕ್ಕೆ ತಿರುಗುವವರೆಗೆ ಕಡಿಮೆ ಉರಿಯಲ್ಲಿ ಬೆರೆಸಿ. ಈಗ ಮೊಳಕೆಯೊಡೆದ ಹಸಿಬೇಳೆ, ಹುಣಸೆ ಹಣ್ಣಿನ ತಿರುಳು, ಅರಿಶಿನ ಪುಡಿಯನ್ನು ಸೇರಿಸಿ ಚೆನ್ನಾಗಿ ಮಿಶ್ರಣ ಮಾಡಿ ಮತ್ತು 5 ನಿಮಿಷಗಳ ಕಾಲ ಕಡಿಮೆ ಉರಿಯಲ್ಲಿ ಮುಚ್ಚಿ ಬೇಯಿಸಿ. ಮುಚ್ಚಳವನ್ನು ತೆರೆದು ಮಿಶ್ರಣಕ್ಕೆ 1 ಕಪ್ ನೀರು ಸೇರಿಸಿ. ಮಿಕ್ಸರ್ ಗ್ರೈಂಡರ್‌ನಲ್ಲಿ ತೆಂಗಿನಕಾಯಿಯನ್ನು ಸೇರಿಸಿ, ಕೊತ್ತಂಬರಿ ಬೀಜಗಳು, ಉಪ್ಪು ಮತ್ತು ತೆಂಗಿನಕಾಯಿಯನ್ನು ಗಟ್ಟಿಯಾಗಿ ರುಬ್ಬಿಕೊಳ್ಳಿ. ಉಪ್ಪನ್ನು ಹೊಂದಿಸಿ ಮತ್ತು ದಪ್ಪ ತೆಂಗಿನ ಪೇಸ್ಟ್ ಅನ್ನು ಮೇಲೋಗರಕ್ಕೆ ಬೆರೆಸಿ. ಮುಗ ಅಂಬಾಟ್ ಅನ್ನು ಚೆನ್ನಾಗಿ ಮಿಶ್ರಣ ಮಾಡಿ ಮತ್ತು ಅವುಗಳನ್ನು ಇನ್ನೊಂದು 3-4 ನಿಮಿಷಗಳ ಕಾಲ ಬೇಯಿಸಲು ಅನುಮತಿಸಿ ಮತ್ತು ಸ್ವಿಚ್ ಆಫ್ ಮಾಡಿ. ಕಾರವಾರ ಸ್ಟೈಲ್ ಮುಗ ಅಂಬಾಟ್ (ತೆಂಗಿನಕಾಯಿ ಕರಿಯಲ್ಲಿ ಮೂಂಗ್ ಮೊಳಕೆ) ಅನ್ನು ನಿಮ್ಮ ದೈನಂದಿನ ಊಟವನ್ನು ಆನಂದಿಸಲು ಬೇಯಿಸಿದ ಅನ್ನ ಅಥವಾ ಪೂರಿ ಮತ್ತು ಪೊರಿಯಾಲ್‌ನೊಂದಿಗೆ ಬಡಿಸಿ. 
</t>
  </si>
  <si>
    <t>http://www.archanaskitchen.com/karwar-style-muga-ambat-recipe</t>
  </si>
  <si>
    <t>Karwar Style Yerappe Ani Recipe- Rice and Black Split Gram Fried Dumpling</t>
  </si>
  <si>
    <t>ಕಾರವಾರ ಸ್ಟೈಲ್ ಯರಪ್ಪೆ ಆನಿ ರೆಸಿಪಿ- ರೈಸ್ ಮತ್ತು ಬ್ಲ್ಯಾಕ್ ಸ್ಪ್ಲಿಟ್ ಗ್ರಾಂ ಫ್ರೈಡ್ ಡಂಪ್ಲಿಂಗ್</t>
  </si>
  <si>
    <t>1/2 ಕಪ್ ಅಕ್ಕಿ, 1/2 ಕಪ್ ಕಪ್ಪು ಉರಡ್ ದಾಲ್ (ಒಡೆದ), 2 ಚಮಚ ತಾಜಾ ತೆಂಗಿನಕಾಯಿ - ತುರಿದ, 1/2 ಟೀಚಮಚ ಇಂಗು (ಹಿಂಗ್), ಉಪ್ಪು - ರುಚಿಗೆ, ಸೂರ್ಯಕಾಂತಿ ಎಣ್ಣೆ - ಅಡುಗೆಗೆ</t>
  </si>
  <si>
    <t>1/2 cup Rice,1/2 cup Black Urad Dal (Split),2 tablespoons Fresh coconut - grated,1/2 teaspoon Asafoetida (hing),Salt - to taste,Sunflower Oil - for cooking</t>
  </si>
  <si>
    <t xml:space="preserve">We begin making the Karwar Style Yerappe Ani Recipe (Rice and Black Split Gram Dumpling) by soaking the split gram and the rice in separate bowls for 8 hours.Then grind the split black gram to a smooth paste first and pour into a bowl, then grind the rice to a coarse paste and mix it with the gram.To the mixture add grated coconut, salt and hing and mix well.Heat the Kuzhi Paniyaram Pan, add a teaspoon of oil in each hole, once it is heated, using a spoon add two tablespoons in each hole. Cook on either side for 5 minutes.Serve the Karwar Style Yerappe Ani Recipe (Rice and Black Split Gram Dumpling) along with Date and Tamarind Chutney Recipe | Khajur Imli Chutney  to enjoy your breakfast.
</t>
  </si>
  <si>
    <t xml:space="preserve">ನಾವು ಕಾರವಾರ ಸ್ಟೈಲ್ ಯರಪ್ಪೆ ಅನಿ ರೆಸಿಪಿ (ಅಕ್ಕಿ ಮತ್ತು ಕಪ್ಪು ಒಡೆದ ಬೇಳೆ ಡಂಪ್ಲಿಂಗ್) ಅನ್ನು 8 ಗಂಟೆಗಳ ಕಾಲ ಪ್ರತ್ಯೇಕ ಬಟ್ಟಲುಗಳಲ್ಲಿ ನೆನೆಸಿ ಪ್ರಾರಂಭಿಸುತ್ತೇವೆ. ನಂತರ ಒಡೆದ ಕಾಳುಗಳನ್ನು ನಯವಾದ ಪೇಸ್ಟ್ಗೆ ಮೊದಲು ರುಬ್ಬಿಕೊಳ್ಳಿ ಮತ್ತು ಒಂದು ಪಾತ್ರೆಯಲ್ಲಿ ಸುರಿಯಿರಿ, ನಂತರ ಅಕ್ಕಿಯನ್ನು ಒರಟಾದ ಪೇಸ್ಟ್ಗೆ ರುಬ್ಬಿಸಿ ಮತ್ತು ಕೊಬ್ಬರಿ ಮತ್ತು ಉಪ್ಪು ಸೇರಿಸಿ ಮಿಶ್ರಣ ಮಾಡಿ. ಕುಜಿ ಪಣಿಯಾರಂ ಪ್ಯಾನ್, ಪ್ರತಿ ರಂಧ್ರದಲ್ಲಿ ಒಂದು ಚಮಚ ಎಣ್ಣೆಯನ್ನು ಸೇರಿಸಿ, ಅದು ಬಿಸಿಯಾದ ನಂತರ, ಒಂದು ಚಮಚವನ್ನು ಬಳಸಿ ಪ್ರತಿ ರಂಧ್ರದಲ್ಲಿ ಎರಡು ಟೇಬಲ್ಸ್ಪೂನ್ಗಳನ್ನು ಸೇರಿಸಿ. 5 ನಿಮಿಷಗಳ ಕಾಲ ಎರಡೂ ಕಡೆ ಬೇಯಿಸಿ. ಕಾರವಾರ ಸ್ಟೈಲ್ ಯರಪ್ಪೆ ಆನಿ ರೆಸಿಪಿ (ಅಕ್ಕಿ ಮತ್ತು ಕಪ್ಪು ಒಡೆದ ಗ್ರಾಂ ಡಂಪ್ಲಿಂಗ್) ಜೊತೆಗೆ ದಿನಾಂಕ ಮತ್ತು ಹುಣಸೆ ಹಣ್ಣಿನ ಚಟ್ನಿ ರೆಸಿಪಿಯನ್ನು ಬಡಿಸಿ | ನಿಮ್ಮ ಉಪಹಾರವನ್ನು ಆನಂದಿಸಲು ಖಜೂರ್ ಇಮ್ಲಿ ಚಟ್ನಿ.
</t>
  </si>
  <si>
    <t>http://www.archanaskitchen.com/karwar-style-yerappe-ani-recipe-rice-and-black-split-gram-dumpling-recipe</t>
  </si>
  <si>
    <t>Karnataka Style Beetroot Palya Recipe</t>
  </si>
  <si>
    <t>ಕರ್ನಾಟಕ ಶೈಲಿಯ ಬೀಟ್ರೂಟ್ ಪಲ್ಯ ರೆಸಿಪಿ</t>
  </si>
  <si>
    <t>500 ಗ್ರಾಂ ಬೀಟ್ರೂಟ್ - ಉದ್ದವಾದ ಪಟ್ಟಿಗಳಾಗಿ ಕತ್ತರಿಸಿ, 4 ಚಮಚ ತಾಜಾ ತೆಂಗಿನಕಾಯಿ - ತುರಿದ, 4 ಲವಂಗ ಬೆಳ್ಳುಳ್ಳಿ, 1 ಈರುಳ್ಳಿ - ಸಣ್ಣದಾಗಿ ಕೊಚ್ಚಿದ, 1-1/2 ಟೀಚಮಚ ಸಾಂಬಾರ್ ಪುಡಿ, 1 ಟೀಚಮಚ ಸಾಸಿವೆ ಕಾಳು, ಇಂಗು (ಹಿಂಗ್) - ಒಂದು ಚಿಟಿಕೆ, 1 ಒಣ ಕೆಂಪು ಮೆಣಸಿನಕಾಯಿ, 1 ಎಸಳು ಕರಿಬೇವಿನ ಎಲೆಗಳು - 2 ಟೀಸ್ಪೂನ್.</t>
  </si>
  <si>
    <t>500 grams Beetroot - cut into long strips,4 tablespoons Fresh coconut - grated,4 cloves Garlic,1 Onion - finely chopped,1-1/2 teaspoons Sambar Powder,1 teaspoon Mustard seeds,Asafoetida (hing) - a pinch,1 Dry Red Chilli,1 sprig Curry leaves,2 teaspoons Sunflower Oil,Salt - to taste</t>
  </si>
  <si>
    <t xml:space="preserve">To begin making the Karnataka Style Beetroot Palya Recipe, peel the outer skin of the beetroot, cut it into long thin strips and keep aside.Heat oil in a heavy bottomed pan, add the mustard seeds, and let it crackle. Add the asafoetida, red chilli, curry leaves and let it splutter.Add the onions and saute until it turns translucent.Once the onions are translucent, add in the beetroot, season with salt, mix well and cook until the beetroot is half cooked.Add in the sambar masala and, toss well and let the beetroot cook well.Once the beetroot is cooked, pound the grated coconut and garlic cloves using a pestle and mortar, and add it to the pan.Mix well and cook for another 2 minutes and switch off the heat.Serve the delicious Karnataka Style Beetroot Palya Recipe along with Steamed Rice, Keerai Sambar and Elai Vadam for a simple weekday lunch.
</t>
  </si>
  <si>
    <t xml:space="preserve">ಕರ್ನಾಟಕ ಶೈಲಿಯ ಬೀಟ್‌ರೂಟ್ ಪಲ್ಯ ರೆಸಿಪಿಯನ್ನು ತಯಾರಿಸಲು ಪ್ರಾರಂಭಿಸಲು, ಬೀಟ್‌ರೂಟ್‌ನ ಹೊರ ಚರ್ಮವನ್ನು ಸಿಪ್ಪೆ ಸುಲಿದು, ಉದ್ದವಾದ ತೆಳುವಾದ ಪಟ್ಟಿಗಳಾಗಿ ಕತ್ತರಿಸಿ ಪಕ್ಕಕ್ಕೆ ಇರಿಸಿ. ಭಾರೀ ತಳವಿರುವ ಬಾಣಲೆಯಲ್ಲಿ ಎಣ್ಣೆಯನ್ನು ಬಿಸಿ ಮಾಡಿ, ಸಾಸಿವೆ ಹಾಕಿ, ಮತ್ತು ಅದನ್ನು ಸಿಡಿಸಲು ಬಿಡಿ. ಇಂಗು, ಕೆಂಪು ಮೆಣಸಿನಕಾಯಿ, ಕರಿಬೇವಿನ ಎಲೆಗಳನ್ನು ಸೇರಿಸಿ ಮತ್ತು ಅದನ್ನು ಚೆಲ್ಲಲು ಬಿಡಿ. ಈರುಳ್ಳಿ ಸೇರಿಸಿ ಮತ್ತು ಅದು ಅರೆಪಾರದರ್ಶಕವಾಗುವವರೆಗೆ ಹುರಿಯಿರಿ. ಈರುಳ್ಳಿ ಅರೆಪಾರದರ್ಶಕವಾದ ನಂತರ, ಬೀಟ್ರೂಟ್ ಸೇರಿಸಿ, ಉಪ್ಪು ಸೇರಿಸಿ, ಚೆನ್ನಾಗಿ ಮಿಶ್ರಣ ಮಾಡಿ ಮತ್ತು ಬೀಟ್ರೂಟ್ ಅರ್ಧ ಬೇಯುವವರೆಗೆ ಬೇಯಿಸಿ. ತುರಿದ ತೆಂಗಿನಕಾಯಿ ಮತ್ತು ಬೆಳ್ಳುಳ್ಳಿ ಎಸಳು ಮತ್ತು ಗಾರೆಯನ್ನು ಬಳಸಿ, ಮತ್ತು ಅದನ್ನು ಪ್ಯಾನ್‌ಗೆ ಸೇರಿಸಿ. ಚೆನ್ನಾಗಿ ಮಿಶ್ರಣ ಮಾಡಿ ಮತ್ತು ಇನ್ನೊಂದು 2 ನಿಮಿಷ ಬೇಯಿಸಿ ಮತ್ತು ಉರಿಯನ್ನು ಆಫ್ ಮಾಡಿ. ರುಚಿಕರವಾದ ಕರ್ನಾಟಕ ಶೈಲಿಯ ಬೀಟ್‌ರೂಟ್ ಪಲ್ಯ ರೆಸಿಪಿಯನ್ನು ಆವಿಯಲ್ಲಿ ಬೇಯಿಸಿದ ಅನ್ನ,                                                                                                       ಪಲ್ಯ ಪಲ್ಯ ವಾರ         ವಾರದ ಊಟಕ್ಕೆ  ವಾರದ ಊಟಕ್ಕೆ     ವಾರದ ಊಟಕ್ಕೆ                                                        .
</t>
  </si>
  <si>
    <t>http://www.archanaskitchen.com/karnataka-style-beetroot-palya-recipe</t>
  </si>
  <si>
    <t>Soft &amp; Delicious Ragi Mudde Recipe - Karnataka Style Ragi Balls</t>
  </si>
  <si>
    <t>ಮೃದುವಾದ ಮತ್ತು ರುಚಿಕರವಾದ ರಾಗಿ ಮುದ್ದೆ ರೆಸಿಪಿ - ಕರ್ನಾಟಕ ಶೈಲಿಯ ರಾಗಿ ಚೆಂಡುಗಳು</t>
  </si>
  <si>
    <t>2-1/2 ಕಪ್ ಬಿಸಿ ನೀರು, 1 ಕಪ್ ರಾಗಿ ಹಿಟ್ಟು (ಫಿಂಗರ್ ರಾಗಿ/ನಾಗ್ಲಿ), 2 ಚಮಚ ತುಪ್ಪ, ಉಪ್ಪು - ರುಚಿಗೆ ತಕ್ಕಷ್ಟು</t>
  </si>
  <si>
    <t>2-1/2 cups Hot water,1 cup Ragi Flour (Finger Millet/ Nagli),2 tablespoons Ghee,Salt - to taste</t>
  </si>
  <si>
    <t xml:space="preserve">To begin making the Ragi Mudde Recipe, heat 2-1/2 cups of water in a saucepan and add salt to it.Once it starts to boil, reduce the flame and add 3 tablespoons of ragi flour and whisk till there are no lumps formed and it slowly starts to thicken.Now, add the remaining ragi flour spoon by spoon and keep stirring so that there are no lumps.Make sure the heat is on low and ensure you keep stirring until it thickens completely. If you are making a larger quantity, then cover with a lid and leave the ragi aside to cook for about 5 minutes, until you notice it has thickened.Once you notice the ragi has thickened, continue stirring and add 2 tablespoons of ghee and keep stirring until you see the ragi has got a shine on it. It takes a good 10 minutes to make ragi mudde from 1 cup of ragi flour.Give the ragi mudde a taste and it should not feel raw.In order to shape ragi mudde to balls, grease a bowl with oil or ghee. Place 2 large tablespoons of ragi mudde and start twirling it around till it forms a nice smooth ball. Once done, the ragi mudde can be served hot. Note that the ragi mudde needs to be shaped into a ball while it is hot. Using a small bowl, helps in shaping the ragi mudde.Serve the Ragi Mudde Recipe along with Chicken Saaru, or Huli Soppu Saaru Recipe and Sabbasige palya to enjoy your lunch.The Ragi Mudde Recipe can also be served for an Indian Diabetic Lunch or dinner along with a Sabbasige palya and Raita.
</t>
  </si>
  <si>
    <t xml:space="preserve">ರಾಗಿ ಮುದ್ದೆ ರೆಸಿಪಿಯನ್ನು ತಯಾರಿಸಲು ಪ್ರಾರಂಭಿಸಲು, ಒಂದು ಲೋಹದ ಬೋಗುಣಿಗೆ 2-1/2 ಕಪ್ ನೀರನ್ನು ಬಿಸಿ ಮಾಡಿ ಮತ್ತು ಅದಕ್ಕೆ ಉಪ್ಪು ಸೇರಿಸಿ. ಅದು ಕುದಿಯಲು ಪ್ರಾರಂಭಿಸಿದ ನಂತರ, ಉರಿಯನ್ನು ಕಡಿಮೆ ಮಾಡಿ ಮತ್ತು 3 ಟೇಬಲ್ಸ್ಪೂನ್ ರಾಗಿ ಹಿಟ್ಟನ್ನು ಸೇರಿಸಿ ಮತ್ತು ಯಾವುದೇ ಉಂಡೆಗಳಿಲ್ಲದ ತನಕ ಪೊರಕೆ ಹಾಕಿ ಮತ್ತು ಅದು ನಿಧಾನವಾಗಿ ದಪ್ಪವಾಗಲು ಪ್ರಾರಂಭಿಸುತ್ತದೆ. ಈಗ, ಉಳಿದ ರಾಗಿ ಹಿಟ್ಟಿನ ಚಮಚವನ್ನು ಸೇರಿಸಿ. ಕಡಿಮೆ ಇದೆ ಮತ್ತು ಅದು ಸಂಪೂರ್ಣವಾಗಿ ದಪ್ಪವಾಗುವವರೆಗೆ ನೀವು ಬೆರೆಸಿ ಖಚಿತಪಡಿಸಿಕೊಳ್ಳಿ. ನೀವು ದೊಡ್ಡ ಪ್ರಮಾಣದಲ್ಲಿ ತಯಾರಿಸುತ್ತಿದ್ದರೆ, ನಂತರ ಒಂದು ಮುಚ್ಚಳದಿಂದ ಮುಚ್ಚಿ ಮತ್ತು ರಾಗಿಯನ್ನು ಸುಮಾರು 5 ನಿಮಿಷಗಳ ಕಾಲ ಬೇಯಿಸಲು ಬಿಡಿ, ಅದು ದಪ್ಪವಾಗುವುದನ್ನು ನೀವು ಗಮನಿಸಿದಾಗ, ಬೆರೆಸುವುದನ್ನು ಮುಂದುವರಿಸಿ ಮತ್ತು 2 ಟೇಬಲ್ಸ್ಪೂನ್ ತುಪ್ಪವನ್ನು ಸೇರಿಸಿ ಮತ್ತು ರಾಗಿಗೆ ಹೊಳಪು ಬರುವವರೆಗೆ ಬೆರೆಸಿ. 1 ಕಪ್ ರಾಗಿ ಹಿಟ್ಟಿನಿಂದ ರಾಗಿ ಮುದ್ದೆ ಮಾಡಲು ಉತ್ತಮ 10 ನಿಮಿಷಗಳನ್ನು ತೆಗೆದುಕೊಳ್ಳುತ್ತದೆ. ರಾಗಿ ಮುದ್ದೆಗೆ ರುಚಿಯನ್ನು ನೀಡಿ ಮತ್ತು ಅದು ಹಸಿ ಅನಿಸಬಾರದು. ರಾಗಿ ಮುದ್ದೆಯನ್ನು ಚೆಂಡುಗಳಾಗಿ ರೂಪಿಸಲು, ಎಣ್ಣೆ ಅಥವಾ ತುಪ್ಪದಿಂದ ಬೌಲ್ ಅನ್ನು ಗ್ರೀಸ್ ಮಾಡಿ. 2 ದೊಡ್ಡ ಚಮಚ ರಾಗಿ ಮುದ್ದೆಯನ್ನು ಇರಿಸಿ ಮತ್ತು ಅದು ಉತ್ತಮವಾದ ನಯವಾದ ಚೆಂಡನ್ನು ರೂಪಿಸುವವರೆಗೆ ಅದನ್ನು ಸುತ್ತಲು ಪ್ರಾರಂಭಿಸಿ. ಒಮ್ಮೆ ಮಾಡಿದ ನಂತರ, ರಾಗಿ ಮುದ್ದೆಯನ್ನು ಬಿಸಿಯಾಗಿ ಬಡಿಸಬಹುದು. ರಾಗಿ ಮುದ್ದೆ ಬಿಸಿಯಾಗಿರುವಾಗ ಚೆಂಡಿನ ಆಕಾರವನ್ನು ಮಾಡಬೇಕಾಗುತ್ತದೆ ಎಂಬುದನ್ನು ಗಮನಿಸಿ. ಚಿಕ್ಕ ಬಟ್ಟಲನ್ನು ಬಳಸಿ, ರಾಗಿ ಮುದ್ದೆಯನ್ನು ರೂಪಿಸಲು ಸಹಾಯ ಮಾಡುತ್ತದೆ. ನಿಮ್ಮ ಮಧ್ಯಾಹ್ನದ ಊಟವನ್ನು ಸವಿಯಲು ರಾಗಿ ಮುದ್ದೆ ರೆಸಿಪಿಯನ್ನು ಚಿಕನ್ ಸಾರು, ಅಥವಾ ಹುಲಿ ಸೊಪ್ಪು ಸಾರು ಮತ್ತು ಸಬ್ಬಸಿಗೆ ಪಲ್ಯ  ಜೊತೆಗೆ ಬಡಿಸಿ. ರೈತ.
</t>
  </si>
  <si>
    <t>https://www.archanaskitchen.com/ragi-mudde-recipe</t>
  </si>
  <si>
    <t>Karwar Style Surana Bhaji Recipe - Hot and Sour Yam Dry Curry</t>
  </si>
  <si>
    <t>ಕಾರವಾರ ಶೈಲಿಯ ಸುರಾನ ಭಾಜಿ ರೆಸಿಪಿ - ಬಿಸಿ ಮತ್ತು ಹುಳಿ ಯಾಮ್ ಡ್ರೈ ಕರಿ</t>
  </si>
  <si>
    <t>500 ಗ್ರಾಂ ಆನೆಗೆಣಸು (ಸುರನ್/ಸೇನಾಯಿ/ರತಾಳು) - ಸಿಪ್ಪೆ ಸುಲಿದು ಚಿಕ್ಕದಾಗಿ ಕತ್ತರಿಸಿ, 1 ಚಮಚ ಸಾಸಿವೆ, 10 ಒಣ ಕೆಂಪು ಮೆಣಸಿನಕಾಯಿ, 1/2 ಟೀ ಚಮಚ ಮೆಂತ್ಯ ಬೀಜಗಳು (ಮೆಂತ್ಯ ಕಾಳುಗಳು), ಚಿಟಿಕೆ ಇಂಗು (ಹಿಂಗ್), 1/2 ಟೀಚಮಚ ಅರಿಶಿನ ಪುಡಿ (ಹಲ್ದಿ) - 1 ಕಪ್, ಹಲಸಿನ ಪುಡಿ ರುಚಿ, ಸೂರ್ಯಕಾಂತಿ ಎಣ್ಣೆ - ಅಡುಗೆಗಾಗಿ</t>
  </si>
  <si>
    <t>500 grams Elephant yam (Suran/Senai/Ratalu) - peeled and cut very small,1 teaspoon Mustard seeds,10 Dry Red Chillies,1/2 teaspoon Methi Seeds (Fenugreek Seeds),pinch Asafoetida (hing),1/2 teaspoon Turmeric powder (Haldi),1 cup Tamarind Paste,1 teaspoon Jaggery - pound,Salt - to taste,Sunflower Oil - for cooking</t>
  </si>
  <si>
    <t xml:space="preserve">To begin making the Karwar Style Surana Bhaji Recipe - Hot and Sour Yam Dry Curry by heating a skillet with oil. Splutter the mustard seeds for few seconds.Then add asafoetida, turmeric powder, dry red chillies and fenugreek seeds. Roast them for few seconds and grind it into a smooth mixture using a mixer grinder.Heat the pressure cooker, add little oil and fry the yam pieces, add the ground spice mixture, then add the tamarind pulp and jaggery. Toss it well and coat it evenly. Check for seasoning as well.Pressure cook the yam for 4 whistles, let the pressure get released naturally. Pour it into a serving dish.Serve the Karwar Style Surana Bhaji Recipe - Hot and Sour Yam Dry Curry as a side dish along with Karwar Style Varan Kadhi Recipe and Steamed Rice for your everyday meals.
</t>
  </si>
  <si>
    <t xml:space="preserve">ಕಾರವಾರ ಶೈಲಿಯ ಸುರಾನಾ ಭಾಜಿ ರೆಸಿಪಿಯನ್ನು ತಯಾರಿಸಲು ಪ್ರಾರಂಭಿಸಲು - ಎಣ್ಣೆಯಿಂದ ಬಾಣಲೆಯನ್ನು ಬಿಸಿ ಮಾಡುವ ಮೂಲಕ ಬಿಸಿ ಮತ್ತು ಹುಳಿ ಯಾಮ್ ಡ್ರೈ ಕರಿ. ಕೆಲವು ಸೆಕೆಂಡುಗಳ ಕಾಲ ಸಾಸಿವೆ ಕಾಳುಗಳನ್ನು ಸಿಂಪಡಿಸಿ. ನಂತರ ಇಂಗು, ಅರಿಶಿನ ಪುಡಿ, ಒಣ ಕೆಂಪು ಮೆಣಸಿನಕಾಯಿಗಳು ಮತ್ತು ಮೆಂತ್ಯ ಬೀಜಗಳನ್ನು ಸೇರಿಸಿ. ಅವುಗಳನ್ನು ಕೆಲವು ಸೆಕೆಂಡುಗಳ ಕಾಲ ಹುರಿದು ಮತ್ತು ಮಿಕ್ಸರ್ ಗ್ರೈಂಡರ್ ಬಳಸಿ ನಯವಾದ ಮಿಶ್ರಣಕ್ಕೆ ರುಬ್ಬಿಕೊಳ್ಳಿ. ಪ್ರೆಶರ್ ಕುಕ್ಕರ್ ಅನ್ನು ಬಿಸಿ ಮಾಡಿ, ಸ್ವಲ್ಪ ಎಣ್ಣೆ ಸೇರಿಸಿ ಮತ್ತು ಯಾಮ್ ತುಂಡುಗಳನ್ನು ಫ್ರೈ ಮಾಡಿ, ನೆಲದ ಮಸಾಲೆ ಮಿಶ್ರಣವನ್ನು ಸೇರಿಸಿ, ನಂತರ ಹುಣಸೆ ಹಣ್ಣಿನ ತಿರುಳು ಮತ್ತು ಬೆಲ್ಲವನ್ನು ಸೇರಿಸಿ. ಅದನ್ನು ಚೆನ್ನಾಗಿ ಟಾಸ್ ಮಾಡಿ ಮತ್ತು ಅದನ್ನು ಸಮವಾಗಿ ಲೇಪಿಸಿ. ಒಗ್ಗರಣೆಯನ್ನು ಹಾಗೆಯೇ ಪರೀಕ್ಷಿಸಿ. 4 ಸೀಟಿಗಳಿಗೆ ಯಾಮ್ ಅನ್ನು ಒತ್ತರಿಸಿ, ಒತ್ತಡವು ಸ್ವಾಭಾವಿಕವಾಗಿ ಬಿಡುಗಡೆಯಾಗಲಿ. ಅದನ್ನು ಸರ್ವಿಂಗ್ ಡಿಶ್‌ಗೆ ಸುರಿಯಿರಿ. ಕಾರವಾರ ಶೈಲಿಯ ಸುರಾನಾ ಭಾಜಿ ರೆಸಿಪಿ - ಬಿಸಿ ಮತ್ತು ಹುಳಿ ಯಾಮ್ ಡ್ರೈ ಕರಿ ಅನ್ನು ಒಂದು ಭಕ್ಷ್ಯವಾಗಿ ಕಾರವಾರ ಶೈಲಿಯ ವರಣ್ ಕಧಿ ರೆಸಿಪಿ ಮತ್ತು ಆವಿಯಲ್ಲಿ ಬೇಯಿಸಿದ ಅನ್ನ ನಿಮ್ಮ ದೈನಂದಿನ ಊಟಕ್ಕೆ ಬಡಿಸಿ.
</t>
  </si>
  <si>
    <t>http://www.archanaskitchen.com/karwar-style-surana-bhaji-recipe-hot-and-sour-yam-recipe</t>
  </si>
  <si>
    <t>Karwar Style Kalingana Polo Recipe - Watermelon Rind Dosa</t>
  </si>
  <si>
    <t>ಕಾರವಾರ ಸ್ಟೈಲ್ ಕಾಳಿಂಗನ ಪೋಲೋ ರೆಸಿಪಿ - ಕಲ್ಲಂಗಡಿ ತೊಗಟೆ ದೋಸೆ</t>
  </si>
  <si>
    <t>1 ಕಪ್ ದೋಸೆ ಅಕ್ಕಿ, 1 ಕಪ್ ಕಲ್ಲಂಗಡಿ ಸಿಪ್ಪೆ, 1/2 ಕಪ್ ತಾಜಾ ತೆಂಗಿನಕಾಯಿ - ತುರಿದ, 1/2 ಕಪ್ ಪೋಹಾ (ಚಪ್ಪಟೆಯಾದ ಅಕ್ಕಿ) - ನೆನೆಸಿದ, ಉಪ್ಪು - ರುಚಿಗೆ</t>
  </si>
  <si>
    <t>1 cup Dosa rice,1 cup Watermelon rind,1/2 cup Fresh coconut - grated,1/2 cup Poha (Flattened rice) - soaked,Salt - to taste</t>
  </si>
  <si>
    <t xml:space="preserve">To begin making Karwar Style Kalingana Polo Recipe- Watermelon Rind Dosa, wash and soak the dosa rice in water for 2 hours before we proceed to make the batter.Likewise, wash and drain the poha in water using a strainer and keep aside.Now in a mixer grinder, grind the watermelon rind along with grated coconut to a smooth paste. Take it out in a mixing bowl.Add the soaked poha and dosa rice, season with salt and make a smooth dosa batter by adding very little water.The consistency of the batter should be a little thick.Leave the batter to ferment for 6 hours, before proceeding to make the dosas.Now, heat a dosa griddle/fat cast iron tawa on a medium heat, brush it with a little oil, pour a ladle full of the dosa batter, pour a teaspoon of oil on the sides. Cover it with a lid and let the dosa cook in its own steam till done.Remove it on a plate and proceed to make rest of the Kalingana Polo similarly with the remaining batter.Serve the Karwar Style Kalingana Polo Recipe- Watermelon Rind Dosa along with Coconut Chutney Recipe and Dali Thoy Recipe (Karwar Style Toor dal Curry) for the weekend breakfast.
</t>
  </si>
  <si>
    <t xml:space="preserve">ಕಾರವಾರ ಸ್ಟೈಲ್ ಕಾಳಿಂಗನ ಪೊಲೊ ರೆಸಿಪಿ- ಕಲ್ಲಂಗಡಿ ತೊಗಟೆ ದೋಸೆಯನ್ನು ತಯಾರಿಸಲು ಪ್ರಾರಂಭಿಸಲು, ದೋಸೆ ಅಕ್ಕಿಯನ್ನು ತೊಳೆದು 2 ಗಂಟೆಗಳ ಕಾಲ ನೀರಿನಲ್ಲಿ ನೆನೆಸಿಡಿ ಇದನ್ನು ಮಿಕ್ಸಿಂಗ್ ಬೌಲ್‌ನಲ್ಲಿ ಹೊರತೆಗೆಯಿರಿ.ನೆನೆಸಿದ ಪೋಹಾ ಮತ್ತು ದೋಸೆ ಅಕ್ಕಿಯನ್ನು ಸೇರಿಸಿ, ಉಪ್ಪು ಸೇರಿಸಿ ಮತ್ತು ಸ್ವಲ್ಪ ನೀರು ಸೇರಿಸಿ ನಯವಾದ ದೋಸೆ ಹಿಟ್ಟನ್ನು ತಯಾರಿಸಿ. ಹಿಟ್ಟಿನ ಸ್ಥಿರತೆ ಸ್ವಲ್ಪ ದಪ್ಪವಾಗಿರಬೇಕು. ಹಿಟ್ಟನ್ನು 6 ಗಂಟೆಗಳ ಕಾಲ ಹುದುಗಿಸಲು ಬಿಡಿ, ದೋಸೆ ಮಾಡಲು ಮುಂದುವರಿಯುವ ಮೊದಲು. ಈಗ, ಸ್ವಲ್ಪ ಎಣ್ಣೆಯನ್ನು ಬಿಸಿ ಮಾಡಿ. ದೋಸೆ ಹಿಟ್ಟಿನ, ಬದಿಗಳಲ್ಲಿ ಎಣ್ಣೆಯ ಟೀಚಮಚವನ್ನು ಸುರಿಯಿರಿ. ಅದನ್ನು ಒಂದು ಮುಚ್ಚಳದಿಂದ ಮುಚ್ಚಿ ಮತ್ತು ದೋಸೆಯನ್ನು ಬೇಯಿಸುವವರೆಗೆ ತನ್ನದೇ ಆದ ಹಬೆಯಲ್ಲಿ ಬೇಯಿಸಲು ಬಿಡಿ. ಅದನ್ನು ಪ್ಲೇಟ್‌ನಲ್ಲಿ ತೆಗೆದುಹಾಕಿ ಮತ್ತು ಉಳಿದ ಹಿಟ್ಟಿನೊಂದಿಗೆ ಉಳಿದ ಕಾಳಿಂಗನ ಪೋಲೊವನ್ನು ಮಾಡಲು ಮುಂದುವರಿಯಿರಿ. ಕಾರವಾರ ಸ್ಟೈಲ್ ಕಲಿಂಗನ ಪೊಲೊ ರೆಸಿಪಿ- ಕಲ್ಲಂಗಡಿ ತೊಗಟೆ ದೋಸಾ ಜೊತೆಗೆ ತೆಂಗಿನಕಾಯಿ ಚಟ್ನಿ ರೆಸಿಪಿ ಮತ್ತು ಡಾಲಿ ಥಾರ್‌ರಿ ಟೇರಿ ವಾರಾಂತ್ಯದ ಉಪಹಾರ.
</t>
  </si>
  <si>
    <t>http://www.archanaskitchen.com/kalingana-polo-recipe-karwar-style-watermelon-rind-dosa</t>
  </si>
  <si>
    <t>Karwar Style Anasa Patal Bhaji Recipe-Pineapple cooked with coconut</t>
  </si>
  <si>
    <t>ಕಾರವಾರ ಶೈಲಿಯ ಅನಸ ಪಟಾಲ್ ಭಾಜಿ ರೆಸಿಪಿ-ಅನಾನಸ್ ಅನ್ನು ತೆಂಗಿನಕಾಯಿಯೊಂದಿಗೆ ಬೇಯಿಸಲಾಗುತ್ತದೆ</t>
  </si>
  <si>
    <t>2 ಕಪ್ ಅನಾನಸ್ - ಕತ್ತರಿಸಿದ, 1/2 ಟೀಚಮಚ ಅರಿಶಿನ ಪುಡಿ (ಹಲ್ದಿ), ಚಿಟಿಕೆ ಇಂಗು (ಹಿಂಗ್), 2 ಕೋಕಮ್ (ಮಲಬಾರ್ ಹುಣಸೆಹಣ್ಣು), 1/4 ಕಪ್ ಬೆಲ್ಲ - (ರುಚಿಗೆ ಅನುಗುಣವಾಗಿ), 1/4 ಕಪ್ ನೀರು, ಉಪ್ಪು - ರುಚಿಗೆ, 4 ಒಣ ಕೆಂಪು ಮೆಣಸಿನಕಾಯಿ, 2 ಚಮಚ ಕೊತ್ತಂಬರಿ ಬೀಜಗಳು, 1 ಕಪ್ ಕೊತ್ತಂಬರಿ ಬೀಜಗಳು (ಧನಿಯಾ)</t>
  </si>
  <si>
    <t>2 cups Pineapple - chopped,1/2 teaspoon Turmeric powder (Haldi),pinch Asafoetida (hing),2 Kokum (Malabar Tamarind),1/4 cup Jaggery - (adjust according to taste),1/4 cup Water,Salt - to taste,4 Dry Red Chilli,2 teaspoon Coriander (Dhania) Seeds,1/4 cup Fresh coconut - grated</t>
  </si>
  <si>
    <t xml:space="preserve">To begin making the Karwar Style Anasa Patal Bhaji Recipe (Pineapple cooked with coconut) by chopping the pineapple by removing the thorns and the inner core. Chop them to medium sized pieces.Heat a pan and dry roast the coriander seeds, dry red chillies till it becomes brown and grind it along with coconut to a smooth paste.In the same pan add the pineapple with ½ cup water and cook it till it becomes soft, then add the coconut paste, jaggery, kokum rinds and salt.Cook slowly till the water reduces and the masala is well incorporated with Pineapple. Serve the Karwar Style Anasa Patal Bhaji Recipe (Pineapple cooked with coconut) as a side dish along with Gehun Bhajra Thepla Recipe (Spiced Wheat Millet Flat Bread) and Palak Raita Recipe for Lunch meal.
</t>
  </si>
  <si>
    <t xml:space="preserve">ಮುಳ್ಳುಗಳು ಮತ್ತು ಒಳಭಾಗವನ್ನು ತೆಗೆದುಹಾಕುವ ಮೂಲಕ ಅನಾನಸ್ ಅನ್ನು ಕತ್ತರಿಸುವ ಮೂಲಕ ಕಾರವಾರ ಶೈಲಿಯ ಅನಸಾ ಪಟಾಲ್ ಭಾಜಿ ರೆಸಿಪಿ (ತೆಂಗಿನಕಾಯಿಯೊಂದಿಗೆ ಬೇಯಿಸಿದ ಅನಾನಸ್) ತಯಾರಿಸಲು ಪ್ರಾರಂಭಿಸಲು. ಮಧ್ಯಮ ಗಾತ್ರದ ತುಂಡುಗಳಾಗಿ ಕತ್ತರಿಸಿ. ಪ್ಯಾನ್ ಅನ್ನು ಬಿಸಿ ಮಾಡಿ ಮತ್ತು ಕೊತ್ತಂಬರಿ ಬೀಜಗಳು, ಒಣ ಕೆಂಪು ಮೆಣಸಿನಕಾಯಿಗಳನ್ನು ಕಂದು ಬಣ್ಣ ಬರುವವರೆಗೆ ಹುರಿದು ತೆಂಗಿನಕಾಯಿಯೊಂದಿಗೆ ನಯವಾದ ಪೇಸ್ಟ್ಗೆ ಪುಡಿಮಾಡಿ. ಅನಾನಸ್. ಕಾರವಾರ ಶೈಲಿಯ ಅನಸಾ ಪಟಲ್ ಭಾಜಿ ಪಾಕವನ್ನು (ತೆಂಗಿನಕಾಯಿಯೊಂದಿಗೆ ಬೇಯಿಸಿದ ಅನಾನಸ್) ಗೆಹೂನ್ ಭಜ್ರಾ ಥೇಪ್ಲಾ ರೆಸಿಪಿ (ಮಸಾಲೆಯುಕ್ತ ಗೋಧಿ ರಾಗಿ ಫ್ಲಾಟ್ ಬ್ರೆಡ್) ಮತ್ತು ಪಾಲಕ್ ರೈತಾ ರೆಸಿಪಿ  ಜೊತೆಗೆ ಮಧ್ಯಾಹ್ನದ ಊಟಕ್ಕೆ ಪಾಲಾಕ್ ರೈತಾ ರೆಸಿಪಿಯನ್ನು ಒಂದು ಭಕ್ಷ್ಯವಾಗಿ ಬಡಿಸಿ.
</t>
  </si>
  <si>
    <t>https://www.archanaskitchen.com/karwar-style-anasa-patal-bhaaji-recipe-pineapple-cooked-with-coconut-recipe</t>
  </si>
  <si>
    <t>Bele Dose Recipe (Lentil Dosa Recipe)</t>
  </si>
  <si>
    <t>ಬೇಳೆ ದೋಸೆ ರೆಸಿಪಿ (ಲೆಂಟಿಲ್ ದೋಸೆ ರೆಸಿಪಿ)</t>
  </si>
  <si>
    <t>1 ಕಪ್ ಬಿಳಿ ಉರಡ್ ದಾಲ್ (ಸಂಪೂರ್ಣ), 1 ಕಪ್ ಹಳದಿ ಮೂಂಗ್ ದಾಲ್ (ಒಡೆದ), 1 ಕಪ್ ಅರ್ಹರ್ ದಾಲ್ (ಒಡೆದ ದಲ್), 2 ಕಪ್ ಅಕ್ಕಿ, 1/4 ಕಪ್ ಮೇಥಿ ಬೀಜಗಳು (ಮೆಂತ್ಯ ಬೀಜಗಳು), 1 ಈರುಳ್ಳಿ, 3 ಹಸಿರು ಮೆಣಸಿನಕಾಯಿಗಳು, 1 ಚಿಗುರು ಕರಿಬೇವಿನ ಎಲೆಗಳು, 1/4 ಕಪ್ ತಾಜಾ ತೆಂಗಿನಕಾಯಿ, 2 ಟೀಚಮಚ ಜೀರಿಗೆ, ಜೀರಿಗೆ 5 ರುಚಿಗೆ (ಧನಿಯಾ) ಎಲೆಗಳು</t>
  </si>
  <si>
    <t>1 cup White Urad Dal (Whole),1 cup Yellow Moong Dal (Split),1 cup Arhar dal (Split Toor Dal),2 cup Rice,1/4 cup Methi Seeds (Fenugreek Seeds),1 Onion,3 Green Chillies,1 sprig Curry leaves,1/4 cup Fresh coconut,2 teaspoon Cumin seeds (Jeera),Salt - to taste,5 sprig Coriander (Dhania) Leaves</t>
  </si>
  <si>
    <t xml:space="preserve">To begin making the Bele Dose Recipe soak the lentils along with rice, fenugreek seeds and cumin seeds with water till it is fully immersed.Soak it with water for overnight. And then grind it the next day along with the rest of the ingredient’s and some water to make a thick and running water.To make dosas, place a skillet or tawa on the heat. When it is adequately warm, pour a ladle full of batter and spread it into concentric circles working your way outwards, till you have a dosa of your desired size and thickness.Drizzle a few drops of oil or ghee on the sides. Cover the dosa and allow it to cook.Once the sides of the dosa starts to brown and release from the pan, gently lift the dosa from skillet and flip to cook on the other side.Serve the Bele Dose Recipe along with Tomato Onion Chutney or Mixed Vegetable Sambar Recipe to have a comforting breakfast.
</t>
  </si>
  <si>
    <t xml:space="preserve">ಬೇಳೆ ದೋಸೆ ರೆಸಿಪಿಯನ್ನು ತಯಾರಿಸಲು ಪ್ರಾರಂಭಿಸಲು ಅಕ್ಕಿ, ಮೆಂತ್ಯ ಬೀಜಗಳು ಮತ್ತು ಜೀರಿಗೆಯನ್ನು ನೀರಿನಿಂದ ಸಂಪೂರ್ಣವಾಗಿ ಮುಳುಗಿಸುವವರೆಗೆ ನೀರಿನಿಂದ ನೆನೆಸಿ. ರಾತ್ರಿಯಿಡೀ ಅದನ್ನು ನೀರಿನಲ್ಲಿ ನೆನೆಸಿ. ತದನಂತರ ಅದನ್ನು ಮರುದಿನ ಉಳಿದ ಪದಾರ್ಥಗಳು ಮತ್ತು ಸ್ವಲ್ಪ ನೀರಿನೊಂದಿಗೆ ರುಬ್ಬಿಕೊಳ್ಳಿ. ಇದು ಸಾಕಷ್ಟು ಬೆಚ್ಚಗಿರುವಾಗ, ಹಿಟ್ಟಿನಿಂದ ತುಂಬಿದ ಲೋಟವನ್ನು ಸುರಿಯಿರಿ ಮತ್ತು ನೀವು ಬಯಸಿದ ಗಾತ್ರ ಮತ್ತು ದಪ್ಪದ ದೋಸೆಯನ್ನು ಹೊಂದುವವರೆಗೆ ಅದನ್ನು ಏಕಕೇಂದ್ರಕ ವಲಯಗಳಲ್ಲಿ ಹರಡಿ. ದೋಸೆಯನ್ನು ಕವರ್ ಮಾಡಿ ಮತ್ತು ಅದನ್ನು ಬೇಯಿಸಲು ಅನುಮತಿಸಿ. ದೋಸೆಯ ಬದಿಗಳು ಕಂದು ಬಣ್ಣಕ್ಕೆ ತಿರುಗಲು ಪ್ರಾರಂಭಿಸಿ ಮತ್ತು ಪ್ಯಾನ್‌ನಿಂದ ಬಿಡುಗಡೆಯಾದ ನಂತರ, ದೋಸೆಯನ್ನು ಬಾಣಲೆಯಿಂದ ನಿಧಾನವಾಗಿ ಮೇಲಕ್ಕೆತ್ತಿ ಮತ್ತು ಇನ್ನೊಂದು ಬದಿಯಲ್ಲಿ ಬೇಯಿಸಲು ತಿರುಗಿಸಿ. ಟೊಮೇಟೊ ಈರುಳ್ಳಿ ಚಟ್ನಿ ಅಥವಾ ಮಿಶ್ರಿತ ತರಕಾರಿ ಸಾಂಬಾರ್ ರೆಸಿಪಿಯೊಂದಿಗೆ ಬೇಳೆ ದೋಸೆ ರೆಸಿಪಿಯನ್ನು ಸೇವಿಸಿ.
</t>
  </si>
  <si>
    <t>http://www.archanaskitchen.com/bele-dose-recipe-lentil-dosa-recipe</t>
  </si>
  <si>
    <t>Sakkare Achhu Recipe (Festive Sugar Figurines)</t>
  </si>
  <si>
    <t>ಸಕ್ಕರೆ ಅಚ್ಚು ರೆಸಿಪಿ (ಹಬ್ಬದ ಸಕ್ಕರೆ ಪ್ರತಿಮೆಗಳು)</t>
  </si>
  <si>
    <t>1 ಕಪ್ ಸಕ್ಕರೆ, 1/2 ಕಪ್ ನೀರು, 2 ಟೇಬಲ್ಸ್ಪೂನ್ ಹಾಲು, 1 ಚಮಚ ಮೊಸರು (ದಹಿ / ಮೊಸರು), 1 ಪಿಂಚ್ ಆಹಾರ ಬಣ್ಣ - (ಐಚ್ಛಿಕ ಮಾತ್ರ)</t>
  </si>
  <si>
    <t>1 cup Sugar,1/2 cup Water,2 tablespoons Milk,1 tablespoon Curd (Dahi / Yogurt),1 pinch Food Color - (optional only)</t>
  </si>
  <si>
    <t xml:space="preserve">To prepare Sakkare Achhu Recipe (Festive Sugar Figurines), soak the wooden moulds in water overnight or 5-6 hours .Later, join the pairing moulds and hold them together firmly using rubber bands . Keep all the moulds ready before you start making the sugar syrup . If you are using silicone moulds .. skip the first 2 steps.Soak 1 cup of sugar in 1/2 cup water for 2-3 hours.Mix well and keep the sugar solution on medium flame in a saucepan and bring it to a gentle boil.When the the sugar solution has started boiling. Add 2 tablespoons of milk and mix. Bring to a boil.Sieve sugar syrup using a muslin cloth over another vessel .Place the strained sugar syrup back to flame in saucepan. When it is about to boil, add a tablespoon of curd. Mix. Bring to boil. You can add food colour at this stage if you like. You will observe that the sugar syrup has started to thicken and a thick frothing starts.Simmer to settle the frothing, (or you can take off the saucepan from heat). Keep stirring at all times while syrup is on flame. Check when the frothing settles down, the syrup will be transparent. Place it back on heat and bring to boil.Do it a couple more times (may take up to 5-6 times), till you see a translucent liquid, which is the right consistency to prepare sakkare achhu.Pour hot sugar syrup into the prepared moulds quickly. Tap in between so that sugar syrup gets distributed evenly and no air bubble is trapped within.Allow the syrup to set and solidify in the mold for 10-15minutes.Remove the rubber bands and gently open the wooden moulds. Take a pin/ knife/tooth pick gently separate the achhus from the molds.Sundry for 1-2 hours and store them in an airtight container. These stay good for months.Serve Sakkare Achhu Recipe as an occasional dessert.
</t>
  </si>
  <si>
    <t xml:space="preserve">ಸಕ್ಕರೆ ಅಚ್ಚು ರೆಸಿಪಿ (ಹಬ್ಬದ ಸಕ್ಕರೆಯ ಪ್ರತಿಮೆಗಳು) ತಯಾರಿಸಲು, ಮರದ ಅಚ್ಚುಗಳನ್ನು ರಾತ್ರಿ ಅಥವಾ 5-6 ಗಂಟೆಗಳ ಕಾಲ ನೀರಿನಲ್ಲಿ ನೆನೆಸಿ. ನೀವು ಸಕ್ಕರೆ ಪಾಕವನ್ನು ತಯಾರಿಸಲು ಪ್ರಾರಂಭಿಸುವ ಮೊದಲು ಎಲ್ಲಾ ಅಚ್ಚುಗಳನ್ನು ಸಿದ್ಧವಾಗಿಡಿ. ನೀವು ಸಿಲಿಕೋನ್ ಅಚ್ಚುಗಳನ್ನು ಬಳಸುತ್ತಿದ್ದರೆ. 2 ಟೇಬಲ್ಸ್ಪೂನ್ ಹಾಲು ಸೇರಿಸಿ ಮತ್ತು ಮಿಶ್ರಣ ಮಾಡಿ. ಇನ್ನೊಂದು ಪಾತ್ರೆಯ ಮೇಲೆ ಮಸ್ಲಿನ್ ಬಟ್ಟೆಯನ್ನು ಬಳಸಿ ಸಕ್ಕರೆ ಪಾಕವನ್ನು ಕುದಿಸಿ. ಅದು ಕುದಿಯುತ್ತಿರುವಾಗ, ಒಂದು ಚಮಚ ಮೊಸರು ಸೇರಿಸಿ. ಮಿಶ್ರಣ ಮಾಡಿ. ಕುದಿಯಲು ತನ್ನಿ. ನೀವು ಬಯಸಿದಲ್ಲಿ ಈ ಹಂತದಲ್ಲಿ ನೀವು ಆಹಾರ ಬಣ್ಣವನ್ನು ಸೇರಿಸಬಹುದು. ಸಕ್ಕರೆ ಪಾಕವು ದಪ್ಪವಾಗಲು ಪ್ರಾರಂಭಿಸಿದೆ ಮತ್ತು ದಪ್ಪವಾದ ನೊರೆಯು ಪ್ರಾರಂಭವಾಗುತ್ತದೆ ಎಂದು ನೀವು ಗಮನಿಸಬಹುದು. ನೊರೆಯನ್ನು ನೆಲೆಗೊಳಿಸಲು ತಳಮಳಿಸುತ್ತಿರು, (ಅಥವಾ ನೀವು ಶಾಖದಿಂದ ಲೋಹದ ಬೋಗುಣಿ ತೆಗೆಯಬಹುದು). ಸಿರಪ್ ಉರಿಯುತ್ತಿರುವಾಗ ಎಲ್ಲಾ ಸಮಯದಲ್ಲೂ ಬೆರೆಸಿ. ನೊರೆಯು ನೆಲೆಗೊಂಡಾಗ ಪರಿಶೀಲಿಸಿ, ಸಿರಪ್ ಪಾರದರ್ಶಕವಾಗಿರುತ್ತದೆ. ಅದನ್ನು ಮತ್ತೆ ಶಾಖದ ಮೇಲೆ ಇರಿಸಿ ಮತ್ತು ಕುದಿಯಲು ತನ್ನಿ. ಇದನ್ನು ಒಂದೆರಡು ಬಾರಿ ಮಾಡಿ (5-6 ಬಾರಿ ತೆಗೆದುಕೊಳ್ಳಬಹುದು), ನೀವು ಅರೆಪಾರದರ್ಶಕ ದ್ರವವನ್ನು ನೋಡುವವರೆಗೆ, ಇದು ಸಕ್ಕರೆ ಅಚ್ಚು ತಯಾರಿಸಲು ಸರಿಯಾದ ಸ್ಥಿರತೆಯಾಗಿದೆ. ಬಿಸಿ ಸಕ್ಕರೆ ಪಾಕವನ್ನು ತಯಾರಿಸಿದ ಅಚ್ಚುಗಳಿಗೆ ತ್ವರಿತವಾಗಿ ಸುರಿಯಿರಿ. ನಡುವೆ ಟ್ಯಾಪ್ ಮಾಡಿ ಇದರಿಂದ ಸಕ್ಕರೆ ಪಾಕವನ್ನು ಸಮವಾಗಿ ವಿತರಿಸಲಾಗುತ್ತದೆ ಮತ್ತು ಯಾವುದೇ ಗಾಳಿಯ ಗುಳ್ಳೆ ಒಳಗೆ ಸಿಲುಕಿಕೊಳ್ಳುವುದಿಲ್ಲ. ಸಿರಪ್ ಅನ್ನು 10-15 ನಿಮಿಷಗಳ ಕಾಲ ಅಚ್ಚಿನಲ್ಲಿ ಹೊಂದಿಸಲು ಮತ್ತು ಗಟ್ಟಿಯಾಗಲು ಅನುಮತಿಸಿ. ರಬ್ಬರ್ ಬ್ಯಾಂಡ್‌ಗಳನ್ನು ತೆಗೆದುಹಾಕಿ ಮತ್ತು ಮರದ ಅಚ್ಚುಗಳನ್ನು ನಿಧಾನವಾಗಿ ತೆರೆಯಿರಿ. ಪಿನ್ / ಚಾಕು / ಟೂತ್ ಪಿಕ್ ಅನ್ನು ಅಚ್ಚುಗಳಿಂದ ನಿಧಾನವಾಗಿ ಬೇರ್ಪಡಿಸಿ. 1-2 ಗಂಟೆಗಳ ಕಾಲ ಅವುಗಳನ್ನು ಗಾಳಿಯಾಡದ ಧಾರಕದಲ್ಲಿ ಸಂಗ್ರಹಿಸಿ. ಇವು ತಿಂಗಳುಗಟ್ಟಲೆ ಉತ್ತಮವಾಗಿರುತ್ತವೆ. ಸಕ್ಕರೆ ಅಚ್ಚು ರೆಸಿಪಿಯನ್ನು ಸಾಂದರ್ಭಿಕ ಸಿಹಿತಿಂಡಿಯಾಗಿ ಬಡಿಸಿ.
</t>
  </si>
  <si>
    <t>https://www.archanaskitchen.com/sakkare-achhu-recipe-festive-sugar-figurines</t>
  </si>
  <si>
    <t>Karnataka Style Sandige Huli Recipe (Toor dal dumplings in Gravy Recipe)</t>
  </si>
  <si>
    <t>ಕರ್ನಾಟಕ ಶೈಲಿಯ ಸಂಡಿಗೆ ಹುಲಿ ರೆಸಿಪಿ (ಗ್ರೇವಿ ರೆಸಿಪಿಯಲ್ಲಿ ತೂರ್ ದಾಲ್ ಡಂಪ್ಲಿಂಗ್ಸ್)</t>
  </si>
  <si>
    <t>1 ಕಪ್ ಅರ್ಹರ್ ದಾಲ್ (ಒಡೆದ ದಾಲ್), 2 ಹಸಿರು ಮೆಣಸಿನಕಾಯಿ - ಕತ್ತರಿಸಿದ, 2 ಚಮಚ ತಾಜಾ ತೆಂಗಿನಕಾಯಿ - ತುರಿದ, 1 ಚಮಚ ಅರಿಶಿನ ಪುಡಿ (ಹಲ್ದಿ), 1 ಚಮಚ ಬೆಲ್ಲ, 1/2 ಕಪ್ ಹುಣಸೆ ನೀರು, 1 ಚಮಚ ಇಂಗು (ಹಿಂಗ್), ಉಪ್ಪು - ರುಚಿಗೆ, 1 ಚಮಚ ಬಿಳಿ ಉರಡ್ ದಾಲ್ (ಒಡೆ), 1 ಚಮಚ ಬೆಳ್ಳುಳ್ಳಿ, 1 ಚಮಚ ಬೆಳ್ಳುಳ್ಳಿ ತುಪ್ಪ</t>
  </si>
  <si>
    <t>1 cup Arhar dal (Split Toor Dal),2 Green Chilli - chopped,2 tablespoon Fresh coconut - grated,1 teaspoon Turmeric powder (Haldi),1 teaspoon Jaggery,1/2 cup Tamarind Water,1 teaspoon Asafoetida (hing),Salt - to taste,1 teaspoon White Urad Dal (Split),2 cloves Garlic - chopped,1 sprig Curry leaves,1 tablespoon Ghee</t>
  </si>
  <si>
    <t xml:space="preserve">To begin preparing Karnataka Style Sandige Huli Recipe, soak the dal in water for at least 3 hours and keep it. In a grinder add the dal without water and green chili to a coarse paste. Take more than half of the mixture and keep it aside in a bowl.Add some more water into the mixer and grind the mixture to a smooth paste and reserve for later use.To the coarsely ground dal mixture, add coconut grated, chopped coriander leaves hing, turmeric and mix well.Heat a kadai with oil, add mustard seeds allow it splutter for 10 seconds. Add the mixed toor dal mixture and keep sautéing for 2 minutes. Switch off the heat, allow it to rest for some time and start shaping them into balls.Heat a sauce pan with ghee, add mustard seeds and allow it to splutter for 10 seconds.Add the smoothly ground dal mixture, with chopped coriander, jaggery, tamarind water, salt and turmeric powder.You can add some more water to make the consistency thin. Check for salt and add the dumplings into the dal mixture. Allow it to boil for 10 minutes and switch off the heat.To temper, heat a small tempering kadai with oil and add the urad dal, garlic and saute until they become light brown. Add curry leaves and let it splutter and immediately pour it over the dal and serve. Serve the Sandige Huli Recipe along with hot steamed rice, palya and Crispy Palak Pakora Recipe to complete your rich meal.
</t>
  </si>
  <si>
    <t xml:space="preserve">ಕರ್ನಾಟಕ ಸ್ಟೈಲ್ ಸಂಡಿಗೆ ಹುಲಿ ರೆಸಿಪಿಯನ್ನು ತಯಾರಿಸಲು ಪ್ರಾರಂಭಿಸಲು, ಬೇಳೆಯನ್ನು ಕನಿಷ್ಠ 3 ಗಂಟೆಗಳ ಕಾಲ ನೀರಿನಲ್ಲಿ ನೆನೆಸಿಡಿ. ಗ್ರೈಂಡರ್‌ನಲ್ಲಿ ನೀರಿಲ್ಲದೆ ಬೇಳೆ ಮತ್ತು ಹಸಿಮೆಣಸಿನಕಾಯಿಯನ್ನು ಒರಟಾದ ಪೇಸ್ಟ್‌ಗೆ ಸೇರಿಸಿ. ಅರ್ಧಕ್ಕಿಂತ ಹೆಚ್ಚು ಮಿಶ್ರಣವನ್ನು ತೆಗೆದುಕೊಂಡು ಅದನ್ನು ಒಂದು ಬೌಲ್‌ನಲ್ಲಿ ಪಕ್ಕಕ್ಕೆ ಇರಿಸಿ. ಮಿಕ್ಸರ್‌ಗೆ ಸ್ವಲ್ಪ ಹೆಚ್ಚು ನೀರನ್ನು ಸೇರಿಸಿ ಮತ್ತು ಮಿಶ್ರಣವನ್ನು ನಯವಾದ ಪೇಸ್ಟ್‌ಗೆ ರುಬ್ಬಿಕೊಳ್ಳಿ ಮತ್ತು ನಂತರದ ಬಳಕೆಗೆ ಕಾಯ್ದಿರಿಸಿ. ಒರಟಾಗಿ ರುಬ್ಬಿದ ದಾಲ್ ಮಿಶ್ರಣಕ್ಕೆ, ತೆಂಗಿನ ತುರಿ, ಕತ್ತರಿಸಿದ ಕೊತ್ತಂಬರಿ ಸೊಪ್ಪು ಹಿಂಗ್, ಅರಿಶಿನ ಸೇರಿಸಿ ಮತ್ತು ಚೆನ್ನಾಗಿ ಮಿಶ್ರಣ ಮಾಡಿ. ಒಂದು ಕಡಾಯಿಯನ್ನು ಎಣ್ಣೆಯಿಂದ ಬಿಸಿ ಮಾಡಿ, 10 ಸೆಕೆಂಡ್ ಸಾಸಿವೆ ಸೇರಿಸಿ. ಕಲಸಿದ ದಾಲ್ ಮಿಶ್ರಣವನ್ನು ಸೇರಿಸಿ ಮತ್ತು 2 ನಿಮಿಷಗಳ ಕಾಲ ಹುರಿಯಿರಿ. ಉರಿಯನ್ನು ಆಫ್ ಮಾಡಿ, ಅದನ್ನು ಸ್ವಲ್ಪ ಸಮಯ ವಿಶ್ರಾಂತಿಗೆ ಬಿಡಿ ಮತ್ತು ಅವುಗಳನ್ನು ಚೆಂಡುಗಳಾಗಿ ರೂಪಿಸಲು ಪ್ರಾರಂಭಿಸಿ. ತುಪ್ಪದೊಂದಿಗೆ ಸಾಸ್ ಪ್ಯಾನ್ ಅನ್ನು ಬಿಸಿ ಮಾಡಿ, ಸಾಸಿವೆ ಸೇರಿಸಿ ಮತ್ತು 10 ಸೆಕೆಂಡುಗಳ ಕಾಲ ಅದನ್ನು ಚೆಲ್ಲಲು ಬಿಡಿ. ಕತ್ತರಿಸಿದ ಕೊತ್ತಂಬರಿ, ಬೆಲ್ಲ, ಹುಣಸೆ ನೀರು, ಉಪ್ಪು ಮತ್ತು ಅರಿಶಿನ ಪುಡಿಯೊಂದಿಗೆ ಸರಾಗವಾಗಿ ರುಬ್ಬಿದ ದಾಲ್ ಮಿಶ್ರಣವನ್ನು ಸೇರಿಸಿ. ಉಪ್ಪನ್ನು ಪರಿಶೀಲಿಸಿ ಮತ್ತು ಡಂಪ್ಲಿಂಗ್‌ಗಳನ್ನು ದಾಲ್ ಮಿಶ್ರಣಕ್ಕೆ ಸೇರಿಸಿ. ಇದನ್ನು 10 ನಿಮಿಷಗಳ ಕಾಲ ಕುದಿಸಲು ಅನುಮತಿಸಿ ಮತ್ತು ಶಾಖವನ್ನು ಆಫ್ ಮಾಡಿ. ಹದಗೊಳಿಸಲು, ಸಣ್ಣ ಹದಗೊಳಿಸುವ ಕಡಾಯಿಯನ್ನು ಎಣ್ಣೆಯೊಂದಿಗೆ ಬಿಸಿ ಮಾಡಿ ಮತ್ತು ಉದ್ದಿನಬೇಳೆ, ಬೆಳ್ಳುಳ್ಳಿ ಸೇರಿಸಿ ಮತ್ತು ಅವು ತಿಳಿ ಕಂದು ಬಣ್ಣ ಬರುವವರೆಗೆ ಹುರಿಯಿರಿ. ಕರಿಬೇವಿನ ಎಲೆಗಳನ್ನು ಸೇರಿಸಿ ಮತ್ತು ಅದನ್ನು ಚೆಲ್ಲಲು ಬಿಡಿ ಮತ್ತು ತಕ್ಷಣ ಅದನ್ನು ದಾಲ್ ಮೇಲೆ ಸುರಿಯಿರಿ ಮತ್ತು ಬಡಿಸಿ. ನಿಮ್ಮ ಶ್ರೀಮಂತ ಭೋಜನವನ್ನು ಪೂರ್ಣಗೊಳಿಸಲು ಸಂಡಿಗೆ ಹುಲಿ ರೆಸಿಪಿಯನ್ನು ಬಿಸಿ ಆವಿಯಲ್ಲಿ ಬೇಯಿಸಿದ ಅನ್ನ, ಪಲ್ಯ ಮತ್ತು ಕ್ರಿಸ್ಪಿ ಪಾಲಕ್ ಪಕೋರ ರೆಸಿಪಿ ಯೊಂದಿಗೆ ಬಡಿಸಿ.
</t>
  </si>
  <si>
    <t>https://www.archanaskitchen.com/karnataka-style-sandige-huli-recipe-toor-dal-dumplings-in-gravy-recipe</t>
  </si>
  <si>
    <t>Yele Kadubu Recipe With Sweet And Spicy Onion Chutney</t>
  </si>
  <si>
    <t>ಸಿಹಿ ಮತ್ತು ಮಸಾಲೆಯುಕ್ತ ಈರುಳ್ಳಿ ಚಟ್ನಿಯೊಂದಿಗೆ ಎಲೆ ಕಡುಬು ರೆಸಿಪಿ</t>
  </si>
  <si>
    <t>1-1/2 ಕಪ್ ಗೋಧಿ ಹಿಟ್ಟು, ನೀರು - ಅಗತ್ಯಕ್ಕೆ ತಕ್ಕಷ್ಟು, ಉಪ್ಪು - ರುಚಿಗೆ ತಕ್ಕಷ್ಟು, 3 ಚಮಚ ತುಪ್ಪ, ಸೂರ್ಯಕಾಂತಿ ಎಣ್ಣೆ - ಅಗತ್ಯಕ್ಕೆ ತಕ್ಕಷ್ಟು, 2 ಕೆಂಪು ಈರುಳ್ಳಿ, 10 ಲವಂಗ ಬೆಳ್ಳುಳ್ಳಿ, 1/4 ಟೀ ಚಮಚ ಮೆಂತ್ಯ ಬೀಜಗಳು (ಮೆಂತ್ಯ ಬೀಜಗಳು), 10 ಒಣ ಕೆಂಪು ಮೆಣಸಿನಕಾಯಿಗಳು - ಹೊಂದಾಣಿಕೆ, 1 ಚಮಚ ಹುಣಸೆ ಪುಡಿ - 1 ಚಮಚ ಹುಣಸೆ ಪುಡಿ ಅಗತ್ಯ, ಉಪ್ಪು - ರುಚಿಗೆ</t>
  </si>
  <si>
    <t>1-1/2 cups Whole Wheat Flour,Water - as required,Salt - to taste,3 tablespoons Ghee,Sunflower Oil - as required,2 Red onion,10 cloves Garlic,1/4 teaspoon Methi Seeds (Fenugreek Seeds),10 Dry Red Chillies - adjustable,1 tablespoon Tamarind Paste,5 tablespoons Jaggery - powdered,Sunflower Oil - as required,Salt - to taste</t>
  </si>
  <si>
    <t xml:space="preserve">To begin making the Yele Kadubu Recipe With Sweet And Spicy Onion Chutney, we will firstly make the Yele Kadubu.Mix the wheat flour, salt, and ghee into a mixing bowl. Mix everything and gradually add water to form a dough. Once done, keep it aside for 10 minutes. Take a lemon size dough and roll it like a phulka. Fold it twice like a triangular shape and make triangles like this for the remaining dough too.Grease an idli steamer and put these Yele Kadubu into it. Steam the Yele Kadubu for 8 to 10 minutes and they are ready to be served.The next step is to make the chutney for Yele Kadubu.Heat oil in a heavy bottomed pan. Add onion, garlic, fenugreek seeds and dry red chillies and cook till the onions become soft and translucent.Switch off the heat and let the onion chutney mixture cool down a bit. Add this mix into a mixie grinder and add jaggery, salt and tamarind and grind it to smooth paste.Do not add water to this Sweet And Spicy Onion Chutney. Once done, take the Sweet And Spicy Onion Chutney out in a bowl and serve with the Yele kadubu.Serve Yele Kadubu  Recipe With Sweet And Spicy Onion Chutney on its own for breakfast or tea time snacks along with Filter Coffee and Masala Chai.
</t>
  </si>
  <si>
    <t xml:space="preserve">ಸಿಹಿ ಮತ್ತು ಮಸಾಲೆಯುಕ್ತ ಈರುಳ್ಳಿ ಚಟ್ನಿಯೊಂದಿಗೆ ಎಲೆ ಕಡುಬು ಪಾಕವಿಧಾನವನ್ನು ತಯಾರಿಸಲು ಪ್ರಾರಂಭಿಸಲು, ನಾವು ಮೊದಲು ಎಲೆ ಕಡುಬು ತಯಾರಿಸುತ್ತೇವೆ. ಗೋಧಿ ಹಿಟ್ಟು, ಉಪ್ಪು ಮತ್ತು ತುಪ್ಪವನ್ನು ಮಿಶ್ರಣ ಮಾಡುವ ಬಟ್ಟಲಿನಲ್ಲಿ ಮಿಶ್ರಣ ಮಾಡಿ. ಎಲ್ಲವನ್ನೂ ಮಿಶ್ರಣ ಮಾಡಿ ಮತ್ತು ಕ್ರಮೇಣ ನೀರನ್ನು ಸೇರಿಸಿ ಹಿಟ್ಟನ್ನು ರೂಪಿಸಿ. ಒಮ್ಮೆ ಮಾಡಿದ ನಂತರ, ಅದನ್ನು 10 ನಿಮಿಷಗಳ ಕಾಲ ಪಕ್ಕಕ್ಕೆ ಇರಿಸಿ. ನಿಂಬೆ ಗಾತ್ರದ ಹಿಟ್ಟನ್ನು ತೆಗೆದುಕೊಂಡು ಅದನ್ನು ಫುಲ್ಕಾದಂತೆ ಸುತ್ತಿಕೊಳ್ಳಿ. ಇದನ್ನು ತ್ರಿಕೋನ ಆಕಾರದಲ್ಲಿ ಎರಡು ಬಾರಿ ಮಡಚಿ ಉಳಿದ ಹಿಟ್ಟಿಗೆ ಈ ರೀತಿಯ ತ್ರಿಕೋನಗಳನ್ನು ಮಾಡಿ. ಇಡ್ಲಿ ಸ್ಟೀಮರ್ ಅನ್ನು ಗ್ರೀಸ್ ಮಾಡಿ ಮತ್ತು ಈ ಎಲೆ ಕಡುಬುಗಳನ್ನು ಹಾಕಿ. ಎಲೆ ಕಡುಬುವನ್ನು 8 ರಿಂದ 10 ನಿಮಿಷಗಳ ಕಾಲ ಸ್ಟೀಮ್ ಮಾಡಿ ಮತ್ತು ಅವು ಬಡಿಸಲು ಸಿದ್ಧವಾಗಿವೆ. ಮುಂದಿನ ಹಂತವೆಂದರೆ ಎಲೆ ಕಡುಬುಗೆ ಚಟ್ನಿ ಮಾಡುವುದು. ದಪ್ಪ ತಳವಿರುವ ಪ್ಯಾನ್‌ನಲ್ಲಿ ಎಣ್ಣೆಯನ್ನು ಬಿಸಿ ಮಾಡಿ. ಈರುಳ್ಳಿ, ಬೆಳ್ಳುಳ್ಳಿ, ಮೆಂತ್ಯ ಬೀಜಗಳು ಮತ್ತು ಒಣ ಕೆಂಪು ಮೆಣಸಿನಕಾಯಿಗಳನ್ನು ಸೇರಿಸಿ ಮತ್ತು ಈರುಳ್ಳಿ ಮೃದು ಮತ್ತು ಅರೆಪಾರದರ್ಶಕವಾಗುವವರೆಗೆ ಬೇಯಿಸಿ. ಉರಿಯನ್ನು ಆಫ್ ಮಾಡಿ ಮತ್ತು ಈರುಳ್ಳಿ ಚಟ್ನಿ ಮಿಶ್ರಣವನ್ನು ಸ್ವಲ್ಪ ತಣ್ಣಗಾಗಲು ಬಿಡಿ. ಈ ಮಿಶ್ರಣವನ್ನು ಮಿಕ್ಸಿ ಗ್ರೈಂಡರ್‌ಗೆ ಸೇರಿಸಿ ಮತ್ತು ಬೆಲ್ಲ, ಉಪ್ಪು ಮತ್ತು ಹುಣಸೆಹಣ್ಣು ಸೇರಿಸಿ ಮತ್ತು ನಯವಾದ ಪೇಸ್ಟ್‌ಗೆ ರುಬ್ಬಿಕೊಳ್ಳಿ. ಈ ಸಿಹಿ ಮತ್ತು ಮಸಾಲೆಯುಕ್ತ ಈರುಳ್ಳಿ ಚಟ್ನಿಗೆ ನೀರನ್ನು ಸೇರಿಸಬೇಡಿ. ಒಮ್ಮೆ ಮಾಡಿದ ನಂತರ, ಸಿಹಿ ಮತ್ತು ಮಸಾಲೆಯುಕ್ತ ಈರುಳ್ಳಿ ಚಟ್ನಿಯನ್ನು ಒಂದು ಬಟ್ಟಲಿನಲ್ಲಿ ತೆಗೆದುಕೊಂಡು ಎಲೆ ಕಡುಬು ಜೊತೆಗೆ ಬಡಿಸಿ. ಸಿಹಿ ಮತ್ತು ಮಸಾಲೆಯುಕ್ತ ಈರುಳ್ಳಿ ಚಟ್ನಿಯೊಂದಿಗೆ ಏಲೆ ಕಡುಬು  ರೆಸಿಪಿಯನ್ನು ತನ್ನದೇ ಉಪಾಹಾರಕ್ಕಾಗಿ ಅಥವಾ ಟೀ ಟೈಮ್ ಸ್ನ್ಯಾಕ್ಸ್ ಜೊತೆಗೆ ಫಿಲ್ಟರ್ ಕಾಫಿ ಮತ್ತು ಮಸಾಲಾ ಚಾಯ್ ನೊಂದಿಗೆ ಬಡಿಸಿ.
</t>
  </si>
  <si>
    <t>http://www.archanaskitchen.com/yele-kadubu-recipe-with-sweet-and-spicy-onion-chutney</t>
  </si>
  <si>
    <t>Banana Stem Poriyal Recipe With Curry Powder</t>
  </si>
  <si>
    <t>ಕರಿ ಪುಡಿಯೊಂದಿಗೆ ಬಾಳೆ ಕಾಂಡದ ಪೊರಿಯಾಲ್ ರೆಸಿಪಿ</t>
  </si>
  <si>
    <t>1 ಬಾಳೆ ಕಾಂಡ - ಹೊರ ಪದರ ತೆಗೆದು ಕತ್ತರಿಸಿದ, 1 ಈರುಳ್ಳಿ - ಕತ್ತರಿಸಿದ, 1-1/2 ಟೀಚಮಚ ಕೆಂಪು ಮೆಣಸಿನ ಪುಡಿ, 1-1/2 ಟೀಚಮಚ ಕರಿ ಪುಡಿ, 1 ಚಿಟಿಕೆ ಅರಿಶಿನ ಪುಡಿ (ಹಲ್ದಿ), 1 ಟೀಚಮಚ ಜೀರಿಗೆ ಪುಡಿ (ಜೀರಾ), 2 ಟೀ ಚಮಚ ಮೊಸರು (ದಹಿ / ಮೊಸರು), ಉಪ್ಪು - 2 ಚಮಚ ಹಿಟ್ಟು, 2 ಟೀ ಚಮಚ ಹಿಟ್ಟು ಸಾಸಿವೆ, 1 ಟೀಚಮಚ ಜೀರಿಗೆ (ಜೀರಾ), 2 ಚಿಗುರು ಕರಿಬೇವಿನ ಎಲೆಗಳು</t>
  </si>
  <si>
    <t>1 Banana Stem - outer layer removed and chopped,1 Onion - chopped,1-1/2 teaspoons Red Chilli powder,1-1/2 teaspoons Curry powder,1 pinch Turmeric powder (Haldi),1 teaspoon Cumin powder (Jeera),2 teaspoons Curd (Dahi / Yogurt),Salt - to taste,2 teaspoons Gram flour (besan),2 teaspoons Sunflower Oil,1 teaspoon Mustard seeds,1 teaspoon Cumin seeds (Jeera),2 sprig Curry leaves</t>
  </si>
  <si>
    <t xml:space="preserve">To begin making Banana Stem Sabzi Recipe With Curry Powder, prep all the ingredients first. Then make cuts on the layer of banana stem and then discard the outer covering.Slice the banana stem and as you do, you will find the fibre coming out every time you slice into stem, keep taking them out while proceeding. Once sliced, take each slice and chop them to about 1 cm pieces.Take a kadai and heat cooking oil in it. Once the oil is hot, add the mustard seeds and allow them to splutter. Once they do splutter, add in the cumin seeds and allow to sizzle.Add curry leaves immediately and saute for a bit on medium heat till the curry leaves crisp up a bit.Add the chopped onions, and keep sauteing on medium heat until they turn translucent.Add in the chopped banana stem pieces and cook with a bit of water. Cook covered till the banana stem is softened and cooked. You can opt to undercook the banana stem as well, depending on your preference. The sabzi will be crunchier if the stem is undercooked.Once done, add the spices, cumin powder, curry powder or sambar powder, red chilli powder, besan (adding besan is optional. I used it to soak the extra water added), salt and give a nice stir till combined.Keep on medium heat for 1-2 minutes, check for seasoning and adjust. Switch off heat.Serve Banana Stem Sabzi Recipe With Curry Powder along with Lobia Masala Recipe (Black Eyed Bean Curry), Phulka and Indian Vegetable Salad Recipe for lunch or dinner.
</t>
  </si>
  <si>
    <t xml:space="preserve">ಕರಿ ಪುಡಿಯೊಂದಿಗೆ ಬಾಳೆ ಕಾಂಡದ ಸಬ್ಜಿ ರೆಸಿಪಿಯನ್ನು ತಯಾರಿಸಲು ಪ್ರಾರಂಭಿಸಲು, ಮೊದಲು ಎಲ್ಲಾ ಪದಾರ್ಥಗಳನ್ನು ತಯಾರಿಸಿ. ನಂತರ ಬಾಳೆ ಕಾಂಡದ ಪದರದ ಮೇಲೆ ಕಟ್ ಮಾಡಿ ಮತ್ತು ನಂತರ ಹೊರ ಹೊದಿಕೆಯನ್ನು ತ್ಯಜಿಸಿ. ಬಾಳೆ ಕಾಂಡವನ್ನು ಸ್ಲೈಸ್ ಮಾಡಿ ಮತ್ತು ನೀವು ಮಾಡುವಂತೆ, ನೀವು ಪ್ರತಿ ಬಾರಿ ಕಾಂಡಕ್ಕೆ ಸ್ಲೈಸ್ ಮಾಡಿದಾಗ ಫೈಬರ್ ಹೊರಬರುವುದನ್ನು ನೀವು ಕಾಣಬಹುದು, ಮುಂದುವರೆಯುವಾಗ ಅವುಗಳನ್ನು ತೆಗೆದುಕೊಳ್ಳುತ್ತಲೇ ಇರಿ. ಒಮ್ಮೆ ಕತ್ತರಿಸಿದ ನಂತರ, ಪ್ರತಿ ಸ್ಲೈಸ್ ಅನ್ನು ತೆಗೆದುಕೊಂಡು ಅವುಗಳನ್ನು ಸುಮಾರು 1 ಸೆಂ ತುಂಡುಗಳಾಗಿ ಕತ್ತರಿಸಿ. ಒಂದು ಕಡಾಯಿ ತೆಗೆದುಕೊಂಡು ಅದರಲ್ಲಿ ಅಡುಗೆ ಎಣ್ಣೆಯನ್ನು ಬಿಸಿ ಮಾಡಿ. ಎಣ್ಣೆ ಬಿಸಿಯಾದ ನಂತರ, ಸಾಸಿವೆ ಹಾಕಿ ಮತ್ತು ಅವುಗಳನ್ನು ಚೆಲ್ಲಲು ಬಿಡಿ. ಒಮ್ಮೆ ಅವರು ಸ್ಪ್ಲಟರ್ ಮಾಡಿದ ನಂತರ, ಜೀರಿಗೆ ಬೀಜಗಳನ್ನು ಸೇರಿಸಿ ಮತ್ತು ಕುದಿಸಲು ಅನುಮತಿಸಿ. ಕರಿಬೇವಿನ ಎಲೆಗಳನ್ನು ತಕ್ಷಣವೇ ಸೇರಿಸಿ ಮತ್ತು ಕರಿಬೇವಿನ ಎಲೆಗಳು ಸ್ವಲ್ಪ ಗರಿಗರಿಯಾಗುವವರೆಗೆ ಮಧ್ಯಮ ಉರಿಯಲ್ಲಿ ಸ್ವಲ್ಪ ಹುರಿಯಿರಿ. ಕತ್ತರಿಸಿದ ಈರುಳ್ಳಿ ಸೇರಿಸಿ, ಮತ್ತು ಅವು ಅರೆಪಾರದರ್ಶಕವಾಗುವವರೆಗೆ ಮಧ್ಯಮ ಉರಿಯಲ್ಲಿ ಹುರಿಯಿರಿ. ಕತ್ತರಿಸಿದ ಬಾಳೆ ಕಾಂಡದ ತುಂಡುಗಳಲ್ಲಿ ಸೇರಿಸಿ ಮತ್ತು ಸ್ವಲ್ಪ ನೀರಿನಲ್ಲಿ ಬೇಯಿಸಿ. ಬಾಳೆ ಕಾಂಡವನ್ನು ಮೃದುಗೊಳಿಸಿ ಬೇಯಿಸುವವರೆಗೆ ಮುಚ್ಚಿ ಬೇಯಿಸಿ. ನಿಮ್ಮ ಆದ್ಯತೆಗೆ ಅನುಗುಣವಾಗಿ ಬಾಳೆ ಕಾಂಡವನ್ನು ಕಡಿಮೆ ಮಾಡಲು ನೀವು ಆಯ್ಕೆ ಮಾಡಬಹುದು. ಕಾಂಡವು ಬೇಯದಿದ್ದರೆ ಸಬ್ಜಿ ಕುರುಕಲು ಆಗುತ್ತದೆ. ಒಮ್ಮೆ ಮಾಡಿದ ನಂತರ, ಮಸಾಲೆಗಳು, ಜೀರಿಗೆ ಪುಡಿ, ಕರಿ ಪುಡಿ ಅಥವಾ ಸಾಂಬಾರ್ ಪುಡಿ, ಕೆಂಪು ಮೆಣಸಿನ ಪುಡಿ, ಬೇಸನ್ ಸೇರಿಸಿ (ಬೇಸನ್ ಸೇರಿಸುವುದು ಐಚ್ಛಿಕವಾಗಿದೆ. ಹೆಚ್ಚುವರಿ ನೀರನ್ನು ಸೇರಿಸಲು ನಾನು ಇದನ್ನು ಬಳಸಿದ್ದೇನೆ), ಉಪ್ಪು ಮತ್ತು ಮಿಶ್ರಣವಾಗುವವರೆಗೆ ಚೆನ್ನಾಗಿ ಬೆರೆಸಿ. 1-2 ನಿಮಿಷಗಳ ಕಾಲ ಮಧ್ಯಮ ಉರಿಯಲ್ಲಿ ಇರಿಸಿ ಮತ್ತು 1-2 ನಿಮಿಷಗಳ ಕಾಲ ಸರಿಹೊಂದಿಸಿ. ಶಾಖವನ್ನು ಆಫ್ ಮಾಡಿ. ಲೋಬಿಯಾ ಮಸಾಲಾ ರೆಸಿಪಿ (ಬ್ಲ್ಯಾಕ್ ಐಡ್ ಬೀನ್ ಕರಿ), ಫುಲ್ಕಾ ಮತ್ತು ಭಾರತೀಯ ತರಕಾರಿ ಸಲಾಡ್ ರೆಸಿಪಿ ಜೊತೆಗೆ ಕರಿ ಪುಡಿಯೊಂದಿಗೆ ಬನಾನಾ ಸ್ಟೆಮ್ ಸಬ್ಜಿ ರೆಸಿಪಿಯನ್ನು ಊಟಕ್ಕೆ ಅಥವಾ ರಾತ್ರಿಯ ಊಟಕ್ಕೆ ಬಡಿಸಿ.
</t>
  </si>
  <si>
    <t>https://www.archanaskitchen.com/banana-stem-sabzi-recipe-with-curry-powder</t>
  </si>
  <si>
    <t>Karnataka Style Majjige Huli Recipe - Tasty Buttermilk Rasam</t>
  </si>
  <si>
    <t>ಕರ್ನಾಟಕ ಸ್ಟೈಲ್ ಮಜ್ಜಿಗೆ ಹುಲಿ ರೆಸಿಪಿ - ಟೇಸ್ಟಿ ಮಜ್ಜಿಗೆ ರಸಂ</t>
  </si>
  <si>
    <t>2 ಕಪ್ ಮಜ್ಜಿಗೆ, 1 ಈರುಳ್ಳಿ - ಸ್ಲೈಸ್, 5 ಒಣ ಮೆಣಸಿನಕಾಯಿಗಳು - (ತುರಿದ ಆಧಾರದ ಮೇಲೆ ರುಚಿಗೆ ಹೊಂದಿಸಿ), 1 ಇಂಚಿನ ಶುಂಠಿ - ತುರಿದ, 10 ಲವಂಗ ಬೆಳ್ಳುಳ್ಳಿ, 1 ಚಮಚ ಕೊತ್ತಂಬರಿ ಪುಡಿ (ಧನಿಯಾ), 1 ಚಮಚ ಕರಿಮೆಣಸಿನ ಪುಡಿ, 2 ಚಮಚ ತಾಜಾ ತೆಂಗಿನಕಾಯಿ, 2 ಚಮಚ ಉಪ್ಪು, 1 ಚಮಚ ಸೂರ್ಯಕಾಂತಿ ಎಣ್ಣೆ, 1 ಚಮಚ ಸೂರ್ಯಕಾಂತಿ ಎಣ್ಣೆ, 1 ಚಮಚ ಕರಿಬೇವಿನ ಎಲೆಗಳು</t>
  </si>
  <si>
    <t>2 cups Buttermilk,1 Onion - sliced,5 Dry Red Chillies - (adjust to taste based on pungency),1 inch Ginger - grated,10 cloves Garlic,1 tablespoon Coriander Powder (Dhania),1 tablespoon Black pepper powder,2 tablespoon Fresh coconut,2 tablespoon Salt,1 tablespoon Sunflower Oil,1 tablespoon Mustard seeds,1/2 tablespoon Cumin seeds (Jeera),5 Curry leaves</t>
  </si>
  <si>
    <t xml:space="preserve">To begin making Karnataka Style Majjige Huli Recipe, keep all the ingredients ready. Whisk buttermilk in a mixing bowl for a few seconds until smoothIn a mixer, grind together red chillies, ginger, half of the garlic, coriander powder, pepper powder, cumin seeds, and grated coconut with a little water. Grind into a fine paste.Add this paste into the whisked buttermilk and keep aside.Now take a tadka pan. Heat a bit of cooking oil for tadka. Once the oil is hot, add mustard seeds and wait for a few seconds to splutter.Immediately add two red chillies, remaining garlic cloves, and saute a bit till garlic cloves are fried.Add curry leaves, and let them splutter.Add in the sliced onions and stir well till the onions are golden brown and caramelized.Once onions are caramelized, switch off heat and add the tadka mixture to buttermilk in the mixing bowl and stir well.Add salt to taste and stir in well till dissolved. Do a taste check and adjust.Now the yummy Karnataka Style Majjige Huli Recipe (Tasty Buttermilk Rasam) is ready to be served with Harive Soppina Saaru Recipe, Instant Carrot Pickle Recipe, steamed rice and Akki Peni Sandige (Rice idiyappam Fryums) for a hearty lunch.
</t>
  </si>
  <si>
    <t xml:space="preserve">ಕರ್ನಾಟಕ ಶೈಲಿಯ ಮಜ್ಜಿಗೆ ಹುಲಿ ಪಾಕವಿಧಾನವನ್ನು ತಯಾರಿಸಲು ಪ್ರಾರಂಭಿಸಲು, ಎಲ್ಲಾ ಪದಾರ್ಥಗಳನ್ನು ಸಿದ್ಧವಾಗಿಡಿ. ಮಿಕ್ಸಿಂಗ್ ಬೌಲ್‌ನಲ್ಲಿ ಕೆಲವು ಸೆಕೆಂಡುಗಳ ಕಾಲ ಮಜ್ಜಿಗೆಯನ್ನು ನಯವಾದ ತನಕ ಮಿಕ್ಸರ್‌ನಲ್ಲಿ, ಕೆಂಪು ಮೆಣಸಿನಕಾಯಿ, ಶುಂಠಿ, ಬೆಳ್ಳುಳ್ಳಿಯ ಅರ್ಧದಷ್ಟು, ಕೊತ್ತಂಬರಿ ಪುಡಿ, ಕಾಳುಮೆಣಸಿನ ಪುಡಿ, ಜೀರಿಗೆ ಮತ್ತು ತುರಿದ ತೆಂಗಿನಕಾಯಿಯನ್ನು ಸ್ವಲ್ಪ ನೀರಿನೊಂದಿಗೆ ಒಟ್ಟಿಗೆ ರುಬ್ಬಿಕೊಳ್ಳಿ. ನುಣ್ಣಗೆ ಪೇಸ್ಟ್ ಆಗಿ ರುಬ್ಬಿಕೊಳ್ಳಿ.ಈ ಪೇಸ್ಟ್ ಅನ್ನು ಹಾಲಿನ ಮಜ್ಜಿಗೆಗೆ ಸೇರಿಸಿ ಮತ್ತು ಪಕ್ಕಕ್ಕೆ ಇರಿಸಿ. ಈಗ ತಡ್ಕಾ ಪ್ಯಾನ್ ತೆಗೆದುಕೊಳ್ಳಿ. ತಡ್ಕಾಗೆ ಸ್ವಲ್ಪ ಅಡುಗೆ ಎಣ್ಣೆಯನ್ನು ಬಿಸಿ ಮಾಡಿ. ಎಣ್ಣೆ ಬಿಸಿಯಾದ ನಂತರ, ಸಾಸಿವೆ ಹಾಕಿ ಮತ್ತು ಚಿಮುಕಿಸಲು ಕೆಲವು ಸೆಕೆಂಡುಗಳ ಕಾಲ ಕಾಯಿರಿ. ತಕ್ಷಣ ಎರಡು ಕೆಂಪು ಮೆಣಸಿನಕಾಯಿಗಳು, ಉಳಿದ ಬೆಳ್ಳುಳ್ಳಿ ಎಸಳುಗಳನ್ನು ಸೇರಿಸಿ ಮತ್ತು ಬೆಳ್ಳುಳ್ಳಿ ಲವಂಗವನ್ನು ಹುರಿಯುವವರೆಗೆ ಸ್ವಲ್ಪ ಹುರಿಯಿರಿ. ಕರಿಬೇವಿನ ಎಲೆಗಳನ್ನು ಸೇರಿಸಿ, ಮತ್ತು ಅವುಗಳನ್ನು ಚಿಮುಕಿಸಲು ಬಿಡಿ. ಕತ್ತರಿಸಿದ ಈರುಳ್ಳಿಯನ್ನು ಸೇರಿಸಿ ಮತ್ತು ಈರುಳ್ಳಿ ಗೋಲ್ಡನ್ ಆಗುವವರೆಗೆ ಚೆನ್ನಾಗಿ ಬೆರೆಸಿ, ಕಾರಮೇಲ್ ಸೇರಿಸಿ ತಡ್ಕಾ ಮಿಶ್ರಣವನ್ನು ಮಜ್ಜಿಗೆಗೆ ಮಿಶ್ರಣ ಮಾಡುವ ಬಟ್ಟಲಿನಲ್ಲಿ ಮತ್ತು ಚೆನ್ನಾಗಿ ಬೆರೆಸಿ. ರುಚಿಗೆ ಉಪ್ಪು ಸೇರಿಸಿ ಮತ್ತು ಕರಗುವ ತನಕ ಚೆನ್ನಾಗಿ ಬೆರೆಸಿ. ರುಚಿಯನ್ನು ಪರಿಶೀಲಿಸಿ ಮತ್ತು ಹೊಂದಿಸಿ. ಈಗ ರುಚಿಕರವಾದ ಕರ್ನಾಟಕ ಶೈಲಿಯ ಮಜ್ಜಿಗೆ ಹುಲಿ ರೆಸಿಪಿ (ಟೇಸ್ಟಿ ಮಜ್ಜಿಗೆ ರಸಂ) ಹರಿವೆ ಸೊಪ್ಪಿನ ಸಾರು ರೆಸಿಪಿ, ಇನ್‌ಸ್ಟಂಟ್ ಕ್ಯಾರಟ್ ಉಪ್ಪಿನಕಾಯಿ ರೆಸಿಪಿ, ಆವಿಯಲ್ಲಿ ಬೇಯಿಸಿದ ಅನ್ನ ಮತ್ತು ಅಕ್ಕಿ ಪೇಣಿ ಸಂಡಿಗೆ (ಅಕ್ಕಿ ಇಡಿಯಪ್ಪಂ) ಖಾದ್ಯದೊಂದಿಗೆ ಬಡಿಸಲು ಸಿದ್ಧವಾಗಿದೆ.
</t>
  </si>
  <si>
    <t>https://www.archanaskitchen.com/karnataka-style-majjige-huli-recipe-tasty-buttermilk-rasam</t>
  </si>
  <si>
    <t>Karwar NKGSB Style Bharli Vangi Recipe - Brinjal Curry</t>
  </si>
  <si>
    <t>ಕಾರವಾರ NKGSB ಸ್ಟೈಲ್ ಭರ್ಲಿ ವಾಂಗಿ ರೆಸಿಪಿ - ಬದನೆ ಕರಿ</t>
  </si>
  <si>
    <t>6 ಬದನೆಕಾಯಿ (ಬೈಂಗನ್ / ಬದನೆ), 2 ಆಲೂಗಡ್ಡೆ (ಆಲೂ), 1-1/2 ಈರುಳ್ಳಿ - ನುಣ್ಣಗೆ ಕತ್ತರಿಸಿದ, 1 ಕಪ್ ತಾಜಾ ತೆಂಗಿನಕಾಯಿ - ತುರಿದ, 1/2 ಟೀಚಮಚ ಅರಿಶಿನ ಪುಡಿ (ಹಾಲ್ಡಿ), 3/4 ಟೀಚಮಚ ಹುಣಸೆಹಣ್ಣು, 3 ಲವಂಗ ಬೆಳ್ಳುಳ್ಳಿ, 1/2 ಇಂಚು ಶುಂಠಿ, 2 ಚಮಚ ಬೆಲ್ಲ (4 ಕಪ್ ಬೆಲ್ಲ, 1 ಕಪ್ ಬೆಲ್ಲ), ಎಲೆಗಳು - ಕತ್ತರಿಸಿದ, ಉಪ್ಪು - ರುಚಿಗೆ, 2 ಲವಂಗ (ಲಾಂಗ್), 1 ಇಂಚು ದಾಲ್ಚಿನ್ನಿ ಕಡ್ಡಿ (ದಾಲ್ಚಿನಿ), 1 ಏಲಕ್ಕಿ (ಎಲೈಚಿ) ಕಾಳುಗಳು / ಬೀಜಗಳು, 2 ಸಂಪೂರ್ಣ ಕಪ್ಪು ಮೆಣಸು, 3 ಬ್ಯಾಡಗಿ ಒಣಗಿದ ಮೆಣಸಿನಕಾಯಿಗಳು, 1 ಚಮಚ ಸೂರ್ಯಕಾಂತಿ ಎಣ್ಣೆ, 1 ಈರುಳ್ಳಿ - ತೆಳುವಾಗಿ ಕತ್ತರಿಸಿದ 1 ಚಮಚ, 1 ಚಮಚ ತೆಂಗಿನಕಾಯಿ, 1 ಚಮಚ ಸಾಸಿವೆ, 1/4 ಟೀಚಮಚ ಇಂಗು (ಹಿಂಗ್), 1 ಚಿಗುರು ಕರಿಬೇವಿನ ಎಲೆಗಳು</t>
  </si>
  <si>
    <t>6 Brinjal (Baingan / Eggplant),2 Potato (Aloo),1-1/2 Onion - finely chopped,1 cup Fresh coconut - grated,1/2 teaspoon Turmeric powder (Haldi),3/4 teaspoon Tamarind,3 cloves Garlic,1/2 inch Ginger,2 tablespoons Jaggery,1 teaspoon Gram flour (besan),1/4 cup Coriander (Dhania) Leaves - chopped,Salt - to taste,2 Cloves (Laung),1 inch Cinnamon Stick (Dalchini),1 Cardamom (Elaichi) Pods/Seeds,2 Whole Black Peppercorns,3 Byadagi Dried Chillies,1 tablespoon Sunflower Oil,1 Onion - thinly sliced,1 cup Fresh coconut - grated,1 tablespoon Sunflower Oil,1/2 teaspoon Mustard seeds,1/4 teaspoon Asafoetida (hing),1 sprig Curry leaves</t>
  </si>
  <si>
    <t xml:space="preserve">To begin making the Karwar NKGSB Style Bharli Vangi Recipe - Brinjal Curry, firstly wash the brinjals thoroughly with water.Cut off the stem and make two semi slits in it from the top to get a + sign. This is for stuffing the masala. Immerse in sufficient water till use. Cut the potatoes into thick wedges or large chunks and immerse in sufficient water.Next, heat a small kadhai and add the oil. Add to it the mentioned whole spices including cloves, cardamom, cinnamon stick, whole black peppercorns, byadgi red chillies and roast a little till they splutter. Remove from heat and set aside to cool.Heat some oil in the same pan, add sliced onions and saute till they turn soft and transparent.Now add the coconut and roast for a while. As soon as the coconut browns a little, switch off the flame and set aside to cool.Grind together the roasted onion coconut mixture, the roasted whole spices, ginger, garlic, tamarind and jaggery in the end using sufficient water to get a thick paste.Mix the besan in the above mixture. It helps in thickening the gravy.Add the turmeric powder, chopped onions and salt as well, to the above mixture. Add some chilli powder if desired.Stuff the vaangi (baingan) with this masala and keep them aside.Heat a pressure cooker and add the oil to it. Add the mustard seeds. When they splutter add the asafoetida and the curry leaves.After 20 seconds, add the stuffed brinjals, potatoes and the remaining masala. Stir a little.Add water almost upto the level of the vegetable. Close lid and cook for 3 whistles on high flame or if cooking in a saucepan, cook adding hot water as required.When the brinjals and potatoes are well cooked and the gravy has thickened, transfer to a serving bowl and garnish with chopped coriander.Serve Karwar NKGSB Style Bharli Vangi Recipe - Brinjal Curry along with Vali Bhaji Ambat and Steamed Rice for a weekday meal with your family.
</t>
  </si>
  <si>
    <t xml:space="preserve">ಕಾರವಾರ NKGSB ಶೈಲಿಯ ಭರ್ಲಿ ವಾಂಗಿ ರೆಸಿಪಿ - ಬದನೆಕಾಯಿ ಕರಿ ತಯಾರಿಸಲು ಪ್ರಾರಂಭಿಸಲು, ಮೊದಲು ಬದನೆಕಾಯಿಯನ್ನು ನೀರಿನಿಂದ ಚೆನ್ನಾಗಿ ತೊಳೆಯಿರಿ. ಕಾಂಡವನ್ನು ಕತ್ತರಿಸಿ ಮತ್ತು ಮೇಲಿನಿಂದ ಎರಡು ಅರೆ ಸೀಳುಗಳನ್ನು ಮಾಡಿ + ಚಿಹ್ನೆಯನ್ನು ಪಡೆಯಿರಿ. ಇದು ಮಸಾಲವನ್ನು ತುಂಬಲು. ಬಳಕೆಯಾಗುವವರೆಗೆ ಸಾಕಷ್ಟು ನೀರಿನಲ್ಲಿ ಮುಳುಗಿಸಿ. ಆಲೂಗಡ್ಡೆಯನ್ನು ದಪ್ಪ ತುಂಡುಗಳಾಗಿ ಅಥವಾ ದೊಡ್ಡ ತುಂಡುಗಳಾಗಿ ಕತ್ತರಿಸಿ ಮತ್ತು ಸಾಕಷ್ಟು ನೀರಿನಲ್ಲಿ ಮುಳುಗಿಸಿ. ನಂತರ, ಸಣ್ಣ ಕಡಾಯಿಯನ್ನು ಬಿಸಿ ಮಾಡಿ ಮತ್ತು ಎಣ್ಣೆಯನ್ನು ಸೇರಿಸಿ. ಲವಂಗ, ಏಲಕ್ಕಿ, ದಾಲ್ಚಿನ್ನಿ ಕಡ್ಡಿ, ಸಂಪೂರ್ಣ ಕರಿಮೆಣಸು, ಕೆಂಪು ಮೆಣಸಿನಕಾಯಿಗಳು ಸೇರಿದಂತೆ ಉಲ್ಲೇಖಿಸಲಾದ ಸಂಪೂರ್ಣ ಮಸಾಲೆಗಳನ್ನು ಸೇರಿಸಿ ಮತ್ತು ಅವು ಚಿಮುಕಿಸುವವರೆಗೆ ಸ್ವಲ್ಪ ಹುರಿಯಿರಿ. ಶಾಖದಿಂದ ತೆಗೆದುಹಾಕಿ ಮತ್ತು ತಣ್ಣಗಾಗಲು ಪಕ್ಕಕ್ಕೆ ಇರಿಸಿ. ಅದೇ ಪ್ಯಾನ್‌ನಲ್ಲಿ ಸ್ವಲ್ಪ ಎಣ್ಣೆಯನ್ನು ಬಿಸಿ ಮಾಡಿ, ಕತ್ತರಿಸಿದ ಈರುಳ್ಳಿ ಸೇರಿಸಿ ಮತ್ತು ಮೃದುವಾದ ಮತ್ತು ಪಾರದರ್ಶಕವಾಗುವವರೆಗೆ ಹುರಿಯಿರಿ. ಈಗ ತೆಂಗಿನಕಾಯಿಯನ್ನು ಸೇರಿಸಿ ಮತ್ತು ಸ್ವಲ್ಪ ಹುರಿಯಿರಿ. ತೆಂಗಿನಕಾಯಿ ಸ್ವಲ್ಪ ಕಂದುಬಣ್ಣವಾದ ತಕ್ಷಣ, ಜ್ವಾಲೆಯನ್ನು ಆಫ್ ಮಾಡಿ ಮತ್ತು ತಣ್ಣಗಾಗಲು ಪಕ್ಕಕ್ಕೆ ಇರಿಸಿ. ಹುರಿದ ಈರುಳ್ಳಿ ತೆಂಗಿನ ಮಿಶ್ರಣ, ಹುರಿದ ಸಂಪೂರ್ಣ ಮಸಾಲೆಗಳು, ಶುಂಠಿ, ಬೆಳ್ಳುಳ್ಳಿ, ಹುಣಸೆಹಣ್ಣು ಮತ್ತು ಬೆಲ್ಲವನ್ನು ಸಾಕಷ್ಟು ನೀರು ಬಳಸಿ ದಪ್ಪ ಪೇಸ್ಟ್ ಪಡೆಯಲು ಕೊನೆಯಲ್ಲಿ ರುಬ್ಬಿಕೊಳ್ಳಿ. ಮೇಲಿನ ಮಿಶ್ರಣದಲ್ಲಿ ಬೇಸಾನ್ ಅನ್ನು ಮಿಶ್ರಣ ಮಾಡಿ. ಇದು ಗ್ರೇವಿ ದಪ್ಪವಾಗಲು ಸಹಾಯ ಮಾಡುತ್ತದೆ. ಮೇಲಿನ ಮಿಶ್ರಣಕ್ಕೆ ಅರಿಶಿನ ಪುಡಿ, ಕತ್ತರಿಸಿದ ಈರುಳ್ಳಿ ಮತ್ತು ಉಪ್ಪನ್ನು ಸೇರಿಸಿ. ಬಯಸಿದಲ್ಲಿ ಸ್ವಲ್ಪ ಮೆಣಸಿನ ಪುಡಿಯನ್ನು ಸೇರಿಸಿ. ಈ ಮಸಾಲಾದೊಂದಿಗೆ ವಾಂಗಿ (ಬೈಂಗನ್) ಅನ್ನು ಸ್ಟಫ್ ಮಾಡಿ ಮತ್ತು ಅವುಗಳನ್ನು ಪಕ್ಕಕ್ಕೆ ಇರಿಸಿ. ಒತ್ತಡದ ಕುಕ್ಕರ್ ಅನ್ನು ಬಿಸಿ ಮಾಡಿ ಮತ್ತು ಅದಕ್ಕೆ ಎಣ್ಣೆಯನ್ನು ಸೇರಿಸಿ. ಸಾಸಿವೆ ಕಾಳುಗಳನ್ನು ಸೇರಿಸಿ. ಅವು ಚಿಮುಕಿಸಿದಾಗ ಇಂಗು ಮತ್ತು ಕರಿಬೇವಿನ ಎಲೆಗಳನ್ನು ಸೇರಿಸಿ. 20 ಸೆಕೆಂಡುಗಳ ನಂತರ, ಸ್ಟಫ್ ಮಾಡಿದ ಬದನೆಕಾಯಿಗಳು, ಆಲೂಗಡ್ಡೆ ಮತ್ತು ಉಳಿದ ಮಸಾಲೆ ಸೇರಿಸಿ. ಸ್ವಲ್ಪ ಬೆರೆಸಿ. ತರಕಾರಿ ಮಟ್ಟಕ್ಕೆ ನೀರು ಸೇರಿಸಿ. ಮುಚ್ಚಳವನ್ನು ಮುಚ್ಚಿ ಮತ್ತು ಹೆಚ್ಚಿನ ಉರಿಯಲ್ಲಿ 3 ಸೀಟಿಗಳವರೆಗೆ ಬೇಯಿಸಿ ಅಥವಾ ಲೋಹದ ಬೋಗುಣಿಗೆ ಬೇಯಿಸಿದರೆ, ಬಿಸಿ ನೀರನ್ನು ಸೇರಿಸಿ ಬೇಯಿಸಿ. ಬದನೆಕಾಯಿಗಳು ಮತ್ತು ಆಲೂಗಡ್ಡೆ ಚೆನ್ನಾಗಿ ಬೇಯಿಸಿದಾಗ ಮತ್ತು ಗ್ರೇವಿ ದಪ್ಪವಾದಾಗ, ಸರ್ವಿಂಗ್ ಬೌಲ್‌ಗೆ ವರ್ಗಾಯಿಸಿ ಮತ್ತು ಕತ್ತರಿಸಿದ ಕೊತ್ತಂಬರಿ ಸೊಪ್ಪಿನಿಂದ ಅಲಂಕರಿಸಿ. ಕಾರವಾರ ಭಾಜಿ ಸ್ಟೈಲ್ ಭರ್ಲಿ ವಾಂಗಿ ರೆಸಿಪಿ ಜೊತೆಗೆ ಬಡಿಸಿ. ನಿಮ್ಮ ಕುಟುಂಬದೊಂದಿಗೆ ವಾರದ ದಿನದ ಊಟಕ್ಕೆ ಅಂಬಾಟ್ ಮತ್ತು ಸ್ಟೀಮ್ಡ್ ರೈಸ್.
</t>
  </si>
  <si>
    <t>http://www.archanaskitchen.com/bharli-vangi-recipe-karwar-nkgsb-style-brinjal-curry</t>
  </si>
  <si>
    <t>Avarekalu Kadubu Recipe (Hyacinth Beans Steamed Dumplings)</t>
  </si>
  <si>
    <t>ಅವರೆಕಾಳು ಕಡುಬು ರೆಸಿಪಿ (ಹಯಸಿಂತ್ ಬೀನ್ಸ್ ಸ್ಟೀಮ್ಡ್ ಡಂಪ್ಲಿಂಗ್ಸ್)</t>
  </si>
  <si>
    <t>1 ಕಪ್ ಅಕ್ಕಿ ರವೆ, 1/2 ಕಪ್ ಅವರೆಕಾಳು / ಲಿಲ್ವಾ ಬೀನ್ಸ್ - ಬೇಯಿಸಿದ, 1 ಹಸಿರು ಮೆಣಸಿನಕಾಯಿ - ಸಣ್ಣದಾಗಿ ಕೊಚ್ಚಿದ, 1 ಚಿಗುರು ಕರಿಬೇವಿನ ಎಲೆಗಳು - ಸಣ್ಣದಾಗಿ ಕೊಚ್ಚಿದ, 1 ಟೀಚಮಚ ಜೀರಿಗೆ (ಜೀರಾ), ಉಪ್ಪು - ರುಚಿಗೆ ತಕ್ಕಷ್ಟು</t>
  </si>
  <si>
    <t>1 cup Rice rava,1/2 cup Avarekalu / Lilva Beans - boiled,1 Green Chillies - finely chopped,1 sprig Curry leaves - finely chopped,1 teaspoon Cumin seeds (Jeera),Salt - to taste</t>
  </si>
  <si>
    <t xml:space="preserve">To begin making Avarekalu Kadubu Recipe (Hyacinth Beans Steamed Dumplings), take a kadai and dry roast the rice rava on a medium heat for about 5 minutes or until fragrant and pour it out on a bowl. Keep aside.Boil hyacinth beans with a little salt in water until they are cooked well. This will take around 10 minutes. It is better not to use a pressure cooker; use a saucepan to cook the lilva beans since they will retain their shape and wont be mushy.Drain and keep aside on a plate to cool till handleable. You can reserve the drained water to use for later.Put the idli steamer on medium heat with a cup water added to it.Take a bowl, add the dry roasted rice rava, boiled hyacinth beans, chopped curry leaves, chilli, cumin seeds, season with salt and mix well.To this add 1/2 cup lukewarm water (you can use the stock of water that you cooked the avarekalu in) and mix well. The mixture should be crumbly but should hold the shape if pressed tightly between fingers and palm.Take a small portion of the mixture, and hold it tightly to form a ball. Likewise, form small balls of kadubu with the rest of the mixture.Place these kadubu into the steamer, close it with a lid and steam for about 8 minutes on medium high heat or till firm and done.Serve the Avarekalu Kadubu Recipe (Hyacinth Beans Steamed Dumplings) along with South Indian Coconut Chutney for breakfast along with South Indian Filter Coffee Recipe or as an after school snack for the kids.
</t>
  </si>
  <si>
    <t xml:space="preserve">ಅವರೆಕಾಳು ಕಡುಬು ರೆಸಿಪಿ (ಹಯಸಿಂತ್ ಬೀನ್ಸ್ ಸ್ಟೀಮ್ಡ್ ಡಂಪ್ಲಿಂಗ್ಸ್) ತಯಾರಿಸಲು ಪ್ರಾರಂಭಿಸಲು, ಒಂದು ಕಡಾಯಿ ತೆಗೆದುಕೊಂಡು ಅಕ್ಕಿ ರವೆಯನ್ನು ಮಧ್ಯಮ ಉರಿಯಲ್ಲಿ ಸುಮಾರು 5 ನಿಮಿಷಗಳ ಕಾಲ ಅಥವಾ ಪರಿಮಳ ಬರುವವರೆಗೆ ಒಣಗಿಸಿ ಮತ್ತು ಅದನ್ನು ಬೌಲ್ ಮೇಲೆ ಸುರಿಯಿರಿ. ಪಕ್ಕಕ್ಕೆ ಇರಿಸಿ.ಹಯಸಿಂತ್ ಬೀನ್ಸ್ ಅನ್ನು ನೀರಿನಲ್ಲಿ ಸ್ವಲ್ಪ ಉಪ್ಪು ಹಾಕಿ ಚೆನ್ನಾಗಿ ಬೇಯಿಸುವವರೆಗೆ ಕುದಿಸಿ. ಇದು ಸುಮಾರು 10 ನಿಮಿಷಗಳನ್ನು ತೆಗೆದುಕೊಳ್ಳುತ್ತದೆ. ಒತ್ತಡದ ಕುಕ್ಕರ್ ಅನ್ನು ಬಳಸದಿರುವುದು ಉತ್ತಮ; ಲಿಲ್ವಾ ಬೀನ್ಸ್ ಅನ್ನು ಬೇಯಿಸಲು ಲೋಹದ ಬೋಗುಣಿ ಬಳಸಿ ಏಕೆಂದರೆ ಅವುಗಳು ತಮ್ಮ ಆಕಾರವನ್ನು ಉಳಿಸಿಕೊಳ್ಳುತ್ತವೆ ಮತ್ತು ಮೆತ್ತಗಾಗುವುದಿಲ್ಲ. ಹರಿಸುತ್ತವೆ ಮತ್ತು ನಿಭಾಯಿಸಲು ಸಾಧ್ಯವಾಗುವವರೆಗೆ ತಣ್ಣಗಾಗಲು ತಟ್ಟೆಯಲ್ಲಿ ಪಕ್ಕಕ್ಕೆ ಇರಿಸಿ. ಬರಿದಾದ ನೀರನ್ನು ನಂತರ ಬಳಸಲು ಕಾಯ್ದಿರಿಸಬಹುದು.ಇಡ್ಲಿ ಸ್ಟೀಮರ್ ಅನ್ನು ಮಧ್ಯಮ ಉರಿಯಲ್ಲಿ ಒಂದು ಕಪ್ ನೀರು ಸೇರಿಸಿ. ಒಂದು ಬೌಲ್ ತೆಗೆದುಕೊಂಡು, ಒಣ ಹುರಿದ ಅಕ್ಕಿ ರವಾ, ಬೇಯಿಸಿದ ಹಯಸಿಂತ್ ಬೀನ್ಸ್, ಕತ್ತರಿಸಿದ ಕರಿಬೇವು, ಮೆಣಸಿನಕಾಯಿ, ಜೀರಿಗೆ, ಉಪ್ಪು ಸೇರಿಸಿ ಮತ್ತು ಚೆನ್ನಾಗಿ ಮಿಶ್ರಣ ಮಾಡಿ. ಚೆನ್ನಾಗಿ. ಮಿಶ್ರಣವು ಪುಡಿಪುಡಿಯಾಗಿರಬೇಕು ಆದರೆ ಬೆರಳುಗಳು ಮತ್ತು ಅಂಗೈಗಳ ನಡುವೆ ಬಿಗಿಯಾಗಿ ಒತ್ತಿದರೆ ಆಕಾರವನ್ನು ಹಿಡಿದಿಟ್ಟುಕೊಳ್ಳಬೇಕು. ಮಿಶ್ರಣದ ಒಂದು ಸಣ್ಣ ಭಾಗವನ್ನು ತೆಗೆದುಕೊಳ್ಳಿ ಮತ್ತು ಚೆಂಡನ್ನು ರೂಪಿಸಲು ಅದನ್ನು ಬಿಗಿಯಾಗಿ ಹಿಡಿದುಕೊಳ್ಳಿ. ಅಂತೆಯೇ, ಉಳಿದ ಮಿಶ್ರಣದೊಂದಿಗೆ ಕಡುಬುಗಳ ಸಣ್ಣ ಉಂಡೆಗಳನ್ನು ರೂಪಿಸಿ. ಈ ಕಡುಬುಗಳನ್ನು ಸ್ಟೀಮರ್‌ನಲ್ಲಿ ಇರಿಸಿ, ಅದನ್ನು ಮುಚ್ಚಳದಿಂದ ಮುಚ್ಚಿ ಮತ್ತು ಮಧ್ಯಮ ಹೆಚ್ಚಿನ ಶಾಖದ ಮೇಲೆ ಸುಮಾರು 8 ನಿಮಿಷಗಳ ಕಾಲ ಸ್ಟೀಮ್ ಮಾಡಿ ಅಥವಾ ಗಟ್ಟಿಯಾಗಿ ಬೇಯಿಸಿ. ಪಾಕವಿಧಾನ ಅಥವಾ ಮಕ್ಕಳಿಗೆ ಶಾಲೆಯ ನಂತರದ ತಿಂಡಿಯಾಗಿ.
</t>
  </si>
  <si>
    <t>https://www.archanaskitchen.com/avarekalu-kadubu-recipe-hyacinth-beans-steamed-dumplings</t>
  </si>
  <si>
    <t>Harive Soppina Saaru Recipe (Karnataka Style Amaranth Leaves Cooked with Lentils)</t>
  </si>
  <si>
    <t>ಹರಿವೆ ಸೊಪ್ಪಿನ ಸಾರು ರೆಸಿಪಿ (ಕರ್ನಾಟಕ ಶೈಲಿಯ ಅಮರಂಥ್ ಎಲೆಗಳು ಮಸೂರದೊಂದಿಗೆ ಬೇಯಿಸಲಾಗುತ್ತದೆ)</t>
  </si>
  <si>
    <t>8 ಎಸಳು ಹಸಿರು ಅಮರಂಥ್ ಎಲೆಗಳು - ಸ್ಥೂಲವಾಗಿ ಕತ್ತರಿಸಿದ, 1 ಕಪ್ ಅರ್ಹರ್ ದಾಲ್ (ಒಡೆದ ದಾಲ್) - ಬೇಯಿಸಿದ, 2 ಟೊಮ್ಯಾಟೊ - ಸರಿಸುಮಾರು ಕತ್ತರಿಸಿದ, 1 ಈರುಳ್ಳಿ - ಕತ್ತರಿಸಿದ, 5 ಲವಂಗ ಬೆಳ್ಳುಳ್ಳಿ - ನುಣ್ಣಗೆ ಕತ್ತರಿಸಿದ, 1 ಟೀಚಮಚ ಅರಿಶಿನ ಪುಡಿ (ಹಲ್ದಿ), 2 ಚಮಚ ಜೀರಿಗೆ, 1 ಚಮಚ ಜೀರಿಗೆ, 1 ಚಮಚ ಒಣ ಕೆಂಪು ಮೆಣಸಿನಕಾಯಿ, 1/2 ಟೀಚಮಚ ಇಂಗು (ಹಿಂಗ್), 1 ಚಿಗುರು ಕರಿಬೇವಿನ ಎಲೆಗಳು, 1 ಚಮಚ ಸೂರ್ಯಕಾಂತಿ ಎಣ್ಣೆ, ಉಪ್ಪು - ರುಚಿಗೆ, 1/2 ಕಪ್ ತಾಜಾ ತೆಂಗಿನಕಾಯಿ - ತುರಿದ, 1 ಹುಣಸೆಹಣ್ಣು - ಸಣ್ಣ ನಿಂಬೆ ಗಾತ್ರದ, 2 ಬ್ಯಾಡಗಿ ಒಣಗಿದ ಮೆಣಸಿನಕಾಯಿಗಳು, 1 ಒಣ ಕೆಂಪು ಮೆಣಸಿನಕಾಯಿಗಳು, 1 ಟೀಚಮಚ ಜೀರಿಗೆ (1 ಚಮಚ ಜೀರಿಗೆ, (ಸ್ಪ್ಲಿಟ್), 2 ಟೀಚಮಚ ಚನಾ ದಾಲ್ (ಬಂಗಾಳ ಗ್ರಾಂ ದಾಲ್), 1/2 ಟೀಚಮಚ ಸಂಪೂರ್ಣ ಕಪ್ಪು ಮೆಣಸು, 1 ಇಂಚಿನ ದಾಲ್ಚಿನ್ನಿ ಕಡ್ಡಿ (ಡಾಲ್ಚಿನಿ), 2 ಲವಂಗ (ಲಾಂಗ್), 1 ಟೀಚಮಚ ಸೂರ್ಯಕಾಂತಿ ಎಣ್ಣೆ</t>
  </si>
  <si>
    <t>8 sprig Green Amaranth Leaves - roughly chopped,1 cup Arhar dal (Split Toor Dal) - boiled,2 Tomatoes - roughly chopped,1 Onion - sliced,5 cloves Garlic - finely sliced,1 teaspoon Turmeric powder (Haldi),2 teaspoon Cumin seeds (Jeera),1 teaspoon Mustard seeds,1/2 tablespoons Jaggery,2 Dry Red Chillies,1/2 teaspoon Asafoetida (hing),1 sprig Curry leaves,1 tablespoon Sunflower Oil,Salt - to taste,1/2 cup Fresh coconut - grated,1 Tamarind - small lemon sized,2 Byadagi Dried Chillies,1 Dry Red Chillies,1 teaspoon Cumin seeds (Jeera),1 tablespoon Coriander (Dhania) Seeds,2 teaspoons White Urad Dal (Split),2 teaspoons Chana dal (Bengal Gram Dal),1/2 teaspoon Whole Black Peppercorns,1 inch Cinnamon Stick (Dalchini),2 Cloves (Laung),1 teaspoon Sunflower Oil</t>
  </si>
  <si>
    <t xml:space="preserve">To begin making Harive Soppina Saaru Recipe, wash and soak the toor dal for 30 minutes.Boil the toor dal, along with 2 cloves of garlic, turmeric, cumin seeds for 3 whistles using a pressure cooker.Once the dal is cooked, whisk it with a ladle to smooth texture.Add the tomatoes, chopped amaranth leaves and cook for another whistle in the pressure cooker.Now, to make the masala, roast all the ingredients mentioned in the table except grated coconut and tamarind till aromatic using little oil and keep aside.Make a fine paste of the roasted ingredients along with coconut and tamarind using a mixer grinder with little water.Add this masala to the boiled dal and amaranth mix, enough water to your desired consistency, jaggery, season with salt and simmer for 10 minutes and switch off the flame.Now, heat oil in a small tadka pan, add the mustard, cumin seeds and let it splutter.Add the red chilli, curry leaves and let it crackle. Add the sliced garlic and saute till they are golden and crisp. Add in the sliced onion and saute till they are brown.Now, add this tadka over the prepared dal and amaranth curry and mix well.Enjoy the Harive Soppina Saaru Recipe (Karnataka Style Amaranth Leaves Cooked with Lentils) along with Steamed Rice and Cabbage Palya for a weeknight dinner.
</t>
  </si>
  <si>
    <t xml:space="preserve">ಹರಿವೆ ಸೊಪ್ಪಿನ ಸಾರು ರೆಸಿಪಿ ಮಾಡಲು ಆರಂಭಿಸಲು, ತೊಗರಿಬೇಳೆಯನ್ನು ತೊಳೆದು 30 ನಿಮಿಷಗಳ ಕಾಲ ನೆನೆಸಿಡಿ. 2 ಎಸಳು ಬೆಳ್ಳುಳ್ಳಿ, ಅರಿಶಿನ, ಜೀರಿಗೆಯನ್ನು 3 ಸೀಟಿಗೆ ಪ್ರೆಶರ್ ಕುಕ್ಕರ್ ಬಳಸಿ ಕುದಿಸಿ.ಬೇಯಿಸಿದ ನಂತರ ಒಂದು ಲೋಟದಿಂದ ಪೊರಕೆ ಹಾಕಿ ಮೃದುವಾಗಿ ಬೇಯಿಸಿ. ಪ್ರೆಶರ್ ಕುಕ್ಕರ್.ಈಗ, ಮಸಾಲಾ ಮಾಡಲು, ತುರಿದ ತೆಂಗಿನಕಾಯಿ ಮತ್ತು ಹುಣಸೆಹಣ್ಣುಗಳನ್ನು ಹೊರತುಪಡಿಸಿ ಟೇಬಲ್‌ನಲ್ಲಿ ನಮೂದಿಸಿದ ಎಲ್ಲಾ ಪದಾರ್ಥಗಳನ್ನು ಸ್ವಲ್ಪ ಎಣ್ಣೆಯಿಂದ ಸುವಾಸನೆಯ ತನಕ ಹುರಿದು ಪಕ್ಕಕ್ಕೆ ಇರಿಸಿ. ತೆಂಗಿನಕಾಯಿ ಮತ್ತು ಹುಣಸೆಯೊಂದಿಗೆ ಹುರಿದ ಪದಾರ್ಥಗಳನ್ನು ಸ್ವಲ್ಪ ನೀರು ಹಾಕಿ ಮಿಕ್ಸರ್ ಗ್ರೈಂಡರ್ ಬಳಸಿ ಚೆನ್ನಾಗಿ ಪೇಸ್ಟ್ ಮಾಡಿ. 10 ನಿಮಿಷ ಮತ್ತು ಜ್ವಾಲೆಯನ್ನು ಆಫ್ ಮಾಡಿ. ಈಗ, ಸಣ್ಣ ತಡ್ಕಾ ಪ್ಯಾನ್‌ನಲ್ಲಿ ಎಣ್ಣೆಯನ್ನು ಬಿಸಿ ಮಾಡಿ, ಸಾಸಿವೆ, ಜೀರಿಗೆ ಸೇರಿಸಿ ಮತ್ತು ಅದನ್ನು ಚಿಮುಕಿಸಲು ಬಿಡಿ. ಕೆಂಪು ಮೆಣಸಿನಕಾಯಿ, ಕರಿಬೇವಿನ ಎಲೆಗಳನ್ನು ಸೇರಿಸಿ ಮತ್ತು ಅದನ್ನು ಸಿಡಿಸಲು ಬಿಡಿ. ಕತ್ತರಿಸಿದ ಬೆಳ್ಳುಳ್ಳಿಯನ್ನು ಸೇರಿಸಿ ಮತ್ತು ಗೋಲ್ಡನ್ ಮತ್ತು ಗರಿಗರಿಯಾಗುವವರೆಗೆ ಹುರಿಯಿರಿ. ಕತ್ತರಿಸಿದ ಈರುಳ್ಳಿಯನ್ನು ಸೇರಿಸಿ ಮತ್ತು ಅವು ಕಂದು ಬಣ್ಣ ಬರುವವರೆಗೆ ಹುರಿಯಿರಿ. ಈಗ, ಸಿದ್ಧಪಡಿಸಿದ ದಾಲ್ ಮತ್ತು ಅಮರಂಥ್ ಕರಿ ಮೇಲೆ ಈ ತಡ್ಕಾವನ್ನು ಸೇರಿಸಿ ಮತ್ತು ಚೆನ್ನಾಗಿ ಮಿಶ್ರಣ ಮಾಡಿ. ಹರಿವೆ ಸೊಪ್ಪಿನ ಸಾರು ರೆಸಿಪಿ (ಕರ್ನಾಟಕ ಶೈಲಿಯ ಅಮರಂಥ್ ಎಲೆಗಳು ಮಸೂರದೊಂದಿಗೆ ಬೇಯಿಸಿ) ಜೊತೆಗೆ ಆವಿಯಲ್ಲಿ ಬೇಯಿಸಿದ ಅನ್ನ ಮತ್ತು ಒಂದು ವಾರದ ಪಲ್ಯವನ್ನು ಆನಂದಿಸಿ.
</t>
  </si>
  <si>
    <t>https://www.archanaskitchen.com/harive-soppina-saaru-recipe-karnataka-style-amaranth-leaves-cooked-with-lentils</t>
  </si>
  <si>
    <t>Malnad Special Appe Midi Uppinakayi Recipe - Tender Mango Pickle</t>
  </si>
  <si>
    <t>ಮಲ್ನಾಡ್ ಸ್ಪೆಷಲ್ ಅಪ್ಪೆ ಮಿಡಿ ಉಪ್ಪಿನಕಾಯಿ ರೆಸಿಪಿ - ಕೋಮಲ ಮಾವಿನಕಾಯಿ ಉಪ್ಪಿನಕಾಯಿ</t>
  </si>
  <si>
    <t>2 ಕಪ್ ಕೋಮಲ ಮಾವು (ಅಪ್ಪೆ ಮಿಡಿ), 3/4 ಕಪ್ ಕಲ್ಲು ಉಪ್ಪು - (ರುಚಿಗೆ ಹೊಂದಿಸಿ), 1 ಕಪ್ ಬ್ಯಾಡಗಿ ಒಣ ಮೆಣಸಿನಕಾಯಿಗಳು - (ರುಚಿಗೆ ಹೊಂದಿಸಿ), 1/4 ಕಪ್ ಸಾಸಿವೆ, 2 ಚಮಚ ಅರಿಶಿನ ಪುಡಿ (ಹಾಲ್ಡಿ), 1 ಟೀಚಮಚ ಇಂಗು (ಹಿಂಗ್), 1/4 ಕಪ್ ಸೂರ್ಯಕಾಂತಿ ಎಣ್ಣೆ</t>
  </si>
  <si>
    <t>2 cups Tender Mango (Appe Midi),3/4 cup Rock Salt - (adjust to taste),1 cup Byadagi Dried Chillies - (adjust to taste),1/4 cup Mustard seeds,2 tablespoons Turmeric powder (Haldi),1 teaspoon Asafoetida (hing),1/4 cup Sunflower Oil</t>
  </si>
  <si>
    <t xml:space="preserve">To begin making the Malnad Special Appe Midi Uppinakayi Recipe (Tender Mango Pickle), mangoes are cleaned and pat dried until no remains of water is seen.Take a glass or ceramic jar with airtight lid, add salt and tender mangoes. Mix well keep this closed for 10 days so, such that the mangoes shrink with occasional mixing using dry spoon.Dry roast the red chillies in a pan for a minute or till crisp and keep aside.Now dry roast the mustard for few seconds and keep this aside.Using dry mixer jar make a fine paste of the red chili with mustard seeds, turmeric powder and hing.Mix this pickle masala paste with the salted Appe Midi.Heat oil in pan, cool and pour this on the pickle mixture. Close the jar and incubate this pickle for 1 to 2 months.This pickle is a good side dish with rice and can be served as whole or chopped into fine pieces along with inner seed.Serve Malnad Special Appe Midi Uppinakayi Recipe (Tender Mango Pickle) along with Steamed rice, Alasande Kaalu Saaru Recipe (Malnad Style Black Eyed Beans Curry) and Aralu Sandige Recipe with a Gorikayi Palya Recipe for sides.
</t>
  </si>
  <si>
    <t xml:space="preserve">ಮಲ್ನಾಡ್ ಸ್ಪೆಷಲ್ ಅಪ್ಪೆ ಮಿಡಿ ಉಪ್ಪಿನಕಾಯಿ ರೆಸಿಪಿ (ಕೋಮಲ ಮಾವಿನಕಾಯಿ ಉಪ್ಪಿನಕಾಯಿ) ತಯಾರಿಸಲು ಪ್ರಾರಂಭಿಸಲು, ಮಾವಿನಕಾಯಿಗಳನ್ನು ಸ್ವಚ್ಛಗೊಳಿಸಿ ಮತ್ತು ನೀರಿನ ಉಳಿದಿರುವವರೆಗೂ ಒಣಗಿಸಲಾಗುತ್ತದೆ. ಗಾಳಿಯಾಡದ ಮುಚ್ಚಳದೊಂದಿಗೆ ಗಾಜಿನ ಅಥವಾ ಸೆರಾಮಿಕ್ ಜಾರ್ ಅನ್ನು ತೆಗೆದುಕೊಳ್ಳಿ, ಉಪ್ಪು ಮತ್ತು ಕೋಮಲ ಮಾವಿನಕಾಯಿಗಳನ್ನು ಸೇರಿಸಿ. ಇದನ್ನು 10 ದಿನಗಳ ಕಾಲ ಮುಚ್ಚಿಡಿ, ಆದ್ದರಿಂದ ಮಾವಿನಕಾಯಿಗಳು ಸಾಂದರ್ಭಿಕವಾಗಿ ಒಣ ಚಮಚವನ್ನು ಬೆರೆಸಿ ಕುಗ್ಗಿಸಿ. ಒಂದು ಪ್ಯಾನ್‌ನಲ್ಲಿ ಕೆಂಪು ಮೆಣಸಿನಕಾಯಿಯನ್ನು ಒಂದು ನಿಮಿಷ ಅಥವಾ ಗರಿಗರಿಯಾಗುವವರೆಗೆ ಹುರಿದು ಪಕ್ಕಕ್ಕೆ ಇರಿಸಿ. ಈಗ ಸಾಸಿವೆಯನ್ನು ಕೆಲವು ಸೆಕೆಂಡುಗಳ ಕಾಲ ಒಣಗಿಸಿ ಮತ್ತು ಇದನ್ನು ಪಕ್ಕಕ್ಕೆ ಇರಿಸಿ. ಉಪ್ಪುಸಹಿತ ಅಪ್ಪೆ ಮಿಡಿಯೊಂದಿಗೆ ಮಸಾಲಾ ಪೇಸ್ಟ್. ಬಾಣಲೆಯಲ್ಲಿ ಎಣ್ಣೆಯನ್ನು ಬಿಸಿ ಮಾಡಿ, ತಣ್ಣಗಾಗಿಸಿ ಮತ್ತು ಉಪ್ಪಿನಕಾಯಿ ಮಿಶ್ರಣದ ಮೇಲೆ ಸುರಿಯಿರಿ. ಜಾರ್ ಅನ್ನು ಮುಚ್ಚಿ ಮತ್ತು ಈ ಉಪ್ಪಿನಕಾಯಿಯನ್ನು 1 ರಿಂದ 2 ತಿಂಗಳುಗಳ ಕಾಲ ಕಾವುಕೊಡಿ. ಈ ಉಪ್ಪಿನಕಾಯಿ ಅನ್ನದೊಂದಿಗೆ ಉತ್ತಮ ಭಕ್ಷ್ಯವಾಗಿದೆ ಮತ್ತು ಇದನ್ನು ಸಂಪೂರ್ಣ ಅಥವಾ ಒಳಗಿನ ಬೀಜದ ಜೊತೆಗೆ ಸಣ್ಣ ತುಂಡುಗಳಾಗಿ ಬಡಿಸಬಹುದು. ಮಲ್ನಾಡ್ ಸ್ಪೆಷಲ್ ಅಪ್ಪೆ ಮಿಡಿ ಉಪ್ಪಿನಕಾಯಿ ರೆಸಿಪಿ (ಕೋಮಲ ಮಾವಿನಕಾಯಿ ಉಪ್ಪಿನಕಾಯಿ) ಜೊತೆಗೆ ಆವಿಯಲ್ಲಿ ಬೇಯಿಸಿದ ಅನ್ನ, ಅಲಸಂಡೆ ಇಡಿ ಕಾಸಿಲ್ (ಕಪ್ಪು ಎಮ್ಮೆ ಉಪ್ಪಿನಕಾಯಿ) ಅನ್ನು ಬಡಿಸಿ. ಬೀನ್ಸ್ ಕರಿ) ಮತ್ತು ಬದಿಗಳಿಗಾಗಿ ಗೋರಿಕೈ ಪಲಿಯಾ ಪಾಕವಿಧಾನದೊಂದಿಗೆ ಅರಲು ಸ್ಯಾಂಡಿಜ್ ಪಾಕವಿಧಾನ.
</t>
  </si>
  <si>
    <t>http://www.archanaskitchen.com/malnad-special-appe-midi-uppinakayi-recipe-tender-mango-pickle</t>
  </si>
  <si>
    <t>Karnataka Style Badanekayi Palya Recipe - Long Brinjal In Spicy Coconut Recipe</t>
  </si>
  <si>
    <t>ಕರ್ನಾಟಕ ಸ್ಟೈಲ್ ಬದನೆಕಾಯಿ ಪಲ್ಯ ರೆಸಿಪಿ - ಉದ್ದಿನ ಬದನೆ ಮಸಾಲೆ ತೆಂಗಿನಕಾಯಿ ರೆಸಿಪಿ</t>
  </si>
  <si>
    <t>4 ಉದ್ದವಾದ ಹಸಿರು ಬದನೆ - 1 ಇಂಚು ತುಂಡುಗಳಾಗಿ ಕತ್ತರಿಸಿ, 1 ಚಮಚ ಅರಿಶಿನ ಪುಡಿ (ಹಲ್ದಿ), 1 ಚಮಚ ಕರಿಬೇವಿನ ಎಲೆಗಳು, 1 ಚಮಚ ಸಾಸಿವೆ, 1 ಚಮಚ ಇಂಗು (ಹಿಂಗ್), 3 ಚಮಚ ತಾಜಾ ತೆಂಗಿನಕಾಯಿ - ತುರಿದ, ಉಪ್ಪು - ರುಚಿಗೆ, ಎಳ್ಳು (ಶುಂಠಿ) ಎಣ್ಣೆ - ಅಡುಗೆಗೆ (1 ಚಮಚ ಕೊತ್ತಂಬರಿ ಸೊಪ್ಪು, 1 ಚಮಚ ಕೊತ್ತಂಬರಿ ಸೊಪ್ಪು) ದಾಲ್), 3 ಬ್ಯಾಡಗಿ ಒಣ ಮೆಣಸಿನಕಾಯಿ, 1 ಇಂಚಿನ ದಾಲ್ಚಿನ್ನಿ ಕಡ್ಡಿ (ದಾಲ್ಚಿನಿ)</t>
  </si>
  <si>
    <t>4 Long Green Brinjal - cut into 1 inch pieces,1 teaspoon Turmeric powder (Haldi),1 sprig Curry leaves,1 teaspoon Mustard seeds,1 teaspoon Asafoetida (hing),3 tablespoons Fresh coconut - grated,Salt - to taste,Sesame (Gingelly) Oil - for cooking,1 tablespoon Coriander (Dhania) Seeds,1 tablespoon Chana dal (Bengal Gram Dal),3 Byadagi Dried Chillies,1 inch Cinnamon Stick (Dalchini)</t>
  </si>
  <si>
    <t xml:space="preserve">To begin making the Karnataka Style Badanekayi Palya Recipe, prepare all the ingredients and keep it ready.To begin we will first roast and grind the ingredients in the "Masala to Grind".Heat a small skillet, roast the chana dal on low heat until it is golden brown. Once roasted, stir in the coriander seeds, cinnamon sticks and dry red chilli and roast until you get the aroma of coriander seeds. Cool the mixture and grind to make a fine powder.Heat a skillet with oil, add teaspoon of mustard seeds and allow it to crackle. Add in the asafoetida, curry leaves and stir for a few seconds.Add the chopped brinjal, sprinkle some salt, turmeric powder, cover the pan and cook the brinjal until it has softened. Once the brinjal has softened stir in the grated coconut along with the ground masala mix.Combine and saute the ingredients well and simmer until the masalas are well incorporated into the Badanekayi (brinjal). Add water if required if the palya becomes too dry. Close the lid and cook the Badanekayi Palya and make sure to keep sauteing the gravy at regular intervals. Once done serve warm.Serve the Karnataka Style Badanekayi Palya Recipe as a side dish along with some Mixed Vegetable Sambar and Steamed Rice to make it a complete meal.
</t>
  </si>
  <si>
    <t xml:space="preserve">ಕರ್ನಾಟಕ ಶೈಲಿಯ ಬದನೆಕಾಯಿ ಪಲ್ಯ ರೆಸಿಪಿಯನ್ನು ತಯಾರಿಸಲು ಪ್ರಾರಂಭಿಸಲು, ಎಲ್ಲಾ ಪದಾರ್ಥಗಳನ್ನು ತಯಾರಿಸಿ ಮತ್ತು ಅದನ್ನು ಸಿದ್ಧವಾಗಿ ಇರಿಸಿ. ಪ್ರಾರಂಭಿಸಲು ನಾವು ಮೊದಲು "ಮಸಾಲಾ ಟು ಗ್ರೈಂಡ್" ನಲ್ಲಿ ಪದಾರ್ಥಗಳನ್ನು ಹುರಿದು ಪುಡಿಮಾಡಿಕೊಳ್ಳುತ್ತೇವೆ. ಸಣ್ಣ ಬಾಣಲೆಯನ್ನು ಬಿಸಿ ಮಾಡಿ, ಸಣ್ಣ ಉರಿಯಲ್ಲಿ ಗೋಲ್ಡನ್ ಬ್ರೌನ್ ಆಗುವವರೆಗೆ ಹುರಿಯಿರಿ. ಹುರಿದ ನಂತರ, ಕೊತ್ತಂಬರಿ ಬೀಜಗಳು, ದಾಲ್ಚಿನ್ನಿ ತುಂಡುಗಳು ಮತ್ತು ಒಣ ಕೆಂಪು ಮೆಣಸಿನಕಾಯಿಯನ್ನು ಬೆರೆಸಿ ಮತ್ತು ನೀವು ಕೊತ್ತಂಬರಿ ಬೀಜಗಳ ಪರಿಮಳವನ್ನು ಪಡೆಯುವವರೆಗೆ ಹುರಿಯಿರಿ. ಮಿಶ್ರಣವನ್ನು ತಣ್ಣಗಾಗಿಸಿ ಮತ್ತು ನುಣ್ಣಗೆ ಪುಡಿ ಮಾಡಲು ರುಬ್ಬಿಕೊಳ್ಳಿ. ಎಣ್ಣೆಯೊಂದಿಗೆ ಬಾಣಲೆಯನ್ನು ಬಿಸಿ ಮಾಡಿ, ಸಾಸಿವೆ ಕಾಳುಗಳ ಟೀಚಮಚವನ್ನು ಸೇರಿಸಿ ಮತ್ತು ಅದನ್ನು ಕ್ರ್ಯಾಕಿಂಗ್ ಮಾಡಲು ಅನುಮತಿಸಿ. ಇಂಗು, ಕರಿಬೇವಿನ ಎಲೆಗಳನ್ನು ಸೇರಿಸಿ ಮತ್ತು ಕೆಲವು ಸೆಕೆಂಡುಗಳ ಕಾಲ ಬೆರೆಸಿ. ಕತ್ತರಿಸಿದ ಬದನೆ ಸೇರಿಸಿ, ಸ್ವಲ್ಪ ಉಪ್ಪು, ಅರಿಶಿನ ಪುಡಿಯನ್ನು ಸಿಂಪಡಿಸಿ, ಪ್ಯಾನ್ ಅನ್ನು ಮುಚ್ಚಿ ಮತ್ತು ಅದು ಮೃದುವಾಗುವವರೆಗೆ ಬ್ರೈನ್ಜಾವನ್ನು ಬೇಯಿಸಿ. ಬದನೆಕಾಯಿ ಮೃದುವಾದ ನಂತರ ರುಬ್ಬಿದ ಮಸಾಲಾ ಮಿಶ್ರಣದೊಂದಿಗೆ ತುರಿದ ತೆಂಗಿನಕಾಯಿಯಲ್ಲಿ ಬೆರೆಸಿ. ಪದಾರ್ಥಗಳನ್ನು ಚೆನ್ನಾಗಿ ಸೇರಿಸಿ ಮತ್ತು ಬದನೆಕಾಯಿ (ಬದನೆಕಾಯಿ) ಗೆ ಮಸಾಲಾಗಳನ್ನು ಚೆನ್ನಾಗಿ ಸೇರಿಸುವವರೆಗೆ ತಳಮಳಿಸುತ್ತಿರು. ಪಲ್ಯ ತುಂಬಾ ಒಣಗಿದ್ದರೆ ಬೇಕಿದ್ದರೆ ನೀರು ಸೇರಿಸಿ. ಮುಚ್ಚಳವನ್ನು ಮುಚ್ಚಿ ಮತ್ತು ಬದನೆಕಾಯಿ ಪಲ್ಯವನ್ನು ಬೇಯಿಸಿ ಮತ್ತು ಗ್ರೇವಿಯನ್ನು ನಿಯಮಿತ ಮಧ್ಯಂತರದಲ್ಲಿ ಹುರಿಯುವುದನ್ನು ಖಚಿತಪಡಿಸಿಕೊಳ್ಳಿ. ಒಮ್ಮೆ ಮಾಡಿದ ನಂತರ ಬೆಚ್ಚಗಿರುತ್ತದೆ. ಕರ್ನಾಟಕ ಶೈಲಿಯ ಬಾದನೆಕಾಯಿ ಪಲಿಯಾ ಪಾಕವಿಧಾನವನ್ನು ಕೆಲವು ಮಿಶ್ರ ತರಕಾರಿ ಸಾಂಬಾರ್ ಮತ್ತು ಆವಿಯಲ್ಲಿ ಬೇಯಿಸಿದ ಅಕ್ಕಿ ಜೊತೆಗೆ ಸೈಡ್ ಡಿಶ್ ಆಗಿ ನೀಡಿ.
</t>
  </si>
  <si>
    <t>http://www.archanaskitchen.com/karnataka-style-badnekayi-palya-recipe-long-brinjal-with-spicy-coconut-recipe</t>
  </si>
  <si>
    <t>Mysore Masala Dosa Made With Ragi Dosa Batter</t>
  </si>
  <si>
    <t>ರಾಗಿ ದೋಸೆ ಹಿಟ್ಟಿನಿಂದ ಮಾಡಿದ ಮೈಸೂರು ಮಸಾಲಾ ದೋಸೆ</t>
  </si>
  <si>
    <t>1 ಕಪ್ ಇಡ್ಲಿ ಅಕ್ಕಿ - (ಇಡ್ಲಿ ಮತ್ತು ದೋಸೆಗಳನ್ನು ತಯಾರಿಸಲು ಭಾರತೀಯ ಅಂಗಡಿಗಳಲ್ಲಿ ವಿಶೇಷ ಅಕ್ಕಿ), 1/2 ಕಪ್ ರಾಗಿ ಬೀಜಗಳು, 1 ಕಪ್ ಬಿಳಿ ಉರಡ್ ದಾಲ್ (ಸಂಪೂರ್ಣ), 1 ಟೀಚಮಚ ಮೇತಿ ಬೀಜಗಳು (ಮೆಂತ್ಯ ಬೀಜಗಳು), ನೀರು - ಅಕ್ಕಿ ನೆನೆಸಲು, 1 ಈರುಳ್ಳಿ - ಕತ್ತರಿಸಿದ, 3 ಚಮಚ ಹುರಿದ ಮೆಣಸಿನಕಾಯಿಗಳು, 2 ಚಮಚ ಮೆಣಸಿನಕಾಯಿಗಳು, ಬೆಳ್ಳುಳ್ಳಿ, 1 ಇಂಚಿನ ಶುಂಠಿ - ಕತ್ತರಿಸಿದ, ಉಪ್ಪು - ರುಚಿಗೆ, 4 ಆಲೂಗಡ್ಡೆ (ಆಲೂ), 1 ಟೀಚಮಚ ಜೀರಿಗೆ (ಜೀರಾ), 1 ಚಿಟಿಕೆ ಕರಿಬೇವಿನ ಎಲೆಗಳು, 1 ಚಿಟಿಕೆ ಇಂಗು (ಹಿಂಗ್), 1 ಈರುಳ್ಳಿ - ಸ್ಲೈಸ್, 1 ಟೀಚಮಚ ಅರಿಶಿನ ಪುಡಿ (ಹಲ್ದಿ), 4 ಎಸಳು ಕೊತ್ತಂಬರಿ, ಕೊತ್ತಂಬರಿ ಸೊಪ್ಪು - ರುಚಿಗೆ ತಕ್ಕಷ್ಟು</t>
  </si>
  <si>
    <t>1 cup Idli Rice - (a special rice available in the indian stores for making idli and dosas),1/2 cup Ragi Seeds,1 cup White Urad Dal (Whole),1 teaspoon Methi Seeds (Fenugreek Seeds),Water - for soaking the rice,1 Onion - chopped,3 tablespoon Roasted Gram Dal (Pottukadalai),2 Dry Red Chillies,4 cloves Garlic,1 inch Ginger - chopped,Salt - to taste,4 Potatoes (Aloo),1 teaspoon Cumin seeds (Jeera),1 sprig Curry leaves,1 pinch Asafoetida (hing),1 Onion - sliced,1 teaspoon Turmeric powder (Haldi),4 sprig Coriander (Dhania) Leaves - chopped,Salt - to taste</t>
  </si>
  <si>
    <t xml:space="preserve">To begin making the Mysore Masala Dosa Recipe, we will first make the Ragi (Millet) Idli Dosa Batter.Add idli rice and ragi in a big bowl together, the level of water required is an inch above the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rice and millet mixture into a smooth batter, adding just the required amount of water to grind into an almost smooth batter. Adding too much water will make the mixture too watery. 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Ragi Idli &amp; Dosa BatterFermenting has to take place where the weather is warm. So ideally in summer, the batter ferments very well and doubles or triples its quantity.But in cold places, the batter has to be kept in an oven. If your oven has a light, then turn on the light for a few hours with the batter in the oven.Once the oven is warm, turn off the light and let the batter ferment. If your oven does not have a light, then preheat the oven to warm, turn off oven then keep the batter in the oven to ferment. This process can be mastered with experience.*To Make the Red ChutneySoak the dry red chilli in warm water for at least 20 minutes.Once done you can add all the ingredients - Onion, ginger, garlic, roasted gram dal, soaked dry red chillies and salt into a mixer and grind with little water to form a coarse paste.You can check for seasoning and adjust the salt or spice level if you want later on and set aside in a bowl.*To make the PalyaPressure cook the potatoes with 2 cups of water, sprinkle little salt and cook for atleast 4 whistle.Once done allow the pressure cooker to release naturally, and drain all the water and peel off the skin and mash the potatoes and set aside.Heat a flat skillet with oil, add mustard seeds and allow it to sizzle for few seconds. Sprinkle with hing and add curry leaves and allow it to sparkle for few seconds.Add sliced onions, ginger and garlic for few minutes and sauté until the onions turn translucent.Add turmeric powder, salt and boiled potatoes and mix well until it is well combined. Check for salt and add coriander leaves at the end and stir. Add it into a bowl and keep it ready.*To make the Mysore Masala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turned a little brown. Gently fold over one side and transfer the dosa to a serving plate.Serve Mysore Masala Dosa Recipe along with south Indian coconut chutney &amp; Bangalore Restaurant Style Sambar to make your breakfast complete.
</t>
  </si>
  <si>
    <t xml:space="preserve">ಮೈಸೂರು ಮಸಾಲಾ ದೋಸಾ ರೆಸಿಪಿಯನ್ನು ತಯಾರಿಸಲು ಪ್ರಾರಂಭಿಸಲು, ನಾವು ಮೊದಲು ರಾಗಿ (ರಾಗಿ) ಇಡ್ಲಿ ದೋಸೆ ಹಿಟ್ಟನ್ನು ತಯಾರಿಸುತ್ತೇವೆ. ದೊಡ್ಡ ಬಟ್ಟಲಿನಲ್ಲಿ ಇಡ್ಲಿ ಅಕ್ಕಿ ಮತ್ತು ರಾಗಿಯನ್ನು ಸೇರಿಸಿ, ನೀರಿನ ಮಟ್ಟವು ಬಟ್ಟಲಿನಲ್ಲಿರುವ ಅಕ್ಕಿಗಿಂತ ಒಂದು ಇಂಚು ಮೇಲಿರುತ್ತದೆ. ಇದನ್ನು ಸುಮಾರು 6 ಗಂಟೆಗಳ ಕಾಲ ನೆನೆಯಲು ಬಿಡಿ. ಉದ್ದಿನಬೇಳೆ ಮತ್ತು ಮೆಂತ್ಯವನ್ನು ನೀರಿನಲ್ಲಿ ನೆನೆಸಿಡಿ, ಎಲ್ಲಾ ಬೇಳೆ ಸಂಪೂರ್ಣವಾಗಿ ನೀರಿನಲ್ಲಿ ಮುಳುಗುತ್ತದೆ. ನೀರಿನ ಮಟ್ಟವು ಬಟ್ಟಲಿನಲ್ಲಿ ದಾಲ್ಗಿಂತ 2 ಇಂಚುಗಳಷ್ಟು ಇರುತ್ತದೆ. ಇದನ್ನು ಸುಮಾರು 6 ಗಂಟೆಗಳ ಕಾಲ ನೆನೆಯಲು ಬಿಡಿ. ಮೊದಲು ಉದ್ದಿನಬೇಳೆಯನ್ನು ಉತ್ತಮ ನಯವಾದ ಬ್ಯಾಟರ್ ಆಗಿ ರುಬ್ಬಿಕೊಳ್ಳಿ. ತುಂಬಾ ನಯವಾದ ಬ್ಯಾಟರ್ ಆಗಿ ಮಾಡಲು ಸಾಕಷ್ಟು ನೀರು ರುಬ್ಬುವಾಗ. ಹಿಟ್ಟು ತುಪ್ಪುಳಿನಂತಿರುತ್ತದೆ. ಅಕ್ಕಿ ಮತ್ತು ರಾಗಿ ಮಿಶ್ರಣವನ್ನು ನಯವಾದ ಬ್ಯಾಟರ್ ಆಗಿ ರುಬ್ಬಿಕೊಳ್ಳಿ, ಬಹುತೇಕ ನಯವಾದ ಬ್ಯಾಟರ್ ಆಗಿ ರುಬ್ಬಲು ಅಗತ್ಯವಿರುವ ಪ್ರಮಾಣದ ನೀರನ್ನು ಸೇರಿಸಿ. ಹೆಚ್ಚು ನೀರು ಸೇರಿಸುವುದರಿಂದ ಮಿಶ್ರಣವು ತುಂಬಾ ನೀರಿರುವಂತೆ ಮಾಡುತ್ತದೆ. ಉರಡ್ ಮತ್ತು ಅಕ್ಕಿ ಹಿಟ್ಟನ್ನು ಸೇರಿಸಿ, ರುಚಿಗೆ ಉಪ್ಪು ಸೇರಿಸಿ ಮತ್ತು ಹಿಟ್ಟು ಹುದುಗುವವರೆಗೆ ಕನಿಷ್ಠ 12 ಗಂಟೆಗಳ ಕಾಲ ಅಥವಾ ರಾತ್ರಿಯಿಡೀ ಇರಿಸಿ. ಹಿಟ್ಟಿನ ಪರಿಮಾಣವು ಹೆಚ್ಚಾಗಿರುವುದನ್ನು ನೀವು ಗಮನಿಸಬಹುದು. ಆದ್ದರಿಂದ ನೀವು ಹಿಟ್ಟನ್ನು ದೊಡ್ಡ ಪಾತ್ರೆಯಲ್ಲಿ ಇಡಬೇಕು ಆದ್ದರಿಂದ ಅದರ ಪರಿಮಾಣವನ್ನು ಹೆಚ್ಚಿಸಲು ಸಾಕಷ್ಟು ಸ್ಥಳಾವಕಾಶವಿದೆ. * ರಾಗಿ ಇಡ್ಲಿ ಮತ್ತು ದೋಸೆ ಬ್ಯಾಟರ್ ಅನ್ನು ಹುದುಗಿಸಲು ಗಮನಿಸಿ ಹವಾಮಾನವು ಬೆಚ್ಚಗಿರುವ ಸ್ಥಳದಲ್ಲಿ ಹುದುಗುವಿಕೆ ನಡೆಯಬೇಕು. ಆದ್ದರಿಂದ ಬೇಸಿಗೆಯಲ್ಲಿ, ಹಿಟ್ಟು ಚೆನ್ನಾಗಿ ಹುದುಗುತ್ತದೆ ಮತ್ತು ಅದರ ಪ್ರಮಾಣವನ್ನು ದ್ವಿಗುಣಗೊಳಿಸುತ್ತದೆ ಅಥವಾ ಮೂರು ಪಟ್ಟು ಹೆಚ್ಚಿಸುತ್ತದೆ. ಆದರೆ ತಂಪಾದ ಸ್ಥಳಗಳಲ್ಲಿ, ಹಿಟ್ಟನ್ನು ಒಲೆಯಲ್ಲಿ ಇಡಬೇಕು. ನಿಮ್ಮ ಒಲೆಯಲ್ಲಿ ಬೆಳಕನ್ನು ಹೊಂದಿದ್ದರೆ, ನಂತರ ಒಲೆಯಲ್ಲಿ ಬ್ಯಾಟರ್ನೊಂದಿಗೆ ಕೆಲವು ಗಂಟೆಗಳ ಕಾಲ ಬೆಳಕನ್ನು ಆನ್ ಮಾಡಿ. ಒವನ್ ಬೆಚ್ಚಗಿರುವ ನಂತರ, ಬೆಳಕನ್ನು ಆಫ್ ಮಾಡಿ ಮತ್ತು ಬ್ಯಾಟರ್ ಹುದುಗಲು ಬಿಡಿ. ನಿಮ್ಮ ಒಲೆಯಲ್ಲಿ ಬೆಳಕು ಇಲ್ಲದಿದ್ದರೆ, ಒಲೆಯಲ್ಲಿ ಬೆಚ್ಚಗಾಗಲು ಪೂರ್ವಭಾವಿಯಾಗಿ ಕಾಯಿಸಿ, ಒಲೆಯಲ್ಲಿ ಆಫ್ ಮಾಡಿ ನಂತರ ಹಿಟ್ಟನ್ನು ಹುದುಗಿಸಲು ಒಲೆಯಲ್ಲಿ ಇರಿಸಿ. ಈ ಪ್ರಕ್ರಿಯೆಯನ್ನು ಅನುಭವದೊಂದಿಗೆ ಕರಗತ ಮಾಡಿಕೊಳ್ಳಬಹುದು.*ಕೆಂಪು ಚಟ್ನಿಯನ್ನು ತಯಾರಿಸಲು ಒಣ ಮೆಣಸಿನಕಾಯಿಯನ್ನು ಬೆಚ್ಚಗಿನ ನೀರಿನಲ್ಲಿ ಕನಿಷ್ಠ 20 ನಿಮಿಷಗಳ ಕಾಲ ನೆನೆಸಿಡಿ. ಒಮ್ಮೆ ನೀವು ಎಲ್ಲಾ ಪದಾರ್ಥಗಳನ್ನು ಸೇರಿಸಬಹುದು - ಈರುಳ್ಳಿ, ಶುಂಠಿ, ಬೆಳ್ಳುಳ್ಳಿ, ಹುರಿದ ಬೇಳೆ, ನೆನೆಸಿದ ಒಣ ಮೆಣಸಿನಕಾಯಿ ಮತ್ತು ಉಪ್ಪನ್ನು ಮಿಕ್ಸರ್‌ಗೆ ಸೇರಿಸಿ ಮತ್ತು ಸ್ವಲ್ಪ ನೀರಿನಿಂದ ರುಬ್ಬಿಕೊಳ್ಳಿ. ಒಂದು ಬಟ್ಟಲಿನಲ್ಲಿ.*ಪಲ್ಯಪ್ರೆಶರ್ ಮಾಡಲು ಆಲೂಗಡ್ಡೆಯನ್ನು 2 ಕಪ್ ನೀರಿನಲ್ಲಿ ಬೇಯಿಸಿ, ಸ್ವಲ್ಪ ಉಪ್ಪು ಸಿಂಪಡಿಸಿ ಮತ್ತು ಕನಿಷ್ಠ 4 ಸೀಟಿಗೆ ಬೇಯಿಸಿ. ಒಮ್ಮೆ ಪ್ರೆಶರ್ ಕುಕ್ಕರ್ ನೈಸರ್ಗಿಕವಾಗಿ ಬಿಡುಗಡೆ ಮಾಡಲು ಅವಕಾಶ ಮಾಡಿಕೊಡಿ, ಮತ್ತು ಎಲ್ಲಾ ನೀರನ್ನು ಹರಿಸುತ್ತವೆ ಮತ್ತು ಚರ್ಮವನ್ನು ತೆಗೆದುಹಾಕಿ ಮತ್ತು ಆಲೂಗಡ್ಡೆಯನ್ನು ಮ್ಯಾಶ್ ಮಾಡಿ ಮತ್ತು ಪಕ್ಕಕ್ಕೆ ಇರಿಸಿ. ಹಿಂಗನ್ನು ಸಿಂಪಡಿಸಿ ಮತ್ತು ಕರಿಬೇವಿನ ಎಲೆಗಳನ್ನು ಸೇರಿಸಿ ಮತ್ತು ಕೆಲವು ಸೆಕೆಂಡುಗಳ ಕಾಲ ಮಿಂಚಲು ಅನುಮತಿಸಿ. ಹೋಳು ಮಾಡಿದ ಈರುಳ್ಳಿ, ಶುಂಠಿ ಮತ್ತು ಬೆಳ್ಳುಳ್ಳಿಯನ್ನು ಕೆಲವು ನಿಮಿಷಗಳ ಕಾಲ ಸೇರಿಸಿ ಮತ್ತು ಈರುಳ್ಳಿ ಅರೆಪಾರದರ್ಶಕವಾಗುವವರೆಗೆ ಹುರಿಯಿರಿ. ಅರಿಶಿನ ಪುಡಿ, ಉಪ್ಪು ಮತ್ತು ಬೇಯಿಸಿದ ಆಲೂಗಡ್ಡೆ ಸೇರಿಸಿ ಮತ್ತು ಚೆನ್ನಾಗಿ ಮಿಶ್ರಣವಾಗುವವರೆಗೆ ಚೆನ್ನಾಗಿ ಮಿಶ್ರಣ ಮಾಡಿ. ಉಪ್ಪು ಇದೆಯೇ ಎಂದು ಪರಿಶೀಲಿಸಿ ಮತ್ತು ಕೊನೆಯಲ್ಲಿ ಕೊತ್ತಂಬರಿ ಸೊಪ್ಪು ಸೇರಿಸಿ ಮತ್ತು ಬೆರೆಸಿ. ಇದನ್ನು ಒಂದು ಬೌಲ್‌ಗೆ ಸೇರಿಸಿ ಮತ್ತು ಅದನ್ನು ಸಿದ್ಧವಾಗಿಡಿ.*ಮೈಸೂರು ಮಸಾಲಾ ದೋಸಾ ಮಾಡಲು ಮುಂದಿನ ಹಂತವೆಂದರೆ ದೋಸೆಯನ್ನು ಜೋಡಿಸುವುದು. ಒಂದು ದೋಸೆ ತವಾ ಬಿಸಿ ಮಾಡಿ. ತವಾ ಮೇಲೆ ಒಂದು ಲೋಟ ದೋಸೆ ಹಿಟ್ಟಿನ ಹಿಟ್ಟನ್ನು ಸುರಿಯಿರಿ ಮತ್ತು ಮಧ್ಯಮ ಗಾತ್ರದ ದೋಸೆ ಮಾಡಲು ಲ್ಯಾಡಲ್ನ ಹಿಂಭಾಗದಲ್ಲಿ ಸಮವಾಗಿ ಹರಡಿ. ದೋಸೆಯ ಸುತ್ತಲೂ ಅರ್ಧ ಟೀಚಮಚ ಎಣ್ಣೆಯನ್ನು ಸವರಿ ಮತ್ತು ಕೆಲವು ಸೆಕೆಂಡುಗಳ ಕಾಲ ಕಡಿಮೆ ಶಾಖದಲ್ಲಿ ಬೇಯಿಸಿ. ದೋಸೆಯ ಮೇಲೆ ಸ್ವಲ್ಪ ಕೆಂಪು ಚಟ್ನಿಯನ್ನು ಹರಡಿ ಮತ್ತು ಸ್ವಲ್ಪ ಆಲೂಗಡ್ಡೆ ಮಸಾಲವನ್ನು ದೋಸೆಯ ಮಧ್ಯದಲ್ಲಿ ಇರಿಸಿ. ದೋಸೆ ಸ್ವಲ್ಪ ಕಂದು ಬಣ್ಣಕ್ಕೆ ಬರುವವರೆಗೆ ಕಡಿಮೆ ಶಾಖದ ಮೇಲೆ ದೋಸೆಯನ್ನು ಬೇಯಿಸಲು ಮುಂದುವರಿಸಿ. ಒಂದು ಬದಿಯಲ್ಲಿ ನಿಧಾನವಾಗಿ ಮಡಚಿ ಮತ್ತು ದೋಸೆಯನ್ನು ಸರ್ವಿಂಗ್ ಪ್ಲೇಟ್‌ಗೆ ವರ್ಗಾಯಿಸಿ. ನಿಮ್ಮ ಬೆಳಗಿನ ಉಪಾಹಾರವನ್ನು ಪೂರ್ಣಗೊಳಿಸಲು ಮೈಸೂರು ಮಸಾಲಾ ದೋಸೆ ರೆಸಿಪಿಯನ್ನು ದಕ್ಷಿಣ ಭಾರತದ ತೆಂಗಿನಕಾಯಿ ಚಟ್ನಿ ಮತ್ತು ಬೆಂಗಳೂರು ರೆಸ್ಟೊರೆಂಟ್ ಸ್ಟೈಲ್ ಸಾಂಬಾರ್  ಜೊತೆಗೆ ಸರ್ವ್ ಮಾಡಿ.
</t>
  </si>
  <si>
    <t>http://www.archanaskitchen.com/mysore-masala-dosa-recipe</t>
  </si>
  <si>
    <t>Drumstick Leaves Ragi Roti Recipe - Moringa Millet Flat Bread</t>
  </si>
  <si>
    <t>ಡ್ರಮ್ ಸ್ಟಿಕ್ ಲೀವ್ಸ್ ರಾಗಿ ರೋಟಿ ರೆಸಿಪಿ - ಮೊರಿಂಗಾ ಮಿಲೆಟ್ ಫ್ಲಾಟ್ ಬ್ರೆಡ್</t>
  </si>
  <si>
    <t>2 ಕಪ್ ರಾಗಿ ಹಿಟ್ಟು (ಫಿಂಗರ್ ರಾಗಿ / ನಗ್ಲಿ), 1 ಕಪ್ ಸಂಪೂರ್ಣ ಗೋಧಿ ಹಿಟ್ಟು, 2 ಹಸಿರು ಮೆಣಸಿನಕಾಯಿಗಳು - ಸಣ್ಣದಾಗಿ ಕೊಚ್ಚಿದ, 1 ಇಂಚು ಶುಂಠಿ - ತುರಿದ, 100 ಗ್ರಾಂ ಡ್ರಮ್ ಸ್ಟಿಕ್ ಎಲೆಗಳು (ಮೊರಿಂಗಾ/ಮುರುಂಗೈ ಕೀರಾಯಿ) - ನುಣ್ಣಗೆ ಕತ್ತರಿಸಿದ, 1/2 ಟೀಚಮಚ ಕರಿಮೆಣಸು - ರುಚಿಗೆ ಮೆಣಸು, ಉಪ್ಪು - ರುಚಿಗೆ ಉಪ್ಪು</t>
  </si>
  <si>
    <t>2 cups Ragi Flour (Finger Millet/ Nagli),1 cup Whole Wheat Flour,2 Green Chillies - finely chopped,1 inch Ginger - grated,100 grams Drumstick Leaves (Moringa/Murungai Keerai) - finely chopped,1/2 teaspoon Black pepper powder,Salt - to taste,Ghee - for smearing rotis</t>
  </si>
  <si>
    <t xml:space="preserve">To begin making the Drumstick Leaves Ragi Roti Recipe, combine all the ingredients like the ragi flour, whole wheat flour, green chillies, ginger, drumstick leaves, black pepper powder and salt in a large mixing bowl.Add little water at a time and knead the Drumstick Leaves Ragi Roti dough for about 3 to 4 minutes until soft and smooth. Cover the Ragi Roti dough and allow it to rest for about 10 minutes.The next step is to cook the Drumstick Leaves Ragi Roti, make sure you have set the table out to serve your family and friends; as this Ragi Roti has to be served hot from the stove to plate.Preheat and grease a skillet with oil.Place a portion of the Drumstick Leaves Ragi Roti on the surface, dust it with flour and roll to make a roti. Once you have rolled it out, place it on the preheated tawa.Add ghee or oil along the sides of the Drumstick Leaves Ragi Roti and cook on both sides on a medium heat until the roti is cooked and lightly crisp.Once done, remove from heat and serve the hot Drumstick Leaves Ragi Roti. Proceed the same way with the remaining dough portions.Serve the Drumstick Leaves Ragi Roti Recipe, along with Mango Chutney and Homemade Yogurt for a wholesome Breakfast or serve with Dal Kabila or  Bharwa Karela Makhani for a diabetic friendly meal.
</t>
  </si>
  <si>
    <t xml:space="preserve">ಡ್ರಮ್ ಸ್ಟಿಕ್ ಲೀವ್ಸ್ ರಾಗಿ ರೋಟಿ ರೆಸಿಪಿಯನ್ನು ತಯಾರಿಸಲು ಪ್ರಾರಂಭಿಸಲು, ರಾಗಿ ಹಿಟ್ಟು, ಸಂಪೂರ್ಣ ಗೋಧಿ ಹಿಟ್ಟು, ಹಸಿರು ಮೆಣಸಿನಕಾಯಿಗಳು, ಶುಂಠಿ, ಡ್ರಮ್ ಸ್ಟಿಕ್ ಎಲೆಗಳು, ಕರಿಮೆಣಸಿನ ಪುಡಿ ಮತ್ತು ಉಪ್ಪು ಮುಂತಾದ ಎಲ್ಲಾ ಪದಾರ್ಥಗಳನ್ನು ಒಂದು ದೊಡ್ಡ ಮಿಶ್ರಣ ಬಟ್ಟಲಿನಲ್ಲಿ ಸೇರಿಸಿ. ಒಂದು ಸಮಯದಲ್ಲಿ ಸ್ವಲ್ಪ ನೀರು ಸೇರಿಸಿ ಮತ್ತು 3 ರಿಂದ 4 ನಿಮಿಷಗಳವರೆಗೆ ಮೃದುವಾದ ಮತ್ತು ನಯವಾದ ತನಕ ಡ್ರಮ್ ಸ್ಟಿಕ್ ಲೀವ್ಸ್ ರಾಗಿ ರೋಟಿ ಹಿಟ್ಟನ್ನು ಬೆರೆಸಿಕೊಳ್ಳಿ. ರಾಗಿ ರೊಟ್ಟಿ ಹಿಟ್ಟನ್ನು ಕವರ್ ಮಾಡಿ ಮತ್ತು ಅದನ್ನು ಸುಮಾರು 10 ನಿಮಿಷಗಳ ಕಾಲ ವಿಶ್ರಾಂತಿಗೆ ಅನುಮತಿಸಿ. ಮುಂದಿನ ಹಂತವೆಂದರೆ ಡ್ರಮ್‌ಸ್ಟಿಕ್ ಎಲೆಗಳ ರಾಗಿ ರೋಟಿಯನ್ನು ಬೇಯಿಸುವುದು, ನಿಮ್ಮ ಕುಟುಂಬ ಮತ್ತು ಸ್ನೇಹಿತರಿಗೆ ಬಡಿಸಲು ನೀವು ಟೇಬಲ್ ಅನ್ನು ಹೊಂದಿಸಿದ್ದೀರಿ ಎಂದು ಖಚಿತಪಡಿಸಿಕೊಳ್ಳಿ; ಈ ರಾಗಿ ರೊಟ್ಟಿಯನ್ನು ಒಲೆಯಿಂದ ಪ್ಲೇಟ್‌ಗೆ ಬಿಸಿಯಾಗಿ ಬಡಿಸಬೇಕು. ಬಾಣಲೆಯನ್ನು ಪೂರ್ವಭಾವಿಯಾಗಿ ಕಾಯಿಸಿ ಮತ್ತು ಎಣ್ಣೆಯಿಂದ ಗ್ರೀಸ್ ಮಾಡಿ. ಡ್ರಮ್‌ಸ್ಟಿಕ್ ಎಲೆಗಳ ರಾಗಿ ರೋಟಿಯ ಒಂದು ಭಾಗವನ್ನು ಮೇಲ್ಮೈಯಲ್ಲಿ ಇರಿಸಿ, ಅದನ್ನು ಹಿಟ್ಟಿನಿಂದ ಪುಡಿಮಾಡಿ ಮತ್ತು ರೋಟಿ ಮಾಡಲು ರೋಲ್ ಮಾಡಿ. ಒಮ್ಮೆ ನೀವು ಅದನ್ನು ಹೊರತೆಗೆದ ನಂತರ, ಅದನ್ನು ಪೂರ್ವಭಾವಿಯಾಗಿ ಕಾಯಿಸಿದ ತವಾದಲ್ಲಿ ಇರಿಸಿ. ಡ್ರಮ್‌ಸ್ಟಿಕ್ ಎಲೆಗಳ ರಾಗಿ ರೋಟಿಯ ಬದಿಗಳಲ್ಲಿ ತುಪ್ಪ ಅಥವಾ ಎಣ್ಣೆಯನ್ನು ಸೇರಿಸಿ ಮತ್ತು ರೊಟ್ಟಿ ಬೇಯಿಸಿದ ಮತ್ತು ಲಘುವಾಗಿ ಗರಿಗರಿಯಾಗುವವರೆಗೆ ಮಧ್ಯಮ ಉರಿಯಲ್ಲಿ ಎರಡೂ ಬದಿಗಳಲ್ಲಿ ಬೇಯಿಸಿ. ಮಾಡಿದ ನಂತರ, ಶಾಖದಿಂದ ತೆಗೆದುಹಾಕಿ ಮತ್ತು ಬಿಸಿಯಾದ ಡ್ರಮ್‌ಸ್ಟಿಕ್ ಲೀವ್ಸ್ ರಾಗಿ ರೋಟಿಯನ್ನು ಬಡಿಸಿ. ಉಳಿದ ಹಿಟ್ಟಿನ ಭಾಗಗಳೊಂದಿಗೆ ಅದೇ ರೀತಿ ಮುಂದುವರಿಯಿರಿ. ಡ್ರಮ್ ಸ್ಟಿಕ್ ಎಲೆಗಳನ್ನು ರಾಗಿ ರೊಟ್ಟಿ ಪಾಕವಿಧಾನ, ಜೊತೆಗೆ ಮಾವಿನ ಚಟ್ನಿ ಮತ್ತು ಮನೆಯಲ್ಲಿ ತಯಾರಿಸಿದ ಮೊಸರು ಆರೋಗ್ಯಕರ ಉಪಾಹಾರಕ್ಕಾಗಿ ಅಥವಾ ಮಧುಮೇಹ ಸ್ನೇಹಿ .ಟಕ್ಕಾಗಿ ದಾಲ್ ಕಬಿಲಾ ಅಥವಾ ಭಾರ್ವಾ ಕರೇಲಾ ಮಖಾನಿ ಅವರೊಂದಿಗೆ ಸೇವೆ ಸಲ್ಲಿಸಿ.
</t>
  </si>
  <si>
    <t>https://www.archanaskitchen.com/drumstick-leaves-ragi-roti-recipe-moringa-millet-flat-bread</t>
  </si>
  <si>
    <t>Karnataka Style Churumuri Recipe-Spicy Puffed Rice Recipe</t>
  </si>
  <si>
    <t>ಕರ್ನಾಟಕ ಸ್ಟೈಲ್ ಚುರುಮುರಿ ರೆಸಿಪಿ-ಸ್ಪೈಸಿ ಪಫ್ಡ್ ರೈಸ್ ರೆಸಿಪಿ</t>
  </si>
  <si>
    <t>2 ಕಪ್ ಪುಫ್ಡ್ ರೈಸ್, 1 ಮಾವಿನಕಾಯಿ (ಹಸಿ) - ತುರಿದ, 1 ಕ್ಯಾರೆಟ್ (ಗಜ್ಜರ್) - ತುರಿದ, 1 ಸೌತೆಕಾಯಿ - ಕತ್ತರಿಸಿದ, 1 ಈರುಳ್ಳಿ - ಕತ್ತರಿಸಿದ, 1 ಟೊಮೆಟೊ - ಕತ್ತರಿಸಿದ, 4 ಚಮಚ ಹಸಿ ಕಡಲೆಕಾಯಿ (ಮೂಂಗ್‌ಫಾಲಿ) - ಹುರಿದ (ಐಚ್ಛಿಕ), 1/2 ಕಪ್ ಚಿವ್ಡಾ, 1/2 ಕಪ್ ಕೊತ್ತಂಬರಿ ಸೊಪ್ಪು, 1/2 ಕಪ್ ಕೊತ್ತಂಬರಿ ಸೊಪ್ಪು ಲವಂಗ ಬೆಳ್ಳುಳ್ಳಿ</t>
  </si>
  <si>
    <t>2 cup Puffed rice,1 Mango (Raw) - grated,1 Carrot (Gajjar) - grated,1 Cucumber - chopped,1 Onion - chopped,1 Tomato - chopped,4 tablespoon Raw Peanuts (Moongphali) - roasted (optional),1/2 cup Chivda,1/2 cup Coriander (Dhania) Leaves,3 Green Chillies - chopped,4 cloves Garlic</t>
  </si>
  <si>
    <t xml:space="preserve">To begin making the Karnataka Style Churumuri first make the green chutney by grinding all the ingredients listed in a mixer to a coarse paste.Prep all the ingredients and keep it ready. Take a bowl and add all the ingredients  into it along with the chutney and toss it.You can add salt according to your taste. If you want some sweetness you can add Date and Tamarind Chutney Recipe - Khajur Imli Chutney. Serve the Karnataka Style Churumuri (Spicy Puffed Rice Recipe) along with some chat Chatpati Chana Dal Recipe (Chaat) and Aam Ka Panna Recipe (Raw Mango Juice) .
</t>
  </si>
  <si>
    <t xml:space="preserve">ಕರ್ನಾಟಕ ಶೈಲಿಯ ಚುರುಮುರಿಯನ್ನು ತಯಾರಿಸಲು ಪ್ರಾರಂಭಿಸಲು ಮೊದಲು ಮಿಕ್ಸರ್‌ನಲ್ಲಿ ಪಟ್ಟಿ ಮಾಡಲಾದ ಎಲ್ಲಾ ಪದಾರ್ಥಗಳನ್ನು ಒರಟಾದ ಪೇಸ್ಟ್‌ಗೆ ರುಬ್ಬುವ ಮೂಲಕ ಹಸಿರು ಚಟ್ನಿ ಮಾಡಿ. ಎಲ್ಲಾ ಪದಾರ್ಥಗಳನ್ನು ತಯಾರಿಸಿ ಮತ್ತು ಅದನ್ನು ಸಿದ್ಧವಾಗಿಡಿ. ಒಂದು ಬೌಲ್ ಅನ್ನು ತೆಗೆದುಕೊಂಡು ಎಲ್ಲಾ ಪದಾರ್ಥಗಳನ್ನು ಚಟ್ನಿಯೊಂದಿಗೆ ಸೇರಿಸಿ ಮತ್ತು ಅದನ್ನು ಟಾಸ್ ಮಾಡಿ. ನಿಮ್ಮ ರುಚಿಗೆ ಅನುಗುಣವಾಗಿ ನೀವು ಉಪ್ಪನ್ನು ಸೇರಿಸಬಹುದು. ನಿಮಗೆ ಸ್ವಲ್ಪ ಸಿಹಿ ಬೇಕಾದರೆ ನೀವು ಖರ್ಜೂರ ಮತ್ತು ಹುಣಸೆಹಣ್ಣಿನ ಚಟ್ನಿ ಪಾಕವಿಧಾನವನ್ನು ಸೇರಿಸಬಹುದು - ಖಜೂರ್ ಇಮ್ಲಿ ಚಟ್ನಿ. ಕರ್ನಾಟಕ ಶೈಲಿಯ ಚುರುಮುರಿ (ಮಸಾಲೆಯುಕ್ತ ಪಫ್ಡ್ ರೈಸ್ ರೆಸಿಪಿ) ಜೊತೆಗೆ ಕೆಲವು ಚಾಟ್ ಚಟ್ಪತಿ ಚನಾ ದಾಲ್ ರೆಸಿಪಿ (ಚಾಟ್) ಮತ್ತು ಆಮ್ ಕಾ ಪನ್ನಾ ರೆಸಿಪಿ (ಹಸಿ ಮಾವಿನ ಹಣ್ಣಿನ ರಸ)  ಜೊತೆಗೆ ಬಡಿಸಿ.
</t>
  </si>
  <si>
    <t>https://www.archanaskitchen.com/karnataka-style-churumuri-spicy-puffed-rice-recipe</t>
  </si>
  <si>
    <t>Karnataka Style Sorakkai Palya</t>
  </si>
  <si>
    <t>ಕರ್ನಾಟಕ ಸ್ಟೈಲ್ ಸೊರಕ್ಕೈ ಪಲ್ಯ ರೆಸಿಪಿ - ಕರ್ನಾಟಕ ಸ್ಟೈಲ್ ಸೊರಕ್ಕೈ ಪಲ್ಯ (ಹಿಂದಿಯಲ್ಲಿ ಪಾಕವಿಧಾನ)</t>
  </si>
  <si>
    <t>1 ಲೌಕಿ - ಛೀಲಕರ್ ಕಾಟ್ ಲೆ,1 ಟಮಾಟರ್ - ಕಾಟ್ ಲೆ,1 ಛೋಟಾ ಚಮಚ್ಚ ಜೀರಾ,1 ಛೋಚ್ಟಹ ಪೌಡರ್,1 ಛೋಟಾ ಚಮಚ್ಚ ಲಾಲ್ ಮಿರ್ಚ್ ಪೌಡರ್,2 ಬಡೆ ಚಮಚ್ಚ ಸಾಂಬಾರ್ ಪೌಡರ್,1 ಕಢಿ ಪತ್ತಾ,ನಮಕ - ಸ್ವಾದ ಅನುಸಾರ್, ತೇಲ್ - ಪ್ರಯೋಗ ಅನುಸಾರ</t>
  </si>
  <si>
    <t>1 gourd - peel and chop, 1 tomato - chopped, 1 teaspoon cumin seeds, 1 teaspoon turmeric powder, 1 teaspoon red chilli powder, 2 tablespoons sambar powder, 1 sprig curry leaves, salt - as per taste, oil - use accordingly</t>
  </si>
  <si>
    <t>"To make Karnataka Style Sorakkai Palya, first heat oil in a pressure cooker. Add cumin seeds, curry leaves and cook for 10 seconds. Now add tomatoes, salt and cook till tomatoes become soft. After tomatoes become soft, add turmeric powder, red chili powder, sambar powder, bottle gourd and mix well. After 2 minutes add 1/2 cup water, close the cooker and cook till 3 whistles. Let the pressure release automatically. Open the cooker and serve. Serve Karnataka Style Sorakkai Palya with Kirai Sambar and Rice for lunch. "</t>
  </si>
  <si>
    <t xml:space="preserve">ಕರ್ನಾಟಕ ಸ್ಟೈಲ್ ಸೊರಕ್ಕೈ ಪಾಳ್ಯ ಬನಾನೆಗೆ ಸಬಸೆ ಪಹಳೆ ಒಂದು ಪ್ರೆಶರ ಕುಕರ ಮೇಲುಗೈ. ಅದೇ ರೀತಿ ಜೀರಾ, ಕಡತಿ ಪತ್ತ ದಾಲೆ ಮತ್ತು 10 ಸೆಕಂಡ್‌ಗಳು ಅಬ್ ಇಸ್ಮೆನ್ ಟಮಾಟರ್, ನಮಕ್ ಡಾಲೆ ಮತ್ತು ಟಮಾಟರ್ ಗೆ ನರಮ್ ಹೋನೆ ತಕ ಪಕ ಲೆ. ಟಮಾಟರ್‌ನ ನರಮ್ ಹೋನೆಗೆ ಬಾದ ಇಸ್ಮೆಂ ಹಲ್ದಿ ಪೌಡರ್, ಲಾಲ್ ಮಿರ್ಚ್ ಪೌಡರ್, ಸಾಂಬಾರ್ ಪೌಡರ್ ದಾಲೆ ಮತ್ತು ಅಚ್ಛಿ ತರಹ ಸೆ ಮಿಲಾ ಲೆ. 2 ನಿಮಿಷಗಳು ಕೇವಲ 1/2 ಕಪ್ ಪಾನಿ ಡೇಲ್, ಕುಕರ್ ಬಂದ ಕರೆಗಳು ಮತ್ತು 3 ಸಿಟಿ ಆನೇ ತಕ ಪಕ ಲೆ. ಪ್ರೇಷರ್ ಅಪನೇ ಆಪ ನಿಕಲನೇ ದೇ. ಕುಕರ ಖೋಲೆ ಮತ್ತು ಪರೋಸೆ.ಕರ್ನಾಟಕ ಸ್ಟೈಲ್ ಸೊರಕ್ಕೆ ಪಾಳ್ಯ ಕೋ ಕಿರಾಯಿ ಸಾಂಬರ್ ಖಾನೆಗಾಗಿ ಪರೋಸೆ.  
</t>
  </si>
  <si>
    <t>https://www.archanaskitchen.com/karnataka-style-sorakkai-palya-recipe-pressure-cooked-bottle-gourd-recipe-in-hindi</t>
  </si>
  <si>
    <t>Sabbasige Soppu Dosa Recipe (Dill Leaves Sweet Dosa)</t>
  </si>
  <si>
    <t>ಸಬ್ಬಸಿಗೆ ಸೊಪ್ಪು ದೋಸೆ ರೆಸಿಪಿ (ಸಬ್ಬಸಿಗೆ ಸಿಹಿ ದೋಸೆ)</t>
  </si>
  <si>
    <t>1-1/2 ಕಪ್ ಸಬ್ಬಸಿಗೆ ಎಲೆಗಳು - ಕಾಂಡದೊಂದಿಗೆ, 2 ಕಪ್ ದೋಸೆ ಅಕ್ಕಿ - 3 ಗಂಟೆಗಳ ಕಾಲ ನೆನೆಸಿದ, 1/2 ಕಪ್ ಪೋಹಾ (ಚಪ್ಪಟೆಯಾದ ಅಕ್ಕಿ) - 1 ಗಂಟೆ ನೆನೆಸಿದ, 1 ಚಮಚ ಮೆಂತ್ಯ ಬೀಜಗಳು (ಮೆಂತ್ಯ ಬೀಜಗಳು) - 1 ಗಂಟೆ ನೆನೆಸಿದ, 1 ಕಪ್ ಬೆಲ್ಲ - ಪುಡಿ, ಉಪ್ಪು - ರುಚಿಗೆ ತಕ್ಕಷ್ಟು, 2 ಚಮಚ ಸೂರ್ಯಕಾಂತಿ ಜೀರಿಗೆ.</t>
  </si>
  <si>
    <t>1-1/2 cup Dill leaves - with stem,2 cups Dosa rice - soaked for 3 hours,1/2 cup Poha (Flattened rice) - soaked for 1 hour,1 tablespoon Methi Seeds (Fenugreek Seeds) - soaked for 1 hour,1 cup Jaggery - powdered,Salt - to taste,2 tablespoon Sunflower Oil,2 tablespoon Ghee,Water - as required</t>
  </si>
  <si>
    <t xml:space="preserve">To begin making the Sabbasige Soppu Dosa sweet dosa, soak dosa rice in water for 3 hours.Soak methi seeds, thick poha in a little water for about 1 hour.Take little water in a pan, add jaggery. Mix till the jaggery melts. Cool this and keep aside.Take a mixer jar and grind together rice, methi seeds, thick poha, finely chopped dill leaves into a fine batter.Now add the cooled liquid jaggery and salt to the batter and mix until well combined. Add little water; prepare the required consistency of batter.Mix ghee and oil in a bowl to prepare dosa.Heat a dosa tawa, sprinkle some water on the hot tawa to check its readiness. Now spread dosa batter on hot tawa, close and cook on medium flame.When the dosa is half done, apply oil ghee mixture and cook for another minute or until you see nice golden colour.Dill leaves sweet dosa or sabbasige soppu dosa is ready to be served hot with a spoonful of ghee.Serve Sabbasige Soppu Dosa along with South Indian Coconut Chutney or Zucchini Thogayal (Tangy and Spicy Zucchini Chutney) for your breakfast.
</t>
  </si>
  <si>
    <t xml:space="preserve">ಸಬ್ಬಸಿಗೆ ಸೊಪ್ಪು ದೋಸೆಯನ್ನು ಸಿಹಿ ದೋಸೆ ಮಾಡಲು ಆರಂಭಿಸಲು, 3 ಗಂಟೆಗಳ ಕಾಲ ನೀರಿನಲ್ಲಿ ದೋಸೆ ಅಕ್ಕಿಯನ್ನು ನೆನೆಸಿಡಿ. ಮೆತ್ತಿ ಬೀಜಗಳು, ದಪ್ಪ ಪೋಹಾವನ್ನು ಸ್ವಲ್ಪ ನೀರಿನಲ್ಲಿ ಸುಮಾರು 1 ಗಂಟೆ ನೆನೆಸಿಡಿ. ಬಾಣಲೆಯಲ್ಲಿ ಸ್ವಲ್ಪ ನೀರು ತೆಗೆದುಕೊಳ್ಳಿ, ಬೆಲ್ಲ ಸೇರಿಸಿ. ಬೆಲ್ಲ ಕರಗುವ ತನಕ ಮಿಶ್ರಣ ಮಾಡಿ. ಇದನ್ನು ತಣ್ಣಗಾಗಿಸಿ ಮತ್ತು ಪಕ್ಕಕ್ಕೆ ಇರಿಸಿ. ಮಿಕ್ಸರ್ ಜಾರ್ ಅನ್ನು ತೆಗೆದುಕೊಂಡು ಅಕ್ಕಿ, ಮೆಂತ್ಯೆ ಬೀಜಗಳು, ದಪ್ಪ ಪೋಹಾ, ಸಣ್ಣದಾಗಿ ಕೊಚ್ಚಿದ ಮೆಂತ್ಯ ಎಲೆಗಳನ್ನು ಚೆನ್ನಾಗಿ ರುಬ್ಬಿಕೊಳ್ಳಿ. ಈಗ ತಣ್ಣಗಾದ ದ್ರವ ಬೆಲ್ಲ ಮತ್ತು ಉಪ್ಪನ್ನು ಹಿಟ್ಟಿಗೆ ಸೇರಿಸಿ ಮತ್ತು ಚೆನ್ನಾಗಿ ಮಿಶ್ರಣವಾಗುವವರೆಗೆ ಮಿಶ್ರಣ ಮಾಡಿ. ಸ್ವಲ್ಪ ನೀರು ಸೇರಿಸಿ; ಹಿಟ್ಟಿನ ಅಗತ್ಯವಿರುವ ಸ್ಥಿರತೆಯನ್ನು ತಯಾರಿಸಿ. ದೋಸೆಯನ್ನು ತಯಾರಿಸಲು ಒಂದು ಬಟ್ಟಲಿನಲ್ಲಿ ತುಪ್ಪ ಮತ್ತು ಎಣ್ಣೆಯನ್ನು ಮಿಶ್ರಣ ಮಾಡಿ. ಒಂದು ದೋಸೆ ತವಾವನ್ನು ಬಿಸಿ ಮಾಡಿ, ಬಿಸಿ ತವಾವನ್ನು ಅದರ ಸಿದ್ಧತೆಯನ್ನು ಪರೀಕ್ಷಿಸಲು ಸ್ವಲ್ಪ ನೀರನ್ನು ಚಿಮುಕಿಸಿ. ಈಗ ಬಿಸಿ ತವಾದಲ್ಲಿ ದೋಸೆ ಹಿಟ್ಟನ್ನು ಹರಡಿ, ಮುಚ್ಚಿ ಮತ್ತು ಮಧ್ಯಮ ಉರಿಯಲ್ಲಿ ಬೇಯಿಸಿ. ದೋಸೆ ಅರ್ಧ ಮುಗಿದ ನಂತರ, ಎಣ್ಣೆ ತುಪ್ಪದ ಮಿಶ್ರಣವನ್ನು ಅನ್ವಯಿಸಿ ಮತ್ತು ಇನ್ನೊಂದು ನಿಮಿಷ ಬೇಯಿಸಿ ಅಥವಾ ನೀವು ಚೆನ್ನಾಗಿ ಚಿನ್ನದ ಬಣ್ಣ ಕಾಣುವವರೆಗೆ ಬೇಯಿಸಿ. ಮೆಂತ್ಯ ಸೊಪ್ಪಿನ ಸಿಹಿ ದೋಸೆ ಅಥವಾ ಸಬ್ಬಸಿಗೆ ಸೊಪ್ಪು ದೋಸೆಯು ಒಂದು ಚಮಚ ತುಪ್ಪದೊಂದಿಗೆ ಬಿಸಿಯಾಗಿ ಬಡಿಸಲು ಸಿದ್ಧವಾಗಿದೆ. ಭಾರತೀಯ ಕೋನ್ ಸೊಪ್ಪು ಜೊತೆಗೆ ಸಬ್ಬಸಿಗೆ ದೋಸಾವನ್ನು ಬಡಿಸಿ. ನಿಮ್ಮ ಉಪಾಹಾರಕ್ಕಾಗಿ ಚಟ್ನಿ ಅಥವಾ ಕುಂಬಳಕಾಯಿಯನ್ನು ಹೋಲುವ ಚೀನೀಕಾಯಿ ತೊಗಯಲ್ (ಟ್ಯಾಂಗಿ ಮತ್ತು ಮಸಾಲೆಯುಕ್ತ ಕುಂಬಳಕಾಯಿಯನ್ನು ಹೋಲುವ ಚೀನೀಕಾಯಿ ಚಟ್ನಿ).
</t>
  </si>
  <si>
    <t>https://www.archanaskitchen.com/sabbasige-soppu-dosa-recipe-dill-leaves-sweet-dosa</t>
  </si>
  <si>
    <t>Karnataka Style Sabbasige Rasam Recipe - Dill leave &amp; Toor Dal Rasam</t>
  </si>
  <si>
    <t>ಕರ್ನಾಟಕ ಸ್ಟೈಲ್ ಸಬ್ಬಸಿಗೆ ರಸಂ ರೆಸಿಪಿ - ಡಿಲ್ ಲೀವ್ ಮತ್ತು ತೂರ್ ದಾಲ್ ರಸಂ</t>
  </si>
  <si>
    <t>1 ಕಪ್ ಅರ್ಹರ್ ದಾಲ್ (ಸ್ಪ್ಲಿಟ್ ದಲ್), 1 ಕಪ್ ಸಬ್ಬಸಿಗೆ ಎಲೆಗಳು, 2 ಚಮಚ ತಾಜಾ ತೆಂಗಿನಕಾಯಿ - ತುರಿದ, 1 ಚಮಚ ಗಸಗಸೆ, 1 ಈರುಳ್ಳಿ - ಕತ್ತರಿಸಿದ, 1 ಟೊಮೆಟೊ - ಕತ್ತರಿಸಿದ, 1 ದಾಲ್ಚಿನ್ನಿ ಕಡ್ಡಿ (ದಾಲ್ಚಿನಿ), 1 ಚಿಗುರು ಕೊತ್ತಂಬರಿ (ಧನಿಯಾ) ಎಲೆಗಳು, 3 ಚಮಚ ಸಾಂಬಾರ್ ಪುಡಿ, 1 ಚಮಚ ಸಾಸಿವೆ, 1 ಚಮಚ ಸಾಸಿವೆ ಬೆಲ್ಲ, ಸೂರ್ಯಕಾಂತಿ ಎಣ್ಣೆ, ಉಪ್ಪು - ರುಚಿಗೆ</t>
  </si>
  <si>
    <t>1 cup Arhar dal (Split Toor Dal),1 cup Dill leaves,2 tablespoon Fresh coconut - grated,1 tablespoon Poppy seeds,1 Onion - chopped,1 Tomato - chopped,1 Cinnamon Stick (Dalchini),1 sprig Coriander (Dhania) Leaves,3 tablespoon Sambar Powder,1 teaspoon Mustard seeds,1 sprig Curry leaves,1 tablespoon Jaggery,Sunflower Oil,Salt - to taste</t>
  </si>
  <si>
    <t xml:space="preserve">We begin making the Karnataka Style Sabbasige Rasam Recipe (Dill leave &amp; Toor Dal Rasam Recipe) by boiling the dal, dill leaves and coconut in a pressure cooker with turmeric powder and salt.Add 1 cup water and Pressure cook the dal for about 4 whistle, turn off the flame and release the pressure naturally.Once done, drain the water and set aside as that is the base of our rasam , and transfer the dal into another bowl.  Cool it down and blend this in a mixer jar along with poppy seeds, onion, tomato, cinnamon stick, coriander leaves, sambar powder, 1/4 cup of water and grind this  into a smooth paste. Transfer to a bowl and set aside. Heat a kadai with oil on a medium flame, add mustard seeds let it splutter then add the curry leaves. And add the ground  dal masala. Stir and cook for 10 minutes.Add the drained water that you had kept aside and mix well, you can add 1 more cup of water and add jaggery and check for seasoning. Bring it to a boil and switch off the flame. Serve the Karnataka Style Sabbasige Rasam Recipe (Dill leave &amp; Toor Dal Rasam Recipe) along with steamed rice and few drops of ghee on top along with Menthe / Fenugreek Seeds Tambli Recipe (Karnataka Recipes)  for your lunch meal.
</t>
  </si>
  <si>
    <t xml:space="preserve">ಪ್ರೆಶರ್ ಕುಕ್ಕರ್‌ನಲ್ಲಿ ಅರಿಶಿನ ಪುಡಿ ಮತ್ತು ಉಪ್ಪಿನೊಂದಿಗೆ ದಾಲ್, ಮೆಂತೆ ಸೊಪ್ಪು ಮತ್ತು ತೆಂಗಿನಕಾಯಿಯನ್ನು ಕುದಿಸಿ ನಾವು ಕರ್ನಾಟಕ ಶೈಲಿಯ ಸಬ್ಬಸಿಗೆ ರಸಂ ರೆಸಿಪಿ (ಸಬ್ಬಸಿಗೆ ಮತ್ತು ತೂರ್ ದಾಲ್ ರಸಂ ರೆಸಿಪಿ) ತಯಾರಿಸಲು ಪ್ರಾರಂಭಿಸುತ್ತೇವೆ. ಮತ್ತು ಬೇಳೆಯನ್ನು ಇನ್ನೊಂದು ಬಟ್ಟಲಿಗೆ ವರ್ಗಾಯಿಸಿ.  ಇದನ್ನು ತಣ್ಣಗಾಗಿಸಿ ಮತ್ತು ಇದನ್ನು ಮಿಕ್ಸರ್ ಜಾರ್‌ನಲ್ಲಿ ಗಸಗಸೆ, ಈರುಳ್ಳಿ, ಟೊಮ್ಯಾಟೊ, ದಾಲ್ಚಿನ್ನಿ ಕಡ್ಡಿ, ಕೊತ್ತಂಬರಿ ಸೊಪ್ಪು, ಸಾಂಬಾರ್ ಪುಡಿ, 1/4 ಕಪ್ ನೀರು ಮತ್ತು ನಯವಾದ ಪೇಸ್ಟ್‌ಗೆ ರುಬ್ಬಿಕೊಳ್ಳಿ. ಒಂದು ಬಟ್ಟಲಿಗೆ ವರ್ಗಾಯಿಸಿ ಮತ್ತು ಪಕ್ಕಕ್ಕೆ ಇರಿಸಿ. ಮಧ್ಯಮ ಜ್ವಾಲೆಯಲ್ಲಿ ಎಣ್ಣೆಯೊಂದಿಗೆ ಕಡಾಯಿಯನ್ನು ಬಿಸಿ ಮಾಡಿ, ಸಾಸಿವೆ ಸೇರಿಸಿ, ಅದು ಚಿಮುಕಿಸಲು ಬಿಡಿ ನಂತರ ಕರಿಬೇವಿನ ಎಲೆಗಳನ್ನು ಸೇರಿಸಿ. ಮತ್ತು ರುಬ್ಬಿದ ದಾಲ್ ಮಸಾಲಾ ಸೇರಿಸಿ. ಬೆರೆಸಿ ಮತ್ತು 10 ನಿಮಿಷಗಳ ಕಾಲ ಬೇಯಿಸಿ. ನೀವು ಪಕ್ಕಕ್ಕೆ ಇಟ್ಟುಕೊಂಡಿರುವ ಬರಿದು ಮಾಡಿದ ನೀರನ್ನು ಸೇರಿಸಿ ಮತ್ತು ಚೆನ್ನಾಗಿ ಮಿಶ್ರಣ ಮಾಡಿ, ನೀವು ಇನ್ನೂ 1 ಕಪ್ ನೀರು ಸೇರಿಸಿ ಮತ್ತು ಬೆಲ್ಲವನ್ನು ಸೇರಿಸಿ ಮತ್ತು ಮಸಾಲೆಗಾಗಿ ಪರಿಶೀಲಿಸಬಹುದು. ಅದನ್ನು ಕುದಿಸಿ ಮತ್ತು ಜ್ವಾಲೆಯನ್ನು ಆಫ್ ಮಾಡಿ. ಕರ್ನಾಟಕ ಶೈಲಿಯ ಸಬ್ಬಸಿಗೆ ರಸಂ ರೆಸಿಪಿ (ಡಿಲ್ ಲೀವ್ ಮತ್ತು ತೂರ್ ದಾಲ್ ರಸಂ ರೆಸಿಪಿ) ಜೊತೆಗೆ ಆವಿಯಲ್ಲಿ ಬೇಯಿಸಿದ ಅನ್ನ ಮತ್ತು ಕೆಲವು ಹನಿ ತುಪ್ಪದ ಜೊತೆಗೆ ಮೆಂತೆ / ಮೆಂತ್ಯ ಬೀಜಗಳ ತಂಬ್ಲಿ ರೆಸಿಪಿ (ಕರ್ನಾಟಕ ಪಾಕವಿಧಾನಗಳು) ಜೊತೆಗೆ ನಿಮ್ಮ ಊಟಕ್ಕೆ ಬಡಿಸಿ.
</t>
  </si>
  <si>
    <t>http://www.archanaskitchen.com/karnataka-style-sabbasitige-rasam-recipe-dill-leave-toor-dal-rasam-recipe</t>
  </si>
  <si>
    <t>Mavinakayi Chutney Recipe - South Canara Raw Mango Chutney</t>
  </si>
  <si>
    <t>ಮಾವಿನಕಾಯಿ ಚಟ್ನಿ ರೆಸಿಪಿ - ಸೌತ್ ಕೆನರಾ ಹಸಿ ಮಾವಿನಕಾಯಿ ಚಟ್ನಿ</t>
  </si>
  <si>
    <t>2 ಮಾವು (ಹಸಿ) - ಕತ್ತರಿಸಿದ, 5 ಒಣ ಕೆಂಪು ಮೆಣಸಿನಕಾಯಿಗಳು, 1/2 ಟೀಚಮಚ ಸಾಸಿವೆ, 1/2 ಟೀಸ್ಪೂನ್ ಮೇಥಿ ಬೀಜಗಳು (ಮೆಂತ್ಯ ಬೀಜಗಳು), 1/4 ಟೀಚಮಚ ಜೀರಿಗೆ (ಜೀರಾ), 1 ಚಿಟಿಕೆ ಇಂಗು (ಹಿಂಗ್), 1 ಚಮಚ ತೆಂಗಿನ ಎಣ್ಣೆ, ಉಪ್ಪು - ರುಚಿಗೆ</t>
  </si>
  <si>
    <t>2 Mango (Raw) - chopped,5 Dry Red Chillies,1/2 teaspoon Mustard seeds,1/2 teaspoon Methi Seeds (Fenugreek Seeds),1/4 teaspoon Cumin seeds (Jeera),1 pinch Asafoetida (hing),1 tablespoon Coconut Oil,Salt - to taste</t>
  </si>
  <si>
    <t xml:space="preserve">To begin making Mavinakayi Chutney Recipe, take a small pan, add oil, once the oil is hot, add mustard seeds, and allow it to splutter.Immediately add fenugreek, cumin seeds, asafoetida, and saute well for half a minute.Now add red chilies and saute well for 1 minute. Cool this mixture.Add the roasted mixture along with raw mangoes and salt in a blender or a mixer grinder and grind into coarse paste.Serve the Mavinakayi Chutney Recipe as an side dish with Bele Dosa Recipe and homemade butter.
</t>
  </si>
  <si>
    <t xml:space="preserve">ಮಾವಿನಕಾಯಿ ಚಟ್ನಿ ರೆಸಿಪಿ ಮಾಡಲು ಪ್ರಾರಂಭಿಸಲು, ಸಣ್ಣ ಪ್ಯಾನ್ ಅನ್ನು ತೆಗೆದುಕೊಂಡು, ಎಣ್ಣೆಯನ್ನು ಸೇರಿಸಿ, ಎಣ್ಣೆ ಬಿಸಿಯಾದ ನಂತರ, ಸಾಸಿವೆ ಸೇರಿಸಿ, ಮತ್ತು ಅದನ್ನು ಚಿಮುಕಿಸಲು ಅನುಮತಿಸಿ. ತಕ್ಷಣವೇ ಮೆಂತ್ಯ, ಜೀರಿಗೆ, ಇಂಗು ಸೇರಿಸಿ ಮತ್ತು ಅರ್ಧ ನಿಮಿಷ ಚೆನ್ನಾಗಿ ಹುರಿಯಿರಿ. ಈಗ ಕೆಂಪು ಮೆಣಸಿನಕಾಯಿಯನ್ನು ಸೇರಿಸಿ ಮತ್ತು 1 ನಿಮಿಷ ಚೆನ್ನಾಗಿ ಹುರಿಯಿರಿ. ಈ ಮಿಶ್ರಣವನ್ನು ತಣ್ಣಗಾಗಿಸಿ. ಹುರಿದ ಮಿಶ್ರಣವನ್ನು ಹಸಿ ಮಾವಿನಕಾಯಿ ಮತ್ತು ಉಪ್ಪಿನೊಂದಿಗೆ ಬ್ಲೆಂಡರ್ ಅಥವಾ ಮಿಕ್ಸರ್ ಗ್ರೈಂಡರ್‌ನಲ್ಲಿ ಸೇರಿಸಿ ಮತ್ತು ಒರಟಾದ ಪೇಸ್ಟ್‌ಗೆ ರುಬ್ಬಿಕೊಳ್ಳಿ. ಮಾವಿನಕಾಯಿ ಚಟ್ನಿ ರೆಸಿಪಿಯನ್ನು ಬೇಳೆ ದೋಸೆ ರೆಸಿಪಿ ಮತ್ತು ಮನೆಯಲ್ಲಿ ತಯಾರಿಸಿದ ಬೆಣ್ಣೆಯೊಂದಿಗೆ ಭಕ್ಷ್ಯವಾಗಿ ಬಡಿಸಿ.
</t>
  </si>
  <si>
    <t>https://www.archanaskitchen.com/south-canara-style-mavinakayi-hindi-recipe-raw-mango-spicy-chutney</t>
  </si>
  <si>
    <t>Avalakki Bella Usuli Recipe (Jaggery &amp; Flattened Rice)</t>
  </si>
  <si>
    <t>ಅವಲಕ್ಕಿ ಬೆಲ್ಲ ಉಸುಲಿ ರೆಸಿಪಿ (ಬೆಲ್ಲ ಮತ್ತು ಚಪ್ಪಟೆ ಅಕ್ಕಿ)</t>
  </si>
  <si>
    <t>1 ಕಪ್ ಪೋಹಾ (ಚಪ್ಪಟೆಯಾದ ಅಕ್ಕಿ) - ನೀವು ತೆಳುವಾಗಿ ಬಳಸಬಹುದು, 1/2 ಕಪ್ ಬೆಲ್ಲ - ತುರಿದ, 1/4 ಕಪ್ ತಾಜಾ ತೆಂಗಿನಕಾಯಿ - ತುರಿದ, 1 ಟೀಚಮಚ ಏಲಕ್ಕಿ ಪುಡಿ (ಎಲೈಚಿ), ನೀರು - ಪೋಹಾ ನೆನೆಸಲು</t>
  </si>
  <si>
    <t>1 cup Poha (Flattened rice) - you can use thin as well,1/2 cup Jaggery - grated,1/4 cup Fresh coconut - grated,1 teaspoon Cardamom Powder (Elaichi),Water - for soaking poha</t>
  </si>
  <si>
    <t xml:space="preserve">To begin making Avalakki Bella Usuli recipe, wash poha thoroughly with water and drain the excess water. Soak poha in a cup of warm water for about 5 minutes. Drain the water and set asideIn a mixing bowl, add soaked poha. Combine grated jaggery, grated coconut and cardamom powder.Mix them well such that they are combined together.Serve Avalakki Usuli with some grated jaggery on the top. Serve Avalakki Bella Usuli during your fasting days as a snack or as a whole meal.
</t>
  </si>
  <si>
    <t xml:space="preserve">ಅವಲಕ್ಕಿ ಬೆಲ್ಲ ಉಸುಲಿ ಪಾಕವಿಧಾನವನ್ನು ತಯಾರಿಸಲು ಪ್ರಾರಂಭಿಸಲು, ಪೋಹಾವನ್ನು ನೀರಿನಿಂದ ಚೆನ್ನಾಗಿ ತೊಳೆಯಿರಿ ಮತ್ತು ಹೆಚ್ಚುವರಿ ನೀರನ್ನು ಹರಿಸುತ್ತವೆ. ಸುಮಾರು 5 ನಿಮಿಷಗಳ ಕಾಲ ಒಂದು ಕಪ್ ಬೆಚ್ಚಗಿನ ನೀರಿನಲ್ಲಿ ಪೋಹಾವನ್ನು ನೆನೆಸಿಡಿ. ನೀರನ್ನು ಹರಿಸುತ್ತವೆ ಮತ್ತು ಪಕ್ಕಕ್ಕೆ ಇರಿಸಿ ಮಿಶ್ರಣ ಬಟ್ಟಲಿನಲ್ಲಿ, ನೆನೆಸಿದ ಪೋಹಾ ಸೇರಿಸಿ. ತುರಿದ ಬೆಲ್ಲ, ತುರಿದ ತೆಂಗಿನಕಾಯಿ ಮತ್ತು ಏಲಕ್ಕಿ ಪುಡಿಯನ್ನು ಸೇರಿಸಿ.ಅವುಗಳನ್ನು ಒಟ್ಟಿಗೆ ಸೇರಿಸಿ ಚೆನ್ನಾಗಿ ಮಿಶ್ರಣ ಮಾಡಿ.ಅವಲಕ್ಕಿ ಉಸುಲಿಯನ್ನು ಸ್ವಲ್ಪ ತುರಿದ ಬೆಲ್ಲದೊಂದಿಗೆ ಬಡಿಸಿ. ಅವಲಕ್ಕಿ ಬೆಲ್ಲ ಉಸುಲಿಯನ್ನು ನಿಮ್ಮ ಉಪವಾಸದ ದಿನಗಳಲ್ಲಿ ತಿಂಡಿಯಾಗಿ ಅಥವಾ ಸಂಪೂರ್ಣ ಊಟವಾಗಿ ಬಡಿಸಿ.
</t>
  </si>
  <si>
    <t>http://www.archanaskitchen.com/avalakki-bella-usuli-recipe-jaggery-flattened-rice</t>
  </si>
  <si>
    <t>Menthe / Fenugreek Seeds Tambli Recipe (Karnataka Recipes)</t>
  </si>
  <si>
    <t>ಮೆಂತೆ / ಮೆಂತ್ಯ ಬೀಜಗಳ ತಂಬ್ಲಿ ಪಾಕವಿಧಾನ (ಕರ್ನಾಟಕ ಪಾಕವಿಧಾನಗಳು)</t>
  </si>
  <si>
    <t>2 ಚಮಚ ಮೇಥಿ ಬೀಜಗಳು (ಮೆಂತ್ಯ ಬೀಜಗಳು), 3 ಒಣ ಕೆಂಪು ಮೆಣಸಿನಕಾಯಿಗಳು, 1/4 ಕಪ್ ತಾಜಾ ತೆಂಗಿನಕಾಯಿ - ತುರಿದ, 1-1/2 ಕಪ್ ಮೊಸರು (ದಹಿ / ಮೊಸರು), 1/2 ಟೀಚಮಚ ತುಪ್ಪ, ಉಪ್ಪು - ರುಚಿಗೆ, 1 ಟೀಚಮಚ ತುಪ್ಪ, 1/2 ಟೀಚಮಚ ಸಾಸಿವೆ, 1 ಕರಿಬೇವಿನ ಎಲೆಗಳು - ಕೆಲವು</t>
  </si>
  <si>
    <t>2 teaspoons Methi Seeds (Fenugreek Seeds),3 Dry Red Chillies,1/4 cup Fresh coconut - grated,1-1/2 cup Curd (Dahi / Yogurt),1/2 teaspoon Ghee,Salt - to taste,1 teaspoon Ghee,1/2 teaspoon Mustard seeds,1 Curry leaves - few</t>
  </si>
  <si>
    <t xml:space="preserve">To begin making the Menthe/Fenugreek Seeds Tambli Recipe, heat ghee in a kadai or a heavy bottomed pan. Add methi seeds and dry red chillies to it. Roast them until methi seeds and red chilies turn brownish and aromatic. Once done transfer to a plate .In a mixer grinder, blend the methi seeds along with grated coconut, salt and little yogurt to make a smooth paste. You can add a little water to the mixture.Transfer the methe and coconut mixture to a serving bowl . Add the remaining yogurt and stir well. Add salt and check the taste. The final step is to make the seasoning. Heat ghee in the small tadka pan over medium heat.Once hot add mustard seeds and allow it to crackle. When they splutter add curry leaves and turn off the heat. Pour this seasoning on the Menthe Tambli and give a gentle stir. The Menthe Tambli is ready to be served.Serve the Menthe / Fenugreek Seeds Tambli as a side dish along with your main course meal for lunch or dinner.
</t>
  </si>
  <si>
    <t xml:space="preserve">ಮೆಂತೆ/ಮೆಂತ್ಯ ಬೀಜಗಳ ತಂಬ್ಲಿ ಪಾಕವಿಧಾನವನ್ನು ತಯಾರಿಸಲು ಪ್ರಾರಂಭಿಸಲು, ಕಡಾಯಿ ಅಥವಾ ಭಾರೀ ತಳವಿರುವ ಪ್ಯಾನ್‌ನಲ್ಲಿ ತುಪ್ಪವನ್ನು ಬಿಸಿ ಮಾಡಿ. ಅದಕ್ಕೆ ಮೆಣಸಿನಕಾಯಿ ಮತ್ತು ಒಣ ಮೆಣಸಿನಕಾಯಿಯನ್ನು ಸೇರಿಸಿ. ಮೆತ್ತಿ ಬೀಜಗಳು ಮತ್ತು ಕೆಂಪು ಮೆಣಸಿನಕಾಯಿಗಳು ಕಂದು ಮತ್ತು ಸುವಾಸನೆಯಾಗುವವರೆಗೆ ಅವುಗಳನ್ನು ಹುರಿಯಿರಿ. ಒಮ್ಮೆ ಮಾಡಿದ ನಂತರ ಪ್ಲೇಟ್‌ಗೆ ವರ್ಗಾಯಿಸಿ. ಮಿಕ್ಸರ್ ಗ್ರೈಂಡರ್‌ನಲ್ಲಿ ಮೆತ್ತಿ ಬೀಜಗಳನ್ನು ತುರಿದ ತೆಂಗಿನಕಾಯಿ, ಉಪ್ಪು ಮತ್ತು ಸ್ವಲ್ಪ ಮೊಸರು ಜೊತೆಗೆ ನಯವಾದ ಪೇಸ್ಟ್ ಮಾಡಲು ಮಿಶ್ರಣ ಮಾಡಿ. ನೀವು ಮಿಶ್ರಣಕ್ಕೆ ಸ್ವಲ್ಪ ನೀರು ಸೇರಿಸಬಹುದು. ಮೆತ್ತೆ ಮತ್ತು ತೆಂಗಿನಕಾಯಿ ಮಿಶ್ರಣವನ್ನು ಸರ್ವಿಂಗ್ ಬೌಲ್‌ಗೆ ವರ್ಗಾಯಿಸಿ. ಉಳಿದ ಮೊಸರು ಸೇರಿಸಿ ಮತ್ತು ಚೆನ್ನಾಗಿ ಬೆರೆಸಿ. ಉಪ್ಪು ಸೇರಿಸಿ ಮತ್ತು ರುಚಿ ಪರಿಶೀಲಿಸಿ. ಮಸಾಲೆ ಮಾಡುವುದು ಅಂತಿಮ ಹಂತವಾಗಿದೆ. ಮಧ್ಯಮ ಶಾಖದ ಮೇಲೆ ಸಣ್ಣ ತಡ್ಕಾ ಪ್ಯಾನ್‌ನಲ್ಲಿ ತುಪ್ಪವನ್ನು ಬಿಸಿ ಮಾಡಿ. ಬಿಸಿಯಾದ ನಂತರ ಸಾಸಿವೆ ಕಾಳುಗಳನ್ನು ಸೇರಿಸಿ ಮತ್ತು ಅದನ್ನು ಸಿಡಿಸಲು ಬಿಡಿ. ಅವರು ಚಿಮುಕಿಸಿದಾಗ ಕರಿಬೇವಿನ ಎಲೆಗಳನ್ನು ಸೇರಿಸಿ ಮತ್ತು ಉರಿಯನ್ನು ಆಫ್ ಮಾಡಿ. ಈ ಮಸಾಲೆಯನ್ನು ಮೆಂತೆ ತಂಬ್ಲಿಯ ಮೇಲೆ ಸುರಿಯಿರಿ ಮತ್ತು ನಿಧಾನವಾಗಿ ಬೆರೆಸಿ. ಮೆಂತೆ ತಂಬ್ಲಿ ಬಡಿಸಲು ಸಿದ್ಧವಾಗಿದೆ. ಮೆಂತ್ಯೆ / ಮೆಂತ್ಯ ಬೀಜದ ತಂಬ್ಲಿಯನ್ನು ನಿಮ್ಮ ಮುಖ್ಯ ಕೋರ್ಸ್ ಊಟದ ಜೊತೆಗೆ ಊಟಕ್ಕೆ ಅಥವಾ ರಾತ್ರಿಯ ಊಟಕ್ಕೆ ಸೈಡ್ ಡಿಶ್ ಆಗಿ ಬಡಿಸಿ.
</t>
  </si>
  <si>
    <t>https://www.archanaskitchen.com/menthe-fenugreek-seeds-tambli-recipe-karnataka-recipes</t>
  </si>
  <si>
    <t>Karnataka Style Avarekai Upma Recipe</t>
  </si>
  <si>
    <t>ಕರ್ನಾಟಕ ಶೈಲಿಯ ಅವರೆಕಾಯಿ ಉಪ್ಮಾ ರೆಸಿಪಿ</t>
  </si>
  <si>
    <t>1 1/4 ಕಪ್ ಸೂಜಿ (ರವೆ/ ರವೆ), 1 1/2 ಕಪ್ ಅವರೆಕಾಳು / ಲಿಲ್ವಾ ಬೀನ್ಸ್, 1 ಈರುಳ್ಳಿ - ಕತ್ತರಿಸಿದ, 3 ಹಸಿರು ಮೆಣಸಿನಕಾಯಿಗಳು - ಸೀಳು, 1 ಇಂಚು ಶುಂಠಿ - ತುರಿದ, 1/2 ಕಪ್ ಒಣ ತೆಂಗಿನಕಾಯಿ (ಕೊಪ್ಪೆ) - ತುರಿದ, 1/2  ಟೀಚಮಚ ಜೀರಿಗೆ, ಡಿ ಟೀಚಮಚ ಜೀರಿಗೆ / 2 ಟೀಚಮಚ ಜೀರಿಗೆ (2 ಟೀಚಮಚ ಜೀರಿಗೆ), (ಸ್ಪ್ಲಿಟ್), 1/2 ಟೀಚಮಚ ಚನಾ ದಾಲ್ (ಬಂಗಾಳ ಬೇಳೆ), 1 ಟೀಚಮಚ ಅರಿಶಿನ ಪುಡಿ (ಹಲ್ದಿ), 6 ಕರಿಬೇವಿನ ಎಲೆಗಳು, 1 ಟೀಚಮಚ ಸಂಪೂರ್ಣ ಕಪ್ಪು ಮೆಣಸು -, ಉಪ್ಪು - ರುಚಿಗೆ, 3 ಕಪ್ ನೀರು, 1 ಚಮಚ ತುಪ್ಪ, 2 ಚಮಚ ಸೂರ್ಯಕಾಂತಿ ಎಣ್ಣೆ</t>
  </si>
  <si>
    <t>1 1/4 cups Sooji (Semolina/ Rava),1 1/2 cups Avarekalu / Lilva Beans,1 Onion - chopped,3 Green Chillies - slit,1 inch Ginger - grated,1/2 cup Dry coconut (kopra) - grated,1/2  teaspoon Cumin seeds (Jeera),1/2 teaspoon Mustard seeds,1/2 teaspoon White Urad Dal (Split),1/2 teaspoon Chana dal (Bengal Gram Dal),1 teaspoon Turmeric powder (Haldi),6 Curry leaves,1 teaspoon Whole Black Peppercorns - ,Salt - to taste,3 cups Water,1 tablespoon Ghee,2 tablespoon Sunflower Oil</t>
  </si>
  <si>
    <t xml:space="preserve">We begin making the Karnataka Style Avarekai Upma Recipe, heat a pan on medium flame, dry roast the sooji or rava till it is golden brown and keep it aside. In a separate saucepan, add water and the avarekalu beans along with salt. Bring to a single boil and turn off the flame. Drain the water and keep it aside.In a separate saucepan heat 3 cups water and keep it ready.In a pan, heat oil on medium flame and add the mustard seeds, urad dal, channa dal, jeera seeds and then add the curry leaves, allowing the curry leaves to crackle. Next add the chopped onions, saute till it is golden brown, next add the green chilies, ginger, turmeric powder and boiled avarekalu beans and give it a toss.Add in the roasted rava and mix it well, once that is done slowly add in the boiling water. Mix well, check for seasoning by adding salt and crushed pepper.Let it boil and let the rava get cooked. Once the rava is cooked mix it well and add the grated coconut and a tablespoon of ghee and toss well. Serve the Karnataka Style Avarekai Upma Recipe along with Coconut Peanut Chutney Recipe and Jaggery Coffee Without Milk Recipe for breakfast.
</t>
  </si>
  <si>
    <t xml:space="preserve">ನಾವು ಕರ್ನಾಟಕ ಶೈಲಿಯ ಅವರೆಕಾಯಿ ಉಪ್ಮಾ ರೆಸಿಪಿ ಮಾಡಲು ಪ್ರಾರಂಭಿಸುತ್ತೇವೆ, ಮಧ್ಯಮ ಉರಿಯಲ್ಲಿ ಪ್ಯಾನ್ ಅನ್ನು ಬಿಸಿ ಮಾಡಿ, ಸೂಜಿ ಅಥವಾ ರವಾವನ್ನು ಗೋಲ್ಡನ್ ಬ್ರೌನ್ ಆಗುವವರೆಗೆ ಒಣಗಿಸಿ ಮತ್ತು ಅದನ್ನು ಪಕ್ಕಕ್ಕೆ ಇರಿಸಿ. ಪ್ರತ್ಯೇಕ ಲೋಹದ ಬೋಗುಣಿಗೆ, ಉಪ್ಪು ಜೊತೆಗೆ ನೀರು ಮತ್ತು ಅವರೆಕಾಳು ಬೀನ್ಸ್ ಸೇರಿಸಿ. ಒಂದೇ ಕುದಿಯಲು ತಂದು ಜ್ವಾಲೆಯನ್ನು ಆಫ್ ಮಾಡಿ. ನೀರನ್ನು ಹರಿಸುತ್ತವೆ ಮತ್ತು ಅದನ್ನು ಪಕ್ಕಕ್ಕೆ ಇರಿಸಿ. ಪ್ರತ್ಯೇಕ ಪಾತ್ರೆಯಲ್ಲಿ 3 ಕಪ್ ನೀರನ್ನು ಬಿಸಿ ಮಾಡಿ ಮತ್ತು ಅದನ್ನು ಸಿದ್ಧವಾಗಿ ಇರಿಸಿ. ಬಾಣಲೆಯಲ್ಲಿ ಮಧ್ಯಮ ಉರಿಯಲ್ಲಿ ಎಣ್ಣೆಯನ್ನು ಬಿಸಿ ಮಾಡಿ ಮತ್ತು ಸಾಸಿವೆ, ಉದ್ದಿನ ಬೇಳೆ, ಚನ್ನ ದಾಲ್, ಜೀರಿಗೆ ಸೇರಿಸಿ ಮತ್ತು ಕರಿಬೇವಿನ ಎಲೆಗಳನ್ನು ಸೇರಿಸಿ, ಕರಿಬೇವಿನ ಎಲೆಗಳನ್ನು ಭೇದಿಸಲು ಅವಕಾಶ ಮಾಡಿಕೊಡಿ. ಮುಂದೆ ಕತ್ತರಿಸಿದ ಈರುಳ್ಳಿ ಸೇರಿಸಿ, ಅದು ಗೋಲ್ಡನ್ ಬ್ರೌನ್ ಆಗುವವರೆಗೆ ಹುರಿಯಿರಿ, ನಂತರ ಹಸಿರು ಮೆಣಸಿನಕಾಯಿಗಳು, ಶುಂಠಿ, ಅರಿಶಿನ ಪುಡಿ ಮತ್ತು ಬೇಯಿಸಿದ ಅವರೆಕಾಳು ಬೀನ್ಸ್ ಸೇರಿಸಿ ಮತ್ತು ಟಾಸ್ ನೀಡಿ. ಹುರಿದ ರವೆ ಸೇರಿಸಿ ಮತ್ತು ಚೆನ್ನಾಗಿ ಮಿಶ್ರಣ ಮಾಡಿ, ಅದು ನಿಧಾನವಾಗಿ ಕುದಿಯುವ ನೀರಿನಲ್ಲಿ ಸೇರಿಸಿ. ಚೆನ್ನಾಗಿ ಮಿಶ್ರಣ ಮಾಡಿ, ಉಪ್ಪು ಮತ್ತು ಪುಡಿಮಾಡಿದ ಮೆಣಸು ಸೇರಿಸುವ ಮೂಲಕ ಮಸಾಲೆಗಾಗಿ ಪರಿಶೀಲಿಸಿ. ಇದು ಕುದಿಯಲು ಬಿಡಿ ಮತ್ತು ರವಾವನ್ನು ಬೇಯಿಸಲು ಬಿಡಿ. ರವೆ ಬೆಂದ ನಂತರ ಅದನ್ನು ಚೆನ್ನಾಗಿ ಮಿಶ್ರಣ ಮಾಡಿ ಮತ್ತು ತೆಂಗಿನ ತುರಿ ಮತ್ತು ಒಂದು ಚಮಚ ತುಪ್ಪ ಸೇರಿಸಿ ಚೆನ್ನಾಗಿ ಟಾಸ್ ಮಾಡಿ. ಕರ್ನಾಟಕ ಶೈಲಿಯ ಅವರೆಕಾಯಿ ಉಪ್ಮಾ ರೆಸಿಪಿ ಜೊತೆಗೆ ತೆಂಗಿನಕಾಯಿ ಕಡಲೆ ಚಟ್ನಿ ರೆಸಿಪಿ ಮತ್ತು ಹಾಲು ರಹಿತ ಬೆಲ್ಲದ ಕಾಫಿಯನ್ನು ಬೆಳಗಿನ ಉಪಾಹಾರಕ್ಕಾಗಿ ಬಡಿಸಿ.
</t>
  </si>
  <si>
    <t>https://www.archanaskitchen.com/karnataka-style-avarekai-upma-uppittu-recipe</t>
  </si>
  <si>
    <t>Karnataka Style Ellu Bella Recipe (Sankrati Mix Recipe)</t>
  </si>
  <si>
    <t>ಕರ್ನಾಟಕ ಸ್ಟೈಲ್ ಎಳ್ಳು ಬೆಲ್ಲ ರೆಸಿಪಿ (ಸಂಕ್ರಾತಿ ಮಿಕ್ಸ್ ರೆಸಿಪಿ)</t>
  </si>
  <si>
    <t>1 ಕಪ್ ಹುರಿದ ಬೇಳೆ (ಪೊಟ್ಟುಕಡಲೈ), 1 ಕಪ್ ಹಸಿ ಕಡಲೆಕಾಯಿ (ಮೂಂಗ್‌ಫಲಿ), 1 ಕಪ್ ಒಣ ತೆಂಗಿನಕಾಯಿ (ಕೊಪ್ರ) - ಸಣ್ಣ ತುಂಡುಗಳಾಗಿ ಕತ್ತರಿಸಿ, 1 ಕಪ್ ಬೆಲ್ಲ - ಸಣ್ಣ ತುಂಡುಗಳಾಗಿ ಕತ್ತರಿಸಿ, 1/2 ಕಪ್ ಎಳ್ಳು ಬೀಜಗಳು (ಟಿಲ್ ಬೀಜಗಳು)</t>
  </si>
  <si>
    <t>1 cup Roasted Gram Dal (Pottukadalai),1 cup Raw Peanuts (Moongphali),1 cup Dry coconut (kopra) - chopped into small pieces,1 cup Jaggery - cut into small pieces,1/2 cup Sesame seeds (Til seeds)</t>
  </si>
  <si>
    <t xml:space="preserve">We begin making the Karnataka Style Ellu Bella Recipe (Sankranti Mix Recipe) by following the procedure below:Roasting the peanutsHeat a big kadai, when it is hot and before it starts to smoke add in the peanuts with skin and roast them till it become slightly brown.Once done, let it cool down, by using a Muslin cloth or Gunny bag, add in the roasted peanuts in the center and wrap them up, hold it tightly by using one hand and with the other hand rub the peanuts against the cloth. This will help in removing the skin from the peanuts. Blow away the husk and keep the peanuts aside.For the copraRemove the outer brown layer from the copra, cut them into small pieces and dry roast them on the kadai and keep it aside.For the JaggeryYou can use a knife to cut the jaggery into small pieces and keep it aside. It should be of the same size as the copraTo assembleDry roast the sesame seeds also and mix in all the other ingredients together.
</t>
  </si>
  <si>
    <t xml:space="preserve">ಈ ಕೆಳಗಿನ ವಿಧಾನವನ್ನು ಅನುಸರಿಸಿ ನಾವು ಕರ್ನಾಟಕ ಶೈಲಿಯ ಎಳ್ಳು ಬೆಲ್ಲದ ಪಾಕವಿಧಾನವನ್ನು (ಸಂಕ್ರಾಂತಿ ಮಿಕ್ಸ್ ರೆಸಿಪಿ) ಮಾಡಲು ಪ್ರಾರಂಭಿಸುತ್ತೇವೆ: ಕಡಲೆಕಾಯಿಯನ್ನು ಹುರಿದು ಒಂದು ದೊಡ್ಡ ಕಡಾಯಿಯನ್ನು ಬಿಸಿ ಮಾಡಿ, ಅದು ಬಿಸಿಯಾಗಿರುವಾಗ ಮತ್ತು ಹೊಗೆಯಾಡಲು ಪ್ರಾರಂಭಿಸುವ ಮೊದಲು ಚರ್ಮದೊಂದಿಗೆ ಸೇರಿಸಿ ಮತ್ತು ಸ್ವಲ್ಪ ಕಂದು ಬಣ್ಣ ಬರುವವರೆಗೆ ಅವುಗಳನ್ನು ಹುರಿದುಕೊಳ್ಳಿ. ಮೇಲೆ, ಒಂದು ಕೈಯಿಂದ ಅದನ್ನು ಬಿಗಿಯಾಗಿ ಹಿಡಿದುಕೊಳ್ಳಿ ಮತ್ತು ಇನ್ನೊಂದು ಕೈಯಿಂದ ಬಟ್ಟೆಯ ವಿರುದ್ಧ ಕಡಲೆಕಾಯಿಯನ್ನು ಉಜ್ಜಿಕೊಳ್ಳಿ. ಇದು ಕಡಲೆಕಾಯಿಯಿಂದ ಚರ್ಮವನ್ನು ತೆಗೆದುಹಾಕಲು ಸಹಾಯ ಮಾಡುತ್ತದೆ. ಸಿಪ್ಪೆಯನ್ನು ಊದಿರಿ ಮತ್ತು ಕಡಲೆಕಾಯಿಯನ್ನು ಪಕ್ಕಕ್ಕೆ ಇರಿಸಿ. ಕೊಪ್ಪರಿಗೆ ಕೊಪ್ಪೆಯಿಂದ ಹೊರ ಕಂದು ಪದರವನ್ನು ತೆಗೆದುಹಾಕಿ, ಅವುಗಳನ್ನು ಸಣ್ಣ ತುಂಡುಗಳಾಗಿ ಕತ್ತರಿಸಿ ಕಡಾಯಿಯ ಮೇಲೆ ಒಣಗಿಸಿ ಮತ್ತು ಅದನ್ನು ಪಕ್ಕಕ್ಕೆ ಇರಿಸಿ. ಬೆಲ್ಲಕ್ಕಾಗಿ ನೀವು ಬೆಲ್ಲವನ್ನು ಸಣ್ಣ ತುಂಡುಗಳಾಗಿ ಕತ್ತರಿಸಿ ಪಕ್ಕಕ್ಕೆ ಇಡಬಹುದು. ಇದು ಕೊಪ್ಪರಸವನ್ನು ಜೋಡಿಸುವ ಗಾತ್ರದಂತೆಯೇ ಇರಬೇಕು.
</t>
  </si>
  <si>
    <t>https://www.archanaskitchen.com/karnataka-style-ellu-bella-recipe-sankrati-mix-recipe</t>
  </si>
  <si>
    <t>Sprouted Green Gram Kosambari Recipe- With Pomegranates</t>
  </si>
  <si>
    <t>ಮೊಳಕೆಯೊಡೆದ ಹಸಿರು ಬೇಳೆ ಕೋಸಂಬರಿ ರೆಸಿಪಿ- ದಾಳಿಂಬೆಯೊಂದಿಗೆ</t>
  </si>
  <si>
    <t>1 ಕಪ್ ಹಸಿರು ಮೂಂಗ್ ಮೊಗ್ಗುಗಳು, 1/2 ಕಪ್ ಕ್ಯಾರೆಟ್ (ಗಜ್ಜರ್) - ತುರಿದ, 1/2 ಕಪ್ ತಾಜಾ ದಾಳಿಂಬೆ ಹಣ್ಣಿನ ಕಾಳುಗಳು, 2 ರಿಂದ 4 ಹಸಿರು ಮೆಣಸಿನಕಾಯಿಗಳು - ಕತ್ತರಿಸಿದ, 1 ರಿಂದ 2 ಟೇಬಲ್ಸ್ಪೂನ್ ತಾಜಾ ತೆಂಗಿನಕಾಯಿ - ತುರಿದ (ಐಚ್ಛಿಕ), 2 ಕೊತ್ತಂಬರಿ ಸೊಪ್ಪು (ಧನಿಯಾ) ಎಲೆಗಳು - ರುಚಿಗೆ ತಕ್ಕಂತೆ, ರಸ - ರುಚಿಗೆ ತಕ್ಕಷ್ಟು ಎಣ್ಣೆ - ಅಗತ್ಯವಿರುವಂತೆ, 1 ಟೀಚಮಚ ಸಾಸಿವೆ, 1 ಚಿಟಿಕೆ ಇಂಗು (ಹಿಂಗ್), 1 ಚಿಗುರು ಕರಿಬೇವಿನ ಎಲೆಗಳು</t>
  </si>
  <si>
    <t>1 cup Green Moong Sprouts,1/2 cup Carrots (Gajjar) - grated,1/2 cup Fresh Pomegranate Fruit Kernels,2 to 4 Green Chillies - chopped,1 to 2 tablespoons Fresh coconut - grated (optional),2 sprig Coriander (Dhania) Leaves - chopped,Lemon juice - as required,Salt - to taste,Sunflower Oil - as required,1 teaspoon Mustard seeds,1 pinch Asafoetida (hing),1 sprig Curry leaves</t>
  </si>
  <si>
    <t xml:space="preserve">To begin making the Sprouted Green Gram Kosambari recipe, we need to keep the green moong sprouts ready. We can either use store bought Sprouts or learn How to make Sprouts at Home. In a big bowl, combine the  sprouted moong, grated carrot, pomegranate, green chillies, grated coconut, coriander leaves, salt and lime.In a tadka pan heat oil on medium flame and once it's hot add mustard seeds. When they splutter, add in the asafoetida. Turn off the flame. Pour the tempering on the Sprouted Green Gram Kosambari. Healthy, nutritious and delicious Sprouted moong salad is ready to serve.Serve Sprouted Green Gram Kosambari along with Tomato Onion Sambar and Steamed Rice and Raw Papaya Thoran Recipe for a weekday meal.
</t>
  </si>
  <si>
    <t xml:space="preserve">ಮೊಳಕೆಯೊಡೆದ ಗ್ರೀನ್ ಗ್ರಾಂ ಕೋಸಂಬರಿ ಪಾಕವಿಧಾನವನ್ನು ತಯಾರಿಸಲು ಪ್ರಾರಂಭಿಸಲು, ನಾವು ಹಸಿರು ಮೂಂಗ್ ಮೊಗ್ಗುಗಳನ್ನು ಸಿದ್ಧವಾಗಿಟ್ಟುಕೊಳ್ಳಬೇಕು. ನಾವು ಅಂಗಡಿಯಲ್ಲಿ ಖರೀದಿಸಿದ ಮೊಗ್ಗುಗಳನ್ನು ಬಳಸಬಹುದು ಅಥವಾ ಮನೆಯಲ್ಲಿ ಮೊಳಕೆಯೊಡೆಯುವುದು ಹೇಗೆ ಎಂದು ಕಲಿಯಬಹುದು. ದೊಡ್ಡ ಬಟ್ಟಲಿನಲ್ಲಿ, ಮೊಳಕೆಯೊಡೆದ ಮೂಂಗ್, ತುರಿದ ಕ್ಯಾರೆಟ್, ದಾಳಿಂಬೆ, ಹಸಿರು ಮೆಣಸಿನಕಾಯಿಗಳು, ತುರಿದ ತೆಂಗಿನಕಾಯಿ, ಕೊತ್ತಂಬರಿ ಸೊಪ್ಪು, ಉಪ್ಪು ಮತ್ತು ಸುಣ್ಣವನ್ನು ಸೇರಿಸಿ. ತಡ್ಕಾ ಪ್ಯಾನ್‌ನಲ್ಲಿ ಮಧ್ಯಮ ಉರಿಯಲ್ಲಿ ಎಣ್ಣೆಯನ್ನು ಬಿಸಿ ಮಾಡಿ ಮತ್ತು ಅದು ಬಿಸಿಯಾದ ನಂತರ ಸಾಸಿವೆ ಸೇರಿಸಿ. ಅವು ಚೆಲ್ಲಿದಾಗ, ಇಂಗು ಸೇರಿಸಿ. ಜ್ವಾಲೆಯನ್ನು ಆಫ್ ಮಾಡಿ. ಮೊಳಕೆಯೊಡೆದ ಹಸಿರು ಗ್ರಾಂ ಕೋಸಂಬರಿ ಮೇಲೆ ಹದಗೊಳಿಸುವಿಕೆಯನ್ನು ಸುರಿಯಿರಿ. ಆರೋಗ್ಯಕರ, ಪೌಷ್ಟಿಕ ಮತ್ತು ರುಚಿಕರವಾದ ಮೊಳಕೆಯೊಡೆದ ಮೂಂಗ್ ಸಲಾಡ್ ಬಡಿಸಲು ಸಿದ್ಧವಾಗಿದೆ. ಮೊಳಕೆಯೊಡೆದ ಹಸಿರು ಬೇಳೆ ಕೋಸಂಬರಿಯನ್ನು ಟೊಮೊಟೊ ಈರುಳ್ಳಿ ಸಾಂಬಾರ್ ಮತ್ತು ಆವಿಯಲ್ಲಿ ಬೇಯಿಸಿದ ಅನ್ನ ಮತ್ತು ಹಸಿ ಪಪ್ಪಾಯಿ ಥೋರನ್ ರೆಸಿಪಿಯನ್ನು ವಾರದ ದಿನದ ಊಟಕ್ಕೆ ಬಡಿಸಿ.
</t>
  </si>
  <si>
    <t>http://www.archanaskitchen.com/sprouted-green-gram-kosambari-recipe</t>
  </si>
  <si>
    <t>Sajjappa Recipe (Stuffed Sweetened Coconut Pastry)</t>
  </si>
  <si>
    <t>ಸಜ್ಜಪ್ಪ ರೆಸಿಪಿ (ಸ್ಟಫ್ಡ್ ಸ್ವೀಟೆನ್ಡ್ ತೆಂಗಿನಕಾಯಿ ಪೇಸ್ಟ್ರಿ)</t>
  </si>
  <si>
    <t>1/2 ಕಪ್ ಆಲ್ ಪರ್ಪಸ್ ಹಿಟ್ಟು (ಮೈದಾ), 1 ಕಪ್ ಚಿರೋಟಿ ರವಾ, 1 ಚಮಚ ತುಪ್ಪ, 1/2 ಟೀಚಮಚ ಉಪ್ಪು, 1 ಕಪ್ ತಾಜಾ ತೆಂಗಿನಕಾಯಿ - ತುರಿದ, 1 ಕಪ್ ಡೆಸಿಕೇಟೆಡ್ ತೆಂಗಿನಕಾಯಿ, 1-1/2 ಕಪ್ ಬೆಲ್ಲ - (ಹೊಂದಿಸಿ), 2 ಚಮಚ ಗಸಗಸೆ - ಅಥವಾ ಖುಸ್ ಖುಸ್, 3 ಚಮಚ ಚಿರೋಟಿ ರವಾ, 1 ಚಮಚ ಚಿರೋಟಿ ರವಾ, 1 ಚಮಚ ಎಣ್ಣೆ - ಆಳವಾದ ಹುರಿಯಲು</t>
  </si>
  <si>
    <t>1/2 cup All Purpose Flour (Maida),1 cup Chiroti Rava,1 tablespoon Ghee,1/2 teaspoon Salt,1 cup Fresh coconut - grated,1 cup Dessicated Coconut,1-1/2 cups Jaggery - (adjust),2 tablespoons Poppy seeds - or khus khus,3 tablespoons Chiroti Rava,1 teaspoon Cardamom Powder (Elaichi),Sunflower Oil - to deep fry</t>
  </si>
  <si>
    <t xml:space="preserve">Make the DoughTo prepare Sajjappa Recipe (Fried Sweetened Coconut Pastry), prepare the dough. In a wide bowl take maida, fine rava, ghee and salt.Mix nicely with the tips of your fingers.It will become like breadcrumb.Next add enough water to make a soft dough like chapathi dough. The dough has to be little loose than poori dough but not too soft.Cover it with a wet cloth and keep it aside for 1-2 hours.Make the StuffingIn a shallow fry pan, dry roast poppy seeds for 1-2 minutes till they are aromatic. Dry roast chiroti rava for 1-2 mins.Take a kadai. Add jaggery. When it melts a little, add grated coconut and desiccated coconut powder. Mix well .Cook till it becomes little dry and all the moisture evaporates. Add cardamom powder, roasted rava and khus khus. Mix everything well. Allow the prepared stuffing to cool.To fry sajjappaKnead the dough well again to make the it soft and pliable. Divide the balls to small lemon sized balls.Take a deep kadai and heat enough oil to deep fry.Take a lemon size ball and flatten it into a disc using hand or rolling pin . Keep little coconut stuffing (hoorna ) in the middle .Close all sides with the extra dough (as we do for paratha) .Roll gently into a small poori. Make sure the stuffing does not ooze out.Deep fry in oil, on a medium heat, till the outer covering is golden brown and crispy. Remove onto a paper napkin to remove excess oil. Continue the process with the remaining dough.Crispy Sajjappa recipe is ready to enjoy. Store them in an airtight container after it cools and you can store them for 10-15 days.
</t>
  </si>
  <si>
    <t xml:space="preserve">ಸಜ್ಜಪ್ಪ ರೆಸಿಪಿ (ಹುರಿದ ಸಿಹಿ ತೆಂಗಿನಕಾಯಿ ಪೇಸ್ಟ್ರಿ) ತಯಾರಿಸಲು ಹಿಟ್ಟನ್ನು ತಯಾರಿಸಿ, ಹಿಟ್ಟನ್ನು ತಯಾರಿಸಿ. ಒಂದು ಅಗಲವಾದ ಬಟ್ಟಲಿನಲ್ಲಿ ಮೈದಾ, ಉತ್ತಮವಾದ ರವೆ, ತುಪ್ಪ ಮತ್ತು ಉಪ್ಪನ್ನು ತೆಗೆದುಕೊಳ್ಳಿ. ನಿಮ್ಮ ಬೆರಳುಗಳ ತುದಿಗಳೊಂದಿಗೆ ಚೆನ್ನಾಗಿ ಮಿಶ್ರಣ ಮಾಡಿ. ಅದು ಬ್ರೆಡ್‌ಕ್ರಂಬ್‌ನಂತೆ ಆಗುತ್ತದೆ. ನಂತರ ಚಪಾತಿ ಹಿಟ್ಟಿನಂತಹ ಮೃದುವಾದ ಹಿಟ್ಟನ್ನು ಮಾಡಲು ಸಾಕಷ್ಟು ನೀರು ಸೇರಿಸಿ. ಹಿಟ್ಟು ಪೂರಿ ಹಿಟ್ಟಿಗಿಂತ ಸ್ವಲ್ಪ ಸಡಿಲವಾಗಿರಬೇಕು ಆದರೆ ತುಂಬಾ ಮೃದುವಾಗಿರಬಾರದು. ಅದನ್ನು ಒದ್ದೆಯಾದ ಬಟ್ಟೆಯಿಂದ ಮುಚ್ಚಿ ಮತ್ತು 1-2 ಗಂಟೆಗಳ ಕಾಲ ಪಕ್ಕಕ್ಕೆ ಇರಿಸಿ. ಸ್ಟಫಿಂಗ್ ಅನ್ನು ಆಳವಿಲ್ಲದ ಫ್ರೈ ಪ್ಯಾನ್‌ನಲ್ಲಿ ಮಾಡಿ, ಗಸಗಸೆ ಬೀಜಗಳನ್ನು ಸುವಾಸನೆಯ ತನಕ 1-2 ನಿಮಿಷಗಳ ಕಾಲ ಒಣಗಿಸಿ. ಚಿರೋಟಿ ರವಾವನ್ನು 1-2 ನಿಮಿಷಗಳ ಕಾಲ ಒಣಗಿಸಿ. ಒಂದು ಕಡಾಯಿ ತೆಗೆದುಕೊಳ್ಳಿ. ಬೆಲ್ಲ ಸೇರಿಸಿ. ಇದು ಸ್ವಲ್ಪ ಕರಗಿದಾಗ, ತೆಂಗಿನ ತುರಿ ಮತ್ತು ಒಣ ತೆಂಗಿನಕಾಯಿ ಪುಡಿ ಸೇರಿಸಿ. ಚೆನ್ನಾಗಿ ಮಿಶ್ರಣ ಮಾಡಿ .ಇದು ಸ್ವಲ್ಪ ಒಣಗುವವರೆಗೆ ಮತ್ತು ಎಲ್ಲಾ ತೇವಾಂಶವು ಆವಿಯಾಗುವವರೆಗೆ ಬೇಯಿಸಿ. ಏಲಕ್ಕಿ ಪುಡಿ, ಹುರಿದ ರವಾ ಮತ್ತು ಖುಸ್ ಖುಸ್ ಸೇರಿಸಿ. ಎಲ್ಲವನ್ನೂ ಚೆನ್ನಾಗಿ ಮಿಶ್ರಣ ಮಾಡಿ. ತಯಾರಾದ ಸ್ಟಫಿಂಗ್ ಅನ್ನು ತಣ್ಣಗಾಗಲು ಅನುಮತಿಸಿ. ಸಜ್ಜಪ್ಪವನ್ನು ಹುರಿಯಲು ಹಿಟ್ಟನ್ನು ಮೃದು ಮತ್ತು ಬಗ್ಗುವಂತೆ ಮಾಡಲು ಮತ್ತೆ ಚೆನ್ನಾಗಿ ಬೆರೆಸಿಕೊಳ್ಳಿ. ಚೆಂಡುಗಳನ್ನು ಸಣ್ಣ ನಿಂಬೆ ಗಾತ್ರದ ಉಂಡೆಗಳಾಗಿ ವಿಂಗಡಿಸಿ. ಆಳವಾದ ಕಡಾಯಿಯನ್ನು ತೆಗೆದುಕೊಂಡು ಡೀಪ್ ಫ್ರೈ ಮಾಡಲು ಸಾಕಷ್ಟು ಎಣ್ಣೆಯನ್ನು ಬಿಸಿ ಮಾಡಿ. ನಿಂಬೆ ಗಾತ್ರದ ಚೆಂಡನ್ನು ತೆಗೆದುಕೊಂಡು ಅದನ್ನು ಹ್ಯಾಂಡ್ ಅಥವಾ ರೋಲಿಂಗ್ ಪಿನ್ ಬಳಸಿ ಡಿಸ್ಕ್ಗೆ ಚಪ್ಪಟೆ ಮಾಡಿ. ಮಧ್ಯದಲ್ಲಿ ಸ್ವಲ್ಪ ತೆಂಗಿನಕಾಯಿ ಸ್ಟಫಿಂಗ್ (ಹೂರ್ಣ) ಇರಿಸಿ .ಹೆಚ್ಚುವರಿ ಹಿಟ್ಟಿನಿಂದ ಎಲ್ಲಾ ಕಡೆ ಮುಚ್ಚಿ (ನಾವು ಪರಾಠಕ್ಕೆ ಮಾಡುವಂತೆ) .ಸಣ್ಣ ಪೂರಿಗೆ ನಿಧಾನವಾಗಿ ಸುತ್ತಿಕೊಳ್ಳಿ. ಸ್ಟಫಿಂಗ್ ಹೊರಹೋಗದಂತೆ ನೋಡಿಕೊಳ್ಳಿ. ಎಣ್ಣೆಯಲ್ಲಿ ಡೀಪ್ ಫ್ರೈ ಮಾಡಿ, ಮಧ್ಯಮ ಉರಿಯಲ್ಲಿ, ಹೊರ ಹೊದಿಕೆಯು ಗೋಲ್ಡನ್ ಬ್ರೌನ್ ಮತ್ತು ಗರಿಗರಿಯಾಗುವವರೆಗೆ. ಹೆಚ್ಚುವರಿ ಎಣ್ಣೆಯನ್ನು ತೆಗೆದುಹಾಕಲು ಕಾಗದದ ಕರವಸ್ತ್ರದ ಮೇಲೆ ತೆಗೆದುಹಾಕಿ. ಉಳಿದ ಹಿಟ್ಟಿನೊಂದಿಗೆ ಪ್ರಕ್ರಿಯೆಯನ್ನು ಮುಂದುವರಿಸಿ. ಗರಿಗರಿಯಾದ ಸಜ್ಜಪ್ಪ ರೆಸಿಪಿ ಸವಿಯಲು ಸಿದ್ಧವಾಗಿದೆ. ತಣ್ಣಗಾದ ನಂತರ ಅವುಗಳನ್ನು ಗಾಳಿಯಾಡದ ಪಾತ್ರೆಯಲ್ಲಿ ಸಂಗ್ರಹಿಸಿ ಮತ್ತು ನೀವು ಅವುಗಳನ್ನು 10-15 ದಿನಗಳವರೆಗೆ ಸಂಗ್ರಹಿಸಬಹುದು.
</t>
  </si>
  <si>
    <t>https://www.archanaskitchen.com/sajjappa-recipe-stuffed-sweetened-coconut-pastry</t>
  </si>
  <si>
    <t>Nuchinunde / Nucchina Unde Recipe -Karnataka Style Dal Steamed Pakora</t>
  </si>
  <si>
    <t>ನುಚ್ಚಿನುಂಡೆ / ನುಚ್ಚಿನ ಉಂಡೆ ರೆಸಿಪಿ -ಕರ್ನಾಟಕ ಸ್ಟೈಲ್ ದಾಲ್ ಸ್ಟೀಮ್ಡ್ ಪಕೋರಾ</t>
  </si>
  <si>
    <t>1 ಕಪ್ ಅರ್ಹರ್ ದಾಲ್ (ಸ್ಪ್ಲಿಟ್ ದಲ್), 1/2 ಕಪ್ ಚನಾ ದಾಲ್ (ಬಂಗಾಳ ಬೇಳೆ) - ಐಚ್ಛಿಕ, 1/2 ಕಪ್ ಸಬ್ಬಸಿಗೆ ಎಲೆಗಳು - ನುಣ್ಣಗೆ ಕತ್ತರಿಸಿದ, 6-7 ಹಸಿರು ಮೆಣಸಿನಕಾಯಿಗಳು - ನುಣ್ಣಗೆ ಕತ್ತರಿಸಿದ, ಶುಂಠಿ - ಸಣ್ಣ ತುಂಡು, 1/2 ಕಪ್ ತಾಜಾ ತೆಂಗಿನಕಾಯಿ, ಕೊತ್ತಂಬರಿ ಸೊಪ್ಪು (ಧನಿಯಾ) ಎಲೆಗಳು, 1 ಸಿಪಿಡ್ ಎಲೆಗಳು, ಚಿಟಿಕೆ ಅರಿಶಿನ ಪುಡಿ (ಹಲ್ದಿ), ಉಪ್ಪು - ರುಚಿಗೆ</t>
  </si>
  <si>
    <t>1 cup Arhar dal (Split Toor Dal),1/2 cup Chana dal (Bengal Gram Dal) - optional,1/2 cup Dill leaves - finely chopped,6-7 Green Chillies - finely chopped,Ginger - small piece,1/2 cup Fresh coconut,sprig Coriander (Dhania) Leaves,Curry leaves,1 pinch Asafoetida (hing),1 pinch Turmeric powder (Haldi),Salt - to taste</t>
  </si>
  <si>
    <t xml:space="preserve">To prepare Nuchinunde / Nucchina Unde Recipe , wash and soak dals in water for about 2-3 hours. Drain water.In a mixer, pulse the lentils coarsely along with green chillies and ginger without adding any water.In a bowl, mix together ground lentils, dill leaves, coriander , curry leaves, coconut, hing &amp; salt.Heat water in a steamer. Grease idli molds with oil.Make oval shaped dumplings and place them in the greased idli stand. Steam cook for 10-15 minutes.When done, serve hot / warm Nucchinunde / Nucchina Unde Recipe with majjige huli / kadale chutney recipe or with tea during evening.
</t>
  </si>
  <si>
    <t xml:space="preserve">ನುಚ್ಚಿನುಂಡೆ / ನುಚ್ಚಿನ ಉಂಡೆ ರೆಸಿಪಿ ತಯಾರಿಸಲು, ಬೇಳೆಯನ್ನು ತೊಳೆದು ಸುಮಾರು 2-3 ಗಂಟೆಗಳ ಕಾಲ ನೀರಿನಲ್ಲಿ ನೆನೆಸಿಡಿ. ನೀರನ್ನು ಬಸಿದುಕೊಳ್ಳಿ.ಮಿಕ್ಸಿಯಲ್ಲಿ, ಹಸಿಮೆಣಸಿನಕಾಯಿ ಮತ್ತು ಶುಂಠಿಯೊಂದಿಗೆ ಒರಟಾಗಿ ಬೇಳೆಕಾಳುಗಳನ್ನು ಯಾವುದೇ ನೀರನ್ನು ಸೇರಿಸದೆಯೇ ಹಾಕಿ.ಒಂದು ಬಟ್ಟಲಿನಲ್ಲಿ, ರುಬ್ಬಿದ ಉದ್ದಿನಬೇಳೆ, ಸಬ್ಬಸಿಗೆ ಸೊಪ್ಪು, ಕೊತ್ತಂಬರಿ ಸೊಪ್ಪು, ಕರಿಬೇವಿನ ಸೊಪ್ಪು, ತೆಂಗಿನಕಾಯಿ, ಹಿಂಗ್ ಮತ್ತು ಉಪ್ಪನ್ನು ಒಟ್ಟಿಗೆ ಸೇರಿಸಿ. ಸ್ಟೀಮರ್ನಲ್ಲಿ ನೀರನ್ನು ಬಿಸಿ ಮಾಡಿ. ಇಡ್ಲಿ ಅಚ್ಚುಗಳನ್ನು ಎಣ್ಣೆಯಿಂದ ಗ್ರೀಸ್ ಮಾಡಿ. ಓವಲ್ ಆಕಾರದ ಡಂಪ್ಲಿಂಗ್‌ಗಳನ್ನು ಮಾಡಿ ಮತ್ತು ಅವುಗಳನ್ನು ಗ್ರೀಸ್ ಮಾಡಿದ ಇಡ್ಲಿ ಸ್ಟ್ಯಾಂಡ್‌ನಲ್ಲಿ ಇರಿಸಿ. 10-15 ನಿಮಿಷಗಳ ಕಾಲ ಸ್ಟೀಮ್ ಕುಕ್ ಮಾಡಿ. ಮುಗಿದ ನಂತರ, ಬಿಸಿ/ಬೆಚ್ಚಗಿನ ನುಚ್ಚಿನುಂಡೆ / ನುಚ್ಚಿನ ಉಂಡೆ ರೆಸಿಪಿಯನ್ನು ಮಜ್ಜಿಗೆ ಹುಲಿ / ಕಡಲೆ ಚಟ್ನಿ ರೆಸಿಪಿಯೊಂದಿಗೆ ಅಥವಾ ಸಂಜೆಯ ಸಮಯದಲ್ಲಿ ಚಹಾದೊಂದಿಗೆ ಬಡಿಸಿ.
</t>
  </si>
  <si>
    <t>https://www.archanaskitchen.com/nucchinunde-nucchina-unde-recipe-karnataka-style-dal-steamed-pakora</t>
  </si>
  <si>
    <t>Karnataka Style Bonda Soup Recipe-Urad dal Fritters in Spicy Dal Soup</t>
  </si>
  <si>
    <t>ಕರ್ನಾಟಕ ಸ್ಟೈಲ್ ಬೋಂಡಾ ಸೂಪ್ ರೆಸಿಪಿ-ಉರಾದ್ ದಾಲ್ ಫ್ರಿಟರ್ಸ್ ಇನ್ ಸ್ಪೈಸಿ ದಾಲ್ ಸೂಪ್</t>
  </si>
  <si>
    <t>1 ಕಪ್ ಬಿಳಿ ಉರಡ್ ದಾಲ್ (ಒಡೆದ) - 2 ಗಂಟೆಗಳ ಕಾಲ ನೀರಿನಲ್ಲಿ ನೆನೆಸಿ, 1 ಹಸಿರು ಮೆಣಸಿನಕಾಯಿ - ಕತ್ತರಿಸಿದ, 1 ಚಿಗುರು ಕರಿಬೇವಿನ ಎಲೆಗಳು - ಕತ್ತರಿಸಿದ, 1 ಟೀಚಮಚ ಕರಿಮೆಣಸಿನ ಪುಡಿ, 1 ಚಮಚ ತಾಜಾ ತೆಂಗಿನಕಾಯಿ - ತುರಿದ, 1 ಟೀಚಮಚ ಅಡಿಗೆ ಸೋಡಾ, ಉಪ್ಪು - ರುಚಿಗೆ, 1/2 ಕಪ್ ಹಳದಿ ಮೂಂಗ್ ದಲ್ (ಒಡೆದ), 1 ಟೊಮೇಟೊ - 1 ಕತ್ತರಿಸಿದ ಹಸಿರು - 1 ಕತ್ತರಿಸಿದ - 1 ಟೊಮ್ಯಾಟೊ - ಕತ್ತರಿಸಿದ, 1 ಟೀಚಮಚ ಜೀರಿಗೆ (ಜೀರಾ), 1 ಚಿಟಿಕೆ ಇಂಗು (ಹಿಂಗ್), 1 ಚಮಚ ಅರಿಶಿನ ಪುಡಿ (ಹಲ್ದಿ), ಉಪ್ಪು - ರುಚಿಗೆ, ಸೂರ್ಯಕಾಂತಿ ಎಣ್ಣೆ, ನೀರು - ಅಗತ್ಯವಿರುವಂತೆ</t>
  </si>
  <si>
    <t>1 cup White Urad Dal (Split) - soaked in water for 2 hours,1 Green Chilli - chopped,1 sprig Curry leaves - chopped,1 teaspoon Black pepper powder,1 tablespoon Fresh coconut - grated,1 teaspoon Baking soda,Salt - to taste,1/2 cup Yellow Moong Dal (Split),1 Tomato - chopped,1 inch Ginger - chopped,1 Green Chilli - chopped,1 teaspoon Cumin seeds (Jeera),1 pinch Asafoetida (hing),1 teaspoon Turmeric powder (Haldi),Salt - to taste,Sunflower Oil,Water - as required</t>
  </si>
  <si>
    <t xml:space="preserve">To begin making the Karnataka Style Bonda Soup Recipe by soaking the urad dal for 2 hours or you can soak it the previous night and make it in the morning and grind them in a mixer with 1/4 cup water to a smooth paste.Now add the reaming ingredients like green chilli, salt, pepper, coconut, curry leaves and soda to it and mix well. Heat a Kuzhi paniyaram Pan and drizzle some oil in each hollow holes.Once it is heated add a tablespoon of the batter in each of the hollow holes and cook on either side till it golden brown for about 10 minutes. Keep them aside.Now pressure cook the moong dal with water, turmeric and salt for about 4 whistle and release the pressure naturally. Open the lid and mash it well to a creamy texture.Heat a sauce pan on a medium heat with some oil, crackle the jeera with hing and then add the ginger, tomato and green chilli. Saute for 2 minutes.Then add in the dal with 1 cup water, make it into a very thin consistency. Add in salt, pepper and coriander leaves. Leave it to boil for 10 minutes and turn it off.Now to serve add in the urad dal bonda in a cup and pour in the soup and serve. Serve the Karnataka Style Bonda Soup Recipe as one pot Breakfast meal in the morning with a cup of Tea.
</t>
  </si>
  <si>
    <t xml:space="preserve">ಕರ್ನಾಟಕ ಸ್ಟೈಲ್ ಬೋಂಡಾ ಸೂಪ್ ರೆಸಿಪಿಯನ್ನು 2 ಗಂಟೆಗಳ ಕಾಲ ನೆನೆಸಿ ಅಥವಾ ಹಿಂದಿನ ರಾತ್ರಿ ನೆನೆಸಿ ಬೆಳಿಗ್ಗೆ ತಯಾರಿಸಿ 1/4 ಕಪ್ ನೀರಿನಲ್ಲಿ ಮಿಕ್ಸರ್‌ನಲ್ಲಿ ರುಬ್ಬಿಕೊಳ್ಳಿ. ಈಗ ಅದಕ್ಕೆ ಹಸಿರು ಮೆಣಸಿನಕಾಯಿ, ಉಪ್ಪು, ಮೆಣಸು, ತೆಂಗಿನಕಾಯಿ, ಕರಿಬೇವಿನ ಸೊಪ್ಪು ಮತ್ತು ಸೋಡಾವನ್ನು ಸೇರಿಸಿ ಚೆನ್ನಾಗಿ ಮಿಶ್ರಣ ಮಾಡಿ. ಕುಝಿ ಪಣಿಯಾರಂ ಪ್ಯಾನ್ ಅನ್ನು ಬಿಸಿ ಮಾಡಿ ಮತ್ತು ಪ್ರತಿ ಟೊಳ್ಳಾದ ರಂಧ್ರಗಳಲ್ಲಿ ಸ್ವಲ್ಪ ಎಣ್ಣೆಯನ್ನು ಚಿಮುಕಿಸಿ. ಅದು ಬಿಸಿಯಾದ ನಂತರ ಪ್ರತಿ ಟೊಳ್ಳಾದ ರಂಧ್ರಗಳಲ್ಲಿ ಒಂದು ಚಮಚ ಹಿಟ್ಟನ್ನು ಸೇರಿಸಿ ಮತ್ತು ಸುಮಾರು 10 ನಿಮಿಷಗಳ ಕಾಲ ಗೋಲ್ಡನ್ ಬ್ರೌನ್ ಆಗುವವರೆಗೆ ಎರಡೂ ಬದಿಗಳಲ್ಲಿ ಬೇಯಿಸಿ. ಅವುಗಳನ್ನು ಪಕ್ಕಕ್ಕೆ ಇರಿಸಿ. ಈಗ ಮೂಂಗ್ ದಾಲ್ ಅನ್ನು ನೀರು, ಅರಿಶಿನ ಮತ್ತು ಉಪ್ಪಿನೊಂದಿಗೆ ಸುಮಾರು 4 ಸೀಟಿಗೆ ಬೇಯಿಸಿ ಮತ್ತು ನೈಸರ್ಗಿಕವಾಗಿ ಒತ್ತಡವನ್ನು ಬಿಡುಗಡೆ ಮಾಡಿ. ಮುಚ್ಚಳವನ್ನು ತೆರೆಯಿರಿ ಮತ್ತು ಅದನ್ನು ಕೆನೆ ವಿನ್ಯಾಸಕ್ಕೆ ಚೆನ್ನಾಗಿ ಮ್ಯಾಶ್ ಮಾಡಿ. ಸ್ವಲ್ಪ ಎಣ್ಣೆಯೊಂದಿಗೆ ಮಧ್ಯಮ ಉರಿಯಲ್ಲಿ ಸಾಸ್ ಪ್ಯಾನ್ ಅನ್ನು ಬಿಸಿ ಮಾಡಿ, ಜೀರಾವನ್ನು ಹಿಂಗಿನಿಂದ ಸಿಡಿಸಿ ಮತ್ತು ನಂತರ ಶುಂಠಿ, ಟೊಮೆಟೊ ಮತ್ತು ಹಸಿರು ಮೆಣಸಿನಕಾಯಿಯನ್ನು ಸೇರಿಸಿ. 2 ನಿಮಿಷಗಳ ಕಾಲ ಹುರಿಯಿರಿ. ನಂತರ 1 ಕಪ್ ನೀರಿನೊಂದಿಗೆ ದಾಲ್ ಅನ್ನು ಸೇರಿಸಿ, ಅದನ್ನು ತುಂಬಾ ತೆಳುವಾದ ಸ್ಥಿರತೆಗೆ ಮಾಡಿ. ಉಪ್ಪು, ಮೆಣಸು ಮತ್ತು ಕೊತ್ತಂಬರಿ ಸೊಪ್ಪು ಸೇರಿಸಿ. ಇದನ್ನು 10 ನಿಮಿಷಗಳ ಕಾಲ ಕುದಿಯಲು ಬಿಡಿ ಮತ್ತು ಅದನ್ನು ಆಫ್ ಮಾಡಿ. ಈಗ ಬಡಿಸಲು ಒಂದು ಕಪ್‌ನಲ್ಲಿ ಉರಡ್ ದಾಲ್ ಬೋಂಡಾ ಸೇರಿಸಿ ಮತ್ತು ಸೂಪ್‌ನಲ್ಲಿ ಸುರಿಯಿರಿ ಮತ್ತು ಬಡಿಸಿ.  ಕರ್ನಾಟಕ ಶೈಲಿಯ ಬೋಂಡಾ ಸೂಪ್ ರೆಸಿಪಿಯನ್ನು ಒಂದು ಮಡಕೆಯಂತೆ ಒಂದು ಕಪ್ ಚಹಾದೊಂದಿಗೆ ಬೆಳಗಿನ ಉಪಾಹಾರದ ಊಟವಾಗಿ ಬಡಿಸಿ.
</t>
  </si>
  <si>
    <t>https://www.archanaskitchen.com/karnataka-style-bonda-soup-recipe-urad-dal-fritters-in-spicy-dal-soup-recipe</t>
  </si>
  <si>
    <t>Karnataka Style Chicken Saaru Recipe</t>
  </si>
  <si>
    <t>ಕರ್ನಾಟಕ ಸ್ಟೈಲ್ ಚಿಕನ್ ಸಾರು ರೆಸಿಪಿ</t>
  </si>
  <si>
    <t>300 ಗ್ರಾಂ ಚಿಕನ್ - ಮೂಳೆಯೊಂದಿಗೆ, 1 ಟೀಚಮಚ ಕೆಂಪು ಮೆಣಸಿನ ಪುಡಿ, 1/4 ಟೀಚಮಚ ಅರಿಶಿನ ಪುಡಿ (ಹಾಲ್ಡಿ), ಉಪ್ಪು - ರುಚಿಗೆ, ಸೂರ್ಯಕಾಂತಿ ಎಣ್ಣೆ, 2 ಈರುಳ್ಳಿ - ಸರಿಸುಮಾರು ಕತ್ತರಿಸಿದ, 2 ಚಮಚ ತಾಜಾ ತೆಂಗಿನಕಾಯಿ - ತುರಿದ, 4 ಲವಂಗ ಬೆಳ್ಳುಳ್ಳಿ, 1 ಇಂಚು ಶುಂಠಿ - ಕತ್ತರಿಸಿದ, 1 ಇಂಚು ದಾಲ್ಚಿನ್ನಿ ಕಡ್ಡಿ (4 ಲವಂಗ ದಾಲ್ಚಿನ್ನಿ ಕಡ್ಡಿ), ಮೆಣಸಿನಕಾಯಿ, 1 ಚಮಚ ಗಸಗಸೆ</t>
  </si>
  <si>
    <t>300 grams Chicken - with Bone,1 teaspoon Red Chilli powder,1/4 teaspoon Turmeric powder (Haldi),Salt - to taste,Sunflower Oil,2 Onions - roughly chopped,2 tablespoons Fresh coconut - grated,4 cloves Garlic,1 inch Ginger - chopped,1 inch Cinnamon Stick (Dalchini),4 Cloves (Laung),4 Dry Red Chilli,1 tablespoon Poppy seeds</t>
  </si>
  <si>
    <t xml:space="preserve">To begin making the Karnataka Style Chicken Saaru Recipe, we will first make the masala for the saaru. Heat a small skillet on medium-low flame, add the poppy seeds and dry roast them. Once the poppy seeds are roasted, add in the cloves, cinnamon and dry red chilli and roast them well. Turn off the flame and keep it aside.Heat another pan on medium flame, add a tablespoon of oil, add ginger, garlic, onions and saute until the onions turn translucent.Add grated coconut and saute well till they turn light brown. Turn off the flame.In a mixer-jar, combine the dry roasted spices along with ginger-garlic-onion mixture, grind to a smooth paste along with some water. Transfer to a bowl and set aside. Heat oil in the pressure cooker over medium heat, add the chicken, turmeric powder,salt and red chilli powder. Roast the chicken in the pan for about 5 minutes until the chicken begins to get a roasted texture and is getting partially cooked. After 5 minutes of roasting the chicken, add the ground saaru masala (onion coconut &amp; spices paste) and give it a stir. Check for salt and add 1 cup of water and pressure cook for about 3 to 4 whistles until the chicken is cooked and turn off the heat.Allow the pressure to release naturally. Open the cooker and check for spices and salt and adjust accordingly.Serve the Karnataka Style Chicken Saaru Recipe along with Ragi Mudde, Akki Roti or Jolada Rotti to enjoy it for your lunch.
</t>
  </si>
  <si>
    <t xml:space="preserve">ಕರ್ನಾಟಕ ಶೈಲಿಯ ಚಿಕನ್ ಸಾರು ರೆಸಿಪಿಯನ್ನು ತಯಾರಿಸಲು ಪ್ರಾರಂಭಿಸಲು, ನಾವು ಮೊದಲು ಸಾರುಗಾಗಿ ಮಸಾಲವನ್ನು ತಯಾರಿಸುತ್ತೇವೆ. ಮಧ್ಯಮ-ಕಡಿಮೆ ಉರಿಯಲ್ಲಿ ಸಣ್ಣ ಬಾಣಲೆಯನ್ನು ಬಿಸಿ ಮಾಡಿ, ಗಸಗಸೆ ಸೇರಿಸಿ ಮತ್ತು ಅವುಗಳನ್ನು ಒಣಗಿಸಿ ಹುರಿಯಿರಿ. ಗಸಗಸೆ ಹುರಿದ ನಂತರ, ಲವಂಗ, ದಾಲ್ಚಿನ್ನಿ ಮತ್ತು ಒಣ ಕೆಂಪು ಮೆಣಸಿನಕಾಯಿಯನ್ನು ಸೇರಿಸಿ ಮತ್ತು ಅವುಗಳನ್ನು ಚೆನ್ನಾಗಿ ಹುರಿಯಿರಿ. ಜ್ವಾಲೆಯನ್ನು ಆಫ್ ಮಾಡಿ ಮತ್ತು ಅದನ್ನು ಪಕ್ಕಕ್ಕೆ ಇರಿಸಿ. ಮಧ್ಯಮ ಉರಿಯಲ್ಲಿ ಮತ್ತೊಂದು ಪ್ಯಾನ್ ಅನ್ನು ಬಿಸಿ ಮಾಡಿ, ಒಂದು ಚಮಚ ಎಣ್ಣೆಯನ್ನು ಸೇರಿಸಿ, ಶುಂಠಿ, ಬೆಳ್ಳುಳ್ಳಿ, ಈರುಳ್ಳಿ ಸೇರಿಸಿ ಮತ್ತು ಈರುಳ್ಳಿ ಅರೆಪಾರದರ್ಶಕವಾಗುವವರೆಗೆ ಹುರಿಯಿರಿ. ತುರಿದ ತೆಂಗಿನಕಾಯಿಯನ್ನು ಸೇರಿಸಿ ಮತ್ತು ಅವು ತಿಳಿ ಕಂದು ಬಣ್ಣ ಬರುವವರೆಗೆ ಚೆನ್ನಾಗಿ ಹುರಿಯಿರಿ. ಉರಿಯನ್ನು ಆಫ್ ಮಾಡಿ. ಮಿಕ್ಸರ್-ಜಾರ್‌ನಲ್ಲಿ ಒಣ ಹುರಿದ ಮಸಾಲೆಗಳನ್ನು ಶುಂಠಿ-ಬೆಳ್ಳುಳ್ಳಿ-ಈರುಳ್ಳಿ ಮಿಶ್ರಣದೊಂದಿಗೆ ಸೇರಿಸಿ, ಸ್ವಲ್ಪ ನೀರಿನೊಂದಿಗೆ ನಯವಾದ ಪೇಸ್ಟ್‌ಗೆ ರುಬ್ಬಿಕೊಳ್ಳಿ. ಒಂದು ಬಟ್ಟಲಿಗೆ ವರ್ಗಾಯಿಸಿ ಮತ್ತು ಪಕ್ಕಕ್ಕೆ ಇರಿಸಿ. ಮಧ್ಯಮ ಉರಿಯಲ್ಲಿ ಪ್ರೆಶರ್ ಕುಕ್ಕರ್‌ನಲ್ಲಿ ಎಣ್ಣೆಯನ್ನು ಬಿಸಿ ಮಾಡಿ, ಚಿಕನ್, ಅರಿಶಿನ ಪುಡಿ, ಉಪ್ಪು ಮತ್ತು ಕೆಂಪು ಮೆಣಸಿನ ಪುಡಿಯನ್ನು ಸೇರಿಸಿ. ಚಿಕನ್ ಹುರಿದ ರಚನೆಯನ್ನು ಪಡೆಯಲು ಮತ್ತು ಭಾಗಶಃ ಬೇಯಿಸುವವರೆಗೆ ಸುಮಾರು 5 ನಿಮಿಷಗಳ ಕಾಲ ಬಾಣಲೆಯಲ್ಲಿ ಚಿಕನ್ ಅನ್ನು ಹುರಿಯಿರಿ. ಚಿಕನ್ ಹುರಿದ 5 ನಿಮಿಷಗಳ ನಂತರ, ನೆಲದ ಸಾರು ಮಸಾಲ (ಈರುಳ್ಳಿ ತೆಂಗಿನಕಾಯಿ ಮತ್ತು ಮಸಾಲೆ ಪೇಸ್ಟ್) ಸೇರಿಸಿ ಮತ್ತು ಅದನ್ನು ಬೆರೆಸಿ. ಉಪ್ಪನ್ನು ಪರಿಶೀಲಿಸಿ ಮತ್ತು 1 ಕಪ್ ನೀರು ಸೇರಿಸಿ ಮತ್ತು ಚಿಕನ್ ಬೇಯಿಸುವವರೆಗೆ 3 ರಿಂದ 4 ಸೀಟಿಗಳವರೆಗೆ ಪ್ರೆಶರ್ ಕುಕ್ ಮಾಡಿ ಮತ್ತು ಶಾಖವನ್ನು ಆಫ್ ಮಾಡಿ. ಒತ್ತಡವನ್ನು ನೈಸರ್ಗಿಕವಾಗಿ ಬಿಡುಗಡೆ ಮಾಡಲು ಅನುಮತಿಸಿ. ಕುಕ್ಕರ್ ತೆರೆಯಿರಿ ಮತ್ತು ಮಸಾಲೆ ಮತ್ತು ಉಪ್ಪನ್ನು ಪರಿಶೀಲಿಸಿ ಮತ್ತು ಅದಕ್ಕೆ ತಕ್ಕಂತೆ ಹೊಂದಿಸಿ. ನಿಮ್ಮ ಊಟಕ್ಕೆ ಅದನ್ನು ಆನಂದಿಸಲು ರಾಗಿ ಮುದ್ದೆ, ಅಕ್ಕಿ ರೊಟ್ಟಿ ಅಥವಾ ಜೋಳದ ರೊಟ್ಟಿ  ಜೊತೆಗೆ ಕರ್ನಾಟಕ ಶೈಲಿಯ ಚಿಕನ್ ಸಾರು ರೆಸಿಪಿಯನ್ನು ಬಡಿಸಿ.
</t>
  </si>
  <si>
    <t>https://www.archanaskitchen.com/karnataka-style-chicken-saaru-recipe</t>
  </si>
  <si>
    <t>Mavinakayi Chutney Recipe</t>
  </si>
  <si>
    <t>ಮಾವಿನಕಾಯಿ ಚಟ್ನಿ ರೆಸಿಪಿ - Mavinakayi Chutney Recipe</t>
  </si>
  <si>
    <t>2 ಕಚ್ಚಾ ಆಮ್ - ಕಾಟ್ ಲೆ,5 ಸುಖಿ ಲಾಲ್ ಮಿರ್ಚ್,1/2 ಛೋಟಾ ಚಮಚ್ಚ ರೈ,1/2 ಛೋಚತ ದಾನೆ,1/4 ಛೋಟಾ ಚಮಚ್ಚ ಜೀರಾ,ಹಿಂಗ್,1 ಬಡಾ ಚಮಚ್ಚ ನಾರಿಯಲ್ ಕಾ ತೇಲ್,ನಮಕ - ಸ</t>
  </si>
  <si>
    <t>2 कच्चा आम - काट ले,5 सुखी लाल मिर्च,1/2 छोटा चमच्च राइ,1/2 छोटा चमच्च मेथी के दाने,1/4 छोटा चमच्च जीरा,हींग,1 बड़ा चमच्च नारियल का तेल,नमक - स्वाद अनुसार</t>
  </si>
  <si>
    <t>"To begin with, heat oil in a small pan. Once oil is heated, add mustard seeds and let them crackle. After mustard seeds crackle, add fenugreek seeds, cumin seeds, asafoetida and let it cook for 20 seconds. Now add dried red chillies and let it cook for 1 minute. Turn off the gas and let it cool. Put this mixture in a blender along with raw mango and salt and grind it well. Take it out in a bowl and serve. Serve Mavinakai Chutney Recipe with Ghee Roast Dosa and Filter Coffee for breakfast."</t>
  </si>
  <si>
    <t xml:space="preserve">ಮಾವಿನಕಾಯಿ ಚಟನಿ ರೆಸಿಪಿ ಬನಾನೆಗೆ ಸಬಸೆ ಪಹಳೆ ಒಂದು ಛೋಟಿ ಕಢೈನಲ್ಲಿ ಟೆಲ್. ತೇಲ್ ಗರಂ ಹೋನೆಗೆ ಬದಲಾದ ಇದೇ ರೈ ದಾಲೆ ಮತ್ತು ತಡಕನೆ ದೆ.ರೈಗೆ ತಡಕಾಡದೆ ಕೇಳಿದೆ ದಾನೆ, ಜೀರಾ, ಹೀಂಗ್ ಡೇಲ್ ಮತ್ತು 20 ಸೆಕಂಡ್ಸ್ ತಕ ಪಕನೆ ದೆ. ಅಬ್ ಇಸಮೆನ್ ಸುಖಿ ಲಾಲ್ ಮಿರ್ಚ್ ಡಾಲೆ ಮತ್ತು 1 ನಿಮಿಷಗಳು ಗೈಸ್ ಬಂದ ಕರೆಂ ಮತ್ತು ಥಂಡ ಹೋನೆ ದೇ.ಈ ಮಿಶ್ರಣದ ಕಚ್ಚೆ ಆಮ್ ಮತ್ತು ನಾಮಕರಣ ದಾಲೆ ಮತ್ತು ಅಚ್ಛಿ ತರಹ ಸೆ ಪೀಸ್ ಲೆ. ಬೌಲ್ ಮೆನ್ ನಿಕಾಲೆ ಮತ್ತು ಪರೋಸೆ. ಮಾವಿನಕೈ ಚಟನಿ ರೆಸಿಪಿ ಕೋ ಘಿ ರೋಸ್ಟ್ ಡೋಸಾ ಮತ್ತು ಫಿಲ್ಟರ್ ಕಾಫಿಯ ಬಗ್ಗೆ ಕೇಳಿದರು ಲಿಯೆ ಪರೋಸೆ.
</t>
  </si>
  <si>
    <t>http://www.archanaskitchen.com/mavinakayi-chutney-recipe-south-canara-raw-mango-chutney-in-hindi</t>
  </si>
  <si>
    <t>Homemade Mysore Pak Recipe | Traditional Recipe Made With Ghee</t>
  </si>
  <si>
    <t>ಮನೆಯಲ್ಲಿ ಮೈಸೂರ್ ಪಾಕ್ ರೆಸಿಪಿ | ತುಪ್ಪದಿಂದ ತಯಾರಿಸಿದ ಸಾಂಪ್ರದಾಯಿಕ ಪಾಕವಿಧಾನ</t>
  </si>
  <si>
    <t>1 ಕಪ್ ಗ್ರಾಂ ಹಿಟ್ಟು (ಬೇಸನ್), 1-1/4 ಕಪ್ ತುಪ್ಪ, 1-1/4 ಕಪ್ ಸಕ್ಕರೆ, 1 ಕಪ್ ನೀರು</t>
  </si>
  <si>
    <t>1 cup Gram flour (besan),1-1/4 cups Ghee,1-1/4 cups Sugar,1 cup Water</t>
  </si>
  <si>
    <t xml:space="preserve">To begin making Homemade Mysore Pak Recipe, prep all the ingredients and keep them handy. Every step comes one after another and hence you need to keep them all ready and handy.Also grease a small rectangular or a square pan which can give you a decent height to be shaped into a Mysore Pak. Approximately 10 x 6 inches (outer edge) is the size of the pan (inner edge is  9 x 4 inches)In a heavy bottomed preheated over medium heat, roast the besan/ gram flour for about 2 to 3 minutes until you get a roasted aroma from the gram flour. This will help the raw smell go away from the besan. Ensure you take care not to allow it to brown or burn. Once roasted remove it into a bowl and keep aside.In a heavy bottomed non stick pan; add the sugar and water and bring the water to a boil ensuring the sugar dissolves completely in the water. Keep stirring so that the sugar dissolves well. Continue to allow the sugar water to boil - after about 4 minutes you will notice that the sugar water is getting bubbly and sticky as well. It will form a foamy texture.At this stage the consistency of the sugar water will be of a sticky and one string consistency.At this stage, turn the heat to low and add the gram flour into the sugar syrup and keep stirring it continuously so it combines well without any lumps and gets a smooth consistency. The heat needs to be on low from now on till the end of the making of Mysore Pak.Once the gram flour is combined well, add ghee little at a time and repeat the addition of ghee after 3-4 minutes of stirring. The 1-1/2 cups of ghee needs to be added in small batches with a space of 3 minutes between each turn.As you keep adding ghee and waiting for the next batch of ghee to be added, ensure that you keep stirring the Mysore Pak.Once the entire mass comes together and looks smooth, add the last portion of ghee and continue to stir till the whole masses rises up like froth and you will notice that the Mysore pak gets a very porous texture where you see the eye holes while stirring.Once it comes to this consistency, remove from the heat and pour the mysore pak mixture into the greased tray. Bang the tray lightly to allow the mass to spread all over and looks evenly spread.Dip a flat spatula with ghee and spread over the Mysore Pak to level it down and make it smooth from the top. Continue this light press and spread until the top of the Mysore Pak looks smooth.At this stage, using a knife, cut the Mysore Pak into rectangle or diamond shapes and allow the Mysore Pak to cool down completely.Once completely cooled, gently lift the Mysore Pak pieces out of the pan and serve.Store the Mysore Pak in airtight container for 1 week or in the refrigerator for 2 weeks.Serve Homemade Mysore Pak Recipe as a dessert after Onion Tomato Podi Masala Dosa Recipe and Chutney for breakfast or after lunch.
</t>
  </si>
  <si>
    <t xml:space="preserve">ಮನೆಯಲ್ಲಿ ಮೈಸೂರ್ ಪಾಕ್ ರೆಸಿಪಿ ತಯಾರಿಸಲು ಪ್ರಾರಂಭಿಸಲು, ಎಲ್ಲಾ ಪದಾರ್ಥಗಳನ್ನು ತಯಾರಿಸಿ ಮತ್ತು ಅವುಗಳನ್ನು ಕೈಯಲ್ಲಿ ಇರಿಸಿ. ಪ್ರತಿಯೊಂದು ಹಂತವೂ ಒಂದರ ನಂತರ ಒಂದರಂತೆ ಬರುತ್ತದೆ ಮತ್ತು ಆದ್ದರಿಂದ ನೀವು ಅವುಗಳನ್ನು ಎಲ್ಲಾ ಸಿದ್ಧ ಮತ್ತು ಕೈಗೆಟಕುವಂತೆ ಇಟ್ಟುಕೊಳ್ಳಬೇಕು. ಜೊತೆಗೆ ಒಂದು ಸಣ್ಣ ಆಯತಾಕಾರದ ಅಥವಾ ಚೌಕಾಕಾರದ ಪ್ಯಾನ್ ಅನ್ನು ಗ್ರೀಸ್ ಮಾಡಿ ಅದು ನಿಮಗೆ ಮೈಸೂರು ಪಾಕ್ ಆಗಿ ಆಕಾರವನ್ನು ನೀಡಲು ಯೋಗ್ಯವಾದ ಎತ್ತರವನ್ನು ನೀಡುತ್ತದೆ. ಸರಿಸುಮಾರು 10 x 6 ಇಂಚುಗಳು (ಹೊರ ಅಂಚು) ಪ್ಯಾನ್‌ನ ಗಾತ್ರವಾಗಿದೆ (ಒಳಗಿನ ಅಂಚು  9 x 4 ಇಂಚುಗಳು) ಮಧ್ಯಮ ಉರಿಯಲ್ಲಿ ಪೂರ್ವಭಾವಿಯಾಗಿ ಕಾಯಿಸಲ್ಪಟ್ಟ ಭಾರೀ ತಳದಲ್ಲಿ, ಬೇಸಾನ್ / ರವೆ ಹಿಟ್ಟನ್ನು ಸುಮಾರು 2 ರಿಂದ 3 ನಿಮಿಷಗಳ ಕಾಲ ನೀವು ಬೇಳೆ ಹಿಟ್ಟಿನಿಂದ ಹುರಿದ ಪರಿಮಳವನ್ನು ಪಡೆಯುವವರೆಗೆ ಹುರಿಯಿರಿ. ಇದು ಬೇಸಾನ್‌ನಿಂದ ಹಸಿ ವಾಸನೆಯನ್ನು ಹೋಗಲಾಡಿಸಲು ಸಹಾಯ ಮಾಡುತ್ತದೆ. ಅದನ್ನು ಕಂದುಬಣ್ಣ ಅಥವಾ ಸುಡುವಿಕೆಗೆ ಅನುಮತಿಸದಂತೆ ನೀವು ಕಾಳಜಿ ವಹಿಸುತ್ತೀರಿ ಎಂದು ಖಚಿತಪಡಿಸಿಕೊಳ್ಳಿ. ಒಮ್ಮೆ ಹುರಿದ ನಂತರ ಅದನ್ನು ಒಂದು ಬೌಲ್‌ಗೆ ತೆಗೆದು ಪಕ್ಕಕ್ಕೆ ಇರಿಸಿ. ಭಾರೀ ತಳವಿರುವ ನಾನ್ ಸ್ಟಿಕ್ ಪ್ಯಾನ್‌ನಲ್ಲಿ; ಸಕ್ಕರೆ ಮತ್ತು ನೀರನ್ನು ಸೇರಿಸಿ ಮತ್ತು ನೀರನ್ನು ಕುದಿಯಲು ತಂದು ಸಕ್ಕರೆ ಸಂಪೂರ್ಣವಾಗಿ ನೀರಿನಲ್ಲಿ ಕರಗುತ್ತದೆ. ಸಕ್ಕರೆ ಚೆನ್ನಾಗಿ ಕರಗುವಂತೆ ಬೆರೆಸಿ. ಸಕ್ಕರೆ ನೀರನ್ನು ಕುದಿಯಲು ಅನುಮತಿಸುವುದನ್ನು ಮುಂದುವರಿಸಿ - ಸುಮಾರು 4 ನಿಮಿಷಗಳ ನಂತರ ಸಕ್ಕರೆ ನೀರು ಬಬ್ಲಿ ಮತ್ತು ಜಿಗುಟಾದ ಆಗುತ್ತಿರುವುದನ್ನು ನೀವು ಗಮನಿಸಬಹುದು. ಇದು ನೊರೆ ರಚನೆಯನ್ನು ರೂಪಿಸುತ್ತದೆ.ಈ ಹಂತದಲ್ಲಿ ಸಕ್ಕರೆಯ ನೀರಿನ ಸ್ಥಿರತೆಯು ಜಿಗುಟಾದ ಮತ್ತು ಒಂದು ದಾರದ ಸ್ಥಿರತೆಯನ್ನು ಹೊಂದಿರುತ್ತದೆ. ಈ ಹಂತದಲ್ಲಿ, ಶಾಖವನ್ನು ಕಡಿಮೆ ಮಾಡಿ ಮತ್ತು ಸಕ್ಕರೆ ಪಾಕಕ್ಕೆ ಬೇಳೆ ಹಿಟ್ಟನ್ನು ಸೇರಿಸಿ ಮತ್ತು ನಿರಂತರವಾಗಿ ಬೆರೆಸಿ ಇದರಿಂದ ಅದು ಯಾವುದೇ ಉಂಡೆಗಳಿಲ್ಲದೆ ಚೆನ್ನಾಗಿ ಸಂಯೋಜಿಸುತ್ತದೆ ಮತ್ತು ಮೃದುವಾದ ಸ್ಥಿರತೆಯನ್ನು ಪಡೆಯುತ್ತದೆ. ಮೈಸೂರ್ ಪಾಕ್‌ನ ತಯಾರಿಕೆಯ ಕೊನೆಯವರೆಗೂ ಶಾಖವು ಕಡಿಮೆಯಾಗಿರಬೇಕು. ಒಮ್ಮೆ ಬೇಳೆ ಹಿಟ್ಟು ಚೆನ್ನಾಗಿ ಮಿಶ್ರಣವಾದ ನಂತರ, ಸ್ವಲ್ಪ ಸ್ವಲ್ಪ ತುಪ್ಪವನ್ನು ಸೇರಿಸಿ ಮತ್ತು 3-4 ನಿಮಿಷಗಳ ನಂತರ ತುಪ್ಪವನ್ನು ಸೇರಿಸಿ. 1-1/2 ಕಪ್ ತುಪ್ಪವನ್ನು ಪ್ರತಿ ತಿರುವಿನ ನಡುವೆ 3 ನಿಮಿಷಗಳ ಅಂತರದಲ್ಲಿ ಸಣ್ಣ ಬ್ಯಾಚ್‌ಗಳಲ್ಲಿ ಸೇರಿಸಬೇಕು. ನೀವು ತುಪ್ಪವನ್ನು ಸೇರಿಸುತ್ತಾ ಮತ್ತು ಮುಂದಿನ ತುಪ್ಪದ ತುಪ್ಪವನ್ನು ಸೇರಿಸಲು ಕಾಯುತ್ತಿರುವಾಗ, ನೀವು ಮೈಸೂರು ಪಾಕ್ ಅನ್ನು ಬೆರೆಸಿದಂತೆ ನೋಡಿಕೊಳ್ಳಿ. ಇದು ತುಂಬಾ ರಂಧ್ರಗಳಿರುವ ವಿನ್ಯಾಸವನ್ನು ಪಡೆಯುತ್ತದೆ, ಅಲ್ಲಿ ನೀವು ಸ್ಫೂರ್ತಿದಾಯಕ ಮಾಡುವಾಗ ಕಣ್ಣಿನ ರಂಧ್ರಗಳನ್ನು ನೋಡುತ್ತೀರಿ. ಇದು ಸ್ಥಿರತೆಗೆ ಬಂದ ನಂತರ, ಶಾಖದಿಂದ ತೆಗೆದುಹಾಕಿ ಮತ್ತು ಮೈಸೂರ್ ಪಾಕ್ ಮಿಶ್ರಣವನ್ನು ಗ್ರೀಸ್ ಮಾಡಿದ ಟ್ರೇಗೆ ಸುರಿಯಿರಿ. ದ್ರವ್ಯರಾಶಿಯು ಎಲ್ಲೆಡೆ ಹರಡಲು ಮತ್ತು ಸಮವಾಗಿ ಹರಡಲು ಟ್ರೇ ಅನ್ನು ಲಘುವಾಗಿ ಬ್ಯಾಂಗ್ ಮಾಡಿ. ತುಪ್ಪದೊಂದಿಗೆ ಚಪ್ಪಟೆ ಚಾಕು ಅದ್ದಿ ಮತ್ತು ಮೈಸೂರು ಪಾಕ್ ಮೇಲೆ ಹರಡಿ ಅದನ್ನು ನೆಲಸಮಗೊಳಿಸಿ ಮತ್ತು ಮೇಲಿನಿಂದ ನಯವಾಗಿ ಮಾಡಿ. ಈ ಲೈಟ್ ಪ್ರೆಸ್ ಅನ್ನು ಮುಂದುವರಿಸಿ ಮತ್ತು ಮೈಸೂರು ಪಾಕ್‌ನ ಮೇಲ್ಭಾಗವು ನಯವಾಗಿ ಕಾಣುವವರೆಗೆ ಹರಡಿ. ಈ ಹಂತದಲ್ಲಿ, ಚಾಕುವನ್ನು ಬಳಸಿ, ಮೈಸೂರು ಪಾಕ್ ಅನ್ನು ಆಯತ ಅಥವಾ ವಜ್ರದ ಆಕಾರದಲ್ಲಿ ಕತ್ತರಿಸಿ ಮತ್ತು ಮೈಸೂರು ಪಾಕ್ ಅನ್ನು ಸಂಪೂರ್ಣವಾಗಿ ತಣ್ಣಗಾಗಲು ಅನುಮತಿಸಿ. ಸಂಪೂರ್ಣವಾಗಿ ತಣ್ಣಗಾದ ನಂತರ, ಮೈಸೂರ್ ಪಾಕ್ ತುಂಡುಗಳನ್ನು ಪ್ಯಾನ್‌ನಿಂದ ನಿಧಾನವಾಗಿ ಮೇಲಕ್ಕೆತ್ತಿ ಮತ್ತು ಬಡಿಸಿ. ಮೈಸೂರು ಪಾಕ್ ರೆಸಿಪಿ ಸಿಹಿತಿಂಡಿಯಾಗಿ ಈರುಳ್ಳಿ ಟೊಮೆಟೊ ಪೋಡಿ ಮಸಾಲಾ ದೋಸೆ ರೆಸಿಪಿ ಮತ್ತು ಚಟ್ನಿ ಉಪಹಾರ ಅಥವಾ ಊಟದ ನಂತರ.
</t>
  </si>
  <si>
    <t>http://www.archanaskitchen.com/insant-mysore-pak-recipe</t>
  </si>
  <si>
    <t>Ambode Recipe (Karnataka Style Masala Vada)</t>
  </si>
  <si>
    <t>ಅಂಬೋಡೆ ರೆಸಿಪಿ (ಕರ್ನಾಟಕ ಶೈಲಿಯ ಮಸಾಲಾ ವಡಾ)</t>
  </si>
  <si>
    <t>1 ಕಪ್ ಚನಾ ದಾಲ್ (ಬಂಗಾಳ ಬೇಳೆ), 1/2 ಕಪ್ ಸಬ್ಬಸಿಗೆ ಎಲೆಗಳು - ಕತ್ತರಿಸಿದ, 1/4 ಕಪ್ ಕೊತ್ತಂಬರಿ (ಧನಿಯಾ) ಎಲೆಗಳು - ಕತ್ತರಿಸಿದ, 1 ಈರುಳ್ಳಿ - ಸಣ್ಣದಾಗಿ ಕೊಚ್ಚಿದ, 6 ರಿಂದ 7 ಹಸಿರು ಮೆಣಸಿನಕಾಯಿಗಳು - ಹೊಂದಾಣಿಕೆ, 1 ಇಂಚು ಶುಂಠಿ - ಸಣ್ಣದಾಗಿ ಕೊಚ್ಚಿದ, 3 ಚಮಚ ಅಕ್ಕಿ ಹಿಟ್ಟು, ಉಪ್ಪು / 2 ಟೀಚಮಚ ಅಸಾಫೋಟಿಡಾ (ಹಿಂಗ್), ಸೂರ್ಯಕಾಂತಿ ಎಣ್ಣೆ - ಆಳವಾದ ಹುರಿಯಲು</t>
  </si>
  <si>
    <t>1 cup Chana dal (Bengal Gram Dal),1/2 cup Dill leaves - chopped,1/4 cup Coriander (Dhania) Leaves - chopped,1 Onion - finely chopped,6 to 7 Green Chillies - adjustable,1 inch Ginger - finely chopped,3 tablespoons Rice flour,Salt - as required,1/2 teaspoon Turmeric powder (Haldi),pinch Asafoetida (hing),Sunflower Oil - for deep frying</t>
  </si>
  <si>
    <t xml:space="preserve">To begin making the Ambode recipe, soak Chana Dal in water for about 4 hours or overnight.Wash the dal thoroughly and grind soaked dal without water into a coarse paste.In a bowl, add grounded dal, chopped onion, green chilies, turmeric powder, salt, hing, dill leaves and coriander leaves. Combine them together.Season it with salt. Make small balls out of the dough.In a wok/kadai, add oil and heat it over the medium flame.Take a ball in your hand and press them with your hand into small round circles.Once the oil is hot, add the circles into it and fry until both the sides turn golden in colour.Ensure you fry the vada over medium heat. Repeat the same for the remaining balls.Serve Ambode along with Tomato Garlic chutney, Tomato chutney or any other chutney of your choice.
</t>
  </si>
  <si>
    <t xml:space="preserve">ಅಂಬೋಡೆ ಪಾಕವಿಧಾನವನ್ನು ತಯಾರಿಸಲು ಪ್ರಾರಂಭಿಸಲು, ಚನಾ ದಾಲ್ ಅನ್ನು ಸುಮಾರು 4 ಗಂಟೆಗಳ ಕಾಲ ಅಥವಾ ರಾತ್ರಿ ನೀರಿನಲ್ಲಿ ನೆನೆಸಿಡಿ. ಬೇಳೆಯನ್ನು ಚೆನ್ನಾಗಿ ತೊಳೆಯಿರಿ ಮತ್ತು ಒರಟಾದ ಪೇಸ್ಟ್ ಆಗಿ ನೀರಿಲ್ಲದೆ ನೆನೆಸಿದ ಬೇಳೆಯನ್ನು ಪುಡಿಮಾಡಿ. ಅವುಗಳನ್ನು ಒಟ್ಟಿಗೆ ಸೇರಿಸಿ.ಅದನ್ನು ಉಪ್ಪಿನೊಂದಿಗೆ ಸೀಸನ್ ಮಾಡಿ. ಹಿಟ್ಟಿನಿಂದ ಸಣ್ಣ ಉಂಡೆಗಳನ್ನು ಮಾಡಿ.ಒಂದು ವಾಕ್/ಕಡೈನಲ್ಲಿ ಎಣ್ಣೆಯನ್ನು ಸೇರಿಸಿ ಮತ್ತು ಮಧ್ಯಮ ಉರಿಯಲ್ಲಿ ಬಿಸಿ ಮಾಡಿ. ನಿಮ್ಮ ಕೈಯಲ್ಲಿ ಚೆಂಡನ್ನು ತೆಗೆದುಕೊಂಡು ಅವುಗಳನ್ನು ನಿಮ್ಮ ಕೈಯಿಂದ ಸಣ್ಣ ವೃತ್ತಾಕಾರಗಳಾಗಿ ಒತ್ತಿರಿ. ಎಣ್ಣೆ ಬಿಸಿಯಾದ ನಂತರ, ಅದರಲ್ಲಿ ವೃತ್ತಗಳನ್ನು ಸೇರಿಸಿ ಮತ್ತು ಎರಡೂ ಬದಿಗಳು ಗೋಲ್ಡನ್ ಬಣ್ಣಕ್ಕೆ ಬರುವವರೆಗೆ ಫ್ರೈ ಮಾಡಿ. ಮಧ್ಯಮ ಉರಿಯಲ್ಲಿ ನೀವು ವಡಾವನ್ನು ಫ್ರೈ ಮಾಡಿ. ಉಳಿದ ಚೆಂಡುಗಳಿಗೆ ಅದೇ ರೀತಿ ಪುನರಾವರ್ತಿಸಿ. ಟೊಮೆಟೊ ಬೆಳ್ಳುಳ್ಳಿ ಚಟ್ನಿ, ಟೊಮೇಟೊ ಚಟ್ನಿ ಅಥವಾ ನಿಮ್ಮ ಆಯ್ಕೆಯ ಯಾವುದೇ ಚಟ್ನಿ ಜೊತೆಗೆ ಅಂಬೋಡ್ ಅನ್ನು ಬಡಿಸಿ.
</t>
  </si>
  <si>
    <t>http://www.archanaskitchen.com/ambode-recipe-karnataka-style-masala-vada</t>
  </si>
  <si>
    <t>Pineapple Kesari Bhath Recipe - Sweet Semolina Pudding</t>
  </si>
  <si>
    <t>ಪೈನಾಪಲ್ ಕೇಸರಿ ಭಾತ್ ರೆಸಿಪಿ - ಸಿಹಿ ರವೆ ಕಡುಬು</t>
  </si>
  <si>
    <t>1 ಕಪ್ ಸೂಜಿ (ರವೆ/ ರವೆ) - ನುಣ್ಣಗೆ, 1/4 ಕಪ್ ತುಪ್ಪ, 1/2 ಕಪ್ ಅನಾನಸ್ - ನುಣ್ಣಗೆ ಕತ್ತರಿಸಿದ, ಕೇಸರಿ ಎಳೆಗಳು - ಕೆಲವು, 1/2 ಕಪ್ ಹಾಲು - ಬಿಸಿ, 1/2 ಕಪ್ ಸಕ್ಕರೆ, 1 ಟೀಚಮಚ ಏಲಕ್ಕಿ ಪುಡಿ (ಎಲೈಚಿ), 1 ಚಿಟಿಕೆ ಖಾದ್ಯ ಕರ್ಪೂರ (ಪಚ್ಚ ಕರ್ಪೂರ), 1 ಚಮಚ ಕರ್ಪೂರ ಬೀಜಗಳು - ಅಗತ್ಯವಿರುವಂತೆ, 10 ಒಣದ್ರಾಕ್ಷಿ - ಅಗತ್ಯವಿರುವಂತೆ</t>
  </si>
  <si>
    <t>1 cup Sooji (Semolina/ Rava) - fine,1/4 cup Ghee,1/2 cup Pineapple - finely chopped,Saffron strands - few,1/2 cup Milk - hot,1/2 cup Sugar,1 teaspoon Cardamom Powder (Elaichi),1 pinch Edible camphor (pacha karpooram),2 tablespoon Ghee - for tempering,10 Cashew nuts - as required,10 Raisins - as required</t>
  </si>
  <si>
    <t xml:space="preserve">To begin making the Pineapple Kesari Bhath Recipe, soak the saffron in a tablespoon of hot milk and keep aside.Heat a tablespoon of ghee in a small skillet over medium heat. Add the cashew nuts and allow it to roast until crisp and golden brown. Add the raisins and saute until it puffs up and turn off the heat. Keep this aside.In a saucepan, cook the pineapple on low heat until it softens and gets well cooked. Once done turn off the heat and allow it to cool. Keep this aside.In another saucepan; bring the remaining milk, 2 cups of water to a brisk boil. Add the sugar, cardamom powder, saffron milk, camphor and turn the heat to low and keep it  simmering until we roast the rava (sooji). In a heavy bottomed pan; heat 1/4 cup of ghee and add the semolina. Roast the rava in the ghee on medium heat until you can smell a roasted aroma coming through and the rava becomes golden brown in colour.After the rava has roasted, gradually add the milk mixture into the rava. Keep stirring continuously as you add the milk so no lumps form. Be careful when you add the boiling water and milk mixture as the rava bubbles up suddenly.Keep stirring for at least 5 minutes until you notice the Kesari Bhath leaves the sides of the pan.Once done, stir in the roasted cashew nuts and raisins and mix well to combine. Transfer the Kesari Bhath to a serving dish and serve warm or chilled.Serve the Pineapple Kesari Bhath along with Khara Bhath - Rava Upma for breakfast or any special occasion like wedding or a festival.
</t>
  </si>
  <si>
    <t xml:space="preserve">ಅನಾನಸ್ ಕೇಸರಿ ಭಾತ್ ಪಾಕವಿಧಾನವನ್ನು ತಯಾರಿಸಲು ಪ್ರಾರಂಭಿಸಲು, ಕೇಸರಿಯನ್ನು ಒಂದು ಚಮಚ ಬಿಸಿ ಹಾಲಿನಲ್ಲಿ ನೆನೆಸಿ ಮತ್ತು ಪಕ್ಕಕ್ಕೆ ಇರಿಸಿ. ಮಧ್ಯಮ ಶಾಖದ ಮೇಲೆ ಸಣ್ಣ ಬಾಣಲೆಯಲ್ಲಿ ಒಂದು ಚಮಚ ತುಪ್ಪವನ್ನು ಬಿಸಿ ಮಾಡಿ. ಗೋಡಂಬಿಯನ್ನು ಸೇರಿಸಿ ಮತ್ತು ಗರಿಗರಿಯಾದ ಮತ್ತು ಗೋಲ್ಡನ್ ಬ್ರೌನ್ ರವರೆಗೆ ಅದನ್ನು ಹುರಿಯಲು ಅನುಮತಿಸಿ. ಒಣದ್ರಾಕ್ಷಿ ಸೇರಿಸಿ ಮತ್ತು ಅದು ಪಫ್ ಆಗುವವರೆಗೆ ಹುರಿಯಿರಿ ಮತ್ತು ಶಾಖವನ್ನು ಆಫ್ ಮಾಡಿ. ಇದನ್ನು ಪಕ್ಕಕ್ಕೆ ಇರಿಸಿ. ಒಂದು ಲೋಹದ ಬೋಗುಣಿಯಲ್ಲಿ, ಅನಾನಸ್ ಅನ್ನು ಕಡಿಮೆ ಶಾಖದಲ್ಲಿ ಮೃದುವಾಗುವವರೆಗೆ ಮತ್ತು ಚೆನ್ನಾಗಿ ಬೇಯಿಸುವವರೆಗೆ ಬೇಯಿಸಿ. ಒಮ್ಮೆ ಮಾಡಿದ ನಂತರ ಶಾಖವನ್ನು ಆಫ್ ಮಾಡಿ ಮತ್ತು ಅದನ್ನು ತಣ್ಣಗಾಗಲು ಬಿಡಿ. ಇದನ್ನು ಪಕ್ಕಕ್ಕೆ ಇರಿಸಿ. ಇನ್ನೊಂದು ಪಾತ್ರೆಯಲ್ಲಿ; ಉಳಿದ ಹಾಲನ್ನು, 2 ಕಪ್ ನೀರು ಕುದಿಸಿ. ಸಕ್ಕರೆ, ಏಲಕ್ಕಿ ಪುಡಿ, ಕೇಸರಿ ಹಾಲು, ಕರ್ಪೂರವನ್ನು ಸೇರಿಸಿ ಮತ್ತು ಶಾಖವನ್ನು ಕಡಿಮೆ ಮಾಡಿ ಮತ್ತು ನಾವು ರವೆ (ಸೂಜಿ) ಅನ್ನು ಹುರಿಯುವವರೆಗೆ ಅದನ್ನು ತಳಮಳಿಸುತ್ತಿರು. ಭಾರವಾದ ತಳದ ಬಾಣಲೆಯಲ್ಲಿ; 1/4 ಕಪ್ ತುಪ್ಪವನ್ನು ಬಿಸಿ ಮಾಡಿ ಮತ್ತು ರವೆ ಸೇರಿಸಿ. ರವೆಯನ್ನು ಮಧ್ಯಮ ಉರಿಯಲ್ಲಿ ತುಪ್ಪದಲ್ಲಿ ಹುರಿಯಿರಿ ಮತ್ತು ನೀವು ಹುರಿದ ಪರಿಮಳವನ್ನು ಅನುಭವಿಸುವವರೆಗೆ ಮತ್ತು ರವಾವು ಗೋಲ್ಡನ್ ಬ್ರೌನ್ ಬಣ್ಣಕ್ಕೆ ತಿರುಗುತ್ತದೆ. ರವಾ ಹುರಿದ ನಂತರ, ಕ್ರಮೇಣ ಹಾಲಿನ ಮಿಶ್ರಣವನ್ನು ರವಾಕ್ಕೆ ಸೇರಿಸಿ. ಯಾವುದೇ ಉಂಡೆಗಳನ್ನೂ ರೂಪಿಸದಂತೆ ನೀವು ಹಾಲನ್ನು ಸೇರಿಸಿದಂತೆ ನಿರಂತರವಾಗಿ ಬೆರೆಸಿ. ನೀವು ಕುದಿಯುವ ನೀರು ಮತ್ತು ಹಾಲಿನ ಮಿಶ್ರಣವನ್ನು ಸೇರಿಸಿದಾಗ ಜಾಗರೂಕರಾಗಿರಿ, ರವಾ ಗುಳ್ಳೆಗಳು ಇದ್ದಕ್ಕಿದ್ದಂತೆ ಮೇಲಕ್ಕೆ ಬರುತ್ತವೆ. ಕೇಸರಿ ಭಾತ್ ಪ್ಯಾನ್‌ನ ಬದಿಗಳನ್ನು ಬಿಡುವುದನ್ನು ನೀವು ಗಮನಿಸುವವರೆಗೆ ಕನಿಷ್ಠ 5 ನಿಮಿಷಗಳ ಕಾಲ ಬೆರೆಸಿ. ಒಮ್ಮೆ ಮಾಡಿದ ನಂತರ, ಹುರಿದ ಗೋಡಂಬಿ ಮತ್ತು ಒಣದ್ರಾಕ್ಷಿಗಳನ್ನು ಬೆರೆಸಿ ಮತ್ತು ಸಂಯೋಜಿಸಲು ಚೆನ್ನಾಗಿ ಮಿಶ್ರಣ ಮಾಡಿ. ಕೇಸರಿ ಭಾತ್ ಅನ್ನು ಸರ್ವಿಂಗ್ ಡಿಶ್‌ಗೆ ವರ್ಗಾಯಿಸಿ ಮತ್ತು ಬೆಚ್ಚಗೆ ಅಥವಾ ತಣ್ಣಗಾಗಿಸಿ. ಅನಾನಸ್ ಕೇಸರಿ ಭಾತ್ ಅನ್ನು ಖಾರ ಭಾತ್ - ರವಾ ಉಪ್ಮಾ ಜೊತೆಗೆ ಬೆಳಗಿನ ಉಪಾಹಾರಕ್ಕಾಗಿ ಅಥವಾ ಮದುವೆ ಅಥವಾ ಹಬ್ಬದಂತಹ ಯಾವುದೇ ವಿಶೇಷ ಸಂದರ್ಭಕ್ಕಾಗಿ ಬಡಿಸಿ.
</t>
  </si>
  <si>
    <t>https://www.archanaskitchen.com/pineapple-kesari-bhath-recipe-sweet-semolina-pudding</t>
  </si>
  <si>
    <t>Karwar Style Karatya Kismore Recipe - Sweet Tangy Bitter Gourd Sabzi</t>
  </si>
  <si>
    <t>ಕಾರವಾರ ಸ್ಟೈಲ್ ಕರತ್ಯಾ ಕಿಸ್ಮೋರ್ ರೆಸಿಪಿ - ಸಿಹಿ ಕಹಿ ಹಾಗಲಕಾಯಿ ಸಬ್ಜಿ</t>
  </si>
  <si>
    <t>2 ಕರೇಲ ( ಹಾಗಲಕಾಯಿ/ ಪಾವಕ್ಕಾಯಿ ) - ತೆಳುವಾಗಿ ಕತ್ತರಿಸಿದ 1 ಈರುಳ್ಳಿ - ನುಣ್ಣಗೆ ಕತ್ತರಿಸಿದ 1/2 ಕಪ್ ತಾಜಾ ತೆಂಗಿನಕಾಯಿ - ತುರಿದ 1/2 ಚಮಚ ಕೆಂಪು ಮೆಣಸಿನ ಪುಡಿ 1/2 ಟೀಚಮಚ ಹುಣಸೆ ನೀರು 1 ಚಮಚ ಬೆಲ್ಲ - ಪುಡಿ, 1-1/2 ಚಮಚ ತುಪ್ಪ, ಉಪ್ಪು - ರುಚಿಗೆ ತಕ್ಕಷ್ಟು</t>
  </si>
  <si>
    <t>2 Karela (Bitter Gourd/ Pavakkai) - sliced thinly,1 Onion - finely chopped,1/2 cup Fresh coconut - grated,1/2 teaspoon Red Chilli powder,1/2 teaspoon Tamarind Water,1 teaspoon Jaggery - powdered,1-1/2 teaspoons Ghee,Salt - to taste</t>
  </si>
  <si>
    <t xml:space="preserve">To begin making the Karwar Style Karatya Kismore Recipe - Sweet and Tangy Bitter Gourd Sabzi by heating a flat skillet with oil, saute the bitter gourd till its brown and crispy.Next, soak the tamarind rind with 1 cup of hot water and squeeze in all the pulp and take out the residue.Blend the coconut, red chili powder to a coarse paste, add this into the crispy bitter gourd along with the tamarind pulp. Stir till it thickens. Season it with salt and add jaggery and stir well till it combines.Serve the Karwar Style Karatya Kismore Recipe - Sweet and Tangy Bitter Gourd Sabzi along with Phulka and Peerkangai Pal Kuzhambu Recipe (Ridge Gourd in Milk Curry) for an everyday meal.
</t>
  </si>
  <si>
    <t xml:space="preserve">ಕಾರವಾರ ಸ್ಟೈಲ್ ಕರತ್ಯಾ ಕಿಸ್ಮೋರ್ ರೆಸಿಪಿ - ಸಿಹಿ ಮತ್ತು ಕಹಿಯಾದ ಹಾಗಲಕಾಯಿ ಸಾಬ್ಜಿಯನ್ನು ತಯಾರಿಸಲು ಪ್ರಾರಂಭಿಸಲು ಚಪ್ಪಟೆ ಬಾಣಲೆಯನ್ನು ಎಣ್ಣೆಯಿಂದ ಬಿಸಿ ಮಾಡಿ, ಹಾಗಲಕಾಯಿಯನ್ನು ಕಂದು ಮತ್ತು ಗರಿಗರಿಯಾಗುವವರೆಗೆ ಹುರಿಯಿರಿ. ಒರಟಾದ ಪೇಸ್ಟ್, ಇದನ್ನು ಹುಣಸೆ ಹಣ್ಣಿನ ತಿರುಳಿನೊಂದಿಗೆ ಗರಿಗರಿಯಾದ ಹಾಗಲಕಾಯಿಗೆ ಸೇರಿಸಿ. ಅದು ದಪ್ಪವಾಗುವವರೆಗೆ ಬೆರೆಸಿ. ಇದನ್ನು ಉಪ್ಪಿನೊಂದಿಗೆ ಸೀಸನ್ ಮಾಡಿ ಮತ್ತು ಬೆಲ್ಲವನ್ನು ಸೇರಿಸಿ ಮತ್ತು ಅದು ಸೇರಿಕೊಳ್ಳುವವರೆಗೆ ಚೆನ್ನಾಗಿ ಬೆರೆಸಿ. ಕಾರವಾರ ಶೈಲಿಯ ಕರತ್ಯ ಕಿಸ್ಮೋರ್ ರೆಸಿಪಿ - ಸಿಹಿ ಮತ್ತು ಕಹಿಯಾದ ಹಾಗಲಕಾಯಿ ಸಬ್ಜಿ ಜೊತೆಗೆ ಫುಲ್ಕಾ ಮತ್ತು ಪೀರ್ಕಂಗೈ ಪಲ್ ಕುಜಂಬು ರೆಸಿಪಿ (ಪ್ರತಿದಿನ ಹಾಲು ಕರಿಯಲ್ಲಿ ರಿಡ್ಜ್ ಸೋರೆಕಾಯಿ.) ಅನ್ನು ಬಡಿಸಿ.
</t>
  </si>
  <si>
    <t>http://www.archanaskitchen.com/karatya-kismore-recipe-sweet-and-tangy-bitter-guard-salad-recipe</t>
  </si>
  <si>
    <t>Masala Pohe Recipe</t>
  </si>
  <si>
    <t>ಮಸಾಲಾ ಪೋಹೆ ರೆಸಿಪಿ - ಮಸಾಲಾ ಪೋಹೆ ರೆಸಿಪಿ</t>
  </si>
  <si>
    <t>2 ಕಪ್ ಪೋಹಾ,1 ಕಪ್ ಯಾಜ್ - ಬಾರಿಕ್ ಕಾಟ್ ಲೆ,3/4 ಕಪ್ ನಾರಿಯಲ್ - ಕಸ್ ಲೆ,4 ಛೋಟೆ ಚಮಚ್ಕರ್,1ಶಕ್ ಚಮಚ್ಚ ಲಾಲ್ ಮಿರ್ಚ್ ಪೌಡರ್,1-1/2 ಛೋಟಾ ಚಮಚ್ಚ ಧನಿಯಾ ಪೌಡರ್,1 ಛೋಚಾಟ ಪೌಡರ್,ನಮಕ - ಸ್ವಾದ ಅನುಸಾರ್,1 ಬಡಾ ಚಮಚ್ಚ ತೇಲ್,1 ಛೋಟಾ ಚಮಚ್ಚ ರೈ,1/4 ಚಮ್ಚ ಹೀಂಗ್,1/4 ಛೋಟಾ ಚಮಚ್ಚ ಹಲ್ದಿ ಪೌಡರ್,1 ಚಾರಕೋಳ</t>
  </si>
  <si>
    <t>2 cups poha, 1 cup onion - finely chopped, 3/4 cup coconut - grated, 4 teaspoons sugar, 1 teaspoon red chilli powder, 1-1 / 2 teaspoon coriander powder, 1 teaspoon cumin powder, salt - Taste, 1 tablespoon oil, 1 teaspoon mustard, 1/4 teaspoon asafoetida, 1/4 teaspoon turmeric powder, 1 charcoal</t>
  </si>
  <si>
    <t xml:space="preserve">To make Masala Pohe recipe, first soak Poha in water as per requirement in a bowl. Drain the water after 1 minute and squeeze it dry. In a mixing bowl add Poha, onion, coconut, sugar, red chili powder, coriander powder, cumin powder, salt and mix well. Now take charcoal and heat it on gas till red spots appear on the coal. Remove from gas and put it in a small bowl. Place this bowl in the middle of Poha. Pour some oil on the coal and cover it for 1 minute. Remove the bowl containing Poha and keep Poha separately. Now heat oil in a pan. Add mustard seeds and let them crackle. After crackling add asafoetida, turmeric powder and cook for 10 seconds. Turn off the gas and pour this tempering in Poha. Mix well and serve. Enjoy Masala Poha with ginger tea or masala tea for breakfast Serve with tea.
</t>
  </si>
  <si>
    <t xml:space="preserve">ಮಸಾಲಾ ಪೋಹೆ ರೆಸಿಪಿ ಬನಾನೆಗಾಗಿ ಭಿಗೋ ಲೆ. 1 ನಿಮಿಷಕ್ಕೆ ಬಾದ್ ಪಾನಿ ನಿಕಲ್ ಲೆ ಮತ್ತು ಪಾನಿ ಕೊ ನಿಚೋಡ ಕರ ಸೌಖ ಲೆ. ಒಂದು ಮಿಕ್ಸಿಂಗ್ ಬೌಲ್ ನಲ್ಲಿ ಪೋಹಾ, ಪ್ಯಾಜ್, ನಾರಿಯಲ್, ಶಕ್ಕರ್, ಲಾಲ್ ಮಿರ್ಚ್ ಪೌಡರ್, ಪೌಡರ್, ಪಾದನಿಯಾ ಪೌಡರ್, ನಮಕ ದಾಲೆ ಮತ್ತು ಅಚ್ಛಿ ತರಹ ಸೆ ಮಿಲಾ ಲೆ. ಅಬ್ ಚರಕೋಲ್ ಲೆ ಮತ್ತು ಉಸೇ ಗೇಸ್ ಪರ ಗರಂ ಕರ ಲೆ ಜಬ್ ತಕ್ ಕೋಲ್ ಪರ್ ಲಾಲ್ ಧಬ್ಬೆ ಎನ್. ಗೈಸ್ ಸೆ ನಿಕಾಲೆ ಮತ್ತು ಎಕ್ ಛೋಟೆ ಬೌಲ್ ಮೆಂ ಡಾಲ್ ಲೆ. ಈ ಬೌಲ್ ಕೋ ಪೋಹೆ ಬಿಚ್ ಮೆನ್ ರಖೇಂ. ಕೋಲ್ಪರ್ ಥೋಡಾ ಟೆಲ್ ಡಾಲೆ ಮತ್ತು 1 ನಿಮಿಷದ ದಕ ಲೆ.ಪೋಹೆ ಸೆ ಕೋಟೋರಿ ನಿಕಾಲೇ ಹೋರ್ ಸೆ ರಖ ಲೆ.  ಅಬ್ ಎಕ್ ಕಡಾಹಿ ಮೆಂ ತೇಲ್ ಗರಂ ಕರೆಂ. ಇದೇ ರೈ ದಾಲೆ ಮತ್ತು ತಡಕನೆ ದೆ. ತಡಮಾಡದೆ ಕೇವಲ ಹೀಂಗ್, ಹಲ್ದಿ ಪೌಡರ್ ಡೇಲ್ ಮತ್ತು 10 ಸೆಕಂಡ್ಸ್ ಗೆ ಲಿಲೆ. ಗೈಸ್ ಬಂದ ಕರೆಂ ಮತ್ತು ಈ ತಡಕೆ ಕೊ ಪೋಹೆ ಮೆಂ ದಾಲ್ ದೆ. ಅಚ್ಛಿ ತರಹ ಮಿಲಾಯೆ ಮತ್ತು ಪರೋಸೆ. ಮಸಾಲಾ ಪೋಹೆ ಕೋ ಸುಬಹ್ ಕೆ ನಾಷ್ಟೆ ಅದರಕ ಚಾಯ್ ಯಾ ಮಸಾಲಾ ಚಾಯ್ ಕೆ ಸಾಥ ಪರೊಸೆ.
</t>
  </si>
  <si>
    <t>http://www.archanaskitchen.com/masala-pohe-recipe-in-hindi</t>
  </si>
  <si>
    <t>Mysore Bonda Recipe (Healthy Pan Fried Recipe)</t>
  </si>
  <si>
    <t>ಮೈಸೂರು ಬೋಂಡಾ ರೆಸಿಪಿ (ಆರೋಗ್ಯಕರ ಪ್ಯಾನ್ ಫ್ರೈಡ್ ರೆಸಿಪಿ)</t>
  </si>
  <si>
    <t>1 ಕಪ್ ಬಿಳಿ ಉದ್ದಿನ ಬೇಳೆ (ಸಂಪೂರ್ಣ), 1 ಹಸಿರು ಮೆಣಸಿನಕಾಯಿ - ನುಣ್ಣಗೆ ಕತ್ತರಿಸಿದ, 1 ಟೀಚಮಚ ಸಂಪೂರ್ಣ ಕಪ್ಪು ಮೆಣಸು - ರುಬ್ಬಿದ, 1/4 ಕಪ್ ತಾಜಾ ತೆಂಗಿನಕಾಯಿ - ತುರಿದ, 1/2 ಟೀಚಮಚ ಇಂಗು (ಹಿಂಗ್), ಉಪ್ಪು - ರುಚಿಗೆ, ಕೊತ್ತಂಬರಿ (ಧನಿಯಾ) ಎಲೆಗಳು - ಸಣ್ಣ ಗೊಂಚಲು, ಸೂರ್ಯಕಾಂತಿ ಎಣ್ಣೆ -</t>
  </si>
  <si>
    <t>1 cup White Urad Dal (Whole),1 Green Chilli - finely chopped,1 teaspoon Whole Black Peppercorns - coarsely pounded,1/4 cup Fresh coconut - grated,1/2 teaspoon Asafoetida (hing),Salt - to taste,Coriander (Dhania) Leaves - small bunch,Sunflower Oil - for pan frying</t>
  </si>
  <si>
    <t xml:space="preserve">To begin making the Mysore Bonda Recipe, soak the urad dal completely immersed in water for about 2 hours.Once the dal is soaked, get the remaining ingredients ready and the Kuzhi Paniyaram Pan ready as well.Drain all the excess water from the urad dal and grind it along with the green chilli adding very little water to make a smooth and yet thick bonda batter.Transfer the bonda batter into a large mixing bow, add the pounded peppercorns, salt, asafoetida and coriander leaves. Check the salt levels and adjust to suit your taste.Preheat the Kuzhi Paniyaram Pan; add a teaspoon of oil into each of the cavities. Spoon the Mysore Bonda batter into each of the cavities and fill it 3/4th way through.Cover the pan and allow the top of the bonda's to steam and cook through. Once you notice the top of the bonda's are cooked through, then uncover the pan. From this stage onwards we will pan fry the bonda's in open.Flip the bonda's to cook on the other side. You can optionally add more oil to make the bonda's more crisp and browned evenly from all sides.Serve the Mysore Bonda's along with Coconut Chutney as a tea time snack along with a hot cup of coffee.
</t>
  </si>
  <si>
    <t xml:space="preserve">ಮೈಸೂರು ಬೋಂಡಾ ಪಾಕವಿಧಾನವನ್ನು ತಯಾರಿಸಲು ಪ್ರಾರಂಭಿಸಲು, ಉದ್ದಿನಬೇಳೆಯನ್ನು ಸಂಪೂರ್ಣವಾಗಿ ನೀರಿನಲ್ಲಿ ಮುಳುಗಿಸಿ ಸುಮಾರು 2 ಗಂಟೆಗಳ ಕಾಲ ನೆನೆಸಿಡಿ. ಬೇಳೆಯನ್ನು ನೆನೆಸಿದ ನಂತರ, ಉಳಿದ ಸಾಮಾಗ್ರಿಗಳನ್ನು ರೆಡಿ ಮಾಡಿ ಮತ್ತು ಕುಜಿ ಪನಿಯಾರಮ್ ಪ್ಯಾನ್ ಅನ್ನು ರೆಡಿ ಮಾಡಿ. ಹೆಚ್ಚಿದ ನೀರನ್ನು ಹಸಿಮೆಣಸಿನಕಾಯಿಯೊಂದಿಗೆ ರುಬ್ಬಿಕೊಳ್ಳಿ. ಮಿಶ್ರಣ ಬಿಲ್ಲು, ಪುಡಿಮಾಡಿದ ಮೆಣಸು, ಉಪ್ಪು, ಇಂಗು ಮತ್ತು ಕೊತ್ತಂಬರಿ ಎಲೆಗಳನ್ನು ಸೇರಿಸಿ. ಉಪ್ಪಿನ ಮಟ್ಟವನ್ನು ಪರಿಶೀಲಿಸಿ ಮತ್ತು ನಿಮ್ಮ ರುಚಿಗೆ ತಕ್ಕಂತೆ ಹೊಂದಿಸಿ. ಕುಝಿ ಪನಿಯಾರಮ್ ಪ್ಯಾನ್ ಅನ್ನು ಪೂರ್ವಭಾವಿಯಾಗಿ ಕಾಯಿಸಿ; ಪ್ರತಿಯೊಂದು ಕುಳಿಗಳಿಗೆ ಒಂದು ಟೀಚಮಚ ಎಣ್ಣೆಯನ್ನು ಸೇರಿಸಿ. ಮೈಸೂರು ಬೋಂಡಾ ಹಿಟ್ಟನ್ನು ಪ್ರತಿಯೊಂದು ಕುಳಿಗಳಿಗೆ ಚಮಚ ಮಾಡಿ ಮತ್ತು ಅದನ್ನು 3/4 ನೇ ರೀತಿಯಲ್ಲಿ ತುಂಬಿಸಿ. ಪ್ಯಾನ್ ಅನ್ನು ಮುಚ್ಚಿ ಮತ್ತು ಬೋಂಡಾದ ಮೇಲ್ಭಾಗವನ್ನು ಉಗಿ ಮತ್ತು ಬೇಯಿಸಲು ಅನುಮತಿಸಿ. ಒಮ್ಮೆ ಬೋಂಡಾದ ಮೇಲ್ಭಾಗವು ಬೇಯಿಸಿರುವುದನ್ನು ನೀವು ಗಮನಿಸಿದರೆ, ನಂತರ ಪ್ಯಾನ್ ಅನ್ನು ತೆರೆಯಿರಿ. ಈ ಹಂತದಿಂದ ನಾವು ಬೋಂಡಾಗಳನ್ನು ತೆರೆದ ಸ್ಥಳದಲ್ಲಿ ಫ್ರೈ ಮಾಡುತ್ತೇವೆ. ಇನ್ನೊಂದು ಬದಿಯಲ್ಲಿ ಬೇಯಿಸಲು ಬೋಂಡಾಗಳನ್ನು ತಿರುಗಿಸಿ. ಬೋಂಡಾವನ್ನು ಹೆಚ್ಚು ಗರಿಗರಿಯಾಗಿ ಮತ್ತು ಎಲ್ಲಾ ಕಡೆಯಿಂದ ಸಮವಾಗಿ ಕಂದುಬಣ್ಣವಾಗಿಸಲು ನೀವು ಐಚ್ಛಿಕವಾಗಿ ಹೆಚ್ಚಿನ ಎಣ್ಣೆಯನ್ನು ಸೇರಿಸಬಹುದು. ತೆಂಗಿನಕಾಯಿ ಚಟ್ನಿಯೊಂದಿಗೆ ಮೈಸೂರು ಬೋಂಡಾವನ್ನು ಬಿಸಿ ಕಪ್ ಕಾಫಿಯೊಂದಿಗೆ ಟೀ ಟೈಮ್ ಸ್ನ್ಯಾಕ್ ಆಗಿ ಬಡಿಸಿ.
</t>
  </si>
  <si>
    <t>http://www.archanaskitchen.com/mysore-bonda-recipe-healthy-pan-fried-recipe</t>
  </si>
  <si>
    <t>Masala Roti Recipe-Soft and Spicy Indian Flat Bread</t>
  </si>
  <si>
    <t>ಮಸಾಲಾ ರೋಟಿ ರೆಸಿಪಿ-ಸಾಫ್ಟ್ ಮತ್ತು ಸ್ಪೈಸಿ ಇಂಡಿಯನ್ ಫ್ಲಾಟ್ ಬ್ರೆಡ್</t>
  </si>
  <si>
    <t>1 ಕಪ್ ಸಂಪೂರ್ಣ ಗೋಧಿ ಹಿಟ್ಟು, 1 ಕಪ್ ಜೋಳದ ಹಿಟ್ಟು, 1/2 ಕಪ್ ಓಟ್ಸ್ ಹಿಟ್ಟು, 1/4 ಕಪ್ ಬಜ್ರಾ ಹಿಟ್ಟು (ಮುತ್ತು ರಾಗಿ), 1/4 ಕಪ್ ರಾಗಿ ಹಿಟ್ಟು (ಫಿಂಗರ್ ರಾಗಿ / ನಗ್ಲಿ), 1/2 ಟೀಚಮಚ ಕೆಂಪು ಮೆಣಸಿನ ಪುಡಿ, 1/2 ಟೀಚಮಚ ಕೊತ್ತಂಬರಿ ಪುಡಿ (ಧನಿಯಾ), 1/4 ಟೀಚಮಚ ಹುರುಳಿ ಪುಡಿ ನೋಡಿ. (ಅಗಸೆ ಊಟ), 1 ಚಮಚ ಅಜ್ವೈನ್ (ಕೇರಂ ಬೀಜಗಳು) - ಅಂಗೈಗಳ ನಡುವೆ ಪುಡಿಮಾಡಿ, 2 ಚಮಚ ಕಸೂರಿ ಮೇಥಿ (ಒಣಗಿದ ಮೆಂತ್ಯ ಎಲೆಗಳು), ಉಗುರುಬೆಚ್ಚಗಿನ ನೀರು - ಹಿಟ್ಟನ್ನು ಬೆರೆಸಲು, ತುಪ್ಪ - ಅಥವಾ ಬೇಯಿಸಲು ಎಣ್ಣೆ, ಉಪ್ಪು - ರುಚಿಗೆ</t>
  </si>
  <si>
    <t>1 cup Whole Wheat Flour,1 cup Corn flour,1/2 cup Oats Flour,1/4 cup Bajra Flour ( Pearl Millet),1/4 cup Ragi Flour (Finger Millet/ Nagli),1/2 teaspoon Red Chilli powder,1/2 teaspoon Coriander Powder (Dhania),1/4 teaspoon Turmeric powder (Haldi),1 teaspoon Flax seed powder (flax meal),1 teaspoon Ajwain (Carom seeds) - crushed between palms,2 teaspoons Kasuri Methi (Dried Fenugreek Leaves),Lukewarm Water - to knead the dough,Ghee - or oil to cook,Salt - to taste</t>
  </si>
  <si>
    <t xml:space="preserve">To begin making Masala Roti Recipe, combine all the ingredients, except the oil or ghee,  in a large Mixing bowl. Add a little lukewarm water at a time and knead to make a smooth dough.Drizzle a teaspoon of oil over the dough and knead for a couple of minutes until smooth and firm. Divide the roti dough into 10 portions.Preheat the tawa on medium heat.Roll each portion of the dough, by dusting in flour into a thin circle. The thickness of the masala roti will be based on how thin you can roll it.Once rolled, place the masala roti on the tawa and allow it to cook for a few seconds on medium heat.Once you see air bubbles popping, flip and turn. Smear ghee or oil over the roti and cook on both sides until browned and lightly crisp.Once done, transfer the Mixed Millets Masala Roti from the tawa onto a plate. Make masala rotis similarly with remaining portions of the dough.Serve Masala Roti along with Amla Methi Sukhi Sabzi and Cauliflower Moong Dal for lunch or along with Jeera Aloo/Baingan Ka Bharta for a wholesome breakfast.
</t>
  </si>
  <si>
    <t xml:space="preserve">ಮಸಾಲಾ ರೋಟಿ ರೆಸಿಪಿಯನ್ನು ತಯಾರಿಸಲು ಪ್ರಾರಂಭಿಸಲು, ಎಣ್ಣೆ ಅಥವಾ ತುಪ್ಪವನ್ನು ಹೊರತುಪಡಿಸಿ ಎಲ್ಲಾ ಪದಾರ್ಥಗಳನ್ನು ದೊಡ್ಡ ಮಿಶ್ರಣ ಬಟ್ಟಲಿನಲ್ಲಿ ಸೇರಿಸಿ. ಒಂದು ಸಮಯದಲ್ಲಿ ಸ್ವಲ್ಪ ಉಗುರು ಬೆಚ್ಚಗಿನ ನೀರನ್ನು ಸೇರಿಸಿ ಮತ್ತು ನಯವಾದ ಹಿಟ್ಟನ್ನು ಮಾಡಲು ಬೆರೆಸಿಕೊಳ್ಳಿ. ಹಿಟ್ಟಿನ ಮೇಲೆ ಒಂದು ಟೀಚಮಚ ಎಣ್ಣೆಯನ್ನು ಸವರಿ ಮತ್ತು ನಯವಾದ ಮತ್ತು ಗಟ್ಟಿಯಾಗುವವರೆಗೆ ಒಂದೆರಡು ನಿಮಿಷಗಳ ಕಾಲ ಬೆರೆಸಿಕೊಳ್ಳಿ. ರೊಟ್ಟಿ ಹಿಟ್ಟನ್ನು 10 ಭಾಗಗಳಾಗಿ ವಿಂಗಡಿಸಿ. ತವಾವನ್ನು ಮಧ್ಯಮ ಉರಿಯಲ್ಲಿ ಪೂರ್ವಭಾವಿಯಾಗಿ ಕಾಯಿಸಿ. ಹಿಟ್ಟಿನ ಪ್ರತಿ ಭಾಗವನ್ನು ರೋಲ್ ಮಾಡಿ, ಹಿಟ್ಟಿನಲ್ಲಿ ತೆಳ್ಳಗಿನ ವೃತ್ತಕ್ಕೆ ಧೂಳನ್ನು ಹಾಕಿ. ಮಸಾಲಾ ರೊಟ್ಟಿಯ ದಪ್ಪವು ನೀವು ಅದನ್ನು ಎಷ್ಟು ತೆಳ್ಳಗೆ ಸುತ್ತಿಕೊಳ್ಳಬಹುದು ಎಂಬುದರ ಮೇಲೆ ಅವಲಂಬಿತವಾಗಿರುತ್ತದೆ. ಒಮ್ಮೆ ಸುತ್ತಿಕೊಂಡ ನಂತರ, ಮಸಾಲಾ ರೊಟ್ಟಿಯನ್ನು ತವಾ ಮೇಲೆ ಇರಿಸಿ ಮತ್ತು ಮಧ್ಯಮ ಉರಿಯಲ್ಲಿ ಕೆಲವು ಸೆಕೆಂಡುಗಳ ಕಾಲ ಅದನ್ನು ಬೇಯಿಸಲು ಅನುಮತಿಸಿ. ಗಾಳಿಯ ಗುಳ್ಳೆಗಳು ಪಾಪಿಂಗ್ ಅನ್ನು ನೀವು ನೋಡಿದ ನಂತರ, ತಿರುಗಿಸಿ ಮತ್ತು ತಿರುಗಿಸಿ. ರೊಟ್ಟಿಯ ಮೇಲೆ ತುಪ್ಪ ಅಥವಾ ಎಣ್ಣೆಯನ್ನು ಹಚ್ಚಿ ಮತ್ತು ಕಂದುಬಣ್ಣ ಮತ್ತು ಲಘುವಾಗಿ ಗರಿಗರಿಯಾಗುವವರೆಗೆ ಎರಡೂ ಬದಿಗಳಲ್ಲಿ ಬೇಯಿಸಿ. ಒಮ್ಮೆ ಮಾಡಿದ ನಂತರ, ತವಾದಿಂದ ತವಾದಿಂದ ಮಿಶ್ರಿತ ಮಿಲ್ಲೆಟ್ ಮಸಾಲಾ ರೋಟಿಯನ್ನು ವರ್ಗಾಯಿಸಿ. ಮಸಾಲ ರೊಟಿಸ್ ಅನ್ನು ಹಿಟ್ಟಿನ ಉಳಿದ ಭಾಗಗಳೊಂದಿಗೆ ಇದೇ ರೀತಿ ಮಾಡಿ. ಅಮ್ಲಾ ಮೆಥಿ ಸುಖಿ ಸಬ್ಜಿ ಮತ್ತು ಹೂಕೋಸು ಮೂಂಗ್ ದಾಲ್ ಜೊತೆಗೆ lunch ಟಕ್ಕೆ ಅಥವಾ ಜೀರಾ ಅಲೂ/ಬೈಂಗನ್ ಕಾ ಭಾರ್ಟಾ ಅವರೊಂದಿಗೆ ಆರೋಗ್ಯಕರ ಉಪಾಹಾರಕ್ಕಾಗಿ.
</t>
  </si>
  <si>
    <t>http://www.archanaskitchen.com/masala-roti-recipe-soft-and-spicy-indian-flat-bread</t>
  </si>
  <si>
    <t>Karnataka Style Set Dosa Recipe</t>
  </si>
  <si>
    <t>ಕರ್ನಾಟಕ ಸ್ಟೈಲ್ ಸೆಟ್ ದೋಸೆ ರೆಸಿಪಿ</t>
  </si>
  <si>
    <t>2 ಕಪ್ ಇಡ್ಲಿ ಅಕ್ಕಿ, 1/2 ಕಪ್ ಬಿಳಿ ಉರಾದ್ ದಾಲ್ (ಸಂಪೂರ್ಣ), 2 ಟೀ ಚಮಚ ಮೇಥಿ ಬೀಜಗಳು (ಮೆಂತ್ಯ ಬೀಜಗಳು), 1 ಕಪ್ ಪೋಹಾ (ಚಪ್ಪಟೆಯಾದ ಅಕ್ಕಿ), 2 ಟೀ ಚಮಚ ಉಪ್ಪು</t>
  </si>
  <si>
    <t>2 cups Idli Rice,1/2 cup White Urad Dal (Whole),2 teaspoons Methi Seeds (Fenugreek Seeds),1 cup Poha (Flattened rice),2 teaspoons Salt</t>
  </si>
  <si>
    <t xml:space="preserve">To begin making the Karnataka Style Set Dosa Recipe, we will first soak the rice and flattened rice/poha together in one bowl and the urad dal along with the fenugreek seeds in another bowl. Soak them for at least 6 hours.After 6 hours, grind the urad dal into a fine smooth batter. While grinding add just enough water to make it into a very very smooth batter. The batter will look fluffy. Pour this batter into a large container.Grind the rice and flattened rice into a smooth paste, adding just the required amount of water to grind into a almost smooth batter and thick batter. Adding too much water will make the dosa batter too watery. Combine the urad and rice batter, add salt to taste and set aside for at least 12 hours or overnight until the batter ferments. You will notice the batter would have doubled in volume.Do make sure you place the batter in a large container so it has enough room to increase in its volume.Once risen in volume, stir the batter just a little to combine it through. Take care not to stir it vigorously, as it will loose it fluffiness.Heat a skillet over medium heat. You will know its heat just right, when you sprinkle some water over the skillet, it will sizzle. Pour a ladleful of batter over the skillet and allow it to spread on its own (just a bit). The set dosa is like a pancake. It's a little thick and fluffy. Cover the dosa with a lid and allow to cook in its own steam for a few minutes.Once you notice the top is steamed and cooked through, you can remove it from the skillet and serve. Proceed the same way to make the remaining set dosas.Serve the Karnataka Style Set Dosas along with three different types of chutneys like Tomato Onion Chutney, Coconut Coriander Chutney and Ginger Walnut Chutney. 
</t>
  </si>
  <si>
    <t xml:space="preserve">ಕರ್ನಾಟಕ ಸ್ಟೈಲ್ ಸೆಟ್ ದೋಸೆ ರೆಸಿಪಿಯನ್ನು ತಯಾರಿಸಲು ಪ್ರಾರಂಭಿಸಲು, ನಾವು ಮೊದಲು ಅಕ್ಕಿ ಮತ್ತು ಚಪ್ಪಟೆಯಾದ ಅಕ್ಕಿ/ಪೋಹಾವನ್ನು ಒಂದು ಬಟ್ಟಲಿನಲ್ಲಿ ಮತ್ತು ಉದ್ದಿನ ಬೇಳೆಯನ್ನು ಮತ್ತೊಂದು ಬಟ್ಟಲಿನಲ್ಲಿ ಮೆಂತ್ಯ ಬೀಜಗಳನ್ನು ನೆನೆಸುತ್ತೇವೆ. ಅವುಗಳನ್ನು ಕನಿಷ್ಠ 6 ಗಂಟೆಗಳ ಕಾಲ ನೆನೆಸಿಡಿ. 6 ಗಂಟೆಗಳ ನಂತರ, ಉದ್ದಿನ ಬೇಳೆಯನ್ನು ನುಣ್ಣಗೆ ನಯವಾದ ಬ್ಯಾಟರ್ ಆಗಿ ರುಬ್ಬಿಕೊಳ್ಳಿ. ರುಬ್ಬುವಾಗ ಸಾಕಷ್ಟು ನೀರು ಸೇರಿಸಿ ಅದು ತುಂಬಾ ನಯವಾದ ಬ್ಯಾಟರ್ ಆಗಿ ಮಾಡುತ್ತದೆ. ಹಿಟ್ಟು ನಯವಾಗಿ ಕಾಣಿಸುತ್ತದೆ. ಈ ಹಿಟ್ಟನ್ನು ದೊಡ್ಡ ಪಾತ್ರೆಯಲ್ಲಿ ಸುರಿಯಿರಿ. ಅಕ್ಕಿ ಮತ್ತು ಚಪ್ಪಟೆಯಾದ ಅಕ್ಕಿಯನ್ನು ನಯವಾದ ಪೇಸ್ಟ್ ಆಗಿ ರುಬ್ಬಿಕೊಳ್ಳಿ, ಬಹುತೇಕ ನಯವಾದ ಬ್ಯಾಟರ್ ಮತ್ತು ದಪ್ಪವಾದ ಬ್ಯಾಟರ್ ಆಗಿ ರುಬ್ಬಲು ಅಗತ್ಯವಿರುವ ಪ್ರಮಾಣದ ನೀರನ್ನು ಸೇರಿಸಿ. ಹೆಚ್ಚು ನೀರು ಸೇರಿಸುವುದರಿಂದ ದೋಸೆ ಹಿಟ್ಟು ತುಂಬಾ ನೀರಾಗುತ್ತದೆ. ಉರಡ್ ಮತ್ತು ಅಕ್ಕಿ ಹಿಟ್ಟನ್ನು ಸೇರಿಸಿ, ರುಚಿಗೆ ಉಪ್ಪು ಸೇರಿಸಿ ಮತ್ತು ಹಿಟ್ಟು ಹುದುಗುವವರೆಗೆ ಕನಿಷ್ಠ 12 ಗಂಟೆಗಳ ಕಾಲ ಅಥವಾ ರಾತ್ರಿಯಿಡೀ ಇರಿಸಿ. ಬ್ಯಾಟರ್ ಪರಿಮಾಣದಲ್ಲಿ ದ್ವಿಗುಣಗೊಂಡಿರುವುದನ್ನು ನೀವು ಗಮನಿಸಬಹುದು. ನೀವು ಬ್ಯಾಟರ್ ಅನ್ನು ದೊಡ್ಡ ಪಾತ್ರೆಯಲ್ಲಿ ಇರಿಸಿದ್ದೀರಿ ಎಂದು ಖಚಿತಪಡಿಸಿಕೊಳ್ಳಿ ಆದ್ದರಿಂದ ಅದರ ಪರಿಮಾಣವನ್ನು ಹೆಚ್ಚಿಸಲು ಸಾಕಷ್ಟು ಸ್ಥಳಾವಕಾಶವಿದೆ. ಒಮ್ಮೆ ಪರಿಮಾಣದಲ್ಲಿ ಹೆಚ್ಚಿದ ನಂತರ, ಅದನ್ನು ಸಂಯೋಜಿಸಲು ಸ್ವಲ್ಪ ಹಿಟ್ಟನ್ನು ಬೆರೆಸಿ. ಅದನ್ನು ಬಲವಾಗಿ ಬೆರೆಸದಂತೆ ನೋಡಿಕೊಳ್ಳಿ, ಏಕೆಂದರೆ ಅದು ಮೃದುತ್ವವನ್ನು ಕಳೆದುಕೊಳ್ಳುತ್ತದೆ. ಮಧ್ಯಮ ಶಾಖದ ಮೇಲೆ ಬಾಣಲೆಯನ್ನು ಬಿಸಿ ಮಾಡಿ. ನೀವು ಅದರ ಶಾಖವನ್ನು ಸರಿಯಾಗಿ ತಿಳಿಯುವಿರಿ, ನೀವು ಬಾಣಲೆಯ ಮೇಲೆ ಸ್ವಲ್ಪ ನೀರು ಚಿಮುಕಿಸಿದಾಗ, ಅದು ಸಿಜ್ ಆಗುತ್ತದೆ. ಬಾಣಲೆಯ ಮೇಲೆ ಒಂದು ಲೋಟ ಹಿಟ್ಟನ್ನು ಸುರಿಯಿರಿ ಮತ್ತು ಅದು ತನ್ನದೇ ಆದ ಮೇಲೆ ಹರಡಲು ಅನುಮತಿಸಿ (ಕೇವಲ ಸ್ವಲ್ಪ). ಸೆಟ್ ದೋಸೆ ಪ್ಯಾನ್‌ಕೇಕ್‌ನಂತಿದೆ. ಇದು ಸ್ವಲ್ಪ ದಪ್ಪ ಮತ್ತು ತುಪ್ಪುಳಿನಂತಿರುತ್ತದೆ. ದೋಸೆಯನ್ನು ಮುಚ್ಚಳದಿಂದ ಕವರ್ ಮಾಡಿ ಮತ್ತು ಕೆಲವು ನಿಮಿಷಗಳ ಕಾಲ ತನ್ನದೇ ಆದ ಹಬೆಯಲ್ಲಿ ಬೇಯಿಸಲು ಅನುಮತಿಸಿ. ಮೇಲ್ಭಾಗವನ್ನು ಆವಿಯಲ್ಲಿ ಬೇಯಿಸಿ ಮತ್ತು ಬೇಯಿಸಿದಾಗ, ನೀವು ಅದನ್ನು ಬಾಣಲೆಯಿಂದ ತೆಗೆದುಹಾಕಿ ಮತ್ತು ಬಡಿಸಬಹುದು. ಉಳಿದ ಸೆಟ್ ದೋಸೆಗಳನ್ನು ಮಾಡಲು ಅದೇ ರೀತಿಯಲ್ಲಿ ಮುಂದುವರಿಯಿರಿ. ಟೊಮೆಟೊ ಈರುಳ್ಳಿ ಚಟ್ನಿ, ತೆಂಗಿನಕಾಯಿ ಕೊತ್ತಂಬರಿ ಚಟ್ನಿ ಮತ್ತು ಶುಂಠಿ ವಾಲ್ನಟ್ ಚಟ್ನಿಗಳಂತಹ ಮೂರು ವಿಭಿನ್ನ ರೀತಿಯ ಚಟ್ನಿಗಳೊಂದಿಗೆ ಕರ್ನಾಟಕ ಶೈಲಿಯ ಸೆಟ್ ದೋಸೆಗಳನ್ನು ಬಡಿಸಿ. 
</t>
  </si>
  <si>
    <t>https://www.archanaskitchen.com/karnataka-style-set-dosa-recipe</t>
  </si>
  <si>
    <t>Karnataka Style Bele Saaru Recipe</t>
  </si>
  <si>
    <t>ಕರ್ನಾಟಕ ಶೈಲಿಯ ಬೇಳೆ ಸಾರು ರೆಸಿಪಿ</t>
  </si>
  <si>
    <t>1 ಕಪ್ ಅರಹರ್ ದಾಲ್ (ಒಡೆದ ದಾಲ್), 1 ಕಪ್ ಹುಣಸೆ ನೀರು, 2 ಟೊಮ್ಯಾಟೊ - ಕತ್ತರಿಸಿದ, 2 ಟೀ ಚಮಚ ತಾಜಾ ತೆಂಗಿನಕಾಯಿ, 1 ಟೀಚಮಚ ಬೆಲ್ಲ, 1/2 ಟೀಚಮಚ ಅರಿಶಿನ ಪುಡಿ (ಹಲ್ದಿ), ಉಪ್ಪು - ರುಚಿಗೆ ತಕ್ಕಷ್ಟು, 1 ಚಮಚ ಕೊತ್ತಂಬರಿ (ಧನಿಯಾ) ಬೀಜಗಳು, 2 ಒಣ ಕೆಂಪು ಮೆಣಸಿನಕಾಯಿ, 1 ಬ್ಯಾಡಗಿ 1 ಚಮಚ, ಒಣ ಮೆಣಸಿನಕಾಯಿ 1 ಚಮಚ, ಕಾಳುಮೆಣಸು, 1 ಚಮಚ ಸಾಸಿವೆ, 1/2 ಟೀಚಮಚ ಮೇಥಿ ಬೀಜಗಳು (ಮೆಂತ್ಯ ಬೀಜಗಳು), 4 ಚಿಗುರು ಕರಿಬೇವಿನ ಎಲೆಗಳು, 1 ಚಮಚ ಸಾಸಿವೆ, 2 ಚಿಗುರು ಕರಿಬೇವಿನ ಎಲೆಗಳು, ತುಪ್ಪ - ಅಡುಗೆಗೆ</t>
  </si>
  <si>
    <t>1 cup Arhar dal (Split Toor Dal),1 cup Tamarind Water,2 Tomatoes - chopped,2 teaspoons Fresh coconut,1 teaspoon Jaggery,1/2 teaspoon Turmeric powder (Haldi),Salt - to taste,1 teaspoon Coriander (Dhania) Seeds,2 Dry Red Chillies,1 Byadagi Dried Chillies,1 teaspoon Cumin seeds (Jeera),1/2 teaspoon Whole Black Peppercorns,1 teaspoon Mustard seeds,1/2 teaspoon Methi Seeds (Fenugreek Seeds),4 sprig Curry leaves,1 teaspoon Mustard seeds,2 sprig Curry leaves,Ghee - for cooking</t>
  </si>
  <si>
    <t xml:space="preserve">To begin making the Karnataka Style Bele Saru, we will boil the toor dal with 2 cups water, turmeric powder, salt for about 4 whistle. Release the pressure naturally and open the lid.Keep the cooker back on the stove over a medium heat. Add tamarind water, coconut, jaggery allow it to cook over the simmer.Meanwhile dry roast the spices over a flat pan. Roast them until you get a nice aroma for about 10 minutes. Once done blitz it to a smooth mixture.Add this powder into the soup that is being boiled, add salt and adjust according to your palate.To temper, heat a small amount of oil, add mustard seeds and allow it to crackle and then add curry leaves, hing and leave it for 10 seconds and pour it over the boiling rasam and serve hot.Serve the Bele Saaru with steamed rice with some Baale Dindu Kadale Kaalina Palya , Masala Khichia Recipe for your everyday snack.
</t>
  </si>
  <si>
    <t xml:space="preserve">ಕರ್ನಾಟಕ ಶೈಲಿಯ ಬೇಳೆ ಸಾರು ತಯಾರಿಸಲು ಪ್ರಾರಂಭಿಸಲು, ನಾವು 2 ಕಪ್ ನೀರು, ಅರಿಶಿನ ಪುಡಿ, ಉಪ್ಪಿನೊಂದಿಗೆ ಸುಮಾರು 4 ಸೀಟಿಗೆ ತೊಗರಿಬೇಳೆಯನ್ನು ಕುದಿಸುತ್ತೇವೆ. ನೈಸರ್ಗಿಕವಾಗಿ ಒತ್ತಡವನ್ನು ಬಿಡುಗಡೆ ಮಾಡಿ ಮತ್ತು ಮುಚ್ಚಳವನ್ನು ತೆರೆಯಿರಿ. ಮಧ್ಯಮ ಶಾಖದ ಮೇಲೆ ಕುಕ್ಕರ್ ಅನ್ನು ಮತ್ತೆ ಒಲೆಯ ಮೇಲೆ ಇರಿಸಿ. ಹುಣಸೆಹಣ್ಣಿನ ನೀರು, ತೆಂಗಿನಕಾಯಿ, ಬೆಲ್ಲ ಸೇರಿಸಿ ಕುದಿಯುತ್ತಿರುವ ಮೇಲೆ ಬೇಯಿಸಲು ಅವಕಾಶ ಮಾಡಿಕೊಡಿ. ಏತನ್ಮಧ್ಯೆ, ಫ್ಲಾಟ್ ಪ್ಯಾನ್ ಮೇಲೆ ಮಸಾಲೆಗಳನ್ನು ಒಣಗಿಸಿ. ನೀವು ಸುಮಾರು 10 ನಿಮಿಷಗಳ ಕಾಲ ಉತ್ತಮ ಪರಿಮಳವನ್ನು ಪಡೆಯುವವರೆಗೆ ಅವುಗಳನ್ನು ಹುರಿಯಿರಿ. ಇದನ್ನು ಮಾಡಿದ ನಂತರ ಅದನ್ನು ನಯವಾದ ಮಿಶ್ರಣಕ್ಕೆ ಮಿಕ್ಸ್ ಮಾಡಿ. ಈ ಪುಡಿಯನ್ನು ಕುದಿಸುತ್ತಿರುವ ಸೂಪ್‌ಗೆ ಸೇರಿಸಿ, ಉಪ್ಪು ಸೇರಿಸಿ ಮತ್ತು ನಿಮ್ಮ ರುಚಿಗೆ ತಕ್ಕಂತೆ ಹೊಂದಿಸಿ. ಹದಗೊಳಿಸಲು, ಸ್ವಲ್ಪ ಪ್ರಮಾಣದ ಎಣ್ಣೆಯನ್ನು ಬಿಸಿ ಮಾಡಿ, ಸಾಸಿವೆ ಹಾಕಿ ಮತ್ತು ಗರಿಗರಿಯಾಗಲು ಅನುಮತಿಸಿ ನಂತರ ಕರಿಬೇವಿನ ಎಲೆಗಳು, ಹಿಂಗನ್ನು ಸೇರಿಸಿ ಮತ್ತು 10 ಸೆಕೆಂಡುಗಳ ಕಾಲ ಅದನ್ನು ಕುದಿಯುತ್ತಿರುವ ರಸದ ಮೇಲೆ ಸುರಿಯಿರಿ ಮತ್ತು ಅದನ್ನು ಬಿಸಿಯಾಗಿ ಬಡಿಸಿ. ನಿಮ್ಮ ದೈನಂದಿನ ತಿಂಡಿಗಾಗಿ ಕಾಳಿನ ಪಲ್ಯ , ಮಸಾಲಾ ಖಿಚಿಯಾ ರೆಸಿಪಿ.
</t>
  </si>
  <si>
    <t>http://www.archanaskitchen.com/karnataka-style-bele-saru-recipe</t>
  </si>
  <si>
    <t>Karnataka Style Tamarind Gojju Recipe</t>
  </si>
  <si>
    <t>ಕರ್ನಾಟಕ ಶೈಲಿಯ ಹುಣಸೆ ಗೊಜ್ಜು ರೆಸಿಪಿ</t>
  </si>
  <si>
    <t>1 ಕಪ್ ಹುಣಸೆ ನೀರು, 1 ಟೊಮೆಟೊ - ಕತ್ತರಿಸಿದ, 1 ಹಸಿರು ಮೆಣಸಿನಕಾಯಿ - ಸೀಳು, 1 ಚಮಚ ಕೆಂಪು ಮೆಣಸಿನ ಪುಡಿ, 1 ಇಂಚು ಶುಂಠಿ - ಕತ್ತರಿಸಿದ, ಉಪ್ಪು - ರುಚಿಗೆ, 1 ಟೀಚಮಚ ಸಾಸಿವೆ ಬೀಜಗಳು, 1 ಚಿಗುರು ಕರಿಬೇವಿನ ಎಲೆಗಳು, 1 ಚಮಚ ಸೂರ್ಯಕಾಂತಿ ಎಣ್ಣೆ</t>
  </si>
  <si>
    <t>1 cup Tamarind Water,1 Tomato - chopped,1 Green Chilli - slit,1 tablespoon Red Chilli powder,1 inch Ginger - chopped,Salt - to taste,1 teaspoon Mustard seeds,1 sprig Curry leaves,1 tablespoon Sunflower Oil</t>
  </si>
  <si>
    <t xml:space="preserve">We begin making the Karnataka Style Tamarind Gojju Recipe by boiling the tamarind water with the rest of the ingredients into a sauce pan Boil until the tamarind thickens, then switch it off. Heat a kadai with oil and temper the mustard seeds and curry leaves.Pour this over the gojju and serve hot. Serve the Karnataka Style Tamarind Gojju Recipe along with Karnataka Style Huggi Recipe along with some Gorikayi Palya Recipe.
</t>
  </si>
  <si>
    <t xml:space="preserve">ನಾವು ಕರ್ನಾಟಕ ಶೈಲಿಯ ಹುಣಸೆಹಣ್ಣಿನ ಗೊಜ್ಜು ರೆಸಿಪಿಯನ್ನು ತಯಾರಿಸಲು ಪ್ರಾರಂಭಿಸುತ್ತೇವೆ, ಉಳಿದ ಪದಾರ್ಥಗಳೊಂದಿಗೆ ಹುಣಸೆ ನೀರನ್ನು ಕುದಿಸಿ ಸಾಸ್ ಪ್ಯಾನ್‌ಗೆ ಹುಣಸೆಹಣ್ಣು ದಪ್ಪವಾಗುವವರೆಗೆ ಕುದಿಸಿ, ನಂತರ ಅದನ್ನು ಆಫ್ ಮಾಡಿ. ಕಡಾಯಿಯನ್ನು ಎಣ್ಣೆಯಿಂದ ಬಿಸಿ ಮಾಡಿ ಮತ್ತು ಸಾಸಿವೆ ಮತ್ತು ಕರಿಬೇವಿನ ಎಲೆಗಳನ್ನು ಹದಗೊಳಿಸಿ. ಇದನ್ನು ಗೊಜ್ಜು ಮೇಲೆ ಸುರಿಯಿರಿ ಮತ್ತು ಬಿಸಿಯಾಗಿ ಬಡಿಸಿ. ಕರ್ನಾಟಕ ಶೈಲಿಯ ಹುಣಸೆ ಗೊಜ್ಜು ರೆಸಿಪಿ ಜೊತೆಗೆ ಕರ್ನಾಟಕ ಸ್ಟೈಲ್ ಹುಗ್ಗಿ ರೆಸಿಪಿ ಜೊತೆಗೆ ಕೆಲವು ಗೋರಿಕಾಯಿ ಪಲ್ಯ ರೆಸಿಪಿಯನ್ನು ಬಡಿಸಿ.
</t>
  </si>
  <si>
    <t>https://www.archanaskitchen.com/karnataka-style-tamarind-gojju-recipe</t>
  </si>
  <si>
    <t>Hurali Kalu Chutney Recipe</t>
  </si>
  <si>
    <t>ಹುರಳಿ ಕಾಳು ಚಟನಿ ರೆಸಿಪಿ - Hurali Kalu Chutney Recipe</t>
  </si>
  <si>
    <t>1/2 ಕಪ್ ಕುಲೀಥ ದಾಲ್,1 ಕಪ್ ಛೋಟೆ ಪ್ಯಾಜ್ - ಛಿಲ್ ಲೆ,2 ಕಲಿ ಲಹಸುನ್,2 ಟಹನಿ ಕಢಿ ಪತ್ತಾ,2 ಚಮಚ್ಚ ಶಾಹಿ ಜೀರಾ,1/2 ಛೋಟಾ ಚಮಚ್ಚ ಧನಿಯಾ ಬೀಜ್,4 ಸುಖಿ ಲಾಲ ಮಿರ್ಚ,1/2 ಚಮಚ್ಚ ಗುಡ,2 ಬಡೆ ಚಮಚ್ಚ ನಾರಿಯಲ್,1 ಬಡಾ ಚಮಚ್ಚ ಇಮಲಿ ಕಾ ಪಾನಿ, ಚಮಚ್ಚ ತೇಲ್,ನಮಕ - ಸ್ವಾದ ಅನುಸಾರ್,1 ಬಡಾ ಚಮಚ್ಚ ತೇಲ,2 ತಹನಿ ಕಢಿ ಪತ್ತ,2 ಸುಮಖ ಆಧಾರ ಕರ್ ಲೇ,1 ಛೋಟಾ ಚಮಚ್ಚ ಸಫೇದ ಉರದ ದಾಲ್,1 ಛೋಟಾ ಚಮಚ್ಚ ರೈ,1 ಛೋಟಾ ಚಮಚ್ಚ ರೈ ಚಮಚ್ಚ ಹಿಂಗ</t>
  </si>
  <si>
    <t>1/2 कप कुलीथ दाल,1 कप छोटे प्याज - छिल ले,2 कली लहसुन,2 टहनी कढ़ी पत्ता,2 छोटा चमच्च शाही जीरा,1/2 छोटा चमच्च धनिया के बीज,4 सुखी लाल मिर्च,1/2 छोटा चमच्च गुड़,2 बड़े चमच्च नारियल,1 बड़ा चमच्च इमली का पानी,2 छोटा चमच्च तेल,नमक - स्वाद अनुसार,1 बड़ा चमच्च तेल,2 टहनी कढ़ी पत्ता,2 सुखी लाल मिर्च - आधा कर ले,1 छोटा चमच्च सफ़ेद उरद दाल,1 छोटा चमच्च राइ,1/2 छोटा चमच्च हींग</t>
  </si>
  <si>
    <t>"To make Hurali Kalu Chutney Recipe, heat oil in a pan. Once oil is hot, add cumin seeds, curry leaves, dried red chillies, coriander seeds and cook till mustard seeds crackle. Now add shallots, garlic and cook till onions become soft. Once onions become soft, add kulith dal and cook till puffed. Switch off the gas and let this mixture cool. Transfer this mixture to a mixer grinder along with jaggery, coconut, tamarind and grind it. For Tadka, heat oil in a Tadka Pan. Add mustard seeds, urad dal, curry leaves, dried red chillies and asafoetida. After 10 seconds, pour this tempering into the chutney and mix well. Serve Hurali Kalu Chutney with Ghee Roast Dosa/Idli and Tomato Onion Sambar for breakfast."</t>
  </si>
  <si>
    <t xml:space="preserve">ಹುರಳಿ ಕಾಲೂ ಚಟನಿ ರೆಸಿಪಿ ಬನಾನೆಗೆ ಒಂದು ಕಥೆಯಲ್ಲಿ ತೇಲ್ ಗರಂ ಕರೆಂ. ತೇಲ್ ಗರಂ ಹೋನೆಗೆ ಜೀರಾ, ಕಢಿ ಪತ್ತಾ, ಸುಖಿ ಲಾಲ್ ಮಿರ್ಚ್, ಧನಿಯೆ ಮತ್ತು ಬೀಡಿಗಳು ತಡಕನೆ ತಕ ಪಕ ಲೇ. ಈಗ ಛೋಟೆ ಪ್ಯಾಜ್, ಲಹಸುನ್ ದಾಲೆ ಮತ್ತು ಅಭ್ಯಾಸದ ನರಮ್ ಹೋನೆ ತಕ ಪಕ ಲೆ. ಯಾಜಕವಾಗಿ ಹೇಳುವುದಾದರೆ ಕುಳಿತದ ದಾಲ್ ಡಾಲೆ ಮತ್ತು ಪಫ್ ಹೋನೆ ತಕ ಪಕ ಲೆ. ಗೈಸ್ ಬಂದ ಕರೆಂ ಮತ್ತು ಈ ಮಿಶ್ರಣ ಕೋ ಥಂಡ ಹೋನೆ ದೆ. ಈ ಮಿಶ್ರಣ ಕೋ ಗುಡ್, ನಾರಿಯಲ್, ಇಮಲಿ ಕೆ ಸಾಥ್ ಮಿಕ್ಸರ್ ಗ್ರೈಂಡರ್‌ನಲ್ಲಿ ಡಾಲೆ ಮತ್ತು ಪೀಸ್. ತಡಕಾಕ್ಕಾಗಿ, ಒಂದು ತಡಕಾ ಪೈನ್ ಮೇಲೆ ತೇಲ್ ಗರಂ ಕರೆಂ. ಅದೇ ರೀತಿ ರೈ, ಉರದ ದಾಲ್, ಕಢೀ ಪತ್ತಾ, ಸುಖಿ ಲಾಲ್ ಮಿರ್ಚ್ ಮತ್ತು ಹೀಂಗ್ ಡಾಲೆ. 10 ಸೆಕಂಡ್ಸ್ ಬ್ಯಾಡ್ ಈ ತಡಕೆ ಕೊ ಚಟನಿ ಮೆಂ ಡಾಲೆ ಮತ್ತು ಮಿಲಾ ಲೆ. ಹುರಾಲಿ ಕಾಲೂ ಚಟನಿ ಕೋ ಘಿ ರೋಸ್ಟ್ ದೋಸೆ/ಇಡಲಿ ಮತ್ತು ಟಮಾಟರ್ ಪ್ರಯಾಸ ಸಾಮಾಗ್ರಿಗಳಿಗೆ ನಷ್ಟಕ್ಕೆ ಕಾರಣ.
</t>
  </si>
  <si>
    <t>https://www.archanaskitchen.com/hurali-kalu-chutney-recipe-horse-gram-chutney-recipe-in-hindi</t>
  </si>
  <si>
    <t>Karnataka Style Avarekalu Kosambari Recipe</t>
  </si>
  <si>
    <t>ಕರ್ನಾಟಕ ಸ್ಟೈಲ್ ಅವರೆಕಾಳು ಕೋಸಂಬರಿ ರೆಸಿಪಿ</t>
  </si>
  <si>
    <t>1 ಕಪ್ ಅವರೆಕಾಳು / ಲಿಲ್ವಾ ಬೀನ್ಸ್ - ಒತ್ತಿದರೆ ಬೇಯಿಸಿದ, 1 ಕ್ಯಾರೆಟ್ (ಗಜ್ಜರ್) - ತುರಿದ, 1 ಕಪ್ ಸ್ವೀಟ್ ಕಾರ್ನ್, 1/4 ಕಪ್ ಹಳದಿ ಮೂಂಗ್ ದಾಲ್ (ಒಡೆದ) - 30 ನಿಮಿಷಗಳ ಕಾಲ ನೀರಿನಲ್ಲಿ ನೆನೆಸಿದ, 1 ಹಸಿರು ಮೆಣಸಿನಕಾಯಿ - ಕತ್ತರಿಸಿದ, 1/2 ನಿಂಬೆಹಣ್ಣು, 1/4 ಕಪ್ ತಾಜಾ ತೆಂಗಿನಕಾಯಿ - ನುಣ್ಣಗೆ ಕತ್ತರಿಸಿದ ಕೊತ್ತಂಬರಿ - 1 ಚಮಚ - ರುಚಿಗೆ, 1 ಚಮಚ ಸೂರ್ಯಕಾಂತಿ ಎಣ್ಣೆ, 1 ಚಿಟಿಕೆ ಇಂಗು (ಹಿಂಗ್), 1 ಟೀಚಮಚ ಸಾಸಿವೆ ಬೀಜಗಳು, 1 ಚಿಗುರು ಕರಿಬೇವಿನ ಎಲೆಗಳು</t>
  </si>
  <si>
    <t>1 cup Avarekalu / Lilva Beans - pressure cooked,1 Carrot (Gajjar) - grated,1 cup Sweet corn,1/4 cup Yellow Moong Dal (Split) - soaked in water for 30 minutes,1 Green Chilli - chopped,1/2 Lemon,1/4 cup Fresh coconut - grated,1 tablespoon Coriander (Dhania) Leaves - finely chopped,Salt - to taste,1 tablespoon Sunflower Oil,1 pinch Asafoetida (hing),1 teaspoon Mustard seeds,1 sprig Curry leaves</t>
  </si>
  <si>
    <t xml:space="preserve">To begin preparing Karnataka Style Avarekalu Kosambari Recipe, soak the moong dal in water for at least 30 minutes and keep it ready. Pressure cook the avarekalu beans along with 1/2 a cup water in the cooker, sprinkle with salt and just cook for 1 whistle. Allow the pressure to release naturally and drain the water out. In a mixing bowl, add carrots, boiled avarekalu, sweet corn, freshly grated coconut, coriander leaves, salt and lemon juice into the same bowl and mix it well.The next step is tempering. For tempering, heat the oil in a tadka pan on medium flame and add mustard seeds.Once it crackles, add asafoetida and curry leaves and let it crisp up. Add it to the kosambari and mix everything well and serve.Serve the Karnataka Style Avarekalu Kosambari Recipe along with chitranna Recipe , Cabbage Onion Vada Recipe and Paal Payasam Recipe to make it a complete meal.
</t>
  </si>
  <si>
    <t xml:space="preserve">ಕರ್ನಾಟಕ ಶೈಲಿಯ ಅವರೆಕಾಳು ಕೋಸಂಬರಿ ರೆಸಿಪಿಯನ್ನು ತಯಾರಿಸಲು ಪ್ರಾರಂಭಿಸಲು, ಬೆಂಡೆಕಾಯಿಯನ್ನು ಕನಿಷ್ಠ 30 ನಿಮಿಷಗಳ ಕಾಲ ನೀರಿನಲ್ಲಿ ನೆನೆಸಿ ಮತ್ತು ಅದನ್ನು ಸಿದ್ಧವಾಗಿಡಿ. ಕುಕ್ಕರ್‌ನಲ್ಲಿ 1/2 ಕಪ್ ನೀರು ಜೊತೆಗೆ ಅವರೆಕಾಳು ಬೀನ್ಸ್ ಅನ್ನು ಪ್ರೆಶರ್ ಕುಕ್ ಮಾಡಿ, ಉಪ್ಪಿನೊಂದಿಗೆ ಸಿಂಪಡಿಸಿ ಮತ್ತು 1 ಸೀಟಿಗೆ ಬೇಯಿಸಿ. ಒತ್ತಡವನ್ನು ನೈಸರ್ಗಿಕವಾಗಿ ಬಿಡುಗಡೆ ಮಾಡಲು ಮತ್ತು ನೀರನ್ನು ಹೊರಹಾಕಲು ಅನುಮತಿಸಿ. ಮಿಕ್ಸಿಂಗ್ ಬೌಲ್‌ನಲ್ಲಿ, ಕ್ಯಾರೆಟ್, ಬೇಯಿಸಿದ ಅವರೆಕಾಳು, ಸ್ವೀಟ್ ಕಾರ್ನ್, ಹೊಸದಾಗಿ ತುರಿದ ತೆಂಗಿನಕಾಯಿ, ಕೊತ್ತಂಬರಿ ಸೊಪ್ಪು, ಉಪ್ಪು ಮತ್ತು ನಿಂಬೆ ರಸವನ್ನು ಅದೇ ಬಟ್ಟಲಿನಲ್ಲಿ ಸೇರಿಸಿ ಮತ್ತು ಚೆನ್ನಾಗಿ ಮಿಶ್ರಣ ಮಾಡಿ. ಮುಂದಿನ ಹಂತವು ಹದಗೊಳಿಸುವುದು. ಹದಗೊಳಿಸುವಿಕೆಗಾಗಿ, ಮಧ್ಯಮ ಉರಿಯಲ್ಲಿ ತಡ್ಕಾ ಪ್ಯಾನ್‌ನಲ್ಲಿ ಎಣ್ಣೆಯನ್ನು ಬಿಸಿ ಮಾಡಿ ಮತ್ತು ಸಾಸಿವೆ ಹಾಕಿ. ಅದು ಸಿಡಿದ ನಂತರ, ಇಂಗು ಮತ್ತು ಕರಿಬೇವಿನ ಎಲೆಗಳನ್ನು ಸೇರಿಸಿ ಮತ್ತು ಗರಿಗರಿಯಾಗಲು ಬಿಡಿ. ಇದನ್ನು ಕೊಸಂಬರಿಗೆ ಸೇರಿಸಿ ಮತ್ತು ಎಲ್ಲವನ್ನೂ ಚೆನ್ನಾಗಿ ಬೆರೆಸಿ ಸೇವೆ ಮಾಡಿ. ಕರ್ನಾಟಕ ಶೈಲಿಯ ಅವರೆಕಲು ಕೊಸಂಬರಿ ಪಾಕವಿಧಾನ ಜೊತೆಗೆ ಚಿತ್ರರನ್ನಾ ಪಾಕವಿಧಾನ, ಎಲೆಕೋಸು ಈರುಳ್ಳಿ ವಾಡಾ ಪಾಕವಿಧಾನ ಮತ್ತು ಪಾಲ್ ಪಯಸಮ್ ಪಾಕವಿಧಾನವನ್ನು ಸಂಪೂರ್ಣ .ಟವನ್ನಾಗಿ ಮಾಡಿ.
</t>
  </si>
  <si>
    <t>https://www.archanaskitchen.com/karnataka-style-avarekalu-kosambari-recipe</t>
  </si>
  <si>
    <t>Karnataka Style Avarekalu Akki Rotti Recipe</t>
  </si>
  <si>
    <t>ಕರ್ನಾಟಕ ಸ್ಟೈಲ್ ಅವರೆಕಾಳು ಅಕ್ಕಿ ರೊಟ್ಟಿ ರೆಸಿಪಿ</t>
  </si>
  <si>
    <t>2 ಕಪ್ ಅಕ್ಕಿ ಹಿಟ್ಟು, 1 ಕಪ್ ಅವರೆಕಾಳು / ಲಿಲ್ವಾ ಬೀನ್ಸ್, 1 ಈರುಳ್ಳಿ - ಸಣ್ಣದಾಗಿ ಕೊಚ್ಚಿದ, 3 ಚಮಚ ತಾಜಾ ತೆಂಗಿನಕಾಯಿ - ತುರಿದ, 3 ಹಸಿರು ಮೆಣಸಿನಕಾಯಿಗಳು - ನುಣ್ಣಗೆ ಕತ್ತರಿಸಿದ, 1/4 ಕಪ್ ಮೊಸರು (ದಹಿ / ಮೊಸರು), 1/2 ಟೀಚಮಚ ಜೀರಿಗೆ ಪುಡಿ (ಜೀರಾ), 1 ಕೊತ್ತಂಬರಿ ಸೊಪ್ಪು (ಧನಿಯಾ) (ಹಿಂಗ್), ಉಪ್ಪು - ರುಚಿಗೆ, ನೀರು - ಹಿಟ್ಟನ್ನು ಬೆರೆಸಲು</t>
  </si>
  <si>
    <t>2 cups Rice flour,1 cup Avarekalu / Lilva Beans,1 Onion - finely chopped,3 tablespoon Fresh coconut - shredded,3 Green Chillies - chopped fine,1/4 cup Curd (Dahi / Yogurt),1/2 teaspoon Cumin powder (Jeera),1 sprig Coriander (Dhania) Leaves - chopped,1 pinch Asafoetida (hing),Salt - to taste,Water - to knead dough</t>
  </si>
  <si>
    <t xml:space="preserve">We begin making the Karnataka Style Avarekaalu Rotti Recipe by adding all the ingredients in a bowl. Add about half cup of Luke warm water and knead it into a soft dough. It will be little sticky dough.Divide the dough into small equal balls. Heat a nonstick tawa, and grease it with oil and keep it ready.You can either do it on the tawa directly or take a plastic paper and add some oil and start pressing it on the paper. Flatten it evenly into a round shape.Then carefully take out the flattened rotti and add it on the tawa. Drizzle some oil and cook on either side till it is golden brown. Repeat the process for other dough.Serve the Avarekaalu Rotti Recipe along with Tomato Chutney or Coconut Chutney to relish your Breakfast.
</t>
  </si>
  <si>
    <t xml:space="preserve">ನಾವು ಒಂದು ಬಟ್ಟಲಿನಲ್ಲಿ ಎಲ್ಲಾ ಪದಾರ್ಥಗಳನ್ನು ಸೇರಿಸುವ ಮೂಲಕ ಕರ್ನಾಟಕ ಶೈಲಿಯ ಅವರೆಕಾಳು ರೊಟ್ಟಿ ರೆಸಿಪಿಯನ್ನು ತಯಾರಿಸಲು ಪ್ರಾರಂಭಿಸುತ್ತೇವೆ. ಸುಮಾರು ಅರ್ಧ ಕಪ್ ಲ್ಯೂಕ್ ಬೆಚ್ಚಗಿನ ನೀರನ್ನು ಸೇರಿಸಿ ಮತ್ತು ಅದನ್ನು ಮೃದುವಾದ ಹಿಟ್ಟಿನಲ್ಲಿ ಬೆರೆಸಿಕೊಳ್ಳಿ. ಇದು ಸ್ವಲ್ಪ ಜಿಗುಟಾದ ಹಿಟ್ಟಾಗಿರುತ್ತದೆ. ಹಿಟ್ಟನ್ನು ಸಣ್ಣ ಸಮಾನ ಉಂಡೆಗಳಾಗಿ ವಿಂಗಡಿಸಿ. ನಾನ್‌ಸ್ಟಿಕ್ ತವಾವನ್ನು ಬಿಸಿ ಮಾಡಿ ಮತ್ತು ಎಣ್ಣೆಯಿಂದ ಗ್ರೀಸ್ ಮಾಡಿ ಮತ್ತು ಅದನ್ನು ಸಿದ್ಧವಾಗಿ ಇರಿಸಿ. ನೀವು ಅದನ್ನು ನೇರವಾಗಿ ತವಾದಲ್ಲಿ ಮಾಡಬಹುದು ಅಥವಾ ಪ್ಲಾಸ್ಟಿಕ್ ಪೇಪರ್ ಅನ್ನು ತೆಗೆದುಕೊಂಡು ಸ್ವಲ್ಪ ಎಣ್ಣೆಯನ್ನು ಸೇರಿಸಿ ಮತ್ತು ಅದನ್ನು ಕಾಗದದ ಮೇಲೆ ಒತ್ತುವುದನ್ನು ಪ್ರಾರಂಭಿಸಿ. ಒಂದು ಸುತ್ತಿನ ಆಕಾರದಲ್ಲಿ ಅದನ್ನು ಸಮವಾಗಿ ಚಪ್ಪಟೆಗೊಳಿಸಿ. ನಂತರ ಎಚ್ಚರಿಕೆಯಿಂದ ಚಪ್ಪಟೆಯಾದ ರೊಟ್ಟಿಯನ್ನು ತೆಗೆದುಕೊಂಡು ತವಾ ಮೇಲೆ ಸೇರಿಸಿ. ಸ್ವಲ್ಪ ಎಣ್ಣೆ ಸವರಿ ಮತ್ತು ಎರಡೂ ಬದಿಯಲ್ಲಿ ಗೋಲ್ಡನ್ ಬ್ರೌನ್ ಆಗುವವರೆಗೆ ಬೇಯಿಸಿ. ಇತರ ಹಿಟ್ಟಿನ ಪ್ರಕ್ರಿಯೆಯನ್ನು ಪುನರಾವರ್ತಿಸಿ. ನಿಮ್ಮ ಬೆಳಗಿನ ಉಪಾಹಾರವನ್ನು ಸವಿಯಲು ಟೊಮೇಟೊ ಚಟ್ನಿ ಅಥವಾ ತೆಂಗಿನಕಾಯಿ ಚಟ್ನಿ ಜೊತೆಗೆ ಅವರೆಕಾಲು ರೊಟ್ಟಿ ರೆಸಿಪಿಯನ್ನು ಬಡಿಸಿ.
</t>
  </si>
  <si>
    <t>http://www.archanaskitchen.com/karnataka-style-avarekalu-rotti-recipe</t>
  </si>
  <si>
    <t>Menthe Tambli Recipe</t>
  </si>
  <si>
    <t>ಮೆಂತೆ ತಂಬ್ಲಿ ರೆಸಿಪಿ - Menthe Tambli Recipe</t>
  </si>
  <si>
    <t>2 ಛೋಟೆ ಚಮಚ್ಚ ಮೆಥಿಗೆ ದಾನೆ,3 ಸುಖಿ ಲಾಲ ಮಿರ್ಚ್,1/4 ಕಪ್ ನಾರಿಯಲ್ - ಕಸ್ ಲೆ,1-1/2 ಕಪ,1/2 ಛಾ. ಚಮಚ್ಚ ಘಿ,ನಮಕ - ಸ್ವಾದ ಅನುಸಾರ್,1 ಛೋಟಾ ಚಮಚ್ಚ ಘಿ,1/2 ಛೋಟಾ ಚಮಚ್ಚ, 1ತಪ ಥೋಡೆ</t>
  </si>
  <si>
    <t>2 छोटे चमच्च मेथी के दाने,3 सुखी लाल मिर्च,1/4 कप नारियल - कस ले,1-1/2 कप दही,1/2 छोटा चमच्च घी,नमक - स्वाद अनुसार,1 छोटा चमच्च घी,1/2 छोटा चमच्च राइ,1 कढ़ी पत्ता - थोड़े</t>
  </si>
  <si>
    <t>"To make Menthe Tambli recipe, first heat ghee in a pan. Add fenugreek and dried red chillies. Cook till golden brown. Once cooked, keep aside to cool. In a mixer grinder, add fenugreek, coconut, salt, curd and make a paste. You can also add some water to it. Transfer the mixture to a bowl. Add the remaining curd, salt and mix well. For the tempering, heat ghee in a tempering pan. Add mustard seeds and cook for 10 seconds. After 10 seconds, add curry leaves and turn off the gas. Pour this tempering into the tambli and mix well. Serve. Serve Menthe Tambli with Rice, Chow Chow Thoran and Papad for lunch."</t>
  </si>
  <si>
    <t xml:space="preserve">ಮೆಂತೆ ತಂಬ್ಲಿ ರೆಸಿಪಿ ಬನಾನೆ ಗೆ ಲಿಯೇ ಸಬಸೆ ಪಹಲೆ ಎಕ್ ಕಢೈ ಮೆಂ ಘಿ ಗರಂ ಕರೆಂ. ಇದೇ ಮೇಥಿ ಮತ್ತು ಸುಖಿ ಲಾಲ್ ಮಿರ್ಚ್ ದಾಲೆ. ಸುನಹರಾ ಭೂರಾ ಹೋನೇ ತಕ ಪಕಾಯೇ. ಪಕ್ ಜಾನೆ ಕೆ ಬಾದ ಥಂಡಾ ಹೋನೆಗೆ ಅಲಗ್ ಸೆ ರಖ್ ಲೆ. ಈ ಮಿಕ್ಸರ್ ಗ್ರೈಂಡರ್‌ನಲ್ಲಿ ಮೆಥಿಗೆ ನಾರಿಯಲ್, ನಮಕ್, ದಹಿ ಡೇಲ್ ಮತ್ತು ಪೆಸ್ಟ್ ಬನಾ ಲೆ. ನೀವು ಅದೇ ಥೋಡಾ ಸಾ ಪಾನಿ ಭೀ ದಾಲ್ ಸಕತೆ ಹೈ. ಈ ಮಿಶ್ರಣ ಕೋ ಒಂದು ಬೌಲ್ ಮೆಂ ನಿಕಾಲ್ ಲೆ. ಅದೇ ರೀತಿ ಬಚಾ ಹುಯಾ ದಹಿ, ನಮಕ ದಾಲೆ ಮತ್ತು ಮಿಲಾ ಲೆ.ತಡಕೆಗೆ ಒಂದು ತಡಕ ಪೈನ್ ಗನ್ ಅದೇ ರೀತಿ ರೈ ಡೇಲ್ ಮತ್ತು 10 ಸೆಕಂಡ್‌ಗಳು ಪಕಾ ಲೆ. 10 ಸೆಕೆಂಡ್‌ಗಳು ಕೇವಲ ಕಢಿ ಪತ್ತ ದಾಲೆ ಮತ್ತು ಗಾಯದ ಬಂದವು. ಈ ತಡಕೆ ಕೋ ತಂಬ್ಲಿ ಮೆನ್ ಡಾಲೆ ಮತ್ತು ಮಿಲಾ ಲೆ. ಪರೋಸ್. ಮೆಂತೆ ತಂಬ್ಲಿ ಕೊ ದಿನಕ್ಕಾಗಿ ಖಾನೆಗೆ ಚಾವಲ್, ಚಾವು ಚಾವು ತೋರಣ ಮತ್ತು ಪಾಪದ ಜೊತೆಗೆ.
</t>
  </si>
  <si>
    <t>https://www.archanaskitchen.com/menthe-fenugreek-seeds-tambli-recipe-karnataka-recipes-in-hindi</t>
  </si>
  <si>
    <t>आयंगर स्टाइल मसाला टोस्ट रेसिपी - Iyengar Style Masala Toast</t>
  </si>
  <si>
    <t>ಆಯಂಗಾರ್ ಸ್ಟೈಲ್ ಮಸಾಲಾ ಟೋಸ್ಟ್ ರೆಸಿಪಿ - ಅಯ್ಯಂಗಾರ್ ಸ್ಟೈಲ್ ಮಸಾಲಾ ಟೋಸ್ಟ್</t>
  </si>
  <si>
    <t>4 ಬ್ರೆಡ್ ಲೋಫ್ - ಸ್ಲೈಸ್ ಕರ್ ಲೇ,1 ಬಡಾ ಚಮಚ್ಚ ಘಿ,2 ಗಾಜರ್ - ಕಸ್ ಲೆ,1 ಕಪ್ ಭತ್ತ ಬಾರಿಕ್ ಕಾಟ್ ಲೆ,1 ಪ್ಯಾಜ್ - ಕಾಟ್ ಲೆ,1 ಟಮಾಟರ್ - ಕಾಟ್ ಲೆ,1 ಇಂಚು ಅದರ್ - ಕಾಟ್ ಲೆ,4 ಕಲಿ ಹಸು,1 ಚಮಚ್ಚ ರೈ,ಹೀಂಗ - ಚುಟಕಿ ಭರ,1 ಛೋಟಾ ಚಮಚ್ಚ ಗರಂ ಮಸಾಲೆ ಪೌಡರ್,ನಮಕ - ಸರ ಮಿರ್ಚ್ - ಕಾಟ್ ಲೆ</t>
  </si>
  <si>
    <t>4 bread loaf - slice, 1 tablespoon ghee, 2 carrots - grated, 1 cup cabbage - finely chopped, 1 onion - chopped, 1 tomato - chopped, 1 inch ginger - chopped, 4 cloves garlic , 1 teaspoon Rye, Asafoetida - a pinch, 1 teaspoon garam masala powder, salt - as per taste, 1 green chili - cut</t>
  </si>
  <si>
    <t xml:space="preserve">आयंगर स्टाइल मसाला टोस्ट बनाने के लिए सबसे पहले कढ़ाई में तेल गरम करें। इसमें राइ, हींग डाले और 10 सेकण्ड्स तक पकने दे.10 सेकण्ड्स के बाद, इसमें अदरक, लहसुन डाले और 1 मिनट तक पकने दे. अब इसमें प्याज डाले और प्याज के नरम होने तक पकाए। प्याज के नरम होने के बाद, इसमें हरी मिर्च, टमाटर डाले और टमाटर के नरम होने तक पकाए। टमाटर के नरम होने के बाद, इसमें गाजर, पत्ता गोभी डाले और सब्ज़ियो के नरम होने तक पकाए। इसमें नमक, गरम मसाला डाले, मिलाए और 2 से 3 मिनट के लिए पकाए। गैस बंद करें, आपका मसाला तैयार है. एक ग्रिल पैन में मक्खन गरम करें। इसमें ब्रेड के स्लाइस रखे और दोनों तरफ से भूरा होने तक पकाए। पक जाने के बाद इसके ऊपर मसाला डाले और परोसे।  आयंगर स्टाइल मसाला टोस्ट को शाम के नाश्ते के लिए मसाला चाय के साथ परोसे या अपने बच्चो लो कोकोआ आलमंड डेट स्मूथी के साथ परोसे।
</t>
  </si>
  <si>
    <t xml:space="preserve">ಆಯಂಗರ್ ಸ್ಟೈಲ್ ಮಸಾಲಾ ಟೋಸ್ಟ್ ಬನಾನೆ ಗೆ ಲಿಯೇ ಸಬ್ಸೆ ಪಹಲೆ ಕಢೈ ನಲ್ಲಿ ತೇಲ ಗ್ರಾ.ಪಂ. ಅದೇ ರೀತಿ ರೈ, ಹೀಂಗ್ ಡೇಲ್ ಮತ್ತು 10 ಸೆಕಂಡ್ಸ್ ತಕ ಪಕನೆ ದಿ.10 ಸೆಕಂಡ್ಸ್ ಗೆ ಬಾದ, ಹಸು, ಇಸಮ ದಾಲೆ ಮತ್ತು 1 ನಿಮಿಷಗಳು ಪಕನೆ. ಅಬ್ ಇಸ್ಮೆಂ ಪ್ಯಾಜ್ ಡಾಲೆ ಮತ್ತು ಪ್ರಯಾಜ್ ಕೆ ನರಮ್ ಹೋನೆ ತಕ ಪಕಾಯೇ. ಯಾಜಕ್ಕಾಗಿ ನರಮ್ ಹೋನೇ ಬೇಡ, ಅದೇ ರೀತಿ ಹರಿ ಮಿರ್ಚ್, ಟಮಾಟರ್ ಡಾಲೆ ಮತ್ತು ಟಮಾಟರ್ ನ ನಾಮಧೇಯ ಟಮಾಟರ್‌ನ ನರಮ್ ಹೋನೆಗೆ ಬಾದ್, ಅದೇ ಗಾಜರ್, ಪತ್ತಾ ಗೋಭಿ ಡಾಲೆ ಮತ್ತು ಸಬ್‌ಕಾರ್ಡ್‌ಗಳು ಪಕಾಎ. ಅದೇ ರೀತಿ ನಮಕ್, ಗರಂ ಮಸಾಲೆ ದಾಲೆ, ಮಿಲಾಯೇ ಮತ್ತು 2 ಸೆ 3 ನಿಮಿಷಗಳು. ಗೈಸ್ ಬಂದ ಕರೆಂ, ಆಪಕಾ ಮಸಾಲಾ ತೈಯಾರ್. ಒಂದು ಗ್ರಿಲ್ ಪೈನ್ ನಲ್ಲಿ ಮಖ್ಖನ್ ಗರಂ ಕರೆಂ. ಅದೇ ರೀತಿ ಬ್ರೆಡ್ ಕೆ ಸ್ಲೈಸ್ ರಖೆ ಮತ್ತು ಡೋನಮ್ ತರಫ್ ಸೆ ಭೂರಾ ಹೋನೆ ತಕ ಪಕಾಯೇ. ಪಕ ಜಾನೆ ಕೆ ಬಾದ ಇಸಕೆ ಊಪರ್ ಮಸಾಲೆ ದಾಲೆ ಮತ್ತು ಪರೋಸೆ.  ಆಯಂಗರ್ ಸ್ಟೈಲ್ ಮಸಾಲಾ ಟೋಸ್ಟ್ ಕೊ ಶಾಮಕ್ಕೆ ನಷ್ಟಕ್ಕೆ ಮಸಾಲಾ ಚಾಯ್ ಮಾಡಲು ಸಲಹೆ ನೀಡುವುದು ಲೋ ಕೊಕೊಯಾ ಆಲಮಂಡ್ ಡೇಟ್ ಸ್ಮೂತಿ ಜೊತೆಗೆ ಪರೋಸ್.
</t>
  </si>
  <si>
    <t>https://www.archanaskitchen.com/iyengar-style-masala-toast-recipe-in-hindi</t>
  </si>
  <si>
    <t>Iyengar Bakery Style Masala Bread Recipe</t>
  </si>
  <si>
    <t>ಅಯ್ಯಂಗಾರ್ ಬೇಕರಿ ಸ್ಟೈಲ್ ಮಸಾಲಾ ಬ್ರೆಡ್ ರೆಸಿಪಿ</t>
  </si>
  <si>
    <t>5 ಹೋಲ್ ವೀಟ್ ಬ್ರೌನ್ ಬ್ರೆಡ್ - ಚೂರುಗಳು, 2 ಟೀ ಚಮಚ ಸೂರ್ಯಕಾಂತಿ ಎಣ್ಣೆ, 1/2 ಟೀಸ್ಪೂನ್ ಸಾಸಿವೆ, 1/2 ಟೀ ಚಮಚ ಜೀರಿಗೆ (ಜೀರಾ), 3 ಹಸಿರು ಮೆಣಸಿನಕಾಯಿಗಳು - ಸಣ್ಣದಾಗಿ ಕೊಚ್ಚಿದ, 1/2 ಈರುಳ್ಳಿ - ಸಣ್ಣದಾಗಿ ಕೊಚ್ಚಿದ, 1 ಟೊಮ್ಯಾಟೊ - ಬೀಜಗಳು, 1 ಕಪ್ ಎಲೆಕೋಸು (ಪಟ್ಟಾ ಗೋಬಿ / ಮುತ್ತೈಕೋಸ್ - 1 ಕಪ್ ನುಣ್ಣಗೆ ಕತ್ತರಿಸಿದ) ತುರಿದ, 3/4 ಕಪ್ ಹಸಿರು ಬೆಲ್ ಪೆಪರ್ (ಕ್ಯಾಪ್ಸಿಕಂ) - ಸಣ್ಣದಾಗಿ ಕೊಚ್ಚಿದ, 1/2 ಟೀಚಮಚ ಕೆಂಪು ಮೆಣಸಿನ ಪುಡಿ, 1 ಟೀಚಮಚ ಚಾಟ್ ಮಸಾಲಾ ಪೌಡರ್, 1 ಚಮಚ ಟೊಮೆಟೊ ಕೆಚಪ್, ಉಪ್ಪು - ರುಚಿಗೆ, 1 ಚಮಚ ಕೊತ್ತಂಬರಿ (ಧನಿಯಾ) ಎಲೆಗಳು - ಸಣ್ಣದಾಗಿ ಕೊಚ್ಚಿದ</t>
  </si>
  <si>
    <t>5 Whole Wheat Brown Bread - slices,2 teaspoons Sunflower Oil,1/2 teaspoon Mustard seeds,1/2 teaspoon Cumin seeds (Jeera),3 Green Chillies - finely chopped,1/2 Onion - finely chopped,1 Tomato - deseeded,1 cup Cabbage (Patta Gobi/ Muttaikose) - finely chopped,1 cup Carrots (Gajjar) - grated,3/4 cup Green Bell Pepper (Capsicum) - finely chopped,1/2 teaspoon Red Chilli powder,1 teaspoon Chaat Masala Powder,1 tablespoon Tomato Ketchup,Salt - to taste,1 tablespoon Coriander (Dhania) Leaves - finely chopped</t>
  </si>
  <si>
    <t xml:space="preserve">To begin making the Iyengar Bakery Style Masala Bread Recipe, we will first make the topping. Heat a tablespoon of oil  in heavy bottomed pan over medium heat. Add the mustard seeds and cumin seeds and allow them to crackle. Add onions, green bell peppers, carrots, cabbage and the finely chopped green chili and saute until the onions, cabbage and peppers soften.Once they turn soft, add the finely chopped de-seeded tomato, saute and cook until it softens and cooks well.Add the salt, red chili powders, chaat masala and stir well to combine at low heat. Check the taste and adjust accordingly.Finally add the tomato ketchup, mix again. Cook at low heat for another 1 minute and turn off the heat. The filling is now ready to be topped over toasted bread.The next step is the toast the bread. Grease and preheat a cast iron skillet over medium heat.Spread butter/ghee over one side of a slice of bread. Place the buttered side down on the heated skillet at medium heat.Spread butter/ghee on the top surface as well. Toast well on both sides, until the bread is browned and crisp. Remove from heat and toast the remaining breads the similar way. Arrange the toasted bread slices over the serving platter. Spoon and spread the masala topping over the toasted bread and serve hot. Serve the Iyengar Bakery Style Masala Bread as an appetizer or a tea time snack or even pack them into the kids lunch box. 
</t>
  </si>
  <si>
    <t xml:space="preserve">ಅಯ್ಯಂಗಾರ್ ಬೇಕರಿ ಶೈಲಿಯ ಮಸಾಲಾ ಬ್ರೆಡ್ ರೆಸಿಪಿಯನ್ನು ತಯಾರಿಸಲು ಪ್ರಾರಂಭಿಸಲು, ನಾವು ಮೊದಲು ಅಗ್ರಸ್ಥಾನವನ್ನು ಮಾಡುತ್ತೇವೆ. ಮಧ್ಯಮ ಶಾಖದ ಮೇಲೆ ಭಾರವಾದ ತಳವಿರುವ ಪ್ಯಾನ್‌ನಲ್ಲಿ ಒಂದು ಚಮಚ ಎಣ್ಣೆಯನ್ನು ಬಿಸಿ ಮಾಡಿ. ಸಾಸಿವೆ ಮತ್ತು ಜೀರಿಗೆ ಸೇರಿಸಿ ಮತ್ತು ಅವುಗಳನ್ನು ಸಿಡಿಸಲು ಬಿಡಿ. ಈರುಳ್ಳಿ, ಹಸಿರು ಬೆಲ್ ಪೆಪರ್, ಕ್ಯಾರೆಟ್, ಎಲೆಕೋಸು ಮತ್ತು ಸಣ್ಣದಾಗಿ ಕೊಚ್ಚಿದ ಹಸಿರು ಮೆಣಸಿನಕಾಯಿಯನ್ನು ಸೇರಿಸಿ ಮತ್ತು ಈರುಳ್ಳಿ, ಎಲೆಕೋಸು ಮತ್ತು ಮೆಣಸು ಮೃದುವಾಗುವವರೆಗೆ ಹುರಿಯಿರಿ. ಅವು ಮೃದುವಾದ ನಂತರ, ಸಣ್ಣದಾಗಿ ಕೊಚ್ಚಿದ ಟೊಮ್ಯಾಟೊ ಸೇರಿಸಿ, ಅದು ಮೃದುವಾಗುವವರೆಗೆ ಮತ್ತು ಚೆನ್ನಾಗಿ ಬೇಯಿಸುವವರೆಗೆ ಹುರಿಯಿರಿ ಮತ್ತು ಚೆನ್ನಾಗಿ ಬೇಯಿಸಿ. ರುಚಿಯನ್ನು ಪರಿಶೀಲಿಸಿ ಮತ್ತು ಅದಕ್ಕೆ ಅನುಗುಣವಾಗಿ ಹೊಂದಿಸಿ. ಅಂತಿಮವಾಗಿ ಟೊಮೆಟೊ ಕೆಚಪ್ ಸೇರಿಸಿ, ಮತ್ತೆ ಮಿಶ್ರಣ ಮಾಡಿ. ಕಡಿಮೆ ಶಾಖದಲ್ಲಿ ಇನ್ನೊಂದು 1 ನಿಮಿಷ ಬೇಯಿಸಿ ಮತ್ತು ಶಾಖವನ್ನು ಆಫ್ ಮಾಡಿ. ತುಂಬುವಿಕೆಯು ಈಗ ಟೋಸ್ಟ್ ಮಾಡಿದ ಬ್ರೆಡ್ ಮೇಲೆ ಅಗ್ರಸ್ಥಾನಕ್ಕೆ ಸಿದ್ಧವಾಗಿದೆ. ಮುಂದಿನ ಹಂತವೆಂದರೆ ಬ್ರೆಡ್ ಟೋಸ್ಟ್ ಆಗಿದೆ. ಎರಕಹೊಯ್ದ ಕಬ್ಬಿಣದ ಬಾಣಲೆಯನ್ನು ಮಧ್ಯಮ ಉರಿಯಲ್ಲಿ ಗ್ರೀಸ್ ಮತ್ತು ಪೂರ್ವಭಾವಿಯಾಗಿ ಕಾಯಿಸಿ. ಬ್ರೆಡ್ ಸ್ಲೈಸ್‌ನ ಒಂದು ಬದಿಯಲ್ಲಿ ಬೆಣ್ಣೆ/ತುಪ್ಪವನ್ನು ಹರಡಿ. ಮಧ್ಯಮ ಶಾಖದಲ್ಲಿ ಬಿಸಿಯಾದ ಬಾಣಲೆಯ ಮೇಲೆ ಬೆಣ್ಣೆಯ ಬದಿಯನ್ನು ಇರಿಸಿ. ಮೇಲಿನ ಮೇಲ್ಮೈಯಲ್ಲಿ ಬೆಣ್ಣೆ / ತುಪ್ಪವನ್ನು ಹರಡಿ. ಬ್ರೆಡ್ ಕಂದು ಮತ್ತು ಗರಿಗರಿಯಾಗುವವರೆಗೆ ಎರಡೂ ಬದಿಗಳಲ್ಲಿ ಚೆನ್ನಾಗಿ ಟೋಸ್ಟ್ ಮಾಡಿ. ಶಾಖದಿಂದ ತೆಗೆದುಹಾಕಿ ಮತ್ತು ಉಳಿದ ಬ್ರೆಡ್‌ಗಳನ್ನು ಅದೇ ರೀತಿಯಲ್ಲಿ ಟೋಸ್ಟ್ ಮಾಡಿ. ಟೋಸ್ಟ್ ಮಾಡಿದ ಬ್ರೆಡ್ ಸ್ಲೈಸ್‌ಗಳನ್ನು ಸರ್ವಿಂಗ್ ಪ್ಲೇಟರ್ ಮೇಲೆ ಜೋಡಿಸಿ. ಟೋಸ್ಟ್ ಮಾಡಿದ ಬ್ರೆಡ್ ಮೇಲೆ ಚಮಚ ಮತ್ತು ಮಸಾಲವನ್ನು ಹರಡಿ ಮತ್ತು ಬಿಸಿಯಾಗಿ ಬಡಿಸಿ. ಅಯ್ಯಂಗಾರ್ ಬೇಕರಿ ಸ್ಟೈಲ್ ಮಸಾಲಾ ಬ್ರೆಡ್ ಅನ್ನು ಅಪೆಟೈಸರ್ ಅಥವಾ ಟೀ ಟೈಮ್ ಸ್ನ್ಯಾಕ್ ಆಗಿ ಬಡಿಸಿ ಅಥವಾ ಮಕ್ಕಳ ಊಟದ ಬಾಕ್ಸ್‌ನಲ್ಲಿ ಪ್ಯಾಕ್ ಮಾಡಿ. 
</t>
  </si>
  <si>
    <t>http://www.archanaskitchen.com/iyengar-bakery-style-masala-bread-recipe</t>
  </si>
  <si>
    <t>Heerekai Sippe Chutney Recipe (Ridge Gourd Peel Chutney)</t>
  </si>
  <si>
    <t>ಹೀರೆಕಾಯಿ ಸಿಪ್ಪೆ ಚಟ್ನಿ ರೆಸಿಪಿ (ರಿಡ್ಜ್ ಸೋರೆಕಾಯಿ ಸಿಪ್ಪೆ ಚಟ್ನಿ)</t>
  </si>
  <si>
    <t>2 ಕಪ್ ರಿಡ್ಜ್ ಸೋರೆಕಾಯಿ ಸಿಪ್ಪೆ (ತುರೈ / ಪೀರ್ಕಂಗೈ) - (ಎರಡು ಸೋರೆಕಾಯಿ ಸಿಪ್ಪೆ), ಹುಣಸೆಹಣ್ಣು - ನಿಂಬೆ ಗಾತ್ರದ, 1/4 ಕಪ್ ತಾಜಾ ತೆಂಗಿನಕಾಯಿ - ತುರಿದ, 3 ಹಸಿರು ಮೆಣಸಿನಕಾಯಿಗಳು, 1 ಚಮಚ ಜೀರಿಗೆ (ಜೀರಾ), ಬೆಣ್ಣೆ (ಉಪ್ಪುರಹಿತ) - ರುಚಿಗೆ, 1 ಟೀಚಮಚ ಬೆಲ್ಲ, 1 ಟೀಚಮಚ ಸೂರ್ಯಕಾಂತಿ ಬೀಜಗಳು, 1 ಚಮಚ ಸೀಗಡಿ ಬೀಜಗಳು ಒಣ ಕೆಂಪು ಮೆಣಸಿನಕಾಯಿಗಳು, 1 ಚಿಗುರು ಕರಿಬೇವಿನ ಎಲೆಗಳು</t>
  </si>
  <si>
    <t>2 cups Ridge Gourd Skin (Turai/ Peerkangai) - (peel of two Ridge Gourds),Tamarind - lemon sized,1/4 cup Fresh coconut - grated,3 Green Chillies,1 tablespoon Cumin seeds (Jeera),Butter (unsalted) - to taste,1 teaspoon Jaggery,1 teaspoon Sunflower Oil,1 teaspoon Mustard seeds,1 teaspoon Cumin seeds (Jeera),2 Dry Red Chillies,1 sprig Curry leaves</t>
  </si>
  <si>
    <t xml:space="preserve">To begin making the Heerekai Sippe Chutney Recipe, heat a tablespoon of oil in a Skillet or Kadai. Add the ridge gourd peel and saute till it shrinks in size.Add the green chillies, tamarind, coconut and cumin seeds to this and saute for a few minutes until you get the roasted aromas from coconut.Turn off the heat and allow it to cool. Once cooled, add salt, jaggery and grind the ridge gourd peel in a Mixer Grinder along with the rest of the roasted ingredients into a smooth paste. Add a little water get the right consistency of the chutney. Transfer the Heerekai Sippe Chutney to a bowl, check the salt and spice levels and adjust to suit your taste.In the same kadai that you sauted the peel, heat a teaspoon of oil for tempering. Add mustard, cumin seeds and red chilies and allow them to crackle and roasted well. Finally add the curry leaves and stir.Add this seasoning to the Heerekai Sippe Chutney and serve.Serve the Heerekai Sippe Chutney along with Dosas or even as a side dish along with your main course.
</t>
  </si>
  <si>
    <t xml:space="preserve">ಹೀರೆಕಾಯಿ ಸಿಪ್ಪೆ ಚಟ್ನಿ ಪಾಕವಿಧಾನವನ್ನು ತಯಾರಿಸಲು ಪ್ರಾರಂಭಿಸಲು, ಬಾಣಲೆ ಅಥವಾ ಕಡಾಯಿಯಲ್ಲಿ ಒಂದು ಚಮಚ ಎಣ್ಣೆಯನ್ನು ಬಿಸಿ ಮಾಡಿ. ಸೋರೆಕಾಯಿ ಸಿಪ್ಪೆಯನ್ನು ಸೇರಿಸಿ ಮತ್ತು ಗಾತ್ರದಲ್ಲಿ ಕುಗ್ಗುವವರೆಗೆ ಹುರಿಯಿರಿ. ಇದಕ್ಕೆ ಹಸಿರು ಮೆಣಸಿನಕಾಯಿಗಳು, ಹುಣಸೆಹಣ್ಣು, ತೆಂಗಿನಕಾಯಿ ಮತ್ತು ಜೀರಿಗೆ ಸೇರಿಸಿ ಮತ್ತು ತೆಂಗಿನಕಾಯಿಯಿಂದ ಹುರಿದ ಪರಿಮಳವನ್ನು ಪಡೆಯುವವರೆಗೆ ಕೆಲವು ನಿಮಿಷಗಳ ಕಾಲ ಹುರಿಯಿರಿ. ಶಾಖವನ್ನು ಆಫ್ ಮಾಡಿ ಮತ್ತು ಅದನ್ನು ತಣ್ಣಗಾಗಲು ಬಿಡಿ. ತಣ್ಣಗಾದ ನಂತರ, ಉಪ್ಪು, ಬೆಲ್ಲ ಸೇರಿಸಿ ಮತ್ತು ಮಿಕ್ಸರ್ ಗ್ರೈಂಡರ್‌ನಲ್ಲಿ ಸೋರೆಕಾಯಿ ಸಿಪ್ಪೆಯನ್ನು ರುಬ್ಬಿಕೊಳ್ಳಿ, ಜೊತೆಗೆ ಹುರಿದ ಉಳಿದ ಪದಾರ್ಥಗಳನ್ನು ನಯವಾದ ಪೇಸ್ಟ್‌ಗೆ ಸೇರಿಸಿ. ಚಟ್ನಿಯ ಸರಿಯಾದ ಸ್ಥಿರತೆಯನ್ನು ಪಡೆಯಲು ಸ್ವಲ್ಪ ನೀರು ಸೇರಿಸಿ. ಹೀರೆಕಾಯಿ ಸಿಪ್ಪೆ ಚಟ್ನಿಯನ್ನು ಒಂದು ಬೌಲ್‌ಗೆ ವರ್ಗಾಯಿಸಿ, ಉಪ್ಪು ಮತ್ತು ಮಸಾಲೆ ಮಟ್ಟವನ್ನು ಪರಿಶೀಲಿಸಿ ಮತ್ತು ನಿಮ್ಮ ರುಚಿಗೆ ತಕ್ಕಂತೆ ಹೊಂದಿಸಿ. ನೀವು ಸಿಪ್ಪೆಯನ್ನು ಹುರಿದ ಅದೇ ಕಡಾಯಿಯಲ್ಲಿ, ಹದಗೊಳಿಸಲು ಒಂದು ಟೀಚಮಚ ಎಣ್ಣೆಯನ್ನು ಬಿಸಿ ಮಾಡಿ. ಸಾಸಿವೆ, ಜೀರಿಗೆ ಮತ್ತು ಕೆಂಪು ಮೆಣಸಿನಕಾಯಿಗಳನ್ನು ಸೇರಿಸಿ ಮತ್ತು ಅವುಗಳನ್ನು ಸಿಡಿಸಲು ಮತ್ತು ಚೆನ್ನಾಗಿ ಹುರಿಯಲು ಅನುಮತಿಸಿ. ಅಂತಿಮವಾಗಿ ಕರಿಬೇವಿನ ಎಲೆಗಳನ್ನು ಸೇರಿಸಿ ಮತ್ತು ಬೆರೆಸಿ. ಈ ಮಸಾಲೆಯನ್ನು ಹೀರೆಕಾಯಿ ಸಿಪ್ಪೆ ಚಟ್ನಿಗೆ ಸೇರಿಸಿ ಮತ್ತು ಬಡಿಸಿ. ಹೀರೆಕಾಯಿ ಸಿಪ್ಪೆ ಚಟ್ನಿಯನ್ನು ದೋಸೆಗಳ ಜೊತೆಗೆ ಅಥವಾ ನಿಮ್ಮ ಮುಖ್ಯ ಕೋರ್ಸ್ ಜೊತೆಗೆ ಸೈಡ್ ಡಿಶ್ ಆಗಿಯೂ ಸಹ ಬಡಿಸಿ.
</t>
  </si>
  <si>
    <t>https://www.archanaskitchen.com/heerekai-sippe-chutney-recipe-ridge-gourd-peel-chutney</t>
  </si>
  <si>
    <t>Karnataka Style Avarekalu Pulao Recipe - Avarekalu Pulao</t>
  </si>
  <si>
    <t>ಕರ್ನಾಟಕ ಸ್ಟೈಲ್ ಅವರೆಕಾಳು ಪುಲಾವ್ ರೆಸಿಪಿ - ಅವರೆಕಾಳು ಪುಲಾವ್</t>
  </si>
  <si>
    <t>1-1/2 ಕಪ್ ಬಾಸ್ಮತಿ ಅಕ್ಕಿ - 10 ನಿಮಿಷ ನೆನೆಸಿದ, 3/4 ಕಪ್ ಅವರೆಕಾಳು / ಲಿಲ್ವಾ ಬೀನ್ಸ್, 1 ಈರುಳ್ಳಿ - ತೆಳುವಾಗಿ ಕತ್ತರಿಸಿದ, 1 ಟೊಮೇಟೊ - ಸಣ್ಣದಾಗಿ ಕೊಚ್ಚಿದ, 2 ಟೀ ಚಮಚ ಕೊತ್ತಂಬರಿ ಪುಡಿ (ಧನಿಯಾ), 1 ಚಮಚ ಕೆಂಪು ಮೆಣಸಿನ ಪುಡಿ, 1 ಚಮಚ ಗರಂ ಮಸಾಲಾ ಪುಡಿ, 1 ಬೇವಿನ ಸೊಪ್ಪು, 1 ಹಸಿಮೆಣಸಿನಕಾಯಿ (2 ಚಮಚ ಹಸಿಮೆಣಸಿನಕಾಯಿ), - ಸೀಳು, 1 ಚಮಚ ತುಪ್ಪ, ಉಪ್ಪು - ರುಚಿಗೆ, 2 ಚಿಗುರು ಪುದೀನಾ ಎಲೆಗಳು (ಪುದೀನಾ) - ಅಲಂಕರಿಸಲು, 1 ದಾಲ್ಚಿನಿ ಕಡ್ಡಿ (ದಾಲ್ಚಿನಿ), 2 ಲವಂಗ (ಲಾಂಗ್), 1 ಏಲಕ್ಕಿ (ಎಲೈಚಿ) ಬೀಜಗಳು / ಬೀಜಗಳು, 8 ಲವಂಗ ಬೆಳ್ಳುಳ್ಳಿ, 2 ಇಂಚು ಶುಂಠಿ, 1 ಕಪ್ ಶುಂಠಿ, 1 ಕಪ್ 4 ಕಪ್ ಕೊತ್ತಂಬರಿ (ಧನಿಯಾ) ಎಲೆಗಳು</t>
  </si>
  <si>
    <t>1-1/2 cups Basmati rice - soaked for 10 minutes,3/4 cup Avarekalu / Lilva Beans,1 Onion - thinly sliced,1 Tomato - finely chopped,2 teaspoons Coriander Powder (Dhania),1 teaspoon Red Chilli powder,1 teaspoon Garam masala powder,1 Bay leaf (tej patta),1 Cinnamon Stick (Dalchini),2 Green Chillies - slit,1 tablespoon Ghee,Salt - to taste,2 sprig Mint Leaves (Pudina) - for garnish,1 Cinnamon Stick (Dalchini),2 Cloves (Laung),1 Cardamom (Elaichi) Pods/Seeds,8 cloves Garlic,2 inch Ginger,1 Green Chilli,1/2 cup Mint Leaves (Pudina),1/4 cup Coriander (Dhania) Leaves</t>
  </si>
  <si>
    <t xml:space="preserve">To begin making Avarekalu Pulao Recipe-Hyacinth Beans Pulao, wash and soak the basmati rice in enough water for 10 minutes.Now, add all the ingredients mentioned for making the masala paste including cinnamon stick, clove, cardamom, garlic, ginger, green chilli, mint leaves, coriander leaves, and grind it into a smooth paste adding little water using a mixer grinder. Keep it aside.Heat ghee in a pressure pan, add the bay leaf, cinnamon stick and let the ghee become aromatic.Add the sliced onion and saute until it turns slightly brown.Add the slit green chillies, tomatoes and saute until the tomatoes turn a little soft.Add the ground masala paste, saute until the raw smell goes away. This will take about 3 to 4 minutes.After 3 to 4 minutes, add the coriander powder, red chilli powder, garam masala powder and saute until the ghee separates out. This will again take some 3 to 4 minutes.Now, add the fresh avarekalu or hyacinth beans, saute for 2 minutes. Drain the water from the rice, add it to the pan and mix well.Add 3 cups of water, season with salt and bring the Avarekalu Pulao to a rolling boil.Now, close the Avarekalu Pulao with the lid, and pressure cook for one whistle on medium heat, switch off the heat and let the pressure release on its own.Once the pressure is fully released, open the lid, add the chopped mint leaves, fluff up the Avarekalu Pulao gently using a fork and it is ready to be served.Serve Avarekalu Pulao Recipe along with Tomato Onion Cucumber Raita, Satvik Carrot Sprout Salad and a roasted Papad for a weekday dinner. You can also pack this easy Pulao Recipe in your Lunch Box.
</t>
  </si>
  <si>
    <t xml:space="preserve">ಅವರೆಕಾಳು ಪುಲಾವ್ ರೆಸಿಪಿ-ಹಯಸಿಂತ್ ಬೀನ್ಸ್ ಪುಲಾವ್ ತಯಾರಿಸಲು ಪ್ರಾರಂಭಿಸಲು, ಬಾಸ್ಮತಿ ಅಕ್ಕಿಯನ್ನು 10 ನಿಮಿಷಗಳ ಕಾಲ ಸಾಕಷ್ಟು ನೀರಿನಲ್ಲಿ ತೊಳೆದು ನೆನೆಸಿಡಿ. ಈಗ, ದಾಲ್ಚಿನ್ನಿ ಕಡ್ಡಿ, ಲವಂಗ, ಏಲಕ್ಕಿ, ಬೆಳ್ಳುಳ್ಳಿ, ಶುಂಠಿ, ಹಸಿರು ಮೆಣಸಿನಕಾಯಿ, ಪುದೀನ ಎಲೆಗಳು, ಕೊತ್ತಂಬರಿ ಸೊಪ್ಪನ್ನು ಸೇರಿಸಿ, ಮಸಾಲಾ ಪೇಸ್ಟ್ ಮಾಡಲು ತಿಳಿಸಲಾದ ಎಲ್ಲಾ ಪದಾರ್ಥಗಳನ್ನು ಸೇರಿಸಿ. ಗ್ರೈಂಡರ್. ಅದನ್ನು ಪಕ್ಕಕ್ಕೆ ಇರಿಸಿ.ಒಂದು ಒತ್ತಡದ ಪ್ಯಾನ್‌ನಲ್ಲಿ ತುಪ್ಪವನ್ನು ಬಿಸಿ ಮಾಡಿ, ಬೇ ಎಲೆ, ದಾಲ್ಚಿನ್ನಿ ಕಡ್ಡಿ ಸೇರಿಸಿ ಮತ್ತು ತುಪ್ಪ ಸುವಾಸನೆಯಾಗಲು ಬಿಡಿ. ಕತ್ತರಿಸಿದ ಈರುಳ್ಳಿ ಸೇರಿಸಿ ಮತ್ತು ಸ್ವಲ್ಪ ಕಂದು ಬಣ್ಣ ಬರುವವರೆಗೆ ಹುರಿಯಿರಿ. ಸೀಳು ಹಸಿರು ಮೆಣಸಿನಕಾಯಿ, ಟೊಮ್ಯಾಟೊ ಸೇರಿಸಿ ಮತ್ತು ಟೊಮ್ಯಾಟೊ ಸ್ವಲ್ಪ ಮೃದುವಾಗುವವರೆಗೆ ಸೌಟ್ ಮಾಡಿ. ಇದು ಸುಮಾರು 3 ರಿಂದ 4 ನಿಮಿಷಗಳನ್ನು ತೆಗೆದುಕೊಳ್ಳುತ್ತದೆ. 3 ರಿಂದ 4 ನಿಮಿಷಗಳ ನಂತರ, ಕೊತ್ತಂಬರಿ ಪುಡಿ, ಕೆಂಪು ಮೆಣಸಿನ ಪುಡಿ, ಗರಂ ಮಸಾಲಾ ಪುಡಿ ಸೇರಿಸಿ ಮತ್ತು ತುಪ್ಪ ಬೇರ್ಪಡುವವರೆಗೆ ಹುರಿಯಿರಿ. ಇದು ಮತ್ತೆ ಕೆಲವು 3 ರಿಂದ 4 ನಿಮಿಷಗಳನ್ನು ತೆಗೆದುಕೊಳ್ಳುತ್ತದೆ. ಈಗ ತಾಜಾ ಅವರೆಕಾಳು ಅಥವಾ ಹಯಸಿಂತ್ ಬೀನ್ಸ್ ಸೇರಿಸಿ, 2 ನಿಮಿಷಗಳ ಕಾಲ ಹುರಿಯಿರಿ. ಅಕ್ಕಿಯಿಂದ ನೀರನ್ನು ಬಸಿದು, ಬಾಣಲೆಗೆ ಸೇರಿಸಿ ಮತ್ತು ಚೆನ್ನಾಗಿ ಮಿಶ್ರಣ ಮಾಡಿ. 3 ಕಪ್ ನೀರು ಸೇರಿಸಿ, ಉಪ್ಪು ಸೇರಿಸಿ ಮತ್ತು ಅವರೆಕಾಳು ಪುಲಾವ್ ಅನ್ನು ಒಂದು ರೋಲಿಂಗ್ ಕುದಿಯಕ್ಕೆ ತನ್ನಿ. ಈಗ, ಅವರೆಕಾಳು ಪುಲಾವ್ ಅನ್ನು ಮುಚ್ಚಳದಿಂದ ಮುಚ್ಚಿ ಮತ್ತು ಮಧ್ಯಮ ಉರಿಯಲ್ಲಿ ಒಂದು ಸೀಟಿಗೆ ಪ್ರೆಶರ್ ಕುಕ್ ಮಾಡಿ, ಶಾಖವನ್ನು ಆಫ್ ಮಾಡಿ ಮತ್ತು ಒತ್ತಡವನ್ನು ಬಿಡುಗಡೆ ಮಾಡಿ. ಪುದೀನ ಎಲೆಗಳು, ಅವರೆಕಾಳು ಪುಲಾವ್ ಅನ್ನು ಫೋರ್ಕ್ ಅನ್ನು ಬಳಸಿ ನಿಧಾನವಾಗಿ ಮೇಲಕ್ಕೆತ್ತಿ ಮತ್ತು ಅದು ಬಡಿಸಲು ಸಿದ್ಧವಾಗಿದೆ. ಅವರೆಕಾಳು ಪುಲಾವ್ ರೆಸಿಪಿಯನ್ನು ಟೊಮೇಟೊ ಈರುಳ್ಳಿ ಸೌತೆಕಾಯಿ ರೈತಾ, ಸಾತ್ವಿಕ್ ಕ್ಯಾರೆಟ್ ಸ್ಪ್ರೌಟ್ ಸಲಾಡ್ ಮತ್ತು ಒಂದು ವಾರದ ದಿನದ ರಾತ್ರಿಯ ಊಟಕ್ಕೆ ಅವರೆಕಾಳು ಪುಲಾವ್ ರೆಸಿಪಿ ಸೇರಿಸಿ. ಈ ಸುಲಭವಾದ ಪುಲಾವ್ ರೆಸಿಪಿಯನ್ನು ನಿಮ್ಮ ಲಂಚ್ ಬಾಕ್ಸ್ ನಲ್ಲಿ ಕೂಡ ಪ್ಯಾಕ್ ಮಾಡಬಹುದು.
</t>
  </si>
  <si>
    <t>https://www.archanaskitchen.com/avarekalu-pulao-recipe-karnataka-style-avarekalu-pulao</t>
  </si>
  <si>
    <t>Averekaalu Rava Laddu Recipe - Field Beans Semolina Ladoo</t>
  </si>
  <si>
    <t>Averekalu Rava Laddu Recipe - ಫೀಲ್ಡ್ ಬೀನ್ಸ್ ರವೆ ಲಡ್ಡು</t>
  </si>
  <si>
    <t>1 1/2 ಕಪ್ ಸೂಜಿ (ರವೆ/ ರವೆ), 1/2 ಕಪ್ ಅವರೆಕಾಳು / ಲಿಲ್ವಾ ಬೀನ್ಸ್ - ನೆನೆಸಿದ ಮತ್ತು ಚರ್ಮ ತೆಗೆದ, 1/2 ಕಪ್ ಡೆಸಿಕೇಟೆಡ್ ತೆಂಗಿನಕಾಯಿ - ತುರಿದ, 1 ಚಮಚ ಏಲಕ್ಕಿ ಪುಡಿ (ಎಲೈಚಿ), 1 ಕಪ್ ಬೆಲ್ಲ, 2 ಚಮಚ ತುಪ್ಪ</t>
  </si>
  <si>
    <t>1 1/2 cups Sooji (Semolina/ Rava),1/2 cup Avarekalu / Lilva Beans - soaked and skin removed,1/2 cup Dessicated Coconut - grated,1 teaspoon Cardamom Powder (Elaichi),1 cup Jaggery,2 tablespoons Ghee</t>
  </si>
  <si>
    <t xml:space="preserve">We begin making the Averekaalu Rava Laddu Recipe (Field Beans Semolina Balls Recipe) by soaking the averekaalu in water for about 1 hour and remove the peel.If you want to cut down this process you can pressure cook it just before the first whistle comes and drain the water so that it become easy to remove the skin.Heat a kadai and dry roasting the semolina till it is golden brown. Remove and keep it aside.Then in the same roast the desiccated coconut till it is golden brown and keep it aside.In the same kadai add ghee, roasted rava, and coconut and cardamom powder and peeled avarekalu combine them and roast in the medium flame for 2 minutes.In another pan add jaggery and 2 tablespoon of water and make the jaggery solution till it thickens and sticks to your finger.Then add the jaggery syrup to the rava mixture and combine well. Allow it to cool for 1 minutes and make balls by applying some oil or water on to your palm. Be careful as it will be quite hot.Serve the Averekaalu Rava Laddu Recipe (Field Beans Semolina Balls Recipe) as a dessert after your Lunch meal or just eat as a snack.
</t>
  </si>
  <si>
    <t xml:space="preserve">ನಾವು ಅವರೆಕಾಳು ರವೆ ಲಡ್ಡು ರೆಸಿಪಿ (ಫೀಲ್ಡ್ ಬೀನ್ಸ್ ರವೆ ಬಾಲ್ ರೆಸಿಪಿ) ಅನ್ನು ಸುಮಾರು 1 ಗಂಟೆಗಳ ಕಾಲ ನೀರಿನಲ್ಲಿ ನೆನೆಸಿ ಸಿಪ್ಪೆ ತೆಗೆಯಲು ಪ್ರಾರಂಭಿಸುತ್ತೇವೆ. ಈ ಪ್ರಕ್ರಿಯೆಯನ್ನು ಕಡಿಮೆ ಮಾಡಲು ನೀವು ಬಯಸಿದರೆ, ನೀವು ಮೊದಲ ಸೀಟಿ ಬರುವ ಮೊದಲು ಅದನ್ನು ಒತ್ತಡದಿಂದ ಬೇಯಿಸಿ ಮತ್ತು ನೀರನ್ನು ಹರಿಸುವುದರಿಂದ ಚರ್ಮವನ್ನು ತೆಗೆಯಲು ಸುಲಭವಾಗುತ್ತದೆ. ತೆಗೆದು ಪಕ್ಕಕ್ಕೆ ಇಡಿ.ನಂತರ ಅದೇ ಕೊಬ್ಬರಿಯನ್ನು ಹೊಂಬಣ್ಣ ಬರುವವರೆಗೆ ಹುರಿದು ಪಕ್ಕಕ್ಕೆ ಇಡಿ. ಅದೇ ಕಡಾಯಿಯಲ್ಲಿ ತುಪ್ಪ, ಹುರಿದ ರವೆ ಮತ್ತು ತೆಂಗಿನಕಾಯಿ ಮತ್ತು ಏಲಕ್ಕಿ ಪುಡಿ ಮತ್ತು ಸಿಪ್ಪೆ ಸುಲಿದ ಅವರೆಕಾಳು ಸೇರಿಸಿ ಮಧ್ಯಮ ಉರಿಯಲ್ಲಿ 2 ನಿಮಿಷ ಹುರಿದುಕೊಳ್ಳಿ. ಬೆರಳಿನ ನಂತರ ಬೆಲ್ಲದ ಸಿರಪ್ ಅನ್ನು ರವಾ ಮಿಶ್ರಣಕ್ಕೆ ಸೇರಿಸಿ ಮತ್ತು ಚೆನ್ನಾಗಿ ಮಿಶ್ರಣ ಮಾಡಿ. ಇದನ್ನು 1 ನಿಮಿಷಗಳ ಕಾಲ ತಣ್ಣಗಾಗಲು ಅನುಮತಿಸಿ ಮತ್ತು ನಿಮ್ಮ ಅಂಗೈಗೆ ಸ್ವಲ್ಪ ಎಣ್ಣೆ ಅಥವಾ ನೀರನ್ನು ಅನ್ವಯಿಸುವ ಮೂಲಕ ಚೆಂಡುಗಳನ್ನು ಮಾಡಿ. ಇದು ತುಂಬಾ ಬಿಸಿಯಾಗಿರುವುದರಿಂದ ಜಾಗರೂಕರಾಗಿರಿ. ಅವೆರೆಕಾಲು ರವಾ ಲಡ್ಡು ರೆಸಿಪಿ (ಫೀಲ್ಡ್ ಬೀನ್ಸ್ ರವೆ ಬಾಲ್ ರೆಸಿಪಿ) ಅನ್ನು ನಿಮ್ಮ ಊಟದ ಊಟದ ನಂತರ ಸಿಹಿಯಾಗಿ ಬಡಿಸಿ ಅಥವಾ ಲಘುವಾಗಿ ತಿನ್ನಿರಿ.
</t>
  </si>
  <si>
    <t>https://www.archanaskitchen.com/averekallu-rava-laddu-recipe-field-beans-semolina-balls-recipe</t>
  </si>
  <si>
    <t>Milk Sooji Fudge Recipe</t>
  </si>
  <si>
    <t>ಹಾಲು ಸೂಜಿ ಮಿಠಾಯಿ ಪಾಕವಿಧಾನ</t>
  </si>
  <si>
    <t>1 ಕಪ್ ಹಾಲು, 1/2 ಕಪ್ ತಾಜಾ ಕೆನೆ, 1/2 ಕಪ್ ತುಪ್ಪ, 1 ಕಪ್ ಸೂಜಿ (ರವೆ/ ರವೆ), 2 ಕಪ್ ಸಕ್ಕರೆ, 1 ಚಮಚ ಸೀಳಿದ ಬಾದಾಮಿ (ಬಾದಾಮ್), 1 ಟೀಚಮಚ ಏಲಕ್ಕಿ ಪುಡಿ (ಎಲೈಚಿ)</t>
  </si>
  <si>
    <t>1 cup Milk,1/2 cup Fresh cream,1/2 cup Ghee,1 cup Sooji (Semolina/ Rava),2 cups Sugar,1 tablespoon Slivered Almonds (Badam),1 teaspoon Cardamom Powder (Elaichi)</t>
  </si>
  <si>
    <t xml:space="preserve">To begin making Milk Sooji Fudge Recipe, take a thick bottom wok, add milk and sugar.Allow the milk to boil on medium flame with continuous stirring.Take another pan, heat ghee, add fine sooji and fry well.Add the fried rava to the sugar milk mixture and continue to stir.Now add the thick fresh cream, cardamom powder to this and stir further. Here, fresh cream can be replaced with little more of ghee.At a point, the mixture starts leaving the sides of the pan.Now pour this mixture into greased tray and garnish with almond pieces.Allow it to cool and after they cool cut into pieces.Store these milk sooji fudges in airtight containers. Serve Milk Sooji Fudge Recipe along with Masala Chai Recipe - Indian Spiced Tea when there are guests at home.
</t>
  </si>
  <si>
    <t xml:space="preserve">ಮಿಲ್ಕ್ ಸೂಜಿ ಮಿಠಾಯಿ ರೆಸಿಪಿಯನ್ನು ತಯಾರಿಸಲು ಪ್ರಾರಂಭಿಸಲು, ದಪ್ಪ ತಳಭಾಗವನ್ನು ತೆಗೆದುಕೊಂಡು, ಹಾಲು ಮತ್ತು ಸಕ್ಕರೆ ಸೇರಿಸಿ. ಹಾಲನ್ನು ಮಧ್ಯಮ ಉರಿಯಲ್ಲಿ ಕುದಿಯಲು ಬಿಡಿ ಇಲ್ಲಿ, ತಾಜಾ ಕ್ರೀಮ್ ಅನ್ನು ಸ್ವಲ್ಪ ಹೆಚ್ಚು ತುಪ್ಪದಿಂದ ಬದಲಾಯಿಸಬಹುದು. ಒಂದು ಹಂತದಲ್ಲಿ, ಮಿಶ್ರಣವು ಪ್ಯಾನ್‌ನ ಬದಿಗಳನ್ನು ಬಿಡಲು ಪ್ರಾರಂಭಿಸುತ್ತದೆ. ಈಗ ಈ ಮಿಶ್ರಣವನ್ನು ಗ್ರೀಸ್ ಮಾಡಿದ ಟ್ರೇಗೆ ಸುರಿಯಿರಿ ಮತ್ತು ಬಾದಾಮಿ ತುಂಡುಗಳಿಂದ ಅಲಂಕರಿಸಿ. ಅದನ್ನು ತಣ್ಣಗಾಗಲು ಅನುಮತಿಸಿ ಮತ್ತು ಅವು ತಣ್ಣಗಾದ ನಂತರ ತುಂಡುಗಳಾಗಿ ಕತ್ತರಿಸಿ. ಈ ಹಾಲಿನ ಸೂಜಿ ಮಿಠಾಯಿಗಳನ್ನು ಗಾಳಿಯಾಡದ ಪಾತ್ರೆಗಳಲ್ಲಿ ಸಂಗ್ರಹಿಸಿ. ಮನೆಯಲ್ಲಿ ಅತಿಥಿಗಳು ಇದ್ದಾಗ ಮಸಾಲಾ ಚಾಯ್ ರೆಸಿಪಿ - ಭಾರತೀಯ ಮಸಾಲೆಯುಕ್ತ ಟೀ ಜೊತೆಗೆ ಹಾಲು ಸೂಜಿ ಮಿಠಾಯಿ ರೆಸಿಪಿಯನ್ನು ಬಡಿಸಿ.
</t>
  </si>
  <si>
    <t>https://www.archanaskitchen.com/milk-sooji-fudge-recipe</t>
  </si>
  <si>
    <t>Karnataka Style Avarekalu Chitranna Recipe (Field Beans Tossed With Lemon Rice)</t>
  </si>
  <si>
    <t>ಕರ್ನಾಟಕ ಸ್ಟೈಲ್ ಅವರೆಕಾಳು ಚಿತ್ರಾನ್ನ ರೆಸಿಪಿ (ಫೀಲ್ಡ್ ಬೀನ್ಸ್ ಟೊಸ್ಡ್ ವಿತ್ ಲೆಮನ್ ರೈಸ್)</t>
  </si>
  <si>
    <t>1 ಕಪ್ ಅವರೆಕಾಳು / ಲಿಲ್ವಾ ಬೀನ್ಸ್, 2 ಕಪ್ ಅಕ್ಕಿ - ಬೇಯಿಸಿದ, 1 ಚಿಟಿಕೆ ಅರಿಶಿನ ಪುಡಿ (ಹಲ್ದಿ), 1 ಚಿಟಿಕೆ ಇಂಗು (ಹಿಂಗ್), 5 ಹಸಿರು ಮೆಣಸಿನಕಾಯಿಗಳು - ಸೀಳು, 5 ಕರಿಬೇವಿನ ಎಲೆಗಳು, 1/2 ಟೀಚಮಚ ಸಾಸಿವೆ, 1/2 ಟೀಚಮಚ ಬಿಳಿ ಉರಡ್ ದಾಲ್ (ಒಡೆ), 1 ನಿಂಬೆಹಣ್ಣಿನ ರಸ, 1 ಲೆಮನ್ 2, ಕೊರಿಯನ್ ರಸ, 3 ಕತ್ತರಿಸಿದ, ತುಪ್ಪ - ಅಥವಾ ಎಣ್ಣೆ, ಉಪ್ಪು - ರುಚಿಗೆ</t>
  </si>
  <si>
    <t>1 cup Avarekalu / Lilva Beans,2 cups Rice - boiled,1 pinch Turmeric powder (Haldi),1 pinch Asafoetida (hing),5 Green Chillies - slit,5 Curry leaves,1/2 teaspoon Mustard seeds,1/2 teaspoon White Urad Dal (Split),1 Lemon juice,3 sprig Coriander (Dhania) Leaves,2 Onion - chopped,Ghee - or oil,Salt - to taste</t>
  </si>
  <si>
    <t xml:space="preserve">We begin making the Karnataka Style Avarekalu Chitranna Recipe by cooking the rice separately in a pressure cooker. Release the pressure naturally, once that is done add some oil and mix it well. Keep it aside.Cook the avarekalu in a sauce pan with water separately till is soft. Then strain the water and keep it aside.Then heat a kadai with some oil, temper the mustard seeds, urad dal, hing and curry leaves.Once that is done, add the onions and green chilies and sauté till it is golden brown, and add the boiled avarekalu and saute.Now you can add the boiled rice, switch off the heat, sprinkle the lemon juice, chopped coriander and give it a stir. Check for salt according to your taste.Serve the Karnataka Style Avarekalu Chitranna Recipe (Field Beans Tossed With Lemon Rice) as a delicious Breakfast recipe along with some Mango Pickle.
</t>
  </si>
  <si>
    <t xml:space="preserve">ಪ್ರೆಶರ್ ಕುಕ್ಕರ್‌ನಲ್ಲಿ ಅಕ್ಕಿಯನ್ನು ಪ್ರತ್ಯೇಕವಾಗಿ ಬೇಯಿಸುವ ಮೂಲಕ ನಾವು ಕರ್ನಾಟಕ ಶೈಲಿಯ ಅವರೆಕಾಳು ಚಿತ್ರಾನ್ನ ರೆಸಿಪಿಯನ್ನು ತಯಾರಿಸಲು ಪ್ರಾರಂಭಿಸುತ್ತೇವೆ. ನೈಸರ್ಗಿಕವಾಗಿ ಒತ್ತಡವನ್ನು ಬಿಡುಗಡೆ ಮಾಡಿ, ಅದು ಮುಗಿದ ನಂತರ ಸ್ವಲ್ಪ ಎಣ್ಣೆಯನ್ನು ಸೇರಿಸಿ ಮತ್ತು ಚೆನ್ನಾಗಿ ಮಿಶ್ರಣ ಮಾಡಿ. ಅದನ್ನು ಪಕ್ಕಕ್ಕೆ ಇರಿಸಿ.ಅವರೆಕಾಳುವನ್ನು ಸಾಸ್ ಪ್ಯಾನ್‌ನಲ್ಲಿ ಪ್ರತ್ಯೇಕವಾಗಿ ನೀರಿನಿಂದ ಮೃದುವಾಗುವವರೆಗೆ ಬೇಯಿಸಿ. ನಂತರ ನೀರನ್ನು ಸೋಸಿ ಪಕ್ಕಕ್ಕೆ ಇರಿಸಿ. ನಂತರ ಒಂದು ಕಡಾಯಿಯನ್ನು ಸ್ವಲ್ಪ ಎಣ್ಣೆಯಿಂದ ಬಿಸಿ ಮಾಡಿ, ಸಾಸಿವೆ, ಉದ್ದಿನಬೇಳೆ, ಹಿಂಗು ಮತ್ತು ಕರಿಬೇವಿನ ಎಲೆಗಳನ್ನು ಹದಗೊಳಿಸಿ. ಅದು ಮುಗಿದ ನಂತರ, ಈರುಳ್ಳಿ ಮತ್ತು ಹಸಿರು ಮೆಣಸಿನಕಾಯಿಯನ್ನು ಸೇರಿಸಿ ಮತ್ತು ಅದು ಚಿನ್ನದ ಕಂದು ಬಣ್ಣ ಬರುವವರೆಗೆ ಹುರಿಯಿರಿ, ಮತ್ತು ಬೇಯಿಸಿದ ಅವರೆಕಾಳು ಸೇರಿಸಿ ಮತ್ತು ಸೌಟ್ ಮಾಡಿ. ಬೆರೆಸಿ. ನಿಮ್ಮ ರುಚಿಗೆ ಅನುಗುಣವಾಗಿ ಉಪ್ಪನ್ನು ಪರಿಶೀಲಿಸಿ. ಕರ್ನಾಟಕ ಶೈಲಿಯ ಅವರೆಕಾಳು ಚಿತ್ರಾನ್ನ ರೆಸಿಪಿ (ಫೀಲ್ಡ್ ಬೀನ್ಸ್ ಟೋಸ್ಡ್ ಲೆಮನ್ ರೈಸ್) ಅನ್ನು ರುಚಿಕರವಾದ ಬೆಳಗಿನ ಉಪಾಹಾರದ ರೆಸಿಪಿಯಾಗಿ ಕೆಲವು ಮಾವಿನಕಾಯಿ ಉಪ್ಪಿನಕಾಯಿಯೊಂದಿಗೆ ಬಡಿಸಿ.
</t>
  </si>
  <si>
    <t>https://www.archanaskitchen.com/karnataka-style-avarekalu-chitranna-recipe-field-beans-tossed-with-lemon-rice</t>
  </si>
  <si>
    <t>Karnataka Style Heerekai Dosa Recipe-Ridge Gourd Dosa Recipe</t>
  </si>
  <si>
    <t>ಕರ್ನಾಟಕ ಸ್ಟೈಲ್ ಹೀರೆಕಾಯಿ ದೋಸೆ ರೆಸಿಪಿ-ರಿಡ್ಜ್ ಸೋರೆಕಾಯಿ ದೋಸೆ ರೆಸಿಪಿ</t>
  </si>
  <si>
    <t>1 ಬೆಂಡೆಕಾಯಿ (ತುರೈ/ ಪೀರ್ಕಂಗೈ) - ಸಿಪ್ಪೆ ಸುಲಿದ ಮತ್ತು ತೆಳ್ಳಗೆ ಕತ್ತರಿಸಿ, 1 ಕಪ್ ದೋಸೆ ಅಕ್ಕಿ, 1 ಚಮಚ ಚನಾ ದಾಲ್ (ಬಂಗಾಳ ಬೇಳೆ), 1 ಚಮಚ ಹಸಿರು ಮೂಂಗ್ ದಾಲ್ (ಸಂಪೂರ್ಣ) - ಸಂಪೂರ್ಣ, 1 ಟೀಚಮಚ ಮೆಂತ್ಯ ಬೀಜಗಳು (ಮೆಂತ್ಯ ಬೀಜಗಳು), 2 ಚಮಚ ಕೊತ್ತಂಬರಿ ಬೀಜಗಳು (ಧನಿಯಾ) 1 ಚಮಚ, 1 ಚಮಚ ಕೊತ್ತಂಬರಿ ಬೀಜಗಳು, 1 ಟೀಚಮಚ ಹಸಿಮೆಣಸು ಬೀಜಗಳು, 1 ಚಮಚ ಅರಿಶಿನ ಪುಡಿ (ಹಲ್ದಿ), 5 ಚಮಚ ತಾಜಾ ತೆಂಗಿನಕಾಯಿ, 1 ಚಮಚ ಬೆಲ್ಲ, 5 ಗ್ರಾಂ ಹುಣಸೆಹಣ್ಣು, ಉಪ್ಪು - ರುಚಿಗೆ</t>
  </si>
  <si>
    <t>1 Ridge Gourd (Turai/ Peerkangai) - skin peeled and cut into thin rounds,1 cup Dosa rice,1 tablespoon Chana dal (Bengal Gram Dal),1 tablespoon Green Moong Dal (Whole) - whole,1 teaspoon Methi Seeds (Fenugreek Seeds),2 tablespoon Coriander (Dhania) Seeds,1 teaspoon Cumin seeds (Jeera),2 Dry Red Chilli,1 teaspoon Turmeric powder (Haldi),5 tablespoon Fresh coconut,1 tablespoon Jaggery,5 grams Tamarind,Salt - to taste</t>
  </si>
  <si>
    <t xml:space="preserve">To begin making the Karnataka Style Heerekai Dosa Recipe soak the rice along with chana dal, green gram and fenugreek seeds with enough water for about 8 hours.Grind the soaked rice and lentils along with coriander seeds, cumin seeds, dry red chillies, turmeric powder, fresh coconut, jaggery, tamarind and salt. Grind into a smooth batter. Do not keep the batter too runny or too thick. Add it to a large bowl and keep it ready.Heat a dosa tawa, dip the ridge gourd in the dosa batter just like Bajji and place one in the center and place more ridge gourd rounds dipped in batter around the center next to each other to form a flower-like pattern on a moderately hot tava that has been seasoned with oil.Fill the gaps with little batter, drizzle some oil, cover and cook the dosa on a low to medium flame. Cook a little extra since you need the vegetable to cook through.Now gently flip the dosa and cook on the other side. Do the same for the rest of the ridge gourd pieces. Serve the Karnataka Style Heerekai Dosa Recipe along with Peerkangai Thogayal  or Tomato Onion Chutney
</t>
  </si>
  <si>
    <t xml:space="preserve">ಕರ್ನಾಟಕ ಶೈಲಿಯ ಹೀರೆಕಾಯಿ ದೋಸಾ ರೆಸಿಪಿಯನ್ನು ತಯಾರಿಸಲು ಪ್ರಾರಂಭಿಸಲು ಅಕ್ಕಿಯನ್ನು ಬೇಳೆ, ಹಸಿಬೇಳೆ ಮತ್ತು ಮೆಂತ್ಯ ಕಾಳುಗಳೊಂದಿಗೆ ಸಾಕಷ್ಟು ನೀರಿನೊಂದಿಗೆ ಸುಮಾರು 8 ಗಂಟೆಗಳ ಕಾಲ ನೆನೆಸಿಡಿ. ನೆನೆಸಿದ ಅಕ್ಕಿ ಮತ್ತು ಉದ್ದಿನಬೇಳೆಯನ್ನು ಕೊತ್ತಂಬರಿ ಬೀಜಗಳು, ಜೀರಿಗೆ, ಒಣ ಕೆಂಪು ಮೆಣಸಿನಕಾಯಿಗಳು, ಅರಿಶಿನ ಪುಡಿ, ತಾಜಾ ತೆಂಗಿನಕಾಯಿ, ಬೆಲ್ಲ, ಹುಣಸೆಹಣ್ಣು ಮತ್ತು ಉಪ್ಪಿನೊಂದಿಗೆ ರುಬ್ಬಿಕೊಳ್ಳಿ. ನಯವಾದ ಬ್ಯಾಟರ್ ಆಗಿ ರುಬ್ಬಿಕೊಳ್ಳಿ. ಹಿಟ್ಟನ್ನು ತುಂಬಾ ಸ್ರವಿಸುವ ಅಥವಾ ತುಂಬಾ ದಪ್ಪವಾಗಿ ಇಡಬೇಡಿ. ಇದನ್ನು ದೊಡ್ಡ ಬಟ್ಟಲಿಗೆ ಸೇರಿಸಿ ಮತ್ತು ಅದನ್ನು ಸಿದ್ಧವಾಗಿಡಿ. ದೋಸೆ ತವಾವನ್ನು ಬಿಸಿ ಮಾಡಿ, ಬಜ್ಜಿಯಂತೆ ದೋಸೆ ಹಿಟ್ಟಿನಲ್ಲಿ ಸೋರೆಕಾಯಿಯನ್ನು ಅದ್ದಿ ಮತ್ತು ಮಧ್ಯದಲ್ಲಿ ಒಂದನ್ನು ಇರಿಸಿ ಮತ್ತು ಮಧ್ಯಮ ಬಿಸಿ ತವಾದಲ್ಲಿ ಹೂವಿನಂತಹ ಮಾದರಿಯನ್ನು ರೂಪಿಸಲು ಒಂದರ ಪಕ್ಕದಲ್ಲಿ ಒಂದರ ಪಕ್ಕದಲ್ಲಿ ಹಿಟ್ಟಿನಲ್ಲಿ ಅದ್ದಿದ ಹೆಚ್ಚಿನ ಸೋರೆಕಾಯಿಯನ್ನು ಇರಿಸಿ. ಕಡಿಮೆ ಮಧ್ಯಮ ಜ್ವಾಲೆಯ. ನಿಮಗೆ ಬೇಯಿಸಲು ತರಕಾರಿ ಬೇಕಾಗಿರುವುದರಿಂದ ಸ್ವಲ್ಪ ಹೆಚ್ಚುವರಿಯಾಗಿ ಬೇಯಿಸಿ. ಈಗ ನಿಧಾನವಾಗಿ ದೋಸೆಯನ್ನು ತಿರುಗಿಸಿ ಮತ್ತು ಇನ್ನೊಂದು ಬದಿಯಲ್ಲಿ ಬೇಯಿಸಿ. ಉಳಿದ ಸೀಬೆಕಾಯಿ ಕಾಯಿಗಳಿಗೂ ಹೀಗೆ ಮಾಡಿ. ಕರ್ನಾಟಕ ಶೈಲಿಯ ಹೀರೆಕಾಯಿ ದೋಸೆ ರೆಸಿಪಿಯನ್ನು ಪೀರ್ಕಂಗೈ ತೊಗಯಲ್ ಅಥವಾ ಟೊಮೇಟೊ ಈರುಳ್ಳಿ ಚಟ್ನಿ ಜೊತೆಗೆ ಬಡಿಸಿ
</t>
  </si>
  <si>
    <t>http://www.archanaskitchen.com/karnataka-style-heerekai-dose-recipe-ridge-gourd-dosa-recipe</t>
  </si>
  <si>
    <t>Karnataka Style Alugadde and Mentye Pakoda Recipe (Potato and fenugreek leaves fritters)</t>
  </si>
  <si>
    <t>ಕರ್ನಾಟಕ ಶೈಲಿಯ ಆಲುಗದ್ದೆ ಮತ್ತು ಮೆಂತ್ಯೆ ಪಕೋಡ ರೆಸಿಪಿ (ಆಲೂಗಡ್ಡೆ ಮತ್ತು ಮೆಂತ್ಯ ಎಲೆಗಳ ಪನಿಯಾಣಗಳು)</t>
  </si>
  <si>
    <t>1 ಕಪ್ ಮೇಥಿ ಎಲೆಗಳು (ಮೆಂತ್ಯ ಎಲೆಗಳು) - ಸ್ಥೂಲವಾಗಿ ಕತ್ತರಿಸಿದ, 1 ಆಲೂಗಡ್ಡೆ (ಆಲೂ) - ತುರಿದ, 50 ಗ್ರಾಂ ಗ್ರಾಂ ಹಿಟ್ಟು (ಬೀಸನ್), 1 ಟೀಸ್ಪೂನ್ ಜೀರಿಗೆ (ಜೀರಾ), 1 ಟೀಚಮಚ ಕೆಂಪು ಮೆಣಸಿನ ಪುಡಿ, 2 ಟೀಸ್ಪೂನ್ ಕೊತ್ತಂಬರಿ ಪುಡಿ (ಧನಿಯಾ)</t>
  </si>
  <si>
    <t>1 cup Methi Leaves (Fenugreek Leaves) - roughly chopped,1 Potato (Aloo) - grated,50 grams Gram flour (besan),1 teaspoon Cumin seeds (Jeera),1 teaspoon Red Chilli powder,2 teaspoon Coriander Powder (Dhania)</t>
  </si>
  <si>
    <t xml:space="preserve">To begin making the Alugadde and Mentye Pakoda Recipe, peel the potato and grate them into a bowl.Combine all the ingredients together in a bowl. Add water little at a time, to make a thick pakoda batter. Check the salt and spices and adjust to suit your taste.Preheat the Kuzhi Paniyaram Pan on medium heat; add a few drops of oil into each cavity. Spoon the Alugadde and Mentye Pakoda batter into the cavity and pan-fry them until it is browned and crisp on both sides. You can optionally add just a little more oil to give it additional taste.Proceed the same way with the remaining Alugadde and Mentye pakoda Batter.The process of cooking pakoda in a pan preserves nutrition and the addition of fenugreek leaves giving an added taste and nutrition for this classic teatime snack.Arrange the Alugadde and Mentye pakoda on a serving platter, sprinkle some chaat masala, place some pickled onions by the side and serve it as a snack or as an appetizer for parties.Serve the Alugadde and Mentye Pakoda Recipe along with a hot cup of Masala Chai Recipe and Roasted Tomato Pasta Sauce Recipe.
</t>
  </si>
  <si>
    <t xml:space="preserve">ಆಲುಗದ್ದೆ ಮತ್ತು ಮೆಂತ್ಯೆ ಪಕೋಡ ರೆಸಿಪಿಯನ್ನು ತಯಾರಿಸಲು ಪ್ರಾರಂಭಿಸಲು, ಆಲೂಗಡ್ಡೆಯನ್ನು ಸಿಪ್ಪೆ ಮಾಡಿ ಮತ್ತು ಅವುಗಳನ್ನು ಒಂದು ಬಟ್ಟಲಿನಲ್ಲಿ ತುರಿ ಮಾಡಿ. ಒಂದು ಬಟ್ಟಲಿನಲ್ಲಿ ಎಲ್ಲಾ ಪದಾರ್ಥಗಳನ್ನು ಒಟ್ಟಿಗೆ ಸೇರಿಸಿ. ದಪ್ಪವಾದ ಪಕೋಡಾ ಹಿಟ್ಟನ್ನು ತಯಾರಿಸಲು ಸ್ವಲ್ಪ ಸ್ವಲ್ಪ ನೀರನ್ನು ಸೇರಿಸಿ. ಉಪ್ಪು ಮತ್ತು ಮಸಾಲೆಗಳನ್ನು ಪರಿಶೀಲಿಸಿ ಮತ್ತು ನಿಮ್ಮ ರುಚಿಗೆ ತಕ್ಕಂತೆ ಹೊಂದಿಸಿ. ಮಧ್ಯಮ ಉರಿಯಲ್ಲಿ ಕುಝಿ ಪನಿಯಾರಮ್ ಪ್ಯಾನ್ ಅನ್ನು ಪೂರ್ವಭಾವಿಯಾಗಿ ಕಾಯಿಸಿ; ಪ್ರತಿ ಕುಹರದೊಳಗೆ ಕೆಲವು ಹನಿ ಎಣ್ಣೆಯನ್ನು ಸೇರಿಸಿ. ಆಲುಗದ್ದೆ ಮತ್ತು ಮೆಂತ್ಯೆ ಪಕೋಡಾ ಹಿಟ್ಟನ್ನು ಕುಹರದೊಳಗೆ ಚಮಚ ಮಾಡಿ ಮತ್ತು ಎರಡೂ ಬದಿಗಳಲ್ಲಿ ಕಂದು ಮತ್ತು ಗರಿಗರಿಯಾಗುವವರೆಗೆ ಅವುಗಳನ್ನು ಪ್ಯಾನ್-ಫ್ರೈ ಮಾಡಿ. ಹೆಚ್ಚುವರಿ ರುಚಿಯನ್ನು ನೀಡಲು ನೀವು ಐಚ್ಛಿಕವಾಗಿ ಸ್ವಲ್ಪ ಹೆಚ್ಚು ಎಣ್ಣೆಯನ್ನು ಸೇರಿಸಬಹುದು. ಉಳಿದ ಆಲುಗದ್ದೆ ಮತ್ತು ಮೆಂತ್ಯೆ ಪಕೋಡಾ ಬ್ಯಾಟರ್‌ನೊಂದಿಗೆ ಅದೇ ರೀತಿಯಲ್ಲಿ ಮುಂದುವರಿಯಿರಿ. ಪ್ಯಾನ್‌ನಲ್ಲಿ ಪಕೋಡವನ್ನು ಬೇಯಿಸುವ ಪ್ರಕ್ರಿಯೆಯು ಪೌಷ್ಟಿಕಾಂಶವನ್ನು ಸಂರಕ್ಷಿಸುತ್ತದೆ ಮತ್ತು ಮೆಂತ್ಯದ ಎಲೆಗಳನ್ನು ಸೇರಿಸುವುದರಿಂದ ಈ ಕ್ಲಾಸಿಕ್ ಟೀಟೈಮ್ ತಿಂಡಿಗೆ ಹೆಚ್ಚಿನ ರುಚಿ ಮತ್ತು ಪೋಷಣೆಯನ್ನು ನೀಡುತ್ತದೆ. ಉಪ್ಪಿನಕಾಯಿ ಈರುಳ್ಳಿಯನ್ನು ಪಕ್ಕದಲ್ಲಿಟ್ಟು ತಿಂಡಿಯಾಗಿ ಅಥವಾ ಪಾರ್ಟಿಗಳಿಗೆ ಅಪೆಟೈಸರ್ ಆಗಿ ಬಡಿಸಿ. ಒಂದು ಬಿಸಿ ಕಪ್ ಮಸಾಲಾ ಚಾಯ್ ರೆಸಿಪಿ ಮತ್ತು ಹುರಿದ ಟೊಮೇಟೊ ಪಾಸ್ಟಾ ಸಾಸ್ ರೆಸಿಪಿ ಜೊತೆಗೆ ಆಲುಗದ್ದೆ ಮತ್ತು ಮೆಂತ್ಯೆ ಪಕೋಡ ರೆಸಿಪಿಯನ್ನು ಬಡಿಸಿ.
</t>
  </si>
  <si>
    <t>http://www.archanaskitchen.com/karnataka-style-alugadde-and-mentye-pakoda-recipe-potato-and-fenugreek-leaves-fritters</t>
  </si>
  <si>
    <t>Halli Style Mutton Saaru Recipe - South Indian Mutton Curry</t>
  </si>
  <si>
    <t>ಹಳ್ಳಿ ಸ್ಟೈಲ್ ಮಟನ್ ಸಾರು ರೆಸಿಪಿ - ಸೌತ್ ಇಂಡಿಯನ್ ಮಟನ್ ಕರಿ</t>
  </si>
  <si>
    <t>1/2 ಕೆಜಿ ಮಟನ್ - ಸಣ್ಣ ತುಂಡುಗಳಾಗಿ ಕತ್ತರಿಸಿ, 2 ಈರುಳ್ಳಿ - ಹೋಳುಗಳು, 2 ಚಮಚ ಸೂರ್ಯಕಾಂತಿ ಎಣ್ಣೆ, 2 ಚಿಗುರು ಕರಿಬೇವಿನ ಎಲೆಗಳು, 3 ಚಮಚ ತಾಜಾ ತೆಂಗಿನಕಾಯಿ - ತುರಿದ, 4 ಟೊಮ್ಯಾಟೊ - ಕತ್ತರಿಸಿದ, 1/2 ಕಪ್ ಕೊತ್ತಂಬರಿ (ಧನಿಯಾ) ಎಲೆಗಳು, 3 ಹಸಿರು ಮೆಣಸಿನಕಾಯಿಗಳು, 3 ಒಣ ಕೆಂಪು ಮೆಣಸಿನಕಾಯಿಗಳು, 1 ಚಮಚ ಬೆಳ್ಳುಳ್ಳಿ, 1 ಚಮಚ ಬೆಳ್ಳುಳ್ಳಿ ಹುರಿದ ಬೇಳೆ (ಪೊಟ್ಟುಕದಲೈ), 1 ಚಮಚ ಸಾಂಬಾರ್ ಪುಡಿ, ಉಪ್ಪು - ರುಚಿಗೆ</t>
  </si>
  <si>
    <t>1/2 kg Mutton - cut into small pieces,2 Onions - sliced,2 tablespoons Sunflower Oil,2 sprig Curry leaves,3 tablespoons Fresh coconut - grated,4 Tomatoes - chopped,1/2 cup Coriander (Dhania) Leaves,3 Green Chillies,3 Dry Red Chillies,1 inch Ginger,8 cloves Garlic,2 teaspoons Poppy seeds,1 tablespoon Roasted Gram Dal (Pottukadalai),1 tablespoon Sambar Powder,Salt - to taste</t>
  </si>
  <si>
    <t xml:space="preserve">To begin making the Halli Style Mutton Saru Recipe, thoroughly wash and clean the mutton pieces.In a mixer-jar combine coconut, tomatoes, coriander leaves, green chilies, red chillies, ginger, garlic, poppy seeds, roasted gram, dal salt and sambar powder.Grind this masala into a paste with some water. Transfer to a bowl and set aside.In a pressure cooker, heat oil on medium flame, add curry leaves and allow it to crackle, then add the sliced onions and fry till it turns brown in colour.Add the ground masala, and cook till the oil comes to the surface, now add the mutton piecesAnd mix well, add 1 ½ cups of water and close the pressure cooker. Pressure cook for 4-5 whistles and turn off the flame. Allow the pressure to release naturally.Serve Halli Style Mutton Saru along with Soft &amp; Delicious Ragi Mudde Recipe - Karnataka Style Ragi Balls or Steamed Rice Recipe (Pressure Cooker &amp; Sauce Pan Methods) or Homemade Crisp Ghee Roast Dosa Recipe for a complete meal.
</t>
  </si>
  <si>
    <t xml:space="preserve">ಹಳ್ಳಿ ಶೈಲಿಯ ಮಟನ್ ಸಾರು ರೆಸಿಪಿಯನ್ನು ತಯಾರಿಸಲು ಪ್ರಾರಂಭಿಸಲು, ಮಟನ್ ತುಂಡುಗಳನ್ನು ಚೆನ್ನಾಗಿ ತೊಳೆದು ಸ್ವಚ್ಛಗೊಳಿಸಿ. ಮಿಕ್ಸರ್-ಜಾರ್‌ನಲ್ಲಿ ತೆಂಗಿನಕಾಯಿ, ಟೊಮ್ಯಾಟೊ, ಕೊತ್ತಂಬರಿ ಸೊಪ್ಪು, ಹಸಿರು ಮೆಣಸಿನಕಾಯಿ, ಕೆಂಪು ಮೆಣಸಿನಕಾಯಿ, ಶುಂಠಿ, ಬೆಳ್ಳುಳ್ಳಿ, ಗಸಗಸೆ, ಹುರಿದ ಬೇಳೆ, ದಾಲ್ ಉಪ್ಪು ಮತ್ತು ಸಾಂಬಾರ್ ಪುಡಿಯನ್ನು ಸೇರಿಸಿ. ಒಂದು ಬೌಲ್‌ಗೆ ವರ್ಗಾಯಿಸಿ ಮತ್ತು ಪಕ್ಕಕ್ಕೆ ಇರಿಸಿ. ಪ್ರೆಶರ್ ಕುಕ್ಕರ್‌ನಲ್ಲಿ ಮಧ್ಯಮ ಉರಿಯಲ್ಲಿ ಎಣ್ಣೆಯನ್ನು ಬಿಸಿ ಮಾಡಿ, ಕರಿಬೇವಿನ ಎಲೆಗಳನ್ನು ಸೇರಿಸಿ ಮತ್ತು ಅದನ್ನು ಬಿರುಕುಗೊಳಿಸಲು ಅನುಮತಿಸಿ, ನಂತರ ಕತ್ತರಿಸಿದ ಈರುಳ್ಳಿ ಸೇರಿಸಿ ಮತ್ತು ಕಂದು ಬಣ್ಣ ಬರುವವರೆಗೆ ಫ್ರೈ ಮಾಡಿ. ನೆಲದ ಮಸಾಲಾ ಸೇರಿಸಿ, ಮತ್ತು ಎಣ್ಣೆ ಮೇಲ್ಮೈಗೆ ಬರುವವರೆಗೆ ಬೇಯಿಸಿ, ಈಗ ಮಟನ್ ತುಂಡುಗಳನ್ನು ಸೇರಿಸಿ ಮತ್ತು ಚೆನ್ನಾಗಿ ಮಿಶ್ರಣ ಮಾಡಿ, 1 ½ ಕಪ್ ನೀರು ಸೇರಿಸಿ. 4-5 ಸೀಟಿಗಳವರೆಗೆ ಪ್ರೆಶರ್ ಕುಕ್ ಮಾಡಿ ಮತ್ತು ಉರಿಯನ್ನು ಆಫ್ ಮಾಡಿ. ಒತ್ತಡವನ್ನು ಸ್ವಾಭಾವಿಕವಾಗಿ ಬಿಡುಗಡೆ ಮಾಡಲು ಅನುಮತಿಸಿ. ಮೃದುವಾದ ಮತ್ತು ರುಚಿಕರವಾದ ರಾಗಿ ಮುದ್ದೆ ರೆಸಿಪಿ - ಕರ್ನಾಟಕ ಶೈಲಿಯ ರಾಗಿ ಚೆಂಡುಗಳು ಅಥವಾ ಸ್ಟೀಮ್ಡ್ ರೈಸ್ ರೆಸಿಪಿ (ಪ್ರೆಶರ್ ಕುಕ್ಕರ್ ಮತ್ತು ಸಾಸ್ ಪ್ಯಾನ್ ವಿಧಾನಗಳು) ಅಥವಾ ಮನೆಯಲ್ಲಿ ತಯಾರಿಸಿದ ಕ್ರಿಸ್ಪ್ ಘೀ ರೋಸ್ಟ್ ದೋಸಾದ ಸಂಪೂರ್ಣ ರೆಸಿ ಊಟಕ್ಕಾಗಿ ಹಳ್ಳಿ ಶೈಲಿಯ ಮಟನ್ ಸಾರು ಅನ್ನು ಬಡಿಸಿ.
</t>
  </si>
  <si>
    <t>https://www.archanaskitchen.com/halli-style-mutton-saru-recipe</t>
  </si>
  <si>
    <t>Maddur Vada Recipe  |  Maddur Vade</t>
  </si>
  <si>
    <t>ಮದ್ದೂರು ವಡ ರೆಸಿಪಿ |  ಮದ್ದೂರು ವಡೆ</t>
  </si>
  <si>
    <t>1 ಕಪ್ ಅಕ್ಕಿ ಹಿಟ್ಟು, 1/2 ಕಪ್ ಸೂಜಿ (ರವೆ/ ರವೆ), 1/4 ಕಪ್ ಆಲ್ ಪರ್ಪಸ್ ಹಿಟ್ಟು (ಮೈದಾ), 2 ಈರುಳ್ಳಿ - ಸಣ್ಣದಾಗಿ ಕೊಚ್ಚಿದ, 3 ಹಸಿರು ಮೆಣಸಿನಕಾಯಿಗಳು - ಸಣ್ಣದಾಗಿ ಕೊಚ್ಚಿದ, 3 ಚಿಗುರು ಕರಿಬೇವಿನ ಎಲೆಗಳು - ನುಣ್ಣಗೆ ಕತ್ತರಿಸಿದ, 1/4 ಟೀಚಮಚ ಇಂಗು (ಹಿಂಗ್), 1/3 ಚಮಚ ಕೆಂಪು ಮೆಣಸಿನಕಾಯಿ ಪುಡಿ. ರುಚಿ, ಸೂರ್ಯಕಾಂತಿ ಎಣ್ಣೆ - ಆಳವಾದ ಹುರಿಯಲು</t>
  </si>
  <si>
    <t>1 cup Rice flour,1/2 cup Sooji (Semolina/ Rava),1/4 cup All Purpose Flour (Maida),2 Onions - finely chopped,3 Green Chillies - finely chopped,3 sprig Curry leaves - finely chopped,1/4 teaspoon Asafoetida (hing),1/2 teaspoon Red Chilli powder,3 tablespoons Sunflower Oil,Salt - to taste,Sunflower Oil - to deep fry</t>
  </si>
  <si>
    <t xml:space="preserve">To begin making the Maddur Vada Recipe prep all the ingredients and keep them ready.In a large mixing bowl, combine all the ingredients for the Maddur Vada dough without adding water. The dough will be a little stiff and more like a bread crumb consistency.After the dough gets combined, cover the dough and allow it to rest for 10 minutes. This resting process will bring out the moisture - as the onions will release a little water when exposed to the salt.After 10 minutes, knead the dough again and you will notice it will come together like a firm roti dough. If you feel the Maddur Vada dough did not have enough moisture, then add a few drops of water at a time and knead to make a very firm roti dough.Divide the Maddur Vada dough into large lemon size balls. Preheat the oil for deep frying the Maddur VadaNow to make the Maddur vada, grease your palms with a little oil and also grease a small piece of aluminum foil with  oil as  well. This helps in sliding maddur vada into the hot oil easily.Take a small ball of the Maddur Vada dough and pat it flat over the foil with your greased fingers. You can keep it little thick and not too thin. Carefully slide the Maddur Vada from the oil into the hot oil and deep fry on both the sides for about 1 minute over medium heat until dark golden brown and crisp. Based on the size of your kadai, you can deep fry 2 to 3 Maddur Vada at a time. Once golden brown and crisp, remove the Maddur vada from the oil and drain it over a kitchen paper napkins and serve hot. Serve the Maddur Vada as a Tea Time Snack along with Spicy Coconut Chutney and a hot cup of filter coffee.
</t>
  </si>
  <si>
    <t xml:space="preserve">ಮದ್ದೂರು ವಡಾ ರೆಸಿಪಿಯನ್ನು ತಯಾರಿಸಲು ಪ್ರಾರಂಭಿಸಲು ಎಲ್ಲಾ ಪದಾರ್ಥಗಳನ್ನು ತಯಾರಿಸಿ ಮತ್ತು ಅವುಗಳನ್ನು ಸಿದ್ಧವಾಗಿ ಇರಿಸಿ. ದೊಡ್ಡ ಮಿಶ್ರಣ ಬಟ್ಟಲಿನಲ್ಲಿ, ನೀರನ್ನು ಸೇರಿಸದೆಯೇ ಮದ್ದೂರು ವಡಾ ಹಿಟ್ಟಿನ ಎಲ್ಲಾ ಪದಾರ್ಥಗಳನ್ನು ಸೇರಿಸಿ. ಹಿಟ್ಟು ಸ್ವಲ್ಪ ಗಟ್ಟಿಯಾಗಿರುತ್ತದೆ ಮತ್ತು ಬ್ರೆಡ್ ಕ್ರಂಬ್ ಸ್ಥಿರತೆಯಂತೆ ಇರುತ್ತದೆ. ಹಿಟ್ಟನ್ನು ಸಂಯೋಜಿಸಿದ ನಂತರ, ಹಿಟ್ಟನ್ನು ಮುಚ್ಚಿ ಮತ್ತು ಅದನ್ನು 10 ನಿಮಿಷಗಳ ಕಾಲ ವಿಶ್ರಾಂತಿಗೆ ಬಿಡಿ. ಈ ವಿಶ್ರಾಂತಿ ಪ್ರಕ್ರಿಯೆಯು ತೇವಾಂಶವನ್ನು ಹೊರತರುತ್ತದೆ - ಉಪ್ಪುಗೆ ಒಡ್ಡಿಕೊಂಡಾಗ ಈರುಳ್ಳಿ ಸ್ವಲ್ಪ ನೀರನ್ನು ಬಿಡುಗಡೆ ಮಾಡುತ್ತದೆ. 10 ನಿಮಿಷಗಳ ನಂತರ, ಹಿಟ್ಟನ್ನು ಮತ್ತೊಮ್ಮೆ ಬೆರೆಸಿಕೊಳ್ಳಿ ಮತ್ತು ಅದು ಗಟ್ಟಿಯಾದ ರೋಟಿ ಹಿಟ್ಟಿನಂತೆ ಒಟ್ಟಿಗೆ ಬರುವುದನ್ನು ನೀವು ಗಮನಿಸಬಹುದು. ಮದ್ದೂರು ವಡಾ ಹಿಟ್ಟಿನಲ್ಲಿ ಸಾಕಷ್ಟು ತೇವಾಂಶವಿಲ್ಲ ಎಂದು ನೀವು ಭಾವಿಸಿದರೆ, ನಂತರ ಕೆಲವು ಹನಿಗಳನ್ನು ನೀರನ್ನು ಸೇರಿಸಿ ಮತ್ತು ತುಂಬಾ ಗಟ್ಟಿಯಾದ ರೊಟ್ಟಿ ಹಿಟ್ಟನ್ನು ಮಾಡಲು. ಮದ್ದೂರು ವಡಾ ಹಿಟ್ಟನ್ನು ದೊಡ್ಡ ನಿಂಬೆ ಗಾತ್ರದ ಉಂಡೆಗಳಾಗಿ ವಿಂಗಡಿಸಿ ಮದ್ದೂರು ವಡೆಯನ್ನು ಮಾಡಲು ಈಗ ಮದ್ದೂರು ವಡೆಯನ್ನು ಆಳವಾಗಿ ಹುರಿಯಲು ಎಣ್ಣೆಯನ್ನು ಪೂರ್ವಭಾವಿಯಾಗಿ ಕಾಯಿಸಿ, ನಿಮ್ಮ ಅಂಗೈಗಳಿಗೆ ಸ್ವಲ್ಪ ಎಣ್ಣೆಯಿಂದ ಗ್ರೀಸ್ ಮಾಡಿ ಮತ್ತು ಅಲ್ಯೂಮಿನಿಯಂ ಹಾಳೆಯ ಸಣ್ಣ ತುಂಡನ್ನು ಎಣ್ಣೆಯಿಂದ ಗ್ರೀಸ್ ಮಾಡಿ. ಇದು ಮದ್ದೂರು ವಡಾವನ್ನು ಬಿಸಿ ಎಣ್ಣೆಗೆ ಸುಲಭವಾಗಿ ಸ್ಲೈಡ್ ಮಾಡಲು ಸಹಾಯ ಮಾಡುತ್ತದೆ. ಮದ್ದೂರು ವಡಾ ಹಿಟ್ಟಿನ ಸಣ್ಣ ಉಂಡೆಯನ್ನು ತೆಗೆದುಕೊಂಡು ಅದನ್ನು ನಿಮ್ಮ ಗ್ರೀಸ್ ಮಾಡಿದ ಬೆರಳುಗಳಿಂದ ಫಾಯಿಲ್ ಮೇಲೆ ಚಪ್ಪಟೆಯಾಗಿ ತಟ್ಟಿ. ನೀವು ಅದನ್ನು ಸ್ವಲ್ಪ ದಪ್ಪವಾಗಿ ಇರಿಸಬಹುದು ಮತ್ತು ತುಂಬಾ ತೆಳುವಾಗಿರಬಾರದು. ಮದ್ದೂರು ವಡಾವನ್ನು ಎಣ್ಣೆಯಿಂದ ಬಿಸಿ ಎಣ್ಣೆಗೆ ಎಚ್ಚರಿಕೆಯಿಂದ ಸ್ಲೈಡ್ ಮಾಡಿ ಮತ್ತು ಗಾಢವಾದ ಗೋಲ್ಡನ್ ಬ್ರೌನ್ ಮತ್ತು ಗರಿಗರಿಯಾಗುವವರೆಗೆ ಮಧ್ಯಮ ಉರಿಯಲ್ಲಿ ಸುಮಾರು 1 ನಿಮಿಷಗಳ ಕಾಲ ಎರಡೂ ಬದಿಗಳಲ್ಲಿ ಡೀಪ್ ಫ್ರೈ ಮಾಡಿ. ನಿಮ್ಮ ಕಡಾಯಿಯ ಗಾತ್ರವನ್ನು ಆಧರಿಸಿ, ನೀವು ಒಮ್ಮೆಗೆ 2 ರಿಂದ 3 ಮದ್ದೂರು ವಡೆಯನ್ನು ಡೀಪ್ ಫ್ರೈ ಮಾಡಬಹುದು. ಗೋಲ್ಡನ್ ಬ್ರೌನ್ ಮತ್ತು ಗರಿಗರಿಯಾದ ನಂತರ, ಮದ್ದೂರ್ ವಡಾವನ್ನು ಎಣ್ಣೆಯಿಂದ ತೆಗೆದುಹಾಕಿ ಮತ್ತು ಅಡಿಗೆ ಪೇಪರ್ ನ್ಯಾಪ್ಕಿನ್ಗಳ ಮೇಲೆ ಹರಿಸುತ್ತವೆ ಮತ್ತು ಬಿಸಿಯಾಗಿ ಬಡಿಸಿ. ಮಸಾಲೆಯುಕ್ತ ತೆಂಗಿನಕಾಯಿ ಚಟ್ನಿ ಮತ್ತು ಬಿಸಿ ಕಪ್ ಫಿಲ್ಟರ್ ಕಾಫಿ ಜೊತೆಗೆ ಮದ್ದೂರು ವಡಾವನ್ನು ಟೀ ಟೈಮ್ ಸ್ನ್ಯಾಕ್ ಆಗಿ ಬಡಿಸಿ.
</t>
  </si>
  <si>
    <t>https://www.archanaskitchen.com/baked-maddur-vada-recipe</t>
  </si>
  <si>
    <t>Ellu Chutney Recipe - Sesame Seeds Chutney Recipe</t>
  </si>
  <si>
    <t>Ellu Chutney Recipe - ಎಳ್ಳು ಚಟ್ನಿ ರೆಸಿಪಿ</t>
  </si>
  <si>
    <t>1/4 ಕಪ್ ಕಪ್ಪು ಎಳ್ಳು, 1 ಚಮಚ ಬಿಳಿ ಉರಡ್ ದಾಲ್ (ಒಡೆದ), 1/4 ಕಪ್ ತಾಜಾ ತೆಂಗಿನಕಾಯಿ - ತುರಿದ, 5 ಒಣ ಮೆಣಸಿನಕಾಯಿಗಳು, ಕರಿಬೇವಿನ ಎಲೆಗಳು - ಕೆಲವು, 20 ಗ್ರಾಂ ಹುಣಸೆಹಣ್ಣು - ನೀರಿನಲ್ಲಿ ನೆನೆಸಿದ, ಉಪ್ಪು - ರುಚಿಗೆ, 1 ಚಮಚ ಸೂರ್ಯಕಾಂತಿ ಎಣ್ಣೆ, 1/2 ಚಮಚ ಸಾಸಿವೆ, ಕರಿಬೇವಿನ ಎಲೆಗಳು - ಕೆಲವು</t>
  </si>
  <si>
    <t>1/4 cup Black sesame seeds,1 tablespoon White Urad Dal (Split),1/4 cup Fresh coconut - grated,5 Dry Red Chillies,Curry leaves - a few,20 grams Tamarind - soaked in water,Salt - to taste,1 teaspoon Sunflower Oil,1/2 teaspoon Mustard seeds,Curry leaves - a few</t>
  </si>
  <si>
    <t xml:space="preserve">To begin making Ellu Chutney (Sesame Seeds Chutney Recipe), soak tamarind in a very little water.Dry roast urad dal until lightly roasted and browned. Stir in the black sesame seeds, dry chillies, fresh grated coconutRoast for a few minutes.In a mixer grinder, add sesame seeds, tamarind with water, red chillies, urad dal &amp; salt to taste. Grind it to a smooth, thick paste. Transfer the chutney to a serving bowl.In a tadka pan, heat oil on low flame and add mustard seeds and allow to splutter. Immediately add curry leaves and allow to crackle for 5 seconds or more. Pour this tempering on the chutney mix lightly and serve Ellu Chutney (Sesame Seeds Chutney Recipe) with your favorite idli / dosa recipe.
</t>
  </si>
  <si>
    <t xml:space="preserve">ಎಳ್ಳು ಚಟ್ನಿ (ಎಳ್ಳು ಬೀಜಗಳ ಚಟ್ನಿ ಪಾಕವಿಧಾನ) ತಯಾರಿಸಲು ಪ್ರಾರಂಭಿಸಲು, ಹುಣಸೆಹಣ್ಣನ್ನು ಸ್ವಲ್ಪ ನೀರಿನಲ್ಲಿ ನೆನೆಸಿ. ಒಣ ಹುರಿದ ಉದ್ದಿನಬೇಳೆಯನ್ನು ಲಘುವಾಗಿ ಹುರಿದ ಮತ್ತು ಕಂದು ಬಣ್ಣ ಬರುವವರೆಗೆ. ಕೆಲವು ನಿಮಿಷಗಳ ಕಾಲ ಕಪ್ಪು ಎಳ್ಳು ಬೀಜಗಳು, ಒಣ ಮೆಣಸಿನಕಾಯಿಗಳು, ತಾಜಾ ತುರಿದ ತೆಂಗಿನಕಾಯಿ ಹುರಿಯಲು ಬೆರೆಸಿ. ಮಿಕ್ಸರ್ ಗ್ರೈಂಡರ್ನಲ್ಲಿ, ಎಳ್ಳು ಬೀಜಗಳು, ನೀರು ಹುಣಸೆಹಣ್ಣು, ಕೆಂಪು ಮೆಣಸಿನಕಾಯಿಗಳು, ಉದ್ದಿನಬೇಳೆ ಮತ್ತು ರುಚಿಗೆ ಉಪ್ಪು ಸೇರಿಸಿ. ಇದನ್ನು ನಯವಾದ, ದಪ್ಪ ಪೇಸ್ಟ್ ಆಗಿ ರುಬ್ಬಿಕೊಳ್ಳಿ. ಚಟ್ನಿಯನ್ನು ಸರ್ವಿಂಗ್ ಬೌಲ್‌ಗೆ ವರ್ಗಾಯಿಸಿ. ತಡ್ಕಾ ಪ್ಯಾನ್‌ನಲ್ಲಿ, ಕಡಿಮೆ ಉರಿಯಲ್ಲಿ ಎಣ್ಣೆಯನ್ನು ಬಿಸಿ ಮಾಡಿ ಮತ್ತು ಸಾಸಿವೆ ಕಾಳುಗಳನ್ನು ಸೇರಿಸಿ ಮತ್ತು ಚೆಲ್ಲಲು ಬಿಡಿ. ತಕ್ಷಣವೇ ಕರಿಬೇವಿನ ಎಲೆಗಳನ್ನು ಸೇರಿಸಿ ಮತ್ತು 5 ಸೆಕೆಂಡುಗಳು ಅಥವಾ ಅದಕ್ಕಿಂತ ಹೆಚ್ಚು ಕಾಲ ಸಿಡಿಸಲು ಬಿಡಿ. ಈ ಟೆಂಪರಿಂಗ್ ಅನ್ನು ಚಟ್ನಿ ಮಿಶ್ರಣದ ಮೇಲೆ ಲಘುವಾಗಿ ಸುರಿಯಿರಿ ಮತ್ತು ನಿಮ್ಮ ನೆಚ್ಚಿನ ಇಡ್ಲಿ / ದೋಸೆ ಪಾಕವಿಧಾನದೊಂದಿಗೆ ಎಳ್ಳು ಚಟ್ನಿ (ಎಳ್ಳು ಬೀಜಗಳ ಚಟ್ನಿ ರೆಸಿಪಿ) ಅನ್ನು ಬಡಿಸಿ.
</t>
  </si>
  <si>
    <t>http://www.archanaskitchen.com/ellu-chutney-sesame-seeds-chutney-recipe</t>
  </si>
  <si>
    <t>Karnataka Style Haalbai Recipe</t>
  </si>
  <si>
    <t>ಕರ್ನಾಟಕ ಶೈಲಿ ಹಾಲಬಾಯಿ ರೆಸಿಪಿ</t>
  </si>
  <si>
    <t>900 ಮಿಲಿ ತೆಂಗಿನ ಹಾಲು, 1 ಕಪ್ ಬೆಲ್ಲ, 100 ಗ್ರಾಂ ಅಕ್ಕಿ ಹಿಟ್ಟು, 2 ಏಲಕ್ಕಿ (ಎಲೈಚಿ) ಕಾಳುಗಳು / ಬೀಜಗಳು - ಪುಡಿಮಾಡಿದ, 2 ಚಮಚ ತುಪ್ಪ - ಅಥವಾ ತೆಂಗಿನ ಎಣ್ಣೆ</t>
  </si>
  <si>
    <t>900 ml Coconut milk,1 cup Jaggery,100 grams Rice flour,2 Cardamom (Elaichi) Pods/Seeds - crushed,2 tablespoons Ghee - or coconut oil</t>
  </si>
  <si>
    <t xml:space="preserve">To prepare Karnataka Style Haalbai Recipe, get pep with all the ingredients first. Keep a plate or moulds well greased to pour the haalbai mixture when done.Mix all the ingredients (except pounded cardamom and ghee) together such that the rice flour is well dissolved in coconut milk.In a saucepan or a heavy bottomed kadai, bring the mixture to boil, on a medium low flame and add cardamom powder and ghee. Keep stirring continually since the rice flour might tend to stick to the bottom.Keep stirring till the mixture comes together as a lump.Pour the haalbai mixture on the greased plate/mould and cut to diamond shapes when the haalbai cools a bit and firms up.Serve Karnataka Style Haalbai Recipe warm or chilled, as a dessert after festive lunch or during evenings with tea. Optionally, you can garnish with poppy seeds when the sweet is poured onto the plate.
</t>
  </si>
  <si>
    <t xml:space="preserve">ಕರ್ನಾಟಕ ಶೈಲಿಯ ಹಾಲಬಾಯಿ ಪಾಕವಿಧಾನವನ್ನು ತಯಾರಿಸಲು, ಮೊದಲು ಎಲ್ಲಾ ಪದಾರ್ಥಗಳೊಂದಿಗೆ ಪೆಪ್ ಅನ್ನು ಪಡೆಯಿರಿ. ಹಾಲಬಾಯಿ ಮಿಶ್ರಣವನ್ನು ಸುರಿಯಲು ಪ್ಲೇಟ್ ಅಥವಾ ಅಚ್ಚುಗಳನ್ನು ಚೆನ್ನಾಗಿ ಗ್ರೀಸ್ ಮಾಡಿ. ಎಲ್ಲಾ ಪದಾರ್ಥಗಳನ್ನು (ಪುಡಿಮಾಡಿದ ಏಲಕ್ಕಿ ಮತ್ತು ತುಪ್ಪವನ್ನು ಹೊರತುಪಡಿಸಿ) ಒಟ್ಟಿಗೆ ಮಿಶ್ರಣ ಮಾಡಿ, ಅಂದರೆ ಅಕ್ಕಿ ಹಿಟ್ಟು ತೆಂಗಿನ ಹಾಲಿನಲ್ಲಿ ಚೆನ್ನಾಗಿ ಕರಗುತ್ತದೆ. ಒಂದು ಲೋಹದ ಬೋಗುಣಿ ಅಥವಾ ದಪ್ಪ ತಳದ ಕಡಾಯಿಯಲ್ಲಿ, ಮಿಶ್ರಣವನ್ನು ಕುದಿಸಿ, ಮಧ್ಯಮ ಕಡಿಮೆ ಉರಿಯಲ್ಲಿ ಮತ್ತು ಏಲಕ್ಕಿ ಪುಡಿ ಮತ್ತು ತುಪ್ಪ ಸೇರಿಸಿ. ಅಕ್ಕಿ ಹಿಟ್ಟು ತಳಕ್ಕೆ ಅಂಟಿಕೊಳ್ಳುವ ಸಾಧ್ಯತೆಯಿರುವುದರಿಂದ ನಿರಂತರವಾಗಿ ಬೆರೆಸಿ. ಮಿಶ್ರಣವು ಉಂಡೆಯಾಗಿ ಬರುವವರೆಗೆ ಬೆರೆಸಿ. ತುಪ್ಪ ಸವರಿದ ತಟ್ಟೆ/ಅಚ್ಚಿನಲ್ಲಿ ಹಾಲಬಾಯಿ ಮಿಶ್ರಣವನ್ನು ಸುರಿಯಿರಿ ಮತ್ತು ಹಾಲಬಾಯಿ ಸ್ವಲ್ಪ ತಣ್ಣಗಾದಾಗ ವಜ್ರದ ಆಕಾರಕ್ಕೆ ಕತ್ತರಿಸಿ. ಚಹಾ. ಐಚ್ಛಿಕವಾಗಿ, ಪ್ಲೇಟ್‌ಗೆ ಸಿಹಿಯನ್ನು ಸುರಿದಾಗ ನೀವು ಗಸಗಸೆ ಬೀಜಗಳಿಂದ ಅಲಂಕರಿಸಬಹುದು.
</t>
  </si>
  <si>
    <t>https://www.archanaskitchen.com/karnataka-style-haalbai-recipe</t>
  </si>
  <si>
    <t>Pudina Shavige Recipe - Pudina Semiya Upma Recipe</t>
  </si>
  <si>
    <t>2 ಕಪ್ ಸೇಮಿಯಾ (ವರ್ಮಿಸೆಲ್ಲಿ) - ಅಕ್ಕಿ ವರ್ಮಿಸೆಲ್ಲಿ ಅಥವಾ ಫಾಕ್ಸ್‌ಟೈಲ್ ರಾಗಿ ವರ್ಮಿಸೆಲ್ಲಿ ಕೂಡ ಮಾಡುತ್ತದೆ, 2 ಚಮಚ ಹಸಿ ಕಡಲೆಕಾಯಿ (ಮೂಂಗ್‌ಫಾಲಿ), 1/2 ಟೀಚಮಚ ಸಾಸಿವೆ, 1 ಟೀಚಮಚ ಬಿಳಿ ಉರಡ್ ದಾಲ್ (ಒಡೆಯಿರಿ), 1 ಚಿಗುರು ಕರಿಬೇವಿನ ಎಲೆಗಳು, ಉಪ್ಪು - ರುಚಿಗೆ, 1 ಚಮಚ ತುಪ್ಪ, 1 ಚಮಚ ತುಪ್ಪ - 2 ಲವಂಗ - ರುಚಿಗೆ ಶುಂಠಿ - ಕತ್ತರಿಸಿದ, 1 ಹಸಿರು ಮೆಣಸಿನಕಾಯಿ - ಸೀಳು, 1 ಚಮಚ ಜೀರಿಗೆ (ಜೀರಾ), 1/2 ಕಪ್ ಪುದೀನಾ (ಪುದೀನಾ), 1/4 ಕಪ್ ಕೊತ್ತಂಬರಿ (ಧನಿಯಾ) ಎಲೆಗಳು, ಉಪ್ಪು - ರುಚಿಗೆ</t>
  </si>
  <si>
    <t>2 cups Semiya (Vermicelli) - rice vermicelli or foxtail millet vermicelli will also do,2 tablespoons Raw Peanuts (Moongphali),1/2 teaspoon Mustard seeds,1 teaspoon White Urad Dal (Split),1 sprig Curry leaves,Salt - to taste,1 tablespoon Ghee - for flavour,1 Onion - chopped,2 cloves Garlic,1 inch Ginger - chopped,1 Green Chilli - slit,1 teaspoon Cumin seeds (Jeera),1/2 cup Mint Leaves (Pudina),1/4 cup Coriander (Dhania) Leaves,Salt - to taste</t>
  </si>
  <si>
    <t xml:space="preserve">To begin making the Karnataka Style Pudina Shavige Recipe prep all the ingredients and keep it aside.Heat oil in a saucepan over medium heat, add cumin seeds and allow it to crackle for few seconds. Add ginger garlic and saute till it softens. Add onions and saute till the onions turn translucent.Finally add mint leaves, coriander leaves and green chilli and saute till the leaves wilt and turn off the heat.Grind the pudina mixture into a coarse paste by adding very little water. Finally to make the pudina Pudina Shavige, heat oil in a pan over medium heat. Add the mustard seeds and urad dal and allow it to crackle and the dal to turn golden and crisp. Add the peanuts and roast on low heat until crisp and golden.Stir in the curry leaves, the semiya (vermicelli), salt to taste, pudina paste and 1-1/2 cups of water. Cover the pan and cook the Pudina Shavige until all the water is absorbed and the semiya is cooked completely.Ensure you give the Pudina Shavige a stir half way through. Once the Pudina Shavige is cooked completely, add the ghee and give it a stir.Transfer the Pudina Shavige to a serving bowl and serve hot for breakfast.Serve the Pudina Shavige Recipe along with coconut chutney, raita and fruit bowl to relish your morning breakfast. 
</t>
  </si>
  <si>
    <t xml:space="preserve">ಕರ್ನಾಟಕ ಸ್ಟೈಲ್ ಪುದಿನಾ ಶ್ಯಾವಿಗೆ ರೆಸಿಪಿಯನ್ನು ತಯಾರಿಸಲು ಪ್ರಾರಂಭಿಸಲು ಎಲ್ಲಾ ಪದಾರ್ಥಗಳನ್ನು ತಯಾರಿಸಿ ಮತ್ತು ಅದನ್ನು ಪಕ್ಕಕ್ಕೆ ಇರಿಸಿ. ಮಧ್ಯಮ ಉರಿಯಲ್ಲಿ ಲೋಹದ ಬೋಗುಣಿಗೆ ಎಣ್ಣೆಯನ್ನು ಬಿಸಿ ಮಾಡಿ, ಜೀರಿಗೆ ಸೇರಿಸಿ ಮತ್ತು ಕೆಲವು ಸೆಕೆಂಡುಗಳ ಕಾಲ ಅದನ್ನು ಸಿಡಿಸಲು ಬಿಡಿ. ಶುಂಠಿ ಬೆಳ್ಳುಳ್ಳಿ ಸೇರಿಸಿ ಮತ್ತು ಅದು ಮೃದುವಾಗುವವರೆಗೆ ಹುರಿಯಿರಿ. ಈರುಳ್ಳಿಯನ್ನು ಸೇರಿಸಿ ಮತ್ತು ಈರುಳ್ಳಿ ಅರೆಪಾರದರ್ಶಕವಾಗುವವರೆಗೆ ಹುರಿಯಿರಿ. ಅಂತಿಮವಾಗಿ ಪುದೀನ ಎಲೆಗಳು, ಕೊತ್ತಂಬರಿ ಸೊಪ್ಪು ಮತ್ತು ಹಸಿರು ಮೆಣಸಿನಕಾಯಿಯನ್ನು ಸೇರಿಸಿ ಮತ್ತು ಎಲೆಗಳು ಬಾಡುವವರೆಗೆ ಹುರಿಯಿರಿ ಮತ್ತು ಶಾಖವನ್ನು ಆಫ್ ಮಾಡಿ.ಪುಡಿನಾ ಮಿಶ್ರಣವನ್ನು ಸ್ವಲ್ಪ ನೀರು ಸೇರಿಸಿ ಒರಟಾದ ಪೇಸ್ಟ್ ಆಗಿ ರುಬ್ಬಿಕೊಳ್ಳಿ. ಅಂತಿಮವಾಗಿ ಪುದಿನಾ ಪುದಿನ ಶ್ಯಾವಿಗೆ ಮಾಡಲು, ಮಧ್ಯಮ ಉರಿಯಲ್ಲಿ ಬಾಣಲೆಯಲ್ಲಿ ಎಣ್ಣೆಯನ್ನು ಬಿಸಿ ಮಾಡಿ. ಸಾಸಿವೆ ಕಾಳು ಮತ್ತು ಉದ್ದಿನಬೇಳೆಯನ್ನು ಸೇರಿಸಿ ಮತ್ತು ಅದನ್ನು ಕ್ರ್ಯಾಕಲ್ ಮಾಡಲು ಅವಕಾಶ ಮಾಡಿಕೊಡಿ ಮತ್ತು ದಾಲ್ ಗೋಲ್ಡನ್ ಮತ್ತು ಗರಿಗರಿಯಾಗುವಂತೆ ಮಾಡಿ. ಕಡಲೆಕಾಯಿಯನ್ನು ಸೇರಿಸಿ ಮತ್ತು ಗರಿಗರಿಯಾದ ಮತ್ತು ಗೋಲ್ಡನ್ ಆಗುವವರೆಗೆ ಕಡಿಮೆ ಉರಿಯಲ್ಲಿ ಹುರಿಯಿರಿ. ಕರಿಬೇವಿನ ಎಲೆಗಳು, ಸೇಮಿಯಾ (ವರ್ಮಿಸೆಲ್ಲಿ), ರುಚಿಗೆ ಉಪ್ಪು, ಪುದೀನಾ ಪೇಸ್ಟ್ ಮತ್ತು 1-1/2 ಕಪ್ ನೀರು ಬೆರೆಸಿ. ಪ್ಯಾನ್ ಅನ್ನು ಮುಚ್ಚಿ ಮತ್ತು ಎಲ್ಲಾ ನೀರು ಹೀರಿಕೊಳ್ಳುವವರೆಗೆ ಮತ್ತು ಸೇಮಿಯಾವನ್ನು ಸಂಪೂರ್ಣವಾಗಿ ಬೇಯಿಸುವವರೆಗೆ ಪುದಿನ ಶ್ಯಾವಿಗೆ ಬೇಯಿಸಿ. ನೀವು ಪುದಿನಾ ಶ್ಯಾವಿಗೆಯನ್ನು ಅರ್ಧದಾರಿಯಲ್ಲೇ ಬೆರೆಸಿ ಕೊಡುವುದನ್ನು ಖಚಿತಪಡಿಸಿಕೊಳ್ಳಿ. ಪುದಿನ ಶ್ಯಾವಿಗೆ ಸಂಪೂರ್ಣವಾಗಿ ಬೇಯಿಸಿದ ನಂತರ, ತುಪ್ಪವನ್ನು ಸೇರಿಸಿ ಮತ್ತು ಬೆರೆಸಿ. 
</t>
  </si>
  <si>
    <t>https://www.archanaskitchen.com/karnataka-style-pudina-shavige-recipe-mint-vermicelli-recipe</t>
  </si>
  <si>
    <t>Palak Tambuli</t>
  </si>
  <si>
    <t>ಪಾಲಕ ತಂಬೂಲಿ ರೆಸಿಪಿ - ಪಾಲಕ್ ತಂಬುಲಿ (ಹಿಂದಿಯಲ್ಲಿ ಪಾಕವಿಧಾನ)</t>
  </si>
  <si>
    <t>15 ಪಾಲಕ,1 ಛೋಟಾ ಚಮಚ್ಚ ಜೀರಾ,3 ಪುರಿ ಕಾಲಿ ಮಿರ್ಚ,2 ಹರಿ ಮಿರ್ಚ,1/4 ಕಪ್ ನಾರಿಯಲ್, 1ಕಸ ಖಟ್ಟಾ ಯಾ ಛಾಸ್,1 ಛೋಟಾ ಚಮಚ್ಚ ಘಿ,ನಮಕ - ಸ್ವಾದ ಅನುಸಾರ,1 ಛೋಟಾ ಚಮೋಚ್ಚ,1 ಚಮಚ್ಚ ರೈ,1/2 ಛೋಟಾ ಚಮಚ್ಚ ಜೀರಾ,ಕಢಿ ಪತ್ತಾ - ಥೋಡೊ,1 ಸುಖಿ ಲಾಲ್ ಕೆ - ಮಿ. ದಾಲೆ</t>
  </si>
  <si>
    <t>15 spinach, 1 teaspoon cumin seeds, 3 whole black pepper, 2 green chillies, 1/4 cup coconut - grated, 1 cup yogurt - sour or chas, 1 teaspoon ghee, salt - as per taste, 1 teaspoon ghee, 1 1/2 teaspoon mustard, 1/2 teaspoon cumin seeds, curry leaves - little, 1 dry red chili</t>
  </si>
  <si>
    <t>"To make Palak Tambuli, first wash and chop the spinach. Heat some ghee in a pan and add cumin seeds, black pepper and green chillies. Cook for 1 minute. Switch off the gas and keep aside to cool. Grind the powdered masala, coconut, salt and some water in a mixer grinder. Transfer the mixture to a bowl. Add buttermilk/curd and mix well. Do not keep the mixture too thick, dilute it a little. Heat ghee in a tadka pan. Add mustard seeds, cumin seeds and curry leaves. Cook for 20 seconds and pour it into the Tambuli. Serve hot. Serve Palak Tambuli with Rice and Chow Chow Thoran for lunch."</t>
  </si>
  <si>
    <t xml:space="preserve">ಪಾಲಕ ತಂಬೂಲಿ ಬನಾನೆಗೆ ಸಬಸೆ ಪಹಲೆ ಪಾಲಕ ಕೋ ಧೋ ಕರ್ ಕಾಟ್ ಲೆ. ಈಗ ಒಂದು ಕಥೆ 1 ನಿಮಿಷದವರೆಗೆ. ಗೈಸ್ ಬಂದ ಕರೆಂ ಮತ್ತು ಥಂಡಾ ಹೋನೆಗೆ ಅಲಗ್ ಸೆ ರಖ ಲೆ. ಅಬ್ ಒಂದು ಮಿಕ್ಸರ್ ಗ್ರೈಂಡರ್‌ನಲ್ಲಿ ಪಿಸಾ ಹುವಾ ಮಸಾಲಾ, ನಾರಿಯಲ್, ನಮಕ್ ಮತ್ತು ಥೋಡ ಪಾನಿ ಡೀಸಲ್. ಈ ಮಿಶ್ರಣ ಕೋ ಒಂದು ಬೌಲ್ ಮೆಂ ನಿಕಾಲ್ ಲೆ. ಅಬ್ ಇಸಮೆನ್ ಛಾಚ್/ದಹಿ ದಾಲೆ ಮತ್ತು ಅಚ್ಛಿ ತರಹ ಸೆ ಮಿಲಾ ಲೆ. ಜ್ಯಾದಾ ಗಾಢಾ ನ ರಖೆ, ಇಸಕೋ ಥೋಡಾ ಪಾತಲಾ ಕರ ದೇ. ಅಬ್ ಎಕ್ ತಡಕಾ ಪೈನ್ ಮೆಂ ಘಿ ಗರಂ ಕರೆಂ. ಇದೇ ರೈ, ಜೀರಾ ಮತ್ತು ಕಢೀ ಪತ್ತಾ ದಾಲೆ. 20 ಸೆಕಂಡ್‌ಗಳು ಗರಮಾ ಗರಂ ಪರೋಸೆ. ಪಾಲಕ ತಂಬೂಲಿ ಕೋ ಚಾವಲ್ ಮತ್ತು ಚಾವ ಚೌ ತೋರಣ ಕೆ ಸಾಥ್ ದಿನವನ್ನು ಉಲ್ಲೇಖಿಸಿ.
</t>
  </si>
  <si>
    <t>http://www.archanaskitchen.com/palak-tambuli-recipe-udupi-style-spinach-tambli-in-hindi</t>
  </si>
  <si>
    <t xml:space="preserve">Karnataka Style Moolangi Chutney </t>
  </si>
  <si>
    <t>ಕರ್ನಾಟಕ ಸ್ಟೈಲ್ ಮೂಲಂಗಿ ಚಟನಿ ರೆಸಿಪಿ - ಕರ್ನಾಟಕ ಸ್ಟೈಲ್ ಮೂಲಂಗಿ ಚಟ್ನಿ (ಹಿಂದಿಯಲ್ಲಿ ಪಾಕವಿಧಾನ)</t>
  </si>
  <si>
    <t>1 ಕಪ್ ಮೂಲಿ - ಕಸ್ ಲೇ,1 ಪ್ಯಾಜ್ - ಪಾತಾಳ ಕಾಟ್ ಲೆ,2 ಛೋಟೆ ಚಮಚ್ಚ ಸಫ಼ೆದ ಉರದ ದಾಳ, 1 ಚಮಚ್ಚ ಚನ ದಾಲ್,4 ಸುಖಿ ಲಾಲ್ ಮಿರ್ಚ್,ಹಲ್ದಿ ಪೌಡರ್ - ಚುಟಕಿ ಭರ್,ಹಿಂಗ - ಭಕ,1 8 ಇಮಲಿ,ನಮಕ - ಸ್ವಾದ ಅನುಸಾರ್,1 ಛೋಟಾ ಚಮಚ್ಚ ತೇಲ್,1/2 ಛೋಟಾ ಚಮಚ್ಚ ರೈ,10 ಕಟ್,10 ಛೋಟಾ ಚಮಚ್ಚ ತೇಲ್</t>
  </si>
  <si>
    <t>1 cup radish - grated, 1 onion - finely chopped, 2 teaspoons white urad dal, 1 teaspoon chana dal, 4 dry red chillies, turmeric powder - a pinch, asafetida - a pinch, 18 grams tamarind, salt - taste According, 1 teaspoon oil, 1/2 teaspoon mustard, 10 curry leaves, 1 teaspoon oil</t>
  </si>
  <si>
    <t>"To make Karnataka Style Moolangi Chutney, first grate the radish and chop the onion thinly. Now heat oil in a pan. Add urad dal, chana dal, asafoetida and dried red chillies. Cook till the dal turns golden. Turn off the gas and let it cool. Take it out separately. Now add radish and onion to it. After 30 seconds, add salt and cook till the radish and onion are cooked. Turn off the gas and take it out separately. Let it cool. Now in a mixer grinder, add the above roasted masala, radish and onion mixture, tamarind and salt. Grind this mixture well. Now for the tempering, heat some oil in a tempering pan. Add mustard seeds and let it cook for 10 seconds. Now add curry leaves and after 20 seconds add them to the chutney and mix. Serve. Have Karnataka Style Moolangi Chutney with Idli or Ghee Roast Dosa for breakfast Serve it.</t>
  </si>
  <si>
    <t xml:space="preserve">ಕರ್ನಾಟಕ ಸ್ಟೈಲ್ ಮೂಲಂಗಿ ಚಟನಿ ಬನನೆಗಳು ಕಾಟ್ ಲೆ. ಅಬ್ ಒಂದು ಕಥೆಯಲ್ಲಿ ತೇಲ್ ಗರಂ ಕರೆಂ. ಅದೇ ರೀತಿ ಉರದ ದಾಲ್, ಚನಾ ದಾಲ್, ಹೀಂಗ್ ಮತ್ತು ಸುಖಿ ಲಾಲ್ ಮಿರ್ಚ್ ಡಾಲೆ. ದಾಳ ಕೆ ಸುನಹರ ಹೋನೆ ತಕ ಪಕಾಯೇ. ಗೈಸ್ ಬಂದ ಕರೆಂ ಮತ್ತು ದಂಡ ಹೋನೆ ದೆ. ಅಲಗ್ ಸೆ ನಿಕಾಲ್ ಲೆ.ಅಬ್ ಇಸಮೆನ್ ಮೂಲಿ ಮತ್ತು ಪ್ಯಾಜ್ ಡಾಲೆ. 30 ಸೆಕಂಡ್ಸ್ ಬಾದ ನಮಕ್ ದಾಲೆ ಮತ್ತು ಮೂಲಿ ಮತ್ತು ಪ್ಯಾಜ್ ಗೆ ಪಕನೇ ತಕ ಪಕಾಯೇ. ಗೈಸ್ ಬಂದ ಕರೆಗಳು ಮತ್ತು ಇನ್ನೂ ಅಲ್ಲ ಅಲಗ್ ಸೆ ನಿಕಾಲ್ ಲೆ. ಠಂಡ ಹೋನೆ ದೆ. AB ಒಂದು ಮಿಕ್ಸರ್ ಗ್ರೈಂಡರ್‌ನಲ್ಲಿ ಊಪರ್ ಸೆಕಾ ಹುಯಾ ಮಸಾಲಾ, ಮೂಲಿ ಮತ್ತು ಪ್ಯಾಜ್ ಕಾ ಮಿಶ್ರನ್, ದಾಲೆ. ಈ ಮಿಶ್ರಣ ಕೊ ಅಚ್ಛಿ ತರಹ ಸೆ ಪೀಸ್ ಲೆ. ಅಬ್ ತಡಕೆ ಒಂದು ತಡಕಾ ಪೈನ್ ಮೆನ್ ಥೋಡಾ ತೇಲ್ ತೇಲ್ ಗರಂ ಕರೆಂ. ಅದೇ ರೀತಿ ರೈ ದಾಲೆ ಮತ್ತು 10 ಸೆಕಂಡ್ಸ್ ತಕ ಪಕನೆ ದೆ. ಅಬ್ ಇಸ್ಮೆಂ ಕಢೀ ಪತ್ತಾ ಡೇಲ್ ಮತ್ತು 20 ಸೆಕಂಡ್ಸ್ ಬ್ಯಾಡ್ ಚಟನಿ ಮೆಂ ಡಾಲಕರ್ ಮಿಲಾ ಲೆ. ಪರೋಸ್.  ಕರ್ನಾಟಕ ಸ್ಟೈಲ್ ಮೂಲಂಗಿ ಚಟನಿ ಕೋ ಇಡಲಿ ಯಾ ಘಿ ರೋಸ್ಟ್ ಡೋಸಾಗೆ ಸಂಬಂಧಿಸಿದ ವಿಷಯಗಳು ಪರೋಸ್.
</t>
  </si>
  <si>
    <t>http://www.archanaskitchen.com/karnataka-style-moolangi-chutney-recipe-radish-thogayal-in-hindi</t>
  </si>
  <si>
    <t>Hesarukaalu Upittu Recipe - Moong Dal Upma</t>
  </si>
  <si>
    <t>ಹೆಸರುಕಾಳು ಉಪ್ಪಿಟ್ಟು ರೆಸಿಪಿ - ಮೂಂಗ್ ದಾಲ್ ಉಪ್ಮಾ</t>
  </si>
  <si>
    <t>1 ಕಪ್ ಹಳದಿ ಮೂಂಗ್ ದಾಲ್ (ಒಡೆದ) - ಕನಿಷ್ಠ 4 ಗಂಟೆಗಳ ಕಾಲ ನೆನೆಸಿ, 2 ಈರುಳ್ಳಿ - ಸಣ್ಣದಾಗಿ ಕೊಚ್ಚಿದ, 10 ಹಸಿರು ಮೆಣಸಿನಕಾಯಿಗಳು - (ಹೊಂದಾಣಿಕೆ), 1/4 ಟೀಚಮಚ ಇಂಗು (ಹಿಂಗ್), 2 ಟೇಬಲ್ಸ್ಪೂನ್ ಕೊತ್ತಂಬರಿ (ಧನಿಯಾ) ಎಲೆಗಳು - ಕತ್ತರಿಸಿದ, 1/3 ಕಪ್ ಹಸಿರು ಬಟಾಣಿ (ಮಟರ್) - ಬೇಯಿಸಿದ, 3 ಒಣ ಮೆಣಸಿನಕಾಯಿಗಳು, 2 ಟೀಚಮಚ (ಒಡೆದು), 1 ಚಮಚ ಚನಾ ದಾಲ್ (ಬಂಗಾಳ ಬೇಳೆ), 1/2 ಅರಿಶಿನ ಪುಡಿ (ಹಲ್ದಿ), 50 ಗ್ರಾಂ ಗೋಡಂಬಿ, 1-1/2 ಟೀ ಚಮಚ ಎನೋಸ್ ಹಣ್ಣಿನ ಉಪ್ಪು, 1 ನಿಂಬೆ - ಹೊಸದಾಗಿ ಹಿಂಡಿದ, 1 ಇಂಚು ಶುಂಠಿ - ಕತ್ತರಿಸಿದ, ಸೂರ್ಯಕಾಂತಿ ಎಣ್ಣೆ - ಅಗತ್ಯಕ್ಕೆ, ಉಪ್ಪು - ತಾಜಾ ರುಚಿಗೆ - 2 ಚಮಚ</t>
  </si>
  <si>
    <t>1 cup Yellow Moong Dal (Split) - soaked for minimum 4 hours,2 Onions - finely chopped,10 Green Chillies - (adjust),1/4 teaspoon Asafoetida (hing),2 tablespoons Coriander (Dhania) Leaves - chopped,1/3 cup Green peas (Matar) - boiled,3 Dry Red Chillies,1 teaspoon Mustard seeds,2 teaspoons White Urad Dal (Split),1 tablespoon Chana dal (Bengal Gram Dal),1/2 Turmeric powder (Haldi),50 grams Cashew nuts,1-1/2 teaspoons Enos fruit salt,1 Lemon - freshly squeezed,1 inch Ginger - chopped,Sunflower Oil - as needed,Salt - to taste,2 tablespoons Fresh coconut - grated</t>
  </si>
  <si>
    <t xml:space="preserve">To begin making the Hesarukaalu upittu Recipe,soak the moong dal for at least 4 hours.  We need to get the moong dal mixture ready and preheat the steamer.Preheat the Steamer/Idli steamer by  bringing the water to a boil. Grease the idli plates.In a mixer grinder, combine the soaked and drained moong dal, hing, green chillies, juice of half lemon, 1 tablespoon oil, salt, 3/4 cup of water and blend to a smooth paste.Into a mixing bowl, add eno in 2 tablespoons of water and gently incorporate the ground moong dal without overworking. Ladle this moong dal batter into the idli plate and steam this for 20 minutes. It should be done in 20 minutes on medium high flame.Turn off the flame. Remove the idli plates from the steamer and let this cool completely.Once cooled completely, crumble the steamed moong dal cakes in a mixing bowl with your fingers and set aside.In a large pan, heat some oil on medium flame, add mustard seeds to let it splutterNow lower the heat and add urad dal, chana dal, hing, and cashews and ginger. Keep stirring until they change colour, add curry leaves and add green and red chillies, allowing them to crackle.Next add the onions and a pinch of salt and cook for 3-4 minutes until the onions are well cooked.Add turmeric powder, boiled peas and stir. finally add in the  crumbled steamed moong dal cakes and mix everything gently.Add the juice from 1/2 a lemon and adjust salt. Combine and cook for maximum 2-3 minutes only, covered on low heat, until everything comes together. Top Hesarukaalu upittu Recipe (Moong Dal Upma) with coriander, freshly grated coconut. Serve Hesarukaalu upittu Recipe along with Chammanthi Chutney Recipe and South Indian Filter Coffee Recipe for a complete South Indian breakfast.
</t>
  </si>
  <si>
    <t xml:space="preserve">ಹೆಸರುಕಾಳು ಉಪ್ಪಿಟ್ಟು ರೆಸಿಪಿಯನ್ನು ತಯಾರಿಸಲು ಪ್ರಾರಂಭಿಸಲು, ಬೆಂಡೆಕಾಯಿಯನ್ನು ಕನಿಷ್ಠ 4 ಗಂಟೆಗಳ ಕಾಲ ನೆನೆಸಿಡಿ.  ನಾವು ಮೂಂಗ್ ದಾಲ್ ಮಿಶ್ರಣವನ್ನು ಸಿದ್ಧಪಡಿಸಬೇಕು ಮತ್ತು ಸ್ಟೀಮರ್ ಅನ್ನು ಪೂರ್ವಭಾವಿಯಾಗಿ ಕಾಯಿಸಬೇಕು.ನೀರನ್ನು ಕುದಿಸುವ ಮೂಲಕ ಸ್ಟೀಮರ್/ಇಡ್ಲಿ ಸ್ಟೀಮರ್ ಅನ್ನು ಪೂರ್ವಭಾವಿಯಾಗಿ ಕಾಯಿಸಿ. ಇಡ್ಲಿ ಪ್ಲೇಟ್‌ಗಳನ್ನು ಗ್ರೀಸ್ ಮಾಡಿ. ಮಿಕ್ಸರ್ ಗ್ರೈಂಡರ್‌ನಲ್ಲಿ, ನೆನೆಸಿದ ಮತ್ತು ಒಣಗಿಸಿದ ಮೂಂಗ್ ಬೇಲ್, ಹಿಂಗ್, ಹಸಿರು ಮೆಣಸಿನಕಾಯಿಗಳು, ಅರ್ಧ ನಿಂಬೆ ರಸ, 1 ಚಮಚ ಎಣ್ಣೆ, ಉಪ್ಪು, 3/4 ಕಪ್ ನೀರು ಮತ್ತು ನಯವಾದ ಪೇಸ್ಟ್‌ಗೆ ಮಿಶ್ರಣ ಮಾಡಿ. ಮಿಕ್ಸಿಂಗ್ ಬೌಲ್‌ಗೆ 2 ಟೇಬಲ್ಸ್ಪೂನ್ ನೀರಿನಲ್ಲಿ ಎನೋ ಸೇರಿಸಿ ಮತ್ತು ನೆಲದ ಮೂಂಗ್ ಅನ್ನು ನಿಧಾನವಾಗಿ ಸೇರಿಸಿ. ಈ ಮೂಂಗ್ ದಾಲ್ ಹಿಟ್ಟನ್ನು ಇಡ್ಲಿ ಪ್ಲೇಟ್‌ಗೆ ಹಾಕಿ ಮತ್ತು ಇದನ್ನು 20 ನಿಮಿಷಗಳ ಕಾಲ ಸ್ಟೀಮ್ ಮಾಡಿ. ಇದನ್ನು ಮಧ್ಯಮ ಉರಿಯಲ್ಲಿ 20 ನಿಮಿಷಗಳಲ್ಲಿ ಮಾಡಬೇಕು.ಜ್ವಾಲೆಯನ್ನು ಆಫ್ ಮಾಡಿ. ಸ್ಟೀಮರ್‌ನಿಂದ ಇಡ್ಲಿ ಪ್ಲೇಟ್‌ಗಳನ್ನು ತೆಗೆದುಹಾಕಿ ಮತ್ತು ಇದನ್ನು ಸಂಪೂರ್ಣವಾಗಿ ತಣ್ಣಗಾಗಲು ಬಿಡಿ. ಸಂಪೂರ್ಣವಾಗಿ ತಣ್ಣಗಾದ ನಂತರ, ನಿಮ್ಮ ಬೆರಳುಗಳಿಂದ ಮಿಶ್ರಣದ ಬಟ್ಟಲಿನಲ್ಲಿ ಬೇಯಿಸಿದ ಮೂಂಗ್ ದಾಲ್ ಕೇಕ್ ಅನ್ನು ಪುಡಿಮಾಡಿ ಮತ್ತು ಪಕ್ಕಕ್ಕೆ ಇರಿಸಿ. ದೊಡ್ಡ ಪ್ಯಾನ್‌ನಲ್ಲಿ, ಮಧ್ಯಮ ಉರಿಯಲ್ಲಿ ಸ್ವಲ್ಪ ಎಣ್ಣೆಯನ್ನು ಬಿಸಿ ಮಾಡಿ, ಸಾಸಿವೆ ಕಾಳುಗಳನ್ನು ಸೇರಿಸಿ, ಈಗ ಉರಿಯನ್ನು ಕಡಿಮೆ ಮಾಡಿ ಮತ್ತು ಉದ್ದಿನಬೇಳೆ, ಕಡಲೆ ಮತ್ತು ಗೋಡಂಬಿ ಸೇರಿಸಿ. ಬಣ್ಣ ಬದಲಾಗುವವರೆಗೆ ಬೆರೆಸಿ, ಕರಿಬೇವಿನ ಎಲೆಗಳನ್ನು ಸೇರಿಸಿ ಮತ್ತು ಹಸಿರು ಮತ್ತು ಕೆಂಪು ಮೆಣಸಿನಕಾಯಿಗಳನ್ನು ಸೇರಿಸಿ, ಅವುಗಳನ್ನು ಬಿರುಕು ಬಿಡಲು ಅವಕಾಶ ಮಾಡಿಕೊಡಿ. ನಂತರ ಈರುಳ್ಳಿ ಮತ್ತು ಚಿಟಿಕೆ ಉಪ್ಪು ಸೇರಿಸಿ ಮತ್ತು ಈರುಳ್ಳಿ ಚೆನ್ನಾಗಿ ಬೇಯುವವರೆಗೆ 3-4 ನಿಮಿಷ ಬೇಯಿಸಿ. ಅರಿಶಿನ ಪುಡಿ, ಬೇಯಿಸಿದ ಬಟಾಣಿ ಸೇರಿಸಿ ಮತ್ತು ಬೆರೆಸಿ. ಅಂತಿಮವಾಗಿ ಪುಡಿಮಾಡಿದ ಆವಿಯಲ್ಲಿ ಬೇಯಿಸಿದ ಮೂಂಗ್ ದಾಲ್ ಕೇಕ್‌ಗಳನ್ನು ಸೇರಿಸಿ ಮತ್ತು ಎಲ್ಲವನ್ನೂ ನಿಧಾನವಾಗಿ ಮಿಶ್ರಣ ಮಾಡಿ. 1/2 ನಿಂಬೆ ರಸವನ್ನು ಸೇರಿಸಿ ಮತ್ತು ಉಪ್ಪನ್ನು ಹೊಂದಿಸಿ. ಒಗ್ಗೂಡಿ ಮತ್ತು ಗರಿಷ್ಠ 2-3 ನಿಮಿಷ ಬೇಯಿಸಿ, ಕಡಿಮೆ ಶಾಖದಲ್ಲಿ ಮುಚ್ಚಿ, ಎಲ್ಲವೂ ಒಟ್ಟಿಗೆ ಬರುವವರೆಗೆ. ಹೆಸರುಕಾಳು ಉಪ್ಪಿಟ್ಟು ರೆಸಿಪಿ (ಮೂಂಗ್ ದಾಲ್ ಉಪ್ಮಾ) ಜೊತೆಗೆ ಕೊತ್ತಂಬರಿ ಸೊಪ್ಪು, ಹೊಸದಾಗಿ ತುರಿದ ತೆಂಗಿನಕಾಯಿ. ಸಂಪೂರ್ಣ ದಕ್ಷಿಣ ಭಾರತದ ಉಪಹಾರಕ್ಕಾಗಿ ಹೆಸರುಕಾಳು ಉಪ್ಪಿಟ್ಟು ರೆಸಿಪಿಯನ್ನು ಚಮ್ಮಂತಿ ಚಟ್ನಿ ರೆಸಿಪಿ ಮತ್ತು ದಕ್ಷಿಣ ಭಾರತೀಯ ಫಿಲ್ಟರ್ ಕಾಫಿ ರೆಸಿಪಿ ಯೊಂದಿಗೆ ಬಡಿಸಿ.
</t>
  </si>
  <si>
    <t>https://www.archanaskitchen.com/hesarukaalu-upittu-recipe-moong-dal-upma</t>
  </si>
  <si>
    <t>Ragi Halbai Recipe - Karnataka Style Ragi Halwa Recipe</t>
  </si>
  <si>
    <t>Ragi Halbai Recipe - ಕರ್ನಾಟಕ ಶೈಲಿಯ ರಾಗಿ ಹಲ್ವಾ ರೆಸಿಪಿ</t>
  </si>
  <si>
    <t>2 ಕಪ್ ರಾಗಿ ಹಿಟ್ಟು (ಫಿಂಗರ್ ರಾಗಿ / ನಗ್ಲಿ), 1-1/2 ಕಪ್ ತಾಜಾ ತೆಂಗಿನಕಾಯಿ - ತುರಿದ, 2-1/2 ಕಪ್ ಬೆಲ್ಲ - ಸಾವಯವ, 1/4 ಕಪ್ ತುಪ್ಪ - ಹೊಂದಾಣಿಕೆ</t>
  </si>
  <si>
    <t>2 cups Ragi Flour (Finger Millet/ Nagli),1-1/2 cups Fresh coconut - grated,2-1/2 cups Jaggery - Organic,1/4 cup Ghee - adjustable</t>
  </si>
  <si>
    <t xml:space="preserve">To begin making the Ragi Halbai recipe, soak ragi for 6 to 8 hours. Drain the water and then grind it with grated coconut to a fine paste.In a pan add a little water, jaggery and dissolve it until it completely. Boil the mixture for 1 minute on medium flame until you see bubbles.Now add the ragi coconut halbai paste and slowly start stirring, ensuring there are no lumps.You have to do this for a long time on low flame (at least 30 minutes) until the Ragi Halbai thickens and starts leaving the sides of the pan.Now smear ghee on a plate and spread the Ragi Halbai evenly. Allow the Ragi Halbai to cool and then cut into desired shapes.Serve Ragi Halbai Recipe on festivals or as a dessert after your meal of Karnataka Style Sabbasige Rasam, Karnataka Style Kadale Kaalu Saaru and Steamed Rice.
</t>
  </si>
  <si>
    <t xml:space="preserve">ರಾಗಿ ಹಲ್ಬೈ ಪಾಕವಿಧಾನವನ್ನು ತಯಾರಿಸಲು ಪ್ರಾರಂಭಿಸಲು, ರಾಗಿಯನ್ನು 6 ರಿಂದ 8 ಗಂಟೆಗಳ ಕಾಲ ನೆನೆಸಿಡಿ. ನೀರನ್ನು ಹರಿಸುತ್ತವೆ ಮತ್ತು ನಂತರ ಅದನ್ನು ತುರಿದ ತೆಂಗಿನಕಾಯಿಯೊಂದಿಗೆ ಉತ್ತಮವಾದ ಪೇಸ್ಟ್ಗೆ ರುಬ್ಬಿಕೊಳ್ಳಿ. ಒಂದು ಪ್ಯಾನ್ನಲ್ಲಿ ಸ್ವಲ್ಪ ನೀರು, ಬೆಲ್ಲವನ್ನು ಸೇರಿಸಿ ಮತ್ತು ಅದನ್ನು ಸಂಪೂರ್ಣವಾಗಿ ಕರಗಿಸುವವರೆಗೆ ಕರಗಿಸಿ. ನೀವು ಗುಳ್ಳೆಗಳು ಕಾಣಿಸುವವರೆಗೆ ಮಿಶ್ರಣವನ್ನು 1 ನಿಮಿಷ ಮಧ್ಯಮ ಉರಿಯಲ್ಲಿ ಕುದಿಸಿ. ಈಗ ರಾಗಿ ತೆಂಗಿನಕಾಯಿ ಪೇಸ್ಟ್ ಅನ್ನು ಸೇರಿಸಿ ಮತ್ತು ನಿಧಾನವಾಗಿ ಬೆರೆಸಲು ಪ್ರಾರಂಭಿಸಿ, ಯಾವುದೇ ಉಂಡೆಗಳಿಲ್ಲ ಎಂದು ಖಚಿತಪಡಿಸಿಕೊಳ್ಳಿ. ನೀವು ಇದನ್ನು ಕಡಿಮೆ ಜ್ವಾಲೆಯಲ್ಲಿ (ಕನಿಷ್ಠ 30 ನಿಮಿಷಗಳು) ಮಾಡಬೇಕು, ರಾಗಿ ಹಲ್ಬಾಯಿ ದಪ್ಪವಾಗುವವರೆಗೆ ಮತ್ತು ತಟ್ಟೆಯ ಬದಿಗಳನ್ನು ಬಿಡಲು ಪ್ರಾರಂಭಿಸುತ್ತದೆ. ಸಮವಾಗಿ. ರಾಗಿ ಹಲಬಾಯಿಯನ್ನು ತಣ್ಣಗಾಗಲು ಅನುಮತಿಸಿ ಮತ್ತು ನಂತರ ಬೇಕಾದ ಆಕಾರದಲ್ಲಿ ಕತ್ತರಿಸಿ. ಹಬ್ಬಗಳಂದು ಅಥವಾ ನಿಮ್ಮ ಊಟದ ನಂತರ ಕರ್ನಾಟಕ ಶೈಲಿಯ ಸಬ್ಬಸಿಗೆ ರಸಂ, ಕರ್ನಾಟಕ ಶೈಲಿಯ ಕಡಲೆ ಕಾಳು ಸಾರು ಮತ್ತು ಬೇಯಿಸಿದ ಅನ್ನದ ನಂತರ ರಾಗಿ ಹಾಲ್ಬಾಯಿ ಪಾಕವಿಧಾನವನ್ನು ಬಡಿಸಿ.
</t>
  </si>
  <si>
    <t>https://www.archanaskitchen.com/ragi-halbai-recipe</t>
  </si>
  <si>
    <t>Hurali Kalu Chutney Recipe - Horse Gram Chutney Recipe</t>
  </si>
  <si>
    <t>ಹುರಳಿ ಕಾಳು ಚಟ್ನಿ ರೆಸಿಪಿ - ಹಾರ್ಸ್ ಗ್ರಾಂ ಚಟ್ನಿ ರೆಸಿಪಿ</t>
  </si>
  <si>
    <t>1/2 ಕಪ್ ಕುದುರೆ ಬೇಳೆ (ಕೊಳ್ಳು/ ಕುಳಿತ್), 1 ಕಪ್ ಮುತ್ತು ಈರುಳ್ಳಿ (ಸಾಂಬಾರ್ ಈರುಳ್ಳಿ) - ಸಿಪ್ಪೆ ಸುಲಿದ, 2 ಲವಂಗ ಬೆಳ್ಳುಳ್ಳಿ, 2 ಚಿಗುರು ಕರಿಬೇವಿನ ಎಲೆಗಳು, 4 ಒಣ ಕೆಂಪು ಮೆಣಸಿನಕಾಯಿ, 2 ಟೀ ಚಮಚ ಅಜ್ವೈನ್ (ಕೇರಂ ಬೀಜಗಳು), 1/2 ಟೀಚಮಚ ಕೊತ್ತಂಬರಿ (ಧನಿಯಾ) 1 ಚಮಚ ತೆಂಗಿನಕಾಯಿ ಬೀಜಗಳು, 2 ಚಮಚ ತೆಂಗಿನಕಾಯಿ, 1/2 ಚಮಚ ತೆಂಗಿನಕಾಯಿ ಸೂರ್ಯಕಾಂತಿ ಎಣ್ಣೆ, ಉಪ್ಪು - ರುಚಿಗೆ ತಕ್ಕಷ್ಟು, 1 ಚಮಚ ಸೂರ್ಯಕಾಂತಿ ಎಣ್ಣೆ, 2 ಚಿಪ್ಪು ಕರಿಬೇವಿನ ಎಲೆಗಳು, 2 ಒಣ ಕೆಂಪು ಮೆಣಸಿನಕಾಯಿಗಳು - ಸಮನಾಗಿ ಕತ್ತರಿಸಿ, 1 ಟೀಚಮಚ ಬಿಳಿ ಉದ್ದಿನ ಬೇಳೆ (ಒಡೆದ), 1 ಟೀಚಮಚ ಸಾಸಿವೆ ಕಾಳುಗಳು, 1/2 ಟೀಚಮಚ ಇಂಗು (ಹಿಂಗ್)</t>
  </si>
  <si>
    <t>1/2 cup Horse Gram Dal (Kollu/ Kulith),1 cup Pearl onions (Sambar Onions) - peeled,2 cloves Garlic,2 sprig Curry leaves,4 Dry Red Chilli,2 teaspoon Ajwain (Carom seeds),1/2 teaspoon Coriander (Dhania) Seeds,1/2 teaspoon Jaggery,2 tablespoon Fresh coconut,1 tablespoon Tamarind Water,2 teaspoon Sunflower Oil,Salt - to taste,1 tablespoon Sunflower Oil,2 sprig Curry leaves,2 Dry Red Chillies - cut equally,1 teaspoon White Urad Dal (Split),1 teaspoon Mustard seeds,1/2 teaspoon Asafoetida (hing)</t>
  </si>
  <si>
    <t xml:space="preserve">To begin making the Hurali Kalu Chutney Recipe - Horse Gram Chutney Recipe by heating the kadai with little oil. Add in the jeera seeds, curry leaves, dry red chillies and coriander seeds. Let it splutter.Once the seeds have spluttered, slowly add in the pearl onions and garlic and saute till it is translucent. Once that is done you can add the horse gram and saute till it puffs up. Once done turn off the heat and leave it to cool down.Then grind the sautéed ingredients along with jaggery, coconut and tamarind into a smooth paste.For the tadka, heat oil in a small tadka pan and splutter mustard seeds. Add the  urad dal and saute till the urad dal turns golden brown in colour. Once done add the curry leaves, dry red chilies and hing. Saute for a few seconds till curry leaves are crisp. Turn off the heat. Slowly add this on top of the Hurali Kalu Chutney and serve.Serve the Hurali Kalu Chutney Recipe - Horse Gram Chutney Recipe along with Steamed Idli or Dosa to enjoy your breakfast in a healthy way.
</t>
  </si>
  <si>
    <t xml:space="preserve">ಹುರಳಿ ಕಾಳು ಚಟ್ನಿ ರೆಸಿಪಿಯನ್ನು ತಯಾರಿಸಲು ಪ್ರಾರಂಭಿಸಲು - ಸ್ವಲ್ಪ ಎಣ್ಣೆಯಿಂದ ಕಡಾಯಿಯನ್ನು ಬಿಸಿ ಮಾಡುವ ಮೂಲಕ ಕುದುರೆ ಗ್ರಾಮ್ ಚಟ್ನಿ ರೆಸಿಪಿ. ಜೀರಿಗೆ ಬೀಜಗಳು, ಕರಿಬೇವಿನ ಎಲೆಗಳು, ಒಣ ಕೆಂಪು ಮೆಣಸಿನಕಾಯಿಗಳು ಮತ್ತು ಕೊತ್ತಂಬರಿ ಬೀಜಗಳನ್ನು ಸೇರಿಸಿ. ಇದು ಚಿಮುಕಿಸಲಿ. ಬೀಜಗಳು ಚಿಮುಕಿಸಿದ ನಂತರ, ನಿಧಾನವಾಗಿ ಮುತ್ತು ಈರುಳ್ಳಿ ಮತ್ತು ಬೆಳ್ಳುಳ್ಳಿ ಸೇರಿಸಿ ಮತ್ತು ಅದು ಅರೆಪಾರದರ್ಶಕವಾಗುವವರೆಗೆ ಹುರಿಯಿರಿ. ಒಮ್ಮೆ ಅದು ಮುಗಿದ ನಂತರ ನೀವು ಕುದುರೆ ಕಾಳು ಸೇರಿಸಿ ಮತ್ತು ಅದು ಉಬ್ಬುವವರೆಗೆ ಹುರಿಯಬಹುದು. ಒಮ್ಮೆ ಮಾಡಿದ ನಂತರ ಉರಿಯನ್ನು ಆಫ್ ಮಾಡಿ ಮತ್ತು ಅದನ್ನು ತಣ್ಣಗಾಗಲು ಬಿಡಿ. ನಂತರ ಬೆಲ್ಲ, ತೆಂಗಿನಕಾಯಿ ಮತ್ತು ಹುಣಸೆಹಣ್ಣನ್ನು ನಯವಾದ ಪೇಸ್ಟ್ ಆಗಿ ರುಬ್ಬಿದ ಪದಾರ್ಥಗಳನ್ನು ಪುಡಿಮಾಡಿ. ಉದ್ದಿನಬೇಳೆಯನ್ನು ಸೇರಿಸಿ ಮತ್ತು ಉದ್ದಿನಬೇಳೆ ಗೋಲ್ಡನ್ ಬ್ರೌನ್ ಬಣ್ಣಕ್ಕೆ ತಿರುಗುವವರೆಗೆ ಹುರಿಯಿರಿ. ಒಮ್ಮೆ ಮಾಡಿದ ನಂತರ ಕರಿಬೇವಿನ ಎಲೆಗಳು, ಒಣ ಕೆಂಪು ಮೆಣಸಿನಕಾಯಿಗಳು ಮತ್ತು ಹಿಂಗನ್ನು ಸೇರಿಸಿ. ಕರಿಬೇವಿನ ಎಲೆಗಳು ಗರಿಗರಿಯಾಗುವವರೆಗೆ ಕೆಲವು ಸೆಕೆಂಡುಗಳ ಕಾಲ ಹುರಿಯಿರಿ. ಶಾಖವನ್ನು ಆಫ್ ಮಾಡಿ. ಹುರಳಿ ಕಾಳು ಚಟ್ನಿಯ ಮೇಲೆ ನಿಧಾನವಾಗಿ ಇದನ್ನು ಸೇರಿಸಿ ಮತ್ತು ಬಡಿಸಿ. ನಿಮ್ಮ ಉಪಹಾರವನ್ನು ಆರೋಗ್ಯಕರ ರೀತಿಯಲ್ಲಿ ಆನಂದಿಸಲು ಹುರಳಿ ಕಾಳು ಚಟ್ನಿ ರೆಸಿಪಿ - ಹಾರ್ಸ್ ಗ್ರಾಮ್ ಚಟ್ನಿ ರೆಸಿಪಿ ಜೊತೆಗೆ ಸ್ಟೀಮ್ಡ್ ಇಡ್ಲಿ ಅಥವಾ ದೋಸೆಯೊಂದಿಗೆ ಬಡಿಸಿ.
</t>
  </si>
  <si>
    <t>https://www.archanaskitchen.com/hurali-kalu-chutney-recipe-horse-gram-chutney-recipe</t>
  </si>
  <si>
    <t>Karnataka Style Avarekalu Sagu Recipe-Hyacinth Beans/ Mochai Kurma</t>
  </si>
  <si>
    <t>ಕರ್ನಾಟಕ ಶೈಲಿಯ ಅವರೆಕಾಳು ಸಾಗು ರೆಸಿಪಿ-ಹಯಸಿಂತ್ ಬೀನ್ಸ್/ ಮೋಚೈ ಕುರ್ಮಾ</t>
  </si>
  <si>
    <t>2 ಕಪ್ ಅವರೆಕಾಳು / ಲಿಲ್ವಾ ಬೀನ್ಸ್, 1 ಆಲೂಗಡ್ಡೆ (ಆಲೂ) - ತುಂಡುಗಳಾಗಿ ಕತ್ತರಿಸಿ, 1 ಈರುಳ್ಳಿ - ಸಣ್ಣದಾಗಿ ಕೊಚ್ಚಿದ, 1 ಟೊಮ್ಯಾಟೊ - ಸಣ್ಣದಾಗಿ ಕೊಚ್ಚಿದ, 1 ಟೀಚಮಚ ಸಾಸಿವೆ, 1 ಚಿಗುರು ಕರಿಬೇವಿನ ಎಲೆಗಳು, 4 ಕೊತ್ತಂಬರಿ ಸೊಪ್ಪು (ಧನಿಯಾ) ಸನ್ ಎಲೆಗಳು - ನುಣ್ಣಗೆ ಕತ್ತರಿಸಿದ 2 ಚಮಚ, 2 ಚಮಚ ನಿಂಬೆ ರಸ ಎಣ್ಣೆ, ಉಪ್ಪು - ರುಚಿಗೆ ತಕ್ಕಷ್ಟು, 1/2 ಕಪ್ ತಾಜಾ ತೆಂಗಿನಕಾಯಿ, 2 ಚಮಚ ಹುರಿದ ಬೇಳೆ (ಪೊಟ್ಟುಕದಲೈ), 5 ಲವಂಗ ಬೆಳ್ಳುಳ್ಳಿ, 2 ಹಸಿರು ಮೆಣಸಿನಕಾಯಿಗಳು, 2 ಟೀ ಚಮಚ ಗಸಗಸೆ, 1 ಚಮಚ ಕೊತ್ತಂಬರಿ (ಧನಿಯಾ) ಬೀಜಗಳು, 1 ದಾಲ್ಚಿನ್ನಿ (ದಾಲ್ಚಿನಿ), 1 ಏಲಕ್ಕಿ (ಎಲೈಚಿ) ಕಾಳುಗಳು, 2</t>
  </si>
  <si>
    <t>2 cups Avarekalu / Lilva Beans,1 Potato (Aloo) - cut into cubes,1 Onion - finely chopped,1 Tomato - finely chopped,1 teaspoon Mustard seeds,1 sprig Curry leaves,4 sprig Coriander (Dhania) Leaves - finely chopped for garnish,1/2 tablespoon Lemon juice,2 teaspoons Sunflower Oil,Salt - to taste,1/2 cup Fresh coconut,2 tablespoons Roasted Gram Dal (Pottukadalai),5 cloves Garlic,2 Green Chillies,2 teaspoons Poppy seeds,1 tablespoon Coriander (Dhania) Seeds,1 Cinnamon Stick (Dalchini),1 Cardamom (Elaichi) Pods/Seeds,2 Cloves (Laung)</t>
  </si>
  <si>
    <t xml:space="preserve">To begin making Avarekalu Sagu Recipe, wash and pressure cook the hyacinth beans or avare and potato cubes with one cup water, salt for 2 to 3 whistles using a pressure cooker and keep aside. Allow the pressure to release naturally.The next step is to make the sagu masala. Into the mixer grinder, add the Roasted chana dal, garlic, green chillies, poppy seeds, coriander seeds, cinnamon stick, cardamom pods and cloves. Add 1/4 cup of water and blend to make a smooth sagu masala paste.Heat oil in a pan over medium heat, add the mustard seeds and let it splutter. Add the curry leaves and saute for a few seconds. Add the chopped onion and saute until it turns translucent.Add the tomatoes and cook until it turns soft and mushy.Now, add the ground sagu masala paste, saute till the raw smell goes away. This will take about 2 to 3 minutes over medium heat.Add the cooked hyacinth beans/ Avarekalu and potato, season with salt, add 2 cups of water, mix well. Let the Avarekalu Sagu simmer for 10 minutes, so it all comes together as a thick sagu consistency.Turn off the heat, squeeze the juice of half a lemon and garnish with coriander leaves and stir.Give this delicious Avarekalu Sagu Recipe a try and serve it along with hot Malabar Parotta or Puri Recipe - Learn to Make Soft Puffed Puris At Home for breakfast.
</t>
  </si>
  <si>
    <t xml:space="preserve">ಅವರೆಕಾಳು ಸಾಗು ರೆಸಿಪಿಯನ್ನು ತಯಾರಿಸಲು ಪ್ರಾರಂಭಿಸಲು, ಹಯಸಿಂತ್ ಬೀನ್ಸ್ ಅಥವಾ ಅವರೆ ಮತ್ತು ಆಲೂಗೆಡ್ಡೆ ತುಂಡುಗಳನ್ನು ಒಂದು ಕಪ್ ನೀರು, 2 ರಿಂದ 3 ಸೀಟಿಗಳಿಗೆ ಉಪ್ಪು ಹಾಕಿ ಪ್ರೆಶರ್ ಕುಕ್ಕರ್ ಬಳಸಿ ಒತ್ತರಿಸಿ ಮತ್ತು ಪಕ್ಕಕ್ಕೆ ಇರಿಸಿ. ಒತ್ತಡವನ್ನು ನೈಸರ್ಗಿಕವಾಗಿ ಬಿಡುಗಡೆ ಮಾಡಲು ಅನುಮತಿಸಿ. ಮುಂದಿನ ಹಂತವು ಸಾಗು ಮಸಾಲಾವನ್ನು ಮಾಡುವುದು. ಮಿಕ್ಸರ್ ಗ್ರೈಂಡರ್‌ಗೆ, ಹುರಿದ ಚನಾ ದಾಲ್, ಬೆಳ್ಳುಳ್ಳಿ, ಹಸಿರು ಮೆಣಸಿನಕಾಯಿಗಳು, ಗಸಗಸೆ, ಕೊತ್ತಂಬರಿ ಬೀಜಗಳು, ದಾಲ್ಚಿನ್ನಿ ಕಡ್ಡಿ, ಏಲಕ್ಕಿ ಬೀಜಗಳು ಮತ್ತು ಲವಂಗವನ್ನು ಸೇರಿಸಿ. 1/4 ಕಪ್ ನೀರು ಸೇರಿಸಿ ಮತ್ತು ನಯವಾದ ಸಾಗು ಮಸಾಲಾ ಪೇಸ್ಟ್ ಮಾಡಲು ಮಿಶ್ರಣ ಮಾಡಿ. ಮಧ್ಯಮ ಉರಿಯಲ್ಲಿ ಬಾಣಲೆಯಲ್ಲಿ ಎಣ್ಣೆಯನ್ನು ಬಿಸಿ ಮಾಡಿ, ಸಾಸಿವೆ ಹಾಕಿ ಮತ್ತು ಅದನ್ನು ಚೆಲ್ಲಲು ಬಿಡಿ. ಕರಿಬೇವಿನ ಎಲೆಗಳನ್ನು ಸೇರಿಸಿ ಮತ್ತು ಕೆಲವು ಸೆಕೆಂಡುಗಳ ಕಾಲ ಹುರಿಯಿರಿ. ಕತ್ತರಿಸಿದ ಈರುಳ್ಳಿಯನ್ನು ಸೇರಿಸಿ ಮತ್ತು ಅದು ಅರೆಪಾರದರ್ಶಕವಾಗುವವರೆಗೆ ಹುರಿಯಿರಿ. ಟೊಮ್ಯಾಟೊ ಸೇರಿಸಿ ಮತ್ತು ಅದು ಮೃದು ಮತ್ತು ಮೆತ್ತಗಾಗುವವರೆಗೆ ಬೇಯಿಸಿ. ಈಗ, ನೆಲದ ಸಾಗು ಮಸಾಲಾ ಪೇಸ್ಟ್ ಅನ್ನು ಸೇರಿಸಿ, ಹಸಿ ವಾಸನೆ ಹೋಗುವವರೆಗೆ ಹುರಿಯಿರಿ. ಮಧ್ಯಮ ಉರಿಯಲ್ಲಿ ಇದು ಸುಮಾರು 2 ರಿಂದ 3 ನಿಮಿಷಗಳನ್ನು ತೆಗೆದುಕೊಳ್ಳುತ್ತದೆ. ಬೇಯಿಸಿದ ಹಯಸಿಂತ್ ಬೀನ್ಸ್ / ಅವರೆಕಾಳು ಮತ್ತು ಆಲೂಗಡ್ಡೆ ಸೇರಿಸಿ, ಉಪ್ಪು ಸೇರಿಸಿ, 2 ಕಪ್ ನೀರು ಸೇರಿಸಿ, ಚೆನ್ನಾಗಿ ಮಿಶ್ರಣ ಮಾಡಿ. ಅವರೆಕಾಳು ಸಾಗು 10 ನಿಮಿಷಗಳ ಕಾಲ ಕುದಿಯಲು ಬಿಡಿ, ಆದ್ದರಿಂದ ಇದು ದಟ್ಟವಾದ ಸಾಗು ಸ್ಥಿರತೆಯಂತೆ ಬರುತ್ತದೆ. ಉರಿಯನ್ನು ಆಫ್ ಮಾಡಿ, ಅರ್ಧ ನಿಂಬೆಹಣ್ಣಿನ ರಸವನ್ನು ಹಿಂಡಿ ಮತ್ತು ಕೊತ್ತಂಬರಿ ಸೊಪ್ಪಿನಿಂದ ಅಲಂಕರಿಸಿ ಮತ್ತು ಬೆರೆಸಿ. ಈ ರುಚಿಕರವಾದ ಅವರೆಕಾಳು ಸಾಗು ರೆಸಿಪಿಯನ್ನು ಒಮ್ಮೆ ಪ್ರಯತ್ನಿಸಿ ಮತ್ತು ಅದನ್ನು ಬಿಸಿ ಮಲಬಾರ್ ಪರೊಟ್ಟಾದೊಂದಿಗೆ ಬಡಿಸಿ. ಬೆಳಗಿನ ಉಪಾಹಾರಕ್ಕಾಗಿ ಮನೆ.
</t>
  </si>
  <si>
    <t>http://www.archanaskitchen.com/karnataka-style-avarekalu-sagu-recipe-hyacinth-beans-mochai-kurma-recipe</t>
  </si>
  <si>
    <t>Kadle Bele Chutney Pudi Recipe</t>
  </si>
  <si>
    <t>ಕಡ್ಲೆ ಬೇಳೆ ಚಟ್ನಿ ಪುಡಿ ರೆಸಿಪಿ</t>
  </si>
  <si>
    <t>1 ಕಪ್ ಚನಾ ದಾಲ್ (ಬಂಗಾಳ ಬೇಳೆ), 1/2 ಕಪ್ ಬಿಳಿ ಉರಡ್ ದಾಲ್ (ಒಡೆದ), 1/2 ಕಪ್ ಒಣ ತೆಂಗಿನಕಾಯಿ (ಕೊಪ್ಪೆ) - ತುರಿದ ಅಥವಾ ಕತ್ತರಿಸಿದ, 15 ಬ್ಯಾಡಗಿ ಒಣ ಮೆಣಸಿನಕಾಯಿಗಳು, 3 ಚಮಚ ಬೆಲ್ಲ - ಪುಡಿ, 18 ಗ್ರಾಂ ಹುಣಸೆಹಣ್ಣು - (ಸಣ್ಣ ನಿಂಬೆಹಣ್ಣಿನ ಗಾತ್ರ), 1 ಚಮಚ ಇಂಗು (ರುಚಿಗೆ)</t>
  </si>
  <si>
    <t>1 cup Chana dal (Bengal Gram Dal),1/2 cup White Urad Dal (Split),1/2 cup Dry coconut (kopra) - grated or chopped,15 Byadagi Dried Chillies,3 teaspoons Jaggery - powdered,18 grams Tamarind - (small lemon sized),1 teaspoon Asafoetida (hing),Salt - to taste</t>
  </si>
  <si>
    <t xml:space="preserve">To begin making Kadle Bele Chutney Pudi Recipe, dry roast the chana dal in a kadai to a golden hue on medium heat and take it out in a plate.Likewise, dry roast the urad dal, desiccated coconut and red chillies separately and remove it in a plate.In the same pan, add the tamarind and roast until all its dampness evaporates and remove it in a plate.Now, add the chana dal, urad dal, tamarind, red chillies in a mixer grinder and make a course mix of the same.Add in the roasted desiccated coconut, jaggery powder, asafoetida, season with salt and pulse the podi a couple of times in the mixer grinder until all the ingredients are well mixed together.Take it out and store it in an air tight container for further use.Serve the Kadle Bele Chutney Pudi Recipe along with Instant Oats Rava Idli Recipe and Restaurant Style Sambar Recipe for breakfast.
</t>
  </si>
  <si>
    <t xml:space="preserve">ಕಡ್ಲೆ ಬೇಳೆ ಚಟ್ನಿ ಪುಡಿಯನ್ನು ತಯಾರಿಸಲು ಪ್ರಾರಂಭಿಸಲು, ಕಡಾಯಿಯಲ್ಲಿ ಒಣಹುಲ್ಲಿನ ಬೇಳೆಯನ್ನು ಚಿನ್ನದ ಬಣ್ಣಕ್ಕೆ ಮಧ್ಯಮ ಉರಿಯಲ್ಲಿ ಹುರಿದು ತಟ್ಟೆಯಲ್ಲಿ ತೆಗೆದುಕೊಳ್ಳಿ. ಹಾಗೆಯೇ, ಒಣದ್ರಾಕ್ಷಿ, ಒಣ ತೆಂಗಿನಕಾಯಿ ಮತ್ತು ಕೆಂಪು ಮೆಣಸಿನಕಾಯಿಯನ್ನು ಪ್ರತ್ಯೇಕವಾಗಿ ಹುರಿದು ತಟ್ಟೆಯಲ್ಲಿ ತೆಗೆದುಹಾಕಿ. ಕಡ್ಲೆಬೇಳೆ, ಉದ್ದಿನಬೇಳೆ, ಹುಣಸೆಹಣ್ಣು, ಕೆಂಪು ಮೆಣಸಿನಕಾಯಿಗಳನ್ನು ಮಿಕ್ಸರ್ ಗ್ರೈಂಡರ್‌ನಲ್ಲಿ ಹಾಕಿ ಮತ್ತು ಅದೇ ಮಿಶ್ರಣವನ್ನು ಮಾಡಿ. ಹುರಿದ ಒಣ ಕೊಬ್ಬರಿ, ಬೆಲ್ಲದ ಪುಡಿ, ಇಂಗು, ಉಪ್ಪು ಸೇರಿಸಿ ಮತ್ತು ಮಿಕ್ಸರ್ ಗ್ರೈಂಡರ್‌ನಲ್ಲಿ ಒಂದೆರಡು ಬಾರಿ ದ್ವಿದಳ ಧಾನ್ಯಗಳನ್ನು ಸೇರಿಸಿ. ಬೇಳೆ ಚಟ್ನಿ ಪುಡಿ ರೆಸಿಪಿ ಜೊತೆಗೆ ತ್ವರಿತ ಓಟ್ಸ್ ರವಾ ಇಡ್ಲಿ ರೆಸಿಪಿ ಮತ್ತು ರೆಸ್ಟೋರೆಂಟ್ ಸ್ಟೈಲ್ ಸಾಂಬಾರ್ ರೆಸಿಪಿ ಬೆಳಗಿನ ಉಪಾಹಾರಕ್ಕಾಗಿ.
</t>
  </si>
  <si>
    <t>https://www.archanaskitchen.com/kadle-bele-chutney-pudi-recipe</t>
  </si>
  <si>
    <t>Avarekaalu Obbatu Recipe ( Sweet Paratha stuffed with Field Beans Recipe)</t>
  </si>
  <si>
    <t>ಅವರೆಕಾಳು ಒಬ್ಬಟ್ಟು ರೆಸಿಪಿ ( ಫೀಲ್ಡ್ ಬೀನ್ಸ್ ರೆಸಿಪಿಯೊಂದಿಗೆ ತುಂಬಿದ ಸಿಹಿ ಪರಾಠ)</t>
  </si>
  <si>
    <t>2 ಕಪ್ ಗೋಧಿ ಹಿಟ್ಟು, 2 ಚಮಚ ಸೂಜಿ (ರವೆ/ ರವೆ), 2 ಚಮಚ ಹಂಗ್ ಮೊಸರು (ಗ್ರೀಕ್ ಮೊಸರು), 1/2 ಟೀಚಮಚ ಅರಿಶಿನ ಪುಡಿ (ಹಲ್ದಿ) - ಅಥವಾ ಕೇಸರಿ ಹಾಲಿನೊಂದಿಗೆ, 2 ಚಮಚ ಸೂರ್ಯಕಾಂತಿ ಎಣ್ಣೆ, ತುಪ್ಪ - ಸೇವೆಗಾಗಿ, 1/2 ಕಪ್ ಅವರೆಕಾಳು ಮತ್ತು ತೆಗೆದ ಚರ್ಮ / 1 ಕಪ್ ಅವರೆಕಾಳು / ಲೀ. (ಬಂಗಾಳ ಬೇಳೆ), 1 ಕಪ್ ಬೆಲ್ಲ, 1/2 ಕಪ್ ತಾಜಾ ತೆಂಗಿನಕಾಯಿ - ತುರಿದ, 1 ಟೀಚಮಚ ಏಲಕ್ಕಿ ಪುಡಿ (ಎಲೈಚಿ)</t>
  </si>
  <si>
    <t>2 cups Whole Wheat Flour,2 tablespoon Sooji (Semolina/ Rava),2 tablespoon Hung Curd (Greek Yogurt),1/2 teaspoon Turmeric powder (Haldi) - or saffron mixed with milk,2 tablespoons Sunflower Oil,Ghee - for serving,1/2 cup Avarekalu / Lilva Beans - soaked and skin removed,1/2 cup Chana dal (Bengal Gram Dal),1 cup Jaggery,1/2 cup Fresh coconut - grated,1 teaspoon Cardamom Powder (Elaichi)</t>
  </si>
  <si>
    <t xml:space="preserve">To begin making the Avarekaalu Obbatu Recipe (Sweet Paratha stuffed with Field Beans Recipe), by soaking the averekaalu in water for about 1 hour and remove the peel.If you want to cut down this process you can pressure cook it just before the first whistle comes and drain the water so that it become easy to remove the skin. Keep it asideWe will next make the dough for the poli. Add flour, turmeric powder, sooji and curd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ready.Add flour and turmeric powder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ready.Cook the chana dal with 1-1/2 cups of water until soft and is well cooked. Drain any excess water from the dal and keep it aside. Grind the dal and the beans in a blender to a coarse mixture but not very smooth.Heat ghee in a pan on medium heat, add the jaggery and sugar and stir until the jaggery and sugar dissolve completely. Stir in the lentil mixture, coconut and cardamom to the jaggery mixture until well combined.Continue stirring the mixture until the filling mixture begins to thicken and leaves the sides of the pan. At this point turn off the heat and allow the filling mixture (puran) to cool completely. Divide the dough and puran mixture into 12 portions.Keeping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 high; place the rolled poli’s onto the skillet to cook until golden brown on both sides. You can cook the poli's with ghee to give it a richer taste and flavor.Repeat the above process for all the remaining dough and puran portions.Serve the Avarekaalu Obbatu Recipe ( Sweet Paratha stuffed with Field Beans Recipe) as a delicious sweet for any festive occasion as a comforting Dessert .
</t>
  </si>
  <si>
    <t xml:space="preserve">ಅವರೆಕಾಳು ಒಬ್ಬಟ್ಟು ರೆಸಿಪಿ (ಫೀಲ್ಡ್ ಬೀನ್ಸ್ ರೆಸಿಪಿಯೊಂದಿಗೆ ತುಂಬಿದ ಸಿಹಿ ಪರಾಠ) ತಯಾರಿಸಲು ಪ್ರಾರಂಭಿಸಲು, ಅವರೆಕಾಳುವನ್ನು ಸುಮಾರು 1 ಗಂಟೆಗಳ ಕಾಲ ನೀರಿನಲ್ಲಿ ನೆನೆಸಿ ಮತ್ತು ಸಿಪ್ಪೆಯನ್ನು ತೆಗೆಯಿರಿ. ನೀವು ಈ ಪ್ರಕ್ರಿಯೆಯನ್ನು ಕಡಿಮೆ ಮಾಡಲು ಬಯಸಿದರೆ, ನೀವು ಮೊದಲ ಸೀಟಿ ಬರುವ ಮೊದಲು ಅದನ್ನು ಒತ್ತರಿಸಿ ಮತ್ತು ನೀರನ್ನು ಹರಿಸುವುದರಿಂದ ಚರ್ಮವನ್ನು ತೆಗೆದುಹಾಕಲು ಸುಲಭವಾಗುತ್ತದೆ. ಅದನ್ನು ಪಕ್ಕಕ್ಕೆ ಇರಿಸಿ ನಾವು ಮುಂದೆ ಪೋಲಿಗಾಗಿ ಹಿಟ್ಟನ್ನು ತಯಾರಿಸುತ್ತೇವೆ. ದೊಡ್ಡ ಬಟ್ಟಲಿನಲ್ಲಿ ಹಿಟ್ಟು, ಅರಿಶಿನ ಪುಡಿ, ಸೂಜಿ ಮತ್ತು ಮೊಸರು ಸೇರಿಸಿ; ಒಂದು ಸಮಯದಲ್ಲಿ ಅದನ್ನು ಸ್ವಲ್ಪ ನೀರಿನೊಂದಿಗೆ ಸೇರಿಸಿ ಮತ್ತು ಗಟ್ಟಿಯಾದ ಹಿಟ್ಟಿನ ಮಿಶ್ರಣವನ್ನು ರೂಪಿಸಲು ಹಿಟ್ಟನ್ನು ಒಟ್ಟುಗೂಡಿಸುವವರೆಗೆ ಬೆರೆಸಿಕೊಳ್ಳಿ. ಹಿಟ್ಟನ್ನು ಲೇಪಿಸಲು 2 ಟೇಬಲ್ಸ್ಪೂನ್ ಎಣ್ಣೆಯನ್ನು ಸೇರಿಸಿ ಮತ್ತು ನಯವಾದ ಮತ್ತು ದೃಢವಾಗುವವರೆಗೆ ಒಂದೆರಡು ನಿಮಿಷಗಳ ಕಾಲ ಬೆರೆಸಿಕೊಳ್ಳಿ. ನಾವು ಲೆಂಟಿಲ್ ಫಿಲ್ಲಿಂಗ್ ಸಿದ್ಧವಾಗುವವರೆಗೆ ಹಿಟ್ಟನ್ನು ತಂಪಾದ ಸ್ಥಳದಲ್ಲಿ ಮುಚ್ಚಿ ಮತ್ತು ಕುಳಿತುಕೊಳ್ಳಲು ಬಿಡಿ. ದೊಡ್ಡ ಬಟ್ಟಲಿನಲ್ಲಿ ಹಿಟ್ಟು ಮತ್ತು ಅರಿಶಿನ ಪುಡಿಯನ್ನು ಸೇರಿಸಿ; ಒಂದು ಸಮಯದಲ್ಲಿ ಅದನ್ನು ಸ್ವಲ್ಪ ನೀರಿನೊಂದಿಗೆ ಸೇರಿಸಿ ಮತ್ತು ಗಟ್ಟಿಯಾದ ಹಿಟ್ಟಿನ ಮಿಶ್ರಣವನ್ನು ರೂಪಿಸಲು ಹಿಟ್ಟನ್ನು ಒಟ್ಟುಗೂಡಿಸುವವರೆಗೆ ಬೆರೆಸಿಕೊಳ್ಳಿ. ಹಿಟ್ಟನ್ನು ಲೇಪಿಸಲು 2 ಟೇಬಲ್ಸ್ಪೂನ್ ಎಣ್ಣೆಯನ್ನು ಸೇರಿಸಿ ಮತ್ತು ನಯವಾದ ಮತ್ತು ದೃಢವಾಗುವವರೆಗೆ ಒಂದೆರಡು ನಿಮಿಷಗಳ ಕಾಲ ಬೆರೆಸಿಕೊಳ್ಳಿ. ನಾವು ಲೆಂಟಿಲ್ ಫಿಲ್ಲಿಂಗ್ ಸಿದ್ಧವಾಗುವವರೆಗೆ ಹಿಟ್ಟನ್ನು ಮುಚ್ಚಿ ಮತ್ತು ತಂಪಾದ ಸ್ಥಳದಲ್ಲಿ ಕುಳಿತುಕೊಳ್ಳಿ. ಚನಾ ದಾಲ್ ಅನ್ನು 1-1/2 ಕಪ್ ನೀರಿನಿಂದ ಮೃದುವಾದ ಮತ್ತು ಚೆನ್ನಾಗಿ ಬೇಯಿಸುವವರೆಗೆ ಬೇಯಿಸಿ. ದಾಲ್‌ನಿಂದ ಹೆಚ್ಚುವರಿ ನೀರನ್ನು ಹರಿಸುತ್ತವೆ ಮತ್ತು ಅದನ್ನು ಪಕ್ಕಕ್ಕೆ ಇರಿಸಿ. ದಾಲ್ ಮತ್ತು ಬೀನ್ಸ್ ಅನ್ನು ಬ್ಲೆಂಡರ್‌ನಲ್ಲಿ ಒರಟಾದ ಮಿಶ್ರಣಕ್ಕೆ ರುಬ್ಬಿಕೊಳ್ಳಿ ಆದರೆ ತುಂಬಾ ನಯವಾಗಿರುವುದಿಲ್ಲ. ಮಧ್ಯಮ ಉರಿಯಲ್ಲಿ ಪ್ಯಾನ್‌ನಲ್ಲಿ ತುಪ್ಪವನ್ನು ಬಿಸಿ ಮಾಡಿ, ಬೆಲ್ಲ ಮತ್ತು ಸಕ್ಕರೆಯನ್ನು ಸೇರಿಸಿ ಮತ್ತು ಬೆಲ್ಲ ಮತ್ತು ಸಕ್ಕರೆ ಸಂಪೂರ್ಣವಾಗಿ ಕರಗುವ ತನಕ ಬೆರೆಸಿ. ಬೆಲ್ಲದ ಮಿಶ್ರಣಕ್ಕೆ ಮಸೂರ ಮಿಶ್ರಣ, ತೆಂಗಿನಕಾಯಿ ಮತ್ತು ಏಲಕ್ಕಿಯನ್ನು ಚೆನ್ನಾಗಿ ಸಂಯೋಜಿಸುವವರೆಗೆ ಬೆರೆಸಿ. ಭರ್ತಿ ಮಾಡುವ ಮಿಶ್ರಣವು ದಪ್ಪವಾಗಲು ಪ್ರಾರಂಭವಾಗುವವರೆಗೆ ಮತ್ತು ಪ್ಯಾನ್‌ನ ಬದಿಗಳನ್ನು ಬಿಡುವವರೆಗೆ ಮಿಶ್ರಣವನ್ನು ಬೆರೆಸಿ. ಈ ಹಂತದಲ್ಲಿ ಶಾಖವನ್ನು ಆಫ್ ಮಾಡಿ ಮತ್ತು ಭರ್ತಿ ಮಾಡುವ ಮಿಶ್ರಣವನ್ನು (ಪುರನ್) ಸಂಪೂರ್ಣವಾಗಿ ತಣ್ಣಗಾಗಲು ಅನುಮತಿಸಿ. ಹಿಟ್ಟು ಮತ್ತು ಪುರನ್ ಮಿಶ್ರಣವನ್ನು 12 ಭಾಗಗಳಾಗಿ ವಿಭಜಿಸಿ. ಒಂದು ಪ್ಲೇಟ್‌ನಲ್ಲಿ ಸ್ವಲ್ಪ ಹಿಟ್ಟನ್ನು ಧೂಳೀಪಟ ಮಾಡಲು ಕೈಯಲ್ಲಿ ಇಡುವುದು; ಹಿಟ್ಟನ್ನು 3 ಇಂಚು ವ್ಯಾಸದ ವಲಯಗಳಾಗಿ ಸುತ್ತಿಕೊಳ್ಳಿ. ತುಂಬುವ (ಪುರನ್) ಮಿಶ್ರಣದ ಒಂದು ಭಾಗವನ್ನು ವೃತ್ತದ ಮಧ್ಯಭಾಗದಲ್ಲಿ ಇರಿಸಿ. ವೃತ್ತದ ಅಂಚುಗಳನ್ನು ಮಧ್ಯದ ಕಡೆಗೆ ತನ್ನಿ ಮತ್ತು ಸಂಪೂರ್ಣ ಭರ್ತಿಯನ್ನು ಮುಚ್ಚಲು ಮಡಿಸಿ; ಯಾವುದೇ ತೆರೆಯುವಿಕೆ ಇದ್ದಲ್ಲಿ ಅವುಗಳನ್ನು ಒಟ್ಟಿಗೆ ಪಿಂಚ್ ಮಾಡುವ ಮೂಲಕ ಅಂಚುಗಳನ್ನು ಚೆನ್ನಾಗಿ ಮುಚ್ಚಲಾಗಿದೆ ಎಂದು ಖಚಿತಪಡಿಸಿಕೊಳ್ಳಿ. ಸ್ಟಫ್ ಮಾಡಿದ ಹಿಟ್ಟನ್ನು ಚಪ್ಪಟೆಗೊಳಿಸಿ; ಸ್ವಲ್ಪ ಹಿಟ್ಟಿನ ಮೇಲೆ ಹಿಟ್ಟನ್ನು ಪುಡಿಮಾಡಿ ಮತ್ತು 5 ರಿಂದ 6 ಇಂಚಿನ ವ್ಯಾಸದ ವೃತ್ತಕ್ಕೆ ನಿಧಾನವಾಗಿ ಸುತ್ತಿಕೊಳ್ಳಿ ಏಕೆಂದರೆ ತುಂಬುವಿಕೆಯು ಹಿಟ್ಟಿನಿಂದ ಹೊರಬರಬಹುದು. ಮಧ್ಯಮ ಎತ್ತರದಲ್ಲಿ ಕಬ್ಬಿಣದ ಬಾಣಲೆಯನ್ನು ಪೂರ್ವಭಾವಿಯಾಗಿ ಕಾಯಿಸಿ; ಎರಡೂ ಬದಿಗಳಲ್ಲಿ ಗೋಲ್ಡನ್ ಬ್ರೌನ್ ರವರೆಗೆ ಬೇಯಿಸಲು ಸುತ್ತಿಕೊಂಡ ಪೋಲಿಯನ್ನು ಬಾಣಲೆಯ ಮೇಲೆ ಇರಿಸಿ. ಉತ್ಕೃಷ್ಟವಾದ ರುಚಿ ಮತ್ತು ಪರಿಮಳವನ್ನು ನೀಡಲು ನೀವು ಪೋಲಿಯನ್ನು ತುಪ್ಪದೊಂದಿಗೆ ಬೇಯಿಸಬಹುದು. ಉಳಿದ ಎಲ್ಲಾ ಹಿಟ್ಟು ಮತ್ತು ಪುರನ್ ಭಾಗಗಳಿಗೆ ಮೇಲಿನ ಪ್ರಕ್ರಿಯೆಯನ್ನು ಪುನರಾವರ್ತಿಸಿ. ಅವರೆಕಾಳು ಒಬ್ಬಟ್ಟು ರೆಸಿಪಿ (ಫೀಲ್ಡ್ ಬೀನ್ಸ್ ರೆಸಿಪಿಯೊಂದಿಗೆ ತುಂಬಿದ ಸಿಹಿ ಪರಾಠ) ಅನ್ನು ಯಾವುದೇ ಹಬ್ಬದ ಸಂದರ್ಭದಲ್ಲಿ ರುಚಿಕರವಾದ ಸಿಹಿಯಾಗಿ ಬಡಿಸಿ. 
</t>
  </si>
  <si>
    <t>http://www.archanaskitchen.com/avarekallu-obbatu-recipe-sweet-paratha-stuffed-with-field-beans-recipe</t>
  </si>
  <si>
    <t>Kara Kadubu Recipe (Malanad Style Steamed Spiced Rice Dumplings)</t>
  </si>
  <si>
    <t>ಕಾರ ಕಡುಬು ರೆಸಿಪಿ (ಮಲನಾಡ್ ಶೈಲಿಯ ಆವಿಯಲ್ಲಿ ಬೇಯಿಸಿದ ಮಸಾಲೆ ಅಕ್ಕಿ ಡಂಪ್ಲಿಂಗ್ಸ್)</t>
  </si>
  <si>
    <t>1 ಕಪ್ ಅಕ್ಕಿ ರವೆ - ಅಥವಾ ಇಡ್ಲಿ ರವಾ, 2 ಕಪ್ ನೀರು, 1 ಚಮಚ ಸೂರ್ಯಕಾಂತಿ ಎಣ್ಣೆ, ಉಪ್ಪು - ರುಚಿಗೆ, 1 ಚಮಚ ಜೀರಿಗೆ (ಜೀರಾ), 1 ಚಮಚ ಬೆಣ್ಣೆ, 1/4 ಕಪ್ ತಾಜಾ ತೆಂಗಿನಕಾಯಿ - ತುರಿದ</t>
  </si>
  <si>
    <t>1 cup Rice rava - or idli rava,2 cups Water,1 teaspoon Sunflower Oil,Salt - to taste,1 teaspoon Cumin seeds (Jeera),1 tablespoon Butter,1/4 cup Fresh coconut - grated</t>
  </si>
  <si>
    <t xml:space="preserve">To begin making the Kara Kadubu Recipe, first prepare the mixture for the batter. To do this, place a deep pot on the heat. Add sufficient water to it and bring it to a boil, along with a teaspoon of oil and a dash of salt.Once the water comes to a rolling boil, gradually and continuously add the rava to it while continuously stirring the mixture. Keep stirring so no lumps remain, and the mixture is smooth.Lower the heat, cover the pan with a lid and cook it for five minutes.Switch of the heat, take the pot off and mix it up once more. Transfer the mixture onto a wide plate and allow it cool.Once it has cooled just enough to handle, add jeera, grated coconut, butter and salt to taste if required. Mix well, knead it with your fingers so that the mixture comes together in a ball.Pinch off lemon sized portions and roll them between your palms to make balls. Repeat this till no mixture remains.Place the prepared balls in a steamer or idli stand of a pressure cooker and steam them like you would steam idlis.After about 10 minutes of steaming, open the cooker and take them out.Serve the Kara Kadubu hot along with Coconut Chutney or Huchellu Chutney.
</t>
  </si>
  <si>
    <t xml:space="preserve">ಕಾರ ಕಡುಬು ಪಾಕವಿಧಾನವನ್ನು ತಯಾರಿಸಲು ಪ್ರಾರಂಭಿಸಲು, ಮೊದಲು ಹಿಟ್ಟಿಗೆ ಮಿಶ್ರಣವನ್ನು ತಯಾರಿಸಿ. ಇದನ್ನು ಮಾಡಲು, ಶಾಖದ ಮೇಲೆ ಆಳವಾದ ಮಡಕೆಯನ್ನು ಇರಿಸಿ. ಇದಕ್ಕೆ ಸಾಕಷ್ಟು ನೀರು ಸೇರಿಸಿ ಮತ್ತು ಒಂದು ಟೀಚಮಚ ಎಣ್ಣೆ ಮತ್ತು ಸ್ವಲ್ಪ ಉಪ್ಪು ಸೇರಿಸಿ ಕುದಿಯಲು ತನ್ನಿ. ನೀರು ಒಂದು ರೋಲಿಂಗ್ ಕುದಿಯುತ್ತವೆ ಒಮ್ಮೆ, ನಿರಂತರವಾಗಿ ಮಿಶ್ರಣವನ್ನು ನಿರಂತರವಾಗಿ ಸ್ಫೂರ್ತಿದಾಯಕ ಮಾಡುವಾಗ ಕ್ರಮೇಣ ಮತ್ತು ನಿರಂತರವಾಗಿ ರವಾ ಸೇರಿಸಿ. ಯಾವುದೇ ಉಂಡೆಗಳನ್ನೂ ಉಳಿಯದಂತೆ ಬೆರೆಸಿ, ಮತ್ತು ಮಿಶ್ರಣವು ನಯವಾಗಿರುತ್ತದೆ. ಶಾಖವನ್ನು ಕಡಿಮೆ ಮಾಡಿ, ಪ್ಯಾನ್ ಅನ್ನು ಮುಚ್ಚಳದಿಂದ ಮುಚ್ಚಿ ಮತ್ತು ಐದು ನಿಮಿಷಗಳ ಕಾಲ ಅದನ್ನು ಬೇಯಿಸಿ. ಶಾಖವನ್ನು ಬದಲಿಸಿ, ಮಡಕೆಯನ್ನು ತೆಗೆದುಹಾಕಿ ಮತ್ತು ಮತ್ತೊಮ್ಮೆ ಅದನ್ನು ಮಿಶ್ರಣ ಮಾಡಿ. ಮಿಶ್ರಣವನ್ನು ಅಗಲವಾದ ಪ್ಲೇಟ್‌ಗೆ ವರ್ಗಾಯಿಸಿ ಮತ್ತು ಅದನ್ನು ತಣ್ಣಗಾಗಲು ಅನುಮತಿಸಿ. ಅದನ್ನು ನಿರ್ವಹಿಸಲು ಸಾಕಷ್ಟು ತಣ್ಣಗಾದ ನಂತರ, ಜೀರಾ, ತುರಿದ ತೆಂಗಿನಕಾಯಿ, ಬೆಣ್ಣೆ ಮತ್ತು ಅಗತ್ಯವಿದ್ದರೆ ರುಚಿಗೆ ಉಪ್ಪು ಸೇರಿಸಿ. ಚೆನ್ನಾಗಿ ಮಿಶ್ರಣ ಮಾಡಿ, ಅದನ್ನು ನಿಮ್ಮ ಬೆರಳುಗಳಿಂದ ಬೆರೆಸಿಕೊಳ್ಳಿ ಇದರಿಂದ ಮಿಶ್ರಣವು ಚೆಂಡಿನಲ್ಲಿ ಒಟ್ಟಿಗೆ ಬರುತ್ತದೆ. ನಿಂಬೆ ಗಾತ್ರದ ಭಾಗಗಳನ್ನು ಪಿಂಚ್ ಮಾಡಿ ಮತ್ತು ಚೆಂಡುಗಳನ್ನು ಮಾಡಲು ನಿಮ್ಮ ಅಂಗೈಗಳ ನಡುವೆ ಸುತ್ತಿಕೊಳ್ಳಿ. ಯಾವುದೇ ಮಿಶ್ರಣ ಉಳಿಯುವವರೆಗೆ ಇದನ್ನು ಪುನರಾವರ್ತಿಸಿ. ತಯಾರಾದ ಚೆಂಡುಗಳನ್ನು ಪ್ರೆಶರ್ ಕುಕ್ಕರ್‌ನ ಸ್ಟೀಮರ್ ಅಥವಾ ಇಡ್ಲಿ ಸ್ಟ್ಯಾಂಡ್‌ನಲ್ಲಿ ಇರಿಸಿ ಮತ್ತು ನೀವು ಇಡ್ಲಿಗಳನ್ನು ಹಬೆಯಾಡುವಂತೆ ಉಗಿ ಮಾಡಿ. ಸುಮಾರು 10 ನಿಮಿಷಗಳ ನಂತರ ಕುಕ್ಕರ್ ಅನ್ನು ತೆರೆಯಿರಿ ಮತ್ತು ಅವುಗಳನ್ನು ಹೊರತೆಗೆಯಿರಿ. ಕಾರ ಕಡುಬುವನ್ನು ತೆಂಗಿನಕಾಯಿ ಚಟ್ನಿ ಅಥವಾ ಹುಚ್ಚೆಲು ಚಟ್ನಿಯೊಂದಿಗೆ ಬಿಸಿಯಾಗಿ ಬಡಿಸಿ.
</t>
  </si>
  <si>
    <t>http://www.archanaskitchen.com/kara-kadubu-recipe-malanad-style-steamed-spiced-rice-dumplings</t>
  </si>
  <si>
    <t>Karnataka Style Baledindina Kosambari Recipe (Banana Stem Salad)</t>
  </si>
  <si>
    <t>ಕರ್ನಾಟಕ ಶೈಲಿಯ ಬಾಳೆದಿಂಡಿನ ಕೋಸಂಬರಿ ರೆಸಿಪಿ (ಬಾಳೆ ಕಾಂಡದ ಸಲಾಡ್)</t>
  </si>
  <si>
    <t>1 ಬಾಳೆ ಕಾಂಡ - ಸಿಪ್ಪೆ ಸುಲಿದ ಮತ್ತು ಸಣ್ಣ ತುಂಡುಗಳಾಗಿ ಕತ್ತರಿಸಿ, 1/4 ಕಪ್ ಹಳದಿ ಮೂಂಗ್ ದಾಲ್ (ಒಡೆದ), 1 ಈರುಳ್ಳಿ - ಕತ್ತರಿಸಿದ, 1 ಹಸಿರು ಮೆಣಸಿನಕಾಯಿ - ಕತ್ತರಿಸಿದ, 1/2 ನಿಂಬೆ, 1/4 ಕಪ್ ತಾಜಾ ತೆಂಗಿನಕಾಯಿ - ತುರಿದ, 1 ಚಮಚ ಕೊತ್ತಂಬರಿ (ಧನಿಯಾ) ಎಲೆಗಳು - ನುಣ್ಣಗೆ ಕತ್ತರಿಸಿದ, ಉಪ್ಪು - ರುಚಿಗೆ 1 ಚಮಚ, 1 ಚಮಚ ಓಸಾ, ಸಾಸಿವೆ ಕಾಳು, 2 ಹಸಿರು ಮೆಣಸಿನಕಾಯಿ - ಕತ್ತರಿಸಿದ, 1 ಚಿಗುರು ಕರಿಬೇವಿನ ಎಲೆಗಳು</t>
  </si>
  <si>
    <t>1 Banana Stem - skin peeled and cut into small pieces,1/4 cup Yellow Moong Dal (Split),1 Onion - chopped,1 Green Chilli - chopped,1/2 Lemon,1/4 cup Fresh coconut - grated,1 tablespoon Coriander (Dhania) Leaves - finely chopped,Salt - to taste,1 tablespoon Sunflower Oil,1 pinch Asafoetida (hing),1 teaspoon Mustard seeds,2 Green Chillies - chopped,1 sprig Curry leaves</t>
  </si>
  <si>
    <t xml:space="preserve">To begin preparing the Baledindina Kosambari Recipe soak the dal for an hour and then drain the water.Finely chop the vegetables and add it to the dal in a mixing bowl.Add freshly grated coconut, coriander leaves, salt and lemon juice and mix it well.The next step is tempering. For tempering, heat the oil in a pan and add mustard seeds.Once it crackles, add asafoetida and curry leaves and let it crisp up.Add it to the kosambari and mix everything properly.Serve the Karnataka Style Baledindina Kosambari Recipe along with Chitranna or steamed rice and Karnataka Style Sorakkai Palya Recipe.
</t>
  </si>
  <si>
    <t xml:space="preserve">ಬಾಳೆದಿಂಡಿನ ಕೋಸಂಬರಿ ರೆಸಿಪಿಯನ್ನು ತಯಾರಿಸಲು ಪ್ರಾರಂಭಿಸಲು ಬೇಳೆಯನ್ನು ಒಂದು ಗಂಟೆ ನೆನೆಸಿ ನಂತರ ನೀರನ್ನು ಹರಿಸಬೇಕು. ತರಕಾರಿಗಳನ್ನು ನುಣ್ಣಗೆ ಕತ್ತರಿಸಿ ಮತ್ತು ಮಿಕ್ಸಿಂಗ್ ಬೌಲ್‌ನಲ್ಲಿ ದಾಲ್‌ಗೆ ಸೇರಿಸಿ. ಹೊಸದಾಗಿ ತುರಿದ ತೆಂಗಿನಕಾಯಿ, ಕೊತ್ತಂಬರಿ ಸೊಪ್ಪು, ಉಪ್ಪು ಮತ್ತು ನಿಂಬೆ ರಸವನ್ನು ಸೇರಿಸಿ ಚೆನ್ನಾಗಿ ಮಿಶ್ರಣ ಮಾಡಿ. ಮುಂದಿನ ಹಂತವು ಹದಗೊಳಿಸುವುದು. ಹದಗೊಳಿಸುವಿಕೆಗಾಗಿ, ಬಾಣಲೆಯಲ್ಲಿ ಎಣ್ಣೆಯನ್ನು ಬಿಸಿ ಮಾಡಿ ಮತ್ತು ಸಾಸಿವೆ ಹಾಕಿ. ಅದು ಸಿಡಿದ ನಂತರ, ಇಂಗು ಮತ್ತು ಕರಿಬೇವಿನ ಎಲೆಗಳನ್ನು ಸೇರಿಸಿ ಮತ್ತು ಗರಿಗರಿಯಾಗಲು ಬಿಡಿ. ಕೋಸಂಬರಿಗೆ ಸೇರಿಸಿ ಮತ್ತು ಎಲ್ಲವನ್ನೂ ಸರಿಯಾಗಿ ಮಿಶ್ರಣ ಮಾಡಿ. ಕರ್ನಾಟಕ ಶೈಲಿಯ ಬಾಳೆದಿಂಡಿನ ಕೋಸಂಬರಿ ರೆಸಿಪಿಯನ್ನು ಚಿತ್ರಾನ್ನ ಅಥವಾ ಆವಿಯಲ್ಲಿ ಬೇಯಿಸಿದ ಅಕ್ಕಿ ಅಥವಾ ಪಲ್ಯ ಪಲ್ಯಕ್ಕೆ ಬಡಿಸಿ.
</t>
  </si>
  <si>
    <t>http://www.archanaskitchen.com/karnataka-style-baledindina-kosambri-recipe-banana-stem-salad</t>
  </si>
  <si>
    <t>Alasande Kaalu Saaru Recipe (Malnad Style Black Eyed Beans Curry)</t>
  </si>
  <si>
    <t>ಅಲಸಂದೆ ಕಾಳು ಸಾರು ರೆಸಿಪಿ (ಮಲ್ನಾಡ್ ಸ್ಟೈಲ್ ಬ್ಲ್ಯಾಕ್ ಐಡ್ ಬೀನ್ಸ್ ಕರಿ)</t>
  </si>
  <si>
    <t>1-1/2 ಕಪ್ ಕಪ್ಪು ಕಣ್ಣಿನ ಬೀನ್ಸ್ (ಲೋಬಿಯಾ) - ರಾತ್ರಿ ನೆನೆಸಿದ, 1 ಈರುಳ್ಳಿ - ಸಣ್ಣದಾಗಿ ಕೊಚ್ಚಿದ, 1 ಟೊಮೆಟೊ - ಸಣ್ಣದಾಗಿ ಕೊಚ್ಚಿದ, 1 ಬೇ ಎಲೆ (ತೇಜ್ ಪಟ್ಟಾ), 1 ಇಂಚಿನ ದಾಲ್ಚಿನ್ನಿ ಕಡ್ಡಿ (ದಾಲ್ಚಿನಿ), 1/2 ಟೀಚಮಚ ಜೀರಿಗೆ (ಜೀರಾ), 1 ಟೀಚಮಚ ಗರಂ ಮಸಾಲಾ ಪುಡಿ, 1 ಟೀಚಮಚ ಗರಂ ಮಸಾಲಾ ಪುಡಿ - 1 ಸ್ಪ್ರಿಜಿಯಾನ್ ಪುಡಿ, 1 ಚಮಚ ಚಿಗುರು ಕರಿಬೇವಿನ ಎಲೆಗಳು, 2 ಟೀ ಚಮಚ ಸೂರ್ಯಕಾಂತಿ ಎಣ್ಣೆ, ಉಪ್ಪು - ರುಚಿಗೆ, 1 ಈರುಳ್ಳಿ - ಸರಿಸುಮಾರು ಕತ್ತರಿಸಿದ, 1 ಟೊಮೇಟೊ - ಸರಿಸುಮಾರು ಕತ್ತರಿಸಿದ, 2 ಚಮಚ ಶುಂಠಿ - ಸರಿಸುಮಾರು ಕತ್ತರಿಸಿದ, 3 ಚಮಚ ತಾಜಾ ತೆಂಗಿನಕಾಯಿ - ತುರಿದ, 5 ಲವಂಗ ಬೆಳ್ಳುಳ್ಳಿ, 1/2 ಕಪ್ ಕೊತ್ತಂಬರಿ (ಧನಿಯಾ) ಪುದೀನಾ ಎಲೆಗಳು - 1 ಕಪ್ ಗಟ್ಟಿಯಾಗಿ ಪ್ಯಾಕ್ ಮಾಡಿ. ಪ್ಯಾಕ್ ಮಾಡಿದ, 2 ಹಸಿರು ಮೆಣಸಿನಕಾಯಿಗಳು, 4 ಲವಂಗಗಳು (ಲಾಂಗ್), 1 ದಾಲ್ಚಿನ್ನಿ ಕಡ್ಡಿ (ದಾಲ್ಚಿನಿ), 1/4 ಟೀಚಮಚ ಸಂಪೂರ್ಣ ಕಪ್ಪು ಮೆಣಸು, 1/2 ಟೀಚಮಚ ಅರಿಶಿನ ಪುಡಿ (ಹಾಲ್ಡಿ), 1 ಟೀಚಮಚ ಕೆಂಪು ಮೆಣಸಿನ ಪುಡಿ, 2 ಟೀ ಚಮಚ ಕೊತ್ತಂಬರಿ ಪುಡಿ (ಧನಿಯಾ)</t>
  </si>
  <si>
    <t>1-1/2 cups Black Eyed Beans (Lobia) - soaked overnight,1 Onion - finely chopped,1 Tomato - finely chopped,1 Bay leaf (tej patta),1 inch Cinnamon Stick (Dalchini),1/2 teaspoon Cumin seeds (Jeera),1 teaspoon Garam masala powder,1 sprig Coriander (Dhania) Leaves - for garnish,1 sprig Curry leaves,2 teaspoons Sunflower Oil,Salt - to taste,1 Onion - roughly chopped,1 Tomato - roughly chopped,2 tablespoons Ginger - roughly chopped,3 tablespoons Fresh coconut - grated,5 cloves Garlic,1/2 cup Coriander (Dhania) Leaves - tightly packed,1/2 cup Mint Leaves (Pudina) - tightly packed,2 Green Chillies,4 Cloves (Laung),1 Cinnamon Stick (Dalchini),1/4 teaspoon Whole Black Peppercorns,1/2 teaspoon Turmeric powder (Haldi),1 teaspoon Red Chilli powder,2 teaspoons Coriander Powder (Dhania)</t>
  </si>
  <si>
    <t xml:space="preserve">To begin making the Alasande Kaalu Saaru Recipe (Malnad Style Black Eyed Beans Curry), wash and soak the black eyed peas overnight. In the morning pressure cook with enough water for 2 whistles using a pressure cooker and keep aside.Grind all the ingredients mentioned for the ground masala to a fine paste with a little water using a mixer grinder.Heat oil in a wide saucepan, add the bay leaf, cinnamon stick and oil become fragrant.Add the cumin seeds, curry leaves and let it splutter.Once they splutter, add the onions and saute until it turns translucent.Add the tomatoes and cook until they turn mushy.Once they are mushy, add the ground masala paste and saute for about 5 minutes, until the raw smell goes away.Add in the cooked black eyed peas, enough water, season with salt and mix well.Let the gravy simmer for about 10 minutes.Add the garam masala powder, garnish with coriander leaves, mix and switch off the heat.Serve the Alasande Kaalu Saaru Recipe (Malnad Style Black Eyed Beans Curry) along with Steamed Rice, Gorikayi Palya Recipe, Akki Peni Sandige and Spicy Tomato Pickle Recipe for a simple yet delightful weeknight dinner.
</t>
  </si>
  <si>
    <t xml:space="preserve">ಅಲಸಂದೆ ಕಾಳು ಸಾರು ರೆಸಿಪಿ (ಮಲ್ನಾಡ್ ಸ್ಟೈಲ್ ಬ್ಲ್ಯಾಕ್ ಐಡ್ ಬೀನ್ಸ್ ಕರಿ) ತಯಾರಿಸಲು ಪ್ರಾರಂಭಿಸಲು, ಕಪ್ಪು ಕಣ್ಣಿನ ಬಟಾಣಿಗಳನ್ನು ರಾತ್ರಿಯಿಡೀ ತೊಳೆದು ನೆನೆಸಿಡಿ. ಬೆಳಿಗ್ಗೆ ಪ್ರೆಶರ್ ಕುಕ್ಕರ್ ಬಳಸಿ 2 ಸೀಟಿಗೆ ಸಾಕಾಗುವಷ್ಟು ನೀರಿನಿಂದ ಬೇಯಿಸಿ ಮತ್ತು ಪಕ್ಕಕ್ಕೆ ಇರಿಸಿ. ರುಬ್ಬಿದ ಮಸಾಲವನ್ನು ಮಿಕ್ಸರ್ ಗ್ರೈಂಡರ್ ಬಳಸಿ ಸ್ವಲ್ಪ ನೀರು ಹಾಕಿ ನುಣ್ಣಗೆ ಪೇಸ್ಟ್ ಮಾಡಿ. ಅಗಲವಾದ ಪಾತ್ರೆಯಲ್ಲಿ ಎಣ್ಣೆಯನ್ನು ಬಿಸಿ ಮಾಡಿ ಬೇ ಎಲೆ, ದಾಲ್ಚಿನ್ನಿ ಕಡ್ಡಿ ಮತ್ತು ಎಣ್ಣೆಯನ್ನು ಸೇರಿಸಿ. ಅರೆಪಾರದರ್ಶಕವಾಗುತ್ತದೆ.ಟೊಮ್ಯಾಟೊ ಸೇರಿಸಿ ಮತ್ತು ಅವು ಮೆತ್ತಗಾಗುವವರೆಗೆ ಬೇಯಿಸಿ. ಅವು ಮೆತ್ತಗಾಗಿರುವ ನಂತರ, ನೆಲದ ಮಸಾಲಾ ಪೇಸ್ಟ್ ಅನ್ನು ಸೇರಿಸಿ ಮತ್ತು ಹಸಿ ವಾಸನೆ ಹೋಗುವವರೆಗೆ ಸುಮಾರು 5 ನಿಮಿಷಗಳ ಕಾಲ ಹುರಿಯಿರಿ. ಬೇಯಿಸಿದ ಕಪ್ಪು ಬಟಾಣಿ, ಸಾಕಷ್ಟು ನೀರು, ಉಪ್ಪು ಸೇರಿಸಿ ಚೆನ್ನಾಗಿ ಮಿಶ್ರಣ ಮಾಡಿ. ಗ್ರೇವಿ ಸುಮಾರು 10 ನಿಮಿಷಗಳ ಕಾಲ ಕುದಿಸಲು ಬಿಡಿ ಶಾಖದಿಂದ ಹೊರಗುಳಿಯಿರಿ. ಅಲಸಂದೆ ಕಾಳು ಸಾರು ರೆಸಿಪಿ (ಮಲ್ನಾಡ್ ಸ್ಟೈಲ್ ಬ್ಲ್ಯಾಕ್ ಐಡ್ ಬೀನ್ಸ್ ಕರಿ) ಜೊತೆಗೆ ಸ್ಟೀಮ್ಡ್ ರೈಸ್, ಗೋರಿಕಾಯಿ ಪಲ್ಯ ರೆಸಿಪಿ, ಅಕ್ಕಿ ಪೇಣಿ ಸಂಡಿಗೆ ಮತ್ತು ಮಸಾಲೆಯುಕ್ತ ಟೊಮೆಟೊ ಉಪ್ಪಿನಕಾಯಿ ರೆಸಿಪಿ ಯನ್ನು ಸರಳವಾದ ಆದರೆ ಸಂತೋಷಕರವಾದ ವಾರ ರಾತ್ರಿ ಊಟಕ್ಕೆ ಬಡಿಸಿ.
</t>
  </si>
  <si>
    <t>http://www.archanaskitchen.com/alasande-kaalu-saaru-recipe-malnad-style-black-eyed-beans-curry</t>
  </si>
  <si>
    <t>Udupi Style Heerekai Bajji Recipe-Ridge Gourd Fritters</t>
  </si>
  <si>
    <t>ಉಡುಪಿ ಶೈಲಿಯ ಹೀರೆಕಾಯಿ ಬಜ್ಜಿ ರೆಸಿಪಿ-ರಿಡ್ಜ್ ಸೋರೆಕಾಯಿ ಪನಿಯಾಣಗಳು</t>
  </si>
  <si>
    <t>1 ಬೆಂಡೆಕಾಯಿ (ತುರೈ/ ಪೀರ್ಕಂಗೈ) - ಸಿಪ್ಪೆ ಸುಲಿದ ಮತ್ತು ದುಂಡಗೆ ಕತ್ತರಿಸಿ, 1 ಕಪ್ ಬೇಳೆ ಹಿಟ್ಟು, 2 ಚಮಚ ಅಕ್ಕಿ ಹಿಟ್ಟು, 1 ಚಮಚ ಕೆಂಪು ಮೆಣಸಿನ ಪುಡಿ, 1 ಚಮಚ ಅರಿಶಿನ ಪುಡಿ (ಹಾಲ್ಡಿ), 1/2 ಟೀಚಮಚ ಅಡಿಗೆ ಸೋಡಾ, ಉಪ್ಪು - ರುಚಿಗೆ, ಸೂರ್ಯಕಾಂತಿ ಎಣ್ಣೆ - ಅಡುಗೆಗೆ</t>
  </si>
  <si>
    <t>1 Ridge Gourd (Turai/ Peerkangai) - skin peeled and cut into roundels,1 cup Gram flour (besan),2 tablespoon Rice flour,1 tablespoon Red Chilli powder,1 teaspoon Turmeric powder (Haldi),1/2 teaspoon Baking soda,Salt - to taste,Sunflower Oil - for cooking</t>
  </si>
  <si>
    <t xml:space="preserve">We begin making the Udupi Style Heerekai Bajji Recipe, wash and peel the ridge gourd. Cut them into roundels and set aside. To make the bajji batterIn a mixing bowl, combine besan flour, rice flour, red chilli powder, turmeric powder, baking soda and salt along with 1/3 cup of water. Mix well to a make a smooth batter.Heat a kuzhi paniyaram pan, and add a teaspoon of oil in each of the cavities. Dip the ridge gourd roundels in the batter completely and place it in the cavity. Cook it till it crisp on either side. Flip it over and continue to cook. Remove and drain it on an absorbent paper. Serve the Udupi Style Heerekai Bajji Recipe as a tea time snack along with Masala Chai.
</t>
  </si>
  <si>
    <t xml:space="preserve">ನಾವು ಉಡುಪಿ ಶೈಲಿಯ ಹೀರೆಕಾಯಿ ಬಜ್ಜಿ ರೆಸಿಪಿಯನ್ನು ತಯಾರಿಸಲು ಪ್ರಾರಂಭಿಸುತ್ತೇವೆ, ಸೋರೆಕಾಯಿಯನ್ನು ತೊಳೆದು ಸಿಪ್ಪೆ ತೆಗೆಯುತ್ತೇವೆ. ಅವುಗಳನ್ನು ಸುತ್ತುಗಳಾಗಿ ಕತ್ತರಿಸಿ ಪಕ್ಕಕ್ಕೆ ಇರಿಸಿ. ಬಜ್ಜಿ ಹಿಟ್ಟನ್ನು ಮಿಕ್ಸಿಂಗ್ ಬೌಲ್‌ನಲ್ಲಿ ಮಾಡಲು, ಬೇಸನ್ ಹಿಟ್ಟು, ಅಕ್ಕಿ ಹಿಟ್ಟು, ಕೆಂಪು ಮೆಣಸಿನ ಪುಡಿ, ಅರಿಶಿನ ಪುಡಿ, ಬೇಕಿಂಗ್ ಸೋಡಾ ಮತ್ತು ಉಪ್ಪನ್ನು 1/3 ಕಪ್ ನೀರಿನೊಂದಿಗೆ ಸೇರಿಸಿ. ನಯವಾದ ಬ್ಯಾಟರ್ ಮಾಡಲು ಚೆನ್ನಾಗಿ ಮಿಶ್ರಣ ಮಾಡಿ. ಕುಜಿ ಪಣಿಯಾರಂ ಪ್ಯಾನ್ ಅನ್ನು ಬಿಸಿ ಮಾಡಿ ಮತ್ತು ಪ್ರತಿಯೊಂದು ಕುಳಿಗಳಲ್ಲಿ ಒಂದು ಟೀಚಮಚ ಎಣ್ಣೆಯನ್ನು ಸೇರಿಸಿ. ಸೋರೆಕಾಯಿಯ ಸುತ್ತುಗಳನ್ನು ಸಂಪೂರ್ಣವಾಗಿ ಹಿಟ್ಟಿನಲ್ಲಿ ಅದ್ದಿ ಮತ್ತು ಅದನ್ನು ಕುಳಿಯಲ್ಲಿ ಇರಿಸಿ. ಎರಡೂ ಕಡೆ ಗರಿಗರಿಯಾಗುವವರೆಗೆ ಬೇಯಿಸಿ. ಅದನ್ನು ತಿರುಗಿಸಿ ಮತ್ತು ಬೇಯಿಸುವುದನ್ನು ಮುಂದುವರಿಸಿ. ಹೀರಿಕೊಳ್ಳುವ ಕಾಗದದ ಮೇಲೆ ಅದನ್ನು ತೆಗೆದುಹಾಕಿ ಮತ್ತು ಹರಿಸುತ್ತವೆ. ಉಡುಪಿ ಶೈಲಿಯ ಹೀರೆಕಾಯಿ ಬಜ್ಜಿ ರೆಸಿಪಿಯನ್ನು ಮಸಾಲಾ ಚಾಯ್ ಜೊತೆಗೆ ಚಹಾ ಸಮಯದ ತಿಂಡಿಯಾಗಿ ಬಡಿಸಿ.
</t>
  </si>
  <si>
    <t>https://www.archanaskitchen.com/udupi-style-heeraikai-bajji-recipe-ridge-gourd-fritters-recipe</t>
  </si>
  <si>
    <t>Mysore Style Avarekalu Rasam Recipe</t>
  </si>
  <si>
    <t>ಮೈಸೂರು ಸ್ಟೈಲ್ ಅವರೆಕಾಳು ರಸಂ ರೆಸಿಪಿ</t>
  </si>
  <si>
    <t>1 ಕಪ್ ಅವರೆಕಾಳು / ಲಿಲ್ವಾ ಬೀನ್ಸ್, 1 ಕಪ್ ಹುಣಸೆ ನೀರು, 2 ಟೊಮ್ಯಾಟೊ - ಕತ್ತರಿಸಿದ, 2 ಟೀಚಮಚ ತಾಜಾ ತೆಂಗಿನಕಾಯಿ, 1 ಚಮಚ ಬೆಲ್ಲ, 1/2 ಟೀಚಮಚ ಅರಿಶಿನ ಪುಡಿ (ಹಾಲ್ದಿ), ಉಪ್ಪು - ರುಚಿಗೆ ತಕ್ಕಷ್ಟು, 1 ಚಮಚ ಕೊತ್ತಂಬರಿ (ಧನಿಯಾ) ಬೀಜಗಳು, 2 ಒಣ ಕೆಂಪು ಮೆಣಸಿನಕಾಯಿಗಳು, 1 ಒಣ ಮೆಣಸಿನಕಾಯಿ, 1 ಚಮಚ ಒಣ ಮೆಣಸಿನಕಾಯಿ, ಕಾಳುಮೆಣಸು, 1 ಚಮಚ ಸಾಸಿವೆ, 1/2 ಟೀಚಮಚ ಮೇಥಿ ಬೀಜಗಳು (ಮೆಂತ್ಯ ಬೀಜಗಳು), 1 ಚಮಚ ಸಾಸಿವೆ, 2 ಚಿಗುರು ಕರಿಬೇವಿನ ಎಲೆಗಳು, ತುಪ್ಪ - ಅಡುಗೆಗೆ</t>
  </si>
  <si>
    <t>1 cup Avarekalu / Lilva Beans,1 cup Tamarind Water,2 Tomatoes - chopped,2 teaspoons Fresh coconut,1 teaspoon Jaggery,1/2 teaspoon Turmeric powder (Haldi),Salt - to taste,1 teaspoon Coriander (Dhania) Seeds,2 Dry Red Chillies,1 Byadagi Dried Chillies,1 teaspoon Cumin seeds (Jeera),1/2 teaspoon Whole Black Peppercorns,1 teaspoon Mustard seeds,1/2 teaspoon Methi Seeds (Fenugreek Seeds),1 teaspoon Mustard seeds,2 sprig Curry leaves,Ghee - for cooking</t>
  </si>
  <si>
    <t xml:space="preserve">To begin making the Mysore Style Avarekalu Rasam Recipe, we will pressure cook the Avarekalu with 1 cup water and a pinch of salt for about 1 whistle. Turn off the flame and allow to release the pressure naturally and then open the lid.Next to make the rasam masala,  in a small skillet, heat some ghee on low flame and roast the spices -coriander seeds, dry red chillies, byadgi dried Chillies, cumin seeds, whole black peppercorns, mustard seeds, fenugreek seedsRoast them until you get a nice aroma for about 10 minutes. Once done, cool the mixture and blitz it to a smooth powder using a mixer grinder.Add fresh coconut, boiled avarekalu and give it a blitz. Grind it into a coarse paste.Heat a saucepan with tamarind water, tomato, green chilli and turmeric powder allow it to boil for 10 minutes.Add this ground paste into the Avarekalu Rasam  that is being boiled, add salt, jaggery and adjust according to your palate.To temper, heat a small amount of oil, add mustard seeds and allow it to crackle and then add curry leaves, hing and leave it for 10 seconds and pour it over the boiling rasam and serve hot.Serve the Mysore Style Avarekalu Rasam Recipe along with steamed rice, Cabbage Palya Recipe, and curd rice to finish it off with.
</t>
  </si>
  <si>
    <t xml:space="preserve">ಮೈಸೂರು ಶೈಲಿಯ ಅವರೆಕಾಳು ರಸಂ ರೆಸಿಪಿಯನ್ನು ತಯಾರಿಸಲು ಪ್ರಾರಂಭಿಸಲು, ನಾವು ಅವರೆಕಾಳುವನ್ನು 1 ಕಪ್ ನೀರು ಮತ್ತು ಚಿಟಿಕೆ ಉಪ್ಪಿನೊಂದಿಗೆ ಸುಮಾರು 1 ಸೀಟಿಗೆ ಬೇಯಿಸುತ್ತೇವೆ. ಜ್ವಾಲೆಯನ್ನು ಆಫ್ ಮಾಡಿ ಮತ್ತು ನೈಸರ್ಗಿಕವಾಗಿ ಒತ್ತಡವನ್ನು ಬಿಡುಗಡೆ ಮಾಡಲು ಅನುಮತಿಸಿ ಮತ್ತು ನಂತರ ಮುಚ್ಚಳವನ್ನು ತೆರೆಯಿರಿ. ನಂತರ ರಸಂ ಮಸಾಲಾ ಮಾಡಲು, ಸಣ್ಣ ಬಾಣಲೆಯಲ್ಲಿ ಸ್ವಲ್ಪ ತುಪ್ಪವನ್ನು ಬಿಸಿ ಮಾಡಿ ಮತ್ತು ಮಸಾಲೆಗಳನ್ನು ಹುರಿಯಿರಿ - ಕೊತ್ತಂಬರಿ ಬೀಜಗಳು, ಒಣ ಕೆಂಪು ಮೆಣಸಿನಕಾಯಿಗಳು, ಒಣ ಮೆಣಸಿನಕಾಯಿಗಳು, ಜೀರಿಗೆ, ಸಂಪೂರ್ಣ ಕರಿಮೆಣಸು, ಸಾಸಿವೆ, ಮೆಂತ್ಯ ಕಾಳುಗಳು ಸುಮಾರು 1 ನಿಮಿಷಗಳು. ಒಮ್ಮೆ ಮಾಡಿದ ನಂತರ, ಮಿಶ್ರಣವನ್ನು ತಣ್ಣಗಾಗಿಸಿ ಮತ್ತು ಮಿಕ್ಸರ್ ಗ್ರೈಂಡರ್ ಬಳಸಿ ನಯವಾದ ಪುಡಿಗೆ ಬ್ಲಿಟ್ಜ್ ಮಾಡಿ. ತಾಜಾ ತೆಂಗಿನಕಾಯಿ, ಬೇಯಿಸಿದ ಅವರೆಕಾಳು ಸೇರಿಸಿ ಮತ್ತು ಬ್ಲಿಟ್ಜ್ ನೀಡಿ. ಇದನ್ನು ಒರಟಾದ ಪೇಸ್ಟ್ ಆಗಿ ರುಬ್ಬಿಕೊಳ್ಳಿ. ಹುಣಸೆ ನೀರು, ಟೊಮೆಟೊ, ಹಸಿರು ಮೆಣಸಿನಕಾಯಿ ಮತ್ತು ಅರಿಶಿನ ಪುಡಿಯೊಂದಿಗೆ ಲೋಹದ ಬೋಗುಣಿ ಬಿಸಿ ಮಾಡಿ 10 ನಿಮಿಷಗಳ ಕಾಲ ಕುದಿಯಲು ಬಿಡಿ. ಈ ರುಬ್ಬಿದ ಪೇಸ್ಟ್ ಅನ್ನು ಅವರೆಕಾಳು ರಸಕ್ಕೆ ಸೇರಿಸಿ, ಉಪ್ಪು, ಬೆಲ್ಲ ಸೇರಿಸಿ ಮತ್ತು ನಿಮ್ಮ ರುಚಿಗೆ ತಕ್ಕಂತೆ ಹೊಂದಿಸಿ. ಸ್ವಲ್ಪ ಕಾಳು ಮತ್ತು ಎಣ್ಣೆಯನ್ನು ಬಿಸಿ ಮಾಡಲು ಅನುಮತಿಸಬೇಕು. ಹಿಂಗ್ ಮಾಡಿ ಮತ್ತು 10 ಸೆಕೆಂಡುಗಳ ಕಾಲ ಅದನ್ನು ಬಿಟ್ಟು ಕುದಿಯುತ್ತಿರುವ ರಸದ ಮೇಲೆ ಸುರಿಯಿರಿ ಮತ್ತು ಬಿಸಿಯಾಗಿ ಬಡಿಸಿ. ಮೈಸೂರು ಸ್ಟೈಲ್ ಅವರೆಕಾಳು ರಸಂ ರೆಸಿಪಿ ಜೊತೆಗೆ ಆವಿಯಲ್ಲಿ ಬೇಯಿಸಿದ ಅನ್ನ, ಕ್ಯಾಬೇಜ್ ಪಲ್ಯ ರೆಸಿಪಿ, ಮತ್ತು ಮೊಸರು ಅನ್ನವನ್ನು ಇದನ್ನು ಮುಗಿಸಲು ಬಡಿಸಿ.
</t>
  </si>
  <si>
    <t>http://www.archanaskitchen.com/mysore-style-avarekalu-rasam-recipe</t>
  </si>
  <si>
    <t>Karjikai (Karnataka Style Deep Fried Sweet Pastry Recipe)</t>
  </si>
  <si>
    <t>ಕರ್ಜಿಕಾಯಿ (ಕರ್ನಾಟಕ ಸ್ಟೈಲ್ ಡೀಪ್ ಫ್ರೈಡ್ ಸ್ವೀಟ್ ಪೇಸ್ಟ್ರಿ ರೆಸಿಪಿ)</t>
  </si>
  <si>
    <t>1 ಕಪ್ ಆಲ್ ಪರ್ಪಸ್ ಹಿಟ್ಟು (ಮೈದಾ), 1/4 ಕಪ್ ಸೂಜಿ (ರವೆ/ರವಾ), 3 ಚಮಚ ಅಕ್ಕಿ ಹಿಟ್ಟು, 2 ಚಮಚ ತುಪ್ಪ, ನೀರು - ಹಿಟ್ಟಿಗೆ, ಸೂರ್ಯಕಾಂತಿ ಎಣ್ಣೆ - ಹುರಿಯಲು, 1/2 ಕಪ್ ಹುರಿದ ಬೇಳೆ (ಪೊಟ್ಟುಕದಲೈ), 1/4 ಕಪ್ ತಾಜಾ ತೆಂಗಿನಕಾಯಿ - 1/2 ಕಪ್ ಬೆಲ್ಲ ತುರಿದ, 1/2 ಕಪ್ ಬೆಲ್ಲ. (ಎಲೈಚಿ)</t>
  </si>
  <si>
    <t>1 cup All Purpose Flour (Maida),1/4 cup Sooji (Semolina/ Rava),3 tablespoon Rice flour,2 tablespoon Ghee,Water - for the dough,Sunflower Oil - to fry,1/2 cup Roasted Gram Dal (Pottukadalai),1/4 cup Fresh coconut - grated,1/2 cup Jaggery - grated,1/2 teaspoon Cardamom Powder (Elaichi)</t>
  </si>
  <si>
    <t xml:space="preserve">To prepare Karjikai (Karnataka Style Deep Fried Sweet Pastry Recipe), make the pastry dough. To make the dough, In a small pan, heat ghee.In a mixing bowl, add all-purpose flour, rava, and rice flour. Combine them together. Add the heated ghee to the flour mixture. The ghee should be really hot, such that once added to the flour, the flour bubbles up.Combine them together with hand. The mixture resembles breadcrumbs. The ghee should be added hot to the flour for the crispy flaky outer layer.Add water and knead the dough. Ensure the dough is not too soft.Cover the kneaded dough with a damp cloth until they are fried. This prevents the dough from losing its moisture and avoid cracks while frying.Let’s prepare the filling now. In a mixer, add roasted chana dal and coconut. Grind them into a coarse powder in a mixer grinder. Add grated jaggery to the mixture and combine them well.To prepare karjikai, take a lemon sized dough and make a small ball out of it.Roll them into a small circle of 2mm thickness. Ensure to cover the remaining dough with a damp cloth.Now, you can shape Karjikai with molds if you have. Else, cut the rolled dough into circles using a cookie cutter or with a simple jar lid.Place a spoon of stuffing on one side of the rolled dough. Brush the edges of the circle with water.Fold the pastry to form a semicircle. Ensure the edges are sealed completely and there is no gap left.Now, mark the edges with a fork to give them shapes and stick them together. Else, you can just fold the edges a bit to seal them together.Cover the filled pastries with a damp cloth.Repeat the same procedure for all the balls.Heat oil in a kadai. Once the oil is hot, drop a small ball of flour into the oil. If the flour raises up steadily, then the oil is perfect for frying.Fry karjikai one by one on medium heat until they turn golden in color. Flip the karjikai through the half way.Serve the Karjikai warm or allow them to cool down completely to store them in an airtight container.
</t>
  </si>
  <si>
    <t xml:space="preserve">ಕರ್ಜಿಕಾಯಿ (ಕರ್ನಾಟಕ ಸ್ಟೈಲ್ ಡೀಪ್ ಫ್ರೈಡ್ ಸ್ವೀಟ್ ಪೇಸ್ಟ್ರಿ ರೆಸಿಪಿ) ತಯಾರಿಸಲು ಪೇಸ್ಟ್ರಿ ಹಿಟ್ಟನ್ನು ತಯಾರಿಸಿ. ಹಿಟ್ಟನ್ನು ತಯಾರಿಸಲು, ಸಣ್ಣ ಪ್ಯಾನ್‌ನಲ್ಲಿ, ತುಪ್ಪವನ್ನು ಬಿಸಿ ಮಾಡಿ. ಮಿಕ್ಸಿಂಗ್ ಬೌಲ್‌ನಲ್ಲಿ, ಎಲ್ಲಾ ಉದ್ದೇಶದ ಹಿಟ್ಟು, ರವಾ ಮತ್ತು ಅಕ್ಕಿ ಹಿಟ್ಟು ಸೇರಿಸಿ. ಅವುಗಳನ್ನು ಒಟ್ಟಿಗೆ ಸೇರಿಸಿ. ಹಿಟ್ಟಿನ ಮಿಶ್ರಣಕ್ಕೆ ಬಿಸಿಯಾದ ತುಪ್ಪವನ್ನು ಸೇರಿಸಿ. ತುಪ್ಪವು ನಿಜವಾಗಿಯೂ ಬಿಸಿಯಾಗಿರಬೇಕು, ಅಂದರೆ ಒಮ್ಮೆ ಹಿಟ್ಟಿಗೆ ಸೇರಿಸಿದರೆ, ಹಿಟ್ಟು ಗುಳ್ಳೆಗಳು. ಅವುಗಳನ್ನು ಕೈಯಿಂದ ಒಟ್ಟಿಗೆ ಸೇರಿಸಿ. ಮಿಶ್ರಣವು ಬ್ರೆಡ್ ತುಂಡುಗಳನ್ನು ಹೋಲುತ್ತದೆ. ಗರಿಗರಿಯಾದ ಫ್ಲಾಕಿ ಹೊರ ಪದರಕ್ಕಾಗಿ ತುಪ್ಪವನ್ನು ಹಿಟ್ಟಿಗೆ ಬಿಸಿಯಾಗಿ ಸೇರಿಸಬೇಕು. ನೀರು ಸೇರಿಸಿ ಮತ್ತು ಹಿಟ್ಟನ್ನು ಬೆರೆಸಿಕೊಳ್ಳಿ. ಹಿಟ್ಟು ತುಂಬಾ ಮೃದುವಾಗಿಲ್ಲ ಎಂದು ಖಚಿತಪಡಿಸಿಕೊಳ್ಳಿ. ಬೆರೆಸಿದ ಹಿಟ್ಟನ್ನು ಒದ್ದೆಯಾದ ಬಟ್ಟೆಯಿಂದ ಕವರ್ ಮಾಡಿ. ಇದು ಹಿಟ್ಟನ್ನು ಅದರ ತೇವಾಂಶವನ್ನು ಕಳೆದುಕೊಳ್ಳದಂತೆ ತಡೆಯುತ್ತದೆ ಮತ್ತು ಹುರಿಯುವಾಗ ಬಿರುಕುಗಳನ್ನು ತಪ್ಪಿಸುತ್ತದೆ.ಈಗ ಭರ್ತಿಯನ್ನು ತಯಾರಿಸೋಣ. ಮಿಕ್ಸಿಯಲ್ಲಿ, ಹುರಿದ ಚನಾ ದಾಲ್ ಮತ್ತು ತೆಂಗಿನಕಾಯಿ ಸೇರಿಸಿ. ಅವುಗಳನ್ನು ಮಿಕ್ಸರ್ ಗ್ರೈಂಡರ್‌ನಲ್ಲಿ ಒರಟಾದ ಪುಡಿಯಾಗಿ ರುಬ್ಬಿಕೊಳ್ಳಿ. ಮಿಶ್ರಣಕ್ಕೆ ತುರಿದ ಬೆಲ್ಲವನ್ನು ಸೇರಿಸಿ ಮತ್ತು ಅವುಗಳನ್ನು ಚೆನ್ನಾಗಿ ಒಗ್ಗೂಡಿಸಿ. ಕರ್ಜಿಕಾಯಿಯನ್ನು ತಯಾರಿಸಲು, ನಿಂಬೆ ಗಾತ್ರದ ಹಿಟ್ಟನ್ನು ತೆಗೆದುಕೊಂಡು ಅದರಿಂದ ಸಣ್ಣ ಚೆಂಡನ್ನು ಮಾಡಿ. ಅವುಗಳನ್ನು 2 ಮಿಮೀ ದಪ್ಪದ ಸಣ್ಣ ವೃತ್ತಕ್ಕೆ ಸುತ್ತಿಕೊಳ್ಳಿ. ಉಳಿದ ಹಿಟ್ಟನ್ನು ಒದ್ದೆ ಬಟ್ಟೆಯಿಂದ ಮುಚ್ಚಲು ಖಚಿತಪಡಿಸಿಕೊಳ್ಳಿ. ಈಗ, ನೀವು ಹೊಂದಿದ್ದರೆ ನೀವು ಕರ್ಜಿಕಾಯಿಯನ್ನು ಅಚ್ಚುಗಳೊಂದಿಗೆ ಆಕಾರ ಮಾಡಬಹುದು. ಇಲ್ಲದಿದ್ದರೆ, ಕುಕೀ ಕಟ್ಟರ್ ಅಥವಾ ಸರಳ ಜಾರ್ ಮುಚ್ಚಳವನ್ನು ಬಳಸಿ ಸುತ್ತಿಕೊಂಡ ಹಿಟ್ಟನ್ನು ವೃತ್ತಾಕಾರವಾಗಿ ಕತ್ತರಿಸಿ. ವೃತ್ತದ ಅಂಚುಗಳನ್ನು ನೀರಿನಿಂದ ಬ್ರಷ್ ಮಾಡಿ. ಅರ್ಧವೃತ್ತವನ್ನು ರೂಪಿಸಲು ಪೇಸ್ಟ್ರಿಯನ್ನು ಪದರ ಮಾಡಿ. ಅಂಚುಗಳನ್ನು ಸಂಪೂರ್ಣವಾಗಿ ಮೊಹರು ಮಾಡಲಾಗಿದೆ ಮತ್ತು ಯಾವುದೇ ಅಂತರವಿಲ್ಲ ಎಂದು ಖಚಿತಪಡಿಸಿಕೊಳ್ಳಿ. ಈಗ, ಅಂಚುಗಳನ್ನು ಆಕಾರಗಳನ್ನು ನೀಡಲು ಮತ್ತು ಅವುಗಳನ್ನು ಒಟ್ಟಿಗೆ ಅಂಟಿಕೊಳ್ಳಲು ಫೋರ್ಕ್ನೊಂದಿಗೆ ಗುರುತಿಸಿ. ಇಲ್ಲದಿದ್ದರೆ, ನೀವು ಅವುಗಳನ್ನು ಒಟ್ಟಿಗೆ ಮುಚ್ಚಲು ಅಂಚುಗಳನ್ನು ಸ್ವಲ್ಪಮಟ್ಟಿಗೆ ಮಡಚಬಹುದು. ತುಂಬಿದ ಪೇಸ್ಟ್ರಿಗಳನ್ನು ಒದ್ದೆಯಾದ ಬಟ್ಟೆಯಿಂದ ಮುಚ್ಚಿ. ಎಲ್ಲಾ ಚೆಂಡುಗಳಿಗೆ ಅದೇ ವಿಧಾನವನ್ನು ಪುನರಾವರ್ತಿಸಿ. ಕಡಾಯಿಯಲ್ಲಿ ಎಣ್ಣೆಯನ್ನು ಬಿಸಿ ಮಾಡಿ. ಎಣ್ಣೆ ಬಿಸಿಯಾದ ನಂತರ, ಹಿಟ್ಟಿನ ಸಣ್ಣ ಉಂಡೆಯನ್ನು ಎಣ್ಣೆಗೆ ಬಿಡಿ. ಹಿಟ್ಟು ಸ್ಥಿರವಾಗಿ ಏರಿದರೆ, ಎಣ್ಣೆಯು ಹುರಿಯಲು ಸೂಕ್ತವಾಗಿದೆ. ಕರ್ಜಿಕಾಯಿಯನ್ನು ಮಧ್ಯಮ ಉರಿಯಲ್ಲಿ ಚಿನ್ನದ ಬಣ್ಣಕ್ಕೆ ತಿರುಗುವವರೆಗೆ ಒಂದೊಂದಾಗಿ ಫ್ರೈ ಮಾಡಿ. ಕರ್ಜಿಕಾಯಿಯನ್ನು ಅರ್ಧದಾರಿಯ ಮೂಲಕ ತಿರುಗಿಸಿ. ಕರ್ಜಿಕಾಯಿಯನ್ನು ಬೆಚ್ಚಗೆ ಬಡಿಸಿ ಅಥವಾ ಅವುಗಳನ್ನು ಗಾಳಿಯಾಡದ ಧಾರಕದಲ್ಲಿ ಸಂಗ್ರಹಿಸಲು ಸಂಪೂರ್ಣವಾಗಿ ತಣ್ಣಗಾಗಲು ಅನುಮತಿಸಿ.
</t>
  </si>
  <si>
    <t>http://www.archanaskitchen.com/karjikai-karnataka-style-deep-fried-sweet-pastry-recipe</t>
  </si>
  <si>
    <t>Karnatak Style Hurigadale Tambittu Recipe - Gram Flour Ladoo</t>
  </si>
  <si>
    <t>ಕರ್ನಾಟಕ ಶೈಲಿಯ ಹುರಿಗಡಲೆ ತಂಬಿಟ್ಟು ರೆಸಿಪಿ - ಗ್ರಾಂ ಫ್ಲೋರ್ ಲಾಡು</t>
  </si>
  <si>
    <t>3 ಕಪ್ ಬೇಳೆ ಹಿಟ್ಟು (ಬೀಸನ್), 1 ಕಪ್ ತುಪ್ಪ, 2 ಕಪ್ ಬೆಲ್ಲ, 1 ಕಪ್ ಒಣ ತೆಂಗಿನಕಾಯಿ (ಕೋಪ್ರಾ), 4 ಟೀ ಚಮಚ ಏಲಕ್ಕಿ ಪುಡಿ (ಎಲೈಚಿ)</t>
  </si>
  <si>
    <t>3 cups Gram flour (besan),1 cup Ghee,2 cups Jaggery,1 cup Dry coconut (kopra),4 teaspoons Cardamom Powder (Elaichi)</t>
  </si>
  <si>
    <t xml:space="preserve">To begin making the Karnataka Style Hurigadale Tambittu Recipe (Gram flour Ladoo Recipe), heat a kadai, dry roast the coconut till it become light brown. It will take about 10 to 15 minutes. Take it out and keep it aside.Clean the kadai and heat the ghee first, once it is heated add the jaggery and allow it to melt. The jaggery will slowly start to bubble and combine with ghee. You can add the cardamom powder and mix well.At this stage, add the flour and dry coconut slowly and simultaneously keep mix it so that there are no lumps formed.You will have a consistency of thick halwa, keep it on the heat for 5 more minutes and switch it off.Allow it to cool little bit so that you can start making small balls.Take ghee or water on your palm and take out small mixture of the tambittu and roll it into a spherical shape. Do the same for the rest. Once ready, serve them to your family.Serve the Karnataka Style Hurigadale Tambittu after a simple meal of Togaribele Tovve Recipe and Steamed Rice for your weekday lunch.
</t>
  </si>
  <si>
    <t xml:space="preserve">ಕರ್ನಾಟಕ ಶೈಲಿಯ ಹುರಿಗಡಲೆ ತಂಬಿಟ್ಟು ರೆಸಿಪಿ (ಬೇಳೆ ಹಿಟ್ಟು ಲಾಡೂ ರೆಸಿಪಿ) ತಯಾರಿಸಲು ಪ್ರಾರಂಭಿಸಲು, ಕಡಾಯಿಯನ್ನು ಬಿಸಿ ಮಾಡಿ, ತೆಂಗಿನಕಾಯಿಯನ್ನು ಕಂದು ಬಣ್ಣ ಬರುವವರೆಗೆ ಒಣಗಿಸಿ. ಇದು ಸುಮಾರು 10 ರಿಂದ 15 ನಿಮಿಷಗಳನ್ನು ತೆಗೆದುಕೊಳ್ಳುತ್ತದೆ. ಅದನ್ನು ಹೊರತೆಗೆದು ಪಕ್ಕಕ್ಕೆ ಇರಿಸಿ. ಕಡಾಯಿಯನ್ನು ಸ್ವಚ್ಛಗೊಳಿಸಿ ಮತ್ತು ತುಪ್ಪವನ್ನು ಮೊದಲು ಬಿಸಿ ಮಾಡಿ, ಅದು ಬಿಸಿಯಾದ ನಂತರ ಬೆಲ್ಲವನ್ನು ಸೇರಿಸಿ ಮತ್ತು ಅದನ್ನು ಕರಗಿಸಲು ಅನುಮತಿಸಿ. ಬೆಲ್ಲವು ನಿಧಾನವಾಗಿ ಗುಳ್ಳೆಯಾಗಲು ಪ್ರಾರಂಭಿಸುತ್ತದೆ ಮತ್ತು ತುಪ್ಪದೊಂದಿಗೆ ಸೇರಿಕೊಳ್ಳುತ್ತದೆ. ನೀವು ಏಲಕ್ಕಿ ಪುಡಿಯನ್ನು ಸೇರಿಸಿ ಚೆನ್ನಾಗಿ ಮಿಶ್ರಣ ಮಾಡಬಹುದು. ಈ ಹಂತದಲ್ಲಿ, ಹಿಟ್ಟು ಮತ್ತು ಒಣ ತೆಂಗಿನಕಾಯಿಯನ್ನು ನಿಧಾನವಾಗಿ ಸೇರಿಸಿ ಮತ್ತು ಏಕಕಾಲದಲ್ಲಿ ಅದನ್ನು ಮಿಶ್ರಣ ಮಾಡಿ ಇದರಿಂದ ಯಾವುದೇ ಉಂಡೆಗಳು ಉಂಟಾಗುವುದಿಲ್ಲ. ನೀವು ದಪ್ಪ ಹಲ್ವಾವನ್ನು ಹೊಂದಿರುತ್ತೀರಿ, ಅದನ್ನು ಇನ್ನೂ 5 ನಿಮಿಷಗಳ ಕಾಲ ಶಾಖದಲ್ಲಿ ಇರಿಸಿ ಮತ್ತು ಅದನ್ನು ಆಫ್ ಮಾಡಿ. ಸ್ವಲ್ಪ ತಣ್ಣಗಾಗಲು ಅನುಮತಿಸಿ ಇದರಿಂದ ನೀವು ಸಣ್ಣ ಉಂಡೆಗಳನ್ನು ಮಾಡಲು ಪ್ರಾರಂಭಿಸಬಹುದು. ಒಂದು ಗೋಳಾಕಾರದ ಆಕಾರ. ಉಳಿದವರಿಗೂ ಅದೇ ರೀತಿ ಮಾಡಿ. ಒಮ್ಮೆ ಸಿದ್ಧವಾದ ನಂತರ, ಅವುಗಳನ್ನು ನಿಮ್ಮ ಕುಟುಂಬಕ್ಕೆ ಬಡಿಸಿ. ನಿಮ್ಮ ವಾರದ ದಿನದ ಊಟಕ್ಕೆ ತೊಗರಿಬೇಳೆ ತೊವ್ವೆ ರೆಸಿಪಿ ಮತ್ತು ಸ್ಟೀಮ್ಡ್ ರೈಸ್‌ನ ಸರಳ ಊಟದ ನಂತರ ಕರ್ನಾಟಕ ಶೈಲಿಯ ಹುರಿಗಡಲೆ ತಂಬಿಟ್ಟು ಬಡಿಸಿ.
</t>
  </si>
  <si>
    <t>http://www.archanaskitchen.com/karanatak-style-hurigadle-tambittu-recipe-gram-flour-laddoo-recipe</t>
  </si>
  <si>
    <t>Pudina Mavinakayi Chutney Recipe</t>
  </si>
  <si>
    <t>ಪುದೀನಾ ಮಾವಿನಕಾಯಿ ಚಟ್ನಿ ರೆಸಿಪಿ - Pudina Mavinakayi Chutney Recipe</t>
  </si>
  <si>
    <t>1 ಕಚ್ಚ ಆಮ್ - ಕಸ್ ಲೆ,1 ಕಪ್ ನಾರಿಯಲ್,1/2 ಕಪ್ ಹರಾ ಧನಿಯಾ,1/2 ಕಪ್ ಪುದೀನಾ,1 ಇಂಚು ಅದಾರಕ,2 ಚರಕ,1 ಬಡಾ ಚಮ್ಮಚ ನಿಂಬೂ ಕಾ ರಸ,ನಮಕ - ಸ್ವಾದ ಅನುಸಾರ್,1 ಛೋಟಾ ಚಮ್ಮಚ ಸಫಲದ, 1 ಛೋಟಾ ಚಮ್ಮಚ್ ರೈ, ತೇಲ್ - ಪ್ರಯೋಗ ಅನುಸಾರ್,2 ಸುಖಿ ಲಾಲ್ ಮಿರ್ಚ್</t>
  </si>
  <si>
    <t>1 कच्चा आम - कस ले,1 कप नारियल,1/2 कप हरा धनिया,1/2 कप पुदीना,1 इंच अदरक,2 हरी मिर्च,1 बड़ा चम्मच निम्बू का रस,नमक - स्वाद अनुसार,1 छोटा चम्मच सफ़ेद उरद दाल,1 छोटा चम्मच राइ,तेल - प्रयोग अनुसार,2 सुखी लाल मिर्च</t>
  </si>
  <si>
    <t>"To make Pudina Mavinakai Chutney Recipe, firstly in a mixer grinder add raw mango, coriander, coconut, mint, ginger, green chillies, lemon juice, salt, 1/4 cup water and grind to make a paste. Transfer it to a bowl. For the tempering, heat oil in a tempering pan. Add mustard seeds, urad dal and cook till the dal turns golden. Now add dried red chillies and cook for 10 seconds. Pour this tempering into the chutney and mix it. Serve Pudina Mavinakai Chutney Recipe with Ghee Roast Dosa and Filter Coffee for breakfast."</t>
  </si>
  <si>
    <t xml:space="preserve">ಪುದೀನಾ ಮಾವಿನಕಾಯಿ ಚಟನಿ ರೆಸಿಪಿ ಬನಾನೆಗೆ ಲಿಯೇ ಸಬಸೆ ಪಹಲೆ ಒಂದು ಮಿಕ್ಸರ್ ಗ್ರೈಂಡರ್, ಚಮ್ ಧನಿಯಾ, ನಾರಿಯಲ್, ಪುದೀನಾ, ಅಡರಕ್, ಹರಿ ಮಿರ್ಚ್, ನಿಂಬೂ ಕಾರಸ್, ನಮಕ್, 1/4 ಕಪ್ ಪಾನಿ ಬಟ್ಟಲು ಮತ್ತು ಕರಪತ್ರಗಳು ಲೆ. ಒಂದು ಬೌಲ್ ಮೆನ್ ನಿಕಾಲ್ ಲೆ.ತಡಕೆಗೆ ತಡಕಾ ಪೈನ್ ಮೆಂ ಟೆಲ್ ಗರಂ ಕರೆಂ. ಅದೇ ರೀತಿ ರೈ, ಉರದ ದಾಲ್ ಡಾಲೆ ಮತ್ತು ದಾಳದ ಸುನಹರ ಹೋನೆ ತಕ ಪಕ ಲೆ. ಈಗ ಸುಖಿ ಲಾಲ್ ಮಿರ್ಚ್ ಡೇಲ್ ಮತ್ತು 10 ಸೆಕಂಡ್ಸ್ ಪಕ ಲೆ. ಇಸ್ ತಡಕೆ ಕೋ ಚಟನಿ ಮೆಂ ಡಾಲೆ ಮತ್ತು ಮಿಲಾ ಲೆ. ಪುದೀನಾ ಮಾವಿನಕಾಯಿ ಚಟನಿ ರೆಸಿಪಿ ಕೋ ಘಿ ರೋಸ್ಟ್ ಡೋಸಾ ಮತ್ತು ಫಿಲ್ಟರ್ ಕೋಟ್ ಕೇಸ್ ಫಾಥಿಂಗ್ ಪರೋಸ್.
</t>
  </si>
  <si>
    <t>http://www.archanaskitchen.com/pudina-mavinakayi-chutney-recipe-mint-mango-chutney-in-hindi</t>
  </si>
  <si>
    <t>Karnataka Style Aralu Sandige Recipe - Puffed Paddy Fryums</t>
  </si>
  <si>
    <t>ಕರ್ನಾಟಕ ಶೈಲಿಯ ಅರಳು ಸಂಡಿಗೆ ರೆಸಿಪಿ - ಪಫ್ಡ್ ಪಾಡಿ ಫ್ರೈಮ್ಸ್</t>
  </si>
  <si>
    <t>10 ಕಪ್ ಪುಫ್ಡ್ ರೈಸ್ - (ಅರಳು), 1/2 ಕಪ್ ಸಾಬುದಾನ (ಟ್ಯಾಪಿಯೋಕಾ ಮುತ್ತುಗಳು), 1 ಕಪ್ ವೆಲೈ ಪೂಸನಿಕಾಯಿ (ಬೂದಿ ಸೋರೆಕಾಯಿ / ಬಿಳಿ ಕುಂಬಳಕಾಯಿ) - ಸಿಪ್ಪೆ ಸುಲಿದ ಮತ್ತು ನುಣ್ಣಗೆ ಕತ್ತರಿಸಿದ, 4 ಹಸಿರು ಮೆಣಸಿನಕಾಯಿಗಳು - ಪೇಸ್ಟ್, ಕೊತ್ತಂಬರಿ (ಧನಿಯಾ) ಎಲೆಗಳು - ಸಣ್ಣ ಗೊಂಚಲು, 1/2 ಟೀ ಚಮಚ (ಒಂದು ಟೀಚಮಚ) (ಐಚ್ಛಿಕ), ಉಪ್ಪು - ರುಚಿಗೆ</t>
  </si>
  <si>
    <t>10 cups Puffed rice - (aralu),1/2 cup Sabudana (Tapioca Pearls),1 cup Vellai Poosanikai (Ash gourd/White Pumpkin) - de skinned &amp; finely chopped,4 Green Chillies - paste,Coriander (Dhania) Leaves - small bunch,1/2 teaspoon Cumin seeds (Jeera),Asafoetida (hing) - (optional),Salt - to taste</t>
  </si>
  <si>
    <t xml:space="preserve">To begin making Karnataka Style Aralu Sandige Recipe - Puffed Paddy Fryums, deskin ash gourd, remove the seeds and softer part and finely chop the harder portion. Keep aside.Pressure cook sabudana in small cooker for 1-2 whistle. If you want you can cook them directly in a pan too. Sieve extra water.Prepare a large tray or plastic sheet by lightly greasing it.Take a big mixing bowl, add cooked sabudana, ash gourd,chilli paste, chopped coriander, hing and salt and mix well.Take another big vessel with water. Add aralu little by little to the water. Dampen it, lightly press it between your palms to squeeze out extra water and add it to the mixing bowl with the sabudana spicy mixture.Repeat the same for entire aralu. Once done, gently mix the entire mix with your finger tips. Don't add any extra water or pressure.Wet your hands slightly, take a small ball of aralu sandige mix and press it very gently to the sides of the vessel, give a pyramid shape and place on tray.Sundry them for 1-3 days till they are completely dried .Remove them and store in airtight containers.Deep fry Aralu Sandige whenever you need and serve.Serve Aralu Sandige Recipe with a South Indian meals of steamed rice, North Karnataka Style Nuggekai Kharbyaali Recipe and Carrot And Beans Poriyal Recipe.
</t>
  </si>
  <si>
    <t xml:space="preserve">ಕರ್ನಾಟಕ ಶೈಲಿಯ ಅರಳು ಸಂಡಿಗೆ ಪಾಕವಿಧಾನವನ್ನು ತಯಾರಿಸಲು ಪ್ರಾರಂಭಿಸಲು - ಉಬ್ಬಿದ ಭತ್ತದ ಫ್ರೈಮ್ಸ್, ಬೂದಿ ಸೋರೆಕಾಯಿ, ಬೀಜಗಳು ಮತ್ತು ಮೃದುವಾದ ಭಾಗವನ್ನು ತೆಗೆದುಹಾಕಿ ಮತ್ತು ಗಟ್ಟಿಯಾದ ಭಾಗವನ್ನು ನುಣ್ಣಗೆ ಕತ್ತರಿಸಿ. ಪಕ್ಕಕ್ಕೆ ಇರಿಸಿ. 1-2 ಸೀಟಿಗೆ ಸಣ್ಣ ಕುಕ್ಕರ್‌ನಲ್ಲಿ ಪ್ರೆಶರ್ ಕುಕ್ ಸಾಬುದಾನ. ನೀವು ಬಯಸಿದರೆ, ನೀವು ಅವುಗಳನ್ನು ನೇರವಾಗಿ ಬಾಣಲೆಯಲ್ಲಿ ಬೇಯಿಸಬಹುದು. ಹೆಚ್ಚುವರಿ ನೀರನ್ನು ಶೋಧಿಸಿ.ದೊಡ್ಡ ಟ್ರೇ ಅಥವಾ ಪ್ಲಾಸ್ಟಿಕ್ ಶೀಟ್ ಅನ್ನು ಲಘುವಾಗಿ ಗ್ರೀಸ್ ಮಾಡುವ ಮೂಲಕ ತಯಾರಿಸಿ. ದೊಡ್ಡ ಮಿಕ್ಸಿಂಗ್ ಬೌಲ್ ಅನ್ನು ತೆಗೆದುಕೊಂಡು, ಬೇಯಿಸಿದ ಸಾಬೂದಾನ, ಬೂದಿ ಸೋರೆಕಾಯಿ, ಮೆಣಸಿನಕಾಯಿ ಪೇಸ್ಟ್, ಕತ್ತರಿಸಿದ ಕೊತ್ತಂಬರಿ ಸೊಪ್ಪು, ಹಿಂಗ್ ಮತ್ತು ಉಪ್ಪು ಸೇರಿಸಿ ಮತ್ತು ಚೆನ್ನಾಗಿ ಮಿಶ್ರಣ ಮಾಡಿ. ಇನ್ನೊಂದು ದೊಡ್ಡ ಪಾತ್ರೆಯನ್ನು ನೀರಿನಿಂದ ತೆಗೆದುಕೊಳ್ಳಿ. ನೀರಿಗೆ ಸ್ವಲ್ಪ ಸ್ವಲ್ಪ ಅರಳು ಸೇರಿಸಿ. ಅದನ್ನು ತೇವಗೊಳಿಸಿ, ಹೆಚ್ಚುವರಿ ನೀರನ್ನು ಹಿಂಡಲು ನಿಮ್ಮ ಅಂಗೈಗಳ ನಡುವೆ ಲಘುವಾಗಿ ಒತ್ತಿರಿ ಮತ್ತು ಸಾಬುದಾನ ಮಸಾಲೆ ಮಿಶ್ರಣದೊಂದಿಗೆ ಮಿಶ್ರಣ ಮಾಡುವ ಬಟ್ಟಲಿಗೆ ಸೇರಿಸಿ. ಸಂಪೂರ್ಣ ಅರಳುಗಾಗಿ ಅದೇ ಪುನರಾವರ್ತಿಸಿ. ಒಮ್ಮೆ ಮಾಡಿದ ನಂತರ, ಸಂಪೂರ್ಣ ಮಿಶ್ರಣವನ್ನು ನಿಮ್ಮ ಬೆರಳ ತುದಿಗಳೊಂದಿಗೆ ನಿಧಾನವಾಗಿ ಮಿಶ್ರಣ ಮಾಡಿ. ಯಾವುದೇ ಹೆಚ್ಚುವರಿ ನೀರು ಅಥವಾ ಒತ್ತಡವನ್ನು ಸೇರಿಸಬೇಡಿ. ನಿಮ್ಮ ಕೈಗಳನ್ನು ಸ್ವಲ್ಪ ತೇವಗೊಳಿಸಿ, ಅರಳು ಸಂಡಿಗೆ ಮಿಶ್ರಣದ ಸಣ್ಣ ಉಂಡೆಯನ್ನು ತೆಗೆದುಕೊಂಡು ಅದನ್ನು ಪಾತ್ರೆಯ ಬದಿಗಳಿಗೆ ಬಹಳ ನಿಧಾನವಾಗಿ ಒತ್ತಿ, ಪಿರಮಿಡ್ ಆಕಾರವನ್ನು ನೀಡಿ ಮತ್ತು ಟ್ರೇ ಮೇಲೆ ಇರಿಸಿ. ಅವುಗಳನ್ನು ಸಂಪೂರ್ಣವಾಗಿ ಒಣಗಿಸುವವರೆಗೆ 1-3 ದಿನಗಳ ಕಾಲ ಬಿಡಿ. ಅವುಗಳನ್ನು ತೆಗೆದುಹಾಕಿ ಮತ್ತು ಗಾಳಿಯಾಡದ ಪಾತ್ರೆಗಳಲ್ಲಿ ಸಂಗ್ರಹಿಸಿ. ಆವಿಯಲ್ಲಿ ಬೇಯಿಸಿದ ಅನ್ನದ ದಕ್ಷಿಣ ಭಾರತದ ಊಟದೊಂದಿಗೆ ಸಂಡಿಗೆ ರೆಸಿಪಿ, ಉತ್ತರ ಕರ್ನಾಟಕ ಶೈಲಿಯ ನುಗ್ಗೆಕಾಯಿ ಖಾರ್ಬ್ಯಾಲಿ ರೆಸಿಪಿ ಮತ್ತು ಕ್ಯಾರೆಟ್ ಮತ್ತು ಬೀನ್ಸ್ ಪೊರಿಯಾಲ್ ರೆಸಿಪಿ.
</t>
  </si>
  <si>
    <t>http://www.archanaskitchen.com/karnataka-style-aralu-sandige-recipe-puffed-paddy-fryums</t>
  </si>
  <si>
    <t xml:space="preserve">Palak Dal </t>
  </si>
  <si>
    <t>ಕರ್ನಾಟಕ ಸ್ಟೈಲ್ ಪಾಲಕ್ ದಾಲ್ ಯಾ ಪಾಲಕ್ ತೊವ್ವೆ ರೆಸಿಪಿ- ಪಾಲಕ್ ದಾಲ್ (ಹಿಂದಿಯಲ್ಲಿ ಪಾಕವಿಧಾನ)</t>
  </si>
  <si>
    <t>2 ಕಪ್ ಪಾಲಕ - ಪಾಲಕ ಪತ್ತಿಯಾಂ ಸಾಫ್ ಕರ,2 ಕಪ್ ತುಅರ ದಾಲ್,1 ಕಪ್ ನಾರಿಯಲ್ - ಕಸ ಹುಯಾ,3 ಹರಿ ಮಿರ್ಚ, ಥೋಡಾ (ಕಾಟ ಹುವಾ),ನಮಕ - ಸ್ವಾದ ಅನುಸಾರ್,1 ಬಡಾ ಚಮಚ್ಚ ಘೀ,1/2 ಛೋಟ,1 ಚಮಟಾ ಛೋಟಾ ಚಮಚ್ಚ ಜೀರಾ,1/4 ಛೋಟಾ ಚಮಚ್ಚ ಹೀಂಗ್,4 ಕಢೀ ಪತ್ತಾ</t>
  </si>
  <si>
    <t>2 cups Spinach - Clean the leaves of spinach, 2 cups of tur dal, 1 cup coconut - grated, 3 green chillies, coriander leaves - a little (chopped), salt - as per taste, 1 tablespoon ghee, 1/2 teaspoon Rye, 1/2 teaspoon cumin seeds, 1/4 teaspoon asafoetida, 4 curry leaves</t>
  </si>
  <si>
    <t>"To make Palak Daal, first cook toor dal in 3 bowls of water and turmeric till it becomes soft. For the recipe of dal, see here. After this, blanch the spinach. Drain the water and keep it aside. After this, in a mixer grinder, add coconut, green chillies, coriander leaves, salt and some water. Grind it and take it out in a bowl. Now take the cooked dal in a saucepan and mash it well. After mashing, add spinach and coconut paste to it. Add some water and mix it. Cook for 2 to 4 minutes. For the tempering, heat ghee in a small pan. Add mustard seeds, cumin seeds and cook for 15 seconds. After 15 seconds, add curry leaves, asafoetida and cook for 1 minute. Turn off the gas. Pour this tempering in the dal, mix it and cook for 3 to 4 minutes. Turn off the gas and serve hot. Palak Daal or Tovve You can serve it with hot roti or phulka for dinner.</t>
  </si>
  <si>
    <t xml:space="preserve">ಪಾಲಕ ದಾಲ್ ಬನಾನೆಗೆ ಸಬಸೆ ಪಹಳೆ ತೂವರ ದಾಲ್ ಕೋ 3 ಕಟೋರಿ ಪಾನಿ ಮತ್ತು ಹಲ್ದಿಯ ವಿಷಯಗಳು ಲೆ.  ದಾಳ ಕೋ ಪಕಾನೇ ಕಿ ವಿಧಿ ಇಲ್ಲೇ ಯಹಾಂ ದೇಖೆ. ಇಸಕೆ ಬಾದ ಪಾಲಕ ಕೋ ಬ್ಲಾಂಚ್ ಕರ್ ಲೇ. ಪಾನಿ ನಿಕಲೆ ಮತ್ತು ಅಲಗ್ ಸೆ ರಖ್ ದೇ. ಇಸಕೆ ಬಾದ ಮಿಕ್ಸರ್ ಗ್ರೈಂಡರ್‌ನಲ್ಲಿ ನಾರಿಯಲ್, ಹರಿ ಮಿರ್ಚ್, ಹರಾ ಧನಿಯಾ, ನಮಕ್ ಮತ್ತು ಥಾಲದ ಪೀಸ್ ಲೆ ಮತ್ತು ಕಟೋರಿ ಮೆನ್ ನಿಕಾಲ್ ದೆ. ಅಬ್ ಒಂದು ಸಪೈನ್ ಮೆನ್ ಪಾಕಿ ಹುಯಿ ದಾಲ್ ಡಾಲೆ ಮತ್ತು ಅಚ್ಚಿ ರಹ ಸೆ ಮೈಶ್ ಕರ್ ಲೆ. ಮೈಶ್ ಕರನೇ ಕೆ ಬಾದ್ ಇಸ್ಮೆಂ ಪಾಲಕ್ ಮತ್ತು ನಾರಿಯಲ್ ಕಾ ಪೆಸ್ಟ್ ಡಾಲೆ. ಥೋಡಾ ಪಾನಿ ದಾಲೆ ಮತ್ತು ಮಿಲಾ ಲೆ.  2 ಸೆ 4 ನಿಮಿಷಗಳು ಅದೇ ರೀತಿ ರೈ, ಜೀರಾ ದಾಲೆ ಮತ್ತು 15 ಸೆಕಂಡ್‌ಗಳು 15 ಸೆಕೆಂಡ್‌ಗಳ ಬಡ ಇಸ್ಮೆಂ ಕಢೀ ಪತ್ತಾ, ಹೀಂಗ್ ಡೇಲ್ ಮತ್ತು 1 ನಿಮಿಷಕ್ಕೆ ಪಕನೆ. ಗಾಯ್ ಬಂದ ಕರ್ ಲೇ. ಗೈಸ್ ಬಂದ ಕರೆಂ ಮತ್ತು ಗರಾಮ ಗರಂ ಪರೋಸೆ. ಪಾಲಕ ದಾಲ್ ಯಾ ತೊವ್ವೆ ಕೊ ಆಪ ಗರಂ ರೋಟಿ ಯಾ ಫುಲ್ಕಾ
</t>
  </si>
  <si>
    <t>http://www.archanaskitchen.com/palak-dal-recipe-in-hindi</t>
  </si>
  <si>
    <t>ಎಲೆ ಕಡುಬು ಮತ್ತು ಪ್ಯಾಜ್ ಕಿ ಚಟನಿ ರೆಸಿಪಿ - Yele Kadubu Recipe With Sweet And Spicy Onion Chutney</t>
  </si>
  <si>
    <t>1-1/2 ಕಪ್ ಗೆಹೂಂ ಕಾ ಆಟಾ,ಪಾನಿ - ಪ್ರಯೋಗ ಅನುಸಾರ್,ನಮಕ - ಸ್ವಾದ ಅನುಸಾರ್,3 ಬಡ, ಚಮ್ -ಚಮ ಪ್ರಯೋಗ ಅನುಸಾರ್,2 ಲಾಲ್ ಪ್ಯಾಜ್,10 ಕಲಿ ಲಹಸುನ್,1/4 ಛೋಟಾ ಚಮ್ಮಚ್ ಮೆಥಿಗೆ ದಾನೆ,10 ಸುಲಖಿ,1 ಬಡಾ ಚಮ್ಮಚ್ ಇಮಲಿ ಕಾ ಪೆಸ್ಟ್,5 ಬಡೆ ಚಮ್ಮಚ್ ಗುಡ - ಪೌಡರ್ ಬನಾ ಲೆ,ತೆ ಅನುಸಾರ್,ನಮಕ - ಸ್ವಾದ ಅನುಸಾರ್</t>
  </si>
  <si>
    <t>1-1 / 2 cup wheat flour, water - as per use, salt - as per taste, 3 tablespoons ghee, oil - as per use, 2 red onions, 10 bud garlic, 1/4 tsp fenugreek seeds, 10 dry red Chili, 1 tbsp tamarind paste, 5 tbsp jaggery - make powder, oil - as per use, salt - as per taste</t>
  </si>
  <si>
    <t>"To make Yele Kadubu and Onion Chutney Recipe, we will first make Yele Kadubu. Now in a bowl add wheat flour, salt, ghee, some water and mix well and knead the dough. Keep aside for 10 minutes after mixing. Now take some dough and make it like a roti. Fold it twice and make it in triangle shape. Now grease the idli steamer with ghee. Add Yele Kadubu in it and steam it for 8 to 10 minutes. Now to make the chutney, heat oil in a pan. Add onion, fenugreek seeds, dry red chilli and cook till the onion becomes soft. Turn off the gas and let the mixture cool down. Put it in a mixer grinder along with jaggery, salt, tamarind and make a paste. Take it out in a bowl and serve. Serve Yele Kadubu and Onion Chutney Recipe as an evening snack with masala tea Serve it.</t>
  </si>
  <si>
    <t xml:space="preserve">ಎಲೆ ಕಡುಬು ಮತ್ತು ಪ್ರಯಾಜ್ ಕಿ ಚಟನಿ ರೆಸಿಪಿ ಬನಾನೆಗೆ ಸಬಸೆ ಪಹಳೆ ಹಮ ಏಳೆ ಕಡುಬು ಅಬ್ ಎಕ್ ಬೌಲ್ ಮೆನ್ ಗೆಹೂಂ ಕಾ ಆಟಾ, ನಮಕ್, ಘಿ, ಥೋಡಾ ಪಾನಿ ದಾಳೆ ಮತ್ತು ಹೆಚ್ಚು ವಿವರಗಳು ಗುಂದ ಲೇ. ಮಿಲಾನೆಗೆ ಬಾದ 10 ನಿಮಿಷಗಳು ಅಲಗ್ ಸೆ ರಖ್ ಲೆ. ಅಬ್ ಥೋಡಾ ಆಟಾ ಲೇ ಮತ್ತು ಉಸೇ ರೋಟಿ ಕಿ ತರಹ ಬನಾ ಲೆ. ಉಸೇ ದೋ ಬಾರ್ ಫೋಲ್ಡ್ ಕರೇ ಮತ್ತು ಟ್ರೇಯಾಂಗಲ್ ಶೇಪ್ ನಲ್ಲಿ ಬನಾ ಲೆ. ಅಬ್ ಇಡಲಿ ಸ್ಟೈಮರ್ ಕೋ ಘಿ ಸೆ ಗ್ರೀಸ್ ಕರ್ ಲೇ. ಅದೇ ಸಮಯದಲ್ಲಿ ಕಡುಬು ಡಾಲೆ ಮತ್ತು 8 ಸೆ 10 ನಿಮಿಷಗಳು  ಅಬ್ ಚಟನಿ ಬನಾನೆಗೆ, ಒಂದು ಕಥೆಯಲ್ಲಿ ತೇಲ್ ಗರಂ ಕರೆಂ. ಇದೇ ರೀತಿಯಾಗಿ ಯಾಜ್, ಮೇಥಿಗೆ ದಾನೆ, ಸುಖಿ ಲಾಲ್ ಮಿರ್ಚ್ ಡಾಲೆ ಮತ್ತು ಪ್ರಯಾಜ್‌ನ ನರಮ್ ಹೋನೆ ತಕ ಪಕ ಲೆಂ. ಮತ್ತು ಮಿಶ್ರನ ಕೋ ಠಂಡಾ ಹೋನೆ ದೆ. ಈ ಒಂದು ಮಿಕ್ಸರ್ ಗ್ರೈಂಡರ್ ನಲ್ಲಿ ಗುಡ, ನಮಕ್, ಇಮಲಿ ಕೆ ಸಾಥ್ ಡಾಲೆ ಮತ್ತು ಪೆಸ್ಟ್ ಬನಾ ಲೆ. ಒಂದು ಬೌಲ್ ಮೆನ್ ನಿಕಾಲೆ ಮತ್ತು ಪರೋಸೆ. ಎಲೆ ಕಡುಬು ಮತ್ತು ಪ್ಯಾಜ್ ಕಿ ಚಟನಿ ರೆಸಿಪಿ ಕೋ ಮಸಾಲಾ ಚಾಯ್
</t>
  </si>
  <si>
    <t>https://www.archanaskitchen.com/yele-kadubu-recipe-with-sweet-and-spicy-onion-chutney-in-hindi</t>
  </si>
  <si>
    <t>Kerala Cheriya Ulli Sambar Recipe</t>
  </si>
  <si>
    <t>ಕೇರಳ ಚೆರಿಯಾ ಉಳ್ಳಿ ಸಾಂಬಾರ್ ರೆಸಿಪಿ</t>
  </si>
  <si>
    <t>1/2 ಕಪ್ ಅರ್ಹ್ ದಾಲ್ (ಒಡೆದ ದಾಲ್) - 15 ನಿಮಿಷಗಳ ಕಾಲ ನೆನೆಸಿದ, 1/4 ಟೀಚಮಚ ಅರಿಶಿನ ಪುಡಿ (ಹಲ್ದಿ), 1 ಕಪ್ ಹುಣಸೆ ನೀರು, 12 ಸೊಪ್ಪುಗಳು - ಸಿಪ್ಪೆ ಸುಲಿದ ಮತ್ತು ಕಾಲುಭಾಗ, 2 ಟೊಮ್ಯಾಟೊ - ಕಾಲುಭಾಗ, 1 ಚಮಚ ಸಾಂಬಾರ್ ಪುಡಿ, 1/4 ಕಪ್ ತಾಜಾ ತೆಂಗಿನಕಾಯಿ, 3 ಹಸಿರು ಮೆಣಸಿನಕಾಯಿಗಳು - 1 ಟೀಚಮಚ, ಹಸಿ ಮೆಣಸಿನಕಾಯಿಗಳು, 4 ಟೀಸ್ಪೂನ್. ಜೀರಿಗೆ (ಜೀರಾ), 1 ಚಮಚ ತಾಜಾ ತೆಂಗಿನಕಾಯಿ - ತುರಿದ, 1/4 ಟೀಸ್ಪೂನ್ ಇಂಗು (ಹಿಂಗ್), 5 ಕರಿಬೇವಿನ ಎಲೆಗಳು, 3 ಒಣ ಕೆಂಪು ಮೆಣಸಿನಕಾಯಿ, 2 ಚಮಚ ತೆಂಗಿನ ಎಣ್ಣೆ</t>
  </si>
  <si>
    <t>1/2 cup Arhar dal (Split Toor Dal) - soaked for 15 minutes,1/4 teaspoon Turmeric powder (Haldi),1 cup Tamarind Water,12 Shallots - peeled &amp; quartered,2 Tomatoes - quartered,1 tablespoon Sambar Powder,1/4 cup Fresh coconut,3 Green Chillies,Salt - to taste,1/2 teaspoon Mustard seeds,1/4 teaspoon Cumin seeds (Jeera),1 tablespoon Fresh coconut - grated,1/4 teaspoon Asafoetida (hing),5 Curry leaves,3 Dry Red Chilli,2 tablespoon Coconut Oil</t>
  </si>
  <si>
    <t xml:space="preserve">To start making Kerala Cheriya Ulli Sambar, in a pressure cooker add dal with a cup of water and turmeric powder. Pressure cook the dal for a couple of whistles. After a couple of whistles, turn the heat to low and simmer for 2 to 3 minutes and turn off the heat. Allow the pressure to release naturally. Once the pressure is released, open the cooker and mash the dal with a potato masher or whisk the dal to make it lightly smooth. Next in a small pan over medium heat, roast the coconut for a few minutes and grind it into a smooth paste. Keep aside.In a saute pan add a tablespoon of coconut oil and add shallots/small onions with a little salt, curry leaves, green chili and saute until translucent and slightly brown. Add the tomatoes, turmeric powder, sambar powder,salt and tamarind water to the onion mixture and bring this sambar mixture to a boil Turn the heat to low and simmer the ulli sambar mixture for about 3 to 4 minutes.After  few minutes, add the whisked dal and the coconut paste and give it a stir. Bring the mixture to a simmering boil for another 3 to 4 minutes. Check the salt and spice levels and adjust to suit your taste.Transfer the Ulli Sambar to a serving bowl. The final step is to make the seasoning. In a small tadka pan, heat  a teaspoon of coconut oil. Add the mustard seeds and allow it to crackle. Add the remaining ingredients and roast for about a minute until the aromas come through.Pour the seasoning to the Ulli Sambar, add the chopped coriander leaves and give the sambar a stir.Serve the Kerala Cheriya Ulli Sambar along with hot steamed rice, topped with ghee and a vegetable like Kerala Vendakkai Thoran.
</t>
  </si>
  <si>
    <t xml:space="preserve">ಕೇರಳ ಚೆರಿಯಾ ಉಳ್ಳಿ ಸಾಂಬಾರ್ ತಯಾರಿಸಲು ಪ್ರಾರಂಭಿಸಲು, ಪ್ರೆಶರ್ ಕುಕ್ಕರ್‌ನಲ್ಲಿ ಒಂದು ಕಪ್ ನೀರು ಮತ್ತು ಅರಿಶಿನ ಪುಡಿಯೊಂದಿಗೆ ದಾಲ್ ಅನ್ನು ಸೇರಿಸಿ. ಒಂದೆರಡು ಸೀಟಿಗಳವರೆಗೆ ದಾಲ್ ಅನ್ನು ಒತ್ತಡದಲ್ಲಿ ಬೇಯಿಸಿ. ಒಂದೆರಡು ಸೀಟಿಗಳ ನಂತರ, ಉರಿಯನ್ನು ಕಡಿಮೆ ಮಾಡಿ ಮತ್ತು 2 ರಿಂದ 3 ನಿಮಿಷಗಳ ಕಾಲ ಕುದಿಸಿ ಮತ್ತು ಉರಿಯನ್ನು ಆಫ್ ಮಾಡಿ. ಒತ್ತಡವನ್ನು ನೈಸರ್ಗಿಕವಾಗಿ ಬಿಡುಗಡೆ ಮಾಡಲು ಅನುಮತಿಸಿ. ಒತ್ತಡವು ಬಿಡುಗಡೆಯಾದ ನಂತರ, ಕುಕ್ಕರ್ ಅನ್ನು ತೆರೆಯಿರಿ ಮತ್ತು ಆಲೂಗೆಡ್ಡೆ ಮಾಶರ್ನೊಂದಿಗೆ ದಾಲ್ ಅನ್ನು ಮ್ಯಾಶ್ ಮಾಡಿ ಅಥವಾ ಸ್ವಲ್ಪ ಮೃದುವಾಗಿಸಲು ದಾಲ್ ಅನ್ನು ಪೊರಕೆ ಮಾಡಿ. ನಂತರ ಮಧ್ಯಮ ಉರಿಯಲ್ಲಿ ಸಣ್ಣ ಬಾಣಲೆಯಲ್ಲಿ, ತೆಂಗಿನಕಾಯಿಯನ್ನು ಕೆಲವು ನಿಮಿಷಗಳ ಕಾಲ ಹುರಿದು ನಯವಾದ ಪೇಸ್ಟ್ ಆಗಿ ರುಬ್ಬಿಕೊಳ್ಳಿ. ಪಕ್ಕಕ್ಕೆ ಇರಿಸಿ. ಸೌಟ್ ಪ್ಯಾನ್‌ನಲ್ಲಿ ಒಂದು ಚಮಚ ತೆಂಗಿನ ಎಣ್ಣೆಯನ್ನು ಸೇರಿಸಿ ಮತ್ತು ಸ್ವಲ್ಪ ಉಪ್ಪು, ಕರಿಬೇವಿನ ಎಲೆಗಳು, ಹಸಿರು ಮೆಣಸಿನಕಾಯಿಯೊಂದಿಗೆ ಈರುಳ್ಳಿ / ಸಣ್ಣ ಈರುಳ್ಳಿ ಸೇರಿಸಿ ಮತ್ತು ಅರೆಪಾರದರ್ಶಕ ಮತ್ತು ಸ್ವಲ್ಪ ಕಂದು ಬಣ್ಣ ಬರುವವರೆಗೆ ಹುರಿಯಿರಿ. ಈರುಳ್ಳಿ ಮಿಶ್ರಣಕ್ಕೆ ಟೊಮ್ಯಾಟೊ, ಅರಿಶಿನ ಪುಡಿ, ಸಾಂಬಾರ್ ಪುಡಿ, ಉಪ್ಪು ಮತ್ತು ಹುಣಸೆ ನೀರನ್ನು ಸೇರಿಸಿ ಮತ್ತು ಈ ಸಾಂಬಾರ್ ಮಿಶ್ರಣವನ್ನು ಕುದಿಸಿ ಮತ್ತು ಉರಿಯನ್ನು ಕಡಿಮೆ ಮಾಡಿ ಮತ್ತು ಉಳ್ಳಿ ಸಾಂಬಾರ್ ಮಿಶ್ರಣವನ್ನು ಸುಮಾರು 3 ರಿಂದ 4 ನಿಮಿಷಗಳ ಕಾಲ ಕುದಿಸಿ. ಮಿಶ್ರಣವನ್ನು ಇನ್ನೊಂದು 3 ರಿಂದ 4 ನಿಮಿಷಗಳ ಕಾಲ ಕುದಿಯುವ ಕುದಿಯುತ್ತವೆ. ಉಪ್ಪು ಮತ್ತು ಮಸಾಲೆ ಮಟ್ಟವನ್ನು ಪರಿಶೀಲಿಸಿ ಮತ್ತು ನಿಮ್ಮ ರುಚಿಗೆ ತಕ್ಕಂತೆ ಹೊಂದಿಸಿ. ಉಲ್ಲಿ ಸಾಂಬಾರ್ ಅನ್ನು ಸರ್ವಿಂಗ್ ಬೌಲ್‌ಗೆ ವರ್ಗಾಯಿಸಿ. ಮಸಾಲೆ ಮಾಡುವುದು ಅಂತಿಮ ಹಂತವಾಗಿದೆ. ಸಣ್ಣ ತಡ್ಕಾ ಪ್ಯಾನ್‌ನಲ್ಲಿ,  ಒಂದು ಟೀಚಮಚ ತೆಂಗಿನ ಎಣ್ಣೆಯನ್ನು ಬಿಸಿ ಮಾಡಿ. ಸಾಸಿವೆ ಕಾಳುಗಳನ್ನು ಸೇರಿಸಿ ಮತ್ತು ಅದನ್ನು ಸಿಡಿಸಲು ಬಿಡಿ. ಉಳಿದ ಪದಾರ್ಥಗಳನ್ನು ಸೇರಿಸಿ ಮತ್ತು ಸುವಾಸನೆ ಬರುವವರೆಗೆ ಸುಮಾರು ಒಂದು ನಿಮಿಷ ಹುರಿಯಿರಿ. ಉಳ್ಳಿ ಸಾಂಬಾರ್‌ಗೆ ಮಸಾಲೆ ಸುರಿಯಿರಿ, ಕತ್ತರಿಸಿದ ಕೊತ್ತಂಬರಿ ಸೊಪ್ಪನ್ನು ಸೇರಿಸಿ ಮತ್ತು ಸಾಂಬಾರ್ ಅನ್ನು ಬೆರೆಸಿ. ಕೇರಳ ಚೆರಿಯಾ ಉಳ್ಳಿ ಸಾಂಬಾರ್ ಅನ್ನು ಬಿಸಿ ಬೇಯಿಸಿದ ಅನ್ನದೊಂದಿಗೆ, ತುಪ್ಪ ಮತ್ತು ಕೇರಳ ವೆಂಡಕ್ಕೈ ತೋರನ್‌ನಂತಹ ತರಕಾರಿಗಳೊಂದಿಗೆ ಬಡಿಸಿ.
</t>
  </si>
  <si>
    <t>http://www.archanaskitchen.com/kerala-cheriya-ulli-sambar-recipe</t>
  </si>
  <si>
    <t>Karnataka Style Sabsige Soppu Paddu Recipe (Dill leaves Savory Fritters Recipe)</t>
  </si>
  <si>
    <t>ಕರ್ನಾಟಕ ಸ್ಟೈಲ್ ಸಬ್ಸಿಗೆ ಸೊಪ್ಪು ಪಡ್ಡು ರೆಸಿಪಿ (ಸಬ್ಬಸಿಗೆ ಖಾರದ ಪನಿಯಾಣಗಳ ರೆಸಿಪಿ)</t>
  </si>
  <si>
    <t>2 ಕಪ್ ಇಡ್ಲಿ ದೋಸೆ ಹಿಟ್ಟು, 1 ಈರುಳ್ಳಿ - ಕತ್ತರಿಸಿದ, 1 ಹಸಿರು ಮೆಣಸಿನಕಾಯಿ - ಕತ್ತರಿಸಿದ, 1 ಚಿಗುರು ಕರಿಬೇವಿನ ಎಲೆಗಳು - ಕತ್ತರಿಸಿದ, 1 ಟೀಚಮಚ ಜೀರಿಗೆ (ಜೀರಾ), 1/2 ಕಪ್ ಸಬ್ಬಸಿಗೆ ಎಲೆಗಳು - ಕತ್ತರಿಸಿದ, ಉಪ್ಪು - ರುಚಿಗೆ, ಸೂರ್ಯಕಾಂತಿ ಎಣ್ಣೆ - ಅಡುಗೆಗೆ</t>
  </si>
  <si>
    <t>2 cups Idli Dosa Batter,1 Onion - chopped,1 Green Chilli - chopped,1 sprig Curry leaves - chopped,1 teaspoon Cumin seeds (Jeera),1/2 cup Dill leaves - chopped,Salt - to taste,Sunflower Oil - for cooking</t>
  </si>
  <si>
    <t xml:space="preserve">We begin making the Karnataka Style Sabsige Soppu Paddu Recipe (Dill leaves Savory Fritters Recipe) by mixing all the ingredients into the dosa batter.Heat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Karnataka Style Sabsige Soppu Paddu Recipe (Dill leaves Savory Fritters Recipe) along with Tomato Onion Chutney | Thakkali Vengayam Chutney and glass of coffee.
</t>
  </si>
  <si>
    <t xml:space="preserve">ನಾವು ಎಲ್ಲಾ ಪದಾರ್ಥಗಳನ್ನು ದೋಸೆ ಹಿಟ್ಟಿನಲ್ಲಿ ಮಿಶ್ರಣ ಮಾಡುವ ಮೂಲಕ ಕರ್ನಾಟಕ ಶೈಲಿಯ ಸಬ್ಸಿಗೆ ಸೊಪ್ಪು ಪಡ್ಡು ರೆಸಿಪಿ (ಸಬ್ಬಸಿಗೆ ಎಲೆಗಳು ಖಾರದ ಫ್ರಿಟರ್ಸ್ ರೆಸಿಪಿ) ಅನ್ನು ತಯಾರಿಸಲು ಪ್ರಾರಂಭಿಸುತ್ತೇವೆ. ಪನಿಯಾರಂ ಪ್ಯಾನ್ ಅನ್ನು ಬಿಸಿ ಮಾಡಿ, ಪ್ರತಿ ಡಿಪ್ರೆಶನ್ನಲ್ಲಿ ತುಪ್ಪ ಅಥವಾ ಎಣ್ಣೆಯನ್ನು ಸೇರಿಸಿ ಮತ್ತು ಅದರಲ್ಲಿ ಸ್ವಲ್ಪ ಹಿಟ್ಟನ್ನು ಸುರಿಯಿರಿ. ಸಿಹಿ ಪನಿಯಾರಮ್ ಅನ್ನು ಒಂದು ಕಡೆಯಿಂದ ತಿಳಿ ಕಂದು ಬಣ್ಣಕ್ಕೆ ಬರುವವರೆಗೆ ಬೇಯಿಸಿ, ನಂತರ ಪ್ರತಿ ಪನಿಯಾರಮ್ ಅನ್ನು ಓರೆಯಾಗಿ ತಿರುಗಿಸಿ ಮತ್ತು ಇನ್ನೊಂದು ಬದಿಯಲ್ಲಿ ಬೇಯಿಸಿ. ಅಗತ್ಯವಿರುವಂತೆ ತುಪ್ಪ ಅಥವಾ ಎಣ್ಣೆಯನ್ನು ಸೇರಿಸಿ. ಬೇಯಿಸಿದ ನಂತರ ಎರಡೂ ಬದಿಗಳಿಂದ ತಿಳಿ ಕಂದು ಬಣ್ಣಕ್ಕೆ ಬಂದ ನಂತರ, ಅವುಗಳನ್ನು ಒಂದು ಪ್ಲೇಟ್‌ಗೆ ವರ್ಗಾಯಿಸಿ ಮತ್ತು ಬಿಸಿಯಾಗಿ ಬಡಿಸಿ. ಟೊಮೇಟೊ ಈರುಳ್ಳಿ ಚಟ್ನಿ ಜೊತೆಗೆ ಕರ್ನಾಟಕ ಸ್ಟೈಲ್ ಸಬ್‌ಸಿಗೆ ಸೊಪ್ಪು ಪಡ್ಡು ರೆಸಿಪಿ (ಸಬ್ಬಸಿಗೆ ಎಲೆಗಳ ಖಾರದ ಪನಿಯಾಣಗಳ ರೆಸಿಪಿ) ಅನ್ನು ಬಡಿಸಿ | ತಕ್ಕಲಿ ವೆಂಗಯಂ ಚಟ್ನಿ ಮತ್ತು ಕಾಫಿ ಲೋಟ.
</t>
  </si>
  <si>
    <t>https://www.archanaskitchen.com/karnataka-style-sabsige-soppu-paddu-recipe-dill-leaves-savory-fritters-recipe</t>
  </si>
  <si>
    <t>Gojju Avalakki Recipe - Puli Aval</t>
  </si>
  <si>
    <t>ಗೊಜ್ಜು ಅವಲಕ್ಕಿ ರೆಸಿಪಿ - ಪುಲಿ ಅವಲ್</t>
  </si>
  <si>
    <t>3 ಕಪ್ ಪೋಹಾ (ಚಪ್ಪಟೆಯಾದ ಅಕ್ಕಿ), 2 ಈರುಳ್ಳಿ - ನುಣ್ಣಗೆ ಕತ್ತರಿಸಿದ, 1 ಹಸಿರು ಬೆಲ್ ಪೆಪರ್ (ಕ್ಯಾಪ್ಸಿಕಂ) - ನುಣ್ಣಗೆ ಕತ್ತರಿಸಿದ (ಐಚ್ಛಿಕ), 1/4 ಕಪ್ ಹುಣಸೆ ಪೇಸ್ಟ್ - ದಪ್ಪ, 3 ಟೇಬಲ್ಸ್ಪೂನ್ ಬೆಲ್ಲ - (ಮೀಸಲು 1 ಚಮಚ), 2 ಚಮಚ ಸಾಂಬಾರ್ ಪುಡಿ, 1/2 ಟೀಚಮಚ ಅರಿಶಿನ ಪುಡಿ, ಬೇಳೆ), 2 ಟೀ ಚಮಚ ಬಿಳಿ ಉರಡ್ ದಾಲ್ (ಒಡೆದ), 1/4 ಕಪ್ ಹುರಿದ ಕಡಲೆಕಾಯಿ (ಮೂಂಗ್‌ಫಾಲಿ), 10 ಕರಿಬೇವಿನ ಎಲೆಗಳು, 2 ಹಸಿರು ಮೆಣಸಿನಕಾಯಿಗಳು - ಸೀಳು (ಐಚ್ಛಿಕ), ಇಂಗು (ಹಿಂಗ್) - ಒಂದು ಚಿಟಿಕೆ, 3 ಟೇಬಲ್ಸ್ಪೂನ್ ಕೊತ್ತಂಬರಿ (ಧನಿಯಾ) ಎಲೆಗಳು - ನುಣ್ಣಗೆ ಕತ್ತರಿಸಿದ ತೆಂಗಿನಕಾಯಿ - 3 ಚಮಚ ತಾಜಾ ತೆಂಗಿನಕಾಯಿ, 3 ಚಮಚ ತುರಿದ ತಾಜಾ</t>
  </si>
  <si>
    <t>3 cups Poha (Flattened rice),2 Onions - finely diced,1 Green Bell Pepper (Capsicum) - finely diced (optional),1/4 cup Tamarind Paste - thick,3 tablespoons Jaggery - (reserve 1 tablespoon),2 tablespoons Sambar Powder,1/2 teaspoon Turmeric powder (Haldi),2 teaspoons Mustard seeds,2 tablespoons Chana dal (Bengal Gram Dal),2 teaspoons White Urad Dal (Split),1/4 cup Roasted Peanuts (Moongphali),10 Curry leaves,2 Green Chillies - slit (optional),Asafoetida (hing) - a pinch,3 tablespoons Coriander (Dhania) Leaves - finely chopped,3 tablespoons Fresh coconut - grated,3 tablespoons Sunflower Oil,Salt - to taste</t>
  </si>
  <si>
    <t xml:space="preserve">To begin with the Gojju Avalakki Recipe, firstly combine tamarind extract, jaggery, salt, sambar powder in a mixing bowl and mix everything properly.To this, add the Avalakki and mix to coat everything well, now sprinkle some water (too much water can make it mushy) on top of the Avalakki and let it soak for 20-30 minutes and absorb the tamarind liquid.After 20 to 30 minutes, heat required oil in a wide pan. Add mustard seeds and let it splutter. Add the urad dal, chana dal, groundnuts and cook on low flame for 2 minutes stirring in between so that they get an even colour.To this add the asafoetida, green chillies, curry leaves and give it a stir.Add in the chopped onions, turmeric powder and some salt. This quickens the cooking process of onions, once they start to shrink, add the capsicum and give it a nice mix. This whole step should take about 5-6 minute on a medium flame.Add the dry tamarind powder and the reserved jaggery. This enhances the taste of the onions when combined with the poha. (The Avalakki is like a sponge it soaks in everything and turns bland very soon) This steps helps its stay flavourful longer. Now add the Avalakki into the tadka and gently mix it all around. Adjust salt according to your taste. Garnish it with coriander leaves and grated coconut.Serve Gojju Avalakki Recipe along with hot Masala Chai and Peanut Butter Banana Sandwich for a delicious weekday breakfast.
</t>
  </si>
  <si>
    <t xml:space="preserve">ಗೊಜ್ಜು ಅವಲಕ್ಕಿ ಪಾಕವಿಧಾನವನ್ನು ಪ್ರಾರಂಭಿಸಲು, ಮೊದಲು ಹುಣಸೆ ಸಾರ, ಬೆಲ್ಲ, ಉಪ್ಪು, ಸಾಂಬಾರ್ ಪುಡಿಯನ್ನು ಮಿಕ್ಸಿಂಗ್ ಬೌಲ್‌ನಲ್ಲಿ ಸೇರಿಸಿ ಮತ್ತು ಎಲ್ಲವನ್ನೂ ಸರಿಯಾಗಿ ಮಿಶ್ರಣ ಮಾಡಿ. ಇದಕ್ಕೆ ಅವಲಕ್ಕಿಯನ್ನು ಸೇರಿಸಿ ಮತ್ತು ಎಲ್ಲವನ್ನೂ ಚೆನ್ನಾಗಿ ಲೇಪಿಸಲು ಮಿಶ್ರಣ ಮಾಡಿ, ಈಗ ಅವಲಕ್ಕಿಯ ಮೇಲೆ ಸ್ವಲ್ಪ ನೀರು (ತುಂಬಾ ನೀರು ಹಾಕಬಹುದು) ಚಿಮುಕಿಸಿ ಮತ್ತು 20-30 ನಿಮಿಷಗಳ ಕಾಲ ದ್ರವವನ್ನು ಹೀರಿಕೊಳ್ಳಲು ಬಿಡಿ. 20 ರಿಂದ 30 ನಿಮಿಷಗಳ ಕಾಲ, ಅಗಲವಾದ ಬಾಣಲೆಯಲ್ಲಿ ಅಗತ್ಯವಾದ ಎಣ್ಣೆಯನ್ನು ಬಿಸಿ ಮಾಡಿ. ಸಾಸಿವೆ ಕಾಳುಗಳನ್ನು ಸೇರಿಸಿ ಮತ್ತು ಅದನ್ನು ಚೆಲ್ಲಲು ಬಿಡಿ. ಉದ್ದಿನಬೇಳೆ, ಕಡಲೆಬೇಳೆ, ಕಡಲೆಕಾಳುಗಳನ್ನು ಸೇರಿಸಿ ಮತ್ತು 2 ನಿಮಿಷಗಳ ಕಾಲ ಕಡಿಮೆ ಉರಿಯಲ್ಲಿ ಬೇಯಿಸಿ ಇದರಿಂದ ಅವು ಒಂದೇ ಬಣ್ಣವನ್ನು ಪಡೆಯುತ್ತವೆ. ಇದಕ್ಕೆ ಇಂಗು, ಹಸಿರು ಮೆಣಸಿನಕಾಯಿ, ಕರಿಬೇವಿನ ಎಲೆಗಳನ್ನು ಸೇರಿಸಿ ಮತ್ತು ಬೆರೆಸಿ. ಕತ್ತರಿಸಿದ ಈರುಳ್ಳಿ, ಅರಿಶಿನ ಪುಡಿ ಮತ್ತು ಸ್ವಲ್ಪ ಉಪ್ಪು ಸೇರಿಸಿ. ಇದು ಈರುಳ್ಳಿಯ ಅಡುಗೆ ಪ್ರಕ್ರಿಯೆಯನ್ನು ಚುರುಕುಗೊಳಿಸುತ್ತದೆ, ಅವು ಕುಗ್ಗಲು ಪ್ರಾರಂಭಿಸಿದ ನಂತರ, ಕ್ಯಾಪ್ಸಿಕಂ ಸೇರಿಸಿ ಮತ್ತು ಉತ್ತಮ ಮಿಶ್ರಣವನ್ನು ನೀಡಿ. ಈ ಸಂಪೂರ್ಣ ಹಂತವು ಮಧ್ಯಮ ಉರಿಯಲ್ಲಿ ಸುಮಾರು 5-6 ನಿಮಿಷಗಳನ್ನು ತೆಗೆದುಕೊಳ್ಳಬೇಕು. ಒಣ ಹುಣಸೆ ಪುಡಿ ಮತ್ತು ಕಾಯ್ದಿರಿಸಿದ ಬೆಲ್ಲವನ್ನು ಸೇರಿಸಿ. ಇದು ಪೋಹಾದೊಂದಿಗೆ ಸಂಯೋಜಿಸಿದಾಗ ಈರುಳ್ಳಿಯ ರುಚಿಯನ್ನು ಹೆಚ್ಚಿಸುತ್ತದೆ. (ಅವಲಕ್ಕಿಯು ಸ್ಪಂಜಿನಂತಿದ್ದು ಅದು ಎಲ್ಲದರಲ್ಲೂ ನೆನೆಯುತ್ತದೆ ಮತ್ತು ಬಹಳ ಬೇಗ ಸಪ್ಪೆಯಾಗುತ್ತದೆ) ಈ ಹಂತಗಳು ಅದು ಹೆಚ್ಚು ಕಾಲ ಸುವಾಸನೆಯಿಂದ ಇರಲು ಸಹಾಯ ಮಾಡುತ್ತದೆ. ಈಗ ಅವಲಕ್ಕಿಯನ್ನು ತಡ್ಕಾಗೆ ಸೇರಿಸಿ ಮತ್ತು ಸುತ್ತಲೂ ನಿಧಾನವಾಗಿ ಮಿಶ್ರಣ ಮಾಡಿ. ನಿಮ್ಮ ರುಚಿಗೆ ಅನುಗುಣವಾಗಿ ಉಪ್ಪನ್ನು ಹೊಂದಿಸಿ. ಇದನ್ನು ಕೊತ್ತಂಬರಿ ಸೊಪ್ಪು ಮತ್ತು ತುರಿದ ತೆಂಗಿನಕಾಯಿಯಿಂದ ಅಲಂಕರಿಸಿ. ಗೊಜ್ಜು ಅವಲಕ್ಕಿ ರೆಸಿಪಿಯನ್ನು ಬಿಸಿ ಮಸಾಲಾ ಚಾಯ್ ಮತ್ತು ಕಡಲೆ ಬೆಣ್ಣೆ ಬನಾನಾ ಸ್ಯಾಂಡ್‌ವಿಚ್ ಜೊತೆಗೆ ಒಂದು ರುಚಿಕರವಾದ ವಾರದ ಉಪಹಾರಕ್ಕಾಗಿ ಬಡಿಸಿ.
</t>
  </si>
  <si>
    <t>https://www.archanaskitchen.com/gojju-avalakki-recipe</t>
  </si>
  <si>
    <t>Spicy Baked Beans With Potato Cakes Recipe</t>
  </si>
  <si>
    <t>ಆಲೂಗೆಡ್ಡೆ ಕೇಕ್ಗಳ ಪಾಕವಿಧಾನದೊಂದಿಗೆ ಮಸಾಲೆಯುಕ್ತ ಬೇಯಿಸಿದ ಬೀನ್ಸ್</t>
  </si>
  <si>
    <t>6-7 ಬಟನ್ ಅಣಬೆಗಳು - ಕತ್ತರಿಸಿದ, 1 ಚಮಚ ಹೆಚ್ಚುವರಿ ವರ್ಜಿನ್ ಆಲಿವ್ ಎಣ್ಣೆ, 1 ತಾಜಾ ಕೆಂಪು ಮೆಣಸಿನಕಾಯಿಗಳು - ಕತ್ತರಿಸಿದ, 1/2 ಚಮಚ ಬ್ರೌನ್ ಶುಗರ್ (ಡೆಮೆರಾರಾ ಸಕ್ಕರೆ), 1/4 ಚಮಚ ಕರಿಮೆಣಸಿನ ಪುಡಿ, 1/2 ಚಮಚ ಪಾರ್ಸ್ಲಿ ಎಲೆಗಳು, 1/2 ಚಮಚ ತಾಜಾ ಓರೆಗಾನೊ, 3-4 ಲವಂಗ ಬೆಳ್ಳುಳ್ಳಿ, 1 ಚಮಚ ಬೆಳ್ಳುಳ್ಳಿ - 1 ಚಮಚ ಕತ್ತರಿಸಿದ, ವೋರ್ಸೆಸ್ಟರ್‌ಶೈರ್ ಸಾಸ್, 3 ಮನೆಯಲ್ಲಿ ತಯಾರಿಸಿದ ಟೊಮೆಟೊ ಪ್ಯೂರಿ, ಉಪ್ಪು - ರುಚಿಗೆ, 1 ಕಪ್ ಹಸಿರು ಬೀನ್ಸ್ (ಫ್ರೆಂಚ್ ಬೀನ್ಸ್) - ಪೂರ್ವಸಿದ್ಧ, 3 ಆಲೂಗಡ್ಡೆ (ಆಲೂ) - ಹಿಸುಕಿದ, 2-3 ಚಮಚ ಆಲ್ ಪರ್ಪಸ್ ಹಿಟ್ಟು (ಮೈದಾ), 1 1/2 ಚಮಚ ಬೆಣ್ಣೆ</t>
  </si>
  <si>
    <t>6-7 Button mushrooms - chopped,1 tablespoon Extra Virgin Olive Oil,1 Fresh Red chillies - chopped,1/2 tablespoon Brown Sugar (Demerara Sugar),1/4 tablespoon Black pepper powder,1/2 tablespoon Parsley leaves,1/2 tablespoon Fresh oregano,3-4 cloves Garlic - chopped,1 Onion - chopped,1 tablespoon Vinegar,1 tablespoon Worcestershire sauce,3 Homemade tomato puree,Salt - to taste,1 cup Green beans (French Beans) - canned,3 Potatoes (Aloo) - mashed,2-3 tablespoon All Purpose Flour (Maida),1 1/2 tablespoon Butter</t>
  </si>
  <si>
    <t xml:space="preserve">To prepare Homemade Spicy Baked Beans With Potato Cakes Recipe, heat oil in a pan.Add chopped mushroom and saute it for a minute.Season it with salt, black pepper powder.Add chopped thai red chilli with seeds,you can remove seeds if you don`t want to make it spicy.Add chopped garlic and saute it.Now add chopped onions and saute it till golden brown.Add brown sugar,one brown sugar starts to caramelize .Add vinegar and Worcestershire sauce .Add tomato puree and let it cook for 2 minutes.Now add haricot beans and mix well.Add dry parsley &amp; oregano.On other hand take a bowl ,add mashed potato,all-purpose flour and butter and make a potato doughDivide dough in 5-6 equal portion and press it flat with your palm to a round shape.Heat oil in pan, add potato cakes, spacing them about 1 inch apart.Shallow fry them on medium heat for 8-10 minutes until they golden brown.Take them out on a plate and spread some haricot beans mixture in it.Do the same process with rest of the potato cakes.Serve Homemade Spicy Baked Beans With Potato Cakes Recipe with a glass of smoothie, coffee or tea.
</t>
  </si>
  <si>
    <t xml:space="preserve">ಆಲೂಗೆಡ್ಡೆ ಕೇಕ್ ರೆಸಿಪಿಯೊಂದಿಗೆ ಮನೆಯಲ್ಲಿ ಮಸಾಲೆಯುಕ್ತ ಬೇಯಿಸಿದ ಬೀನ್ಸ್ ತಯಾರಿಸಲು, ಬಾಣಲೆಯಲ್ಲಿ ಎಣ್ಣೆಯನ್ನು ಬಿಸಿ ಮಾಡಿ. ಕತ್ತರಿಸಿದ ಅಣಬೆಯನ್ನು ಸೇರಿಸಿ ಮತ್ತು ಒಂದು ನಿಮಿಷ ಹುರಿಯಿರಿ. ಉಪ್ಪು, ಕರಿಮೆಣಸಿನ ಪುಡಿಯೊಂದಿಗೆ ಮಸಾಲೆ ಹಾಕಿ. ಕತ್ತರಿಸಿದ ಥಾಯ್ ಕೆಂಪು ಮೆಣಸಿನಕಾಯಿಯನ್ನು ಬೀಜಗಳೊಂದಿಗೆ ಸೇರಿಸಿ, ನೀವು ಅದನ್ನು ಮಸಾಲೆ ಮಾಡಲು ಬಯಸದಿದ್ದರೆ ನೀವು ಬೀಜಗಳನ್ನು ತೆಗೆದುಹಾಕಬಹುದು. ಗೋಲ್ಡನ್ ಬ್ರೌನ್. ಕಂದು ಸಕ್ಕರೆ ಸೇರಿಸಿ, ಒಂದು ಕಂದು ಸಕ್ಕರೆ ಕ್ಯಾರಮೆಲೈಸ್ ಮಾಡಲು ಪ್ರಾರಂಭಿಸುತ್ತದೆ. ವಿನೆಗರ್ ಮತ್ತು ವೋರ್ಸೆಸ್ಟರ್‌ಶೈರ್ ಸಾಸ್ ಸೇರಿಸಿ. ಟೊಮೆಟೊ ಪ್ಯೂರಿ ಸೇರಿಸಿ ಮತ್ತು 2 ನಿಮಿಷ ಬೇಯಿಸಲು ಬಿಡಿ. ಈಗ ಹ್ಯಾರಿಕೋಟ್ ಬೀನ್ಸ್ ಸೇರಿಸಿ ಮತ್ತು ಚೆನ್ನಾಗಿ ಮಿಶ್ರಣ ಮಾಡಿ. ಒಣ ಪಾರ್ಸ್ಲಿ ಮತ್ತು ಓರೆಗಾನೊ ಸೇರಿಸಿ. ಇನ್ನೊಂದು ಕಡೆ ಒಂದು ಬೌಲ್ ತೆಗೆದುಕೊಂಡು ಹಿಸುಕಿದ ಆಲೂಗಡ್ಡೆ ಸೇರಿಸಿ 5-6 ಸಮಾನ ಭಾಗಗಳಲ್ಲಿ ಮತ್ತು ಅದನ್ನು ನಿಮ್ಮ ಅಂಗೈಯಿಂದ ಚಪ್ಪಟೆಯಾಗಿ ಒತ್ತಿರಿ. ಪ್ಯಾನ್‌ನಲ್ಲಿ ಎಣ್ಣೆಯನ್ನು ಬಿಸಿ ಮಾಡಿ, ಆಲೂಗಡ್ಡೆ ಕೇಕ್‌ಗಳನ್ನು ಸೇರಿಸಿ, ಸುಮಾರು 1 ಇಂಚು ಅಂತರದಲ್ಲಿ ಅವುಗಳನ್ನು ಹಾಕಿ. ಮಧ್ಯಮ ಉರಿಯಲ್ಲಿ 8-10 ನಿಮಿಷಗಳ ಕಾಲ ಅವುಗಳನ್ನು ಹೊಂಬಣ್ಣದ ಕಂದು ಬಣ್ಣ ಬರುವವರೆಗೆ ಸಣ್ಣ ಉರಿಯಲ್ಲಿ ಫ್ರೈ ಮಾಡಿ. ಒಂದು ಪ್ಲೇಟ್‌ಗೆ ತೆಗೆದುಕೊಂಡು ಅದರಲ್ಲಿ ಸ್ವಲ್ಪ ಹ್ಯಾರಿಕೋಟ್ ಬೀನ್ಸ್ ಮಿಶ್ರಣವನ್ನು ಹರಡಿ. ಆಲೂಗೆಡ್ಡೆ ಕೇಕ್ಗಳೊಂದಿಗೆ ಬೇಯಿಸಿದ ಬೀನ್ಸ್ ಒಂದು ಗ್ಲಾಸ್ ನಯವಾದ, ಕಾಫಿ ಅಥವಾ ಚಹಾದೊಂದಿಗೆ ಪಾಕವಿಧಾನ.
</t>
  </si>
  <si>
    <t>https://www.archanaskitchen.com/spicy-baked-beans-with-potato-cakes-recipe</t>
  </si>
  <si>
    <t>Thatte Idli Recipe</t>
  </si>
  <si>
    <t>ತಟ್ಟೆ ಇಡ್ಲಿ ರೆಸಿಪಿ</t>
  </si>
  <si>
    <t>3 ಕಪ್ ಅಕ್ಕಿ, 1 ಕಪ್ ಕಪ್ಪು ಉರಾದ್ ದಾಲ್ (ಒಡೆದ), 1 ಕಪ್ ಪೋಹಾ (ಚಪ್ಪಟೆಯಾದ ಅಕ್ಕಿ), 1/2 ಕಪ್ ಸಾಬುದಾನ (ಟಪಿಯೋಕಾ ಮುತ್ತುಗಳು), 1/2 ಟೀಚಮಚ ಅಡುಗೆ ಸೋಡಾ - ಐಚ್ಛಿಕ, ಉಪ್ಪು - ರುಚಿಗೆ, ಸೂರ್ಯಕಾಂತಿ ಎಣ್ಣೆ - ಗ್ರೀಸ್ಗೆ ಬೇಕಾದಷ್ಟು</t>
  </si>
  <si>
    <t>3 cups Rice,1 cup Black Urad Dal (Split),1 cup Poha (Flattened rice),1/2 cup Sabudana (Tapioca Pearls),1/2 teaspoon Cooking soda - optional,Salt - to taste,Sunflower Oil - as required to grease</t>
  </si>
  <si>
    <t xml:space="preserve">To begin with Thatte Idli, wash all the ingredients and soak each separately.Soak rice and sabudana for about 4-5 hours and urad dal and beaten rice for 1-1.5 hours.Grind the urad dal first in a mixer or a grinder, into a smooth paste adding enough water. Add the water in intervals.Once, urad dal is done, add rice, poha and sabudana and grind adding little water. Grind them all together into a smooth batter and make sure that the final batter should be smoother than the normal idli batter.Transfer the ground batter to a big vessel, add salt, mix well and keep aside for fermentation for about 10-12 hours.After 10-12 hours, mix gently before pouring into the greased idli plate. If you want to add the soda, you can add it before pouring it into the greased plates.Steam the idlis for 8-10 minutes in an idli steamer. Serve Thatte Idli with Mixed Vegetable Sambar and South Indian Coconut Chutney for a perfect meal.
</t>
  </si>
  <si>
    <t xml:space="preserve">ತಟ್ಟೆ ಇಡ್ಲಿಯೊಂದಿಗೆ ಪ್ರಾರಂಭಿಸಲು, ಎಲ್ಲಾ ಪದಾರ್ಥಗಳನ್ನು ತೊಳೆದು ಪ್ರತಿಯೊಂದನ್ನು ಪ್ರತ್ಯೇಕವಾಗಿ ನೆನೆಸಿ. ಅಕ್ಕಿ ಮತ್ತು ಸಾಬೂದಾನವನ್ನು ಸುಮಾರು 4-5 ಗಂಟೆಗಳ ಕಾಲ ನೆನೆಸಿ ಮತ್ತು ಉದ್ದಿನಬೇಳೆ ಮತ್ತು ಬೀಟ್ ಅಕ್ಕಿಯನ್ನು 1-1.5 ಗಂಟೆಗಳ ಕಾಲ ನೆನೆಸಿಡಿ. ಉದ್ದಿನಬೇಳೆಯನ್ನು ಮೊದಲು ಮಿಕ್ಸರ್ ಅಥವಾ ಗ್ರೈಂಡರ್‌ನಲ್ಲಿ, ಸಾಕಷ್ಟು ನೀರು ಸೇರಿಸಿ ನಯವಾದ ಪೇಸ್ಟ್‌ಗೆ ರುಬ್ಬಿಕೊಳ್ಳಿ. ಮಧ್ಯಂತರದಲ್ಲಿ ನೀರನ್ನು ಸೇರಿಸಿ.ಒಮ್ಮೆ, ಉದ್ದಿನಬೇಳೆ ಮಾಡಿದ ನಂತರ, ಅಕ್ಕಿ, ಪೋಹಾ ಮತ್ತು ಸಾಬುದಾನವನ್ನು ಸೇರಿಸಿ ಮತ್ತು ಸ್ವಲ್ಪ ನೀರು ಸೇರಿಸಿ ರುಬ್ಬಿಕೊಳ್ಳಿ. ಎಲ್ಲವನ್ನೂ ಒಟ್ಟಿಗೆ ನಯವಾದ ಬ್ಯಾಟರ್ ಆಗಿ ಪುಡಿಮಾಡಿ ಮತ್ತು ಅಂತಿಮ ಹಿಟ್ಟು ಸಾಮಾನ್ಯ ಇಡ್ಲಿ ಹಿಟ್ಟಿಗಿಂತ ಮೃದುವಾಗಿರಬೇಕು ಎಂದು ಖಚಿತಪಡಿಸಿಕೊಳ್ಳಿ. ನೆಲದ ಹಿಟ್ಟನ್ನು ದೊಡ್ಡ ಪಾತ್ರೆಗೆ ವರ್ಗಾಯಿಸಿ, ಉಪ್ಪು ಸೇರಿಸಿ, ಚೆನ್ನಾಗಿ ಮಿಶ್ರಣ ಮಾಡಿ ಮತ್ತು ಸುಮಾರು 10-12 ಗಂಟೆಗಳ ಕಾಲ ಹುದುಗುವಿಕೆಗೆ ಪಕ್ಕಕ್ಕೆ ಇರಿಸಿ. 10-12 ಗಂಟೆಗಳ ನಂತರ, ಗ್ರೀಸ್ ಮಾಡಿದ ಪ್ಲೇಟ್ಗೆ ಸುರಿಯುವ ಮೊದಲು ನಿಧಾನವಾಗಿ ಮಿಶ್ರಣ ಮಾಡಿ. ನೀವು ಸೋಡಾವನ್ನು ಸೇರಿಸಲು ಬಯಸಿದರೆ, ಅದನ್ನು ಗ್ರೀಸ್ ಮಾಡಿದ ಪ್ಲೇಟ್‌ಗಳಿಗೆ ಸುರಿಯುವ ಮೊದಲು ನೀವು ಅದನ್ನು ಸೇರಿಸಬಹುದು. ಇಡ್ಲಿಗಳನ್ನು 8-10 ನಿಮಿಷಗಳ ಕಾಲ ಇಡ್ಲಿ ಸ್ಟೀಮರ್‌ನಲ್ಲಿ ಸ್ಟೀಮ್ ಮಾಡಿ. ಪರಿಪೂರ್ಣ ಊಟಕ್ಕಾಗಿ ತಟ್ಟೆ ಇಡ್ಲಿಯನ್ನು ಮಿಶ್ರಿತ ತರಕಾರಿ ಸಾಂಬಾರ್ ಮತ್ತು ದಕ್ಷಿಣ ಭಾರತದ ತೆಂಗಿನಕಾಯಿ ಚಟ್ನಿ ಯೊಂದಿಗೆ ಬಡಿಸಿ.
</t>
  </si>
  <si>
    <t>http://www.archanaskitchen.com/thatte-idli-recipe</t>
  </si>
  <si>
    <t>Karwar Style Dali Ambat Ani Maska Sang Recipe-Toor Dal &amp; Drumsticks Pod Curry</t>
  </si>
  <si>
    <t>ಕಾರವಾರ ಸ್ಟೈಲ್ ದಾಲಿ ಅಂಬತ್ ಆನಿ ಮಸ್ಕ ಸಾಂಗ್ ರೆಸಿಪಿ-ತೂರ್ ದಾಲ್ ಮತ್ತು ಡ್ರಮ್ ಸ್ಟಿಕ್ಸ್ ಪಾಡ್ ಕರಿ</t>
  </si>
  <si>
    <t>1/2 ಕಪ್ ಅರ್ಹರ್ ದಾಲ್ (ಒಡೆದ ದಾಲ್), 1 ಟೀಚಮಚ ಕೊತ್ತಂಬರಿ (ಧನಿಯಾ) ಬೀಜಗಳು, 2 ಒಣ ಕೆಂಪು ಮೆಣಸಿನಕಾಯಿ, 1 ಕಪ್ ತಾಜಾ ತೆಂಗಿನಕಾಯಿ - ತುರಿದ, 1 ಡ್ರಮ್ ಸ್ಟಿಕ್ - 1-ಇಂಚಿನ ತುಂಡುಗಳಾಗಿ ಕತ್ತರಿಸಿ, 1 ಚಮಚ ಬೆಲ್ಲ - ತುರಿದ, 3 ಕೋಕಮ್ (ಮಲಬಾರ್ ಹುಣಸೆಹಣ್ಣು), ಉಪ್ಪು - ರುಚಿಗೆ</t>
  </si>
  <si>
    <t>1/2 cup Arhar dal (Split Toor Dal),1 teaspoon Coriander (Dhania) Seeds,2 Dry Red Chilli,1 cup Fresh coconut - grated,1 Drumstick - cut into 1-inch pieces,1 teaspoon Jaggery - grated,3 Kokum (Malabar Tamarind),Salt - to taste</t>
  </si>
  <si>
    <t xml:space="preserve">To begin making the Karwar Style Dali Ambat Ani Maska Sang Recipe-Toor Dal and Drumsticks Pod Curry by pressure cooking the toor dal in a pressure cooker with 1 1/2 cup of water for about 4 whistles. Release the pressure naturally.Dry roast the coriander seeds and dry chillies in a small skillet without oil till it becomes brown, once done set aside to cool. Now in a mixer, grind the roasted coriander seeds, dry red chillies along with coconut to a smooth paste and set aside. We will also mash the dal into a smooth paste, add 1 cup water and drumstick pods, cook till the pods are soft.This will take about 10 minutes. Transfer the coconut mixture to the dal and simmer it for 10 more minutes. Add kokum rind and jaggery and cook it again till it combines and Dali Ambat comes together. Serve the Karwar Style Dali Ambat Ani Maska Sang Recipe-Toor Dal and Drumsticks Pod Curry along with steam rice and Manga Rasam Recipe to enjoy a weekend Meal.
</t>
  </si>
  <si>
    <t xml:space="preserve">ಕಾರವಾರ ಶೈಲಿಯ ದಾಲಿ ಅಂಬತ್ ಆನಿ ಮಸ್ಕಾ ಸಾಂಗ್ ರೆಸಿಪಿ-ತೂರ್ ದಾಲ್ ಮತ್ತು ಡ್ರಮ್ ಸ್ಟಿಕ್ಸ್ ಪಾಡ್ ಕರಿಯನ್ನು ತಯಾರಿಸಲು ಪ್ರಾರಂಭಿಸಲು, ಪ್ರೆಶರ್ ಕುಕ್ಕರ್‌ನಲ್ಲಿ 1 1/2 ಕಪ್ ನೀರಿನೊಂದಿಗೆ ಸುಮಾರು 4 ಸೀಟಿಗಳಿಗೆ 1 1/2 ಕಪ್ ನೀರನ್ನು ಒತ್ತಡದಲ್ಲಿ ಬೇಯಿಸಿ. ನೈಸರ್ಗಿಕವಾಗಿ ಒತ್ತಡವನ್ನು ಬಿಡುಗಡೆ ಮಾಡಿ. ಕೊತ್ತಂಬರಿ ಬೀಜಗಳು ಮತ್ತು ಒಣ ಮೆಣಸಿನಕಾಯಿಗಳನ್ನು ಎಣ್ಣೆ ಇಲ್ಲದೆ ಸಣ್ಣ ಬಾಣಲೆಯಲ್ಲಿ ಕಂದು ಬಣ್ಣ ಬರುವವರೆಗೆ ಒಣಗಿಸಿ, ಒಮ್ಮೆ ತಣ್ಣಗಾಗಲು ಪಕ್ಕಕ್ಕೆ ಇರಿಸಿ. ಈಗ ಮಿಕ್ಸಿಯಲ್ಲಿ, ಹುರಿದ ಕೊತ್ತಂಬರಿ ಬೀಜಗಳು, ಒಣ ಕೆಂಪು ಮೆಣಸಿನಕಾಯಿಯನ್ನು ತೆಂಗಿನಕಾಯಿಯೊಂದಿಗೆ ನಯವಾದ ಪೇಸ್ಟ್ಗೆ ರುಬ್ಬಿಕೊಳ್ಳಿ ಮತ್ತು ಪಕ್ಕಕ್ಕೆ ಇರಿಸಿ. ನಾವು ದಾಲ್ ಅನ್ನು ನಯವಾದ ಪೇಸ್ಟ್ ಆಗಿ ಮ್ಯಾಶ್ ಮಾಡುತ್ತೇವೆ, 1 ಕಪ್ ನೀರು ಮತ್ತು ಡ್ರಮ್ ಸ್ಟಿಕ್ ಕಾಡ್‌ಗಳನ್ನು ಸೇರಿಸಿ, ಕಾಳುಗಳು ಮೃದುವಾಗುವವರೆಗೆ ಬೇಯಿಸಿ. ಇದು ಸುಮಾರು 10 ನಿಮಿಷಗಳನ್ನು ತೆಗೆದುಕೊಳ್ಳುತ್ತದೆ. ತೆಂಗಿನ ಮಿಶ್ರಣವನ್ನು ದಾಲ್‌ಗೆ ವರ್ಗಾಯಿಸಿ ಮತ್ತು ಇನ್ನೂ 10 ನಿಮಿಷಗಳ ಕಾಲ ಕುದಿಸಿ. ಕೋಕಂ ತೊಗಟೆ ಮತ್ತು ಬೆಲ್ಲವನ್ನು ಸೇರಿಸಿ ಮತ್ತು ಅದು ಸೇರಿಕೊಳ್ಳುವವರೆಗೆ ಮತ್ತು ದಾಲಿ ಅಂಬಾಟ್ ಒಟ್ಟಿಗೆ ಬರುವವರೆಗೆ ಮತ್ತೆ ಬೇಯಿಸಿ. ವಾರಾಂತ್ಯದ ಊಟವನ್ನು ಆನಂದಿಸಲು ಕಾರವಾರ ಸ್ಟೈಲ್ ಡಾಲಿ ಅಂಬತ್ ಆನಿ ಮಸ್ಕ ಸಾಂಗ್ ರೆಸಿಪಿ-ತೂರ್ ದಾಲ್ ಮತ್ತು ಡ್ರಮ್‌ಸ್ಟಿಕ್ಸ್ ಪಾಡ್ ಕರಿ ಜೊತೆಗೆ ಸ್ಟೀಮ್ ರೈಸ್ ಮತ್ತು ಮಂಗಾರಸಮ್ ರೆಸಿಪಿ ಯನ್ನು ಸರ್ವ್ ಮಾಡಿ.
</t>
  </si>
  <si>
    <t>http://www.archanaskitchen.com/karwar-style-dali-ambat-ani-maska-sang-recipe-toor-dal-and-drumsticks-pod-curry-recipe</t>
  </si>
  <si>
    <t>Karwar Style Kelya Sasav Recipe-Ripened Banana Relish</t>
  </si>
  <si>
    <t>ಕಾರವಾರ ಸ್ಟೈಲ್ ಕೆಲ್ಯಾ ಸಾಸವ್ ರೆಸಿಪಿ-ಮಾಗಿದ ಬಾಳೆಹಣ್ಣಿನ ರುಚಿ</t>
  </si>
  <si>
    <t>3 ಮಾಗಿದ ಬಾಳೆಹಣ್ಣು - ದಪ್ಪ ರೌಂಡಲ್ ಆಗಿ ಕತ್ತರಿಸಿ, 1/2 ಕಪ್ ತಾಜಾ ತೆಂಗಿನಕಾಯಿ - ತುರಿದ, 2 ಒಣ ಕೆಂಪು ಮೆಣಸಿನಕಾಯಿಗಳು, 2 ಚಮಚ ಬೆಲ್ಲ - ತುರಿದ, ಉಪ್ಪು - ರುಚಿಗೆ</t>
  </si>
  <si>
    <t>3 Ripe Bananas - cut into thick roundels,1/2 cup Fresh coconut - grated,2 Dry Red Chillies,2 teaspoons Jaggery - grated,Salt - to taste</t>
  </si>
  <si>
    <t xml:space="preserve">To begin making the Karwar Style Kelya Sasav Recipe-Ripened Banana Relish by grinding the coconut, jaggery and dry red chillies in a hand blender to a coarse paste.Mix it along with the sliced banana and toss so that it is mixed thoroughly. Serve the Karwar Style Kelya Sasav Recipe-Ripened Banana Relish as a snack after school or even serve it as a side dish along with Karwar Style Kalingana Polo Recipe - Watermelon Rind Dosa as a sweet Breakfast.
</t>
  </si>
  <si>
    <t xml:space="preserve">ತೆಂಗಿನಕಾಯಿ, ಬೆಲ್ಲ ಮತ್ತು ಒಣ ಕೆಂಪು ಮೆಣಸಿನಕಾಯಿಯನ್ನು ಒರಟಾದ ಪೇಸ್ಟ್‌ಗೆ ಹ್ಯಾಂಡ್ ಬ್ಲೆಂಡರ್‌ನಲ್ಲಿ ರುಬ್ಬುವ ಮೂಲಕ ಕಾರವಾರ ಶೈಲಿಯ ಕೆಲ್ಯ ಸಾಸವ್ ರೆಸಿಪಿ-ಮಾಗಿದ ಬಾಳೆಹಣ್ಣು ರುಚಿಯನ್ನು ತಯಾರಿಸಲು ಪ್ರಾರಂಭಿಸಲು. ಕಾರವಾರ ಶೈಲಿಯ ಕೆಲ ಸಸಾವ್ ರೆಸಿಪಿ-ಮಾಗಿದ ಬಾಳೆಹಣ್ಣಿನ ರುಚಿಯನ್ನು ಶಾಲೆಯ ನಂತರ ತಿಂಡಿಯಾಗಿ ಬಡಿಸಿ ಅಥವಾ ಕಾರವಾರ ಸ್ಟೈಲ್ ಕಾಳಿಂಗನ ಪೊಲೊ ರೆಸಿಪಿ - ಕಲ್ಲಂಗಡಿ ತೊಗಟೆ ದೋಸೆಯನ್ನು ಸಿಹಿ ಉಪಹಾರವಾಗಿ ಸೇವಿಸಿ.
</t>
  </si>
  <si>
    <t>https://www.archanaskitchen.com/karwar-style-kelya-sasav-recipe-banana-relish-recipe</t>
  </si>
  <si>
    <t>Spring Onion Dosa Recipe</t>
  </si>
  <si>
    <t>ಸ್ಪ್ರಿಂಗ್ ಆನಿಯನ್ ದೋಸೆ ರೆಸಿಪಿ</t>
  </si>
  <si>
    <t>1 ಕಪ್ ಸ್ಪ್ರಿಂಗ್ ಆನಿಯನ್ (ಬಲ್ಬ್ ಮತ್ತು ಗ್ರೀನ್ಸ್) - ಕತ್ತರಿಸಿದ, 1 ಕಪ್ ಸ್ಪ್ರಿಂಗ್ ಆನಿಯನ್ ಗ್ರೀನ್ಸ್ - ಕತ್ತರಿಸಿದ, 2 ಕಪ್ ದೋಸೆ ಅಕ್ಕಿ, 1/2 ಕಪ್ ಪೋಹಾ (ಚಪ್ಪಟೆಯಾದ ಅಕ್ಕಿ), 2 ಟೇಬಲ್ಸ್ಪೂನ್ ಬಿಳಿ ಉರಾದ್ ದಾಲ್ (ಒಡೆದ), 1 ಚಮಚ ಮೆಂತ್ಯ ಬೀಜಗಳು (ಮೆಂತ್ಯ ಬೀಜಗಳು), 6 ಒಣ ಕೆಂಪು ಮೆಣಸಿನಕಾಯಿಗಳು, 1/4 ಕಪ್ ತಾಜಾ ಬೆಲ್ಲ, ತುರಿದ ತೆಂಗಿನಕಾಯಿ - 2 ಚಮಚ ಹಿಟ್ಟು, ಸೂರ್ಯಕಾಂತಿ ಎಣ್ಣೆ - ದೋಸೆ ತಯಾರಿಸಲು, ಉಪ್ಪು - ರುಚಿಗೆ</t>
  </si>
  <si>
    <t>1 cup Spring Onion (Bulb &amp; Greens) - chopped,1 cup Spring Onion Greens - chopped,2 cups Dosa rice,1/2 cup Poha (Flattened rice),2 tablespoons White Urad Dal (Split),1 tablespoon Methi Seeds (Fenugreek Seeds),6 Dry Red Chillies,1/4 cup Fresh coconut - grated,2 tablespoon Jaggery - grated,Water - as required for batter,Sunflower Oil - to prepare dosa,Salt - to taste</t>
  </si>
  <si>
    <t xml:space="preserve">To begin making the Spring Onion Dosa, clean dosa rice with water and soak in water for 4 hours.Soak urad dal and methi seeds separately in water for 4 hours. Clean thick poha with water and soak with little water for 15 mins.After 4 hours, take a mixer jar add half of soaked rice, urad dal, methi seeds and grind into fine paste. Pour this into a mixing vessel.Now add remaining rice, soaked poha, red chilies and grated fresh coconut in a mixer jar and grind into fine paste.Pour this ground paste into the batter bowl and mix everything properly. Add grated jaggery and mix well. Next add the finely chopped spring onion (both bulbs and greens), salt into the batter and mix well. Add water as required to prepare the medium thick batter. Heat a skillet and pour the Spring Onion dosa batter over the heated skillet.Sprinkle oil on the surface and close with a lid. Cook the dosa properly from both the sides. Serve hot with butter, ghee, and liquid jaggery.Serve Spring Onion Dosa along with Dhaniya Pudina Chutney, South Indian Coconut Chutney or any other chutney of your choice.
</t>
  </si>
  <si>
    <t xml:space="preserve">ಸ್ಪ್ರಿಂಗ್ ಆನಿಯನ್ ದೋಸಾವನ್ನು ತಯಾರಿಸಲು ಪ್ರಾರಂಭಿಸಲು, ದೋಸೆ ಅಕ್ಕಿಯನ್ನು ನೀರಿನಿಂದ ಸ್ವಚ್ಛಗೊಳಿಸಿ ಮತ್ತು 4 ಗಂಟೆಗಳ ಕಾಲ ನೀರಿನಲ್ಲಿ ನೆನೆಸಿಡಿ. ಉದ್ದಿನಬೇಳೆ ಮತ್ತು ಮೆಂತ್ಯ ಬೀಜಗಳನ್ನು ಪ್ರತ್ಯೇಕವಾಗಿ 4 ಗಂಟೆಗಳ ಕಾಲ ನೀರಿನಲ್ಲಿ ನೆನೆಸಿ. ದಪ್ಪ ಪೋಹಾವನ್ನು ನೀರಿನಿಂದ ಸ್ವಚ್ಛಗೊಳಿಸಿ ಮತ್ತು 15 ನಿಮಿಷಗಳ ಕಾಲ ಸ್ವಲ್ಪ ನೀರಿನಲ್ಲಿ ನೆನೆಸಿಡಿ. 4 ಗಂಟೆಗಳ ನಂತರ, ಮಿಕ್ಸರ್ ಜಾರ್ ಅನ್ನು ತೆಗೆದುಕೊಂಡು ಅರ್ಧ ನೆನೆಸಿದ ಅಕ್ಕಿ, ಉದ್ದಿನ ಬೇಳೆ, ಮೆಂತ್ಯ ಬೀಜಗಳನ್ನು ಸೇರಿಸಿ ಮತ್ತು ನುಣ್ಣಗೆ ಪೇಸ್ಟ್ ಆಗಿ ರುಬ್ಬಿಕೊಳ್ಳಿ. ಇದನ್ನು ಮಿಕ್ಸಿಂಗ್ ಪಾತ್ರೆಯಲ್ಲಿ ಸುರಿಯಿರಿ. ಈಗ ಉಳಿದ ಅಕ್ಕಿ, ನೆನೆಸಿದ ಪೋಹಾ, ಕೆಂಪು ಮೆಣಸಿನಕಾಯಿಗಳು ಮತ್ತು ತುರಿದ ತಾಜಾ ತೆಂಗಿನಕಾಯಿಯನ್ನು ಮಿಕ್ಸರ್ ಜಾರ್‌ನಲ್ಲಿ ಸೇರಿಸಿ ಮತ್ತು ನುಣ್ಣಗೆ ಪೇಸ್ಟ್ ಆಗಿ ರುಬ್ಬಿಕೊಳ್ಳಿ. ಈ ರುಬ್ಬಿದ ಪೇಸ್ಟ್ ಅನ್ನು ಬ್ಯಾಟರ್ ಬೌಲ್‌ಗೆ ಸುರಿಯಿರಿ ಮತ್ತು ಎಲ್ಲವನ್ನೂ ಸರಿಯಾಗಿ ಮಿಶ್ರಣ ಮಾಡಿ. ತುರಿದ ಬೆಲ್ಲವನ್ನು ಸೇರಿಸಿ ಚೆನ್ನಾಗಿ ಮಿಶ್ರಣ ಮಾಡಿ. ಮುಂದೆ ಸಣ್ಣದಾಗಿ ಕೊಚ್ಚಿದ ಸ್ಪ್ರಿಂಗ್ ಆನಿಯನ್ (ಬಲ್ಬ್ಗಳು ಮತ್ತು ಗ್ರೀನ್ಸ್ ಎರಡನ್ನೂ), ಉಪ್ಪನ್ನು ಬ್ಯಾಟರ್ಗೆ ಸೇರಿಸಿ ಮತ್ತು ಚೆನ್ನಾಗಿ ಮಿಶ್ರಣ ಮಾಡಿ. ಮಧ್ಯಮ ದಪ್ಪದ ಹಿಟ್ಟನ್ನು ತಯಾರಿಸಲು ಅಗತ್ಯವಿರುವಷ್ಟು ನೀರನ್ನು ಸೇರಿಸಿ. ಬಾಣಲೆಯನ್ನು ಬಿಸಿ ಮಾಡಿ ಮತ್ತು ಬಿಸಿ ಮಾಡಿದ ಬಾಣಲೆಯ ಮೇಲೆ ಸ್ಪ್ರಿಂಗ್ ಆನಿಯನ್ ದೋಸೆ ಹಿಟ್ಟನ್ನು ಸುರಿಯಿರಿ. ಮೇಲ್ಮೈಯಲ್ಲಿ ಎಣ್ಣೆಯನ್ನು ಸಿಂಪಡಿಸಿ ಮತ್ತು ಮುಚ್ಚಳದಿಂದ ಮುಚ್ಚಿ. ದೋಸೆಯನ್ನು ಎರಡೂ ಕಡೆಯಿಂದ ಸರಿಯಾಗಿ ಬೇಯಿಸಿ. ಬೆಣ್ಣೆ, ತುಪ್ಪ ಮತ್ತು ದ್ರವ ಬೆಲ್ಲದೊಂದಿಗೆ ಬಿಸಿಯಾಗಿ ಬಡಿಸಿ. ಸ್ಪ್ರಿಂಗ್ ಆನಿಯನ್ ದೋಸೆ ಜೊತೆಗೆ ಧನಿಯಾ ಪುದಿನಾ ಚಟ್ನಿ, ದಕ್ಷಿಣ ಭಾರತೀಯ ತೆಂಗಿನಕಾಯಿ ಚಟ್ನಿ ಅಥವಾ ನಿಮ್ಮ ಆಯ್ಕೆಯ ಯಾವುದೇ ಚಟ್ನಿಯನ್ನು ಬಡಿಸಿ.
</t>
  </si>
  <si>
    <t>https://www.archanaskitchen.com/karnataka-style-spring-onion-dosa-recipe</t>
  </si>
  <si>
    <t>Tomato pulao Recipe</t>
  </si>
  <si>
    <t>ಟೊಮೆಟೊ ಪುಲಾವ್ ರೆಸಿಪಿ</t>
  </si>
  <si>
    <t>1 ಕಪ್ ಬಾಸ್ಮತಿ ಅಕ್ಕಿ, 3 ಟೊಮ್ಯಾಟೊ - ದೊಡ್ಡ ತುಂಡುಗಳಾಗಿ, 1 ಈರುಳ್ಳಿ - ಹೋಳುಗಳು, 10 ಪುದೀನ ಎಲೆಗಳು (ಪುದೀನಾ), 1/2 ಟೀಚಮಚ ಜೀರಿಗೆ (ಜೀರಾ), 1 ಬೇ ಎಲೆಗಳು (ತೇಜ್ ಪಟ್ಟಾ), 1/4 ಟೀಚಮಚ ಅರಿಶಿನ ಪುಡಿ (ಹಲ್ದಿ), 1 ಚಮಚ ಸಕ್ಕರೆ, 1 ಚಮಚ ನಿಂಬೆ ರಸ, 2 ಚಮಚ ಕಾರ್ನಿಯಾ ಸೀಹೆ ಎಣ್ಣೆ, 1 ಚಮಚ ಸೂರ್ಯಕಾಂತಿ ಸೀಹೆ ಎಣ್ಣೆ, 1 ಚಮಚ ಚಮಚ ಗಸಗಸೆ, 1 ಚಮಚ ಜೀರಿಗೆ (ಜೀರಾ), 7 ರಿಂದ 8 ಸಂಪೂರ್ಣ ಕಪ್ಪು ಮೆಣಸು, 1 ಇಂಚಿನ ದಾಲ್ಚಿನ್ನಿ ಕಡ್ಡಿ (ದಾಲ್ಚಿನಿ), 2 ಲವಂಗ (ಲಾಂಗ್), 2 ಹಸಿರು ಮೆಣಸಿನಕಾಯಿಗಳು, 1-1/2 ಟೀಚಮಚ ಕೆಂಪು ಮೆಣಸಿನಕಾಯಿ ಪುಡಿ, 6 ಬೆಳ್ಳುಳ್ಳಿ, 1/2 ಈರುಳ್ಳಿ, 1/2 ಇಂಚು ಶುಂಠಿ</t>
  </si>
  <si>
    <t>1 cup Basmati rice,3 Tomatoes - diced into large pieces,1 Onion - sliced,10 Mint Leaves (Pudina),1/2 teaspoon Cumin seeds (Jeera),1 Bay leaves (tej patta),1/4 teaspoon Turmeric powder (Haldi),1 teaspoon Sugar,1 teaspoon Lemon juice,2 tablespoon Sunflower Oil,1 tablespoon Ghee,1 tablespoon Coriander (Dhania) Seeds,2 teaspoons Poppy seeds,1 teaspoon Cumin seeds (Jeera),7 to 8 Whole Black Peppercorns,1 inch Cinnamon Stick (Dalchini),2 Cloves (Laung),2 Green Chillies,1-1/2 teaspoon Red Chilli powder,6 Garlic,1/2 Onion,1/2 inch Ginger</t>
  </si>
  <si>
    <t xml:space="preserve">To begin making the Tomato pulao recipe, soak basmati rice for 10 to 20 minutes.Chop tomatoes, slice onion and prepare all ingredients required.In a small mixer jar add coriander seeds, cumin seeds,poppy seeds, cinnamon stick, cloves and whole black peppercorn and grind to a powder. Now add the rest of the ingredients like the green chillies, ginger, garlic, red chilli powder, turmeric powder, onion and ginger with very little water and blend till smooth.In a large heavy bottomed pan heat oil and ghee, add jeera and let it crackle, now add bay leaf and then add sliced onions.Saute until the onions are golden and then add the ground paste and saute on a low flame. Keep stirring or else the masala will stick to the bottom of the pam. Cook for a couple of minutes until the raw smell disappears and the oil separates.Once done add tomatoes and mint leaves and cook for a minute till the tomatoes turn soft.After the tomatoes are soft add 1 cup of water, salt to taste, sugar and lemon juice.Bring it to a boil and add the rice and mix everything well until combined.Now add another 3/4 cup of water bring it to a boil. Lower the flame to simmer and cook covered for 15 minutes or until all the liquid is evaporated.Turn of the heat, let the Tomato Pulao sit for 10 minutes and then serve hot.Serve Tomato pulao with Burani Raita or any other raita of your choice for a delicious meal.
</t>
  </si>
  <si>
    <t xml:space="preserve">ಟೊಮೆಟೊ ಪುಲಾವ್ ಪಾಕವಿಧಾನವನ್ನು ತಯಾರಿಸಲು ಪ್ರಾರಂಭಿಸಲು, ಬಾಸ್ಮತಿ ಅಕ್ಕಿಯನ್ನು 10 ರಿಂದ 20 ನಿಮಿಷಗಳ ಕಾಲ ನೆನೆಸಿಡಿ. ಟೊಮ್ಯಾಟೊ ಕತ್ತರಿಸಿ, ಈರುಳ್ಳಿಯನ್ನು ತುಂಡು ಮಾಡಿ ಮತ್ತು ಅಗತ್ಯವಿರುವ ಎಲ್ಲಾ ಪದಾರ್ಥಗಳನ್ನು ತಯಾರಿಸಿ. ಸಣ್ಣ ಮಿಕ್ಸರ್ ಜಾರ್ನಲ್ಲಿ ಕೊತ್ತಂಬರಿ ಬೀಜಗಳು, ಜೀರಿಗೆ, ಗಸಗಸೆ, ದಾಲ್ಚಿನ್ನಿ ಕಡ್ಡಿ, ಲವಂಗ ಮತ್ತು ಸಂಪೂರ್ಣ ಕರಿಮೆಣಸು ಸೇರಿಸಿ ಮತ್ತು ಪುಡಿಯಾಗಿ ರುಬ್ಬಿಕೊಳ್ಳಿ. ಈಗ ಉಳಿದ ಸಾಮಾಗ್ರಿಗಳಾದ ಹಸಿರು ಮೆಣಸಿನಕಾಯಿ, ಶುಂಠಿ, ಬೆಳ್ಳುಳ್ಳಿ, ಕೆಂಪು ಮೆಣಸಿನ ಪುಡಿ, ಅರಿಶಿನ ಪುಡಿ, ಈರುಳ್ಳಿ ಮತ್ತು ಶುಂಠಿಯನ್ನು ಸ್ವಲ್ಪ ನೀರು ಸೇರಿಸಿ ಮತ್ತು ನಯವಾದ ತನಕ ಬ್ಲೆಂಡ್ ಮಾಡಿ. ಒಂದು ದೊಡ್ಡ ತಳದ ಬಾಣಲೆಯಲ್ಲಿ ಎಣ್ಣೆ ಮತ್ತು ತುಪ್ಪವನ್ನು ಬಿಸಿ ಮಾಡಿ, ಜೀರುಂಡೆ ಸೇರಿಸಿ ಮತ್ತು ಗರಿಗರಿಯಾಗಲು ಬಿಡಿ, ಈಗ ಬೇ ಎಲೆ ಸೇರಿಸಿ ನಂತರ ಕತ್ತರಿಸಿದ ಈರುಳ್ಳಿ ಸೇರಿಸಿ. ಬೆರೆಸಿ ಇರಿ ಇಲ್ಲದಿದ್ದರೆ ಮಸಾಲಾ ಪಾಮ್‌ನ ಕೆಳಭಾಗಕ್ಕೆ ಅಂಟಿಕೊಳ್ಳುತ್ತದೆ. ಹಸಿ ವಾಸನೆ ಮಾಯವಾಗಿ ಎಣ್ಣೆ ಬೇರ್ಪಡುವವರೆಗೆ ಒಂದೆರಡು ನಿಮಿಷ ಬೇಯಿಸಿ.ಒಮ್ಮೆ ಟೊಮ್ಯಾಟೊ ಮತ್ತು ಪುದೀನ ಎಲೆಗಳನ್ನು ಸೇರಿಸಿ ಮತ್ತು ಟೊಮ್ಯಾಟೊ ಮೃದುವಾಗುವವರೆಗೆ ಒಂದು ನಿಮಿಷ ಬೇಯಿಸಿ. ಟೊಮ್ಯಾಟೊ ಮೃದುವಾದ ನಂತರ 1 ಕಪ್ ನೀರು, ರುಚಿಗೆ ಉಪ್ಪು, ಸಕ್ಕರೆ ಮತ್ತು ನಿಂಬೆ ರಸವನ್ನು ಸೇರಿಸಿ. ಅದನ್ನು ಕುದಿಸಿ ಮತ್ತು ಅಕ್ಕಿ ಸೇರಿಸಿ ಮತ್ತು ಎಲ್ಲವನ್ನೂ ಚೆನ್ನಾಗಿ ಮಿಶ್ರಣ ಮಾಡಿ. ಈಗ ಇನ್ನೊಂದು 3/4 ಕಪ್ ನೀರು ಸೇರಿಸಿ. ಜ್ವಾಲೆಯನ್ನು ಕುದಿಸಿ ಮತ್ತು 15 ನಿಮಿಷಗಳ ಕಾಲ ಮುಚ್ಚಳದಲ್ಲಿ ಬೇಯಿಸಿ ಅಥವಾ ಎಲ್ಲಾ ದ್ರವವು ಆವಿಯಾಗುವವರೆಗೆ ಬೇಯಿಸಿ. ಉರಿಯನ್ನು ತಿರುಗಿಸಿ, ಟೊಮೇಟೊ ಪುಲಾವ್ ಅನ್ನು 10 ನಿಮಿಷಗಳ ಕಾಲ ಕುಳಿತುಕೊಳ್ಳಿ ಮತ್ತು ನಂತರ ಬಿಸಿಯಾಗಿ ಬಡಿಸಿ. ರುಚಿಕರವಾದ ಊಟಕ್ಕಾಗಿ ಟೊಮೇಟೊ ಪುಲಾವ್ ಅನ್ನು ಬುರಾನಿ ರೈಟಾ ಅಥವಾ ನಿಮ್ಮ ಆಯ್ಕೆಯ ಯಾವುದೇ ರೈತಾದೊಂದಿಗೆ ಬಡಿಸಿ.
</t>
  </si>
  <si>
    <t>https://www.archanaskitchen.com/tomato-pulav-recipe</t>
  </si>
  <si>
    <t>Karwar Style Ambade Udid Methi Recipe - Hog Plum Curry</t>
  </si>
  <si>
    <t>ಕಾರವಾರ ಸ್ಟೈಲ್ ಅಂಬಡೆ ಉಡಿದ್ ಮೇತಿ ರೆಸಿಪಿ - ಹಾಗ್ ಪ್ಲಮ್ ಕರಿ</t>
  </si>
  <si>
    <t>5 ಹಾಗ್ ಪ್ಲಮ್ (ಅಮ್ಟೆಕಾಯಿ) - (ಅಂಬಡೆ), 3/4 ಕಪ್ ತಾಜಾ ತೆಂಗಿನಕಾಯಿ - ತುರಿದ, 1/4 ಟೀಚಮಚ ಅರಿಶಿನ ಪುಡಿ (ಹಲ್ದಿ), 1 ಚಮಚ ಕೊತ್ತಂಬರಿ (ಧನಿಯಾ) ಬೀಜಗಳು, 1 ಟೀಚಮಚ ಕಪ್ಪು ಉರಾದ್ ದಾಲ್ (ಒಡೆದ), 1 ಟೀಚಮಚ ಅಕ್ಕಿ - (ಹಸಿ ಅಕ್ಕಿ), 1/4 ಟೀಸ್ಪೂನ್ ಮೇಥಿ ಬೀಜಗಳು (ಮೆಂತ್ಯ 4 ಚಮಚ, ಕಪ್ಪು ಬೀಜಗಳು), 6 ಚಮಚ ಮೆಂತ್ಯ ಬೀಜಗಳು. ಬೆಲ್ಲ, 1 ಚಿಟಿಕೆ ಇಂಗು (ಹಿಂಗ್), 1 ಕರೇಲ (ಕಹಿ ಸೋರೆಕಾಯಿ / ಪಾವಕ್ಕಾಯಿ) - (ಸಣ್ಣ), ಉಪ್ಪು - ರುಚಿಗೆ, 2 ಟೀ ಚಮಚ ಸೂರ್ಯಕಾಂತಿ ಎಣ್ಣೆ, 2 ಟೀ ಚಮಚ ಸೂರ್ಯಕಾಂತಿ ಎಣ್ಣೆ, 1/2 ಟೀಸ್ಪೂನ್ ಸಾಸಿವೆ, 1 ಚಿಟಿಕೆ ಇಂಗು (ಹಿಂಗ್)</t>
  </si>
  <si>
    <t>5 Hog Plum (Amtekai) - (Ambade),3/4 cup Fresh coconut - grated,1/4 teaspoon Turmeric powder (Haldi),1 tablespoon Coriander (Dhania) Seeds,1 teaspoon Black Urad Dal (Split),1 teaspoon Rice - (raw rice),1/4 teaspoon Methi Seeds (Fenugreek Seeds),6 Whole Black Peppercorns,4 Dry Red Chilli,2 tablespoons Jaggery,1 pinch Asafoetida (hing),1 Karela (Bitter Gourd/ Pavakkai) - (Small),Salt - to taste,2 teaspoons Sunflower Oil,2 teaspoons Sunflower Oil,1/2 teaspoon Mustard seeds,1 pinch Asafoetida (hing)</t>
  </si>
  <si>
    <t xml:space="preserve">To begin making the Karwar Style Ambade Udid Methi Recipe (Hog Plum Curry), firstly, scrape away the outer layer of the bitter gourd, clean it from inside and cut it into thin rings. Apply a bit of salt to it (I used 1/4 teaspoon), toss well to coat and keep aside for about an hour to do away with the bitterness of bitter gourd. After an hour, wash the chopped bitter gourd thoroughly and keep aside to drain. Use a little oil and roast the bitter gourd rings on low heat in a kadai till crisp. Peel and clean the Ambade meanwhile when the bitter gourd is roasting on low heat. Heat a little oil in a kadai (a few drops each time) and lightly roast the coriander seeds, urad dal, methi seeds, rice grains, peppercorns, asafoetida piece and dry red chillies separately on low heat.As soon as each ingredient changes its colour, remove from flame and keep aside to cool.Once cooled, grind all these ingredients in a mixer grinder along with the grated coconut, using required water to form a smooth paste. Add to this paste to a cup of water and mix well to form a semi-thick gravy and pour in the kadai.Now, add turmeric powder, ambade/hog plum/amtekai, jaggery, roasted bitter gourd rings, salt to taste and keep on a high heat stirring occasionally till it reaches boiling point. Once it starts boiling, lower the heat and simmer for about 8-10 minutes or till the ambade are cooked and soft. If you feel that the gravy has thickened too much by now, just add some water to bring back a medium consistency which is desirable.Check for seasoning and adjust salt and jaggery if required. In a tadka pan, heat a bit of oil for tempering and when the oil is hot, add mustard seeds and asafoetida. Pour this over the prepared udid methi.Serve Karwar Style Ambade Udid Methi Recipe (Hog Plum Curry) along with Steamed Rice and Sol Kadhi for a South Indian meal.
</t>
  </si>
  <si>
    <t xml:space="preserve">ಕಾರವಾರ ಸ್ಟೈಲ್ ಅಂಬಡೆ ಉಡಿದ್ ಮೇತಿ ರೆಸಿಪಿ (ಹಾಗ್ ಪ್ಲಮ್ ಕರಿ) ತಯಾರಿಸಲು ಪ್ರಾರಂಭಿಸಲು, ಮೊದಲನೆಯದಾಗಿ, ಹಾಗಲಕಾಯಿಯ ಹೊರ ಪದರವನ್ನು ತೆಗೆದು ಒಳಗಿನಿಂದ ಸ್ವಚ್ಛಗೊಳಿಸಿ ಮತ್ತು ತೆಳುವಾದ ಉಂಗುರಗಳಾಗಿ ಕತ್ತರಿಸಿ. ಇದಕ್ಕೆ ಸ್ವಲ್ಪ ಉಪ್ಪನ್ನು ಹಾಕಿ (ನಾನು 1/4 ಟೀಚಮಚ ಬಳಸಿದ್ದೇನೆ), ಕೋಟ್ ಮಾಡಲು ಚೆನ್ನಾಗಿ ಟಾಸ್ ಮಾಡಿ ಮತ್ತು ಹಾಗಲಕಾಯಿಯ ಕಹಿಯನ್ನು ಹೋಗಲಾಡಿಸಲು ಸುಮಾರು ಒಂದು ಗಂಟೆ ಪಕ್ಕಕ್ಕೆ ಇರಿಸಿ. ಒಂದು ಗಂಟೆಯ ನಂತರ, ಕತ್ತರಿಸಿದ ಹಾಗಲಕಾಯಿಯನ್ನು ಚೆನ್ನಾಗಿ ತೊಳೆಯಿರಿ ಮತ್ತು ಬರಿದಾಗಲು ಪಕ್ಕಕ್ಕೆ ಇರಿಸಿ. ಸ್ವಲ್ಪ ಎಣ್ಣೆಯನ್ನು ಬಳಸಿ ಮತ್ತು ಹಾಗಲಕಾಯಿ ಉಂಗುರಗಳನ್ನು ಕಡಾಯಿಯಲ್ಲಿ ಗರಿಗರಿಯಾಗುವವರೆಗೆ ಕಡಿಮೆ ಶಾಖದಲ್ಲಿ ಹುರಿಯಿರಿ. ಹಾಗಲಕಾಯಿಯನ್ನು ಕಡಿಮೆ ಉರಿಯಲ್ಲಿ ಹುರಿಯುವಾಗ ಅಂಬಾಡೆಯನ್ನು ಸಿಪ್ಪೆ ತೆಗೆದು ಸ್ವಚ್ಛಗೊಳಿಸಿ. ಕಡಾಯಿಯಲ್ಲಿ ಸ್ವಲ್ಪ ಎಣ್ಣೆಯನ್ನು ಬಿಸಿ ಮಾಡಿ (ಪ್ರತಿ ಬಾರಿ ಕೆಲವು ಹನಿಗಳು) ಮತ್ತು ಕೊತ್ತಂಬರಿ ಕಾಳುಗಳು, ಉದ್ದಿನಬೇಳೆ, ಮೆಂತ್ಯೆ ಬೀಜಗಳು, ಅಕ್ಕಿ ಕಾಳುಗಳು, ಕಾಳುಗಳು, ಇಂಗು ತುಂಡು ಮತ್ತು ಒಣ ಕೆಂಪು ಮೆಣಸಿನಕಾಯಿಗಳನ್ನು ಪ್ರತ್ಯೇಕವಾಗಿ ಕಡಿಮೆ ಉರಿಯಲ್ಲಿ ಹುರಿದುಕೊಳ್ಳಿ. ನಯವಾದ ಪೇಸ್ಟ್ ಅನ್ನು ರೂಪಿಸಲು ಅಗತ್ಯವಿರುವ ನೀರನ್ನು ಬಳಸಿ. ಈ ಪೇಸ್ಟ್ ಅನ್ನು ಒಂದು ಕಪ್ ನೀರಿಗೆ ಸೇರಿಸಿ ಮತ್ತು ಅರೆ-ದಪ್ಪವಾದ ಗ್ರೇವಿಯನ್ನು ರೂಪಿಸಲು ಚೆನ್ನಾಗಿ ಮಿಶ್ರಣ ಮಾಡಿ ಮತ್ತು ಕಡಾಯಿಯಲ್ಲಿ ಸುರಿಯಿರಿ. ಈಗ, ಅರಿಶಿನ ಪುಡಿ, ಅಂಬಡೆ/ಹಾಗ್ ಪ್ಲಮ್/ಅಮ್ಟೆಕಾಯಿ, ಬೆಲ್ಲ, ಹುರಿದ ಹಾಗಲಕಾಯಿ ಉಂಗುರಗಳು, ರುಚಿಗೆ ತಕ್ಕಷ್ಟು ಉಪ್ಪು ಮತ್ತು ಕುದಿಯುವ ಹಂತವನ್ನು ತಲುಪುವವರೆಗೆ ಸಾಂದರ್ಭಿಕವಾಗಿ ಹೆಚ್ಚಿನ ಉರಿಯಲ್ಲಿ ಬೆರೆಸಿ. ಅದು ಕುದಿಯಲು ಪ್ರಾರಂಭಿಸಿದ ನಂತರ, ಶಾಖವನ್ನು ಕಡಿಮೆ ಮಾಡಿ ಮತ್ತು ಸುಮಾರು 8-10 ನಿಮಿಷಗಳ ಕಾಲ ತಳಮಳಿಸುತ್ತಿರು ಅಥವಾ ಅಂಬಾಡೆ ಬೇಯಿಸಿ ಮೃದುವಾಗುವವರೆಗೆ. ಗ್ರೇವಿಯು ಈಗ ತುಂಬಾ ದಪ್ಪವಾಗಿದೆ ಎಂದು ನೀವು ಭಾವಿಸಿದರೆ, ಅಪೇಕ್ಷಣೀಯವಾದ ಮಧ್ಯಮ ಸ್ಥಿರತೆಯನ್ನು ಮರಳಿ ತರಲು ಸ್ವಲ್ಪ ನೀರನ್ನು ಸೇರಿಸಿ. ಮಸಾಲೆಗಾಗಿ ಪರಿಶೀಲಿಸಿ ಮತ್ತು ಅಗತ್ಯವಿದ್ದರೆ ಉಪ್ಪು ಮತ್ತು ಬೆಲ್ಲವನ್ನು ಹೊಂದಿಸಿ. ತಡ್ಕಾ ಬಾಣಲೆಯಲ್ಲಿ, ಹದಗೊಳಿಸಲು ಸ್ವಲ್ಪ ಎಣ್ಣೆಯನ್ನು ಬಿಸಿ ಮಾಡಿ ಮತ್ತು ಎಣ್ಣೆ ಬಿಸಿಯಾದಾಗ, ಸಾಸಿವೆ ಮತ್ತು ಇಂಗು ಹಾಕಿ. ಇದನ್ನು ತಯಾರಾದ ಉಡಿದ್ ಮೇಥಿಯ ಮೇಲೆ ಸುರಿಯಿರಿ. ಕಾರವಾರ ಸ್ಟೈಲ್ ಅಂಬಡೆ ಉಡಿದ್ ಮೇಥಿ ರೆಸಿಪಿ (ಹಾಗ್ ಪ್ಲಮ್ ಕರಿ) ಜೊತೆಗೆ ಸ್ಟೀಮ್ಡ್ ರೈಸ್ ಮತ್ತು ಸೋಲ್ ಕಧಿ ಒಂದು ದಕ್ಷಿಣ ಭಾರತದ ಊಟಕ್ಕೆ ಬಡಿಸಿ.
</t>
  </si>
  <si>
    <t>http://www.archanaskitchen.com/ambade-udid-methi-recipe-karwar-style-hog-plum-curry</t>
  </si>
  <si>
    <t>Coastal Karnataka</t>
  </si>
  <si>
    <t>Karwar Style Lasani Kadhi Recipe - Kokum And Coconut Milk Curry</t>
  </si>
  <si>
    <t>ಕಾರವಾರ ಶೈಲಿಯ ಲಸಾನಿ ಕಧಿ ರೆಸಿಪಿ - ಕೋಕಂ ಮತ್ತು ತೆಂಗಿನ ಹಾಲು ಕರಿ</t>
  </si>
  <si>
    <t>6 ಕೋಕಂ (ಮಲಬಾರ್ ಹುಣಸೆಹಣ್ಣು), 1-1/2 ಕಪ್ ತಾಜಾ ತೆಂಗಿನಕಾಯಿ - ತುರಿದ ಅಥವಾ 2 ಕಪ್ ತೆಂಗಿನ ಹಾಲು, 3 ಹಸಿರು ಮೆಣಸಿನಕಾಯಿಗಳು, 2 ಲವಂಗ ಬೆಳ್ಳುಳ್ಳಿ, 1/2 ಟೀಚಮಚ ಜೀರಿಗೆ (ಜೀರಾ), ಉಪ್ಪು - ರುಚಿಗೆ, ಬೆಲ್ಲ - ರುಚಿಗೆ, ಕೊತ್ತಂಬರಿ (ಧನಿಯಾ) ಎಲೆಗಳು - ಅಲಂಕರಿಸಲು ಬೇಕಾಗುವಷ್ಟು), 1 ಟೀಚಮಚ/ಕತ್ತರಿಸಿದ ಸೂರ್ಯಕಾಂತಿ ಬೀಜಗಳು, 1/4 ಟೀಚಮಚ ಜೀರಿಗೆ ಬೀಜಗಳು (ಜೀರಾ)</t>
  </si>
  <si>
    <t>6 Kokum (Malabar Tamarind),1-1/2 cup Fresh coconut - grated or 2 cups coconut milk,3 Green Chillies,2 cloves Garlic,1/2 teaspoon Cumin seeds (Jeera),Salt - to taste,Jaggery - to taste,Coriander (Dhania) Leaves - as required to garnish (chopped),1 teaspoon Sunflower Oil,1/2 teaspoon Mustard seeds,1/4 teaspoon Cumin seeds (Jeera)</t>
  </si>
  <si>
    <t xml:space="preserve">To begin making the Karwar Style Lasani Kadhi Recipe (Kokum &amp; Coconut Milk Curry), soak kokum peels in 1 cup hot water for 30 to 45 minutes.Squeeze well and discard the left over. In a mixer take coconut, cumin seeds, garlic and green chillies. Add 1 cup warm water and grind to a smooth paste. Sieve to extract coconut milk. For the left over coconut solids, add some water and regrind. Sieve to get thin coconut milk. To the coconut milk, add kokum juice. Add salt and jaggery. Mix and add water if required to get desired consistency.Next, prepare the tempering. Heat oil in a tadka pan. Ass Mustard seeds, cumin seeds and curry leaves. Saute for 10 seconds and pour it on the kadhi. Garnish with chopped coriander leaves and serve hot.Serve Karwar Style Lasani Kadhi (Kokum &amp; Coconut Milk Curry) with Karwar Style Muga Ambat, Phulka and Steamed Rice for a weekday meal.
</t>
  </si>
  <si>
    <t xml:space="preserve">ಕಾರವಾರ ಶೈಲಿಯ ಲಸಾನಿ ಕಧಿ ರೆಸಿಪಿ (ಕೋಕಂ ಮತ್ತು ತೆಂಗಿನ ಹಾಲಿನ ಕರಿ) ತಯಾರಿಸಲು ಪ್ರಾರಂಭಿಸಲು, ಕೋಕಮ್ ಸಿಪ್ಪೆಯನ್ನು 1 ಕಪ್ ಬಿಸಿ ನೀರಿನಲ್ಲಿ 30 ರಿಂದ 45 ನಿಮಿಷಗಳ ಕಾಲ ನೆನೆಸಿಡಿ. ಚೆನ್ನಾಗಿ ಹಿಂಡಿ ಮತ್ತು ಉಳಿದ ಭಾಗವನ್ನು ತಿರಸ್ಕರಿಸಿ. ಮಿಕ್ಸರ್ನಲ್ಲಿ ತೆಂಗಿನಕಾಯಿ, ಜೀರಿಗೆ, ಬೆಳ್ಳುಳ್ಳಿ ಮತ್ತು ಹಸಿರು ಮೆಣಸಿನಕಾಯಿಗಳನ್ನು ತೆಗೆದುಕೊಳ್ಳಿ. 1 ಕಪ್ ಬೆಚ್ಚಗಿನ ನೀರನ್ನು ಸೇರಿಸಿ ಮತ್ತು ನಯವಾದ ಪೇಸ್ಟ್ಗೆ ರುಬ್ಬಿಕೊಳ್ಳಿ. ತೆಂಗಿನ ಹಾಲು ತೆಗೆಯಲು ಜರಡಿ ಹಿಡಿಯಿರಿ. ಉಳಿದ ತೆಂಗಿನಕಾಯಿ ಘನಗಳಿಗೆ, ಸ್ವಲ್ಪ ನೀರು ಸೇರಿಸಿ ಮತ್ತು ಪುನಃ ಪುಡಿಮಾಡಿ. ತೆಳುವಾದ ತೆಂಗಿನ ಹಾಲು ಪಡೆಯಲು ಜರಡಿ ಹಿಡಿಯಿರಿ. ತೆಂಗಿನ ಹಾಲಿಗೆ ಕೋಕಂ ರಸವನ್ನು ಸೇರಿಸಿ. ಉಪ್ಪು ಮತ್ತು ಬೆಲ್ಲ ಸೇರಿಸಿ. ಅಪೇಕ್ಷಿತ ಸ್ಥಿರತೆಯನ್ನು ಪಡೆಯಲು ಅಗತ್ಯವಿದ್ದರೆ ನೀರನ್ನು ಬೆರೆಸಿ ಮತ್ತು ಸೇರಿಸಿ. ಮುಂದೆ, ಹದಗೊಳಿಸುವಿಕೆಯನ್ನು ತಯಾರಿಸಿ. ತಡ್ಕಾ ಬಾಣಲೆಯಲ್ಲಿ ಎಣ್ಣೆಯನ್ನು ಬಿಸಿ ಮಾಡಿ. ಕತ್ತೆ ಸಾಸಿವೆ, ಜೀರಿಗೆ ಮತ್ತು ಕರಿಬೇವಿನ ಎಲೆಗಳು. 10 ಸೆಕೆಂಡುಗಳ ಕಾಲ ಹುರಿಯಿರಿ ಮತ್ತು ಅದನ್ನು ಕದಿಯ ಮೇಲೆ ಸುರಿಯಿರಿ. ಕತ್ತರಿಸಿದ ಕೊತ್ತಂಬರಿ ಸೊಪ್ಪಿನಿಂದ ಅಲಂಕರಿಸಿ ಮತ್ತು ಬಿಸಿಯಾಗಿ ಬಡಿಸಿ. ವಾರದ ದಿನದ ಊಟಕ್ಕೆ ಕಾರವಾರ ಶೈಲಿಯ ಲಸಾನಿ ಕಡಿ (ಕೋಕಂ ಮತ್ತು ತೆಂಗಿನಕಾಯಿ ಹಾಲಿನ ಕರಿ) ಕಾರವಾರ ಸ್ಟೈಲ್ ಮುಗ ಅಂಬಾಟ್, ಫುಲ್ಕಾ ಮತ್ತು ಬೇಯಿಸಿದ ಅನ್ನದೊಂದಿಗೆ ಬಡಿಸಿ.
</t>
  </si>
  <si>
    <t>http://www.archanaskitchen.com/karwar-style-lasani-kadhi-recipe</t>
  </si>
  <si>
    <t>Banana Stem Chickpea Curry</t>
  </si>
  <si>
    <t>ಬಂದೆ ದಿಂಡು ಕಡಲೆ ಪಲ್ಯ ರೆಸಿಪಿ - ಬಾಳೆ ಕಾಂಡದ ಕಡಲೆ ಕರಿ</t>
  </si>
  <si>
    <t>1 ಕೆಲೆ ಕಾ ಸ್ಟೇಮ್ - ಧೋ ಕರ್ ಕಾಟ್ ಲೆ,1 ಕಪ್ ಕಾಲಾ ಚನಾ - ರಾತ್ ಭರ ಬಿಗೋ ಲೇ,2 ಬಡ, 2ರಚಮಚನ ಛೋಟೆ ಚಮಚ್ಚ ಜೀರಾ,2 ಛೋಟೆ ಚಮಚ್ಚ ಧನಿಯೇ ಬೀಜ್,1-1/2 ಛೋಟ ಲಚಮಚಮಚ ಪೌಡರ್,2 ಪ್ಯಾಜ್ - ಕಾಟ್ ಲೆ,1 ಕಲಿ ಲಹಸುನ್ - ಛೀಲ್ ಲೆ,ಕಢಿ ಪತ್ತಾ - ಪ್ರಯೋಗ ಅನುಸಾರ,ನಮಕ -ಅನದ ಪ್ರಯೋಗ ಅನುಸಾರ್,ಹರಾ ಧನಿಯಾ - ಥೋಡಾ,1 ಹರಿ ಮಿರ್ಚ್,1 ಛೋಟಾ ಚಮಚ್ಚ ನಿಮ್ಕಬಸ್</t>
  </si>
  <si>
    <t>1 केले का स्टेम - धो कर काट ले,1 कप काला चना - रात भर भिगो ले,2 बड़े चमच्च नारियल - कस ले,2 छोटे चमच्च जीरा,2 छोटे चमच्च धनिये के बीज,1-1/2 छोटा चमच्च लाल मिर्च पाउडर,2 प्याज - काट ले,1 कली लहसुन - छील ले,कढ़ी पत्ता - प्रयोग अनुसार,नमक - स्वाद अनुसार,तेल - प्रयोग अनुसार,हरा धनिया - थोड़ा,1 हरी मिर्च,1 छोटा चमच्च निम्बू का रस</t>
  </si>
  <si>
    <t>To make "Bande Dindu Kadle Palya Recipe firstly cut off the top part of the banana stem. Trim the top and bottom part and chop it finely. Now in a pressure cooker add black chickpeas and water as per requirement. Cook till 1 to 2 whistles. Let the pressure release automatically. Open the cooker and add banana stem, salt and cook for 1 more whistle. Let the pressure release automatically. Add coriander seeds in a pan and fry for 1 minute. Keep it aside. Heat some more oil in the same pan. Add cumin seeds, curry leaves and cook for 10 seconds. Now add onion, garlic and cook till the onion becomes soft. Turn off the gas and let it cool down a bit. In a mixer grinder add roasted coriander seeds, cooked onion garlic mixture, coconut, some water and grind it. Now open the cooker and transfer it to a pan. Add the ground masala and mix it. Add chilli powder, salt and bring to a boil. After boiling, turn off the gas, add lemon juice and mix well. Garnish with coriander leaves and chillies and serve. Serve Bande Dindu Kadle Palya recipe with Laccha Paratha and Spinach Raita for lunch. "</t>
  </si>
  <si>
    <t xml:space="preserve">ಬಂದೆ ದಿಂಡು ಕಡಲೆ ಪಾಳ್ಯ ರೆಸಿಪಿ ಬನಾನೆಗೆ ಸಬಸೆ ಪಹಳೆ ಕೇಳಲೆ ವೇದಿಕೆಯ ಅಧಿಕ ಮಾಹಿತಿ. ಇಸಕೆ ಊಪರ್ ಮತ್ತು ನಿಚೆ ಕಾ ಹಿಸ್ಸಾ ಟ್ರಿಮ್ ಕರ್ ಲೇ ಮತ್ತು ಬರೀಕ್ ಕಾಟ್ ಲೆ.ಅಬ್ ಎ ಎ ಪ್ರೆಶರ ್ಕರ್ ಕುಕರ್ ಪ್ರಯೋಗ ಅನುಸಾರ್ ಪಾನಿ ದಾಲೆ. 1 ಸೆ 2 ಸಿಟಿ ಆನೇ ತಕ ಪಕ ಲೆ. ಪ್ರೆಶರ್ ಆಪನೆ ನೀವು ನಿಕಳನೆ ದೇ.ಕುಕರ್ ಕೋ ಖೋಲೆ ಮತ್ತು ಇಸ್ಮೆಂ ಕೆಲೆ ಕೆ ಸ್ಟೇಮ್, ನಮಕ್ ಡಾಲೆ ಮತ್ತು 1 ಕೆ.ಎಸ್. ಲೆ.  ಪ್ರೇಷರ್ ಅಪನೇ ಆಪ ನಿಕಲನೇ ದೇ. ಕಥೆಯಲ್ಲಿ ಧನ್ಯವಾದ ಬೀಜ್ ಡೇಲ್ ಮತ್ತು 1 ನಿಮಿಷಕ್ಕೆ ಸೆಕ್ ಲೆ. ಅಲಗ್ ಸೆ ರಖ ಲೆ. ಉಸಿ ಕಢೈ ಮೆನ್ ಥೋಡಾ ಮತ್ತು ತೇಲ್ ಗರಂ ಕರೆಂ. ಅದೇ ರೀತಿ ಜೀರಾ, ಕಡತಿ ಪತ್ತ ದಾಲೆ ಮತ್ತು 10 ಸೆಕಂಡ್‌ಗಳು ಅಬ್ ಇಸ್ಮೆಂ ಪ್ಯಾಜ್, ಲಹಸುನ್ ದಾಲೆ ಮತ್ತು ಪ್ರಯಾಜ್‌ಗೆ ನರಮ್ ಹೋನೆ ತಕ ಪಕಾ ಲೆ. ಗೈಸ್ ಬಂದ ಕರ್ ಲೇ ಮತ್ತು ಥೋಡ ದಂಡ ಹೋನೆ ದೆ. ಒಂದು ಮಿಕ್ಸರ್ ಗ್ರೈಂಡರ್ ಮೆನ್ ಸೀಕೆ ಹುಯೇ ಧನಿಯೇ ಕಿ ಬೀಜ್, ಪಕ ಹುವಾ ಪ್ಯಾಜ್ ಲಹಸುನ, ಶಮನ, ಥೋಡಾ ಸಾ ಪಾನಿ ದಾಲೆ ಮತ್ತು ಪೀಸ್ ಲೆ. ಅಬ್ ಕುಕರ್ ಕೋ ಖೋಲೆ ಮತ್ತು ಉಸೇ ಎಕ್ ಕಢೈ ಮೆಂ ಡಾಲ್ ದೇ. ಇದೇ ಪಿಸಾ ಹುವಾ ಮಸಾಲಾ ದಾಲೆ ಮತ್ತು ಮಿಲಾ ಲೆ. ಲಾಲ್ ಮಿರ್ಚ್ ಪೌಡರ್, ನಮಕ್ ದಾಲೆ ಮತ್ತು ಉಬಾಲಾ ಆನೇ ದೇ. ಉಬಾಲಾ ಆನೆ ಕೆ ಬಾದ ಗೈಸ್ ಬಂದ ಕರೆಂ, ನಿಂಬೂ ಕಾ ರಸ್ ಡಾಲೆ ಮತ್ತು ಮಿಲಾ ಲೆ. ಹರಾ ಧನಿಯಾ ಮತ್ತು ಮಿರ್ಚ್ ಸೆ ಗಾರ್ನಿಶ್ ಕರೆಂ ಮತ್ತು ಪರೋಸೆ. ಬಂದೆ ದಿನದಿಂದ ಕಡಲೆ ಪಲ್ಯ ರೆಸಿಪಿ ಕೊ ಲಚ್ಚಾ ಪರಾಠ ಮತ್ತು ಪಾಲಕ ರಾಯತಾ ಕೆ ಸಾಥದ ದಿನಕ್ಕಾಗಿ ಪರೋಸ್.
</t>
  </si>
  <si>
    <t>http://www.archanaskitchen.com/baale-dindu-kadale-kaalina-palya-banana-stem-curry-with-chickpeas-recipe-in-hindi</t>
  </si>
  <si>
    <t>North Kanara Sweet And Sour Raw Mango Chutney Recipe</t>
  </si>
  <si>
    <t>ಉತ್ತರ ಕನಾರಾ ಖಟ್ಟಿ ಮೀಠಿ ಆಮ್ ಕಿ ಚಟನಿ ರೆಸಿಪಿ - ಉತ್ತರ ಕನರಾ ಸಿಹಿ ಮತ್ತು ಹುಳಿ ಮಾವಿನಕಾಯಿ ಚಟ್ನಿ ರೆಸಿಪಿ</t>
  </si>
  <si>
    <t>3 ಕಚ್ಚ ಆಮ್ - ಚೀಲಕರ್ 1 ಇಂಚುಗಳಲ್ಲಿ ಕಾಟ್ ಲೆ,3 ಬ್ಯಾಡಗಿ ಲಾಲ್ ಮಿರ್ಚ್,1 ಕಪ ನಾರಿಯಲ್ - 1/4 ಲೆ, ಚಮಚ್ಚ ಹೀಂಗ್,3 ಬಡೆ ಚಮಚ್ಚ ಗುಡ,1 ಛೋಟಾ ಚಮಚ್ಚ ಕಶ್ಮೀರಿ ಕರ್‌ಲಾಲ್, - ಸ್ವಾದ ಅನುಸಾರ್, ತೇಲ್ - ಸೆಕ್ ಲೆ</t>
  </si>
  <si>
    <t>3 raw mangoes - peeled and cut into 1 inch, 3 red chillies, 1 cup coconut - tightly, 1/4 teaspoon asafoetida, 3 tablespoons jaggery, 1 teaspoon Kashmiri red chilli powder, salt - as per taste, oil - Take it</t>
  </si>
  <si>
    <t>To make "North Kanara Meethi Khatta Mango Chutney Recipe, first of all, prepare all the ingredients. Heat oil in a small pan. Add mango pieces and cook till mangoes are cooked a little. It will take 3 to 4 minutes. Turn off the gas, remove in a bowl and keep aside. Heat some more oil in the same pan. Add asafoetida and cook for 10 seconds. Now add coconut and cook till coconut turns golden brown. Once cooked, transfer it to the bowl with mangoes and keep aside. Heat some more oil in the same pan. Add Byadagi chillies, cook for 1 minute, turn off the gas and keep aside. Now in a mixer grinder, add mango, coconut, Byadagi chillies, jaggery, salt and grind well. After grinding, remove in a bowl and keep aside. Serve North Kanara Meethi Khatta Mango Chutney with Wali Bhaji Ambat, Tawa Paratha and Rice for lunch Serve. "</t>
  </si>
  <si>
    <t xml:space="preserve">ಉತ್ತರ ಕನಾರಾ ಖಟ್ಟಿ ಮೀಠಿ ಆಮ್ ಕಿ ಚಟನಿ ರೆಸಿಪಿ ಕೋ ಬನಾನೆಗೆ ಸಬಸೆ ಪಹಳೇ ಸಾರಿ ಲೆ. ಒಂದು ಛೋಟಿ ಕಥೆಯಲ್ಲಿ ತೇಲ್ ಗರಂ ಕರೆಂ. ಅದೇ ರೀತಿ ಆಮ್ ಕೆ ಟುಕಡೆ ಡಾಲೆ ಮತ್ತು ಆಮ್ ಕೆ ಥೋಡಾ ಪಕ್ ಜಾನೇ ತಕ್ ಪಕಾ ಲೆ. ಇದೇ 3 ಸೆ 4 ಮಿನಟ್ ಲಗೆಂಗೆ. ಗೈಸ್ ಬಂದ ಕರೆಂ, ಒಂದು ಬೌಲ್ ಮೆನ್ ನಿಕಾಲೆ ಮತ್ತು ಅಲಗ್ ಸೆ ರಖ್ ಲೆ. ಉಸಿ ಕಢೈ ಮೆನ್ ಥೋಡಾ ಮತ್ತು ತೇಲ್ ಗರಂ ಕರೆಂ. ಹೀಗಿರುವಾಗ ಹೀಂಗ್ ಡೇಲ್ ಮತ್ತು 10 ಸೆಕಂಡ್ಸ್ ಗೆ ಪಕ ಲೆ. ಅಬ್ ಇಸ್ಮೆಂ ನಾರಿಯಲ್ ಡಾಲೆ ಮತ್ತು ನಾರಿಯಲ್ ಕೆ ಸುನಹರಾ ಹೋನೆ ತಕ ಪಕ ಲೆ. ಪಕ್ ಜಾನೆ ಕೆ ಬಾದ್, ಇಸೆ ಭಿ ಆಮ್ ವಾಲೆ ಬೌಲ್ ಮೆನ್ ಡಾಲೆ ಮತ್ತು ಅಲಗ್ ಸೆ ರಖ ಲೆ.ಉಸಿ ಕಥಾಮ್ ಮತ್ತು ತೇಲ್ ಗರಂ ಕರೆಂ. ಅದೇ ರೀತಿ ಬ್ಯಾಡಗಿ ಮಿರ್ಚ್ ಡಾಲೆ, 1 ನಿಮಿಷಗಳು ಅಬ್ ಎಕ್ ಮಿಕ್ಸರ್ ಗ್ರೈಂಡರ್ ನಲ್ಲಿ ಆಮ್, ನಾರಿಯಲ್, ಬ್ಯಾಡಗಿ ಮಿರ್ಚ್, ಗುಡ, ನಮಕ್ ಹದಾಳೆ ಸೆ ಪೀಸ್ ಲೆ. ಪೀಸನೆ ಕೆ ಬಾದ್, ಒಂದು ಬೌಲ್ ಮೆನ್ ನಿಕಾಲೆ ಮತ್ತು ಅಲಗ್ ಸೆ ರಖ್ ಲೆ. ಉತ್ತರ ಕನಾರಾ ಖಟ್ಟಿ ಮೀಠಿ ಆಮ್ ಕಿ ಚಟನಿ ಕೋ ವಾಲಿ ಭಾಜಿ ಅಂಬಟ್, ತವ ಪರಾಠದ ವಿಷಯಗಳು ಖಾನೆಗಾಗಿ ಪರೋಸೆ. 
</t>
  </si>
  <si>
    <t>http://www.archanaskitchen.com/north-kanara-sweet-and-sour-raw-mango-chutney-recipe-in-hindi</t>
  </si>
  <si>
    <t>Karnataka Style Utthatthi Payasa Recipe - Dry Dates Kheer</t>
  </si>
  <si>
    <t>ಕರ್ನಾಟಕ ಶೈಲಿಯ ಉತ್ತತ್ತಿ ಪಾಯಸ ರೆಸಿಪಿ - ಒಣ ಖರ್ಜೂರ ಖೀರ್</t>
  </si>
  <si>
    <t>1 ಕಪ್ ಖರ್ಜೂರ - ಬೀಜ ತೆಗೆದ ಮತ್ತು ನುಣ್ಣಗೆ ಕತ್ತರಿಸಿದ, 3 ಖರ್ಜೂರ - ಅಲಂಕರಿಸಲು 2 ಕಪ್ ಹಾಲು - ಅಥವಾ ಸಸ್ಯಾಹಾರಿ ಆಯ್ಕೆಗೆ ತೆಂಗಿನ ಹಾಲು, 1/4 ಕಪ್ ಬೆಲ್ಲ - ತುರಿದ, 1/2 ಟೀಚಮಚ ಏಲಕ್ಕಿ ಪುಡಿ (ಎಲೈಚಿ), 1 ಚಮಚ ಗೋಡಂಬಿ, 1/2 ಟೇಬಲ್ಸ್ಪೂನ್ ಬಾದಾಮ್ - 2 ಚಮಚ ಬಾದಾಮಿ / 2 ಚಮಚ ಕತ್ತರಿಸಿದ, 1 ಟೀಚಮಚ ತುಪ್ಪ</t>
  </si>
  <si>
    <t>1 cup Dates - deseeded and finely chopped,3 Dates - deseeded and cubed for garnish,2 cups Milk - or coconut milk for vegan option,1/4 cup Jaggery - grated,1/2 teaspoon Cardamom Powder (Elaichi),1 tablespoon Cashew nuts,1/2 tablespoon Badam (Almond) - chopped,1/2 tablespoon Pistachios - chopped,1 teaspoon Ghee</t>
  </si>
  <si>
    <t xml:space="preserve">To prepare Karnataka Style Utthatthi Payasa Recipe, deseed the dates and chop them into small pieces. In a mixer-jar, add dates, a cup of milk and grind them into a fine paste.Mix the ground date paste with the remaining cup of milk. Add cardamom powder and combine them well.Heat this payasa on medium flame and bring it to a brisk boil.Once it starts boiling, switch off the flame.In a small pan, add ghee and heat it over a medium flame. Add cashews and fry until they turn golden.Season uttatthi payasa recipe with fried cashews and chopped pistachios and almonds.Serve Karnataka Style Utthatthi Payasa Recipe for dessert after meal of Keerai Sambar, Steamed Rice and Chow Chow Thoran or serve it as part of a festive meal.
</t>
  </si>
  <si>
    <t xml:space="preserve">ಕರ್ನಾಟಕ ಶೈಲಿಯ ಉತ್ತತ್ತಿ ಪಾಯಸವನ್ನು ತಯಾರಿಸಲು, ಖರ್ಜೂರವನ್ನು ಡೀಸೆಡ್ ಮಾಡಿ ಮತ್ತು ಅವುಗಳನ್ನು ಸಣ್ಣ ತುಂಡುಗಳಾಗಿ ಕತ್ತರಿಸಿ. ಮಿಕ್ಸರ್-ಜಾರ್‌ನಲ್ಲಿ, ಖರ್ಜೂರ, ಒಂದು ಕಪ್ ಹಾಲು ಸೇರಿಸಿ ಮತ್ತು ಅವುಗಳನ್ನು ನುಣ್ಣಗೆ ಪೇಸ್ಟ್ ಆಗಿ ರುಬ್ಬಿಕೊಳ್ಳಿ. ಉಳಿದ ಕಪ್ ಹಾಲಿನೊಂದಿಗೆ ರುಬ್ಬಿದ ಖರ್ಜೂರದ ಪೇಸ್ಟ್ ಅನ್ನು ಮಿಶ್ರಣ ಮಾಡಿ. ಏಲಕ್ಕಿ ಪುಡಿಯನ್ನು ಸೇರಿಸಿ ಮತ್ತು ಅವುಗಳನ್ನು ಚೆನ್ನಾಗಿ ಒಗ್ಗೂಡಿಸಿ. ಈ ಪಾಯಸವನ್ನು ಮಧ್ಯಮ ಉರಿಯಲ್ಲಿ ಬಿಸಿ ಮಾಡಿ ಮತ್ತು ಚುರುಕಾದ ಕುದಿಯಲು ತನ್ನಿ. ಅದು ಕುದಿಯಲು ಪ್ರಾರಂಭಿಸಿದ ನಂತರ, ಜ್ವಾಲೆಯನ್ನು ಆಫ್ ಮಾಡಿ. ಸಣ್ಣ ಪ್ಯಾನ್ನಲ್ಲಿ, ತುಪ್ಪವನ್ನು ಸೇರಿಸಿ ಮತ್ತು ಮಧ್ಯಮ ಉರಿಯಲ್ಲಿ ಬಿಸಿ ಮಾಡಿ. ಗೋಡಂಬಿ ಸೇರಿಸಿ ಮತ್ತು ಅವು ಗೋಲ್ಡನ್ ಆಗುವವರೆಗೆ ಫ್ರೈ ಮಾಡಿ. ಸೀಸನ್ ಉತ್ತತ್ತಿ ಪಾಯಸ ರೆಸಿಪಿ ಜೊತೆಗೆ ಹುರಿದ ಗೋಡಂಬಿ ಮತ್ತು ಕತ್ತರಿಸಿದ ಪಿಸ್ತಾ ಮತ್ತು ಬಾದಾಮಿ. ಸರ್ವ್ ಮಾಡಿ ಕರ್ನಾಟಕ ಶೈಲಿಯ ಉತ್ತತ್ತಿ ಪಾಯಸ ರೆಸಿಪಿ  ಊಟದ ನಂತರ ಸಿಹಿತಿಂಡಿಗಾಗಿ ಕೀರೈ ಸಾಂಬಾರ್, ಆವಿಯಲ್ಲಿ ಬೇಯಿಸಿದ ಅನ್ನವನ್ನು ಬಡಿಸಿ ಅಥವಾ ಅದು ಹೇಗೆ ಅಥವಾ ಅದರ ಭಾಗವಾಗಿ
</t>
  </si>
  <si>
    <t>https://www.archanaskitchen.com/karnataka-style-utthatthi-payasa-recipe-dry-dates-kheer</t>
  </si>
  <si>
    <t>ಉತ್ತರ ಕನರಾ ಸಿಹಿ ಮತ್ತು ಹುಳಿ ಹಸಿ ಮಾವಿನಕಾಯಿ ಚಟ್ನಿ ರೆಸಿಪಿ</t>
  </si>
  <si>
    <t>3 ಮಾವು (ಹಸಿ) - ಸಿಪ್ಪೆ ಸುಲಿದ ಮತ್ತು 1 ಇಂಚು ಕತ್ತರಿಸಿ, 3 ಬ್ಯಾಡಗಿ ಒಣ ಮೆಣಸಿನಕಾಯಿಗಳು, 1 ಕಪ್ ತಾಜಾ ತೆಂಗಿನಕಾಯಿ - ತುರಿದ, 1/4 ಟೀಚಮಚ ಇಂಗು (ಹಿಂಗ್) - ಅಥವಾ ಇರಾನಿ ಇಂಗು (ಹಿಂಗ್) - ಅಥವಾ ಇರಾನಿ ಇಂಗು, 3 ಟೇಬಲ್ಸ್ಪೂನ್ ಬೆಲ್ಲ, 1 ಟೀಚಮಚ ಕಾಶ್ಮೀರಿ ಕೆಂಪು ಮೆಣಸಿನ ಪುಡಿ, ಉಪ್ಪು - ರುಚಿಗೆ, ಸೂರ್ಯಕಾಂತಿ ಎಣ್ಣೆ -</t>
  </si>
  <si>
    <t>3 Mango (Raw) - peeled and cut to 1 inch,3 Byadagi Dried Chillies,1 cup Fresh coconut - grated,1/4 teaspoon Asafoetida (hing) - or Irani Asafoetida,3 tablespoons Jaggery,1 teaspoon Kashmiri Red Chilli Powder,Salt - to taste,Sunflower Oil - for roasting</t>
  </si>
  <si>
    <t xml:space="preserve">To begin making North Kanara Sweet And Sour Raw Mango Chutney Recipe, prep all the ingredients first.In a small pan, heat a half a teaspoon of oil over medium heat and add the raw mango pieces. Saute for a few minutes until the raw mango changes color and gets cooked slightly.The mango when exposed to heat will soften a bit. Once it does, remove from heat, transfer to a bowl and keep aside.In the same pan, heat 1/2 teaspoon of oil and add the asafoetida and allow it to roast for a few seconds over low heat. Add the grated coconut and roast for a few minutes until you can smell the roasted aroma of the coconut and it changes color slightly to a little golden. Once done, transfer to the bowl which mangoes were kept and keep aside.In the same pan, add little more oil and roast the byadgi chillies over medium heat for about a minute and turn off the heat.Once done, blend all the roasted ingredients, along with jaggery, mango and salt without adding water to make a sticky sweet and sour mango chutney.Check the spice levels and adjust the chilli and salt accordingly. Once done, transfer to the Raw Mango Chutney to bowl and serve.Serve North Kanara Sweet And Sour Raw Mango Chutney Recipe along with Tawa Paratha Recipe (Plain Paratha), Steamed rice and Vali Bhajji Ambat Recipe (Konkan Style Spiced Malabar Spinach Dal Recipe).
</t>
  </si>
  <si>
    <t xml:space="preserve">ಉತ್ತರ ಕನರಾ ಸಿಹಿ ಮತ್ತು ಹುಳಿ ಹಸಿ ಮಾವಿನಕಾಯಿ ಚಟ್ನಿ ಪಾಕವಿಧಾನವನ್ನು ತಯಾರಿಸಲು ಪ್ರಾರಂಭಿಸಲು, ಮೊದಲು ಎಲ್ಲಾ ಪದಾರ್ಥಗಳನ್ನು ತಯಾರಿಸಿ. ಸಣ್ಣ ಪ್ಯಾನ್‌ನಲ್ಲಿ, ಮಧ್ಯಮ ಶಾಖದ ಮೇಲೆ ಅರ್ಧ ಟೀಚಮಚ ಎಣ್ಣೆಯನ್ನು ಬಿಸಿ ಮಾಡಿ ಮತ್ತು ಹಸಿ ಮಾವಿನ ತುಂಡುಗಳನ್ನು ಸೇರಿಸಿ. ಹಸಿ ಮಾವು ಬಣ್ಣ ಬದಲಾಗುವವರೆಗೆ ಮತ್ತು ಸ್ವಲ್ಪ ಬೇಯಿಸುವವರೆಗೆ ಕೆಲವು ನಿಮಿಷಗಳ ಕಾಲ ಹುರಿಯಿರಿ. ಶಾಖಕ್ಕೆ ಒಡ್ಡಿಕೊಂಡಾಗ ಮಾವು ಸ್ವಲ್ಪ ಮೃದುವಾಗುತ್ತದೆ. ಅದು ಮಾಡಿದ ನಂತರ, ಶಾಖದಿಂದ ತೆಗೆದುಹಾಕಿ, ಬೌಲ್‌ಗೆ ವರ್ಗಾಯಿಸಿ ಮತ್ತು ಪಕ್ಕಕ್ಕೆ ಇರಿಸಿ. ಅದೇ ಪ್ಯಾನ್‌ನಲ್ಲಿ 1/2 ಟೀಚಮಚ ಎಣ್ಣೆಯನ್ನು ಬಿಸಿ ಮಾಡಿ ಮತ್ತು ಇಂಗು ಸೇರಿಸಿ ಮತ್ತು ಕಡಿಮೆ ಶಾಖದ ಮೇಲೆ ಕೆಲವು ಸೆಕೆಂಡುಗಳ ಕಾಲ ಅದನ್ನು ಹುರಿಯಲು ಅನುಮತಿಸಿ. ತುರಿದ ತೆಂಗಿನಕಾಯಿಯನ್ನು ಸೇರಿಸಿ ಮತ್ತು ತೆಂಗಿನಕಾಯಿಯ ಹುರಿದ ಪರಿಮಳವನ್ನು ನೀವು ವಾಸನೆ ಮಾಡುವವರೆಗೆ ಕೆಲವು ನಿಮಿಷಗಳ ಕಾಲ ಹುರಿಯಿರಿ ಮತ್ತು ಅದು ಸ್ವಲ್ಪ ಗೋಲ್ಡನ್ ಬಣ್ಣವನ್ನು ಬದಲಾಯಿಸುತ್ತದೆ. ಒಮ್ಮೆ ಮಾಡಿದ ನಂತರ, ಮಾವಿನಕಾಯಿಯನ್ನು ಇರಿಸಿದ ಬಟ್ಟಲಿಗೆ ವರ್ಗಾಯಿಸಿ ಮತ್ತು ಪಕ್ಕಕ್ಕೆ ಇರಿಸಿ. ಅದೇ ಬಾಣಲೆಯಲ್ಲಿ ಸ್ವಲ್ಪ ಹೆಚ್ಚು ಎಣ್ಣೆಯನ್ನು ಹಾಕಿ ಮತ್ತು ಮಧ್ಯಮ ಉರಿಯಲ್ಲಿ ಸುಮಾರು ಒಂದು ನಿಮಿಷ ಹುರಿದ ಮೆಣಸಿನಕಾಯಿಯನ್ನು ಹಾಕಿ ಮತ್ತು ಉರಿಯನ್ನು ಆಫ್ ಮಾಡಿ. ಒಮ್ಮೆ ಮಾಡಿದ ನಂತರ, ಬೌಲ್ ಮಾಡಲು ಮತ್ತು ಬಡಿಸಲು ಹಸಿ ಮಾವಿನಕಾಯಿ ಚಟ್ನಿಗೆ ವರ್ಗಾಯಿಸಿ. ಉತ್ತರ ಕನರಾ ಸಿಹಿ ಮತ್ತು ಹುಳಿ ಹಸಿ ಮಾವಿನಕಾಯಿ ಚಟ್ನಿ ರೆಸಿಪಿ ಜೊತೆಗೆ ತವಾ ಪರಾಠಾ ರೆಸಿಪಿ (ಸಾದಾ ಪರಾಠ), ಸ್ಟೀಮ್ಡ್ ರೈಸ್ ಮತ್ತು ವಾಲಿ ಭಜ್ಜಿ ಅಂಬಾಟ್ ರೆಸಿಪಿ (ಕೊಂಕಣ ಶೈಲಿಯ ಮಸಾಲೆಯುಕ್ತ ಮಲಬಾರ್ ಪಾಲಕ್ ದಾಲ್ ರೆಸಿಪಿ).
</t>
  </si>
  <si>
    <t>http://www.archanaskitchen.com/north-kanara-sweet-and-sour-raw-mango-chutney-recipe</t>
  </si>
  <si>
    <t>Baale Dindu Kadale Palya - Banana Stem Curry With Chickpeas Recipe</t>
  </si>
  <si>
    <t>ಬಾಳೆ ದಿಂಡು ಕಡಲೆ ಪಲ್ಯ - ಬಾಳೆ ಕಾಂಡದ ಕರಿ ಮತ್ತು ಕಡಲೆ ರೆಸಿಪಿ</t>
  </si>
  <si>
    <t>1 ಬಾಳೆ ಕಾಂಡ - ಸ್ವಚ್ಛಗೊಳಿಸಿದ ಮತ್ತು ಕತ್ತರಿಸಿದ (ಸ್ವಚ್ಛಗೊಳಿಸಿದ ನಂತರ ಸುಮಾರು 250 ಗ್ರಾಂ), 1 ಕಪ್ ಕಾಳ ಚನಾ (ಕಂದು ಕಡಲೆ) - ರಾತ್ರಿ ನೆನೆಸಿದ, 2 ಚಮಚ ತಾಜಾ ತೆಂಗಿನಕಾಯಿ - ತುರಿದ, 2 ಟೀಚಮಚ ಜೀರಿಗೆ (ಜೀರಾ), 2 ಟೀ ಚಮಚ ಕೊತ್ತಂಬರಿ (ಧನಿಯಾ) ಬೀಜಗಳು, 1-1/2 ಟೀಸ್ಪೂನ್ ಕೆಂಪು ಮೆಣಸಿನ ಪುಡಿ, 2 ಚಮಚಗಳು ಸಿಪ್ಪೆ ಸುಲಿದ, ಕರಿಬೇವಿನ ಎಲೆಗಳು - ಕೆಲವು ಚಿಗುರುಗಳು, ಉಪ್ಪು - ರುಚಿಗೆ, ಸೂರ್ಯಕಾಂತಿ ಎಣ್ಣೆ - ಅಗತ್ಯವಿರುವಂತೆ, ಕೊತ್ತಂಬರಿ (ಧನಿಯಾ) ಎಲೆಗಳು - ಕೆಲವು ಚಿಗುರುಗಳು, 1 ಹಸಿರು ಮೆಣಸಿನಕಾಯಿ - ಒಂದು ಸಣ್ಣ ಹಸಿರು ಮೆಣಸಿನಕಾಯಿ, 1 ಟೀಚಮಚ ನಿಂಬೆ ರಸ</t>
  </si>
  <si>
    <t>1 Banana Stem - cleaned and chopped (about 250 grams after cleaning),1 cup Kala Chana (Brown Chickpeas) - soaked overnight,2 tablespoons Fresh coconut - grated,2 teaspoons Cumin seeds (Jeera),2 teaspoons Coriander (Dhania) Seeds,1-1/2 teaspoon Red Chilli powder - (adjust),2 Onions - chopped,1 clove Garlic - peeled,Curry leaves - few sprigs,Salt - to taste,Sunflower Oil - as required,Coriander (Dhania) Leaves - few sprigs,1 Green Chilli - one small green chilli,1 teaspoon Lemon juice</t>
  </si>
  <si>
    <t xml:space="preserve">To prepare Baale Dindu Kadale Palya (Banana Stem Curry With Chickpeas Recipe), cut the extra portion of the banana stem, trim its top and bottom lightly, and chop the stem finely.Take a Pressure cooker, add soaked chickpeasAdd sufficient water and cook for 1-2 whistles.Allow to release pressure by itself. Add the chopped banana stem required salt and cook further for 1 more whistle. The chickpeas should be firm and not mushy.Heat a Kadai and dry roast coriander seeds till fragrant. Set aside.In the same Kadai, and add a little oil. Once the oil is hot, splutter cumin, add in curry leaves and saute for a few seconds.Add chopped onions, garlic and saute till cooked.In a Mixer, dry grind coriander and add all the sauteed ingredients with grated coconut and wet grind till smooth, with adding water if necessary.After the pressure in the cooker with chickpeas and banana stem releases, add the ground paste in a kadai along with the contents of the pressure cooker.Add chilli powder and allow the Baale Dindu Kadale Palya to come to a boil. Adjust salt and switch off flame.Add lemon juice to the recipe and mix.Garnish with coriander leaves, chopped green chilli, and serve Baale Dindu Kadale Palya hot with rasam recipe.
</t>
  </si>
  <si>
    <t xml:space="preserve">ಬಾಳೆ ದಿಂಡು ಕಡಲೆ ಪಲ್ಯವನ್ನು ತಯಾರಿಸಲು (ಕಡಲೆಯೊಂದಿಗೆ ಬಾಳೆಹಣ್ಣಿನ ಕರಿ ಪಾಕವಿಧಾನ), ಬಾಳೆ ಕಾಂಡದ ಹೆಚ್ಚುವರಿ ಭಾಗವನ್ನು ಕತ್ತರಿಸಿ, ಅದರ ಮೇಲ್ಭಾಗ ಮತ್ತು ಕೆಳಭಾಗವನ್ನು ಲಘುವಾಗಿ ಕತ್ತರಿಸಿ, ಮತ್ತು ಕಾಂಡವನ್ನು ನುಣ್ಣಗೆ ಕತ್ತರಿಸಿ. ಪ್ರೆಶರ್ ಕುಕ್ಕರ್ ತೆಗೆದುಕೊಳ್ಳಿ, ನೆನೆಸಿದ ಕಡಲೆಯನ್ನು ಸೇರಿಸಿ ಮತ್ತು 1-2 ಸೀಟಿಗಳು ಬರುವಂತೆ ಒತ್ತಿ. ಕತ್ತರಿಸಿದ ಬಾಳೆ ಕಾಂಡವನ್ನು ಅಗತ್ಯ ಉಪ್ಪನ್ನು ಸೇರಿಸಿ ಮತ್ತು 1 ಸೀಟಿಗೆ ಬೇಯಿಸಿ. ಕಡಲೆ ಗಟ್ಟಿಯಾಗಿರಬೇಕು ಮತ್ತು ಮೆತ್ತಗೆ ಇರಬಾರದು. ಒಂದು ಕಡಾಯಿಯನ್ನು ಬಿಸಿ ಮಾಡಿ ಮತ್ತು ಕೊತ್ತಂಬರಿ ಬೀಜಗಳನ್ನು ಸುವಾಸನೆ ಬರುವವರೆಗೆ ಒಣಗಿಸಿ. ಪಕ್ಕಕ್ಕೆ ಇರಿಸಿ. ಅದೇ ಕಡಾಯಿಯಲ್ಲಿ, ಮತ್ತು ಸ್ವಲ್ಪ ಎಣ್ಣೆಯನ್ನು ಸೇರಿಸಿ. ಎಣ್ಣೆ ಬಿಸಿಯಾದ ನಂತರ, ಜೀರಿಗೆ, ಕರಿಬೇವಿನ ಎಲೆಗಳನ್ನು ಸೇರಿಸಿ ಮತ್ತು ಕೆಲವು ಸೆಕೆಂಡುಗಳ ಕಾಲ ಹುರಿಯಿರಿ. ಕತ್ತರಿಸಿದ ಈರುಳ್ಳಿ, ಬೆಳ್ಳುಳ್ಳಿ ಸೇರಿಸಿ ಮತ್ತು ಬೇಯಿಸುವವರೆಗೆ ಹುರಿಯಿರಿ. ಮಿಕ್ಸರ್ನಲ್ಲಿ, ಒಣ ರುಬ್ಬಿದ ಕೊತ್ತಂಬರಿ ಮತ್ತು ಎಲ್ಲಾ ಸೌಟ್ ಮಾಡಿದ ಪದಾರ್ಥಗಳನ್ನು ತುರಿದ ತೆಂಗಿನಕಾಯಿ ಮತ್ತು ತೇವದ ರುಬ್ಬುವವರೆಗೆ ಸೇರಿಸಿ, ಅಗತ್ಯವಿದ್ದರೆ ನೀರು ಸೇರಿಸಿ. ಒತ್ತಡದ ಕುಕ್ಕರ್‌ನ ವಿಷಯಗಳ ಜೊತೆಗೆ ಕಡಾಯಿ. ಮೆಣಸಿನ ಪುಡಿಯನ್ನು ಸೇರಿಸಿ ಮತ್ತು ಬಾಳೆ ದಿಂಡು ಕಡಲೆ ಪಲ್ಯವನ್ನು ಕುದಿಯಲು ಬಿಡಿ. ಉಪ್ಪನ್ನು ಹೊಂದಿಸಿ ಮತ್ತು ಜ್ವಾಲೆಯನ್ನು ಆಫ್ ಮಾಡಿ. ಪಾಕವಿಧಾನಕ್ಕೆ ನಿಂಬೆ ರಸವನ್ನು ಸೇರಿಸಿ ಮತ್ತು ಮಿಶ್ರಣ ಮಾಡಿ. ಕೊತ್ತಂಬರಿ ಸೊಪ್ಪು, ಕತ್ತರಿಸಿದ ಹಸಿರು ಮೆಣಸಿನಕಾಯಿಯಿಂದ ಅಲಂಕರಿಸಿ ಮತ್ತು ಬಾಳೆ ದಿಂಡು ಕಡಲೆ ಪಲ್ಯವನ್ನು ರಸಂ ಪಾಕವಿಧಾನದೊಂದಿಗೆ ಬಿಸಿಯಾಗಿ ಬಡಿಸಿ.
</t>
  </si>
  <si>
    <t>https://www.archanaskitchen.com/baale-dindu-kadale-kaalina-palya-banana-stem-curry-with-chickpeas-recipe</t>
  </si>
  <si>
    <t>Karnataka Style Jackfruit Moong Dal Payasa Recipe</t>
  </si>
  <si>
    <t>ಕರ್ನಾಟಕ ಶೈಲಿಯ ಹಲಸು ಮೂಂಗ್ ದಾಲ್ ಪಾಯಸ ರೆಸಿಪಿ</t>
  </si>
  <si>
    <t>1 ಕಪ್ ಮಾಗಿದ ಹಲಸಿನ ಹಣ್ಣು (ಕತ್ತಲ್) - ಕತ್ತರಿಸಿದ, 1/4 ಕಪ್ ಹಳದಿ ಮೂಂಗ್ ದಾಲ್ (ಒಡೆದ), 3/4 ಕಪ್ ಬೆಲ್ಲ - ರುಬ್ಬಿದ, 2 ಟೀ ಚಮಚ ಅಕ್ಕಿ - 20 ನಿಮಿಷ ನೆನೆಸಿದ, 2 ಚಮಚ ತಾಜಾ ತೆಂಗಿನಕಾಯಿ - ತುರಿದ, 1 ಚಮಚ ಏಲಕ್ಕಿ ಪುಡಿ (ಎಲೈಚಿ), 1 ಚಮಚ ತುಪ್ಪ ಮತ್ತು ನುಣ್ಣಗೆ ಬಳಸಿದ ಒಣ ಹಣ್ಣುಗಳು - 1/4 ಕಪ್ ಗೋಡಂಬಿ), 6 ಬಾದಾಮ್ (ಬಾದಾಮಿ) - ಒರಟಾಗಿ ಕತ್ತರಿಸಿದ</t>
  </si>
  <si>
    <t>1 cup Jackfruit Ripe (Kathal) - chopped,1/4 cup Yellow Moong Dal (Split),3/4 cup Jaggery - pounded,2 teaspoon Rice - soaked for 20 minutes,2 tablespoon Fresh coconut - grated,1 teaspoon Cardamom Powder (Elaichi),1 teaspoon Ghee,1/4 cup Mixed dry fruits - finely chopped (I used almonds and cashews),6 Badam (Almond) - coarsely chopped</t>
  </si>
  <si>
    <t xml:space="preserve">To begin making the Karnataka Style Jackfruit Moong Dal Payasa Recipe, in a mixer, grind together 1/2 cup of the jackfruit, soaked rice, grated coconut and few almonds into fine paste.In a pressure cooker,combine the yellow moong dal, with 2 tablespoons of water and pressure cook for 2 whistles. Turn off the flame and allow the pressure to release naturally. Drain and set aside. In a tadka pan, heat ghee on medium flame, once the ghee is hot, add the dry fruits and fry them till they just begin to become brown in colour. Switch off heat and keep aside.Heat a kadai on medium flame, add the ground jackfruit paste, cooked yellow moong dal, remaining jackfruit pieces, jaggery, and cardamom powder with required amount of water and bring to a boil.Once the jaggery melts and payasa recipe starts to thicken, add the ghee fried dry fruits and boil for a minute and switch off heat.Serve Karnataka Style Jackfruit Moong Dal Payasa Recipe as a dessert along with a meal of Steamed rice, Mangalore Nurge Gashie, Hesaru Bele Southekayi Kosambari Recipe and Menthya Matvadi Palya Recipe for a complete meal.
</t>
  </si>
  <si>
    <t xml:space="preserve">ಕರ್ನಾಟಕ ಶೈಲಿಯ ಹಲಸು ಮೂಂಗ್ ದಾಲ್ ಪಾಯಸವನ್ನು ಮಿಕ್ಸರ್‌ನಲ್ಲಿ ತಯಾರಿಸಲು ಪ್ರಾರಂಭಿಸಲು, 1/2 ಕಪ್ ಹಲಸು, ನೆನೆಸಿದ ಅಕ್ಕಿ, ತುರಿದ ತೆಂಗಿನಕಾಯಿ ಮತ್ತು ಕೆಲವು ಬಾದಾಮಿಗಳನ್ನು ನುಣ್ಣಗೆ ಪೇಸ್ಟ್ ಆಗಿ ರುಬ್ಬಿಕೊಳ್ಳಿ. ಜ್ವಾಲೆಯನ್ನು ಆಫ್ ಮಾಡಿ ಮತ್ತು ಒತ್ತಡವನ್ನು ನೈಸರ್ಗಿಕವಾಗಿ ಬಿಡುಗಡೆ ಮಾಡಲು ಅನುಮತಿಸಿ. ಒಣಗಿಸಿ ಮತ್ತು ಪಕ್ಕಕ್ಕೆ ಇರಿಸಿ. ತಡ್ಕಾ ಪ್ಯಾನ್‌ನಲ್ಲಿ, ಮಧ್ಯಮ ಉರಿಯಲ್ಲಿ ತುಪ್ಪವನ್ನು ಬಿಸಿ ಮಾಡಿ, ತುಪ್ಪ ಬಿಸಿಯಾದ ನಂತರ, ಒಣ ಹಣ್ಣುಗಳನ್ನು ಸೇರಿಸಿ ಮತ್ತು ಅವು ಕಂದು ಬಣ್ಣಕ್ಕೆ ಬರುವವರೆಗೆ ಹುರಿಯಿರಿ. ಉರಿಯನ್ನು ಆಫ್ ಮಾಡಿ ಮತ್ತು ಪಕ್ಕಕ್ಕೆ ಇರಿಸಿ. ಕಡಾಯಿಯನ್ನು ಮಧ್ಯಮ ಉರಿಯಲ್ಲಿ ಬಿಸಿ ಮಾಡಿ, ರುಬ್ಬಿದ ಹಲಸಿನ ಪೇಸ್ಟ್, ಬೇಯಿಸಿದ ಹಳದಿ ಬೆಂಡೆಕಾಯಿ, ಉಳಿದ ಹಲಸಿನ ಹಣ್ಣಿನ ತುಂಡುಗಳು, ಬೆಲ್ಲ ಮತ್ತು ಏಲಕ್ಕಿ ಪುಡಿಯನ್ನು ಅಗತ್ಯ ಪ್ರಮಾಣದ ನೀರು ಸೇರಿಸಿ ಮತ್ತು ಕುದಿಸಿ. ಸ್ಟೈಲ್ ಜಾಕ್‌ಫ್ರೂಟ್ ಮೂಂಗ್ ದಾಲ್ ಪಾಯಸ ರೆಸಿಪಿ ಜೊತೆಗೆ ಸಿಹಿಯಾಗಿ ಬೇಯಿಸಿದ ಅನ್ನ, ಮಂಗಳೂರು ನುರ್ಗೆ ಗಶಿ, ಹೆಸರು ಬೇಳೆ ಸೌತೆಕಾಯಿ ಕೋಸಂಬರಿ ರೆಸಿಪಿ ಮತ್ತು ಸಂಪೂರ್ಣ ಊಟಕ್ಕೆ ಮೆಂತ್ಯ ಮತ್ತವಾಡಿ ಪಲ್ಯ ರೆಸಿಪಿ.
</t>
  </si>
  <si>
    <t>https://www.archanaskitchen.com/karnataka-style-jackfruit-moong-dal-payasa-recipe</t>
  </si>
  <si>
    <t>Kumbalakai Majjige Huli Recipe- Ash Gourd Buttermilk Curry</t>
  </si>
  <si>
    <t>ಕುಂಬಳಕಾಯಿ ಮಜ್ಜಿಗೆ ಹುಳಿ ರೆಸಿಪಿ- ಬೂದಿ ಸೋರೆಕಾಯಿ ಮಜ್ಜಿಗೆ ಕರಿ</t>
  </si>
  <si>
    <t>250 ಗ್ರಾಂ ವೆಳ್ಳೈ ಪೂಸನಿಕಾಯಿ (ಬೂದಿ ಸೋರೆಕಾಯಿ/ಬಿಳಿ ಕುಂಬಳಕಾಯಿ) - ಬೀಜಗಳು ಮತ್ತು ಚರ್ಮ ತೆಗೆದ, 1 ಚಮಚ ಚನಾ ದಾಲ್ (ಬಂಗಾಳ ಗ್ರಾಂ ದಾಲ್), 1 ಕಪ್ ತಾಜಾ ತೆಂಗಿನಕಾಯಿ - ತುರಿದ, 3 ಹಸಿರು ಮೆಣಸಿನಕಾಯಿಗಳು, 1 ಇಂಚು ಶುಂಠಿ, ಉಪ್ಪು - ರುಚಿಗೆ, 1 ಕಪ್ ಮೊಸರು (ದಹಿ / ಮೊಸರು) - 1 ಕಪ್ ಕೊನ್ನೀಲ್ / 2 ಚಮಚ ನೀರು ಸಾಸಿವೆ, 1 ಟೀಚಮಚ ಜೀರಿಗೆ (ಜೀರಾ), 1/4 ಟೀಚಮಚ ಇಂಗು (ಹಿಂಗ್), 4-5 ಕರಿಬೇವಿನ ಎಲೆಗಳು, 4-5 ಕರಿಬೇವಿನ ಎಲೆಗಳು</t>
  </si>
  <si>
    <t>250 grams Vellai Poosanikai (Ash gourd/White Pumpkin) - seeds and skin removed,1 tablespoon Chana dal (Bengal Gram Dal),1 cup Fresh coconut - grated,3 Green Chillies,1 inch Ginger,Salt - to taste,1 cup Curd (Dahi / Yogurt) - churned with 1 cup of water,2 teaspoons Coconut Oil,1/2 teaspoon Mustard seeds,1 teaspoon Cumin seeds (Jeera),1/4 teaspoon Asafoetida (hing),4-5 Curry leaves,4-5 Curry leaves</t>
  </si>
  <si>
    <t xml:space="preserve">To begin making Kumbalakai Majjige Huli Recipe  first soak the chana dal in 1/4 cup of water for 20 minutes.Steam the ash gourd either using the pressure cooker or a steamer. Follow How to Cook Vegetables in a Pressure CookerAdd  the coconut, soaked chana dal, green chillies, ginger and salt into a mixer grinder and make a smooth paste.Keep aside.In a saucepan, stir together the cooked pumpkin and the ground coconut mixture. Stir in 1 cup of water, turn on the heat and allow the mixture to come to a boil.The Majjige Huli will begin to thicken. At this point stir in the buttermilk and boil for another minute. Turn off the heat.Now we will temper the Kumbalakai Majjige Huli Heat oil in a small saucepan; add the mustard seeds and allow it to crackle.Once the mustard seeds have crackled add cumin seeds and saute for 5 seconds, then add the curry leaves and asafoetida and turn off the heat. Add this tempering to the above Majjige Huli.Serve Kumbalakai Majjige Huli Recipe with Steamed Rice, Carrot Beans Thoran, Pisarna Manga Recipe and Elai Vadam .
</t>
  </si>
  <si>
    <t xml:space="preserve">ಕುಂಬಳಕಾಯಿ ಮಜ್ಜಿಗೆ ಹುಲಿ ರೆಸಿಪಿಯನ್ನು ತಯಾರಿಸಲು ಪ್ರಾರಂಭಿಸಲು  ಮೊದಲು 1/4 ಕಪ್ ನೀರಿನಲ್ಲಿ 1/4 ಕಪ್ ನೀರಿನಲ್ಲಿ ನೆನೆಸಿಡಿ. ಬೂದಿ ಸೋರೆಕಾಯಿಯನ್ನು ಪ್ರೆಶರ್ ಕುಕ್ಕರ್ ಅಥವಾ ಸ್ಟೀಮರ್ ಬಳಸಿ ಸ್ಟೀಮ್ ಮಾಡಿ. ಪ್ರೆಶರ್ ಕುಕ್ಕರ್‌ನಲ್ಲಿ ತರಕಾರಿಗಳನ್ನು ಬೇಯಿಸುವುದು ಹೇಗೆ ಎಂಬುದನ್ನು ಅನುಸರಿಸಿ, ತೆಂಗಿನಕಾಯಿ, ನೆನೆಸಿದ ಕಡಲೆ ಬೇಳೆ, ಹಸಿಮೆಣಸಿನಕಾಯಿ, ಶುಂಠಿ ಮತ್ತು ಉಪ್ಪನ್ನು ಮಿಕ್ಸರ್ ಗ್ರೈಂಡರ್‌ಗೆ ಸೇರಿಸಿ ಮತ್ತು ನಯವಾದ ಪೇಸ್ಟ್ ಮಾಡಿ. ಪಕ್ಕಕ್ಕೆ ಇರಿಸಿ. ಒಂದು ಲೋಹದ ಬೋಗುಣಿಗೆ, ಬೇಯಿಸಿದ ಕುಂಬಳಕಾಯಿ ಮತ್ತು ರುಬ್ಬಿದ ತೆಂಗಿನಕಾಯಿ ಮಿಶ್ರಣವನ್ನು ಒಟ್ಟಿಗೆ ಬೆರೆಸಿ. 1 ಕಪ್ ನೀರಿನಲ್ಲಿ ಬೆರೆಸಿ, ಉರಿಯನ್ನು ಆನ್ ಮಾಡಿ ಮತ್ತು ಮಿಶ್ರಣವನ್ನು ಕುದಿಯಲು ಅನುಮತಿಸಿ. ಮಜ್ಜಿಗೆ ಹುಲಿ ದಪ್ಪವಾಗಲು ಪ್ರಾರಂಭವಾಗುತ್ತದೆ. ಈ ಹಂತದಲ್ಲಿ ಮಜ್ಜಿಗೆ ಬೆರೆಸಿ ಇನ್ನೊಂದು ನಿಮಿಷ ಕುದಿಸಿ. ಉರಿಯನ್ನು ಆಫ್ ಮಾಡಿ. ಈಗ ನಾವು ಕುಂಬಳಕಾಯಿ ಮಜ್ಜಿಗೆ ಹುಲಿಯನ್ನು ಹದಗೊಳಿಸುತ್ತೇವೆ ಸಣ್ಣ ಲೋಹದ ಬೋಗುಣಿಗೆ ಎಣ್ಣೆಯನ್ನು ಬಿಸಿ ಮಾಡಿ; ಸಾಸಿವೆ ಕಾಳುಗಳನ್ನು ಸೇರಿಸಿ ಮತ್ತು ಅದನ್ನು ಸಿಡಿಸಲು ಬಿಡಿ. ಸಾಸಿವೆ ಒಡೆದ ನಂತರ ಜೀರಿಗೆ ಸೇರಿಸಿ ಮತ್ತು 5 ಸೆಕೆಂಡುಗಳ ಕಾಲ ಹುರಿಯಿರಿ, ನಂತರ ಕರಿಬೇವಿನ ಎಲೆಗಳು ಮತ್ತು ಇಂಗು ಸೇರಿಸಿ ಮತ್ತು ಶಾಖವನ್ನು ಆಫ್ ಮಾಡಿ. ಮೇಲಿನ ಮಜ್ಜಿಗೆ ಹುಲಿಗೆ ಈ ಹದವನ್ನು ಸೇರಿಸಿ. ಕುಂಬಳಕಾಯಿ ಮಜ್ಜಿಗೆ ಹುಲಿ ರೆಸಿಪಿಯನ್ನು  ಆವಿಯಲ್ಲಿ ಬೇಯಿಸಿದ ಅನ್ನ, ಕ್ಯಾರೆಟ್ ಬೀನ್ಸ್ ಥೋರನ್, ಪಿಸರ್ನಾ ಮಂಗಾ ರೆಸಿಪಿ ಮತ್ತು ಎಲೈ ವಡಮ್  ಜೊತೆಗೆ ಬಡಿಸಿ.
</t>
  </si>
  <si>
    <t>https://www.archanaskitchen.com/kumbalakai-majjige-huli-recipe-ash-gourd-buttermilk-curry</t>
  </si>
  <si>
    <t>Muga Ambat Recipe</t>
  </si>
  <si>
    <t>ಮುಗ ಅಂಬಾಟ್ ರೆಸಿಪಿ</t>
  </si>
  <si>
    <t>1 ಕಪ್ ಹಸಿರು ಮೂಂಗ್ ಮೊಳಕೆ, 1 ಕಪ್ ತಾಜಾ ತೆಂಗಿನಕಾಯಿ - ತುರಿದ, 6 ಒಣ ಕೆಂಪು ಮೆಣಸಿನಕಾಯಿಗಳು, 1/4 ಟೀಚಮಚ ಅರಿಶಿನ ಪುಡಿ (ಹಲ್ದಿ), 3 ಚಮಚ ಹುಣಸೆ ನೀರು, ಉಪ್ಪು - ರುಚಿಗೆ, ನೀರು - 1 ಚಮಚ, ಸೂರ್ಯಕಾಂತಿ ಎಣ್ಣೆ, 1 ಚಮಚ ಸೂರ್ಯಕಾಂತಿ ಎಣ್ಣೆ, 3 ಒಣ ಕೆಂಪು ಮೆಣಸಿನಕಾಯಿಗಳು, 1 ಚಮಚ ಸಾಸಿವೆ - ತೆಳು, 1 ಚಮಚ ಈರುಳ್ಳಿ, 1 ಚಮಚ ಈರುಳ್ಳಿ</t>
  </si>
  <si>
    <t>1 cup Green Moong Sprouts,1 cup Fresh coconut - grated,6 Dry Red Chillies,1/4 teaspoon Turmeric powder (Haldi),3 tablespoon Tamarind Water,Salt - to taste,Water - as required,1 tablespoon Sunflower Oil,1 tablespoon Sunflower Oil,3 Dry Red Chillies,1 teaspoon Mustard seeds,1 Onion - thinly sliced,1 sprig Curry leaves</t>
  </si>
  <si>
    <t xml:space="preserve">To begin making the Muga Ambat recipe, Grind coconut, dried red chilies with little water into a paste. Keep aside.Boil sprouted green gram in enough water with turmeric powder and little salt until it’s cooked. The green gram should be tender but firm, do not make it mushy.Now add the ground coconut mix into the cooked green gram and continue to cook for about 15 minutes on medium flame.Add tamarind juice and continue to cook for another 8 minutes.In another pan heat oil. First add onion slices and fry until golden brown. Remove from flame keep aside. Add mustard seeds and let it splutter. Then add the dried red chilies, curry leaves, mix and turn off flame.Add the tempering to the curry. Turn off the flame. Serve Muga Ambat along with Whole Wheat Lachha Paratha and Bhindi Raita for a weekday lunch or dinner.
</t>
  </si>
  <si>
    <t xml:space="preserve">ಮುಗ ಅಂಬಾಟ್ ಪಾಕವಿಧಾನವನ್ನು ತಯಾರಿಸಲು ಪ್ರಾರಂಭಿಸಲು, ತೆಂಗಿನಕಾಯಿ, ಒಣಗಿದ ಕೆಂಪು ಮೆಣಸಿನಕಾಯಿಗಳನ್ನು ಸ್ವಲ್ಪ ನೀರಿನೊಂದಿಗೆ ಪೇಸ್ಟ್ ಆಗಿ ರುಬ್ಬಿಕೊಳ್ಳಿ. ಪಕ್ಕಕ್ಕೆ ಇರಿಸಿ. ಮೊಳಕೆಯೊಡೆದ ಹಸಿರು ಬೇಳೆಯನ್ನು ಸಾಕಷ್ಟು ನೀರಿನಲ್ಲಿ ಅರಿಶಿನ ಪುಡಿ ಮತ್ತು ಸ್ವಲ್ಪ ಉಪ್ಪಿನೊಂದಿಗೆ ಬೇಯಿಸುವವರೆಗೆ ಕುದಿಸಿ. ಹಸಿರು ಬೇಳೆಯು ಕೋಮಲವಾಗಿರಬೇಕು ಆದರೆ ಗಟ್ಟಿಯಾಗಿರಬೇಕು, ಅದನ್ನು ಮೆತ್ತಗೆ ಮಾಡಬೇಡಿ. ಈಗ ಬೇಯಿಸಿದ ಹಸಿರು ಬೇಳೆಗೆ ರುಬ್ಬಿದ ತೆಂಗಿನಕಾಯಿ ಮಿಶ್ರಣವನ್ನು ಸೇರಿಸಿ ಮತ್ತು ಮಧ್ಯಮ ಉರಿಯಲ್ಲಿ ಸುಮಾರು 15 ನಿಮಿಷಗಳ ಕಾಲ ಬೇಯಿಸುವುದನ್ನು ಮುಂದುವರಿಸಿ. ಹುಣಸೆ ರಸವನ್ನು ಸೇರಿಸಿ ಮತ್ತು ಇನ್ನೊಂದು 8 ನಿಮಿಷಗಳ ಕಾಲ ಬೇಯಿಸುವುದನ್ನು ಮುಂದುವರಿಸಿ. ಇನ್ನೊಂದು ಬಾಣಲೆಯಲ್ಲಿ ಎಣ್ಣೆಯನ್ನು ಬಿಸಿ ಮಾಡಿ. ಮೊದಲು ಈರುಳ್ಳಿ ಚೂರುಗಳನ್ನು ಹಾಕಿ ಚಿನ್ನದ ಕಂದು ಬಣ್ಣ ಬರುವವರೆಗೆ ಹುರಿಯಿರಿ. ಜ್ವಾಲೆಯಿಂದ ತೆಗೆದುಹಾಕಿ ಪಕ್ಕಕ್ಕೆ ಇರಿಸಿ. ಸಾಸಿವೆ ಕಾಳುಗಳನ್ನು ಸೇರಿಸಿ ಮತ್ತು ಅದನ್ನು ಚೆಲ್ಲಲು ಬಿಡಿ. ನಂತರ ಒಣಗಿದ ಕೆಂಪು ಮೆಣಸಿನಕಾಯಿಗಳು, ಕರಿಬೇವಿನ ಎಲೆಗಳನ್ನು ಸೇರಿಸಿ, ಮಿಶ್ರಣ ಮಾಡಿ ಮತ್ತು ಜ್ವಾಲೆಯನ್ನು ಆಫ್ ಮಾಡಿ. ಮೇಲೋಗರಕ್ಕೆ ಹದಗೊಳಿಸುವಿಕೆಯನ್ನು ಸೇರಿಸಿ. ಜ್ವಾಲೆಯನ್ನು ಆಫ್ ಮಾಡಿ. ವಾರದ ದಿನದ ಊಟಕ್ಕೆ ಅಥವಾ ರಾತ್ರಿಯ ಊಟಕ್ಕೆ ಸಂಪೂರ್ಣ ಗೋಧಿ ಲಚ್ಚಾ ಪರಾಠ ಮತ್ತು ಭಿಂಡಿ ರೈತಾ ಜೊತೆಗೆ ಮುಗಾ ಅಂಬಾಟ್ ಅನ್ನು ಬಡಿಸಿ.
</t>
  </si>
  <si>
    <t>https://www.archanaskitchen.com/muga-ambat-recipe</t>
  </si>
  <si>
    <t>Karwar Style Dali Thoy Recipe - Toor dal Curry</t>
  </si>
  <si>
    <t>ಕಾರವಾರ ಶೈಲಿಯ ದಾಲಿ ಥಾಯ್ ರೆಸಿಪಿ - ತೂರ್ ದಾಲ್ ಕರಿ</t>
  </si>
  <si>
    <t>1 ಕಪ್ ಅರ್ಹರ್ ದಾಲ್ (ಒಡೆದ ದಾಲ್), 1/2 ಟೀಚಮಚ ಅರಿಶಿನ ಪುಡಿ (ಹಲ್ದಿ), ಉಪ್ಪು - ರುಚಿಗೆ, 1/2 ಚಮಚ ತುಪ್ಪ, 3 ಒಣ ಕೆಂಪು ಮೆಣಸಿನಕಾಯಿಗಳು, 1 ಟೀಚಮಚ ಸಾಸಿವೆ ಬೀಜಗಳು, 1 ಚಿಟಿಕೆ ಇಂಗು (ಹಿಂಗ್), 1 ಚಿಟಿಕೆ ಕರಿಬೇವಿನ ಎಲೆಗಳು, ಕೊತ್ತಂಬರಿ (ಧನಿಯಾ) ಎಲೆಗಳು - ಕೆಲವು</t>
  </si>
  <si>
    <t>1 cup Arhar dal (Split Toor Dal),1/2 teaspoon Turmeric powder (Haldi),Salt - to taste,1/2 tablespoon Ghee,3 Dry Red Chillies,1 teaspoon Mustard seeds,1 pinch Asafoetida (hing),1 sprig Curry leaves,Coriander (Dhania) Leaves - few</t>
  </si>
  <si>
    <t xml:space="preserve">To prepare Karwar Style Dali Thoy Recipe (Toor dal Curry), rinse toor dal in water and then pressure cook with 1 cup water and turmeric powder for about 2 whistles.turn off the flame an allow the pressure to release naturally. In a pan heat ghee on medium flame. Add mustard seeds and let it splutter.Then add dried red chilies, hing, and curry leaves. Saute till curry leaves splutter and turn off the heat.Mash the cooked dal well, add salt to taste. Add the tempering and fresh coriander leaves. Mix well.Serve the Karwar Style Dali Thoy Recipe (Toor dal Curry) with steamed rice to make a simple satisfying meal.
</t>
  </si>
  <si>
    <t xml:space="preserve">ಕಾರವಾರ ಶೈಲಿಯ ದಾಲಿ ಥಾಯ್ ರೆಸಿಪಿ (ತೂರ್ ದಾಲ್ ಕರಿ) ತಯಾರಿಸಲು, ನೀರಿನಲ್ಲಿ ತೊಳೆದ ಬೇಳೆಯನ್ನು ತೊಳೆಯಿರಿ ಮತ್ತು ನಂತರ 1 ಕಪ್ ನೀರು ಮತ್ತು ಅರಿಶಿನ ಪುಡಿಯೊಂದಿಗೆ ಸುಮಾರು 2 ಸೀಟಿಗಳವರೆಗೆ ಪ್ರೆಶರ್ ಕುಕ್ ಮಾಡಿ. ಜ್ವಾಲೆಯನ್ನು ಆಫ್ ಮಾಡಿ ಮತ್ತು ಒತ್ತಡವನ್ನು ನೈಸರ್ಗಿಕವಾಗಿ ಬಿಡುಗಡೆ ಮಾಡಲು ಅನುಮತಿಸಿ. ಬಾಣಲೆಯಲ್ಲಿ ತುಪ್ಪವನ್ನು ಮಧ್ಯಮ ಉರಿಯಲ್ಲಿ ಬಿಸಿ ಮಾಡಿ. ಸಾಸಿವೆ ಕಾಳುಗಳನ್ನು ಸೇರಿಸಿ ಮತ್ತು ಅದನ್ನು ಚೆಲ್ಲಲು ಬಿಡಿ. ನಂತರ ಒಣಗಿದ ಕೆಂಪು ಮೆಣಸಿನಕಾಯಿಗಳು, ಹಿಂಗ್ ಮತ್ತು ಕರಿಬೇವಿನ ಎಲೆಗಳನ್ನು ಸೇರಿಸಿ. ಕರಿಬೇವಿನ ಎಲೆಗಳು ಸಿಡಿಯುವವರೆಗೆ ಹುರಿಯಿರಿ ಮತ್ತು ಉರಿಯನ್ನು ಆಫ್ ಮಾಡಿ. ಬೇಯಿಸಿದ ಬೇಳೆಯನ್ನು ಚೆನ್ನಾಗಿ ಮ್ಯಾಶ್ ಮಾಡಿ, ರುಚಿಗೆ ಉಪ್ಪು ಸೇರಿಸಿ. ಹದಗೊಳಿಸುವಿಕೆ ಮತ್ತು ತಾಜಾ ಕೊತ್ತಂಬರಿ ಎಲೆಗಳನ್ನು ಸೇರಿಸಿ. ಚೆನ್ನಾಗಿ ಮಿಶ್ರಣ ಮಾಡಿ. ಸರಳವಾದ ತೃಪ್ತಿಕರ ಊಟವನ್ನು ಮಾಡಲು ಕಾರವಾರ ಶೈಲಿಯ ಡಾಲಿ ಥಾಯ್ ರೆಸಿಪಿ (ತೂರ್ ದಾಲ್ ಕರಿ)  ಆವಿಯಲ್ಲಿ ಬೇಯಿಸಿದ ಅನ್ನದೊಂದಿಗೆ  ಬಡಿಸಿ.
</t>
  </si>
  <si>
    <t>http://www.archanaskitchen.com/dali-thoy-recipe-karwar-style-toor-dal-curry</t>
  </si>
  <si>
    <t>Karwar Style Valval Recipe (Mixed Vegetables In Coconut Milk)</t>
  </si>
  <si>
    <t>ಕಾರವಾರ ಶೈಲಿಯ ವಲ್ವಲ್ ರೆಸಿಪಿ (ತೆಂಗಿನ ಹಾಲಿನಲ್ಲಿ ಮಿಶ್ರ ತರಕಾರಿಗಳು)</t>
  </si>
  <si>
    <t>1 ಕಪ್ ಹಸಿರು ಬೀನ್ಸ್ (ಫ್ರೆಂಚ್ ಬೀನ್ಸ್) - ಕತ್ತರಿಸಿದ, 1 ಕ್ಯಾರೆಟ್ (ಗಜ್ಜರ್) - ಸಣ್ಣ ತುಂಡುಗಳಾಗಿ ಕತ್ತರಿಸಿದ, 1/2 ಹಸಿರು ಬಟಾಣಿ (ಮಟಾರ್) - ಸಣ್ಣ ತುಂಡುಗಳಾಗಿ ಕತ್ತರಿಸಿ, 1 ಆಲೂಗಡ್ಡೆ (ಆಲೂ) - ಸಣ್ಣ ತುಂಡುಗಳಾಗಿ ಕತ್ತರಿಸಿ, 1/2 ಮಂಗಳೂರು ಸೌತೆಕಾಯಿ - ಸಣ್ಣದಾಗಿ ಕತ್ತರಿಸಿದ (ಕತ್ತರಿಸಿದ) ಸೀಳು, 5 ಹಸಿರು ಮೆಣಸಿನಕಾಯಿಗಳು - ಸೀಳು, 3 ಕಪ್ ತೆಂಗಿನ ಹಾಲು, 1/2 ಟೀಚಮಚ ಸಾಸಿವೆ, 1-1/2 ಟೀಚಮಚ ಜೀರಿಗೆ (ಜೀರಾ), 2 ಒಣ ಕೆಂಪು ಮೆಣಸಿನಕಾಯಿ, 1 ಚಮಚ ತೆಂಗಿನ ಎಣ್ಣೆ, 6 ಕರಿಬೇವಿನ ಎಲೆಗಳು</t>
  </si>
  <si>
    <t>1 cup Green beans (French Beans) - Chopped,1 Carrot (Gajjar) - chopped into small cubes,1/2 Green peas (Matar) - chopped into small cubes,1 Potato (Aloo) - chopped into small cubes,1/2 Mangalorean cucumber - chopped into small cubes,1 cup Pointed gourd (Parval) - slit,5 Green Chillies - slit,3 cups Coconut milk,1/2 teaspoon Mustard seeds,1-1/2 teaspoon Cumin seeds (Jeera),2 Dry Red Chilli,1 tablespoon Coconut Oil,6 Curry leaves</t>
  </si>
  <si>
    <t xml:space="preserve">To begin making the Karwar Style Valval Recipe (Mixed Vegetables In Coconut Milk), boil all the vegetables - beans, carrot, peas, potato, mangalore cucumber, parval and green chilies in water. They should be done but not mushy, so don't pressure cook.Add the coconut milk, salt and cook for another 5 to 6 minutes. Take off the heat.The next step is to prepare the tempering. Heat little coconut oil in a heavy bottomed pan.Add mustard and cumin seeds. When they start popping, add the red chilies and curry leaves.Pour the seasoning in the gravy and mix. Serve hot.  Serve Karwar Style Valval Recipe (Mixed Vegetables In Coconut Milk) along with Whole Wheat Lachha Paratha and Beetroot Pachadi for a weekday meal.
</t>
  </si>
  <si>
    <t xml:space="preserve">ಕಾರವಾರ ಶೈಲಿಯ ವಲ್ವಾಲ್ ರೆಸಿಪಿ (ತೆಂಗಿನ ಹಾಲಿನಲ್ಲಿ ಮಿಶ್ರ ತರಕಾರಿಗಳು) ತಯಾರಿಸಲು ಪ್ರಾರಂಭಿಸಲು, ಎಲ್ಲಾ ತರಕಾರಿಗಳನ್ನು - ಬೀನ್ಸ್, ಕ್ಯಾರೆಟ್, ಬಟಾಣಿ, ಆಲೂಗಡ್ಡೆ, ಮಂಗಳೂರು ಸೌತೆಕಾಯಿ, ಪರ್ವಲ್ ಮತ್ತು ಹಸಿರು ಮೆಣಸಿನಕಾಯಿಗಳನ್ನು ನೀರಿನಲ್ಲಿ ಕುದಿಸಿ. ಅವರು ಮಾಡಬೇಕು ಆದರೆ ಮೆತ್ತಗಿನ ಅಲ್ಲ, ಆದ್ದರಿಂದ ಒತ್ತಡ ಅಡುಗೆ ಮಾಡಬೇಡಿ. ತೆಂಗಿನ ಹಾಲು, ಉಪ್ಪು ಸೇರಿಸಿ ಮತ್ತು ಇನ್ನೊಂದು 5 ರಿಂದ 6 ನಿಮಿಷ ಬೇಯಿಸಿ. ಶಾಖವನ್ನು ತೆಗೆದುಹಾಕಿ. ಮುಂದಿನ ಹಂತವು ಹದಗೊಳಿಸುವಿಕೆಯನ್ನು ಸಿದ್ಧಪಡಿಸುವುದು. ದಪ್ಪ ತಳವಿರುವ ಪ್ಯಾನ್‌ನಲ್ಲಿ ಸ್ವಲ್ಪ ತೆಂಗಿನ ಎಣ್ಣೆಯನ್ನು ಬಿಸಿ ಮಾಡಿ.ಸಾಸಿವೆ ಮತ್ತು ಜೀರಿಗೆ ಸೇರಿಸಿ. ಅವರು ಪಾಪಿಂಗ್ ಪ್ರಾರಂಭಿಸಿದಾಗ, ಕೆಂಪು ಮೆಣಸಿನಕಾಯಿಗಳು ಮತ್ತು ಕರಿಬೇವಿನ ಎಲೆಗಳನ್ನು ಸೇರಿಸಿ. ಗ್ರೇವಿಯಲ್ಲಿ ಮಸಾಲೆ ಸುರಿಯಿರಿ ಮತ್ತು ಮಿಶ್ರಣ ಮಾಡಿ. ಬಿಸಿಯಾಗಿ ಬಡಿಸಿ.  ವಾರದ ದಿನದ ಊಟಕ್ಕೆ ಕಾರವಾರ ಸ್ಟೈಲ್ ವಲ್ವಾಲ್ ರೆಸಿಪಿ (ತೆಂಗಿನ ಹಾಲಿನಲ್ಲಿ ಮಿಶ್ರ ತರಕಾರಿಗಳು) ಸಂಪೂರ್ಣ ಗೋಧಿ ಲಚ್ಚಾ ಪರಾಠ ಮತ್ತು ಬೀಟ್‌ರೂಟ್ ಪಚಡಿ ಸೇರಿಸಿ.
</t>
  </si>
  <si>
    <t>http://www.archanaskitchen.com/karwar-style-valval-recipe-mixed-vegetables-in-coconut-milk</t>
  </si>
  <si>
    <t>Rava Rotti Recipe (Karnataka Style Semolina Flat Bread)</t>
  </si>
  <si>
    <t>ರವಾ ರೊಟ್ಟಿ ರೆಸಿಪಿ (ಕರ್ನಾಟಕ ಶೈಲಿಯ ರವೆ ಫ್ಲಾಟ್ ಬ್ರೆಡ್)</t>
  </si>
  <si>
    <t>2 ಕಪ್ ಸೂಜಿ (ರವೆ/ ರವೆ), 1/4 ಕಪ್ ಮೊಸರು (ದಹಿ / ಮೊಸರು) - (ಹುಳಿ) ಅಥವಾ ಮಜ್ಜಿಗೆ, 3 ಚಮಚ ತಾಜಾ ತೆಂಗಿನಕಾಯಿ - 1 ಚಮಚ ಜೀರಿಗೆ (ಜೀರಾ), 1 ಈರುಳ್ಳಿ - ಸಣ್ಣದಾಗಿ ಕೊಚ್ಚಿದ, 1 ಕ್ಯಾರೆಟ್ (ಗಜ್ಜರ್) - ತುರಿದ (ಐಚ್ಛಿಕ), 2 ಹಸಿ ಮೆಣಸಿನಕಾಯಿ - ನುಣ್ಣಗೆ ಕತ್ತರಿಸಿದ ತುರಿದ, ಕೊತ್ತಂಬರಿ (ಧನಿಯಾ) ಎಲೆಗಳು - ಕೈಬೆರಳೆಣಿಕೆಯಷ್ಟು, ಕರಿಬೇವಿನ ಎಲೆಗಳು - ಕೆಲವು ಕರಿಬೇವಿನ ಎಲೆಗಳು, ಉಪ್ಪು - ರುಚಿಗೆ, ನೀರು - ಅಗತ್ಯವಿರುವಂತೆ, ಸೂರ್ಯಕಾಂತಿ ಎಣ್ಣೆ - ಹುರಿಯಲು</t>
  </si>
  <si>
    <t>2 cups Sooji (Semolina/ Rava),1/4 cup Curd (Dahi / Yogurt) - (Sour) or buttermilk,3 tablespoon Fresh coconut - grated,1 teaspoon Cumin seeds (Jeera),1 Onion - finely chopped,1 Carrot (Gajjar) - grated (optional),2 Green Chilli - finely chopped,1 inch Ginger - finely chopped or grated,Coriander (Dhania) Leaves - handful,Curry leaves - few curry leaves,Salt - to taste,Water - as required,Sunflower Oil - to roast</t>
  </si>
  <si>
    <t xml:space="preserve">To prepare Rava Rotti Recipe (Karnataka Style Semolina Flat Bread), get prep with all the ingredients, chopping and grating.Add onion, coconut, green chilli, ginger, coriander, Curry leaves, cumin seeds and salt in a wide mixing bowl. Mix it nicely by crushing onions with your hands for few minutes. This brings out more flavor from all ingredients.Add rava and sour curd to it.Add water and mix it nicely to form a moist dough. Let rava dough rest for 10- 15 minutes. This will help rava to fluff up a bit and also you will observe that rava would have taken in all the liquids and the dough would have thickened.Add some water or curd to loosen the dough. Make the dough thicker than idli batter but a little watery to work, than chapati dough. The dough should be easy to spread / pat with hands.Keep a Tawa on the flame. Sprinkle few drops of oil on the tava and spread all over the pan.Grease a plastic sheet / aluminum foil / parchment paper /banana leaf /wet muslin cloth.Take a large lemon sized dough and pat it evenly with your hands to a thin rotti. Wet your hands in between with water to ease the patting.Heat the griddle. When it is hot, put the sheet with dough on the griddle to transfer the rotti to the hot griddle. After a few seconds, remove the sheet carefully from the tawa such that the rotti remains n the tawa and the flat bread is intact and not torn. Do it steadily and take care not to burn the sheet/cloth used to make the rotti.Cook rotti on a medium heat. Pour a few drops of oil all over the rotti. Cover and cook till one side becomes slightly brown in color.Then take out lid, flip the rotti and continue cooking for about a minute or so until the rotti becomes crispy on both sides.Rava rotti is ready to be served with Coconut Chutney, Chutney Podi and Butter to top it up. Enjoy them as your hearty weekday breakfast / Snack / Dinner.
</t>
  </si>
  <si>
    <t xml:space="preserve">ರವಾ ರೊಟ್ಟಿ ರೆಸಿಪಿ (ಕರ್ನಾಟಕ ಶೈಲಿಯ ರವೆ ಫ್ಲಾಟ್ ಬ್ರೆಡ್) ತಯಾರಿಸಲು, ಎಲ್ಲಾ ಪದಾರ್ಥಗಳೊಂದಿಗೆ ಪೂರ್ವಸಿದ್ಧತೆ ಮಾಡಿಕೊಳ್ಳಿ, ಕತ್ತರಿಸಿ ಮತ್ತು ತುರಿ ಮಾಡಿ. ಈರುಳ್ಳಿ, ತೆಂಗಿನಕಾಯಿ, ಹಸಿರು ಮೆಣಸಿನಕಾಯಿ, ಶುಂಠಿ, ಕೊತ್ತಂಬರಿ, ಕರಿಬೇವಿನ ಎಲೆಗಳು, ಜೀರಿಗೆ ಮತ್ತು ಉಪ್ಪನ್ನು ವಿಶಾಲ ಮಿಶ್ರಣ ಬಟ್ಟಲಿನಲ್ಲಿ ಸೇರಿಸಿ. ಕೆಲವು ನಿಮಿಷಗಳ ಕಾಲ ನಿಮ್ಮ ಕೈಗಳಿಂದ ಈರುಳ್ಳಿಯನ್ನು ಪುಡಿಮಾಡಿ ಚೆನ್ನಾಗಿ ಮಿಶ್ರಣ ಮಾಡಿ. ಇದು ಎಲ್ಲಾ ಪದಾರ್ಥಗಳಿಂದ ಹೆಚ್ಚಿನ ಪರಿಮಳವನ್ನು ತರುತ್ತದೆ. ಇದಕ್ಕೆ ರವೆ ಮತ್ತು ಹುಳಿ ಮೊಸರು ಸೇರಿಸಿ. ನೀರನ್ನು ಸೇರಿಸಿ ಮತ್ತು ತೇವವಾದ ಹಿಟ್ಟನ್ನು ರೂಪಿಸಲು ಚೆನ್ನಾಗಿ ಮಿಶ್ರಣ ಮಾಡಿ. ರವೆ ಹಿಟ್ಟನ್ನು 10-15 ನಿಮಿಷಗಳ ಕಾಲ ಬಿಡಿ. ಇದು ರವಾವನ್ನು ಸ್ವಲ್ಪಮಟ್ಟಿಗೆ ನಯಮಾಡಲು ಸಹಾಯ ಮಾಡುತ್ತದೆ ಮತ್ತು ರವಾವು ಎಲ್ಲಾ ದ್ರವಗಳನ್ನು ತೆಗೆದುಕೊಳ್ಳುತ್ತದೆ ಮತ್ತು ಹಿಟ್ಟು ದಪ್ಪವಾಗುವುದನ್ನು ನೀವು ಗಮನಿಸಬಹುದು. ಹಿಟ್ಟನ್ನು ಸಡಿಲಗೊಳಿಸಲು ಸ್ವಲ್ಪ ನೀರು ಅಥವಾ ಮೊಸರು ಸೇರಿಸಿ. ಹಿಟ್ಟನ್ನು ಚಪಾತಿ ಹಿಟ್ಟಿಗಿಂತ ಇಡ್ಲಿ ಹಿಟ್ಟಿಗಿಂತ ದಪ್ಪವಾಗಿ ಮಾಡಿ ಆದರೆ ಕೆಲಸ ಮಾಡಲು ಸ್ವಲ್ಪ ನೀರಿರುವಂತೆ ಮಾಡಿ. ಹಿಟ್ಟನ್ನು ಹರಡಲು / ಕೈಗಳಿಂದ ಪ್ಯಾಟ್ ಮಾಡಲು ಸುಲಭವಾಗಿರಬೇಕು. ಜ್ವಾಲೆಯ ಮೇಲೆ ತವಾವನ್ನು ಇರಿಸಿ. ತವಾ ಮೇಲೆ ಎಣ್ಣೆಯ ಕೆಲವು ಹನಿಗಳನ್ನು ಚಿಮುಕಿಸಿ ಮತ್ತು ಪ್ಯಾನ್ ಮೇಲೆ ಹರಡಿ. ಪ್ಲಾಸ್ಟಿಕ್ ಹಾಳೆ / ಅಲ್ಯೂಮಿನಿಯಂ ಫಾಯಿಲ್ / ಚರ್ಮಕಾಗದದ ಕಾಗದ / ಬಾಳೆ ಎಲೆ / ಒದ್ದೆಯಾದ ಮಸ್ಲಿನ್ ಬಟ್ಟೆಯನ್ನು ಗ್ರೀಸ್ ಮಾಡಿ. ದೊಡ್ಡ ನಿಂಬೆ ಗಾತ್ರದ ಹಿಟ್ಟನ್ನು ತೆಗೆದುಕೊಂಡು ಅದನ್ನು ತೆಳುವಾದ ರೊಟ್ಟಿಗೆ ನಿಮ್ಮ ಕೈಗಳಿಂದ ಸಮವಾಗಿ ತಟ್ಟಿ. ಪ್ಯಾಟಿಂಗ್ ಅನ್ನು ಸರಾಗಗೊಳಿಸಲು ನಿಮ್ಮ ಕೈಗಳನ್ನು ನೀರಿನಿಂದ ಒದ್ದೆ ಮಾಡಿ. ಗ್ರಿಡಲ್ ಅನ್ನು ಬಿಸಿ ಮಾಡಿ. ಅದು ಬಿಸಿಯಾದಾಗ, ರೊಟ್ಟಿಯನ್ನು ಬಿಸಿ ತಟ್ಟೆಗೆ ವರ್ಗಾಯಿಸಲು ತಟ್ಟೆಯ ಮೇಲೆ ಹಿಟ್ಟಿನ ಹಾಳೆಯನ್ನು ಹಾಕಿ. ಕೆಲವು ಸೆಕೆಂಡುಗಳ ನಂತರ, ತವಾದಿಂದ ಹಾಳೆಯನ್ನು ಎಚ್ಚರಿಕೆಯಿಂದ ತೆಗೆದುಹಾಕಿ, ಅಂದರೆ ರೊಟ್ಟಿ ತವಾದಲ್ಲಿ ಉಳಿಯುತ್ತದೆ ಮತ್ತು ಚಪ್ಪಟೆಯಾದ ಬ್ರೆಡ್ ಹಾಗೇ ಇರುತ್ತದೆ ಮತ್ತು ಹರಿದಿಲ್ಲ. ಇದನ್ನು ಸ್ಥಿರವಾಗಿ ಮಾಡಿ ಮತ್ತು ರೊಟ್ಟಿ ಮಾಡಲು ಬಳಸುವ ಹಾಳೆ/ಬಟ್ಟೆ ಸುಡದಂತೆ ನೋಡಿಕೊಳ್ಳಿ. ಮಧ್ಯಮ ಉರಿಯಲ್ಲಿ ರೊಟ್ಟಿ ಬೇಯಿಸಿ. ರೊಟ್ಟಿಯ ಮೇಲೆ ಕೆಲವು ಹನಿ ಎಣ್ಣೆಯನ್ನು ಸುರಿಯಿರಿ. ಒಂದು ಕಡೆ ಸ್ವಲ್ಪ ಕಂದು ಬಣ್ಣ ಬರುವವರೆಗೆ ಕವರ್ ಮಾಡಿ ಮತ್ತು ಬೇಯಿಸಿ. ನಂತರ ಮುಚ್ಚಳವನ್ನು ಹೊರತೆಗೆದು, ರೊಟ್ಟಿಯನ್ನು ತಿರುಗಿಸಿ ಮತ್ತು ರೊಟ್ಟಿ ಎರಡೂ ಬದಿಗಳಲ್ಲಿ ಗರಿಗರಿಯಾಗುವವರೆಗೆ ಸುಮಾರು ಒಂದು ನಿಮಿಷ ಅಥವಾ ಅಡುಗೆಯನ್ನು ಮುಂದುವರಿಸಿ. ರವಾ ರೊಟ್ಟಿಯು ತೆಂಗಿನಕಾಯಿ ಚಟ್ನಿ, ಚಟ್ನಿ ಪೋಡಿ ಮತ್ತು ಬೆಣ್ಣೆಯೊಂದಿಗೆ ಬಡಿಸಲು ಸಿದ್ಧವಾಗಿದೆ. ನಿಮ್ಮ ಹೃತ್ಪೂರ್ವಕ ವಾರದ ಉಪಹಾರ / ಸ್ನ್ಯಾಕ್ / ಡಿನ್ನರ್ ಆಗಿ ಅವುಗಳನ್ನು ಆನಂದಿಸಿ.
</t>
  </si>
  <si>
    <t>https://www.archanaskitchen.com/rava-rotti-recipe-karnataka-style-semolina-flat-bread</t>
  </si>
  <si>
    <t>Ambade Kaarle Lonche Recipe - Hog Plums &amp; Bitter Gourd Pickle</t>
  </si>
  <si>
    <t>ಅಂಬಾಡೆ ಕಾರ್ಲೆ ಲೊಂಚೆ ರೆಸಿಪಿ - ಹಾಗ್ ಪ್ಲಮ್ಸ್ &amp; ಹಾಗಲಕಾಯಿ ಉಪ್ಪಿನಕಾಯಿ</t>
  </si>
  <si>
    <t>6 ಹಾಗ್ ಪ್ಲಮ್ (ಅಮ್ಟೆಕಾಯಿ), 1 ಕರೇಲ (ಕಹಿ ಸೋರೆಕಾಯಿ/ ಪಾವಕ್ಕಾಯಿ), 6 ಚಮಚ ಬೆಲ್ಲ, ಉಪ್ಪು - ರುಚಿಗೆ ತಕ್ಕಷ್ಟು, 1 ಚಮಚ ಸೂರ್ಯಕಾಂತಿ ಎಣ್ಣೆ, 1/4 ಚಮಚ ಅರಿಶಿನ ಪುಡಿ (ಹಲ್ದಿ), 1 ಚಮಚ ಸೂರ್ಯಕಾಂತಿ ಎಣ್ಣೆ, 1/4 ಚಮಚ ಸಾಸಿವೆ, 1/4 ಚಮಚ ಮೆಂತ್ಯೆ ಕಾಳುಗಳು, 2 ಹಸಿಮೆಣಸಿನಕಾಯಿಗಳು, 2 ಹಸಿಮೆಣಸಿನಕಾಯಿ (ಹಿಂಗ್)</t>
  </si>
  <si>
    <t>6 Hog Plum (Amtekai),1 Karela (Bitter Gourd/ Pavakkai),6 tablespoons Jaggery,Salt - to taste,1 teaspoon Sunflower Oil,1/4 teaspoon Turmeric powder (Haldi),1 tablespoon Sunflower Oil,1/4 teaspoon Mustard seeds,1/4 teaspoon Methi Seeds (Fenugreek Seeds),4 Green Chillies,2 pinch Asafoetida (hing)</t>
  </si>
  <si>
    <t xml:space="preserve">To begin making Ambade Kaarle Lonche Recipe, scrape the outer layer of bitter gourd well, clean the seeds if they are not tender. Chop each bitter gourd lengthwise to 2 inch long strips, apply some salt (I used 1/4 teaspoon) and keep it away for an hour to reduce the bitterness.After an hour, squeeze away excess water from the bitter gourds after washing them. This will remove most of the bitterness the gourd has.Stir fry these drained bitter gourds in a kadai with a bit of oil till softened. Keep aside.Heat oil in a heavy bottomed pan/kadhai, add mustard seeds and allow them to splutter. Once spluttered, immediately add all the ingredients under tempering - fenugreek, green chillies, Irani hing and saute a bit.Stir on low heat, add turmeric powder, ambade- hog plums and mix well. Take care that the tempering is right and not any burnt.Add enough water to cook ambade (I added 4 tablespoons) and on medium heat, bring to boil. Reduce heat when it starts boiling. Cover and cook till the ambade / hog plum are cooked.Now add the stir fried bitter gourd strips, jaggery and salt and cook till jaggery melts. Now add 1 or 2 tablespoons of water as per requirement, else the jaggery will stiffen when cooled. Transfer to a jar after it is cooled to room temperature.Serve Ambade Kaarle Lonche Recipe as an accompaniment with a meal of Steamed Rice, Karwar Style Muga Ambat Recipe, and Puri Recipe (Puffed Fried Indian Bread).
</t>
  </si>
  <si>
    <t xml:space="preserve">ಅಂಬಾಡೆ ಕಾರ್ಲೆ ಲೊಂಚೆ ರೆಸಿಪಿಯನ್ನು ತಯಾರಿಸಲು ಪ್ರಾರಂಭಿಸಲು, ಹಾಗಲಕಾಯಿಯ ಹೊರ ಪದರವನ್ನು ಚೆನ್ನಾಗಿ ಉಜ್ಜಿಕೊಳ್ಳಿ, ಬೀಜಗಳು ಕೋಮಲವಾಗಿಲ್ಲದಿದ್ದರೆ ಅವುಗಳನ್ನು ಸ್ವಚ್ಛಗೊಳಿಸಿ. ಪ್ರತಿ ಹಾಗಲಕಾಯಿಯನ್ನು 2 ಇಂಚು ಉದ್ದದ ಪಟ್ಟಿಗಳಿಗೆ ಉದ್ದವಾಗಿ ಕತ್ತರಿಸಿ, ಸ್ವಲ್ಪ ಉಪ್ಪನ್ನು ಹಾಕಿ (ನಾನು 1/4 ಟೀಚಮಚವನ್ನು ಬಳಸಿದ್ದೇನೆ) ಮತ್ತು ಕಹಿಯನ್ನು ಕಡಿಮೆ ಮಾಡಲು ಅದನ್ನು ಒಂದು ಗಂಟೆ ದೂರವಿಡಿ. ಒಂದು ಗಂಟೆಯ ನಂತರ, ಹಾಗಲಕಾಯಿಯನ್ನು ತೊಳೆದ ನಂತರ ಹೆಚ್ಚಿನ ನೀರನ್ನು ಹಿಂಡಿ. ಇದು ಸೋರೆಕಾಯಿಯಲ್ಲಿರುವ ಹೆಚ್ಚಿನ ಕಹಿಯನ್ನು ತೆಗೆದುಹಾಕುತ್ತದೆ.ಈ ಸೋರೆಕಾಯಿಯನ್ನು ಕಡಾಯಿಯಲ್ಲಿ ಸ್ವಲ್ಪ ಎಣ್ಣೆಯೊಂದಿಗೆ ಮೃದುವಾಗುವವರೆಗೆ ಹುರಿಯಿರಿ. ಪಕ್ಕಕ್ಕೆ ಇರಿಸಿ. ಭಾರವಾದ ತಳವಿರುವ ಪ್ಯಾನ್ / ಕದಾಯಿಯಲ್ಲಿ ಎಣ್ಣೆಯನ್ನು ಬಿಸಿ ಮಾಡಿ, ಸಾಸಿವೆ ಕಾಳುಗಳನ್ನು ಸೇರಿಸಿ ಮತ್ತು ಅವುಗಳನ್ನು ಚಿಮುಕಿಸಲು ಅನುಮತಿಸಿ. ಚೆಲ್ಲಾಪಿಲ್ಲಿಯಾದ ನಂತರ, ತಕ್ಷಣವೇ ಹದಗೊಳಿಸುವ ಎಲ್ಲಾ ಪದಾರ್ಥಗಳನ್ನು ಸೇರಿಸಿ - ಮೆಂತ್ಯ, ಹಸಿರು ಮೆಣಸಿನಕಾಯಿಗಳು, ಇರಾನಿ ಹಿಂಗ್ ಮತ್ತು ಸ್ವಲ್ಪ ಹುರಿಯಿರಿ. ಕಡಿಮೆ ಉರಿಯಲ್ಲಿ ಬೆರೆಸಿ, ಅರಿಶಿನ ಪುಡಿ, ಅಂಬಡೆ-ಹಾಗ್ ಪ್ಲಮ್ ಸೇರಿಸಿ ಮತ್ತು ಚೆನ್ನಾಗಿ ಮಿಶ್ರಣ ಮಾಡಿ. ಟೆಂಪರಿಂಗ್ ಸರಿಯಾಗಿದೆ ಮತ್ತು ಯಾವುದೇ ಸುಟ್ಟಿಲ್ಲ ಎಂದು ನೋಡಿಕೊಳ್ಳಿ. ಅಂಬಾಡೆ ಬೇಯಿಸಲು ಸಾಕಷ್ಟು ನೀರು ಸೇರಿಸಿ (ನಾನು 4 ಟೇಬಲ್ಸ್ಪೂನ್ಗಳನ್ನು ಸೇರಿಸಿದ್ದೇನೆ) ಮತ್ತು ಮಧ್ಯಮ ಉರಿಯಲ್ಲಿ, ಕುದಿಸಿ. ಅದು ಕುದಿಯಲು ಪ್ರಾರಂಭಿಸಿದಾಗ ಶಾಖವನ್ನು ಕಡಿಮೆ ಮಾಡಿ. ಅಂಬಡೆ / ಹಂದಿ ಪ್ಲಮ್ ಬೇಯಿಸುವವರೆಗೆ ಮುಚ್ಚಿ ಮತ್ತು ಬೇಯಿಸಿ. ಈಗ ಹುರಿದ ಹಾಗಲಕಾಯಿ ಪಟ್ಟಿಗಳು, ಬೆಲ್ಲ ಮತ್ತು ಉಪ್ಪನ್ನು ಸೇರಿಸಿ ಮತ್ತು ಬೆಲ್ಲ ಕರಗುವ ತನಕ ಬೇಯಿಸಿ. ಈಗ ಅಗತ್ಯಕ್ಕೆ ತಕ್ಕಂತೆ 1 ಅಥವಾ 2 ಚಮಚ ನೀರು ಸೇರಿಸಿ, ಇಲ್ಲದಿದ್ದರೆ ಬೆಲ್ಲ ತಣ್ಣಗಾದಾಗ ಗಟ್ಟಿಯಾಗುತ್ತದೆ. ಕೋಣೆಯ ಉಷ್ಣಾಂಶಕ್ಕೆ ತಣ್ಣಗಾದ ನಂತರ ಅದನ್ನು ಜಾರ್‌ಗೆ ವರ್ಗಾಯಿಸಿ. ಅಂಬಡೆ ಕಾರ್ಲೆ ಲೊಂಚೆ ರೆಸಿಪಿ ಯನ್ನು ಸ್ಟೀಮ್ಡ್ ರೈಸ್, ಕಾರವಾರ ಸ್ಟೈಲ್ ಮುಗ ಅಂಬಾಟ್ ರೆಸಿಪಿ, ಮತ್ತು ಪುರಿ ರೆಸಿಪಿ (ಪಫ್ಡ್ ಫ್ರೈಡ್ ಇಂಡಿಯನ್ ಬ್ರೆಡ್) ಜೊತೆಗೆ ಬಡಿಸಿ.
</t>
  </si>
  <si>
    <t>http://www.archanaskitchen.com/ambade-kaarle-lonche-recipe-hog-plums-bitter-gourd-pickle</t>
  </si>
  <si>
    <t>Dharwad Peda Recipe</t>
  </si>
  <si>
    <t>ಧಾರವಾಡ ಪೇಡಾ ರೆಸಿಪಿ</t>
  </si>
  <si>
    <t>2 ಲೀಟರ್ ಹಾಲು, 2 ಕಪ್ ಹಾಲು, 2 ಚಮಚ ನಿಂಬೆ ರಸ - ಅಥವಾ ಮೊಸರು, 6 ಚಮಚ ತುಪ್ಪ, 3/4 ಕಪ್ ಸಕ್ಕರೆ, 5 ಚಮಚ ಸಕ್ಕರೆ - ಧೂಳಿನಿಂದ</t>
  </si>
  <si>
    <t>2 liter Milk,2 cups Milk,2 tablespoon Lemon juice - or curd,6 tablespoon Ghee,3/4 cup Sugar,5 tablespoon Sugar - for dusting</t>
  </si>
  <si>
    <t xml:space="preserve">To begin making the Dharwad Peda Recipe, heat milk in a saucepan on a medium heat. Once it comes to a boil add the lemon juice and mix till the milk curdles.You will have to separate the curdled cheese from the whey, so drain it over a muslin cloth or a strainer and squeeze out all the water.Transfer the squeezed cheese onto a kadai with 3 tablespoons ghee over a medium heat, by using a spatula start breaking the cheese and create a crumbly texture.Once that is done, add the sugar and 1 cup milk and combine till the sugar dissolves. Switch off the heat and allow it to cool down. Blitz it in a grinder to a smooth creamy paste.Add this paste on to a kadai and keep it over a medium heat. Keep stirring till the water evaporates and you are left with a thick batter without any lumps. Keep stirring and after sometime it will become grainy again, add the left over ghee and keep mixing till the mixture turns medium brown.If you feel that the mixture is too grainy, keep adding milk little by little and combine.Do until the mixture turns brown, cool it down and blitz it with little reserved milk (2 tablespoon milk) to a smooth mixture.Take a small amount of the peda and shape them into desired shapes and coat it with powdered sugar. Do the same for the rest.Serve the Dharwad Peda Recipe as a festive dessert along with other desserts like Churma Laddu With Coconut to enjoy it with your family and children. 
</t>
  </si>
  <si>
    <t xml:space="preserve">ಧಾರವಾಡ ಪೇಡಾ ರೆಸಿಪಿ ತಯಾರಿಸಲು ಪ್ರಾರಂಭಿಸಲು, ಮಧ್ಯಮ ಶಾಖದ ಮೇಲೆ ಲೋಹದ ಬೋಗುಣಿಗೆ ಹಾಲನ್ನು ಬಿಸಿ ಮಾಡಿ. ಅದು ಕುದಿ ಬಂದ ನಂತರ ನಿಂಬೆ ರಸವನ್ನು ಸೇರಿಸಿ ಮತ್ತು ಹಾಲಿನ ಮೊಸರು ತನಕ ಮಿಶ್ರಣ ಮಾಡಿ. ನೀವು ಮೊಸರು ಚೀಸ್ ಅನ್ನು ಹಾಲೊಡಕುಗಳಿಂದ ಬೇರ್ಪಡಿಸಬೇಕು, ಆದ್ದರಿಂದ ಅದನ್ನು ಮಸ್ಲಿನ್ ಬಟ್ಟೆ ಅಥವಾ ಸ್ಟ್ರೈನರ್ ಮೇಲೆ ಹರಿಸಬೇಕು ಮತ್ತು ಎಲ್ಲಾ ನೀರನ್ನು ಹಿಂಡಿ. ಹಿಂಡಿದ ಚೀಸ್ ಅನ್ನು 3 ಚಮಚ ತುಪ್ಪದೊಂದಿಗೆ ಕಡಾಯಿಗೆ ವರ್ಗಾಯಿಸಿ. ಮುಗಿದಿದೆ, ಸಕ್ಕರೆ ಮತ್ತು 1 ಕಪ್ ಹಾಲು ಸೇರಿಸಿ ಮತ್ತು ಸಕ್ಕರೆ ಕರಗುವ ತನಕ ಒಗ್ಗೂಡಿ. ಶಾಖವನ್ನು ಆಫ್ ಮಾಡಿ ಮತ್ತು ಅದನ್ನು ತಣ್ಣಗಾಗಲು ಬಿಡಿ. ನಯವಾದ ಕೆನೆ ಪೇಸ್ಟ್‌ಗೆ ಗ್ರೈಂಡರ್‌ನಲ್ಲಿ ಬ್ಲಿಟ್ಜ್ ಮಾಡಿ. ಈ ಪೇಸ್ಟ್ ಅನ್ನು ಕಡಾಯಿಗೆ ಸೇರಿಸಿ ಮತ್ತು ಮಧ್ಯಮ ಉರಿಯಲ್ಲಿ ಇರಿಸಿ. ನೀರು ಆವಿಯಾಗುವವರೆಗೆ ಬೆರೆಸಿ ಮತ್ತು ಯಾವುದೇ ಉಂಡೆಗಳಿಲ್ಲದೆ ದಪ್ಪ ಹಿಟ್ಟನ್ನು ನಿಮಗೆ ಬಿಡಲಾಗುತ್ತದೆ. ಬೆರೆಸಿ ಮತ್ತು ಸ್ವಲ್ಪ ಸಮಯದ ನಂತರ ಅದು ಮತ್ತೆ ಧಾನ್ಯವಾಗುತ್ತದೆ, ಉಳಿದ ತುಪ್ಪವನ್ನು ಸೇರಿಸಿ ಮತ್ತು ಮಿಶ್ರಣವು ಮಧ್ಯಮ ಕಂದು ಬಣ್ಣಕ್ಕೆ ಬರುವವರೆಗೆ ಮಿಶ್ರಣ ಮಾಡಿ. ಮಿಶ್ರಣವು ತುಂಬಾ ಧಾನ್ಯವಾಗಿದೆ ಎಂದು ನೀವು ಭಾವಿಸಿದರೆ, ಸ್ವಲ್ಪ ಸ್ವಲ್ಪ ಹಾಲನ್ನು ಸೇರಿಸಿ ಮತ್ತು ಮಿಶ್ರಣ ಮಾಡಿ. ಮಿಶ್ರಣವು ಕಂದು ಬಣ್ಣಕ್ಕೆ ಬರುವವರೆಗೆ ಮಾಡಿ, ಅದನ್ನು ತಣ್ಣಗಾಗಿಸಿ ಮತ್ತು ಸ್ವಲ್ಪ ಕಾಯ್ದಿರಿಸಿದ ಹಾಲು (2 ಟೇಬಲ್ಸ್ಪೂನ್ ಹಾಲು) ನೊಂದಿಗೆ ಮಿಶ್ರಣ ಮಾಡಿ. ಸಕ್ಕರೆ. ಉಳಿದಂತೆ ಅದೇ ರೀತಿ ಮಾಡಿ. ನಿಮ್ಮ ಕುಟುಂಬ ಮತ್ತು ಮಕ್ಕಳೊಂದಿಗೆ ಅದನ್ನು ಆನಂದಿಸಲು ಚುರ್ಮಾ ಲಡ್ಡು ತೆಂಗಿನಕಾಯಿಯಂತಹ ಇತರ ಸಿಹಿತಿಂಡಿಗಳೊಂದಿಗೆ ಧಾರವಾಡ ಪೇಡಾ ರೆಸಿಪಿಯನ್ನು ಹಬ್ಬದ ಸಿಹಿತಿಂಡಿಯಾಗಿ ಬಡಿಸಿ. 
</t>
  </si>
  <si>
    <t>https://www.archanaskitchen.com/dharwad-peda-recipe</t>
  </si>
  <si>
    <t>North Karnataka</t>
  </si>
  <si>
    <t>Togarikaayi Usli Recipe</t>
  </si>
  <si>
    <t>ತೊಗರಿಕಾಯಿ ಉಸಲಿ ರೆಸಿಪಿ - Togarikaayi Usli Recipe</t>
  </si>
  <si>
    <t>2 ಕಪ ಹರಿ ತುರ ದಾಲ್ - ತಾಜಿ,1/4 ಕಪ್ ಟೆಲ್,10 ಹರಿ ಮಿರ್ಚ್,2 ಲಹಸುನ್,1/2 ಕಪ ಹರಾ ಧನಿಯಾ - ದಮಕ, ಅನುಸಾರ್,1 ಬಡಾ ಚಮಚ್ಚ ಮಖ್ಖನ್,1 ಛೋಟಾ ಚಮಚ್ಚ ರೈ</t>
  </si>
  <si>
    <t>2 cups green tur dal - fresh, 1/4 cup oil, 10 green chilies, 2 garlic, 1/2 cup green coriander - chopped, salt - as per taste, 1 tablespoon butter, 1 teaspoon mustard</t>
  </si>
  <si>
    <t>"To begin with, heat oil in a pressure cooker. Add mustard seeds and let them crackle. Add green chillies and mix well. After 1 minute add fresh green toor dal and mix well. After 2 to 3 minutes add water as per your requirement (3/4th green dal should be covered with water). Close the cooker and cook till 1 whistle. Let the pressure release automatically. Open the cooker and add salt, coriander, garlic. Mix well and close the cooker. Cook again till 1 whistle. After the pressure is released, open the cooker, add butter and mix well. Serve. Serve Togarikayi Usli with Tomato Onion Sambar, Chow Chow Thoran and Rice for lunch."</t>
  </si>
  <si>
    <t xml:space="preserve">ತೊಗರಿಕಾಯಿ ಉಸಲಿ ರೆಸಿಪಿ ಬನಾನೆಗೆ ಸಬಸೆ ಪಹಳೆ ಎಕ್ ಪ್ರೆಶರ್ ಕುಕರ್ ನಲ್ಲಿ ತೇಲ್ ಗರಂ ಕರ ್ಲೆ. ಇದೇ ರೈ ದಾಲೆ ಮತ್ತು ತಡಕನೆ ದೆ. ಅಬ್ ಇಸ್ಮೇಂ ಹರಿ ಮಿರ್ಚ್ ಡಾಲೆ ಮತ್ತು ಮಿಲಾ ಲೆ. 1 ಮಿನಟ್ ಬಾದ ತಾಜಿ ಹರಿ ತುರ ದಾಲ್ ದಾಲೆ ಮತ್ತು ಮಿಲಾ ಲೆ. 2 ಸೆ 3 ನಿಮಿಷ ಬಾದ ಅಪನೇ ಅನುಸಾರ್ ಪಾನಿ ದಾಲೆ. (3/4 ಹರಿ ದಾಲ್ ಪಾನಿ ಸೆ ಢಕ ಜಾನಿ ಚಾಹಿಯೇ). ಕುಕರ ಕೋ ಬಂದ ಕರೆಂ ಮತ್ತು 1 ಸಿಟಿ ಆನೆ ತಕ ಪಕ ಲೆ. ಪ್ರೇಷರ್ ಅಪನೇ ಆಪ ನಿಕಲನೇ ದೇ. ಕುಕರ ಖೋಲೆ ಮತ್ತು ಉಸಮೇ ನಮಕ್, ಧನಿಯಾ, ಲಹಸುನ್ ದಾಲೆ. ಮಿಲಾಯೆ ಮತ್ತು ಕುಕರ ಬಂದ ಕರಲೆ. 1 ಸಿಟಿ ಆನೆ ತಕ್ ಫಿರ್ ಸೆ ಪಕಾಎ.  ಪ್ರೆಶರ್ ನಿಕಲನೆ ಕೆ ಬಾದ, ಕುಕರ ಖೋಲೆ, ಮಖ್ಖನ್ ದಾಲೆ ಮತ್ತು ಅಚ್ಛಿ ತರಹ ಸೆ ಮಿಲಾ ಲೆ. ಪರೋಸ್. ತೊಗರಿಕಾಯಿ ಉಸಲಿ ಕೋ ಟಮಾಟರ್ ಪ್ಯಾಜ್ ಸಾಂಬರ್, ಚೌ ಚಾವು ಥೋರನ್ ಹಾಗೂ ಚಾವಲ್‌ಗೆ ಸಂಬಂಧಿಸಿದ ವಿಷಯಗಳು ಪರೋಸ್.
</t>
  </si>
  <si>
    <t>http://www.archanaskitchen.com/togarikaayi-usli-recipe-green-pigeon-peas-in-hindi</t>
  </si>
  <si>
    <t>Karnataka Style Badanekai Yennegai Gojju Recipe (Stuffed Brinjal Recipe)</t>
  </si>
  <si>
    <t>ಕರ್ನಾಟಕ ಶೈಲಿಯ ಬದನೆಕಾಯಿ ಯೆನ್ನೆಗೈ ಗೊಜ್ಜು ರೆಸಿಪಿ (ಸ್ಟಫ್ಡ್ ಬದನೆಕಾಯಿ ರೆಸಿಪಿ)</t>
  </si>
  <si>
    <t>6 ಸಣ್ಣ ಬದನೆಕಾಯಿ (ಬೈಂಗನ್ / ಬದನೆ) - ಚತುರ್ಭುಜ, 1 ಈರುಳ್ಳಿ - ಹೋಳು, 1 ಟೀಚಮಚ ಸಾಸಿವೆ, ಸೂರ್ಯಕಾಂತಿ ಎಣ್ಣೆ - ಅಡುಗೆಗೆ ಎಣ್ಣೆ, ಉಪ್ಪು - ರುಚಿಗೆ ಉಪ್ಪು, 2 ಕೊತ್ತಂಬರಿ ಸೊಪ್ಪು (ಧನಿಯಾ) ಎಲೆಗಳು, 1 ಕಪ್ ಮುತ್ತು ಈರುಳ್ಳಿ (ಸಾಂಬಾರ್ ಈರುಳ್ಳಿ), 3 ಚಮಚ ಕಾಳೇಕಾಯಿ, 1 ಚಮಚ ಲವಂಗ (ಲಾಂಗ್), 1 ಇಂಚಿನ ದಾಲ್ಚಿನ್ನಿ ಕಡ್ಡಿ (ದಾಲ್ಚಿನಿ), 4 ಒಣ ಕೆಂಪು ಮೆಣಸಿನಕಾಯಿಗಳು, 2 ಟೀ ಚಮಚ ಎಳ್ಳು (ಟಿಲ್ ಬೀಜಗಳು), 2 ಚಮಚ ಕೊತ್ತಂಬರಿ (ಧನಿಯಾ) ಬೀಜಗಳು, 1 ಚಮಚ ಗಸಗಸೆ, 1 ಚಮಚ ಹಸಿ ಕಡಲೆಕಾಯಿ (ಮೂಂಗ್‌ಫಾಲಿ), 2 ಚಮಚ ತಾಜಾ ತೆಂಗಿನಕಾಯಿ - ತುರಿದ, 18 ಗ್ರಾಂ ಹುಣಸೆಹಣ್ಣು, 1 ಚಮಚ ಬೆಲ್ಲ, 1 ಚಮಚ ಬೆಲ್ಲ.</t>
  </si>
  <si>
    <t>6 Small Brinjal (Baingan / Eggplant) - quatered,1 Onion - sliced,1 teaspoon Mustard seeds,Sunflower Oil - Oil for cooking,Salt - Salt to taste,2 sprig Coriander (Dhania) Leaves,1 cup Pearl onions (Sambar Onions),1 teaspoon Kala jeera,3 cloves Ajwain (Carom seeds),3 Cloves (Laung),1 inch Cinnamon Stick (Dalchini),4 Dry Red Chillies,2 teaspoon Sesame seeds (Til seeds),2 teaspoon Coriander (Dhania) Seeds,1 tablespoon Poppy seeds,1 tablespoon Raw Peanuts (Moongphali),2 tablespoon Fresh coconut - grated,18 grams Tamarind,1 teaspoon Jaggery - powdered,18 grams Tamarind</t>
  </si>
  <si>
    <t xml:space="preserve">We begin making the Karnataka Style Badanekai Yennegai Gojju Recipe (Stuffed Brinjal Recipe) by dry roasting the ingredients like jeera seeds, coriander seeds, peanuts, dry red chillies, poppy seeds, cloves and cinnamon stick.Add all these roasted ingredients into a grinder along with coconut, pearl onions, tamarind and jaggery into a nice smooth paste. You can add little water while grinding but not a lot.Now Stuff the ground masala mixture into the brinjal and keep it aside. Keep the leftover masala also to add it into the gravy.Heat a pressure cooker with oil on a medium heat, crackle some mustard seeds and sliced onions and fry them till the onions become translucent.Then add these stuffed brinjals and fry them well till it becomes soft. Move them carefully without breaking them. You can cover and cook it as well.Once the brinjal is half cooked, add the remaining masala with 1/2 cup water and cook on a medium heat. Cook for about 2 whistle. Release the pressure naturally and then keep sautéing till the masala thickens. Some of the oil oozes out from the side. Once done sprinkle with some chopped coriander leaves and serve.Serve the Karnataka Style Badanekai Yennegai Gojju Recipe (Stuffed Brinjal Recipe) along with Jolada Roti Recipe (Jowar Bhakri) and Nuggekai Kharbyaali Recipe (North Karnataka Spiced Drumstick Sambar) to go along with some steamed rice.
</t>
  </si>
  <si>
    <t xml:space="preserve">ಜೀರಿಗೆ, ಕೊತ್ತಂಬರಿ, ಶೇಂಗಾ, ಒಣ ಕೆಂಪು ಮೆಣಸಿನಕಾಯಿ, ಗಸಗಸೆ, ಲವಂಗ ಮತ್ತು ದಾಲ್ಚಿನ್ನಿ ಮುಂತಾದ ಪದಾರ್ಥಗಳನ್ನು ಒಣ ಹುರಿದ ಮೂಲಕ ನಾವು ಕರ್ನಾಟಕ ಶೈಲಿಯ ಬದನೆಕಾಯಿ ಯೆನ್ನೆಗೈ ಗೊಜ್ಜು ರೆಸಿಪಿ (ಸ್ಟಫ್ಡ್ ಬದನೆ ರೆಸಿಪಿ) ತಯಾರಿಸಲು ಪ್ರಾರಂಭಿಸುತ್ತೇವೆ. ಅಂಟಿಸಿ. ರುಬ್ಬುವಾಗ ನೀವು ಸ್ವಲ್ಪ ನೀರು ಸೇರಿಸಬಹುದು ಆದರೆ ಹೆಚ್ಚು ಅಲ್ಲ. ಈಗ ನೆಲದ ಮಸಾಲಾ ಮಿಶ್ರಣವನ್ನು ಬದನೆಗೆ ತುಂಬಿಸಿ ಮತ್ತು ಅದನ್ನು ಪಕ್ಕಕ್ಕೆ ಇರಿಸಿ. ಉಳಿದಿರುವ ಮಸಾಲವನ್ನು ಗ್ರೇವಿಗೆ ಸೇರಿಸಲು ಸಹ ಇರಿಸಿಕೊಳ್ಳಿ. ಮಧ್ಯಮ ಉರಿಯಲ್ಲಿ ಎಣ್ಣೆಯೊಂದಿಗೆ ಪ್ರೆಶರ್ ಕುಕ್ಕರ್ ಅನ್ನು ಬಿಸಿ ಮಾಡಿ, ಕೆಲವು ಸಾಸಿವೆ ಮತ್ತು ಕತ್ತರಿಸಿದ ಈರುಳ್ಳಿಯನ್ನು ಸಿಡಿಸಿ ಮತ್ತು ಈರುಳ್ಳಿ ಅರೆಪಾರದರ್ಶಕವಾಗುವವರೆಗೆ ಅವುಗಳನ್ನು ಫ್ರೈ ಮಾಡಿ. ನಂತರ ಈ ಸ್ಟಫ್ಡ್ ಬದನೆಗಳನ್ನು ಸೇರಿಸಿ ಮತ್ತು ಅದು ಮೃದುವಾಗುವವರೆಗೆ ಚೆನ್ನಾಗಿ ಫ್ರೈ ಮಾಡಿ. ಅವುಗಳನ್ನು ಮುರಿಯದೆ ಎಚ್ಚರಿಕೆಯಿಂದ ಸರಿಸಿ. ನೀವು ಅದನ್ನು ಮುಚ್ಚಿ ಮತ್ತು ಬೇಯಿಸಬಹುದು. ಬದನೆ ಅರ್ಧ ಬೇಯಿಸಿದ ನಂತರ, ಉಳಿದ ಮಸಾಲವನ್ನು 1/2 ಕಪ್ ನೀರು ಸೇರಿಸಿ ಮತ್ತು ಮಧ್ಯಮ ಉರಿಯಲ್ಲಿ ಬೇಯಿಸಿ. ಸುಮಾರು 2 ಸೀಟಿಗೆ ಬೇಯಿಸಿ. ನೈಸರ್ಗಿಕವಾಗಿ ಒತ್ತಡವನ್ನು ಬಿಡುಗಡೆ ಮಾಡಿ ಮತ್ತು ನಂತರ ಮಸಾಲಾ ದಪ್ಪವಾಗುವವರೆಗೆ ಹುರಿಯಿರಿ. ಕಡೆಯಿಂದ ಸ್ವಲ್ಪ ಎಣ್ಣೆ ಹೊರಸೂಸುತ್ತದೆ. ಒಮ್ಮೆ ಕತ್ತರಿಸಿದ ಕೊತ್ತಂಬರಿ ಸೊಪ್ಪನ್ನು ಸಿಂಪಡಿಸಿ ಮತ್ತು ಬಡಿಸಿ. ಕರ್ನಾಟಕ ಶೈಲಿಯ ಬದನೆಕಾಯಿ ಯೆನ್ನೆಗೈ ಗೊಜ್ಜು ರೆಸಿಪಿ (ಸ್ಟಫ್ಡ್ ಬದನೆಕಾಯಿ ರೆಸಿಪಿ) ಜೊತೆಗೆ ಜೋಳದ ರೊಟ್ಟಿ ರೆಸಿಪಿ (ಜೋವರ್ ಭಕ್ರಿ) ಮತ್ತು ನುಗ್ಗೆಕಾಯಿ ಖಾರ್ಬಯಾಲಿ ರೆಸಿಪಿ (ಉತ್ತರ ಕರ್ನಾಟಕ ಸಾಂಬಾರ್ ಜೊತೆಗೆ ಸ್ವಲ್ಪ ಮಸಾಲೆ ಹಾಕಿದ ಅನ್ನದೊಂದಿಗೆ) ಬಡಿಸಿ.
</t>
  </si>
  <si>
    <t>http://www.archanaskitchen.com/karnataka-style-badnekeyae-yennagai-gojju-recipe-stuffed-brinjal-recipe</t>
  </si>
  <si>
    <t>Mixed Vegetable Akki Roti Recipe</t>
  </si>
  <si>
    <t>ಮಿಶ್ರ ತರಕಾರಿ ಅಕ್ಕಿ ರೋಟಿ ರೆಸಿಪಿ</t>
  </si>
  <si>
    <t>300 ಗ್ರಾಂ ಅಕ್ಕಿ ಹಿಟ್ಟು, 1 ಕ್ಯಾರೆಟ್ (ಗಜ್ಜರ್) - ತುರಿದ, 1/4 ಕಪ್ ಚಾಯೋಟೆ - ತುರಿದ, 1/4 ಕಪ್ ಸೌತೆಕಾಯಿ - ತುರಿದ, 1/2 ಹಸಿರು ಬೆಲ್ ಪೆಪರ್ (ಕ್ಯಾಪ್ಸಿಕಂ) - ನುಣ್ಣಗೆ ಕತ್ತರಿಸಿದ, 2 ಚಿಗುರು ಕರಿಬೇವಿನ ಎಲೆಗಳು, 1 ಟೊಮೇಟೊ - ಸಣ್ಣ, ಹಸಿರು ಅಮರಂಥ್ ಬೀಜಗಳು - ಸಣ್ಣದಾಗಿ ಕೊಚ್ಚಿದ 2 ಟೀ ಚಮಚ -                                                                                                                                                                                                                                                                              ಜೀರಿಗೆ ಬೀಜಗಳು – 4 ಟೀಸ್ಪೂನ್, 5 ಹಸಿ ಮೆಣಸಿನಕಾಯಿಗೆ - ಅಗತ್ಯವಿರುವಂತೆ</t>
  </si>
  <si>
    <t>300 grams Rice flour,1 Carrot (Gajjar) - grated,1/4 cup Chayote - grated,1/4 cup Cucumber - grated,1/2 Green Bell Pepper (Capsicum) - finely chopped,2 sprig Curry leaves,1 Tomato - small,Green Amaranth Leaves - small bunch finely chopped,2 teaspoons Cumin seeds (Jeera) -                                                                               Cumin seeds – 4 tsp,5 Green Chilli - finely chopped (adjust),Salt - to taste,Sunflower Oil - as needed</t>
  </si>
  <si>
    <t xml:space="preserve">To prepare Mixed Vegetable Akki Roti Recipe, grate or chop all the vegetables required finely.Mix Rice flour, a little oil, vegetables and cumin seeds. No water is needed unless that dough doesn't come together.Knead well until the dough is formed.Oil your hands, pinch out a big lemon sized ball, take a butter paper or thick sheet like a zip lock and apply oil before you place the ball of dough on it.Start making the akki roti by patting with your hands to make a roti flatbread as thin as possible.Heat a roti tawa. Once hot, add a teaspoon of oil to it.Take the akki roti with the butter paper sheet and put it on the pan and leave for a few seconds and gradually lift off the butter paper and removing the roti from it, such that it is transferred to the tawa. This may sound complicated but is easy once you do it.Wait till the mixed vegetable akki roti is done on one side, which takes about a minute on medium high flame. Meanwhile, drizzle a few drops of oil evenly on the exposed side.Flip the mixed vegetable akki roti and let it get cooked for a minute or more. Flip again and wait till done and crisp.You can also place a lid on tawa while the roti is cooking if you want softer roti and not crisper ones. Serve Mixed vegetable Akki roti recipe with a dollop of ghee or butter, or with podis.
</t>
  </si>
  <si>
    <t xml:space="preserve">ಮಿಶ್ರ ತರಕಾರಿ ಅಕ್ಕಿ ರೋಟಿ ರೆಸಿಪಿಯನ್ನು ತಯಾರಿಸಲು, ಅಗತ್ಯವಿರುವ ಎಲ್ಲಾ ತರಕಾರಿಗಳನ್ನು ತುರಿ ಮಾಡಿ ಅಥವಾ ನುಣ್ಣಗೆ ಕತ್ತರಿಸಿ. ಅಕ್ಕಿ ಹಿಟ್ಟು, ಸ್ವಲ್ಪ ಎಣ್ಣೆ, ತರಕಾರಿಗಳು ಮತ್ತು ಜೀರಿಗೆ ಮಿಶ್ರಣ ಮಾಡಿ. ಹಿಟ್ಟು ಒಟ್ಟಿಗೆ ಬರದ ಹೊರತು ನೀರಿನ ಅಗತ್ಯವಿಲ್ಲ. ಹಿಟ್ಟು ರೂಪುಗೊಳ್ಳುವವರೆಗೆ ಚೆನ್ನಾಗಿ ಬೆರೆಸಿಕೊಳ್ಳಿ. ನಿಮ್ಮ ಕೈಗಳಿಗೆ ಎಣ್ಣೆ ಹಾಕಿ, ದೊಡ್ಡ ನಿಂಬೆ ಗಾತ್ರದ ಉಂಡೆಯನ್ನು ಚಿಟಿಕೆ ಮಾಡಿ, ಬಟರ್ ಪೇಪರ್ ಅಥವಾ ಜಿಪ್ ಲಾಕ್‌ನಂತಹ ದಪ್ಪ ಹಾಳೆಯನ್ನು ತೆಗೆದುಕೊಂಡು ನೀವು ಹಿಟ್ಟಿನ ಉಂಡೆಯನ್ನು ಅದರ ಮೇಲೆ ಇಡುವ ಮೊದಲು ಎಣ್ಣೆಯನ್ನು ಹಚ್ಚಿ. ನಿಮ್ಮ ಕೈಗಳಿಂದ ತಟ್ಟಿ ಅಕ್ಕಿ ರೊಟ್ಟಿಯನ್ನು ತಯಾರಿಸಲು ಪ್ರಾರಂಭಿಸಿ. ಬಿಸಿಯಾದ ನಂತರ, ಅದಕ್ಕೆ ಒಂದು ಟೀಚಮಚ ಎಣ್ಣೆಯನ್ನು ಸೇರಿಸಿ. ಬೆಣ್ಣೆ ಕಾಗದದ ಹಾಳೆಯೊಂದಿಗೆ ಅಕ್ಕಿ ರೊಟ್ಟಿಯನ್ನು ತೆಗೆದುಕೊಂಡು ಅದನ್ನು ಪ್ಯಾನ್ ಮೇಲೆ ಇರಿಸಿ ಮತ್ತು ಕೆಲವು ಸೆಕೆಂಡುಗಳ ಕಾಲ ಬಿಡಿ ಮತ್ತು ಕ್ರಮೇಣ ಬಟರ್ ಪೇಪರ್ ಅನ್ನು ಮೇಲಕ್ಕೆತ್ತಿ ಮತ್ತು ಅದರಿಂದ ರೊಟ್ಟಿಯನ್ನು ತೆಗೆದುಹಾಕಿ, ಅದು ತವಾಗೆ ವರ್ಗಾಯಿಸಲ್ಪಡುತ್ತದೆ. ಇದು ಜಟಿಲವಾಗಿದೆ ಎಂದು ಅನಿಸಬಹುದು ಆದರೆ ನೀವು ಇದನ್ನು ಒಮ್ಮೆ ಮಾಡಿದರೆ ಸುಲಭವಾಗಿರುತ್ತದೆ. ಒಂದು ಬದಿಯಲ್ಲಿ ಮಿಶ್ರ ತರಕಾರಿ ಅಕ್ಕಿ ರೊಟ್ಟಿ ಮಾಡುವವರೆಗೆ ಕಾಯಿರಿ, ಇದು ಮಧ್ಯಮ ಉರಿಯಲ್ಲಿ ಸುಮಾರು ಒಂದು ನಿಮಿಷ ತೆಗೆದುಕೊಳ್ಳುತ್ತದೆ. ಏತನ್ಮಧ್ಯೆ, ತೆರೆದಿರುವ ಬದಿಯಲ್ಲಿ ಕೆಲವು ಹನಿಗಳ ಎಣ್ಣೆಯನ್ನು ಸಮವಾಗಿ ಚಿಮುಕಿಸಿ. ಮಿಶ್ರ ತರಕಾರಿ ಅಕ್ಕಿ ರೊಟ್ಟಿಯನ್ನು ತಿರುಗಿಸಿ ಮತ್ತು ಅದನ್ನು ಒಂದು ನಿಮಿಷ ಅಥವಾ ಅದಕ್ಕಿಂತ ಹೆಚ್ಚು ಕಾಲ ಬೇಯಿಸಲು ಬಿಡಿ. ಮತ್ತೊಮ್ಮೆ ಫ್ಲಿಪ್ ಮಾಡಿ ಮತ್ತು ಮುಗಿಯುವವರೆಗೆ ಕಾಯಿರಿ ಮತ್ತು ಗರಿಗರಿಯಾಗುವವರೆಗೆ ಕಾಯಿರಿ. ನೀವು ಮೃದುವಾದ ರೊಟ್ಟಿಯನ್ನು ಬಯಸಿದರೆ ಮತ್ತು ಗರಿಗರಿಯಾದವುಗಳಲ್ಲದಿದ್ದರೆ ರೋಟಿ ಬೇಯಿಸುವಾಗ ನೀವು ತವಾ ಮೇಲೆ ಮುಚ್ಚಳವನ್ನು ಇರಿಸಬಹುದು. ಮಿಶ್ರ ತರಕಾರಿ ಅಕ್ಕಿ ರೋಟಿ ಪಾಕವಿಧಾನವನ್ನು ತುಪ್ಪ ಅಥವಾ ಬೆಣ್ಣೆಯೊಂದಿಗೆ ಅಥವಾ ಪೋಡಿಗಳೊಂದಿಗೆ ಬಡಿಸಿ.
</t>
  </si>
  <si>
    <t>http://www.archanaskitchen.com/mixed-vegetable-akki-roti-recipe</t>
  </si>
  <si>
    <t>Togarikaayi Usli Recipe (Green Pigeon Peas)</t>
  </si>
  <si>
    <t>ತೊಗರಿಕಾಯಿ ಉಸ್ಲಿ ರೆಸಿಪಿ (ಹಸಿರು ಪಾರಿವಾಳ)</t>
  </si>
  <si>
    <t>2 ಕಪ್ ತಾಜಾ ಹಸಿರು ಟೂರ್ ದಾಲ್ (ಪಾರಿವಾಳ ಬಟಾಣಿ), 1/4 ಕಪ್ ಸೂರ್ಯಕಾಂತಿ ಎಣ್ಣೆ, 10 ಹಸಿರು ಮೆಣಸಿನಕಾಯಿಗಳು, 2 ಬೆಳ್ಳುಳ್ಳಿ, 1/2 ಕಪ್ ಕೊತ್ತಂಬರಿ (ಧನಿಯಾ) ಎಲೆಗಳು - ಕತ್ತರಿಸಿದ, ಉಪ್ಪು - ರುಚಿಗೆ, 1 ಚಮಚ ಬೆಣ್ಣೆ (ಉಪ್ಪುರಹಿತ), 1 ಟೀಚಮಚ ಸಾಸಿವೆ</t>
  </si>
  <si>
    <t>2 cups Fresh Green Toor Dal (Pigeon Pea),1/4 cup Sunflower Oil,10 Green Chillies,2 Garlic,1/2 cup Coriander (Dhania) Leaves - chopped,Salt - to taste,1 tablespoon Butter (unsalted),1 teaspoon Mustard seeds</t>
  </si>
  <si>
    <t xml:space="preserve">To begin with the Togarikaayi Usli first, in a  pressure cooker, heat oil. Add mustard seeds to this, let it crackle. Add chopped green chillies and stir it. After a minute add togarikaayi and give it a good stir. Stir it for a couple of minutes and add just enough water to cover 3/4th of togarkaayi. Close the lid and pressure cook it till the cooker lets out one whistle.Once cooled, open the lid. Now add salt, chopped coriander, garlic cloves, and pressure cook it again till the cooker lets out one whistle.Once cooled, open the lid. Switch on the flame and add butter and give it a good stir.Allow the water to evaporate completely and switch off the flame. Serve the Togarikaayi Usli it hot with roti or steamed rice. Usli tastes better the next day, so make more and enjoy the next day as well .
</t>
  </si>
  <si>
    <t xml:space="preserve">ತೊಗರಿಕಾಯಿ ಉಸ್ಲಿಯೊಂದಿಗೆ ಪ್ರಾರಂಭಿಸಲು ಮೊದಲು, ಒತ್ತಡದ ಕುಕ್ಕರ್‌ನಲ್ಲಿ ಎಣ್ಣೆಯನ್ನು ಬಿಸಿ ಮಾಡಿ. ಇದಕ್ಕೆ ಸಾಸಿವೆ ಹಾಕಿ, ಸಿಡಿಯಲು ಬಿಡಿ. ಕತ್ತರಿಸಿದ ಹಸಿರು ಮೆಣಸಿನಕಾಯಿಯನ್ನು ಸೇರಿಸಿ ಮತ್ತು ಬೆರೆಸಿ. ಒಂದು ನಿಮಿಷದ ನಂತರ ತೊಗರಿಕಾಯಿ ಹಾಕಿ ಚೆನ್ನಾಗಿ ಬೆರೆಸಿ. ಇದನ್ನು ಒಂದೆರಡು ನಿಮಿಷಗಳ ಕಾಲ ಬೆರೆಸಿ ಮತ್ತು ತೊಗರುಕಾಯಿಯ 3/4 ನೇ ಭಾಗವನ್ನು ಮುಚ್ಚಲು ಸಾಕಷ್ಟು ನೀರು ಸೇರಿಸಿ. ಮುಚ್ಚಳವನ್ನು ಮುಚ್ಚಿ ಕುಕ್ಕರ್ ಒಂದು ಸೀಟಿ ಹೊರಡುವವರೆಗೆ ಕುಕ್ ಮಾಡಿ. ತಣ್ಣಗಾದ ನಂತರ ಮುಚ್ಚಳವನ್ನು ತೆರೆಯಿರಿ. ಈಗ ಉಪ್ಪು, ಕತ್ತರಿಸಿದ ಕೊತ್ತಂಬರಿ ಸೊಪ್ಪು, ಬೆಳ್ಳುಳ್ಳಿ ಎಸಳು ಸೇರಿಸಿ, ಕುಕ್ಕರ್ ಒಂದು ಸೀಟಿ ಬರುವವರೆಗೆ ಮತ್ತೊಮ್ಮೆ ಕುಕ್ ಮಾಡಿ. ತಣ್ಣಗಾದ ನಂತರ ಮುಚ್ಚಳವನ್ನು ತೆರೆಯಿರಿ. ಉರಿಯನ್ನು ಆನ್ ಮಾಡಿ ಮತ್ತು ಬೆಣ್ಣೆಯನ್ನು ಸೇರಿಸಿ ಮತ್ತು ಅದನ್ನು ಚೆನ್ನಾಗಿ ಬೆರೆಸಿ. ನೀರು ಸಂಪೂರ್ಣವಾಗಿ ಆವಿಯಾಗಲು ಅನುಮತಿಸಿ ಮತ್ತು ಜ್ವಾಲೆಯನ್ನು ಆಫ್ ಮಾಡಿ. ತೊಗರಿಕಾಯಿ ಉಸ್ಲಿಯನ್ನು ರೊಟ್ಟಿ ಅಥವಾ ಬೇಯಿಸಿದ ಅನ್ನದೊಂದಿಗೆ ಬಿಸಿಯಾಗಿ ಬಡಿಸಿ. ಉಸ್ಲಿ ಮರುದಿನ ಉತ್ತಮ ರುಚಿಯನ್ನು ನೀಡುತ್ತದೆ, ಆದ್ದರಿಂದ ಹೆಚ್ಚು ಮಾಡಿ ಮತ್ತು ಮರುದಿನವೂ ಆನಂದಿಸಿ .
</t>
  </si>
  <si>
    <t>https://www.archanaskitchen.com/togarikaayi-usli-recipe-green-pigeon-peas</t>
  </si>
  <si>
    <t>Karnataka Style Bendekayi Gojju - Kayirasa Recipe</t>
  </si>
  <si>
    <t>ಕರ್ನಾಟಕ ಶೈಲಿಯ ಬೆಂಡೆಕಾಯಿ ಗೊಜ್ಜು - ಕಾಯಿರಸ ರೆಸಿಪಿ</t>
  </si>
  <si>
    <t>250 ಗ್ರಾಂ ಭಿಂಡಿ (ಲೇಡಿ ಫಿಂಗರ್/ಬೆಂಡೆಕಾಯಿ) - ತೊಳೆದ, 1/2 ಕಪ್ ತಾಜಾ ತೆಂಗಿನಕಾಯಿ - ತುರಿದ, 4 ಒಣ ಕೆಂಪು ಮೆಣಸಿನಕಾಯಿಗಳು, 1 ಚಮಚ ಬಿಳಿ ಉದ್ದಿನ ಬೇಳೆ (ಒಡೆದ), 1-1/2 ಚಮಚ ಚನಾ ದಾಲ್ (ಬಂಗಾಳ ಬೇಳೆ) - ಹುರಿದ, ಹುಣಸೆಹಣ್ಣು - ದೊಡ್ಡ ನಿಂಬೆ ಗಾತ್ರ, 1-1/2 ಚಮಚ ಕೆಂಪುಮೆಣಸಿನಕಾಯಿ, 2 ಚಮಚ ಬೆಲ್ಲ, ಕೆಲವು ಚಿಗುರುಗಳು, 1 ಚಮಚ ಸೂರ್ಯಕಾಂತಿ ಎಣ್ಣೆ, ಉಪ್ಪು - ರುಚಿಗೆ</t>
  </si>
  <si>
    <t>250 grams Bhindi (Lady Finger/Okra) - washed,1/2 cup Fresh coconut - grated,4 Dry Red Chillies,1 tablespoon White Urad Dal (Split),1-1/2 tablespoon Chana dal (Bengal Gram Dal) - roasted,Tamarind - big lemon size,1-1/2 teaspoon Jaggery,1 teaspoon Mustard seeds,2 Dry Red Chillies,Curry leaves - few sprigs,1 tablespoon Sunflower Oil,Salt - to taste</t>
  </si>
  <si>
    <t xml:space="preserve">To begin making Karnataka Bendekayi Gojju/Kayirasa Recipe first take a pan and keep on heat.On medium flame dry roast the chana dal and urad dal until golden brown. Add the dry red chillies to the pan and saute till crisp. Cool and keep aside.Grind the above roasted dal with coconut, tamarind, jaggery in a mixer grinder to a smooth paste and keep it aside.Heat oil in a heavy bottom pan over medium heat; add mustard seeds and allow it splutter.Add the dry red chillies and curry leaves and give it a stir for a few seconds.Now add the chopped Bendekayi/ Bhindi, sprinkle a little salt and roast until the Bendekayi turns golden brown. Cover the pan with the lid slightly ajar. We keep the lid ajar to prevent the lady finger from getting slimy.Once the Bendekayi soften and is cooked through; stir in the ground Gojju masala, about 2 cups of of water and allow it to simmer on medium flame for about 5 minutes.Check the salt and spices of the Bendekayi Gojju and adjust to taste. Once done, turn off the heat and transfer the Bendekai Gojju/Kayirasa Recipe to a serving bowl and serve hot.Serve Karnataka Style Bendekayi Gojju/Kayirasa with Steamed Rice, Vazhakkai Varuval  and Elai Vadam for a comforting lunch.
</t>
  </si>
  <si>
    <t xml:space="preserve">ಕರ್ನಾಟಕ ಬೆಂಡೆಕಾಯಿ ಗೊಜ್ಜು/ಕಾಯಿರಸ ರೆಸಿಪಿ ತಯಾರಿಸಲು ಪ್ರಾರಂಭಿಸಲು ಮೊದಲು ಪ್ಯಾನ್ ತೆಗೆದುಕೊಂಡು ಬಿಸಿ ಮಾಡಿ. ಮಧ್ಯಮ ಜ್ವಾಲೆಯಲ್ಲಿ ಒಣದ್ರಾಕ್ಷಿ ಮತ್ತು ಉದ್ದಿನ ಬೇಳೆಯನ್ನು ಗೋಲ್ಡನ್ ಬ್ರೌನ್ ರವರೆಗೆ ಹುರಿಯಿರಿ. ಒಣ ಕೆಂಪು ಮೆಣಸಿನಕಾಯಿಯನ್ನು ಬಾಣಲೆಗೆ ಸೇರಿಸಿ ಮತ್ತು ಗರಿಗರಿಯಾಗುವವರೆಗೆ ಹುರಿಯಿರಿ. ತಣ್ಣಗಾಗಿಸಿ ಮತ್ತು ಪಕ್ಕಕ್ಕೆ ಇರಿಸಿ. ಮೇಲೆ ಹುರಿದ ದಾಲ್ ಅನ್ನು ತೆಂಗಿನಕಾಯಿ, ಹುಣಸೆಹಣ್ಣು, ಬೆಲ್ಲವನ್ನು ಮಿಕ್ಸರ್ ಗ್ರೈಂಡರ್ನಲ್ಲಿ ನಯವಾದ ಪೇಸ್ಟ್ಗೆ ಪುಡಿಮಾಡಿ ಮತ್ತು ಅದನ್ನು ಪಕ್ಕಕ್ಕೆ ಇರಿಸಿ. ಮಧ್ಯಮ ಶಾಖದ ಮೇಲೆ ಭಾರೀ ತಳದ ಪ್ಯಾನ್ನಲ್ಲಿ ಎಣ್ಣೆಯನ್ನು ಬಿಸಿ ಮಾಡಿ; ಸಾಸಿವೆ ಕಾಳುಗಳನ್ನು ಸೇರಿಸಿ ಮತ್ತು ಅದನ್ನು ಚೆಲ್ಲಲು ಬಿಡಿ. ಒಣ ಕೆಂಪು ಮೆಣಸಿನಕಾಯಿಗಳು ಮತ್ತು ಕರಿಬೇವಿನ ಎಲೆಗಳನ್ನು ಸೇರಿಸಿ ಮತ್ತು ಕೆಲವು ಸೆಕೆಂಡುಗಳ ಕಾಲ ಅದನ್ನು ಬೆರೆಸಿ. ಈಗ ಕತ್ತರಿಸಿದ ಬೆಂಡೆಕಾಯಿ / ಭಿಂಡಿ ಸೇರಿಸಿ, ಸ್ವಲ್ಪ ಉಪ್ಪು ಸಿಂಪಡಿಸಿ ಮತ್ತು ಬೆಂಡೆಕಾಯಿ ಗೋಲ್ಡನ್ ಬ್ರೌನ್ ಆಗುವವರೆಗೆ ಹುರಿಯಿರಿ. ಪ್ಯಾನ್ ಅನ್ನು ಮುಚ್ಚಳದಿಂದ ಸ್ವಲ್ಪವಾಗಿ ಮುಚ್ಚಿ. ಹೆಂಗಸಿನ ಬೆರಳು ಲೋಳೆಯಾಗದಂತೆ ತಡೆಯಲು ನಾವು ಮುಚ್ಚಳವನ್ನು ಇಡುತ್ತೇವೆ. ಬೆಂಡೆಕಾಯಿ ಮೃದುವಾಗುತ್ತದೆ ಮತ್ತು ಅದನ್ನು ಬೇಯಿಸಲಾಗುತ್ತದೆ; ರುಬ್ಬಿದ ಗೊಜ್ಜು ಮಸಾಲ, ಸುಮಾರು 2 ಕಪ್ ನೀರು ಬೆರೆಸಿ ಮತ್ತು ಮಧ್ಯಮ ಉರಿಯಲ್ಲಿ ಸುಮಾರು 5 ನಿಮಿಷಗಳ ಕಾಲ ತಳಮಳಿಸುತ್ತಿರಲು ಅನುಮತಿಸಿ. ಬೆಂಡೆಕಾಯಿ ಗೊಜ್ಜು ಉಪ್ಪು ಮತ್ತು ಮಸಾಲೆಗಳನ್ನು ಪರಿಶೀಲಿಸಿ ಮತ್ತು ರುಚಿಗೆ ಹೊಂದಿಸಿ. ಒಮ್ಮೆ ಮಾಡಿದ ನಂತರ, ಉರಿಯನ್ನು ಆಫ್ ಮಾಡಿ ಮತ್ತು ಬೆಂಡೆಕಾಯಿ ಗೊಜ್ಜು/ಕಾಯಿರಸ ರೆಸಿಪಿಯನ್ನು ಸರ್ವಿಂಗ್ ಬೌಲ್‌ಗೆ ವರ್ಗಾಯಿಸಿ ಮತ್ತು ಬಿಸಿಯಾಗಿ ಬಡಿಸಿ. ಕರ್ನಾಟಕ ಶೈಲಿಯ ಬೆಂಡೆಕಾಯಿ ಗೊಜ್ಜು/ಕಾಯಿರಸವನ್ನು ಆವಿಯಲ್ಲಿ ಬೇಯಿಸಿದ ಅನ್ನ, ವಜಕ್ಕೈ ವರುವಲ್  ಮತ್ತು ಎಲೈ ವಡಮ್ ನೊಂದಿಗೆ ಸಮಾಧಾನಕರ ಊಟಕ್ಕೆ ಬಡಿಸಿ.
</t>
  </si>
  <si>
    <t>http://www.archanaskitchen.com/bendekayi-gojju-recipe-karnataka-style-okra-in-coconut-gravy</t>
  </si>
  <si>
    <t>Jolada Ganji Recipe (Jowar Savoury Porridge)</t>
  </si>
  <si>
    <t>ಜೋಳದ ಗಂಜಿ ಪಾಕವಿಧಾನ (ಜೋವರ್ ಖಾರದ ಗಂಜಿ)</t>
  </si>
  <si>
    <t>1/2 ಕಪ್ ಜೋಳದ ಹಿಟ್ಟು (ಬೇಳೆ), 1-1/2 ಕಪ್ ನೀರು - ಅಥವಾ ಮಜ್ಜಿಗೆ, 1 ಚಮಚ ನಿಂಬೆ ರಸ - (ನೀವು ಮಜ್ಜಿಗೆ ಬಳಸುತ್ತಿದ್ದರೆ ಬಿಟ್ಟುಬಿಡಿ), ಉಪ್ಪು - ರುಚಿಗೆ, 1 ಚಮಚ ಸೂರ್ಯಕಾಂತಿ ಎಣ್ಣೆ, 1 ಟೀಚಮಚ ಸಾಸಿವೆ, 1/2 ಟೀಚಮಚ ಕಪ್ಪು ಉದ್ದಿನ ಬೇಳೆ (ಒಡೆ), 3 ಹಸಿರು ಮೆಣಸಿನಕಾಯಿ - ಸಣ್ಣದಾಗಿ ಕೊಚ್ಚಿದ ಈರುಳ್ಳಿ - 1 ಸಣ್ಣದಾಗಿ ಕೊಚ್ಚಿದ ಈರುಳ್ಳಿ, 1 ಈರುಳ್ಳಿ ಸರಿಸುಮಾರು ಹರಿದ</t>
  </si>
  <si>
    <t>1/2 cup Jowar Flour (Sorghum),1-1/2 cup Water - or buttermilk,1 teaspoon Lemon juice - (skip if you are using buttermilk),Salt - to taste,1 tablespoon Sunflower Oil,1 teaspoon Mustard seeds,1/2 teaspoon Black Urad Dal (Split),3 Green Chillies - finely chopped,1 Onion - finely chopped,1 sprig Curry leaves - roughly torn</t>
  </si>
  <si>
    <t xml:space="preserve">To begin making the Jolada Ganji recipe, In a mixing bowl, add the jowar flour, salt and water or thin buttermilk.Mix well without any lumps. Heat a heavy bottomed kadai or pan with oil and temper with ingredients given under ' to temper'.Once tempered, add the jowar flour mixture and keep stirring over low flame. The mixture will thicken and turn glossy. Switch off.Serve Jolada Ganji along with Mixed Vegetable Sambar for a weekday dinner.
</t>
  </si>
  <si>
    <t xml:space="preserve">ಜೋಳದ ಗಂಜಿ ಪಾಕವಿಧಾನವನ್ನು ತಯಾರಿಸಲು ಪ್ರಾರಂಭಿಸಲು, ಮಿಶ್ರಣ ಬಟ್ಟಲಿನಲ್ಲಿ, ಜೋಳದ ಹಿಟ್ಟು, ಉಪ್ಪು ಮತ್ತು ನೀರು ಅಥವಾ ತೆಳುವಾದ ಮಜ್ಜಿಗೆ ಸೇರಿಸಿ. ಯಾವುದೇ ಉಂಡೆಗಳಿಲ್ಲದೆ ಚೆನ್ನಾಗಿ ಮಿಶ್ರಣ ಮಾಡಿ. ಭಾರವಾದ ತಳವಿರುವ ಕಡಾಯಿ ಅಥವಾ ಪ್ಯಾನ್ ಅನ್ನು ಎಣ್ಣೆಯಿಂದ ಬಿಸಿ ಮಾಡಿ ಮತ್ತು 'ಟಂಪರ್' ಅಡಿಯಲ್ಲಿ ನೀಡಲಾದ ಪದಾರ್ಥಗಳೊಂದಿಗೆ ಹದಗೊಳಿಸಿ. ಒಮ್ಮೆ ಹದಗೊಳಿಸಿದ ನಂತರ, ಜೋಳದ ಹಿಟ್ಟಿನ ಮಿಶ್ರಣವನ್ನು ಸೇರಿಸಿ ಮತ್ತು ಕಡಿಮೆ ಉರಿಯಲ್ಲಿ ಬೆರೆಸಿ. ಮಿಶ್ರಣವು ದಪ್ಪವಾಗುತ್ತದೆ ಮತ್ತು ಹೊಳಪು ಆಗುತ್ತದೆ. ಸ್ವಿಚ್ ಆಫ್ ಮಾಡಿ. ವಾರದ ದಿನದ ಭೋಜನಕ್ಕೆ ಮಿಶ್ರ ತರಕಾರಿ ಸಾಂಬಾರ್ ಜೊತೆಗೆ ಜೋಳದ ಗಂಜಿಯನ್ನು ಬಡಿಸಿ.
</t>
  </si>
  <si>
    <t>https://www.archanaskitchen.com/jolada-mudde-recipe</t>
  </si>
  <si>
    <t>Menthya Jolada Mudde Recipe - Methi &amp; Jowar Balls Recipe</t>
  </si>
  <si>
    <t>ಮೆಂತ್ಯ ಜೋಳದ ಮುದ್ದೆ ರೆಸಿಪಿ - ಮೇತಿ ಮತ್ತು ಜೋಳದ ಚೆಂಡುಗಳ ರೆಸಿಪಿ</t>
  </si>
  <si>
    <t>1 ಕಪ್ ಜೋಳದ ಹಿಟ್ಟು (ಬೇಳೆ), 1 ಕಪ್ ಮೇಥಿ ಎಲೆಗಳು (ಮೆಂತ್ಯ ಎಲೆಗಳು) - ಸಣ್ಣದಾಗಿ ಕೊಚ್ಚಿದ, 1 ಚಮಚ ಉಪ್ಪು, 2 ಟೀ ಚಮಚ ಸೂರ್ಯಕಾಂತಿ ಎಣ್ಣೆ, 1 ಕಪ್ ನೀರು - ಮತ್ತು ಕೆಲವು ಚಮಚ ಹೆಚ್ಚು, 1 ಚಮಚ ತುಪ್ಪ</t>
  </si>
  <si>
    <t>1 cup Jowar Flour (Sorghum),1 cup Methi Leaves (Fenugreek Leaves) - finely chopped,1 teaspoon Salt,2 teaspoons Sunflower Oil,1 cup Water - and few tablespoons more,1 teaspoon Ghee</t>
  </si>
  <si>
    <t xml:space="preserve">To begin making the Menthya Jolada Mudde Recipe - Methi &amp; Jowar Balls Recipe, in a deep bottom saucepan, boil water. When the water starts to boil, add salt and oil and mix well.Now add the jowar flour to the boiling water, cover and let it simmer for about 2 minutes.After 2 minutes using a strong wooden ladle, mix the flour from the middle vigorously until no lumps are left and continue to cook for about a minute.Add finely chopped fenugreek leaves and mix. Keep mixing for about 3-4 minutes till the mixture forms a lump.You’ll know it’s cooked with you touch the mudde mix it should not stick to your fingers.Once done turn off the heat, cover and leave it for a minute.Grease a clean dry plate with ghee. Grease your palm with ghee and transfer a few spoons of the mix on to the plate and start mixing and bringing the ball together until you get a smooth ball and serve. Repeat for all the Menthya Jolada Mudde mix.Serve Menthya Jolada Mudde Recipe - Methi &amp; Jowar Balls Recipe hot immediately with Maavinkaayi Gojju or Palak pappu (Spinach Dal) Recipe or mutton curry and Aralu Sandige Recipe.
</t>
  </si>
  <si>
    <t xml:space="preserve">ಮೆಂತ್ಯ ಜೋಳದ ಮುದ್ದೆ ರೆಸಿಪಿ - ಮೇಥಿ ಮತ್ತು ಜೋಳದ ಚೆಂಡುಗಳ ರೆಸಿಪಿಯನ್ನು ತಯಾರಿಸಲು ಪ್ರಾರಂಭಿಸಲು, ಆಳವಾದ ತಳವಿರುವ ಬಾಣಲೆಯಲ್ಲಿ ನೀರನ್ನು ಕುದಿಸಿ. ನೀರು ಕುದಿಯಲು ಪ್ರಾರಂಭಿಸಿದಾಗ, ಉಪ್ಪು ಮತ್ತು ಎಣ್ಣೆಯನ್ನು ಸೇರಿಸಿ ಮತ್ತು ಚೆನ್ನಾಗಿ ಮಿಶ್ರಣ ಮಾಡಿ. ಈಗ ಕುದಿಯುವ ನೀರಿಗೆ ಜೋಳದ ಹಿಟ್ಟನ್ನು ಸೇರಿಸಿ, ಮುಚ್ಚಿ ಮತ್ತು ಸುಮಾರು 2 ನಿಮಿಷಗಳ ಕಾಲ ಕುದಿಸಲು ಬಿಡಿ. 2 ನಿಮಿಷಗಳ ನಂತರ ಬಲವಾದ ಮರದ ಕುಂಜವನ್ನು ಬಳಸಿ, ಯಾವುದೇ ಉಂಡೆಗಳು ಉಳಿಯದಂತೆ ಮಧ್ಯದಿಂದ ಹಿಟ್ಟನ್ನು ಬಲವಾಗಿ ಮಿಶ್ರಣ ಮಾಡಿ ಮತ್ತು ಸುಮಾರು ಒಂದು ನಿಮಿಷ ಬೇಯಿಸಿ. ಮಿಶ್ರಣವು ಉಂಡೆಯಾಗುವವರೆಗೆ ಸುಮಾರು 3-4 ನಿಮಿಷಗಳ ಕಾಲ ಮಿಶ್ರಣ ಮಾಡಿ. ನೀವು ಮುದ್ದೆ ಮಿಶ್ರಣವನ್ನು ಸ್ಪರ್ಶಿಸಿದಾಗ ಅದು ಬೇಯಿಸಿದಾಗ ಅದು ನಿಮ್ಮ ಬೆರಳುಗಳಿಗೆ ಅಂಟಿಕೊಳ್ಳಬಾರದು ಎಂದು ನಿಮಗೆ ತಿಳಿಯುತ್ತದೆ. ಒಮ್ಮೆ ಉರಿಯನ್ನು ಆಫ್ ಮಾಡಿ, ಮುಚ್ಚಿ ಮತ್ತು ಒಂದು ನಿಮಿಷ ಅದನ್ನು ಬಿಡಿ. ಒಂದು ಕ್ಲೀನ್ ಡ್ರೈ ಪ್ಲೇಟ್ ಅನ್ನು ತುಪ್ಪದೊಂದಿಗೆ ಗ್ರೀಸ್ ಮಾಡಿ. ನಿಮ್ಮ ಅಂಗೈಯನ್ನು ತುಪ್ಪದಿಂದ ಗ್ರೀಸ್ ಮಾಡಿ ಮತ್ತು ಮಿಶ್ರಣದ ಕೆಲವು ಸ್ಪೂನ್‌ಗಳನ್ನು ಪ್ಲೇಟ್‌ಗೆ ವರ್ಗಾಯಿಸಿ ಮತ್ತು ನೀವು ನಯವಾದ ಚೆಂಡನ್ನು ಪಡೆಯುವವರೆಗೆ ಮತ್ತು ಚೆಂಡನ್ನು ಒಟ್ಟಿಗೆ ತರಲು ಪ್ರಾರಂಭಿಸಿ. ಎಲ್ಲಾ ಮೆಂತ್ಯ ಜೋಳದ ಮುದ್ದೆ ಮಿಶ್ರಣವನ್ನು ಪುನರಾವರ್ತಿಸಿ. ಮೆಂತ್ಯ ಜೋಳದ ಮುದ್ದೆ ರೆಸಿಪಿ - ಮೇತಿ ಮತ್ತು ಜೋಳದ ಚೆಂಡುಗಳ ಪಾಕವಿಧಾನವನ್ನು ಮಾವಿನಕಾಯಿ ಗೊಜ್ಜು ಅಥವಾ ಪಾಲಕ್ ಪಪ್ಪು (ಪಾಲಕ್ ದಾಲ್) ರೆಸಿಪಿ ಅಥವಾ ಮಟನ್ ಕರಿ ಮತ್ತು ಅರಳು ಸಂಡಿಗೆ ರೆಸಿಪಿಯೊಂದಿಗೆ ತಕ್ಷಣವೇ ಬಿಸಿ ಮಾಡಿ.
</t>
  </si>
  <si>
    <t>http://www.archanaskitchen.com/menthya-jolada-mudde-recipe-methi-jowar-balls-recipe</t>
  </si>
  <si>
    <t>Uchellu Chutney Recipe</t>
  </si>
  <si>
    <t>ಉಚ್ಚೆಲು ಚಟ್ನಿ ರೆಸಿಪಿ</t>
  </si>
  <si>
    <t>3 ಟೇಬಲ್ಸ್ಪೂನ್ ಕಲಾಜೀರ, 1/4 ಕಪ್ ತಾಜಾ ತೆಂಗಿನಕಾಯಿ - ತುರಿದ, 2 ರಿಂದ 3 ಒಣ ಕೆಂಪು ಮೆಣಸಿನಕಾಯಿಗಳು, 2 ರಿಂದ 3 ಲವಂಗ ಬೆಳ್ಳುಳ್ಳಿ, 1/4 ಕಪ್ ಕೊತ್ತಂಬರಿ (ಧನಿಯಾ) ಎಲೆಗಳು - ಕತ್ತರಿಸಿದ, ಚಿಟಿಕೆ ಸಕ್ಕರೆ, ಉಪ್ಪು - ರುಚಿಗೆ, 1 ಟೀಚಮಚ ಎಳ್ಳು (ಶುಂಠಿ) ಎಣ್ಣೆ, 1/2 ಟೀಚಮಚ ಕೆಂಪು ಮೆಣಸಿನಕಾಯಿಗಳು, 2 ಚಮಚ ಮೆಣಸಿನಕಾಯಿಗಳು, 5 ಚಮಚ</t>
  </si>
  <si>
    <t>3 tablespoons Kala jeera,1/4 cup Fresh coconut - grated,2 to 3 Dry Red Chillies,2 to 3 cloves Garlic,1/4 cup Coriander (Dhania) Leaves - chopped,pinch Sugar,Salt - to taste,1 teaspoon Sesame (Gingelly) Oil,1/2 teaspoon Mustard seeds,5 to 6 Curry leaves,2 Dry Red Chillies</t>
  </si>
  <si>
    <t xml:space="preserve">To begin making the Uchellu Chutney Recipe, first dry roast the Uchellu (kala jeera seeds) in a pan on a medium-low heat for a minute. Continuously toss them to avoid them from burning.Set the pan aside to cool for a while before using in the chutney.Next, all the ingredients for the chutney into a blender and blend till smooth, with just a dash of water. The chutney should be well ground, but with texture and thickness. You are not looking for a runny chutney here.Transfer the chutney from the grinder jar into a bowl.Place a Tadka Ladle on a low heat. Add oil into it for tempering. Allow the oil to warm, and then add mustard seeds to crackle.Next, add curry leaves and red chillies and let it crisp up and sputter. Pour the tempering over the chutney and serve the Uchellu Chutney along with jowar roti, akki rotti, kadubu or chapatis. 
</t>
  </si>
  <si>
    <t xml:space="preserve">ಉಚ್ಚೆಲು ಚಟ್ನಿ ಪಾಕವಿಧಾನವನ್ನು ತಯಾರಿಸಲು ಪ್ರಾರಂಭಿಸಲು, ಮೊದಲು ಉಚೆಲ್ಲು (ಕಾಲ ಜೀರಾ ಬೀಜಗಳು) ಅನ್ನು ಒಂದು ಪ್ಯಾನ್‌ನಲ್ಲಿ ಮಧ್ಯಮ-ಕಡಿಮೆ ಶಾಖದಲ್ಲಿ ಒಂದು ನಿಮಿಷಕ್ಕೆ ಒಣಗಿಸಿ. ಅವುಗಳನ್ನು ಸುಡುವುದನ್ನು ತಪ್ಪಿಸಲು ಅವುಗಳನ್ನು ನಿರಂತರವಾಗಿ ಟಾಸ್ ಮಾಡಿ. ಚಟ್ನಿಯಲ್ಲಿ ಬಳಸುವ ಮೊದಲು ಸ್ವಲ್ಪ ಸಮಯದವರೆಗೆ ತಣ್ಣಗಾಗಲು ಪ್ಯಾನ್ ಅನ್ನು ಪಕ್ಕಕ್ಕೆ ಇರಿಸಿ. ಮುಂದೆ, ಚಟ್ನಿಗೆ ಎಲ್ಲಾ ಪದಾರ್ಥಗಳನ್ನು ಬ್ಲೆಂಡರ್ ಆಗಿ ಮತ್ತು ನಯವಾದ ತನಕ ಮಿಶ್ರಣ ಮಾಡಿ, ಕೇವಲ ಒಂದು ಡ್ಯಾಶ್ ನೀರಿನಿಂದ. ಚಟ್ನಿ ಚೆನ್ನಾಗಿ ನೆಲವಾಗಿರಬೇಕು, ಆದರೆ ವಿನ್ಯಾಸ ಮತ್ತು ದಪ್ಪವಾಗಿರಬೇಕು. ನೀವು ಇಲ್ಲಿ ಸ್ರವಿಸುವ ಚಟ್ನಿಯನ್ನು ಹುಡುಕುತ್ತಿಲ್ಲ. ಚಟ್ನಿಯನ್ನು ಗ್ರೈಂಡರ್ ಜಾರ್‌ನಿಂದ ಬೌಲ್‌ಗೆ ವರ್ಗಾಯಿಸಿ. ಕಡಿಮೆ ಉರಿಯಲ್ಲಿ ತಡ್ಕಾ ಲಾಡಲ್ ಅನ್ನು ಇರಿಸಿ. ಹದಗೊಳಿಸಲು ಎಣ್ಣೆಯನ್ನು ಅದರಲ್ಲಿ ಸೇರಿಸಿ. ಎಣ್ಣೆಯನ್ನು ಬೆಚ್ಚಗಾಗಲು ಅನುಮತಿಸಿ, ತದನಂತರ ಸಾಸಿವೆ ಕಾಳುಗಳನ್ನು ಕ್ರ್ಯಾಕಲ್ ಮಾಡಲು ಸೇರಿಸಿ. ಮುಂದೆ, ಕರಿಬೇವಿನ ಎಲೆಗಳು ಮತ್ತು ಕೆಂಪು ಮೆಣಸಿನಕಾಯಿಗಳನ್ನು ಸೇರಿಸಿ ಮತ್ತು ಅದನ್ನು ಗರಿಗರಿಯಾದ ಮತ್ತು ಚೆಲ್ಲಲು ಬಿಡಿ. ಚಟ್ನಿಯ ಮೇಲೆ ಹದಗೊಳಿಸುವಿಕೆಯನ್ನು ಸುರಿಯಿರಿ ಮತ್ತು ಜೋಳದ ರೊಟ್ಟಿ, ಅಕ್ಕಿ ರೊಟ್ಟಿ, ಕಡುಬು ಅಥವಾ ಚಪಾತಿಗಳೊಂದಿಗೆ ಉಚ್ಚೆಲು ಚಟ್ನಿಯನ್ನು ಬಡಿಸಿ. 
</t>
  </si>
  <si>
    <t>https://www.archanaskitchen.com/uchellu-chutney-recipe-niger-seeds-chutney</t>
  </si>
  <si>
    <t>Aavryachi Bhaji-Avarakkai Poriyal Recipe-Broad Beans Stir Fry</t>
  </si>
  <si>
    <t>ಆವ್ರ್ಯಾಚಿ ಭಾಜಿ-ಅವರಕ್ಕೈ ಪೊರಿಯಾಲ್ ರೆಸಿಪಿ-ಬ್ರಾಡ್ ಬೀನ್ಸ್ ಸ್ಟಿರ್ ಫ್ರೈ</t>
  </si>
  <si>
    <t>3 ಕಪ್ ಅವರೆಕಾಯಿ (ಬ್ರಾಡ್ ಬೀನ್ಸ್) - ಕತ್ತರಿಸಿದ, 1 ಈರುಳ್ಳಿ - ಕತ್ತರಿಸಿದ, 2 ಚಮಚ ತಾಜಾ ತೆಂಗಿನಕಾಯಿ - ತುರಿದ, 1 ಹಸಿರು ಮೆಣಸಿನಕಾಯಿ - ನುಣ್ಣಗೆ ಕತ್ತರಿಸಿದ, 1 ಚಮಚ ಬೆಲ್ಲ - ತುರಿದ, 1 ಚಿಟಿಕೆ ಇಂಗು (ಹಿಂಗ್), 1 ಚಮಚ ಸೂರ್ಯಕಾಂತಿ ಎಣ್ಣೆ, ಉಪ್ಪು - ರುಚಿಗೆ</t>
  </si>
  <si>
    <t>3 cups Avarekai (Broad Beans) - chopped,1 Onion - chopped,2 tablespoons Fresh coconut - grated,1 Green Chilli - finely chopped,1 teaspoon Jaggery - grated,1 pinch Asafoetida (hing),1 teaspoon Sunflower Oil,Salt - to taste</t>
  </si>
  <si>
    <t xml:space="preserve">To begin making the Aavryachi Bhaji/ Avarakkai Poriyal, we will first steam the beans in a steamer. Place the cut beans in the steamer and cook until it is cooked, about 5 minutes.The next step is to stir fry the beans.Heat oil in a kadai or a heavy bottomed pan. Add onion and sauté till onion turns pinkish and translucent.Once the onions have softened, add the green chilies, steamed beans, the coconut, jaggery, salt and asafoetida. Stir well until all the ingredients come together for just about 2 minutes and turn off the heat. Check the salt and adjust to suit your taste.Serve Aavryachi Bhaji or Avarakkai Poriyal simple stir-fry with Mixed Vegetable Sambar and Rice along with a dollop of ghee, for a wholesome lunch or dinner.
</t>
  </si>
  <si>
    <t xml:space="preserve">ಆವ್ರ್ಯಾಚಿ ಭಾಜಿ/ಅವರಕ್ಕೈ ಪೊರಿಯಾಲ್ ಅನ್ನು ತಯಾರಿಸಲು ಪ್ರಾರಂಭಿಸಲು, ನಾವು ಮೊದಲು ಬೀನ್ಸ್ ಅನ್ನು ಸ್ಟೀಮರ್‌ನಲ್ಲಿ ಸ್ಟೀಮ್ ಮಾಡುತ್ತೇವೆ. ಕತ್ತರಿಸಿದ ಬೀನ್ಸ್ ಅನ್ನು ಸ್ಟೀಮರ್‌ನಲ್ಲಿ ಇರಿಸಿ ಮತ್ತು ಅದು ಬೇಯಿಸುವವರೆಗೆ ಬೇಯಿಸಿ, ಸುಮಾರು 5 ನಿಮಿಷಗಳು. ಮುಂದಿನ ಹಂತವೆಂದರೆ ಬೀನ್ಸ್ ಅನ್ನು ಹುರಿಯುವುದು. ಕಡಾಯಿ ಅಥವಾ ದಪ್ಪ ತಳವಿರುವ ಪ್ಯಾನ್‌ನಲ್ಲಿ ಎಣ್ಣೆಯನ್ನು ಬಿಸಿ ಮಾಡಿ. ಈರುಳ್ಳಿಯನ್ನು ಸೇರಿಸಿ ಮತ್ತು ಈರುಳ್ಳಿ ಗುಲಾಬಿ ಮತ್ತು ಅರೆಪಾರದರ್ಶಕವಾಗುವವರೆಗೆ ಹುರಿಯಿರಿ. ಈರುಳ್ಳಿ ಮೃದುವಾದ ನಂತರ, ಹಸಿರು ಮೆಣಸಿನಕಾಯಿಗಳು, ಆವಿಯಲ್ಲಿ ಬೇಯಿಸಿದ ಬೀನ್ಸ್, ತೆಂಗಿನಕಾಯಿ, ಬೆಲ್ಲ, ಉಪ್ಪು ಮತ್ತು ಇಂಗು ಸೇರಿಸಿ. ಎಲ್ಲಾ ಪದಾರ್ಥಗಳು ಕೇವಲ 2 ನಿಮಿಷಗಳ ಕಾಲ ಒಟ್ಟಿಗೆ ಬರುವವರೆಗೆ ಚೆನ್ನಾಗಿ ಬೆರೆಸಿ ಮತ್ತು ಶಾಖವನ್ನು ಆಫ್ ಮಾಡಿ. ಉಪ್ಪನ್ನು ಪರಿಶೀಲಿಸಿ ಮತ್ತು ನಿಮ್ಮ ರುಚಿಗೆ ಸರಿಹೊಂದುವಂತೆ ಹೊಂದಿಸಿ. ಆರೋಗ್ಯಕರವಾದ ಊಟಕ್ಕೆ ಅಥವಾ ರಾತ್ರಿಯ ಊಟಕ್ಕೆ ಮಿಶ್ರಿತ ತರಕಾರಿ ಸಾಂಬಾರ್ ಮತ್ತು ಅನ್ನದೊಂದಿಗೆ ಆವ್ರ್ಯಾಚಿ ಭಾಜಿ ಅಥವಾ ಅವರಕ್ಕೈ ಪೊರಿಯಾಲ್ ಅನ್ನು ಸರಳವಾಗಿ ಹುರಿಯಿರಿ.
</t>
  </si>
  <si>
    <t>https://www.archanaskitchen.com/aavryachi-bhaji-avarakkai-poriyal-broad-beans-stir-fry-recipe</t>
  </si>
  <si>
    <t>Karnataka Style Menthe Kadubu Recipe (Fenugreek Leaves Wheat Dumpling Recipe)</t>
  </si>
  <si>
    <t>ಕರ್ನಾಟಕ ಸ್ಟೈಲ್ ಮೆಂತೆ ಕಡುಬು ರೆಸಿಪಿ (ಮೆಂತ್ಯ ಎಲೆಗಳ ಗೋಧಿ ಡಂಪ್ಲಿಂಗ್ ರೆಸಿಪಿ)</t>
  </si>
  <si>
    <t>1/2 ಕಪ್ ಸಂಪೂರ್ಣ ಗೋಧಿ ಹಿಟ್ಟು, 1 ಟೀಚಮಚ ಕೆಂಪು ಮೆಣಸಿನ ಪುಡಿ, 1/2 ಟೀಚಮಚ ಅರಿಶಿನ ಪುಡಿ (ಹಲ್ದಿ), 1 ಟೀಚಮಚ ಅಜ್ವೈನ್ (ಕೇರಂ ಬೀಜಗಳು), 1 ಚಮಚ ಉಪ್ಪು, 1 ಕಪ್ ಮೇಥಿ ಎಲೆಗಳು (ಮೆಂತ್ಯ ಎಲೆಗಳು), 1 ಈರುಳ್ಳಿ - ಸಣ್ಣದಾಗಿ ಕೊಚ್ಚಿದ, 1 ಟೀಚಮಚ ಜೀರಿಗೆ (ಜೀರಾ), 1 ಟೀಚಮಚ ಕೆಂಪು ಸಾಸಿವೆ ಪುಡಿ, 1 ಟೀಸ್ಪೂನ್. (ಹಲ್ಡಿ), ಉಪ್ಪು - ರುಚಿಗೆ, ಸೂರ್ಯಕಾಂತಿ ಎಣ್ಣೆ - ಅಡುಗೆಗಾಗಿ</t>
  </si>
  <si>
    <t>1/2 cup Whole Wheat Flour,1 teaspoon Red Chilli powder,1/2 teaspoon Turmeric powder (Haldi),1 teaspoon Ajwain (Carom seeds),1 teaspoon Salt,1 cup Methi Leaves (Fenugreek Leaves),1 Onion - finely chopped,1 teaspoon Cumin seeds (Jeera),1 teaspoon Mustard seeds,1 teaspoon Red Chilli powder,1/4 teaspoon Turmeric powder (Haldi),Salt - to taste,Sunflower Oil - for cooking</t>
  </si>
  <si>
    <t xml:space="preserve">We begin making the Karnataka Style Menthe Kadubu Recipe (Fenugreek Leaves Wheat Dumpling Recipe) by making the dumpling first. Mix all the ingredients and add little water and knead it into a firm dough.Take a pinch of the dough and roll it into a ball shape and press it little so that you will get a flat disc. Keep it aside.Heat a sauce pan with enough water and when the water comes to a boil add the dumplings and boil them for about 10 minutes.Skim them out and keep it aside. Prep all the ingredients needed to stir fry. Heat a kadai and crackle the mustard seeds, cumin seeds and then add in the onions. Sauté till it is translucent.Then add in the menthe leaves, along with the spice powders and salt. Sauté them till the leaves are cooked.Once done you can add your steamed dumpling and cook for about 2 more minutes and serve.Serve the Karnataka Style Menthe Kadubu Recipe (Fenugreek Leaves Wheat Dumpling Recipe) as a side dish to steam rice , Kollu Rasam Recipe (Nourishing HorseGram Stew) and Karnataka Style Sorakkai Palya Recipe. Or it can be had as a breakfast as well.
</t>
  </si>
  <si>
    <t xml:space="preserve">ನಾವು ಕರ್ನಾಟಕ ಶೈಲಿಯ ಮೆಂತೆ ಕಡುಬು ರೆಸಿಪಿ (ಮೆಂತ್ಯ ಎಲೆಗಳ ಗೋಧಿ ಡಂಪ್ಲಿಂಗ್ ರೆಸಿಪಿ) ಅನ್ನು ಮೊದಲು ಡಂಪ್ಲಿಂಗ್ ಮಾಡುವ ಮೂಲಕ ಮಾಡಲು ಪ್ರಾರಂಭಿಸುತ್ತೇವೆ. ಎಲ್ಲಾ ಪದಾರ್ಥಗಳನ್ನು ಮಿಶ್ರಣ ಮಾಡಿ ಮತ್ತು ಸ್ವಲ್ಪ ನೀರು ಸೇರಿಸಿ ಮತ್ತು ಅದನ್ನು ಗಟ್ಟಿಯಾದ ಹಿಟ್ಟಿನೊಳಗೆ ಬೆರೆಸಿಕೊಳ್ಳಿ. ಹಿಟ್ಟನ್ನು ಒಂದು ಪಿಂಚ್ ತೆಗೆದುಕೊಂಡು ಅದನ್ನು ಚೆಂಡಿನ ಆಕಾರಕ್ಕೆ ಸುತ್ತಿಕೊಳ್ಳಿ ಮತ್ತು ಅದನ್ನು ಸ್ವಲ್ಪ ಒತ್ತಿರಿ ಇದರಿಂದ ನೀವು ಫ್ಲಾಟ್ ಡಿಸ್ಕ್ ಅನ್ನು ಪಡೆಯುತ್ತೀರಿ. ಅದನ್ನು ಪಕ್ಕಕ್ಕೆ ಇರಿಸಿ.ಸಾಸ್ ಪ್ಯಾನ್ ಅನ್ನು ಸಾಕಷ್ಟು ನೀರಿನಿಂದ ಬಿಸಿ ಮಾಡಿ ಮತ್ತು ನೀರು ಕುದಿಯುತ್ತಿರುವಾಗ ಡಂಪ್ಲಿಂಗ್‌ಗಳನ್ನು ಸೇರಿಸಿ ಮತ್ತು ಸುಮಾರು 10 ನಿಮಿಷಗಳ ಕಾಲ ಅವುಗಳನ್ನು ಕುದಿಸಿ. ಹುರಿಯಲು ಅಗತ್ಯವಿರುವ ಎಲ್ಲಾ ಪದಾರ್ಥಗಳನ್ನು ತಯಾರಿಸಿ. ಕಡಾಯಿಯನ್ನು ಬಿಸಿ ಮಾಡಿ ಮತ್ತು ಸಾಸಿವೆ, ಜೀರಿಗೆಯನ್ನು ಸಿಡಿಸಿ ನಂತರ ಈರುಳ್ಳಿ ಸೇರಿಸಿ. ಇದು ಅರೆಪಾರದರ್ಶಕವಾಗುವವರೆಗೆ ಹುರಿಯಿರಿ. ನಂತರ ಮೆಂತೆ ಎಲೆಗಳನ್ನು ಮಸಾಲೆ ಪುಡಿ ಮತ್ತು ಉಪ್ಪಿನೊಂದಿಗೆ ಸೇರಿಸಿ. ಎಲೆಗಳು ಬೇಯುವವರೆಗೆ ಅವುಗಳನ್ನು ಹುರಿಯಿರಿ. ಒಮ್ಮೆ ನೀವು ಬೇಯಿಸಿದ ಡಂಪ್ಲಿಂಗ್ ಅನ್ನು ಸೇರಿಸಿ ಮತ್ತು ಸುಮಾರು 2 ನಿಮಿಷ ಬೇಯಿಸಿ ಮತ್ತು ಬಡಿಸಬಹುದು. ಕರ್ನಾಟಕ ಶೈಲಿಯ ಮೆಂತೆ ಕಡುಬು ರೆಸಿಪಿ (ಮೆಂತ್ಯ ಎಲೆಗಳ ಗೋಧಿ ಡಂಪ್ಲಿಂಗ್ ರೆಸಿಪಿ) ಅನ್ನು ಉಗಿ ಅನ್ನಕ್ಕೆ ಸೈಡ್ ಡಿಶ್ ಆಗಿ ಬಡಿಸಿ. ಸೊರಕ್ಕೈ ಪಲ್ಯ ರೆಸಿಪಿ. ಅಥವಾ ಬೆಳಗಿನ ಉಪಹಾರವಾಗಿಯೂ ಸೇವಿಸಬಹುದು.
</t>
  </si>
  <si>
    <t>https://www.archanaskitchen.com/karnataka-style-menthe-kadubu-recipe-fenugreek-leaves-wheat-dumpling-recipe</t>
  </si>
  <si>
    <t>Pineapple Gojju Recipe (Karnataka Style Tangy And Spicy Pineapple Curry)</t>
  </si>
  <si>
    <t>ಅನಾನಸ್ ಗೊಜ್ಜು ರೆಸಿಪಿ (ಕರ್ನಾಟಕ ಸ್ಟೈಲ್ ಟ್ಯಾಂಗಿ ಮತ್ತು ಸ್ಪೈಸಿ ಪೈನಾಪಲ್ ಕರಿ)</t>
  </si>
  <si>
    <t>1-1/2 ಕಪ್ ಅನಾನಸ್ - ಕತ್ತರಿಸಿದ, 1/4 ಕಪ್ ತಾಜಾ ತೆಂಗಿನಕಾಯಿ, 2 ಚಮಚ ಬಿಳಿ ಉದ್ದಿನ ಬೇಳೆ (ಒಡೆದ), 1 ಚಮಚ ಹುಣಸೆಹಣ್ಣಿನ ಪೇಸ್ಟ್, 5 ಒಣ ಕೆಂಪು ಮೆಣಸಿನಕಾಯಿಗಳು, 2 ಚಮಚ ಬೆಲ್ಲ, ಉಪ್ಪು - ರುಚಿಗೆ, 1 ಚಮಚ ಸಾಸಿವೆ, 12 ಕರಿಬೇವಿನ ಎಲೆಗಳು, 2 ಚಮಚ ಸೂರ್ಯಕಾಂತಿ ಎಣ್ಣೆ</t>
  </si>
  <si>
    <t>1-1/2 cup Pineapple - chopped,1/4 cup Fresh coconut,2 tablespoons White Urad Dal (Split),1 tablespoon Tamarind Paste,5 Dry Red Chillies,2 tablespoons Jaggery,Salt - to taste,1 teaspoon Mustard seeds,12 Curry leaves,2 tablespoons Sunflower Oil</t>
  </si>
  <si>
    <t xml:space="preserve">To begin making the Pineapple Gojju Recipe first place a pan on the heat. On a medium heat dry roast urad dal and set aside.Then dry roast the coconut till it turn slightly brown and toasted. Make sure not to burn it. Remove it and set it aside.Roast the red chillies with just a drop of oil, in the same pan.When the above roasted ingredients have cooled, put them in a mixer jar and grind into a paste along with tamarind paste, using water as much as it is required.Then, place a deep pan on the heat and add some oil to it. When it is warm, add mustard seeds and let it crackle. Add curry leaves and when they crisp up add in the pineapple chunks.Saute them by tossing on a medium heat until they soften and the edges start browning. At this point add the ground paste followed by 2 cups of water and allow the curry to simmer.Add salt and jaggery, mix well and bring it to a boil. Simmer for 10 mins more on a low heat, till the gravy turns thick.Serve it hot with steaming hot Steamed Rice and ghee or with Chapatis. You can also store the gojju in an airtight container in the refrigerator for a few days.
</t>
  </si>
  <si>
    <t xml:space="preserve">ಅನಾನಸ್ ಗೊಜ್ಜು ರೆಸಿಪಿ ತಯಾರಿಸಲು ಪ್ರಾರಂಭಿಸಲು ಮೊದಲು ಪ್ಯಾನ್ ಅನ್ನು ಶಾಖದ ಮೇಲೆ ಇರಿಸಿ. ಮಧ್ಯಮ ಉರಿಯಲ್ಲಿ ಒಣ ಹುರಿದ ಉದ್ದಿನಬೇಳೆ ಮತ್ತು ಪಕ್ಕಕ್ಕೆ ಇರಿಸಿ. ನಂತರ ತೆಂಗಿನಕಾಯಿಯನ್ನು ಸ್ವಲ್ಪ ಕಂದು ಬಣ್ಣಕ್ಕೆ ಮತ್ತು ಸುಟ್ಟ ತನಕ ಒಣಗಿಸಿ. ಅದನ್ನು ಸುಡದಂತೆ ನೋಡಿಕೊಳ್ಳಿ. ಅದನ್ನು ತೆಗೆದು ಪಕ್ಕಕ್ಕೆ ಇರಿಸಿ. ಅದೇ ಬಾಣಲೆಯಲ್ಲಿ ಕೇವಲ ಒಂದು ಹನಿ ಎಣ್ಣೆಯಿಂದ ಕೆಂಪು ಮೆಣಸಿನಕಾಯಿಯನ್ನು ಹುರಿದುಕೊಳ್ಳಿ. ಮೇಲೆ ಹುರಿದ ಪದಾರ್ಥಗಳು ತಣ್ಣಗಾದಾಗ, ಅವುಗಳನ್ನು ಮಿಕ್ಸರ್ ಜಾರ್ನಲ್ಲಿ ಹಾಕಿ ಮತ್ತು ಹುಣಸೆಹಣ್ಣಿನ ಪೇಸ್ಟ್ ಜೊತೆಗೆ ಪೇಸ್ಟ್ ಆಗಿ ಪುಡಿಮಾಡಿ, ಅಗತ್ಯವಿರುವಷ್ಟು ನೀರನ್ನು ಬಳಸಿ. ನಂತರ, ಶಾಖದ ಮೇಲೆ ಆಳವಾದ ಪ್ಯಾನ್ ಇರಿಸಿ ಮತ್ತು ಅದಕ್ಕೆ ಸ್ವಲ್ಪ ಎಣ್ಣೆಯನ್ನು ಸೇರಿಸಿ. ಅದು ಬೆಚ್ಚಗಿರುವಾಗ ಸಾಸಿವೆ ಹಾಕಿ ಸಿಡಿಯಲು ಬಿಡಿ. ಕರಿಬೇವಿನ ಎಲೆಗಳನ್ನು ಸೇರಿಸಿ ಮತ್ತು ಅವು ಗರಿಗರಿಯಾದಾಗ ಅನಾನಸ್ ತುಂಡುಗಳನ್ನು ಸೇರಿಸಿ. ಮಧ್ಯಮ ಉರಿಯಲ್ಲಿ ಅವು ಮೃದುವಾಗುವವರೆಗೆ ಮತ್ತು ಅಂಚುಗಳು ಕಂದು ಬಣ್ಣಕ್ಕೆ ಬರುವವರೆಗೆ ಅವುಗಳನ್ನು ಹುರಿಯಿರಿ. ಈ ಹಂತದಲ್ಲಿ ರುಬ್ಬಿದ ಪೇಸ್ಟ್ ಅನ್ನು 2 ಕಪ್ ನೀರು ಸೇರಿಸಿ ಮತ್ತು ಮೇಲೋಗರವನ್ನು ಕುದಿಯಲು ಬಿಡಿ. ಉಪ್ಪು ಮತ್ತು ಬೆಲ್ಲವನ್ನು ಸೇರಿಸಿ, ಚೆನ್ನಾಗಿ ಮಿಶ್ರಣ ಮಾಡಿ ಮತ್ತು ಅದನ್ನು ಕುದಿಸಿ. ಗ್ರೇವಿ ದಪ್ಪವಾಗುವವರೆಗೆ ಕಡಿಮೆ ಉರಿಯಲ್ಲಿ 10 ನಿಮಿಷಗಳ ಕಾಲ ಕುದಿಸಿ. ಇದನ್ನು ಹಬೆಯಾಡುವ ಬಿಸಿಯಾದ ಆವಿಯಲ್ಲಿ ಬೇಯಿಸಿದ ಅನ್ನ ಮತ್ತು ತುಪ್ಪದೊಂದಿಗೆ ಅಥವಾ ಚಪಾತಿಗಳೊಂದಿಗೆ ಬಿಸಿಯಾಗಿ ಬಡಿಸಿ. ನೀವು ಗೊಜ್ಜನ್ನು ಗಾಳಿಯಾಡದ ಪಾತ್ರೆಯಲ್ಲಿ ರೆಫ್ರಿಜರೇಟರ್‌ನಲ್ಲಿ ಕೆಲವು ದಿನಗಳವರೆಗೆ ಸಂಗ್ರಹಿಸಬಹುದು.
</t>
  </si>
  <si>
    <t>https://www.archanaskitchen.com/pineapple-gojju-recipe-karnataka-style-tangy-and-spicy-pineapple-curry</t>
  </si>
  <si>
    <t>Gurellu Chutney Podi Recipe</t>
  </si>
  <si>
    <t>ಗುರೆಳ್ಳು ಚಟ್ನಿ ಪೋಡಿ ರೆಸಿಪಿ</t>
  </si>
  <si>
    <t>1 ಕಪ್ ಕಲಾ ಜೀರಾ, 1/4 ಕಪ್ ಹಸಿ ಕಡಲೆಕಾಯಿ (ಮೂಂಗ್‌ಫಾಲಿ), 8 ಲವಂಗ ಬೆಳ್ಳುಳ್ಳಿ - ಸಿಪ್ಪೆ ಸುಲಿದ, 8 ಒಣ ಮೆಣಸಿನಕಾಯಿ, 1 ಟೀಚಮಚ ಕೆಂಪು ಮೆಣಸಿನಕಾಯಿ ಪುಡಿ, 10 ಕರಿಬೇವಿನ ಎಲೆಗಳು, ಹುಣಸೆಹಣ್ಣು - ನಿಂಬೆ ಗಾತ್ರ, 1 ಟೀಸ್ಪೂನ್ ಸೂರ್ಯಕಾಂತಿ ಎಣ್ಣೆ</t>
  </si>
  <si>
    <t>1 cup Kala jeera,1/4 cup Raw Peanuts (Moongphali),8 cloves Garlic - peeled,8 Dry Red Chilli,1 teaspoon Red Chilli powder,10 Curry leaves,Tamarind - lemon size,1 teaspoon Sunflower Oil</t>
  </si>
  <si>
    <t xml:space="preserve">To begin making the Gurellu Chutney Podi recipe, dry roast peanuts in a kadai or microwave, till the skin peels off or brown spots appear on them. Keep it aside.In a frying pan/kadai, dry roast kala jeera seeds (uchellu) on a low flame till it crackles. Keep it aside .Roast garlic cloves in the kadai such that its raw smell goes. Keep aside.Add a teaspoon of oil to the frying pan. Keep the flame on low and roast red chillies and tamarind.Mid way, add curry leaves, and continue to roast till red chillies, tamarind and curry leaves have turned crisp. Transfer to a plate .When everything has cooled to room temperature, transfer everything to a mixer jar, add some salt and grind to a medium coarse powder. Don’t make it too smooth. Kala Jeera seeds chutney powder is ready. Store it in an air tight container. If handled properly can store for months together.Serve Gurellu Chutney Podi along with Steamed Rice and Mixed Vegetable Sambar for a weekday meal.
</t>
  </si>
  <si>
    <t xml:space="preserve">ಗುರೆಲ್ಲು ಚಟ್ನಿ ಪೋಡಿ ಪಾಕವಿಧಾನವನ್ನು ತಯಾರಿಸಲು ಪ್ರಾರಂಭಿಸಲು, ಕಡಾಯಿ ಅಥವಾ ಮೈಕ್ರೊವೇವ್‌ನಲ್ಲಿ ಒಣ ಹುರಿದ ಕಡಲೆಕಾಯಿಯನ್ನು ಚರ್ಮವು ಸಿಪ್ಪೆ ಸುಲಿಯುವವರೆಗೆ ಅಥವಾ ಅವುಗಳ ಮೇಲೆ ಕಂದು ಕಲೆಗಳು ಕಾಣಿಸಿಕೊಳ್ಳುವವರೆಗೆ. ಅದನ್ನು ಪಕ್ಕಕ್ಕೆ ಇರಿಸಿ. ಒಂದು ಹುರಿಯಲು ಪ್ಯಾನ್ / ಕಡಾಯಿಯಲ್ಲಿ, ಕಲ ಜೀರಾ ಬೀಜಗಳನ್ನು (ಉಚ್ಚೆಲ್ಲು) ಕಡಿಮೆ ಉರಿಯಲ್ಲಿ ಅದು ಬಿರುಕು ಬಿಡುವವರೆಗೆ ಹುರಿಯಿರಿ. ಅದನ್ನು ಪಕ್ಕಕ್ಕೆ ಇರಿಸಿ. ಕಡಾಯಿಯಲ್ಲಿ ಬೆಳ್ಳುಳ್ಳಿ ಎಸಳನ್ನು ಹುರಿದು ಅದರ ಹಸಿ ವಾಸನೆ ಹೋಗುವಂತೆ ಮಾಡಿ. ಪಕ್ಕಕ್ಕೆ ಇರಿಸಿ. ಬಾಣಲೆಗೆ ಒಂದು ಚಮಚ ಎಣ್ಣೆಯನ್ನು ಸೇರಿಸಿ. ಜ್ವಾಲೆಯನ್ನು ಕಡಿಮೆ ಮಾಡಿ ಮತ್ತು ಕೆಂಪು ಮೆಣಸಿನಕಾಯಿ ಮತ್ತು ಹುಣಸೆಹಣ್ಣುಗಳನ್ನು ಹುರಿದುಕೊಳ್ಳಿ. ಮಧ್ಯದಲ್ಲಿ, ಕರಿಬೇವಿನ ಎಲೆಗಳನ್ನು ಸೇರಿಸಿ ಮತ್ತು ಕೆಂಪು ಮೆಣಸಿನಕಾಯಿಗಳು, ಹುಣಸೆಹಣ್ಣು ಮತ್ತು ಕರಿಬೇವಿನ ಎಲೆಗಳು ಗರಿಗರಿಯಾಗುವವರೆಗೆ ಹುರಿಯುವುದನ್ನು ಮುಂದುವರಿಸಿ. ಒಂದು ಪ್ಲೇಟ್‌ಗೆ ವರ್ಗಾಯಿಸಿ .ಎಲ್ಲವೂ ಕೋಣೆಯ ಉಷ್ಣಾಂಶಕ್ಕೆ ತಣ್ಣಗಾದ ನಂತರ, ಎಲ್ಲವನ್ನೂ ಮಿಕ್ಸರ್ ಜಾರ್‌ಗೆ ವರ್ಗಾಯಿಸಿ, ಸ್ವಲ್ಪ ಉಪ್ಪು ಸೇರಿಸಿ ಮತ್ತು ಮಧ್ಯಮ ಒರಟಾದ ಪುಡಿಗೆ ರುಬ್ಬಿಕೊಳ್ಳಿ. ಅದನ್ನು ತುಂಬಾ ಮೃದುಗೊಳಿಸಬೇಡಿ. ಕಾಳಜೀರ ಕಾಳು ಚಟ್ನಿ ಪುಡಿ ರೆಡಿ. ಇದನ್ನು ಗಾಳಿಯಾಡದ ಕಂಟೇನರ್‌ನಲ್ಲಿ ಸಂಗ್ರಹಿಸಿ. ಸರಿಯಾಗಿ ನಿರ್ವಹಿಸಿದರೆ ತಿಂಗಳುಗಟ್ಟಲೆ ಒಟ್ಟಿಗೆ ಸಂಗ್ರಹಿಸಬಹುದು. ವಾರದ ದಿನದ ಊಟಕ್ಕೆ ಬೇಯಿಸಿದ ಅನ್ನ ಮತ್ತು ಮಿಶ್ರಿತ ತರಕಾರಿ ಸಾಂಬಾರ್ ಜೊತೆಗೆ ಗುರೆಳ್ಳು ಚಟ್ನಿ ಪೊಡಿಯನ್ನು ಬಡಿಸಿ.
</t>
  </si>
  <si>
    <t>https://www.archanaskitchen.com/gurellu-chutney-podi-recipe-niger-seeds-chutney-recipe</t>
  </si>
  <si>
    <t>Jolada Roti Recipe - Jowar Bhakri</t>
  </si>
  <si>
    <t>ಜೋಳದ ರೋಟಿ ರೆಸಿಪಿ - ಜೋವರ್ ಭಕ್ರಿ</t>
  </si>
  <si>
    <t>1-1/2 ಕಪ್ ಜೋಳದ ಹಿಟ್ಟು (ಬೇಳೆ), 1/2 ಕಪ್ ಅಕ್ಕಿ ಹಿಟ್ಟು, 1 ಕಪ್ ನೀರು, 1 ಟೀಚಮಚ ಉಪ್ಪು, 1 ಟೀಚಮಚ ಸೂರ್ಯಕಾಂತಿ ಎಣ್ಣೆ</t>
  </si>
  <si>
    <t>1-1/2 cup Jowar Flour (Sorghum),1/2 cup Rice flour,1 cup Water,1 teaspoon Salt,1 teaspoon Sunflower Oil</t>
  </si>
  <si>
    <t xml:space="preserve">To begin making Jolada roti, heat water in a pan and add salt and oil to the water. Mix it well. When it starts boiling, add the rice flour and mix continuously to avoid any lumps till all the water is absorbed.Once the water is absorbed, turn off the heat and allow it cool for 5 minutes.After 5 minutes, add the jowar flour to the cooked rice flour and knead well. Keep adding little hot water at a time until the dough becomes soft and non-sticky .Knead properly, as we will make the roti’s immediately without giving any resting time to the dough.Keep the dough covered with clean damp cloth so that it does not dry. The next step is to cook the rotis. Keep a iron tawa/griddle on medium flame.Dust your rolling surface with little whole wheat flour.Now we will start making the rotis using our hands. Divide the dough into 6 - 8 equal portions and roll out a portion of the dough into a round and thick roti using your hands. You can shape the roti by pressing out a circle with your fingers as well.Place the roti over the preheated skillet and cook it for a few seconds on one side or till a few bubbles appear on top.Turn over the roti and cook the other side for a few more seconds. Lift the roti with tongs and roast over the direct flame till brown spots appear on both the sides.Similarly, prepare the remaining Jolada Rotis.Serve Jolada Roti Recipe (Jowar Bhakri) along with Karnataka Style Badanekai Yennegai Gojju Recipe (Stuffed Brinjal Recipe), a bowl of Yogurt (Curd) and Uchellu Chutney for North Karnataka inspired meal.
</t>
  </si>
  <si>
    <t xml:space="preserve">ಜೋಳದ ರೊಟ್ಟಿಯನ್ನು ತಯಾರಿಸಲು ಪ್ರಾರಂಭಿಸಲು, ಬಾಣಲೆಯಲ್ಲಿ ನೀರನ್ನು ಬಿಸಿ ಮಾಡಿ ಮತ್ತು ನೀರಿಗೆ ಉಪ್ಪು ಮತ್ತು ಎಣ್ಣೆಯನ್ನು ಸೇರಿಸಿ. ಇದನ್ನು ಚೆನ್ನಾಗಿ ಮಿಶ್ರಣ ಮಾಡಿ. ಇದು ಕುದಿಯಲು ಪ್ರಾರಂಭಿಸಿದಾಗ, ಅಕ್ಕಿ ಹಿಟ್ಟು ಸೇರಿಸಿ ಮತ್ತು ಎಲ್ಲಾ ನೀರು ಹೀರಿಕೊಳ್ಳುವವರೆಗೆ ಯಾವುದೇ ಉಂಡೆಗಳನ್ನೂ ತಪ್ಪಿಸಲು ನಿರಂತರವಾಗಿ ಮಿಶ್ರಣ ಮಾಡಿ. ನೀರು ಹೀರಿಕೊಂಡ ನಂತರ, ಶಾಖವನ್ನು ಆಫ್ ಮಾಡಿ ಮತ್ತು 5 ನಿಮಿಷಗಳ ಕಾಲ ಅದನ್ನು ತಣ್ಣಗಾಗಲು ಬಿಡಿ. 5 ನಿಮಿಷಗಳ ನಂತರ, ಬೇಯಿಸಿದ ಅಕ್ಕಿ ಹಿಟ್ಟಿಗೆ ಜೋಳದ ಹಿಟ್ಟನ್ನು ಸೇರಿಸಿ ಮತ್ತು ಚೆನ್ನಾಗಿ ಬೆರೆಸಿಕೊಳ್ಳಿ. ಹಿಟ್ಟು ಮೃದು ಮತ್ತು ಜಿಗುಟಾದ ತನಕ ಒಂದು ಸಮಯದಲ್ಲಿ ಸ್ವಲ್ಪ ಬಿಸಿನೀರನ್ನು ಸೇರಿಸಿ. ಸರಿಯಾಗಿ ಬೆರೆಸಿಕೊಳ್ಳಿ, ಏಕೆಂದರೆ ನಾವು ಹಿಟ್ಟಿಗೆ ಯಾವುದೇ ವಿಶ್ರಾಂತಿ ಸಮಯವನ್ನು ನೀಡದೆ ತಕ್ಷಣವೇ ರೊಟ್ಟಿಯನ್ನು ತಯಾರಿಸುತ್ತೇವೆ. ಹಿಟ್ಟನ್ನು ಶುಷ್ಕವಾಗದಂತೆ ಸ್ವಚ್ಛವಾದ ಒದ್ದೆಯಾದ ಬಟ್ಟೆಯಿಂದ ಮುಚ್ಚಿಡಿ. ಮುಂದಿನ ಹಂತವೆಂದರೆ ರೊಟ್ಟಿಗಳನ್ನು ಬೇಯಿಸುವುದು. ಮಧ್ಯಮ ಜ್ವಾಲೆಯ ಮೇಲೆ ಕಬ್ಬಿಣದ ತವಾ/ಗ್ರಿಡಲ್ ಅನ್ನು ಇರಿಸಿ. ನಿಮ್ಮ ರೋಲಿಂಗ್ ಮೇಲ್ಮೈಯನ್ನು ಸ್ವಲ್ಪ ಸಂಪೂರ್ಣ ಗೋಧಿ ಹಿಟ್ಟಿನೊಂದಿಗೆ ಪುಡಿಮಾಡಿ. ಈಗ ನಾವು ನಮ್ಮ ಕೈಗಳನ್ನು ಬಳಸಿ ರೊಟ್ಟಿಗಳನ್ನು ತಯಾರಿಸಲು ಪ್ರಾರಂಭಿಸುತ್ತೇವೆ. ಹಿಟ್ಟನ್ನು 6 - 8 ಸಮಾನ ಭಾಗಗಳಾಗಿ ವಿಂಗಡಿಸಿ ಮತ್ತು ಹಿಟ್ಟಿನ ಒಂದು ಭಾಗವನ್ನು ನಿಮ್ಮ ಕೈಗಳನ್ನು ಬಳಸಿ ದುಂಡಗಿನ ಮತ್ತು ದಪ್ಪವಾದ ರೊಟ್ಟಿಗೆ ಸುತ್ತಿಕೊಳ್ಳಿ. ನಿಮ್ಮ ಬೆರಳುಗಳಿಂದ ವೃತ್ತವನ್ನು ಒತ್ತುವ ಮೂಲಕ ನೀವು ರೊಟ್ಟಿಯನ್ನು ಆಕಾರಗೊಳಿಸಬಹುದು. ರೊಟ್ಟಿಯನ್ನು ಪೂರ್ವಭಾವಿಯಾಗಿ ಕಾಯಿಸಲ್ಪಟ್ಟಿರುವ ಬಾಣಲೆಯ ಮೇಲೆ ಇರಿಸಿ ಮತ್ತು ಕೆಲವು ಸೆಕೆಂಡುಗಳ ಕಾಲ ಅದನ್ನು ಒಂದು ಬದಿಯಲ್ಲಿ ಅಥವಾ ಕೆಲವು ಗುಳ್ಳೆಗಳು ಕಾಣಿಸಿಕೊಳ್ಳುವವರೆಗೆ ಬೇಯಿಸಿ. ರೊಟ್ಟಿಯನ್ನು ತಿರುಗಿಸಿ ಮತ್ತು ಇನ್ನೊಂದು ಬದಿಯನ್ನು ಕೆಲವು ಸೆಕೆಂಡುಗಳ ಕಾಲ ಬೇಯಿಸಿ. ಟೊಂಗೆಗಳೊಂದಿಗೆ ರೊಟ್ಟಿಯನ್ನು ಮೇಲಕ್ಕೆತ್ತಿ ಮತ್ತು ಕಂದು ಬಣ್ಣದ ಚುಕ್ಕೆಗಳು ಎರಡೂ ಬದಿಗಳಲ್ಲಿ ಕಾಣಿಸಿಕೊಳ್ಳುವವರೆಗೆ ನೇರ ಉರಿಯಲ್ಲಿ ಹುರಿಯಿರಿ. ಅದೇ ರೀತಿ ಉಳಿದ ಜೋಳದ ರೊಟ್ಟಿಗಳನ್ನು ತಯಾರಿಸಿ. ಜೋಳದ ರೊಟ್ಟಿ ರೆಸಿಪಿ (ಜೋವರ್ ಭಕ್ರಿ) ಜೊತೆಗೆ ಕರ್ನಾಟಕ ಶೈಲಿಯ ಬದನೆಕಾಯಿ ಯೆನ್ನೆಗೈ ಗೊಜ್ಜು ರೆಸಿಪಿ (ಬೌಲ್ ಸ್ಟಫ್ಡ್) (ಮೊಸರು) ಮತ್ತು ಉಚ್ಚೆಲು ಚಟ್ನಿ ಉತ್ತರ ಕರ್ನಾಟಕದ ಪ್ರೇರಿತ ಊಟ.
</t>
  </si>
  <si>
    <t>http://www.archanaskitchen.com/jolada-roti-jowar-bhakri-recipe</t>
  </si>
  <si>
    <t>Sabudana Sandige Recipe - Sabudana Vadam Recipe</t>
  </si>
  <si>
    <t>Sabudana Sandige Recipe - ಸಾಬುದಾನ ವದಂ ರೆಸಿಪಿ</t>
  </si>
  <si>
    <t>1 ಕಪ್ ಸಾಬುದಾನ (ಟ್ಯಾಪಿಯೋಕಾ ಮುತ್ತುಗಳು), ನೀರು - ಅಡುಗೆಗೆ, 5 ಹಸಿರು ಮೆಣಸಿನಕಾಯಿಗಳು, 1 ಟೀಚಮಚ ಜೀರಿಗೆ (ಜೀರಾ), 1 ಟೀಚಮಚ ಎಳ್ಳು ಬೀಜಗಳು (ಟಿಲ್ ಬೀಜಗಳು), ಉಪ್ಪು - ರುಚಿಗೆ</t>
  </si>
  <si>
    <t>1 cup Sabudana (Tapioca Pearls),Water - for cooking,5 Green Chillies,1 teaspoon Cumin seeds (Jeera),1 teaspoon Sesame seeds (Til seeds),Salt - to taste</t>
  </si>
  <si>
    <t xml:space="preserve">To start preparing for Sabuana Sandige | Fryums Recipe, soak sabudana in enough water for atleast 5 hours or overnight. Make sure that all the sago/ sabudana is immersed in water while soaking.Once the sabudana/ sago is soaked, drain water and keep aside.Grind salt and green chilli together into a fine paste. Add this paste to the soaked sago and mix well.Bring about 4 cups of water to boil in a thick bottom vessel or a pressure cooker. Add soaked sago mixed with spice to the boiling water and mix well. Keep stirring to avoid sago sticking to the bottom of the pan.Once the sago mixture comes to a porridge consistency (takes about 10 minutes), switch off the flame and let it cool just a bit. Make sure it is not too thick as it thickens after cooling down. Observe that the sago/ sabbakki pearls look transparent now.Add jeera and sesame seeds to the batter and mix well.Spread a clean plastic sheet under the sun. Lightly grease it with any oil and place stones to its corner, such that the sheet doesn’t get disturbed by the wind.Now start spooning the mixture when it is still hot. Using a small ladle/spoon, pour the sago mixture on the sheet to make small circles of about 1- 1.5-inch diameter. Let these fryums get dried under the bright sun for 1-2 days.After a day or two, sabakki sandige starts peeling off and looks transparent. Turn over to other side and dry for another 2-3 days.Once the fryums are completely dried, store them in an airtight container. Stays good for a year if sundried well. Deep fry in oil till crisp whenever required. A life saver when you have unexpected guests over dinner or lunch. These Sabuana Sandige | Fryums Recipe tastes great with Dal chawal/ Rasam rice or even as a snack with a cup of tea. 
</t>
  </si>
  <si>
    <t xml:space="preserve">ಸಬುವಾನ ಸಂಡಿಗೆ ತಯಾರಿ ಆರಂಭಿಸಲು | ಫ್ರೈಮ್ಸ್ ರೆಸಿಪಿ, ಸಾಬುದಾನವನ್ನು ಕನಿಷ್ಠ 5 ಗಂಟೆಗಳ ಕಾಲ ಅಥವಾ ರಾತ್ರಿಯಿಡೀ ಸಾಕಷ್ಟು ನೀರಿನಲ್ಲಿ ನೆನೆಸಿಡಿ. ನೆನೆಸುವಾಗ ಎಲ್ಲಾ ಸಾಗುವಾನಿ / ಸಾಬುದಾನ ನೀರಿನಲ್ಲಿ ಮುಳುಗಿದೆ ಎಂದು ಖಚಿತಪಡಿಸಿಕೊಳ್ಳಿ. ಸಾಬೂದಾನ / ಸಾಗು ನೆನೆಸಿದ ನಂತರ, ನೀರನ್ನು ಹರಿಸುತ್ತವೆ ಮತ್ತು ಪಕ್ಕಕ್ಕೆ ಇರಿಸಿ. ಉಪ್ಪು ಮತ್ತು ಹಸಿರು ಮೆಣಸಿನಕಾಯಿಯನ್ನು ಚೆನ್ನಾಗಿ ಪೇಸ್ಟ್ ಆಗಿ ರುಬ್ಬಿಕೊಳ್ಳಿ. ಈ ಪೇಸ್ಟ್ ಅನ್ನು ನೆನೆಸಿದ ಸಾಗುವಳಿಗೆ ಸೇರಿಸಿ ಮತ್ತು ಚೆನ್ನಾಗಿ ಮಿಶ್ರಣ ಮಾಡಿ. ದಪ್ಪ ತಳದ ಪಾತ್ರೆಯಲ್ಲಿ ಅಥವಾ ಪ್ರೆಶರ್ ಕುಕ್ಕರ್‌ನಲ್ಲಿ ಸುಮಾರು 4 ಕಪ್ ನೀರನ್ನು ಕುದಿಸಿ. ಕುದಿಯುವ ನೀರಿಗೆ ನೆನೆಸಿದ ಸಾಗುವಾನಿ ಬೆರೆಸಿದ ಮಸಾಲೆ ಸೇರಿಸಿ ಚೆನ್ನಾಗಿ ಮಿಶ್ರಣ ಮಾಡಿ. ಸಾಗೋ ಪ್ಯಾನ್‌ನ ಕೆಳಭಾಗದಲ್ಲಿ ಅಂಟಿಕೊಳ್ಳುವುದನ್ನು ತಪ್ಪಿಸಲು ಬೆರೆಸಿ. ಸಾಗೋ ಮಿಶ್ರಣವು ಗಂಜಿ ಸ್ಥಿರತೆಗೆ ಬಂದ ನಂತರ (ಸುಮಾರು 10 ನಿಮಿಷಗಳನ್ನು ತೆಗೆದುಕೊಳ್ಳುತ್ತದೆ), ಜ್ವಾಲೆಯನ್ನು ಆಫ್ ಮಾಡಿ ಮತ್ತು ಅದನ್ನು ಸ್ವಲ್ಪ ತಣ್ಣಗಾಗಲು ಬಿಡಿ. ತಣ್ಣಗಾದ ನಂತರ ದಪ್ಪವಾಗುವುದರಿಂದ ಅದು ತುಂಬಾ ದಪ್ಪವಾಗದಂತೆ ನೋಡಿಕೊಳ್ಳಿ. ಸಾಗುವಾನಿ/ಸಬ್ಬಕ್ಕಿ ಮುತ್ತುಗಳು ಈಗ ಪಾರದರ್ಶಕವಾಗಿ ಕಾಣುತ್ತಿವೆ ಎಂಬುದನ್ನು ಗಮನಿಸಿ. ಜೀರಿಗೆ ಮತ್ತು ಎಳ್ಳನ್ನು ಹಿಟ್ಟಿಗೆ ಸೇರಿಸಿ ಮತ್ತು ಚೆನ್ನಾಗಿ ಮಿಶ್ರಣ ಮಾಡಿ. ಸೂರ್ಯನ ಕೆಳಗೆ ಸ್ವಚ್ಛವಾದ ಪ್ಲಾಸ್ಟಿಕ್ ಹಾಳೆಯನ್ನು ಹರಡಿ. ಯಾವುದೇ ಎಣ್ಣೆಯಿಂದ ಲಘುವಾಗಿ ಗ್ರೀಸ್ ಮಾಡಿ ಮತ್ತು ಅದರ ಮೂಲೆಯಲ್ಲಿ ಕಲ್ಲುಗಳನ್ನು ಇರಿಸಿ, ಅಂದರೆ ಶೀಟ್ ಗಾಳಿಯಿಂದ ತೊಂದರೆಗೊಳಗಾಗುವುದಿಲ್ಲ. ಈಗ ಮಿಶ್ರಣವನ್ನು ಬಿಸಿಯಾಗಿರುವಾಗ ಚಮಚ ಮಾಡಲು ಪ್ರಾರಂಭಿಸಿ. ಸಣ್ಣ ಕುಂಜ/ಚಮಚವನ್ನು ಬಳಸಿ, ಸುಮಾರು 1- 1.5-ಇಂಚಿನ ವ್ಯಾಸದ ಸಣ್ಣ ವೃತ್ತಗಳನ್ನು ಮಾಡಲು ಹಾಳೆಯ ಮೇಲೆ ಸಾಗೋ ಮಿಶ್ರಣವನ್ನು ಸುರಿಯಿರಿ. ಈ ಫ್ರೈಮ್‌ಗಳು 1-2 ದಿನಗಳವರೆಗೆ ಪ್ರಖರವಾದ ಸೂರ್ಯನ ಕೆಳಗೆ ಒಣಗಲಿ. ಒಂದು ಅಥವಾ ಎರಡು ದಿನಗಳ ನಂತರ, ಸಾಬಕ್ಕಿ ಸಂಡಿಗೆ ಸಿಪ್ಪೆ ಸುಲಿಯಲು ಪ್ರಾರಂಭಿಸುತ್ತದೆ ಮತ್ತು ಪಾರದರ್ಶಕವಾಗಿ ಕಾಣುತ್ತದೆ. ಇನ್ನೊಂದು ಬದಿಗೆ ತಿರುಗಿಸಿ ಮತ್ತು ಇನ್ನೊಂದು 2-3 ದಿನಗಳವರೆಗೆ ಒಣಗಿಸಿ. ಫ್ರೈಮ್ಗಳು ಸಂಪೂರ್ಣವಾಗಿ ಒಣಗಿದ ನಂತರ, ಅವುಗಳನ್ನು ಗಾಳಿಯಾಡದ ಧಾರಕದಲ್ಲಿ ಸಂಗ್ರಹಿಸಿ. ಚೆನ್ನಾಗಿ ಬಿಸಿಲು ಹಾಕಿದರೆ ಒಂದು ವರ್ಷ ಚೆನ್ನಾಗಿ ಇರುತ್ತದೆ. ಯಾವಾಗ ಬೇಕಾದರೂ ಎಣ್ಣೆಯಲ್ಲಿ ಗರಿಗರಿಯಾಗುವವರೆಗೆ ಡೀಪ್ ಫ್ರೈ ಮಾಡಿ. ಭೋಜನ ಅಥವಾ ಊಟದ ಸಮಯದಲ್ಲಿ ನೀವು ಅನಿರೀಕ್ಷಿತ ಅತಿಥಿಗಳನ್ನು ಹೊಂದಿರುವಾಗ ಜೀವ ರಕ್ಷಕ. ಈ ಸಬುವಾನ ಸಂಡಿಗೆ | ಫ್ರೈಯಮ್ಸ್ ರೆಸಿಪಿ ದಾಲ್ ಚಾವಲ್/ ರಸಂ ಅನ್ನದೊಂದಿಗೆ ಅಥವಾ ಒಂದು ಕಪ್ ಚಹಾದೊಂದಿಗೆ ಲಘುವಾಗಿಯೂ ರುಚಿಯಾಗಿರುತ್ತದೆ. 
</t>
  </si>
  <si>
    <t>http://www.archanaskitchen.com/sabudana-sandige-fryums-recipe</t>
  </si>
  <si>
    <t>South Karnataka</t>
  </si>
  <si>
    <t>Congress Buns Recipe</t>
  </si>
  <si>
    <t>ಕಾಂಗ್ರೆಸ್ ಬನ್ಸ್ ರೆಸಿಪಿ</t>
  </si>
  <si>
    <t>4 ಬರ್ಗರ್ ಬನ್‌ಗಳು - ಅಥವಾ ಮಸಾಲಾ ಬನ್‌ಗಳು, 4 ಚಮಚ ಹಸಿರು ಚಟ್ನಿ (ಕೊತ್ತಂಬರಿ ಮತ್ತು ಪುದೀನ), 1 ಈರುಳ್ಳಿ - ತೆಳುವಾಗಿ ಕತ್ತರಿಸಿದ, 1 ಕ್ಯಾರೆಟ್ (ಗಜ್ಜರ್) - ತುರಿದ, 2 ಕೊತ್ತಂಬರಿ ಸೊಪ್ಪು (ಧನಿಯಾ) ಎಲೆಗಳು - ಕತ್ತರಿಸಿದ, 1 ಕಪ್ ಹಸಿ ಕಡಲೆಕಾಯಿ (ಮೂಂಗ್‌ಫಾಲಿ) - 1 ಟೀಚಮಚ ಕೆಂಪು / 1 ಟೀಸ್ಪೂನ್ ಪುಡಿ (ಹಲ್ದಿ), 2 ಚಿಗುರು ಕರಿಬೇವಿನ ಎಲೆಗಳು, 1/4 ಟೀಚಮಚ ಕರಿಮೆಣಸಿನ ಪುಡಿ, ಚಿಟಿಕೆ ಇಂಗು (ಹಿಂಗ್), ಉಪ್ಪು ಮತ್ತು ಮೆಣಸು - ರುಚಿಗೆ, 1 ಚಮಚ ಸೂರ್ಯಕಾಂತಿ ಎಣ್ಣೆ</t>
  </si>
  <si>
    <t>4 Burger buns - or masala buns,4 tablespoon Green Chutney (Coriander &amp; Mint),1 Onion - thinly sliced,1 Carrot (Gajjar) - grated,2 sprig Coriander (Dhania) Leaves - chopped,1 cup Raw Peanuts (Moongphali) - toasted,1/2 teaspoon Red Chilli powder,1/4 teaspoon Turmeric powder (Haldi),2 sprig Curry leaves,1/4 teaspoon Black pepper powder,pinch Asafoetida (hing),Salt and Pepper - to taste,1 tablespoon Sunflower Oil</t>
  </si>
  <si>
    <t xml:space="preserve">To begin making the Congress Buns Recipe, firstly we will make the peanut masala. Heat a skillet with little oil, add curry leaves, asafoetida, turmeric powder, red chilli powder, salt and peanuts and give it a toss for few seconds.Once done let it cool down, and using your hand mix all the masala properly into the peanuts and also make the curry leaves into small pieces. Keep it aside.Next, cut the buns into half and toast it on the tawa with a little butter till it is brown.Now to assemble, apply the chutney, then add the masala peanuts, sprinkle grated carrot, sliced onions and sprinkle coriander leaves and serve.Serve the Congress Buns Recipe as a snack to children after school or as an Party Appetizer or along with a hot cup of Masala Chai for your evening snacks:
</t>
  </si>
  <si>
    <t xml:space="preserve">ಕಾಂಗ್ರೆಸ್ ಬನ್ಸ್ ರೆಸಿಪಿಯನ್ನು ತಯಾರಿಸಲು ಪ್ರಾರಂಭಿಸಲು, ಮೊದಲು ನಾವು ಕಡಲೆಕಾಯಿ ಮಸಾಲವನ್ನು ತಯಾರಿಸುತ್ತೇವೆ. ಸ್ವಲ್ಪ ಎಣ್ಣೆಯೊಂದಿಗೆ ಬಾಣಲೆಯನ್ನು ಬಿಸಿ ಮಾಡಿ, ಕರಿಬೇವಿನ ಎಲೆಗಳು, ಇಂಗು, ಅರಿಶಿನ ಪುಡಿ, ಕೆಂಪು ಮೆಣಸಿನ ಪುಡಿ, ಉಪ್ಪು ಮತ್ತು ಕಡಲೆಕಾಯಿಯನ್ನು ಸೇರಿಸಿ ಮತ್ತು ಕೆಲವು ಸೆಕೆಂಡುಗಳ ಕಾಲ ಟಾಸ್ ಮಾಡಿ. ನಂತರ ಅದನ್ನು ತಣ್ಣಗಾಗಲು ಬಿಡಿ, ಮತ್ತು ನಿಮ್ಮ ಕೈಯಿಂದ ಎಲ್ಲಾ ಮಸಾಲವನ್ನು ಕಡಲೆಕಾಯಿಗೆ ಸರಿಯಾಗಿ ಮಿಶ್ರಣ ಮಾಡಿ ಮತ್ತು ಕರಿಬೇವಿನ ಎಲೆಗಳನ್ನು ಸಣ್ಣ ತುಂಡುಗಳಾಗಿ ಮಾಡಿ. ಅದನ್ನು ಪಕ್ಕಕ್ಕೆ ಇರಿಸಿ.ಮುಂದೆ, ಬನ್‌ಗಳನ್ನು ಅರ್ಧಕ್ಕೆ ಕತ್ತರಿಸಿ ತವಾದಲ್ಲಿ ಸ್ವಲ್ಪ ಬೆಣ್ಣೆಯೊಂದಿಗೆ ಕಂದು ಬಣ್ಣ ಬರುವವರೆಗೆ ಟೋಸ್ಟ್ ಮಾಡಿ. ಈಗ ಜೋಡಿಸಲು, ಚಟ್ನಿಯನ್ನು ಅನ್ವಯಿಸಿ, ನಂತರ ಮಸಾಲೆ ಕಡಲೆಕಾಯಿಯನ್ನು ಸೇರಿಸಿ, ತುರಿದ ಕ್ಯಾರೆಟ್, ಕತ್ತರಿಸಿದ ಈರುಳ್ಳಿ ಮತ್ತು ಕೊತ್ತಂಬರಿ ಸೊಪ್ಪನ್ನು ಸಿಂಪಡಿಸಿ ಮತ್ತು ಬಡಿಸಿ. ಅಪೆಟೈಸರ್ ಅಥವಾ ನಿಮ್ಮ ಸಂಜೆಯ ತಿಂಡಿಗಳಿಗೆ ಬಿಸಿ ಕಪ್ ಮಸಾಲಾ ಚಾಯ್ ಜೊತೆಗೆ:
</t>
  </si>
  <si>
    <t>http://www.archanaskitchen.com/congress-buns-recipe</t>
  </si>
  <si>
    <t>Elaneer Rasam Recipe - Tender Coconut Rasam</t>
  </si>
  <si>
    <t>ಎಳನೀರ್ ರಸಂ ರೆಸಿಪಿ - ಕೋಮಲ ತೆಂಗಿನಕಾಯಿ ರಸಂ</t>
  </si>
  <si>
    <t>1 ಟೊಮೇಟೊ - ಮಧ್ಯಮ ಗಾತ್ರದ, 1 ಕಪ್ ಕೋಮಲ ತೆಂಗಿನ ನೀರು, 3 ಟೀಚಮಚ ತಾಜಾ ತೆಂಗಿನಕಾಯಿ - ತಿರುಳು, 20 ಗ್ರಾಂ ಹುಣಸೆಹಣ್ಣು, ಕರಿಬೇವಿನ ಎಲೆಗಳು - ಕೆಲವು, ಇಂಗು (ಹಿಂಗ್) - ಒಂದು ಚಿಟಿಕೆ, 1/3 ಟೀಚಮಚ ಅರಿಶಿನ ಪುಡಿ (ಹಾಲ್ಡಿ), 1 ಟೀಚಮಚ ರಸಂ ಪುಡಿ, ಉಪ್ಪು - ರುಚಿಗೆ, 1/2 ನೀರು, ಕೊತ್ತಂಬರಿ ಸೊಪ್ಪು - 1 ಟೀಚಮಚ ಲೆಪ್ರಿನಾವ್ಗಳು ಸಾಸಿವೆ, 1 ಟೀಚಮಚ ಜೀರಿಗೆ (ಜೀರಾ), 8 ಪುದೀನ ಎಲೆಗಳು (ಪುದೀನಾ)</t>
  </si>
  <si>
    <t>1 Tomato - medium size,1 cup Tender coconut water,3 teaspoon Fresh coconut - pulp,20 grams Tamarind,Curry leaves - few,Asafoetida (hing) - a pinch,1/3 teaspoon Turmeric powder (Haldi),1 teaspoon Rasam Powder,Salt - to taste,1/2 Water,Coriander (Dhania) Leaves - few sprigs,1 teaspoon Ghee,1 teaspoon Mustard seeds,1 teaspoon Cumin seeds (Jeera),8 Mint Leaves (Pudina)</t>
  </si>
  <si>
    <t xml:space="preserve">To begin making the Elaneer Rasam Recipe, open a fresh tender coconut, keep the water aside and transfer the tender coconut cream into a bowl. In a mixer-jar, blend tomato, tamarind and 2 tablespoons of coconut cream by adding water  Reserve the balance tender coconut cream for later. Add the tomato-coconut-tamarind juice, turmeric, asafoetida, and curry leaves in a Saucepan and bring it to boil. Stir occasionally.Once the mixture starts boiling, add the rasam powder, and mix well. Wait until frothy.Add the tender coconut water and boil again. Boil for just a minute and switch off the gas immediately.Heat a a tadka pan with ghee on low flame, once hot, add the mustard seeds and cumin seeds, keep it going till the mustard seeds splutter. Turn off the eheat transfer it to the boiling rasam. Garnish with chopped coriander leaves, and remaining tender coconut cream. Serve Elaneer Rasam Recipe (Tender Coconut Rasam) with hot steaming rice and papadum or just as a hot piping soup.
</t>
  </si>
  <si>
    <t xml:space="preserve">ಎಲನೀರ್ ರಸಂ ರೆಸಿಪಿಯನ್ನು ತಯಾರಿಸಲು ಪ್ರಾರಂಭಿಸಲು, ತಾಜಾ ಕೋಮಲ ತೆಂಗಿನಕಾಯಿಯನ್ನು ತೆರೆಯಿರಿ, ನೀರನ್ನು ಪಕ್ಕಕ್ಕೆ ಇರಿಸಿ ಮತ್ತು ಕೋಮಲ ತೆಂಗಿನಕಾಯಿ ಕ್ರೀಮ್ ಅನ್ನು ಒಂದು ಬೌಲ್‌ಗೆ ವರ್ಗಾಯಿಸಿ. ಮಿಕ್ಸರ್-ಜಾರ್‌ನಲ್ಲಿ, ಟೊಮ್ಯಾಟೊ, ಹುಣಸೆಹಣ್ಣು ಮತ್ತು 2 ಟೇಬಲ್ಸ್ಪೂನ್ ತೆಂಗಿನಕಾಯಿ ಕ್ರೀಮ್ ಅನ್ನು ನೀರನ್ನು ಸೇರಿಸುವ ಮೂಲಕ ಮಿಶ್ರಣ ಮಾಡಿ  ಉಳಿದ ಕೋಮಲ ತೆಂಗಿನಕಾಯಿ ಕ್ರೀಮ್ ಅನ್ನು ನಂತರ ಕಾಯ್ದಿರಿಸಿ. ಟೊಮೆಟೊ-ತೆಂಗಿನಕಾಯಿ-ಹುಣಿಸೆ ರಸ, ಅರಿಶಿನ, ಇಂಗು, ಮತ್ತು ಕರಿಬೇವಿನ ಎಲೆಗಳನ್ನು ಒಂದು ಸೌಸಿನಲ್ಲಿ ಸೇರಿಸಿ ಮತ್ತು ಅದನ್ನು ಕುದಿಸಿ. ಸಾಂದರ್ಭಿಕವಾಗಿ ಬೆರೆಸಿ. ಮಿಶ್ರಣವು ಕುದಿಯಲು ಪ್ರಾರಂಭಿಸಿದ ನಂತರ, ರಸಂ ಪುಡಿಯನ್ನು ಸೇರಿಸಿ ಮತ್ತು ಚೆನ್ನಾಗಿ ಮಿಶ್ರಣ ಮಾಡಿ. ನೊರೆ ಬರುವವರೆಗೆ ಕಾಯಿರಿ. ಕೋಮಲ ತೆಂಗಿನ ನೀರನ್ನು ಸೇರಿಸಿ ಮತ್ತು ಮತ್ತೆ ಕುದಿಸಿ. ಕೇವಲ ಒಂದು ನಿಮಿಷ ಕುದಿಸಿ ಮತ್ತು ತಕ್ಷಣವೇ ಗ್ಯಾಸ್ ಅನ್ನು ಸ್ವಿಚ್ ಆಫ್ ಮಾಡಿ. ಕಡಿಮೆ ಉರಿಯಲ್ಲಿ ತುಪ್ಪದೊಂದಿಗೆ ತಡ್ಕಾ ಪ್ಯಾನ್ ಅನ್ನು ಬಿಸಿ ಮಾಡಿ, ಒಮ್ಮೆ ಬಿಸಿ ಮಾಡಿ, ಸಾಸಿವೆ ಮತ್ತು ಜೀರಿಗೆ ಸೇರಿಸಿ, ಸಾಸಿವೆ ಕಾಳುಗಳು ಚಿಮುಕಿಸುವವರೆಗೆ ಅದನ್ನು ಮುಂದುವರಿಸಿ. ಇಹೀಟ್ ಅನ್ನು ಆಫ್ ಮಾಡಿ ಅದನ್ನು ಕುದಿಯುವ ರಸಕ್ಕೆ ವರ್ಗಾಯಿಸಿ. ಕತ್ತರಿಸಿದ ಕೊತ್ತಂಬರಿ ಎಲೆಗಳು ಮತ್ತು ಉಳಿದ ಕೋಮಲ ತೆಂಗಿನಕಾಯಿ ಕೆನೆಯಿಂದ ಅಲಂಕರಿಸಿ. ಎಳನೀರ್ ರಸಂ ರೆಸಿಪಿ (ಟೆಂಡರ್ ತೆಂಗಿನಕಾಯಿ ರಸಂ) ಅನ್ನು ಬಿಸಿ ಹಬೆಯಾಡುವ ಅನ್ನ ಮತ್ತು ಪಾಪಡಮ್‌ನೊಂದಿಗೆ ಅಥವಾ ಬಿಸಿ ಪೈಪಿಂಗ್ ಸೂಪ್‌ನಂತೆ ಬಡಿಸಿ.
</t>
  </si>
  <si>
    <t>http://www.archanaskitchen.com/elaneer-rasam-recipe-tender-coconut-rasam</t>
  </si>
  <si>
    <t>One Pot Vangi Bath Recipe Using Preethi Electric Pressure Cooker (Brinjal Rice)</t>
  </si>
  <si>
    <t>ಪ್ರೀತಿ ಎಲೆಕ್ಟ್ರಿಕ್ ಪ್ರೆಶರ್ ಕುಕ್ಕರ್ (ಬದನೆ ಅಕ್ಕಿ) ಬಳಸಿ ಒಂದು ಪಾಟ್ ವಾಂಗಿ ಬಾತ್ ರೆಸಿಪಿ</t>
  </si>
  <si>
    <t>1 ಕಪ್ ಅಕ್ಕಿ - ತೊಳೆದ, 1 ಬದನೆ (ಬೈಂಗನ್ / ಬದನೆ) - ನುಣ್ಣಗೆ ಕತ್ತರಿಸಿದ, ಉಪ್ಪು - ರುಚಿಗೆ, ಸೂರ್ಯಕಾಂತಿ ಎಣ್ಣೆ - ಅಡುಗೆಗೆ, 1 ಚಮಚ ಬಿಳಿ ಉದ್ದಿನ ಬೇಳೆ (ಒಡೆದ), 1 ಚಮಚ ಚನಾ ದಾಲ್ (ಬಂಗಾಳ ಬೇಳೆ), 2 ಟೇಬಲ್ಸ್ಪೂನ್ ಕೊತ್ತಂಬರಿ (ಧನಿಯಾ) ಬೀಜಗಳು, 1 ಚಮಚ ಜೀರಿಗೆ (1 ಟೀಚಮಚ ಜೀರಿಗೆ). ಮೆಂತ್ಯ ಬೀಜಗಳು (ಮೆಂತ್ಯ ಬೀಜಗಳು), 3 ಒಣ ಕೆಂಪು ಮೆಣಸಿನಕಾಯಿ, 2 ಟೇಬಲ್ಸ್ಪೂನ್ ಸೂರ್ಯಕಾಂತಿ ಎಣ್ಣೆ, 1 ಟೀಚಮಚ ಸಾಸಿವೆ, 1/4 ಟೀಚಮಚ ಇಂಗು (ಹಿಂಗ್), 1 ಟೀಚಮಚ ಅರಿಶಿನ ಪುಡಿ (ಹಲ್ದಿ), 1 ಕರಿಬೇವಿನ ಎಲೆಗಳು</t>
  </si>
  <si>
    <t>1 cup Rice - washed,1 Brinjal (Baingan / Eggplant) - finely chopped,Salt - to taste,Sunflower Oil - for cooking,1 tablespoon White Urad Dal (Split),1 tablespoon Chana dal (Bengal Gram Dal),2 tablespoons Coriander (Dhania) Seeds,1 teaspoon Cumin seeds (Jeera),1 teaspoon Sesame seeds (Til seeds),1/4 teaspoon Methi Seeds (Fenugreek Seeds),3 Dry Red Chilli,2 tablespoons Sunflower Oil,1 teaspoon Mustard seeds,1/4 teaspoon Asafoetida (hing),1 teaspoon Turmeric powder (Haldi),1 Curry leaves</t>
  </si>
  <si>
    <t xml:space="preserve">We begin making the One Pot Vangi Bath Recipe, we will start by roasting of vangi bath spice powder. Place a pan on medium heat and roast condiments well until you get a good aroma. Once the spices are roasted, allow it to cool down and then blend it in a spice grinder. Blend the spices in the Zodiac spice mixer grinder.  The next step is to make the vangi bathFirst, we will stir fry the brinjal and cook it until soft and then add the spices and the rice and cook it in a single pot. The electric pressure cooker is a great piece of equipment - as you can set the time and simply continue to do your work, without worrying about waiting for a whistle etc. Heat a bit of oil in the pressure cooker pan. Add the mustard seeds and allow it to crackle. Once it crackles, add the curry leaves, asafoetida, the brinjal and sprinkle of salt. Saute the brinjal until lightly done, as the pressure cooker will cook it deeper anyways. Next add the turmeric powder and the vangi bath spice mix, the rice, salt and finally 2 cups of water. Give it a stir and lock the lid of the pressure cooker and Lock lid in place. Turn the weight and set it into pressure mode. Since it’s rice, I am going to set it to the rice/biryani mode and set the vangi bath to cook.  Once the pressure builds up, the timer will get set and the rice will get cooking. When timer beeps, the pressure goes off into a keep warm mode and the pressure will slowly release. You will know the pressure is released completely when the pressure indicator comes down. At this stage you can open and give the one pot vangi bath a stir and serve.Serve Vangi Bath with Burani Raita or any other Raita of your choice for a quick weeknight dinner or even pack it into your lunch box.
</t>
  </si>
  <si>
    <t xml:space="preserve">ನಾವು ಒನ್ ಪಾಟ್ ವಾಂಗಿ ಬಾತ್ ರೆಸಿಪಿಯನ್ನು ತಯಾರಿಸಲು ಪ್ರಾರಂಭಿಸುತ್ತೇವೆ, ನಾವು ವಾಂಗಿ ಬಾತ್ ಮಸಾಲೆ ಪುಡಿಯನ್ನು ಹುರಿಯುವ ಮೂಲಕ ಪ್ರಾರಂಭಿಸುತ್ತೇವೆ. ಮಧ್ಯಮ ಉರಿಯಲ್ಲಿ ಪ್ಯಾನ್ ಅನ್ನು ಇರಿಸಿ ಮತ್ತು ನೀವು ಉತ್ತಮ ಪರಿಮಳವನ್ನು ಪಡೆಯುವವರೆಗೆ ಮಸಾಲೆಗಳನ್ನು ಚೆನ್ನಾಗಿ ಹುರಿಯಿರಿ. ಮಸಾಲೆಗಳನ್ನು ಹುರಿದ ನಂತರ, ಅದನ್ನು ತಣ್ಣಗಾಗಲು ಅನುಮತಿಸಿ ಮತ್ತು ನಂತರ ಅದನ್ನು ಮಸಾಲೆ ಗ್ರೈಂಡರ್ನಲ್ಲಿ ಮಿಶ್ರಣ ಮಾಡಿ. ರಾಶಿಚಕ್ರದ ಮಸಾಲೆ ಮಿಕ್ಸರ್ ಗ್ರೈಂಡರ್ನಲ್ಲಿ ಮಸಾಲೆಗಳನ್ನು ಮಿಶ್ರಣ ಮಾಡಿ.  ಮುಂದಿನ ಹಂತವೆಂದರೆ ವಂಗಿ ಸ್ನಾನವನ್ನು ಮಾಡುವುದು ಮೊದಲನೆಯದು, ನಾವು ಬದನೆಕಾಯಿಯನ್ನು ಹುರಿಯುತ್ತೇವೆ ಮತ್ತು ಮೃದುವಾಗುವವರೆಗೆ ಬೇಯಿಸುತ್ತೇವೆ ಮತ್ತು ನಂತರ ಮಸಾಲೆ ಮತ್ತು ಅಕ್ಕಿಯನ್ನು ಸೇರಿಸಿ ಮತ್ತು ಒಂದೇ ಪಾತ್ರೆಯಲ್ಲಿ ಬೇಯಿಸುತ್ತೇವೆ. ಎಲೆಕ್ಟ್ರಿಕ್ ಪ್ರೆಶರ್ ಕುಕ್ಕರ್ ಒಂದು ಉತ್ತಮ ಸಾಧನವಾಗಿದೆ - ನೀವು ಸಮಯವನ್ನು ಹೊಂದಿಸಬಹುದು ಮತ್ತು ನಿಮ್ಮ ಕೆಲಸವನ್ನು ಸರಳವಾಗಿ ಮುಂದುವರಿಸಬಹುದು, ಸೀಟಿ ಇತ್ಯಾದಿಗಳಿಗಾಗಿ ಕಾಯದೆಯೇ. ಪ್ರೆಶರ್ ಕುಕ್ಕರ್ ಪ್ಯಾನ್‌ನಲ್ಲಿ ಸ್ವಲ್ಪ ಎಣ್ಣೆಯನ್ನು ಬಿಸಿ ಮಾಡಿ. ಸಾಸಿವೆ ಕಾಳುಗಳನ್ನು ಸೇರಿಸಿ ಮತ್ತು ಅದನ್ನು ಸಿಡಿಸಲು ಬಿಡಿ. ಅದು ಸಿಡಿದ ನಂತರ, ಕರಿಬೇವಿನ ಎಲೆಗಳು, ಇಂಗು, ಬದನೆ ಮತ್ತು ಉಪ್ಪು ಸೇರಿಸಿ. ಬದನೆಕಾಯಿಯನ್ನು ಲಘುವಾಗಿ ಬೇಯಿಸುವವರೆಗೆ ಹುರಿಯಿರಿ, ಏಕೆಂದರೆ ಒತ್ತಡದ ಕುಕ್ಕರ್ ಅದನ್ನು ಆಳವಾಗಿ ಬೇಯಿಸುತ್ತದೆ. ಮುಂದೆ ಅರಿಶಿನ ಪುಡಿ ಮತ್ತು ವಾಂಗಿ ಬಾತ್ ಮಸಾಲೆ ಮಿಶ್ರಣ, ಅಕ್ಕಿ, ಉಪ್ಪು ಮತ್ತು ಅಂತಿಮವಾಗಿ 2 ಕಪ್ ನೀರು ಸೇರಿಸಿ. ಅದನ್ನು ಬೆರೆಸಿ ಮತ್ತು ಪ್ರೆಶರ್ ಕುಕ್ಕರ್‌ನ ಮುಚ್ಚಳವನ್ನು ಲಾಕ್ ಮಾಡಿ ಮತ್ತು ಮುಚ್ಚಳವನ್ನು ಲಾಕ್ ಮಾಡಿ. ತೂಕವನ್ನು ತಿರುಗಿಸಿ ಮತ್ತು ಒತ್ತಡದ ಮೋಡ್ಗೆ ಹೊಂದಿಸಿ. ಇದು ಅನ್ನವಾಗಿರುವುದರಿಂದ, ನಾನು ಅದನ್ನು ಅನ್ನ/ಬಿರಿಯಾನಿ ಮೋಡ್‌ಗೆ ಹೊಂದಿಸಲಿದ್ದೇನೆ ಮತ್ತು ಅಡುಗೆ ಮಾಡಲು ವಾಂಗಿ ಬಾತ್ ಅನ್ನು ಹೊಂದಿಸುತ್ತೇನೆ.  ಒತ್ತಡ ಹೆಚ್ಚಾದ ನಂತರ, ಟೈಮರ್ ಸೆಟ್ ಆಗುತ್ತದೆ ಮತ್ತು ಅಕ್ಕಿ ಬೇಯಿಸುತ್ತದೆ. ಟೈಮರ್ ಬೀಪ್ ಮಾಡಿದಾಗ, ಒತ್ತಡವು ಕೀಪ್ ವಾರ್ಮ್ ಮೋಡ್‌ಗೆ ಹೋಗುತ್ತದೆ ಮತ್ತು ಒತ್ತಡವು ನಿಧಾನವಾಗಿ ಬಿಡುಗಡೆಯಾಗುತ್ತದೆ. ಒತ್ತಡ ಸೂಚಕವು ಕೆಳಗೆ ಬಂದಾಗ ಒತ್ತಡವು ಸಂಪೂರ್ಣವಾಗಿ ಬಿಡುಗಡೆಯಾಗುತ್ತದೆ ಎಂದು ನಿಮಗೆ ತಿಳಿಯುತ್ತದೆ. ಈ ಹಂತದಲ್ಲಿ ನೀವು ಒಂದು ಪಾತ್ರೆ ವಾಂಗಿ ಬಾತ್ ಅನ್ನು ತೆರೆದು ಬೆರೆಸಿ ಮತ್ತು ಬಡಿಸಬಹುದು. ವಾರದ ರಾತ್ರಿಯ ರಾತ್ರಿಯ ಭೋಜನಕ್ಕೆ ಬುರಾನಿ ರೈತ ಅಥವಾ ನಿಮ್ಮ ಆಯ್ಕೆಯ ಯಾವುದೇ ಇತರ ರೈತಾದೊಂದಿಗೆ ವಾಂಗಿ ಬಾತ್ ಅನ್ನು ಸರ್ವ್ ಮಾಡಿ ಅಥವಾ ಅದನ್ನು ನಿಮ್ಮ ಲಂಚ್ ಬಾಕ್ಸ್‌ನಲ್ಲಿ ಪ್ಯಾಕ್ ಮಾಡಿ.
</t>
  </si>
  <si>
    <t>http://www.archanaskitchen.com/one-pot-vangi-bath-recipe-using-preethi-electric-pressure-cooker-brinjal-rice</t>
  </si>
  <si>
    <t>One Pot Vangi Bhath</t>
  </si>
  <si>
    <t>ವನ್ ಪಾಟ್ ವಾಂಗಿ ಭಾತ್ ರೆಸಿಪಿ - ಹಿಂದಿಯಲ್ಲಿ ಒನ್ ಪಾಟ್ ವಾಂಗಿ ಭಾತ್ ರೆಸಿಪಿ</t>
  </si>
  <si>
    <t>1 ಕಪ್ ಚಾವಲ್ - ಧೋ ಲೇ,1 ಬ್ಯಾಂಗನ್ - ಬಾರಿಕ್ ಕಾಟ್ ಲೆ,ನಮಕ - ಸ್ವಾದ ಅನುಸಾರ, ತೇಲ್ - ಪ್ರಯೋಗ,1ಅನುಸಾ ಚಮಚ್ಚ ಸಫೇದ ಉರದ ದಾಲ್,1 ಬಡಾ ಚಮಚ್ಚ ಚನ ದಾಲ್,2 ಬಡೇ ಕೆಧೆ ಬೀಜ್,1 ಛೋಟಾ ಚಮಚ್ಚ ಜೀರಾ,1 ಛೋಟಾ ಚಮಚ್ಚ ತಿಲ (ಸಫ಼ೆಡ್),1/4 ಛೋಚತ ದಾನೆ,3 ಸುಖಿ ಲಾಲ್ ಮಿರ್ಚ್,2 ಬಡೇ ಚಮಚ್ಚ ತೇಲ,1 ಛೋಟಾ ಚಮಚ್ಚ ರೈ,1/4 ಚಮಚ ಹೀಂಗ್,1 ಛೋಟಾ ಚಮಚ್ಚ ಹಲ್ದಿ ಪೌಡರ್,1 ಕಢೀ ಪತ್ತಾ</t>
  </si>
  <si>
    <t>1 cup rice - wash, 1 eggplant - finely chopped, salt - as per taste, oil - as per use, 1 tablespoon white urad dal, 1 tablespoon chana dal, 2 tablespoons coriander seeds, 1 teaspoon cumin seeds, 1 Teaspoon sesame seeds (white), 1/4 teaspoon fenugreek seeds, 3 dry red chilies, 2 tablespoons oil, 1 teaspoon mustard, 1/4 teaspoon asafoetida, 1 teaspoon turmeric powder, 1 curry leaves</t>
  </si>
  <si>
    <t>"To make One Pot Vangi Bhaath, first heat a pan. Add white urad dal, chana dal, coriander seeds, cumin seeds, sesame seeds, fenugreek seeds, dried red chillies and fry for 1 minute. Keep aside to cool. After cooling, put it in a mixer grinder and grind it. Keep aside. Now heat oil in a pressure cooker. Add mustard seeds and let it cook for 10 seconds. After 10 seconds, add curry leaves, asafoetida, brinjal, salt and cook till the brinjal becomes a little soft. Now add turmeric powder, Vangi Bhaath powder, rice, salt and 2 cups of water. Mix well, close the cooker and cook till 3 whistles. Let the pressure release automatically. Open the cooker, if the rice is not cooked properly, add some more water and let it whistle 1 more time. Serve One Pot Vangi Bhaath for lunch with Tadka Raita and papad Serve it.</t>
  </si>
  <si>
    <t xml:space="preserve">ವನ್ ಪಾಟ್ ವಾಂಗಿ ಭಾತ್ ಬನಾನೆ ಕೆ ಲಿಯೇ ಸಬಸೆ ಪಹಲೆ ಎಕ್ ಕಢೈ ಕೋ ಗರಂ ಕರ ಲೆ. ಅದೇ ರೀತಿ ಸಫದ ಉರದ ದಾಲ್, ಚನಾ ದಾಲ್, ಧನಿಯೆಗೆ ಬೀಜ್, ಜೀರಾ, ತಿಲ್, ಮೇಥಿಗೆ ದಾನೆ, ಸುಧಾಮ ದಾಲೆ ಮತ್ತು 1 ನಿಮಿಷ ತಕ್ ಸೆಕ್ ಲೆ. ಥಂಡಾ ಹೋನೆಗೆ ಅಲಗ್ ಸೆ ರಖ್ ದೆ. ಥಂಡಾ ಹೋನೆ ಕೆ ಬಾದ ಮಿಕ್ಸರ್ ಗ್ರೈಂಡರ್ ಮೆನ್ ಡಾಲೆ ಮತ್ತು ಪೀಸ್ ಲೆ. ಅಲಗ್ ಸೆ ರಖ್ ದೇ. ಅಬ್ ಎಕ್ ಪ್ರೆಶರ್ ಕುಕರ್ ಮೆಂ ತೇಲ್ ಗರಂ ಕರೆಂ. ಅದೇ ರೀತಿ ರೈ ದಾಲೆ ಮತ್ತು 10 ಸೆಕಂಡ್ಸ್ ತಕ ಪಕನೆ ದೆ. 10 ಸೆಕಂಡ್‌ಗಳು ಕಡ್ದಿ ಪತ್ತಾ, ಹೀಂಗ್, ಬ್ಯಾಂಕ್, ನಮಕ್ ಡಾಲೆ ಮತ್ತು ಬೊನ್ ಥೆಂಡ್ಸ್ ನರಮ್ ಹೊನೆ ತಕ ಪಕ ಲೇ. ಈಗ ಹಲ್ದಿ ಪೌಡರ್, ವಾಂಗಿ ಭಾತ್ ಪೌಡರ್, ಚಾವಲ್, ನಮಕ ಮತ್ತು 2 ಕಪ್ ಪಾನಿ ಡಾಲೆ. ಮಿಲಾ ಲೆ, ಕುಕರ್ ಕೋ ಬಂದ ಕರೆಂ ಮತ್ತು 3 ಸಿಟಿ ಆನೆ ತಕ ಪಕ ಲೆ.ಪ್ರೇಷರ್ ಅಪನೇ ಆಪ ನಿಕಲನೇ ದೆ. ಕುಕರ ಕೋ ಖೋಲೆ, ಗಾರಾ ಚಾವಲ್ ನ ಪಕೆ ಹೋ ತೋ, ಥೋಡಾ ಮತ್ತು ಪಾನಿ ಡೇಲ್ ಮತ್ತು 1 ಲೀ. ವನ್ ಪಾಟ್ ವಾಂಗಿ ಭಾತ್ ಕೊ ತಡಕಾ ರಾಯತಾ ಮತ್ತು ಪಾಪದ ದಿನವನ್ನು ಅನುಸರಿಸಿ.
</t>
  </si>
  <si>
    <t>https://www.archanaskitchen.com/one-pot-vangi-bath-recipe-using-preethi-electric-pressure-cooker-brinjal-rice-in-hindi</t>
  </si>
  <si>
    <t>Karnataka Style Kadle Kaalu Saru Recipe (Black Chickpea Curry Recipe)</t>
  </si>
  <si>
    <t>ಕರ್ನಾಟಕ ಸ್ಟೈಲ್ ಕಡ್ಲೆ ಕಾಳು ಸಾರು ರೆಸಿಪಿ (ಕಪ್ಪು ಕಡಲೆ ಕರಿ ರೆಸಿಪಿ)</t>
  </si>
  <si>
    <t>1 ಕಪ್ ಕಲಾ ಚನಾ (ಕಂದು ಕಡಲೆ), 1 ಚಮಚ ಬೆಲ್ಲ, 2 ಚಮಚ ಸಾಂಬಾರ್ ಪುಡಿ, 1 ಚಮಚ ಕೆಂಪು ಮೆಣಸಿನ ಪುಡಿ, ಉಪ್ಪು - ರುಚಿಗೆ ತಕ್ಕಷ್ಟು, 2 ಚಿಗುರು ಕೊತ್ತಂಬರಿ (ಧನಿಯಾ) ಎಲೆಗಳು - ಸಣ್ಣದಾಗಿ ಕೊಚ್ಚಿದ, 1 ಈರುಳ್ಳಿ - ಕತ್ತರಿಸಿದ, 4 ಲವಂಗ ಬೆಳ್ಳುಳ್ಳಿ - ಸಣ್ಣದಾಗಿ ಕೊಚ್ಚಿದ, 2 ಎಸಳು / 2 ಕರಿಬೇವು - 2 ಕಪ್ ಕರಿಬೇವು - 2 ಕಪ್ ತುರಿ ಈರುಳ್ಳಿ - ಕತ್ತರಿಸಿದ, 1 ಚಮಚ ಸಾಸಿವೆ, 1/2 ಟೀಚಮಚ ಜೀರಿಗೆ (ಜೀರಾ), 2 ಚಿಗುರು ಕರಿಬೇವಿನ ಎಲೆಗಳು</t>
  </si>
  <si>
    <t>1 cup Kala Chana (Brown Chickpeas),1 teaspoon Jaggery,2 tablespoon Sambar Powder,1 tablespoon Red Chilli powder,Salt - to taste,2 sprig Coriander (Dhania) Leaves - finely chopped,1 Onions - chopped,4 cloves Garlic - finely chopped,2 sprig Curry leaves,1/2 cup Fresh coconut - grated,2 Tomatoes - boiled,1 Onion - chopped,1 teaspoon Mustard seeds,1/2 teaspoon Cumin seeds (Jeera),2 sprig Curry leaves</t>
  </si>
  <si>
    <t xml:space="preserve">We begin making the Karnatak Style Kadle Kaalu Saru Recipe (Black Chickpea Curry) by soaking the black chickpeas in water for about 8 hours.Next is to roast the ingredients, for that heat a pan, add oil, curry leaves and sauté the onions and garlic. Finally add the coconut. Sauté till it is light brown.Once done, let it cool down and then grind it along with tomatoes into a smooth paste using a blender and keep it aside.Once the chickpeas is soaked, it is then pressure cooked in the same water in a pressure cooker for about half an hour. Release the pressure naturally.Place the cooker again on the heat, into the chickpeas add the ground mixture and then all the masala powders, season it well and let it boil for 15 minutes.Temper the ingredients, by crackling the mustard seeds, cumin seeds, curry leaves and sauté the onions, once done add the tempering on to the curry and mix.Serve the Karnataka Style Kadle Kaalu Saru Recipe (Black Chickpea Curry) with hot Phulka or just relish it with some steamed rice.
</t>
  </si>
  <si>
    <t xml:space="preserve">ಕಪ್ಪು ಕಡಲೆಯನ್ನು ಸುಮಾರು 8 ಗಂಟೆಗಳ ಕಾಲ ನೀರಿನಲ್ಲಿ ನೆನೆಸಿ ಕರ್ನಾಟಕ ಶೈಲಿಯ ಕಡ್ಲೆ ಕಾಳು ಸಾರು ರೆಸಿಪಿ (ಕಪ್ಪು ಕಡಲೆ ಕರಿ) ತಯಾರಿಸಲು ಪ್ರಾರಂಭಿಸುತ್ತೇವೆ. ನಂತರ ಪದಾರ್ಥಗಳನ್ನು ಹುರಿಯಲು ಪ್ಯಾನ್ ಅನ್ನು ಬಿಸಿ ಮಾಡಿ, ಎಣ್ಣೆ, ಕರಿಬೇವಿನ ಎಲೆಗಳನ್ನು ಸೇರಿಸಿ ಮತ್ತು ಈರುಳ್ಳಿ ಮತ್ತು ಬೆಳ್ಳುಳ್ಳಿಯನ್ನು ಹುರಿಯಿರಿ. ಅಂತಿಮವಾಗಿ ತೆಂಗಿನಕಾಯಿ ಸೇರಿಸಿ. ಇದು ತಿಳಿ ಕಂದು ಬಣ್ಣ ಬರುವವರೆಗೆ ಹುರಿಯಿರಿ. ನಂತರ ಅದನ್ನು ತಣ್ಣಗಾಗಲು ಬಿಡಿ ಮತ್ತು ನಂತರ ಅದನ್ನು ಬ್ಲೆಂಡರ್ ಬಳಸಿ ನಯವಾದ ಪೇಸ್ಟ್‌ಗೆ ಟೊಮೆಟೊಗಳೊಂದಿಗೆ ರುಬ್ಬಿಸಿ ಮತ್ತು ಪಕ್ಕಕ್ಕೆ ಇರಿಸಿ. ಕಡಲೆಯನ್ನು ನೆನೆಸಿದ ನಂತರ, ಅದನ್ನು ಪ್ರೆಶರ್ ಕುಕ್ಕರ್‌ನಲ್ಲಿ ಸುಮಾರು ಅರ್ಧ ಘಂಟೆಯವರೆಗೆ ಅದೇ ನೀರಿನಲ್ಲಿ ಬೇಯಿಸಲಾಗುತ್ತದೆ. ಒತ್ತಡವನ್ನು ಸ್ವಾಭಾವಿಕವಾಗಿ ಬಿಡುಗಡೆ ಮಾಡಿ. ಕುಕ್ಕರ್ ಅನ್ನು ಮತ್ತೆ ಶಾಖದ ಮೇಲೆ ಇರಿಸಿ, ಕಡಲೆಗೆ ರುಬ್ಬಿದ ಮಿಶ್ರಣವನ್ನು ಸೇರಿಸಿ ಮತ್ತು ನಂತರ ಎಲ್ಲಾ ಮಸಾಲಾ ಪುಡಿಗಳನ್ನು ಸೇರಿಸಿ, ಅದನ್ನು ಚೆನ್ನಾಗಿ ಒಗ್ಗರಣೆ ಮಾಡಿ ಮತ್ತು 15 ನಿಮಿಷಗಳ ಕಾಲ ಕುದಿಯಲು ಬಿಡಿ. ಸಾಸಿವೆ, ಜೀರಿಗೆ, ಕರಿಬೇವು ಮತ್ತು ಈರುಳ್ಳಿಯನ್ನು ಹುರಿದುಕೊಳ್ಳುವ ಮೂಲಕ ಪದಾರ್ಥಗಳನ್ನು ಹದಗೊಳಿಸಿ. (ಕಪ್ಪು ಕಡಲೆ ಕರಿ) ಬಿಸಿ ಫುಲ್ಕಾದೊಂದಿಗೆ ಅಥವಾ ಸ್ವಲ್ಪ ಬೇಯಿಸಿದ ಅನ್ನದೊಂದಿಗೆ ಸವಿಯಿರಿ.
</t>
  </si>
  <si>
    <t>http://www.archanaskitchen.com/karnatak-style-kadle-kaalu-saru-recipe-black-chickpea-curry</t>
  </si>
  <si>
    <t>Tomato Gojju (South Indian Style Tomato Curry Recipe)</t>
  </si>
  <si>
    <t>ಟೊಮೆಟೊ ಗೊಜ್ಜು (ದಕ್ಷಿಣ ಭಾರತೀಯ ಶೈಲಿಯ ಟೊಮೆಟೊ ಕರಿ ರೆಸಿಪಿ)</t>
  </si>
  <si>
    <t>4 ಟೊಮ್ಯಾಟೊ - ಕತ್ತರಿಸಿದ, 2 ಹಸಿರು ಮೆಣಸಿನಕಾಯಿಗಳು - ಕತ್ತರಿಸಿದ, 8 ಕರಿಬೇವಿನ ಎಲೆಗಳು, 2 ಟೀಚಮಚ ಬೆಲ್ಲ - ತುರಿದ, 1/4 ಟೀಚಮಚ ಅರಿಶಿನ ಪುಡಿ (ಹಾಲ್ದಿ), 2 ಟೀಚಮಚ ಸೂರ್ಯಕಾಂತಿ ಎಣ್ಣೆ, 1 ಟೀಚಮಚ ಸಾಸಿವೆ, 1/2 ಟೀಸ್ಪೂನ್ ಜೀರಿಗೆ (ಜೀರಾ), 1/2 ಟೀಚಮಚ ಇಂಗು (ಹಿಂಗ್), ಉಪ್ಪು - ರುಚಿಗೆ</t>
  </si>
  <si>
    <t>4 Tomatoes - chopped,2 Green Chillies - chopped,8 Curry leaves,2 teaspoons Jaggery - grated,1/4 teaspoon Turmeric powder (Haldi),2 teaspoon Sunflower Oil,1 teaspoon Mustard seeds,1/2 teaspoon Cumin seeds (Jeera),1/2 teaspoon Asafoetida (hing),Salt - to taste</t>
  </si>
  <si>
    <t xml:space="preserve">To begin making Tomato Gojju (South Indian Style Tomato Curry Recipe), first heat oil in a wok.Add the mustard seeds.Once they splutter, add the cumin seeds, hing, turmeric powder, curry leaves and green chillies.Saute for a few seconds and then add tomatoes, jaggery, and salt.Cook covered for 3-4 minutes.Cook Tomato Gojju uncovered for 3-4 minutes more or till the tomatoes soften and some of the water evaporates.Serve Tomato Gojju with Roti or Rice along with Paruppu Podi.
</t>
  </si>
  <si>
    <t xml:space="preserve">ಟೊಮೇಟೊ ಗೊಜ್ಜು (ದಕ್ಷಿಣ ಭಾರತೀಯ ಶೈಲಿಯ ಟೊಮೆಟೊ ಕರಿ ರೆಸಿಪಿ) ತಯಾರಿಸಲು ಪ್ರಾರಂಭಿಸಲು, ಮೊದಲು ಬಾಣಲೆಯಲ್ಲಿ ಎಣ್ಣೆಯನ್ನು ಬಿಸಿ ಮಾಡಿ. ಸಾಸಿವೆ ಸೇರಿಸಿ. ಒಮ್ಮೆ ಅವು ಚಿಮುಕಿಸಿದ ನಂತರ, ಜೀರಿಗೆ, ಹಿಂಗ್, ಅರಿಶಿನ ಪುಡಿ, ಕರಿಬೇವಿನ ಎಲೆಗಳು ಮತ್ತು ಹಸಿರು ಮೆಣಸಿನಕಾಯಿಗಳನ್ನು ಸೇರಿಸಿ. ಕೆಲವು ಸೆಕೆಂಡುಗಳ ಕಾಲ ಹುರಿಯಿರಿ ಮತ್ತು ನಂತರ ಟೊಮ್ಯಾಟೊ, ಬೆಲ್ಲ, ಮತ್ತು ಉಪ್ಪು ಸೇರಿಸಿ. 3-4 ನಿಮಿಷಗಳ ಕಾಲ ಅಥವಾ ಟೊಮ್ಯಾಟೊ ಮೃದುವಾಗುವವರೆಗೆ ಮತ್ತು ಸ್ವಲ್ಪ ನೀರು ಆವಿಯಾಗುವವರೆಗೆ. ಟೊಮೆಟೊ ಗೊಜ್ಜನ್ನು ರೊಟ್ಟಿ ಅಥವಾ ಅನ್ನದೊಂದಿಗೆ ಪರಪ್ಪು ಪೋಡಿಯೊಂದಿಗೆ ಬಡಿಸಿ.
</t>
  </si>
  <si>
    <t>http://www.archanaskitchen.com/tomato-gojju-south-indian-style-tomato-curry-recipe</t>
  </si>
  <si>
    <t>Elaneer Rasam Recipe</t>
  </si>
  <si>
    <t>ಇಳನೀರ್ ರಸಂ ರೆಸಿಪಿ - ಎಳನೀರ್ ರಸಂ ರೆಸಿಪಿ</t>
  </si>
  <si>
    <t>1 ಟಮಾಟರ್,1 ಕಪ್ ನಾರಿಯಲ್ ಕಾ ಪಾನಿ,3 ಛೋಟೆ ಚಮ್ಮಚ್ ನಾರಿಯಲ್ - ಪಲ್ಪ್,20 ಗ್ರಾಮ್ ಇಮಲಿ,ಕಥತ - ಥೋಡ,ಹೀಂಗ್ - ಚುಟಕಿ ಭರ್,1 ಛೋಟಾ ಚಮಚ್ಚ ರಸಂ ಪೌಡರ್,1/3 ಛೋಟ ಚಮ್ಚಮ್ ಪೌಡರ್,ನಮಕ - ಸ್ವಾದ ಅನುಸಾರ್,1/2 ಪಾನಿ,ಹರ ಧನಿಯಾ - ಥೋಡಾ,1 ಛೋಟಾ ಚಮೋಚ್ಚ 1 ಛಿ, ಚಮಚ್ಚ ರೈ,1 ಛೋಟಾ ಚಮಚ್ಚ ಜೀರಾ,8 ಪುದೀನಾ</t>
  </si>
  <si>
    <t>1 टमाटर,1 कप नारियल का पानी,3 छोटे चम्मच नारियल - पल्प,20 ग्राम इमली,कढ़ी पत्ता - थोड़ा,हींग - चुटकी भर,1 छोटा चमच्च रसम पाउडर,1/3 छोटा चमच्च हल्दी पाउडर,नमक - स्वाद अनुसार,1/2 पानी,हरा धनिया - थोड़ा,1 छोटा चमच्च घी,1 छोटा चमच्च राइ,1 छोटा चमच्च जीरा,8 पुदीना</t>
  </si>
  <si>
    <t>"To make Ilaneer Rasam, first take out the coconut water and keep it aside. Take out the coconut in a bowl. In a mixer jar add tomatoes, tamarind, 2 tbsp coconut, water and grind it. Keep some coconut aside. In a saucepan add tomato, tamarind water, turmeric powder, asafoetida, curry leaves and let it boil. Keep stirring at times. After it boils add rasam powder and mix it. Let it boil for 3 to 4 minutes. Now add coconut water and boil again. After 1 minute turn off the gas. For tempering heat ghee in a tempering pan. Add mustard seeds, cumin seeds and let the mustard seeds crackle. Turn off the gas and add it to the rasam. Garnish with coriander leaves and add remaining coconut. Serve Ilaneer Rasam with rice and Chow Chow Thoran for lunch."</t>
  </si>
  <si>
    <t xml:space="preserve">ಇಳನೀರ್ ರಸಂ ರೆಸಿಪಿ ಬನಾನೆಗೆ ಲಿಯೇ ಸಬಸೆ ಪಹಲೆ ನಾರಿಯಲ್ ಕಾ ಪಾನಿ ನಿಕಲಕರ್ ಅಲಗ್ ಸೆ ರಖ ಲೆ. ನಾರಿಯಲ್ ಕೋ ಒಂದು ಬೌಲ್ ಮೆನ್ ನಿಕಾಲ್ ಲೇ.ಒಂದು ಮಿಕ್ಸರ್ ಜಾರ್ ಮೆನ್ ಟಮಾಟರ್, ಇಮಲಿ, 2 ಬಡಮ್,ರಚನ ದಾಲೆ ಮತ್ತು ಪೀಸ್ ಲೆ. ಥೋಡಾ ನಾರಿಯಲ್ ಅಳಗ ಸೆ ರಖ್ ಲೇ.ಒಂದು ಸೊಸಪೈನ್ ನಲ್ಲಿ ಟಮಾಟರ್ ಇಮಲಿ ಕಾ ಪಾನಿ, ಹಲ್ದಿ,ಉಡು, ಪಾನಿ ಕಢೀ ಪತ್ತಾ ದಾಲೆ ಮತ್ತು ಉಬಲನೇ ದೇ. ಬಿಚ್ ಬಿಚ್ ಮೆನ್ ಮಿಲಾತೆ ರಹೇ. ಉಬಾಲ ಆನೆ ಕೆ ಬಾದ ಇಸ್ಮೆಂ ರಸಂ ಪೌಡರ್ ಡಾಲೆ ಮತ್ತು ಮಿಲಾ ಲೆ. 3 ಸೆ 4 ನಿಮಿಷಗಳು 1 ನಿಮಿಷ ಬಾದ ಗೇಸ್ ಬಂದ ಕರ್ ಲೇ. ತಡಕೆ ಒಂದು ತಡಕಾ ಪೈನ್ ನಲ್ಲಿ ಘಿ ಗರಂ ಕರೆಂ. ಅದೇ ರೀತಿ ರೈ, ಜೀರಾ ದಾಲೆ ಮತ್ತು ರೈ ಕೊ ತಡಕನೆ ದೆ. ಗೈಸ್ ಬಂದ ಕರೆಂ ಮತ್ತು ಈ ರಸಂ ಮೆಂ ಡಾಲೆ. ಹರೇ ಧನಿಯೇ ಸೆ ಗಾರ್ನಿಶ್ ಕರೆಂ ಮತ್ತು ಬಚಾ ಹುವಾ ನಾರಿಯಲ್ ಇಸ್ಮೆಂ ಡಾಲೆ. ಇಲಾನೀರ್ ರಸಂ ರೆಸಿಪಿ ಕೋ ಚಾವಲ್ ಮತ್ತು ಚಾವು ಚಾವು ತೋರನ್ ಕೆ ಸಾಥ್ ದಿನವನ್ನು ಉಲ್ಲೇಖಿಸಿ.
</t>
  </si>
  <si>
    <t>https://www.archanaskitchen.com/elaneer-rasam-recipe-tender-coconut-rasam-in-hindi</t>
  </si>
  <si>
    <t>Chow Chow Pasi Paruppu Poriyal Recipe - Chayote Squash And Moong Stir Fry</t>
  </si>
  <si>
    <t>ಚೌ ಚೌ ಪಾಸಿ ಪರಪ್ಪು ಪೊರಿಯಾಲ್ ರೆಸಿಪಿ - ಚಯೋಟೆ ಸ್ಕ್ವ್ಯಾಷ್ ಮತ್ತು ಮೂಂಗ್ ಸ್ಟಿರ್ ಫ್ರೈ</t>
  </si>
  <si>
    <t>3 ಚೌ ಚೌ (ಚಯೋಟೆ ಸ್ಕ್ವ್ಯಾಷ್) - ಕೋರ್ ಆಗಿ ಕತ್ತರಿಸಿ, 1/2 ಕಪ್ ಹಳದಿ ಮೂಂಗ್ ದಾಲ್ (ಒಡೆದ) - 10 ನಿಮಿಷ ನೆನೆಸಿ, 2 ಹಸಿರು ಮೆಣಸಿನಕಾಯಿಗಳು - ಸಣ್ಣದಾಗಿ ಕೊಚ್ಚಿದ, 3 ಚಮಚ ತಾಜಾ ತೆಂಗಿನಕಾಯಿ - ತುರಿದ, 2 ಒಣ ಕೆಂಪು ಮೆಣಸಿನಕಾಯಿಗಳು, 1 ಟೀಚಮಚ ಸಾಸಿವೆ ಬೀಜಗಳು, 1 ಚಮಚ ಕರಿಬೇವಿನ ಎಲೆಗಳು, 1 ಚಮಚ ಕರಿಬೇವಿನ ಎಲೆಗಳು. ರಸ, 2 ಟೀಸ್ಪೂನ್ ಸೂರ್ಯಕಾಂತಿ ಎಣ್ಣೆ, ಉಪ್ಪು - ರುಚಿಗೆ</t>
  </si>
  <si>
    <t>3 Chow chow (chayote squash) - cored and cut into cubes,1/2 cup Yellow Moong Dal (Split) - soaked for 10 minutes,2 Green Chillies - finely chopped,3 tablespoons Fresh coconut - grated,2 Dry Red Chillies,1 teaspoon Mustard seeds,1 sprig Curry leaves,1/8 teaspoon Asafoetida (hing),2 teaspoon Lemon juice,2 teaspoon Sunflower Oil,Salt - to taste</t>
  </si>
  <si>
    <t xml:space="preserve">To begin making Chow Chow Pasi Paruppu Poriyal Recipe (Chayote Squash And Moong Stir Fry), peel the skin, core the centre and chop the chayote squash into small cubes and keep aside.Wash and soak the moong dal in a bowl of water for 10 minutes.Heat oil in a heavy bottomed pan, add the mustard seeds and let it splutter. Add the asafoetida, dried red chilli, curry leaves and let it crackle.Add the green chillies and saute for a few seconds. Add in the chayote cubes and saute for a minute.Now, drain the soaked moong dal and add it to the pan, season with salt and mix well.Close it with a lid and let the moong dal and chayote squash cook in its own steam for 10 minutes. The texture of the moong dal and chayote should be kept firm yet soft to bite on.Once the chayote squash and moong dal is cooked, add in the grated coconut and mix well.Switch off the heat, add the lemon juice and mix well.Serve the Chow Chow Pasi Paruppu Poriyal Recipe (Chayote Squash And Moong Stir Fry) along with Steamed Rice, Thakkali Vengayam Sambar Recipe (Tomato Onion Sambar) and Indian Vegetable Salad Recipe for the weeknight dinner.
</t>
  </si>
  <si>
    <t xml:space="preserve">ಚೌ ಚೌ ಪಾಸಿ ಪರುಪ್ಪು ಪೊರಿಯಾಲ್ ರೆಸಿಪಿ (ಚಾಯೋಟೆ ಸ್ಕ್ವ್ಯಾಷ್ ಮತ್ತು ಮೂಂಗ್ ಸ್ಟಿರ್ ಫ್ರೈ) ತಯಾರಿಸಲು ಪ್ರಾರಂಭಿಸಲು, ಚರ್ಮವನ್ನು ಸಿಪ್ಪೆ ಮಾಡಿ, ಮಧ್ಯಭಾಗವನ್ನು ಕತ್ತರಿಸಿ ಮತ್ತು ಚಯೋಟೆ ಸ್ಕ್ವ್ಯಾಷ್ ಅನ್ನು ಸಣ್ಣ ತುಂಡುಗಳಾಗಿ ಕತ್ತರಿಸಿ ಮತ್ತು ಪಕ್ಕಕ್ಕೆ ಇರಿಸಿ. ಬೆಂಡೆಕಾಯಿಯನ್ನು ತೊಳೆದು ಒಂದು ಬೌಲ್ ನೀರಿನಲ್ಲಿ 10 ನಿಮಿಷಗಳ ಕಾಲ ನೆನೆಸಿ. ಇಂಗು, ಒಣಗಿದ ಕೆಂಪು ಮೆಣಸಿನಕಾಯಿ, ಕರಿಬೇವಿನ ಎಲೆಗಳನ್ನು ಸೇರಿಸಿ ಮತ್ತು ಅದನ್ನು ಕ್ರ್ಯಾಕ್ ಮಾಡಲು ಬಿಡಿ. ಹಸಿರು ಮೆಣಸಿನಕಾಯಿಗಳನ್ನು ಸೇರಿಸಿ ಮತ್ತು ಕೆಲವು ಸೆಕೆಂಡುಗಳ ಕಾಲ ಹುರಿಯಿರಿ. ಚಾಯೋಟ್ ಕ್ಯೂಬ್‌ಗಳನ್ನು ಸೇರಿಸಿ ಮತ್ತು ಒಂದು ನಿಮಿಷ ಹುರಿಯಿರಿ. ಈಗ, ನೆನೆಸಿದ ಮೂಂಗ್ ಬೇಲ್ ಅನ್ನು ಹರಿಸುತ್ತವೆ ಮತ್ತು ಅದನ್ನು ಪ್ಯಾನ್‌ಗೆ ಸೇರಿಸಿ, ಉಪ್ಪು ಸೇರಿಸಿ ಮತ್ತು ಚೆನ್ನಾಗಿ ಮಿಶ್ರಣ ಮಾಡಿ. ಅದನ್ನು ಮುಚ್ಚಳದಿಂದ ಮುಚ್ಚಿ ಮತ್ತು ಮೂಂಗ್ ದಾಲ್ ಮತ್ತು ಚಯೋಟೆ ಸ್ಕ್ವ್ಯಾಷ್ ಅನ್ನು ತನ್ನದೇ ಆದ ಹಬೆಯಲ್ಲಿ 10 ನಿಮಿಷಗಳ ಕಾಲ ಬೇಯಿಸಿ. ಮೂಂಗ್ ದಾಲ್ ಮತ್ತು ಚಾಯೋಟೆಯ ರಚನೆಯು ಗಟ್ಟಿಯಾಗಿರಬೇಕಾಗಿದ್ದರೂ ಕಚ್ಚಲು ಮೃದುವಾಗಿರಬೇಕು. ಚಯೋಟೆ ಕುಂಬಳಕಾಯಿ ಮತ್ತು ಮೂಂಗ್ ದಾಲ್ ಅನ್ನು ಬೇಯಿಸಿದ ನಂತರ, ತುರಿದ ತೆಂಗಿನಕಾಯಿಯನ್ನು ಸೇರಿಸಿ ಮತ್ತು ಚೆನ್ನಾಗಿ ಮಿಶ್ರಣ ಮಾಡಿ. ಉರಿಯನ್ನು ಆಫ್ ಮಾಡಿ, ನಿಂಬೆ ರಸವನ್ನು ಸೇರಿಸಿ ಮತ್ತು ಚೆನ್ನಾಗಿ ಮಿಶ್ರಣ ಮಾಡಿ. ಚೌ ಚೌ ಪಾಸಿ ಪರಪ್ಪು ಪೊರಿಯಾಲ್ ರೆಸಿಪಿ (ಚಾಯೋಟ್ ಸ್ಕ್ವಾಕ್ಕಾಮ್ ಆಂಡ್ಗಾ ಜೊತೆಗೆ ಚಾಯೋಟೆ ಸ್ಕ್ವಾಕ್ಕಾಮ್ ಆಂಡ್ಗಾ ಜೊತೆಗೆ) ಬಡಿಸಿ. ಸಾಂಬಾರ್ ರೆಸಿಪಿ (ಟೊಮೇಟೊ ಈರುಳ್ಳಿ ಸಾಂಬಾರ್) ಮತ್ತು ವಾರದ ರಾತ್ರಿಯ ಭೋಜನಕ್ಕೆ ಇಂಡಿಯನ್ ವೆಜಿಟೇಬಲ್ ಸಲಾಡ್ ರೆಸಿಪಿ.
</t>
  </si>
  <si>
    <t>https://www.archanaskitchen.com/chow-chow-pasiparuppu-poriyal-recipe-chayote-squash-and-moong-stir-fry</t>
  </si>
  <si>
    <t>Badanekaayi Gojju (Brinjal Curry) Recipe</t>
  </si>
  <si>
    <t>ಬದನೆಕಾಯಿ ಗೊಜ್ಜು (ಬದನೆ ಕರಿ) ರೆಸಿಪಿ</t>
  </si>
  <si>
    <t>10 ಸಣ್ಣ ಬದನೆಕಾಯಿ (ಬೈಂಗನ್ / ಬಿಳಿಬದನೆ), 2 ಈರುಳ್ಳಿ - ನುಣ್ಣಗೆ ಕತ್ತರಿಸಿದ, 1 ಟೀಚಮಚ ಸಾಸಿವೆ, ಉಪ್ಪು - ರುಚಿಗೆ, 4 ಟೇಬಲ್ಸ್ಪೂನ್ ಸೂರ್ಯಕಾಂತಿ ಎಣ್ಣೆ, ಕೊತ್ತಂಬರಿ (ಧನಿಯಾ) ಎಲೆಗಳು - ಅಲಂಕರಿಸಲು, ಹುರಿದ ಕಡಲೆಕಾಯಿ (ಮೂಂಗ್ಫಾಲಿ) - ಅಲಂಕರಿಸಲು, ತಾಜಾ ತೆಂಗಿನಕಾಯಿ, 1/4 ಕಪ್ ತಾಜಾ ರುಬ್ಬಲು (ಮೂಂಗ್ಫಾಲಿ), 2 ಟೇಬಲ್ಸ್ಪೂನ್ ಹುಣಸೆಹಣ್ಣಿನ ಪೇಸ್ಟ್, 2 ಒಣ ಕೆಂಪು ಮೆಣಸಿನಕಾಯಿಗಳು, 2 ಟೇಬಲ್ಸ್ಪೂನ್ ಜೀರಿಗೆ (ಜೀರಾ), 1 ಚಮಚ ಕೆಂಪು ಮೆಣಸಿನಕಾಯಿ ಪುಡಿ, 1 ಚಮಚ ಅರಿಶಿನ ಪುಡಿ (ಹಲ್ಡಿ), 1 ಚಮಚ ಉಪ್ಪು</t>
  </si>
  <si>
    <t>10 Small Brinjal (Baingan / Eggplant),2 Onion - finely chopped,1 teaspoon Mustard seeds,Salt - to taste,4 tablespoons Sunflower Oil,Coriander (Dhania) Leaves - for garnishing,Roasted Peanuts (Moongphali) - for garnishing,1/4 cup Fresh coconut - freshly grated,2 tablespoons Raw Peanuts (Moongphali),2 tablespoons Tamarind Paste,2 Dry Red Chillies,2 tablespoons Cumin seeds (Jeera),1 tablespoon Red Chilli powder,1 tablespoon Turmeric powder (Haldi),1 tablespoon Salt</t>
  </si>
  <si>
    <t xml:space="preserve">To begin with Badanekaayi Gojju, firstly wash the brinjals and slit them cross wise.Mix all the ingredients mentioned under ‘For filling’ in a mixing bowl and fill it into the brinjals.Let them sit for some time, till you get everything else ready. Blend all the ingredients listed under ‘For the paste’ to make a smooth paste, using enough water.In a wide pan, heat the oil. Add mustard seeds and let it crackle.When it crackles, add the chopped onions and sauté till it turns pink. Add brinjal and the remaining filling into the pan and sauté.Cover and cook till the brinjal is 3/4th cooked. Add the ground paste and 1 cup water.Add salt and jaggery, cover and cook. Cook till the gravy thickens and the brinjal is cooked well.Garnish is with some coarsely crushed peanuts and coriander leaves.Serve Badanekaayi Gojju with Whole Wheat Lachha Paratha and Lauki raita for a perfect weekday lunch.
</t>
  </si>
  <si>
    <t xml:space="preserve">ಬದನೆಕಾಯಿ ಗೊಜ್ಜು ನೊಂದಿಗೆ ಪ್ರಾರಂಭಿಸಲು, ಮೊದಲು ಬದನೆಕಾಯಿಗಳನ್ನು ತೊಳೆದು ಅಡ್ಡಲಾಗಿ ಸೀಳಿಕೊಳ್ಳಿ. ‘ಭರ್ತಿಗಾಗಿ’ ಅಡಿಯಲ್ಲಿ ನಮೂದಿಸಲಾದ ಎಲ್ಲಾ ಪದಾರ್ಥಗಳನ್ನು ಮಿಶ್ರಣದ ಬಟ್ಟಲಿನಲ್ಲಿ ಮಿಶ್ರಣ ಮಾಡಿ ಮತ್ತು ಅದನ್ನು ಬದನೆಕಾಯಿಗಳಿಗೆ ತುಂಬಿಸಿ. ನೀವು ಉಳಿದೆಲ್ಲವೂ ಸಿದ್ಧವಾಗುವವರೆಗೆ ಅವುಗಳನ್ನು ಸ್ವಲ್ಪ ಸಮಯ ಕುಳಿತುಕೊಳ್ಳಿ. ಸಾಕಷ್ಟು ನೀರು ಬಳಸಿ ನಯವಾದ ಪೇಸ್ಟ್ ಮಾಡಲು 'ಪೇಸ್ಟ್‌ಗಾಗಿ' ಅಡಿಯಲ್ಲಿ ಪಟ್ಟಿ ಮಾಡಲಾದ ಎಲ್ಲಾ ಪದಾರ್ಥಗಳನ್ನು ಮಿಶ್ರಣ ಮಾಡಿ. ಅಗಲವಾದ ಪ್ಯಾನ್‌ನಲ್ಲಿ ಎಣ್ಣೆಯನ್ನು ಬಿಸಿ ಮಾಡಿ. ಸಾಸಿವೆ ಸೇರಿಸಿ ಮತ್ತು ಅದನ್ನು ಸಿಡಿಸಲು ಬಿಡಿ. ಅದು ಸಿಡಿದಾಗ, ಕತ್ತರಿಸಿದ ಈರುಳ್ಳಿ ಸೇರಿಸಿ ಮತ್ತು ಅದು ಗುಲಾಬಿ ಬಣ್ಣಕ್ಕೆ ತಿರುಗುವವರೆಗೆ ಹುರಿಯಿರಿ. ಬಾಣಲೆಗೆ ಬದನೆ ಮತ್ತು ಉಳಿದ ಹೂರಣವನ್ನು ಸೇರಿಸಿ ಮತ್ತು ಹುರಿಯಿರಿ. ಕವರ್ ಮತ್ತು ಬದನೆ 3/4 ಬೇಯಿಸುವವರೆಗೆ ಬೇಯಿಸಿ. ರುಬ್ಬಿದ ಪೇಸ್ಟ್ ಮತ್ತು 1 ಕಪ್ ನೀರು ಸೇರಿಸಿ. ಉಪ್ಪು ಮತ್ತು ಬೆಲ್ಲ ಸೇರಿಸಿ, ಮುಚ್ಚಿ ಬೇಯಿಸಿ. ಗ್ರೇವಿ ದಪ್ಪವಾಗುವವರೆಗೆ ಮತ್ತು ಬದನೆ ಚೆನ್ನಾಗಿ ಬೇಯಿಸುವವರೆಗೆ ಬೇಯಿಸಿ. ಕೆಲವು ಒರಟಾಗಿ ಪುಡಿಮಾಡಿದ ಕಡಲೆಕಾಯಿಗಳು ಮತ್ತು ಕೊತ್ತಂಬರಿ ಸೊಪ್ಪಿನಿಂದ ಅಲಂಕರಿಸಿ. ಸಂಪೂರ್ಣ ಗೋಧಿ ಲಚ್ಚಾ ಪರಾಠ ಮತ್ತು ಲೌಕಿ ರೈಟಾದೊಂದಿಗೆ ಬದನೆಕಾಯಿ ಗೊಜ್ಜನ್ನು ವಾರದ ದಿನದ ಊಟಕ್ಕೆ ಬಡಿಸಿ.
</t>
  </si>
  <si>
    <t>https://www.archanaskitchen.com/badanekaayi-gojju-brinjal-curry-recipe</t>
  </si>
  <si>
    <t>Badanekaayi Gojju Recipe</t>
  </si>
  <si>
    <t>ಬದನೆಕಾಯಿ ಗೊಜ್ಜು ರೆಸಿಪಿ - Badanekaayi Gojju Recipe</t>
  </si>
  <si>
    <t>10 ಬ್ಯಾಂಕ್,2 ಪ್ಯಾಜ್ - ಬಾರಿಕ್ ಕಾಟ್ ಲೆ,1 ಛೋಟಾ ಚಮ್ಮಚ್ ರೈ,ನಮಕ್ - ಸ್ವಾದ ಅನುಸಾರ,4 ಚಮದ್ ತೇಲ್,ಹರಾ ಧನಿಯಾ - ಗಾರ್ನಿಶ್ ಕೆ ಲಿಯೇ,ಮೂಂಗಫಲಿ - ರೋಸ್ಟ್ ಕರ್ ಲೇ,1/4 ಕಪ್ ನಾರಿಯಲ್ - ಗ್ರೇಟ್, 2ಕರ್ ಚಮ್ಮಚ ಮೂಂಗಫಲಿ,2 ಬಡೆ ಚಮ್ಮಚ್ ಇಮಲಿ ಕಾ ಪೇಸ್ಟ್,2 ಸುಖಿ ಲಾಲ್ ಮಿರ್ಚ್,2 ಬೂಡ್,1 ಬಡಾ ಚಮ್ಮಚ್ ಲಾಲ್ ಮಿರ್ಚ್ ಪೌಡರ್, 1 ಬಡಾ ಚಮ್ಮಚ್ ಹಲ್ದಿ ಪೌಡರ್, 1 ಬಡ ಚಮಕ್</t>
  </si>
  <si>
    <t>10 eggplants, 2 onions - finely chopped, 1 tsp rye, salt - as per taste, 4 tbsp oil, green coriander - for garnish, peanuts - roast, 1/4 cup coconut - great, 2 tbsp Spoon peanuts, 2 tbsp tamarind paste, 2 dry red chillies, 2 tbsp cumin seeds, 1 tbsp red chilli powder, 1 tbsp turmeric powder, 1 tbsp salt</t>
  </si>
  <si>
    <t xml:space="preserve">To make Badnekai Gojju recipe first wash the brinjal and make straight and diagonal cuts. Do not cut it whole. Firstly in a bowl add cumin seeds, red chili powder, turmeric powder, salt and mix well. Fill this mixture in the brinjal and keep aside. In a mixer grinder add coconut, peanuts, tamarind paste, dried red chili, some water and make a paste. In a pan heat oil. Add mustard seeds and let it crackle. After this add onions and cook till they become soft. After onions become soft add brinjal and remaining masala and mix. Cover the pan and cook till 3/4th of brinjal is cooked. Now add ground masala and 1 cup water. After 1 minute add salt, jaggery, cover the pan and cook till the gravy thickens. After cooking garnish with crushed peanuts and coriander leaves. Serve Badnekai Gojju recipe with Laccha Paratha and Bottle Gourd Serve with Raita for dinner.
</t>
  </si>
  <si>
    <t xml:space="preserve">ಬದನೆಕಾಯಿ ಗೊಜ್ಜು ರೆಸಿಪಿ ಬನಾನೆಗಾಗಿ ಕಟ ಲಗಾ ಲೆ. ಪೂರಾ ನಾ ಕಟ್ಟೆ ಸಬಸೆ ಪಹಲೆ ಒಂದು ಬೌಲ್ ಮೆನ್ ಜೀರಾ, ಲಾಲ್ ಮಿರ್ಚ್ ಪೌಡರ್, ಹಳ್ದಿ ಪಡಸಾಲೆ ಅಚ್ಛಿ ತರಹ ಸೆ ಮಿಲಾ ಲೆ. ಈ ಮಿಶ್ರಣ ಕೋ ಬ್ಯಾಂಗನ್ ನಲ್ಲಿ ಭರೆ ಮತ್ತು ಅಲಗ್ ಸೆ ರಖ್ ದೇ. ಒಂದು ಮಿಕ್ಸರ್ ಗ್ರೈಂಡರ್ ನಾರಿಯಲ್, ಮೂಂಗಫಲಿ, ಇಮಲಿ ಕಾ ಪೆಸ್ಟ್, ಸುಖಿ ಲಾಲ್ ಮಿರ್ಚ್, ಥಾಡಾ ಮತ್ತು ಪೆಸ್ಟ್ ಬನಾ ಲೆ. ಒಂದು ಕಥೆಯಲ್ಲಿ ತೇಲ್ ಗರಂ ಕರೆಂ. ಇದೇ ರೈ ದಾಲೆ ಮತ್ತು ತಡಕನೆ ದೆ. ಇಸಕೆ ಬಾದ ಇಸ್ಮೆಂ ಪ್ಯಾಜ್ ಡಾಲೆ ಮತ್ತು ಉನಕೆ ನರಮ್ ಹೋನೆ ತಕ ಪಕ ಲೆ. ಪ್ಯಾಜ್‌ನ ನರ್ಮ್ ಹೋನೆಗೆ ಬಾದ ಇಸ್ಮೆಂ ಬ್ಯಾಂಗನ್ ಮತ್ತು ಬಚಾ ಹುವಾ ಮಸಾಲಾ ಡಾಲೆ ಮತ್ತು ಮಿಲಾ ಢಕೆ ಮತ್ತು ಬ್ಯಾಂಕ್ ಕೆ 3/4ನೇ ಪಕನೆ ತಕ ಪಕಾಯೇ. ಈಗ ಪಿಸಾ ಹುವಾ ಮಸಾಲಾ ಮತ್ತು 1 ಕಪ್ ಪಾನಿ ದಾಲೆ. 1 ನಿಮಿಷಗಳು ಕೇವಲ ನಮಕ್, ಗುಡದ ದಾಲೆ, ಕಡತೈ ಕೊ ಢಕೆ ಮತ್ತು ಗ್ರೇವಿಯ ಗಾಥೆಗಳು ಪಕಾಎ. ಪಕನೆ ಕೆ ಬಾದ್ ಕ್ರೂಸೆಡ್ ಮೂಂಗಫಲಿ ಮತ್ತು ಹರೇ ಧನಿಯೆ ಸೆ ಗಾರ್ನಿಶ್ ಕರೆಂ. ಬದನೆಕಾಯಿ ಗೊಜ್ಜು ರೆಸಿಪಿ ಕೋ ಲಚ್ಚಾ ಪರಾಠಾ ಮತ್ತು ಲೌಕಿ ರಾಯತಾ ಕೆ ಸಾಥ್ ದಿನಕ್ಕಾಗಿ.
</t>
  </si>
  <si>
    <t>http://www.archanaskitchen.com/badanekaayi-gojju-brinjal-curry-recipe-in-hindi</t>
  </si>
  <si>
    <t>teluguName</t>
  </si>
  <si>
    <t>ingredients_te</t>
  </si>
  <si>
    <t>instructions_te</t>
  </si>
  <si>
    <t>Gongura Chicken Curry Recipe - Andhra Style Gongura Chicken</t>
  </si>
  <si>
    <t>గోంగూర చికెన్ కర్రీ రిసిపి - ఆంధ్రా స్టైల్ గోంగూర చికెన్</t>
  </si>
  <si>
    <t>500 గ్రాముల చికెన్, 2 ఉల్లిపాయలు - తరిగిన, 1 టొమాటో - తరిగిన, 4 పచ్చిమిర్చి - ముక్కలు, 1 అంగుళం అల్లం - సన్నగా తరిగిన, 6 లవంగాలు వెల్లుల్లి - సన్నగా తరిగిన, 1/2 టీస్పూన్ పసుపు పొడి (హల్దీ), 1 టీస్పూన్ గరం మసాలా పొడి, 2 టేబుల్ స్పూన్ నువ్వులు (బెల్లం/ రుచికి 4 టీస్పూన్లు) (మెంతి గింజలు), 1 టేబుల్ స్పూన్ కొత్తిమీర (ధనియా) విత్తనాలు, 4 ఎండు మిరపకాయలు, 1 టీస్పూన్ ఫెన్నెల్ గింజలు (సాన్ఫ్), 1 టీస్పూన్ నువ్వులు (బెల్లం) నూనె, 4 లవంగాలు వెల్లుల్లి, 2 కప్పులు సోరెల్ ఆకులు (గోంగూర) - కోసి తరిగినవి, ఉప్పు - రుచికి సరిపడా</t>
  </si>
  <si>
    <t>500 grams Chicken,2 Onion - chopped,1 Tomato - chopped,4 Green Chillies - slit,1 inch Ginger - finely chopped,6 cloves Garlic - finely chopped,1/2 teaspoon Turmeric powder (Haldi),1 teaspoon Garam masala powder,2 tablespoon Sesame (Gingelly) Oil,Salt - to taste,1/4 teaspoon Methi Seeds (Fenugreek Seeds),1 tablespoon Coriander (Dhania) Seeds,4 Dry Red Chillies,1 teaspoon Fennel seeds (Saunf),1 teaspoon Sesame (Gingelly) Oil,4 cloves Garlic,2 cups Sorrel Leaves (Gongura) - picked and chopped,Salt - to taste</t>
  </si>
  <si>
    <t xml:space="preserve">To begin making Gongura Chicken Curry Recipe first prep all the ingredients and keep them aside.In a small pan, dry roast the methi seeds, coriander seeds, fennel seeds and red chillies for about 3 to 4 minutes on medium heat, until you notice the seeds crackling. Once done, turn off the heat and allow it to cool a bit and blend it into a smooth powder.Heat oil in a pressure cooker over medium heat; add the chopped onions, ginger, garlic and green chillies and saute until the onions are lightly browned and tender.Add the tomatoes, and saute until the tomatoes become soft and mushy. Once done add the chicken, the garam masala and turmeric powder. Add 1/4 cup of water and pressure cook the chicken for 3 to 4 whistles and turn off the heat.Once done, allow the pressure to release naturally.Make sure there are no stems when you pick the gongura leaves. Wash and chop the gongura leaves and keep aside.In another pan,add some oil along garlic and saute the chopped gongura leaves along with a little salt and the ground masala. The gongura leaves will wilt almost instantly. Saute the gongura in the masala for about 3 to 4 minutes until it becomes like a mushy paste.Once done, add the cooked chicken curry into the Gongura masala and saute on high heat for another 2 minutes and turn off the heat.Check the salt and spices and adjust according to taste. Transfer the Gongura Chicken Curry to a serving bowl and serve hot.Serve Gongura Chicken with Ghee Rice Recipe | Neychoru , Tomato Onion Cucumber Raita Recipe and a Semiya Payasam for a delicious weekend lunch.
</t>
  </si>
  <si>
    <t xml:space="preserve">గోంగూర చికెన్ కర్రీ రెసిపీని తయారు చేయడం ప్రారంభించడానికి ముందుగా అన్ని పదార్థాలను సిద్ధం చేసి పక్కన పెట్టండి. ఒక చిన్న పాన్‌లో మెంతి గింజలు, కొత్తిమీర గింజలు, సోపు గింజలు మరియు ఎర్ర మిరపకాయలను మీడియం వేడి మీద సుమారు 3 నుండి 4 నిమిషాలు పొడిగా కాల్చండి, విత్తనాలు పగులుతున్నట్లు మీరు గమనించే వరకు. పూర్తి చేసిన తర్వాత, వేడిని ఆపివేయండి మరియు దానిని కొంచెం చల్లబరచడానికి అనుమతించండి మరియు దానిని మృదువైన పొడిగా కలపండి. మీడియం వేడి మీద ప్రెజర్ కుక్కర్లో నూనెను వేడి చేయండి; తరిగిన ఉల్లిపాయలు, అల్లం, వెల్లుల్లి మరియు పచ్చిమిర్చి వేసి ఉల్లిపాయలు లేత గోధుమరంగు మరియు మెత్తగా అయ్యే వరకు వేయించాలి. టొమాటోలు వేసి, టొమాటోలు మెత్తగా మరియు మెత్తగా అయ్యే వరకు వేయించాలి. పూర్తయిన తర్వాత చికెన్, గరం మసాలా మరియు పసుపు పొడిని జోడించండి. 1/4 కప్పు నీళ్లు పోసి చికెన్‌ను 3 నుండి 4 విజిల్స్ వచ్చే వరకు ప్రెషర్ చేసి, వేడిని ఆపివేయండి. ఒకసారి పూర్తి చేసిన తర్వాత, ప్రెజర్ సహజంగా విడుదలయ్యేలా చేయండి. మీరు గోంగూర ఆకులను ఎంచుకున్నప్పుడు కాడలు లేవని నిర్ధారించుకోండి. గోంగూర ఆకులను కడిగి, తరిగి పక్కన పెట్టుకోవాలి.మరొక పాన్‌లో వెల్లుల్లితో పాటు కొంచెం నూనె వేసి, తరిగిన గోంగూర ఆకులను కొద్దిగా ఉప్పు మరియు రుబ్బిన మసాలా వేసి వేయించాలి. గోంగూర ఆకులు దాదాపు తక్షణమే రాలిపోతాయి. గోంగూరను మసాలాలో 3 నుండి 4 నిముషాల పాటు మెత్తగా పేస్ట్ లాగా అయ్యే వరకు వేయించాలి. పూర్తయిన తర్వాత, ఉడికించిన చికెన్ కర్రీని గోంగూర మసాలాలో వేసి మరో 2 నిమిషాలు ఎక్కువ వేడి మీద వేయించి, వేడిని ఆపివేయండి. ఉప్పు మరియు మసాలా దినుసులను తనిఖీ చేయండి మరియు రుచికి అనుగుణంగా సర్దుబాటు చేయండి. గోంగూర చికెన్ కర్రీని సర్వింగ్ బౌల్‌కి బదిలీ చేసి వేడి వేడిగా సర్వ్ చేయండి. నెయ్యి రైస్‌తో గోంగూర చికెన్‌ని సర్వ్ చేయండి | నెయ్‌చోరు , టమాటో ఉల్లిపాయ దోసకాయ రైటా రెసిపీ మరియు ఒక సేమియా పాయసం ఒక రుచికరమైన వారాంతపు భోజనం.
</t>
  </si>
  <si>
    <t>http://www.archanaskitchen.com/gongura-chicken-curry-recipe-andhra-style-gongura-chicken</t>
  </si>
  <si>
    <t>Andhra</t>
  </si>
  <si>
    <t>Adrak Chutney</t>
  </si>
  <si>
    <t>ఆంధ్రా స్టైల్ ఆలమ్ పచడి రెసిపీ - అద్రాక్ చట్నీ (హిందీలో వంటకం)</t>
  </si>
  <si>
    <t>1 బడా చమచ్చ చనా దాల్,1 బడా చమచ్చ సఫేద్ ఉరద దాల్,2 సుఖ్,1 బడా చమచ్చ ధనియే కే బీజ్,3 ఇంచ్ అదరక్ - కాట్ లే,1 ప్యాజ్ - కాట్ లే,1 రట -మాట స్వాద్ అనుసార్,1 ఛోటా చమచ్చ రాయ్, హీంగ్ - చుటకి భర్,తేల్ - ప్రయోగ్ అనుసార్,1</t>
  </si>
  <si>
    <t>1 tablespoon chana dal, 1 tablespoon white urad dal, 2 red chillies, 1 tablespoon coriander seeds, 3 inches ginger - chop, 1 onion - chop, 1 tomato - chop, salt - as per taste, 1 Teaspoon mustard, asafoetida - a pinch, oil - as per use, 1 sprig curry</t>
  </si>
  <si>
    <t>"To make Andhra Style Alam Pachadi, first heat oil in a pan. Add lentils and cook till it turns brown. Now add dried red chillies, coriander seeds, onion, ginger and cook till onion becomes soft. After onion is cooked, add tomatoes and cook till tomato becomes soft. Turn off the gas and let it cool. After it cools down, put it in a mixer grinder and make a paste. For Tadka, heat oil in a small pan. Add mustard seeds and cook for 10 seconds. Now add curry leaves, asafoetida and cook for 10 seconds. Add it to the chutney and mix it. Serve Andhra Style Alam Pachadi with Ghee Roast Dosa and Kirai Sambar for breakfast."</t>
  </si>
  <si>
    <t xml:space="preserve">ఆంధ్రా స్టైల్ ఆలమ్ పచ్చడి బనానె కే లియే సబ్సే పహలే ఏ కధై మెన్ టెల్. ఇదే అదరక్ దాలే మరియు ప్రార్థన యొక్క నరమ్ హోనే తక్ పకాయే. ప్రార్థన కోసం తప్పు, అదే విధంగా టమాటర్ డాలే మరియు టమాటర్ గురించి చెప్పవచ్చు. గేస్ బంద కరెన్ మరియు ఠండ హోనే దే. ఒక మిక్సర్ గ్రైండర్లో దాలే మరియు పెస్ట్ బనా లే.  వెంటనే, ఒక ఛోటి కధై మేం తెల్ గరం కరెం. అదే రాయ్ డాలే మరియు 10 సెకండ్‌లు కూడా ఉన్నాయి. ఇప్పుడు కఢీ పట్టా, హీంగ్ డాలే మరియు 10 సెకండ్‌లు కూడా ఉన్నాయి. ఈ చటని నేను దాలే మరియు మిలా లే. ఆంధ్రా స్టైల్ ఆలమ్ పచ్చడి కో ఘీ రోస్ట్ దోస మరియు కిరాయి సాంబార్ వంటి వాటితో పాటుగా లియే పరోసే.
</t>
  </si>
  <si>
    <t>https://www.archanaskitchen.com/andhra-style-allam-pachadi-ginger-chutney-recipe-in-hindi</t>
  </si>
  <si>
    <t>Andhra Style Ingavu Chaaru Recipe - Asafoetida Flavored Tamarind Rasam</t>
  </si>
  <si>
    <t>ఆంధ్రా స్టైల్ ఇంగవు చారు రెసిపీ - ఇంగువ రుచిగల చింతపండు రసం</t>
  </si>
  <si>
    <t>2 కప్పు చింతపండు నీరు, 1/2 కప్పు అరహార్ పప్పు (స్ప్లిట్ టూర్ డాల్), 1 టీస్పూన్ ఇంగువ (హింగ్), ఉప్పు - రుచికి తగినట్లుగా, 1 టీస్పూన్ ఆవాలు, 1 టీస్పూన్ జీలకర్ర (జీరా), 1 టీస్పూన్ మెంతి గింజలు (మెంతి గింజలు), 1 రెమ్మ కరివేపాకు, 1 చిటికెడు ఇంగువ,</t>
  </si>
  <si>
    <t>2 cup Tamarind Water,1/2 cup Arhar dal (Split Toor Dal),1 teaspoon Asafoetida (hing),Salt - to taste,1 teaspoon Mustard seeds,1 teaspoon Cumin seeds (Jeera),1 teaspoon Methi Seeds (Fenugreek Seeds),1 sprig Curry leaves,1 pinch Asafoetida (hing),Sunflower Oil - for cooking</t>
  </si>
  <si>
    <t xml:space="preserve">To begin making the Andhra Style Ingavu Chaaru Recipe pressure cook the tamarind water with toor dal, hing and salt for about 4 whistles. Turn off the flame and allow the pressure to release naturally. Open the lif of the cooker and thoroughly mash the dal and bring the whole mixture together by mixing it well. To temper, heat a kadai with oil, add mustard seeds, cumin seeds, fenugreek seeds and allow it to crackle.Add curry leaves, pinch of hing and leave it for 2 seconds and pour it over the rasam. Serve the Andhra Style Ingavu Chaaru Recipe along with steamed rice and Gorikayi Palya Recipe  as a comforting meal during your week day.
</t>
  </si>
  <si>
    <t xml:space="preserve">ఆంధ్రా స్టైల్ ఇంగావు చారు రెసిపీని తయారు చేయడం ప్రారంభించడానికి చింతపండు నీళ్లను పప్పు, ఉంగరం మరియు ఉప్పుతో కలిపి సుమారు 4 విజిల్‌ల వరకు ఉడికించాలి. మంటను ఆపివేయండి మరియు ఒత్తిడిని సహజంగా విడుదల చేయడానికి అనుమతించండి. కుక్కర్‌లోని లిఫ్‌ని తెరిచి, పప్పును బాగా మెత్తగా చేసి, మొత్తం మిశ్రమాన్ని బాగా కలపండి. టెంపర్ చేయడానికి, కడాయిని నూనెతో వేడి చేసి, ఆవాలు, జీలకర్ర, మెంతులు వేసి పగులగొట్టడానికి అనుమతించండి. కరివేపాకు, చిటికెడు హింగ్ వేసి 2 సెకన్ల పాటు వదిలి రసం మీద పోయాలి. ఆంధ్రా స్టైల్ ఇంగవు చారు రెసిపీతో పాటు ఉడికించిన అన్నం మరియు గోరికాయి పల్య   తో పాటు మీ వారం రోజులలో ఓదార్పునిచ్చే భోజనంగా అందించండి.
</t>
  </si>
  <si>
    <t>https://www.archanaskitchen.com/andhra-style-ingavu-chaaru-recipe-asafetida-flavored-tamarind-rasam</t>
  </si>
  <si>
    <t>Andhra Style Tamati Pachadi Recipe (Tomato Chutney)</t>
  </si>
  <si>
    <t>ఆంధ్రా స్టైల్ టమాటి పచ్చడి రిసిపి (టమోటో చట్నీ)</t>
  </si>
  <si>
    <t>1 కిలోల టమోటాలు, 8 ఎండు మిరపకాయలు - సర్దుబాటు, 1 టీస్పూన్ చింతపండు పేస్ట్, 2 టీస్పూన్లు ఎర్ర మిరప పొడి - ఐచ్ఛికం, 1/2 టీస్పూన్ పసుపు పొడి (హల్దీ), 1 టేబుల్ స్పూన్ ఆవాలు, 1 టీస్పూన్ మెంతి గింజలు (మెంతి గింజలు), 8 లవంగాలు వెల్లుల్లి, పొద్దుతిరుగుడు నూనె, ఉప్పు - రుచికి</t>
  </si>
  <si>
    <t>1 kg Tomatoes,8 Dry Red Chillies - adjustable,1 teaspoon Tamarind Paste,2 teaspoons Red Chilli powder - optional,1/2 teaspoon Turmeric powder (Haldi),1 tablespoon Mustard seeds,1 teaspoon Methi Seeds (Fenugreek Seeds),8 cloves Garlic,Sunflower Oil,Salt - to taste</t>
  </si>
  <si>
    <t xml:space="preserve">To begin making the Andhra Style Tamati Pachadi recipe, take the chopped tomatoes in a deep bottomed pan. Add salt, turmeric &amp; tamarind to them. Keep the pan on medium heat &amp; boil till they loose all the water &amp; turn into a mushy paste alike. Keep stirring in between. Meanwhile when the tomatoes are boiling, take another pan, heat 2-3 teaspoons of oil. Add the mustard seeds, fenugreek seeds. Once they crackle, add dry red chillies. Fry them till they become fragrant. Once done, cool them &amp; grind them into a smooth powder.Add the ground masala that we made in step two to the tomatoes &amp; mix well. If you think that the chillies aren't spicy enough, then add red chilli powder according to your preference at this step.Once again heat 5 tbsp oil, add the garlic pods &amp; mustard seeds to it. Once the garlic turns brownish &amp; the seeds crackle, switch off the stove &amp; let them cool.Add the tempered mixture to the chutney. You can even add some urad dal or chana dal to this tempering. But make sure to add this tempered oil mix only when it is completely cooled off. This is important as it makes sure the chutney stays fresh for a long time.Serve Andhra Style Tamati Pachadi along with Ghee Masala Dosa and Homemade Soft Idlis for your breakfast or as your tea time snack.
</t>
  </si>
  <si>
    <t xml:space="preserve">ఆంధ్రా స్టైల్ టమటి పచ్చడి రెసిపీని తయారు చేయడం ప్రారంభించడానికి, తరిగిన టొమాటోలను లోతైన అడుగున ఉన్న పాన్‌లో తీసుకోండి. వాటికి ఉప్పు, పసుపు &amp; చింతపండు కలపండి. పాన్‌ను మీడియం వేడి మీద ఉంచండి మరియు అవి మొత్తం నీళ్లను పోగొట్టే వరకు మరిగించి మెత్తని పేస్ట్‌గా మారుతాయి. మధ్యమధ్యలో కలుపుతూ ఉండండి. ఇంతలో టమోటాలు ఉడకబెట్టినప్పుడు, మరొక పాన్ తీసుకుని, 2-3 టీస్పూన్ల నూనె వేడి చేయండి. ఆవాలు, మెంతి గింజలు జోడించండి. అవి పగిలిన తర్వాత, ఎండు మిరపకాయలను జోడించండి. అవి సువాసన వచ్చే వరకు వేయించాలి. పూర్తయిన తర్వాత, వాటిని చల్లబరచండి మరియు వాటిని మెత్తగా మెత్తగా మెత్తగా రుబ్బుకోవాలి. మేము రెండవ దశలో చేసిన మసాలాను టమోటాలకు వేసి బాగా కలపాలి. మిరపకాయలు తగినంత కారంగా లేవని మీరు అనుకుంటే, ఈ దశలో మీ ప్రాధాన్యత ప్రకారం ఎర్ర కారం పొడిని జోడించండి. మరోసారి 5 టేబుల్ స్పూన్ల నూనెను వేడి చేయండి, దానికి వెల్లుల్లి పాయలు &amp; ఆవాలు జోడించండి. వెల్లుల్లి గోధుమ రంగులోకి మారిన తర్వాత &amp; గింజలు పగిలిన తర్వాత, స్టవ్ ఆఫ్ చేసి, వాటిని చల్లబరచండి. చట్నీకి టెంపర్ చేసిన మిశ్రమాన్ని జోడించండి. మీరు ఈ టెంపరింగ్‌కి కొన్ని ఉరద్ పప్పు లేదా చనా పప్పును కూడా జోడించవచ్చు. అయితే పూర్తిగా చల్లారిన తర్వాత మాత్రమే ఈ టెంపర్డ్ ఆయిల్ మిక్స్‌ను జోడించాలని నిర్ధారించుకోండి. చట్నీ చాలా కాలం పాటు తాజాగా ఉండేలా చేస్తుంది కాబట్టి ఇది చాలా ముఖ్యం.ఆంధ్రా స్టైల్ టమటి పచ్చడిని నెయ్యి మసాలా దోస మరియు ఇంట్లో తయారు చేసిన సాఫ్ట్ ఇడ్లీలను మీ అల్పాహారంగా లేదా మీ టీ టైమ్ స్నాక్‌గా సర్వ్ చేయండి.
</t>
  </si>
  <si>
    <t>http://www.archanaskitchen.com/andhra-style-tamati-pachadi-recipe-tomato-chutney</t>
  </si>
  <si>
    <t>Lauki Ka Salan Recipe - Bottle Gourd Salan Recipe</t>
  </si>
  <si>
    <t>లౌకి కా సలాన్ రెసిపీ - బాటిల్ గోర్డ్ సలాన్ రిసిపి</t>
  </si>
  <si>
    <t>500 గ్రాముల పొట్లకాయ (లౌకి) - 1/2 అంగుళాల డిస్క్‌లుగా కట్ చేసుకోండి, 1 ఉల్లిపాయ - సన్నగా తరిగిన, 6 లవంగాలు వెల్లుల్లి - సన్నగా తరిగిన, 1 అంగుళం అల్లం - సన్నగా తరిగిన, 4 పచ్చిమిర్చి - చీలిక, 1 టీస్పూన్ జీలకర్ర (జీరా), 1/2 టీస్పూన్ మెంతులు, 4 టీస్పూన్లు పసుపు పొడి (హల్దీ), 1 టీస్పూన్ ఎర్ర కారం, 1 టేబుల్ స్పూన్ ధనియాలు, 1 కప్పు చింతపండు నీరు, 2 టొమాటోలు - పూరీలా, సన్‌ఫ్లవర్ ఆయిల్ - వండడానికి, ఉప్పు - రుచికి, 3 రెమ్మలు కొత్తిమీర (ధనియా) ఆకులు - తరిగిన, 2 టేబుల్ స్పూన్లు శనగపప్పు, 2 టేబుల్ స్పూన్లు టేబుల్ స్పూన్లు తాజా కొబ్బరి - తురిమిన</t>
  </si>
  <si>
    <t>500 grams Bottle gourd (lauki) - Cut into 1/2 inch discs,1 Onion - finely chopped,6 cloves Garlic - finely chopped,1 inch Ginger - finely chopped,4 Green Chillies - slit,1 teaspoon Cumin seeds (Jeera),1/2 teaspoon Mustard seeds,1/4 teaspoon Methi Seeds (Fenugreek Seeds),1/4 teaspoon Turmeric powder (Haldi),1 teaspoon Red Chilli powder,1 tablespoon Coriander Powder (Dhania),1 cup Tamarind Water,2 Tomatoes - made into a puree,Sunflower Oil - to cook,Salt - to taste,3 sprig Coriander (Dhania) Leaves - chopped,2 tablespoons Roasted Peanuts (Moongphali),2 tablespoons Sesame seeds (Til seeds),3 tablespoons Fresh coconut - grated</t>
  </si>
  <si>
    <t xml:space="preserve">To begin making Lauki Ka Salan Recipe prep all the ingredients and keep them ready.Into a mixer grinder blend the peanuts, sesame seeds and grated coconut along with a little water to make a smooth paste and keep aside.Make a puree of the tomato and keep aside.Next take a kadai or a deep pan and heat oil. Add mustard seeds, methi seeds, curry leaves and allow it to crackle.Once the mustard seeds crackle,  add the slit green chilies, chopped onions, ginger and garlic and saute the onions till they turn translucent and soft.Stir in the tomato puree, turmeric powder, red chilli powder, coriander powder and give it a brisk boil. Add the bottle gourd, slices, tamarind water and 1/4 cup of addition water.Cover the pan and simmer until the bottle gourd/ lauki has cooked through. Once done, stir in the peanut sesame paste and simmer the Lauki Ka Salan for 3 to 4 minutes until the salan gets a good gravy like consistency.Check the salt and spices and adjust according to taste. Turn off the heat and transfer the Lauki Ka Salan into a serving bowl and serve hot. Serve Lauki Ka Salan Along with Hyderabadi Vegetable Biryani and Dangar Pachadi With Grated Carrots for a weekend lunch. You can also serve it with Tawa Paratha Recipe - Plain Paratha or Whole Wheat Lachha Paratha.
</t>
  </si>
  <si>
    <t xml:space="preserve">లౌకి కా సలాన్ రెసిపీని తయారు చేయడం ప్రారంభించడానికి అన్ని పదార్థాలను సిద్ధం చేసి, వాటిని సిద్ధంగా ఉంచండి. మిక్సర్ గ్రైండర్‌లో వేరుశెనగలు, నువ్వులు మరియు తురిమిన కొబ్బరిని కొద్దిగా నీళ్లతో కలిపి మెత్తగా పేస్ట్‌గా చేసి పక్కన పెట్టండి. టొమాటో గుజ్జును తయారు చేసి పక్కన పెట్టండి. తర్వాత కడాయి లేదా డీప్ పాన్ తీసుకొని నూనె వేడి చేయండి. ఆవాలు, మెంతి గింజలు, కరివేపాకు వేసి చిటపటలాడనివ్వండి. ఆవాలు చిటపటలాడిన తర్వాత, పచ్చిమిరపకాయలు, తరిగిన ఉల్లిపాయలు, అల్లం మరియు వెల్లుల్లి వేసి అవి అపారదర్శకంగా మరియు మెత్తగా మారే వరకు ఉల్లిపాయలను వేయించాలి. టొమాటో ప్యూరీ, పసుపు పొడి, ఎర్ర కారం, కొత్తిమీర పొడి వేసి మరిగించి ఇవ్వండి. బాటిల్ పొట్లకాయ, ముక్కలు, చింతపండు నీరు మరియు 1/4 కప్పు అదనంగా నీరు జోడించండి. పాన్ మూతపెట్టి, బాటిల్ పొట్లకాయ/లౌకీ ఉడికినంత వరకు ఆవేశమును అణిచిపెట్టుకోండి. పూర్తయిన తర్వాత, వేరుశెనగ నువ్వుల పేస్ట్‌లో కదిలించు మరియు లౌకీ కా సలాన్‌ను 3 నుండి 4 నిమిషాలు ఆవేశమును అణిచిపెట్టుకోండి, సలాన్ స్థిరత్వం వంటి మంచి గ్రేవీని పొందుతుంది. ఉప్పు మరియు మసాలా దినుసులను తనిఖీ చేయండి మరియు రుచికి అనుగుణంగా సర్దుబాటు చేయండి. వేడిని ఆపివేసి, లౌకి కా సలాన్‌ను సర్వింగ్ బౌల్‌లోకి బదిలీ చేసి వేడిగా సర్వ్ చేయండి. లౌకీ కా సలాన్‌తో పాటు హైదరాబాదీ వెజిటబుల్ బిర్యానీ మరియు దంగార్ పచ్చడితో క్యారెట్‌లను వారాంతపు భోజనం కోసం సర్వ్ చేయండి. మీరు దీన్ని తవా పరాటా రెసిపీ - ప్లెయిన్ పరాటా లేదా హోల్ వీట్ లచ్చా పరాఠాతో కూడా సర్వ్ చేయవచ్చు.
</t>
  </si>
  <si>
    <t>https://www.archanaskitchen.com/lauki-ka-salan-recipe-bottle-gourd-salan-recipe</t>
  </si>
  <si>
    <t>Andhra Style Vendakaya Charu Recipe - Ladies Finger Rasam</t>
  </si>
  <si>
    <t>ఆంధ్రా స్టైల్ వెండకాయ చారు రెసిపీ - లేడీస్ ఫింగర్ రసం</t>
  </si>
  <si>
    <t>6 భిండి (లేడీ ఫింగర్/ఓక్రా), 2 టొమాటో - స్థూలంగా తరిగిన, 6 ముత్యాల ఉల్లిపాయలు (సాంబార్ ఉల్లిపాయలు) - వంతులు, 4 వెల్లుల్లి, 1 కప్పు చింతపండు నీరు, 1 టీస్పూన్ ఎర్ర మిరపకాయ పొడి, 1/2 టీస్పూన్ పసుపు పొడి (హల్దీ), 1/4 టీస్పూన్ ఇంగువ (హల్దీ), 1 టీస్పూన్ ధనియాలు, 1 టీస్పూన్ కొత్తిమీర, టేస్ట్ టీస్పూన్ నెయ్యి, 1/2 టీస్పూన్ ఆవాలు, 1/2 టీస్పూన్ జీలకర్ర (జీర), 1/4 టీస్పూన్ మెంతి గింజలు (మెంతి గింజలు), 1 రెమ్మ కరివేపాకు, 1 ఎండు మిర్చి - సగానికి విభజించబడింది</t>
  </si>
  <si>
    <t>6 Bhindi (Lady Finger/Okra),2 Tomato - roughly chopped,6 Pearl onions (Sambar Onions) - quartered,4 Garlic,1 cup Tamarind Water,1 teaspoon Red Chilli powder,1/2 teaspoon Turmeric powder (Haldi),1/4 teaspoon Asafoetida (hing),1 teaspoon Coriander Powder (Dhania),1 teaspoon Sugar,Salt - to taste,1 teaspoon Ghee,1/2 teaspoon Mustard seeds,1/2 teaspoon Cumin seeds (Jeera),1/4 teaspoon Methi Seeds (Fenugreek Seeds),1 sprig Curry leaves,1 Dry Red Chilli - broken into half</t>
  </si>
  <si>
    <t xml:space="preserve">We begin making the Andhra Style Vendakaya Charu Recipe (Ladies Finger Rasam Recipe) by placing  a pressure cooker on medium flame with ghee and the mustard seeds and allow them to splutter, next add  cumin seeds, fenugreek seeds, dry red chillies, curry leaves and allow them to crackle. Next add in the chopped onions, and garlic pods. Saute till it is translucent. Then add in the tamarind water,  sugar, salt, red chilli powder, turmeric powder, asafoetida, coriander powderand chopped tomatoes and okra. Stir well.Pressure cook the rasam for about 3 whistles, turn off the flame and allow the pressure to release naturally. Serve the Andhra Style Vendakaya Charu Recipe (Ladies Finger Rasam Recipe) with  Chettinad Beans &amp; Cauliflower Poriyal Recipe, hot steamed rice with a teaspoon of ghee to enrich the taste.
</t>
  </si>
  <si>
    <t xml:space="preserve">మేము ఆంధ్రా స్టైల్ వెండకాయ చారు రెసిపీ (లేడీస్ ఫింగర్ రసం రెసిపీ)ని  ప్రెజర్ కుక్కర్‌ని మీడియం మంట మీద నెయ్యి మరియు ఆవాలు వేసి వాటిని చిలకరించడానికి అనుమతిస్తాము, తర్వాత  జీలకర్ర, మెంతి గింజలు, ఎండు మిరపకాయలు, కరివేపాకులను వేసి వాటిని పగలనివ్వండి. తరువాత తరిగిన ఉల్లిపాయలు మరియు వెల్లుల్లి పాడ్స్ జోడించండి. ఇది అపారదర్శకమయ్యే వరకు వేయించాలి. తర్వాత చింతపండు నీరు,  పంచదార, ఉప్పు, ఎర్ర మిరప పొడి, పసుపు పొడి, ఇంగువ, కొత్తిమీర పొడి మరియు తరిగిన టమోటాలు మరియు ఓక్రా జోడించండి. బాగా కదిలించు. రసాన్ని సుమారు 3 విజిల్స్ వరకు ఉడికించి, మంటను ఆపివేసి, ఒత్తిడిని సహజంగా విడుదల చేయడానికి అనుమతించండి. ఆంధ్రా స్టైల్ వెండకాయ చారు రెసిపీ (లేడీస్ ఫింగర్ రసం రెసిపీ)ని  చెట్టినాడ్ బీన్స్ &amp; కాలీఫ్లవర్ పొరియాల్ రిసిపి, వేడిగా ఉడికించిన అన్నం ఒక టీస్పూన్ నెయ్యితో కలిపి రుచిని మెరుగుపరచండి.
</t>
  </si>
  <si>
    <t>https://www.archanaskitchen.com/andhra-style-vendakaya-charu-recipe-ladies-finger-rasam-recipe</t>
  </si>
  <si>
    <t>Andhra Style Palakura Pappu Recipe (Spinach Dal Recipe)</t>
  </si>
  <si>
    <t>ఆంధ్రా స్టైల్ పాలకూర పప్పు (పాలకూర పప్పు రిసిపి)</t>
  </si>
  <si>
    <t>1/2 కప్పు అర్హర్ పప్పు (స్ప్లిట్ టూర్ డాల్), 1/2 కప్పు పసుపు మూంగ్ పప్పు (స్ప్లిట్), 1 కప్పు బచ్చలి ఆకులు (పాలక్) - కడిగి, తరిగిన, 1 కప్పు పెర్ల్ ఉల్లిపాయలు (సాంబార్ ఉల్లిపాయలు), 2 పచ్చిమిర్చి - చీలిక, 1 టీస్పూన్ పసుపు పొడి (హల్దీ), 1/2 టీస్పూన్ పసుపు పొడి (హల్దీ), 1/2 కప్పు పచ్చిమిర్చి, లవంగాలు వెల్లుల్లి - ముతక పౌండ్, 1 రెమ్మ కరివేపాకు, 2 ఎండు మిరపకాయలు, 1 టీస్పూన్ సన్‌ఫ్లవర్ ఆయిల్</t>
  </si>
  <si>
    <t>1/2 cup Arhar dal (Split Toor Dal),1/2 cup Yellow Moong Dal (Split),1 cup Spinach Leaves (Palak) - Washed and chopped,1 cup Pearl onions (Sambar Onions),2 Green Chillies - slit,1 teaspoon Turmeric powder (Haldi),1/2 cup Tamarind Water,Salt - to taste,1 teaspoon Mustard seeds,4 cloves Garlic - coarsely pound,1 sprig Curry leaves,2 Dry Red Chillies,1 teaspoon Sunflower Oil</t>
  </si>
  <si>
    <t xml:space="preserve">To begin making the Andhra Style Palakura Pappu, add Arhar dal/toor dal into a pressure cooker with 2 cups water and pressure cook for about 3 whistles.Switch off the heat and allow it release the pressure by itself.Once the pressure is released, open the lid and give it a stir.Place the pressure cooker on low heat and add the tamarind water. In the meanwhile, heat a small kadai with 1 teaspoon oil. Once the oil is hot, add mustard seeds and allow it splutter. Add curry leaves and leave it to crackle. Next add dry red chilies and garlic, saute for few seconds and turn off the flame. Pour this tempering over the Palakura Pappu and stir well. Serve Andhra Style Palakura Pappu with Phulka or hot steamed rice with a dollop of ghee over it, and Aloo Bhindi Ki Sabzi Recipe to enjoy your lunch. 
</t>
  </si>
  <si>
    <t xml:space="preserve">ఆంధ్రా స్టైల్ పాలకూర పప్పును తయారు చేయడం ప్రారంభించడానికి, ప్రెజర్ కుక్కర్‌లో 2 కప్పుల నీళ్లతో ప్రెజర్ కుక్కర్‌లో అరహార్ పప్పు వేసి సుమారు 3 విజిల్స్ వచ్చే వరకు ప్రెషర్ కుక్ చేయండి. వేడిని ఆపివేసి, ప్రెజర్‌ని దానికదే వదిలేయండి. ప్రెజర్ విడుదలయ్యాక మూత తెరిచి కదిలించండి. ప్రెజర్ కుక్కర్‌ను తక్కువ వేడి మీద ఉంచండి. ఈలోగా, 1 టీస్పూన్ నూనెతో చిన్న కడాయిని వేడి చేయండి. నూనె వేడి అయిన తర్వాత, ఆవాలు వేసి చిటపటలాడనివ్వండి. కరివేపాకు వేసి చిటపటలాడాలి. తర్వాత ఎండు మిరపకాయలు మరియు వెల్లుల్లి వేసి, కొన్ని సెకన్ల పాటు వేయించి మంటను ఆపివేయండి. పాలకూర పప్పు మీద ఈ టెంపరింగ్ పోసి బాగా కలపాలి. ఆంధ్రా స్టైల్ పాలకూర పప్పుని ఫుల్కాతో లేదా వేడి ఉడికించిన అన్నాన్ని దానిపై నెయ్యితో మరియు ఆలూ భిండీ కి సబ్జీ రెసిపీని మీ లంచ్‌ని ఆస్వాదించండి. 
</t>
  </si>
  <si>
    <t>http://www.archanaskitchen.com/andhra-style-palak-kura-pappu-recipe-spinach-dal-recipe</t>
  </si>
  <si>
    <t>Andhra Style Saggubiyyam Punugulu Recipe (Crispy Tapioca Snack)</t>
  </si>
  <si>
    <t>ఆంధ్రా స్టైల్ సగ్గుబియ్యం పునుగులు రిసిపి (కరకరలాడే టపియోకా స్నాక్)</t>
  </si>
  <si>
    <t>1 కప్పు సబుదానా (టపియోకా ముత్యాలు) - 2 గంటలు నానబెట్టి, 2 టేబుల్ స్పూన్లు ఉంగరం పెరుగు (గ్రీకు పెరుగు), 1 కప్పు బియ్యం పిండి, 1 టీస్పూన్ జీలకర్ర (జీరా), 1 టేబుల్ స్పూన్ ఎర్ర మిరపకాయలు, 1 రెమ్మ కరివేపాకు - తరిగిన, 2 పచ్చిమిర్చి - తరిగిన, 1 ఉల్లిపాయ - రుచికి సరిపడా</t>
  </si>
  <si>
    <t>1 cup Sabudana (Tapioca Pearls) - soaked for 2 hours,2 tablespoon Hung Curd (Greek Yogurt),1 cup Rice flour,1 teaspoon Cumin seeds (Jeera),1 tablespoon Red Chilli powder,1 sprig Curry leaves - chopped,2 Green Chillies - chopped,1 Onion - sliced,Salt - to taste</t>
  </si>
  <si>
    <t xml:space="preserve">To begin making the Saggubiyyam Punugulu, soak the tapioca pearls in water for 2 hours and boil them on a sauce pan with some more water added for about 10 minutes.Take a bowl, add all the ingredients including the boiled tapioca and mix well. Check for salt as well. Add water to make a thick batter.Heat a kuzhi paniyaram pan for pan frying the punugulu.  Add a teaspoon of oil in each of the cavities. Spoon the batter into each of the cavities and fry them until brown and crisp.You can add a little more oil on the punugulu if you like it crispy. Once one batch of the punugulu are done, remove from the pan and drain in the paper towel.Proceed the same way with the remaining punugulu batter.Serve the Andhra Style Saggubiyyam Punugulu along with spicy coconut chutney or toor dal chutney to enjoy evening chai with a delicious snack.
</t>
  </si>
  <si>
    <t xml:space="preserve">సగ్గుబియ్యం పునుగులు తయారు చేయడం ప్రారంభించడానికి, టపియోకా ముత్యాలను నీటిలో 2 గంటలు నానబెట్టి, వాటిని సాస్ పాన్‌లో మరికొంత నీరు వేసి సుమారు 10 నిమిషాలు ఉడకబెట్టండి. ఒక గిన్నె తీసుకోండి, ఉడికించిన టపాయోకాతో సహా అన్ని పదార్థాలను వేసి బాగా కలపాలి. ఉప్పు కోసం కూడా తనిఖీ చేయండి. మందపాటి పిండిని తయారు చేయడానికి నీరు జోడించండి. పునుగులు వేయించడానికి పాన్ కోసం కుజి పనియారం పాన్ వేడి చేయండి.  ప్రతి కావిటీలో ఒక టీస్పూన్ నూనె జోడించండి. పిండిని ప్రతి కావిటీలోకి చెంచా వేసి బ్రౌన్ మరియు స్ఫుటమైన వరకు వేయించాలి. మీరు క్రిస్పీగా కావాలనుకుంటే పునుగులుపై కొంచెం నూనె వేయవచ్చు. పునుగులు ఒక బ్యాచ్ పూర్తయిన తర్వాత, పాన్ నుండి తీసివేసి, పేపర్ టవల్‌లో వేయండి. మిగిలిన పునుగులు పిండితో అదే విధంగా కొనసాగండి. ఆంధ్రా స్టైల్ సగ్గుబియ్యం పునుగులు స్పైసీ కొబ్బరి చట్నీ లేదా టూర్ పప్పు చట్నీతో పాటు సాయంత్రం చాయ్‌తో రుచికరమైన చిరుతిండిని ఆస్వాదించండి.
</t>
  </si>
  <si>
    <t>http://www.archanaskitchen.com/andhra-style-saggubiyyam-punugulu-recipe-crispy-tapioca-snack</t>
  </si>
  <si>
    <t>Andhra Style Palakaru Vepadu Recipe - Spinach Stir Fry Recipe</t>
  </si>
  <si>
    <t>ఆంధ్రా స్టైల్ పాలకారు వేపాడు రిసిపి - పాలకూర స్టిర్ ఫ్రై రిసిపి</t>
  </si>
  <si>
    <t>1 కప్పు పాలకూర - కడిగి, తరిగిన, 1 ఉల్లిపాయ - తరిగిన, 1 అంగుళం అల్లం - తరిగిన, 1 టీస్పూన్ ఎర్ర కారం, 1 టీస్పూన్ ధనియాల పొడి (ధనియా), 1 టీస్పూన్ జీలకర్ర పొడి (జీరా), ఉప్పు - రుచికి, 1/2 టీస్పూన్ జీలకర్ర (జీరా), 2 లవంగాలు వెల్లుల్లి - 1 ముక్కలు,</t>
  </si>
  <si>
    <t>1 cup Spinach - washed and chopped,1 Onion - chopped,1 inch Ginger - chopped,1 teaspoon Red Chilli powder,1 teaspoon Coriander Powder (Dhania),1 teaspoon Cumin powder (Jeera),Salt - to taste,1/2 teaspoon Cumin seeds (Jeera),2 cloves Garlic - sliced,1 sprig Curry leaves</t>
  </si>
  <si>
    <t xml:space="preserve">To begin making the Andhra Style Palakaru Vepadu Recipe (Spinach Stir Fry Recipe), firstly heat a heavy bottomed pan/kadhai with oil. Add cumin seeds, curry leaves and let the leaves splutter.Next, add garlic and saute for few seconds.Add the onions and saute till it is translucent. Once the onions are soft and translucent, add in the chopped ginger and spinach. Mix everything well and let it cook till the spinach becomes soft and wilts down.Once done, add in the spice powders that includes red chilli powder, coriander powder, salt and cumin powder. Mix everything well and cook for another 2 to 3 minutes. Once done, switch off the gas and Andhra Style Palakaru Vepadu is ready to be served.Serve the Andhra Style Palakaru Vepadu Recipe along with Steamed Rice, Dosakaya Pappu Recipe and Elai Vadam for your Lunch Meal.
</t>
  </si>
  <si>
    <t xml:space="preserve">ఆంధ్రా స్టైల్ పాలకారు వేపాడు రెసిపీ (పాలకూర స్టైర్ ఫ్రై రెసిపీ) తయారు చేయడం ప్రారంభించడానికి ముందుగా ఒక భారీ అడుగున ఉన్న పాన్/కధాయ్‌ను నూనెతో వేడి చేయండి. జీలకర్ర, కరివేపాకు వేసి, ఆకులు చిటపటలాడనివ్వండి.తర్వాత, వెల్లుల్లి వేసి కొన్ని సెకన్ల పాటు వేయించాలి. ఉల్లిపాయలు వేసి అపారదర్శకమయ్యే వరకు వేయించాలి. ఉల్లిపాయలు మెత్తగా మరియు పారదర్శకంగా మారిన తర్వాత, తరిగిన అల్లం మరియు బచ్చలికూరలో జోడించండి. అన్నింటినీ బాగా కలపండి మరియు బచ్చలికూర మెత్తగా మరియు వాడిపోయే వరకు ఉడికించాలి. పూర్తయిన తర్వాత, ఎర్ర కారం, ధనియాల పొడి, ఉప్పు మరియు జీలకర్ర పొడి వంటి మసాలా పొడిని జోడించండి. ప్రతిదీ బాగా కలపండి మరియు మరో 2 నుండి 3 నిమిషాలు ఉడికించాలి. ఒకసారి పూర్తయిన తర్వాత, గ్యాస్‌ను ఆఫ్ చేయండి మరియు ఆంధ్రా స్టైల్ పాలకారు వేపడు సర్వ్ చేయడానికి సిద్ధంగా ఉంది.ఆంధ్రా స్టైల్ పాలకారు వేపడు రిసిపిని ఆంధ్రా స్టైల్ పాలకారు వేపడు తో పాటు ఆంధ్రా స్టైల్ పాలకారు వేపడు తో పాటు ఆవిరిచేసిన అన్నం, దోసకాయ పప్పు రిసిపి మరియు ఎలై వడమ్ మీ లంచ్ మీల్‌లో అందించండి.
</t>
  </si>
  <si>
    <t>https://www.archanaskitchen.com/andhra-style-palakaru-vepadu-recipe-spinach-stir-fry-recipe</t>
  </si>
  <si>
    <t>Menthi Aaku Badeela Koora Recipe - Besan Muthia Cooked With Methi Leaves</t>
  </si>
  <si>
    <t>మెంతి ఆకు బడేలా కూర రెసిపీ - మెంతి ఆకులతో వండిన బేసన్ ముత్యా</t>
  </si>
  <si>
    <t>4 కప్పులు మెంతి ఆకులు (మెంతి ఆకులు), 1-1/2 కప్పులు శనగపిండి (బేసన్), 1 అంగుళం అల్లం - సన్నగా తరిగిన, 4 లవంగాలు వెల్లుల్లి - సన్నగా తరిగిన, 1 టీస్పూన్ గరం మసాలా పొడి, 2 టీస్పూన్లు ఎర్ర మిర్చి పొడి, 1/2 టీస్పూన్ పసుపు పొడి (హల్దీ), ఉప్పు 4 కప్పు - రుచికి, 1 కప్పు నీరు జీలకర్ర (జీరా), 1/2 టీస్పూన్ ఆవాలు, 1 రెమ్మ కరివేపాకు, 2 ఎండు మిరపకాయలు</t>
  </si>
  <si>
    <t>4 cups Methi Leaves (Fenugreek Leaves),1-1/2 cups Gram flour (besan),1 inch Ginger - finely chopped,4 cloves Garlic - finely chopped,1 teaspoon Garam masala powder,2 teaspoons Red Chilli powder,1/2 teaspoon Turmeric powder (Haldi),Salt - to taste,1/4 cup Water,Sunflower Oil - as needed,1 teaspoon Cumin seeds (Jeera),1/2 teaspoon Mustard seeds,1 sprig Curry leaves,2 Dry Red Chillies</t>
  </si>
  <si>
    <t xml:space="preserve">To begin making Menthi Aaku Badeela Koora Recipe, wash and chop the fenugreek/methi leaves and keep aside.To a bowl, add the chickpea/besan flour, red chilli powder, salt, ginger garlic paste, garam masala powder and turmeric powder.Add enough water and knead them to a stiff dough. When the dough is coming together, in the end add a teaspoon of oil and knead it again.Next step is to divide the dough into small portions.  Apply a little amount of oil onto your palms and roll out small pebble sized balls out of each dough portions. (These are called badeela). Set them ready on a greased plate.To a heavy bottomed pan, heat 2 tablespoons of oil. Once the oil is hot, add the cumin seeds, mustard seeds, curry leaves and dry red chillies. Let it cook for about 30 seconds. Add the rolled badeela (Chickpea flour balls) and give it a good stir. Cover and cook for badeela for 10 minutes stirring in intervals to check the Badeela Koora for the doneness. The badeela will take a good 10 -12 minutes to cook. Give the Badeela a bite and it should not taste raw. Once the badeela koora is cooked properly, stir in the methi leaves and saute for about 3 to 4 minutes until the methi leaves is cooked and wilts down.Once the Menthi Aaku Badeela Koora done turn off the heat and serve hot.Serve Menthi Aaku Badeela Koora along with Andhra Style Ingavu Chaaru Recipe and Steamed Rice for an Andhra Style Sunday Lunch and a indian diabetic meal.
</t>
  </si>
  <si>
    <t xml:space="preserve">మెంతి ఆకు బడేలా కూర రెసిపీని తయారు చేయడం ప్రారంభించడానికి, మెంతి / మెంతి ఆకులను కడిగి, తరిగి పక్కన పెట్టుకోండి. ఒక గిన్నెలో, చిక్‌పా / బీసన్ పిండి, ఎర్ర మిరప పొడి, ఉప్పు, అల్లం వెల్లుల్లి పేస్ట్, గరం మసాలా పొడి మరియు పసుపు పొడి. తగినన్ని నీళ్లు పోసి గట్టి పిండిలా మెత్తగా పిండి వేయండి. పిండి కలిసి వస్తున్నప్పుడు, చివర్లో ఒక టీస్పూన్ నూనె వేసి మళ్లీ మెత్తగా పిండి వేయండి. తదుపరి దశ పిండిని చిన్న భాగాలుగా విభజించడం.  మీ అరచేతులపై కొద్దిగా నూనె వేయండి మరియు ప్రతి పిండి భాగాల నుండి చిన్న గులకరాయి పరిమాణంలోని బంతులను బయటకు తీయండి. (వీటిని బడిల అంటారు). ఒక greased ప్లేట్ మీద వాటిని సిద్ధంగా సెట్. ఒక భారీ అడుగున ఉన్న పాన్ కు, నూనె 2 టేబుల్ స్పూన్లు వేడి. నూనె వేడి అయ్యాక అందులో జీలకర్ర, ఆవాలు, కరివేపాకు, ఎండు మిరపకాయలు వేయాలి. ఇది సుమారు 30 సెకన్ల పాటు ఉడికించాలి. చుట్టిన బాడీలా (చిక్‌పా పిండి బంతులు) వేసి బాగా కదిలించు. బడేలా కూర సిద్ధిస్తుందో లేదో తనిఖీ చేయడానికి విరామాలలో కదిలిస్తూ 10 నిమిషాలు బడేలా కోసం కవర్ చేసి ఉడికించాలి. బాడీలా వండడానికి మంచి 10 -12 నిమిషాలు పడుతుంది. బడేలా కాటు వేయండి మరియు అది పచ్చిగా రుచి చూడకూడదు. బద్దెల కూర సరిగ్గా ఉడికిన తర్వాత, మెంతి ఆకులను వేసి, మెంతి ఆకులను వేసి సుమారు 3 నుండి 4 నిమిషాల పాటు వేయించి, మెంతి ఆకు బడేలా కూర ఉడికిన తర్వాత, వేడిని ఆపివేసి, వేడిగా వడ్డించండి. ఆంధ్రా స్టైల్ ఆదివారం లంచ్ మరియు భారతీయ డయాబెటిక్ భోజనం.
</t>
  </si>
  <si>
    <t>https://www.archanaskitchen.com/menthi-aaku-badeela-koora-recipe-chickpea-flour-balls-cooked-with-methi-leaves</t>
  </si>
  <si>
    <t>Andhra Style Paakundalu/ Pakam Undalu Recipe (Rice flour Coconut Fritters)</t>
  </si>
  <si>
    <t>ఆంధ్రా స్టైల్ పాకుండలు/ పాకం ఉండలు (బియ్యం పిండి కొబ్బరి వడలు)</t>
  </si>
  <si>
    <t>1 కప్పు బియ్యం - రాత్రంతా నానబెట్టి, మెత్తగా, 1/4 కప్పు బెల్లం, 1/2 కప్పు తాజా కొబ్బరి, 1 టీస్పూన్ యాలకుల పొడి (ఎలాచి), నెయ్యి - లేదా వంట కోసం నూనె</t>
  </si>
  <si>
    <t>1 cup Rice - soaked overnight and ground,1/4 cup Jaggery,1/2 cup Fresh coconut,1 teaspoon Cardamom Powder (Elaichi),Ghee - or oil for cooking</t>
  </si>
  <si>
    <t xml:space="preserve">To begin making the Andhra Style Paakundalu by soaking the rice in water for overnight. Add rice and little bit of water and grind it into a smooth batter. Keep it aside.Heat a sauce pan with jaggery, allow the jaggery to melt and add the cardamom powder and freshly grated coconut and mix well.Add this into the rice batter and mix. You can add little water to create thick batter to pour it into a kuzhi paniyaram pan.Heat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Andhra Style Paakundalu along with kesari bath or Carrot Badam Kheer Recipe to enjoy your festive mood in a joyous way with your friends and family.
</t>
  </si>
  <si>
    <t xml:space="preserve">బియ్యాన్ని రాత్రంతా నీటిలో నానబెట్టి ఆంధ్రా స్టైల్ పాకుండలు తయారు చేయడం ప్రారంభించడానికి. బియ్యం మరియు కొద్దిగా నీరు వేసి మెత్తగా రుబ్బుకోవాలి. పక్కన పెట్టండి. బెల్లం తో సాస్ పాన్ వేడి, బెల్లం కరగడానికి అనుమతిస్తాయి మరియు యాలకుల పొడి మరియు తాజాగా తురిమిన కొబ్బరి వేసి బాగా కలపాలి. ఈ బియ్యం పిండిలో వేసి కలపాలి. ఒక కుజి పనియారం పాన్‌లో పోయడానికి మందపాటి పిండిని సృష్టించడానికి మీరు కొద్దిగా నీటిని జోడించవచ్చు. ఒక పనియారం పాన్‌ను వేడి చేసి, ప్రతి డిప్రెషన్‌లో నెయ్యి లేదా నూనె వేసి దానిలో కొంత పిండిని పోయాలి. స్వీట్ పనియారమ్‌లను ఒక వైపు నుండి లేత గోధుమరంగు వచ్చేవరకు ఉడికించి, ఆపై ప్రతి పనియారాన్ని స్కేవర్‌ని ఉపయోగించి తిప్పండి మరియు వాటిని మరొక వైపు ఉడికించాలి. కావలసినంత నెయ్యి లేదా నూనె వేయండి. ఉడికిన తర్వాత, అవి రెండు వైపులా లేత గోధుమరంగులోకి మారిన తర్వాత, వాటిని ప్లేట్‌లోకి బదిలీ చేసి, వేడిగా వడ్డించండి. మీ స్నేహితులు మరియు కుటుంబ సభ్యులతో కలిసి మీ పండుగ మూడ్‌ని ఆనందించడానికి కేసరి బాత్ లేదా క్యారెట్ బాదం ఖీర్ రిసిపితో పాటు ఆంధ్రా స్టైల్ పాకుండలును సర్వ్ చేయండి.
</t>
  </si>
  <si>
    <t>http://www.archanaskitchen.com/andhra-style-paakundalu-pakam-undalu-recipe-rice-flour-coconut-fritters</t>
  </si>
  <si>
    <t>Nellor Kathirikai - Nellor Brinjal Fry Recipe</t>
  </si>
  <si>
    <t>నెల్లూరు కత్తిరికాయి - నెల్లూరు బ్రింజాల్ ఫ్రై రెసిపీ</t>
  </si>
  <si>
    <t>1 టేబుల్ స్పూన్ నువ్వులు (బెల్లం) నూనె, 1/2 టీస్పూన్ ఆవాలు, 2 రెమ్మలు కరివేపాకు - చిరిగినవి, 10 చిన్న బెండకాయలు (బైంగన్ / వంకాయ) - పావుగా చేసి ఉప్పు నీళ్లలో నానబెట్టి, 1 టీస్పూన్ పసుపు పొడి (హల్దీ), 1 టీస్పూన్ ఉప్పు, 1/4 టీస్పూన్ పసుపు, రుచులు పప్పు), 1 టేబుల్ స్పూన్ కొత్తిమీర (ధనియా) విత్తనాలు, 4 ఎండు మిరపకాయలు, 1 టేబుల్ స్పూన్ నువ్వులు (బెల్లం) నూనె, 2 ఉల్లిపాయ - సన్నగా తరిగిన, 1/4 కప్పు తాజా కొబ్బరి - తురిమిన, 1 టీస్పూన్ నువ్వులు (బెల్లం) నూనె, ఉప్పు - రుచికి, 1/2 కప్పు నీరు</t>
  </si>
  <si>
    <t>1 tablespoon Sesame (Gingelly) Oil,1/2 teaspoon Mustard seeds,2 sprig Curry leaves - torn,10 Small Brinjal (Baingan / Eggplant) - quartered and soaked in salt water,1 teaspoon Turmeric powder (Haldi),1 teaspoon Salt,1/4 teaspoon Turmeric powder (Haldi),Salt - to taste,1 tablespoon Chana dal (Bengal Gram Dal),1 tablespoon Coriander (Dhania) Seeds,4 Dry Red Chillies,1 tablespoon Sesame (Gingelly) Oil,2 Onion - thinly sliced,1/4 cup Fresh coconut - grated,1 teaspoon Sesame (Gingelly) Oil,Salt - to taste,1/2 cup Water</t>
  </si>
  <si>
    <t xml:space="preserve">To begin making the Nellor Brinjal Fry Recipe, prepare all the ingredients and keep them ready.Soak the cut brinjal in salt water to prevent it from turning dark.First step is to roast the brinjal. Heat oil in a pan over medium heat; add the mustard seeds and curry leaves and allow the mustard seeds to crackle.Drain the water from the brinjal and add the brinjal, turmeric powder and salt. Stir to combine and cover the pan and cook the brinjal until the brinjal is roasted and cooked. Keep this aside.To make the Nellor Masala, in a pan add the chana dal, coriander seeds and red chillies. Roast them well until the dal has turned golden brown. Keep aside.In the same pan; add oil, the sliced onions and saute until the onions soften and turn slightly brown.Once the onions have browned, add the grated coconut and stir fry for another 3 to 4 minutes until you can smell the aromas of the coconut coming through. Once done turn off the heat.Add the roasted dal mixture and onion mixture to a small jar of the mixture grinder along with 1/4 cup of water and blend to make a smooth paste.Add this masala to the roasted brinjal along with 1/2 cup of water and mix well to combine the Nellor Brinjal fry. Cover the pan and simmer for 5 minutes and turn off the heat.Check the salt and chillies and adjust to taste accordingly. Once done, transfer the Nellor Brinjal Fry to a serving bowl and serve hot.Serve the Nellor Brinjal Fry Recipe along with some Steamed Rice, Palak Tovve or Palak Dal or just with plain Tawa Parathas.
</t>
  </si>
  <si>
    <t xml:space="preserve">నెల్లూరు బ్రింజాల్ ఫ్రై రిసిపిని తయారు చేయడం ప్రారంభించడానికి, అన్ని పదార్థాలను సిద్ధం చేసి, వాటిని సిద్ధంగా ఉంచండి. కట్ చేసిన బెండకాయను ఉప్పు నీటిలో ముంచి చీకటిగా మారకుండా నానబెట్టండి. మొదటి దశ వంకాయను కాల్చడం. మీడియం వేడి మీద పాన్లో నూనె వేడి చేయండి; ఆవాలు మరియు కరివేపాకు వేసి, ఆవాలు పగిలిపోయేలా చేయండి. బెండకాయ నుండి నీటిని తీసివేసి, బెండకాయ, పసుపు పొడి మరియు ఉప్పు వేయండి. కలపడానికి కదిలించు మరియు పాన్ కవర్ మరియు వంకాయలు వేయించి ఉడికినంత వరకు వంకాయను ఉడికించాలి. దీన్ని పక్కన పెట్టండి.నెల్లూర్ మసాలా చేయడానికి, ఒక పాన్‌లో చనా పప్పు, కొత్తిమీర గింజలు మరియు ఎర్ర మిరపకాయలను జోడించండి. పప్పు బంగారు గోధుమ రంగులోకి వచ్చే వరకు వాటిని బాగా వేయించాలి. పక్కన పెట్టండి.అదే పాన్ లో; నూనె వేసి, ఉల్లిపాయ ముక్కలు వేసి, ఉల్లిపాయలు మెత్తబడే వరకు మరియు కొద్దిగా బ్రౌన్ రంగులోకి మారే వరకు వేయించాలి. ఉల్లిపాయలు బ్రౌన్ అయిన తర్వాత, తురిమిన కొబ్బరిని వేసి మరో 3 నుండి 4 నిమిషాలు వేయించి, కొబ్బరి సువాసనలు వచ్చే వరకు వేయించాలి. పూర్తి చేసిన తర్వాత వేడిని ఆపివేయండి. వేయించిన పప్పు మిశ్రమం మరియు ఉల్లిపాయ మిశ్రమాన్ని 1/4 కప్పు నీటితో పాటు మిశ్రమం గ్రైండర్ యొక్క చిన్న కూజాలో వేసి మెత్తగా పేస్ట్ చేయడానికి బ్లెండ్ చేయండి. ఈ మసాలాను 1/2 కప్పు నీటితో పాటు వేయించిన బెండకాయలో వేసి బాగా కలపండి. పాన్‌ను మూతపెట్టి 5 నిమిషాలు ఆవేశమును అణిచిపెట్టుకోండి మరియు వేడిని ఆపివేయండి. ఉప్పు మరియు మిరపకాయలను తనిఖీ చేయండి మరియు తదనుగుణంగా రుచికి సర్దుబాటు చేయండి. పూర్తయిన తర్వాత, నెల్లూరు వంకాయ ఫ్రైని సర్వింగ్ బౌల్‌కి బదిలీ చేసి, వేడిగా సర్వ్ చేయండి. నెల్లూర్ బ్రింజాల్ ఫ్రై రెసిపీని కొన్ని స్టీమ్డ్ రైస్, పాలక్ తోవ్ లేదా పాలక్ దాల్ తో పాటు లేదా సాదా తవా పరాఠాలతో సర్వ్ చేయండి.
</t>
  </si>
  <si>
    <t>https://www.archanaskitchen.com/nellor-brinjal-fry-recipe</t>
  </si>
  <si>
    <t>Ragi Sankati Recipe - Andhra Style Ragi Mudda</t>
  </si>
  <si>
    <t>రాగి సంకటి రెసిపీ - ఆంధ్రా స్టైల్ రాగి ముద్ద</t>
  </si>
  <si>
    <t>1-1/2 కప్పులు వండిన అన్నం, 5 టేబుల్ స్పూన్లు రాగి పిండి (ఫింగర్ మిల్లెట్ / నాగ్లీ), నీరు - కావలసినంత, ఉప్పు - రుచికి, నెయ్యి - కావలసినంత</t>
  </si>
  <si>
    <t>1-1/2 cups Cooked rice,5 tablespoons Ragi Flour (Finger Millet/ Nagli),Water - as needed,Salt - to taste,Ghee - as required</t>
  </si>
  <si>
    <t xml:space="preserve">To begin making the Ragi Sankati recipe, add the cooked rice, ragi flour with water to a pressure cooker and cook on high flame till the cooker releases 2 whistles.Allow the cooker to leave pressure on itself. Once done, take it out.With a traditional lentil masher or a hand blender, blend it coarsely.Check for seasoning and make balls of it by applying ghee to your hands and it is read to be served.Serve Ragi Sankati with Vendakkai Puli Kuzhambu and Elai Vadam for a perfect meal.
</t>
  </si>
  <si>
    <t xml:space="preserve">రాగి సంకటి రెసిపీని తయారు చేయడం ప్రారంభించడానికి, ఉడికించిన అన్నం, రాగుల పిండిని ప్రెషర్ కుక్కర్‌లో వేసి, కుక్కర్ 2 విజిల్స్ వచ్చే వరకు ఎక్కువ మంట మీద ఉడికించాలి. పూర్తయిన తర్వాత, దాన్ని బయటకు తీయండి. సంప్రదాయ పప్పు మాషర్ లేదా హ్యాండ్ బ్లెండర్‌తో, దానిని ముతకగా కలపండి. మసాలా కోసం తనిఖీ చేయండి మరియు మీ చేతులకు నెయ్యి రాసుకోవడం ద్వారా బాల్స్‌ను తయారు చేసుకోండి మరియు అది వడ్డించబడుతుంది.
</t>
  </si>
  <si>
    <t>http://www.archanaskitchen.com/ragi-sankati-recipe-andhra-style-ragi-mudda</t>
  </si>
  <si>
    <t>Andhra Style Chicken Fry Recipe</t>
  </si>
  <si>
    <t>ఆంధ్రా స్టైల్ చికెన్ ఫ్రై రిసిపి</t>
  </si>
  <si>
    <t>1 చికెన్ బ్రెస్ట్‌లు - క్యూబ్డ్, 1/2 టీస్పూన్ పసుపు పొడి (హల్దీ), 1 టీస్పూన్ ఎర్ర మిరప పొడి, 1/2 టేబుల్ స్పూన్ అల్లం వెల్లుల్లి పేస్ట్, 1/2 కప్పు హంగ్ పెరుగు (గ్రీక్ పెరుగు), ఉప్పు - రుచికి, 1 ఉల్లిపాయ - తరిగిన, 3 పచ్చిమిర్చి - తరిగిన, 1 టీస్పూన్ ఫెన్నెల్ గింజలు, 2 టేబుల్ స్పూన్ ఫెన్నెల్ గింజలు పేస్ట్, 2 రెమ్మల కరివేపాకు, 1 టేబుల్ స్పూన్ నల్ల మిరియాలు పొడి, 1 టేబుల్ స్పూన్ గరం మసాలా పొడి, 1/2 టేబుల్ స్పూన్ ధనియాల పొడి (ధనియా) - ముతకగా రుబ్బిన, 1/2 టేబుల్ స్పూన్ కాశ్మీరీ రెడ్ చిల్లీ పౌడర్, సన్ ఫ్లవర్ ఆయిల్ - లేదా నెయ్యి అవసరం</t>
  </si>
  <si>
    <t>1 Chicken breasts - cubed,1/2 teaspoon Turmeric powder (Haldi),1 teaspoon Red Chilli powder,1/2 tablespoon Ginger Garlic Paste,1/2 cup Hung Curd (Greek Yogurt),Salt - to taste,1 Onion - chopped,3 Green Chillies - chopped,1 teaspoon Fennel seeds (Saunf),2 Tomatoes - cubed,1/2 tablespoon Ginger Garlic Paste,2 sprig Curry leaves,1 tablespoon Black pepper powder,1 tablespoon Garam masala powder,1/2 tablespoon Coriander Powder (Dhania) - coarsely grounded,1/2 tablespoon Kashmiri Red Chilli Powder,Sunflower Oil - or ghee as required</t>
  </si>
  <si>
    <t xml:space="preserve">To begin making the Andhra Chicken Fry recipe, put chicken cubes and all the ingredients listed under marination including turmeric powder, red chilli powder, ginger garlic paste, hung yogurt, salt in a bowl and mix it well.Make sure that chicken pieces are coated properly. Cover the bowl and let it sit in the fridge for an hour.Once the chicken is marinated, take it out from fridge and keep it aside.Heat oil in a kadhai/wok and add fennel seeds, curry leaves and chopped green chillies into the wok. Saute it for couple of seconds but make sure it doesn't burn.Now, add ginger garlic paste and saute for couple of seconds until the raw smell of ginger garlic goes away.Next step is to add onion and cook it till the time it becomes soft and translucent.Once the onions are soft, add the cubed tomatoes and cook till they become mushy.Once the tomatoes are soft and mushy, add the marinated chicken pieces and marination batter into the wok. Add garam masala powder and cook it for 10 minutes on medium heat.After 10 minutes, add coriander powder, red chilli powder into the wok and give it a good mix and cook the chicken again for 5 minutes on high heat.Y ou have to make sure that chicken gets dry and there is no gravy left.In the end sprinkle black pepper powder and adjust salt as per your taste. Cook for few more minutes till the chicken is cooked properly. Serve it hot and garnish with some onion rings.Serve Andhra Chicken Fry as a starter in your house parties or as a side dish along with Andhra Style Yellow Cucumber Dal and Phulkas for a weekday meal.
</t>
  </si>
  <si>
    <t xml:space="preserve">ఆంధ్రా చికెన్ ఫ్రై రెసిపీని తయారు చేయడం ప్రారంభించడానికి, చికెన్ క్యూబ్స్ మరియు పసుపు పొడి, ఎర్ర కారం పొడి, అల్లం వెల్లుల్లి పేస్ట్, వేలాడదీసిన పెరుగు, ఉప్పుతో సహా మెరినేషన్ కింద జాబితా చేయబడిన అన్ని పదార్థాలను ఒక గిన్నెలో వేసి బాగా కలపండి. చికెన్ ముక్కలు సరిగ్గా పూత ఉన్నాయని నిర్ధారించుకోండి. గిన్నెను మూతపెట్టి, ఫ్రిజ్‌లో ఒక గంట పాటు ఉంచండి. చికెన్ మ్యారినేట్ అయిన తర్వాత, ఫ్రిజ్ నుండి తీసి పక్కన పెట్టండి. కడాయి/వాక్‌లో నూనె వేడి చేసి, సోపు గింజలు, కరివేపాకు మరియు తరిగిన పచ్చిమిర్చిని జోడించండి. రెండు సెకన్ల పాటు వేయించాలి, కానీ అది కాలిపోకుండా చూసుకోండి. ఇప్పుడు, అల్లం వెల్లుల్లి పేస్ట్ వేసి, అల్లం వెల్లుల్లి పచ్చి వాసన పోయే వరకు రెండు సెకన్ల పాటు వేయించాలి. తదుపరి దశ ఉల్లిపాయను వేసి మెత్తగా మరియు పారదర్శకంగా మారే వరకు ఉడికించాలి. ఉల్లిపాయలు మెత్తగా, మెత్తగా, మెత్తగా కోసిన టమోటాలు వేసి, మెత్తగా, మెత్తగా మారే వరకు వేయించాలి. wok లోకి marination కొట్టు. గరం మసాలా పొడి వేసి మీడియం వేడి మీద 10 నిమిషాలు ఉడికించాలి. 10 నిమిషాల తర్వాత, వోక్‌లో ధనియాల పొడి, ఎర్ర కారం వేసి బాగా కలపండి మరియు చికెన్‌ను మళ్లీ 5 నిమిషాలు ఎక్కువ వేడి మీద ఉడికించాలి. చికెన్ పొడిగా మరియు గ్రేవీ మిగిలి ఉండకుండా చూసుకోవాలి. చివర్లో మిరియాల పొడిని చల్లి మీ రుచికి సరిపడా ఉప్పు వేయండి. చికెన్ సరిగ్గా ఉడికినంత వరకు మరికొన్ని నిమిషాలు ఉడికించాలి. దీన్ని వేడిగా వడ్డించండి మరియు కొన్ని ఉల్లిపాయ రింగులతో అలంకరించండి. మీ ఇంటి పార్టీలలో స్టార్టర్‌గా లేదా సైడ్ డిష్‌గా ఆంధ్రా స్టైల్ ఎల్లో దోసకాయ పప్పు మరియు ఫుల్కాస్‌తో పాటు వారంరోజుల భోజనం కోసం ఆంధ్రా చికెన్ ఫ్రైని సర్వ్ చేయండి.
</t>
  </si>
  <si>
    <t>http://www.archanaskitchen.com/andhra-chicken-fry-recipe</t>
  </si>
  <si>
    <t>Dibba Rotti/Minapa Rotti Recipe (Pan Idli Recipe)</t>
  </si>
  <si>
    <t>దిబ్బ రొట్టీ/మినప రొట్టి రెసిపీ (పాన్ ఇడ్లీ రెసిపీ)</t>
  </si>
  <si>
    <t>1 కప్పు బియ్యం రవ్వ, 1/2 కప్పు తెల్ల ఉరద్ పప్పు (మొత్తం), 1 టేబుల్ స్పూన్ జీలకర్ర (జీరా), ఉప్పు - రుచికి, పొద్దుతిరుగుడు నూనె - వంట కోసం</t>
  </si>
  <si>
    <t>1 cup Rice rava,1/2 cup White Urad Dal (Whole),1 tablespoon Cumin seeds (Jeera),Salt - to taste,Sunflower Oil - for cooking</t>
  </si>
  <si>
    <t xml:space="preserve">To begin making the Dibba Rotti/Minapa Rotti Recipe soak the urad dal in water for at least 4 hours.Grind the urad dal with water in a grinder to a thick batter. Mix this with the rest of the ingredients and adjust the consistency to a thick dosa batter.Heat a flat bottomed pan, add 4 tablespoon oil and once it becomes very hot. Carefully pour all the batter on to the pan. Cover and cook for 15 minutes.Flip it gently onto other side and cook for another 5 minutes and serve.Serve the Dibba Rotti/Minapa Rotti Recipe along with South Indian Coconut Chutney or Nuggekai Kharbyaali Recipe to enjoy your morning breakfast.
</t>
  </si>
  <si>
    <t xml:space="preserve">దిబ్బ రొట్టె/మినప రొట్టీ రెసిపీని తయారు చేయడం ప్రారంభించడానికి ఉరడ్ పప్పును నీటిలో కనీసం 4 గంటలు నానబెట్టండి. ఉరడ్ పప్పును నీటితో గ్రైండర్‌లో మందపాటి పిండిలా రుబ్బండి. దీన్ని మిగిలిన పదార్థాలతో కలపండి మరియు మందపాటి దోస పిండికి స్థిరత్వాన్ని సర్దుబాటు చేయండి. ఒక ఫ్లాట్ బాటమ్ పాన్‌ను వేడి చేసి, 4 టేబుల్ స్పూన్ల నూనె వేసి, అది చాలా వేడిగా మారిన తర్వాత. పాన్ మీద అన్ని పిండిని జాగ్రత్తగా పోయాలి. మూతపెట్టి 15 నిమిషాలు ఉడికించాలి. దానిని మెత్తగా మరొక వైపుకు తిప్పండి మరియు మరో 5 నిమిషాలు ఉడికించి సర్వ్ చేయండి. మీ ఉదయం అల్పాహారాన్ని ఆస్వాదించడానికి దక్షిణ భారత కొబ్బరి చట్నీ లేదా నుగ్గేకై ఖర్బయాలీ రెసిపీతో పాటు దిబ్బ రొట్టె/మినప రొట్టె రిసిపిని సర్వ్ చేయండి.
</t>
  </si>
  <si>
    <t>http://www.archanaskitchen.com/dibba-rotti-minapa-rotti-recipe-pan-idli-recipe</t>
  </si>
  <si>
    <t>Mamidikaya Pesara Pappu Pachadi Recipe - Raw Mango &amp; Dal Chutney</t>
  </si>
  <si>
    <t>మామిడికాయ పెసర పప్పు పచ్చడి రిసిపి - పచ్చి మామిడి &amp; దాల్ చట్నీ</t>
  </si>
  <si>
    <t>1 మామిడి (ముడి) - తరిగిన, 1/2 కప్పు పసుపు మూంగ్ పప్పు (విడదీయబడింది), 2 ఎండు మిరపకాయలు, 1 టీస్పూన్ జీలకర్ర (జీరా), 1 టీస్పూన్ బెల్లం, ఉప్పు - రుచికి, 1/2 టీస్పూన్ ఆవాలు, 1 రెమ్మ కరివేపాకు, 2 ఎండు మిరపకాయలు, 1 చిటికెడు ఇంగువ -</t>
  </si>
  <si>
    <t>1 Mango (Raw) - chopped,1/2 cup Yellow Moong Dal (Split),2 Dry Red Chillies,1 teaspoon Cumin seeds (Jeera),1 teaspoon Jaggery,Salt - to taste,1/2 teaspoon Mustard seeds,1 sprig Curry leaves,2 Dry Red Chillies,1 pinch Asafoetida (hing),Sunflower Oil - for cooking</t>
  </si>
  <si>
    <t xml:space="preserve">To begin making the Mamidikaya Pesara Pappu Pachadi Recipe, roast the moong dal and dry red chillies in a griddle pan till it is light brown.Add the roasted dal, green chillies, jaggery cumin seeds into a mixer-jar and grind it into a coarse powder. Add the cut raw mango and little water, salt and grind them into a coarse mixture.To temper, heat a kadai with oil, add mustard seeds allow it to splutter then and urad dal and let it turn into anice golden brown colour.Add curry leaves, dry red chilies, hing and leave the curry leaves to crackle for 10 seconds.Pour this tempered oil over the Mamidikaya Pesara Pappu Pachadi and serve.Serve the Mamidikaya Pesara Pappu Pachadi along with dosa or Mini Idli Upma Recipe to enjoy your morning breakfast.
</t>
  </si>
  <si>
    <t xml:space="preserve">మామిడికాయ పెసర పప్పు పచ్చడి రెసిపీని తయారు చేయడం ప్రారంభించడానికి, పెసరపప్పు మరియు ఎండు మిరపకాయలను గ్రిడ్ల్ పాన్‌లో లేత గోధుమరంగు వచ్చేవరకు వేయించాలి. వేయించిన పప్పు, పచ్చిమిర్చి, బెల్లం జీలకర్ర వేసి మిక్సర్-జార్‌లో వేసి ముతక పొడిగా రుబ్బుకోవాలి. కట్ చేసిన పచ్చి మామిడికాయలు మరియు కొద్దిగా నీరు, ఉప్పు వేసి వాటిని ముతక మిశ్రమంలో మెత్తగా రుబ్బుకోవాలి. టెంపర్ చేయడానికి, కడాయిని నూనెతో వేడి చేసి, ఆవాలు వేసి, ఉరద్ పప్పు వేసి, సొంపు బంగారు గోధుమ రంగులోకి మారనివ్వండి. పెసర పప్పు పచ్చడి మరియు సర్వ్ చేయండి. మీ ఉదయం అల్పాహారాన్ని ఆస్వాదించడానికి మామిడికాయ పెసర పప్పు పచ్చడితో పాటు దోస లేదా మినీ ఇడ్లీ ఉప్మా రెసిపీని సర్వ్ చేయండి.
</t>
  </si>
  <si>
    <t>http://www.archanaskitchen.com/andhra-style-mamidikaya-pesarappu-pachadi-recipe-raw-mango-and-moong-dal-chutney</t>
  </si>
  <si>
    <t>Andhra Style Uppu Pindi Recipe (Rice Rava and Moong Dal Pudding Recipe)</t>
  </si>
  <si>
    <t>ఆంధ్రా స్టైల్ ఉప్పు పిండి వంటకం (రైస్ రవ్వ మరియు మూంగ్ దాల్ పుడ్డింగ్ రిసిపి)</t>
  </si>
  <si>
    <t>1 1/2 కప్పు బియ్యం రవ్వ, 1/3 కప్పు పసుపు మూంగ్ పప్పు (విడదీయాలి), 1/2 కప్పు స్వీట్ కార్న్, 1 ఉల్లిపాయ - తరిగిన, 1 టీస్పూన్ ఆవాలు, 1 టీస్పూన్ తెల్ల ఉరద్ పప్పు (విడదీయాలి), 2 ఎండు మిరపకాయలు, 1 రెమ్మ కరివేపాకు, 1 అంగుళం అల్లం - తరిగిన పచ్చిమిర్చి, 1 రుచి, సన్‌ఫ్లవర్ ఆయిల్ - వంట కోసం</t>
  </si>
  <si>
    <t>1 1/2 cup Rice rava,1/3 cup Yellow Moong Dal (Split),1/2 cup Sweet corn,1 Onion - chopped,1 teaspoon Mustard seeds,1 teaspoon White Urad Dal (Split),2 Dry Red Chillies,1 sprig Curry leaves,1 inch Ginger - chopped,1 pinch Asafoetida (hing),Salt - to taste,Sunflower Oil - for cooking</t>
  </si>
  <si>
    <t xml:space="preserve">To begin making the Andhra Style Uppu Pindi Recipe, you can prepare rice rava at home as well. Wash the normal rice with water and dry it out under the sun or outside for 20 minutes till it becomes dry and grind it coarsely.Heat a kadai with oil, add mustard seeds and urad dal and splutter them for 10 seconds and add the curry leaves too and let it crackle. Add in the dry red chillies, hing and fry for 10 more seconds.Add onions and ginger, stir till the onions become translucent. Add the moong dal and fry for 2 minutes.Add about 4 cups of water and leave it to boil on a low heat. Add salt and adjust according to your palate.You can add the ground rice when it starts to boil and keep whisking so that there are no lumps formed. Add the sweetcorn and stir.Cover and cook over a low heat for 2 more minutes. Keep mixing at regular intervals so that it does not get stuck at the bottom.Serve the Andhra Style Uppu Pindi Recipe along with spicy coconut chutney and a glass of coffee by the side for your morning breakfast.
</t>
  </si>
  <si>
    <t xml:space="preserve">ఆంధ్రా స్టైల్ ఉప్పు పిండి వంటకాన్ని తయారు చేయడం ప్రారంభించడానికి, మీరు ఇంట్లోనే అన్నం రవ్వను కూడా తయారు చేసుకోవచ్చు. సాధారణ బియ్యాన్ని నీటితో కడిగి, ఎండలో లేదా బయట 20 నిమిషాల పాటు ఎండబెట్టి, పొడిగా మారే వరకు మెత్తగా రుబ్బుకోవాలి. కడాయిని నూనెతో వేడి చేసి, ఆవాలు మరియు ఉడకబెట్టిన పప్పు వేసి, వాటిని 10 సెకన్ల పాటు చల్లి, కరివేపాకులను కూడా వేసి చిటపటలాడనివ్వండి. ఎండు మిరపకాయలు వేసి, హింగ్ చేసి మరో 10 సెకన్ల పాటు వేయించాలి. ఉల్లిపాయలు మరియు అల్లం వేసి, ఉల్లిపాయలు అపారదర్శకమయ్యే వరకు కదిలించు. మూంగ్ పప్పు వేసి 2 నిమిషాలు వేయించాలి. సుమారు 4 కప్పుల నీరు వేసి తక్కువ వేడి మీద ఉడకనివ్వండి. ఉప్పు వేసి, మీ అంగిలికి అనుగుణంగా సర్దుబాటు చేయండి. మీరు ఉడకబెట్టడం ప్రారంభించినప్పుడు రుబ్బిన బియ్యం వేసి, ముద్దలు ఏర్పడకుండా కొట్టడం కొనసాగించవచ్చు. స్వీట్‌కార్న్ వేసి కదిలించు. మూతపెట్టి మరో 2 నిమిషాలు తక్కువ వేడి మీద ఉడికించాలి. దిగువన చిక్కుకోకుండా ఉండేలా క్రమం తప్పకుండా మిక్సింగ్ చేస్తూ ఉండండి. మీ ఉదయం అల్పాహారం కోసం ఆంధ్రా స్టైల్ ఉప్పు పిండి వంటకాన్ని స్పైసీ కొబ్బరి చట్నీ మరియు ఒక గ్లాసు కాఫీతో పాటు అందించండి.
</t>
  </si>
  <si>
    <t>http://www.archanaskitchen.com/andhra-style-uppu-pindi-recipe-rice-rava-and-moong-dal-pudding-recipe</t>
  </si>
  <si>
    <t>Andhra Style Vegetarian Biryani with Soya Chunks Recipe</t>
  </si>
  <si>
    <t>ఆంధ్రా స్టైల్ వెజిటేరియన్ బిర్యానీ విత్ సోయా చంక్స్ రిసిపి</t>
  </si>
  <si>
    <t>2 కప్పు బాస్మతి బియ్యం, 1 కప్పు సోయా చంక్స్ (నగ్గెట్స్), 4 ఉల్లిపాయలు - ముక్కలు, 2 టొమాటోలు - తరిగిన, 4 పచ్చిమిర్చి - 1 టీస్పూన్ అల్లం వెల్లుల్లి పేస్ట్, 1 టీస్పూన్ పసుపు పొడి (హల్దీ), సన్‌ఫ్లవర్ ఆయిల్ - లేదా వంట కోసం నెయ్యి, 1 బే ఆకు (తేజ్ పౌడ్స్, 2 కారడం, 2 కారడం పట్టా), (లాంగ్), 1/2 అంగుళాల దాల్చిన చెక్క (దాల్చినీ), 1 స్టార్ సోంపు, 1 జాపత్రి (జావిత్రి), 3 ఏలకులు (ఎలైచి) కాయలు/విత్తనాలు, 1 టీస్పూన్ మొత్తం నల్ల మిరియాలు, 4 లవంగాలు (లాంగ్), 1 అంగుళం దాల్చిన చెక్క (దాల్చిని), 1 టీస్పూన్ ఫెన్నెల్ గింజలు</t>
  </si>
  <si>
    <t>2 cup Basmati rice,1 cup Soy Chunks (Nuggets),4 Onions - sliced,2 Tomatoes - chopped,4 Green Chilli - slit,1 teaspoon Ginger Garlic Paste,1 teaspoon Turmeric powder (Haldi),Sunflower Oil - or ghee for cooking,1 Bay leaf (tej patta),2 Cardamom (Elaichi) Pods/Seeds,2 Cloves (Laung),1/2 inch Cinnamon Stick (Dalchini),1 Star anise,1 Mace (Javitri),3 Cardamom (Elaichi) Pods/Seeds,1 teaspoon Whole Black Peppercorns,4 Cloves (Laung),1 inch Cinnamon Stick (Dalchini),1 teaspoon Fennel seeds (Saunf)</t>
  </si>
  <si>
    <t xml:space="preserve">To begin making the Andhra Style Vegetarian Biryani, soak the soy chunks in 1/4 cup water and keep it aside.Soak the basmati rice also in water and keep it aside. Ground all the spice mix mentioned in the biryani spice mix to a coarse powder.Heat a pressure cooker with oil.  Add bay leaf, cardamom, cinnamon stick, cloves, star anise and mace. Fry the spice for 10 seconds until the aroma is released.Add the chopped onions, ginger garlic paste and green chili. Sauté until the onions become light brown.Add the chopped tomatoes and little bit of salt so that the tomatoes will get cooked faster and become mushy.Add the powdered spice mix, turmeric powder and give it a mix.Wash the soaked rice several times and add only the rice into the sautéed gravy. Add the soaked soya chunks as well. Mix well till the masala is mixed.Add 4 cups of water, check for salt and pressure cook for 2 whistle and switch off the heat. Allow the pressure to release by itself and open the lid and mix the rice well with the masala and serve.Serve the Andhra Style Vegetarian Biryani with Tomato Onion Cucumber Raita and Mirchi Ka Salan Recipe by the side. 
</t>
  </si>
  <si>
    <t xml:space="preserve">ఆంధ్రా స్టైల్ వెజిటేరియన్ బిర్యానీని తయారు చేయడం ప్రారంభించడానికి, సోయా ముక్కలను 1/4 కప్పు నీటిలో నానబెట్టి పక్కన పెట్టండి. బాస్మతి బియ్యాన్ని కూడా నీటిలో నానబెట్టి పక్కన పెట్టండి. బిర్యానీ మసాలా మిక్స్‌లో పేర్కొన్న అన్ని మసాలా మిక్స్‌ను ముతక పొడికి గ్రౌండ్ చేయండి. ప్రెజర్ కుక్కర్‌ను నూనెతో వేడి చేయండి.  బే ఆకు, ఏలకులు, దాల్చిన చెక్క, లవంగాలు, స్టార్ సోంపు మరియు జాపత్రి జోడించండి. సువాసన వచ్చే వరకు మసాలాను 10 సెకన్ల పాటు వేయించాలి. తరిగిన ఉల్లిపాయలు, అల్లం వెల్లుల్లి పేస్ట్ మరియు పచ్చిమిర్చి జోడించండి. ఉల్లిపాయలు లేత గోధుమరంగులోకి వచ్చేవరకు వేయించాలి. తరిగిన టొమాటోలు మరియు కొద్దిగా ఉప్పు వేయండి, తద్వారా టొమాటోలు వేగంగా ఉడికిపోతాయి మరియు మెత్తగా మారుతాయి. పొడి మసాలా మిక్స్, పసుపు పొడి వేసి మిక్సీలో ఇవ్వండి. నానబెట్టిన బియ్యాన్ని చాలాసార్లు కడిగి, సాట్ చేసిన గ్రేవీలో బియ్యం మాత్రమే వేయండి. అలాగే నానబెట్టిన సోయా ముక్కలు కూడా వేయాలి. మసాలా మిక్స్ అయ్యే వరకు బాగా కలపండి. 4 కప్పుల నీరు వేసి, ఉప్పు మరియు ప్రెజర్ కుక్ కోసం 2 విజిల్ కోసం తనిఖీ చేసి, వేడిని ఆపివేయండి. ప్రెజర్ తనంతట తానే వదలడానికి అనుమతించి, మూత తెరిచి, అన్నాన్ని మసాలాతో బాగా మిక్స్ చేసి సర్వ్ చేయండి.ఆంధ్రా స్టైల్ వెజిటేరియన్ బిర్యానీని టొమాటో ఉల్లిపాయ దోసకాయ రైతా మరియు మిర్చి కా సలాన్ రెసిపీని ప్రక్కన సర్వ్ చేయండి. 
</t>
  </si>
  <si>
    <t>https://www.archanaskitchen.com/andhra-style-vegetarian-biryani-with-soya-chunks-recipe-is</t>
  </si>
  <si>
    <t>Andhra Style Pappulo Undrallu Recipe</t>
  </si>
  <si>
    <t>ఆంధ్రా స్టైల్ పప్పులో ఉండ్రాళ్లు రిసిపి</t>
  </si>
  <si>
    <t>1/2 కప్పు బియ్యప్పిండి, 3 టేబుల్ స్పూన్లు బెల్లం, 1 కప్పు నీరు, 1/2 కప్పు పసుపు మూంగ్ పప్పు (విడదీయబడింది) - ఉడికించిన, 1 కప్పు పాలు, 3/4 కప్పు బెల్లం, 1 టీస్పూన్ యాలకుల పొడి (ఎలాచి), 1/2 కప్పు కొబ్బరి పాలు, 1 టేబుల్ స్పూన్ నెయ్యి, 12 జీడిపప్పు</t>
  </si>
  <si>
    <t>1/2 cup Rice flour,3 tablespoons Jaggery,1 cup Water,1/2 cup Yellow Moong Dal (Split) - cooked,1 cup Milk,3/4 cup Jaggery,1 teaspoon Cardamom Powder (Elaichi),1/2 cup Coconut milk,1 tablespoon Ghee,12 Cashew nuts</t>
  </si>
  <si>
    <t xml:space="preserve">To begin making Pappulo Undrallu Recipe, wash and boil the moong dal in 1 cup of water using a pressure cooker for 2 whistles. Once it is cool, mash and keep aside.Next, we need to prepare the rice flour dumplings.Heat 1 cup of water in a saucepan along with jaggery in medium heat, bring it to a boil.Slowly mix in the rice flour into the jaggery water and whisk well till it forms a uniform lump.Switch off the flame, let it cool for a while.Knead the dough well and roll it into mini balls and keep aside.Heat 1/2 cup of water along with 3/4 cup jaggery in medium heat and let it dissolve well.Add the boiled mashed moong dal into the jaggery syrup, enough water and mix well till you attain a smooth mixture. Simmer for 3 minutes.Add the rice dumplings into the mixture and simmer for 5 to 7 minutes till the mini rice balls are cooked well.Add the milk, cardamom powder and mix well. Simmer for another 5 minutes.Switch off the flame and mix in the coconut milk into the mixture. This is to avoid the curdling of the coconut milk.Heat ghee in a small tadka pan, add in the cashew nuts and fry until they turn golden brown.Add it to the Pappulo Undrallu that you made and stir well.Serve the Pappulo Undrallu Recipe, along with Spicy Sweet Corn &amp; Oat Fritters Recipe as a part of festive lunch or Andhra meals.
</t>
  </si>
  <si>
    <t xml:space="preserve">పప్పులో ఉండ్రాళ్లు రెసిపీని తయారు చేయడం ప్రారంభించడానికి, ప్రెషర్ కుక్కర్‌ని ఉపయోగించి 2 విజిల్స్ వచ్చేలా మూంగ్ పప్పును 1 కప్పు నీటిలో కడిగి మరిగించండి. అది చల్లారిన తర్వాత మెత్తగా చేసి పక్కన పెట్టుకోవాలి.తర్వాత బియ్యప్పిండి కుడుములు సిద్ధం చేసుకోవాలి.సాస్పాన్‌లో బెల్లం కలిపి 1 కప్పు నీళ్లను మీడియం మంటలో వేడి చేసి మరిగించాలి.నెమ్మదిగా బియ్యప్పిండిని బెల్లం నీళ్లలో వేసి బాగా గిలకొట్టాలి. మరియు పక్కన పెట్టండి. మీడియం వేడిలో 3/4 కప్పు బెల్లంతో పాటు 1/2 కప్పు నీటిని వేడి చేసి, అది బాగా కరిగిపోనివ్వండి. బెల్లం సిరప్‌లో ఉడికించిన గుజ్జు మూంగ్ పప్పు, తగినంత నీరు మరియు మీరు మృదువైన మిశ్రమాన్ని పొందే వరకు బాగా కలపాలి. 3 నిమిషాలు ఆవేశమును అణిచిపెట్టుకోండి. మిశ్రమంలో బియ్యం కుడుములు వేసి, మినీ రైస్ బాల్స్ బాగా ఉడికినంత వరకు 5 నుండి 7 నిమిషాలు ఆవేశమును అణిచిపెట్టుకోండి. పాలు, యాలకుల పొడి వేసి బాగా కలపాలి. మరో 5 నిమిషాలు ఆవేశమును అణిచిపెట్టుకోండి. మంటను ఆపివేసి, మిశ్రమంలో కొబ్బరి పాలు కలపండి. కొబ్బరి పాలు పెరుగుకుండా ఉండాలంటే.చిన్న తడ్కా పాన్‌లో నెయ్యి వేడి చేసి, అందులో జీడిపప్పు వేసి బంగారు రంగులోకి వచ్చే వరకు వేయించాలి. మీరు తయారు చేసుకున్న పప్పులో ఉండ్రాళ్లలో వేసి బాగా కలపాలి. పండుగ మధ్యాహ్న భోజనం లేదా ఆంధ్రా భోజనం.
</t>
  </si>
  <si>
    <t>https://www.archanaskitchen.com/andhra-style-pappulo-undrallu-recipe-rice-dumplings-in-sweetened-lentil-broth</t>
  </si>
  <si>
    <t>Andhra Style Mirapakaya Bajji Recipe - Stuffed Chilli Recipe</t>
  </si>
  <si>
    <t>ఆంధ్రా స్టైల్ మిరపకాయ బజ్జీ రిసిపి - స్టఫ్డ్ చిల్లీ రిసిపి</t>
  </si>
  <si>
    <t>6 బడి హరి మిర్చ్ (పెద్ద పచ్చిమిర్చి), 2 టేబుల్ స్పూన్లు వేయించిన పప్పు (పొట్టుకడలై), 1 టీస్పూన్ ఎర్ర మిరప పొడి, 1 టీస్పూన్ జీలకర్ర (జీరా), 1 టీస్పూన్ అజ్వైన్ (కారమ్ గింజలు), 1 టీస్పూన్ చాట్ మసాలా పౌడర్, 5 గ్రాములు చింతపండు, 1 చిటికెడు ఇంగువ - 1 కప్పు (రుచికి), అరకప్పు మైదా, 1 టీస్పూన్ ఎర్ర మిరప పొడి, 1 టీస్పూన్ ఎనోస్ ఫ్రూట్ సాల్ట్, 1 చిటికెడు ఇంగువ (హింగ్), ఉప్పు - రుచికి, సన్‌ఫ్లవర్ ఆయిల్ - డీప్ ఫ్రై కోసం, 1 ఉల్లిపాయ - తరిగిన, 3 రెమ్మలు కొత్తిమీర (ధనియా) ఆకులు - తరిగిన</t>
  </si>
  <si>
    <t>6 Badi hari mirch (Large Green Chilli),2 tablespoon Roasted Gram Dal (Pottukadalai),1 teaspoon Red Chilli powder,1 teaspoon Cumin powder (Jeera),1 teaspoon Ajwain (Carom seeds),1 teaspoon Chaat Masala Powder,5 grams Tamarind,1 pinch Asafoetida (hing),Salt - to taste,1 cup Gram flour (besan),1/3 cup Rice flour,1 teaspoon Red Chilli powder,1 teaspoon Enos fruit salt,1 pinch Asafoetida (hing),Salt - to taste,Sunflower Oil - for deep frying,1 Onion - chopped,3 sprig Coriander (Dhania) Leaves - chopped</t>
  </si>
  <si>
    <t xml:space="preserve">To begin making the Andhra Style Mirapakaya bajji Recipe, wash the chillies and cut them in the middle. Deseed them and keep it aside. Be sure to wash your hands after deseeding. In a mixer jar combine the roasted chana dal, red chilli powder, cumin seeds, ajwain seeds, chaat masala, tamarind, hing and grind it a mixer by adding 2 tablespoons of water to a smooth mixture.Stuff this mixture into each of the hollow chilies.Move on to make the batter by mixing all the ingredients- besan, rice flour, red chilli powder, enos salt, salt in a bowl with 1/2 cup of water to a smooth thick batter.Heat a kadai with oil to deep fry the chillies on medium-low flame. Check if the oil is hot by dropping a little amount of batter into the oil. If the batter rises up quickly then it is hot enough.Dip the green chilies into the batter and coat it evenly, carefully drop the chilies into the hot oil and fry. Turn the chilies after 30 seconds so that it has an even brown color all over.Take out the chilies using a slotted spoon and place it on a kitchen paper towel to drain the oil. Do the same for the rest of the chilies.Mix the onion and coriander leaves together and add it on top as a garnish. Serve the Andhra Style Mirapakaya bajji Recipe along with hot cup of tea for your evening snack.
</t>
  </si>
  <si>
    <t xml:space="preserve">ఆంధ్రా స్టైల్ మిరపకాయ బజ్జీ రెసిపీని తయారు చేయడం ప్రారంభించడానికి, మిరపకాయలను కడిగి మధ్యలో కత్తిరించండి. వాటిని డీసీడ్ చేసి పక్కన పెట్టండి. డీసీడింగ్ తర్వాత మీ చేతులు కడుక్కోవాలని నిర్ధారించుకోండి. మిక్సర్ జార్‌లో వేయించిన శనగపప్పు, ఎర్ర మిరప పొడి, జీలకర్ర, అజ్వైన్ గింజలు, చాట్ మసాలా, చింతపండు, హింగ్ వేసి మిక్సీలో వేసి మెత్తగా 2 టేబుల్ స్పూన్ల నీరు వేసి మెత్తగా మెత్తగా కలపండి. ఈ మిశ్రమాన్ని ఒక్కొక్క బోలుగా ఉన్న మిరపకాయల్లో వేయండి. 1/2 కప్పు నీటితో ఒక మృదువైన మందపాటి పిండికి గిన్నె. మిరపకాయలను మీడియం-తక్కువ మంట మీద డీప్ ఫ్రై చేయడానికి నూనెతో కడాయిని వేడి చేయండి. నూనెలో కొద్దిగా పిండిని వదలడం ద్వారా నూనె వేడిగా ఉందో లేదో తనిఖీ చేయండి. పిండి త్వరగా పైకి లేచినట్లయితే, అది తగినంత వేడిగా ఉంటుంది. పచ్చిమిర్చిని పిండిలో ముంచి సమానంగా పూయండి, మిరపకాయలను జాగ్రత్తగా వేడి నూనెలో వేసి వేయించాలి. 30 సెకన్ల తర్వాత మిరపకాయలను తిప్పండి, తద్వారా అది మొత్తం గోధుమ రంగులో ఉంటుంది. మిరపకాయలను స్లాట్డ్ చెంచా ఉపయోగించి బయటకు తీసి, నూనెను హరించడానికి వంటగది పేపర్ టవల్ మీద ఉంచండి. మిగిలిన మిరపకాయలకు కూడా ఇలాగే చేయండి.ఉల్లిపాయ మరియు కొత్తిమీర ఆకులను కలిపి ఒక గార్నిష్‌గా పైన జోడించండి. మీ సాయంత్రం అల్పాహారం కోసం ఆంధ్రా స్టైల్ మిరపకాయ బజ్జీ రిసిపిని వేడి కప్పు టీతో పాటు అందించండి.
</t>
  </si>
  <si>
    <t>https://www.archanaskitchen.com/andhra-style-mirapakaya-bajji-recipe-stuffed-chili-recipe</t>
  </si>
  <si>
    <t>Andhra Style Multi Lentil Garelu (Vada Recipe)</t>
  </si>
  <si>
    <t>ఆంధ్రా స్టైల్ మల్టీ లెంటిల్ గారెలు (వడ రెసిపీ)</t>
  </si>
  <si>
    <t>1/2 కప్పు చనా పప్పు (బెంగాల్ పప్పు), 1/2 కప్పు పసుపు మూంగ్ పప్పు (విడదీయబడింది), 1/2 కప్పు తెల్ల ఉరద్ పప్పు (విడదీయబడింది), 1/2 కప్పు బియ్యం పిండి, 3/4 కప్పు మొత్తం గోధుమ పిండి, 8 నుండి 9 పచ్చిమిర్చి, 5 నుండి 6 రెమ్మలు కొత్తిమీర (ధనియా) 2, పచ్చిమిర్చి, 2 ఆకులు, - అవసరమైనంత, ఉప్పు - రుచికి, సన్‌ఫ్లవర్ ఆయిల్ - డీప్ ఫ్రై కోసం</t>
  </si>
  <si>
    <t>1/2 cup Chana dal (Bengal Gram Dal),1/2 cup Yellow Moong Dal (Split),1/2 cup White Urad Dal (Split),1/2 cup Rice flour,3/4 cup Whole Wheat Flour,8 to 9 Green Chillies,5 to 6 sprig Coriander (Dhania) Leaves,2 sprig Curry leaves,2 inch Ginger,Water - as required,Salt - to taste,Sunflower Oil - for deep frying</t>
  </si>
  <si>
    <t xml:space="preserve">To prepare Andhra Style Multi Lentil Garelu (Vada Recipe), dry grind the dals coarsely and add rice flour. Mix thoroughly.Add enough water and make a thick vada/garelu batter along with ginger and green chillies in a grinder.Add salt, chopped curry leaves, coriander leaves and wheat flour to the prepared batter. Adjust water only if required. The batter needs to be really thick like dough to shape them.Heat oil in a deep frying pan.Apply a little oil on to a parchment or butter paper, take a golf ball sized dough, pat with your fingers on the greased parchment paper to make disc and make a hole in center.Carefully drop it in hot oil and fry till beautiful golden on both sides, flipping them as required. Repeat to make other garelus.Drain excess oil on a kitchen towel.Serve Andhra Style Multi Lentil Garelu with Chutney.
</t>
  </si>
  <si>
    <t xml:space="preserve">ఆంధ్రా స్టైల్ మల్టీ పప్పు గారెలు (వడ రెసిపీ) సిద్ధం చేయడానికి, పప్పులను మెత్తగా పొడి చేసి, బియ్యం పిండిని జోడించండి. బాగా కలపండి.తగినంత నీరు వేసి, గ్రైండర్‌లో అల్లం మరియు పచ్చిమిర్చితో పాటు మందపాటి వడ/గారెలు పిండిని తయారు చేయండి.ఉప్పు, తరిగిన కరివేపాకు, కొత్తిమీర ఆకులు మరియు గోధుమ పిండిని సిద్ధం చేసిన పిండికి జోడించండి. అవసరమైతే మాత్రమే నీటిని సర్దుబాటు చేయండి. వాటిని ఆకృతి చేయడానికి పిండి నిజంగా మందంగా ఉండాలి. డీప్ ఫ్రైయింగ్ పాన్‌లో నూనెను వేడి చేయండి. పార్చ్‌మెంట్ లేదా బటర్ పేపర్‌పై కొద్దిగా నూనె రాసి, గోల్ఫ్ బాల్ సైజులో ఉన్న పిండిని తీసుకుని, గ్రీజు చేసిన పార్చ్‌మెంట్ పేపర్‌పై మీ వేళ్లతో తట్టి, మధ్యలో రంధ్రం చేసి, అవసరమైనంత వరకు వాటిని వేడి నూనెలో వేసి రెండు వైపులా వేయించాలి. ఇతర గారెలు చేయడానికి రిపీట్ చేయండి. కిచెన్ టవల్‌పై అదనపు నూనె వేయండి. ఆంధ్రా స్టైల్ మల్టీ పప్పు గారెలు చట్నీతో సర్వ్ చేయండి.
</t>
  </si>
  <si>
    <t>http://www.archanaskitchen.com/andhra-style-multi-lentil-garelu-vada-recipe</t>
  </si>
  <si>
    <t>Andhra Style Mutton Curry Recipe</t>
  </si>
  <si>
    <t>ఆంధ్రా స్టైల్ మటన్ కర్రీ రిసిపి</t>
  </si>
  <si>
    <t>350 గ్రాములు మటన్, 1 టీస్పూన్ పసుపు పొడి (హల్దీ), 1 టీస్పూన్ ఎర్ర మిరప పొడి, ఉప్పు - 1 కప్పు ఎండు కొబ్బరి (కొప్పరా), 1 ఉల్లిపాయ, నీరు - అవసరమైనంత, 1 ఉల్లిపాయ - తరిగిన, 2 టీస్పూన్లు ఎర్ర మిరప పొడి - మీ రుచికి అనుగుణంగా, 1 టేబుల్ స్పూన్ అల్లం వెల్లుల్లి పేస్ట్, 1 టీస్పూన్ ధనియాల పొడి, 1 టీస్పూన్ ధనియాల పొడి, 1 టీస్పూన్ గదారం పొడి, 1 స్పూన్. తరిగిన, పొద్దుతిరుగుడు నూనె - అవసరమైన విధంగా, 1/2 టీస్పూన్ కసూరి మేతి (ఎండబెట్టిన మెంతి ఆకులు), ఉప్పు - అవసరమైనంత, నీరు - కావలసినంత, కొత్తిమీర (ధనియా) ఆకులు - అలంకరించు కోసం తరిగిన</t>
  </si>
  <si>
    <t>350 grams Mutton,1 teaspoon Turmeric powder (Haldi),1 teaspoon Red Chilli powder,Salt - as required,1 cup Dry coconut (kopra),1 Onion,Water - as required,1 Onion - chopped,2 teaspoons Red Chilli powder - adjust according to your taste,1 tablespoon Ginger Garlic Paste,1 teaspoon Coriander Powder (Dhania),1 teaspoon Garam masala powder,1/2 cup Tomato - chopped,Sunflower Oil - as required,1/2 teaspoon Kasuri Methi (Dried Fenugreek Leaves),Salt - as required,Water - as required,Coriander (Dhania) Leaves - chopped for garnish</t>
  </si>
  <si>
    <t xml:space="preserve">To begin making the Andhra Style Mutton Curry recipe, marinate the mutton with ingredients listed under ‘For marinating’ and keep aside for 15 minutes. Later pressure cook the marinated mixture for 6 whistles. Meanwhile grind all the ingredients given under ‘For grinding’ and keep it aside. Add oil in a heavy bottomed pan, add onions to it and cook till the onion turns brown.Add ginger garlic paste and let it cook till the raw smell goes off.Next, add the ground mixture to it and let it fry till the mixture starts to turn golden brown. Now, add mutton with its juices and let it cook for at least for 5 minutes. After 5 minutes, add tomatoes, red chilli powder, garam masala powder, coriander powder, salt and let it simmer for another 5 minutes.Next add the required water and cover it for 10 minutes. Add kasuri methi, coriander leaves and give the curry a stir. Your Andhra Style Mutton Curry is ready to be served.Serve Andhra Style Mutton Curry along with Steamed Rice or Whole Wheat Lachha Paratha for a weekday dinner.
</t>
  </si>
  <si>
    <t xml:space="preserve">ఆంధ్రా స్టైల్ మటన్ కర్రీ రెసిపీని తయారు చేయడం ప్రారంభించడానికి, 'మెరినేటింగ్ కోసం' కింద జాబితా చేయబడిన పదార్థాలతో మటన్‌ను మెరినేట్ చేసి, 15 నిమిషాలు పక్కన పెట్టండి. తర్వాత మ్యారినేట్ చేసిన మిశ్రమాన్ని 6 విజిల్స్ వచ్చే వరకు ప్రెషర్ చేయండి. ఇంతలో ‘గ్రైండింగ్ కోసం’ కింద ఇచ్చిన పదార్థాలన్నింటినీ గ్రైండ్ చేసి పక్కన పెట్టుకోవాలి. బాణలిలో నూనె వేసి, ఉల్లిపాయలు వేసి, ఉల్లిపాయలు బ్రౌన్ రంగులోకి వచ్చే వరకు వేయించాలి. అల్లం వెల్లుల్లి పేస్ట్ వేసి పచ్చి వాసన పోయే వరకు ఉడికించాలి. తర్వాత, దానికి రుబ్బిన మిశ్రమాన్ని వేసి, మిశ్రమం బంగారు గోధుమ రంగులోకి వచ్చే వరకు వేయించాలి. ఇప్పుడు, దాని రసాలతో మటన్ వేసి కనీసం 5 నిమిషాలు ఉడికించాలి. 5 నిమిషాల తర్వాత, టొమాటోలు, ఎర్ర కారం పొడి, గరం మసాలా పొడి, ధనియాల పొడి, ఉప్పు వేసి మరో 5 నిమిషాలు ఉడకనివ్వండి.తరువాత అవసరమైన నీరు వేసి 10 నిమిషాలు మూతపెట్టండి. కసూరి మెంతి, కొత్తిమీర తరుగు వేసి కూరను కదిలించు. మీ ఆంధ్రా స్టైల్ మటన్ కర్రీ సర్వ్ చేయడానికి సిద్ధంగా ఉంది.ఆంధ్రా స్టైల్ మటన్ కర్రీని స్టీమ్డ్ రైస్ లేదా హోల్ వీట్ లచ్చా పరాటాతో పాటు వారంరోజుల డిన్నర్‌లో సర్వ్ చేయండి.
</t>
  </si>
  <si>
    <t>https://www.archanaskitchen.com/andhra-style-mutton-curry-recipe</t>
  </si>
  <si>
    <t>Pandu Mirapakaya Pachadi  - Andhra Red Chilli Chutney Recipe</t>
  </si>
  <si>
    <t>పండు మిరపకాయ పచ్చడి - ఆంధ్రా రెడ్ చిల్లీ చట్నీ రిసిపి</t>
  </si>
  <si>
    <t>100 గ్రాముల తాజా ఎర్ర మిరపకాయలు, 1 టేబుల్ స్పూన్ చింతపండు పేస్ట్, 2 టేబుల్ స్పూన్లు అల్లం నూనె, 1 టీస్పూన్ ఆవాలు, 1/2 టీస్పూన్ ఇంగువ (హింగ్), 1/2 టీస్పూన్ మెంతి పొడి (మెంతి పొడి), ఉప్పు - రుచికి</t>
  </si>
  <si>
    <t>100 grams Fresh Red chillies,1 tablespoon Tamarind Paste,2 tablespoons Gingelly oil,1 teaspoon Mustard seeds,1/2 teaspoon Asafoetida (hing),1/2 teaspoon Methi Powder (Fenugreek Powder),Salt - to taste</t>
  </si>
  <si>
    <t xml:space="preserve">To begin making the Andhra Ripe Red Chilli Chutney Recipe/ Pandu Mirapakaya Pachadi, remove the stalks of the chillies and thoroughly wash and pat dry them.Heat a little oil in a heavy bottomed pan. Add the fresh red chillies and fry them on medium heat for 2 minutes. Once done, remove and set them aside. Let the chillies cool down a bit.Once the chillies come to room temperature, grind the chillies with tamarind paste into smooth texture or as per your required consistency.Keep scraping the sides of the Pandu Mirapakaya Pachadi and do not add much water while grinding.Heat 2 tablespoons oil in a pan. Add mustard seeds and once it crackles add asafoetida.After 10 seconds, add in the red chilli tamarind paste and let it cook for about a minute. Turn off the flame, allow the Pandu Mirapakaya Pachadi to cool and store it in an airtight container in the refrigerator.Serve Andhra Ripe Red Chilli Chutney/ Pandu Mirapakaya Pachadi along with Ghee Roast Dosa and Keerai Sambar for a weekday breakfast.
</t>
  </si>
  <si>
    <t xml:space="preserve">ఆంధ్రా పండిన రెడ్ చిల్లీ చట్నీ రిసిపి/ పండు మిరపకాయ పచ్చడిని తయారు చేయడం ప్రారంభించడానికి, మిరపకాయల కాడలను తీసివేసి, వాటిని బాగా కడిగి ఆరబెట్టండి. బాటమ్ బాటమ్‌లో కొద్దిగా నూనె వేసి వేడి చేయండి. తాజా ఎర్ర మిరపకాయలను వేసి మీడియం వేడి మీద 2 నిమిషాలు వేయించాలి. పూర్తయిన తర్వాత, వాటిని తీసివేసి పక్కన పెట్టండి. మిరపకాయలు కొంచెం చల్లారనివ్వండి.మిరపకాయలు గది ఉష్ణోగ్రతకు వచ్చిన తర్వాత, మిరపకాయలను చింతపండు పేస్ట్‌తో మెత్తగా మెత్తగా లేదా మీకు కావలసిన స్థిరత్వం ప్రకారం రుబ్బు. పాండు మిరపకాయ పచ్చడి వైపులా తురుముతూ ఉండండి మరియు గ్రైండింగ్ చేసేటప్పుడు ఎక్కువ నీరు కలపవద్దు. పాన్‌లో 2 టేబుల్ స్పూన్ల నూనె వేడి చేయండి. ఆవాలు వేసి, పగిలిన తర్వాత ఇంగువ వేయాలి. 10 సెకన్ల తర్వాత, ఎర్ర మిరపకాయ చింతపండు పేస్ట్ వేసి ఒక నిమిషం పాటు ఉడికించాలి. మంటను ఆపివేయండి, పండు మిరపకాయ పచ్చడిని చల్లబరచడానికి అనుమతించండి మరియు దానిని గాలి చొరబడని కంటైనర్‌లో రిఫ్రిజిరేటర్‌లో నిల్వ చేయండి. ఆంధ్ర పండిన ఎర్ర మిరపకాయ పచ్చడి/ పాండు మిరపకాయ పచ్చడి తో పాటు నెయ్యి రోస్ట్ దోస మరియు కీరాయి సాంబార్ తో పాటు వారం రోజుల అల్పాహారం కోసం సర్వ్ చేయండి.
</t>
  </si>
  <si>
    <t>https://www.archanaskitchen.com/andhra-ripe-red-chilli-chutney-recipe</t>
  </si>
  <si>
    <t>Andhra Style Pappu Charu Recipe (Lentil Soup Style Curry)</t>
  </si>
  <si>
    <t>ఆంధ్రా స్టైల్ పప్పు చారు (పప్పు పులుసు స్టైల్ కర్రీ)</t>
  </si>
  <si>
    <t>1 కప్పు అర్హర్ పప్పు (స్ప్లిట్ టూర్), 3 పచ్చిమిర్చి - లేదా ఎర్ర ఎండు మిరపకాయలు, 10 లవంగాలు వెల్లుల్లి, 1 టొమాటో - తరిగిన, 1 ఉల్లిపాయ - తరిగిన, 2 టేబుల్ స్పూన్లు చింతపండు పేస్ట్, 1/2 టీస్పూన్ పసుపు పొడి (హల్దీ), ఉప్పు - రుచికి, 2 టేబుల్ స్పూన్లు నెయ్యి, 1 టీస్పూన్ మినపప్పు, 1 టీస్పూన్ కరివేపాకు (హింగ్)</t>
  </si>
  <si>
    <t>1 cup Arhar dal (Split Toor Dal),3 Green Chillies - or red dry chillies,10 cloves Garlic,1 Tomato - chopped,1 Onion - chopped,2 tablespoons Tamarind Paste,1/2 teaspoon Turmeric powder (Haldi),Salt - to taste,2 tablespoons Ghee,6 Curry leaves,1 teaspoons Mustard seeds,1 pinch Asafoetida (hing)</t>
  </si>
  <si>
    <t xml:space="preserve">To begin making the Andhra Style Pappu Chaaru, first wash the dal thoroughly and soak it for 15 to 20 minutes.Add the dal, chopped tomatoes, chopped onion, green chillies, 6 crushed garlic cloves, turmeric powder and 2 cups of water into a pressure cooker.Place the pressure cooker on a high heat and allow it to cook. When you hear a couple of whistles, turn the heat to low and continue to cook for a couple more whistles. The dal should be cooked well enough to be mashed easily. After 4-5 whistles in all, turn the heat off and allow the pressure to release naturally.When you are able to lift the weight easily and open the lid of the pressure cooker, mash the cooked dal well using a vegetable masher.Add tamarind pulp, salt and the remaining crushed garlic to this and 1 cup water and boil it again till the raw tamarind smell vanishes and the dal thickens.Taste the dal and adjust salt and tamarind levels if needed. The chaaru should be tangy, spicy and garlicy.For tempering, place a tadka ladle on the heat. Add some gheeand warm it up. Add the mustard seeds and allow them to crackle.Next, add asafoetida and curry leaves and allow them to splutter and crisp up. Pour the tempering over the chaaru and serve with Steamed Rice and a dollop of ghee.
</t>
  </si>
  <si>
    <t xml:space="preserve">ఆంధ్రా స్టైల్ పప్పు చారు తయారు చేయడం ప్రారంభించడానికి, ముందుగా పప్పును బాగా కడిగి 15 నుండి 20 నిమిషాలు నానబెట్టండి. పప్పు, తరిగిన టొమాటోలు, తరిగిన ఉల్లిపాయలు, పచ్చిమిర్చి, 6 వెల్లుల్లి రెబ్బలు, పసుపు మరియు 2 కప్పుల నీటిని ప్రెజర్ కుక్కర్‌లో వేసి ప్రెజర్ కుక్కర్‌లో ఉంచండి. మీరు రెండు విజిల్‌లు విన్నప్పుడు, వేడిని తగ్గించి, మరో రెండు విజిల్‌ల కోసం ఉడికించడం కొనసాగించండి. పప్పు సులభంగా గుజ్జు అయ్యేలా బాగా ఉడికించాలి. మొత్తం 4-5 విజిల్స్ వచ్చిన తర్వాత, వేడిని ఆపివేసి, ఒత్తిడిని సహజంగా విడుదల చేయడానికి అనుమతించండి. మీరు బరువును తేలికగా ఎత్తగలిగినప్పుడు మరియు ప్రెజర్ కుక్కర్ యొక్క మూత తెరిచినప్పుడు, కూరగాయల మాషర్‌ని ఉపయోగించి ఉడికించిన పప్పును బాగా మెత్తగా చేయాలి. దీనికి చింతపండు గుజ్జు, ఉప్పు మరియు మిగిలిన మెత్తగా తరిగిన వెల్లుల్లి వేసి 1 కప్పు నీరు వేసి, పచ్చి వాసన పోయే వరకు మళ్లీ ఉడికించాలి. మరియు అవసరమైతే ఉప్పు మరియు చింతపండు స్థాయిలను సర్దుబాటు చేయండి. చారు పచ్చిగా, కారంగా మరియు వెల్లుల్లిపాయగా ఉండాలి. టెంపరింగ్ కోసం, వేడి మీద తడ్కా గరిటె ఉంచండి. కొంచెం నెయ్యి వేసి వేడెక్కించండి. ఆవాలు వేసి చిటపటలాడనివ్వండి.తర్వాత, ఇంగువ మరియు కరివేపాకు వేసి, వాటిని చిలకరించి, కరకరలాడేలా చేయండి. చారుపై టెంపరింగ్‌ను పోసి, ఉడికించిన అన్నం మరియు ఒక డల్‌ప్ నెయ్యితో సర్వ్ చేయండి.
</t>
  </si>
  <si>
    <t>http://www.archanaskitchen.com/andhra-style-pappu-charu-recipe-lentil-soup-style-curry</t>
  </si>
  <si>
    <t>Andhra Style Allam Pachadi (Ginger Chutney Recipe)</t>
  </si>
  <si>
    <t>ఆంధ్రా స్టైల్ అల్లం పచ్చడి (అల్లం చట్నీ రిసిపి)</t>
  </si>
  <si>
    <t>1 టేబుల్ స్పూన్ చనా పప్పు (బెంగాల్ పప్పు), 1 టేబుల్ స్పూన్ తెల్ల ఉరద్ పప్పు (స్ప్లిట్), 2 ఎండు మిరపకాయలు, 1 టేబుల్ స్పూన్ కొత్తిమీర (ధనియా) గింజలు, 3 అంగుళాల అల్లం - తరిగిన, 1 ఉల్లిపాయ - తరిగిన, 1 టొమాటో - తరిగిన, ఉప్పు - రుచికి, 1 టీస్పూన్ ఆవాలు, 1 టీస్పూన్ ఆవాలు, 1 స్పూను దోసకాయలు నూనె - వంట కోసం</t>
  </si>
  <si>
    <t>1 tablespoon Chana dal (Bengal Gram Dal),1 tablespoon White Urad Dal (Split),2 Dry Red Chillies,1 tablespoon Coriander (Dhania) Seeds,3 inch Ginger - chopped,1 Onion - chopped,1 Tomato - chopped,Salt - to taste,1 teaspoon Mustard seeds,1 sprig Curry leaves,1 pinch Asafoetida (hing),Sunflower Oil - for cooking</t>
  </si>
  <si>
    <t xml:space="preserve">To begin making the Andhra Style Allam Pachadi, heat a kadai with oil, add the dals and saute them till they are light brown.Add the dry red chillies, coriander seeds, onions, ginger and saute them till the onions are translucent.Once done, add the tomatoes and salt and saute till the tomato becomes mushy. Switch off the heat and grind it to a smooth paste.To make the tempering, heat a small kadai with oil, add mustard seeds and allow it to splutter.Add the curry leaves and hing, leave it for 10 seconds and pour it over the chutney. Serve the Andhra Style Allam Pachadi along with pesarattu or idli to enjoy your morning breakfast.
</t>
  </si>
  <si>
    <t xml:space="preserve">ఆంధ్రా స్టైల్ అల్లం పచ్చడిని తయారు చేయడం ప్రారంభించడానికి, కడాయిని నూనెతో వేడి చేసి, పప్పులను వేసి లేత గోధుమరంగు వచ్చేవరకు వేయించాలి. ఎండు మిరపకాయలు, కొత్తిమీర గింజలు, ఉల్లిపాయలు, అల్లం వేసి ఉల్లిపాయలు పారదర్శకంగా మారే వరకు వేయించాలి. పూర్తయిన తర్వాత, టమోటాలు మరియు ఉప్పు వేసి టమోటా మెత్తగా అయ్యే వరకు వేయించాలి. వేడిని ఆపివేసి, మెత్తని పేస్ట్‌గా రుబ్బుకోవాలి. టెంపరింగ్ చేయడానికి, చిన్న కడాయిని నూనెతో వేడి చేసి, ఆవాలు వేసి చిలకరించడానికి అనుమతించండి. కరివేపాకు మరియు హింగ్ వేసి, 10 సెకన్ల పాటు వదిలి, చట్నీ మీద పోయాలి. మీ ఉదయం అల్పాహారాన్ని ఆస్వాదించడానికి పెసరట్టు లేదా ఇడ్లీ తో పాటు ఆంధ్రా స్టైల్ అల్లం పచ్చడిని సర్వ్ చేయండి.
</t>
  </si>
  <si>
    <t>http://www.archanaskitchen.com/andhra-style-allam-pachadi-ginger-chutney-recipe</t>
  </si>
  <si>
    <t>Andhra Style Bangaladumpa Vepudu Recipe - Potato Fry Recipe</t>
  </si>
  <si>
    <t>ఆంధ్రా స్టైల్ బంగళదుంప వేపుడు రెసిపీ - పొటాటో ఫ్రై రిసిపి</t>
  </si>
  <si>
    <t>4 బంగాళదుంపలు (ఆలూ) - చర్మం ఒలిచి ముక్కలుగా తరిగినవి, 1 ఉల్లిపాయ - ముక్కలు, 4 లవంగాలు వెల్లుల్లి - మెత్తగా, 1 టీస్పూన్ ఆవాలు, 1 టీస్పూన్ తెల్ల ఉరద్ పప్పు (విడదీయాలి), 1 రెమ్మ కరివేపాకు, 1 టీస్పూన్ జీలకర్ర (జీరా), 1 టేబుల్ స్పూన్ ఎర్ర మిరపకాయ పొడి, 1 టేబుల్ స్పూన్ (ధనియా), 1 టీస్పూన్ జీలకర్ర పొడి (జీరా)</t>
  </si>
  <si>
    <t>4 Potatoes (Aloo) - skin peeled and chopped into cubes,1 Onion - sliced,4 cloves Garlic - crushed,1 teaspoon Mustard seeds,1 teaspoon White Urad Dal (Split),1 sprig Curry leaves,1 teaspoon Cumin seeds (Jeera),1 tablespoon Red Chilli powder,1 teaspoon Turmeric powder (Haldi),1 tablespoon Coriander Powder (Dhania),1 teaspoon Cumin powder (Jeera)</t>
  </si>
  <si>
    <t xml:space="preserve">To begin making the Bangaladumpa Vepudu Recipe, peel the skin and boil the potatoes in a pressure cooker with enough water for 1 whistle. All the pressure to release naturally and keep it aside.Heat a kadai with oil, add mustard seeds and urad dal and allow it splutter for 10 seconds.Add curry leaves and leave it to crackle for 10 seconds, add garlic and onions and saute until they turn light brown and crispy.At this stage add all the spice powders mentioned in the list, give it a stir and add the cooked potatoes and salt. Give it a toss until the potatoes is well coated with all the masala.Serve the Bangaladumpa Vepudu Recipe along with Tawa Paratha or Steamed Rice with a bowl of Yellow Pumpkin Dal Recipe by the side.
</t>
  </si>
  <si>
    <t xml:space="preserve">బంగాళదుంప వేపుడు రెసిపీని తయారు చేయడం ప్రారంభించడానికి, చర్మాన్ని తొక్కండి మరియు బంగాళాదుంపలను ప్రెజర్ కుక్కర్‌లో 1 విజిల్ కోసం తగినంత నీటితో ఉడకబెట్టండి. సహజంగా విడుదల చేసి పక్కన పెట్టండి. కడాయిని నూనెతో వేడి చేసి, ఆవాలు మరియు ఉరద్ పప్పు వేసి 10 సెకన్ల పాటు చిటపటలాడనివ్వండి. కరివేపాకు వేసి 10 సెకన్ల పాటు పగలనివ్వండి, వెల్లుల్లి మరియు ఉల్లిపాయలు వేసి లేత గోధుమరంగు మరియు క్రిస్పీగా మారే వరకు వేయించాలి. బంగాళదుంపలు అన్ని మసాలాలతో బాగా పూత వచ్చే వరకు టాస్ ఇవ్వండి. బంగాళదుంప వేపుడు రెసిపీని తవా పరాటా లేదా స్టీమ్డ్ రైస్ తో పాటు ఒక బౌల్ పసుపు గుమ్మడి దాల్ రిసిపిని ప్రక్కన అందించండి.
</t>
  </si>
  <si>
    <t>http://www.archanaskitchen.com/bangaladumpa-vepudu-recipe-potato-fry-recipe</t>
  </si>
  <si>
    <t>Andhra Style Munakkada Masala Kura Recipe - Drumstick Dry Curry Recipe</t>
  </si>
  <si>
    <t>ఆంధ్రా స్టైల్ మునక్కాడ మసాలా కూర రెసిపీ - Drumstick Dry Curry Recipe</t>
  </si>
  <si>
    <t>1 మునగ - 1 అంగుళం ముక్కలు, 1 ఉల్లిపాయ - తరిగిన, 1 టేబుల్ స్పూన్ అల్లం వెల్లుల్లి పేస్ట్, 1 టీస్పూన్ ఎర్ర కారం, 1/2 టీస్పూన్ పసుపు (హల్దీ), ఉప్పు - రుచికి, 1/2 కప్పు వేయించిన వేరుశెనగ (మూంగ్‌ఫాలి), 1 టేబుల్ స్పూన్ కొత్తిమీర (ధనియా) గింజలు, 2 టేబుల్ స్పూన్లు, లవంగాలు (1 టేబుల్ స్పూన్) తాజా కొబ్బరి - తురిమిన, 1 టమోటా - తరిగిన</t>
  </si>
  <si>
    <t>1 Drumstick - cut into 1 inch pieces,1 Onion - chopped,1 tablespoon Ginger Garlic Paste,1 teaspoon Red Chilli powder,1/2 teaspoon Turmeric powder (Haldi),Salt - to taste,1/2 cup Roasted Peanuts (Moongphali),1 tablespoon Coriander (Dhania) Seeds,2 Cloves (Laung),1 inch Cinnamon Stick (Dalchini),1 tablespoon Fresh coconut - grated,1 Tomato - chopped</t>
  </si>
  <si>
    <t xml:space="preserve">To begin making the Andhra Style Munakkada Masala Kura Recipe, heat a flat skillet. Roast the peanuts and coriander seeds for 20 seconds.Add the cloves, cinnamon sticks, and grated coconut and saute till it become light brown. Cool it down and add tomatoes and grind it into a smooth paste.Heat a sauce pan with oil, add ginger garlic paste and onions, fry till it is translucent. Add the ground paste and red chilli powder, turmeric powder and salt. Saute till the masala is cooked.After 10 minutes, add the chopped drumstick, little water and cover it with the lid and cook for about 10 more minutes.Cook until the oil is released from the masala. Check for salt and serve hot.Serve the Andhra Style Munakkada Masala Kura Recipe along with Kollu Rasam Recipe (Nourishing HorseGram Stew), Steamed Rice and Chow Chow Thoran to enjoy weekday dinner.
</t>
  </si>
  <si>
    <t xml:space="preserve">ఆంధ్రా స్టైల్ మునక్కాడ మసాలా కురా రెసిపీని తయారు చేయడం ప్రారంభించడానికి, ఫ్లాట్ స్కిల్లెట్‌ను వేడి చేయండి. వేరుశెనగ మరియు కొత్తిమీర గింజలను 20 సెకన్ల పాటు వేయించాలి. లవంగాలు, దాల్చిన చెక్క ముక్కలు మరియు తురిమిన కొబ్బరి వేసి లేత గోధుమరంగు వచ్చేవరకు వేయించాలి. దానిని చల్లార్చి, టొమాటోలు వేసి మెత్తని పేస్ట్‌గా రుబ్బుకోవాలి.సాస్ పాన్‌ను నూనెతో వేడి చేసి, అల్లం వెల్లుల్లి పేస్ట్ మరియు ఉల్లిపాయలు వేసి, అది అపారదర్శకమయ్యే వరకు వేయించాలి. రుబ్బిన పేస్ట్ మరియు ఎర్ర కారం, పసుపు మరియు ఉప్పు కలపండి. మసాలా ఉడికినంత వరకు వేయించాలి. 10 నిమిషాల తర్వాత, తరిగిన మునగకాయ, కొద్దిగా నీరు వేసి మూతతో కప్పి మరో 10 నిమిషాలు ఉడికించాలి. మసాలా నుండి నూనె విడుదలయ్యే వరకు ఉడికించాలి. ఉప్పు కోసం తనిఖీ చేసి, వేడిగా వడ్డించండి. వారంరోజుల రాత్రి భోజనాన్ని ఆస్వాదించడానికి ఆంధ్రా స్టైల్ మునక్కాడ మసాలా కురా రిసిపిని కొల్లు రసం (పోషించే గుర్రపు కూర), స్టీమ్డ్ రైస్ మరియు చౌ చౌ థోరన్ తో పాటు అందించండి.
</t>
  </si>
  <si>
    <t>https://www.archanaskitchen.com/andhra-style-munakkada-masala-kura-recipe-drumstick-dry-curry-recipe</t>
  </si>
  <si>
    <t>Andhra Style Erra Kaaram Dosa Recipe (Spicy Red Chilli Chutney Dosa Recipe)</t>
  </si>
  <si>
    <t>ఆంధ్రా స్టైల్ ఎర్ర కారం దోస రిసిపి (స్పైసీ రెడ్ చిల్లీ చట్నీ దోస రిసిపి)</t>
  </si>
  <si>
    <t>4 కప్పులు ఇడ్లీ దోస పిండి, 5 ఎండు మిరపకాయలు, 1 ఉల్లిపాయ, 4 లవంగాలు వెల్లుల్లి, 18 గ్రాముల చింతపండు, 1 టీస్పూన్ ఆవాలు, పొద్దుతిరుగుడు నూనె, 1 కప్పు వేయించిన పప్పు (పొట్టుకడలై), 4 లవంగాలు వెల్లుల్లి</t>
  </si>
  <si>
    <t>4 cups Idli Dosa Batter,5 Dry Red Chillies,1 Onion,4 cloves Garlic,18 grams Tamarind,1 teaspoon Mustard seeds,Sunflower Oil,1 cup Roasted Gram Dal (Pottukadalai),4 cloves Garlic</t>
  </si>
  <si>
    <t xml:space="preserve">To begin making the Andhra Style Erra Kaaram Dosa, prepare the batter and keep it ready. Click on how to make the dosa batter to follow the recipe.To make the red chutney, roast the dry red chillies with a teaspoon oil on to a hot pan. Once done grind it along with onion, tamarind, garlic into a smooth paste. Add water to make little wet.Transfer it to a bowl. To temper heat a small tempering pan with oil and crackle the mustard seeds for 10 seconds.Pour the crackling mustard seeds over the chutney and keep it aside.Clean the mixer and wipe all the moisture from the container and then grind the chickpeas along with the garlic to a smooth powder.Heat a dosa pan, let it get heated, take a ladle filled with the batter and smear it in a circular motion to make a thin crepe.After 10 seconds, smear the red chutney evenly on the dosa, drizzle some oil and allow it to cook for 10 seconds. Until you see it becoming light brown.With the help of a dosa spatula try to lift the dosa and flip it over to cook on the other side. Cook for another 10 seconds more.Place it on a serving plate and sprinkle with the garlic flavored gram flour on top and serve.Serve the Andhra Style Erra Kaaram Dosa with spicy coconut chutney and any other chutney of your choice to create a delicious breakfast. 
</t>
  </si>
  <si>
    <t xml:space="preserve">ఆంధ్రా స్టైల్ ఎర్ర కారం దోసను తయారు చేయడం ప్రారంభించడానికి, పిండిని సిద్ధం చేసి సిద్ధంగా ఉంచండి. రెసిపీని అనుసరించడానికి దోస పిండిని ఎలా తయారు చేయాలో క్లిక్ చేయండి. రెడ్ చట్నీ చేయడానికి, ఎండు మిరపకాయలను ఒక టీస్పూన్ నూనెతో వేడి పాన్‌లో కాల్చండి. పూర్తయిన తర్వాత ఉల్లిపాయ, చింతపండు, వెల్లుల్లిని మెత్తగా పేస్ట్‌లా రుబ్బుకోవాలి. కొద్దిగా తడి చేయడానికి నీటిని జోడించండి. దానిని ఒక గిన్నెకు బదిలీ చేయండి. ఒక చిన్న టెంపరింగ్ పాన్‌ను నూనెతో వేడి చేసి, ఆవాలను 10 సెకన్ల పాటు చిటపటలాడించాలి. చట్నీపై పగిలిన ఆవాలు పోసి పక్కన పెట్టండి. మిక్సర్‌ను శుభ్రం చేసి, కంటైనర్‌లోని తేమను తుడిచి, వెల్లుల్లితో పాటు చిక్‌పీస్‌ను మెత్తగా మెత్తగా రుబ్బాలి. వృత్తాకార కదలికలో సన్నని ముడతలు ఏర్పడతాయి. 10 సెకన్ల తర్వాత, ఎర్ర చట్నీని దోసెపై సమానంగా అద్ది, కొద్దిగా నూనె వేసి 10 సెకన్ల పాటు ఉడికించాలి. లేత గోధుమ రంగులోకి మారడం మీరు చూసే వరకు. దోస గరిటె సహాయంతో దోసను పైకి లేపడానికి ప్రయత్నించండి మరియు మరొక వైపు ఉడికించడానికి దాన్ని తిప్పండి. మరో 10 సెకన్ల పాటు ఉడికించాలి. సర్వింగ్ ప్లేట్‌లో ఉంచి, పైన వెల్లుల్లి రుచులు ఉన్న శెనగపిండిని చల్లి సర్వ్ చేయండి. రుచికరమైన అల్పాహారాన్ని సృష్టించడానికి ఆంధ్రా స్టైల్ ఎర్ర కారం దోసను స్పైసీ కొబ్బరి చట్నీ మరియు మీకు నచ్చిన ఏదైనా ఇతర చట్నీతో సర్వ్ చేయండి. 
</t>
  </si>
  <si>
    <t>https://www.archanaskitchen.com/andhra-style-erra-kaaram-dosa-recipe-spicy-red-chilli-chutney-dosa-recipe</t>
  </si>
  <si>
    <t>Vankaya Ulli Karam Recipe - Eggplant In Spicy Onion Gravy</t>
  </si>
  <si>
    <t>వంకాయ ఉల్లి కారం రెసిపీ - వంకాయ ఉల్లిపాయ గ్రేవీలో</t>
  </si>
  <si>
    <t>16 చిన్న బెండకాయలు (బైంగన్ / వంకాయ), 2 ఉల్లిపాయలు - తరిగిన, 1 టొమాటో - తరిగిన, 3 లవంగాలు వెల్లుల్లి - సన్నగా తరిగిన, 1/2 అంగుళాల అల్లం - సన్నగా తరిగిన, 3 పచ్చిమిర్చి - చీలిక, 1 టీస్పూన్ జీలకర్ర (జీరా), 1 టీస్పూన్ కొత్తిమీర (సీతీక్ / 2 టీస్పూన్) విత్తనాలు), ఉప్పు - రుచికి, పొద్దుతిరుగుడు నూనె - ఉడికించేందుకు, కొత్తిమీర (ధనియా) ఆకులు - తరిగిన</t>
  </si>
  <si>
    <t>16 Small Brinjal (Baingan / Eggplant),2 Onions - chopped,1 Tomato - chopped,3 cloves Garlic - finely chopped,1/2 inch Ginger - finely chopped,3 Green Chillies - slit,1 teaspoon Cumin seeds (Jeera),1 teaspoon Coriander (Dhania) Seeds,1/2 teaspoon Methi Seeds (Fenugreek Seeds),Salt - to taste,Sunflower Oil - to cook,Coriander (Dhania) Leaves - chopped</t>
  </si>
  <si>
    <t xml:space="preserve">To begin making Vankaya Ulli Karam Recipe (Eggplants In Spicy Onion Gravy), first slit them twice diagonally 3/4th long such that you do not disturb their stalk/ crown. Prep the rest of the ingredients as well.In a kadai/heavy bottomed pan, heat the required oil and add cumin seeds.Once the cumin sizzles, add coriander &amp; fenugreek seeds, once they become fragrant, add the garlic &amp; ginger.Fry for a minute and add the chopped onions. Cook until they turn slightly soft &amp; pinkish.Add the tomatoes, chillies and fry for a couple of minutes.Add salt, mix it well &amp; switch off the flame.Once it cools down, grind it into a paste. Now, fill the ground masala into the slit eggplants.Heat oil in the kadai and &amp; add these eggplants to it. Add the remaining masala as well to it.Cover it &amp; cook until the eggplants are soft &amp; mushy. Keep stirring in between, but carefully so that the brinjal does not become mushy.Keep cooking it till the eggplants are cooked, and the mixture comes together and becomes brownish in colour. Make sure you don't burn them.Once done, add lots of coriander to it and switch off heat.Serve Vankaya Ulli Karam Recipe along with Steamed Rice, and Moong Dal Rasam/Pesara Pappu Charu Recipe and Black Chickpea Salad Recipe for a complete meal.
</t>
  </si>
  <si>
    <t xml:space="preserve">వంకాయ ఉల్లి కారం రెసిపీ (మసాలా ఉల్లిపాయ గ్రేవీలో వంకాయలు) తయారు చేయడం ప్రారంభించడానికి, ముందుగా వాటిని రెండుసార్లు వికర్ణంగా 3/4 వంతు పొడవుతో కత్తిరించండి, మీరు వాటి కొమ్మకు/కిరీటానికి భంగం కలగకుండా చేయండి. మిగిలిన పదార్థాలను కూడా సిద్ధం చేయండి. కడాయి/హెవీ బాటమ్‌డ్ పాన్‌లో, అవసరమైన నూనెను వేడి చేసి, జీలకర్ర వేసి వేయండి. జీలకర్ర సిజ్‌లు అయిన తర్వాత, కొత్తిమీర &amp; మెంతులు వేసి, అవి సువాసన వచ్చిన తర్వాత, వెల్లుల్లి &amp; అల్లం వేసి, ఒక నిమిషం వేయించి, తరిగిన ఉల్లిపాయలను జోడించండి. అవి కొద్దిగా మెత్తగా &amp; గులాబీ రంగులోకి మారే వరకు ఉడికించాలి. టొమాటోలు, మిరపకాయలు వేసి రెండు నిమిషాలు వేయించాలి. ఉప్పు వేసి బాగా కలపండి &amp; మంటను ఆపివేయండి. అది చల్లారిన తర్వాత, పేస్ట్‌గా రుబ్బుకోండి. ఇప్పుడు, స్లిట్ వంకాయలలో గ్రౌండ్ మసాలా నింపండి. కడాయిలో నూనె వేడి చేసి &amp; దానికి ఈ వంకాయలను జోడించండి. దానికి మిగిలిన మసాలాను కూడా జోడించండి. దానిని మూతపెట్టి, వంకాయలు మెత్తగా &amp; మెత్తగా అయ్యే వరకు ఉడికించాలి. మధ్యమధ్యలో కదిలించు, కానీ వంకాయ మెత్తగా మారకుండా జాగ్రత్తగా ఉండండి. వంకాయలు ఉడికినంత వరకు ఉడికించాలి మరియు మిశ్రమం కలిసి వచ్చి గోధుమ రంగులోకి మారుతుంది. మీరు వాటిని కాల్చకుండా చూసుకోండి. పూర్తయిన తర్వాత, దానికి చాలా కొత్తిమీర వేసి, వేడిని ఆపివేయండి. వంకాయ ఉల్లి కారం రెసిపీతో పాటు ఉడికించిన అన్నం, మరియు మూంగ్ దాల్ రసం/పెసర పప్పు చారు రిసిపి మరియు బ్లాక్ చిక్‌పీ సలాడ్ రిసిపిని పూర్తి భోజనం కోసం సర్వ్ చేయండి.
</t>
  </si>
  <si>
    <t>https://www.archanaskitchen.com/vankaya-ulli-karam-recipe-eggplant-in-spicy-onion-gravy</t>
  </si>
  <si>
    <t>Mamidikaya Pappu Recipe - Andhra Pappu - Raw Mango Dal</t>
  </si>
  <si>
    <t>మామిడికాయ పప్పు రిసిపి - ఆంధ్రా పప్పు - పచ్చి మామిడి పప్పు</t>
  </si>
  <si>
    <t>1 కప్పు అర్హర్ పప్పు (స్ప్లిట్ టూర్ డాల్), 1 మామిడి (ముడి) - ఒలిచిన మరియు తరిగిన, 1 టేబుల్ స్పూన్ పసుపు పొడి (హల్దీ), 1 ఉల్లిపాయ - సన్నగా తరిగిన, 1 టొమాటో - సన్నగా తరిగిన, 4 లవంగాలు వెల్లుల్లి, 3 ఎండు మిరపకాయలు, 1 టేబుల్ స్పూన్ ఆవాలు, 10 కరివేపాకు</t>
  </si>
  <si>
    <t>1 cup Arhar dal (Split Toor Dal),1 Mango (Raw) - peeled and chopped,1 tablespoon Turmeric powder (Haldi),1 Onion - finely chopped,1 Tomato - finely chopped,4 cloves Garlic,3 Dry Red Chillies,1 tablespoon Mustard seeds,10 Curry leaves</t>
  </si>
  <si>
    <t xml:space="preserve">To begin making Mamidikaya Pappu Recipe, firstly wash arhar dal/toor dal thoroughly in running water.Add arhar dal and grated raw mangoes in a pressure cooker, along with a teaspoon of turmeric powder and a bit of salt to taste. Pressure cook on high heat for 3-4 whistles and turn off the heat. Once the pressure cooker cools down on its own, mash the cooked toor dal thoroughly with a masher, or the backside of a ladle.For the tempering, heat oil in a heavy bottomed pan. Once the oil is hot, add dry red chillies and crushed garlic pods, and saute it until it is golden brown and the raw aroma of the garlic goes away. Immediately add curry leaves and stir till they sizzling stops. Add the chopped onions and saute until golden brown, or caramelized. Now add the tomatoes and cook until soft and mushy. Once the tomatoes are cooked, add mashed dal contents from the pressure cooker and stir the Mamidikaya Pappu to combine.Cook the Mamidikaya Pappu Recipe on a low heat for about 2 minutes and switch off heat. Your Mamidikaya Pappu is ready to be served. Serve Mamidikaya Pappu Recipe (Raw Mango Dal) with Panasa Pottu Aava Koora Recipe- Andhra style Mustard Flavoured Raw Jackfruit Curry and steamed rice with Andhra Style Paruppu Podi Recipe (Dal Podi) to make it a complete Andhra style meal. 
</t>
  </si>
  <si>
    <t xml:space="preserve">మామిడికాయ పప్పు రెసిపీని తయారు చేయడం ప్రారంభించడానికి, ముందుగా అరహార్ పప్పు/తూరు పప్పును పారే నీటిలో బాగా కడగాలి. ప్రెషర్ కుక్కర్‌లో అరహార్ పప్పు మరియు తురిమిన పచ్చి మామిడికాయలను ఒక టీస్పూన్ పసుపు పొడి మరియు రుచికి కొంచెం ఉప్పుతో పాటు జోడించండి. 3-4 విజిల్స్ వచ్చే వరకు అధిక వేడి మీద ప్రెజర్ ఉడికించి, వేడిని ఆపివేయండి. ప్రెషర్ కుక్కర్ దానంతటదే చల్లారిన తర్వాత, వండిన పప్పును మాషర్‌తో లేదా గరిటె వెనుక వైపున బాగా మాష్ చేయండి. టెంపరింగ్ కోసం, భారీ అడుగున ఉన్న పాన్‌లో నూనె వేడి చేయండి. నూనె వేడి అయిన తర్వాత, ఎండు మిరపకాయలు మరియు దంచిన వెల్లుల్లి పాడ్స్ వేసి, బంగారు గోధుమ రంగు వచ్చేవరకు మరియు వెల్లుల్లి యొక్క పచ్చి వాసన పోయే వరకు వేయించాలి. వెంటనే కరివేపాకు వేసి అవి సిజ్లింగ్ ఆగే వరకు కదిలించు. తరిగిన ఉల్లిపాయలను వేసి బంగారు గోధుమ రంగు వచ్చేవరకు లేదా పంచదార పాకం వరకు వేయించాలి. ఇప్పుడు టొమాటోలు వేసి మెత్తగా, మెత్తగా ఉడికించాలి. టమోటాలు ఉడికిన తర్వాత, ప్రెషర్ కుక్కర్ నుండి మెత్తని పప్పు పదార్థాలను వేసి, మామిడికాయ పప్పును కలపడానికి కదిలించండి. మామిడికాయ పప్పు రెసిపీని దాదాపు 2 నిమిషాలు తక్కువ వేడి మీద ఉడికించి, వేడిని ఆపివేయండి. మీ మామిడికాయ పప్పు వడ్డించడానికి సిద్ధంగా ఉంది. పనస పొట్టు ఆవ కూర రిసిపితో మామిడికాయ పప్పు (ముడి మామిడి పప్పు)ని సర్వ్ చేయండి- ఆంధ్రా స్టైల్ ఆవాలు రుచిగల పచ్చి జాక్‌ఫ్రూట్ కర్రీ మరియు ఆంధ్రా స్టైల్ పారుప్పుపొడి రిసిపి (దాల్ పొడి)తో ఉడికించిన అన్నం ని పూర్తి ఆంధ్రా స్టైల్ భోజనంగా మార్చండి. 
</t>
  </si>
  <si>
    <t>http://www.archanaskitchen.com/mamidikaya-pappu-recipe-raw-mango-dal</t>
  </si>
  <si>
    <t>Andhra Style Davva Aava koora Recipe (Sweet and Spicy Banana Stem Peanut Curry Recipe)</t>
  </si>
  <si>
    <t>ఆంధ్రా స్టైల్ దవ్వ ఆవ కూర రెసిపీ (తీపి మరియు స్పైసీ అరటి స్టెమ్ వేరుశెనగ కూర రెసిపీ)</t>
  </si>
  <si>
    <t>300 గ్రాముల అరటి కాండం - చిన్న ముక్కలుగా కట్ చేసి, వెన్న పాలలో నానబెట్టి, 1 కప్పు పచ్చి శనగలు (మూంగ్‌ఫాలి), 1/2 కప్పు ముత్యాలు (సాంబార్ ఉల్లిపాయలు) - సన్నగా తరిగిన, 3 లవంగాలు వెల్లుల్లి - మెత్తగా, 1 కప్పు టమోటా - చిన్న ముక్కలుగా కట్, 1/2 టీస్పూన్ పసుపు, 1 టీస్పూన్ పసుపు, 1 టీస్పూన్ పసుపు, 1 టీస్పూన్ పసుపు పంచదార, 1 బే ఆకు (తేజ్ పట్ట) - చిరిగిన, 1 రెమ్మ కరివేపాకు - స్థూలంగా చిరిగిన, 1 టీస్పూన్ ఆవాలు, 1/2 టీస్పూన్ మెంతి గింజలు (మెంతి గింజలు), 1 టీస్పూన్ సన్‌ఫ్లవర్ ఆయిల్, ఉప్పు - రుచికి, 1 టీస్పూన్ తెల్ల ఉరద్ పప్పు (విడదీసి), 1 టీస్పూన్ చనా పప్పు (బెంగాల్ పప్పు, బెంగాల్ 2, 2 టీస్పూన్లు) (ధనియా) ఆకులు</t>
  </si>
  <si>
    <t>300 grams Banana Stem - cut into small diced and soaked in butter milk,1 cup Raw Peanuts (Moongphali),1/2 cup Pearl onions (Sambar Onions) - finely chopped,3 cloves Garlic - smashed,1 cup Tomato - cut into small pieces,1/2 teaspoon Turmeric powder (Haldi),1/2 teaspoon Red Chilli powder,1 teaspoon Sambar Powder,1 teaspoon Sugar,1 Bay leaf (tej patta) - torn,1 sprig Curry leaves - roughly torn,1 teaspoon Mustard seeds,1/2 teaspoon Methi Seeds (Fenugreek Seeds),1 teaspoon Sunflower Oil,Salt - to taste,1 teaspoon White Urad Dal (Split),1 teaspoon Chana dal (Bengal Gram Dal),1 Dry Red Chilli,2 sprig Coriander (Dhania) Leaves</t>
  </si>
  <si>
    <t xml:space="preserve">We begin making the Andhra Style Davva Aava koora Recipe (Sweet and Spicy Banana Stem Peanut Curry Recipe) by heating the pressure cooker with oil, roast the bay leaf and splutter the mustard seeds and fenugreek seeds.Then add the curry leaves, add in the smashed garlic, add the small onions and saute till it is translucent.Once done you can add the chopped tomatoes and saute till it is smashed. Add all the spice powders and sugar give it a toss.Finally add the banana stem and peanuts inside the pressure cooker with 1 cup water for about 2 whistle. Release the pressure naturally.In order to temper, heat a small skillet and splutter urad dal, channa dal and dry red chilli and add it to the gravy and give it a stir. Serve the Andhra Style Davva Aava koora Recipe (Sweet and Spicy Banana Stem Peanut Curry Recipe) with steam rice or with Chapathi to enjoy your Lunch meal.
</t>
  </si>
  <si>
    <t xml:space="preserve">మేము ఆంధ్రా స్టైల్ దవ్వ ఆవ కూర రిసిపి (తీపి మరియు స్పైసీ అరటి స్టెమ్ వేరుశెనగ కూర రెసిపీ) ను ప్రెజర్ కుక్కర్‌ను నూనెతో వేడి చేసి, బే ఆకును వేయించి, ఆవాలు మరియు మెంతి గింజలను చిలకరించి తయారు చేయడం ప్రారంభిస్తాము. తర్వాత కరివేపాకు వేసి, మెత్తగా తరిగిన వెల్లుల్లిని జోడించండి. టమోటాలు మరియు అది పగులగొట్టే వరకు వేయించాలి. అన్ని మసాలా పొడులు మరియు పంచదార వేసి టాస్ ఇవ్వండి. చివరగా అరటి కాండం మరియు వేరుశెనగలను ప్రెజర్ కుక్కర్‌లో 1 కప్పు నీటితో సుమారు 2 విజిల్ కోసం జోడించండి. సహజంగా ఒత్తిడిని విడుదల చేయండి. ఒక చిన్న స్కిల్లెట్‌ను వేడి చేయడానికి, ఉరద్ పప్పు, చన్నా పప్పు మరియు ఎండు మిరపకాయలను చల్లి, గ్రేవీలో వేసి కదిలించు. మీ మధ్యాహ్న భోజనాన్ని ఆస్వాదించడానికి ఆంధ్రా స్టైల్ దవ్వ ఆవ కూర రిసిపి (తీపి మరియు స్పైసీ బనానా స్టెమ్ పీనట్ కర్రీ రిసిపి)ని స్టీమ్ రైస్‌తో లేదా చపాతీతో సర్వ్ చేయండి.
</t>
  </si>
  <si>
    <t>http://www.archanaskitchen.com/andhra-style-davva-aava-koora-recipe-sweet-and-spicy-banana-stem-peanut-curry-recipe</t>
  </si>
  <si>
    <t>Masala Akki Roti With Spinach Recipe - sarvapindi</t>
  </si>
  <si>
    <t>బచ్చలికూరతో మసాలా అక్కి రోటీ - సర్వపిండి</t>
  </si>
  <si>
    <t>3 కప్పులు బియ్యప్పిండి, 2 కప్పులు నీరు, 1 కప్పు స్ప్రింగ్ ఆనియన్ గ్రీన్స్ - సన్నగా తరిగిన (ఐచ్ఛికం), 1 కప్పు బచ్చలి ఆకులు (పాలక్) - తరిగిన, 1/2 కప్పు కొత్తిమీర (ధనియా) ఆకులు - తరిగిన, కరివేపాకు - కొన్ని, 10 పచ్చిమిర్చి - ముక్కలు, 2 టేబుల్ స్పూన్లు, నువ్వులు గింజలు - 2 టేబుల్ స్పూన్లు వేయించడం</t>
  </si>
  <si>
    <t>3 cups Rice flour,2 cups Water,1 cup Spring Onion Greens - finely chopped (optional),1 cup Spinach Leaves (Palak) - chopped,1/2 cup Coriander (Dhania) Leaves - chopped,Curry leaves - few,10 Green Chillies - minced,2 tablespoon Sesame seeds (Til seeds),Salt - to taste,Sunflower Oil - for pan frying</t>
  </si>
  <si>
    <t xml:space="preserve">To begin preparing the Masala Akki Roti with Spinach, in a deep pot add 2 cups of water and bring this to a soft boil and stir in the rice flour and mix well.Turn off the heat and transfer the batter into a mixing bowl.Cool this for few minutes at room temperature.Next add the chopped spinach, scallions, coriander, curry leaves, green chillies, salt, sesame seeds and little water if required, knead this into a soft dough.Cover and rest the dough for 10 minutes.Later, divide the dough into 12 equal portions.Now press the dough ball onto a greased pan with the thickness of a roti and drizzle few drops of oil around the corners.Fry this on medium heat on both the sides until cooked and golden brown spots appear.The Masala Akki Roti with Spinach are filling and healthy, and can be served with chutney or yogurt.
</t>
  </si>
  <si>
    <t xml:space="preserve">బచ్చలికూరతో మసాలా అక్కి రోటీని సిద్ధం చేయడం ప్రారంభించడానికి, లోతైన కుండలో 2 కప్పుల నీరు వేసి, మెత్తగా ఉడకబెట్టి, బియ్యప్పిండిని వేసి బాగా కలపండి. వేడిని ఆపివేసి, పిండిని మిక్సింగ్ గిన్నెలోకి మార్చండి. గది ఉష్ణోగ్రత వద్ద కొన్ని నిమిషాలు చల్లబరచండి. తర్వాత తరిగిన బచ్చలికూర, ఉడకబెట్టిన పులుసులు, కొత్తిమీర, పచ్చిమిర్చి, ఉప్పు, పచ్చిమిర్చి, ఉప్పు, పచ్చిమిర్చి, ఉప్పు వేసి కలపాలి. దీన్ని మెత్తని పిండిలాగా మార్చండి. పిండిని 10 నిమిషాలు మూతపెట్టి విశ్రాంతి తీసుకోండి. తరువాత, పిండిని 12 సమాన భాగాలుగా విభజించండి. ఇప్పుడు పిండిని రోటీ మందంతో గ్రీజు చేసిన పాన్‌పైకి నొక్కండి మరియు మూలల చుట్టూ కొన్ని చుక్కల నూనె వేయండి. దీన్ని రెండు వైపులా మీడియం వేడి మీద వేయించి, బంగారు గోధుమ రంగు మచ్చలు కనిపిస్తాయి. చట్నీ లేదా పెరుగుతో వడ్డించవచ్చు.
</t>
  </si>
  <si>
    <t>http://www.archanaskitchen.com/masala-akki-roti-with-spinach-sarvapindi-recipe</t>
  </si>
  <si>
    <t>Beerakaya Tomato Koora Recipe (Andhra Style Ridge Gourd Curry)</t>
  </si>
  <si>
    <t>బీరకాయ టొమాటో కూర రిసిపి (ఆంధ్రా స్టైల్ రిడ్జ్ గోర్డ్ కర్రీ)</t>
  </si>
  <si>
    <t>4 పొట్లకాయ (తురై/ పీర్‌కంగై) - క్యూబ్స్‌గా కట్ చేసి, 1 ఉల్లిపాయ - సన్నగా తరిగిన, 3 టొమాటోలు - పండిన, 5 లవంగాలు వెల్లుల్లి - పెస్టర్ మరియు మోర్టార్‌లో సుమారుగా మెత్తగా, 1 టీస్పూన్ బెల్లం - పొడి, 2 టీస్పూన్లు ఎర్ర మిరప పొడి, 2 టీస్పూన్లు ధనియాల పొడి (2 టీస్పూన్ మిరియాలపొడి/2 టీస్పూన్ మెంతి), గింజలు (మెంతి గింజలు) - వేయించి పొడి చేసి, 1 టీస్పూన్ మెంతి గింజలు (సాన్ఫ్) - పొడి, 1 రెమ్మ కరివేపాకు, 1 టీస్పూన్ ఆవాలు, ఇంగువ (హింగ్) - చిటికెడు, 5 రెమ్మలు కొత్తిమీర (ధనియా) ఆకులు - సన్నగా తరిగిన ఎండుమిర్చి, 2 టీస్పూన్లు ఎర్రగా తరిగిన పచ్చిమిర్చి, 2 టీస్పూన్లు</t>
  </si>
  <si>
    <t>4 Ridge Gourd (Turai/ Peerkangai) - cut into cubes,1 Onion - finely chopped,3 Tomatoes - ripe,5 cloves Garlic - roughly pounded in pester and mortar,1 teaspoon Jaggery - powdered,2 teaspoons Red Chilli powder,2 teaspoons Coriander Powder (Dhania),1/2 teaspoon Turmeric powder (Haldi),1/2 teaspoon Methi Seeds (Fenugreek Seeds) - roasted and powdered,1 teaspoon Fennel seeds (Saunf) - powdered,1 sprig Curry leaves,1 teaspoon Mustard seeds,Asafoetida (hing) - A pinch,5 sprig Coriander (Dhania) Leaves - finely chopped for garnish,1 Dry Red Chilli,2 teaspoons Sunflower Oil,Salt - to taste</t>
  </si>
  <si>
    <t xml:space="preserve">To begin making Beerakaya Tomato Koora Recipe, wash, scrape the outer hard skin of the ridge gourd and cut them into small cubes and keep aside.Heat oil in a pan on medium flame, add mustard seeds and let it crackle.Add the asafoetida powder, curry leaves and red chilli and let it splutter.Now roughly pound the garlic cloves using a pestle and mortar and add it to the pan and saute until the garlic turns golden.Add the finely chopped onion and saute until it turns translucent.Add the chopped tomatoes and saute well.To this add the red chilli, coriander, turmeric, season with salt and saute until the oil separates out.Now, add the cubed ridge gourds, mix well and let the ridge gourd cook in its own juices for 5 minutes.Once the ridge gourd is cooked, add the jaggery, fennel seeds and roasted fenugreek seeds powder and mix well.Let it simmer for another 5 minutes, once the gravy becomes thick switch off the flame.Garnish with coriander leaves. Serve the Beerakaya Tomato Koora Recipe along with Phulkas or Steamed Rice with Elai Vadam for a light weekday lunch.
</t>
  </si>
  <si>
    <t xml:space="preserve">బీరకాయ టొమాటో కూర రిసిపిని తయారు చేయడం ప్రారంభించడానికి, పొట్లకాయ యొక్క బయటి గట్టి చర్మాన్ని కడిగి, వాటిని చిన్న ఘనాలగా కట్ చేసి పక్కన పెట్టండి. మీడియం మంట మీద పాన్‌లో నూనె వేడి చేసి, ఆవాలు వేసి, చిటపటలాడనివ్వండి. ఇంగువ పొడి, కరివేపాకు మరియు ఎర్ర మిరపకాయలను జోడించండి. బాణలిలో వేసి, వెల్లుల్లి బంగారు రంగులోకి మారే వరకు వేయించాలి. సన్నగా తరిగిన ఉల్లిపాయ వేసి పారదర్శకంగా మారే వరకు వేయించాలి. తరిగిన టమోటాలు వేసి బాగా వేయించాలి. దీనికి ఎర్ర కారం, కొత్తిమీర, పసుపు, ఉప్పు వేసి నూనె విడిపోయే వరకు వేయించాలి. గోరింటాకు ఉడికిన తర్వాత, బెల్లం, మెంతి గింజలు మరియు వేయించిన మెంతి గింజల పొడి వేసి బాగా కలపాలి. మరో 5 నిమిషాలు ఉడకనివ్వండి, గ్రేవీ చిక్కగా మారిన తర్వాత మంటను ఆపివేయండి. కొత్తిమీర ఆకులతో అలంకరించండి. బీరకాయ టొమాటో కూర రిసిపిని ఫుల్కాస్ లేదా స్టీమ్డ్ రైస్‌తో పాటు ఎలై వడమ్ తో వారంరోజుల మధ్యాహ్న భోజనం కోసం సర్వ్ చేయండి.
</t>
  </si>
  <si>
    <t>http://www.archanaskitchen.com/beerakaya-tomato-koora-recipe-andhra-style-ridge-gourd-curry</t>
  </si>
  <si>
    <t>Andhra Vankaya Fry Recipe With Peanuts - Brinjal Peanut Sabzi</t>
  </si>
  <si>
    <t>ఆంధ్రా వంకాయ ఫ్రై విత్ పీనట్స్ - బ్రింజాల్ పీనట్ సబ్జీ</t>
  </si>
  <si>
    <t>6 చిన్న పచ్చి బెండకాయ (ఆకుపచ్చ బెండకాయ) - ముక్కలు, 1/2 కప్పు పచ్చి వేరుశెనగ (మూంగ్‌ఫాలి) - మెత్తగా, 3 పచ్చిమిర్చి - ముక్కలు, 1 చిటికెడు ఇంగువ (హింగ్), 1 టీస్పూన్ ఆవాలు, 1 టీస్పూన్ జీలకర్ర (జీరా), 2 రెమ్మలు కరివేపాకు - 4 పచ్చిమిర్చి, పౌండ్, 2 టేబుల్ స్పూన్ సాంబార్ పౌడర్</t>
  </si>
  <si>
    <t>6 Small Green brinjal (green aubergine) - diced,1/2 cup Raw Peanuts (Moongphali) - crushed,3 Green Chillies - sliced,1 pinch Asafoetida (hing),1 teaspoon Mustard seeds,1 teaspoon Cumin seeds (Jeera),2 sprig Curry leaves,1 inch Ginger - chopped,4 cloves Garlic - pound,2 tablespoon Sambar Powder</t>
  </si>
  <si>
    <t xml:space="preserve">To begin making the Andhra Vankaya Fry With Peanuts Recipe, firstly heat a kadai, add oil and splutter mustard seeds, jeera seeds, hing and curry leaves.Once that is done, add the chopped ginger, garlic, green chillies, brinjal and fry them till the brinjal reduces in its size and lightly roasted.Once the brinjal is half way cooked, add the crushed peanuts and sambar powder, saute for a minute till all the spices coat the brinjals. Season the Vankaya Fry well with salt.Sprinkle a little water and cook till the brinjals are soft if required. Close it with the lid and let the Vankaya cook and soften completely. Once done, turn off the heat, check the salt and other spices and adjust accordingly.Serve the Andhra Vankaya Fry Recipe along with Puliyodharai / Puliyogare Recipe, Andhra Style Pappu Charu, Steamed Rice and Homemade Curd for a comforting lunch or dinner.
</t>
  </si>
  <si>
    <t xml:space="preserve">ఆంధ్రా వంకాయ ఫ్రై విత్ వేరుశెనగ రెసిపీని తయారు చేయడం ప్రారంభించడానికి, ముందుగా ఒక కడాయిని వేడి చేసి, నూనె వేసి చిటపటలాడే ఆవాలు, జీలకర్ర, ఉంగరం మరియు కరివేపాకు వేయండి. అది పూర్తయిన తర్వాత, తరిగిన అల్లం, వెల్లుల్లి, పచ్చిమిర్చి, వంకాయలను వేసి, వంకాయ పరిమాణం తగ్గే వరకు వేయించాలి. పిండిచేసిన వేరుశెనగ మరియు సాంబార్ పొడి, అన్ని మసాలా దినుసులు వంకాయలు పూత వరకు ఒక నిమిషం పాటు వేయించాలి. వంకాయ ఫ్రైకి ఉప్పు వేసి బాగా వేయండి.కొద్దిగా నీరు చిలకరించి, అవసరమైతే వంకాయలు మెత్తబడే వరకు ఉడికించాలి. దానిని మూతతో మూసివేసి, వంకాయను ఉడికించి పూర్తిగా మెత్తగా చేయనివ్వండి. పూర్తయిన తర్వాత, వేడిని ఆపివేయండి, ఉప్పు మరియు ఇతర మసాలా దినుసులను తనిఖీ చేయండి మరియు తదనుగుణంగా సర్దుబాటు చేయండి. ఆంధ్రా వంకాయ ఫ్రై రెసిపీని పులియోధరై / పులియోగరే రెసిపీ, ఆంధ్రా స్టైల్ పప్పు చారు, ఆంధ్రా స్టైల్ పప్పు చారు, స్టీమ్డ్ రైస్ మరియు ఇంట్లో తయారు చేసిన పెరుగు తో పాటు ఓదార్పునిచ్చే లంచ్ లేదా డిన్నర్‌గా అందించండి.
</t>
  </si>
  <si>
    <t>http://www.archanaskitchen.com/andhra-style-vankaya-verusenga-stir-fry-recipe-brinjal-and-peanut-stir-fry-recipe</t>
  </si>
  <si>
    <t>Beans Vepudu Recipe (Andhra Style Beans Cooked With Spicy Sesame Spicy Mix)</t>
  </si>
  <si>
    <t>బీన్స్ వేపుడు రెసిపీ (ఆంధ్రా స్టైల్ బీన్స్ స్పైసీ నువ్వుల స్పైసీ మిక్స్‌తో వండినది)</t>
  </si>
  <si>
    <t>500 గ్రాముల పచ్చి బఠానీలు (ఫ్రెంచ్ బీన్స్) - 1/2 అంగుళాల ముక్కలు, 1 టీస్పూన్ ఆవాలు, 1 రెమ్మ కరివేపాకు, 1/2 టీస్పూన్ పసుపు పొడి (హల్దీ), 2 టీస్పూన్లు పొద్దుతిరుగుడు నూనె, ఉప్పు - రుచికి, 2 టేబుల్ స్పూన్లు నువ్వులు (టిల్ గింజలు), 2 టేబుల్ స్పూన్లు తాజా కొబ్బరి గింజలు - 2 టీస్పూన్లు సీ లవంగాలు, గారెలు, 2 టీస్పూన్లు ఎర్ర కారం పొడి</t>
  </si>
  <si>
    <t>500 grams Green beans (French Beans) - cut into 1/2 inch pieces,1 teaspoon Mustard seeds,1 sprig Curry leaves,1/2 teaspoon Turmeric powder (Haldi),2 teaspoons Sunflower Oil,Salt - to taste,2 tablespoons Sesame seeds (Til seeds),2 tablespoons Fresh coconut - grated,4 cloves Garlic,2 teaspoons Cumin seeds (Jeera),2 teaspoons Red Chilli powder</t>
  </si>
  <si>
    <t xml:space="preserve">To begin making the Beans Vepudu Recipe (Andhra Style Beans Cooked with Spicy Sesame Spicy Mix), clean, wash and cut the beans to half an inch pieces and keep aside.Now take a heavy bottomed pan, dry roast the ingredients mentioned in the 'spice mix list' one by one except the red chilli powder and grind it to a fine powder using a mixer grinder and keep aside.In the same pan, heat oil on medium flame, add mustard seeds and let it splutter.Add the curry leaves and let it crackle.Add the chopped beans, turmeric powder and saute until the beans are cooked to 3/4th with the lid closed. This will take around 10 minutes.Now add the prepared spice mix to the beans, season with salt and saute until the beans is cooked well. Once the beans are cooked, switch off the flame.Serve the Beans Vepudu Recipe (Andhra Style Beans Cooked with Spicy Sesame Spicy Mix) along with Mixed Vegetable Sambar and Steamed Rice for a simple weeknight dinner.
</t>
  </si>
  <si>
    <t xml:space="preserve">బీన్స్ వేపుడు రిసిపి (ఆంధ్రా స్టైల్ బీన్స్ స్పైసీ నువ్వుల మిక్స్‌తో వండినది) తయారు చేయడం ప్రారంభించడానికి, బీన్స్‌ను శుభ్రం చేసి, కడిగి, అర అంగుళం ముక్కలుగా కట్ చేసి పక్కన పెట్టండి. ఇప్పుడు ఒక హెవీ బాటమ్ పాన్ తీసుకుని, 'స్పైస్ మిక్స్ లిస్ట్'లో పేర్కొన్న పదార్థాలను ఒక్కొక్కటిగా పొడిగా కాల్చండి. మీడియం మంట మీద, ఆవాలు వేసి చిటపటలాడనివ్వండి. కరివేపాకు వేసి చిటపటలాడనివ్వండి. తరిగిన బీన్స్, పసుపు పొడి వేసి బీన్స్ 3/4 వంతు వరకు మూత మూసివేసే వరకు వేయించాలి. ఇది సుమారు 10 నిమిషాలు పడుతుంది. ఇప్పుడు బీన్స్‌కు సిద్ధం చేసిన మసాలా మిశ్రమాన్ని జోడించండి, ఉప్పు వేసి బీన్స్ బాగా ఉడికినంత వరకు వేయించాలి. బీన్స్ ఉడికిన తర్వాత, మంటను ఆపివేయండి. బీన్స్ వేపుడు రెసిపీ (ఆంధ్రా స్టైల్ బీన్స్ వండిన మసాలా నువ్వులు స్పైసీ మిక్స్)తో పాటు మిక్స్‌డ్ వెజిటబుల్ సాంబార్ మరియు స్టీమ్డ్ రైస్ తో పాటు సాధారణ వారం రాత్రి డిన్నర్‌కి సర్వ్ చేయండి.
</t>
  </si>
  <si>
    <t>http://www.archanaskitchen.com/beans-vepudu-recipe-andhra-style-beans-cooked-with-spicy-sesame-spicy-mix</t>
  </si>
  <si>
    <t>Andhra Style Kandi Attu Recipe (Toor Dal Dosa Recipe)</t>
  </si>
  <si>
    <t>ఆంధ్రా స్టైల్ కంది అట్టు రిసిపి (తూర్ దాల్ దోస రిసిపి)</t>
  </si>
  <si>
    <t>2 కప్పులు అర్హర్ పప్పు (స్ప్లిట్ టూర్ డాల్), 2 పచ్చిమిర్చి, 1 అంగుళం అల్లం, 1 టీస్పూన్ కొత్తిమీర (ధనియా) గింజలు, 1/2 కప్పు మొత్తం గోధుమ పిండి, 2 టీస్పూన్ కాలా జీరా, ఉప్పు - రుచికి</t>
  </si>
  <si>
    <t>2 cups Arhar dal (Split Toor Dal),2 Green Chilli,1 inch Ginger,1 teaspoon Coriander (Dhania) Seeds,1/2 cup Whole Wheat Flour,2 teaspoon Kala jeera,Salt - to taste</t>
  </si>
  <si>
    <t xml:space="preserve">To begin making the Andhra Style Kandi Attu soak the dal, coriander seeds and jeera seeds in water for at least two hours.Grind the dal along with the rest of the ingredients into a smooth batter by adding little water.Transfer it to a bowl and add the wheat flour and mix. You can add some more water as well and make the batter same as the dosa batter consistency.Heat the skillet on medium heat. Pour a ladleful of batter over the skillet and spread the batter evenly using a spiral motion from inside out.Pour a teaspoon of oil or ghee around the edges and.Increase the heat and cook for couple of minutes until the bottom of the dosa starts to turn golden brown.Turn over carefully and cook the other side for a few seconds. Turn over again and then fold them into half or roll them into a cylinder.Serve the Andhra Style Kandi Attu can be served along with Sweet and Spicy Tomato Chutney or Idli Dosa Milagai Podi Recipe to enjoy your morning breakfast.
</t>
  </si>
  <si>
    <t xml:space="preserve">ఆంధ్రా స్టైల్ కంది అట్టు తయారు చేయడం ప్రారంభించడానికి పప్పు, కొత్తిమీర గింజలు మరియు జీరా గింజలను కనీసం రెండు గంటలు నీటిలో నానబెట్టండి. మిగిలిన పదార్ధాలతో పాటు పప్పును కొద్దిగా నీరు వేసి మెత్తగా పిండిలో రుబ్బుకోవాలి. దానిని ఒక గిన్నెలోకి మార్చండి మరియు గోధుమ పిండిని వేసి కలపాలి. మీరు మరికొంత నీటిని కూడా జోడించవచ్చు మరియు పిండిని దోస పిండి స్థిరత్వం వలె తయారు చేయవచ్చు. మీడియం వేడి మీద స్కిల్లెట్‌ను వేడి చేయండి. స్కిల్లెట్‌పై ఒక గరిటెల పిండిని పోసి, లోపల నుండి స్పైరల్ మోషన్‌ను ఉపయోగించి పిండిని సమానంగా విస్తరించండి. అంచుల చుట్టూ ఒక టీస్పూన్ నూనె లేదా నెయ్యి పోయాలి మరియు. వేడిని పెంచండి మరియు దోస దిగువ బంగారు గోధుమ రంగులోకి వచ్చే వరకు రెండు నిమిషాలు ఉడికించాలి. జాగ్రత్తగా తిప్పండి మరియు కొన్ని సెకన్ల పాటు ఉడికించాలి. మళ్లీ తిప్పండి, ఆపై వాటిని సగానికి మడవండి లేదా వాటిని సిలిండర్‌లోకి చుట్టండి. ఆంధ్రా స్టైల్ కంది అట్టును అందించండి, మీ ఉదయం అల్పాహారాన్ని ఆస్వాదించడానికి స్వీట్ మరియు స్పైసీ టొమాటో చట్నీ లేదా ఇడ్లీ దోస మిలగాయ్ పొడి రిసిపితో పాటు అందించవచ్చు.
</t>
  </si>
  <si>
    <t>http://www.archanaskitchen.com/andhra-style-andhra-kandi-attu-recipe-toor-dal-dosa-recipe</t>
  </si>
  <si>
    <t>Andhra Red Chilli Chutney Recipe</t>
  </si>
  <si>
    <t>పాండు మిరపాకాయ పచ్చడి రెసిపీ - ఆంధ్రా రెడ్ చిల్లీ చట్నీ రెసిపీ</t>
  </si>
  <si>
    <t>100 గ్రాముల లాల్ మర్చ - తాజా,1 బడా చమ్మచ్ ఇమలి కా పేస్ట్,2 బడ, 1 తక్కమచం ఛోటా చమ్మచ రై,1/2 ఛోట చమ్మచ హీంగ్,1/2 ఛోట చమ్మచ మేథీ పాద, అనుసార్</t>
  </si>
  <si>
    <t>100 grams red chili - fresh, 1 tbsp tamarind paste, 2 tablespoons sesame oil, 1 tsp rye, 1/2 tsp asafoetida, 1/2 tsp fenugreek powder, salt - as per taste</t>
  </si>
  <si>
    <t>"To make Pandu Mirapakaya Pachadi recipe, first remove the tops of the red chillies and wash them thoroughly and pat dry. Heat oil in a pan. Add red chillies and cook them for 2 minutes. Once done, remove and keep aside. Once the chillies cool down, put them in a mixer grinder along with tamarind paste and grind them well. Heat 2 tbsp oil in a pan. Add mustard seeds, asafoetida and cook till the mustard seeds crackle. Add red chilli paste and cook for 1 minute. Turn off the gas and store in an airtight container. Serve Pandu Mirapakaya Pachadi recipe with Ghee Roast Dosa or Rava Idli and Filter Coffee for breakfast."</t>
  </si>
  <si>
    <t xml:space="preserve">పాండు మిరాపాకాయ పచ్చడి రెసిపీ బనానె కోసం ఆయన అచ్ఛీ తరహ సే ధో కర సుఖ లే.అబ్ కథాయ్ మేం తేల్ గరం కరేం. అదే విధంగా లాల్ మిర్చ్ డాలే మరియు ఇంకా 2 నిమిషాలకు మాత్రమే. హో జానే కె బాద్, నికాలే మరియు అలగ్ సే రఖ్ దే. మిర్చ్ కే థన్డే ఏ బాద్, ఇక్కడ ఒక మిక్సర్ గ్రైండర్ అక్కి తరహ సే పీస్ లే. అబ్ కథాయిలో 2 బడే చమ్మచ్ తేల్ గరం కరేం. అదే విధంగా రాయ్, హీంగ్ డాలే మరియు రాయ్ కె తడకనే తక్ పక లే. అదే విధంగా లాల్ మిర్చ్ కా పెస్ట్ డాలే మరియు 1 నిమిషానికి మాత్రమే. గేస్ బంద్ కరెం మరియు ఎయిర్ టైట్ క్యాంటెన్ మెన్ స్టోర్ కరెన్. పాండు మిరాపాకాయ పచ్చడి రేసిపీ కో రోస్ట్ డోసా యా రవా ఇడలీ ఓర్ కేజీలు సాథ శుభం నాష్టే.
</t>
  </si>
  <si>
    <t>http://www.archanaskitchen.com/pandu-mirapakaya-pachadi-andhra-red-chilli-chutney-recipe-in-hindi</t>
  </si>
  <si>
    <t>Andhra Style Makka Garelu Recipe (Corn Vada Recipe)</t>
  </si>
  <si>
    <t>ఆంధ్రా స్టైల్ మక్కా గారెలు (మొక్కజొన్న వడ రిసిపి)</t>
  </si>
  <si>
    <t>1 కప్పు స్వీట్ కార్న్, 1/4 కప్పు శెనగపిండి (బేసన్), 1 ఉల్లిపాయ - తరిగిన, 2 పచ్చిమిర్చి, 1 రెమ్మ కరివేపాకు, 4 లవంగాలు, 1 టీస్పూన్ కలోంజి (ఉల్లిపాయ నిగెల్లా విత్తనాలు), ఉప్పు - రుచికి, పొద్దుతిరుగుడు నూనె</t>
  </si>
  <si>
    <t>1 cup Sweet corn,1/4 cup Gram flour (besan),1 Onion - chopped,2 Green Chillies,1 sprig Curry leaves,4 cloves Garlic,1 teaspoon Kalonji (Onion Nigella Seeds),Salt - to taste,Sunflower Oil</t>
  </si>
  <si>
    <t xml:space="preserve">To begin making the Andhra Style Makka Garelu Recipe, blitz the corn in a mixer without water to a very chunky mixture.Transfer to a bowl, add the remaining ingredients including the besan and combine to make a thick garelu mixture. Check the salt and adjust to taste accordingly.Heat oil for deep frying. Once the oil is hot take small portions of the makka garelu mixture, flatten it to make a round disc and slide into the hot oil.Fry until the garelu is browned and crisp. Ensure you fry over medium heat, so it gets cooked evenly from inside out.Serve the Makka Garelu along with hot tea or dip it with a Date and Tamarind Chutney Recipe to enjoy your evening snack. 
</t>
  </si>
  <si>
    <t xml:space="preserve">ఆంధ్రా స్టైల్ మక్కా గారెలు రెసిపీని తయారు చేయడం ప్రారంభించడానికి, మొక్కజొన్నను నీరు లేకుండా మిక్సర్‌లో చాలా చంకీ మిశ్రమానికి బ్లిట్జ్ చేయండి. ఒక గిన్నెలోకి మార్చండి, బీసన్‌తో సహా మిగిలిన పదార్థాలను వేసి, మందపాటి గారెలు మిశ్రమాన్ని తయారు చేయడానికి కలపండి. ఉప్పును తనిఖీ చేయండి మరియు తదనుగుణంగా రుచికి సర్దుబాటు చేయండి. డీప్ ఫ్రై కోసం నూనెను వేడి చేయండి. నూనె వేడెక్కిన తర్వాత మక్కా గారెలు మిశ్రమం యొక్క చిన్న భాగాలను తీసుకోండి, దానిని ఒక రౌండ్ డిస్క్‌గా చేయడానికి చదును చేసి, వేడి నూనెలోకి జారండి. గారెలు బ్రౌన్ మరియు క్రిస్ప్ అయ్యే వరకు వేయించాలి. మీరు మీడియం వేడి మీద వేయించేలా చూసుకోండి, తద్వారా అది లోపల నుండి సమానంగా ఉడికిపోతుంది. మక్కా గారెలును వేడి టీతో పాటు అందించండి లేదా మీ సాయంత్రం చిరుతిండిని ఆస్వాదించడానికి ఖర్జూరం మరియు చింతపండు చట్నీ రెసిపీతో ముంచండి. 
</t>
  </si>
  <si>
    <t>http://www.archanaskitchen.com/andhra-style-makka-garelu-recipe-maize-kernel-vada-recipe</t>
  </si>
  <si>
    <t>Andhra Style Pulihora Recipe (Spicy &amp; Tangy Tamarind Rice)</t>
  </si>
  <si>
    <t>ఆంధ్రా స్టైల్ పులిహోర రిసిపి (స్పైసీ &amp; టాంగీ చింతపండు రైస్)</t>
  </si>
  <si>
    <t>2 కప్పులు వండిన అన్నం, 1/2 కప్పు చింతపండు నీరు, 1 టేబుల్ స్పూన్ బెల్లం, 1/4 కప్పు పచ్చి వేరుశెనగ (మూంగ్‌ఫాలి) - వేయించిన (తొక్కతో), ఉప్పు - రుచికి, 1 టీస్పూన్ ఆవాలు, 1 టీస్పూన్ జీలకర్ర (జీరా), 1 టేబుల్ స్పూన్ చనా పప్పు (బెంగాల్ పప్పు), 2 - 3 ఎండు మిర్చి, 2 - 3 ఎండు మిర్చి, 2 పొడవు వారీగా, 1 టీస్పూన్ పసుపు పొడి (హల్దీ), 1/4 టీస్పూన్ ఇంగువ (హింగ్), 1 రెమ్మ కరివేపాకు, నువ్వులు (బెల్లం) నూనె - వంట కోసం</t>
  </si>
  <si>
    <t>2 cups Cooked rice,1/2 cup Tamarind Water,1 tablespoon Jaggery,1/4 cup Raw Peanuts (Moongphali) - roasted (with skin),Salt - to taste,1 teaspoon Mustard seeds,1 teaspoon Cumin seeds (Jeera),1 tablespoon Chana dal (Bengal Gram Dal),2 Dry Red Chilli,2-3 Green Chillies - deseeded and slit length-wise,1 teaspoon Turmeric powder (Haldi),1/4 teaspoon Asafoetida (hing),1 sprig Curry leaves,Sesame (Gingelly) Oil - for cooking</t>
  </si>
  <si>
    <t xml:space="preserve">To begin making the Andhra Style Pulihora Recipe (Spicy &amp; Tangy Tamarind Rice), first get all the ingredients ready. Using precooked and day old rice where the grains are separated makes the Pulihora come out with great textures.Heat sesame oil to a heavy bottomed pan and when the oil gets heated up add mustard seeds, cumin seeds, dry red chillis, green chillis, curry leaves and saute until the seeds start crackling and the chilies are roasted.Add the turmeric powder, asafoetida powder, jaggery, the tamarind pulp and salt. Cook the tamarind pulp in the seasoning for at least 4 to 5 minutes over medium heat until the raw taste from the pulp goes away and the pulp has thickened up.Once the pulp is cooked, add the cooked rice and peanuts and stir to combine all the ingredients well. Cover the pan and allow the Andhra Style Pulihora to absorb all the flavors from the tangy masala.Once done, check the salt and spices and adjust to suit your taste. Finally drizzle some more sesame oil over the Andhra Style Pulihora and stir to combine.This adds an additional flavor to the dish.Once done, transfer to a bowl and serve.Serve Andhra Style Tamarind Rice on its own with Elai Vadam and serve it for lunch or even pack into your lunch boxes along with a glass of chaas. (Mor)
</t>
  </si>
  <si>
    <t xml:space="preserve">ఆంధ్రా స్టైల్ పులిహోర రిసిపి (స్పైసీ &amp; టాంగీ చింతపండు రైస్) తయారు చేయడం ప్రారంభించడానికి ముందుగా అన్ని పదార్థాలను సిద్ధం చేసుకోండి. ధాన్యాలు వేరు చేసిన చోట ముందుగా వండిన మరియు రోజు పాత అన్నాన్ని ఉపయోగించడం వల్ల పులిహోర గొప్ప అల్లికలతో వస్తుంది. ఒక భారీ అడుగున ఉన్న పాన్‌లో నువ్వుల నూనెను వేడి చేసి, నూనె వేడయ్యాక ఆవాలు, జీలకర్ర, ఎండు మిర్చి, పచ్చిమిర్చి, కరివేపాకు, గింజలు పగిలిపోయేంత వరకు వేయించాలి. బెల్లం, చింతపండు గుజ్జు మరియు ఉప్పు. చింతపండు గుజ్జును మసాలాలో కనీసం 4 నుండి 5 నిమిషాలు మీడియం వేడి మీద గుజ్జు నుండి పచ్చి రుచి పోయే వరకు మరియు గుజ్జు చిక్కబడే వరకు ఉడికించాలి. గుజ్జు ఉడికిన తర్వాత, వండిన అన్నం మరియు వేరుశెనగలను వేసి, అన్ని పదార్థాలను బాగా కలపడానికి కదిలించు. పాన్‌ను కవర్ చేసి, ఆంధ్రా స్టైల్ పులిహోర, టాంగీ మసాలా నుండి అన్ని రుచులను గ్రహించేలా అనుమతించండి. పూర్తయిన తర్వాత, ఉప్పు మరియు మసాలా దినుసులను తనిఖీ చేసి, మీ అభిరుచికి అనుగుణంగా సర్దుబాటు చేయండి. చివరగా ఆంధ్రా స్టైల్ పులిహోరపై మరికొంత నువ్వుల నూనెను చిమ్మి, కలపడానికి కదిలించు. ఇది డిష్‌కి అదనపు రుచిని జోడిస్తుంది. పూర్తయిన తర్వాత, ఒక గిన్నెలోకి బదిలీ చేసి సర్వ్ చేయండి. ఆంధ్రా స్టైల్ చింతపండు రైస్‌ను ఎలై వడమ్‌తో వడ్డించండి మరియు లంచ్‌కి సర్వ్ చేయండి లేదా మీ లంచ్ బాక్స్‌లలో ప్యాక్ చేయండి. (మోర్)
</t>
  </si>
  <si>
    <t>https://www.archanaskitchen.com/andhra-style-pulihora-recipe-spicy-tangy-tamarind-rice</t>
  </si>
  <si>
    <t>Andhra Style Urlugadda Munagakaya Charu Recipe - Potato And Drumstick Gravy</t>
  </si>
  <si>
    <t>ఆంధ్రా స్టైల్ ఉర్లుగడ్డ మునగకాయ చారు రెసిపీ - బంగాళదుంప మరియు మునగ గ్రేవీ</t>
  </si>
  <si>
    <t>4 బంగాళదుంపలు (ఆలూ) - క్యూబ్స్‌గా కట్, 2 మునగకాయ - 2 అంగుళాల ముక్కలు, 2 ఉల్లిపాయలు - సన్నగా తరిగిన, 2 టొమాటోలు - సన్నగా తరిగిన, 1 పచ్చిమిర్చి - సన్నగా తరిగిన, 1/2 టీస్పూన్ పసుపు పొడి (హల్దీ), 1 1/2 టీస్పూన్లు ఎర్ర మిరప పొడి, 2 టీస్పూన్లు కొత్తిమీర పొడి, 2 టీస్పూన్లు (మెంతి గింజలు), 1 రెమ్మ కరివేపాకు, 1 టీస్పూన్ ఆవాలు, 2 టీస్పూన్లు సన్‌ఫ్లవర్ ఆయిల్, 1 రెమ్మ కొత్తిమీర (ధనియా) ఆకులు - అలంకరించడానికి, ఉప్పు - రుచికి</t>
  </si>
  <si>
    <t>4 Potatoes (Aloo) - cut into cubes,2 Drumstick - cut into 2 inch pieces,2 Onions - finely chopped,2 Tomatoes - finely chopped,1 Green Chilli - finely chopped,1/2 teaspoon Turmeric powder (Haldi),1 1/2 teaspoons Red Chilli powder,2 teaspoons Coriander Powder (Dhania),1/2 teaspoon Methi Seeds (Fenugreek Seeds),1 sprig Curry leaves,1 teaspoon Mustard seeds,2 teaspoons Sunflower Oil,1 sprig Coriander (Dhania) Leaves - for garnish,Salt - to taste</t>
  </si>
  <si>
    <t xml:space="preserve">To begin making Andhra Style Urlugadda Munagakaya Charu Recipe, peel the potatoes and cut them into cubes and keep it soaked in water until we start cooking.Cut the drumsticks into 2 inch long pieces and keep aside.Heat oil in saucepan, add the mustard seeds and let it crackle. Add the curry leaves and let it splutter for a few seconds.Immediately, add the onions and saute until it turns translucent. Once they are translucent, drain the potato cubes from water and add it to the pan.Add the drumstick pieces and mix well. Add turmeric powder, salt, tomatoes, about 2 cups of water, stir and close the lid. Let it simmer until the vegetables are cooked well.Now, add the coriander, red chilli powder and let it simmer for at least 25 minutes until the gravy becomes little thicker and the vegetables are completely cooked.Add water at this stage, if you want the gravy to be little more soupy. Also do a taste check and adjust.Simmer for another 5 minutes, garnish with coriander leaves and switch off the heat.Serve the Andhra Style Urlugadda Munagakaya Charu Recipe - Potato And Drumstick Gravy along with Steamed Rice, Mango Rasam Recipe (Tangy, Sweet &amp; Spicy Soup) and Beans Vepudu Recipe for the weeknight dinner.
</t>
  </si>
  <si>
    <t xml:space="preserve">ఆంధ్రా స్టైల్ ఉర్లుగడ్డ మునగకాయ చారు రెసిపీని తయారు చేయడం ప్రారంభించడానికి, బంగాళాదుంపలను తొక్కండి మరియు వాటిని ఘనాలగా కట్ చేసి, ఉడికించడం ప్రారంభించే వరకు నీటిలో నానబెట్టండి. మునగకాయలను 2 అంగుళాల పొడవు ముక్కలుగా కట్ చేసి పక్కన పెట్టండి. సాస్పాన్లో నూనె వేడి చేసి, ఆవాలు వేసి చిటపటలాడనివ్వండి. కరివేపాకులను వేసి కొన్ని సెకన్ల పాటు చిటపటలాడనివ్వండి. వెంటనే, ఉల్లిపాయలు వేసి, అది పారదర్శకంగా మారే వరకు వేయించాలి. అవి పారదర్శకంగా మారిన తర్వాత, బంగాళాదుంప ఘనాలను నీటి నుండి తీసివేసి, పాన్‌లో జోడించండి. మునగ ముక్కలను వేసి బాగా కలపాలి. పసుపు పొడి, ఉప్పు, టమోటాలు, సుమారు 2 కప్పుల నీరు వేసి, కదిలించు మరియు మూత మూసివేయండి. కూరగాయలు బాగా ఉడికినంత వరకు ఉడకనివ్వండి. ఇప్పుడు, కొత్తిమీర, ఎర్ర కారం వేసి, గ్రేవీ కొద్దిగా చిక్కగా మరియు కూరగాయలు పూర్తిగా ఉడికినంత వరకు కనీసం 25 నిమిషాలు ఆవేశమును అణిచిపెట్టుకోండి. అలాగే రుచిని తనిఖీ చేసి, సర్దుబాటు చేయండి. మరో 5 నిమిషాలు ఉడకబెట్టి, కొత్తిమీర ఆకులతో అలంకరించి, వేడిని ఆపివేయండి. ఆంధ్రా స్టైల్ ఉర్లుగడ్డ మునగకాయ చారు రెసిపీ - బంగాళదుంప మరియు మునగ గ్రేవీని తో పాటుగా ఉడికించిన అన్నం, మామిడి రసమ్ రిసిపి (మరియు తీపి, తీపి సూప్‌లు) వారం రాత్రి డిన్నర్ కోసం రెసిపీ.
</t>
  </si>
  <si>
    <t>https://www.archanaskitchen.com/andhra-style-potato-and-drumstick-gravy-recipe</t>
  </si>
  <si>
    <t>Konaseema Kodi Kura Recipe - Andhra Style Chicken Curry</t>
  </si>
  <si>
    <t>కోనసీమ కోడి కూర రిసిపి - ఆంధ్రా స్టైల్ చికెన్ కర్రీ</t>
  </si>
  <si>
    <t>1/2 కేజీ చికెన్ - కడిగి శుభ్రం చేసి, 2 ఉల్లిపాయలు - తరిగిన, 1 టేబుల్ స్పూన్ అల్లం వెల్లుల్లి పేస్ట్, 1 కప్పు ఇంట్లో తయారుచేసిన టొమాటో ప్యూరీ, 2 పచ్చిమిర్చి, 2 ఎండు మిరపకాయలు, 2 టీస్పూన్ గసగసాలు, 3 టేబుల్ స్పూన్లు పచ్చి వేరుశెనగలు (మూంగ్‌ఫాలి), 4 కరివేపాకు (1 టీస్పూన్ 2 టీస్పూన్), 1-1/2 టీస్పూన్ సీతాఫలం (ధనియా), 1 టీస్పూన్ ఎర్ర మిరప పొడి, 1/2 టీస్పూన్ గరం మసాలా పొడి, 1/4 కప్పు కొబ్బరి పాలు, ఉప్పు - రుచికి, కొత్తిమీర (ధనియా) ఆకులు - కొన్ని (తరిగిన), సన్‌ఫ్లవర్ ఆయిల్ - అవసరమైనంత</t>
  </si>
  <si>
    <t>1/2 Kg Chicken - washed &amp; cleaned,2 Onion - chopped,1 Tablespoon Ginger Garlic Paste,1 cup Homemade tomato puree,2 Green Chillies,2 Dry Red Chilli,2 teaspoon Poppy seeds,3 tablespoon Raw Peanuts (Moongphali),4 Curry leaves,1-1/2 teaspoon Cumin powder (Jeera),1-1/2 teaspoon Coriander Powder (Dhania),1 teaspoon Red Chilli powder,1/2 teaspoon Garam masala powder,1/4 cup Coconut milk,Salt - to taste,Coriander (Dhania) Leaves - few (chopped),Sunflower Oil - as required</t>
  </si>
  <si>
    <t xml:space="preserve">To begin making the Konaseema Kodi Kura recipe, take the clean &amp; washed chicken and keep it aside.Next roast dried red chili, poppy seeds and peanuts in a pan on medium flame for about 5-67 minutes on low flame.Once they have cooled down then grind them together to make a smooth paste.Now heat oil in a presser cooker and add chopped onions, curry leaves and chopped green chilies. Let it cook for minutes and once you start getting the aroma then add the ginger garlic paste. Let it cook again for a couple of minutes.Next we have to add the clean chicken pieces, salt and turmeric powder. Mix and let it cook for 5 to 7 minutes.Now add the paste which we made earlier. And then add the tomato puree, coriander powder, cumin powder and red chili powder. Give it a good stir and then add 1/2 cup water. Put the pressure cooker lid on and let it cook for 15 to 20 minutes or till you hear two whistles. After 2 whistles, open the lid and let it cook on low heat. Add garam masala powder and coconut milk &amp; mix it well and cook for another 10 to 12 minutes. Garnish with fresh coriander leaves &amp; Serve.Serve Konaseema Kodi Kura along with Steamed Rice and Andhra Style Chepa Vepudu Recipe - Andhra Fish Fry Recipe for your weekday meal. 
</t>
  </si>
  <si>
    <t xml:space="preserve">కోనసీమ కోడి కూర రెసిపీని తయారు చేయడం ప్రారంభించడానికి, శుభ్రంగా &amp; కడిగిన చికెన్‌ని తీసుకుని పక్కన పెట్టండి. తర్వాత ఎండు మిరపకాయలు, గసగసాలు మరియు వేరుశెనగలను ఒక పాన్‌లో మీడియం మంట మీద సుమారు 5-67 నిమిషాలు తక్కువ మంటపై రోస్ట్ చేయండి. అవి చల్లారిన తర్వాత వాటిని మెత్తగా రుబ్బుకుని మెత్తగా పేస్ట్ చేయండి. ఇప్పుడు కుక్కర్‌లో వేయించిన నూనె వేసి, ప్రెస్సర్‌లో వేయించాలి. మిరపకాయలు. ఇది నిమిషాల పాటు ఉడికించాలి మరియు మీరు సువాసన పొందడం ప్రారంభించిన తర్వాత అల్లం వెల్లుల్లి పేస్ట్ జోడించండి. రెండు నిమిషాలు మళ్లీ ఉడకనివ్వండి. తర్వాత మనం శుభ్రంగా ఉన్న చికెన్ ముక్కలు, ఉప్పు మరియు పసుపు పొడిని జోడించాలి. కలపండి మరియు 5 నుండి 7 నిమిషాలు ఉడికించాలి. ఇప్పుడు మనం ఇంతకు ముందు చేసిన పేస్ట్ జోడించండి. ఆపై టొమాటో ప్యూరీ, ధనియాల పొడి, జీలకర్ర పొడి మరియు ఎర్ర మిరప పొడి జోడించండి. బాగా కదిలించి, ఆపై 1/2 కప్పు నీరు కలపండి. ప్రెషర్ కుక్కర్ మూత పెట్టి 15 నుండి 20 నిమిషాలు లేదా మీకు రెండు విజిల్స్ వచ్చే వరకు ఉడికించాలి. 2 విజిల్స్ వచ్చిన తర్వాత మూత తెరిచి తక్కువ మంట మీద ఉడికించాలి. గరం మసాలా పొడి మరియు కొబ్బరి పాలు వేసి బాగా కలపండి మరియు మరో 10 నుండి 12 నిమిషాలు ఉడికించాలి. తాజా కొత్తిమీర ఆకులతో గార్నిష్ చేసి, సర్వ్ చేయండి. కోనసీమ కోడి కూరను స్టీమ్డ్ రైస్ మరియు ఆంధ్రా స్టైల్ చేప వేపుడు రిసిపితో పాటు సర్వ్ చేయండి - మీ వారపు రోజు భోజనం కోసం ఆంధ్రా ఫిష్ ఫ్రై రిసిపి. 
</t>
  </si>
  <si>
    <t>https://www.archanaskitchen.com/konaseema-kodi-kura-recipe-andhra-style-chicken-curry</t>
  </si>
  <si>
    <t>Andhra Style Green Chilli Chicken Recipe</t>
  </si>
  <si>
    <t>ఆంధ్రా స్టైల్ గ్రీన్ చిల్లీ చికెన్ రిసిపి</t>
  </si>
  <si>
    <t>250 గ్రాముల చికెన్ - (ఎముకలు లేనివి) చిన్న ముక్కలుగా కట్ చేసి, 2 టేబుల్ స్పూన్లు పెరుగు (దహీ / పెరుగు), 1 టేబుల్ స్పూన్ అల్లం - పేస్ట్, 1 టేబుల్ స్పూన్ వెల్లుల్లి - పేస్ట్, 1 టేబుల్ స్పూన్ పచ్చిమిర్చి పేస్ట్, 1/4 టీస్పూన్ పసుపు పొడి (హల్దీ), ఉప్పు - అవసరమైనంత, 1/2 కప్పు కొత్తిమీర (ధనియా) 1 మెత్తగా తరిగిన ఆకులు, 1 ఉల్లిపాయ, మెత్తగా తరిగిన ఆకులు - 5 టేబుల్ స్పూన్ నెయ్యి, 3 పచ్చిమిర్చి, 4 రెమ్మలు కరివేపాకు, 1 టేబుల్ స్పూన్ సోయా సాస్, ఉప్పు - అవసరమైనంత</t>
  </si>
  <si>
    <t>250 grams Chicken - (boneless) cut into small pieces,2 tablespoons Curd (Dahi / Yogurt),1 tablespoon Ginger - paste,1 tablespoon Garlic - paste,1 tablespoon Green Chilli Paste,1/4 teaspoon Turmeric powder (Haldi),Salt - as required,1/2 cup Coriander (Dhania) Leaves - chopped,5 Curry leaves,1 Onion - finely chopped,1 tablespoon Ghee,3 Green Chillies,4 sprig Curry leaves,1 tablespoon Soy sauce,Salt - as needed</t>
  </si>
  <si>
    <t xml:space="preserve">To begin making the Andhra Style Green Chilli Chicken recipe, wash chicken and strain the water nicely.Mix chicken with curd, ginger garlic paste, green chilli paste, turmeric, salt and marinade in fridge for at least an hour. Meanwhile prepare the green masala by grinding coriander leaves, curry leaves and cumin seeds to make a fine paste. Set aside.Heat oil or ghee in a non stick pan and add curry leaves, chopped onions and green chilies. Saute till the onion is translucent. Now add soy sauce and 2-3 tablespoon of green masala prepared. Mix well.Add the marinaded chicken and fry with the green masala mix till the moisture evaporates and the chicken is tender and nicely cooked. Season with salt as needed and add some more fresh chopped green coriander on top. Turn off the heat and serve hot. Serve Andhra Style Green Chilli Chicken with Thakkali Rasam Recipeand Steamed Rice for a weekday dinner.
</t>
  </si>
  <si>
    <t xml:space="preserve">ఆంధ్రా స్టైల్ గ్రీన్ చిల్లీ చికెన్ రిసిపిని తయారు చేయడం ప్రారంభించడానికి, చికెన్‌ను కడిగి, నీటిని చక్కగా వడకట్టండి. చికెన్‌ను పెరుగు, అల్లం వెల్లుల్లి పేస్ట్, పచ్చిమిర్చి పేస్ట్, పసుపు, ఉప్పు మరియు మెరినేడ్‌తో కలిపి కనీసం గంటసేపు ఫ్రిజ్‌లో ఉంచండి. ఇంతలో కొత్తిమీర ఆకులు, కరివేపాకు మరియు జీలకర్ర వేసి మెత్తగా పేస్ట్ చేయడానికి గ్రీన్ మసాలా సిద్ధం చేయండి. పక్కన పెట్టండి.నాన్ స్టిక్ పాన్ లో నూనె లేదా నెయ్యి వేసి వేడి చేసి కరివేపాకు, తరిగిన ఉల్లిపాయలు మరియు పచ్చిమిర్చి వేయాలి. ఉల్లిపాయ అపారదర్శకమయ్యే వరకు వేయించాలి. ఇప్పుడు సోయా సాస్ మరియు 2-3 టేబుల్ స్పూన్ గ్రీన్ మసాలా సిద్ధం చేయండి. బాగా కలపండి.మారినేడ్ చికెన్ వేసి తేమ ఆవిరైపోయే వరకు ఆకుపచ్చ మసాలా మిక్స్‌తో వేయించాలి మరియు చికెన్ మృదువుగా మరియు చక్కగా ఉడికిస్తారు. అవసరమైనంత ఉప్పు వేసి, పైన మరికొన్ని తాజా తరిగిన పచ్చి కొత్తిమీర వేయండి. వేడిని ఆపివేసి వేడిగా సర్వ్ చేయండి. ఆంధ్రా స్టైల్ గ్రీన్ చిల్లీ చికెన్‌ని తక్కలి రసం రిసిపి మరియు స్టీమ్డ్ రైస్ తో వారంరోజుల విందు కోసం సర్వ్ చేయండి.
</t>
  </si>
  <si>
    <t>https://www.archanaskitchen.com/andhra-style-green-chilli-chicken-recipe</t>
  </si>
  <si>
    <t>Pesara Pappu Pulusu Recipe</t>
  </si>
  <si>
    <t>పెసర పప్పు పులుసు రెసిపీ</t>
  </si>
  <si>
    <t>1/2 కప్పు ఎల్లో మూంగ్ పప్పు (స్ప్లిట్), నీరు - అవసరమైనంత, 2 టేబుల్ స్పూన్లు చింతపండు పేస్ట్ - (సర్దుబాటు), 2 టొమాటోలు, 1 పచ్చిమిర్చి - చీలిక, 1 రెమ్మ కరివేపాకు, 1 టీస్పూన్ సన్‌ఫ్లవర్ ఆయిల్, 1/2 టీస్పూన్ ఆవాలు, 1/2 టీస్పూన్ జీలకర్ర (జీరా, 1 టీస్పూన్), 1 ఎండు పిన్ను (జీరా), 1 టీస్పూన్ పసుపు పొడి (హల్దీ), ఉప్పు - రుచికి</t>
  </si>
  <si>
    <t>1/2 cup Yellow Moong Dal (Split),Water - as needed,2 tablespoons Tamarind Paste - (adjust),2 Tomatoes,1 Green Chilli - slit,1 sprig Curry leaves,1 teaspoon Sunflower Oil,1/2 teaspoon Mustard seeds,1/2 teaspoon Cumin seeds (Jeera),1 Dry Red Chilli,1/4 teaspoon Asafoetida (hing),1 pinch Turmeric powder (Haldi),Salt - to taste</t>
  </si>
  <si>
    <t xml:space="preserve">To begin making Pesara Pappu Pulusu Recipe, pressure cook moong dal with a cup of water till cooked, for about 2 whistles.Once the pressure releases, mash the dal with a potato masher, add salt and turmeric and a cup of water. Keep aside. In a heavy bottomed pan, heat some oil add in chopped tomatoes, curry leaves and green chillies and saute for two minutes. Once the tomatoes are mushy, add the dal to this mixture. Stir until all the ingredients combine. Add tamarind puree and mix well. Cover the pan and simmer for about 5 minutes.In a tadka pan, heat oil on low flame, mustard seeds, cumin seeds and red chilli. When the seeds start to splutter turn off heart, add hing and pour this tempering to the dal mixture. Serve Pesara Pappu Pulusu Recipe with Steamed Rice, Andhra Gongura Pachadi, Kakarakaya Vepudu Recipe, Andhra Style Nalla Karam Podi Recipe.
</t>
  </si>
  <si>
    <t xml:space="preserve">పెసర పప్పు పులుసు రిసిపిని తయారు చేయడం ప్రారంభించడానికి, ఉడికినంత వరకు మూంగ్ పప్పును ఒక కప్పు నీటితో ప్రెజర్ కుక్ చేయండి, సుమారు 2 విజిల్స్ వస్తుంది. ఒత్తిడి తగ్గిన తర్వాత, పప్పును బంగాళాదుంప మాషర్‌తో మెత్తగా చేసి, ఉప్పు మరియు పసుపు మరియు ఒక కప్పు నీరు కలపండి. పక్కన పెట్టుకోండి. ఒక భారీ అడుగున ఉన్న పాన్‌లో, కొద్దిగా నూనె వేడి చేసి, తరిగిన టమోటాలు, కరివేపాకు మరియు పచ్చిమిర్చి వేసి రెండు నిమిషాలు వేయించాలి. టమోటాలు మెత్తగా మారిన తర్వాత, ఈ మిశ్రమంలో పప్పు వేయండి. అన్ని పదార్థాలు కలిసే వరకు కదిలించు. చింతపండు పూరీ వేసి బాగా కలపాలి. పాన్‌ను కవర్ చేసి సుమారు 5 నిమిషాలు ఆవేశమును అణిచిపెట్టుకోండి. తడ్కా పాన్‌లో, తక్కువ మంట, ఆవాలు, జీలకర్ర మరియు ఎర్ర మిరపకాయలపై నూనె వేడి చేయండి. గింజలు చిమ్మడం ప్రారంభించినప్పుడు గుండెను ఆఫ్ చేయండి, హింగ్ వేసి, ఈ టెంపరింగ్‌ను పప్పు మిశ్రమంలో పోయాలి. పెసర పప్పు పులుసు రెసిపీని ఉడికించిన అన్నం, ఆంధ్ర గోంగూర పచ్చడి, కాకరకాయ వేపుడు రెసిపీ, ఆంధ్రా స్టైల్ నల్ల కారం పొడి రెసిపీతో సర్వ్ చేయండి.
</t>
  </si>
  <si>
    <t>https://www.archanaskitchen.com/pesara-pappu-pulusu-recipe</t>
  </si>
  <si>
    <t>Andhra Style Aratikaya Vepudu Recipe - Raw Banana Dry Sabzi</t>
  </si>
  <si>
    <t>ఆంధ్రా స్టైల్ అరటికాయ వేపుడు రిసిపి - పచ్చి బనానా డ్రై సబ్జీ</t>
  </si>
  <si>
    <t>3 పచ్చి అరటిపండు, 1/2 టీస్పూన్ పసుపు పొడి (హల్దీ), 1 టీస్పూన్ ఎర్ర మిరప పొడి, 1/2 టీస్పూన్ రసం పొడి, 2 టేబుల్ స్పూన్ నువ్వుల పొడి - వేయించిన, ఉప్పు - రుచికి, పొద్దుతిరుగుడు నూనె - అవసరమైన విధంగా, 1 టీస్పూన్ ఆవాలు, 1 టీస్పూన్ తెల్ల ఉరద్ పప్పు (విడదీయండి), 3 లవంగాలు వెల్లుల్లి, కరివేపాకు -</t>
  </si>
  <si>
    <t>3 Raw Banana,1/2 teaspoon Turmeric powder (Haldi),1 teaspoon Red Chilli powder,1/2 teaspoon Rasam Powder,2 tablespoon Sesame powder - roasted,Salt - to taste,Sunflower Oil - as required,1 teaspoon Mustard seeds,1 teaspoon White Urad Dal (Split),3 cloves Garlic,Curry leaves - few</t>
  </si>
  <si>
    <t xml:space="preserve">To begin making the Andhra Style Aratikaya Vepudu Recipe, wash and peel the raw bananas and chop it into thin slices. Keep the chopped slices in a bowl filled with water until its ready to use. This will prevent from it turning back.Drain the water. To the raw banana slices add salt, turmeric powder, red chilli powder and rasam powder. Toss it and mix it well such that the masala gets coated well to the slices.Heat oil in a heavy bottomed pan, add mustard seeds and urad dal. When the mustard seeds splutter, add garlic and curry leaves. Saute till the garlic is done. Later, add the coated raw banana pieces to the pan and toss them gently. Keep the flame on low and stir in between. When the raw banana is cooked sprinkle the roasted sesame powder.Toss gently such that it gets coated well. Add 1-2 teaspoon of oil and let the raw banana pieces get well fried on low flame and gets crisp. Once done, turn off the heat, check the taste and seasonings and adjust according. Serve Andhra Style Aratikaya Vepudu along with Mixed Vegetable Sambar, Steamed Rice and Elai Vadam for a weekday meal.
</t>
  </si>
  <si>
    <t xml:space="preserve">ఆంధ్రా స్టైల్ అరటికాయ వేపుడు రెసిపీని తయారు చేయడం ప్రారంభించడానికి, పచ్చి అరటిపండ్లను కడిగి, తొక్క తీసి సన్నటి ముక్కలుగా కోయండి. తరిగిన ముక్కలను నీటితో నింపిన గిన్నెలో ఉపయోగించడానికి సిద్ధంగా ఉండే వరకు ఉంచండి. ఇది వెనక్కి తిరగకుండా నిరోధిస్తుంది. నీటిని హరించడం. పచ్చి అరటిపండు ముక్కలకు ఉప్పు, పసుపు, ఎర్ర కారం, రసం పొడి వేయాలి. దీన్ని టాసు చేసి, మసాలా ముక్కలకు బాగా పూత వచ్చేలా బాగా కలపండి. భారీ అడుగున ఉన్న పాన్‌లో నూనె వేడి చేసి, ఆవాలు మరియు ఉరడ్ పప్పు వేయండి. ఆవాలు చిమ్మినప్పుడు, వెల్లుల్లి మరియు కరివేపాకు జోడించండి. వెల్లుల్లిపాయలు అయ్యేవరకు వేయించాలి. తరువాత, పాన్‌లో పూత పూసిన పచ్చి అరటిపండు ముక్కలను వేసి మెత్తగా టాసు చేయండి. మంటను తక్కువగా ఉంచి మధ్యలో కదిలించు. పచ్చి అరటిపండు ఉడికినప్పుడు వేయించిన నువ్వుల పొడిని చల్లాలి. బాగా పూత వచ్చేలా మెత్తగా టాసు చేయండి. 1-2 టీస్పూన్ నూనె వేసి, పచ్చి అరటిపండు ముక్కలను తక్కువ మంటపై బాగా వేయించి, స్ఫుటంగా తయారవుతుంది. పూర్తయిన తర్వాత, వేడిని ఆపివేయండి, రుచి మరియు మసాలా దినుసులను తనిఖీ చేయండి మరియు దాని ప్రకారం సర్దుబాటు చేయండి. ఆంధ్రా స్టైల్ అరటికాయ వేపుడు, మిక్స్‌డ్ వెజిటబుల్ సాంబార్, స్టీమ్డ్ రైస్ మరియు ఎలై వడమ్ తో పాటు వారంరోజుల భోజనం కోసం సర్వ్ చేయండి.
</t>
  </si>
  <si>
    <t>http://www.archanaskitchen.com/andhra-style-aratikaya-vepudu-recipe-raw-banana-dry-sabzi</t>
  </si>
  <si>
    <t>Mamidikaya Perugu Pachadi Recipe -Raw Mango Yogurt Pachadi</t>
  </si>
  <si>
    <t>Mamidikaya Perugu Pachadi Recipe -ముడి మామిడి పెరుగు పచ్చడి</t>
  </si>
  <si>
    <t>1 మామిడి (ముడి) - చిన్న ముక్కలుగా తరిగిన, 1 కప్పు పెరుగు (దహీ / పెరుగు), 1 కప్పు పెర్ల్ ఉల్లిపాయలు (సాంబార్ ఉల్లిపాయలు) - తరిగిన, 1 పచ్చిమిర్చి - తరిగిన, 1/2 టీస్పూన్ పసుపు పొడి (హల్దీ), 1 రెమ్మ కరివేపాకు, 1 టీస్పూన్ ఆవాలు, 1 టీస్పూన్ తెల్ల కారం, 1 టీస్పూన్ తెల్ల కారం, 2 టీస్పూన్లు ఇంగువ (హింగ్)</t>
  </si>
  <si>
    <t>1 Mango (Raw) - chopped into small pieces,1 cup Curd (Dahi / Yogurt),1 cup Pearl onions (Sambar Onions) - chopped,1 Green Chilli - chopped,1/2 teaspoon Turmeric powder (Haldi),1 sprig Curry leaves,1 teaspoon Mustard seeds,1 teaspoon White Urad Dal (Split),2 Dry Red Chillies,1 pinch Asafoetida (hing)</t>
  </si>
  <si>
    <t xml:space="preserve">To begin making the Mamidikaya Perugu Pachadi, heat a kadai with oil, add mustard seeds and urad dal and allow it splutter for 10 seconds.Add curry leaves, hing, dry red chillies and leave the curry leaves to crackle for 10 seconds.Add chopped onions and green chilli and saute till the onions turn translucent.Drop in the chopped raw mango and turmeric powder and saute them for 10 minutes.Meanwhile take yogurt in a bowl and add little water and beat till it is thick and creamy.Once the sautéed raw mango cools down add it into the yogurt and mix well. Check the Mamidikaya Perugu Pachadi Recipe for salt and serve.Serve the Mamidikaya Perugu Pachadi along with Steamed Rice Recipe, Andhra Style Davva Aava koora Recipe or Andhra Style Chamadumpa Pulusu Recipe to make your meal more satisfying.
</t>
  </si>
  <si>
    <t xml:space="preserve">మామిడికాయ పెరుగు పచ్చడిని తయారు చేయడం ప్రారంభించడానికి, కడాయిని నూనెతో వేడి చేసి, ఆవాలు మరియు ఉరద్ పప్పు వేసి, 10 సెకన్ల పాటు చిటపటలాడనివ్వండి. కరివేపాకు, ఉంగరం, ఎండు మిరపకాయలు వేసి, కరివేపాకులను 10 సెకన్ల పాటు చిటపటలాడేలా ఉంచండి. తరిగిన ఉల్లిపాయలు మరియు పచ్చిమిర్చి వేసి ఉల్లిపాయలు మారే వరకు వేయించాలి. వాటిని పౌడర్ చేసి 10 నిమిషాలు వేయించాలి. అదే సమయంలో ఒక గిన్నెలో పెరుగు తీసుకుని కొద్దిగా నీరు వేసి చిక్కగా మరియు క్రీములా వచ్చే వరకు కొట్టండి. వేడెక్కిన పచ్చి మామిడి చల్లారిన తర్వాత పెరుగులో వేసి బాగా కలపాలి. ఉప్పు కోసం మామిడికాయ పెరుగూ పచ్చడి రిసిపిని తనిఖీ చేసి, సర్వ్ చేయండి. మీ భోజనం మరింత సంతృప్తికరంగా ఉండటానికి మామిడికాయ పెరుగు పచ్చడితో పాటు స్టీమ్డ్ రైస్ రిసిపి, ఆంధ్రా స్టైల్ దవ్వ ఆవ కూర రిసిపి లేదా ఆంధ్రా స్టైల్ చామదుంప పులుసు రిసిపిని సర్వ్ చేయండి.
</t>
  </si>
  <si>
    <t>https://www.archanaskitchen.com/andhra-style-mamidikaya-perugu-pachadi-recipe-raw-mango-yogurt-chutney</t>
  </si>
  <si>
    <t>Chikkudukaya Vepudu Recipe-Broad Beans Masala Poriyal</t>
  </si>
  <si>
    <t>చిక్కుడుకాయ వేపుడు రెసిపీ-Broad Beans Masala Poriyal</t>
  </si>
  <si>
    <t>250 గ్రాములు అవరెకాయ్ (బ్రాడ్ బీన్స్) - 1 అంగుళం ముక్కలు, 1 ఉల్లిపాయ - సన్నగా తరిగిన, 1 టొమాటో - సన్నగా తరిగిన, 1 అంగుళం అల్లం - సన్నగా తరిగిన, 4 లవంగాలు వెల్లుల్లి - సన్నగా తరిగిన, 1 రెమ్మ కరివేపాకు, 1 టీస్పూన్ ఎర్ర మిరప పొడి, 1/2 టీస్పూన్ పసుపు, 1 టీస్పూన్ పసుపు (ధనియా), ఉప్పు - రుచికి, 1 టేబుల్ స్పూన్ సన్‌ఫ్లవర్ ఆయిల్ - వంట కోసం</t>
  </si>
  <si>
    <t>250 grams Avarekai (Broad Beans) - cut into 1 inch pieces,1 Onion - finely chopped,1 Tomato - finely chopped,1 inch Ginger - finely chopped,4 cloves Garlic - finely chopped,1 sprig Curry leaves,1 teaspoon Red Chilli powder,1/2 teaspoon Turmeric powder (Haldi),1 teaspoon Coriander Powder (Dhania),Salt - to taste,1 tablespoon Sunflower Oil - for cooking</t>
  </si>
  <si>
    <t xml:space="preserve">To begin making Chikkudukaya Vepudu Recipe first wash and cut the beans 1 cm wide. Discard any strings which might be present in the broad beans.Pressure cook the Chikkudukaya/  Avarakkai/ Broad beans in the pressure cooker along with 2 tablespoons of water and salt for 1 whistle and turn off the heat.Release the pressure immediately to prevent the Chikkudukaya from getting over cooked and also by releasing the pressure immediately, the broad beans will retain its bright green colours.Keep a kadai on medium heat and add oil. Then add curry leaves, onions, ginger and garlic and saute until the onions become translucent and soft.Add turmeric powder, chili powder, coriander powder and stir for a minute. Add the tomatoes and saute until tomatoes become soft and mushy.Once the tomatoes have become soft and mushy, add the steamed Chikkudukaya/  Avarakkai/ Broad beans and give it a stir for a couple of minutes until the masala gets well coated into the vegetable.Check the taste of the Chikkudukaya Vepudu and adjust the salt and spices accordingly. Once done, turn off the heat and transfer the Chikkudukaya Vepudu to a serving bowl.Serve Chikkudukaya Vepudu with Keerai Sambar, Rice , Vadu Mangai Pickle and Homemade Yogurt for a wholesome lunch or dinner.
</t>
  </si>
  <si>
    <t xml:space="preserve">చిక్కుడుకాయ వేపుడు రెసిపీని తయారు చేయడం ప్రారంభించడానికి ముందుగా బీన్స్‌ను కడగాలి మరియు 1 సెం.మీ వెడల్పుతో కత్తిరించండి. బీన్స్‌లో ఉండే ఏవైనా తీగలను విస్మరించండి. ప్రెజర్ కుక్కర్‌లో ప్రెజర్ కుక్కర్‌లో 2 టేబుల్‌స్పూన్ల నీరు మరియు ఉప్పుతో పాటు 1 విజిల్ కోసం ప్రెజర్ ఉడికించి, వేడిని ఆపివేయండి. చిక్కుడుకాయ ఉడికిపోకుండా ఉండేందుకు వెంటనే ఒత్తిడిని వదలండి. మీడియం వేడి మీద కడాయి మరియు నూనె జోడించండి. తర్వాత కరివేపాకు, ఉల్లిపాయలు, అల్లం మరియు వెల్లుల్లి వేసి ఉల్లిపాయలు పారదర్శకంగా మరియు మెత్తబడే వరకు వేయించాలి. పసుపు పొడి, కారం పొడి, ధనియాల పొడి వేసి ఒక నిమిషం పాటు కదిలించు. టొమాటోలు వేసి, టొమాటోలు మెత్తగా మరియు మెత్తగా మారే వరకు వేయించాలి. టొమాటోలు మెత్తగా మరియు మెత్తగా మారిన తర్వాత, ఉడికించిన చిక్కుడుకాయ/  అవరక్కాయ/ బ్రాడ్ బీన్స్ వేసి, మసాలా కూరగాయలో బాగా పూత వచ్చేవరకు ఒక రెండు నిమిషాలు కదిలించు. చిక్కుడుకాయ వేపుడు రుచిని సరిచూసుకోండి. పూర్తయిన తర్వాత, వేడిని ఆపివేసి, చిక్కుడుకాయ వేపుడును సర్వింగ్ బౌల్‌లోకి మార్చండి. చిక్కుడుకాయ వేపుడు కీరాయి సాంబార్, అన్నం , వడు మాంగాయ్ ఊరగాయ మరియు ఇంట్లో తయారు చేసిన పెరుగు తో ఆరోగ్యకరమైన లంచ్ లేదా డిన్నర్‌కి సర్వ్ చేయండి.
</t>
  </si>
  <si>
    <t>https://www.archanaskitchen.com/chikkudukaya-vepudu-recipe-broad-beans-masala-poriyal</t>
  </si>
  <si>
    <t>Chamadumpa Vepudu Recipe - Andhra Style Colocasia Stir Fry</t>
  </si>
  <si>
    <t>చామదుంప వేపుడు రెసిపీ - ఆంధ్రా స్టైల్ కొలోకాసియా స్టైర్ ఫ్రై</t>
  </si>
  <si>
    <t>10 Colocasia రూట్ (Arbi) - చర్మం ఒలిచిన మరియు సగానికి, 1 టీస్పూన్ బియ్యం పిండి, 1 టీస్పూన్ ఎర్ర కారం పొడి, 1/2 టీస్పూన్ పసుపు పొడి (హల్దీ), 1 టీస్పూన్ ఆమ్చూర్ (పొడి మామిడి పొడి), ఉప్పు - రుచికి, పొద్దుతిరుగుడు నూనె - వంట కోసం, 1 టీస్పూన్ తెల్ల ఉరద్ పప్పు (1 టీస్పూన్ ఎరుపు, 2 టీస్పూన్ ఎరుపు, 2 టీస్పూన్లు ఎరుపు, 2 టీస్పూన్లు) కరివేపాకు, సన్‌ఫ్లవర్ ఆయిల్</t>
  </si>
  <si>
    <t>10 Colocasia root (Arbi) - skin peeled and halved,1 teaspoon Rice flour,1 teaspoon Red Chilli powder,1/2 teaspoon Turmeric powder (Haldi),1 teaspoon Amchur (Dry Mango Powder),Salt - to taste,Sunflower Oil - for cooking,1 teaspoon White Urad Dal (Split),1/2 teaspoon Mustard seeds,2 Dry Red Chilli,1 sprig Curry leaves,Sunflower Oil</t>
  </si>
  <si>
    <t xml:space="preserve">To begin making the Andhra Style Chamadumpa Vepudu Recipe, peel the colocasia roots and boil them in a pressure cooker with enough water for 2 whistles.Allow the pressure to release by itself, drain the water and cut them into half.Heat a kadai with oil, add mustard seeds, urad dal and allow it to splutter for 10 seconds.After 10 seconds, add curry leaves, dry red chilies and leave the curry leaves to crackle for 10 seconds.Add the cooked colocasia roots along with all the spice powders including red chilli powder, turmeric powder, salt and amchur powder.Give Chamadumpa Vepudu a toss and stir fry the roots till it is coated well and becomes crisp. Check for salt and add if required.Serve the Chamadumpa Vepudu Recipe along with Andhra Style Pappu Charu Recipe and Steamed Rice to enjoy your meal with your loved ones.
</t>
  </si>
  <si>
    <t xml:space="preserve">ఆంధ్రా స్టైల్ చామదుంప వేపుడు రిసిపిని తయారు చేయడం ప్రారంభించడానికి, కొలొకాసియా వేర్లు తొక్క మరియు వాటిని ప్రెజర్ కుక్కర్‌లో తగినంత నీరు వేసి 2 విజిల్స్ వేయండి. ప్రెజర్ తనంతట తానుగా వదలడానికి అనుమతించండి, నీటిని తీసివేసి వాటిని సగానికి తగ్గించండి. కడాయిని నూనెతో వేడి చేసి, ఆవాలు, ఉడకబెట్టిన పప్పు వేసి, ఎండబెట్టి, 10 సెకనులు ఎండబెట్టాలి. మిరపకాయలు మరియు కరివేపాకులను 10 సెకన్ల పాటు పగులగొట్టడానికి వదిలివేయండి. ఎర్ర కారం, పసుపు, ఉప్పు మరియు ఆమ్‌చూర్ పౌడర్‌తో సహా అన్ని మసాలా పొడులతో పాటు వండిన కోలోకాసియా మూలాలను జోడించండి. చామదుంప వేపుడు ఒక టాసును ఇవ్వండి మరియు వేర్లు బాగా పూత మరియు స్ఫుటమయ్యే వరకు వేయించాలి. ఉప్పు కోసం తనిఖీ చేయండి మరియు అవసరమైతే జోడించండి. మీ ప్రియమైన వారితో మీ భోజనాన్ని ఆస్వాదించడానికి ఆంధ్రా స్టైల్ పప్పు చారు రిసిపి మరియు స్టీమ్డ్ రైస్‌తో పాటు చామదుంప వేపుడు రిసిపిని అందించండి.
</t>
  </si>
  <si>
    <t>http://www.archanaskitchen.com/andhra-style-chamadumpa-vepudu-recipe-colocassia-stir-fry-recipe</t>
  </si>
  <si>
    <t>Chakkra Pongali Recipe (Andhra Style Sweet Pongal)</t>
  </si>
  <si>
    <t>చక్ర పొంగలి రెసిపీ (ఆంధ్రా స్టైల్ స్వీట్ పొంగల్)</t>
  </si>
  <si>
    <t>1/2 కప్పు బియ్యం, 1/3 కప్పు ఎల్లో మూంగ్ పప్పు (స్ప్లిట్), 1/2 కప్పు చక్కెర - (లేదా రాక్ మిఠాయి చక్కెర), 1-1/2 కప్పులు పాలు, 1-1/2 కప్పులు నీరు, 4 టేబుల్ స్పూన్లు డెసికేటెడ్ కొబ్బరి, 1 టీస్పూన్ యాలకుల పొడి (ఎలాచి), 4 టేబుల్ స్పూన్లు నెయ్యి, మిక్స్డ్ డ్రై ఫ్రూట్స్ -</t>
  </si>
  <si>
    <t>1/2 cup Rice,1/3 cup Yellow Moong Dal (Split),1/2 cup Sugar - (or rock candy sugar),1-1/2 cups Milk,1-1/2 cups Water,4 tablespoons Dessicated Coconut,1 teaspoon Cardamom Powder (Elaichi),4 tablespoons Ghee,Mixed dry fruits - as per preference</t>
  </si>
  <si>
    <t xml:space="preserve">To begin making Chakkra Pongali Recipe (Andhra Style Sweet Pongal), fry the rice &amp; moong dal together in hot ghee until they become aromatic &amp; turn slightly brownish.Add them in a pressure cooker, add the milk, water &amp; cook till  idone (say 3 whistles mostly)Meanwhile heat a kadai with a bit of ghee, and fry the dry fruits till done and keep aside.Also fry the desiccated coconut in ghee in the same kadai for 4-5 minutes until it changes colour.Once the rice mix cools down, keep it on stovetop on medium heat &amp; add the sugar, cardamom powder &amp; keep stirring it continuously.You can even add a clove &amp; a bit of crushed edible camphor for additional flavour.The sugar should melt &amp; the porridge should start thickening in approx 8-10 minutes on medium heat.Once the pongali has thickened, switch off the stove &amp; add the dry fruits &amp; toasted coconut. Serve Chakkra Pongali Recipe (Andhra Style Sweet Pongal) as a dessert along with a meal of Steamed rice, Pappu Charu Recipe (Lentil Soup Style Curry), Nalla Karam Podi Recipe, Beetroot Vepudu Recipe and an Elai Vadam Recipe for ann Andhra inspired meal.
</t>
  </si>
  <si>
    <t xml:space="preserve">చక్రా పొంగలి రెసిపీ (ఆంధ్రా స్టైల్ స్వీట్ పొంగల్) తయారు చేయడం ప్రారంభించడానికి, అన్నం &amp; మూంగ్ పప్పును వేడి నెయ్యిలో వేసి అవి సుగంధం వచ్చే వరకు వేయించి కొద్దిగా గోధుమ రంగులోకి మారుతాయి. వాటిని ప్రెషర్ కుక్కర్‌లో వేసి, పాలు, నీరు వేసి  ఇదోన్ వరకు ఉడికించాలి (3 విజిల్స్ ఎక్కువగా చెప్పండి) అదే సమయంలో కాడాయిని కొద్దిగా వేడెక్కేలా ఉంచండి. అలాగే ఎండు కొబ్బరిని అదే కడాయిలో నెయ్యిలో వేసి రంగు మారే వరకు 4-5 నిమిషాలు వేయించాలి. అన్నం మిక్సీ చల్లారిన తర్వాత స్టవ్‌పైన మీడియం మంట మీద ఉంచి, పంచదార, యాలకుల పొడి వేసి నిరంతరం కదిలిస్తూనే ఉండండి. మీరు ఒక లవంగం &amp; కొంచెం మెత్తగా తరిగిన కర్పూరాన్ని కూడా జోడించవచ్చు. మీడియం వేడి మీద సుమారు 8-10 నిమిషాలు. పొంగలి చిక్కగా అయ్యాక, స్టవ్ ఆఫ్ చేసి డ్రై ఫ్రూట్స్ &amp; కాల్చిన కొబ్బరిని జోడించండి. ఉడికించిన అన్నం, పప్పు చారు (పప్పు చారు స్టైల్ కర్రీ), నల్ల కారం పొడి రెసిపీ, బీట్‌రూట్ వేపుడు రెసిపీ మరియు ఆంధ్రా స్టైల్ స్వీట్ పొంగల్‌ను డెజర్ట్‌గా వడ్డించండి.
</t>
  </si>
  <si>
    <t>https://www.archanaskitchen.com/chakkra-pongali-recipe-andhra-style-sweet-pongal</t>
  </si>
  <si>
    <t>Andhra Style Sarva Pindi/Gine Pindi Recipe (Rice Flour and Chana Dal Flatbread Recipe)</t>
  </si>
  <si>
    <t>ఆంధ్రా స్టైల్ సర్వ పిండి/గినె పిండి వంటకం (బియ్యం పిండి మరియు చనా దాల్ ఫ్లాట్ బ్రెడ్ రెసిపీ)</t>
  </si>
  <si>
    <t>1 కప్పు బియ్యప్పిండి, 2 టేబుల్ స్పూన్ చనా పప్పు (బెంగాల్ పప్పు) - 2 గంటలు నానబెట్టి, 1 రెమ్మ కరివేపాకు - తరిగిన, 1 టేబుల్ స్పూన్ నువ్వులు (టిల్ గింజలు), 1 ఉల్లిపాయ - తరిగిన, 1 పచ్చిమిర్చి - తరిగిన, 1 టీస్పూన్ అల్లం వెల్లుల్లి పేస్ట్, 1 టీస్పూన్ పసుపు పొడి (హల్దీ పొడి - రుచికి), 1 స్పూన్.</t>
  </si>
  <si>
    <t>1 cup Rice flour,2 tablespoon Chana dal (Bengal Gram Dal) - soaked for 2 hours,1 sprig Curry leaves - chopped,1 tablespoon Sesame seeds (Til seeds),1 Onion - chopped,1 Green Chilli - chopped,1 teaspoon Ginger Garlic Paste,1 teaspoon Turmeric powder (Haldi),1 teaspoon Red Chilli powder,Salt - to taste</t>
  </si>
  <si>
    <t xml:space="preserve">To begin making the Andhra Style Sarva Pindi, add all the ingredients into a bowl and add little water and knead into a soft and malleable dough.Now to prepare the roti, place a nonstick tawa/skillet on the heat. Spread out a large piece of plastic, or parchment paper on your work surface.Grease your palms with oil. Pinch a big ball of dough place it in the centre of the parchment or plastic. Then gently flatten it out to form a hand-patted disc, similar to Thalipeeth.Lift the paper, along with the rotti on it and turning it over, place it on the skillet with the rotti down on the hot skillet.Carefully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roti off the skillet, add a dollop of butter or ghee, and serve immediately.Serve the Andhra Style Sarva Pindi along with Sweet and Spicy Raw Mango Chutney or Ridge Gourd Pachadi Recipe to create a delicious breakfast. 
</t>
  </si>
  <si>
    <t xml:space="preserve">ఆంధ్రా స్టైల్ సర్వా పిండిని తయారు చేయడం ప్రారంభించడానికి, ఒక గిన్నెలో అన్ని పదార్ధాలను వేసి, కొద్దిగా నీరు వేసి మెత్తగా మరియు మెల్లగా ఉండే పిండిలా మెత్తగా పిండి వేయండి. ఇప్పుడు రోటీని సిద్ధం చేయడానికి, వేడి మీద నాన్‌స్టిక్ తవా/స్కిల్లెట్ ఉంచండి. మీ పని ఉపరితలంపై పెద్ద ప్లాస్టిక్ ముక్క లేదా పార్చ్‌మెంట్ కాగితాన్ని విస్తరించండి. మీ అరచేతులపై నూనెతో గ్రీజ్ చేయండి. పిండి యొక్క పెద్ద బంతిని చిటికెడు పార్చ్మెంట్ లేదా ప్లాస్టిక్ మధ్యలో ఉంచండి. థాలీపీత్ మాదిరిగానే చేతితో తట్టిన డిస్క్‌ని ఏర్పరుచుకునేలా దానిని మెల్లగా చదును చేయండి. కాగితాన్ని పైకెత్తి, దానిపై ఉన్న రోట్టీతో పాటు దాన్ని తిప్పండి, వేడి స్కిల్లెట్‌పై రోట్టీని క్రిందికి ఉంచి స్కిల్లెట్‌పై ఉంచండి. కాగితంపై రోట్టీ తొక్కను జాగ్రత్తగా సపోర్ట్ చేయండి. రోటీ అంచుల వెంబడి మరియు మధ్యలో, రోటీపై చేసిన రంధ్రంలోకి కొద్దిగా నూనె చినుకులు మరియు స్ఫుటంగా మరియు కరకరలాడేలా చేయండి. సగం ఉడికినట్లు అనిపించినప్పుడు, రోటీని మరొక వైపు ఉడికించడానికి ఒక గరిటెతో తిప్పండి. మీకు రెండు వైపులా బ్రౌన్ ప్యాచ్‌లు వచ్చే వరకు బాగా ఉడికించాలి. తర్వాత, స్కిల్లెట్ నుండి రోటీని తీసివేసి, వెన్న లేదా నెయ్యి వేసి, వెంటనే సర్వ్ చేయండి. రుచికరమైన అల్పాహారాన్ని రూపొందించడానికి ఆంధ్రా స్టైల్ సర్వా పిండితో పాటు స్వీట్ మరియు స్పైసీ పచ్చి మామిడి చట్నీ లేదా రిడ్జ్ గోర్డ్ పచ్చడి రిసిపిని సర్వ్ చేయండి. 
</t>
  </si>
  <si>
    <t>https://www.archanaskitchen.com/andhra-style-sarva-pindi-gine-pindi-recipe-rice-flour-and-chana-dal-flatbread-recipe</t>
  </si>
  <si>
    <t>Andhra Dondakaya Ulli Kura Karam Recipe | Andhra Kovakkai Fry</t>
  </si>
  <si>
    <t>ఆంధ్ర దొండకాయ ఉల్లి కూర కారం రెసిపీ | ఆంధ్రా కోవక్కాయ్ ఫ్రై</t>
  </si>
  <si>
    <t>500 గ్రాముల తిండోరా (దొండకాయ/ కోవక్కాయ) - పొడవుగా కట్ చేసి, 2 టేబుల్ స్పూన్లు పొద్దుతిరుగుడు నూనె, 1/2 టీస్పూన్ ఆవాలు, 1 రెమ్మ కరివేపాకు - సన్నగా తరిగిన, 1/2 టీస్పూన్ పసుపు పొడి (హల్దీ), 1/4 టీస్పూన్ ఇంగువ (హింగ్), ఉప్పు - రుచికి (2 టేబుల్ స్పూన్లు కొత్తిమీర, 2 టేబుల్ స్పూన్లు) పప్పు), 1 టేబుల్ స్పూన్ తెల్ల ఉరద్ పప్పు (విడదీయబడింది), 1 టేబుల్ స్పూన్ నువ్వులు (టిల్ గింజలు), 1 టీస్పూన్ జీలకర్ర (జీర), 1/2 టీస్పూన్ మెంతి గింజలు (మెంతి గింజలు), 3 ఎండు మిరపకాయలు - (సర్దుబాటు), 15 గ్రాములు చింతపండు - జామకాయ పరిమాణం, 2 టేబుల్ స్పూన్లు వేయించిన వేరుశెనగ (మూంగ్ ఫాలి)</t>
  </si>
  <si>
    <t>500 grams Tindora (Dondakaya/ Kovakkai) - cut lengthwise,2 tablespoons Sunflower Oil,1/2 teaspoon Mustard seeds,1 sprig Curry leaves - finely chopped,1/2 teaspoon Turmeric powder (Haldi),1/4 teaspoon Asafoetida (hing),Salt - to taste,2 tablespoons Coriander (Dhania) Seeds,1 tablespoon Chana dal (Bengal Gram Dal),1 tablespoon White Urad Dal (Split),1 tablespoon Sesame seeds (Til seeds),1 teaspoon Cumin seeds (Jeera),1/2 teaspoon Methi Seeds (Fenugreek Seeds),3 Dry Red Chilli - (adjust),15 grams Tamarind - gooseberry size,2 tablespoons Roasted Peanuts (Moongphali)</t>
  </si>
  <si>
    <t xml:space="preserve">To begin making Andhra Dondakaya Ulli Kura Karam Recipe, prep all the ingredients and keep them ready.Place the cut Dondakaya in the pressure cooker, sprinkle salt and turmeric powder along with 2 tablespoons water and pressure cook for 2 whistles. Turn off the heat after 2 whistles and open the pressure cooker immediately by releasing the weight with the fork or placing the cooker under cold running water.This is to ensure we don't overcook the Dondakaya/ Tindora. Keep this aside.Next step is the roast and grind the masala.Heat a small pan over medium heat; add the chana dal and urad dal and roast until they change color.Once they are turning a little brown, add the methi seeds, coriander seeds, sesame seeds, cumin seeds, red chillies. Stir for about a minute until they begin to release the aromas.Once done, turn off the heat and allow the roasted masala to cool.Once cooled, add the masala, the roasted peanuts and tamarind to a small jar of the mixer grinder, add blend to make a powder. Grind this without any water. Keep this aside.The final step is to now put together everything for the Andhra Dondakaya Ulli Kura Karam.Heat oil in a heavy bottomed pan, over medium heat; add the mustard seeds and allow it to crackle.Once done, stir in the asafoetida and curry leaves for a few seconds.Add the cooked Dondakaya / Tendli/ Tindora and the ground roasted masala. Give it a stir to combine it well.Cover the pan and turn the heat to low and cook the Dondakaya Ulli Kura Karam for about 3 to 4 minutes so that all the flavours get well absorbed to bring in a delicious taste. Check the salt and adjust according to taste.Once done, turn off the heat and transfer the Andhra Dondakaya Ulli Kura Karam to a serving bowl and serve hot.Serve Andhra Dondakaya Ulli Kura Karam Recipe along with Steamed Rice Recipe, and Andhra Style Bendakaya Charu Recipe for a delicious lunch or dinner.
</t>
  </si>
  <si>
    <t xml:space="preserve">ఆంధ్రా దొండకాయ ఉల్లి కూర కారం రెసిపీని తయారు చేయడం ప్రారంభించడానికి, అన్ని పదార్థాలను సిద్ధం చేసి, వాటిని సిద్ధంగా ఉంచండి. కట్ దొండకాయను ప్రెషర్ కుక్కర్‌లో ఉంచండి, ఉప్పు మరియు పసుపు పొడితో పాటు 2 టేబుల్ స్పూన్ల నీరు మరియు 2 విజిల్స్ వచ్చేలా ప్రెజర్ ఉడికించాలి. 2 విజిల్‌ల తర్వాత వేడిని ఆపివేసి, ఫోర్క్‌తో బరువును వదలడం ద్వారా లేదా కుక్కర్‌ని చల్లటి నీటి కింద ఉంచడం ద్వారా వెంటనే ప్రెజర్ కుక్కర్‌ను తెరవండి. ఇది మేము దొండకాయ/తిండోరను ఎక్కువగా ఉడకబెట్టకుండా చూసుకోవాలి. దీన్ని పక్కన పెట్టండి. తదుపరి దశ రోస్ట్ మరియు మసాలా రుబ్బు. మీడియం వేడి మీద ఒక చిన్న పాన్ వేడి చేయండి; చనా పప్పు మరియు ఉరద్ పప్పు వేసి, అవి రంగు మారే వరకు వేయించాలి. అవి కొద్దిగా గోధుమ రంగులోకి మారిన తర్వాత, మెంతి గింజలు, కొత్తిమీర గింజలు, నువ్వులు, జీలకర్ర, ఎర్ర మిరపకాయలను జోడించండి. అవి సువాసనలను విడుదల చేయడం ప్రారంభించే వరకు సుమారు ఒక నిమిషం పాటు కదిలించు. పూర్తయిన తర్వాత, వేడిని ఆపివేయండి మరియు కాల్చిన మసాలా చల్లబరచడానికి అనుమతించండి. చల్లారిన తర్వాత, మసాలా, వేయించిన వేరుశెనగ మరియు చింతపండును మిక్సర్ గ్రైండర్ యొక్క చిన్న కూజాలో వేసి, పౌడర్ చేయడానికి కలపండి. దీన్ని నీరు లేకుండా రుబ్బుకోవాలి. దీన్ని పక్కన పెట్టండి.ఆంధ్రా దొండకాయ ఉల్లి కూర కారం కోసం ఇప్పుడు అన్నింటినీ కలిపి ఉంచడం చివరి దశ. ఒక భారీ అడుగున ఉన్న పాన్‌లో మీడియం వేడి మీద నూనె వేడి చేయండి; ఆవాలు వేసి చిటపటలాడనివ్వండి. పూర్తయిన తర్వాత, ఇంగువ మరియు కరివేపాకులో కొన్ని సెకన్ల పాటు కదిలించు. ఉడికిన దొండకాయ / టెండ్లీ / టిండోర మరియు గ్రౌండ్ రోస్ట్ చేసిన మసాలా జోడించండి. దీన్ని బాగా కలపడానికి కదిలించు. పాన్‌ను మూతపెట్టి, వేడిని కనిష్టంగా మార్చండి మరియు దొండకాయ ఉల్లి కూర కారాన్ని సుమారు 3 నుండి 4 నిమిషాలు ఉడికించాలి, తద్వారా అన్ని రుచులు బాగా కలిసిపోయి రుచికరమైన రుచిని అందిస్తాయి. ఉప్పును తనిఖీ చేసి, రుచికి అనుగుణంగా సర్దుబాటు చేయండి. పూర్తయిన తర్వాత, వేడిని ఆపివేసి, ఆంధ్రా దొండకాయ ఉల్లి కూర కరాన్ని సర్వింగ్ బౌల్‌లోకి బదిలీ చేసి వేడిగా వడ్డించండి. ఆంధ్రా దొండకాయ ఉల్లి కూర కారం రెసిపీని ఆంధ్రా దొండకాయ ఉల్లి కూర కారంతో పాటుగా ఉడికించిన అన్నం, మరియు ఆంధ్రా స్టైల్ బెండకాయ చారు లంచ్ లేదా రుచికరమైన వంటకం కోసం.
</t>
  </si>
  <si>
    <t>http://www.archanaskitchen.com/andhra-style-dondakaya-menthi-karam-koora-recipe</t>
  </si>
  <si>
    <t>Andhra Style Usirikaya Pachadi Recipe (Indian Gooseberries Chutney)</t>
  </si>
  <si>
    <t>ఆంధ్రా స్టైల్ ఉసిరికాయ పచ్చడి రిసిపి (ఇండియన్ గూస్బెర్రీస్ చట్నీ)</t>
  </si>
  <si>
    <t>15 ఉసిరికాయ (నెల్లికాయ్/ గూస్బెర్రీ) - మీడియం సైజు, 4 పచ్చిమిర్చి, 1/4 టీస్పూన్ ఆవాలు, 2 ఎండు మిర్చి, ఇంగువ (హింగ్) - చిటికెడు, సన్‌ఫ్లవర్ ఆయిల్ - టెంపరింగ్ కోసం, ఉప్పు - రుచి ప్రకారం</t>
  </si>
  <si>
    <t>15 Amla (Nellikai/ Gooseberry) - medium size,4 Green Chillies,1/4 teaspoon Mustard seeds,2 Dry Red Chilli,Asafoetida (hing) - A pinch,Sunflower Oil - for tempering,Salt - as per taste</t>
  </si>
  <si>
    <t xml:space="preserve">To begin making the Andhra Style Usirikaya Pachadi recipe, wash the amla in running water and place them in a pressure cooker.Add water and boil the amlas till soft or till the cooker release 2 whistles. Once cooled, remove the seeds from them.Add the boiled amla, salt, green chillies &amp; a pinch of asafoetida in the blender and blend until smooth.Take some oil for tempering in a pan, add mustard seeds to till. Once they start to crackle, add the dry red chilies and fry for a minute. Switch off the flame.Add the tempering to the chutney. Serve hot.Serve Andhra Style Usirikaya Pachadi with Mixed Vegetable Sambar and Steamed Rice for a weekday meal.
</t>
  </si>
  <si>
    <t xml:space="preserve">ఆంధ్రా స్టైల్ ఉసిరికాయ పచ్చడి రెసిపీని తయారు చేయడం ప్రారంభించడానికి, ఉసిరికాయను రన్నింగ్ వాటర్‌లో కడిగి ప్రెషర్ కుక్కర్‌లో ఉంచండి. నీళ్లు పోసి ఉసిరికాయలను మెత్తగా లేదా కుక్కర్ 2 విజిల్స్ వచ్చే వరకు ఉడకబెట్టండి. చల్లారిన తర్వాత, వాటి నుండి గింజలను తీసివేయండి. ఉడకబెట్టిన ఉసిరి, ఉప్పు, పచ్చిమిర్చి &amp; చిటికెడు ఇంగువను బ్లెండర్‌లో వేసి మృదువైనంత వరకు కలపండి. పాన్‌లో టెంపరింగ్ కోసం కొంచెం నూనె తీసుకోండి, ఆవాలు వేయండి. అవి పగిలిపోవడం ప్రారంభించిన తర్వాత, ఎండు మిరపకాయలను వేసి ఒక నిమిషం పాటు వేయించాలి. మంటను ఆపివేయండి. చట్నీకి టెంపరింగ్ జోడించండి. వేడి వేడిగా వడ్డించండి. వారంరోజుల భోజనం కోసం ఆంధ్రా స్టైల్ ఉసిరికాయ పచ్చడిని మిక్స్‌డ్ వెజిటబుల్ సాంబార్ మరియు స్టీమ్డ్ రైస్‌తో సర్వ్ చేయండి.
</t>
  </si>
  <si>
    <t>https://www.archanaskitchen.com/andhra-style-usirikaya-pachadi-recipe-indian-gooseberries-chutney</t>
  </si>
  <si>
    <t>आंध्रा स्टाइल मूंगफली चटनी रेसिपी - Andhra Style Peanut Chutney Recipe</t>
  </si>
  <si>
    <t>ఆంధ్రా స్టైల్ మూంగఫలి చటాని రెసిపీ - ఆంధ్రా స్టైల్ పీనట్ చట్నీ</t>
  </si>
  <si>
    <t>1 కప్ మూంగఫలి - చిలక నికాల్ లే,3 కలి లహసున్,2 టమాటర్ - బారీక్ కాట్ లే,5 సుఖి లాచం,1 చమ్మచ్ తేల్,1 ఛోటా చమ్మచ్ రై,1 ఛోటా చమ్మచ్ సఫోద్ ఉరద్ దాల్,1 दी పత్తా,నమక్ - స్వాద్ అనుసార్</t>
  </si>
  <si>
    <t>1 cup peanuts - peel, 3 cloves garlic, 2 tomatoes - finely chopped, 5 dry red chillies, 1 tsp oil, 1 tsp rye, 1 tsp white urad dal, 1 sprig curry leaves, salt - as per taste</t>
  </si>
  <si>
    <t xml:space="preserve">आंध्रा स्टाइल मूंगफली चटनी रेसिपी बनाने के लिए सबसे पहले एक कढ़ाई में मूंगफली, लाल मिर्च डाले और मूंगफली के हलके भूरे होने तक पका ले. पक जाने के बाद, गैस बंद करें और अलग से रख दे. अब एक सॉसपैन में पानी गरम करैं। इसमें टमाटर डाले और 5 मिनट तक पका ले. टमाटर के ऊपर से छिलका निकाले और अलग से रख दे. अब एक मिक्सर ग्राइंडर में टमाटर, मूंगफली का मिश्रण, लहसुन, नमक, थोड़ा पानी डाले और अच्छी तरह से पीस कर पेस्ट बना ले. अब तड़के के लिए एक तड़का पैन में तेल गरम करें। इसमें उरद दाल, कढ़ी पत्ता डाले और 1 मिनट के लिए पका ले. इस तड़के को चटनी में डाले, मिलाए और परोसे। आंध्रा स्टाइल मूंगफली चटनी रेसिपी को घी रोस्ट डोसा और फ़िल्टर कॉफ़ी के साथ सुबह के नाश्ते के लिए परोसे।
</t>
  </si>
  <si>
    <t xml:space="preserve">ఆంధ్రా స్టైల్ మూంగఫలి చటని రేసిపీ బనానె కే లియే సబ్సే పహలే ఒక కధం, లాల్ మిర్చ్ డాలే మరియు మూంగఫలీ కే హలకే భూరే హోనే తక పక లే. పక జానే కె బాద్, గేస్ బంద్ కరెన్ మరియు అలగ్ సే రఖ్ దే. అబ్ ఒక సాస్పైన్ లో పానీ గరం. ఇవే కాకుండా టమాటర్ డాలే మరియు 5 మి. టమాటర్ కే ఊపర సే చిలక నికాలే మరియు అలగ్ సె రఖ్ దే. అబ్ ఒక మిక్సర్ గ్రైండర్లో టమాటర్, మూంగఫలి మిశ్రణం, లహసున్, నమక్, థోడా మరియు అచ్చీ తరహ సే పీస్ కర్ పేస్ట్ బనా లే. అబ్ తడకే ఒక తడక పైన్ లో తేల గరం కరేం. అదే విధంగా ఉరద్ దాల్, కఢీ పట్టా దాలే మరియు 1 నిమిషం పాటు. ఈ తడకే కో చటని మేం దాలే, మిలాయె మరియు పరోసే. ఆంధ్రా స్టైల్ మూంగఫలి చటాని రేసిపి కో ఘీ రోస్ట్ డోసా మరియు థేరల్ కెరికల్ శుభాకాంక్షల కోసం.
</t>
  </si>
  <si>
    <t>https://www.archanaskitchen.com/andhra-style-peanut-chutney-recipe-with-tomatoes-in-hindi</t>
  </si>
  <si>
    <t>Andhra Style Zucchini Tomato Chutney Recipe</t>
  </si>
  <si>
    <t>ఆంధ్రా స్టైల్ సొరకాయ టొమాటో చట్నీ రిసిపి</t>
  </si>
  <si>
    <t>1 టేబుల్ స్పూన్ సన్‌ఫ్లవర్ ఆయిల్, 6 పచ్చిమిర్చి - పొడవాటికి చీలిక, 2 వెల్లుల్లిపాయలు, 400 గ్రాముల పచ్చి సొరకాయ - కడిగి చిన్న ముక్కలుగా కట్ చేసుకోవాలి, 1 టొమాటో - చిక్కటి ముక్కలు, చింతపండు - క్రాన్‌బెర్రీ సైజు, 1/4 కప్పు కొత్తిమీర (ధనియా) ఆకులు - 2 టీస్పూన్ సిరా - 2 టీస్పూన్లు సన్‌ఫ్లవర్ ఆయిల్, 1 టీస్పూన్ ఆవాలు, 1 టీస్పూన్ జీలకర్ర (జీరా), 2 ఎండు మిరపకాయలు, చిటికెడు ఇంగువ (హింగ్), కొన్ని కరివేపాకు ఆకులు</t>
  </si>
  <si>
    <t>1 tablespoon Sunflower Oil,6 Green Chillies - slit lengthwise,2 Garlic - pods,400 grams Green zucchini - washed and cut into small cubes,1 Tomato - cut into thick slices,Tamarind - cranberry sized,1/4 cup Coriander (Dhania) Leaves - finely chopped,1 teaspoon Cumin seeds (Jeera),Salt - as required,2 teaspoons Sunflower Oil,1 teaspoon Mustard seeds,1 teaspoon Cumin seeds (Jeera),2 Dry Red Chillies,pinch Asafoetida (hing),Few Curry leaves</t>
  </si>
  <si>
    <t xml:space="preserve">To begin making the Andhra Style Zucchini Tomato Chutney Recipe first warm some oil in a pan on medium heat.Add the green chilies to it and toss lightly for a minute till they are scalded, and transfer to a plate.Now add garlic pods and zucchini pieces into the pan and sauté till soft and light brown and transfer to the plate too. This may take a couple of minutes.Add the sliced tomatoes along with tamarind and toss together for a minute. Turn off the heat and add minced coriander and stir till wilted.Once the mixture cools down, grind all the above ingredients together along with salt and cumin seeds in a blender to a coarse paste and transfer to a bowl.For the tempering, heat oil in a small pan on medium heat and add mustard, cumin and red chilies. Once they splutter add asafoetida and finally add curry leaves and transfer it to the zucchini chutney.Stir well and serve the Andhra Style Zucchini Tomato Chutney immediately with Kanchipuram Idlis or Kara Kadubu.
</t>
  </si>
  <si>
    <t xml:space="preserve">ఆంధ్రా స్టైల్ సొరకాయ టొమాటో చట్నీ రెసిపీని తయారు చేయడం ప్రారంభించడానికి ముందుగా పాన్‌లో మీడియం వేడి మీద కొద్దిగా నూనె వేడెక్కండి. దానికి పచ్చిమిర్చి వేసి ఒక నిమిషం పాటు మెత్తగా టాసు చేసి, ఒక ప్లేట్‌లోకి మార్చండి. ఇప్పుడు పాన్‌లో వెల్లుల్లి పాయలు మరియు సొరకాయ ముక్కలను వేసి మెత్తగా మరియు లేత గోధుమరంగు వచ్చేవరకు వేయించి, ప్లేట్‌లోకి బదిలీ చేయండి. దీనికి రెండు నిమిషాలు పట్టవచ్చు. చింతపండుతో పాటుగా తరిగిన టొమాటోలను వేసి ఒక నిమిషం పాటు కలపండి. వేడిని ఆపివేసి, మెత్తగా తరిగిన కొత్తిమీర వేసి, మెత్తబడే వరకు కదిలించు. మిశ్రమం చల్లబడిన తర్వాత, పైన పేర్కొన్న అన్ని పదార్థాలను ఉప్పు మరియు జీలకర్రతో కలిపి బ్లెండర్‌లో ముతక పేస్ట్‌కు గ్రైండ్ చేసి ఒక గిన్నెకు బదిలీ చేయండి. టెంపరింగ్ కోసం, మీడియం వేడి మీద చిన్న పాన్‌లో నూనె వేడి చేసి ఆవాలు, జీలకర్ర మరియు ఎర్ర మిరపకాయలను జోడించండి. వారు చిమ్మిన తర్వాత ఇంగువ వేసి చివరగా కరివేపాకు వేసి సొరకాయ పచ్చడిలోకి మార్చండి. బాగా కదిలించు మరియు ఆంధ్రా స్టైల్ సొరకాయ టొమాటో చట్నీని వెంటనే కాంచీపురం ఇడ్లీలు లేదా కార కడుబుతో సర్వ్ చేయండి.
</t>
  </si>
  <si>
    <t>https://www.archanaskitchen.com/andhra-style-zucchini-tomato-chutney-recipe</t>
  </si>
  <si>
    <t>Vankaya Gasagasala Kura | Andhra Style Eggplant Poppy Seeds Curry Recipe</t>
  </si>
  <si>
    <t>వంకాయ గసగసాల కుర | ఆంధ్రా స్టైల్ వంకాయ గసగసాల కూర రెసిపీ</t>
  </si>
  <si>
    <t>1/2 టీస్పూన్ మెంతి గింజలు (మెంతి గింజలు), 3 టేబుల్ స్పూన్లు గసగసాలు, 8 వంకాయలు (బైంగన్ / వంకాయ), 2 టేబుల్ స్పూన్లు పొద్దుతిరుగుడు నూనె, 1/2 టీస్పూన్ ఆవాలు, 1/2 టీస్పూన్ జీలకర్ర (జీరా), 4 లవంగాలు వెల్లుల్లి - సన్నగా తరిగిన, 1 టేబుల్ స్పూన్ మిరపకాయ పొడి, 1 టేబుల్ స్పూన్ కారం పొడి, 1 టేబుల్ స్పూన్ డి. (హల్దీ), 1/4 టీస్పూన్ మెంతి గింజలు (మెంతి గింజలు), 30 గ్రాముల చింతపండు - నానబెట్టి గుజ్జు తీసిన, 1 టేబుల్ స్పూన్ బెల్లం, ఉప్పు - రుచికి</t>
  </si>
  <si>
    <t>1/2 teaspoon Methi Seeds (Fenugreek Seeds),3 tablespoons Poppy seeds,8 Brinjal (Baingan / Eggplant),2 tablespoons Sunflower Oil,1/2 teaspoon Mustard seeds,1/2 teaspoon Cumin seeds (Jeera),4 cloves Garlic - finely chopped,1 tablespoon Red Chilli powder,1 tablespoon Coriander Powder (Dhania),1/2 teaspoon Turmeric powder (Haldi),1/4 teaspoon Methi Seeds (Fenugreek Seeds),30 grams Tamarind - soaked and pulp extracted,1 tablespoon Jaggery,Salt - to taste</t>
  </si>
  <si>
    <t xml:space="preserve">To begin making the Andhra Style Eggplant Poppy Seeds Curry recipe/ Vankaya Gasagasala Kura, dry roast poppy seeds until it starts to change the colour. Remove from pan immediately and let it cool. Dry roast methi seeds too and remove from flame.Into a blender add poppy seeds, methi seeds with 1/4 cup water and blend into a paste.Wash and pat dry the brinjals. Remove the stem and make a cross incision. Fry it in oil for about 4 to 5 minutes until it is roasted and cooked. Remove the fried brinjal and keep aside.Into the same pan, add little more oil if the pan turns dry, add the mustard seeds, cumin seeds and allow it to crackle.Then add the poppy seed masala paste, turmeric powder, red chilli powder and coriander powder. Saute cook for 5 to 6 minutes. Pour tamarind juice and 1/2 cup water, salt to taste and jaggery, bring the Gasagasala Kura mixture to boil.Let it continue to simmer on medium flame for 5 to 7 minutes. After 5 minutes add fried brinjal and cook for 5 to 8 minutes. Check the salt and seasonings and adjust to taste according. Turn off the heat and transfer the Vankaya Gasagasala Kura to a serving bowlServe Andhra Style Eggplant Poppy Seeds Curry recipe/ Vankaya Gasagasala Kura  along with Andhra Style Palakaru Vepadu and Tawa Paratha for a weekday meal.
</t>
  </si>
  <si>
    <t xml:space="preserve">ఆంధ్రా స్టైల్ వంకాయ గసగసాల కూర రెసిపీ/వంకాయ గసగసాల కూర తయారు చేయడం ప్రారంభించడానికి, గసగసాల రంగు మారడం ప్రారంభించే వరకు పొడిగా కాల్చండి. వెంటనే పాన్ నుండి తీసివేసి చల్లబరచండి. మెంతి గింజలను కూడా పొడిగా వేయించి, మంట నుండి తీసివేయండి. బ్లెండర్‌లో గసగసాలు, మెంతి గింజలను 1/4 కప్పు నీటితో వేసి పేస్ట్‌గా కలపండి. వంకాయలను కడిగి, పొడిగా ఉంచండి. కాండం తొలగించి క్రాస్ కోత చేయండి. వేయించి ఉడికినంత వరకు సుమారు 4 నుండి 5 నిమిషాలు నూనెలో వేయించాలి. వేయించిన బెండకాయను తీసి పక్కన పెట్టండి. అదే పాన్‌లో, పాన్ పొడిగా మారితే కొంచెం ఎక్కువ నూనె వేసి, ఆవాలు, జీలకర్ర వేసి చిటపటలాడడానికి అనుమతించండి. తరువాత గసగసాల మసాలా పేస్ట్, పసుపు పొడి, ఎర్ర కారం మరియు ధనియాల పొడిని జోడించండి. 5 నుండి 6 నిమిషాలు ఉడికించాలి. చింతపండు రసం మరియు 1/2 కప్పు నీరు, రుచికి ఉప్పు మరియు బెల్లం పోసి, గసగసాల కూర మిశ్రమాన్ని మరిగించండి. మీడియం మంట మీద 5 నుండి 7 నిమిషాలు ఉడకనివ్వండి. 5 నిమిషాల తర్వాత వేయించిన బెండకాయ వేసి 5 నుండి 8 నిమిషాలు ఉడికించాలి. ఉప్పు మరియు మసాలా దినుసులను తనిఖీ చేయండి మరియు రుచికి అనుగుణంగా సర్దుబాటు చేయండి. వేడిని ఆపివేసి, వంకాయ గసగసాల కూరను సర్వింగ్ బౌల్‌కి బదిలీ చేయండి ఆంధ్రా స్టైల్ వంకాయ గసగసాల కూర రెసిపీ/ వంకాయ గసగసాల కూర తో పాటు ఆంధ్రా స్టైల్ పాలకారు వేపడు మరియు తావా పరాటా తో పాటు వారంరోజుల భోజనం.
</t>
  </si>
  <si>
    <t>http://www.archanaskitchen.com/andhra-style-eggplant-poppy-seeds-curry-recipe</t>
  </si>
  <si>
    <t>Dosakaya Pappu Recipe-Andhra Style Yellow Cucumber Dal</t>
  </si>
  <si>
    <t>దోసకాయ పప్పు రిసిపి-ఆంధ్రా స్టైల్ ఎల్లో దోసకాయ పప్పు</t>
  </si>
  <si>
    <t>1 కప్పు అర్హార్ పప్పు (స్ప్లిట్ టూర్ డాల్), 1/4 టీస్పూన్ పసుపు పొడి (హల్దీ), 1 ఉల్లిపాయ - పెద్ద ముక్కలుగా తరిగిన, 3 పచ్చిమిర్చి - చీలిక లేదా విరిగిన, 2 కప్పులు చింతపండు నీరు, 1 టీస్పూన్ ఎర్ర మిరపకాయ, 3 టమోటాలు - సన్నగా తరిగిన, 1 మంగళూరు దోసకాయలు - 2 టీస్పూన్లు చూర్ణం, 2 ఎండు మిరపకాయలు, 1 టీస్పూన్ ఆవాలు, 1 టీస్పూన్ జీలకర్ర (జీరా), ఇంగువ (హింగ్) - చిటికెడు, 1 రెమ్మ కరివేపాకు, ఉప్పు - అవసరమైనంత, కొత్తిమీర (ధనియా) ఆకులు - చిన్న కట్ట</t>
  </si>
  <si>
    <t>1 cup Arhar dal (Split Toor Dal),1/4 teaspoon Turmeric powder (Haldi),1 Onion - chopped to big chunks,3 Green Chillies - slit or broken,2 cups Tamarind Water,1 teaspoon Red Chilli powder,3 Tomatoes - finely chopped,1 Mangalorean cucumber - peeled and diced,2 teaspoons Ghee,4 cloves Garlic - crushed,2 Dry Red Chillies,1 teaspoon Mustard seeds,1 teaspoon Cumin seeds (Jeera),Asafoetida (hing) - a pinch,1 sprig Curry leaves,Salt - as needed,Coriander (Dhania) Leaves - small bunch</t>
  </si>
  <si>
    <t xml:space="preserve">To begin making the Dosakaya Pappu Recipe, first get all the ingredients ready. Wash the dal in water and place it in the Pressure cooker. Add the turmeric powder, salt, chopped onions, green chillies, chopped tomatoes, diced Yellow cucumber/Dosakaya, tamarind water and red chilli powder.Add two cups of water, cover the pressure cooker and cook until you hear two whistles. After the couple of whistles, turn the heat to low and simmer for 3 minutes and turn off the heat. Allow the pressure to release naturally.Once the pressure has released, open the cooker and give the Dosakaya Pappu a good stir slightly mashing the Dosakaya into the dal. Check the salt and spices and adjust according to taste.Add water if you wish to adjust the consistency of the dal and transfer the Dosakaya Pappu to a serving bowl and stir in the chopped coriander leaves. For the seasoning: Crush or chop garlic pods. Heat ghee in a small tadka pan over medium heat and add the garlic. Once garlic starts to turn light brown add red chillies, mustard seeds and cumin seeds. When mustard seeds splutter, add a pinch of asafoetida. Now turn off the heat and add curry leaves. Pour the seasoning to the Dosakaya Pappu and mix well.Serve the Dosakaya Pappu with hot Steamed Rice along with a drizzle of ghee. It pairs perfectly with a Spicy Potato Roast Recipe (Urulaikizhangu Poriyal) and a crunchy papad.
</t>
  </si>
  <si>
    <t xml:space="preserve">దోసకాయ పప్పు రెసిపీని తయారు చేయడం ప్రారంభించడానికి, ముందుగా అన్ని పదార్థాలను సిద్ధం చేసుకోండి. పప్పును నీటిలో కడిగి ప్రెషర్ కుక్కర్‌లో ఉంచండి. పసుపు పొడి, ఉప్పు, తరిగిన ఉల్లిపాయలు, పచ్చిమిర్చి, తరిగిన టొమాటోలు, పసుపు దోసకాయ/దోసకాయ, చింతపండు నీరు మరియు ఎర్ర మిరపకాయలను జోడించండి. రెండు కప్పుల నీళ్లు వేసి, ప్రెషర్ కుక్కర్‌ను మూతపెట్టి, రెండు విజిల్స్ వచ్చే వరకు ఉడికించాలి. రెండు విజిల్స్ వచ్చిన తర్వాత, మంటను తగ్గించి, 3 నిమిషాలు ఉడకబెట్టి, వేడిని ఆపివేయండి. ఒత్తిడిని సహజంగా విడుదల చేయడానికి అనుమతించండి. ప్రెజర్ విడుదలైన తర్వాత, కుక్కర్‌ని తెరిచి, దోసకాయను పప్పులో కొద్దిగా మెత్తగా చేసి దోసకాయ పప్పును బాగా కదిలించండి. ఉప్పు మరియు మసాలా దినుసులను తనిఖీ చేసి, రుచికి అనుగుణంగా సర్దుబాటు చేయండి. మీరు పప్పు యొక్క స్థిరత్వాన్ని సర్దుబాటు చేయాలనుకుంటే నీటిని జోడించండి మరియు దోసకాయ పప్పును సర్వింగ్ బౌల్‌కు బదిలీ చేయండి మరియు తరిగిన కొత్తిమీర ఆకులను కలపండి. మసాలా కోసం: వెల్లుల్లి పాడ్లను చూర్ణం చేయండి లేదా కత్తిరించండి. మీడియం వేడి మీద చిన్న తడ్కా పాన్‌లో నెయ్యి వేడి చేసి వెల్లుల్లి జోడించండి. వెల్లుల్లి లేత గోధుమరంగులోకి మారడం ప్రారంభించిన తర్వాత ఎర్ర మిరపకాయలు, ఆవాలు మరియు జీలకర్ర వేయండి. ఆవాలు చిమ్మినప్పుడు, చిటికెడు ఇంగువ వేయండి. ఇప్పుడు మంట ఆపేసి కరివేపాకు వేయాలి. దోసకాయ పప్పులో మసాలా పోసి బాగా కలపండి. దోసకాయ పప్పును వేడి వేడి అన్నంతో పాటు నెయ్యి చినుకులు కూడా వడ్డించండి. ఇది స్పైసీ పొటాటో రోస్ట్ రెసిపీ (ఉరులైకిజాంగు పొరియాల్) మరియు కరకరలాడే పాపడ్‌తో ఖచ్చితంగా జత చేస్తుంది.
</t>
  </si>
  <si>
    <t>https://www.archanaskitchen.com/dosakaya-pappu-recipe-andhra-style-yellow-cucumber-dal</t>
  </si>
  <si>
    <t>Andhra Style Kakarakaya Vepudu Recipe - Bitter Gourd Stir Fry</t>
  </si>
  <si>
    <t>ఆంధ్రా స్టైల్ కాకరకాయ వేపుడు రెసిపీ - కాకరకాయ వేపుడు</t>
  </si>
  <si>
    <t>300 గ్రాముల కరేలా (చేదు పొట్లకాయ/ పావక్కాయ) - చిన్న &amp; లేత, 2 టేబుల్ స్పూన్లు పెరుగు (దహీ / పెరుగు), 1/4 టీస్పూన్ పసుపు పొడి (హల్దీ), 1 టీస్పూన్ ఆవాలు, 1-1/2 టీస్పూన్ జీలకర్ర (జీరా), 2 ఎండు మిరపకాయలు, 1 ఉల్లిపాయ - సన్నగా తరుగు, 1 టీస్పూన్ ఎర్ర మిరియాలు, 6 టీస్పూన్లు పొడి, 1 టీస్పూన్ ఆమ్చూర్ (పొడి మామిడి పొడి), 1 టీస్పూన్ బెల్లం, కొత్తిమీర (ధనియా) ఆకులు - కొన్ని రెమ్మలు</t>
  </si>
  <si>
    <t>300 grams Karela (Bitter Gourd/ Pavakkai) - small &amp; tender,2 tablespoons Curd (Dahi / Yogurt),1/4 teaspoon Turmeric powder (Haldi),1 teaspoon Mustard seeds,1-1/2 teaspoon Cumin seeds (Jeera),2 Dry Red Chillies,1 Onion - thinly sliced,6 Garlic,1 sprig Curry leaves,1 teaspoon Red Chilli powder,1 teaspoon Amchur (Dry Mango Powder),1 teaspoon Jaggery,Coriander (Dhania) Leaves - few sprigs</t>
  </si>
  <si>
    <t xml:space="preserve">To begin making the Andhra Style Kakarakaya Vepudu Recipe, first cook the bitter gourd in a pressure cooker. Place the bitter gourd in the pressure cooker along with yoghurt, 2 tablespoons water, turmeric powder and some salt. Pressure cook until you hear just one whistle. After the first whistle turn off the heat.Open the pressure cooker once the pressure gets released (about 2 minutes) and keep the cooked Kakarakaya (bitter gourd) aside.Heat a tablespoon of oil in a wok or heavy bottomed pan over medium heat. Add mustard seeds, cumin seeds and dry red chillies and allow them to crackle and roasted.Once the chilies have roasted, add the sliced onion, garlic pods, curry leaves and sauté for 2 minutes until the onions have slightly softened.Add the cooked Kakarakaya (bitter gourd) and stir fry over medium heat for 8-10 minutes till the bitter gourd pieces start to turn brown and cooked softer.Once the Kakarakaya (bitter gourd) is cooked well, add the red chilli powder, amchur powder, jaggery and salt to taste. Continue to stir for another 2 to 3 minutes.Fry over high heat until you get a nice dark brown colour for 3 to 5 minutes.Finally add finely chopped coriander, mix well and turn off the heat.Serve the Andhra Style Kakarakaya Vepudu with hot rice and ghee (optional) or as a side dish for rice with Hyderabadi Khadi Masoor Ki Dal or Kerala Cheriya Ulli Sambar Recipe or Tomato Rasam. It also pairs well with roti or parathas.
</t>
  </si>
  <si>
    <t xml:space="preserve">ఆంధ్రా స్టైల్ కాకరకాయ వేపుడు రిసిపిని తయారు చేయడం ప్రారంభించడానికి, ముందుగా ప్రెజర్ కుక్కర్‌లో కాకరకాయను ఉడికించాలి. పెరుగు, 2 టేబుల్ స్పూన్ల నీరు, పసుపు మరియు కొంచెం ఉప్పుతో పాటు ప్రెజర్ కుక్కర్‌లో చేదును ఉంచండి. మీరు కేవలం ఒక విజిల్ వినబడే వరకు ప్రెషర్ కుక్ చేయండి. మొదటి విజిల్ తర్వాత వేడిని ఆపివేయండి. ప్రెజర్ విడుదలైన తర్వాత (సుమారు 2 నిమిషాలు) ప్రెజర్ కుక్కర్‌ని తెరిచి, ఉడికిన కాకరకాయ (చేదుకాయ)ను పక్కన పెట్టండి. ఒక టేబుల్ స్పూన్ నూనెను వోక్ లేదా బాటమ్ బాటమ్‌డ్ పాన్‌లో మీడియం వేడి మీద వేడి చేయండి. ఆవాలు, జీలకర్ర మరియు ఎండు మిరపకాయలు వేసి, వాటిని చిటపటలాడటానికి మరియు వేయించడానికి అనుమతించండి. మిరపకాయలు వేయించిన తర్వాత, ఉల్లిపాయ ముక్కలు, వెల్లుల్లిపాయలు, కరివేపాకులను వేసి ఉల్లిపాయలు కొద్దిగా మెత్తబడే వరకు 2 నిమిషాలు వేయించాలి. ఉడికిన కాకరకాయ (చేదు పొట్లకాయ) వేసి, మీడియం వేడెక్కే వరకు 8 నిమిషాలు వేయించాలి. గోధుమరంగు మరియు మెత్తగా వండుతారు. కాకరకాయ (చేదు పొట్లకాయ) బాగా ఉడికిన తర్వాత, ఎర్ర కారం, ఆమ్‌చూర్ పొడి, బెల్లం మరియు రుచికి ఉప్పు వేయండి. మరో 2 నుండి 3 నిమిషాలు కదిలించడం కొనసాగించండి. మీరు 3 నుండి 5 నిమిషాలు చక్కగా ముదురు గోధుమరంగు రంగు వచ్చేవరకు అధిక వేడి మీద వేయించాలి. చివరగా సన్నగా తరిగిన కొత్తిమీర వేసి, బాగా కలపండి మరియు వేడిని ఆపివేయండి. ఆంధ్రా స్టైల్ కాకరకాయ వేపుడు వేడి అన్నం మరియు నెయ్యితో (ఐచ్ఛికం) లేదా సమ్‌బార్ కిరియాల్ ఖాదీ హైదరాబాద్‌తో పాటు రైస్‌కి సైడ్ డిష్‌గా వడ్డించండి. రెసిపీ లేదా టొమాటో రసం. ఇది రోటీ లేదా పరాఠాలతో కూడా బాగా జత చేస్తుంది.
</t>
  </si>
  <si>
    <t>http://www.archanaskitchen.com/andhra-style-kakarakaya-vepudu-recipe-bitter-gourd-stir-fry</t>
  </si>
  <si>
    <t>Andhra Style Pappu Urumindi Recipe</t>
  </si>
  <si>
    <t>ఆంధ్రా స్టైల్ పప్పు ఉరుమిండి రిసిపి</t>
  </si>
  <si>
    <t>1/2 కప్పు చనా పప్పు (బెంగాల్ పప్పు), 1/4 కప్పు తెల్ల ఉరద్ పప్పు (స్ప్లిట్), 1/2 టీస్పూన్ పసుపు పొడి (హల్దీ), ఉప్పు - రుచికి, 3 ఎండు మిరపకాయలు, 1 టీస్పూన్ కొత్తిమీర (ధనియా) గింజలు, 1/2 టీస్పూన్ జీలకర్ర (జీరా), 1/4 టీస్పూన్ మెంతి గింజలు (జీరా), 1/4 టీస్పూన్ మెంతి గింజలు (కోప్రా), 1 టీస్పూన్ ఆవాలు, 1 టీస్పూన్ జీలకర్ర (జీరా), 1 రెమ్మ కరివేపాకు, పొద్దుతిరుగుడు నూనె</t>
  </si>
  <si>
    <t>1/2 cup Chana dal (Bengal Gram Dal),1/4 cup White Urad Dal (Split),1/2 teaspoon Turmeric powder (Haldi),Salt - to taste,3 Dry Red Chillies,1 teaspoon Coriander (Dhania) Seeds,1/2 teaspoon Cumin seeds (Jeera),1/4 teaspoon Methi Seeds (Fenugreek Seeds),5 grams Tamarind,2 tablespoon Dry coconut (kopra),1 teaspoon Mustard seeds,1 teaspoon Cumin seeds (Jeera),1 sprig Curry leaves,Sunflower Oil</t>
  </si>
  <si>
    <t xml:space="preserve">To begin making the Andhra Style Pappu Urumindi Recipe, pressure cook the chana dal and urad dal in the pressure cooker with little salt, turmeric powder and cook for about 6 whistle.Cook until it becomes mushy and soft. Switch off the heat and allow the pressure to release naturally.Dry roast the coriander seeds, cumin seeds, fenugreek seeds separately and grind it along with coconut and tamarind. Add little water and grind it to a smooth paste.Open the pressure cooker and keep it back on the stove. Add ground coconut paste and mix well. Add salt to taste and keep stirring until it thickens.Pour the dal into a serving bowl. Heat up a small tempering pan with oil, allow the mustard seeds and cumin seeds to crackle. Add curry leaves and allow it to splutter.Serve the Andhra Style Pappu Urumindi Recipe along with Methi Matar Pulao, Andhra Style Corn Vada to pair it up with the dal to make it a complete meal.
</t>
  </si>
  <si>
    <t xml:space="preserve">ఆంధ్రా స్టైల్ పప్పు ఉరుమిండి రిసిపిని తయారు చేయడం ప్రారంభించడానికి, ప్రెషర్ కుక్కర్‌లో ప్రెజర్ కుక్కర్‌లో కొద్దిగా ఉప్పు, పసుపు పొడి వేసి సుమారు 6 విజిల్‌ల వరకు ఉడికించాలి.ఇది మెత్తగా మరియు మెత్తబడే వరకు ఉడికించాలి. వేడిని ఆపివేయండి మరియు ఒత్తిడిని సహజంగా విడుదల చేయడానికి అనుమతించండి. కొత్తిమీర గింజలు, జీలకర్ర గింజలు, మెంతులు విడివిడిగా వేయించి, కొబ్బరి మరియు చింతపండుతో కలిపి మెత్తగా రుబ్బుకోవాలి. కొద్దిగా నీరు వేసి మెత్తగా పేస్ట్‌గా రుబ్బుకోవాలి. ప్రెషర్ కుక్కర్‌ని తెరిచి స్టవ్‌పై మళ్లీ ఉంచండి. రుబ్బిన కొబ్బరి పేస్ట్ వేసి బాగా కలపాలి. రుచికి ఉప్పు వేసి, అది చిక్కబడే వరకు కలుపుతూ ఉండండి. పప్పును సర్వింగ్ బౌల్‌లో పోయాలి. నూనెతో చిన్న టెంపరింగ్ పాన్‌ను వేడి చేయండి, ఆవాలు మరియు జీలకర్ర పగిలిపోయేలా చేయండి. కరివేపాకు వేసి, అది చిందరవందరగా మారడానికి అనుమతించండి. ఆంధ్రా స్టైల్ పప్పు ఉరుమిండి రిసిపిని మేతి మటర్ పులావ్, ఆంధ్రా స్టైల్ కార్న్ వడ తో పాటు పప్పుతో జత చేసి పూర్తి భోజనంగా చేయండి.
</t>
  </si>
  <si>
    <t>https://www.archanaskitchen.com/andhra-style-pappu-urumindi-recipe</t>
  </si>
  <si>
    <t>Panasa Pottu Pappu Koora Recipe - Jackfruit &amp; Dal Curry</t>
  </si>
  <si>
    <t>పనస పొట్టు పప్పు కూర రెసిపీ - జాక్‌ఫ్రూట్ &amp; డాల్ కర్రీ</t>
  </si>
  <si>
    <t>300 గ్రాముల జాక్‌ఫ్రూట్ పచ్చి (కథల్) - తురిమిన, 1/2 కప్పు ఎల్లో మూంగ్ డాల్ (స్ప్లిట్), 1 టీస్పూన్ సన్‌ఫ్లవర్ ఆయిల్, 1 టీస్పూన్ బ్లాక్ ఉరద్ పప్పు (స్ప్లిట్), 1/2 టీస్పూన్ జీలకర్ర (జీరా), 1/2 టీస్పూన్ ఆవాలు, 2 ఎండు మిరపకాయలు, 1/4 టీస్పూన్ ఇంగువ, 1/4 టీస్పూన్ ఇంగువ, పసుపు పొడి (హల్దీ), ఉప్పు - రుచికి</t>
  </si>
  <si>
    <t>300 grams Jackfruit Raw (Kathal) - shredded,1/2 cup Yellow Moong Dal (Split),1 teaspoon Sunflower Oil,1 teaspoon Black Urad Dal (Split),1/2 teaspoon Cumin seeds (Jeera),1/2 teaspoon Mustard seeds,2 Dry Red Chillies,1/4 teaspoon Asafoetida (hing),1 sprig Curry leaves,1/4 teaspoon Turmeric powder (Haldi),Salt - to taste</t>
  </si>
  <si>
    <t xml:space="preserve">To begin making the Panasa Pottu Pappu Koora Recipe, wash and soak the moong dal in water and set aside. Next let us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3 whistles and turn off the heat.Allow the pressure to release naturally. Drain any water from the jackfruit. Shred the jackfruit pieces lengthwise and set aside.The next step is to cook the moong dal. Into the pressure cooker,add the soaked moong dal along with 1/2 cup of water. Add some salt and turmeric powder to the moong dal and pressure cook for 3 whistles and turn off the heat. The moong dal should be be cooked yet separated.For the tempering of the Panasa Pottu Pappu Koora Recipe , heat oil in a pan,on medium flame, add the split urad dal until it turns into a golden brown colour.Next, add cumin seeds, mustard seeds and allow them to crackle. This will take about 30 seconds.Once they crackle, add the red chillies, asafoetida, curry leaves and fry till you get nice aroma. Turn off the heat. In a kadai, add the cooked and shredded jackfruit, moong dal and mix everything well. Add salt, cover and cook for 2 to 3 minutes on low fame. After 2-3 minutes, turn off the heat and add the prepared tempering. Stir well to combine it into the koora. Check the salt and spices and adjust accordingly.Once done, turn off the heat and transfer the Panasa Pottu Pappu Koora to a serving bowl and serve hot.Serve this Panasa Pottu Pappu Koora along with Steamed Rice and Andhra Style Pappu Urumindi Recipe or Aava Pettina Majjiga Pulusu Recipe for a complete meal. For an Indian Diabetic meal, serve this Panasa Pottu Pappu Koora Recipe along with Brown Rice in Pressure Cooker Method and Andhra Style Palakura Pappu Recipe and Mooli Raita Recipe for a complete meal. 
</t>
  </si>
  <si>
    <t xml:space="preserve">పనస పొట్టు పప్పు కూర రెసిపీని తయారు చేయడం ప్రారంభించడానికి, మూంగ్ పప్పును కడిగి, నీటిలో నానబెట్టి పక్కన పెట్టండి. తరువాత మనం పచ్చి జాక్‌ఫ్రూట్‌ను కట్ చేద్దాం. అలా చేయాలంటే ముందుగా మన చేతులు మరియు మనం ఉపయోగించబోయే కత్తిని కొద్దిగా నూనెతో గ్రీజు వేయాలి. ఈ ముఖ్యమైన చిట్కా, పండ్లలో ఉండే సహజ పండ్ల రబ్బరు పాలు/రసం మీ చేతుల్లోకి రాకుండా మరియు కోత ప్రక్రియను ఇబ్బంది లేకుండా చేస్తుంది. పండు యొక్క రంగు మారకుండా ఉండటానికి కట్ పచ్చి జాక్‌ఫ్రూట్ ముక్కలను వేయడానికి కొద్దిగా ఉప్పు కలిపిన ఒక గిన్నెలో ఉంచండి. ఇప్పుడు మీ చేతులు మరియు కత్తికి బాగా నూనె రాసి, జాక్‌ఫ్రూట్‌ను సగానికి కట్ చేసి, చర్మాన్ని విస్మరించి, 1 అంగుళం ముక్కలను తయారు చేయడం ప్రారంభించండి. వాటిని ఉప్పు నీటిలో నానబెట్టండి. వేడిని తగ్గించండి. ఒత్తిడిని సహజంగా విడుదల చేయడానికి అనుమతించండి. జాక్‌ఫ్రూట్ నుండి ఏదైనా నీటిని తీసివేయండి. జాక్‌ఫ్రూట్ ముక్కలను పొడవుగా ముక్కలు చేసి పక్కన పెట్టండి. తదుపరి దశ మూంగ్ పప్పును ఉడికించాలి. ప్రెషర్ కుక్కర్‌లో, 1/2 కప్పు నీళ్లతో పాటు నానబెట్టిన మూంగ్ పప్పును జోడించండి. మూంగ్ పప్పులో కొంచెం ఉప్పు మరియు పసుపు వేసి 3 విజిల్స్ వచ్చే వరకు ప్రెషర్ ఉడికించి, వేడిని ఆపివేయండి. మూంగ్ పప్పును ఇంకా వేరు చేసి ఉడికించాలి. పనస పొట్టు పప్పు కూర రెసిపీ టెంపరింగ్ కోసం, ఒక పాన్‌లో నూనె వేడి చేసి, మీడియం మంట మీద, స్ప్లిట్ ఉరద్ పప్పును బంగారు గోధుమ రంగులోకి వచ్చే వరకు జోడించండి. తర్వాత, జీలకర్ర, ఆవాలు వేసి వాటిని పగులగొట్టడానికి అనుమతించండి. ఇది సుమారు 30 సెకన్లు పడుతుంది. అవి పగిలిన తర్వాత, ఎర్ర మిరపకాయలు, ఇంగువ, కరివేపాకు వేసి, మీకు మంచి వాసన వచ్చేవరకు వేయించాలి. వేడిని ఆపివేయండి. కడాయిలో, ఉడికిన మరియు తురిమిన జాక్‌ఫ్రూట్, మూంగ్ పప్పు వేసి అన్నింటినీ బాగా కలపాలి. ఉప్పు వేసి, మూతపెట్టి, తక్కువ ఫేమ్ మీద 2 నుండి 3 నిమిషాలు ఉడికించాలి. 2-3 నిమిషాల తర్వాత, వేడిని ఆపివేసి, సిద్ధం చేసిన టెంపరింగ్ జోడించండి. కూరాలో కలపడానికి బాగా కదిలించు. ఉప్పు మరియు మసాలా దినుసులు సరిచూసుకుని, తదనుగుణంగా సర్దుబాటు చేయండి. పూర్తయిన తర్వాత, వేడిని ఆపివేసి, పనస పొట్టు పప్పు కూరను సర్వింగ్ బౌల్‌లోకి బదిలీ చేసి, వేడిగా వడ్డించండి. ఈ పనస పొట్టు పప్పు కూర తో పాటు ఆంధ్రా స్టైల్ పప్పు కూర తో పాటు ఆంధ్రా స్టైల్ పప్పు కూర తో పాటుగా ఆంధ్రా స్టైల్ పప్పు ఉరుమింది వంటకం లేదా మజ్జి ఆవా వంటకం పూర్తి చేయండి. భారతీయ డయాబెటిక్ భోజనం కోసం, ఈ పనస పొట్టు పప్పు కూర రెసిపీతో పాటు బ్రౌన్ రైస్ ఇన్ ప్రెజర్ కుక్కర్ మెథడ్ మరియు ఆంధ్రా స్టైల్ పాలకూర పప్పు రిసిపి మరియు మూలి రైటా రిసిపిని పూర్తి భోజనం కోసం అందించండి. 
</t>
  </si>
  <si>
    <t>http://www.archanaskitchen.com/panasa-pottu-pappu-koora-recipe-raw-jackfruit-moong-dal-curry</t>
  </si>
  <si>
    <t>Andhra Pepper Chicken Recipe</t>
  </si>
  <si>
    <t>ఆంధ్రా పెప్పర్ చికెన్ రిసిపి</t>
  </si>
  <si>
    <t>500 గ్రాముల చికెన్ - ఎముకలతో ముక్కలుగా తరిగి, 1 ఉల్లిపాయ - తరిగిన, 2 టేబుల్ స్పూన్లు వెల్లుల్లి - మెత్తగా, 2 టీస్పూన్లు అల్లం - తురిమిన, 3 పచ్చిమిర్చి - తరిగిన, ఉప్పు - రుచికి 2 టేబుల్ స్పూన్లు, నిమ్మరసం - (మరియు 1 టీస్పూన్ ఎక్కువ), 12 కరివేపాకు, 2 టీస్పూన్ ధనియాల పొడి), 1 టీస్పూన్ ధనియాల పొడి (2 టీస్పూన్లు ధనియాల పొడి), (హల్దీ), సన్‌ఫ్లవర్ ఆయిల్ - వండడానికి, 2-1/2 టేబుల్‌స్పూన్లు మొత్తం నల్ల మిరియాలు - తాజాగా మెత్తగా, 1/2 కప్పు కొత్తిమీర (ధనియా) ఆకులు - తరిగినవి</t>
  </si>
  <si>
    <t>500 grams Chicken - chopped to cubes with bone,1 Onion - chopped,2 tablespoons Garlic - minced,2 teaspoons Ginger - grated,3 Green Chillies - chopped,Salt - to taste,2 tablespoons Lemon juice - (and 1 teaspoon more),12 Curry leaves,2 teaspoons Coriander Powder (Dhania),1/2 teaspoon Turmeric powder (Haldi),Sunflower Oil - to cook,2-1/2 tablespoons Whole Black Peppercorns - freshly crushed,1/2 cup Coriander (Dhania) Leaves - chopped</t>
  </si>
  <si>
    <t xml:space="preserve">To begin making Andhra Pepper Chicken Recipe, take a big bowl and marinate the chicken pieces with turmeric powder, ginger garlic paste,  salt and lemon juice, mix and keep refrigerated for 30 minutes.Heat oil in a deep frying pan, once the oil is hot, temper the oil with cinnamon stick, cloves and 3/4 portion of curry leaves and saute it for about 30 seconds.After 30 seconds, add the chopped onions and saute till they turn golden and start to caramelize.Once the onions are starting to brown, immediately add chopped green chillies and marinated chicken, saute for about 2 minutes. Add coriander powder and crushed pepper, mix well and cook on low flame until the curry comes together from sides of the pan. Stirring, intermittently sprinkle water as and when required. This will take about 4 to 5 minutes.Add about 1/4 cup water, once water starts boiling, reduce the heat and cover. Cook until the chicken is tender and cooked. Once the chicken is soft cooked, open the lid and stir on medium heat till the moisture evaporates .Sprinkle chopped 3/4 cup of coriander and cook for 2 minutes.Before serving garnish with 1 teaspoon crushed pepper, 1 teaspoon lemon juice and remaining coriander leaves.Serve Andhra Pepper Chicken Recipe along with Tawa Paratha Recipe, steamed rice and Andhra Style Pappu Charu Recipe (Lentil Soup Style Curry) for lunch.
</t>
  </si>
  <si>
    <t xml:space="preserve">ఆంధ్రా పెప్పర్ చికెన్ రిసిపిని తయారు చేయడం ప్రారంభించడానికి, ఒక పెద్ద గిన్నె తీసుకొని చికెన్ ముక్కలను పసుపు పొడి, అల్లం వెల్లుల్లి పేస్ట్,  ఉప్పు మరియు నిమ్మరసంతో మ్యారినేట్ చేసి, మిక్స్ చేసి 30 నిమిషాలు ఫ్రిజ్‌లో ఉంచండి. డీప్ ఫ్రైయింగ్ పాన్‌లో నూనె వేడి చేసి, నూనె వేడి అయ్యాక, దాల్చిన చెక్క, 3 లవంగాలు మరియు 3 లవంగాలు, 3 లవంగాలు మరియు 3 లవంగాలు వేసి నూనె వేయండి. సెకన్లు. 30 సెకన్ల తర్వాత, తరిగిన ఉల్లిపాయలను వేసి బంగారు రంగులోకి మారే వరకు వేయించాలి మరియు పాకంలోకి మారడం ప్రారంభించండి. ఉల్లిపాయలు గోధుమ రంగులోకి మారడం ప్రారంభించిన తర్వాత, వెంటనే తరిగిన పచ్చిమిర్చి మరియు మ్యారినేట్ చేసిన చికెన్ వేసి, సుమారు 2 నిమిషాలు వేయించాలి. కొత్తిమీర పొడి మరియు దంచిన మిరియాలు వేసి, బాగా మిక్స్ చేసి, పాన్ వైపులా నుండి కూర కలిసే వరకు తక్కువ మంట మీద ఉడికించాలి. కదిలించు, అడపాదడపా మరియు అవసరమైనప్పుడు నీటిని చిలకరించాలి. ఇది సుమారు 4 నుండి 5 నిమిషాలు పడుతుంది. సుమారు 1/4 కప్పు నీరు జోడించండి, నీరు మరిగడం ప్రారంభించిన తర్వాత, వేడిని తగ్గించి మూతపెట్టండి. చికెన్ మృదువుగా మరియు ఉడికినంత వరకు ఉడికించాలి. చికెన్ మెత్తగా ఉడికిన తర్వాత, మూత తెరిచి, తేమ ఆవిరైపోయే వరకు మీడియం వేడి మీద కదిలించండి. తరిగిన 3/4 కప్పు కొత్తిమీర చల్లి 2 నిమిషాలు ఉడికించాలి. సర్వ్ చేసే ముందు 1 టీస్పూన్ మెత్తగా తరిగిన మిరియాలు, 1 టీస్పూన్ నిమ్మరసం మరియు మిగిలిన కొత్తిమీర ఆకులతో అలంకరించండి. పారావాస్ట్ చికెన్, పారావాస్ట్ రీసిపీతో పాటు ఆంధ్రా పెప్పర్ తో సర్వ్ చేయండి. అన్నం మరియు ఆంధ్రా స్టైల్ పప్పు చారు రెసిపీ (లెంటిల్ సూప్ స్టైల్ కర్రీ) భోజనం కోసం.
</t>
  </si>
  <si>
    <t>http://www.archanaskitchen.com/andhra-pepper-chicken-recipe</t>
  </si>
  <si>
    <t>Andhra Dondakaya Chutney Recipe - Tindora Chutney</t>
  </si>
  <si>
    <t>ఆంధ్రా దొండకాయ చట్నీ రిసిపి - టిండోరా చట్నీ</t>
  </si>
  <si>
    <t>250 గ్రాముల తిండోరా (దొండకాయ/ కోవక్కై) - గుండ్రంగా ముక్కలు, 3 పచ్చిమిర్చి, 3 ఎండు మిరపకాయలు, 20 గ్రాములు చింతపండు, 1 టీస్పూన్ జీలకర్ర (జీరా), 1 టీస్పూన్ చనా పప్పు (బెంగాల్ పప్పు), 1 టీస్పూన్ తెల్ల ఉరద్ పప్పు (విడదీయండి), 1 టీస్పూన్ శనగపప్పు - 4 టేబుల్ స్పూన్లు తరిగిన, 4 లవంగాలు వెల్లుల్లి, 2 టేబుల్ స్పూన్లు సన్ ఫ్లవర్ ఆయిల్, ఉప్పు - రుచికి, 1 టేబుల్ స్పూన్ సన్ ఫ్లవర్ ఆయిల్, 3 ఎండు మిరపకాయలు, 1 రెమ్మ కరివేపాకు, 1/2 టీస్పూన్ ఆవాలు</t>
  </si>
  <si>
    <t>250 grams Tindora (Dondakaya/ Kovakkai) - sliced into rounds,3 Green Chillies,3 Dry Red Chillies,20 grams Tamarind,1 teaspoon Cumin seeds (Jeera),1 teaspoon Chana dal (Bengal Gram Dal),1 teaspoon White Urad Dal (Split),1 tablespoon Peanuts,4 sprig Coriander (Dhania) Leaves - chopped,4 cloves Garlic,2 tablespoons Sunflower Oil,Salt - to taste,1 tablespoon Sunflower Oil,3 Dry Red Chillies,1 sprig Curry leaves,1/2 teaspoon Mustard seeds</t>
  </si>
  <si>
    <t xml:space="preserve">To begin making Andhra Dondakaya Chutney Recipe, prep all the ingredient and keep them ready.Heat oil in a deep pan over medium heat;  once the oil has preheated add cumin seeds, urad dal, chana dal, red chilies and saute for 3 minutes until the dals have browned.In the same pan add little more oil; add the chopped Dondakaya pieces and saute till they are cooked for about 8-10 minutes. Turn off the heat and allow to cool.Grind all the above roasted ingredients and the cooked Dondakaya to a coarse paste along with tamarind, salt, green chillies, garlic and coriander leaves.Add 1 to 2 tablespoons of water, if required and make a smooth Dondakaya chutney. Transfer the Dondakaya Chutney to a serving bowl. Check the salt and adjust according to taste.For tempering; preheat oil in a small pan; add mustard seeds, dry red chilies, curry leaves and saute for few seconds until the mustard seeds crackle. Turn off the heat and spoon over the Dondakaya chutney. Serve this Andhra Dondakaya Chutney to spice up a South Indian thali meal of Mixed Vegetable Sambar, Carrot And Beans Poriyal Recipe, Steamed Rice and Kuzhal Payasam..
</t>
  </si>
  <si>
    <t xml:space="preserve">ఆంధ్రా దొండకాయ చట్నీ రెసిపీని తయారు చేయడం ప్రారంభించడానికి, అన్ని పదార్ధాలను సిద్ధం చేసి, వాటిని సిద్ధంగా ఉంచండి. మీడియం వేడి మీద లోతైన పాన్‌లో నూనెను వేడి చేయండి;  నూనె వేడెక్కిన తర్వాత జీలకర్ర గింజలు, ఉరద్ పప్పు, చనా పప్పు, ఎర్ర మిరపకాయలు వేసి, పప్పులు బ్రౌన్ అయ్యే వరకు 3 నిమిషాలు వేయించాలి. అదే పాన్‌లో కొంచెం ఎక్కువ నూనె వేయండి; తరిగిన దొండకాయ ముక్కలను వేసి సుమారు 8-10 నిమిషాలు ఉడికినంత వరకు వేయించాలి. వేడిని ఆపివేసి, చల్లబరచడానికి అనుమతించండి. పైన వేయించిన పదార్థాలన్నింటినీ మరియు వండిన దొండకాయను చింతపండు, ఉప్పు, పచ్చిమిర్చి, వెల్లుల్లి మరియు కొత్తిమీర ఆకులతో కలిపి ముతక పేస్ట్‌గా గ్రైండ్ చేయండి. అవసరమైతే 1 నుండి 2 టేబుల్ స్పూన్ల నీరు వేసి, మృదువైన దొండకాయ చట్నీని తయారు చేయండి. దొండకాయ చట్నీని సర్వింగ్ బౌల్‌లోకి మార్చండి. ఉప్పును తనిఖీ చేయండి మరియు రుచికి అనుగుణంగా సర్దుబాటు చేయండి. టెంపరింగ్ కోసం; ఒక చిన్న పాన్లో నూనెను వేడి చేయండి; ఆవాలు, ఎండు మిరపకాయలు, కరివేపాకు వేసి, ఆవాలు పగిలిపోయే వరకు కొన్ని సెకన్ల పాటు వేయించాలి. వేడిని ఆపి, దొండకాయ చట్నీపై చెంచా వేయండి. మిక్స్‌డ్ వెజిటబుల్ సాంబార్, క్యారెట్ మరియు బీన్స్ పొరియాల్ రెసిపీ, స్టీమ్డ్ రైస్ మరియు కుజల్ పాయసంతో కూడిన సౌత్ ఇండియన్ థాలీ మీల్‌ను మసాలాగా చేయడానికి ఈ ఆంధ్రా దొండకాయ చట్నీని సర్వ్ చేయండి..
</t>
  </si>
  <si>
    <t>https://www.archanaskitchen.com/andhra-dondakaya-chutney-recipe-tindora-chutney</t>
  </si>
  <si>
    <t>Andhra Avakaya Recipe - Spicy Raw Mango Pickle Recipe</t>
  </si>
  <si>
    <t>ఆంధ్రా ఆవకాయ రెసిపీ - స్పైసీ పచ్చి మామిడికాయ పచ్చడి రెసిపీ</t>
  </si>
  <si>
    <t>6 కప్పులు మామిడి (ముడి) - పెద్ద ముక్కలుగా తరిగిన, 1 కప్పు ఆవాలు - పొడి, 2 టేబుల్ స్పూన్లు మెంతి గింజలు (మెంతి గింజలు) - పొడి, 2 కప్పులు ఎర్ర కారం పొడి - (సర్దుబాటు), 1 కప్పు ఉప్పు, 30 లవంగాలు వెల్లుల్లి, 3 కప్పులు శొంఠి నూనె</t>
  </si>
  <si>
    <t>6 cups Mango (Raw) - chopped into big chunks,1 cup Mustard seeds - powdered,2 tablespoons Methi Seeds (Fenugreek Seeds) - powdered,2 cups Red Chilli powder - (adjust),1 cup Salt,30 cloves Garlic,3 cups Gingelly oil</t>
  </si>
  <si>
    <t xml:space="preserve">To begin with the Mango Avakaya pickle recipe, firstly take the chopped mango pieces in a big bowl, add in mustard seeds powder, fenugreek seeds powder, red chili powder and salt.Combine well and add 2 cups of oil. Mix all the ingredients very well using your hand.Once it is mixed properly, add in the garlic cloves. Combine and transfer this Mango Avakaya pickle to a pickle jar.Add 1 cup of oil on top and tightly close the lid and tie a clean and dry cloth over the lid and leave the Mango Avakaya pickle in a moisture free kitchen area.After 3 days remove the cloth and using a clean and dry ladle stir in the Mango Avakaya pickle. Taste the pickle and if required add few spoons of salt and oil.Always remember retain a thin layer of oil on top of the pickle, otherwise the Mango Avakaya pickle will get dry and spoil.Again cover with a lid and tie a cloth tightly around the neck of the jar and leave the Mango Avakaya pickle to rest for another 2-3 days.After 7-8 days the Mango Avakaya pickle is ready to eat, use a clean and dry ladle and mix the pickle thoroughly up and down to ensure the oil is evenly spread and masalas are nicely mixed.Serve Mango Avakaya pickle with Dal Palak, steamed rice and Elai Vadam for a comfort meal.
</t>
  </si>
  <si>
    <t xml:space="preserve">మామిడి ఆవకాయ ఊరగాయ రెసిపీతో ప్రారంభించడానికి, ముందుగా ఒక పెద్ద గిన్నెలో తరిగిన మామిడికాయ ముక్కలను తీసుకుని, అందులో ఆవాల పొడి, మెంతి గింజల పొడి, ఎర్ర మిరపకాయ పొడి మరియు ఉప్పు వేయండి. బాగా కలపండి మరియు 2 కప్పుల నూనె వేయండి. మీ చేతిని ఉపయోగించి అన్ని పదార్ధాలను బాగా కలపండి. అది సరిగ్గా కలిపిన తర్వాత, వెల్లుల్లి రెబ్బలను జోడించండి. ఈ మామిడి ఆవకాయ ఊరగాయను కలిపి, ఒక ఊరగాయ జార్‌లోకి మార్చండి. పైన 1 కప్పు నూనె వేసి, మూత గట్టిగా మూసివేసి, మూతపై శుభ్రమైన మరియు పొడి గుడ్డను కట్టి, తేమ లేని వంటగది ప్రాంతంలో మామిడి ఆవకాయ ఊరగాయను వదిలివేయండి. 3 రోజుల తర్వాత గుడ్డను తీసివేసి, శుభ్రమైన మరియు పొడి గరిటెని ఉపయోగించి మామిడి ఆవకాయ ఊరగాయను కలపండి. ఊరగాయను రుచి చూసి, అవసరమైతే కొన్ని చెంచాల ఉప్పు మరియు నూనె వేయండి. ఎల్లప్పుడూ గుర్తుంచుకోండి, ఊరగాయ పైన పలుచని నూనెను ఉంచండి, లేకుంటే మామిడి ఆవకాయ ఊరగాయ పొడిగా మరియు పాడైపోతుంది. మళ్లీ మూతతో కప్పి, కూజా మెడకు గట్టిగా గుడ్డను కట్టి, మామిడికాయ ఆవకాయను మరో 8 రోజులు వదిలివేయండి. ఊరగాయ తినడానికి సిద్ధంగా ఉంది, శుభ్రంగా మరియు పొడి గరిటెని ఉపయోగించండి మరియు నూనె సమానంగా వ్యాప్తి చెందుతుందని మరియు మసాలాలు చక్కగా మిక్స్‌గా ఉన్నాయని నిర్ధారించుకోవడానికి ఊరగాయను పూర్తిగా పైకి క్రిందికి కలపండి. మామిడి ఆవకాయ ఊరగాయను దాల్ పాలక్, ఉడికించిన అన్నం మరియు ఎలాయ్ వడమ్‌తో అందించండి.
</t>
  </si>
  <si>
    <t>http://www.archanaskitchen.com/mango-pickle-andhra-avakaya-recipe</t>
  </si>
  <si>
    <t>Gutti Dondakaya Vepudu Recipe - Andhra Style Stuffed Ivy Gourds</t>
  </si>
  <si>
    <t>గుత్తి దొండకాయ వేపుడు రెసిపీ - ఆంధ్రా స్టైల్ స్టఫ్డ్ ఐవీ పొట్లకాయ</t>
  </si>
  <si>
    <t>500 గ్రాములు తిండోరా (దొండకాయ/ కోవక్కై) - పొడవు వారీగా చీలిక, 1 ఉల్లిపాయ - సన్నగా తరిగినవి, 1 టీస్పూన్ ఆవాలు, 1/2 టీస్పూన్ జీలకర్ర (జీరా), 2 ఎండు మిరపకాయలు, ఇంగువ (హింగ్) - చిటికెడు, 1 రెమ్మ కరివేపాకు - 2 టేబుల్ స్పూన్లు పొద్దుతిరుగుడు, 2 టేబుల్ స్పూన్లు పొద్దుతిరుగుడు (స్ప్లిట్), 4 టేబుల్ స్పూన్లు పచ్చి వేరుశెనగ (మూంగ్‌ఫాలి), 2 టేబుల్ స్పూన్లు కొత్తిమీర (ధనియా) విత్తనాలు, 2 టేబుల్ స్పూన్లు నువ్వులు (టిల్ గింజలు), 4 ఎండు మిరపకాయలు, 1 టీస్పూన్ సన్‌ఫ్లవర్ ఆయిల్</t>
  </si>
  <si>
    <t>500 grams Tindora (Dondakaya/ Kovakkai) - slit length wise,1 Onion - thinly sliced,1 teaspoon Mustard seeds,1/2 teaspoon Cumin seeds (Jeera),2 Dry Red Chillies,Asafoetida (hing) - a pinch,1 sprig Curry leaves,2 tablespoons Sunflower Oil,Salt - to taste,2 tablespoons White Urad Dal (Split),4 tablespoons Raw Peanuts (Moongphali),2 tablespoons Coriander (Dhania) Seeds,2 tablespoons Sesame seeds (Til seeds),4 Dry Red Chillies,1 teaspoon Sunflower Oil</t>
  </si>
  <si>
    <t xml:space="preserve">To begin making Gutti Dondakaya Vepudu Recipe, wash, drain and wipe the Ivy Gourds dry with a kitchen towel.Now make a long cross slit on each Ivy Gourd length wise, keeping the base and shape of each ivy gourd intact and keep aside.Heat oil in a pan on medium flame, add the dried red chillies, urad dal and fry them until it gets golden brown in colour. Remove and keep it aside in a plate.In the same pan, dry roast peanuts, coriander seeds and sesame seeds one by one until it turns fragrant and keep aside.Once the roasted ingredients are cool, grind them together with some salt using a mixer grinder to a course mix.Now, fill the slit ivy gourds with the roasted course mix and keep aside.Heat oil in a wide pan on medium flame, add the mustard seeds, cumin seeds and let it crackle. Add the asafoetida, curry leaves and red chillies and let it splutter.Once it splutters, add the sliced onions and saute until it becomes slight brown.Add the stuffed ivy gourds to the pan, gently stir and cook with the lid on keeping the heat low.After a few minutes, gently turn the sides of the ivy gourds, season with salt and let it cook further for another 5 minutes with the lid on.Once the ivy gourds are cooked till crunchy texture, switch off the flame.Serve the Gutti Dondakaya Vepudu Recipe along with Steamed Rice and Andhra Style Pappu Charu Recipe for the weeknight dinner.
</t>
  </si>
  <si>
    <t xml:space="preserve">గుత్తి దొండకాయ వేపుడు రెసిపీని తయారు చేయడం ప్రారంభించడానికి, ఐవీ పొట్లకాయలను కిచెన్ టవల్‌తో కడిగి, వడకట్టండి మరియు తుడవండి. ఇప్పుడు ప్రతి ఐవీ పొట్లకాయ పొడవు వారీగా పొడవాటి క్రాస్ స్లిట్ చేయండి, ప్రతి ఐవీ పొట్లకాయ యొక్క ఆధారాన్ని మరియు ఆకారాన్ని అలాగే ఉంచి పక్కన పెట్టండి. మీడియం మంటపై పాన్‌లో నూనె వేడి చేసి, ఎర్రగా ఎర్రగా మారే వరకు వాటిని జోడించండి. రంగు. తీసి ఒక ప్లేట్‌లో పక్కన పెట్టండి.అదే పాన్‌లో వేరుశెనగ, కొత్తిమీర, నువ్వులను ఒక్కొక్కటిగా వేయించి, సువాసన వచ్చేవరకు వేయించి పక్కన పెట్టుకోవాలి. వేయించిన పదార్థాలు చల్లారిన తర్వాత, మిక్సర్ గ్రైండర్‌ని ఉపయోగించి కొంచెం ఉప్పుతో కలిపి మెత్తగా రుబ్బుకోవాలి. ఆవాలు, జీలకర్ర వేసి చిటపటలాడనివ్వండి. ఇంగువ, కరివేపాకు మరియు ఎర్ర మిరపకాయలు వేసి చిటపటలాడనివ్వండి. అది చిలకరించిన తర్వాత, ఉల్లిపాయ ముక్కలు వేసి కొద్దిగా బ్రౌన్ రంగులోకి వచ్చేవరకు వేయించాలి. స్టఫ్డ్ ఐవీ పొట్లకాయలను పాన్లో వేసి, మెత్తగా కదిలించు మరియు వేడిని తక్కువగా ఉంచి మూతతో ఉడికించాలి. మూత పెట్టి మరో 5 నిమిషాలు ఉడికించాలి. ఐవీ పొట్లకాయలు కరకరలాడే వరకు ఉడికిన తర్వాత, మంటను ఆపివేయండి. గుత్తి దొండకాయ వేపుడు రెసిపీతో పాటు స్టీమ్డ్ రైస్ మరియు ఆంధ్రా స్టైల్ పప్పు చారు రెసిపీని వారం రాత్రి డిన్నర్‌లో అందించండి.
</t>
  </si>
  <si>
    <t>http://www.archanaskitchen.com/gutti-dondakaya-vepudu-recipe-andhra-style-stuffed-ivy-gourds</t>
  </si>
  <si>
    <t>Oats Pesarattu Recipe - Oatmeal &amp; Green Gram Crepes</t>
  </si>
  <si>
    <t>ఓట్స్ పెసరట్టు రెసిపీ - ఓట్ మీల్ &amp; గ్రీన్ గ్రామ్ క్రేప్స్</t>
  </si>
  <si>
    <t>1 కప్పు గ్రీన్ మూంగ్ పప్పు (మొత్తం) - 3 గంటలు నానబెట్టి, 1 కప్పు ఓట్స్ పిండి, 1 అంగుళం అల్లం, 2 పచ్చిమిర్చి, ఉప్పు - రుచికి, సన్‌ఫ్లవర్ ఆయిల్ - పెసరటు చేయడానికి</t>
  </si>
  <si>
    <t>1 cup Green Moong Dal (Whole) - soaked for 3 hours,1 cup Oats Flour,1 inch Ginger,2 Green Chillies,Salt - to taste,Sunflower Oil - to make pessaratu</t>
  </si>
  <si>
    <t xml:space="preserve">To begin making Oats Pesarattu Recipe - Oatmeal &amp; Green Gram Crepes, soak the green gram dal for 3 hours.Grind green gram dal along with ginger and green chillies into a smooth paste in mixer grinder. The consistency of the batter should be a little thicker than the normal dosa batter.Transfer the green gram batter to a big bowl and add the oatmeal flour to the batter, season with salt and stir well to combine.Heat the skillet or dosa pan and grease the surface with a bit of oil.Pour a ladle full of the Oats Pesarattu batter and spread it in swift circular motions to make a thin crepe. Once the bottom of the pesarattu is cooked, flip it over to cook the other side for a few more seconds until  golden  brown in color.Serve Oats Pesarattu recipe for breakfast with spicy Red Chilli Coconut Chutney Recipe - South Indian Chutney and  South Indian Filter Coffee Recipe With Filter Coffee Powder.
</t>
  </si>
  <si>
    <t xml:space="preserve">ఓట్స్ పెసరట్టు రెసిపీని తయారు చేయడం ప్రారంభించడానికి - ఓట్ మీల్ &amp; గ్రీన్ గ్రామ్ క్రీప్స్, పచ్చి శనగ పప్పును 3 గంటలు నానబెట్టండి. పచ్చి శనగపప్పును అల్లం మరియు పచ్చిమిర్చితో పాటు మిక్సర్ గ్రైండర్‌లో మెత్తని పేస్ట్‌గా రుబ్బుకోవాలి. పిండి యొక్క స్థిరత్వం సాధారణ దోసె పిండి కంటే కొంచెం మందంగా ఉండాలి. పచ్చి శనగ పిండిని పెద్ద గిన్నెలోకి మార్చండి మరియు పిండిలో ఓట్‌మీల్ పిండిని జోడించండి, ఉప్పు వేసి బాగా కలపండి. స్కిల్లెట్ లేదా దోస పాన్‌ను వేడి చేసి, కొద్దిగా నూనెతో ఉపరితలంపై గ్రీజు వేయండి. ఓట్స్‌లో ఒక గరిటెని పోయాలి. ఒక సన్నని ముడత. పెసరట్టు దిగువన ఉడికిన తర్వాత, గోల్డెన్ బ్రౌన్ కలర్ వచ్చే వరకు మరికొన్ని సెకన్ల పాటు మరో వైపు ఉడికించడానికి దాన్ని తిప్పండి. ఓట్స్ పెసరట్టు రిసిపిని అల్పాహారం కోసం స్పైసీ రెడ్ చిల్లీ కోకోనట్ చట్నీతో సర్వ్ చేయండి - సౌత్ ఇండియన్ చట్నీ మరియు  సౌత్ ఇండియన్ ఫిల్టర్ కాఫీతో కూడిన కాఫీ.
</t>
  </si>
  <si>
    <t>https://www.archanaskitchen.com/oats-pessaratu-recipe-oatmeal-green-gram-crepes</t>
  </si>
  <si>
    <t>Boodida Gummadikaya Pachi Vadiyalu Recipe -Andhra Style Ash Gourd Fritters Recipe</t>
  </si>
  <si>
    <t>Boodida Gummadikaya Pachi Vadiyalu Recipe -ఆంధ్రా స్టైల్ యాష్ గోర్డ్ వడలు రిసిపి</t>
  </si>
  <si>
    <t>2 కప్పుల తెల్ల ఉరద్ పప్పు (మొత్తం) - 4-5 గంటలు నానబెట్టి, 1-1/2 కప్పులు వెల్లై పూసనికై (బూడిద పొట్లకాయ/తెల్ల గుమ్మడికాయ) - సన్నగా తరిగిన, 4 పచ్చిమిర్చి - (సర్దుబాటు), 1 చిటికెడు వంట సోడా, సన్‌ఫ్లవర్ ఆయిల్ - డీప్ ఫ్రై, ఉప్పు - రుచికి</t>
  </si>
  <si>
    <t>2 cups White Urad Dal (Whole) - soaked for 4-5 hours,1-1/2 cups Vellai Poosanikai (Ash gourd/White Pumpkin) - finely chopped,4 Green Chillies - (adjust),1 pinch Cooking soda,Sunflower Oil - to deep fry,Salt - to taste</t>
  </si>
  <si>
    <t xml:space="preserve">To begin making Boodida Gummadikaya Pachi Vadiyalu (Andhra Style Ash Gourd Fritters Recipe), soak the split black gram dal in water for 4-5 hours.Drain the water and In mixer grinder, grind the soaked dal along with green chilies to a fine paste. Ensure that you use minimal amount of water to make a thick batter.Transfer the batter in a bowl and add the diced ash gourd pieces. Add salt and a pinch of baking soda. Mix well.Heat a small pan, pour oil for frying. Once the oil is heated, keep on medium flame.Apply little water to your palm. Now take a morsel of this batter and pat it into a round shape on the moistened palm. Drop this into hot oil, slowly. Take care not to touch the hot pan.Fry the ‘pachi vadiyalu’ until they turn golden brown. Remove from oil and drain on kitchen towel.Serve these Boodida Gummadikaya Pachi Vadiyalu (Andhra Style Ash Gourd Fritters Recipe) with Dhaniya Pudina Chutney Recipe (Green Chutney) along with Masala Chai Recipe in the evening. Or this fritter can also be served with hot rice and Beetroot Sambar Recipe (A Tangy Beetroot Lentil Curry).
</t>
  </si>
  <si>
    <t xml:space="preserve">బూదిద గుమ్మడికాయ పచ్చి వడియాలు (ఆంధ్రా స్టైల్ బూడిద పొట్లకాయ వడలు రెసిపీ) చేయడం ప్రారంభించడానికి, ఎండు శనగపప్పును నీటిలో 4-5 గంటలు నానబెట్టండి. నీటిని తీసివేసి, మిక్సర్ గ్రైండర్‌లో, నానబెట్టిన పప్పును పచ్చిమిర్చితో కలిపి మెత్తగా పేస్ట్ చేయాలి. మందపాటి పిండిని తయారు చేయడానికి మీరు తక్కువ మొత్తంలో నీటిని ఉపయోగించారని నిర్ధారించుకోండి. పిండిని ఒక గిన్నెలోకి మార్చండి మరియు ముక్కలు చేసిన బూడిద పొట్లకాయ ముక్కలను జోడించండి. ఉప్పు మరియు చిటికెడు బేకింగ్ సోడా జోడించండి. బాగా కలపండి. ఒక చిన్న పాన్ వేడి చేయండి, వేయించడానికి నూనె పోయాలి. నూనె వేడెక్కిన తర్వాత, మీడియం మంట మీద ఉంచండి. మీ అరచేతికి కొద్దిగా నీరు వేయండి. ఇప్పుడు ఈ పిండిని తీసుకుని, తడిగా ఉన్న అరచేతిపై గుండ్రంగా తట్టండి. దీన్ని నెమ్మదిగా వేడి నూనెలో వేయండి. వేడి పాన్‌ను తాకకుండా జాగ్రత్త వహించండి. 'పచ్చి వడియాలు' బంగారు గోధుమ రంగు వచ్చేవరకు వేయించాలి. నూనె నుండి తీసివేసి, కిచెన్ టవల్ మీద వేయండి. ఈ బూడిద గుమ్మడికాయ పచ్చి వడియాలు (ఆంధ్రా స్టైల్ యాష్ గోర్డ్ వడలు రెసిపీ)ని ధనియా పుదీనా చట్నీ (గ్రీన్ చట్నీ) తో పాటు మసాలా చాయ్ రెసిపీ తో పాటు సాయంత్రం వడ్డించండి. లేదా ఈ వడలు వేడి అన్నం మరియు బీట్‌రూట్ సాంబార్ రిసిపి (టాంగీ బీట్‌రూట్ పప్పు కూర)తో కూడా వడ్డించవచ్చు.
</t>
  </si>
  <si>
    <t>http://www.archanaskitchen.com/boodida-gummadikaya-pachi-vadiyalu-andhra-style-ash-gourd-fritters-recipe</t>
  </si>
  <si>
    <t>Andhra Style Makka Garelu Recipe</t>
  </si>
  <si>
    <t>ఆంధ్రా స్టైల్ మక్కా గారెలు రెసిపీ - Andhra Style Makka Garelu Recipe</t>
  </si>
  <si>
    <t>1 కప్ స్వీట్ కోర్న్ - (మక్కా),1/4 కప్ బేసన్,1 ప్యాజ్ - కాట్ లే,2 హరి మిర్చ్,1 టహనీ కధ,4 పఠం లహసున్,1 ఛోటా చమ్మచ్ కలాంజీ బీజ్,నమక్ - స్వాద్ అనుసార్,తేల్ - ప్రయోగ్ అనుసార్</t>
  </si>
  <si>
    <t>1 कप स्वीट कॉर्न - (मक्का),1/4 कप बेसन,1 प्याज - काट ले,2 हरी मिर्च,1 टहनी कढ़ी पत्ता,4 कली लहसुन,1 छोटा चम्मच कलोंजी के बीज,नमक - स्वाद अनुसार,तेल - प्रयोग अनुसार</t>
  </si>
  <si>
    <t>"To make Andhra Style Makka Garelu Recipe, first of all put the corn in the mixer grinder and make a paste. Be careful not to grind it too much. This mixture should be coarse. Transfer it to a mixing bowl. Now add gram flour, onion, green chilies, curry leaves, garlic, nigella seeds, salt and mix well. Keep aside. Now heat oil in a pan. Till the oil gets hot take the corn mixture and make small round discs. After the oil gets hot add these round discs one by one in the oil. Cook till they turn brown and crispy. After cooking take them out on a kitchen towel so that they absorb excess oil. Serve hot. Serve Andhra Style Makka Garelu Recipe with coconut chutney or coriander mint chutney and masala tea for snack."</t>
  </si>
  <si>
    <t xml:space="preserve">ఆంధ్రా స్టైల్ మక్కా గారెలు రెసిపీ బనానే కోసం దాలే మరియు పెస్ట్ బనా లే. ధ్యాన్ రఖేం జ్యాదా న పైసే. యః మిశ్రణ దరదరా హోనా చైయే.ఇసే ఒక మిక్సింగ్ బౌల్ మేం దాలే. ఇప్పుడు బేసన్, ప్యాజ్, హరి మీర్చ్, కఢీ పట్టా, లహసున్, కలంజీ బీజ్, నమక్ తరహ సే మిలా లే. అలగ్ సె రఖ్ దే. ఇప్పుడు ఒక కథ తేల గరమ్ హోనే తక్ కోర్న్ కా మిశ్రణ లే మరియు ఛోటే ఛోటే గోల్ డిస్క్ లే.బనా దీని గురించి ఆలోచించడం లేదు. భూరా మరియు కురకురా హోనే తక్ పక లే. పక జానే కె బాద్ ఒక కిచన్ టోవెల్ పర్ నికల్ లే తాకి వో అధిక తెల్ సోఖ్ లే. గరమా గరం పరోసే. ఆంధ్రా స్టైల్ మక్కా గారెలు రేసిపి కో నారియల్‌కి చటని యా ధనియా పుదీనా చటని చటని సాథ్ స్నాయిక్ కోసం.
</t>
  </si>
  <si>
    <t>https://www.archanaskitchen.com/andhra-style-makka-garelu-recipe-corn-vada-recipe-in-hindi</t>
  </si>
  <si>
    <t>Dappalam Recipe- Andhra Vegetable Stew Recipe</t>
  </si>
  <si>
    <t>దప్పలం రెసిపీ- ఆంధ్రా వెజిటబుల్ స్టూ రిసిపి</t>
  </si>
  <si>
    <t>1 కప్పు సీసా సొరకాయ (లౌకి) - పొట్టు తీసి 1/2 అంగుళాల ఘనాలగా కట్ చేసుకోవాలి, 1 క్యారెట్ (గజ్జర్) - 1/2 అంగుళాల ముక్కలు, 2 చిలగడదుంపలు - 1/2 అంగుళాల ముక్కలు, 2 మునగకాయ - 1 అంగుళం ముక్కలు, 2 టేబుల్ స్పూన్లు పచ్చిమిర్చి, 2 టేబుల్ స్పూన్లు బెల్లం, 1/2 టీస్పూన్ పసుపు పొడి (హల్దీ), 1 టీస్పూన్ ఎర్ర మిరప పొడి, 2 టీస్పూన్లు బియ్యం పిండి, 1 టేబుల్ స్పూన్ సన్‌ఫ్లవర్ ఆయిల్, 1/2 టీస్పూన్ ఆవాలు, 1/4 టీస్పూన్ పసుపు మెంతులు, 1/4 టీస్పూన్ ఇంగువ (హింగ్), 2 రెమ్మలు కరివేపాకు</t>
  </si>
  <si>
    <t>1 cup Bottle gourd (lauki) - peeled and cut into 1/2 inch cubes,1 Carrot (Gajjar) - chopped into 1/2 inch dices,2 Sweet Potato - chopped into 1/2 inch dices,2 Drumstick - cut into 1 inch pieces,4 Green Chilli - slit,1 cup Tamarind Water,2 tablespoons Jaggery,1/2 teaspoon Turmeric powder (Haldi),1 teaspoon Red Chilli powder,2 teaspoons Rice flour,1 tablespoon Sunflower Oil,1/2 teaspoon Mustard seeds,1/4 teaspoon Yellow Fenugreek Seeds,1/4 teaspoon Asafoetida (hing),2 sprig Curry leaves</t>
  </si>
  <si>
    <t xml:space="preserve">To begin making Dappalam/ Andhra Style Vegetable Stew Recipe prep all the ingredient and keep them aside.Add all the vegetables and green chillies into a pressure cooker along with 1 cup of water, salt and turmeric powder and pressure cooker for 3 whistles and turn off the heat.Release the pressure immediately by lifting it with a fork or running cold water over the pressure cooker to release the pressure.In a mixing bowl combine the tamarind water along with rice flour, turmeric powder and red chilli powder and make a smooth mixture.Heat oil in a wok or a large saucepan over medium heat; once the oil has heated add the mustard seeds, fenugreek seeds and allow it to crackle. Stir in the hnig and curry leaves along with the tamarind mixture.Add jaggery, cooked vegetables and give the Dappalam a brisk bowl for about 5 to 6 minutes until the flavours are well incorporated into the stew. Check the salt and spices and adjust the taste of the Dappalam accordingly.Turn off the heat and transfer the Dappalam into a serving bowl and serve hot. Serve Dappalam along with Steamed Rice, Andhra Style Pappu Charu and  Zucchini Thogayal for a delicious Andhra Meal.
</t>
  </si>
  <si>
    <t xml:space="preserve">దప్పలం/ఆంధ్రా స్టైల్ వెజిటబుల్ స్టూ రెసిపీని తయారు చేయడం ప్రారంభించడానికి అన్ని పదార్ధాలను సిద్ధం చేసి పక్కన పెట్టండి. అన్ని కూరగాయలు మరియు పచ్చిమిర్చిని ప్రెజర్ కుక్కర్‌లో 1 కప్పు నీరు, ఉప్పు మరియు పసుపు పొడి మరియు ప్రెజర్ కుక్కర్‌తో కలిపి 3 విజిల్స్ వేసి వేడిని ఆపివేయండి. చింతపండు నీటిని బియ్యం పిండి, పసుపు పొడి మరియు ఎర్ర మిరప పొడి మరియు మృదువైన మిశ్రమాన్ని తయారు చేయండి. మీడియం వేడి మీద ఒక వోక్ లేదా పెద్ద సాస్పాన్లో నూనెను వేడి చేయండి; నూనె వేడెక్కిన తర్వాత ఆవాలు, మెంతులు వేసి చిటపటలాడనివ్వండి. చింతపండు మిశ్రమంతో పాటు హ్నిగ్ మరియు కరివేపాకులను కలపండి. బెల్లం, వండిన కూరగాయలు వేసి, రుచులు బాగా వంటకంలోకి వచ్చే వరకు సుమారు 5 నుండి 6 నిమిషాల పాటు దప్పలం ఒక బ్రిస్క్ బౌల్ ఇవ్వండి. ఉప్పు మరియు మసాలా దినుసులను తనిఖీ చేయండి మరియు దప్పళం యొక్క రుచిని తదనుగుణంగా సర్దుబాటు చేయండి. వేడిని ఆపివేసి, దప్పలాన్ని సర్వింగ్ బౌల్‌లోకి బదిలీ చేసి వేడిగా సర్వ్ చేయండి. రుచికరమైన ఆంధ్రా భోజనం కోసం స్టీమ్డ్ రైస్, ఆంధ్రా స్టైల్ పప్పు చారు మరియు  జుచ్చినీ తోగయల్ తో పాటు దప్పలాన్ని వడ్డించండి.
</t>
  </si>
  <si>
    <t>http://www.archanaskitchen.com/dappalam-recipe-andhra-vegetable-stew-recipe</t>
  </si>
  <si>
    <t>Menthi Vankaya Recipe - Andhra Style Fenugreek Spiced Baingan</t>
  </si>
  <si>
    <t>మెంతి వంకాయ రెసిపీ - ఆంధ్రా స్టైల్ మెంతి మసాలా బైంగన్</t>
  </si>
  <si>
    <t>10 చిన్న బెండకాయలు (బైంగన్ / వంకాయ), 2 టేబుల్ స్పూన్లు చింతపండు పేస్ట్ - చిక్కటి, 1/4 కప్పు నీరు, ఉప్పు - రుచికి, 4 టేబుల్ స్పూన్లు సన్ ఫ్లవర్ ఆయిల్, 1 టీస్పూన్ తెల్ల ఉరద్ పప్పు (విడదీయండి), 1 రెమ్మ కరివేపాకు, 2 టేబుల్ స్పూన్లు కొత్తిమీర (ధనియా) గింజలు, 1 టేబుల్ స్పూన్ ఉల్లిగడ్డలు, 1 టేబుల్ స్పూన్ చనా గ్రా (స్ప్లిట్), 1 టేబుల్ స్పూన్ నువ్వులు (టిల్ గింజలు), 1 టీస్పూన్ జీలకర్ర (జీర), 1/2 టీస్పూన్ మెంతి గింజలు (మెంతి గింజలు), 3 ఎండు మిరపకాయలు - సర్దుబాటు, 2 టేబుల్ స్పూన్లు పచ్చి వేరుశెనగ (మూంగ్‌ఫాలి) - ఐచ్ఛికం</t>
  </si>
  <si>
    <t>10 Small Brinjal (Baingan / Eggplant),2 tablespoons Tamarind Paste - thick,1/4 cup Water,Salt - to taste,4 tablespoons Sunflower Oil,1 teaspoon White Urad Dal (Split),1 sprig Curry leaves,2 tablespoons Coriander (Dhania) Seeds,1 tablespoon Chana dal (Bengal Gram Dal),1 tablespoon White Urad Dal (Split),1 tablespoon Sesame seeds (Til seeds),1 teaspoon Cumin seeds (Jeera),1/2 teaspoon Methi Seeds (Fenugreek Seeds),3 Dry Red Chillies - adjustable,2 tablespoons Raw Peanuts (Moongphali) - optional</t>
  </si>
  <si>
    <t xml:space="preserve">To begin making the Menthi Vankaya recipe, in a pan, dry roast ingredients mentioned under methi karam/spice powder which includes coriander seeds, chana dal, urad dal, sesame seeds, cumin seeds, fenugreek seeds, dry red chillies and raw peanuts. This will take about 2 minutes.Once everything is roasted well, cool it completely and grind into fine powder using a mixer grinder.If you are adding peanuts, add them last after all the other spices are finely powdered. Otherwise, the powder becomes oily. Keep the powder aside to stuff in the brinjals.Next, wash and pat dry the small brinjals thoroughly. Slit brinjals in such a way that you see an X at the base. Be careful not to slit open them completely.In a bowl, add water with salt and immerse the brinjals in salt water for 5 minutes.In a heavy bottomed pan, add half of the water, required salt and gently drop brinjals when water starts to boil. Make sure there is only one layer of brinjals. Do not put one brinjal over the other.Cook covered until brinjals are 80% done. This will not take more than 6 to 10 minutes. Now, add tamarind paste. If there is not enough water left, add some more water. Mix and cook for another 2 or 3 minutes until brinjals absorb all the salt and tamarind flavours. Remove from pan, cool them completely. Drain the remaining water.In the meantime, take a regular sewing thread, measure the length equal to twice the diameter of brinjals and cut into 10 or 12 pieces. After the brinjals are cooled down, stuff them with spice powder and wrap the thread around them gently. This ensures the spice powder does not come out while frying. Heat oil in the same wide pan, fry urad dal until golden and add curry leaves. Fry until crisp and gently place stuffed and secured brinjals in the pan. Fry the brinjals until they are completely cooked. Sprinkle the remaining spice powder on the top.Turn the brinjals gently using a fork and and a spoon. Do not use a ladle as it may break the brinjals.Once the brinjals are soft and cooked properly, remove the thread carefully and serve hot.Serve Menthi Vankaya along with Mixed Vegetable Sambar, Steamed Rice and Elai Vadam for a satisfying South Indian lunch with your family
</t>
  </si>
  <si>
    <t xml:space="preserve">మెంతి వంకాయ రెసిపీని తయారు చేయడం ప్రారంభించడానికి, ఒక పాన్‌లో, కొత్తిమీర గింజలు, శనగ పప్పు, ఉరద్ పప్పు, నువ్వులు, జీలకర్ర, మెంతి గింజలు, ఎండు మిరపకాయలు మరియు పచ్చి వేరుశెనగ వంటి మెంతి కారం/మసాలా పొడి కింద పేర్కొన్న డ్రై రోస్ట్ పదార్థాలను వేయండి. ఇది సుమారు 2 నిమిషాలు పడుతుంది. ప్రతిదీ బాగా కాల్చిన తర్వాత, దానిని పూర్తిగా చల్లబరుస్తుంది మరియు మిక్సర్ గ్రైండర్ ఉపయోగించి మెత్తగా మెత్తగా గ్రైండ్ చేయండి. మీరు వేరుశెనగలను జోడిస్తున్నట్లయితే, అన్ని ఇతర మసాలాలు మెత్తగా పొడి చేసిన తర్వాత వాటిని చివరిగా జోడించండి. లేకపోతే, పొడి జిడ్డుగా మారుతుంది. వంకాయలలో నింపడానికి పొడిని పక్కన పెట్టండి. తరువాత, చిన్న వంకాయలను బాగా కడిగి, పొడిగా ఉంచండి. మీరు బేస్ వద్ద X కనిపించే విధంగా వంకాయలను కత్తిరించండి. వాటిని పూర్తిగా విడదీయకుండా జాగ్రత్త వహించండి.ఒక గిన్నెలో, ఉప్పుతో నీరు వేసి, వంకాయలను ఉప్పు నీటిలో 5 నిమిషాలు ముంచండి. భారీ అడుగున ఉన్న పాన్‌లో, సగం నీరు, అవసరమైన ఉప్పు వేసి, నీరు ఉడకబెట్టడం ప్రారంభించినప్పుడు వంకాయలను మెత్తగా వదలండి. వంకాయలు ఒక పొర మాత్రమే ఉండేలా చూసుకోండి. ఒక వంకాయను మరొకదానిపై పెట్టవద్దు. వంకాయలు 80% పూర్తయ్యే వరకు మూతపెట్టి ఉడికించాలి. దీనికి 6 నుండి 10 నిమిషాల కంటే ఎక్కువ సమయం పట్టదు. ఇప్పుడు, చింతపండు పేస్ట్ జోడించండి. తగినంత నీరు మిగిలి ఉండకపోతే, మరికొన్ని నీరు కలపండి. వంకాయలు ఉప్పు మరియు చింతపండు రుచులన్నింటినీ పీల్చుకునే వరకు కలపండి మరియు మరో 2 లేదా 3 నిమిషాలు ఉడికించాలి. పాన్ నుండి తీసివేసి, వాటిని పూర్తిగా చల్లబరచండి. మిగిలిన నీటిని తీసివేయండి.ఈ సమయంలో, ఒక సాధారణ కుట్టు దారాన్ని తీసుకోండి, వంకాయల వ్యాసానికి రెండు రెట్లు పొడవును కొలిచండి మరియు 10 లేదా 12 ముక్కలుగా కత్తిరించండి. బెండకాయలు చల్లబడిన తర్వాత, వాటిని మసాలా పొడితో నింపి, వాటి చుట్టూ దారాన్ని సున్నితంగా చుట్టండి. వేయించేటప్పుడు మసాలా పొడి బయటకు రాకుండా ఇది నిర్ధారిస్తుంది. అదే వెడల్పాటి బాణలిలో నూనె వేసి వేడయ్యాక ఉరద్ పప్పును బంగారు రంగు వచ్చేవరకు వేయించి, కరివేపాకు వేసి వేయించాలి. స్ఫుటమైనంత వరకు వేయించి, పాన్‌లో స్టఫ్డ్ మరియు సెక్యూర్డ్ వంకాయలను మెత్తగా ఉంచండి. వంకాయలు పూర్తిగా ఉడికినంత వరకు వేయించాలి. పైన మిగిలిన మసాలా పొడిని చల్లుకోండి. ఒక ఫోర్క్ మరియు ఒక చెంచా ఉపయోగించి వంకాయలను మెల్లగా తిప్పండి. వంకాయలు విరిగిపోయే అవకాశం ఉన్నందున గరిటెని ఉపయోగించవద్దు. బెండకాయలు మెత్తగా మరియు సరిగ్గా ఉడికిన తర్వాత, దారాన్ని జాగ్రత్తగా తీసివేసి వేడిగా వడ్డించండి. మీ కుటుంబంతో సంతృప్తికరమైన దక్షిణ భారత భోజనం కోసం మిక్స్‌డ్ వెజిటబుల్ సాంబార్, స్టీమ్డ్ రైస్ మరియు ఎలై వడమ్‌తో పాటు మెంతి వంకాయను సర్వ్ చేయండి.
</t>
  </si>
  <si>
    <t>https://www.archanaskitchen.com/menthi-vankaya-recipe-andhra-style-fenugreek-spiced-baingan</t>
  </si>
  <si>
    <t>Andhra Style Sorakaya Kura Recipe - Bottle Gourd And Toor Dal Recipe</t>
  </si>
  <si>
    <t>ఆంధ్రా స్టైల్ సొరకాయ కూర రెసిపీ - Bottle Gourd And Toor Dal Recipe</t>
  </si>
  <si>
    <t>2 కప్పుల సొరకాయ (లౌకి) - చిన్న ముక్కలుగా కట్ చేసి, 1 కప్పు అర్హర్ పప్పు (పప్పు ముక్కలు) - 30 నిమిషాలు నానబెట్టి, 1 టీస్పూన్ ఆవాలు, 1 రెమ్మ కరివేపాకు, 1 చిటికెడు ఇంగువ (హింగ్), 1 టీస్పూన్ జీలకర్ర (జీరా), 2 టొమాటోలు, 1 టీస్పూన్ పచ్చిమిర్చి, 2 టీస్పూన్లు పసుపు పొడి (హల్దీ), 1/2 టీస్పూన్ ఎర్ర మిరప పొడి</t>
  </si>
  <si>
    <t>2 cups Bottle gourd (lauki) - cut into small pieces,1 cup Arhar dal (Split Toor Dal) - soaked for 30 minutes,1 teaspoon Mustard seeds,1 sprig Curry leaves,1 pinch Asafoetida (hing),1 teaspoon Cumin seeds (Jeera),2 Tomatoes - chopped,2 Green Chilli - chopped,1 teaspoon Black pepper powder,1/2 teaspoon Turmeric powder (Haldi),1/2 teaspoon Red Chilli powder</t>
  </si>
  <si>
    <t xml:space="preserve">To begin making the Sorakaya Kura Recipe we will keep a pressure cooker on medium heat, add oil and leave it get hot. Add mustard seeds and cumin seeds and allow it splutter for 10 seconds.Add curry leaves, hing, and leave the curry leaves to crackle for 10 seconds. Add in the chopped tomatoes and saute well till it becomes mushy.Add the turmeric powder, red chilli powder, pepper powder, salt, green chilli, chopped bottle gourd and soaked toor dal. Give the ingredients a stir and add 2 cups of water. Cook it for 4 whistle.Allow the pressure to release by itself and open the lid, give it a stir and check for salt and serve.Serve the Sorakaya Kura Recipe along with Tawa Paratha ,or Phulka along with a Carrot And Beans Thoran to go along with your meal. 
</t>
  </si>
  <si>
    <t xml:space="preserve">సొరకాయ కూర రెసిపీని తయారు చేయడం ప్రారంభించడానికి మేము మీడియం వేడి మీద ప్రెజర్ కుక్కర్‌ను ఉంచుతాము, నూనె వేసి వేడిగా ఉంచుతాము. ఆవాలు మరియు జీలకర్ర వేసి, 10 సెకన్ల పాటు చిటపటలాడనివ్వండి. కరివేపాకు, హింగ్ వేసి, కరివేపాకులను 10 సెకన్ల పాటు పగలనివ్వండి. తరిగిన టొమాటోలు వేసి మెత్తగా అయ్యే వరకు బాగా వేగించండి. పసుపు పొడి, ఎర్ర కారం పొడి, మిరియాల పొడి, ఉప్పు, పచ్చిమిర్చి, తరిగిన బాటిల్ సొరకాయ మరియు నానబెట్టిన పప్పు జోడించండి. పదార్థాలను కదిలించు మరియు 2 కప్పుల నీరు జోడించండి. దీన్ని 4 విజిల్‌ల వరకు ఉడికించాలి. ఒత్తిడిని తానే విడుదల చేసి, మూత తెరిచి, కదిలించు మరియు ఉప్పు కోసం తనిఖీ చేసి, సర్వ్ చేయండి. మీ భోజనంతో పాటుగా వెళ్లడానికి తవా పరాటా , లేదా ఫుల్కా తో పాటుగా సొరకాయ కూర రెసిపీని వడ్డించండి. 
</t>
  </si>
  <si>
    <t>http://www.archanaskitchen.com/andhra-style-sorakaya-kura-recipe-bottle-gourd-and-toor-dal-recipe</t>
  </si>
  <si>
    <t>Gutti Vankaya Recipe</t>
  </si>
  <si>
    <t>గుట్టి వంకాయ రెసిపీ - Gutti Vankaya Recipe</t>
  </si>
  <si>
    <t>8-10 బ్యాంక్,1 ఇమలీ కా పెస్ట్ - నింబూ జితని,1 కప్ ప్యాజ్ - పాతాళ కాట లే + 1/2 కప్ హువా,4-5 లాల్ మిర్చ్,4 బడే చమ్మచ్ మూంగఫలీ,2 బడే చమచ్ తిల్ (సఫ్ 3), చమ్మచ నారియల్,1-1/2 బడే చమ్మచ్ ధనియా కే బీజ్,1 ఛోట చమచ జీరా,2 ఇచ,6 బడా చమ్మచ చనా దాల్,తేల్ - ప్రయోగ్ అనుసార్,2 తేజ్ పత్తా,1 ఛోటా చమ్మాచ,1 జాత కఢీ పట్టా</t>
  </si>
  <si>
    <t>8-10 brinjals, 1 tamarind paste - lemon, 1 cup onion - finely chopped + 1/2 cup finely chopped, 4-5 red chillies, 4 tbsp peanuts, 2 tbsp sesame seeds (white), 3 tbsp Spoon coconut, 1-1 / 2 tbsp coriander seeds, 1 tsp cumin seeds, 2 cardamom, 6 garlic, 1 tbsp chickpea lentils, oil - as per use, 2 bay leaves, 1 tsp cumin seeds, 1 sprig curry leaves</t>
  </si>
  <si>
    <t>"To make Gutti Vankaya recipe, first of all make two slits in the brinjal by cutting it one after the other. Make sure to cut only half, the bottom part should remain firm. In a sauce pan, add tamarind paste, salt, water as per requirement and let it boil. After boiling, add brinjal, turn off the gas and cover it. Keep aside for 10 minutes. Meanwhile, heat oil in a pan. Add onion and cook till it becomes soft. After it becomes soft, put it in a mixer grinder with some tamarind, salt and water and grind it. Keep aside. Heat a pan. Add dry red chilli, peanuts, sesame seeds, coconut, coriander seeds, cumin seeds, cardamom, garlic, gram dal and cook for 2 to 3 minutes. Keep aside. After cooling, put it in a mixer grinder and grind it. Add salt, turmeric powder to this powder and mix. Add this powder to the onion paste. Add some tamarind water and make a paste. Keep aside Take one eggplant and fill this paste inside it. Heat oil in a pan. Add cumin seeds, bay leaves, curry leaves and cook till cumin seeds crackle. After crackling, add stuffed brinjals and cook for 2 to 3 minutes. Add remaining masala and tamarind water. Let the brinjals cook in this water. After the brinjals are cooked well, turn off the gas and serve. Serve Gutti Vankaya with Keerai Sambar, Rice and Papad for lunch.</t>
  </si>
  <si>
    <t xml:space="preserve">గుట్టి వంకాయ రేసిపీ బనానె కోసం హుఏ లగా లే. ధ్యాన్ రఖేం ఆధా హీ కాటే, నిచే కా హిస్సా స్థిర రహనా చాహియే. ఒక సాస్ పైన్ లో ఇమలి కా పెస్ట్, నమక్, ప్రయోగ్ అనుసార్ పానీ డాలే మరియు ఊబలనే ఉంది. ఉబలనే బాద్ ఇమేం బ్యాంక్ డాలే, గేస్ బంద కరెన్ మరియు ఢక లే. 10 నిమిషాలు అలగ్ సె రఖ్ లే. తబ్ తక ఒక కథ అదే విధంగా ప్యాజ్ డాలే మరియు నరమ్ హోనే తక పక లే. ఒక మిక్సర్ గ్రెయిండర్లో ఇమలి నమక పానీ గురించి చెప్పవచ్చు అలగ్ సె రఖ్ దే. ఒక కధై కో గరం కరేం. అలాగే సుఖీ లాల్ మిర్చ్, మూంగఫలి, తిల్, నారియల్, ధనియా కే బీజ్, జీరా, ఇలాచి, డాలే మరియు 2 నుండి 3 నిమిషాల వరకు. ఠండా హోనే యొక్క రఖ్ దే.తండా హోనే యొక్క బాద్ మిక్సర్ గ్రైండర్ మెన్. ఈ పౌడర్‌లో నమక్, హల్దీ పౌడర్ డాలే మరియు మిలా లే.ఈ పౌడర్ కో ప్యాజ్ చేయండి. థోడా ఇమలి కా పానీ దాలే మరియు పెస్ట్ బనా లే. అలగ్ సె రఖ్ లే. ఈ పెస్ట్ కో బ్యాంగ‌న్‌కి అంద‌ర్ ఎక్ ఎక‌కర్ కే భ‌ర్ దే. ఒక కథ ఉసమే జీరా, తేజ్ పట్టా, కఢీ పట్టా దాలే మరియు జీరా కె తడకనే తక్ పక లే. తడకనే చెప్పాలంటే చాలా బాగున్నాయి మరియు ఇమలి కా పానీ దాలే. बैंगन को इस पानी में पकने दे. బాంగన్ అచ్చీ తరహ సే పక జానే కె బాద్ గేస్ బంద కరెం మరియు పరోసే. గుట్టి వంకాయ కో కీరై సాంబార్, చావల్ మరియు పాపం రోజు గురించి మాట్లాడండి.
</t>
  </si>
  <si>
    <t>https://www.archanaskitchen.com/gutti-vankaya-recipe-andhra-style-stuffed-brinjal-in-hindi</t>
  </si>
  <si>
    <t>Thotakura Majjiga Pulusu Recipe - Amaranth Leaves in Buttermilk Stew</t>
  </si>
  <si>
    <t>తోటకూర మజ్జిగ పులుసు రెసిపీ - ఉసిరికాయ మజ్జిగలో కూర</t>
  </si>
  <si>
    <t>1 కప్పు పచ్చి ఉసిరి ఆకులు - తరిగినవి, 1 ఉల్లిపాయ - ముక్కలు, 1/2 టీస్పూన్ పసుపు పొడి (హల్దీ), 1 కప్పు పెరుగు (దహీ / పెరుగు), ఉప్పు - రుచికి, సన్‌ఫ్లవర్ ఆయిల్, 2 టేబుల్ స్పూన్లు తాజా కొబ్బరి - తురిమిన, 1 పచ్చిమిర్చి, 2 రెమ్మ కొత్తిమీర (ధనియా) 1 టీస్పూన్ (మెంతి గింజలు), 1 టీస్పూన్ జీలకర్ర (జీరా), 1 చిటికెడు ఇంగువ (హింగ్), 1 రెమ్మ కరివేపాకు, 2 ఎండు మిరపకాయలు, సన్‌ఫ్లవర్ ఆయిల్</t>
  </si>
  <si>
    <t>1 cup Green Amaranth Leaves - chopped,1 Onion - sliced,1/2 teaspoon Turmeric powder (Haldi),1 cup Curd (Dahi / Yogurt),Salt - to taste,Sunflower Oil,2 tablespoon Fresh coconut - grated,1 Green Chilli,2 sprig Coriander (Dhania) Leaves - chopped,1 teaspoon Mustard seeds,1 teaspoon Methi Seeds (Fenugreek Seeds),1 teaspoon Cumin seeds (Jeera),1 pinch Asafoetida (hing),1 sprig Curry leaves,2 Dry Red Chillies,Sunflower Oil</t>
  </si>
  <si>
    <t xml:space="preserve">To begin making the Thotakura Majjiga Pulusu Recipe, first grind the coconut with green chilli and coriander leaves with some water to a smooth paste.Heat a flat skillet with oil, add onions and saute well till it is translucent. Once done add amaranth leaves and saute till the leaves are cooked.Add ground coconut paste and curd together and give it a stir. Sprinkle salt and turmeric powder and mix well. Allow it to simmer for 10 minutes and turn off the heat.Heat a small tadka pan with oil, add mustard seeds, fenugreek seeds and cumin seeds and leave it to crackle.Once the seeds have carackled add hing, curry leaves and dry red chillies and allow it to crackle and pour this over the curry and serve.Serve the Thotakura Majjiga Pulusu Recipe with some steamed rice and ghee and Carrot Poriyal Recipe for a comforting lunch.
</t>
  </si>
  <si>
    <t xml:space="preserve">తోటకూర మజ్జిగ పులుసు రెసిపీని తయారు చేయడం ప్రారంభించడానికి, ముందుగా కొబ్బరికాయను పచ్చిమిర్చి మరియు కొత్తిమీర ఆకులతో మెత్తగా పేస్ట్ చేయాలి. ఫ్లాట్ స్కిల్లెట్‌ను నూనెతో వేడి చేసి, ఉల్లిపాయలు వేసి, అది అపారదర్శకమయ్యే వరకు బాగా వేయించాలి. పూర్తయిన తర్వాత ఉసిరికాయ ఆకులు వేసి, ఆకులు ఉడికినంత వరకు వేయించాలి. రుబ్బిన కొబ్బరి పేస్ట్ మరియు పెరుగు వేసి కలపండి. ఉప్పు, పసుపు పొడి చల్లి బాగా కలపాలి. దీన్ని 10 నిమిషాలు ఉడకనివ్వండి మరియు వేడిని ఆపివేయండి. ఒక చిన్న తడ్కా పాన్‌ను నూనెతో వేడి చేసి, ఆవాలు, మెంతులు మరియు జీలకర్ర వేసి చిటపటలాడడానికి వదిలివేయండి. గింజలు కారిపోయిన తర్వాత ఉంగరం, కరివేపాకు మరియు ఎండు మిరపకాయలను వేసి, చిటపటలాడడానికి అనుమతించండి మరియు కూరపై పోసి సర్వ్ చేయండి. అన్నం మరియు నెయ్యి మరియు క్యారెట్ పోరియల్ రెసిపీ ఓదార్పునిచ్చే భోజనం.
</t>
  </si>
  <si>
    <t>http://www.archanaskitchen.com/thotakura-majiga-pulusu-recipe-amaranth-leaves-in-buttermilk-stew</t>
  </si>
  <si>
    <t>Andhra Style Pachi Pulusu Recipe -Raw Tamarind Rasam</t>
  </si>
  <si>
    <t>ఆంధ్రా స్టైల్ పచ్చి పులుసు రిసిపి -పచ్చి చింతపండు రసం</t>
  </si>
  <si>
    <t>2 కప్పులు చింతపండు నీరు, 1 ఉల్లిపాయలు - ముక్కలు, 2 పచ్చిమిర్చి - పొగబెట్టిన, 1 రెమ్మ కొత్తిమీర (ధనియా) ఆకులు, 1 టీస్పూన్ బెల్లం, ఉప్పు - రుచికి, 1 టీస్పూన్ ఆవాలు, 1 టీస్పూన్ జీలకర్ర (జీరా), 1 రెమ్మ కరివేపాకు, 1 చిటికెడు పచ్చిమిర్చి, 2 పచ్చిమిర్చి, 4 చూర్ణం, సన్‌ఫ్లవర్ ఆయిల్</t>
  </si>
  <si>
    <t>2 cups Tamarind Water,1 Onions - sliced,2 Green Chilli - smoked,1 sprig Coriander (Dhania) Leaves,1 teaspoon Jaggery,Salt - to taste,1 teaspoon Mustard seeds,1 teaspoon Cumin seeds (Jeera),1 sprig Curry leaves,1 pinch Asafoetida (hing),2 Dry Red Chilli,4 cloves Garlic - crushed,Sunflower Oil</t>
  </si>
  <si>
    <t xml:space="preserve">To begin making the Pachi Pulusu, we will first roast the chilies in a pan till it is completely roasted.  Chop the chillies very finely and transfer it to a bowl. Add the tamarind water, coriander leaves, jaggery, onions and check for salt. Balance out the flavor by adding little jaggery if it is too tangy.Heat a small tempering pan with oil, add mustard seeds and cumin seeds and allow it splutter for 10 seconds.Add curry leaves, hing, red chillies, and crushed garlic and leave the curry leaves to crackle for 10 seconds.Pour this over the pulusu and serve.Serve the Pachi Pulusu Recipe along with hot steamed rice, palya, and Gor Keri Recipe by the side to relish your lunch meals.
</t>
  </si>
  <si>
    <t xml:space="preserve">పచ్చి పులుసు తయారు చేయడం ప్రారంభించడానికి, మేము ముందుగా మిరపకాయలను పూర్తిగా కాల్చే వరకు పాన్‌లో వేయించాలి.  మిరపకాయలను చాలా మెత్తగా కోసి ఒక గిన్నెలోకి మార్చండి. చింతపండు నీరు, కొత్తిమీర తరుగు, బెల్లం, ఉల్లిపాయలు వేసి ఉప్పు తనిఖీ చేయండి. ఇది చాలా చిక్కగా ఉంటే కొద్దిగా బెల్లం జోడించడం ద్వారా రుచిని బ్యాలెన్స్ చేయండి. చిన్న టెంపరింగ్ పాన్‌ను నూనెతో వేడి చేసి, ఆవాలు మరియు జీలకర్ర వేసి 10 సెకన్ల పాటు చిటపటలాడనివ్వండి. కరివేపాకు, ఉంగరం, ఎర్ర మిరపకాయలు మరియు మెత్తగా తరిగిన వెల్లుల్లిని వేసి, కరివేపాకులను 10 సెకన్ల పాటు వడ్డించండి. మీ మధ్యాహ్న భోజనాన్ని ఆస్వాదించడానికి పక్కనే ఉన్న వేడి ఉడికించిన అన్నం, పల్య మరియు గోర్ కేరీ రెసిపీతో పాటు రెసిపీ.
</t>
  </si>
  <si>
    <t>https://www.archanaskitchen.com/andhra-style-pachi-pulusu-recipe-raw-tamarind-rasam-recipe</t>
  </si>
  <si>
    <t>Andhra Style Pesarattu Upma Recipe</t>
  </si>
  <si>
    <t>ఆంధ్రా స్టైల్ పెసరట్టు ఉప్మా రిసిపి</t>
  </si>
  <si>
    <t>1 కప్పు పచ్చి మూంగ్ పప్పు (మొత్తం), 1 టేబుల్ స్పూన్ పచ్చి బియ్యం, 2 పచ్చిమిర్చి - సన్నగా తరిగిన, 1 అంగుళం అల్లం - తురిమిన, 1 ఉల్లిపాయ - తరిగిన, కొత్తిమీర (ధనియా) ఆకులు - చిన్న కట్ట, ఉప్పు - రుచికి, సన్‌ఫ్లవర్ ఆయిల్ - వంట కోసం, 1 కప్పు సూజి (సన్నగా తరిగిన టొమాటో, మెత్తగా తరిగిన రవ్వ - 2), తరిగిన, 1 పచ్చిమిర్చి - సన్నగా తరిగిన, 1 అంగుళం అల్లం - సన్నగా తరిగిన, 1 టీస్పూన్ ఆవాలు, 1 టీస్పూన్ తెల్ల ఉరద్ పప్పు (విచ్ఛిన్నం), 1 రెమ్మ కరివేపాకు - చిరిగిన, 1/4 టీస్పూన్ ఇంగువ (హింగ్), ఉప్పు - అవసరమైనంత, 3 కప్పులు వేడినీరు, 1/2 నిమ్మరసం, సన్‌ఫ్లవర్ ఓయిల్</t>
  </si>
  <si>
    <t>1 cup Green Moong Dal (Whole),1 tablespoon Raw rice,2 Green Chillies - finely chopped,1 inch Ginger - grated,1 Onion - chopped,Coriander (Dhania) Leaves - small bunch,Salt - to taste,Sunflower Oil - for cooking,1 cup Sooji (Semolina/ Rava),2 Tomatoes - finely chopped,1 Onion - finely chopped,1 Green Chilli - finely chopped,1 inch Ginger - finely chopped,1 teaspoon Mustard seeds,1 teaspoon White Urad Dal (Split),1 sprig Curry leaves - torn,1/4 teaspoon Asafoetida (hing),Salt - as required,3 cups Hot water,1/2 Lemon juice,Sunflower Oil,Sunflower Oil</t>
  </si>
  <si>
    <t xml:space="preserve">To begin making the Pesarattu Upma Recipe will first soak the green moong dal and rice together in water for at least 3 hours.  After 3 hours drain the water.Blend the dal, green chillies and ginger by adding little water at a time to make a smooth thick batter. Transfer the batter into a large bowl, add onions, salt and coriander leaves. Stir well to combine the Pesarattu batter well. Check the salt levels and adjust to suit your taste.In a saucepan, bring the 3 cups of water, salt and sugar to a brisk boil. After it comes to a brisk boil, turn the heat to low to keep the water warm.  Our next step is to make the upma, roast the sooji in a cast iron pan and roast them till it slightly changes its colour. Keep it aside.Heat oil/ghee in a heavy bottomed pan. Add the mustard seeds, urad dal and allow it to crackle and the urad dal to turn golden brown. Stir in the asafoetida and curry leaves.Next, add the onions, green chillies and ginger and cook till the onion becomes soft and translucent.Next, add the tomatoes and allow it cook till the tomatoes becomes mushy and soft. Finally, add sooji  and gradually add the sugar and salt warm water. Keep stirring until the Upma comes together. Cook for about 5 to 8 minutes until the upma, comes away from the sides of a pan. Once the upma is cooked well, turn off the heat and keep aside.Now to make the Pesarattu. You will need a well-seasoned skillet.Preheat the skillet on medium heat; sprinkle some water to check on the pan; if it sizzles then you know the pan has the right amount of heat to spread the Pesarattu batter. Pour a ladle full of the Pesarattu batter onto the pan and spread evenly inside out to make a circle.Drizzle some oil on the top and the sides of the Pesarattu and allow it to cook on low to medium heat. Once you notice the top of the Pesarattu getting steamed, flip it over to cook on the other side.Once you notice brown spots and the Pesarattu is cooked, flip it back and place a big scoop of the upma to the side and fold it into half and remove from the pan and serve hot. Proceed the same way with the remaining Pesarattu batter.Serve the Pesarattu Upma Recipe along with tomato chutney and coconut chutney to make it a rich breakfast meal.
</t>
  </si>
  <si>
    <t xml:space="preserve">పెసరట్టు ఉప్మా రెసిపీని తయారు చేయడం ప్రారంభించడానికి ముందుగా పచ్చి మూంగ్ పప్పు మరియు బియ్యం కలిపి నీటిలో కనీసం 3 గంటలు నానబెట్టాలి.  3 గంటల తర్వాత నీటిని వడకట్టండి. పప్పు, పచ్చిమిరపకాయలు మరియు అల్లం కొద్దిగా నీరు వేసి మెత్తగా మందపాటి పిండిని తయారు చేయండి. పిండిని పెద్ద గిన్నెలోకి మార్చండి, ఉల్లిపాయలు, ఉప్పు మరియు కొత్తిమీర తరుగు జోడించండి. పెసరట్టు పిండి బాగా కలిసేలా బాగా కలపాలి. ఉప్పు స్థాయిలను తనిఖీ చేయండి మరియు మీ అభిరుచికి అనుగుణంగా సర్దుబాటు చేయండి. ఒక సాస్పాన్‌లో, 3 కప్పుల నీరు, ఉప్పు మరియు చక్కెరను చురుగ్గా మరిగించండి. ఇది చురుకైన ఉడకబెట్టిన తర్వాత, నీటిని వెచ్చగా ఉంచడానికి వేడిని తక్కువగా ఉంచండి.  మా తదుపరి దశ ఏమిటంటే, ఉప్మా తయారు చేయడం, సూజిని కాస్ట్ ఐరన్ పాన్‌లో వేయించి, దాని రంగు కొద్దిగా మారే వరకు వాటిని కాల్చడం. పక్కన పెట్టండి.బాటమ్ బాటమ్‌లో నూనె/నెయ్యి వేసి వేడి చేయండి. ఆవాలు, ఉరద్ పప్పు వేసి చిటపటలాడేందుకు మరియు ఉరడ్ పప్పు బంగారు గోధుమ రంగులోకి మారడానికి అనుమతించండి. ఇంగువ మరియు కరివేపాకులను కలపండి. తరువాత, ఉల్లిపాయలు, పచ్చిమిర్చి మరియు అల్లం వేసి ఉల్లిపాయలు మెత్తగా మరియు అపారదర్శకమయ్యే వరకు ఉడికించాలి. తరువాత, టొమాటోలు వేసి, టొమాటోలు మెత్తగా మరియు మెత్తబడే వరకు ఉడికించాలి. చివరగా, సూజీని జోడించండి మరియు క్రమంగా చక్కెర మరియు ఉప్పు వెచ్చని నీటిని జోడించండి. ఉప్మా కలిసే వరకు కలుపుతూ ఉండండి. ఉప్మా పాన్ వైపు నుండి వచ్చే వరకు సుమారు 5 నుండి 8 నిమిషాలు ఉడికించాలి. ఉప్మా బాగా ఉడికిన తర్వాత, వేడిని ఆపి పక్కన పెట్టండి. ఇప్పుడు పెసరట్టు చేయడానికి. మీకు బాగా కాలిన స్కిల్లెట్ అవసరం. మీడియం వేడి మీద స్కిల్లెట్‌ను ముందుగా వేడి చేయండి; పాన్‌పై తనిఖీ చేయడానికి కొంత నీరు చల్లుకోండి; పెసరట్టు పిండిని వ్యాప్తి చేయడానికి పాన్ సరైన మొత్తంలో వేడిని కలిగి ఉందని మీకు తెలుసు. పెసరట్టు పిండిని ఒక గరిట నిండుగా పాన్ మీద పోసి, ఒక వృత్తం చేయడానికి లోపలికి సమానంగా విస్తరించండి. పెసరట్టు పైభాగంలో మరియు వైపులా కొద్దిగా నూనె వేసి తక్కువ నుండి మధ్యస్థ వేడి మీద ఉడికించాలి. పెసరట్టు పైభాగం ఆవిరి కావడం గమనించిన తర్వాత, మరొక వైపు ఉడికించడానికి దాన్ని తిప్పండి. మీరు గోధుమ రంగు మచ్చలు మరియు పెసరట్టు ఉడికిన తర్వాత, దానిని వెనక్కి తిప్పి, ఉప్మా యొక్క పెద్ద గరిటెను ప్రక్కకు వేసి, దానిని సగానికి మడిచి, పాన్ నుండి తీసివేసి వేడిగా వడ్డించండి. మిగిలిన పెసరట్టు పిండితో అదే విధంగా కొనసాగండి. పెసరట్టు ఉప్మా రిసిపిని టొమాటో చట్నీ మరియు కొబ్బరి చట్నీ తో పాటు సర్వ్ చేయండి.
</t>
  </si>
  <si>
    <t>http://www.archanaskitchen.com/andhra-style-pesarattu-upma-recipe</t>
  </si>
  <si>
    <t>Thotakura Undalu Recipe (Crispy Amaranth Leaves Balls)</t>
  </si>
  <si>
    <t>తోటకూర ఉండలు రెసిపీ (కరకరలాడే ఉసిరికాయ బంతులు)</t>
  </si>
  <si>
    <t>2 కప్పులు పచ్చి ఉసిరికాయ ఆకులు - తరిగిన, 4 టేబుల్ స్పూన్లు శనగపిండి (బేసన్), 1 టీస్పూన్ జీలకర్ర (జీరా), 1 టీస్పూన్ ఎర్ర మిరప పొడి, 1 అంగుళం అల్లం - తరిగిన, ఉప్పు - రుచికి, పొద్దుతిరుగుడు నూనె, 2 టీస్పూన్ నువ్వులు (టిల్ గింజలు), 1 రెమ్మ కరివేపాకు, 1 చిటికెడు మినపప్పు, 1 చిటికెడు దుంప</t>
  </si>
  <si>
    <t>2 cups Green Amaranth Leaves - chopped,4 tablespoons Gram flour (besan),1 teaspoon Cumin seeds (Jeera),1 teaspoon Red Chilli powder,1 inch Ginger - chopped,Salt - to taste,Sunflower Oil,2 teaspoon Sesame seeds (Til seeds),1 sprig Curry leaves,1 pinch Asafoetida (hing),2 Dry Red Chillies</t>
  </si>
  <si>
    <t xml:space="preserve">To begin making the Thotakura Undalu Recipe, add chopped amaranth leaves in a bowl add all the ingredients mentioned next.Add little water and mix to form stick mixture. Using your hand take little of the mixture and hold it tightly to form a ball. Do the same for the rest of the mixture.Heat a kuzhi paniyaram pan with oil. Once it is hot place the balls in each cavity and fry them till they become crispy.Take them out and drain oil over a paper napkin. Heat a flat skillet with oil, Add sesame seeds and curry leaves and allow them to splutter for few seconds.Add dry red chilies and hing, let them crackle for 2 seconds, add fried amaranth balls and coat the the tempering well and serve hot.Serve the Thotakura Undalu Recipe along with Thakkali Rasam Recipe , steamed rice and Carrot Poriyal Recipe or just plain with Thakkali sadam.
</t>
  </si>
  <si>
    <t xml:space="preserve">తోటకూర ఉండలు రెసిపీని తయారు చేయడం ప్రారంభించడానికి, ఒక గిన్నెలో తరిగిన ఉసిరికాయ ఆకులను వేసి, తదుపరి పేర్కొన్న అన్ని పదార్థాలను జోడించండి. కొద్దిగా నీరు వేసి, కర్ర మిశ్రమంగా కలపండి. మీ చేతిని ఉపయోగించి మిశ్రమాన్ని కొద్దిగా తీసుకొని బంతిని ఏర్పరచడానికి గట్టిగా పట్టుకోండి. మిగిలిన మిశ్రమానికి కూడా అదే చేయండి. నూనెతో కుజి పనియారం పాన్‌ను వేడి చేయండి. అది వేడెక్కిన తర్వాత బంతులను ప్రతి కుహరంలో ఉంచండి మరియు అవి క్రిస్పీగా మారే వరకు వేయించాలి. వాటిని తీసివేసి, కాగితం రుమాలుపై నూనె వేయండి. నూనెతో ఫ్లాట్ స్కిల్లెట్‌ను వేడి చేసి, నువ్వులు మరియు కరివేపాకు వేసి, వాటిని కొన్ని సెకన్ల పాటు చిందరవందరగా ఉంచండి. ఎండు మిరపకాయలు మరియు ఉంగరం వేసి, వాటిని 2 సెకన్ల పాటు చిటపటలాడనివ్వండి, వేయించిన ఉసిరికాయలను వేసి, టెంపరింగ్‌ను బాగా కోట్ చేసి వేడి వేడిగా వడ్డించండి. పోరియాల్ రెసిపీ లేదా తక్కలి సదమ్‌తో సాదాసీదాగా ఉంటుంది.
</t>
  </si>
  <si>
    <t>http://www.archanaskitchen.com/thotakura-undal-recipe-crispy-amaranth-leaves-balls</t>
  </si>
  <si>
    <t>Andhra Style Beetroot Vepudu Recipe (Stir Fried Beetroot)</t>
  </si>
  <si>
    <t>ఆంధ్రా స్టైల్ బీట్‌రూట్ వేపుడు రెసిపీ (వేపుడు బీట్‌రూట్ కలపండి)</t>
  </si>
  <si>
    <t>3 బీట్‌రూట్, 2 టేబుల్ స్పూన్ సన్‌ఫ్లవర్ ఆయిల్, 1 టేబుల్ స్పూన్ చనా పప్పు (బెంగాల్ పప్పు), 1 టేబుల్ స్పూన్ తెల్ల ఉరద్ పప్పు (స్ప్లిట్), 1/2 టీస్పూన్ జీలకర్ర (జీరా), ఉప్పు - రుచికి, 1 రెమ్మ కరివేపాకు, 1 ఎండు మిర్చి</t>
  </si>
  <si>
    <t>3 Beetroot,2 tablespoon Sunflower Oil,1 tablespoon Chana dal (Bengal Gram Dal),1 tablespoon White Urad Dal (Split),1/2 teaspoon Cumin seeds (Jeera),Salt - to taste,1 sprig Curry leaves,1 Dry Red Chilli</t>
  </si>
  <si>
    <t xml:space="preserve">To begin making Andhra Style Beetroot Vepudu, Firstly wash, peel and chop the beetroot into small cubes.Steam the beetroot in a steamer until it becomes soft or place a sauce pan with water on medium heat and add chopped beetroot. Cover it with a lid and cook till it is done.The next step is to temper the steamed beetroots. Add oil to a wide pan and add cumin seeds, chana dal, urad dal, curry leaves, dry red chilli and fry until dal changes its colour.Now add steamed beetroot to it, add salt according to your taste and let it cook for 1-2 minutes more.Serve Andhra Style Beetroot Vepudu with Paruppu Urundai Rasam and steamed rice for your weeknight dinner.
</t>
  </si>
  <si>
    <t xml:space="preserve">ఆంధ్రా స్టైల్ బీట్‌రూట్ వేపుడు తయారు చేయడం ప్రారంభించడానికి, ముందుగా బీట్‌రూట్‌ను కడగాలి, పై తొక్క మరియు చిన్న ఘనాలగా కత్తిరించండి. బీట్‌రూట్‌ను స్టీమర్‌లో మెత్తగా అయ్యే వరకు ఆవిరి చేయండి లేదా మీడియం వేడి మీద నీటితో సాస్ పాన్ ఉంచండి మరియు తరిగిన బీట్‌రూట్ జోడించండి. ఒక మూతతో కప్పి, అది పూర్తయ్యే వరకు ఉడికించాలి. తదుపరి దశ ఆవిరితో చేసిన బీట్‌రూట్‌లను చల్లబరచడం. వెడల్పాటి బాణలిలో నూనె వేసి జీలకర్ర, శెనగ పప్పు, ఉరద్ పప్పు, కరివేపాకు, ఎండు మిరపకాయలు వేసి, పప్పు రంగు మారే వరకు వేయించాలి. ఇప్పుడు దానికి ఆవిరిపై ఉడికించిన బీట్‌రూట్ వేసి, మీ రుచికి తగినట్లుగా ఉప్పు వేసి మరో 1-2 నిమిషాలు ఉడికించాలి. మీ పారుప్పు మరియు రాత్రి బీట్‌రూట్ వేపుడు మీ పారుప్పు అన్నం తో వడ్డించండి.
</t>
  </si>
  <si>
    <t>http://www.archanaskitchen.com/andhra-style-beetroot-vepudu-recipe-stir-fried-beetroot</t>
  </si>
  <si>
    <t>Mango Pulusu Recipe - Mamidi Pandu Pulusu Recipe</t>
  </si>
  <si>
    <t>మామిడి పులుసు రెసిపీ - Mamidi Pandu Pulusu Recipe</t>
  </si>
  <si>
    <t>3 మామిడి (పండి), 3 పచ్చిమిర్చి - చీలిక, 1 టీస్పూన్ ఎర్ర మిరప పొడి, 1 టీస్పూన్ ఆవాలు, 1 టీస్పూన్ మెంతి గింజలు (మెంతి గింజలు), ఇంగువ (హింగ్) - చిటికెడు, 10 కరివేపాకు, 1 టేబుల్ స్పూన్ సన్‌ఫ్లవర్ ఆయిల్, ఉప్పు - రుచికి, 1 టీస్పూన్ చింతపండు పచ్చిమిర్చి, పచ్చిమిర్చి, 2 స్పూన్లు</t>
  </si>
  <si>
    <t>3 Mango (Ripe),3 Green Chillies - slit,1 teaspoon Red Chilli powder,1 teaspoon Mustard seeds,1 teaspoon Methi Seeds (Fenugreek Seeds),Asafoetida (hing) - A pinch,10 Curry leaves,1 tablespoon Sunflower Oil,Salt - to taste,1 teaspoon Tamarind Paste,2 sprig Coriander (Dhania) Leaves - to garnish</t>
  </si>
  <si>
    <t xml:space="preserve">To begin making the Mamidi Pandu Pulusu, firstly peel the ripe mangoes and keep aside.In a pan, place oil and add mustard seeds and let them crackle.Once it crackles, add asafoetida, curry leaves and green chillies and saute it for a minute.After a minute, add the peeled mangoes and sauté till its a little until it becomes a little soft.Add red chilly powder and a cup of water, tamarind paste, salt and cover it until it comes to a boil.Once the water starts evaporating, add another cup of water and boil again. At the end of it, you should be left with nice thick Mamidi Pandu Pulusu.After 2-3 minutes, switch off the gas and the Mamidi Pandu Pulusu/ Mango Pulusu is ready to be served.Serve the Mango Pulusu Recipe along with steamed rice, Spicy Potato Roast Recipe and a Rajma and Corn Salad Recipe
</t>
  </si>
  <si>
    <t xml:space="preserve">మామిడి పండు పులుసు తయారు చేయడం ప్రారంభించడానికి, ముందుగా పండిన మామిడికాయలను తొక్కండి మరియు పక్కన పెట్టండి. ఒక బాణలిలో నూనె వేసి ఆవాలు వేసి చిటపటలాడనివ్వండి. అది పగిలిన తర్వాత ఇంగువ, కరివేపాకు మరియు పచ్చిమిర్చి వేసి ఒక నిమిషం వేయించాలి. నీరు, చింతపండు పేస్ట్, ఉప్పు మరియు అది మరిగే వరకు అది మూతపెట్టి. నీరు ఆవిరైపోవడం ప్రారంభించిన తర్వాత, మరొక కప్పు నీరు వేసి మళ్లీ మరిగించండి. చివర్లో, మీకు చక్కటి చిక్కని మామిడి పండు పులుసు వేయాలి. 2-3 నిమిషాల తర్వాత, గ్యాస్‌ను ఆపివేయండి మరియు మామిడి పండు పులుసు/ మామిడి పులుసు సర్వ్ చేయడానికి సిద్ధంగా ఉంది. మామిడి పులుసు రెసిపీతో పాటు ఉడికించిన అన్నం, స్పైసీ పొటాటో రోస్ట్ రెసిపీ మరియు ఒక కొర్ర సామాను వడ్డించండి.
</t>
  </si>
  <si>
    <t>http://www.archanaskitchen.com/mamida-pandu-pulusu-mango-curry-recipe</t>
  </si>
  <si>
    <t>Gongura Chicken Curry Recipe</t>
  </si>
  <si>
    <t>గోంగూర చికన్ కరీ రెసిపీ - Gongura Chicken Curry Recipe</t>
  </si>
  <si>
    <t>500 గ్రాముల చికన్,2 ప్యాజ్ - కాట్ లే,1 టమాటర్ - కాట్ లే,4 హరి మర్చ - సీధా మరియు పాత, 1 చల అదరక్ - బారీక్ కాట్ లే,6 కలి లహసున్ - బారీక్ కాట్ లే,1/2 ఛోటా చమ్చ హల్ది పా,1 చమ్మచ్ గరం మసాలా పౌడర్,2 బడే చమ్మచ తిల తేల్,నమక్ - స్వాద్ అనుసార్,1/4 చమచం దానే,1 బడా చమ్మచ ధనియే బీజ్,4 సుఖీ లాల్ మిర్చ్,1 ఛోటా చమ్మోచ సౌం,1 చమ్మచ తిల్ కా తేల్,4 కలి లహసున్,2 కప్ గోంగుర - సాఫ్ కరకే కాట్ లే,నమక్ - స్వారద అనుసా</t>
  </si>
  <si>
    <t>500 grams of chicken, 2 onions - chopped, 1 tomato - chopped, 4 green chillies - cut straight and thin, 1 inch ginger - finely chopped, 6 cloves garlic - finely chopped, 1/2 tsp turmeric powder, 1 tsp garam masala powder, 2 tbsp sesame oil, salt - as per taste, 1/4 tsp fenugreek seeds, 1 tbsp coriander seeds, 4 dry red chillies, 1 tsp fennel seeds, 1 tsp sesame seeds Oil, 4 cloves garlic, 2 cups gongura - clean and chop, salt - as per taste</t>
  </si>
  <si>
    <t>"To make Gongura Chicken Curry recipe, first of all prepare all the ingredients and keep them aside. In a small pan add fenugreek seeds, coriander seeds, fennel seeds, dried red chillies and saute on medium flame for 3 to 4 minutes. Once done, let it cool and make a powder. Now heat oil in a pressure cooker. Add onion, ginger, garlic, green chillies and cook till onion becomes soft. After onion becomes soft add tomatoes and cook till they become soft. After tomato becomes soft add chicken, garam masala, turmeric powder and cook. Add 1/4 cup water and cook till 3 to 4 whistles. Turn off the gas and let the pressure release automatically. Wash gongura leaves by attaching them to their stem. Now chop them and keep aside. Heat oil in a pan. Add garlic, gongura, salt, ground masala and cook for 3 to 4 minutes. Now add chicken curry and fry on high flame. Cook on the flame for another 2 to 3 minutes. Turn off the gas and serve. Serve Gongura Chicken Curry Recipe with Ghee Rice, Tomato Onion Cucumber Raita and Semiya Payasam for dinner. "</t>
  </si>
  <si>
    <t xml:space="preserve">గోంగూర చికన్ కరీ రెసిపీ బనానే దే. ఒక ఛోటీ కధై మేం మేథీ కే దానే, ధనియే కే బీజ్, సౌంఫ్, సుఖీ లాల మిర్చ్ 4 మినట్ యొక్క మాధ్యమం ఆంచ్ పర్ సెక్ లే. హో జానే కె బాద్, ఠండా హోనే దే మరియు పౌడర్ బనా లే. అబ్ ప్రేష‌ర్ కుక‌ర్ మేం తేల్ గ‌రమ్ క‌ర్ లే. ఇలాంటివి ప్యాజ్, అదరక్, లహసున్, హరి మిర్చ్ డాలే మరియు ప్యాజ్‌కి సంబంధించినవి. ఈ విషయం గురించి చెప్పాలంటే టామాటర్ దాలే మరియు అవి కూడా ఉన్నాయి. టమాటర్ వంటి వాటితో పాటుగా చికన్, గరం మసాలా, హల్దీ పౌడర్ డాలె ప.కా. ఇదే 1/4 కప్ పానీ డాలే మరియు 3 సె 4 సిటి అనె తక పక లే.గేస్ బండ్ కరెన్ మరియు ప్రేషన్ దే.గోంగుర కి పత్తియోం కో ఉనకే స్టేటమ్ సే లాగ్ కరకే ధో లే. అబ్ ఇనకో కాట్ లే మరియు అలగ్ సే రఖ్ దే. ఒక కథ ఇలాంటివి లహసున్, గోంగూర, నమక్, పిసా హుయా మసాలా డెల్ మరియు 3 సె 4 నిమిషాలకు సమానం. ఇప్పుడు చికన్ కరీ డాలే మరియు తేజ్ ఆంచ్ 2 సె 3 నిమిషాలకు మరియు పక లే. గేస్ బంద్ కరెన్ మరియు పరోసే. గోంగూర చికన్ కరీ రేసిపీ కో ఘీ చావల్, టామాటర్ ప్యాజ్ కాకడి రాయత మరియు కేథ సామియా ఖానే కోసం పరోస్.
</t>
  </si>
  <si>
    <t>http://www.archanaskitchen.com/gongura-chicken-curry-recipe-andhra-style-gongura-chicken-in-hindi</t>
  </si>
  <si>
    <t>Andhra Style Pappu Charu Recipe</t>
  </si>
  <si>
    <t>ఆంధ్రా స్టైల్ పప్పు చారు రెసిపీ - Andhra Style Pappu Charu Recipe</t>
  </si>
  <si>
    <t>1 కప అర్హర దాల్,3 హరి మిర్చ్ - యా సుఖి లాల్ మిర్చ,10 కళీ లహసున్ - కస లే,1 టమాట - పటక, 1 కాట్ లే,2 బడే చమ్మచ ఇమలి కా పెస్ట్,1/2 ఛోట చమచ హల్దీ పౌడర్,2సర్, బడే చమ్మచ్ ఘీ,6 కఢీ పట్టా,1 ఛోటా చమ్మచ రాయ్, హీంగ్ - చుటకి భరత</t>
  </si>
  <si>
    <t>1 cup pigeonpea, 3 green chillies - or dry red chillies, 10 cloves garlic - grated, 1 tomato - chopped, 1 onion - chopped, 2 tbsp tamarind paste, 1/2 tsp turmeric powder, salt - As per taste, 2 tbsp ghee, 6 curry leaves, 1 tsp rye, asafoetida - a pinch</t>
  </si>
  <si>
    <t>"To make Andhra Style Pappu Charu Recipe, first wash the dal thoroughly and soak it for 15 to 20 minutes. Now in a pressure cooker add dal, tomatoes, onion, green chillies, 6 cloves of garlic, turmeric powder, 2 cups of water and mix well. Close the cooker and place it on the gas. Cook till 4 to 5 whistles. Let the pressure release automatically and keep it aside to cool. After it cools down, open the cooker and mash the dal. Now add tamarind paste, salt, garlic, 1 cup water and let the dal boil till it thickens. Turn off the gas. For the tempering, heat ghee in a tempering pan. Add mustard seeds and let it crackle. After crackling, add asafoetida, curry leaves and cook for 15 seconds. Pour the tempering over the dal and mix well. Serve hot. Andhra Style Pappu Charu can be served with rice and chow chow Serve it with Thoran for your everyday meal. "</t>
  </si>
  <si>
    <t xml:space="preserve">ఆంధ్రా స్టైల్ పప్పు చారు రెసిపీ బనానె కోసం లియే సబ్సే పహలే దాల్ కో అచ్చం 1 ధసత సే 20 నిమిషాలకు భీగో లే. అబ్ ఒక ప్రెషర్ కుకర్ మెన్ దాల్, టమాటర్, ప్యాజ్, హరి మిర్చ్, 6 కాలి లహసున్, హలడ, 2పర దాలే మరియు మిలా లే. కుకర కో బంద్ కరెన్ మరియు గేస్ ప రఖ్ లే. 4 సే 5 సిటీ అనే తక పక లే. ప్రేష‌ర్ అప‌నే మీరు నిక‌ల‌నే దే మరియు థండా హోనే గురించి ర‌ఖ్ దే. ఠండ హోనే కె బాద్, కుకర్ ఖోలే మరియు దాల్ కో మాష్ కర్ లే. ఇప్పుడు ఇమలి కా పెస్ట్, నమక్, లహసున్, 1 కప్ పానీ డాలే మరియు దాల్ గురించి తెలుసుకోవడం లేదు. గేస్ బంద్ కరే లే.తడకే, ఒక తడక పైన్ లో ఘీ గరం కరేం. అదే రాయ్ దాలే మరియు తడకనే దే. తడకనే కాకుండా హీంగ్, కఢీ పట్టా దాలే మరియు 15 సెకండ్‌లు కూడా ఉన్నాయి. తడకే కో దాల్ మెం డాలే మరియు మిలా లే. గరమా గరం పరోసే. ఆంధ్రా స్టైల్ పప్పు చారు కొ చావల్ మరియు చౌ థోరన్ కే సాథ అపనే రొఖం పరోస్.
</t>
  </si>
  <si>
    <t>https://www.archanaskitchen.com/andhra-style-pappu-charu-recipe-lentil-soup-style-curry-in-hindi</t>
  </si>
  <si>
    <t>Mixed Vegetable Koora Recipe - Mixed Vegetable Poriyal</t>
  </si>
  <si>
    <t>మిక్స్‌డ్ వెజిటబుల్ కూర రిసిపి - మిక్స్‌డ్ వెజిటబుల్ పోరియల్</t>
  </si>
  <si>
    <t>1 చిలగడదుంప - ఒలిచి ముక్కలుగా చేసి, 2 బంగాళదుంపలు (ఆలూ) - ఒలిచి ముక్కలుగా చేసి, 1 క్యారెట్ (గజ్జర్) - ఒలిచి ముక్కలుగా చేసి, 2 కప్పులు అవరెకై (బ్రాడ్ బీన్స్) - తరిగిన, 2 కప్పులు మెంతి ఆకులు (మెంతి ఆకులు, 1 కప్పు పచ్చిమిర్చి, 8 కప్పులు, 4 టేబుల్ స్పూన్లు) - నువ్వులు (టిల్ గింజలు), 1/4 కప్పు తాజా కొబ్బరి, 1 టేబుల్ స్పూన్ బెల్లం, ఉప్పు - రుచికి, 1/4 టీస్పూన్ పసుపు పొడి (హల్దీ), 2 టేబుల్ స్పూన్ సన్‌ఫ్లవర్ ఆయిల్, 1 టీస్పూన్ ఆవాలు, 1 టీస్పూన్ జీలకర్ర (జీరా), 1 రెమ్మ కరివేపాకు</t>
  </si>
  <si>
    <t>1 Sweet Potato - peeled and diced,2 Potatoes (Aloo) - peeled and diced,1 Carrot (Gajjar) - peeled and diced,2 cups Avarekai (Broad Beans) - chopped,2 cups Methi Leaves (Fenugreek Leaves) - chopped,8 Green Chillies,1/4 cup Water,3 tablespoons Sesame seeds (Til seeds),1/4 cup Fresh coconut,1 tablespoon Jaggery,Salt - to taste,1/4 teaspoon Turmeric powder (Haldi),2 tablespoon Sunflower Oil,1 teaspoon Mustard seeds,1 teaspoon Cumin seeds (Jeera),1 sprig Curry leaves</t>
  </si>
  <si>
    <t xml:space="preserve">To begin making Kalle Koora/Mixed Vegetable Koora Recipe, roast the sesame seeds on low heat until they are golden.Cool them to room temperature and grind into a coarse powder along with grated coconut and Jaggery. Set aside until needed. In a mixer, add the green chillies along with turmeric powder. Keep aside.Pressure cook the vegetables in 1/4 cup of water for 3 to 4 whistles and turn off the heat. Release the pressure immediately.Place a heavy bottomed pan on medium flame and add a 1 tablespoon of oil. Once the oil is hot add the mustard seeds, cumin seeds and curry leaves. Allow then to crackle. Add in the coconut jaggery sesame mixture and the ground green chilli paste and saute for a minute or two until raw flavour of the green chillies disappears. Next add in the chopped vegetables, stir the Kalle Koora/Mixed Vegetable Koora well and saute for couple of minutes until moisture released from the jaggery evaporates. Turn off the heat, check the salt and spices and adjust accordingly. Transfter the Kalle Koora/Mixed Vegetable Koora to a serving bowl and serve hot.Serve Kalle Koora/Mixed Vegetable Koora recipe along with Steamed Rice, Moong Dal Rasam/Pesara Pappu Charu Recipe and Nuggekai Kharbyaali Recipe (North Karnataka Spiced Drumstick Sambar) for a truly complete and wholesome lunch
</t>
  </si>
  <si>
    <t xml:space="preserve">కల్లె కూర/మిశ్రమ వెజిటబుల్ కూర రెసిపీని తయారు చేయడం ప్రారంభించడానికి, నువ్వులను బంగారు రంగులోకి వచ్చే వరకు తక్కువ వేడి మీద కాల్చండి. వాటిని గది ఉష్ణోగ్రతకు చల్లబరచండి మరియు తురిమిన కొబ్బరి మరియు బెల్లం కలిపి ముతక పొడిగా రుబ్బుకోవాలి. అవసరమైనంత వరకు పక్కన పెట్టండి. మిక్సీలో పచ్చిమిర్చి, పసుపు వేసి కలపాలి. పక్కన పెట్టండి. కూరగాయలను 1/4 కప్పు నీటిలో 3 నుండి 4 విజిల్స్ వచ్చే వరకు ఉడికించి, వేడిని ఆపివేయండి. ఒత్తిడిని వెంటనే విడుదల చేయండి. మీడియం మంట మీద ఒక భారీ అడుగున ఉన్న పాన్ ఉంచండి మరియు 1 టేబుల్ స్పూన్ నూనె జోడించండి. నూనె వేడి అయ్యాక ఆవాలు, జీలకర్ర, కరివేపాకు వేయాలి. ఆ తర్వాత పగులగొట్టడానికి అనుమతించండి. అందులో కొబ్బరి బెల్లం నువ్వుల మిశ్రమం మరియు గ్రౌండ్ పచ్చిమిర్చి పేస్ట్ వేసి పచ్చిమిర్చి పచ్చి రుచి పోయే వరకు ఒకటి లేదా రెండు నిమిషాలు వేయించాలి. తర్వాత తరిగిన కూరగాయలను వేసి, కల్లె కూర/మిశ్రమ కూరగాయల కూరను బాగా కదిలించి, బెల్లం నుండి విడుదలైన తేమ ఆవిరైపోయే వరకు రెండు నిమిషాలు వేయించాలి. వేడిని ఆపివేయండి, ఉప్పు మరియు మసాలా దినుసులను తనిఖీ చేయండి మరియు తదనుగుణంగా సర్దుబాటు చేయండి. కల్లే కూర/మిశ్రమ వెజిటబుల్ కూరను సర్వింగ్ బౌల్‌లోకి బదిలీ చేసి వేడి వేడిగా వడ్డించండి. ఉడికించిన అన్నం, మూంగ్ దాల్ రసం/పెసర పప్పు చారు రిసిపి మరియు నుగ్గేకై ఖర్బ్యాలీ రిసిపి మరియు నుగ్గేకై ఖర్బ్యాలీ రిసిపి (పూర్తిగా కర్నాటక మరియు స్పీక్డ్ నార్త్) కోసం కల్లెకూర/మిశ్రమ కూరగాయల కూర రెసిపీని సర్వ్ చేయండి ఆరోగ్యకరమైన భోజనం
</t>
  </si>
  <si>
    <t>http://www.archanaskitchen.com/mixed-vegetable-koora-recipe-mixed-vegetable-poriyal</t>
  </si>
  <si>
    <t>Gutti Vankaya Recipe - Andhra Style Stuffed Brinjal</t>
  </si>
  <si>
    <t>గుత్తి వంకాయ రెసిపీ - ఆంధ్రా స్టైల్ స్టఫ్డ్ వంకాయ</t>
  </si>
  <si>
    <t>8-10 బెండకాయ (బైంగన్ / వంకాయ), 1 చింతపండు పేస్ట్ - పెద్ద నిమ్మకాయ పరిమాణం, 1 కప్పు ఉల్లిపాయలు - సన్నగా తరిగినవి+ 1/2 కప్పు, 4-5 తాజా ఎర్ర మిరపకాయలు - ఎండు, 4 టేబుల్ స్పూన్లు పచ్చి వేరుశెనగ (మూంగ్‌ఫాలి), 2 టేబుల్ స్పూన్లు నువ్వులు (టిల్ గింజలు), 3 టేబుల్ స్పూన్లు నువ్వులు (టిల్ గింజలు), 3 టేబుల్ స్పూన్లు 1 టేబుల్ స్పూన్లు కొబ్బరి / కొబ్బరికాయలు విత్తనాలు, 1 టీస్పూన్ జీలకర్ర (జీరా), 2 ఏలకులు (ఎలైచి) పాడ్స్/విత్తనాలు, 6 వెల్లుల్లి, 1 టేబుల్ స్పూన్ చనా పప్పు (బెంగాల్ గ్రామ్ పప్పు), సన్‌ఫ్లవర్ ఆయిల్ - అవసరమైనంత, 2 బే ఆకు (తేజ్ పట్టా), 1 టీస్పూన్ జీలకర్ర (జీరా), 1 రెమ్మ కరివేపాకు</t>
  </si>
  <si>
    <t>8-10 Brinjal (Baingan / Eggplant),1 Tamarind Paste - big lemon size,1 cup Onions - sliced thin+ 1/2 cup,4-5 Fresh Red Chilli - dry,4 tablespoons Raw Peanuts (Moongphali),2 tablespoons Sesame seeds (Til seeds),3 tablespoons Fresh coconut - or dessicated coconut,1 1/2 tablespoons Coriander (Dhania) Seeds,1 teaspoon Cumin seeds (Jeera),2 Cardamom (Elaichi) Pods/Seeds,6 Garlic,1 tablespoon Chana dal (Bengal Gram Dal),Sunflower Oil - as required,2 Bay leaf (tej patta),1 teaspoon Cumin seeds (Jeera),1 sprig Curry leaves</t>
  </si>
  <si>
    <t xml:space="preserve">To prepare Gutti Vankaya Recipe (Andhra Style Stuffed Brinjal), get small brinjals since the smaller ones will be easy to have with phulkas or Rotis. Slit them twice diagonally 3/4 th long such that you do not disturb their stalk/ crown. You should have perfectly slit brinjals ready for filling from all 4 sides when you do this.On a medium flame in a deep pan, bring tamarind extract and salt in sufficient water to boil. Switch off flame and drop the brinjals in and close the lid. Let it sit for 10 minutes.Meanwhile, on a pan with little oil, shallow fry onions till soft. Wet grind with a little tamarind-salt water that is used to half boil the brinjals and keep aside.Take a kadai to dry roast all the ingredients mentioned under roast and grind over medium flame. Take off the kadai when aromatic and let it cool a bit. Use a mixer grinder to make semi fine powder. Mix haldi/ turmeric and salt as required to this powder.Mix this powder with wet grinded sauteed onions. Add a small amount of tamarind- salt water to make very thick gravy and fill inside the brinjals. Keep aside.Prepare tadka with oil. Add in jeera, bay leaves, curry leaves. When they splutter, add stuffed brinjals and fry for 2-3 minutes.Mix remaining gravy and more of water/ mix of tamarind and salt water and add to kadai. Bring it to boil over low flame. Sauté carefully such that the gravy doesn’t come out of the brinjals. Switch off the flame when gravy thickens and brinjals appear cooked.Serve Gutti Vankaya with either hot rice, biryanis, chapatis, phulkas or akki rotti to make it a main course meal.
</t>
  </si>
  <si>
    <t xml:space="preserve">గుత్తి వంకాయ రెసిపీ (ఆంధ్రా స్టైల్ స్టఫ్డ్ వంకాయ) సిద్ధం చేయడానికి, చిన్న వంకాయలను పొందండి, ఎందుకంటే చిన్నవి ఫుల్కాస్ లేదా రోటీలతో సులభంగా ఉంటాయి. మీరు వాటి కొమ్మ/కిరీటానికి భంగం కలిగించకుండా ఉండేలా వాటిని 3/4 వ పొడవుతో వికర్ణంగా రెండుసార్లు చీల్చండి. మీరు ఇలా చేసినప్పుడు 4 వైపుల నుండి పూరించడానికి మీరు ఖచ్చితంగా స్లిట్ వంకాయలు సిద్ధంగా ఉండాలి. లోతైన పాన్‌లో మీడియం మంట మీద, చింతపండు సారం మరియు ఉప్పును తగినంత నీటిలో వేసి మరిగించండి. మంటను ఆపివేసి, బెండకాయలను వదలండి మరియు మూత మూసివేయండి. ఇది 10 నిమిషాలు అలాగే ఉండనివ్వండి. అదే సమయంలో, కొద్దిగా నూనెతో పాన్ మీద, ఉల్లిపాయలను మెత్తగా అయ్యే వరకు వేయించాలి. బెండకాయలను సగం ఉడకబెట్టడానికి ఉపయోగించే కొద్దిగా చింతపండు-ఉప్పు నీళ్లతో వెట్ గ్రైండ్ చేసి పక్కన పెట్టుకోండి. రోస్ట్ కింద పేర్కొన్న అన్ని పదార్థాలను పొడిగా కాల్చడానికి కడాయిని తీసుకోండి మరియు మీడియం మంట మీద రుబ్బుకోవాలి. కడాయిని సువాసనగా ఉన్నప్పుడు తీసివేసి కొంచెం చల్లబరచండి. సెమీ ఫైన్ పౌడర్ చేయడానికి మిక్సర్ గ్రైండర్ ఉపయోగించండి. ఈ పౌడర్‌కి అవసరమైన విధంగా హల్దీ/పసుపు మరియు ఉప్పు కలపండి.ఈ పొడిని వెట్ గ్రైండ్ చేసిన సాటెడ్ ఉల్లిపాయలతో కలపండి. చాలా మందపాటి గ్రేవీ చేయడానికి మరియు వంకాయల లోపల నింపడానికి కొద్దిగా చింతపండు-ఉప్పు నీటిని జోడించండి. పక్కన పెట్టండి.నూనెతో తడ్కాను సిద్ధం చేయండి. జీరా, బే ఆకులు, కరివేపాకు జోడించండి. అవి చిమ్మినప్పుడు, స్టఫ్డ్ వంకాయలు వేసి 2-3 నిమిషాలు వేయించాలి. మిగిలిన గ్రేవీ మరియు ఎక్కువ నీరు/ చింతపండు మరియు ఉప్పునీరు కలపండి మరియు కడాయిలో జోడించండి. తక్కువ మంట మీద మరిగించాలి. వంకాయల నుండి గ్రేవీ బయటకు రాకుండా జాగ్రత్తగా వేయించాలి. గ్రేవీ చిక్కగా మరియు వంకాయలు ఉడికినట్లు కనిపించినప్పుడు మంటను ఆపివేయండి. గుత్తి వంకాయను వేడి అన్నం, బిర్యానీలు, చపాతీలు, ఫుల్కాస్ లేదా అక్కి రొట్టెతో కలిపి వడ్డించండి.
</t>
  </si>
  <si>
    <t>https://www.archanaskitchen.com/gutti-vankaya-recipe-andhra-style-stuffed-brinjal</t>
  </si>
  <si>
    <t>Andhra Style Bobbarlu Vada/ Alsanda Vada Recipe -Spicy Lobia Vada Recipe</t>
  </si>
  <si>
    <t>ఆంధ్రా స్టైల్ బొబ్బర్లు వడ/ అల్సంద వడ రిసిపి -Spicy Lobia Vada Recipe</t>
  </si>
  <si>
    <t>1 కప్పు బ్లాక్ ఐడ్ బీన్స్ (లోబియా), 1 ఉల్లిపాయ - తరిగిన, 1 పచ్చిమిర్చి - తరిగిన, 1/2 టీస్పూన్ ఎర్ర కారం, 1 రెమ్మ కరివేపాకు - తరిగిన, 1 అంగుళం అల్లం - తరిగిన, 4 లవంగాలు వెల్లుల్లి - తరిగిన, 1 టీస్పూన్ జీలకర్ర (జీరా), ఉప్పు - రుచికి - 1 టీస్పూన్ పొడి</t>
  </si>
  <si>
    <t>1 cup Black Eyed Beans (Lobia),1 Onion - chopped,1 Green Chilli - chopped,1/2 teaspoon Red Chilli powder,1 sprig Curry leaves - chopped,1 inch Ginger - chopped,4 cloves Garlic - chopped,1 teaspoon Cumin seeds (Jeera),Salt - to taste,1 teaspoon Turmeric powder (Haldi),Sunflower Oil - as needed</t>
  </si>
  <si>
    <t xml:space="preserve">To begin making the Andhra Style Bobbarlu Vada/ Alsande Vada, soak the black eyed peas in water for at least 2 hours.Grind the black eyed peas in a mixer to a coarse mixture and make sure there are no peas left out as it will pop when it is frying.Add in all the rest of ingredients and grind it again. Add little water so that the mixture is quiet wet.Heat the Kuzhi paniyaram Pan and add a drop of oil to each cavity in the pan; once the pan is well heated scoop the vada batter using a scoop spoon. Cover the pan and allow it to steam.You will notice the top part of the vada getting cooked. At this point add another drop of oil and then using a tiny flat spoon gently flip the vada so it cooks on the other side as well.To check if the Andhra Style Bobbarlu Vada is cooked insert a toothpick or a knife in the center of the vada. It should come out clean.Continue the same process with the remaining vada batter and enjoy the healthy version of the vada's.Serve the Andhra Style Bobbarlu Vada along with spicy coconut chutney and cup of chai to go along with it for your evening snack.
</t>
  </si>
  <si>
    <t xml:space="preserve">ఆంధ్రా స్టైల్ బొబ్బర్లు వడ/అల్సందే వడను తయారు చేయడం ప్రారంభించడానికి, నల్ల కళ్లను నీళ్లలో కనీసం 2 గంటలు నానబెట్టండి. నల్ల కళ్లను మిక్సీలో ముతక మిశ్రమంలో గ్రైండ్ చేయండి మరియు బఠానీలు మిగిలి ఉండకుండా చూసుకోండి, ఎందుకంటే అది వేయించేటప్పుడు పాప్ అవుతుంది. మిశ్రమం నిశ్శబ్దంగా తడిగా ఉండేలా కొద్దిగా నీరు కలపండి. కుజి పనియారం పాన్‌ను వేడి చేసి, పాన్‌లోని ప్రతి కుహరానికి ఒక చుక్క నూనె వేయండి; పాన్ బాగా వేడెక్కిన తర్వాత స్కూప్ స్పూన్ ఉపయోగించి వడ పిండిని తీయండి. పాన్‌ను కప్పి, ఆవిరికి అనుమతించండి. వడ యొక్క పై భాగం ఉడికిపోవడాన్ని మీరు గమనించవచ్చు. ఈ సమయంలో మరొక చుక్క నూనె వేసి, ఆపై ఒక చిన్న ఫ్లాట్ చెంచాను ఉపయోగించి వడను సున్నితంగా తిప్పండి, తద్వారా అది మరొక వైపు కూడా ఉడికిపోతుంది. ఆంధ్రా స్టైల్ బొబ్బర్లు వడ ఉడికిందో లేదో తనిఖీ చేయడానికి వడ మధ్యలో టూత్‌పిక్ లేదా కత్తిని చొప్పించండి. ఇది శుభ్రంగా రావాలి. మిగిలిన వడ పిండితో అదే ప్రక్రియను కొనసాగించండి మరియు వడ యొక్క ఆరోగ్యకరమైన వెర్షన్‌ను ఆస్వాదించండి. మీ సాయంత్రం స్నాక్ కోసం దానితో పాటు వెళ్లడానికి ఆంధ్రా స్టైల్ బొబ్బర్లు వడతో పాటు మసాలా కొబ్బరి చట్నీ మరియు కప్పు చాయ్ తో పాటు అందించండి.
</t>
  </si>
  <si>
    <t>https://www.archanaskitchen.com/andhra-style-bobbarlu-vada-alsande-vada-recipe-spicy-lobia-vada-recipe</t>
  </si>
  <si>
    <t>Andhra Style Mukkala Pulusu Recipe-Mixed Vegetable Sambar</t>
  </si>
  <si>
    <t>ఆంధ్రా స్టైల్ ముక్కల పులుసు రిసిపి-మిక్స్డ్ వెజిటబుల్ సాంబార్</t>
  </si>
  <si>
    <t>1/4 కప్పు మంగళూరు దోసకాయ - చిన్న ముక్కలుగా కట్, 1 క్యారెట్ (గజ్జర్) - తరిగిన, 50 గ్రాముల పచ్చి బఠానీలు (ఫ్రెంచ్ బీన్స్) - తరిగిన, 1/4 కప్పు కడ్డు (పరంగికాయ/ గుమ్మడికాయ) - చిన్న ముక్కలుగా కట్, 1/4 కప్పు సీసా (లౌకీలు) - 1 చిన్న ముక్కలుగా కట్ ముక్కలు, 10 యాలకులు, 1 టొమాటో - ముక్కలు, 2 పచ్చిమిర్చి - చీలిక, పసుపు పొడి (హల్దీ) - చిటికెడు, చింతపండు - పెద్ద నిమ్మకాయ పరిమాణం (1 కప్పు నీటిలో రసం తీయండి), 1-1/2 టేబుల్ స్పూన్ బెల్లం, 1 టీస్పూన్ సాంబార్ పొడి - సర్దుబాటు, కొత్తిమీర (ధనియా) - 1 టేబుల్ స్పూన్లు - రుచికి సరిపడా నూనె, 1/2 టీస్పూన్ ఆవాలు -, 1/4 టీస్పూన్ జీలకర్ర (జీరా), మెంతి ఆకులు (మెంతి ఆకులు) - చిటికెడు, 1/4 టీస్పూన్ ఇంగువ (హింగ్), 4 లవంగాలు వెల్లుల్లి - మెత్తగా, 1 ఎండు మిర్చి - విరిగిన, 12 కరివేపాకు</t>
  </si>
  <si>
    <t>1/4 cup Mangalorean cucumber - cut into small chunks,1 Carrot (Gajjar) - chopped,50 grams Green beans (French Beans) - chopped,1/4 cup Kaddu (Parangikai/ Pumpkin) - cut into small chunks,1/4 cup Bottle gourd (lauki) - cut into small chunks,1 Drumstick - cut into 2 inch pieces,10 Shallots,1 Tomato - diced,2 Green Chillies - slit,Turmeric powder (Haldi) - a pinch,Tamarind - big lemon sized (extract the juice in 1 cup water),1-1/2 tablespoon Jaggery,1 teaspoon Sambar Powder - adjustable,Coriander (Dhania) Leaves - as required (chopped),Salt - to taste,1 tablespoon Sunflower Oil,1/2 teaspoon Mustard seeds -,1/4 teaspoon Cumin seeds (Jeera),Methi Leaves (Fenugreek Leaves) - a pinch,1/4 teaspoon Asafoetida (hing),4 cloves Garlic - crushed,1 Dry Red Chilli - broken,12 Curry leaves</t>
  </si>
  <si>
    <t xml:space="preserve">To begin making the Mukkala Pulusu Recipe, firstly heat oil in a heavy bottomed pan over medium heat. Add mustard seeds, cumin seeds and fenugreek seeds. Cook them for about 10 seconds.After 10 seconds, add asafoetida, dry red chilli and curry leaves. Let it sizzle for another 15 seconds.Next, add shallots, green chillies, garlic and sauté for a minute. Add tomato pieces and a little salt. Cook till the tomatoes become mushy.Once the tomatoes turn soft, add sambar powder and mix well. Sauté for 2 minutes.Add the mixed vegetables (drumsticks, pumpkin, bottle gourd, mangalore cucumber, carrot and beans), tamarind pulp, 2 cups of water, jaggery and mix well. Close the lid of the pressure cooker &amp; cook for 2 whistle. Turn off the heat &amp; open the lid once the pressure subsides.Give it a mix, garnish with coriander and serve hot. Serve Mukkala Pulusu along with Steamed Rice, Beetroot Thoran and Elai Vadam for a weekday lunch or dinner.
</t>
  </si>
  <si>
    <t xml:space="preserve">ముక్కల పులుసు రెసిపీని తయారు చేయడం ప్రారంభించడానికి, ముందుగా మీడియం వేడి మీద భారీ అడుగున ఉన్న పాన్‌లో నూనె వేడి చేయండి. ఆవాలు, జీలకర్ర మరియు మెంతులు వేయాలి. వాటిని సుమారు 10 సెకన్ల పాటు ఉడికించాలి. 10 సెకన్ల తర్వాత, ఇంగువ, ఎండు మిరపకాయ మరియు కరివేపాకు జోడించండి. మరో 15 సెకనులు ఉడకనివ్వండి.తర్వాత, ఉల్లిపాయలు, పచ్చిమిర్చి, వెల్లుల్లి వేసి ఒక నిమిషం పాటు వేయించాలి. టొమాటో ముక్కలు, కొద్దిగా ఉప్పు వేయాలి. టొమాటోలు మెత్తబడే వరకు ఉడికించాలి. టొమాటోలు మెత్తగా మారిన తర్వాత, సాంబార్ పొడి వేసి బాగా కలపాలి. 2 నిమిషాలు వేగించండి.మిక్స్డ్ వెజిటేబుల్స్ (మునగకాయలు, గుమ్మడికాయ, సీసా పొట్లకాయ, మంగళూరు దోసకాయ, క్యారెట్ మరియు బీన్స్), చింతపండు గుజ్జు, 2 కప్పుల నీరు, బెల్లం వేసి బాగా కలపాలి. ప్రెజర్ కుక్కర్ మూత మూసివేసి 2 విజిల్ వచ్చే వరకు ఉడికించాలి. వేడిని ఆపివేసి, ఒత్తిడి తగ్గిన తర్వాత మూత తెరవండి. దానిని మిక్స్ చేసి, కొత్తిమీరతో అలంకరించి వేడిగా వడ్డించండి. ముక్కల పులుసుతో పాటు స్టీమ్డ్ రైస్, బీట్‌రూట్ థోరన్ మరియు ఎలై వడమ్ వారాంతపు లంచ్ లేదా డిన్నర్‌కి వడ్డించండి.
</t>
  </si>
  <si>
    <t>https://www.archanaskitchen.com/mukkala-pulusu-recipe-andhra-style-mixed-vegetable-sambar</t>
  </si>
  <si>
    <t>Andhra Style Karivepaku Pachadi Recipe (Curry Leaf Chutney Recipe)</t>
  </si>
  <si>
    <t>ఆంధ్రా స్టైల్ కరివేపాకు పచ్చడి (కరివేపాకు పచ్చడి రిసిపి)</t>
  </si>
  <si>
    <t>8 రెమ్మలు కరివేపాకు, 2 టేబుల్ స్పూన్లు చనా పప్పు (బెంగాల్ పప్పు), 3 ఎండు మిరపకాయలు - లేదా 2 పచ్చి మిరపకాయలు సరిపోతాయి, 1 అంగుళం అల్లం - తరిగిన, 1 కప్పు చింతపండు నీరు, 1 టీస్పూన్ ఆవాలు, 1 ఎండు మిర్చి</t>
  </si>
  <si>
    <t>8 sprigs Curry leaves,2 tablespoon Chana dal (Bengal Gram Dal),3 Dry Red Chillies - or 2 green chillies will do,1 inch Ginger - chopped,1 cup Tamarind Water,1 teaspoon Mustard seeds,1 Dry Red Chilli</t>
  </si>
  <si>
    <t xml:space="preserve">We begin making the Andhra Style Karivepaku Pachadi Recipe (Curry Leaf Chutney Recipe) by heating a skillet with oil, crackle the channa dal and roast the dry red chillies.Once done, roast the curry leaves till it crisps up and then add the chopped ginger. Give it a saute.Then add in the tamarind water and let soak up the water. Reduce the flame at this point and give it a proper stir.Allow it to cool down and then grind it into a smooth paste. Keep it aside.Now to temper you can heat a small kadai and then crackle the mustard seeds and dry red chilli and add it over the chutney and serve. Serve the Andhra Style Kavepaku Pachadi Recipe (Curry Leaf Chutney Recipe) along with Carrot Onion Uttapam Recipe to relish your morning breakfast.
</t>
  </si>
  <si>
    <t xml:space="preserve">మేము ఆంధ్రా స్టైల్ కరివేపాకు పచ్చడి రిసిపి (కరివేపాకు పచ్చడి రెసిపీ) ను ఒక స్కిల్లెట్‌ని నూనెతో వేడి చేసి, చన్నా పప్పును పగులగొట్టి, ఎండు మిరపకాయలను కాల్చడం ద్వారా ప్రారంభించాము. ఒక సాట్ ఇవ్వండి. తర్వాత చింతపండు నీళ్లలో వేసి నీటిని నాననివ్వండి. ఈ సమయంలో మంటను తగ్గించండి మరియు దానిని సరైన కదిలించు. దానిని చల్లబరచడానికి అనుమతించండి మరియు తరువాత మెత్తని పేస్ట్‌గా రుబ్బుకోండి. పక్కన పెట్టండి.ఇప్పుడు మీరు ఒక చిన్న కడాయిని వేడి చేసి, ఆపై ఆవాలు మరియు ఎండు మిరపకాయలను పగులగొట్టి, చట్నీ మీద వేసి సర్వ్ చేయవచ్చు. మీ ఉదయపు అల్పాహారాన్ని ఆస్వాదించడానికి ఆంధ్రా స్టైల్ కవేపాకు పచ్చడి రిసిపి (కరివేపాకు పచ్చడి రిసిపి)తో పాటు క్యారెట్ ఆనియన్ ఉత్తపం రిసిపిని సర్వ్ చేయండి.
</t>
  </si>
  <si>
    <t>https://www.archanaskitchen.com/andhra-style-kavepaku-pachadi-recipe-curry-leaf-chutney-recipe</t>
  </si>
  <si>
    <t>Andhra Style Paruppu Podi Recipe - Dal Podi</t>
  </si>
  <si>
    <t>ఆంధ్రా స్టైల్ పారుప్పు పొడి రిసిపి - దాల్ పొడి</t>
  </si>
  <si>
    <t>2 టేబుల్ స్పూన్లు చనా పప్పు (బెంగాల్ పప్పు), 2 టేబుల్ స్పూన్లు నల్ల ఉరద్ పప్పు (స్ప్లిట్), 2 టేబుల్ స్పూన్లు అర్హర్ పప్పు (స్ప్లిట్ టూర్ పప్పు), 2 టేబుల్ స్పూన్లు పసుపు పచ్చి పప్పు (స్ప్లిట్), 2 టేబుల్ స్పూన్లు గుర్రపు పప్పు (కొల్లు/ కులిత్), 10 నుండి 12 ఎండు మిరపకాయలు, 1/2 టీస్పూన్లు, 1/2 టీస్పూన్లు బెల్లం, 1 టేబుల్ స్పూన్ నువ్వులు (బెల్లం) నూనె</t>
  </si>
  <si>
    <t>2 tablespoons Chana dal (Bengal Gram Dal),2 tablespoons Black Urad Dal (Split),2 tablespoons Arhar dal (Split Toor Dal),2 tablespoons Yellow Moong Dal (Split),2 tablespoons Horse Gram Dal (Kollu/ Kulith),10 to 12 Dry Red Chillies,1/2 teaspoon Asafoetida (hing),Salt - to taste,1/2 teaspoon Jaggery,1 tablespoon Sesame (Gingelly) Oil</t>
  </si>
  <si>
    <t xml:space="preserve">To begin making the Andhra Style Paruppu Podi, heat oil in a kadhai/wok &amp; roast the red chillies for abaout 3-4 minutes.When the chillies are roasted collect them in a plate.In the same pan, add 1/2 teaspoon of oil &amp; roast the dals -  chana dal, urad dal, toor dal, moong dal and horse gramon low flame until golden brown. When done, collect them in a plate.Allow the ingredients to cool down completely. Grind salt, jaggery, red chillies, hing into fine powder in a grinder. Then add in the dals &amp; grind them into coarse powder.Andhra Style Paruppu Podi is ready to serve. Serve this Andhra Style Paruppu Podi with hot steamed rice with a dash of ghee or gingerly oil and Keerai Sambar for a perfect South Indian meal.
</t>
  </si>
  <si>
    <t xml:space="preserve">ఆంధ్రా స్టైల్ పారుప్పు పొడిని తయారు చేయడం ప్రారంభించడానికి, కడాయి/వాక్‌లో నూనె వేడి చేసి, 3-4 నిమిషాల పాటు ఎర్ర మిరపకాయలను కాల్చండి. మిరపకాయలు వేయించినప్పుడు వాటిని ఒక ప్లేట్‌లో సేకరించండి. అదే పాన్‌లో, 1/2 టీస్పూన్ నూనె వేసి, పప్పులను -                                                     చనా పప్పు, ఉరద్ పప్పు, ముద్ద పప్పు, పచ్చి బంగాళాదుంప, పొగా ,  వెళ్లి పప్పు, పొడి, పొడి, వెళ్లిపొడి గోధుమ రంగు. పూర్తయిన తర్వాత, వాటిని ఒక ప్లేట్‌లో సేకరించండి. పదార్థాలను పూర్తిగా చల్లబరచడానికి అనుమతించండి. ఉప్పు, బెల్లం, ఎండుమిర్చి, గ్రైండర్‌లో మెత్తగా మెత్తగా రుబ్బుకోవాలి. తరవాత పప్పులు వేసి ముతక పౌడర్‌గా రుబ్బుకోవాలి.ఆంధ్రా స్టైల్ పరుప్పు పొడి సర్వ్ చేయడానికి సిద్ధంగా ఉంది. ఈ ఆంధ్రా స్టైల్ పారుప్పు పొడిని వేడి వేడి అన్నంతో నెయ్యి లేదా అల్లం నూనెతో పాటు కీరై సాంబార్‌తో అందించండి.
</t>
  </si>
  <si>
    <t>http://www.archanaskitchen.com/andhra-style-paruppu-podi-recipe-dal-podi</t>
  </si>
  <si>
    <t>Andhra Style Kandi Pachadi</t>
  </si>
  <si>
    <t>ఆంధ్రా స్టైల్ కంది పచ్చడి రెసిపీ - ఆంధ్రా స్టైల్ కంది పచ్చడి (హిందీలో రెసిపీ)</t>
  </si>
  <si>
    <t>1 కప్ తుఅర్ దాల్ - పిలి,1/4 కప్ సఫేద్ ఉరద్ దాల్ (విభజన),3 సుఖీ లాల్ మిర్చ్,1/2 కప రోస్ట్,1 ఛోటా చమచ్చ జీరా,18 గ్రాములు ఇమలి,4 కలి లహసున్,నమక్ - స్వాద్ అనుసార్,1 ఛోచట,1 చమట ఛోట చమచ్చ సఫోద్ ఉరద దాల్,2 సుఖీ లాల్ మిర్చ్,1 తహని కథ -పఠం, భర్,తెల</t>
  </si>
  <si>
    <t>1 cup tur dal - pili, 1/4 cup white urad dal (split), 3 dry red chillies, 1/2 cup roasted chana dal, 1 teaspoon cumin seeds, 18 grams tamarind, 4 bud garlic, salt - 1 to taste Teaspoon mustard, 1 teaspoon white urad dal, 2 dry red chillies, 1 sprig curry leaves, asafetida - a pinch, oil</t>
  </si>
  <si>
    <t>"To make Andhra Style Kandi Pachadi, first heat oil in a pan. Add toor dal, cumin seeds and cook till light brown in color. Now add urad dal and dried red chillies and cook for 1 to 2 minutes. Turn off the gas and let this mixture cool down. Add tamarind, garlic, some water and grind it in a mixer grinder. Take it out in a bowl. Now for tempering, heat oil in a tempering pan. Add mustard seeds, urad dal and cook for 10 seconds. Now add curry leaves, dried red chillies, asafoetida and cook for 10 seconds. Pour this tempering in the chutney and mix it. Serve Andhra Style Kandi Pachadi with Keerai Sambar, Cabbage Thoran, Rice and Papad for lunch. "</t>
  </si>
  <si>
    <t xml:space="preserve">ఆంధ్రా స్టైల్ కండీ పచ్చడి బనానె కోసం సబసే పహలే ఒక కధకై రంగం తెలపండి ఇలాంటివి తుఅర్ దాల్, జీరా దాలే మరియు హల్కా భూరా హోనే తక పకా లే. ఇప్పుడు ఉరద్ దాల్ మరియు సుఖీ లాల్ మిర్చ్ డాలే మరియు 1 నుండి 2 నిమిషాల వరకు. गैस बंद करें and दिस मिश्रन को ठंडा होने दे. ఇమలి, లహసున్, థోడా పానీ డాలే మరియు మిక్సర్ గ్రైండర్‌లో పీస్ లే. ఒక బౌల్ మేం నికల్ లేదు. అదే విధంగా రాయ్, ఉరద్ దాల్ డాలే మరియు 10 సెకండ్‌లు కూడా ఉన్నాయి. అబ్ ఇదే కఢీ పట్టా, సుఖీ లాల్ మిర్చ్, హింగ్ డాలే మరియు 10 సెకండ్‌ల కోసం లిలే పక ఈ తడకే కో చటని మెం డాలే మరియు మిలా లే. ఆంధ్రా స్టైల్ కండీ పచ్చడి కో కీరై సాంబార్, పత్తా గోభి థోరన్, చావల కరపత్రం రోజు కోసం ఖానే కోసం.
</t>
  </si>
  <si>
    <t>https://www.archanaskitchen.com/andhra-style-kandi-pachadi-recipe-masoor-dal-chutney-recipe-in-hindi</t>
  </si>
  <si>
    <t>Arbi with Sesame Tamarind Sauce</t>
  </si>
  <si>
    <t>ఆంధ్రా చమ దంప పులుసు రెసిపీ - నువ్వుల చింతపండు సాస్‌తో అర్బీ (హిందీలో రెసిపీ)</t>
  </si>
  <si>
    <t>250 గ్రామ అరబి,2 ఛోటే చమచ్చ ఇమలి కా పెస్ట్,4 హరి మిర్చ్ - కాట్ లే,3 చప్ట్ (సఫద),నమక్ - స్వాద్ అనుసార్,తేల్ - ప్రయోగ్ అనుసార్,1/2 ఛోటా చమచ్చ రాయి,1/2 చట్ జీరా,1/4 ఛోటా చమచ్చ హల్దీ పౌడర్,కఢీ పట్టా - థోడే,హరా ధనియా - థానియా</t>
  </si>
  <si>
    <t>250 ग्राम अरबी,2 छोटे चमच्च इमली का पेस्ट,4 हरी मिर्च - काट ले,3 बड़े चमच्च तिल (सफ़ेद),नमक - स्वाद अनुसार,तेल - प्रयोग अनुसार,1/2 छोटा चमच्च राइ,1/2 छोटा चमच्च जीरा,1/4 छोटा चमच्च हल्दी पाउडर,कढ़ी पत्ता - थोड़े,हरा धनिया - थोड़ा</t>
  </si>
  <si>
    <t>"To make Andhra Chama Dampa Pulusu, first peel and chop the arbi. Add water to a saucepan and cook till the arbi becomes soft. Soak tamarind in water for 10 minutes and extract its pulp. Now add sesame seeds in a small pan and cook till golden brown. After it cools down, put it in a blender and grind it. Now heat oil in a pan. Add mustard seeds, cumin seeds and cook for 10 seconds. Now add turmeric, green chillies and curry leaves. Cook for 15 seconds. Now add arbi and let it cook for 2 minutes. After 2 minutes add tamarind mixture and salt. Mix everything. Finally add sesame powder and cook for 2 more minutes. Turn off the gas and garnish with coriander leaves. Serve Andhra Chama Dampa Pulusu with Beetroot Pachadi and Phulkas for lunch."</t>
  </si>
  <si>
    <t xml:space="preserve">ఆంధ్రా చమ దంప పులుసు బనానె కే లియే సబ్సే పహలే అరబీ కో ఛీల్ కర్ కాట్ లే. ఒక సస్పెన్స్ లో పానీ కే సాథ్ డాలే మరియు అరబిక్ నరం హోనే. ఇమలి కో 10 నిమిషాలకు పని మీద బిగో లే మరియు ఉసక పల్ప నికాల్ లే. అబ్ ఒక ఛోటీ కధై మెం టిల్ డాలే మరియు సునహారా హోనే తక పక లే. ఒక బ్లెండర్‌లో డాలే మరియు పీస్ లే. ఇప్పుడు ఒక కథ అదే విధంగా రాయ్, జీరా డాలే మరియు 10 సెకండ్‌లు తక పక లే. ఇప్పుడు హల్దీ, హరి మీర్చ్ మరియు కఢీ పట్టా దాలే. 15 సెకండ్లు మాత్రమే. ఇప్పుడు అరబి డాలే మరియు 2 నిమిషాలు మాత్రమే. 2 నిమిషాల పాటు ఇమలి కా మిశ్రమం మరియు నమక్ దాలే. సబకో మిలా లే.అంత మేం తిల్ కా పౌడర్ డాలే మరియు 2 నిమిషాల పాటు పక లే.  గేస్ బంద్ కరేం మరియు హరే ధనియే సే గార్నిష్ కరేం. ఆంధ్రా చమ దంప పులుసు కోసం బీటరూట్ పచ్చడి మరియు పూర్తి రోజు కోసం.
</t>
  </si>
  <si>
    <t>https://www.archanaskitchen.com/andhra-style-chama-dumpa-pulusu-recipe-arbi-with-sesame-tamarind-sauce-recipe-in-hindi</t>
  </si>
  <si>
    <t>Andhra Style Peanut Chutney Recipe With Tomatoes</t>
  </si>
  <si>
    <t>టమోటాలతో ఆంధ్రా స్టైల్ వేరుశెనగ చట్నీ</t>
  </si>
  <si>
    <t>1 కప్పు వేయించిన వేరుశెనగ (మూంగ్‌ఫాలి) - చర్మం తొలగించి, 3 లవంగాలు, వెల్లుల్లి, 2 టమోటాలు - సన్నగా తరిగిన, 5 ఎండు మిరపకాయలు, 1 టీస్పూన్ సన్‌ఫ్లవర్ ఆయిల్, 1 టీస్పూన్ ఆవాలు, 1 టీస్పూన్ తెల్ల ఉరద్ పప్పు (విడదీయండి), 1 రెమ్మ కరివేపాకు, ఉప్పు - రుచికి</t>
  </si>
  <si>
    <t>1 cup Roasted Peanuts (Moongphali) - with skin removed,3 cloves Garlic,2 Tomatoes - finely chopped,5 Dry Red Chillies,1 teaspoon Sunflower Oil,1 teaspoon Mustard seeds,1 teaspoon White Urad Dal (Split),1 sprig Curry leaves,Salt - to taste</t>
  </si>
  <si>
    <t xml:space="preserve">To begin making the Andhra Style Peanut Chutney Recipe, on a low heat, dry roast the peanuts and red chillies together till the peanuts are fragrant and browned. Keep stirring so that they don't burn.Also always split your chilies in half before roasting or frying to prevent the sudden sputtering.Once the peanuts and chilies are roasted, keep aside to cool.In about a cup of boiling water, blanch the tomatoes for about 5 minutes, slit the tomatoes slightly at the end so that it's easier to peel. Peel the blanched tomatoes and keep aside to cool.Once peanuts and tomatoes are cool, Add them to a mixer grinder along with garlic and salt and blend well to make the chutney. Add a little water if required. Check the salt and adjust to suit your taste. Transfer the Peanut Chutney to a bowl.The final step is to make the Tadka.In a small pan, heat oil and add mustard seeds and allow them to splutter. Once they splutter, add the urad dal and curry leaves. Saute for about 1-2 minutes till the dal is browned and crunchy.Add the Tadka to the Peanut Chutney and serve.Serve the Andhra Style Peanut Chutney with Ragi Idli  or Ghee Masala Dosa Recipe for a wholesome breakfast.
</t>
  </si>
  <si>
    <t xml:space="preserve">ఆంధ్రా స్టైల్ వేరుశెనగ చట్నీ రెసిపీని తయారు చేయడం ప్రారంభించడానికి, తక్కువ వేడి మీద, వేరుశెనగలు మరియు ఎర్ర మిరపకాయలను కలిపి వేరుశెనగలు సువాసన మరియు గోధుమ రంగు వచ్చే వరకు పొడిగా వేయించాలి. మిరపకాయలు కాలిపోకుండా కదిలించండి. అలాగే మీ మిరపకాయలను వేయించడానికి లేదా వేయించడానికి ముందు వాటిని సగానికి విభజించండి. వేరుశెనగ మరియు మిరపకాయలను కాల్చిన తర్వాత, చల్లబరచడానికి పక్కన పెట్టండి. సుమారు ఒక కప్పు వేడినీటిలో, సుమారు 5 నిమిషాలు టొమాటోలను కొద్దిగా కోయండి. బ్లాంచ్డ్ టొమాటోలను పీల్ చేసి, చల్లబరచడానికి పక్కన పెట్టండి. వేరుశెనగ మరియు టొమాటోలు చల్లబడిన తర్వాత, వాటిని వెల్లుల్లి మరియు ఉప్పుతో పాటు మిక్సర్ గ్రైండర్‌లో వేసి చట్నీ చేయడానికి బాగా కలపండి. అవసరమైతే కొద్దిగా నీరు కలపండి. ఉప్పును తనిఖీ చేయండి మరియు మీ అభిరుచికి అనుగుణంగా సర్దుబాటు చేయండి. వేరుశెనగ చట్నీని ఒక గిన్నెలోకి మార్చండి. ఆఖరి దశ తడ్కాను తయారు చేయడం. ఒక చిన్న పాన్‌లో నూనె వేడి చేసి ఆవాలు వేసి వాటిని చిలకరించడానికి అనుమతించండి. అవి చిమ్మిన తర్వాత, ఉరద్ పప్పు మరియు కరివేపాకు జోడించండి. పప్పు బ్రౌన్ మరియు కరకరలాడే వరకు సుమారు 1-2 నిమిషాలు వేగించండి. శనగ చట్నీకి తడ్కా వేసి సర్వ్ చేయండి. ఆంధ్రా స్టైల్ వేరుశెనగ చట్నీని రాగి ఇడ్లీ లేదా నెయ్యి మసాలా దోస రిసిపితో ఆరోగ్యకరమైన అల్పాహారం కోసం సర్వ్ చేయండి.
</t>
  </si>
  <si>
    <t>http://www.archanaskitchen.com/andhra-style-peanut-chutney-recipe-with-tomatoes</t>
  </si>
  <si>
    <t>Andhra Style Potato Korma Recipe</t>
  </si>
  <si>
    <t>ఆంధ్రా స్టైల్ పొటాటో కోర్మా రిసిపి</t>
  </si>
  <si>
    <t>4 బంగాళదుంపలు (ఆలూ) - చిన్న ఘనాలగా కట్, 1 రాతి పువ్వు, 1 స్టార్ సోంపు, 1 అంగుళం దాల్చిన చెక్క (దాల్చినీ), 2 ఏలకులు (ఎలాచి) పాడ్స్/విత్తనాలు, 1 టీస్పూన్ ఫెన్నెల్ గింజలు (సాన్ఫ్), 1 ఉల్లిపాయ - ముక్కలు, 1 టమోటో - తరిగిన లవంగాలు, 4 తరిగిన లవంగాలు, 4 తరిగిన లవంగాలు కొత్తిమీర (ధనియా) ఆకులు - తరిగిన, 4 రెమ్మల పుదీనా (పుదీనా) - తరిగిన, 1 పచ్చిమిర్చి - తరిగిన, 1 టీస్పూన్ ఎర్ర మిరప పొడి, 1/2 టీస్పూన్ కొత్తిమీర పొడి (ధనియా), 1/2 టీస్పూన్ పసుపు పొడి (హల్దీ), 1 టీస్పూన్ గరం మసాలా పొడి, ఉప్పు - 5 టీస్పూన్ గరం మసాలా పొడి - 5 టీస్పూన్లు, ఉప్పు - 5 స్పూన్లు కాల్చిన</t>
  </si>
  <si>
    <t>4 Potatoes (Aloo) - cut into small cubes,1 Stone flower,1 Star anise,1 inch Cinnamon Stick (Dalchini),2 Cardamom (Elaichi) Pods/Seeds,1 teaspoon Fennel seeds (Saunf),1 Onion - sliced,1 Tomato - chopped,2 cloves Garlic - chopped,1 inch Ginger - chopped,4 sprig Coriander (Dhania) Leaves - chopped,4 sprig Mint Leaves (Pudina) - chopped,1 Green Chilli - chopped,1 teaspoon Red Chilli powder,1 tablespoon Coriander Powder (Dhania),1/2 teaspoon Turmeric powder (Haldi),1 teaspoon Garam masala powder,Salt - to taste,1/2 cup Fresh coconut - grated,5 tablespoons Poppy seeds - roasted</t>
  </si>
  <si>
    <t xml:space="preserve">To begin making Andhra Style Potato Korma the Recipe grind the roasted poppy seeds and coconut with water to a smooth paste and keep it aside.Heat a pressure cooker with oil, add fennel seeds, stone flower, star anise, cinnamon and cardamom and fry for 10 seconds.Add sliced onions, ginger, garlic and green chilli and fry for about 5 minutes till the onions turn translucent.Add tomatoes and salt and saute until it becomes soft and mushy. Add in the chopped herbs and give it a stir.Add the ground paste along with spice powders (red chilli powder, turmeric, garam masala, coriander powder) and salt. Mix well.Saute for 5 more minutes, add potatoes and 1 cup of water and pressure cook for 3 whistle.Switch off the heat and allow the pressure to release by itself and serve hot.Serve the Andhra Style Potato Korma along with Tawa Paratha or Hibiscus (Chembaruthi) Neer Dosa to enjoy your evening meal.
</t>
  </si>
  <si>
    <t xml:space="preserve">ఆంధ్రా స్టైల్ బంగాళాదుంప కోర్మాను తయారు చేయడం ప్రారంభించడానికి, వేయించిన గసగసాలు మరియు కొబ్బరిని నీటితో మెత్తగా పేస్ట్ చేసి పక్కన పెట్టండి. ప్రెషర్ కుక్కర్‌ను నూనెతో వేడి చేసి, సోపు గింజలు, రాతి పువ్వు, స్టార్ సోంపు, దాల్చినచెక్క మరియు యాలకులు వేసి 10 సెకన్ల పాటు వేయించాలి. ఉల్లిపాయలు, వెల్లుల్లి ముక్కలు వేసి 5 నిమిషాలు వేయించాలి. అపారదర్శక. టమోటాలు మరియు ఉప్పు వేసి మెత్తగా మరియు మెత్తగా అయ్యే వరకు వేయించాలి. తరిగిన మూలికలను వేసి కదిలించు. మసాలా పొడి (ఎర్ర మిరప పొడి, పసుపు, గరం మసాలా, కొత్తిమీర పొడి) మరియు ఉప్పుతో పాటు గ్రౌండ్ పేస్ట్ జోడించండి. బాగా కలపండి. మరో 5 నిమిషాలు వేగించండి, బంగాళాదుంపలు మరియు 1 కప్పు నీరు వేసి 3 విజిల్ కోసం ప్రెషర్ ఉడికించాలి. వేడిని ఆపివేసి, ప్రెజర్ దానంతటదే విడుదలయ్యేలా చేసి, వేడిగా వడ్డించండి. తవా పరాటా లేదా మందార (చెంబరుతి) నీర్ దోసతో పాటు మీ సాయంత్రం భోజనాన్ని ఆస్వాదించండి.
</t>
  </si>
  <si>
    <t>https://www.archanaskitchen.com/andhra-style-potato-korma-recipe</t>
  </si>
  <si>
    <t>Aava Pettina Majjiga Pulusu Recipe - Andhra Style Mor Kuzhambu</t>
  </si>
  <si>
    <t>ఆవ పెట్టిన మజ్జిగ పులుసు రెసిపీ - ఆంధ్రా స్టైల్ మోర్ కుజంబు</t>
  </si>
  <si>
    <t>1 కప్పు పెరుగు (దహీ / పెరుగు) - కొరడాతో, 1 కప్పు నీరు, 4 బేబీ బంగాళాదుంపలు - ఉడకబెట్టి, ఒలిచిన, 1 క్యారెట్ (గజ్జర్) - ముక్కలు, 1/2 కప్పు సీసా (లౌకి), 1 టొమాటో - పావు, ఉప్పు - రుచికి, 1 పచ్చిమిర్చి - చీలిక, 1/4 టీస్పూన్ (హింగ్), 2 రెమ్మ కరివేపాకు, 1 టీస్పూన్ చనా పప్పు (బెంగాల్ పప్పు), 1 టీస్పూన్ నువ్వులు (టిల్ గింజలు), 1 టీస్పూన్ బియ్యం, 2 1/2 టీస్పూన్లు ఆవాలు, 1/2 టేబుల్ స్పూన్లు తాజా కొబ్బరి - ముక్కలుగా తరిగిన, 1/2 కప్పు వేడినీరు, 1/2 టీస్పూన్ సన్‌ఫ్లవర్ ఆయిల్ - 1/2 టీస్పూన్ ఆవాలు (4 టీస్పూన్ ఆవాలు చూడండి) కొన్ని,ఆసుఫోటిడా (హింగ్) - చిటికెడు</t>
  </si>
  <si>
    <t>1 cup Curd (Dahi / Yogurt) - whisked,1 cup Water,4 Baby Potatoes - boiled and peeled,1 Carrot (Gajjar) - diced,1/2 cup Bottle gourd (lauki),1 Tomato - quartered,Salt - to taste,1 Green Chilli - slit,1/4 teaspoon Turmeric powder (Haldi),1/4 teaspoon Asafoetida (hing),2 sprig Curry leaves,1 teaspoon Chana dal (Bengal Gram Dal),1 teaspoon Sesame seeds (Til seeds),1 teaspoon Rice,2 1/2 teaspoons Mustard seeds,1/2 tablespoon Fresh coconut - chopped into pieces,1/2 cup Hot water,1/2 teaspoon Sunflower Oil,1/2 teaspoon Mustard seeds,1/4 teaspoon Methi Seeds (Fenugreek Seeds) - a few,Asafoetida (hing) - a pinch</t>
  </si>
  <si>
    <t xml:space="preserve">To begin making Aava Pettina Majjiga Pulusu Recipe, soak Chana Dal, Sesame Seeds, Raw Rice, Mustard Seeds and Fresh Coconut in a cup of hot water for 20 minutes.This is soaked in hot water so that the ingredients get soft and gets easy to grind the Aava paste (mustard paste).Once the ingredients are soft, grind them all together in a mixer to a smooth paste and set the aava paste aside.  Into a pressure cooker, add a cup of water, salt and turmeric powder, potato, carrots, bottle gourd, tomatoes, slit green chilli, curry leaves and pressure cook for 3 whistles. Turn off the heat and allow the pressure to release naturally. In another pan, on a low heat add the cup of whisked curd, half a cup of water, the Aava paste, a pinch of Asafoetida and bring to boil. Turn off the heat. Do not add salt to the curd mixture when it is boiling, the mixture will curdle. Add salt only after adding the vegetables.After all the vegetables are cooked, add them to the curd mixture along with the water. Mix well and simmer the Aava Pettina Majjiga Pulusu for 3 to 4 minutes. Add more salt if required. In a tadka pan, add a teaspoon of oil. Once the oil is hot, add mustard seeds, fenugreek seeds (do not add too many, just 4 to 7 seeds would suffice) and asafoetida.Once the mustard seeds stops crackling, turn off the flame and pour this over the prepared Aava Pettina Majjiga Pulusu. Mix well and serveServe Andhra Style Aava Pettina Majjiga Pulusu along with Steamed Rice, Palak Pappu, Muttaikose Poriyal for a wholesome lunch or dinner.
</t>
  </si>
  <si>
    <t xml:space="preserve">ఆవ పెట్టిన మజ్జిగ పులుసు రెసిపీని తయారు చేయడం ప్రారంభించడానికి, చనా పప్పు, నువ్వులు, పచ్చి బియ్యం, ఆవాలు మరియు తాజా కొబ్బరిని ఒక కప్పు వేడి నీటిలో 20 నిమిషాలు నానబెట్టండి. దీనిని వేడి నీటిలో నానబెట్టండి, తద్వారా పదార్థాలు మెత్తగా మరియు మెత్తగా రుబ్బుకోవడం సులభం అవుతుంది. ఆవా పేస్ట్ పక్కన పెట్టండి.  ప్రెషర్ కుక్కర్‌లో ఒక కప్పు నీరు, ఉప్పు మరియు పసుపు పొడి, బంగాళాదుంప, క్యారెట్, బాటిల్, టొమాటోలు, పచ్చిమిర్చి ముక్కలు, కరివేపాకు వేసి 3 విజిల్స్ వచ్చే వరకు ప్రెషర్ ఉడికించాలి. వేడిని ఆపివేయండి మరియు ఒత్తిడిని సహజంగా విడుదల చేయడానికి అనుమతించండి. వేరొక బాణలిలో, తక్కువ వేడి మీద, కప్పు పెరుగు, అరకప్పు నీరు, ఆవా పేస్ట్, చిటికెడు ఇంగువ వేసి మరిగించాలి. వేడిని ఆపివేయండి. పెరుగు మిశ్రమం ఉడుకుతున్నప్పుడు ఉప్పు వేయకండి, మిశ్రమం పెరుగు అవుతుంది. కూరగాయలను జోడించిన తర్వాత మాత్రమే ఉప్పు వేయండి. అన్ని కూరగాయలు ఉడికిన తర్వాత, వాటిని నీటితో పాటు పెరుగు మిశ్రమానికి జోడించండి. బాగా మిక్స్ చేసి, ఆవ పెట్టిన మజ్జిగ పులుసును 3 నుండి 4 నిమిషాలు ఉడకబెట్టండి. అవసరమైతే మరింత ఉప్పు వేయండి. తడ్కా పాన్‌లో ఒక టీస్పూన్ నూనె వేయాలి. నూనె వేడయ్యాక, ఆవాలు, మెంతి గింజలు (ఎక్కువగా వేయవద్దు, 4 నుండి 7 గింజలు సరిపోతాయి) మరియు ఇంగువ వేయండి. ఆవాలు పగిలిపోవడం ఆగిపోయిన తర్వాత, మంటను ఆపి, సిద్ధం చేసిన ఆవా పెట్టిన మజ్జిగ పులుసుపై పోయాలి. బాగా మిక్స్ చేసి, ఆంధ్రా స్టైల్ ఆవా పెట్టిన మజ్జిగ పులుసు తో పాటు స్టీమ్డ్ రైస్, పాలక్ పప్పు, ముత్తాయికోస్ పొరియాల్ తో పాటు ఆరోగ్యకరమైన లంచ్ లేదా డిన్నర్ కోసం సర్వ్ చేయండి.
</t>
  </si>
  <si>
    <t>https://www.archanaskitchen.com/aava-pettina-majjiga-pulusu-recipe-yogurt-in-a-mustard-sauce</t>
  </si>
  <si>
    <t>Andhra Style Beetroot Vepudu Recipe</t>
  </si>
  <si>
    <t>ఆంధ్రా స్టైల్ బీట్‌రూట్ వేపుడు రెసిపీ - Andhra Style Beetroot Vepudu Recipe</t>
  </si>
  <si>
    <t>3 చకుందర్ - (బీటరూట్),2 బడే చమచ్చ టెల్,1 బడా చమచ్చ చనా దాల, 1 చమచ్ సఫేద్ ఉరద్ దాల్,1/2 ఛోటా చమచ్చ జీరా,నమక్ - స్వాద్ అనుసార్,1 పత్తా,1 సుఖీ లాల్ మిర్చ్</t>
  </si>
  <si>
    <t>3 चकुंदर - (बीटरूट),2 बड़े चमच्च तेल,1 बड़ा चमच्च चना दाल,1 बड़ा चमच्च सफ़ेद उरद दाल,1/2 छोटा चमच्च जीरा,नमक - स्वाद अनुसार,1 टहनी कढ़ी पत्ता,1 सुखी लाल मिर्च</t>
  </si>
  <si>
    <t>"To begin making Andhra Style Beetroot Vepudu recipe, wash and peel the beetroot. After peeling chop it into small pieces. Put the beetroot in a steamer and cook till it becomes soft or put the beetroot in a saucepan with water and cook till it becomes soft. Drain the water and keep the beetroot aside. Now heat oil in a pan. Once the oil is hot add cumin seeds, chana dal, urad dal, curry leaves, dried red chillies and cook till the dal changes color. Now add beetroot, salt and cook for 1 to 2 minutes. Turn off the gas and serve. Serve Andhra Style Beetroot Vepudu with Tomato Onion Sambar, Rice and Papad for lunch. "</t>
  </si>
  <si>
    <t xml:space="preserve">ఆంధ్రా స్టైల్ బీటరూట్ వేపుడు రేసిపీ బనానె కే లియే సబ్సే పహలే చాకుందర్ లే. छिलने क बाद इस छोटा खोटा कात ले. బీట్‌రూట్ కో స్టైమర్ మెన్ డాలే మరియు నరమ్ హోనే తక పక లే యా ఫిర్ బీటరూట్ కోసం పానీ కె సాథ్ డాలే మరియు నరమ్ హోనే తక్ పక లే. పానీ ఫేక్ దే మరియు బీటరూట్ కో అలగ్ సే రఖ్ దే. ఇప్పుడు ఒక కథ జీరా, చన దాల్, ఉరద దాల్, కధ పత్తా, సులఖీ మరియు దళం యొక్క రంగస్థలం తరగడం లేదు. పక లే. గేస్ బంద్ కరెన్ మరియు పరోసే. ఆంధ్రా స్టైల్ బీటరూట్ వేపుడు కొ టమాటర్ ప్యాజ్ సాంబార్, చావల్ మరియు పాపం కేప్ ఖానే కోసం. 
</t>
  </si>
  <si>
    <t>http://www.archanaskitchen.com/andhra-style-beetroot-vepudu-recipe-stir-fried-beetroot-in-hindi</t>
  </si>
  <si>
    <t>Andhra Style Coconut Flavored Rice Upma Recipe</t>
  </si>
  <si>
    <t>ఆంధ్రా స్టైల్ కోకోనట్ ఫ్లేవర్డ్ రైస్ ఉప్మా రిసిపి</t>
  </si>
  <si>
    <t>2 కప్పుల ఇడ్లీ రైస్ - 3 గంటలు నీటిలో నానబెట్టి, 3/4 కప్పు తాజా కొబ్బరి - తురిమిన, 6 ఎండు మిరపకాయలు - పగలగొట్టి, ఉప్పు - రుచికి, 2 టీస్పూన్లు చింతపండు పేస్ట్, 1 టీస్పూన్ బెల్లం, 1 కప్పు నీరు, 2 టేబుల్ స్పూన్లు కొబ్బరి నూనె, 1 టీస్పూన్ తెల్ల ఉరద్ పప్పు (విడదీయండి), 1 టీస్పూన్ సి.పప్పు, 3 చెంచాలు మిరపకాయలు - విరిగిన, 1 టేబుల్ స్పూన్ వేయించిన వేరుశెనగ (మూంగ్‌ఫాలి)</t>
  </si>
  <si>
    <t>2 cup Idli Rice - soaked in water for 3 hours,3/4 cup Fresh coconut - grated,6 Dry Red Chillies - broken,Salt - to taste,2 teaspoons Tamarind Paste,1 teaspoon Jaggery,1 cup Water,2 tablespoons Coconut Oil,1 teaspoon White Urad Dal (Split),1 teaspoon Chana dal (Bengal Gram Dal),Curry leaves - a few,3 Dry Red Chillies - broken,1 tablespoon Roasted Peanuts (Moongphali)</t>
  </si>
  <si>
    <t xml:space="preserve">To begin making Andhra Style Coconut Flavored Rice Upma Recipe, grind soaked and drained idli rice, along with freshly grated coconut, dry red chillies, and make a coarse mixture with 1/4 cup of water. Set aside. Heat a heavy bottomed vessel and add coconut oil. Once the oil is hot, add urad dal, chana dal, curry leaves, dry red chillies and groundnuts.Once they all turn light brown, crunchy, add the coarse coconut and rice mixture into the pan and mix it.Keep it closed and cook for about 20 minutes on low heat. Adjust water if needed.Stir with a ladle every 5 minutes or so.Keep it closed and cook until the rice gets cooked and water is absorbed.Serve Andhra Style Coconut Flavored Rice Upma Recipe with Andhra Gongura Pachadi Recipe or High-Protein Peanut Chutney Recipe for breakfast followed by South Indian Filter Coffee Recipe With Filter Coffee Powder for a complete breakfast meal.
</t>
  </si>
  <si>
    <t xml:space="preserve">ఆంధ్రా స్టైల్ కోకోనట్ ఫ్లేవర్డ్ రైస్ ఉప్మా రెసిపీని తయారు చేయడం ప్రారంభించడానికి, నానబెట్టిన మరియు ఎండబెట్టిన ఇడ్లీ బియ్యాన్ని తాజాగా తురిమిన కొబ్బరి, ఎండు మిరపకాయలతో పాటు గ్రైండ్ చేసి, 1/4 కప్పు నీటితో ముతక మిశ్రమాన్ని తయారు చేయండి. పక్కన పెట్టండి. బరువైన పాత్రను వేడి చేసి కొబ్బరి నూనె వేయాలి. నూనె వేడి అయిన తర్వాత, ఉరద్ పప్పు, శనగ పప్పు, కరివేపాకు, ఎండు మిరపకాయలు మరియు వేరుశెనగలను జోడించండి. అవన్నీ లేత గోధుమరంగు, క్రంచీగా మారిన తర్వాత, ముతక కొబ్బరి మరియు బియ్యం మిశ్రమాన్ని పాన్‌లో వేసి కలపాలి. దానిని మూసి ఉంచి తక్కువ వేడి మీద సుమారు 20 నిమిషాలు ఉడికించాలి. అవసరమైతే నీటిని సర్దుబాటు చేయండి. ప్రతి 5 నిమిషాలకు ఒకసారి గరిటెతో కదిలించు. దానిని మూసి ఉంచి, అన్నం ఉడికి, నీరు ఇంకే వరకు ఉడికించాలి. ఆంధ్రా స్టైల్ కొబ్బరి రుచులతో కూడిన రైస్ ఉప్మా రెసిపీని ఆంధ్రా గోంగూర పచ్చడి రెసిపీ లేదా అధిక మాంసకృత్తులు కలిగిన పీనట్ పీనట్ చట్నీ ఇండియన్ బ్రేక్‌ఆఫ్ రెసిపీతో అందించండి. పూర్తి అల్పాహారం కోసం ఫిల్టర్ కాఫీ పౌడర్‌తో కూడిన రెసిపీ.
</t>
  </si>
  <si>
    <t>https://www.archanaskitchen.com/andhra-style-coconut-flavored-rice-upma-recipe</t>
  </si>
  <si>
    <t>Andhra Style Chama Dumpa Pulusu Recipe - Arbi With Sesame Tamarind Sauce Recipe</t>
  </si>
  <si>
    <t>ఆంధ్రా స్టైల్ చామ దుంప పులుసు రిసిపి - నువ్వుల చింతపండు సాస్ తో అర్బీ</t>
  </si>
  <si>
    <t>250 గ్రాములు కొలోకాసియా రూట్ (అర్బీ), 2 టీస్పూన్లు చింతపండు పేస్ట్, 4 పచ్చిమిర్చి - చీలిక, 3 టేబుల్ స్పూన్లు నువ్వులు (టిల్ గింజలు), ఉప్పు - రుచికి, పొద్దుతిరుగుడు నూనె - అవసరమైనంత, 1/2 టీస్పూన్ ఆవాలు, 1/2 టీస్పూన్ జీలకర్ర (జీరా), 1/4 టీస్పూన్ పచ్చిమిర్చి, పచ్చిమిర్చి పొడి (పసుపు పొడి) ఆకులు - కొన్ని కొమ్మలు</t>
  </si>
  <si>
    <t>250 grams Colocasia root (Arbi),2 teaspoons Tamarind Paste,4 Green Chillies - slit,3 tablespoons Sesame seeds (Til seeds),Salt - to taste,Sunflower Oil - as required,1/2 teaspoon Mustard seeds,1/2 teaspoon Cumin seeds (Jeera),1/4 teaspoon Turmeric powder (Haldi),Curry leaves - few,Coriander (Dhania) Leaves - Few sprigs</t>
  </si>
  <si>
    <t xml:space="preserve">To begin making the Arbi With Sesame Tamarind Sauce recipe, Peel the arbi, cube them into bite size pieces and boil until tender.Soak the tamarind in enough water for 10 minutes and extract the pulp.Dry roast the sesame seeds until golden and set aside to cool down. Once cooled down, grind into powder.In a deep pan add the oil, once it's hot add the mustard, cumin seeds and allow them to pop.Next stir in the turmeric, green chillies and curry leaves. Saute for few seconds.Now add the arbi pieces and fry for couple of minutes.Later add in the tamarind extract and salt. Give it a good stir and simmer for couple of minutes.Now add the sesame powder and cook for couple more minutes.Lastly sprinkle some chopped coriander and serve hot. Serve Arbi With Sesame Tamarind Sauce along with Phulkas and Kachumber Salad for a weekday lunch or dinner.
</t>
  </si>
  <si>
    <t xml:space="preserve">నువ్వుల చింతపండు సాస్‌తో అర్బీని తయారు చేయడం ప్రారంభించడానికి, అరబిని పీల్ చేసి, వాటిని కాటు పరిమాణంలో ముక్కలుగా చేసి, లేత వరకు ఉడకబెట్టండి. చింతపండును తగినంత నీటిలో 10 నిమిషాలు నానబెట్టి, గుజ్జును తీయండి. నువ్వులను బంగారు రంగు వచ్చేవరకు వేయించి, చల్లబరచడానికి పక్కన పెట్టండి. చల్లారిన తర్వాత, పౌడర్‌గా రుబ్బుకోవాలి. లోతైన పాన్‌లో నూనె వేసి, అది వేడెక్కిన తర్వాత ఆవాలు, జీలకర్ర వేసి వాటిని పాప్ చేయడానికి అనుమతించండి. తరువాత పసుపు, పచ్చిమిర్చి మరియు కరివేపాకులను కలపండి. కొన్ని సెకన్ల పాటు వేయించాలి. ఇప్పుడు అరబీ ముక్కలను వేసి రెండు నిమిషాలు వేయించాలి. తరువాత చింతపండు సారం మరియు ఉప్పు వేయండి. రెండు నిమిషాలు బాగా కదిలించు మరియు ఆవేశమును అణిచిపెట్టుకోండి. ఇప్పుడు నువ్వుల పొడిని వేసి మరో రెండు నిమిషాలు ఉడికించాలి. చివరగా తరిగిన కొత్తిమీర చల్లి వేడిగా సర్వ్ చేయండి. వారపు రోజు లంచ్ లేదా డిన్నర్ కోసం ఫుల్కాస్ మరియు కచుంబర్ సలాడ్‌తో పాటు అర్బీని నువ్వుల చింతపండు సాస్‌తో సర్వ్ చేయండి.
</t>
  </si>
  <si>
    <t>http://www.archanaskitchen.com/arbi-with-sesame-tamarind-sauce-recipe-chama-dumpa-pulusu</t>
  </si>
  <si>
    <t>Andhra Style Tomato Pachadi Recipe – Andhra Style Tomato Pachadi (Recipe In Hindi)</t>
  </si>
  <si>
    <t>ఆంధ్రా స్టైల్ టమటి పచ్చడి రెసిపీ - ఆంధ్రా స్టైల్ తమటి పచ్చడి (హిందీలో వంటకం)</t>
  </si>
  <si>
    <t>1 కిలో టమాటర్,8 సుఖీ లాల్ మీర్చ్ - అపనే అనుసార్ దాలే,1 బడా చమచ్ ఇమలి చప,2సట కా చమచ్ లాల్ మిర్చ్ పౌడర్,1/2 ఛోటా చమచ్చ హల్దీ పౌడర్,1 బడచ,1 ఛోటా చమచ్చ మేథీ కె దానే,8 కలీ లహసున్,తేల్,నమక్ - స్వాద్ అనుసార్</t>
  </si>
  <si>
    <t>1 किलो टमाटर,8 सुखी लाल मिर्च - अपने अनुसार डाले,1 बड़ा चमच्च इमली का पेस्ट,2 छोटे चमच्च लाल मिर्च पाउडर,1/2 छोटा चमच्च हल्दी पाउडर,1 बड़ा चमच्च राइ,1 छोटा चमच्च मेथी के दाने,8 कली लहसुन,तेल,नमक - स्वाद अनुसार</t>
  </si>
  <si>
    <t xml:space="preserve">To make Andhra style tomato pachdi, first cut tomatoes into small pieces. Now add tomatoes, salt, turmeric and tamarind paste and cook till tomatoes become soft. In another pan, heat oil as per requirement. Add mustard seeds, fenugreek seeds and cook for 10 seconds. Now add dried red chillies. After 20 seconds, turn off the gas and after it cools down, grind it in a mixer grinder. Add this masala to tomatoes and mix. If you want it more spicy, you can also add red chilli powder to it. Now put oil in a pan. Add garlic and mustard seeds to it. After garlic turns golden, turn off the gas and let it cool down. Add this tempering to the chutney and mix it. Serve. Serve Andhra style tomato pachdi with ghee roast dosa. You can also serve it with rice and kirai sambar for lunch.
</t>
  </si>
  <si>
    <t xml:space="preserve">ఆంధ్రా స్టైల్ టమాటి పచ్చడి గురించి లే. ఇప్పుడు టమాటర్, నమక్, హల్ది మరియు ఇమలి కా పసరే దాలే మరియు తబ్ తక పకాయే రమ్‌టకమ్ HO जाए. దూసరి కథలో ప్రయోగ్ అనుసార్ తేల గరం కరేం. అదే రాయ్, మేథీ దాలే మరియు 10 సెకండ్‌లు తక పక లే. అబ్ ఇదేం సుఖీ లాల్ మిర్చ్ డాలే. 20 సెకండ్‌లు బాద్ గేస్ బండ్ కరెన్స్ మరియు థాండ హోన్‌కి బాడ్ ఇన్‌ఇన్‌హైమ్ మైక్సర్ పీస్ లే. ఈ మసాలే కో టమాటర్ మెన్ డాలే మరియు మిలా లే. అగర్ ఆపకో మరియు తీఖా చాహియే తో మీరు కూడా లాల్ మిర్చ్ పౌడర్ భీ డాల్ సకతే. ఇప్పుడు ఒక కథ అదే లహసున్ మరియు రాయ్ దాలే. లహసున సునహర్ హొనే కె బాద్ గేస్ బంద కరెన్ మరియు థండ హోనే దే. ఈ తడకే కో చటని మేం దాల్ దే మరియు మిలా లే. పరోస్. ఆంధ్రా స్టైల్ టమాటి పచ్చడి కోసం మీరు ఈ రోజు కోసం చావలు మరియు కిరాయి సాంబార్‌లను కూడా ఇష్టపడతారు.
</t>
  </si>
  <si>
    <t>https://www.archanaskitchen.com/andhra-style-tamati-pachadi-recipe-tomato-chutney-in-hindi</t>
  </si>
  <si>
    <t>Rayalseema Style Borugula Upma Recipe</t>
  </si>
  <si>
    <t>రాయలసీమ స్టైల్ బొరుగుల ఉప్మా రిసిపి</t>
  </si>
  <si>
    <t>2 కప్పు ఉబ్బిన అన్నం, 1 ఉల్లిపాయ - తరిగిన, 1 పచ్చిమిర్చి - తరిగిన, 2 టేబుల్ స్పూన్లు వేయించిన వేరుశెనగ (మూంగ్‌ఫాలి), 1 టేబుల్ స్పూన్ నిమ్మరసం, 1/2 టీస్పూన్ పసుపు పొడి (హల్దీ), ఉప్పు - రుచికి, 2 రెమ్మలు (ధనియా) ఆకులు, 2 టేబుల్ స్పూన్లు ఎండు రొట్టెలు కాల్చిన, 1/2 టీస్పూన్ ఆవాలు, 1 టీస్పూన్ తెల్ల ఉరద్ పప్పు (విడదీయబడింది), 1/2 టీస్పూన్ జీలకర్ర (జీరా), 1 రెమ్మ కరివేపాకు, సన్‌ఫ్లవర్ ఆయిల్ - వంట కోసం</t>
  </si>
  <si>
    <t>2 cup Puffed rice,1 Onion - chopped,1 Green Chilli - chopped,2 tablespoon Roasted Peanuts (Moongphali),1 tablespoon Lemon juice,1/2 teaspoon Turmeric powder (Haldi),Salt - to taste,2 sprig Coriander (Dhania) Leaves,2 tablespoon Dessicated Coconut,2 tablespoon Roasted Gram Dal (Pottukadalai) - roasted,1/2 teaspoon Mustard seeds,1 teaspoon White Urad Dal (Split),1/2 teaspoon Cumin seeds (Jeera),1 sprig Curry leaves,Sunflower Oil - for cooking</t>
  </si>
  <si>
    <t xml:space="preserve">To begin making the Rayalseema Style Borugula Upma Recipe, grind the roasted chickpeas and desiccated coconut in a mixer grinder to a coarse powder and keep it ready. Heat a kadai with oil on medium flame, add the mustard seeds, urad dal, cumin seeds and allow them splutter for 10 seconds.Add curry leaves and allow it crackle and then add the onions, green chilli and sauté till it becomes light brown.Add the turmeric powder and switch off the heat.Now add the puffed rice along with ground chickpea and coconut and toasted  peanuts, drizzle the lemon juice and adjust the salt.Once the Borugula Upma is mixed garnish it with chopped coriander.Serve the Rayalseema Style Borugula Upma Recipe as a morning breakfast with a glass of chai and vada to kick start your morning meal.
</t>
  </si>
  <si>
    <t xml:space="preserve">రాయలసీమ స్టైల్ బొరుగుల ఉప్మా రిసిపిని తయారు చేయడం ప్రారంభించడానికి, వేయించిన చిక్‌పీస్ మరియు ఎండు కొబ్బరిని మిక్సర్ గ్రైండర్‌లో ముతక పొడిగా గ్రైండ్ చేసి సిద్ధంగా ఉంచండి. కడాయిని మీడియం మంటపై నూనెతో వేడి చేసి, ఆవాలు, ఉడకబెట్టిన పప్పు, జీలకర్ర వేసి వాటిని 10 సెకన్ల పాటు చిటపటలాడనివ్వండి. కరివేపాకు వేసి చిటపటలాడనివ్వండి మరియు ఉల్లిపాయలు, పచ్చిమిర్చి వేసి లేత గోధుమరంగు వచ్చేవరకు వేయించాలి. పసుపు పొడి వేసి వేడి చేయండి. ఇప్పుడు రుబ్బిన శనగపిండి, ఉబ్బిన బఠానీలు వేసి వేయించాలి. నిమ్మరసం చినుకులు వేసి, ఉప్పును సరిచేయండి. బొరుగుల ఉప్మా మిక్స్ అయిన తర్వాత తరిగిన కొత్తిమీరతో అలంకరించండి. రాయలసీమ స్టైల్ బొరుగుల ఉప్మా రెసిపీని ఉదయపు అల్పాహారంగా ఒక గ్లాసు చాయ్ మరియు వడ తో మీ ఉదయం భోజనాన్ని ప్రారంభించండి.
</t>
  </si>
  <si>
    <t>https://www.archanaskitchen.com/rayalseema-style-borugula-upma-recipe</t>
  </si>
  <si>
    <t>Classic Andhra Style Chicken Curry Recipe</t>
  </si>
  <si>
    <t>క్లాసిక్ ఆంధ్రా స్టైల్ చికెన్ కర్రీ రిసిపి</t>
  </si>
  <si>
    <t>600 గ్రాముల చికెన్ - శుభ్రం చేసి, అవసరమైన సైజులో కట్ చేసి, 1 టీస్పూన్ ఎర్ర మిరప పొడి, 1/2 టీస్పూన్ పసుపు పొడి (హల్దీ), 1 టీస్పూన్ ఉప్పు, 1 అంగుళం అల్లం, 6 లవంగాలు వెల్లుల్లి, 1 అంగుళాల దాల్చిన చెక్క (దాల్చిని), 4 లవంగాలు (లాంగ్), 1 ఏలకులు (ఎలాచి) పాడ్‌లు, 2 టేబుల్ స్పూన్లు కొబ్బరి గింజలు, 2 టీస్పూన్లు (కోప్రా), 1/4 కప్పు వేడినీరు - గ్రైండింగ్ కోసం, 2 టేబుల్ స్పూన్లు సన్‌ఫ్లవర్ ఆయిల్, 1/2 అంగుళాల దాల్చిన చెక్క (దాల్చినీ), 3 లవంగాలు (లాంగ్), 1 ఏలకులు (ఎలైచి) పాడ్‌లు/విత్తనాలు, 1 బే ఆకు (తేజ్ పట్టా), 1 ఉల్లిపాయ - సన్నగా తరిగిన ఎర్రటి మిరపకాయలు, 1 టీస్పూన్ పచ్చిమిర్చి - 1 టీస్పూన్ - (మీ మసాలా స్థాయిలకు అనుగుణంగా సర్దుబాటు చేయండి), 1/4 టీస్పూన్ పసుపు పొడి (హల్దీ), ఉప్పు - అవసరమైన విధంగా, 1/2 టీస్పూన్ గరం మసాలా పొడి, 1/2 కప్పు కొత్తిమీర (ధనియా) ఆకులు - సన్నగా తరిగిన</t>
  </si>
  <si>
    <t>600 grams Chicken - cleaned and cut to required size,1 teaspoon Red Chilli powder,1/2 teaspoon Turmeric powder (Haldi),1 teaspoon Salt,1 inch Ginger,6 cloves Garlic,1 inch Cinnamon Stick (Dalchini),4 Cloves (Laung),1 Cardamom (Elaichi) Pods/Seeds,2 teaspoon Poppy seeds,2 tablespoons Dry coconut (kopra),1/4 cup Hot water - for grinding,2 tablespoons Sunflower Oil,1/2 inch Cinnamon Stick (Dalchini),3 Cloves (Laung),1 Cardamom (Elaichi) Pods/Seeds,1 Bay leaf (tej patta),1 Onion - finely chopped,2 Green Chillies - finely chopped,1 sprig Curry leaves,1 teaspoons Red Chilli powder - (Adjust to suit your spice levels),1/4 teaspoon Turmeric powder (Haldi),Salt - as required,1/2 teaspoon Garam masala powder,1/2 cup Coriander (Dhania) Leaves - finely chopped</t>
  </si>
  <si>
    <t xml:space="preserve">To begin making the Classic Andhra Style Chicken Curry recipe, we will first marinate the chickenIn a mixing bowl, combine the chicken along with red chilli powder, turmeric powder, salt and set it aside for about 20 minutes. In the meantime grind ingredients for the masala. In a mixer jar, combine the ginger, garlic, cinnamon stick, cloves, cardamom, poppy seeds, desiccated coconut and grind to a fine paste using water. Heat oil in a heavy bottomed pan over medium heat. Add in the cinnamon stick, cloves, cardamom and the bay leaf and allow them to sizzle. Now add chopped onions, green chillies and sauté till they are slightly brown in colour. Add curry leaves. Continue to saute for 4-6 minutes until nicely done. Add marinated chicken and sauté for 2 minutes. Next, add the freshly ground masala paste, remaining chilli powder and turmeric powder.  Now add the required water till the chicken immerses and adjust salt. You can adjust the consistency of the gravy to suit your requirement.Close the lid of the pan and cook over medium heat for 10 to 15 minutes with frequent stirring and then simmer for 5 minutes till the chicken is done and oil separates. Turn off the heat.This can also be cooked in a pressure cooker for about 3 whistles following the same process.Finally sprinkle garam masala powder and garnish with coriander. Serve Classic Andhra Style Chicken Curry along with Dhaba Style Spicy Ghee Rice Recipe Made From Whole Spices, and Andhra Style Chepa Vepudu Recipe - Andhra Fish Fry Recipe for a delectable weekend meal.
</t>
  </si>
  <si>
    <t xml:space="preserve">క్లాసిక్ ఆంధ్రా స్టైల్ చికెన్ కర్రీ రెసిపీని తయారు చేయడం ప్రారంభించడానికి, మేము ముందుగా చికెన్‌ను మిక్సింగ్ బౌల్‌లో మ్యారినేట్ చేస్తాము, చికెన్‌ని ఎర్ర కారం, పసుపు పొడి, ఉప్పుతో కలిపి 20 నిమిషాల పాటు పక్కన పెట్టాలి. ఈలోగా మసాలాకు కావలసిన పదార్థాలను రుబ్బుకోవాలి. మిక్సర్ జార్‌లో, అల్లం, వెల్లుల్లి, దాల్చిన చెక్క, లవంగాలు, యాలకులు, గసగసాలు, ఎండిపోయిన కొబ్బరిని కలిపి, నీటిని ఉపయోగించి మెత్తగా పేస్ట్‌గా రుబ్బుకోవాలి. మీడియం వేడి మీద భారీ అడుగున ఉన్న పాన్‌లో నూనె వేడి చేయండి. దాల్చిన చెక్క కర్ర, లవంగాలు, ఏలకులు మరియు బే ఆకు వేసి, వాటిని చిటపటలాడనివ్వండి. ఇప్పుడు తరిగిన ఉల్లిపాయలు, పచ్చిమిర్చి వేసి కొద్దిగా బ్రౌన్ కలర్ వచ్చేవరకు వేయించాలి. కరివేపాకు జోడించండి. చక్కగా పూర్తయ్యే వరకు 4-6 నిమిషాలు వేయించడం కొనసాగించండి. అందులో మ్యారినేట్ చేసిన చికెన్ వేసి 2 నిమిషాలు వేయించాలి. తరువాత, తాజాగా రుబ్బిన మసాలా పేస్ట్, మిగిలిన కారం మరియు పసుపు పొడిని జోడించండి.  ఇప్పుడు చికెన్ ముంచే వరకు అవసరమైన నీరు వేసి ఉప్పు సర్దుబాటు చేయండి. మీరు మీ అవసరానికి అనుగుణంగా గ్రేవీ యొక్క స్థిరత్వాన్ని సర్దుబాటు చేయవచ్చు. పాన్ మూత మూసివేసి, మీడియం వేడి మీద 10 నుండి 15 నిమిషాలు తరచుగా గందరగోళంతో ఉడికించి, ఆపై 5 నిమిషాలు ఆవేశమును అణిచిపెట్టుకోండి మరియు చికెన్ తయారవుతుంది మరియు నూనె వేరు చేయబడుతుంది. వేడిని ఆపివేయండి. ఇదే విధానాన్ని అనుసరించి ప్రెజర్ కుక్కర్‌లో 3 విజిల్స్ వచ్చే వరకు దీన్ని కూడా ఉడికించాలి. చివరగా గరం మసాలా పొడిని చల్లి కొత్తిమీరతో అలంకరించండి. క్లాసిక్ ఆంధ్రా స్టైల్ చికెన్ కర్రీతో పాటు దాబా స్టైల్ స్పైసీ ఘీ రైస్ రిసిపిని హోల్ మసాలాలతో తయారు చేయండి మరియు ఆంధ్రా స్టైల్ చేప వేపుడు రెసిపీ - ఆంధ్రా ఫిష్ ఫ్రై రిసిపి ఆహ్లాదకరమైన వారాంతపు భోజనం కోసం అందించండి.
</t>
  </si>
  <si>
    <t>http://www.archanaskitchen.com/classic-andhra-style-chicken-curry-recipe</t>
  </si>
  <si>
    <t>Royyala Kura Recipe (Andhra Style Prawn Curry)</t>
  </si>
  <si>
    <t>రొయ్యల కూర రెసిపీ (ఆంధ్రా స్టైల్ ప్రాన్ కర్రీ)</t>
  </si>
  <si>
    <t>10 రొయ్యలు - మీడియం సైజు, 2 బే ఆకులు (తేజ్ పట్టా), 2 ఏలకులు (ఎలాచి) కాయలు/విత్తనాలు, 1 లవంగాలు (లాంగ్), 1/2 టీస్పూన్ అజ్వైన్ (కారమ్ గింజలు), 1 ఉల్లిపాయ - తరిగిన, 1 టేబుల్ స్పూన్ అల్లం వెల్లుల్లి పేస్ట్, 4 కరివేపాకు, 1 టేబుల్ స్పూన్ కొత్తిమీర పొడి, 3 టీస్పూన్లు ధనియాల పొడి, 3 టీస్పూన్లు రుచి, 1/2 టీస్పూన్ పసుపు పొడి (హల్దీ), 1 టీస్పూన్ గరం మసాలా పొడి, 2 టొమాటోలు - తరిగిన, సన్‌ఫ్లవర్ ఆయిల్ - కావలసినంత</t>
  </si>
  <si>
    <t>10 Prawns - Medium Size,2 Bay leaves (tej patta),2 Cardamom (Elaichi) Pods/Seeds,1 Cloves (Laung),1/2 teaspoon Ajwain (Carom seeds),1 Onion - chopped,1 tablespoon Ginger Garlic Paste,4 Curry leaves,1 tablespoon Coriander Powder (Dhania),3 teaspoons Red Chilli powder,Salt - to taste,1/2 teaspoon Turmeric powder (Haldi),1 teaspoon Garam masala powder,2 Tomatoes - chopped,Sunflower Oil - as required</t>
  </si>
  <si>
    <t xml:space="preserve">To begin making the Royyala Kura recipe, Firstly make sure that the prawns are clean &amp; deveined. After cleaning using a kitchen towel to pat them dry.Next heat up oil in a pan and add bay leaves, cardamom, cloves, caraway seeds and roast them for few seconds on low heat.Now add the chopped onions, curry leaves and cook them until the onion becomes translucent, .Next add ginger garlic paste and cook the raw smell disappears.Now add coriander powder, chili powder, salt, turmeric powder, garam masala and cook them for few seconds. Next add the cubed tomatoes and cook until tomatoes become soft and mushy. Cook until oil starts to separate from the spices.Time to add the prawns into the pan and give it a good stir. Cover and cook for 2 minutes and then continue to cook the prawns on medium heat without covering. Garnish it with some fresh cilantro and serve.
</t>
  </si>
  <si>
    <t xml:space="preserve">రొయ్యల కురా రెసిపీని తయారు చేయడం ప్రారంభించడానికి, ముందుగా రొయ్యలు శుభ్రంగా &amp; డివైన్ చేసినట్లు నిర్ధారించుకోండి. వాటిని పొడిగా చేయడానికి కిచెన్ టవల్‌ని ఉపయోగించి శుభ్రం చేసిన తర్వాత, పాన్‌లో నూనె వేడి చేసి, బే ఆకులు, యాలకులు, లవంగాలు, కారవే గింజలు వేసి తక్కువ వేడి మీద కొన్ని సెకన్లపాటు వేయించాలి. ఇప్పుడు తరిగిన ఉల్లిపాయలు, కరివేపాకు వేసి ఉల్లిపాయలు పారదర్శకంగా మారే వరకు ఉడికించాలి. పసుపు పొడి, గరం మసాలా మరియు కొన్ని సెకన్ల వాటిని ఉడికించాలి. తరువాత క్యూబ్డ్ టొమాటోలు వేసి, టొమాటోలు మెత్తగా మరియు మెత్తగా అయ్యే వరకు ఉడికించాలి. మసాలా దినుసుల నుండి నూనె వేరు చేయడం ప్రారంభించే వరకు ఉడికించాలి. పాన్‌లో రొయ్యలను వేసి బాగా కదిలించే సమయం వచ్చింది. మూతపెట్టి 2 నిమిషాలు ఉడికించి, ఆపై మీడియం వేడి మీద రొయ్యలను కవర్ చేయకుండా ఉడికించాలి. తాజా కొత్తిమీరతో గార్నిష్ చేసి సర్వ్ చేయాలి.
</t>
  </si>
  <si>
    <t>https://www.archanaskitchen.com/royyala-kura-recipe-andhra-style-prawn-curry</t>
  </si>
  <si>
    <t>Andhra Style Beerakaya Pappu Recipe (Ridge Gourd Dal Recipe)</t>
  </si>
  <si>
    <t>ఆంధ్రా స్టైల్ బీరకాయ పప్పు రిసిపి (రిడ్జ్ గోర్డ్ డాల్ రిసిపి)</t>
  </si>
  <si>
    <t>1 రిడ్జ్ గోర్డ్ (తురై/ పీర్‌కంగై) - ఒలిచి ముక్కలుగా చేసి, 1/2 కప్పు అర్హర్ పప్పు (స్ప్లిట్ టూర్ పప్పు), 1/2 కప్పు పసుపు మూంగ్ పప్పు (స్ప్లిట్), 1/2 కప్పు మసూర్ పప్పు (మొత్తం), 1 ఉల్లిపాయ - ముక్కలు, 1 టొమాటో - తరిగిన పచ్చిమిర్చి, 2 టీస్పూన్ పచ్చిమిర్చి - (హల్దీ), 2 టీస్పూన్ ఎర్ర మిరప పొడి, ఉప్పు - రుచికి సరిపడా, 1 కప్పు చింతపండు నీరు, 1 టీస్పూన్ ఆవాలు, 1 టీస్పూన్ జీలకర్ర (జీరా), 4 లవంగాలు, 1 రెమ్మ కరివేపాకు, 1 చిటికెడు ఇంగువ (హింగ్), 2 ఎండు మిరపకాయలు, సన్‌ఫ్లవర్ ఆయిల్ - అవసరమైనంత</t>
  </si>
  <si>
    <t>1 Ridge Gourd (Turai/ Peerkangai) - peeled and sliced,1/2 cup Arhar dal (Split Toor Dal),1/2 cup Yellow Moong Dal (Split),1/2 cup Masoor Dal (Whole),1 Onion - sliced,1 Tomato - chopped,2 Green Chilli - slit,1 tablespoon Ginger Garlic Paste,1 teaspoon Turmeric powder (Haldi),2 teaspoon Red Chilli powder,Salt - to taste,1 cup Tamarind Water,1 teaspoon Mustard seeds,1 teaspoon Cumin seeds (Jeera),4 cloves Garlic,1 sprig Curry leaves,1 pinch Asafoetida (hing),2 Dry Red Chillies,Sunflower Oil - as required</t>
  </si>
  <si>
    <t xml:space="preserve">To begin making the Andhra Style Beerakai Pappu, in a pressure cooker add all the dals, ridge gourd, tomato, onion, ginger garlic paste, green chilli, turmeric, salt and 2 cups water and pressure cook it for 4 whistle.Once done allow the pressure to release by itself and keep the cooker on the heat again and add tamarind water and heat the dal till it thickens little.To temper, heat a small tempering pan with oil and add mustard seeds and cumin seeds and allow it splutter for 10 seconds.Add curry leaves, dry red chilies, hing and leave the curry leaves to crackle for 10 seconds. Add in the crushed garlic and brown them and pour it over the dal and serve.Serve the Andhra Style Beerakai Pappu Recipe along with some steamed rice, Kathirikai Poondu Pirattal and Roasted Papad Chaat  by the side to enjoy your everyday meal in a healthy way.
</t>
  </si>
  <si>
    <t xml:space="preserve">ఆంధ్రా స్టైల్ బీరకాయ్ పప్పు తయారు చేయడం ప్రారంభించడానికి, ప్రెషర్ కుక్కర్‌లో అన్ని పప్పులు, సొరకాయ, టొమాటో, ఉల్లిపాయ, అల్లం వెల్లుల్లి పేస్ట్, పచ్చిమిర్చి, పసుపు, ఉప్పు మరియు 2 కప్పుల నీళ్ళు వేసి ప్రెషర్ వేసి 4 విజిల్‌ల వరకు ఉడికించాలి. ఒకసారి ప్రెజర్ విడుదలయ్యే వరకు ఉడికించాలి. నూనెతో ఒక చిన్న టెంపరింగ్ పాన్ వేడి చేసి, ఆవాలు మరియు జీలకర్ర వేసి, 10 సెకన్ల పాటు చిటపటలాడనివ్వండి. కరివేపాకు, ఎండు మిరపకాయలు, హింగ్ వేసి, కరివేపాకులను 10 సెకన్ల పాటు పగలనివ్వండి. మెత్తగా తరిగిన వెల్లుల్లిని వేసి బ్రౌన్‌లో వేసి పప్పు మీద పోసి సర్వ్ చేయండి.ఆంధ్రా స్టైల్ బీరకాయ్ పప్పు రిసిపితో పాటుగా ఉడికించిన అన్నం, కత్తిరికాయ్ పూండు పిరట్టల్ మరియు రోస్ట్ చేసిన పాపడ్ చాట్  తో పాటు మీ రోజువారీ భోజనాన్ని ఆరోగ్యకరమైన రీతిలో ఆస్వాదించండి.
</t>
  </si>
  <si>
    <t>http://www.archanaskitchen.com/andhra-style-beerakaya-pappu-recipe-ridge-gourd-dal-recipe</t>
  </si>
  <si>
    <t>Andhra Style Chepa Vepudu Recipe - Andhra Fish Fry Recipe</t>
  </si>
  <si>
    <t>ఆంధ్రా స్టైల్ చేప వేపుడు రెసిపీ - ఆంధ్రా ఫిష్ ఫ్రై రిసిపి</t>
  </si>
  <si>
    <t>2 బసా చేపలు - ఫిల్లెట్ , 1 టీస్పూన్ ఆవాలు, 1 ఉల్లిపాయలు - ముక్కలు, 1 అంగుళం అల్లం - తరిగిన, 2 లవంగాలు - తరిగిన, 1 రెమ్మ కరివేపాకు, 1 టీస్పూన్ ఎర్ర మిరప పొడి, 1/2 టీస్పూన్ పసుపు పొడి (హల్దీ), సన్‌ఫ్లవర్ ఆయిల్, 1 టేబుల్ స్పూన్ నువ్వులు (తెల్ల గింజలు), 1 టేబుల్ స్పూను డి. (బెంగాల్ పప్పు), 1 టేబుల్ స్పూన్ జీలకర్ర (జీరా), 1/4 కప్పు ఎండు కొబ్బరి (కోప్రా), 4 ఎండు మిరపకాయలు</t>
  </si>
  <si>
    <t>2 Basa fish - fillet ,1 teaspoon Mustard seeds,1 Onion - sliced,1 inch Ginger - chopped,2 cloves Garlic - chopped,1 sprig Curry leaves,1 teaspoon Red Chilli powder,1/2 teaspoon Turmeric powder (Haldi),Sunflower Oil,1 tablespoon Sesame seeds (Til seeds),1 tablespoon White Urad Dal (Split),1 tablespoon Chana dal (Bengal Gram Dal),1 tablespoon Cumin seeds (Jeera),1/4 cup Dry coconut (kopra),4 Dry Red Chillies</t>
  </si>
  <si>
    <t xml:space="preserve">To begin making the Andhra Style Chepa Vepudu Recipe, we will first dry roast the ingridients needed for the Karam Vepudu Masala.Heat a heavy bottomed pan. One the pan is heated, add sesame seeeds, white urad dal, chana dal, cumin seeds, dry coconut and dry red chillies.Roast them well for about 10 minutes on a flat skillet and keep it aside to cool down. Grind all of them in a mixer to a coarse mixture.Heat a kadai with oil, add mustard seeds and allow it to crackle for few seconds. Add curry leaves and leave it splutter.Once it splutters, add ginger, garlic and cook them until they soften. Add sliced onions and saute them till they become soft.Add chopped fish, red chilli powder, turmeric powder and salt, toss till the fish is cooked. Let it cook for 1 to 2 minutes.Next, add ground karam Vepudu Masala and toss well till they are well coated.Sprinkle little water, cover it and cook for about 10 minutes on low heat. Serve hot.Serve the Andhra Style Chepa Vepudu Recipe, along with Steamed Rice and Palak Pappu (Spinach Dal) for an everyday meal with your family.
</t>
  </si>
  <si>
    <t xml:space="preserve">ఆంధ్రా స్టైల్ చేప వేపుడు రిసిపిని తయారు చేయడం ప్రారంభించడానికి, మేము ముందుగా కరమ్ వేపుడు మసాలాకు అవసరమైన పదార్థాలను పొడిగా వేయించాలి. బాటమ్ బాటమ్‌ను వేడి చేయండి. ఒక పాన్ వేడెక్కింది, నువ్వులు, తెల్ల ఉరద్ పప్పు, శనగ పప్పు, జీలకర్ర, ఎండు కొబ్బరి మరియు ఎండు మిరపకాయలను జోడించండి. వాటిని ఫ్లాట్ స్కిల్లెట్‌లో సుమారు 10 నిమిషాలు బాగా కాల్చండి మరియు చల్లబరచడానికి పక్కన పెట్టండి. వాటన్నింటినీ మిక్సర్‌లో ముతక మిశ్రమంగా రుబ్బుకోవాలి. కడాయిని నూనెతో వేడి చేసి, ఆవాలు వేసి కొన్ని సెకన్ల పాటు పగిలిపోయేలా చేయాలి. కరివేపాకు వేసి చిటపటలాడనివ్వండి. అది చిలకరించిన తర్వాత, అల్లం, వెల్లుల్లి వేసి అవి మెత్తబడే వరకు ఉడికించాలి. ముక్కలు చేసిన ఉల్లిపాయలు వేసి అవి మెత్తబడే వరకు వేయించాలి. తరిగిన చేపలు, ఎర్ర కారం, పసుపు మరియు ఉప్పు వేసి, చేప ఉడికినంత వరకు టాసు చేయండి. ఇది 1 నుండి 2 నిమిషాలు ఉడకనివ్వండి.తరువాత, గ్రౌండ్ కారం వేపుడు మసాలా వేసి అవి బాగా పూత వచ్చేవరకు బాగా టాసు చేయండి. కొద్దిగా నీరు చిలకరించి, మూతపెట్టి, తక్కువ వేడి మీద సుమారు 10 నిమిషాలు ఉడికించాలి. వేడి వేడిగా వడ్డించండి. మీ కుటుంబంతో రోజువారీ భోజనం కోసం ఆంధ్రా స్టైల్ చేప వేపుడు రెసిపీని ఆవిరిలో ఉడికించిన అన్నం మరియు పాలక్ పప్పు (బచ్చలికూర పప్పు)తో పాటు అందించండి.
</t>
  </si>
  <si>
    <t>https://www.archanaskitchen.com/andhra-style-chepa-vepudu-recipe-andhra-fish-fry-recipe</t>
  </si>
  <si>
    <t>Andhra Style Patoli Recipe (Dal Usli/ Crumbled Dal Recipe)</t>
  </si>
  <si>
    <t>ఆంధ్రా స్టైల్ పటోలి రిసిపి (దాల్ ఉస్లీ/ క్రంబుల్డ్ దాల్ రిసిపి)</t>
  </si>
  <si>
    <t>1 కప్పు చనా పప్పు (బెంగాల్ పప్పు) - వేడి నీటిలో 30 నిమిషాలు నానబెట్టి, 1 పచ్చిమిర్చి, 1 టీస్పూన్ ఆవాలు, 1 టీస్పూన్ తెల్ల ఉరద్ పప్పు (విడదీయండి), 1 టీస్పూన్ జీలకర్ర (జీరా), 1 రెమ్మ కరివేపాకు, 1 చిటికెడు ఇంగువ (హింగ్), 1 టీస్పూన్ ఎర్రబెల్లం, 1 టీస్పూన్ అల్లం పొడి, 1 టీస్పూన్ పచ్చిమిర్చి పసుపు పొడి (హల్దీ), ఉప్పు - రుచికి, పొద్దుతిరుగుడు నూనె - వంట కోసం</t>
  </si>
  <si>
    <t>1 cup Chana dal (Bengal Gram Dal) - soaked in hot water for 30 minutes,1 Green Chilli,1 teaspoon Mustard seeds,1 teaspoon White Urad Dal (Split),1 teaspoon Cumin seeds (Jeera),1 sprig Curry leaves,1 pinch Asafoetida (hing),1 Onion - chopped,1 teaspoon Ginger Garlic Paste,1 tablespoon Red Chilli powder,1/2 teaspoon Turmeric powder (Haldi),Salt - to taste,Sunflower Oil - for cooking</t>
  </si>
  <si>
    <t xml:space="preserve">To begin making the Andhra Style Patoli Recipe grind the soaked chana dal with green chilli in a mixer, add little water and grind it to a thick paste.Heat a kadai with oil, add mustard seeds, cumin seeds, urad dal and splutter for few seconds. Add curry leaves and leave it to crackle for 2 seconds.Add the chopped onions, ginger garlic paste and saute till the onions turn translucent.Add the ground chana paste and keep mixing it. Add turmeric powder and red chilli powder and by using a wooden spatula try to separate the dal and create a crumbly texture. Add salt and check for seasoning.Serve the Andhra Style Patoli Recipe with Mamsaam Chops Recipe, phulka and Steamed rice by the side.
</t>
  </si>
  <si>
    <t xml:space="preserve">ఆంధ్రా స్టైల్ పటోలీ రెసిపీని తయారు చేయడం ప్రారంభించడానికి నానబెట్టిన చనా పప్పును పచ్చిమిర్చితో మిక్సీలో గ్రైండ్ చేయండి, కొద్దిగా నీరు పోసి మందపాటి పేస్ట్‌గా రుబ్బుకోవాలి. కడాయిని నూనెతో వేడి చేసి, ఆవాలు, జీలకర్ర, ఉరద్ పప్పు వేసి కొన్ని సెకన్ల పాటు చల్లండి. కరివేపాకు వేసి 2 సెకన్ల పాటు పగలనివ్వండి. తరిగిన ఉల్లిపాయలు, అల్లం వెల్లుల్లి పేస్ట్ వేసి ఉల్లిపాయలు అపారదర్శకంగా మారే వరకు వేయించాలి. గ్రౌండ్ చనా పేస్ట్ వేసి కలపాలి. పసుపు పొడి మరియు ఎర్ర మిరప పొడిని జోడించండి మరియు ఒక చెక్క గరిటెని ఉపయోగించి పప్పును వేరు చేసి, నలిగిన ఆకృతిని సృష్టించడానికి ప్రయత్నించండి. ఉప్పు వేసి, మసాలా కోసం తనిఖీ చేయండి. ఆంధ్రా స్టైల్ పటోలి రిసిపిని మంసామ్ చాప్స్ రిసిపి, ఫుల్కా మరియు స్టీమ్డ్ రైస్‌తో ప్రక్కన అందించండి.
</t>
  </si>
  <si>
    <t>https://www.archanaskitchen.com/andhra-style-patoli-recipe-dal-usli-crumbled-dal-recipe</t>
  </si>
  <si>
    <t>Telangana Style Barada Palya Recipe - Chana Dal Dry Sabzi</t>
  </si>
  <si>
    <t>తెలంగాణా స్టైల్ బరడ పల్యా రిసిపి - చనా దాల్ డ్రై సబ్జీ</t>
  </si>
  <si>
    <t>3/4 కప్పు చనా పప్పు (బెంగాల్ పప్పు), 6 పచ్చిమిర్చి - సగానికి, 1 అంగుళం అల్లం - పొట్టు మరియు తరిగిన, కొత్తిమీర (ధనియా) ఆకులు - సన్నగా తరిగిన, ఉప్పు - రుచికి, 1/8 టీస్పూన్ పసుపు పొడి (హల్దీ), 2 టేబుల్ స్పూన్లు పొద్దుతిరుగుడు నూనె, 1 టీస్పూన్ ఆవాలు, 1 టీస్పూన్ సీతాఫలం గింజలు కరివేపాకు</t>
  </si>
  <si>
    <t>3/4 cup Chana dal (Bengal Gram Dal),6 Green Chillies - halved,1 inch Ginger - peeled and chopped,Coriander (Dhania) Leaves - finely chopped,Salt - to taste,1/8 teaspoon Turmeric powder (Haldi),2 tablespoons Sunflower Oil,1 teaspoon Mustard seeds,1 teaspoon Cumin seeds (Jeera),2 sprig Curry leaves</t>
  </si>
  <si>
    <t xml:space="preserve">To begin making Barada Palya - Chana Dal dry Sabzi, we have to wash and soak chana dal in water for an hour. After an hour, drain the water from the dal and keep aside.In a mixer-jar, combine the soaked dal, peeled and chopped ginger and halved green chillies. Grind them to a coarse paste.Place a heavy bottomed pan on low heat and add a tablespoon of oil. Once the oil is hot, add mustard seeds, cumin seeds and curry leaves. Now that they have crackled, add the chopped coriander leaves and saute for a minute or two. Next, add the ground dal paste along with salt and turmeric powder. Give them a good mix and on low heat continue to cook by scraping bottom of the pan in intervals as it tends to stick to the pan quiet easily. Keep adding a teaspoons of oil in intervals as you fry the barada palya.It takes around 20 minutes to fry the dal until done and the chana dal sabzi to be crumbly.Once the texture of the dal gets crumbly turn off the heat. Serve Barada Palya - Chana Dal Dry Sabzi along with Steamed Rice and Udupi Tomato Rasam for a delicious Weekday meal. You can served a Curry Leaves Buttermilk with this meal.
</t>
  </si>
  <si>
    <t xml:space="preserve">బరడా పల్యా - చనా దాల్ డ్రై సబ్జీని తయారు చేయడం ప్రారంభించడానికి, మేము శనగ పప్పును కడిగి, నీటిలో ఒక గంట నానబెట్టాలి. ఒక గంట తర్వాత, పప్పు నుండి నీటిని తీసివేసి పక్కన పెట్టండి. మిక్సర్-జార్లో, నానబెట్టిన పప్పు, ఒలిచిన మరియు తరిగిన అల్లం మరియు సగం పచ్చిమిర్చి కలపండి. వాటిని ముతక పేస్ట్‌గా గ్రైండ్ చేయండి. తక్కువ వేడి మీద భారీ అడుగున ఉన్న పాన్ ఉంచండి మరియు ఒక టేబుల్ స్పూన్ నూనె జోడించండి. నూనె వేడి అయ్యాక ఆవాలు, జీలకర్ర, కరివేపాకు వేయాలి. ఇప్పుడు అవి పగిలిన తర్వాత, తరిగిన కొత్తిమీర తరుగు వేసి ఒకటి లేదా రెండు నిమిషాలు వేయించాలి. తరువాత, ఉప్పు మరియు పసుపు పొడితో పాటు గ్రౌండ్ పప్పు పేస్ట్ జోడించండి. వాటికి మంచి మిశ్రమాన్ని ఇవ్వండి మరియు తక్కువ వేడి మీద పాన్ దిగువన స్క్రాప్ చేయడం ద్వారా ఉడికించడం కొనసాగించండి, ఎందుకంటే ఇది పాన్‌కి సులభంగా అతుక్కొని ఉంటుంది. మీరు బరడా పల్యాను వేయించేటప్పుడు ఒక టీస్పూన్ల నూనెను విరామాలలో కలుపుతూ ఉండండి. పప్పును వేయించడానికి సుమారు 20 నిమిషాలు పడుతుంది మరియు చనా దాల్ సబ్జీ మెత్తగా ఉంటుంది. పప్పు యొక్క ఆకృతి మెత్తగా మారిన తర్వాత వేడిని ఆపివేయండి. రుచికరమైన వారాంతపు భోజనం కోసం బరడా పల్య - చనా దాల్ డ్రై సబ్జీని ఉడికబెట్టిన అన్నం మరియు ఉడిపి టొమాటో రసం తో పాటు సర్వ్ చేయండి. మీరు ఈ భోజనంతో కరివేపాకు మజ్జిగను అందించవచ్చు.
</t>
  </si>
  <si>
    <t>http://www.archanaskitchen.com/telangana-style-barada-palya-recipe-chana-dal-dry-sabzi</t>
  </si>
  <si>
    <t>Thotakura Pappu Recipe (Toor Dal with Amaranth Leaves)</t>
  </si>
  <si>
    <t>తోటకూర పప్పు రిసిపి (ఉసిరికాయ ఆకులతో టూర్ దాల్)</t>
  </si>
  <si>
    <t>1 కప్పు అర్హర్ పప్పు (స్ప్లిట్ టూర్), 1 కప్పు పచ్చి ఉసిరి ఆకులు - తరిగిన, 1 ఉల్లిపాయ - ముక్కలు, 1 టొమాటో - తరిగిన, 4 లవంగాలు వెల్లుల్లి, 1 టీస్పూన్ పసుపు పొడి (హల్దీ), ఉప్పు - రుచికి, 1 టీస్పూన్ ఆవాలు, 1 టీస్పూన్ తెల్ల ఉరద్ పప్పు (2 చెంచా), 1 చిటికెడు పచ్చిమిర్చి. ఎండు మిరపకాయలు, పొద్దుతిరుగుడు నూనె</t>
  </si>
  <si>
    <t>1 cup Arhar dal (Split Toor Dal),1 cup Green Amaranth Leaves - chopped,1 Onion - sliced,1 Tomato - chopped,4 cloves Garlic,1 teaspoon Turmeric powder (Haldi),Salt - to taste,1 teaspoon Mustard seeds,1 teaspoon White Urad Dal (Split),1 pinch Asafoetida (hing),1 sprig Curry leaves,2 Dry Red Chillies,Sunflower Oil</t>
  </si>
  <si>
    <t xml:space="preserve">To begin making the Thotakura Pappu Recipe, we will add all the ingridients like dal, chopped amaranth leaves,onion, tomato, turmeric powder and salt in a pressure cooker.Add about 2 cups of water and pressure cook for atleast 4 whistle. Once done allow the pressure to release naturally and open the lid. Mash the dal and mix well with the cooked leaves.To temper, heat oil in a small kadai, add mustard seeds, urad dal and sprinkle hing allow it to splutter for few seconds.Add curry leaves and dry red chillies and allow them to crackle for few seconds and pour this hot tadka over the dal and mix well. Check for salt and serve hot.Serve the Thotakura Pappu Recipe with steamed rice, Andhra Style Kakarakaya Vepudu Recipe to make it a complete meal.
</t>
  </si>
  <si>
    <t xml:space="preserve">తోటకూర పప్పు రిసిపిని తయారు చేయడం ప్రారంభించడానికి, మేము ప్రెజర్ కుక్కర్‌లో పప్పు, తరిగిన ఉసిరి ఆకులు, ఉల్లిపాయలు, టొమాటో, పసుపు మరియు ఉప్పు వంటి అన్ని పదార్థాలను కలుపుతాము. సుమారు 2 కప్పుల నీరు వేసి కనీసం 4 విజిల్ కోసం ప్రెజర్ ఉడికించాలి. పూర్తయిన తర్వాత ఒత్తిడిని సహజంగా విడుదల చేసి మూత తెరవడానికి అనుమతించండి. పప్పును మెత్తగా చేసి, ఉడికించిన ఆకులతో బాగా కలపండి. టెంపర్ చేయడానికి, ఒక చిన్న కడాయిలో నూనె వేడి చేసి, ఆవాలు, ఉరద్ పప్పు వేసి, కొన్ని సెకన్ల పాటు చిలకరించడానికి అనుమతిస్తాయి. ఉప్పు కోసం తనిఖీ చేయండి మరియు వేడిగా వడ్డించండి. తోటకూర పప్పు రిసిపిని  ఆవిరిచేసిన అన్నంతో సర్వ్ చేయండి, ఆంధ్రా స్టైల్ కాకరకాయ వేపుడు రిసిపిని పూర్తి భోజనంగా మార్చండి.
</t>
  </si>
  <si>
    <t>https://www.archanaskitchen.com/thotakura-pappu-recipe-toor-dal-with-amarnath-leaves</t>
  </si>
  <si>
    <t>Andhra Style Vankaya Kothimeera Karam Recipe</t>
  </si>
  <si>
    <t>ఆంధ్రా స్టైల్ వంకాయ కోతిమీర కారం రెసిపీ - Andhra Style Vankaya Kothimeera Karam Recipe</t>
  </si>
  <si>
    <t>400 గ్రాముల బ్యాంక్ - పాతాళ మరియు సీధా కాట్ లే,1 ఛోటా చమచ్చ రాయి,1/2 చచ్చోచ సఫేద్ ఉరద దాల్,1 తహని కఢీ పట్టా,2 సుఖీ లాల మిర్చ్,1 బడా -చమచద, అనుసార్,హర ధనియా - ప్రయోగ్ అనుసార్,2 హరి మిర్చ,2 ఇంచ్ అదరక్ - కట్ లే,1/2 ఛోచట</t>
  </si>
  <si>
    <t>400 grams Eggplant - thin and straight cut, 1 teaspoon Rye, 1/2 teaspoon White Urad Dal, 1 Sprig Curry Leaf, 2 Dry Red Chillies, 1 tablespoon Oil, Salt - as per taste, Green Coriander - as per use, 2 green chillies, 2 inch ginger - chopped, 1/2 teaspoon cumin seeds</t>
  </si>
  <si>
    <t>"To make Andhra Style Vankaya Kothimira Karam recipe, first wash and chop the brinjals. Soak them in salted water and keep aside. Now in a mixer grinder add coriander leaves, green chilies, ginger, cumin seeds, grind them and make a paste. Now heat oil in a pan. Add mustard seeds, urad dal and let them crackle. After crackling add dried red chilies, curry leaves and cook for 10 seconds. Now add brinjals and cook till they are half cooked. It may take 8 to 10 minutes. Now add ground coriander masala, salt, mix and cook for 10 minutes. After cooking turn off the gas and serve. Serve Andhra Style Vankaya Kothimira Karam with cumin rasam, rice and papad for lunch."</t>
  </si>
  <si>
    <t xml:space="preserve">ఆంధ్రా స్టైల్ వంకాయ కోతిమీర కరమ్ రెసిపీ బనానే కోసం లే. ఈ నమక్ వాలే పానీ మేం భిగో దే మరియు అలగ్ సే రఖ్ దే. అబ్ ఒక మిక్సర్ గ్రైండర్‌లో హరా ధనియా, హరి మిర్చ్, అదరక్, జీరా బాలే, పీస్‌డాలే లే. ఇప్పుడు ఒక కథ అదే రాయ్, ఉరద్ దాల్ దాలే మరియు తడకనే దే. తడకనే కాదు సుఖీ లాల్ మీర్చ్, కఢీ పట్టా దాలే మరియు 10 సెకండ్లు. అదే విధంగా బ్యాంక్ డాలే మరియు ఆధా పక జానే తక్క పక లే. ఇదే 8వ తేదీ 10 నిమిషాలకు చేరుకుంది. ఇప్పుడు పిసా హువా ధనియా మసాలా, నమక్ దాలే, మిలాయే మరియు 10 నిమిషాల దాకా పక లే. పక జానే కె బాద్ గేస్ బంద్ కరెన్ మరియు పరోసే. ఆంధ్రా స్టైల్ వంకాయ కోతిమీర కరమ్ కో జీర రసం, చావల్ మరియు పాపం వంటి వాటితో పాటుగా పరోస్.
</t>
  </si>
  <si>
    <t>http://www.archanaskitchen.com/andhra-style-vankaya-kothimeera-karam-recipe-brinjal-cooked-with-spicy-coriander-mix-recipe-in-hindi</t>
  </si>
  <si>
    <t>Pappu Chekkalu Recipe - Andhra Style Spiced Rice Cracker</t>
  </si>
  <si>
    <t>పప్పు చెక్కలు రెసిపీ - ఆంధ్రా స్టైల్ మసాలా రైస్ క్రాకర్</t>
  </si>
  <si>
    <t>1 కప్పు బియ్యప్పిండి, 2 టేబుల్ స్పూన్లు చనా పప్పు (బెంగాల్ పప్పు) - 30 నిమిషాలు నానబెట్టి, 2 టేబుల్ స్పూన్లు వేయించిన వేరుశెనగ (మూంగ్‌ఫాలి) - ముతకగా తరిగినవి, 2 పచ్చిమిర్చి - సన్నగా తరిగిన, 1 అంగుళం అల్లం - తురిమిన, 2 టేబుల్ స్పూన్లు సన్‌ఫ్లవర్ ఆయిల్ - &amp; మెత్తగా వేయించిన ఆకులు - 10 సె.</t>
  </si>
  <si>
    <t>1 cup Rice flour,2 tablespoons Chana dal (Bengal Gram Dal) - soaked for 30 min,2 tablespoons Roasted Peanuts (Moongphali) - coarsely pounded,2 Green Chillies - finely chopped,1 inch Ginger - grated,2 tablespoons Sunflower Oil - &amp; more to deep fry,10 Curry leaves - finely chopped,Salt - to taste</t>
  </si>
  <si>
    <t xml:space="preserve">To begin making the Pappu Chekkalu Recipe (Andhra Style Spiced Rice Cracker), first get all the ingredients ready. In a pestle and mortar, pound the ginger and green chilies to make a paste.In a large mixing bowl, combine all the ingredients and the above green chili and ginger paste along with the 2 tablespoons of oil. Make a coarse mixture of the rice flour dough. Add little water at a time and knead to make firm dough. The dough should be such that when u take a portion of the dough in our hands and hold it together and flatten it, it should hold its shape. Cover the dough with a damp cloth and allow it to rest until we heat the oil for deep frying.Heat oil in a heavy bottomed pan for deep frying.Grease your palms and fingers with little oil, take small portions of the dough and flatten it with your fingers to make a disc. Deep fry these discs (Chekkalu) in the preheated oil on medium heat until it it is golden brown and crisp.Once done, remove from the oil and drain on paper towels. Once it cools down, store in airtight containers and serve when required.Serve the Pappu Chekkalu as a tea time evening snack along with a cup of coffee or make it for festivals like diwali.
</t>
  </si>
  <si>
    <t xml:space="preserve">పప్పు చెక్కలు రెసిపీ (ఆంధ్రా స్టైల్ మసాలా రైస్ క్రాకర్) తయారు చేయడం ప్రారంభించడానికి ముందుగా అన్ని పదార్థాలను సిద్ధం చేసుకోండి. ఒక రోకలి మరియు మోర్టార్‌లో, అల్లం మరియు పచ్చి మిరపకాయలను పేస్ట్ చేయడానికి పౌండ్ చేయండి. ఒక పెద్ద మిక్సింగ్ గిన్నెలో, అన్ని పదార్ధాలను మరియు పైన పేర్కొన్న పచ్చిమిర్చి మరియు అల్లం పేస్ట్‌తో పాటు 2 టేబుల్ స్పూన్ల నూనెను కలపండి. బియ్యప్పిండి పిండిని ముతక మిశ్రమాన్ని తయారు చేయండి. ఒక్కోసారి కొద్దిగా నీరు పోసి గట్టి పిండిలా తయారవుతుంది. పిండిలో కొంత భాగాన్ని మన చేతుల్లోకి తీసుకుని, దానిని కలిపి పట్టుకుని చదును చేసినప్పుడు, అది దాని ఆకారాన్ని పట్టుకునేలా ఉండాలి. పిండిని తడి గుడ్డతో కప్పి, డీప్ ఫ్రై చేయడానికి నూనెను వేడి చేసే వరకు దానిని విశ్రాంతి తీసుకోండి. డీప్ ఫ్రై చేయడానికి భారీ అడుగున ఉన్న పాన్‌లో నూనెను వేడి చేయండి. మీ అరచేతులు మరియు వేళ్లను కొద్దిగా నూనెతో గ్రీజ్ చేయండి, పిండిలో చిన్న భాగాలను తీసుకొని మీ వేళ్లతో చదును చేయండి. ఈ డిస్కులను (చెక్కలు) ముందుగా వేడిచేసిన నూనెలో బంగారు గోధుమ రంగు మరియు స్ఫుటమైన వరకు మీడియం వేడి మీద డీప్ ఫ్రై చేయండి. పూర్తయిన తర్వాత, నూనె నుండి తీసివేసి కాగితపు టవల్ మీద వేయండి. అది చల్లారిన తర్వాత, గాలి చొరబడని కంటైనర్‌లలో నిల్వ చేసి, అవసరమైనప్పుడు సర్వ్ చేయండి. పప్పు చెక్కలను టీ టైమ్ సాయంత్రం స్నాక్‌గా ఒక కప్పు కాఫీతో పాటు అందించండి లేదా దీపావళి వంటి పండుగలకు తయారు చేయండి.
</t>
  </si>
  <si>
    <t>http://www.archanaskitchen.com/pappu-chekkalu-recipe-andhra-style-spiced-rice-cracker</t>
  </si>
  <si>
    <t>Andhra Style Mukkala Pulusu Recipe-Sweet Tangy Vegetable Stew</t>
  </si>
  <si>
    <t>ఆంధ్రా స్టైల్ ముక్కల పులుసు రిసిపి-స్వీట్ టాంగీ వెజిటబుల్ స్టూ</t>
  </si>
  <si>
    <t>1 బంగాళాదుంప (ఆలూ) - చర్మం ఒలిచి ముక్కలుగా తరిగినవి, 1 మునగకాయ - 1 అంగుళం కర్రలో కట్, 1 కప్పు సీసా (లౌకి) - చిన్న ఘనాలగా తరిగిన, 1 కప్పు ముత్యాల ఉల్లిపాయలు (సాంబార్ ఉల్లిపాయలు) - తరిగిన, 2 పచ్చిమిర్చి - చీలిక, 1 టేబుల్ స్పూన్ బెల్లం, 1 టేబుల్ స్పూన్ బెల్లం (హల్దీ), ఉప్పు - రుచికి సరిపడా, 1 టేబుల్ స్పూన్ కొత్తిమీర (ధనియా) విత్తనాలు, 1 టీస్పూన్ మెంతి గింజలు (మెంతి గింజలు), 2 ఎండు మిరపకాయలు, 1 టేబుల్ స్పూన్ చనా పప్పు (బెంగాల్ పప్పు), 1 టేబుల్ స్పూన్ తెల్ల ఉరద్ పప్పు (విడదీయండి), 1 టీస్పూన్ జీలకర్ర (జీరా), 1 టీస్పూన్ ఆవాలు, 1 టీస్పూన్ ఆవాలు, 1 టీస్పూన్ ఆవాలు. మిరియాల పొడి, 1 చిటికెడు ఇంగువ (హింగ్)</t>
  </si>
  <si>
    <t>1 Potato (Aloo) - skin peeled and chopped into cubes,1 Drumstick - cut into 1 inch stick,1 cup Bottle gourd (lauki) - chopped into small cubes,1 cup Pearl onions (Sambar Onions) - chopped,2 Green Chillies - slit,1 tablespoon Jaggery,1 cup Tamarind Water,1 teaspoon Turmeric powder (Haldi),Salt - to taste,1 tablespoon Coriander (Dhania) Seeds,1 teaspoon Methi Seeds (Fenugreek Seeds),2 Dry Red Chillies,1 tablespoon Chana dal (Bengal Gram Dal),1 tablespoon White Urad Dal (Split),1 teaspoon Cumin seeds (Jeera),1 teaspoon Mustard seeds,1 sprig Curry leaves,1 teaspoon White Urad Dal (Split),1 teaspoon Red Chilli powder,1 pinch Asafoetida (hing)</t>
  </si>
  <si>
    <t xml:space="preserve">To begin making the Andhra Style Mukkala Pulusu, keep the vegetables ready, Heat a flat skillet with oil.Add the chana dal, urad dal, coriander seeds, dry red chillies, fenugreek seeds, cumin seeds and fry them till they become light brown and a wonderful aroma comes out.Cool it down and add little water and grind it into a smooth creamy paste and keep it aside.Take a pressure cooker with oil, add onion and saute till they turn translucent. Add in green chillies and saute for 10 seconds. Add in vegetables, potato, drumstick and bottle. Sprinkle with turmeric powder and give it a mix. Add in ground paste, jaggery, tamarind water and salt. Add about 1 cup water and pressure cook for about 2 whistle.Once done, switch off the heat, allow the pressure to release by itself. Heat a small pan for tempering, add oil, once it gets hot add mustard seeds and allow it to splutter and add the curry leaves and hing. Leave it again for 10 more seconds.Add urad dal and chilli powder and pour it over the Andhra Style Mukkala Pulusu and serve. Serve the Andhra Style Mukkala Pulusu with hot steamed rice, Karnataka Style Sorakkai Palya and finish it off with a cup of Gajar Ka Halwa for your sunday meal.
</t>
  </si>
  <si>
    <t xml:space="preserve">ఆంధ్రా స్టైల్ ముక్కల పులుసు తయారు చేయడం ప్రారంభించడానికి, కూరగాయలను సిద్ధంగా ఉంచండి, నూనెతో ఫ్లాట్ స్కిల్లెట్ వేడి చేయండి. శనగ పప్పు, ఉరద్ పప్పు, కొత్తిమీర, ఎండు మిరపకాయలు, మెంతులు, జీలకర్ర వేసి లేత గోధుమరంగు వచ్చే వరకు వేయించాలి మరియు అద్భుతమైన వాసన వస్తుంది. దానిని చల్లార్చి, కొద్దిగా నీళ్ళు పోసి మెత్తగా గ్రైండ్ చేయాలి. నూనె, ఉల్లిపాయ వేసి అవి అపారదర్శకమయ్యే వరకు వేయించాలి. పచ్చిమిర్చి వేసి 10 సెకన్ల పాటు వేయించాలి. కూరగాయలు, బంగాళదుంపలు, మునగకాయ మరియు సీసాలో జోడించండి. పసుపు పొడిని చల్లి మిక్స్ ఇవ్వండి. రుబ్బిన పేస్ట్, బెల్లం, చింతపండు నీరు మరియు ఉప్పు కలపండి. సుమారు 1 కప్పు నీరు వేసి, 2 విజిల్ కోసం ప్రెషర్ కుక్ చేయండి. పూర్తయిన తర్వాత, వేడిని ఆపివేయండి, ఒత్తిడి దానికదే విడుదలయ్యేలా చేయండి. టెంపరింగ్ కోసం ఒక చిన్న పాన్ వేడి చేసి, నూనె వేసి, అది వేడెక్కిన తర్వాత ఆవాలు వేసి చిటపటలాడేలా చేసి, కరివేపాకు మరియు హింగ్ జోడించండి. మరో 10 సెకన్ల పాటు అలాగే ఉంచండి. ఉరద్ పప్పు మరియు కారం వేసి, ఆంధ్రా స్టైల్ ముక్కల పులుసుపై పోసి సర్వ్ చేయండి. ఆంధ్రా స్టైల్ ముక్కల పులుసును వేడి వేడి అన్నం, కర్నాటక స్టైల్ సొరక్కాయి పల్యాతో వడ్డించండి మరియు మీ ఆదివారం భోజనం కోసం ఒక కప్పు గజర్ కా హల్వాతో ముగించండి.
</t>
  </si>
  <si>
    <t>https://www.archanaskitchen.com/andhra-style-mukkala-pulusu-recipe-sweet-tangy-vegetable-stew</t>
  </si>
  <si>
    <t>Andhra Style Chilakada Dumpa Pulusu Recipe (Sweet Potato in Tangy, Sweet &amp; Spicy Curry Recipe)</t>
  </si>
  <si>
    <t>ఆంధ్రా స్టైల్ చిలకడ దుంప పులుసు రిసిపి (స్వీట్ పొటాటో ఇన్ టాంగీ, స్వీట్ &amp; స్పైసీ కర్రీ రిసిపి)</t>
  </si>
  <si>
    <t>2 కప్పులు చిలగడదుంపలు, 1/4 కప్పు ముత్యాల ఉల్లిపాయలు (సాంబార్ ఉల్లిపాయలు) - సన్నగా తరిగిన, 3 లవంగాలు వెల్లుల్లి, 1 కప్పు చింతపండు నీరు, 2 టేబుల్ స్పూన్లు బెల్లం, 2 టొమాటోలు - సన్నగా తరిగిన, 1 పచ్చిమిర్చి - చీలిక, 1 రెమ్మ కరివేపాకు, 1 టీస్పూన్ సాంబారు పొడి, 1 టీస్పూన్/2 టీస్పూన్ సాంబారు పొడి, (హల్దీ), ఉప్పు - రుచికి సరిపడా నూనె, 1/4 టీస్పూన్ ఆవాలు, 1/2 టీస్పూన్ జీలకర్ర (జీరా), 1/2 టీస్పూన్ ఇంగువ (హింగ్), 1 రెమ్మ కరివేపాకు, 2 రెమ్మలు కొత్తిమీర (ధనియా) ఆకులు - గార్నిష్ కోసం సన్నగా తరిగినవి.</t>
  </si>
  <si>
    <t>2 cups Sweet Potatoes,1/4 cup Pearl onions (Sambar Onions) - finely chopped,3 cloves Garlic,1 cup Tamarind Water,2 tablespoons Jaggery,2 Tomatoes - finely chopped,1 Green Chilli - slit,1 sprig Curry leaves,1 teaspoon Sambar Powder,1/2 teaspoon Red Chilli powder,1/8 teaspoon Turmeric powder (Haldi),Salt - to taste Oil for cooking,1/4 teaspoon Mustard seeds,1/2 teaspoon Cumin seeds (Jeera),1/2 teaspoon Asafoetida (hing),1 sprig Curry leaves,2 sprig Coriander (Dhania) Leaves - finely chopped for garnish</t>
  </si>
  <si>
    <t xml:space="preserve">We begin making the Andhra Style Chilakada Dumpa Pulusu Recipe (Sweet Potato in Tangy, Sweet &amp; Spicy Curry Recipe) by heating the pressure cooker with oil, crackle curry leaves and add the shallots and green chilies. Sauté for few minutes till it is translucent.Then add the tomatoes, smash them and cook for few more minutes. Add the jaggery and rest of the spice and cook for some more time till it is all smashed and becomes a paste.Then finally add the sweet potatoes, give it a toss. Pour in the tamarind water and check for seasoning.Pressure cook the curry for about 4 whistle, and release the pressure naturally once it is done.In order to temper the seasoning, heat a small skillet with oil, crackle mustard seeds, cumin seeds, curry leaves and add the Hing. Add this tempering to the curry once it opened and give it a toss.Serve the Andhra Style Chilakada Dumpa Pulusu Recipe (Sweet Potato in Tangy, Sweet &amp; Spicy Curry Recipe) with steam rice or just eat it along with Chapathi for your Lunch meal.
</t>
  </si>
  <si>
    <t xml:space="preserve">మేము ఆంధ్రా స్టైల్ చిలకడ దుంప పులుసు రిసిపి (ట్యాంజీ, స్వీట్ &amp; స్పైసీ కర్రీ రిసిపిలో స్వీట్ పొటాటో) తయారు చేయడం ప్రారంభిస్తాము, ప్రెషర్ కుక్కర్‌ను నూనెతో వేడి చేసి, కరివేపాకు మరియు పచ్చిమిర్చి వేసి కలుపుతాము. ఇది అపారదర్శకమయ్యే వరకు కొన్ని నిమిషాలు వేయించాలి. తర్వాత టొమాటోలు వేసి, వాటిని పగులగొట్టి మరికొన్ని నిమిషాలు ఉడికించాలి. బెల్లం మరియు మిగిలిన మసాలా దినుసులు వేసి మరికొంత సేపు ఉడికించి, అన్నీ పగులగొట్టి పేస్ట్‌గా మారుతాయి. తర్వాత చిలగడదుంపలు వేసి, టాసు ఇవ్వండి. చింతపండు నీటిలో పోసి, మసాలా కోసం తనిఖీ చేయండి. కూరను సుమారు 4 విజిల్ వరకు ఉడికించి, అది పూర్తయిన తర్వాత సహజంగా ఒత్తిడిని విడుదల చేయండి. మసాలాను చల్లబరచడానికి, నూనెతో ఒక చిన్న స్కిల్లెట్ వేడి చేసి, ఆవాలు, జీలకర్ర, కరివేపాకు మరియు హింగ్ జోడించండి. కూర తెరిచిన తర్వాత ఈ టెంపరింగ్‌ని జోడించి, టాస్ ఇవ్వండి. ఆంధ్రా స్టైల్ చిలకడ దుంప పులుసు రిసిపిని (ట్యాంగీలో స్వీట్ పొటాటో, స్వీట్ &amp; స్పైసీ కర్రీ రిసిపి) స్టీమ్ రైస్‌తో సర్వ్ చేయండి లేదా మీ మధ్యాహ్న భోజనం కోసం చపాతీతో పాటు తినండి.
</t>
  </si>
  <si>
    <t>http://www.archanaskitchen.com/andhra-style-chilakada-dumpa-pulusu-recipe-sweet-potato-in-tangy-sweet-spicy-curry-recipe</t>
  </si>
  <si>
    <t>Andhra Style Kandagadda Vepudu Recipe - Yam Stir Fry Recipe</t>
  </si>
  <si>
    <t>ఆంధ్రా స్టైల్ కందగడ్డ వేపుడు రెసిపీ - Yam Stir Fry Recipe</t>
  </si>
  <si>
    <t>250 గ్రాముల ఎలిఫెంట్ యామ్ (సూరన్/సేనాయి/రతాళు) - చిన్న చిన్న పూలు, 1 టీస్పూన్ ఆవాలు, 2 రెమ్మలు కరివేపాకు, 1 పచ్చిమిర్చి - తరిగిన, 1 అంగుళం అల్లం - తరిగిన, 4 లవంగాలు వెల్లుల్లి - తరిగిన, 1 టీస్పూన్ పసుపు పొడి, 1 టీస్పూన్ ఎర్ర మిరియాల పొడి, 1 టీస్పూన్ ఎర్ర మిరియాల పొడి, 2 టేబుల్ స్పూన్.</t>
  </si>
  <si>
    <t>250 grams Elephant yam (Suran/Senai/Ratalu) - cut into small florets,1 teaspoon Mustard seeds,2 sprig Curry leaves,1 Green Chilli - chopped,1 inch Ginger - chopped,4 cloves Garlic - chopped,1 teaspoon Turmeric powder (Haldi),2 tablespoon Red Chilli powder,1 teaspoon Black pepper powder,Salt - to taste</t>
  </si>
  <si>
    <t xml:space="preserve">To begin making the Andhra Style Kandagadda Vepudu Recipe, firstly we will pressure cook the chopped yam. Add the Yam in a pressure cooker with 1 cup water and salt. Close the lid and cook till the cooker releases 2 whistles.Switch off the heat and allow it to rest so that it releases the pressure by itself.Heat a kadai with oil. Once the oil is hot, add mustard seeds and allow it to splutter for few seconds. Add the curry leaves and crackle them for 10 more seconds.Add the ginger and garlic, chopped green chilli and cooked yam. Add the spice powders also (red chilli powder, turmeric powder, pepper powder and salt) and mix everything well.Mix until the masalas are evenly coated and saute until the dish becomes dry (This will take about 2 to 3 minutes). Check for salt and serve. Serve the Andhra Style Kandagadda Vepudu along with Steamed Rice, Palak Tovve or Palak Dal Recipe and Palya for an everyday Lunch or Dinner.
</t>
  </si>
  <si>
    <t xml:space="preserve">ఆంధ్రా స్టైల్ కందగడ్డ వేపుడు రెసిపీని తయారు చేయడం ప్రారంభించడానికి, ముందుగా తరిగిన యాలకులు వండాలి. 1 కప్పు నీరు మరియు ఉప్పుతో ప్రెజర్ కుక్కర్‌లో యమ్ జోడించండి. మూత మూసివేసి, కుక్కర్ 2 విజిల్స్ వచ్చే వరకు ఉడికించాలి. వేడిని ఆపివేసి, విశ్రాంతి తీసుకోవడానికి అనుమతించండి, తద్వారా అది ఒత్తిడిని స్వయంగా విడుదల చేస్తుంది. నూనెతో కడాయిని వేడి చేయండి. నూనె వేడెక్కిన తర్వాత, ఆవాలు వేసి, కొన్ని సెకన్ల పాటు చిందరవందరగా ఉండనివ్వండి. కరివేపాకులను వేసి మరో 10 సెకన్ల పాటు వాటిని పగులగొట్టండి. అల్లం మరియు వెల్లుల్లి, తరిగిన పచ్చిమిర్చి మరియు వండిన యమలను జోడించండి. మసాలా పొడులను కూడా (ఎర్ర మిరప పొడి, పసుపు పొడి, మిరియాల పొడి మరియు ఉప్పు) వేసి అన్నింటినీ బాగా కలపండి. మసాలాలు సమానంగా పూత వరకు కలపండి మరియు డిష్ పొడిగా మారే వరకు వేయించాలి (దీనికి 2 నుండి 3 నిమిషాలు పడుతుంది). ఉప్పు కోసం తనిఖీ చేసి సర్వ్ చేయండి. ప్రతిరోజూ లంచ్ లేదా డిన్నర్ కోసం ఆంధ్రా స్టైల్ కందగడ్డ వేపుడు ఆవిరి అన్నం, పాలక్ తోవ్వే లేదా పాలక్ దాల్ రిసిపి మరియు పల్యాతో అందించండి.
</t>
  </si>
  <si>
    <t>https://www.archanaskitchen.com/andhra-style-kandagadda-vepadu-recipe-yam-stir-fry-recipe</t>
  </si>
  <si>
    <t>Andhra Style Pindi Miriyam Recipe</t>
  </si>
  <si>
    <t>ఆంధ్రా స్టైల్ పిండి మిరియమ్ రిసిపి</t>
  </si>
  <si>
    <t>1/2 కప్పు అర్హర్ పప్పు (స్ప్లిట్ టూర్ పప్పు) - ఉడికించిన, 1 బంగాళాదుంప (ఆలూ) - క్యూబ్స్‌గా కట్, 3 బ్రింజాల్ (బైంగన్ / వంకాయ) - క్యూబ్స్‌గా కట్, 1/4 కప్పు పచ్చి అరటిపండు - క్యూబ్స్‌గా కట్, 1/2 కప్పు బాటిల్ (లౌకి) - 2 టీస్పూన్లు, క్యూబ్ బాటిల్ - 8 టీస్పూన్లు పొడి, 1 రెమ్మ కరివేపాకు, 1 టీస్పూన్ ఆవాలు, 1/2 టీస్పూన్ జీలకర్ర (జీరా), 1 ఎండు మిర్చి, 2 టీస్పూన్లు సన్‌ఫ్లవర్ ఆయిల్, ఉప్పు - రుచికి, 1 టీస్పూన్ సన్‌ఫ్లవర్ ఆయిల్, 1 టేబుల్ స్పూన్ తెల్ల ఉరద్ పప్పు (విడదీయాలి), 3 టేబుల్ స్పూన్లు తాజా కొబ్బరి - తురిమిన, 2 టేబుల్ స్పూన్లు కొత్తిమీర, 1 టీస్పూన్ కొత్తిమీర, 1 టీస్పూన్లు విత్తనాలు (జీరా), 2 ఎండు ఎర్ర మిరపకాయలు</t>
  </si>
  <si>
    <t>1/2 cup Arhar dal (Split Toor Dal) - cooked,1 Potato (Aloo) - cut into cubes,3 Brinjal (Baingan / Eggplant) - cut into cubes,1/4 cup Raw Banana - cut into cubes,1/2 cup Bottle gourd (lauki) - cut into cubes,18 gram Tamarind,2 teaspoons Jaggery - powdered,1 sprig Curry leaves,1 teaspoon Mustard seeds,1/2 teaspoon Cumin seeds (Jeera),1 Dry Red Chilli,2 teaspoons Sunflower Oil,Salt - to taste,1 teaspoon Sunflower Oil,1 tablespoon White Urad Dal (Split),3 tablespoons Fresh coconut - grated,2 tablespoons Coriander (Dhania) Seeds,1/2 teaspoon Whole Black Peppercorns,1 teaspoon Cumin seeds (Jeera),2 Dry Red Chillies</t>
  </si>
  <si>
    <t xml:space="preserve">To begin making Andhra Style Pindi Miriyam Recipe, wash and pressure cook the toor dal to 3 whistles, mash and keep aside.Heat oil in a pan and roast all the ingredients mentioned in the spice paste table and grind it to a smooth paste using a mixer grinder by adding little water and keep aside.Soak the lemon sized tamarind in half a cup of warm water, squeeze and extract the pulp and keep aside.In the same pan, add all the vegetables, 2 cups of water, prepared spice paste, salt and let the mixture boil until the vegetables are cooked.Now, add the tamarind extract and cook until the raw smell of the tamarind goes away.Add in the cooked and mashed dal, mix well and let it simmer for 5 minutes.Now, prepare a tadka by heating oil in a small tadka pan. Add in the mustard seeds, cumin, red chilli and curry leaves, let it splutter.Add this prepared tadka to the boiling Andhra Style Pindi Miriyam Recipe, simmer for another 2 minutes and switch off the flame.Serve the Andhra Style Pindi Miriyam Recipe along with Steamed Rice, Andhra Style Kakarakaya Vepudu Recipe, Pineapple Rasam Recipe and Roasted Papad for a weekday lunch or dinner.
</t>
  </si>
  <si>
    <t xml:space="preserve">ఆంధ్రా స్టైల్ పిండి మిరియమ్ రెసిపీని తయారు చేయడం ప్రారంభించడానికి, పప్పును 3 విజిల్స్ వచ్చేలా కడిగి, ప్రెషర్ చేసి, మెత్తగా చేసి పక్కన పెట్టుకోవాలి. బాణలిలో నూనె వేడి చేసి, మసాలా పేస్ట్ టేబుల్‌లో పేర్కొన్న పదార్థాలన్నింటినీ వేయించి, మిక్సర్ గ్రైండర్ ఉపయోగించి మెత్తగా పేస్ట్ చేసి, కొద్దిగా నీరు పోసి పక్కన పెట్టండి. గుజ్జు మరియు పక్కన పెట్టండి.అదే పాన్‌లో, అన్ని కూరగాయలు, 2 కప్పుల నీరు, సిద్ధం చేసిన మసాలా పేస్ట్, ఉప్పు వేసి మిశ్రమాన్ని కూరగాయలు ఉడికినంత వరకు మరిగించాలి. ఇప్పుడు, చింతపండు సారం వేసి, చింతపండు యొక్క పచ్చి వాసన పోయే వరకు ఉడికించాలి. ఉడికిన మరియు గుజ్జు చేసిన పప్పులో వేసి, బాగా కలపండి మరియు ఒక చిన్న నూనెలో వేసి, ఒక 5 నిమిషాలు ఉడికించాలి. పాన్. అందులో ఆవాలు, జీలకర్ర, ఎండుమిర్చి మరియు కరివేపాకు వేసి, అది చిటపటలాడనివ్వండి. ఉడుకుతున్న ఆంధ్రా స్టైల్ పిండి మిరియమ్ రిసిపిలో ఈ సిద్ధం చేసిన తడ్కాను వేసి, మరో 2 నిమిషాలు ఆవేశమును అణిచిపెట్టుకోండి మరియు మంటను ఆపివేయండి. ఆంధ్రా స్టైల్ పిండి మిరియం రెసిపీతో పాటు ఉడికించిన అన్నం, ఆంధ్రా స్టైల్ రెసిపీ రెసిపీ, ఆంధ్రా స్టైల్ రెసిపీని సర్వ్ చేయండి. వారపు రోజు భోజనం లేదా రాత్రి భోజనం కోసం కాల్చిన పాపడ్.
</t>
  </si>
  <si>
    <t>https://www.archanaskitchen.com/andhra-style-pindi-miriyam-recipe</t>
  </si>
  <si>
    <t>Andhra Style Nalla Karam Podi Recipe</t>
  </si>
  <si>
    <t>ఆంధ్రా స్టైల్ నల్ల కారం పొడి రెసిపీ</t>
  </si>
  <si>
    <t>1 కప్పు కొత్తిమీర (ధనియా) విత్తనాలు, 3 టేబుల్ స్పూన్లు నల్ల ఉరద్ పప్పు (మొత్తం), 3 టేబుల్ స్పూన్లు వేయించిన శెనగ పప్పు (పొట్టుకడలై), 20 ఎండు మిరపకాయలు, కరివేపాకు - కొన్ని రెమ్మలు, 18 గ్రాములు చింతపండు - (చిన్న నిమ్మకాయ పరిమాణం), 6 లవంగాలు - వెల్లుల్లి - తరిగిన సన్ ఫ్లవర్ - 2 టీస్పూన్లు</t>
  </si>
  <si>
    <t>1 cup Coriander (Dhania) Seeds,3 tablespoons Black Urad Dal (Whole),3 tablespoons Roasted Gram Dal (Pottukadalai),20 Dry Red Chillies,Curry leaves - few sprigs,18 grams Tamarind - (small lemon sized),6 cloves Garlic - chopped,2 teaspoon Sunflower Oil,Salt - to taste</t>
  </si>
  <si>
    <t xml:space="preserve">To begin making Andhra Style Nalla Karam Podi Recipe, get ready with all the ingredients. Heat a little oil in a kadai. Once the oil is hot, on a medium flame, fry coriander seeds on a low medium flame until crisp and smells divine. It takes about a minute or two.Take the coriander seeds out of the kadai and put them on a plate to cool off.In the same kadai, roast Pottukadalai (Senagalu) and black urad dal. Fry until golden brown. Remove them on the plate along with coriander seeds.Next, in the same kadai, dry roast chillies, curry leaves and tamarind till the moisture from tamarind is reduced a bit. Make sure not to burn chillies or curry leaves, saute till they crisp up.Once they are dry roasted, take them off on another plate to cool.After switching off the heat, add in the garlic and saute for a minute and leave in kadai for a minute.Mix everything and allow to rest for a few minutes until the ingredients are cooled to room temperature.Transfer all the ingredients to a mixer jar and grind to a fine powder.Serve Andhra Style Nalla Karam Podi Recipe along with Tomato Uttapam Recipe, Ragi Idli Recipe and Chow-Chow Sambar (Chayote Squash Sambar) Recipe or along with a meal plate of steamed rice, Kollu Rasam Recipe (Nourishing HorseGram Stew), Elai Vadam Recipe and Mango Pickle (Andhra Avakaya) Recipe.
</t>
  </si>
  <si>
    <t xml:space="preserve">ఆంధ్రా స్టైల్ నల్ల కారం పొడి రెసిపీని తయారు చేయడం ప్రారంభించడానికి, అన్ని పదార్థాలతో సిద్ధంగా ఉండండి. కడాయిలో కొద్దిగా నూనె వేసి వేడి చేయాలి. నూనె వేడి అయిన తర్వాత, మీడియం మంట మీద, కొత్తిమీర గింజలను తక్కువ మీడియం మంట మీద స్ఫుటమైన మరియు దైవిక వాసన వచ్చేవరకు వేయించాలి. ఇది సుమారు ఒకటి లేదా రెండు నిమిషాలు పడుతుంది. కొత్తిమీర గింజలను కడాయి నుండి తీసి వాటిని చల్లబరచడానికి ఒక ప్లేట్‌లో ఉంచండి. అదే కడాయిలో, పొట్టుకడలై (సెనగలు) మరియు నల్ల ఉరద్ పప్పును కాల్చండి. బంగారు గోధుమ రంగు వచ్చేవరకు వేయించాలి. కొత్తిమీర గింజలతో పాటు ప్లేట్‌లో వాటిని తీసివేయండి. తరువాత, అదే కడాయిలో, చింతపండు నుండి తేమ కొద్దిగా తగ్గే వరకు ఎండు రోస్ట్ మిరపకాయలు, కరివేపాకు మరియు చింతపండు. మిరపకాయలు లేదా కరివేపాకులను కాల్చకుండా చూసుకోండి, అవి కరకరలాడే వరకు వేయించాలి. అవి పొడిగా వేయించిన తర్వాత, వాటిని చల్లబరచడానికి మరొక ప్లేట్‌లో దించండి. వేడిని ఆపివేసిన తర్వాత, వెల్లుల్లి వేసి ఒక నిమిషం వేయించి, కడాయిలో ఒక నిమిషం పాటు ఉంచండి. ప్రతిదీ కలపండి మరియు పదార్థాలు గది ఉష్ణోగ్రతకు చల్లబడే వరకు కొన్ని నిమిషాలు విశ్రాంతి ఇవ్వండి. స్టైల్ నల్ల కారం పొడి రెసిపీతో పాటు టొమాటో వంటకం, రాగి ఇడ్లీ మరియు చౌ-చౌ సాంబార్ (చాయోటే స్క్వాష్ సాంబార్) రెసిపీ లేదా ఉడికించిన అన్నం, కొల్లు రసం రెసిపీ (పోషించే గుర్రపు కూర), ఎలై వడపప్పు రెసిపీ (ఏ మామిడికాయ రెసిపీ మరియు మామిడికాయ.)
</t>
  </si>
  <si>
    <t>https://www.archanaskitchen.com/andhra-style-nalla-karam-podi-recipe</t>
  </si>
  <si>
    <t>Andhra Style Kandi Pachadi Recipe (Masoor Dal Chutney Recipe)</t>
  </si>
  <si>
    <t>ఆంధ్రా స్టైల్ కంది పచ్చడి రిసిపి (మసూర్ దాల్ చట్నీ రిసిపి)</t>
  </si>
  <si>
    <t>1 కప్పు మసూర్ పప్పు (మొత్తం), 3 ఎండు మిరపకాయలు, 1/2 కప్పు వేయించిన పప్పు (పొట్టుకడలై), 1 టీస్పూన్ జీలకర్ర (జీరా), 18 గ్రాములు చింతపండు, 4 లవంగాలు వెల్లుల్లి, ఉప్పు - రుచికి, 1 టీస్పూన్ ఆవాలు, 1 టీస్పూన్ తెల్ల ఉరడ్ పప్పు (విడదీయండి), 1 టీస్పూన్ ఎండు మిరపకాయలు, 1 టీస్పూన్ ఎండు మిరపకాయలు ఆసుఫోటిడా (హింగ్), సన్‌ఫ్లవర్ ఆయిల్</t>
  </si>
  <si>
    <t>1 cup Masoor Dal (Whole),3 Dry Red Chillies,1/2 cup Roasted Gram Dal (Pottukadalai),1 teaspoon Cumin seeds (Jeera),18 grams Tamarind,4 cloves Garlic,Salt - to taste,1 teaspoon Mustard seeds,1 teaspoon White Urad Dal (Split),2 Dry Red Chillies,1 sprig Curry leaves,1 pinch Asafoetida (hing),Sunflower Oil</t>
  </si>
  <si>
    <t xml:space="preserve">To begin making the Andhra Style Kandi Pachadi Recipe, heat a flat skillet with oil, add the masoor dal and cumin seeds and roast until they become light brown.Add the urad dal and dry red chilli at the end and fry until the chillies crisp up.Once done, cool it down and grind it along with tamarind, garlic into a smooth paste by adding water.To temper, heat a small tempering pan and add mustard seeds and urad dal and allow it splutter for 10 seconds.Add curry leaves, dry red chilies, hing and leave the curry leaves to crackle for 10 seconds.Pour this tempered oil over the chutney and serve. Serve the Andhra Style Kandi Pachadi Recipe with Homemade Crispy Ghee Roast Dosas and Spicy Crunchy Masala Idli Recipe to enjoy your morning breakfast.
</t>
  </si>
  <si>
    <t xml:space="preserve">ఆంధ్రా స్టైల్ కంది పచ్చడి రిసిపిని తయారు చేయడం ప్రారంభించడానికి, ఒక ఫ్లాట్ స్కిల్లెట్‌ను నూనెతో వేడి చేసి, మసూర్ పప్పు మరియు జీలకర్ర వేసి, లేత గోధుమరంగు వచ్చేవరకు వేయించాలి. చివర్లో ఉరద్ పప్పు మరియు ఎండు మిరపకాయలను వేసి, మిరపకాయలు కరకరలాడే వరకు వేయించాలి. టెంపరింగ్ పాన్ మరియు ఆవాలు మరియు ఉరద్ పప్పు వేసి 10 సెకన్ల పాటు చిటపటలాడనివ్వండి. కరివేపాకు, ఎండు మిరపకాయలు, హింగ్ వేసి, కరివేపాకులను 10 సెకన్ల పాటు చిటపటలాడేలా ఉంచండి. ఈ టెంపర్డ్ ఆయిల్ ను చట్నీ మీద పోసి సర్వ్ చేయండి. మీ ఉదయపు అల్పాహారాన్ని ఆస్వాదించడానికి ఆంధ్రా స్టైల్ కంది పచ్చడి రెసిపీని ఇంట్లో తయారు చేసిన క్రిస్పీ ఘీ రోస్ట్ దోసలు మరియు స్పైసీ క్రంచీ మసాలా ఇడ్లీ రిసిపితో సర్వ్ చేయండి.
</t>
  </si>
  <si>
    <t>https://www.archanaskitchen.com/andhra-style-kandi-pachadi-recipe-masoor-dal-chutney-recipe</t>
  </si>
  <si>
    <t>Andhra Style Vankaya Kothimeera Karam Recipe - Brinjal Cooked With Spicy Coriander Mix Recipe</t>
  </si>
  <si>
    <t>ఆంధ్రా స్టైల్ వంకాయ కోతిమీర కారం రెసిపీ - వంకాయలతో వంకాయలు వండిన కొత్తిమీర మిక్స్ రెసిపీ</t>
  </si>
  <si>
    <t>400 గ్రాముల బెండకాయ (బైంగన్ / వంకాయ) - పొడవాటి కుట్లుగా కట్, 1 టీస్పూన్ ఆవాలు, 1/2 టీస్పూన్ తెల్ల ఉరద్ పప్పు (విడదీయండి), 1 రెమ్మ కరివేపాకు, 2 ఎండు మిరపకాయలు, 1 టేబుల్ స్పూన్ సన్‌ఫ్లవర్ ఆయిల్, ఉప్పు - రుచికి, కొత్తిమీర (ధనియా) ఆకులు - కావలసినంత, పచ్చిమిర్చి, 2 పచ్చి ముక్కలు స్థూలంగా తరిగిన, 1/2 టీస్పూన్ జీలకర్ర (జీరా)</t>
  </si>
  <si>
    <t>400 grams Brinjal (Baingan / Eggplant) - cut into long strips,1 teaspoon Mustard seeds,1/2 teaspoon White Urad Dal (Split),1 sprig Curry leaves,2 Dry Red Chillies,1 tablespoon Sunflower Oil,Salt - to taste,Coriander (Dhania) Leaves - as required and roughly chopped,2 Green Chillies,2 inch Ginger - roughly chopped,1/2 teaspoon Cumin seeds (Jeera)</t>
  </si>
  <si>
    <t xml:space="preserve">To begin making the Vankaya Kothimeera Karam recipe, wash and cut the brinjals in long strips and keep it immersed in salt water. This helps in avoiding the brinjals to turn black.Now, add all the ingredients mentioned in the coriander masala table into a blender and make a smooth paste and keep aside.Heat oil in a heavy bottomed pan on medium flame, add the mustard seeds, urad dal and let it splutter.Add the dried red chillies and curry leaves and let it crackle.Now, add the slit brinjals and sauté until it wilts a little.Cook the brinjal until it is half done. This will take 10 minutes.Now, add the spicy coriander masala mix to the brinjals, season with salt, toss well, and let it simmer for 10 minutes.Once the brinjals are well cooked, turn off the heat. Transfer Vankaya Kothimeera Karam into a serving bowl and serve hot. Serve Vankaya Kothimeera Karam along with Tomato Onion Sambar and steamed rice with a dollop of ghee doe a weeknight dinner.
</t>
  </si>
  <si>
    <t xml:space="preserve">వంకాయ కోతిమీర కారం రెసిపీని తయారు చేయడం ప్రారంభించడానికి, బెండకాయలను కడిగి, పొడవాటి కుట్లుగా కట్ చేసి ఉప్పు నీటిలో ముంచండి. ఇది వంకాయలు నల్లగా మారడాన్ని నివారించడంలో సహాయపడుతుంది. ఇప్పుడు కొత్తిమీర మసాలా టేబుల్‌లో పేర్కొన్న అన్ని పదార్థాలను బ్లెండర్‌లో వేసి మెత్తగా పేస్ట్ చేసి పక్కన పెట్టండి. మీడియం మంట మీద భారీ అడుగున ఉన్న పాన్‌లో నూనె వేడి చేసి, ఆవాలు, ఉడకబెట్టిన పప్పు వేసి చిటపటలాడనివ్వండి. కొద్దిగా వాలిపోతుంది. బెండకాయ సగం అయ్యే వరకు ఉడికించాలి. దీనికి 10 నిమిషాలు పడుతుంది.ఇప్పుడు, బెండకాయలకు మసాలా కొత్తిమీర మసాలా మిక్స్ వేసి, ఉప్పు వేసి, బాగా టాసు చేసి, 10 నిమిషాలు ఆవేశమును అణిచిపెట్టుకోండి. బెండకాయలు బాగా ఉడికిన తర్వాత, వేడిని ఆపివేయండి. వంకాయ కోతిమీర కరమ్‌ను సర్వింగ్ బౌల్‌లోకి మార్చండి మరియు వేడిగా వడ్డించండి. వంకాయ కోతిమీర కరమ్‌తో పాటు టమాటో ఉల్లిపాయ సాంబార్ మరియు ఒక డల్‌ప్ నెయ్యితో ఉడికించిన అన్నాన్ని వారం రాత్రి డిన్నర్‌లో సర్వ్ చేయండి.
</t>
  </si>
  <si>
    <t>http://www.archanaskitchen.com/vankaya-kothimeera-karam-recipe-andhra-style-brinjals-cooked-with-spicy-coriander-mix</t>
  </si>
  <si>
    <t>Andhra Style Karivepaku Pachadi Recipe</t>
  </si>
  <si>
    <t>ఆంధ్రా స్టైల్ కరివేపాకు పచ్చడి రెసిపీ - Andhra Style Karivepaku Pachadi Recipe</t>
  </si>
  <si>
    <t>8 టహనీ కథ పత్తా,2 బడే చమచ్చ చన దాల్,3 సుఖీ లాల్ మిర్చ - యా రహరి,1 అదరక్ - కాట్ లే,1 కప్ ఇమలి కా పానీ,1 ఛోటా చమచ్చ రాయ్,1 సుఖీ లాల్ మిర్చ్</t>
  </si>
  <si>
    <t>8 sprig curry leaves, 2 tablespoons chickpea lentils, 3 dried red chillies - or green chillies, 1 inch ginger - chopped, 1 cup tamarind water, 1 teaspoon mustard, 1 dry red chili</t>
  </si>
  <si>
    <t>"To make Andhra Style Karivepaku Pachadi Recipe, first heat oil in a pan. Add chana dal, dried red chillies and cook till the dal turns golden. Add curry leaves and cook till they turn crispy. Add ginger and mix well. Add tamarind water and cook till it dries up. Turn off the gas and mix well. Keep aside to cool. Put it in a mixer grinder and make a paste. Keep aside. For the tempering, heat oil in a pan. Add mustard seeds, dried red chillies and cook till the mustard seeds crackle. Add in the chutney, mix and serve. Serve Andhra Style Karivepaku Pachadi Recipe with Ghee Roast Dosa and Filter Coffee for breakfast."</t>
  </si>
  <si>
    <t xml:space="preserve">ఆంధ్రా స్టైల్ కరివేపాకు పచ్చడి రేసిపీ బనానె కోసం సబసే పహలే ఒక కధం. అదే విధంగా చనా దాల్, సుఖీ లాల్ మీర్చ్ డాలే మరియు దాల్ కే సునహార హోనే తకాలి. అబ్ ఇమేం కఢీ పట్టా డాలీ కర్ ఉనకే కురకురే హోనే తక పక లే. అదరక్ దాలే మరియు మిలా లే. ఇప్పుడు ఇమలి కా పానీ దాలే మరియు సుఖ జానే తక్ పకాయే. गैस बंद करें మరియు अच्छी तरह से मिला ले. ఠండా కరనే కోసం అలగ్ సె రఖ్ లే. ఇప్పుడు మిక్సర్ గ్రైండర్ మరియు పెస్ట్ బనా లే. అలగ్ సె రఖ్ దే. వెంటనే, ఒక కథలో తేల్ గరం కరేం. అదే రాయ్, సుఖీ లాల్ మీర్చ్ డాలే మరియు రాయ్ కె తడకనే. చటని మేం దాలే, మిలాయే మరియు పరోసే. ఆంధ్రా స్టైల్ కరివేపాకు పచ్చడి రేసిపీ కో ఘీ రోస్ట్ డోసా మరియు ఫర్‌ఫర్ట్ కేర్‌లు శుభాకాంక్షల కోసం.
</t>
  </si>
  <si>
    <t>http://www.archanaskitchen.com/andhra-style-karivepaku-pachadi-recipe-curry-leaf-chutney-recipe-in-hindi</t>
  </si>
  <si>
    <t>Osmania Biscuits Recipe</t>
  </si>
  <si>
    <t>ఉస్మానియా బిస్కెట్స్ రెసిపీ</t>
  </si>
  <si>
    <t>200 గ్రాముల వెన్న (లవణరహితం), 260 గ్రాములు వివట్టా మైదా, 3 టేబుల్ స్పూన్లు పాలపొడి, 1 టేబుల్ స్పూన్ సోయా పిండి - కాల్చిన (ఐచ్ఛికం), 1 టీస్పూన్ ఉప్పు, 100 గ్రాముల చక్కెర, 2 టీస్పూన్లు బేకింగ్ పౌడర్, పాలు - బేకింగ్ చేయడానికి ముందు బ్రష్ చేయడానికి</t>
  </si>
  <si>
    <t>200 grams Butter (unsalted),260 grams Vivatta Maida,3 tablespoons Milk Powder,1 tablespoon Soy flour - toasted (optional),1 teaspoon Salt,100 grams Sugar,2 teaspoons Baking powder,Milk - to brush before baking</t>
  </si>
  <si>
    <t xml:space="preserve">To begin making Osmania Biscuits Recipe, line two baking sheets with parchment paper and set aside.Sift the all purpose flour with baking powder and salt in a bowl. Cream the butter using a silicon or rubber spatula until softened. Incorporate the sifted flour mixture very little at a time to the creamed butter without any lumps.You can use your fingers to ease the process but not the heel of your palm as it is warmer than the fingers by which the butter can melt and disturb its texture. Once all the flour is mixed in, with light hands knead or massage the mixture in order to incorporate some air.After a couple of minutes the dough turns light and pale. Now add milk powder, soy flour and powdered sugar. Knead them for couple of minutes until well combined.At this point you can refrigerate the dough for few minutes, if its sticking to your hands or else you can continue with the process.Divide the dough into two equal portions.Dust the working surface with little flour and roll out one dough portion into 1/4 inch thick sheet. Using standard round cookie cutter cut out cookies of approximately 3 inches in diameter.Place them on prepared baking sheet and repeat the process with the remaining. Brush their top with milk at room temperature.Place them in the refrigerator while we preheat the oven at 200 degree celcius. Bake them for 20 to 25 minutes until golden brown.Place them on wire rack and cool them to room temperature. Store in airtight container. Stays good up to two weeks and more depending on the weather conditions. Serve Osmania Biscuits Recipe along with Irani Chai Recipe and Karachi Biscuits Recipe.
</t>
  </si>
  <si>
    <t xml:space="preserve">ఉస్మానియా బిస్కెట్స్ రెసిపీని తయారు చేయడం ప్రారంభించడానికి, రెండు బేకింగ్ షీట్‌లను పార్చ్‌మెంట్ పేపర్‌తో లైన్ చేసి పక్కన పెట్టండి. ఒక గిన్నెలో బేకింగ్ పౌడర్ మరియు ఉప్పుతో ఆల్ పర్పస్ పిండిని జల్లెడ పట్టండి. మెత్తబడే వరకు సిలికాన్ లేదా రబ్బరు గరిటెలాంటి వెన్నను క్రీమ్ చేయండి. జల్లెడ పట్టిన పిండి మిశ్రమాన్ని ఒక్కసారిగా క్రీమ్ చేసిన వెన్నలో ముద్దలు లేకుండా కలపండి. మీరు ప్రక్రియను సులభతరం చేయడానికి మీ వేళ్లను ఉపయోగించవచ్చు కానీ మీ అరచేతి మడమను ఉపయోగించకూడదు, ఎందుకంటే ఇది వెన్న కరిగి దాని ఆకృతికి భంగం కలిగించే వేళ్ల కంటే వెచ్చగా ఉంటుంది. పిండి అంతా కలిపిన తర్వాత, తేలికపాటి చేతులతో మెత్తగా పిండి వేయండి లేదా కొద్దిగా గాలిని చేర్చడానికి మిశ్రమాన్ని మసాజ్ చేయండి. రెండు నిమిషాల తర్వాత పిండి తేలికగా మరియు లేతగా మారుతుంది. ఇప్పుడు పాలపొడి, సోయా పిండి మరియు చక్కెర పొడిని జోడించండి. బాగా కలిసే వరకు వాటిని రెండు నిమిషాలు మెత్తగా పిండి వేయండి. ఈ సమయంలో మీరు పిండిని కొన్ని నిమిషాలు ఫ్రిజ్‌లో ఉంచవచ్చు, అది మీ చేతులకు అంటుకుంటే లేదా మీరు ప్రక్రియను కొనసాగించవచ్చు. పిండిని రెండు సమాన భాగాలుగా విభజించండి. పని చేసే ఉపరితలంపై కొద్దిగా పిండితో దుమ్ము మరియు ఒక పిండి భాగాన్ని 1/4 అంగుళాల మందపాటి షీట్‌లో వేయండి. ప్రామాణిక రౌండ్ కుకీ కట్టర్‌ని ఉపయోగించి సుమారు 3 అంగుళాల వ్యాసం కలిగిన కుక్కీలను కత్తిరించండి. వాటిని సిద్ధం చేసిన బేకింగ్ షీట్‌లో ఉంచండి మరియు మిగిలిన వాటితో ప్రక్రియను పునరావృతం చేయండి. గది ఉష్ణోగ్రత వద్ద వాటి పైభాగాన్ని పాలతో బ్రష్ చేయండి. మేము ఓవెన్‌ను 200 డిగ్రీల సెల్సియస్‌కు ప్రీహీట్ చేస్తున్నప్పుడు వాటిని రిఫ్రిజిరేటర్‌లో ఉంచండి. వాటిని బంగారు గోధుమ రంగు వచ్చేవరకు 20 నుండి 25 నిమిషాలు కాల్చండి. వాటిని వైర్ రాక్‌లో ఉంచండి మరియు గది ఉష్ణోగ్రతకు చల్లబరచండి. గాలి చొరబడని కంటైనర్‌లో నిల్వ చేయండి. వాతావరణ పరిస్థితులపై ఆధారపడి రెండు వారాలు మరియు అంతకంటే ఎక్కువ కాలం వరకు బాగానే ఉంటుంది. ఇరానీ చాయ్ రెసిపీ మరియు కరాచీ బిస్కెట్స్ రెసిపీతో పాటు ఉస్మానియా బిస్కెట్స్ రెసిపీని సర్వ్ చేయండి.
</t>
  </si>
  <si>
    <t>https://www.archanaskitchen.com/osmania-biscuits-recipe</t>
  </si>
  <si>
    <t>Aratikaya Masala Pulusu Recipe - Raw Banana Stir Fry</t>
  </si>
  <si>
    <t>అరటికాయ మసాలా పులుసు రెసిపీ - పచ్చి బనానా స్టిర్ ఫ్రై</t>
  </si>
  <si>
    <t>1 పచ్చి అరటిపండు - చర్మం ఒలిచి చిన్న ఘనాలగా కట్ చేసుకోండి, 1 టీస్పూన్ ఆవాలు, 1 రెమ్మ కరివేపాకు, 1 టేబుల్ స్పూన్ ఎర్ర మిరప పొడి, 1/2 టీస్పూన్ పసుపు పొడి (హల్దీ), 1/2 కప్పు చింతపండు నీరు, 1 అంగుళాల అల్లం, 4 లవంగాలు వెల్లుల్లి, 1 టేబుల్ స్పూన్ బియ్యం</t>
  </si>
  <si>
    <t>1 Raw Banana - skin peeled and cut into small cubes,1 teaspoon Mustard seeds,1 sprig Curry leaves,1 tablespoon Red Chilli powder,1/2 teaspoon Turmeric powder (Haldi),1/2 cup Tamarind Water,1 inch Ginger,4 cloves Garlic,1 tablespoon Rice</t>
  </si>
  <si>
    <t xml:space="preserve">To begin making the Aratikaya Masala Pulusu Recipe, peel the skin off the raw banana and cut them into small pieces. Keep water over a saucepan and bring it to boil.Add the chopped raw banana, turmeric powder, salt and boil for about 10 minutes.Strain the water and keep the banana aside. Grind ginger, garlic and rice with little water to a coarse paste and keep it aside.Heat a kadai with oil, add the mustard seeds and allow it to splutter for few seconds.Add the curry leaves and let it crackle for 10 seconds and add cooked raw banana along with the ground paste. You can add red chilli powder and salt also and give it a stir.Once that is done, add the tamarind water and leave it simmer for 5 minutes until the water is all evaporated.Serve the Aratikaya Masala Pulusu Recipe with Steamed Rice and Dosakaya Pappu Recipe to create a satisfying meal.
</t>
  </si>
  <si>
    <t xml:space="preserve">అరటికాయ మసాలా పులుసు రెసిపీని తయారు చేయడం ప్రారంభించడానికి, పచ్చి అరటిపండు నుండి చర్మాన్ని తీసి చిన్న ముక్కలుగా కట్ చేసుకోండి. ఒక సాస్పాన్ మీద నీరు ఉంచండి మరియు దానిని మరిగించండి. తరిగిన పచ్చి అరటిపండు, పసుపు పొడి, ఉప్పు వేసి సుమారు 10 నిమిషాలు ఉడకబెట్టండి. నీటిని వడకట్టి అరటిపండును పక్కన పెట్టండి. అల్లం, వెల్లుల్లి మరియు బియ్యాన్ని కొద్దిగా నీళ్లతో ముతక పేస్ట్‌గా గ్రైండ్ చేసి పక్కన పెట్టండి. కడాయిని నూనెతో వేడి చేసి, ఆవాలు వేసి కొన్ని సెకన్ల పాటు చిటపటలాడనివ్వండి. కరివేపాకు వేసి 10 సెకన్ల పాటు చిటపటలాడనివ్వండి మరియు మెత్తగా పేస్ట్‌తో పాటు ఉడికించిన పచ్చి అరటిపండును జోడించండి. మీరు ఎర్ర మిరప పొడి మరియు ఉప్పును కూడా వేసి కదిలించవచ్చు. అది పూర్తయిన తర్వాత, చింతపండు నీళ్ళు వేసి, నీరంతా ఆవిరైపోయే వరకు 5 నిమిషాలు ఆవేశమును అణిచిపెట్టుకోండి. ఆరటికాయ మసాలా పులుసు రెసిపీని ఆవిరిచేసిన అన్నం మరియు దోసకాయ పప్పు రిసిపిని తో కలిపి సర్వ్ చేయండి.
</t>
  </si>
  <si>
    <t>http://www.archanaskitchen.com/aratikaaya-masala-pulusu-recipe-raw-banana-stir-fry-recipe</t>
  </si>
  <si>
    <t>Snake Gourd Salan Recipe (Snake Gourd Cooked In Tangy Spicy Peanut Sesame Curry)</t>
  </si>
  <si>
    <t>పాము పొట్లకాయ సలాన్ రెసిపీ (టాంగీ కారంగా ఉండే వేరుశెనగ నువ్వుల కూరలో పాము పొట్లకాయ వండినది)</t>
  </si>
  <si>
    <t>2 కప్పుల పాము పొట్లకాయ (పుదులంగై) - 1 అంగుళం కుట్లుగా కట్, 1 టీస్పూన్ జీలకర్ర (జీరా), 1/2 టీస్పూన్ ఆవాలు, 1/4 టీస్పూన్ మెంతి గింజలు (మెంతి గింజలు), 1/4 టీస్పూన్ పసుపు పొడి (హల్దీ), 1 టీస్పూన్ కొత్తిమీర పొడి (ధనియా) - 1 టీస్పూన్ కొత్తిమీర పొడి (ధనియా) - 1 టీస్పూన్ ఎర్రగా పొడి, కారం పొడి, 2 టీస్పూన్ కారం కప్ చింతపండు నీరు, 1 రెమ్మ కరివేపాకు, పొద్దుతిరుగుడు నూనె - వంట చేయడానికి, 2 టేబుల్ స్పూన్లు కొత్తిమీర (ధనియా) ఆకులు - అలంకరించేందుకు, ఉప్పు - రుచికి సరిపడా, 2 టేబుల్ స్పూన్లు వేయించిన వేరుశెనగ (మూంగ్‌ఫాలి), 2 టేబుల్ స్పూన్లు నువ్వులు (టిల్ గింజలు) - వేయించిన, 3 టేబుల్ స్పూన్లు, కొబ్బరి తురుము, 3 టేబుల్ స్పూన్లు, పచ్చిమిర్చి తరుగు - సుమారుగా కత్తిరించి</t>
  </si>
  <si>
    <t>2 cups Snake gourd (pudulangai) - cut into 1 inch strips,1 teaspoon Cumin seeds (Jeera),1/2 teaspoon Mustard seeds,1/4 teaspoon Methi Seeds (Fenugreek Seeds),1/4 teaspoon Turmeric powder (Haldi),1 teaspoon Coriander Powder (Dhania) - freshly roasted and ground,1 teaspoon Red Chilli powder,2 Tomatoes - pureed,1 cup Tamarind Water,1 sprig Curry leaves,Sunflower Oil - to cooking,2 tablespoons Coriander (Dhania) Leaves - to garnish,Salt - to taste,2 tablespoons Roasted Peanuts (Moongphali),2 tablespoons Sesame seeds (Til seeds) - roasted,3 tablespoons Fresh coconut - grated,3 cloves Garlic,1 inch Ginger,1 Onions - roughly chopped</t>
  </si>
  <si>
    <t xml:space="preserve">To begin making the Snake Gourd Salan Recipe, first grind the peanuts, coconut and till seeds along with a little water and grind to a smooth paste and keep aside. Also make onion, ginger garlic paste and keep aside.Steam the snake gourd in the pressure cooker for just one whistle and turn off the heat. After the whistle, release the pressure immediately, so it does not get over cooked. Heat a teaspoon of oil over medium heat in a pan; add the cumin seeds, mustard seeds, fenugreek seeds and curry leaves.When the seeds crackle, add the onion garlic and ginger paste and saute for about 2 minutes. Add the tomato puree and saute for 2 more minutes until the tomatoes begin to boil and bubble.Add the turmeric powder, coriander powder, chilli powder and powdered peanut-sesame mixture. Cook over a medium flame stirring continuously, for about 5 minutes.Add the tamarind water, the cooked snake gourd and salt and simmer until the gravy thickens for about 10 minutes. Once done, turn off the heat and garnish with coriander leaves.Serve the Snake Gourd Salan along with Peppery Mushroom Biryani Recipe and Tomato Onion Raita for a delicious weeknight dinner.
</t>
  </si>
  <si>
    <t xml:space="preserve">స్నేక్ గోర్డ్ సలాన్ రిసిపిని తయారు చేయడం ప్రారంభించడానికి, ముందుగా వేరుశెనగ, కొబ్బరి మరియు గింజలను కొద్దిగా నీళ్లతో మెత్తగా రుబ్బుకుని మెత్తగా పేస్ట్ చేసి పక్కన పెట్టుకోవాలి. అలాగే ఉల్లిపాయ, అల్లం వెల్లుల్లి పేస్ట్‌ను తయారు చేసి పక్కన పెట్టుకోండి. ప్రెజర్ కుక్కర్‌లో పాము పొట్లకాయను ఒక విజిల్ కోసం ఆవిరి చేసి, వేడిని ఆపివేయండి. విజిల్ తర్వాత, వెంటనే ఒత్తిడిని విడుదల చేయండి, తద్వారా అది ఉడికిపోదు. ఒక పాన్లో మీడియం వేడి మీద ఒక టీస్పూన్ నూనెను వేడి చేయండి; జీలకర్ర, ఆవాలు, మెంతులు మరియు కరివేపాకు జోడించండి. గింజలు పగిలినప్పుడు, ఉల్లిపాయ వెల్లుల్లి మరియు అల్లం పేస్ట్ వేసి సుమారు 2 నిమిషాలు వేయించాలి. టొమాటో పురీని వేసి, టొమాటోలు ఉడకబెట్టడం మరియు బబుల్ మొదలయ్యే వరకు మరో 2 నిమిషాలు వేయించాలి. పసుపు పొడి, ధనియాల పొడి, కారం పొడి మరియు పొడి వేరుశెనగ-నువ్వుల మిశ్రమాన్ని జోడించండి. సుమారు 5 నిమిషాలు నిరంతరంగా కదిలిస్తూ మీడియం మంట మీద ఉడికించాలి. చింతపండు నీరు, వండిన పాము పొట్లకాయ మరియు ఉప్పు వేసి సుమారు 10 నిమిషాలు గ్రేవీ చిక్కబడే వరకు ఆవేశమును అణిచిపెట్టుకోండి. పూర్తయిన తర్వాత, వేడిని ఆపివేసి, కొత్తిమీర ఆకులతో అలంకరించండి. పాము పొట్లకాయ సలాన్‌తో పాటు పెప్పరీ మష్రూమ్ బిర్యానీ రెసిపీ మరియు టొమాటో ఆనియన్ రైటా తో పాటు రుచికరమైన వారపు రాత్రి భోజనం కోసం సర్వ్ చేయండి.
</t>
  </si>
  <si>
    <t>https://www.archanaskitchen.com/snake-gourd-salan-recipe-snake-gourd-cooked-in-tangy-spicy-peanut-sesame-curry</t>
  </si>
  <si>
    <t>Mamidikaya Nuvvula Pachadi Recipe - Raw Mango Til Chutney Recipe</t>
  </si>
  <si>
    <t>Mamidikaya Nuvvula Pachadi Recipe - పచ్చి మామిడికాయ టిల్ చట్నీ రిసిపి</t>
  </si>
  <si>
    <t>3 మామిడి (ముడి) - ఒలిచి, తరిగినవి, 1/2 కప్పు నువ్వులు (టిల్ గింజలు), 5 పచ్చిమిర్చి - (రుచికి సరిపడా), ఉప్పు - రుచికి, 2 టీస్పూన్లు సన్‌ఫ్లవర్ ఆయిల్, 1 టీస్పూన్ జీలకర్ర (జీరా), 1 టీస్పూన్ ఆవాలు, 3 ఎండు మిరపకాయలు - (రుచికి సరిపడా)</t>
  </si>
  <si>
    <t>3 Mango (Raw) - peeled and chopped,1/2 cup Sesame seeds (Til seeds),5 Green Chillies - (adjust to taste),Salt - to taste,2 teaspoons Sunflower Oil,1 teaspoon Cumin seeds (Jeera),1 teaspoon Mustard seeds,3 Dry Red Chillies - (adjust to taste),1 sprig Curry leaves,1 pinch Asafoetida (hing)</t>
  </si>
  <si>
    <t xml:space="preserve">To begin making Andhra Style Mamidikaya Nuvvula Pachadi,  wash the mangoes and chop it roughly into small pieces.In a kadai, dry roast the sesame/til, till fragrant and slightly brown. Let it cool.Meanwhile heat a tadka pan with a bit of oil for tempering. Add mustard seeds, allow them to crackle, then add cumin seeds, allow them to sizzle, add dry red chillies, curry leaves immediately, saute for a few more seconds and switch off heat. Keep this aside.In a mixer jar, add the raw mango pieces, sesame seeds, asafoetida, green chillies and salt and blend Mamidikaya Nuvvula Pachadi till smooth, and take it out in a serving bowl.Add the tempering to to the Mamidikaya Nuvvula Pachadi Recipe and lightly mix. Check the salt and adjust the taste accordingly.Serve Andhra Style Mamidikaya Nuvvula Pachadi with Steamed Rice, and Andhra Style Palakura Pappu Recipe topped with homemade ghee.
</t>
  </si>
  <si>
    <t xml:space="preserve">ఆంధ్రా స్టైల్ మామిడికాయ నువ్వుల పచ్చడిని తయారు చేయడం ప్రారంభించడానికి, మామిడికాయలను కడిగి చిన్న ముక్కలుగా తరిగి పెట్టుకోవాలి. కడాయిలో నువ్వులు/టిల్‌ను సువాసన వచ్చే వరకు పొడిగా కాల్చండి. ఇది చల్లారనివ్వండి. అదే సమయంలో టెంపరింగ్ కోసం తడ్కా పాన్‌ను కొద్దిగా నూనెతో వేడి చేయండి. ఆవాలు వేసి, వాటిని చిటపటలాడనివ్వండి, ఆపై జీలకర్ర వేసి, వాటిని చిటపటలాడనివ్వండి, ఎండు మిరపకాయలు, కరివేపాకు వెంటనే వేసి, మరికొన్ని సెకన్ల పాటు వేయించి, వేడిని ఆపివేయండి. దీన్ని పక్కన పెట్టండి.మిక్సర్ జార్‌లో, పచ్చి మామిడికాయ ముక్కలు, నువ్వులు, ఇంగువ, పచ్చిమిర్చి మరియు ఉప్పు వేసి, మామిడికాయ నువ్వుల పచ్చడిని మెత్తగా అయ్యేవరకు బ్లెండ్ చేసి, సర్వింగ్ బౌల్‌లో తీయండి. టెంపరింగ్‌ను మామిడికాయ నువ్వుల పచ్చడి రెసిపీకి వేసి లైట్‌గా మిక్స్ చేయండి. ఉప్పును సరిచూసుకుని, దానికి అనుగుణంగా రుచిని సర్దుబాటు చేయండి.ఆంధ్రా స్టైల్ మామిడికాయ నువ్వుల పచ్చడిని  స్టీమ్డ్ రైస్‌తో, ఆంధ్రా స్టైల్ పాలకూర పప్పు రిసిపిని ఇంట్లో నెయ్యితో సర్వ్ చేయండి.
</t>
  </si>
  <si>
    <t>http://www.archanaskitchen.com/andhra-style-mamidikaya-nuvvula-pachadi-mango-sesame-chutney-recipe</t>
  </si>
  <si>
    <t>Dry Palak Dal Sabzi Recipe - Dry Lentil Spinach Sabzi (Recipe In Hindi)</t>
  </si>
  <si>
    <t>సుఖీ దాల్ పాలక్ కి సబ్జరీ రెసిపీ - డ్రై పాలక్ దాల్ సబ్జీ (హిందీలో వంటకం)</t>
  </si>
  <si>
    <t>250 గ్రాముల పాలక్,1/2 కప్ ఆహార దాల్,1 ప్యాజ్ - బారీక్ కాట్ లే,4 కలి లహసున్ - బారీక్ లకట్ -2చట్ కాట్ లే,నమక్ - ప్రయోగ్ అనుసార్,1/2 ఛోటా చమచ్చ లాల్ మిర్చ్ పౌడర్,తేల్ - ప్రయోగ,14 ఛోటా చమచ్చ జీరా</t>
  </si>
  <si>
    <t>250 ग्राम्स पालक,1/2 कप अरहर दाल,1 प्याज - बारीक काट ले,4 कली लहसुन - बारीक काट ले,2 लाल मिर्च - काट ले,नमक - प्रयोग अनुसार,1/2 छोटा चमच्च लाल मिर्च पाउडर,तेल - प्रयोग अनुसार,1/4 छोटा चमच्च जीरा</t>
  </si>
  <si>
    <t xml:space="preserve">To make Sukhi Dal Palak Sabzi, first of all wash the spinach and chop it finely. Keep it aside. Now add toor dal in 1/2 cup water and cook it till it becomes half. Now heat oil in a pan. Add cumin seeds, red chili and garlic in it. After 10 seconds add chopped onions and cook till they become soft. After they become soft, add spinach, turmeric powder and mix well. Add salt and cook for 5 to 6 minutes. After the spinach is cooked, add toor dal and let it cook for 5 minutes. After 5 minutes add red chili powder and mix. After the dal is cooked, add garam masala and let it cook for 2 minutes, after 2 minutes turn off the gas and serve hot. Serve Sukhi Dal Palak Sabzi with Boondi Raita and Phulka for lunch.
</t>
  </si>
  <si>
    <t xml:space="preserve">సుఖీ దాల్ పాలక్ కి సబ్జీ బనానే కే లియే సబ్సే పహలే, పాలక్ కో ధో కర్ బారీక్ కా. అలగ్ సె రఖ్ దే. అబ్ తుఅర్ దాల్ కో 1/2 కప్ పానీ మేం డాలే మరియు ఆరాధ పక లే.అబ్ ఎక్ కఢై మెం టెల్. అదే విధంగా జీరా, లాల్ మిర్చ్ మరియు లహసున్ దాలే. 10 సెకండ్స్ బాద్ ఇవే కాకుండా కొన్ని రోజుల పాటు కూడా ఉన్నాయి. బాద్ ఇసమేం పాలక్, హల్దీ పౌడర్ డాలే మరియు అచ్చీ తరహ సే మిలా లే. నమక దాలే మరియు 5 నుండి 6 నిమిషాల వరకు. పాలక పదాలు మాత్రమే కాకుండా 5 నిమిషాలకు కూడా సరిపోతాయి. 5 నిమిషాల పాటు లాల్ మిర్చ్ పౌడర్ డాలే మరియు మిలా లే. దాల్ గురించి తప్పుగా, అదే విధంగా గరం మసాలా దాలే మరియు 2 నిమిషాలకు మాత్రమే కాకుండా, 2 నిమిషాల్లో కూడా కరెం మరియు గరమా గరం పరోసే. సుఖీ దాల్ పాలక్ కి సబ్జి కొ బూంది రాయతా మరియు ఫుల్కే సాథింగ్ దినం కోసం.
</t>
  </si>
  <si>
    <t>https://www.archanaskitchen.com/dry-palak-dal-sabzi-recipe-in-hindi</t>
  </si>
  <si>
    <t>Dry Palak Dal Sabzi Recipe</t>
  </si>
  <si>
    <t>డ్రై పాలక్ దాల్ సబ్జీ రెసిపీ</t>
  </si>
  <si>
    <t>250 గ్రాముల బచ్చలి ఆకులు (పాలక్), 1/2 కప్పు అర్హర్ పప్పు (స్ప్లిట్ టూర్ డాల్), 1 ఉల్లిపాయ - సన్నగా తరిగిన, 4 వెల్లుల్లి - సన్నగా తరిగిన, 2 తాజా ఎర్ర మిరపకాయలు - తరిగిన, ఉప్పు - అవసరమైనంత, 1/2 టీస్పూన్ ఎర్ర మిరప పొడి, సన్‌ఫ్లవర్ ఆయిల్ - అవసరమైనంత, 1/4 టీస్పూన్ గింజలు</t>
  </si>
  <si>
    <t>250 grams Spinach Leaves (Palak),1/2 cup Arhar dal (Split Toor Dal),1 Onion - finely chopped,4 Garlic - finely chopped,2 Fresh Red chillies - chopped,Salt - as required,1/2 teaspoon Red Chilli powder,Sunflower Oil - as required,1/4 teaspoon Cumin seeds (Jeera)</t>
  </si>
  <si>
    <t xml:space="preserve">To begin making the Dry Palak Dal Sabzi, wash and finely chop the spinach and keep it aside.Cook toor dal with half cup of water and make sure water should be in 1:1 ratio and make sure that it is half cooked and not mushy.Heat a wok/kadhai and add oil, cumin seeds, red chillies and garlic cloves.Let the cumin seeds splutter and then add chopped onion and stir for a while.Add spinach, turmeric powder and stir well. Add salt and stir again for 5 to 6 minutes.When spinach gets cooked, add toor dal and stir well for 5 minutes.After 5 minutes, add red chilli powder and stir well. When dal gets cooked, add garam masala and stir for few minutes and switch off the flame.Serve Dry Palak Dal Sabzi with Steamed Rice, Phulka or Whole Wheat Lachha Paratha.
</t>
  </si>
  <si>
    <t xml:space="preserve">డ్రై పాలక్ దాల్ సబ్జీని తయారు చేయడం ప్రారంభించడానికి, బచ్చలికూరను కడిగి, మెత్తగా కోసి పక్కన పెట్టుకోండి. అరకప్పు నీటితో పప్పును ఉడికించి, నీరు 1: 1 నిష్పత్తిలో ఉండేలా చూసుకోండి మరియు అది సగం ఉడికినట్లు మరియు మెత్తగా ఉండకుండా చూసుకోండి. ఒక వోక్ / కడాయిని వేడి చేసి, నూనె, జీలకర్ర, ఎర్ర మిరపకాయలు మరియు వెల్లుల్లి లవంగాలు వేయండి. కాసేపు కదిలించు. పాలకూర, పసుపు పొడి వేసి బాగా కదిలించు. ఉప్పు వేసి మళ్లీ 5 నుండి 6 నిమిషాలు కదిలించండి. బచ్చలికూర ఉడికిన తర్వాత, పప్పు వేసి 5 నిమిషాలు బాగా కదిలించు. 5 నిమిషాల తర్వాత, ఎర్ర కారం వేసి బాగా కదిలించు. పప్పు ఉడికిన తర్వాత, గరం మసాలా వేసి, కొన్ని నిమిషాలు కదిలించు మరియు మంటను ఆపివేయండి. పొడి పాలక్ దాల్ సబ్జీని ఉడికించిన అన్నం, ఫుల్కా లేదా హోల్ వీట్ లచ్చా పరాఠాతో సర్వ్ చేయండి.
</t>
  </si>
  <si>
    <t>http://www.archanaskitchen.com/dry-palak-dal-sabzi-recipe</t>
  </si>
  <si>
    <t>Thotakura Vepudu Recipe - Andhra Style Amaranth Greens Stir Fry</t>
  </si>
  <si>
    <t>తోటకూర వేపుడు రెసిపీ - ఆంధ్రా స్టైల్ ఉసిరికాయ పచ్చడి స్టైర్ ఫ్రై</t>
  </si>
  <si>
    <t>4 కప్పుల పచ్చి ఉసిరికాయ ఆకులు - గట్టిగా ప్యాక్ చేసి, 10 లవంగాలు వెల్లుల్లి, 4 పచ్చిమిర్చి, 1/2 టీస్పూన్ పసుపు పొడి (హల్దీ), 1 టేబుల్ స్పూన్ నువ్వులు (టిల్ గింజలు) - ఎండు వేయించి పొడి, 2 ఎండు మిరపకాయలు, 1/2 టీస్పూన్ ఆవాలు, 1/2 టీస్పూన్ జీలకర్ర (1 టీస్పూన్ ఉసిరి గింజలు), కరివేపాకు</t>
  </si>
  <si>
    <t>4 cups Green Amaranth Leaves - tightly packed,10 cloves Garlic,4 Green Chillies,1/2 teaspoon Turmeric powder (Haldi),1 tablespoon Sesame seeds (Til seeds) - dry roasted and powdered,2 Dry Red Chillies,1/2 teaspoon Mustard seeds,1/2 teaspoon Cumin seeds (Jeera),1/2 teaspoon White Urad Dal (Split),1 sprig Curry leaves</t>
  </si>
  <si>
    <t xml:space="preserve">To begin making the Thotakura Vepudu Recipe, clean, wash and roughly chop the amaranth leaves. Keep aside.Dry roast the sesame seeds on medium heat, powder it using a mixer grinder and keep aside.Now, heat oil in a heavy bottomed pan, add the mustard seeds, cumin seeds, urad dal and let it crackle.Add the dried red chillies, curry leaves and let it splutter.Roughly pound the garlic cloves and green chillies using a pestle and mortar and add it to the pan. Saute for a minute till the garlic turn light brown.Add the turmeric powder, chopped amaranth greens and mix well. Wait for the greens to wilt.Season with salt and let the green completely dry out. This will take around 5 minutes.Turn off the heat, sprinkle the sesame powder on top and mix well.Serve the Thotakura Vepudu Recipe along with Phulka/Steamed Rice, Palak Pappu and Avakaya Pickle for a delicious Andhra Style weeknight dinner.
</t>
  </si>
  <si>
    <t xml:space="preserve">తోటకూర వేపుడు రెసిపీని తయారు చేయడం ప్రారంభించడానికి, ఉసిరికాయ ఆకులను శుభ్రం చేసి, కడిగి, మెత్తగా కోయాలి. ప్రక్కన ఉంచండి. నువ్వులను మీడియం వేడి మీద వేయించి, మిక్సర్ గ్రైండర్ ఉపయోగించి పొడి చేసి, పక్కన పెట్టండి. ఇప్పుడు, బాటమ్ బాటమ్‌లో నూనె వేసి, ఆవాలు, జీలకర్ర, ఉరద్ పప్పు వేసి చిటపటలాడనివ్వండి. ఎండు మిరపకాయలు, కరివేపాకులను వేసి చిటపటలాడనివ్వండి. పాన్. వెల్లుల్లి లేత గోధుమరంగులోకి వచ్చే వరకు ఒక నిమిషం పాటు వేయించాలి. పసుపు పొడి, తరిగిన ఉసిరికాయ పచ్చిమిర్చి వేసి బాగా కలపాలి. ఆకుకూరలు విల్ట్ అయ్యే వరకు వేచి ఉండండి. ఉప్పుతో సీజన్ చేయండి మరియు ఆకుపచ్చ పూర్తిగా పొడిగా ఉండనివ్వండి. ఇది దాదాపు 5 నిమిషాలు పడుతుంది. వేడిని ఆపివేసి, పైన నువ్వుల పొడిని చల్లి బాగా కలపండి. తోటకూర వేపుడు రెసిపీని ఫుల్కా/స్టీమ్డ్ రైస్, పాలక్ పప్పు మరియు ఆవకాయ ఊరగాయ తో పాటు రుచికరమైన ఆంధ్రా స్టైల్ వీక్ నైట్ డిన్నర్‌గా అందించండి.
</t>
  </si>
  <si>
    <t>https://www.archanaskitchen.com/thotakura-vepudu-recipe-andhra-style-amaranth-greens-stir-fry</t>
  </si>
  <si>
    <t>Ullikadala Pulusu Recipe | Spring Onion Curry</t>
  </si>
  <si>
    <t>ఉల్లికడల పులుసు రెసిపీ | స్ప్రింగ్ ఆనియన్ కర్రీ</t>
  </si>
  <si>
    <t>150 గ్రాముల స్ప్రింగ్ ఆనియన్ (బల్బ్ &amp; గ్రీన్స్) - తరిగిన, 3/4 కప్పు చింతపండు నీరు, 1 టేబుల్ స్పూన్ గ్రామ పిండి (బేసన్), 2 టీస్పూన్లు సన్‌ఫ్లవర్ ఆయిల్, 1 టీస్పూన్ ఆవాలు, 1 టీస్పూన్ జీలకర్ర (జీరా), 2 ఎండు మిరపకాయలు, 1 చిటికెడు ఇంగువ (హింగ్), 1 చిటికెడు పసుపు - 2 టీస్పూన్లు కొత్తిమీర (ధనియా) విత్తనాలు, 1 టీస్పూన్ జీలకర్ర (జీర), 1/2 టీస్పూన్ ఆవాలు, 1/4 టీస్పూన్ మెంతి గింజలు (మెంతి గింజలు), 2 కప్పులు నీరు</t>
  </si>
  <si>
    <t>150 grams Spring Onion (Bulb &amp; Greens) - chopped,3/4 cup Tamarind Water,1 tablespoon Gram flour (besan),2 teaspoons Sunflower Oil,1 teaspoon Mustard seeds,1 teaspoon Cumin seeds (Jeera),2 Dry Red Chillies,1 pinch Asafoetida (hing),1 pinch Turmeric powder (Haldi),Salt - to atste,2 teaspoons Coriander (Dhania) Seeds,1 teaspoon Cumin seeds (Jeera),1/2 teaspoon Mustard seeds,1/4 teaspoon Methi Seeds (Fenugreek Seeds),2 cups Water</t>
  </si>
  <si>
    <t xml:space="preserve">To begin making Ullikadala Pulusu Recipe | Spring Onion Curry, in a pan, dry roast coriander seeds, mustard seeds, cumin seeds, fenugreek seeds separately and grind into a fine powder. Keep aside once they are roasted till aromatic.In the same pan, add oil, once it is hot on medium low heat, temper with mustard seeds. Once they splutter, add cumin seeds, red chillies, hing and add spring onions (white part+green part) cut into small pieces. Fry until they turn soft and reduce in size on a low heat.Add about 2 cups of water and bring to boil. Add salt, turmeric, tamarind puree and let it boil for about 2 minutes. In a bowl, mix gramflour and a tablespoon of prepared powder with little water without lumps and add to the boiling mixture. Let it boil for another 2 to 3 minutes and serve. Serve Ullikadala Pulusu Recipe | Spring Onion Curry on a winter day and serve with hot steamed rice and ghee, along with Andhra Gongura Pachadi Recipe, and Andhra Style Kakarakaya Vepudu Recipe (Bitter Gourd Stir Fry).
</t>
  </si>
  <si>
    <t xml:space="preserve">ఉల్లికడల పులుసు రెసిపీని తయారు చేయడం ప్రారంభించడానికి | స్ప్రింగ్ ఆనియన్ కర్రీ, ఒక బాణలిలో, కొత్తిమీర, ఆవాలు, జీలకర్ర, మెంతులు విడివిడిగా రోస్ట్ చేసి మెత్తగా మెత్తగా రుబ్బుకోవాలి. అవి సుగంధం వరకు కాల్చిన తర్వాత పక్కన పెట్టండి. అదే పాన్‌లో, నూనె వేసి, మీడియం తక్కువ వేడి మీద వేడి అయిన తర్వాత, ఆవాలు వేయండి. అవి చిమ్మిన తర్వాత, జీలకర్ర, ఎర్ర మిరపకాయలు, హింగ్ వేసి, చిన్న ముక్కలుగా కట్ చేసిన స్ప్రింగ్ ఆనియన్స్ (తెల్ల భాగం+ఆకుపచ్చ భాగం) జోడించండి. అవి మృదువుగా మారే వరకు వేయించి, తక్కువ వేడి మీద పరిమాణాన్ని తగ్గించండి. సుమారు 2 కప్పుల నీరు వేసి మరిగించాలి. ఉప్పు, పసుపు, చింతపండు పూరీ వేసి సుమారు 2 నిమిషాలు ఉడకనివ్వండి. ఒక గిన్నెలో, శనగపిండి మరియు ఒక టేబుల్ స్పూన్ సిద్ధం చేసుకున్న పొడిని కొద్దిగా నీటితో ముద్దలు లేకుండా కలపండి మరియు మరిగే మిశ్రమంలో జోడించండి. మరో 2 నుండి 3 నిమిషాలు ఉడకనివ్వండి మరియు సర్వ్ చేయండి. ఉల్లికడల పులుసు రెసిపీని సర్వ్ చేయండి | శీతాకాలపు రోజున స్ప్రింగ్ ఆనియన్ కర్రీ మరియు ఆంధ్ర గోంగూర పచ్చడి రెసిపీ, మరియు ఆంధ్రా స్టైల్ కాకరకాయ వేపుడు రెసిపీ (బిట్టర్ గోర్డ్ స్టైర్ ఫ్రై)తో పాటు వేడి వేడి అన్నం మరియు నెయ్యితో సర్వ్ చేయండి.
</t>
  </si>
  <si>
    <t>https://www.archanaskitchen.com/ullikadala-pulusu-recipe-spring-onion-curry</t>
  </si>
  <si>
    <t>foodtype</t>
  </si>
  <si>
    <t>Mini Dal Samosa Curry/Sabzi Recipe</t>
  </si>
  <si>
    <t>3 Cardamom (Elaichi) Pods/Seeds,6 Whole Black Peppercorns,1/2 inch Cinnamon Stick (Dalchini),3 cloves Cloves (Laung),1 Mace (Javitri),1 Bay leaf (tej patta),1 Black cardamom (Badi Elaichi),1/2 teaspoon Kasuri Methi (Dried Fenugreek Leaves),1/2 teaspoon Kashmiri Red Chilli Powder,1/2 teaspoon Turmeric powder (Haldi),1 teaspoon Coriander Powder (Dhania),1/2 teaspoon Garam masala powder,6 Samosas - mini,15 Cashew nuts,1 Green Chilli,1 Onion - roughly chopped,2 Tomato - roughly chopped,1/2 inch Ginger,1/2 teaspoon Sugar,1 tablespoon Fresh cream,2 tablespoons Sunflower Oil</t>
  </si>
  <si>
    <t>3 इलायची की फली/बीज, 6 साबुत काली मिर्च, 1/2 इंच दालचीनी, 3 लौंग, 1 जावित्री, 1 तेज पत्ता, 1 काली इलायची, 1/2 चम्मच कसूरी मेथी, 1/2 चम्मच कश्मीरी लाल मिर्च पाउडर, 1/2 चम्मच हल्दी, 1 चम्मच धनिया पाउडर, 1/2 चम्मच गरम मसाला पाउडर, 6 छोटे समोसे, 15 काजू, 1 हर"&amp;"ी मिर्च, 1 प्याज - कटा हुआ, 2 टमाटर - कटा हुआ, 1/2 इंच अदरक, 1/2 चम्मच चीनी, 1 बड़ा चम्मच ताजा क्रीम, 2 बड़े चम्मच सूरजमुखी का तेल")</t>
  </si>
  <si>
    <t xml:space="preserve">To begin making the Mini Dal Samosa Gravy Recipe, we need to first prepare the gravy. In a heavy bottomed pan, add 1 tablespoon of cooking oil and heat it on a medium flame. Once the oil is hot, add Cardamom, Black Pepper, Cloves, Cinnamon, Javitri and saute for few seconds. Next add cashew nuts, green chilli, ginger, chopped onion and tomatoes. Mix well and add 1/2 cup water and Salt (as per your taste)Cover the pan and boil this mixture until the onions and tomato become soft. Turn off the flame and let this mixture cool. Once the mixture is cool, add it to a mixer and blend until smooth. Strain the paste to remove any big chunk of ingredients (optional to give fineness to gravy). Keep aside. In the same heavy bottomed pan, heat one tablespoons of oil and add bay leaf, black cardamom. Once the spices release the aromas add in the ground tomato and onion mixture, add Kashmiri Red Chilli powder, Turmeric powder, Coriander powder, Garam Masala and the crushed Kasuri Methi.Mix well and cook for 10 mins at low flame. Add fresh cream and sugar and stir it well into the gravy. Simmer for a few more minutes and add the mini Samosas in the gravy. Turn off the flame.Make sure to add the mini dal samosas to the gravy only one hour before serving, else the samosa will get completely soggy. To make mini dal samosas at home follow Moong Dal Mini Samosas.Serve Mini Dal Samosa Curry Recipe along with hot Phulka, Tawa Paratha or Jeera Rice and Kachumber Salad Recipe With Cucumber, Onion &amp; Tomatoes for a sumptuous Sunday meal
</t>
  </si>
  <si>
    <t>http://www.archanaskitchen.com/mini-dal-samosa-curry-recipe</t>
  </si>
  <si>
    <t>North Indian</t>
  </si>
  <si>
    <t>Matar Samosa Recipe -Green Pea Samosa</t>
  </si>
  <si>
    <t>1 cup All Purpose Flour (Maida),2 tablespoons Ghee,1/2 teaspoon Salt,Sunflower Oil - for deep frying,2 tablespoons Ghee,1 teaspoon Cumin seeds (Jeera),1 teaspoon Green Chilli Sauce,1/2 teaspoon Cinnamon Powder (Dalchini),1/2 teaspoon Garam masala powder,1/4 teaspoon Red Chilli powder,2 teaspoon Amchur (Dry Mango Powder),1-1/2 cups Green peas (Matar) - steamed and mashed,Salt - to taste,2 teaspoon All Purpose Flour (Maida),1/4 cup Water</t>
  </si>
  <si>
    <t xml:space="preserve">To begin making the Matar Samosa Recipe first, mix together half a teaspoon of salt into the flour. Rub ghee or vegetable shortening into the flour mixture, with your fingers until it resembles loose bread crumbs.Gradually add water, slowly, and knead to make a soft but firm dough. Roll the dough into a ball, cover with a moist muslin cloth and keep aside.The next step is to make the filling. In a kadai or heavy bottomed pan, warm the ghee, add the jeera and allow it to crackle and tip in the chilli paste. Saute these together for a minute.Add peas followed by all the other spices and cook till the pea mixture becomes dry and all the water has dried up. Season with salt and cook again for 2-3 minutes. Set the peas mixture aside to cool down so it is easier to handle when shaping the samosas.Make a flour paste, by combining the flour and water.To begin making the samosa cases, divide the dough into small balls and roll them into thin circles. Cut each rolled-out circle into two halves by running your knife down the center, so you have 2 semi-circles for each disc. Roll the semi-circles into cones and using a teaspoon fill them with the peas mixture.Dab the flour paste along the edges of the open side of the cone, press the two edges together and seal. Arrange the matar samosas in a platter and cover them with a moist muslin cloth.Heat oil for deep frying in a kadai on medium heat. Deep fry the matar samosas in hot oil till they are golden brown. Try not to fry too many together as it will crowd the kadai and alter the cooking time.Remove the Matar Samosa from the kadai using a slotted spoon and drain them on kitchen paper. Matar Samosa  can be served with a dollop of Dhaniya Pudina Chutney and khajoor imli chutney or tomato ketchup, along with masala chai in the evening.
</t>
  </si>
  <si>
    <t>https://www.archanaskitchen.com/matar-samosa-recipe-green-pea-samosa</t>
  </si>
  <si>
    <t>Kesar Chai Recipe - A Delicious Saffron Flavored Indian Tea</t>
  </si>
  <si>
    <t>2 cups Water,1 teaspoon Tea leaves,1/4 cup Milk,10 Saffron strands - or more</t>
  </si>
  <si>
    <t>2 कप पानी, 1 चम्मच चायपत्ती, 1/4 कप दूध, 10 केसर के रेशे - या अधिक")</t>
  </si>
  <si>
    <t xml:space="preserve">To begin making the Kesar Chai, add water into a saucepan, along with the saffron strands and allow it to come to a brisk boil.Once it begins to boil; add the tea leaves. Allow the tea leaves to simmer in the water for about a minute and turn off the heat.Once you add the tea leaves, allow it to brew just a little to ensure the tea stays light and does not turn bitter.Stir in the milk into the chai and allow it to rest for a few seconds. Strain the Kesar chai into the cups and serve. Add a few more saffron strands to the top while serving, this will give a great look and also add to the taste and flavor of the chai.Serve the Kesar chai Recipe along with Samosa or Vegetable Bajji or Pakora for an evening snack.
</t>
  </si>
  <si>
    <t>http://www.archanaskitchen.com/kesar-chai-recipe-a-delicious-saffron-flavored-indian-tea</t>
  </si>
  <si>
    <t>Aamras Recipe - Ripe Mango Ras</t>
  </si>
  <si>
    <t>3 cups Mango (Ripe) - cut into pieces,1/4 cup Water,Sugar - optional</t>
  </si>
  <si>
    <t>3 कप आम (पका हुआ) - टुकड़ों में कटा हुआ, 1/4 कप पानी, चीनी - वैकल्पिक")</t>
  </si>
  <si>
    <t xml:space="preserve">To begin making the Aamras Recipe, roll the whole mangoes with your palms to soften them.Peel the mango, transfer all the pulp into a mixer-jar, discarding the seed. Along with the mango pulp in the jar, add water and adjust the sugar to your liking and depending on the sweetness of the mango. Pulse it until smooth. Keep in fridge for some time and serve cold along with your meal.Serve this delicious Aamras recipe along with Puri Recipe, Batata Nu Shaak and Mumbai Style Masala Khichia Churi or just enjoy it on its own for your breakfast or evening snack, and you will simply love it.
</t>
  </si>
  <si>
    <t>http://www.archanaskitchen.com/gujarati-aamras-recipe-a-delicious-mango-pulp</t>
  </si>
  <si>
    <t>Kaddu Palak Roti Recipe (Pumpkin Spinach Flat Bread)</t>
  </si>
  <si>
    <t>1 cup Whole Wheat Flour,1 cup Spinach - chopped,1 cup Kaddu (Parangikai/ Pumpkin) - grated (red one preferably),1 teaspoon Red Chilli powder,1/2 teaspoon Turmeric powder (Haldi),1/2 teaspoon Coriander Powder (Dhania),1/2 teaspoon Cumin seeds (Jeera),1/4 teaspoon Salt,Water - as required for dough,Sunflower Oil - as required for rotis</t>
  </si>
  <si>
    <t>1/4 चम्मच नमक,E6 पानी - आटे के लिए आवश्यकतानुसार, सूरजमुखी तेल - रोटी के लिए आवश्यकतानुसार")</t>
  </si>
  <si>
    <t xml:space="preserve">To begin making the Kaddu Palak Roti recipe, wash the spinach leaves in cold water and chop them finely.Remove the skin from pumpkin and grate them. In a large bowl, add flour, pumpkin, spinach, spice powders, and salt. Combine them well.Add water little by little and mix them well to form a tight dough. Add water cautiously and in small amount since you would not want the dough too be any runny or not pliable.Dust the working surface with flour and roll the dough into small lemon-sized balls. Dust the discs with flour while rolling them, and roll using rolling pin into thin circular discs.Heat the Tawa over medium flame. Season the tawa with oil and cook the roti on both sides until they are golden on both sides.Repeat the same for the remaining dough. Serve it warmly with raita or curry or simple with a bowl of curd.Prepare this Kaddu Palak Roti and serve it for your dinner/breakfast along with Corn And Onion Raita and Dhaniya Pudina Chutney.
</t>
  </si>
  <si>
    <t>http://www.archanaskitchen.com/kaddu-palak-roti-recipe-pumpkin-spinach-flat-bread</t>
  </si>
  <si>
    <t>Vegan Chickpea Omelette Recipe (Spiced Chickpea Flour Pancakes)</t>
  </si>
  <si>
    <t>1 cup Gram flour (besan),1/2 cup Coconut milk,3/4 cup Water,1 inch Ginger - grated,2 cloves Garlic - grated,1/2 teaspoon Ajwain (Carom seeds),1/4 teaspoon Asafoetida (hing),1/4 teaspoon Turmeric powder (Haldi),1/4 teaspoon Baking soda,2-3 Green Chillies - finely chopped,1 Onion - finely chopped,1 Tomato - finely chopped,Coriander (Dhania) Leaves - A handful finely chopped,Salt - to taste,Sunflower Oil - for cooking</t>
  </si>
  <si>
    <t>1 कप बेसन, 1/2 कप नारियल का दूध, 3/4 कप पानी, 1 इंच अदरक - कसा हुआ, 2 लहसुन - कसा हुआ, 1/2 चम्मच अजवाइन, 1/4 चम्मच हींग, 1/4 चम्मच हल्दी, 1/4 चम्मच बेकिंग सोडा, 2-3 हरी मिर्च - बारीक कटी हुई, 1 प्याज - बारीक कटा हुआ, 1 टमाटर - बारीक कटा हुआ, धनिया पत्ती -"&amp;" एक मुट्ठी बारीक कटी हुई, नमक - स्वादानुसार, सूरजमुखी का तेल - पकाने के लिए")</t>
  </si>
  <si>
    <t xml:space="preserve">To begin making the Vegan Chickpea Omelette Recipe, first place a non-stick griddle/tava on the heat. Turn the heat to low so it can slowly pre-heat while you prepare the batter.To make the batter, sieve the chickpea flour/besan into a mixing bowl to remove all lumps.To it, add the ginger-garlic paste, ajwain, asafoetida, turmeric powder, baking soda, onion, tomato, green chillies, Coriander leaves and salt. Mix well to combine.Next, stir in the coconut milk (or Soy or Almond milk), if using, and mix to make a smooth batter.Alternatively, add enough water to make a batter which is smooth and spreadable, but not too watery/runny.When the griddle is hot enough, pour a ladle full of the batter on it and spread evenly into a round pancake.Drizzle oil along the edges of the omelette and cook for 2-3 minutes, on medium heat till the bottom is golden brown. Lift it gently with a spatula to check if it releases and if that bottom has cooked.When it looks golden, flip the omelette over and cook on the other side for 1-2 minutes.Serve hot along with Peanut Carrot Chutney.
</t>
  </si>
  <si>
    <t>http://www.archanaskitchen.com/vegan-chickpea-omelette-recipe-spiced-chickpea-flour-pancakes</t>
  </si>
  <si>
    <t>Matar Paneer Kachori Korma Recipe - Green Peas And Paneer Kachori Curry</t>
  </si>
  <si>
    <t>1 cup All Purpose Flour (Maida),2 tablespoons Sunflower Oil,1/2 teaspoons Ajwain (Carom seeds),Salt - to taste,Sunflower Oil - as required for frying,1 cup Green peas (Matar),1 cup Paneer (Homemade Cottage Cheese) - crumbled,1 teaspoon Coriander Powder (Dhania),1 teaspoon Red Chilli powder,1 teaspoon Amchur (Dry Mango Powder),1/2 teaspoon Turmeric powder (Haldi),2 teaspoons Sunflower Oil,Salt and Pepper - to taste,1 cup Onion - chopped,1 cup Homemade tomato puree,1 teaspoon Ginger Garlic Paste,12 Whole cashews,1/2 cup Curd (Dahi / Yogurt),2 Cloves (Laung),1 Mace (Javitri),2 Cardamom (Elaichi) Pods/Seeds,1 inch Cinnamon Stick (Dalchini),1/2 teaspoon Cumin seeds (Jeera),1/2 teaspoon Garam masala powder,1 teaspoon Red Chilli powder,1/2 teaspoon Turmeric powder (Haldi),1 teaspoon Coriander Powder (Dhania),1/2 teaspoon Kasuri Methi (Dried Fenugreek Leaves),1/2 teaspoon Sugar,Salt - to taste,Coriander (Dhania) Leaves - as required,Fresh cream - as required for garnishing,2 tablespoons Sunflower Oil</t>
  </si>
  <si>
    <t>1 कप मैदा, 2 बड़े चम्मच सूरजमुखी तेल, 1/2 छोटा चम्मच अजवाइन, नमक - स्वादानुसार, सूरजमुखी तेल - तलने के लिए आवश्यकतानुसार, 1 कप हरी मटर, 1 कप पनीर - टुकड़े किए हुए, 1 छोटा चम्मच धनिया पाउडर, 1 छोटा चम्मच लाल मिर्च पाउडर, 1 छोटा चम्मच आमचूर, 1/2 छोटा चम्मच "&amp;"हल्दी, 2 छोटे चम्मच सूरजमुखी तेल, नमक और काली मिर्च - स्वादानुसार, 1 कप प्याज - कटा हुआ, 1 कप घर का बना टमाटर प्यूरी, 1 छोटा चम्मच अदरक लहसुन पेस्ट, 12 साबुत काजू, 1/2 कप दही, 2 लौंग, 1 जावित्री, 2 इलायची, 1 इंच दालचीनी, 1/2 छोटा चम्मच जीरा, 1/2 छोटा चम्म"&amp;"च गरम मसाला पाउडर, 1 चम्मच लाल मिर्च पाउडर, 1/2 चम्मच हल्दी पाउडर, 1 चम्मच धनिया पाउडर, 1/2 चम्मच कसूरी मेथी, 1/2 चम्मच चीनी, नमक - स्वादानुसार, धनिया पत्ती - आवश्यकतानुसार, गार्निश के लिए ताजा क्रीम - आवश्यकतानुसार, 2 बड़े चम्मच सूरजमुखी तेल")</t>
  </si>
  <si>
    <t xml:space="preserve">To begin making the Matar Paneer Kachori Korma Recipe, we will firstly make the dough for kachori.Dough for the KachoriMix maida, salt, carom seeds, oil in a bowl and mix till you get crumbly texture. Then add cold water to this slowly. The dough has to be stiff and shouldn't be kneaded for long.Once the dough is done, let this rest for 15 to 20 minutes. The next step is to make the filling for Kachori. Heat oil in a heavy bottomed pan, add green peas, salt and all dry spices including turmeric powder, red chilli powder, coriander powder, amchur powder, salt and pepper. Let it cook for about 4 to 5 minutes while slightly mashing the peas in between. After 4 minutes, add the crumbled paneer to this and mix well. Let it simmer for 2 minutes and take it out in a bowl. Keep it aside to cool down.Take a ball size dough and roll it like a roti but slightly thicker. Take a 2.5" diameter lid or cookie cutter and cut the circles. Now add a small teaspoon of the paneer and matar mixture in the middle and seal them using water on the edges. Pat them a little to make it flat and keep them aside.To make the Kachoris, heat the required oil in a frying pan. When the oil is hot, add the kachoris and fry them for 5 to 6 minutes until they turn golden brown and crispy on both the sides.Once done, take them out on a paper towel to absorb the excess oil and place aside.*Gravy / Korma for the dishWe will first make the onion paste, tomato paste and cashew paste separately in a mixer. Keep aside. In a wide bottomed pan, add oil, let it heat, then add the whole spices including cloves, mace, cumin seeds, cardamom, cinnamon stick and let it crackle. This will take about a minute.To the pan, add turmeric powder, red chilli powder, ginger garlic paste, the freshly ground onion paste and let it cook for about 4 to 5 minutes until the raw smell of onions go away. Add in the tomato puree and let it cook until the tomatoes are well combined into the gravy. Next, add the cashew paste to tomato onion mixture and stir well to get a uniform mixture. Switch the heat to low, add the beaten curd and let it cook for 2 minutes. Next add 1/2 cup of water or more according to the gravy consistency. Finally add garam masala powder, sugar, salt to taste and let it cook for 5 minutes on low heat. Once done, add the mini kachoris to the gravy and garnish it with chopped coriander leaves.Serve Matar Paneer Kachori Korma with Boondi Raita and Phulka for a weekday meal.Serve Matar Paneer Kachori Korma along with Dal Makhani, Palak Raita, Phulka, Jeera Rice and Kachumber Salad for a meal, when you have guests coming home for dinner or you are organizing a house party.
</t>
  </si>
  <si>
    <t>http://www.archanaskitchen.com/matar-paneer-kachori-korma-recipe-green-peas-and-paneer-kachori-curry</t>
  </si>
  <si>
    <t>Makhan Recipe (Homemade Butter)</t>
  </si>
  <si>
    <t>2 cups Fresh cream,1 cup Water</t>
  </si>
  <si>
    <t xml:space="preserve">To begin making the Makhan recipe, take out thick milk cream from milk.Take a mixing jar and put cream in it. Now add water. Close the lid and turn on the mixer.Initially the cream will begun to smoothen and we will get smooth whipped cream. Continue mixing it in mixer till we see buttermilk and butter getting separated.Now will see lumps of butter floating in the buttermilk. With a spoon or spatula collect the white butter in an air-tight container or can also store in refrigerator.Homemade white butter is now ready. Serve Makhan on Aloo Paratha, Mooli Paratha or any other Paratha of your choice.
</t>
  </si>
  <si>
    <t>http://www.archanaskitchen.com/makhan-recipe-homemade-butter</t>
  </si>
  <si>
    <t>Paneer and Green Peas Paratha Recipe</t>
  </si>
  <si>
    <t>1/2 cup green peas - make a paste, 1 cup paneer - crumble, 1 inch ginger - chop, 1 green chilli - chop, 1 tsp turmeric powder, 2 tsp red chilli powder, 1 tsp dry mango powder, 1 tsp coriander powder, salt - according to taste, 1 cup wheat flour, salt - according to taste, oil - according to use, water - lukewarm</t>
  </si>
  <si>
    <t>1/2 कप हरे मटर - पेस्ट बना ले,1 कप पनीर - क्रम्ब्ल कर ले,1 इंच अदरक - काट ले,1 हरी मिर्च - काट ले,1 छोटा चम्मच हल्दी पाउडर,2 छोटे चम्मच लाल मिर्च पाउडर,1 छोटा चम्मच अमचूर पाउडर,1 छोटा चम्मच धनिया पाउडर,नमक - स्वाद अनुसार,1 कप गेहूं का आटा,नमक - स्वाद अनुसार,तेल - प्रयोग अनुसार,पानी - गुनगुना</t>
  </si>
  <si>
    <t>To make Paneer and Green Peas Paratha recipe, first of all prepare all the ingredients. To make the dough for the paratha: Now add wheat flour, salt, oil in a bowl and mix. Add water little by little and knead the dough. Cover and keep aside. To make the masala: Heat oil in a pan. Add cumin seeds and cook for few seconds. Now add ginger, green peas and cook till half cooked. Now add paneer, red chili powder, coriander powder, dry mango powder, salt. Mix everything well and keep aside. Let it cool. Now take a small piece of dough and roll it in a round shape. Put the paneer peas masala mixture in the middle and close it from all sides. Now coat it with dry flour. Roll it again. Roll it thickly otherwise the masala may come out. Make all the parathas like this. Heat a pan. Put the paratha on it and apply ghee on top. Cook till it becomes golden brown from both the sides and turn off the gas. Serve Paneer and Green Peas Paratha Recipe with Coriander Mint Chutney and Tadka Raita for evening snack.</t>
  </si>
  <si>
    <t>http://www.archanaskitchen.com/paneer-and-green-peas-paratha-recipe-in-hindi</t>
  </si>
  <si>
    <t>Murgh Malaiwala Recipe - Chicken In Rich Creamy Gravy</t>
  </si>
  <si>
    <t>500 gram Chicken - cut into pieces,2 teaspoon Ginger - paste,1 teaspoon Garlic - paste,2 tablespoon Fresh cream,1 tablespoon Badam (Almond) - paste,1/2 teaspoon Lemon juice,1/4 teaspoon Black pepper powder,Salt - to taste,1 Onion - sliced,1/2 cup Fresh cream,1 cup Milk,2 Cardamom Powder (Elaichi),1 inch Cinnamon Stick (Dalchini),2 Bay leaf (tej patta),2 teaspoon Kasuri Methi (Dried Fenugreek Leaves),4 teaspoon Ghee</t>
  </si>
  <si>
    <t xml:space="preserve">To begin making the Murgh Malaiwala recipe, firstly clean and wash the chicken pieces and dry it. Soak kasuri methi leaves in 1/4th cup of water in a small bowl.Take a big bowl and add chicken, salt, pepper and mix it well. Refrigerate it for about 2 hours or more.After 2 hours, add garlic, ginger, lemon juice, almond paste and 2 tablespoons cream into the chicken and keep it aside for 20 minutes.Heat a heavy bottomed pan with ghee. Add cardamom powder and onions in the pan and let it cook till the onions become soft and translucent.Next, add the marinated chicken pieces and let it cook for 10 minutes. After 10 minutes, add in the cream, milk with cinnamon stick and bay leaf.Boil stirring occasionally till the chicken pieces are fully cooked and semi thick gravy consistency is formed. Strain the methi leaves and sprinkle on the gravy and stir it well. Let it cook for about a minute or two.Switch off the gas, cover the pan and let it sit for 10 minutes before serving. Serve Murgh Malaiwala along with Burani Raita, Garlic Naan and Jeera Rice for a weekend meal with your family.
</t>
  </si>
  <si>
    <t>http://www.archanaskitchen.com/murgh-malaiwala-recipe-chicken-in-rich-creamy-gravy</t>
  </si>
  <si>
    <t>Layered Paneer Butter Masala Biryani Recipe</t>
  </si>
  <si>
    <t>1 cup rice, 2 cups water, 1 tsp ghee, 1 cardamom, 2 cloves, 1 star anise, 1/2 inch cinnamon, 2 whole black pepper, salt - according to taste, 1 bay leaf, 1/4 cup onion - fry, 1 sprig coriander leaves, 1 sprig mint, 200 grams paneer - cut into 1/2 inch cubes, 2 tomatoes, 2 tbsp cream, 1 onion - cut, 1 inch ginger, 3 cloves garlic, 1 green chilli, 1 tsp cardamom powder, 1/2 tsp cumin powder, 1/2 tsp garam masala powder, 1/2 tsp red chilli powder, 1 tsp kasuri methi, 1 tsp honey, salt - according to taste, oil - according to use, 1 tbsp cashews - for garnish</t>
  </si>
  <si>
    <t>To make Paneer Butter Masala Biryani recipe, first wash the rice and soak it for 30 minutes. To prepare rice for biryani, heat ghee in a pressure cooker. Add cardamom, cloves, star anise, cinnamon, whole black pepper, bay leaves and cook for 1 minute. Now add rice, salt, 2 cups of water and close the cooker. Cook till 2 whistles and turn off the gas. Let the pressure release on its own. Open the cooker and take out the rice in a plate and spread it so that it cools down a bit. Now add fried onions, coriander leaves, mint leaves and mix well. Keep it aside. To make Paneer Butter Masala for Biryani, heat oil in a pan. Add cumin seeds, cardamom, green chillies, ginger, garlic, onion and cook till the onions turn brown. Now add tomatoes, salt and turn off the gas. Let it cool. Now put this mixture in a mixer grinder and grind it to make a paste. Heat some oil in a pan. Add the ground masala and cook for 1 minute. After 1 minute add cumin powder, garam masala powder, red chili powder, honey, kasuri methi and let it cook on low flame. After the gravy comes to a boil, add paneer, cream and mix well. Turn off the gas after 1 minute. For making biryani, grease a large bowl with butter. Add fried onions, mint and coriander leaves in it. Make a layer of rice on it. Press it well. Now put paneer butter masala on it. Put these layers again and place rice on the topmost layer. Now place a plate on it and turn it upside down. Serve. Serve paneer butter masala biryani recipe with boondi raita and papad for lunch.</t>
  </si>
  <si>
    <t>https://www.archanaskitchen.com/layered-paneer-butter-masala-biryani-recipe-in-hindi</t>
  </si>
  <si>
    <t>Gond Ke Ladoo Recipe - Edible Gum Ladoo</t>
  </si>
  <si>
    <t>150 grams Goond (Edible Gum),350 grams Ghee,400 grams Whole Wheat Flour,400 grams Sugar - powdered,50 grams Dry coconut (kopra),50 grams Badam (Almond) - chopped,50 grams Cashew nuts - chopped</t>
  </si>
  <si>
    <t xml:space="preserve">To begin making Gond Ke Ladoo, in a large and heavy bottomed pan, add 350 ml ghee and melt it on a low flame. Once the ghee is hot and melted, add gond/edible gum in the pan little at a time and fry on low flame until the goond puffs up like popcorn and crisps up. Make sure that goond is completely cooked from inside and outside. Repeat process with rest of the goond.Once goond is fried, using a ladle spoon out the goond from the ghee and keep aside to cool down. Into the same pan containing the melted ghee, add whole wheat flour and roast until it becomes aromatic and brown. The mixture should be crumbly. Turn off the flame. Transfer the flour on to a plate. Add the powdered sugar and all dry fruits and mix well. Let the mixture cool down. Meanwhile, once the goond has cooled, with a rolling pin, crush them into a coarse powder. Add this crushed goond in to wheat and dry fruit flour mixture. Now take little amount of mixture in your hands and give them round shape. Small or big that is totally up to you.Keep them aside for few hours, it will help the ladoos to set properly. You can keep them in airtight container for a month.Serve Gond Ke Ladoo as a healthy snack during winter to ward off flus and colds or to new mothers after delivery to provide them with instant energy and aid in lactation.
</t>
  </si>
  <si>
    <t>http://www.archanaskitchen.com/goond-ke-ladoo-recipe-edible-gum-ladoo</t>
  </si>
  <si>
    <t>Mukhadi Halwa Recipe (Semolina &amp; All Purpose Flour Halwa)</t>
  </si>
  <si>
    <t>1 cup Sooji (Semolina/ Rava),3 tablespoons All Purpose Flour (Maida),1 cup Milk - +1/3 cup extra,1 cup Sugar,3/4 cup Ghee</t>
  </si>
  <si>
    <t xml:space="preserve">To begin making the Mukhadi Halwa recipe, remove 3 table spoons of semolina from one cup of semolina. and replace it with 3 tablespoons of all purpose flour. Transfer this mix into a bowl and add milk. Whisk them together and set aside while you begin to prep for caramelising the sugar.Heat a heavy bottomed pan, add ghee and once it begins to get hot (not smoking), reduce the heat to medium. Add sugar and level it in ghee using a spatula. After five minutes stir the sugar using a spatula (using spatula helps ensure that the caramel won’t stick to it). Keep stirring once in a while till the sugar starts caramelizing as it melts. (The colour of the caramel should not deepen or darken in colour as this will lead to a bitter tasting halwa)Give a quick stir to the flour-semolina batter and slowly add it to the caramelised sugar.Now, starts the tricky part. Hold the wok or pan firmly using a cloth or holder (to avoid the heat) so that you can work your way with the batter. Using ladle (a large heavy spoon/ kalchhul), carefully yet swiftly start mixing the batter into the caramel. The batter will seem to turn lumpy but nothing to worry.Increase the flame to medium and using the back of the spoon keep smashing the batter, especially the whitish lumps, till the whole batter gets completed assimilated and incorporated with the caramel and the halwa wears a homogeneous look.This process will take approximately 3 to 4 minutes. You will also notice that the halwa releases the oil as it begins to come together as evenly toned mixture. At this point, remove excess oil in a small bowl and again roast the halwa for 3 to 4 minutes. Switch off the heat and push the halwa towards the edge of one side of the wok to allow any excess ghee to drain in the centre. Once the ghee leaves the halwa, drain it out in the bowl. Halwa is now ready to be served!Serve Mukhadi Halwa as a dessert after your weekday meal of Dal Makhani, Aloo Ki Sabzi and Phulka.
</t>
  </si>
  <si>
    <t>https://www.archanaskitchen.com/mukhadi-halwa-recipe-semolina-all-purpose-flour-halwa</t>
  </si>
  <si>
    <t>North Indian Style Mushroom Matar Masala Recipe</t>
  </si>
  <si>
    <t>1 cup Button mushrooms - chopped,1 cup Green peas (Matar) - boiled,Sunflower Oil - as required,1/2 teaspoon Cumin seeds (Jeera),1/2 teaspoon Mustard seeds,Asafoetida (hing) - a pinch,1 Onion - chopped,1 Onion - paste,1 Tomato - paste,1 tablespoon Ginger Garlic Paste,1 Green Chilli - chopped,1/2 teaspoon Red Chilli powder,1/2 teaspoon Turmeric powder (Haldi),1 teaspoon Coriander Powder (Dhania),1/4 teaspoon Garam masala powder,Water - as required,2 sprig Coriander (Dhania) Leaves - chopped</t>
  </si>
  <si>
    <t xml:space="preserve">To begin making the North Indian Style Mushroom Matar, heat oil in a heavy bottomed pan. Add cumin seeds, mustard seeds and asafoetida. Let it splutter.Add the chopped onions and cook it for about a minute or two. Next, add the ginger garlic paste and let it cook for 3 minutes. After 3 minutes, add the onion paste and green chillies and let it cook for about 2 minutes. After 2 minutes, add the tomato puree and all the masalas including red chilli powder, turmeric powder, coriander powder and garam masala powder. Let it cook for about 5 to 7 minutes.Meanwhile heat a little oil in a pan and stir fry the mushroom for about 2 to 3 minutes and boil the green peas till they become soft.After this add the stir fried mushrooms and boiled green peas to the gravy and add a little water. Let it cook for another 10 minutes.Once it is done, add the chopped coriander leaves and serve hot.Serve North Indian Style Mushroom Matar Masala along with Dal Makhani and Pudina Lahsun Lachha Paratha for a weekday lunch or dinner.
</t>
  </si>
  <si>
    <t>https://www.archanaskitchen.com/north-indian-style-mushroom-matar-masala-recipe</t>
  </si>
  <si>
    <t>Dhania Chole Masala Recipe - Chickpeas In Fresh Coriander Gravy</t>
  </si>
  <si>
    <t>1/2 cup Coriander (Dhania) Leaves - chopped,4 Green Chillies,1 inch Ginger,Salt - to taste,1 Lemon - juice extracted,2 cups Kabuli Chana (White Chickpeas) - soaked overnight,1 tablespoon Ghee,1 Onion - finely chopped,1 inch Ginger - finely chopped,3 cloves Garlic - finely chopped,1 Cinnamon Stick (Dalchini),1 Bay leaf (tej patta),1 Brown cardamom (Badi Elaichi),1 teaspoon Black Salt (Kala Namak),1/4 teaspoon Garam masala powder,1 teaspoon Coriander Powder (Dhania),1/2 teaspoon Black Salt (Kala Namak),Salt - to taste,Salt - to taste</t>
  </si>
  <si>
    <t xml:space="preserve">To begin making Dhania Chole Masala, wash and soak the chana or chickpeas overnight. Drain the water in which the chickpeas/chole is soaked in. Pressure cook the drained chana along with 3 cups of water and salt for 6 whistles. After 6 whistles reduce the heat to low and continue to cook for 20 minutes.  Turn off the flame and allow the pressure to release naturally.  The chana has be cooked well once you open the pressure cooker. Once done, when you press between your fingers to should mash easily.The next step is to make the Dhania Masala.Into a mixer grinder, add the coriander, ginger and green chillies, along with a little salt and lemon juice. Add 1/4 cup water and blend to make a smooth mixture like a chutney. Keep the Dhania Masala aside.Heat ghee in a pan over medium heat; add the onion, ginger and garlic and saute until the onion softens. Add the bay leaves, cinnamon stick, badi elaichi and saute for a few more seconds until you can smell the aromas.After a few seconds, add the garam masala, coriander powder, kala namak and the dhania masala. Give it a stir.Add the cooked chana, give it a stir. Add water if required to adjust the consistency of the chana masala. Cover the pan and simmer the Dhania Chole Masala for a good 10 minutes.After 10 minutes, you will notice that the chole is well coated with the dhania masala. At this stage, check the taste and adjust the salt and chilli accordingly.Once done, turn off the heat and transfer the Dhania Chole Masala to a serving bowl and serve hot.Serve the Dhania Chole Masala, along with Puri, Paneer in White Gravy, Lacha Pyaz and Chaas for a delicious weekend lunch.
</t>
  </si>
  <si>
    <t>https://www.archanaskitchen.com/chole-dhania-masala-recipe</t>
  </si>
  <si>
    <t>Dahi Wale Paneer Recipe - Paneer In A Curd Gravy</t>
  </si>
  <si>
    <t>400 grams Paneer (Homemade Cottage Cheese),3 cloves Garlic - chopped,2 inch Ginger - chooped,2 Fresh Red chillies - chopped,1 teaspoon Red Bell pepper (Capsicum) - chopped,1 teaspoon Cumin powder (Jeera),2 teaspoon Coriander Powder (Dhania),1 tablespoon Garam masala powder,100 gram Curd (Dahi / Yogurt),1 tablespoon Butter,2 Onions - sliced,2 tablespoons Homemade tomato puree,2 tablespoon Whole cashews - or almonds (paste),50 grams Fresh cream,1 tablespoon Coriander (Dhania) Leaves - to garnish,1 tablespoon Lemon juice,1/4 teaspoon Turmeric powder (Haldi),1 tablespoon Lemon juice,1/4 teaspoon Turmeric powder (Haldi)</t>
  </si>
  <si>
    <t xml:space="preserve">To begin making the Dahi Wale Paneer Recipe, add ginger, garlic and fresh red chillies in a mortar and pestle and grind it to paste.In a bowl, add capsicum, cumin powder, coriander powder, garam masala powder and mix everything well.Divide this mixture into half and keep in an another bowl. In one of them, add curd, salt, paneer and mix everything well. Keep it aside to marinate for about 1 hour.To make the gravy for the Paneer Curry, heat butter in a heavy bottomed pan on low heat. Add onions and saute till it turns soft.Once the onions turn soft, add the ginger garlic chilli paste and cook it for about 2 minutes. After 2 minutes, add the capsicum mixture and let it cook till the capsicum turns a little soft.Once done, add the tomato puree, turmeric powder, cashew or almond paste, salt, required water and give it a mix. Let it cook for about 3 to 4 minutes.After 3 to 4 minutes, turn the flame to low and add the whisked curd. Cook it for another 5 minutes.Meanwhile, shallow fry or grill the paneer pieces on a non stick pan, using oil as required. Cook from both the sides till it turns golden brown.Add the fresh cream and mix it again. Add the paneer cubes and mix everything properly.Cook for about 2 minutes, add the lemon juice and garnish it with coriander leaves.Serve Dahi Wale Paneer Recipe along with Palak Dal, Tomato Onion Cucumber Raita, Jeera Rice, Phulka and Kachumber Salad for a weekend meal.
</t>
  </si>
  <si>
    <t>https://www.archanaskitchen.com/dahi-wale-paneer-recipe-paneer-in-a-curd-gravy</t>
  </si>
  <si>
    <t>Nutty Aloo Paratha Recipe</t>
  </si>
  <si>
    <t>1 cup Whole Wheat Flour,1 cup Spinach Leaves (Palak) - pureed,Water - as required to make pliable dough,3 Potatoes (Aloo) - boiled and mashed,1/2 cup Paneer (Homemade Cottage Cheese) - crumbled/grated,1 tablespoon Coriander (Dhania) Leaves,1/2 teaspoon Garam masala powder,Salt - to taste,1/2 teaspoon Cumin powder (Jeera),1 teaspoon Red Chilli powder - or 2 chopped green chillies,1-1/2 tablespoon Mixed nuts - chopped,1 tablespoon Raisins,Ghee - to smear</t>
  </si>
  <si>
    <t xml:space="preserve">To begin making Nutty Aloo Paratha Recipe,first knead the dough and keep it aside.In a Mixing bowl, bring together wheat flour, water, and spinach puree (if using) to a soft pliable dough by kneading well. Few drops of ghee or oil can be added if required.To make the fillingIn a large mixing bowl add the  mashed potatoes or aloo, and all the other ingredients, crumbled paneer, coriander, garam masala, salt, jeera powder, red chilli powder/green chillies, chopped nuts, and raisins and mix them till they are well combined.Divide the nutty aloo filling into 8 to 10 equal portions. This process of dividing and keeping the portions of aloo paratha dough and filling ready, helps you gauge the number of parathas you can make and if you need more or less of the filling.The final step is to stuff the filling into the dough to make Nutty Aloo Paratha.Roll the dough into a small circle, place the filling inside and close the dough from all sides.Dust the filled aloo paratha dough in some flour and roll this stuffed nutty dough into a paratha, taking care not to let the stuffing ooze out.preheat a roti tawa and  place the filled  nutty aloo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nutty aloo parathas to get a crisp on the outside and yet soft texture.Once the aloo paratha is cooked transfer to a plate. Continue to the same process with the remaining parathas the same way.Serve Nutty Aloo Paratha Recipe with Rawal Pindi Style Chole and some Kachumber Salad Recipe With Cucumber, Onion &amp; Tomatoes for weekend brunch. Add Quick Strawberry Yogurt Smoothie to complete the meal.
</t>
  </si>
  <si>
    <t>http://www.archanaskitchen.com/nutty-aloo-paratha-recipe</t>
  </si>
  <si>
    <t>Masalewali Turai Sabzi Recipe</t>
  </si>
  <si>
    <t>2 Ridge gourd - peel and chop, 1/2 teaspoon mustard seeds, 1/2 teaspoon cumin seeds, 1 ginger, 2 tomatoes - make puree, 1/2 teaspoon turmeric powder, 1/2 teaspoon red chili powder, 1 teaspoon coriander powder, 1 teaspoon jaggery, 1 tablespoon oil, salt - according to taste, 1/4 cup water, green coriander - according to use</t>
  </si>
  <si>
    <t>To make Masala Ridge Gourd Sabzi Recipe, first heat oil in a pressure cooker. Add mustard seeds, cumin seeds and let them crackle. Now add ginger, tomatoes, turmeric powder, red chili powder, coriander powder, jaggery and salt. Let it cook for 3 minutes. Now add ridge gourd and mix it well. Add water, mix it, close the cooker and cook till 2 whistles. After 3 whistles, turn off the gas and let the pressure release automatically. Open the cooker and garnish it with coriander leaves. Serve Masala Ridge Gourd Sabzi Recipe with Tomato Onion Cucumber Raita and Phulkas for lunch.</t>
  </si>
  <si>
    <t>https://www.archanaskitchen.com/masalewali-turai-sabzi-recipe-ridge-gourd-in-tomato-curry-in-hindi</t>
  </si>
  <si>
    <t>Sukhi Suran Masala Sabzi Recipe</t>
  </si>
  <si>
    <t>250 grams Elephant yam (Suran/Senai/Ratalu) - sliced into 1 inch square pieces,1 Onion - sliced,2 Green Chillies - slit,1 teaspoon Ginger - finely chopped,1 teaspoon Garlic - finely chopped,1 sprig Curry leaves,1/2 teaspoon Cumin seeds (Jeera),1/2 teaspoon Turmeric powder (Haldi),1 teaspoon Coriander Powder (Dhania),1/2 teaspoon Cumin powder (Jeera),1/2 teaspoon Red Chilli powder,1/2 teaspoon Black pepper powder,1/2 teaspoon Garam masala powder,Salt - to taste,2 teaspoons Sunflower Oil</t>
  </si>
  <si>
    <t xml:space="preserve">To begin making Sukhi Suran Masala Sabzi Recipe first prepare the yam, remove the hard outer skin and then slice yam/ suran into one inch square pieces. Soak the sliced yam pieces in water and keep aside.Next heat oil in a non stick wok/Kadai or a deep pan and add curry leaves and cumin seeds, saute for a minute.Add the sliced onions, ginger and garlic and saute till the onions are translucent and softened.Now add the drained suran and saute for a minute. Sprinkle some water, salt to taste and cover the pan and cook the suran and onion masala on low heat for ten minutes. Once the suran is cooked then add all the dry spices like red chilli powder, coriander powder, jeera powder, black pepper powder, garam masala and stir the masalas in the suran.Stir fry for 3 to 4 more minutes until the masala gets well coated to form a delicious tasting Sukhi Suran Masala Sabzi. Check the taste and adjust the salt and spices accordingly.Once done, turn off the heat and the Sukhi Suran Masala Sabzi to a serving bowl and serve hot.Serve Sukhi Suran Masala Sabzi with Dal Palak, Steamed Rice and Curd for a healthy weeknight dinner.
</t>
  </si>
  <si>
    <t>https://www.archanaskitchen.com/sukhi-suran-masala-sabzi-recipe</t>
  </si>
  <si>
    <t>Mushroom Paratha Recipe</t>
  </si>
  <si>
    <t>1 cup Whole Wheat Flour,2 teaspoons Sunflower Oil,Salt - to taste,Ghee - to cook parathas,250 grams Button mushrooms - chopped,1 Onion - finely chopped,1 teaspoon Cumin seeds (Jeera),1 teaspoon Garam masala powder,2 Green Chillies - finely chopped,1/4 teaspoon Turmeric powder (Haldi),Ghee - or oil for cooking</t>
  </si>
  <si>
    <t xml:space="preserve">To begin making the Mushroom Paratha Recipe, take all the ingredients meant for dough into a large mixing bowl. Add a little water at a time to make a soft and smooth dough. Cover the dough 30 minutes until we get the filling ready. Next we will proceed to make the mushroom stuffing for the paratha recipe.Heat oil in a wok or a kadai on medium heat. Add the cumin seeds and allow it to crackle.  Once the cumin seeds crackle, add onion and saute until the onions turns pinkish in colour.Add the chopped green chilies, chopped chopped mushrooms and salt to taste. Stir fry on high heat until most of the moisture from the mushrooms is evaporated. Once the mushrooms have shrunk in size and the moisture has evaporated, add the garam masala and turmeric powder and give it a stir for a few minutes and turn off the heat.Allow the mushroom paratha stuffing mixture to cool completely.Divide the dough into 5 equal portions. We will now proceed to make the stuffed mushroom paratha. To begin making the paratha, keep a plate of dry flour for dusting.We dust the dough in flour, flatten it with your finger and place it on a flat surface. Roll them out thin to approximately 3 inches in diameter circle.Take a portion of the mushroom filling and place it in the center. Next Gather the sides of the dough and bring them together. Remove the little excess dough which popped out when you brought them together. Press the filled dough down.Dust the filled dough in some flour and roll it gently applying just a pressure. Roll it to desired thickness and proceed the similar way with the remaining portions of dough and filling.Preheat a Skillet/Tava on medium heat and place the filled Mushroom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paratha is cooked transfer to a plate. Continue to the same process with the remaining Mushroom Parathas the same way.Serve the Mushroom Parathas along with a spicy mango pickle for breakfast or a sunday brunch.
</t>
  </si>
  <si>
    <t>http://www.archanaskitchen.com/mushroom-paratha-recipe</t>
  </si>
  <si>
    <t>Palak Chana Dal Recipe - Healthy Spinach Gram Dal Recipe</t>
  </si>
  <si>
    <t>1 cup Chana dal (Bengal Gram Dal) - soaked in water for about 20 minutes,200 grams Spinach Leaves (Palak) - washed and chopped,3 cups Water,1 teaspoon Turmeric powder (Haldi),Salt - to taste,2 tablespoons Ghee,1/4 teaspoon Asafoetida (hing),1 teaspoon Cumin seeds (Jeera),2 Dry Red Chillies,1 tablespoon Ginger Garlic Paste,1 Onion - chopped,2 Green Chillies - chopped,1 Tomato - chopped,1/2 teaspoon Turmeric powder (Haldi),1/2 teaspoon Red Chilli powder,1/2 teaspoon Cumin powder (Jeera),Salt - to taste</t>
  </si>
  <si>
    <t xml:space="preserve">To begin making the Palak Chana Dal recipe, pressure cook the soaked chana dal with 3 cups of water, salt and turmeric powder for 5 to 6 whistles and turn off the heat. Allow the pressure to release naturally.Add the palak (spinach leaves) along with 2 tablespoons of water, salt into a pressure cooker and cook for 1 whistle. Turn off the heat and release the pressure immediately to retain the green color of the spinach.Heat ghee in a heavy bottomed pan and add cumin seeds. Once cumin seeds start to crackle, add asafoetida.After 30 seconds, add dry red chillies and saute for few seconds.Next add ginger garlic paste and saute for a few seconds.Now, add chopped onions and green chillies, saute it until onion turns to golden brown in colour.Add chopped tomato and cook them until they become soft.Add turmeric powder, red chilli powder, cumin powder and salt to taste but remember we have already added salt while boiling dal and spinach.Mix all dry spices with tomato onion mixture and cook it on medium heat for 1-2 minutes until mixture starts releasing ghee.This will take about 3 to 4 minutes.After 3 to 4 minutes, add the cooked chana dal and palak (spinach leaves), mix everything well.Cook the Palak Chana Dal for next 4 to 5 minutes on low heat and turn off the heat. Check the salt and spices and adjust according to taste. Transfer the Palak Chana Dal to a serving bowl and serve hot.Serve Palak Chana Dal along with Bharli Bhendi, Boondi Raita and Phulka for an everyday meal. You can also pack this dal for your Lunch Box.
</t>
  </si>
  <si>
    <t>http://www.archanaskitchen.com/palak-chana-dal-recipe-healthy-spinach-gram-dal-recipe</t>
  </si>
  <si>
    <t>Paneer Matar Butter Masala (Indian Cottage Cheese and Peas Masala With Butter) Recipe</t>
  </si>
  <si>
    <t>1-1/2 cups Paneer (Homemade Cottage Cheese) - cubed,Sunflower Oil - as required,1/2 cup Green peas (Matar),Salt - to taste,1 teaspoon Sugar,1/2 teaspoon Red Chilli powder,1/4 cup Milk,1 teaspoon Kasuri Methi (Dried Fenugreek Leaves),1 Onion - red,2 Tomatoes - finely chopped,1 inch Ginger - finely chopped,1 clove Garlic - peeled and finely chopped,2 tablespoons Ghee - or clarified butter,2 Dry Red Chillies,3 Cardamom (Elaichi) Pods/Seeds,1/2 inch Cinnamon Stick (Dalchini),4 Whole Black Peppercorns,1/2 teaspoon Coriander (Dhania) Seeds,1/4 cup Cashew nuts - broken into small pieces</t>
  </si>
  <si>
    <t xml:space="preserve">To begin making the Paneer Matar Butter Masala recipe, first shallow fry the paneer cubes in 1 to 2 tablespoons of oil in a wide pan until it is slightly golden/ creamy golden and keep it aside.The next step is to prepare the masala/gravy. Heat butter/clarified butter in a large heavy bottomed pan, add onions and peas/matar.Sauté until onions &amp; peas/matar till the onions turn transparent. Add ginger and garlic and stir for 1 to 2 minutes.Add whole dry red chilies, cloves, cardamom, cinnamon, whole black peppercorns and coriander seeds (that is all the whole spices) and stir a few times.Add tomatoes and cook until tomatoes turn soft and mushy. Remove from heat and keep aside to cool a little.Puree this entire mixture along with 1/4 cup of cashews until smooth, adding a little water if required.Transfer this gravy back to the wide pan and place on heat. Add shallow fried paneer pieces to the gravy, add salt to taste, sugar, kasuri methi, chili powder (if using), water if required to achieve desired consistency and simmer on low heat for the flavors to mingle.Finally add milk, mix well, allow the curry to simmer for another minute or so on low heat, then remove.Serve Paneer Matar Butter Masala with Phulkas or even steamed rice for a delicious weekday meal.
</t>
  </si>
  <si>
    <t>https://www.archanaskitchen.com/paneer-matar-butter-masala-indian-cottage-cheese-and-peas-masala-with-butter-recipe</t>
  </si>
  <si>
    <t>Palak Mushroom Makhani Recipe - Creamy Spinach &amp; Mushroom</t>
  </si>
  <si>
    <t>200 grams Button mushrooms - quatered,500 grams Spinach Leaves (Palak) - washed and chopped,1 Tomato - chopped or pureed,2 cloves Garlic - finely chopped,2 inch Ginger - finely chopped,2 Green Chillies - slit,1/2 teaspoon Cumin seeds (Jeera),1 inch Cinnamon Stick (Dalchini),1 teaspoon Cumin powder (Jeera),1/4 teaspoon Turmeric powder (Haldi),1 teaspoon Garam masala powder,2 tablespoons Fresh cream,1 tablespoon Ghee,Salt - to taste</t>
  </si>
  <si>
    <t xml:space="preserve">To begin making the Palak Mushroom Makhani Recipe, we will first steam the washed and chopped spinach.Add the chopped spinach, tomatoes, green chillies, ginger and garlic into the pressure cooker, add 2 tablespoons water and pressure cook for one whistle. After the first whistle, release the pressure immediately by running it under cold water. This helps to retain the fresh green color of the spinach/ palak.Once cooked allow the palak to cool completely and then pulse it in your blender, with almost no water. You can also choose to mash the spinach with a masher to give it a different texture as well.Melt the ghee in a frying pan on medium heat; add cumin seeds and the cinnamon stick. Saute the ingredients for a few seconds.  Stir in the turmeric powder and sauté for a few seconds and add the mushrooms.Roast the mushroom, along with a little salt until just about cooked. Stir in the garam masala as well and saute for a few seconds.Once the mushrooms are cooked, add the cooked palak puree, the fresh cream, any more salt if required. Give the Palak Mushroom Makhani a brisk boil for about 2 to 3 minutes and turn off the heat. Transfer the Palak Mushroom Makhani to as serving bowl and serve hot.Serve the Palak Mushroom Makhani Recipe along with hot Phulkas smeared with ghee, Jeera pulao and a raita for lunch or dinner. You can also pack the Palak Mushroom Makhani Recipe along with Phulkas into a kids lunch box.
</t>
  </si>
  <si>
    <t>http://www.archanaskitchen.com/palak-mushroom-gravy-recipe-spinach-mushroom-curry</t>
  </si>
  <si>
    <t>Dahi Bhalla Papdi Chaat Recipe</t>
  </si>
  <si>
    <t>4 Curd Vada,1 cup Papdi puris,1 cup Sweet Chutney (Date &amp; Tamarind),1 cup Green Chutney (Coriander &amp; Mint),Chaat Masala Powder - to taste,Cumin powder (Jeera) - to taste,2 Onions - finely chopped,1 Carrot (Gajjar) - grated,1 Anardana Powder (Pomegranate Seed Powder),1/4 cup Raw Peanuts (Moongphali) - roasted and halved,1 cup Boondi - or sev,2 sprig Coriander (Dhania) Leaves - chopped</t>
  </si>
  <si>
    <t xml:space="preserve">To begin making the Dahi Bhalla Papdi Chaat, you can either use the puri's or papdi. We will be making a plate at a time.In a flat plate or a bowl; arrange the papdis or puri's. Add the dahi bhalla over the papdi or into the puri. If your bhalla's are large, then break them into small pieces and add them. Pour some of the dahi as well. Next drizzle the date chutney and the green chutneys around each of the papdi/ puri's. Sprinkle chaat masala powder and the cumin powder. Next sprinkle the grated carrots, pomegranates and the crisp boondi/sev.Finally sprinkle the onions and the chopped coriander leaves. The chaat is now ready to be served. Proceed the same way with the remaining Bhalla's and Papdi.Serve the Dahi Bhalla Papdi (Puri) Chaat Recipe as an Appetizer or as as Tea Time Snack to fill your hunger craving.
</t>
  </si>
  <si>
    <t>http://www.archanaskitchen.com/dahi-bhalla-papdi-puri-chaat-recipe</t>
  </si>
  <si>
    <t xml:space="preserve">Potato Paneer Curry Without Onion And Garlic Recipe </t>
  </si>
  <si>
    <t>7 potatoes - chopped, 350 grams paneer - chopped, 5 tomatoes, 2 inch ginger - grated, 2 green chillies, 1 teaspoon red chilli powder, 1 teaspoon coriander powder, 1 teaspoon cumin powder - roasted, salt - according to taste, oil - according to need, green coriander - according to need, finely chopped</t>
  </si>
  <si>
    <t>To make Aloo Paneer Curry, first grind tomatoes, ginger and green chillies in a blender. Keep it aside. Heat oil in a pressure cooker and add grated ginger to it. Cook it for 1 minute. Add tomato puree and cook for at least 10 minutes. Now add red chili powder, coriander powder and salt to it. Cook it well for next 5 minutes. Add potatoes and cook for 2 minutes. After 2 minutes add 2 cups of water and roasted cumin seeds. Close the cooker and cook till one whistle. After one whistle turn off the gas and let the pressure release. Open the cooker and let the curry boil. Add panner pieces, cook for 2 minutes and garnish with coriander leaves.</t>
  </si>
  <si>
    <t>https://www.archanaskitchen.com/potato-paneer-curry-without-onion-and-garlic-recipe-recipe-in-hindi</t>
  </si>
  <si>
    <t>North Indian Pheni Recipe - Seviyan Kheer</t>
  </si>
  <si>
    <t>100 grams Pheni - or one roll,300 ml Milk,1/4 cup Sugar,1 tablespoon Ghee,2 tablespoons Cashew nuts,2 tablespoons Raisins,2 tablespoons Almond Meal (Badam Powder)</t>
  </si>
  <si>
    <t xml:space="preserve">To begin making the North Indian Pheni Recipe, we will first get all the ingredients ready and keep them by the side. In a heavy bottom pan, bring the milk to a brisk boil. Lower the heat and simmer for 5 to 10 minutes till it thickens a little. Once the milk has thickened a little, add the sugar and almond powder and simmer for another couple of minutes.The almond powder will help thicken the milk. Add the pheni at this stage and mix well and turn off the heat. Allow the milk and pheni mixture to rest in the pan for about 10 minutes. This will help soften the pheni in the warm milk.Transfer the Pheni to a serving bowl. In a small pan, heat the ghee on medium to low heat and roast cashew and raisins until golden brown and crisp. Turn off the heat and pour it over the Pheni (Kheer).Serve North Indian Pheni as a dessert after your delicious festive meal of Jodhpuri Aloo, Ajwain Puri, Satvik Carrot Sprout Salad and Mirchi Ka Chunda.
</t>
  </si>
  <si>
    <t>https://www.archanaskitchen.com/north-indian-pheni-recipe-a-thin-silky-seviyan-kheer</t>
  </si>
  <si>
    <t>Dahi Wale Aloo Recipe (Indian Yogurt-based Potato Curry)</t>
  </si>
  <si>
    <t>4 Potatoes (Aloo) - chopped,1-1/2 cups Curd (Dahi / Yogurt),2 tablespoons Gram flour (besan),1/3 teaspoon Asafoetida (hing),1 teaspoon Cumin seeds (Jeera),1 sprig Curry leaves,1 Onion - finely chopped,1/2 teaspoon Ginger - finely chopped,1/2 teaspoon Garlic - finely chopped,2 Green Chillies - chopped,1 teaspoon Red Chilli powder,1-1/2 teaspoon Coriander Powder (Dhania),1/2 Turmeric powder (Haldi),Salt - to taste,4 tablespoons Sunflower Oil,Coriander (Dhania) Leaves - chopped or garnish</t>
  </si>
  <si>
    <t xml:space="preserve">To begin making Dahi Wale Aloo Recipe, first wash the potatoes thoroughly. Then pressure cook them till they are cooked soft, but not completely mushy. You can follow this method to learn how to pressure cook them.Once the pressure has released from the cooker, open the line, drain the water and allow the potatoes to cool. Then, peel them and roughly break into chunks.In a large bowl, add curd and besan with a little water and whisk them together to make a smooth batter. There should not be any lumps in the curds. Whisk till it is smooth and then set aside.In a wok or kadhai, warm some oil. Add cumin seeds and hing. As soon as cumin begins to crackle, add finely chopped onion and saute till the onions soften.Next add the finely chopped ginger, garlic and green chilies along with the curry leaves and toss them all together for a couple of minutes.Add the red chilli powder, coriander powder and turmeric and saute the masala well until it is cooked through and begins to release oil from the sides. If you find the masala sticking at this stage, add a little water (2 tablespoons) in it and toss well.Add the potatoes to the masala and mix again till the potatoes are well-coated.Turn the heat to low and start pouring the beaten curd over the potatoes. Mix well. Adjust salt as per your taste and close the lid to allow the curry to simmer for 5 minutes.Once done, turn the heat off, garnish with coriander leaves and serve with Steamed Rice or Phulkas.
</t>
  </si>
  <si>
    <t>http://www.archanaskitchen.com/dahi-wale-aloo-recipe-indian-yogurt-based-potato-curry</t>
  </si>
  <si>
    <t>Aloo Bhey Ki Sabzi Recipe (Potato Lotus Stem Curry)</t>
  </si>
  <si>
    <t>3 Potatoes (Aloo) - peeled and diced,1 cup Lotus Stem - sliced round,1/2 cup Homemade tomato puree,1 teaspoon Cumin seeds (Jeera),1/4 teaspoon Asafoetida (hing),2 teaspoons Coriander Powder (Dhania),1 teaspoons Turmeric powder (Haldi),1/2 teaspoon Red Chilli powder,1 teaspoon Garam masala powder,Salt - to taste,Sunflower Oil - for cooking,4 sprig Coriander (Dhania) Leaves - finely chopped,2 Onions - roughly chopped,4 Garlic,1 inch Ginger,4 Green Chillies</t>
  </si>
  <si>
    <t xml:space="preserve">To begin making the Aloo Bhey Ki Sabzi Recipe, we will first prep all the various components.First of all, place the ingredients listed under “Ingredients to be made into a paste” into a blender and grind them down into a smooth paste. Pour it into a bowl and set it aside for later.Then add 3 small tomatoes into the blender and blend them to a puree. Pour the puree into a bowl and set that aside too.Now to make the sabzi, heat some oil in a pressure cooker. When it is warm enough, add asafetida and cumin seeds and let them crackle.Next add the prepared onion garlic paste and saute well for 3-4 minutes until the paste turns golden-brown and the raw smell goes away.Next add the red chilli powder, turmeric and coriander powder. Top with salt and continue to cook for 2 minutes more.At this stage, when the masalas are all cooked through, pour in the prepared tomato puree and cook for another 3-4 minutes, stirring continuously, until you see oil leaving the sides of the pan. This is an indication that the masalas are cooked through.Now add cubed potato and lotus stem rounds, stir well and cook for 2-3 minutes.Top it up with 2 cups of water and cover the pressure. Allow the sabzi to cook covered for 2 whistles.Turn the heat off and allow the pressure to release natural. When the weight can be lifted and the lid comes off with ease, open the cooked and simmer the sabzi for 5 minutes. This will allow some excess water to evaporate. At this stage you can taste for salt and spice and adjust both accordingly.When done, take the pressure cooked off the heat, pour the sabzi into a serving bowl and serve hot with Phulkas and Pumpkin Dal Tadka
</t>
  </si>
  <si>
    <t>http://www.archanaskitchen.com/aloo-bhey-ki-sabzi-recipe-potato-lotus-stem-curry-kamal-kakdi</t>
  </si>
  <si>
    <t>Baingan Sarson Ka Saag Recipe</t>
  </si>
  <si>
    <t>300 grams Small Brinjal (Baingan / Eggplant) - quartered,200 grams Mustard greens,1 Onion - sliced,4 cloves Garlic - finely chopped,1 inch Ginger - finely chopped,1/2 teaspoon Cumin seeds (Jeera),1 teaspoon Red Chilli powder,1 teaspoon Coriander Powder (Dhania),1 teaspoon Garam masala powder,1 teaspoon Amchur (Dry Mango Powder),Salt - to taste,3 tablespoons Mustard oil - for cooking</t>
  </si>
  <si>
    <t xml:space="preserve">To begin making Baingan Sarson Ka Saag Recipe first prep all the ingredients and keep aside. Quarter the brinjal and keep them in salted water till you use them. Keeping them in salted water prevents discolouration of the brinjal.Wash and chop the mustard greens ( sarson ka saag) roughly and keep them aside. Next heat oil in a deep pan or wok and once the oil has reached a smoking point reduce the heat to medium. Add cumin seeds and let them crackle. Then add onions, ginger and garlic and saute till the onions are cooked.Now add the drained and cut brinjal slices to the pan and saute. Sprinkle some water, cover and cook the brinjal till its cooked through and is well roasted.This will take about 4 to 5 minutes.Once the brinjal is well roasted, softened and cooked through, add all the dry spices to the pan, chilli powder, turmeric powder, coriander powder, garam masala powder, amchur powder, salt and saute for a minute till all the brinjal is well coated with the masalas. Finally add the chopped mustard leaves to the brinjals and cover and cook till the mustard greens are cooked through. This will take about 3 to 4 minutes as well.Check the salt and seasonings of the Baingan Sarson Ka Saag and adjust according to taste.Once done, turn off the heat and transfer the Baingan Sarson Ka Saag to a serving bowl and serve hot.Serve Baingan Sarson Ka Saag with Phulka , Panchmel Dal and Lauki Raita for a lovely weekday lunch.
</t>
  </si>
  <si>
    <t>https://www.archanaskitchen.com/baingan-sarson-ka-saag-recipe</t>
  </si>
  <si>
    <t>Stuffed Bhindi With Paneer</t>
  </si>
  <si>
    <t>250 grams Bhindi (Okhra), Oil - as per requirement, 1 Onion - finely chopped, 1 Tomato - grated, 1 teaspoon Ginger - grated, 2 Garlic - finely chopped, 1/2 teaspoon Cumin seeds, 1/4 teaspoon Asafoetida, Salt - according to taste, 1 cup Paneer - crumbled, 1/2 teaspoon Coriander Powder, 1/4 teaspoon Mango Powder, 1/4 teaspoon Red Chili Powder, 1/4 teaspoon Turmeric Powder, Salt - according to taste</t>
  </si>
  <si>
    <t>To make Paneer Bharma Bhindi, first wash the bhindi and dry it well. After that cut its stems. Make a cut in the middle and take out the seeds and keep it aside. To make Bharma Masala, mix the ingredients of paneer masala in a bowl. Mix it well and keep it on a side. Fill the bhindi well with this masala. Fill all the bhindi and keep it on a side. Now grease a microwave safe tray with oil and place all the bhindi on it. Let the bhindi cook for 3 to 4 minutes. Now heat oil in a pan. Add cumin seeds, asafoetida in it. After that add chopped onion, ginger, garlic and cook till the onion is cooked. Add grated tomatoes in it and cook on high flame. If there is any Bharma masala left then mix it in the pan. After tomatoes are cooked add bhindi in it and mix it well. Cover the pan and cook till the bhindi becomes soft. After cooking, add some lemon juice and chaat masala and serve. Serve paneer bharma bhindi hot with Gujarati Kadhi and roti.</t>
  </si>
  <si>
    <t>https://www.archanaskitchen.com/stuffed-bhindi-with-paneer-recipe-in-hindi</t>
  </si>
  <si>
    <t>Bael Ka Sharbat Recipe - Wood Apple Squash Drink</t>
  </si>
  <si>
    <t>1 Wood apple (bael fruit),2 tablespoons Jaggery - or sugar,Black Salt (Kala Namak) - to taste,1 teaspoon Cumin powder (Jeera),1 Lemon juice,Mint Leaves (Pudina) - as required,Water - chilled,Ice cubes</t>
  </si>
  <si>
    <t xml:space="preserve">To begin making the Bael Ka Sharbat recipe, muddle the mint leaves and keep aside.Break open the fruit by hitting on the floor. Scoop out the pulp in a large bowl using a spoon or a scooper.Pour in some water and mash the pulp with your hands so as to separate the seeds.Now strain the liquid using a sieve separating the seeds and the fiber. Repeat the process once again, adding some more water.Add sugar/ jaggery, lemon juice and the remaining spices which includes black salt and cumin powder. Add in the muddled mint leaves.Add water, ice cubes and mix Bael Ka Sharbat properly. Adjust the quantity of the spices according to your preference and serve.Serve Bael Ka Sharbat on its own as a summer drink to your family. You can also serve this to your guests as a welcome drink along with Baked Chevdo Recipe (Chivda Mixture -Tea Time Snack) and Baked Mathri Recipe (Non Fried Tea Time Snack).
</t>
  </si>
  <si>
    <t>https://www.archanaskitchen.com/bael-ka-sharbat-recipe-woodapple-squash-drink</t>
  </si>
  <si>
    <t>Kasuri Methi Aur Aloo Rasedar Recipe</t>
  </si>
  <si>
    <t>2 cups Potatoes (Aloo) - boiled and roughly mashed,1 cup Tomatoes - finely chopped,1-1/2 tablespoon Ginger - grated and ground,2 Green Chillies - slit,2 tablespoons Kasuri Methi (Dried Fenugreek Leaves) - (adjust),1/2 teaspoon Fennel seeds (Saunf),1 teaspoon Cumin seeds (Jeera),1/2 teaspoon Methi Seeds (Fenugreek Seeds),1 tablespoon Coriander Powder (Dhania),1 teaspoon Red Chilli powder,1 teaspoon Cumin powder (Jeera),1/2 teaspoon Turmeric powder (Haldi),1 teaspoon Garam masala powder,2 teaspoons Amchur (Dry Mango Powder),1 tablespoon Ghee,Salt - to taste</t>
  </si>
  <si>
    <t xml:space="preserve">To begin making Kasuri Methi Aur Aloo Rasedar Recipe, first boil the potatoes using a pressure cooker. Once done, peel and roughly mash the potatoes keep a few pieces intact.Heat ghee in a wok on medium heat, add cumin seeds, fennel and methi seeds and let it splutter.Add the dried fenugreek leaves (kasuri methi), and let its aroma release into the oil.Add the ginger paste, slit green chillies and saute until the raw smell goes away.Add the chopped tomatoes and saute until its half cooked.Add the coriander, turmeric, cumin and red chilli powder and saute for 2 minutes.Now, add the roughly mashed potatoes and two cups of water and mix well.Season with salt, aamchoor powder and simmer the mixture for 5 to 6 minutes.Once the gravy comes together and reaches your desired consistency, switch off the flame.Garnish with a teaspoon of kasuri methi and serve the Kasuri Methi Aur Aloo Rasedar Recipe along with Parathas </t>
  </si>
  <si>
    <t>https://www.archanaskitchen.com/kasuri-methi-aur-aloo-rasedar-recipe</t>
  </si>
  <si>
    <t>Sprouted Matki Cheela Recipe With Palak -Moth Beans Cheela</t>
  </si>
  <si>
    <t>1 cup Moth Sprouts (Matki),1/2 cup White Urad Dal (Split) - soaked for 4 hours,2 Green Chillies,1 teaspoon Fennel seeds (Saunf),1 inch Ginger,1 cup Spinach Leaves (Palak) - coarsely ground,Salt - to taste,1/4 teaspoon Turmeric powder (Haldi),Sunflower Oil - for cooking</t>
  </si>
  <si>
    <t xml:space="preserve">To begin making the Sprouted Moth Cheela Recipe With Palak, we need to keep the sprouts ready.In a Mixer jar combine moth sprouts, soaked and drained urad dal, green chilies, fennel seeds and ginger, grind to a smooth paste.Transfer into a mixing bowl, mix in the finely chopped methi coarsely ground palak leaves, salt and turmeric. Check the salt and spice levels and adjust to suit your taste.The cheela batter will be similar to the consistency of a dosa batter or pancake batter. The batter should be able coat the back of the spoon.Preheat a skillet on medium heat, pour a ladleful of cheela batter on the pan and spread it in a circular motion to form a thin crepe/ dosa.Drizzle some oil around the Sprouted Moth Cheela Recipe With Palak and cook it until the top does not look raw and you notice the edges are getting brown. Flip and cook the matki cheela on the other side for a few seconds.Once done, transfer the Sprouted Moth Cheela Recipe to a plate and proceed to make the cheela with the remaining batter.Serve this Sprouted Moth Cheela Recipe With Palak with Sweet and Spicy Tomato Chutney Recipe for a light and simple weeknight dinner or even a diabetic friendly breakfast.
</t>
  </si>
  <si>
    <t>http://www.archanaskitchen.com/sprouted-matki-cheela-recipe-with-palak-moth-beans-cheela</t>
  </si>
  <si>
    <t>Chana Aur Aloo Ki Sookhi Sabzi Recipe</t>
  </si>
  <si>
    <t>1 cup Kabuli Chana (White Chickpeas) - boiled,3 Potatoes (Aloo) - boiled,1 Onion - finely chopped,1 Tomato - finely chopped,1 Green Chilli - finely chopped,1 tablespoon Ginger Garlic Paste,1 teaspoon Red Chilli powder,1/2 teaspoon Turmeric powder (Haldi),2 teaspoons Coriander Powder (Dhania),1 teaspoon Garam masala powder,1 teaspoon Amchur (Dry Mango Powder),1 teaspoon Cumin seeds (Jeera),4 sprig Coriander (Dhania) Leaves - finely chopped for garnish,1 inch Ginger - cut in juliennes (long thin strips) for garnish,1 tablespoon Sunflower Oil,Salt - for taste</t>
  </si>
  <si>
    <t xml:space="preserve">To begin making Chana Aur Aloo Ki Sookhi Sabzi, soak the chickpea or chana over night and pressure cook the soaked chana in enough water for 3 whistles and keep aside.Similarly, wash and boil the potatoes with 1 cup water in a pressure cooker for 2 whistles; peal the skin, cut into cubes and keep aside.Heat oil in a pan on medium heat, add the cumin seeds and let it splutter.Add the finely chopped onions and saute until it turns transparent.Add the ginger and garlic paste and cook until the raw smell goes away.Add the chopped tomatoes and green chilli and saute until the tomatoes are soft and well cooked.Now add the red chilli, turmeric, coriander and garam masala powder and sauce until the spices are cooked.Add the cooked chickpeas and the boiled potato cubes, season with salt and mix well.Let this mix cook for another 10 minutes.Add the amchoor powder, give it a good mix and switch off the flame.Garnish with coriander leaves and ginger juliennes and serve the Chana Aur Aloo Ki Sookhi Subzi Recipe along with phulkas or parathas for your kids lunch box or for the weeknight dinner.
</t>
  </si>
  <si>
    <t>http://www.archanaskitchen.com/chana-aur-aloo-ki-sookhi-subzi-recipe</t>
  </si>
  <si>
    <t>300 ग्राम बैंगन - काट ले,200 ग्राम सरसों,1 प्याज - पतला और सीधा काट ले,4 कली लहसुन - बारीक काट ले,1 इंच अदरक - बारीक काट ले,1/2 छोटा चम्मच जीरा,1 छोटा चम्मच लाल मिर्च पाउडर,1 छोटा चम्मच धनिया पाउडर,1 छोटा चम्मच गरम मसाला पाउडर,1 छोटा चम्मच अमचूर पाउडर,नमक - स्वाद अनुसार,3 बड़े चम्मच सरसों का तेल - प्रयोग अनुसार</t>
  </si>
  <si>
    <t>"To make Brinjal Mustard Saag Recipe, first of all prepare all the ingredients and keep them aside. Cut the brinjal and keep it in salt water. Wash the mustard seeds well and cut them and keep them aside. Now heat oil in a pan. When the oil is very hot, add cumin seeds and let them crackle. After the cumin seeds crackle, add onion, ginger, garlic and cook till the onion becomes soft. After the onion becomes soft, add brinjal and cook it well. Add water, cover the pan and cook well till the brinjal is cooked. It will take 4 to 5 minutes. Now add red chili powder, turmeric powder, coriander powder, garam masala powder, dried mango powder, salt and cook for 2 minutes. Now add mustard leaves and cook for 3 to 4 minutes. After cooking, turn off the gas and serve. Brinjal Mustard Saag Recipe is served with dal tadka, bottle gourd Serve with Raita and Phulkas for lunch.</t>
  </si>
  <si>
    <t>http://www.archanaskitchen.com/baingan-sarson-ka-saag-recipe-in-hindi</t>
  </si>
  <si>
    <t>Stuffed Arbi Paratha Recipe</t>
  </si>
  <si>
    <t>500 grams Colocasia root (Arbi) - boiled and peeled,1 Green Chilli - chopped,1/2 teaspoon Cumin powder (Jeera),1 tablespoon Coriander Powder (Dhania),1 teaspoon Red Chilli powder,1/2 teaspoon Turmeric powder (Haldi),1 tablespoon Garam masala powder,1 teaspoon Amchur (Dry Mango Powder),Salt - to taste,2 sprig Coriander (Dhania) Leaves,1 cup Whole Wheat Flour,1 tablespoon Sunflower Oil,Salt - a pinch</t>
  </si>
  <si>
    <t xml:space="preserve">To begin making Stuffed Arbi Paratha Recipe, we will make the paratha dough. In a large bowl add in 2 cups of whole wheat flour and some salt.Use your fingers and stir in the salt into the flour. Add little water at a time and knead to make soft, pliable paratha dough. Knead paratha dough for a couple of minutes until the dough is smooth and elastic. Use the fold press and knead motion to make the dough smooth.Next add a teaspoon of oil to coat the paratha dough and knead little more. You want a paratha dough that will be soft smooth and not sticky. Divide the dough into 8 to 10 equal portions. Cover the dough and allow the dough to rest until you get the filling ready.Pressure cook arbi with 1 cup water and salt for around 4 whistle and switch off the heat.Once it is pressure cooked, allow the pressure to release naturally and peel the skin.Mash the arbi into a coarse lumpy texture with your fingers or a fork. Once mashed, add in the finely chopped green chillies, lots of freshly chopped coriander leaves,  salt to taste, half teaspoon of cumin powder, half a teaspoon of coriander powder, a teaspoon of dry mango powder, 1 teaspoon of garam masala, 1/2 teaspoon of turmeric powder and finally if you want it extra spicy, the red chilli powder. Using your fingers again, mix all the ingredients into the arbi until well combined.Divide the arbi filling into 8 to 10 equal portions. This process of dividing and keeping the portions of arbi paratha dough and filling ready, helps you gauge the number of parathas you can make and if you need more or less of the filling.The final step is to stuff the filling into the arbi paratha dough.We dust the paratha dough in flour, flatten it with your finger and place it on a flat surface. Roll them out thin to approximately 3 inches in diameter circle.Take a portion of filling and place it in the center. Next Gather the sides of the paratha dough and bring them together. Remove the little excess dough which popped out when you brought them together. Press the filled arbi paratha dough down.Dust the filled arbi paratha dough in some flour and roll it gently applying just a pressure. Roll it to desired thickness and proceed the similar way with the remaining portions of paratha dough and filling.Preheat a skillet on medium heat and place the filled arbi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arbi parathas to get a crisp on the outside and yet soft texture.Once the arbi paratha is cooked transfer to a plate. Continue to the same process with the remaining parathas the same way.Serve the Stuffed Arbi Paratha Recipe along with Palak Raita Recipe and Amla Mirchi Ka Achari Subzi Recipe by the side to make it a healthy breakfast.
</t>
  </si>
  <si>
    <t>http://www.archanaskitchen.com/stuffed-arbi-paratha-recipe</t>
  </si>
  <si>
    <t>Baby Corn Cigar Recipe</t>
  </si>
  <si>
    <t>10 Baby corn - to be blanched,3 tablespoons Whole Wheat Bread crumbs - roasted,2 tablespoons Corn flour,1/2 tablespoon Extra Virgin Olive Oil,1 tablespoon Vinegar,1 Potato (Aloo) - boiled and mashed,1 tablespoon Coriander (Dhania) Leaves - chopped,1 teaspoon Pizza seasoning,1/2 teaspoon Garlic - paste,1 tablespoon Red Chilli powder - adjust accordingly,1 tablespoon Green Chilli Paste,1/2 tablespoon Ginger - paste,Salt - to taste,Sunflower Oil - for frying</t>
  </si>
  <si>
    <t xml:space="preserve">To prepare baby corn cigar recipe, start by blanching the baby corn. Make sure you do not overdo it. 2-3 minutes in hot water and immediate transfer to ice water will do just fine.Slit baby corn longitudinally into two.Boil the potatoes and mash them well with a masher.Take a mixing bowl, add red chili and pizza seasoning, garlic paste, salt and then the vinegar. Mix.Drizzle olive oil and give a nice mix. Add slit baby corn, coat them well with the prepared mixture. Keep aside for 10 minutes.Add coated baby corn onto a heavy bottomed pan and let it cook on medium heat for 2 minutes. Flip and cook for further 2 minutes such that garlic paste and other spices are well cooked.Remove from heat and let it cool.In another pan, add mashed potato, 1-1/2 tablespoon ginger chili paste, cornflour, coriander leaves and salt and mix them well to combine.Apply some oil to your palms such that the mixture doesn’t get too much sticky. Take some mashed potato mixture about the size of a small lemon between your palms, roll it out cylindrically and flatten it. Keep the blanched and split baby corn in the center and cover it completely with potato mixture. This appears cigar-shaped at this stage.Repeat rolling out baby corn cigars similarly until you use up all baby corn and potato mixture.Keep a Kadai on medium heat and add oil for deep frying.While the oil is heated, roll cigars one by one in breadcrumbs and ensure it get coated from everywhere. (You can also oil the cigars a bit to make the breadcrumbs stick nicely)Deep fry the baby corn cigars in batches till golden brown and place on kitchen towel to drain excess oil.These baby corn cigars goes well with dips like Cottage Cheese Dip Recipe with Pepper and Olives or Tzatziki.
</t>
  </si>
  <si>
    <t>https://www.archanaskitchen.com/baby-corn-cigar-recipe</t>
  </si>
  <si>
    <t>Baked Oats and Whole Wheat Kachori Stuffed with Peas Recipe</t>
  </si>
  <si>
    <t>1 cup Whole Wheat Flour,1/2 cup Instant Oats (Oatmeal),1/4 cup Extra Virgin Olive Oil,1 teaspoon Salt,1 teaspoon Ajwain (Carom seeds),Water - to knead,1 cup Green peas (Matar),1 Green Chilli,1 sprig Coriander (Dhania) Leaves,1 teaspoon Amchur (Dry Mango Powder),1 teaspoon Chaat Masala Powder,1 teaspoon Red Chilli powder,Salt - to taste</t>
  </si>
  <si>
    <t xml:space="preserve">We begin making the Oats and whole wheat Kachori stuffed with Peas Recipe make dough for the outer layer first, add whole wheat flour, oats and ajwain, salt, and oil in a mixing bowl and mix well with fingers and palm.Add water to make a smooth and firm dough. Rest the dough for 15 minutes. Once it is done resting, divide the dough into small equal rounds. While the dough is resting make the stuffing, grind all the ingredients mentioned in the list to a coarse mixture and keep it aside.Now to stuff the dough with filling, take one ball and press the sides of dough with fingers so that the center of the kachori is a little thick.Fill the center with a tablespoon of stuffing and seal it from all sides to form the kachori. Repeat the same for the rest of the kachoris.Meanwhile, preheat Oven to 180 degrees Celsius for 10 minutes. Place an aluminum foil on a baking tray and brush it with oil.Place kachoris at a half inch distance from each other and brush upper portion of kachoris with oil. Bake in oven for 20 minutes at 180 degrees Celsius. You can brush it with honey to give a nice golden colour. Serve the Oats and whole wheat Kachori stuffed with Peas Recipe along with cup of Masala Chai Recipe - Indian Spiced Tea or you use it to make a Raj Kachori Recipe for your evening snack.
</t>
  </si>
  <si>
    <t>http://www.archanaskitchen.com/oats-and-whole-wheat-kachori-stuffed-with-peas-recipe</t>
  </si>
  <si>
    <t>Bharwa Pyaz Ki Sabzi Recipe</t>
  </si>
  <si>
    <t>20 small onions, 1 tsp red chili powder, 1 tsp turmeric powder, 1 tsp dry mango powder, 1 tsp coriander powder, salt - according to taste, 6 cloves garlic - finely chopped, 1 inch ginger - finely chopped, 2 sprigs of green coriander - finely chopped</t>
  </si>
  <si>
    <t>"To make Bharwa Pyaaz ki Sabzi recipe, first of all make two cuts on the top of the onion. Be careful not to cut it completely. In a mixing bowl, add red chili powder, turmeric powder, dry mango powder, coriander powder, salt and mix. Add some water to it and make a paste. With the help of your hand, fill this masala inside the onion. Keep the remaining paste aside. Now heat oil in a pan. Add ginger, garlic and cook for 30 seconds. After 30 seconds, add stuffed onions, remaining paste and mix. Now take hot water in a bowl and add tamarind to it. After 3 to 4 minutes, take out the tamarind and pour the tamarind water in the onions. Cover the pan and cook till the onions become soft. Keep stirring in between. After cooking, garnish with green coriander and serve. Bharwa Pyaaz ki Sabzi recipe is served with Panchmel Dal, Boondi Serve with Raita and Phulkas for lunch.</t>
  </si>
  <si>
    <t>https://www.archanaskitchen.com/bharwa-pyaz-ki-sabzi-recipe-in-hindi</t>
  </si>
  <si>
    <t>Aam Panna Pani Puri Recipe</t>
  </si>
  <si>
    <t>18 Pani Puris,2 Potato (Aloo) - boiled,1/4 cup Green Moong Sprouts - 1/4 cup green moong sprouts,Salt - to taste,1 teaspoon Cumin powder (Jeera),1 teaspoon Chaat Masala Powder,1/2 teaspoon Red Chilli powder,1 Mango (Raw),10 Mint Leaves (Pudina),1 teaspoon Cumin powder (Jeera),Black Salt (Kala Namak) - to taste,1/2 teaspoon Black pepper powder,2 tablespoons Sugar</t>
  </si>
  <si>
    <t xml:space="preserve">To begin making the Aam Panna Pani Puri Recipe, we will first make the Aam Panna Pani. In a pressure cooker, peel the raw mango and add the whole raw mango along with 1/2 cup of water and pressure cook for 4 whistles. It has to be cooked until they become soft and tender. Turn off the flame. Allow the pressure to release naturally.  Open the lid, drain the water, transfer the mangoes into a bowl and allow the mangoes to cool . Extract the pulp from the cooked raw mango and discard the seed. You will be left with the cooked raw mango pulp. In the bowl with the cooked raw mango pulp, add in the mint leaves, cumin powder, black salt , black pepper powder and sugar. Transfer this mixture into a mixer jar and grind into a smooth puree.Transfer the aam panna into a serving bowl, add 1 cup of water and mix well. Check the taste and spices and adjust accordingly. Chill the Aam Panna Pani in the refrigerator.For the Pani Puri filling, in a mixing bowl, mash the potatoes, add the green moong sprouts and the dry masalas- chaat masala, cumin powder and red chilli powder. Mix well.  Check the taste of the aloo masala and adjust salt or seasoning if required.Serve Aam Panna Pani Puri Recipe, by slightly cracking the puris on the top to make an opening, stuff the potato-sprouts filling, fill it with the Aam Panna Pani. Serve Aam Panna Pani Puri Recipe as an appetizer along with a fun party meal of Rawal Pindi Style Chole Recipe, Bhatura , Mumbai Style Tawa Pulao Recipe with Moong Sprouts and finish of with a dessert of Double Ka Meetha Recipe With Mixed Nuts Rabri.
</t>
  </si>
  <si>
    <t>http://www.archanaskitchen.com/aam-panna-pani-puri-recipe</t>
  </si>
  <si>
    <t>Vegan Navratan Korma Recipe</t>
  </si>
  <si>
    <t>2 Carrots (Gajjar) - diced small,10 to 12 Green beans (French Beans) - cut into 1 inch pieces,1/2 cup Cauliflower (gobi) - cut into florets,2 Potatoes (Aloo) - boiled and diced,1/2 cup Tofu - diced,2 Onions - sliced,6 Green Chillies,2 tablespoon Ginger Garlic Paste,1/2 teaspoon Turmeric powder (Haldi),1/2 teaspoon Red Chilli powder,3-4 Cardamom (Elaichi) Pods/Seeds - powdered,1 Black cardamom (Badi Elaichi),3 Cloves (Laung),1 inch Ginger,1 cup Coconut Yogurt - optional,1/2 cup Coconut milk - thick,Mint Leaves (Pudina) - as needed,6-8 Saffron strands,Edible Silver Foil/Leaf (Chandi Ka Vark) - optional,Pineapple - few pieces,2 tablespoons Raisins,6-8 Cashew nuts - toasted,1 tablespoon Badam (Almond) - sliced,1 tablespoon Pistachios - sliced,1/2 Garam masala powder - optional,Coconut Oil - cold pressed,1-1/2 tablespoons Poppy seeds,10 Cashew nuts - whole,15 Badam (Almond)</t>
  </si>
  <si>
    <t xml:space="preserve">To begin making the Vegan Navratan Korma, soak cashews and almonds reserved for the paste in water for 40 minutes. Grind this to a smooth paste along with poppy seeds and set aside.Chop all the vegetables and gather all the ingredients required for the korma.Steam the vegetables with a pinch of salt until tender, make sure they hold the shape.Grind the poppy seeds, cashew and almonds into a smooth paste, adding little water. Keep the nut-seed mixture aside.In a large pan heat some oil, add cloves, cinnamon, green cardamom and black cardamom, now add sliced onions, ginger and garlic paste and saute this the raw smell disappears, add green chillies and cook briefly. Let this mixture cool down to room temperature.Now add these ingredients into a mixie jar and grind to smooth.Return this gravy into the pan add turmeric powder, red chilli powder and some salt and cook for 3-4 minutes.Now to this mixture add the coconut yogurt, coconut milk and the nut-seed paste and mix to well and cook for 4-5 minutes or until the korma thickens.Add the cooked vegetables, tofu and a cup of water and cook until the korma comes together. This should take around 4-5 minutes. Add little water to loosen the korma if required. Add salt and adjust the seasoning. Finally sprinkle the garam masala if using and give it a stir.In a small pan heat some coconut oil and gently fry cashews and sultanas, turn off the heat add sliced almonds and pistachios and roast for a few seconds. Spoon the Vegan Navratan Korma into a serving bowl, place the chandi ka varq if using, top it with cashews, sultanas, almonds and pistachios. Now arrange slices of pineapple, saffron and mint leaves on top.Serve the Vegan Navratan Korma along with a Paneer Pulao with Green Peas and Tadka Raita Recipe (Spiced Curd With Onions) to make a delicious weeknight dinner or even serve as a main course for parties. 
</t>
  </si>
  <si>
    <t>https://www.archanaskitchen.com/vegan-navratan-korma-recipe</t>
  </si>
  <si>
    <t>Dahi Bhindi Recipe - Okra in Yogurt Curry with Caramelized Onions</t>
  </si>
  <si>
    <t>200 grams Bhindi (Lady Finger/Okra) - cut into 1 inch pieces,1 Onion - finely chopped,1 inch Ginger - grated,1 cup Curd (Dahi / Yogurt),2 tablespoons Gram flour (besan),1 teaspoon Garam masala powder,1/2 teaspoon Turmeric powder (Haldi),1/2 teaspoon Red Chilli powder,Salt - to taste,1 tablespoon Caramelized onions,Sunflower Oil - for cooking,2 tablespoons Ghee,1 teaspoon Cumin seeds (Jeera),2 Dry Red Chillies,Coriander (Dhania) Leaves - a small bunch finely chopped</t>
  </si>
  <si>
    <t xml:space="preserve">To begin making the Dahi Bhindi Recipe, we will first roast the Bhindi .Heat 2 tablespoons of oil in a Wok or a Kadai; add the chopped onions and the bhindi (okra). Sprinkle some salt and sauté the bhindi and the onions on low heat. Keep the pan covered for the few minutes so the bhindi gets cooked.When covered the bhindi releases moisture, but this moisture helps it to cook and soften as well.Once you notice that it has released a little moisture and the bhindi is slightly softened, open the pan and stir fry the bhindi until it is well roasted. Make sure you roast it on medium heat. Roast the Bhindi until you notice it has begun to shrink and has browned. It should not become sticky, slimy and gooey. If it has turned this way, add a little more oil and sprinkle some gram flour/besan and stir it gently. This will absorb the sliminess.The bhindi is a tricky vegetable to cook, so it takes some practice to not making it gooey.Once the bhindi is cooked and well roasted, keep it aside till we prepare the yogurt gravy.To make the Yogurt Curry, add the yogurt into a saucepan; add the gram flour, grated ginger, garam masala powder,  turmeric powder and chili powder. Whisk until smooth. Add in 1/4 cup of water and whisk again until well combined.Place the saucepan on a medium heat and allow the yogurt mixture to come to a brisk boil. Allow it to boil for a couple of minutes and then turn the heat to low. Simmer the mixture until the yogurt becomes thick and creamy. Once thick and creamy, add in the roasted bhindi and stir. Simmer for a few more minutes. Check the salt and spice levels and adjust to suit your taste.Turn off the heat and transfer the Dahi Bhindi a serving bowl. The final step is to make the seasoning. Heat a tablespoon of ghee in a Tadka Pan. Add the cumin seeds, dry red chilies and roast them until lightly browned.Pour this seasoning and the caramelized onions into the Dahi Bhindi. Stir to mix gently and finally stir in the chopped coriander leaves.Serve the Dahi Bhindi along with Phulka Recipe  or Steamed Rice and  Green Moong Sprout Salad for a simple weeknight dinner or even a weekend lunch.
</t>
  </si>
  <si>
    <t>http://www.archanaskitchen.com/dahi-bhindi-recipe-okra-in-yogurt-curry-with-caramelized-onions</t>
  </si>
  <si>
    <t>Palak Paneer Bhurji Recipe</t>
  </si>
  <si>
    <t>200 gms paneer - shredded, 50 gms spinach - finely chopped, 2 green chillies - finely chopped, 1 onion - finely chopped, 1 tomato - finely chopped, 2 cloves garlic - finely chopped, 1/2 tsp cumin seeds, 2 tsp red chilli powder, 2 tsp garam masala powder, 2 tsp dried mango powder, 1 tbsp butter, salt - according to taste, oil - according to use</t>
  </si>
  <si>
    <t>"To make Palak Paneer Bhurji recipe, first prepare paneer. You can also buy paneer from outside. Crumble paneer and keep aside. Now heat oil in a pan. Add cumin seeds and let them crackle. After cumin seeds crackle, add ginger, garlic, green chilies, onion and cook till onions turn light brown. Now add tomatoes and cook till they become soft. Add spinach and cook till spinach is cooked. Now add red chili powder, garam masala powder, dried mango powder, paneer and mix well. Add butter and cook for 3 to 4 minutes. Once cooked, turn off the gas and serve hot. Serve Palak Paneer Bhurji with Dal Makhani, Boondi Raita and Phulkas for lunch."</t>
  </si>
  <si>
    <t>https://www.archanaskitchen.com/palak-paneer-bhurji-recipe-spiced-cottage-cheese-scramble-with-spinach-recipe-in-hindi</t>
  </si>
  <si>
    <t>Beetroot Loni Sponge Dosa Recipe</t>
  </si>
  <si>
    <t>2 cups Idli Dosa Batter,2 cups Rice - parboiled,1/4 cup Poha (Flattened rice) - (thick variety),3 cups Buttermilk - sour,1 teaspoon Cooking soda,1/4 cup Butter - loni (white butter),1 Beetroot - peeled,5 to 7 Curry leaves,1/2 tablespoon Green Chilli Paste,Salt - as per taste,Sesame (Gingelly) Oil - as required</t>
  </si>
  <si>
    <t xml:space="preserve">To begin making the Beetroot Loni Sponge Dosa recipe, wash rice 2 to 3 times and then along with Poha soak it for overnight in sour buttermilk.Next Morning, grind the soaked Rice and Poha into a smooth consistency batter in a mixer grinder. Add salt giving it stir and keep it aside.In a mixer grinder, add the peeled beetroot, curry leaves and blend it without water into a paste. Take a sieve and squeeze beet juice and add it to Sponge Dosa Batter.Add green chillies to the batter and mix the batter gently.Heat up a non-stick tawa and sprinkle water to check its temperature. If there is a sizzle then its temperature is correct.Add cooking soda in the Dosa Batter and give it a quick whips in same direction.Pour in two ladles of batter on the tawa turning the flame to low. Add oil across the edges and cover it with a lid.Take a Loni/Butter in your hand and drop it on sponge Dosa generously. Let the butter smear on the Dosa. Flip it on other side to get it more crusty.Serve Beetroot Loni Sponge Dosa with Mixed Vegetable Sambar and South Indian Coconut Chutney for a delicious and healthy breakfast.
</t>
  </si>
  <si>
    <t>https://www.archanaskitchen.com/beetroot-loni-sponge-dosa-recipe</t>
  </si>
  <si>
    <t>Sweet &amp; Spicy Stuffed Paneer In Kofta Curry Recipe</t>
  </si>
  <si>
    <t>200 grams Paneer (Homemade Cottage Cheese) - cut into 1-inch cubes,2 Green Chilli - finely chopped,1 teaspoon Ginger - finely chopped,1 tablespoon Raisins,6 Cashew nuts - finely chopped,6 Badam (Almond) - finely chopped,6 Pistachios - finely chopped,1/4 teaspoon Turmeric powder (Haldi),2 teaspoons Gram flour (besan),Salt - to taste,1/4 teaspoon Cardamom Powder (Elaichi),1 teaspoon Sunflower Oil,2 Bay leaf (tej patta),2-3 Cardamom (Elaichi) Pods/Seeds,1 Cinnamon Stick (Dalchini),2-3 Cloves (Laung),1 Mace (Javitri),1 Star anise,1 cup Homemade tomato puree,1 inch Ginger,3 cloves Garlic,1 Onion - roughly chopped,2 teaspoons Coriander Powder (Dhania),1/2 teaspoon Red Chilli powder,1/4 teaspoon Turmeric powder (Haldi),10 Cashew nuts - soaked and grind to a smooth paste,2 tablespoons Curd (Dahi / Yogurt),Salt - to taste,1 tablespoon Kasuri Methi (Dried Fenugreek Leaves),1 tablespoon Honey,1/2 cup Fresh cream</t>
  </si>
  <si>
    <t xml:space="preserve">To begin making Stuffed Paneer In Kofta Curry Recipe, we will begin with the stuffing for the panner. Scoop out or cut out little paneer from the center of each cube. You can use a melon scooper or with a small spoon. Transfer the scooped out paneer to a bowl, crumble / grate and set aside.Heat oil in a heavy bottomed pan. Add finely chopped green chillies and ginger, sauté until the ginger is fragrant.Add raisins and chopped nuts, sauté another 30 seconds. Add this mixture to crumbled paneer along with, turmeric powder, besan, salt and cardamom powder. Mix well to come. Adjust the salt according to taste.Stuff this paneer and nut mixture in scooped out paneer cubes and press firmly. Heat a teaspoon of oil in a pan over medium heat. Add the stuffed paneer pieces and pan fry the paneer cubes until lightly golden on both sides. Once done remove from the pan and keep aside. To begin making the kofta curry, grind the onion, ginger and garlic to a smooth paste. Keep aside.Grind the cashewnuts along with a little water and make a smooth paste. Keep aside. Heat oil in a pan over medium heat;  add the whole spices and saute it for a few seconds until you can smell the aromas coming through. Add the ginger garlic and onion paste and saute for about a minute until the raw smell goes away.At this stage, add the turmeric powder, coriander powder, and red chilli powder. Adding the condiments to the onion ginger garlic paste helps further reduce the raw smell. Saute for a few seconds and then add the tomato puree, cashewnut puree, salt to taste and the fresh cream.  Add a little water to adjust the consistency of the kofta gravy. Simmer this kofta curry for 3 to 4 minutes until the flavors combine well. Once done, turn off the heat, stir in the kasuri methi and check the salt and spices. Adjust to suit your taste.Transfer the kofta curry to a serving bowl and when you are ready to serve, place the stuffed paneer in the curry and serve warm. Serve your Stuffed Paneer Baskets with Punjabi Dal Tadka, Mixed Vegetable Pulao (Pilaf), Butter Garlic Naan, Kela Anar Raita for a perfect weekend dinner with family and friends.
</t>
  </si>
  <si>
    <t>https://www.archanaskitchen.com/sweet-spicy-stuffed-paneer-in-kofta-curry-recipe</t>
  </si>
  <si>
    <t>Spicy Baby Potatoes Recipe</t>
  </si>
  <si>
    <t>12 Baby Potatoes,Sunflower Oil - as required,1 Dry Red Chilli,1 teaspoon Cumin seeds (Jeera),1 sprig Curry leaves - optional,1 teaspoon Coriander Powder (Dhania),1/2 teaspoon Turmeric powder (Haldi),1 teaspoon Cumin powder (Jeera),1 teaspoon Red Chilli powder,1 teaspoon Garam masala powder,1 teaspoon Amchur (Dry Mango Powder),Salt - to taste,1 teaspoon Lemon juice,3 tablespoons Coriander (Dhania) Leaves - chopped</t>
  </si>
  <si>
    <t xml:space="preserve">To begin making the Spicy Baby Potatoes recipe, pressure cook the baby potatoes and keep aside to cool. Peel off the skin and collect the boiled potatoes in a bowl.Heat oil in a wok/kadhai and add dry red chilies, curry leaves, cumin and let them crackle.Now add all the spices (coriander powder, red chili powder, amchur, cumin powder, garam masala powder and turmeric). Saute it for few seconds, don't burn it.Add the baby potatoes and mix well with the spice mix. Fry for 6-7 minutes in medium flames till everything incorporates well and the flavors gets along with the potatoes.Adjust salt as per your taste and add some lemon juice and mix again.Turn off the heat, add lot of chopped coriander and give a quick stir. Serve Spicy Baby Potatoes along with Phulkas and Panchmel Dal for a weekday lunch or dinner.
</t>
  </si>
  <si>
    <t>http://www.archanaskitchen.com/spicy-baby-potatoes-recipe</t>
  </si>
  <si>
    <t>Matar Besan And Paneer Cheela Recipe</t>
  </si>
  <si>
    <t>1 cup green peas - boil, 1 cup gram flour, 1/2 cup paneer - grate, 1 tsp ginger - chop, 2 green chillies - finely chopped, 1/2 tsp turmeric powder, 1/2 tsp cumin powder, 1/2 tsp salt, 2 oil - as per requirement</t>
  </si>
  <si>
    <t>"To make Matar Besan Aur Paneer Cheela Recipe, first of all take green peas, green chillies, ginger, some water in a mixer grinder and grind it to make a paste. Now put this paste in a bowl. Add gram flour, cheese, turmeric powder, cumin powder, salt, some water and mix it well. Now preheat a pan. Pour some mixture in the middle and spread it in a round shape. Pour some oil and cook from both the sides till it becomes brown and golden. After cooking, take it out in a plate and serve. Serve Matar Besan Aur Paneer Cheela Recipe with Coriander Mint Chutney and Masala Tea for breakfast. "</t>
  </si>
  <si>
    <t>http://www.archanaskitchen.com/matar-besan-and-paneer-cheela-recipe-green-peas-paneer-crepes-in-hindi</t>
  </si>
  <si>
    <t>Spicy Paneer Bhurji Pav Sandwich Recipe - Breakfast Recipe</t>
  </si>
  <si>
    <t>1 tablespoon Sunflower Oil,1 teaspoon Ginger - grated,1 Green Chilli - finely chopped,1 Onion - finely chopped,1 Tomato - finely chopped,1/4 teaspoon Turmeric powder (Haldi),1/4 teaspoon Red Chilli powder,2 cups Paneer (Homemade Cottage Cheese) - crumpled,1 tablespoon Coriander (Dhania) Leaves - chopped,Salt - to taste,4 Pav buns - roasted in butter</t>
  </si>
  <si>
    <t xml:space="preserve">To begin making the Spicy Paneer Bhurji Pav Sandwich, we'll begin by making paneer bhurji.Place a pan on the heat and warm the oil in it. To it, add ginger and green chilies and saute for a minute or two. Then add the chopped onions and continue to saute until translucent.Followed by chopped tomatoes, turmeric powder and red chilli powder - add them all into the pan and continue to cook, stirring continuously until the tomatoes are softened.Continue to cook till some moisture dries out and the masalas begin to leave the sides of the pan.At this stage, add the crumbled paneer, season with required salt and mix well.Cook the prepared bhurji on a medium heat for another minute or two. Sprinkle chopped coriander, turn off the heat and set the bhurji aside till later use.Apply butter on the pav buns, place them on a preheated pan and toast them on medium heat until browned and crisp.The next step is to assemble the Pav Sandwiches. To do this, Slice each pav into half and lay them flat on a work surface. Scoop a spoonful of paneer bhurji and serve hot. Serve the Spicy Paneer Bhurji Pav Sandwich Recipe along with Calcutta Style Puchkas and a hot cup of Masala Chai for a chaat party.
</t>
  </si>
  <si>
    <t>http://www.archanaskitchen.com/spicy-paneer-bhurji-pav-sandwich-recipe-spiced-cottage-cheese-bun-sandwich</t>
  </si>
  <si>
    <t>Papaya and Carrot Halwa Recipe</t>
  </si>
  <si>
    <t>4 cups Papaya - peeled and grated,1 cup Carrot (Gajjar) - grated,1/2 cup Sugar,3/4 cup Milk,1/2 teaspoon Cardamom Powder (Elaichi),2 Saffron strands,2 tablespoons Badam (Almond) - sliced,1/4 cup Ghee</t>
  </si>
  <si>
    <t xml:space="preserve">To begin making the Papaya and Carrot Halwa Recipe, first get the ingredients ready by grating the papaya and carrots.In a heavy bottomed pan add the ghee, the grated papaya and carrots. Saute for a few minutes until you get a good aroma. Stir in the milk, sugar and simmer with the papaya carrot halwa mixture until all the milk condenses to form a thick halwa.You will notice the halwa would become thick and become sticky leaving the sides of the pan. The milk and water content should be completely evaporated and the Papaya Carrot Halwa will look glossy.At this stage add a tablespoon of ghee and mix well and finally stir in the cardamom powder, saffron and sliced almonds to the halwa. Turn off the heat and serve.Serve the Papaya &amp; Carrot Halwa along with vanillas ice cream as a Dessert for parties or as a special sweet for the festivals like Diwali, Navratri, Raksha Bandhan and Holi.
</t>
  </si>
  <si>
    <t>https://www.archanaskitchen.com/papaya-and-carrot-halwa-recipe</t>
  </si>
  <si>
    <t>Gawar Phali Masala Sabzi Recipe - Cluster Beans Gravy Sabzi</t>
  </si>
  <si>
    <t>250 grams Gawar Phali (Kothavarangai / Cluster beans) - washed and cut into 1-1.5 inch pieces,1/2 teaspoon Ajwain (Carom seeds),1/4 teaspoon SSP Asafoetida (Hing),1 Onion - chopped,4 Tomatoes - finely chopped,6 cloves Garlic - finely chopped,1 inch Ginger - finely chopped,1/2 teaspoon Turmeric powder (Haldi),1 teaspoon Red Chilli powder,1 teaspoon Coriander Powder (Dhania),1 tablespoon Jaggery,1/2 cup Raw Peanuts (Moongphali),Salt - to taste,1/2 cup Water,1 teaspoon Mustard oil,Coriander (Dhania) Leaves - for garnish</t>
  </si>
  <si>
    <t xml:space="preserve">To begin making the Gawar Phali Masala Sabzi Recipe, into a preheated pressure cooker add oil. Once the oil is hot add the ajwain, asafoetida, onion, garlic, ginger and saute until the onions soften and turn golden brown in colour. Once done add the tomatoes, turmeric powder, red chili powder, coriander powder and jaggery. Saute until the tomatoes become soft and mushy. Once the tomatoes have turned soft add the gawar phali, raw peanuts, salt to taste and water.Close the pressure cooker with its lid and pressure cook the gawar phali masala sabzi for 2 whistles.After two whistles turn off the heat and release the pressure immediately.Stir in coriander leaves and transfer the Gawar Phali Masala Sabzi into a serving bowl and serve hot.Serve the Gawar Phali Masala Sabzi along with  Phulka, Jeera Rice &amp; Kachumber Salad for a weekday meal.
</t>
  </si>
  <si>
    <t>http://www.archanaskitchen.com/gawar-phali-masala-sabzi-recipe-cluster-bean-gravy-sabzi</t>
  </si>
  <si>
    <t>Lacha Pyaz Recipe - Masala Pickled Onions</t>
  </si>
  <si>
    <t>2 Onions - cut into thin rings,1 Lemon - juice extracted,Black Salt (Kala Namak) - as required,2 Onions - cut into thin rings,1/2 teaspoon Red Chilli powder,1/2 teaspoon Chaat Masala Powder,Salt - to taste,1 Lemon - juice extracted</t>
  </si>
  <si>
    <t xml:space="preserve">To begin making the Simple Lacha Pyaz Recipe - Pickled Onions  into a mixing bowl add the onion rings, lemon juice and sprinkle black salt to taste. Mix well to combine. Cover the bowl and allow the onions to rest in the lemon juice for about an hour.The Simple Lacha Pyaz Recipe - Pickled Onions are ready to be served after an hour.To make the Masala Lacha Pyaz Recipe - Pickled OnionsInto a mixing bowl add the onion rings, lemon juice, red chilli powder, chaat masala powder and salt to taste. Mix well to combine.Cover the bowl and allow the onions to rest in the lemon juice for about an hour. The Masala Lacha Pyaz Recipe - Pickled Onions are ready to be served after an hour.Serve the Pickled Onions along with a meal Smoked Tandoori Paneer Tikka, Smoked Dal Makhani Dhaba Style and Pudina Tawa Paratha.
</t>
  </si>
  <si>
    <t>https://www.archanaskitchen.com/how-to-make-pickled-onions-recipe</t>
  </si>
  <si>
    <t>Tofu Bhurji Recipe - Spicy Scrambled Tofu</t>
  </si>
  <si>
    <t>300 grams Tofu - crumbled,1 Onion - chopped,1 Red Bell pepper (Capsicum),1 Tomato - chopped,1 Green Chilli - chopped,1 teaspoon Cumin seeds (Jeera),2 teaspoon Red Chilli powder,1 teaspoon Black pepper powder,1 teaspoon Turmeric powder (Haldi),4 sprig Coriander (Dhania) Leaves - chopped,Salt - to taste,Sunflower Oil</t>
  </si>
  <si>
    <t xml:space="preserve">To begin making the Tofu Bhurji Recipe, firstly crumble the tofu and keep it aside.Heat a tablespoon of butter in a heavy bottomed pan; add the cumin seeds, onion, capsicum, green chillies and ginger. Saute the onions and capsicum on low to medium heat until they are soft and tender.Once the onions and capsicum are soft, add the tomatoes, turmeric powder, red chilli powder and give it a good stir.Finally, stir in the crumbled tofu and salt to taste. Stir well, check the salt and spice levels and adjust to suit your taste.Serve the Tofu Bhurji Recipe along with a Toasted Bread or just plain Indian bread like Phulka and a Dal of your choice like Panchmel Dal, Palak Dal etc to enjoy your dinner.
</t>
  </si>
  <si>
    <t>https://www.archanaskitchen.com/tofu-bhurji-recipe</t>
  </si>
  <si>
    <t>Stuffed Mooli Paneer Paratha Recipe</t>
  </si>
  <si>
    <t>2 Mooli/ Mullangi (Radish) - washed and grated,200 grams Paneer (Homemade Cottage Cheese) - grated,1 Green Chilli - finely chopped,4 cloves Garlic - finely chopped,1 inch Ginger - finely chopped,1 teaspoon Cumin powder (Jeera),2 teaspoon Sunflower Oil,Salt - to taste,1/4 teaspoon Turmeric powder (Haldi),1 teaspoon Cumin powder (Jeera),1 cup Whole Wheat Flour,Ghee - to cook the parathas</t>
  </si>
  <si>
    <t xml:space="preserve">To begin making the Stuffed Mooli Paneer Paratha Recipe, grate the paneer and radish and set aside. *To make the Mooli Paneer Filling Heat a skillet on medium flame, add 1 teaspoon oil, now add the cumin seeds, chopped ginger and garlic, saute for 30 seconds, now add the radish, salt and continue to saute on high heat till all the moisture from radish evaporates.Turn off the flame. Transfer the mixture into a mixing bowl. Into that mixing bowl, add grated paneer, green chili, cumin powder and mix well. The stuffing of the Mooli Paneer Paratha is ready. *To make the Stuffed Mooli Paneer ParathaIn a mixing bowl, add the whole wheat flour to amke the dough by adding little water at a time and knead well to make a smooth dough. Divide the dough into equal portions.Dust a flat working surface with some flour. Roll a portion into a ball and flatten it using your fingers and roll it out into a 3 inch diameter circle.Place about 2 tablespoons of the Mooli Paneer stuffing in the center, gather the edge and seal it. Carefully roll it out into a circle about 6-7 inches in diameter.Heat a skillet over medium heat and cook the stuffed mooli paneer paratha with ghee until cooked through, and has golden brown spots on both sides.Repeat with the remaining portions of the dough. Serve this Stuffed Mooli Paneer Paratha along with Lehsuni Pudina Chutney Recipe or Instant Gor Kairi Lonche Recipe or Carrot Tadka Raita Recipe and Adrak Chai Recipe - Indian Style Ginger Tea for a simple weekday breakfast.
</t>
  </si>
  <si>
    <t>https://www.archanaskitchen.com/stuffed-mooli-paneer-paratha-recipe</t>
  </si>
  <si>
    <t>Moringa Masoor Dal Recipe - Drumstick Leaves Dal</t>
  </si>
  <si>
    <t>1 cup Pink Masoor Dal (Split),200 grams Drumstick Leaves (Moringa/Murungai Keerai) - cleaned chopped,1/4 teaspoon Asafoetida (hing),1 teaspoon Cumin seeds (Jeera),1 inch Ginger - finely chopped,1 Dry Red Chilli,1 Tomato - chopped,1 Green Chilli - slit,2 teaspoons Coriander Powder (Dhania),1/2 teaspoon Turmeric powder (Haldi),1/2 teaspoon Red Chilli powder,Salt - to taste,1 tablespoon Ghee,1 Lemon - juice extracted</t>
  </si>
  <si>
    <t xml:space="preserve">To prepare the Methi Masoor Dal Recipe, first wash and soak the masoor dal in 3 cups of water for at least 30 minutes. While the dal is soaked clean, wash and pat dry the fenugreek leaves.Next, finely chop the drumstick leaves. Heat a teaspoon of oil in a wok or a kadai and add the chopped drumstick leaves into the wok. Sprinkle some salt, cover the pan and cook the Moringa leaves until soft and tender.It takes about 2 to 3 minutes and not more than that. Once done, turn off the heat and keep the cooked moringa leaves aside.In the next step, cook the masoor dal with the spices. Heat ghee in a pressure cooker over medium heat.  Add asafoetida and cumin seeds and allow it to crackle.Add the chopped tomato, ginger,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stir in the sautéed moringa leaves, squeeze juice from one lemon and serve. Serve the Moringa Masoor Dal Recipe along with Steamed Rice, Kaddu Simla Mirch Sabzi , Phulka to make it a wholesome Indian diabetic friendly dinner.
</t>
  </si>
  <si>
    <t>http://www.archanaskitchen.com/moringa-masoor-dal-recipe-drumstick-leaves-dal</t>
  </si>
  <si>
    <t>Navrang Dal (Recipe In Hindi)</t>
  </si>
  <si>
    <t>2 tbsp green moong dal, 2 tbsp white urad dal, 2 tbsp black urad dal, 2 tbsp masoor dal (split), 2 tbsp masoor dal, 2 tbsp rajma, 2 tbsp kabuli channa, 1/4 cup yellow moong dal - soaked for 20 minutes, 1 tbsp tur dal - soaked for 20 minutes, 1 onion - finely chopped, 1 tomato - finely chopped, 1 tbsp ginger garlic paste, 1 green chilli - chopped, 2 tsp coriander powder, 1 tsp red chilli powder, 2 tsp garam masala powder, 1 tbsp kasuri methi, 1 inch ginger - finely chopped (for garnish), 2 tbsp ghee, 1 cinnamon, 1 tsp cumin seeds, Salt - according to taste</t>
  </si>
  <si>
    <t xml:space="preserve">To make Navrang Dal, first soak all the dals overnight. Soak yellow moong dal and arhar dal for 20 minutes. In the morning, put the dals in a pressure cooker and cook till 3 whistles. After the cooker cools down, mash the dals and keep them aside. Now heat oil in a pan and add ghee to it. After that add cinnamon, cumin seeds and let it cook for 15 seconds. After 15 seconds, add onion and let it cook till it becomes light brown. Now add garlic ginger paste and let it cook for 2 minutes. After 2 minutes, add chopped tomatoes, green chillies and cook till the tomatoes become a little soft. Now add coriander powder, red chilli powder, garam masala powder and cook for 3 minutes. After 3 minutes, add cooked dal, salt, water as per requirement and let it cook for 10 minutes. After 10 minutes, add kasuri methi and mix it. After 2 minutes, add ginger and turn off the gas. Serve Navrang Dal with Besan Chilli Sabzi and Phulkas for lunch.
</t>
  </si>
  <si>
    <t>https://www.archanaskitchen.com/navrang-dal-recipe-in-hindi</t>
  </si>
  <si>
    <t>Kurkuri Bhindi With Spicy Tomato Yogurt Gravy Recipe</t>
  </si>
  <si>
    <t>250 grams Bhindi (Lady Finger/Okra),Sunflower Oil - for deep frying,2 tablespoons Gram flour (besan),Salt - as needed,1/2 teaspoon Red Chilli powder,1/2 teaspoon Chaat Masala Powder,1 tablespoon Water,Sunflower Oil - as required,1/2 teaspoon Mustard seeds,1/2 teaspoon Cumin seeds (Jeera),1/4 teaspoon Asafoetida (hing),1 tablespoon Ginger Garlic Paste,1 to 2 Green Chillies - finely chopped,1 Onion - thinly sliced,1/2 cup Curd (Dahi / Yogurt) - whisked,1 Tomato - finely chopped,1 teaspoon Red Chilli powder,1/2 teaspoon Turmeric powder (Haldi),1 teaspoon Coriander Powder (Dhania)</t>
  </si>
  <si>
    <t xml:space="preserve">To begin making the Kurkuri Bhindi With Spicy Tomato Yogurt Gravy, firstly we will make the crispy bhindi.Wash the bhindi, make a cut, take out the seeds and then thinly slice all of the bhindis.Take a mixing bowl, add the bhindi and all the ingredients mentioned under ‘for the crispy bhindi’.Heat oil in a deep frying pan, and deep fry the bhindi till they become crisp. Take them out on a absorbent paper to absorb the excess oil.Once done, keep them aside.Next heat oil in a heavy bottomed pan and add mustard seeds, cumin seeds, hing and ginger garlic paste.After 30 seconds, add the green chillies and onions. Cook till the onions becomes soft and translucent.Next, add the tomatoes and cook for about 3 minutes or till the tomatoes gets mushy.Add all the dry masalas including red chilli powder, turmeric powder, salt and coriander powder.Cook for about 5 to 6 minutes and then add curd in it. Stir continuously for about a minute. Add water if required.Let it cook for about 5 minutes more and when it is cooked properly, add the chopped coriander leaves.Now mix the crispy bhindi on the gravy, give a stir and serve hot. Serve Kurkuri Bhindi With Spicy Tomato Yogurt Gravy along with Panchmel Dal, Phulkas and Rice for a perfect weekday meal.
</t>
  </si>
  <si>
    <t>http://www.archanaskitchen.com/kurkuri-bhindi-with-spicy-tomato-yogurt-gravy-recipe</t>
  </si>
  <si>
    <t>Gulkand Chai Recipe - A Delicious Rose Flavored Indian Tea</t>
  </si>
  <si>
    <t>2 cups Water,1 teaspoon Tea leaves,1/4 cup Milk,2 tablespoons Gulkand</t>
  </si>
  <si>
    <t xml:space="preserve">To begin making the Gulkand Chai, add water into a sauce pan and allow it to come to a brisk boil.Once it begins to boil; add the tea leaves.Allow the tea leaves to simmer in the water for about a minute and turn off the heat.Stir in the milk into the chai and allow it to rest for a few seconds. Add 1 tablespoon of Gulkand into each chai cup at the bottom and strain the chai into the cups and serve.Serve the Gulkand Chai Recipe along with Samosa or Vegetable Bajji or Pakora for an evening snack.
</t>
  </si>
  <si>
    <t>https://www.archanaskitchen.com/gulkand-chai-recipe</t>
  </si>
  <si>
    <t>Party Sev Puri Recipe Filled With Potato &amp; Pomegranate Mint Mayo</t>
  </si>
  <si>
    <t>2 Potatoes (Aloo) - boiled,1/2 cup Anardana Powder (Pomegranate Seed Powder),3 tablespoons Del Monte Mint Mayo,1 Onion - finely chopped,1 Green Chilli - finely chopped,1 Lemon - squeezed,Black Salt (Kala Namak) - to taste,1/2 cup Coriander (Dhania) Leaves - finely chopped,25 Papdi puris,Sev - finer one</t>
  </si>
  <si>
    <t xml:space="preserve">To begin making the Party Sev Puri Recipe Filled With Potato &amp; Pomegranate Mint Mayo, first prep all the ingredients and keep them ready.In a large mixing bowl, add potatoes, pomegranates, chili, Del Monte Mint Mayo, onion, half of the coriander leaves, lemon juice and black salt. Mix them all very well. Check the salt and seasoning and adjust according to taste.Arrange 5 to papdi puris on each serving plate, place a spoonful of mixture on the papdi puris and top it with sev.  Garnish with coriander leaves and serve immediately.Make the delicious Party Sev Puri Recipe Filled With Potato &amp; Pomegranate Mint Mayo and serve it at a chaat party along with Moong Sprouts Usal , Hariyali Pav Bhaji and Orange Mocktail  or as a evening tea time snack.
</t>
  </si>
  <si>
    <t>http://www.archanaskitchen.com/party-sev-puri-recipe-filled-with-potato-pomegranate-mint-mayo</t>
  </si>
  <si>
    <t>Roasted Chickpeas Recipe</t>
  </si>
  <si>
    <t>1 1/2 cups Kabuli Chana (White Chickpeas) - soaked in water for 7-8 hours ( overnight),1 teaspoon Cajun spice mix,1 teaspoon Garam masala powder,1 teaspoon Red Chilli flakes,1 teaspoon Dried oregano,2-3 tablespoon Extra Virgin Olive Oil,1 tablespoon Garlic - finely chopped(or garlic paste),Salt - to taste</t>
  </si>
  <si>
    <t xml:space="preserve">To begin making the Roasted Chickpeas, first, Pre-heat the oven to 200 deg Celsius.Brush some olive oil on a non-stick baking sheet.Drain the chickpeas till all the water is removed. Use a kitchen towel to soak off the excess moisture.Whisk together the olive oil, garlic, and salt, in a small bowlToss this together with the chickpeas in a mixing bowl.Spread the chickpeas in an even layer on the baking sheet.Bake till they just start browning about 20-25 minutes. While they are being baked, stir to mix using a spatula once or twice, to ensure even baking.Sprinkle the seasoning and mix so that it evenly coats the chickpeas.Bake Roasted Chickpeas for another 10-12 minutes. Once done remove form the oven and allow to cool before serving.Serve on its own or with chopped onions,herbs, with some mulled apple juice as a snack or just with some Masala Chai Recipe - Indian Spiced Tea to enjoy your evening time.
</t>
  </si>
  <si>
    <t>https://www.archanaskitchen.com/roasted-chickpeas-recipe</t>
  </si>
  <si>
    <t>Chilke Wali Mung Dal Curry Recipe</t>
  </si>
  <si>
    <t>1/2 cup Green Moong Dal (Split),1 Onion - finely chopped,2 cloves Garlic,3 Cloves (Laung),1/2 teaspoon Cumin seeds (Jeera),2 Green Chillies,1/4 teaspoon Turmeric powder (Haldi),1 Tomato - chopped,1 teaspoon Garam masala powder,Salt - to taste,2 tablespoons Ghee - or oil,Coriander (Dhania) Leaves - for garnishing</t>
  </si>
  <si>
    <t xml:space="preserve">To begin making the Chilke Wali Mung Dal Curry recipe, wash and drain the split mung bean dhal. Place in a pressure cooker/pan, add about 1 to 1 ½ cups of water (up to 1 inch above the dhal). Close the pressure pan and cook on high.  After one whistle, lower the heat and cook for about 10 minutes. You can cook the dhal in a saucepan with lots of water till soft and tender.Let the pressure drop on its own. Open the pressure pan and mash the dal. You may choose to make it into a fine paste or leave it a little coarse.In a deep kadai or saucepan, heat oil/ghee. Once the oil is hot, add cumin seeds and cloves; sauté for a few seconds.Add the finely chopped onions along with garlic and green chillies; fry for a few minutes till the onions are slightly soft and translucent.Stir in tomatoes, turmeric powder and garam masala powder.Saute on medium low for a few minutes till the tomatoes are slightly cooked and soft. You will start to see the oil separating from the mixture.At this stage, add the cooked dal along with 1 to 1 ½ cups of water and salt to taste. Give it a good mix and taste for seasoning. Adjust accordingly.Bring to a boil on high and once it comes to a boil, reduce to medium low and simmer for about 3 to 4 minutes till the flavours have blended well and you get the consistency you want.Remove from heat, garnish with finely chopped coriander leaves and serve hot.Chilke Wali Mung Dal goes well with steamed rice, any pulao or biryani and any Indian flat bread like roti, paratha, naan, puri etc.
</t>
  </si>
  <si>
    <t>https://www.archanaskitchen.com/chilke-wali-mung-dal-curry-recipe</t>
  </si>
  <si>
    <t>Sookhi Moong Palak Dal Recipe (Whole Green Moong Gram with Spinach)</t>
  </si>
  <si>
    <t>1 cup Green Moong Dal (Whole) - soaked overnight,1/2 cup Spinach Leaves (Palak) - chopped and boiled,2 Tomatoes,1-1/2 tablespoons Mustard oil,1 teaspoon Cumin seeds (Jeera),2 Onions - chopped,5 cloves Garlic - minced,1 inch Ginger - minced,2 Green Chillies,Salt - to taste,1/4 Onion - few slices,1 Green Chilli - to garnish,Coriander (Dhania) Leaves - few</t>
  </si>
  <si>
    <t xml:space="preserve">To begin making the Sookhi Moong Palak Dal Recipe, first drain the water from the soaked green moong and keep it aside.In a mixer-grinder, add the spinach and tomatoes and puree them together. Keep this aside.Heat the mustard oil in an iron kadhai and add the jeera seeds to it. When they start sputtering, add the onions and fry until they are soft and lightly browned.Add the garlic, ginger and green chillies and saute for a few seconds until you can smell the aromas coming through.Next, add the spinach-tomato puree along with salt and cook for 2 minutes.To this, add the drained dal and cook on high heat, stirring often, for 5 minutes.Reduce the flame to low, cover and cook undisturbed for 20 minutes. Remove the lid and check the to see if the dal is cooked. It should be soft and cooked but still hold its form and have some bite to it.At this stage, you can take the lid off completely and cook on low heat until all the liquid has been absorbed/evaporated and the spinach coats the dal, which will take approximately 15 minutes. Ensure that you stir often at this stage to avoid the sabji from sticking and burning.Remove from heat and serve the Sookhi Moong Palak Dal garnished with sliced onions, green chillies and coriander along with Raita for a wholesome weeknight dinner.
</t>
  </si>
  <si>
    <t>https://www.archanaskitchen.com/sookhi-moong-palak-dal-recipe-whole-green-gram-with-spinach</t>
  </si>
  <si>
    <t>Potato Stuffed Dal Dhokli Recipe</t>
  </si>
  <si>
    <t>1 cup Whole Wheat Flour,Salt - to taste,1 tablespoon Sunflower Oil,Whole Wheat Flour - for rolling,3 Potato (Aloo) - boiled and mashed,1 tablespoon Red Chilli powder,1/2 tablespoon Garam masala powder,2 tablespoon Coriander (Dhania) Leaves - chopped,1 tablespoon Sugar - optional,1/2 tablespoon Lemon juice,1 cup Arhar dal (Split Toor Dal) - boiled and ground,1/4 tablespoon Turmeric powder (Haldi),1/3 cup Raw Peanuts (Moongphali) - boiled,Salt - to taste,1 Tomato - finely chopped,1 Green Chilli - finely chopped,1 inch Ginger - grated,1/2 tablespoon Lemon juice,3 tablespoon Jaggery - chopped,1 tablespoon Sunflower Oil,1/2 tablespoon Mustard seeds,1/2 tablespoon Cumin seeds (Jeera),1/4 teaspoon Asafoetida (hing),10 Curry leaves,2 Dry Red Chillies,1 Cinnamon Stick (Dalchini),2 Cloves (Laung),1 Bay leaf (tej patta),4 tablespoon Coriander (Dhania) Leaves - chopped</t>
  </si>
  <si>
    <t xml:space="preserve">To prepare Potato Stuffed Dal Dhokli Recipe, get prep with all the ingredients mentioned and proceed with making the dumplings. Start with sieving the flour with salt and knead into a semi-stiff dough with enough water.Cover the dough with a lid and keep aside for 10-15 minutes. Meanwhile prepare filling for dumplings. Take boiled and mashed potato in one bowl, add salt to taste, chilli powder, turmeric powder, chopped coriander, Garam masala, lemon juice and sugar(optional).Mix all spices well into potato. Make medium sized balls from the potato mixture.Make about 10-15 equal small sized balls from the dough.Roll out into 3-4 inches diameter roti base with a rolling pin, place the potato ball in center of roti. This rolled out roti dough should be thinner, like the thickness of regular chapati.Bring together all the edges in the center and join them. Cover whole potato roll with roti, remove the excess dough if necessary. Try to avoid thick covering around the stuffing.Similarly, prepare 10-15 dumplings till all the filling is used up and cover with a plate.For Lentil CurryTo make lentil curry, clean, wash and drain the lentils. Combine the lentil, about 2 cups of water, &amp; turmeric powder in a pressure cooker and cook for 3 whistles.Combine the cooked dal and a cup of hot water in a tall mixing bowl and blend it well using a hand blender till smooth. Add enough water and mix very well.Place the mixture in a shallow frying pan on the flame and add turmeric powder, peanuts boiled, salt to taste, tomato, green chilli, ginger, lemon juice, &amp; jaggery.Mix well and cook on a medium flame for 10 to 15 minutes, while stirring occasionally.Now add prepared dumplings gently into dal, and cook them for another 15 minutes, once dumplings are starting to come at top of dal, it is almost cooked.Meanwhile, for the tempering, heat the oil in a small non-stick pan, add mustard seeds and cumin seeds, allow them to crackle.When the seeds crackle, add the asafoetida, curry leaves, red chillies, cinnamon, cloves, bay Leaf and sauté on medium till aromatic.Add this tempering to the dal, mix well and cook on a medium flame for 2 to 3 minutes, while stirring occasionally.After adding tempering cook for 5 minutes and now it is ready to serve.Serve Potato Stuffed Dal Dhokli Recipe along with Masala Khichia Recipe (Spicy Corn Flour Papad) for a meal in itself.
</t>
  </si>
  <si>
    <t>https://www.archanaskitchen.com/potato-stuffed-dal-dhokli-recipe</t>
  </si>
  <si>
    <t>Paneer In Coconut Gravy Recipe</t>
  </si>
  <si>
    <t>2 cups Paneer (Homemade Cottage Cheese) - cut into 1/2 inch cubes,1 Onion - finely chopped,2 Tomatoes - finely chopped,1 teaspoon Garam masala powder,Salt - to taste,3/4 Water,2 tablespoons Butter,1 tablespoon Coriander (Dhania) Seeds,1/2 tablespoon Cumin seeds (Jeera),4 Dry Red Chillies,3 cloves Garlic - finely chopped,1 1/2 inch Ginger - finely chopped,1 Onion - diced,1/3 cup Fresh coconut - grated</t>
  </si>
  <si>
    <t xml:space="preserve">To begin making the Paneer In Coconut Gravy Recipe, we need to first prepare the masala for the gravy.In a heavy bottomed pan, add coriander seeds, cumin seeds and dry red chillies on a low flame. Roast the spices until they turn aromatic. Turn off the flame and allow it to cool. In another pan, add one tablespoon of butter. Once the butter has melted, add chopped garlic, ginger and saute until the aroma wafts through the air. Next, add the chopped coconut pieces and saute till raw smell of coconut goes away. Finally, add diced onion and fry till they turn translucent, turn off heat and allow it to cool. In a mixie jar, add dry roasted spices and grind into coarse powder. To the ground powder, add onion ginger, garlic and coconut mixture and grind smooth into a paste. To this ginger garlic onion and coconut mixture, add little salt and mix well. Marinate the diced paneer cubes in this paste for half hour.In the meantime, in a pan, add remaining butter and saute onions until they turn soft.Add finely chopped tomatoes and salt. Mix well and cook covered on low heat until the tomatoes turn soft and mushy. Mash tomatoes with the back of a ladle and cook till the tomato mixture looks like a paste. Add garam masala and saute until the masala combines well into the mixture. To this mixture, add paneer along with the marination, about 1/4 cup of water and mix well. Add salt according to taste.Cook the Paneer gravy covered on low heat for 5 to 7 minutes. Add little more water to adjust the consistency according to your preference. Finally, add kasuri methi to the Paneer In Coconut Gravy recipe and give it all a good mix. Once done turn off the heat and check the spices and salt. Adjust according to taste.Serve this Paneer In Coconut Gravy along with hot Phulkas or even Jeera Rice along with a Kala Chana Salad to make it a complete North Indian Style Dinner. 
</t>
  </si>
  <si>
    <t>http://www.archanaskitchen.com/paneer-in-coconut-gravy-recipe</t>
  </si>
  <si>
    <t>Corn Salad With Radishes, Jalapeño And Lime In Mint Mayo Recipe</t>
  </si>
  <si>
    <t>1 cup Sweet corn - steamed,4 Red baby radish - thinly sliced,2 Pickled Jalapenos - chopped,2 teaspoons Lemon juice,4 tablespoons Del Monte Mint Mayo,1 tablespoon Coriander (Dhania) Leaves - finely chopped,Salt - to taste,1 teaspoon White pepper powder</t>
  </si>
  <si>
    <t xml:space="preserve">To begin making the Corn Salad With Radishes, Jalapeño and Lime in DelMonte Mint Mayonnaise recipe, boil corns and keep aside.Transfer the boiled corns to a plate or bowl.AddAdd DelMonte Mint Mayonnaise, salt and pepper, give it a mix.Now add radish slices, Jalapenos, coriander leaves, mix.Serve Corn Salad With Radishes Jalapeño And Lime In Mint Mayo Recipe immediately as an evening snack or as side dish.
</t>
  </si>
  <si>
    <t>http://www.archanaskitchen.com/corn-salad-with-radishes-jalapeno-and-lime-in-delmonte-mint-mayonnaise-recipe</t>
  </si>
  <si>
    <t>Potato Paneer Curry Without Onion And Garlic Recipe (Vrat Wale Aloo Paneer)</t>
  </si>
  <si>
    <t>8 Potatoes (Aloo) - cut into medium sized pieces,250 grams Paneer (Homemade Cottage Cheese) - cut into medium cubes,5 Tomatoes,2 inch Ginger - grated,3 Green Chillies - finely chopped,1 teaspoon Red Chilli powder,1 teaspoon Coriander Powder (Dhania),1 teaspoon Cumin powder (Jeera),Salt - to taste,Sunflower Oil - as required,Coriander (Dhania) Leaves - as required</t>
  </si>
  <si>
    <t xml:space="preserve">To begin making the Potato Paneer Curry Without Onion And Garlic recipe, in a blender, add the tomatoes and 2 inch ginger pieces along with the green chillies. Make a coarse puree and set aside.In a pressure cooker, heat 2 tablespoon of vegetable oil and add 1 tablespoon of grated ginger.Saute the ginger until it releases its fragrance, about a minute.Then add the puree and saute for about 10 minutes or until most of the water has evaporated.Add 1 teaspoon of red chilli powder, coriander powder and salt. Saute for another 5 minutes or until the water has completely evaporated.Add the potatoes next and saute for 2 min. Then add 2 cups of water and the roasted cumin powder.Stir, close the lid and allow one whistle. Turn off the flame and let the pressure diffuse on its own.(If cooking in a pot cook until the potatoes are fully cooked.)Open the lid and bring the curry to a boil, then add the paneer cubes. Cook for 2 minutes and finish the dish with lots of fresh coriander.Serve Potato Paneer Curry Without Onion And Garlic along with Rajgira Puri for the fasting days.
</t>
  </si>
  <si>
    <t>https://www.archanaskitchen.com/potato-paneer-curry-without-onion-and-garlic-recipe-vrat-wale-aloo-paneer</t>
  </si>
  <si>
    <t>Chickpea Coconut Milk Curry Recipe</t>
  </si>
  <si>
    <t>1 cup Kabuli Chana (White Chickpeas) - soaked for 8 hours,1 Onion - finely chopped,1 inch Ginger - finely chopped,4 cloves Garlic - finely chopped,1/2 cup Homemade tomato puree,1/4 cup Coconut milk,1/2 teaspoon Turmeric powder (Haldi),1 teaspoon Red Chilli powder,1 teaspoon Cumin powder (Jeera),1 teaspoon Coriander Powder (Dhania),1 teaspoon Garam masala powder,1 teaspoon Chaat Masala Powder,1 tablespoon Ghee,Salt - to taste</t>
  </si>
  <si>
    <t xml:space="preserve">To begin making Chickpea Coconut Milk Curry Recipe, first soak 1 cup of chickpeas overnight in required water.Next day, transfer the chole along with 3 cups of water into a pressure cooker with some salt, close the pressure cooker. Pressure cook for 6-8 whistles and turn off the flame. Allow the pressure to release naturally before you open the pressure cooker.Now to make Chickpea Coconut Milk Curry; heat ghee in a heavy bottom pan. Add the ginger, garlic and onions and saute till onions become tender. This will take about three minutes. Next add the tomato puree and bring it to a brisk boil. Add the coconut milk and all the dry spice powders including turmeric powder, red chilli powder, cumin powder, coriander powder, garam masala, chaat masala, salt to taste and stir. Add the cooked Kabuli chana to the tomato coconut milk gravy and combine well. Cover and simmer Chickpea Coconut Milk Curry for 4 to 5 minutes and turn off the heat. Check the salt and spices and adjust according to your taste.Transfer the Chickpea Coconut Milk Curry into a serving bowl and serve hot.Serve Chickpea Coconut Milk Curry Recipe along with Steamed Rice and Mint And Pomegranate Raita for a comforting lunch.
</t>
  </si>
  <si>
    <t>http://www.archanaskitchen.com/chickpea-coconut-milk-curry-recipe</t>
  </si>
  <si>
    <t>Vegan Kofta Curry Recipe</t>
  </si>
  <si>
    <t>1/4 cup Carrot (Gajjar) - grated,1/4 cup Green zucchini - grated,1/4 cup Cabbage (Patta Gobi/ Muttaikose) - grated,1/4 cup Bottle gourd (lauki) - grated,1/4 cup Beetroot - grated,1/4 cup Tofu - grated,1 teaspoon Ginger Garlic Paste,1 teaspoon Green Chilli Paste,2 tablespoon Multigrain flour - or besan,1/2 teaspoon Coriander Powder (Dhania),1/2 teaspoon Cumin powder (Jeera),2 teaspoon Rice flour,1/4 teaspoon Asafoetida (hing),1/2 teaspoon Amchur (Dry Mango Powder) - optional,Salt - to taste,Sunflower Oil - for frying (as required),2 Onions - roughly chopped,4 Tomatoes - blanched,8 Cashew nuts - soaked in warm water for 30 minutes,1 teaspoon Garam masala powder,1 teaspoon Red Chilli powder,1 teaspoon Cumin seeds (Jeera),1 teaspoon Ginger Garlic Paste,1/2 teaspoon Sugar,1 tablespoon Sunflower Oil,Salt - to taste,Coriander (Dhania) Leaves - for garnish (as required)</t>
  </si>
  <si>
    <t xml:space="preserve">To begin making the Vegan Kofta curry recipe, first add all the ingredients under ‘For the koftas’ except oil in a mixing bowl.Mix and make lime sized balls of the mixture (adjust the amount of besan if required, so that the mixture is easy to handle)Heat oil in a wok and deep fry the koftas till golden brown.Take out with a slotted spoon and drain on absorbent paper. Alternatively, shallow fry in appe patra/paniyaram pan with a drizzle of oil till it is evenly browned, flipping once in between.To make the gravy- Blend the onion, tomato, cashew nuts separately in a Blender to a fine pasteHeat oil in a Kadai. Add the cumin seeds. Once they sizzle add the onion and ginger garlic paste.Fry, stirring continuously till the paste turns brown.Add the tomato paste and cook till the water evaporates and you can see the oil oozing out.Add garam masala, red chilli powder and mix. Saute for a few seconds.Add the cashew paste, sugar and salt.Mix and add enough water to get the desired consistencyBoil the gravy for a couple of minutes.To serve, pour the gravy in a serving bowl. Place the koftas in it and garnish Vegan Kofta curry recipe with fresh coriander leaves.Serve Vegan Kofta curry recipe with Tandoori Roti or Naan for dinner.
</t>
  </si>
  <si>
    <t>http://www.archanaskitchen.com/vegan-kofta-curry-recipe</t>
  </si>
  <si>
    <t>Sweet Potato Dal Recipe</t>
  </si>
  <si>
    <t>1 cup Masoor Dal (Whole),1 cup Sweet Potatoes - cubed,1 tablespoon Coconut Oil - or any other oil,2 Onion - finely chopped,1 Tomato - finely chopped,1 teaspoon Cumin seeds (Jeera),4 Green Chillies - slit lengthwise,5 Garlic - peeled and chopped,1-1/2 teaspoon Turmeric powder (Haldi),1 teaspoon Red Chilli powder,1 teaspoon Garam masala powder,6 Curry leaves,1/2 teaspoon Salt - (adjust according to your taste),2 cups Water,1 teaspoon Sunflower Oil,1/2 teaspoon Cumin seeds (Jeera),1/2 teaspoon White Urad Dal (Split),1/2 teaspoon Mustard seeds,Coriander (Dhania) Leaves - Few sprigs</t>
  </si>
  <si>
    <t xml:space="preserve">To begin making the Sweet Potato Dal recipe, wash masoor dal with water and soak in water for about an hour.In a pressure cooker, add dal, a cup of water and pressure cook for about 2 whistles. Set aside.In a non-stick pan, add oil and heat over medium flame.Add cumin seeds to the oil and wait till the seeds splutter.Now, add green chilies and garlic. Fry until the garlic becomes brownish.Gently add sliced onions and fry till they are translucent. Add chopped tomatoes and cook until they become mushy.Now, add the mentioned spice powders and combine them well.Add potato pieces and stir them until the spices are blended evenly with the potato.Add water and cook on high flame until the potato pieces are cooked well.Add the cooked dal to the pan. Adjust water according to your required consistency.Season it with salt. Reduce the flame and cook on medium flame for about 5 minutes, until the dal are blended with potatoes and spices. Switch off the flame and set asideIn a small pan, add oil. Once the oil is hot, add mustard seeds followed by urad dal and cumin seeds.Let the mustard seeds sizzle and cumin seeds turn brownish.Add the tempered oil to the dal and give a stir. Garnish with coriander leaves.Prepare this Sweet Potato Dal and serve with steamed rice with a dollop of ghee or jeera rice and Kachumber Salad for a simple and comforting weekday meal.
</t>
  </si>
  <si>
    <t>https://www.archanaskitchen.com/sweet-potato-dal-recipe</t>
  </si>
  <si>
    <t>Bihari Shakarkand Bhujiya Recipe - Spicy Sweet Potato Sabzi</t>
  </si>
  <si>
    <t>2 Sweet Potatoes - peeled and cut into thin strips,1 teaspoon Turmeric powder (Haldi),1 teaspoon Cumin seeds (Jeera),2 Green Chillies - slit into halves,1-1/2 tablespoon Mustard oil,Salt - to taste</t>
  </si>
  <si>
    <t xml:space="preserve">To begin making the Bihari Shakarkand Bhujiya recipe, wash and peel sweet potatoes.And cut them into one inch long stick pieces similar to the one for finger chips. In a non-stick wok, add mustard oil; Once the oil is hot, add cumin seeds. Allow it to splutter.Now, add green chilies and saute it. Stir in the chopped potatoes and turmeric powder. Season it with salt.Reduce the flame. Cook until the sweet potatoes are cooked completely. Towards the end, when the sweet potatoes have almost cooked, open the lid and allow it to become crispy.At this stage you can optionally add more mustard oil and then sprinkle some more salt. Ensure you keep stirring occasionally so the Bihari Shakarkand Bhujiya gets cooked from all the sides.Once done, turn off the heat and transfer the Bihari Shakarkand Bhujiya to serving bowl.Serve the Bihari Shakarkand Bhujiya and serve with Whole Wheat Lachha parathas and Boondi raita for a weekday meal.
</t>
  </si>
  <si>
    <t>https://www.archanaskitchen.com/bihari-shakarkand-bhujiya-recipe</t>
  </si>
  <si>
    <t>Kurkure Karela Sabzi Recipe - Crispy Karela Bhujiya</t>
  </si>
  <si>
    <t>4 Karela (Bitter Gourd/ Pavakkai) - cut into thin strips,1 teaspoon Salt - or to taste,1 tablespoon Mustard oil,1 tablespoon Fennel seeds (Saunf),1 teaspoon Turmeric powder (Haldi),1 tablespoon Coriander Powder (Dhania),1 teaspoon Red Chilli powder - or to taste,2 teaspoons Amchur (Dry Mango Powder)</t>
  </si>
  <si>
    <t xml:space="preserve">To begin making the Kurkure Karela Sabzi Recipe, wash Karela thoroughly, peel the skin using a peeler and cut the karela into thin strips. Remove the seeds if any.In the mixing bowl, combine the thin karela strips and the peels, add salt and give it a good mix and allow it to rest for about 20 minutes.Heat a heavy bottomed pan on medium flame, add mustard oil. Once the mustard oil begins to smoke, turn down the heat and add the fennel seeds, let these sizzle. Add the marinated karela peels and slices, and mix gently. At this stage, add the dry spices - turmeric powder, amchur powder, red chilli powder, and coriander powder. Mix well. Cover and cook for five minutes and then cook it without the lid on a very low heat for 15-20 minutes until the Karela Sabzi becomes crispy. Serve Kurkure Karela Sabzi Recipe along with a Gujarati Dal, Steamed Rice and Carrot Cucumber Tomato Salad with Lemon and Coriander for a hearty lunch or dinner. 
</t>
  </si>
  <si>
    <t>https://www.archanaskitchen.com/dry-crispy-kurkure-karela-sabzi-recipe</t>
  </si>
  <si>
    <t>Indian Beaten Coffee Recipe | Dalgona Coffee</t>
  </si>
  <si>
    <t>2 tablespoons Instant Coffee Powder,2 tablespoons Sugar,2 tablespoons Water,3/4 cup Milk - chilled,Cinnamon Powder (Dalchini) - a pinch to garnish,Instant Coffee Powder - a pinch to garnish</t>
  </si>
  <si>
    <t xml:space="preserve">To begin making the Indian Beaten Coffee/ Dalgona Coffee, in a medium mixing bowl add the instant coffee powder, sugar and hot water. Using the hand mixer with the whisk attachment, beat the coffee for 3 to 4 minutes until you get a whipped cream with stiff peak consistency. Once the coffee gets a stiff cream consistency, stop whisking and keep aside.You can make it either hot or cold, but using hot milk or cold milk. If you are planning to have it hot, then warm some milk in a sauce pan and bring to a brisk boil.Pour this milk into the coffee cup until 3/4th full. Spoon the whipped coffee cream over the milk and sprinkle cinnamon or coffee powder over it and serve immediately.If you are planning to have it cold, then add a few ice cubed to the bottom of the coffee cup, pour the chilled milk into the coffee cup until 3/4th full.Spoon the whipped coffee cream over the milk and sprinkle cinnamon or coffee powder over it and serve immediately.When you drink the Indian Beaten Coffee/ Dalgona Coffee , you can give the whipped cream a light stir into the milk and enjoy the creaminess along with subtle flavours of coffee which will seep into the milk.Serve Indian Beaten Coffee/ Dalgona Coffee along with Atta Biscuit during your coffee break.
</t>
  </si>
  <si>
    <t>https://www.archanaskitchen.com/espresso-coffee-recipe-homemade-no-machine-espresso-coffee</t>
  </si>
  <si>
    <t>Guilt Free Coconut Barfi Recipe</t>
  </si>
  <si>
    <t>1/2 cup Badam (Almond) - powdered,15 Dates - seedless,3/4 cup Dessicated Coconut - + little extra for garnishing,3 tablespoons Milk,1 tablespoon Ghee - /clarified butter + a little extra for greasing the plate,1 teaspoon Cardamom Powder (Elaichi)</t>
  </si>
  <si>
    <t xml:space="preserve">To prepare Guilt Free Coconut Barfi, get ready with all the ingredients and grease your plate or pan where you will be removing your barfi dough to cut into shapes.Make almond powder. I prepared the powder at home in a mixer grinder, you can also use store bought one.Using 3 tablespoons milk, make a thick puree of Dates by wet grinding it in the mixer.Heat a tablespoon ghee in a saucepan kept on medium high and once the ghee melts, add dates puree. Sauté it for about 5 minutes.Add almonds powder and mix well. It should form a nice and dry dough.Add Coconut and mix well for about 2 minutes and switch off the flame.Add cardamom powder and mix.Pour this barfi mixture on the greased plate or pan that you had prepared.Press and spread the recipe well with a spoon.Sprinkle some dry desiccated coconut on top for garnishing and press with your palm.Give the cuts using knife. You can give square or diamond shaped cuts.Let them cool completely and only then, remove the pieces of guilt free coconut barfi out and serve along a nice Indian menu to make your weekday meal memorable.
</t>
  </si>
  <si>
    <t>https://www.archanaskitchen.com/guilt-free-coconut-barfi-recipe</t>
  </si>
  <si>
    <t>Lehsuni Tikki Recipe</t>
  </si>
  <si>
    <t>7 Potatoes (Aloo) - boiled,1/2 cup Paneer (Homemade Cottage Cheese) - grated,10 Cashew nuts - finely chopped,1 Onion - finely chopped,10 cloves Garlic - finely chopped,2 Green Chillies - finely chopped,1 tablespoon Coriander (Dhania) Leaves - finely chopped,1 tablespoon Corn flour,1/4 teaspoon Red Chilli powder,Sunflower Oil - for frying,Salt - to taste</t>
  </si>
  <si>
    <t xml:space="preserve">To begin making Lehsuni Aloo Tikki Recipe, wash and boil the potatoes in enough water. Once cooked, peel the skin and keep aside. You can also pressure cook the potatoes for 2 whistles and allow the pressure to release naturally. Peel the skin and keep aside. To prepare the outer layer of the Lehsuni Aloo Tikki, in a large bowl add in the boiled potatoes and mash them well. Add cornflour, season with salt and mix well. Divide them into 12 equal portions and keep aside.To prepare the inner filling for the tikkis, take a small bowl, mix together grated paneer, garlic, onion, green chillies, coriander, red chilli powder, season with salt and keep aside.To prepare the Tikkis, take a ball of the boiled potatoes and flatten it out in your palm. Add a spoonful of the paneer filling into the potato mix, seal it from all sides. Form a firm ball, flatten it out to tikki size between your palms and keep aside.Likewise, fill the rest of the potato mix with the paneer mix and make tikkis and place it in the plate.Refrigerate the prepared plate full of tikkis for 10 minutes.Heat a skillet, pour a tablespoon of oil, once hot enough, shallow fry 4 tikkis at a time till it turns golden on the bottom.Slowly flip the tikkis over and cook the other side till it becomes crisp and golden. Take it out in a plate layered with the kitchen towel to drain the excess oil out.Similarly, prepare the rest of the Lehsuni Aloo Tikkis.Serve the Lehsuni Aloo Tikki Recipe along with Spicy Green Chutney and a cup of hot Ginger Tea as a tea time snack 
</t>
  </si>
  <si>
    <t>https://www.archanaskitchen.com/lehsuni-tikki-recipe</t>
  </si>
  <si>
    <t>Thandai Shrikhand Tart Recipe</t>
  </si>
  <si>
    <t>1-1/2 cups All Purpose Flour (Maida),1 pinch Salt,1/4 Cardamom Powder (Elaichi),1/4 teaspoon Cinnamon Powder (Dalchini),1 teaspoons Black pepper powder,1 pinch Nutmeg powder,5 tablespoons Butter (unsalted) - cold,1/4 cup Fresh coconut - grated,2 tablespoons Badam (Almond) - blanched and peeled,2 tablespoons Cashew nuts,2 tablespoon Pistachios,1 teaspoon Poppy seeds,1/4 cup Sugar - powdered,Chilled water,2 cups Shrikhand,Pistachios - few for garnishing,Mixed fruits - Assortment of fruits like</t>
  </si>
  <si>
    <t xml:space="preserve">To begin making the Thandai Shrikhand Tart Recipe, first prepare the shrikhand according to the Shrikhand recipe and keep it refrigerated for at least 4 hours.The next step is to make the Thandai Flavored Tart recipe.Powder the nuts together until you get a coarse mixture.In a large mixing bowl, add all the ingredients including the powdered nuts, chilled butted and knead well till you get a coarse crumb like mixture.Add a little cold water at a time and knead to make a firm dough. Take care to add a tablespoon of cold water at a time.Once the thandai tart dough is ready, cover it with cling film and keep it in the refrigerator for 30 minutes.Preheat the oven at 180 degrees and line a parchment paper in a 7" tart pan.Take out the dough from the fridge. Dust the surface with flour and roll the tart dough to make a circle large enough to fit the 7 inch tart pan.Now carefully invert the rolled dough over the tart mould. Press the dough on to the sides and bottom of the tart pan.Prick the tart dough with a fork all around and place it in the preheated oven to bake for about 30 to 40 minutes until you notice the tart is browned and golden in color.Once tart is baked, remove it from the oven and allow it to cool completely. Keep the Thandai tart in its pan.Once the Thandai tart is cooled, pour the shrikhand mixture over the tart and tap the pan gently on the counter to release any air bubbles.Top the Thandai tart with your choice of fresh fruit or berries before serving.Sprinkle nutmeg powder and pistachios on it and enjoy this fruity flavoured Thandai Shrikhand Tart Recipe for Holi Festival or any other special occasion.
</t>
  </si>
  <si>
    <t>https://www.archanaskitchen.com/thandai-shrikhand-tart-recipe</t>
  </si>
  <si>
    <t>Paneer Satay Recipe</t>
  </si>
  <si>
    <t>500 grams Paneer (Homemade Cottage Cheese) - cut lengthwise of 1 inch thickness,1 inch Ginger - grated,3 cloves Garlic - grated,1/2 teaspoon Turmeric powder (Haldi),2 tablespoons Dark soy sauce,1 tablespoon Sesame (Gingelly) Oil,Salt - to taste</t>
  </si>
  <si>
    <t xml:space="preserve">To begin making the Paneer Satay Recipe, combine the marinade ingredients including ginger, garlic, turmeric powder, dark soy sauce, sesame oil and salt in a large bowl.Add the paneer and toss gently to coat the paneer well with the  marinade. Let the paneer marinate for about 30 minutes or you can refrigerate overnight if you plan to make it the next day.I like to roast the paneer on a stove top grill, you can also do it in the oven that is preheated at 200 C.Place the paneer on the preheated skillet and roast it until it is evenly browned on all sides. Keep drizzling some of the marinade as the paneer is roasting, so it absorbs additional flavors.The paneer satay is done when it is has a golden brown color. Transfer the paneer satay onto a serving plate and serve hot.Serve this delicious Paneer Satay Recipe along with Peanut Dipping Sauce as a party appetisers.
</t>
  </si>
  <si>
    <t>http://www.archanaskitchen.com/paneer-satay-recipe-healthy-vegetarian-appetizer</t>
  </si>
  <si>
    <t>Chawli Ki Phali &amp; Aloo Sabzi Recipe</t>
  </si>
  <si>
    <t>300 grams Green Chawli Beans (Yard long beans/Karamani/Barbati) - cut into 2 inch long,2 Potatoes (Aloo) - peeled cut into 2 inch long,1 teaspoon Fennel seeds (Saunf),21/2 teaspoon Coriander Powder (Dhania),2 teaspoons Red Chilli powder,1 teaspoon Turmeric powder (Haldi),1 teaspoon Amchur (Dry Mango Powder),3 teaspoons Gram flour (besan),Sunflower Oil,Salt - to taste</t>
  </si>
  <si>
    <t xml:space="preserve">To begin making the Chawli Ki Phali &amp; Aloo Sabzi Recipe, pressure cook the yard beans with little bit of water and salt for about 1 whistle and keep it aside.Allow the pressure to release naturally and strain the water. Heat a skillet with oil, add fennel seeds and allow it to crackle.Add potatoes and saute them till they crisp up and is cooked. You can cover it with the lid and cook for about 5 minutes.Add cooked yard beans along with all the spice powders and give it a mix keep cooking till the masala loses the raw smell.Add besan and salt and mix Chawli Ki Phali &amp; Aloo Sabzi well, saute for another 5 minutes and switch off the heat.Serve the Chawli Ki Phali &amp; Aloo Sabzi Recipe along with Phulka or tawa paratha, kadhi to make a complete meal.
</t>
  </si>
  <si>
    <t>http://www.archanaskitchen.com/chawli-ki-phali-aloo-subzi-recipe</t>
  </si>
  <si>
    <t>Navratan Korma Recipe</t>
  </si>
  <si>
    <t>5 Cashew nuts,5 Badam (Almond),1 tablespoon Melon seeds,1 Onion - finely chopped,1 Tomato - chopped,1-1/2 cup Mixed vegetables - (potato,1/2 tablespoon Ginger Garlic Paste,3/4 cup Coconut milk,1/2 teaspoon Turmeric powder (Haldi),1/2 teaspoon Red Chilli powder,1 teaspoon Coriander Powder (Dhania),1 teaspoon Garam masala powder,Salt - to taste,2 tablespoons Ghee - or oil,2-3 tablespoons Anardana Powder (Pomegranate Seed Powder) - Seeds,1 tablespoon Cashew nuts,1 tablespoon Raisins,1 tablespoon Ghee</t>
  </si>
  <si>
    <t xml:space="preserve">To begin with Navratan Korma, soak cashew, almond and melon seeds in water for 30 minutes to prepare a paste. Drain the water completely.Peel off the almond skin and blend all in a mixer to smooth paste adding a little water. Keep it aside.Heat 2 tablespoons ghee or oil in a pan or a kadhai. Add chopped onions and saute a while. Next, add ginger-garlic paste and stir well.Add tomato and give a stir. Add turmeric powder, chilli powder and coriander powder and mix well everything. Add ground paste and 1/4 cup water.Cook it uncovered for 2 mins and add mixed vegetables and 1 cup water. Cook it covered on low-medium flame for 10-15 minutes.Add coconut milk, garam masala and salt to taste. Mix well everything and cook again for another 10 minutes.Meanwhile, roast cashew and raisin in ghee and add this to the korma. Garnish with pomegranate seeds and your dish is ready to be served.Serve Navratan Korma with Whole Wheat Lachha Parathas and Mushroom Pulav for a delicious lunch or dinner.
</t>
  </si>
  <si>
    <t>http://www.archanaskitchen.com/navratan-korma-recipe</t>
  </si>
  <si>
    <t>Kali Mirch Singhare Ki Sabzi Recipe</t>
  </si>
  <si>
    <t>300 grams Singhade (water chestnut),1 teaspoon Mustard seeds,1 sprig Curry leaves,1 teaspoon Black pepper powder,1/2 teaspoon Turmeric powder (Haldi),1 pinch Asafoetida (hing),Salt - to taste,Sunflower Oil</t>
  </si>
  <si>
    <t xml:space="preserve">To begin making the Kali Mirch Singhare Ki Sabzi Recipe, pressure cook the water chestnuts along with their outer layer. Add about 1 cup of water and pressure cook for at least 4 whistle.Once done, peel the skin out and chop them into small pieces. Heat a kadai with oil, add mustard seeds and allow it crackle.Add in curry leaves, hing and let the curry leaves splutter for few seconds. Add cooked water chestnuts and sprinkle with pepper powder, turmeric powder, salt and stir fry for at least 5 minutes and switch it off.Serve the Kali Mirch Singhare Ki Sabzi Recipe along with Pineapple Rasam, Steamed Rice to make to a complete meal after fasting.
</t>
  </si>
  <si>
    <t>https://www.archanaskitchen.com/kali-mirchi-singhade-ki-subzi-recipe</t>
  </si>
  <si>
    <t>Makhana ki Sabzi Recipe</t>
  </si>
  <si>
    <t>2 cups Phool Makhana (Lotus Seeds),1/4 cup Green peas (Matar),1 teaspoon Ginger - grated,2 + 1 Onion - chopped,6 Cashew nuts,1 tablespoon Poppy seeds,1 tablespoon Pumpkin seeds,1 Bay leaf (tej patta),1 Cardamom (Elaichi) Pods/Seeds,1 inch Cinnamon Stick (Dalchini),2 Cloves (Laung),1 Green Chilli,1 teaspoon Red Chilli flakes,2 tablespoon Fresh cream,1 tablespoon Ghee,Sunflower Oil - to cook</t>
  </si>
  <si>
    <t xml:space="preserve">To start making Makhana ki Sabzi Recipe, get all the ingredients handy. Pressure cook 2 onions, cashews, magaj and poppy seeds along with enough water. Blend it into a smooth paste in a mixer grinder and set aside.In a pan heat the ghee and add Makhana to it. On a medium flame roast the Makhana till they crisp up completely.When you eat them it should be crunchy till the centre and should not be chewy. Set aside.Heat oil in a pan. Add bay leaf, cinnamon, cloves, cardamom and sauce it till they give out a nice aroma.Add green chilli and 1 chopped onion and saute till the onion turns light goldAdd fresh green peas and saute for a minute.Add the ground paste, red chilli flakes and saute for a minute.Add 2 cups of water, grated ginger and let it boil for a couple of minutes.Add roasted Makhana to this and let it soak up the liquid and get soft.You will see that the Makhana shrinks in size. Turn off heat.Serve Makhana ki Sabzi with hot with roti, whole wheat naan, butter naan or phulkas to make a filling lunch or dinner.
</t>
  </si>
  <si>
    <t>http://www.archanaskitchen.com/makhana-ki-sabzi-recipe</t>
  </si>
  <si>
    <t>Achari Gobi Shimla Mirch Ki Sabzi Recipe - Capsicum And Cauliflower Sabzi</t>
  </si>
  <si>
    <t>1 Cauliflower (gobi) - cut into florets,2 Green Bell Pepper (Capsicum) - diced,3 Tomatoes,1 Onion - finely chopped,1 teaspoon Coriander Powder (Dhania),1 teaspoon Cumin powder (Jeera),1 tablespoon Garlic - paste,1 tablespoon Sunflower Oil - use the pickle oil for more flavour,2 teaspoons Mustard seeds,3/4 teaspoon Methi Seeds (Fenugreek Seeds),2 tablespoons Lemon juice,Salt - to taste,2 teaspoons Red Chilli powder - adjustable</t>
  </si>
  <si>
    <t xml:space="preserve">To begin making the Achari Gobi Shimla Mirch Ki Sabzi recipe, cut the cauliflower into bite size florets.Dry roast mustard seeds and fenugreek seeds separately in a small pan for about a minute each. Add it into a mixer grinder jar, grind into smooth powder and keep aside. The achari masala for Gobi Shimla Mirch Ki Sabzi is ready.Add tomatoes and required water in a saucepan and boil tomatoes until the skin comes out. Remove skin, cool tomatoes and grind into smooth puree using a mixer grinder jar.In a heavy bottomed pan, heat oil. Once the oil is hot, add the finely chopped onions and cook till the onions become soft and translucent.Once the onions are soft, add the ginger paste and let it cook for about 2 minutes.Next, add capsicum and fry until the capsicum becomes soft. Add cauliflower florets, salt, mix well and cook closed until cauliflower is 80% done.Now, add in tomato puree and mix well. Cook for about 3 to 4 minutes.Then, add dry spice powders including coriander powder, cumin powder, red chilli powder, prepared mustard and methi seeds powder and give it a quick mix.If the gravy is too thick, add 5 tablespoons of water. Cover the pan with a lid and let it cook for about 6 to 8 minutes. Finally, add lemon juice, mix well and it is ready to be served.Serve Achari Gobi Shimla Mirch Ki Sabzi along with Dal Banjara, Lauki Raita, Tomato Pulav, Phulka and Satvik Carrot Sprouts Salad for a weekend dinner. Serve Achari Gobi Shimla Mirch Ki Sabzi along with Boondi Raita and Phulka for a weekday lunch with your family. You can also pack this sabzi in a lunch box
</t>
  </si>
  <si>
    <t>http://www.archanaskitchen.com/achari-gobi-shimla-mirch-ki-sabzi-recipe-capsicum-and-cauliflower-sabzi</t>
  </si>
  <si>
    <t>Chole Biryani Recipe - Spicy Chana Biryani  Recipe</t>
  </si>
  <si>
    <t>1 cup Rice - washed and soaked,1 Cardamom (Elaichi) Pods/Seeds,1 clove Cloves (Laung),1 inch Cinnamon Stick (Dalchini),1 Bay leaf (tej patta),1/2 cup Milk,1 1/2 cup Water,1 teaspoon Ghee,Salt - Salt to taste,1/2 cup Onions - sliced,2 teaspoons Sunflower Oil,1 Potato (Aloo) - cut into cubes &amp; soaked in salt water,1/2 teaspoon Amchur (Dry Mango Powder),1/2 teaspoon Red Chilli powder,1/2 Cumin powder (Jeera),1/4 cup Coriander (Dhania) Leaves - chopped,1/4 cup Mint Leaves (Pudina),1 cup Kabuli Chana (White Chickpeas) - washed and soaked overnight.,6 cloves Garlic - chopped,1 inch Ginger - chopped,1 Green Chilli - finely chopped,1 teaspoon Garam masala powder,1 teaspoon Red Chilli powder,1/4 cup Curd (Dahi / Yogurt) - whisked,1/2 teaspoon Turmeric powder (Haldi),1 Tomatoes - finely chopped,1 tablespoon Ghee,Salt - to taste</t>
  </si>
  <si>
    <t xml:space="preserve">To begin making the Chole Masala Biryani Recipe, let us keep each of the elements ready. For the fried onionsIn a kadai, heat oil on medium flame, add the sliced onions and fry them until they turn into a deep brown colour.Caramelizing the onions takes a good 10 minutes. So ensure you do it on low heat.Once the onions are caramelised, drain it on absorbent paper and set aside.For the roasted potatoesIn the same kadai add some more oil and pan roast potatoes until it gets a light brown colour. Sprinkle some salt and a pinch of turmeric powder to add taste to the roasted potatoes.Drain the roasted potatoes in absorbent paper and transfer it into a bowl. Sprinkle the dry masalas- cumin powder, red chilli powder and amchur and toss.For the RiceIn a pan, heat ghee on medium flame, add cardamom, clove, bayleaf, cinnamon, and salt. Add the milk and water and bring to a rolling boil.When the milk-water comes to a boil, reduce the flame add the drained rice, cover and cook until the moisture is fully absorbed.Once cooked, turn off the flame and set aside.Transfer the rice into a mixing bowl and allow it to cool.Once the rice has completely cooled, add the coriander leaves, mint leaves, fried onions and potatoes. Give it a good mix. For the Chole MasalaWash and soak the Kabuli Chana overnight.In a pressure cooker, add the kabuli chana, and one cup of water with salt. Pressure cook for 6 whistles, and turn down the flame and continue to cook for another 15 minutes.Turn off the flame and allow the pressure to release naturally. Drain the chana from its water and set aside.    In a pan heat ghee, on low flame, ad ginger- garlic-green chili and saute for a couple of minutes, increase the flame to medium heat and add the tomatoes and cover and cook.The tomatoes will take about 5 minutes to soften. Once they have softened, add the dry masalas- garam masala, red chilli powder, turmeric powder, salt and chole masala. Mix well.At this stage reduce the flame and add the yoghurt and the drained boiled chana.At the end of this procedure, we should have a semi gravy chole masala, the consistency shall not be too thick or too thin.To assemble Chole biryani recipeGrease a large glass bowl with ghee, sprinkle some coriander leaves, put a layer of the rice and press it down with the back of the ladle.Next add a layer of the chole masala. Repeat the layers till the bowl is full. You need press down each layer.  The final layer of the biryani must be rice.Once each of those layers are pressed down well, place a plate upside down over the bowl and over turn it.  You will get a chole biryani dome on your plate.Serve this Chole Biryani Recipe along with Mirchi Ka Salan Recipe (Chillies in Tangy Spicy Peanut Sesame Curry), Burani Raita Recipe (Garlic Based Yogurt), Pickled Onions and Methi Pakoras Recipe for a complete weekend meal.
</t>
  </si>
  <si>
    <t>http://www.archanaskitchen.com/chole-biryani-recipe-spicy-chana-biryani-recipe</t>
  </si>
  <si>
    <t>Rajgira Paneer Paratha Recipe (Navratri Fasting/Vrat Recipe)</t>
  </si>
  <si>
    <t>1 cup Rajgira Flour (Amaranth Flour),2 Potato (Aloo) - boiled,1 cup Paneer (Homemade Cottage Cheese) - grated,2 Green Chillies - finely chopped,1 teaspoon Turmeric powder (Haldi),1 teaspoon Cumin powder (Jeera),2 sprig Coriander (Dhania) Leaves - finely chopped,1/2 teaspoon Whole Black Peppercorns - ground,Salt - or rock salt to taste,Sunflower Oil - or ghee for cooking</t>
  </si>
  <si>
    <t xml:space="preserve">We begin making the Rajgira Paneer Paratha Recipe (Navratri Fasting/Vrat Recipe) by Mixing all the ingredients together in a mixing bowl with enough water to a dough consistency.The rajgira flour is little hard to work with since it does not contain gluten so make sure to have enough flour to dust while rolling the dough.Divide the dough into equal portions and roll it onto a board.Heat a Flat bottomed pan and add the rolled paratha with some ghee and cook it on both the sides for about 2 minutes.Serve your crispy Rajgira Paneer Paratha with No Onion No Garlic Tomato Chutney making it a delicious meal.
</t>
  </si>
  <si>
    <t>https://www.archanaskitchen.com/rajgira-paneer-paratha-recipe-navarati-fasting-vrat-recipe</t>
  </si>
  <si>
    <t>Oats and Vegetable Kebab Recipe</t>
  </si>
  <si>
    <t>1 cup yam - chopped and boil, 1 cup raw banana - chopped and boil, 1 cup carrot - chopped, 1 onion - chopped, 1 inch ginger - chopped, 4 cloves garlic - chopped, 1 tablespoon red chili powder, 1 teaspoon turmeric powder, 1 tablespoon cumin powder, 1 tablespoon coriander powder, 1 tablespoon dry mango powder, 1/2 cup oats - to coat, 1/4 cup milk, salt - according to taste, black pepper powder - according to taste, oil</t>
  </si>
  <si>
    <t>"To make Oats and Vegetable Kebab, first put yam and raw banana in a pressure cooker with salt, water, turmeric powder and cook for 6 whistles. Let the pressure release automatically. Open the cooker, remove the remaining water and mash it well with the help of a masher. Now heat oil in a pan. Add onion, garlic, ginger and cook till the onion becomes soft. After the onion becomes soft, add carrot and cook till the carrot is cooked. Now add red chili powder, coriander powder, turmeric powder, cumin powder, dried mango powder, salt, black pepper powder and mix well. Cook for 3 to 4 minutes. Now add the yam and raw banana mixture and mix it. Now divide this mixture into medium sized balls. Flatten it in the shape of cutlets. Now dip these cutlets in milk and then in oats. Make sure that the oats are applied all around the cutlets. Now heat a flat pan. Pour some oil and fry it on medium flame till it turns golden brown. Cook till brown. Serve. Serve Oats and Vegetable Kebab with Coriander Mint Chutney and Masala Chai for evening snack.</t>
  </si>
  <si>
    <t>http://www.archanaskitchen.com/oats-and-vegetable-kebab-recipe-in-hindi</t>
  </si>
  <si>
    <t>Tandoori Potatoes Recipe</t>
  </si>
  <si>
    <t>1 cup Baby Potatoes - washed and peeled,1 tablespoon Sunflower Oil,1 teaspoon Tikka Masala,1 tablespoon Fresh cream - or milk,1/4 teaspoon Kasuri Methi (Dried Fenugreek Leaves),Salt - to taste,2-3 Kashmiri dry red chillies,1 tablespoon Garlic - chopped,1/2 tablespoon Ginger - chopped,1 teaspoon Coriander Powder (Dhania),1 teaspoon Cumin powder (Jeera),1/4 cup Water</t>
  </si>
  <si>
    <t xml:space="preserve">To begin making the Tandoori Potatoes Recipe, firstly grind all the ingredients under ‘For smooth paste’ including kashmiri dry red chillies, garlic, ginger, coriander powder, cumin powder and water using a grinder and make a smooth paste out of it. Keep it aside.Peel the baby potatoes and wash them. Prick them with the fork evenly all over.Place them to a microwave safe bowl or dish and cook for 2-3 minutes or till they are partially cooked. Once done, keep them aside.In an another microwave safe bowl, heat the oil on high for 30 seconds.Add the prepared smooth paste, mix well and microwave on high for another one minute.Add partially cooked potatoes, whipping-cream, kasuri methi, tandoori or tikka masala and salt, mix all well. Microwave on high for another 2 minutes.If potatoes are not fully cooked than microwave them again for a minute or till they get cooked fully. Squeeze some lemon juice and it is ready to be served.Serve Tandoori Potatoes with Dhaniya Pudina Chutney as an appetiser during your parties.
</t>
  </si>
  <si>
    <t>https://www.archanaskitchen.com/tandoori-potatoes-recipe</t>
  </si>
  <si>
    <t>Mango Kalakand Recipe</t>
  </si>
  <si>
    <t>2 Mango (Ripe) - deseeded and peeled,175 grams Paneer (Homemade Cottage Cheese) - crumbled,400 grams Condensed Milk - sweetened,3 Cardamom (Elaichi) Pods/Seeds - crushed,1 tablespoon Fresh coconut - strands for garnishing</t>
  </si>
  <si>
    <t xml:space="preserve">To begin making Mango Kalakand recipe, peel the mango, extract the pulp from both the mangoes and discard the seeds. Take a wok/kadai add mango pulp in it and heat on medium flame.Stir it for 5 to 6 minutes till mango pulp is cooked.Now add sweetened condensed milk to it and mix well.Now add crumbled cottage cheese in the mixture.Stir the mix slowly and well for 10 to 15 minutes. When you will find the mixture starts getting little dry and got mixed up properly, switch off the flame. Let it cool for 5 minutes.Now take a greased tray, flat plate or a tray lined with butter paper and pour the mixture in the tray.Pat it down with a flat spatula or spoon to free the mango kalakand from being bubbly with air bubbles.Then take green cardamoms, crush it and sprinkle in on the kalakand.Again with a flat spoon press it gently.Keep Mango Kalakand  in the fridge after bringing it down to room temperature, for 2 to 3 hours to get it set.Take it out and cut Mango kalakand into your desired shapes and sprinkle with dried coconut strands to garnish.Serve Mango Kalakand as a dessert with your part meal of Paneer Pulao With Green Peas, Cauliflower and Vegetable Curry and Tomato Onion Cucumber Raita.
</t>
  </si>
  <si>
    <t>http://www.archanaskitchen.com/mango-kalakand-recipe</t>
  </si>
  <si>
    <t>Chole Capsicum Masala Recipe</t>
  </si>
  <si>
    <t>छोले शिमलामिर्च मसाला रेसिपी</t>
  </si>
  <si>
    <t>1 cup Kabuli Chana - soaked and boiled, 1 green capsicum - chopped, 2 onions - finely chopped, 2 teaspoon ginger garlic paste, 2 teaspoon coriander powder, 1 teaspoon red chili powder, 1 teaspoon cumin powder, 1/2 teaspoon turmeric powder, 1 teaspoon Kasuri Methi, 1/2 cup cashew nuts, 1 cup tomato puree, oil - for cooking, salt - according to taste</t>
  </si>
  <si>
    <t>"To make Chole Shimla Mirch, soak cashew nuts in boiling water for 12-15 minutes. Heat oil in a pan and saute onions till they turn brown. Add ginger garlic paste and cook for 1 minute. Add capsicum and sauté for 2-3 minutes. Now add cumin powder, coriander powder, turmeric and red chili powder and fry them. Be careful not to burn the masala. Add tomato puree and boiled chickpeas along with 2 cups of water. Boil it for 5 minutes and cook till the spices combine. Grind the soaked cashew nuts. Add cashew paste to the curry along with salt and cook for 4-5 minutes. Add dried methi and turn off the gas. Serve Chole Shimla Mirch Masala with phulkas, rice and salad. "</t>
  </si>
  <si>
    <t>http://www.archanaskitchen.com/chole-capsicum-masala-recipe-recipe-in-hindi</t>
  </si>
  <si>
    <t>Bhindi &amp; Capsicum Sabzi Recipe</t>
  </si>
  <si>
    <t>200 grams Bhindi (Lady Finger/Okra) - cut into stripes,2 Green Bell Pepper (Capsicum) - cut diagonally,1 teaspoon Cumin seeds (Jeera),1 inch Ginger - chopped,1 teaspoon Turmeric powder (Haldi),1 teaspoon Red Chilli powder,2 teaspoon Coriander Powder (Dhania),3 tablespoon Fresh coconut - grated,Salt - to taste,Sunflower Oil</t>
  </si>
  <si>
    <t xml:space="preserve">To begin making the Bhindi &amp; Capsicum Subzi Recipe, heat a kadai with oil, add chopped bhindi, sprinkle with salt and stir fry until they are done. The ladies finger will slightly crisp up and become soft.Once the ladies finger is crisp and cooked through remove the ladies finger into a bowl and keep aside.Add some more oil to the same pan and add sprinkle cumin seeds and allow it to crackle.Once the cumin seeds have crackled add the  ginger and saute until it softensOnce done add capsicum and stir fry till they become soft. Add bhindi along with all the spice powders and stir fry for few seconds.Finally add grated coconut and toss well until it combines and turn off the heat.Transfer Bhindi &amp; Capsicum Sabzi into a serving bowl and serve hot.Serve the Bhindi &amp; Capsicum Sabzi Recipe along with tawa paratha, Dal Palak Recipe (Spinach And Lentil Curry) and Raita of your choice to make it a complete meal.
</t>
  </si>
  <si>
    <t>http://www.archanaskitchen.com/bhindi-capsicum-subzi-recipe</t>
  </si>
  <si>
    <t>Raw Mango Dal Fry Recipe</t>
  </si>
  <si>
    <t>1 Cup Arhar dal (Split Toor Dal),2 Tablespoon Mango (Raw) - Grated,1/2 teaspoon Turmeric powder (Haldi),1/2 teaspoon Red Chilli powder,1 Tomato - chopped,2 Green Chillies - Slit,1 sprig Curry leaves - Curry Leaves,1 Onion - chopped,2 Dry Red Chillies,4 cloves Garlic - minced,Salt - to taste,1 teaspoon Ghee - for tadka</t>
  </si>
  <si>
    <t xml:space="preserve">To begin making Raw Mango Dal Fry Recipe, prep all the ingredients first.Into the pressure cooker, add the dal, salt red chilli powder, turmeric powder, slit green chilli, tomato and grated raw mango into the cooker. Add 2 cups of water and pressure cook for 3 to 4 whistles until the dal is cooked.Once done, allow the pressure to release naturally.Open the cooker and use a wooden ladle to make the Raw Mango Dal Fry mushy. Keep it aside.Heat ghee in a kadai/wok and add whole red chillies into it. Add the diced onions and cook them till they become translucent in colour.Once onions are ready then add minced garlic and curry leaves and saute them for at least 1 minute.Now add the cooked Raw Mango Dal Fry into the pan and let it cook for 5-7 minutes. Add more water if you feel that dal has become too thick. Adjust salt as per your taste.Serve Raw Mango Dal Fry Recipe along with Curried Tofu Kebab Recipe, Aloo Bhindi Ki Sabzi Recipe (Spicy Potatoes and Lady's Finger Stir Fry), Phulka, and steamed rice.
</t>
  </si>
  <si>
    <t>https://www.archanaskitchen.com/raw-mango-dal-fry-recipe</t>
  </si>
  <si>
    <t>Chatpata Rajma Salad Recipe - Kidney Beans Salad Recipe</t>
  </si>
  <si>
    <t>2 cups Rajma (Large Kidney Beans) - cooked,1 Onion - finely chopped,1 Tomato - finely chopped,2 Green Chillies - finely chopped,1 teaspoon Chaat Masala Powder,1 Lemon - juiced,Mint Leaves (Pudina) - small bunch,Salt - to taste</t>
  </si>
  <si>
    <t xml:space="preserve">To begin making the Chatpata Rajma Salad Recipe, soak the rajma overnight and pressure cook them with water for about 5 to 6 whistles. After 5 to 6 whistles, turn the heat to low and simmer for another 20 minutes.Allow the pressure to release naturally. The rajma should be soft and cooked. If there was is any water, drain the excess water and keep the rajma aside,Into a mixing bowl, add the cooked rajma, onions, tomatoes, green chilli, chaat masala powder, salt, mint leaves and lemon juice.Mix well to combine the rajma salad. Check the salt and adjust to taste. Serve chilled.Serve the Chatpata Rajma Salad Recipe along with Missi Roti Recipe and Cauliflower and Vegetable Curry for your everyday lunch or dinner.
</t>
  </si>
  <si>
    <t>https://www.archanaskitchen.com/chatpata-rajma-salad-recipe-kidney-beans-salad-recipe</t>
  </si>
  <si>
    <t>Homemade Easy Gulab Jamun Recipe - Delicious &amp; Tasty</t>
  </si>
  <si>
    <t>250 grams Milk Powder,120 grams All Purpose Flour (Maida),1/2 teaspoon Cardamom Powder (Elaichi),1/4 teaspoon Baking soda,200 ml Fresh cream,2 tablespoons Ghee,Sunflower Oil - for deep frying,400 grams Sugar,600 ml Water,2 tablespoons Rose water,1/4 teaspoon Saffron strands</t>
  </si>
  <si>
    <t xml:space="preserve">To begin making the Gulab Jamun Recipe, get all the ingredients ready.Preheat the oil for deep frying. Into a large mixing bowl, add all the dry ingredients - milk powder, maida, sugar, soda and cardamom powder. Add the cream and mix well to combine until you get a dough like consistency.The Gulab Jamun mixture will be a little sticky and this is the nature of it, as the milk powder has sweet which will cause this.Grease your fingers with oil and start shaping the Gulab Jamuns into tiny balls little larger than an Indian gooseberry / amla. Once you have shaped all the Gulab Jamun dough, we will now begin to start deep frying.Slide the Gulab Jamuns into the pre heated oil and deep fry on medium heat until all the jamuns are fried until golden brown. It will take close to 5 minutes to fry a batch of jamuns over medium heat.Once fried strain them into kitchen paper towels and keep aside.Parallely, into a large wide bowl heat the water and sugar. Allow the sugar to dissolve completely.Once the sugar dissolves, add the rose water and a large pinch of saffron. Give the Gulab Jal water a brisk boil for about 2 to 3 minutes and turn off the heat.Add the fried Gulab Jamuns into the hot gulab jal water and allow it to soak for about 2 hours. The Gulab Jamuns will expand and soak in the water and fluff up.So ensure you keep some room in the gulab jal water bowl for this expansion.  If required soak it in two bowls.Cover the pan while the gulab jamun us soaking so it becomes soft. Half way through the soaking process, turn the Gulab Jamuns around so all the sides get evenly soaked.Once soaked, the Gulab Jamuns are ready to be served.Serve the Gulab Jamuns hot or cold as a dessert after a delicious meal.
</t>
  </si>
  <si>
    <t>http://www.archanaskitchen.com/homemade-easy-gulab-jamun-recipe-delicious-tasty</t>
  </si>
  <si>
    <t>Mixed Millet Phulka Recipe - Ragi Jowar Bajra Wheat Phulka</t>
  </si>
  <si>
    <t>1/4 cup Ragi Flour (Finger Millet/ Nagli),1/4 cup Bajra Flour ( Pearl Millet),1/4 cup Jowar Flour (Sorghum),1/2 cup Whole Wheat Flour,1/2 teaspoon Salt - optional,1 teaspoon Sunflower Oil,Ghee - for serving</t>
  </si>
  <si>
    <t xml:space="preserve">To begin making the Mixed Millet Phulka Recipe first bring all the ingredients together and we will make the dough.In a large bowl combine the ragi, jowar, bajra, wheat flour and salt; add a little water at a time to make firm dough. Add a teaspoon of oil to coat the dough and knead for a few more minutes until smooth.Set the millet phulka dough aside to rest covered for 15 minutes. Knead once again and divide the dough into 8 portions.Preheat the iron skillet on medium high heat. Roll the portions of phulka (roti) dough into balls; flatten these balls with the palm of your hand.Take a portion of the Millet phulka dough, toss it on the flour and roll out into thin circles to approximately 6 inches in diameter. As you roll them out, you can keep tossing the dough in dry flour while rolling; this will prevent it from getting sticky when rolling them out.Cook the millet phulka as indicated in the steps below. Continue the process of rolling with the remaining portions of the dough.*Cooking Millet Phulka (Roti) on Gas StovePlace rolled dough on the hot skillet. In a few seconds you will notice that small air pockets start to form. At this point flip the rolled dough to the other side on the skillet.After a few seconds turn the flame to high; using tongs take the rolled Millet phulka off the skillet and place it directly on the flame. It should balloon into a spherical shape and puff up.Remove the Millet phulka from heat, place it on a flat plate and optionally spread little ghee on the side facing up.Continue the same process for the remaining portions of the rolled Millet phulka dough and keep stacking them one over the other.*Cooking Millet Phulka (Roti) on Electric StoveThis process can be used if you are using a gas stove as well.Preheat an iron skillet. Place rolled Millet phulka dough on the hot skillet. In a few seconds you will notice that small air pockets start to form. At this point flip the rolled Millet phulka dough to the other side on the skillet.Flip over again and cook the first side pressing lightly with a napkin. The rolled out phulka dough should begin to start puffing out.Flip and cook the other side for a few more seconds.Remove from the heat, place the Millet phulka on a flat plate and optionally spread little ghee on the side facing up. Continue the same process for the remaining portions of the rolled dough and keep stacking them the phulka one over the other.Serve the Mixed Millet Phulka Recipe with Spinach Paneer Kofta Curry and Dangar Pachadi With Grated Carrots to create complete healthy meal.TipMaking the rolled out phulka dough puff into a balloon comes with practice. So give yourself time if you are new to bread making.Even if yours does not puff the first time or the times after, the rotis that you have made are cooked and are edible, so you could consume them with your choice of vegetables.Using thinner rolling pins is the key, as you want to be gentle with the dough.The heavy big ones will make you press harder which might just make it tear. It’s well worth investing in a thinner rolling pin and tongs to hold the bread which is available in most Indian stores around the world.Tossing the phulka dough in flour as you roll is another helper that will make the rolling out the dough easier.
</t>
  </si>
  <si>
    <t>https://www.archanaskitchen.com/mixed-millet-phulka-recipe-ragi-jowar-bajra-wheat-phulka</t>
  </si>
  <si>
    <t>Achari Masala Powder Recipe</t>
  </si>
  <si>
    <t>अचारी मसाला पाउडर रेसिपी</t>
  </si>
  <si>
    <t>2 tbsp coriander seeds, 1 tsp fenugreek seeds, 1 tsp mustard seeds, 1 tsp kalonji seeds, 1 tsp cumin seeds, 1 tsp fennel seeds, 4 dried red chillies</t>
  </si>
  <si>
    <t xml:space="preserve">To make Achari Masala Powder Recipe, first of all put coriander seeds, fenugreek seeds, mustard seeds, nigella seeds, cumin seeds, fennel seeds, dried red chillies in a pan and dry roast them. Turn off the gas after 2 to 3 minutes. Let it cool. Now put it in a mixer grinder and make a powder. Put this masala in an air tight container and store it. You can use it for 1 month. You can use Achari Masala Powder to make Achari Paneer or Achari Bhindi.
</t>
  </si>
  <si>
    <t>https://www.archanaskitchen.com/achari-masala-powder-recipe-in-hindi</t>
  </si>
  <si>
    <t>Lilve Ki Sabzi Recipe (Green Chickpea Curry)</t>
  </si>
  <si>
    <t>Sunflower Oil - as required,1 cup Fresh green chickpeas,1 Potato (Aloo) - cubed,1 Bay leaf (tej patta),1 Black cardamom (Badi Elaichi),1 tablespoon Ginger Garlic Paste,1 Onion - finely chopped,1 Onion - paste,2 tablespoons Curd (Dahi / Yogurt),1 teaspoon Red Chilli powder,3/4 teaspoon Turmeric powder (Haldi),1 teaspoon Coriander Powder (Dhania),Salt - as required,Water - as required,2 sprig Coriander (Dhania) Leaves - finely chopped</t>
  </si>
  <si>
    <t xml:space="preserve">To begin making the Lilve Ki Sabzi recipe, firstly heat oil in a heavy bottomed pan and add bay leaf, cloves and elaichi.Saute them for about 15 seconds and add the finely chopped onions. Cook them till they turns soft and translucent.Add the cubed potatoes and cook for another 5 minutes or until they become soft.Next, add in the ginger garlic paste and onion paste. Cook it for 2 to 3 minutes and then add all the masalas including red chilli powder, turmeric powder and coriander powder.Cook it for 2 minutes. Next add curd and the required salt. When the gravy starts leaving the oil from the sides, add the green chickpeas.After 5 minutes, add the required water, mix properly and cover the lid.Let it cook till the gravy thickens and the green chickpeas are cooked.Once it is done, garnish with coriander leaves and serve hot.Serve Lilve Ki Sabzi with hot steamed rice and rotis for a weekend meal.
</t>
  </si>
  <si>
    <t>https://www.archanaskitchen.com/lilve-ki-sabzi-recipe-green-chickpea-curry</t>
  </si>
  <si>
    <t>Paneer Matar Keema Recipe</t>
  </si>
  <si>
    <t>1 cup Green peas (Matar) - boiled and slightly mashed,1 Potato (Aloo) - boiled and mashed,1/2 cup Paneer (Homemade Cottage Cheese) - crumbled,1 Tomato - finely chopped,1/4 cup Homemade tomato puree,1/2 teaspoon Cumin seeds (Jeera),1/2 teaspoon Mustard seeds,1 pinch Asafoetida (hing),1 Onion - finely chopped,1 tablespoon Ginger Garlic Paste,Coriander (Dhania) Leaves - few sprigs,1 teaspoon Red Chilli powder,1/2 teaspoon Turmeric powder (Haldi),1 teaspoon Coriander Powder (Dhania),1/2 teaspoon Garam masala powder,Sunflower Oil - as required,Salt - to taste,Water - as required</t>
  </si>
  <si>
    <t xml:space="preserve">To begin making the Paneer Matar Keema Recipe, heat oil in a heavy bottomed pan. Add cumin seeds, mustard seeds, asafoetida and let it splutter.Once the mustard seeds splutter, add the finely chopped onions. Cook them till they turn soft and translucent.Once the onions are soft, add the ginger garlic paste and let it cook for about 2 minutes.After 2 minutes add the finely chopped tomatoes and tomato puree.Cover with lid and let it cook it for about 3 to 4 minutes.Next, add the spices including red chilli powder, turmeric powder, coriander powder, garam masala powder and salt. Let it cook for 5 minutes.Now add the mashed potato, crumbled paneer and 1/4 cup of water. Mix everything properly and let it cook for 6 to 8 minutes.After 6 to 8 minutes, add the boiled green peas, mix well, cover the pan and let the Green Peas Gravy With Vegetables cook for another 3 to 5 minutes.Once it is done, garnish Matar Keema recipe with coriander leaves and serve hot.Serve Paneer Matar Keema Recipe along with Dal Palak, Lauki Raita and Phulka for an everyday meal with your family.
</t>
  </si>
  <si>
    <t>http://www.archanaskitchen.com/matar-keema-recipe-green-peas-gravy-with-vegetables</t>
  </si>
  <si>
    <t>Dry Navratan Korma</t>
  </si>
  <si>
    <t>नवरतन कोरमा (सूखा) रेसिपी</t>
  </si>
  <si>
    <t>1 cabbage - cut into small pieces, 2 carrots - finely chopped, 5 green beans - chopped, 1/2 cup green chillies, 1 capsicum (green) - chopped, 2 potatoes - chopped, 2 onions - chopped, 1 inch ginger - chopped, 4 cloves garlic - chopped, 2 green chillies - chopped, 2 tomatoes - puree, 1-1/5 tbsp coriander powder, 1/2 tbsp garam masala powder, 1 tsp red chilli powder, salt - according to taste, oil - according to use, 2 bay leaves, 1 cinnamon, 2 cardamoms, 1 tsp celery, 100 grams paneer - cut into small pieces, 1 cup butter, 1/2 cup cashews - make a paste, 1/2 cup pineapple - cut into small pieces, 1/2 cup pomegranate seeds, 2 tbsp raisins, cashews - few, coriander leaves - for garnishing, Coriander (Dhania) Leaves - few for garnishing</t>
  </si>
  <si>
    <t>"To make Navratan Korma(Dry), first of all, get all the ingredients ready. Now heat oil in a pan and add paneer pieces to it. Fry it well and take it out on a tissue to absorb excess oil. Add some more oil and add all the whole spices. After 10 seconds add onion and cook it till it becomes soft. After onion becomes soft, add ginger garlic paste and green chilies. Cook it for 2 to 3 minutes. Now add tomato puree and cook for 3 to 5 minutes. Now add chopped vegetables. Mix well and then add coriander powder, red chili powder, garam masala and let it cook for 5 minutes. After 5 minutes add cashew paste and butter and mix everything. After this add 1/2 cup water and cover the pan. Let it cook for 7 to 8 minutes. When vegetables become soft, add raisins and cashews. 1 minute After this add pineapple and pomegranate to it. Turn off the gas, add panner pieces and garnish with green leaves. Serve Navratan Korma (Dry) with Phulka, Panchmel Daal and Boondi Raita for dinner.</t>
  </si>
  <si>
    <t>https://www.archanaskitchen.com/dry-navratan-korma-recipe-in-hindi</t>
  </si>
  <si>
    <t>Turai Pyaz Hari Mirch Ki Sabzi Recipe-Ridge Gourd Stir Fry With Green Chili And Onions</t>
  </si>
  <si>
    <t>300 grams Ridge Gourd (Turai/ Peerkangai) - peeled and diced,2 Badi hari mirch (Large Green Chilli) - diced,1 teaspoon Ajwain (Carom seeds),1 Onion - finely chopped,2 cloves Garlic - finely chopped,1 inch Ginger - grated,1 Tomato - finely chopped,1/2 teaspoon Turmeric powder (Haldi),1 teaspoon Coriander Powder (Dhania),1 teaspoon Amchur (Dry Mango Powder),1 tablespoon Jaggery,Salt - to taste,1 teaspoon Sunflower Oil,Coriander (Dhania) Leaves - finely chopped</t>
  </si>
  <si>
    <t xml:space="preserve">To begin making the Turai Pyaz Hari Mirch Ki Sabzi, first prep all the ingredients and keep ready. Remove the seeds from the badi hari mirch and keep aside.Heat a teaspoon of oil in a pressure cooker, add the ajwain seeds and allow it to crackle. Add the onions, ginger, garlic and saute until the onions become tender.Once the onions are tender, add the tomatoes and the rest of the masalas and saute for a few seconds. Finally add the chopped Turai (ridge gourd), badi hari mirch and salt to taste.Add 1/4 cup of water, cover the pressure cooker and cook until you hear three whistles and turn off the heat.Once done, release the pressure immediately by running the cooker under cold water to release the pressure.Check the taste of Turai Pyaz Hari Mirch Ki Sabzi and adjust salt and spices accordingly. Once done, stir in the coriander leaves, transfer to a serving bowl and serve.Serve the Turai Pyaz Hari Mirch Ki Sabzi Recipe along with Methi Thepla, Mooli Raita for a wholesome weeknight dinner.
</t>
  </si>
  <si>
    <t>http://www.archanaskitchen.com/turai-pyaz-hari-mirch-ki-sabzi-recipe-ridge-gourd-stir-fry-with-green-chili-and-onions</t>
  </si>
  <si>
    <t>Baby Corn Carrot Sabzi Recipe</t>
  </si>
  <si>
    <t>1 cup Baby corn - sliced,2 Carrot (Gajjar) - cut into medium sized cubes,1 Green Chilli - chopped,1 teaspoon Fennel seeds (Saunf),1 teaspoon Red Chilli powder,1 teaspoon Coriander Powder (Dhania),1 teaspoon Amchur (Dry Mango Powder),1 teaspoon Jaggery,1/4 teaspoon Turmeric powder (Haldi),Salt - to taste,3 tablespoons Fresh coconut - grated,1 sprig Coriander (Dhania) Leaves - chopped,Sunflower Oil</t>
  </si>
  <si>
    <t xml:space="preserve">To begin making the Baby Corn Carrot Sabzi Recipe, we will first pressure cook the vegetables with water and salt for about 1 whistle till it is done.Allow the pressure to release naturally, drain excess water if there is any.Heat a saucepan with oil, add fennel seeds allow it to crackle, reduce the heat and add green chilli and saute till it softens.Add cooked vegetables and saute for 2 minutes. Add all the spice powders including red chilli powder, coriander powder, amchur powder, turmeric powder, salt along with jaggery and give a stir.Once the masalas are coated well, add grated coconut and check for seasonings. Finally add coriander leaves and serve hot. Serve the Baby Corn Carrot Sabzi Recipe along with Tawa Paratha, Spicy Paneer Pulao With Vegetables and Raita to make it a complete meal for your lunch.
</t>
  </si>
  <si>
    <t>https://www.archanaskitchen.com/baby-corn-and-carrot-subzi-recipe</t>
  </si>
  <si>
    <t>Moong Dal Dubka Recipe</t>
  </si>
  <si>
    <t>1 cup Yellow Moong Dal (Split) - soaked for an hour,2 Tomatoes,1/2 teaspoon Turmeric powder (Haldi),2 tablespoons Mustard oil,Salt - Salt to taste,1 Onion - roughly chopped,1 inch Ginger,4 cloves Garlic,3 Dry Red Chillies,1 teaspoon Cumin seeds (Jeera),2 tablespoons Coriander (Dhania) Seeds,1 teaspoon Whole Black Peppercorns</t>
  </si>
  <si>
    <t xml:space="preserve">To begin making Moong Dal Dubka Recipe, wash and soak the moong dal for an hour, then grind it to a coarse paste using a mixer grinder and keep aside.Make a fine paste of the ingredients mentioned in the spice paste table using a mixer and keep aside.Smoke mustard oil in a wide pan on medium heat till it is seasoned well.Add the ground spice paste into it and fry until the raw smell of the onion garlic goes away.Add the tomato puree, turmeric powder, season with salt and saute until the tomato puree is cooked well.Now, add the coarsely ground moong dal mix and enough water and let it simmer until the dal is cooked.It keeps getting thicker, so adjust the amount of water to your desired consistency and season with required salt.Switch off the flame and serve the Moong Dal Dubka Recipe along with Steamed Rice and Kalonji Gobi Aloo recipe for a hearty winter lunch.
</t>
  </si>
  <si>
    <t>http://www.archanaskitchen.com/moong-dal-dubka-recipe</t>
  </si>
  <si>
    <t>Mini Chilli Cheese Aloo Kulcha Recipe</t>
  </si>
  <si>
    <t>1 cup Whole Wheat Flour,1 cup All Purpose Flour (Maida),1 1/2 teaspoon Active dry yeast,1/4 cup Curd (Dahi / Yogurt),1 teaspoon Sugar,Salt - to taste,Water - warm,1 teaspoon Sunflower Oil,6 Potatoes (Aloo) - boiled and mashed,2 Onions - finely chopped,5 Green Chillies - finely chopped,1 teaspoon Chaat Masala Powder,1 teaspoon Amchur (Dry Mango Powder),200 grams Britannia Cheezza - grated,Mint Leaves (Pudina) - small bunch,Ghee - to cook the kulchas,2 tablespoons Britannia Cheese Spread - Roasted Garlic,1/2 cup Hung Curd (Greek Yogurt),1/4 cup Cucumber - finely chopped,Saffron strands - a few,Parsley leaves - a few,Salt - a pinch</t>
  </si>
  <si>
    <t xml:space="preserve">To begin making the Mini Chilli Cheese Aloo Kulcha Recipe,we will first make the dough and keep it ready. In a mixing bowl, combine the whole wheat flour, all purpose flour, yeast, curd, sugar, salt and mix with your fingers. Next add little warm water at a time and knead to make a soft dough.Finally drizzle some oil and knead for a few more minutes. Cover the pan and allow it to rest and rise for about 2 hours.To make the stuffing for the Kulcha.Into a bowl, add in the mashed potatoes, onions, green chillies, amchur powder, chaat masala powder, salt to taste and finally mint leaves . Mix well to combine.Finally we will stuff the kulchas.Remove the dough from the warm place, punch the dough back with your knuckles. Now divide the dough into equal portions of lemon ball sizes, dust in flour and flatten them using a rolling pin to about 2 inch diameter. Spoon the aloo filling into the kulcha dough, then add the grated Britannia cheezza and close the edges.Gently roll it and keep aside. Make a few more Cheese Aloo Kulcha Recipe before you begin to cook them.Place the Mini Chilli Cheese Aloo Kulcha onto a preheated pan and cook for a few seconds on both sides.Once you notice the rawness of the dough is gone, drizzle some ghee and cook well until golden and crisp on both sides.Once done transfer the Mini Chilli Cheese Aloo Kulcha into a serving plate and serve hot with the roasted garlic dip.To make the Roasted Garlic Dip; into a mixing bowl combine Britannia roasted garlic cheese spreadz, hung yogurt, cucumber, saffron, parsley leaves, salt and mix well to combine. Check the taste and adjust the salt accordingly. Transfer the Roasted Garlic Dip to a serving bowl and serve along with the Chilli Cheese Kulcha as an appetizer for parties.You can also serve the Mini Chilli Cheese Aloo Kulcha Recipe along with  Tadkewali Masoor Dal or Dum Murgh Aatishi, Pickled Onions for a simple yet flavoursome party meal or even a special weekend dinner.
</t>
  </si>
  <si>
    <t>http://www.archanaskitchen.com/chilli-cheese-stuffed-kulcha-recipe</t>
  </si>
  <si>
    <t>Onion Thepla Recipe</t>
  </si>
  <si>
    <t>2 cups Whole Wheat Flour,2 Onion - finely chopped,1 Green Chilli - finely chopped,1 inch Ginger - finely chopped,3 cloves Garlic - finely chopped,2 teaspoon Garam masala powder,2 teaspoon Amchur (Dry Mango Powder),1 teaspoon Turmeric powder (Haldi),1 teaspoon Black pepper powder,Salt - to taste,1 tablespoon Sunflower Oil - for the dough,Ghee - or oil for making the Theplas</t>
  </si>
  <si>
    <t xml:space="preserve">To begin making the Onion Thepla Recipe, we will first heat a kadai with oil, add cumin seeds and allow it crackle for few seconds.Add in ginger and garlic and saute till they turn soft, add chopped onions and cook until they turn golden brown.Once done add green chilies and all the spice powders like the garam masala powder, amchur powder, turmeric powder, pepper powder and salt to taste and mix well, cook for another few minutes till well combined and cooked and turn off the heat.Allow it to cool down and add this sautéed onions into a bowl with the wheat flour and oil. Add water little by little and form a firm dough which is not sticky.Rest for at least 10 minutes and shape them into medium sized balls.Dust it with wheat flour and roll it gently to make a Thepla. The diameter of the thepla depends on how thin or thick you want it to be. Repeat the same process with the remaining dough portions.Preheat the skillet on medium flame. Place the rolled thepla gently on it and cook on both sides, using oil or ghee till the thepla have brown spots on either side. Serve the Onion Thepla Recipe along with Yellow Pumpkin Dal , Bihari Karela and Aloo Ki Subzi and raita to make it a complete meal for your everyday lunch.
</t>
  </si>
  <si>
    <t>https://www.archanaskitchen.com/onion-thepla-recipe</t>
  </si>
  <si>
    <t>Atte Ka Halwa Recipe - Whole Wheat Flour Halwa with Khoya</t>
  </si>
  <si>
    <t>1 cup Whole Wheat Flour,1/2 cup Sooji (Semolina/ Rava),1/2 cup Khoya (Mawa),1 tablespoon Cardamom Powder (Elaichi),1 tablespoon Badam (Almond),1 tablespoon Cashew nuts - to garnish,1/4 cup Ghee,1 cup Sugar</t>
  </si>
  <si>
    <t xml:space="preserve">To begin making the Atte Ka Halwa Recipe (Whole Wheat Flour Halwa with Khoya), first get all the ingredients ready.Heat a tablespoon of ghee in skillet on medium heat. Add the almonds and cashew nuts and roast until browned and crisp. Turn off the heat and keep aside.Heat 1/2 cup of water and sugar in a saucepan and allow the sugar the melt completely and keep the hot sugar water aside.Heat 1/4 cup of ghee in a heavy bottomed pan or a kadai. Add the wheat flour and sooji and roast on medium heat in the ghee for a good 5 to 6 minutes until you get a roasted aroma from the flour and the flour resembles coarse crumbs and has changed to a little darker brown color.Add the cardamom powder, khoya and again mix it well. Cook the Atte Ka Halwa along with a khoya for another 5 minutes. Keep stirring continuously and when the halwa begins to thicken add the sugar water and keep stirring continuously. You will notice the halwa will splutter and start thickening. Keep stirring for another 5 minutes till you notice the halwa leaves the sides of the pan. Once it does turn off the heat and transfer the Atte Ka Halwa to a serving bowl. Garnish with the roasted almonds and cashew nuts and serve.Serve the Atte Ka Halwa along with a traditional Indian meal or simply make it as a dessert for festivals when you have friends and family over.
</t>
  </si>
  <si>
    <t>http://www.archanaskitchen.com/atte-ka-halwa-recipe-whole-wheat-flour-halwa-with-khoya</t>
  </si>
  <si>
    <t>Bharwa Lauki Recipe In No Onion No Garlic Makhani Gravy</t>
  </si>
  <si>
    <t>1 Bottle gourd (lauki) - peeled and cut into roundels,1 cup Paneer (Homemade Cottage Cheese) - crumbled,1 tablespoon Gram flour (besan),1 teaspoon Garam masala powder,1 Green Chilli - finely chopped,Salt - to taste,1 Ginger,2 tablespoons Cashew nuts,2 Cardamom (Elaichi) Pods/Seeds,2 Cloves (Laung),2 Dry Red Chillies - (adjust),1 cup Homemade tomato puree,1/2 teaspoon Turmeric powder (Haldi),1 teaspoon Red Chilli powder,2 teaspoons Coriander Powder (Dhania),2 tablespoons Fresh cream,1 teaspoon Garam masala powder,Salt - to taste,Emami Rice Bran Oil - as needed,1 tablespoon Kasuri Methi (Dried Fenugreek Leaves)</t>
  </si>
  <si>
    <t xml:space="preserve">To begin making the Bharwa Lauki Recipe In No Onion No Garlic Makhani Gravy, first prep and keep all the ingredients ready.Combine all the ingredients for the stuffing in a mixing bowl. Fill the cut lauki roundels with the stuffing.Heat a shallow pan with a little oil on medium heat. Place the stuffed lauki on the oil and shallow fry until the filling and the lauki gets a little golden brown from the sides and center.For the Makhani Gravy:Grind the cashew nuts, ginger, red chillies, cardamom pods and cloves along with water to a smooth paste.Heat the rice bran oil in a heavy bottomed pan; add in the cashew and spice paste and sauté on medium heat for a few seconds.Next add the tomato puree, coriander powder, red chilli powder, turmeric powder, salt and garam masala powder. Stir for another couple of minutes until the tomatoes begin to come to a bubble state.Stir in the fresh cream and give it a brisk boil.We will now prepare the coal for smoking.This method of coal smoking is not shown in the video. If you don't have access to coal, you can skip this step.Place the coal on the flame and allow it to become red hot. Once you notice that the coal is red hot, place it in a small heat proof cup. Place this cup of coal on top of the simmering Bharwa Lauki.Add a spoon of ghee on top of the coal. It will begin to smoke. At this stage, immediately close the lid  and allow the mixture to simmer for another 5 minutes. This helps the Makhani gravy to get the smoked flavor.After five minutes, turn off the heat, stir in the kasuri methi for added flavor. Spoon and transfer the Makhani gravy into the serving bowl and place the Bharwa Lauki over the gravy and serve hot.Serve the delicious Bharwa Lauki Recipe In No Onion No Garlic Makhani Gravy along with Jeera Rice, Tawa paratha and Palak Raita Recipe (Spinach Yogurt Salad) for a delicious Sunday lunch.
</t>
  </si>
  <si>
    <t>http://www.archanaskitchen.com/bharwa-lauki-recipe-in-no-onion-no-garlic-makhani-gravy</t>
  </si>
  <si>
    <t>Bhindi Masala Gravy Recipe - Ladies Finger In Tomato Onion Gravy</t>
  </si>
  <si>
    <t>250 grams Bhindi (Lady Finger/Okra) - thinly sliced,1 Onion - roughly chopped,1 inch Ginger,5 cloves Garlic,2 Green Chillies - chopped,2 Cloves (Laung),1 Cardamom (Elaichi) Pods/Seeds,1 inch Cinnamon Stick (Dalchini),1 Mace (Javitri),3 Tomatoes - roughly chopped,2 tablespoons Curd (Dahi / Yogurt),1 tablespoon Kasuri Methi (Dried Fenugreek Leaves),1 Bay leaf (tej patta),1/2 teaspoon Turmeric powder (Haldi),1/2 teaspoon Red Chilli powder,1 teaspoon Coriander Powder (Dhania),Sunflower Oil,Salt - to taste,Sunflower Oil,Salt - to taste</t>
  </si>
  <si>
    <t xml:space="preserve">To begin making the Bhindi Masala Gravy Recipe, make sure to first rinse and dry each Bhindi. This process is done in order to ensure that the bhindi doesn't get sticky while cooking it. After wiping the bhindis dry, slit the bhindi vertically till about half an inch from the tail (thinly sliced), so that each bhindi is slit but held together by the tail. Heat oil for cooking into a pan; add the bhindi, sprinkle some salt and saute the bhindi until cooked.Cover the pan of the bhindi partially while it is cooking. This will help the bhindi steam cook, at the same time roast a bit. Keeping the lip ajar, helps the steam at the same time, trap a little steam. It will take a good 10 minutes to cook the bhindi. Keep stirring to ensure it gets roasted well on all sides.Next step is to make the gravy for the Bhindi Masala.Add the tomatoes, into a mixer grinder and make a puree. Keep aside.In a mixer grinder, add garlic, onions, ginger, chillies, cloves, cardamom, cinnamon stick and made and grind it to a smooth paste. Keep aside. Heat oil in a pan on medium heat; add in the bay leaf and saute for about 10 seconds.After 10 seconds, add in the  onions garlic and spice paste and saute for 2 to 3 minutes.Add the turmeric powder, red chilli powder, coriander powder and mix everything well. Cook for about a minute until the raw smell goes away. Next, add the tomato puree, curd and salt. It will take about 2 to 3 minutes over medium heat for the tomato to cook. Check the salt and allow the masala to be thick.Once done, add the roasted bhindi into the masala gravy. Check the salt and turn the heat to high and cook for another minute so that the bhindi gets coated well with the masala.After a couple of minutes, add the crushed kasuri methi and turn off the heat.Garnish the Bhindi Masala Gravy with chopped coriander leaves and serve hot.Serve Bhindi Masala Gravy along with Paneer Biryani, Jackfruit Biryani or any Biryani of your choice for a vegetarian lunch or dinner. If can also serve the along with Tawa Paratha and Boondi Raita for an Indian lunch or dinner.
</t>
  </si>
  <si>
    <t>http://www.archanaskitchen.com/bhindi-masala-recipe-for-biryani-lady-finger-in-tomato-onion-gravy</t>
  </si>
  <si>
    <t xml:space="preserve">Punjabi Sabut Moong Ki Dal </t>
  </si>
  <si>
    <t>पंजाबी साबुत मूंग की दाल रेसिपी</t>
  </si>
  <si>
    <t>1 cup green moong dal, 2 onions - chopped, 2 tomatoes - chopped, 1 inch ginger - grated, 4 long garlic - grated, 2 green chillies, 1 teaspoon oil, 1 teaspoon cumin seeds, 1/4 teaspoon garam masala powder, salt - according to taste, 1/2 teaspoon turmeric powder, 1 teaspoon ghee, 1/2 teaspoon Kashmiri red chilli powder, green coriander - chopped</t>
  </si>
  <si>
    <t>"Punjabi Whole Moong Dal, First wash the dal thoroughly and soak it for 4-5 hours. Now put dal, 3 cups water, salt and turmeric powder in a pressure cooker. Close the cooker and cook on high flame till 1 whistle. Reduce the flame and let it cook for 5 minutes. Close the cooker and let the pressure release. Now heat oil in a pan. Add cumin seeds and let it cook for 10 seconds. After 10 seconds add onion, green chili, ginger and garlic and cook till the onion turns golden. After the onion becomes soft add tomatoes and cook till the tomato becomes soft. After the tomato becomes soft add dal, garam masala and let it cook for 2 to 3 minutes. Now heat ghee in a tadka pan. When the ghee is hot, add Kashmiri chili powder and after 30 seconds add it to the dal. Now add lemon juice and garnish with green coriander Serve Punjabi Whole Moong Dal with Lauki Badi Sabzi and Phulkas for lunch.</t>
  </si>
  <si>
    <t>http://www.archanaskitchen.com/punjabi-sabut-moong-ki-dal-recipe-in-hindi</t>
  </si>
  <si>
    <t>Corn Bhel Recipe</t>
  </si>
  <si>
    <t>1 cup Sweet corn - boiled,1 Onion - chopped,1 Potato (Aloo) - boiled,2 tablespoons Sweet Chutney (Date &amp; Tamarind),2 tablespoons Green Chutney (Coriander &amp; Mint),1 tablespoon Chaat Masala Powder,2 Green Chillies - chopped,2 sprig Coriander (Dhania) Leaves - chopped,Salt and Pepper - to taste,Sev - to garnish</t>
  </si>
  <si>
    <t xml:space="preserve">To begin making the Corn Bhel recipe, take a mixing bowl and mix corn kernels, onion, potato, green chillies and coriander leaves well.Add both date tamarind, dhaniya pudina chutney and mix everything properly.Next add chaat masala and salt to taste. Sprinkle some sev and some more fresh coriander. Mix everything and serve immediately.Serve Corn Bhel along with Masala Chai for your evening snack.
</t>
  </si>
  <si>
    <t>http://www.archanaskitchen.com/corn-bhel-recipe</t>
  </si>
  <si>
    <t>Dhaba Style Egg Curry Recipe</t>
  </si>
  <si>
    <t xml:space="preserve">ढाबा स्टाइल एग करी रेसिपी - </t>
  </si>
  <si>
    <t>4 eggs - boiled, 1 tbsp ghee, 1/2 tsp cumin seeds, 1/2 tsp mustard seeds, 1/4 tsp asafoetida, 3 cloves, 1 bay leaf, 1 big cardamom, 2 cardamoms, 4 dried red chillies, 1 inch ginger - finely chopped, 4 cloves garlic - finely chopped, 1 onion - finely chopped, 1 cup tomato puree, 2 tbsp curd, 1 tsp Kashmiri red chilli powder, 1/2 tsp turmeric powder, 1 tsp coriander powder, salt - as per requirement, water - as per requirement, green coriander - a little</t>
  </si>
  <si>
    <t>"To make Dhaba Style Egg Curry Recipe, first prepare all the ingredients. Boil the eggs and keep aside. Now heat ghee in a pressure cooker. Add cumin seeds, mustard seeds, asafoetida, bay leaves, dried red chillies, black cardamom, cardamom, cloves and cook for 30 seconds. Now add onion, ginger, garlic and cook till onion becomes soft. After onion becomes soft, add Kashmiri red chilli powder, turmeric powder, coriander powder, salt, mix and cook for 3 to 4 minutes. After 4 minutes add tomato puree and cook for 5 to 6 minutes. After this add curd, water as per requirement and cook on low flame for 1 minute. Close the cooker and cook till 2 whistles. Let the pressure of the cooker release automatically. Open the cooker, add coriander leaves and mix. Halve the eggs and add to the curry and mix well. Serve. Dhaba Style Egg Curry Serve the recipe with Boondi Raita and Tawa Paratha for dinner. "</t>
  </si>
  <si>
    <t>https://www.archanaskitchen.com/dhaba-style-egg-curry-recipe-in-electric-pressure-cooker-in-hindi</t>
  </si>
  <si>
    <t>Kadhai Tofu Sabji Recipe</t>
  </si>
  <si>
    <t>250 grams Tofu - firm,1 Green Bell Pepper (Capsicum) - diced,1 Onion - diced,1 teaspoon Garlic - paste,1 teaspoon Ginger - paste,2 Tomatoes - blanched,1 teaspoon Cumin seeds (Jeera),1 teaspoon Kasuri Methi (Dried Fenugreek Leaves) - crushed,1 tablespoon Sunflower Oil,1/2 teaspoon Turmeric powder (Haldi),1/2 teaspoon Sugar,Salt - to taste,Coriander (Dhania) Leaves - as required,2 teaspoon Coriander (Dhania) Seeds,5 to 6 Whole Black Peppercorns,1 teaspoon Fennel seeds (Saunf),1 teaspoon Cumin seeds (Jeera),1 teaspoons Anardana Powder (Pomegranate Seed Powder),3 to 4 Dry Red Chilli,1 Bay leaf (tej patta),1 Black cardamom (Badi Elaichi),1/2 teaspoon Amchur (Dry Mango Powder)</t>
  </si>
  <si>
    <t xml:space="preserve">To begin making the Kadai Tofu Sabji, first make the dry masala.In a small pan, dry roast the coriander seeds, peppercorns, fennel seeds, cumin seeds, red chillies, tejpatta and black cardamom. Cool and coarsely grind it in a blender along with the Anardana and dry mango powder.Now we will make the Kadai Tofu SabjiIn a kadai/wok, heat the oil. Add the cumin seeds and let it splutter.Once done add  the onion and the  ginger and garlic paste and sauté for a few seconds till the onion becomes translucent.Once the onions have turned translucent add  the turmeric powder, tomato puree and cook for 1 to 2 minutes.Add 2 to 3 teaspoons of the freshly ground masala and kasuri methi, mix well to combine.Once done add the capsicum and stir fry for a few seconds. Add the Tofu cubes, sprinkle salt and sugar.Mix nicely so that the masala coats the Tofu cubes. Cook for another minute.Garnish with coriander leaves and transfer Kadai Tofu Sabji to a serving bowl,it is ready to be served.Serve Kadhai Tofu Sabji with Pudina Lehsun Laccha Paratha, Dal Palak and Red Cabbage Carrot, Sprout And Onion Salad for a wholesome lunch.
</t>
  </si>
  <si>
    <t>http://www.archanaskitchen.com/kadhai-tofu-sabji-recipe</t>
  </si>
  <si>
    <t>Vrat Ki Kachori Recipe (Savory Buckwheat Paneer Pastry)</t>
  </si>
  <si>
    <t>100 grams Buckwheat Flour (Kuttu Ka Atta),2 Green Chillies - chopped,Rock Salt - to taste,1/2 teaspoon Red Chilli powder - with black pepper powder (adjust according to your taste),1 Potato (Aloo) - boiled &amp; mashed,Water - to knead the dough,Sunflower Oil - to fry,1 cup Paneer (Homemade Cottage Cheese),Rock Salt - to taste,Black pepper powder - to taste,2 Green Chillies - chopped,1 tablespoon Coriander (Dhania) Leaves - optional</t>
  </si>
  <si>
    <t xml:space="preserve">To begin making the Vrat Ki Kachori Recipe (Savory Buckwheat-Paneer Pastry), start with making the kachori/pastry mix. Mix flour, salt, green chilies, mashed potatoes in a mixing bowl. Add red chilli powder or pepper powder as per preference and mix everything well.Add a little water to knead the dough and knead a soft dough. Once it is done, keep the dough covered for 5 minutes.Meanwhile, we will prepare the paneer filling for Vrat Ki Kachori. For the filling, mash the paneer, along with the rest of ingredients for filling. You can optionally add raisins to oomph up the flavour. Keep it aside. To prepare the Vrat Ki Kachori, heat oil in a Shallow fry pan. Take a small ball of the dough between your palms. The dough will be soft. Press in the center and make an indent.Put the paneer filling in the indent and softly bring the edges together till the center and close into a ball again. Now, press between your palms and flatten the kachori lightly.Take some dry buckwheat flour and lightly cover the kachori on all sides. Make all the kachoris like this.Next, heat some oil in a heavy bottomed pan. Put these kachoris in the wok and shallow fry them in the pan on medium heat, till they are crisp on both sides. Take them out on a kitchen towl to absorb the excess oil. Serve hot.Serve this crispy Vrat Ki Kachori Recipe with Paneer filling for evening snacks with No Onion No Garlic Dhaniya Pudina Chutney.
</t>
  </si>
  <si>
    <t>https://www.archanaskitchen.com/vrat-ki-kachori-recipe-savory-buckwheat-paneer-pastry</t>
  </si>
  <si>
    <t>Carrot Semolina Phirni Recipe</t>
  </si>
  <si>
    <t>2 Carrots (Gajjar) - grated,500 ml Milk,5 tablespoons Sugar,1/2 cup Sooji (Semolina/ Rava),1/2 teaspoon Cardamom Powder (Elaichi),10 Badam (Almond) - blanched,2 tablespoons Ghee,5 Saffron strands</t>
  </si>
  <si>
    <t xml:space="preserve">To begin making the Carrot Semolina Phirni Recipe, we will first saute the grated carrots with a tablespoon of ghee on to a sauce pan. Saute them for just 5 minutes.Heat milk over sauce pan, add sugar allow it to boil. After it has reached the boiling stage, add the grated carrot, cardamom powder, saffron strands and boil it again for another 10 minutes.At the end add semolina and stir well so that there are no lumps formed.  Once it thickens switch of the heat. Keep it aside.Heat a small sauce pan, add the remaining ghee, once it starts to melt add the silvered almonds and toast them for 10 seconds and pour it over the phirni and serve.Serve the Carrot Semolina Phirni Recipe after a nice meal of dum biryani and gola kabab for your Sunday lunch. 
</t>
  </si>
  <si>
    <t>http://www.archanaskitchen.com/carrot-semolina-phirni-recipe</t>
  </si>
  <si>
    <t>Achari Paneer Masala Recipe</t>
  </si>
  <si>
    <t>अचारी पनीर मसाला रेसिपी</t>
  </si>
  <si>
    <t>250 grams paneer, 2 onions - finely chopped, 4 tomatoes, 1 capsicum (green), 4 cashews, 1 tablespoon mustard oil, 1 green chilli, asafoetida - a pinch, salt - according to taste, 1 tablespoon coriander seeds, 1 tablespoon fennel, 1 teaspoon mustard, 1/2 teaspoon fenugreek seeds, 2 dried Kashmiri chillies, 1/4 teaspoon nigella seeds, 1 teaspoon cumin seeds</t>
  </si>
  <si>
    <t>"To make Achari Paneer Masala Recipe, first of all, soak cashews in hot water for 15 to 20 minutes. Now in a pan, add coriander seeds, fennel seeds, mustard seeds, fenugreek seeds, Kashmiri dried red chillies, kalonji, cumin seeds and cook for 5 to 10 minutes. After it cools down, put it in a mixer grinder and grind it. Put capsicum, cashews, tomatoes in a mixer grinder and make a puree. Keep it aside. Heat mustard oil in a pan. After it gets heated, add green chillies, asafoetida and cook for 10 to 15 seconds. After this add chopped onions and cook till they turn golden brown. Now add ground dry masala and cook for 30 seconds. After 15 to 20 seconds add tomato capsicum cashew puree and cook for 6 to 8 minutes. Now add paneer, mix and cook for 2 Cook for minutes. Add salt to taste, mix and serve. Serve Achari Paneer Masala recipe with Makhani Daal, Jeera Rice, Boondi Raita and Phulkas for a weekend meal.</t>
  </si>
  <si>
    <t>https://www.archanaskitchen.com/achari-paneer-masala-recipe-in-hindi</t>
  </si>
  <si>
    <t>Dhaba Style Tawa Pulao Recipe - Masala Brown Rice Tawa Pulao</t>
  </si>
  <si>
    <t>1 cup Brown Rice,2 tablespoons Ghee,1 tablespoon Cumin seeds (Jeera),1 Green Chilli - finely chopped,1 Onion - finely chopped,1 Tomato - finely chopped,1 Carrot (Gajjar) - finely chopped,1/4 cup Green peas (Matar) - steamed,1/4 cup Sweet corn - steamed,Salt - to taste,1/2 tablespoon Red Chilli powder,1 tablespoon Pav bhaji masala,Coriander (Dhania) Leaves - a small bunch</t>
  </si>
  <si>
    <t xml:space="preserve">To begin making the Dhaba Style Tawa Pulao recipe, first cook the brown rice in 1-1/2 cups of water in a pressure cooker for 3 to 4 whistles. Turn off the heat and allow the pressure to release naturally.Once the pressure has released, open the cooker and allow the rice to cool completely, before adding it to the Tawa Masala.To make the Tawa Masala, heat ghee in a heavy bottomed pan. Once the ghee is hot, add cumin seeds and let them crackle. Add chopped green chillies, onions and cook them till the onions are soft and translucent.Once the onions are soft, add chopped carrot, green peas and corn. Cook for about a minute or two until slightly tender.Add salt to taste, red chilli powder and pav bhaji masala.Once the vegetables are cooked, add tomatoes and cook for about a minute. After a minute, add the cooked brown rice and mix everything well. Cover the pan with a lid and let Dhaba Style Tawa Pulao cook for 2 to 3 minutes more. Open the lid and give the Tawa Pulao a good stir.Once done, switch off the gas and garnish the Dhaba Style Tawa Pulao with chopped coriander leaves and serve hot.Serve Dhaba Style Tawa Pulav along with Palak Raita, Tadka Raita or any other Raita of your choice, Satvik Carrot Sprout Salad and Papad for a weeknight dinner.
</t>
  </si>
  <si>
    <t>http://www.archanaskitchen.com/dhaba-style-tawa-pulao-recipe-masala-brown-rice-tawa-pulao</t>
  </si>
  <si>
    <t>Makki Ki Baked Mathri Recipe (Baked Cornmeal Flaky Biscuit)</t>
  </si>
  <si>
    <t>2 cup Corn meal,2 to 3 tablespoons Sesame seeds (Til seeds),1/2 tablespoon Kasuri Methi (Dried Fenugreek Leaves),Sunflower Oil - as required,1/2 teaspoon Whole Black Peppercorns - crushed,Salt - to taste,1 cup Water - warm</t>
  </si>
  <si>
    <t xml:space="preserve">To begin making the Makki Ki Baked Mathri recipe, take a bowl and add corn meal (Makki ka aata), salt, crushed black pepper, kasoori methi and oil in the flour.Knead a soft dough with lukewarm water. Leave the dough covered for 10 to 15 minutes. Mash the dough to make it soft.Preheat the oven at 180 degree C. Take out a small lump from the dough and shape it like a ball. Flatten it a little with both hands. Now place the Mathris on a baking tray.Bake them for at least 25-30 minutes in an oven or until they turned light brown from both the sides.The delicious Corn flaky Mathris are now ready to serve and eat. You can put them in an air tight container and you can enjoy them for at least a month.Serve Makki Ki Baked Mathri along with hot masala chai for your tea time break.
</t>
  </si>
  <si>
    <t>https://www.archanaskitchen.com/makki-ki-baked-mathri-recipe-baked-cornmeal-flaky-biscuit</t>
  </si>
  <si>
    <t>Kadai Broccoli Masala Recipe - Broccoli Cooked With Indian Spices</t>
  </si>
  <si>
    <t>500 grams Broccoli - cut into little florets,1 Red Bell pepper (Capsicum) - diced,1 Onion - roughly chopped,2 Tomatoes - pureed,1 inch Ginger - finely chopped,4 cloves Garlic - finely chopped,1 teaspoon Red Chilli powder,1 teaspoon Garam masala powder,1 Black cardamom (Badi Elaichi),1/4 Water,Salt - to taste,2 tablespoons Sunflower Oil,1 tablespoon Kasuri Methi (Dried Fenugreek Leaves),1 tablespoon Coriander (Dhania) Seeds,1 teaspoon Cumin seeds (Jeera),1/2 teaspoon Fennel seeds (Saunf)</t>
  </si>
  <si>
    <t xml:space="preserve">To begin making Kadai Broccoli Masala Recipe, let us begin by cooking the Broccoli.Heat a heavy bottomed pan on medium flame, add a teaspoon of oil, add broccoli florets and 5 tablespoons of water.Add salt, and mix well. Cover and cook, until it is al dente. (70% cooked) Do not over cook.The broccoli florets have to be cook yet remain crunchy. Keep aside. Do not drain the water, if any left. In another pan, add ingredients for the kadai masala powder which includes coriander seeds, cumin seeds, fennel seeds except kasuri methi and dry roast for 5 minutes on medium flame until the aroma rises.  Switch off heat, add crushed kasuri methi and give a quick stir and cool completely. Transfer into a mixer jar and grind into a coarse powder in a mixer grinder and keep aside.Add remaining oil to a heavy bottomed pan on medium heat. Once the oil is hot, add onions, ginger and garlic and saute until they turn soft and transparent. This will take about 3-4 minutes. Once the onions and ginger garlic is well cooked, add the capsicum, salt and cook till the capsicum becomes soft for about 2 minutes. Next, add tomatoes and bai elaichi and mix well.Cook for about 3 to 4 minutes until the tomato becomes thick. At this stage, add the prepared kadai masala powder, garam masala, red chilli powder and mix everything well. Stir in the Once it boils, add broccoli florets, give it a quick stir and cover and cook for about 3 minutes and turn off the heat. Check the salt and spices and adjust to suit your taste.Serve Kadai Broccoli Masala Recipe along with Tawa Paratha and Boondi Raita for a weekday meal with your family.
</t>
  </si>
  <si>
    <t>http://www.archanaskitchen.com/kadai-broccoli-masala-recipe-broccoli-cooked-with-indian-spices</t>
  </si>
  <si>
    <t>Palak Pakora Recipe</t>
  </si>
  <si>
    <t>पालक पकोरा रेसिपी</t>
  </si>
  <si>
    <t>3/4 cup gram flour, 1/4 cup rice flour, 1 cup spinach - chopped, 1 onion - finely chopped, 1 green chilli - finely chopped, 2 cloves garlic - grated, 1 inch ginger - grated, 1 teaspoon fennel, salt - according to taste, oil, chaat masala powder - according to taste</t>
  </si>
  <si>
    <t>"To make Palak Pakora, first prepare all the ingredients and keep them aside. In a mixing bowl, add gram flour, rice flour, spinach, onion, green chilies, garlic, ginger, fennel seeds, salt and mix well. Now add some water and make a thin batter. Heat a paniyaram pan and pour some oil in each cavity. Once heated, pour the pakora mixture in each cavity and let it cook on both sides. When it becomes crispy from both sides, remove from the pan and serve hot. Serve Palak Pakora with Coriander Mint Chutney and Masala Chai for evening snack."</t>
  </si>
  <si>
    <t>https://www.archanaskitchen.com/palak-pakora-recipe-made-in-kuzhi-paniyaram-pan-in-hindi</t>
  </si>
  <si>
    <t>Chana Methi Dal Recipe - Fenugreek &amp; Split Bengal Gram Curry</t>
  </si>
  <si>
    <t>1 cup Chana dal (Bengal Gram Dal),1 cup Methi Leaves (Fenugreek Leaves) - a bunch,1/4 teaspoon Asafoetida (hing),1 Onion - thinly sliced,1 Tomato - chopped,1 teaspoon Coriander Powder (Dhania),1 teaspoon Turmeric powder (Haldi),1 teaspoon Red Chilli powder,Salt - to taste,1 tablespoon Ghee,1 teaspoon Cumin seeds (Jeera),2 Dry Red Chillies</t>
  </si>
  <si>
    <t xml:space="preserve">To prepare the Chana Methi Dal, first wash and soak the chana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 Methi leaves cooks very quickly and this will take less than 3 minutes to cook. Once the leaves have softened, turn off the heat. Keep it aside.In the next step, we will cook the Chana dal with the spices. Heat a teaspoon of oil in a pressure cooker over medium heat.  Add asafoetida and saute for few seconds. Next add onion and saute till they turn soft.Once the onions have softened, add the chopped tomato along with coriander powder, turmeric powder, red chili powder and saute for a minute or so over medium heat.Add soaked chana dal along with the soaked water to the onion tomato mixture. Close the lid of the pressure cooker and put the weight on. Cook chana dal for 5 to 8 whistles and turn off the heat. Allow the pressure to release naturally from the pressure cooker.Once the pressure has released, open the cooker and lightly mash the dal with the back of a spoon. Stir in the sautéed methi leaves. Transfer the Chana Methi Dal to a serving bowl.Heat ghee in a tadka pan over medium heat; add the cumin seeds and the red chillies. Allow the chillies to roast for a few seconds and pour the tadka for the Chana Methi Dal and serve hot.Serve Chana Methi Dal along with Raita for a wholesome weekday lunch.
</t>
  </si>
  <si>
    <t>https://www.archanaskitchen.com/chana-methi-dal-recipe-fenugreek-split-bengal-gram-curry</t>
  </si>
  <si>
    <t>Aam Ki Launji Recipe</t>
  </si>
  <si>
    <t>500 grams raw mango - peel and cut, 1/4 cup jaggery, 1/2 teaspoon red chili powder, salt - according to taste, 1 tablespoon oil, 1/2 teaspoon asafoetida, 1/4 teaspoon fenugreek seeds, 1 teaspoon cumin, 1 teaspoon fennel, 1/2 teaspoon turmeric powder, black salt or rock salt - according to taste, 1/2 teaspoon garam masala powder</t>
  </si>
  <si>
    <t>"To make Aam Ki Launji recipe, first wash and clean the mangoes. Cut them into wedges and keep aside. Heat oil in a pan. Add cumin seeds, fenugreek seeds, fennel seeds and let them crackle. Add asafoetida, turmeric powder, mangoes and mix well. After 1 minute, add 3/4 cup water, salt, black salt, red myrobalan powder and mix well. Cover the pan and let the mangoes cook for 10 minutes. After 10 minutes, open the pan, add jaggery, garam masala and mix well. Cook till it thickens and turn off the gas. Let it cool and pour into a glass bottle and store. Serve Aam Ki Launji recipe with Aloo Pyaaz ki Sabzi and Ajwain Puri for lunch."</t>
  </si>
  <si>
    <t>http://www.archanaskitchen.com/aam-ki-launji-pickle-recipe-sweet-spicy-mango-pickle-in-hindi</t>
  </si>
  <si>
    <t>Methi Moong Dal Recipe</t>
  </si>
  <si>
    <t>1 cup yellow moong dal - split, fenugreek - a little, 1/4 tsp asafoetida, 1 tsp cumin seeds, 1 onion - thinly sliced, 1 tomato - chopped, 2 tsp coriander powder, 1 tsp turmeric powder, 1 tsp red chilli powder, salt - according to taste, 2 tsp oil</t>
  </si>
  <si>
    <t>"To make Methi Moong Dal recipe soak moong dal in 3 cups of water for 30 minutes. Now wash and dry the fenugreek as well. Chop the fenugreek finely and keep aside. Heat oil in a pan. Add fenugreek and cook till fenugreek becomes soft. After fenugreek becomes soft, turn off the gas and keep aside. Now heat oil in a pressure cooker. Add asafoetida, cumin seeds and cook till cumin seeds crackle. Now add onions and cook till they become soft. After onions become soft, add tomatoes, coriander powder, turmeric powder, red chili powder and cook for 1 minute. Now add moong dal and water and close the cooker. Cook till 2 to 3 whistles. Now reduce the flame of the gas and cook for 5 minutes. Turn off the gas and let the pressure release. Open the cooker, mix and serve. Serve Methi Moong Dal with Ajwain Tomato Serve Bhindi, Phulka and Lauki with Raita for dinner.</t>
  </si>
  <si>
    <t>http://www.archanaskitchen.com/methi-moong-dal-palak-recipe-in-hindi</t>
  </si>
  <si>
    <t>Paneer Bhurji Gravy (Recipe In Hindi)</t>
  </si>
  <si>
    <t>Oil - as per requirement, 1/2 tsp cumin seeds, 1/2 tsp mustard seeds, 1/4 tsp asafoetida, 1 bay leaf, 1 dried red chilli, 2 cloves, 1 big cardamom, 2 cardamoms, 1 onion - finely chopped, 1/2 tbsp ginger - make a paste, 1/2 tbsp garlic - make a paste, 1/4 cup tomato puree, 1 tomato - chop, 1/4 cup green peas - boil and mash, 1 cup paneer - crumbled, green coriander - a little, 1 tsp red chilli powder, 1/2 tsp turmeric powder, 1 star anise, 1 tsp coriander powder, 1/2 tsp garam masala powder, salt - as per requirement, water - as per requirement</t>
  </si>
  <si>
    <t>"To make paneer bhurji gravy, first heat oil in a pan. Add cumin seeds, mustard seeds, bay leaves, dried red chillies, black cardamom, cardamom and asafoetida. After 15 seconds add onions and cook till onions become soft. After onions become soft, add ginger garlic paste and let it cook for 2 minutes. After 2 minutes add tomatoes and tomato puree. Cover the pan and let it cook for 3 to 4 minutes. After this add red chilli powder, turmeric powder, coriander powder, garam masala powder and salt. Let it cook for 5 minutes. After 5 minutes add paneer and water. Mix everything and let it cook for 6 to 8 minutes. Now add boiled green peas, mix, cover the pan and let it cook for next 3 to 5 minutes. After cooking, turn off the gas and garnish with green coriander. Serve paneer bhurji gravy for dinner with palak raita and tawa paratha Serve it for 24 hours.</t>
  </si>
  <si>
    <t>https://www.archanaskitchen.com/paneer-bhurji-gravy-recipe-in-hindi</t>
  </si>
  <si>
    <t>Kachi Tikya Recipe  - Chicken In Tomato Gravy With Potatoes</t>
  </si>
  <si>
    <t>1 kg Chicken - minced,2 Onion - finely chopped,10 Green Chillies,3 tablespoon Coriander (Dhania) Leaves,1 Whole Egg,Salt - as per taste,2 tablespoon Red Chilli powder - adjustable,2 tablespoon Cumin powder (Jeera),4 Tomatoes - finely chopped,1 tablespoon Cumin seeds (Jeera),1/2 cup Sunflower Oil,1 teaspoon Garam masala powder,1/4 teaspoon Mace powder,1 tablespoon Ginger Garlic Paste,4 Potatoes (Aloo)</t>
  </si>
  <si>
    <t xml:space="preserve">To begin making the Kachi Tikya recipe, marinate the chicken kheema with ginger garlic paste, onions, red chilli powder, salt, cumin powder, green chillies and coriander leaves. Mix it well and set it aside for 1-2 hours. After 2 hours, take small portion of it and make small tikiyas out of the marinated chicken. Now heat some oil in a shallow frying pan and fry the tikkis from both the sides. Once it is cooked, keep it aside. Heat the required oil in a heavy bottomed pan. Add cumin seeds and when it crackles add slit green chillies and potatoes to it. Let it cook for 2 minutes, then add the tomatoes, cumin powder, black pepper powder, garam masala powder and a little water.After a minute, add the tikyas and cook till all the water evaporates and oil leaves from side. Mix well and let it cook on simmer for another 10 minutes. Serve hot.Serve Kachi Tikya as a side dish along with Hariyali Mutton Curry and Whole Wheat Lachha Paratha for a weekend meal.
</t>
  </si>
  <si>
    <t>https://www.archanaskitchen.com/kachi-tikya-recipe-chicken-in-tomato-gravy-with-potatoes</t>
  </si>
  <si>
    <t>Potato Stuffed Dal Dhokli</t>
  </si>
  <si>
    <t>1 Cup Wheat Flour, Salt - according to taste, 1 Tbsp Oil, 1 Tbsp Wheat Flour - for rolling, 3 Potatoes - boiled and grinded, 1 Tbsp Red Chilli Powder, 1/2 Tbsp Garam Masala Powder, 2 Tbsp Coriander Leaves - finely chopped, 1 Tbsp Sugar - (optional), 1/2 Tbsp Lemon Juice, 1 Cup Toor Dal - boiled and grinded, 1/4 Tbsp Turmeric Powder, 1/3 Cup Peanuts - boiled, Salt - according to taste, 1 Tomato - finely chopped, 1 Green Chilli - finely chopped, 1 inch Ginger - grated, 1/2 Tbsp Lemon Juice, 3 Tbsp Jaggery - finely chopped, 1 Tbsp Oil, 1/2 Tbsp Mustard Seeds, 1/2 Tbsp Cumin Seeds, 1/4 Tsp Asafoetida, 10 Curry Leaves, 2 Round Dry Red Chilli, 1 Inch Cinnamon Stick, 2 Cloves, 1 Bay leaves, 4 tablespoons Coriander leaves - finely chopped</t>
  </si>
  <si>
    <t>"To make Aloo Bharma Dal Dhokli, first of all we will make Dhokli. Sieve the flour and add salt to it. After that knead the flour well with water. Push the kneaded dough and keep it aside for 10 to 15 minutes. After this prepare the masala for filling in Dhokli. Mix salt, red chili powder, turmeric powder, coriander powder, garam masala, lemon juice and sugar in the ground potato. Mix everything well and make small round balls of it. Now divide the kneaded dough into 10 to 15 parts. Make each piece of dough 3 to 4 inches like a roti. Put the potato masala in the middle of the roti and close it. Similarly make all the other Dhoklis as well. Now to make the dal, pressure cook the dal with water and turmeric. Cook till 3 whistles and then close the cooker. Cook the cooked dal Mix it in a cup of hot water and blend it with the help of a blender. Transfer this dal mixture to a pan and add turmeric powder, boiled peanuts, salt, tomatoes, green chillies, ginger, lemon juice and jaggery. Mix it well and let it cook for 10 to 15 minutes. Now add dhokli and let it cook till the dal comes to a boil. This will take at least 15 minutes. Now prepare the tempering for dhokli. Heat oil in a tempering pan. Add mustard seeds and cumin seeds to it. After 10 seconds add asafoetida, curry leaves, dried red chillies, cinnamon, bay leaves and cloves. Mix it with the dal after 30 seconds. Let it cook for 5 minutes and serve it hot. Serve Aloo Bharma Dal Dhokli with Kachumber Salad and Garlic Chutney for dinner. "</t>
  </si>
  <si>
    <t>https://www.archanaskitchen.com/potato-stuffed-dal-dhokli-recipe-2</t>
  </si>
  <si>
    <t xml:space="preserve">Methi Leaves Curry </t>
  </si>
  <si>
    <t>1 cup fenugreek - finely chopped, 1/2 cup gram flour, 3 tablespoons oil, 5 garlic - grated, 1/2 cumin seeds, 1/3 tablespoon turmeric powder, 1 tablespoon chili powder, salt - according to taste, 1 tablespoon lemon juice, 1 tablespoon sugar</t>
  </si>
  <si>
    <t>"To make fenugreek ki sabzi, first wash fenugreek leaves well in water for 2-3 minutes and keep aside. Heat oil in a pan on medium flame. Add grated garlic and wait for it to turn brown. When garlic turns brown, add cumin seeds and cook for 10-15 seconds. Now add fenugreek leaves and let it cook for 5 minutes. Add 1/2 cup water and let it cook for 5. Now add turmeric, red chilli, salt, sugar and mix well. Take 1/2 cup gram flour in a small bowl and add 1-2 tablespoons of flour and mix well with fingers. Add 1/2 cup water again in the pan and reduce the heat before adding gram flour. Mix gram flour and oil in the pan and stir well so that it does not form lumps. If needed, add some more water, but not more than 1/2 cup No. Cover the pan and let it cook for 10-15 minutes. Keep stirring it with a spatula. Once the gram flour is cooked, mix it well in the curry. Methi ki sabzi is now ready. Serve it with roti and raita.</t>
  </si>
  <si>
    <t>https://www.archanaskitchen.com/methi-leaves-curry-recipe-in-hindi</t>
  </si>
  <si>
    <t>Kasuri Malai Murgh Recipe</t>
  </si>
  <si>
    <t>1 kg Chicken - cut into medium pieces,4 Onions - finely chopped,7 cloves Garlic - finely chopped,1-1/2 inch Ginger - grated,4 Green Chillies,1/2 cup Curd (Dahi / Yogurt),1/2 cup Fresh cream,1/4 cup Cashew nuts - paste,1/4 cup Melon seeds - paste,2 tablespoons Kasuri Methi (Dried Fenugreek Leaves),1 teaspoon Whole Black Peppercorns - freshly ground,2 tablespoons Coriander Powder (Dhania),1-1/2 teaspoons Red Chilli powder,1 pinch Turmeric powder (Haldi),Salt - as required,Sunflower Oil - as required,1 teaspoon Ajwain (Carom seeds),4 Cardamom (Elaichi) Pods/Seeds,2 Black cardamom (Badi Elaichi),4 Cloves (Laung),1 inch Cinnamon Stick (Dalchini),2 Bay leaf (tej patta),1/2 teaspoon Mace (Javitri)</t>
  </si>
  <si>
    <t xml:space="preserve">To begin making the Kasuri Malai Murgh recipe, wash chicken nicely and fry in oil/ghee till they turn golden in colour. Keep them aside.In the same wok/kadhai, add more oil if needed and add all the whole spices and let them crackle.Now add finely chopped or ground onion and saute till raw smell goes off.Now add finely chopped garlic and ginger and saute till golden.Add the fried chicken in the onion mix and fry in high flames for 2 to 3 minutes.Now add fresh curd and kasuri methi and mix everything well.Fry the chicken in low to medium flame till curd leaves water. Cover the lid and allow the chicken to cook for 8 to 10 mins. Meanwhile adjust oil if needed.As soon as the curd reduces and oil starts leaving from the sides, add coriander powder, red chilli powder and chopped green chilies.Mix and fry for 5 to 6 minutes on medium flame.Now add fresh cream and cashew-melon seeds paste and mix such that everything incorporates well.Fry for some time and add salt and water as per required consistency. Close the lid and cook.Once the chicken is done, add freshly ground black pepper and some more crushed kasuri methi and turn off the gas.Serve Kasuri Malai Murgh with Roomali Rotis or Hot phulkas for a perfect dinner.
</t>
  </si>
  <si>
    <t>https://www.archanaskitchen.com/kasuri-malai-murgh-recipe</t>
  </si>
  <si>
    <t>Mixed Millet Khichdi Recipe</t>
  </si>
  <si>
    <t>1-1/2 cup Mixed millets - (mix of foxtail and kodo millet in equal parts,1 Badi (wadi) - crushed,1 Onion - finely chopped,2 Tomatoes - chopped,1 teaspoon Cumin seeds (Jeera),1/2 teaspoon Methi Seeds (Fenugreek Seeds),1 tablespoon Kasuri Methi (Dried Fenugreek Leaves),1/4 teaspoon Asafoetida (hing),1 teaspoon Red Chilli powder,1 teaspoon Ghee,Salt - to taste</t>
  </si>
  <si>
    <t xml:space="preserve">To begin making the Mixed Millet Khichdi, first measure out one cup of mixed millets, wash it thoroughly and leave it in a colander or fine-meshed sieve to drain.In a pressure cooker, the warm the ghee in a pressure cooker on medium heat. To it, add the asafoetida and cumin seeds and allow it to crackle for a few seconds.Once the cumin seeds crackle, add in the chopped onions and saute until they have softened and turned translucent.Once the onions have softened, add in the chopped tomatoes and cook them until soft. At this stage, add the salt, chilli powder, turmeric powder, kasuri methi and crushed vadi. Continue to saute for another 2-3 minutes till the masalas get well combined.Finally, add in the washed and drained millets to the cooker, saute for a minute. Add 5 cups of water, cover the pressure cooker and cook until you hear 2 to 3 whistles. After 2 to 3 whistles, turn the heat to low and simmer for about 3 to 4 minutes and turn off the heat. Allow the pressure to release naturally. Once the pressure releases, open the cooker and give the Mixed Millet Khichdi a good stir. Check the salt and adjust to suit your taste.Serve the Mixed Millet Khichdi along with kadhi, mango rasam or even plain dahi and pickle for a comforting monsoon weeknight dinner.
</t>
  </si>
  <si>
    <t>http://www.archanaskitchen.com/mixed-millet-khichdi-recipe</t>
  </si>
  <si>
    <t>Chironji Ki Dal Recipe</t>
  </si>
  <si>
    <t>1 cup Chironji - soaked in water,250 grams Bhindi (Lady Finger/Okra) - chopped small,1 teaspoon Cumin seeds (Jeera),1 Cardamom (Elaichi) Pods/Seeds,1 teaspoon Whole Black Peppercorns,1 inch Ginger - chopped,2 Green Chilli - slit,1 teaspoon Kashmiri Red Chilli Powder,1 tablespoon Coriander Powder (Dhania),2 tablespoon Curd (Dahi / Yogurt),Salt - to taste,Sunflower Oil</t>
  </si>
  <si>
    <t xml:space="preserve">To begin making the Chironji Ki Dal, soak the chironji seeds in water for at least 1 hour and drain the water.Rub the seeds against your palm to remove the outer layer and discard them.Grind the cleaned seeds in mixer to a coarse paste and keep it aside.Heat a flat skillet with oil, add cumin seeds, cardamom, pepper corns and allow it to splutter for few seconds.Add ginger and cook till it softens. Add chopped ladies finger, green chilli, sprinkle little salt and turmeric and cook till the ladies finger is done. This will take about easily 10 minutes.Add spice powders and curd and keep sautéing until the water from the curd is all drained out.At the end add the ground chironji seed and mix well. Check for salt and add little water to adjust the consistency.Serve the Chironji Ki Dal Recipe along with Bhatura Recipe (Fried Puffed Yogurt Bread) and some Pickled Onions Recipe to make you breakfast complete.
</t>
  </si>
  <si>
    <t>https://www.archanaskitchen.com/chironji-ki-dal-recipe</t>
  </si>
  <si>
    <t>Rajgira Ki Kheer Recipe</t>
  </si>
  <si>
    <t>1 cup Amaranth Seeds (Rajgira),1 liter Milk,2 tablespoons Sugar,2 tablespoons Badam (Almond) - chopped,2 tablespoons Cashew nuts - chopped,2 tablespoons Raisins,1 pinch Saffron strands,2 tablespoons Milk - for soaking saffron,1 teaspoon Cardamom Powder (Elaichi),Rose Petals - to garnish,Pistachios - chopped</t>
  </si>
  <si>
    <t xml:space="preserve">To begin making Rajgira Ki Kheer Recipe, first the rajgira has to be popped. Heat a kadai on low heat with 2-3 tablespoons of rajgira at a time. The rajgira will start popping almost immediately. As they keep popping, remove the popped seeds on a plate. Repeat the procedure till all the rajgira are popped.In a small bowl, add saffron threads to 2 tablespoons warm milk and let it stay for 10 minutes.Once all the ramdana/rajgira are popped, in a heavy bottomed pan, bring the milk to boil. Once the milk reached to near-boiling, add the popped rajgira and stir occasionally, on medium heat.Cook it further for about 10 minutes or till the rajgira are cooked. Add the chopped nuts, raisins, cardamom powder, soaked saffron with milk, and simmer for about 5 minutes.Switch off heat, garnish with pista and rose petals, and serve. You can serve it chilled too.Serve Rajgira Ki Kheer Recipe after a meal of Potato Paneer Curry Without Onion And Garlic, Airfried Yogurt &amp; Cottage Cheese Kebabs and Singhara Atta Cheela.
</t>
  </si>
  <si>
    <t>https://www.archanaskitchen.com/rajgira-ki-kheer-recipe</t>
  </si>
  <si>
    <t>Khatti Arbi Ki Sabzi Recipe - Colocasia In Yoghurt Curry</t>
  </si>
  <si>
    <t>500 grams Colocasia root (Arbi) - skin peeled and boiled,1/2 cup Curd (Dahi / Yogurt),1 teaspoon Mustard seeds,1 teaspoon Turmeric powder (Haldi),2 Dry Red Chillies,2 sprig Curry leaves,Salt - to taste,Sunflower Oil,1 teaspoon Black pepper powder,1 teaspoon Cumin seeds (Jeera),1 teaspoon Methi Seeds (Fenugreek Seeds),4 tablespoon Fresh coconut - grated</t>
  </si>
  <si>
    <t xml:space="preserve">To begin making the Khatti Arbi Ki Sabzi Recipe, we will first pressure cook the arbi in a cooker with water and little salt for at least 4 whistles.Once it is done, allow the pressure to release naturally and drain all the water and set aside to cool. It will be now easy to peel off the skin, cut the arbi into half.In a mixer, add all the ingredients like black pepper powder, cumin seeds, fenugreek seeds and fresh coconut, add little water and grind into a coarse paste.Heat oil in a kadai, add mustard seeds and allow it to splutter for few seconds. Add in curry leaves and leave it to crackle.Drop in some dry red chillies and saute for few seconds. Add in cooked arbi, salt, turmeric powder and saute well till the arbi is roasted well.Once the arbi is sautéed, you can now add the ground coconut paste and mix well.Also add the curd, toss around so that the masala is coated well. Check for salt, and cook Khatti Arbi Ki Sabzi until the moisture from the curry is evaporated and the dish becomes little dry. Once the Khatti Arbi Ki Sabzi is done you can turn the heat off and serve it in a bowl. Serve the Khatti Arbi Ki Sabzi Recipe along with Gujarati Methi Thepla and Matar Paneer to make it a complete meal.
</t>
  </si>
  <si>
    <t>https://www.archanaskitchen.com/arbi-ki-khatta-subzi-recipe-colocasia-in-yoghurt-curry</t>
  </si>
  <si>
    <t>Mirchi Bajji Recipe - Mirapakaya Bajji/Green Chilli Fritters</t>
  </si>
  <si>
    <t>10 Green Chillies - Big,1 1/2 cups Gram flour (besan),1/4 teaspoon Baking soda,Salt - to taste,Sunflower Oil - for deep frying,1 tablespoon Ajwain (Carom seeds),3 tablespoons Sesame seeds (Til seeds) - dry roasted,Salt - to taste,Onions - thinly sliced,Red Chilli powder,1 Lemon juice</t>
  </si>
  <si>
    <t xml:space="preserve">To begin making the Mirchi Bajji Recipe, coarsely grind the stuffing - ajwain and till along with salt in a mixer grinder and keep aside.Take bajji chilies, slit lengthwise (but take care not to break into half). Using the tip of the knife remove the seeds along with thick white vein. Gently stuff the chilies with the coarsely ground stuffing with your fingers and set aside.Heat enough oil in wok/ kadai for deep frying.While the oil is getting heated, in a small mixing bowl, add chickpea flour, salt and baking powder to a bowl and make thick consistency batter by slowly adding water. Whisk gently to avoid lumps and set this aside.Check whether the oil is hot enough to deep fry, by dropping a small ball of batter in the oil. If the batter ball sizzles and reaches the top of the oil, then the oil is ready for deep frying.Dip each of the stuffed green chili in the above made batter and make sure that the stuffed green chili is properly covered with batter. Drop down the batter covered stuffed chili , slowly from the corner of the kadai,Repeat the process and add 2-3 Chilli Bajji at a time, depending on the size of the kadai. Do not overcrowd the kadai.On medium heat, fry the Mirchi Bajji till they turn nice golden. Drain the excess oil by placing the fried Mirchi Bajji on a kitchen paper towel. Repeat to with the remaining stuffed chilies.Serve the Mirchi Bajji hot by garnishing with sliced onions, lemon wedges and fresh coriander leaves as a Tea Time Snack along with hot Adrak Chai Recipe - Indian Style Ginger Tea
</t>
  </si>
  <si>
    <t>http://www.archanaskitchen.com/mirchi-bajji-recipe-mirapakaya-bajji-green-chilli-fritters</t>
  </si>
  <si>
    <t>Chicken Sweet Potato &amp; Dill Curry Recipe</t>
  </si>
  <si>
    <t>200 grams Chicken - cut into small pieces,1 Sweet Potato - skin peeled and chopped small,1 Bay leaf (tej patta),Salt - to taste,Sunflower Oil,2 teaspoon Coriander (Dhania) Seeds,1 teaspoon Cumin seeds (Jeera),1 inch Cinnamon Stick (Dalchini),1 Onion - chopped,1 inch Ginger - chopped,4 cloves Garlic - chopped,1 cup Dill leaves</t>
  </si>
  <si>
    <t xml:space="preserve">To begin making the Chicken and Sweet Potato Dill Curry Recipe, heat a small skillet with teaspoon oil, add coriander seeds, cumin seeds, cinnamon stick and allow it to sizzle.Add ginger, garlic and allow it soften for few seconds. Add chopped onions and saute till they turn translucent.Fry till the onions turn golden brown and is caramelized well. Switch off the heat, add the sautéed onion mixture into the grinder and grind it to a smooth paste.Open the lid, add dill leaves and little water and grind it again for some more time till it forms a nice puree.Heat a pressure cooker with oil, add bay leaf and add in the ground paste and cook for at least 10 minutes.Add sweet potato, chicken, salt and about 1/2 a cup of water and pressure cook it for at least 4 whistle.Serve the Chicken and Sweet Potato Dill Curry along with methi Laccha Paratha, Beetroot Raita to make it a complete and satisfying meal.
</t>
  </si>
  <si>
    <t>https://www.archanaskitchen.com/chicken-and-sweet-potato-dill-curry-recipe</t>
  </si>
  <si>
    <t xml:space="preserve">Kadhai Tofu Sabji </t>
  </si>
  <si>
    <t>250 gms tofu - chopped, 1 capsicum (green) - chopped, 1 onion - chopped, 1 tsp garlic - paste, 1 tsp ginger - paste, 2 tomatoes - boiled, 1 tsp cumin seeds, 1 tsp kasuri methi - crushed, 1 tbsp oil, 1/2 tsp turmeric powder, 1/2 tsp sugar, salt - according to taste, green coriander - according to use, 2 tsp coriander seeds, 5 whole black pepper, 1 tsp fennel, 1 tsp cumin seeds, 1 tsp pomegranate seeds, 4 dried red chillies, 1 bay leaf, 1 big cardamom, 1/2 teaspoon dry mango powder</t>
  </si>
  <si>
    <t>"To make Kadhai Tofu, first we will make the masala. In a small pan, add coriander seeds, black pepper, cumin seeds, dried red chillies, bay leaves and big cardamom. Fry for 30 seconds and keep it aside to cool. Now put this mixture in a mixer grinder along with pomegranate seeds and dry mango powder. Grind it and keep it aside. Now heat oil in a pan. Add cumin seeds and onion. Cook till the onion becomes soft and then add garlic and ginger paste. After 1 minute add turmeric powder, tomato puree and let it cook for 2 minutes. Now add 2 tablespoons of ground masala and kasuri methi. Add capsicum and let it cook for 1 minute. Now add tofu, salt and sugar. Mix it and let it cook for next 2 minutes. Now garnish with green coriander and serve hot. Serve Kadhai Tofu with Dal Makhani and Tawa Paratha. Serve for dinner.</t>
  </si>
  <si>
    <t>http://www.archanaskitchen.com/kadhai-tofu-sabji-recipe-in-hindi</t>
  </si>
  <si>
    <t>Sprouted Moong Dal Recipe</t>
  </si>
  <si>
    <t>2 cups sprouted moong, 3 cloves garlic - grind, 1 onion - finely chopped, 1 tbsp ghee - or oil, 1 tsp mustard seeds, 1 tsp cumin seeds, 1/4 tsp turmeric powder, 1/4 tsp asafoetida, 1/4 tsp Goda masala, 1/4 tsp red chilli powder, 2 kokum, 1/2 tsp jaggery - grate, 2 tsp peanut powder, 2 cups water - or as per requirement, salt - according to taste, coriander leaves - chopped</t>
  </si>
  <si>
    <t>"To make Sprouted Moong Dal recipe, first heat oil or ghee in a pressure cooker. Add mustard seeds, cumin seeds and cook for 10 seconds. Now add onion, garlic, asafoetida and cook till onion becomes soft. After this add turmeric powder, sprouted moong and cook for 1 minute. After 1 minute add goda masala, red chili powder, turmeric powder and mix. Add water, kokum, jaggery, salt, peanuts powder and mix well. Cover the pan and cook till 1 whistle. Open, mix and garnish with coriander leaves. Serve Sprouted Moong Dal recipe with Sev Tomato Sabzi, Palak Raita and Phulkas for lunch. "</t>
  </si>
  <si>
    <t>http://www.archanaskitchen.com/sprouted-moong-dal-spicy-sprouted-lentil-curry-recipe-in-hindi</t>
  </si>
  <si>
    <t>Carrot Semolina Phirni</t>
  </si>
  <si>
    <t>2 carrots - grate, 500 cups milk, 5 tablespoons sugar, 1/2 cup semolina, 1/2 teaspoon cardamom powder, 10 almonds - blanch and peel (apply silver layer), 2 tablespoons ghee, 5 saffron - a little</t>
  </si>
  <si>
    <t>"To make Carrot Semolina Phirni, first heat 1 tablespoon ghee in a sauce pan. Add grated carrots and cook for 5 minutes. Now heat milk in a sauce pan and add sugar to it. Let it boil and after boiling add carrots, cardamom powder, saffron and let it cook for 10 minutes. After 10 minutes add semolina and keep stirring so that it does not form lumps. After it thickens, turn off the gas and keep it aside. Now pour the remaining ghee in a small pan. Add almonds and let it cook for 10 seconds. Pour this tempering over the Phirni, mix and serve. Serve the delicious Carrot Semolina Phirni as a dessert after your meal."</t>
  </si>
  <si>
    <t>https://www.archanaskitchen.com/carrot-semolina-phirni-recipe-in-hindi</t>
  </si>
  <si>
    <t>Chana Dal Khichdi Recipe</t>
  </si>
  <si>
    <t>1 cup Rice,1/2 cup Chana dal (Bengal Gram Dal) - soaked and drained,1/4 teaspoon Asafoetida (hing),1/2 teaspoon Cumin seeds (Jeera),2 Green Chillies - sliced or chopped,1/2 teaspoon Ginger - grated,1/2 teaspoon Turmeric powder (Haldi),Salt - to taste</t>
  </si>
  <si>
    <t xml:space="preserve">To begin making the Chana Dal Khichdi, wash the rice and chana dal with water. Soak each of them in water separately for about an hour.Heat a pressure cooker and add chana dal in it. Cook it till the cooker releases 1 whistle as we want to cook the dal only half. Once done, switch off the heat and keep it aside.Heat oil in a wide pan, add bay leaf, cumin seeds, cinnamon and asafoetida. salute it for about 30 seconds.After 30 seconds, add green chilies and ginger and cook them until the ginger is cooked very well.Add rice, cooked chana dal, turmeric powder and salt according to taste and cook for a minute.After a minute, add 2 cups of water. Mix it well and cook it for about 20-25 minutes on a medium flame till it becomes dry and tender. Once done, garnish it with some chopped coriander leaves.Serve Chana Dal Khichdi with Gujarati Kadhi or any raita of your choice.
</t>
  </si>
  <si>
    <t>http://www.archanaskitchen.com/chana-dal-khichdi-recipe</t>
  </si>
  <si>
    <t>500 grams green beans, 2 onions - chopped, 1 tablespoon coriander seeds, 1/2 teaspoon cumin seeds, 4 dried red chillies, 2 byadagi red chillies, 1 cup coconut - grated, 2 tablespoons dry coconut, 1 tablespoon khus khus, 1 tamarind - the size of a lemon, 2 tablespoons jaggery, 1 tablespoon turmeric powder, salt - according to taste, 1 teaspoon mustard seeds, 10 curry leaves, 1/4 teaspoon asafoetida</t>
  </si>
  <si>
    <t xml:space="preserve">To make Beans Karam, first heat oil in a pan. Add coriander seeds, cumin seeds, chillies, dry coconut, khus khus and coconut. Cook for 1 to 2 minutes and then remove. Put this mixture in a mixer grinder. Add tamarind, jaggery, 1/2 onion and salt and grind it well. Now add water in a saucepan and cook the beans till they become soft. After that heat oil in a pan. Add mustard seeds and cook for 10 seconds. After 10 seconds add asafoetida, curry leaves, onion and salt. Cook till the onion becomes soft. After the onion becomes soft, add turmeric powder, beans and cook for 1 minute. Now add the ground masala, mix and cook for 5 minutes. After 5 minutes add one cup water and let it boil. After it is cooked well, serve hot. Beans Karam can be served with Mixed Vegetable Sambar, Serve with rice and papad for lunch.
</t>
  </si>
  <si>
    <t>https://www.archanaskitchen.com/beans-curry-recipe-in-hindi</t>
  </si>
  <si>
    <t>Chocolate Cheese Gujiya Recipe</t>
  </si>
  <si>
    <t>2 cups All Purpose Flour (Maida),Salt - to taste,2 tablespoons Ghee,Water - as required,1 cup Britannia Cheese Block - grated,1 cup Dessicated Coconut,1/2 cup Chocolate chips,1 teaspoon Red Chilli powder,Sunflower Oil - to deep fry</t>
  </si>
  <si>
    <t xml:space="preserve">To begin making the Chocolate Cheese Gujiya Recipe, we will first make the make the filling.In a large mixing bowl combine the coconut, chocolate chips, red chilli powder, and stir well to combine. Keep aside.The next step is to make the dough for pastry crust for the Gujiya.Combine the maida, ghee and salt, in a large bowl. Work the ghee into the flour with your fingers until the mixture resembles a coarse crumble texture.When you bring the flour together, it should hold and when you let go it should fall apart. Add a little water at a time and knead to make a smooth and firm dough.Knead well for a good 3 to 4 minutes for the perfect gujiya crust.Shape them into small round balls. Dust them in flour, roll them into small 3 inch circles.Place it in the gujiya mold, spoon in the chocolate cheese filling. Gently fold into a semi circle, forming a half moon shape. Seal the edges by pressing slightly, so that the dough sticks to each other making sure all the filling is concealed inside.Prepare the gujiyas and arrange them on a plate or a tray. Cover the gujiyas with a moist napkin so that the dough does not dry out. Preheat the oil for deep frying the gujiyas.The way to test if the oil has the right heat, is to drop in a little dough inside the oil and if it sizzles and comes up immediately, then you know you can start frying the Chocolate Cheese Gujiya.Add in a few gujiya at a time and deep fry on medium heat until they have a beautiful golden crust.Notice after a few minutes of frying they have a golden crust - give it a light tap and if they feel firm and crusty then they are done. Drain out the excess oil and fry the remaining th Chocolate Cheese Gujiya in similar way.Serve Chocolate Cheese Gujiya Recipe with hot Masala Chai during tea time or you can also have it as a sweet dish during special occasions.
</t>
  </si>
  <si>
    <t>http://www.archanaskitchen.com/chocolate-coconut-gujiya-recipe</t>
  </si>
  <si>
    <t>Aloo Masala Puri Recipe</t>
  </si>
  <si>
    <t>1 Potato (Aloo) - boiled and mashed,1 cup Whole Wheat Flour,1/4 teaspoon Asafoetida (hing),1/4 teaspoon Ajwain (Carom seeds),1/4 teaspoon Coriander Powder (Dhania),1/4 teaspoon Turmeric powder (Haldi),1/4 teaspoon Red Chilli powder,1/4 teaspoon Fennel seeds (Saunf),1/4 teaspoon Sesame seeds (Til seeds),1 tablespoon Sunflower Oil,Salt - to taste,1 tablespoon Coriander (Dhania) Leaves - finely chopped,Sunflower Oil - for deep frying</t>
  </si>
  <si>
    <t xml:space="preserve">To begin making the Aloo Masala Puri recipe, firstly add wheat flour to mashed potato along with red chili powder, coriander powder, asafoetida, turmeric powder, carom seeds, fennel seeds, sesame seeds, coriander leaves, salt and oil.Mix them well and add water so as to form a dough. Keep it aside for few minutes.Make small round balls of this dough and roll them in the form of a Puri.Apply oil on the rolling pin and rolling board and carefully roll them in to Puri.Fry them in a deep fry pan and it is ready to be served.Serve Aloo Masala Puri with Aam Ka Achaar and Lauki Raita for breakfast or lunch.
</t>
  </si>
  <si>
    <t>https://www.archanaskitchen.com/aloo-masala-puri-recipe</t>
  </si>
  <si>
    <t>Baked Paneer Corn Kebab Recipe</t>
  </si>
  <si>
    <t>200 grams Paneer (Homemade Cottage Cheese),1/2 cup Dry Corn Kernals - steamed,2 Green Chillies - finely chopped,1 teaspoon Chaat Masala Powder,4 sprig Coriander (Dhania) Leaves - finely chopped,2 tablespoons Raisins,1 tablespoon Cashew nuts,1/4 cup Whole Wheat Bread crumbs,1/4 teaspoon Turmeric powder (Haldi),1/4 teaspoon Red Chilli powder,2 teaspoons Kasuri Methi (Dried Fenugreek Leaves) - or dried fenugreek leaves,Salt - to taste,Sunflower Oil - for brushing</t>
  </si>
  <si>
    <t xml:space="preserve">To begin making the Baked Paneer Corn Kebab Recipe, pulse the corn kernels in a mixer grinder and make a coarse crumble. It shouldn't be a paste.In a bowl add crumbled paneer and steamed sweet corn kernels and all the remaining ingredients except the oil and cashew nuts. Mash well to make a dough like mixture. You should be able to shape them into kebabs.Grease your fingers and palms with oil and take small portion in your palms and make patties with the Paneer Corn Kebab mixture. Place half cashew piece on top of the Paneer Corn Kebab and press a little.Preheat the oven to 180 C.Place the Paneer Corn Kebab on a baking sheet lined with parchment paper or aluminium foil. Brush the top of the paneer kebabs with oi. Cling wrap them and refrigerate for 25-30 minutes until they firm up.Bake the Paneer Corn Kebab in center rack for 25-30 minutes until the crust is golden brown. Once done, remove from the oven and serve.Serve the Baked Paneer Corn Kebab along with Dhaniya Pudina Chutney and Masala Chai for a wholesome tea time snack with friends and family.
</t>
  </si>
  <si>
    <t>http://www.archanaskitchen.com/baked-paneer-corn-kebab-recipe</t>
  </si>
  <si>
    <t>200 gms button mushroom - chopped, 2 onions - finely chopped, 2 tomatoes - finely chopped, 2 long garlic - grated, 15 cashews, 1/2 inch ginger - grated, 1/2 tsp red chilli powder, 1/4 tsp garam masala powder, 1 tbsp oil, green coriander - finely chopped, water - as per requirement, salt - as per taste</t>
  </si>
  <si>
    <t>"To make mushroom curry, first soak cashews in hot water for 5 to 10 minutes. Make cashew paste and keep it aside. Now heat oil in a pan. Add mushrooms and cook for 3 minutes. Keep mushrooms aside. Now add some more oil in the pan. Add onions and cook till they turn brown. After they turn brown, add ginger, garlic and cook for 2 minutes. After 2 minutes add tomatoes and red chili powder. Cook till tomatoes turn soft. Add salt and mix. After this add cashew paste and cook for 2 to 3 minutes. Add some water and cook for 3 minutes. Add cooked mushrooms and garam masala. Cook for 1 to 2 minutes. Garnish with coriander leaves and serve hot. Serve mushroom curry with boondi raita, tawa paratha and kachumber salad for lunch. Serve it for 24 hours.</t>
  </si>
  <si>
    <t>https://www.archanaskitchen.com/mushroom-curry-recipe-in-hindi</t>
  </si>
  <si>
    <t>Sprouted Moong Dal Recipe - Spicy Sprouted Lentil Curry</t>
  </si>
  <si>
    <t>2 cups Green Moong Sprouts,1 Onion - finely chopped,3 cloves Garlic - crushed,1 tablespoon Ghee - or oil,1 teaspoon Mustard seeds,1 teaspoon Cumin seeds (Jeera),1/4 teaspoon Turmeric powder (Haldi),1/4 teaspoon Asafoetida (hing),1/4 teaspoon Maharashtrian Goda Masala,1/4 teaspoon Red Chilli powder,2 Kokum (Malabar Tamarind),1/2 teaspoon Jaggery - grated,2 teaspoon Groundnut powder,2 cups Water - or as required,Salt - to taste,Coriander (Dhania) Leaves - Chopped</t>
  </si>
  <si>
    <t xml:space="preserve">To begin making the Sprouted Moong Dal Recipe, heat ghee/oil in a pressure cooker.Add the mustard seeds and the cumin seeds and once they crackle add the onion, garlic, asafoetida and saute it for 1-2 minutes till the onions turn translucent.After 1-2 minutes, add the turmeric powder, moong sprouts and sauté it for about a minute.Next add the masala, chilli powder and mix well. Add water and then add the kokum, jaggery, salt, peanut powder and stir well to combine.Cover it with the lid and cook it till the cooker releases 1 whistle or till the sprouts are well cooked. Adjust the consistency of water if required.Once the Sprouted Moong Dal  is done, garnish with fresh coriander leaves and serve hot.Serve Sprouted Moong Dal Recipe with hot with phulkas or hot Steamed Rice with a dollop of ghee for lunch or dinner.
</t>
  </si>
  <si>
    <t>http://www.archanaskitchen.com/sprouted-moong-dal-spicy-sprouted-lentil-curry-recipe</t>
  </si>
  <si>
    <t>Whole Wheat Spinach And Tofu Paratha Recipe</t>
  </si>
  <si>
    <t>3-1/2 cups Whole Wheat Flour,1-1/2 cups Spinach Leaves (Palak) - pureed,200 grams Tofu - grated,1/2 cup Curd (Dahi / Yogurt),1 teaspoon Kasuri Methi (Dried Fenugreek Leaves),3 tablespoons Dill leaves - finely chopped,1/2 teaspoon Red Chilli powder,1 teaspoon Cumin powder (Jeera) - (roast &amp; ground),1 teaspoon Green Chilli Paste,1 teaspoon Ajwain (Carom seeds),3 tablespoon Sesame seeds (Til seeds),1/2 teaspoon Garam masala powder,1/2 Lemon - juiced,Sunflower Oil - to smear,Salt - to taste</t>
  </si>
  <si>
    <t xml:space="preserve">To begin making the Whole Wheat Spinach And Tofu Paratha Recipe, first combine the flour with the oil/ghee and all the other ingredients mentioned, in a big mixing bowl.Start kneading the dough, by adding a little water (if required) and working the dough until it comes together into a soft, pliable dough. Cover the dough with a damp cloth and keep it aside for 15 mins.After 15 mins, divide the dough into 14 to 15 equal sized balls, depending on the size of the paratha you prefer to make.Take one ball, dust it with flour and roll it out into a disc of preferred thickness and size that you like the parathas to be.Place the rolled out paratha onto hot griddle and allow it to cook until light brown spots appear on the underside and bubbles appear on top.Brush with oil/ghee and flip and cook the other side as well.Now brush the other side with oil/ghee and flip again, to ensure that both sides are uniformly browned.Repeat with remaining portions of dough and serve hot along with a bowl of yogurt and pickle for breakfast, or pack it into your lunch box or even serve it for a weeknight dinner.
</t>
  </si>
  <si>
    <t>https://www.archanaskitchen.com/whole-wheat-spinach-and-tofu-paratha-recipe</t>
  </si>
  <si>
    <t>Mooli Bhurji Recipe</t>
  </si>
  <si>
    <t>1 cup radish - chopped, 3 cups radish leaves - chopped, 4 green chillies, 2 tablespoons mustard oil, 1 teaspoon mustard seeds, 3/4 teaspoon celery seeds, 1/4 teaspoon asafoetida, 1/2 teaspoon turmeric powder, 1/2 teaspoon dry mango powder, salt - according to taste</t>
  </si>
  <si>
    <t>"To make Mooli Bhurji Recipe, first wash the radish and its leaves thoroughly and chop them. Heat oil in a pan. Add mustard seeds and let them crackle. Now add celery, asafoetida, turmeric powder, green chillies and cook well. After this add radish and radish leaves and mix well. Add salt as per taste and cook till the leaves leave the water. Now cover the pan and cook till the water evaporates. Add dry mango powder, mix and serve. Serve Mooli Bhurji Recipe with Palak Daal, Boondi Raita and Phulkas for lunch. "</t>
  </si>
  <si>
    <t>https://www.archanaskitchen.com/mooli-bhurji-recipe-in-hindi</t>
  </si>
  <si>
    <t>Vegetable Dal Pakora Recipe - Dal Bhajiya</t>
  </si>
  <si>
    <t>1/2 cup Chana dal (Bengal Gram Dal) - soaked overnight,1/2 cup Yellow Moong Dal (Split) - soaked overnight,1 Carrot (Gajjar) - grated,1 Onion - finely chopped,2 Green Chillies - finely chopped,2 inch Ginger - finely chopped,1/2 teaspoon Enos fruit salt,1/2 teaspoon Red Chilli powder,1/2 teaspoon Turmeric powder (Haldi),1 tablespoon Fennel seeds (Saunf),Coriander (Dhania) Leaves - small bunch,Salt - to taste,Sunflower Oil - for frying</t>
  </si>
  <si>
    <t xml:space="preserve">To begin making the Vegetable Dal Pakora, into a preheated pan roast the fennel seeds till aromatic. Remove from the pan and allow to cool. Once the fennel seeds have cooled crush them coarsely in a mortar and pestle and keep them aside. Add the soaked dals into a mixer grinder. Add very little water and blend to make a coarse batter. Transfer the Dal pakora batter to a mixing bowl and add in the remaining ingredients like the green chillies, ginger, carrots, onions, enos fruit salt, red chilli powder, turmeric powder, fennel seeds and salt to taste. Check the salt and spice levels and adjust to suit your taste. *Method for pan frying the pakora'sPreheat the kuzhi paniyaram pan, add about a teaspoon of oil in each of the cavities.Add spoonful of the Vegetable Dal Pakora Batter into each cavity; drizzle some oil onto the dal pakoras and allow to steam. Once you notice the top of the pakora cooked, flip it over and drizzle a little more oil and pan fry them on medium heat until browned on all sides and also cooked inside. Once done transfer the Vegetable Dal Pakora onto a plate with an oil absorbent paper and serve hot.Proceed the same way with the remaining pakora batter. Serve Vegetable Dal Pakora along with Dhaniya Pudina Chutney as a tea time snack with a hot cup of Adrak Chai.
</t>
  </si>
  <si>
    <t>https://www.archanaskitchen.com/vegetable-dal-pakora-recipe-dal-bajiya-spicy-lentil-fritters</t>
  </si>
  <si>
    <t>Bhel Puri Recipe</t>
  </si>
  <si>
    <t>4 cups puffed rice, 100 grams sev, 100 grams papdi puri, 2 onions - finely chopped, 2 tomatoes - finely chopped, 2 green chillies - finely chopped, 1 cucumber - peeled and finely chopped, 1 potato - boiled, 1/4 cup pomegranate powder, 1/4 cup raw mango - finely chopped, 4 tablespoons peanuts - roasted and crushed, 4 tablespoons green chutney, 4 tablespoons tamarind chutney, 1 tablespoon chaat masala powder, salt - according to taste, 2 sprigs of coriander - chopped</t>
  </si>
  <si>
    <t>"To make Bhel Puri Recipe, first prepare all the ingredients. Make green and tamarind chutney and keep it aside. Now in a large mixing bowl add puffed rice, papdi puri, anardana powder, peanuts, chaat masala powder, salt and mix well. Now add onion, tomato, green chili, cucumber, potato, coriander leaves and mix again. After mixing well add green chutney and sweet chutney. Mix and garnish with sev. Serve. Serve Bhel Puri Recipe with Palak Pakora and Masala Chai for your evening snack."</t>
  </si>
  <si>
    <t>https://www.archanaskitchen.com/bhel-puri-recipe-an-indian-street-food-tea-time-snack-in-hindi</t>
  </si>
  <si>
    <t>Chironji And Makhane Ki Kheer Recipe</t>
  </si>
  <si>
    <t>1 cup Phool Makhana (Lotus Seeds),1 teaspoon Ghee,1 liter Milk,1/4 cup Jaggery,1/2 teaspoon Cardamom Powder (Elaichi),1/2 inch Cinnamon Stick (Dalchini),Saffron strands - a few,1 tablespoon Badam (Almond) - sliced,1/4 cup Raisins,1 tablespoon Chironji,1 teaspoon Ghee</t>
  </si>
  <si>
    <t xml:space="preserve">To begin making the Chironji &amp; Makhane Ki Kheer Recipe, we will first roast the phool makhana in ghee until crisp and aromatic.Heat a teaspoon of ghee in a heavy bottomed pan and roast makhana while continuous stirring until they become light brown and crisp. Once done, remove from kadai and set aside to cool.Coarsely grind half of the roasted makhana in a mixer grinder and keep aside. We will use the remaining roasted makhana as a whole into the kheer.Boil the milk in a heavy bottomed pan and condense the milk until it becomes just close to half. Keep stirring occasionally to prevent the milk from settling into the bottom of the pan.Once the milk is condensed, add the jaggery, the roasted Makhana (whole) and coarsely ground Makhana. Mix well and cook on a medium flame for 5 to 10 minutes, while stirring occasionally until the kheer becomes thick and the makhana has absorbed and cooked through. Add the saffron and nutmeg powder into the kheer, mix well and cook on a medium flame for another 3 to 4 minutes, while stirring occasionally.While the kheer is cooking, heat a teaspoon of ghee into another small pan and roast all the dry fruits in it till lightly brown and you get a roasted aroma.Add the half of the roasted dry fruits to the Makhane Ki Kheer and simmer for 3-4 minutes and turn off the heat.Serve Chironji And Makhane Ki Kheer after your delicious festive meal of Jodhpuri Aloo, Ajwain Puri, Satvik Carrot Sprout Salad and Mirchi Ka Chunda.
</t>
  </si>
  <si>
    <t>http://www.archanaskitchen.com/chirongi-and-makhane-ki-kheer-recipe</t>
  </si>
  <si>
    <t>Chatpata Baby Potato</t>
  </si>
  <si>
    <t>12 small potatoes - boil and peel, 1 tablespoon coriander seeds, 1 tablespoon cumin seeds, 1/2 tablespoon fennel seeds, 1/2 tablespoon whole black pepper, 2 dried red chillies, oil - as per requirement, 1-1/2 tablespoon ginger garlic paste, 1-1/2 tablespoon tamarind paste, 1/4 tablespoon sugar, 3 tablespoons water, salt - as per taste, green coriander - as per requirement</t>
  </si>
  <si>
    <t>"To make Chatpatta Aloo, first heat a pan and add all the dry spices like coriander seeds, cumin seeds, fennel seeds, black pepper and dried red chillies. Roast for 30 seconds. Let it cool and grind in a mixer grinder. Now heat oil in a pan. Add asafoetida and after 15 seconds add ginger garlic paste. After 1 minute add baby potatoes and cook till they turn golden brown. After they turn golden brown, add tamarind paste and sugar mixed in water. After 1 minute add salt and ground masala. Mix and let it cook for 2 minutes. Serve hot. Serve Chatpatta Aloo with Palak Daal and Phulka for lunch."</t>
  </si>
  <si>
    <t>http://www.archanaskitchen.com/chatpata-baby-potato-recipe-in-hindi</t>
  </si>
  <si>
    <t>Rase Wale Aloo Recipe (Boiled Potato in Tangy Tomato Sauce)</t>
  </si>
  <si>
    <t>6 Potatoes (Aloo) - freshly boiled (roughly chopped),4 Tomatoes - pureed,Sunflower Oil - as required,1 teaspoon Cumin seeds (Jeera),1/4 teaspoon Asafoetida (hing),Salt - as per taste,Red Chilli powder - as per taste,1 teaspoon Sugar,1/4 Turmeric powder (Haldi),1 teaspoon Cumin powder (Jeera) - roasted,1/4 teaspoon Garam masala powder,1 teaspoon Coriander Powder (Dhania)</t>
  </si>
  <si>
    <t xml:space="preserve">To begin making the Rase Wale Aloo recipe, in a heavy bottomed pan heat oil and temper the jeera and hing.Add tomato puree and cook till all the moisture reduces. Add all the masalas and sugar. Cook for another 30 seconds.Add the potatoes and add 1 glass water (250ml) and let it cook and reduce further to a thick consistency.Mash some of the potatoes in the gravy to get that typical rase wale aloo. Serve Rase Wale Aloo along with Puri or Pudina Tawa Paratha for lunch or dinner.
</t>
  </si>
  <si>
    <t>https://www.archanaskitchen.com/rase-wale-aloo-recipe-boiled-potato-in-tangy-tomato-sauce</t>
  </si>
  <si>
    <t>Easy Gajar Halwa Recipe With Khoya Made In A Pressure Cooker</t>
  </si>
  <si>
    <t>500 grams Carrots (Gajjar) - washed and peeled (preferably red),1/4 cup Ghee,400 ml Milk,150 grams Khoya (Mawa) - grated,200 grams Sugar,1 teaspoon Cardamom Powder (Elaichi),2 tablespoons Ghee,1/4 cup Mixed dry fruits - sliced (almonds cashew nuts pistachios)</t>
  </si>
  <si>
    <t xml:space="preserve">To begin making the Gajar Halwa with Khoya, grate the washed and peeled carrots.Heat a pressure cooker on medium flame, add ghee and grated carrots and saute for a couple of minutes. Sprinkle a little water and close the pressure cooker. Pressure cook the carrots for 1 whistle and turn off the flame. Allow the pressure to release naturally.In the meanwhile, heat a kadai on medium flame, add milk and allow it to come to a rolling boil, turn down the heat and let the milk reduce to 3/4th its quantity.Once the milk has reduced and thickened, add the grated khoya, elaichi powder and sugar.Allow the khoya and sugar to melt and the whole milk mixture to come together. Now reduce the flame and transfer the cooked carrots into the milk.Continuously stir the milk and carrot mix, till you get a thick gajar halwa.Adjust sugar and elaichi according to your taste and add two more tablespoons of ghee and give the gajar halwa one final stir. Garnish the Gajar Halwa with dry fruits. Serve the warm Gajar Halwa along with some vanilla ice cream or cold Gajar Halwa with some Basundi (Rabri) Recipe (A Nutty Condensed Milk Pudding)
</t>
  </si>
  <si>
    <t>http://www.archanaskitchen.com/gajar-ka-halwa-recipe-with-khoya</t>
  </si>
  <si>
    <t>Garlic Red Chicken Gravy Recipe</t>
  </si>
  <si>
    <t>1 kg Chicken - cleaned,2 tablespoons Sunflower Oil,1 tablespoon Butter,1 Onion - sliced,15 Dry Red Chillies,10 cloves Garlic,1 cup Curd (Dahi / Yogurt),1 tablespoon Turmeric powder (Haldi),Salt - as required,1 tablespoon Cumin powder (Jeera) - (optional)</t>
  </si>
  <si>
    <t xml:space="preserve">To begin making the Garlic Red Chicken Gravy recipe, soak red chillies and garlic for 10 minutes in hot water.Take a mixie jar. Grind the soaked red chillies and garlic into a fine paste. Keep it aside.To begin the garlic red chicken gravy, heat oil in a pressure cooker. Add finely chopped onions, stir it till it turns golden brown.Now add chicken, salt and turmeric powder in it. Add the paste and stir well.Add curd and mix it properly. Now add cumin powder and stir. Next, close the pressure cooker lid and wait for one whistle. The Hot spicy delicious Garlic red chicken gravy is ready to serve now. Serve Garlic Red Chicken Gravy along with Steamed Rice or a Garlic Naan for a weekday meal.
</t>
  </si>
  <si>
    <t>https://www.archanaskitchen.com/garlic-red-chicken-gravy-recipe</t>
  </si>
  <si>
    <t>Dal Tadka Recipe Flavored with Lemon and Coriander</t>
  </si>
  <si>
    <t>1 cup Yellow Moong Dal (Split),1 tablespoon Butter,1 teaspoon Ghee,1 inch Ginger - grated,1/4 teaspoon Cumin seeds (Jeera),1/2 teaspoon Turmeric powder (Haldi),1 Bay leaf (tej patta) - torn into half,2 Green Chillies - slit,4 sprig Coriander (Dhania) Leaves - finely chopped,Lemon juice - as required,Salt - to taste</t>
  </si>
  <si>
    <t xml:space="preserve">To begin making Dal Tadka Recipe, cook the lentils (split moong dal) with 2 and half cups of water, turmeric powder and salt until soft. Whisk the dal if you like a finer texture, else let the dal have grainy texture. Allow it to rest in the pan/pressure cooker it was cooked.Heat a teaspoon of ghee in a small pan; add in the cumin seeds and allow it to crackle. Next add in the ginger, green chillies and bay leaf and stir fry for a few seconds. Add the seasoning to the cooked lentils.Give the lentils along with the seasoning a brisk boil , add in the butter and adjust the salt levels to suite your taste.After a couple of minutes of boiling the dal, turn off the the heat, squeeze in the lemon juice and stir in the chopped coriander leaves.Transfer the Dal Tadka to a serving bowl and Serve Dal Tadka along with Phulkas and Kachumber Salad for a weekday meal.
</t>
  </si>
  <si>
    <t>https://www.archanaskitchen.com/dal-tadka-recipe-flavored-with-lemon-and-coriander</t>
  </si>
  <si>
    <t>Dal Banjara Recipe - Langar Wali Dal</t>
  </si>
  <si>
    <t>3/4 cup Black Urad Dal (Split),1/4 cup Chana dal (Bengal Gram Dal),1 inch Ginger - grated,1 Green Chilli - slit,1 Tomato - finely chopped,1 Bay leaf (tej patta),1 inch Cinnamon Stick (Dalchini),1 teaspoon Turmeric powder (Haldi),1 teaspoon Garam masala powder,5 sprig Coriander (Dhania) Leaves - freshly chopped,1 teaspoon Ghee,1 teaspoon Cumin seeds (Jeera),2 Dry Red Chillies - halved</t>
  </si>
  <si>
    <t xml:space="preserve">To begin making the Dal Banjara Recipe, add all the ingredients into the pressure cooker including black urad dal, chana dal, ginger, green chilli, tomato, bay leaf, cinnamon stick, turmeric powder, garam masala powder.Add 2-1/2 cups of water and pressure cook the dal for two to three whistles. After two whistles, turn the heat to low and simmer for 10 minutes and turn off the heat.Once the pressure is released completely, open the cooker and your dal is ready. Check the salt and spices and adjust to suit your taste. Transfer the dal to a serving bowl.The next step is to make the tadka. Heat ghee in a small pan, add the cumin seeds and red chilies. Allow them to roast and crackle.Once done, turn off the heat and pour the seasoning over the dal. Garnish with chopped coriander leaves.Serve Dal Banjara along with Phulkas, Bhindi Masala and Tomato Onion Cucumber Raita for a weekday meal.
</t>
  </si>
  <si>
    <t>http://www.archanaskitchen.com/dal-banjara-recipe-langar-wali-dal</t>
  </si>
  <si>
    <t>Tawa Mushroom Recipe</t>
  </si>
  <si>
    <t>500 grams Button mushrooms,1 Onion - finely chopped,1 Tomato - finely chopped,1 inch Ginger - chopped,4 cloves Garlic - chopped,1 Green Chilli - slit,1 teaspoon Red Chilli powder,1/4 teaspoon Turmeric powder (Haldi),2 teaspoons Coriander Powder (Dhania),1 teaspoon Cumin powder (Jeera),1 teaspoon Garam masala powder,1 teaspoon Pav bhaji masala,1 teaspoon Amchur (Dry Mango Powder),Salt - to taste,Sunflower Oil,3 sprig Coriander (Dhania) Leaves - chopped</t>
  </si>
  <si>
    <t xml:space="preserve">To begin making the Tawa Mushroom Recipe, heat a kadai with oil. Add ginger and garlic, allow it to soften. Once done, add chopped onions and cook till they turn translucent.Add chopped tomatoes and sprinkle with little salt so that the tomatoes become mushy and soft.At this point you can add all the spice powders including red chilli powder, turmeric powder, coriander powder, cumin powder, and saute well. Add chopped mushrooms and cook until the water is all evaporated. Check for salt and add if required.Cook until the mixture becomes semi dry. At the end add chopped coriander leaves and mix well.Serve the Mushroom Do Pyaza Recipe along with Tawa Paratha and Panchmel Dal or Phulka, Curd Rice to make it a complete meal.
</t>
  </si>
  <si>
    <t>https://www.archanaskitchen.com/tawa-mushroom-recipe</t>
  </si>
  <si>
    <t xml:space="preserve">Potato Achari </t>
  </si>
  <si>
    <t>4 potatoes, 1/2 teaspoon asafoetida, 1 teaspoon cumin seeds, 3 dried red chillies, 3 tablespoons pickles, 2 tablespoons vinegar, 1/2 teaspoon sugar, oil - as per requirement</t>
  </si>
  <si>
    <t>"To make Achari Aloo, first wash the potatoes and boil them till they are half cooked. Peel them and chop them. Now heat oil in a pan. Add potatoes and cook till they turn brown. Take out the potatoes and keep them aside. Add asafoetida, cumin seeds and dried red chillies in the same pan. After 15 seconds, add potatoes and pickle to it. Mix them well. After mixing, add vinegar and let it cook for 2 to 3 minutes. After 3 minutes, add sugar, some water and cook for 1 minute. Serve hot. Serve Achari Aloo with Garlic Daal and Phulkas for lunch."</t>
  </si>
  <si>
    <t>https://www.archanaskitchen.com/potato-achari-recipe-in-hindi</t>
  </si>
  <si>
    <t>Patiala Aloo Recipe</t>
  </si>
  <si>
    <t>5 Potatoes (Aloo) - peeled and cut into cubes,2 tablespoons Mustard oil - or cooking oil,1 teaspoon Cumin seeds (Jeera),1 Asafoetida (hing) - a pinch,1/4 teaspoon Methi Seeds (Fenugreek Seeds),1 Green Chilli - slit,1 teaspoon Red Chilli powder,1 teaspoon Cumin powder (Jeera),1 Bay leaf (tej patta),1 teaspoon Coriander Powder (Dhania),1/2 teaspoon Amchur (Dry Mango Powder),1/2 teaspoon Chaat Masala Powder,1/2 teaspoon Garam masala powder,1/2 teaspoon Turmeric powder (Haldi),1 teaspoon Kasuri Methi (Dried Fenugreek Leaves),1/3 cup Homemade tomato puree,2 teaspoons Tamarind Paste,1/3 cup Coriander (Dhania) Leaves - finely chopped</t>
  </si>
  <si>
    <t xml:space="preserve">To begin making the Patiala Aloo Recipe, keep the peeled and cubed potatoes immersed in salt water to avoid discoloration. Heat a deep bottomed pan with mustard oil on high heat and take it to smoking point. Reduce the flame once it reaches the smoking point, add the cumin seeds, bay leaf, fenugreek seeds, asafoetida and allow it sizzle. Right after, drain the water off the potatoes and add them into the pan. Now add the slit green chilli, salt, turmeric powder and give it a good mix. Cover and cook until the potatoes are almost done. This will take a good 12-15 mins on medium-high flame. Now open the lid, and reduce the flame. Ensure that the potatoes have cooked through. To the aloo add, red chilli powder, cumin powder, coriander powder, amchur, chaat masala and garam masala. Sprinkle a few drops of water and give it a good stir. Next add in the tomato puree and the tamarind paste, such that the potatoes get well coated with this spice-tomato masala. Continue to cook the Patiala Aloo for another minute or two, until the raw smell of the tomatoes go away. Finally mix in the chopped coriander leaves and transfer the Patiala Aloo to a serving bowl and serve hot. Serve Patiala Aloo Recipe along with Dhaba Style Dal Fry , Phulkas, Dhaba Style Spicy Ghee , Boondi Raita, Pickled Onions followed by a dessert of  Thandai Shahi Tukda .
</t>
  </si>
  <si>
    <t>http://www.archanaskitchen.com/patiala-aloo-recipe</t>
  </si>
  <si>
    <t>Dahi Batata Puri Chaat Recipe - Classic Indian Tea Time Snack</t>
  </si>
  <si>
    <t>24 Pani Puris,2 Potatoes (Aloo) - boiled and cubed or sliced,1/4 cup Mango (Raw) - finely chopped(optional if not in season),1 teaspoon Chaat Masala Powder,1 teaspoon Lemon juice,2 Onions - finely chopped,1/2 cup Curd (Dahi / Yogurt) - whisked (optional),Black Salt (Kala Namak) - o taste,1 tablespoon Sugar,Red Chilli powder - optional (garnish),Chaat Masala Powder - powder (garnish),1/2 cup Green Chutney (Coriander &amp; Mint),1/2 cup Sweet Chutney (Date &amp; Tamarind),1 cup Sev</t>
  </si>
  <si>
    <t xml:space="preserve">To begin making the Dahi Batata Puri Chaat Recipe, first prep all the ingredients and keep them ready.  In a pressure cooker, add the potatoes and required water. Close the cooker and pressure cook it for 2 to 3 whistles. Let the pressure release immediately. Take out the potatoes and let them cool down. Once it is cooled down, peel the potatoes and cut them in squares. Keep it aside.Make the Garlic Chutney, Green Chutney and Date and Tamarind Chutney and keep them aside.Once you have all the ingredients prepped. In a mixing bowl, combine the boiled potatoes, raw mango, chaat masala powder  and juice from one lemon. Stir well to combine and keep them aside.Whisk the yogurt/ dahi ingredients and keep aside.Arrange the puris or papadi on a serving plate. Gently make a hole in the puri with a spoon or your fingers. Spoon in small portions of the potato mixture into each one of the puris.Add the onions, the dahi into each of the puri. Finally, add the chutneys and sprinkle with sev, any additional chaat masala powder and red chili powder and coriander leaves and serve.Serve Dahi Batata Puri Chaat Recipe along with Bhel Puri and Bombay Masala Sandwich and a cup of Masala Chai for your Chaat Party.
</t>
  </si>
  <si>
    <t>https://www.archanaskitchen.com/dahi-batata-puri-chaat-recipe-classic-indian-tea-time-snack</t>
  </si>
  <si>
    <t>Thandai Flavoured Rice Kheer Recipe</t>
  </si>
  <si>
    <t>1-1/2 cup Thandai Powder,Saffron strands - few,2 tablespoons Basmati rice,2 liter Milk,Sugar - as required,4 tablespoons Condensed Milk,1 tablespoon Badam (Almond) - chopped,1 tablespoon Pistachios - chopped,1 tablespoon Cashew nuts - chopped,Rose Petals - for garnishing,1 teaspoon Cardamom Powder (Elaichi),Mixed nuts - for garnishing,4 tablespoons Milk,1 tablespoon Badam (Almond) - blanched and peeled,1 tablespoon Cashew nuts,1 tablespoon Pistachios,1 teaspoon Poppy seeds,1 teaspoon Cardamom (Elaichi) Pods/Seeds,1 inch Cinnamon Stick (Dalchini),1/2 teaspoon Whole Black Peppercorns</t>
  </si>
  <si>
    <t xml:space="preserve">To begin with Thandai Flavored Rice Kheer, wash and soak the rice for 30 minutes. After 30 minutes, drain the water and keep the rice aside.Soak the saffron and thandai powder separately in lukewarm milk. Powder the Thandai Powder ingredients - Almonds, Cashew nuts, Pistachios, poppy seeds, cardamom, cinnamon and whole black peppercorns into a coarse powder and keep aside.The next step is to boil the milk. When it comes to a boil, reduce the flame and add the rice in the saucepan.Keep stirring the kheer until it reduces to one-third of the original quantity. Once done, add sugar, milk-made, cardamom powder, chopped nuts, thandai milk and saffron. Mix everything well and cook the Thandai Kheer for 5 minutes more.After 5 minutes, turn off the flame and garnish it with chopped nuts and rose petals.Serve Thandai Flavored Rice Kheer as a dessert after your delicious meal of Dal Makhani, Sev Tamatar Ki Sabzi, Phulka and Palak Raita.
</t>
  </si>
  <si>
    <t>https://www.archanaskitchen.com/thandai-flavored-rice-kheer-recipe</t>
  </si>
  <si>
    <t>Paneer Bhurji Recipe With Capsicum</t>
  </si>
  <si>
    <t>200 gms paneer - crumble, 2 capsicum (green) - finely chopped, 1 onion - finely chopped, 1 inch ginger - grate, 2 green chillies - finely chopped, 1 tomato - finely chopped, 1 tsp cumin seeds, 1/2 tsp turmeric powder, 1/2 tsp red chilli powder - according to taste, 4 sprigs coriander leaves - chopped, salt - according to taste, 1 tbsp butter</t>
  </si>
  <si>
    <t>"To make Capsicum Paneer Bhurji, first crumble the paneer. Keep it aside. Heat butter in a pan. Add cumin seeds, onion, capsicum, green chillies and ginger in it. Cook till onion and capsicum become soft. Now add tomatoes, turmeric powder, red chilli powder and mix it. After 1 minute add paneer, salt and mix it well. Cook for 3 to 4 minutes and turn off the gas. Serve hot. Serve Capsicum Paneer Bhurji with Garlic Daal and Phulkas for lunch. "</t>
  </si>
  <si>
    <t>http://www.archanaskitchen.com/paneer-bhurji-recipe-with-capsicum-recipe-in-hindi</t>
  </si>
  <si>
    <t>Shakkarpara Recipe (Shankarpali)</t>
  </si>
  <si>
    <t>1 cup Water,1/4 cup Sugar,2-1/2 cup Vivatta Maida - or use whole wheat flour,1/4 teaspoon Salt - to taste,1/4 cup Ghee,Sunflower Oil - for deep frying,4 tablespoons Sugar - powdered,1 teaspoon Cinnamon Powder (Dalchini)</t>
  </si>
  <si>
    <t xml:space="preserve">To begin with the Shankarpali recipe, first heat the water, sugar in a saucepan until the sugar dissolves. Take off the heat and cool it slightly.Sieve the flour and salt into a mixing bowl and mix it along with ghee, till it forms coarse crumbs. Gradually add the water-sugar mixture into the flour.Mix and knead the flour into a firm but pliable dough. Keep it covered in a cool place for 30 minutes.Heat oil in a wok and divide the dough into 3-4 portions. Roll out each portion into a thin (about 7-8 inches) circle or depending on the thickness you want.Cut squares or diamonds using a pizza cutter, knife or a special Shankarpali cutter.Deep fry on low-medium flame in a deep fry pan till the Shankarpali turn golden and crisp.Mix the cinnamon and powder sugar in a small bowl. While the Shankarpali is still hot, dust it with the cinnamon sugar.Cool completely and store in an airtight container.Serve Shakkarpara as a tea time snack or you can even pack these in your kids snack box.
</t>
  </si>
  <si>
    <t>https://www.archanaskitchen.com/shakkarpara-shankarpali-recipe</t>
  </si>
  <si>
    <t>Mutton Shami Kebab Recipe</t>
  </si>
  <si>
    <t>500 grams Mutton - boneless and washed,1 cup Chana dal (Bengal Gram Dal) - soaked fro 4 hours,1/2 teaspoon Turmeric powder (Haldi),10 cloves Garlic,1 inch Ginger - roughly chopped,2 Green Chillies - finely chopped,1 Onion - finely chopped,1/2 cup Mint Leaves (Pudina) - finely chopped,Salt - to taste,2 tablespoons Ghee,4 Dry Red Chillies,1 tablespoon Black pepper powder,4 Cloves (Laung),1 inch Cinnamon Stick (Dalchini),5 Cardamom (Elaichi) Pods/Seeds,1 teaspoon Fennel seeds (Saunf),1 teaspoon Ajwain (Carom seeds)</t>
  </si>
  <si>
    <t xml:space="preserve">To begin making the Mutton Shami Kebab recipe, into a preheated pressure cooker add ghee, dry red chillies, ajwain, fennel seeds, cardamoms, black peppercorns, cloves, cinnamon, garlic cloves and ginger.Saute for a few seconds and then add the boneless and washed mutton. Saute and sear the meat for about 5 minutes. Once done add the chana dal, turmeric powder, salt to taste and just enough water till the ingredients are immersed completely in water.Pressure cook the mutton and dal for 5 to 6 whistles. Turn the heat to low and simmer for about 3 to 4 minutes. Allow the pressure to release naturally and then open the pressure cooker. If there is any moisture in the pressure cooker then turn on the heat and keep stirring until the moisture is evaporated.Once done turn off the heat and allow the shami kebab mixture to cool.Attach the chopping blade to the food processor. Add the cooled Shami Kebab Mixture to the jar and grind into a coarse paste. Once done into the same jar add the onions, green chillies, and mint leaves. Pulse to combine all the ingredients.Transfer the pulsed Shami Kebab mixture into a bowl and shape into rounds. Place the Shami kababs into a preheated pan. Drizzle ghee over the Mutton Shami Kebabs and shallow fry until golden brown on both sides. Transfer the Mutton Shami Kebabs into a serving plate and serve hot. Serve Mutton Shami Kebabs as an appetizer for parties along with Dhaniya Pudina Chutney and your guests will absolutely love it.
</t>
  </si>
  <si>
    <t>http://www.archanaskitchen.com/mutton-shami-kebab-recipe</t>
  </si>
  <si>
    <t>Garlic Naan Without Yeast Recipe</t>
  </si>
  <si>
    <t>1 cup Whole Wheat Flour,1 cup All Purpose Flour (Maida) - (more for dusting),1-1/2 tablespoon Garlic - ground to paste,2 tablespoons Butter - melted,4 tablespoons Curd (Dahi / Yogurt),1/2 cup Milk,1/2 teaspoon Baking powder,1/2 teaspoon Baking soda,2 tablespoons Coriander (Dhania) Leaves - finely chopped,Salt - to taste</t>
  </si>
  <si>
    <t xml:space="preserve">To begin making the Garlic Naan Without Yeast recipe, mix all the ingredients except 1/2 teaspoon garlic and butter in a mixing bowl.Make a soft dough out of it and keep it aside to rest for 1/2 an hour.Mix the butter and the remaining garlic in an another bowl. Now take a small portion of dough, dust it with all purpose flour and roll it in the shape of naan with the help of rolling pin.With the help of water wet one side of the naan. Take a normal tava and put the wet side on it.When little bubbles appear on it. Turn the pan upside down and let it cook on simmer gas.About after 1 minute its fully cooked. Take it on a plate, apply butter and garlic combination on it and serve hot.Serve Garlic Naan Without Yeast along with Dal Makhani and Vegetable Malai Kofta for a delicious weekend dinner.
</t>
  </si>
  <si>
    <t>http://www.archanaskitchen.com/garlic-naan-without-yeast-recipe</t>
  </si>
  <si>
    <t>Arbi Ka Saag Recipe</t>
  </si>
  <si>
    <t>250 grams Colocasia root (Arbi) - boiled and peeled,Sunflower Oil - as required,1/2 teaspoon Mustard seeds,1/4 teaspoon Asafoetida (hing),1 Green Chilli - finely chopped,1 tablespoon Ginger Garlic Paste,1 Onion - finely chopped,1/2 cup Curd (Dahi / Yogurt),1 teaspoon Red Chilli powder,1/2 teaspoon Turmeric powder (Haldi),1 teaspoon Coriander Powder (Dhania),Salt - as required,Water - as required,Coriander (Dhania) Leaves - Few sprigs</t>
  </si>
  <si>
    <t xml:space="preserve">To begin making the Arbi Ka Saag recipe, firstly cut the boiled arbi into round shape. Keep it aside.Heat oil in a wok/kadhai. Add mustard seeds and asafoetida into the pan. Let it cook till the mustard seeds crackle.Once it crackles, add the ginger garlic paste, green chillies and let it cook for about 2 to 3 minutes.After 2 to 3 minutes, add in the finely chopped onions. Let it cook till the onion becomes soft and translucent. Add all the masala including red chilis powder, turmeric powder, coriander powder and salt into the pan. Let it cook for 4 to 5 minutes.Meanwhile, add water into the curd and whisk well. Add the boiled Karbi and mix everything properly.Turn the flame low, pour the curd into the pan and stir continuously. Cover the lid and let it cook for about 8 to 10 minutes.After 8 to 10 minutes, switch off the flame and garnish it with the chopped coriander.Serve Arbi Ka Saag with Boondi Raita and Phulkas or Steamed rice for a weekday lunch or dinner.
</t>
  </si>
  <si>
    <t>https://www.archanaskitchen.com/arbi-ka-saag-recipe</t>
  </si>
  <si>
    <t>Butter Garlic Naan Recipe - Garlic Flavoured Flatbread</t>
  </si>
  <si>
    <t>3 cups All Purpose Flour (Maida),1-1/2 teaspoons Active dry yeast,1/4 cup Curd (Dahi / Yogurt) - whisked,Salt - as required,1/2 teaspoon Sugar,8 cloves Garlic - ground,2 tablespoon Butter - softened,Lukewarm Water - as required,6 cloves Garlic - finely minced,2 teaspoons Coriander (Dhania) Leaves - chopped,1 teaspoon Mint Leaves (Pudina) - chopped,2 tablespoon Butter - melted</t>
  </si>
  <si>
    <t xml:space="preserve">To begin making the Butter Garlic Naan, prep all the ingredients and keep them ready.In a large mixing bowl, add the flour, salt, sugar and yeast and stir to combine. Add the curd, butter, garlic paste and mix well. Gradually add the lukewarm water and knead it into a soft pliable dough.Knead for about 8-10 minutes on a flat, lightly floured surface. (Use the hook attachment for kneading, if using a stand mixer)Place the dough in a well oiled bowl and cover with a damp kitchen towel. Let the dough rest for 2 hours, till it doubles in size.Punch down the dough, once doubled and knead for a minute or two.Divide the dough into 6-7 equal portions and shape them into a ball. Pat or Roll out each ball to a 7-8 inch elongated, tear shape. (Keep the other dough balls covered while your roll out one.) Sprinkle some chopped garlic over the Naan and press well.Turn it over and brush this side with some water.Preheat an iron griddle over medium heatPlace the water brushed side on the hot iron griddle.Invert the griddle exposing the garlic side directly to the flame, without directly touching the flame.Move the griddle slowly so that the Naan cooks evenly.In about a minute, the Naan starts browning and you can see a few bubbles.Using a pair of tongs, take off the Naan from the griddle and cook the other side directly on the flame. Keep moving the naan for even cooking.Mix the coriander and mint with the melted butter. Brush the Garlic Naan with this herbed butter and serve Butter Garlic Naan with Punjabi Sabut Moong Ki Dal and Dry Methi Malai Matar, along with Beetroot Raita for a satisfying meal.
</t>
  </si>
  <si>
    <t>https://www.archanaskitchen.com/butter-garlic-naan-garlic-flavoured-flat-bread-recipe</t>
  </si>
  <si>
    <t>Garlic Dal</t>
  </si>
  <si>
    <t>1 cup tur dal - or moong dal, 1/4 cup tamarind paste, 5 green chillies - add as per your requirement, 10 cloves garlic, salt - according to taste, 1 tablespoon oil, 1 teaspoon mustard seeds, 10 curry leaves, green coriander - a little</t>
  </si>
  <si>
    <t>"To make Lahsuni Daal, first of all, cook the lentils in a pressure cooker along with water. After cooking, keep it aside to cool. Now fry the green chillies in a pan without oil. Keep it aside. Now put lentils, green chillies, garlic, tamarind paste and salt in a mixer and grind it. Now heat oil in a pan. Add mustard seeds and curry leaves in it. After 10 seconds, add the ground lentils in it and turn off the gas. After turning off, garnish with green coriander. Serve Lahsuni Daal with Lauki Badi Sabzi, Boondi Raita and Phulkas for lunch."</t>
  </si>
  <si>
    <t>http://www.archanaskitchen.com/garlic-dal-recipe-in-hindi</t>
  </si>
  <si>
    <t>Tamatar Pyaz Ki Sabzi Recipe -Tomato Onion Sabzi</t>
  </si>
  <si>
    <t>4 Tomatoes - quartered,1 Onion - thinly sliced,2 Green Chillies - slit,4 cloves Garlic,1 teaspoon Turmeric powder (Haldi),1 teaspoon Red Chilli powder,Salt - to taste,1/2 teaspoon Mustard seeds,1 sprig Curry leaves,1/2 teaspoon Mustard oil,1 Bay leaves (tej patta) - torn into half,2 Cloves (Laung),1 inch Cinnamon stick</t>
  </si>
  <si>
    <t xml:space="preserve">To begin making the Tamatar Pyaz Ki Sabzi, first prep all the ingredients and keep them ready. Heat oil in a pressure cooker over medium heat; add the mustard seeds and allow it to crackle.Once it crackles, add the curry leaves, bay leaves, cloves, cinnamon stick and saute for a few seconds.Add the onion, green chillies and garlic. Saute the onions until they become slightly soft.Once soft, add the tomatoes, turmeric powder, red chilli powder and salt to taste.Add just a little water - about 2 to 3 tablespoons and cover the pressure cooker. Cook for 2 whistles and turn off the heat.Once the pressure released, check the salt and spices in the Tamatar Pyaz Ki Sabzi and adjust to suit your taste.Serve the Tamatar Pyaz Ki Sabzi along with Aloo Bhindi Sabzi, Phulka, Gujarati Kadhi for a delicious Sunday lunch.
</t>
  </si>
  <si>
    <t>https://www.archanaskitchen.com/tamatar-pyaz-ki-sabzi-recipe-tomato-onion-sabzi</t>
  </si>
  <si>
    <t>Suva Methi Baingan Sabzi Recipe ( Eggplant in Dill and Methi leaves Curry Recipe)</t>
  </si>
  <si>
    <t>5 Small Brinjal (Baingan / Eggplant),1 cup Kasuri Methi (Dried Fenugreek Leaves),1 cup Dill leaves,3 cloves Garlic - minced or crushed,3 Green Chillies - chopped small or minced,1 inch Ginger - grated,2 Tomatoes - chopped roughly,1 tablespoon Mustard oil,1/4 teaspoon Mustard seeds,1/4 teaspoon Fennel seeds (Saunf),1/2 teaspoon Cumin seeds (Jeera),1 pinch Asafoetida (hing),Salt - to taste</t>
  </si>
  <si>
    <t xml:space="preserve">We begin making the Suva Methi Baingan Sabzi Recipe ( Eggplant in Dill and Methi leaves Curry Recipe) by heating pressure with oil.Crackle the mustard seeds, cumin seeds, fennel seeds and hing. Add in the tomatoes, ginger and green chillies. Sauté for few seconds.Then add in the aubergine, dill leaves and dry fenugreek leaves. Sprinkle salt and check for season. Add ½ cup water and pressure cook for 2 whistle. Release the pressure naturally. Serve the Suva Methi Baingan Sabzi Recipe ( Eggplant in Dill and Methi leaves Curry Recipe) along with Tawa Paratha and Hot Steam Rice.
</t>
  </si>
  <si>
    <t>http://www.archanaskitchen.com/suva-methi-baingan-sabzi-recipe-eggplant-in-dill-and-methi-leaves-curry-recipe</t>
  </si>
  <si>
    <t>Karela Aur Baingan Ki Sabzi Recipe - Bitter Gourd Brinjal Sabzi</t>
  </si>
  <si>
    <t>1 Karela (Bitter Gourd/ Pavakkai) - wash,6 Brinjal (Baingan / Eggplant) - thinly sliced,1 Onion - chopped,1/2 teaspoon Mustard seeds,1/2 teaspoon Cumin seeds (Jeera),1/2 teaspoon Methi Seeds (Fenugreek Seeds),1/4 teaspoon Turmeric powder (Haldi),1/2 teaspoon Red Chilli powder,1 teaspoon Amchur (Dry Mango Powder),Salt - to taste,2 tablespoons Sunflower Oil</t>
  </si>
  <si>
    <t xml:space="preserve">To begin making the Karela Aur Baingan Ki Sabzi Recipe, wash the bitter gourd, scrape the skin slightly and cut into thin circles. Remove the seed and white skin at center.Wash, cut the brinjal into thin slices and keep immersed in salted water to prevent discoloration.Heat oil in a heavy bottomed pan. Add the bitter gourd slices to oil and fry on medium flame until it turns darker color and shrinks a little. This is done to remove bitterness.Remove the fried bitter gourd from oil and keep it aside. Add the chopped brinjal to the same oil and cook until it turns soft and changes color. Remove from oil and keep it aside.To the same oil in pan, add mustard seeds, cumin seeds and fenugreek seeds. Once it splutters, add chopped onion and saute until translucent.After the onions are translucent, add turmeric powder, red chilli powder and dry mango powder. Mix well and cook for about 2 to 3 minutes.Now add both the cooked veggies along with salt to taste and very little water. Saute well and cook for 5 minutes until combined. The tasty bitter gourd brinjal curry is ready.Serve Karela Aur Baingan Ki Sabzi along with Gujarati Dal and Methi Thepla for a weekday meal.
</t>
  </si>
  <si>
    <t>http://www.archanaskitchen.com/karela-aur-baingan-ki-sabzi-recipe-bitter-gourd-brinjal-sabzi</t>
  </si>
  <si>
    <t>Wheat Rava Halwa Recipe</t>
  </si>
  <si>
    <t>1 cup Broken Wheat (Dalia/ Godumai Rava),1 cup Brown Sugar (Demerara Sugar),1 cup Jaggery,1-1/2 tablespoon Ghee,1 teaspoon Cardamom Powder (Elaichi)</t>
  </si>
  <si>
    <t xml:space="preserve">To begin with Wheat Rava Halwa, first crush the jaggery and keep it aside. Heat ghee in a pan and then fry the cashew nuts until golden brown.Take water in a heavy bottom pan. Once water starts to boil, add the wheat rava in a pan.Cover and cook till the rava is soft. Make sure that it should not be mushy. (it took 20 minutes for me to cook as my rava was a bit big)Add the sugar and jaggery to it. Let it melt and it will turn into a syrup form. This process will take about 5-8 minutes. Mix everything well till the syrup gets absorbed by the rava.Add ghee and mix everything again and cook for 2 minutes more until the ghee is fully absorbed.Add the crushed cardamom powder and fried cashew nuts. Turn off heat and it is ready to be served.Serve Wheat Rava Halwa as a sweet dish after your meal or prepare it during special occasions and festivals.
</t>
  </si>
  <si>
    <t>https://www.archanaskitchen.com/wheat-rava-halwa-recipe</t>
  </si>
  <si>
    <t>Kesar Shahi Tukda With Rabdi Recipe (Saffron Bread Pudding With Spiced Milk Custard)</t>
  </si>
  <si>
    <t>6 Whole Wheat Brown Bread,1/4 cup Ghee - (for shallow frying),1 cup Rabri,Mixed nuts - Chopped (almonds,1/3 cup Sugar,1/3 cup Water,1 teaspoon Cardamom Powder (Elaichi),Saffron strands - few</t>
  </si>
  <si>
    <t xml:space="preserve">To begin making the Kesar Shahi Tukda With Rabdi Recipe, we will first prepare the sugar syrup for the Shahi Tukda and Rabri.Prepare the Rabri according to the Rabri recipe and keep aside.Heat water and sugar in pan, add the saffron strands and allow the water to come to a brisk boil. Turn the heat to low and simmer the sugar water until you get a one string consistency. Turn off the heat and keep the sugar syrup aside.The next step is to prepare the bread slices and roast them in ghee for the shahi tukda recipe.Cut the edges of the bread and slice them into a triangle.Heat ghee in a skillet and shallow try the bread pieces until they are crisp and golden brown in color on both sides.Once the bread slices are fried, soak each slice in the sugar syrup for about a minute and place them on a serving platter. Pour the prepared Rabri over the bread slices and garnish with the chopped nuts and serve.You can serve the Kesar Shahi Tukda With Rabdi either chilled or warm based on the season and mood.
</t>
  </si>
  <si>
    <t>http://www.archanaskitchen.com/kesar-shahi-tukda-with-rabdi-rabri-recipe-saffron-bread-pudding-with-spiced-milk-custard</t>
  </si>
  <si>
    <t>Phool Gobi Sabzi</t>
  </si>
  <si>
    <t>1 cabbage - chop, 2 tomatoes - make puree, 1 inch ginger - grate, 1/2 teaspoon cumin seeds, 1 teaspoon turmeric powder, 1-1/2 teaspoon garam masala powder, salt - according to taste, 4 sprigs of coriander leaves - chop, oil - according to use</t>
  </si>
  <si>
    <t>"To make Cauliflower Sabzi, first heat oil in a pan. Add ginger, cumin seeds and let it cook for 15 seconds. After 15 seconds, add tomatoes, turmeric powder, garam masala powder, salt, mix and let it cook for 1 minute. Now add cauliflower, 2 tbsp water, mix and cover the pan. Reduce the flame and let it cook for 10 to 15 minutes. After the cauliflower is cooked, turn off the gas and garnish with green coriander. Serve Cauliflower Sabzi with Mint Moong Daal, Boondi Raita and Phulkas for lunch."</t>
  </si>
  <si>
    <t>http://www.archanaskitchen.com/phool-gobi-sabzi-recipe-in-hindi</t>
  </si>
  <si>
    <t>Sweet Potato And Broccoli Sabzi Recipe</t>
  </si>
  <si>
    <t>2 cups Broccoli - cut into florets,1 Sweet Potato - peeled and cut lengthwise,1/2 teaspoon Cumin powder (Jeera),1 teaspoon Turmeric powder (Haldi),Salt - to taste,1/2 teaspoon Kalonji (Onion Nigella Seeds),1 teaspoon Sunflower Oil,1 teaspoon Red Chilli powder,Salt - to taste</t>
  </si>
  <si>
    <t xml:space="preserve">To begin making the Sweet Potato &amp; Broccoli Sabzi Recipe, cut broccoli into small size florets. Wash, pat dry and keep aside. Peel and cut the sweet potatoes into thin strips similar to french fries. Soak sweet potato in water in a bowl. Heat oil in a skillet, on medium flame. To this add the broccoli, sprinkle some cumin powder and salt. Cover and cook the broccoli until done. This should take about 4-6 minutes. Once done, transfer the Broccoli to a bowl and set aside. Heat oil in a stir-fry pan over medium heat. Add the nigella seeds and allow it to sizzle. Add the sliced sweet potatoes along with salt, red chilli powder and turmeric powder. Stir to combine, cover the pan with the lid and cook potatoes until it is cooked through completely.This will take a good 10 minutes on medium flame. Add steamed broccoli florets into this pan and stir to combine. Cook the Sweet Potato &amp; Broccoli Sabzi Recipe for another minute or so and turn off the heat.Transfer the Stir Fried Sweet Potatoes with Broccoli to a serving bowl and serve warm.Serve Sweet Potato &amp; Broccoli Sabzi Recipe along with Gujarati Dal, Boondi Raita and Phulka for a weekday meal.
</t>
  </si>
  <si>
    <t>https://www.archanaskitchen.com/stir-fried-potatoes-with-broccoli-recipe-aloo-broccoli-sabzi</t>
  </si>
  <si>
    <t>One Pot Pav Bhaji Recipe Using Preethi Electric Pressure Cooker</t>
  </si>
  <si>
    <t>12 Pav buns,1 Onions - finely chopped for serving,1 sprig Coriander (Dhania) Leaves - finely chopped for garnishing,1 Onion - finely chopped,1 teaspoon Ginger - grated,3 cloves Garlic - grated,1 cup Tomato - puree,1 Green Bell Pepper (Capsicum) - finely chopped,2 Carrots (Gajjar) - diced,1/2 cup Cabbage (Patta Gobi/ Muttaikose) - chopped,3 Potatoes (Aloo) - peeled and diced,2 teaspoons Pav bhaji masala,1 teaspoon Chaat Masala Powder,1/2 cup Green peas (Matar) - steamed,1 tablespoon Lemon juice,2 tablespoons Butter,Salt - to taste</t>
  </si>
  <si>
    <t xml:space="preserve">We will begin making the Pav bhaji using  Preethi Electric Pressure Cooker.First set pressure cooker to the gravy mode, so we can saute the masala for the pav bhaji. Once the cooker is heated, add the oil, onion, garlic, ginger and saute until the raw smell from the onion goes away.Once it does, add all the remaining ingredients for the bhaji except, the steamed green peas, butter, and lemon juice.Stir well, add 1/2 cup of water, Lock the lid in place. Set the timer for 30 minutes and allow it to cook until you hear the beep sound.Once done, allow the pressure to release naturally in the electric pressure cooker.Open the cooker, mash the pav bhaji using a potato masher until it looks well mashed. Add the lemon juice and butter and stir. Check the taste and adjust accordingly. Once done, transfer the One Pot Electric Pressure Cooker Pav Bhaji to a serving bowl.Serve the One Pot Electric Pressure Cooker Pav Bhaji along with toasted Homemade Whole Wheat Pav, and Masala Chai  with some onions sprinkled on the top.
</t>
  </si>
  <si>
    <t>http://www.archanaskitchen.com/one-pot-pav-bhaji-recipe-using-preethi-electric-pressure-cooker</t>
  </si>
  <si>
    <t>Chilli Cheese Paratha Recipe</t>
  </si>
  <si>
    <t>200 grams Britannia Cheese Block - grated,6 Green Chillies - finely chopped,2 Onions - finely chopped,1/2 cup Mint Leaves (Pudina),2 teaspoon Cumin powder (Jeera),2 cups Whole Wheat Flour,2 teaspoon Kalonji (Onion Nigella Seeds),Salt - to taste,Ghee - to smear while cooking</t>
  </si>
  <si>
    <t xml:space="preserve">To begin making Chilli Cheese Paratha Recipe, into a mixing bowl add the grated cheese, green chillies, onions, mint leaves, cumin powder and mix well to combine. Keep aside.To make the dough, into a mixing bowl add the wheat flour, kalonji seeds, salt to taste and add little water at a time and knead to make a smooth dough.Divide the dough into large lemon size portions and keep aside. Take a portion of the dough in flour and roll into a 3 inch diameter circle. Place a large tablespoon of the stuffing in the center of the circle.Bring the edges together and seal the dough. Dust the stuffed ball in flour and roll into a flat paratha. To cook the Chilli Cheese Paratha, place the rolled out cheese paratha on a preheated pan.Warm the paratha for a few seconds on both sides. Drizzle half a teaspoon of ghee on one side and then flip and spread ghee again on the other side.Press down the paratha and cook till crisp and brown spots appear on both sides of the Chilli Cheese Paratha.Once done transfer the Chilli Cheese Paratha onto a serving plate and serve hot. Serve Chilli Cheese Paratha Recipe with Aam Ka Achaar  or Garlic Chutney and a bowl of homemade yogurt for a special weekend breakfast.
</t>
  </si>
  <si>
    <t>http://www.archanaskitchen.com/4-cheese-paratha-with-chili-herbs-recipe</t>
  </si>
  <si>
    <t>Spicy Pickled Paneer Gravy</t>
  </si>
  <si>
    <t>250 grams paneer, ghee - or oil, 2 tbsp pickle - mango pickle with spices, 2 onions - grated, 1 tbsp ginger garlic paste, 1/2 tbsp red chili powder, 1/2 tsp turmeric powder, 1/2 tsp cumin powder, 1/2 tsp garam masala powder, 1 tsp celery, 1 tsp fennel, water - as per requirement, 1 capsicum (green) - chopped, 1 cup tomato puree, 1 tsp kasuri methi, salt - as per taste, few sprigs coriander leaves - finely chopped</t>
  </si>
  <si>
    <t>"To make Achari Paneer, first heat ghee in a pan. Add onions and cook till they turn brown. Take a mixer, add pickles, ginger garlic paste, red chili powder, turmeric powder, cumin powder, garam masala powder, some water and grind. Heat oil in a pan. Add celery, fennel seeds and ground masala. Cook for 2 minutes. After 2 minutes, add capsicum, mix and cook for 3 to 4 minutes. After 4 minutes, add tomato puree, some water and cover the pan. Cook for 5 to 7 minutes. After 7 minutes, add paneer, kasuri methi and salt. Mix and cook for 2 to 3 minutes. After 3 minutes, turn off the gas and garnish with coriander leaves. Serve Achari Paneer with Dal Fry, Phulka and Jeera Rice for lunch."</t>
  </si>
  <si>
    <t>https://www.archanaskitchen.com/spicy-pickled-paneer-gravy-recipe-in-hindi</t>
  </si>
  <si>
    <t>Gobi Ke Kofte</t>
  </si>
  <si>
    <t>1 tablespoon ginger garlic paste, 1/2 cup curd, 2 onions - make a paste, 2 bay leaves, 2 big cardamoms, 1/2 inch cinnamon, 1 teaspoon red chili powder, 1/2 teaspoon turmeric powder, 1 teaspoon coriander powder, salt - as per requirement, oil - as per requirement, water - as per requirement, 2 sprigs of coriander - finely chopped, 250 grams cabbage - grated, 1/2 cup gram flour, 1 teaspoon red chili powder, 2 green chilies - finely chopped, salt - as per requirement, water - as per requirement, oil - as per requirement</t>
  </si>
  <si>
    <t>"To make Gobi Kofta, first we will make koftas. Put the ingredients given for kofta in a bowl. Add some water and mix well. After mixing, make pakoras and keep aside. Heat oil in a pan. Add pakoras and cook till they turn brown. Take them out on a kitchen towel so that excess oil drains out. Keep aside. Now heat oil in a pan. Add cloves, bay leaves, big cardamom and cinnamon. After 1 minute, add ginger garlic paste and cook for 5 to 8 minutes. After 5 to 8 minutes, add red chili powder, turmeric powder, coriander powder, salt and cook for 5 minutes. After 5 minutes, reduce the flame and add curd. Mix and add water as per requirement. Let it cook for 4 to 5 minutes. Now add koftas and cook for 2 more minutes. After 2 minutes, turn off the gas and garnish with green coriander. Gobi Kofta Serve the Koftas along with Boondi Raita and Tawa Paratha for dinner.</t>
  </si>
  <si>
    <t>http://www.archanaskitchen.com/gobi-ke-kofte-recipe-cauliflower-fritters-in-spicy-gravy-in-hindi</t>
  </si>
  <si>
    <t>Matar Keema</t>
  </si>
  <si>
    <t>1 cup green peas - boil and mash, 1 potato - boil and mash, 1/2 cup paneer - chop, 1 tomato - finely chop, 1/4 cup tomato puree, 1/2 teaspoon cumin seeds, 1/2 teaspoon mustard seeds, asafoetida - a pinch, 1 onion - finely chopped, 1 tablespoon ginger garlic paste, 1 teaspoon red chili powder, 1/2 teaspoon turmeric powder, green coriander - a little, 1 teaspoon coriander powder, 1/2 teaspoon garam masala powder, oil - as needed, water - as needed, salt - as needed</t>
  </si>
  <si>
    <t>"To make matar keema, first heat oil in a pan. Add cumin seeds, mustard seeds and asafoetida. After 15 seconds, add onion and cook till onion becomes soft. After onion becomes soft, add ginger garlic paste and let it cook for 2 minutes. After 2 minutes, add finely chopped tomatoes and tomato puree. Cover the pan and let it cook for 3 to 4 minutes. After 4 minutes, add red chili powder, turmeric powder, coriander powder, garam masala powder and salt. Mix and let it cook for 5 minutes. After 5 minutes, add mashed potato, paneer and 1/4 cup water. Mix everything and let it cook for 6 to 8 minutes. After this, add green peas. Cover the pan and let it cook for 3 to 5 minutes. After cooking, garnish with green coriander and serve. Serve matar keema with palak raita and phulka for lunch."</t>
  </si>
  <si>
    <t>https://www.archanaskitchen.com/matar-keema-recipe-in-hindi</t>
  </si>
  <si>
    <t>Paneer Kofta Curry Recipe</t>
  </si>
  <si>
    <t>250 grams paneer - grated, 3 tbsp maida (all purpose flour), salt - a pinch, green coriander - a little, 1 tsp cumin powder, 1 ginger - grated, 1 tbsp honey, 2 cups tomato puree, 1 tsp coriander powder, 1/2 tsp garam masala powder, 1/4 tsp turmeric powder, 1/4 cup hung curd - or cream, kasuri methi - a little, salt - according to taste, oil - as per use</t>
  </si>
  <si>
    <t>"To make paneer kofta curry recipe, first we will make paneer kofta. In a bowl add grated paneer, flour, salt, coriander leaves, cumin powder and mix well. Now make small balls of this mixture. Now we will fry them. You can either bake these paneer balls in the oven or pan fry them in a paniyaram pan. Method in oven: Take a baking sheet and grease it with oil. Place paneer balls on it and bake in a preheated oven at 200 C till they turn golden brown. Remove and keep aside. Method in paniyaram pan: Heat a paniyaram pan. Pour some oil in each cavity. After oil is heated add paneer balls and cook till both sides turn golden brown. Flip with the help of a spoon. Keep aside. Now to make kofta curry, heat oil in a pan. After oil is heated add honey and ginger and cook till honey starts boiling. After honey After boiling add tomato puree, turmeric powder, cardamom powder, garam masala powder, salt, red chili powder and mix well. Cook till tomatoes become soft. Now add cream or hung curd, kasuri methi and mix well. After 1 minute add kofta paneer balls, cover the pan and let it cook. Let it cook for 3 to 4 minutes and turn off the gas. Serve paneer kofta curry with boondi raita and lachha paratha for everyday meal. "</t>
  </si>
  <si>
    <t>https://www.archanaskitchen.com/paneer-kofta-curry-recipe-non-fried-in-hindi</t>
  </si>
  <si>
    <t>1 cup Kabuli Chana (White Chickpeas) - soaked and cooked until soft,Green Bell Pepper (Capsicum) - diced,2 Onions - finely chopped,2 teaspoons Ginger Garlic Paste,2 teaspoons Coriander Powder (Dhania),1 teaspoon Red Chilli powder,1 teaspoon Cumin powder (Jeera),1/2 teaspoon Turmeric powder (Haldi),1 teaspoon Kasuri Methi (Dried Fenugreek Leaves),1/2 cup Cashew nuts,1 cup Homemade tomato puree,Sunflower Oil - for cooking,Salt - to taste</t>
  </si>
  <si>
    <t xml:space="preserve">To begin making the Chole Capsicum Masala recipe, soak cashew nuts in warm water for 12 to 15 minutes.Heat oil in a wok/kadai. Add sliced onions and cook until golden brown.Add garlic paste and saute for 1 minute. Next add the cubed capsicum pieces and saute for 2 to 3 minutes.Then add cumin powder, coriander powder, turmeric powder and chilli powder. Fry for a minute, taking care not to burn.Now add the tomato sauce/puree and boiled chickpeas along with 2 cups of water.Let this mixture come to boil and then simmer for 5 minutes until the flavours mix together.Meanwhile, make a paste of soaked cashew nuts.Add the cashew paste to the curry along with salt. Simmer for 4 to 5 minutes.Add kasoori methi, remove from flame and serve hot.Serve Chole Capsicum Masala along with Kachumber Salad, Steamed Rice and Phulkas for a weekday meal.
</t>
  </si>
  <si>
    <t>http://www.archanaskitchen.com/chole-capsicum-masala-recipe</t>
  </si>
  <si>
    <t>Amritsari Fish Gravy Recipe</t>
  </si>
  <si>
    <t>300 gram Fish - cutlets,1/4 teaspoon Ajwain (Carom seeds),1 tablespoon Gram flour (besan),1 teaspoon Kashmiri Red Chilli Powder,1/2 teaspoon Turmeric powder (Haldi),1 teaspoon Ginger Garlic Paste,1 teaspoon Lemon juice,Salt - to taste,2 teaspoon Sunflower Oil,1/4 cup Curd (Dahi / Yogurt) - beaten,1/3 cup Water,1/2 teaspoon Ajwain (Carom seeds),2 Cinnamon Stick (Dalchini),2 Green Chillies,1 Fresh Red chillies,1/2 teaspoon Turmeric powder (Haldi),1/4 cup Cashew nuts,1 tablespoon Homemade tomato puree,1 Onion - chopped,Coriander (Dhania) Leaves - chopped,2 teaspoon Ghee,Salt - to taste</t>
  </si>
  <si>
    <t xml:space="preserve">To begin making Amritsari Fish Gravy Recipe, first clean and wash the pieces of fish, rub salt keep for aside for five minutes.In a mixing bowl, add ginger and garlic paste, lime juice, carom seeds, gram flour, red chilli powder and turmeric powder. Mix well and add the fish pieces in this paste. Marinate the fish pieces in the mixture for at least 30 minutes. Place a skillet on medium heat and add some oil on top. Place the pieces of marinated fish on to the skillet and cook till crispy red. Turn the pieces of fish until they are cooked. *To make the gravySoak cashews in water, once soft grind it to a paste with little water. In a large mixing bowl, add the beaten curd, cashew paste, tomato paste, chilli powder, turmeric powder and water. Place a heavy bottomed pan on low flame and add some ghee and add carom seeds. Fry for a minute and add in the chopped onions. Saute until translucent. Add ginger paste and fry for a few more minutes until the raw smell goes away. Pour the mixture of curd and cashew paste along with chopped green chillies and red chillies. Add salt according to your tasteAdd the fish pieces on serving dish and the gravy on sides. Garnish with chopped coriander leaves.Serve Amritsari Fish Gravy Recipe along with Whole Wheat Onion Stuffed Kulcha Recipe or Jeera Rice Or Steamed Rice for a delicious Sunday Meal.
</t>
  </si>
  <si>
    <t>https://www.archanaskitchen.com/amritsari-fish-gravy-recipe</t>
  </si>
  <si>
    <t>Dhaba Style Egg Curry Recipe in Electric Pressure Cooker</t>
  </si>
  <si>
    <t>4 Whole Eggs - hard boiled,1 tablespoon Ghee,1/2 teaspoon Cumin seeds (Jeera),1/2 teaspoon Mustard seeds,1/4 teaspoon Asafoetida (hing),3 Cloves (Laung),1 Bay leaf (tej patta),1 Black cardamom (Badi Elaichi),2 Cardamom (Elaichi) Pods/Seeds,4 Dry Red Chillies,1 inch Ginger - finely chopped,4 cloves Garlic - finely chopped,1 Onion - finely chopped,1 cup Homemade tomato puree,2 tablespoons Curd (Dahi / Yogurt),1 teaspoon Kashmiri Red Chilli Powder,1/2 teaspoon Turmeric powder (Haldi),1 teaspoon Coriander Powder (Dhania),Salt - as needed,Water - as needed,Coriander (Dhania) Leaves - few sprigs</t>
  </si>
  <si>
    <t xml:space="preserve">To begin making the Dhaba Style Egg Curry, prep all the ingredients and keep them ready.Boil the eggs and keep them ready as well.Place the mode of the pressure cooker into the saute mode.Heat ghee into the electric pressure cooker; add cumin seeds, mustard seeds, hing, bay leaf, red chilli, black cardamom, green cardamom, cloves until you can smell the aromas coming through.Add the finely chopped onion, ginger, garlic and cook them till they turn soft and translucent. After a minute, add all the dry masalas including kashmiri red chilli powder, turmeric powder, coriander powder and the required salt. Let it cook for about 3 to 4 minutes.Next, add the tomato puree and cook for about 5 to 6 minutes. After 5 to 6 minutes, add the curd and the required water.Mix properly, cover the electric pressure cooker.Set the mode to gravy mode and allow the pressure cooker to do cook until turns itself on to the keep warm mode.Once done, stir in the coriander leaves, check the salt and adjust according to taste.Once done, transfer the Dhaba Egg Curry into a serving bowl and serve hot.Dhaba Style Egg Curry is usually served on the road side dhabas in North Indian with Bajra Ki Roti or Makki Ki Roti
</t>
  </si>
  <si>
    <t>https://www.archanaskitchen.com/dhaba-style-egg-curry-recipe</t>
  </si>
  <si>
    <t xml:space="preserve">Dal Banjara </t>
  </si>
  <si>
    <t>3/4 cup black urad dal (split), 1/4 cup chana dal, 1 inch ginger - grated, 1 green chilli - chopped, 1 tomato - finely chopped, 1 bay leaf, 1 inch cinnamon, 1 tsp turmeric powder, 1 tsp garam masala powder, 5 sprigs coriander leaves - chopped, 1 tsp ghee, 1 tsp cumin seeds, 2 dried red chillies - broken</t>
  </si>
  <si>
    <t>"To make Dal Banjara, first put all the ingredients except the tempering in the cooker. Add 2-1/2 cups of water and cook till 2 to 3 whistles. After the whistles, reduce the flame and let it cook for 10 minutes. Turn off the gas and let the pressure release on its own. After the pressure is released, take out the dal in a bowl. Now we will prepare the tempering for it. Heat ghee in a small pan. Add cumin seeds and dried red chillies in it. After 15 seconds, pour it in the dal and mix it. Serve hot. Serve Dal Banjara with Tomato Cucumber Onion Raita and Bhakri for lunch. "</t>
  </si>
  <si>
    <t>http://www.archanaskitchen.com/dal-banjara-recipe-in-hindi</t>
  </si>
  <si>
    <t>Lobia Masala Recipe</t>
  </si>
  <si>
    <t>1 cup black eyed peas, 1/2 cup tomato puree, 1 onion - finely chopped, 1 tsp cumin seeds, 1 inch ginger - peeled and grated, 3 cloves garlic, 2 green chillies - finely chopped, 1 inch cinnamon, 1/2 tsp turmeric powder, 1 tsp coriander powder, 1 tsp red chilli powder, 1 tsp garam masala powder, 1 tsp jaggery, 1 tsp lemon juice, salt - according to taste, 1 tsp olive oil, green coriander - chopped</t>
  </si>
  <si>
    <t>"To make Lobia Masala recipe soak the Lobia in water for 2 hours. Now put them in a pressure cooker with 2 cups of water and cook till 5 to 6 whistles. Let the pressure release on its own. After the pressure is released, take out the Lobia and keep aside in a bowl. Heat oil in a saucepan. Add cumin seeds, cinnamon and let the cumin seeds crackle. After the cumin seeds crackle, add ginger, garlic, onion, green chilies and cook for 15 to 20 seconds. Now add tomato puree and cook for 4 to 5 minutes. Now add turmeric powder, coriander powder, garam masala powder, red chili powder, jaggery, Lobia and mix. Reduce the flame and let the Lobia cook for 15 minutes. If you need more water then add and let it cook. Cook for 15 minutes and add lemon juice to it. Mix and garnish with green coriander. Serve. Serve Lobia Masala with Tawa Paratha and Tomato Onion Cucumber Raita for lunch.</t>
  </si>
  <si>
    <t>https://www.archanaskitchen.com/lobia-masala-recipe-black-eyed-bean-curry-roz-ka-khana-with-figaro-olive-oil-in-hindi</t>
  </si>
  <si>
    <t>Mixed Vegetable Samosa Recipe</t>
  </si>
  <si>
    <t>2 cup All Purpose Flour (Maida),3 tablespoon Sunflower Oil,1/4 teaspoon Ajwain (Carom seeds),1/2 teaspoon Lemon juice,4 Potatoes (Aloo) - medium size,1/2 cup Green peas (Matar) - boiled,1/4 cup Carrot (Gajjar) - boiled and finely chopped,1/4 teaspoon Mustard seeds,1/4 teaspoon Coriander (Dhania) Seeds,1/4 cup Onion - finely chopped,5 Curry leaves,3 Green Chilli - finely chopped,1 inch Ginger - grated,1/2 teaspoon Red Chilli powder,1/2 teaspoon Coriander Powder (Dhania),1/4 teaspoon Turmeric powder (Haldi),1 teaspoon Garam masala powder,Salt - to taste,Sunflower Oil - to fry,Salt - to taste,Sunflower Oil - to fry</t>
  </si>
  <si>
    <t xml:space="preserve">To prepare Mixed Vegetable Samosa Recipe, take a big bowl and add maida/all-purpose flour, salt, oil and carom seeds, and lemon juice. Mix them all well and make stiff and tight dough. Addition of lemon juice makes the cover of samosa crunchier.Heat a pan with oil and add mustard seeds, let them crackle and add chopped onions, green chilly, curry leaves, ginger and cook them until onions turns light pink. Add all the spices including salt and cook for seconds.Now add boiled and mashed potatoes, boiled green peas and boiled carrot in it and mix it very well. Sprinkle some chopped coriander leaves on the mixture and your samosa stuffing is ready. Let the mixture come on room temperature.Now make medium size small balls from the dough, roll out the dough ball by keeping it little thick, then divide the round poori into two halves and lift one part in your hands, apply some water on the edges and fold it to cone shape.Now stuff the samosa mixture in the cone, and again fold at the back and apply some water on the edges. Take both the ends together and stick well, make them in a perfect samosa shape. Meanwhile, heat the oil in a wok.Like same way, prepare all the samosas. Now deep fry the samosas on medium heat until they get brown and crispy from all the sides.Drain out the fried samosas on tissue paper to remove excess oil and your super delicious Mixed Vegetable Samosas are ready to serve with hot cup of tea or coffee!!You can serve it with green chutney, or Tamarind-jaggery chutney or simply with Tomato ketchup too!
</t>
  </si>
  <si>
    <t>http://www.archanaskitchen.com/gobi-matar-mini-samosa-recipe</t>
  </si>
  <si>
    <t>Lugai Gosht Recipe - Mutton In Spicy Tomato Onion Gravy</t>
  </si>
  <si>
    <t>1 kg Mutton,750 grams Onion - thinly sliced,750 grams Tomato - finely chopped,Sunflower Oil - as required,Ghee - as required,3 Cardamom (Elaichi) Pods/Seeds -,3 Green Chillies,1 tablespoon Ginger Garlic Paste,1/2 inch Ginger - thinly sliced,1 inch Cinnamon Stick (Dalchini),1 teaspoon Cumin seeds (Jeera),4 Whole Black Peppercorns,1/2 tablespoon Cumin powder (Jeera) - adjustable,1/2 tablespoon Red Chilli powder - adjustable,2 Dry Red Chillies,Salt - to taste</t>
  </si>
  <si>
    <t xml:space="preserve">To begin making the Lugai Gosht recipe, heat oil and ghee in a pressure cooker.  Add the whole spices including cinnamon stick, cumin seeds, black pepper corns, dry red chillies to the cooker and cook it for about 30 seconds.After 30 seconds, add thinly sliced onions and cook till they turn brown in colour.Once it is done, add ginger garlic paste, green chillies and tomatoes along with cumin powder, red chilli powder and salt. Mix properly and cook for about 2 to 3 minutes.Next, add the meat and mix well. Close the pressure cooker and let it cook for 2 whistles. After 2 whistles, open the lid and let it  simmer for 10 minutes. Garnish with coriander and thinly sliced ginger. Serve hot.Serve Lugai Gosht along with Whole Wheat Lachha Paratha, Burani Raita and Jeera Rice for a weekend lunch or dinner.
</t>
  </si>
  <si>
    <t>https://www.archanaskitchen.com/lugai-gosht-recipe-mutton-in-spicy-tomato-onion-gravy</t>
  </si>
  <si>
    <t>Dal Palak Recipe With Moong &amp; Masoor Dal</t>
  </si>
  <si>
    <t>1/2 cup Yellow Moong Dal (Split),1/2 cup Masoor Dal (Whole),250 grams Spinach Leaves (Palak) - chopped and steamed,1 Tomato - finely chopped,1 inch Ginger - grated,1 teaspoon Turmeric powder (Haldi),1/2 teaspoon Cumin powder (Jeera),1/2 teaspoon Garam masala powder,Salt - to taste,1 tablespoon Ghee,1/2 teaspoon Cumin seeds (Jeera),2 Dry Red Chillies</t>
  </si>
  <si>
    <t xml:space="preserve">To begin making the Dal Palak recipe we will first cook the lentils (dal) using a pressure cooker using 3 cups of water. See video recipe of how to cook lentils using pressure cooker.Next we will cook the spinach with the spices. There are two ways you can do it - in a sauce pan by sauteeing it or in a pressure cooker.Below you will find the recipe of how you cook the spinach in a pressure cooker, as the method is really fast. If you are using a saucepan method, then follow the same procedure, but just cover the pan and cook until the spinach is soft.Into a pressure cooker, add a teaspoon of oil; add the ginger, green chillies, tomatoes, turmeric powder, cumin powder, garam masala powder, salt and spinach. Stir all the ingredients together just to combine them. Once combined, cover the pressure cooker, place the weight on. Pressure cook until you hear one whistle. After the first whistle, turn off the heat. We will now place the pressure cooker under cold running water to release the pressure immediately. This way, we will release the pressure quickly and the spinach does not get over-cooked and remain fresh and green.Now that you have the spinach and lentils ready, if your cooker is large enough, add the cooked dal into the spinach and give it a stir. Bring the Dal Palak to a quick boil. Our next step is to proceed to make the seasoning. Into a small saucepan, heat a tablespoon of ghee. Add in the cumin seeds and dry red chillies. Roast them until they crackle and sizzle.Add this seasoning to the Dal Palak and give it a stir. Serve the Dal Palak for a simple and healthy weeknight dinner along with steamed rice or Paneer Pulav or traditional Tawa Parathas. Also, do make sure to slice up some onions, squeeze in some lemon and toss it along with salt and serve it with the Dal Palak. The combination is delicious.
</t>
  </si>
  <si>
    <t>http://www.archanaskitchen.com/dal-palak-recipe-spinach-and-lentil-curry</t>
  </si>
  <si>
    <t>Mumbai Style Pani Puri Recipe</t>
  </si>
  <si>
    <t>30 Pani Puris,2 cups Green Chutney (Coriander &amp; Mint),2 cups Sweet Chutney (Date &amp; Tamarind),1/4 cup Green Moong Dal (Whole) - or black gram,1/4 Boondi</t>
  </si>
  <si>
    <t xml:space="preserve">To begin making the Mumbai Style Sukha Pani Puri, firstly make the chutneys by following the recipe on our website. The next step is to assemble, sprinkle some water on the khara boondi. In a mixing bowl add the khara boondi and the moong beans and stir.Make a small hole in the centre of each puri with your thumb. The puris are quite delicate so be careful while breaking them.Add about 1/2 teaspoon of the moong-khara boondi mixture to each puri.Fill the puris with date tamarind chutney and then fill in the green chutney and serve immediately. Repeat the same for other puris.Serve Mumbai Style Sukha Pani Puri with Sev Puri and Dahi Bhalla Papdi for a weekend chaat party.
</t>
  </si>
  <si>
    <t>https://www.archanaskitchen.com/mumbai-style-pani-puri-recipe</t>
  </si>
  <si>
    <t>Paneer Makhana Gulgule Chaat Recipe - No Onion No Garlic</t>
  </si>
  <si>
    <t>1 cup Paneer (Homemade Cottage Cheese) - crumbled,3 Potatoes (Aloo) - boiled and peeled,2 cups Phool Makhana (Lotus Seeds) - roasted,2 tablespoons Gram flour (besan),Salt - to taste,1 teaspoon Cumin powder (Jeera),1 teaspoon Black pepper powder,1 Green Chilli - finely chopped,1/2 teaspoon Red Chilli powder,1/4 cup Coriander (Dhania) Leaves - finely chopped,1 Cucumber - grated,Salt - to taste,1 tablespoon Lemon juice,1/4 cup Green Chutney (Coriander &amp; Mint),1/4 cup Sweet Chutney (Date &amp; Tamarind)</t>
  </si>
  <si>
    <t xml:space="preserve">To begin making the Paneer Makhana Gulgule Chaat Recipe keep the chutneys ready. To make the green chutney follow this recipe - Green Chutney Recipe - Coriander Mint Chutney RecipeTo make the sweet chutney follow this recipe - Date and Tamarind Chutney Recipe - Khajur Imli ChutneyTo make the pickled cucumber, in a mixing bowl, combine the grated cucumber along with the salt and lemon juice. Mix well and allow it to wilt down. To make the Paneer Makhana Gulgule, powder the roasted makhana in a mixer grinder. In a mixing bowl, combine paneer, along with  potatoes, boiled and peeled, powdered makhana, besan, salt to taste, cumin powder, black pepper powder, green chili, red chili powder, coriander leaves. Mix well and bring the Paneer Makhana Gulgule mixture together.Grease your palms with oil and place two tablespoons of this Paneer Makhana Gulgule mixture in your palm and make even round balls. Heat a paniyaram pan, a put a few drops of oil in each of the cavities. Place each of the balls in the cavities and cook until it turns into a lovely brown colour. Flip on the other side and cook the Paneer Makhana Gulgule evenly. Remove from the pan and place them on a serving platter. Top the Paneer Makhana Gulgule with both the green chutney, sweet chutney and pickled cucumbers and serve. Serve Paneer Makhana Gulgule Chaat at your chaat party along with other chaat like Bhakri Chaat Recipe With Green Moong Sprouts And Aloo and Dahi Batata Puri Chaat Recipe (Classic Indian Tea Time Snack)
</t>
  </si>
  <si>
    <t>http://www.archanaskitchen.com/paneer-makhana-gulgule-chaat-recipe-no-onion-no-garlic</t>
  </si>
  <si>
    <t>Mutton Matar Keema Recipe -Minced Mutton With Green Peas</t>
  </si>
  <si>
    <t>750 grams Mutton - minced,100 grams Curd (Dahi / Yogurt),4 Onions - sliced,10 cloves Garlic,1/2 cup Ginger - finely sliced,5 Potatoes (Aloo) - cut into half,1-1/2 cups Green peas (Matar),4 Green Chillies - finely chopped,1 teaspoon Turmeric powder (Haldi),2-1/2 tablespoons Coriander Powder (Dhania),2 tablespoons Red Chilli powder,Salt - as required,Sunflower Oil - as required,1/4 cup Coriander (Dhania) Leaves - finely chopped,4 Dry Red Chillies,2 Bay leaf (tej patta),6 Black pepper powder,4 Cloves (Laung),1-1/2 inch Cinnamon Stick (Dalchini),4 Cardamom (Elaichi) Pods/Seeds,4 Black cardamom (Badi Elaichi),1 tablespoon Ajwain (Carom seeds)</t>
  </si>
  <si>
    <t xml:space="preserve">To begin making the Mutton Matar Keema Recipe, firstly wash the minced mutton with running water, strain and keep it aside. Heat oil in a heavy bottomed pan and fry the potato pieces till golden and keep aside.In the remaining oil, add all the whole spices mentioned, after a few seconds add ginger slices and whole garlic cloves and fry till they turn golden brown.Now add sliced onions and green chilies and saute till the raw smell goes off.Add in the mutton mince and mix well. Fry for some time till the moisture goes off.Add sour curd and mix nicely such that everything incorporates well. Gradually the curd will start leaving water, so simmer the flames, close the lid and allow the minced mutton to cook nicely. This may take 15 to 20 minutes.Once the mutton mince is soft and cooked completely, add in the turmeric powder, red chilli powder, coriander powder, salt, green peas and adjust the oil as well.Fry everything nicely on high to medium flame till the keema starts taking a deep brown color and leaves oil from sides.Now add the fried potatoes and give a quick mix again and cook for another 5 to 6 minutes or till the potatoes get soften.Turn off the gas and garnish with fresh chopped coriander.Serve Mutton Matar Keema with Hot Phulkas or Roomali rotis. It is very popularly made in every Muslim household during any special occasion.
</t>
  </si>
  <si>
    <t>http://www.archanaskitchen.com/mutton-matar-keema-recipe-minced-mutton-with-green-peas</t>
  </si>
  <si>
    <t>Palak Chana Dal Recipe</t>
  </si>
  <si>
    <t>1 cup chana dal - soak in water for 20 minutes, 200 grams spinach - wash and chop, 3 cups water, 1 teaspoon turmeric powder, salt - according to taste, 2 tablespoons ghee, 1/4 teaspoon asafoetida, 1 teaspoon cumin seeds, 2 dried red chillies, 1 tablespoon ginger garlic paste, 1 onion - chop, 2 green chillies - chop, 1 tomato - chop, 1/2 teaspoon turmeric powder, 1/2 teaspoon red chilli powder, 1/2 teaspoon cumin powder, salt - according to taste</t>
  </si>
  <si>
    <t>"To make Palak Chana Dal recipe, first soak the chana dal. Now put this dal in a pressure cooker with 3 cups of water, salt, turmeric powder and cook till 5 to 6 whistles. After 5 whistles, turn off the gas and let the pressure release automatically. Open the cooker, add water, salt along with spinach, close the cooker and cook till 1 whistle. Turn off the gas and release the pressure. Now heat ghee in a pan. Add cumin seeds and let them crackle. Now add asafoetida and mix. After asafoetida, add dry red chili and cook for 10 seconds. Now add garlic ginger paste and cook for 1 minute. After 1 minute, add onion, green chili and cook till onion turns brown. After onion turns brown, add tomatoes and cook till they become soft. After onion becomes soft, add turmeric powder, red chili powder, cumin powder, salt and cook for 3 to 4 minutes. Now add a mixture of chana dal and spinach. Add and mix well. Cook on low flame for 4 to 5 minutes. Turn off the gas and serve. Serve Palak Chana Dal Recipe along with Bharwa Karela Masala Recipe, Boondi Raita and Phulkas for lunch. "</t>
  </si>
  <si>
    <t>https://www.archanaskitchen.com/palak-chana-dal-recipe-healthy-spinach-gram-dal-recipe-in-hindi</t>
  </si>
  <si>
    <t xml:space="preserve">Aloo Palak Sabzi </t>
  </si>
  <si>
    <t>3 potatoes - boiled, 500 grams spinach - washed and chopped, 1 onion - finely chopped, 2 tomatoes - finely chopped, 1 teaspoon red chili powder, 1 teaspoon turmeric powder, 1 inch ginger - grated, 1/4 teaspoon cinnamon powder, 1/4 teaspoon garam masala powder, 1/2 teaspoon cumin seeds, oil - as per requirement, salt - as per taste</t>
  </si>
  <si>
    <t>"To make Aloo Palak Sabzi, first heat oil in a pan. Add spinach, some salt and cook till the spinach becomes soft. Keep it aside after cooking. Heat some more oil in it. Add cumin seeds, ginger, onion and let it cook till the onion turns golden. After it turns golden, add potatoes, salt and cook till the potatoes turn golden. Now add tomatoes, turmeric powder, red chili powder, cinnamon powder, garam masala powder and salt. Mix it. After cooking for 2 to 3 minutes, add spinach. Cover the pan and cook for another 3 minutes. Turn off the gas and serve. Serve Aloo Palak Sabzi with Gujarati Daal and Phulkas for lunch."</t>
  </si>
  <si>
    <t>https://www.archanaskitchen.com/aloo-palak-sabzi-recipe-in-hindi</t>
  </si>
  <si>
    <t>Shakarkandi Ke Gulab Jamun Recipe (Sweet Potato Gulab Jamun)</t>
  </si>
  <si>
    <t>2 cups Sweet Potato - mashed,2 tablespoons All Purpose Flour (Maida),1/2 teaspoon Cardamom Powder (Elaichi),1 pinch Salt,2-3 tablespoons Sugar,2 cups Ghee - or oil,1 cup Water,2 cups Sugar,2-3 drops Rose water,4-5 Saffron strands</t>
  </si>
  <si>
    <t xml:space="preserve">To begin making the Shakarkandi Ke Gulab Jamun recipe, boil sweet potatoes in a pressure cooker, peel and mash them well with fork or with your hands.Collect mashed sweet potatoes in a mixing bowl and add all purpose flour and salt and mix well. Knead to make a soft and smooth dough.Now pinch a lemon sized ball from the dough, flatten it slightly and add around 1/4 teaspoon of sugar in the centre, close and roll to make a smooth ball.Similarly make 12 to 15 balls from the rest of the dough and keep aside.Meanwhile make the sugar syrup. Take sugar and water in a kadhai and boil till sugar dissolves.Add rose water and saffron into it and boil for another 4 to 5 minutes. No need to make 1 string syrup.Collect the syrup in a separate bowl and keep aside.Heat ghee/oil in a wok/kadai and once the oil is hot, simmer the gas and carefully drop in the dough balls.Fry the jamuns till deep golden in colour from all the sides.Collect the fried jamuns and drop them in the sugar syrup and let them soak well. Serve Shakarkandi Ke Gulab Jamun hot/warm or cold.
</t>
  </si>
  <si>
    <t>https://www.archanaskitchen.com/shakarkandi-ke-gulab-jamun-recipe-sweet-potato-gulab-jamun</t>
  </si>
  <si>
    <t>Kadai Chicken Recipe - Chicken Cooked With Onion And Capsicum</t>
  </si>
  <si>
    <t>300 grams Chicken breasts - cut into chunks,1 Onion - sliced,1 Onion - diced,1 Green Bell Pepper (Capsicum) - diced,1 teaspoon Cumin seeds (Jeera),2 Dry Red Chilli,1 inch Ginger - chopped,4 cloves Garlic - chopped,1 cup Homemade tomato puree,2 teaspoons Red Chilli powder,1/4 teaspoon Turmeric powder (Haldi),2 teaspoon Garam masala powder,1 tablespoon Fresh cream,Salt - to taste,2 sprig Coriander (Dhania) Leaves - chopped,Sunflower Oil</t>
  </si>
  <si>
    <t xml:space="preserve">To begin making the Kadai Chicken Recipe, heat a heavy bottomed pan/wok with oil. Once it becomes hot, add cumin seeds and allow it to splutter.Add dry red chillies and saute till it crisp up. Add ginger, garlic and allow it soften.Add sliced and diced onions and saute till they soften and caramelize.Add bell peppers and cook till they become a little soft. Once that is done, add cup of tomato puree and keep cooking till the tomatoes are well cooked. This will take about 4 to 5 minutes.After 4 to 5 minutes, add red chilli powder, garam masala powder, turmeric powder, salt and cook for another 3 minutes.Add chicken pieces and saute well till the masala is coated evenly over the chicken.The chicken will take about 15 to 20 minutes to cook. At the end, add a tablespoon of cream and mix well. Serve hot by garnishing it with coriander leaves.Serve the Kadai Chicken Recipe along withTawa Paratha, Boondi Raita and a Kachumber Salad for a weekday meal.
</t>
  </si>
  <si>
    <t>https://www.archanaskitchen.com/kadai-chicken-recipe</t>
  </si>
  <si>
    <t>Shikampuri Kebab Recipe - Kebabs made with Brown Chickpeas</t>
  </si>
  <si>
    <t>1 cup Kala Chana (Brown Chickpeas),2 Potato (Aloo) - boiled and mashed,1 inch Ginger - grated,3 cloves Garlic - finely chopped,3 Green Chillies - finely chopped,1 teaspoon Red Chilli powder - (or to taste),1 teaspoon Amchur (Dry Mango Powder),1/2 teaspoon Coriander Powder (Dhania),1 tablespoon Garam masala powder,1/2 teaspoon Black pepper powder,Salt - to taste,4 sprig Coriander (Dhania) Leaves - finely chopped,1 Lemon juice,1/4 cup Gram flour (besan),Sunflower Oil - as required,200 grams Hung Curd (Greek Yogurt)</t>
  </si>
  <si>
    <t xml:space="preserve">To begin making the Shikampuri Kebab Recipe, we will first soak the kala chana in water for about 6 to 8 hours. Once soaked, cook the channa in a pressure cooker until soft. You will know it is cooked well, when you press it between your fingers it will mash easily. Click to see the video recipe of how to cook chana in a pressure cooker. Once the channa is cooked and you have all the other ingredients ready, we will now process the ingredients in a food processor.  Into the food processor, add the cooked kala chana, the green chillies, garlic, ginger, mint &amp; coriander leaves. Pulse to make an almost smooth mixture.Add the ground channa into a large mixing bowl, add in the mashed potatoes, the red chilli powder, gram flour, coriander powder, amchur, garam masala and red chilli powder. Stir well to combine. Check the salt and spice levels and adjust to suit your taste.Our next step is to stuff the kebab mixture with a spoon of yogurt. Do do this, divide the Shikampuri Kebab mixture into equal size large lemon portions. Take each portion, Take each portion, and flatten it in the palm of your hand. Spoon a teaspoon of yogurt in the center and bring the edges of the kebab mixture towards the center and seal the filling in. Once you have sealed the kebabs with the filling inside, flatten the Shikampuri Kebabs just a little.Proceed the same way with the remaining kebabs.Our next step is to cook the Shikampuri Kebab on a pan. Grease and heat a pan on medium heat. Place the kebabs on the pan, drizzle oil and cook on medium heat flipping multiple times until the kebab is browned well from all the sides.Serve the Shikampuri Kebabs along the Green Chutney as a tea time snack or even as an appetizer for parties.
</t>
  </si>
  <si>
    <t>http://www.archanaskitchen.com/shikhampuri-kebab-recipe-kebabs-made-with-brown-chickpeas</t>
  </si>
  <si>
    <t>Lahsuni Paneer Recipe - Paneer Flavoured With Garlic</t>
  </si>
  <si>
    <t>200 grams Paneer (Homemade Cottage Cheese),10 cloves Garlic,4 Dry Red Chillies,1 teaspoon Vinegar,1 teaspoon Sugar,Salt - as required,1 Onion,1 teaspoon Cumin seeds (Jeera),1 teaspoon Sunflower Oil,Coriander (Dhania) Leaves - for garnish</t>
  </si>
  <si>
    <t xml:space="preserve">To begin making the Lahsuni Paneer Recipe, thaw the paneer to room temperature. Cut into small cubes and keep aside. Follow Homemade Paneer Recipe to make paneer at home.To a mixer, add garlic pods, sugar, vinegar, salt and dry red chilli (removing seeds inside) and grind everything into smooth paste in a mixer grinder adding very little water.In a heavy bottomed pan, heat some oil (or butter). Add cumin seeds and once it splutters, add chopped onion and saute until translucent. Now add the grounded garlic chilli paste to it and saute well until raw smell goes.Once everything is combined and the oil starts separating, add the paneer cubes. Saute for 2-3 minutes in medium flame until paneer gets coated with masala.Garnish Lahsuni Paneer with coriander leaves and remove from flame. Serve hot.Serve freshly prepared Lahsuni Paneer for a weekend meal along with Parathas, Punjabi Dal Tadka and Red Cabbage Carrot, Sprout and Onion Salad for a complete meal.  
</t>
  </si>
  <si>
    <t>https://www.archanaskitchen.com/lahsuni-paneer-recipe-paneer-flavoured-with-garlic</t>
  </si>
  <si>
    <t xml:space="preserve">No Onion And No Garlic Aloo Gajar Matar Ki Sabzi </t>
  </si>
  <si>
    <t>2 potatoes - peel and chop, 1 carrot - peel and chop, 1/2 cup green peas, 1 teaspoon mustard seeds, 1 teaspoon cumin seeds, 1 sprig curry leaves, 1/2 teaspoon turmeric powder, 1 teaspoon red chili powder, 1/4 teaspoon asafoetida, 1 green chili - cut in the middle, salt - according to taste (black salt for fasting), 2 teaspoon oil, green coriander - according to use (for garnish)</t>
  </si>
  <si>
    <t>"To make Aloo Gajar Matar ki Sabzi, first heat oil in a pan. When oil is hot, add mustard seeds. After 10 seconds, add cumin seeds, asafoetida and mix well. Add curry leaves and cook for 2 minutes. After 2 minutes add green chillies. After 10 seconds, add potatoes, carrots and green peas. Add 1 cup water and cook on low flame till potatoes and carrots are cooked. After cooking, add turmeric powder, red chilli powder and mix well. Add salt, mix and cook for 2 more minutes. After 2 minutes, garnish with coriander leaves and serve hot. Serve Aloo Gajar Matar ki Sabzi hot with Dal Tadka, Kachumber Salad and Tawa Paratha."</t>
  </si>
  <si>
    <t>http://www.archanaskitchen.com/no-onion-and-no-garlic-aloo-gajar-matar-ki-sabzi-recipe-in-hindi</t>
  </si>
  <si>
    <t>Kathal Masaledar Sabzi Recipe - Jackfruit Masala Sabzi</t>
  </si>
  <si>
    <t>300 grams Jackfruit Raw (Kathal),3 Potatoes (Aloo),2 Onions - thinly sliced,1/4 teaspoon Asafoetida (hing),1 Bay leaf (tej patta),4 cloves Garlic - finely chopped,1 inch Ginger - finely chopped,1/4 cup Curd (Dahi / Yogurt),1 inch Cinnamon Stick (Dalchini),2 Black cardamom (Badi Elaichi),2 teaspoons Coriander Powder (Dhania),1/2 teaspoon Cumin powder (Jeera),1/2 teaspoon Garam masala powder,1/2 teaspoon Red Chilli powder,1/2 cup Homemade tomato puree,1 tablespoon Mustard oil,Salt - as per your taste,Coriander (Dhania) Leaves - for garnish</t>
  </si>
  <si>
    <t xml:space="preserve">To begin making the Kathal Masala Sabzi Recipe, let us first cut the raw jackfruit. In order to do that we have to first grease our hands and the knife that is going to be used with oil. This important tip ensures that the hands don't get sticky from the natural fruit latex/sap present in the fruit and makes the cutting process hassle-free.Once cut keep aside in a bowl of water with salt so that the cut Kathal pieces do not become brown. Meanwhile in a bowl, add curd, tomato puree, turmeric powder, red chilli powder, coriander powder, cumin powder, garam masala powder. Pour some water to it and stir well to combine.In a small pressure cooker, add 1 tablespoon of oil. Once the oil is hot, add hing/asafoetida to it.Next add finely chopped onions garlic, ginger and saute until the onions brown up. Once done add in cinnamon stick and black cardamom and stir the spices well into the onions. Now add the prepared curd masala in the cooker.Add the tomato puree, the kathal/raw jackfruit and aloo/potato to the masala, add salt as per taste and stir well to combine.Add 1 cup of water, cover the pressure cooker and cook the Kathal Masala Sabzi for 3 to 4 whistles and turn off the heat. Allow the pressure to release naturally. Once the pressure has released, turn off the heat. Open the cooker, add in the chopped coriander leaves and mix, check the salt and spices and adjust accordingly.Transfer to a serving bowl and serve hot.Serve Kathal Masala Sabzi Recipe along with Phulkas or even Jeera Rice along with a Carrot Salad and a bowl of curd for a complete and simple Sunday lunch.For an Indian Diabetic meal, serve this Kathal Masala Sabzi Recipe along with Masala Jowar Methi Roti Recipe and Kollu Pachadi Recipe for a full meal. 
</t>
  </si>
  <si>
    <t>https://www.archanaskitchen.com/kathal-masaledaar-recipe-raw-jackfruit-in-a-gravy</t>
  </si>
  <si>
    <t>Delicious Breakfast Anda Ghotala Recipe With Butter Pav</t>
  </si>
  <si>
    <t>2 tablespoons Butter,1/2 teaspoon Cumin seeds (Jeera),6 cloves Garlic - finely chopped,1 Green Chilli - finely chopped,2 Onions - finely chopped,Salt - to taste,1/2 teaspoon Turmeric powder (Haldi),1 teaspoon Red Chilli powder,1 teaspoon Coriander Powder (Dhania),2 Tomatoes - finely chopped,2 tablespoons Pav bhaji masala,1 teaspoon Cumin powder (Jeera),4 Boiled egg - cut into medium sized pieces,1 teaspoon Butter,4 Whole Eggs,Salt - to sprinkle,Pav bhaji masala - to sprinkle,Coriander (Dhania) Leaves - finely chopped,Pav bhaji masala - to sprinkle,Coriander (Dhania) Leaves - finely chopped</t>
  </si>
  <si>
    <t xml:space="preserve">To begin making the Anda Ghotala Recipe, melt butter in a preheated pan.To the melted butter, add the cumin seeds and once they begin to sizzle, add in the garlic and saute for a few seconds until their aroma wafts in the air. Next, into the pan, add the onions along with the green chillies. Cook the onions until they turn into a lovely golden colour. This will take about 4-6 minutes on medium heat, stirring occasionally. Once the onions have reached the desired golden colour, add the salt, turmeric powder, red chilli powder, coriander powder and cumin powder. Stir in the chopped tomatoes, sprinkle some water and cover and allow the tomatoes to become mushy. Cook the tomatoes for about 3-4 minutes, then open the lid and using a potato masher, mash the onion-tomato mixture well. To further season this mixture, add the pav bhaji masala and mix well. Break three eggs, in a bowl and gradually add them to the onion- tomato base on medium high heat. Mix vigorously to scramble the eggs in the onion tomato masala.Once the eggs are well scrambled, add the chopped boiled eggs and mix until well combined. Check the salt and adjust to taste accordingly.Turn off the heat and transfer the Anda Ghotala into a serving platter and set aside. To make the Fried eggHeat a small omelette pan with the butter, grease the entire pan with butter. Break an egg in a bowl, and then carefully add it to the hot greased pan. Sprinkle some salt, pav bhaji masala and coriander leaves. Cook for about 2-3 minutes, until the egg white is cooked and the yolk is just about firm. Now gradually slide the fried egg on to the platter that has the anda ghotala. Make the remaining fried eggs the similar way and serve it over the individual portions of the Anda Ghotala. Serve Anda Ghotala Recipe as a brunch along with Homemade Whole Wheat Pav Recipe / Ladi Pav and Masala Soda Shikanji Recipe for a complete meal.
</t>
  </si>
  <si>
    <t>http://www.archanaskitchen.com/delicious-breakfast-anda-ghotala-recipe-with-butter-pav</t>
  </si>
  <si>
    <t>Achari Aloo Sabzi Recipe - Potatoes In Spicy Pickle Masala</t>
  </si>
  <si>
    <t>4 Potatoes (Aloo) - peeled and diced,1/2 teaspoon Asafoetida (hing),1 teaspoon Cumin seeds (Jeera),2 Dry Red Chillies,4 tablespoons Punjabi style mango pickle,1/2 teaspoon Jaggery,2 teaspoons Mustard oil,1 Onion - chopped,3 cloves Garlic - chopped,1/4 teaspoon Turmeric powder (Haldi),1 teaspoon Red Chilli powder,1 teaspoon Garam masala powder,2 teaspoons Coriander (Dhania) Leaves - chopped,Salt - to taste</t>
  </si>
  <si>
    <t xml:space="preserve">To begin making the Achari Aloo Sabzi Recipe, first step is to prepare all the ingredients. We are going to make this sabzi in a single pot in the electric pressure cooker.Turn the electric pressure cooker on and change the mode to Saute Mode and allow the pressure cooker to preheat for 2 to 3 minutes.Once the pan is preheated, add the oil, cumin seeds, asafoetida, red chillies and allow them to crackle. Add the garlic and onions and saute until the onions soften.Now that the onions are soft, add the dry masalas - red chili powder, turmeric powder, garam masala powder and salt. Mix well. Once the raw smell of maslas go away, add the pickle, jaggery and give it a good stir. At this stage, add the potatoes and saute until everything is mixed well. Sprinkle a tablespoon of water into the electric pressure cooker.Cover the electric pressure cooker and change the mode to manual and set the cooking time to 25 minutes.Allow the Achari Aloo Sabzi to cook until the electric pressure cooker gets into the keep warm mode.Once done and the pressure has released, open the pressure cooker, stir in the coriander leaves and give it a stir. Check the taste and adjust accordingly.Serve Achari Aloo Sabzi Recipe along with Phulka, Punjabi Dal Tadka and Kachumber Salad for a simple weeknight dinner or a comforting weekend lunch.
</t>
  </si>
  <si>
    <t>https://www.archanaskitchen.com/potato-achari-recipe-achari-aloo</t>
  </si>
  <si>
    <t>Palak Paneer Bhurji Recipe -Spiced Cottage Cheese Scramble With Spinach Recipe</t>
  </si>
  <si>
    <t>200 grams Paneer (Homemade Cottage Cheese) - crumbled,50 grams Spinach Leaves (Palak) - finely chopped,2 Green Chillies - finely chopped,1 Onion - finely chopped,1 Tomato - finely chopped,2 cloves Garlic - finely chopped,1/2 teaspoon Cumin seeds (Jeera),2 teaspoon Red Chilli powder,2 teaspoon Garam masala powder,2 teaspoon Amchur (Dry Mango Powder),1 tablespoon Butter,Salt - to taste,Sunflower Oil - for cooking</t>
  </si>
  <si>
    <t xml:space="preserve">To begin making the Palak Paneer Bhurji recipe, first prep all the ingredients and make the homemade paneer by following the link.Heat oil in a heavy bottomed pan on medium heat. Add the cumin seeds and allow it to crackle.Once the cumin seeds have crackled add the ginger , garlic , green chili and onion fry till it turns light brown. And add tomatoes, saute till they have softened and the most of the moisture is evaporated.Now add the spinach and saute until the spinach is cooked.Once the spinach is cooked add the spice powders and the crumbled paneer.Add a dollop of butter and saute the ingredients until well combined and simmer for about 3 to 4 minutes for the flavors to seep into the Paneer Bhurji.Once done, turn off the heat and serve the Spinach Paneer Bhurji along with Homemade Whole Wheat Bread toast and Muskmelon (Kharbuj) Juice for breakfast.
</t>
  </si>
  <si>
    <t>http://www.archanaskitchen.com/palak-paneer-bhurji-recipe-spiced-cottage-cheese-scramble-with-spinach-recipe</t>
  </si>
  <si>
    <t>Petha Wadi Sabzi Recipe</t>
  </si>
  <si>
    <t>2 cups Badi (wadi),1 cup Kaddu (Parangikai/ Pumpkin),2 Onions - finely chopped,2 Tomatoes - finely chopped,1/2 inch Ginger - finely chopped,4 cloves Garlic - finely chopped,4 Green Chillies - slit,1 teaspoon Cumin seeds (Jeera),1 tablespoon Red Chilli powder,1 teaspoon Coriander Powder (Dhania),1/4 teaspoon Turmeric powder (Haldi),1 tablespoon Sunflower Oil,Salt - to taste,Coriander (Dhania) Leaves - a few</t>
  </si>
  <si>
    <t xml:space="preserve">To begin making Petha Wadi Sabzi Recipe, in a pan heat oil. Add cumin seeds to hot oil and allow it to crackle.Once the cumin seeds have crackled add finely chopped onions and saute until translucent. Add  ginger, garlic and saute for a few seconds till the aromas come through.Once done add finely chopped tomatoes and cook until tomatoes turn mushy.After the tomatoes are mushy and cooked add the spice powders, red chilli powder, coriander powder, turmeric powder along with salt, mix well to combine.Add diced pumpkin, wadis and mix. Saute for 3 to 5 minutes.Add 1/2 to 3/4 cup water to the Petha Wadi Sabzi, cover and cook until pumpkin is cooked. Let the water evaporate and the sabzi come together.Turn off stove and transfer the sabzi to serving bowl. Garnish Petha Wadi Sabzi with coriander leaves.Serve Petha Wadi Sabzi Recipe with Homemade Butter Naan, Kashmiri Style Paneer Masala and Kachumber Salad Recipe With Cucumber, Onion &amp; Tomatoes for dinner.
</t>
  </si>
  <si>
    <t>https://www.archanaskitchen.com/petha-wadi-sabzi-recipe</t>
  </si>
  <si>
    <t>Jain Style Dal Makhani Recipe</t>
  </si>
  <si>
    <t>3/4 cup Black Urad Dal (Whole),1/4 cup Rajma (Large Kidney Beans),1 teaspoon Cumin seeds (Jeera),1 inch Cinnamon Stick (Dalchini),3 Cloves (Laung),2 Black cardamom (Badi Elaichi),2 Tomatoes - pureed,1 Green Chilli - finely chopped,1 teaspoon Red Chilli powder,1 teaspoon Garam masala powder,2 teaspoon Dry ginger powder,2 tablespoons Ghee,1 cup Milk - low fat (optional),Salt - to taste,1 inch Ginger - cut to julienne (optional),2 tablespoons Fresh cream</t>
  </si>
  <si>
    <t xml:space="preserve">To begin making the Jain Style Dal Makhani Recipe, wash and soak the whole urad dal and rajma overnight.Pressure cook the soaked dals in 2 to 3 cups of water for 4 to 5 whistles and simmer for 10 minutes; slightly mash the dals and keep aside.In the meantime, puree the tomatoes using a mixer grinder and keep aside.Heat ghee in a wok/kadhai on medium flame, add the cinnamon stick, cloves, black cardamom and let it release its aroma into the ghee.Add the cumin seeds and let it crackle.Once the cumin seeds have crackled add the tomato puree, green chillies and cook for 2 minutes.Once the tomatoes have cooked add the spice powders including red chilli, garam masala, dry ginger powder and cook until the ghee floats on top.Now, add the cooked dals, season with salt, add water to your desired consistency and simmer for 10 to 15 minutes.At this stage you can even add the milk and let the dal boil.Once the Dal Makhani reaches your desired consistency, switch off the flame. Transfer Dal Makhani to a serving bowl and garnish with ginger julienne and cream. Serve the Jain Style Dal Makhani recipe along with tawa parathas and kachumber salad for the weeknight dinner.
</t>
  </si>
  <si>
    <t>https://www.archanaskitchen.com/jain-style-dal-makhani-recipe</t>
  </si>
  <si>
    <t>Boondi Ki Kheer Recipe</t>
  </si>
  <si>
    <t>1 liter milk, 1 cup sweet boondi, 1/2 teaspoon cardamom powder, 1 teaspoon rose water, saffron - a little, 10 almonds - soaked in hot water, peeled and chopped thinly</t>
  </si>
  <si>
    <t>"To make Boondi ki Kheer recipe, first blanch the almonds. Chop them thinly and straight. Keep aside. You can buy sweet Boondi from outside or make it at home. Here is how to make it at home - Meethi Boondi.To make the Kheer, heat milk in a saucepan and let it boil. After the milk boils, reduce the flame and add saffron, cardamom and cook till the milk reduces to half. After the milk reduces to half, turn off the gas and keep aside. Now add rose water, almonds and sweet Boondi and mix. Serve. If you want, you can also serve it after cooling in the fridge. Serve Boondi ki Kheer recipe with Jaipuri Aloo Pyaaz ki Sabzi and Ajwain Puri for lunch."</t>
  </si>
  <si>
    <t>https://www.archanaskitchen.com/boondi-ki-kheer-recipe-in-hindi</t>
  </si>
  <si>
    <t>Tamatar Wali Arbi Sabzi Recipe</t>
  </si>
  <si>
    <t>500 grams Colocasia Leaves (Arbi) - boiled,1 Onion - finely chopped,4 Tomatoes - finely chopped,7 cloves Garlic - thinly sliced,1 Tamarind - lemon sized,2 teaspoons Kashmiri Red Chilli Powder,3 teaspoons Coriander Powder (Dhania),1/2 teaspoon Turmeric powder (Haldi),1 teaspoon Garam masala powder,2 teaspoon Panch Phoran Masala,2 tablespoons Sunflower Oil,2 sprig Coriander (Dhania) Leaves - finely chopped for garnish,Salt - to taste</t>
  </si>
  <si>
    <t xml:space="preserve">To begin making the Tamatar Wali Arbi Sabzi Recipe, wash the colocasia under running water to get rid of the mud.Soak the tamarind in one cup of water for fifteen minutes.Pressure cook with 2 cups of water, tamarind water for 2 whistles. Let the pressure release naturally and open the pressure cooker. Remove the peels of the arbi/colocasia and  cut them into roundels and keep aside.Heat a tablespoon of oil in a heavy bottomed pan, add the colocasia roundels and shallow fry until they turn golden brown and keep aside.Add the remaining oil to the pan, add in the panch phoran and let the seeds splutter. Add the onions and garlic, saute until it turns golden brown.Add the tomatoes and saute until it turns soft and mushy. Add the turmeric, kashmiri red chilli, coriander powder and mix well.Now, add the shallow fried colocasia roundels, season with salt and mix well.Let the colocasia roundels absorb the tomato gravy into it and turn a bit soft. Keep stirring Occasionally.Once done, switch off the heat, garnish Tamatar Wali Arbi Sabzi with coriander leaves and serve.Serve the Tamatar Wali Arbi Sabzi Recipe along with Tawa Paratha, Dal Tadka and Kachumber Salad for a simple yet delicious weeknight dinner.
</t>
  </si>
  <si>
    <t>https://www.archanaskitchen.com/tamatar-wali-arbi-sabzi-recipe</t>
  </si>
  <si>
    <t>Carrot Matar Paratha Recipe</t>
  </si>
  <si>
    <t>3 cups Whole Wheat Flour,Water - for kneading,1 teaspoon Salt,3 Carrots (Gajjar) - grated,1 cup Green peas (Matar) - steamed,1 Onion - medium,2 Green Chillies - chopped,Coriander (Dhania) Leaves - a small bunch finely chopped,1 tablespoon Ajwain (Carom seeds),1/4 tablespoon Coriander Powder (Dhania),1 tablespoon Red Chilli powder,1 tablespoon Cumin powder (Jeera),1/2 tablespoon Chaat Masala Powder,Salt - to taste,Ghee - for cooking the parathas</t>
  </si>
  <si>
    <t xml:space="preserve">To begin making Carrot Matar Paratha Recipe, in a bowl mix together wheat flour. salt and oil. Add water, little at a time and prepare a soft dough just as we make dough for rotis.Grease your hands with oil and knead it well. Cover it and let it rest for some time .Now to prepare stuffing, we first mash steamed peas in a large bowl. Add the grated carrot, chopped onion, chopped green chillies and fresh chopped coriander and mix well. Now add all dry spices in mixture - carom seeds, salt, red chilli powder, coriander powder, cumin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 while rolling. Place a tawa on medium to high flame, and place the rolled out paratha on it. Let it cook a little bit on one side,flip it over to the other side and spread some ghee over the paratha which is half cooked. Flip it again, when the second side is half cooked ,spread some ghee. Flip a few more times to get paratha browned and cooked well. Take of the tawa and cook the rest of the parathas in a similar way Serve Carrot Matar Paratha along with Lauki Raita and Aam Ka Chunda Recipe for a sumptuous breakfast.
</t>
  </si>
  <si>
    <t>http://www.archanaskitchen.com/carrot-matar-paratha-recipe</t>
  </si>
  <si>
    <t>Jowar Garlic Naan Recipe- Healthy Sorghum Naan</t>
  </si>
  <si>
    <t>1 cup Jowar Flour (Sorghum),1 cup Whole Wheat Flour,1/4 cup Methi Leaves (Fenugreek Leaves) - finely chopped,1 teaspoon Active dry yeast,1/4 cup Curd (Dahi / Yogurt),1 teaspoon Salt,1 teaspoon Sugar,10 cloves Garlic - finely chopped,Ghee - for cooking</t>
  </si>
  <si>
    <t xml:space="preserve">To begin making the Jowar Garlic Naan Recipe, Let us make the dough.To make the dough, in a mixing bowl, combine the jowar flour, wheat flour, methi leaves, yeast, salt and sugar.Start  by making the dough with all the yoghurt and then add a little water at a time and only use required amount of water to make a firm dough. Add a teaspoon of oil to coat the dough and knead for a few more minutes until smooth.Set the dough aside to rest covered for 2 hours. After 2 hours, knead once again and divide the dough into equal portions.Preheat the iron griddle on medium high heat.Roll the portions of dough into balls; flatten these balls with the palm of your hand.Take a portion of the dough, toss it on the flour and roll out into oval shape.As you roll them out, you can keep tossing the dough in dry flour while rolling; this will prevent it from getting sticky when rolling them out.After the first roll of the dough ball, sprinkle some garlic on the surface of the dough , lightly press it down and begin to roll it again.Once you got a nice oval shaped naan of medium thickness, transfer it on the hot griddle. Let it cook for 2-3 minutes.Then flip the Jowar Garlic Naan  and smear about 1/2 a teaspoon of ghee. Using a flat spatula do a light pressing and turning motion to cook to the naan.Flip to the other side and press and turn the naan in a similar way, smear ghee once again. You will notice brown spots around the naan and it will be slightly crisp. Remove from heat and place on a platter and serve hot.Continue the similar process with the remaining rolled portions and serve hot.Serve this Jowar Garlic Naan Recipe along with Tamatari Chole Recipe or Amritsari Fish Gravy Recipe and Tomato Onion Tadka Raita Recipe and Carrot, Radish &amp; Peanut Salad with Lemon Recipe for a complete healthy, nutrition packed meal on a Sunday afternoon.
</t>
  </si>
  <si>
    <t>https://www.archanaskitchen.com/jowar-garlic-naan-recipe</t>
  </si>
  <si>
    <t>Kale Chane Ki Kadhi Recipe - Black Chickpea Kadhi</t>
  </si>
  <si>
    <t>1/2 cup Kala Chana (Brown Chickpeas) - soaked overnight,1 cup Curd (Dahi / Yogurt),4 tablespoons Gram flour (besan) - (besan),1/2 teaspoon Turmeric powder (Haldi),2 Green Chillies - slit,1 sprig Curry leaves,1 cup Water,Salt - to taste,1 Onion - chopped,1 tablespoon Sunflower Oil,3 Dry Red Chillies,1 teaspoon Cumin seeds (Jeera),1/2 teaspoon Mustard seeds,Asafoetida (hing) - a pinch,Salt - to taste</t>
  </si>
  <si>
    <t xml:space="preserve">To begin making the Kale Chane Ki Kadhi Recipe, wash soaked chana under running water and transfer in a pressure cooker, and add 1-1/2 cups of water.Cover the lid and cook it for 4 to 5 whistles. Remove from heat and set aside till pressure cool off.Add yogurt, besan, turmeric powder, water, salt to a large mixing bowl and whisk well to make a batter without lumps.Transfer the yogurt mix in a saucepan and cook until it boils.Once it starts boiling, add boiled chana and, mix well. Let it cook on low heat for about 30 minutes till the yogurt turns creamy. Remove from heat. For tempering, heat oil in a tadka pan. Add asafoetida, dry red chilies, cumin seeds, mustard seeds and curry leaves and wait till they crackle. Now add chopped onions and saute till golden. Add the tempering to the kadhi, stir well and serve hot. Serve Kale Chane Ki Kadhi along with Steamed Rice, Aloo Bhindi Ki Sabzi, Phulka and Kachumber Salad for a weekday meal.
</t>
  </si>
  <si>
    <t>https://www.archanaskitchen.com/kale-chane-ki-kadhi-recipe</t>
  </si>
  <si>
    <t>Anar &amp; Aloo Pakora Recipe</t>
  </si>
  <si>
    <t>5 potatoes - boil and mash, green chillies - finely chopped, 1 cup green coriander, 1/2 cup pomegranate seeds, 1 tsp red chilli powder, 1 tsp cumin, salt - according to taste, 1 tsp chaat masala powder, 1-1/2 cup gram flour, 2 tsp oil</t>
  </si>
  <si>
    <t>"To make Anar Aloo Pakora recipe, first mash the potatoes. Add pomegranate seeds, cumin seeds, green chilies, salt, red chili powder, chaat masala powder and mix everything well. Make small balls of this mixture. Now in a separate bowl add gram flour, salt, 2 teaspoons oil, some water and make a thick batter. Now put the potato pomegranate balls in the batter. Now heat oil in a pan. Put these balls in it and cook till they become golden and crispy. You can also make it in a paniyaram pan. Put one ball in each cavity. Cook till they become golden and crispy. Serve Anar Aloo Pakora recipe with coriander mint chutney and masala tea during rainy days."</t>
  </si>
  <si>
    <t>http://www.archanaskitchen.com/anar-aloo-pakora-recipe-dry-pomegranate-potato-pakora-in-hindi</t>
  </si>
  <si>
    <t>Aloo Gajar Matar Sabzi Recipe</t>
  </si>
  <si>
    <t>3 potatoes - peel and chop, 2 carrots - peel and chop, 1/2 cup green peas - steam, 5 tomatoes - chop, 1 onion - finely chop, 1 inch ginger - chop, 4 long garlic - chop, 1/2 teaspoon celery, 1/4 teaspoon turmeric powder, 1/2 teaspoon red chili powder, 1/2 tablespoon coriander powder, 1/2 teaspoon garam masala powder, salt - according to taste, 1 tablespoon mustard oil, green coriander - for garnish</t>
  </si>
  <si>
    <t>"To make Aloo Gajar Matar Sabzi recipe, first take tomatoes in a mixer grinder and grind well. Keep aside. Heat mustard oil in a pressure cooker. Add celery and let it crackle. Now add onion, ginger, green chilies and cook till onion becomes soft. After onion becomes soft, add tomato puree, turmeric powder, red chili powder, coriander powder, garam masala powder and mix well. After 2 to 3 minutes, add carrot, all, salt and mix again. Add 1 cup water and cook till 3 to 4 whistles. Let the pressure release automatically. After the pressure is released, open the cooker and add peas. Let it cook for 2 to 3 minutes. Turn off the gas and take out in a bowl. Garnish with coriander leaves and serve. Serve Aloo Gajar Matar Sabzi recipe with Boondi Raita and Phulkas for lunch."</t>
  </si>
  <si>
    <t>https://www.archanaskitchen.com/aloo-gajar-matar-sabzi-recipe-in-hindi</t>
  </si>
  <si>
    <t>Dahi Achari Bhindi Recipe</t>
  </si>
  <si>
    <t>500 grams ladyfinger - cut into small pieces, 1 onion - chopped, 1 tomato - chopped, 1 inch ginger - chopped, 1 teaspoon red chili powder, 1/2 teaspoon turmeric powder, 1 teaspoon coriander powder, 1 cup curd, 1 tablespoon gram flour, 1 teaspoon fennel, 1 teaspoon cumin, 1 teaspoon nigella seeds, 1 teaspoon mustard, 1 teaspoon celery, fenugreek seeds, 3 dried red chilies</t>
  </si>
  <si>
    <t>To make "Dahi Achari Bhindi Recipe, first of all we will make Achari Masala. Heat a pan. Add mustard seeds, cumin seeds, fennel seeds, nigella seeds, celery seeds, fenugreek seeds, dry red chillies and fry for 2 to 3 minutes. Let it cool. After cooling, put it in a mixer grinder and make a powder. Take it out in a bowl and keep it aside. Now wash and clean the bhindi thoroughly. Take a kitchen towel and dry the bhindi. Cut it into small pieces and keep it aside. Now heat oil in a pan. Add bhindi, some salt and cook till it becomes soft. Remove the bhindi and keep it aside. Heat some oil in the same pan. Add onion and cook till it becomes soft. Now add ginger and cook till it becomes golden. After ginger turns golden, add tomatoes and cook till it becomes soft. After tomatoes become soft, add turmeric powder, coriander powder, red chilli powder, achari masala powder, salt and fry for 3 minutes. Let it cook for a minute. Meanwhile, take curd, gram flour in a bowl and mix well. Make sure there are no lumps. Now pour this mixture in a pan and keep mixing. Now add ladyfinger to it, mix, cover the pan and let it cook for 2 to 3 minutes. Now turn off the gas and garnish with green coriander. Serve Dahi Achari Bhindi Recipe with Palak Daal, Phulka and Khamang Cucumber for lunch. "</t>
  </si>
  <si>
    <t>http://www.archanaskitchen.com/dahi-achari-bhindi-recipe-in-hindi</t>
  </si>
  <si>
    <t>Farali Aaloo Pattice Recipe</t>
  </si>
  <si>
    <t>Sunflower Oil - for shallow frying,5 Potatoes (Aloo) - boiled,5 tablespoon Arrowroot flour,1 cup Fresh coconut - grated,1 cup Roasted Peanuts (Moongphali) - grounded,1 Lemon,2 Green Chillies,1 inch Ginger,1 tablespoon Sugar,1 teaspoon Red Chilli powder,Salt - to taste</t>
  </si>
  <si>
    <t xml:space="preserve">To begin making the Farali Aaloo Pattice, pressure cook the potatoes upto 4 whistles. After the potatoes cool down, peel them and mash them properly.Add 2 tablespoon arrowroot flour and salt to taste to the mashed potatoes. Make 15 medium balls and keep aside.In a mixing bowl, add grated coconut, grounded peanut powder and mix well.Make a fine paste by grinding green chillies, ginger and lemon juice in a grinder and add in the bowl.Combine all the ingredients by adding sugar, salt and chilli powder.Gently flatten the balls with the help of your palm. Place a spoonful of mixture over it.Now cover from all sides ensuring there are no cracks and form them into a patty shape or oval shape. Just rub some arrowroot flour if the patty is sticking to your palm.Just repeat the same with the rest of balls. Spread some arrowroot flour and cover the pattice from all the sides.Place oil in a deep frying pan. Once oil is hot, fry the pattice balls until golden brown. Place them over absorbent napkin to move the extra oil.Farali Aaloo Pattice can be served with dhaniya pudina chutney and works a best combination with Sabudana Khichdi, Doodhi Halwa and some chilled cucumber raita.
</t>
  </si>
  <si>
    <t>https://www.archanaskitchen.com/farali-aaloo-pattice-recipe</t>
  </si>
  <si>
    <t>Dahi Baingan Recipe - Brinjal In Curd Based Gravy</t>
  </si>
  <si>
    <t>5 Brinjal (Baingan / Eggplant) - chopped to bite size,1 Onion - finely sliced,2 Tomatoes - finely sliced,1 cup Curd (Dahi / Yogurt),2 tablespoon Gram flour (besan),2 teaspoon Coriander Powder (Dhania),2 teaspoons Red Chilli powder - (adjust to taste),1-1/2 teaspoons Garam masala powder,1 teaspoon Fennel Powder,1 pinch Turmeric powder (Haldi),Salt - to taste,3 Dry Red Chillies - (adjust to taste),2 tablespoons Sesame seeds (Til seeds),Coriander (Dhania) Leaves - a small bunch,Sunflower Oil - as needed,1 teaspoon Cumin seeds (Jeera),1 teaspoon Mustard seeds,1/2 teaspoon Black Urad Dal (Split),2 Cloves (Laung),2 Cardamom (Elaichi) Pods/Seeds,1 Bay leaf (tej patta),1 inch Cinnamon Stick (Dalchini),Curry leaves - a few,1/2 tablespoon Ginger Garlic Paste</t>
  </si>
  <si>
    <t xml:space="preserve">To begin making the Dahi Baingan Recipe (Brinjal In Curd Based Gravy), prepare all the ingredients, with chopping veggies and keeping all the other ingredients handy.In a shallow frying pan, heat about 2 teaspoons of cooking oil, and saute all the brinjal cubes lightly without making them mushy, on a medium flame till the brinjals are browned. Switch off and keep aside.In a mixing bowl, mix curd (yogurt) and besan until there are no lumps. Now add coriander powder, red chilli powder, fennel powder, garam masala, turmeric powder to the bowl and mix well.Take a kadai and dry roast sesame seeds and dry red chillies. Once they cool down to room temperature, blend them in a mixer to a fine powder.Now take little oil in the same kadai, heat. Once it is heated, add mustard seeds and cumin seeds. Let it splutter.Add split urad dal, cloves, cinnamon, cardamom, bay leaf and wait for it to change color. When color changes add curry leaves, allow them to splutter and add ginger garlic paste immediately and fry for a few seconds till the raw smell disappears.Add finely sliced onions and fry on medium heat until onion i brownish.Add sliced tomatoes and cook until they turn soft and mushy. Once the tomatoes are cooked, add curd besan and spice powder mix from the bowl and fold till everything gets mixed well.Now add the brinjal cubes which were previously sauteed and continue cooking for some more time till the masala gets seeped into the brinjal, by cooking covered and sauteing occasionally.Add salt, mix, do a taste check and garnish the Dahi Baingan with coriander leaves and switch off heat.You can serve Dahi Baingan Recipe (Brinjal In Curd Based Gravy) with Phulka Recipe or Pudina Tawa Paratha. You can also serve it with mild Saffron Pilaf Recipe (Kesar Pulao).
</t>
  </si>
  <si>
    <t>https://www.archanaskitchen.com/dahi-baingan-recipe-brinjal-curry-in-curd-based-gravy</t>
  </si>
  <si>
    <t>No Bake Rice Mawa Cake Recipe</t>
  </si>
  <si>
    <t>1 cup Poha (Flattened rice),1 cup Sugar,1 cup Khoya (Mawa),1 teaspoon Cardamom Powder (Elaichi),1 Saffron strands - few,1/4 cup Milk - warm,1/4 cup Ghee,1/4 cup Pistachios - roughly chopped</t>
  </si>
  <si>
    <t xml:space="preserve">To begin making the No Bake Rice Mawa Cake Recipe (Burfi Recipe), first get all the ingredient prepped and ready.Soak the flattened rice in water for 5 minutes, drain excess water and grind it into a coarse mixture using a mixer grinder. Keep it aside.Meanwhile, dissolve the saffron in 1/4 cup warm milk and keep aside.Heat a heavy bottomed pan with 2 tablespoons of ghee, add the mawa and stir into the ghee on medium heat. Keep stirring until you can get a good aroma.Once you smell a good aroma, add the sugar and stir well. Add the ground poha, the cardamom powder and milk and stir. Keep stirring until the entire mixture comes together and you notice a shine on the burfi batter.It will feel as if the ghee is separated from the batter and the entire cake dough comes away from the sides of the pan.At this stage, grease a square cake tray with ghee. Spoon the Mawa Batter into the tray and spread it evenly down. Garnish it with chopped pistachios and refrigerate it for an hour to set.Once the Rice Mawa Cake is set, cut into desired shapes and serve.Serve No Bake Rice Mawa Cake Recipe after your everyday meal of Dal Makhani, Aloo Shimla Mirch Ki Sabzi and Tawa Paratha.
</t>
  </si>
  <si>
    <t>https://www.archanaskitchen.com/no-bake-rice-mawa-cake-recipe-burfi</t>
  </si>
  <si>
    <t>Tangy and Sweet Bottle Gourd Curry</t>
  </si>
  <si>
    <t>1 bottle gourd - peeled and cut into small pieces, 1 tsp turmeric powder, Salt - according to taste, 1 tsp mustard oil, 1/2 tsp mustard seeds, 1/4 tsp asafoetida, 1/2 tsp fenugreek seeds, 1 sprig curry leaves, 1 dried red chilli, 1 onion - finely chopped, 1 tomato - finely chopped, 1 tsp red chilli powder, 1 tsp turmeric powder, 1 tsp dry mango powder, 1 tsp jaggery - powdered, Lemon juice - of half lemon, Coriander leaves - finely chopped, Oil - for cooking, Sunflower Oil - for cooking</t>
  </si>
  <si>
    <t>"To make Meetha Khatta Lauki Curry, first of all heat oil in a pressure cooker, add mustard seeds, curry leaves and asafoetida. Now add fenugreek seeds and dried red chillies and saute. Add chopped onions and cook till light brown. When onions are cooked, add tomatoes and salt and cook till raw smell goes away. Now add all the spices along with the horse masala. Lastly add bottle gourd and mix it well with all the spices. Add one cup water and cook till 3 whistles. Now reduce the heat and remove the cooker from the fire. Open the cooker and garnish the curry with coriander leaves. Serve Meetha Khatta Lauki Curry with hot rice for lunch. "</t>
  </si>
  <si>
    <t>http://www.archanaskitchen.com/tangy-and-sweet-bottle-gourd-curry-recipe-in-hindi</t>
  </si>
  <si>
    <t>Raw Banana Cutlet Recipe - No Onion No Garlic Jain Cutlet</t>
  </si>
  <si>
    <t>2 Raw Banana,1/2 cup Fresh coconut - grated,1 Green Chillies,Salt - to taste,1 teaspoon Cumin powder (Jeera),1 teaspoon Black pepper powder,1 teaspoon Chaat Masala Powder,Sunflower Oil - for basting or shallow frying</t>
  </si>
  <si>
    <t xml:space="preserve">To begin making the Raw Banana Cutlet recipe, wash and place the raw green bananas along with the peelin a pressure cooker. Pressure cook for 4 whistles and turn off the flame. Allow the pressure to release naturally. Once the pressure has released, remove the raw bananas, peel of the skin and discard the peel. Transfer the banana into a mixing bowl. Into the same mixing bowl, add the grated coconut, salt, pepper powder, chaat masala, and cumin powder, mix well until combined. Make round balls of equal sizes, flatten them between your palms.Now heat a skillet on medium flame, add very little oil and place the raw banana cutlets in them. Cook for 5-7 minute, flip and cook on the other side as well. The tikkis should be well cooked having a lovely golden brown colour. Serve Raw Banana Cutlet Recipe along with Green Chutney and some piping hot tea for your evening snack.
</t>
  </si>
  <si>
    <t>http://www.archanaskitchen.com/raw-banana-cutlet-recipe</t>
  </si>
  <si>
    <t>Bharwa Baingan Aur Pyaaz Ki Sabzi Recipe - Roz Ka Khana With Figaro Olive Oil</t>
  </si>
  <si>
    <t>6 Small Brinjal (Baingan / Eggplant),2 Onions - thinly sliced,Figaro Pure Olive Oil - as required,12 Garlic,3 Green Chillies,1 inch Ginger,1 teaspoon Red Chilli powder,1 teaspoon Coriander Powder (Dhania),1/4 teaspoon Asafoetida (hing),1/2 teaspoon Turmeric powder (Haldi),2 teaspoons Jaggery,1 teaspoon Amchur (Dry Mango Powder),Salt - as required</t>
  </si>
  <si>
    <t xml:space="preserve">To begin making the Bharwa Baingan Aur Pyaaz Ki Sabzi recipe, using a mixer grinder or pestle and mortar, grind the ginger, garlic and green chillies into a paste.Combine the remaining masalas into a mixing bowl along with the ginger garlic paste. Add salt and check the taste and adjust accordingly. Make 4 slits in the brinjal and stuff the mixture into the slits of the brinjal. Keep any excess mixture aside, we will use it in the masala.Heat Figaro Olive oil in a pressure cooker and add the onions. Saute until the onions becomes soft and translucent.After the onions have become soft add the stuffed brinjals (bharwa Baingan), sprinkle salt, add the remaining masala and 1/4 cup of water. Cover the pressure cooker and cook for 3 whistles and turn off the heat. Once done and the pressure has released completely, open the pressure cooker and stir gently. Transfer Bharwa Baingan Aur Pyaaz Ki Sabzi to a serving bowl and serve warm.Serve Bharwa Baingan Aur Pyaaz Ki Sabzi with Phulkas and Rajasthani Kadhi for a perfect weekday meal.
</t>
  </si>
  <si>
    <t>https://www.archanaskitchen.com/bharwa-baingan-aur-pyaaz-ki-sabzi-recipe-roz-ka-khana-with-figaro-olive-oil</t>
  </si>
  <si>
    <t>Dahi Suran Ki Sabzi Recipe (Stir Fried Yam in Dry Yogurt Curry Recipe)</t>
  </si>
  <si>
    <t>300 grams Elephant yam (Suran/Senai/Ratalu) - peeled and diced,3 tablespoon Curd (Dahi / Yogurt),1/2 teaspoon Cumin seeds (Jeera),1/2 teaspoon Turmeric powder (Haldi),1/2 teaspoon Red Chilli powder,1 teaspoon Garam masala powder,1 teaspoon Amchur (Dry Mango Powder),Salt - to taste,Sunflower Oil - for cooking,2 sprig Coriander (Dhania) Leaves - chopped for garnish</t>
  </si>
  <si>
    <t xml:space="preserve">We begin making the Dahi Suran Ki Sabzi Recipe ( Stir-Fried Yam in Dry Yogurt Curry Recipe) by cooking the yam pieces in a pressure cooker for 4 whistles till it is soft and firm. Once done let it rest till the pressure is all released completely.Then heat a nonstick pan with oil, add cumin seeds and let it splutter for few seconds. Once done add the boiled yam pieces.Sprinkle all the spice powders that are mentioned in the list, season it well. Reduce the heat and add the curd. Stir thoroughly till is evenly coated. You can add in some water for not letting it burnt. Add some chopped coriander leaves and serve hot. Serve the Dahi Suran Ki Sabzi Recipe ( Stir-Fried Yam in Dry Yogurt Curry Recipe) with hot Phulka or Masala Roti Recipe | Soft and Spicy Indian Flat Bread.
</t>
  </si>
  <si>
    <t>https://www.archanaskitchen.com/dahi-suran-ki-sabzi-recipe-stir-fried-yam-in-dry-yogurt-curry-recipe</t>
  </si>
  <si>
    <t>Palak Chole Recipe (Spinach &amp; Chickpea Curry)</t>
  </si>
  <si>
    <t>1 cup Kabuli Chana (White Chickpeas) - soaked overnight,1 cup Spinach Leaves (Palak) - washed and roughly chopped,1 Onion - finely chopped,1 Tomato - finely chopped,1 Green Chilli - slit,1 inch Ginger - grated,2 cloves Garlic - grated,Salt - as per taste,2 teaspoons Garam masala powder,1 teaspoon Turmeric powder (Haldi),1 teaspoon Red Chilli powder,1 teaspoon Coriander Powder (Dhania),1 Bay leaves (tej patta),2 Cardamom (Elaichi) Pods/Seeds</t>
  </si>
  <si>
    <t xml:space="preserve">To make Palak Chole Recipe first clean, wash and soak chickpeas in water overnight or atleast 5 - 6 hours.While chickpea is soaked make puree of tomato and green chili using 2 - 3 tablespoon of water in blender.Heat a teaspoon of oil in a pan; add in the chopped spinach and sautee until the spinach is soft and tender. Keep this aside.Note: We cook the spinach separately from the chola, as the cooking times for the chickpeas and spinach are very different. Spinach takes a couple of minutes, while the chola/ chickpeas take 20 to 30 minutes.In a pressure cooker heat oil over medium heat, once oil is heated add in the bay leaf and cardamom pods; saute for 1 minute or until spices start releasing aroma.Now add in chopped onion, ginger and garlic and saute over medium heat until onion turn light brown in color.Once onion is ready add tomato puree, salt, turmeric powder, garam masala, coriander powder, red chili powder until you see the mixture coming together and thickening a little bit. Add the chickpeas along with the water it was soaked in into the masala and stir well. Add in additional water so that the water level is atleast 2 inches above the soaked chola/ chickpeas.Give it a good stir and cover the pressure cooker and place its weight on. Cook the chola in the pressure cooker until you hear 4 to 5 whisles. After 4 to 5 whistles, turn the heat to low and simmer the chola for another 15 minutes and then turn off the heat.Allow the pressure to release naturally. This will take another 15 minutes. Once the pressure releases naturally, open the cooker, add in the sauteed spinach and give it a good stir.Check the salt and spice levels and adjust to suit your taste. Gently mash the chickpeas little bit with the back of the ladle to thicken the gravy little bit and the Palak Chole is ready to be served.Serve the Palak Chole (Spinach &amp; Chickpea Curry) along with a choice of Indian breads for dinner or in the for lunch along with Jeera Rice.
</t>
  </si>
  <si>
    <t>https://www.archanaskitchen.com/palak-chole-recipe-spinach-chickpea-curry</t>
  </si>
  <si>
    <t>Tandoori Gobi Tikka Recipe</t>
  </si>
  <si>
    <t>1 cabbage - chopped, 1 cup hung curd, 1/2 tsp red chili powder, 1 tsp garam masala powder, 1 tsp chaat masala powder, 1/2 tsp turmeric powder, 1 tsp coriander powder, 1/2 tsp celery, 1 tsp kasuri methi, 3 tbsp gram flour, oil - as per requirement, salt - as per taste</t>
  </si>
  <si>
    <t>"To make Tandoori Gobi Tikka recipe, first of all prepare all the ingredients. Now put the cauliflower pieces in a steamer and steam them for 4 minutes. Remember not to steam too much, the cauliflower should have a crunch. After done, take it out in a mixing bowl and turn off the gas. Now add hung curd, red chili powder, garam masala powder, chaat masala powder, coriander powder, ajwain, kasuri methi, gram flour, salt and mix well. Cover it and keep it aside for 30 minutes. Now heat oil in a pan and add marinated cauliflower pieces and cook on medium flame for a few minutes. Place the coal directly on the gas and keep it till it turns red. After it turns red, put it in a steel bowl. Pour 1 teaspoon ghee on it and place it in the middle of the cauliflower and cover it for 1 minute. After 1 minute open the pan and remove the coal. Hot Cauliflower Tikka Serve. Serve Tandoori Gobi Tikka Recipe with Coriander Mint Chutney and Mint Onion Kachumber Salad as a starter.</t>
  </si>
  <si>
    <t>https://www.archanaskitchen.com/tandoori-gobi-tikka-recipe-in-hindi</t>
  </si>
  <si>
    <t>Chilke Wali Mung Dal Recipe</t>
  </si>
  <si>
    <t>1/2 cup green moong dal - split, 1 onion - finely chopped, 2 cloves garlic, 3 cloves, 1/2 tsp cumin seeds, 2 green chillies, 1/4 tsp turmeric powder, 1 tomato - chopped, 1 tsp garam masala powder, salt - according to taste, 2 tbsp ghee - or oil, green coriander - as per use</t>
  </si>
  <si>
    <t>"To make Peeled Moong Dal recipe, first wash the lentils thoroughly. Now put the lentils in a pressure cooker along with 1-1/2 cups of water and close the cooker. After 2 whistles, reduce the flame and let it cook for 5 minutes. Turn off the gas and let the pressure release automatically. Open the cooker, mash the lentils and keep it aside. Now heat oil or ghee as per requirement in a pan. Add cloves, cumin seeds and let the cumin seeds crackle. After the cumin seeds crackle, add onion, green chilly and cook till the onion becomes soft. After the onion becomes soft, add tomatoes, turmeric powder, garam masala powder and cook for 3 minutes. Now add cooked lentils, salt according to taste and 1 cup water and mix well. Let it boil. After boiling, reduce the flame and let it cook for 3 to 4 minutes. Turn off the gas, garnish with green coriander and Serve. Serve Peeled Moong Dal Recipe along with Spring Onion and Potato Sabzi Recipe and Phulkas for lunch. "</t>
  </si>
  <si>
    <t>http://www.archanaskitchen.com/chilke-wali-mung-dal-curry-recipe-in-hindi</t>
  </si>
  <si>
    <t>3 Potatoes (Aloo) - peeled and diced,2 Carrots - peeled and diced,1/2 cup Green peas (Matar) - steamed,5 Tomatoes - chopped into chunks,1 Onion - finely chopped,1 inch Ginger - chopped,4 cloves Garlic - chopped,1/2 teaspoon Ajwain (Carom seeds),1/4 teaspoon Turmeric powder (Haldi),1/2 teaspoon Red Chilli powder,1/2 tablespoon Coriander (Dhania) Powder,1/2 teaspoon Garam masala powder,Salt - to taste,1 tablespoons Mustard oil,Coriander (Dhania) Leaves - for garnish</t>
  </si>
  <si>
    <t xml:space="preserve">To begin making the Aloo Gajar Matar Sabzi Recipe, add the tomatoes into the tall jar of the Zodiac Mixer Grinder. Use the puree option and blend to make a smooth puree. Keep aside.Into a preheated pressure cooker, add mustard oil and let it get hot. Once the oil is hot, add the ajwain and allow it splutter for few seconds.Once the cumin seeds splutter, add onions, ginger and green chillies and saute them till the onions soften.Add tomato puree and all the spice powders like the turmeric powder, red chilli powder, coriander powder and the garam masala. Saute to combine well.Once combined add the diced carrot, potatoes and salt to taste.Add about 1 cup of water and pressure cook the curry for about 3-4 whistle. Once done, leave the cooker to rest and let the pressure release naturally.Once the pressure has released remove the lid and stir in the steamed peas. Brisk boil for 2-3 minutes. Turn off the heat and transfer Aloo Gajar Matar Sabzi into a serving bowl. Garnish with coriander leaves and serve hot.Serve the Aloo Gajar Matar Sabzi Recipe along with a Tawa Paratha, Gujarati Dal and with a Tomato Onion Cucumber Raita by the side.
</t>
  </si>
  <si>
    <t>https://www.archanaskitchen.com/aloo-gajar-matar-sabzi-recipe</t>
  </si>
  <si>
    <t>Healthy Vegetable Poha Cutlet Recipe -Vegetable Beaten Rice Patty</t>
  </si>
  <si>
    <t>2 cups Poha (Flattened rice),3 Potatoes (Aloo) - boiled,1/4 cup Paneer (Homemade Cottage Cheese) - grated,1/4 cup Carrot (Gajjar) - grated,1/2 teaspoon Black pepper powder,1/2 teaspoon Garam masala powder,1 teaspoon Chaat Masala Powder,1/2 teaspoon Red Chilli powder,1 inch Ginger - chopped,2 Green Chilli - chopped,1 teaspoon Lemon juice,2 teaspoon All Purpose Flour (Maida),2 sprig Coriander (Dhania) Leaves - finely chopped,Whole Wheat Bread crumbs - for coating,Sunflower Oil - for shallow frying,Salt - to taste</t>
  </si>
  <si>
    <t xml:space="preserve">To begin making Vegetable Poha Cutlet Recipe, place the beaten rice in a sieve and wash it thoroughly with water for a few seconds. Keep aside for 10 minutes to make it soft.Take the boiled potatoes and mash them finely.Put mashed potatoes in a bowl and add soaked poha, grated carrot, grated paneer or channa, salt to taste, black pepper powder, garam masala powder, chat masala powder, red chilli powder, chopped ginger, chopped green chilly, coriander leaves and lastly add lemon juice. Mix all the ingredients until well combined.Take a generous portion of the mixture and shape each into a cutlet or give the desired shape of your choice. Prepare rest of the cutlets in the same way.Put all-purpose flour/maida in a bowl and make a thin paste with little water. Add salt and black pepper; mix it well till no there are no lumps in the mixture.Dip each vegetable poha cutlet one by one in the flour paste and then coat with bread crumbs. Prepare the rest of the cutlets in the same way.Take a non-stick pan and add a little oil for shallow frying. Let the oil get hot on medium heat. Now add prepared vegetable poha cutlets and shallow fry until golden brown on both the sides and crisp.Your Vegetable Poha Cutlet is ready, remove them on an absorbent papaer and then transfer them to a serving plate.Serve Vegetable Poha Cutlet with Dhaniya Pudhina Chutney, Date And Tamarind Chutney or any other chutney of your choice.
</t>
  </si>
  <si>
    <t>http://www.archanaskitchen.com/dill-poha-cutlets-recipe</t>
  </si>
  <si>
    <t>Rasgulla Custard Pudding Recipe</t>
  </si>
  <si>
    <t>10 Rasgulla,4 tablespoons Rasgulla syrup,1/2 liter Milk,2 tablespoons Custard powder,1-1/2 teaspoon Rose water,1 tablespoon Pistachios - chopped</t>
  </si>
  <si>
    <t xml:space="preserve">To begin making the Rasgulla Custard recipe, pour milk into a nonstick pan keeping 1/2 cup of milk out of it aside. Boil till the milk reduces a bit and remove from flame.Take the custard powder in a small bowl, add 1/2 cup of milk (that was kept aside) and make a smooth consistency.Add this mixture into boiled milk along with rasgulla syrup and mix well. Cook again with constant stirring to avoid any lump formation. Meanwhile squeeze the rasgullas, cut into half and keep aside.When the mixture thickens, add rose water along with cut rasgullas one by one. Stir gently and remove from flame.Refrigerate for 1 to 2 hours. While serving, garnish with chopped pistachio. Serve chilled!
</t>
  </si>
  <si>
    <t>http://www.archanaskitchen.com/rasgulla-custard-pudding-recipe</t>
  </si>
  <si>
    <t>Tandoori Paneer Tikka Masala</t>
  </si>
  <si>
    <t>250 grams paneer - cut, 2 coal, 2 cups tomato puree, 3 tbsp cream - heavy whipping, 5 mint, 3 cloves garlic, 1 ginger, 1 tsp fennel, 1/2 tsp celery, 1 saffron - a little, 1/2 tsp cumin powder, 1 tsp coriander powder, 1 tsp chaat masala powder, 1/2 tsp garam masala powder, 1/2 tsp black pepper powder, 1/4 tsp red chilli powder, 1/4 tsp black salt or rock salt, 1 tsp turmeric powder, Salt - to taste</t>
  </si>
  <si>
    <t>"To make Tandoori Paneer Tikka Masala, first of all we will make the masala. In a bowl add cream and mint and mix. Now grind fennel and celery and add it to the cream. Add the remaining tikka masala ingredients to the cream mixture and mix. Add the paneer pieces to the cream mixture and mix. Keep it aside for 1 hour. Now make ginger and garlic paste. Heat oil in a pan and add ginger garlic paste to it, after 30 seconds add tomato puree and let it boil. Now add paneer, salt and the remaining masala and mix. Mix, cover the pan and let it cook for 3 to 4 minutes. Now take 2 pieces of coal and roast it on the gas. Roast it for 5 minutes. Put this coal in a bowl and place it in the middle of the pan. Pour one spoon of ghee on the coal and cover the pan. Remove the coal after 1 minute And serve the vegetable hot. Serve Tandoori Paneer Tikka Masala with Tawa Paratha, Boondi Raita and Salad.</t>
  </si>
  <si>
    <t>https://www.archanaskitchen.com/tandoori-paneer-tikka-masala-recipe-in-hindi</t>
  </si>
  <si>
    <t>Aloo Gobi Sabzi Recipe - Potato And Cauliflower Dry Curry</t>
  </si>
  <si>
    <t>2 cups Cauliflower (gobi) - florets,1 cup Potatoes (Aloo) - peeled and cubed,Curry leaves - few (optional),1 teaspoon Coriander Powder (Dhania),1/2 teaspoon Garam masala powder,1 teaspoon Red Chilli powder,1/2 teaspoon Turmeric powder (Haldi),1/4 teaspoon Asafoetida (hing) - optional,Salt - to taste,2 tablespoons Sunflower Oil - or ghee,Kasuri Methi (Dried Fenugreek Leaves) - or coriander leaves (chopped) for garnishing,Lemon wedges - few</t>
  </si>
  <si>
    <t xml:space="preserve">To begin making the Aloo Gobi Sabzi Recipe, chop cauliflower into florets and wash well in plenty of water; drain and keep aside.Wash potatoes, peel and chop into medium-sized cubes; keep aside.In a medium sized deep saucepan or kadai, heat oil or ghee.Once the oil heats up, lower the heat and add the spices (turmeric, chilli powder, coriander powder, garam masala powder and hing); sauté for a few seconds.Increase the heat and immediately, add the cubed potatoes; stir well to coat with spices.Add a little bit of salt and sauté on high for about a minute or so.Stir in the cauliflower flowerets and additional salt; give it a good stir.Once the vegetables and spices have mixed well, lower the heat, close the saucepan and cook on medium low heat till the vegetables are cooked.  Keep stirring in between so as not to burn the vegetables. Do not add any water.Once the vegetables have cooked to your desired consistency, turn the heat off, remove from flame.Garnish with crushed dried fenugreek leaves (kasoori methi) or chopped coriander leaves.To give it an acidic element, give it a squeeze of lime or lemon juice.Serve Aloo Gobi Sabzi along with Panchmel Dal and Phulkas for a weekday meal. You can also serve Boondi Raita with this meal.
</t>
  </si>
  <si>
    <t>http://www.archanaskitchen.com/aloo-gobi-recipe-potato-and-cauliflower-dry-curry</t>
  </si>
  <si>
    <t xml:space="preserve">Paneer Matar Butter Masala </t>
  </si>
  <si>
    <t>1-1/2 cup paneer - chopped, oil - as per requirement, 1/2 cup green peas, salt - as per taste, 1/2 teaspoon red chili powder, 1 teaspoon sugar, 1/4 cup milk, 1 teaspoon kasuri methi, 1 red onion, 2 tomatoes - finely chopped, 1 inch ginger - finely chopped, 1 clove garlic - peeled and finely chopped, 2 tablespoons ghee, 2 dry red chilies, 2 cloves, 3 cardamoms, 1/2 inch cinnamon, 4 whole black pepper, 1/2 teaspoon coriander seeds, 1/4 cup cashews - broken</t>
  </si>
  <si>
    <t>"To make Paneer Matar Butter Masala, first heat oil in a pan. Add paneer pieces and cook till light golden brown. Keep aside. Now we will make gravy for it. Heat ghee or butter in a pan. Add onion and peas. Cook till onion becomes soft. After it becomes soft, add ginger, garlic and let it cook for 1 to 2 minutes. After 2 minutes add dried red chillies, cloves, cardamom, cinnamon, black pepper and coriander seeds. Mix and after 15 seconds add tomatoes. Let it cook till tomatoes become soft. Turn off the gas. After this mixture cools down, put it in the mixer grinder. Add 1/4 cup cashews, water and grind it. Put this mixture in the pan again. Turn on the gas and after 20 seconds add paneer pieces, salt according to taste, sugar, kasuri methi, red chilli powder and some water. After 2 minutes add milk and mix. Cook for 3 to 4 minutes Cook and turn off the gas. Serve Paneer Butter Masala with Panchmel Daal, Palak Raita and Phulkas for dinner.</t>
  </si>
  <si>
    <t>https://www.archanaskitchen.com/paneer-matar-butter-masala-recipe-in-hindi</t>
  </si>
  <si>
    <t>No Onion No Garlic Lauki Paneer Kofta Curry Recipe</t>
  </si>
  <si>
    <t>500 grams Bottle gourd (lauki) - peeled and grated,200 grams Paneer (Homemade Cottage Cheese) - crumbled,1/4 teaspoon Turmeric powder (Haldi),1/4 teaspoon Garam masala powder,1/4 cup Rajgira Flour (Amaranth Flour) - for binding,Salt - or rock salt to taste,2 cups Tomatoes - cubed,2 Green Chillies - finely chopped,1 Bay leaf (tej patta) - torn,1 Cinnamon Stick (Dalchini),2 Cardamom (Elaichi) Pods/Seeds - pounded into powder,1/2 teaspoon Turmeric powder (Haldi),1/2 teaspoon Coriander Powder (Dhania),1/2 cup Curd (Dahi / Yogurt),Salt - or rock salt to taste,2 sprig Coriander (Dhania) Leaves - finely chopped,Sunflower Oil - for cooking</t>
  </si>
  <si>
    <t xml:space="preserve">We begin making No Onion No Garlic Lauki Paneer Kofta Curry Recipe, heat a heavy bottomed pan or kadhai with oil. Add tomatoes, green chillies, cumin seeds, little bit of turmeric powder and salt. Cook till the tomatoes are soft and mushy.Once the tomatoes are cooked set aside to cool.Then blend the mixture into a smooth paste using a blender or a mixer grinder.For making the Koftas, Keep all the ingredients ready, drain out the water from the lauki and mix it with other ingredients including paneer, turmeric powder, garam masala powder, rajgira flour, salt in a bowl and make small sized kofta balls.In order to use less oil for the kofta you can fry the koftas in a Paniyaram Pan with a teaspoon of oil for each kofta and cook it for about 2 minutes.Once done keep it aside until the gravy is made.Heat a separate Kadai with little bit of oil and add the spices - cinnamon,cardamom pods and bay leaf. Then add the tomato paste with the rest of the spice powders into the curry and cook it for about 5 minutes.Once done add the yogurt, give it a stir and let it boil for 5 more minutes. Add the koftas after you transfer the gravy into a serving dish so that the koftas do not turn soggy.Serve your mouth-watering No Onion No Garlic Lauki Paneer Kofta Curry Recipe with Ajwain Puri, Palak Raita and Kachumber Salad for your weekday meal.
</t>
  </si>
  <si>
    <t>http://www.archanaskitchen.com/lauki-paneer-kofta-curry-recipe-no-onion-no-garlic-recipe</t>
  </si>
  <si>
    <t>Kesar Pista Kulfi Recipe</t>
  </si>
  <si>
    <t>3 liters Milk - (I use 2% fat),1/2 cup Sugar,1 teaspoon Saffron strands,2 teaspoons Cardamom Powder (Elaichi) - freshly pounded,1/2 cup Pistachios - finely chopped</t>
  </si>
  <si>
    <t xml:space="preserve">To begin making the Kesar Pista Kulfi, we will first have to condense the milk.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Finally stir in the cardamom powder, saffron and chopped pistachios into the Kulfi milk mixture.Turn off the heat and allow the kesar pista kulfi mixture to cool completely. Pour the kesar pista kulfi mixture in the moulds until 3/4th full, seal them airtight and freeze them in the refrigerator. The Kesar Pista Kulfi takes a good fifteen hours or more to freeze.  If you get wooden ice cream sticks in the market, you can insert them in and freeze the Kulfis.Once frozen you can run the kesar pista kulfi moulds under water to enable easy release onto the plate and serve.Serve the Kesar Pista Kulfi for your Holi or Diwali Party or when you have an elaborate Indian Dinner Menu planned for your parties. You can also serve it to your guests during festival with some delicious appetisers like Paneer Tikka and Chaat items.
</t>
  </si>
  <si>
    <t>https://www.archanaskitchen.com/kesar-pista-kulfi-recipe-indian-icecream-dessert-recipe</t>
  </si>
  <si>
    <t>Crispy Palak Pakora Recipe - Made In Kuzhi Paniyaram Pan</t>
  </si>
  <si>
    <t>3/4 cup Gram flour (besan),1/4 cup Rice flour,1 cup Spinach - chopped,1 Onion - finely chopped,1 Green Chilli - finely chopped,2 cloves Garlic - grated,1 inch Ginger - grated,1 teaspoon Fennel seeds (Saunf),1/4 teaspoon Enos fruit salt,1/4 teaspoon SSP Asafoetida (Hing),Salt - to taste,Sunflower Oil,Chaat Masala Powder - for sprinkling</t>
  </si>
  <si>
    <t xml:space="preserve">To begin making the Palak Pakora Recipe, first prepare all the ingredients and keep aside.In a mixing bowl, combine the besan, rice flour, spinach, onion, green chili, garlic, ginger, fennel seeds, eno, hing and salt. To the bowl, add a little water at a time to make a thick batter. Heat a Kuzhi paniyaram pan over medium heat, add 1/2 teaspoon of oil in each of the cavities of the pan.Spoon a tablespoon of Palak Pakora batter into each of the cavities and pan fry until brown and crisp, flip on the other side and cook as well. Once done transfer the palak pakoras onto a plate with an oil absorbent paper and serve these crispy Pakoras hot.Serve the Palak Pakora with Mint Chutney and Adrak chai for a tea time snack during monsoons.
</t>
  </si>
  <si>
    <t>https://www.archanaskitchen.com/palak-pakora-recipe-made-in-kuzhi-paniyaram-pan</t>
  </si>
  <si>
    <t>Dahi Wale Aloo</t>
  </si>
  <si>
    <t>4 potatoes - chopped, 1-1/2 cup curd, 2 tbsp gram flour, 1/3 tsp asafoetida, 1 tsp cumin seeds, 1 sprig curry leaves, 1 onion - finely chopped, 1/2 tsp ginger - finely chopped, 1/2 tsp garlic - finely chopped, 2 green chillies - chopped, 1 tsp red chilli powder, 1-1/2 tsp coriander powder, 1/2 turmeric powder, salt - according to taste, 4 tbsp oil, coriander leaves - chopped (for garnish)</t>
  </si>
  <si>
    <t>"To make Dahi Wale Aloo, first wash the potatoes. Add water and salt as per requirement in a pressure cooker. Cook till 2 whistles and turn off the gas. Let the pressure release. After the potatoes cool down, peel them and chop them. In a large bowl, add curd, gram flour and some water. Mix well and make sure that there are no lumps. Keep aside. Now heat oil in a pan. Add cumin seeds and asafoetida. After 10 seconds, add onion and cook till it becomes soft. Now add ginger, garlic and green chillies. Add curry leaves and let it cook for 2 minutes. Now add red chilli powder, coriander powder and turmeric powder. Add 2 tablespoons water and let it cook for 3 to 4 minutes. Now add potatoes and mix. Reduce the flame and add curd and gram flour mixture to it. Mix, add salt and push the pan. Let it cook for next 5 minutes and then garnish with green coriander Serve Dahi Wale Aloo along with Kachumber Salad and Tawa Paratha for lunch.</t>
  </si>
  <si>
    <t>http://www.archanaskitchen.com/dahi-wale-aloo-recipe-in-hindi</t>
  </si>
  <si>
    <t>Vegan Navratan Korma</t>
  </si>
  <si>
    <t>2 carrots - chopped small, 10 green beans - chopped, 1/2 cup cabbage - chopped, 2 potatoes - boiled and chopped, 1/2 cup tofu - chopped, 2 onions - chopped, 6 green chillies, 2 tbsp ginger garlic paste, 1/2 tsp turmeric powder, 1/2 tsp red chilli powder, 1/4 tsp cardamom powder, 1 big cardamom, 3 cloves, 1 inch ginger, 1 cup coconut curd, 1/2 cup coconut milk - thick, mint - as per requirement, 8 saffron strands, silver work - optional, pineapple - few (chopped), 2 tbsp raisins, 6-8 cashews - roasted, 1 tbsp almonds - thinly sliced, 1 tbsp pistachios - thinly sliced, 1/2 garam masala powder, coconut oil - as per requirement, 1-1/2 tbsp khus khus, 10 cashews, 15 almonds</t>
  </si>
  <si>
    <t>"To make Vegan Navratan Korma, first soak cashews and almonds in water for 30 minutes. Put it in a mixer grinder along with khus khus and make a paste. Keep it aside. Cook all the vegetables till they become soft and keep it aside. Heat oil in a pan. Add cloves, cinnamon, cardamom and black cardamom. After 15 seconds, add onion, ginger and garlic. Cook for 2 minutes and add green chillies. Cook till the onion becomes soft and keep it aside to cool. After it cools down, put it in the mixer grinder and make a paste. Put this paste again in the pan. Add red chilli powder, turmeric powder and salt. Cook for 3 to 4 minutes. After 4 minutes, add coconut curd, coconut milk and paste of almonds, cashews and khus khus. Mix and cook for 5 minutes. After 5 minutes, add vegetables, tofu and 1 cup water. Mix and let it cook for 5 minutes. After 5 minutes add garam masala and mix well. Now heat coconut oil in a small pan. Add cashews, raisins, almonds and pistachios. After 15 seconds, add it to the gravy. Take out the sabji in a bowl and cover it with silver foil. Garnish with pineapple, saffron and mint and serve. Serve Vegan Navran Korma with Lahsuni Daal, Kachumber Salad and Phulkas for lunch. "</t>
  </si>
  <si>
    <t>https://www.archanaskitchen.com/vegan-navratan-korma-recipe-in-hindi</t>
  </si>
  <si>
    <t>Minced Meat And Egg Croquettes Recipe</t>
  </si>
  <si>
    <t>500 grams Mutton - minced,4 Whole Eggs - boiled and peeled,1 Onion - finely chopped,1 teaspoon Ginger Garlic Paste,1 tablespoon Red Chilli powder,1 teaspoon Turmeric powder (Haldi),1 teaspoon Cumin powder (Jeera),1-1/2 teaspoon Coriander Powder (Dhania),Salt - Salt to taste,1 tablespoon Sunflower Oil,Water - if required,2 tablespoon All Purpose Flour (Maida),2 Whole Eggs - beaten,1/4 cup Whole Wheat Bread crumbs,Sunflower Oil - for deep frying</t>
  </si>
  <si>
    <t xml:space="preserve">To begin making the Minced Meat And Egg Croquettes recipe, heat oil in a heavy bottomed pan. Add finely chopped onion sauté until onions turn translucent.Add ginger garlic paste and cook till the raw smell of the paste goes off. Add the spice powders and salt mix well.Add minced mutton and cook for 5 minutes. Mutton will release its juices. I cooked the meat in its own juices without adding any water.Took about 30 minutes to get it fully cooked. Remove from stove and cool completely.Heat oil for deep frying in a deep fry pan. Divide the minced mutton mixture into 4 equal portions.Take one portion and place it in your palm, press and try to get it together.Slightly flatten it and place one full boiled egg in the middle and gather the meat to cover the egg fully. Try to shape it into cylindrical shape.If you find it too hard to handle the meat to shape it, try adding 1 or 2 teaspoon of beaten egg and work with the meat.Roll the croquettes in flour first, then dip it in egg and then roll with bread crumbs.Repeat this for all the meat. Deep fry the croquettes until golden brown in oil. Remove of kitchen paper.Serve Minced Meat And Egg Croquettes hot with Tomato Garlic Chutney or any dipping sauce of your choice.
</t>
  </si>
  <si>
    <t>http://www.archanaskitchen.com/minced-meat-and-egg-croquettes-recipe</t>
  </si>
  <si>
    <t>Khatti Meethi Mirchi Ki Sabzi Recipe</t>
  </si>
  <si>
    <t>10 Green Chillies,1/2 teaspoon Asafoetida (hing),Chilled water - as required,1/2 teaspoon Red Chilli powder,1/4 teaspoon Turmeric powder (Haldi),1 teaspoon Amchur (Dry Mango Powder),1 teaspoon Coriander Powder (Dhania),1 teaspoon Garam masala powder,1 teaspoon Lemon juice,3 tablespoon Raw Peanuts (Moongphali) - crushed,Salt - as required,Sunflower Oil - as required,2 sprig Coriander (Dhania) Leaves - chopped</t>
  </si>
  <si>
    <t xml:space="preserve">To begin making the Khatti Meethi Mirchi Ki Sabzi  Recipe, first slit the chillies in half and remove the seeds.Heat oil in a wok/kadai and once the oil is hot add  asafoetida. After 5 to 10 seconds, add the green chillies and cook it till it becomes soft.Add red chilli powder, turmeric powder, amchoor, garam masala, coriander and salt and lemon juice. Mix it well.Once the green chillies are cooked, Add pound peanuts and mix well.Once the green chillies are soft and crispy, turn off the heat and remove it into a serving bowl and garnish with fresh coriander leaves.Serve the Khatti Meethi Mirchi Ki Sabzi Recipe along with Thepla, Lauki Raita Recipe and Panchmel Dal by the side.
</t>
  </si>
  <si>
    <t>http://www.archanaskitchen.com/katti-mitti-mirchi-ki-sabzi-recipe</t>
  </si>
  <si>
    <t>Besan Methi Paratha Recipe</t>
  </si>
  <si>
    <t>2 tablespoons Sunflower Oil,1/2 cup Gram flour (besan),1/4 teaspoon Asafoetida (hing),1/2 teaspoon Ajwain (Carom seeds),1 teaspoon Cumin seeds (Jeera),1 teaspoon Red Chilli powder,1 teaspoon Coriander Powder (Dhania),1 teaspoon Cumin powder (Jeera),1 teaspoon Amchur (Dry Mango Powder),1 teaspoon Garam masala powder,Salt - to taste,1-1/2 cups Methi Leaves (Fenugreek Leaves) - finely chopped,2 cups Whole Wheat Flour,Water - to bind the dough,Salt - to taste,Ghee - to cook the parathas</t>
  </si>
  <si>
    <t xml:space="preserve">To begin making the Besan Methi Paratha Recipe, we will first make the filling for the paratha. Heat a pan with oil on medium heat, add in the cumin seeds, ajwain and asafoetida and allow it to sizzle. To this add the besan and allowing it to roast on medium-high heat stirring continuously. Once the besan has turned into a light brown colour, add in the dry spices - red chilli powder, coriander powder, cumin powder, amchur powder, garam masala and salt to taste. Mix well, and add the chopped methi leaves into the pan. Mix well and allow the methi leaves to wilt and combine well with the besan mix. Turn off the flame, transfer the besan methi stuffing mixture to a bowl and allow it to cool down to room temperature. To make the dough for Besan Methi ParathaIn a mixing bowl, add the flour and salt. Add water little at a time and knead to make a soft and smooth dough. Once all the flour has come together, drizzle a teaspoon of oil on the top of the dough and knead for another couple of minutes.Cover the dough and set aside. Getting ahead to make the Besan Methi ParathaHeat the roti tawa over medium heat. To make the parathas, divide your paratha dough into 6-8 even sized balls. Begin by rolling one out into a circle of approximately  2 inch diameter.Add a spoonful of the Besan Methi in the center of the disc. Bring the edges of the circle to the centre, pinch and seal gently. Lightly flatten the dough again with your palm.Lightly dust it with flour if required and gently roll it out into a circle ensuring that the stuffing stays sealed.Place the Besan Methi Paratha on to a hot tawa and cook on both the sides until brown spots appear and the paratha is fully cooked.Smear a teaspoon of ghee or oil over the Besan Methi Paratha and cook from both the sides till golden brown. Once the Besan Methi Paratha is crisp  and golden brown, transfer to a platter and cook the remaining Besan Methi Paratha similarly. Serve Besan Methi Paratha along with Boondi Raita, Aam Chunda Pickle Recipe - Gujarati Mango Chunda Recipe followed by Adrak Chai Recipe - Indian Style Ginger Tea for a complete breakfast. 
</t>
  </si>
  <si>
    <t>http://www.archanaskitchen.com/besan-methi-paratha-recipe</t>
  </si>
  <si>
    <t>Paneer Pyaz Paratha Recipe</t>
  </si>
  <si>
    <t>3 cup Whole Wheat Flour,2 cup Water - to knead,1 tablespoon Sunflower Oil,Whole Wheat Flour - for dusting,Salt - to taste,1 cup Paneer (Homemade Cottage Cheese) - grated,1/2 cup Onion - finely chopped,2 Green Chillies - finely chopped,Coriander (Dhania) Leaves - few,1/2 tablespoon Coriander Powder (Dhania),1/2 tablespoon Red Chilli powder,1/4 tablespoon Garam masala powder,1/2 tablespoon Chaat Masala Powder,Salt - to taste,Ghee - for roasting</t>
  </si>
  <si>
    <t xml:space="preserve">To begin making the Paneer Pyaz Paratha Recipe, we will first make the dough. In a bowl, mix together wheat flour, salt and oil. Add water little at a time and prepare a soft dough just as we make the dough for chapatis. Grease your hands with oil and knead it well. Cover it and let it rest for some time.To make the stuffing for the Paneer Pyaz Paratha Recipe; in a mixing bowl, combine the grated paneer, chopped onions, finely chopped green chillies and fresh coriander.Now add all dry spices - salt, red chilli powder, garam masala, coriander powder, chaat masala and mix everything well.Now make even size ball out of paratha dough and roll out the ball into a small circle dusting wheat flour.Add some stuffing in the centre and gather all the corners and seal it well and press it lightly.Dust some wheat flour and roll out the sealed dough into a circle as we do for chapati dough. Don’t apply too much pressure. Heat a tawa, on medium - high flame and put the rolled out Paneer Pyaz Paratha on it. Let it cook a little bit on one side.Flip the Paneer Pyaz Paratha over to the other side and spread some ghee over the paratha which is half cooked.Flip it again, when the second side is half cooked and spread some ghee.Flip it again, do it couple of times till the Paneer Pyaz Paratha turns brown and is cooked well.Finally topped the Paneer Pyaz Paratha with butter and serve hot.Serve Paneer Pyaz Paratha Recipe along with Aam Ka Achaar Recipe, and Tomato Onion Tadka Raita Recipe for a quick weekday breakfast.
</t>
  </si>
  <si>
    <t>https://www.archanaskitchen.com/onion-paneer-paratha-recipe</t>
  </si>
  <si>
    <t>Achari Amla Mirchi Ki Sabzi Recipe - Gooseberry &amp; Green Chilli Sabzi</t>
  </si>
  <si>
    <t>10 Amla (Nellikai/ Gooseberry) - cut into bite sized cubes,3 Green Chilli - cut into 1 inch,1 tablespoon Achari masala,1 teaspoon Red Chilli powder,1/2 teaspoon Turmeric powder (Haldi),2 teaspoons Jaggery,Salt - to taste,1 teaspoon Fennel seeds (Saunf),1 teaspoon Methi Seeds (Fenugreek Seeds),1 teaspoon Mustard seeds,Sunflower Oil,1 pinch Asafoetida (hing)</t>
  </si>
  <si>
    <t xml:space="preserve">To begin making the Achari Amla Mirchi Ki Sabzi Recipe, heat a pressure cooker with oil, add amla and green chilli along with all the masala including achari masala, red chilli powder, turmeric powder, salt except the jaggery.Add about 1/4 cup of water and pressure cook for 2 whistle and switch it off. Allow the pressure to release naturally.Open the lid and keep the pressure cooker back on the stove. Add jaggery and keep cooking until Amla Mirchi Ki Sabzi dries up. Once done turn off the heat.Keep it aside, heat a tadka pan with oil, add fennel seeds, fenugreek seeds and mustard seeds allow them to crackle.Add pinch of hing and then pour it over the sabzi, give Achari Amla Mirchi Ki Sabzia mix and serve hot.Serve the Achari Amla Mirchi Ki Sabzi Recipe along with Roti and Traditional Punjabi Kadhi With Methi for a weekday meal.
</t>
  </si>
  <si>
    <t>https://www.archanaskitchen.com/amla-mirchi-ka-achari-subzi-recipe-gooseberry-green-chilli-subzi</t>
  </si>
  <si>
    <t>Aloo Subz Dum Biryani Recipe</t>
  </si>
  <si>
    <t>2 Potatoes (Aloo) - peeled and cubed,1 Onion - sliced,1 Carrot (Gajjar) - peeled and chopped,1/2 cup Green beans (French Beans) - chopped,Del Monte Whole Corn Kernels - washed and boiled,1 Tomato - sliced,2 Cloves (Laung),1/2 inch Cinnamon Stick (Dalchini),1 tablespoon Red Chilli powder,1/2 tablespoon Turmeric powder (Haldi),1 Green Chilli - slit length wise,2 tablespoon Curd (Dahi / Yogurt) - whisked,1 tablespoon Garam masala powder,1 tablespoon Ginger Garlic Paste,Salt - to taste,1 tablespoon Ghee,2 cups Basmati rice - washed and soaked in water for 30 min,2 Cloves (Laung),2 Cardamom (Elaichi) Pods/Seeds,1/2 inch Cinnamon Stick (Dalchini),1 tablespoon Ginger Garlic Paste,Salt - to taste,2 tablespoon Coriander (Dhania) Leaves - finely chopped,2 tablespoon Lemon juice,1/2 tablespoon Garam masala powder,Saffron strands - a few dissolved in milk,2 tablespoon Caramelized onions,2 tablespoon Ghee</t>
  </si>
  <si>
    <t xml:space="preserve">To begin with Aloo Dum Biryani, firstly add oil in a heavy bottom cooking vessel.After this, add clove and cinnamon in the same pan. Add sliced onions and fry till translucent.Once it is done, add the ginger-garlic paste and fry for about 1 minute till the raw smell disappears.Add carrot, beans and let it cook till is cooked half. Next, add potato pieces, red chilli powder, turmeric powder and garam masala in the pan. Fry for about a minute and add 1/2 cup of water. Cook till potato pieces turn soft not mushy.Now add whisked curd and cook on low flame till the gravy becomes thick.For the rice layer, boil rice in enough water along with cardamoms, cinnamon, cloves, salt and ginger-garlic paste. Cook rice until just done. Check by pressing a grain in between your forefinger and thumb. If it is soft, then drain off the excess water from the rice using a sieve.Once the rice is cooked, now everything is ready to layer. Add ghee to the bottom of a heavy cooking vessel (the one we use to cook rice). Add a layer of rice and spread evenly.Now add a potato layer on the rice and spread evenly. Add half of fried onions, chopped coriander leaves, 1 tablespoon lemon juice, garam masala and 1 tablespoon of saffron milk.Cover this with another layer of rice and add remaining fried onions, chopped coriander leaves, 1 tablespoon lemon juice, garam masala and 1 tablespoon saffron milk.Now add 1 tablespoon ghee and leave the vessel on low flame by sealing the edges of vessel and lid with an aluminium foil.keep something heavy on the top of the lid to seal the aroma of biryani.Leave it on low flame for nearly 15-20 minutes. When you sprinkle 1 tablespoon of water on cooking vessel it has to sizzle. Turn off the flame and let it sit on stove for another 10-15 minutes before you start to serve.Remove the foil slowly and then open the lid. Start by mixing from the sides using wooden spatula very gently. Add fresh minced coriander and fried onions on the top before serving.Serve Aloo Sabzi Dum Biryani with Lauki raita, Raw mango raita or any raita of your choice.
</t>
  </si>
  <si>
    <t>http://www.archanaskitchen.com/aloo-dum-biryani-potato-pilaf-recipe</t>
  </si>
  <si>
    <t>Tomato Poha With Peas Recipe</t>
  </si>
  <si>
    <t>2 cups Poha (Flattened rice),1/2 cup Green peas (Matar) - blanched,1 Onion - finely chopped,3 Tomatoes - finely chopped,1 Green Chilli - finely chopped,2 cloves Garlic - roughly pounded,1 teaspoon Fennel seeds (Saunf) - roughly pounded,1 teaspoon Mustard seeds,1/4 teaspoon Asafoetida (hing),1/2 teaspoon Turmeric powder (Haldi),1 teaspoon Red Chilli powder,1 teaspoon Coriander Powder (Dhania),1 sprig Curry leaves,2 tablespoons Coriander (Dhania) Leaves - finely chopped for garnish,2 teaspoons Sunflower Oil,2 teaspoons Lemon juice,Salt - to taste</t>
  </si>
  <si>
    <t xml:space="preserve">To begin making the Tomato Poha With Peas Recipe, wash the poha in running water and drain it using a strainer and keep aside.Blanch the green peas in hot water and keep aside. Heat oil in a wok, add mustard seeds and let it crackle.Once the seeds have crackled add the roughly pounded fennel seeds and garlic to the pan and saute till the garlic turns golden brown.Once done add the asafoetida, curry leaves and let it splutter. Add the onions and saute until it turns translucent.Add in the tomatoes, green chilli and saute until the tomatoes turn a bit mushy.Now, add the turmeric, red chilli and coriander powder, and saute for a minute.Add in the drained poha, season with salt and mix everything gently.Cover it with a lid and let it cook for 10 minutes until the poha is cooked completely.Once done, add the lemon juice, garnish with coriander leaves, mix well and turn off the heat. Transfer the Tomato Poha to a serving plate and serve.Serve Tomato Poha With Peas Recipe along with Cocoa Banana Almond Date Smoothie for a quick breakfast or for kids lunch box along with some cut fruits and nuts.
</t>
  </si>
  <si>
    <t>https://www.archanaskitchen.com/tomato-poha-with-peas-recipe</t>
  </si>
  <si>
    <t>Sprouted Moong Chaat Recipe</t>
  </si>
  <si>
    <t>1 teaspoon Sunflower Oil,1/4 teaspoon Mustard seeds,1/4 teaspoon Cumin seeds (Jeera),2 inch Ginger - finely chopped,2 Green Chillies - finely chopped,1/4 teaspoon Turmeric powder (Haldi),2 sprig Curry leaves - finely chopped,2 cups Green Moong Sprouts,2 sprig Mint Leaves (Pudina) - Salt to taste,2 sprig Coriander (Dhania) Leaves - Juice from one lemon,3 sprig Coriander (Dhania) Leaves - finely chopped,1 cup Mint Leaves (Pudina),1 Green Chilli - roughly chopped,1 inch Ginger - roughly chopped,2 cloves Garlic,2 tablespoons Badam (Almond),1/2 Lemon - Juice squeezed,1 tablespoon Jaggery,Salt - to taste,1 Onion - finely chopped,1 Tomato - finely chopped,1/2 cup Fresh Pomegranate Fruit Kernels,4 sprig Coriander (Dhania) Leaves - finely chopped,Chaat Masala Powder - for sprinkling</t>
  </si>
  <si>
    <t xml:space="preserve">To begin making the moong sprout chaat, first prepare all the ingredients and keep them handy.For the moong sprouts, heat a teaspoon of oil Into a preheated pan; add mustard seeds, cumin seeds and allow it to crackled.Once crackled, add ginger, curry leaves, green chillies and turmeric powder. Give it a stir for a few secondsAdd the sprouted green moong dal, salt to taste and 2 to 3 tablespoons of water.Cover the pan and allow the green moong sprouts to get softened just a bit. You want the sprouts to get soft, yet hold its shape and not become mushy.Once done, squeeze the juice from one lemon, stir in chopped coriander leaves and keep aside.For the pudina chutney, into a blender add the mint leaves, green chillies, ginger, garlic, almonds, salt, jaggery and juice from one lemon. Add 1/4 cup of water and blend to make a smooth pudina chutney. Keep aside.To assemble the chaat, spoon 1/2 cup of moong sprouts into individual serving bowls, drizzle the pudina chutney, garnish with onions, tomatoes, coriander leaves &amp; finally sprinkle a little chaat masala on the top &amp; serve immediately. Serve Sprouted Moong Chaat as a tea time snack with hot Masala Chai or for your next Chaat potluck party with Spicy &amp; Tangy Pakodi Chaat.
</t>
  </si>
  <si>
    <t>https://www.archanaskitchen.com/sprouted-moong-chaat-recipe</t>
  </si>
  <si>
    <t>Mixed Vegetable Handi Recipe</t>
  </si>
  <si>
    <t>2 tablespoons Sunflower Oil,1 tablespoon Cumin seeds (Jeera),2 Bay leaves (tej patta),1 Onion - 1/2 diced and 1/2 thinly sliced,1 teaspoon Ginger - finely chopped,1 teaspoon Garlic - finely chopped,1 teaspoon Green Chilli - finely chopped,4 Tomatoes,7 Cashew nuts,1 tablespoon Kashmiri Red Chilli Powder,1 tablespoon Turmeric powder (Haldi),1/2 tablespoon Garam masala powder,1/2 tablespoon Coriander Powder (Dhania),1 tablespoon Butter,Salt - to taste,1/2 cup Carrots (Gajjar) - diced,1/4 cup Sweet corn,1/4 cup Green peas (Matar),1/4 cup Green beans (French Beans) - chopped,1/2 cup Green Bell Pepper (Capsicum) - chopped,1/2 cup Cauliflower (gobi) - chopped,1/2 cup Button mushrooms - chopped,1/2 cup Paneer (Homemade Cottage Cheese) - cubed,1 cup Water,1 tablespoon Curd (Dahi / Yogurt),1 tablespoon Fresh cream,1 tablespoon Kasuri Methi (Dried Fenugreek Leaves),1 tablespoon Coriander (Dhania) Leaves - chopped,1 tablespoon Mint Leaves (Pudina) - chopped,1/2 Lemon - juice</t>
  </si>
  <si>
    <t xml:space="preserve">To begin making the Mixed Vegetable Handi recipe, add tomatoes and cashews in a mixer grinder, puree them and keep it aside.Next, heat oil in a heavy bottomed pan. Add bay leaves, cumin seeds and cook for 15 seconds.After 15 seconds, add sliced onions, green chilli, ginger, garlic and saute for about a minute.After a minute, add finely sliced onions and cook till the onion turns golden brown in colour.Next, add tomato puree and cook for about 3 to 5 minutes. After 5 minutes, add turmeric powder, red chilli powder, coriander powder and garam masala powder.Add butter and mix everything well, let it cook for about a minute. After a minute, add the diced onion, diced carrot, corn, peas, french beans, capsicum, cauliflower, button mushrooms and paneer. Give it a toss and add water.Add salt and cover the lid. Let it cook for 10 to 12 minutes on medium flame, keep checking and stirring in between if the vegetables are cooked properly or not.Meanwhile, take a small bowl, add cream and curd together. Mix it well and see that no lumps are formed. Once the vegetables are soft, add the cream curd mixture and mix it with the vegetables. Cook Mixed Vegetable Handi on low flame for 1-2 minutes, sprinkle kauri methi, add lemon juice and mix everything nicely.Once it is done, garnish Mixed Vegetable Handi with chopped coriander and mint leaves. Mixed Vegetable Handi is ready to serve.Serve Mixed Vegetable Handi along with Tawa Parathas and Boondi Raita for a weekday meal.
</t>
  </si>
  <si>
    <t>http://www.archanaskitchen.com/mixed-vegetable-handi-recipe</t>
  </si>
  <si>
    <t>Thandai Shahi Tukda Recipe</t>
  </si>
  <si>
    <t>4 Whole Wheat Brown Bread - cut into round shape,1/4 cup Sugar,3/4 cup Water,Ghee - for deep frying,2 cups Milk,1/4 cup Condensed Milk - sweetened,1 tablespoon Thandai Masala,Badam (Almond) - as required,Pistachios - as required</t>
  </si>
  <si>
    <t xml:space="preserve">To begin with Thandai Shahi Tukda, firstly cut the bread slice into round shape with a cookie cutter.Heat pure ghee in a wide pan and shallow fry the bread pieces for about a minute or until light brown and crisp. Drain them on absorbent paper towel.Heat another small pan and add sugar and water. Let it boil for about 4-5 minutes. Make one string Chasni(syrup) and keep it on a side.Heat the milk in another heavy bottom pan and bring the milk to boil and add sweetened condensed milk. Simmer for 8-10 minutes, stirring continuously.Adjust the sugar according to your taste. Switch off the heat and let it cool down.Next, add the Thandai masala in it and stir. make sure everything is mixed properly.Dip fried bread pieces into sugar syrup(chasni) and take out immediately.Place fried bread pieces on a serving plate, pour chilled Thandai milk. Garnish it with some thin slices of almonds and pistachios.Serve Thandai Shahi Tukda as a dessert after your weekend lunch to your friends and family.
</t>
  </si>
  <si>
    <t>https://www.archanaskitchen.com/thandai-shahi-tukda-recipe</t>
  </si>
  <si>
    <t>Mutton Dum Biryani Recipe</t>
  </si>
  <si>
    <t>8 Onions - thinly sliced,1/4 cup Ginger - chopped,1/4 cup Garlic - cloves,7 Green Chillies,1 Bay leaves (tej patta) - torn,2 Cardamom (Elaichi) Pods/Seeds,1 inch Cinnamon stick,3 Cloves (Laung),2 cups Basmati rice - washed and soaked for 30 minutes,Salt - to taste,500 grams Mutton - curry cut,1 cup Hung Curd (Greek Yogurt),1 tablespoon Ginger Garlic Paste,1 teaspoon Red Chilli powder,1/2 teaspoon Turmeric powder (Haldi),1 teaspoon Garam masala powder,Salt - to taste,2 Bay leaves (tej patta),2 inch Cinnamon Stick (Dalchini),4 Cloves (Laung),1 Mace (Javitri),4 Dagad phool (/pathar phool/black stone flower),1 teaspoon Red Chilli powder,1/4 teaspoon Garam masala powder,2 Tomatoes - finely chopped,1/2 cup Mint Leaves (Pudina) - chopped,Salt - to taste,1/2 cup Milk,Saffron strands - a few,4 tablespoons Sunflower Oil,4 Ghee,2 cups Whole Wheat Flour - for sealing the vessel</t>
  </si>
  <si>
    <t xml:space="preserve">To begin making the Mutton Dum Biryani Recipe, first we will make a paste of the ginger, garlic and green chillies.Into a mixer grinder add the chopped ginger, garlic cloves and green chillies. Blend to make a paste and keep aside.Next step is to marinate the mutton for the Mutton Dum Biryani.Wash mutton thoroughly. Add the washed mutton into a mixing bowl and add the yogurt, 1 tablespoon of the ginger garlic and chilli paste, red chilli powder, turmeric powder, garam masala and salt to taste. Cover and place the  mutton in the refrigerator and marinate it for at least 4 hours.Once we are ready, the next step is to caramelize the onions.Into a preheated pan add oil and the sliced onions. Saute the onions on low to medium heat until caramelized. This process takes time so be patient so as to get the perfect golden brown caramelized onions.If you brown the onions on high heat then the onions will not caramelize evenly.Once done keep 1/2 the portion of the caramelized onions for the biryani masala and 1/2 portion for garnishing the Mutton Dum Biryani.The next step is to cook the rice until it is 3/4th done. Into a saucepan add 4 cups of water, the bay leaf, cardamom pods, cinnamon stick, cloves, salt to taste and the washed basmati rice. Allow the rice to boil in the water for 3 to 4 minutes.Power cook the rice until 3/4th done. Once done drain the water from the rice, add a tablespoon of ghee to the rice and mix gently. Cover &amp; keep aside.Next to make the saffron milk; dissolve the saffron strands in warm milk and keep aside.Next is to make the dough to seal the bowl for dum cooking. Into a bowl add the wheat flour and add water to make a firm dough. Cover and keep aside.To make the Mutton Dum BiryaniInto a large biryani pan add 2 tablespoons of ghee. Once the ghee is hot add bay leaves, cinnamon stick, cloves, mace, pathar ka phool and saute for a few seconds until the aromas come through.Once done add the rest of the ginger garlic and chilli paste and saute for a minute. Now add the red chilli powder, garam masala and saute it in the onion garlic paste until the raw smell goes away.Add the chopped tomatoes, salt to taste and saute until the tomatoes become soft and mushy.Once the tomatoes are soft add the caramelized onions and stir well to combine.Add the marinated mutton, the chopped mint leaves and stir for 2 to 3 minutes. Add 1/2 cup of water and cover with a lid. Reduce the heat and simmer and cook mutton for 40 minutes until the mutton is cooked and the gravy becomes thick. Once done add the 3/4th cooked rice on top of the mutton gravy. Spread the rice evenly over the gravy. Drizzle the saffron milk over the rice and add some caramelized onions. Keep a tablespoon of caramelized onions aside for final garnish. Finally a small bunch of chopped mint leaves. Turn the heat to low. Cover the pan and seal the lid with the atta dough.Cook on low heat for 15 minutes and turn off the heat. Allow the Mutton Dum Biryani to rest for 10 minutes before opening the pot. Cut the atta dough and remove the dough. Open the pot and mix the Mutton Dum Biryani gently and transfer into a serving bowl. Garnish with the remaining caramelized onions and serve. Serve the Mutton Dum Biryani Recipe is serve along with boondi raita, cucumber and onion raita or mirch ka salan and Traditional Shahi Tukda Recipe - Hyderabadi Double Ka Meetha for a weekend meal or party.
</t>
  </si>
  <si>
    <t>https://www.archanaskitchen.com/mutton-dum-biryani-recipe</t>
  </si>
  <si>
    <t>Palak Makki Ki Roti Recipe - Spicy Spinach Cornmeal Flatbread Recipe)</t>
  </si>
  <si>
    <t>1-1/2 cups Makki Ka Atta (Yellow Corn Meal Flour),1/4 cup Whole Wheat Flour,1 cup Spinach Leaves (Palak) - chopped,1 inch Ginger - grated,1 teaspoon Red Chilli powder,1 teaspoon Cumin powder (Jeera),Salt - to taste,Sunflower Oil - for cooking</t>
  </si>
  <si>
    <t xml:space="preserve">To begin making the Palak Makki Ki Roti Recipe - Spicy Spinach Corn Meal Flat Bread Recipe combine all the ingredients except the oil in a mixing bowl.Add a little water at a time and make a soft dough. Drizzle a little oil over the kneaded dough and knead for a few more minutes until the dough is smooth.Divide the makki ki roti dough into 10 portions of lemon ball size, cover and keep aside.Preheat an iron skillet; place a wet muslin cloth on the working surface; wet the palms of your hands and place a dough portion on the wet cloth. Pat the makki roti dough with your fingers to make a flat circle. You can also use a rolling pin to roll it out to approximately 3 inches in diameter.Invert the muslin cloth over the preheated skillet and place the rolled out makki roti on skillet. Cook the roti on medium heat, flipping over to cook on both sides. Cook until you see brown spots appear on the makki roti.Once you notice lighter brown spots, smear a teaspoon of ghee and cook for a few more minutes until lightly crisp.Once the paratha is done, place it on a platter and proceed to cook the remaining parathas.Serve the delicious Palak Makki Ki Roti Recipe along with Sarson Ka Saag and serve it as a weeknight dinner during the winters months.
</t>
  </si>
  <si>
    <t>https://www.archanaskitchen.com/palak-makki-ki-roti-recipe-spicy-spinach-corn-meal-flat-bread-recipe</t>
  </si>
  <si>
    <t>Aloo Dal Pakoras Recipe</t>
  </si>
  <si>
    <t>1 cup Green Moong Dal (Split) - soaked for 1 hour,1/2 inch Ginger,3 Green Chillies - (adjust according to the heat of the chillies),Salt - to taste,3 Potatoes (Aloo) - boiled and mashed,1/2 teaspoon Red Chilli powder,1/2 teaspoon Coriander Powder (Dhania),1/8 teaspoon Turmeric powder (Haldi),1 teaspoon Fennel seeds (Saunf) - coarsely powdered,1 teaspoon Lemon juice,Coriander (Dhania) Leaves - handful and finely chopped (optional),Asafoetida (hing) - a pinch,Salt - to taste,Sunflower Oil - for frying</t>
  </si>
  <si>
    <t xml:space="preserve">To begin making the Aloo Dal Pakoras recipe, we will first prepare the stuffing.To prepare the potato stuffing, in a mixing bowl, combine potatoes, red chilli powder, coriander powder,  turmeric powder, fennel seeds, lemon juice, coriander leaves, hing, salt. Mix well. Pinch small portions of the potato mixture , shape them into equal size balls and set them aside.To prepare the batter, drain the excess water from the moong dal and transfer it to the jar of a mixer. Add green chillies, ginger, salt and grind it to a smooth batter using very little water.Transfer the ground batter into a wide bowl. Heat oil in a kadai/wok.When the oil is hot, dip each potato ball in the dal batter and slowly drop them into the oil.Fry the pakoras over medium flame till they are light golden on both sides .Drain them on an absorbent paper towel. Repeat the same process for the rest of the batch. Delicious Aloo dal pakoras are ready to be served hot.Serve Aloo Dal Pakoras along with Dhaniya Pudina Chutney and Date Tamarind Chutney as a tea time snack.
</t>
  </si>
  <si>
    <t>http://www.archanaskitchen.com/aloo-dal-pakoras-recipe</t>
  </si>
  <si>
    <t>Paneer Raw Mango Curry Recipe</t>
  </si>
  <si>
    <t>200 grams Paneer (Homemade Cottage Cheese) - cut into cubes,1 Mango (Raw) - peeled,10 Pearl onions (Sambar Onions) - finely chopped,1 Drumstick - cut into 2 inch pieces,1 teaspoon Sunflower Oil,1 teaspoon Turmeric powder (Haldi),1 teaspoon Coriander Powder (Dhania),1 teaspoon Red Chilli powder,Salt - to taste,1/4 cup Coconut milk,5 cloves Garlic,2 Green Chillies,1 inch Ginger,1/3 cup Fresh coconut,1 teaspoon Coconut Oil - or any other oil,1/2 teaspoon Mustard seeds,2 Dry Red Chillies,1 Onion - julienned,5 Curry leaves</t>
  </si>
  <si>
    <t xml:space="preserve">To begin making the Paneer Raw Mango Curry Recipe, in a mixer grind garlic cloves, green chillies, ginger and fresh grated coconut to smooth paste using little water. Transfer to a bowl and set aside until required.Next heat oil in a saucepan over medium heat. Add baby (madras) onions and saute for few minutes till onion turns light brown in color and is softened. Add the drumstick along with turmeric powder, coriander and chilli powder, stir to combine and saute for few more minutes.Now add paste made earlier along with little water. Stir to combine and saute the mixture for few minutes till the masala is well combined.Add the raw mango cubes along with coconut milk, salt and little more water to adjust the consistency of the curry. Turn the heat to low and let curry simmer till mangoes are soft and cooked.Once mango curry thickens add the paneer cubes. Stir to combine the Paneer Raw Mango Curry and turn off the heat.For tempering the curry, heat oil in a tadka pan add mustard seeds and allow them to splutter. Next add red chillies and fry for few seconds. Add the onions and curry leaves.Fry until onion turns golden brown. Turn off the heat. Pour the tempering over the Paneer Raw Mango Curry  and stir to combine. Serve Paneer Raw Mango Curry with Phulkas for the light weekday lunch. 
</t>
  </si>
  <si>
    <t>https://www.archanaskitchen.com/paneer-and-raw-mango-curry-recipe</t>
  </si>
  <si>
    <t>Bhut Jolokia Murgh Recipe</t>
  </si>
  <si>
    <t>500 grams Chicken - cut into medium pieces,1 Ghost chilli peppers (bhut jolokia) - soaked in 1/2 cup water,2 Onion - sliced and fried,1 inch Ginger - chopped,4 cloves Garlic - chopped,2 tablespoons Ghee,1 tablespoon Ghee,1-1/2 teaspoons Turmeric powder (Haldi),2 teaspoons Cumin powder (Jeera),1 tablespoon Coriander Powder (Dhania),2 teaspoons Garam masala powder,1 teaspoon Kashmiri Red Chilli Powder,3 tablespoons Homemade tomato puree,Salt - to taste,2 tablespoons Coriander (Dhania) Leaves - chopped</t>
  </si>
  <si>
    <t xml:space="preserve">To prepare Bhut Jolokia Murgh Recipe, soak ghost chillies in water. Wash and clean chicken pieces and prep up with other ingredients as well.To make Bhoot jolokia puree, first heat ghee in a pan add ginger and garlic, saute for a few second.Add the soaked chilli with the water and cook till garlic and ginger soften.Remove from the heat, cool, fried onions and blend to make a smooth puree.Collect the puree in a bowl and keep aside.For making curry, heat ghee in a pan over low heat.Add, ghee, turmeric powder, cumin powder, coriander powder, garam masala powder, red chilli powder,and tomato paste. Saute for a minute or more on medium heat and add chicken pieces and mix well.Now add the chilli puree and mix well with masala such that everything incorporates well.Fry for a couple of minutes and then pour around 1 cup of water and adjust salt as per your taste.Cover the lid and cook till chicken is tender and gravy is thick.Garnish Bhut Jolokia Murgh with fresh chopped coriander and serve hot.Serve Bhut Jolokia Murgh recipe as a side dish with steamed rice and naan for lunch.
</t>
  </si>
  <si>
    <t>http://www.archanaskitchen.com/bhut-jolokia-murgh-recipe-ghost-chilli-chicken-curry</t>
  </si>
  <si>
    <t>Shahi Dal Recipe</t>
  </si>
  <si>
    <t>1 cup White Urad Dal (Whole) - soaked for atleast 8 hours,15 Badam (Almond) - soaked and skin peeled,1/2 cup Milk,1 teaspoon Turmeric powder (Haldi),Salt - to taste,1 Onion - chopped,1 Tomatoes - chopped,1 teaspoon Cumin seeds (Jeera),1 teaspoon Red Chilli powder,1 Green Chilli - chopped,Sunflower Oil</t>
  </si>
  <si>
    <t xml:space="preserve">To begin making the Shahi Dal Recipe, we will first pressure cook the soaked urad dal, almonds, turmeric powder and salt. Pressure cook for at least 4 whistles.Heat a sauce pan with oil, add cumin seeds and allow it to splutter for few seconds. Add onions and saute till it is translucent.Add tomatoes and sprinkle little salt and cook until it becomes mushy. Add chilli powder and give it a toss for at least 2 minutes.Once the dal is cooked open the lid and add a cup of milk and put the pressure cooker back on heat and cook for another 2 minutes.Add salt and season well. Add the tempered onion and tomato over the top and serve hot.Serve the Shahi Dal Recipe along with phulka, Manipuri Style Chana Kanghou and Palak Raita by the side to create a delicious lunch meal.
</t>
  </si>
  <si>
    <t>https://www.archanaskitchen.com/shahi-dal-recipe</t>
  </si>
  <si>
    <t>Paneer Kalimirch Recipe (Paneer in Black Pepper flavored Gravy)</t>
  </si>
  <si>
    <t>250 gram Paneer (Homemade Cottage Cheese),1/4 cup Fresh cream,2 tablespoon Milk,1/4 teaspoon Turmeric powder (Haldi),1 teaspoon Garam masala powder,2 teaspoons Whole Black Peppercorns - pounded coarsely,Salt - to taste,Sunflower Oil - for cooking,1 Onion - roughly chopped,1/4 cup Cashew nuts,4 cloves Garlic,1 inch Ginger - peeled and chopped,4 cloves Garlic - finely chopped,2 tablespoon Sunflower Oil,1 pinch Black pepper powder</t>
  </si>
  <si>
    <t xml:space="preserve">To prepare Paneer Kalimirch, we will first make a paste of the onion, cashew nut, garlic and ginger using a mixer. Transfer the paste to a bowl and keep aside until required. Cut paneer into equal size square pieces. Now heat one tablespoon of oil in the griddle pan over medium heat. Arrange paneer pieces over the griddle pan and grill until charred marks appear on one side.Brush the upper side of paneer pieces with oil and turn them upside down. Grill paneer until charred marks appear on both sides. This takes about 5 minutes on each side. Turn off the heat. Arrange paneer pieces in a plate and keep aside. While paneer is grilling we will start preparing gravy.Heat two tablespoons oil in a saucepan over medium heat. Add the onion paste made above and fry the paste stirring continuously. Once the oil gets separated from the masala add cream and milk. Stir to combine.  Add the salt, turmeric powder, garam masala, stir and let the gravy simmer for sometime. Adjust the consistency of gravy using little water. After adding water simmer the gravy for some time for the flavors to develop. Now add crushed pepper and grilled paneer to the gravy. Stir to combine. Now cook gravy for 3 - 4 minutes more over medium heat. Turn off the heat. Transfer Paneer Kalimirch to a serving bowl.For garnish, heat oil in a small pan over medium heat. Once the oil is heated add chopped garlic. Fry garlic until it turns golden. With a spoon pour fried garlic and oil over the Paneer Kalimirch. Sprinkle a pinch of black pepper on top. Serve hot. Serve the Paneer Kalimirch (Paneer in Black Pepper flavored Gravy) as a weeknight dinner or on parties along with Paratha.
</t>
  </si>
  <si>
    <t>https://www.archanaskitchen.com/paneer-kalimirch-recipe-paneer-in-black-pepper-flavored-gravy</t>
  </si>
  <si>
    <t>Kadai Egg Masala Recipe</t>
  </si>
  <si>
    <t>4 Whole Eggs,1 Onion - diced,1 Green Bell Pepper (Capsicum) -  diced,1 teaspoon Ginger - grated,2 cloves Garlic - finely chopped,1 cup Homemade tomato puree,1 Cardamom (Elaichi) Pods/Seeds,1 teaspoon Turmeric powder (Haldi),1 teaspoon Cumin powder (Jeera),1 teaspoon Red Chilli powder,1 teaspoon Black pepper powder,1 teaspoon Kasuri Methi (Dried Fenugreek Leaves),Sunflower Oil,1 tablespoon Butter,Salt - to taste</t>
  </si>
  <si>
    <t xml:space="preserve">To begin making the Kadai Egg Masala Recipe, please follow the recipe link on How to boil the eggs. deshell them and keep it ready.Heat a kadai pan with oil, add the onions, green bell peppers, ginger, garlic and sauté until the onions and peppers are tender.Once the onion and peppers have turned slightly tender, add the tomatoes, turmeric powder, cumin powder, black pepper powder, red chilli powder and saute until the water from the tomatoes have evaporated and become a thick paste.Add butter, salt, cardamom powder or badi elaichi and and sauté for few more minutes. Cut the egg into half and add the egg pieces and kasuri methi.Cover the pan and simmer the kadai Egg for a few minutes on low heat. After a few minutes, turn off the heat. Check the salt and spice levels and adjust to suit your taste. Transfer the Kadai Egg to a serving bowl and serve warm.
</t>
  </si>
  <si>
    <t>https://www.archanaskitchen.com/kadai-egg-masala-recipe</t>
  </si>
  <si>
    <t>Pyaaz Ki Sabzi</t>
  </si>
  <si>
    <t>15 small onions - peel and cut in half, 1/2 tsp cumin seeds, 1/4 tsp asafoetida, 1 tsp fennel seeds - powdered, 1 tsp red chilli powder, 1 tsp dried mango powder, 1 tsp coriander powder, salt - according to taste, oil - according to use</t>
  </si>
  <si>
    <t xml:space="preserve">To make onion sabzi, first prepare all the ingredients. Peel the onion and cut it in half. Now heat oil in a pan. Add asafoetida, cumin seeds and fennel seeds. Let it cook for 15 seconds. After 15 seconds add onion, salt and cook till the onion becomes brown and soft. After the onion becomes soft, add all the spices and let it cook for 2 minutes. After cooking, turn off the gas and serve. Serve onion sabzi with Rajasthani kadhi and phulkas for lunch.
</t>
  </si>
  <si>
    <t>http://www.archanaskitchen.com/pyaaz-ki-sabzi-recipe-in-hindi</t>
  </si>
  <si>
    <t>Singhade Ka Achaar Recipe (Water Chestnut Pickle)</t>
  </si>
  <si>
    <t>1 kg Singhade (water chestnut) - boiled,2 tablespoons Salt,2 tablespoons Turmeric powder (Haldi),1 tablespoon Red Chilli powder,1 tablespoon Mustard powder,2 tablespoons Fennel seeds (Saunf) - powdered,1 teaspoon Sugar,2 tablespoons Sunflower Oil,1 teaspoon Vinegar</t>
  </si>
  <si>
    <t xml:space="preserve">To begin making the Singhade Ka Achaar recipe, peel the pointed sides, wash and cut into two.Boil it with a glass of water for 10 to 12 minutes in a saucepan, cool and keep in strainer. Lay it in an open space for 1 hour now. Take a large bowl and mix all the ingredients including the boiled singhade properly.Keep the jar in sun light for 2 days and it's ready to serve.Serve Singhade Ka Achaar along with Pudina Tawa Paratha or Nutty Aloo Paratha for breakfast on a weekend morning.
</t>
  </si>
  <si>
    <t>https://www.archanaskitchen.com/singhade-ka-achaar-recipe-water-chestnut-pickle</t>
  </si>
  <si>
    <t>Delhi Style Fruit Chaat Recipe -Homemade Kulle Chaat Of North India</t>
  </si>
  <si>
    <t>1 Apple - peeled and diced,2 Ripe Bananas - peeled and diced,1/2 cup Pineapple - diced,1/4 cup Anardana Powder (Pomegranate Seed Powder),1 Potato (Aloo) - boiled,1 Sweet Potato - peeled and diced,1 Green Chilli - finely chopped,2 sprig Coriander (Dhania) Leaves - finely chopped,1 teaspoon Chaat Masala Powder,1/2 teaspoon Cumin powder (Jeera) - roasted,1/2 teaspoon Red Chilli powder,Salt - to taste,1 Lemon juice,Ghee - for stir frying</t>
  </si>
  <si>
    <t xml:space="preserve">To begin making the Delhi Style Fruit Chaat or the Kulle Chaat Of North India, first boil the potatoes and keep them ready. Cut and peel the fruits and keep them ready by the side.Heat a tablespoon of ghee in a heavy bottomed pan or a wok.  Roast the diced and boiled potatoes on medium high heat until roasted and browned. Once roasted, turn off the heat and keep aside.In a large mixing bowl, add the roasted potatoes, the cut fruits like apple, banana, pineapple and pomegranate. Add the remaining ingredients like chaat masala, red chili powder, cumin powder, green chilies, lemon, coriander leaves &amp; salt into the bowl and stir well to combine all of them.Check the salt and spices and adjust to suit your taste .Serve Delhi Style Fruit Chaat Recipe or Kulle Chaat along as an evening snack or as an appetizer for parties along with Pav Bhaji, Dahi Vada, Pani Puri and finally end it with a Paneer Kheer as a dessert.
</t>
  </si>
  <si>
    <t>http://www.archanaskitchen.com/delhi-style-fruit-chaat-recipe-homemade-kulle-chaat-of-north-india</t>
  </si>
  <si>
    <t>Easy Creamy Chicken Curry Recipe</t>
  </si>
  <si>
    <t>500 grams chicken - with bone, 2 cups curd, 1 tablespoon lemon juice, salt - according to taste, 1 inch ginger - finely chopped, 8 cloves garlic - finely chopped, 1 teaspoon black pepper powder, 1 teaspoon kasuri methi, 1/2 cup cream, 1 tablespoon oil</t>
  </si>
  <si>
    <t>"To make Creamy Chicken Curry Recipe, first of all take chicken, lemon juice, salt, curd in a bowl and mix everything. Keep it aside for 1 hour. Now heat oil in a pan. After oil is heated, add ginger, garlic, little water and cook for 3 to 4 minutes. After 3 to 4 minutes add chicken pieces with remaining marination. Cook for 5 minutes. Flip the chicken and let it cook for another 5 minutes. Cover the chicken and let it cook on low flame for 25 minutes. After 25 minutes remove the lid from the pan and mix well. After chicken is cooked add cream, black pepper powder and kasuri methi. Mix everything and let it boil. After boiling, turn off the gas and serve. Serve Creamy Chicken Curry Recipe with Tawa Paratha, Jeera Rice and Tomato Onion Cucumber Raita for dinner Serve it.</t>
  </si>
  <si>
    <t>https://www.archanaskitchen.com/easy-creamy-chicken-curry-recipe-in-hindi</t>
  </si>
  <si>
    <t>Green Chutney Recipe - Coriander Mint Chutney Recipe</t>
  </si>
  <si>
    <t>1 cup Coriander (Dhania) Leaves -  chopped,1 cup Mint Leaves (Pudina) -  chopped,1/4 cup Curry leaves,1/4 cup Roasted Peanuts (Moongphali) - or almonds,1 inch Ginger - chopped,2 Green Chillies - roughly chopped,1 teaspoons Sugar,1 Lemon juice - juiced,Salt - to taste,1/4 cup Water</t>
  </si>
  <si>
    <t xml:space="preserve">To begin making the Green Coriander and Mint Chutney Recipe, combine the coriander leaves, mint leaves, curry leaves, peanuts , ginger, green chillies, sugar, lemon juice, salt to taste and grind to a smooth paste in a blender. Add very little water to blend the chutney well. The addition of lemon juice enhances the flavours of mint and coriander and prevents discoloration of the greens.Transfer the Dhania Pudina Chutney- Green Coriander and Mint Chutney to a bowl and serve. You can refrigerate the Green Coriander and Mint Chutney for a couple of days. Serve Dhaniya Pudina Chutney Recipe with Samosa Recipe or make Green Chutney Aloo Chaat Recipe and enjoy with a cup of Masala Chai Recipe.
</t>
  </si>
  <si>
    <t>https://www.archanaskitchen.com/green-chutney-recipe-coriander-mint-chutney-recipe</t>
  </si>
  <si>
    <t>Lehsuni Pudina Chutney Recipe</t>
  </si>
  <si>
    <t>2 cups Mint Leaves (Pudina) - chopped,3 cloves Garlic,1 inch Ginger - roughly chopped,1 Green Chilli - chopped,1 tablespoon Raw Peanuts (Moongphali),Salt - to taste,1 teaspoon Sugar,3/4 teaspoon Lemon juice</t>
  </si>
  <si>
    <t xml:space="preserve">To begin making the Lehsuni Pudina Chutney, firstly keep all the ingredients ready.Next, take a mixer grinder jar and add all the ingredients in it. Add a little water and grind it to a smooth paste. Do not add too much water as we want a thick paste and not watery chutney.Once ready, take it out in a bowl and serve. Serve Lehsuni Pudina Chutney along with Punjabi Aloo Paratha and Tadka Raita for a weekday dinner.
</t>
  </si>
  <si>
    <t>https://www.archanaskitchen.com/lehsuni-pudina-chutney-recipe</t>
  </si>
  <si>
    <t>Sweet Potato &amp; Methi Stuffed Paratha Recipe</t>
  </si>
  <si>
    <t>1 cup Whole Wheat Flour,1 tablespoon Sunflower Oil,Salt - to taste,2 Sweet Potato - skin peeled and boiled,1 cup Methi Leaves (Fenugreek Leaves) - chopped,1 teaspoon Cumin seeds (Jeera),1 inch Ginger - chopped,1 Green Chilli - chopped,1 teaspoon Turmeric powder (Haldi),1 teaspoon Red Chilli powder,1 teaspoon Coriander Powder (Dhania),2 tablespoon Mustard oil,Salt - to taste</t>
  </si>
  <si>
    <t xml:space="preserve">To begin making the Sweet Potato &amp; Methi Stuffed Paratha Recipe, pressure cook the sweet potato with water for about 4 whistle. Release the pressure naturally. Once they cool down, peel the potatoes and mash them. Keep them aside.In the meantime clean the methi and keep it ready. Wash and chop them roughly.Add wheat flour, salt, oil. Knead it into soft dough by adding little water for the Chapati or the outer layer. Keep it covered and leave it aside.Heat a sauce pan with mustard oil, add cumin seeds and allow it sizzle for few seconds. Add in ginger and saute till they are translucent.Add chopped methi leaves and saute till the leaves are cooked. Add mashed potato, green chillies and all the spice powders including turemric powder, red chilli powder, coriander powder.Give it a mix and check for salt. Leave it aside to cool down for a while.Divide the stuffing into 4 equal portions. Divide the dough also into 4 equal portions, take one small ball of dough, Roll the dough ball into a small thick flat round shape. Place the stuffing in the center and close from all sides.Roll it very carefully to a round shaped bread, with 1 centimeter thickness. It can be little thick also.Now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it is ready to be served.Serve the Sweet Potato &amp; Methi Stuffed Paratha Recipe along with Tomato Onion Cucumber Raita , Carrot Cucumber Tomato Salad with Lemon and Coriander to make it a complete meal.
</t>
  </si>
  <si>
    <t>https://www.archanaskitchen.com/sweet-potato-methi-stuffed-paratha-recipe</t>
  </si>
  <si>
    <t>Paneer Methi Paratha Recipe</t>
  </si>
  <si>
    <t>2 cups Whole Wheat Flour,1/2 teaspoon Salt,1 teaspoon Sunflower Oil,1 cup Paneer (Homemade Cottage Cheese) - crumbled,1 teaspoon Cumin powder (Jeera) - roasted and ground,2 Green Chillies - finely chopped,1 Onion - finely chopped,1/2 cup Methi Leaves (Fenugreek Leaves) - finely chopped,Salt - to taste</t>
  </si>
  <si>
    <t xml:space="preserve">To begin making the Paneer Methi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feeling ready.While the dough is resting, lets prepare the filling for the parathas. I am going to be using homemade paneer as it makes the parathas softer, but you can use store bought paneer as well.In a large bowl; add in the homemade paneer. Use your fingers or a fork and begin to crumble the cottage cheese. Next add in 1 large chopped onion, lots of chopped methi leaves, finely chopped green chillies, cumin powder, and salt. Combine all the ingredients well.Divide the filling into 10 to 12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portions.Now we will get into the final steps of cooking a paneer methi paratha, preheat a skillet on medium heat and place the filled dough.Allow it to cook on medium heat for about 30 to 45 seconds and flip over. Add this stage add a teaspoon of ghee or oil and spread it around the paneer paratha.Flip again, so the oiled side can cook on the skillet. Spread a little more ghee and keep pressing the paneer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paneer paratha is cooked transfer to a plate. Continue to the remaining dough portions the same way.Serve the Stuffed Paneer Methi Paratha Recipe along with a Raita for a wholesome breakfast or dinner.
</t>
  </si>
  <si>
    <t>http://www.archanaskitchen.com/paneer-methi-paratha-recipe</t>
  </si>
  <si>
    <t>Amritsari Ajwaini Paneer</t>
  </si>
  <si>
    <t>1 cup paneer, 1 cup tomato puree, 1 onion - finely chopped, 2 cloves garlic, 1 green chili, 1 inch ginger, 5 cashews, 2 cloves, 1 teaspoon celery, 1 teaspoon garam masala powder, 1 teaspoon turmeric powder, 1-1/2 teaspoon coriander powder, 1/2 teaspoon red chili powder, 1/2 teaspoon sugar, salt, 1 tablespoon oil, green coriander - chopped</t>
  </si>
  <si>
    <t>"To make Amritsari Ajwaini Paneer, first of all put onion, garlic, ginger and green chilli in a mixer grinder and make a paste. Keep it aside. Now in a mixer grinder add some water along with cashews and make a paste. Keep it aside. Now in a mortar and pestle put celery and cloves and grind it. Heat oil in a pan. Add onion paste and cook for 3 minutes. Now add turmeric powder, ground masala and garam masala and cook for 2 minutes. Now add tomato puree, coriander powder, red chilli powder and salt. Cover the pan and cook for 4 to 5 minutes. After this add cashew paste, sugar and cook for 1 minute. Now add paneer, mix and garnish with green coriander. Serve Amritsari Ajwaini Paneer with onion thepla and coriander mint chutney."</t>
  </si>
  <si>
    <t>http://www.archanaskitchen.com/amritsari-ajwaini-paneer-recipe-in-hindi</t>
  </si>
  <si>
    <t>Cranberry Whole Wheat Naan Recipe</t>
  </si>
  <si>
    <t>2-1/4 cups Whole Wheat Flour - extra for dusting,1-1/2 teaspoons Active dry yeast,1 teaspoon Sugar,100 grams Curd (Dahi / Yogurt),150 ml Lukewarm Water,2 teaspoon Salt,2 tablespoon Sunflower Oil,Ghee - or butter as needed,1/4 cup Prune Spread,100 grams Cranberries,1 teaspoon Black sesame seeds,1 teaspoon Badam (Almond) - flaxes (optional)</t>
  </si>
  <si>
    <t xml:space="preserve">To begin the preparation of Cranberry and Prune Chutney Whole Wheat Naan Recipe, take yeast and sugar in a bowl and pour luke warm water and let it sit for 5 minutes until the yeast starts bubbling. If the yeast doesn’t react discard it and start another batch.In another bowl, add flour, salt, oil and mix with your fingers, make a well in the center and pour in the frothy yeast mixture and yogurt. Mix well. We just want all the dry flour to be wet. The dough will be sticky.Thoroughly clean the counter surface, rub your fingers with little flour, transfer the dough onto the counter and start kneading. Initially it will be sticky. Knead until smooth, soft and shiny.The kneading should be “stretch, fold back” movements. Do not add too much flour while kneading. We need flour just to rub your fingers with in case dough is very difficult to handle. If you add more flour, the naan might not turn soft.Place the dough into a bowl rub oil all over the dough, and cover it with a damp cloth. Set it aside for 1 – 1.5 hours, for the dough to prove. After 1-1.5 hours the dough would have risen and it would be double the size.In the meanwhile, soak the cranberries in water for about 30 minutes. Then chop into smaller pieces. Check how to make the prune chutney by clicking on the link Spiced Prune Chutney Recipe.Once the dough is proven, knock it down (punch it with your fist), this is done to release all the air that would have collected. Gently knead for another 2 minutes.Divide the dough into equal parts (I made 4 large balls). Dust a little flour if needed to roll and press the dough.Sprinkle chopped cranberries, and spread the Spiced Prune Chutney. You can add the cranberries later also on top over the tawa. Now bring the edges to the center sealing the stuffing in the center. Now roll the naan into any desired shape making sure not to break the stuffing out of the naan. Sprinkle some black sesame and few almond flakes on top.Heat a tawa. Grease it well with ghee. Place the rolled naan and cook covered on low flame. You will see the naan bubbling up.Turn the naan the other side and rub ghee generously and cook. Keep turning naan once in 30 seconds to 1 minute on both sides until all edges are cooked and naan is browned on both sides. Remove from tawa and again rub ghee generously on top. Repeat the process for the remaining dough.Serve the Cranberry and Prune Chutney Whole Wheat Naan Recipe along with some Smoked Dal Makhani Dhaba Style Recipe to enjoy your rich Sunday meal.
</t>
  </si>
  <si>
    <t>https://www.archanaskitchen.com/cranberry-and-prune-chutney-whole-wheat-naan-recipe</t>
  </si>
  <si>
    <t>Methi Masoor Dal Recipe With Whole Masoor</t>
  </si>
  <si>
    <t>1 cup Masoor Dal (Whole),200 grams Methi Leaves (Fenugreek Leaves) - cleaned chopped,1/4 teaspoon Asafoetida (hing),1 teaspoon Cumin seeds (Jeera),1 Onion - thinly sliced,1 Tomato - chopped,1 Green Chilli - slit,2 teaspoons Coriander Powder (Dhania),1/2 teaspoon Turmeric powder (Haldi),1/2 teaspoon Red Chilli powder,Salt - to taste,1 tablespoon Ghee</t>
  </si>
  <si>
    <t xml:space="preserve">To prepare the Methi Masoor Dal Recipe, first wash and soak the masoor dal in 3 cups of water for at least 30 minutes. While the dal is soaked clean, wash and pat dry the fenugreek leaves.Next, finely chop the methi leaves. Heat a teaspoon of oil in a wok or a kadai and add the chopped methi leaves into the wok.Saute the methi leaves, until it gets softened. Methi leaves cooks very quickly and this will take less than a minute to cook. Once the leaves have softened, turn off the heat. Keep it aside.In the next step, we will cook the masoor dal with the spices. Heat ghee in a pressure cooker over medium heat.  Add asafoetida and cumin seeds and allow it to crackle.Next add onion and saute till they turn soft. Once the onions have softened, add the chopped tomato,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lightly mash the masoor dal with the back of a spoon. Stir in the sautéed methi leaves and serve.Serve the Methi Masoor Dal Recipe along with Tawa Paratha Recipe, Baby corn and Carrot Sabzi Recipe to make it a wholesome Indian diabetic friendly dinner.
</t>
  </si>
  <si>
    <t>http://www.archanaskitchen.com/methi-masoor-dal-recipe</t>
  </si>
  <si>
    <t>Whole Wheat Methi Garlic Naan Recipe  | Oven Method with yeast</t>
  </si>
  <si>
    <t>2 cups Whole Wheat Flour,2 teaspoons Active dry yeast,1 teaspoon Salt,1 teaspoon Sugar,6 cloves Garlic - finely chopped,100 grams Methi Leaves (Fenugreek Leaves) - finely chopped,1/4 cup Curd (Dahi / Yogurt),1 tablespoon Sunflower Oil,Butter - for greasing Naan</t>
  </si>
  <si>
    <t xml:space="preserve">To begin making the Whole Wheat Methi Garlic Naan recipe, first prep all the ingredients and keep them ready.Into a large mixing bowl, add the flour, salt, sugar and yeast. Combine all the dry ingredients.Make a well in the center, add the Methi leaves, garlic, yogurt and little lukewarm water at a time and knead well to make smooth dough.Drizzle a little oil on the top and knead until the dough is smooth for about 3 to 4 minutes.Cover the dough with a lid or a kitchen towel and allow the dough to rise in room temperature for at least 2 hours until it has risen in size.Once the dough has risen, we will now prep for baking the Naan.Preheat the oven to 250 C for about 20 minutes.In this 20 minutes, we will roll the dough out into ovals and allow it to rest for 15 minutes.Divide the dough into 10 to 12 portions. Dust in flour and roll into an oval of 1/4 inch thickness.Place the rolled Whole Wheat Methi Garlic Naan into a greased and dusted baking sheet and continue the remaining process of the remaining dough.Cover the rolled dough with a kitchen towel.Allow the dough to rest for about 15 to 20 minutes in the baking sheet.Once rested and the oven is well preheated, place the Whole Wheat Methi Garlic Naan in the oven and bake on high heat for about 10 to 12 minutes until you notice the golden crust on the top.Once the Whole Wheat Methi Garlic Naan has a golden crust, remove from the oven and smear it with butter and serve hot.Serve the Whole Wheat Methi Garlic Naan recipe along with Matar Paneer and Dal Makhani for a wholesome lunch or dinner.
</t>
  </si>
  <si>
    <t>http://www.archanaskitchen.com/whole-wheat-methi-garlic-naan-recipe-oven-method-with-yeast</t>
  </si>
  <si>
    <t>Hariyali Paneer Tikka Masala Gravy Recipe -No Onion No Garlic Recipe</t>
  </si>
  <si>
    <t>250 grams Paneer (Homemade Cottage Cheese) - cut into an inch lengthwise,1 teaspoon Fennel seeds (Saunf),2 Green Chillies - finely chopped,50 grams Coriander (Dhania) Leaves - finely chopped,20 grams Mint Leaves (Pudina) - finely chopped,2 Tomatoes - pureed,1 inch Ginger - finely chopped,1 inch Cinnamon Stick (Dalchini),2 Cardamom (Elaichi) Pods/Seeds,1 Bay leaf (tej patta),1/2 teaspoon Garam masala powder,1/2 teaspoon Chaat Masala Powder,1/4 cup Fresh cream,Salt - to taste,1 tablespoon Butter - to cook</t>
  </si>
  <si>
    <t xml:space="preserve">To begin making the Hariyali Paneer Tikka Masala Gravy ,coarsely grind the fennel seeds, coriander, mint, ginger and green chillies in a blender along with some water.Heat butter in a pan, add spices - cinnamon, bay leaf, and cardamon pods and then the tomato puree. Cook until the raw smell of the tomato goes away.Add the ground green masala ingredients, and the garam masala and chaat masala, saute the masala for a few minutes on low heat. Cover the pan and allow the hariyali masala gravy to cook through. This will take about 4 to 5 minutes.Once done, stir in the cream and paneer. Check the salt and spices and adjust to suit your taste. Simmer for 3 more minutes so the paneer absorbs the flavors of the masala.Once done, turn of the heat and serve.Serve your exotic Hariyali Paneer Tikka Masala Gravy with Phulka or Garlic Naan and Boondi Raita Recipe Spiced With Black Salt
</t>
  </si>
  <si>
    <t>https://www.archanaskitchen.com/hariyali-paneer-tikka-masala-gravy-recipe-no-onion-no-garlic-recipe</t>
  </si>
  <si>
    <t>Cabbage Bhurji</t>
  </si>
  <si>
    <t>2 cups cabbage - grated, 2 eggs, 1 teaspoon cumin seeds, 1 inch ginger - grated, 4 cloves garlic - grated, 3 green chillies - chopped, 1 teaspoon coriander powder, 1/8 teaspoon turmeric powder, 1/2 teaspoon red chilli powder, 1/2 teaspoon black pepper powder, salt - according to taste, 2 sprigs mint - for garnish, oil - according to use</t>
  </si>
  <si>
    <t>"To make Cauliflower Bhurji, first heat oil in a pan. Add ginger, garlic, cumin seeds and let it cook for a few seconds. Now add cabbage, green chillies and cook till the cabbage becomes soft. After it becomes soft, add salt, black pepper powder, turmeric powder, red chilli powder, coriander powder and mint leaves and mix it. After mixing, add one egg and mix it well. Keep mixing till the egg is cooked well. After cooking, turn off the gas and serve. Serve Cauliflower Bhurji with Tawa Paratha and Boondi Raita for breakfast."</t>
  </si>
  <si>
    <t>http://www.archanaskitchen.com/cabbage-bhurji-recipe-in-hindi</t>
  </si>
  <si>
    <t>Achari Baingan Bharta</t>
  </si>
  <si>
    <t>1 brinjal, 3 tomatoes, 1 onion, 5 cloves garlic - finely chopped, 2 green chillies - finely chopped, 1 inch ginger - grated, 1/2 teaspoon turmeric powder, 2 tablespoons coriander leaves - chopped, 1 tablespoon coriander powder, 1 teaspoon red chilli powder, 1-1/2 teaspoon mango pickle, 1-1/2 teaspoon pickle masala, oil - as per requirement, asafoetida - a pinch, salt - according to taste, 1 teaspoon mustard seeds, 1 teaspoon cumin seeds, 1 teaspoon fennel seeds, 1/4 teaspoon kalonji seeds, 1/4 teaspoon fenugreek seeds, 1/4 teaspoon celery seeds, 2 dried red chillies, 1/2 teaspoon dry mango powder</t>
  </si>
  <si>
    <t>"To make Achari Baingan Bharta, first of all, put the ingredients given for Achari Masala in a pan and roast them. Do not add dry mango powder. Now put the roasted masala and dry mango powder in a mixer grinder and grind it. Now apply some oil on the brinjal. Now put onion, brinjal and tomato in a baking tray and cook it at 200 degrees for 30 minutes. After that keep it aside to cool. Now peel the brinjal and mash it. Peel the onion also and chop it finely. Peel the tomato and remove the seeds. Mash it as well. Now put oil in a pan. Add ginger, garlic, green chilli, asafoetida and let it cook for 1 minute. After 1 minute, add onion, tomato, turmeric powder, coriander powder, red chilli powder and salt. Mix and let it cook for 3 minutes. After 3 minutes, add Achari Masala, pickle, brinjal and mix everything well. After cooking, garnish it with green coriander. Garnish. Serve Achari Baingan Bharta with Tawa Paratha and Lasuni Daal.</t>
  </si>
  <si>
    <t>https://www.archanaskitchen.com/achari-baingan-bharta-recipe-in-hindi</t>
  </si>
  <si>
    <t>Dal Kabila Recipe</t>
  </si>
  <si>
    <t>1 tsp ghee, 1 cup white urad dal, 1 inch cinnamon, 3 cloves, 3 dried red chillies, 1 onion - finely chopped, 3 long garlic - finely chopped, 1/2 inch ginger - finely chopped, 1 tomato - finely chopped, 1 green chilli - chopped, 1/4 tsp red chilli powder, 1 tsp coriander powder, 1/4 tsp turmeric powder, 1/4 tsp garam masala powder, 3 sprigs coriander - chopped, 3 cups water, 1 tbsp ghee, 1 tsp cumin seeds, 1 tsp whole black pepper - crushed</t>
  </si>
  <si>
    <t>"To make Daal Kabila recipe, first wash urad dal thoroughly and soak it for 2 hours. After 2 hours, heat ghee in a pressure cooker. Add dried red chilies, cinnamon, cloves and saute on low flame for 1 minute. Now add onion, green chilies and cook till onions become soft. Add tomatoes, red chili powder, turmeric powder, coriander powder and cook for 2 minutes. Now add urad dal, 3 cups of water and close the cooker. Cook till 5 to 6 whistles. Turn off the gas and let the pressure release automatically, open the cooker and take it out in a bowl. For Tadka, heat ghee in a pan. Add cumin seeds, black pepper and cook till the cumin seeds crackle. Pour this over the dal and mix well. Serve. Serve Daal Kabila recipe with Spinach Ragi and Oats Wheat Thepla and Khamang Cucumber for lunch."</t>
  </si>
  <si>
    <t>http://www.archanaskitchen.com/dal-kabila-recipe-diabetic-urad-dal-tadka-in-hindi</t>
  </si>
  <si>
    <t>Lauki Paratha Recipe - Bottle Gourd Flatbread</t>
  </si>
  <si>
    <t>1 Bottle gourd (lauki) - peeled and grated,2 cups Whole Wheat Flour,1 Green Chilli - finely chopped,1 teaspoon Ajwain (Carom seeds),2 teaspoon Ginger - grated,1/2 teaspoon Red Chilli powder,1/2 teaspoon Garam masala powder,1 tablespoon Ghee - for smearing on parathas,Salt - to taste</t>
  </si>
  <si>
    <t xml:space="preserve">To begin making the Lauki Paratha Recipe, peel the outer layer of the lauki, grate and squeeze the excess water and keep aside.Heat a heavy bottomed pan, add the grated lauki and saute until the water completely evaporates from the lauki. This will take around 10 to 15 minutes.Take a big bowl, add the whole wheat flour, evaporated grated lauki, green chilli, grated ginger, all the spice powders, season with salt and make a soft dough using the required amount of water.Divide the dough in equal portions and roll out each ball into a thick medium size paratha.Heat a skillet on medium heat, and place the rolled paratha on top and allow it to cook on one side. After about 10 to 15 seconds, flip the paratha.Smear some ghee to cook the paratha on both the sides Cook until you see golden brown spots on both sides.Prepare the rest of the Parathas in a similar way and serve hot. Serve Lauki Paratha along with Boondi Raita and Aam Ka Achaar for breakfast or for light dinner.
</t>
  </si>
  <si>
    <t>https://www.archanaskitchen.com/lauki-paratha-recipe-bottle-gourd-flatbread</t>
  </si>
  <si>
    <t>Khaman Dhokla Poha Recipe</t>
  </si>
  <si>
    <t>2 cups Khaman dhokla - crumbled,1 Onion - finely chopped,1 tablespoon Mustard seeds,2 Green Chillies - finely chopped,1/4 teaspoon Asafoetida (hing),1/4 cup Fresh coconut - grated,Coriander (Dhania) Leaves - Few sprigs finely chopped,Sunflower Oil - for cooking</t>
  </si>
  <si>
    <t xml:space="preserve">To begin making the Khaman Dhokla Poha Recipe, use leftover dhokla.Here is the recipe for the Khaman Dhokla Recipe if you would like to make this recipe with fresh Khaman Dhokla. Once the dhoklas cool down, crumble the dhoklas and keep aside.Heat oil in a heavy bottomed pan and when the oil is hot, add mustard seeds and let them splutter.Once the seeds have spluttered add asafoetida, curry leaves and green chillies and saute them for a few seconds.Next, add some chopped onions and saute them for a minute till they become soft and translucent.Once done add grated coconut, salt to taste and saute for a minute.After a minute add the crumbled dhoklas to the pan, stir well to combine. Turn off the heat and garnish with coriander leaves and serve.Serve Khaman Dhokla Poha with Pudina Chutney and a cup of Masala Chai.
</t>
  </si>
  <si>
    <t>http://www.archanaskitchen.com/khaman-dhokla-poha-recipe</t>
  </si>
  <si>
    <t>Singhare Atte Ka Halwa/Sheera Recipe (Water Chestnut Flour Halwa Recipe)</t>
  </si>
  <si>
    <t>1 cup Singoda Flour (Water Chestnut),1 cup Sugar,1 cup Ghee - + 1 tablespoon,3 cups Water,2 teaspoons Cardamom Powder (Elaichi) - freshly ground,1/4 cup Cashew nuts - halved</t>
  </si>
  <si>
    <t xml:space="preserve">To begin making the Singhare Atte Ka Halwa/Sheera Recipe (Water Chestnut Flour Halwa Recipe) , heat the water and sugar in a saucepan, stirring continuously until the sugar melts. Turn the heat to low and continue to heat the water until you get wheat flour mixture ready by following the steps that follow.Heat a heavy bottomed pan on medium heat; melt the one cup of ghee and stir in the singhare flour and roast the mixture on medium heat. Continue to roast until the mixture begins to release a roasted aroma and changes colour to a roasted brown; the process will take about five minutes.Keep stirring continuously while it is roasting. The mixture will begin to resemble like coarse crumbles. Turn the heat to low and stir the cardamom powder to the singhare flour mixture.Slowly start stirring in the prepared sugar hot water to the mixture. The mixture will start splitting and curdling.Continue stirring until the mixture thickens, but yet feels coarse and not like a blob of dough. Stir continuously for 10-15 minutes on medium heat after it thickens.Turn the heat off and let the Singhare Atte Ka Halwa/Sheera Recipe (Water Chest Nut Flour Halwa Recipe) sit covered for about 5 minutes.In another small tadka pan; heat the 1 tablespoon of ghee on medium heat; add the cashew nuts and roast them until the cashew nuts turn golden brown. Turn off heat and stir this into the Singhare Atte Ka Halwa/Sheera Recipe (Water Chest Nut Flour Halwa Recipe).Serve the Singhare Atte Ka Halwa/Sheera Recipe (Water Chestnut Flour Halwa Recipe) after a lunch or at a party with friends during the winter holiday season. 
</t>
  </si>
  <si>
    <t>https://www.archanaskitchen.com/singhare-atte-ka-halwa-sheera-recipe-water-chestnut-flour-halwa</t>
  </si>
  <si>
    <t>1 cup wheat flour, 1/2 tsp salt - optional, 1 tsp oil, ghee - for serving</t>
  </si>
  <si>
    <t xml:space="preserve">To make Phulka, first of all put flour and salt in a bowl and mix well. Now add little water in it and knead it. Add oil and knead again till it becomes soft. Cover it and keep it aside for 15 minutes. Now make small balls of it. Roll them in a round shape with the help of a rolling pin. Roll the roti as big as you want. Keep adding dry flour in between so that your roti does not stick. Make rotis with the remaining flour in the same way. Now heat the pan to bake the roti. Put the roti on it. After a few seconds you will see that small pockets are being formed all over the roti. At this time turn the roti to the other side. After a few seconds remove the pan and bake the roti on high flame with the help of tongs. You will see that your roti will puff up. After baking apply ghee on the roti and serve. Serve Phulka with Jaipuri Aloo Pyaaz Sabzi and Palak Raita for lunch You can serve it with any vegetable.
</t>
  </si>
  <si>
    <t>https://www.archanaskitchen.com/phulka-recipe-roti-chapati-puffed-indian-bread-in-hindi</t>
  </si>
  <si>
    <t>Paneer Stuffed Ragi Paratha Recipe - High Protein Breakfast</t>
  </si>
  <si>
    <t>1 cup Ragi Flour (Finger Millet/ Nagli),1 cup Whole Wheat Flour,1 teaspoon Salt,1 tablespoon Sunflower Oil,1 cup Paneer (Homemade Cottage Cheese) - grated,2 Green Chillies - finely chopped,1/4 cup Mint Leaves (Pudina) - finely chopped,1 teaspoon Cumin powder (Jeera),Salt - to taste,Ghee - for cooking paratha</t>
  </si>
  <si>
    <t xml:space="preserve">To begin making the Paneer Stuffed Ragi Paratha Recipe, we will first make the paratha dough.For the dough, in a large bowl, add in the ragi flour, whole wheat flour and required salt.Use your fingers and stir in the salt into the flour. Add water a little at a time and knead to make soft, pliable paratha dough.Knead paratha dough for a couple of minutes until the paratha dough is smooth and elastic. Use the fold press and knead motion to make the dough smooth.Next add a teaspoon of oil to coat the paratha dough and knead a little more. You want a paratha dough that will be soft smooth and not sticky. Divide the dough into equal portions.Cover the ragi paratha dough and allow it to rest until you get the filling ready. The next step is to make the Paneer filling for the Ragi ParathaIn a mixing bowl, combine the grated paneer green chillies, freshly chopped mint leaves, salt to taste, cumin powder, Using your fingers again, mix all the ingredients well.Divide the filling into equal portions.This process of dividing and keeping the portions for paratha dough and filling ready, helps you gauge the number of parathas you can make and if you need more or less of the filling.The final step is to stuff the filling into the ragi paratha dough.Dust the ragi paratha dough in flour, flatten it with your finger and place it on a flat surface. Roll them out thin to approximately 3 inches in diameter.Take a portion of paneer filling and place it in the center. Next gather the sides of the paratha dough and bring them together. Remove the little excess dough which popped out when you brought them together. Press the filled ragi paneer paratha dough down.Dust the filled paneer paratha dough in some flour and roll it gently applying just a pressure. Roll it to desired thickness and proceed the similar way with the remaining portions of paratha dough and filling.Preheat skillet on medium heat and grease it with little oil. Place the filled ragi paneer paratha. Allow it to cook on medium heat for about 30 to 45 seconds and flip over.Spread a little oil over the paratha and keep pressing the ragi paneer stuffed parathas while on the skillet to cook the paratha evenly from inside out.Do the flipping over process a couple of times until both sides get cooked, browned and crisp evenly. Make sure you cook on medium heat as it allows the Paneer Stuffed Ragi Paratha Recipe to get a crisp on the outside and yet soft texture.Once the Paneer Stuffed Ragi Paratha Recipe is cooked transfer to a plate. Continue to the same process with the remaining parathas the same way.Serve this Paneer Stuffed Ragi Paratha Recipe along with Spring Onion and Peanut Raita Recipe and Amla Achaar Recipe for a hearty and healthy high protein breakfast or an indian diabetic breakfast or lunch.
</t>
  </si>
  <si>
    <t>http://www.archanaskitchen.com/ragi-and-atta-paneer-stuffed-paratha-recipe</t>
  </si>
  <si>
    <t>Tangy Corn Tamatar Bharta</t>
  </si>
  <si>
    <t>1 cup corn - boil (sweet corn), 4 tomatoes - finely chopped, 1 onion - finely chopped, 1/2 cup coriander leaves - finely chopped, 1 green chilli - finely chopped, 1 teaspoon ginger garlic paste, 1 teaspoon cumin seeds, 1/2 teaspoon turmeric powder, 2 teaspoon coriander powder, 1 teaspoon red chilli powder, 1 teaspoon garam masala powder, 1 tablespoon butter, 1 teaspoon oil, 1 teaspoon lemon juice, salt - according to taste</t>
  </si>
  <si>
    <t>"To make Maize and Tomato Bharta, first of all prepare all the ingredients. Now heat butter and oil in a pan. Add cumin seeds and let it cook for 10 seconds. After 10 seconds add chopped onions and cook till they become soft. After they become soft add tomatoes and green chilies. Cook till tomatoes become soft. Now add turmeric powder, coriander powder, garam masala powder and cook for 3 to 5 minutes. After this add boiled maize and add salt as per taste and mix. Add some water and let it cook for 1 minute. Now add green coriander, mix and let it cook for 2 minutes. Turn off the gas, add lemon juice, mix and serve hot. Serve Maize and Tomato Bharta with Dal Fry, Kachumber Salad and Tawa Paratha for the day."</t>
  </si>
  <si>
    <t>https://www.archanaskitchen.com/tangy-corn-tamatar-bharta-recipe-in-hindi</t>
  </si>
  <si>
    <t>Vegetable Dal Pakora Recipe</t>
  </si>
  <si>
    <t>1/2 cup chana dal, 1/2 cup yellow moong dal - split, 2 green chillies - finely chopped, 1 inch ginger - grated, 1/4 cup cabbage - finely chopped, 1 carrot - grated, 1 onion - finely chopped, 1 sprig coriander - finely chopped, 1 tsp lemon juice, 1 tsp cumin powder, 1/2 tsp chaat masala powder, 1/4 tsp baking powder, salt - according to taste, oil - according to use</t>
  </si>
  <si>
    <t>"To make Daal Bhajiya recipe, first soak the dal for 2 hours. Drain the water and in a mixer grinder add dal with ginger, green chillies, some water and make a paste. Transfer the batter to a bowl and add cabbage, carrot, onion, coriander leaves, lemon juice, cumin powder, chaat masala powder, baking powder, salt and mix well. Now heat oil in a pan. Pour 1 tablespoon of batter in the pan and deep fry it. Cook till golden brown and remove on a kitchen towel so that it absorbs excess oil. To make paniyaram in a pan, pour oil in each cavity of the paniyaram pan. Add quail and cook till it turns golden brown on all sides. Serve. Serve Daal Bhajiya recipe with coriander mint chutney and a cup of garam masala tea during rainy days."</t>
  </si>
  <si>
    <t>https://www.archanaskitchen.com/vegetable-dal-pakora-recipe-dal-bhajiya-in-hindi</t>
  </si>
  <si>
    <t>500 grams carrot - grated, 1/2 cup ghee - or butter, 3 cups milk, 3/4 cup sugar, 1 teaspoon cardamom powder, 10 almonds - grated</t>
  </si>
  <si>
    <t>"To make Gajar Ka Halwa, first prepare all the ingredients and keep them aside. Now heat ghee in a pan. Add grated carrots and cook till they become soft. Once they become soft, add milk and put it on medium flame. Let the mixture boil. Let it cook till the milk evaporates. After this, add sugar, cardamom and almonds. Keep stirring the halwa till the sugar dissolves well. Once done, turn off the gas and serve it hot. Serve Gajar Halwa as a dessert after your meal."</t>
  </si>
  <si>
    <t>https://www.archanaskitchen.com/gajar-ka-halwa-recipe-in-hindi</t>
  </si>
  <si>
    <t>Sprouted Ragi &amp; Rajma Cutlets Recipe</t>
  </si>
  <si>
    <t>1 cup Rajma (Large Kidney Beans) - soaked in water,1/2 cup Sprouted Ragi,2 Potatoes (Aloo) - peeled and boiled,2 Green Chillies,1 teaspoon Turmeric powder (Haldi),1 teaspoon Coriander Powder (Dhania),1 teaspoon Garam masala powder,1 teaspoon Amchur (Dry Mango Powder),4 tablespoons Makki Ka Atta (Yellow Corn Meal Flour),2 sprig Coriander (Dhania) Leaves - chopped,1/4 cup Milk,1/2 cup Whole Wheat Bread crumbs,Salt - to taste,Sunflower Oil</t>
  </si>
  <si>
    <t xml:space="preserve">To begin making the Sprouted Ragi &amp; Rajma Cutlets Recipe, we will first sprout ragi, soak ragi in water overnight and drain all the water.Spread the ragi on to a damp cloth and cover it another damp cloth and leave it aside for a day. You need to keep the ragi in an environment that is little humid. This will help in sprouting the ragi.Once the ragi is sprouted keep it aside to make the cutlet. Cook the soaked rajma and potatoes in a pressure cooker with enough water for about 5 whistle.Allow the pressure to release naturally and drain any excess water. Mash the potatoes and rajma using a potato masher to a coarse paste.Grind the sprouted ragi, green chilli and coriander leaves in the mixer to a coarse paste and add this also to the mashed mixture.Add all the spice powders including turmeric powder, coriander powder, garam masala powder, amchur with salt and corn meal. Mix to form the cutlet mixture.Make round cutlets of the same and keep them aside. Now one by one, dip them into the milk and coat with the bread crumbs.Heat oil in a skillet. Put the round cutlets on the tawa and fry them from both the sides till they turn crisp and golden brown.Serve the Sprouted Ragi &amp; Black Eyed Peas Cutlets Recipe along with Dipping Sauce, Tomato Ketchup to enjoy the cutlet. You can also serve it along with some Masala Chai Recipe - Indian Spiced Tea.
</t>
  </si>
  <si>
    <t>https://www.archanaskitchen.com/sprouted-ragi-rajma-cutlets-recipe</t>
  </si>
  <si>
    <t>Paneer in White Gravy Recipe - No Onion No Garlic Recipe</t>
  </si>
  <si>
    <t>250 grams Paneer (Homemade Cottage Cheese) - cut into small cubes,1 tablespoon Ghee,1 Bay leaf (tej patta),1 Star anise,1 Brown cardamom (Badi Elaichi),1 inch Cinnamon Stick (Dalchini),2 Green Chillies - slit,1 teaspoon Kasuri Methi (Dried Fenugreek Leaves),1/4 cup Cashew nuts,1/4 cup Milk,1/2 cup Curd (Dahi / Yogurt),Salt - to taste</t>
  </si>
  <si>
    <t xml:space="preserve">To begin making the Paneer in White Gravy Recipe, prep all the ingredients and keep them ready.To make a paste of the cashew nuts, add it to the mixer grinder, add milk and blend to make a smooth paste.Heat ghee in a pan; add the green chillies, bay leaf, star anise, badi elaichi, cinnamon stick and saute for a few seconds.Add the kasuri methi, the cashew paste, yogurt, salt and paneer. Give the Paneer in white gravy a stir and give it a brisk boil. Once done, check the salt and adjust according to taste and turn off the heat.Transfer the Paneer In White Gravy to a serving bowl and serve hot. Sprinkle with more kasuri methi if desired.Serve the  Paneer in White Gravy Recipe along withDal Makhani, Tawa Paratha and Pyaz for a delicious dinner or lunch.
</t>
  </si>
  <si>
    <t>https://www.archanaskitchen.com/paneer-in-white-gravy-recipe-no-onion-no-garlic</t>
  </si>
  <si>
    <t>Paneer Tikka Pulao Recipe</t>
  </si>
  <si>
    <t>1-1/2 cup rice, 1 onion, 1 green chilli, 1 tsp cumin seeds, 1 cardamom, 1 inch cinnamon, 2 cloves, 1 bay leaf, 1/4 tsp turmeric powder, 1/4 tsp garam masala powder, 2 tsp oil, salt - according to taste, 200 gms paneer - chopped, 2 tbsp curd, 1 tsp red chilli powder, 3 tsp gram flour, 1/2 tsp garam masala powder, 1/2 tsp kasuri methi, 1 tbsp ginger garlic paste, coconut oil - as per use</t>
  </si>
  <si>
    <t>"To make paneer tikka pulao recipe wash the rice thoroughly. Soak it for 30 minutes. For marination of paneer, first of all in a bowl add curd, gram flour, ginger garlic paste, red chili powder, garam masala powder, salt and mix. Now add paneer and mix well. Keep aside for 30 minutes. Now heat a pan. Add oil and paneer pieces and cook till it becomes golden from all sides. Remove from pan and turn off the gas. Now heat oil in a pan. Add cumin seeds, cinnamon, cloves, cardamom, bay leaves and cook for 1 minute. Now add onion, green chili and cook till onion becomes soft. After onion becomes soft add paneer tikka, turmeric powder, garam masala powder and mix. Now add rice, salt, mix and add 3 cups of water. Turn off the gas and cook till 2 to 3 whistles. Turn off the gas and let the pressure release automatically. Open the cooker, mix and Garnish with coriander leaves. Serve Paneer Tikka Pulao Recipe with Boondi Raita, Bhindi Raita Recipe or any raita and papad of your choice for dinner. "</t>
  </si>
  <si>
    <t>https://www.archanaskitchen.com/paneer-tikka-pulao-recipe-in-hindi</t>
  </si>
  <si>
    <t>Thai Jasmine Sticky Rice Recipe</t>
  </si>
  <si>
    <t xml:space="preserve">To begin making the Thai Jasmine Rice, we will cook the rice in Saucepan.First wash the rice well in water, three to four times. Place rice in a Saucepan, add salt, a teaspoon of oil and about 2 cups of water. Bring the rice to a brisk boil. As soon as rice comes to brisk boil, turn the heat to low, cover the pan and simmer the rice until all the water is absorbed. Once the water is absorbed, turn off the heat.Allow the rice to rest covered in the pan for the next 10 minutes. This will help the rice settle down and fluff up. Serve hot or at room temperature along with your favorite Thai Green Curry or Thai Red Curry
</t>
  </si>
  <si>
    <t>https://www.archanaskitchen.com/thai-jasmine-sticky-rice-recipe</t>
  </si>
  <si>
    <t>Raw Banana &amp; Ajwain Paratha Recipe</t>
  </si>
  <si>
    <t>1 1/2 cups Whole Wheat Flour,Salt - to taste,2 Raw Banana - boiled and mashed,1 teaspoon Ajwain (Carom seeds),2 teaspoon Garam masala powder,2 teaspoon Amchur (Dry Mango Powder),1 teaspoon Coriander Powder (Dhania),1/2 teaspoon Turmeric powder (Haldi),2 Green Chillies - finely chopped,1 teaspoon Sugar,2 sprig Coriander (Dhania) Leaves - finely chopped</t>
  </si>
  <si>
    <t xml:space="preserve">We begin making the Raw Banana &amp; Ajwain Paratha Recipe by boiling the raw banana in the pressure cooker. Cut the banana into three pieces, remove the edges, boil it with water and salt for about 4 whistle.Once done, release the pressure naturally, remove the skin and mash it into a fine paste. Into this add the remaining ingredients and mix well.In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with the other half. Yes its as simple as that. We will have a semi-circle oval shape. Press the sides of the paratha down to seal the edges and gently using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Raw Banana &amp; Ajwain Paratha Recipe Paratha with Raita and Sweet Lime Pickle for Breakfast meal.
</t>
  </si>
  <si>
    <t>http://www.archanaskitchen.com/raw-banana-ajwain-paratha-recipe</t>
  </si>
  <si>
    <t>Spicy Soya Keema Masala Recipe</t>
  </si>
  <si>
    <t>2 Cups Soy Chunks (Nuggets),1 Onion - chopped,2 Tomatoes - pureed,3 Green Chillies - chopped,1 Bay leaf (tej patta),1 Black cardamom (Badi Elaichi),2 Cloves (Laung),5 Whole Black Peppercorns,1/2 inch Cinnamon Stick (Dalchini),1 teaspoon Ginger Garlic Paste,1 teaspoon Turmeric powder (Haldi),1 teaspoon Coriander Powder (Dhania),1 teaspoon Red Chilli powder,1-1/2 Tablespoon Garam masala powder,1 Tablespoon Lemon juice,Salt - to taste,Sunflower Oil - as required</t>
  </si>
  <si>
    <t xml:space="preserve">To begin making the Soya Keema Masala Recipe, boil some water and soak the Soya Chunks into the hot water for 15 to 20 minutes.Once the chunks have fully absorbed the water, take them out and squeeze them to drain extra water. Mince all the soya chunks using a grinder but be careful not to over grind the chunks.Heat oil in a heavy bottomed pan and once the oil is ready, add cumin seeds into the pan. Once the seeds start to sputter, add bay leaf, black cardamom, cloves, peppercorns, cinnamon and saute it for 2 minutes.Now add the finely chopped onions into the pan and cook it for 5-7 minutes or till the time they are golden pink in colour. Next step is to add turmeric powder, coriander powder, red chilli powder and give it a good stir. Next add the ginger garlic paste, chopped green chili and let this mixture cook for 5 minutes or till the time oil gets separated from the spices. Next, add the tomato puree into the pan and cook on slow heat for about 5 minutes.Add minced soya, salt and garam masala powder, lime juice into the pan and give it a good stir. Cook it for 5 minutes and make sure that soya is not sticking to the bottom.Add 1/2 cup water, cover the pan and cook for 5 minutes on low heat. After 5 minutes, check if the raw taste of soya has gone, if it is still there add little bit more water and cook for another 5 minutes. Garnish it with fresh coriander leaves and serve it hot with some chapati or naan.Serve Soya Keema Masala Recipe along with Whole Wheat Laccha Paratha and Tomato Onion Cucumber Raita for a weekday meal.
</t>
  </si>
  <si>
    <t>https://www.archanaskitchen.com/soya-keema-masala-recipe</t>
  </si>
  <si>
    <t>Methi Chaman Recipe -Paneer In Dark Leafy Greens Based Gravy</t>
  </si>
  <si>
    <t>1 cup Methi Leaves (Fenugreek Leaves) - tightly packed,1 cup Spinach Leaves (Palak) - tightly packed,150 grams Paneer (Homemade Cottage Cheese) - cubed,2 Green Chillies,1 Onion - finely chopped,1 teaspoon Cumin seeds (Jeera),3 tablespoons Mustard oil,1/4 teaspoon Turmeric powder (Haldi),1 teaspoon Coriander Powder (Dhania),1/2 teaspoon Garam masala powder,1/3 cup Fresh cream,Water - as needed,Salt - to taste</t>
  </si>
  <si>
    <t xml:space="preserve">To begin making Methi Chaman Recipe -Paneer In Dark Leafy Greens Based Gravy, In a saucepan, boil water with a little salt.Once the water boils, switch off the stove. Add cleaned Methi, palak leaves to the saucepan and keep covered for 5 minutes.After 5 minutes, strain the methi &amp; palak leaves and give them a quick run under cold water. Reserve about 1/2 a cup of stock for later use.Take a blender and add green chillies, blanched spinach, fenugreek leaves and blend to fine puree, keep aside.Heat a kadai, add mustard oil, add cumin seeds, onion and saute until translucent.Add turmeric powder, coriander powder and saute until raw smell goes off.Now add methi spinach puree, required salt and saute for 3-4 minutes on a medium flame.Add reserved greens stock, about 1/2 a cup, and stir to cook on simmer for another 2 minutes or till done.Add paneer cubes, garam masala and stir to combine, Cook Methi Chaman covered for 3 minutes.Switch off the stove and Finally add fresh cream to methi Serve Methi Chaman Recipe with Sweet Potato Flatbread  or Leftover Dal Paratha and Aloo Bhindi Recipe Flavored With Mustard And Poppy Seeds.
</t>
  </si>
  <si>
    <t>http://www.archanaskitchen.com/methi-chaman-recipe-paneer-in-dark-leafy-greens-based-gravy</t>
  </si>
  <si>
    <t>Masaledar Moongphali Til Wale Aloo Recipe</t>
  </si>
  <si>
    <t>2 teaspoons Sesame seeds (Til seeds),3 tablespoons Raw Peanuts (Moongphali),15 Baby Potatoes,Salt - to taste,1-1/2 tablespoons Sunflower Oil,1 teaspoon Cumin seeds (Jeera),1 Green Chillies - slit,1 inch Ginger - chopped,4 cloves Garlic - finely chopped,1 teaspoon Cumin powder (Jeera),1 teaspoon Red Chilli powder,1 teaspoon Garam masala powder,2 teaspoons Lemon juice,1 tablespoon Coriander (Dhania) Leaves - chopped,1 tablespoon Mint Leaves (Pudina) - chopped,1 teaspoon Chaat Masala Powder</t>
  </si>
  <si>
    <t xml:space="preserve">To begin making the Masaledar Moongphali Tilwale Aloo Recipe, wash the baby potatoes and pressure cook them for 1 whistle and release the pressure. Drain and set aside.In a pan, heat oil on medium heat, add the cumin seeds, green chillies and ginger. When the seeds begin to change colour, add the garlic paste and sauté for two or three minutes.Now add the peanuts and boiled potatoes along with the skin and pan fry till the peanuts and potatoes are well roasted. Once the potatoes get a nice crispy skin, add the sesame seeds, cumin powder, chilli powder, garam masala powder and salt. Continue to cook for five minutes, tossing continuously. Finally stir in the lemon juice, coriander and mint leaves and turn off the heat.Your Masaledar Moongphali Tilwale Aloo is ready to be served.Serve this Masaledar Moongphali Tilwale Aloo, with Dal Banjara Recipe (Langar Wali Dal) and Pudina Tawa Paratha Recipe (Mint Leaf Skillet Flat Bread) for a weekday meal.
</t>
  </si>
  <si>
    <t>http://www.archanaskitchen.com/masaledar-moongphali-til-wale-aloo-recipe</t>
  </si>
  <si>
    <t>Methi &amp; Pudina Aloo Sabzi Recipe</t>
  </si>
  <si>
    <t>3 Potatoes (Aloo) - peeled and cubed,250 grams Methi Leaves (Fenugreek Leaves) - washed and chopped,250 grams Mint Leaves (Pudina) - washed and chopped,1 Onion - thinly sliced,1 Tomato - pureed,1 inch Ginger - grated,1 teaspoon Turmeric powder (Haldi),1 teaspoon Garam masala powder,1 teaspoon Coriander Powder (Dhania),Salt - to taste,Red Chilli powder - to taste,1 teaspoon Cumin seeds (Jeera),Sunflower Oil - for cooking</t>
  </si>
  <si>
    <t xml:space="preserve">To begin making the Aloo Methi &amp; Pudina Sabzi Recipe in two stage process. We will first roast the potatoes and keep them aside. We will roast the onions, tomatoes, pudina and methi leaves and then add it to the roasted potatoes.In our first step; heat a tablespoon of oil in a heavy bottomed pan; add in the cumin seeds and the boiled cubed potatoes. Sprinkle some salt and a pinch of turmeric powder and sauté on medium heat until you notice that the potatoes have started to turn golden brown in colour.Set the potatoes aside until you saute the onions and leaves. Heat a teaspoon of oil in a small pan or skillet; add in the onions and ginger. Saute on low to medium heat until you notice that the onions have become tender and turned lightly browned.Add chopped tomatoes, sprinkle little salt and saute until the tomatoes turn mushy. After few minutes add in all the spice powders like red chilli powder, turmeric, garam masala powder and coriander powder and mix well.Once the tomatoes are softened and browned with the masala; add in the fenugreek leaves and pudina and saute until the leaves have wilted down and softened. Do not saute too much, as the leaves will lose its green colour.Add roasted potatoes and stir fry on medium high until all the ingredients are well combined with the potato. At this stage turn off the heat. Keep the roasted potato aside in the same pan. Transfer the aloo methi &amp; pudina sabzi to a serving dish.Serve the Methi &amp; Pudina Aloo Sabzi Recipe along with with Tawa Paratha and Punjabi Kadhi Pakora for a quick weeknight dinner.
</t>
  </si>
  <si>
    <t>http://www.archanaskitchen.com/methi-pudina-aloo-sabzi-recipe</t>
  </si>
  <si>
    <t>Bhune Pyaz Ka Gosht Recipe - Mutton Curry With Roasted Onion &amp; Spices</t>
  </si>
  <si>
    <t>300 grams Mutton - on the bone,3/4 cup Curd (Dahi / Yogurt),Salt - to taste,1/2 teaspoon Turmeric powder (Haldi),2 tablespoons Sunflower Oil,1/2 inch Cinnamon Stick (Dalchini),1 Cloves (Laung),1 Cardamom (Elaichi) Pods/Seeds,1/2 teaspoon Cumin seeds (Jeera),3 Onions - thinly sliced,2 inch Ginger - finely chopped,6 cloves Garlic - finely chopped,1/2 cup Homemade tomato puree,Salt - to taste,1 Green Chilli,1 teaspoon Red Chilli powder,1 teaspoon Cumin powder (Jeera),1 teaspoon Coriander (Dhania) Leaves,2 tablespoons Ghee,1 inch Cinnamon Powder (Dalchini),1 Bay leaf (tej patta),1 Cardamom (Elaichi) Pods/Seeds,1 Cloves (Laung),1 teaspoon Garam masala powder,1/4 teaspoon Nutmeg powder</t>
  </si>
  <si>
    <t xml:space="preserve">To begin making the Bhune Pyaz Ka Gosht Recipe we will first marinate the mutton.Wash and clean the mutton pieces well. Drain the water out completely.  In a mixing bowl, combine the mutton pieces along with salt, turmeric powder and the dahi. Mix well and massage the marinade into the mutton and set aside until required. To make the gravy for the Bhune Pyaz Ka GoshtHeat a pan with oil on medium heat, to this add the cinnamon stick, clove, cardamom and cumin seeds. Once the whole spices have begun to sizzle add the sliced onions and salt, and fry until it turns into a light brown colour. This will take about 3-4 minutes on medium heat.When the onions have just about turned brown, add in the ginger, green chilli and garlic. Continue to fry, stirring continuously, until the onions turn into a deep brown colour. At this stage add in the dry spice powders -  red chilli powder, cumin powder and coriander powder. Give it a good mix and add in the tomato puree. Cook the Bhune Pyaz masala for about a minute or two and turn off the flame. Allow the Bhune Pyaz Masala to come to room temperature. Transfer the Bhune Pyaz Masala to a mixer-jar and grind into a smooth paste using some water. Ensure your mixture is thick. Heat a pressure cooker with ghee on medium flame, into the cooker add the in cinnamon, bay leaf, cardamom and cloves. To this add the marinated mutton along with the marinade and continue to cook for a good 10 minutes. After 10 minutes of cooking the mutton in its own juices, add the freshly ground Bhune Pyaz Masala and the nutmeg and garam masala powder.Add 1/2 cup of water, cover the pressure cooker and cook for 3 whistles. Turn off the heat and allow the pressure to release naturally. Open the pressure cooker, give the Bhune Pyaz Ka Gosht a stir, check the salt and spices and adjust according to taste.Transfer the Bhune Pyaz Ka Gosht to a serving bowl and serve hot.Serve Bhune Pyaz Ka Gosht Recipe along with Cheese Garlic Naan Recipe, Mint Coriander Spice Pulao Recipe, Pickled Onions, and Handi Biryani Recipe With Chicken. Serve Thandai Kulfi Recipe - Holi Recipe as dessert. 
</t>
  </si>
  <si>
    <t>https://www.archanaskitchen.com/bhune-pyaz-ka-gosht-recipe-mutton-curry-with-roasted-onion-spices</t>
  </si>
  <si>
    <t>Aloo Bread Pakora Recipe</t>
  </si>
  <si>
    <t>8 Whole Wheat Brown Bread,1 cup Coriander (Dhania) Leaves,1 cup Mint Leaves (Pudina),1/4 cup Curry leaves,2 Green Chillies,1 inch Ginger - chopped,1/4 cup Roasted Peanuts (Moongphali),1 tablespoon Sugar,1 Lemon - juiced,1/4 cup Water,Salt - to taste,4 Potatoes (Aloo) - boiled and mashed,2 Onions - finely chopped,3 Green Chillies - finely chopped,2 teaspoons Cumin powder (Jeera),1 teaspoon Red Chilli powder,1/2 teaspoon Turmeric powder (Haldi),1 teaspoon Amchur (Dry Mango Powder),2 teaspoons Chaat Masala Powder,Coriander (Dhania) Leaves - small bunch,Salt - to taste,2 cups Gram flour (besan),1/4 cup Rice flour,2 teaspoons Ajwain (Carom seeds),1 teaspoon Red Chilli powder,1/2 teaspoon Turmeric powder (Haldi),1/4 teaspoon Asafoetida (hing),1/2 teaspoon Enos fruit salt,Salt - to taste,Water - as needed,Sunflower Oil - for deep frying</t>
  </si>
  <si>
    <t xml:space="preserve">To begin making the Aloo Bread Pakora Recipe, first we will make the Green Chutney. Into a mixer grinder add the coriander leaves, mint leaves, curry leaves, roasted peanuts, lemon juice, sugar, salt to taste and water. Blend to make a smooth chutney. Transfer into a bowl and keep aside. Next we will make the Potato filling. Into a large bowl add the boiled and mashed potatoes, onions, green chillis, red chili powder, turmeric powder,cumin powder, amchur powder, chaat masala, salt to taste and coriander leaves. Mix well to combine. Keep it aside.Now we will make the Pakora Batter. In a mixing bowl, add besan flour, rice flour, salt, red chili powder, turmeric powder, asafoetida, enos fruit salt, ajwain and salt to taste. Add  little water at a time and mix well to make a lump free flowing batter. The batter has to be thick enough to evenly coat the back of the spoon. To make the Aloo Bread PakoraHeat oil in a deep fry pan. Place 2 bread slices on a flat surface. Smear some green mint chutney on both the slices. Spread aloo filling evenly over one slice. Place the second slice on top like a sandwich and press down gently to hold it together.  Trim the edges of the bread slices if you like and cut diagonally into a triangle. Now dip the stuffed bread sandwich into the batter making sure it is coated well on all the sides. Carefully drop into hot oil and fry the aloo bread pakora until golden brown and crisp on all sides.Once done transfer the Aloo Bread Pakora on an oil absorbent paper to drain excess oil and serve hot.Serve Aloo  Bread Pakora Recipe with Dhaniya Pudina Chutney and a cup of hot Masala Chai for breakfast or tea time snack.
</t>
  </si>
  <si>
    <t>https://www.archanaskitchen.com/crispy-aloo-bread-pakora-recipe-roz-ka-khana-with-figaro-olive-oil</t>
  </si>
  <si>
    <t>Achari Kaddu Ki Sabzi Recipe</t>
  </si>
  <si>
    <t>500 grams Kaddu (Parangikai/ Pumpkin) - cut into 1 inch cubes,1 inch Ginger - finely chopped,1 teaspoon Garlic - finely chopped,1/4 teaspoon Methi Seeds (Fenugreek Seeds),1/2 teaspoon Mustard seeds,1 teaspoon Fennel seeds (Saunf),1 teaspoon Cumin seeds (Jeera),1/4 teaspoon Kalonji (Onion Nigella Seeds),1 pinch Asafoetida (hing),2 Green Chillies - slit,1 teaspoon Red Chilli powder,1 teaspoon Amchur (Dry Mango Powder),1 teaspoon Turmeric powder (Haldi),1 teaspoon Garam masala powder,Sunflower Oil,Salt - to taste,1 teaspoon Punjabi style mango pickle - use only the masala and not the pieces,2 sprig Coriander (Dhania) Leaves - finely chopped</t>
  </si>
  <si>
    <t xml:space="preserve">To begin making the Achari Kaddu Ki Sabzi, combine the pumpkin along with 1.4 cup of water and salt and pressure cook for 1 whistle. Turn off the flame. Drain the remaining water and transfer the pumpkin into a bowl. Heat a skillet with oil on medium flame, add the mustard seeds, fenugreek seeds, fennel seeds, onion seeds and cumin seeds, allow them to sizzle.  Add a pinch of asafoetida, then add the ginger, garlic and green chilli and saute for few seconds Sprinkle some salt, and add the other masalas- red chilli powder, amchur powder, turmeric powder and garam masala. Add in only the masala/gravy from the Punjabi pickle. Finally add in the cooked pumpkin cubes, coriander leaves and give Achari Kaddu Ki Sabzi a good stir. Serve the Achari Kaddu Ki Sabzi Recipe along with Phulka and Dal Banjara Recipe - Langar Wali Dal by the side to enjoy your lunch meal.
</t>
  </si>
  <si>
    <t>https://www.archanaskitchen.com/achari-kaddu-ki-sabzi-recipe</t>
  </si>
  <si>
    <t>One Pot Butter Chicken Khichdi Recipe</t>
  </si>
  <si>
    <t>2 tbsp butter, 1 bay leaf, 4 whole black pepper, 1 tsp cumin seeds, 1 cardamom, 2 cloves, 1 star anise, 1 inch cinnamon, 2 inch ginger - finely chopped, 2 green chilies - cut lengthwise, 6 cloves garlic - crushed, 1 onion - thinly sliced, 1 tomato - finely chopped, ¼ cup curd, ¼ cup tomato puree, 1 cup chicken breast - cut lengthwise, 2 tsp kasuri methi, salt - according to taste, 2 tsp red chili powder, 2 tsp tandoori chicken masala, 2 tsp cumin powder, 1 cup rice - washed and soaked in water, 3 1/2 cups water, 2 tsp garam masala powder, coriander leaves - finely chopped, mint leaves - finely chopped</t>
  </si>
  <si>
    <t xml:space="preserve">To make One Pot Butter Chicken Khichdi recipe, first wash the chicken thoroughly and chop it. Now heat butter in a pressure cooker on low flame. Add bay leaves, cumin seeds, cardamom, star anise, cloves, cinnamon and mix well. After 1 minute add ginger, garlic, green chilies and cook for 1 minute. Now add onions and cook till they become soft. After onions become soft add tomatoes, tomato puree and let it cook for 3 to 4 minutes. Now add red chili powder, tandoori chicken masala powder, garam masala powder, coriander powder and let it cook for 2 to 3 minutes. Now add curd, chicken and cook for 3 to 4 minutes. After 4 minutes add rice, water as per requirement, coriander, mint, mix and close the cooker. Cook till 3 whistles and turn off the gas. Let the pressure release automatically. Open the cooker, take it out in a bowl and serve. One Pot Butter Chicken Khichdi Serve the recipe with Burani Raita and Papad for your dinner.
</t>
  </si>
  <si>
    <t>https://www.archanaskitchen.com/delicious-one-pot-butter-chicken-khichdi-recipe-in-hindi</t>
  </si>
  <si>
    <t>Veg Makhanwala Recipe - North Indian Mixed Vegetables Gravy</t>
  </si>
  <si>
    <t>1 tablespoon Butter,Salt - to taste,1/4 cup Carrot (Gajjar) - cut into 1 inch diagonals,1/4 cup Green Bell Pepper (Capsicum) - cut into 1 inch diagonals,1/4 cup Green beans (French Beans) - cut into 1 inch diagonals,1/4 cup Baby corn - cut into 1 inch diagonals,1/4 cup Cauliflower (gobi) - small florets,1 tablespoon Butter,2 Cloves (Laung),1 Cardamom (Elaichi) Pods/Seeds,1 inch Cinnamon Powder (Dalchini),2 Kashmiri dry red chilli,1 teaspoon Coriander seeds,1/2 teaspoon Whole Black Pepper Corns,6 Cashew nuts,5 cloves Garlic,1 inch Ginger,1 Green Chilli,2 Onions - finely chopped,Salt - to taste,1 teaspoon Kashmiri Red Chilli Powder,1/4 teaspoon Turmeric powder (Haldi),1 teaspoon Cumin powder (Jeera),1 teaspoon Garam masala powder,1 cup Homemade tomato puree,2 tablespoons Fresh cream,Butter - to serve</t>
  </si>
  <si>
    <t xml:space="preserve">To begin making Veg Makhanwala Recipe, firstly clean and heat a skillet with butter on medium flame, add all the vegetables - carrot, capsicum, babycorn, beans and cauliflower. Stir fry for about 5 minutes until the veggies are cooked yet have a bite and crunch to it. Turn off the flame and set aside. Heat butter in a heavy bottom pan over medium heat, add the cinnamon, cloves, cardamom, black pepper, whole dry red chillies, coriander seeds and cashew nuts. Saute for a few seconds, until the aroma wafts in the air.  At this stage add garlic, ginger, green chilli, onions and continue to cook. Once the onions turn into a lovely brown colour. Turn off the heat. Once cooled transfer to a mixer jar and grind to a smooth paste adding a few spoons of water, if required. Transfer the paste into a bowl and set aside. Heat a kadai with the butter on medium flame, add the dry spice powders into this warm butter - salt,  turmeric powder, red chilli powder, cumin powder, garam masala powder and give it a good mix.Now add the freshly ground masala into the kadai, cover and cook for 3-4 minutes. To this, add in the tomato puree and bring it to a brisk boil. The Veg Makhanwala gravy will begin to bubble, now add in the cream, and give it a good stir. Add the sauteed veggies into the bubbling Veg Makhanwala gravy, cover and continue to cook. Cover the kadai and cook the Veg Makhanwala on low flame for five minutes and switch off the heat. Once done, check the salt and spices and adjust to suit your taste. Adjust the consistency of the Veg Makhanwala gravy with some milk.Transfer the Veg Makhanwala to a serving bowl, top with butter and serve hot.Serve Veg Makhanwala Recipe with Creamy Dal Makhani Recipe ,Tawa Paratha and Boondi Raita Recipe Spiced With Black Salt  for a special party or a weekend dinner. You can end this delicious North Indian meal with Rich &amp; Delicious Shahi Tukda Recipe.
</t>
  </si>
  <si>
    <t>http://www.archanaskitchen.com/veg-makhanwala-recipe-north-indian-mixed-vegetables-gravy</t>
  </si>
  <si>
    <t>Aloo Matar Pudina Tikki Recipe</t>
  </si>
  <si>
    <t>1 cup green peas - steam, 3 potatoes - boil and peel, 2 sweet potatoes - boil and peel, 1 teaspoon ginger - grate, 2 green chillies - finely chopped, 1 onion - finely chopped, 2 tablespoons green chutney, 1 teaspoon corn flour, 3/4 cup bread crumbs, oil - as per requirement, salt - as per taste</t>
  </si>
  <si>
    <t>"To make Aloo Matar Pudina Tikki Recipe, first of all add potatoes, sweet potatoes, green peas, ginger, green chillies, onions, green chutney, salt, corn flour in a food processor and grind it. Mix well once in between and grind again. Now take out this mixture in a bowl. Apply some oil on your palm and make kebabs. Then dip these kebabs in bread crumbs and put them on skewers. Place them on a baking tray and place them in a preheated oven for grilling. Grill at 200 C for 15 minutes. Serve. Serve Aloo Matar Pudina Tikki Recipe with Green Chutney and Tamarind Chutney. Serve it with a cup of ginger tea."</t>
  </si>
  <si>
    <t>https://www.archanaskitchen.com/aloo-matar-pudina-tikki-recipe-in-hindi</t>
  </si>
  <si>
    <t>Soya Keema Aloo Paratha Recipe</t>
  </si>
  <si>
    <t>1-1/2 cups Whole Wheat Flour,1/4 cup Bajra Flour ( Pearl Millet),1/4 cup Jowar Flour (Sorghum),Salt - to taste,1 teaspoon Sunflower Oil,1 cup Soy Chunks (Nuggets) - soaked and minced,3 Potatoes (Aloo) - boiled and mashed,1 Onion - finely chopped,2 Green Chillies - finely chopped,1/2 teaspoon Red Chilli powder,1 teaspoon Garam masala powder,1 teaspoon Amchur (Dry Mango Powder),Mint Leaves (Pudina) - small bunch,Salt - to taste,Ghee - as needed</t>
  </si>
  <si>
    <t xml:space="preserve">To begin making the Soya Keema Aloo Paratha Recipe we will first cook the soak the soya granules for about 20 minutes in hot water. Once soaked and soft, strain the excess water out using a strainer.Using a turbo chop, blend the soya to get a soya mince - this will be your soya keema.Take a bowl , add the flours, salt and add little water at a time and knead to make soft and firm dough. Add a little oil on the top to make the dough smooth and non sticky.Take a heavy bottomed pan or kadai and add oil. Add the onions and saute until it becomes soft. Add the green chilies and stir fry for a few seconds.Add the soya keema and salt and stir fry for a few minutes until all the water evaporates.Once done, Add the potatoes, red chilli powder, garam masala powder, amchur powder and mint leaves.Turn off the heat and mix Soya Keema Aloo Paratha filling mixture well.Check the salt and adjust according to taste.Divide the paratha dough into 6 equal portions.Dust the portion of the dough in flour and roll into a 3 inch diameter circle.Place a tablespoon of the Soya Keema Aloo Paratha stuffing in the center and brings the edges of the dough towards the center to seal the stuffing.Flatten the Soya Keema Aloo Paratha, dust in flour again and roll to make a thick paratha (flatbread).Repeat this procedure with the remaining parathas and keep aside.Heat a skillet over medium heat and place the stuffed Soya Keema Aloo Paratha over the skillet, drizzle ghee and cook on both sides until browned and crisp. Serve the Soya Keema Aloo Paratha along with a bowl of Paka Kela Anar Raita for breakfast or dinner.
</t>
  </si>
  <si>
    <t>https://www.archanaskitchen.com/soya-kheema-paratha-recipe-spicy-soy-granules-flat-bread</t>
  </si>
  <si>
    <t>Chatpata Lobia Chaat Recipe - Healthy Black Eyed Bean Snack</t>
  </si>
  <si>
    <t>2 cups Black Eyed Beans (Lobia) - soaked for 4 hours,2 Tomatoes - finely chopped,2 Onions - finely chopped,1 Cucumber - finely chopped,3 Green Chillies - finely chopped,3 sprig Coriander (Dhania) Leaves - finely chopped,2 teaspoons Chaat Masala Powder,1/2 teaspoon Amchur (Dry Mango Powder),1/2 tablespoon Lemon juice,Salt - to taste</t>
  </si>
  <si>
    <t xml:space="preserve">To begin making Chatpata Lobia Chaat Recipe, soak the black eyed beans for 4 hours.Pressure cook the lobia along with a little salt for about 25 to 30 minutes and keep aside. Click here to know How To Cook Legumes in a Pressure Cooker.In a Salad Mixing Bowl, add boiled and cooled lobia/ black eyed beans. Make sure that the lobia are drained and no additional water is present. Add chopped onion, tomato, and cucumber to it.Season the Lobia Chaat with chopped green chilies, freshly chopped coriander leaves, chaat masala, dry mango power and lemon juice. Add salt to taste.Finally toss the Lobia Chaat well. Adjust the salt and chaat masala to suit your taste. You can make the Lobia Chaat spicier by adding more chopped green chilies and serve chilled.Serve the Lobia Chaat as an a healthy snack or even as an appetizer for parties along with Mixed Vegetable Pulao Recipe, Paneer Jalfrezi Recipe, Mint And Pomegranate Raita Recipe and Boondi Ki Kheer Recipe
</t>
  </si>
  <si>
    <t>https://www.archanaskitchen.com/chatpata-lobia-chaat-recipe-healthy-black-eyed-bean-snack</t>
  </si>
  <si>
    <t>Indori Poha Recipe</t>
  </si>
  <si>
    <t>2-1/2 cup Poha (Flattened rice),2 tablespoons Sunflower Oil,1 teaspoon Mustard seeds,1/2 teaspoon Cumin seeds (Jeera),1 teaspoon Fennel seeds (Saunf),1 tablespoon Raw Peanuts (Moongphali),1 Onion - chopped,1/2 teaspoon Ginger - grated,2 Green Chillies - finely chopped,7-8 Curry leaves,1/2 teaspoon Turmeric powder (Haldi),1/2 teaspoon Red Chilli powder,Salt - to taste,1 tablespoon Sugar,2 tablespoons Coriander (Dhania) Leaves - finely chopped,1 Onion - chopped,1/4 cup Fresh Pomegranate Fruit Kernels</t>
  </si>
  <si>
    <t xml:space="preserve">To begin making Indori Poha, wash poha 3 times, drain the water completely and set it aside. Once the water is completely drained off, add sugar and salt to the poha and mix it properly. be gentle so as to not to break the soaked poha.Heat oil in a kadhai, add mustard seeds and once they start to splutter add peanuts and saute them for a minute until peanuts start to brown.Once done add onions, green chilies and curry leaves and cook it until the onions turns a little brown.Next add fennel seeds, grated ginger, turmeric powder, red chilli Powder and saute it for few seconds.Add the poha and mix everything well. Cover the Kadai with a lid and cook on low heat for 5 minutes.After 5 minutes turn off the heat and garnish the poha with chopped coriander leaves, onions and pomegranates and serve hot.Serve Indori Poha with some fruits and Masala Chai for your breakfast.
</t>
  </si>
  <si>
    <t>http://www.archanaskitchen.com/indori-poha-recipe</t>
  </si>
  <si>
    <t>Singhara Atta Cheela Recipe (No Onion No Garlic Navratri Fasting/Vrat Recipe)</t>
  </si>
  <si>
    <t>3/4 cup Singoda Flour (Water Chestnut),1 Green Chilli - chopped,1/2 tablespoon Coriander (Dhania) Leaves - finely chopped,2 teaspoon Cumin powder (Jeera),1/2 teaspoon Turmeric powder (Haldi),2 teaspoon Black pepper powder - coarsely crushed,Rock Salt - or salt to taste,Ghee - or oil for cooking</t>
  </si>
  <si>
    <t xml:space="preserve">We begin making the Singhara Atta Cheela Recipe (No Onion No Garlic Navratri Fasting/Vrat Recipe) by taking a mixing bowl and adding all the ingredients.Mix the ingredients with enough water till you get a pouring consistency.Heat a Flat non-stick pan and add one ladle of the batter and spread little using the back of the ladle. Do not spread too much as it will get stuck to the pan. Swirl the pan so the cheela batter spreads on its own.Add a teaspoon of oil or ghee and sprinkle with sesame seeds and cook on both the sides for 2 minutes till it is done.Serve your hot Singhara Atta Cheela with Apple Tamatar Ki Subzi or Coconut Peanut Chutney.
</t>
  </si>
  <si>
    <t>http://www.archanaskitchen.com/singhara-atta-cheela-recipe-no-onion-no-garlic-navratri-fasting-vrat-recipe</t>
  </si>
  <si>
    <t>Bhopali Style Gosht Ka Pulao Recipe</t>
  </si>
  <si>
    <t>2 cups Basmati rice,250 grams Mutton,1 Onion,4 cloves Garlic,1 inch Ginger,3 Green Chillies,1/2 cup Curd (Dahi / Yogurt) - (sour curd),1 Bay leaves (tej patta),2 Black cardamom (Badi Elaichi),2 Cardamom (Elaichi) Pods/Seeds,1/2 teaspoon Mace powder,3 Whole Black Peppercorns,1/2 teaspoon Black pepper powder - freshly crushed,1/2 inch Cinnamon Stick (Dalchini),Mint Leaves (Pudina) - few,1/2 tablespoon Coriander Powder (Dhania),1/2 teaspoon Red Chilli powder,Coriander (Dhania) Leaves - few,Sunflower Oil - as required,1 tablespoon Ghee</t>
  </si>
  <si>
    <t xml:space="preserve">To begin making the Bhopali Style Gosht Ka Pulao recipe, wash and rinse rice well. Soak in clear water and set aside for minimum one hour before cooking.In a large thick bottomed vessel, heat oil and add bay leaf, black cardamom, cardamom pods, mace powder, whole black pepper corns and cinnamom stick. Let it cook for about 30 seconds.After 30 seconds, add chopped ginger, garlic and saute for a while.Add chopped onions and saute till translucent and raw smell disappears. Meanwhile add green chilies as well. Let t cook for about 2 minutes. Next, add the mutton pieces and mix well on high flames. Let it be on high till the moisture evaporates well. Cook it for about 3 to 4 minutes.Now add sour curd and crushed mint and mix nicely such that everything gets incorporated well.As soon as you find curd leaving water from sides, turn the flames to low. Close the lid and allow it to cook till mutton gets almost 80% tender.Once the mutton is semi cooked, add red chili powder, coriander powder, black pepper powder and some more dry mint. Mix well.Fry everything till oil starts leaving from sides. You may adjust oil if required.Add soaked rice, and fry again for couple of minutes.Now add water till the surface of the rice or double the quantity of rice. (Ex - If you take 10 cups rice then add 20 cups of water)Adjust salt as needed and stir well. Keep the flames high till you get a boil.Simmer the flames and let the rice cook with lid partially closed.Once the rice is cooked, turn off the gas and add ghee all over. Garnish with fresh coriander and serve hot.Serve Bhopali Style Gosht Ka Pulao along with Tomato Onion Cucumber Raita, Tadka Raita or any other Raita of your choice.
</t>
  </si>
  <si>
    <t>https://www.archanaskitchen.com/bhopali-style-gosht-ka-pulao-recipe</t>
  </si>
  <si>
    <t>Chotti Aloor Dum Recipe - Baby Potatoes In Tomato Gravy</t>
  </si>
  <si>
    <t>15 Baby Potatoes,2 Tomatoes,1 teaspoon Cumin powder (Jeera),1-1/2 teaspoon Red Chilli powder,1/2 teaspoon Coriander Powder (Dhania),1/4 teaspoon Turmeric powder (Haldi),1 tablespoon Sunflower Oil,1/2 teaspoon Salt,2 Cloves (Laung),2 Cardamom (Elaichi) Pods/Seeds,1 inch Cinnamon Stick (Dalchini),250 ml Water</t>
  </si>
  <si>
    <t xml:space="preserve">To begin making the Chotti Aloor Dum recipe, In a pressure cooker, boil baby potatoes with a pinch of salt for about 2 whistles.Once the pressure is released, remove the skin from the potatoes and set it. In a blender, add chopped tomatoes and grind them into a fine paste.In a heavy bottomed pan, add oil and heat over medium flame.Add cardamom, cloves and cinnamon stick to the oil and roast them for few seconds. Now, add baby potatoes and toss them evenly in the oil.Gently add the tomato puree followed by cumin powder, red chilli powder, coriander powder and turmeric powder.Combine them well and add a glass of water to the mixture.Cook them on a medium flame stirring them occasionally until the potatoes are blended well with the spices.Season the gravy with the required amount of salt.Remove the gravy from the flame and serve hot. Chotti Aloor Dum is a versatile dish and can be served along with Bengali Luchi and Boondi Raita for a delicious meal.
</t>
  </si>
  <si>
    <t>https://www.archanaskitchen.com/chotti-aloor-dum-recipe-baby-potatoes-in-tomato-gravy</t>
  </si>
  <si>
    <t>1 cup Mooli/ Mullangi (Radish) - chopped,3 cups Mooli Ke Patte (Radish Greens) - chopped,4 Green Chillies,2 tablespoons Mustard oil,1 teaspoon Mustard seeds,3/4 teaspoon Ajwain (Carom seeds),1/4 teaspoon Asafoetida (hing),1/2 teaspoon Turmeric powder (Haldi),1/2 teaspoon Amchur (Dry Mango Powder),Salt - to taste</t>
  </si>
  <si>
    <t xml:space="preserve">To begin making the Mooli Bhurji Recipe, wash radish and the leaves. Scrap and finely chop the radish. Chop fresh leaves too.Heat oil in a wok, add mustard seeds and when it splutters add carom seeds, asafoetida, turmeric powder and green chillies.Next add the chopped radish and the green leaves. Add some salt and saute. Continue cooking on medium flame stirring in between.After some time you will observe that the veggies have started leaving water. Continue stirring the vegetables till they are cooked and water has evaporated .Finally, add amchur powder, mix and switch off the stove.Serve Mooli Bhurji along with Panchmel Dal and Phulkas for a weekday meal with your family.
</t>
  </si>
  <si>
    <t>http://www.archanaskitchen.com/mooli-bhurji-recipe</t>
  </si>
  <si>
    <t>Amritsari Gobi Matar Recipe (Punjabi Style Creamy Cauliflower and Peas Curry)</t>
  </si>
  <si>
    <t>1 Cauliflower (gobi) - cut into florets,1/2 cup Green peas (Matar),1/8 teaspoon Turmeric powder (Haldi),1/2 teaspoon Coriander Powder (Dhania),1 teaspoon Red Chilli powder,1/2 teaspoon Garam masala powder,2 Onions,4 Tomatoes,2 Green Chillies,4 cloves Garlic,1/2 inch Ginger,20 Badam (Almond) - soak in warm water for 15 minutes and peel the skin,15 Cashew nuts,1 tablespoon Sunflower Oil,1/2 teaspoon Cumin seeds (Jeera),Coriander (Dhania) Leaves - few sprigs</t>
  </si>
  <si>
    <t xml:space="preserve">To begin making the Amritsari Gobi Matar recipe, grind the ingredients given under ‘for the gravy’ into a puree using a mixer grinder.Grind the soaked and peeled almonds and cashews into a cream by adding 1/4 cup of water. You can adjust the consistency while grinding.Heat a pan/wok with oil and temper with cumin seeds. Add the puree, turmeric powder, chilli powder, dhania powder, salt and cook over low flame for 5 to 7 minutes.Now add the cauliflower, peas and mix well. Add 1/2 cup water (adjust) and cook them covered till the cauliflower is just done and soft but not mushy.Add the garam masala powder and stir in the almond cashew cream and let it come to a boil.Switch off, garnish with cilantro leaves and serve hot. Serve Amritsari Gobi Matar along with Pudina Tawa Paratha for a delicious weekday lunch or dinner.
</t>
  </si>
  <si>
    <t>https://www.archanaskitchen.com/amritsari-gobi-matar-recipe-punjabi-style-creamy-cauliflower-and-peas-curry</t>
  </si>
  <si>
    <t>Methi Moong Dal Recipe - Healthy Diabetic Friendly Recipe</t>
  </si>
  <si>
    <t>1 cup Methi Leaves (Fenugreek Leaves) - finely chopped,1/2 cup Yellow Moong Dal (Split),1 tablespoon Ghee,4 cloves Garlic - finely chopped,1/2 Cumin seeds (Jeera),1/4 tablespoon Turmeric powder (Haldi),1/2 teaspoon Red Chilli powder,Salt - to taste,1 tablespoon Lemon juice,1 teaspoon Sugar - optional</t>
  </si>
  <si>
    <t xml:space="preserve">To begin making the Methi Moong Dal Recipe, Pressure cook the moong dal along with salt, turmeric powder, 1 cup of water for 3 to 4 whistles and turn off the heat. Allow the pressure to release naturally. Wash chopped fenugreek leaves, drain and keep aside.Heat oil in a pan over medium flame. Add minced garlic and let them turn into golden brown. After that add cumin seed and sauté them pop.Now add methi leaves and saute for about a minute and the leaves will wilt down. Stir in the cooked moong dal, salt and sugar and add a little water to adjust the consistency of the Methi Moong dal. Check salt and spices and give it a brisk boil. Heat ghee in a pan; add the cumin seeds and red chilli powder. Pour this tadka over the Methi Moong Dal Recipe and stir. Transfer the Methi Moong Dal Recipe to a serving bowl and serve hot.Serve Methi Moong Dal Recipe along with Khooba Roti and Tomato Onion Cucumber Raita for a weekday meal.
</t>
  </si>
  <si>
    <t>http://www.archanaskitchen.com/methi-moong-dal-recipe-healthy-diabetic-friendly-recipe</t>
  </si>
  <si>
    <t>Green Beans Egg Scramble Recipe</t>
  </si>
  <si>
    <t>3 eggs, 300 grams green beans - chopped, 1 teaspoon cumin seeds, 1/2 teaspoon turmeric powder, 1 teaspoon black pepper powder, 1 green chilli - chopped, salt - according to taste, oil</t>
  </si>
  <si>
    <t xml:space="preserve">To make Green Beans Egg Scramble Recipe, first heat oil in a saucepan. Add cumin seeds and let them crackle. After the cumin seeds crackle, add green beans, salt and cook till the beans become soft. After the beans are cooked, add eggs slowly and keep mixing. Now add turmeric powder, black pepper powder, green chillies, salt and keep mixing. Cook for 3 to 4 minutes or till the eggs are cooked well. Serve Green Beans Egg Scramble Recipe with Bread Toast and Filter Coffee for breakfast.
</t>
  </si>
  <si>
    <t>http://www.archanaskitchen.com/green-beans-egg-scramble-recipe-in-hindi</t>
  </si>
  <si>
    <t>Tadkewali Masoor Dal Khichdi Recipe With Garlic &amp; Onions</t>
  </si>
  <si>
    <t>1 cup Rice - washed and soaked,3/4 cup Masoor Dal (Whole),1 Tomato - chopped,2 inch Ginger - chopped,1 Bay leaf (tej patta),1 teaspoon Turmeric powder (Haldi),2 Green Chillies - chopped,Salt - to taste,2 tablespoons Ghee,2 teaspoons Cumin seeds (Jeera),2 Dry Red Chillies,6 cloves Garlic - chopped,2 Onions - thinly sliced,Salt - to taste,1/3 cup Coriander (Dhania) Leaves - chopped</t>
  </si>
  <si>
    <t xml:space="preserve">To begin making the Tadkewali Masoor Dal Khichdi Recipe With Garlic &amp; Onion, heat a pressure cooker on medium flame, add the masoor dal, rice, tomato, ginger, green chilies, turmeric powder, salt and bay leaf.Add 4 cups of water and pressure cook the Masoor Dal Khichdi for 4 whistles and turn off the heat.Allow the pressure to release naturally. Set asideIn a kadai, heat ghee on medium flame, add cumin seeds and red chilies, let them sizzle.Next add the chopped garlic and fry till it turns brown, this will take 2-3 minutes.Once the garlic is fried, add in the thinly sliced onions and saute for about 5 minutes until it gets caramelized. Turn off the flame, mix in the coriander leaves and set aside.Open the pressure cooker give the Masoor Dal Khichdi good stir.  Transfer the Masoor Dal Khichdi into a serving platter and spoon the Garlic and Onion Tadka to the Masoor Dal Khichdi. Serve this Tadkewali Masoor Dal Khichdi Recipe With Garlic &amp; Onion along with Pudina &amp; Dhaniya Raita Recipe and Aam Ka Achaar Recipe for a simple comforting weeknight dinner.
</t>
  </si>
  <si>
    <t>https://www.archanaskitchen.com/lehsun-pyaaz-tadkewali-masoor-dal-khichdi-recipe</t>
  </si>
  <si>
    <t>Kesar Malai Doodh Recipe</t>
  </si>
  <si>
    <t>1 liter Milk,1 teaspoon Cardamom Powder (Elaichi),10 Saffron strands,2 tablespoons Cashew nuts - powdered,3 tablespoon Sugar,Saffron strands - as required for garnishing,Dried rose petals - as required for garnishing,Dry Fruits - silver</t>
  </si>
  <si>
    <t xml:space="preserve">To begin making the Kesar Malai Doodh Recipe, heat milk in a heavy bottom pan and add saffron strands, cardamom powder and cashew nut powder into the milk.When the milk comes to a rolling boil, turn the heat to low and simmer the milk for 3-4 minutes.Turn off the heat and allow the cream collect on top of the boiled milk.Gently remove the cream and store it in a container.Heat the milk again and simmer for another 3-4 minutes.Again turn off the heat and allow the cream collect on top. Once again remove the cream and add it into the previous cream. Repeat this process 2-3 times.To serve the Kesar Malai Doodh, pour the milk from a little height into a tall steel glass and spoon the collected cream over the milk. Garnish with saffron strands, dried rose petals and dry fruits slivers. Serve hot.Serve Kesar Malai Doodh during winter evenings with a side of Jalebis for a tasty treat. This is a famous dessert, especialyy in Rajasthan, Gujarat and Punjab and is also served in weddings during winters.
</t>
  </si>
  <si>
    <t>https://www.archanaskitchen.com/kesar-malai-doodh-recipe</t>
  </si>
  <si>
    <t>Delicious Methi Chicken Curry - Murgh Methi Curry Recipe</t>
  </si>
  <si>
    <t>300 grams Boneless chicken - cut into pieces,1 cup Methi Leaves (Fenugreek Leaves) - roughly chopped,3 Onions - finely sliced,2 Tomatoes - finely chopped,1 cup Curd (Dahi / Yogurt),10 cloves Garlic,2 inch Ginger,2 Green Chillies,1/4 cup Coriander (Dhania) Leaves,1 teaspoon Turmeric powder (Haldi),1 teaspoon Red Chilli powder,1 teaspoons Garam masala powder - adjustable,2 teaspoons Coriander Powder (Dhania),2 teaspoons Kasuri Methi (Dried Fenugreek Leaves),1 tablespoon Sunflower Oil - to fry the onions,1 teaspoon Sunflower Oil,2 Cloves (Laung),1 inch Cinnamon Stick (Dalchini),2 Cardamom (Elaichi) Pods/Seeds,1 teaspoon Whole Black Peppercorns,1 Bay leaves (tej patta),Coriander (Dhania) Leaves - finely chopped</t>
  </si>
  <si>
    <t xml:space="preserve">To begin making Methi Chicken Curry recipe, firstly clean the chicken and wash thoroughly in sufficient water. Drain the water from chicken and cut into medium sized pieces. Keep them aside.Add garlic, ginger, green chillies and the coriander leaves into a mixer grinder and grind them into a paste using very little water. Keep it aside.Take a bowl and add curd, half of the green paste that we made above and half of the turmeric powder. Mix it well. Next add the chicken pieces into the bowl and coat the chicken with this coriander, ginger and garlic mixture. Once it is done, keep the chicken aside to marinate for about an hour. The next step is to make the gravy for the methi chicken curry.Heat oil in a heavy bottomed pan over medium heat.Once the oil is hot, add the sliced onions and saute adding a pinch salt to speed up the caramelization (browning). Keep stirring on low to medium heat constantly till the onions are lightly browned.The caramelised onions impart a delicious flavour to the Methi Chicken Curry.Turn off the heat and keep these onions aside to cool down a bit. When cooled down, grind to a fine paste in a mixer grinder.Heat oil into the same pan over medium heat. Add the whole spices mentioned for tempering which includes cloves, cinnamon stick, cardamom, black peppercorn and bay leaves. Saute until the aromas of the spices wafts in the air. Next add the remaining green coriander paste, the caramelized onion paste and stir for a couple of minutes. Now add the remaining turmeric powder and the chopped tomatoes. Saute and cover the pan with a lid and cook until the tomatoes turn soft.Once the tomatoes are soft, add the red chilli powder, coriander powder, garam masala powder and mix well. Add the chopped methi leaves and saute till the leaves become soft.At this stage, add the marinated chicken with the entire marinade and saute on high flame for 2 to 3 minutes.When the chicken changes colour, add a cup of water and bring the mixture to a boil. Add salt to taste. Cover and cook the Methi Chicken Curry on medium heat stirring occasionally. It will take about 20 minutes to cook the chicken to perfection.When the chicken is fully cooked, add the kasuri methi and check seasoning. Adjust salt and other spices if desired. Cook uncovered on high flame for a few more minutes to thicken the Methi Chicken gravy.Once the gravy thickens, turn off the heat, transfer to a serving bowl and garnish it with coriander leaves.Serve Methi Chicken Curry Recipe along with Tawa Paratha, Tomato Onion and Cucumber Raita and Jeera Rice for a weekend dinner along with your friends and family.
</t>
  </si>
  <si>
    <t>https://www.archanaskitchen.com/delicious-methi-chicken-curry-murgh-methi-curry-recipe</t>
  </si>
  <si>
    <t>North Indian Sooji Halwa Recipe</t>
  </si>
  <si>
    <t>1 cup Sooji (Semolina/ Rava),1/2 cup Ghee,3/4 cup Sugar,1 cup Milk,2 cups Water,1 teaspoon Cardamom Powder (Elaichi),2 Saffron strands - strands,1 tablespoon Ghee,10 Cashew nuts - halved,2 tablespoons Raisins</t>
  </si>
  <si>
    <t xml:space="preserve">To begin making the Sooji Ka Halwa Recipe, we will first begin by boiling the water, milk, sugar, saffron and cardamom in a sauce pan and stirring until the sugar melts. Keep the liquid mixture aside on simmer in another stove.In wide heavy bottomed pan heat ghee on medium heat; add the semolina (rava/sooji) and roast until the semolina gives out a roasted aroma and also turns light golden brown color. Take care not to let it over brown.Gradually begin to stir in the hot liquid mixture you prepared earlier. Take care to keep the heat in medium as the mixture will splutter around as you pour the hot liquid to the semolina.Keep stirring the mixture and the semolina will continue to thicken. Once it has thickened it will begin to leave the sides of the pan. Cover the pan and simmer for a couple of minutes stirring occasionally.You will notice the sooji is cooked and when you stir the whole mixture comes away from the sides of the pan. At this stage, turn off the heat, cover the pan with a lid and let the sooji ka halwa to rest for a few minutes.In another small pan; heat the ghee on medium heat; add the cashew nuts and raisins and roast them until the cashew nuts turn golden brown.Turn off heat and stir this to the Sooji HalwaServe the Sooji Halwa along with Puri and Amritsari Chole With Kala Chana for a simple and delicious Sunday lunch.
</t>
  </si>
  <si>
    <t>https://www.archanaskitchen.com/north-indian-sooji-halwa-recipe</t>
  </si>
  <si>
    <t>Methi &amp; Soya Chunks Dry Sabzi Recipe</t>
  </si>
  <si>
    <t>1 cup soya chunks - soak in hot water, 1 cup fenugreek - wash and chop finely, 1 tomato, 1 onion, 2 teaspoons oil, 1/2 teaspoon mustard, 1/2 teaspoon turmeric powder, 2 teaspoons red chili powder, 1 teaspoon cumin powder, 1 teaspoon coriander powder, 1 teaspoon garam masala powder, salt - according to taste</t>
  </si>
  <si>
    <t>"To make Methi Soya Chunks Sabzi Recipe, first take hot water in a bowl. Add soya chunks and let it rest for 20 minutes. After 20 minutes, drain the water and keep it aside. Now heat oil in a pan, add mustard seeds and let it crackle. Now add onions and cook till they turn golden brown. After this add tomatoes and cook till they turn soft. Add fenugreek, mix it and cover the pan and cook for 2 minutes. Now add turmeric powder, red chili powder, cumin powder, coriander powder, garam masala powder and mix it. After 2 minutes add soya, mix it and cook for 2 minutes. Serve Methi Soya Chunks Sabzi Recipe with Palak Daal, Boondi Raita and Phulkas for lunch."</t>
  </si>
  <si>
    <t>https://www.archanaskitchen.com/methi-soya-chunks-dry-sabzi-recipe-in-hindi</t>
  </si>
  <si>
    <t>Murg Anardana Recipe - Pomegranate Chicken In Yogurt Gravy</t>
  </si>
  <si>
    <t>1 kg Boneless chicken - cut to bite size,1 tablespoon Ginger Garlic Paste - ginger garlic paste 1 tbsp,Salt - to taste,1 tablespoon Red Chilli powder,2 tablespoons Sunflower Oil,1 tablespoon Ghee,4 tablespoons Cashew nuts - ground to paste (we need 3 tablespoons of paste),1/2 tablespoon Khuskhus - ground to paste,3 tablespoons Curd (Dahi / Yogurt),4 tablespoons Homemade tomato puree,3 Onion - chopped,3 tablespoons Fresh cream,1 teaspoon Garam masala powder,1 teaspoon Cumin powder (Jeera),1 cup Fresh Pomegranate Fruit Kernels - blended</t>
  </si>
  <si>
    <t xml:space="preserve">To begin making Murg Anardana Recipe, first take a mixing bowl and marinate chicken with half of the ginger garlic paste mentioned, half of the chilli powder and salt. Let the chicken pieces marinate with these spices for about half an hour.Meanwhile, heat about 2 teaspoons oil in a kadai, add the chopped onions and saute till browned, on a medium high heat. Once the onions are browned, in a mixer grinder, grind it to a smooth paste. Keep aside.Also grind the pomegranate kernels and extract the juice This is optional-you can keep the pulp in juice. Keep aside.Once the chicken is marinated, take a large kadai and heat 1-1/2 tablespoons oil in it. Once the oil is hot, add all the marinated chicken pieces and saute for a few minutes till the chicken is a bit tender.Meanwhile in another kadai, add the remaining oil, ghee, ginger garlic paste and saute till the raw smell of the ginger garlic paste goes away.Once the raw smell disappears, add yogurt, tomato puree, browned onion paste, cumin powder, chilli powder, cashew nut paste, khus khus paste and garam masala. Let it cook till the curry come together and appears cooked.Now add the chicken and some water, let it cook till 3/4 done check on the spices and adjust.Add the pomegranate juice to the chicken in gravy and let it cook till completely done.Switch off heat, stir in fresh cream and you can optionally sprinkle more garam masala while serving.Serve Murg Anardana Recipe with Butter Garlic Naan Recipe (Garlic Flavoured Flat Bread) or Pudina Lahsun Laccha Paratha and serve it with Dahi Ke Kebab (Yogurt/Curd Fritters - Non Fried) for a wholesome lunch.
</t>
  </si>
  <si>
    <t>http://www.archanaskitchen.com/murg-anardana-recipe-pomegranate-chicken-in-yogurt-gravy</t>
  </si>
  <si>
    <t>Hariyali Tawa Fish Fry Recipe</t>
  </si>
  <si>
    <t>500 gram Fish - (rohu fish is used here),1/2 tablespoon Turmeric powder (Haldi),2 teaspoons Garam masala powder,1 Tablespoon Red Chilli powder,2 Tablespoon Coriander (Dhania) Leaves - chopped,1-1/2 tablespoons Mint Leaves (Pudina) - chopped,2 teaspoons Lemon juice,2 Green Chillies,3 cloves Garlic,1/2 Onion,1 Tablespoon Curd (Dahi / Yogurt),1 teaspoon Gram flour (besan),Sunflower Oil - to shallow fry,Salt - to taste</t>
  </si>
  <si>
    <t xml:space="preserve">To begin making Hariyali Tawa Fish Fry Recipe, get prep with all the ingredients first. You can clean the fish fillets.In a blender, blend coriander leaves, onions, mint leaves, green chillies, garlic cloves &amp; gram flour together with a little water to make a thick paste.Now take all the fish pieces in a wide mixing bowl. Add the ground masala paste, yogurt, lemon juice, salt, garam masala powder, turmeric powder, red chilli powder and mix everything well.Make sure that fish pieces are coated properly with this mixture. Let it marinate for 10 minutes.Once the fish is marinated, heat up some mustard oil on a shallow frying pan and place the marinated fish on it along with the masala. Fry it until it is cooked from both sides.Serve Hariyali Tawa Fish Fry Recipe and Dhaniya Pudina Chutney Recipe (Green Chutney) with Butter Garlic Naan Recipe (Garlic Flavoured Flat Bread), &amp; Creamy Butter Chicken Recipe or Dal Palak Recipe (Spinach And Lentil Curry) for a complete meal.
</t>
  </si>
  <si>
    <t>https://www.archanaskitchen.com/hariyali-tawa-fish-fry-recipe</t>
  </si>
  <si>
    <t>Masoor Dal Aur Rajma Masala Recipe</t>
  </si>
  <si>
    <t>1 cup Masoor Dal (Whole),1/2 cup Rajma (Large Kidney Beans),1 Onion,2 Tomatoes - pureed,1 Green Chilli - slit,1 inch Ginger,2 teaspoons Coriander Powder (Dhania),1 teaspoon Red Chilli powder,1 teaspoon Garam masala powder,1 inch Cinnamon Stick (Dalchini),1 teaspoon Cumin seeds (Jeera),1 teaspoon Ginger - juliennes for garnish,2 teaspoons Ghee - or clarified butter,Salt - to taste</t>
  </si>
  <si>
    <t xml:space="preserve">To begin making the Masoor Dal Aur Rajma Masala Recipe, wash and soak the lentils overnight and then pressure cook with water and little salt using a pressure cooker for 3 to 4 whistles and keep aside.Now, make a smooth paste of onion and ginger and keep aside.Heat ghee in a pan on medium heat, add the cinnamon stick, cumin seeds and let it splutter.Add in the onion and ginger paste and saute till it turns brown. Add the slit green chilli and tomato puree and saute for 2 minutes.Now, add the dry spices including coriander, red chilli and garam masala powder and saute for couple of minutes till the raw smell goes away.Add the cooked whole masoor dal and rajma to the pan, enough water to your your desired conistency, season with salt and let it simmer for 10 minutes on low flame.Once, the lentils are thick, switch off the flame and garnish with the ginger julienne's.Serve Masoor Dal Aur Rajma Masala Recipe along with Roti's or Steamed Rice for the weeknight dinner.
</t>
  </si>
  <si>
    <t>http://www.archanaskitchen.com/masoor-dal-aur-rajma-masala-recipe</t>
  </si>
  <si>
    <t>Dhaba Style Green Moong Dal Tadka Recipe</t>
  </si>
  <si>
    <t>1 cup Green Moong Dal (Whole),1 inch Ginger - chopped,1 Tomato - chopped,1 Green Chilli - slit,1 teaspoon Turmeric powder (Haldi),Salt - to taste,1 teaspoon Garam masala powder,4 sprig Coriander (Dhania) Leaves - chopped,2 teaspoon Lemon juice - freshly squeezed,1 tablespoon Ghee,1 teaspoon Cumin seeds (Jeera),2 Dry Red Chillies</t>
  </si>
  <si>
    <t xml:space="preserve">To begin, the Dhaba Style Green Moong Dal Tadka Recipe, soak the green moong dal in 3 cups of water for at least for an hour.Into the pressure cooker, add in the ghee. Once the ghee is hot; add the ginger, tomatoes and green chillies and saute for a few seconds.After a few seconds, add the soaked green moong dal, salt, turmeric powder, garam masala and water. Cover the pressure cooker with its weight on.Cook the dal in the pressure cooker, until you here 3 to 4 whistles. Simmer the heat to low and continue to cook for another 10 minutes. After 10 minutes, turn off the heat and allow the pressure to release naturally.Open the pressure cooker and stir in the chopped coriander leaves and the juice from one lemon.To make the Tadka for the Dhaba Style Green Moong Dal Tadka Heat the ghee in a small kadai, add in the cumin seeds and add the red chillies and allow it to crackle. Once its crackles and the red chilli is well roasted, turn off the heat.Add this tadka to the cooked green moong dal. Give it a good stir.Check the salt and spice levels and adjust to suit your taste and serve the dal hot.Serve Green Moong Dal Tadka along with Phulkas, Boondi Raita and Kachumber Salad Recipe With Cucumber, Onion &amp; Tomatoes for a complete weekday meal. 
</t>
  </si>
  <si>
    <t>http://www.archanaskitchen.com/dhaba-style-green-moong-dal-tadka-recipe</t>
  </si>
  <si>
    <t>No Onion And No Garlic Aloo Gajar Matar Ki Sabzi Recipe</t>
  </si>
  <si>
    <t>2 Potatoes (Aloo) - peeled and cubed,1 Carrot (Gajjar) - peeled and cubed,1/2 cup Green peas (Matar),1 teaspoon Mustard seeds,1 teaspoon Cumin seeds (Jeera),1 sprig Curry leaves,1/2 teaspoon Turmeric powder (Haldi),1 teaspoon Red Chilli powder,1/4 teaspoon Asafoetida (hing),1 Green Chilli - slit,Salt - to taste (kala namak if using for a fast),2 teaspoons Sunflower Oil,Coriander (Dhania) Leaves - as required for garnish</t>
  </si>
  <si>
    <t xml:space="preserve">To begin making the No Onion And No Garlic Aloo Gajar Matar Ki Sabzi recipe, Heat oil in a kadhai/wok. When oil gets heated add mustard seeds.After mustard seeds flutter, add cumin seeds. After cumin seeds flutter, add asafoetida and mix.Add curry leaves and fry for 2 minutes. Add the slit green chillies.Now add the cubed potatoes, cubed carrots and green peas. Add 1 cup water and simmer on low flame with closed lid till carrots and potatoes get boiled. This would take around 10-15 minutes.Open the lid and add turmeric powder and red chilli powder and mix well. Add salt to taste and garnish with chopped coriander leaves.Serve No Onion And No Garlic Aloo Gajar Matar Ki Sabzi with Panchmel Dal and Phulka for a weekday lunch or dinner.
</t>
  </si>
  <si>
    <t>http://www.archanaskitchen.com/no-onion-and-no-garlic-aloo-gajar-matar-ki-sabzi-recipe</t>
  </si>
  <si>
    <t>Veg Chilli Milli Recipe</t>
  </si>
  <si>
    <t>1 cup Cabbage (Patta Gobi/ Muttaikose) - shredded,1 Carrot (Gajjar) - cut into thin strips,1 Green Bell Pepper (Capsicum) - thinly sliced,4 Tomatoes,1/2 cup Green peas (Matar),3 tablespoons Cashew nuts,2 tablespoon Sunflower Oil,1 Bay leaf (tej patta),2 Cardamom (Elaichi) Pods/Seeds,1 Black cardamom (Badi Elaichi),2 Cloves (Laung),1 inch Cinnamon Stick (Dalchini),1 Onion - finely chopped,1 tablespoon Ginger Garlic Paste,1/2 tablespoon Turmeric powder (Haldi),1 tablespoon Kashmiri Red Chilli Powder,1 tablespoon Coriander Powder (Dhania),3 to 4 Green Chillies - slit,1-1/2 cup Water,1/4 tablespoon Garam masala powder,Coriander (Dhania) Leaves - a small bunch finely chopped,1/4 tablespoon Sugar,3 tablespoons Fresh cream,Salt - to taste</t>
  </si>
  <si>
    <t xml:space="preserve">To begin making the Veg Chilli Milli Recipe, soak cashew in 1/4 cup hot water for 20 to 25 minutes.After 25 minutes, drain water and add cashews to  mixer grinder along with ginger and  tomatoes and grind them. to a smooth paste and keep aside.Now we will make the gravy.Heat a wok/kadai and add oil. Add bay leaf, green cardamoms, black cardamoms, cloves, cinnamon and saute till all spices release a nice aroma.Once the spices release a nice aroma add chopped onion and ginger garlic paste, saute on medium flame till ginger garlic aroma goes away and onion turns little brown in colour.Now add tomatoes cashew paste, green chillies, turmeric powder, kashmiri red chilli powder, coriander powder and mix well and saute it on medium flame till the oil separates from masala.Once done add the shredded cabbage, carrots, capsicum and green peas. Mix all vegetables with masala and saute for 5 to 6 minutes.Once the vegetables are half done add water and salt to taste. Mix well and cover the lid.Cook Veg Chilli Milli on medium flame for 10 minutes till vegetables are cooked properly.Add more water if needed but make sure gravy should not be thin.Once vegetables are cooked then add garam masala, fenugreek leaves and sugar. Mix everything well.Bring the Veg Chilli Milli to a brisk boil and add cream, garnish with coriander leaves and turn off the heat.Transfer Veg Chilli Milli to a serving bowl and serve hot.Serve Veg Chilli Milli along with Boondi Raita and Pudina Tawa Paratha for a weekday lunch or dinner.
</t>
  </si>
  <si>
    <t>http://www.archanaskitchen.com/veg-chilli-milli-recipe</t>
  </si>
  <si>
    <t>Malai Chickpea Kebab Recipe</t>
  </si>
  <si>
    <t>3/4 cup Kala Chana (Brown Chickpeas) - soaked,1/4 cup Instant Oats (Oatmeal),1 Onion,1 Green Chilli,3 cloves Garlic,1/2 Lemon - juice,Sunflower Oil - for cooking,2 sprig Coriander (Dhania) Leaves - chopped,Salt - to taste</t>
  </si>
  <si>
    <t xml:space="preserve">To begin making the Malai Chickpea Kebab Recipe first  boil the chickpeas, in a pressure cook for 4 whistles.Let the pressure release naturally and then strain the water from the chickpeas.Add the cooked chickpeas to a blender with the onions, green chilli, garlic, coriander leaves, salt and lemon juice. Blend everything to a smooth paste.Remove the blended mixture into a big bowl and check for seasoning if required. Then add the oats to the bowl and bind the mixture together.Heat a paniyaram pan, add oil and then scoop a tablespoon of the chickpea and oats mixture into each cavity and shallow fry till it is brown on either side. Keep flipping the koftas so that it does not get burnt.Serve the Malai Chickpea Kebab Recipe along with a meal of Hyderabadi Vegetable Biriyani and Tomato Onion Cucumber Raita Recipe or just a Tea time snack with a cup of Ginger Cardamom Chai.
</t>
  </si>
  <si>
    <t>https://www.archanaskitchen.com/malai-chickpea-kebab-recipe</t>
  </si>
  <si>
    <t>Baby Corn Capsicum Masala</t>
  </si>
  <si>
    <t>300 gms baby corn - cut into thin and straight pieces, 1 capsicum (green) - cut, 1 onion - finely chopped, 1 inch ginger - grated, 2 cloves garlic - grated, 1 green chilli - chopped, 3 tomatoes - finely chopped, 1 tsp cumin seeds, 1 tsp fennel seeds, 1/4 tsp turmeric powder, 1 tsp coriander powder, 1/2 tsp cardamom powder, red chilli powder - according to taste, salt - according to taste, green coriander - a little, oil - according to use</t>
  </si>
  <si>
    <t>"To make Baby Corn and Capsicum Masala, first heat oil in a pan. Add cumin seeds, fennel seeds and cook for 15 seconds. After 15 seconds add onion, capsicum, baby corn, ginger, garlic and cook till baby corn is cooked. After baby corn is cooked add tomatoes and rest of the spices. Reduce the flame and cook till tomatoes become soft. Add salt and mix it. Cook for 1 minute, turn off the gas and garnish with coriander leaves. Serve Baby Corn and Capsicum Masala with Garlic Daal and Phulkas for lunch. "</t>
  </si>
  <si>
    <t>http://www.archanaskitchen.com/baby-corn-capsicum-masala-recipe-in-hindi</t>
  </si>
  <si>
    <t>Paneer Kulcha Recipe-Cottage Cheese Stuffed Leavened Flatbread</t>
  </si>
  <si>
    <t>2 cups All Purpose Flour (Maida),1 tablespoon Sooji (Semolina/ Rava),1/2 cup Curd (Dahi / Yogurt),1 tablespoon Sunflower Oil,1/2 teaspoon Baking soda,1 teaspoon Sugar,1 teaspoon Salt,Kalonji (Onion Nigella Seeds) - for sprinkling,Butter - melted,1/2 teaspoon Sunflower Oil,1 Green Chilli - chopped,1/4 cup Onions - chopped,1 cup Paneer (Homemade Cottage Cheese),1/4 teaspoon Cumin powder (Jeera),Salt - to taste</t>
  </si>
  <si>
    <t xml:space="preserve">To begin making the Paneer Kulcha recipe, first mix together the sooji and yogurt in a large mixing bowl and set aside for ten minutes.Once the sooji has soaked in the yogurt, add maida, oil, baking soda, sugar and salt to it and knead together into a smooth dough. The dough should be firm and hold together, but supple and soft to touch.Cover the dough with a lid and let it refrigerate for two hours to leaven.Meanwhile, prepare the stuffing. Place a pan on the heat and warm some oil in it. Add the chopped onions to it and saute along with the green chilies until the onions are softened and translucent.Next, add the paneer, turmeric powder and salt to the softened onions and cook for two minutes more. Turn the heat off and set the filling aside to cool.Once the dough has been in the refrigerator for two hours, take it out to start making the kulchas.Portion out the dough into golf ball sized pieces.Working with one portion at a time, roll out the dough into small circle about 2.5-3 inches in diameter. Take the rolled circle in your palm, place a spoonful of the paneer filling in the center, while cupping it in your palm.Bring all the edges of the circle together to seal the filling inside, like a tight pouch. Make sure there are no air pockets within.Gently press the stuffed ball out without adding too much flour, roll the kulcha out to a thick disc.Next, sprinkle water on the kulcha, sprinkle kalonji and press down so they stick.Do not apply too much pressure at one place else the kulcha will tear and stuffing will come out. Kulchas are usually thicker than parathas.Place the kulcha on the pan and cook until bubbles begin to appear on the surface. Apply a little oil on the top and flip the kulcha over to brown on the other side.Repeat, applying ghee, butter or oil and cooking the kulcha until it attains a nice even brown hue with some brown spots.Serve Paneer Kulcha  with Tandoori Cauliflower &amp; Chickpea Curry or Dhabewali Dal and Carrot Cucumber Tomato Salad with Lemon and Coriander  for lunch or dinner.
</t>
  </si>
  <si>
    <t>https://www.archanaskitchen.com/paneer-kulcha-recipe-cottage-cheese-stuffed-leavened-flat-bread</t>
  </si>
  <si>
    <t>Pudina Moong Dal</t>
  </si>
  <si>
    <t>1/2 cup yellow moong dal, 1/2 teaspoon red chili powder, 1/4 teaspoon turmeric powder, 1/4 teaspoon cumin seeds, asafoetida, 1 tablespoon ghee, 2 tablespoons mint - chopped, water - as per requirement, salt - as per taste</t>
  </si>
  <si>
    <t>"To make Pudina Moong Daal, first put moong dal, 1 cup water and turmeric in a pressure cooker and cook till 2 whistles. After the pressure is released, open the cooker and add 1-1/2 cups water and salt to it. Turn on the gas and let it boil for 3 to 4 minutes. Now we will make its Tadka (tempering). Heat ghee or oil in a small pan. Add cumin seeds and asafoetida to it. After 10 seconds, add mint leaves and red chili powder to it. Pour this tempering in the dal, mix and let it cook for another 2 to 3 minutes. Turn off the gas and serve hot. Serve Pudina Moong Daal with Besan Arbi Roast and Phulkas for lunch."</t>
  </si>
  <si>
    <t>https://www.archanaskitchen.com/pudina-moong-dal-recipe-in-hindi</t>
  </si>
  <si>
    <t>Moong Dal Sookhi Sabzi</t>
  </si>
  <si>
    <t>1 cup yellow moong dal, 1 tbsp red chili powder, 1/2 tsp turmeric powder, 1 tsp garam masala powder, salt - according to taste, 2 tbsp oil, 1 green chili, 1 tbsp lemon juice, green coriander - for garnish (as per use)</t>
  </si>
  <si>
    <t>"To make Moong Dal Sukhi Sabzi, first wash the moong dal and keep it aside. Now heat oil in a pan and add red chili powder, turmeric powder and salt. Let it cook for 15 seconds. After 15 seconds add lentils and mix. Add water as per requirement, reduce the flame. Cook till the lentils are cooked. Do not overcook the lentils. After the lentils are cooked, open the pan, add garam masala and mix it. Turn off the gas, take it out in a bowl and garnish with green coriander, green chilies and lemon juice. Serve Moong Dal Sabzi with Roti and Boondi Raita for lunch. "</t>
  </si>
  <si>
    <t>http://www.archanaskitchen.com/moong-dal-sookhi-sabzi-recipe-in-hindi</t>
  </si>
  <si>
    <t>Dhaba Style Green Moong Dal Tadka</t>
  </si>
  <si>
    <t>1 cup green moong dal, 1 ginger - grate, 1 tomato - chop, 1 green chilli - chop, 1 teaspoon turmeric powder, 1/2 teaspoon sugar, salt - according to taste, 4 sprigs of green coriander - chop, 1 teaspoon lemon juice, 1 tablespoon ghee, 1 teaspoon cumin seeds, dry red chilli</t>
  </si>
  <si>
    <t>"To make Dhaba Style Green Moong Dal Tadka, first soak the moong dal in 3 cups of water for 1 hour. Now put the dal in a pressure cooker along with ginger, tomatoes, salt, turmeric powder and green chillies. Cover the cooker and cook till 3 to 4 whistles. Reduce the flame and let it cook for 10 minutes. Turn off the gas and let the pressure release on its own. Now heat ghee in a pan. Add cumin seeds and dried red chillies and let it cook for 10 seconds. After 10 seconds turn off the gas and pour this tadka in the dal. Mix, add coriander and lemon juice. Mix and serve hot. Serve Dhaba Style Green Moong Dal Tadka with Sev Tomato Sabzi and Phulkas for lunch."</t>
  </si>
  <si>
    <t>http://www.archanaskitchen.com/dhaba-style-green-moong-dal-tadka-recipe-in-hindi</t>
  </si>
  <si>
    <t>Chicken Malai Kabab Recipe</t>
  </si>
  <si>
    <t>4 Chicken - boneless,4 teaspoon Ginger Garlic Paste,1/2 teaspoon Turmeric powder (Haldi) - to rub on chicken,Salt - as needed,Red Chilli powder - as required,3 teaspoon Fresh cream</t>
  </si>
  <si>
    <t xml:space="preserve">To begin making the Chicken Malai Kabab recipe, firstly cut the chicken into small pieces for making kebabs. Wash it clean and rub salt &amp; turmeric on the boneless chicken &amp; keep it aside for 10 minutes.After 10 minutes add ginger garlic paste, red chilli powder and the required salt. Marinate for an hour.After an hour add fresh cream. Once it is done, add 3 pieces on small skewers and place on a preheated grill pan.These kababs can be cooked on a frying pan also. There is no need to add oil to the kebab. Cook on a slow flame. Until well cooked. Serve Chicken Malai Kabab as a side dish with Dhaniya Pudina Chutney during ramadan or for weeknight dinners.
</t>
  </si>
  <si>
    <t>https://www.archanaskitchen.com/chicken-malai-kabab-recipe</t>
  </si>
  <si>
    <t>Stuffed Yellow Moong Dal And Onion Paratha Recipe</t>
  </si>
  <si>
    <t>1-1/2 Whole Wheat Flour,Salt - to taste,1 teaspoon Sunflower Oil,Ghee - to cook,1/2 teaspoon Sunflower Oil,1/2 cup Yellow Moong Dal (Split) - washed and soaked,1/2 cup Green Bell Pepper (Capsicum) - finely chopped,1 Onion - finely chopped,1 inch Ginger - finely chopped,3 cloves Garlic - finely chopped,1 Green Chilli - finely chopped,Salt - to taste,1 teaspoon Red Chilli powder,1 teaspoon Cumin powder (Jeera),1/2 teaspoon Turmeric powder (Haldi)</t>
  </si>
  <si>
    <t xml:space="preserve">To begin making the Stuffed Yellow Moong Dal And Onion Paratha Recipe , we will first make the dough. *For the doughIn a large mixing bowl, combine the wheat flour, and salt and make the paratha dough with the water that the dal was cooked in.Make a firm yet smooth dough.  Knead well for about 3 to 4 minutes, this will make the parathas soft. Drizzle a teaspoon of oil over the dough and knead for another couple of minutes.Set aside and allow it to rest. *For the Yellow Moong Dal With Roasted Capsicum &amp; Onion fillingFirstly wash and soak the Moong Dal for 30 minutes. Drain the soaked water.In a pan, add the washed and soaked dal, with salt, haldi and 1/2 cup of water into the pressure cooker. Pressure cook the dal for 2 whistles and turn off the heat.Allow the pressure to release naturally and allow the dal to cool. If there is any excess water, drain the water from the dal and keep the cooked yellow moong dal aside.Heat a small pan with oil on medium flame, add the ginger, garlic green chilli and saute for 30 seconds. Next add the onions and the capsicum and cook for 3-4 minutes until soft.At this stage add the boiled dal, red chilli powder, cumin powder, turmeric powder, salt and mix well and set aside. *To make the Stuffed Yellow Moong Dal And Onion Paratha RecipeKeep some flour aside for dusting. Divide the dough into large lemon sized balls.Dust the dough portions in flour, flatten it and roll it into a 3 inch diameter circle.Place about 2 tablespoons of the yellow moong dal stuffing in the center, gather the edge and seal it. Carefully roll it out the paratha into a circle about 6-7 inches in diameter.Heat a skillet over medium heat and cook the Stuffed Yellow Moong Dal And Onion Paratha in ghee until cooked through, and has golden brown spots on both sides.Repeat with the remaining portions of the dough and the Yellow Moong Dal With Roasted Capsicum &amp; Onion filling.Serve this Stuffed Yellow Moong Dal And Onion Paratha Recipe with Coriander Tadka Raita and Green Chilli Pickle for a simple and wholesome meal.
</t>
  </si>
  <si>
    <t>https://www.archanaskitchen.com/yellow-moong-dal-with-roasted-capsicum-onion-paratha-recipe</t>
  </si>
  <si>
    <t>Bajra Kaddu Ki Roti Recipe - Bajra Pumpkin Roti Recipe</t>
  </si>
  <si>
    <t>1/2 cup Bajra Flour ( Pearl Millet),1/2 cup Whole Wheat Flour,1 cup Kaddu (Parangikai/ Pumpkin) - grated,1/2 teaspoon Ginger - crushed,1/2 teaspoon Green Chillies - crushed,1/4 teaspoon Ajwain (Carom seeds),1/4 teaspoon Turmeric powder (Haldi),1/4 teaspoon Asafoetida (hing),1 teaspoon Lemon juice,2 tablespoons Coriander (Dhania) Leaves - chopped,Ghee - as required</t>
  </si>
  <si>
    <t xml:space="preserve">To begin making Bajra Kaddu Ki Roti Recipe first take a mixing bowl and add all the ingredients listed except ghee and knead with water into a soft dough.Let the Bajra Kaddu Ki Roti dough rest for 10 minutes.Divide the dough into 8 equal portions. Sprinkle little dry flour on table top, take a portion of dough and roll into a roti of 5 to 6 inch diameter. You can adjust the thickness of the roti based on your preference. Preheat the roti tawa and cook the Bajra Kaddu Ki Roti on medium heat for a few seconds until you see the rawness going away. Once you notice the Bajra Kaddu Ki Roti getting small bubbles, smear ghee over the roti and cook on both sides on medium heat until golden brown and cooked on both sides.Proceed to cook the remaining Bajra Kaddu Ki Roti the similar way and serve hot.Serve the Bajra Kaddu Ki Roti Recipe with Baingan Bharta, Spicy Paneer Pulao With Vegetables, Punjabi Methi Kadhi Recipe and Urad Dal Raita for a wholesome and healthy indian lunch or dinner.
</t>
  </si>
  <si>
    <t>https://www.archanaskitchen.com/bajra-kaddu-ki-roti-recipe-bajra-pumpkin-roti-recipe</t>
  </si>
  <si>
    <t>Schezwan Style Chinese Veg Samosa Recipe - Roz Ka Khana with Figaro Olive Oil</t>
  </si>
  <si>
    <t>2 cups Whole Wheat Flour,1/4 cup Sooji (Semolina/ Rava),1 teaspoon Ajwain (Carom seeds),1 pinch Salt,1/4 cup Figaro Pure Olive Oil,1/2 cup Carrot (Gajjar) - finely chopped,1/2 cup Green Bell Pepper (Capsicum) - finely chopped,1/2 cup Cabbage (Patta Gobi/ Muttaikose) - finely chopped,1 inch Ginger - grated,3 cloves Garlic - finely chopped,2 Green Chilli - finely chopped,1/4 cup Spring Onion Greens - finely chopped,1 teaspoon Schezwan sauce,Salt - to taste,Black pepper powder - to taste</t>
  </si>
  <si>
    <t xml:space="preserve">To begin making the Szechuan Style Chinese Samosa recipe, first prep all the ingredients and keep them ready. We will make the dough first and then fill them and proceed to deep fry the Chinese veg samosa in pure olive oil.To begin making the dough for the samosa crust, combine all the ingredients for the dough in a large mixing bowl. Rub the olive oil into the flour till you see coarse crumbs.Add  little water at a time and knead to make a firm and yet smooth dough. Cover the dough and keep it aside to rest while we prepare the Chinese filling.For the stuffing, heat olive oil in a wok or a heavy bottomed pan. Add the ginger, garlic, green chilies and spring onions and stir fry for a few seconds until you can smell the aromas coming through.Add the carrots, beans, capsicum and cabbage and stir fry on high heat until it is cooked through. The vegetables will be cooked yet firm.Once done, add the cooked noodles, that are roughly chopped, the chili sauce, salt and pepper. Stir together until the filling is combined with all the ingredients. Check the taste and adjust the salt and chili.Turn off the heat and keep the filling aside to cool.Preheat the oil for deep frying the samosaDivide the samosa dough into 12 equal portions. Dust it in a little flour and roll into a small square.Place a small portion of the Chinese filling into the rolled out dough. At this stage you can fold it like a wonton by bringing the edges together. Seal the edges by pinching them well, so it gives a shape and stands out.Proceed the same way to make similar Szechuan Style Chinese Samosas. Place the Chinese Samosas in oil and deep fry them until crisp and golden brown.Once done, remove the Szechuan Style Chinese Samosas from the oven and serve.Serve the Veg Chinese Samosa along with a Schezwan sauce as an appetizer or a evening tea time snack for parties.
</t>
  </si>
  <si>
    <t>http://www.archanaskitchen.com/schezwan-style-chinese-veg-samosa-recipe-roz-ka-khana-with-figaro-olive-oil</t>
  </si>
  <si>
    <t>Sookhi Moong Palak Dal</t>
  </si>
  <si>
    <t>1 cup green moong dal - soak overnight, 1/2 cup spinach - chop and boil, 2 tomatoes, 1-1/2 tablespoons mustard oil, 1 teaspoon cumin seeds, 2 onions - chop, 5 cloves garlic - grate, 1 inch ginger - grate, 2 green chillies, salt - according to taste, 1/4 onion - finely chopped, 1 green chilli - finely chopped, green coriander - a little</t>
  </si>
  <si>
    <t>"To make dry moong palak dal, first drain the water from the dal and keep it aside. Now put spinach, tomatoes in a mixer grinder and make a puree of it. Keep it aside. Now heat mustard oil in a pan. Add cumin seeds and cook for 10 seconds. Now add onion and cook till it turns brown. Now add garlic, ginger and green chillies. Cook for 1 minute. Now add spinach puree, salt and cook for 2 minutes. Now add dal and cook on high flame for 5 minutes. Reduce the flame, cover the pan and cook for 20 minutes. Cook till the dal is cooked and water evaporates. Take it out in a bowl and garnish with onion, green chillies and coriander. Serve dry moong palak dal with Gujarati Kadhi and Phulka for lunch."</t>
  </si>
  <si>
    <t>http://www.archanaskitchen.com/sookhi-moong-palak-dal-recipe-whole-green-moong-gram-with-spinach-in-hindi</t>
  </si>
  <si>
    <t>Makhana Aloo Tikki Recipe (Spiced Lotus Seed Patties Recipe)</t>
  </si>
  <si>
    <t>4 Potatoes (Aloo) - boiled,1 cup Phool Makhana (Lotus Seeds) - roasted,2 Green Chillies - finely chopped,1 teaspoon Fennel seeds (Saunf) - crushed,2 tablespoons Roasted Peanuts (Moongphali) - crushed,1 Coriander (Dhania) Leaves - small bunch,1 teaspoon Chaat Masala Powder,1/2 teaspoon Garam masala powder,1/4 teaspoon Red Chilli powder,Black Salt (Kala Namak) - to taste,Sunflower Oil</t>
  </si>
  <si>
    <t xml:space="preserve">We begin making the Makhana Aloo Tikki Recipe (Spiced Lotus Seed Patties Recipe) by roasting the makhana in a pan with little bit of ghee until crunchy and coarsely powder it.Mash the potatoes and add all the remaining ingredients in a bowl. Check the salt and spices and adjust to suit your taste.Shape the aloo makhane mixture into small cutlets and pan fry them in very little oil until golden brown on both sides.Serve your Makhana Aloo Tikki (Spiced Lotus Seed Patties ) with Dhaniya Pudina No Onion No Garlic Chutney to relish your tea time snack.
</t>
  </si>
  <si>
    <t>https://www.archanaskitchen.com/makhana-aloo-tikki-recipe-spiced-lotus-seed-patties-recipe</t>
  </si>
  <si>
    <t>Hariyali Chicken Tikka Recipe</t>
  </si>
  <si>
    <t>2 Chicken breasts - cut into cubes,1 teaspoon Red Chilli powder,1/2 teaspoon Turmeric powder (Haldi),2 teaspoon Garam masala powder,1 teaspoon Amchur (Dry Mango Powder),1 teaspoon Cumin powder (Jeera),1/4 cup Curd (Dahi / Yogurt),Salt - to taste,1 cup Coriander (Dhania) Leaves,1 cup Mint Leaves (Pudina),1 Green Chilli</t>
  </si>
  <si>
    <t xml:space="preserve">To begin making the Hariyali Chicken Tikka Recipe, thoroughly wash and clean the chicken. Cut them into 1 inch cubes and set aside. In a mixer-jar combine the coriander leaves, mint leaves, green chilli and grind to a smooth paste, adding very little water. Transfer the green masala into a mixing bowl and add the yoghurt and the rest of the maslas which include- red chilli powder,  turmeric powder, garam masala powder,  amchur powder, cumin powder and salt. Mix well and add the chicken pieces to this hariyali masala. Keep it aside for about 1 hour.Heat a grill pan, drizzle some oil, place the marinated chicken pieces and grill evenly on either side till you gets nicely charred. The chicken will take about 10 minutes to cook.Serve hot with sliced onions and lemon wedges.Serve the Hariyali Chicken Tikka Recipe along withlemon wedges, Pudina Dahi Chutney Recipe and serve other non-veg appetizers like Kalmi Kabab Recipe or Chettinad Style Chicken Roast Recipe at your dinner parties.
</t>
  </si>
  <si>
    <t>https://www.archanaskitchen.com/hariyali-chicken-tikka-recipe</t>
  </si>
  <si>
    <t>Bitter Gourd Peel Puri Recipe</t>
  </si>
  <si>
    <t>2 cups Whole Wheat Flour,1/2 cup Gram flour (besan),1 cup Karela (Bitter Gourd/ Pavakkai) - peel,2 tablespoon Ajwain (Carom seeds),2 teaspoon Red Chilli powder,1 teaspoon Turmeric powder (Haldi),1 teaspoon Coriander Powder (Dhania),Salt - to taste,Sunflower Oil - for frying</t>
  </si>
  <si>
    <t xml:space="preserve">To begin making the Bitter Gourd Peel Puri Recipe, mix all the ingredients into a bowl including whole wheat flour, gram flour, karela peel, caraway seeds, red chilli powder, turmeric powder, turmeric powder, coriander powder and salt.Add water slowly and knead it into a soft dough and keep it ready. Rest the dough for atleast 30 minutes.Heat oil in the kadai to fry the puris and keep it ready.Make small balls out of the dough and dust the rolling table with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 continue the deep frying process for all the other flattened puris.Serve the Bitter Gourd Peel Puri Recipe along with Chole Masala, Pickled Onions and Boondi Raita by the side to enjoy your breakfast.
</t>
  </si>
  <si>
    <t>http://www.archanaskitchen.com/bitter-gourd-peel-puri-recipe</t>
  </si>
  <si>
    <t>Mushroom Curry Recipe</t>
  </si>
  <si>
    <t>200 grams Button mushrooms - halved,1 Onion - cut into chunks,1 Green Bell Pepper (Capsicum) - cut into chunks,4 cloves Garlic - finely chopped,1 inch Ginger - finely chopped,1 cup Tomato - puree,1/2 teaspoon Turmeric powder (Haldi),1/2 teaspoon Red Chilli powder,1 teaspoon Garam masala powder,1 teaspoon Sunflower Oil,Mint Leaves (Pudina) - finely chopped,Salt - to taste</t>
  </si>
  <si>
    <t xml:space="preserve">To begin making Mushroom Curry, first heat oil in a pan or wok and add onions, ginger, garlic and capsicum and saute until the onions soften.Next add the mushrooms and saute until mushrooms are cooked. Once done add the tomato puree and the dry maslas like turmeric powder, red chilli powder, garam masala and salt.Bring the Mushroom curry to a brisk boil for two to three minutes.Stir in the chopped mint leaves and turn off the heat. Check the salt and seasoning and adjust to suit your taste accordingly. Transfer Mushroom Curry into a serving bowl.Serve Mushroom Curry for your lunch/ weeknight dinner or even at your parties with Pudina Tawa Paratha, Tadkewali Masoor Dal and Rose Greek Yogurt Dessert .
</t>
  </si>
  <si>
    <t>http://www.archanaskitchen.com/mushroom-curry-recipe</t>
  </si>
  <si>
    <t>Parwal Ki Mithai Recipe -Pointed Gourd Sweet</t>
  </si>
  <si>
    <t>15 Pointed gourd (Parval),Sugar - as required,1 cup Water,250 grams Khoya (Mawa),50 grams Sugar - powdered,30 Badam (Almond),1 tablespoon Pistachios,8 Cardamom (Elaichi) Pods/Seeds - peel and grind</t>
  </si>
  <si>
    <t xml:space="preserve">To begin making Parwal Ki Mithai, wash and peel the Parwal and then cut them from the center lengthwise. Take care not to cut the parwal completely into two pieces, it should remain whole. Take out the seeds carefully from the parwals.Heat some water in a saucepan and when the water starts to boil, put parwals in it. Let them boil for about 3-4 minutes and then turn off the heat. Cover the pan with a lid and set it aside for half an hour.After half an hour, strain the water entirely from the parwals.In an another saucepan, add water and sugar and let it boil until it forms a syrup. Stir in continuously so that the sugar gets dissolved in the water properly.Put all the parwals in this syrup and let it boil till it changes its colour. Flip the side of the parwal while boiling it. Turn off the flame, cover the vessel and leave it for 1 hour in the syrup. Let them get sweet.The next step is to prepare the filling.Put khoya in a wide pan and roast it on a medium flame till it turns light pink in colour. Let it cool down.Once done, grind almonds in the grinder and cut pistachios in long pieces. Add ground almonds, cardamom and sugar into the roasted khoya. The filling to stuff the parwal is ready.Take out the parwal from the syrup and place them on a plate. Tilt the plate so that any excess syrup drip off from the parwal.Now stuff each parwal with the filling and press the filling with light hands so it settles down inside the parwal. Put pistachios to decorate.Follow the same process for the remaining parwals and your Parwal Ki Mithai is ready to be served.Serve Parwal Ki Mithai as a sweet dish after your delicious meal of Gajar Pulao Recipe - Spiced Carrot Rice, Nawabi Kofta Curry Recipe and Tomato Onion Cucumber Raita Recipe and enjoy it with friends and family.
</t>
  </si>
  <si>
    <t>https://www.archanaskitchen.com/parwal-ki-mithai-recipe-pointed-gourd-sweet</t>
  </si>
  <si>
    <t>Tamatari Chole Recipe</t>
  </si>
  <si>
    <t>1 Cup Kabuli Chana (White Chickpeas),1 Onion - finely chopped,1 Tomato - cut into wedges,1 inch Ginger - grated,2 cloves Garlic - mashed,1 inch Cinnamon Stick (Dalchini),1 Cardamom (Elaichi) Pods/Seeds,1 Bay leaf (tej patta),1/2 teaspoon Turmeric powder (Haldi),1 teaspoon Red Chilli powder,1 teaspoon Garam masala powder,1 teaspoon Coriander Powder (Dhania),2 tablespoon Sunflower Oil,Salt - to taste,4 sprig Coriander (Dhania) Leaves - roughly chopped for garnish,1 Onion - chopped,2 Tomatoes - chopped,1 Green Chilli</t>
  </si>
  <si>
    <t xml:space="preserve">To begin making the Tamatari Chole Recipe, first wash and soak the chickpeas for 6 hours or overnight in 2 cups of water.Transfer chickpeas to Pressure Cooker with 2-1/2 cups of water and cook until for 6 to 7 whistles, turn the heat to low and cook for another 15 minutes until done.Grind all the ingredients mentioned in the list to form a smooth paste, you can add a little water and transfer it to a bowl.Heat oil in a saucepan over medium heat, add the grated ginger, onion and garlic and saute for few seconds.Stir in the ground paste, turmeric powder, coriander powder, garam masala, chilli powder and salt. Cook the mixture until the tomatoes and onions are well cooked and there is no raw smell. The mixture will thicken and come together.At this time add in the cooked chickpeas and tomatoes wedges, pour about 1 cup water. Stir to combine. Allow the mixture to come to a boil over medium heat.Once the mixture begins to boil, turn the heat to low and simmer the mixture for 20 to 30 minutes. Adjust the consistency and taste of the dish according to your taste, by adding water and spices.Serve the Tamatari Chole Recipe along with Garlic Naan, Burani Raita, Carrot Cucumber Tomato Salad with Lemon and Coriander by the side to make your dinner special.
</t>
  </si>
  <si>
    <t>http://www.archanaskitchen.com/tamatari-chole-recipe</t>
  </si>
  <si>
    <t>Malai Kofta Curry Recipe - Creamy and Healthy Paneer Aloo Kofta Curry</t>
  </si>
  <si>
    <t>3 Potatoes (Aloo) - boiled,1-1/2 cups Paneer (Homemade Cottage Cheese) - crumbled,1/2 teaspoon Garam masala powder,1/2 teaspoon Red Chilli powder,2 tablespoons Gram flour (besan),1/4 cup Coriander (Dhania) Leaves - finely chopped,1/2 cup Raisins - a handful,Salt - to taste,Sunflower Oil - for cooking,1 tablespoon Ghee - for cooking,1 inch Ginger - finely chopped,4 cloves Garlic - finely chopped,1 Onion - finely chopped,2 cups Homemade tomato puree,2 teaspoons Coriander Powder (Dhania),1/2 teaspoon Garam masala powder,1/2 teaspoon Turmeric powder (Haldi),1 teaspoon Red Chilli powder,1/2 teaspoon Cardamom Powder (Elaichi),1 tablespoon Honey,1/4 cup Fresh cream,1 tablespoon Kasuri Methi (Dried Fenugreek Leaves) - for garnishing,Salt - to taste</t>
  </si>
  <si>
    <t xml:space="preserve">To begin making the Malai Kofta Recipe, combine all the ingredients for the koftas in a bowl and divide them into lemon size balls.Flatten the balls in the palm of your hands and place a couple of raisins in the center. Close the kofta dough back into a ball and keep aside.The next step is to cook the Malai Koftas either in the Kuzhi Paniyaram PanIf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CurryHeat oil in a heavy bottomed pan; add in the grated ginger, garlic, onions and sauté for a few seconds until the onions soften.Stir in the tomato puree, honey, turmeric powder, cardamom powder, garam masala powder, coriander powder, salt and chilli powder to taste.Bring the kofta curry to a boil and simmer for a couple of minutes till the tomatoes get cooked through.Finally add in the cream and the kasuri methi and stir it into the kofta curry.Adjust the consistency of the malai kofta curry by adding water if required. Do make sure to check the salt and spice levels and adjust according to your taste. When you are ready to serve, place the kofta curry in the serving bowl and add the warm malai kofta balls in the curry, garnish with coriander leaves and serve hot.Serve Non Fried Malai Kofta Recipe with Tawa parathas and Mixed Vegetable Pulao Recipe and Mooli Raita for lunch or dinner. You can even serve the Malai Kofta for a indian dinner party menu.
</t>
  </si>
  <si>
    <t>http://www.archanaskitchen.com/malai-kofta-recipe-cottage-cheese-potato-balls-in-creamy-red-gravy</t>
  </si>
  <si>
    <t>2 tablespoons Coriander (Dhania) Seeds,1 teaspoon Methi Seeds (Fenugreek Seeds),1 teaspoon Mustard seeds,1 teaspoon Kalonji (Onion Nigella Seeds),1 teaspoon Cumin seeds (Jeera),1 teaspoon Fennel seeds (Saunf),4 Dry Red Chillies</t>
  </si>
  <si>
    <t xml:space="preserve">To begin making the Achari Masala Recipe, we will dry roast all the ingredients over a flat skillet.After dry roasting the spices, grind the entire mixture in a grinder to a smooth powder.Transfer Achari Masala Recipe in an airtight container for a later use. This can stay good for at least a month.You can use the Achari Masala powder for Achari Paneer Tikka Recipe or Achari Paratha Roll Recipe to make a delicious meal.
</t>
  </si>
  <si>
    <t>https://www.archanaskitchen.com/achari-masala-recipe</t>
  </si>
  <si>
    <t>Dhaba Style Dal Fry Recipe</t>
  </si>
  <si>
    <t>Ghee - as required,1 teaspoon Asafoetida (hing),1 teaspoon Cumin seeds (Jeera),1 teaspoon Mustard seeds,1 Bay leaf (tej patta) - broken,3 Green Chillies - salted,4 Cloves (Laung),1 Black cardamom (Badi Elaichi),1 Star anise,2 Cardamom (Elaichi) Pods/Seeds,2 Onions - thinly sliced,1 Tomato - finely chopped,1-1/2 tablespoons Ginger Garlic Paste,1 teaspoon Red Chilli powder,1 teaspoon Coriander Powder (Dhania),3 teaspoon Green Chillies,1 sprig Coriander (Dhania) Leaves - finely chopped,2 tablespoons Arhar dal (Split Toor Dal),2 tablespoons Chana dal (Bengal Gram Dal),2 tablespoons Masoor Dal (Whole),2 tablespoons White Urad Dal (Split),2 tablespoons Yellow Moong Dal (Split),Water - as required,Salt - to taste,1-1/2 Turmeric powder (Haldi)</t>
  </si>
  <si>
    <t xml:space="preserve">To begin making the Dhaba Style Dal Fry, firstly we will boil all the dals together. Add the dals in a pressure cooker with 1/2 teaspoon turmeric powder and the required salt.Cook it till the pressure cooker releases atlas 3 whistles. Open the lid once it is cooled down and mix the dal properly. Keep it aside.Heat oil in a heavy bottomed pan and add hing, cumin seeds and mustard seeds.Once it splutters add bay leaf, badi elaichi, green cardamom, star anise, cloves and salted dry green chillies.After 30 seconds, add the green chillies and ginger-garlic paste. Cook it for about a minute.Next, add the thinly sliced onions and let it cook till they turn brown.Once done, add the tomatoes and all the masalas including, turmeric powder, red chilli powder, coriander powder and the required salt.Add a little water and cook it for about 5 to 8 minutes or till the masala is properly cooked.Now, add in the cooked dal and adjust the consistency of water according to your taste and preference.Let it simmer for 8 to 10 minutes, switch off the stove and garnish with fresh coriander leaves.Serve Dhaba Style Dal Fry with Sev Tamatar Ki Sabzi, Tomato Onion Cucumber Raita and Phulka for a perfect Rajasthani meal.
</t>
  </si>
  <si>
    <t>https://www.archanaskitchen.com/dhaba-style-dal-fry-recipe</t>
  </si>
  <si>
    <t>1 cup Elephant yam (Suran/Senai/Ratalu) - chopped and boiled,1 cup Raw Banana - chopped and boiled,1 cup Carrots (Gajjar) - chopped,1 Onion - chopped,1 inch Ginger - chopped,4 cloves Garlic - chopped,1 tablespoon Red Chilli powder,1 teaspoon Turmeric powder (Haldi),1 tablespoon Cumin powder (Jeera),1 tablespoon Coriander Powder (Dhania),1 tablespoon Amchur (Dry Mango Powder),1/2 cup Instant Oats (Oatmeal) - for coating,1/4 cup Milk,Salt and Pepper - to taste,Sunflower Oil</t>
  </si>
  <si>
    <t>We begin making the Oats and Vegetable Kebab Recipe by pressure cooking the yam and raw banana with water, salt and turmeric till it becomes mushy, boil it for about 6 whistles. Release the pressure naturally. Strain any excess water and mash it completely and keep it aside .Heat a kadai with oil, add in the onions, garlic and ginger sauté till the onions become translucent. Then add in the carrot and keep frying till the carrot gets cooked. Then add in all the spice powder mix well and sauté till the raw smell of the chilli goes away.  Add this into the smashed yam and raw banana mixture and mix well, check for seasoning if required.Shape them into medium sized balls and flatten them into a cutlet. Place the oats on a plate. Dip them in the milk and coat it well with oats.Heat a flat pan, drizzle some oil and toast them on medium heat till it becomes golden brown on either side or serve.Serve the Oats and Vegetable Kebab Recipe as a healthy afternoon snack </t>
  </si>
  <si>
    <t>http://www.archanaskitchen.com/oats-and-vegetable-kebab-recipe</t>
  </si>
  <si>
    <t>Chana Methi Dal</t>
  </si>
  <si>
    <t>1 cup gram dal, fenugreek - a bunch (wash), 1/4 teaspoon asafoetida, 1 teaspoon cumin seeds, 1 onion - finely chopped, 1 tomato - chopped, 2 teaspoons coriander powder, 1 teaspoon turmeric powder, 1 teaspoon red chilli powder, salt - according to taste, 2 teaspoons oil</t>
  </si>
  <si>
    <t xml:space="preserve">To make Chana Methi Dal, first wash the chana dal and soak it in 3 cups of water. Wash and dry the fenugreek as well. Chop the fenugreek after it dries. Now heat oil in a pan. Add fenugreek and cook till it becomes soft. After it is cooked, keep it aside. Now heat oil in a pressure cooker. Add asafoetida and cumin seeds and let it cook for 10 seconds. Now add onions and cook till it becomes soft. After the onions become soft, add tomatoes, coriander powder, turmeric powder, red chili powder, mix and cook till the tomatoes become soft. Now add chana dal, mix and close the cooker. Cook till 2 to 3 whistles, reduce the flame and let it cook for 5 minutes. After 5 minutes turn off the gas and let the pressure release. Open the cooker, mash the dal a little and add fenugreek to it. Mix well and serve hot. Serve chana methi dal with lauki badi Serve with sabzi and phulkas for lunch.
</t>
  </si>
  <si>
    <t>http://www.archanaskitchen.com/chana-methi-dal-recipe-in-hindi</t>
  </si>
  <si>
    <t>Spicy Chana Chaat Frankie Recipe</t>
  </si>
  <si>
    <t>1 cup Whole Wheat Flour,1 pinch Salt,1 cup Kabuli Chana (White Chickpeas) - soaked overnight and boiled,1 inch Ginger - chopped,4 cloves Garlic - pound,1 tablespoon Red Chilli powder,1 teaspoon Turmeric powder (Haldi),2 tablespoon Cumin powder (Jeera),2 tablespoon Chaat Masala Powder,1 teaspoon Sugar,Salt - to taste,1 Onion - chopped,1 Tomato - chopped,1 Green Chilli - chopped,2 sprig Coriander (Dhania) Leaves - chopped</t>
  </si>
  <si>
    <t xml:space="preserve">To begin making Spicy Chana Chaat Frankie Recipe soak the chickpeas in water till overnight. Boil the chickpeas in a pressure cooker with water, so that lentils are fully immersed. Pressure cook them for 30 minutes until they are cooked.Remove from the heat, wait until all the pressure is released naturally. Strain the chickpeas and keep 1 cup of the cooked water for later use.Heat a sauce pan on medium heat with oil, add ginger garlic that is chopped and fry for 1 minutes till it softens.Add the cooked chickpeas, along with red chilli powder, turmeric power, chaat masala, cumin powder, sugar and salt. Give it a toss. At this point add the preserved water and cook until the water is all evaporated and you get a little wet gravy.Switch off the heat and add all the chopped vegetables along coriander leaves and give it a toss. Check for salt and keep it aside.To make the parathasKnead the flour with water to form a firm dough. Take a medium sized ball from the dough, dust some flour on to your rolling board and flatten the dough. Start rolling the dough flat to form a big circle. Do not roll it too thin.With skillet on medium high heat, place one rolled out paratha on the skillet. After a few seconds you will notice an air pockets popping out. At this point flip the plain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paratha.To assembleTake out one paratha, smear mustard sauce evenly and spoon the stuffing and place it on one side of the paratha and start rolling it tightly.You can wrap it tightly with an aluminum foil and cover it tightly. This will help you to eat the roll more conveniently. You can cut it in the middle and peel off the wrapper and pack it for your lunch box as well.Serve the Spicy Chana Chaat Frankie along with green chutney and some fresh Carrot Cucumber Tomato Salad by the side to enjoy your evening snack.
</t>
  </si>
  <si>
    <t>https://www.archanaskitchen.com/spicy-chana-chaat-frankie-recipe</t>
  </si>
  <si>
    <t>Matar Poha</t>
  </si>
  <si>
    <t>1 1/2 cup poha, 1 cup green peas, 2 onions - finely chopped, 3 green chillies - finely chopped, 1/2 teaspoon turmeric powder, 1 teaspoon mustard seeds, 1 teaspoon cumin seeds, 2 sprigs curry leaves, 1/4 teaspoon asafoetida, salt - according to taste, coriander leaves - finely chopped, lemon juice - juice of one lemon</t>
  </si>
  <si>
    <t>"To make Matar Poha, first heat water in a saucepan. Add peas and cook till they become soft. Drain the peas and keep aside. Now wash the poha thoroughly. Drain the water through a sieve and keep aside. Heat oil in a pan. Add asafoetida, cumin seeds, mustard seeds and cook for 30 seconds. After 30 seconds add curry leaves, green chilies and cook for 1 minute. After 1 minute add onions and cook till onions become soft. After onions become soft, add turmeric powder, salt, peas and poha. Mix well, sprinkle some water, cover the pan and cook for 2 to 3 minutes. Turn off the gas and cover the pan. Let it remain covered for 5 to 6 minutes and garnish with coriander leaves and add lemon juice and mix. Serve Matar Poha for breakfast with masala tea and fruit of your choice Serve it.</t>
  </si>
  <si>
    <t>http://www.archanaskitchen.com/matar-poha-recipe-flattened-rice-stir-fry-with-green-peas-in-hindi</t>
  </si>
  <si>
    <t>Cheese Garlic Naan Recipe</t>
  </si>
  <si>
    <t>1-1/2 cup All Purpose Flour (Maida),1 cup Whole Wheat Flour,1/2 cup Curd (Dahi / Yogurt),1 1/2 teaspoon Active dry yeast,Salt - to taste,1 tablespoon Garlic - minced,1/4 cup Coriander (Dhania) Leaves - finely chopped,1 tablespoon Butter,1 teaspoon Sunflower Oil,1 cup Cheese - grated,2 tablespoons Garlic - finely chopped,Butter - to smear on the naans</t>
  </si>
  <si>
    <t xml:space="preserve">To begin making the Cheese Garlic Naan Recipe, we need to make the dough to ensure it is well rested. To make the dough in a mixing bowl, combine the all purpose flour, along with the whole wheat flour, active dry yeast, salt, garlic, coriander leaves, butter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portions.Heat a cast iron tawa on medium heat, and keep it ready.Roll out each dough ball into a 4 inch diameter, place the grated cheese, and bring the edges together and make a potli, flatten between your palms, dust it in flour and begin to roll in a way that we get elongated, oval naans. Brush water on one side of the naan, and evenly spread it on the entire surface of the naan, now place this naan on the tawa, with the water side face down, quickly sprinkle some chopped garlic, and press it down on the naan, in a way it gets embedded in the Cheese Garlic Naan. Next, after about 40 seconds, flip the tawa upside down, in a way that the tawa is up and the naan is in direct contact with the flame. Gradually the naan , will fall off from the tawa, using a pair of tongs, take the Cheese Garlic Naan from the griddle and cook the other side directly on the flame. Keep moving the naan for even cooking. Remove from the flame, slather some butter and serve hot.  Serve hot Cheese Garlic Naan along with Spinach Mushroom Chickpea Curry Recipe or Tadkewali Masoor Dal Recipe - High Protein Masoor Dal Recipe,  Pudina Pyaz Kachumber Salad Recipe - Mint &amp; Onion Salad  followed by a dessert of Mango Sago Kheer Recipe - Sabudana Kheer With Mangoes 
</t>
  </si>
  <si>
    <t>https://www.archanaskitchen.com/cheese-garlic-naan-recipe</t>
  </si>
  <si>
    <t>Pudina Buttermilk Recipe</t>
  </si>
  <si>
    <t>1 cup Curd (Dahi / Yogurt),2 sprig Mint Leaves (Pudina) - chopped,1 inch Ginger - chopped,1/2 teaspoon Cumin seeds (Jeera) - roasted and ground</t>
  </si>
  <si>
    <t xml:space="preserve">To begin with Pudina Buttermilk recipe, firstly churn curd well in a narrow-mouthed utensil or glass. (Blender or a mixer can also be used)Add water and churn again. If curd is not thick, adjust the water quantity in the recipe as per the required consistency.Add pudina powder, jeera powder, salt and mix everything well. Refrigerate for cooling and serve chilled buttermilk with your meal.Serve Pudina Buttermilk everyday as a side dish with your lunch meal.
</t>
  </si>
  <si>
    <t>http://www.archanaskitchen.com/pudina-buttermilk-recipe</t>
  </si>
  <si>
    <t>Chickpea Soup Recipe</t>
  </si>
  <si>
    <t>1/2 cup chickpeas or chickpeas, 1 onion - chopped, 1 teaspoon ginger garlic paste, 1 teaspoon basil powder - or oregano, 1/2 teaspoon red chilli flakes, 1 teaspoon black pepper powder, turmeric powder - a pinch, 1 teaspoon oil, lemon juice - according to taste, salt - according to taste</t>
  </si>
  <si>
    <t>"To make Kabuli Chana Soup Recipe, first wash the chickpeas and soak them in water for 8 to 10 hours. After that put the chickpeas in a pressure cooker with 1 cup water and turmeric powder and cook till 3 to 4 whistles. Let the pressure release automatically and keep it aside to cool. After it cools down, add some water and make a paste of it in a mixer grinder. Keep it aside. Heat oil in a pan. After the oil is heated, add onion, ginger, garlic paste and cook for 3 to 4 minutes. Add chickpea puree, water as per requirement and cook for 5 to 6 minutes. Add salt, basil powder, red chilli flakes, mix and let it boil. After it boils, add black pepper powder, lemon juice and cook for another 2 minutes. Serve hot. Enjoy Kabuli Chana Soup Recipe at night with garlic bread and salad. Serve for dinner.</t>
  </si>
  <si>
    <t>https://www.archanaskitchen.com/chickpea-soup-recipe-in-hindi</t>
  </si>
  <si>
    <t>Tamatar Gosht Recipe-Mutton In Tomato Curry</t>
  </si>
  <si>
    <t>500 grams Mutton - cut into medium piece,2 Onions - minced,1-1/2 tablespoon Garlic - paste,1 tablespoon Ginger - paste,4 Green Chillies - slit,3 Tomatoes - cut into 4 quadrants,1 tablespoon Coriander Powder (Dhania),1 teaspoon Red Chilli powder,1/2 teaspoon Turmeric powder (Haldi),Salt - as required,1/2 cup Mustard oil,2 tablespoons Coriander (Dhania) Leaves - chopped,2 Bay leaf (tej patta),1/2 Cinnamon Stick (Dalchini),2 Cloves (Laung),4 Whole Black Peppercorns,2 Cardamom (Elaichi) Pods/Seeds,1 Black cardamom (Badi Elaichi),1 teaspoon Ajwain (Carom seeds),1 teaspoon Mace (Javitri)</t>
  </si>
  <si>
    <t xml:space="preserve">To begin making the Tamatar Gosht Recipe recipe, wash the mutton nicely and keep it aside.Soak all the whole spices in 1/2 cup of water for 10 to 15 minutes expect bay leaf and shah jeera.Once the spices are soaked nicely, grind them into a fine paste in a grinder and collect in a bowl and set side.Heat oil in a pressure cooker (preferable wide mouth) and add shahi jeera and bay leaf in it.Once the shahi jeera starts to crackle, add minced onion or onion paste and saute till raw smell goes off.Now add ginger garlic paste and fry all together till brownish in colour.Add in the slit green chilies, mutton pieces, tomatoes and mix well for few minutes till mutton starts loosing moisture.Now add turmeric powder, red chilli powder, coriander powder and 1 tablespoon of garam masala paste and fry well till oil starts leaving sides.Add salt as per taste and adjust oil if required.Once the masala is fried well, add in 1 cup of water or more(as per the consistency of the curry required) and stir well.Close the lid of the cooker and let it whistle 4 to 5 times or till the mutton is cooked. Do not over cook the mutton else it will go mushy and mix in the curry.Once the curry is done and the steam is released from the cooker, open the lid carefully and give a quick stir.Transfer the curry into a serving bowl and garnish with fresh coriander.Serve this enticing Tamatar Gosht with Roti or Rice with a dash of lemon juice on it.
</t>
  </si>
  <si>
    <t>https://www.archanaskitchen.com/tamatar-ghost-recipe-mutton-in-tomato-curry</t>
  </si>
  <si>
    <t>Oats, Peas &amp; Tofu Stuffed Paratha Recipe</t>
  </si>
  <si>
    <t>1 cup Tofu - crumbled,1 Red Bell pepper (Capsicum) - finely chopped,1/2 cup Green peas (Matar),1/2 cup Instant Oats (Oatmeal) - soaked in 2 tablespoon water,1 Onion - chopped,1 inch Ginger - chopped,4 cloves Garlic - chopped,1 Green Chilli - chopped,1 teaspoon Turmeric powder (Haldi),2 teaspoon Red Chilli powder,1 teaspoon Amchur (Dry Mango Powder),1 teaspoon Coriander Powder (Dhania),Salt - to taste,1 cup Whole Wheat Flour,Salt - to taste,Sunflower Oil - for kneading,Water - for kneading</t>
  </si>
  <si>
    <t xml:space="preserve">To begin making the Oats, Peas &amp; Tofu Stuffed Paratha Recipe we will first prep all the ingredients and keep them ready.We will first knead the dough for the paratha. In a large mixing bowl, add the flour and salt. Add water little at a time and knead to make a soft and smooth dough.Once all the flour has come together, drizzle a teaspoon of oil on the top of the dough and knead for another couple of minutes. Cover the dough and keep aside.We will now proceed to make the stuffing.Heat a skillet on a medium heat with some oil, add in the garlic and ginger, saute them well. Then add in the chopped onion, green chillies, bell peppers and peas. Saute them till it is half cooked.     Add in the crumbled tofu, soaked oats and all the spice powders, cook them well on the medium heat till the raw smell of the spice goes away. Keep it aside.Divide the dough portions into medium lemon size balls. Place some flour aside for dusting.Pat the portion of the dough and dust it in flour. Roll out the dough into a 5 inch diameter circle. Spoon a large portion of the filling in the center of the circle.Bring the edges of the circle to the center, pinch and seal gently. Lightly flatten the dough again with your palm.Roll the paratha, adding very little pressure so the filling stays inside and does not ooze out.Proceed the same way to fill the remaining Oats, Peas &amp; Tofu Stuffed  Paratha.The next step is to cook the paratha on the skillet or roti tawa. Preheat the skillet and then place the rolled out paratha on the skillet.Flip and cook on both sides until brown spots appear and the paratha is fully cooked. Drizzle ghee or oil on the paratha and cook on low to medium heat until the paratha is cooked through and golden brown on both sides.Once cooked, transfer the paratha to a platter and cook the remaining Oats, Peas &amp; Tofu Stuffed  Parathas the similar way.Serve the Oats, Peas &amp; Tofu Stuffed Paratha Recipe along with Garlic yogurt or just a pickle by the side to relish your breakfast meal or Lunch.
</t>
  </si>
  <si>
    <t>https://www.archanaskitchen.com/oats-peas-tofu-stuffed-paratha-recipe</t>
  </si>
  <si>
    <t>Veg Makhanwala Recipe</t>
  </si>
  <si>
    <t>1 tbsp butter, salt - according to taste, 1/4 cup carrot - chopped, 1/4 cup capsicum (green) - chopped, 1/4 cup green beans - chopped, 1/4 cup baby corn - chopped, 1/4 cup cabbage - chopped, 1 tbsp butter, 2 cloves, 1 cardamom, 1 inch cinnamon, 2 dry Kashmiri chillies, 1 tsp coriander seeds, 1/2 tsp whole black pepper, 6 cashews, 5 long garlic, 1 inch ginger, 1 green chilli, 2 onions - finely chopped, salt - according to taste, 1 tsp Kashmiri red chilli powder, 1/4 tsp turmeric powder, 1 tsp cumin powder, 1 tsp garam masala powder, 1 cup tomato puree, 2 tbsp cream, butter - according to use</t>
  </si>
  <si>
    <t>"To make Veg Makhanwala recipe, first heat butter in a pan. Add carrot, capsicum, baby corn, beans, cauliflower and cook for 5 minutes. Do not cook till soft, vegetables should have a little crunch. Turn off the gas and keep aside. Heat butter in a pan. Add cinnamon, cloves, cardamom, black pepper, dried red chillies, coriander seeds, cashews and cook for 2 minutes. After 2 minutes add garlic, ginger, green chillies, onion and cook till onion turns golden brown. Turn off the gas and let the mixture cool down. Put this mixture in a mixer jar with some water and grind to make a paste. Take it out in a bowl and keep it aside. Heat butter in a pan. Add salt, turmeric powder, red chilli powder, cumin powder, garam masala powder and cook for 2 minutes. Now add the ground mixture and cook for 3 to 4 minutes. Add tomato puree and let it boil. After it boils, add cream and mix it. After 1 minute, add vegetables, cover the pan and cook for 5 minutes. If you want more gravy then add some milk and mix it. Add butter on top and serve. Serve Veg Makhanwala Recipe with Lauki Raita, Daal Tadka, Jeera Rice and Phulkas for a special occasion meal.</t>
  </si>
  <si>
    <t>http://www.archanaskitchen.com/veg-makhanwala-recipe-north-indian-mixed-vegetables-gravy-in-hindi</t>
  </si>
  <si>
    <t>Palak Puri Recipe (Crispy Spinach Puri Snack)</t>
  </si>
  <si>
    <t>3 cup Whole Wheat Flour,2 cup Spinach Leaves (Palak) - finely chopped,1 tablespoon Ginger - paste,1 tablespoon Green Chilli - paste,3 tablespoons Ghee - or butter,Salt - to taste</t>
  </si>
  <si>
    <t xml:space="preserve">Wash the finely chopped spinach, and let it dry.Take wheat flour, add salt, ghee, ginger paste, chilli paste and mix them well. Now add spinach and neat well to create dough without adding water.I used only 4 to 5 tablespoons water to make dough. Make hard dough from it.Do not give rest to dough, immediate roll out the medium sized puri form it.Roll out the thin puri. Meanwhile heat the oil for frying.Then fry puri on very low flame.It may take more time, but it is required to give crispiness to puri.Fry till it turns golden brown.Once it cools down completely, store it into air tight container.Serve Palak Puri as a tea time snack along with a hot cup of Masala Tea.
</t>
  </si>
  <si>
    <t>https://www.archanaskitchen.com/palak-puri-recipe-crispy-spinach-puri-snack</t>
  </si>
  <si>
    <t>Creamy Kulfi Kebab Recipe With Tandoori Mayo Recipe</t>
  </si>
  <si>
    <t>8 Chicken Wings,1/4 cup Del Monte Tandoori Mayo,1/4 tablespoon Cheese - grated,1 tablespoon Fresh cream,1 inch Ginger - grated,3 cloves Garlic - grated,1 tablespoon Lemon juice,1 tablespoon Curd (Dahi / Yogurt),1 tablespoon Mustard oil,Salt - to taste,1 Banana leaf</t>
  </si>
  <si>
    <t xml:space="preserve">To begin making the Creamy Kulfi Kebab Recipe With Tandoori Mayo recipe, wash and clean chicken wings and keep aside.In a mixing bowl add del monte tandoori mayo, ginger garlic paste, lemon juice, sour curd, cream, mustard oil and salt. Mix them to make a fine paste.Add chicken wings to the mayo mix and coat them well.Cling wrap the bowl and refrigerate the marinate for 30 minutes approximately.Take a large banana leaf and cut into 4 square measuring 10”x10” inch. Remove the centre rib/stem.Switch on the stove and hold a banana leaf square with a tong and place over the flames. Keep flipping for few seconds. This will make the leaf soft and won’t tear while folding.Follow the same step for the other leaf pieces too and keep aside.Take the marinated chicken wings and some grated cheese. Place two wings at a time in one banana leaf.Fold the sides inside to make an envelope, tie the envelope with a string from both sides so that it doesn’t opens.Similarly prepare more packets and keep aside.Heat a non stick pan and grease it well with some oil.Once the pan is hot, place the banana packets prepared (two at a time), cover the lid and cook in low flames till the colour of the leaf changes to pale brown.Flip the banana leaf packet and similarly cook from the other side as well. This might take 15 to 20 minutes till the chicken is nicely cooked.Do not open the wrap before serving, open the wrap just before eating. Serve Creamy Kulfi Kebab Recipe With Tandoori Mayo on its own or along with Dhaniya Pudina Chutney as a starter for your house parties.
</t>
  </si>
  <si>
    <t>https://www.archanaskitchen.com/creamy-kulfi-kebab-recipe-with-tandoori-mayo-recipe</t>
  </si>
  <si>
    <t>Moong Dal Sookhi Sabzi Recipe</t>
  </si>
  <si>
    <t>1 cup Yellow Moong Dal (Split),1 tablespoon Red Chilli powder,1/2 teaspoon Turmeric powder (Haldi),1 teaspoon Garam masala powder,Salt - to taste,2 tablespoon Sunflower Oil,1 Green Chilli,1 tablespoon Lemon juice,Coriander (Dhania) Leaves - as required to garnish</t>
  </si>
  <si>
    <t xml:space="preserve">To begin making Moong Dal Sookhi Sabzi, first wash the Moong dal and set it aside.Heat oil in a deep pan and add red chilly powder, turmeric powder and salt. Stir it for 10-12 seconds. Do not let the spice powders burn.After 10-12 seconds, add the washed lentil to this and give it a good stir.Add enough water to cover the dal, reduce the heat and cover the pan with a lid.Cook the dal till the water gets evaporated. Check if the dal is cooked, if not add a little more water and cook till the dal is cooked properly.Make sure that you do not over cook the dal. Once done, open the lid, turn the heat to high, add garam masala powder and give it a good stir.Saute the Moong Dal Sookhi Sabzi till it is completely dry. After the dal has dried completely, turn off the heat and transfer it to the serving bowl, add chopped green chillies, coriander leaves and lemon juice on the top.Serve Moong Dal Sookhi Sabzi Recipe with Lauki raita, Phulkas and kachumber salad for lunch or dinner.
</t>
  </si>
  <si>
    <t>https://www.archanaskitchen.com/moong-dal-sookhi-sabzi-recipe</t>
  </si>
  <si>
    <t>Bhindi And Paneer Masala Recipe</t>
  </si>
  <si>
    <t>150 grams Bhindi (Lady Finger/Okra) - chopped to inch,1 cup Paneer (Homemade Cottage Cheese) - cubed,1 Onion - chopped,1 Bay leaf (tej patta),1 teaspoon Red Chilli powder,1/2 teaspoon Turmeric powder (Haldi),2 teaspoon Coriander Powder (Dhania),1 teaspoon Sugar,Salt - to taste,Sunflower Oil - for cooking,2 Tomatoes - chopped,2 Cloves (Laung),1 inch Cinnamon Stick (Dalchini),1 Cardamom (Elaichi) Pods/Seeds,4 cloves Garlic,1 inch Ginger,1 tablespoon Hung Curd (Greek Yogurt)</t>
  </si>
  <si>
    <t xml:space="preserve">To begin making the Bhindi and Paneer Masala Recipe, grind the tomatoes along with cinnamon, cardamom, clove, garlic, ginger and yogurt to a smooth paste.Heat a kadai with oil, add the chopped ladies finger and fry them till it is soft and crispy. Sprinkle little salt also and fry them. Keep it aside.In the same kadai, add little more oil, add bay leaf, chopped onions and saute till it becomes translucent.Add the ground paste along with turmeric powder, red chilli powder, coriander powder, sugar and salt. Mix well and saute till the raw smell of the tomato goes away.Add the chopped ladies finger and paneer and mix well. Check for salt and cover it with a lid and cook Bhindi and Paneer Masala for 2 minutes. Serve hot.Serve the Bhindi and Paneer Masala Recipe along with Tawa Paratha, Palak Dal and Lauki Raita to make your dinner meals simple and healthy.
</t>
  </si>
  <si>
    <t>https://www.archanaskitchen.com/bhindi-and-paneer-masala-gravy-recipe</t>
  </si>
  <si>
    <t xml:space="preserve">Pumpkin Dal With Garlic Tadka </t>
  </si>
  <si>
    <t>1/4 cup tur dal, 1/4 cup yellow moong dal, 1/4 cup masoor dal, 1 inch ginger - grated, 2 green chillies - chopped, 1 inch cinnamon, 1 bay leaf, 2 tomatoes - finely chopped, 250 grams pumpkin - peeled and chopped, salt - according to taste, oil - according to use, 1 teaspoon turmeric powder, 1 teaspoon ghee, 1 teaspoon cumin seeds, 4 cloves garlic, 2 dried red chillies</t>
  </si>
  <si>
    <t>"To make Pumpkin Dal with Garlic Tadka, first cook the dal in a pressure cooker. Except for the ingredients for the tempering, put all the remaining ingredients in the cooker. Add 2-1/2 cups of water and salt according to taste. Mix, close the cooker and cook till 2 whistles. After 2 whistles, reduce the flame and let it cook for 4 minutes. Turn off the gas and let the pressure release. After the pressure is released, open the cooker and mix the dal. Take it out in a bowl. Now we will make the tempering for the dal. Heat ghee in a small pan. Add cumin seeds, garlic and dried red chillies in it. Cook for 15 seconds and then pour this tempering over the dal. Mix and serve. Serve Pumpkin Dal Tadka with Boondi Raita and Bhakri for lunch. "</t>
  </si>
  <si>
    <t>https://www.archanaskitchen.com/pumpkin-dal-with-garlic-tadka-recipe-in-hindi</t>
  </si>
  <si>
    <t>Nawabi Mixed Vegetable Gravy Recipe</t>
  </si>
  <si>
    <t>1/2 cup Cauliflower (gobi),1/4 cup Green beans (French Beans) - cut in one inch pieces,1/4 cup Carrots (Gajjar) - cubed,1/4 cup Green peas (Matar),1 Bay leaf (tej patta),2 to 3 Cloves (Laung),1 inch Cinnamon Stick (Dalchini),1 Onion - sliced,1 Tomato - roughly chopped,1 Green Chilli - slit,2 teaspoons Coriander Powder (Dhania),1 teaspoon Red Chilli powder,1 teaspoon Garam masala powder,Coriander (Dhania) Leaves - finely chopped for garnish,2 tablespoons Ghee,8 to 10 Cashew nuts - blanched,1 Onion - blanched,1 Tomato,2 to 3 Garlic,2 inch Ginger,1/2 teaspoon Cumin seeds (Jeera)</t>
  </si>
  <si>
    <t xml:space="preserve">To begin making the Nawabi Mixed Vegetable Gravy, blanch the cashew nuts and onion in hot water for 2 minutes and drain it.Grind the blanched cashew nuts and onion along with chopped tomatoes, ginger, garlic and cumin seeds to a smooth paste using very little water in a mixer grinder and keep aside.Heat ghee in a wok/kadhai, add the whole spices including bay leaf, cloves and the cinnamon stick and let its flavour release into the ghee.Add the sliced onion and sauté till it becomes golden brown.Add the chopped tomato and slit green chilli and stir for a few minutes.Now add the cut vegetables and mix well. Add the dry spice powders including coriander, chilli and garam masala powders and mix well.Season with a little salt, add 1/2 cup of water and let the vegetables cook with the lid closed.Once the vegetables are firmly cooked add the ground spice paste into the pan and stir well.Check for the salt seasoning and simmer for 10 minutes until the vegetables incorporates well along into the gravy.Switch off the flame and garnish with finely chopped coriander leaves. Serve Nawabi Mixed Vegetable Gravy at one of your house parties lunch menu along with rotis, Pudina tawa paratha or jeera rice.
</t>
  </si>
  <si>
    <t>http://www.archanaskitchen.com/nawabi-mixed-vegetable-gravy-recipe</t>
  </si>
  <si>
    <t>Lobia Kebabs Recipe (Black Eyed Bean Patties)</t>
  </si>
  <si>
    <t>1 cup Black Eyed Beans (Lobia),1/4 Instant Oats (Oatmeal) - rolled and powdered,1 Onion - finely chopped,1/2 Red Bell pepper (Capsicum) - finely chopped,2 Green Chillies - finely chopped (optional),2 tablespoon Mint Leaves (Pudina),2 tablespoon Coriander (Dhania) Leaves,1 clove Garlic - finely chopped,2 teaspoons Red Chilli powder - (adjust to tolerance),1 teaspoon Cumin powder (Jeera),1/2 teaspoon Garam masala powder,Salt - to taste,1 teaspoon Extra Virgin Olive Oil - to aid in the shallow frying process</t>
  </si>
  <si>
    <t xml:space="preserve">To begin making the Lobia Kebabs Recipe (Black Eyed Bean Patties), we will first first wash the black eyed beans well and soak with fresh water overnight.Once the black eyed beans are soaked well, cook the beans until the beans are soft and mashable. You can use a sauce pan or the pressure cooker to cook the beans.If you are using the pressure cooker, cook until you hear two whistles.After two whistles, turn the heat to low and simmer for about 5 minutes and then turn off the heat.If using a pressure cooker, cook until the first whistle, then turn off the heat.  Allow the pressure cooker to cool off naturally. Once cooled, drain the excess water and keep the beans aside.Meanwhile, powder the rolled oats in a grinder and keep this ready.Add the cooked beans to a bowl, keeping a few tablespoons aside.Mash the beans using a potato masher or a fork.Add powdered oats, finely chopped onion, garlic, fresh coriander, mint, red and yellow peppers and the unmashed beans together in a large mixing bowl.Mix well, adding salt to taste as also cumin powder, red chili powder and garam masala powder.Using your clean hand mix everything well, bring it together, mashing slightly. Check the salt and spice levels and adjust to suit your taste.The next step is to shape and cook the kebabs in a pan. Divide the mixture into medium patty size portions of 2 inch thickness and diameter.Heat a skillet on medium heat. Add a teaspoon or two of oil, spread this all over the skillet using a clean absorbent kitchen towel, in such a way as to coat the surface well, but not visible.Place the shaped black eyed bean kebabs on the skillet. Drizzle a few drops of oil all around the kebab. Cook the kebabs on medium heat.After about 2-3 minutes or after the under-side turns brown, flip carefully using a flat spatula.Again cook for 2-3 minutes or until brown and crisp on both sides.Transfer the Black Eyed Bean Kebabs to an absorbent paper towel. Repeat the same process with the rest of the mixture.Serve the Lobia Kebabs Recipe (Black Eyed Bean Patties) hot along with a Yogurt Dip for parties or as a snack for kids school boxes.
</t>
  </si>
  <si>
    <t>https://www.archanaskitchen.com/lobia-kebabs-recipe-black-eyed-bean-patties</t>
  </si>
  <si>
    <t>Dubki Wale Aloo Recipe - Potatoes In A Spicy North Indian Gravy</t>
  </si>
  <si>
    <t>6 Potatoes (Aloo) - boiled,1 Tomato - pureed,2 teaspoons Coriander (Dhania) Seeds - roasted and crushed coarsely,2 teaspoons Red Chilli powder,1/2 teaspoons Turmeric powder (Haldi),1 teaspoon Amchur (Dry Mango Powder),2 teaspoon Ginger - grated,1/2 teaspoon Methi Seeds (Fenugreek Seeds) - slightly crushed,1 teaspoon Cumin seeds (Jeera),4 Dry Red Chillies - broken into 2,1 teaspoon Kasuri Methi (Dried Fenugreek Leaves),Asafoetida (hing) - A pinch</t>
  </si>
  <si>
    <t xml:space="preserve">To begin making Dubki Wale Aloo Recipe, first roughly break the boiled potatoes into small pieces. Take care not to mash it too fine. Make sure the potatoes remain chunky.Then, place a kadhai or a handi on the heat. Warm some mustard oil until smoky. Then reduce the heat to very low, add cumin seeds and broken chilies and allow them to sputter.Next, add the crushed methi seeds and asafoetida followed by the grated ginger. Toss it all for a few seconds until aromatic.Once done add the tomatoes and saute on a high heat for 3-4 minutes.Once the tomatoes are soft add the roasted crushed coriander, red chilli powder, turmeric and mix well to combine.After the masalas are all mixed with the tomatoes add in the potatoes and gently mix so they get coated with the spices.Once done add water depending upon the consistency you require. This recipe calls for 3 cups of water, which gives a runny gravy.Bring the dubki Wale Aloo to a boil and then reduce the heat.. Allow it to simmer for 5-6 minutes.Lastly, sprinkle the kasuri methi and cook for another minute. Turn the heat off.Transfer the Dubki Wale Aloo Recipe into a serving bowl and garnish with coriander leaves and serve. Serve hot with Bedmi Puris, Whole Wheat Puris or Bedmi Poori or Parathas of your choice for breakfast.
</t>
  </si>
  <si>
    <t>https://www.archanaskitchen.com/dubki-wale-aloo-recipe-potatoes-in-a-spicy-north-indian-gravy</t>
  </si>
  <si>
    <t>Masala Jowar Methi Roti Recipe</t>
  </si>
  <si>
    <t>1-1/2 cup Jowar Flour (Sorghum),1/2 cup Whole Wheat Flour,1 cup Methi Leaves (Fenugreek Leaves) - chopped,1 teaspoon Red Chilli powder,1 teaspoon Turmeric powder (Haldi),1 cup Lukewarm Water,1 teaspoon Salt,1 teaspoon Sunflower Oil</t>
  </si>
  <si>
    <t xml:space="preserve">To begin making Jowar Methi roti, heat water in a pan and add salt and oil. Mix it well. The water has to be luke warm to knead the flour.In a mixing bowl, add the jowar flour, wheat flour, methi leaves, red chilli powder, turmeric powder and salt and knead well. Keep adding little luke warm water at a time until the dough becomes soft and non-sticky.It should be kneaded properly, as we will make the roti’s immediately without giving any resting time to the dough.Keep the dough covered with clean damp cloth so that it does not dry. The next step is to cook the rotis. Keep a iron tawa/griddle on medium flame.Dust your rolling surface with little whole wheat flour.Now we will start making the rotis using our hands. Divide the dough into 6 - 8 equal portions and roll out a portion of the dough into a round and thick roti using your hands. You can shape the roti by pressing out a circle with your fingers as well.Place the roti over the pre-heated skillet and cook it for a few seconds on one side or till a few bubbles appear on top.Turn over the roti and cook the other side for a few more seconds. Lift the roti with tongs and roast over the direct flame till brown spots appear on both the sides.Similarly, prepare the remaining Rotis.Serve the Masala Jowar Methi Roti Recipe along with Smoked Dal Makhani Dhaba Style, Jain Style Whole Green Moong Dal Subzi and raita by the side to enjoy your lunch.
</t>
  </si>
  <si>
    <t>http://www.archanaskitchen.com/masala-jowar-methi-recipe</t>
  </si>
  <si>
    <t>1 liter Milk,1 cup Sweet Boondi,1/2 teaspoon Cardamom Powder (Elaichi),1 teaspoon Rose water,Saffron strands - a few,10 Badam (Almond) - blanched</t>
  </si>
  <si>
    <t xml:space="preserve">To begin making the Boondi Ki Kheer Recipe, firstly blanch the almonds and cut them into slivers and keep them ready. See How to blanch Almonds here. You can either use store bought sweet boondi or make it at home. Here's how to make homemade Sweet Boondi / Meethi Boondi Recipe. Getting ahead with the Boondi Ki Kheer RecipeAdd milk in a sauce pan on medium high flame and bring it to a brisk boil. Once the milk has boiled, reduce the flame to medium- low, add in the saffron strands, and cardamom and let the milk reduce to half its volume. We are looking for a creamy, thick kheer.  Once it reduces to half its quantity, turn off the flame. At this stage add in the rose water, almond slivers and the sweet boondi. Serve the the Boondi Ki Kheer hot or cold , according to your choice. Serve Boondi Ki Kheer Recipe as a dessert after a meal of Dal Bukhara Recipe (Punjabi Style Black Urad Dal), Cheese Garlic Naan Recipe, Pickled Onions, Pudina Mushroom And Soya Biryani Recipe and Coriander Tadka Raita Recipe
</t>
  </si>
  <si>
    <t>https://www.archanaskitchen.com/boondi-ki-kheer-recipe</t>
  </si>
  <si>
    <t>Achaari Aloo Gobhi</t>
  </si>
  <si>
    <t>1 cabbage - chop, 2 potatoes - boil and peel, 2 tbsp mustard oil, 2 green chillies - chop, 1 inch ginger - grate, 1 onion - chop, 1 tsp pickle masala, 1 tsp dry mango powder, 1 tsp turmeric powder, salt - according to taste, red chilli powder - according to taste, 1 dry red chilli, 1 tsp coriander seeds, 1/2 tsp nigella seeds, 2 tsp fennel seeds, 1 tsp mustard seeds, 2 tsp cumin seeds, 1/2 tsp fenugreek</t>
  </si>
  <si>
    <t>"To make Achari Aloo Gobi, first boil the potatoes. Put the potatoes in a pressure cooker with some water and salt and cook till 2 whistles. Once the potatoes are cooked, peel them and chop them. Put the cabbage in a steamer and steam them till they are cooked. Keep them aside. Now put all the ingredients given in Achari Masala in a pan and fry them for 2 to 3 minutes. Once cooked, let them cool down and grind them in a mixer grinder. Your Achari Masala is ready. Now put mustard oil in a pan. Add green chilies, ginger and onions. Cook till the onions become soft. After the onions become soft, add turmeric powder, Achari Masala powder, salt, dry mango powder, cabbage and potatoes. Sprinkle some water and mix well. Cover the pan and let it cook on low flame for 5 to 8 minutes. After cooking, turn off the gas and garnish with green coriander. Serve Achari Aloo Gobi with Gujarati Daal and Phulkas Serve with lunch.</t>
  </si>
  <si>
    <t>https://www.archanaskitchen.com/achaari-aloo-gobhi-recipe-in-hindi</t>
  </si>
  <si>
    <t>Stuffed Mooli Paratha Recipe (Radish Flat Bread)</t>
  </si>
  <si>
    <t>3 Mooli/ Mullangi (Radish) - finely grated,2 teaspoon Figaro Pure Olive Oil,1 teaspoon Cumin powder (Jeera),1 teaspoon Ginger - grated,1-1/2 tablespoons Gram flour (besan) - (optional),Coriander (Dhania) Leaves - a handful,2 Green Chillies - finely chopped,Salt - to taste,2 cups Whole Wheat Flour,1 teaspoon Salt,Figaro Pure Olive Oil - or ghee to smear while cooking,1 teaspoon Salt,Sunflower Oil - or ghee to smear while cooking</t>
  </si>
  <si>
    <t xml:space="preserve">To begin making the Stuffed Mooli Paratha heat olive oil in a wide pan.Add the radish, salt and saute on high heat till all the moisture from radish evaporates.Turn off the heat and add the remaining ingredients for the stuffing and stir well to combine.Allow the stuffing mixture to cool down.Mix all the ingredients for the dough in a mixing bowl, add little water at a time and knead to make a smooth dough. Divide the dough into 8 portions.Dust a flat working surface with some flour. Roll a portion into a ball and flatten it using your fingers and roll it out into a 3 inch diameter circle.Place about 2 tablespoons of the stuffing in the center, gather the edge and seal it. Carefully roll it out into a circle about 6-7 inches in diameter.Heat a skillet over medium heat and cook the mooli paratha in olive oil until cooked through, and has golden brown spots on both sides.Repeat with the remaining portions of the dough and the mooli paratha filling.Serve Stuffed Mooli parathas on its own or with a chutney, raita or pickle of choice.
</t>
  </si>
  <si>
    <t>https://www.archanaskitchen.com/stuffed-mooli-paratha-recipe-radish-flat-bread</t>
  </si>
  <si>
    <t>Cheesy Aloo Paratha Recipe</t>
  </si>
  <si>
    <t>1 cup Whole Wheat Flour,1 teaspoon Sunflower Oil,1/4 teaspoon Salt,Water - required for kneading,2 Potato (Aloo) - boiled,1 teaspoon Sunflower Oil,1 Dry Red Chilli - broken and deseeded,1/2 teaspoon Cumin seeds (Jeera),Asafoetida (hing) - a pinch,1 Green Chillies - finely chopped,1 inch Ginger - grated,1 Onion - finely chopped,1/4 teaspoon Turmeric powder (Haldi),1/2 teaspoon Coriander Powder (Dhania),1/2 teaspoon Cumin powder (Jeera),1/2 teaspoon Garam masala powder,1/2 teaspoon Chaat Masala Powder,1/4 cup Cheese - processed and grated,4 sprig Coriander (Dhania) Leaves - finely chopped,Salt - to taste</t>
  </si>
  <si>
    <t xml:space="preserve">In a wide bowl, add wheat flour, salt, oil, needed water and prepare a soft and smooth dough. Cover and keep it aside for 15-20 minutes. Dough should not be too hard.The next step is to prepare the stuffing. Pressure cook potatoes for 3 whistles or until soft. Peel the skin and mash them well.Heat oil in a non-stick pan. Add dry red chili and cumin seeds.Once it splutters, add hing/asafoetida, finely chopped onions, green chillies, ginger and pinch of salt and saute until onions turn transparent. Adding salt while cooking onions, prevents it from sticking and getting burnt.Then add the mashed potatoes, turmeric powder, coriander powder, cumin powder, kitchen king masala powder/ garam masala powder, chaat masala and salt and saute for 3-4 minutes till everything gets blended well.Be careful while adding salt at this stage, as we have added a pinch of salt to onions. Plus we are using chaat masala and cheese, so the stuffing will require less salt than usual. Check the salt level and add salt accordingly.Lastly, add 1/4 cup grated cheese and finely chopped coriander leaves, mix well and leave it to cool.Before starting to make parathas, knead the dough well. If needed, use 1/2 teaspoon oil and knead till it becomes smooth and soft.Divide the dough and stuffing into equal parts and make balls out of it. This will make 4 parathas.Dust a little flour and roll out the dough into a small circle.Keep stuffing in the center, gather all the corners and seal the dough with the stuffing inside. Press it down gently to flatten it.Dust a little four and roll it again very gently, so that stuffing doesn’t come out.Heat a tawa/non stick pan and place the paratha.Cook the paratha using little oil/butter/ghee till golden brown spots appears on both sides. Repeat the same steps to make more parathas.Serve Cheesy Aloo Paratha along with Boondi Raita and Dhaniya Pudina Chutney for a filling breakfast or serve it for weekday dinner.
</t>
  </si>
  <si>
    <t>http://www.archanaskitchen.com/cheesy-aloo-paratha-recipe</t>
  </si>
  <si>
    <t>Tawa Tandoori Roti Recipe</t>
  </si>
  <si>
    <t>2 cups Whole Wheat Flour,1/4 cup Curd (Dahi / Yogurt),Salt - to taste,Sunflower Oil - for kneading as well</t>
  </si>
  <si>
    <t xml:space="preserve">To begin making the Tawa Tandoori Roti Recipe, we will add all the ingredients into one bowl and add water slowly according to your requirement to knead it into a soft and non-sticky dough.Add little bit of oil at the end and knead it for some more time till the dough becomes completely soft.Rest the dough by covering it with a damp cloth for atleast 10 minutes.Once rested, heat a cast iron tawa pan. Pinch out a medium sized ball from the dough and flatten it on a floured rolling surface.Roll the dough flat and round, the thickness must be same as the tawa paratha. Take some water in a bowl and brush it over one side of the rolled dough.Place the watered surface dough on to the tawa and leave it for few seconds until you see some bubbles rising.Leave it on low heat for 2 minutes and with the help of a spatuala, try to carefully take out the roti, it will be little hard as it will get stuck to the pan but be careful enough to remove the roti and do not tear it apart.Flip it over and then cook on the other side as well. You can also lift the pan completely and flip it over before you remove the roti from the tawa and show it directly over the flame.Cook on the other side also for 2 minutes and you can serve hot.Serve the Tawa Tandoori Roti along with Bihari Karela and Aloo Ki Subzi , Punjabi Dal Tadka and raita to create a meal for your Sunday lunch or everyday lunch.  
</t>
  </si>
  <si>
    <t>https://www.archanaskitchen.com/tawa-tandoori-roti-recipe</t>
  </si>
  <si>
    <t>Stuffed Capsicum Makhani Recipe</t>
  </si>
  <si>
    <t>4 Tomatoes - chopped,1 Onion - chopped,4 cloves Garlic - chopped,1 teaspoon Cumin seeds (Jeera),6 Cashew nuts,4 Dry Red Chillies,2 Green Bell Pepper (Capsicum) - sliced into 1 inch round rings,2 Potato (Aloo) - boiled and mashed,1/2 cup Paneer (Homemade Cottage Cheese) - crumbled,1 tablespoon Chaat Masala Powder,1 tablespoon Garam masala powder,1 teaspoon Red Chilli powder,1 tablespoon Black pepper powder,Salt - to taste,Sunflower Oil,5 sprig Coriander (Dhania) Leaves - chopped,1 Cardamom (Elaichi) Pods/Seeds,1 inch Cinnamon Stick (Dalchini),1 Bay leaf (tej patta),1 tablespoon Sunflower Oil,1 teaspoon Sugar,1-1/2 teaspoon Red Chilli powder,1/4 teaspoon Turmeric powder (Haldi),1 tablespoon Garam masala powder,2 tablespoons Fresh cream</t>
  </si>
  <si>
    <t xml:space="preserve">To begin making the Stuffed Capsicum Makhani Recipe, we will pressure cook the tomatoes in the pressure cooker with 1/4 cup water for at least 2 whistle. Once done allow the pressure to release naturally and open the lid.You will notice the skin has peeled, this shows that the tomatoes have cooked, carefully peel of the skin and chop them into big chunks and add into the mixer. Also add the remaining water that was in the cooker also. Blend to make a smooth puree and keep aside.Make a paste of the cashew-nuts by blending along with a 2 to 3 tablespoons water and keep aside.Make a paste of chopped onion, garlic, cumin seeds, dry red chillies and keep aside.Cut the capsicum into 1 inch size rings and keep aside. Remove any seeds and excess white skin.In a mixing bowl, add crumbled paneer, boiled potatoes, chaat masala, garam masala, red chilli powder, pepper powder, salt and coriander leaves. Give it a mix and the filling has to hold itself in order to stuff it inside the capsicum moulds.Take a desired portion of the paneer mixture and stuff it inside the capsicum rings and flatten it.Heat a flat non-stick pan, drizzle some oil and place the stuffed capsicum and cook on either side until the capsicum has cooked.It will take about 5 minutes on either side or once done place the stuffed capsicum over a plate until you move on to make the makhani gravy.Heat a kadai with oil, add in whole spice like cinnamon, cardamom, bay leaf and allow it to sizzle for few seconds.Add the onion paste and saute it for about a minute. Sprinkle all the spice powders like red chilli powder, turmeric powder, garam masala salt and sugar and keep mixing. This will help the raw smell go away from the onion ginger garlic paste.Once the raw smell goes away, stir in the tomato puree and give it a stir. Stir in the cashew nut and the fresh cream.Cook on medium heat, covered with a lid for 10 minutes until the Makhani Gravy is well combined with the spices and the cream. Give the Makhani a taste and adjust the salt and spices accordingly.Once done, turn off the heat and transfer the Makhani gravy to a serving dish and place the stuffed capsicum over the gravy and drizzle some cream and serve warm.Serve the Stuffed Capsicum Makhani Recipe along with Whole wheat Naan, Tomato Onion Cucumber Raita for an delicious Indian lunch or dinner.
</t>
  </si>
  <si>
    <t>https://www.archanaskitchen.com/stuffed-capsicum-makhani-recipe</t>
  </si>
  <si>
    <t>Broken Wheat And Green Moong Khichdi Recipe</t>
  </si>
  <si>
    <t>1 cup Broken Wheat (Dalia/ Godumai Rava) - lightly roasted,1/2 cup Green Moong Dal (Whole) - lightly roasted and soaked in water for 30 minutes,1 Onion - finely chopped,4 Garlic,1/4 cup Green beans (French Beans) - finely chopped,1 Carrot (Gajjar) - finely chopped,1 tablespoon Ghee,1/2 teaspoon Mustard seeds,1/2 teaspoon Cumin seeds (Jeera),5-6 Curry leaves - torn with hands,1/2 inch Ginger - grated,1/2 teaspoon Turmeric powder (Haldi),1/4 teaspoon Asafoetida (hing),3-4 Green Chillies,Mint Leaves (Pudina) - a few sprigs chopped,1 teaspoon Lemon juice</t>
  </si>
  <si>
    <t xml:space="preserve">To begin making the Broken Wheat And Green Moong Khichdi, first crush together the garlic cloves, cumin seeds and green chilies in a small mortar and pestle. Keep it aside.Heat oil or ghee in a pressure cooker and add mustards seeds. Once they crackle, add the crushed garlic-cumin-chillies paste and the curry leaves.Fry for a few seconds and then add the onion. Saute for a minute and then add turmeric powder, asafoetida and ginger. Mix it properly and add all the vegetables.Saute for another minute and then add the dalia and green moong.Add enough water (depending on the consistency required) and mix well. About 3 cups for a porridge like consistency.Sprinkle some salt and cook it till the cooker releases 2 whistles or till well cooked.Wait for the pressure to come down on its own. Garnish the khichdi with chopped mint and coriander, lime juice (if using) and serve immediately.Serve Broken Wheat And Green Moong Khichdi with Mooli raita or Gujarati Kadhi and papad.
</t>
  </si>
  <si>
    <t>http://www.archanaskitchen.com/broken-wheat-and-green-moong-khichdi-recipe</t>
  </si>
  <si>
    <t>Chickpea Tikka Masala Recipe</t>
  </si>
  <si>
    <t>1 cup Kabuli Chana (White Chickpeas) - soaked overnight in water,1 Onion - chopped,2 Tomatoes - chopped,1 inch Ginger - chopped,4 cloves Garlic - chopped,1/2 teaspoon Turmeric powder (Haldi),1 tablespoon Red Chilli powder,1 teaspoon Cumin powder (Jeera),1 teaspoon Coriander Powder (Dhania),2 tablespoon Garam masala powder,1/2 cup Coconut milk,Salt - to taste</t>
  </si>
  <si>
    <t xml:space="preserve">To begin making the Chickpea Tikka Masala, we will soak the chickpeas in water overnight. Pressure cook the chickpeas with water for about 30 minutes till the chickpeas are cooked.Heat a kadai with oil, add onions, garlic and ginger and saute until it softens and becomes crispy.This will take about 2 minutes.After 2 minutes, add all your spice powders mentioned in the list, saute them well. Add chopped tomatoes and saute until the tomatoes soften and mash them using the ladle. Sprinkle with little salt that will help it cook faster. Once all the ingredients are combined together, you can add your cooked chickpeas and mix well. Check for salt and at the end add coconut milk and give it a mix.Serve the Chickpea Tikka Masala along with steamed rice, jeera pulao or tawa paratha to enjoy your everyday lunch.
</t>
  </si>
  <si>
    <t>http://www.archanaskitchen.com/chickpea-tikka-masala-recipe</t>
  </si>
  <si>
    <t>Bathua Aloo Paratha Recipe</t>
  </si>
  <si>
    <t>4 cups Bathua leaves - finely chopped,2 Potatoes (Aloo) - boiled,3 cloves Garlic - finely chopped,2 Green Chillies - finely chopped,1/2 Onion - finely chopped,Ghee - for cooking,1 teaspoon Garam masala powder,1 teaspoon Amchur (Dry Mango Powder),2 cups Whole Wheat Flour,1 teaspoon Salt,Water - to knead the dough</t>
  </si>
  <si>
    <t xml:space="preserve">To begin making Aloo Bathua Paratha, place the potatoes in the pressure cooker along with some water and pressure cook for 3 to 4 whistles and turn off the heat. Allow the pressure to release naturally.Once released, peel the skin and mash the potatoes and keep aside.Next make the dough for the parathas. In a bowl add whole wheat flour and salt and mix water and knead till you get a soft dough. Keep aside till you make the filling.Separate the Bathua Leaves from the stem and discard the stem. Wash and chop the bathua leaves. Preheat a pan on high heat; add the bathua leaves and cook the bathua leaves until soft and all the water has evaporated. Ensure there is no residue of moisture from the bathua. Turn off the heat and allow the bathua leaves to cool.In a mixing bowl, add the mashed potatoes, the cooked bathua leaves, chopped onions, green chillies, garlic, salt, garam masala powder and amchur powder. Mix the aloo bathua paratha mixture well. Give it a taste and adjust seasonings according to taste.Preheat a tava on medium heat and start making the parathas.To make the paratha take the required portion of Aloo Bathua Paratha dough and dust with dry wheat flour and flatten to a three inch diameter.Take the Aloo Bathua stuffing which should be larger than the size of the dough you took and place in the center.Fold the edges and bring the dough towards the center to close the ball. Remove any excess dough at the top.Place the Aloo Bathua Paratha on a flat surface dusted with wheat flour and roll gently.Once you have reached the desired size and thickness place the Aloo Bathua Paratha on the preheated tava and cook until the Aloo Bathua Paratha turns golden on both sides.Smear ghee and cook the Aloo Bathua Paratha until it is cooked through and is golden brown and crisp.Keep flipping the Aloo Bathua Paratha during the above process. Once done, remove from the tawa and proceed to make the remaining parathas the similar way and serve hot.Serve the Bathua Aloo Paratha Recipe along with Shalgam Gajar Aur Gobhi Ka Achar Recipe, Dahi, and a cup of Adrak Chai for a special weekend breakfast
</t>
  </si>
  <si>
    <t>http://www.archanaskitchen.com/bathua-aloo-paratha-recipe</t>
  </si>
  <si>
    <t>Saffron Pilaf Recipe</t>
  </si>
  <si>
    <t>2 cups water, 1-1/2 cup rice, 1 onion - finely chopped, 2 tbsp butter, 1/2 tsp saffron, 2 tbsp milk - hot, salt - according to taste</t>
  </si>
  <si>
    <t xml:space="preserve">To make Kesar Pilaf recipe, first of all add hot milk and saffron in a small bowl and keep it aside. Now heat butter in a saucepan. Now add onion and cook till it turns golden. After onion is cooked, add water, saffron milk, salt and let it boil. After boiling, add rice, cover and let it cook on low flame for 25 minutes. After rice is cooked, turn off the gas and let the pulao remain covered for 10 to 15 minutes. After 10 to 15 minutes, remove the lid, mix the pulao and serve. Serve Kesar Pilaf recipe with Paneer Butter Masala, Dal Fry and Phulkas for lunch.
</t>
  </si>
  <si>
    <t>http://www.archanaskitchen.com/saffron-pilaf-recipe-kesar-flavoured-rice-in-hindi</t>
  </si>
  <si>
    <t>North Indian Chawli ki Sabzi Recipe | Yard Long Beans | Barbati | Karamani</t>
  </si>
  <si>
    <t>300 grams Green Chawli Beans (Yard long beans/Karamani/Barbati) - finely chopped,1 Ajwain (Carom seeds),4 cloves Garlic - finely chopped,2 Tomatoes - finely chopped,1 teaspoon Red Chilli powder,1/2 teaspoon Turmeric powder (Haldi),1/4 teaspoon Garam masala powder,2 teaspoons Coriander Powder (Dhania),1 teaspoon Amchur (Dry Mango Powder),1 tablespoon Jaggery,Salt - to taste,Mustard oil</t>
  </si>
  <si>
    <t xml:space="preserve">To begin making the North Indian Chawli ki Sabzi Recipe, Chop the beans and pressure cook along with a little salt and 2 tablespoons water for two whistles and turn off the heat. Release the pressure immediately to maintain the fresh green colours of the beans.Heat oil in a kadai/ wok; add the ajwain and allow it to crackle. Add the garlic and saute for a few seconds.Add the tomatoes, turmeric, red chilli, coriander, amchur powders and saute until the tomatoes become mushy. Finally add the cooked green Chawli, jaggery add more salt if required and stir well to combine for 3 to 4 minutes.Once done, check the taste and adjust seasonings accordingly and transfer the Chawli ki Sabzi to a serving bowl.Serve the North Indian Chawli ki Sabzi Recipe along with Phulka,  Dhaba Style Dal Fry and Yogurt to make a healthy lunch or dinner
</t>
  </si>
  <si>
    <t>http://www.archanaskitchen.com/chawli-beans-ajwain-ki-sabzi-recipe-cowpea-beans-stir-fry</t>
  </si>
  <si>
    <t>Methi Makhana Mutter Korma Recipe - Methi, Green Pea &amp; Lotus Seeds Curry</t>
  </si>
  <si>
    <t>1 Cup Methi Leaves (Fenugreek Leaves) - finely chopped,1 Cup Green peas (Matar) - steamed,1-1/2 Cups Lotus Seeds,1 tablespoon Ghee,2 cloves Garlic,1 inch Ginger,2 Green Chillies - roughly chopped,1 teaspoon Cumin seeds (Jeera),1 Onion - finely chopped,1/2 cup Homemade tomato puree,1 teaspoon Cumin powder (Jeera),2 teaspoon Red Chilli powder,1 teaspoon Turmeric powder (Haldi),1 teaspoon Coriander Powder (Dhania),1 teaspoon Garam masala powder,1 Bay leaf (tej patta),1/4 cup Milk,1 tablespoon Sunflower Oil,Salt - to taste</t>
  </si>
  <si>
    <t xml:space="preserve">To begin making the Methi Makhana Mutter Korma Recipe, prepare all the ingredients and keep them ready.The first step is to roast the makhana and keep them ready. Into a wide pan; heat ghee over medium heat and add the makhana into the ghee and roast until it becomes crisp.Ensure you roast on low to medium heat and keep stirring until the makhana becomes crisp. Once done, keep this aside.Next, add ginger, garlic &amp; green chillies into a mixer grinder and grind them into a smooth paste. Keep them aside.Heat oil in a heavy bottomed pan and add bay leaf, cumin seeds and ginger garlic green chilli paste. Add the chopped onions along with it and saute until the onions soften and turn lightly golden in color. This will take about 3 to 4 minutes.Once the onions turn soft, add the methi leaves and saute the methi leaves until they turn soft and wilt down. The methi leaves cook very quickly and it will take just about a minute or less.Once done, stir in the tomato puree, milk, steamed green peas, salt, cumin powder, garam masala, coriander powder, turmeric powder &amp; red chilli powder.Allow the methi matar kurma to simmer for about 2 to 3 minutes until it comes to a boil. Check the salt and spices and adjust according to the taste.Finally add Makhana/Lotus seeds and the chopped coriander leaves and serve.Serve Methi Makhana Mutter Korma Recipe along with Palak Raita and Jowar Roti for a diabetic friendly dinner or lunch.
</t>
  </si>
  <si>
    <t>http://www.archanaskitchen.com/methi-makhana-mutter-korma-recipe</t>
  </si>
  <si>
    <t>Chilli Paneer Recipe -Indo Chinese</t>
  </si>
  <si>
    <t>200 grams Paneer (Homemade Cottage Cheese) - cut in cubes,1/4 cup Red Bell pepper (Capsicum) - sliced,1/4 cup Green Bell Pepper (Capsicum) - sliced,1/2 cup Spring Onion (Bulb &amp; Greens) - chopped,1 teaspoon Garlic - finely chopped,2 teaspoons Ginger - finely chopped,2 Thai Red chilli (Birds Eye Chilli) - slit,1 tablespoon Corn flour,1 tablespoon Soy sauce,1 tablespoon Tomato Ketchup,1 teaspoon Red Chilli sauce,1 tablespoon Sesame (Gingelly) Oil,Salt - to taste</t>
  </si>
  <si>
    <t xml:space="preserve">To begin making Chilli Paneer Recipe, mix corn flour with ¼ cup of water. Stir in the soya sauce, ketchup, chilli sauce and salt into the corn flour mixture.Heat oil in a wok or frying pan on high heat; add garlic, ginger, thai red chillies, spring onions and stir fry for a few seconds. Add in the bell peppers and sauce on medium heat until tender.Once the peppers are tender, stir in the corn flour mixture to the above and cook for a few minutes until the chilli sauce thickens.At this stage stir in the paneer cubes, turn the heat to high and saute for a few minutes until well combined with the sauce.Garnish the chilli paneer with spring onion leaves and extra green chillies if you like it spicy.Serve the Chilli Paneer along with other Indo Chinese Dishes like a Chilli Coriander Fried Rice and Roasted Eggplant in Szechuan Sauce.
</t>
  </si>
  <si>
    <t>https://www.archanaskitchen.com/crispy-paneer-schezwan-recipe</t>
  </si>
  <si>
    <t>Moong Dal Ghughra Recipe (Gujiya/ Karanji)</t>
  </si>
  <si>
    <t>2 cups Vivatta Maida,1/2 cup Ghee,1/4 teaspoon Salt,Water - for kneading,Sunflower Oil - for deep frying,2 cups Green Moong Dal (Whole) - soaked and steamed,1 teaspoon Cumin seeds (Jeera) - coarsely pounded,1 teaspoon Fennel seeds (Saunf) - coarsely pounded,1 teaspoon Sesame seeds (Til seeds),2 teaspoons Sugar,1/2 teaspoon Asafoetida (hing),1 teaspoon Amchur (Dry Mango Powder),1/2 teaspoon Turmeric powder (Haldi),1/2 teaspoon Red Chilli powder,2 Green Chillies - finely chopped,1 inch Ginger - grated,Salt - to taste</t>
  </si>
  <si>
    <t xml:space="preserve">To begin making the Moong Dal Ghughra (Karanji/ Gujiya) recipe we will first prepare the filling.Soak the moong dal in 2 cups of water for about 3 to 4 hours. Once soaked, drain any excess water and keep aside. Using a pressure cooker or steamer, cook the dal until soft and tender. Heat oil in a non stick pan on medium heat; add the cumin seeds, fennel seeds, sesame seeds, asafoetida and allow them to crackle.Stir in the cooked green moong dal and the remaining filling ingredients - sugar, turmeric powder, red chilli powder, green chillies, ginger and salt. Stir until all the ingredients are well combined.Allow the moong dal gujiya mixture to cool and divide into 20 portions and keep aside.In our next step we will make the dough for the pastry crust for the Ghughra/ GujiyaCombine the maida, ghee and salt, in a large bowl. Work the ghee into the flour with your fingers until the mixture resembles a coarse meal.Sprinkle water onto the crumbly dough and with your hands push the dough from the sides to the middle of the bowl to form a ball that holds together.Be careful to add only little water at a time, and not allowing the dough to become soggy. Knead well with your hands until the dough becomes into a firm ball of dough.Once rested, make 20 small portions of the gujiya dough and roll into a small 3 inch circle.Place a teaspoon full of moong dal mixture onto one half of the circle. Wet your fingers into the bowl of water and spread a little water around the edges of the circle.Gently fold the circle into a semi circle, forming a half moon shape. Seal the edges by pressing slightly, so that the dough sticks to each other making sure all the filling is concealed inside.Decorate the edges by twisting the dough portion carefully to form a twisted shape. Continue the same procedure with the remaining dough and filling portions.You can also use a calzone maker to make these gujiya and they are so much more faster and easier and you will have a perfectly filled ghughra.Preheat the oil for deep frying and deep fry these gujiyas on medium heat until golden brown in color.Serve the Moong Dal Gujiyas along with Green Chutney and Chai for Tea Time Snacks or even for festivals like Diwali or Holi or any special occasions with your family.
</t>
  </si>
  <si>
    <t>https://www.archanaskitchen.com/moong-dal-ghughra-recipe-gujiya-karanji</t>
  </si>
  <si>
    <t>Vegetarian Chinese Samosa Recipe</t>
  </si>
  <si>
    <t>2 cups Whole Wheat Flour,1 pinch Salt,1/4 cup Ghee,1 cup Rice Vermicelli Noodles (Thin) - cooked,2 Carrots (Gajjar) - finely chopped,12 Green beans (French Beans) - finely chopped,1 Green Bell Pepper (Capsicum) - finely chopped,1/2 cup Cabbage (Patta Gobi/ Muttaikose) - finely chopped,2 inch Ginger - grated,3 cloves Garlic - finely chopped,1 Green Chilli - finely chopped,3 Spring Onion Greens - stalks,1 teaspoon Sweet and Spicy Red Chilli Sauce (Tomato Chilli Sauce),Salt - to taste,Black pepper powder - to taste</t>
  </si>
  <si>
    <t xml:space="preserve">To begin making the Chinese Samosa recipe, first prep all the ingredients and keep them ready. We will make the filling and the dough first and then proceed to bake the chinese veg samosa.To begin making the dough for the samosa crust, combine all the ingredients for the dough in a large mixing bowl. Rub the ghee into the flour till you see coarse crumbs.Add a little water at a time and knead to make a firm and yet smooth dough. Cover the dough and keep it aside to rest while we prepare the chinese filling.For the stuffing, heat oil in a wok or a heavy bottomed pan. Add the ginger, garlic, green chilies and spring onions and stir fry for a few seconds until you can smell the aromas coming through.Add the carrots, beans, capsicum and cabbage and stir fry on high heat until it is cooked through. The vegetables will be cooked yet firm.Once done, add the cooked noodles, that are roughly chopped, the chili sauce, salt and pepper. Stir together until the filling combined with all the ingredients. Check the taste and adjust the salt and chili.Turn off the heat and keep the filling aside to cool.Preheat the oven to 170 C and grease a baking sheet with oil.Divide the samosa dough into 12 equal portions.  Dust it in a little flour and roll into a small square.Place a small portion of the chinese filling into the rolled out dough. At this stage you can fold it like a wonton by bringing the edges together. Seal the edges by pinching it well, so it gives a shape and stands out.Proceed the same way to make the similar chinese veg samosas. Brush each of the samoas with oil or ghee on the top and arrange it on the baking tray to bake.Place the chinese veg samosas into the oven and make for about 20 to 25 minutes until it is crisp and golden brown from all sides. The baking times will differ from oven to oven, so to check at the 15 minute mark to see if its done or needs to be baked more.Once done, remove the Veg Chinese Samosas from the oven and serve.Serve the Veg Chinese Samosa along with a Schezwan sauce as an appetizer or a evening tea time snack for parties.
</t>
  </si>
  <si>
    <t>http://www.archanaskitchen.com/vegetarian-chinese-samosa-recipe</t>
  </si>
  <si>
    <t>Stuffed Masala Aloo Naan Recipe Made Without Oven</t>
  </si>
  <si>
    <t>2 cups Whole Wheat Flour,1 teaspoon Salt,1 cup Aerated water (Soda Water),2 teaspoon Ghee,3 Potatoes (Aloo) - boiled and mashed,1 Onion - finely chopped,2 Green Chillies - finely chopped,1 teaspoon Garam masala powder,1 teaspoon Amchur (Dry Mango Powder),1/2 teaspoon Red Chilli powder,1/2 teaspoon Ajwain (Carom seeds),Salt - to taste,Coriander (Dhania) Leaves - small bunch</t>
  </si>
  <si>
    <t xml:space="preserve">To begin making the Stuffed Masala Aloo Naan Recipe Made Without Oven, first prep all the ingredients and keep them ready by the side.Mix the flour, salt &amp; ghee and knead a dough with soda water until you get a smooth dough. Set aside the naan dough for 30 minutes.Meanwhile mix the ingredients for the stuffed masala naan.Combine all the ingredients for the masala naan stuffing in a large mixing bowl. Check the taste and adjust to suit the palate. Set this aside.After the naan dough has rested take small portion of it, dust in flour and roll them into a small circle. Place a large spoonful of the stuffing in the center and seal the dough. Flatten it and roll the stuffed masala naan just a bit to make an oval or round shape.The next step is to cook the naan. You can either bake it in the oven or cook in a skillet/ tawa.Take heavy bottomed skillet/ tawa and cook the naans on one side. Once you notice one side is getting cooked, place the other uncooked side of the stuffed naan on flame. Grill the Stuffed Masala Naan till it is cooked and charred a bit. Once the masala naan is cooked, remove from the heat. Smear some butter on the naan and serve hot.  Repeat the process for the remaining stuffed masala naans.Serve the Stuffed Masala Aloo Naan along with a Tadka Raita Recipe (Spiced Curd With Onions) for breakfast or even a one dish weeknight dinner.
</t>
  </si>
  <si>
    <t>http://www.archanaskitchen.com/stuffed-masala-aloo-naan-recipe-made-without-oven</t>
  </si>
  <si>
    <t>Roat Recipe | Uttarakhand Style Sweetened Flatbread</t>
  </si>
  <si>
    <t>1 cup Whole Wheat Flour,1/4 cup Milk - cold,3 tablespoons Ghee - more to smear,1/2 teaspoon Cardamom Powder (Elaichi),1 teaspoon Fennel seeds (Saunf),1 cup Jaggery</t>
  </si>
  <si>
    <t xml:space="preserve">To prepare Roat Recipe | Uttarakhand Style Sweetened Flatbread, In a bowl mix together wheat flour, 3 tablespoon ghee, fennel seeds and cardamom powder.In another pan mix together grated jaggery and very little water.Once the jaggery is dissolved, strain it to remove impurities.And allow to cool .Add cold milk to the flour, jaggery syrup and mix.Make a soft dough .Divide into equal portions. Roll each ball into a thick roti.Heat a tawa and cook the roat on both sides until tiny brown spots appear. Smear ghee generously while cooking . Cook both sides till it's crisp.Serve Roat Recipe | Uttarakhand Style Sweetened Flatbread hot with a dollop of ghee as a dessert along with meals of Makki Ki Roti, Chole Pindi, Ghee Rice and raita.
</t>
  </si>
  <si>
    <t>http://www.archanaskitchen.com/roat-recipe-uttarakhand-style-sweetened-flatbread</t>
  </si>
  <si>
    <t>Dry Kidney Beans And Spinach Stir Fry</t>
  </si>
  <si>
    <t>1 cup rajma - boil, 2 cups spinach - chop, oil - as per requirement, 1 teaspoon cumin seeds, 1 onion - finely chopped, 5 cloves garlic - finely chopped, 1 green chilli - finely chopped, 1/4 teaspoon turmeric powder, 1/2 teaspoon garam masala powder, asafoetida - a pinch, salt - according to taste</t>
  </si>
  <si>
    <t>"To make Rajma Saagwala, first soak the rajma overnight. After soaking, pressure cook it till 2 whistles. Keep it aside. Now heat oil in a pan. Add cumin seeds, asafoetida and let it cook for 10 seconds. Now add chopped garlic and cook for 20 seconds. After 20 seconds add onion, green chili and cook till onion becomes soft. After onion becomes soft, add chopped spinach, cooked rajma and mix. Now add turmeric powder, garam masala powder, salt and mix. Cook for 10 minutes and keep stirring in between. After that turn off the gas and serve hot. Serve Rajma Saagwala with Gujarati Daal, Kachumber Salad and Phulka for lunch."</t>
  </si>
  <si>
    <t>http://www.archanaskitchen.com/rajma-saagwala-dry-kidney-beans-and-spinach-stir-fry-recipe-2</t>
  </si>
  <si>
    <t>Sweet Potato Kheer Recipe</t>
  </si>
  <si>
    <t>1 Sweet Potato - skin removed and grated,1 cup Fresh coconut - grated,2 Cardamom (Elaichi) Pods/Seeds,1/2 cup Milk,2 tablespoon Sugar - or jaggery,2 tablespoon Sooji (Semolina/ Rava),10 Saffron strands,10 Cashew nuts - for garnish</t>
  </si>
  <si>
    <t xml:space="preserve">To begin making the Sweet Potato Kheer Recipe, grind the coconut and cardamom in a mixer with water, try to extract as much as coconut milk from the pulp.Once you squeeze out all the coconut milk from the pulp, add it to a sauce pan with grated sweet potato, milk, sugar, saffron strands and bring it to a boil.You can a pinch of salt to just balance out the sweetness. Once the kheer thickens, you can add the semolina and keep stirring until the semolina boils.Switch off the heat, and serve it in a bowl with some chopped cashew nuts.Serve the Sweet Potato Kheer Recipe after a Lucknowi Murg Biryani (Awadhi Chicken Biryani) with Raita for a Sunday lunch.
</t>
  </si>
  <si>
    <t>https://www.archanaskitchen.com/sweet-potato-kheer-recipe</t>
  </si>
  <si>
    <t>Murgh Palak Recipe - Chicken In A Palak Gravy</t>
  </si>
  <si>
    <t>250 grams Spinach Leaves (Palak) - cleaned,Salt - a pinch,5 cloves Garlic,1/2 inch Ginger,2 Green Chillies,500 grams Chicken - medium pieces with the bone,1 tablespoon Sunflower Oil,2 tablespoons Curd (Dahi / Yogurt),1 Bay leaf (tej patta),3 Cardamom (Elaichi) Pods/Seeds,1 inch Cinnamon Stick (Dalchini),4 cloves Garlic,1/4 teaspoon Methi Seeds (Fenugreek Seeds),1 Onion - chopped,1 teaspoon Ginger Garlic Paste,1 Tomato - chopped,1 teaspoon Red Chilli powder,1/2 teaspoon Turmeric powder (Haldi),1 teaspoon Coriander Powder (Dhania),Salt - to taste,1/2 teaspoon Garam masala powder,1 tablespoon Butter,1/4 cup Fresh cream,1 teaspoon Kasuri Methi (Dried Fenugreek Leaves),1/4 teaspoon Methi Seeds (Fenugreek Seeds),1 tablespoon Ghee,1 teaspoon Cumin seeds (Jeera),2 cups Water,1 cup Chilled water</t>
  </si>
  <si>
    <t xml:space="preserve">To begin making Murgh Palak Recipe, we have to first marinate the chicken, In a bowl, add curd, chicken pieces, mix well and keep it aside for at least 30 minutes. Add the cleaned palak leaves to a pressure cooker with a teaspoon of water and salt. Pressure cook for 1 whistle and release the pressure immediately by running the pressure cooker under tap water. Remove the lid of the pressure cooker so that the cooking process stops. Do not drain the water. To make the palak puree, add the cooked palak along with ginger, garlic, green chillies and make a smooth Palak Puree for the Murgh Palak. Keep it aside. In a kadai, add 1 tablespoon of oil. Once the oil is warm, add bay leaf, cardamom, cinnamon and saute for a minute or two.Add chopped onions, ginger garlic paste and saute until the raw smell goes away and onions turn soft and translucent.Once the onions are soft, add turmeric powder, red chilli powder and coriander powder. Mix everything well and let it cook for about a minute.Add the marinated chicken to this masala, mix well, add salt and stir it on low flame until oil gets separated from masala. This will take 3 to 5 minutes.Add half a cup of water in which spinach was pressure cooked, let the water come to a boil.When the water starts boiling, reduce the heat and close the lid of the pan. Cook on a low flame till the chicken is almost done and most of the water dries up. Once the water dries up, add the ground palak puree, garam masala, kasuri methi and mix well. Finally, add butter, cream and mix well. Turn off the flame and transfer to a serving dish.In a tadka pan, add some ghee. Once the ghee has warmed, add fenugreek/methi seeds and cumin seeds, let them crackle.Once they crackle, switch off the heat and pour this ghee on Murgh Palak Gravy. Garnish with little cream if you want. Your Murgh Palak Gravy is ready to be served. Serve Murgh Palak along with Burani Raita, Garlic Naan, Mutton Biryani and Kachumber Salad for a weekend meal along with your family.
</t>
  </si>
  <si>
    <t>http://www.archanaskitchen.com/murgh-palak-recipe-chicken-in-a-palak-gravy</t>
  </si>
  <si>
    <t>Chana Aur Aloo Ki Sookhi Sabzi</t>
  </si>
  <si>
    <t>1 cup Kabuli Chana - boiled, 3 potatoes - boiled, 1 onion - finely chopped, 1 tomato - finely chopped, 1 green chilli - finely chopped, 1 tbsp ginger garlic paste, 1 tsp red chilli powder, 1/2 tsp turmeric powder, 2 tsp coriander powder, 1 tsp garam masala powder, 1 tsp dried mango powder, 1 tsp cumin seeds, 4 sprigs coriander powder - finely chopped (for garnish), 1 inch ginger - thinly sliced ​​(for garnish), salt - according to taste, 1 tbsp oil</t>
  </si>
  <si>
    <t>"To make dry gram and potato curry soak the gram overnight and then pressure cook it till 3 whistles. Drain the water and keep it aside. Similarly cook the potatoes till 2 whistles in the pressure cooker. Drain it, peel it and chop it. Now heat oil in a pan, add cumin seeds and let it cook for 10 seconds. After 10 seconds add finely chopped onions and cook till it becomes soft. After it becomes soft add ginger garlic paste and cook for 3 to 5 minutes. After that add chopped tomatoes and green chillies. Cook till tomatoes become soft. Now add red chilli powder, coriander powder and garam masala. After cooking for 3 to 5 minutes add potatoes and gram and mix well. Add salt and mix. Let it cook for next 5 to 8 minutes and then add dry mango powder. Mix and garnish with green coriander. Serve the dry vegetable with Panchmel Daal and Roti for lunch.</t>
  </si>
  <si>
    <t>http://www.archanaskitchen.com/chana-aur-aloo-ki-sookhi-sabzi-recipe-in-hindi</t>
  </si>
  <si>
    <t>Murgh Aur Masoor Dal Recipe-Bombay Style Chicken with Dal</t>
  </si>
  <si>
    <t>300 grams Chicken - with bone,1 cup Masoor Dal (Whole),2 Onions - sliced,1 Green Chilli - slit,1 inch Ginger - chopped,5 cloves Garlic - chopped,1 teaspoon Turmeric powder (Haldi),2 teaspoon Cumin powder (Jeera),1 teaspoon Red Chilli powder,2 teaspoon Garam masala powder,1 Lemon juice,Salt - to taste,Sunflower Oil</t>
  </si>
  <si>
    <t xml:space="preserve">To begin making the Murgh Aur Masoor Dal Recipe, wash and soak the whole masoor dal for 3-4 hours. Heat up a pressure cooker over medium heat with oil.Add ginger, garlic and saute until the raw smell goes away. Add half of the onions and saute till they turn translucent.Add turmeric powder, cumin powder, salt, masoor dal and 2 cups of water and pressure cook for about 5 whistle until the dal is done.Once the pressure has released naturally, open the cooker and use a masher to mash the dal. Transfer to aa bowl and set aside. Heat the same pressure cooker with oil on medium heat, add remaining onions and saute until they turn translucent.Add the mashed dal and give it a good stir. Add remaining spice powders - garam masala, red chilli powder and mix well.Now add the add the cleaned and washed chicken pieces, adjust the seasoning, add about 1 1/2 cups of water and pressure cook for about 2 whistle until the chicken is cooked. Turn off thee flame. Allow the pressure to release naturally.   Serve hot.Serve the Murgh Aur Masoor Dal Recipe along with steamed rice or phulka, Carrot, Radish &amp; Peanut Salad with Lemon Recipe and Onion Raita Recipe - Pyaz Ka Raita Recipe to make your complete  meal rich and flavorful.
</t>
  </si>
  <si>
    <t>https://www.archanaskitchen.com/murghi-aur-masoor-dal-recipe-bombay-style-chicken-with-red-lentils</t>
  </si>
  <si>
    <t>Beetroot and Fig Chutney Recipe</t>
  </si>
  <si>
    <t>1 cup figs - chopped, 1 teaspoon celery, 1 cup beetroot, 1 teaspoon nutmeg, 2 teaspoon red chili powder, 4 cloves garlic - chopped, 3 green chilies - chopped</t>
  </si>
  <si>
    <t>"To make Beetroot and Fig Chutney Recipe, first heat oil in a saucepan. Add celery and cook for 10 seconds. After 10 seconds, add garlic and cook till it turns golden. Now add beetroot and figs and cook for 20 minutes. After 20 minutes add nutmeg powder, red chili powder, green chilies and 1/4 cup water and cook for another 2 minutes. Once cooked, turn off the gas and serve. Serve Beetroot and Fig Chutney Recipe with Tawa Paratha and Lahsuni Daal for lunch. "</t>
  </si>
  <si>
    <t>https://www.archanaskitchen.com/beetroot-and-fig-chutney-recipe-in-hindi</t>
  </si>
  <si>
    <t>Kela Matar ki Sabzi Recipe - Raw Banana Green Peas Stir Fry</t>
  </si>
  <si>
    <t>2 Raw Banana,1/2 cup Green peas (Matar) - boiled,1/2 teaspoon Cumin seeds (Jeera),2 Green Chilli - slit,1/2 teaspoon Turmeric powder (Haldi),1 teaspoon Coriander Powder (Dhania),1 teaspoon Cumin powder (Jeera),1 teaspoon Amchur (Dry Mango Powder),2 teaspoons Lemon,1 teaspoon Garam masala powder,1 tablespoon Sunflower Oil,2 sprig Coriander (Dhania) Leaves - chopped,Salt - to taste</t>
  </si>
  <si>
    <t xml:space="preserve">To begin making Kela Matar ki Sabzi first cut the raw bananas into half and pressure cook the bananas with 1/4 cup of water for 2 to 3 whistles. Turn off the heat and allow the pressure to release naturally. Once the pressure has released, peel the skin from the raw banana and slice them into roundels. Heat oil in a kadai over medium heat. Once the oil is hot, add cumin seeds, when they begin to sizzle, add green chilies.Add salt, coriander powder, cumin powder, amchur powder, garam masala powder and turmeric powder and mix well. Next add the boiled peas and cooked raw banana slices  and mix well.Sprinkle some water, cover and cook the Kela Matar ki Sabzi until all the masalas get well coated - for about 4 to 5 minutes.Check the salt and spices and adjust to taste accordingly. Finally add the juice from the lemon and stir in the chopped coriander leaves and serve.Serve this nutritious and tasty and simple to prepare Kela Matar ki Sabzi with Dal Tadka Recipe Flavored with Lemon and Coriander, Phulka Recipe (Roti/Chapati), Cauliflower &amp; Cucumber Raita and Steamed Rice.A diabetic friendly dish, serve this Kela Matar ki Sabzi along with Ragi Tawa Paratha, Lahsuni Palak Dal Recipe (Spinach &amp; Lentil Curry with Garlic) and Beetroot Raita Recipe (Cold Beet &amp; Yogurt Soup/Salad) for a Diabetic Friendly Meal.
</t>
  </si>
  <si>
    <t>http://www.archanaskitchen.com/kela-matar-ki-sabzi-recipe-raw-banana-green-peas-stir-fry</t>
  </si>
  <si>
    <t>Jain Style Paneer Makhani</t>
  </si>
  <si>
    <t>250 grams paneer - chopped, 1 cup green peas - steamed, 2 tomatoes - boiled, 1 capsicum (red) - chopped, 1 green chilli, 2 tablespoons ghee - or butter, salt - according to taste, 1/4 cup cream - or hung curd, 1/4 cup milk, 1 teaspoon sugar, 1 teaspoon red chilli powder, 1 teaspoon garam masala powder, 2 tablespoons kasuri methi, 3 sprigs coriander leaves - for garnish</t>
  </si>
  <si>
    <t>"To make Jain style paneer makhani, first heat ghee in a pan. Now add capsicum and green chillies. Cook till the capsicum becomes soft. Once cooked, let it cool and then grind it in a mixer with some water. Now heat some more ghee in the same pan. Add tomato puree and let it cook for 3 minutes. After 3 minutes add capsicum paste, sugar, salt, garam masala powder, green peas and red chilli powder. Let it cook for 4 to 5 minutes. Now add milk and cream. Add 1/4 cup water, mix and let it cook for 10 minutes. Now add paneer pieces, reduce the flame and let it cook for 5 minutes. Finally turn off the gas, garnish with green coriander and kasuri methi. Serve Jain style paneer makhani with dal fry, boondi raita and phulkas for your day or night dinner."</t>
  </si>
  <si>
    <t>https://www.archanaskitchen.com/jain-style-paneer-makhani-recipe-in-hindi</t>
  </si>
  <si>
    <t>Bhatt Ki Dal Recipe</t>
  </si>
  <si>
    <t>1 cup black beans - soaked overnight, 1 onion - finely chopped, 4 cloves garlic - finely chopped, 1 tsp cumin seeds, 1 tsp turmeric powder, 2 tsp red chili powder, 2 tsp coriander powder, 2 tsp garam masala powder, salt - according to taste, oil, 1 tbsp ghee</t>
  </si>
  <si>
    <t>"To make Bhatt Ki Daal recipe, first soak black beans in water overnight. Heat ghee as per requirement in a pan. Add wheat flour and fry till it turns light brown. Once done, turn off the gas and keep aside. Now heat oil in a pressure cooker, add cumin seeds and let them crackle. Now add onion, garlic and cook till onion becomes soft. Now add black beans, water as per requirement, turmeric powder, red chili powder, garam masala powder, coriander powder, salt and mix well. Close the cooker and cook till 5 to 8 whistles or for 30 minutes. Once done, turn off the gas and let the pressure release automatically. After the pressure releases, open the cooker and add roasted flour to it. Add some water, turn on the gas again and mix. Cook for 3 to 4 minutes and turn off the gas. Take out in a bowl and serve. Bhatt Ki Daal Recipe is also called Mughlai Serve with Bhindi and Phulkas for lunch.</t>
  </si>
  <si>
    <t>http://www.archanaskitchen.com/bhatt-ki-dal-recipe-traditional-kumaoni-black-bean-dal-in-hindi</t>
  </si>
  <si>
    <t>Dhaba Style Dal Palak</t>
  </si>
  <si>
    <t>1 cup tur dal, 1 cup spinach, 1 onion, 1 tomato, 3 green chillies, 1 tablespoon ginger - grated, 1 tablespoon garlic - 1 tablespoon extra, 1 tablespoon oil, 1 tablespoon ghee, 1 teaspoon cumin seeds, 1/2 teaspoon mustard seeds, 2 dried red chillies, 1/4 teaspoon turmeric powder, 1 teaspoon red chilli powder, salt - according to taste, asafoetida - a pinch</t>
  </si>
  <si>
    <t>"To make Dhaba style Dal Palak, first wash the dal 2 to 3 times. Now soak the dal in water for 20 minutes. Now put it in a pressure cooker with water, salt and turmeric powder as per requirement and cook till 2 to 3 whistles. Now take spinach leaves and wash them well. After washing, chop them finely and keep aside. Now put 1 tsp ghee and 1/2 tsp oil in a pan. Add cumin seeds and cook for 10 seconds. Now add garlic and ginger and let it cook for 1 minute. After 1 minute add onion and green chilli. Cook till onion becomes soft and brown. Now add finely chopped tomatoes and cook till they become soft. After it becomes soft, add spinach, mix and cook. After cooking, add turmeric powder, red chilli powder, salt and mix well and let it cook for 1 minute. After 1 minute add dal and mix. Wash the pan and cook for 4 to 5 minutes Let it cook for 10 minutes. Then turn off the gas and keep it aside. Now heat oil in a small pan. Add mustard seeds and fry for 10 seconds. Add remaining garlic and cook till it turns golden brown. Add asafoetida and dried red chillies, cook for 20 seconds and turn off the gas. Pour this seasoning in the Daal and serve. Serve Dhaba Style Daal Palak with Sev Tomato Sabzi and Khuba Roti for lunch. "</t>
  </si>
  <si>
    <t>http://www.archanaskitchen.com/dhaba-style-dal-palak-recipe-in-hindi</t>
  </si>
  <si>
    <t>Dhaba Mutton Recipe-Spicy Mutton Gravy</t>
  </si>
  <si>
    <t>500 grams Mutton - cut into pieces,5 cloves Garlic - finely chopped,2 Onions - finely chopped,3/4 cup Curd (Dahi / Yogurt),1 tablespoon Cumin powder (Jeera),1 tablespoon Coriander Powder (Dhania),4 Cloves (Laung),Sunflower Oil - as required,3 Green Chillies - (adjust according to your taste),1 teaspoon Ginger - grated,Coriander (Dhania) Leaves - Few sprigs,2 Tomatoes - finely chopped,2 Bay leaves (tej patta),3 Cardamom (Elaichi) Pods/Seeds,1 tablespoon Red Chilli powder,1 tablespoon Turmeric powder (Haldi),Salt - to taste</t>
  </si>
  <si>
    <t xml:space="preserve">To begin making the Dhaba Mutton Recipe, marinate lamb with yogurt, red chilli powder, turmeric powder, cumin powder, coriander powder, and saltMix everything well and keep it aside for about 2 hours.Heat oil in a heavy bottomed pan and add cloves, cardamoms, bay leaves, garlic, ginger and saute for a few seconds.Add chopped onion, green chillies and saute them till they turn golden brown.Add in the marinated lamb and cook it till the lamb is cooked and tender.Once it is done, add in the tomatoes and green chillies. Cook it for about 15 to 20 minutes.After 15 to 20 minutes, add in the required water and let it cook for 5 minutes more.Sprinkle garam masala and cook for another 3-4 minutes. Once it is done, switch off the stove and garnish it with chopped coriander leaves.Serve Dhaba Mutton with Rajasthani baati, steamed rice, Rumali roti or whole wheat lachha paratha.
</t>
  </si>
  <si>
    <t>https://www.archanaskitchen.com/dhaba-mutton-recipe-spicy-mutton-gravy</t>
  </si>
  <si>
    <t>Shahi Paratha Recipe</t>
  </si>
  <si>
    <t>1 cup Whole Wheat Flour,1 cup All Purpose Flour (Maida),Sunflower Oil - as required,Salt - to taste,3 Potatoes (Aloo) - boiled and mashed,1/2 cup Gram flour (besan),Salt - to taste,1 teaspoon Turmeric powder (Haldi),1 teaspoon Red Chilli powder,1 teaspoon Ajwain (Carom seeds),1 cup Sweet Chutney (Date &amp; Tamarind),1/2 cup Green Chutney (Coriander &amp; Mint),1/2 cup Curd (Dahi / Yogurt) - (optional),1 Onion - finely chopped,1 Tomato - finely chopped,2 Green Chillies - finely chopped,Coriander (Dhania) Leaves - small bunch,1/2 cup Sev - for garnish</t>
  </si>
  <si>
    <t xml:space="preserve">To begin with Shahi Paratha, first we have to make Lachha Paratha which will serve as the base and later on we proceed by adding other ingredients on top of the Laccha Paratha.For Lachha Paratha we have to combine wheat flour, maida, salt and oil. Put water slowly and knead to form smooth dough. Cover the dough and keep aside for 15 - 20 minutes.After resting the dough, divide the dough into 4 portions and make balls out of itDivide the dough into 4 portions and make balls out of it.Take a ball of dough and roll it into 6 to 7 inches diameter disc on a dusted rolling board.Apply oil liberally on the paratha disc from the edges start to fold &amp; pleat the paratha till the end. Roll the pleated edges tightly. Join the edges.Now roll into round parathas of about 4 to 5 inches in diameter, dusting it in flour if required.Heat the tawa over medium heat and cook parathas from both sides by brushing oil on it. Keep flipping the parathas till it is brown and slightly crisp.Similarly cook all the parathas and keep it aside. Let it cool.For the toppings, first peel and mash the boiled potatoes. Put salt, turmeric and red chilli powder in it.In a pan add oil and as it gets hot add the mashed potato mixture and mix it. Turn of the heat and let the potato cool.Take gram flour in a bowl put salt and ajwain in it. Slowly add water and mix it to form a thick paste. Now the Laccha Parathas are ready to be assembled and transform to Shahi Parathas. Take paratha spread potato mixture on it with a spoon and then spread the a small portion of the gram flour batter over it.Heat oil in a non stick tawa and place the paratha with the potato side facing down. Cook until the potatoes and the gram flour mixture gets cooked and lightly browned. This would take about 2 minutes. Once done, remove from the tawa and place it in a skillet.Similarly prepare all the other three parathas. To assemble the Shahi Paratha, place each paratha on the platter with the potato side facing up. Sprinkle the chopped onion, tomato and green chilies. Drizzle the chutneys and yogurt over it and finally top it with sev and coriander leaves.Serve the Shahi Paratha as a it is for a quick and delicious weeknight dinner.
</t>
  </si>
  <si>
    <t>http://www.archanaskitchen.com/shahi-paratha-recipe</t>
  </si>
  <si>
    <t>Mushroom, Paneer And Soya Chunk Samosa Recipe</t>
  </si>
  <si>
    <t>250 grams Button mushrooms - finely chopped,1 cup Soy granules,100 grams Paneer (Homemade Cottage Cheese) - minced or finely chopped,1 Onion - finely chopped,2 tablespoon Sunflower Oil,1 Green Chilli - chopped finely,1 teaspoon Fennel seeds (Saunf),20 Spring Roll Wrappers - pastry sheets,1/2 teaspoon Black pepper powder,1/2 teaspoon Kashmiri Red Chilli Powder,1/4 teaspoon Turmeric powder (Haldi),1/2 teaspoon Coriander Powder (Dhania),1/4 teaspoon Garam masala powder,1/4 teaspoon Chaat Masala Powder,Salt - as needed,Sunflower Oil - enough to fry</t>
  </si>
  <si>
    <t xml:space="preserve">To begin making Mushroom, Paneer And Soya Chunk Samosa Recipe first boil some water with salt in a sauce pan. To this, add the soya chunks/granules.Turn off the heat and cover the saucepan and set it aside for 15 minutes until the chunks/granules double in size. Then, using a large strainer, drain all the water. Place the soya chunks/granules in a bowl and set them aside to cool down.Mince the mushrooms by pulsing them a couple of times in a food processor. Add the cooked soya chunks into the food processor as well and pulse a couple more times till they are mixed well. Set this mixture aside.Heat a pan with oil. To it, add fennel seeds. After a few seconds add the chopped onions and chopped green chilli as well. Saute them until they are slightly golden.Once the onions are golden in colour add the crumbled paneer, along with the mushroom and soya mix, to the pan. Sprinkle some salt and cook it together until the water has evaporated completely.Add the ground pepper, Kashmiri chilli powder, turmeric, coriander powder, garam masala and chaat powder and mix well till combined. Check the seasonings and add some more salt if needed and cook until the mixture is completely dry.Take the Mushroom, Paneer And Soya Chunk mix off the heat, set it aside and allow it to cool down completely. The mixture must come down to room temperature so that it is warm enough to handle.The next step is to prepare the samosas. To do this, take one sheet of spring roll pastry and place it vertically on a board or work surface.Place a spoonful of the stuffing and fold the sheets into a triangles. To seal the samosa like a pouch, smear some water at the end of the fold to make the open ends stick together. Proceed the same way with the remaining sheets, until the samosa filling is used fully.Arrange the  prepared samosas on a board and keep covered with a damp cloth until you are ready to fry them.In a kadai, warm some oil for deep frying. When the oil is hot enough, gently slide 2-3 samosas in. Take care not to over-crowd the kadai, so that the samosas fry evenly and turn golden brown.When ready, gently ease them out with a slotted spoon, taking care to drain out all the excess oil along the sides of the kadhai.Place the samosas on oil absorbent paper and allow the oil to drain completely. Serve Mushroom, Paneer And Soya Chunk Samosa along with Green Chutney or Date and Tamarind Chutney and Ginger Cardamom Chai for a evening snack.
</t>
  </si>
  <si>
    <t>https://www.archanaskitchen.com/samosas-with-minced-mushroom-paneer-and-soya-chunks-stuffing-recipe</t>
  </si>
  <si>
    <t>Stuffed Mooli Paratha Recipe With Radish Greens</t>
  </si>
  <si>
    <t>2 Mooli/ Mullangi (Radish) - finely grated,2 teaspoon Sunflower Oil,2 teaspoons Cumin seeds (Jeera),1 teaspoon Ginger - grated,2 teaspoons Ajwain (Carom seeds),1-1/2 tablespoons Gram flour (besan) - (optional),Coriander (Dhania) Leaves - a handful,2 teaspoons Red Chilli powder - or green chilli paste,Salt - to taste,2-2 Whole Wheat Flour,Mooli Ke Patte (Radish Greens) - a handful,1 teaspoon Salt,Sunflower Oil - or ghee to smear while cooking</t>
  </si>
  <si>
    <t xml:space="preserve">To begin making the Stuffed Mooli Paratha Recipe With Radish Greens, first make the stuffing.For the stuffing:Sprinkle some salt on the grated radish and squeeze out as much liquid as possible. Do not discard it, use it to knead the dough for the cover.Heat oil in a wide non-stick pan.Add cumin seeds and when they sizzle, add chilli powder or green chilli paste and turmeric powder.Add the radish and salt if required. Saute on low heat till all the moisture from radish evaporates. Stir often.Once the moisture has evaporated completely, take it off the heat and cool.Add ajwain, chopped coriander seeds, gram flour (if using) and mix.For the dough:Mix all the ingredients in a mixing bowl or the bowl of a food processor.Use the liquid leftover after squeezing out from the radish to knead a soft pliable dough. Use water if required.Cover and keep aside for 15-20 minutes.Making Stuffed mooli parathasDust a flat working surface with some flour.Divide the dough in 8-10 parts.Roll 1 portion into a ball and flatten it using your fingers.Press and make a cavity in the centre.Place about 2 tablespoons of the stuffing in the cavity, gather the edge and seal it.Carefully roll it out into a circle about 6-7 inches in diameter.Cook on a hot non-stick griddle, using oil till brown spots are seen.Repeat with the other dough balls and rest of the stuffing.Serve Stuffed Mooli parathas on its own or with a chutney, raita or pickle of choice.
</t>
  </si>
  <si>
    <t>http://www.archanaskitchen.com/stuffed-mooli-paratha-recipe-with-radish-greens</t>
  </si>
  <si>
    <t>Parwal Masala Recipe - No Onion No Garlic Recipe</t>
  </si>
  <si>
    <t>300 grams Parwal - peeled and cut length wise,2 Tomatoes - chopped,3 teaspoons Watermelon seeds,1 inch Ginger - finely chopped,1 teaspoon Red Chilli powder,1 teaspoon Coriander Powder (Dhania),1/2 teaspoon Cumin powder (Jeera),1/2 teaspoon Garam masala powder,1 Bay leaf (tej patta),Salt - to taste,1 teaspoon Sunflower Oil</t>
  </si>
  <si>
    <t xml:space="preserve">To begin making No Onion No Garlic Parwal Masala Recipe, wash and prep the parwal. Peel the skin out of the parwal. Peel in alternate strips so that the parwal cooks and retains its shape as well. Cut in half and keep aside.Grind ginger, tomato and watermelon seeds into a smooth mixture.Next heat oil in a wok and saute the parwal on medium flame till they are nearly cooked. Remove and keep aside.Now in the same wok add some more oil if required and bay leaf and add the ground tomato and ginger paste and fry till the raw smell of the tomato goes away.Add the dry masalas, red chilli powder, coriander powder, cumin powder and garam masala powder and stir in the Parwal Masala gravy. Add the cooked parwal to the gravy and add some water. Simmer and cook the Parwal Masala for five minutes until the masala is well coated onto the parwal.Check the salt and spices and adjust to suit your taste and turn off the heat. Transfer the Parwal Masala to a serving bowl and serve hot.Serve No Onion No Garlic - Parwal Masala along with Jain Style Whole Green Moong Dal Subzi, Tawa Paratha and Dangar Pachadi With Grated Carrots.
</t>
  </si>
  <si>
    <t>https://www.archanaskitchen.com/no-onion-no-garlic-parwal-masala-recipe</t>
  </si>
  <si>
    <t>Ganne Ke Ras Ki Kheer Recipe - Sugarcane Kheer Recipe</t>
  </si>
  <si>
    <t>1 liter Sugarcane Juice,250 gram Foxtail Millet,2 tablespoon Milk,2 tablespoon Cashew nuts - crushed,2 tablespoon Badam (Almond) - crushed,2 tablespoon Ghee</t>
  </si>
  <si>
    <t xml:space="preserve">To begin making the Ganne Ke Ras Ki Kheer Recipe, firstly soak the millet for about half an hour.Heat a pressure cooker and add sugarcane juice, let it be on a medium heat and bring the juice to a boil.Add 2 tablespoons of milk to remove and impurities, by using a ladle remove the foam from the top and throw it away.  Once that is done you can add the millet and cover and let it cook. Keep stirring at regular intervals and cook till you get your desired consistency.Pressure cook it for 3 whistles and turn off the heat and keep it aside. Release the pressure naturally. Once you open, add water to adjust the consistency. Once done, keep it aisde.For the tempering, add ghee in a tadka pan.  Add cashews, almonds and cook till they become golden brown. Pour this on the kheer and give it a mix.Serve the Ganne Ke Ras Ki Kheer after your delicious meal of Sarson Ka Saag and Makki Ki Roti with a dollop of homemade butter for a winter weekday meal.
</t>
  </si>
  <si>
    <t>https://www.archanaskitchen.com/ganne-ke-ras-ki-kheer-recipe-sugarcane-kheer-recipe</t>
  </si>
  <si>
    <t>Palak Puri Recipe</t>
  </si>
  <si>
    <t>3 cups wheat flour, 2 cups spinach - finely chopped, 1 tablespoon ginger - make a paste, 1 tablespoon green chili - make a paste, 3 tablespoons ghee - or butter, salt - according to taste</t>
  </si>
  <si>
    <t>"To make Palak Puri Recipe, first chop and wash the spinach. Dry it well. In a bowl add wheat flour, ghee, ginger paste, chilli paste and mix well. Add spinach, some water and knead. Take small pieces, roll them and make small puris. Heat oil in a pan. Keep it on low flame. After the oil is hot add puris and cook till they turn golden brown. Take out on a kitchen towel to absorb excess oil. Serve after it cools down. Serve Palak Puri with Masala Chai for evening snack."</t>
  </si>
  <si>
    <t>http://www.archanaskitchen.com/palak-puri-recipe-crispy-spinach-puri-snack-in-hindi</t>
  </si>
  <si>
    <t>Spicy Potatoes and Lady's Finger Stir Fry</t>
  </si>
  <si>
    <t>500 grams Bhindi (Okhra), 2 Potatoes - boiled and chopped, 2 teaspoons cumin seeds, 4 curry leaves - Curry leaves, 1/2 teaspoon Asafoetida - Asafoetida, 2 teaspoon Red chili powder - Red chili powder, 1 teaspoon Turmeric powder, 1 teaspoon Coriander powder, Salt - According to taste, Oil - According to use</t>
  </si>
  <si>
    <t xml:space="preserve">To make Aloo Bhindi ki Sabzi, first of all heat oil in a pan. Add cumin seeds and cook for 10 to 15 seconds. After that add curry leaves, chopped potatoes, salt and turmeric powder and mix everything well. Cover the pan and let the potatoes cook. When the potatoes become soft, add coriander powder, red chili powder and cook for some more time. After cooking keep it aside. Once the potatoes are cooked, then we will cook the bhindi. Heat oil in a pan and add cumin seeds. After 10 seconds add chopped bhindi, asafoetida and salt. Cover the pan and let the bhindi cook. When the bhindi is cooked a little, add coriander powder and red chili powder. Cook till the color of the bhindi changes. When the bhindi is cooked, add cooked potatoes and mix well. Cook for 2 to 3 minutes more and serve hot Serve. Aloo Bhindi Sabzi can be served with Gujarati Kadhi and Chapati.
</t>
  </si>
  <si>
    <t>http://www.archanaskitchen.com/spicy-potatoes-and-lady-s-finger-stir-fry-recipe-in-hindi</t>
  </si>
  <si>
    <t>Arbi Shimla Mirch Sabzi Recipe – Colocasia Capsicum Sabzi</t>
  </si>
  <si>
    <t>300 grams Colocasia root (Arbi),1 Green Bell Pepper (Capsicum) - diced,1 Tomato - chopped,1 inch Ginger - grated,1 teaspoon Coriander Powder (Dhania),1/2 teaspoon Turmeric powder (Haldi),1/2 teaspoon Red Chilli powder,1 teaspoon Garam masala powder,Salt - according to taste,Sunflower Oil - for cooking</t>
  </si>
  <si>
    <t xml:space="preserve">To begin making the Arbi Shimla Mirch Sabzi Recipe, first we will cook the arbi in a pressure cooker.Into the pressure cooker, add arbi and 1/2 cup water and pressure cook for 4 to 5 whistles and turn off the heat.Allow the pressure to release naturally.  Once the pressure has released, peel and dice the arbi and keep aside. Allow it to cool completely and firm up.The next step in making the Arbi Shimla Mirch Sabzi Recipe, heat about a tablespoon of oil in a heavy bottomed pan; add the ginger and capsicum.Saute for a few minutes until the capsicum is tender and begin to start changing color. The capsicum would be lightly browned around the edges and softened too.Once the capsicum has softened, add in tomatoes and sprinkle some salt and keep sauteing until the tomatoes become mushy. At this point, stir in the boiled arbi, turmeric powder, coriander powder and garam masala powder, red chilli powder and salt.Stir the Arbi Shimla Mirch Sabzi along with the spices until well coated. Check the salt and adjust accordingly.Cover the pan; turn the heat to low and simmer the Arbi Shimla Mirch Sabzi Recipe for about 5 minutes, stirring occasionally.Once done, turn off the heat, stir in the freshly chopped coriander leaves and transfer the Arbi Shimla Mirch Sabzi to a serving platter and serve hot.Serve Arbi Shimla Mirch Sabzi Recipe with Punjabi Dal Tadka, Missi Roti, Beetroot, Carrot &amp; Cucumber Salad with Peanuts and Rice for a delicious weekday lunch or dinner with your family.
</t>
  </si>
  <si>
    <t>http://www.archanaskitchen.com/arbi-shimla-mirch-sabzi-recipe-colocasia-capsicum-sabzi</t>
  </si>
  <si>
    <t>Kadai Chole Recipe</t>
  </si>
  <si>
    <t>1 cup chickpeas or chickpeas - soak overnight, 2 onions - chop, 1 capsicum (green) - chop, 4 cloves garlic - finely chop, 1 inch ginger - finely chop, 2 green chillies - chop straight, 1 tomato - make puree, 1 cinnamon stick, 3 cloves, 1 bay leaf, 1 big cardamom, 1 teaspoon coriander powder, 1/2 teaspoon cumin powder, 1 teaspoon Kashmiri red chilli powder, 1/2 teaspoon dry mango powder, 1/2 teaspoon garam masala powder, 1/2 teaspoon celery, 2 tablespoons ghee, salt - according to taste</t>
  </si>
  <si>
    <t>"To make Kadhai Chole recipe, first soak the chickpeas in water for 6 hours. After 6 hours, put them in a pressure cooker with salt and 3 cups of water and cook on medium flame for 30 minutes. Now heat ghee in a pan. Add celery, onion, ginger, garlic, green chilies, cinnamon, cloves, cardamom, bay leaves and cook till onion becomes soft. After onion becomes soft, add capsicum and cook till capsicum becomes soft. Now add tomatoes, coriander powder, red chili powder, cumin powder, garam masala powder, dried mango powder, salt and mix well. Now add chickpeas, some ghee and cook for 5 minutes. Serve Kadhai Chole with Tawa Paratha and Boondi Raita for lunch. "</t>
  </si>
  <si>
    <t>http://www.archanaskitchen.com/kadai-chole-recipe-dry-chickpeas-masala-with-capsicum-in-hindi</t>
  </si>
  <si>
    <t>Makhana Moongphali Ki Kadhi Recipe - Navratri Fasting/Vrat Recipe</t>
  </si>
  <si>
    <t>1/2 cup Phool Makhana (Lotus Seeds) - roasted in ghee,2 tablespoons Raw Peanuts (Moongphali) - steamed,1 cup Curd (Dahi / Yogurt),1 tablespoon Rajgira Flour (Amaranth Flour),1 Green Chilli - slit,1/2 teaspoon Sugar,2 sprig Coriander (Dhania) Leaves - finely chopped,Salt - or rock salt to taste,1 teaspoon Ghee,1/2 teaspoon Cumin seeds (Jeera),1 inch Cinnamon Stick (Dalchini)</t>
  </si>
  <si>
    <t xml:space="preserve">We begin making Makhana Moongphali Ki Kadhi Recipe (Navratri Fasting/Vrat Recipe) by getting all our ingredients ready. In a saucepan, combine the yogurt, rajgira flour, salt and sugar along with 2 cups of water. Whisk well and keep aside for later. Place a pan on medium heat and add ghee. Once the ghee is warm add the makhana, toast it until it pops out like popcorn. Turn off the flame and keep it aside to cool. In the same pan, add little more ghee and crackle the cumin seeds, green chilli and cinnamon. Keep aside. Your tadka is ready. Place the saucepan containing the curd mixture on heat and cook on low heat for 4 to 5 minutes. Stir continuously so that no lumps are formed. Add the makhana and the steamed peanuts along with the prepared tadka to the kadhi and garnish with coriander leaves. Your Makhana Moongphali is ready to be served.Serve your Makhana Moongphali Ki Kadhi with Sama Khichdi or Palak Khichdi and Satvik Carrot Sprouts Salad to make it a delicious meal.
</t>
  </si>
  <si>
    <t>https://www.archanaskitchen.com/makhana-moongphali-ki-kadhi-navratri-fasting-vrat-recipe</t>
  </si>
  <si>
    <t>Indian Style Kala Chana Salad Recipe</t>
  </si>
  <si>
    <t>2 cups Kala Chana (Brown Chickpeas) - soaked overnight and boiled,1 Onion - finely chopped,1 Tomato - finely chopped,2 Green Chillies - finely chopped (adjustable),Coriander (Dhania) Leaves - ,Salt - as required,1/2 teaspoon Black pepper powder,1 Lemon juice,1/2 teaspoon Red Chilli powder,1/2 teaspoon Black pepper powder,1 Lemon juice</t>
  </si>
  <si>
    <t xml:space="preserve">To begin making the Indian Style Black Chickpea Salad recipe, wash and soak the chana in water,and leave it overnight. In a pressure cooker, add the chana and water and pressure cook for 6 whistles on high flame, reduce the flame and continue to cook for 15 more minutes. Turn off the flame. Allow the pressure to release naturally, drain the water and transfer the chana into a bowl and set aside. In a mixing bowl, combine the kala chana, onion, tomato and green chilliesMix everything properly and add black pepper powder, salt, lemon juice and coriander leaves.Mix everything well and serve it immediately. Serve Indian Style Black Chickpea Salad along with Gujarati Dal, Roti and Bhindi Masala Recipe (Bhindi Tamatar Ki Sabzi) Rice for a weekday meal.
</t>
  </si>
  <si>
    <t>http://www.archanaskitchen.com/indian-style-black-chickpea-salad-recipe</t>
  </si>
  <si>
    <t>Pudina &amp; Dhaniya Raita Recipe</t>
  </si>
  <si>
    <t>1 cup Curd (Dahi / Yogurt),4 sprig Coriander (Dhania) Leaves - washed and chopped,4 sprig Mint Leaves (Pudina) - washed and chopped,Salt - to taste,1 teaspoon Mustard seeds,1 teaspoon Cumin seeds (Jeera),1 sprig Curry leaves,1 pinch Asafoetida (hing),Sunflower Oil</t>
  </si>
  <si>
    <t xml:space="preserve">To begin making the Pudina &amp; Coriander Raita Recipe, we will whip the curd with chopped coriander leaves, pudina leaves, and salt to taste. Mix well until combined.Heat a tempering pan with oil, add mustard seeds and cumin seeds and allow it to sizzle for few seconds.Once done, add curry leaves and hing and leave it to crackle. Pour the tempering oil over the raita as the tadka and serve. Serve the Pudian &amp; Dhania Raita Recipe along with Spiced Cabbage Rice or Paneer Pulao With Green Peas with Aloo Parwal Sabzi by the side to pack it for your everyday lunch.
</t>
  </si>
  <si>
    <t>http://www.archanaskitchen.com/pudian-coriander-raita-recipe</t>
  </si>
  <si>
    <t>Dal Fry Recipe</t>
  </si>
  <si>
    <t>1 cup Chana dal (Bengal Gram Dal),Water - as required,1 Onion - finely chopped,2 Tomatoes - finely chopped,2 Green Chillies - finely chopped,2 inch Ginger,5 cloves Garlic,2 tablespoons Kasuri Methi (Dried Fenugreek Leaves),1/2 teaspoon Turmeric powder (Haldi),Salt - as per taste,Lemon wedges - as required,Coriander (Dhania) Leaves - chopped for garnishing,1 teaspoon Kashmiri Red Chilli Powder,1/2 teaspoon Asafoetida (hing),1 tablespoon Mustard seeds,1 tablespoon Fennel seeds (Saunf),1 tablespoon Cumin seeds (Jeera),2 Dry Red Chillies,Ghee - as required</t>
  </si>
  <si>
    <t xml:space="preserve">To begin making the Dal Fry Recipe, wash the dal and soak it in the water for about 20 to 30 minutes.Pressure cook the dal for 5-6 whistles with water, salt and turmeric powder. Wait for the pressure to release naturally. Once done, open the lid and set it aside. Drain and reserve the water.Heat oil and ghee in a kadhai. Once hot, add the grated ginger, garlic and green chillies to it.Saute for a few seconds and add the chopped onion. Saute for another 3-4 minutes till onions are soft and golden brown in colour.Once done add the tomatoes to it and let it cook for 2 minutes till the tomatoes are soft and mushy.After the tomatoes are soft add the cooked lentils to the masala and give it a good mix.Add 1 cup of the reserved lentil water to it, adjust salt accordingly.Let the dal come to a boil, then simmer for 10 mins till it reaches the desired consistency. Add water as and when needed to reach the consistency you prefer. I prefer it a little thicker.The next step is to temper the dal. Heat ghee/clarified butter in a small tadka pan. Once hot, add the cumin seeds, fennel seeds and mustard seeds and dry red chillies, followed by the hing and red chilli powder. Fry for 15 secs till everything has popped and is fragrant. Make sure that you do not burn them. Pour the tadka on the dal. Rest the dal fry for 10 mins before giving it a stir and serve. Serve hot, garnished with coriander leaves and a squeeze of lemon juice.Serve Dal Fry Recipe with Steamed Rice Recipe or jeera rice or Phulka and Aloo Methi Masala Recipe for a delicious meal.
</t>
  </si>
  <si>
    <t>http://www.archanaskitchen.com/dal-fry-recipe</t>
  </si>
  <si>
    <t>Whole Wheat Vegetable Chilla (Cheela) Recipe</t>
  </si>
  <si>
    <t>1 cup Whole Wheat Flour,2 cups Water,1 Onion - finely chopped,2 Tomatoes - finely chopped,1 Green Bell Pepper (Capsicum) - finely chopped,1 teaspoon Turmeric powder (Haldi),1 teaspoon Cumin seeds (Jeera),1 teaspoon Red Chilli powder,Coriander (Dhania) Leaves - a small bunch finely chopped,Salt - to taste,Sunflower Oil - for frying</t>
  </si>
  <si>
    <t xml:space="preserve">To begin making the Whole Wheat Vegetable Chilla (Cheela) Recipe, in a mixing bowl, mix the Vivatta Whole Wheat Flour and water and make a thick lump free batter.The paste should be thicker than dosa batter.After making a batter, mix the vegetables like chopped onion, chopped tomatoes, chopped capsicum, chopped coriander leaves,cumin seeds, turmeric powder, red chili powder and salt to taste. Mix well.Heat a tava and grease it with 1 tablespoon oil.When the oil gets heated, add one ladle full of batter on the heated tava.If the vegetables accumulate in the center, then using your finger tips spread the vegetables around the cheela.Cover the tava with a lid for 3 to 4 minutes and cook the wheat chilla over medium heat. The steam that gets created will help cook the chilla evenly.Open the lid and spread 1 teaspoon oil on top of the chilla while it is frying on the tava and continue to cook until you notice the sides and the bottom of the chilla is cooked through and lightly browned.Flip to the other side and let it get cooked for a few more minutes or until the edges appear crispy.Serve the Whole Wheat Vegetable Chilla (Cheela) along with Peanut Chutney for breakfast, tea time snack or dinner.
</t>
  </si>
  <si>
    <t>https://www.archanaskitchen.com/whole-wheat-vegetable-chilla-cheela-recipe</t>
  </si>
  <si>
    <t>1 cup Rice,2 cups Water,1 teaspoon Ghee,1 Cardamom (Elaichi) Pods/Seeds,2 Cloves (Laung),1 Star anise,1/2 inch Cinnamon Stick (Dalchini),2 Whole Black Pepper Corns,Salt - to taste,1 Bay leaf (tej patta),1/4 cup Fried Onions,1 sprig Coriander (Dhania) Leaves,1 sprig Mint Leaves (Pudina),200 grams Paneer (Homemade Cottage Cheese) - cut into 1/2 inch cubes,2 Tomatoes,2 tablespoons Fresh cream,1 Onion - roughly chopped,1 inch Ginger,3 cloves Garlic,1 Green Chilli,1 teaspoon Cardamom Powder (Elaichi),1/2 teaspoon Cumin powder (Jeera),1/2 teaspoon Garam masala powder,1/2 teaspoon Red Chilli powder,1 teaspoon Kasuri Methi (Dried Fenugreek Leaves),1 teaspoon Honey,Salt - to taste,Sunflower Oil - Cooking oil ,1 tablespoon Cashew nuts - fried to garnish</t>
  </si>
  <si>
    <t xml:space="preserve">To begin making the Layered Paneer Butter Masala Biryani Recipe, wash and soak the rice in water for 30 minutes. To make the rice for Layered Paneer Butter Masala BiryaniIn a pressure cooker, heat ghee on low flame add the whole spices- cardamom, cloves, star anise, cinnamon stick, whole black peppercorns, and a bay leaf, allow these spices to sizzle, next add the drained rice, salt and 2 cups of water.Close the pressure cooker and pressure cook for two whistles and turn off the flame. Allow the pressure to release naturally. Spread the rice on a plate and allow it to cool. Once cooled, mix in the fried onions and chopped coriander and mint leaves. To make the Paneer Butter Masala for the Layered Paneer Butter Masala Biryani RecipeIn a kadai, heat a teaspoon of oil on medium heat, add the cumin seeds, cardamom, green chilli, ginger, garlic, and onions and saute for 4-6 minutes, once the onions turn brown add in the chopped tomatoes. Continue to cook until all the vegetables soften, add salt and turn off the flame. Allow it to cool. Once cooled, transfer the onion-tomato mix into a mixer-jar and grind into a smooth paste. Heat a pan on low heat, transfer the ground masala paste onion- tomato mix to the pan and continue to cook on low flame.Now add the cumin powder, garam masala powder, red chilli powder, honey and kasuri methi. Mix well and bring this paneer butter masala gravy to a brisk boil. When the gravy begins to boil, add in the paneer pieces and fresh cream. Mix well, and ensure that you are left with a thick semi coating masala on the paneer and turn off the flame. We are not looking for a gravy style -paneer butter masala, we want the masala to be well coated over the paneer pieces. To assemble the Layered Paneer Butter Masala Biryani RecipeGrease a big glass bowl generously with some melted butter, put some coriander- mint leaves and fried onions, start with the first layer, spread 1/3 cup of rice, pressing firmly,  then a layer of paneer butter masala, repeat these layers till you end up with rice as the last layer. Place a serving plate over this Layered Paneer Butter Masala Biryani bowl and invert it on the plate. Serve Layered Paneer Butter Masala Biryani Recipe, along with Onion Raita for a simple meal. Finish this simple yet delicious meal with Kesar Shahi Tukda With Rabri Recipe (Saffron Bread Pudding With Spiced Milk Custard)  
</t>
  </si>
  <si>
    <t>http://www.archanaskitchen.com/layered-paneer-butter-masala-biryani-recipe</t>
  </si>
  <si>
    <t>Spicy Aloo Naan Recipe</t>
  </si>
  <si>
    <t>2 cups All Purpose Flour (Maida),2 teaspoons Active dry yeast,1/4 cup Curd (Dahi / Yogurt),2 teaspoon Sugar,2 teaspoons Sunflower Oil,Salt - to taste,3 Potatoes (Aloo) - boiled and mashed,1 Onion - finely chopped,2 Green Chillies - finely chopped,1/2 teaspoon Turmeric powder (Haldi),1/2 teaspoon Garam masala powder,Coriander (Dhania) Leaves - few,1/2 teaspoon Amchur (Dry Mango Powder),Salt - to taste,2 cloves Garlic - finely chopped</t>
  </si>
  <si>
    <t xml:space="preserve">To begin making the Spicy Aloo Naan Recipe, in a large bowl add the cups of flour all the ingredients for the dough and adding little water at a time knead to make a firm and smooth dough.Grease the dough with a little oil on the top and allow it to rest covered in a warm place until it doubles in volume.Once the naan dough has doubled, punch down the dough, knead for a minute and divide into 5 to 6 portions.The next step is to make the spicy aloo masala for the naan.In a large mixing bowl, add the mashed potatoes and the remaining ingredients and stir well to combine. Check the salt and adjust to suit your taste.Take a portion of the naan dough, dust it in flour and roll it into a 2 inch diameter circle. Place a spoonful of the spicy aloo masala and cover the filling by pulling the dough over it. Dust it with flour and gently roll to make a bigger oval. Brush the stuffed aloo naan with oil and sprinkle garlic on the top. Place it on a greased baking sheet. Proceed the same way with the remaining portions of the dough and potato filling.Preheat the oven to 200 C for 15 minutes. Bake the Spicy Aloo Naan in the preheated oven for about 10 minutes until puffed up and golden in color.Once done, remove from the oven brush some butter on the top and serve. Serve the Spicy Aloo Naan as an appetizer for your parties or along with Paneer Makhani for a weeknight dinner.
</t>
  </si>
  <si>
    <t>http://www.archanaskitchen.com/spicy-aloo-naan-recipe</t>
  </si>
  <si>
    <t>Chole Pindi Recipe (Spicy Chickpea Curry)</t>
  </si>
  <si>
    <t>1 cup Kala Chana (Brown Chickpeas) - soaked overnight,2 Cardamom (Elaichi) Pods/Seeds,1 Onion - finely chopped,1 Cinnamon Stick (Dalchini),1 inch Ginger - finely chopped and more for garnish,2 Green Chillies - slit,1/2 cup Homemade tomato puree,1/2 teaspoon Turmeric powder (Haldi),1 teaspoon Anardana Powder (Pomegranate Seed Powder),1 teaspoon Coriander Powder (Dhania),1/2 teaspoon Garam masala powder,1/2 teaspoon Amchur (Dry Mango Powder) - (or juice from one lemon),1/2 teaspoon Red Chilli powder,Sunflower Oil - for cooking or ghee,Salt - to taste,1 inch Ginger - thinly sliced,Lemon - wedges to serve</t>
  </si>
  <si>
    <t xml:space="preserve">To begin making the Chole Pindi Recipe, we will first cook the soaked Kala chana chola (chickpeas) in the pressure cooker. Click to see the video recipe of how to cook legumes like chickpeas in a pressure cooker.Make sure to cook the chola with a little salt. After it is cooked, when you place it between your fingers, it should mash easily. That's when you know you have the perfect texture of the cooked chola.The next step is to proceed to make the masala for the Pindi Chola. Heat a teaspoon of oil in a heavy-bottomed pan over medium heat.Add the onion, ginger, green chillies, tomatoes, turmeric powder, coriander powder, garam masala powder, amchur powder, chilli powder, cinnamon stick and cardamom.Stir fry the spices along with the tomatoes, until the onions and tomatoes soften. Once the onions and tomatoes, soften, add the cooked Kala Chana and give it a good stir. Cover the pan, and simmer the Pindi Chole for about 5 minutes so the chola absorbs all the masalas and gets good flavors and taste. Turn off the heat and stir in the chopped coriander leaves.Transfer the Pindi Chole to a serving bowl, garnish with thinly sliced ginger and a squeeze of lemon.Serve the Chole Pindi Recipe along with Phulka for an exciting Lunch meal. 
</t>
  </si>
  <si>
    <t>http://www.archanaskitchen.com/chole-pindi-recipe-spicy-chickpea-curry</t>
  </si>
  <si>
    <t>Besan And Green Pea Cheela Recipe</t>
  </si>
  <si>
    <t>1/4 cup Gram flour (besan),1/2 cup Green peas (Matar),1 Onion,3 cloves Garlic,2 Green Chillies - finely chopped,Ginger - A small piece,1/4 cup Coriander (Dhania) Leaves,1/2 teaspoon Ajwain (Carom seeds),1/4 teaspoon Fennel seeds (Saunf) - powdered,1/4 teaspoon Sesame seeds (Til seeds),1/4 teaspoon Red Chilli powder,Garam masala powder - Pinch,Salt - to taste,1 teaspoon Sunflower Oil,Water - as required</t>
  </si>
  <si>
    <t xml:space="preserve">To begin with Besan And Green Pea Cheela, first take a mixer jar and add green peas, garlic, onion, ginger, coriander leaves, a little water and make a paste.Take a mixing bowl and add chickpea flour, green peas paste, fennel seeds powder, sesame seeds, carom seed, salt and all the spices. Mix them properly.After this, add water as required to make batter.Once the batter is ready, heat a skillet and pour the batter and form a round shape like we do when we prepare dosa. Apply oil on cheela as needed and cook it from both the sides.Serve Besan And Green Pea Cheela with Dhaniya Pudina Chutney or any other chutney of your choice. 
</t>
  </si>
  <si>
    <t>https://www.archanaskitchen.com/besan-and-green-pea-cheela-recipe</t>
  </si>
  <si>
    <t>Carrots &amp; Sweet Potato Stuffed Paratha Recipe</t>
  </si>
  <si>
    <t>2 cups Whole Wheat Flour,1/2 teaspoon Salt,1 teaspoon Sunflower Oil,1 cup Carrots (Gajjar) - finely grated,1/2 cup Sweet Potatoes - boiled and mashed,1 teaspoon Cumin powder (Jeera) - (roasted),1 Green Chillies - chopped (adjust),1/4 cup Coriander (Dhania) Leaves - chopped,Salt - to taste</t>
  </si>
  <si>
    <t xml:space="preserve">To begin making the sweet potato parathas, we will first make the dough. Add flour and salt in a large bowl, adding little water at a time to make soft, pliable dough.Knead dough until it is smooth and elastic. Add oil to coat the dough and knead little more. The dough will be soft and nonsticky. Allow the dough to rest for about 15 minutes, covered.Knead dough until it is smooth and elastic. Add oil to coat the dough and knead little more. The dough will be soft and nonsticky. Allow the dough to rest for about 15 minutes, covered.Divide the dough into lemon sized balls and roll them out thin to approximately 3 inches in diameter. Note tossing the dough in dry flour while rolling will prevent it from getting sticky when rolling them out.In another bowl, combine all the ingredients for the filling together. Check the salt and spices and adjust to suit your taste.Add 1 tablespoon of the stuffing in the center. Gather the sides and bring them together. Remove the little excess dough which popped out when you brought them together.Press the stuffed dough down. Toss it in some flour and roll it gently applying just even pressure to roll. Roll it to desired thickness and your comfort level in rolling.Place the stuffed sweet potato carrot parathas on the hot griddle/skillet. Cook on medium heat adding a little oil or ghee to cook the parathas until you notice it gets brown spots on both the sides and has lightly crisp outer crust.Serve Carrots &amp; Sweet Potato Stuffed Paratha Recipe along with Boondi Raita Recipe Spiced With Black Salt, Instant Gor Kairi Lonche Recipe - Sweet Raw Mango Pickle and Apple, Kiwi, Pineapple Juice Recipe for a complete breakfast.
</t>
  </si>
  <si>
    <t>https://www.archanaskitchen.com/carrot-sweet-potato-paratha-recipe</t>
  </si>
  <si>
    <t>250 grams Paneer (Homemade Cottage Cheese),2 Onions - finely chopped,4 Tomatoes,1 Green Bell Pepper (Capsicum),4 Whole cashews,1 tablespoon Mustard oil,1 Green Chilli,pinch Asafoetida (hing),Salt - to taste,1 tablespoon Coriander (Dhania) Seeds,1 tablespoon Fennel seeds (Saunf),1 teaspoon Mustard seeds,1/2 teaspoon Methi Seeds (Fenugreek Seeds),2 Kashmiri dry red chillies,1/4 teaspoon Kalonji (Onion Nigella Seeds),1 teaspoon Cumin seeds (Jeera)</t>
  </si>
  <si>
    <t xml:space="preserve">To begin making the Achari Paneer Masala Recipe, firstly soak the cashews in hot water for about 15-20 minutes.Dry roast the ingredients listed under masala which includes coriander seeds, fennel seeds, mustard seeds, methi seeds, Kashmiri dry red chillies, Kalonji, cumin seeds on low flame for about 5-10 minutes till the spices release their aroma.Let them cool and grind to a powder using a mixer grinder.Puree the green capsicum, cashews and tomatoes together and set aside.Heat the mustard oil to its smoking point in a heavy bottomed pan. Add green chillies, asafoetida and saute for 10-15 seconds.After 10 to 15 seconds, add in the chopped onions and cook till they turn slightly golden brown.Once the onions are brown, add the powdered masalas and roast together for about 15 -20 seconds.Spoon in the pureed tomato and capsicum and cook till the gravy thickens and the oil separates and starts floating on the sides. This will take about 5 to 7 minutes.After 5 to 7 minutes, add the paneer and cook for just 2 minutes till the Achari Paneer Masala comes up to the temperature of the gravy. Once done, check the salt and seasonings and adjust according to taste.Turn off the heat and transfer the Achari Paneer Masala to a serving bowl and serve hot.Serve Achari Paneer Masala Recipe along with Phulka or Jeera Rice, Dal Fry, and Boondi Raita for a weekend meal.
</t>
  </si>
  <si>
    <t>http://www.archanaskitchen.com/achari-paneer-masala-recipe</t>
  </si>
  <si>
    <t>Matar Kachori Recipe</t>
  </si>
  <si>
    <t>1 cup Whole Wheat Flour,2 tablespoon Ghee,1/4 teaspoon Salt,1 cup Green peas (Matar) - steamed,2 Green Chillies - chopped,4 cloves Garlic - finely chopped,1 inch Ginger - finely chopped,1 teaspoon Red Chilli powder,1/2 teaspoon Garam masala powder,1 teaspoon Amchur (Dry Mango Powder),1/2 teaspoon Chaat Masala Powder,2 teaspoon Fennel seeds (Saunf),1/2 teaspoon Kalonji (Onion Nigella Seeds),1/4 teaspoon Turmeric powder (Haldi),2 tablespoon Ghee,Salt - to taste,2 tablespoons Gram flour (besan),Mustard oil - for deep frying</t>
  </si>
  <si>
    <t xml:space="preserve">To begin making the Matar Kachori, we will first make the dough. In a mixing bowl, add the flour, ghee and salt. Combine to make a coarse crumb mixture.Add little water at a time to make a soft smooth dough. Cover the kachori dough and allow the dough to rest for 15 minutes. Keep it aside.To make the matar kachori filling, add the green peas,ginger, garlic, green chilli in a blender and blend to make a coarse mixture. Heat a teaspoon of mustard oil in a heavy bottomed pan; add the fennel seeds and kalonji and saute for two seconds.Add the matar kachori mixture, chilli powder, garam masla, amchur powder, chaat masala powder, salt to taste and saute till all the ingredients are well combined.Once done, turn off the heat and allow the matar kachori mixture to cool completely.Finally, to make the Matar Kachori roll the dough into 2 inch circles. Add the kachori mixture in the center and bring edges together &amp; form a ball.Press down to make a disc and make all the kachoris like this. Heat the required oil in a heavy bottomed pan to fry the kachoris. Add the kachoris and fry till they turn golden brown on both sides.Once it is done, take them out on a kitchen towel so that it absorbs the excess oil and serve Matar Kachori hot.Serve this delicious and tasty Matar Kachori with Tamarind Chutney or Dhaniya Pudina Chutney and a hot cup of Masala Chai or your evening snacks, as an Indian appetizer for potluck and as starters for dinner parties.
</t>
  </si>
  <si>
    <t>https://www.archanaskitchen.com/matar-kachori-recipe</t>
  </si>
  <si>
    <t>Tandoori Aloo Tikka Recipe - Indian Spiced Roasted Smoked Potatoes</t>
  </si>
  <si>
    <t>1 tablespoon Ghee - for cooking,300 grams Baby Potatoes - boiled &amp; peeled,1/4 cup Hung Curd (Greek Yogurt),2 tablespoons Gram flour (besan),1 inch Ginger - finely chopped,4 cloves Garlic - finely chopped,1 tablespoon Kasuri Methi (Dried Fenugreek Leaves),1/2 teaspoon Turmeric powder (Haldi),1 teaspoon Chaat Masala Powder,1 teaspoon Garam masala powder,1/4 cup Mint Leaves (Pudina) - finely chopped,Salt - to taste,1 Coal - for giving a smoked flavour,1 teaspoon Chaat Masala Powder,1 teaspoon Garam masala powder,1/4 cup Mint Leaves (Pudina) - finely chopped,Salt - to taste,1 Coal - for giving a smoked flavour</t>
  </si>
  <si>
    <t xml:space="preserve">To begin making the Tandoori Aloo Tikka Recipe, get all the ingredients prepped and ready.Into a large mixing bowl add all the ingredients for Tandoori Aloo in a bowl except the boiled potatoes and ghee and stir them well until combined.Add the boiled baby potatoes into it and allow it to marinate for 30 minutes.Heat a tablespoon of oil or ghee in a wok or a skillet, add the tandoori aloo mixture.Sauté over high heat for four to five minutes, stirring occasionally and roast the potatoes until all the marination thickens and forms a coat over the aloo.The potatoes/ aloo should be well crusted and golden brown.Once done, check the salt and spice and adjust to suit your taste of the Tandoori Aloo. Keep this aside in the same pan. Next step is the give the Tandoori Aloo Tikka a smoked flavour. Place a large piece of coal on the gas flame and allow it to turn red hot.Place a katori in the center of the tandoori aloo tikka pan, place the red hot coal in the katori/ cup and spoon a little bit of ghee over the coal. It will begin to emit smoke. Cover the pan and allow the tandoori aloo tikka to get the smoky flavours.After about 30 seconds, remove the coal cup and the smoked Tandoori Aloo tikka is ready.Serve the Tandoori Aloo Tikka as an appetizer for parties along with Lacha Pyaz &amp; Green chutney
</t>
  </si>
  <si>
    <t>https://www.archanaskitchen.com/tandoori-aloo-tikka-recipe-indian-spiced-roasted-smoked-potatoes</t>
  </si>
  <si>
    <t>Kela Besani Sabzi Recipe</t>
  </si>
  <si>
    <t>1 raw banana, 1 cup spoon gram flour, asafoetida - a pinch, 1 tablespoon cumin seeds, 1/2 teaspoon turmeric powder, 1/2 teaspoon red chili powder, 1 teaspoon coriander powder, 1/2 teaspoon garam masala powder, 1 cup curd, 1/2 cup water, salt - according to taste, 1 tablespoon oil -, green coriander - chopped, green chili - chopped, oil - according to use</t>
  </si>
  <si>
    <t>"Wash the bananas thoroughly and loosen them. Cut them into round pieces and boil them in water for a while. Now prepare the gram flour batter. For the gram flour batter, mix a little salt, a pinch of turmeric and water in the gram flour and make a batter. Now take out the boiled bananas from the water and knead them in the gram flour batter and fry them in hot oil. Now heat one tablespoon of oil in a pan. Add asafoetida and cumin seeds in it. Add all the spices, i.e. turmeric, red chilli and coriander and fry them. Now add curd and water and mix well. Add the fried bananas and salt in the oil, stir and cover and cook on low flame. After 15-20 minutes, when the curd, spices and bananas are well mixed, turn off the gas. Garnish with chopped coriander and green chilli and garam masala and serve with hot parathas or phulkas the day after."</t>
  </si>
  <si>
    <t>https://www.archanaskitchen.com/kela-besani-sabzi-recipe-in-hindi</t>
  </si>
  <si>
    <t>Green Chutney Aloo Chaat Recipe</t>
  </si>
  <si>
    <t>4 Potatoes (Aloo) - boiled,1/2 cup Coriander (Dhania) Leaves,1/2 cup Mint Leaves (Pudina),4 Green Chillies,1/2 inch Ginger - chopped,1 Lemon - juiced,1 tablespoon Peanuts,Sugar - a pinch,Salt - to taste,1 teaspoon Cumin (Jeera) seeds,1/2 teaspoon Garam masala powder,1/2 teaspoon Cumin powder (Jeera),Fresh Pomegranate Fruit Kernels - for garnish,Sev - for garnish,Chaat Masala Powder,Sunflower Oil - for cooking</t>
  </si>
  <si>
    <t xml:space="preserve">To begin making Green Chutney Aloo Chaat Recipe, wash and put the potatoes in a pressure cooker with enough water and close the lid.Place the pressure cooker on heat and pressure cook the potatoes for three whistles. Turn off the heat and let the pressure release naturally.After the pressure in released discard the water and let the potatoes cool. Once cool, peel the potatoes and chop the potatoes into equal bite size and keep them aside.While we are waiting for the potatoes to cool, we will make the green chutney.Add all the ingredients listed under *For green chutney* - the coriander leaves, mint leaves, ginger,green chillies, salt, sugar, lemon and peanuts to a mixer grinder, add little water and grind the green chutney until smooth.Now we will pan fry the aloo. Preheat a pan and add little oil. Once the oil is hot, add cumin seeds and let it splutter. After the cumin seeds have spluttered, add the potatoes and saute. Add salt to taste and stir fry potatoes till they evenly turn light golden brown on the outside. Add cumin powder, garam masala powder and stir well to combine. Turn off the heat. Once the potatoes have cooled a bit, mix the green chutney with the aloo and combine to coat all the aloo pieces well with the green chutney. Sprinkle chaat masala and combine.Transfer the green chutney aloo chaat into serving bowls. Garnish with pomegranate kernels and sev and serve. You can add a dash of lemon juice to the Green Chutney aloo Chaat if you like.Serve Green Chutney Aloo Chaat Recipe along with Rajma Cutlet (Kidney Beans Patties), Dahi Bhalla Papdi Chaat and Masala Soda Shikanji  for your next chaat party.
</t>
  </si>
  <si>
    <t>http://www.archanaskitchen.com/green-chutney-aloo-chaat-recipe</t>
  </si>
  <si>
    <t>Restaurant Style Green Peas Masala Recipe</t>
  </si>
  <si>
    <t>1 cup Green peas (Matar),3 Onions - ground into a paste,5 cloves Garlic - finely chopped,2 Green Chillies,1-1/2 teaspoon Ginger - finely chopped,2 Tomatoes - pureed,1/2 teaspoon Red Chilli powder,1 teaspoon Coriander Powder (Dhania),1 teaspoon Cumin powder (Jeera),1 teaspoon Turmeric powder (Haldi),1/2 teaspoon Garam masala powder,Salt - to taste,1/2 teaspoon Sugar,Coriander (Dhania) Leaves - finely chopped,6 Cashew nuts,2 tablespoons Curd (Dahi / Yogurt),1/2 inch Cinnamon Stick (Dalchini),2 Cardamom (Elaichi) Pods/Seeds,2 Cloves (Laung),1 Bay leaf (tej patta),2 tablespoons Sunflower Oil,1 tablespoon Butter</t>
  </si>
  <si>
    <t xml:space="preserve">To begin making Restaurant Style Green Peas Masala, we have to first cook the peas. Pressure cook the green peas along with 2 tablespoons water for 1 whistle. Release the pressure of the cooker immediately. Keep the cooked peas aside. Meanwhile, soak cashew nuts in warm water for 15 minutes. Once the cashews have softened, add them to a mixer and grind them along with curd to make a smooth paste.In a heavy bottomed pan, heat oil on medium flame. Once the oil is hot, reduce it to a low flame, add bay leaf, cinnamon stick, cardamom and cloves.Once the aroma of the spices start wafting in the air, add chopped garlic &amp; ginger and sauté until the raw smell goes away. This will take about a minute or two.Next, add onion paste, tomato puree and saute until the raw smell of onions goes away. This will take about 5 minutes. Then add all the dry spice powders including turmeric powder, cumin powder, coriander powder, garam masala powder, red chilli powder and salt to taste.Mix them well and add 2 tablespoons of water to the mixture to avoid burning of the spices.Once the spices are well cooked, add required water to get the required consistency of your choice. Boil for 3 to 4 minutes.Next, add the cashew-curd mixture (paste) and stir continuously for the proper mixing of ingredients.Now ,add the cooked peas and let the Green Peas Masala cook on a low flame for 5 minutes.Finally, switch off the gas and add a dollop of butter and chopped coriander leaves on top.Serve Restaurant Style Green Peas Masala with Phulkas or Tawa Paratha along with a Cauliflower and Cucumber Raita for your everyday meals.
</t>
  </si>
  <si>
    <t>http://www.archanaskitchen.com/restaurant-style-green-peas-masala-recipe</t>
  </si>
  <si>
    <t>Dhaba Style Dal Fry</t>
  </si>
  <si>
    <t>Ghee - as per use,1 tsp asafoetida,1 tsp cumin seeds,1 tsp mustard seeds,1 bay leaf - broken,3 green chillies - with salt,4 cloves,1 big cardamom,1 star anise,2 cardamoms,2 onions - thinly sliced,1 tomato - finely chopped,1-1/2 tbsp ginger garlic paste,1 tsp red chilli powder,1 tsp coriander powder,3 tsp green chillies,1 sprig coriander leaves - finely chopped,2 tbsp arhar dal,2 tbsp chana dal,2 tbsp masoor dal,2 tbsp white urad dal (split),2 tbsp yellow moong dal,Water - as per use,Salt - according to taste,1-1/2 turmeric powder</t>
  </si>
  <si>
    <t>"To make Dhaba Style Dal Fry, first boil all the dals. Put the dals in a pressure cooker and add 1/2 tsp turmeric powder and salt. Cook the dals till 3 whistles. Once the pressure is released, open the cooker and mix the dals. Keep aside. Heat oil in a pan. Add asafoetida, cumin seeds, mustard seeds and let it cook for 10 seconds. After 10 seconds, add curry leaves, big cardamom, cardamom, star anise, cloves and green chillies with salt. Let it cook for 30 seconds and then add green chillies and ginger garlic paste. Let it cook for 1 minute. After 1 minute, add onions and cook till it turns brown. After it turns brown, add tomatoes, turmeric powder, red chilli powder, coriander powder and salt. Add some water and cook for 5 to 8 minutes. After the masala is cooked well, add cooked dal. Cook for 8 to 10 minutes Let it cool, turn off the gas and garnish with coriander leaves. Serve Dhaba Style Dal Fry with Sev Tomato Sabzi and Phulkas for dinner.</t>
  </si>
  <si>
    <t>http://www.archanaskitchen.com/dhaba-style-dal-fry-recipe-in-hindi</t>
  </si>
  <si>
    <t>Achari Lachha Paratha Recipe-Spicy Indian Style Flaky Bread</t>
  </si>
  <si>
    <t>1 cup Whole Wheat Flour,1 teaspoon Salt,1 tablespoon Sunflower Oil,Water - to knead the dough,1/2 cup Punjabi style mango pickle,Ghee - to roast the parathas</t>
  </si>
  <si>
    <t xml:space="preserve">To begin making the Achari Lachha Paratha we will first knead to make the dough. In a large mixing bowl, add the whole wheat flour, salt and mix it well. Add a tablespoon of oil and rub it into the flour until you see coarse crumbs.Add a little water at a time and knead well to make a smooth and soft paratha dough. Cover the dough and allow it to rest for 10 minutes.After 10 minutes, knead for a minute again until the paratha dough is soft and pliable. Divide the dough into equal portions.  Preheat a skillet on medium heat. If you are using a cast iron skillet, then grease the skillet well and allow it to preheat.Keep some flour aside for dusting while rolling the dough. Shape each dough portion into a round ball, press it between the palm of your hands.Dust the dough in flour and roll it into a small or 6 inch diameter circle. Generously smear the achaari masala from the mango pickle on this rolled out dough. Dust some flour over the achaari masala. This flour and oil from the pickle will help the lachha paratha split itself into layers. Begin folding the lachha paratha dough like saree pleat. Start from one end of the rolled out dough and reach the end. Basically, fold it starting from the side towards you and moving away just the way you would fold a hand fan. Folding one small layer over another and so on.The dough is essentially shaped into a pleat.Once you have stacked up all the pleats one over the other, start rolling it into a tight circle like that of a swiss roll. Flatten the pleated swiss roll between the palm of your hands, dust in flour and roll into a 4 to 5 inch diameter circle. You will be able to see the layers very clearly.Place the rolled layered Achaari Lachha Paratha on the preheated skillet. Cook on medium heat on both sides for a few seconds, then smear ghee and cook until golden brown and cooked through completely.Proceed the same way with the remaining portions of the paratha dough.Serve the Achari Lachha Paratha along with Creamy Dal Makhani Recipe and Masala Chaas Recipe (Indian Spiced Buttermilk) for a hearty Sunday lunch.  
</t>
  </si>
  <si>
    <t>https://www.archanaskitchen.com/achari-lachha-paratha-recipe-spicy-indian-style-flaky-bread</t>
  </si>
  <si>
    <t>Multani Kaali Arbi Recipe (Arbi Gravy Style)</t>
  </si>
  <si>
    <t>500 grams Colocasia root (Arbi),Sunflower Oil - as required,Salt - to taste,1/4 teaspoon Red Chilli powder,3 sprig Coriander (Dhania) Leaves - chopped</t>
  </si>
  <si>
    <t xml:space="preserve">To begin making the Multani Kaali Arbi Recipe, wash and peel the arbi. Wash 2 or 3 times to make sure that the dirt has been completely removed.Peel of the arbi and slice them thinly in round shape.Heat oil in kadhai. Add arbi and cook them in high flame until it turns brown.Add chili powder, salt and stir them well. Add 3-4 cups of water and allow them to boil.Once the water starts boiling, lower the flame and cook in medium heat for about 20 minutes until the arbis become tender. By this time, half of the water would have been absorbed. The arbis by now would have turned to grey colour.If the curry is too thick, add required amount of water and bring it to boil in high flame.Once the required consistency is reached, switch off the stove and allow the curry to rest in kadhai for about 25 minutes. The curry would have turned to shades of purple. Garnish it with coriander and it is ready to be served.Serve Multani Kaali Arbi Recipe with hot phulkas or steamed rice for a weekday meal.
</t>
  </si>
  <si>
    <t>http://www.archanaskitchen.com/multani-kaali-arbi-recipe-arbi-gravy-style</t>
  </si>
  <si>
    <t>Jeera Aloo Sabzi</t>
  </si>
  <si>
    <t>3 potatoes - boiled, 2 green chillies, 1 teaspoon turmeric powder, 1 teaspoon cumin seeds, salt - according to taste, 1 sprig curry leaves - chopped, oil - according to use</t>
  </si>
  <si>
    <t xml:space="preserve">To make Jeera Aloo Sabzi, first heat oil in a pan. Add cumin seeds and green chillies and let it cook for 15 seconds. After that add potatoes, turmeric powder and curry leaves. Add salt and cook till the potatoes turn golden. Add green chillies and lemon juice and mix. Serve hot. Serve Jeera Aloo Sabzi with Daal Palak and Phulkas for lunch.
</t>
  </si>
  <si>
    <t>http://www.archanaskitchen.com/jeera-aloo-sabzi-recipe-in-hindi</t>
  </si>
  <si>
    <t>Moongphali Bhindi Recipe - Okra and Peanut Stir Fry</t>
  </si>
  <si>
    <t>500 grams Bhindi (Lady Finger/Okra),4 tablespoons Sunflower Oil,4 Dry Red Chillies,1 Onion - finely chopped,1 cup Roasted Peanuts (Moongphali) - coarsely ground,2 teaspoons Coriander Powder (Dhania),1/2 teaspoon Turmeric powder (Haldi),1 teaspoon Red Chilli powder,1 teaspoon Amchur (Dry Mango Powder),Salt - to taste</t>
  </si>
  <si>
    <t xml:space="preserve">To make Moongphali Bhindi Recipe, first wash and pat dry okra. Cut okra into half lengthwise removing the stems. Heat oil in a heavy-bottomed pan over medium heat. Once the oil is heated, add the dry red chilies and chopped onions. Saute the onion over medium heat till they turn golden brown in color.Now add the chopped okra along with ground peanuts, coriander powder, red chili powder, turmeric powder, and salt. Stir to combine all the ingredients well. Cover the pan with a lid and cook the vegetable over the low heat till it is cooked and tender. Once the Bhindi is half way through the cooking process, open the lid and give it a gentle stir. Place a long ladle in the Kadai and partially cover the pan and cook the bhindi until completely done.  We keep a ladle in the Kadai so that, the pan can be slightly ajar and this will help some of the moisture escape and preventing the bhindi to become soggy and mushy.After few minutes remove the lid and check Moongphali Bhindi for doneness. Add dry mango powder, stir to combine and cook for another minute or so. Check the salt and spice levels, adjust to suit your taste and turn off the heat. Transfer Moongphali Bhindi to a serving bowl and serve for a weeknight dinner or lunch Tawa Paratha or Phulka. You can also pack this bhindi for your work lunch or kids lunch box.
</t>
  </si>
  <si>
    <t>https://www.archanaskitchen.com/moongphali-bhindi-recipe-okra-and-peanut-stir-fry</t>
  </si>
  <si>
    <t>Murgh Musallam Recipe - Masala Roasted Chicken</t>
  </si>
  <si>
    <t>2 Chicken drumstick,1 inch Ginger - chopped,4 cloves Garlic - chopped,2 Onion - sliced,4 tablespoon Cashew nuts - soaked in luke warm water,1 teaspoon Red Chilli powder,1/2 teaspoon Turmeric powder (Haldi),1 teaspoon Black pepper powder,1 cup Curd (Dahi / Yogurt),Salt - to taste,Sunflower Oil,1 tablespoon Coriander (Dhania) Seeds,1 teaspoon Cumin seeds (Jeera),1 Cardamom (Elaichi) Pods/Seeds,2 Cloves (Laung),1 Black cardamom (Badi Elaichi),1 Cardamom (Elaichi) Pods/Seeds,1 Mace (Javitri),1/4 teaspoon Nutmeg</t>
  </si>
  <si>
    <t xml:space="preserve">To begin making the Murgh Musallam Recipe , wash and clean the chicken thoroughly. Soak cashew nuts in warm water and set aside.  In a small skillet roast the whole spice that include- coriander seeds, cumin seeds, cardamom, cloves, black cardamom,  green cardamom, mace, nutmeg on low heat for 4-6 minutes. Turn off the flame and allow it to cool down.Add the whole spices into a grinder along with soaked cashew nuts, ginger and garlic and grind it into a smooth paste.Heat a kadai with oil on medium flame, add onions and saute till they turn golden brown. This will take about 6-8 minutes. Turn off the flame and allow it to cool. Add the onions into a mixer and grind it into a smooth paste and keep it aside.In a mixing bowl, add drumstick, ground cashew nuts mixture, onion paste and  curd and mix well into the chicken.Marinate the chicken for atleast 1 hour and keep it in the refrigerator.Heat a flat skillet with oil on medium flame, add the marinated chicken pieces and keep cooking the chicken becomes tender and soft.You can add little salt and cook for another 20 minutes. Cover it with a lid so that the chicken gets cooked faster.Serve the  Murgh Musallam Recipe along with Pudina Dahi Chutney Recipe- Mint Yoghurt Dip and Pickled Onions Recipe along with Apple And Ginger Cocktail Recipe.
</t>
  </si>
  <si>
    <t>https://www.archanaskitchen.com/murg-mussalam-recipe-masala-roasted-chicken</t>
  </si>
  <si>
    <t>Dal Tadka Recipe Flavoured With Lemon And Coriander</t>
  </si>
  <si>
    <t>1 cup yellow moong dal, 1 tbsp butter, 1 tsp ghee, 1 inch ginger - grate, 1/4 tsp cumin seeds, 1/2 tsp turmeric powder, 1 bay leaf - break, 2 green chillies - chop thinly and straight, 4 sprigs of coriander leaves - finely chopped, lemon juice - as per requirement, salt - as per taste</t>
  </si>
  <si>
    <t>"To begin with, cook the dal with 2-1/2 cups of water, turmeric powder and salt till it becomes soft. Cook for 3 whistles and then turn off the gas. Let the pressure release on its own. Heat ghee in a pan. Add cumin seeds and let them crackle. After the cumin seeds crackle, add ginger, green chillies, bay leaves and cook for 30 seconds. Pour this tempering in the dal and mix. Let it boil and add butter. After 3 to 4 minutes, turn off the gas and add lemon juice and coriander leaves. Serve. Serve Dal Tadka with Paneer Butter Masala, Lauki Raita, Jeera Rice and Phulkas for lunch."</t>
  </si>
  <si>
    <t>http://www.archanaskitchen.com/dal-tadka-recipe-flavored-with-lemon-and-coriander-in-hindi</t>
  </si>
  <si>
    <t>Corn Stuffed Paratha Recipe</t>
  </si>
  <si>
    <t>2 cups Whole Wheat Flour,Water - for kneading,1/2 teaspoon Salt - for the dough,1 cup Sweet corn,4 Potato (Aloo) - boiled,1 Green Chilli,Coriander (Dhania) Leaves - a handful chopped,1 Onion - chopped,2 teaspoons Mango pickle - or any pickle of your choice,3 tablespoons Sunflower Oil - for rolling and frying</t>
  </si>
  <si>
    <t xml:space="preserve">To begin making the Corn Stuffed Paratha, we have to first wash the corn and keep the potatoes cooked. You can either pressure cook the potatoes for 2 whistles or add them to saucepan with water and boil them for 15 mins/until it is cooked.Once the potatoes are cooked, peel the skin and add them to a bowl and mash them. Once mashed, add chopped coriander leaves, sweet corn and homemade tomato pickle. Mix well. Add required amount of salt and mix the mixture well. Keep aside. The corn stuffing is ready. Now we have to make the dough for the paratha. In a flat bowl add wheat flour, salt and mix. Add water little by little and knead the dough until it is smooth and homogeneously mixed. Apply a coating of oil on top of the ball of dough and leave it to rest for 10 minutes.Next, divide the dough into medium sized balls. Take one ball of dough and roll it out until its about 4-5 inches diameter.  Place one tablespoon of stuffing in the center and join the ends of the paratha dough so that the stuffing in encased in the dough. Do the same with the rest of the dough and corn mixture. Place a tawa on medium heat and add some oil. Place the stuffed paratha on the tawa and cook on both sides until done. Drizzle some oil on top of the paratha when cooking on both sides. Take off the pan and finish the rest of the rolled out parathas. Serve Corn Stuffed Paratha Recipe with Pisarna Manga Recipe and Homemade Curd
</t>
  </si>
  <si>
    <t>https://www.archanaskitchen.com/corn-stuffed-paratha-recipe</t>
  </si>
  <si>
    <t xml:space="preserve">No Onion No Garlic Black Eyed Beans Curry </t>
  </si>
  <si>
    <t>1 Cup Lobia - soaked overnight, 1 tbsp oil, 1 tsp mustard seeds, 1 tsp cumin seeds, 1/2 tsp asafoetida, 1/2 tsp turmeric powder, 1 tbsp coconut, 1 tbsp peanuts - ground, 3 kokum - dry or 1 tsp tamarind paste, 1 tsp jaggery - grated, 1/2 tsp Goda masala, 1/2 tsp red chilli powder, salt - according to taste</t>
  </si>
  <si>
    <t>"To make Onion Garlic Lobia Sabzi, first pressure cook the Lobia with 2 cups of water for 1 whistle and keep on sim for 10 minutes. After cooking, drain the water and keep it aside. Keep the water aside as well. Now heat oil in a pan. Add mustard seeds and cumin seeds and cook for 10 seconds. After that add asafoetida, turmeric powder, red chili powder, Goda Masala and mix everything well. After 1 minute add Lobia and add the remaining water. Now add kokum, jaggery, peanut powder, coconut and salt. Cook for 3 to 4 minutes and then turn off the gas. Serve Onion Garlic Lobia Sabzi with Onion Tomato Cucumber Raita and Roti for lunch."</t>
  </si>
  <si>
    <t>https://www.archanaskitchen.com/no-onion-no-garlic-black-eyed-beans-curry-recipe-in-hindi</t>
  </si>
  <si>
    <t>Badam Elaichi Kulfi Recipe</t>
  </si>
  <si>
    <t>2 liter Milk - full fat+ 1 cup,1 cup Badam (Almond) - soaked,1 cup Sugar,1/4 Saffron strands,1 tablespoon Cardamom Powder (Elaichi),1/2 cup Pistachios - chopped</t>
  </si>
  <si>
    <t xml:space="preserve">To begin making the Badam Elaichi Kulfi, we will first make an almond paste. Remove the skin of the soaked almonds and add them to a blender along with 1 cup of milk and blend to a smooth paste. Keep aside.Next in a heavy bottomed pan, add milk and bring it to a boil. Reduce the heat once the milk boils and then simmer the milk on medium heat till the milk in the pan reduces to half its original quantity. Stir occasionally and scrape the sides to avoid the milk from burning and sticking to the pan. This process of reducing the milk will take a good 20-25 minutes.Once the milk has reduced, add the saffron strands and the cardamom powder. Add the ground Almond milk and the sugar and mix till all the sugar has dissolved. Once done turn off the flame and allow the badam elaichi kulfi mixture to cool down completely.Once it is cooled spoon the Badam Elaichi Kulfi mixture into kulfi molds along with some chopped pistachios. Close the lid and freeze for 8 hours until the kulfi is set.Serve Badam Elaichi Kulfi along with a party meal of Homemade Butter Naan, Paneer Makhani and Tomato Onion Cucumber Raita Recipe.
</t>
  </si>
  <si>
    <t>https://www.archanaskitchen.com/badam-elaichi-kulfi-almond-cardamom-kulfi-recipe</t>
  </si>
  <si>
    <t>Nagori Puri Recipe (Semolina Puri)</t>
  </si>
  <si>
    <t>1 cup Sooji (Semolina/ Rava),1/2 cup Whole Wheat Flour,1 teaspoon Cumin seeds (Jeera),2 tablespoons Ghee,Water - as required,Salt - to taste,Sunflower Oil - as required</t>
  </si>
  <si>
    <t xml:space="preserve">To begin making the Nagori Puri Recipe, firstly sift wheat flour to a mixing bowl. Add rava, salt, cumin seeds and melted ghee to it.Mix and rub everything together to make it crumbly. Add water little by little and start kneading to make stiff dough.Divide the dough into small sized balls. Take the balls and roll it flat into thin circles using a rolling pin.Heat oil for deep frying, once hot drop the puri and fry in medium flame until puffed up and slightly changes brown on both the sides.Remove from oil and drain excess oil in kitchen tissues. Fry the puris one by one and serve hot. Serve Nagori Puri along with Gujarati Lasaniya Batata and Palak Raita for a weekend lunch with your family.
</t>
  </si>
  <si>
    <t>http://www.archanaskitchen.com/nagori-puri-recipe-semolina-puri</t>
  </si>
  <si>
    <t>Palak Matar Recipe - Spinach And Green Peas Curry</t>
  </si>
  <si>
    <t>2 Stalks Spinach Leaves (Palak),1 cup Green peas (Matar),1 Onion - finely chopped,1 Tomato - finely chopped,2 inch Ginger - grated,3 cloves Garlic - finely chopped,1/2 teaspoon Red Chilli powder,1 teaspoon Garam masala powder,1 teaspoon Coriander Powder (Dhania),1 tablespoons Sunflower Oil,1 tablespoon Ghee,1 teaspoon Cumin seeds (Jeera),2 cloves Garlic - finely chopped,3 teaspoons Onion - finely chopped,1 Dry Red Chilli,1/4 teaspoon Garam masala powder</t>
  </si>
  <si>
    <t xml:space="preserve">To begin making the Palak Matar Recipe, wash and blanch the spinach in enough water with little salt and puree it using a hand blender and keep aside.Heat oil in a Wok/Kadai on medium flame, add the onions and sauté until it turns translucent.Add the chopped garlic, ginger and cook until the raw smell of the garlic goes away.Add the finely chopped tomatoes and cook until it turns mushy.Now, add the green peas and half a cup of water and cook until the green peas are fully done.Add the spice powders including coriander powder, red chilli powder, garam masala powder and cook for two minutes or until the oil leaves the sides.Add the pureed spinach, season with salt and simmer for 10 minutes and switch off the flame.Now, in a small tadka pan, heat ghee, add the cumin seeds, red chilli and let it splutter.Add the onions and garlic and saute until it turns brown.Add the garam masala powder, switch off the flame and transfer this tempering over the Palak Matar Recipe.Serve the Palak Matar Recipe along with Malabari Parathas and Green Salad for the weeknight dinner.
</t>
  </si>
  <si>
    <t>https://www.archanaskitchen.com/palak-matar-recipe-spinach-and-green-peas-curry</t>
  </si>
  <si>
    <t>Angoor Raita Recipe</t>
  </si>
  <si>
    <t>2 cups Curd (Dahi / Yogurt),1 cup Green seedless Grapes - cut into two halves,1-1/2 teaspoon Sugar,Salt - as needed,1/4 teaspoon Cumin powder (Jeera) - roasted,1/4 teaspoon Red Chilli powder,Mint Leaves (Pudina) - few leaves for garnish</t>
  </si>
  <si>
    <t xml:space="preserve">To begin making the Take yogurt/thick curd in a large mixing bowl and whisk to make it smooth and creamy.Add salt and sweet as needed and whisk again till sugar dissolves.Add chopped grapes and fold such that the grapes gets along with the curd nicely.Season with roasted cumin powder and red chili powder and garnish with mint leaves and few sliced grape pieces.Serve Chilled with Kashmiri Pulao or Veg Biryani.
</t>
  </si>
  <si>
    <t>https://www.archanaskitchen.com/angoor-raita-recipe</t>
  </si>
  <si>
    <t>Kasuri Malai Murgh Tikka Recipe</t>
  </si>
  <si>
    <t>300 grams Chicken - Cut into pieces,1 cup Cauliflower (gobi) - cut into big pieces,1/2 cup Curd (Dahi / Yogurt),1/2 cup Fresh cream,1/4 cup Cashew nuts - paste,2 tablespoons Kasuri Methi (Dried Fenugreek Leaves),1 teaspoon Whole Black Peppercorns - freshly ground,2 tablespoons Coriander Powder (Dhania),1-1/2 teaspoons Red Chilli powder,1 pinch Turmeric powder (Haldi),Salt - as required,Sunflower Oil - as required,1 teaspoon Ajwain (Carom seeds),4 Cardamom (Elaichi) Pods/Seeds,2 Black cardamom (Badi Elaichi),4 Cloves (Laung),1 inch Cinnamon Stick (Dalchini),2 Bay leaf (tej patta),1/2 teaspoon Mace (Javitri),2 Onions - finely chopped,7 cloves Garlic - finely chopped,1-1/2 inch Ginger - grated</t>
  </si>
  <si>
    <t xml:space="preserve">To begin making the Kasuri Malai Murgh Tikka, in a wok/kadhai, add more oil if needed and add all the whole spices and let them crackle.Now add finely chopped onions and saute till raw smell goes off.Add finely chopped garlic and ginger and saute till golden.Grind it into a smooth paste along with soaked cashew nuts and water. Transfer this to a mixing bowl.Add chicken and marinate well, you can also add in the coriander powder, kasuri methi, turmeric, red chilli powder and salt.Steam the cauliflower in a vegetable steamer and also add them into the marinade and mix well.In a woodenskewer, thread chicken pieces, peppers, and cauliflower one after the other.Arrange the wooden skewers in a hot grill and cook them for about 15 minutes, turning sides for every 5 minutes.Brush the remaining marinate on top of the chicken while cooking. The chicken will leave water on the tray while cooking and this is expected.Drizzle some oil over the top and keep turning and cook evenly on either side.Once the chicken is cooked, remove the skewer from the grill and cool down. Do not overcook as the chicken might become hard and lose its juiciness.Serve the Kasuri Malai Murgh Tikka Recipe along with burani raita and Hyderabadi Vegetable Biryani by the side to make it a complete meal.
</t>
  </si>
  <si>
    <t>http://www.archanaskitchen.com/kasuri-malai-murgh-tikka-recipe</t>
  </si>
  <si>
    <t>Mooli And Moong Dal Sabji Recipe</t>
  </si>
  <si>
    <t>2 Mooli/ Mullangi (Radish) - peeled and grated coarsely,Mooli Ke Patte (Radish Greens) - chopped (handful),1/2 cup Yellow Moong Dal (Split) - soaked in warm water for 30 minutes,4 cloves Garlic - sliced (optional),1 tablespoon Sunflower Oil,1 teaspoon Mustard seeds,1/2 teaspoon Cumin seeds (Jeera),1/2 teaspoon Turmeric powder (Haldi),1/4 teaspoon Asafoetida (hing),4 Green Chillies - chopped,1/2 teaspoon Sugar - (optional),Salt - as required</t>
  </si>
  <si>
    <t xml:space="preserve">To begin making the Mooli and Moong Dal Sabji Recipe, firstly heat oil in a heavy bottomed pan.Add the mustard seeds and once they splutter, add the cumin seeds. Let it cook for 30 seconds.After 30 seconds, add garlic, asafoetida, turmeric powder, green chillies and saute for a few seconds. Drain, add the moong dal and stir.Cook covered for 2-3 minutes till the dal is almost cooked. Add a tablespoon of water if required.Add the radish and greens. Add salt, sugar, stir and cook for 1-2 minutes till the radish softens a bit. Do not overcook. It is ready to be served.Serve Mooli And Moong Dal Sabji along with Gujarati Kadhi, Kachumber Salad and Phulka for a weekday lunch.
</t>
  </si>
  <si>
    <t>https://www.archanaskitchen.com/mooli-and-moong-dal-sabji-recipe</t>
  </si>
  <si>
    <t>Aloo Methi Sabzi Recipe - Potato Fenugreek Leaves Sabzi</t>
  </si>
  <si>
    <t>500 grams Baby Potatoes - boiled,2 cups Methi Leaves (Fenugreek Leaves) - washed and chopped,2 tablespoons Sunflower Oil,1 teaspoon Cumin seeds (Jeera),2 Onions - thinly sliced,1 inch Ginger - finely chopped,4 cloves Garlic - finely chopped,1 Bay leaf (tej patta) - torn,1 inch Cinnamon Stick (Dalchini) - broken,1/2 teaspoon Turmeric powder (Haldi),1/2 teaspoon Garam masala powder,1/2 teaspoon Coriander Powder (Dhania),1/4 teaspoon Red Chilli powder,1 teaspoon Amchur (Dry Mango Powder),Salt - to taste</t>
  </si>
  <si>
    <t xml:space="preserve">To begin making the Aloo Methi Sabzi Recipe; we will first get the potatoes boiled till firm yet cooked. I like to refrigerate the boiled potatoes for a couple of hours before roasting them in a pan.Making the Aloo Methi Sabzi is a three stage process. first cooking the methi leaves and then roasting the potatoes along with spices and finally tossing methi and aloo together.Heat oil in a pan over medium heat; add the chopped methi leaves and saute until the methi leaves become soft and wilt down. Sprinkle a little salt and keep aside.Next,  heat oil in a pan over medium heat; add the cumin seeds and allow it to crackle. Add the onions, ginger and garlic and saute until the onions are soft and tender. Add the boiled and peeled potatoes, bay leaves, cinnamon stick, turmeric powder, red chilli powder, amchur, coriander powder, garam masala powder and salt.Stir well to combine all the ingredient and turn the heat to low to roast the potatoes along with the spices for a good 10 minutes.After 10 minutes, once the potatoes have absorbed all the masala, add the cooked methi leaves and toss for less than a minute to combine to make the delicious tasting Aloo Methi Sabzi.Give it a taste and adjust the spices accordingly. Once done, turn off the heat and transfer the Aloo Methi Sabzi to a serving bowl and serve hot.Serve the Aloo Methi Sabzi along with Tawa Paratha and Kadhi for a quick weeknight dinner with your family. You can also serve Kachumber Salad with this meal to make it more filling and nutritious.
</t>
  </si>
  <si>
    <t>http://www.archanaskitchen.com/aloo-methi-sabzi-recipe-potato-fenugreek-leaves-stir-fry</t>
  </si>
  <si>
    <t>Vegan Malai Gobhi Recipe</t>
  </si>
  <si>
    <t>2 cups Cauliflower (gobi) - cut into florets,1/4 cup Cashew nuts - ground to a fine paste,1/4 cup Coconut milk,1 Onion - roughly chopped,2 cloves Garlic,1 inch Ginger,1 Green Chilli,2 Cloves (Laung),1 Bay leaf (tej patta),1/2 teaspoon Garam masala powder,1/2 teaspoon Black pepper powder,Cardamom Powder (Elaichi) - a pinch,2 teaspoons Kasuri Methi (Dried Fenugreek Leaves),1 Green Chilli - sliced for garnish,2 teaspoons Sunflower Oil,Salt - to taste</t>
  </si>
  <si>
    <t xml:space="preserve">To begin making Vegan Malai Gobhi Recipe, clean and cut the cauliflower into small florets. Soak it in warm water with little salt to de-worm and keep aside.Make a fine paste of cashew with little water using a mixer grinder and keep aside.Heat oil in a heavy bottomed pan, add cloves, bay leaf and let the oil become fragrant.Make a fine paste of onion, ginger, garlic and green chilli using a blender and add it to the pan. Let it cook until the raw smell goes away.Drain the cauliflower florets from the warm water and add it to the pan. Saute for a minute.Add the garam masala, cardamom and pepper powder, 1 cup water and let the cauliflower florets cook to 3/4 the with the lid closed. This will take about 8 to 10 minutes.Add the cashew paste, season with salt and simmer for 2 minutes.Add the coconut milk and adjust the consistency by adding little water and let it simmer for 5 minutes and switch off the heat.Slightly crush the kasuri methi between your palms and add it to the malai gobhi along with the green chillies as a garnish.Serve the Vegan Malai Gobhi Recipe, along with Phulkas and Tomato Onion Cucumber Raita for the weekday lunch or dinner.
</t>
  </si>
  <si>
    <t>https://www.archanaskitchen.com/vegan-malai-gobhi-recipe</t>
  </si>
  <si>
    <t>Khatti Meethi Palak Khichdi Recipe</t>
  </si>
  <si>
    <t>1 tablespoon Ghee,1/2 teaspoon Mustard seeds,1/2 teaspoon Cumin seeds (Jeera),1 Tomato - finely chopped,2 inch Ginger - finely chopped,1 inch Cinnamon Stick (Dalchini) - broken,1 Bay leaf (tej patta) - torn,1/2 teaspoon Turmeric powder (Haldi),1/2 teaspoon Red Chilli powder,1/4 teaspoon Asafoetida (hing),1 tablespoon Jaggery,1 Lemon - juice extracted,Salt - to taste,3/4 cup Rice,3/4 cup Arhar dal (Split Toor Dal),300 grams Spinach - chopped,2 tablespoons Ghee - to be added after khichdi is cooked</t>
  </si>
  <si>
    <t xml:space="preserve">To begin making the Khatti Meethi Palak Khichdi first prep all the ingredients and keep them ready.We will cook the palak separately and then add it to the khichdi. This will help retain the nutrition and the fresh green colour of the palak.Add the chopped palak into the pressure cooker, add 2 tablespoons of water, cover the pressure cooker and cook until you hear 2 whistles.After 2 whistles turn off the heat. release the heat from the pressure cooker either by rinsing it under cold water or by lifting the weight with a fork to release the pressure. Releasing the pressure immediately helps retain the fresh green colours of the palak.Open the pressure cooker and keep the palak aside. Next step is to make the Khatti Meethi Palak Khichdi. Rinse the rice and toor dal in water, drain excess water and keep aside.Heat 1 tablespoon of ghee in the pressure cooker over medium heat. Add mustard seeds, cumin seeds and allow it to crackle.Add the cinnamon stick and bay leaves and stir for a few seconds. Add the ginger, tomatoes, green chillies, turmeric powder, red chilli powder, asafoetida and saute until the tomatoes become slightly soft.Add the washed rice and dal, salt, jaggery, 4 cups of water and cover the pressure cooker.Pressure cook the Khichdi for about 4 to 5 whistles and turn off the heat. Allow the pressure to release naturally as the khichdi will continue to cook while the pressure is present.Once the pressure is released, open the cooker and stir in the cooked palak/ spinach. Stir in the lemon juice and the additional ghee and give it a brisk boil for 2 minutes.Turn off the heat and check the taste and adjust the salt and seasonings accordingly. Once done, transfer the Khatti Meethi Palak Khichdi to a serving bowl and serve hot.Serve the Khatti Meethi Palak Khichdi topped with ghee, sliced onions and papad for a wholesome meal.
</t>
  </si>
  <si>
    <t>http://www.archanaskitchen.com/khatti-meethi-palak-khichdi-recipe-spinach_khichdi</t>
  </si>
  <si>
    <t>Lahsuni Palak Dal Recipe (Spinach &amp; Lentil Curry with Garlic)</t>
  </si>
  <si>
    <t>1/2 cup Yellow Moong Dal (Split),150 grams Spinach Leaves (Palak) - finely chopped,1/2 teaspoon Turmeric powder (Haldi),1/2 teaspoon Red Chilli powder,1 teaspoon Cumin powder (Jeera),Salt - to taste,1 teaspoon Sunflower Oil,1 teaspoon Ghee,1/2 teaspoon Cumin seeds (Jeera),5 cloves Garlic - finely chopped</t>
  </si>
  <si>
    <t xml:space="preserve">To begin making the Lahsuni Palak Dal Recipe, we will first cook the dal until soft. Rinse the place the Moong Dal in the pressure cooker. Add salt and 3 cups of water, cover the pan, place the weight on and pressure cook until you hear one whistle. After the first whistle, turn the heat to low and simmer the dal for 3 to 4 minutes. After about 3 to 4 minutes, turn off the heat and allow the pressure to release naturally. The dal continues to cook under the pressure even when the heat is turned off. Once the dal is cooked, whisk it until smooth and keep aside.Our next step is to cook the spinach. Heat the ghee in a heavy bottomed saucepan on medium heat; add the chopped spinach, the turmeric powder, red chilli powder, cumin powder and salt. Saute the spinach on low to medium heat, until it is completely cooked through. Once the spinach is cooked, stir in the cooked dal and give the Lahsuni Palak Dal a quick boil. Turn off the heat and transfer the Dal Palak to a serving bowl.Heat ghee in a small pan; add the cumin seeds and the garlic. Saute until the garlic turns lightly brown and the aromas are coming through.Pour the Garlic (Lahsun) Tadka over the Dal Palak and serve. Serve the Lahsuni Palak Dal along with phulka or steamed rice.
</t>
  </si>
  <si>
    <t>https://www.archanaskitchen.com/lahsuni-palak-dal-recipe-spinach-lentil-curry-with-garlic</t>
  </si>
  <si>
    <t>Khajoor Imli Ki Chutney Recipe</t>
  </si>
  <si>
    <t>250 gms dates - remove seeds, 75 gms tamarind - pitted, 4 tbsps jaggery - broken, 1 tbsp oil, 4 dried red chillies, 1 tbsp panch phoran masala, salt - according to taste</t>
  </si>
  <si>
    <t>"To make Date Tamarind Chutney, first soak tamarind in water for 1 hour. Strain and keep the tamarind water separately. In another bowl, soak jaggery in water for 1 hour. Break it with the help of a fork and strain it well and take it out in a bowl. In a blender, add dates, some water and grind to make a paste. Heat a pan and add tamarind water to it and let it boil. After boiling, add jaggery, date paste, salt and mix well. If you want a thinner chutney, you can add some more water to it. Now heat some oil in another pan. Add dried red chillies, Panch Turan Masala and let it cook for 10 seconds. Pour this tempering in the chutney, turn off the gas and let it cool. Serve. Serve Date Tamarind Chutney with Onion Pakora and Masala Chai in the rainy season."</t>
  </si>
  <si>
    <t>https://www.archanaskitchen.com/khajoor-imli-ki-chutney-with-panch-phoran-masala-recipe-in-hindi</t>
  </si>
  <si>
    <t>Kala Desi Chana (Recipe In Hindi)</t>
  </si>
  <si>
    <t>1 cup black chickpeas, 1 teaspoon cumin seeds, 1 inch ginger - peeled and grated, 1 teaspoon turmeric powder, 1 teaspoon red chili powder, 1 teaspoon garam masala powder, 1 teaspoon coriander powder, 2 tablespoons oil, salt - to taste, 4 sprigs coriander leaves - roughly chopped for garnish, 4 sprig Coriander (Dhania) Leaves - roughly chopped for garnish</t>
  </si>
  <si>
    <t>"To make Kala Desi Chana, first soak the chickpeas in 2 cups of water for 6 hours. Then drain the water. Now put them in a pressure cooker with 2-1/2 cups of water. Cook till 4 whistles, turn off the gas and let the pressure release on its own. Keep it aside. Now heat oil in a saucepan. Add cumin seeds and let it cook for 15 seconds. Now add ginger and let it cook for 10 seconds. After that add turmeric powder, coriander powder, garam masala, red chili powder, salt and chickpeas. Mix. Mix and let it cook. After boiling, reduce the flame and let it cook for 20 to 30 minutes. After cooking, garnish with green coriander and serve. Serve Kala Desi Chana with Puri and Boondi Raita for lunch."</t>
  </si>
  <si>
    <t>https://www.archanaskitchen.com/kala-desi-chana-recipe-in-hindi</t>
  </si>
  <si>
    <t>Moong Dal Tadka</t>
  </si>
  <si>
    <t>1-1/2 cup yellow moong dal, 4 tomatoes, 2 inch ginger, 4 green chillies, 1 teaspoon red chilli powder, 2 teaspoon cumin powder, 2 teaspoon coriander powder, 2 teaspoon turmeric powder, 1 teaspoon cumin, salt - according to taste, water - according to use, oil - according to use, 2 tablespoons ghee, 2 teaspoons cumin, 1 teaspoon red chilli powder</t>
  </si>
  <si>
    <t xml:space="preserve">To make Moong Dal Tadka, first put tomatoes, ginger, green chillies in a blender and make a paste. Keep it aside. Now heat 1 tablespoon oil in a pan. Add cumin seeds and let it cook for 30 seconds. Now add tomato, ginger and green chilli paste to it. After cooking for 5 minutes, add turmeric powder, red chilli powder, cumin powder, coriander powder and salt to it. Cook it for 5 minutes and then add lentils. Let it cook for 2 minutes. Now add 1-1/2 cups of water, mix it and let it cook for 20 to 30 minutes. Keep checking it in between. If required add water and mix it. Cook till the lentils are cooked. Now heat 2 tablespoons ghee in a tadka pan. Add cumin seeds and red chilli powder to it and mix it for 30 seconds. Pour this tempering to the dal and mix it. Serve. Serve Moong Dal Tadka with Sev Tomato Ki Serve with sabzi and phulkas for lunch.
</t>
  </si>
  <si>
    <t>https://www.archanaskitchen.com/moong-dal-tadka-recipe-in-hindi</t>
  </si>
  <si>
    <t>Dhaba Style Urad Dal Recipe</t>
  </si>
  <si>
    <t>1 cup white urad dal, 2 onions - thinly sliced, 8 green chillies - add or reduce the number according to your requirement, 6 long, 2 inch ginger, 1 tbsp coriander powder, 1/2 tsp turmeric powder, salt - according to taste, 2 tbsp oil, water - according to requirement, 1 tbsp oil, 1 onion - thinly sliced, 1 tsp cumin seeds, 2 long garlic cloves - chopped, ginger - thinly sliced</t>
  </si>
  <si>
    <t>"To make Dhaba Style Urad Dal Recipe wash urad dal thoroughly and soak it in water overnight. Wash the dal the next day. Heat oil in a pan and add dal. Roast the dal for 4 to 5 minutes. Add hot water, salt and cook till dal is cooked. Turn off the gas and keep aside. Do not cook dal till it becomes soft. Grind ginger, green chilies, garlic in a mortar and pestle. Keep aside. Heat oil in a pan. Add onions and cook till they become soft. Add ginger, garlic, green chili paste and cook for 3 to 4 minutes. After this, add coriander powder, turmeric powder, salt and cook for 3 minutes. Add cooked dal and mix again. Turn off the gas after 2 minutes and take out the dal in a bowl. Heat a tempering pan for tempering. Add cumin seeds and let them crackle. After the cumin seeds crackle add onions, garlic and cook till the onions turn brown. Pour this crackling into the dal, mix well and garnish with coriander leaves and ginger. Serve hot. Serve Dhaba Style Urad Daal Recipe with Rajasthani Style Sev Tomato Sabzi and Phulkas for lunch. "</t>
  </si>
  <si>
    <t>https://www.archanaskitchen.com/maash-ki-dal-khasgi-recipe-dhaba-style-urad-dal-in-hindi</t>
  </si>
  <si>
    <t>Hariyali Dum Aloo Recipe - Potatoes In Spinach Mint Curry</t>
  </si>
  <si>
    <t>200 grams Baby Potatoes - boiled and cubed (regular potatoes also work),1 teaspoon Red Chilli powder,1 teaspoon Turmeric powder (Haldi),Salt - to taste,2 Green Chillies,4 cloves Garlic,1 inch Ginger,500 grams Spinach,1/2 cup Mint Leaves (Pudina),Salt - to taste,1 tablespoon Ghee,1 inch Cinnamon Stick (Dalchini),2 cloves Garlic - finely chopped,1 clove Onion - finely chopped,1/8 teaspoon Garam masala powder,1 tablespoon Fresh cream</t>
  </si>
  <si>
    <t xml:space="preserve">To begin making the Hariyali Dum Aloo Recipe, first boil potatoes with required salt in a sauce pan with a lid.Once cooked, peel the skin and cut into small 2 inch cubes if you are using regular potatoes. If you are using baby potatoes, you can only cut the very large ones.The next step for the Hariyali dum aloo is to cook the spinach and mint.Into the pressure cooker, add the spinach, mint leaves, green chilli, garlic, ginger, salt and 3 tablespoons of water. Pressure cook for 2 whistles and turn off the heat. Release the pressure immediately, by running it under cold water to prevent the spinach leaves from discoloring.  Once cooled, add the hariyali base made from spinach and mint into a mixer grinder. Blend to make a smooth puree and keep aside.Heat oil in a heavy bottomed pan and add turmeric powder, red chilli powder and salt. Add the boiled potatoes and fry them till golden crust forms on surface. Keep it aside.Heat ghee in a heavy bottomed pan. Add cinnamon stick, garlic, onions and saute until the onions soften.Once the onions soften, add the garam masala powder, the ground hariyali spinach and mint base and the roasted potatoes.  Add a tablespoon of cream. Simmer the Hariyali Dum Aloo Recipe for 3 to 4 minutes and turn off the heat. Transfer the dum aloo to a serving bowl and serve hot.Serve Hariyali Dum Aloo with Jeera Rice, Peshawari Naan and Boondi Raita Recipe Spiced With Black Salt to make it a complete meal.
</t>
  </si>
  <si>
    <t>https://www.archanaskitchen.com/hariyali-dum-aloo-recipe</t>
  </si>
  <si>
    <t>Bharwa Karela Makhani  Recipe - Stuffed Karela Masala Gravy</t>
  </si>
  <si>
    <t>3 Karela (Bitter Gourd/ Pavakkai),1/2 cup Paneer (Homemade Cottage Cheese) - grated,2 Potatoes (Aloo) - boiled and mashed,Salt - to taste,1/2 teaspoon Black pepper powder,1 sprig Coriander (Dhania) Leaves - chopped,1 sprig Mint Leaves (Pudina) - chopped,1 teaspoon Sunflower Oil,1 teaspoon Sunflower Oil,2 Onions - finely chopped,1 cup Homemade tomato puree,1 inch Ginger - chopped,4 cloves Garlic - chopped,1 Green Chilli - chopped,1/2 teaspoon Red Chilli powder,1 teaspoon Coriander Powder (Dhania),1 teaspoon Cumin powder (Jeera),1 teaspoon Garam masala powder,1 pinch Sugar,2 tablespoons Fresh cream,Salt - to taste</t>
  </si>
  <si>
    <t xml:space="preserve">To begin making the Bharwa Karela Makhani Recipe, wash the karela well, and very lightly peel of the skin, allow the green of the karela to be there, as its important for health.Cut the karela into three pieces, horizontally. Gently scoop out the flesh and seeds from inside the karela, in a way that you should be left with hollow cylinders of the karela pieces. In a pressure cooker, add the karela pieces and two tablespoons of water and pressure cook for one whistle. Turn off the heat and allow the pressure to release naturally. Drain the water if any and transfer the karela into a bowl and set aside. *For the Bharwa Karela StuffingIn a mixing bowl, combine the grated paneer, mashed potatoes, salt and pepper, chopped coriander and mint leaves. Mix well. Stuff Karela Stuffing mixture generously into the karela cylinders. Heat a pan with oil on medium flame, place the Bharwa Karela in it and cook until slightly roasted turning them around from time to time. This will take about 5-7 minutes. Once the Bharwa Karela have got a nice brown colour, turn off thee flame and set aside. *For the Bharwa Karela Makhani gravyIn a saucepan heat oil on medium flame, add the chopped ginger garlic and saute for a couple of minutes. Next add in the onions and saute till they turn into a light brown colour. This will take about 6-8 minutes. Once the onion-ginger-garlic is well cooked, add in the green chilies and tomato puree, cover and cook for 5 minutes. After 5 minutes, open the lid and add in all the dry masalas- red chilli powder, coriander powder,  jeera powder,  garam masala powder, sugar and salt. Bring the Bharwa Karela Makhani gravy to a single boil. Turn down the flame, mix in the cream. Once the cream is well combined, turn off the flame. In a serving plate arrange the Bharwa Karela and then pour the Makhani gravy over it. Serve the Bharwa Karela Makhani hot.Serve Bharwa Karela Makhani Recipe along with Ragi Tawa Paratha, Beetroot Raita Recipe, Kala Chana Salad Recipe With Carrots, Cucumber &amp; Tomatoes for a simple Diabetic Friendly meal.
</t>
  </si>
  <si>
    <t>https://www.archanaskitchen.com/bharwa-karela-makhani-recipe-stuffed-karela-in-gravy</t>
  </si>
  <si>
    <t>Gluten Free Rajgira Burfi Recipe</t>
  </si>
  <si>
    <t>1/2 cup Rajgira Flour (Amaranth Flour),1/2 cup Jaggery,1/2 cup Ghee - melted,1/2 teaspoon Cardamom Powder (Elaichi),1/4 cup Cashew nuts - halved</t>
  </si>
  <si>
    <t xml:space="preserve">To begin making the Gluten Free Rajgira Burfi Recipe, dry roast the rajgira/amaranth flour in a heavy bottomed pan till the color changes to a light golden brown. Remove from the flame and set aside.Grease a flat plate with ghee and keep aside.Roast the halved cashewnuts in a little ghee until crisp and golden brown. Take care to do it on low heat to roast it evenly.Next combine the jaggery and 1/4 cup water in a heavy bottomed pan and place over low heat. (the amount of water should be just enough to soak the jaggery or sugar). Make a syrup of half thread consistency.To the jaggery syrup, add the roasted flour and powdered cardamom and mix well.Keep stirring continuously. Add the melted ghee little at a time while stirring the mixture. (if you find that the mixture is sticking to the pan, add more ghee than mentioned in the recipe)When the Rajgira Burfi  mixture starts leaving the sides and bottom of the pan, turn off the heat. Pour this mixture immediately on to the greased tray and spread it evenly for it to set.Sprinkle the roasted cashewnuts on top and press gently while the Rajgira Burfi mixture is still hot.Allow the Rajgira Burfi to cool and then cut into desired sizes and shapes. Store the Rajgira Burfi in an airtight box for a week.Serve Gluten-Free Rajgira Burfi for Diwali, Raksha Bandhan or any other special occasion in the family. Serve Gluten Free Rajgira Burfi Recipe after your everyday meal of Palak Dal, Bharwa Bhindi, Phulka and Lauki Raita.
</t>
  </si>
  <si>
    <t>https://www.archanaskitchen.com/gluten-free-rajgira-burfi-recipe</t>
  </si>
  <si>
    <t>Gobi Ke Kofte Recipe (Cauliflower Fritters In Spicy Gravy)</t>
  </si>
  <si>
    <t>1 tablespoon Ginger Garlic Paste,1/2 cup Curd (Dahi / Yogurt),2 Onion - paste,2 Bay leaf (tej patta),2 Black cardamom (Badi Elaichi),1/2 inch Cinnamon Stick (Dalchini),1 teaspoon Red Chilli powder,1/2 teaspoon Turmeric powder (Haldi),1 teaspoon Coriander Powder (Dhania),Salt - as required,Sunflower Oil - as required,Water - as required,2 sprig Coriander (Dhania) Leaves - finely chopped,250 grams Cauliflower (gobi) - grated,1/2 cup Gram flour (besan),1 teaspoon Red Chilli powder,2 Green Chillies - finely chopped,Salt - as required,Water - as required,Sunflower Oil - as required</t>
  </si>
  <si>
    <t xml:space="preserve">To begin making the Gobi Ke Kofte recipe, firstly we will begin with preparing the koftas.Mix all the ingredients mentioned under ‘for koftas’ in a mixing bowl. Mix them properly. Add a little water to bring the mixture together.Once it is done, make round shaped pakoras out of it and deep fry them in a deep frying pan.When they turn brown from both the sides, take them out to on a kitchen towel to absorb the extra oil. Follow the same process for the remaining mixture and keep them aside.Heat oil in a heavy bottomed pan and add cloves, badi elaichi, tej patta and dal chini.After a minute add the ginger garlic paste and cook it tell the raw smell goes from the mixture.Once it is done add the onion paste and let it cook for 5 to 8 minutes.After 5 to 8 minutes, add red chilli powder, turmeric powder, coriander powder and the required salt. Let it cook for 5 minutes.After 5 minutes, bring the flame to low and add the curd.Mix well and add the required amount of water. Mix well and let it cook till the gravy gets a little thick.Once it is done, add the fried kofta and let it cook for 2 to 3 minutes more.After 2 to 3 minutes, switch off the stove and garnish it with chopped coriander leaves.
</t>
  </si>
  <si>
    <t>https://www.archanaskitchen.com/gobi-ke-kofte-recipe-cauliflower-fritters-in-spicy-gravy</t>
  </si>
  <si>
    <t>Carrot Cauliflower Peas Sabzi Recipe - Gajar Gobi Matar Sabzi</t>
  </si>
  <si>
    <t>1 teaspoon Coconut Oil - for cooking,1/2 teaspoon Ajwain (Carom seeds),2 Bay leaves (tej patta),2 inch Cinnamon Stick (Dalchini),2 Carrots - cut into 1/2 inch sticks,2 cups Cauliflower (gobi),1 cup Green peas (Matar),1 teaspoon Black pepper powder,Salt - to taste</t>
  </si>
  <si>
    <t xml:space="preserve">To begin making Carrot Cauliflower Peas Sabzi Recipe first Prep all the required ingredients.Heat coconut oil in a pan and once the oil is hot add in all the whole spices, ajwain seeds, bay leaves, cinnamon sticks and saute till the whole spices release a nice aroma.Add in the carrots, cauliflower florets and green peas. Saute for a minute.Season with salt and sprinkle some water in the pan and stir.Cover and cook till the Gajar and Gobi are almost cooked and until all the flavours are incorporated into the Carrot Cauliflower Peas Sabzi Recipe. Finally once done, stir in the black pepper powder and toss well to combine. Once done, check the taste of the Gajar Gobi Matar Sabzi and adjust salt accordingly.Serve this delicately flavoured Carrot Cauliflower Peas Sabzi Recipe with Lahsuni Palak Dal,  Ragi Wheat Phulka and Methi Raita Flavoured With Garlic for a nice comforting diabetic meal.
</t>
  </si>
  <si>
    <t>https://www.archanaskitchen.com/carrot-cauliflower-peas-sabzi-recipe-gajar-gobi-matar-sabzi</t>
  </si>
  <si>
    <t>Fish Tandoori Recipe</t>
  </si>
  <si>
    <t>1 Fish - nicely washed with bones on (I used Pompano),2 tablespoons Curd (Dahi / Yogurt),1/4 cup Onions - finely chopped,2 Green Chillies - chopped,1 tablespoon Tandoori masala,1 teaspoon Ginger Garlic Paste,1 teaspoon Red Chilli powder,1 teaspoon Garam masala powder,1 teaspoon Coriander Powder (Dhania),1/2 teaspoon Cumin powder (Jeera),1 tablespoon Coriander (Dhania) Leaves - finely chopped,1 tablespoon Sunflower Oil,Salt - to taste</t>
  </si>
  <si>
    <t xml:space="preserve">To begin making the Fish Tandoori recipe, keep the head and tail on and remove the fins and insides of the fish.Make as many horizontal slits as possible to the fish on both the sides for marinade to go deep inside. Wash it really well and apply salt on both the sides .Keep for about 10 minutes. In a bowl, mix together all the marination ingredients together really well including curd, onions, green chiliies, tandoori masala, ginger garlic paste, red chilli powder, garam masala powder, cumin powder, coriander leaves, salt and apply it to the fish on both the sides, pressing the mixture inside the slits really well .Keep it covered for about 40 to 50 minutes for marination. The longer is better.Preheat you oven to 400 degree Fahrenheit. Lightly brush the grill with oil and place the fish over the grill.Place your grill on the baking tray and bake for about 20 minutes.To check the fish whether baked well, insert a toothpick and check if it feel soft and light. If it does, remove the stick out and serve hot.Serve Fish Tandoori Recipe as an appetiser or as a side dish with Posto Chicken and Steamed Rice for your weekday dinner.
</t>
  </si>
  <si>
    <t>http://www.archanaskitchen.com/fish-tandoori-recipe</t>
  </si>
  <si>
    <t>Banarasi Tamatar Chaat Recipe - Spicy Tomato Chaat</t>
  </si>
  <si>
    <t>1 tablespoon Sunflower Oil,1 Onion - finely chopped,2 Potato (Aloo) - boiled and mashed,4 Tomatoes - finely chopped,1 inch Ginger - finely chopped,1 Green Chilli - finely chopped,2 teaspoons Pav bhaji masala,1 teaspoons Garam masala powder,1 teaspoon Cumin powder (Jeera),1 teaspoon Red Chilli powder,1 teaspoon Chaat Masala Powder,1/2 teaspoon Black Salt (Kala Namak),Salt - to taste,1 teaspoon Lemon juice,1/2 cup Namak Para - to garnish,1/2 cup Sev - to granish,1/4 cup Coriander (Dhania) Leaves - to garnish</t>
  </si>
  <si>
    <t xml:space="preserve">To begin making the Banarasi Tamatar Chaat Recipe, keep all the ingredients ready. In a kadai, heat oil on medium flame, add the onion, green chilli and ginger and saute for 3 to 4 minutes until the onions turn transparent.Once the onions are nice and soft, add the chopped tomatoes and give it a mix.Cover and continue to cook for about 5 minutes, until the tomatoes have softened and are completely mushy.Now that the onion-tomato mix has come together, add the mashed potatoes and mix it well until the mixture comes together.Season the onion-tomato-potato mixture with the dry masala - pav bhaji masala, garam masala, cumin powder, red chilli powder, chaat masala, black salt and salt.Give the Banarasi Tamatar Chaat a good stir, let it cook for another 2 minutes and turn off the heat.Add freshly squeezed lemon juice and garnish the Banarasi Tamatar Chaat with namak para, sev and coriander leaves. Serve this Banarasi Tamatar Chaat Recipe along with Dahi Bhalla Papdi (Puri) Chaat Recipe and Chole Aloo Tikki Chaat Recipe (An Indian Street Food Snack) at your chaat party.
</t>
  </si>
  <si>
    <t>http://www.archanaskitchen.com/banarasi-tamatar-chaat-recipe</t>
  </si>
  <si>
    <t>Methi Paneer Bhurji Recipe in Creamy Gravy</t>
  </si>
  <si>
    <t>1 cup Homemade tomato puree,1 Onion - roughly chopped,2 cloves Garlic,1 inch Ginger,1/4 teaspoon Turmeric powder (Haldi),1/4 teaspoon Red Chilli powder,1/4 teaspoon Garam masala powder,Salt - to taste,Sunflower Oil - for cooking,2 tablespoons Fresh cream,1/2 teaspoon Cumin seeds (Jeera),1/4 teaspoon Turmeric powder (Haldi),1 Onion - finely chopped,2 Green Chillies - finely chopped,1 inch Ginger - grated,1 Green Bell Pepper (Capsicum) - finely chopped,1 Tomato - finely chopped,3/4 cup Methi Leaves (Fenugreek Leaves) - finely chopped,2 teaspoons Kasuri Methi (Dried Fenugreek Leaves),200 grams Paneer (Homemade Cottage Cheese) - crumbed,Salt - to taste,Red Chilli powder - to taste,Sunflower Oil - for cooking,4 sprig Coriander (Dhania) Leaves - finely chopped</t>
  </si>
  <si>
    <t xml:space="preserve">To begin making the Methi Paneer Bhurji Recipe in Creamy Gravy, first prep all the ingredients as per instructions and keep them ready for cooking.Make the homemade tomato puree and the homemade paneer. Crumble the paneer and keep aside. The next step is to make the gravy. In a heavy bottomed pan, heat a teaspoon of oil on medium heat. Add the onion, garlic and ginger and saute the onions until they are lightly browned and caramelized.Once the onions are caramelized, turn off the heat. Allow it to cool a bit and grind in the small jar of the mixer grinder to make a smooth onion paste.Into the same heavy bottomed pan, add little oil and add the onion paste back turn the heat back to medium. Add the turmeric powder, red chili powder and garam masala powder. Saute for a few seconds in the onion paste mixture and then add the tomato puree. Stir well to combine and bring the tomato mixture to a boil.You can optionally add a tablespoon of butter to give it a richer taste. Add the salt and adjust the spices to suit your taste. Stir in the cream, turn off the heat and keep the gravy mixture aside.The next step it to make the Paneer Bhurji. Heat oil in a heavy bottomed pan, add the cumin seeds and allow it to crackle. Once the seeds crackle, add the chopped onion, bell peppers, ginger, green chilies and saute until they are soft and cooked through. Once done, add the tomatoes, turmeric powder, fenugreek leaves, kasuri methi and stir fry for 3 to 4 minutes until the methi leaves wilt down and soften. Stir in the crumbled paneer, salt and chili powder and combine all the ingredients well.Once the paneer bhurji is done, add this to the spicy creamy tomato gravy. Give the Paneer Bhurji Gravy a brisk boil and turn off the heat. Check the salt and spices once again and adjust to suit your taste.Once done, stir in the chopped coriander leaves into the Methi Paneer Bhurji and serve warm.Serve the Methi Paneer Bhurji in Creamy Gravy along with Phulkas and a Summer Lettuce Salad for a wholesome weeknight dinner or even make it for parties when you have friends and family over.
</t>
  </si>
  <si>
    <t>http://www.archanaskitchen.com/methi-paneer-bhurji-recipe-in-creamy-gravy</t>
  </si>
  <si>
    <t>Rose Gulkand Phirni Recipe</t>
  </si>
  <si>
    <t>2 liter Milk - (full fat),1/2 cup Rice - soaked in 1/4th cup water for 30 min,400 ml Condensed Milk - (1 can),4 tablespoons Dried rose petals - soaked in 4 tablespoon warm milk,2 tablespoons Gulkand,2 tablespoons Sugar - (optional),2 tablespoons Rose water - or Rooh Afza,1/2 teaspoon Cardamom Powder (Elaichi),1/2 teaspoon Fennel Powder,1 teaspoon Rose water,12 Pistachios - chopped,12 Badam (Almond) - chopped,12 Cashew nuts - chopped,Dried rose petals - few</t>
  </si>
  <si>
    <t xml:space="preserve">To begin making the Rose Gulkand Phirni Recipe, drain water from the soaked rice completely and grind rice in a mixer to a coarse paste.Dilute the paste with 1/4 cup of water and keep it ready.In a saucepan, bring the milk to boil. Once the milk starts boiling, reduce the flame to low and add the ground rice paste.Cook stirring continuously on low or medium flame, until the milk thickens like a porridge and rice paste is fully cooked. Keep on scraping the dried milk which gets collected on the sides of the pan, such that the cream of this milk-rice mixture adds a nice texture to the phirni.Once the rice is cooked completely and it is in a porridge consistency, add rest of the ingredients including condensed milk, dried rose petals, gulkand, sugar, rose water, cardamom powder, fennel powder, rose water and cook for a few more minutes until everything gets blended well. Switch off flame and allow the phirni to cool. You can refrigerate gulkand phirni for 3-4 hours or until well chilled.Serve Rose Gulkand Phirni Recipe with garnished nuts &amp; dried rose petals for dessert.Serve Rose Gulkand Phirni after a delicious meal of Aloo Gobi Ki Sabzi, Ajwain Puri and Boondi Raita on a weekend for brunch or a meal.
</t>
  </si>
  <si>
    <t>http://www.archanaskitchen.com/rose-gulkand-phirni-recipe</t>
  </si>
  <si>
    <t>Pyaaz Ki Sabzi Recipe</t>
  </si>
  <si>
    <t>15 Pearl onions (Sambar Onions) - peeled and halved,1/2 teaspoon Cumin seeds (Jeera),1/4 teaspoon Asafoetida (hing),1 teaspoon Fennel seeds (Saunf) - powdered (fennel),1 teaspoon Red Chilli powder,1 teaspoon Amchur (Dry Mango Powder),1 teaspoon Coriander Powder (Dhania),Salt - to taste,Sunflower Oil - for cooking</t>
  </si>
  <si>
    <t xml:space="preserve">To begin making the Pyaz Ki Sabzi Recipe, first get all the ingredients ready. Peel and cut the baby onions into halves or big chunks.Heat a tablespoon of oil in a wok, add the asafoetida, cumin seeds and saunf seeds. Allow them to crackle.Once they crackle, add the onions, sprinkle some salt and cook the onions on medium heat until they are well roasted, gets a caramelized color and softened as well.Once the onions have a good color and has cooked through, add the remaining masalas and toss the onions until all the masalas get well coated on it.Once done, check the salt and spice levels and adjust to suit your taste. Turn off the heat and transfer the Pyaz Ki Sabzi into a serving bowl.Serve the Pyaz Ki Sabzi along with Kadhi and Chawal or Phulkas and Raita for lunch or dinner.
</t>
  </si>
  <si>
    <t>http://www.archanaskitchen.com/pyaaz-ki-sabzi-recipe</t>
  </si>
  <si>
    <t>Dal Banjara Recipe</t>
  </si>
  <si>
    <t>3/4 cup black urad dal (split), 1/4 cup chana dal, 1 inch ginger - grated, 1 green chilli - sliced ​​thinly, 1 tomato - finely chopped, 1 bay leaf, 1 inch cinnamon, 1 tsp turmeric powder, 1 tsp garam masala powder, 5 sprigs coriander leaves - chopped, 1 tsp ghee, 1 tsp cumin seeds, 2 dried red chillies - broken</t>
  </si>
  <si>
    <t>"To make Daal Banjara recipe, first of all take a pressure cooker and add black urad dal, chana dal, ginger, green chillies, tomatoes, bay leaves, cinnamon, turmeric powder, garam masala powder. Add 2-1/2 cups of water and close the cooker. Cook till 2 to 3 whistles and then cook on low flame for 10 minutes. Turn off the gas. After the pressure is released, open the cooker and your daal is ready. Take it out in a serving bowl. Now for tempering, heat ghee in a tempering pan. Add cumin seeds, dried red chillies and cook till the cumin seeds crackle. Add this tempering to the daal and mix it. Add coriander leaves and mix it. Serve Daal Banjara recipe with Lauki Raita, Bhindi Masala and Phulkas for lunch. "</t>
  </si>
  <si>
    <t>http://www.archanaskitchen.com/dal-banjara-recipe-langar-wali-dal-in-hindi</t>
  </si>
  <si>
    <t>Uttarakhand Style Singhal Recipe</t>
  </si>
  <si>
    <t>1 cup Sooji (Semolina/ Rava),1/2 cup Hung Curd (Greek Yogurt),1/2 Ripe Bananas - mashed,1/2 cup Sugar,1/2 teaspoon Cardamom Powder (Elaichi),Milk - as needed,Sunflower Oil - to deep fry</t>
  </si>
  <si>
    <t xml:space="preserve">To prepare Uttarakhand Style Singhal Recipe Take a large mouth bowl. Add semolina, thick yogurt, mashed banana, sugar and green cardamom powder. Mix well.Add enough milk and make a smooth batter.Cover and keep it aside for 3-4 hours.Heat oil in a kadai/deep frying pan.Take a clean plastic bag and make a cut in the end. Fill the bag with semolina batter and press the bag so that batter will reach at the point, where bag has a cut.Drop the batter in the oil in a spiral shape like jalebi. Fry it until golden brown.Drain on an absorbent paper and repeat the process.Serve Uttarakhand Style Singhal Recipe with rabdi as a dessert or with tea as a snack.
</t>
  </si>
  <si>
    <t>https://www.archanaskitchen.com/uttarakhand-style-singhal-recipe</t>
  </si>
  <si>
    <t>Methi Mushroom Masala Recipe</t>
  </si>
  <si>
    <t>200 grams Button mushrooms,1 tablespoon Curd (Dahi / Yogurt),1/2 teaspoon Kashmiri Red Chilli Powder,1/2 teaspoon Ginger - paste,4 teaspoon Sunflower Oil - as required,1 Onion - chopped,1/4 cup Homemade tomato puree,1 teaspoon Ginger Garlic Paste,1 Bay leaf (tej patta),1/4 teaspoon Turmeric powder (Haldi),1/4 teaspoon Red Chilli powder,1/4 teaspoon Garam masala powder,1/4 teaspoon Kalonji (Onion Nigella Seeds),1 teaspoon Kasuri Methi (Dried Fenugreek Leaves),1 teaspoon Lemon juice,2 Dry Red Chilli,Salt - to taste,3/4 cup Lukewarm Water</t>
  </si>
  <si>
    <t xml:space="preserve">To begin making the Methi Mushroom Masala Recipe, firstly wash the mushrooms, in a bowl mix with curd, red chilli powder and ginger paste. Marinate for 5 minutes.Soak the leaves in water for 5 minutes, strain and set aside. Heat a small wok with oil, fry the mushrooms and remove after 2 minutes.In the same pan, add bay leaf, kalonji and ginger and garlic paste. Fry for 1 minute.Fry the onions for few minutes or till they become soft. Next, add tomato puree, red chilli powder and turmeric powder. Let it cook for about a minute.After a minute, add warm water, salt and garam masala powder.Let it boil to a semi thick consistency, now add the mushrooms and soaked and strained dry methi leaves.Serve hot immediately with a dash of lime juice and red chilli on top. Serve Methi Mushroom Masala Recipe along with Palak Raita and Whole Wheat Lachha Parathas for weekly dinner.
</t>
  </si>
  <si>
    <t>http://www.archanaskitchen.com/methi-mushroom-masala-recipe</t>
  </si>
  <si>
    <t>Palak And Moong Dal Pakodas Recipe</t>
  </si>
  <si>
    <t>1 cup Yellow Moong Dal (Split) - soaked for 2 hours,1 cup Spinach - finely chopped,1 Onion - finely chopped,1 Green Chilli - finely chopped,1 teaspoon Ajwain (Carom seeds),1 tablespoon Coriander (Dhania) Seeds - roughly pounded,1/2 teaspoon Red Chilli powder,1/2 teaspoon Garam masala powder,1/4 teaspoon Turmeric powder (Haldi),1/2 teaspoon Cumin powder (Jeera),1 teaspoon Lemon juice,Salt - to taste,Sunflower Oil - for frying</t>
  </si>
  <si>
    <t xml:space="preserve">To begin making the Palak And Moong Dal Pakodas Recipe, wash and soak the moong dal for 2 hours and then grind it to a semi course paste using a mixer grinder. Remove the ground moong dal into a bowl.Now, whisk the ground moong dal paste vigorously for a few minutes to incorporate air into the mix to make the batter a little lighter.Add in the chopped spinach, onion and green chilli. Add the spices mentioned including carom seeds, coriander seeds, red chilli powder, garam masala powder, turmeric powder, cumin powder, season with salt and mix well.Now, heat oil in a  paniyaram pan and add oil in each cavity. Once it is hot drop a spoon full of batter into the oil to form small pakodas and let it cook for 2 minutes on medium heat.When pakodas are cooked on one side and turned golden brown, flip over and cook on the other side.Once the pakodas are evenly browned on all sides and cooked through remove them from the pan into an oil absorbent paper and proceed to make the next batch of the pakodas with the remaining batter.Serve the Palak And Moong Dal Pakodas Recipe as a tea time snack along with spicy dhaniya pudina chutney and masala chai for a tea party and impress your guests.
</t>
  </si>
  <si>
    <t>https://www.archanaskitchen.com/palak-and-moong-dal-pakodas-recipe</t>
  </si>
  <si>
    <t>Achari Aloo Parwal Sabzi Recipe (Pointed Gourd And Potato Stir Fry In Pickle Spices)</t>
  </si>
  <si>
    <t>400 grams Pointed gourd (Parval) - sliced lengthwise,3 Potatoes (Aloo) - sliced lengthwise,1 Onion - finely chopped,1 Tomato - finely sliced,2 tablespoons Mustard oil,1/2 teaspoon Kalonji (Onion Nigella Seeds),1/2 teaspoon Turmeric powder (Haldi),1/2 teaspoon Amchur (Dry Mango Powder),Salt - to taste,1 teaspoon Coriander (Dhania) Seeds,1/2 teaspoon Cumin seeds (Jeera),1/2 teaspoon Mustard seeds,1/2 teaspoon Fennel seeds (Saunf),1/2 teaspoon Kalonji (Onion Nigella Seeds),1/4 teaspoon Methi Seeds (Fenugreek Seeds),3 Dry Red Chillies - broken into 2</t>
  </si>
  <si>
    <t xml:space="preserve">To begin making the Achari Aloo Parwal Sabzi Recipe place a pan on a medium heat and dry roast all the ingredients under “Dry roast and grind to coarse powder” and pulse them together in a grinder to make a spice mix. Set aside to use later.Place a pressure cooker on the heat and add mustard oil to it. Warm it till it gets smoky, then reduce the heat to low, add nigella seeds and allow them to crackle.Add onions and saute until just light golden brown. Do not burn them.Then, add potatoes, parwal, and sliced tomatoes and saute on a high heat for 4-5 minutes.Add haldi, ground spice mix, amchoor and mix well to coat the vegetables.Sprinkle sufficient water to cook the veggies but not make too much of a gravy, place the lid on the cooker and cook for 2 whistles.Turn the heat off and allow the cooker to cool down until the pressure releases naturally.Open the cooker, add salt, mix and simmer for another minutes so the excess water evaporates.Serve it in a dish and garnish with fresh coriander leaves. Serve hot with Phulkas, Matar Ki Puri and Dal Banjara for a wholesome weeknight dinner.
</t>
  </si>
  <si>
    <t>http://www.archanaskitchen.com/achari-aloo-parwal-sabzi-recipe-pointed-gourd-and-potato-stir-fry-in-pickle-spices</t>
  </si>
  <si>
    <t>Punjabi Sabut Moong Ki Dal Recipe (Whole Green Lentils Cooked With Punjabi Spices)</t>
  </si>
  <si>
    <t>1 cup Green Moong Dal (Whole),2 Onions - roughly chopped,2 Tomatoes - roughly chopped,1 inch Ginger - pounded,4 cloves Garlic - roughly pounded,2 Green Chillies,1 teaspoon Sunflower Oil,1 teaspoon Cumin seeds (Jeera),1/4 teaspoon Garam masala powder,Salt - to taste,1/2 teaspoon Turmeric powder (Haldi),1 teaspoon Ghee,1/2 teaspoon Kashmiri Red Chilli Powder,Coriander (Dhania) Leaves - chopped</t>
  </si>
  <si>
    <t xml:space="preserve">To begin making the Punjabi Sabut Moong Ki Dal, first wash the green moon thoroughly under running water and soak the lentils for 3-4 hours or overnight. Ensure that there is sufficient water in the vessel to submerge the lentils completely.When ready to cool the dal, place a pressure cooker on the heat. Add whole moong dal with 3 cups of water, salt and turmeric powder to it. Shut the lid and allow it to cook on a high heat. When the pressure cooker releases one whistle, reduce the heat to low and continue to cook for 6 minutes before you turn the heat off. Allow the cooker to rest till the pressure has released naturally and the weight is easy to pull off. When the lid comes off without any resistance, you will know that the pressure has released completely and the cooker can be opened. Set the cooked moong aside.Place a kadai on the heat, add some oil to it and warm it up slightly. Add jeera seeds to it and toss till they gently brown.Add the chopped onions, green chilli, ginger and garlic to the oil and sauté it all until the onions are golden brown.When the onions turn brown, add tomatoes and sauté for a few minutes until the tomatoes are fully cooked.Add the cooked dal and garam masala at this stage and simmer for 2-3 minutes.In a tempering/tadka pan or ladle, melt the ghee. When it is warm, add the Kashmiri mirchi powder, saute for 30 seconds and pour the tempering over the dal right before serving.Add a dash of lemon juice and garnish with coriander leaves and serve hot Serve the Punjabi Sabut Moong Ki Dal with fresh Phulkas or Lachcha Parathas, with sliced onions and a dash of lemon for a simple comforting meal.
</t>
  </si>
  <si>
    <t>http://www.archanaskitchen.com/punjabi-sabut-moong-ki-dal-recipe-whole-green-lentils-cooked-with-punjabi-spices</t>
  </si>
  <si>
    <t>Kali Mirch Aloo Bhindi Sabzi - Aloo Bhindi Pepper Fry Recipe</t>
  </si>
  <si>
    <t>3 Potatoes (Aloo) - boiled,2 cups Bhindi (Lady Finger/Okra) - cut into 1/2 an inch,1/2 teaspoon Turmeric powder (Haldi),1 teaspoon Cumin seeds (Jeera),1 Onion - finely chopped,2 tablespoons Sunflower Oil,Salt - to taste,2 teaspoons Cumin seeds (Jeera),2 teaspoons Whole Black Peppercorns</t>
  </si>
  <si>
    <t xml:space="preserve">To begin making Kali Mirch Aloo Bhindi recipe, add the potatoes with 1 cup water in a pressure cooker and cook for 3 to 4 whistles. Allow the pressure in the cooker to release naturally.Once the potatoes are cooled down, peel the potatoes and cut them into small cubes. Keep it aside.Make a fine powder of cumin seeds and peppercorns using a mixer grinder. Keep aside.Heat oil in a heavy bottomed pan. Once the oil is hot, add the cumin seeds and allow it to crackle.Add the finely chopped onion and saute until it turns soft and translucent - about a minute.Once the onions are softened, add bhindi,  sprinkle some salt and saute until the sliminess goes away.  Keep the bhindi slightly covered, this will help the bhindi cook faster with the steam.At the same time, since the lid is slightly ajar, it will help the steam escape and prevent sliminess. Once the bhindi is cooked, add the boiled potatoes, turmeric powder and powdered black peppercorns and cumin powder and saute till the Kali Mirch Aloo Bhindi Sabzi turns a bit crispy. This would take about 3 to 4 minutes.Check the salt and adjust accordingly.Once the Aloo Bhindi turns a bit crispy and gets well coated with the cumin-pepper powder turn off the heat and serve hot.Serve the Kali Mirch Aloo Bhindi Sabzi along with Steamed Rice, Garlic Rasam, Elai Vadam and Carrot Cucumber Tomato Salad with Lemon and Coriander Recipe for a simple yet flavoursome weeknight dinner.
</t>
  </si>
  <si>
    <t>http://www.archanaskitchen.com/kalimirch-aloo-bhindi-recipe-potato-lady-finger-flavoured-with-pepper</t>
  </si>
  <si>
    <t>Khatti Meethi Lauki Dal Recipe - Sweet &amp; Spicy Bottle Gourd Dal</t>
  </si>
  <si>
    <t>1 teaspoon Sunflower Oil - for cooking,1/2 teaspoon Cumin (Jeera) seeds,1 sprig Curry leaves - finely chopped,1 inch Cinnamon Stick (Dalchini) - broken,1 Bay leaf (tej patta) - torn into half,1 inch Ginger - finely chopped,1 Tomato - finely chopped,1/2 teaspoon Turmeric powder (Haldi),1/2 teaspoon Red Chilli powder,1 cup Arhar dal (Split Toor Dal) - washed well in water,2 cups Bottle gourd (lauki) - peeled and chopped,Salt - to taste,1 teaspoon Jaggery - crushed,1 Lemon - juice extracted,4 sprig Coriander (Dhania) Leaves - finely chopped,1 teaspoon Amchur (Dry Mango Powder),1 teaspoon Jaggery - powdered,1 teaspoon Lemon juice,Coriander (Dhania) Leaves - a small bunch finely chopped,Sunflower Oil - for cooking</t>
  </si>
  <si>
    <t xml:space="preserve">We begin making the Khatti Meethi Lauki Dal Recipe, prepare all the ingredients and keep them ready.Preheat oil in a pressure cooker over medium heat. Add the cumin seeds and allow it to crackle.Add the cinnamon stick, bay leaf, ginger, tomatoes and curry leaves. Saute for about minute until the tomatoes are slightly mushy.Add the turmeric powder, red chilli powder, salt, washed toor dal, chopped bottle gourd, salt to taste, jaggery and 2-1/2 cups of water.Cover the pressure cooker and cook the Khatti Meethi Lauki Dal for 3 whistles. After 3 whistles, turn the heat to low and simmer for 3 minutes and turn off the heat.Allow the pressure to release naturally. Once the pressure releases, check the taste, add salt if required and adjust the chilli and jaggery as well accordingly.When you are ready to serve, give it a brisk boil just and squeeze in the juice from one lemon and stir in the chopped coriander leaves.Transfer the Khatti Meethi Lauki Dal to a serving bowl.  Serve the Khatti Meethi Lauki Dal Recipe along with Red Cabbage Poriyal and Methi Thepla for a wholesome lunch or dinner.
</t>
  </si>
  <si>
    <t>http://www.archanaskitchen.com/khatta-meetha-lauki-recipe-tangy-and-sweet-bottle-gourd-curry-recipe</t>
  </si>
  <si>
    <t>Beetroot Moong Phali Sabzi Recipe-Beetroot Stir Fry with Roasted Peanuts</t>
  </si>
  <si>
    <t>3 Beetroot - peeled and diced small,10 Pearl onions (Sambar Onions) - finely chopped,4 cloves Garlic - finely chopped,2 Green Chillies - finely chopped,1 inch Ginger - finely chopped,1/2 teaspoon Turmeric powder (Haldi),1 teaspoon Coriander Powder (Dhania),1/2 teaspoon Amchur (Dry Mango Powder),1/2 cup Roasted Peanuts (Moongphali) - crushed,1 teaspoon Sunflower Oil,Salt - to taste</t>
  </si>
  <si>
    <t xml:space="preserve">To begin making the Beetroot Moong Phali Sabzi Recipe, first prep all the ingredients and keep them ready.Add the beetroot into the pressure cooker, add 3 tablespoons of water, salt and pressure cooker for 2 whistles and turn off the heat. Allow the pressure to release naturally.Heat oil in a stir fry pan; add the onion, ginger, garlic, green chillies and saute until the onions are softened. Add the turmeric powder, the amchur powder, coriander powder and cooked beetroot.Saute until all the ingredients are combined for a couple of minutes.Once done, stir in the roasted moong pahli (roasted peanuts) and check the salt to taste.Turn off the heat and transfer Beetroot Moong Phali Sabzi to as serving bowl.Serve the Beetroot Moong Phali Sabzi along with Lobia Masala, Phulka, Green Chutney and a Hesarukalu Bele Kosambari Recipe for a wholesome lunch.
</t>
  </si>
  <si>
    <t>http://www.archanaskitchen.com/beetroot-moong-phali-sabzi-recipe-beetroot-stir-fry-with-roasted-peanuts</t>
  </si>
  <si>
    <t>Dhaba Style Country Chicken Recipe</t>
  </si>
  <si>
    <t>750 grams Chicken - curry cut,2 tablespoons Onion - paste,2 tablespoons Ginger - paste,2 tablespoons Garlic - paste,1 tablespoon Fresh Red Chilli - paste,Mustard oil - as required,1 Onion - chopped,4 Bay leaf (tej patta),2 Cinnamon Stick (Dalchini),1 inch Cardamom (Elaichi) Pods/Seeds,1-1/2 tablespoon Coriander Powder (Dhania),1 tablespoon Turmeric powder (Haldi),1 tablespoon Cumin powder (Jeera),1 tablespoon Kashmiri Red Chilli Powder,Salt - as required,Water - as required</t>
  </si>
  <si>
    <t xml:space="preserve">To begin making the Dhaba Style Country Chicken recipe, firstly marinade the chicken with turmeric, salt, ginger paste, garlic paste, red chilli paste, 1 tablespoon onion paste and 1 tablespoon mustard oil for about 30 minutes. Rub the spices well using your fingers.Heat 3 tablespoons oil in a heavy bottomed pan. Once oil reaches it's smoking point cool down a bit. Then heat it again, add bay leaf, cinnamon and cardamom.After a minute, add chopped onion and fry till they are golden brown.Add onion paste and fry for 2 minutes. Add Chicken to it and saute at high flame for least 5 minutes. Make a paste of all masala powder adding 2 tablespoons of water.Add this paste to chicken and mix well. Adjust salt according to your taste.Add 2 cups of warm water to it &amp; cook it covered until they are done. You can add more water if you want more gravy.Serve Dhaba Style Country Chicken with hot phulkas and jeera rice for a delicious meal.
</t>
  </si>
  <si>
    <t>https://www.archanaskitchen.com/dhaba-style-country-chicken-recipe</t>
  </si>
  <si>
    <t>Restaurant Style Paneer Lababdar Recipe</t>
  </si>
  <si>
    <t>200 grams Paneer (Homemade Cottage Cheese) - cut into triangles,1 Onion - finely chopped,1 inch Ginger - grated,3 Tomatoes - pureed,1 teaspoon Cumin seeds (Jeera),1 teaspoon Kashmiri Red Chilli Powder,1 teaspoon Garam masala powder,1/2 teaspoon Cumin powder (Jeera),2 teaspoons Kasuri Methi (Dried Fenugreek Leaves),2 teaspoons Butter,2 tablespoons Fresh cream,1 inch Ginger - cut into jullienes for garnish,2 teaspoons Sunflower Oil,Salt - to taste</t>
  </si>
  <si>
    <t xml:space="preserve">To begin making the Restaurant Style Paneer Lababdar Recipe, make a puree of the tomatoes using mixer grinder and keep aside.Heat oil and butter in a pan, add the cumin seeds and let it crackle. Add the onion and saute until it turns translucent.Add the grated ginger, tomato puree and cook until the raw smell goes away. Add the kashmiri red chilli powder, cumin powder, garam masala and mix well.Add half a cup of water and let the gravy simmer for 5 minutes. Now, add the paneer triangles, crushed kasuri methi, mix well and let it simmer for another 5 minutes.Switch off the heat, add in the fresh cream and mix well. Garnish with ginger juliennes and serve hot.Serve the Restaurant Style Paneer Lababdar Recipe along with Paratha, Aloo Gobhi Ki Sabzi and Methi Matar Pulao for the weekend brunch.
</t>
  </si>
  <si>
    <t>http://www.archanaskitchen.com/restaurant-style-paneer-lababdar-recipe</t>
  </si>
  <si>
    <t>Pata Gobi Aur Kele Kofta Curry Recipe - No onion No Garlic</t>
  </si>
  <si>
    <t>1 Raw Banana - boiled and mashed,1 cup Cabbage (Patta Gobi/ Muttaikose) - chopped,1/2 cup Gram flour (besan),1 Green Chilli - chopped,1 teaspoon Cumin seeds (Jeera),2 tablespoons Coriander (Dhania) Leaves - chopped,1/2 teaspoon Cumin powder (Jeera),1/2 teaspoon Red Chilli powder,1/2 teaspoon Garam masala powder,1 pinch Turmeric powder (Haldi),1/2 teaspoon Salt - to taste,1 cup Sunflower Oil - for deep frying,3 Tomatoes - large tomatoes,1 tablespoon Ginger - made into paste,1 Green Chilli - slit,1/2 cup Gram flour (besan),3 to 4 tablespoons Fresh cream,2 tablespoons Curd (Dahi / Yogurt),1-1/2 tablespoons Coriander Powder (Dhania),1/2 teaspoon Turmeric powder (Haldi),1/2 teaspoon Cumin powder (Jeera),1/2 teaspoon Garam masala powder,1 to 2 Bay leaf (tej patta),1/2 teaspoon Cardamom (Elaichi) Pods/Seeds - freshly crushed,Salt - to taste,Sunflower Oil - as required</t>
  </si>
  <si>
    <t xml:space="preserve">To begin making the Pata Gobi Aur Kele Kofta Curry Recipe, chop cabbage and press in batches to remove excess water. Collect the dry grated cabbage in a large mixing bowl.Cut the raw banana into half and pressure cook with water and salt till it is soft. Allow the pressure to release naturally and peel off the skin. Mash it completely and add it to the bowl with the cabbage.Into the cabbage and banana mash add besan, green chili, coriander, cumin powder, turmeric, garam masala, red chili powder and salt. Stir well to make a dry mix.Heat oil in a Kuzhi Paniyaram Pan and meanwhile make medium lemon sized kofta balls out of the mix and keep aside in a plate.Once the oil is hot, drop the kofta balls carefully into each cavities, fry till golden brown in color on all sides. Transfer the fried kofta balls on an oil absorbent paper to absorb excess oil.In a separate kadhai/wok, heat oil to make the curry.Add bay leaf and within few seconds add grated ginger and saute for few seconds till the aromas of the ginger release. Once done add besan and roast it for few seconds and immediately add the tomato puree in it and stir nicely for about a minute.After a minute add coriander powder, red chilli powder, turmeric powder, cumin powder and garam masala powder and saute the masala till oil starts leaving from sides.Now add 2 tablespoons of curd and saute for another minute or so. Once the masala starts smelling good, add fresh cream and mix nicely.Cook for another 2-3 mins and then add water to make the curry. The curry should be a little thick hence be careful while adding water.Adjust salt and let the curry come to a boil. Add freshly crushed cardamom, Mix well to combine and cover the pan. Simmer the curry for another 5 mins on low heat.After five minutes drop in the fried kofta balls and turn off the heat.Transfer the curry in a serving bowl and add a swirl of fresh cream to garnish along with some fresh coriander leaves and serve.Serve the Pata Gobi Aur Kele Kofta Curry Recipe along with Phulka or Naan with Kachumber Salad Recipe With Cucumber, Onion &amp; Tomatoes by the side.
</t>
  </si>
  <si>
    <t>http://www.archanaskitchen.com/gobi-aur-kele-kofta-curry-recipe-no-onion-no-garlic</t>
  </si>
  <si>
    <t>Whole Wheat Onion Stuffed Kulcha Recipe</t>
  </si>
  <si>
    <t>4 cups wheat flour, 1 tablespoon active dry yeast, 1 teaspoon sugar, 2 cloves garlic - finely chopped, salt - according to taste, water - lukewarm, 1 onion, green coriander - a little, 5 - 6 mint, 6 cloves garlic, salt - according to taste, 1/2 teaspoon red chili powder, 1/2 teaspoon turmeric powder</t>
  </si>
  <si>
    <t>"For Onion Kulcha recipe first of all make dough. In a bowl add flour, salt, yeast, salt, sugar, garlic and mix everything well. Now add warm water slowly and knead it well till it becomes soft. Keep kneading for 5 minutes. Cover this dough and keep it aside for 2 to 3 hours. After 2 to 3 hours add onion, mint, coriander leaves, garlic in a food processor and grind it. Take out the dough and knead it again. Now to make kulcha, heat a pan. Take out some mixture and make it like a round ball. Now roll it in 2 inch diameter. Put 1 spoon onion masala in its middle and close it from all sides. Now press with your hand and flatten the round ball. Sprinkle some flour and roll it in a round shape with light hands. Put this kulcha on the pan. Cook it a little from both the sides and then cook it directly on gas flame. Cook well on both the sides and serve. Serve Onion Kulcha Recipe with Chole Masala Recipe, Boondi Raita and Mint Onion Kachumber Salad. "</t>
  </si>
  <si>
    <t>https://www.archanaskitchen.com/whole-wheat-onion-stuffed-kulcha-recipe-in-hindi</t>
  </si>
  <si>
    <t>Whole Wheat Palak Naan Recipe</t>
  </si>
  <si>
    <t>2 cups Whole Wheat Flour,1/2 cup Spinach Leaves (Palak) - finely chopped (tightly packed),1 teaspoon Baking soda,1-1/2 teaspoon Salt - (adjust to taste),1/2 teaspoon Sugar,1 tablespoon Sunflower Oil,1 cup Curd (Dahi / Yogurt),Ghee - for smearing on naan,Kalonji (Onion Nigella Seeds) - or sesame seeds to sprinkle</t>
  </si>
  <si>
    <t xml:space="preserve">To begin making the Whole Wheat Palak Naan, first add the flour, palak, salt, sugar, baking soda, oil into a mixing bowl and combine.Make a well in the center and all curd and begin to knead the dough together. Work it until it is a smooth dough dough. Add water if needed so make it a soft and slightly sticky dough. Do not be tempted to add more flour, the dough needs to be on the wetter/stickier side. Rub oil all over the dough, cover and let it rest for about 30 minutes.When ready to make the naans, divide the dough into 6-8 equal parts.Taking each portion at a time, dust a little flour if needed to roll and using a rolling pin or fingers, press the portion out into a thick, flat disc shaped like a naan.Rub water over the rolled out naan and sprinkle sesame seeds, kalonji seeds, and finely chopped palak leaves.Place a skillet on the heat and when it is warm enough, place the rolled naan over a hot tawa with the side sprinkled with kalonji facing the top. Cover and cook for about a minute on medium low flame.Now lift the tawa off the heat and flip the naan over, directly on to the heat. This ensures you get a charred smoky flavor to the naan, mimicking the tandoori flavour.Once done, take the naan off the heat/tawa and rub with ghee.Repeat with rest of the dough and serve hot naans with Mushroom Pasanda or Green Moong Dal Makhani.
</t>
  </si>
  <si>
    <t>http://www.archanaskitchen.com/whole-wheat-palak-naan-recipe</t>
  </si>
  <si>
    <t xml:space="preserve">Palak Chole </t>
  </si>
  <si>
    <t>1 cup chickpeas or chickpeas - soaked overnight, 1 cup spinach - washed and roughly chopped, 1 onion - finely chopped, 1 tomato - finely chopped, 1 green chilli - slit, 1 inch ginger - grated, 2 cloves garlic - grated, salt - as per taste, 2 teaspoons garam masala powder, 1 teaspoon turmeric powder, 1 teaspoon red chilli powder, 1 teaspoon coriander powder, 1 bay leaf, 2 cardamoms</t>
  </si>
  <si>
    <t>"To make Palak Chole, first wash the chickpeas and soak them in water for 5 to 6 hours. Now put tomatoes, green chilies and some water in a mixer grinder. Grind it and keep it aside. Now heat oil in a pan. Add spinach and cook till spinach becomes soft. Now heat oil in a pressure cooker. After the oil is heated, add bay leaves and cardamom. Cook for 1 minute. After 1 minute add onion, ginger, garlic and cook till onion becomes golden. After onion becomes golden, add tomato puree, salt, turmeric powder, garam masala powder, coriander powder, red chili powder and cook for 1 minute. Now add chickpeas and mix. Add water as per requirement, mix well and close the cooker. Cook till 4 to 5 whistles, and then reduce the flame. Let it cook for 15 minutes and turn off the gas. After the pressure is released, add spinach and mix it. Mash it a little and Mix. Cook for 1 more minute and serve hot. Serve Palak Chole with Lasuni Daal, Phulka, Jeera Rice and Kachumber Salad for lunch. "</t>
  </si>
  <si>
    <t>http://www.archanaskitchen.com/palak-chole-recipe-in-hindi</t>
  </si>
  <si>
    <t>Malai Matar Paneer Recipe (Cottage Cheese &amp; Peas In Rich Creamy Gravy)</t>
  </si>
  <si>
    <t>1 cup Green peas (Matar),1 tablespoon Cashew nuts - paste,1/2 tablespoon Poppy seeds - paste,1/2 cup Yogurt,1 tablespoon Green Chilli - paste,1/2 cup Onion - chopped,1 teaspoon Garlic - paste,1 teaspoon Coriander Powder (Dhania),1 tablespoon Coriander leaves - chopped</t>
  </si>
  <si>
    <t xml:space="preserve">To begin making the Malai Matar Paneer recipe, in a kadai/wok heat oil and add garlic paste. As it turns light brown, add chopped onion. Fry onion until the onion becomes soft and translucent.Next, add poppy seed paste, green chilli paste, coriander powder, salt, sugar and cook it for about 5 minutes. After 5 minutes, add green peas and yogurt. Cook the same for about 3 to 4 minutes. Once the green peas are soft, add paneer cubes and give a stir. Add 1/2 cup of warm water and let it cook for 5 minutes.After 5 minutes, add cashew nut paste and cook for about 7 to 8 minutes. Check seasoning and garnish it with some chopped coriander leaves and give a stir.  Malai Matar Paneer is ready to serve.Serve Malai Matar Paneer along with Lauki Raita, Kachumber Salad and Phulkas for a weekday meal with your family.
</t>
  </si>
  <si>
    <t>http://www.archanaskitchen.com/malai-matar-paneer-recipe-cottage-cheese-peas-in-rich-creamy-gravy</t>
  </si>
  <si>
    <t>Aloo &amp; Nariyal Ki Kachori Recipe (Pan Fried Farali Aloo Vada)</t>
  </si>
  <si>
    <t>4 Potatoes (Aloo) - boiled and peeled,4 tablespoons Arrowroot flour - or (corn flour),1/2 cup Fresh coconut - grated,1/3 cup Coriander (Dhania) Leaves - finely chopped,2 Green Chillies - finely chopped,1 inch Ginger - grated,1/4 cup Cashew nuts - chopped,2 tablespoons Roasted Peanuts (Moongphali) - crushed,1 tablespoons Raisins - chopped,1-1/2 tablespoons Lemon juice,1-1/2 teaspoon Sugar,1 teaspoon Cumin seeds (Jeera)</t>
  </si>
  <si>
    <t xml:space="preserve">To begin making the Nariyal Ki Kachori Recipe (Farali Aloo Vada), in a large mixing bowl, first mash the boiled potatoes until it is creamy. Add arrowroot powder, salt and cumin to the potato and stir well to combine. Next we will make the stuffing for the potato mixture. In a bowl combine the fresh coconut, coriander, green chili,ginger,lemon juice, sugar, cashew nuts, peanuts ,raisins and a pinch of salt to taste. Use your fingers and combine all the ingredients well.Shape the potato mixture into lemon size balls. Grease your palms and fingers with oil and take a potato ball and flatten it by pressing with your fingertips. Spoon about a tablespoon of coconut mixture in the center.  Cover the coconut mixture by bringing the potato from the sides to the center. Smoothen it to make a farali aloo vada. Dust the aloo vada lightly in the dry arrowroot powder or cornflour. Preheat a Kuzhi Paniyaram pan, and add a few drops of oil in each cavity. Place each of the stuffed Fatali Aloo Vadas into the cavities and fry until golden brown and crisp on all sides. Make sure you fry the vadas on medium heat so they get cooked evenly.Serve the Nariyal Ki Kachori (Farali Aloo Vada) along with Coconut Chutney or Green Chutney for Navratri festival or any other special occasion in the family. They made a healthy tea time snack or even appetizers for parties
</t>
  </si>
  <si>
    <t>https://www.archanaskitchen.com/nariyal-ki-kachori-recipe-pan-fried-farali-aloo-vada</t>
  </si>
  <si>
    <t>Spinach Paneer Kofta Curry Recipe</t>
  </si>
  <si>
    <t>1 cup Paneer (Homemade Cottage Cheese) - crumbled,5 cups Spinach Leaves (Palak) - chopped,1/4 cup Gram flour (besan),1 teaspoon Cumin powder (Jeera),Salt - to taste,Sunflower Oil - for pan frying,1/2 cup Whole Wheat Bread crumbs,3-4 cloves Garlic - grated,1 inch Ginger - grated,1 tablespoon Honey,1/2 teaspoon Cardamom Powder (Elaichi),1 teaspoon Garam masala powder - 1 teaspoon of homemade garam masala,Salt - to taste,Red Chilli powder - to taste,1/2 cup Fresh cream,Kasuri Methi (Dried Fenugreek Leaves) - for flavour and garnish</t>
  </si>
  <si>
    <t xml:space="preserve">Method for KoftasHeat 1 teaspoon of oil in a pan; sauté the spinach on high heat until it gets soft enough and until all the moisture evaporates. Turn off heat at this point.Allow the spinach to cool completely. Once the spinach cools, add the gram flour and salt to taste and combine well. Divide the spinach into 8 equal portions.Mix paneer, cumin powder and salt; divide into 8 balls and keep aside.Take a portion of the spinach, flatten it on your palm and stuff the paneer balls in it. Shape it into a ball (kofta). While doing this, you might feel that the spinach mixture is not that pliable that it easily folds onto the paneer and makes a ball. That's the right feeling. It's not very easy to handle them. If you feel the spinach does not cover the paneer properly, just patch the paneer all around with the spinach mixture. It works!Roll each ball in over the breadcrumbs so they get coated evenly. You can now cook the kofta's in the Oven or in the Kuzhipaniyaram PanIf you plan to use the Oven to bake the kofta's; then place the kofta balls on a greased baking sheet. Brush the kofta balls with some oil and bake in a preheated oven (200 C) until the koftas turn golden brown in colour. Remove the kofta's from the oven once baked and keep them aside.If you plan to use the Kuzhipaniyaram Pan; then place the kofta balls in the pan's cavities; drizzle the kofta's with a little oil and pan fry them until golden brown on both sides. You will have to flip the kofta balls so they fry on all sides evenly. The next step is to make the Spinach Kofta CurryHeat oil in a heavy bottomed pan; add the grated ginger and sauté for a few seconds. Stir in the tomato puree, turmeric powder, cardamom powder, garam masala powder, salt and chilli powder to taste. Bring the mixture to a boil and simmer for a couple of minutes till the tomatoes get cooked through. Finally add the cream, honey and the Kasuri methi and stir it into the kofta curry. Add in the pan fried palak paneer koftas, cover the pan and simmer until the curry and flavours get absorbed into the koftas. Adjust the consistency of the palak paneer koftas by adding water if required. Do make sure to check the salt and spice levels and adjust according to your taste.Serve this delicious Spinach Paneer Kofta Curry along with Whole Wheat Naan Recipe or  Jeera rice of your choice for a quick and healthy weeknight dinner or even for parties.
</t>
  </si>
  <si>
    <t>http://www.archanaskitchen.com/spinach-paneer-kofta-curry-recipe</t>
  </si>
  <si>
    <t>Pineapple And Semolina Sheera Recipe</t>
  </si>
  <si>
    <t>1/2 cup Sooji (Semolina/ Rava),1/2 cup Ghee,1/2 cup Sugar,1/2 cup Pineapple - chopped,7 Raisins,7 Pistachios - sliced,7 Cashew nuts - sliced,Water - as required,1/2 teaspoon Cardamom (Elaichi) Pods/Seeds - powdered,Saffron strands - dipped in 1 tablespoon warm water</t>
  </si>
  <si>
    <t xml:space="preserve">To begin with Pineapple And Semolina Sheera Recipe, first heat ghee in kadhai and add semolina. Stir it continuously till it turns golden brown.No add chopped pineappleand mix it well, cover the kadhai with a lid and allow it to cook for 2 – 3 minutes.Now add water and give it a stir so that semolina doesn’t form lumps. As you keep stiring the mixture starts to cook, leave it on medium flame for another 2 – 3 minutes.Once cooked add sugar, continue to stir the sheera so that the moisture is not there.Before putting the flame down add saffron water, some cardamom powder and raisins, mix it well and taste if the sugar is fine and if everything tastes perfect remove the kadai from heat.Transfer the Pineapple and Semolina Sheera to a serving bowl and garnish it with sliced cashew and Pistachio. 
</t>
  </si>
  <si>
    <t>https://www.archanaskitchen.com/pineapple-and-semolina-sheera-recipe</t>
  </si>
  <si>
    <t>Chicken Meatballs In A Makhni Gravy Recipe</t>
  </si>
  <si>
    <t>500 grams Chicken - cleaned and minced,1 Onion,8 cloves Garlic - finely chopped,3 Green Chillies - finely chopped,1/4 cup Whole Wheat Bread crumbs,Salt - as per you taste,Sunflower Oil - for shallow frying the meatballs,1 Onion - roughly chopped,5 Tomatoes,2 tablespoons Ginger Garlic Paste,5 Dry Red Chillies,2 Cardamom (Elaichi) Pods/Seeds,1 Mace (Javitri),1 Bay leaf (tej patta),2 tablespoons Honey,3 tablespoons Fresh cream,1 teaspoon Garam masala powder,1 tablespoon Kasuri Methi (Dried Fenugreek Leaves),1 tablespoons Sunflower Oil,2 tablespoon Butter,2 sprig Coriander (Dhania) Leaves,3/4 cup Water</t>
  </si>
  <si>
    <t xml:space="preserve">To begin making Chicken Meatballs In A Makhni Gravy, we will firstly make the meatballs.Add the minced chicken, onions, garlic, green chillies, and salt in a mixing bowl. Mix well to form a uniform mixture. Prepare lemon sized meatballs and keep it aside. In a skillet, add 3 tablespoons of oil, place the prepared meatballs and shallow fry them until the chicken is cooked and the outer part of the meatball is crisp. Drain the meatballs on a paper napkin to absorb the excess oil and keep it aside. The next step is to prepare the gravy. Heat  2 tablespoons of butter in a heavy bottomed pan on low flame.Once the butter melts, add the cardamom pods, mace and saute it for about 15 seconds.Add the roughly chopped onions and cook till they become soft and translucent. Add the ginger garlic paste, cook until the raw smell goes away. This will take about 2 minutes.After 2 minutes, add in the tomatoes, cashews, salt and a little water. Cover and cook till the tomatoes are mushy and soft. Turn off the flame and let the mixture cool. Once cooled, transfer to a mixer grinder jar and grind to a smooth paste along with some water. In the same kadai, add some more oil. Once it is hot, add bayleaf, tomato onion masala and cook for about 5 to 7 minutes. Next, add in the cream, kasuri methi, salt and garam masala. Cook for about a minute.Mix in the honey little by little while adjusting the balance of sweet and tangy. Mix everything properly.Drop the meatballs, cover the pan and simmer on a low flame for another 5 minutes. Turn off the flame and transfer to a serving dish. Garnish with coriander leaves and fresh cream. Your Chicken Meatballs In A Makhni Gravy is ready to be served. Serve Chicken Meatballs In A Makhni Gravy along with Phulkas or Jeera Rice along with a Moong Sprouts Salad with Grated Carrots and Cucumber for a weekday dinner.
</t>
  </si>
  <si>
    <t>http://www.archanaskitchen.com/chicken-meatballs-in-a-makhni-gravy-recipe</t>
  </si>
  <si>
    <t>Dry Methi Malai Matar (Recipe In Hindi)</t>
  </si>
  <si>
    <t>300 grams fenugreek - finely chopped, 1/2 cup green peas, 2 tablespoons cream, 1-1/2 tablespoons oil, 1 bay leaf, 1/2 cinnamon, 1/2 teaspoon cumin seeds, 1/2 cup onion - finely chopped, 1 tablespoon garlic - finely chopped, 1/4 teaspoon ginger - paste, 2 green chillies - chopped, 1/2 cup tomatoes - finely chopped, 1 tablespoon tomato ketchup, 1/4 teaspoon garam masala powder, 1/4 teaspoon red chilli powder, salt - according to taste</t>
  </si>
  <si>
    <t>"To make Sukhi Methi Malai Matar, first wash the fenugreek leaves and chop them finely. Take green peas and boil them in hot water for 2 minutes. Now heat oil in a pan. Add fenugreek leaves and cook till they become soft. Take out and keep aside in a separate bowl. Add some more oil. Add bay leaves, cinnamon, cumin seeds and cook. After 30 seconds, add garlic, onion and green chillies. Cook till the onions become soft. After they become soft, add tomatoes and cook for 2 minutes. Now add all the spices and cook for a few more seconds. After a few seconds, add cream and cook for 2 minutes. After that add fenugreek and peas and mix for 1 minute. Add some tomato ketchup and mix well. Cover and cook for next 5 minutes. Turn off the gas after 5 minutes and serve. Serve Methi Malai Matar with Garlic Daal and Phulkas Serve for lunch. "</t>
  </si>
  <si>
    <t>https://www.archanaskitchen.com/dry-methi-malai-matar-recipe-in-hindi</t>
  </si>
  <si>
    <t xml:space="preserve">One Pot Aloo Gobi </t>
  </si>
  <si>
    <t>2 potatoes - peel and chop, 1 cabbage - wash and chop, 1 inch ginger - grate, 2 tomatoes - make puree, 1/2 teaspoon cumin seeds, 1 teaspoon turmeric powder, 1 teaspoon garam masala powder, 2 cardamoms, 1/4 teaspoon red chili powder, 2 sprigs of coriander - finely chopped, oil - as per requirement, salt - as per taste</t>
  </si>
  <si>
    <t>"To make One Pot Aloo Gobi, first heat oil in a cooker. Add cumin seeds, ginger, cardamom and cook for 10 seconds. After 10 seconds, add tomatoes, potatoes, cauliflower, salt, red chili powder, turmeric powder, garam masala and 1/4 cup water. Mix everything well, close the cooker and cook till 3 whistles. Let the pressure release and serve. Serve One Pot Aloo Gobi Sabzi with Boondi Raita and Tawa Paratha for lunch."</t>
  </si>
  <si>
    <t>https://www.archanaskitchen.com/one-pot-aloo-gobi-recipe-in-hindi</t>
  </si>
  <si>
    <t>Dahi Suran Ki Sabzi</t>
  </si>
  <si>
    <t>300 grams yam - peel and chop, 3 tablespoons curd, 1/2 teaspoon cumin seeds, 1/2 teaspoon turmeric powder, 1/2 teaspoon red chili powder, 1 teaspoon garam masala powder, 1 teaspoon dry mango powder, salt - according to taste, oil - according to use, 2 sprigs of coriander - chopped (for garnish)</t>
  </si>
  <si>
    <t>"To make Dahi Suran ki Sabzi, first peel and chop the Suran. Now put it in a pressure cooker along with water as per requirement. Close the cooker and cook till 4 whistles. Close the cooker and let the pressure release. Now heat oil in a pan. Add cumin seeds and cook for 10 seconds. After this add Suran and mix it. Now add all the dry spices and mix it. Reduce the flame of the gas and add curd to it. Add some water and mix it. Let it cook for 2 to 3 minutes and turn off the gas. Garnish with green coriander and serve. Serve Dahi Suran ki Sabzi with Panchmel Daal and Phulkas for lunch. "</t>
  </si>
  <si>
    <t>http://www.archanaskitchen.com/dahi-suran-ki-sabzi-recipe-stir-fried-yam-in-dry-yogurt-curry-recipe-in-hindi</t>
  </si>
  <si>
    <t>Cabbage Bhurji Recipe</t>
  </si>
  <si>
    <t>2 cups Cabbage (Patta Gobi/ Muttaikose) - grated,2 Whole Eggs,1 teaspoon Cumin seeds (Jeera),1 inch Ginger - grated,4 cloves Garlic - minced,3 Green Chillies - chopped,1 teaspoon Coriander Powder (Dhania),1/8 teaspoon Turmeric powder (Haldi),1/2 teaspoon Red Chilli powder,1/2 teaspoon Black pepper powder,Salt - to taste,2 sprig Mint Leaves (Pudina) - for garnish</t>
  </si>
  <si>
    <t xml:space="preserve">To begin making Cabbage Bhurji Recipe, heat oil in a pan/wok and add ginger, garlic and cumin seeds and let the seeds splutter.Once done add the finely chopped cabbage and green chilies, cook till it turns soft.Now add salt, black pepper powder, turmeric powder, chilli powder, coriander powder and mint leaves. On the other side break the eggs and beat them.After a minute, add the beaten eggs and stir it continuously, don't overcook the eggs. Cook till all the masala is coated evenly and forms a scramble.Serve the Cabbage Bhurji Recipe with a toasted bread or just with a Ragi Wheat Phulka  and Palak Raita for your Lunch or breakfast.
</t>
  </si>
  <si>
    <t>https://www.archanaskitchen.com/cabbage-bhurji-recipe</t>
  </si>
  <si>
    <t>Palak Makhana</t>
  </si>
  <si>
    <t>300 grams spinach, 2 tomatoes - chopped, 1 cup makhana, 1 teaspoon cumin, 1 teaspoon garam masala powder, 1/2 teaspoon red chili powder, 1/2 teaspoon turmeric powder, 1 cinnamon, 2 tablespoons milk, 1 tablespoon ghee, salt - according to taste</t>
  </si>
  <si>
    <t>"To make Palak Makhana, first wash the spinach thoroughly. Take out the spinach and put it in a pressure cooker along with turmeric powder, cumin seeds, 1 tbsp water and green chillies. Close the cooker and cook till 2 whistles. Release the pressure and let the spinach cool down. After cooling down, put the spinach in a blender and make a puree. Keep it aside. Now take a pan and heat ghee in it. Add makhana in it and fry it well till it becomes crisp. Remove the makhana and keep it aside. Now heat oil in the same pan. Add cumin seeds and tomatoes in it. After the tomatoes become soft, add all the spices in it. Add some water and cook for 2 minutes. Now add spinach puree, milk and let it cook for 3 minutes. After 3 minutes add makhana and let it boil. After boiling, turn off the gas and serve. Serve Palak Makhana with Boondi Raita and Tawa Paratha Serve with lunch.</t>
  </si>
  <si>
    <t>https://www.archanaskitchen.com/palak-makhana-recipe-navratri-fasting-vrat-recipe-2-in-hindi</t>
  </si>
  <si>
    <t>Sukhi Urad Dal Sabzi Recipe</t>
  </si>
  <si>
    <t>1 cup White Urad Dal (Whole),1/4 cup Water,1 Onion - chopped,1 inch Ginger - finely chopped,1 Green Chilli - finely chopped,1 teaspoon Cumin seeds (Jeera),1/4 teaspoon SSP Asafoetida (Hing),1/2 teaspoon Turmeric powder (Haldi),1/2 teaspoon Coriander Powder (Dhania),1/2 teaspoon Garam masala powder,Salt - to taste,1 teaspoon Ghee,1 Lemon - juice,Coriander (Dhania) Leaves - a few</t>
  </si>
  <si>
    <t xml:space="preserve">To begin making the Sukhi Urad Dal Sabzi Recipe, first clean the urad dal and thoroughly rinse it with water. Let the dal soak in enough water for at least 4-5 hours. Once soaked, drain the water.Keep a pressure cooker with little water in it on heat. Place the drained Urad Dal into the steamer pan of the pressure cooker. Add water to the urad dal and pressure cook for three whistles. Turn off the heat. Let the pressure release naturally. After the pressure has released we will make the Sukhi Urad Dal Sabzi RecipeInto a preheat pan add ghee. Once the ghee is hot add the cumin seeds and asafoetida and let the cumin seeds crackle.Once done add the onion, ginger and green chilli and saute till onions turn soft and translucent. After the onions are soft add the cooked urad dal, turmeric powder, salt to taste, garam masala powder, coriander powder and stir well to combine. Taste and adjust the seasoning accordingly. Cover and cook for 3 to 4 minutes until the dal fluffs up a little bit more. Once done turn off the heat and mix in the juice of one lemon. Stir in the coriander leaves and transfer the Sukhi Urad Dal Recipe into a serving bowl and serve hot.Serve Sukhi Urad Dal Recipe with Phulkas, No Onion And No Garlic Aloo Gajar Matar Ki Sabzi Recipe and Lauki Raita Recipe for  lunch or dinner.
</t>
  </si>
  <si>
    <t>https://www.archanaskitchen.com/urad-ki-sukhi-dal-recipe</t>
  </si>
  <si>
    <t>Sprouted Moong and Methi Cheela Recipe - A Healthy Breakfast</t>
  </si>
  <si>
    <t>1 cup Green Moong Sprouts,1/2 cup White Urad Dal (Split) - soaked for 4 hours,2 Green Chillies,1 teaspoon Fennel seeds (Saunf),1 inch Ginger,1 cup Methi Leaves (Fenugreek Leaves) - finely chopped,Salt - to taste,1/4 teaspoon Turmeric powder (Haldi),Sunflower Oil - for cooking</t>
  </si>
  <si>
    <t xml:space="preserve">To begin making the Sprouted Moong and Methi Cheela, we need to keep the sprouts ready.You can either use store bought sprouts or make sprouts at home.To make sprouts at home, follow this recipe of How to make Sprouts at HomeIn a mixer jar combine moong sprouts, soaked and drained urad dal, green chilies, fennel seeds and ginger, grind to a smooth paste along with a little water. Transfer into a mixing bowl, mix in the finely chopped methi leaves, salt and turmeric powder. Check the salt and spice levels and adjust to suit your taste.The Sprouted Moong and Methi Cheela batter will be similar to the consistency of a dosa batter or pancake batter. The cheela batter should be able coat the back of the spoon.Preheat a skillet on medium heat, pour a ladleful of Sprouted Moong and Methi Cheela batter on the pan and spread it in a circular motion to form a thin cheela.Drizzle some oil around the cheela and cook it until the top does not look raw and you notice the edges are getting brown. Flip and cook on the other side for a few seconds.Once done, transfer the Sprouted Moong and Methi Cheela to a plate and proceed to make the cheela with the remaining batter.Serve the Sprouted Moong and Methi Cheela along with dhaniya pudina chutney, some fruits and Gulkand Chai Recipe - A Delicious Rose Flavored Indian Tea for Sunday breakfast.
</t>
  </si>
  <si>
    <t>http://www.archanaskitchen.com/sprouted-moong-and-methi-cheela-recipe-a-healthy-breakfast</t>
  </si>
  <si>
    <t>Barnyard Millet and Ragi Khichdi Recipe</t>
  </si>
  <si>
    <t>1/2 cup Barnyard Millet,1/4 cup Yellow Moong Dal (Split),1/4 cup Ragi Seeds,1 inch Ginger - grated,1 teaspoon Turmeric powder (Haldi),1 inch Cinnamon Stick (Dalchini),1 tablespoon Ghee,1/4 teaspoon Asafoetida (hing),1 teaspoon Whole Black Peppercorns - crushed,1 teaspoon Cumin seeds (Jeera)</t>
  </si>
  <si>
    <t xml:space="preserve">Note: The method below will result in a mushy texture of the Khichdi; you can adjust the consistency of the water to be cooked to the texture you like.To begin making the Barnyard Millet and Ragi Khichdi Recipe, soak the barnyard millet, the ragi and the dal together in water for at least 4 hours. Soaking the Ragi makes it cook faster.Once soaked,  place it in a pressure cooker. Add 3-1/2 cups of water, turmeric powder, ginger, salt and cinnamon and cook until you hear three to four whistles. Turn off the heat and allow the pressure to release naturally.Once the pressure releases, open the cooker and stir the Khichdi to combine all the ingredients and we will proceed to make the tadka.If you are planning to cook the Khichdi in a saucepan , then place the millet and dal in the saucepan, add the water, turmeric powder, ginger, salt and cinnamon and cook until the Khichdi is mushy. Once done, check the salt and adjust to suit your taste.For the seasoning of the Barnyard Millet and Ragi Khichdi, heat ghee a small tadka pan. Add the cumin seeds, crushed peppercorns and asafoetida. Stir for a few seconds and add it to the khichdi.Serve the Barnyard Millet and Ragi Khichdi along with Batata Nu Shaak (Aloo Tamatar Sabzi) for a warm wholesome weeknight dinner.
</t>
  </si>
  <si>
    <t>http://www.archanaskitchen.com/barnyard-millet-and-ragi-khichdi-recipe</t>
  </si>
  <si>
    <t>Hariyali Paneer Tikka Masala Gravy</t>
  </si>
  <si>
    <t>250 grams paneer - cut, 1 teaspoon fennel, 2 green chillies - finely chopped, 50 grams coriander leaves - finely chopped, 20 grams mint - finely chopped, 2 tomatoes - make puree, 1 inch ginger - finely chopped, 1 inch cinnamon, 2 cardamoms, 1/2 teaspoon garam masala powder, 1 bay leaf, 1/2 teaspoon chaat masala powder, 1/4 cup cream, salt - according to taste, 1 tablespoon butter - according to use</t>
  </si>
  <si>
    <t>"To make Hariyali Paneer Tikka Masala, first take fennel seeds, coriander, mint, ginger, green chillies in a blender and grind it with some water. Now heat butter in a pan. Add bay leaves, cinnamon, cardamom and cook for 15 seconds. Now add tomato puree and cook for 3 to 4 minutes. Now add ground masala, salt, all the spice powders and mix. Cover the pan and cook for 5 to 6 minutes. After 6 minutes add cream and cheese. Cook for another 2 to 3 minutes, turn off the gas and serve. Serve Hariyali Paneer Tikka Masala with Garlic Daal and Phulkas for lunch."</t>
  </si>
  <si>
    <t>https://www.archanaskitchen.com/hariyali-paneer-tikka-masala-gravy-recipe-no-onion-no-garlic-recipe-in-hindi</t>
  </si>
  <si>
    <t>Dhokla Sandwich With Capsicum And Paneer Recipe</t>
  </si>
  <si>
    <t>1 cup Poha (Flattened rice) - ground to powder,1 cup Curd (Dahi / Yogurt),1/2 cup Sooji (Semolina/ Rava),1/2 cup Gram flour (besan),1 Green Chilli - chopped,1 teaspoon Cumin seeds (Jeera),1 inch Ginger - chopped,1 teaspoon Enos fruit salt,Salt - to taste,Sunflower Oil,1 teaspoon Cumin seeds (Jeera),1 teaspoon Mustard seeds,1 sprig Curry leaves,1 pinch Asafoetida (hing),Sunflower Oil,1 Red Bell pepper (Capsicum) - chopped,1 Yellow Bell Pepper (Capsicum) - chopped,1 Green bell peppers - chopped,1 cup Paneer (Homemade Cottage Cheese) - crumbled,1/2 cup Green Chutney (Coriander &amp; Mint),2 tablespoons Red Chilli sauce</t>
  </si>
  <si>
    <t xml:space="preserve">To begin making the Dhokla Sandwich with Capsicum and Paneer Recipe, firstly prepare a steamer filled with water and grease the dhokla plates. Keep aside.Grind the poha to a smooth powder in a mixer grinder and keep it aside. In the same mixer, add green chillies, ginger and cumin seeds and grind to a coarse paste.Add this paste to a mixing bowl and combine all the other ingredients - semolina, powdered poha, besan, salt, Enos fruit salt and mix well.Add yogurt and enough water and mix to form a thick batter. Rest the batter for 15 minutes until you move on to chop ingredients for your stuffing. Pour the dhokla batter into the greased dhokla plates.Preheat a steamer with water and place the dhokla batter for steaming. Steam on high heat for about 10 minutes until a tester inserted in the center comes out clean.Once steamed, remove the Dhokla from the steamer and keep aside for 5 minutes. Set aside to cool down.Heat a pan with oil, add bell peppers and saute for 10 minutes until it softens. Later add crumbled paneer and keep sautéing until the paneer is cooked.Once that is done, you can add the mint and coriander chutney, red chili garlic sauce and check for salt. Stir well until the mixture is evenly coated with the masala. Set aside to cool.Cut the dhokla to triangles or rectangular shapes as you wish and flip it over. Heat a grilling pan, once the pan becomes hot drizzle some oil and place the dhokla to get the grilled marks on top.Flip the dhokla pieces and grill them on the other hand as well and take them out. Take two grilled pieces of dhokla and stuff them with the filling and place them on the serving plate. Do the same for the rest of the pieces.Heat oil in a pan; add in the mustard seeds, cumin seed, hing and curry leaves and allow it to crackle. Turn off heat and pour the seasoning over the dhokla and serve hot. Serve the Dhokla Sandwich with Capsicum And Paneer Recipe along with Apple Almond Date Smoothie or Masala Chai to make it a complete breakfast or you can serve it with a fruit bowl to enjoy your evening snack.
</t>
  </si>
  <si>
    <t>http://www.archanaskitchen.com/dhokla-sandwich-with-roasted-capsicum-paneer-recipe</t>
  </si>
  <si>
    <t>Phool Makhana Kheer Recipe - Sweetened With Jaggery</t>
  </si>
  <si>
    <t>1 liter Milk,1-1/4 cups Lotus Seeds,1/2 cup Jaggery - powdered,3 tablespoons Badam (Almond) - slivered,2 tablespoons Pistachios - slivered,1 teaspoon Cardamom Powder (Elaichi),2 teaspoons Dried rose petals - for garnish,1 tablespoon Ghee</t>
  </si>
  <si>
    <t xml:space="preserve">To begin making Phool Makhana Kheer Recipe, we will firstly roast the makhanas.Heat ghee in a heavy bottomed pan, add the makhanas and slow roast it till it turns golden and crisp. Keep it aside.Now, save a hand full of this roasted makhanas and pound the rest roughly using mortar and pestle. Pour milk into a heavy bottomed pan, bring it to a boil on medium heat. Boil the milk for 10 more minutes, till it becomes a little thicker.Now, add the pounded and whole roasted makhana's and mix well. Simmer this mixture for 5 minutes, till it becomes creamy and soft.After 5 minutes, add in the powdered jaggery, cardamom powder, mix well and simmer till the jaggery is melted and well incorporated into the kheer.Switch off the heat, garnish with silvered nuts, dried rose petals and the Phool Makhana Kheer Recipe (Sweetened With Jaggery) is ready to serve.Serve the Phool Makhana Kheer Recipe as a part of the Festive Menu this Diwali and let your guests rejoice in the festive spirits. You can also serve it as a dessert after your everyday meal of Paneer Butter Masala, Kachumber Salad and Tawa Paratha.
</t>
  </si>
  <si>
    <t>http://www.archanaskitchen.com/phool-makhana-kheer-recipe-sweetened-with-jaggery</t>
  </si>
  <si>
    <t>Cabbage Chana Dal Sabzi - Gobi Chana Dal Recipe</t>
  </si>
  <si>
    <t>3 cups Cabbage (Patta Gobi/ Muttaikose) - shredded,2 Green Chilli - slit,1/2 cup Chana dal (Bengal Gram Dal) - washed and soaked,2 sprig Curry leaves,1 teaspoon Sunflower Oil,1/2 teaspoon Cumin seeds (Jeera),1/2 teaspoon Mustard seeds,1/4 teaspoon Asafoetida (hing),1 teaspoon Turmeric powder (Haldi),Salt - to taste,1 teaspoon Kashmiri Red Chilli Powder,1 teaspoon Cumin powder (Jeera),1 teaspoon Garam masala powder</t>
  </si>
  <si>
    <t xml:space="preserve">To begin making the Cabbage Chana Dal Sabzi, we need to wash and soak the chana dal in hot water for about an hour. Heat a skillet with oil on medium flame, to this hot oil, add cumin seeds and mustard seeds and allow them to sizzle and splutter. Next add in the curry leaves, asafoetida and the soaked and drained chana dal. Add some water over the chana dal, cover and cook until the chana dal is well cooked.This will take about 15 minutes. Once the chana dal is cooked, open the lid, add the turmeric powder, kashmiri red chilli powder, cumin powder and garam masala powder. Give it a good mix, add the slit green chillies and the shredded cabbage, cover and cook. After about 5 minutes, check if the cabbage is cooked and has a slight crunch. If you wish, the cabbage to be softer, cook for a few more minutes and turn off the heat. Check the salt and other seasonings and adjust according to taste.Once done, transfer the Cabbage Chana Dal Sabzi to a serving bowl and serve hot.Serve Cabbage Chana Dal Sabzi along with Bajre Ki Roti Recipe, Yellow Pumpkin Dal Recipe, Steamed Brown Rice for a wholesome Indian diabetic lunch or dinner.
</t>
  </si>
  <si>
    <t>https://www.archanaskitchen.com/cabbage-chana-dal-sabzi-gobi-chana-dal-recipe</t>
  </si>
  <si>
    <t>Paneer Jalfrezi Recipe</t>
  </si>
  <si>
    <t>250 grams Paneer (Homemade Cottage Cheese),1 Onion - diced,1 Red Bell pepper (Capsicum) - diced,1 Green Bell Pepper (Capsicum) - diced,2 Carrots (Gajjar) - diced thin,1 inch Ginger - grated,2 cloves Garlic - grated,1 Tomato - diced,1 cup Homemade tomato puree,1 teaspoon Honey,1/2 teaspoon Turmeric powder (Haldi),1 teaspoon Garam masala powder,1 teaspoon Coriander Powder (Dhania),1 Stalk Coriander (Dhania) Leaves - finely chopped,1 tablespoon Butter - softened</t>
  </si>
  <si>
    <t xml:space="preserve">To begin making the Paneer Jalfrezi Recipe, first make your  Paneer, Tomato Puree and the remaining vegetables cut and ready.Heat oil in a cooking vessel. Once hot, add cumin seeds and allow them to splutter. Add sliced onions and saute for 5 minutes.Heat oil in a heavy bottomed cooking pan or a Kadai, heat a teaspoon of oil. Add the onions, ginger, garlic, bell peppers and carrots and stir fry on medium heat until they are lightly softened.Next add the tomatoes, the tomato puree, turmeric powder, garam masala powder, coriander powder, salt, red chili powder. Stir-fry the paneer jalfrezi for 4 to 5 minutes, until you notice a thick gravy has formed and all the spices have been absorbed well into the vegetables.  Finally add the honey, the paneer and stir it in the masala. Check the salt and spice levels of the Paneer Jalfrezi and adjust to suit your taste. Give the Jalfrezi a simmer for 3 to 4 minutes and turn off the heat.Transfer to a serving bowl and serve the Paneer Jalfrezi along with Raita for a weeknight dinner.
</t>
  </si>
  <si>
    <t>https://www.archanaskitchen.com/paneer-jalfrezi-recipe</t>
  </si>
  <si>
    <t>Soya And Spinach Curry Recipe</t>
  </si>
  <si>
    <t>2 Stalks Spinach Leaves (Palak) - roughly chopped,100 grams Soy Chunks (Nuggets),1 cup Tomatoes - chopped,1/2 cup Onion - chopped,2 cloves Garlic - finely chopped,1 inch Ginger - finely chopped,1-2 Green Chillies - slit lengthwise,1 tablespoon Bajra Flour ( Pearl Millet),1 tablespoon Curd (Dahi / Yogurt) - whisked,Salt - as per taste,2 Garlic - thinly sliced,3 Dry Red Chillies,1 tablespoon Sunflower Oil</t>
  </si>
  <si>
    <t>To make "Soya Palak Curry Recipe, first of all heat water in a saucepan. Add some salt and soya in it. Boil soya and cook till it becomes soft. Drain water from soya well and keep both water and soya separately. Now heat oil in a pan. Add onion, ginger, garlic, green chili and cook till onion becomes soft. After onion becomes soft, add tomato, salt, black pepper, spinach. Cover the pan and cook till spinach and tomato become soft. Turn off the gas and let this mixture cool down. After cooling down, put this mixture in a mixer grinder along with millet flour and grind it. Now heat oil in a pan. Add grinded spinach puree and soya in it. Add salt, 1/2 cup soya water and 1 tablespoon curd. Mix and let it cook for 5 to 7 minutes. After cooking, take it out in a bowl. Now for tempering, heat 1 tablespoon oil in a tempering pan. Add garlic in it And cook till it turns brown. After it turns brown add dried red chillies and cook for 10 seconds. Turn off the gas and pour this tempering into the gravy and mix it. Serve hot. Serve Soya Palak Curry with Tawa Paratha, Boondi Raita and Satvik Carrot Sprouts Salad for lunch.</t>
  </si>
  <si>
    <t>http://www.archanaskitchen.com/green-soya-and-spinach-curry-recipe-in-hindi</t>
  </si>
  <si>
    <t>Punjabi Garam Masala Powder Recipe</t>
  </si>
  <si>
    <t>50 Grams Cumin seeds (Jeera),50 Grams Cardamom (Elaichi) Pods/Seeds,30 Grams Coriander (Dhania) Seeds,30 Grams Whole Black Peppercorns,20 Grams Fennel seeds (Saunf),10 Grams Cinnamon Stick (Dalchini),10 Grams Cloves (Laung),10 Grams Bay leaves (tej patta),10 Grams Dry ginger powder,2 Nutmeg - whole nutmeg</t>
  </si>
  <si>
    <t xml:space="preserve">To begin making the Punjabi Garam Masala Powder Recipe, we will first get all the ingredients together and ready.Preheat a skillet on medium heat and roast all the ingredients together except the ginger powder, on low to medium heat until you can smell the aromas coming through.Make sure you keep stirring continuously, so the spices don't get burnt. Once the spices are roasted well (about 4 to 5 minutes), turn off the heat and allow it to cool.Once the spices are cooled down, using a Food Grinder, make a fine powder of the spices. The Punjabi Garam Masala Powder is now ready. Store the Garam Masala in an airtight glass jar and use as and when required. For longer shelf like, you can freeze the bottle and use it as desired.
</t>
  </si>
  <si>
    <t>https://www.archanaskitchen.com/indian-garam-masala-powder-recipe</t>
  </si>
  <si>
    <t>Aloo Bhajia Recipe - Potato Bajji</t>
  </si>
  <si>
    <t>4 Potato (Aloo),1/2 cup Gram flour (besan),2 tablespoon All Purpose Flour (Maida),2 teaspoon Red Chilli powder,1/2 teaspoon Ajwain (Carom seeds),Salt - to taste,Sunflower Oil - as required</t>
  </si>
  <si>
    <t xml:space="preserve">To begin making Aloo Bajia, wash and peel the potatoes.  Cut them into thin slices and immerse them in a bowl of  water till you prepare the batter for the bajia.Heat the oil in a kadai on medium flame.To make the bajji batterIn a mixing bowl, combine besan flour, maida, red chilli powder, ajwain and salt along with 1/3 cup of water. Mix well to a make a smooth batter.  Add a tablespoon of hot oil to this and mix it well. This step will ensure the bajias are crisp.Add few slices of potatoes to the batter and make sure the potatoes are covered with the batter.Once the oil is hot, pick up each potato slice from the batter, remove excess batter and drop them carefully into the oil.Fry them on both sides till it is golden in colour.Drain them and put them on kitchen towel to remove excess oil.Transfer the fried bajias to a serving plate and serve.Serve the Aloo Bajjia along with Green Chutney and Masala Chai Recipe as a tea time snack.
</t>
  </si>
  <si>
    <t>https://www.archanaskitchen.com/aloo-bajia-potato-bajji-recipe</t>
  </si>
  <si>
    <t>Spicy Minced Chicken Keema Balls Curry Recipe</t>
  </si>
  <si>
    <t>250 grams Chicken - boneless and minced (cleaned and washed),1 Onion - sliced,1 teaspoon Ginger Garlic Paste,5 Coriander (Dhania) Leaves,6 Cashew nuts,3 Green Chillies,1 Whole Eggs,Salt - as required,1 tablespoon Sunflower Oil,2 Onions - finely sliced,1 Tomato - finely chopped,5 Mint Leaves (Pudina) - chopped,1 teaspoon Turmeric powder (Haldi),1 teaspoon Ginger Garlic Paste,1 teaspoon Red Chilli powder - (adjust according to your choice),1 teaspoon Garam masala powder,1/4 teaspoon Black pepper powder,Salt - as required,1 teaspoon Lemon juice,5 sprig Coriander (Dhania) Leaves - finely chopped to garnish</t>
  </si>
  <si>
    <t xml:space="preserve">To begin making the Keema Balls Recipe, we will first make the Keema Balls. To make the keema balls, in a mixer-jar, combine, boneless chicken pieces along with fresh coriander leaves, green chillies, ginger garlic paste, cashew nuts, egg yolk, and salt and grind it to smooth paste in a grinder. Transfer the keema mixture into a bowl and shape the keema into lemon sized balls.Heat oil in a kadai, on medium flame, deep fry the keema balls in the hot oil until it turns into a nice brown colour.  Drain on absorbent paper and set aside.  For the masalaIn a pan heat oil on medium flame, add the onions and fry until it turns golden brown. This will take a good 4-5 minutes. Once the onions turn brown, add ginger garlic paste and fry until the raw smell goes off.Add chili powder, turmeric powder, garam masala powder, pepper powder, a pinch of salt and continue to cook. Now that the onions and the masalas have come together, add chopped tomatoes, and cook till they turned mushy. Add the prepared keema balls, sprinkle some water and cover and cook for 5 minutes. Turn off the flame, add  lemon juice and chopped coriander leaves to garnish. You will have a semi-gravy for the Keema Balls RecipeServe Keema Balls Recipe along with phulkas or whole wheat lachha paratha for a weeknight dinner. 
</t>
  </si>
  <si>
    <t>https://www.archanaskitchen.com/spicy-minced-chicken-keema-balls-curry-recipe</t>
  </si>
  <si>
    <t>Kesar Paneer Ki Kheer Recipe - Cottage Cheese Milk Pudding</t>
  </si>
  <si>
    <t>1 liter Milk,1 cup Paneer (Homemade Cottage Cheese) - crumbled,15 Saffron strands,1/4 cup Sugar,1/2 teaspoon Cardamom Powder (Elaichi),4 Badam (Almond) - pound,4 Pistachios - pound,1 Edible Silver Foil/Leaf (Chandi Ka Vark) - for garnishing</t>
  </si>
  <si>
    <t xml:space="preserve">To begin making the Paneer Ki Kheer Recipe, heat the milk in a heavy bottomed pan and bring the milk to a boil. Once the milk comes to a boil, turn the heat to low and start condensing the milk until it becomes half its quality.This process of condensing the milk will take about 25 to 30 minutes on medium heat.After about 25 to 30 minutes, when the milk has condensed to half its quantity, add the saffron strands, sugar, cardamom and the crumbled chenna.Simmer Paneer Ki Kheer until it has thickened to a desired consistency, about 5 minutes. Once done, turn off the heat.Transfer the Paneer Ki Kheer in the serving bowl, garnish with almond and pistachio and silver leaf.Serve Kesar Paneer Ki Kheer as a dessert after your everyday meal of Jodhpuri Aloo, Ajwain Puri, Boondi Raita and Satvik Carrot Sprout Salad.
</t>
  </si>
  <si>
    <t>https://www.archanaskitchen.com/apple-mawa-kheer-recipe</t>
  </si>
  <si>
    <t>Hara Bhara Kebab Recipe with Millets</t>
  </si>
  <si>
    <t>1/4 cup Green peas (Matar) - steamed,8 sprig Mint Leaves (Pudina),1 inch Ginger - grated,1 Green Chilli,1 cup Barnyard Millet - cooked (you can use either bajra or foxtail or any other local millet),2 Potatoes (Aloo) - boiled and mashed,50 grams Paneer (Homemade Cottage Cheese),2 tablespoons Gram flour (besan),1 Onion - finely chopped,1 teaspoon Chaat Masala Powder,1/2 teaspoon Garam masala powder,Salt - to taste,Sunflower Oil - for cooking</t>
  </si>
  <si>
    <t xml:space="preserve">To begin making the Hara Bhara Kebab Recipe with Millets, we will first make sure we have all the ingredients needed to make these kebabs ready. This includes the boiled and mashed potatoes, paneer and the cooked millets.Note that different types of millets have varied cooking times. So take your time to cook them and have the millets ready with a grainy texture.Our next step is to process the first set of ingredients in a Food Processor. Add the green peas, mint, ginger and green chilli into the processor and blend to get a coarse paste.Transfer this to a large mixing bowl, add the remaining ingredients into the bowl, except the oil. Mix well to combine all the ingredients. Check the salt and spice levels and adjust to suit your taste.Once combined well, shape the kebabs into circular discs and keep them aside.The next step is to cook the kebabs. Grease and preheat a pan on medium-high heat. Place the shaped Hara Bhara Kebabs with Millet onto the pan.Drizzle a bit of oil over each kebab and cook until the kebabs are evenly browned on both sides.Serve the Hara Bhara Kebabs with Millet along with Green Chutney with a cup of Masala Chai. for an evening snack.
</t>
  </si>
  <si>
    <t>http://www.archanaskitchen.com/hara-bhara-kebab-recipe-with-millets</t>
  </si>
  <si>
    <t>Masoor Dal Makhani Recipe</t>
  </si>
  <si>
    <t>1 cup lentils, 1 onion - finely chopped, 1 tomato, 6 long garlic, 2 inch ginger, 1 bay leaf, 2 cloves, 1 teaspoon cumin seeds, 1 cinnamon stick, 2 teaspoon garam masala powder, 1 teaspoon red chili powder, 2 teaspoon coriander powder, 2 tablespoons ghee, 2 teaspoon cream, salt - according to taste</t>
  </si>
  <si>
    <t>"To make Masoor Dal Makhani recipe, first wash the masoor dal thoroughly. Soak the masoor dal for 30 minutes. Heat ghee in a pressure cooker. Add cinnamon, cloves, cumin seeds and let them crackle. Add onions and cook till they turn brown. Grind ginger and garlic in a mortar and pestle. Add this mixture to the onions and cook for 3 to 4 minutes. Add tomatoes, coriander powder, red chili powder, garam masala powder and cook till the tomatoes turn soft. Add masoor dal and cook for 30 seconds. Add water, salt to taste and close the cooker. Cook till 4 to 5 whistles and let the pressure release automatically. Open the cooker, mix and serve. Serve Masoor Dal Makhani recipe with Onion Bhindi, Bottle Gourd Raita and Phulkas for lunch."</t>
  </si>
  <si>
    <t>https://www.archanaskitchen.com/masoor-dal-makhni-recipe-in-hindi</t>
  </si>
  <si>
    <t>Kaju Pista Roll Recipe - Cashew Nut Pistachio Fudge</t>
  </si>
  <si>
    <t>1 cup Cashew nuts,1 cup Pistachios,3/4 cup Condensed Milk - sweetened,2 teaspoon Ghee,2 tablespoons Milk Powder,1/2 cup Sugar - powdered,1 teaspoon Rose water,1 teaspoon Cardamom Powder (Elaichi)</t>
  </si>
  <si>
    <t xml:space="preserve">To begin making the Kaju Pista Roll Recipe (Cashew Nut Pistachio Fudge), first grind the cashews and pistachios separately into fine powder.In a thick n heavy bottomed pan add the ghee, condensed milk and powdered cashews. Stir well to combine.Add milk powder, rose water &amp; start cooking this mixture on a medium heat until it starts to leave the sides of the pan &amp; forms soft dough. Keep stirring continuously to avoid any burning at the bottom of the pan. This might take 10 to 12 minutes. Now turn off the heat and transfer this on to a plate to cool.Meanwhile in a bowl take the powdered pistachios and combined it along with powdered sugar, cardamom powder and make it into a soft dough by adding little water at a time. Knead to make a soft dough, just enough for it to come together. Try not to over knead, as it will get softer and will release oils.The final step to make the Kaju Pista Roll is to shape it.Take a rolling board and spread a parchment over it. Place the kaju dough over the parchment paper and place another parchment paper over it. Using a rolling pin roll the kaju into a rectangular sheet.Remove the parchment paper covering the kaju and spread the pista mixture over the rolled kaju.Cut the whole sheet into 2 inch wide strips enough to make a Kaju pista roll. Roll each strip into a log. Proceed the same way to make the kaju pista rolls.
</t>
  </si>
  <si>
    <t>http://www.archanaskitchen.com/kaju-pista-roll-recipe-cashew-nut-pistachio-fudge</t>
  </si>
  <si>
    <t>Kolhapuri Palak Egg Curry Recipe</t>
  </si>
  <si>
    <t>4 eggs - boiled and chopped, 1 tsp cumin seeds, 1 bay leaf, 2 cloves, 3 dried red chillies, 1 tsp turmeric powder, 2 tbsp garam masala powder, 2 tbsp khus khus, 4 tbsp coconut - grated, 2 tomatoes - chopped, 1 cup spinach, salt - according to taste, oil, 2 onions - chopped, 1 inch ginger - chopped, 4 cloves garlic - chopped, 2 green chillies - chopped, 10 almonds</t>
  </si>
  <si>
    <t>"To make Kolhapuri Palak Egg Curry recipe, first of all, put water in a saucepan to boil as per the requirement. When the water boils, add eggs and boil for 12 to 15 minutes. Remove the eggs and keep them aside to cool. Now peel them and cut them in half. Keep them aside. In a mixer grinder, put onion, ginger, garlic, green chillies, almonds, some water and make a paste. Keep them aside. Now heat oil in a pan. Add cumin seeds, cloves, bay leaves, dry red chillies and let the cumin seeds crackle. After the cumin seeds crackle, add the ground masala and cook for 3 to 4 minutes. Now add khus khus, coconut and let it cook for 15 minutes. After 15 minutes add tomatoes, salt, turmeric powder and mix well. After the tomatoes become soft, add spinach, garam masala powder and mix. Reduce the flame of the gas and cook for 10 minutes Take it. Turn off the gas and let this mixture cool down. After it cools down put it in a mixer grinder and grind it. Take another pan and heat oil in it. Put eggs in it and roast them from both the sides. After roasting, take them out and keep them aside. Add grinded spinach mixture in it and let it cook for 4 to 5 minutes. Add salt, eggs, mix and serve. Serve Kolhapuri Palak Egg Curry Recipe with Tawa Paratha and Burani Raita for your everyday meal. "</t>
  </si>
  <si>
    <t>https://www.archanaskitchen.com/kolhapuri-palak-egg-curry-recipe-in-hindi</t>
  </si>
  <si>
    <t>Cabbage Capsicum Sabzi Recipe - Simla Mirch Patta Gobi Sabzi</t>
  </si>
  <si>
    <t>3 cups Cabbage (Patta Gobi/ Muttaikose) - thinly sliced,1 Green Bell Pepper (Capsicum) - thinly sliced,1 teaspoon Sunflower Oil,1 teaspoon Mustard seeds,1 teaspoon Cumin seeds (Jeera),2 Dry Red Chillies,Asafoetida (hing) - a pinch,1/4 teaspoon Turmeric powder (Haldi),1 teaspoon Coriander Powder (Dhania),1/4 teaspoon Red Chilli powder,Salt - as per your taste,1 teaspoon Lemon juice</t>
  </si>
  <si>
    <t xml:space="preserve">To begin making Cabbage Capsicum Sabzi Recipe, we have to prep the vegetables and keep asidePressure cook the cabbage along with 2 tablespoons water and salt for 1 whistles, turn off the heat.  Release the pressure immediately. Open the lid and keep aside. Place a pan on medium heat and add some oil.Once the oil is hot, add mustard seeds and cumin seeds. Once they splutters, add asafoetida, turmeric powder and dry chillies to it.Saute for a minute in low flame. Next add the capsicum and stir until the capsicum is soft.Once the capsicum is soft add the cooked cabbage to the pan. Next add the spices to the cabbage capsicum sabzi - coriander powder, chilli powder and salt as per your taste. Mix the Cabbage Capsicum Sabzi, keep the lid covered for 2 minutes and then turn off the flame. Squeeze lemon juice on top and garnish the Cabbage Capsicum Sabzi with Coriander leaves.Transfer the Cabbage and Capsicum Sabzi to a serving bowl and serve hot. Serve Cabbage  Capsicum Sabzi as a side dish along with Raw Papaya Mor Kootu Recipe - Ayurvedic No Onion No Garlic Recipe and steamed rice for a satvik meal.
</t>
  </si>
  <si>
    <t>https://www.archanaskitchen.com/cabbage-capsicum-sabzi-recipe-simla-mirch-patta-gobi-sabzi</t>
  </si>
  <si>
    <t>Beetroot &amp; Sesame Thepla Recipe</t>
  </si>
  <si>
    <t>1 Beetroot - grated,2 cups Whole Wheat Flour,1 teaspoon Cumin powder (Jeera),1 teaspoon Amchur (Dry Mango Powder),1 teaspoon Garam masala powder,1 teaspoon Red Chilli powder,3 Green Chillies,1 teaspoon Ghee,3 teaspoon Sesame seeds (Til seeds),Salt - to taste,Chilled water - as needed</t>
  </si>
  <si>
    <t xml:space="preserve">To begin making the Beetroot &amp; Sesame Thepla Recipe, wash and peel the beetroot skin. Grate the vegetable finely.Take a mixing bowl and add the grated beetroot. Add all the masala powder, salt and ghee. Mix all the ingredients.Add whole wheat flour into the mixing bowl and knead it to a smooth dough with enough water.Take a small portion of the wheat flour dough and flatten it using a rolling pin into form a flat round dough.Heat the Tawa to medium heat &amp; add the thepla on the hot tawa.Cook the beetroot thepla for about a minute &amp; then flip and cook on the other side for a minute or till done.Apply butter or oil as needed to grease it while cooking.Serve the Beetroot &amp; Sesame Thepla Recipe along with a Besan Kela Subzi, Gujarati Dal, and salad by the side to make it a nutritious meal.
</t>
  </si>
  <si>
    <t>http://www.archanaskitchen.com/beetroot-sesame-thepla-recipe</t>
  </si>
  <si>
    <t>Mutton Keema Recipe</t>
  </si>
  <si>
    <t>2 cup Mutton - minced,Sunflower Oil - as required,1 teaspoon Cumin seeds (Jeera),2 Bay leaves (tej patta),1 teaspoon Whole Black Peppercorns,5 Cardamom (Elaichi) Pods/Seeds,3 Onion - finely chopped,2 tablespoons Ginger Garlic Paste,2 Green Chillies - finely chopped,3 Tomatoes - finely chopped,1-1/2 teaspoon Coriander Powder (Dhania) - chopped,1 tablespoon Kashmiri Red Chilli Powder,1/2 teaspoon Cumin powder (Jeera),Salt - as required,1/2 teaspoon Garam masala powder,Mint Leaves (Pudina) - chopped</t>
  </si>
  <si>
    <t xml:space="preserve">To begin making the Mutton Keema recipe, Heat oil in a wide pan and add cumin seeds, bay leaves, peppercorns and cardamoms.Add the chopped onions and saute them till they turn brown in colour.Add garlic and ginger paste, green chillies, tomato puree and mix everything well.Let it cook for about 5 minutes on medium flame. Once it is done, add coriander powder, red chilli powder, cumin powder and salt.Cook for about 5-8 minutes on low flame. After 5-8 minutes, add the minced mutton and salute it for about 2-3 minutes. Add required water and cook till it gets dry.Once the mutton is cooked, switch off the stove and add garam masala. Mix well and garnish it with mint leaves.In Maharashtra, this Mutton Keema is served with pav. You can also serve it with Phulkas or Pakki Mutton Biryani.
</t>
  </si>
  <si>
    <t>http://www.archanaskitchen.com/mutton-keema-recipe</t>
  </si>
  <si>
    <t>Dhaniya Pudina Chicken Tikka Recipe</t>
  </si>
  <si>
    <t>250 gms chicken - cut, 2 tsp lemon juice, Chat masala powder - as per requirement, Oil - as per requirement, 5 sprigs coriander leaves, 3 sprigs mint, 2 tbsp hung curd, 2 green chillies, 1/2 tsp ginger - grated, 4 cloves garlic, Salt - as per taste</t>
  </si>
  <si>
    <t>"To make Dhaniya Pudina Chicken Tikka recipe, first of all clean and wash the chicken. Chop it into small pieces and pierce it with the help of a fork. Keep it aside. To make marination masala, add coriander leaves, mint, hung curd, green chilies, ginger, garlic, salt in a mixer grinder and make a paste. Add chicken to it and mix well. Keep it in the fridge for 1 hour. Now heat oil in a grill pan. Add marinated chicken to it and mix well. Cook well from all sides. A light brown layer will start appearing on the chicken and the chicken will also become soft. After cooking, take it out in a bowl, add chaat masala, lemon juice and mix well. Serve Dhaniya Pudina Chicken Tikka recipe with Dahi Pudina Chutney and Vinegar Wala Onion for your house parties."</t>
  </si>
  <si>
    <t>https://www.archanaskitchen.com/dhaniya-pudina-chicken-tikka-recipe</t>
  </si>
  <si>
    <t>Oats and Green Moong Dal Dahi Vada Recipe</t>
  </si>
  <si>
    <t>1 cup Green Moong Dal (Whole),1/2 cup White Urad Dal (Whole),1/2 cup Instant Oats (Oatmeal) - roasted,1 teaspoon Baking soda,Salt - to taste,1 cup Curd (Dahi / Yogurt),2 tablespoon Sugar,Water - as required,1 teaspoon Red Chilli powder,1 teaspoon Coriander Powder (Dhania),4 tablespoon Green Moong Sprouts</t>
  </si>
  <si>
    <t xml:space="preserve">We begin making Oats and Green Moong Dal Dahi Vada by soaking the black moong dal and urad dal in water for about 8 hours or overnight.Once that is done grind both dals in the mixer to a smooth paste. You can add the roasted oats to the batter and leave it to rest till you make the dahi mixture.Mix the curd/dahi and water in a bowl, add sugar and whisk it well to a smooth consistency. Leave it in the refrigerator.Next to fry the vada, heat a Kuzhi Paniyaram Pan, take out the batter add salt and baking soda to it and mix well.Add oil and drop in a tablespoon of the dahi vada batter in each of the holes and cover.Let it cook for about 2 minutes and flip it over. Then cook again for about 2 more minutes till it crisps up.Once done take them out and drop it in the dahi mixture and refrigerate for about 20 minutes before serving.To serve, add tamarind &amp; dates chutney and dhaniya pudina chutney on top along with some chaat powder Serve Oats and Green Moong Dal Dahi Vada Recipe as a starter or as a snack for any festive occasion like Holi or at a Chaat Party along with Bhel Puri, Pani Puri and Sev Puri
</t>
  </si>
  <si>
    <t>https://www.archanaskitchen.com/oats-and-black-moong-dal-dahi-vada-recipe</t>
  </si>
  <si>
    <t>Hariyali Chicken Tikka Wrap Recipe</t>
  </si>
  <si>
    <t>2 Whole Wheat Tawa Paratha,1 Onion - sliced,2 tablespoon Lahsun Ki Chutney (Red Garlic Chutney),300 grams Chicken breasts - cut into small pieces,1 teaspoon Red Chilli powder,1/2 teaspoon Turmeric powder (Haldi),2 teaspoon Garam masala powder,1 teaspoon Amchur (Dry Mango Powder),1 teaspoon Cumin powder (Jeera),1/4 cup Curd (Dahi / Yogurt),Salt - to taste,1 cup Coriander (Dhania) Leaves,1 cup Mint Leaves (Pudina),1 Green Chilli</t>
  </si>
  <si>
    <t xml:space="preserve">To begin making the Hariyali Chicken Tikka Recipe, thoroughly wash and clean the chicken. Then cut them into 1 inch cubes and set aside. For the Hariyali Tikka MarinadeIn a mixer-jar combine coriander leaves, mint leaves, green chilli and grind to a smooth paste.Transfer the marinade to a mixing bowl, and add the curd along with red chilli powder, turmeric powder, garam masala powder,  amchur powder, salt and cumin powder. Mix well and add the chicken pieces to it. Set aside for about 1 hour.Heat a grill pan on medium heat, drizzle some oil, place  the marinated chicken pieces and grill evenly on either side till you gets nicely roasted . The chicken will take about 10 minutes to cook.To assemble the wrap, we need to keep our Tawa Paratha ready.  Alternatively you can also make a healthier version of the paratha by making the Ragi Tawa Paratha or choose a spiced up option like Pudina Tawa Paratha RecipeLearn how to make Lahsun ki Chutney , that is required to be spread on the wrap. Place the tawa paratha on a rolling pin, spread lahsun ki chutney first and arrange Pickled Onions, place the chicken pieces to one side of the paratha . Start rolling them tightly and wrap it using a foil and serve.Serve the Hariyali Chicken Tikka Wrap along with a snack along with glass of Mulled Apple Juice Recipe or a Chickoo Banana Date Smoothie Recipe by the side. 
</t>
  </si>
  <si>
    <t>http://www.archanaskitchen.com/hariyali-chicken-tikka-wrap-recipe</t>
  </si>
  <si>
    <t>Oats and Rajma Cutlet Recipe</t>
  </si>
  <si>
    <t>1 cup Rajma (Large Kidney Beans) - soaked and pressure cooked,1 cup Paneer (Homemade Cottage Cheese) - crumbled,80 grams Rolled Oats Or Instant Oats,2 Green Chillies - finely chopped,1 inch Ginger - grated,3 cloves Garlic - grated,1/2 teaspoon Garam masala powder,1/2 teaspoon Fennel seeds (Saunf) - powdered,4 sprig Coriander (Dhania) Leaves - finely chopped,Salt - to taste,Sunflower Oil - as required,2 Egg whites - whisked,1 cup Whole Wheat Bread crumbs - for coating (extra)</t>
  </si>
  <si>
    <t xml:space="preserve">To begin making the Oats and Rajma Cutlet Recipe, first soak the rajma for at least 8 hours. Once soaked, pressure-cook the rajma along with salt until very soft. Once cooked, drain the excess water.In a large mixing bowl, add the rajma and mash it well using a potato masher or a pulse it in a food processor. Add the paneer, saffola classic masala oats and the remaining ingredients and mix well. Check the salt and adjust to suit your taste.Once done, shape the rajma cutlet mixture into small round discs. Dip the cutlets into the egg white mixture and then rolls the cutlets in the breadcrumb mixture.Preheat a skillet over medium heat and cook the Oats and rajma cutlets on both sides. Drizzle a teaspoon of oil and cook until browned and crisp. Remove onto oil absorbent paper and serve hot.Serve Rajma Cutlets as starters at your next party along with Mumbai Style Tawa Pulao Recipe With Moong Sprouts, Paneer Pasanda and Kesar Paneer Ki Kheer.
</t>
  </si>
  <si>
    <t>https://www.archanaskitchen.com/oats-and-rajma-cutlet-recipe-a-delicious-tea-time-snack</t>
  </si>
  <si>
    <t>Dum Ke Shami Kebab Recipe</t>
  </si>
  <si>
    <t>500 grams Mutton,1/4 cup Chana dal (Bengal Gram Dal),4 Whole Black Peppercorns - crushed,3 Kababchini (Tailed pepper) - crushed,1/2 teaspoon Cumin seeds (Jeera),1 tablespoon Ginger Garlic Paste,2 Onions - finely chopped,1/4 cup Coriander (Dhania) Leaves - chopped,Sunflower Oil - to shallow fry,1 Whole Egg - beaten,Charcoal - for dum,1 teaspoon Red Chilli powder - (adjust to taste),Salt - to taste,1/2 teaspoon Cumin powder (Jeera) - 14 cumin powder 1 tsp,1 tablespoon Raw papaya - chopped</t>
  </si>
  <si>
    <t xml:space="preserve">To begin making Dum Ke Shami Kebab Recipe, mix all the spices including black peppercorns, kababchini, cumin seeds, ginger garlic paste, red chilli powder, salt, cumin powder, raw papaya with mutton in a large mixing bowl and marinate for about 30 minutes.Mix the meat mixture with Chana dal, add about half cup water and cook in press cooker for 20 minutes or till the mutton is cooked.Open the lid of the pressure cooker &amp; cook till all the water is evaporated.Once the mutton is all cooked, mince the meat finely.Add chopped onions, coriander and egg to the cooked minced meat and make small kebabs.Heat a shallow frying pan with a little oil to shallow fry. Shallow fry the Shaami kebabs on medium heat till the outer layer is golden and crisp.Once the kebabs are prepared, heat a few coal pieces till the coal is red hot.Drain any leftover oil in the shallow frying pan, keep a steel cup in the middle, arrange all the kebabs in the pan around the cup. Add the red hot smoking coal pieces in the cup and close the lid of the pan. Wait for 2 minutes.Serve Dum Ke Shami Kebab Recipe alongside chopped tomato and onion slices with Dhaniya Pudina Chutney Recipe (Green Chutney) or Homemade Red Chilli Garlic Sauce Recipe.
</t>
  </si>
  <si>
    <t>https://www.archanaskitchen.com/dum-ke-shami-kebab-recipe</t>
  </si>
  <si>
    <t>Pudina Chutney</t>
  </si>
  <si>
    <t>2 cups mint - wash, 1/3 cup coconut - grate, 1 tsp coriander seeds, 3 dried red chillies, 2 tsp tamarind paste, 2 tsp white urad dal, 1/2 tbsp jaggery, 1/4 tsp turmeric powder, salt - according to taste, 1 tsp oil, 1/2 tsp mustard seeds, 1 tsp white urad dal, 2 dried red chillies, 1/4 tsp asafoetida, 5 to 6 curry leaves</t>
  </si>
  <si>
    <t>"To make Pudina Chutney, first wash the mint leaves thoroughly. Keep them aside in a kitchen towel to dry. Now heat oil in a pan, add coriander seeds, urad dal, dried red chillies, coconut, turmeric powder and mint. Now put this mixture in the grinder, add tamarind, salt and jaggery. Add some water and grind it. Take it out in a serving bowl. Now for the Tadka, heat oil in a small pan. Add mustard seeds, urad dal, dried red chillies, asafoetida and curry leaves. Pour this tempering over the chutney and mix it. Serve Pudina Chutney with Onion or Mirchi Pakodas along with Evening Masala Chai."</t>
  </si>
  <si>
    <t>https://www.archanaskitchen.com/pudina-chutney-recipe-in-hindi</t>
  </si>
  <si>
    <t>1 cup tur dal, 2 tbsp raw mango - grated, 1/2 tsp turmeric powder, 1/2 tsp red chilli powder, 1 tomato - chopped, 2 green chillies - sliced ​​thinly and straight, 1 sprig curry leaves, 1 onion - chopped, 2 dried red chillies, 4 cloves garlic - grated, salt - according to taste, 1 tsp ghee - for tempering</t>
  </si>
  <si>
    <t>"To make Raw Mango Dal Fry recipe, first prepare all the ingredients. In a pressure cooker add dal, salt, red chili powder, turmeric powder, green chilies, tomatoes, raw mango and 2 cups of water. Mix well and close the cooker. Cook till 3 to 4 whistles. Turn off the gas and let the pressure release automatically. Open the cooker, mix well and keep aside. Now heat ghee in a pan. Add dry red chilies, onion and cook till the onion becomes soft. Now add garlic, curry leaves and cook for 1 minute. Now add dal mixture and cook for 5 to 7 minutes. Turn off the gas and serve. Serve Raw Mango Dal Fry recipe with Bhindi Masala, Phulka and Lauki Raita for lunch. "</t>
  </si>
  <si>
    <t>http://www.archanaskitchen.com/raw-mango-dal-fry-recipe-in-hindi</t>
  </si>
  <si>
    <t>Mushroom Do Pyaza Recipe</t>
  </si>
  <si>
    <t>500 grams Button mushrooms,1 Onion - cut into cubes,1 Onion - finely chopped,1 Tomato - finely chopped,1 inch Ginger - chopped,4 cloves Garlic - chopped,1 Green Chilli - slit,1 teaspoon Red Chilli powder,1/4 teaspoon Turmeric powder (Haldi),2 teaspoons Coriander Powder (Dhania),1 teaspoon Cumin powder (Jeera),1 teaspoon Garam masala powder,Salt - to taste,Sunflower Oil</t>
  </si>
  <si>
    <t xml:space="preserve">To begin making the Mushroom Do Pyaza Recipe, heat a kadai with oil, first add cubed onions and capsicum and saute until they turn soft and caramelized. Take them out and keep it aside.Add ginger and garlic, allow it to soften. Once done add chopped onions and cook till they turn translucent.Add chopped tomatoes and sprinkle with little salt so that the tomatoes become mushy and soft.At this point you can add all the spice powders including red chilli powder, turmeric powder, coriander powder, cumin powder, garam masala powder, salt and saute well.Add chopped mushrooms and cook until the water is all evaporated. Check for salt and add if required.Add sautéed onions and bell peppers at the end and mix well. Cook until the mixture becomes semi dry.Serve the Mushroom Do Pyaza Recipe along with Tawa Paratha or Phulka and Palak Dal to make it a complete meal.
</t>
  </si>
  <si>
    <t>http://www.archanaskitchen.com/mushroom-do-pyaza-recipe</t>
  </si>
  <si>
    <t>Saag Tofu Recipe (Tofu Simmered in Spiced Mustard &amp; Spinach Leaves)</t>
  </si>
  <si>
    <t>250 grams Tofu - cut into cubes,300 grams Spinach Leaves (Palak),300 grams Mustard greens,2 inch Ginger,4 Green Chillies - chopped,1/4 cup Homemade tomato puree,8 Garlic - minced,1 teaspoon Cumin seeds (Jeera),Asafoetida (hing) - a pinch,1/2 teaspoon Turmeric powder (Haldi),1 teaspoon Garam masala powder,Salt - to taste,2 tablespoon Makki Ka Atta (Yellow Corn Meal Flour),3 Dry Red Chillies,1 teaspoon Sunflower Oil,1 teaspoon Ghee,Water - as required</t>
  </si>
  <si>
    <t xml:space="preserve">To begin making the Saag Tofu Recipe, we will first wash the green well in water. Chop both the greens and steam them in a steamer for 4 to 5 minutes or pressure cook them for a couple of whistles. If you plan to pressure cook in a pressure cooker, to make sure you turn off the heat after a couple of whistles and run the cooker under cold water to release the pressure immediately. Releasing the pressure immediately, helps retain the green color of the greens. Once the saag (mustard and spinach leaves) are cooked, cool them for a bit. Once cooled puree the cooked spinach and mustard (saag) in blender and set aside.Heat a teaspoon of oil in heavy bottomed pan over medium heat. Add the diced tofu and pan fry it until it turns golden brown in color. Once done, remove from the pan and keep it aside in a bowl.In the same pan, add a teaspoon of ghee and heat over medium heat. Add the red chilies, cumin and allow them to roast and crackle. Once they crackle, add in the asafoetida, garlic, green chiles and stir for a few seconds.Add the in the tomato puree, turmeric powder,  garam masala powder and bring the saag masala mixture to a brisk boil. Once it comes to a boil, add in the cooked and pureed saag. the corn meal and the pan fried tofu. Add the salt and stir. Simmer for about 5 minutes until the Saag Tofu thickens and absorbs all the spices. Check the salt and spices and adjust to suit your taste.Turn off the heat, transfer to a serving bowl and serve. Serve the Saag Tofu along with pickle onions and Tawa Paratha or Makki Roti for lunch or dinner.
</t>
  </si>
  <si>
    <t>http://www.archanaskitchen.com/saag-tofu-recipe-tofu-simmered-in-spiced-mustard-spinach-leaves</t>
  </si>
  <si>
    <t>Khumb Kakuri Potli Kebab Recipe With Sandwich Spread</t>
  </si>
  <si>
    <t>2 Roomali roti,200 grams Button mushrooms - finely chopped,1/4 cup Del Monte Sandwich Spread,2 tablespoons Cashew nuts - finely chopped,1 tablespoon Fresh cream,2 tablespoon Cheese - grated,1/2 teaspoon Whole Black Peppercorns - coarsely pounded,Salt - to taste</t>
  </si>
  <si>
    <t xml:space="preserve">To begin making the Khumb Kakuri Potli Kebab Recipe with Sandwich Spread, mix the chopped mushroom with cashews, Del Monte’s Sandwich Spread, fresh cream, salt and black pepper. Keep aside to marinate .Take the Roomali Roti and cut into two half from the center.Take the marinated mushroom and place spoonful of the mix between the piece of roti. Collect the sides of the roti together and seal them with a tooth pick such that the corners don’t open.Prepare rest of the Khumb Kakuri Potli and keep aside.Pre heat the oven at 180 degree C for 10 mins.Line a baking tray with parchment paper. Grease the outer cover of the Khumb Kakuri Potli prepared with some butter or oil and line them on the baking tray.Bake for 12-15 mins at 180 degree C till the roti becomes crisp. Take the Khumb Kakuri Potli out from the oven and serve hot with mint chutney.Serve the Khumb Kakuri Potli along with Mint Chutney for a snack or as a party appetizer.
</t>
  </si>
  <si>
    <t>https://www.archanaskitchen.com/khumb-kakuri-potli-kebab-recipe-with-sandwich-spread</t>
  </si>
  <si>
    <t>Capsicum Curry</t>
  </si>
  <si>
    <t>1 capsicum (red) - chopped, 1 capsicum (green) - chopped, 1/2 capsicum (yellow) - chopped, 2 onions - finely chopped, 2 tomatoes - finely chopped, 2 green chillies - chopped, 5 garlic cloves - chopped, 1 bay leaf, 1 teaspoon coriander seeds - grind, 5 whole black pepper, 1-1/2 tablespoon cashews - chopped, 1-1/2 tablespoon peanut butter, 1/2 teaspoon red chilli powder, 1 teaspoon garam masala powder, 1 tablespoon kasuri methi</t>
  </si>
  <si>
    <t>"To make capsicum curry, first heat oil in a pan. Add capsicum and cook for 2 minutes. Remove from the pan and keep aside. Add cashews and peanuts in the same pan and fry for 2 minutes. Turn off the gas and let them cool. After cooling, put them in the grinder and grind them. Keep aside. Now heat oil in a pan. Add bay leaves and coriander seeds in it. Let it cook for 1 minute. After 1 minute add onion and cook till it becomes soft. After it becomes soft, add garlic and cook for 2 more minutes. After 2 minutes add green chillies and tomatoes and cook till the tomatoes become soft. Turn off the gas and keep aside to cool. After cooling, put it in the mixer grinder with 1/4 cup water and grind. Heat some more oil in the same pan. Add tomato gravy in it and let it cook for 5 minutes. Add peanuts and cashew crumbs and mix. After this add garam masala in it powder, red chili powder and keep mixing. Add capsicum and mix well. If the gravy is thick then add 1/2 cup more water and cook for 10 to 15 minutes. Garnish with dried fenugreek leaves. Serve Capsicum Curry with Palak Raita, Laccha Paratha and Kachumber Salad for lunch.</t>
  </si>
  <si>
    <t>http://www.archanaskitchen.com/capsicum-curry-recipe-in-hindi</t>
  </si>
  <si>
    <t>Banarasi Chooda Matar/Chura Matar Recipe</t>
  </si>
  <si>
    <t>1 cup Poha (Flattened rice),1/2 cup Milk,1/2 cup Fresh cream,1 Green Chilli - finely chopped,3/4 cup Green peas (Matar) - shelled,1 teaspoon Cumin seeds (Jeera),1 inch Ginger - grated,1 teaspoon Garam masala powder,1/4 teaspoon Black pepper powder,1/2 cup Coriander (Dhania) Leaves - finely chopped,1 teaspoon Lemon juice,2 teaspoon Ghee - or clarified butter,Salt - to taste</t>
  </si>
  <si>
    <t xml:space="preserve">To begin with Banarasi Chooda Matar, wash the poha in the running tap water and soak it in the mix of cream and milk for 10 minutes and keep it aside.Take a wok, pour the ghee into it and let it heat. Now add the cumin seeds and let it crackle. Add finely chopped green chilli &amp; ginger and saute for a while, add the washed shelled green peas. Toss the peas and now add the garam masala and black pepper powder. Cover and let the peas cook.Once the peas is cooked, season with salt, add the finely chopped coriander leaves and give it a good stir.Add the soaked poha to this mix and give it a gentle stir and cover with a lid to cook for a few minutes.Finish off with the lemon juice, give one last stir and serve hot with a cup of ginger tea. Serve Banarasi Chooda Matar/Chura Matar with hot masala chai for a royal breakfast.
</t>
  </si>
  <si>
    <t>http://www.archanaskitchen.com/banarasi-chooda-matar-chura-matar-recipe</t>
  </si>
  <si>
    <t>4 Whole Egg - boiled,1 teaspoon Cumin seeds (Jeera),1 Bay leaf (tej patta),2 Cloves (Laung),3 Dry Red Chillies,1 teaspoon Turmeric powder (Haldi),2 tablespoon Garam masala powder,2 tablespoon Poppy seeds,4 tablespoon Fresh coconut - grated,2 Tomatoes - chopped,1 cup Spinach,Salt - to taste,Sunflower Oil,2 Onion - chopped,1 inch Ginger - chopped,4 cloves Garlic - chopped,2 Green Chillies - chopped,10 Badam (Almond)</t>
  </si>
  <si>
    <t xml:space="preserve">To begin making the Kholapuri Palak Egg Curry Recipe, we will first prepare the hard boiled eggs, de shell them and halve them and keep aside. Grind the ingredients that are mentioned in the "To Grind" list which includes onion, ginger, garlic, green chillies, almonds to a smooth paste and keep it ready.Heat a kadai with oil, add cumin seeds, cloves, bay leaf, dry red chillies and allow it to crackle.Add the ground paste, and stir fry until the raw smell of the onions goes away.Add in poppy seeds and freshly grated coconut, stir fry them for atleast 15 minutes till they turn brown.Once the coconut turn brown, you can add chopped tomatoes, salt and turmeric powder and stir until all ingredients combine well.Cook until the tomatoes turn mushy, later add spinach and garam masala powder and give it a mix.Keep on a low flame for at least 10 minutes until the spinach wilts. Allow this mixture it to cool down and grind it to a coarse paste.Heat a flat pan with oil, place the cut egg on the flat side and roast for atleast 2 minutes till they get a charred surface. Do not flip them, once done keep them aside.Into the same pan, add the ground paste and cook till the gravy leaves out some oil and check for salt.Add the roasted egg into the gravy and serve hot.Serve the Kolhapure Palak Egg Curry Recipe along with Garlic Naan, Jeera rice and Tomato Onion Cucumber Raita to make it a complete meal.
</t>
  </si>
  <si>
    <t>http://www.archanaskitchen.com/kolhapuri-palak-egg-curry-recipe</t>
  </si>
  <si>
    <t>Keema Bhindi Masala Recipe - Okra &amp; Minced Meat Curry</t>
  </si>
  <si>
    <t>250 grams Bhindi (Lady Finger/Okra) - cut into 1/2 inch pieces,Salt - to taste,1 tablespoon Mustard oil,500 grams Chicken - cut into 1/2 inch pieces,2 tablespoons Mustard oil,2 Green Chillies - slit,2 Onions - finely chopped,1 inch Ginger - finely chopped,8 cloves Garlic - finely chopped,1 cup Homemade tomato puree,1/2 teaspoon Turmeric powder (Haldi),1 teaspoon Red Chilli powder,2 teaspoons Coriander Powder (Dhania),2 teaspoons Garam masala powder,Salt - to taste,1 tablespoon Kasuri Methi (Dried Fenugreek Leaves),Coriander (Dhania) Leaves - small bunch</t>
  </si>
  <si>
    <t xml:space="preserve">To begin making the Keema Bhindi Masala Recipe - Okra &amp; Minced Meat Curry, first we will roast the bhindi.To make roasted BhindiInto a pan add mustard oil. Once the oil is hot add the bhindi and sprinkle salt to taste.Stir to combine. Keep the ladle in the pan and cover with the lid. Placing the ladle inside the pan helps to keep the lid ajar. This also helps the bhindi to cook well at the same time not get sticky. Saute at regular intervals to cook the bhindi on all sides. Once the bhindi is well roasted and cooked through turn off the heat and keep aside. To Mince ChickenTo mince the chicken attach the chopping blade into the Preethi zodiac master chef jar.Add the chicken pieces to the jar and close the jar with its lid.Pulse to make minced Chicken.Once done remove the minced chicken into a bowl and keep aside. To make the Keema MasalaInto a pan add oil and once the oil is hot add the onions, green chillies, ginger, garlic. Saute until the onions soften and turn golden brown in colour. Once done add the chicken keema and salt to taste. Saute on high heat for 3-4 minutes until the chicken in half cooked and changes colour. At this stage add the tomato puree, turmeric powder, red chilli powder, coriander powder, garam masala and stir well to combine.Add 1/4 cup water.Check the salt and add more if required. Cover and cook the keema till the chicken is completely cooked. This will take about 5 minutes. After the chicken is cooked stir in the roasted bhindi and kasuri methi. Toss to combine well. Garnish with coriander leaves and turn off the heat. Transfer the Keema Bhindi Masala into a serving bowl and serve hot. Serve Keema Bhindi Masala Recipe - Okra &amp; Minced Meat Curry hot with parathas or poori and Carrot Cucumber Tomato Salad with Lemon and Coriander  for a satisfying meal.
</t>
  </si>
  <si>
    <t>https://www.archanaskitchen.com/keema-bhindi-recipe-okra-minced-meat-curry</t>
  </si>
  <si>
    <t>Uttarkhand Style Mixed Bhaddu Dal Recipe</t>
  </si>
  <si>
    <t>1/4 cup Rajma (Large Kidney Beans),1/4 cup White Urad Dal (Split),3 teaspoon Sunflower Oil,1 teaspoon Ginger Garlic Paste,2 Cardamom (Elaichi) Pods/Seeds,1 Bay leaf (tej patta),1/4 teaspoon Whole Black Peppercorns,2 Cloves (Laung),1 inch Cinnamon Stick (Dalchini),1/4 teaspoon Coriander (Dhania) Seeds,1/2 cup Homemade tomato puree,1/4 teaspoon Cumin seeds (Jeera),2 teaspoon Fresh cream,Salt - to taste</t>
  </si>
  <si>
    <t xml:space="preserve">To begin making the Uttarkhand Style Mixed Bhaddu Dal recipe, firstly soak the urad dal and rajma seperately overnight or for minimum 5 hours.Heat a pressure cooker with water, cinnamon stick, cardamom and lentils, cover it and let it cook till the cooker releases 4 whistles. Take a medium wok, heat 2 teaspoons of oil, add bay leaf, cloves, whole black pepper, turmeric powder and red chilli powder. Let it cook for about a minute. Pour tomato puree and let it cook for another 3 minutes. After 3 minutes, add in the ginger garlic paste. Let it cook till the raw smell vanishes.Next, add the boiled dal to wok and simmer for 8 minutes then add the cream.Meanwhile heat a spoonful of oil in a tadka pan, add coriander seeds, cumin seeds and let it cook for about 15 seconds. Pour it over the dal, mix and serve hot.Serve Uttarkhand Style Mixed Bhaddu Dal along with Bharwa Bhindi and Tawa Paratha for your weekly meal plan.
</t>
  </si>
  <si>
    <t>http://www.archanaskitchen.com/uttarkhand-style-mixed-bhaddu-dal-recipe</t>
  </si>
  <si>
    <t>Crisp Baked Tandoori Mayo Cheddar Chicken Recipe</t>
  </si>
  <si>
    <t>500 grams Boneless chicken - cut into bite sized pieces,5 tablespoons Del Monte Tandoori Mayo,100 grams Cheddar cheese - grated,1 Egg white - lightly beaten,2 Green Chillies - chopped (you may adjust as per your requirement),1/4 cup Coriander (Dhania) Leaves - finely chopped,1 tablespoon Extra Virgin Olive Oil,Salt - to taste,Black pepper powder - to taste,Corn flakes - Crushed</t>
  </si>
  <si>
    <t xml:space="preserve">To begin making the Crisp Baked Tandoori Mayo Cheddar Chicken Recipe, in a large bowl, add chicken, mayonnaise, cheddar cheese, egg white,  green chilies, coriander leaves, lemon juice, olive oil, salt and pepper. Cover and refrigerate the chicken with the mayo for 20 minutes.Preheat the oven at 200 C.  Grease a baking tray with olive oil or butter.Take out the marinated chicken and coat the pieces with crushed cornflakes.Place the coated mayo chicken evenly keeping little gap between each pieces on baking tray.Bake the chicken for 20-25 minutes or until golden and crisp. Once done, remove the Crisp Baked Tandoori Mayo Cheddar Chicken out of the oven and rest it for couple of minutes and serve.Serve Crisp Baked Tandoori Mayo Cheddar Chicken along with Spicy Mexican Salsa as an evening snack or as a party appetizer.
</t>
  </si>
  <si>
    <t>http://www.archanaskitchen.com/crisp-baked-tandoori-mayo-cheddar-chicken-recipe</t>
  </si>
  <si>
    <t>Shahi Tindora Recipe - Tindora In Cashew Nut Gravy</t>
  </si>
  <si>
    <t>300 grams Tindora (Dondakaya/ Kovakkai) - cut in 1 inch length,1/2 teaspoon Red Chilli powder,1/4 teaspoon Turmeric powder (Haldi),1/2 teaspoon Garam masala powder,2 tablespoon Fresh cream,1/2 teaspoon Kasuri Methi (Dried Fenugreek Leaves),2 teaspoons Sunflower Oil,1 tablespoon Ghee,1 Onions - roughly chopped,1/4 cup Cashew nuts,1 Tomato - chopped,4 Garlic,1 teaspoon Ginger - grated,2 Cardamom (Elaichi) Pods/Seeds,2 Cloves (Laung),1/2 inch Cinnamon Stick (Dalchini),1 Green Chillies,1 teaspoon Ajwain (Carom seeds)</t>
  </si>
  <si>
    <t xml:space="preserve">To begin making the Shahi Tindora Recipe (Tindora in Cashew Nut Curry), first prepare the Tindora and get all the ingredients ready and keep aside.Heat a teaspoon of oil in a heavy bottomed pan or a skillet. Add the shahi jeera and allow it to crackle.Add cardamom, cinnamon stick, clove and stir for few seconds. After a few seconds, add onions, garlic, ginger and saute until the onions are pink and soft.Once the onions are soft, add cashew nuts, green chilli and saute for a minute along with the onions.Add tomatoes and saute well until all the raw smell goes off, tomatoes are soft and spices releases roasted aroma. Once all the ingredients are softened and cooked, turn off the heat and allow it to cool.Once cooled, grind this shahi masala mixture into a smooth paste using a mixer grinder.Heat ghee in the same pan as above and add the cut Tindora. Sprinkle some salt and stir fry them for about 5 minutes on medium heat until cooked through.Do not allow them to burn but just roast them well. Transfer the cooked tindora into another bowl.In the same pan, heat 1 tablespoon of oil. Add the ground shahi masala paste, red chili powder, turmeric powder, garam masala powder and saute until the masala is cooked well and get a cooked aroma from the spices.Add the fried tindora and stir to combine the tindora well into the shahi masala. Add a warm water depending upon the consistency of the gravy you require. Bring the Shahi Bhindi to a brisk boil and cook for 2 to 3 minutes.Lastly, add 2 tablespoon of cream and kasuri methi. Stir and cook for another minute and turn off the heat. Stir in the chopped coriander leaves and serve.Pack the Shahi Tindora along with Tawa Paratha and Boondi Raita for your Lunch Box. You can also serve Shahi Tindora along with Dal Makhani, Butter Naan and Jeera Rice for a perfect weekend meal.
</t>
  </si>
  <si>
    <t>http://www.archanaskitchen.com/shahi-tindora-recipe-tindora-in-cashew-nut-curry</t>
  </si>
  <si>
    <t>Kadai Chole Recipe- Dry Chickpeas Masala with Capsicum</t>
  </si>
  <si>
    <t>1 cup Kabuli Chana (White Chickpeas) - Soaked Overnight,2 Onions - diced in chunks,1 Green Bell Pepper (Capsicum) - diced in chunks,4 cloves Garlic - finely chopped,1 inch Ginger - finely chopped,2 Green Chilli - Slit,1 Tomato - Pureed,1 Cinnamon Stick (Dalchini),3 Cloves (Laung),1 Bay leaf (tej patta),1 Black cardamom (Badi Elaichi),1 teaspoon Coriander Powder (Dhania),1/2 teaspoon Cumin powder (Jeera),1 teaspoon Kashmiri Red Chilli Powder,1/2 teaspoon Amchur (Dry Mango Powder),1/2 teaspoon Garam masala powder,1/2 teaspoon Ajwain (Carom seeds),2 tablespoons Ghee,Salt - to taste</t>
  </si>
  <si>
    <t xml:space="preserve">To begin making Kadai Chole Recipe, first wash and soak the chickpeas for 6 hours or overnight in water.Cook the chana in the pressure cooker along with salt and 3 cups water for about 30 minutes until soft. Heat ghee in a large kadai on medium heat; add the ajwain, onions, ginger, garlic, green chilli, cinnamon, cloves, cardamom, bay leaves and saute until the onions softened.Add the capsicum and stir fry the capsicum on high heat until the capsicum is just about soft. It should retain its green colour.Stir in the tomatoes,and all the dry masalas - Coriander Powder, Red chili powder, cumin powder, garam masala powder, amchur powder and salt.Give it a stir and finally add the cooked chana masala into the kadai. Add a little more ghee at this stage and cook the Kadai Chole along with the masalas until it gets well coated with the spices.Keep heat on low and cover the pan and cook the Kadai Chole for about 5 minutes minutes till all the flavors blend well with each other and turn off the heat.Check the taste and adjust the salt and spices accordingly. Once done, transfer the Kadai Chole to a s serving bowl and serve hot.Serve Kadai Chole with Mixed Vegetable Handi, Pudina Tawa Paratha and Mooli Raita Recipe for a perfect weekend dinner. You can also add a Gobi Biryani, Dal Makhani and a Moong Dal Halwa and make a perfect north indian menu for parties. 
</t>
  </si>
  <si>
    <t>https://www.archanaskitchen.com/kadai-chole-recipe-dry-chickpeas-with-capsicum</t>
  </si>
  <si>
    <t>Cauliflower &amp; Potato Stir Fry with Nigella Seeds</t>
  </si>
  <si>
    <t>1 cauliflower - cut into big pieces, 2 potatoes - peeled and diced, 2 tbsp mustard oil, 1 tsp nigella seeds, 1/2 tsp mustard seeds - 1/2 teaspoon mustard seeds, 3 green chillies - chopped lengthwise, 1/2 tsp sugar - 1/2 teaspoon sugar, salt - according to taste, 1 tsp tomato - thinly chopped, green coriander - some green</t>
  </si>
  <si>
    <t>"To make Kalonji Wali Aloo Gobi ki Sabzi, heat oil in a pan. Add nigella seeds and cook for 20 to 25 seconds. Then add mustard seeds and green chillies. After 10 to 15 seconds, add cauliflower, potatoes, salt and sugar. Mix well. When potatoes and cauliflower turn light brown, add some water. Push the pan and let the vegetable cook well. After 15 minutes, check if the vegetable has become soft or not. When all the water evaporates, add one spoon of mustard oil and mix. Serve hot. Kalonji Wali Aloo Gobi ki Sabzi is a simple and delicious recipe which can be served with chapati and choler dal."</t>
  </si>
  <si>
    <t>https://www.archanaskitchen.com/cauliflower-potato-stir-fry-with-nigella-seeds-recipe-in-hindi</t>
  </si>
  <si>
    <t>Hariyali Matar Recipe</t>
  </si>
  <si>
    <t>2 cups Green peas (Matar) - steamed,1/2 cup Paneer (Homemade Cottage Cheese) - cut into small cubes,1 teaspoon Cumin seeds (Jeera),1 pinch Asafoetida (hing),1 tablespoon Sunflower Oil,Salt - to taste,2 cups Coriander (Dhania) Leaves - tighly packed,2 Green Chillies,5 cloves Garlic,1 inch Ginger,1 tablespoon Lemon juice</t>
  </si>
  <si>
    <t xml:space="preserve">To begin making the Hariyali Matar Recipe, peal the green peas, wash and steam it using a steamer and keep aside.Make a fine paste of the ingredients listed in the green masala, coriander leaves, green chillies, garlic, ginger and lemon juice, using a mixer grinder adding very little water and keep aside.Heat oil in a wide pan, add the asafoetida, cumin seeds and let the cumin seeds splutter.Add the ground green masala and saute for 2 minutes until the masala is well cooked and comes together.Add the steamed green peas, season with salt, add 1 cup water, give it a stir and let it simmer for 2 to 3 minutes.Once the gravy has thickened, add the paneer cubes and mix well.Let the mixture simmer for another 2 minutes and switch off the flame. Remove into a serving bowl.Serve the Hariyali Matar Recipe along with Tawa Parathas and Gajar Shimla Mirch Sambharo for the weeknight dinner or pack away for your lunch box.
</t>
  </si>
  <si>
    <t>https://www.archanaskitchen.com/hariyali-matar-recipe</t>
  </si>
  <si>
    <t xml:space="preserve">Gobi Biryani </t>
  </si>
  <si>
    <t>1 cup rice, 1-1/2 cup water, 1 tbsp ghee, 1 onion - thinly sliced, 1/4 tsp cumin seeds, 1/4 tsp fennel seeds, 2 cardamoms - crushed, 2 cloves, 1 inch cinnamon, salt - a pinch, 1 tsp red chilli powder, 1/2 tsp turmeric powder, salt - a pinch, 1 cabbage - chopped, 3 onions - thinly sliced, 2 tomatoes - thinly sliced, 1/2 tsp ginger - chopped, 1/2 tsp garlic - chopped, 4 green chillies - crushed, 1/2 tsp garam masala powder, 1/2 tsp cumin powder, 1/2 cup mint - thinly sliced, 1/2 cup coriander leaves - thinly sliced, salt - according to taste, 10 cashews, 10 raisins, 1 onion - thinly sliced</t>
  </si>
  <si>
    <t>"To make Gobi Biryani, first of all heat ghee in a pan. Add cashews and raisins in it and let it cook till it turns brown. Keep it aside. Now add onions in this pan and let it cook till it turns brown. After cooking, keep it aside. Soak the rice for half an hour. Drain the water and keep it aside. Add some more ghee in the same pan. Add cumin seeds, fennel seeds, cardamom, cloves and cinnamon in it and cook for 15 seconds. Now add onions in it and cook till it becomes soft. Now add rice in it and cook for 1 minute. Now add 2 cups of water and some salt in it. Push the pan and cook till the water evaporates. Turn off the gas. Keep the pan covered for half an hour. Now we will make Gobi Masala. Put gobi and the ingredients mentioned for marination in a bowl. Mix it and keep it aside for 10 minutes. Heat oil in a pan. Add gobi in it and cook till it becomes crisp. In another pan, Heat oil or ghee. Add thinly sliced ​​onions and cook till they turn brown. Add green chillies, ginger and garlic and cook for 2 minutes. Add garam masala and cumin powder and mix well. Add tomatoes and salt and cook till tomatoes turn soft. After tomatoes turn soft, add cauliflower and mix well. Add coriander leaves and mint leaves and mix well again. Add cooked basmati rice, cover the pan and cook for 5 minutes on low flame. Open the pan and garnish with cooked onions, cashews and raisins. Serve Gobi Biryani with Boondi Raita and Kachumber Salad for dinner. "</t>
  </si>
  <si>
    <t>https://www.archanaskitchen.com/gobi-biryani-recipe-in-hindi</t>
  </si>
  <si>
    <t>1/2 cup Green peas (Matar) - ground into a paste,1 cup Paneer (Homemade Cottage Cheese) - crumbled,1 inch Ginger - chopped,1 Green Chilli - chopped,1 teaspoon Turmeric powder (Haldi),2 teaspoon Red Chilli powder,1 teaspoon Amchur (Dry Mango Powder),1 teaspoon Coriander Powder (Dhania),Salt - to taste,1 cup Whole Wheat Flour,Salt - to taste,Sunflower Oil - for kneading,Lukewarm Water - for kneading</t>
  </si>
  <si>
    <t xml:space="preserve">To begin making Paneer and Green Peas Paratha prep all the  ingredients ready and keep them handy.To make the dough for the paratha.In a large mixing bowl, add the flour and salt. Add water little at a time and knead to make a soft and smooth dough.Once all the flour has come together, drizzle a teaspoon of oil on the top of the dough and knead for another couple of minutes. Cover the dough and we will proceed to make the stuffing.Heat a skillet on a medium heat with some oil, add cumin seeds and allow it splutter for few seconds. Add in ginger, saute them well. Then add in the peas. Saute them till it is half cooked.Add in the crumbled paneer and add all the spice powders, cook them well on the medium heat till the raw smell of the spice goes away. Keep it aside to cool.Divide the dough portions into medium lemon size balls. Place some flour aside for dusting.Pat the portion of the dough and dust it in flour. Roll out the dough into a 5 inch diameter circle. Spoon a large portion of the filling in the center of the dough .Seal the edges by by bringing together the ends. Dust the paratha lightly in flour again and roll gently to remove any air pockets.Roll the paratha, adding very little pressure so the filling stays inside and does not ooze out.Proceed the same way to fill the remaining Paneer and Green Peas Stuffed Paratha.The next step is to cook the paratha on the skillet or roti tawa. Preheat the skillet and then place the rolled out paratha on the skillet.Flip and cook on both sides until you see brown spots appearing on the outside. Drizzle ghee or oil on the paratha and cook on low to medium heat until the paratha is cooked through and golden brown on both sides.Once cooked, transfer the paratha to a platter and cook the remaining Paneer and Green Peas Stuffed  Parathas the similar way.Serve the Paneer and Green Peas Recipe along with Palak Raita or just a Aam Ka Chunda by the side to relish your for your breakfast meal and lunch.
</t>
  </si>
  <si>
    <t>https://www.archanaskitchen.com/paneer-and-green-peas-paratha-recipe</t>
  </si>
  <si>
    <t>Bhel Puri With Raw Mango Recipe</t>
  </si>
  <si>
    <t>2 cups Puffed rice,1 Onion - peeled and finely chopped,1 Tomato - deseeded and finely chopped,1/2 cup Mango (Raw) - diced,3 sprig Coriander (Dhania) Leaves - minced,3 tablespoons Raw Peanuts (Moongphali) - roasted,2 tablespoons Yellow Moong Dal (Split) - fried(optional),1 1/2 tablespoon Lahsun Ki Chutney (Red Garlic Chutney),1 tablespoon Green Chutney (Coriander &amp; Mint),1 1/2 tablespoon Sweet Chutney (Date &amp; Tamarind),Salt - as required</t>
  </si>
  <si>
    <t xml:space="preserve">To begin making Bhel Puri With Raw Mango, sprinkle a pinch of salt and red chili powder on diced raw mangoes and keep aside.In a wide mixing bowl, mix in chopped onions, chopped tomato, puffed rice, peanuts, Lahsun ki Chutney , green chutney and Date and Tamarind Chutney . Now add masala raw mango pieces and toss it gently. Season with salt if required.Add fresh chopped coriander, sev and fried moong dal to the bhel. Toss and serve immediately.Serve Bhel Puri With Raw Mango with a cup of Masala Chai  during your tea time break or you can also make it and serve with other chaats like Sev Puri and Dahi Bhalla Puri for a weekend chaat party.
</t>
  </si>
  <si>
    <t>https://www.archanaskitchen.com/bhel-puri-with-raw-mango-recipe</t>
  </si>
  <si>
    <t>Broccoli Pakora Masala Recipe - Broccoli In Spicy Yogurt Gravy</t>
  </si>
  <si>
    <t>1 cup Broccoli - finely chopped,1 cup Onion - thinly sliced,1 tablespoons Rice flour,3 tablespoons Gram flour (besan),1/2 teaspoon Baking soda,1/2 teaspoon Lemon juice,1/4 teaspoon Turmeric powder (Haldi),1/2 teaspoon Red Chilli powder,1/4 teaspoon Garam masala powder,3 tablespoons Water,Salt - to taste,1 cup Curd (Dahi / Yogurt) - beaten,3/4 cup Water,1 tablespoon Gram flour (besan),1 teaspoon Mustard seeds,1 teaspoon Cumin seeds (Jeera),Asafoetida (hing) - a pinch,2 tablespoons Sunflower Oil,1/4 teaspoon Turmeric powder (Haldi),1 teaspoon Red Chilli powder,1 teaspoon Coriander Powder (Dhania),Salt - to taste</t>
  </si>
  <si>
    <t xml:space="preserve">To begin making the Broccoli Pakora Masala recipe, preheat the oven to 400°F/204°C and spray a non stick cooking oil over a baking tray and keep aside.Add the ingredients (under pakoras) in a bowl which includes broccoli, onion, rice flour, besan, baking soda, lemon juice, turmeric powder, red chilli powder, garam masala powder, salt and a little water. Mix well to form a thick consistency.Take a tea spoon full of mixture and round them slightly with wet hands and place them on a baking tray. Bake at 400°F for 20 minutes, till the top layers turn light brown. Take them out and place them aside.You can also fry them, if you don't want the baked pakora. For frying, heat oil in a heavy bottomed pan. When the oil is hot, add the pakoras one by one and fry them till it turns golden brown.Take them out on a kitchen towel and keep it aside. The next step is to make the yogurt gravy for the broccoli pakoras. In a wide pan, heat the oil and add mustard seeds, cumin seeds, asafoetida and let it cook for about 15 to 20 seconds.Lower the heat and add besan. Keep stirring in low heat till it turns aromatic and light golden in colour.Once it turns golden in colour, add in the yogurt, turmeric powder, red chilli powder, coriander powder and stir well in low heat for about 4 to 5 minutes. Add water according to your consistency.Add salt and mix well. Then add in the pakoras and let it simmer for 2 minutes. Broccoli pakoras in spicy yogurt gravy is ready to be served. Enjoy!Serve Broccoli Pakora Masala along with Tomato Onion Cucumber Raita, Jeera Rice and Phulka for a weekday meal.
</t>
  </si>
  <si>
    <t>https://www.archanaskitchen.com/broccoli-pakora-masala-recipe-broccoli-in-spiced-yogurt-gravy</t>
  </si>
  <si>
    <t>Healthy Lauki Kofta Curry Recipe | Non Fried Bottle Gourd Kofta Curry | Dhoodi Kofta</t>
  </si>
  <si>
    <t>1 Bottle gourd (lauki) - peeled and grated (about 3 cups),1/4 cup Gram flour (besan),1/2 teaspoon Red Chilli powder,1 teaspoon Coriander (Dhania) Powder,1/2 teaspoon Turmeric powder (Haldi),1/2 teaspoon Garam masala powder,Salt - to taste,Sunflower Oil - for cooking,4 cloves Garlic - finely chopped,1 inch Ginger - finely chopped,1 Green Chilli - split,1 Onion - finely chopped,1 inch Cinnamon Stick (Dalchini) - broken,1 Bay leaf (tej patta) - torn,2 Brown cardamom (Badi Elaichi),1 tablespoon Stone flower,8 Tomatoes - cut into chuncks and pureed,1/2 teaspoon Turmeric powder (Haldi),1 teaspoon Coriander Powder (Dhania),1 teaspoon Red Chilli powder,1/2 teaspoon Garam masala powder,1 tablespoon Honey,8 sprig Coriander (Dhania) Leaves - chopped,Salt - to taste,1 tablespoons Ghee</t>
  </si>
  <si>
    <t xml:space="preserve">To begin making the Lauki Kofta Recipe, first prep all the ingredients and keep them ready.Peel and grate the bottle gourd and squeeze out the excess water from the grated bottle gourd and keep it aside. Mix all the ingredients for the kofta and divide into 12 to 15 portions. Into a large mixing bowl, add the grated lauki, turmeric, red chilli, coriander powder, garam masala, gram flour and salt to taste. Mix everything well.Preheat a Kuzhi Paniyaram and drizzle a little oil in each of the cavities; then place the kofta balls in the pan's cavities; drizzle the kofta with a little oil and pan fry them until golden brown on both sides. You will have to flip the kofta balls so they fry on all sides evenly. Once done, keep the lauki kofta balls aside and we will use them only when we are ready to serve.For the kofta curry, add the cut tomatoes into the mixer grinder and puree it. Keep aside.Heat ghee in a heavy bottomed pan; add the ginger, garlic, green chilli and onion and saute until the onions soften. This will take 3 to 4 minutes.Once the onions have softened and turned lightly golden brown add the spices; cinnamon, bay leaves, badi elaichi and stone flour. Stir for a few seconds until you can smell the aromas coming through.Add the tomato puree, turmeric powder, garam masala powder, chilli powder, coriander powder, salt honey and simmer the kofta gravy for about 5 to 7 minutes until the raw smell from the tomatoes goes away.Once done, give the lauki kofta curry a taste and check the salt and spices and adjust accordingly.Once you are ready to serve, transfer the lauki kofta curry to a serving bowl. Place the pan fried lauki kofta and sprinkle fresh coriander leaves and serve hot.Serve the Lauki Kofta Curry along with Palak Dal, Phulka and a Paneer Pulav for a delicious dinner along with laccha pyaz and lassi.
</t>
  </si>
  <si>
    <t>https://www.archanaskitchen.com/lauki-kofta-recipe-non-fried-doodhi-kofta</t>
  </si>
  <si>
    <t>Mawa Gujiya With Badam and Pista Recipe</t>
  </si>
  <si>
    <t>2 cups All Purpose Flour (Maida),1-1/2 tablespoons Sooji (Semolina/ Rava),1-1/2 tablespoons Sugar,1/8 teaspoon Baking soda,1/4 cup Ghee,Water - as needed,1/4 teaspoon Saffron strands,1 tablespoon Milk - to soak saffron (warm milk),300 grams Khoya (Mawa),3 tablespoons Dessicated Coconut,2 tablespoons Badam (Almond) - coarsely powdered,2 tablespoons Pistachios - coarsely powdered,1/3 cups Sugar,1/4 cup Milk - or Egg as a wash for the pastry,Badam (Almond) - chopped,1/4 cup Sugar,1/4 cup Water,Saffron strands - a pinch</t>
  </si>
  <si>
    <t xml:space="preserve">To begin making Mawa Gujiya Recipe, add saffron to warm milk in a bowl. Set it aside for 15 minutes.The next step is to make the filling for Gujiya. Crumble or grate the khoya/mawa. In a thick bottom pan add the khoya/mawa and roast it on low flame till it changes colour to light brown (approximately 25 minutes or so). Next, add desiccated coconut and roast further for 2 minutes. Add almonds and pistachios to the khoya/mawa, mix well, remove from the heat and keep aside. When the roasted khoya/mawa is still warm, add sugar and mix it well. Set it aside. Be careful towards the end of the roasting process so that the khoya/mawa does not turn too dry. It should be moist yet a little brownish in colour)Next, we will prepare the dough for Gujiya. While you wait for the khoya/mawa to cool, make the dough. In a bowl, mix together maida, semolina, sugar and baking soda. Add ghee and start rubbing the flour mix with the tip of your fingers.Add water gradually and as much as required to make medium soft dough. Knead the dough for 2 minutes until smooth.Divide the mawa gujiya dough in two parts and make two neat balls. Set aside for half an hour covered with a moist cloth so that the dough does not dry out.Finally, we will stuff the Mawa in Gujiya. Preheat the oven at 180 degrees C.Thinly roll one ball and use a cookie cutter to cut out dough in the desired shape. Gujiyas are usually semi circle but you can also use a cookie cutter for different shapes.Roll the dough in a rectangular shape. Trim the edges. Cut it lengthwise wide enough to to place the mawa filling. Cut these rectangular strips further to a squares of equal size.  Line two baking trays with parchment paper. Place each cut out square dough on the baking tray at an inch distance.Scoop one heaped teaspoon of cooled mawa filling in the centre of each square dough and cover with another layer of square dough cut out.Seal the sides of the mawa gujiya all around by pressing the edges with a fork.Repeat this process till all the gujiya dough is used and filled. Brush the top of the gujiya with milk or beaten egg and sprinkle flaked almonds.Bake in the oven for approximately 15 minutes or till it begins to just turn golden brown. Remove from the oven and let them cool over a wire rack. Alternatively, you can also prepare the square gujiyas with the filling and deep fry the gujiyas in oil.Once the mawa gujiya is baked or fried, keep them aside.To make the sugar syrup, add water to a saucepan and bring it to a boil. Once the water has boiled, lower the heat, add the sugar and stir continuously. Once the sugar has melted completely, add the saffron mixture, give it a good stir for a minute and turn off the heat. While the Mawa Gujiyas are warm, brush them with the saffron sugar syrup or you can even dip them in it. Once the Mawa Gujiyas are completely cooled down, the syrup will add a nice glaze to them.Serve these Mawa Gujiyas during Holi or Diwali along with a glass of Thandai and with a delicious plate of Dahi Vada.
</t>
  </si>
  <si>
    <t>https://www.archanaskitchen.com/mawa-gujiya-with-badam-and-pista-recipe</t>
  </si>
  <si>
    <t>Paneer Stuffed Bhindi In Ajwain Tomato Gravy Recipe</t>
  </si>
  <si>
    <t>250 grams Bhindi (Lady Finger/Okra),1 cup Paneer (Homemade Cottage Cheese) - crumbled,1/2 teaspoon Red Chilli powder,1/2 teaspoon Coriander Powder (Dhania),1/2 teaspoon Chaat Masala Powder,Salt - to taste,1 Onion - chopped,1/2 teaspoon Ginger - finely chopped,1/2 teaspoon Garlic - finely chopped,1 teaspoon Ajwain (Carom seeds),1 Green Chilli,1 teaspoon Red Chilli powder,2 teaspoon Coriander Powder (Dhania),1/2 teaspoon Turmeric powder (Haldi),1/2 teaspoon Garam masala powder,2 cups Homemade tomato puree,Kasuri Methi (Dried Fenugreek Leaves) - for garnish,2 teaspoons Sunflower Oil,Salt - to taste</t>
  </si>
  <si>
    <t xml:space="preserve">To begin making the Paneer Stuffed Bhindi In Ajwain Tomato Gravy Recipe first wash okra, pat them with a dry cloth and cut off the stems. Make a vertical cut in okra, making sure they don’t become two separate halves.To prepare the paneer stuffing, combine paneer, salt, red chilli powder, chaat masala powder, coriander powder in a mixing bowl. Mix it well.Fill 1/2 teaspoon of mixture in each okra through the slits. Once all the okras are stuffed with the mixture, keep them aside.Heat oil in a wok. Once the oil is hot, add the bhindi and cook covered till the bhindis are nearly cooked. Stir occasionally. Once cooked remove and keep aside in a bowl.Next in the same wok add some more oil, once oil is hot add the ajwain seeds. once they release the aroma add the chopped onions and slit green chilli. Saute for a minute and add the ginger and garlic.Saute till the raw smell of the ginger goes and garlic turns golden brown in colour. Next add all the dry spices including red chili powder, coriander powder, turmeric powder and garam masala powder and quickly add the tomato pure.Stir occasionally and cook till the tomato puree starts to come together and leaves oil at the sides. Add water to your required consistency and all the stuffed bhindi.Cook covered for 5 minutes. Once done, switch off the heat and garnish with kasuri methi. Serve Paneer Stuffed Bhindi In Ajwain Tomato Gravy Recipe with Punjabi Dal Tadka, Phulka and Red Cabbage Carrot, Sprout And Onion Salad.
</t>
  </si>
  <si>
    <t>http://www.archanaskitchen.com/paneer-stuffed-bhindi-in-ajwain-tomato-gravy-recipe</t>
  </si>
  <si>
    <t>Methi Moong Dal Palak Recipe</t>
  </si>
  <si>
    <t>1 cup Yellow Moong Dal (Split),Methi Leaves (Fenugreek Leaves) - a bunch,1/4 teaspoon Asafoetida (hing),1 teaspoon Cumin seeds (Jeera),1 Onion - thinly sliced,1 Tomato - chopped,2 teaspoon Coriander Powder (Dhania),1 teaspoon Turmeric powder (Haldi),1 teaspoon Red Chilli powder,Salt - to taste,2 teaspoons Sunflower Oil</t>
  </si>
  <si>
    <t xml:space="preserve">To begin making the Methi Moong Dal recipe, firstly wash and soak the moong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softened.Methi leaves cooks very quickly and this will take less than 3 minutes to cook. Once the leaves have softened, turn off the heat. Keep it aside.In the next step, we will cook the moong dal with the spices. Heat a teaspoon of oil in a pressure cooker over medium heat.  Add asafoetida and cumin seeds, fry for few seconds. Next add onion and fry till they turn soft.Once the onions have softened, add the chopped tomato along with coriander powder, turmeric powder, red chili powder and fry for a minute or so over medium heat.Add soaked moong dal along with the soaked water to the onion tomato mixture. Close the lid of the pressure cooker and put the weight on.Cook moong dal for 2 to 3 whistles. After a couple of whistles, turn the heat to low and simmer the dal for about 5 minutes. After 5 minutes, turn off the heat.Allow the pressure to release naturally from the pressure cooker.Once the pressure has released, open the cooker and lightly mash the dal with the back of a spoon. Stir in the sauteed methi leaves and serve.Serve Methi Moong Dal along with Baingan Ka Bharta, Phulka and Beetroot Raita Recipe for a wholesome weekday lunch.
</t>
  </si>
  <si>
    <t>http://www.archanaskitchen.com/methi-moong-dal-palak-recipe</t>
  </si>
  <si>
    <t>Pudina Moong Dal Recipe (Mint Moong Dal)</t>
  </si>
  <si>
    <t>1/2 cup Yellow Moong Dal (Split),1/2 teaspoon Red Chilli powder,1/4 teaspoon Turmeric powder (Haldi),1/4 teaspoon Cumin seeds (Jeera),1 pinch Asafoetida (hing),1 tablespoon Ghee,2 tablespoons Mint Leaves (Pudina) - chopped,Water - as needed,Salt - as needed</t>
  </si>
  <si>
    <t xml:space="preserve">To begin making the Pudina Moong Dal recipe, add 1 cup of water, turmeric powder and washed moong dal in a stainless steel vessel and cook till the dal turns soft. Alternatively, just pressure cook upto 2 whistles.Once the dal is cooked, add 1 and 1/2 cups of water, salt. Bring to a boil and then simmer. While the dal is simmering, prepare the tadka.Heat ghee/oil in a tadka pan. First fry the cumin seeds and then add asafoetida.Add mint leaves and fry for some seconds. Lastly add red chili powder.Immediately, pour this tempering/tadka mixture in the dal &amp; stir well. Simmer the dal for 2 to 3 minutes.Serve Pudina Moong Dal along with Capsicum Usili and Phulkas for a weekday lunch or dinner.
</t>
  </si>
  <si>
    <t>http://www.archanaskitchen.com/pudina-moong-dal-recipe-mint-moong-dal</t>
  </si>
  <si>
    <t>Matar Poha Recipe (Flattened Rice Stir Fry with Green Peas)</t>
  </si>
  <si>
    <t>1 1/2 cups Poha (Flattened rice),1 cup Green peas (Matar),2 Onions - finely chopped,3 Green Chillies - finely chopped,1/2 teaspoon Turmeric powder (Haldi),1 teaspoon Mustard seeds,1 teaspoon Cumin seeds (Jeera),2 sprig Curry leaves,1/4 teaspoon Asafoetida (hing),Salt - to taste,Coriander (Dhania) Leaves - finely chopped,Lemon juice - from one lemon</t>
  </si>
  <si>
    <t xml:space="preserve">To begin making the Matar Poha Recipe, in a large pan blanch the fresh peas with a little salt. Once boiled, drain the water and keep the green peas aside.Wash the poha in fresh water once, drain the water and keep aside the poha. Don't leave a lot of water in the poha else it will turn mushy.In a heavy bottom kadai, heat oil. Add asafoetida and let it fry for about a minute. Add the cumin and mustard seeds and fry for 2 minutes till the mustard splutters and the cumin turns golden brown.Add curry leaves and split green chillies to the oil, fry for one minute. Now add the onions and fry till they are translucent and lightly golden. Stir in the turmeric, salt, the blanched peas, and the washed poha.Stir well to combine. Sprinkle a little water, cover the pan and allow the flavors to get well incorporated into the matar poha.After a couple of minutes, check the salt and spice levels and adjust to suit your taste. Turn off the heat and cover the pan for 5-6 minutes. The poha will cook in steam. Finally stir in the chopped coriander leaves and squeeze in the juice from one lemon.Serve the Matar Poha for breakfast or as an evening tea time snack topped with Bhujia.
</t>
  </si>
  <si>
    <t>https://www.archanaskitchen.com/matar-poha-recipe-flattened-rice-stir-fry-with-green-peas</t>
  </si>
  <si>
    <t>Arbi Ka Achaar Recipe (Instant Colocasia pickle)</t>
  </si>
  <si>
    <t>500 grams Colocasia root (Arbi) - partly boiled and sliced to roundels,2 teaspoons Ajwain (Carom seeds),1 teaspoon Cumin seeds (Jeera),1/2 teaspoon Methi Seeds (Fenugreek Seeds),1/2 teaspoon Kalonji (Onion Nigella Seeds),1 teaspoon Methi Powder (Fenugreek Powder),1 teaspoon Mustard powder - (yellow),1.5 teaspoon Red Chilli powder,1/2 teaspoon Turmeric powder (Haldi),1/2 teaspoon Asafoetida (hing),3 tablespoons Vinegar,3 tablespoons Mustard oil,Salt - to taste</t>
  </si>
  <si>
    <t xml:space="preserve">To begin making Arbi Ka Achaar Recipe (Instant Colocasia pickle), pressure cook the arbi or colocasia for one whistle using a pressure cooker. Remove the skin and cut into thick rounds and keep aside.Heat the mustard oil in a wide pan and let it smoke till hot.Once smoky hot, add the asafoetida, cumin, fenugreek and nigella seeds, let it splutter for few seconds.Lightly crush the carom seeds between your palms and add it to the pan.Add the diced arbi pieces, and gently coat it with the tempered spices.Cook the arbi till it becomes slightly crisp on the outide, occasionally stirring in between. This will take 10 minutes.Add in the red chilli, turmeric, yellow mustard powder, season with salt and cook the arbi till done.Once the arbi is fully cooked, switch of the heat and bring it down to the room temperature.Add the vinegar, mix well and let it rest for 2 hours to soak in all the spices of arbi/colocasia before serving.Serve this Arbi Ka Achaar Recipe (Instant Colocasia pickle) along with Cabbage Paneer Parathas Recipe or Mushroom Paratha Recipe for breakfast.
</t>
  </si>
  <si>
    <t>http://www.archanaskitchen.com/arbi-ka-achaar-recipe-instant-colocasia-pickle</t>
  </si>
  <si>
    <t>Pudina Moong Dal Recipe</t>
  </si>
  <si>
    <t>1/2 cup yellow moong dal, 1/2 tsp red chilli powder, 1/4 tsp turmeric powder, 1/4 tsp cumin seeds, 1 asafoetida - a pinch, 1 tbsp ghee, 2 tbsp mint - chopped, water - as per requirement, salt - as per requirement</t>
  </si>
  <si>
    <t>"To make Pudina Moong Dal Recipe, first take moong dal in a pressure cooker, add 1 cup water, turmeric powder and cook till 2 whistles. Turn off the gas and let the pressure release automatically. Open the cooker, add 1-1/2 cup water, salt and bring to a boil. After boiling, turn off the gas. For the Tadka, heat ghee in a Tadka pan. Add cumin seeds, asafoetida and let it crackle. Now add mint and cook for 10 seconds. Now add red chilli powder and cook for 10 seconds. Pour this tempering over the dal and mix it. Let it boil for 2 to 3 minutes. Serve. Serve Pudina Moong Dal Recipe with Bhindi Masala, Boondi Raita and Phulkas for lunch."</t>
  </si>
  <si>
    <t>https://www.archanaskitchen.com/pudina-moong-dal-recipe-mint-moong-dal-in-hindi-in-hindi</t>
  </si>
  <si>
    <t>Delhi Style Matar Chaat Recipe - Spicy &amp; Tangy Green Peas Chaat</t>
  </si>
  <si>
    <t>1 cup Dried Green Peas (Vatana) - soaked for 1 hour,1 inch Ginger - finely chopped,1 teaspoon Red Chilli powder,1/2 cup Tomatoes - Chopped,1/2 teaspoon Cumin powder (Jeera),1 teaspoon Amchur (Dry Mango Powder),1/2 teaspoon Turmeric powder (Haldi),1 teaspoon Fennel seeds (Saunf),1/2 inch Cinnamon Stick (Dalchini),2 Bay leaves (tej patta),Salt - to taste,Lemon - extract from lemon,1 Onion - finely chopped,2 inch Ginger - cut into thin strips,1 Green Chilli - finely chopped,2 sprig Coriander (Dhania) Leaves - finely chopped,2 sprig Coriander (Dhania) Leaves - finely chopped</t>
  </si>
  <si>
    <t xml:space="preserve">We begin making the Delhi Style Matar Chaat Recipe by soaking the dried green peas / matar for at least 5 to 6 hours or overnight hour and keep it aside.Heat a pressure cooker with oil, add bay leaf, cinnamon stick and fennel seeds. Saute till the aroma comes out.Then add the ginger and sauté for few seconds. Add tomatoes, cook till it is softened.Finally add the rest of the spice powders and give the masala for the chaat a stir. Cook till the raw smell goes away. This will take about 3 to 4 minutes.At this stage add the soaked dried green peas and give it a stir. Add 2 cups of water and pressure cook it for 4 to 5 whistles or for at least 20 to 25 minutes and turn off the heat. Once done, release the pressure naturally, as the Matar Chaat will continue to cook while there is pressure.Check the taste, add the lemon juice  and give it a stir. Transfer the Delhi Style Matar Chaat Recipe to small serving bowls.Sprinkle onions, ginger, green chilies, drizzle the mint chutney and top it up with chopped coriander leaves and serve hot.Serve the Delhi Style Matar Chaat Recipe as it is or along with Baked Amritsari Kulcha or Puri with a glass of Rose Lassi Recipe to enjoy your Lunch meal.
</t>
  </si>
  <si>
    <t>http://www.archanaskitchen.com/delhi-style-matar-chaat-matra-recipe-spicy-tangy-dry-green-peas-curry-curry-recipe</t>
  </si>
  <si>
    <t>Whole Wheat Naan Recipe</t>
  </si>
  <si>
    <t>2 cups Whole Wheat Flour,1-1/2 teaspoons Active dry yeast,3/4 cup Lukewarm Water,1 teaspoon Sugar,2 tablespoon Curd (Dahi / Yogurt),Salt - to taste</t>
  </si>
  <si>
    <t xml:space="preserve">To begin making the Whole Wheat Naan Recipe, in a large mixing bowl, combine the flour, sugar, salt and yeast. Add yogurt and a little lukewarm water at a time and knead to make a smooth dough. Knead well for at least 4 to 5 minutes so the dough gets a good texture once it gets cooked.Cover the dough and allow it to rest in a warm place for at least 2 hours until it doubles in size.Once the dough has doubled in size, punch the dough down and knead for a couple of more minutes. Make 6 to 8 portions of this dough and allow this to rest for another 10 minutes. The portions of dough will rise again a bit.Dust flour on a working surface and roll them into ovals or circles and take care not to roll them too thin.Heat a skillet on medium heat, place the rolled whole wheat naan over the heated skillet and cook on both sides. You will notice brown spots come on the top and the naans will puff up with air pockets. If you have a gas flame, you can optionally cook it directly over the flame once it is partially done on the skillet.Once done, remove from skillet, smear some butter and serve warm.Serve the healthy and delicious Whole Wheat Naan along with your Paneer Butter Masala or Kadai Paneer along with a salad and raita for a weeknight dinner or for parties.
</t>
  </si>
  <si>
    <t>http://www.archanaskitchen.com/whole-wheat-naan-recipe</t>
  </si>
  <si>
    <t>Amritsari Murgh Makhani Recipe- Chicken Makhani Recipe</t>
  </si>
  <si>
    <t>1 teaspoon Red Chilli powder,1/2 teaspoon Turmeric powder (Haldi),1 cup Homemade tomato puree,2 tablespoons Fresh cream,5 Cashew nuts - for garnish,Coriander (Dhania) Leaves - a few chopped,Salt - to taste,Sunflower Oil,1 teaspoon Coriander (Dhania) Seeds,1/2 teaspoon Cumin seeds (Jeera),1 inch Cinnamon Stick (Dalchini),3 Cloves (Laung),1 Bay leaf (tej patta),2 Cardamom (Elaichi) Pods/Seeds,1 Black cardamom (Badi Elaichi),1 teaspoon Whole Black Peppercorns,1 teaspoon Dry ginger powder,1/4 teaspoon Nutmeg powder,300 grams Chicken breasts - cut into chunks,1 teaspoon Turmeric powder (Haldi),1/2 cup Curd (Dahi / Yogurt),1 teaspoon Lemon juice,2 Onions - roughly chopped,1 Green Chilli - roughly chopped,1 inch Ginger - roughly chopped,4 cloves Garlic</t>
  </si>
  <si>
    <t xml:space="preserve">To begin making the Amritsari Murgh Makhani Recipe, firstly let’s make the Amritsari Garam Masala powder and keep it ready.For Amritsar Garam Masala PowderIn a flat skillet dry roast all of the whole spices- coriander seeds, cumin seeds, cinnamon stick, cloves, bay leaf,  green cardamom, black cardamom, whole black peppercorns, dry ginger powder, nutmeg powder on low heat for 6-8 minutes. Turn off the flame.Allow the spices to cool, transfer into a mixer-jar and grind to form a fine powder. To marinate the chickenInto a mixing bowl, add the chicken pieces, turmeric powder, Amritsari Garam Masala powder, yogurt and salt. Mix well and marinate for a minimum of 30 minutes. To make the Onion Ginger Garlic MasalaTo make the onion ginger garlic masala, in a mixer-jar combine, onions, green chilli, ginger and garlic.  Grind to make a smooth paste without adding any water. To get ahead with Amritsari Murgh Makhani gravyHeat a kadai with oil on medium flame, add the onion ginger garlic masala and saute till the onions are cooked and the raw smell goes away. This will take about 3-4 minutes. Next add the red chilli powder, turmeric powder and salt and saute for a minute. Add pureed tomatoes and sprinkle with little salt and cook until the tomatoes come to a single boil. Give it a stir and add the marinated chicken pieces along with it's marinade and cook until the chicken is well done. This takes about 20 minutes to cook the chicken on low to medium heat. Ensure you cover the pan, add a little water and then cook the chicken. Keep stirring it intermittently, so the masala gets well combined into the Amritsari Murgh Gravy.Finally add cream and give it a stir. Check for salt and serve it hot by garnishing it with cashew nuts and coriander leaves.Serve the Amritsari Murgh Makhani Recipe along with Pudina Paratha, Matar Ki Tehri and Mooli Raita for a Indian lunch or dinner or serve it as a party for the main course.
</t>
  </si>
  <si>
    <t>http://www.archanaskitchen.com/amritsar-murgh-makhani-recipe</t>
  </si>
  <si>
    <t xml:space="preserve">Dal Fry </t>
  </si>
  <si>
    <t>1 cup chana dal, water - as per requirement, 1 onion - finely chopped, 2 tomatoes - finely chopped, 2 green chillies - finely chopped, 2 inch ginger, 5 long garlic, 2 tablespoons kasuri methi, 1/2 teaspoon turmeric powder, salt - as per taste, lemon - as per requirement, green coriander - chopped and garnish, 1 teaspoon Kashmiri red chilli powder, 1/2 teaspoon asafoetida, 1 tablespoon mustard seeds, 1 tablespoon fennel seeds, 1 tablespoon cumin seeds, 2 dry red chillies, ghee - as per requirement</t>
  </si>
  <si>
    <t>"To make Dal Fry, first wash the lentils and soak them in water for 20 to 30 minutes. Now put the lentils in a cooker with water, salt and turmeric powder as per requirement and cook till 5 whistles. Open the cooker and remove the water from the lentils and keep it aside. Now heat ghee and oil in a pan. Add ginger, garlic and green chillies in it. Let it cook for 2 minutes. After 2 minutes add onion and cook till the onion becomes soft and brown. After it becomes soft, add tomatoes and cook till the tomatoes become soft. After the tomatoes become soft, add lentils and mix well. After mixing, add lentil water and salt as per taste. Let it cook for 10 minutes and cook till it becomes thick. Now prepare to add Tadka to it. Heat ghee in a Tadka pan. Add mustard seeds, fennel seeds and cumin seeds in it. After 15 seconds, add asafoetida, dry red chillies and Kashmiri red chilli powder in it. Cook for 15 seconds And add it to the dal. Push the dal and keep it aside for 10 minutes. After 10 minutes garnish with coriander leaves and serve. Serve Dal Fry with Sev Tomato Sabzi and Bhakri for lunch.</t>
  </si>
  <si>
    <t>http://www.archanaskitchen.com/dal-fry-recipe-in-hindi</t>
  </si>
  <si>
    <t>Achari Aloo</t>
  </si>
  <si>
    <t>"To make Achari Aloo, first wash the potatoes and boil them till they are half cooked. Now peel them and cut them into small pieces. Now heat oil in a pan. Add potatoes and cook till they become light brown and crisp. Remove the potatoes and keep them aside. Now add asafoetida, cumin seeds and dried red chillies in the same pan. After 20 seconds, add potatoes and mix well. After 30 seconds, add pickles and mix. After 1 minute, add vinegar and let it cook for 2 minutes. Add some sugar and mix. After 1 minute, turn off the gas and serve. Serve Achari Aloo with Gujarati Daal, Phulka and Kachumber Salad for the day."</t>
  </si>
  <si>
    <t>http://www.archanaskitchen.com/achari-aloo-recipe-in-hindi</t>
  </si>
  <si>
    <t>Mango Phirni Recipe - Mango Rice Pudding Recipe</t>
  </si>
  <si>
    <t>2 Mango (Ripe) - peeled and diced,1 liter Milk,1/4 cup Rice,1/2 cup Sugar,2 tablespoons Pistachios - thinly sliced,2 tablespoons Badam (Almond) - thinly sliced,1/2 teaspoon Cardamom Powder (Elaichi),5 Saffron strands</t>
  </si>
  <si>
    <t xml:space="preserve">To begin making the Mango Phirni Recipe, wash and soak the rice for 2-3 hours. Drain and pat dry on an absorbent cloth. Once the rice is dry, blend into a coarse powder - the texture will be similar to semolina.Puree half the mangoes and keep the other half in cut pieces.In a heavy bottomed pan; add the milk and bring it to a roaring boil.Once it begins to boil, turn the heat to low and simmer the milk until it condenses to half its volume. Keep stirring the milk while it is simmering.  This process of reducing the milk adds to the richness of the phirni.Once the milk is reduced to half add the ground rice to milk. You will notice that the milk will begin to thicken. Once it starts thickening, add the sugar, cardamom powder and saffron. You might want to add some more milk, if the milk has thickened a little too much. Adjust the consistency as desired.Keep stirring the phirni for another 5 to 10 minutes till the mixture attains its full flavor and has an almost pudding-like consistency.Turn off the heat and allow the phirni to cool completely. Once cooled, stir in the pureed mangoes into the phirni and refrigerate for at least 5 hours. Once you are ready to serve, spoon the Mango Phirni them into small glasses or cups, sprinkle with the sliced pistachios and almonds and serve.Serve the Mango Phirni as a dessert after a delicious North Indian Meal or even after a simple sunday lunch for the family.
</t>
  </si>
  <si>
    <t>http://www.archanaskitchen.com/mango-phirni-recipe-north-indian-milk-pudding-with-fresh-alphonso-mangoes</t>
  </si>
  <si>
    <t>Rajgira Puri Recipe (Navratri Fasting/Vrat Recipe)</t>
  </si>
  <si>
    <t>2 cups Rajgira Flour (Amaranth Flour),1 Potato (Aloo) - boiled,1/2 teaspoon Black pepper powder,Rock Salt - or salt to taste,Sunflower Oil - to fry</t>
  </si>
  <si>
    <t xml:space="preserve">We begin making the Rajgira Puri(Navratri Fasting/Vrat Recipe) by mixing all the ingredients into a bowl. THe rajgira flour has less gluten so it might be little difficult to work with.Knead it to a dough which is moist and not very sticky.Make small balls out of the dough and dust the rolling table with rajgira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your soft Rajgira Puri(Navratri Fasting/Vrat Recipe) with Apple Tamatar Ki Subzi or Lauki Paneer Kofta Curry.
</t>
  </si>
  <si>
    <t>http://www.archanaskitchen.com/rajgira-puri-recipe-navratri-fasting-vrat-recipe</t>
  </si>
  <si>
    <t>Hare Chane Ka Pulav Recipe</t>
  </si>
  <si>
    <t>1 tablespoon Ghee,1 teaspoon Cumin seeds (Jeera),2 Cloves (Laung),2 Dry Red Chilli,1 Potato (Aloo) - peeled and cut into small cubes,2 Onion - thinly sliced,1 Green Chilli - finely chopped,1 cup Rice,1 cup Hara Chana,1 teaspoon Turmeric powder (Haldi),1 teaspoon Red Chilli powder,Salt - as required,1 teaspoon Lemon juice - Juice from half lemon,Coriander (Dhania) Leaves - few sprigs finely chopped</t>
  </si>
  <si>
    <t xml:space="preserve">To begin making the Hare Chane Ka Pulav, firstly heat ghee in a wok. Add cumin seeds, cloves, red dry chillies and let it cook for about 15-20 seconds.After 15-20 seconds, add onions and green chillies and let it cook till the onions become soft and translucent.Once it is done, add in the potatoes for about 2 minutes on medium heat. After 2 minutes add in the hare chane. Cover the lid and cook it till the potatoes are half cooked.Next, add the rice, red chilli powder, turmeric powder, lemon juice and salt. Mix everything properly and cook it for abut 2-3 minutes.Add the required water, cover the lid and let it cook on medium flame till the water is absorbed. If the rice is still not cooked, add more water and cook it for few more minutes.Once done, switch off the heat and garnish it with chopped coriander leaves.Serve Hare Chane Ka Pulav with Burani Raita for a healthy and light meal.
</t>
  </si>
  <si>
    <t>https://www.archanaskitchen.com/hare-chane-ka-pulav-recipe</t>
  </si>
  <si>
    <t>Dahi Suran Ki Kadhi Recipe - Yam Cooked In Yogurt Curry</t>
  </si>
  <si>
    <t>300 grams Elephant yam (Suran/Senai/Ratalu) - peeled and diced,1/2 cup Curd (Dahi / Yogurt),1 tablespoon Gram flour (besan),1/2 teaspoon Mustard seeds,1/4 teaspoon Methi Seeds (Fenugreek Seeds),1/2 teaspoon Turmeric powder (Haldi),1/2 teaspoon Red Chilli powder,1/2 teaspoon Coriander Powder (Dhania),1/2 teaspoon Whole Black Peppercorns - crushed,1 inch Cinnamon Stick (Dalchini),1 Bay leaf (tej patta),Salt - to taste,Sunflower Oil - for cooking</t>
  </si>
  <si>
    <t xml:space="preserve">We begin making the Dahi Suran Ki Kadhi Recipe (Yam Cooked In Yogurt Curry Recipe) by cooking the diced yam in the pressure cooker with 1/2 cup water and a little salt, pressure cook it for 4 whistles till it is soft and firm. Let the pressure release naturally by itself.The next step is to make the Kadhi so for that add curd in a saucepan and then add 2 cups water and besan flour. Keep mixing it on a low heat and bring it to a boil. Add some salt, red chilli powder, turmeric powder, coriander seeds, stir well and let it cook in low heat for few more minutes. Later add in the boiled yam to the kadhi. Once that is done, it is time to make the temper for the kadhi. Heat a small shallow pan with oil and then add cumin seeds, cinnamon, bay leaf , fenugreek seeds and fresh ground peppercorns.Let the spices get roasted little and sprinkle the tempered spices on to the kadhi mixture. Serve the Dahi Suran Ki Sabzi Recipe (Yam Cooked In Yogurt Curry Recipe) with Bhindi Masala, Jeera Rice and Phulka for an everyday meal.
</t>
  </si>
  <si>
    <t>https://www.archanaskitchen.com/dahi-suran-ki-kadhi-recipe-yam-cooked-in-yogurt-curry-recipe</t>
  </si>
  <si>
    <t>Pyaaz Ki Kachori Recipe</t>
  </si>
  <si>
    <t>3 Onions - finely chopped,1-1/2 cup All Purpose Flour (Maida),1/2 cup Whole Wheat Flour,1 teaspoon Cumin seeds (Jeera),1/2 teaspoon Kalonji (Onion Nigella Seeds),1/2 teaspoon Fennel seeds (Saunf) - coarsely crushed,1 tablespoon Kasuri Methi (Dried Fenugreek Leaves),1/4 teaspoon Asafoetida (hing),1 teaspoon Garam masala powder,1 teaspoon Coriander Powder (Dhania),1 teaspoon Red Chilli powder,1/2 teaspoon Amchur (Dry Mango Powder),2 teaspoons Ginger Garlic Paste,1 teaspoon Whole Black Peppercorns - crushed coarsely,1 pinch Baking soda,2 tablespoons Sunflower Oil,Sunflower Oil - for frying,Salt - to taste,2 sprig Coriander (Dhania) Leaves - finely chopped</t>
  </si>
  <si>
    <t xml:space="preserve">To begin making the Pyaaz Ki Kachori recipe, heat a cast iron pan with 2 tablespoons of oil. Once the oil is hot,  add asafoetida and saute it for a few seconds.Add cumin seeds and saute till brown. Next, add ginger paste, garlic paste, red chilli powder, onions and saute till the onion turn slightly brown and translucent.Once the onion turns brown, add amchur powder, coarsely crushed fennel seeds, kalonji, coriander powder, crushed black peppercorns, garam masala and mix well.Lastly, add kasuri methi, chopped fresh coriander and mix again to blend well. Allow the mixture to cool and add salt just before stuffing. The filling of kachori is ready.The next step is to make the dough. Sieve maida, wheat flour and baking soda into a bowl. Make a well in the center and add sizzling hot oil and salt. Mix well with a spoon.Now add sufficient water and knead the dough. Cover the dough with a clean kitchen towel for about 20 minutes.Grease your palms and make small balls of the dough. Flatten the balls slightly and shape into small katoris /cups with your fingers. Place some of the onion filling in the center and gather all the edges and seal. Flatten the kachoris with your hands and make all the kachoris in the same way.Next, we will fry these Kachoris. Heat the required amount of  oil in a heavy bottomed pan and once the oil is hot, add the kachoris one by one. Fry them from both the sides till it turn golden and crispy.Once done, take them out on an absorbent paper.Serve this crispy and mouth watering Pyaaz Ki Kachori with Dhaniya Pudina Chutney and Date and Tamarind Chutney for your evening snacks or tea party snacks. You can also serve it as an appetizer for potluck or as a starter for your dinner parties.
</t>
  </si>
  <si>
    <t>http://www.archanaskitchen.com/pyaaz-ki-kachori-recipe</t>
  </si>
  <si>
    <t>Palak And Peas Kachori Recipe</t>
  </si>
  <si>
    <t>1-1/2 cup Whole Wheat Flour - (all purpose flour),1 tablespoon Sooji (Semolina/ Rava),1/4 cup Spinach Leaves (Palak) - puree,1/4 teaspoon Ajwain (Carom seeds),Sunflower Oil - as required (ghee),Salt - to taste,Chilled water - required to knead,1 cup Green peas (Matar),Asafoetida (hing) - a pinch,1/2 teaspoon Red Chilli powder,1/2 teaspoon Amchur (Dry Mango Powder),1/2 teaspoon Fennel seeds (Saunf) - crushed,1/4 teaspoon Garam masala powder,Salt - to taste,Sunflower Oil - required for deep frying</t>
  </si>
  <si>
    <t xml:space="preserve">To begin making the Palak And Peas Kachori recipe, we will first make the dough for the kachori. Take maida, sooji, spinach puree, salt, ajwain and oil in a mixing bowl. Mix it nicely with the tips of your fingers and form a breadcrumb like texture.Add ice cold water little by little to form a tight dough. (This is an important point to keep in mind. If the dough is soft, the texture of the outer skin will not come good). Cover it with damp cloth and keep the dough aside for 15 to 20 minutes.The next step is to prepare the filling for the kachoris. Add green peas in the grinder and gring it coarsly.Heat some oil in a heavy bottomed pan. Once the oil is hot, add asafoetida. Later add coarse green peas paste. Saute it for 2 to 3 minutes such that moisture dries out. This step is important else kachori will become soft.To the dry peas mix add salt, chilli powder, crushed saunf, amchoor powder and garam masala. Mix well such that everything combines well. Stuffing for palak kachori is ready.The next step is to make the Kachori. Divide the kachori dough to small lemon size balls.Dust and roll out each ball lightly into thick circular puri. Don't make it thin.Put 1-2 teaspoons stuffing mixture in the center of puri, bring its ends together and seal its edges nicely. Slightly press with hand or roll lightly to flatten the stuffed balls . Heat oil over medium flame to deep fry kachori. When the oil is just hot, slide the kachoris in the pan. Cook on low heat till lightly browned from both the sides. Remove the kachori on a tissue paper to absorb the excess oil from the kachoris. Once it is done, serve it hot.Serve this mouth watering Palak And Peas Kachori along with Dhaniya Pudina Chutney and Date Tamarind Chutney for tea time snacks or as evening snacks. You can also serve these Kachoris with palak peas filling for your potluck or as an starter for your house parties.
</t>
  </si>
  <si>
    <t>http://www.archanaskitchen.com/palak-and-peas-kachori-recipe</t>
  </si>
  <si>
    <t>Fried Poha Chivda Recipe - Flatten Rice Spicy Mixture</t>
  </si>
  <si>
    <t>2 cups Poha (Flattened rice),1/2 cup Roasted Peanuts (Moongphali),1/2 cup Roasted Gram Dal (Pottukadalai),1/2 cup Boondi - masala,2 teaspoon Red Chilli powder - to be adjusted based on one’s preference,10 to 12 Curry leaves,Dry coconut (kopra) - pieces (optional),Salt - to taste</t>
  </si>
  <si>
    <t xml:space="preserve">To begin making the Fried Poha Chivda recipe, heat oil in a kadai. on medium flame and deep fry poha in oil and drain on thick absorbent paper.Next deep fry the groundnuts in the same kadai and add to the poha. Deep fry the putana dal and add to Deep fry the curry leaves quickly and add to the mixture. Let the oil drain. Transfer this mixture to another absorbent paper (thick tissue paper) Now, add chilli powder and salt. Mix well.Let it cool. Store in air tight container. Savour this Poha Chiwda any time to satiate your 'need crunchy snack-hunger pangs’ with a cup of hot Masala tea.
</t>
  </si>
  <si>
    <t>http://www.archanaskitchen.com/fried-poha-chiwda-recipe-flatten-rice-spicy-mixture</t>
  </si>
  <si>
    <t>Jowar Atta Pyaz Thepla Recipe – Sorghum Wheat Onion Thepla</t>
  </si>
  <si>
    <t>1 cup Whole Wheat Flour,1-1/2 cup Jowar Flour (Sorghum),2 Onion - finely chopped,1 Green Chilli - finely chopped,1 teaspoon Coriander Powder (Dhania),2 teaspoon Garam masala powder,2 teaspoon Amchur (Dry Mango Powder),1 teaspoon Turmeric powder (Haldi),Salt - to taste,Sunflower Oil</t>
  </si>
  <si>
    <t xml:space="preserve">To begin making the Jowar Atta Pyaz Thepla Recipe, in a large mixing bowl add chopped onions, green chilli, coriander powder, garam masala, amchur and turmeric, salt, whole wheat flour and the jowar flour.Add water little at a time and form a firm dough which is not sticky. Knead it well to form a dough. Rest the thepla dough for at least 10 minutes and shape them into medium sized balls.Dust it with wheat flour and roll the Jowar Atta Pyaz Thepla dough gently to make a thin circular thepla.The diameter of the Jowar Atta Pyaz thepla depends on how thin or thick you want it to be. Repeat the same process with the remaining dough portions.Preheat the skillet on medium flame. Place the rolled Jowar Atta Pyaz thepla gently on the tawa and cook on both sides, drizzle oil or ghee and cook till the thepla have brown spots on either side.Once done, stack the theplas one over the other and serve hot.Serve the Jowar Atta Pyaz Thepla Recipe along with Dal Palak, Aloo Parwal Sabzi,  Gor Keri Pickle , Palak Raita Recipe for a wholesome lunch or dinner.
</t>
  </si>
  <si>
    <t>http://www.archanaskitchen.com/jowar-atta-pyaz-thepla-recipe-sorghum-wheat-onion-thepla</t>
  </si>
  <si>
    <t>Arbi Cutlet Recipe (Spiced Colocasia Patties)</t>
  </si>
  <si>
    <t>150 grams Colocasia root (Arbi),1 Onion - finely chopped,1 Green Chilli - finely chopped,1/2 teaspoon Red Chilli powder,1 teaspoon Turmeric powder (Haldi),1/2 teaspoon Cumin powder (Jeera),1 teaspoon Garam masala powder,1 teaspoon Sugar,1 tablespoon Gram flour (besan),2 sprig Coriander (Dhania) Leaves - finely chopped,4 tablespoon Whole Wheat Bread crumbs,Salt - to taste,Sunflower Oil - for frying</t>
  </si>
  <si>
    <t xml:space="preserve">We begin making the Arbi Cutlet (Spiced Colocasia Patties)  by cooking the arbi in a pressure cooker with 1/2 a cup of water for about 4 whistles.  Simultaneously start prepping with the other ingredients and keep it ready.Once the arbi is cooked, leave the pressure cooker to release all the pressure naturally. Then later on drain the liquid and peel of the skin. With the help of the potato masher, mash all the arbi to a paste.In a mixing bowl, add all the chopped ingredients,spices, salt to taste and the mashed arbi along with besan and mix it thoroughly.Divide the mixture equally into a medium sized patties and coat it evenly with bread crumbs.Heat a Non stick flat bottomed pan with enough oil to pan fry the patties. Place the patties and pan fry them on both the sides till it turn golden brown.You can relish the Arbi Cutlet (Spiced Colocasia Patties) along with Dhaniya Pudina Chutney (No Onion No Garlic).
</t>
  </si>
  <si>
    <t>http://www.archanaskitchen.com/arbi-cutlet-recipe-spiced-colocasia-patties</t>
  </si>
  <si>
    <t>Methi Malai Matar Recipe - Fenugreek Peas Curry With Cream</t>
  </si>
  <si>
    <t>3 cups Methi Leaves (Fenugreek Leaves) - chopped,1 cup Green peas (Matar),3 Onions - cut in four pieces each,2 Green Chillies - adjustable,10 Cashew nuts,4 cloves Garlic,1 inch Ginger,1/2 cup Milk,1/2 tablespoon Coriander Powder (Dhania),1/2 cup Fresh cream,1/4 tablespoon Cardamom Powder (Elaichi),1/2 tablespoon Sugar,1 tablespoon Kasuri Methi (Dried Fenugreek Leaves),Salt - to taste,3 tablespoons Ghee - or oil,2 Cardamom (Elaichi) Pods/Seeds,3 Cloves (Laung),1 tablespoon Cumin seeds (Jeera),5 Whole Black Peppercorns,1/2 inch Cinnamon Stick (Dalchini),1/2 Mace (Javitri),1 Black cardamom (Badi Elaichi)</t>
  </si>
  <si>
    <t xml:space="preserve">To begin making the Methi Malai Matar Recipe, firstly we will make the dry masala. Add green cardamom, cloves, cumin seeds, whole black peppercorns, cinnamon stick, mace and black cardamom in a blender and make ground spice powder and keep it aside.Next, add some water in a heavy bottomed pan and let it boil. Once it starts boiling add onion, cashew nuts, green chillies, garlic and ginger to the boiling water.Once its boiled, drain the water and make a ground paste of boiled onion, cashew nuts, green chillies, ginger and garlic cloves and keep it aside.Next, we will blanch the fenugreek leaves to enhance the colour of the dish. Add methi leaves in hot water in a pan. After a minute, add it to the chilled water for about 2 minutes.Now drain the water and squeeze out whatever remaining water in methi and keep it aside.Heat ghee in a wok or a heavy bottomed pan, add wet ground paste and cook it for 5 minutes till spice starts releasing oil.Now add green peas and milk, let it cook for another minute.Add dry spice powder which we made earlier and coriander powder. Mix it well and cook for another 3 to 4 minutes on medium flame.Now add blanched methi, salt, sugar, mix it well and cook for 2 more minutes.If you find consistency too thick, you can adjust it by adding milk.Add cardamom powder, kasuri methi and cream, mix well and cook for 2 to 3 minutes more. Serve hot.Serve Methi Malai Matar Recipe along with Beetroot Thoran, Boondi Raita and Tawa Paratha for your weekday lunch or dinner.
</t>
  </si>
  <si>
    <t>http://www.archanaskitchen.com/methi-malai-matar-recipe-fenugreek-peas-curry-with-cream</t>
  </si>
  <si>
    <t>4 cup Whole Wheat Flour,1 tablespoon Active dry yeast,1 teaspoon Sugar,2 cloves Garlic - finely chopped (or a teaspoon if garlic powder),Salt - to taste,Lukewarm Water,1 Onion,Coriander (Dhania) Leaves - small bunch,5 - 6 Mint Leaves (Pudina),6 cloves Garlic,Salt - to taste,1/2 teaspoon Red Chilli powder,1/2 teaspoon Turmeric powder (Haldi)</t>
  </si>
  <si>
    <t xml:space="preserve">To begin making the Whole Wheat Onion Kulcha recipe, we will first prepare the dough and set it for rising.To prepare the dough for Kulcha, sift flour with salt in a large bowl. Add yeast, salt, sugar, garlic powder or chopped garlic and stir to combine all the ingredients.Add the lukewarm water little at a time and knead to make a soft and smooth dough. Knead well for about 5 minutes so the dough becomes light and fluffy.Cover the dough and set it to rise in a warm place for a couple of hours or until it is doubled.Once the dough has risen or close to its ready time, we will prepare the stuffing for the Kulchas.Into a food processor add onion, mint, coriander, garlic and process to fine chop. If you are not using any food processor then make sure to fine chop all the four ingredients. Once the dough gets doubled in size bring it out and ounch it with your fingers to release the trapped air. To make kulchas, heat iron skillet over medium heat, pinch out a small portion from the dough and shape it into a round. Roll out the ball into a circle of approx 2 inch diameter. Spoon a tablespoon of filling into the center. Bring the corners of the dough to the centre to seal the Kulcha dough. Once again gently flatten the ball with light pressure of your palm. Dust lightly on flour and roll it out into a circle without putting too much pressure on the kulcha else filling will ooze out from the sides. Transfer the rolled out Kulcha dough to the hot skillet. Cook on both the sides until you see it starts puffing up. Once it does, transfer it to direct heat to puff up the Kulchas.  While cooking over the direct heat make sure to flip the kulcha continuously to cook evenly from all sides. While cooking over the direct heat make sure to flip the kulcha continuously to cook evenly from all sides.  Proceed the same way with the remaining dough and fillingServe the Whole Wheat Onion Kulcha's along with Chole Pindi Recipe, or Amritsari Chole Recipe and Palak raita.
</t>
  </si>
  <si>
    <t>https://www.archanaskitchen.com/whole-wheat-onion-stuffed-kulcha-recipe</t>
  </si>
  <si>
    <t>Aloo Bhindi Masala Gravy Recipe</t>
  </si>
  <si>
    <t>200 gms lady finger, 1 potato - boil and chop, 1 onion - finely chop, 2 tomatoes - finely chop and make puree, 4 cloves garlic - finely chop, 1 inch ginger - finely chop, 2 green chillies - finely chop, 1 sprig curry leaves, 1 tsp coriander powder, 1/2 tsp cumin powder, 1/2 tsp turmeric powder, 1 tsp red chilli powder, 1/2 tsp mustard, 1/2 tsp cumin, water - as per requirement, 1/4 tsp sugar, salt - as per taste, asafoetida - a pinch, oil - as per requirement, green coriander - as per requirement, lemon juice - as per requirement</t>
  </si>
  <si>
    <t>"To make Aloo Bhindi Masala Gravy Recipe, first of all put potatoes in pressure cooker along with water as per requirement and cook for 2 to 4 whistles. Turn off the gas. After the pressure is released, open the cooker, peel the potatoes and chop them. Keep them aside. Heat oil in a pan. Add ladyfinger, little salt and cook till ladyfingers become soft. Keep ladyfingers aside. Now heat oil in a pan. Add cumin seeds, mustard seeds, asafoetida and let them crackle. Now add curry leaves, ginger, garlic, green chillies and cook for 1 to 2 minutes. Now add onions and cook till they become soft. After onions become soft, add tomatoes and cook till tomatoes become soft. After tomatoes become soft, add coriander powder, cumin powder, turmeric powder, red chilli powder and cook for 2 minutes. Now after 2 minutes add cooked potatoes, ladyfingers and mix, add salt and mix. Let it boil Add some water and cook well. It will take 2 to 3 minutes. Add lemon juice, coriander leaves and mix well. Turn off the gas and serve. Serve Aloo Bhindi Masala Gravy Recipe with Amritsari Daal, Tadka Raita and Phulkas for dinner. "</t>
  </si>
  <si>
    <t>http://www.archanaskitchen.com/aloo-bhindi-masala-gravy-recipe-potato-bhindi-curry-recipe-in-hindi</t>
  </si>
  <si>
    <t>Dry Navratan Korma Recipe</t>
  </si>
  <si>
    <t>1 Cauliflower (gobi) - cut into florets,2 Carrots (Gajjar) - diced to bite-size,5 Green beans (French Beans) - cut to bite-size,1/2 cup Green peas (Matar),1 Green Bell Pepper (Capsicum) - diced to bite-size,2 Potatoes (Aloo) - diced to bite-size,2 Onions - chopped,1 inch Ginger - chopped,4 cloves Garlic - chopped,2 Green Chilli - chopped,2 Tomatoes - pureed,1-1/5 tablespoons Coriander Powder (Dhania),1/2 tablespoon Garam masala powder - (or Kitchen King Masala),1 teaspoon Red Chilli powder,Salt - as needed,Sunflower Oil - as required,2 Bay leaves (tej patta),1 Cinnamon Stick (Dalchini),2 Cardamom (Elaichi) Pods/Seeds,1 teaspoon Ajwain (Carom seeds),100 grams Paneer (Homemade Cottage Cheese) - cubed,1 cup Fresh cream,1/2 cup Cashew nuts - ground to paste,1/2 cup Pineapple - cut to bite-size chunks,1/2 cup Anardana Powder (Pomegranate Seed Powder),2 tablespoons Raisins,Cashew nuts - split,Coriander (Dhania) Leaves - few for garnishing,Coriander (Dhania) Leaves - few for garnishing</t>
  </si>
  <si>
    <t xml:space="preserve">To begin making Dry Navratan Korma Recipe, prepare and keep all the ingredients on the kitchen counter first.Heat a little oil in a shallow frying pan and shallow fry the paneer chunks on all sides till crisp and keep aside on a kitchen towel to drain any excess oil.Add more oil if required, add whole spices mentioned, and as soon as they crackle, add onions and saute till they soften and are translucent.Now add chopped ginger garlic and green chilies and fry till raw smell goes and turns brownish in color.Now add tomato puree and saute till the raw smell disappears.Add all the chopped vegetables and peas excluding paneer, nuts, and fruits.Mix well and add coriander powder, red chili powder and kitchen king masala or garam masala and fry till cooked well.Add a little oil if you feel that the curry is too dry. Now add cashew paste and fresh cream.Mix well till everything incorporates well with each other. You may see the curry getting thicker, so add little water, around 1/2 cup and stir and allow the vegetables to cook on low flame. Keep the lid closed.This may take around 7-8 minutes.Once you see the vegetables softening, add raisins and split cashew nuts and mix well.Cook for another few minutes until cashews and raisins are incorporated with flavours.Let all the vegetables be cooked to el dente, and not soggy.Now add the pineapple chunks and half of the pomegranate, mix and turn off the gas flames.Add fried paneer pieces on the top and garnish with freshly chopped coriander, some split cashews, and pomegranate pearls.Serve Dry Navratan Korma along with Dal Banjara Recipe and Phulkas for an everyday meal. Goes well with Kashmiri Pulao or Butter Naan, accompanied with some fresh green salad and Cucumber and Green Chilli Raita.
</t>
  </si>
  <si>
    <t>http://www.archanaskitchen.com/dry-navratan-korma-recipe</t>
  </si>
  <si>
    <t>Aamras Recipe</t>
  </si>
  <si>
    <t>3 cups mango - peeled and chopped, 1/4 cup water, sugar - optional</t>
  </si>
  <si>
    <t>"To make Aamras Recipe, first prepare all the ingredients. Peel the mango and chop it. Grind the mango in a blender along with water and sugar. Take it out in a bowl and serve. You can also serve it chilled as it tastes even better when chilled. Serve Aamras Recipe with Gujarati Daal, Gujarati Tindora Nu Shak and Phulka for lunch."</t>
  </si>
  <si>
    <t>http://www.archanaskitchen.com/aamras-recipe-ripe-mango-ras-in-hindi</t>
  </si>
  <si>
    <t>Chicken Dum Biryani Recipe</t>
  </si>
  <si>
    <t>1 kg Chicken - with bone,4 cups Basmati rice,3 Onions - sliced thin,4 Tomatoes - finely chopped,4 Green Chillies - slit at the center,20 gram Ginger - ground to paste,20 gram Garlic - ground to paste,2 tablespoon Red Chilli powder,2 tablespoon Coriander Powder (Dhania),1 tablespoon Garam masala powder,1/2 cup Coriander (Dhania) Leaves - finely chopped,1/2 cup Mint Leaves (Pudina) - finely chopped,Sunflower Oil - as needed,Ghee - as needed,Salt - to taste,1/2 cup Hung Curd (Greek Yogurt),1 tablespoon Red Chilli powder,1 teaspoon Turmeric powder (Haldi),Salt - as required</t>
  </si>
  <si>
    <t xml:space="preserve">To begin making the Chicken Biryani recipe, we will first begin with the rice preparation. To cook basmati rice separately, wash and soak the basmati rice in water for 20 minutes.Meanwhile add about 3 litres of water in a large vessel and bring it to boil.Once water starts to boil, add about 1 teaspoon of cooking oil and 1 teaspoon of salt. Add the soaked and drained rice, stir gently once and cook for about 3 to 5 minutes (I usually take it off heat by 3-1/2 minutes).Keep an eye on rice as some brands of basmati rice cooks very fast and some takes time. My rice was cooked in 5 minutes. Drain the water immediately and spread the rice on a large plate.In a deep bottomed pan, heat oil on medium flame,  add 1 sliced onion and fry it until brown (don’t burn the onions). Remove browned onion from oil and keep it aside. This will be used for garnishing and to make the layers.The next step is to marinate the chicken for the Chicken Dum Biryani Recipe.Clean and wash the chicken thoroughly.In a mixing bowl, marinate the chicken with thick curd, red chili powder, turmeric powder and salt.Marinate for at least 30 minutes. In a large pan, add oil and heat on medium flame, add the remaining sliced onions and saute for 3 minutes or until the onions turn translucent. Next add ginger-garlic paste and saute till the raw smell goes off.Add slit green chilies and mix for a minute.To this add chopped tomatoes and saute till tomatoes turn slightly mushy.Once the tomatoes are mushy add red chili powder, coriander powder and salt and saute it for about 2 minutes.Add 3 tablespoons of both coriander and mint leaves and mix.Finally, add  the marinated chicken for the biryani and mix well. Cook until chicken is fully cooked. Once chicken is cooked, if you find there is excess water, increase the flame and thicken the masala. We need the masala just to coat the chicken.Take a large wide, deep vessel, add ghee and spread it to coat all the bottom and sides of the pan, reduce the flame to low. Add about 2 full tablespoons of the thick chicken biryani masala and spread it all over the bottom.Next, add cooked basmati rice over the chicken biryani masala and gently spread the rice to cover the chicken. Use a tea spoon and remove the top oily layer from masala and drizzle over the rice, this will add flavours to the rice and also give colour.Repeat the layering process until you have used up all rice and chicken. Over the top sprinkle coriander and mint leaves and browned onions and close with a lid.Ensure the flame is low and place a heavy weight on top of lid to trap the steam inside to cook the Chicken Dum Biryani recipe. Leave the dum biryani aside for 10 minutes until all the flavors seep through.Scoop out the Chicken Dum Biryani from the edges of the pan, making sure not to break the rice grains.Serve Chicken Dum Biryani Recipe with Pickled onions, Burani Raita and Mirchi Ka Salan Recipe (Chillies in Tangy Spicy Peanut Sesame Curry) for Sunday afternoon lunch.
</t>
  </si>
  <si>
    <t>http://www.archanaskitchen.com/chicken-dum-biryani-recipe</t>
  </si>
  <si>
    <t>Mutton Do Pyaza Recipe</t>
  </si>
  <si>
    <t>450 grams Mutton - cleaned and Cut into small pieces,1 Onion - thinly sliced,1 Tablespoon Ginger Garlic Paste,1/2 teaspoon Turmeric powder (Haldi),1/2 Cup Curd (Dahi / Yogurt),1 Tablespoon Red Chilli powder - differ amount as per taste,1 teaspoon Cumin powder (Jeera),1 teaspoon Coriander Powder (Dhania),1 Tablespoon Garam masala powder,2 Green Chillies - finely chopped,2 Tablespoons Extra Virgin Olive Oil,Coriander (Dhania) Leaves - Few Chopped,Salt - to taste,1/2 teaspoon Lemon juice,1 Tablespoon Extra Virgin Olive Oil,1 Onion - roughly chopped in chunks,6 Dry Red Chillies</t>
  </si>
  <si>
    <t xml:space="preserve">To begin preparing Mutton Do Pyaza Recipe, keep all the ingredients handy. In a saucepan kept on medium heat, sauté sliced onions using a tablespoon of oil, till browned, for about 2-3 minutes. Sprinkling a little salt while sautéing helps in faster cooking. Browning of onions is important to hold up the taste.Add ginger garlic paste. Mix. Sauté till the raw smell disappears, for about 2-3 minutes on medium heat.Add turmeric powder, goat meat and mix well. Add a little water, cover and cook on medium high for 30 mins. Check in between to add more water as required and sauté.Add dry spices like coriander, cumin powder, red chilli powder and Yogurt. Mix well, cover and cook for another 30 minutes on medium high heat.Add Garam masala, sprinkle chopped coriander and salt. Mix well.The next step is tempering. In a medium pan, heat 1 tablespoon oil and add dry red chilies. Fry for few seconds until they brown up.Then add roughly chopped onions. Sauté for 2-3 minutes until tender and browned. Pour this over mutton.Mix well. Cover and simmer on low heat for 10 minutes. Squeeze juice of half a lime.Relish Mutton Do Pyaza with hot Rotis, Butter Naan or cooked Rice for a nice sunday meal to enjoy with your loved ones.
</t>
  </si>
  <si>
    <t>http://www.archanaskitchen.com/mutton-do-pyaza-recipe</t>
  </si>
  <si>
    <t>Matar Butter Masala Recipe</t>
  </si>
  <si>
    <t>2 cups Green peas (Matar),2 Tomatoes - pureed,1 inch Ginger,4 cloves Garlic,1 Green Chilli - slit,12 Cashew nuts,1 tablespoon Coriander Powder (Dhania),3/4 teaspoon Kashmiri Red Chilli Powder,2 teaspoons Kasuri Methi (Dried Fenugreek Leaves),2 Bay leaves (tej patta),1 tablespoon Butter,1/2 teaspoon Sugar - optional,Salt - to taste</t>
  </si>
  <si>
    <t xml:space="preserve">To begin making Matar Butter Masala Recipe, soak the cashew nuts in warm water for 20 minutes and then grind it to a smooth paste using a mixer grinder and keep aside.Similarly puree the tomatoes and keep aside.Heat butter in a pan on medium flame, add the bay leaf and let it release its flavour into the butter.Now pound the garlic cloves and ginger using a mortar and pestle to a semi course paste and add it to the pan. Saute for 2 minutes until the raw smell goes away.Add the tomato puree, stir well and let the mixture cook for a few minutes.Add the coriander powder, garam masala and kashmiri red chilli powder and sauce until the oil separates.Now, add the cashew paste, slit green chilli and cook for 2 minutes.Add water to your required consistency, season with salt, sugar and bring it to a rolling boil.Now add the green peas and let it simmer with the lid closed until the green peas is well cooked.Switch off the flame and garnish with the kasuri methi by slightly crushing it between your palms.Serve the Matar Butter Masala Recipe along with flaky Parathas or Phulkas and green Sweet potato and green beans salad for a weeknight dinner.
</t>
  </si>
  <si>
    <t>https://www.archanaskitchen.com/matar-butter-masala-recipe</t>
  </si>
  <si>
    <t>Punjabi Methi Kadhi Recipe</t>
  </si>
  <si>
    <t>1 cup curd, 1/4 cup gram flour, 1/2 teaspoon turmeric powder, 1 teaspoon coriander powder, 1/4 teaspoon red chili powder, salt - according to taste, 100 grams fenugreek - wash and chop, 1 onion - chop thinly and straight, 1/4 teaspoon cumin seeds, 1/4 mustard seeds, 2 dried red chilies, 1-1/2 tablespoon ghee, 1-1/2 tablespoon Ghee</t>
  </si>
  <si>
    <t>"To make Punjabi Methi Kadhi Recipe, first of all take gram flour, curd, turmeric powder, coriander powder, red chilli powder, salt in a saucepan and mix well. Now add 2 cups of water and whisk. Make sure it doesn't form lumps. Turn on the gas and let the mixture boil. Keep stirring the kadhi at times so that it doesn't burn. After the kadhi comes to a boil, reduce the flame of the gas and let it cook for 6 to 8 minutes. Now for the tempering, heat oil in a tempering pan. Add onions and cook till they become soft. Now add fenugreek and cook till they also become soft. Turn off the gas. Add this onion and fenugreek mixture to the curry, mix and cook for 5 to 7 minutes. Turn off the gas. Now for the tempering, heat ghee in a tempering pan. Add mustard seeds, cumin seeds and cook till they crackle. After they crackle, add dry red chillies and Cook for 30 seconds. Add this seasoning to the kadhi, mix and serve. Serve Punjabi Methi Kadhi Recipe with Bhindi Masala and Phulkas for lunch. "</t>
  </si>
  <si>
    <t>http://www.archanaskitchen.com/punjabi-methi-kadhi-recipe-fenugreek-leaf-yogurt-curry-in-hindi</t>
  </si>
  <si>
    <t>Badam And Besan Ladoo Recipe</t>
  </si>
  <si>
    <t>4 tablespoon Gram flour (besan),2 teaspoon Sooji (Semolina/ Rava),2 tablespoon Badam (Almond),5 tablespoon Sugar,4 tablespoon Ghee,1 teaspoon Cardamom (Elaichi) Pods/Seeds,1 tablespoon Raisins,1 tablespoon Dried rose petals</t>
  </si>
  <si>
    <t xml:space="preserve">To begin making Badam &amp; Besan Ladoo recipe, start by melting homemade ghee in a Wok or Kadai, making sure that the heat is low.Add in the gram flour, semolina and keep stirring for about 8-10 minutes till the mix gets a nice golden brown colour and starts bubbling. Keep the heat low through the process and continuously keep stirring to avoid charring.Add few sprinkles of water to the mix and stir well, this gives the tiny lumps of besan ladoo mixture.Switch off and add cardamom and raisins. Mix well till the mixture cools down. Cardamom added to the hot mixture will infuse its aroma well.Let the mixture cool completely in normal condition. It takes a good 30 minutes or more. You could transfer the mixture to another kadai.Meanwhile, heat the kadai again over low heat and dry roast almonds till aromatic and evenly roasted well.In a grinder, once the almonds cool down a bit, dry grind them to make a flour.Add sugar and almond flour to the mix and make sure it is evenly combined.Finally roll out the dough form balls,adding a few rose petal leaves for that earthy touch and keep on a parchment to set for 10minutes before the badam and besan ladoos are ready to eat.Serve these Badam &amp; Besan Ladoos during tea time with Turmeric Milk recipe and Baked Palak Ki Mathri or Khara Biscuit recipe.
</t>
  </si>
  <si>
    <t>http://www.archanaskitchen.com/badam-besan-ladoo-recipe</t>
  </si>
  <si>
    <t>Dal Shorba Recipe - Indian Style Lentil Soup</t>
  </si>
  <si>
    <t>1/4 cup Yellow Moong Dal (Split),1 Onion,6 cloves Garlic,1/2 teaspoon Dry ginger powder,1/4 teaspoon Turmeric powder (Haldi),1/3 teaspoon Red Chilli powder,1/2 teaspoon Black pepper powder,1 teaspoon Cumin seeds (Jeera),2 teaspoons Coconut Oil,Salt - as required,2 cups Water,1 teaspoon Lemon juice,Coriander (Dhania) Leaves - for garnishing</t>
  </si>
  <si>
    <t xml:space="preserve">To begin making Dal Shorba (Lentil Soup), we have to first wash the moong dal.Next, pressure cook the moong dal for 2 whistles or boil by adding enough water until it is cooked soft. Release the pressure naturally. Once cooked, mash the dal well or puree it with hand blender. Keep aside.Heat a pan with teaspoon of oil, add finely chopped onion and garlic. Saute until translucent.Pour the mashed dal along with 2 cups of water. Add required amount of salt, turmeric powder, ginger powder, pepper powder and red chili powder.Mix well and simmer the flame for 2-3 minutes stirring it occasionaly and ensuring that the dal is not sticking to the bottom.Once done, switch off and add lemon juice. Mixe well and keep it aside.To prepare the tempering, add a teaspoon of oil in a tadka pan. Once the oil is hot, add cumin seeds and allow it to crackle. Turn off the flame.Pour this tempering over the Dal Shorba and garnish with chopped coriander leaves. Transfer the soup into a bowl and garnish it with cream or crushed cumin seeds.Serve Dal Shorba as a soup along with a starter like Achari Paneer Tikka and complete your North Indian Style lunch on a Sunday with Tawa Paratha and Aloo Baingan Ki Sabzi.
</t>
  </si>
  <si>
    <t>http://www.archanaskitchen.com/dal-shorba-recipe-lentil-soup</t>
  </si>
  <si>
    <t>Arbi Gosht Masala Recipe - Mutton Arbi Curry In Electric Pressure Cooker</t>
  </si>
  <si>
    <t>300 grams Mutton,6 Colocasia root (Arbi) - peeled,1 inch Cinnamon Stick (Dalchini),10 Black pepper corns,2 Cloves (Laung),2 Black cardamom (Badi Elaichi),1 Onion - finely chopped,1 inch Ginger - finely chopped,6 cloves Garlic - paste or finely chopped,2 Green Chillies - slit,3 Tomatoes - pureed,2 teaspoons Red Chilli powder,2 teaspoons Coriander Powder (Dhania),1 teaspoon Turmeric powder (Haldi),1 teaspoon Garam masala powder,Coriander (Dhania) Leaves - a small buch chopped,2 tablespoons Mustard oil,Salt - to taste</t>
  </si>
  <si>
    <t xml:space="preserve">To begin making Arbi Gosht Masala/ Mutton Arbi Curry Recipe in an electric pressure cooker first prep all the ingredient.Take the arbi and peel them with a peeler or knife. After removing skin make four slits on the whole arbi and wash and then keep aside.Change the mode of the electric pressure cooker to the saute mode and preheat the pan for 3 to 4 minutes.Once the pan has heated; add the mustard oil, the whole spices, ginger, garlic, green chilies and chopped onions and saute till onions become golden brown.Once the onions turn golden brown, add the washed and cut mutton pieces, arbi, coriander powder, turmeric, red chilli powder, garam masala powder and salt. Saute the mutton in the masala for 3 to 4 minutes and finally add the tomato puree, 1/4 cup of water and give it a stir.Cover the electric pressure cooker and change the mode to chicken mode and allow the Mutton Arbi Curry cook until the pressure cooker goes into the keep warm mode.Allow the red nozzle or the pressure indicator to go down on its own. This will take about 10 minutes.Once done, open the electric pressure cooker and check the salt to taste and adjust accordingly. Stir in the chopped coriander leaves as well.Transfer the Arbi Gosht Masala/ Mutton Arbi Curry to a serving bowl and serve hot.Serve Arbi Gosht Masala/ Mutton Arbi Curry with Butter Garlic Naan Recipe, Jeera Rice, Kachumber Salad, Mooli Raita for a perfect weekend lunch or dinner. You can also serve Thandai Flavoured Rice Kheer to end your scrumptious meal on a sweet note.
</t>
  </si>
  <si>
    <t>https://www.archanaskitchen.com/arbi-gosht-masala-recipe-mutton-arbi-curry-in-electric-pressure-cooker</t>
  </si>
  <si>
    <t>Paneer Shashlik Recipe</t>
  </si>
  <si>
    <t>500 grams Paneer (Homemade Cottage Cheese) - cubed,1 Green Bell Pepper (Capsicum) - chopped into large squares,1 Yellow Bell Pepper (Capsicum) - (optional),1 Onion - chopped into big chunks,2 Tomatoes - pulp removed and chopped into chunks,1 tablespoons Coriander (Dhania) Leaves - finely chopped,1 teaspoon Anardana Powder (Pomegranate Seed Powder),100 ml Fresh cream,1 teaspoon Lemon juice,100 grams Curd (Dahi / Yogurt),2 teaspoons Sunflower Oil,1/4 teaspoon Black pepper powder,1 teaspoon Salt,1 teaspoon Cumin powder (Jeera),1 teaspoon Garam masala powder,1 teaspoon Chaat Masala Powder,1 tablespoon Garlic - paste,1 tablespoon Ginger - paste,1 tablespoon Corn flour,Sunflower Oil - as required,Lemon juice - as required,Onion - cut into rings (for garnish),Cabbage (Patta Gobi/ Muttaikose) - finely sliced cabbage (for garnish)</t>
  </si>
  <si>
    <t xml:space="preserve">To begin making the Paneer Shashlik Recipe, we will first marinade the paneer.Mix together the ingredients listed under “For Marinade” in a large glass mixing bowl mix all the marinade ingredients together thoroughly. Add the paneer, capsicum. onions,tomatoes and coriander to the marinade.Ensure that the vegetables and paneer are well coated with the marinade. Then cover the bowl with cling wrap and refrigerate for 2 hours.Pre-heat the oven at 250 degrees C for 10 mins. And soak bamboo skewers in a bowl of water.Take one bamboo skewer at a time and pierce in the marinated vegetables and paneer alternatively.Place the skewers onto the wire grill tray and slide it on to the top rack position in the oven. Place a drip/crumb tray at the bottom to collect any juices that may fall off the skewers.Set the oven to broil/roast/grill mode and allow the skewers to grill at 250 degrees C for 6-7 minutes, before basting with oil and lemon juice. Ensure that you turn the skewers every 2 minutes, carefully, using mittens, till they are evenly cooked on all sides.Once evenly cooked, remove the tray from the oven and gently take the skewers out andserve.Serve this dish along with a Farm Fresh Vegetarian Pasta Salad and Methi Matar Pulao  for a wholesome dinner either for your family or a party.
</t>
  </si>
  <si>
    <t>http://www.archanaskitchen.com/paneer-shashlik-recipe</t>
  </si>
  <si>
    <t>4 potatoes - boil, 1/2 cup coriander leaves, 1/2 cup mint leaves, 4 green chillies, 1/2 inch ginger - chop, 1 lemon - squeeze out the juice, 1 tablespoon peanuts, sugar - a pinch, salt - according to taste, 1 teaspoon cumin seeds, 1/2 teaspoon garam masala powder, 1/2 teaspoon cumin powder, pomegranate - for garnish, sev - for garnish, chaat masala powder, oil - according to use</t>
  </si>
  <si>
    <t>"To make Green Chutney Aloo Chaat Recipe, first of all put potatoes in a pressure cooker with water as per requirement and close the cooker. Now put the cooker on the gas and cook till 3 whistles. After 3 whistles, turn off the gas and let the pressure release automatically. Open the cooker and remove the water and let the potatoes cool down. After the potatoes cool down, peel and chop them and keep them aside. Now while the potatoes are cooling down, we will make green chutney. To make green chutney, first of all put green coriander, mint, ginger, green chillies, salt, sugar, lemon juice, peanuts, some water in a mixer grinder and grind well. Keep it aside. Now heat oil in a pan. Add cumin seeds and let them crackle. After the cumin seeds crackle, add potatoes, salt and cook till they become golden brown. Now add cumin powder, garam masala powder and mix well. Turn off the gas. After the potatoes cool down, add green coriander to the potatoes. Add chutney and mix everything. Add chaat masala and mix it. Now transfer the potato into a serving bowl and garnish it with pomegranate and sev. Pour lemon juice over it and mix it. Serve Green Chutney Aloo Chaat Recipe with Masala Soda Shikanji or Masala Chai for evening snack. "</t>
  </si>
  <si>
    <t>http://www.archanaskitchen.com/gree-chutney-aloo-chaat-recipe-in-hindi</t>
  </si>
  <si>
    <t>Kolhapuri Misal Pav Recipe</t>
  </si>
  <si>
    <t>2 tablespoon Coriander (Dhania) Seeds,2 tablespoon Cumin seeds (Jeera),2 tablespoon Dry coconut (kopra) - shredded,1 teaspoon Whole Black Peppercorns,1/2 teaspoon Fennel seeds (Saunf),1 tablespoon Sesame seeds (Til seeds),1 cup Bean Sprouts,1/2 teaspoon Mustard seeds,1/2 teaspoon Cumin seeds (Jeera),1/4 teaspoon Asafoetida (hing),1/2 teaspoon Red Chilli powder,2 Green Chillies - chopped,5 Curry leaves,Salt - as required,2 tablespoon Kolhapuri Masala,1 tablespoon Raw Peanuts (Moongphali) - roasted,1 Potato (Aloo) - boiled,1/2 teaspoon Tamarind Paste,Sunflower Oil - as required,2 Onion - finely chopped,1 Tomato - finely chopped,1 pinch Asafoetida (hing),1 teaspoon Tamarind Paste,2 cloves Garlic,1 teaspoon Ginger - finely chopped,1 inch Cinnamon Stick (Dalchini),3 tablespoon Sunflower Oil,2 teaspoon Kolhapuri Masala,1 tablespoon Fresh coconut - shredded,1/2 teaspoon Cumin seeds (Jeera),1/2 teaspoon Turmeric powder (Haldi),1/2 teaspoon Red Chilli powder,1 Onion - finely chopped,1 Tomato - finely chopped,3 teaspoon Raw Peanuts (Moongphali) - fried,1/2 cup Sev</t>
  </si>
  <si>
    <t xml:space="preserve">To begin with the Kolhapuri Misal Pav, we have to first make the Kolhapuri masala, dry roast coriander seeds, cumin seeds, dry shredded coconut, black peppercorn, cloves , fennel seeds, sesame seeds. Cool them for a while and grind them to fine powder.Now for the Usal, in a pan add oil and once it gets heated add mustard seeds, cumin seeds and when they splutter add asafoetida and curry leaves.Now add onions and once onions turn golden add peanuts, sprouted matki, potato, green chillies, turmeric powder, red chili powder, salt and kolhapuri masala. Mix well and add 5-6 cups of water and cook on medium heat.See to that the sprouts are cooked and are tender, once everything is cooked add tamarind pulp and keep it in low flame for 2 minutes.For Rassa or Kat (Spicy Gravy), heat oil in a pan and add cumin seeds and once they splutter add cinnamon stick, asafoetida, garlic cloves, ginger, chopped onions and shredded coconut. Saute it till onions gets translucent.Add tomatoes, red chilli powder, kolhapuri masala and cook it for another 2 minutes. Cool the mixture completely and grind to a smooth paste. If needed add some water.Heat oil in another pan; add turmeric powder, kat paste, tamarind pulp, salt and 1 to 1 1/2 cups of water. Mix well and bring it to boil and simmer for 5 minutes.Now to serve the Kolhapuri Usal Pav, in a serving bowl transfer the gravy and add some Farsan and sprouts, now pour the gravy and top it with chopped onion, tomato, cilantro and save.Serve the Kolhapuri Usal with some hot pav toasted in butter as a Delicious Tea Time Snack for Kids after School. 
</t>
  </si>
  <si>
    <t>https://www.archanaskitchen.com/kolhapuri-misal-pav-recipe</t>
  </si>
  <si>
    <t>Matar Millet Pulao Recipe - Peas Pulao Recipe</t>
  </si>
  <si>
    <t>1 cup Bajra Flour ( Pearl Millet) - soaked in water for 30 minutes,1 cup Green peas (Matar),2 Cardamom (Elaichi) Pods/Seeds,1 inch Cinnamon Stick (Dalchini),1 Bay leaf (tej patta),2 teaspoons Cumin seeds (Jeera),Salt - to taste,Ghee - for cooking</t>
  </si>
  <si>
    <t xml:space="preserve">To begin making the Matar Millet Pulao Recipe (Peas Pulao Recipe), pressure cook the millet with 1-1/2 cups of water in a pressure cooker for about 2 whistles till they are just cooked.Heat a heavy bottomed pan with ghee. Once the ghee is hot, add the whole spice like cardamom pods, cinnamon sticks, bay leaf, cumin seeds and allow them to splutter.Once done, add the cooked millets and mix everything properly. After a minute, add salt, mix it again and switch off the heat. Next, heat a saucepan with enough water for the peas to blanch. Once the water starts to boil, add the peas and cook for 30 seconds and drain the water.Sprinkle peas over the tossed millet, give it a stir and serve hot.Serve the Matar Millet Pulao Recipe (Peas Pulao Recipe) along with Boondi Raita and a roasted papad for a weekday dinner and you are sorted.
</t>
  </si>
  <si>
    <t>http://www.archanaskitchen.com/matar-millet-paulo-recipe-peas-paulo-recipe</t>
  </si>
  <si>
    <t>500 grams Chicken - with bones,2 Cups Curd (Dahi / Yogurt),1 tablespoon Lemon juice,Salt - to taste,1 inch Ginger - minced,8 cloves Garlic - minced,1 teaspoon Black pepper powder,1 teaspoon Kasuri Methi (Dried Fenugreek Leaves),1/2 cup Fresh cream,1 tablespoon Sunflower Oil</t>
  </si>
  <si>
    <t xml:space="preserve">To begin making the Easy Creamy Chicken Curry Recipe, we will firstly marinate the chicken. In a bowl, add lemon juice, salt and yogurt and mix well.Add chicken pieces, mix well so that the chicken is properly coated with the marination. Once done keep it aside for an hour. You can also keep it aside overnight.To make the curry, heat the required oil in a heavy bottomed pan. Once the oil is a little hot, add garlic, ginger, a little water and let it cook for 3 to 4 minutes.Next, add the chicken pieces one by one while shaking off the excess marinade. Without disturbing the chicken cook it on one side for about 5 minutes on high heat so that it browns a bit. This step will improve the look and the depth of flavour.Flip the chicken pieces and continue cooking undisturbed for a further 5 minutes. Pour over rest of the marinade on the chicken. Cook the creamy chicken curry covered for about 25 minutes on slow flame.After about 25 minutes, remove the lid and give the creamy chicken curry a good stir. If needed add more water.Once the chicken is cooked, add cream, black pepper powder and kasuri methi. Mix everything and let the creamy chicken curry come to a boil. Once it comes to a boil, turn off the heat and serve hot.Serve Easy Creamy Chicken Curry along with Tawa Paratha, Tomato Onion Cucumber Raita and Jeera Rice for an everyday meal with your family.
</t>
  </si>
  <si>
    <t>http://www.archanaskitchen.com/easy-creamy-chicken-curry-recipe</t>
  </si>
  <si>
    <t>Pudina Dahi Chutney Recipe</t>
  </si>
  <si>
    <t>1 cup curd, 1 cup mint - chopped, 1/2 cup coriander leaves - chopped, 1 green chilli - chopped, 1 inch ginger - chopped, salt - according to taste, oil</t>
  </si>
  <si>
    <t>"To make Pudina Dahi Chutney Recipe, first grind coriander and mint leaves along with green chillies and ginger in a mixer grinder. While grinding add some water and make a paste. Add this paste in curd and beat it. Add salt as per taste and mix it. Serve. Serve Pudina Dahi Chutney Recipe with Dahi Kebab, Chicken Tikka or Tandoori Chicken. "</t>
  </si>
  <si>
    <t>https://www.archanaskitchen.com/pudina-dahi-chutney-recipe-mint-yoghurt-dip-in-hindi</t>
  </si>
  <si>
    <t>Kala Chana Masala Recipe</t>
  </si>
  <si>
    <t>1 Cup Kala Chana (Brown Chickpeas),1 Onion - finely chopped,1 inch Ginger - grated,2 cloves Garlic - mashed,1 inch Cinnamon Stick (Dalchini),1/4 cup Homemade tomato puree,1/2 teaspoon Turmeric powder (Haldi),1 teaspoon Red Chilli powder,1 teaspoon Garam masala powder,1 teaspoon Coriander Powder (Dhania),2 tablespoon Figaro Pure Olive Oil,Salt - to taste,4 sprig Coriander (Dhania) Leaves - roughly chopped for garnish</t>
  </si>
  <si>
    <t xml:space="preserve">To begin making the make Kala Chana Masala, first wash and soak the chickpeas for 6 hours or overnight in 2 cups of water. Transfer chickpeas to Pressure Cooker with 2-1/2 cups of water and cook until for 6 to 7 whistles, turn the heat to low and cook for another 15 minutes until done.Heat pure olive oil in a saucepan over medium heat, add the grated ginger, onion and garlic and saute for few seconds.Stir in the tomato puree, turmeric powder, coriander powder, garam masala, chilli powder, salt and the cooked chickpeas.Stir to combine. Allow the mixture to come to a boil over medium heat.Once the mixture begins to boil, turn the heat to low and simmer the mixture for 20 to 30 minutes. Adjust the consistency and taste of the dish according to your taste, by adding water and spices.If adding water let Kala Desi Chana simmer for few more minutes. Turn off the heat. Garnish with chopped coriander leaves. Serve hot with Puri/Paratha.
</t>
  </si>
  <si>
    <t>https://www.archanaskitchen.com/kala-chana-masala-recipe</t>
  </si>
  <si>
    <t>Creamy Dal Makhani</t>
  </si>
  <si>
    <t>1 cup black urad dal, 1/2 cup rajma, 3 tbsp cream, 4 tbsp butter, 1/2 tsp red chili powder, 1/2 tsp turmeric powder, 1/2 tsp cumin seeds, 4 cups water, 1 onion - finely chopped, 1/2 cup tomato puree, 1 tsp ginger - grated, 1 tsp garam masala powder, 1/8 tsp asafoetida, 1 big cardamom, 2 cloves, 2 green chilies - chopped, 1 tsp coriander powder, salt - according to taste</t>
  </si>
  <si>
    <t>"To make Dal Makhani, wash dal and rajma. After washing, soak them in water for 8 hours. Drain the water and wash 5 to 6 times more. Now put dal, rajma, asafoetida, turmeric powder, salt, water, black cardamom and cloves in a pressure cooker. Cook till 2 to 3 whistles and then let it cook on low flame for 15 minutes. Turn off the gas and let the pressure release. After the pressure is released, open the cooker and keep it aside. If dal and rajma are not cooked, let it whistle 2 more. Now heat butter in a pan. Add cumin seeds and let it cook for 10 seconds. After 10 seconds, add onion. Cook till onion becomes soft. After onion becomes soft, add tomato puree, green chillies and grated ginger. After 1 minute, add red chilli powder, coriander powder and cook for 2 minutes. After 2 minutes, add dal and let it cook for 15 minutes. After 15 minutes add garam masala, cream and 1 tablespoon butter. Cook for next 5 minutes. After 5 minutes turn off the gas and serve hot. "</t>
  </si>
  <si>
    <t>http://www.archanaskitchen.com/creamy-dal-makhani-recipe-in-hindi</t>
  </si>
  <si>
    <t>Paneer Stuffed Mushroom Masala Recipe</t>
  </si>
  <si>
    <t>400 grams Button mushrooms - washed and cleaned,Salt - to taste,1 tablespoon Sunflower Oil,100 grams Paneer (Homemade Cottage Cheese) - crumbled,Salt - to taste,1 teaspoon Black pepper powder,1 teaspoon Garam masala powder,1 teaspoon Cumin powder (Jeera),1/3 cup Onions - finely chopped,2 sprig Mint Leaves (Pudina) - finely chopped,1 teaspoon Whole Black Peppercorns,4 Dry Red Chillies,1 teaspoon Cumin seeds (Jeera),1 teaspoon Coriander seeds,1 Cardamom (Elaichi) Pods/Seeds,2 Cloves (Laung),1 inch Cinnamon stick,1 Star anise,1 tablespoon Sunflower Oil,1/2 cup Milk,1 cup Homemade tomato puree,6 cloves Garlic - finely chopped,1 inch Ginger - finely chopped,Water - as required,Salt - to taste,1/4 teaspoon Turmeric powder (Haldi),1 sprig Coriander (Dhania) Leaves - finely chopped to garnish</t>
  </si>
  <si>
    <t xml:space="preserve">To begin making the Paneer Stuffed Mushroom Masala Recipe we will first make the filling for the stuffed mushrooms. To make the paneer filling for the Paneer Stuffed Mushroom MasalaIn a mixing bowl, combine the crumbled paneer along with salt, black pepper powder, cumin powder, garam masala powder, onions, and mint leaves. Mix until well combined. To stuff the mushrooms for the Paneer Stuffed Mushroom MasalaGently remove the stem of the mushroom, keeping the semicircular base of the mushroom intact. In a bowl, toss these mushrooms with salt and oil. Stuff the mushrooms with small cherry sized paneer filling balls and smoothen the top. Heat a skillet with a few drops of oil, on medium-high flame, now gently place each of the paneer stuffed mushrooms in the pan.Cover with a lid and cook on medium flame, until the mushrooms are cooked through. This will take anywhere between 5-7 minutes. Turn off the flame once the mushrooms are done and allow it to rest. To make the tomato gravy for the Paneer Stuffed Mushroom Masala RecipeHeat a skillet on medium flame, to this add the whole spices - whole black peppercorns, dry red chillies, cumin seeds, coriander seeds, cardamom, cloves, cinnamon stick and star anise for 4-5 minutes until the aroma wafts in the air. Turn off the flame, and allow the whole spices to cool down. Transfer to a mixer jar and grind to a coarse powder. Heat a kadai on medium flame, add oil, once the oil is hot, add the ginger, garlic and saute for about a minute.Into this kadai, add the tomato puree and allow it to come to a boil. Once it comes to a brisk boil, reduce the flame and add the freshly ground roasted spices, turmeric powder, salt and milk. Mix vigorously and add water to adjust the consistency of the gravy to your liking. While the gravy is bubbling, gently drop the paneer stuffed mushrooms into this tomato base and the curry is done. Give it a taste and adjust the salt and spices accordingly.Turn off the heat and transfer the Paneer Stuffed Mushroom Masala Recipe to a serving bowl.Serve Paneer Stuffed Mushroom Masala Recipe along with Cheese Garlic Naan Recipe, Pudina Pyaz Kachumber Salad Recipe - Mint &amp; Onion Salad, Boondi Raita Recipe Spiced With Black Salt followed by a dessert of Paan Matka Kulfi Recipe.
</t>
  </si>
  <si>
    <t>http://www.archanaskitchen.com/paneer-stuffed-mushroom-masala-recipe</t>
  </si>
  <si>
    <t>Anda Bhurji Recipe</t>
  </si>
  <si>
    <t>6 Whole Eggs - whisked,2 tablespoons Milk - or coconut milk,2 teaspoons Ghee - or oil,2 Onions - finely chopped,3 Tomatoes - finely chopped,2 Green Chillies - finely chopped,1 teaspoon Cumin seeds (Jeera),Coriander (Dhania) Leaves - finely chopped,Salt - to taste</t>
  </si>
  <si>
    <t xml:space="preserve">To begin making the Anda Bhurji Recipe - Spicy Indian Style Scrambled Eggs whisk the eggs in a bowl with milk and salt to taste until light and fluffy and keep aside.Into a preheated pan add ghee, the cumin seeds, onions and chopped green chillies and saute till the onions turn slightly caramelized.Once done stir in the tomatoes and saute till they have soften. Once the tomatoes have softened, add the whisked eggs. Turn the heat to low and keep stirring the eggs until it scrambles.It is important to cook on low heat for light and fluffy textured Anda Bhurji.Once the Anda Bhurji is cooked, stir in the chopped coriander leaves and turn off the heat. Transfer the anda bhurji into a serving plate and serve hot.Serve the Anda bhurji for breakfast with buttered Homemade Whole Wheat Pav Recipe / Ladi Pav and Homemade Fresh Orange Juice or a wholesome and delicious lunch or dinner with a Tawa Paratha Recipe - Plain Paratha
</t>
  </si>
  <si>
    <t>https://www.archanaskitchen.com/anda-bhurji-recipe-spicy-indian-style-scrambled-eggs</t>
  </si>
  <si>
    <t>Suran Kofta Curry Recipe - Yam Kofta Curry</t>
  </si>
  <si>
    <t>2 cups Elephant yam (Suran/Senai/Ratalu) - washed,¼ cup Gram flour (besan),1 Green Chilli - finely chopped,Salt - as per your taste,1 inch Ginger - finely chopped,3 Tomatoes - finely chopped,1 inch Ginger - finely chopped,1 Green Chilli - finely chopped,¼ cup Mint Leaves (Pudina) - washed,Salt - to taste,1 teaspoon Garam masala powder,2 teaspoons Cumin powder (Jeera),1 pinch Sugar</t>
  </si>
  <si>
    <t xml:space="preserve">To begin making the Suran Kofta Curry Recipe, prepare all the ingredients for the kofta and keep them aside.We will begin with making the curry for the Suran kofta.Curry Base For Suran KoftaIn a  mixer jar, combine tomatoes, ginger, green chilli, and pudina leaves and grind to a fine puree along with some water.Heat a kadai on medium flame, add jeera. Once the jeera starts to crackle, add tomato puree and stir the tomato puree for a couple of minutes.To this, add the dry masalas - cumin powder, garam masala powder, salt and a pinch of sugar.  Bring the tomato puree masala to a boil, turn the the heat to low and simmer the tomato kofta curry for 4 to 5 minutes until the raw taste goes away and feels cooked.Once the tomato kofta curry is cooked, turn off the heat and keep aside. Check the salt and spices and adjust to taste. The gravy of the Suran Kofta Curry recipe is ready.For the Suran KoftaWash and peel the yam/ suran, dice and set aside.In a pressure cooker, place the diced yam, 1/4 cup of water and pressure cook for 4 whistles and turn off the heat. Let the pressure release naturally.  Open the cooker, drain the water, and transfer the yam/ suran into a mixing bowl and mash the suran to a smooth mixture using a potato masher.Into the mashed suran, add the besan, green chilli &amp; ginger and salt. Bring the suran kofta mixture together. Check the salt and adjust the taste accordingly. Shape the kofta mixture into small balls.Place a paniyaram pan on heat. Add a little oil in each of the cavities. Once the oil has heated, place the suran kofta into the cavities and pan fry them until it is golden and crisp on all sides. Flip it upside down and continue to cook until done. Once the suran koftas turn golden brown and look crisp they are done. The koftas are ready. Add these Suran koftas in to the prepared kofta curry and let them sit for at least 5 minutes before serving. Serve the Suran Kofta Curry Recipe with Tawa Paratha Recipe (Plain Paratha) and Papad Raita Recipe for a delicious Saturday night dinner.
</t>
  </si>
  <si>
    <t>http://www.archanaskitchen.com/yam-kofta-curry-recipe-suran-kofta-curry</t>
  </si>
  <si>
    <t>Beetroot &amp; Spinach Nimki Recipe (Namak Para)</t>
  </si>
  <si>
    <t>2 cups All Purpose Flour (Maida),1 teaspoons Salt,1 teaspoon Chaat Masala Powder,1 tablespoon Ajwain (Carom seeds),1 cup Spinach Leaves (Palak) - chopped,1 cup Beetroot,Sunflower Oil - for deep frying</t>
  </si>
  <si>
    <t xml:space="preserve">To begin making the Beetroot &amp; Spinach Nimki Recipe, we will first prepare the beetroot and spinach to make the nimki.In the juicer, add the beetroot along with some water and extract the juice. Similarly, add the spinach, along with some water and extract the juice. You can optionally blend the spinach directly in the mixer grinder with water and then extract the juice using a strainer.Keep the juices aside.The next step is to make the Beetroot &amp; Spinach Nimki dough.I the master chef jar of the food processor, add 1 cup of flour, ajwain, salt and add little beetroot juice at a time to make a firm dough. Similarly, make the spinach dough.Next, roll the dough into a large circle of about 1/4 inch thickness on a well dusted surface.Poke the rolled rough on both the sides using a fork and cut it into desired shapes. I have cut it into diamonds.Preheat the oil for deep frying over medium heat. Once the oil is heated add the Beetroot &amp; Spinach Nimki into the oil and fry them in small batches until their turn crisp. Ensure you fry on medium heat, else they will turn brown fast and not become crisp.Once done, drain the Beetroot &amp; Spinach Nimki in paper towels. Store them in air tight containers once cooled and serve as desired.Serve the Beetroot &amp; Spinach Nimki as a tea time evening snack along with a cup of chai or along with a favorite dip.
</t>
  </si>
  <si>
    <t>https://www.archanaskitchen.com/beetroot-spinach-nimki-recipe-namak-para</t>
  </si>
  <si>
    <t>Maash Ki Dal Khasgi Recipe (Dhaba Style Urad Dal)</t>
  </si>
  <si>
    <t>1 cup White Urad Dal (Split),2 Onions - thinly sliced,8 Green Chillies - (adjust as per spice preference),6 Cloves (Laung),2 inch Ginger,1 tablespoon Coriander Powder (Dhania),1/2 teaspoon Turmeric powder (Haldi),Salt - to taste,2 tablespoons Sunflower Oil,Water - as required,1 tablespoon Sunflower Oil,1 Onion - thinly sliced,1 teaspoons Cumin seeds (Jeera),2 cloves Garlic - chopped,Ginger - as required and juliennes</t>
  </si>
  <si>
    <t xml:space="preserve">To begin making the Maash Ki Dal Khasgi recipe, rinse urid dal well, soak in enough water overnight.Next day, wash the dal well. In a deep bottom pan, add 1 teaspoon oil and roast the soaked dal for about 3 minutes. Then add enough hot warm along with some salt and cook the dal until it’s tender. We want the dal to be firm and cooked. If there is too much water in the dal, discard the excess water. Turn off flame and keep the cooked dal aside.Now in a mortar and pestle crush ginger-garlic-green chilies well.Into a handi(or wok) add remaining oil. Add sliced onions and cook until onions turn translucent. Add the ground ginger-garlic-green chili paste and cook till the raw smell of the paste is gone.Add the spice powders, mix well.Add the cooked dal, give it a stir. Check for seasoning and add salt as required.In another small pan, heat oil. Add cumin seeds, let it splutter. Then add sliced onions and garlic, fry until onions garlic turn brown.Once dal reaches the desired consistency turn off flame. Add the tempering over the dal. Garnish with coriander leaves and ginger juliennes.Serve Maash Ki Dal Khasgi along with hot Phulkas and Palak Raita for a weekday meal.
</t>
  </si>
  <si>
    <t>http://www.archanaskitchen.com/maash-ki-dal-khasgi-recipe-dhaba-style-urad-dal</t>
  </si>
  <si>
    <t xml:space="preserve">Beetroot, Carrot &amp; Cucumber Salad with Peanuts Recipe </t>
  </si>
  <si>
    <t>2 Beetroot - grated,2 Carrot (Gajjar) - grated,1 Cucumber - de seeded and chopped,4 tablespoon Roasted Peanuts (Moongphali),1 Green Chilli - chopped,4 sprig Coriander (Dhania) Leaves - chopped,1 teaspoon Lemon juice,1 teaspoon Black pepper powder,1 teaspoon Chaat Masala Powder,Salt - to taste</t>
  </si>
  <si>
    <t xml:space="preserve">To begin making the Beetroot, Carrot &amp; Cucumber Salad with Peanuts Recipe, we will first grate the vegetables and keep it ready in bowl.In a mixing bowl, add all the ingredients- beetroot, carrot, cucumber, roasted peanuts. green chilli, coriander leaves, lemon juice, pepper powder, chaat masala powder, salt to taste and mix well.Check for seasonings and adjust according to your taste and serve.Serve the Beetroot, Carrot &amp; Cucumber Salad with Peanuts Recipe as a side dish along with tehri pulao and Palak Raita Recipe by the side.
</t>
  </si>
  <si>
    <t>https://www.archanaskitchen.com/beetroot-carrot-cucumber-salad-with-peanuts-recipe</t>
  </si>
  <si>
    <t>Kaju Butter Masala Recipe</t>
  </si>
  <si>
    <t>1 cup Whole cashews,4 Tomatoes,1 tablespoon Ginger Garlic Paste,1 Green Chilli - slit,1 teaspoon Kashmiri Red Chilli Powder,1 teaspoon Garam masala powder,1 Bay leaf (tej patta),1 teaspoon Kasuri Methi (Dried Fenugreek Leaves) - crushed for garnish,3 tablespoons Fresh cream,1 tablespoon Butter,Salt - to taste</t>
  </si>
  <si>
    <t xml:space="preserve">To begin making Kaju Butter Masala Recipe, wash and blanch the tomatoes in enough water, once cool, remove the skin and make a smooth paste along with 8 cashews using a mixer grinder. Keep aside.Heat butter in a heavy bottomed pan, add the whole cashews and fry until they turn golden and remove them into a plate. Keep aside until further use.To the same pan add the bay leaf, ginger garlic paste and saute for a minute. Add the tomato cashew puree, green chilli and cook for 2 minutes.Add the red chilli powder, 2 cups water, season with salt and let it simmer for 5 minutes until the gravy becomes thick and comes together.Add the fried cashews, garam masala powder and simmer for 5 minutes so that the cashews become a little soft.Add the cream and mix well. Simmer for another 2 minutes and switch off the heat.Slightly crush the kasuri methi between your palms and add it as a garnish over the prepared Kaju Butter Masala.Serve the Kaju Butter Masala Recipe, along with Butter Naan, Tandoori Aloo, Salad for a delicious Weekend Lunch.
</t>
  </si>
  <si>
    <t>https://www.archanaskitchen.com/kaju-butter-masala-recipe</t>
  </si>
  <si>
    <t>Aloo Patta Gobi Sabzi Recipe - Potato Cabbage Sabzi</t>
  </si>
  <si>
    <t>2 Potato (Aloo),2 cups Cabbage (Patta Gobi/ Muttaikose),1 Onion - chopped,1/4 teaspoon Turmeric powder (Haldi),1/2 teaspoon Red Chilli powder,1 teaspoon Coriander Powder (Dhania),1/2 inch Cinnamon Stick (Dalchini),2 Cloves (Laung),1 Bay leaf (tej patta),1/2 teaspoon Fennel seeds (Saunf),1 teaspoon Cumin seeds (Jeera),Salt - to taste,1 teaspoon Sunflower Oil,Coriander (Dhania) Leaves - as required</t>
  </si>
  <si>
    <t xml:space="preserve">To begin making the Aloo Patta Gobi Sabzi Recipe recipe, wash potato and cabbage. Chop the potatoes lengthwise and keep them immersed in water to prevent discolouration.Heat oil in a heavy bottomed pan. Once the oil is hot, add cinnamon, cloves, bay leaf, fennel seeds and cumin seeds. Saute for a minute.Add chopped onion and saute until soft and translucent.Once the onions are soft and translucent, add the chopped cabbage, potato and saute for a minute.Add turmeric powder, red chilli powder, coriander powder and required salt. Saute well and pour 2 to 3 tablespoons of water for cooking the Aloo Patta Gobi Sabzi .Stir the Aloo Patta Gobi Sabzi, check for salt and cook covered in medium flame until sabzi is cooked soft.Once the Aloo Patta Gobi Sabzi is cooked well, turn off the heat, check the salt and spices and adjust according to taste.Garnish the Aloo Patta Gobi Sabzi with coriander leaves and serve hot.Serve Aloo Patta Gobi Sabzi Recipe along with Palak Dal, Boondi Raita and Phulka for your Indian Vegetarian Dinner.
</t>
  </si>
  <si>
    <t>http://www.archanaskitchen.com/aloo-patta-gobi-sabzi-recipe-potato-cabbage-sabzi</t>
  </si>
  <si>
    <t>Stuffed Matar &amp; Gobi Paratha Recipe (Green Pea &amp; Cauliflower Flat Bread)</t>
  </si>
  <si>
    <t>2 cups Green peas (Matar) - peeled,1 cup Cauliflower (gobi) - shredded,1 teaspoon Cumin seeds (Jeera),3 cloves Garlic,2 cups Whole Wheat Flour,Salt - to taste,1 teaspoon Red Chilli powder,Sunflower Oil - as required,Water - as required</t>
  </si>
  <si>
    <t xml:space="preserve">To begin making the Matar Gobi Paratha recipe, we need to prepare the dough for parathas so combine whole wheat flour, water and 2 teaspoons of oil and knead it properly. Once the dough is ready, keep it covered with a wet kitchen towel.Next, take the peas and use a mixer to turn them into a thick paste. If it becomes too thick then you can add a little bit of water. Wash the cauliflower thoroughly and grate it using a grater. Now heat up some oil in a heavy bottomed pan and add the cumin seeds. Once the seeds start spluttering then add chopped garlic cloves.Let it cook for a couple of seconds and then add mashed peas, grated cauliflower, red chilli powder and salt. Mix everything well and cook on low heat for 10 to 15 minutes but make sure it is not getting burned. Both gobi and matar should become dry and not mushy. If the stuffing is mushy, you will not be able to roll the parathas easily. Once the matar and gobi stuffing is ready then let it cool down a bit. Once the stuffing has cooled down, we will make the parathas.Take a lemon size ball from the dough and roll it in a small puri. Put 1 tablespoon matar and gobi stuffing in between and cover it from all the sides. Pat it and again roll it to make a paratha.Heat a skillet and put the paratha on it. Drizzle some oil on all the sides and cook the paratha till it is cooked properly from both the sides.Serve Matar Gobi Paratha along with Green Chilli Pickle and Tadka Raita for a weekday breakfast.
</t>
  </si>
  <si>
    <t>http://www.archanaskitchen.com/stuffed-matar-gobi-paratha-recipe-green-pea-cauliflower-flat-bread</t>
  </si>
  <si>
    <t>Anda Bhurji</t>
  </si>
  <si>
    <t>6 eggs - break and beat, 2 onions - finely chopped, 3 tomatoes - finely chopped, 2 green chillies - finely chopped, 1 teaspoon cumin seeds, 2 teaspoon ghee, green coriander - finely chopped, 2 tablespoons milk - or coconut milk, salt - according to taste</t>
  </si>
  <si>
    <t>"To make Anda Bhurji, first heat ghee in a pan. After the ghee is heated, add cumin seeds and let it cook for 10 seconds. Add onion and green chillies. Cook till the onion becomes soft. After the onion becomes soft, add tomatoes and cook till they become soft. After the tomatoes become soft, add egg mixture and salt. Reduce the flame and keep stirring the mixture. When the eggs are 80% cooked, add milk or coconut milk to it. Stir and after cooking, add chopped coriander leaves. Turn off the gas and serve hot. Serve Anda Bhurji with buttered toast and orange juice for breakfast. "</t>
  </si>
  <si>
    <t>https://www.archanaskitchen.com/anda-bhurji-recipe-in-hindi</t>
  </si>
  <si>
    <t>Aloo Gobi Ki Sabzi</t>
  </si>
  <si>
    <t>2 potatoes - peel and chop, 1 cabbage - wash and chop, 1 inch ginger - grate, 2 tomatoes - make puree, 1/2 teaspoon cumin seeds, 1 teaspoon turmeric powder, 1 teaspoon garam masala powder, 2 cardamoms, 1/4 teaspoon red chili powder, 4 sprigs of coriander - finely chopped, oil - as per requirement, salt - as per taste</t>
  </si>
  <si>
    <t>"To make Aloo Gobi ki Sabzi, first heat oil in a pan. Add cumin seeds, ginger, cardamom and let it cook for 10 seconds. After 10 seconds, add tomatoes, potatoes, cabbage, salt, red chili powder, turmeric powder, garam masala powder and 1/4 cup water and mix. Cover the pan and let the sabzi cook for 15 to 20 minutes. Keep stirring at times. After cooking, turn off the gas and garnish with coriander leaves. Serve Aloo Gobi ki Sabzi with Boondi Raita and Tawa Paratha for lunch."</t>
  </si>
  <si>
    <t>https://www.archanaskitchen.com/aloo-gobi-ki-sabzi-recipe-in-hindi</t>
  </si>
  <si>
    <t>Fish Tikka Masala Gravy Recipe</t>
  </si>
  <si>
    <t>2 Basa fish - cut into small size pieces,1 Lemon juice,1/4 teaspoon Turmeric powder (Haldi),Salt and Pepper - a pinch,1 Cardamom (Elaichi) Pods/Seeds,1 Bay leaf (tej patta),1 teaspoon Cumin powder (Jeera),1-1/2 teaspoon Coriander Powder (Dhania),1/2 teaspoon Turmeric powder (Haldi),1 teaspoon Ginger Garlic Paste,1/2 teaspoon Red Chilli powder,1 tablespoon Kasuri Methi (Dried Fenugreek Leaves),1 cup Lukewarm Water,2 tablespoon Fresh cream,Salt - to taste,1 Onion - chopped,1/2 Tomato - chopped,5 Cashew nuts,2 Cloves (Laung),1/4 teaspoon Cinnamon Powder (Dalchini)</t>
  </si>
  <si>
    <t xml:space="preserve">To begin making the Fish Tikka Masala Gravy Recipe, marinate the fish with lemon juice, salt, pepper and turmeric powder and rest it aside for 30 minutes.Pressure cook the onion, tomatoes, cloves, cinnamon powder, cashew nuts with little water.Once done, allow the pressure to release naturally, grind it along with its juice to a smooth paste.Heat a kadai with oil, add cardamom pod, bay leaf and allow it to sizzle.Add in ground tomato paste, sprinkle little salt and cook till the raw smell goes away.Add in all the spice powders mentioned above including cumin powder, coriander powder, turmeric powder, red chilli powder and stir well, cover it with the lid and cook again for another 5 minutes.Add cream, marinated fish pieces, salt to taste, you can add 1 cup of water and cook till the masala comes together.At the end sprinkle little kasuri methi and give it a stir.Serve the Fish Tikka Masala Gravy Recipe along with Naan, Pickled Onions and Beetroot Raita by the side to complete your meal.
</t>
  </si>
  <si>
    <t>http://www.archanaskitchen.com/fish-tikka-masala-gravy-recipe</t>
  </si>
  <si>
    <t>Achari Paneer Tikka Recipe</t>
  </si>
  <si>
    <t>250 grams paneer - cut, 2 capsicum (green) - cut, 1/2 teaspoon garam masala powder, 2 tablespoons curd, 3 cloves garlic, 1 inch ginger, salt - according to taste, 1 teaspoon red chili powder, 1 teaspoon mustard, 1 teaspoon cumin, 1 teaspoon fennel, 1 teaspoon nigella seeds, 1 teaspoon celery, 1/4 teaspoon fenugreek seeds, 4 dried red chilies, juice of 1 lemon, oil - according to use</t>
  </si>
  <si>
    <t>"To make Achari Paneer Tikka recipe, first of all we will make masala for marination of paneer. To make marination, first of all in a pan, put mustard seeds, cumin seeds, fennel seeds, nigella seeds, celery seeds, fenugreek seeds, dried red chillies and fry till brown. Turn off the gas. After it cools down, put it in a mixer grinder and grind it to make a powder. Keep it aside. Now in a mortar and pestle, put ginger, garlic paste, garam masala, salt, lemon juice and ground masala and make a paste. Keep it aside. In a large bowl, put curd, ginger garlic paste, garam masala, salt, lemon juice and ground masala and mix. Add paneer and capsicum in it and mix. Cover the bowl and keep it aside for 30 minutes. Now after cooking paneer tikka, soak the skewers in water for few hours. Now take it out from water and dry it well. Put paneer and capsicum in skewers. Apply some oil on the hot side and fry both Grill till it turns nicely brown from all the sides. Serve after grilling. Serve Achari Paneer Tikka recipe with Coriander Mint Chutney for starters. "</t>
  </si>
  <si>
    <t>https://www.archanaskitchen.com/achari-paneer-tikka-recipe-in-hindi</t>
  </si>
  <si>
    <t>Healthy Vegetable Paratha Rolls Recipe</t>
  </si>
  <si>
    <t>4 Tawa Paratha,1 Onion - sliced,2 cups Cabbage (Patta Gobi/ Muttaikose) - thinly sliced,1 cup Carrot (Gajjar) - shredded,1/2 cup Green peas (Matar),3/4 cup Potatoes (Aloo) - boiled and mashed,1/2 Green Bell Pepper (Capsicum) - thinly sliced,1 cup Tomato - chopped,1 inch Ginger - finely shredded,1 Green Chilli - finely chopped,2 sprig Coriander (Dhania) Leaves - chopped,2 tablespoons Sunflower Oil,1 teaspoon Cumin seeds (Jeera),1 teaspoon Salt,1/2 teaspoon Garam masala powder</t>
  </si>
  <si>
    <t xml:space="preserve">To begin making the Healthy Vegetable Paratha Rolls Recipe, make sure you have freshly made hot tawa parathas ready. You can also make them once you have finished making the filling for the roll Heat a teaspoon of oil in a heavy bottomed pan on medium heat. Add the onions, garlic, ginger, carrots and peas sprinkle some salt and stir fry on medium heat until the carrots is cooked.In meantime pressure cook the peeled potatoes for about 4 whistle and release the pressure naturally and mash it completely. When vegetables are almost done, add in the chopped cabbage, tomato and bell peppers and stir fry it until the cabbage is almost softened. Stir in the spices powders and boiled and mashed potato into the kadai and check the spice levels and adjust to suit your taste.The next step is to make the wrap. Place a the cooked flat bread or the tawa whole wheat paratha for the wrap on a working surface. Arrange a small portion of the roasted vegetables towards the center of the paratha.Fold the two opposite ends of the flat paratha over the filling. Start rolling the paratha from one open end over the two folded sides. Roll the entire paratha tightly and wrap a foil or butter paper around it.There are many different ways to roll a wrap, you can search on the internet and find your preferred way of wrapping.Serve the delicious Healthy Vegetable Paratha Rolls for the kids lunch box or as a travel snack or just a weeknight dinner along with Chickoo Banana Date Smoothie Recipe
</t>
  </si>
  <si>
    <t>https://www.archanaskitchen.com/healthy-vegetable-paratha-rolls-recipe</t>
  </si>
  <si>
    <t>Vegetarian Malai Kebab Recipe</t>
  </si>
  <si>
    <t>1 cup Paneer (Homemade Cottage Cheese) - grated,1 Potato (Aloo) - boiled and grated,1/2 cup Milk Powder,1 inch Ginger - finely chopped,1 Green Chilli - finely chopped (adjustable),1 Onion - finely chopped,1 Garam masala powder,1 Chaat Masala Powder,3 Coriander (Dhania) Leaves - finely chopped,1 Rice flour - rice powder,Salt - to taste,Sunflower Oil - as required</t>
  </si>
  <si>
    <t xml:space="preserve">To begin making the Vegetarian Malai Kebab Recipe, keep all the above things ready. Now take a mixing bowl, add all the ingredients mentioned in the list above includig Paneer, Potato, Milk Powder, Ginger, Green Chilli, Onion, Garam Masala Powder, Chaat Masala Powder, Coriander Leaves, Rice Flour, Salt  and mix them properly. Make sure all the masalas are mixed with paneer and potato.Next, take small portions out of the mixture and make small round shaped kebabs. Pat them so that they become flat.Heat oil in a skillet and shallow fry them from both the sides till they turn golden brown in colour. Take them out on an absorbent paper to remove the excess oil. Serve hot.Serve Vegetarian Malai Kebab Recipe along with Dhaniya Pudina Chutney and Masala Chai for your tea time snacks. This is a great recipe to serve as an Indian appetiser in your house parties too.
</t>
  </si>
  <si>
    <t>http://www.archanaskitchen.com/vegetarian-malai-kebab-recipe</t>
  </si>
  <si>
    <t>Paneer Pav Bhaji Recipe - Wholesome Weeknight Dinner</t>
  </si>
  <si>
    <t>2 tablespoons Butter,1 Onion - finely chopped,4 cloves Garlic - finely chopped,1 Green Bell Pepper (Capsicum) - finely chopped,1/2 cup Homemade tomato puree,4 Potatoes (Aloo) - peeled and diced,1/2 cup Cauliflower (gobi),2 Carrots (Gajjar) - finely chopped,2 teaspoons Pav bhaji masala,1 tablespoon Chaat Masala Powder,1 cup Paneer (Homemade Cottage Cheese) - grated,1 Lemon - juice,Salt - to taste,12 Pav buns - (ham burger buns could be substituted),Butter - for toasting,Coriander (Dhania) Leaves - small bunch finely chopped,1 Onions - finely chopped for serving,1 Lemon - juice extracted</t>
  </si>
  <si>
    <t xml:space="preserve">To begin making the Paneer Pav Bhaji Recipe, prep all the ingredients and keep it ready.Place the pressure cooker on medium heat. Add the butter and allow it to melt. Once it melts, add the onion, capsicum and garlic and saute until the onions and capsicum soften.Once it softens, add the tomato puree, potatoes, carrots, cauliflower, pav bhaji masala and chaat masala powder. Saute for a few seconds.Add 1/2 a cup of water in a pressure cooker and pressure cook for 5 to 6 whistles. The vegetables have to become very soft and mushy. Turn off the heat and allow the pressure to release naturally. Once cooked, open the cooker and mash the vegetables well, then add the paneer and mix well to combine. Once done add the coriander leaves and lemon juice and mix well. Check the seasoning and transfer the bhaji into a serving bowl , Sprinkle some onions on the top and keep aside.The final step is to toast the pav buns. Heat a skillet on medium high heat. Spread butter over the sliced pav buns and toast them on the tawa until golden brown and crisp. Serve with the bhaji and enjoy.Serve the Pav Bhaji Recipe along with a Dahi Vada or a Papdi Chaat for a weeknight dinner or a chaat party at home. Your friends and family are sure to love this dish.
</t>
  </si>
  <si>
    <t>https://www.archanaskitchen.com/paneer-pav-bhaji-recipe-delicious-indian-street-food-dinner</t>
  </si>
  <si>
    <t>Punjabi Rajma Masala</t>
  </si>
  <si>
    <t>1 cup rajma, 1 inch ginger - grate, 2 cloves garlic - grate, 1 onion - chop, 1 tomato - puree, 1 teaspoon turmeric powder, 1 teaspoon cumin powder - roast, 1 teaspoon garam masala powder, 4 cardamoms - powder, 1 tablespoon butter, 2 sprigs coriander leaves - chop, 1 teaspoon oil, salt - according to taste</t>
  </si>
  <si>
    <t>"To make Punjabi Rajma Masala, first we soak the Rajma for 8 to 10 hours. Put onion, ginger and garlic in a mixer grinder. Grind it and keep it aside. Now heat oil in a pressure cooker. Add onion, ginger and garlic paste in it. Let it cook for 2 to 4 minutes. After 4 minutes add tomatoes, turmeric powder, cumin powder, garam masala powder and cardamom powder. Cook for 2 minutes and then add soaked Rajma and mix it. Add water as per requirement and mix it. Cover the cooker and let it cook till 6 to 8 whistles. After 8 minutes reduce the flame and let it cook for 15 minutes. Turn off the gas. Let the pressure release automatically and check whether the Rajma is cooked or not. If not, cook for some more time. Serve hot after cooking. Serve Punjabi Rajma Masala with rice and Kachumber salad for dinner."</t>
  </si>
  <si>
    <t>https://www.archanaskitchen.com/punjabi-rajma-masala-recipe-in-hindi</t>
  </si>
  <si>
    <t>Baby Corn &amp; Tomato Masala Bath-Rice Spiced With Pav Bhaji Masala</t>
  </si>
  <si>
    <t>1-1/2 cups Baby corn - sliced,1 tablespoon Sunflower Oil,1 teaspoon Cumin seeds (Jeera),1 inch Ginger - finely chopped,4 cloves Garlic - finely chopped,1 Onion - finely chopped,1 Tomato - finely chopped,1 tablespoon Pav bhaji masala,2 teaspoons Garam masala powder,2 teaspoons Cumin powder (Jeera),Salt - to taste,1-1/2 cups Cooked rice - cooled completely,1 tablespoon Lemon juice,1/4 cup Coriander (Dhania) Leaves - finely chopped</t>
  </si>
  <si>
    <t xml:space="preserve">To begin making the Baby Corn &amp; Tomato Masala Bath, add the baby corn into the pressure cooker along with 2 tablespoons of water and pressure cook for two whistles.Release the pressure immediately by running it under cold water. By releasing the pressure immediately, we prevent the baby corn from getting over cooked.Heat oil in a pan over medium heat; add jeera, ginger, garlic and saute for a couple of minutes.Add the onions and cook until it lightly softens. Stir in the tomatoes and cook until it is soft.Once the tomatoes have softened, add in the pav bhaji masala, garam masala and jeera powder and toss.At this stage, turn the heat to high, add the baby corn, cooked rice, salt to taste and stir fry the Baby Corn &amp; Tomato Masala Bath until all the masala is well coated into the rice. Turn the heat to low, cover the pan and simmer the Baby Corn &amp; Tomato Masala Bath for about 3 to 4 minutes. Check the taste of salt and spices and adjust accordingly.Once done, turn off the heat and stir in the coriander leaves and fresh lemon juice. Transfer the Baby Corn &amp; Tomato Masala Bath to serving bowl and serve hot.Serve this Baby Corn and Tomato Masala Bhat with Boondi Raita Recipe Spiced With Black Salt and Onion Tomato Mixed Bean Sprout Salad Recipe for a quick and healthy dinner.You can also pack with rice into a kids lunch box. They will simply love it.
</t>
  </si>
  <si>
    <t>http://www.archanaskitchen.com/baby-corn-and-tomato-mixed-rice-recipe</t>
  </si>
  <si>
    <t>Peanut Kesar Burfi Recipe</t>
  </si>
  <si>
    <t>1 cup Raw Peanuts (Moongphali) - unsalted,1 cup Sugar,1/2 cup Milk Powder - optional,1/8 teaspoon Saffron strands,Yellow food colour - A pinch (optional),1/2 teaspoon Butter - clarified,2 tablespoons Milk - lukewarm,5 Cardamom (Elaichi) Pods/Seeds,1 tablespoons Pistachios - chopped</t>
  </si>
  <si>
    <t xml:space="preserve">To begin making the Peanut Kesar Burfi Recipe, firstly heat a wide pan and dry roast peanuts for 5 to 6 minutes then keep them aside.Now powder the sugar and cardamom together or separately as your comfort.Apply some clarified butter on a medium sized plate and keep it aside.Now grind the peanuts coarsely using a grinder. Now to the same pan, add ground peanuts, powdered sugar, saffron, yellow food colour, milk powder, milk and cook it on low heat.Stir continuously. After 8 to 10 minutes it will turn slightly thick and keep stirring constantly.After few minutes, peanut mixture will turn thick and start leaving the sides of the pan.Now switch off the flame and pour the mixture immediately to the prepared plate.Top it with some sliced pistachios and saffron. While its still warm make a mark to slice.After 2 hours or once it is cooled completely slice it and serve. Serve Peanut Kesar Burfi as a dessert with Panchmel Dal, Rabodi Ki Sabzi and Phulkas for a complete weekend day meal.
</t>
  </si>
  <si>
    <t>https://www.archanaskitchen.com/peanut-kesar-burfi-recipe</t>
  </si>
  <si>
    <t>Ande Ka Salan Recipe - Tangy Egg Masala in Peanut Gravy</t>
  </si>
  <si>
    <t>6 Whole Eggs - hardboiled,1/4 Cup Fresh coconut - freshly grated,2 tablespoons Peanuts - roasted,2 tablespoons Sesame seeds (Til seeds),1/2 cup Water - lukewarm,1/2 teaspoon Mustard seeds,1/2 teaspoon Cumin seeds (Jeera),1/4 teaspoon Methi Seeds (Fenugreek Seeds),1 sprig Curry leaves,2 Onions - finely chopped,1 inch Ginger - finely chopped,6 cloves Garlic - finely chopped,2 Green Chillies - slit,1 cup Homemade tomato puree,1/4 teaspoon Turmeric powder (Haldi),1 teaspoon Red Chilli powder,1 1/2 teaspoon Coriander (Dhania) Powder,1 cup Tamarind Water,1 tablespoon Sunflower Oil,2 tablespoons Coriander (Dhania) Leaves - chopped</t>
  </si>
  <si>
    <t xml:space="preserve">To begin making the Ande Ka Salan Recipe, into a preheated pan, add the roasted peanuts, sesame seeds and roast for a minute till the sesame seeds start to pop. Once done turn off the heat and let it cool.Add the roasted peanuts and the sesame seeds into a mixer grinder along with coconut, warm water and grind into a smooth paste. Keep aside.Next we will proceed to make the gravy. Into a preheated pan, add oil, once the oil is hot, add the mustard seeds, cumin seeds, methi seeds and allow the seeds to crackle.Once the seeds crackle, add the curry leaves, onions, garlic, ginger, green chillies and saute until the onions turn golden brown in color.Once done, add in the tomato puree, turmeric powder, red chilli powder, coriander powder, coconut peanut sesame mixture, tamarind water and salt to taste. Stir the Ande ka Salan gravy well to combine.Simmer the gravy for Ande ka Salan on medium heat for about 5 to 7 minutes. After 5 to 7 minutes, stir in chopped coriander leaves, add slit hard boiled eggs to the gravy, give a brisk boil and turn off the heat.Transfer Ande Ka salan to a serving dish and serve hot.Serve Ande Ka Salan Recipe along with Chicken Biryani or Tawa Paratha and Burani Raita for your weekend dinner.
</t>
  </si>
  <si>
    <t>http://www.archanaskitchen.com/ande-ka-salan-recipe</t>
  </si>
  <si>
    <t>Chaas Dahi Vada Recipe - Dahi Vada in Refreshing Buttermilk</t>
  </si>
  <si>
    <t>1 cup White Urad Dal (Whole),Salt - to taste,2 Green Chillies - finely chopped,Figaro Pure Olive Oil - for pan frying,3 cups Curd (Dahi / Yogurt),3 cups Water,1/4 cup Mint Leaves (Pudina) - chopped,1 teaspoon Chaat Masala Powder,2 Green Chillies - chopped (or more as per paste),1 teaspoon Cumin seeds (Jeera),2 teaspoons Sugar - (optional),Salt - to taste</t>
  </si>
  <si>
    <t xml:space="preserve">To begin making the Dahi Vada Recipe, we have to first soak the urad dal for 2 hours in 2 cups of water. Grind the dal with salt adding just enough water to make into a thick and smooth batter.Preheat the Kuzhi Paniyaram pan with a pinch of oil on each cavity. Add a dollop of the dahi vada batter into each cavity, cover the pan and allow it to steam in medium heat.You could optionally add a little more oil into each cavity to get a slightly more crispy texture. Once the vada looks steamed from the top, flip the vada over and allow it to turn into a golden brown on both sides. Repeat the above process with the remaining portions of the dahi vada batter.Now heat a big broad pot of water; once it has reached the boiling point, turn off heat. Add the pan fried vada’s to the hot water. Don’t add too many at a time.Give enough space for the vada’s to breathe, as they tend to expand more in water. Let the vada’s soak in water for about 5 minutes or until have turned soft. Once all the vada’s are soaked and softened scoop out draining any excess water, without squeezing them.Set them aside in a serving dish. The process of soaking the vada’s in water makes them soft, fluffy and juicy at the same time making it porous.To make the chaas for the dahi vada.Into the tall jar of the mixer grinder, add the dahi, salt, green chillies, cumin seeds and mint leaves. Coarsely blend it to make a smooth mixture. Pour the ground yogurt into a large bowl- add water and whisk well. Check the salt and seasonings and adjust according to taste.Once done, add the soaked vada into the chaas. Cover the bowl and refrigerate the Chaas Dahi Vada until you are ready to serve.
</t>
  </si>
  <si>
    <t>https://www.archanaskitchen.com/chaas-dahi-vada-recipe-dahi-vada-in-refreshing-buttermilk</t>
  </si>
  <si>
    <t>Bhatt Ki Dal Recipe - Traditional Kumaoni Black Bean Dal</t>
  </si>
  <si>
    <t>1 cup Black beans - soaked overnight,1 Onion - finely chopped,4 cloves Garlic - finely chopped,1 teaspoon Cumin seeds (Jeera),1/4 cup Whole Wheat Flour,1 teaspoon Turmeric powder (Haldi),2 teaspoon Red Chilli powder,2 teaspoon Coriander Powder (Dhania),2 teaspoon Garam masala powder,Salt - to taste,Sunflower Oil,1 tablespoon Ghee</t>
  </si>
  <si>
    <t xml:space="preserve">To begin making the Kumani Bhatt Ki Dal Recipe, soak the black beans overnight with water.Heat a kadai on medium heat, add a tablespoon of ghee and once it start to melt, add in the wheat flour. Keep roasting the flour until it changes the color to light brown. Once it is light brown, take it out and keep it aside.Into the pressure cooker, heat oil over medium heat; add in cumin seeds and allow it to crackle. Add in the chopped onion and garlic and saute till the onions turn translucent. Once the onions have turned light brown. Add soaked black beans along with the water, the spice powders like turmeric, red chilli powder, garam masala powder, coriander powder, salt to taste and mix well. Add little more water until the beans is immersed well in water at least 2 inches below.Pressure cook the Bhatt ki Dal for 5 to 8 whistles for about 30 minutes until it is completely done.Once done, turn off the heat and allow the pressure to release naturally.Once released, add in wheat flour and keep mixing until the Kumani Bhatt ki Dal is well combined. Add a little water if required and keep stirring until the Kumani Bhatt ki Dal thickens.Check for salt if the Kumani Bhatt ki Dali requires any flavour you can adjust it now. Once done, turn off the the heat and transfer the Kumani Bhatt ki Dal to a serving bowl.Serve the Kumani Bhatt Ki Dal Recipe along with Phulka Recipe and Aloo Gobi Ki Sabzi to make a simple Indian Lunch or dinner for yourself and family. 
</t>
  </si>
  <si>
    <t>http://www.archanaskitchen.com/bhatt-ki-dal-traditional-kumaoni-black-bean-dal-recipe</t>
  </si>
  <si>
    <t>Sukhi Dahi Wali Lauki Recipe - Yogurt Based Bottle Gourd Sabzi</t>
  </si>
  <si>
    <t>1-1/2 cup Bottle gourd (lauki) - peeled and chopped,1/2 teaspoon Cumin seeds (Jeera),1/2 teaspoon Mustard seeds,5 Curry leaves,1 Green Chillies - finely chopped,3 cloves Garlic - finely chopped,1 Onion - finely chopped,1 Tomato - chopped,1/4 cup Curd (Dahi / Yogurt),1 teaspoon Red Chilli powder,1/2 teaspoon Turmeric powder (Haldi),1/2 teaspoon Coriander Powder (Dhania),Salt - as required,Water - as required,Sunflower Oil - as required</t>
  </si>
  <si>
    <t xml:space="preserve">To prepare Sukhi Dahi Wali Lauki Recipe (Yogurt Based Bottle Gourd Sabzi), firstly, heat oil in a Kadai. Add cumin seeds, mustard seeds, curry leaves and green chillies.Once the mustard seeds crackle, add the garlic and onions. Cook till the onions become soft and translucent.Next add the chopped lauki and give it a stir. Add salt, turmeric powder and cover the pan with a lid. Let it cook for about 3 to 4 minutes.Next, add the tomato, red chilli powder and coriander powder. Mix everything and cover the pan again.Meanwhile, whisk the curd with required water in a bowl and keep it aside.When the lauki/bottle gourd becomes soft, turn the flame on low, add the curd/yogurt and stir continuously.Once Sukhi Dahi Wali Lauki is mixed properly, cover the pan again and let it cook for about 6 to 8 minutes until most of the liquid evaporates.When Sukhi Dahi Wali Lauki Recipe (Yogurt Based Bottle Gourd Sabzi) is properly cooked, switch off the flame and serve hot.Serve Sukhi Dahi Wali Lauki along with Palak Dal, Boondi Raita and Phulka for an everyday meal.
</t>
  </si>
  <si>
    <t>https://www.archanaskitchen.com/sukhi-dahi-wali-lauki-recipe-yogurt-based-bottle-gourd-sabzi</t>
  </si>
  <si>
    <t>Peanut Chaat With Spiced Yogurt Recipe</t>
  </si>
  <si>
    <t>1 cup peanuts - boil, 1/2 tsp turmeric powder, 1 tomato - finely chopped, 1 cucumber - finely chopped, 1 green chilli - grated, 2 tbsp lemon juice, 1 tsp chaat masala powder, 1/2 tsp cumin powder, 1 tsp sugar, 1/2 tsp salt, 1 cup curd, 1/2 tsp black pepper powder, 1/4 tsp salt, 1/2 tsp mixed herbs</t>
  </si>
  <si>
    <t xml:space="preserve">To make Dahi Wali Peanut Chaat Recipe, first we will make curd dressing. In a bowl add curd, black pepper powder, salt, mixed herbs and mix well. Keep this bowl in the fridge for 1/2 hour. In another bowl add peanuts, turmeric powder, tomatoes, cucumber, salt, green chillies, chaat masala, cumin powder, sugar, lemon juice and mix well. Now put curd in a bowl, pour peanut mixture over it and serve. Serve Dahi Wali Peanut Chaat Recipe with Palak Daal, Bhindi Masala and Phulkas. You can also serve it with your evening masala tea.
</t>
  </si>
  <si>
    <t>https://www.archanaskitchen.com/peanut-chaat-with-spiced-yogurt-recipe-in-hindi</t>
  </si>
  <si>
    <t>Whole Wheat Sonth Ke Ladoo Recipe</t>
  </si>
  <si>
    <t>1 cup Whole Wheat Flour,1/4 cup Dry ginger powder - (sonth),3/4 cup Jaggery,1/3 cup Gond (natural gum),1/2 cup Dry coconut (kopra) - grated,1/2 cup Mixed nuts - almonds,1/3 cup Ghee</t>
  </si>
  <si>
    <t xml:space="preserve">To begin with Whole Wheat Sonth Ke Ladoo Recipe, heat 1 tablespoon ghee in a heavy bottomed pan. Add gond and fry it on low flame until it puffs up and turns slightly brown in colour. Remove from pan and transfer to a plate.Add remaining ghee into the same pan. Roast vivatta whole wheat flour on low flame until a nice aroma from the flour is released and ghee separates from the flour. Remove it into a wide bowl.Add ginger powder and roast for about a minute or until the powder releases nice aroma. Remove from pan and add into the bowl containing whole wheat flour.Next dry roast grated dry coconut for a minute and then transfer into the wheat flour bowl.Add the broken jaggery pieces into the same pan and heat it until melted. Once fully melted filter it to remove any impurities. Pour the filtered jaggery syrup into the whole wheat flour bowl.Grind almonds and cashews into coarse powder and chop the pistachios. Add all the nuts into the bowl.Crush roasted gond (mastic gum) into very small pieces. Add it to the bowl as well.Mix all the ingredients well. Wait until heat reduces to bearable amount to touch. Make lemon sized balls and shape them into round shapes.Store Whole Wheat Sonth Ke Ladoo in an airtight container, as they stay good for about 3 to 4 months.Whole Wheat Sonth Ke Ladoos are usually made and eaten during the winter season to provide warmth to the body. You can also serve them as a tea time snack with a hot cup of Masala Chai.
</t>
  </si>
  <si>
    <t>http://www.archanaskitchen.com/whole-wheat-sonth-ke-ladoo-recipe</t>
  </si>
  <si>
    <t>Shahi Paneer Recipe</t>
  </si>
  <si>
    <t>1 onion - finely chopped, 250 grams paneer - cut into small pieces, 1 green chilli - cut straight, 1 cup tomato puree, 3/4 cup cream, 1 teaspoon cumin seeds, 1 teaspoon cumin powder, 1/2 teaspoon cardamom powder, 1/2 teaspoon turmeric powder, 1/2 teaspoon red chilli powder, salt - according to taste, 2 tablespoons oil, green coriander - according to use</t>
  </si>
  <si>
    <t>"To make Shahi Paneer, first heat oil in a pan. Add cumin seeds and let them crackle. After crackling, add green chillies, onions and cook till onions become soft. After onions become soft, add tomato puree, turmeric powder, red chilli powder, cumin powder, cardamom powder and salt. Let it cook for 5 to 6 minutes. After this, add cream and mix well. Cook for 2 minutes. After 2 minutes, add paneer, green coriander and let it cook for 3 to 4 minutes. Turn off the gas and serve. Serve Shahi Paneer Recipe with Garlic Daal, Palak Raita, Jeera Rice and Phulkas for your everyday meal."</t>
  </si>
  <si>
    <t>https://www.archanaskitchen.com/shahi-paneer-recipe-in-hindi</t>
  </si>
  <si>
    <t>Dal Kabila Recipe - Diabetic Urad Dal Tadka</t>
  </si>
  <si>
    <t>1 teaspoon Ghee,1 cup White Urad Dal (Split),1 inch Cinnamon stick,3 Cloves (Laung),3 Dry Red Chillies,1 Onion - finely chopped,3 cloves Garlic - finely chopped,1/2 inch Ginger - finely chopped,1 Tomato - finely chopped,1 Green Chilli - slit,1/4 teaspoon Red Chilli powder,1 teaspoon Coriander Powder (Dhania),1/4 teaspoon Turmeric powder (Haldi),1/4 teaspoon Garam masala powder,3 sprig Coriander (Dhania) Leaves - chopped,3 cups Water,1 tablespoon Ghee,1 teaspoon Cumin seeds (Jeera),1 teaspoon Black pepper corns - lightly crushed</t>
  </si>
  <si>
    <t xml:space="preserve">To begin making Dal Kabila Recipe first wash urad dal and soak it for 2 hours. Prep all the ingredients.Add ghee into the pressure cooker and place over medium heat.Add in the dry red chillies, cinnamon stick, cloves and saute until you can smell the aromas of the spices coming through.Add Onions and slit green chillies and saute until the onions soften and change colour.Stir in the tomatoes, red chilli powder, turmeric powder, coriander powder, and saute. Finally add the split urad dal, salt along with 3 cups of water and cook for 5 to 6 whistles (about 15 minutes).Once done, turn off the heat and allow the pressure to release naturally. Once the pressure has released, check the salt and adjust according to taste. Transfer the Dal Kabila/ Urad Dal Tadka to a serving bowl.The final step is the tadka.Heat the ghee in a pan over medium heat; add the cumin seeds, crushed black pepper and sauce for a few seconds until the cumin seeds crackle. Spoon the takda over the Dal Kabila and serve hot.Serve the Dal Kabila/ Urad Dal Tadka with Palak Ragi &amp; Oats Wheat Thepla and Kachumber Salad Recipe With Cucumber, Onion &amp; Tomatoes for a wholesome weeknight diabetic indian dinner or lunch.
</t>
  </si>
  <si>
    <t>https://www.archanaskitchen.com/dal-kabila-recipe-diabetic-urad-dal-tadka</t>
  </si>
  <si>
    <t>Green Beans And Scrambled Egg Recipe</t>
  </si>
  <si>
    <t>3 Whole Eggs,300 grams Green beans (French Beans) - chopped,1 teaspoon Cumin seeds (Jeera),1/2 teaspoon Turmeric powder (Haldi),1 teaspoon Black pepper powder,1 Green Chilli - chopped,Salt - to taste,Sunflower Oil</t>
  </si>
  <si>
    <t xml:space="preserve">To begin making the Green Beans And Scrambled Egg Recipe, heat a saucepan with oil, once it is hot enough, add cumin seeds and allow it to sizzle.Once the cumin seeds have crackled add chopped green beans and sprinkle salt. Saute for a minute and allow it to cook for few minutes till the beans turn soft.Once the beans are cooked, break the egg slowly one by one, sprinkle turmeric, pepper powder, green chilli and  salt to taste. Keep stirring until the eggs and green beans come together and scramble is well cooked.Once the egg is cooked turn off the heat . Transfer into a serving bowl and serve Green Beans And Scrambled Egg Recipe warm.Serve the Green Beans And Scrambled Egg Recipe along with Yellow Pumpkin Dal ,Palak Ragi Oats Wheat Thepla, Kela Anar Raita Recipe to make it meal.
</t>
  </si>
  <si>
    <t>http://www.archanaskitchen.com/green-beans-egg-scramble-recipe</t>
  </si>
  <si>
    <t>Mirchi And Aloo Curry Recipe - Long Green Chilli And Potato Curry</t>
  </si>
  <si>
    <t>6 Badi hari mirch (Large Green Chilli) - seeds removed and chopped,2 Potatoes (Aloo) - peeled and chopped small,1 Bay leaf (tej patta),1 Cardamom (Elaichi) Pods/Seeds,1 Cinnamon Stick (Dalchini),1 teaspoon Cumin seeds (Jeera),1 tablespoon Red Chilli powder,1 tablespoon Coriander Powder (Dhania),1 tablespoon Garam masala powder,1/2 teaspoon Turmeric powder (Haldi),Salt - to taste,2 Onion - chopped,1 Tomato - chopped,4 Cloves (Laung) - garlic,2 Green Chilli - chopped,2 sprig Dill leaves - chopped to garnish</t>
  </si>
  <si>
    <t xml:space="preserve">To begin making the Mirchi and Aloo Curry Recipe (Long Green Chilli and Potato Curry Recipe) by grinding all the ingredients that is needed for the gravy incuding onion, tomato, cloves, green chilli and dill leaves to a smooth paste.Now heat oil in a pressure cooker, add cumin seeds and let it crackle. Once it crackles, add the spices like bay leaf, cinnamon and cardamom. Let the aroma release.Add in the chopped green peppers, potato and sauté them for few minutes.Now add in the ground gravy, and also add the spice powders including turmeric powder, garam masala powder, red chilli powder, coriander powder, salt and sauté them well. Check for salt and add about 1 cup water and pressure cook for about 2 whistle.Serve hot by sprinkling few dill leaves over them once the pressure is released. Serve the Mirchi and Aloo Curry Recipe (Long Green Chilli and Potato Curry Recipe) along with Phulka Recipe (Roti/Chapati) - Puffed Indian Bread and Bihari Karela and Aloo Ki Subzi Recipe to enjoy your lunch or dinner time with loved ones.
</t>
  </si>
  <si>
    <t>https://www.archanaskitchen.com/mirchi-and-aloo-curry-recipe-long-green-chilli-and-potato-curry-recipe</t>
  </si>
  <si>
    <t>Stuffed Makai Paratha Recipe (Corn &amp; Coriander Stuffed Flat Bread)</t>
  </si>
  <si>
    <t>2 cups Whole Wheat Flour,1/2 teaspoon Salt,1 teaspoon Sunflower Oil,2 cups Sweet corn - steamed,2 Green Chillies - finely chopped,1 tablespoon Coriander (Dhania) Leaves - finely chopped,1 teaspoon Cumin powder (Jeera) - (roast &amp; ground),Salt - to taste</t>
  </si>
  <si>
    <t xml:space="preserve">To begin making the Stuffed Makai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8 to 10 equal portions. Cover the dough and allow the dough to rest until you the filling ready.While the dough is resting, we will prepare the filling for the paratha.Into a food processor, add the steamed sweet corn, chopped green chillies, chopped coriander leaves and pulse to get a coarse mixture. Transfer this mixture to a mixing bowl; add the salt and cumin powder and stir well to combine. Check the salt and spice and adjust to suit your taste.Divide the filling into 8 to 10 equal portions. This process of dividing and keeping the portions of dough and filling ready, helps you gauge the number of makai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Now place the a portion of the filling onto the circle and bring the dough from the sides towards the center to cover the filling.Once the filling is sealed from the inside, flatten the dough, dust it in flour and and roll it gently to make a paratha.  Give it a gentle roll with the pin to even it out, if you press and roll too hard, there are chances the filing will come out. Proceed the same way with the remaining dough and filling portions.Now we will get into the final steps of cooking a Makai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makai parathas to get a crisp on the outside and yet soft texture.Once the paratha is cooked transfer to a plate. Continue to the remaining dough portions the same way.The Stuffed Makai Paratha makes a perfect breakfast or even a quick weeknight dinner that you can have along with a favorite Raita.
</t>
  </si>
  <si>
    <t>http://www.archanaskitchen.com/stuffed-makai-paratha-recipe-corn-and-coriander-stuffed-flat-bread</t>
  </si>
  <si>
    <t>Kanji Recipe - Probiotic Drink Made From Carrots &amp; Beetroot</t>
  </si>
  <si>
    <t>2 Purple Carrots,1 Beetroot,2 tablespoon Mustard powder - coarsely ground,1 1/2 teaspoon Red Chilli powder,10-12 cups Water,Salt - to taste</t>
  </si>
  <si>
    <t xml:space="preserve">To begin making the Kanji Recipe, wash and peel the carrots and beetroot. Cut them into thick and long strips.Place the carrots and beets into a large mixing bowl; add the salt, chilli powder and mustard powder and stir well to combine.  Add the 10-12 cups of water to it (depending on how sharp) you want the Kanji and store the Kanji for fermentation in a jars of glass or ceramic. Cover the jar with a muslin cloth and tie it tightly around the rim with a thread, so the opening of the jar is completely sealed. Place the Kanji filled Jars in the sun for about 3 to 4 days, so it can get fermented. Bring it back inside for the night and before you put it back in the sun, open the muslin cloth, stir the Kanji well.Cover it back again tightly and allow it to ferment in the sun the next day.You will know that the Kanji is fermented when it turns slighly sour. Once its fermented, strain the liquid and the Kanji is ready to be served.The pieces of carrots and beets, that remain after straining the Kanji can be used as pickles by spicing them up.Serve Kanji to your family for a healthy gut and their overall well being.
</t>
  </si>
  <si>
    <t>http://www.archanaskitchen.com/carrot-kanji-recipe-mustard-flavoured-drink-made-from-carrots-beetroot</t>
  </si>
  <si>
    <t>Shahi Egg Curry Recipe In Tomato &amp; Cashew Gravy</t>
  </si>
  <si>
    <t>4 Whole Eggs,1-1/2 cups Homemade tomato puree,2 Onions - finely chopped,6 cloves Garlic,1 inch Ginger,1 Bay leaf (tej patta),1/2 teaspoon Turmeric powder (Haldi),1 teaspoon Red Chilli powder,1 teaspoon Garam masala powder,1 teaspoon Kasuri Methi (Dried Fenugreek Leaves),1/4 cup Cashew nuts - ground into paste,Figaro Pure Olive Oil - for cooking,2 Salt - to taste</t>
  </si>
  <si>
    <t xml:space="preserve">To begin making the Shahi Egg Curry Recipe, prep all the ingredients and keep them ready, hard boil the eggs, prepare the make the tomato puree. Follow - How To Make Tomato PureeInto a pestle and mortar, add the ginger and garlic and pound to make a coarse mixture.Into a pan, add in the olive oil, add the onions, pounded ginger and garlic and saute for a few seconds until the onions have softened. Take care not to caramelize the onions. Once the onions have softened, add in the tomato puree, bay leaf, turmeric powder, red chili powder and garam masala powder.Stir in the cashew nut paste and the boiled eggs. Cover the pan and simmer for about 5 to 10 minutes until the masalas come together to make a delicious egg curry.Once done, stir in the kasuri methi into the Shahi Egg Curry and serve.Serve this Shahi Egg Curry Recipe along with Hyderabadi Vegetable Biryani or Pudina Lahsun Laccha Paratha and Burani Raita for your weekend meal.
</t>
  </si>
  <si>
    <t>https://www.archanaskitchen.com/shahi-egg-curry-recipe-in-tomato-cashew-gravy</t>
  </si>
  <si>
    <t>Bharwa Lauki</t>
  </si>
  <si>
    <t>1 bottle gourd, 2 onions - chopped, 2 tomatoes - finely chopped, 1 tsp red chilli powder, 1/4 tsp turmeric powder, 1 tsp coriander powder, 1 tsp cumin seeds, 4 tbsp oil, 1 tbsp sugar, 1 tbsp kasuri methi, salt - according to taste, 3 sprigs coriander leaves - finely chopped, 1 cup paneer - crumbled, 1 tsp cumin seeds - cumin seeds, 1 onion - finely chopped, 1/2 capsicum (green) - finely chopped, 1 green chilli - finely chopped, 1 tsp coriander powder, 1 tsp red chilli flakes, salt - according to taste, 1 tsp cream</t>
  </si>
  <si>
    <t>"To make stuffed gourd, first we will make paneer masala. Heat oil in a pan and add cumin seeds to it. After 10 seconds add onion and cook till onion becomes soft. After it becomes soft, add paneer, salt, coriander powder, red chilli flakes and mix. Cook for 1 to 2 minutes, turn off the gas and keep it aside. Let it cool. Now we will fill this masala in the gourd. First peel the gourd and add water and salt in a big pan and cook till the gourd is cooked. Now let the gourd cool down. After cooling, take out the big from inside the gourd. Now heat oil in a pan and keep the gourd in it. Cook till it becomes brown and crisp from all sides. After it is cooked, fill it with paneer masala and cut it into 1 inch slices. Now heat oil in a pan for the gravy. Add cumin seeds to it and let it cook for 10 seconds. Now add onion to it and cook till the onion becomes soft Cook. After onions turn soft add tomatoes and cook till they turn soft. After onions turn soft add turmeric powder, coriander powder, salt, remaining paneer masala, bottle gourd seeds and cook for 5 minutes. Now make a paste with the help of a hand blender and add 1 cup water. After 2 to 3 minutes add sugar, kasuri methi and bottle gourd. Cook for 3 minutes and garnish with coriander leaves and cream. Serve stuffed bottle gourd with Tawa Paratha and Tomato Onion Cucumber Raita for dinner.</t>
  </si>
  <si>
    <t>https://www.archanaskitchen.com/bharwa-lauki-stuffed-bottle-gourd-recipe-in-hindi</t>
  </si>
  <si>
    <t>Pyaz Kachori Chaat Recipe</t>
  </si>
  <si>
    <t>2 cups All Purpose Flour (Maida),2 tablespoons Ghee,1 teaspoon Salt,Water - as required,3 Onions - finely chopped,2 Potatoes (Aloo) - boiled and mashed,1/4 teaspoon Asafoetida (hing),1 teaspoon Fennel seeds (Saunf),1 teaspoon Coriander (Dhania) Powder,1/4 teaspoon Turmeric powder (Haldi),1 teaspoon Red Chilli powder,1 teaspoon Amchur (Dry Mango Powder),1 teaspoon Garam masala powder,4 sprig Coriander (Dhania) Leaves - chopped,Salt - to taste,Mustard oil,1/2 cup Curd (Dahi / Yogurt),1/2 teaspoon Cumin powder (Jeera),1/2 teaspoon Salt,1/2 teaspoon Sugar,1/4 cup Green Chutney (Coriander &amp; Mint),1/4 cup Sweet Chutney (Date &amp; Tamarind),1/2 cup Sev,1 Onion - finely chopped,Coriander (Dhania) Leaves - for garnish</t>
  </si>
  <si>
    <t xml:space="preserve">To begin making the Pyaz Kachori Chaat Recipe we will first make the kachoris.Add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 While the dough rests, we will prepare the filling for the kachori.Heat a heavy bottomed pan and add 1 tablespoon of mustard oil. Once the oil is hot, add hing and fennel seeds to it and allow them to sizzle.Next, add finely chopped onions, ginger, garlic and green chilies and sauté until onions turn translucent.Once done add the mashed potatoes and all the spice powders including red chilli powder, turmeric powder, coriander powder, garam masala powder, amchur powder, salt to taste and mix well.Stir in the coriander leaves and turn off the heat and let the filling of kachoris cool down completely.To make the KachorisTake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and keep aside.Whisk together the curd, salt, cumin powder and sugar until well combined and keep aside.Follow Green Chutney Recipe and Date and Tamarind Chutney to make home made chutney.To make the Pyaz Kachori Chaat Place the Pyaz Kachori on a plate and break it gently with your fingers. Top the kachori with little curd , green chutney and tamarind chutney. Sprinkle some chopped onions on the top. Next some sev and finally garnish with coriander leaves. Serve Pyaz Kachori Chaat Recipe Recipe as an evening tea time snack with a hot cup of Masala Chai. You can even serve it for your next chaat party along with Peanut Chaat With Spiced Yogurt and Homemade Canape Papdi Chaat 
</t>
  </si>
  <si>
    <t>https://www.archanaskitchen.com/pyaz-kachori-chaat-recipe</t>
  </si>
  <si>
    <t>Dahi Wale Tinda Ki Sabzi Recipe - Apple Gourd in Yogurt Curry</t>
  </si>
  <si>
    <t>500 grams Tinda (Apple Gourd) - peeled and diced,1 tablespoon Mustard oil,1/2 teaspoon Mustard seeds,1/2 teaspoon Methi Seeds (Fenugreek Seeds),2 Green Chillies - slit,1/4 teaspoon Asafoetida (hing),1/2 teaspoon Turmeric powder (Haldi),1 teaspoon Salt - or to taste,3/4 cup Curd (Dahi / Yogurt),1 tablespoon Gram flour (besan),1/2 teaspoon Coriander (Dhania) Powder,1/4 teaspoon Garam masala powder,1/2 teaspoon Red Chilli powder,1 tablespoon Kasuri Methi (Dried Fenugreek Leaves),6 sprig Coriander (Dhania) Leaves - finely chopped</t>
  </si>
  <si>
    <t xml:space="preserve">To begin making Dahi Wale Tinda Sabzi Recipe,  prepare all the ingredients and keep them ready.In a heavy bottom pan or kadai, heat mustard oil over medium heat.Add cumin seeds, fenugreek seeds and allow it to crackle for a few seconds.Add the chopped Tinda (apple gourd), green chillies, asafoetida, sprinkle a little salt and turmeric powder and give it a stir.Turn the heat to medium and cover the pan. Allow the Tinda (apple gourd) to cook until it has become soft. It will take about 5 minutes.Give it a stir halfway through and check doneness. In a small mixing bowl, add the yogurt, besan, chilli powder, coriander powder, kasuri methi and garam masala. Whisk well to combine. Add 1/4 cup of water if required and mix well Pour the dahi mixture into the tinda  and cook till the curry has thickened and dahi wale tinda sabzi has softened and has absorbed all the masalas. This will take another 3 to 5 minutes.Once done, check the taste and adjust the salt accordingly. Turn off the heat and stir in the coriander leaves and transfer the Dahi Wale Tinda Sabzi to a serving bowl.Serve the Dahi Wale Tinda Sabzi warm along with Phulka and Pindi Chole for a wholesome lunch or dinner
</t>
  </si>
  <si>
    <t>http://www.archanaskitchen.com/dahi-walla-tinda-recipe-indian-round-gourd-or-apple-gourd-curry</t>
  </si>
  <si>
    <t>Potato Puff Pastry Recipe</t>
  </si>
  <si>
    <t>2 Potatoes (Aloo) - boiled,1/2 cup Paneer (Homemade Cottage Cheese) - small cubes,1 Onion - finely chopped,2 sprig Coriander (Dhania) Leaves - finely chopped,1 teaspoon Ginger - grated,1 teaspoon Red Chilli powder,1/2 teaspoon Garam masala powder,1 teaspoon Chaat Masala Powder,1/2 teaspoon Cumin seeds (Jeera),1 teaspoon Coriander (Dhania) Seeds - crushed,2 Green Chillies - crushed,1 teaspoon Sunflower Oil,Salt - as required,2 cups All Purpose Flour (Maida),2 tablespoons All Purpose Flour (Maida) - for dusting,250 grams Butter (unsalted),1/4 cup Chilled water,2 teaspoon White vinegar - or lemon juice,Salt - as required</t>
  </si>
  <si>
    <t xml:space="preserve">To begin with Potato Puff Pastry, In a mixing bowl sieve all-purpose flour with 1/4 teaspoon salt, white vinegar or lime juice and mix everything well.Add 60 grams of unsalted butter and mash with your hands. Mix all the ingredients by rubbing between your palms.Now add cold water, little at a time to make a dough. Sprinkle some all purpose flour on working surface and knead dough for 7 minutes without adding water.Transfer the dough in a plastic or clingwrap and refrigerate it for about 20 minutes.Take 2 sticks of unsalted butter (approximately 200 grams and make sure butter is cold but not at room temperature) preferably on a cling wrap and roll it with rolling pin and make a rectangular sheet (approx. 12 inch wide &amp; 14 inch long). Refrigerate it for 20 minutes.Take out dough from refrigerator and lightly dust working surface with all purpose flour and roll dough into a sheet. Place butter sheet in the centre of the dough sheet and remove cling warp. Cover the butter sheet with dough by folding the dough sheet from all the sides on top of the butter sheet.Sprinkle some all purpose flour on the sheet and flip it. Sprinkle some more all purpose flour and roll the sheet again.Try to roll as even as possible. Now brush off extra flour from the sheet using a brush. Fold the sheet from left to the centre and again fold the sheet from right to the centre overlapping each other (brush off the extra flour).Cover it with cling wrap, place it in a tray and refrigerate it for 20 minutes.Take out the sheet from the refrigerator, remove the cling wrap, sprinkle some all purpose flour on the working station, place the sheet and roll it again. Brush off any extra all purpose flour using a brush.Fold the sheet from left to the centre and again fold the sheet from right to the centre overlapping each other. Cover it with cling wrap and refrigerate it for 20 minutes. Repeat this step 3 more times.The next step is to prepare the stuffing. Heat a wide pan on medium heat and add oil.In hot oil add cumin seeds, crushed coriander seeds, chopped ginger and green chilies. Saute for about 30 seconds and add chopped onion.Again saute everything until onion turns translucent. Add turmeric powder, garam masala, chaat masala and mix well.Add small cubes of paneer and mix everything well. Add 1/4 teaspoon of black salt and few pinches of regular salt as per taste. Stir for 30 seconds and add boiled potatoes. Crush boiled potatoes to small chunks and mix well.Turn off the heat and add chopped cilantro leaves. Mix everything well and the stuffing is ready.Take out the sheet from the refrigerator, remove the cling wrap, sprinkle some all purpose flour on working station, place the sheet, put some all purpose flour on the sheet and roll it again. Try to roll it as even as possible. Once the sheet is completely rolled, cut the sides using a knife or pizza cutter to make it look like a perfect square/rectangle. Using knife/pizza cutter, you should be able to cut nine equal pieces from the sheet.Now take one of the nine pieces and put 1 tablespoon filling in the centre. Lift top right corner and join it with left bottom corner. Seal it completely by pinching the edges together.Take out a baking tray and put the ready puffs to bake onto the tray. Bake it at 450F/230C for first 6 minutes in an oven. Then, bake it at 350F/175C for 14 minutes. After 20 minutes, the crispy, flaky and puffed up aloo patties are ready to be served.Serve Potato Puff Pastry as a tea time snack with Hot masala chai or you can even pack this in your kid’s snack box.
</t>
  </si>
  <si>
    <t>http://www.archanaskitchen.com/potato-puff-pastry-recipe</t>
  </si>
  <si>
    <t>Tofu &amp; Capsicum Paratha Recipe (Stuffed Tofu Flatbread)</t>
  </si>
  <si>
    <t>2 cups Whole Wheat Flour,1/2 teaspoon Salt,1 teaspoon Sunflower Oil,1 cup Tofu - crumbled,1 Green Bell Pepper (Capsicum) - finely chopped,1 teaspoon Cumin powder (Jeera),2 Green Chillies - finely chopped,1 tablespoon Coriander (Dhania) Leaves - finely chopped,Salt - to taste</t>
  </si>
  <si>
    <t xml:space="preserve">To begin making the Tofu Capsicum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filling ready.While the dough is resting, we will prepare the filling for the tofu parathas. In a large bowl; add in the tofu. Use your fingers or a fork and begin to crumble the tofu. Next add in the chopped capsicum, lots of chopped coriander, the more you add the more flavor you get. Then add in the finely chopped green chillies, a large teaspoon of cumin powder, and finally some salt. Combine all the ingredients well.Divide the filling into 10 to 12 equal portions. This process of dividing and keeping the portions of dough and filling ready, helps you gauge the number of tofu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tofu paratha. Once sealed press down the paratha with your palms to release any air pockets.And give it a gentle roll with the pin to even it out. Proceed the same way with the remaining dough and filling portions.Now we will get into the final steps of cooking a tofu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tofu paratha evenly from inside out.Do the flipping over process a couple of times until both sides get cooked, browned and crisp evenly. Make sure you cook on medium heat as it allows the tofu parathas to get a crisp on the outside and yet soft texture.Once the paratha is cooked transfer to a plate. Continue to the remaining dough portions the same way.Serve the Stuffed Tofu Capsicum Paratha Recipe along with a Pickle. You can pack them for your kids lunch box or take them as a travel snack. It is filling and nutritious.  
</t>
  </si>
  <si>
    <t>https://www.archanaskitchen.com/tofu-capsicum-paratha-recipe-stuffed-tofu-flat-bread</t>
  </si>
  <si>
    <t>Badami Paneer Masala Recipe -Paneer In Almond Gravy</t>
  </si>
  <si>
    <t>300 grams Paneer (Homemade Cottage Cheese) - cut into triangles,1/2 cup Badam (Almond),2 Onions - roughly chopped,4 Tomatoes - roughly chopped,1 tablespoon Ginger - roughly chopped,4 cloves Garlic,3 Dry Red Chillies,2 teaspoons Coriander Powder (Dhania),2 teaspoons Kashmiri Red Chilli Powder,1 teaspoon Garam masala powder,1/2 teaspoon Turmeric powder (Haldi),1/2 teaspoon Sugar,1 Bay leaf (tej patta),1 tablespoon Ghee - or oil,Salt - to taste</t>
  </si>
  <si>
    <t xml:space="preserve">To begin making Badami Paneer Masala Recipe, soak the almonds in a bowl of hot water for about 10 minutes, de-skin and keep them aside (or you can blanch them in microwave oven)Marinate the paneer in turmeric and a teaspoon of kashmiri red chilli powder and marinate for about 5 minutes.Puree the raw chopped tomatoes using a mixer grinder and keep aside.Make a fine paste of 1/4 cup almonds, ginger, garlic, onions and red chillies using a mixer grinder and keep aside.Heat a tablespoon of ghee or oil in a pan and shallow fry the marinated paneer till they are cooked to about 3/4th and keep aside.In the same pan on a medium heat, add the remaining tablespoon of ghee, add in the bay leaf and let it flavour the ghee for about half a minute.Once done, add the ground almond and onion paste, saute until the raw smell of the masala goes away.Add in the tomato puree and saute until the rawness of tomato is completely gone away and the onion paste is cooked as well.Add the coriander powder, kashmiri red chilli powder, garam masala and mix well.Add 1.5 cups of water, season with salt and bring it to a rolling boil.Now, add the partially fried paneer triangles, and the remaining almonds, simmer for 10 minutes.Switch off the heat and garnish with onion rings.Serve the Badami Paneer Masala Recipe along with Butter Naan Recipe, Bhindi Masala Recipe, Mooli Raita Recipe, and Khatti Meethi Dal Chawal Recipe for a Friday night dinner.
</t>
  </si>
  <si>
    <t>https://www.archanaskitchen.com/badami-paneer-masala-recipe-paneer-in-almond-gravy</t>
  </si>
  <si>
    <t>Dahi Wali Singhare Ki Sabzi Recipe</t>
  </si>
  <si>
    <t>300 grams Singhade (water chestnut),1 teaspoon Cumin seeds (Jeera),1 teaspoon Mustard seeds,1 Tomatoes - chopped,1 Green Chilli - slit,1/2 cup Curd (Dahi / Yogurt),1 teaspoon Gram flour (besan),1/2 teaspoon Turmeric powder (Haldi),1 teaspoon Coriander Powder (Dhania),1 teaspoon Black pepper powder,1 teaspoon Amchur (Dry Mango Powder),Salt - to taste,Sunflower Oil,1 sprig Coriander (Dhania) Leaves - chopped</t>
  </si>
  <si>
    <t xml:space="preserve">To begin making the Dahi Wali Singhare ki Sabzi Recipe, pressure cook the water chestnuts along with their outer layer. Add about 1 cup of water and pressure cook for at least 4 whistles.Once done, peel the skin out and chop them into small pieces. Heat a kadai with oil, add mustard seeds, cumin seeds and allow them to crackle.In a separate bowl, mix curd along with besan, turmeric powder, coriander powder, black pepper powder, amchur and keep it aside.Into the hot pan, add chopped tomatoes and sprinkle a bit of salt and cook till it becomes mushy.Add the curd mixture, cooked water chestnuts and mix well. Add little water to adjust consistency.Check for seasonings and serve hot with chopped coriander leaves.Serve the Dahi Wali Singhare Ki Sabzi Recipe along with Thepla and Gujarati Dal Recipe to make it a good meal after fasting.
</t>
  </si>
  <si>
    <t>http://www.archanaskitchen.com/dahi-wali-singhade-ki-subzi-recipe</t>
  </si>
  <si>
    <t>1-1/2 cups Basmati rice,1 Onion,1 Green Chilli,1 teaspoon Cumin seeds (Jeera),1 Cardamom (Elaichi) Pods/Seeds,1 inch Cinnamon Stick (Dalchini),2 Cloves (Laung),1 Bay leaf (tej patta),1/4 teaspoon Turmeric powder (Haldi),1/4 teaspoon Garam masala powder,2 teaspoon Sunflower Oil,Salt - as required,200 grams Paneer (Homemade Cottage Cheese) - cubed into 1 inch thick pieces,2 tablespoons Curd (Dahi / Yogurt),3 teaspoons Gram flour (besan),1 teaspoon Red Chilli powder,1/2 teaspoon Garam masala powder,1/2 teaspoon Kasuri Methi (Dried Fenugreek Leaves),1 tablespoon Ginger Garlic Paste,Coconut Oil - as required</t>
  </si>
  <si>
    <t xml:space="preserve">To begin making Paneer Tikka Pulao, we will wash and soak basmati rice in water for 30 minutes. The next step is to make the marinade for the paneer. In a large bowl, combine curd, gram flour, ginger garlic paste, red chilli powder, garam masala powder and little salt.Mix everything together into thick paste. Add paneer cubes to the paste and mix well so that the paste is well coated on each paneer cube. Cover and refrigerate for 30 minutes.Heat a griddle and add two teaspoons cooking oil, place the paneer cubes and fry until slightly golden on all sides. Remove from tawa and keep aside.The next step is to make the pulao. Heat a teaspoon of oil in a pressure cooker and add cumin seeds, cinnamon, cloves, cardamom and bay leaf. Saute for a minute.Add chopped onion and slitted green chilli. Saute until the onions turn soft and translucent.Once the onions turn soft, add the paneer tikkas, turmeric powder, garam masala powder and mix lightly without breaking the paneer cubes. Drain the soaked basmati rice from water and add to the pressure cooker. Saute for a minute until the masalas coat on to the rice.Add 3 cups of water along with required amount of salt. Mix well and bring the water to a boil.Close the cooker and pressure cook for a whistle. Once the pressure releases naturally, gently fluff the rice with a fork. Garnish with coriander leaves.Serve Paneer Tikka Pulao along with Tomato Onion Raita or Tadka Raita for a simple sunday lunch or pack it for lunch box on a weekday.
</t>
  </si>
  <si>
    <t>http://www.archanaskitchen.com/paneer-tikka-pulao-recipe</t>
  </si>
  <si>
    <t>Palak Gobi Sabzi</t>
  </si>
  <si>
    <t>2 cups spinach - finely chopped, 1 cabbage - cut into small pieces, 2 tomatoes - make puree, 1 inch ginger - peel and grate, 1/2 teaspoon cumin seeds, 1 teaspoon turmeric powder, 1-1/2 teaspoon garam masala powder, salt - according to taste, 1 tablespoon oil, 4 sprigs of coriander - chopped (for garnish)</t>
  </si>
  <si>
    <t>"To make Palak Gobi Sabzi, first chop the spinach and cabbage. Keep them aside. Now heat oil in a pan. Add spinach and some salt. Cook till the spinach becomes soft. Turn off the gas and keep the spinach in a separate bowl. Add some more oil in the same pan. Add ginger and cumin seeds to it. After 10 seconds, add tomato puree, turmeric powder, garam masala powder, salt and let it cook for 2 to 3 minutes. Now add cabbage to it, add some water, cover and cook till the cabbage is cooked. After the cabbage is cooked, add cooked spinach and mix it. Let it cook for 1 minute and garnish with green coriander. Serve Palak Gobi Sabzi with Garlic Daal and Phulka for lunch."</t>
  </si>
  <si>
    <t>https://www.archanaskitchen.com/palak-gobi-sabzi-recipe-in-hindi</t>
  </si>
  <si>
    <t>Tandoori Chicken Curry Recipe</t>
  </si>
  <si>
    <t>750 Kg Chicken,1 tablespoons Sunflower Oil,1 Tomatoes - finely chopped,1 Onion - finely chopped,2 Green Chillies - chopped,1/2 Tablespoon Ginger Garlic Paste,Coriander (Dhania) Leaves - small bunch,1 Tablespoon Curd (Dahi / Yogurt),1 Tablespoon Fresh cream - (Optional just to give thickness to gravy),3/4 Cup Water,Salt - to taste,3 Cloves (Laung),3 Whole Black Peppercorns,1 Bay leaves (tej patta),1 inch Cinnamon Stick (Dalchini),1/2 teaspoon Fennel seeds (Saunf),1 teaspoon Kasuri Methi (Dried Fenugreek Leaves),1 Tablespoons Kashmiri Red Chilli Powder,1 teaspoon Turmeric powder (Haldi),1/2 Tablespoon Tandoori masala,1/2 Tablespoon Onion powder</t>
  </si>
  <si>
    <t xml:space="preserve">To begin making Tandoori Chicken Curry Recipe,wash and clean the chicken pieces thoroughly. Cut them in to medium curry cut pieces. Heat a kadai, on medium flame, add oil, once the oil is hot add in all the whole spices - cloves, black pepper corns, bay leaves, cinnamon stick, and fennel seeds until fragrant. This will take a couple of minutes. Next add in the chopped onions, sprinkle some salt over this and saute until the onions are nicely browned. This will take 5-6 minutes on medium high heat.At this stage add ginger garlic paste and saute till raw smell goes away, for a couple of minutes, on low heat.Add chopped green chillies and tomatoes, mix, cover and let them cook till soft and mushy.Once the tomatoes are mushy, add yogurt, chicken, and water. Mix, cover and cook on medium high heat for 5 minutes.Sprinkle all the powdered spices- red chili powder, turmeric powder and tandoori masala and mix well. Cover and cook on medium high heat until the chicken is well cooked .Open the lid and sprinkle some salt and kasuri methi. Simmer on low heat for another 10 minutes. Switch off the heat once done.Add milk cream and garnish with chopped coriander leaves to serve.Serve Tandoori Chicken Curry Recipe with Butter Garlic Naan Recipe (Garlic Flavoured Flat Bread), Indian Vegetable Salad Recipe, and Burani Raita Recipe (Garlic Based Yogurt) for a complete meal.
</t>
  </si>
  <si>
    <t>http://www.archanaskitchen.com/tandoori-chicken-curry-recipe</t>
  </si>
  <si>
    <t>Baked Mathri Recipe (Non Fried Tea Time Snack)</t>
  </si>
  <si>
    <t>1-1/2 cups Whole Wheat Flour,1 teaspoon Salt,1/4 cup Chilled butter - finely chopped,1/2 teaspoon Whole Black Peppercorns - coarsely crushed,1/2 teaspoon Ajwain (Carom seeds) - or cumin seeds,2 tablespoons Chilled water - (adjust)</t>
  </si>
  <si>
    <t xml:space="preserve">Preheat the oven to 180 C.To begin making the Baked Mathri recipe, combine the flour, salt, black pepper and kalonji. Work the butter into the flour with your fingers until the mixture resembles a coarse meal.Sprinkle ice water onto the crumbly dough and with your hands push the dough from the sides to the middle of the bowl to form a ball that holds together and becomes a firm dough, yet pliable dough.Cover the mathri dough with the damp cloth and set aside for 15 minutes. Divide the mathri dough into small balls and roll out all the balls into small circles of 2 inch diameter and about 1/2 inch thickness.You can also optionally, roll the dough into a large circle, and use a cookie cutter to cut them into circles.Arrange the mathri dough circles on a greased baking sheet and prick them evenly with a fork, to prevent them from puffing while in the oven.Bake the mathri's for about 20 minutes or until golden brown and crisp. Remove the mathri's out of the oven and allow them to cool completely before serving. Once cooled completely, store the Baked Mathri's in an airtight container. Savor these delicious Baked Mathri’s with a spicy mango Punjabi pickle as a tea time snack.
</t>
  </si>
  <si>
    <t>https://www.archanaskitchen.com/baked-mathri-recipe-a-delicious-north-indian-snack</t>
  </si>
  <si>
    <t>Gawarphali Ki Sabzi Recipe -Cluster Beans Sabzi</t>
  </si>
  <si>
    <t>250 grams Gawar Phali (Kothavarangai / Cluster beans),1 Green Chilli,4 cloves Garlic,1 tablespoon Gram flour (besan),1/2 teaspoon Mustard seeds,1/2 teaspoon Cumin seeds (Jeera),Asafoetida (hing) - a pinch,1/4 teaspoon Turmeric powder (Haldi),1/2 teaspoon Coriander Powder (Dhania),1/2 teaspoon Amchur (Dry Mango Powder),Salt - to taste,1 teaspoon Sunflower Oil</t>
  </si>
  <si>
    <t xml:space="preserve">To begin making the Gawarphali Ki Sabzi recipe, first wash and cut cluster beans into one inch size. Add it to pressure cooker along with required water and cook for 2 whistles.Once the pressure releases, open the lid of cooker. Drain excess water and keep aside the cooked cluster beans.Heat a heavy bottomed pan with oil, add mustard seeds and cumin seeds. Once the cumin seeds splutters, add asafoetida, crushed garlic and green chilli. Saute well for a minute.After a minute, add besan flour to it and mix well on low flame. Let it cook for about 2 to 3 minutes.Now add the cooked cluster beans along with required salt, turmeric powder, coriander powder and amchoor powder. Mix well and saute for a minute.Sprinkle little water and cook Gawarphali Ki Sabzi on medium flame until it thickens and the cluster beans are cooked properly along with besan. Serve Gawarphali Ki Sabzi hot.Serve Gawarphali Ki Sabzi along with Panchmel Dal, Boondi Raita and Phulka for a weekday lunch.
</t>
  </si>
  <si>
    <t>https://www.archanaskitchen.com/gawarphali-ki-sabzi-recipe-cluster-beans-curry</t>
  </si>
  <si>
    <t>Baby Potatoes In Tomato Gravy</t>
  </si>
  <si>
    <t>15 small potatoes, 2 tomatoes, 1 tsp cumin powder, 1-1/2 tsp red chili powder, 1/2 tsp coriander powder, 1/4 tsp turmeric powder, 1 tbsp oil, 1/2 tsp salt, 2 cloves, 2 cardamoms, 1 inch cinnamon, 1 cup water</t>
  </si>
  <si>
    <t>"To make Choti Aloo Dum, first of all add potatoes with water and salt in a pressure cooker. Cook till 2 whistles. After 2 whistles, release the pressure. Peel the potatoes and keep aside. Now take a blender, add tomatoes and grind them. Now heat oil in a pan. Add cardamom, cloves and cinnamon. Cook for 10 seconds. After 10 seconds, add potatoes and mix well. After 1 minute, add tomato puree and all the spices. Mix well, add 1 glass of water and mix. Cook till potatoes are cooked and then add salt as per taste. Cook for 1 minute and serve hot. Serve Choti Aloo Dum with Bengali Daal and Bengali Luchchi for lunch."</t>
  </si>
  <si>
    <t>https://www.archanaskitchen.com/baby-potatoes-in-tomato-gravy-recipe-in-hindi</t>
  </si>
  <si>
    <t xml:space="preserve">Navratan Korma </t>
  </si>
  <si>
    <t>5 cashews, 5 almonds, 1 tbsp melon seeds, 1 onion - finely chopped, 1 tomato - chopped, 1-1/2 cup mixed vegetables - (potatoes, 1/2 tbsp ginger garlic paste, 3/4 cup coconut milk, 1/2 tsp turmeric powder, 1/2 tsp red chili powder, 1 tsp coriander powder, 1 tsp garam masala powder, salt - according to taste, 2 tbsp ghee - or oil, 2 tbsp pomegranate, 1 tbsp cashews, 1 tbsp raisins, 1 tbsp ghee</t>
  </si>
  <si>
    <t>"To make Navratan Korma, first soak cashews, almonds, melon seeds in water for 30 minutes. Drain the water after 30 minutes. Remove the peel of almonds. Put all these ingredients in a mixer grinder and make a paste. Keep it aside. Now heat oil in a pan. Add onions and cook till they become soft. After the onions become soft, add ginger garlic paste and mix. Now add tomatoes, turmeric powder, red chili powder, coriander powder, ground paste and 1/4 cup water and mix. Let it cook for 2 to 3 minutes. Now add vegetables and 1 cup water. Cover the pan and let it cook for 10 to 15 minutes. Put ghee in a small pan and fry the cashews well in it. Add it to the vegetable and garnish with pomegranate. Serve Navratan Korma with Boondi Raita and Tawa Paratha for lunch. "</t>
  </si>
  <si>
    <t>https://www.archanaskitchen.com/navratan-korma-recipe-in-hindi</t>
  </si>
  <si>
    <t>Shimla Mirch Ki Launji Recipe</t>
  </si>
  <si>
    <t>1 cup Green Bell Pepper (Capsicum) - chopped,2 tablespoons Sunflower Oil,1/2 teaspoon Kalonji (Onion Nigella Seeds),1 teaspoon Fennel seeds (Saunf),1 teaspoon Green Chillies - finely chopped,Turmeric powder (Haldi) - a pinch,2 teaspoon Coriander Powder (Dhania),1/2 teaspoon Red Chilli powder,3/4 teaspoon Amchur (Dry Mango Powder),2-1/2 tablespoon Jaggery,Salt - to taste</t>
  </si>
  <si>
    <t xml:space="preserve">To begin making the Shimla Mirch Ki Launji  recipe, heat the oil in a broad non-stick pan, add the nigella seeds, fennel seeds and green chillies and sauté on a medium flame till the aromas of the seeds comes through and the chilies are cooked..Now add the capsicum and sauté on a medium flame for a few more seconds.Add the turmeric powder, coriander powder, chilli powder and dried mango powder, mix well and cook on a medium flame for 1 minute.Add 1/2 cup of water, jaggery and salt, mix well and cook on a medium flame for 4 to 5 minutes or till the capsicum turns soft, while stirring occasionally.Serve the launji immediately or store in an air-tight container in the refrigerator for 2 to 3 days.Serve Shimla Mirch Ki Launji along with Tawa Paratha, Dal Palak and Homemade Yogurt for a weekday lunch.
</t>
  </si>
  <si>
    <t>http://www.archanaskitchen.com/shimla-mirch-ki-launji-recipe</t>
  </si>
  <si>
    <t>Besan Aur Dahi Wali Kacche Kele Ki Sabzi Recipe</t>
  </si>
  <si>
    <t>2 Raw Banana - skin peeled and boiled,1/2 cup Gram flour (besan),1 pinch Asafoetida (hing),1 tablespoon Cumin seeds (Jeera),1/2 teaspoon Turmeric powder (Haldi),1/2 teaspoon Red Chilli powder,1 teaspoon Coriander Powder (Dhania),1/2 teaspoon Garam masala powder,1 cup Hung Curd (Greek Yogurt),1/2 cup Lukewarm Water,Salt - as required,1 tablespoon Sunflower Oil,2 sprig Coriander (Dhania) Leaves - chopped,Sunflower Oil - as required for frying,1 Green Chilli - finely chopped</t>
  </si>
  <si>
    <t xml:space="preserve">To begin making the Besan Aur Dahi Wali Kacche Kele Ki Sabzi Recipe, firstly peel the raw bananas and cut them into round shape or any desired shape that you like.Pressure cook the raw banana with water and salt for about 1 whistle and remove away from the heat. Open the cooker and keep the bananas aside.Now we will make the gram flour mixture. Add besan, salt, turmeric powder and water in a bowl and mix it properly. Now take the banana slices, add it in the besan mixture and coat them well. Heat a flat skillet with 2 tablespoon oil and add the banana coated besan mixture and fry them till they are brown and crisp.Take them out and drain it over a paper cloth and keep it aside.Now heat oil in a heavy bottomed pan. Add asafetida and cumin seeds, add turmeric powder, coriander powder and red chilli powder. Let it cook for 3 to 5 minutes. Make sure the flame is low.Now add curd and water and mix it properly, add the fried raw bananas and check the salt. Keep mixing it and let it cook for 10 to 15 minutes. Switch the gas off and garnish it with green chilies and coriander leaves. Serve Besan Aur Dahi Wali Kacche Kele Ki Sabzi Recipe along with Smoked Dal Makhani Dhaba Style Recipe and Phulka Recipe (Roti/Chapati) - Puffed Indian Bread to make it comforting meal.
</t>
  </si>
  <si>
    <t>http://www.archanaskitchen.com/besan-kela-subzi-recipe-raw-banana-in-gram-flour-and-yogurt-curry-recipe</t>
  </si>
  <si>
    <t>Sweet Corn And Capsicum Gravy Recipe</t>
  </si>
  <si>
    <t>1 cup Sweet corn,1 Red Yellow and Green Bell Peppers (Capsicum),2 Onions - medium sized,1 Tomato,1 Green Chilli,1 teaspoon Ginger - paste,1/2 cup Curd (Dahi / Yogurt),2 tablespoon Cashew nuts,1 cup Water,4 teaspoon Sunflower Oil,Salt - to taste</t>
  </si>
  <si>
    <t xml:space="preserve">To begin making the Sweet Corn And Capsicum Curry Recipe, first soak the cashews in warm water.Heat a kadai with 2 teaspoons oil, add onion and ginger and let it cook till the onion turns soft. Once the onions turns soft, add the tomatoes, and cook till the tomatoes turn mushy and soft. Turn off the flame and let it cool.Once it cools down, add the tomato onion mixture, cashews, curd,1 cup water in a mixer grinder and blend it to fine paste.Reheat kadai with oil, add the cumin seeds and stir for a minute. Add the cashew, onion and tomato mixture and give it a mix.Stir continuously for 5 minutes. Add the corn and capsicum to the mixture. Add salt and stir the mixture and turn off the flame, keep it covered for a minute or two to settle it down.Serve Sweet Corn And Capsicum Gravy Recipe with Cashews and it is ready to be served.Serve Sweet Corn and Capsicum Gravy Recipe along with hot Phulkas or Tawa Parathas and Bhindi Raita Recipe (Okra Salad) for a weeknight dinner.
</t>
  </si>
  <si>
    <t>http://www.archanaskitchen.com/sweet-corn-and-capsicum-gravy-recipe</t>
  </si>
  <si>
    <t>Carrot Cauliflower Peas Sabzi Recipe</t>
  </si>
  <si>
    <t>2 गाजर - cut into 1/2 inch sticks,2 कप गोभी,1 कप हरे मटर,2 हरी मिर्च - slit,1/2 छोटा चम्मच अजवाइन,2 तेज पत्ता,2 दालचीनी,2 इलाइची,7 पूरी काली मिर्च,सरसों का तेल - प्रयोग अनुसार</t>
  </si>
  <si>
    <t>"To make Carrot Gobi Matar Sabzi Recipe, first prepare all the ingredients. Now heat mustard oil in a pan. Add celery, bay leaves, cinnamon, cardamom and cook for 10 to 20 seconds. Now add green chillies, carrots and cook for 1 minute. After 1 minute add cabbage, salt, some water, cover the pan and cook till the cabbage becomes soft. After the cabbage becomes soft, add peas, cover and cook for 3 to 4 minutes. Turn off the gas and serve. Serve Carrot Gobi Matar Sabzi Recipe with Daal Fry and Phulkas for lunch. "</t>
  </si>
  <si>
    <t>https://www.archanaskitchen.com/carrot-cauliflower-peas-sabzi-recipe-gajar-gobi-matar-sabzi-in-hindi</t>
  </si>
  <si>
    <t>Sookha Aloo Matar Methi Sabzi Recipe</t>
  </si>
  <si>
    <t>4 Potatoes (Aloo) - boiled,3/4 cup Green peas (Matar),1 cup Methi Leaves (Fenugreek Leaves) - roughly chopped,1 Onion - finely chopped,1 teaspoon Red Chilli powder,2 teaspoon Coriander Powder (Dhania),1/2 teaspoon Turmeric powder (Haldi),1 teaspoon Garam masala powder,2 teaspoon Sunflower Oil,Salt - to taste</t>
  </si>
  <si>
    <t xml:space="preserve">To begin making Sookha Aloo Matar Methi Sabzi Recipe, pressure cook the potatoes using a pressure cooker for 2 whistles. After the pressure releases naturally open the pressure cooker. Peel the skin of the potatoes and chop into big cubes and keep aside.Likewise, steam the peas and keep aside.Heat oil in a heavy bottomed pan, add the onions and saute until it turns translucent.After the onions have turned translucent add in methi leaves and saute for 2 minutes till the methi leaves wilt a little and releases a nice aroma.Add the red chilli powder, turmeric, coriander powder and saute until the raw smell goes away.Add the peas and boiled potatoes cubes, season with salt and mix well. Saute Sookha Aloo Matar Methi Sabzi until all the ingredients come together.Add the garam masala to Sookha Aloo Matar Methi Sabzi and  stir well. Switch off the flame.Serve the Sookha Aloo Matar Methi Sabzi Recipe along with Phulka or Paratha and Homemade Yogurt (Curd) for kids lunch box or with Phulka, Dal Tadka and Salad for weeknight lunch.
</t>
  </si>
  <si>
    <t>http://www.archanaskitchen.com/sookha-aloo-matar-methi-sabzi-recipe</t>
  </si>
  <si>
    <t>Urad Ki Sukhi Dal</t>
  </si>
  <si>
    <t>1 cup white urad dal (split), 1 tsp turmeric powder, 1 tsp red chilli powder, salt - according to taste, 1 onion - thinly sliced, 1 ginger - grated, 1 green chilli - finely chopped, 1 tsp cumin seeds, 1 tsp coriander powder, 1/4 tsp asafoetida, 1 tsp garam masala powder, salt - according to taste, 2 tbsp ghee, 1 tsp lemon juice, coriander leaves - some (chopped)</t>
  </si>
  <si>
    <t>"To make dry urad dal, first wash the urad dal and soak it in water for 4 to 5 hours. Drain the water and put the dal in a pressure cooker. Add salt, turmeric powder, red chili powder and water to it. Do not add too much water, just add enough so that the dal gets cooked. Cook till 2 whistles and take out the dal in a bowl. Now heat ghee in a saucepan. Add cumin seeds, asafoetida and let it cook for 10 seconds. After 10 seconds add onion, green chili and grated ginger. Cook till the onion turns golden. Heat ghee in a saucepan. Add cumin seeds, asafoetida and let it cook for 10 seconds. Now add onion, green chili and grated ginger. Let it cook till it turns brown. After the onion is cooked add cooked dal, garam masala, coriander powder and mix it. Cook for 1 minute and serve hot. Serve dry urad dal with boondi raita and Serve with Tawa Parantha for lunch.</t>
  </si>
  <si>
    <t>http://www.archanaskitchen.com/urad-ki-sukhi-dal-recipe-in-hindi</t>
  </si>
  <si>
    <t>Tawa Paratha Recipe - Plain Paratha</t>
  </si>
  <si>
    <t>1 cup Whole Wheat Flour,1/2 teaspoon Salt,Sunflower Oil - for kneading,Ghee - or oil for cooking (as required)</t>
  </si>
  <si>
    <t xml:space="preserve">To begin making the Tawa Paratha, in a large bowl combine the flour, salt, a tablespoon of oil and knead adding little water at a time to make firm and smooth dough.Add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Put 1/4 teaspoon oil and spread it on the rolled dough.We need to get a triangle shape, to do so, first fold into a semi-circle, then fold the semi-circle into half again. You get a mini triangle shape.Tossing the triangle in a little flour, roll it out gently into a larger triangle. Continue the same process of rolling with the remaining dough portions.With skillet on medium high heat, place one rolled out paratha on the skillet. After a few seconds you will notice an air pockets popping out.At this point flip the plain paratha and smear about 1/2 a teaspoon of ghee. Using a flat spatula do a light pressing and turning motion to cook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other.Serve the Plain or Tawa Paratha for dinner along with Batata Nu Shaak or Baingan Bharta and Palak Dal for a weekday meal.
</t>
  </si>
  <si>
    <t>http://www.archanaskitchen.com/plain-paratha-tawa-paratha-recipe</t>
  </si>
  <si>
    <t>Masoor Dal Makhni Recipe</t>
  </si>
  <si>
    <t>1 cup Masoor Dal (Whole),1 Onion - finely chopped,1 Tomato,6 cloves Garlic,2 inch Ginger,1 Bay leaf (tej patta),2 Cloves (Laung),1 teaspoon Cumin seeds (Jeera),1 Cinnamon Stick (Dalchini),2 teaspoon Garam masala powder,1 teaspoon Red Chilli powder,2 teaspoon Coriander Powder (Dhania),2 tablespoons Ghee,2 teaspoon Fresh cream,Salt - to taste</t>
  </si>
  <si>
    <t xml:space="preserve">To begin making the Masoor Dal Makhni Recipe, wash the whole masoor dal in running tap water until the water turns clear.Soak the washed masoor dal in lukewarm water for about 30 minutes.Heat ghee in a pressure cooker, add the whole spices, cinnamon, cloves, cinnamon, cumin seeds and let it sputter.Add the finely chopped onion and sauté till it turns brown.Now gently crush the ginger and garlic pods in a mortar and pestle and add the mix into the pressure pan. Sauté till the raw aroma of ginger and garlic goes away.Add the chopped tomatoes and the dry spices coriander powder, red chilli and garam masala and cook until the tomatoes get mushy and the ghee starts to leave the sides.To this add the soaked who masoor dal, enough water to cook and salt to taste.Pressure cook this for 4-5 whistles in low flame. Switch off and let the pressure subside.Open the lid gently and add the cream to make it richer.Masoor Dal Makhni is best served along with rice or paratha's and green salad.
</t>
  </si>
  <si>
    <t>https://www.archanaskitchen.com/masoor-dal-makhni-recipe</t>
  </si>
  <si>
    <t>Aloo Raswala Sabzi Recipe</t>
  </si>
  <si>
    <t>1 tablespoon Sunflower Oil,1/4 teaspoon Methi Seeds (Fenugreek Seeds),1/2 teaspoon Cumin seeds (Jeera),1 pinch Asafoetida (hing),1 Onion - finely chopped,4 cloves Garlic - finely chopped,1 inch Ginger - finely chopped,1 Green Chillies - chopped,2 Tomatoes - chopped,4 Potatoes (Aloo),1/4 teaspoon Turmeric powder (Haldi),1 teaspoon Garam masala powder - (Or kitchen king masala),Red Chilli powder,Salt - to taste,Coriander (Dhania) Leaves - to garnish</t>
  </si>
  <si>
    <t xml:space="preserve">To begin making the Aloo Raswala Sabzi Recipe, we will first boil the potatoes. Place the potatoes in a pressure cooker along with some water and pressure cook for about 5-6 whistles. Turn off the pressure cooker and allow the pressure to release naturally. Remove the potatoes from the cooker, peel and cut them into medium sized cubes and set aside. Heat oil in a pan on medium flame, add cumin seeds and methi seeds. Once the seeds begin to sizzle, add in the onion, ginger and garlic and saute until the onions become soft and tender.Stir in green chillies, asafoetida and stir fry for a few seconds. Once the onions have softened, add in the tomatoes and mix well.Add turmeric powder and red chilli powder. Continue to cook until the tomatoes are mushy and softened.Sprinkle garam masala powder, add cooked potatoes, salt to taste and just enough water to the consistency of your choice and bring to the Aloo Raswala Sabzi to a brisk boil. Adjust water such that the consistency is neither too thick or too thin. Reduce heat and simmer the Aloo Raswala Sabzi for about 10 minutes till it form a masaledar gravy. Once done, check the salt and spices and adjust to suit your taste and turn off the heat.Transfer the Aloo Raswala Sabzi to a serving bowl and serve hot.Serve Aloo Raswala Sabzi Recipe along with Chunni Ki Puri Recipe- Moong Dal And Besan Fried Puri Recipe and Sago Kheer Recipe - Tapioca Milk Pudding for a simple Sunday brunch.
</t>
  </si>
  <si>
    <t>http://www.archanaskitchen.com/whole-wheat-poori-with-aloo-raswala-sabzi-recipe</t>
  </si>
  <si>
    <t>Aval Mixture Recipe - Poha Chivda</t>
  </si>
  <si>
    <t>2 cups Poha (Flattened rice),1/2 cup Red khara sev,1/2 cup Boondi,1/4 cups Roasted Peanuts (Moongphali),1/4 cup Chana dal (Bengal Gram Dal) - roasted,20 Curry leaves,1/2 teaspoon Turmeric powder (Haldi),1/2 teaspoon Asafoetida (hing),1/2 teaspoon Red Chilli powder - adjut,Salt - to taste,Sunflower Oil - for deep frying</t>
  </si>
  <si>
    <t xml:space="preserve">To begin making the Aval mixture recipe, first heat oil in a small wok/kadhai.Place the Poha in a medium sized sieve with a handle and dip it in the hot oil.Once the Poha sizzles take them out of the oil, drain it and place on an absorbent paper. Do this in batches, 1/2 cup at a time.Fry the groundnuts, roasted chana dal, curry leaves separately in the same oil and drain on absorbent paper.Take the oil off the heat. Keep 1 tablespoon oil in the wok and take out the rest.Add the hing, turmeric powder and red chilli powder to the hot oil in the wok. Pour this over the Poha.In a large mixing bowl add the poha, groundnuts, roasted chana dal, curry leaves, sev, boondi and toss it together to mix. Add salt if required.Cool and store it in an airtight container. Serve Aval Mixture with Kesari Gujiya and Masala Chai to your guests during festivals and special occasions.
</t>
  </si>
  <si>
    <t>http://www.archanaskitchen.com/aval-mixture-recipe-poha-chivda</t>
  </si>
  <si>
    <t>Almond and Cashew Nut Mushroom Curry Recipe</t>
  </si>
  <si>
    <t>500 grams Button mushrooms - quartered or whole,1 Onions - finely chopped,4 cloves Garlic - finely chopped,1 inch Ginger - finely chopped,2 Green Chillies - finely chopped,1 tablespoon Sesame seeds (Til seeds),1 teaspoon Poppy seeds,5 Badam (Almond),5 Cashew nuts,1/2 teaspoon Black pepper powder,Sunflower Oil - or butter to cook,1 teaspoon Garam masala powder,1 Coriander (Dhania) Leaves,Salt - to taste</t>
  </si>
  <si>
    <t xml:space="preserve">To begin making the Almond and Cashew Nut Mushroom Curry Recipe, get all the ingredients ready and keep them aside, so things will be organized for cooking the dish.First, make a paste of onion, ginger, green chili and garlic in a food grinder and keep it aside.Next in the same food grinder, make a paste of the almonds, cashew nuts and poppy seeds by adding a little water to make a smooth paste. Keep this aside.In a heavy-bottomed pan; add a teaspoon of butter and the onion paste and sauté until the raw smells of the onions go away. Add the black pepper powder and garam masala powder an give it a good stir. Add the mushrooms, sprinkle some salt and stir fry the mushrooms until they are partially cooked. You will know this when it begins to start releasing its liquids.Add the almond cashew paste to the mushroom mixture. Add about 1/2 cup of water and give the Mushroom Curry a good stir. Check the salt and spice levels and adjust to suit your taste.Give the mixture a brisk boil and you will find the mixture thickens as you boil. You can adjust the consistency of the Almond Mushroom Curry by adding water.Once the curry comes to a brisk boil and starts to thicken, turn off the heat. Stir in the chopped coriander leaves and serve.Serve the Almond and Cashew Nut Mushrooms Curry along with a Broccoli Pepper Pulav, Papad for a weeknight dinner or even make them for your parties.
</t>
  </si>
  <si>
    <t>http://www.archanaskitchen.com/almond-and-cashewnut-mushroom-curry-recipe</t>
  </si>
  <si>
    <t>Cabbage Capsicum Sabzi Recipe</t>
  </si>
  <si>
    <t>3 cups cabbage - thinly sliced, 1 tsp oil, 1 capsicum (green) - thinly sliced, 1 tsp mustard seeds, 1 tsp cumin seeds, 2 dried red chillies, asafoetida - a pinch, 1/4 tsp turmeric powder, 1 tsp coriander powder, 1/4 tsp red chilli powder, salt - according to taste, 1 tsp lemon juice</t>
  </si>
  <si>
    <t>"To make the Cabbage Capsicum Sabzi recipe, first add cabbage in a pressure cooker with 2 tbsp water and cook till 1 whistle. Remove the pressure, open the cooker and keep it aside. Heat oil in a pan. Add mustard seeds, cumin seeds and let them crackle. Now add asafoetida, turmeric powder and dried red chillies. After 10 seconds, add capsicum and cook till it becomes soft. Now add cooked cabbage and mix it. Add coriander powder, red chilli powder, salt and mix it. Cover the pan and let it cook for 2 minutes. Turn off the gas, add lemon juice and garnish with green coriander. Serve Cabbage Capsicum Sabzi recipe with Panchmel Daal, Boondi Raita and Phulkas."</t>
  </si>
  <si>
    <t>https://www.archanaskitchen.com/cabbage-capsicum-sabzi-recipe-simla-mirch-patta-gobi-sabzi-in-hindi</t>
  </si>
  <si>
    <t>Makhmali Rajma Kebab Recipe</t>
  </si>
  <si>
    <t>250 grams Rajma (Large Kidney Beans) - cooked until soft,2 Onions - finely chopped,3 cloves Garlic - finely chopped,1 inch Ginger - grated,4 Green Chillies - finely chopped,1 sprig Coriander (Dhania) Leaves - finely chopped,2 teaspoons Cumin powder (Jeera) - roasted,2 teaspoons Coriander Powder (Dhania),1 teaspoon Amchur (Dry Mango Powder),1 teaspoon Red Chilli powder,1 teaspoon Garam masala powder,1 tablespoon Roasted Gram Flour (Sattu Ka Atta),1 teaspoon Sugar,Salt,Sunflower Oil,3 tablespoons Khoya (Mawa) - grated</t>
  </si>
  <si>
    <t xml:space="preserve">To begin making the Makhmali Rajma Kebab Recipe, drain all the excess water from the cooked rajma. Mash the cooked rajma, until almost smooth. Add all the ingredients, except khoya and oil, and mix well to form a kebab dough. Check the salt and spices and adjust to suit your taste.Divide the dough into 15 equal parts (or as per preference) and shape it into rounds and slightly flattened the Rajma Kebab.Preheat a skillet on medium heat, place the Makhmali Rajma Kebabs on the skillet, drizzle some oil over the kebabs and cook until browned and crisp on both sides. Once browned and crisp, reduce heat to minimum and sprinkle little khoya on each of the kebas.After a few minutes, the khoya will begin to melt; at this stage take the Kebas out carefully and place them on the serving platter. The Makhmali Rajma Kebab are extremely soft, so you need to be careful when taking them out of the skillet. Serve the Makhmali Rajma Kebab with onion salad and lime wedges. Sprinkle some grated khoya for garnish and serve hot as an appetizer for parties, along with dips like Red Picante Salsa Recipe or desi Dhaniya Pudina Chutney.
</t>
  </si>
  <si>
    <t>http://www.archanaskitchen.com/makhmali-rajma-kebab-recipe</t>
  </si>
  <si>
    <t>Goondh Paani Recipe - Sweet Gum Tree Almond Drink Recipe</t>
  </si>
  <si>
    <t>1 teaspoon Ghee,2 tablespoon Goond (Edible Gum),2 tablespoon Jaggery - powdered,5 Badam (Almond) - sliced</t>
  </si>
  <si>
    <t xml:space="preserve">We begin making the Goondh Paani Recipe ( Sweet Gum Tree Almond Drink Recipe) by heating ghee in a Flat nonstick pan and frying the gum tree for about 10 minutes.Fry until the gum tree becomes opaque and increases in size.Then later slowly add 1 cup water along with jaggery and keep mixing until the Gumtree slowly dissolves in water.Once water thickens add the sliced almonds and give it a stir.Your Gondh Paani (Sweet Gum Tree Almond Drink) is ready to be served hot.
</t>
  </si>
  <si>
    <t>https://www.archanaskitchen.com/gondh-panni-recipe-sweet-gum-tree-almond-drink-recipe</t>
  </si>
  <si>
    <t>Dahi Turai Ki Sabzi Recipe (Ridge Gourd Simmered In Yogurt Curry Recipe)</t>
  </si>
  <si>
    <t>300 grams Ridge Gourd (Turai/ Peerkangai) - peeled and cut into dices,1 tablespoon Gram flour (besan),1/2 teaspoon Sugar,1/2 teaspoon Turmeric powder (Haldi),2 Green Chillies - slit,1/2 cup Curd (Dahi / Yogurt) - whisked,2 Tomatoes - grated into a puree,1 Bay leaf (tej patta),1 teaspoon Kalonji (Onion Nigella Seeds),1/2 teaspoon Sunflower Oil,Salt - to taste,1 teaspoon Ghee,1/2 teaspoon Cumin seeds (Jeera),1 Dry Red Chilli - broken,1 inch Cinnamon Stick (Dalchini) - broken</t>
  </si>
  <si>
    <t xml:space="preserve">To begin making the Dahi Turai Ki Sabzi, first prep all the ingredients and keep them ready.Whisk the dahi (yogurt), salt and the besan in a small mixing bowl until you get a smooth mixture. Add 1 cup of water and whisk well again.Heat oil in heavy bottom pan over medium heat. Add the kalonji seeds and allow it to crackle. Add the grated tomatoes, green chillies, bay leaf and turmeric powder. Saute for a few minutes until the tomatoes start bubbling.Stir in the cut turai (ridge gourd), the whisked yogurt, sugar and stir well. Keep stirring until the mixture until you see the curry bubbling. This is to ensure that the yogurt curry does not form lumps.Once you see the mixture bubbling, turn the heat to low and simmer for another 3 to 4 minutes so the flavors get infused and the turai is cooked through well.Once done, check the salt and adjust to suit your taste.Turn off the heat and transfer to a serving bowl. Heat the ghee in a tadka pan; crackle the cumin, cinnamon and red chillies. Pour the seasoning into the Dahi Turai Ki Sabzi and serve warm.Serve the Dahi Turai Ki Sabzi, along with Phulkas, Potato Roast and Carrot Salad for a wholesome dinner.
</t>
  </si>
  <si>
    <t>https://www.archanaskitchen.com/dahi-turai-ki-sabzi-recipe-ridge-gourd-simmered-in-yogurt-curry-recipe</t>
  </si>
  <si>
    <t>Murg Badami Recipe - Chicken In Almond Gravy</t>
  </si>
  <si>
    <t>1 kg Chicken,30 Badam (Almond) - blanched,2 Onions - chopped roughly &amp; made to paste (4 tablespoons needed),1-1/2 tablespoons Ginger Garlic Paste,2 teaspoons Red Chilli powder,4 Dry Red Chillies,1/2 teaspoon Turmeric powder (Haldi),Salt - to taste,4 tablespoon Poppy seeds - soaked,2 Cinnamon Stick (Dalchini),6 Cloves (Laung),1 Bay leaf (tej patta),1 tablespoon Cardamom Powder (Elaichi),1 teaspoon White pepper powder,1/4 teaspoon Cumin seeds (Jeera),1 cup Curd (Dahi / Yogurt),4 tablespoons Ghee,1 tablespoon Fresh cream - (optional),Coriander (Dhania) Leaves - for garnishing</t>
  </si>
  <si>
    <t xml:space="preserve">To prepare Murg Badami Recipe, get prep with all the ingredients needed.Put the cleaned chicken into a large bowl, add curd, ginger, garlic paste, half of the red chili powder, salt and turmeric powder. Mix well and keep aside for 1/2  hour to marinate.Peel the blanched almonds. Finely slice 5 almonds &amp; reserve them to garnish.In a wide thick bottomed pan, dry roast cloves, white peppercorns, red chillies, cinnamon, cumin seeds, cool and grind to a fine powder.In a mixer, grind together soaked poppy seeds and blanched almonds, make a smooth, fine paste.Heat ghee in a heavy bottom pan and add onion paste. Saute till lightly browned and the raw smell disappears.Add bay leaf and marinated chicken, remaining red chili powder and ground powder, mix well, turn the heat to simmer, cover and cook for 5 minutes.Add ground almond mixture and a glass of water, cover and cook for 10 minutes.Add cream, mix well, switch off the gas. Garnish with almonds slivers and coriander.Serve Murg Badami Recipe with Lachha Paratha Recipe, and Kachumber Salad Recipe With Cucumber, Onion &amp; Tomatoes for a complete meal.
</t>
  </si>
  <si>
    <t>https://www.archanaskitchen.com/murg-badami-recipe-chicken-in-almond-gravy</t>
  </si>
  <si>
    <t>Spicy Dalia Pulao Recipe - Broken Wheat Pulao</t>
  </si>
  <si>
    <t>1 cup Broken Wheat (Dalia/ Godumai Rava),Water - as required,2 Onion - finely chopped,1 Carrot (Gajjar) - finely chopped,5 Green beans (French Beans) - finely chopped,2 Green Chillies - finely chopped,1/2 teaspoon Turmeric powder (Haldi),1/2 teaspoon Cumin seeds (Jeera),Salt - to taste,1/2 teaspoon Garam masala powder,1 teaspoon Red Chilli powder,2 Tomatoes - chopped,1 teaspoon Ginger Garlic Paste,1 Bay leaf (tej patta),1 teaspoon Red Chilli powder,2 Tomatoes - chopped,1 teaspoon Ginger Garlic Paste,Coriander (Dhania) Leaves - finely chopped for garnish</t>
  </si>
  <si>
    <t xml:space="preserve">To begin making the Spicy Dalia Pulao Recipe, first we have to dry roast Dalia or broken wheat till it gets a nice aroma.For this, in a skillet heat 1 teaspoon of ghee on low flame, add the dalia and roast till it gets a deep brown colour. This will take 5 minutes. Now turn off the flame ans set aside.  In a pressure cooker, add 1 teaspoon oil, and heat on medium flame, now add a bay leaf and cumin seeds and allow it to sizzle. Next add chopped onion and saute it till it is translucent. Add ginger garlic paste, green chillies, carrots, beans and chopped tomatoes, sauté it for two minutes.Continue to saute for 3 – 4 minutes. Add salt, spices- turmeric powder, garam masala powder and red chilli powder and mix them.Now add dry roasted broken wheat and mix well. Add 2 cups of water and close the pressure cooker. Pressure cook the pulao for 4 whistles and turn off the flame. Allow the pressure to release naturally. Serve hot.Spicy Dalia Pulao can be served with Burani Raita and finish off this simple meal with Double Ka Meetha Recipe With Mixed Nuts Rabri.
</t>
  </si>
  <si>
    <t>http://www.archanaskitchen.com/spicy-daliya-pulav-recipe</t>
  </si>
  <si>
    <t>Paneer Kalimirch</t>
  </si>
  <si>
    <t>250 grams paneer, 1/4 cup cream, 2 tablespoons milk, 1/4 teaspoon turmeric powder, 1 teaspoon garam masala powder, 2 teaspoons whole black pepper - grind, salt - according to taste, oil - according to use, 1 onion - chopped, 1/4 cup cashews, 4 cloves garlic, 1 inch ginger - peeled and chopped, 4 cloves garlic - finely chopped, 2 tablespoons oil, black pepper powder - a pinch</t>
  </si>
  <si>
    <t>"To make Paneer Kalimirch, first of all put onion, cashew, garlic, ginger in a mixer grinder and make a paste. Keep it aside. Cut the paneer into pieces. Heat one spoon oil on a pan and put paneer pieces on it. Cook till it turns golden on both sides and keep it aside. Now heat oil in a pan. Put onion mixture in it and let it cook for 2 minutes. After this add cream and milk in it. Mix it. Add salt, turmeric powder, garam masala powder and let it cook for 3 minutes. Add some water and cook for 1 more minute. Now add black pepper and paneer in it. Mix it and let it cook for 3 to 4 minutes. Turn off the gas and take it out in a bowl. Now heat oil in a tempering pan. Add garlic in it and cook till it turns golden. Pour this tempering in a bowl and sprinkle some black pepper on top. Serve. Serve Paneer Kalimirch with Palak Raita and Tawa Paratha at night. Serve for dinner.</t>
  </si>
  <si>
    <t>https://www.archanaskitchen.com/paneer-kalimirch-recipe-in-hindi</t>
  </si>
  <si>
    <t>Pineapple Mushroom Tikka Recipe With Tandoori Masala</t>
  </si>
  <si>
    <t>250 grams Button mushrooms,2 Green Bell Pepper (Capsicum) - diced,1 cup Pineapple - diced,1 Onion - diced,3 tablespoons Gram flour (besan),1/4 cup Curd (Dahi / Yogurt),1 teaspoon Ginger Garlic Paste,1/4 teaspoon Turmeric powder (Haldi),1 teaspoon Red Chilli powder,1 tablespoon Tandoori masala,1 teaspoon Kasuri Methi (Dried Fenugreek Leaves),1 teaspoon Lemon juice,Salt - as per your taste,2 tablespoons Sunflower Oil</t>
  </si>
  <si>
    <t xml:space="preserve">To begin making Pineapple Mushroom Tikka, wash the mushrooms well, deseed the capsicum and cut into squares. Chop onions and pineapple into thin squares - keep aside. Take all the chopped capsicum, onion, pineapple and mushroom pieces in a wide mixing bowl.Add besan flour, curd, salt, ginger garlic paste, turmeric powder, red chilli powder, tandoori masala powder, Kasuri methi, lemon juice and a tsp of oil to it.Mix and marinate so the tandoori masala paste coats well. Cover and refrigerate for an hour. After an hour, mix well once and insert marinated mushrooms, capsicum, pineapple and onions alternatively into wooden skewers.Heat a griddle and sprinkle some oil. Place the skewers and roast Pineapple Mushroom Tikka well in medium flame turning on all sides. Add little oil on top while turning.Once the Pineapple Mushroom Tikka turns golden on all sides, remove from griddle and arrange in serving plate. Tasty tandoori pineapple mushroom tikka is ready to be servedServe this Pineapple Mushroom Tikka Recipe along with a classic dip like Dhaniya Pudina Chutney or with Pudina Dahi Chutney Recipe- Mint Yoghurt Dip as a starter at your parties or even as an evening snack
</t>
  </si>
  <si>
    <t>http://www.archanaskitchen.com/pineapple-mushroom-tikka-recipe-with-tandoori-masala</t>
  </si>
  <si>
    <t>Chana Dal &amp; Methi Ki Sabzi</t>
  </si>
  <si>
    <t>1 cup gram dal, 1/4 cup fenugreek seeds, water - as per requirement, 1/2 teaspoon cumin seeds, 1/2 teaspoon mustard seeds, 1/2 teaspoon asafoetida, 4 curry leaves, 1 teaspoon red chili powder, 1/2 teaspoon turmeric powder, 1/2 teaspoon dry mango powder, 1/2 teaspoon coriander powder, salt - as per requirement, oil - as per requirement</t>
  </si>
  <si>
    <t>"To make Chana Dal and Methi Sabzi, first boil chana dal and fenugreek seeds together. Cook till they become soft. Drain the water and keep it aside. Now heat oil in a pan. Add cumin seeds, mustard seeds, asafoetida and curry leaves. After 10 seconds add chana and fenugreek. After 1 minute add red chilli powder, turmeric powder, dried mango powder, coriander powder and salt. Mix everything well and cook for next 3 to 5 minutes. Finally turn off the gas and garnish the sabzi with green coriander. Serve Chana Dal and Methi Sabzi with Gujarati Kadhi and Phulkas."</t>
  </si>
  <si>
    <t>https://www.archanaskitchen.com/chana-dal-methi-ki-sabzi-recipe-in-hindi-1</t>
  </si>
  <si>
    <t>Amla Methi Sukhi Sabzi Recipe - Healthy Diabetic Sabzi</t>
  </si>
  <si>
    <t>200 grams Amla (Nellikai/ Gooseberry),Water - as required,1 tablespoon Sunflower Oil,1/2 teaspoon Cumin seeds (Jeera),1/2 teaspoon Fennel seeds (Saunf),1/3 teaspoon Ajwain (Carom seeds),1 Asafoetida (hing) - a pinch,2 Green Chillies - finely chopped,1 inch Ginger - finely chopped,5 cloves Garlic - finely chopped,2 Onions - thinly sliced,2 Tomatoes - finely chopped,Salt - to taste,1/2 teaspoon Turmeric powder (Haldi),100 grams Methi Leaves (Fenugreek Leaves) - washed and finely chopped,1 teaspoon Garam masala powder,1 teaspoon Coriander Powder (Dhania),1 teaspoon Cumin powder (Jeera),1 sprig Coriander (Dhania) Leaves - finely chopped</t>
  </si>
  <si>
    <t xml:space="preserve">To begin making the Amla Methi Sukhi Sabzi Recipe, we need to first boil the amla. In a saucepan, add water and bring to a rolling boil. To the boiling water add the whole, washed and cleaned amla. After about 4-5 minutes, turn off the heat. Drain the excess water and transfer the amla into a bowl and allow it to cool.Once cooled, remove the seeds from the amla, by making a slit on one of the sides and you will see the quarters fall apart. Using a knife, cut the amla into quarters and set aside. Heat a kadai with oil on medium flame, add the oil . Once the oil is hot, add in the cumin seeds, fennel seeds and ajwain seed.When they begin to sizzle, add in the green chillies, ginger and garlic and saute for a few seconds. At this stage, add in the onions, and saute until they turn transparent, this will take about 3-4 minutes on medium -high heat. Once the onions have softened and cooked through, add the tomatoes and sprinkle a few drops of water, cover and cook. Add salt and turmeric powder and continue to cook the mixture until it turns mushy. This will take about 5 minutes. Once the onion - tomato mixture has come together, push it aside in the pan, and add the methi leaves into the pan. Mix gently allowing it to cook through as the leaves will wilt down. As the methi leaves wilt down mix it along with the onion tomato base, and add in the dry spice powders - garam masala, cumin powder and coriander powder. Add in the cooked wedges of amla, add about 2 tablespoons of water, mix and cover. Let the Amla Methi Sukhi Sabzi simmer on low flame for 2-3 minutes and turn off the heat. Check the salt and adjust to taste accordingly.Transfer the Amla Methi Sukhi Sabzi to a serving dish and serve hot.  Serve Amla Methi Sukhi Sabzi Recipe along with Horsegram Dal Recipe - Kulith/Kollu Dal, Ragi Tawa Paratha - Healthy Vitamin Rich &amp; Diabetic Friendly Paratha, Khamang Kakdi Recipe - Maharashtrian Cucumber Salad  and Mooli Raita Recipe (Spiced Yogurt Salad with Radish) for a wholesome diabetic friendly meal.                                                                                                                                                                                                                                                                                                                                                                                                                                                                                                                            
</t>
  </si>
  <si>
    <t>http://www.archanaskitchen.com/amla-methi-sukhi-sabzi-recipe-healthy-diabetic-sabzi</t>
  </si>
  <si>
    <t>Pineapple Chicken Tikka Recipe</t>
  </si>
  <si>
    <t>200 grams Chicken breasts - cut into 1-½ inch in size,1 Pineapple - cut into triangles,Sunflower Oil - for tossing,1 cup Hung Curd (Greek Yogurt),3 tablespoons Gram flour (besan),3 cloves Garlic - ground to paste,1 inch Ginger - ground to paste,1 tablespoon Kasuri Methi (Dried Fenugreek Leaves) - powdered,1 teaspoon Fennel seeds (Saunf) - roasted ground to powder,1/2 teaspoon Ajwain (Carom seeds),1/2 teaspoon Cumin powder (Jeera),1/2 teaspoon Coriander Powder (Dhania),3/4 teaspoon Black pepper powder,3/4 teaspoon Turmeric powder (Haldi),1 teaspoon Red Chilli powder,2 teaspoon Garam masala powder,1/4 teaspoon Black Salt (Kala Namak),Salt - to taste</t>
  </si>
  <si>
    <t xml:space="preserve">To begin making the Pineapple Chicken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Chicken pieces &amp; pineapple in a large bowl, add in the marinade and allow it to rest covered for about half an hour to one hour or even overnight.Take a skewer and add chicken pieces and pineapple and line it up till the top. Do the same for the rest of the skewers.Heat a grill pan over medium heat, add a little oil and place few marinated paneer skewer along with a little of the marinade on top.Add a spoon of ghee or oil on the skewers. It will begin to smoke a little, reduce the heat to low and let it sit for about a minute on each side. Keep turning and cook evenly on all the side till it is charred. Leave the skewer for at least 10 minutes on the grill and serve hot.Serve the Chicken Paneer Tikka Recipe along with jeera rice, raita and carrot halwa to make it a complete meal.
</t>
  </si>
  <si>
    <t>https://www.archanaskitchen.com/pineapple-chicken-tikka-recipe</t>
  </si>
  <si>
    <t>Tawa Paneer Masala</t>
  </si>
  <si>
    <t>3 cups paneer - cut into pieces, 1 tsp kasuri methi, 1 tsp red chilli powder, 1/4 tsp turmeric powder, salt - according to taste, oil - according to use, 1/2 tsp cumin seeds, 1/2 tsp celery, 1/2 cup onion - finely chopped, 2 tsp garlic - make a paste, 1 tsp coriander powder, 1 cup tomato puree, 1/2 tsp shahi jeera - roasted, 2 tbsp cream, 1 tsp green chilli - finely chopped, 1/2 tsp garam masala powder</t>
  </si>
  <si>
    <t>"To make Tawa Paneer Masala, first prepare all the ingredients. Put paneer in a bowl. Add turmeric powder, red chili powder, kasuri methi and salt. Mix well and keep aside for 20 minutes. Now heat oil in a pan. Fry paneer on both sides. Cook for 2 to 3 minutes and keep aside. Put the remaining oil in a pan. Add cumin seeds and shahi jeera. After 15 seconds add onion and cook till it becomes soft. After it becomes soft add garlic, chili, coriander powder and mix well. Add tomato puree, celery and let it cook for 3 minutes. Keep stirring at times. After 3 minutes add paneer, cream, garam masala and mix well. Cook for another 2 to 3 minutes. After that turn off the gas and garnish with green coriander leaves. Serve Tawa Paneer Masala with Tawa Paratha and Palak Raita for lunch."</t>
  </si>
  <si>
    <t>http://www.archanaskitchen.com/tawa-paneer-masala-recipe-in-hindi</t>
  </si>
  <si>
    <t>Cauliflower And Soya Chunks Sabzi Recipe</t>
  </si>
  <si>
    <t>1 Cauliflower (gobi) - cut into florets,1 cup Soy Chunks (Nuggets) - soaked in warm water,1 Onion - finely chopped,1/2 teaspoon Mustard seeds,1 teaspoon Cumin seeds (Jeera),1/4 cup Fresh coconut - grated,1 Green Chillies - finely chopped or slit,1 teaspoon Red Chilli powder,1 teaspoon Garam masala powder,1/2 teaspoon Turmeric powder (Haldi),Coriander (Dhania) Leaves - finely chopped,1 sprig Curry leaves,1 teaspoon Sunflower Oil,Salt - as per your taste,Water - as needed,2 teaspoons Lemon juice - optional</t>
  </si>
  <si>
    <t xml:space="preserve">To begin making the Cauliflower And Soya Chunks Curry Recipe, add water in a large saucepan and add salt, 1/4 teaspoon turmeric powder and bring it to a boil.Add cauliflower florets to the boiled water and simmer for 5 to 6 minutes and turn off the heat.  Drain water from the cauliflower florets and set them aside. This process will remove any worms from the cauliflower and lightly steam cook it as well. Meanwhile, in an another pan add water and bring it to a boil. Add the soya chunks and let it soak for 10 minutes. After 10 minutes, squeeze the water from the soya granules and run it under cold tap water. This helps in removing the smell from the soya chunks. Again squeeze it to remove the water.Meanwhile, add grated coconut, green chillies to a mixer and grind it to a smooth paste using 1/4 cup of warm water. Keep this aside.Heat oil in a heavy bottomed pan over medium heat; add mustard seeds, cumin seeds and allow it to crackle. Once they crackle, add the chopped onion and saute it till it turns translucent. Add curry leaves, red chilli powder, turmeric powder, garam masala and salt. Saute it for few seconds.Now, add the ground coconut and green chillies paste to the kadhai. Stir well for a few seconds.At this stage add partially steamed cauliflower florets and soya chunks. Stir the Cauliflower And Soya Chunks Sabzi well so that masalas get coated well on the cauliflower florets and soya chunks.Cover the kadai/pan and cook the Cauliflower And Soya Chunks Sabzi for 10 minutes until the cauliflower and the soy chucks get cooked and also well coated in the masala. Stir in regular intervals so as to ensure the vegetables do no stick to the bottom. Turn off the heat and finally garnish with finely chopped coriander leaves. Add the lemon juice on top to make the Cauliflower And Soya Chunks Curry Recipe a little tangy.Serve Cauliflower And Soya Chunks Curry along with Steamed Rice and Palak Dal for a simple weeknight dinner. In addition, you can add a fewer chillies to this recipe and make a frankie roll using a Roti and pack it for your kid's lunch box as well.
</t>
  </si>
  <si>
    <t>https://www.archanaskitchen.com/cauliflower-and-soya-chunks-curry-recipe</t>
  </si>
  <si>
    <t>Kolkata Club Style Baked Kachori Aloo Recipe</t>
  </si>
  <si>
    <t>2 cup All Purpose Flour (Maida),1 teaspoon Ajwain (Carom seeds),1 tablespoon Sunflower Oil,Salt - to taste,Water - as required,1 teaspoon Sunflower Oil,1 teaspoon Red Chilli powder,1 teaspoon Cumin powder (Jeera),1 teaspoon Coriander (Dhania) Leaves,1 teaspoon Garam masala powder,1/4 teaspoon Amchur (Dry Mango Powder),1/4 teaspoon Turmeric powder (Haldi),1 cup Yellow Moong Dal (Split) - soaked for 2 hours,Salt - to taste,1/2 cup Coriander (Dhania) Leaves - chopped,Sunflower Oil - to brush,2 Potatoes (Aloo) - peeled and cut into small cubes,2 teaspoons Sunflower Oil,1 Dry Red Chilli - whole broken into pieces,1/2 teaspoon Mustard seeds,1/4 teaspoon Cumin seeds (Jeera),1 tablespoon Ginger Garlic Paste,2 Onion - chopped,3 Tomatoes - chopped,2 Green Chillies - slit,1 teaspoon Garam masala powder,2 teaspoons Coriander (Dhania) Leaves,1/4 teaspoon Turmeric powder (Haldi),1 teaspoon Cumin powder (Jeera),1/2 teaspoon Red Chilli powder,Salt - to taste,1/4 cup Coriander (Dhania) Leaves - chopped,2 sprig Coriander (Dhania) Leaves - for garnishing</t>
  </si>
  <si>
    <t xml:space="preserve">To begin making the Kolkata Style Kachori Aloo recipe, first  heat oil in a Kadai and add all spices which includes red chilli powder, coriander powder, cumin powder, garam masala powder, amchur, turmeric powder and mix well.Stir for 30 seconds and add water so that it won’t get burnt. Keep stirring for about 3 minutes.Now add soaked moong dal and stir for 5 to 7 minutes such that it is parboiled or half boiled. Now add salt to taste and coriander leaves, and mix well and keep aside. The stuffing for the Kachori is ready*Steps to make the Kachori. To prepare Kolkata Style Kachori, add maida, ajwain, salt, and oil in a mixing bowl and mix well with fingers and palm.Add water to make a smooth and firm dough. Rest the dough for 15 minutes. Once it is done resting, divide the dough into small equal rounds. Now to stuff the dough with filling, take one ball and press the sides of dough with fingers so that the center of the kachori is a little thick.Fill the center with a tablespoon of stuffing and seal it from all sides to form the kachori. Repeat the same for the rest of the kachoris.Meanwhile, preheat Oven to 180 degrees Celsius for 10 minutes. Place an aluminium foil on a baking tray and brush it with oil. Place kachoris at a half inch distance from each other and brush upper portion of kachoris with oil. Bake in oven for 20 minutes at 180 degrees Celsius. *Steps to make the Aloo Sabzi for KachoriHeat 2 teaspoons oil in a pressure cooker. Reduce the heat to low and add mustard seeds, cumin seeds, dry red chilli and stir for about 1-15 seconds. After 15 to 20 seconds, add in the chopped onions, green chillies, and salt as per your tasteSauté till onions turn slightly brown in colour. Now add ginger-garlic paste to this and saute until the raw smell of ginger garlic goes away. Add chopped tomato and cook till they turn soft and mushy. Now add potatoes with all spices and mix well.Add 2 cups of hot water and pressure cook for 1 whistle on high flame. Switch off and release the pressure naturally.When pressure releases by itself, remove the lid and give the curry a nice stir. Add chopped coriander leaves and mix well. Serve Baked Moong Dal Kachori With Aloo Sabzi (Kolkata Style Club Kachori Recipe) and garnish with coriander leaves, lemon wedge and sautéed salted green chilli.  Pair it up withDate and Tamarind Chutney and Masala Chai and serve.
</t>
  </si>
  <si>
    <t>https://www.archanaskitchen.com/baked-kachori-aloo-recipe-kolkata-style-club-kachori</t>
  </si>
  <si>
    <t>Haleem Ke Kebab Recipe</t>
  </si>
  <si>
    <t>1/4 cup Broken Wheat (Dalia/ Godumai Rava) - soaked for 4 hours,1/4 cup White Urad Dal (Whole) - soaked for 4 hours,1/4 cup Yellow Moong Dal (Split) - soaked for 4 hours,1/4 cup Chana dal (Bengal Gram Dal) - soaked for 4 hours,500 grams Mutton - curry cut,2 inch Ginger - finely chopped,10 cloves Garlic - finely chopped,Salt - to taste,Saffron strands - a few,2 Green Chillies - finely chopped,1 teaspoon Red Chilli powder,1/2 teaspoon Turmeric powder (Haldi),1 1/2 teaspoon Coriander (Dhania) Powder,1 teaspoon Cumin powder (Jeera),2 teaspoon Chaat Masala Powder,2 tablespoons Gram flour (besan),Mint Leaves (Pudina) - small bunch,Ghee - as required</t>
  </si>
  <si>
    <t xml:space="preserve">To begin making the Haleem Ke Kebab Recipe, into a pressure cooker add the drained and soaked broken wheat, chana dal, urad dal, moong dal, mutton, ginger, garlic and salt to tate.Add just enough water to immerse all the ingredients in the pressure cooker and pressure cook for 5 to 6 whistles. Once done turn off the heat to low and simmer for another 5 minutes. After 5 minutes turn off the heat and allow the pressure to release naturally. Once the pressure has released open the pressure cooker.With the help of a spoon or thongs remove the mutton pieces into a plate and allow it to cool. Once the mutton is cooled separate the meat from the bones. Keep the Dal also aside.Add the meat to a food processor jar with the chopping blade attachment and pulse to make a coarse mixture. Remove and keep aside. Next into a preheated pan add ghee. Once the ghee is warm, add the saffron strands, green chillies, red chilli powder, turmeric powder, coriander powder, cumin powder, chaat masala powder and give it a quick mix. Add the cooked dal and the ground mutton into the pan. Keep stirring until the mixture thickens and comes away from the sides of the pan.Allow the Haleen Ke kebab mixture to cool and then transfer it to a mixing bowl. Add besan and mint leaves to the mixing bowl and mix the Haleem Ke Kebab mixture well to combine.Grease your palms with oil and shape the mixture into round kebabs.Place Haleem Ke Kebabs on a preheated pan. Drizzle ghee over and around the kebabs and cook until golden brown on both sides. Transfer the Haleem Ke Kebabs onto a serving plate and serve hot.Serve Haleem Ke Kebab Recipe as a appetizer along with some Green Chutney and a delicious party meal of Handi Biryani Recipe With Chicken, Lauki Ka Salan, Tomato Onion Cucumber Raita  and Rose Flavoured Shahi Tukda.
</t>
  </si>
  <si>
    <t>https://www.archanaskitchen.com/haleem-ke-kebab-recipe</t>
  </si>
  <si>
    <t>Paneer Butter Masala Recipe</t>
  </si>
  <si>
    <t>200 gram Paneer (Homemade Cottage Cheese) - cut into cubes,3 Tomatoes - pureed,1 teaspoon Red Chilli powder,1 teaspoon Cumin powder (Jeera),1 teaspoon Garam masala powder,1/4 cup Fresh cream,2 tablespoons Butter,Salt - to taste,1 teaspoon Kasuri Methi (Dried Fenugreek Leaves),1 Onion,1 inch Ginger - peeled,6 cloves Garlic,2 tablespoon Cashew nuts</t>
  </si>
  <si>
    <t xml:space="preserve">To begin making the Paneer Butter Masala, in a mixer grind the ingredients mentioned under 'to be ground into paste' like the onion, ginger, garlic and cashew nuts in to a smooth consistency using little water. Transfer to a bowl and set aside till required. Heat the butter in a  pan over medium heat. Add the onion paste and saute over medium heat till it is light brown in color and the oil starts separating from the masala. Add the red chili powder and tomato puree, saute once again few more minutes over medium heat. As the masala gets roasted it will change color to bright red.Once the masala gets well roasted, add the cumin powder, garam masala along with 1 cup of water. Stir to combine and let the butter masala gravy simmer for 10 to 15 minutes over medium heat or till it thickens. Once the butter masala thickens add the cream, salt and paneer to it. Stir to combine and simmer for next 5 - 10 minutes and allow the paneer to absorb the flavor of the gravy. If the Paneer Butter Masala still seems little bit runny let it simmer for few more minutes. Turn off the heat. Sprinkle crushed kasuri methi over the Paneer Butter Masala and stir to combine. Serve Paneer Butter Masala hot with Naan, Kulchas or Tawa Paratha for the Punjabi style dinner. 
</t>
  </si>
  <si>
    <t>https://www.archanaskitchen.com/paneer-butter-masala-recipe</t>
  </si>
  <si>
    <t>Tandoori Paneer Tikka Masala Recipe</t>
  </si>
  <si>
    <t>250 grams Paneer (Homemade Cottage Cheese) - cut into cubes,2 Coal - for coal smoking method,2 cups Homemade tomato puree,3 tablespoons Heavy whipping cream,5 Mint Leaves (Pudina),3 clove Garlic,1 Ginger,1 teaspoon Fennel seeds (Saunf),1/2 teaspoon Ajwain (Carom seeds),1 Saffron strands - few,1/2 teaspoon Cumin powder (Jeera),1 teaspoon Coriander Powder (Dhania),1 teaspoon Chaat Masala Powder,1/2 teaspoon Garam masala powder,1/2 teaspoon Black pepper powder,1/4 teaspoon Red Chilli powder,1/4 teaspoon Black Salt (Kala Namak),1 teaspoon Turmeric powder (Haldi),Salt - to taste</t>
  </si>
  <si>
    <t xml:space="preserve">To begin making the Tandoori Paneer Tikka Masala Recipe, we will first make the tikka masala.In a bowl, combine the cream and chopped mint leaves.Pound the fennel seeds and ajwain and add it to the yogurt mixture. Add in the remaining tikka masala ingredients into the cream mixture and stir to combine well.Place the paneer cubes in a large bowl, add in the marinade and allow it to rest covered for about half an hour to one hour or even overnight. Make a paste of the ginger and garlic using a pestle and mortar.Heat oil in a heavy bottomed pan; add the pounded the ginger, garlic and saute for a few seconds. Add the tomatoes and give it a quick boil. Add the Paneer along with the marinade and give it a good stir to combine all the ingredients.Check the salt and spices and adjust to suit your taste. Cover the pan and allow the Paneer Tikka Masala to simmer for about 3 to 4 minutes.While simmering, we can prepare the coal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heat.Place the coal along with the bowl over the paneer.Place the coal along with the bowl over the paneer tikka masala.Add a spoon of ghee or oil on the coal. It will begin to smoke. Immediately cover the pan and reduce the heat to low and let it sit for about a minute until the smoke has gone away. Open the lid and remove the coal cup.You dish will get a smoked flavored paneer that taste just like the Tandoori Paneer Tikka Masala. Serve the Paneer Tikka Masala along with a favorite Indian Bread, Jeera Pulao, Papad and Raita to me a complete dinner for your family.
</t>
  </si>
  <si>
    <t>https://www.archanaskitchen.com/tandoori-paneer-tikka-masala-recipe</t>
  </si>
  <si>
    <t>Green Mango Masoor Dal Recipe</t>
  </si>
  <si>
    <t>1 cup Masoor Dal (Whole),1/2 cup Mango (Raw) - cubed,2 Green Chillies - slit,1/2 teaspoon Turmeric powder (Haldi),Salt - to taste,2 tablespoon Mustard oil,1/2 teaspoon Cumin seeds (Jeera),1/2 teaspoon Mustard seeds,1/4 teaspoon Kalonji (Onion Nigella Seeds),1/2 teaspoon Fennel seeds (Saunf),1/4 teaspoon Methi Seeds (Fenugreek Seeds),3-4 Dry Red Chilli</t>
  </si>
  <si>
    <t xml:space="preserve">To begin making Green Mango Masoor Dal Recipe, first clean and wash the masoor dal well.Place a pressure cooker on medium heat. Add the dal along with 2 and a half cup of water, salt, turmeric and slit green chillies into the pressure cooker. You can adjust the green chillies as per your palate. Bring it to boil. add cubed raw mangoes. Cover the lid of the pressure cooker and cook for a whistle or two or until done.At this stage, add cubed raw mangoes. Cover the lid of the pressure cooker and cook for a whistle or two or until done.One the pressure within the cooker is naturally released, adjust the consistency of the dal as preferred by adding some water. Put it back on the flame. Bring it to boil and simmer for 2 to 3 minutes. You can proceed for making the seasoning.To begin making the seasoning, place a Tadka Pan on medium heat. Add mustard oil and heat the mustard oil until smoky. Add cumin seeds, mustard seeds, nigella seeds and methi seeds to the pan. Allow them to crackle for few seconds.Add broken red chillies and fry for another few seconds.Pour this tempering over the dal. Turn off the heat.Serve Green Mango Masoor Dal Recipe hot with Steamed Rice or hot Tawa Parathas.
</t>
  </si>
  <si>
    <t>https://www.archanaskitchen.com/green-mango-masoor-dal-recipe</t>
  </si>
  <si>
    <t>Aloo Tamatari</t>
  </si>
  <si>
    <t>3 potatoes - chopped, 3 tomatoes - finely chopped, 2 tbsp ghee, 1 dried red chilli, 1-1/2 tsp cumin seeds, 1/4 tsp asafoetida, 1/2 tsp red chilli powder, 1/4 tsp turmeric powder, 1/2 tsp coriander powder, 1/2 tsp dried mango powder, 2 cups water - as per requirement, salt - as per taste, green coriander - as per requirement (for garnish)</t>
  </si>
  <si>
    <t>"To make Aloo Tomati, first wash the potatoes thoroughly. Now peel the potatoes and chop them. Keep the potatoes in a large bowl with water. Now we will prepare the other ingredients for making this vegetable. Wash the tomatoes and cut them into small pieces. Make a slit in the middle of Kashmiri chilli and remove the seeds. Chop the coriander finely and keep it aside. Heat ghee in a pressure cooker. Add cumin seeds, asafoetida, Kashmiri chilli and let it cook for 20 seconds. After 20 seconds add potatoes and cook them. After 1 minute add red chilli powder and turmeric powder. Mix everything well. Now add tomatoes and cook for 3 minutes. After 3 minutes add coriander powder, salt and dry mango powder. Mix it. Add water as per requirement, mix it and close the cooker. Cook till 2 whistles and turn off the gas. Let the pressure release and then open the cooker. Mix some potatoes Mash it with the help of a spoon so that the gravy thickens a little. Mix it, turn off the gas and garnish with green coriander. Serve Aloo Tamatari with Boondi Raita, Kachumber Salad and Puri for dinner.</t>
  </si>
  <si>
    <t>http://www.archanaskitchen.com/aloo-tamatari-recipe-in-hindi</t>
  </si>
  <si>
    <t>Coriander Chicken Roast Recipe</t>
  </si>
  <si>
    <t>500 grams Chicken,1 tablespoon Red Chilli powder,1 teaspoon Garam masala powder,1/4 teaspoon Turmeric powder (Haldi),Salt - as needed,1 tablespoon Ginger Garlic Paste,3/4 cup Coriander (Dhania) Leaves - finely chopped,2 tablespoons Sunflower Oil</t>
  </si>
  <si>
    <t xml:space="preserve">To begin making the Coriander Chicken Roast recipe, in a bowl take the finely washed and cleaned chicken. To this bowl, add the red chilli powder,  garam masala, turmeric powder, salt, ginger garlic paste, coriander leaves.Mix everything well and allow it to marinate for 1 hour. Then heat a pan add in oil once it heats up add in the Marinated Chicken and start cooking in a low flame.Continue cooking and stir in intervals to prevent it from getting burnt in the bottom of the vessel. Switch off the flame once the chicken is cooked and serve hot.Serve Coriander Chicken Roast along with Steamed rice and Jeera Rasam for a weekday meal.
</t>
  </si>
  <si>
    <t>https://www.archanaskitchen.com/coriander-chicken-roast-recipe</t>
  </si>
  <si>
    <t>Sweet &amp; Spicy Amla Chutney Recipe</t>
  </si>
  <si>
    <t>100 grams Amla (Nellikai/ Gooseberry),1 teaspoon Cumin seeds (Jeera),1 teaspoon Mustard seeds,1 sprig Curry leaves,2 teaspoon Red Chilli powder,1 pinch Asafoetida (hing),1/4 cup Jaggery,Salt - to taste,Sunflower Oil</t>
  </si>
  <si>
    <t xml:space="preserve">To begin making the Sweet &amp; Spicy Amla Chutney Recipe, pressure cook the amla along with a little water for three whistles. Once the pressure is released, open the cooker and deseed the alma.Grind the cooked amla in a mixer along with a little water and make into a smooth paste.Heat a kadai with oil, add the cumin seeds, mustard seeds and hing, allow it to crackle.Add red chilli powder and give it a stir, add ground amla paste and mix well. Add jaggery and salt and cook for a few minutes until the mixture comes together.Serve the Sweet &amp; Spicy Amla Chutney Recipe along with Crispy dosa or thalipeeth to enjoy it along with your breakfast meal.
</t>
  </si>
  <si>
    <t>https://www.archanaskitchen.com/sweet-spicy-amla-chutney-recipe</t>
  </si>
  <si>
    <t>Choco Badam Barfi / Choco Almond Fudge Recipe</t>
  </si>
  <si>
    <t>1 cup Khoya (Mawa),1/2 cup Sugar - granulated,1/2 cup Almond Meal (Badam Powder),2 tablespoons Cocoa Powder - unsweetened,Ghee - for greasing the plate</t>
  </si>
  <si>
    <t xml:space="preserve">To prepare Choco Badam Barfi / Choco Almond Fudge Recipe, take mawa or khoya in a medium kadai and add sugar into it.Keep the heat on medium and mix it well. Keep mixing and cook until sugar is melted and well mixed with mawa. It will take maximum 5 minutes.Remove sweetened mawa from heat and mix almond powder into it.Divide the mixture into 2 equal parts. Grease a plate with some ghee.Take one part of the prepared barfi mix on the plate and spread it evenly by pressing with spoon or your fingers. Make it into square shape with about 1/2 inch thickness.Add cocoa powder in the remaining barfi mix and knead it well so that cocoa is properly mixed.Place this mixture on top of the already spread barfi mixture on the plate and similarly, press this cocoa mixture using fingers and spread it out.Now with the help of pizza cutter or a knife, cut the burfi into square or diamond shapes. Let the pieces cool completely and then remove them out.Store in the airtight container and consume within a week.
</t>
  </si>
  <si>
    <t>http://www.archanaskitchen.com/choco-badam-barfi-choco-almond-fudge-recipe</t>
  </si>
  <si>
    <t>Chana Dal And Methi Ki Sabzi Recipe</t>
  </si>
  <si>
    <t>1 cup Chana dal (Bengal Gram Dal),1/4 cup Methi Seeds (Fenugreek Seeds),Water - as required,1/2 teaspoon Cumin seeds (Jeera),1/2 teaspoon Mustard seeds,1/2 teaspoon Asafoetida (hing),5 Curry leaves,1 teaspoon Red Chilli powder,1/2 teaspoon Turmeric powder (Haldi),1/2 teaspoon Amchur (Dry Mango Powder),1/2 teaspoon Coriander Powder (Dhania),Salt - salt as required,Sunflower Oil - oil as required</t>
  </si>
  <si>
    <t xml:space="preserve">To prepare Chana Dal &amp; Methi Ki Sabzi recipe, firstly boil chana dal and methi seeds together with the required water till soft but not mushy.Once it is boiled, drain the water and keep aside.Heat oil in a heavy bottomed pan and add cumin seeds, mustard seeds, hing, and curry leaves.Once it starts crackling, add all the masalas including red chilli powder, turmeric powder, amchur powder, coriander powder and the required salt.Mix Chana Dal &amp; Methi Ki Sabzi to combine well with the masalas and cook for 3 to 5 minutes.Once it is done, garnish Chana Dal &amp; Methi Ki Sabzi recipe with coriander leaves.Serve Chana Dal And Methi Ki Sabzi With Gujarati Kadhi and Phulka for an everyday meal.
</t>
  </si>
  <si>
    <t>https://www.archanaskitchen.com/chana-dal-methi-ki-sabzi-recipe-1</t>
  </si>
  <si>
    <t>Tawa Paneer Masala Recipe</t>
  </si>
  <si>
    <t>3 cups Paneer (Homemade Cottage Cheese) - cubes,1 teaspoon Kasuri Methi (Dried Fenugreek Leaves),1 teaspoon Red Chilli powder,1/4 teaspoon Turmeric powder (Haldi),Salt - to taste,Sunflower Oil - to cook,1/2 teaspoon Cumin seeds (Jeera),1/2 teaspoon Ajwain (Carom seeds),1/2 cup Onions - finely chopped,2 teaspoon Garlic - paste,1 teaspoon Green Chillies - finely chopped,1 teaspoon Coriander Powder (Dhania),1 cup Homemade tomato puree,1/2 teaspoon Ajwain (Carom seeds) - roasted,2 tablespoons Fresh cream,1/2 teaspoon Garam masala powder</t>
  </si>
  <si>
    <t xml:space="preserve">To start making Tawa Paneer Masala Recipe, first get all the ingredients handy.Marinate paneer with turmeric, chili powder, fenugreek leaves and salt in a bowl. Leave for 20 minutes.Heat oil in a frying pan and shallow fry paneer on both the sides for 2-3 minutes, flipping often. Set aside fried paneer.Heat the remaining oil in a non-stick pan, add cumin seeds and carom seeds. Sauté them for few seconds on medium heat.Add onions and sauté them for 2-3 minutes.Add garlic paste, chilies, and coriander powder and mix them well.Add the tomato pulp, caraway seeds and cook in medium flame for 3 minutes. Stir occasionally.Once the gravy thickens, add paneer, fresh cream, garam masala and combine them well. Adjust spices and let it simmer for 2 minutes.Garnish with fresh coriander leaves. Enjoy Tawa Paneer Masala with hot rotis/chapatis/Phulkas and raita of your choice to make it a complete meal. 
</t>
  </si>
  <si>
    <t>http://www.archanaskitchen.com/tawa-paneer-masala-recipe</t>
  </si>
  <si>
    <t>No Onion No Garlic Black Eyed Beans Curry Recipe</t>
  </si>
  <si>
    <t>1 cup Black Eyed Beans (Lobia) - soaked in water for 7 to 8 hours,1 tablespoon Sunflower Oil,1 teaspoon Mustard seeds,1 teaspoon Cumin seeds (Jeera),1/2 teaspoon Asafoetida (hing),1/2 teaspoon Turmeric powder (Haldi),1 tablespoon Fresh coconut,1 tablespoon Groundnut powder,3 Kokum (Malabar Tamarind) - or use 1/2-1 teaspoon tamarind pulp,1 teaspoon Jaggery - grated,1/2 teaspoon Maharashtrian Goda Masala,1/2 teaspoon Red Chilli powder,Salt - to taste</t>
  </si>
  <si>
    <t xml:space="preserve">To begin making the No Onion No Garlic Black Eyed Beans Curry, first cook the beans with 2 cups of water, in a pressure cooker, for 1 whistle and 10 to 15 minutes on sim (or till the beans are soft but not mushy).Heat oil in a heavy bottomed pan. Add the mustard seeds and once they crackle add the cumin seeds.Add the hing, turmeric powder, red chilli powder, goda masala. Mix everything well.Add the black eyed beans along with the water used for cooking.Add the kokum skin, jaggery, groundnut powder, coconut and salt. Simmer for 3 to 4 minutes, stirring once or twice.Serve No Onion No Garlic Black Eyed Beans Curry with Roti or Rice and a Kachumber salad on the side for a wholesome weekday meal.
</t>
  </si>
  <si>
    <t>https://www.archanaskitchen.com/no-onion-no-garlic-black-eyed-beans-curry-recipe</t>
  </si>
  <si>
    <t>Doli Ki Roti Recipe | Classic Sourdough Bread Recipe from Multan</t>
  </si>
  <si>
    <t>12 Brown cardamom (Badi Elaichi),1/2 cup Fennel seeds (Saunf),1/2 cup Chana dal (Bengal Gram Dal),1/2 cup Poppy seeds,1/2 cup Sugar,500 ml Water,3 teaspoons Whole Wheat Flour,4 cups Whole Wheat Flour,2 teaspoons Sugar,1 teaspoon Salt,Lukewarm Water - to knead,Sunflower Oil - to deep fry,2 cups Chana dal (Bengal Gram Dal),Salt - to taste,1 teaspoon Red Chilli powder - (adjust),2 teaspoons Coriander Powder (Dhania),1/2 teaspoon Garam masala powder,1/4 teaspoon Turmeric powder (Haldi),2 inch Ginger - crushed,1/4 cup Onion - finely chopped,Water - as needed</t>
  </si>
  <si>
    <t xml:space="preserve">To prepare Doli Ki Roti Recipe, get prepped with all the ingredients required and prepare the homemade yeast water first.In a saucepan, add water (500 ml) and bring it to boil. Put all the ingredients listed in "Yeast Water", including cardamom, fennel seeds, chana dal, khus khus (or poppy seeds) and sugar.Cover and boil for 2 minutes until sugar dissolves and the chana dal softens a bit. Let it remain covered. Wrap this saucepan in a dry and warm cloth and keep in the warmest corner of your kitchen. Let it stay undisturbed for 24 hours exactly.To prepare yeast, take the frothy water after 24 hours (only if it is frothy, or you need to repeat the procedure) to prepare homemade yeast. Pass the water through a sieve and mix it with whole wheat flour (3 tablespoons).The batter should resemble a pancake batter, flowy. Cover it again with lid and wrap with a warm cloth and keep in a warm place for 3 more hours.After 3 hours exactly, the mixture should all be bubbly and frothy. Now you may proceed with making the dough.Take half of the homemade yeast mixture and add the ingredients under "to make roti" (flour, sugar, salt, water) and knead to make a smooth pliable dough. Use only warm water to knead the dough. Keep it covered like before, for 3 hours or just half hour more, to rise.To make the filling:Clean chana dal and pressure cook chana dal, salt, turmeric, ginger with a little water for 2 whistles or till cooked soft. drain the remaining water completely and discard. Once the dal is cooled a bit, add spices and onion, mix well.To make Doli Ki Roti Recipe:Heat oil in a deep frying pan on medium heat.Pinch out a ball of more than a lemon size and make an indent in it to fit the filling. Fill about 2 tablespoons of filling and close the sides of the poori. flatten it with hands until it forms a disc of the size of the palm. Ensure this, since the dough is soft to be rolled with a rolling pin. You can use the dusting of wheat flour if you find the soft dough difficult to handle.Drop the flattened filled dough of Doli Ki Roti in hot oil and cook to see it puffed up and evenly golden on both side. Keep flipping as required, till done.Drain on a kitchen towel.Repeat till all the dough and filling is used.Serve Doli Ki Roti Recipe with a bowl of curd or Kasuri Methi Aur Aloo Rasedar to make a breakfast.
</t>
  </si>
  <si>
    <t>https://www.archanaskitchen.com/doli-ki-roti-recipe</t>
  </si>
  <si>
    <t>Bhuna Murgh Recipe</t>
  </si>
  <si>
    <t>750 grams Chicken,2 Onion - finely chopped,3 Tomato - finely chopped or pureed,1 tablespoon Cashew nuts - paste (optional),8 cloves Garlic - roughly pounded,2 inch Ginger - minced,4 Green Chillies - slit,1 teaspoon Red Chilli powder,2 teaspoon Coriander Powder (Dhania),1/2 teaspoon Turmeric powder (Haldi),1 teaspoon Garam masala powder,1 tablespoon Lemon juice - adjustable,1 Bay leaf (tej patta),1/2 teaspoon Ajwain (Carom seeds),2 Cardamom (Elaichi) Pods/Seeds,1 Star anise,4 Whole Black Peppercorns,4 Cloves (Laung),2 Black cardamom (Badi Elaichi),1 inch Cinnamon Stick (Dalchini),1 teaspoon Kasuri Methi (Dried Fenugreek Leaves),2 tablespoon Ghee - or oil,Salt - to taste</t>
  </si>
  <si>
    <t xml:space="preserve">To begin making the Bhuna Murgh recipe, wash and clean the chicken pieces in water and apply salt and lemon juice all over on chicken pieces as a marinade.Cover the bowl of marinated chicken with a cling wrap and set in refrigerator. Heat ghee or oil  in a non-stick pan and add bay leaf, clove, cumin seeds, green and black cardamoms, cinnamon, pepper corns and aniseed and wait till they crackle.Add finely chopped onion and keep stirring.Add green chillies, minced ginger and pounded garlic and saute till oil begins to separate.Now add fine chopped tomatoes or pureed tomatoes and season them with turmeric, coriander powder, red chilli powder and garam masala powder.Simmer the flame and cover the pan for 3-4 minutes.Take off the lid and keep stirring until the onion-tomato mixture softened and seems like a bhuna paste.Now add chicken pieces and saute well with bhuna mixture.Add 2 cups of water, cover the pan, simmer the flame and leave to cook until chicken is well done.Once the chicken is nicely cooked and tender and the bhuna masala has started to thicken, add crushed kasuri methi and cashew paste (optional).Mix well, and cover the lid to cook for another 5-6 minutes. Garnish the dish with fine chopped coriander leaves.Serve Bhuna Murgh along with Garlic Naan for a weekend night dinner.
</t>
  </si>
  <si>
    <t>https://www.archanaskitchen.com/bhuna-murgh-recipe</t>
  </si>
  <si>
    <t>Ram Ladoo Recipe</t>
  </si>
  <si>
    <t>3/4 cup Yellow Moong Dal (Split),1/4 cup Chana dal (Bengal Gram Dal),2 Green Chillies,1 inch Ginger,2 tablespoons Coriander (Dhania) Leaves - chopped,Salt - to taste,1/2 cup Mooli/ Mullangi (Radish) - grated,Chaat Masala Powder - to taste,1/2 cup Mint Leaves (Pudina),1/2 cup Coriander (Dhania) Leaves,1 cup Garlic - chopped,1 teaspoon Ginger - grated,1 tablespoon Amchur (Dry Mango Powder),Salt - to taste,1 Green Chilli</t>
  </si>
  <si>
    <t xml:space="preserve">To begin making Ram Ladoo Recipe, soak the moong dal and chana dal separately in enough water for 2-3 hours. Grind chana dal, green chilli and ginger in a mixer-grinder to smooth paste without adding water.Similarly, grind split moong dal in a mixer-grinder to smooth paste. Combine both the paste along with salt and chopped coriander leaves. Keep it aside.The next step is to prepare the green chutney. Grind all the ingredients mentioned under ‘For chutney’ to a smooth paste adding a little water. Transfer it to a bowl and keep aside.To prepare Ram Ladoo recipe, heat Paniyaram pan on low-medium flame. Pour 1 teaspoon oil into each cavity of the pan.After this put 1 tablespoon of batter into each cavity till it is half filled. Close the pan with a lid and cook on low-medium flame.After 2 or 3 minutes, open the lid and turn over each ladoo to allow it to cook. Once each ladoo is cooked, remove from the pan and pour another batch of batter.At the time of serving, assemble ram ladoo in a plate or bowl. Pour green chutney and garnish with grated radish and sprinkle some chat masala or black salt.Serve Ram Ladoo with hot Masala Chai as a tea time snack with family and friends. Serve ram laddos as an appetizer to your party meal made up of  Whole Wheat Palak Naan, Creamy Dal Makhani and Boondi Raita.
</t>
  </si>
  <si>
    <t>https://www.archanaskitchen.com/ram-ladoo-recipe-gul-gule-street-food-of-delhi</t>
  </si>
  <si>
    <t>Mutton Galouti Kebab Recipe</t>
  </si>
  <si>
    <t>500 grams Mutton - minced,3 teaspoon Papaya - paste,2 teaspoon Cumin powder (Jeera),1 teaspoon Coriander Powder (Dhania),1 teaspoon Garam masala powder,1 Onion - chopped,2 teaspoon Ginger Garlic Paste,1/4 teaspoon Black pepper powder,2 tablespoon Gram flour (besan),Mint Leaves (Pudina) - a handful,1 teaspoon Lemon juice -,Salt - to taste,1 teaspoon Ghee,Sunflower Oil - as required</t>
  </si>
  <si>
    <t xml:space="preserve">To begin making the Mutton Galouti Kebab, first take a big bowl and mix the minced mutton, lemon juice, papaya paste, ghee and salt in a bowl and keep it aside for 10 minutes.In a blender add rest of the ingredients one by one - onions, ginger garlic paste, gram flour, mint leaves, cumin powder, coriander powder, garam masala and black pepper powder. Blend it well with little or no water.Once all these ingredients have ground and combined well, add in the minced meat and blend well for second time until all ingredients combine well and is a smooth texture Transfer it in a container with a lid and refrigerate overnight or for 8 hours. This helps in the mutton absorbing all the flavours of the spices. Take out this mutton mixture from the fridge after 8 hours, and prepare patties and keep it ready on the plate.Heat a grilled iron pan with some oil to coat the surface. Place the Kebabs/patties and shallow fry on medium to low flame for about 10 on each side of the Kebab. Fry the remaining kebabs too and serve hot. Serve Mutton Galouti Kebab along with Dhaniya Pudina Chutney for your party appetisers.
</t>
  </si>
  <si>
    <t>http://www.archanaskitchen.com/mutton-galouti-kebab-recipe</t>
  </si>
  <si>
    <t>Nimbu Chunda Recipe (Lemon Chutney) - No Cook And Oil Free</t>
  </si>
  <si>
    <t>350 grams Lemons - (adjust),400 grams Sugar - (adjust),Salt - to taste,2 teaspoon Red Chilli powder - (adjust)</t>
  </si>
  <si>
    <t xml:space="preserve">To prepare Nimbu Chunda Recipe (Lemon Chutney), firstly, select lemons that have thin skin and are soft to touch when slightly pressed.Wash and scrub the lemons well. Keep them soaked in water for approximately 8-10 hours to get rid of the natural oils of lemon.Wipe the lemons well and cut them into 4 pieces. Remove the pips (seeds).Transfer them to a Mixer grinder and pulse them till they are roughly pureed. (There should be no chunks though).Transfer to a glass jar or a non-reactive container and add sugar, salt and red chili powder.Cover the mouth of the jar and keep it for 10-15 days in the sun for a few hours. Stir it once or twice each day during this period using a dry spoon or spatula.The Nimbu Chunda Recipe (Lemon Chutney) is ready once the liquid becomes syrupy. Pair it as an accompaniment to the main meal to enjoy its zing.
</t>
  </si>
  <si>
    <t>https://www.archanaskitchen.com/nimbu-chunda-recipe-lemon-chutney-no-cook-and-oil-free</t>
  </si>
  <si>
    <t>Mixed Vegetable Noodle Cutlet Recipe</t>
  </si>
  <si>
    <t>1 cup Rice Vermicelli Noodles (Thin) - cooked,1 Potato (Aloo) - boiled,1 Carrot (Gajjar) - grated,1/2 Green Bell Pepper (Capsicum) - grated,2 teaspoons Classic Mayonnaise (With Egg),2 tablespoons Tomato Salsa,2 Cheese - grated,Salt - to taste,Black pepper powder - to taste,1 Whole Wheat Brown Bread - (ground to get fresh bread crumbs),2 tablespoons Oat bran,Extra Virgin Olive Oil - to shallow fry</t>
  </si>
  <si>
    <t xml:space="preserve">To begin making the Mixed Vegetable Noodle Cutlet Recipe, Cook your instant noodles without the tastemaker according the instructions on the packet.  Once the noodles are cooked, drain any extra water and set the noodles aside to cool.In a large bowl, mash the boiled potato and mix with grated carrots and capsicum. Add, the cooked noodles and all the remaining cutlet ingredients except the crumbs and the oat bran and combine well. Check the salt and spices and adjust to suit your taste.Divide the cutlet mixture into equal parts and shape them into round discs of about an inch thickness.Combine the breadcrumbs and oat bran in a platter. Dip the vegetable noodle cutlet on the crumb-bran mixture. Heat a skillet on medium heat and place the shaped noodle cutlets on them. Drizzle a bit of oil over the cutlets and pan fry them until brown and crisp on both sides.Serve the Mixed Vegetable Noodle Cutlet Recipe as an appetizer, a tea time snack or even into the snack box for kids. Serve it along with a classic tomato ketchup or even a Yogurt Dip.
</t>
  </si>
  <si>
    <t>http://www.archanaskitchen.com/mixed-vegetable-noodle-cutlet-recipe</t>
  </si>
  <si>
    <t>Cheesy Paneer Masala Curry Recipe</t>
  </si>
  <si>
    <t>200 grams Paneer (Homemade Cottage Cheese) - cubed,2 cups Tomato - puree,2 tablespoons Britannia Cheese Spread - Classic,2 Onions - finely chopped,1 inch Ginger,6 cloves Garlic,2 Black cardamom (Badi Elaichi),1/2 teaspoon Turmeric powder (Haldi),1 teaspoon Red Chilli powder,1 teaspoon Garam masala powder,1 tablespoon Honey,Salt - to taste,1 tablespoon Kasuri Methi (Dried Fenugreek Leaves),1 tablespoon Sunflower Oil</t>
  </si>
  <si>
    <t xml:space="preserve">To begin making the Cheesy Paneer Masala Curry Recipe, into a mixer grinder add tomato puree and Britannia classic cheese spread. Blend to make a smooth puree and keep aside. Next into a preheated pan add oil, onions, ginger, garlic, badi elaichi and saute until the onions soften and turn golden brown in color. Once done add the tomato cheese puree, turmeric powder, garam masala powder, red chilli powder, honey and salt to taste.Stir well to combine and give the tomato mixture a brisk boil.After the gravy has come to a boil add the paneer and kasuri methi. Simmer for 3 to 4 minutes and turn off the heat. Serve Cheesy Paneer Masala Curry Recipe along with Homemade Butter Naan Recipe, Dhaba Style Dal Palak Recipe and Lacha Pyaz for a complete meal.
</t>
  </si>
  <si>
    <t>https://www.archanaskitchen.com/dhaba-style-paneer-butter-masala-recipe</t>
  </si>
  <si>
    <t>Chicken Tikka Masala Recipe</t>
  </si>
  <si>
    <t>300 grams Chicken - cut into small size pieces,1/2 cup Curd (Dahi / Yogurt),1 teaspoon Cumin powder (Jeera),1-1/2 teaspoon Coriander Powder (Dhania),1/2 teaspoon Turmeric powder (Haldi),1 inch Ginger - finely chopped,6 cloves Garlic - finely chopped,1/2 teaspoon Red Chilli powder,1 tablespoon Kasuri Methi (Dried Fenugreek Leaves),Salt - as required,1 Onion,1 Tomato,5 Cashew nuts,1 teaspoon Cumin powder (Jeera),1 teaspoon Coriander Powder (Dhania),1 Cloves (Laung),1/4 teaspoon Cinnamon Powder (Dalchini),1/4 teaspoon Cardamom Powder (Elaichi),1/2 cup Fresh cream,1 tablespoon Butter (unsalted),Sunflower Oil - as required,Salt - to taste</t>
  </si>
  <si>
    <t xml:space="preserve">To begin making the Chicken Tikka Masala, thoroughly clean and wash the chicken pieces. To marinate the Chicken for the Chicken Tikka Masala, in a mixing bowl, combine yogurt, cumin powder, coriander powder, turmeric powder, ginger, garlic, chili powder, kasuri methi and salt along with the chicken. Allow the chicken to marinate for a minimum of 30 minutes. Once the chicken is marinated, in a pan, add a teaspoon of oil and cook marinated chicken pieces until they are cooked well for about 8 minutes. The chicken pieces should be juicy and tender.Cooking chicken for an extended time will make them hard and rubbery. Do not add water.The next step is to make the tikka masala gravy. Heat a teaspoon of oil over medium heat. Add onion and cook until they become translucent. Add tomatoes and cook them for about two minutes. Add cashews and toss them for a minute. Allow the onion tomato masala to cool down.Once it cools down, grind onion, tomato, and cashew into a fine paste.Heat a kadai/wok with a tablespoon of butter. Once the butter melts, add cloves, cinnamon powder, and cardamom powder and saute until aroma comes out.Add cumin powder and coriander powder and combine them well.Add the onion-tomato-cashew puree to the pan, combine them well and saute for few minutes.Crush kasuri methi with your hand and add to the tikka masala gravy. Add the marinated chicken pieces, required amount of salt and cream. Toss the chicken tikka masala well so that they are combined well.Simmer the chicken tikka masala for about 5 minutes. If the tikka masala is of thicker consistency, adjust addition of water according to your requirements.Switch off heat and garnish the chicken tikka masala with coriander leaves and it is ready to be served.Serve Chicken Tikka Masala with Dhaba Style Spicy Ghee Rice Recipe Made From Whole Spices or Butter Garlic Naan Recipe (Garlic Flavoured Flat Bread) and Pickled onions for a complete Weekend dinner.
</t>
  </si>
  <si>
    <t>http://www.archanaskitchen.com/chicken-tikka-masala-recipe</t>
  </si>
  <si>
    <t>Uttarakhand Mooli Thechua Recipe</t>
  </si>
  <si>
    <t>4 radishes - peel and grate, 3/4 cup coriander leaves - finely chopped, 4 green chillies, salt - according to taste</t>
  </si>
  <si>
    <t>"To make Uttarakhand Mooli Thechua Recipe, add coriander, green chillies, salt in a blender and make a paste. Grate the radish and keep it aside. In a mixing bowl, add grated radish, ground paste, salt and mix well. Serve. Serve Uttarakhand Mooli Thechua Recipe with Panchmel Daal and Phulkas for lunch."</t>
  </si>
  <si>
    <t>https://www.archanaskitchen.com/uttarakhand-mooli-thechua-recipe-radish-salad-in-hindi</t>
  </si>
  <si>
    <t>Golgappa Chaat Recipe</t>
  </si>
  <si>
    <t>1 cup Sooji (Semolina/ Rava),1/2 cup All Purpose Flour (Maida),Sunflower Oil - for making dough and deep frying,1/2 teaspoon Cumin powder (Jeera) - roasted,1/2 teaspoon Red Chilli powder,1/2 cup Green Chutney (Coriander &amp; Mint) - to taste,1/2 cup Sweet Chutney (Date &amp; Tamarind) - to taste,1 sprig Coriander (Dhania) Leaves - chopped,1 sprig Mint Leaves (Pudina) - chopped,1 Potato (Aloo) - boiled and peeled,1/2 cup Kala Chana (Brown Chickpeas) - sprouted and boiled (optional),2 tablespoons Boondi,2 cups Curd (Dahi / Yogurt),Sugar - to taste</t>
  </si>
  <si>
    <t xml:space="preserve">Let us begin making the Gol Gappa Chaat Recipe by looking at how to make the Gol Gappas : Instruction for Gol GappaTake Maida, suji and oil in any utensil and mix these contents properly. With the help of water, knead a dough for hard Puri (press dough well while kneading). Cover the dough and leave it aside for 15-20 mins to ferment and rise.Break a big round (guava sized) piece off the dough, roll this round piece into a circle. With the help of a small lid, cut as many round puris possible, take the small circles and keep them on a plate.Mix the dough that is leftover to the main dough and repeat the same process till you have made puris of the entire dough. Now take one puri at a time and roll it a little making it thinner. You can roll them length-wise to make long puri or circular to make round puris.Heat the oil on medium-high heat. Start frying the puris, starting first with the puri you first rolled.Put one puri in the oil and press lightly. When it puffs turn over and put another puri in the oil. Keep adding 6-8 puris at a time. Fry the puris until they are golden-brown all around by turning a few times. You may adjust the heat as needed while frying.Take the puris out and place over a paper towel, so the excess oil is absorbed.Instruction for assembling chaatPeel the boiled potato and cut into small cubes. Add some salt into it and mix it well. With the help of a finger make a hole in the each gol gappa and stuff the potato cubes. You can also stuff sprouts and boiled kala chana in the gol gappas.Whisk the yoghurt well with sugar and salt as to taste.Place gol gappas on a plate and cover with yoghurt.Drizzle mint chutney and tamarind chutney. Sprinkle red chilli powder, boondi, cumin powder.Garnish with coriander/mint leaves, red chilli powder and chaat masala and your Gol Gappa Chaat is ready to be served and devoured immediately.Serve the Golgappa Chaat Recipe as a great Appetizer idea for any get-together Party along with a meal of Spinach Paneer Kofta Curry, Whole Wheat Palak Naan, Chana Pulao, Tomato Onion Cucumber Raita  and Chironji And Makhane Ki Kheer .
</t>
  </si>
  <si>
    <t>https://www.archanaskitchen.com/gol-gappa-chaat-recipe</t>
  </si>
  <si>
    <t>Patta Gobi Sabzi Recipe - Cabbage Tomato Sabzi</t>
  </si>
  <si>
    <t>300 grams Cabbage (Patta Gobi/ Muttaikose) - thinly sliced or diced,1/4 teaspoon Mustard seeds,1/4 teaspoon Cumin seeds (Jeera),2 Green Chillies - slit,2 Tomatoes - finely chopped,1/2 teaspoon Turmeric powder (Haldi),1 teaspoon Coriander Powder (Dhania),1 teaspoon Red Chilli powder - to taste,Salt - to taste,1/2 teaspoon Sunflower Oil,4 sprig Coriander (Dhania) Leaves - chopped for garnishing</t>
  </si>
  <si>
    <t xml:space="preserve">To begin making the Patta Gobi Sabzi Recipe prepare all the ingredients and keep them ready.Heat oil in the pressure cooker; add in the mustard seeds and cumin seeds and allow them to crackle. Once they crackle, add in green chillies, the tomatoes and saute the tomato until slightly softened.Once the tomatoes are slightly softened, add in the turmeric powder, salt, coriander powder, red chilli powder and give it a stir. Stir in the cabbage and add a tablespoon of water into the cooker.Cover the pressure cooker cook for 3 to 4 whistles and turn off the heat.Release the pressure immediately by running it under cold water or releasing it with a fork placed under the whistle. Once the pressure is released, stir in the chopped coriander leaves, check the salt, the spice levels and the Patta Gobi Sabzi is ready to be served.If you are using a saucepan method to cook, then keep the pan covered and cook until the Patta Gobi Sabzi is soft and you have the texture that you desire.Serve the Patta Gobi Sabzi along with Thepla and Gujarati Dal to make a wholesome meal.
</t>
  </si>
  <si>
    <t>http://www.archanaskitchen.com/patta-gobhi-ki-sabji-recipe-cabbage-tomato-sabzi</t>
  </si>
  <si>
    <t>Aloo Gobhi Matar Ki Sabzi</t>
  </si>
  <si>
    <t>1/2 kg cabbage - cut into small pieces, 2 potatoes, 1 cup green peas, 2 tsp red chili powder, 1 tbsp coriander powder, 1 tbsp turmeric powder, 2 tbsp onion - finely chopped, 1 tsp ginger - finely chopped, 1 tsp fenugreek seeds, 1 sprig coriander - for garnish, oil - as per requirement, salt - as per taste</t>
  </si>
  <si>
    <t>"To make Aloo Gobi Matar ki Sabzi, first soak the cabbage in hot water. Add salt to it, mix and cover and keep aside for 10 minutes. Now peel the potatoes. Wash and cut them and soak in cold water. Now heat oil in a pan. Add fenugreek seeds and after 10 seconds add ginger and onion. Cook till the onion becomes soft and then add cabbage, potato and peas. Mix, cover the pan and cook for 3 to 4 minutes. After 4 minutes add red chili powder, coriander powder, salt and mix. Mix everything well, cover and let it cook for 6 minutes. Serve Aloo Gobi Matar ki Sabzi with Dal Tadka, Kachumber Salad and Phulka for lunch."</t>
  </si>
  <si>
    <t>https://www.archanaskitchen.com/aloo-gobhi-matar-ki-sabzi-recipe-in-hindi</t>
  </si>
  <si>
    <t>Aloo Beetroot and Baby Corn Mixed Sabzi Recipe</t>
  </si>
  <si>
    <t>1/2 cup Potatoes (Aloo) - cut into strips,1/2 cup Beetroot - cut into strips,1/2 cup Baby corn - cut into strips,1/2 cup Carrots (Gajjar) - cut into strips,1/2 cup Green beans (French Beans) - cut into strips,4 Green Chillies - (big) slit,2 tablespoon Mustard oil,1 teaspoon Mustard seeds,6 cloves Garlic - cut into strips,1 inch Ginger - cut into strips,Salt - to taste,Coriander (Dhania) Leaves - chopped</t>
  </si>
  <si>
    <t xml:space="preserve">To begin making the Aloo, Beetroot and Baby Corn Mixed Sabzi Recipe, cut the vegetables into strips and set aside.In a Pressure cooker, combine the beetroot, baby corn, carrot, and beans, add ¼ cup of water and pressure cook for 1 whistle, turn off the flame. Release the pressure immediately. In a pan, heat mustard oil on medium-high heat, add the mustard seeds and allow them to crackle. Add the garlic and ginger, saute for a few minutes until the garlic turns golden brown.Next add in the slit green chilies and raw potato strips, cover and continue to cook until the potatoes are soft. Occasionally, open the lid and give it a mix.Finally, add in the pressure cooked vegetables- beetroot, carrot, beans, baby corn and salt and turmeric. Give it a good stir and garnish with coriander leaves. Serve Aloo, Beetroot and Baby Corn Mixed Sabzi hot .Serve this Aloo Beetroot and Baby Corn Mixed Sabzi Recipe with Pudina Tawa Paratha Recipe (Mint Leaf Skillet Flat Bread) and  Tadkewali Masoor Dal Recipe and Palak Raita Recipe (Spinach Yogurt Salad)
</t>
  </si>
  <si>
    <t>https://www.archanaskitchen.com/aloo-beetroot-and-baby-corn-mixed-sabzi-recipe</t>
  </si>
  <si>
    <t>Paneer Butter Masala</t>
  </si>
  <si>
    <t>200 grams paneer - cut, 3 tomatoes - make puree, 1 teaspoon red chili powder, 1 teaspoon cumin powder, 1 teaspoon garam masala powder, 1/4 cup cream, 2 tablespoons butter, salt - according to taste, 1 teaspoon kasuri methi, 1 onion, 1 inch ginger - peel and grate, 6 long garlic, 2 tablespoons cashew nuts</t>
  </si>
  <si>
    <t>"To make paneer butter masala, first add the ingredients for the paste in a mixer grinder and grind it. Take out the paste in a bowl and keep it aside. Now heat butter in a pan. Add onion paste and cook till it turns light brown. Add red chili powder and tomato puree and cook for a few minutes. After that add cumin powder, garam masala powder along with 1 cup water. Mix it and cook for 10 to 15 minutes. After 15 minutes add cream, salt and paneer. Mix it and cook for another 5 to 10 minutes. Add kasuri methi and cook for another 2 minutes. Turn off the gas after 2 minutes and serve hot. Serve paneer butter masala with dal makhani, palak raita and phulkas for Sunday lunch."</t>
  </si>
  <si>
    <t>https://www.archanaskitchen.com/paneer-butter-masala-recipe-in-hindi</t>
  </si>
  <si>
    <t xml:space="preserve">Aloo Broccoli Sabzi </t>
  </si>
  <si>
    <t>1 broccoli - chopped, 2 potatoes - peeled and chopped, 1 teaspoon turmeric powder, salt - according to taste, 1/2 teaspoon nigella seeds, 1 tablespoon oil</t>
  </si>
  <si>
    <t>"To make Aloo Broccoli Sabzi, first cut the broccoli into small pieces. Wash it, dry it and keep it aside. Wash the potatoes, peel it and cut it as per your taste. Soak the potatoes in a bowl. Put the broccoli in a steamer and cook it. Take it out in a separate bowl. Now heat oil in a pan. Add kalonji (black cumin seeds) and let it cook for 10 seconds. Now add potatoes, salt and turmeric powder. Cover the pan and cook till the potatoes are cooked. Now add broccoli and cook for the next 1 minute. Turn off the gas after 1 minute and serve hot. Aloo Broccoli Sabzi can be made for lunch with Panchmel Dal and Phulkas."</t>
  </si>
  <si>
    <t>http://www.archanaskitchen.com/aloo-broccoli-sabzi-recipe-stir-fried-potatoes-broccoli-recipe-in-hindi-in-hindi</t>
  </si>
  <si>
    <t>Dal Shorba Recipe</t>
  </si>
  <si>
    <t>1/4 cup yellow moong dal, 1 onion, 6 cloves garlic, 1/2 teaspoon ginger powder, 1/4 teaspoon turmeric powder, 1/3 teaspoon red chili powder, 1/2 teaspoon black pepper powder, 1 teaspoon cumin, 2 teaspoons coconut oil, salt - according to taste, 2 cups water, green coriander - for garnish, 1 teaspoon lemon juice</t>
  </si>
  <si>
    <t>"To make Daal Shorba recipe, first wash the moong dal. Put this dal in a pressure cooker with water as per requirement and cook till 2 whistles. Let the pressure release automatically. Open the cooker, blend the dal with the help of a hand blender. Keep it aside. Heat oil in a pan. Add onion and garlic in it and cook till onion becomes soft. Add 2 cups of water along with mashed dal. Now add salt, turmeric powder, ginger powder, black pepper powder, red chili powder and mix. Cook for 2 to 3 minutes and keep stirring in between. After cooking, turn off the gas and add lemon juice to it. Keep it aside. For Tadka, heat oil in a Tadka pan. After the oil is heated, add cumin seeds and let it crackle. Turn off the gas. Add this tempering to the Daal Shorba and garnish with coriander leaves. Pour this Shorba in a bowl and garnish with cream and cumin seeds. Garnish. "</t>
  </si>
  <si>
    <t>http://www.archanaskitchen.com/dal-shorba-recipe-indian-style-lentil-soup-in-hindi</t>
  </si>
  <si>
    <t>1 cup lentils, 1/2 cup kidney beans, 1 onion, 2 tomatoes - make puree, 1 green chilli - chopped, 2 teaspoons coriander powder, 1 inch ginger, 1 teaspoon red chilli powder, 1 teaspoon garam masala powder, 1 inch cinnamon, 1 teaspoon cumin seeds, 1 teaspoon ginger - chopped straight and thin, 2 teaspoons ghee - or butter, salt - according to taste</t>
  </si>
  <si>
    <t>"To make Masoor Dal and Rajma Masala recipe, first wash the lentils and rajma and soak them in water overnight. Now put it in a pressure cooker with water and salt and cook till 3 to 4 whistles. Turn off the gas and let the pressure release automatically. Now put onion, ginger in a mixer grinder and grind it. Keep it aside. Now heat ghee in a pan. Add cinnamon, cumin seeds and cook for 15 seconds. Now add onion ginger paste and cook till it becomes brownish golden. Now add green chilli, tomato puree and cook for 2 minutes. After 2 minutes add coriander powder, red chilli powder, garam masala powder and cook for 3 to 4 minutes. Now add masoor dal, rajma, water as per requirement, salt and cook on low flame for 10 minutes. Turn off the gas and garnish with ginger. Serve. Masoor Dal and Rajma Masala Serve the recipe with Jeera Rice, Bhindi Masala and Phulkas for your daily dinner. "</t>
  </si>
  <si>
    <t>http://www.archanaskitchen.com/masoor-dal-aur-rajma-masala-recipe-in-hindi</t>
  </si>
  <si>
    <t>Sweet Corn, Methi &amp; Tomato Rice Recipe</t>
  </si>
  <si>
    <t>2 cups Cooked rice,2 Tomatoes - chopped,2 Onions - chopped,1 inch Garlic - chopped,4 cloves Garlic - chopped,1 cup Sweet corn,1 Green Chilli - chopped,2 cups Methi Leaves (Fenugreek Leaves) - washed and chopped,Salt - to taste,Sunflower Oil,1 teaspoon Cumin seeds (Jeera),1 inch Cinnamon Stick (Dalchini),1 Cardamom (Elaichi) Pods/Seeds,1 Star anise,1 Bay leaf (tej patta),1 teaspoon Turmeric powder (Haldi),2 teaspoons Coriander Powder (Dhania),2 teaspoons Garam masala powder,1 teaspoon Red Chilli powder</t>
  </si>
  <si>
    <t xml:space="preserve">To Begin making the Sweet Corn, Methi &amp; Tomato Rice Recipe, we will cook keep the rice cooked and ready. To know how to cook the rice in a pressure cooker please click on the link to “ To Cook Rice in Pressure Cooker” and follow the procedure.Heat a kadai with enough oil, add all the whole spice mentioned in the list like, bay leaf, cumin seeds, cardamom pods, cinnamon stick and star anise. Allow it to sizzle for few seconds.Add Onions, ginger and garlic and saute until they turn translucent. Allow the onions to turn golden brown and then add chopped tomatoes.Sprinkle with little salt and saute until they turn mushy. Add methi leaves and cook until the leaves wilt and turn bright green. Add sweet corn and all the spice powders mentioned above (turmeric powder, coriander powder, garam masala powder, red chilli powder)Cook the masala for 10 minutes atleast and add the cooked rice. Reduce the heat and toss the rice with the masala and check for salt. Adjust the seasonings accordingly and mix well. Once done switch off the heat and serve warm.Serve the Sweet Corn, Methi &amp; Tomato Rice Recipe along with Raw Mango Raita, salad by the side to make it a complete meal.
</t>
  </si>
  <si>
    <t>http://www.archanaskitchen.com/sweet-corn-methi-tomato-rice-recipe</t>
  </si>
  <si>
    <t>Paneer Bread Balls Recipe -Cottage Cheese &amp; Bread Croquettes</t>
  </si>
  <si>
    <t>250 grams Paneer (Homemade Cottage Cheese),2 Potatoes (Aloo) - boiled and mashed,4 Whole Wheat Brown Bread,1/2 teaspoon Cumin powder (Jeera),1 teaspoon Garam masala powder,1/2 teaspoon Black pepper powder,4 sprig Coriander (Dhania) Leaves - finely chopped,Salt - as required,Sunflower Oil - for cooking</t>
  </si>
  <si>
    <t xml:space="preserve">To begin making the Paneer Bread Balls Recipe, get all the ingredients ready. We will be using a Kuzhi Paniyaram Pan to make these Bread Rolls. But you can use an air fryer as well to make it even more healthy with little oil.Soak the bread in milk or water and squeeze the excess liquids out. In a large mixing bowl, add the paneer, potatoes, soaked bread and all the remaining ingredients except the oil.Combine all the ingredients well and knead well to make a dough like mixture.Check the salt and spices and adjust to suit your taste. Shape them into small bite size balls and keep aside.Preheat a Kuzhi Paniyaram Pan on medium heat, add a little oil in each of the cavities. Place the Paneer Bread Balls into the cavities and pan fry them by turning them around until golden brown and crisp on all sides. Once done, remove them on an oil absorbent paper and then serve.Serve Paneer Bread Balls it as an appetizer along with a A Greek Yogurt Dip or  Green Chutney  and some Masala Chai and your friends are family are sure to like it.
</t>
  </si>
  <si>
    <t>http://www.archanaskitchen.com/paneer-bread-balls-recipe-cottage-cheese-bread-croquettes</t>
  </si>
  <si>
    <t>Warqi Paratha Recipe</t>
  </si>
  <si>
    <t>4 cups All Purpose Flour (Maida),3/4 cup Ghee,Salt - to taste,2 teaspoons Sugar,1 cup Milk,1/3 cup Ghee - melted,Water - as required,All Purpose Flour (Maida) - to dust,Ghee - to shallow fry the parathas</t>
  </si>
  <si>
    <t xml:space="preserve">To begin making the Warqi Paratha Recipe, we need to make the dough first. In a mixing bowl, combine the all purpose flour along with the salt, sugar, ghee and milk.Mix well. To bring the dough together use just enough water and make the warqi dough ball, kneading well. Once you have a nice smooth warqi dough ball, cover with a wet muslin cloth and set aside for 30 minutes. After 30 minutes, place the warqi dough on a work surface and flatten the entire dough with your palms, dust some flour over the dough on both sides and begin to now flatten it with the rolling pin. Once you have a nice big rectangular shaped flattened dough, generously spread melted brush on the surface using a pastry brush. Now sprinkle some flour over it. We need to now fold the warqi dough. To do this, fold one end of the dough to the centre of the dough and yet brush ghee and sprinkle flour over it. Now fold the other side of the dough over lapping over the first fold to get one vertical rectangle. Once again brush ghee and sprinkle flour and fold into a square. Generously, dust with flour, transfer to a plate and allow it to rest in the refrigerator for 20 minutes. Now repeat the process twice,  from scratch by rolling this square dough into a rectangular dough sheet and fold like we did earlier, with layers of ghee and flour. Refrigerate the paratha after each folding process. Now roll out to medium thickness, by dusting it with flour, and cut using a cookie cutter or a cake ring. To cut the warqi parathas, dip the ring in the flour and  place over the flattened dough applying pressure. Preheat an iron tawa on medium- high heat. Rest the cut warqi parathas in the fridge for about 20 minutes. Place the warqi on preheated tawa.Cook the warqi for a minute on each side and then drizzle ghee generously and you will be able to see the layers from the edges. Now remove the warqi paratha from the tawa and transfer it on a paper towel, hold the warqi paratha in your palms and lightly crush it to see the layers. Serve Warqi Paratha along with Shahi Paneer Recipe, Creamy Dal Makhani Recipe, Pudina Pyaz Kachumber Salad Recipe - Mint &amp; Onion Salad, Kashmiri Pulao Recipe - Pulao Spiced With Saffron, Whole Spices &amp; Nuts, Coriander Tadka Raita Recipe. 
</t>
  </si>
  <si>
    <t>https://www.archanaskitchen.com/warqi-paratha-recipe</t>
  </si>
  <si>
    <t>Masoor Moong Phali Ki Dal Recipe</t>
  </si>
  <si>
    <t>3/4 cup masoor dal (split), 1/2 cup peanuts, 1 inch ginger - grated, 2 green chillies - chopped straight, 1 onion - finely chopped, 1 tomato - finely chopped, 1 bay leaf - broken, 1 tsp turmeric powder, 1 tsp garam masala powder, salt - according to taste, 1 tsp ghee, 1/2 tsp cumin seeds, 1 inch cinnamon - chopped, green coriander - a little, 1 tsp lemon juice</t>
  </si>
  <si>
    <t>"To make Masoor Peanut Dal Recipe, first prepare all the ingredients. Now heat oil in a pressure cooker. Add ginger, onion and cook till onion becomes soft. Add tomatoes, green chillies, bay leaves, masoor dal, peanuts, turmeric powder, garam masala powder, salt and mix well. Add 2-1/2 cups of water, mix well and close the cooker. Cook till 2 whistles and then cook on low flame for 4 to 5 minutes. Turn off the gas and let the pressure release automatically. Now heat ghee in a tadka pan. Add cumin seeds, cinnamon and cook for 10 seconds. Transfer the dal from the cooker to a serving bowl. Add the tadka, lemon juice and mix well. Garnish with coriander leaves and serve. Serve Masoor Peanut Dal Recipe with Spring Onion and Potato Sukhi Sabzi, Tomato Onion Tadka Raita and Phulkas for lunch. Serve it.</t>
  </si>
  <si>
    <t>http://www.archanaskitchen.com/masoor-moong-phali-ki-dal-recipe-masoor-dal-with-peanuts-recipe-in-hindi</t>
  </si>
  <si>
    <t>Egg Masoor Dal</t>
  </si>
  <si>
    <t>2 eggs, 1/2 cup masoor dal, 1/2 cup coconut milk - thick, 1 onion - finely chopped, 1 tomato - finely chopped, 3 green chilies - chopped, 1/4 cup mint - chopped, 1 teaspoon ginger garlic paste, 1/2 teaspoon turmeric powder, 1 teaspoon garam masala powder, 1/4 teaspoon cumin powder, 1 asafoetida - pinch, salt - according to taste, 1 teaspoon mustard seeds, 6 curry leaves</t>
  </si>
  <si>
    <t>"To make Egg Masoor Dal, first wash the masoor dal thoroughly. Now add 1-1/2 cup water and dal in a pressure cooker. Close the cooker and cook till 3 whistles. Close the cooker and let the pressure release automatically. Open the cooker and mash the dal. Keep it aside. Now heat 2 teaspoons oil in a pan. Add mustard seeds, curry leaves and cook for 15 seconds. After 15 seconds add spring onion, green chilly and cook for 2 minutes. After 2 minutes add tomatoes and cook till they become soft. After they become soft add mint leaves and mix. After 30 seconds add turmeric powder, garam masala and cumin powder. Mix and cook for 3 to 4 minutes. Now break eggs one by one and put them in the pan. Keep mixing till the eggs are cooked properly. After the eggs are cooked, add mashed dal, asafoetida and mix Once cooked, add 1/2 cup water and mix well. Cover the dal and let it cook for 5 minutes. Finally add coconut milk, salt and cook for 7 to 10 minutes. Serve hot. Serve Egg Masoor Dal with Aloo Amritsari and Tawa Paratha for lunch. "</t>
  </si>
  <si>
    <t>http://www.archanaskitchen.com/egg-masoor-dal-recipe-lentil-curry-with-eggs-in-hindi</t>
  </si>
  <si>
    <t>Quick Prawn Tikka Masala Recipe</t>
  </si>
  <si>
    <t>10 Prawns - cleaned (jumbo),1/2 teaspoon Lemon juice,1 tablespoon Red Chilli powder,Salt - to taste,1 tablespoon Ginger Garlic Paste,1/2 cup Hung Curd (Greek Yogurt),1/4 cup Fresh cream,2 Onions - chopped,3 Tomatoes - pureed,1 tablespoon Kashmiri Red Chilli Powder,Salt - to taste,1 teaspoon Turmeric powder (Haldi),1 teaspoon Cumin seeds (Jeera),1 tablespoon Garam masala powder,1 teaspoon Ginger Garlic Paste,1 tablespoon Butter,Sunflower Oil - as required,1 teaspoon Tandoori masala - (optional)</t>
  </si>
  <si>
    <t xml:space="preserve">To begin making the Quick Prawn Tikka Masala recipe, take a big bowl and add lime juice, salt, chilli powder and ginger garlic paste and mix everything.Add prawns and make sure that each piece is coated properly. Marinate for 15 to 20 minutes.Heat butter in a heavy bottomed pan and add the marinated prawns. Cook for about 4 to 5 minutes until they start looking slightly tender.Remember overcooking will spoil them. Keep the cooked prawns aside in another bowl.In the same pan, add 2 tablespoon oil and add cumin seeds. Once they start to sizzle, add chopped onions and saute for about 4-5 minutes until onions turn dark brown.Add ginger garlic paste, chilli powder, turmeric powder, salt and fry for one minute until the mix turns aromatic.Next add the pureed tomatoes to the pan and mix well. Cook on low flame for 3 to 4 minutes, until the mixture thickens.Now add cream, curd and garam masala. Mix well and let it cook on low flame.Finally add cooked prawns, tandoori masala powder and salt to taste.Serve hot and garnish with some onion circles and coriander leaves. Serve Quick Prawn Tikka Masala along with Steamed Rice and Beetroot Pachadi for a weekday lunch or dinner.
</t>
  </si>
  <si>
    <t>https://www.archanaskitchen.com/quick-prawn-tikka-masala-recipe</t>
  </si>
  <si>
    <t>Khatti Meethi Tinda Masala Recipe</t>
  </si>
  <si>
    <t>300 grams Tinda (Apple Gourd) - peeled and cut into wedges,1 teaspoon Ajwain (Carom seeds),1 Tomato - finely chopped,1 inch Ginger - grated,2 Green Chillies - slit,1/2 teaspoon Turmeric powder (Haldi),1/2 teaspoon Red Chilli powder,1/2 teaspoon Amchur (Dry Mango Powder),1 tablespoon Jaggery,Salt - to taste,1 teaspoon Sunflower Oil - for cooking,1 teaspoon Kasuri Methi (Dried Fenugreek Leaves) - for garnish</t>
  </si>
  <si>
    <t xml:space="preserve">To begin making the Khatti Meethi Tinda Masala Recipe, firstly first prepare all the ingredients and keep them ready by the side.Heat oil in the pressure cooker, add the ajwain seeds and allow it to crackle. Add the ginger and tomatoes and saute until the tomatoes soften.Add the cut tinda (apple gourd), and the remaining ingredients including green chillies, turmeric powder, red chilli powder, amchur, jaggery and salt except the kasuri methi. Add 1/4 cup of water, cover the pressure cooker, cook for three whistles and turn off the heat.Allow the pressure to release naturally. Once the pressure releases, open the cooker and stir in the kasuri methi.Check the salt and seasonings and adjust to suit your taste. Transfer to a serving bowl and serve warm.Serve the Khatti Meethi Tinda Masala along with Methi Thepla, Boondi Kadhi and Mango Pickle for a cosy sunday lunch or weeknight dinner. 
</t>
  </si>
  <si>
    <t>http://www.archanaskitchen.com/khatti-meethi-tinda-masala-recipe</t>
  </si>
  <si>
    <t>Masoor Moong Phali Ki Dal Recipe (Masoor Dal With Peanuts Recipe)</t>
  </si>
  <si>
    <t>3/4 cup Masoor Dal (Whole),1/2 cup Raw Peanuts (Moongphali),1 inch Ginger - grated,2 Green Chillies - slit,1 Onion - finely chopped,1 Tomato - finely chopped,1 Bay leaf (tej patta) - torn,1 teaspoon Turmeric powder (Haldi),1 teaspoon Garam masala powder,Salt - to taste,1 teaspoon Ghee,1/2 teaspoon Cumin seeds (Jeera),1 inch Cinnamon Stick (Dalchini) - broken,Coriander (Dhania) Leaves - a small bunch chopped,1 teaspoon Lemon juice</t>
  </si>
  <si>
    <t xml:space="preserve">To begin making the Masoor Moong Phali Ki Dal Recipe, first prep all the ingredients and keep them ready.Heat oil in the pressure cooker, add the ginger, onion and saute until the onions soften. Add the tomato, chilli, bay leaf, masoor dal, peanuts, turmeric powder, garam masala powder and salt to taste.Add 2-1/2 cups of water and pressure cook for 2 whistles. After the couple of whistles, turn the heat to low and simmer for 4 to 5 minutes. Turn off the heat and allow the pressure to release naturally.Heat ghee in a tadka pan for seasoning; add the cumin seeds, cinnamon and allow the flavors to infuse for a few seconds. Open the cooker, and transfer to a serving bowl. Stir in the chopped coriander leaves and the lemon juice. Check the salt and adjust to taste.Finally pour the seasoning and serve. Serve the Masoor Moong Phali Ki Dal along with Tawa Paratha, Cabbage Sabzi and Raita for a wholesome lunch or dinner.
</t>
  </si>
  <si>
    <t>https://www.archanaskitchen.com/masoor-moong-phali-ki-dal-recipe-masoor-dal-with-peanuts-recipe</t>
  </si>
  <si>
    <t>Mixed Vegetable Jalfrezi Recipe</t>
  </si>
  <si>
    <t>1 cup Carrot (Gajjar) - diced vetically,1 cup Green beans (French Beans) - chopped,1 Green Bell Pepper (Capsicum) - chopped,1/2 cup Sweet corn,1 cup Green peas (Matar),1 Onion,2 Tomatoes,1 teaspoon Ginger Garlic Paste,1/4 teaspoon Turmeric powder (Haldi),1/2 teaspoon Red Chilli powder,1 teaspoon Coriander Powder (Dhania),1/2 teaspoon Garam masala powder,1 tablespoon Kasuri Methi (Dried Fenugreek Leaves),Coriander (Dhania) Leaves - for garnishing,Salt - as required,1/2 teaspoon Sugar,1 teaspoon Cumin seeds (Jeera),2 teaspoon Sunflower Oil</t>
  </si>
  <si>
    <t xml:space="preserve">To begin making Mixed Vegetable Jalfrezi Recipe, wash all the vegetables and cut into thin strips. Chop onion lengthwise and prepare the tomato puree. In a kadai, add some oil. Once the oil is warm, add the ginger garlic paste and saute for a minute. The paste will splutter when added to oil, so place the stove on low-medium heat.Next, add chopped onions and saute until translucent.Once done add in the tomato puree and cook until the tomatoes turn mushy.After the tomatoes have turned soft add the turmeric powder, red chilli powder, coriander powder and garam masala powder to it. Saute until oil separates.Now add the chopped veggies and fresh green peas to it and saute for a minute. After a minute add salt and required water for cooking vegetables. Stir and cook covered until vegetables gets cooked well but not mushy. It has to retain its crunchiness.Switch off the flame. Add sugar and crushed kasuri methi to Mixed Vegetable Jalfrezi, and mix well. Transfer Mixed Vegetable Jalfrezi  into a serving bowl and garnish with coriander leaves. Serve Mixed Vegetable Jalfrezi along with Phulkas and Palak Raita for a weeknight dinner.
</t>
  </si>
  <si>
    <t>http://www.archanaskitchen.com/mixed-vegetable-jalfrezi-recipe</t>
  </si>
  <si>
    <t>Kaccha Kela Aur Bhindi Ki Sabzi Recipe</t>
  </si>
  <si>
    <t>300 grams ladyfinger - cut, 2 raw banana, 1 teaspoon turmeric powder, 1 teaspoon black pepper powder, 1/2 teaspoon asafoetida, 1 teaspoon dry mango powder, salt - according to taste, oil, 1/4 teaspoon red chili powder, 1/2 teaspoon garam masala powder, 1/2 teaspoon coriander powder</t>
  </si>
  <si>
    <t>"To make Raw Banana and Bhindi Sabzi Recipe, first of all we will make raw banana. First of all peel and cut the raw banana and keep it aside. Now put raw banana, 1/2 cup water, turmeric powder, salt in a pressure cooker and close the cooker. Cook till 3 whistles and turn off the gas. Open the cooker, keep the raw banana aside to cool. Now heat oil in a pan. Add cumin seeds, asafoetida and let them crackle. After the cumin seeds crackle, add ladyfinger, salt and cook till the ladyfinger becomes soft. It will take at least 10 minutes. After the ladyfinger is cooked, add raw banana, dry mango powder, black pepper powder, red chili powder, coriander powder, garam masala powder and cook for 4 to 5 minutes and turn off the gas. After 4 to 5 minutes turn off the gas and take it out in a serving bowl. Garnish with green coriander and Serve. Serve Raw Banana and Bhindi Sabzi Recipe along with Dal Palak, Bottle Gourd Raita and Phulkas for dinner. "</t>
  </si>
  <si>
    <t>https://www.archanaskitchen.com/kaccha-kela-aur-bhindi-ki-sabzi-recipe-raw-banana-ladies-finger-stir-fry-in-hindi</t>
  </si>
  <si>
    <t>Dhaba Style Egg Curry</t>
  </si>
  <si>
    <t>4 eggs - boil, oil - as per requirement, 1/2 tsp cumin seeds, 1/2 tsp mustard seeds, 1/4 tsp asafoetida, 3 cloves, 1 bay leaf, 1 big cardamom, 2 cardamoms, 7 dried red chillies, 1 tbsp ginger garlic paste, 1 onion - finely chopped, 2 tomatoes - puree, 1 tbsp curd, 1 tsp Kashmiri red chilli powder, 1/2 tsp turmeric powder, 1 tsp coriander powder, salt - as per taste, water - as per requirement, green coriander - a little</t>
  </si>
  <si>
    <t>"To make Dhaba style egg curry, first heat oil in a pan. Add dry red chillies and cook for 2 to 3 minutes. After it cools down, put it in a mixer grinder and grind it. Keep it aside. Now put some more oil in a pan. Add turmeric powder and boiled eggs in it. Fry it from all sides and keep it aside. Now heat oil in a pan. Add cumin seeds, mustard seeds, asafoetida, bay leaves, big cardamom, cardamom and cloves in it. After 20 seconds, add red chilli paste and let it cook for 30 seconds. After 30 seconds, add finely chopped onions and let it cook till they become soft. After they become soft, add ginger garlic paste and cook for 2 minutes. After 2 minutes, add Kashmiri red chilli powder, turmeric powder, coriander powder and salt. Let it cook for 3 to 4 minutes. After 3 to 4 minutes, add tomato puree and cook for 5 minutes Cook. After 5 minutes add curd and some water. Mix well, cover the pan and let it cook for 8 to 10 minutes. Once cooked, add eggs and mix well. Garnish with coriander leaves and serve hot. Serve Dhaba Style Egg Curry with Burani Raita and Tawa Paratha for lunch.</t>
  </si>
  <si>
    <t>https://www.archanaskitchen.com/dhaba-style-egg-curry-recipe-in-hindi</t>
  </si>
  <si>
    <t>Green Chutney Recipe</t>
  </si>
  <si>
    <t>1 cup coriander leaves - chopped, 1 cup mint leaves - chopped, 1/2 cup curry leaves, 1/4 cup peanuts - or almonds, 1 tablespoon ginger - chopped, 2 green chillies, 1 teaspoon sugar, 2 tablespoons lemon juice, salt - according to taste</t>
  </si>
  <si>
    <t>"To make Coriander Mint Chutney, first prepare all the ingredients. Put the ingredients in a mixer grinder. Add some water to it and grind it. Grind it well and put it in an air tight container. Serve Coriander Mint Chutney with Onion Pakora or Mirchi Pakora."</t>
  </si>
  <si>
    <t>http://www.archanaskitchen.com/dhaniya-pudina-chutney-recipe-in-hindi</t>
  </si>
  <si>
    <t>1 cup white urad dal, 1/4 cup water, 1 onion - chopped, 1 inch ginger - finely chopped, 1 green chilli - finely chopped, 1 tsp cumin seeds, 1/4 tsp asafoetida, 1/2 tsp turmeric powder, 1/2 tsp coriander powder, 1/2 tsp garam masala powder, salt - according to taste, 1 tsp ghee, 1 lemon - squeeze out the juice, green coriander - a little</t>
  </si>
  <si>
    <t>"To make dry urad dal recipe, first wash the urad dal thoroughly with water. Now soak the dal in water for 4 to 5 hours. After 4 to 5 hours, drain the water and keep the dal aside. Now put some water in a pressure cooker. Put a steamer pan in it and add the dal to it. Close the cooker and cook till 3 whistles. Turn off the gas and let the pressure release. Open the cooker and keep the dal aside. Now heat ghee in a pan. Add cumin seeds, asafoetida and cook till the cumin seeds crackle. After the cumin seeds crackle, add onion, ginger, green chili and cook till the onion becomes soft. Now add cooked urad dal, turmeric powder, salt, garam masala powder, coriander powder and mix well. Cover the pan and let it cook for 3 to 4 minutes. Now add lemon juice and mix. Garnish with green coriander and serve. Dry Urad Dal Serve the recipe with Gujarati Kadhi, Phulka and Aamras for lunch. "</t>
  </si>
  <si>
    <t>https://www.archanaskitchen.com/sukhi-urad-dal-sabzi-recipe-in-hindi</t>
  </si>
  <si>
    <t>Tangy Corn Tamatar Bharta Recipe</t>
  </si>
  <si>
    <t>1 cup Sweet corn - boiled,4 Tomatoes - ripe,1 Onion - finely chopped,1/2 cup Coriander (Dhania) Leaves - finely chopped,1 Green Chilli - finely chopped,1 teaspoon Ginger Garlic Paste,1 teaspoon Cumin seeds (Jeera),1/2 teaspoon Turmeric powder (Haldi),2 teaspoon Coriander Powder (Dhania),1 teaspoon Red Chilli powder,1 teaspoon Garam masala powder,1 tablespoon Butter,1 teaspoon Sunflower Oil,1 teaspoon Lemon juice,Salt - to taste</t>
  </si>
  <si>
    <t xml:space="preserve">To begin making Corn Tamatar Bharta Recipe, get prepped with all the ingredients.Heat a Kadai/Wok in medium flame, add butter and oil, once butter is melted add cumin seeds and let it splutter.Add the finely chopped onion and cook till it turns translucent.Add the finely chopped tomatoes and green chilli and cook until the tomatoes are well cooked and squishy.Next, add the dry spice powders - turmeric, coriander, and garam masala powder, and sauté until the butter leaves the sides.Now, add the boiled sweet corn and season with salt.At this stage, you can add a little water to the pan depending on the consistency you like for the bharta.Add the finely chopped coriander leaves and simmer for 2 minutes.Switch off the flame, add the lemon juice and mix well.Serve the Corn Tamatar Bharta Recipewith light Phulkas for dinner along with Chanar Dalna Recipe (Bengali Style Paneer &amp; Potato Gravy) and steamed rice to make it a complete meal.
</t>
  </si>
  <si>
    <t>https://www.archanaskitchen.com/tangy-corn-tamatar-bharta-recipe</t>
  </si>
  <si>
    <t>Delicious Dal Makhani Recipe Without Onion and Garlic (Jain)</t>
  </si>
  <si>
    <t>1 cup Black Urad Dal (Whole),1/2 cup Rajma (Large Kidney Beans),1 teaspoon Cumin seeds (Jeera),1-1/2 cup Homemade tomato puree,1 teaspoon Kashmiri Red Chilli Powder,2 tablespoons Fresh cream,2 tablespoons Butter,1 cup Milk,2 teaspoon Garam masala powder,1/2 teaspoon Cardamom Powder (Elaichi),1 teaspoon Kasuri Methi (Dried Fenugreek Leaves)</t>
  </si>
  <si>
    <t xml:space="preserve">To begin making the Dal Makhani Recipe without Onion and garlic, soak black lentil and rajma overnight in water or at least 8 hours.Take a pressure cooker, put in it the soaked dal then add 1 cup milk, 2 cups water, and garam masala, cardamom powder, salt, chili powder. Allow it to cook for 5 to 6 whistles. After 5 to 6 whistles, turn the heat to low and allow it to cook on low heat for another 20 to 25 minutes. After about 25 minutes, turn off the heat.Allow the pressure to release naturally. In a heavy bottomed pan, heat 2 tablespoons butter over medium heat, add the cumin seeds and allow it to crackle. Pour the tomato puree in the next step, when tomato is well cooked, add the cooked dal makhani into this mixture. Check the salt and spices and adjust to suit your taste.Stir the No onion no garlic dal makhani well, until it forms a creamy mixture. You can also lightly mash it. Finally stir in the cream and simmer on low heat for another 5 minutes and turn off the heat. Serve the Delicious Dal Makhani Recipe without Onion and Garlic along with Naan, Tandoori Paneer Tikka Masala Recipe and a Raita for a delectable weekend lunch or dinner.
</t>
  </si>
  <si>
    <t>http://www.archanaskitchen.com/delicious-dal-makhani-recipe-without-onion-and-garlic</t>
  </si>
  <si>
    <t>Dahi Suran Ki Kadhi Recipe</t>
  </si>
  <si>
    <t>300 grams yam - peel and chop, 1 tablespoon gram flour, 1/2 cup curd, 1/2 teaspoon mustard, 1/4 teaspoon fenugreek, 1/2 teaspoon turmeric powder, 1/2 teaspoon red chili powder, 1/2 teaspoon coriander powder, 1/2 teaspoon whole black pepper - crush, 1 inch cinnamon, 1 bay leaf, salt - according to taste, oil - according to use</t>
  </si>
  <si>
    <t>"To make Dahi Suran ki Kadhi, first of all put Suran in a pressure cooker with 1/2 cup water, salt and let it cook till 4 whistles. Let the pressure release on its own and keep it aside. Now put curd and 2 soups water in a saucepan. Add gram flour and mix well. Mix well so that the curd is not visible and let it boil. Now add salt, red chili powder, turmeric powder, coriander and let it cook on low flame. After 6 to 8 minutes add Suran and cook for 3 more minutes. Now for tempering, take a pan and add cumin seeds, cinnamon, bay leaves, fenugreek and black pepper. After 30 seconds, add this to the curry and mix. Serve hot. Serve Dahi Suran ki Kadhi with Masala Bhindi and Phulka for lunch."</t>
  </si>
  <si>
    <t>https://www.archanaskitchen.com/dahi-suran-ki-kadhi-recipe-yam-cooked-in-yogurt-curry-recipe-in-hindi</t>
  </si>
  <si>
    <t>Delicious One Pot Butter Chicken Khichdi Recipe</t>
  </si>
  <si>
    <t>2 tablespoons Butter,1 Bay leaf (tej patta),4 Whole Black Peppercorns,1 teaspoon Cumin seeds (Jeera),1 Cardamom (Elaichi) Pods/Seeds,1 Star anise,2 cloves Cloves (Laung),1 inch Cinnamon Stick (Dalchini),2 inch Ginger - finely chopped,2 Green Chilli - slit length ways,6 cloves Garlic - crushed,1 Onion - thinly sliced,1 Tomato - finely chopped,¼ cup Homemade tomato puree,¼ cup Curd (Dahi / Yogurt),1 cup Chicken breasts - cut into strips,2 teaspoons Kasuri Methi (Dried Fenugreek Leaves),Salt - to taste,2 teaspoons Red Chilli powder,2 teaspoons Tandoori chicken masala - Everest brand,2 teaspoons Cumin powder (Jeera),2 teaspoons Garam masala powder,1 cup Rice - washed,3 1/2 cups Water,Coriander (Dhania) Leaves - finely chopped for garnish,Mint Leaves (Pudina) - finely chopped for garnish</t>
  </si>
  <si>
    <t xml:space="preserve">To begin making the One Pot Butter Chicken Khichdi, wash the chicken well, drain and cut into long strips. In a pressure cooker, heat butter on low flame, add in the whole spices including bay leaf, cumin seeds, cardamom, star anise, cloves and cinnamon.  Add in the ginger, garlic and green chilies and saute for a few seconds, now add in the sliced onions.Continue to cook the sliced onions until they turn translucent, then add in the chopped tomatoes and tomato puree, cover and cook for a couple of minutes.After a couple of minutes mix in the spices- red chilli powder, tandoori chicken masala, cumin powder, garam masala, and coriander powder. Cover and let it cook for about 2 to 3 minutes.Open the lid,turn the flame to low, add in the yogurt and chicken pieces, and saute this butter chicken mixture. Let it cook for about 3 to 4 minutes.Finally, add the washed and drained rice, water and chopped coriander, mint leaves and close the pressure cooker.Pressure cook the One Pot Butter Chicken Khichdi for 3 whistles and turn off the heat.Allow the pressure to release naturally. Serve the Butter Chicken Khichdi hot along with a dollop of butter or gheeServe this One Pot Butter Chicken Khichdi Recipe with Tomato Onion Tadka Raita and Papad for a special dinner.
</t>
  </si>
  <si>
    <t>https://www.archanaskitchen.com/one-pot-butter-chicken-khichdi-recipe</t>
  </si>
  <si>
    <t>Punjabi Sabut Moong Ki Dal Recipe</t>
  </si>
  <si>
    <t>1 cup green moong dal, 2 onions - chopped, 2 tomatoes - chopped, 1 inch ginger - grated, 4 cloves garlic - chopped, 2 green chillies, 1 tsp oil, 1 tsp cumin seeds, 1/4 tsp garam masala powder, salt - according to taste, 1/2 tsp turmeric powder, 1 tsp ghee, 1/2 tsp Kashmiri red chilli powder, green coriander - chopped</t>
  </si>
  <si>
    <t>"To make Punjabi Whole Moong Dal recipe, first wash the green moong dal thoroughly and soak it for 3 to 4 hours. Now put the dal in a pressure cooker along with 3 cups of water, salt, turmeric powder and close the cooker. After 1 whistle, reduce the flame and cook for 6 minutes. Turn off the gas and let the pressure release. Open the cooker and keep it aside. Now heat oil in a pan. Add cumin seeds and let it crackle. Now add onion, green chili, garlic and cook till the onion turns brown. After the onion turns brown, add tomatoes and cook till they become soft. Now add cooked dal and cook for 2 to 3 minutes. For the tempering, heat ghee in a tempering pan. Add Kashmiri red chili powder and cook for 30 seconds. Add this tempering to the dal along with lemon juice and mix well. Garnish with green coriander and Serve. Serve Punjabi Whole Moong Dal Recipe along with Sev Tomato Sabzi, Lauki Raita and Phulkas for dinner. "</t>
  </si>
  <si>
    <t>https://www.archanaskitchen.com/punjabi-sabut-moong-ki-dal-recipe-whole-green-lentils-cooked-with-punjabi-spices-in-hindi</t>
  </si>
  <si>
    <t>Cheesy Aloo Paratha</t>
  </si>
  <si>
    <t>1 cup wheat flour, 1 tsp oil, 1/4 tsp salt, water - as per requirement, 2 potatoes - boiled, 1 tsp oil, 1 dry red chilli - broken, 1/2 tsp cumin seeds, asafoetida - a pinch, 1 green chilli - finely chopped, 1 inch ginger - grated, 1 onion - finely chopped, 1/4 tsp turmeric powder, 1/2 tsp coriander powder, 1/2 tsp cumin powder, 1/2 tsp garam masala powder, 1/2 tsp chaat masala powder, 1/4 cup cheese - grated, 4 leaves coriander - finely chopped, salt - according to taste</t>
  </si>
  <si>
    <t>"To make Cheesy Aloo Paratha, first of all take a big bowl. Add flour, salt, oil, water and knead it. Cover it with a lid and keep it aside for 15-20 minutes. After this we will prepare the masala for the filling. Put potatoes in a pressure cooker with water and salt and cook till 3 whistles. After this, peel it and mash it. Now heat oil in a pan. Add dry red chilies and cumin seeds in it. After 10 seconds add asafoetida, finely chopped onion, green chilies, ginger and salt. Cook till the onion becomes soft. Now add mashed potatoes, turmeric powder, coriander powder, cumin powder, garam masala powder, chaat masala, salt in this masala and cook for 3 to 4 minutes. Lastly add grated cheese, coriander leaves and mix well. Before making parathas, knead the dough once again. And make small balls from this dough. Add some flour Sprinkle and make a small roti. Put the masala in the centre and close it from all the sides. Press the centre and start rolling it into the roti. Roll slowly so that the masala does not come out. Now heat a tawa and place the paratha on it. Apply ghee or oil and cook well from both the sides and serve hot. Serve Cheesy Aloo Paratha hot with Boondi Raita, Tadka Raita or any other raita. "</t>
  </si>
  <si>
    <t>http://www.archanaskitchen.com/cheesy-aloo-paratha-recipe-in-hindi</t>
  </si>
  <si>
    <t>Dahi Gujiya Recipe</t>
  </si>
  <si>
    <t>1 cup White Urad Dal (Split),3 cups Hung Curd (Greek Yogurt),1/3 cup Cumin powder (Jeera),1/3 cup Black pepper powder,Salt - to taste,Sunflower Oil,1 liter Water,1 teaspoon Enos fruit salt - or cooking soda,1 tablespoon Sugar,1/2 cup Green Chutney (Coriander &amp; Mint),1/2 cup Sweet Chutney (Date &amp; Tamarind),1 teaspoon Red Chilli powder,1 teaspoon Black Salt (Kala Namak),2 teaspoon Sugar</t>
  </si>
  <si>
    <t xml:space="preserve">To begin with Dahi Gujiya, firstly soak urad dal for 4 hours. Drain all the water after soaking and using a mixer grind it into a thick paste. Do not add any water while grinding.The consistency of the batter can be slightly coarse, but make sure the batter is thick. Transfer the batter to a bowl. Add about 1 teaspoon of salt to the batter and blend the batter with your hands for about 10 minutes. This will make the batter soft and fluffy and the gujiyas will turn nice, soft and fluffy. If your batter turns too runny or if you do not whisk the batter with your hands the gujiyas will not turn soft.Heat oil for deep frying in a deep fry pan. Take a small plastic sheet and rub it with water. Wet your fingers with water. Take a small lemon sized ball batter, roll it into round shape and then place it on wet plastic sheet. Flatten it into 3-1/2 inch diameter circle.Sprinkle some roasted cumin powder, crushed peppercorns and grated ginger (if you are using). Fold the circle into half holding onto the plastic sheet.Carefully pull the plastic sheet making sure the shaped gujiyas don’t break. Place the gujiyas on your wet palm and now pull off the plastic sheet from the other side of the gujiyas.Carefully drop the gujiyas in hot oil and deep fry until golden brown on both sides. Make sure the flame is on medium low.Into a wide bowl, add 1-litre water, Enos fruit salt/cooking soda and sugar. Mix everything well and keep it aside.Once the gujiyas turn golden brown, transfer the gujiyas into the water bowl. Repeat for rest of the batter.Let the fried gujiyas soak in water for good 1 to 2 hours.After 1-2 hours, remove the soaked gujiyas from water, keep it between your palm and gently press it to squeeze out the water.Place the gujiyas on serving plates. Pour a good amount of whisked curd over the gujiyas, sprinkle some red chili powder, black salt, a little sugar, roasted cumin powder and few teaspoons of tamarind and mint chutney and it is ready to be served.Serve Dahi Gujiya as a wonderful festival snack during Holi or Diwali along with a cup of Thandai or Adrak Chai/ Ginger Tea
</t>
  </si>
  <si>
    <t>https://www.archanaskitchen.com/dahi-gujiya-recipe</t>
  </si>
  <si>
    <t>Oats Apple Phirni Recipe</t>
  </si>
  <si>
    <t>1/2 cup Instant Oats (Oatmeal),2 Apple,2 cups Milk,3 teaspoons Sugar,2 Cardamom (Elaichi) Pods/Seeds,2 teaspoons Pistachios</t>
  </si>
  <si>
    <t xml:space="preserve">To begin making the Oats Apple Phirni recipe, take oats in a blender and powder it coarsely. Keep it aside.Next, wash the apples, remove seeds and grate it.Boil milk in a sauce pan. Once it starts boiling, simmer the flame, add coarsley powdered oats and sugar.Cook stirring continuously until it becomes thick like porridge. Switch off, add grated apples and crushed cardamom.Stir and mix together. Allow it to cool, transfer into small earthen pots and garnish with pistachios.Refrigerate for an hour and serve chilled. Serve Oats Apple Phirni as a dessert after a simple lunch meal of Gujarati Kadhi, Aloo Bhindi Sabzi and Methi Thepla for a Sunday lunch.
</t>
  </si>
  <si>
    <t>http://www.archanaskitchen.com/oats-apple-phirni-recipe</t>
  </si>
  <si>
    <t>Fusion Spinach Parathas With Onion Tomato Salsa Recipe</t>
  </si>
  <si>
    <t>1-1/2 cup Whole Wheat Flour,2 cups Spinach Leaves (Palak) - pureed,1-1/2 teaspoon Salt,1/2 teaspoon Ginger Garlic Paste,1/2 teaspoon Green Chilli Paste,2 teaspoon Mixed Herbs (Dried),1/2 teaspoon Dried oregano,1/2 teaspoon Cumin powder (Jeera),1/2 cup Milk,2 tablespoon Parsley leaves - chopped finely,1/2 cup Extra Virgin Olive Oil - (more if required),1/2 cup Cheddar cheese - shredded,1 Onion,1 Tomato,2 Green Chillies,Coriander (Dhania) Leaves - Few sprigs,1 teaspoon Lemon juice,1/2 teaspoon Cumin powder (Jeera),Salt - to taste</t>
  </si>
  <si>
    <t xml:space="preserve">To begin with Fusion Spinach Parathas With Onion Tomato Salsa, firstly mix ginger garlic paste, green chili paste, salt, dried oregano, mixed herbs, cumin powder, chopped parsley and spinach puree into the wheat flour.Knead the flour into a soft dough adding milk as per needed. Smear the dough with olive oil and cover it with a cling wrap. Keep aside for 20 minutes.Take the dough and divide into equal 10 portions. Roll out each portion like a chapati and shallow fry in a pan with olive oil until well cooked.Sprinkle shredded cheddar cheese on top.The next step is to make the salsa. Chop onion, tomato, green chili and coriander leaves very finely.Mix all the above chopped veggies. Then add salt, lemon juice and cumin powder to it. Mix it properly and your salsa is ready.Serve Fusion Spinach Parathas With Onion Tomato Salsa with Lauki Raita or any other raita of your choice on the side. Instead of Onion Tomato Salsa, you can also have it with Dhaniya Pudina Chutney.
</t>
  </si>
  <si>
    <t>http://www.archanaskitchen.com/fusion-spinach-parathas-with-onion-tomato-salsa-recipe</t>
  </si>
  <si>
    <t>Capsicum Curry Recipe</t>
  </si>
  <si>
    <t>2-1/2 Red Yellow or Green Bell Pepper (Capsicum) - 1 green,2 Onion - finely chopped,2 Tomatoes - finely chopped,2 Green Chillies - chopped,5 Garlic - chopped,1 Bay leaf (tej patta),1 teaspoon Coriander (Dhania) Seeds - coarsely pounded,5 Whole Black Peppercorns,1-1/2 tablespoon Cashew nuts - chopped,1-1/2 tablespoon Peanut Butter - chopped,1/2 teaspoon Red Chilli powder,1 teaspoon Garam masala powder,1 tablespoon Kasuri Methi (Dried Fenugreek Leaves)</t>
  </si>
  <si>
    <t xml:space="preserve">To begin making Capsicum Curry, firstly add 2 tablespoon oil in a pan and saute the cubed capsicum for a few minutes. Do not over-fry the capsicum and let it be a bit crispy. Remove them from the pan and keep aside into a separate plate.In the same pan, roast the cashew-nuts and peanuts for about 2 minutes. Switch off the gas and let the nuts cool down. After cooling, powder the roasted nuts by adding them to a grinder. Remove and keep it aside in a separate bowl.Heat a kadhai and add 1 tablespoon oil. After the oil gets heated, add bay leaf and coriander seeds and fry them for 1 minute.Add chopped onions and fry them till onions turns pinkish. Now add chopped garlic and fry till the raw smell of garlic goes away.Add chopped green chilies and tomatoes and fry them till the tomatoes turn mushy. Switch off the gas.After cooling, add the onion-tomato mixture to the grinder and make a thick gravy by adding 1/4 cup water.Now again, heat the kadhai and add 1 teaspoon oil. Then pour the gravy and saute it for about 5 minutes.Mix the powdered nuts into the gravy and mix it properly. Once it is done, add the garam masala and red chilli powder.Add the fried capsicum and stir well. If the gravy is very thick, add 1/2 cup water and simmer it for about 10-15 minutes.Add salt according to your taste and garnish it with kasuri methi and chopped capsicum.Serve Capsicum Curry with Phulkas or Whole Wheat Lachha Paratha and Burani Raita.
</t>
  </si>
  <si>
    <t>http://www.archanaskitchen.com/capsicum-curry-recipe</t>
  </si>
  <si>
    <t>Falahari Rajgira Aloo Tikki Recipe (Gluten Free Amaranth Potato Patty)</t>
  </si>
  <si>
    <t>6 Potatoes (Aloo) - boiled and peeled,150 grams Rajgira Flour (Amaranth Flour),2 Green Chilli - chopped,2 teaspoon Ginger - grated,1/4 cup Coriander (Dhania) Leaves - chopped,Rock Salt - to taste,1/2 teaspoon Cumin seeds (Jeera),1/2 teaspoon Red Chilli powder,1 teaspoon Coriander Powder (Dhania),1 teaspoon Garam masala powder,Sunflower Oil - as required</t>
  </si>
  <si>
    <t xml:space="preserve">To begin making the Falahari Rajgira Aloo Tikki Recipe, first get all the ingredients ready and the potatoes boiled and peeled as well.In a mixing bowl add all ingredients except oil. Mash the potatoes and mix all ingredients together for the tikki to make a dough like consistency.Take a handful of dough in hand, make a roll and press in between palms to give the tikki a circular disc shape. Proceed the same way to make shapes with the remaining Rajgira Tikki mixture.Heat oil in a heavy bottomed skillet, add 3-4 tikkis at a time and cook the Rajgira Aloo Tikki on medium heat until cooked through and crisp golden brown in color on both sides.You can additionally drizzle a little more oil on the top to make the tikkis little more crisp and tasty from the outside. Once done, drain the Rajgira Aloo Tikki on paper towels and serve warm.Serve the delicious Rajgira Aloo Tikki along with Green Chutney and a Yogurt Dip for tea parties or even pack them as a snack box for the kids school.
</t>
  </si>
  <si>
    <t>http://www.archanaskitchen.com/falahari-rajgira-aloo-tikki-recipe-gluten-free-amaranth-potato-patty</t>
  </si>
  <si>
    <t>Paneer Makhani</t>
  </si>
  <si>
    <t>250 gms paneer - home made, 2 cups tomato puree, 1/4 cup cream - (Amul cream is used here), 1 onion - chopped, 1 inch ginger, 3 cloves garlic -, 1 tsp cardamom powder, 1 tsp turmeric powder, 1/2 tsp cumin powder, 1/2 tsp garam masala powder, 1/2 tsp red chilli powder, 1 tbsp kasuri methi, 2 tsp honey, salt - according to taste, oil - for cooking</t>
  </si>
  <si>
    <t xml:space="preserve">To make paneer makhani, first of all prepare tomato puree for making paneer makhani. Now make a paste of onion, garlic and ginger in a grinder. Now heat oil in a pan, fry the onion paste in it till it is cooked well. Now add turmeric powder, cumin powder, cardamom powder, garam masala and fry well for 2 minutes. Now when it is cooked well, add tomato puree or tomato paste to it and cook till it boils. When onion and tomato paste and other spices are cooked, add cream, red chili powder, salt, kasuri methi and paneer to it and mix. Let it cook for 3 to 5 minutes. When it is cooked, taste the spices and salt according to your taste. Now take out paneer makhani in a serving bowl. You can serve this spicy delicious paneer makhani with naan or kulcha and burani raita Is.
</t>
  </si>
  <si>
    <t>http://www.archanaskitchen.com/paneer-makhani-recipe-in-hindi</t>
  </si>
  <si>
    <t>North Indian Style Green Raw Papaya Curry Recipe</t>
  </si>
  <si>
    <t>500 grams Raw papaya,1 Onion - chopped,1 Tomato - chopped,1 inch Ginger - chopped,4 cloves Garlic - chopped,1 teaspoon Fennel seeds (Saunf),1 teaspoon Red Chilli powder,1 1/2 teaspoon Coriander Powder (Dhania),1/4 teaspoon Turmeric powder (Haldi),2 sprig Coriander (Dhania) Leaves - chopped,Salt - to taste,Sunflower Oil</t>
  </si>
  <si>
    <t xml:space="preserve">To begin making the North Indian Style Green Raw Papaya Curry Recipe, we heat up the pressure cooker with oil.Add fennel seeds and allow it to crackle. Add ginger and garlic and saute until it softens.Add onions and saute them till they turn translucent. You can add chopped tomatoes and sprinkle little salt and keep sautéing until the tomatoes become mushy.Add all the reaming spice powders and give it a stir. Finally add chopped green papaya, salt and about 1 cup of water, give one last stir. Close it with the lid.Pressure cook for at least 3 whistle and turn it off. Allow the pressure to release naturally and open the lid, add coriander leaves and give it a stir and serve hot. Serve the North Indian Style Green Raw Papaya Curry Recipe along with Tawa Paratha or Phulka along with Raitha.
</t>
  </si>
  <si>
    <t>https://www.archanaskitchen.com/north-indian-style-green-raw-papaya-curry-recipe</t>
  </si>
  <si>
    <t>Creamy Phirni Recipe - North Indian Rice Pudding</t>
  </si>
  <si>
    <t>250 grams Milk - full cream,1/2 cup Rice - soaked in water for at least 3 hours,2 Cardamom (Elaichi) Pods/Seeds - crushed,1 cup Sugar - adjustable,2 tablespoons Badam (Almond) - thinly sliced</t>
  </si>
  <si>
    <t xml:space="preserve">To begin making the Creamy Phirni recipe, drain the soaked rice and add it to a mixer grinder. Grind the rice coarsely in a grinder by adding a little water or milk. The texture should be of fine grains and should not become a paste.Boil milk in a heavy bottomed pan.Once it starts boiling, add green cardamom into the milk.  Add sugar in the boiling milk and then add rice into it. Stir continuously it for at-least 20 minutes or till the rice gets cooked and the mixture turns slighlty thick.When it starts getting thick, turn off the heat and let the phirni cool properly.Pour the creamy phirni in kullads (earthen pots), top with pistachios and cover the pots. Keep it in fridge for 2 to 3 hours. Now take it out, garnish it with sliced almonds or pistachios and serve it chilled.Serve Creamy Phirni as a dessert after your scrumptious meal or make it during Ramadan to celebrate the festival.Serve Creamy Phirni with delicious meal of Aloo Gobi Ki Sabzi, Ajwain Puri and Boondi Raita on a weekend for brunch or a meal.
</t>
  </si>
  <si>
    <t>https://www.archanaskitchen.com/creamy-phirni-recipe</t>
  </si>
  <si>
    <t>Bhindi Masala Gravy Recipe</t>
  </si>
  <si>
    <t>250 gms lady finger - cut into thin and straight pieces, 1 onion - cut into pieces, 1 inch ginger, 5 cloves garlic, 2 green chillies - cut into pieces, 2 cloves, 1 cardamom, 1 inch cinnamon, 1 mace, 3 tomatoes - cut into pieces, 2 tbsp curd, 1 tbsp kasuri methi, 1 bay leaf, 1/2 tsp turmeric powder, 1/2 tsp red chilli powder, 1 tsp coriander powder, oil - as per requirement, salt - as per taste</t>
  </si>
  <si>
    <t>"To make Bhindi Masala recipe, first wash and clean the Bhindi thoroughly. After drying the Bhindi, cut the top part of the Bhindi and make four cuts till the bottom. Be careful not to cut it completely. Now heat oil in a pan. Add Bhindi, salt and cook till the Bhindi is cooked. Cover the pan and cook till the Bhindi becomes soft. Turn off the gas and keep it aside. To make gravy, first put a tomato in a mixer grinder with some water and make a puree. Keep it aside. Now put garlic, onion, ginger, green chilli, clove, cardamom, cinnamon in a mixer grinder and make a paste. Keep it aside. Now heat oil in a pan. Add bay leaves and cook for 10 seconds. After 10 seconds add onion ginger paste and cook for 2 to 3 minutes. After 3 minutes add Bhindi, increase the flame and cook for 1 more minute Now add kasuri methi, mix it and turn off the gas. Garnish with coriander leaves and serve. Serve Bhindi Masala recipe with Dal Makhani, Boondi Raita and Phulkas for lunch. "</t>
  </si>
  <si>
    <t>https://www.archanaskitchen.com/bhindi-masala-gravy-recipe-ladies-finger-in-tomato-onion-gravy-in-hindi</t>
  </si>
  <si>
    <t>Singhara Pulao Recipe - Water Chestnut Mixed Rice</t>
  </si>
  <si>
    <t>300 grams Singhade (water chestnut) - pressure cooked and skin peeled,2 cups Cooked rice,1 Bay leaf (tej patta),1 Star anise,2 Cloves (Laung),2 teaspoon Cumin seeds (Jeera),1 teaspoon Turmeric powder (Haldi),Salt - to taste,2 teaspoon Black pepper powder,Sunflower Oil,2 sprig Coriander (Dhania) Leaves - chopped</t>
  </si>
  <si>
    <t xml:space="preserve">To begin making the Singhara Pulao Recipe (Water Chestnut Rice Recipe), keep the cooked rice ready.Pressure cook the water chestnuts with water for at least 8 whistles and allow it to rest for few seconds until it releases pressure naturally.Once done, take the water chestnuts out and peel off the black skin and keep the see aside. Chop them into half.In a kadai, heat some oil, add cumin seeds, bay leaf, cloves and star anise and allow it to sizzle.Add in cooked water chestnuts, salt to taste, turmeric powder and pepper powder. Saute until they are well combined. This will take about 2 minutes.After 2 minutes, add the cooked rice and toss it over gently until the rice is coated evenly and serve hot by sprinkle some chopped coriander leaves on top.Serve the Singhara Pulao Recipe along with a Palak Makhana Recipe and Makhana Moongphali Ki Kadhi to make it a complete meal.
</t>
  </si>
  <si>
    <t>http://www.archanaskitchen.com/singhara-pulao-recipe-water-chestnut-rice-recipe</t>
  </si>
  <si>
    <t>2 cups mint - chopped, 3 cloves garlic, 1 inch ginger - chopped, 1 green chilli - chopped, 1 tablespoon peanuts, salt - according to taste, 1 teaspoon sugar, 3/4 teaspoon lemon juice</t>
  </si>
  <si>
    <t>"To make Garlic Mint Chutney Recipe, first take a mixer grinder and add mint, garlic, ginger, green chillies, peanuts, salt, sugar, lemon juice and grind it. Now add some water and grind again. Do not add too much water, we need thick chutney so add little water. Take it out in a bowl and serve. Serve Garlic Mint Chutney Recipe with Aloo Paratha and Tadka Raita for dinner. "</t>
  </si>
  <si>
    <t>http://www.archanaskitchen.com/lehsuni-pudina-chutney-recipe-in-hindi</t>
  </si>
  <si>
    <t>Palak And Moong Dal Pakoda</t>
  </si>
  <si>
    <t>1 cup green moong dal - soak for 2 hours, 1 cup spinach - finely chopped, 1 onion - finely chopped, 1 green chilli - finely chopped, 1 teaspoon celery, 1 tablespoon coriander seeds - grind, 1/2 teaspoon red chilli powder, 1/2 teaspoon garam masala powder, 1/4 teaspoon turmeric powder, 1/2 teaspoon cumin powder, 1 teaspoon lemon juice, salt - according to taste, oil - for frying</t>
  </si>
  <si>
    <t>"To make Spinach and Moong Dal Pakoda, first wash the moong dal and soak it in water for 2 hours. After soaking, put it in the mixer grinder and make a paste. Take it out in a bowl. Now whisk this mixture well for some time with the help of a whisk. Now add spinach, onion, green chili, celery, coriander seeds, red chili powder, garam masala powder, turmeric powder, cumin powder, salt and mix well. Heat oil in a pan. After the oil is heated, put the pakodas made from the mixture in it. Let it cook for 2 minutes. After cooking from one side, turn the pakodas to the other side and cook till they become golden brown. Take out the pakodas on a kitchen towel so that excess oil drains out. Serve hot. Serve Spinach and Moong Dal Pakoda with tamarind chutney and masala tea for evening snack."</t>
  </si>
  <si>
    <t>https://www.archanaskitchen.com/palak-and-moong-dal-pakodas-recipe-in-hindi</t>
  </si>
  <si>
    <t>Bhindi Masala Recipe</t>
  </si>
  <si>
    <t>350 grams ladyfinger, 1 onion - thinly sliced, 2 tomatoes - finely chopped, 1 teaspoon turmeric powder, 1 teaspoon coriander powder, 1 teaspoon red chili powder, salt - according to taste</t>
  </si>
  <si>
    <t>"To make Bhindi Masala Recipe, first cut the edges of ladyfinger and cut them into thin 1-inch slices. Heat oil in a pan. Add onion and cook till onion becomes soft. Add ladyfinger, salt and cook till ladyfingers become soft. It will take at least 10 minutes. After 10 minutes add tomatoes and cook till tomatoes become soft. After tomatoes become soft, add turmeric powder, red chili powder, coriander powder, salt and mix well. Mix well and cook for 3 to 4 minutes. Turn off the gas and serve. Serve Bhindi Masala Recipe with Panchmel Daal, Lauki Raita and Phulka for lunch."</t>
  </si>
  <si>
    <t>http://www.archanaskitchen.com/bhindi-masala-recipe-bhindi-tamatar-ki-sabzi-in-hindi</t>
  </si>
  <si>
    <t>Spinach Foxtail Millet Dhokla Recipe</t>
  </si>
  <si>
    <t>1 cup Foxtail Millet - ground,1 cup Gram flour (besan),1 cup Curd (Dahi / Yogurt),1 teaspoon Enos fruit salt - or 1/2 teaspoon baking powder,1 tablespoon Sunflower Oil,1 teaspoon Sunflower Oil - for seasoning,1 sprig Curry leaves - finely chopped,1 teaspoon Mustard seeds,1 tablespoon Sesame seeds (Til seeds),2 sprig Coriander (Dhania) Leaves - finely chopped,Salt - to taste,2 cups Spinach,1 Green Chilli,1 inch Ginger,1 teaspoon Cumin seeds (Jeera)</t>
  </si>
  <si>
    <t xml:space="preserve">To begin making the Spinach Foxtail Millet Dhokla Recipe, Prepare a dhokla steamer, fill with water and grease the dhokla plates. Keep aside.Grind the spinach, cumin seeds, green chilli and ginger in a mixer and add some water to make it into a smooth puree.Combine the foxtail millet flour, besan, spinach puree, yogurt and a little salt in a large mixing bowl. Add a little water at a time to make a thick batter (approximately 1- 1/2 cups). Allow the mixture to rest for 5 minutes. Stir in the Enos fruit salt and pour the dhokla batter into the greased dhokla platesPreheat a steamer with water and place the dhokla batter for steaming. Steam on high heat for about 10 minutes until a toothpick inserted in the center comes out clean.Once steamed, remove the Spinach Foxtail Millet Dhokla from the steamer and keep aside for 5 minutes.Heat oil in a tadka pan; add in the mustard seeds, sesame seeds and curry leaves and allow it to crackle. Turn off heat and pour the seasoning over the dhoklas and cut them into squares or diamonds.Serve the Ragi Rava Dhokla recipe along with Green Chutney and also Idli Milagai Podi. I even send this as a school lunch box as well and the kids love it.
</t>
  </si>
  <si>
    <t>https://www.archanaskitchen.com/spinach-foxtail-millet-dhokla-recipe</t>
  </si>
  <si>
    <t>Hara Chana Masala Recipe</t>
  </si>
  <si>
    <t>200 grams Hara Chana - soaked overnight,1 Onion - finely chopped,1 Tomato - finely chopped,1 Cinnamon Stick (Dalchini),2 teaspoon Coriander Powder (Dhania),1 teaspoon Red Chilli powder,1 teaspoon Garam masala powder,2 tablespoon Ghee,2 teaspoons Coriander (Dhania) Leaves - finely chopped,Salt - to taste,2 inch Ginger,5 cloves Garlic,1 Green Chilli,1 inch Cinnamon Stick (Dalchini),3 Cloves (Laung)</t>
  </si>
  <si>
    <t xml:space="preserve">To begin making the Hara Chana Masala Recipe, soak the dried green chickpeas overnight and in the morning cook it along with salt for 3 whistles in a pressure cooker and keep aside.Now, grind the ingredients mentioned in the 'to grind to a smooth paste' table using a hand mixer or blender adding little water and keep aside.Heat green in a heavy bottom pan on low heat, add the cinnamon stick and finely chopped onions and sauté till it becomes translucent.Add the ground spice paste and saute until the raw smell of the ginger-garlic goes away.Add the finely chopped tomatoes and cook until it turns soft and mushy.Now add the spice powders - coriander, chilli and garam masala powder and cook until the whole mix comes together and oil separates out.Add the boiled green chickpeas, two cups of water and season with salt and simmer for 10 minutes.Garnish with coriander leaves and switch off the flame. Serve the warm Hara Chana Masala Recipe along with roti's or steamed rice on a rainy evening.
</t>
  </si>
  <si>
    <t>http://www.archanaskitchen.com/hara-chana-masala-recipe</t>
  </si>
  <si>
    <t>Besan Ke Laddu Recipe</t>
  </si>
  <si>
    <t>1-1/2 cup Gram flour (besan),Sugar - (grinded) as required,2 tablespoons Badam (Almond),2 tablespoons Pistachios,1 tablespoon Chironji,1 tablespoon Melon seeds,1/2 cup Fox nuts,1/4 cup Fresh coconut - grated,1-1/2 cup Ghee,6 Cardamom (Elaichi) Pods/Seeds,2 tablespoons Cashew nuts</t>
  </si>
  <si>
    <t xml:space="preserve">To begin making the Besan Ke Laddu, heat 1 tablespoon clarified butter in a thick bottomed pan, add cashew nuts and almonds in it, roast them till they turn golden brown and keep it aside.In the same pan heat 2 tablespoons of clarified butter. Add fox nuts and roast them till they turns crunchy.Likewise add 1 tablespoon clarified butter and roast pistachios, melon, seeds chironji and grated coconut and keep them aside.Let them cool and then grind coarsely (except chironji and melon seeds) in a grinder.Now, heat remaining clarified butter in a heavy bottomed pan or kadai.Add gram flour and roast it on medium flame(stirring continuously) till you feel nice aroma out of it and It takes approximately 20 minutes.Remove from the heat and let it cool for 5 to 8 minutes.Then add sugar, grinded nuts, crushed cardamom, chironji and melon seeds.Mix it very well with the help of spoon. Once the mixture is warm enough for you to handle, then take a little of the mixture in your hands and make medium sized besan laddu (like small balls) from the mixture.Delicious Besan laddu's are ready. Garnish with melon seeds or as your choice. Serve Besan laddu's immediately or store them in an airtight container.Serve Besan Ke Laddu as a sweet dish after your delicious meal.
</t>
  </si>
  <si>
    <t>https://www.archanaskitchen.com/besan-ke-laddu-recipe</t>
  </si>
  <si>
    <t>Khatti Meethi Mooli Ki Sabzi Recipe-Sweet and Tangy Radish Dry Recipe</t>
  </si>
  <si>
    <t>3 Mooli/ Mullangi (Radish) - sliced,1 sprig Curry leaves,1 teaspoon Ajwain (Carom seeds),1 teaspoon Fennel seeds (Saunf),1 Onion - thinly sliced,4 cloves Garlic - finely chopped,3 Dry Red Chillies,1 tablespoon Jaggery,1 teaspoon Coriander Powder (Dhania),1/2 teaspoon Red Chilli powder,1 teaspoon Amchur (Dry Mango Powder),Salt - to taste</t>
  </si>
  <si>
    <t xml:space="preserve">To begin making the Khatti Meethi Mooli Ki Sabzi recipe, first prep all the ingredients and keep them aside.Heat oil in the pressure cooker over medium heat, crackle the fennel seeds, ajwain, curry leaves and red chillies. Once the seeds have crackled add the onion and garlic and sauté till the onions turn golden brown.Once the onions are well roasted, stir in mooli and the remaining ingredients like the red chilli powder, coriander powder and amchur powder and jaggery. Add 1/4 cup of water, cover the pressure cooker and pressure cook for two whistles. Turn off the heat and allow the pressure to release naturally.Open the cooker and stir the Khatti Meethi Mooli Ki Sabzi and check the salt and adjust accordingly.Once done, transfer Khatti Meethi Mooli Ki Sabzi to a serving dish and serve warm.Serve the Khatti Meethi Mooli Ki Sabzi Recipe along with Dal Palak Recipe and steamed rice or Malabari Parotta Without Egg Recipe for a weeknight dinner or even a cozy weekend lunch.
</t>
  </si>
  <si>
    <t>https://www.archanaskitchen.com/khatta-meetha-mooli-subzi-recipe-sweet-and-tangy-radish-dry-recipe</t>
  </si>
  <si>
    <t>Vegan Chickpeas And Broccoli Curry Recipe</t>
  </si>
  <si>
    <t>1 tablespoon Sunflower Oil,1 inch Cinnamon Stick (Dalchini),2 Cloves (Laung),1 cup Kabuli Chana (White Chickpeas),1 cup Broccoli,1 Onion - chopped,1 Tomato - chopped,1 teaspoon Ginger Garlic Paste,1 teaspoon Cumin powder (Jeera),1 teaspoon Red Chilli powder,Salt - as required,1 cup Water,Coriander (Dhania) Leaves - handful</t>
  </si>
  <si>
    <t xml:space="preserve">To begin making the Vegan Chickpeas And Broccoli Curry recipe, firstly soak chickpeas in water for about an hour. Pressure cook the chickpeas for about 3 whistles in a cooker.Take 1/4 cup of cooked chickpeas and ground them into a fine paste.In a small kadai/wok, add oil and heat over medium flame. Once the oil is hot, add cinnamon stick and cloves.Add onions and cook until it becomes translucent. Add ginger garlic to the onion and cook until raw smell goes off.Add chopped tomatoes and cook until it becomes mushy. Add chilli powder, cumin powder and salt. Stir them well.Add cooked chickpeas and mashed chickpeas to the pan. Add a cup of water and bring it to boil in high flame.Reduce the flame and cook until the gravy thickens. In a pot, bring water to boil. Add broccoli florets to the boiling water and let it be for two minutes.Drain the water and wash the florets with cold water. Drain the water completely and set aside.Add the blanched broccoli florets to the curry and stir them well. Alternatively, you can fry the broccoli florets in oil and add the fried florets to the curry.Cook for about two minutes, switch off the flame and garnish with coriander leaves. Serve Vegan Chickpeas And Broccoli Curry wrapped inside the tortillas or enjoy with plain white steamed rice.
</t>
  </si>
  <si>
    <t>https://www.archanaskitchen.com/vegan-chickpeas-and-broccoli-curry-recipe</t>
  </si>
  <si>
    <t>Paneer Kofta Curry Recipe -Non Fried</t>
  </si>
  <si>
    <t>250 grams Paneer (Homemade Cottage Cheese),3 tablespoons All Purpose Flour (Maida),1 pinch Salt,Coriander (Dhania) Leaves - small bunch,1 teaspoon Cumin powder (Jeera),1 Ginger - grated,1 tablespoon Honey,2 cups Homemade tomato puree,1 teaspoon Coriander Powder (Dhania),1/2 teaspoon Garam masala powder,1/4 teaspoon Turmeric powder (Haldi),1/4 cup Hung Curd (Greek Yogurt) - (or cream),Kasuri Methi (Dried Fenugreek Leaves) - for garnishing,Salt - to taste,Sunflower Oil - for cooking</t>
  </si>
  <si>
    <t xml:space="preserve">Method for Paneer Kofta'sCombine all the ingredients for the koftas in a bowl and knead well until you can get dough of the paneer. The dough will be firm and yet soft enough to shape into balls. Our next step is to bake them or pan fry them in the kuzhi paniyaram pan.Oven MethodIf you plan to bake the kofta's; then place the paneer balls on a greased baking sheet. Brush the paneer balls with some oil and bake in a preheated oven (200 C) until the koftas turn golden brown in colour. Remove the kofta's from the oven once baked and keep them aside.Kuzhipaniyaram Pan MethodIf you plan to use the kuzhi paniyaram pan; then place the kofta balls in the pan's cavities; drizzle the kofta's with a little oil and pan fry them until golden brown on both sides. You will have to flip the kofta balls so they fry on all sides evenly. Once you are done baking/ pan frying the kofta's we will proceed to make the curry base.Method for the Kofta CurryHeat oil in a heavy bottomed pan; add in the grated ginger and the honey, sauté until the honey begins to bubble. Stir in the tomato puree, turmeric powder, cardamom powder, garam masala powder, salt and chilli powder to taste. Bring the mixture to a boil and simmer for a couple of minutes till the tomatoes get cooked through.Finally add in the cream and the kasuri methi and stir it into the kofta curry. Add in the pan fried/baked Paneer Kofta Balls into the curry, cover the pan and simmer until the curry and flavours get absorbed into the koftas.Do make sure to check the salt and spice levels and adjust according to your taste.Serve The Paneer Kofta Curry Recipe with Whole Wheat Naan Recipe or Sprouted Moong And Methi Pulao with Carrot Cucumber Tomato Salad.
</t>
  </si>
  <si>
    <t>https://www.archanaskitchen.com/paneer-kofta-curry-recipe</t>
  </si>
  <si>
    <t>Dill Leaves Toor Dal Recipe - Shepu/ Suva Dal recipe</t>
  </si>
  <si>
    <t>1-1/2 cups Arhar dal (Split Toor Dal),1 cup Dill leaves - chopped,1 tablespoon Ghee,1 teaspoon Mustard seeds,1 teaspoon Cumin seeds (Jeera),1 Bay leaf (tej patta),1 Onion - finely chopped,4 cloves Garlic,1 inch Ginger,2 Tomatoes - finely chopped,1 Green Chilli - finely chopped,1 teaspoon Red Chilli powder,1/2 teaspoon Turmeric powder (Haldi),Salt - to taste,1 Lemon - juice extracted</t>
  </si>
  <si>
    <t xml:space="preserve">To begin making the Dill Leaves Toor Dal Recipe, wash the dill leaves and finely chop it and keep it ready. Prep all the ingredients as well.In a pressure cooker, add a teaspoon of ghee and place it on medium heat. Add the mustard seeds and cumin seeds.Allow it to crackle. Once it crackles, add the chopped onion, ginger and garlic. Saute until the onions soften.Once the onions soften, add the tomatoes, green chillies, turmeric powder, red chilli powder, salt, dill leaves, toor dal and 3 cups of water and pressure cook for at least 4 to 5 whistles and turn off the heat.Allow the pressure to release naturally.Once the pressure released, open the lid and mash the dal coarsely using a muddler and check for seasonings.Adjust at this stage and bring it to a boil for few minutes and serve the Dill leaves dal over a serving bowl. Add in the squeeze of lemon and any additional ghee over the top. Turn off the heat.Transfer the Dill Leaves Toor Dal to a serving bowl and serve hot.Serve the Dill Leaves Toor Dal Recipe along with Phulka Recipe and Ringna Batata Nu Shaak Recipe to make a wholesome weekend or weeknight lunch or dinner.
</t>
  </si>
  <si>
    <t>https://www.archanaskitchen.com/dill-leaves-toor-dal-recipe-shepu-suva-dal-recipe</t>
  </si>
  <si>
    <t>Jain Style Corn Palak</t>
  </si>
  <si>
    <t>1 cup spinach, 1/2 cup sweet corn - boil, salt - according to taste, 1 tablespoon sugar, 1/2 tablespoon kasuri methi, 1 teaspoon lemon juice, 1 tablespoon garam masala powder, 1/2 teaspoon red chili powder, oil - according to requirement, 1/2 teaspoon cumin seeds, 2 tomatoes, 2 green chilies, 8 cashew nuts, oil - according to requirement, 1/2 teaspoon cumin seeds, asafoetida, 1/2 teaspoon red chili powder</t>
  </si>
  <si>
    <t>"To make Jain style corn palak, first blanch the spinach and then put it in cold water. Drain the water and make its puree in the mixer grinder. Cook the ingredients given for grinding in 1 teaspoon oil. Cook till the tomatoes become soft. After cooling, add some water and grind. Now heat oil in a pan. Add cumin seeds and after 15 seconds add spinach puree, turmeric powder, red chili powder and salt. Let it cook for 3 to 4 minutes. After 4 minutes add tomato puree, dry spices and corn. Mix well and let it cook for 8 to 10 minutes. Add some water, kasuri methi, salt and lemon juice. Mix everything well and serve after 2 minutes. Serve Jain style corn palak with boondi raita and phulkas for lunch."</t>
  </si>
  <si>
    <t>http://www.archanaskitchen.com/jain-style-corn-palak-recipe-in-hindi</t>
  </si>
  <si>
    <t>Sweet Potato And Carrot Sabzi Recipe</t>
  </si>
  <si>
    <t>2 Carrots (Gajjar) - peeled and chopped into cubes,2 Sweet Potato - peeled and chopped into cubes,1 Onion - chopped,1 Tomato - chopped,1 inch Ginger - chopped,4 cloves Garlic - chopped,1 Green Chilli - slit,1 teaspoon Fennel seeds (Saunf),1 teaspoon Red Chilli powder,1/2 teaspoon Turmeric powder (Haldi),2 teaspoon Garam masala powder,2 sprig Coriander (Dhania) Leaves - chopped,Salt - to taste,Sunflower Oil</t>
  </si>
  <si>
    <t xml:space="preserve">To begin making the Sweet Potato and Carrot Sabzi Recipe, we will heat a pressure cooker with oil, add fennel seeds and allow it to crackle.Add ginger, garlic and saute until they soften. Once it softens, add onions and saute until they turn translucent.After 5 minutes you can add chopped tomatoes and sprinkle with salt and allow the tomatoes to turn mushy.Add all the spice powders including red chilli powder, turmeric powder, garam masala powder along with the root vegetable, salt and add about 1 cup of water and pressure cook them for at least 4 whistle.Allow the pressure to release naturally, add coriander leaves and give one last stir and serve hot.Serve the Sweet Potato and Carrot Sabzi Recipe along with Gujarati Kadhi and Phulka for your everyday meals.
</t>
  </si>
  <si>
    <t>https://www.archanaskitchen.com/sweet-potato-and-carrot-subzi-recipe</t>
  </si>
  <si>
    <t>Mixed Vegetable Corn Pakora Recipe - Made In Kuzhi Paniyaram Pan</t>
  </si>
  <si>
    <t>3/4 cup Gram flour (besan),1/4 cup Rice flour,1/4 cup Green Bell Pepper (Capsicum) - finely chopped,1 Onion - finely chopped,1 Carrot (Gajjar) - grated,1 teaspoon Ajwain (Carom seeds),Salt - to taste,1/2 teaspoon Enos fruit salt,1 teaspoon Red Chilli powder,Sunflower Oil,Chaat Masala Powder - for sprinkling</t>
  </si>
  <si>
    <t xml:space="preserve">To begin making the Mixed Vegetable Corn pakora recipe, first prep all the ingredients and keep aside.In a mixing bowl, combine the besan, rice flour, carrot, capsicum, onion, ajwain, red chilli powder, enos fruit salt and salt. To the bowl, add and a little water to make a smooth and thick pakora batter of coating consistency. Heat a Kuzhi paniyaram pan over medium heat, add 1/4 teaspoon of oil in each of the cavities of the pan.Spoon a tablespoon of Mixed Vegetable Corn Pakora batter into each of the cavities and pan fry until browned and crisp, flip on the other side and cook as well. Serve the Healthy Mixed Vegetable Corn Pakora Recipe with Mint Chutney and Adrak chai for a tea time snack during monsoons.
</t>
  </si>
  <si>
    <t>https://www.archanaskitchen.com/mixed-vegetable-corn-pakora-recipe-made-in-kuzhi-paniyaram-pan</t>
  </si>
  <si>
    <t>250 gms yam - cut into 1 inch squares, 1 onion - sliced ​​straight and thin, 2 green chillies - chopped, 1 tsp ginger - finely chopped, 1 tsp garlic - finely chopped, 1 sprig curry leaves, 1/2 tsp cumin seeds, 1/2 tsp turmeric powder, 1 tsp coriander powder, 1/2 tsp cumin powder, 1/2 tsp red chilli powder, 1/2 tsp garam masala powder, salt - according to taste, 2 tsp oil, 1/2 tsp black pepper powder</t>
  </si>
  <si>
    <t xml:space="preserve">To make Sukhi Suran Masala Sabzi recipe, first of all we will remove the outer skin of the yam. Now chop the yam and keep it aside by soaking it in water. Now heat oil in a pan. Add curry leaves, cumin seeds and cook till the cumin seeds crackle. Now add onion, ginger, garlic and cook till the onion becomes soft. Now add yam and cook for 1 minute. Add water, salt, cover the pan and cook for 10 minutes. After 10 minutes add red chili powder, coriander powder, cumin powder, black pepper powder, garam masala powder and cook for 3 to 4 minutes. After cooking, turn off the gas and serve. Serve Sukhi Suran Masala Sabzi recipe with Dal Palak, Lauki Raita and Phulka for lunch.
</t>
  </si>
  <si>
    <t>http://www.archanaskitchen.com/sukhi-suran-masala-sabzi-recipe-in-hindi</t>
  </si>
  <si>
    <t xml:space="preserve">Achari Aloo Parwal Sabzi </t>
  </si>
  <si>
    <t>400 gms parwal - cut into thin and straight pieces, 3 potatoes - cut into thin and straight pieces, 1 onion - finely chopped, 1 tomato - cut into thin and straight pieces, 2 tbsp mustard oil, 1/2 tsp kalonji seeds, 1/2 tsp turmeric powder, 1/2 tsp dried mango powder, salt - according to taste, 1 tsp coriander seeds, 1/2 tsp cumin seeds, 1/2 tsp mustard seeds, 1/2 tsp fennel seeds, 1/2 tsp kalonji seeds, 1/4 tsp fenugreek seeds, 3 dried red chillies - broken</t>
  </si>
  <si>
    <t>"Put Achari Aloo Parwal sabzi in a pan and add all the spices. Fry it and make a powder. Keep it aside. Now heat mustard oil in a pressure cooker. Now add kalonji and cook for 30 seconds. Now add onion and cook till it turns golden. Now add potato, parwal, tomato and cook for 4 to 5 minutes. Now add turmeric, ground masala, dry mango powder and mix everything. Add some water, cover the cooker and cook till 2 whistles. Now turn off the gas and let the pressure of the cooker release. After the pressure is released, open the cooker and garnish with green coriander. Serve Achari Aloo Parwal with Panchmel Daal and Phulkas for lunch."</t>
  </si>
  <si>
    <t>http://www.archanaskitchen.com/achari-aloo-parwal-sabzi-recipe-pointed-gourd-and-potato-stir-fry-in-pickle-spices-in-hindi</t>
  </si>
  <si>
    <t>Amla Methi Sukhi Sabzi Recipe</t>
  </si>
  <si>
    <t>200 gms amla, water - as per requirement, 1 tbsp oil, 1/2 tsp cumin seeds, 1/2 tsp fennel seeds, 1/3 tsp celery seeds, 1 asafoetida - a pinch, 2 green chillies - finely chopped, 1 inch ginger - finely chopped, 5 cloves garlic - finely chopped, 2 onions - thinly sliced, 2 tomatoes - finely chopped, salt - according to taste, 1/2 tsp turmeric powder, 100 gms fenugreek - washed and finely chopped, 1 tsp garam masala powder, 1 tsp coriander powder, 1 tsp cumin powder, 1 sprig coriander - finely chopped</t>
  </si>
  <si>
    <t>"To make Amla Methi Sukhi Sabzi Recipe, first boil the amla. Add water in a saucepan and boil it well. Add amla to the boiled water and boil for 4 to 5 minutes. Turn off the gas. Drain excess water and let it cool. After cooling, make a slit in the amla and remove the seeds. Now cut the amla vertically and keep aside. Heat oil in a pan. Add cumin seeds, fennel seeds, celery seeds and let them crackle. After crackling, add green chillies, ginger, garlic and cook for a few seconds. After a few seconds, add onions and cook for 3 to 4 minutes. Now add tomatoes, some water, cover the pan and let it cook. Add salt, turmeric powder, fenugreek leaves and cook well. After fenugreek becomes soft, add garam masala powder, cumin powder, coriander powder, salt, amla, 2 tbsp water, mix well Take it and cover it. Let it cook for 2 to 3 minutes. Turn off the gas and serve hot. Serve Amla Methi Sukhi Sabzi Recipe with Gujarati Kadhi, Aamras and Phulkas for lunch. "</t>
  </si>
  <si>
    <t>http://www.archanaskitchen.com/amla-methi-sukhi-sabzi-recipe-healthy-diabetic-sabzi-in-hindi</t>
  </si>
  <si>
    <t>Butter Chicken Recipe - The Classic Indian Chicken Gravy</t>
  </si>
  <si>
    <t>300 grams Boneless chicken - cut into pieces,1/2 cup Curd (Dahi / Yogurt),2 teaspoon Ginger Garlic Paste,1/2 teaspoon Turmeric powder (Haldi),1/2 teaspoon Garam masala powder,1 teaspoon Kashmiri Red Chilli Powder,1 teaspoon Salt,1 tablespoon Butter,1 teaspoon Red Chilli powder,1 teaspoon Coriander Powder (Dhania),1/2 teaspoon Garam masala powder,1 cup Homemade tomato puree,1 teaspoon Honey,1/4 cup Fresh cream,1 tablespoon Kasuri Methi (Dried Fenugreek Leaves),Salt - to taste,1/4 cup Fresh cream,1 tablespoon Kasuri Methi (Dried Fenugreek Leaves),Salt - to taste</t>
  </si>
  <si>
    <t xml:space="preserve">To begin making the Butter Chicken Recipe, wash the chicken thoroughly.In a mixing bowl, add curd, garam masala,ginger and garlic paste, salt, red chili powder, turmeric powder and chicken. Marinate the butter chicken for a minimum for 1 hour. Heat a teaspoon of butter over medium heat, add the marinated chicken along with the marinade and let the chicken cook in its own masala for 4 minutes. Into the same pan, add tomato puree, salt, coriander powder, red chilli powder and garam masala. Cover the butter chicken and cook for 5 minutes. Finally add fresh cream, honey and water (if required to adjust the consistency of the gravy) and simmer the Butter Chicken Masala until the chicken is cooked completely.Stir in the Kasuri methi and serve the butter chicken hot.Serve Butter Chicken Masala Recipe with Butter Naan and Smoked Dal Makhani Dhaba Style Recipe and Pickled onions and Boondi Raita Recipe Spiced With Black Salt  for a delicious punjabi style dinner. 
</t>
  </si>
  <si>
    <t>https://www.archanaskitchen.com/butter-chicken-recipe-classic-indian-chicken-gravy</t>
  </si>
  <si>
    <t>Palak Khichdi With Brown Rice And Toasted Peanuts</t>
  </si>
  <si>
    <t>1 cup brown rice - soak for 30 minutes, 1 cup yellow moong dal - soak for 30 minutes, 1 cup small onion - chopped, 1 teaspoon fennel, 1/4 cup coconut milk, salt - according to taste, 1 cup spinach, 1 green chilli, 1 inch ginger, 2 cloves garlic, 1 teaspoon cumin, 1 sprig curry leaves, 1 inch cinnamon, 3 tablespoon peanuts, 2 dried red chillies, asafoetida - a pinch</t>
  </si>
  <si>
    <t>"To make Palak Khichdi, first put spinach in 1/2 cup water and make a puree. Now put oil in a pressure cooker. Add onion and fennel seeds and cook till onion becomes soft. Add spinach and cook for 5 to 6 minutes. Now add rice, 2 cups water and mix. After 1 minute add coconut milk and salt. Close the cooker and cook till 3 whistles. Let the pressure release automatically. Now to make the Tadka, put oil in a Tadka pan. Now add cumin seeds, curry leaves, asafoetida, cinnamon stick. Now add dried red chillies and peanuts and cook till peanuts turn golden. Pour this tempering in the Khichdi and serve. Serve Palak Khichdi with Boondi Raita and Papad for dinner."</t>
  </si>
  <si>
    <t>https://www.archanaskitchen.com/palak-khichdi-with-brown-rice-and-toasted-peanuts-recipe-in-hindi</t>
  </si>
  <si>
    <t xml:space="preserve"> Cabbage Tomato Sabzi</t>
  </si>
  <si>
    <t>300 grams cabbage - finely chopped, 2 tomatoes - finely chopped, 1 teaspoon turmeric powder, 1 teaspoon coriander powder, salt - according to taste, red chili powder - according to taste, 1 teaspoon oil, 1/2 teaspoon mustard, 1/2 teaspoon cumin, 4 sprigs of coriander - chopped (for garnish)</t>
  </si>
  <si>
    <t>"To make Cabbage Sabzi, first heat oil in a pressure cooker. Add mustard seeds and cumin seeds and let it cook for 10 seconds. After 10 seconds add tomatoes and cook till they become soft. After tomatoes become soft, add turmeric powder, salt, coriander powder, red chili powder and mix. Add cabbage and some water. Mix and cook till 2 whistles in the pressure cooker. After 2 whistles, turn off the gas and let the pressure release. Open the cooker and mix and garnish with green coriander. Serve Cabbage Sabzi with Panchmel Daal and Phulkas for lunch. "</t>
  </si>
  <si>
    <t>https://www.archanaskitchen.com/cabbage-tomato-sabzi-recipe-in-hindi</t>
  </si>
  <si>
    <t>Vegan Black Beans Stuffed Paratha Recipe</t>
  </si>
  <si>
    <t>3 cups Whole Wheat Flour,All Purpose Flour (Maida) - All-purpose flour (for dusting),Salt - to taste,1 cup Black Eyed Beans (Lobia) - soaked overnight and cooked,1/2 teaspoon Red Chilli powder,1/4 teaspoon Garam masala powder,1/4 teaspoon Cumin seeds (Jeera),Salt - as required,Sunflower Oil - as required</t>
  </si>
  <si>
    <t xml:space="preserve">To begin making the Vegan Black Beans Stuffed Paratha, take the wheat flour and salt in a large mixing bowl add gradually the water and knead everything as a soft and smooth dough. Keep it aside.Meanwhile, grind the cooked black bean as bit coarse paste.Heat enough oil and add the cumin seeds. Once it splutters, add the grounded black-bean paste, give a stir and add immediately the red chilly powder, garam masala powder and salt.Cook everything on low flame for few minutes and then switch off the heat.Once the stuffing is ready, make 5-6 balls from the paratha dough.Dust the balls with all purpose flour and flatten them with rolling pins.Place 1-2 tablespoons of black bean masala on the flattened dough and cover the masala with the dough and roll them in ur palms again as a ball.Roll them as parathas, cook these parathas on a hot Tawa drizzled with enough oil until they get well cooked.Serve Vegan Black Beans Stuffed Paratha with Burani Raita or any raita of your choice and pickle.
</t>
  </si>
  <si>
    <t>http://www.archanaskitchen.com/vegan-black-beans-stuffed-paratha-recipe</t>
  </si>
  <si>
    <t>Sukha Kala Chana Masala Recipe - Ashtami Prasad</t>
  </si>
  <si>
    <t>1 cup Kala Chana (Brown Chickpeas) - soaked overnight,Salt - to taste,1 tablespoon Ghee,1/2 teaspoon Cumin seeds (Jeera),1 teaspoon Amchur (Dry Mango Powder),1 teaspoon Chaat Masala Powder,1 teaspoon Red Chilli powder,1 teaspoon Cumin powder (Jeera)</t>
  </si>
  <si>
    <t xml:space="preserve">To begin making the Sukha Kala Chana Masala Recipe, ensure the kala chana is soaked overnight or for a minimum of 6-8 hours. Once the kala chana is soaked, transfer it into a pressure cooker with 1 cup of water and salt to taste. Pressure cook for about 5-6 whistles and turn off the flame. Allow the pressure to release naturally. Once the pressure has released, open the pressure cooker and drain off the excess water from the kala chana.Heat a pan with ghee on medium flame, once the ghee is hot, add the cumin seeds and allow them to sizzle. Next reduce the flame, add the ginger and green chillies. Now add in all the dry spices - amchur powder, coriander powder, chaat masala,  and cumin powder. Mix well and quickly add in the boiled kala chana. Give it a good stir and simmer the sukha kala chana in the pan for 3 to 4 minutes until the masala gets well coated into the kala chana.Once done, turn off the heat, check if you need to add more salt and adjust according to taste. Transfer the Sukha Kala Chana into a serving bowl and serve as a prasad for the festivals like navratri. Serve Sukha Kala Chana Masala Recipe along with Rava Kesari Bhath/ Sooji Halwa Recipe, and Puri Recipe as prasad for Ashtami or just as a Sunday brunch. 
</t>
  </si>
  <si>
    <t>http://www.archanaskitchen.com/sukha-kala-chana-masala-recipe-ashtami-prasad</t>
  </si>
  <si>
    <t>Chana Methi Dal Recipe</t>
  </si>
  <si>
    <t>1 cup gram dal, 1 cup fenugreek - clean and chop, 1/4 tsp asafoetida, 1 onion - thinly sliced, 1 tomato - chopped, 1 tsp coriander leaves, 1 tsp turmeric powder, 1 tsp red chilli powder, salt - according to taste, 1 tbsp ghee, 1 tsp cumin seeds, 2 dried red chillies</t>
  </si>
  <si>
    <t>"To make Chana Methi Dal recipe, first soak chana dal in 3 cups of water for 30 minutes. Now wash the fenugreek with water and chop it. Heat oil in a pan. Add fenugreek and cook till fenugreek becomes soft. After fenugreek becomes soft, turn off the gas and keep it aside. Now heat oil in a pressure cooker. Add asafoetida and cook for 10 seconds. After 10 seconds add onions and cook till they become soft. After onions become soft, add tomatoes along with coriander powder, turmeric powder, red chili powder, salt and let it cook. Now add chana dal with water. Close the cooker and cook till 6 to 8 whistles. Let the pressure release automatically. Open the cooker, mash the dal and add fenugreek. Mix and take out in a bowl. Now for tempering, heat ghee in a tempering pan. Add cumin seeds, dry red chilies and cook for 15 seconds Give. Pour the Tadka into the dal and mix well. Serve Chana Methi Dal Recipe along with Tomato Onion Cucumber Raita, Tomato Onion Cucumber Raita and Phulkas for lunch. "</t>
  </si>
  <si>
    <t>http://www.archanaskitchen.com/chana-methi-dal-recipe-fenugreek-split-bengal-gram-curry-in-hindi</t>
  </si>
  <si>
    <t>4 eggs, 1-1/2 cup tomato puree, 2 onions - finely chopped, 6 cloves garlic, 1 inch ginger, 1 bay leaf, 1/2 teaspoon turmeric powder, 1 teaspoon red chili powder, 1 teaspoon garam masala powder, 1 teaspoon kasuri methi, 1/4 cup cashews - make a paste, olive oil - as per requirement, 2 salt - as per taste</t>
  </si>
  <si>
    <t>"To make Shahi Egg Curry recipe, firstly put eggs in a saucepan with water and boil for 15 minutes. Now turn off the gas and keep the eggs aside to cool. Grind ginger and garlic in a mortar and pestle. Heat olive oil in a pan. Add onion, ginger, garlic and cook till onion becomes soft. After onion becomes soft, add tomato puree, bay leaf, turmeric powder, red chili powder, garam masala powder and mix well. After 2 minutes add cashew paste, boiled eggs and mix. Cover the pan and let it cook for 5 to 10 minutes. After this add kasuri methi and mix. Serve. Serve Shahi Egg Curry recipe with Hyderabadi Vegetable Biryani, Laccha Paratha and Burani Raita for your weekend dinner."</t>
  </si>
  <si>
    <t>http://www.archanaskitchen.com/shahi-egg-curry-recipe-in-tomato-cashew-gravy-roz-ka-khana-with-figaro-olive-oil-in-hindi</t>
  </si>
  <si>
    <t>Dal Makhani Without Onion And Garlic</t>
  </si>
  <si>
    <t>1 cup black urad dal, 1/2 cup rajma, 1 teaspoon cumin, 1 teaspoon Kashmiri red chili powder, 1-1/2 cup tomato puree, 2 tablespoons cream, 2 tablespoons butter, 1 cup milk, 2 teaspoon garam masala powder, 1/2 teaspoon cardamom powder, 1 teaspoon kasuri methi</t>
  </si>
  <si>
    <t>"To make Dal Makhani, first soak black lentils and rajma overnight. Now take a pressure cooker and add lentils, 1 cup milk, 2 cups water, garam masala, cardamom powder, salt, red chili powder and mix well. Cook till 5 to 6 whistles. Now reduce the flame and let it cook for 20 to 25 minutes. After that turn off the gas. Let the pressure release on its own. Now heat 2 tablespoons butter in a pan. Add cumin seeds and let it cook for 10 seconds. Add tomato puree and let it cook for 3 to 5 minutes. Now add lentils, salt and let it cook. Now add cream and cook on low flame for 5 minutes. Turn off the gas. Serve Dal Makhani with Celery Tomato Bhindi and Tawa Paratha for lunch."</t>
  </si>
  <si>
    <t>https://www.archanaskitchen.com/delicious-dal-makhani-recipe-without-onion-and-garlic-in-hindi</t>
  </si>
  <si>
    <t>Kala Chana Chaat Recipe-Chatpata Healthy Street food</t>
  </si>
  <si>
    <t>1 cup Kala Chana (Brown Chickpeas),1/2 Fresh Pomegranate Fruit Kernels - ½ cup Pomegranate pearls,1 Potato (Aloo) - boiled and cubed,1 Tomato - finely chopped,1 Onion - finely chopped,1 Green Chilli - finely chopped,1 teaspoon Red Chilli powder,1 teaspoon Cumin powder (Jeera),1 teaspoon Chaat Masala Powder,1 teaspoon Amchur (Dry Mango Powder),Black Salt (Kala Namak) - to taste,1/2 tablespoon Lemon juice - freshly squeezed,Sev - to garnish,1 cup Dates - pitted and chopped,1/4 cup Tamarind Paste,1/4 cup Jaggery,1 teaspoon Red Chilli powder,1 teaspoon Cumin powder (Jeera),1/2 teaspoon Dry ginger powder,1/2 teaspoon Black Salt (Kala Namak),Salt - to taste,1/2 cup Coriander (Dhania) Leaves - chopped,1/2 cup Mint Leaves (Pudina) - chopped,1/2 tablespoon Ginger - chopped,1 Green Chilli,1 teaspoon Sugar,1 tablespoon Lemon juice,Salt - to taste</t>
  </si>
  <si>
    <t xml:space="preserve">To begin making the Kala Chana Chaat Recipe, wash and soak the kala chana overnight.Add the soaked channa in a pressure cooker. Discard the water it was soaking in and add half a cup of fresh water and salt to taste. Close the pressure cooker and pressure cook for 6 whistles, turn down the heat and continue to cook for 5 more minutes.Turn off the flame. Allow the pressure to release naturally.Once the pressure has released, drain the water if any and transfer the chana into a mixing bowl.In the same mixing bowl, combine pomegranates, boiled potato, tomato, onion, green chili, red chili powder, cumin powder, chaat masala, black salt, amchur, 2 tablespoons of  dhaniya pudina chutney and 1 tablespoon of tamarind chutney and lemon juice along with the kala chana. Toss well.Alternatively, if you wish to skip the green chutney and sweet chutney, you can go ahead and toss the salad with all the other ingredients. Adjust the spices and salt to your taste and preference.Garnish with Sev and serve.Serve this Kala Chana Chaat along with other Chaat recipes like Party Sev Puri Recipe Filled With Potato &amp; Pomegranate Mint Mayo and Dilli Style Healthy Aloo Chaat Recipe (Spicy &amp; Tangy Potato Stir Fry Recipe) and Dahi Batata Puri Chaat Recipe Classic Indian Tea Time Snack for a Chaat Party evening. If you wish to serve this Kala Chana Chaat, as an Indian salad, serve it along with Arhar Ki Dal with Lahsun Tadka and Phulkas or just eat it as is, as a healthy snack 
</t>
  </si>
  <si>
    <t>http://www.archanaskitchen.com/kala-chana-chaat-recipe</t>
  </si>
  <si>
    <t>Paneer Do Pyaza</t>
  </si>
  <si>
    <t>1 cup paneer - chopped, oil - as per requirement, 1-1/2 onion - chopped, 1 onion - chopped, 2-1/2 tomatoes - finely chopped, 1 tsp cumin seeds, 2 cardamoms, 1-1/2 tsp ginger garlic paste, 1/4 tsp turmeric powder, 1 tsp coriander powder, 1-1/2 tsp red chilli powder, 1 tsp kasuri methi, 1/2 tsp garam masala powder, 1/4 cup cream - heavy whipping, salt - as per taste</t>
  </si>
  <si>
    <t>"To make paneer do pyaza, first heat oil in a pan. Add onions and cook till they become soft. After they become soft, take them out and keep them aside. Heat oil separately in a pan. Add cumin seeds and cardamom and cook for 10 seconds. Now add chopped onions and cook till they become soft. Add garlic ginger paste and cook for 1 minute. After 1 minute add tomatoes and cook till they become soft. Add spices, kasuri methi, salt and mix well. Cook the gravy for 5 minutes. After 5 minutes add paneer, cooked onions and mix. Now add some cream and cook for 3 to 4 minutes. "</t>
  </si>
  <si>
    <t>https://www.archanaskitchen.com/paneer-do-pyaza-recipe-in-hindi</t>
  </si>
  <si>
    <t>Dahi Wale Makhane Recipe - Lotus Seeds In Curd Gravy</t>
  </si>
  <si>
    <t>1 Onion - chopped,4 cloves Garlic - chopped,1 teaspoon Sunflower Oil,1/4 teaspoon Turmeric powder (Haldi),1/2 teaspoon Red Chilli powder,1/2 teaspoon Coriander Powder (Dhania),1/2 teaspoon Garam masala powder,1 Cardamom (Elaichi) Pods/Seeds,1 Cloves (Laung),1/3 cup Curd (Dahi / Yogurt) - at room temperature,1/3 cup Water,Salt - to taste,2 teaspoons Gram flour (besan),1/2 inch Ginger - chopped,1 Green Chilli - chopped,1 cup Phool Makhana (Lotus Seeds),1/2 teaspoon Ghee,1/2 teaspoon Chaat Masala Powder,1/2 teaspoon Cumin powder (Jeera),1 teaspoon Tandoori masala,1/2 teaspoon Red Chilli powder,1/2 teaspoon Lemon juice</t>
  </si>
  <si>
    <t xml:space="preserve">To begin making the Dahi Wale Makhane, we will firstly stir fry the makhanas to add in the gravy later.Heat ghee in a heavy bottomed pan on medium flame. Add the makhanas and saute till it changes its colour and turns crispy.Once it is done, add all the masalas including chaat masala, jeera powder, tandoori masala and red chilli powder. Saute for 30 seconds, mix everything well and switch off the heat.Add freshly squeezed lemon juice, give it a stir and set it aside.Add onion and garlic in a mixer jar, grind to a smooth paste with a little water. Set aside In a mixing bowl, add curd, water, salt, besan, ginger, green chilli to make the dahi base for the gravy. Whisk well and set it aside. Heat oil in a pressure cooker on medium flame. Once the oil is hot, add the cardamom, cloves and allow them to sizzle. Next, add the onion garlic paste and let it cook for about 3 to 4 minutes. After 3 to 4 minutes, add turmeric powder, red chilli powder, coriander powder, garam masala powder and give it a good stir. Turn down the heat and add the curd mixture, mixing continuously. Add water to adjust the consistency of the gravy. Increase the heat to medium, close the pressure cooker and pressure cook for 1 whistle. Turn off the flame. Immediately release the pressure by putting the cooker under cold water. Open the cooker, give the gravy and stir and add the roasted makhanas. Your Dahi Wale Makhane is ready to be served.Serve Dahi Wale Makhane along with Panchmel Dal, Phulka and Papad for a weekday meal with your family. You can also serve this curry with Steamed Rice or Jeera Rice.
</t>
  </si>
  <si>
    <t>https://www.archanaskitchen.com/dahi-wale-makhane-recipe-lotus-seeds-in-curd-gravy</t>
  </si>
  <si>
    <t>Fried Poha Chivda Recipe</t>
  </si>
  <si>
    <t>2 cups poha, 1/2 cup peanuts - roasted, 1/2 cup roasted gram dal, 1/2 cup boondi, 2 teaspoons red chili powder, 10 curry leaves, dry coconut - cut into small pieces, salt - according to taste</t>
  </si>
  <si>
    <t>"To make Poha Chivda Recipe, first heat oil in a pan. After the oil is heated, add poha and fry it. Take it out on a kitchen paper so that it absorbs excess oil. Now add peanuts in the same pan and fry it. After frying, add it to the poha and mix it. In the same oil, add chana dal, fry it and mix it in the poha. Now add curry leaves in the same oil, fry it till it becomes crispy and mix it in the poha. Now add red chili powder, salt and mix it well. After mixing, keep it aside to cool. Serve or store it in an air tight container. Serve. Serve Poha Chivda Recipe for evening snack with masala tea or filter coffee."</t>
  </si>
  <si>
    <t>https://www.archanaskitchen.com/fried-poha-chivda-recipe-flatten-rice-spicy-mixture-in-hindi</t>
  </si>
  <si>
    <t>Khakra Chaat Recipe</t>
  </si>
  <si>
    <t>4 Homemade Whole Wheat Khakras,1/4 cup Green Chutney (Coriander &amp; Mint),1/4 cup Sweet Chutney (Date &amp; Tamarind),1/4 cup Sev,1/4 cup Green Moong Sprouts,1/4 cup Onion - finely chopped,1/4 cup Tomato - finely chopped,1/4 cup Cucumber - finely chopped,1/2 teaspoon Chaat Masala Powder,1/4 teaspoon Red Chilli powder,1/2 teaspoon Cumin powder (Jeera),Coriander (Dhania) Leaves - finely chopped</t>
  </si>
  <si>
    <t xml:space="preserve">To begin making Khakra Chaat Recipe, in a large bowl combine all the ingredients for the topping and set aside.Place the khakra pieces on a serving plate.Sprinkle the salad mixture evenly on the khakra.Drizzle the Date Chutney and the Dhania Pudina Ki Chutney over the salad mixture and sprinkle some Sev.Garnish with coriander leaves and serve the Khakra Chaat immediately as a Tea time snack  on a weekend along with Bhel Puri With Raw Mango or Pav Bhajito make a complete meal..
</t>
  </si>
  <si>
    <t>http://www.archanaskitchen.com/khakra-chaat-recipe</t>
  </si>
  <si>
    <t>1 cup green moong dal - dry for 1 hour, 1/2 inch ginger, 3 green chillies - or according to taste, salt - according to taste, 3 potatoes - boiled and mash, 1/2 teaspoon red chilli powder, 1/2 teaspoon coriander powder, 1/8 teaspoon turmeric powder, 1 teaspoon fennel - powdered, 1 teaspoon lemon juice, green coriander - a little, asafoetida - a pinch, salt - according to taste, oil - for frying</t>
  </si>
  <si>
    <t>"To make Aloo Daal Pakora, first prepare the potato masala. In a bowl add potatoes, red chilli powder, coriander powder, turmeric powder, lemon juice, fennel seeds, coriander leaves, asafoetida, salt and mix well. Take some potato mixture and make small balls. Keep aside. To make the batter, grind moong dal in a mixer grinder with green chilli, ginger, salt, some water and grind well. Take out this mixture in a bowl. Now heat oil in a pan. Add the potato balls to the dal mixture and put them in the pan. Cook till they turn golden brown on both sides. Take out on a kitchen towel so that excess oil from the pakoras drains out. Serve. Serve Aloo Daal Pakora with coriander mint chutney, tamarind chutney and masala tea/filter coffee in the evening."</t>
  </si>
  <si>
    <t>http://www.archanaskitchen.com/aloo-dal-pakoras-recipe-in-hindi</t>
  </si>
  <si>
    <t>Kabuli Chana Chaat - High Protein Snack of Chickpea Chaat</t>
  </si>
  <si>
    <t>2 cups Kabuli Chana (White Chickpeas) - soaked for 8 hours,2 Tomatoes - finely chopped,2 Onions - finely chopped,1 Cucumber - finely chopped,1 Potato (Aloo) - boiled and finely chopped,3 Green Chillies - finely chopped,3 sprig Coriander (Dhania) Leaves - finely chopped,2 teaspoons Chaat Masala Powder,1/2 teaspoon Amchur (Dry Mango Powder),3 tablespoon Aloo Bhujia,1/2 tablespoon Lemon juice,Salt - to taste</t>
  </si>
  <si>
    <t xml:space="preserve">To begin making Kabuli Chana Chaat Recipe, soak the chickpeas for 8 hours. Pressure cook the chickpeas along with a little salt for about 25 to 30 minutes and keep aside. Click here to know How To Cook Legumes in a Pressure Cooker.Boil the potatoes in the pressure cooker and cook until soft. Once done, peel and chop the potatoes. Allow it to cool completely.In a Salad Mixing Bowl, add boiled and cooled chickpeas. Make sure that the chickpeas are drained and no additional water is present. Add chopped onion, tomato, boiled potatoes, and cucumber to it.Season the Chana Chaat with chopped green chilies, freshly chopped coriander leaves, chaat masala, dry mango power and lemon juice. Add salt to taste.Finally toss the Kabuli Chana Chaat well. Adjust the salt and chaat masala to suit your taste. You can make the Kabuli Chana Chaat spicier by adding more chopped green chilies. Add Namkeen or Aloo bhujia on top and the  delicious Kabuli Chana Chaat is ready to be served.Serve Chana Chaat as a team time snack or as a party appetizer along with Spinach Paneer Kofta Curry, Garlic Naan and Cauliflower &amp; Cucumber Raita
</t>
  </si>
  <si>
    <t>https://www.archanaskitchen.com/chana-chaat-recipe-chickpea-chat-with-fresh-garden-vegetables</t>
  </si>
  <si>
    <t>Dhaba Style Tomato Chutney Recipe</t>
  </si>
  <si>
    <t>2 Tomatoes,5 cloves Garlic,3 Green Chillies,2 teaspoon Coriander (Dhania) Leaves - finely chopped,1 teaspoon Mustard oil,Salt - to taste</t>
  </si>
  <si>
    <t xml:space="preserve">To begin making Dhaba Style Tomato Chutney Recipe, wash and wipe the tomatoes dry using a kitchen towel and then roast it over the stove top until all the sides of it are well charred. Keep it aside.Now, roast the garlic cloves along with the skin by fixing it in a fork over the stove. Keep aside.Likewise, roast the green chillies as well.Once, the roasted tomatoes, garlic and green chilies are cool enough, peel its outer skin gently.Now, pound the garlic cloves along with green chilies, little salt to a semi coarse paste using a pestle and mortar. Take it out in a bowl.Chop the roasted, de-skinned tomatoes and gently pound them using a pestle and mortar till they mash up enough to get to the chutney consistency. Take the Tomato Chutney out in the bowl.Now to the bowl of mashed tomatoes, garlic and green chillies, add the chopped coriander, mustard oil, season with salt and mix well. Check the salt and spices and transfer the Dhaba Style Tomato Chutney to a serving bowl Make Dhaba Style Tomato Chutney on the weekend and serve it along with the Phulkas, or Parathas or Puri's and Pindi Chole for the breakfast.
</t>
  </si>
  <si>
    <t>https://www.archanaskitchen.com/dhaba-style-tomato-chutney-recipe</t>
  </si>
  <si>
    <t>20 Pearl onions (Sambar Onions),1 teaspoon Red Chilli powder,1 teaspoon Turmeric powder (Haldi),1 teaspoon Amchur (Dry Mango Powder),1 teaspoon Coriander Powder (Dhania),Salt - to taste,6 cloves Garlic - finely chopped,1 inch Ginger - finely chopped,1 teaspoon Tamarind Water,2 sprig Coriander (Dhania) Leaves - finely chopped</t>
  </si>
  <si>
    <t xml:space="preserve">To begin making the Bharwa Pyaz Ki Sabzi Recipe, make diagonal slits on the top surface of the onions, without cutting them completely. In a mixing bowl, combine the red chilli powder, turmeric powder, amchur powder, coriander powder and salt to taste. Add only about a teaspoon of water to these dry spices to make a thick paste. With a help of a butter knife, gently glide a little bit of the spice paste into the slits of all the onions. Keep the remaining spice paste aside. Heat a shallow frying pan with oil on medium heat, add the ginger, garlic and saute for 30 seconds. Next add in the stuffed onions/Bharwa Pyaz with the spice paste and continue to pan fry until the onions turn transparent. Thin down the spice paste with the tamarind water and add into the pan. Increase the heat and stir fry the Bharwa Pyaz Ki Sabzi mixing continuously until the water has been completely absorbed. Turn off the heat and add in the chopped coriander leaves to the Bharwa Pyaz Ki sabzi and mix. Transfer the Bharwa Pyaz Ki sabzi to a serving bowl and serve hot.Serve Bharwa Pyaz Ki Sabzi Recipe along with Dhaba Style Dal Fry Recipe, Pudina Tawa Paratha Recipe and Mint Coriander Spice Pulao Recipe, Onion Raita Recipe - Pyaz Ka Raita Recipe.
</t>
  </si>
  <si>
    <t>https://www.archanaskitchen.com/bharwa-pyaz-ki-sabzi-recipe</t>
  </si>
  <si>
    <t xml:space="preserve">Methi Paneer Bhurji </t>
  </si>
  <si>
    <t>1 cup tomato puree, 2 cloves garlic, 1 onion - chopped, 1 inch ginger, 1/4 tsp turmeric powder, 1/4 tsp garam masala powder, salt - according to taste, 1/4 tsp red chili powder, oil - according to need, 1/2 tsp cumin seeds, 2 tbsp cream, 1/4 tsp turmeric powder, 1 onion - finely chopped, 2 green chilies - finely chopped, 1 inch ginger - grated, 1 capsicum (green) - finely chopped, 1 tomato - finely chopped, 3/4 cup fenugreek - finely chopped, 2 tsp kasuri methi, 200 gms paneer - crumbled, salt - according to taste, red chili powder - according to taste, oil - according to need, 4 sprigs coriander leaves - finely chopped</t>
  </si>
  <si>
    <t>"To make methi paneer bhurji, first of all prepare all the ingredients. Make tomato puree and crumble paneer. Keep aside. Now heat oil in a pan. Add onion, ginger and garlic and cook till onion turns golden. Let it cool and then put it in a mixer grinder and make a paste. Put this paste again in the same pan. Keep the flame medium. After 1 minute add turmeric powder, red chili powder, garam masala powder and let it cook for 2 minutes. After 2 minutes add tomato puree. Mix it and let it cook for 3 to 4 minutes. Add some butter, salt and mix it. After 1 minute add cream and turn off the gas. Now we will make paneer bhurji. Heat oil in a pan. Add cumin seeds and let it cook for 10 seconds. Now add onion, capsicum, ginger, green chilies and cook till onion and capsicum become soft. Now add tomatoes, turmeric powder, fenugreek, kasuri methi And let it cook for 3 to 4 minutes. Now add paneer, salt, red chili powder. Mix and cook for 2 minutes. Add this bhurji to tomato gravy and mix it. Cook for 2 to 3 minutes. After cooking, turn off the gas, garnish with coriander leaves and serve. Serve Methi Paneer Bhurji with Panchmel Daal, Tomato Onion Cucumber Raita and Phulkas for dinner. "</t>
  </si>
  <si>
    <t>http://www.archanaskitchen.com/methi-paneer-bhurji-recipe-in-hindi</t>
  </si>
  <si>
    <t>Paan Matka Kulfi Recipe</t>
  </si>
  <si>
    <t>2 liter Milk - full fat,1/2 teaspoon Cardamom Powder (Elaichi),Saffron strands - a few,1/3 cup Sugar,1/4 cup Sweet paan mix - you get them in the mukhwas section,Dried rose petals - to garnish,Pistachios - crushed</t>
  </si>
  <si>
    <t xml:space="preserve">To begin making the Paan Matka Kulfi Recipe, bring the milk to a boil in a heavy bottom pan. Reduce the milk to half it's quantity, stirring continuously.  This will take about 20 -25 minutes. Ensure you keep stirring while reducing the milk, else the cream will get settled in the bottom of the pan and get burnt.Hence it is always important to keep a ladle in the pan and keep stirring continuously.Once the milk has reduced, add the saffron strands and the cardamom powder. Mix well and add the sugar at this stage. Once the sugar has melted, add the dry pan mukhwas. Mix vigorously until the paan kulfi is well combined. Turn off the flame and allow the Paan Matka Kulfi to cool down to room temperature. Spoon this Paan Matka Kulfi mixture into matkis, garnish with dry rose petals and crushed pistachios. Cover the matka with a foil and place the Paan Matka Kulfi in the freezer section and freeze  them for minimum 8 hours to overnight to get a well set kulfi.Serve Paan Matka Kulfi Recipe after a meal of Amritsari Ajwaini Paneer Recipe, Butter Garlic Naan Recipe, Peas Pulao Recipe, and Onion Raita Recipe.
</t>
  </si>
  <si>
    <t>https://www.archanaskitchen.com/paan-matka-kulfi-recipe</t>
  </si>
  <si>
    <t>Shahi Bhindi Recipe In Cashew Nut Gravy Recipe</t>
  </si>
  <si>
    <t>300 gms lady finger - cut into 1 inch pieces, 1/2 tsp red chili powder, 1/4 tsp turmeric powder, 1/2 tsp garam masala powder, 2 tbsp cream, 1/2 tsp kasuri methi, 2 tsp oil, 1 tbsp ghee, 1 onion - chopped, 1/4 cup cashew nuts, 1 tomato - chopped, 4 garlic cloves, 1 tsp ginger - grated, 2 cardamoms, 2 cloves, 1/2 inch cinnamon, 1 green chili, 1 tsp shahi jeera</t>
  </si>
  <si>
    <t>"To make Shahi Bhindi recipe, first prepare the ladyfinger and all other ingredients. Heat oil in a pan. Add Shahi jeera and let it crackle. After this add cardamom, cinnamon, cloves and cook for 10 seconds. Now add onion, garlic, ginger and cook till onion becomes soft. After onion becomes soft, add cashews, green chilies and cook for 1 minute. After 1 minute add tomatoes and cook till tomato becomes soft. Turn off the gas and let this mixture cool down. Put this mixture in the mixer grinder and make a paste. Heat ghee in a pan. Add ladyfinger, salt and cook for 5 minutes. Turn off the gas and take it out in a bowl. Heat oil in a pan. Add ground masala, red chili powder, turmeric powder, garam masala powder and cook for 3 to 4 minutes. Now add ladyfinger, hot water as per requirement and cook for 2 to 3 minutes. Now Add 2 tbsp cream, kasuri methi, mix and cook for 1 minute. Turn off the gas. Garnish with coriander leaves and serve. Serve Shahi Bhindi with Daal Makhani, Garlic Naan and Jeera Rice for dinner.</t>
  </si>
  <si>
    <t>https://www.archanaskitchen.com/shahi-bhindi-recipe-in-cashew-nut-gravy-okras-in-cashew-nut-curry-in-hindi</t>
  </si>
  <si>
    <t>Saag Tofu</t>
  </si>
  <si>
    <t>250 grams tofu - cut, 300 grams spinach, 300 grams mustard, 2 inch ginger, 4 green chilies - cut, 1/4 cup tomato puree, 8 garlic cloves - grind, 1 teaspoon cumin seeds, asafoetida - a pinch, 1/2 teaspoon turmeric powder, 1 teaspoon garam masala powder, salt - according to taste, 2 tablespoons corn flour, 3 dry red chilies, 1 teaspoon oil, 1 teaspoon ghee, water - according to use</t>
  </si>
  <si>
    <t>"To make Saag Tofu, first wash mustard and spinach. Chop both and steam for 5 minutes. After this, let both cool down a bit. After cooling, put them in a blender and make a puree. Now heat oil in a pan. Add tofu pieces in it and cook till it becomes light brown. After cooking, take it out separately. Heat ghee in the same pan. Add dry red chili, cumin seeds and let it cook for 15 seconds. After 15 seconds, add asafoetida, garlic, green chili and let it cook for 1 minute. After 1 minute, add tomato puree, turmeric powder, garam masala powder and let it boil. After boiling, add spinach and mustard puree and corn flour in it. Add salt and let it cook for 5 minutes. After 5 minutes, turn off the gas and serve. Serve Saag Tofu with Makki ki Roti and Burani Raita for lunch.</t>
  </si>
  <si>
    <t>https://www.archanaskitchen.com/saag-tofu-recipe-in-hindi</t>
  </si>
  <si>
    <t>Urad Ki Sukhi Dal Recipe</t>
  </si>
  <si>
    <t>1 cup white urad dal, 1 tsp turmeric powder, 1 tsp red chilli powder, salt - according to taste, 1 onion - finely chopped, 1 green chilli - finely chopped, 1 inch ginger - grated, 1 tsp coriander powder, 1 tsp cumin seeds, 1/4 tsp asafoetida, 1 tsp garam masala powder, salt - according to taste, 2 tbsp ghee, 1 tsp lemon juice, green coriander - a little</t>
  </si>
  <si>
    <t>"To make Urad Ki Sukhi Daal Recipe, first wash the lentils thoroughly and then soak them for 4 to 5 hours. After soaking, put the lentils in a pressure cooker along with salt, turmeric powder, red chili powder, water as per requirement, mix and close the cooker. Cook till 2 whistles and keep aside. Now for tempering, heat ghee in a tempering pan. Add cumin seeds, asafoetida and cook for 10 seconds. After 10 seconds, add onion, green chili, ginger and cook till onion becomes soft. Now add garam masala, coriander powder and mix. After 1 minute, add lemon juice and mix. Serve Urad Ki Sukhi Daal Recipe with Tawa Paratha and Carrot Tadka Raita for lunch."</t>
  </si>
  <si>
    <t>https://www.archanaskitchen.com/urad-ki-sukhi-dal-recipe-spicy-dry-urad-dal-in-hindi</t>
  </si>
  <si>
    <t>Lehsun ki Chutney - Spicy Garlic Chutney</t>
  </si>
  <si>
    <t>1/2 cup Garlic - peeled,8-10 Dry Red Chillies,1 teaspoon Cumin seeds (Jeera),1 Lemon - juiced,1/4 cup Water,Salt - to taste</t>
  </si>
  <si>
    <t xml:space="preserve">To begin making the Lehsun ki Chutney - Spicy Garlic Chutney,combine the garlic, chillies, cumin seeds, lemon juice, water and salt to taste in a blender and blend to make a smooth chutney.Transfer the Lehsun Ki Chutney into a bowl and serve. You can store the Lehsun ki Chutney -Spicy Garlic Chutney in a glass jar and serve as desired.You can also add a little water before serving to make the Lehsun ki Chutney have a little saucy consistency. Store refrigerated for about two weeks.Serve the Lehsun ki Chutney recipe along with Vada Pav for a tea time snack. You can even serve it with hot Gujarati Style Bhakri and   Homemade Curd for brunch.
</t>
  </si>
  <si>
    <t>https://www.archanaskitchen.com/lahsun-ki-chutney-recipe-a-spicy-garlic-chutney</t>
  </si>
  <si>
    <t>Hing Pani Puri Recipe-Asafoetida Pani Puri</t>
  </si>
  <si>
    <t>40 Pani Puris,1/4 cup Coriander (Dhania) Leaves,1/4 cup Mint Leaves (Pudina),2 Green Chillies,1 cup Tamarind Water,1 tablespoon Jaggery,1 teaspoon Black Salt (Kala Namak),1/2 teaspoon Cumin powder (Jeera),1/2 teaspoon Red Chilli powder,1 teaspoon SSP Asafoetida (Hing),3 Potatoes (Aloo) - boiled and mashed,1/2 cup Green Moong Sprouts,1 teaspoon Chaat Masala Powder,1/2 teaspoon Cumin powder (Jeera),1/2 teaspoon Red Chilli powder,Salt - to taste</t>
  </si>
  <si>
    <t xml:space="preserve">To begin making the Hing Pani Puri Recipe we will first make the pani. Thoroughly wash and chop the coriander and mint leaves.  In a mixer-jar combine, the mint leaves, coriander leaves, green chillies, tamarind pulp, jaggery,black salt, cumin powder, chat masala, red chilli powder, hing and  grind to a fine paste along with some water. Check the salt and spices and adjust to suit your taste.For the potato-green sprouts fillingFor the Pani Puri filling, in a mixing bowl, mash the potatoes, add the green moong sprouts and chaat masala, cumin powder and red chilli powder, black salt to taste and chopped coriander leaves. Stir well to combine. Serve Hing Pani Puri Recipe, by slightly crack the puris on the top to make an opening, stuff the potato-sprouts filling, fill it with the spicy hing pani and serve.You can either use store bought puris, or make Puri for Pani Puri Recipe at home.Serve Hing Pani Puri Recipe-Asafoetida Pani Puri at a chaat party along with Bhel Puri Recipe, Banarasi Tamatar Chaat Recipe. 
</t>
  </si>
  <si>
    <t>http://www.archanaskitchen.com/chatpata-hing-pani-puri-recipe-flavored-asafoetida-pani</t>
  </si>
  <si>
    <t>Tomato Poha With Peas</t>
  </si>
  <si>
    <t>2 cups poha, 1/2 cup green peas - soak in hot water for 5 minutes, 1 onion - finely chopped, 3 tomatoes - finely chopped, 1 green chilli - finely chopped, 2 cloves garlic, 1 tsp fennel seeds, 1 tsp mustard seeds, 1/4 tsp asafoetida, 1/2 tsp turmeric powder, 1 tsp red chilli powder, 1 tsp coriander powder, 1 sprig curry leaves, 2 tbsp coriander leaves - finely chopped (for garnish), 2 tsp oil, 2 tsp lemon juice, salt - according to taste</t>
  </si>
  <si>
    <t>"To make Tomato Pea Poha, first wash the Poha thoroughly. After washing it 2-3 times, drain all the water and keep it aside. Now heat oil in a pan. Add mustard seeds and let it cook for 10 seconds. Now add fennel seeds and garlic in a mortar and pestle. Grate it and put it in the pan. Cook till the garlic turns golden. Now add asafoetida, curry leaves. After 10 seconds, add onion and cook till it becomes soft. After the onion becomes soft, add tomatoes, green chilies and let it cook till the tomato becomes soft. Now add turmeric powder, red chili powder and coriander powder. Let it cook for 1 minute. Now add poha, salt and mix everything. Cover the pan and let it cook for 10 minutes. After cooking, turn off the gas and garnish with green coriander. Serve Tomato Pea Poha for breakfast with masala tea and fruit bowl. "</t>
  </si>
  <si>
    <t>https://www.archanaskitchen.com/tomato-poha-with-peas-recipe-in-hindi</t>
  </si>
  <si>
    <t>Vegetable Handi Biryani Recipe</t>
  </si>
  <si>
    <t>2 cups Rice - soaked for 30 minutes,1 Cardamom (Elaichi) Pods/Seeds,1 Bay leaf (tej patta),1 inch Cinnamon Stick (Dalchini),3 Cloves (Laung),1 tablespoon Ghee,1 cup Milk,1 cup Kala Chana (Brown Chickpeas) - soaked overnight and pressure cooked till done,1 Carrot (Gajjar) - chopped small,250 grams Green beans (French Beans) - chopped small,1 Onion - chopped,4 cloves Garlic - chopped,1 inch Ginger - chopped,2 Tomatoes - chopped,1 Green Chilli - slit,1 tablespoon Red Chilli powder,1 teaspoon Turmeric powder (Haldi),1 tablespoon Cumin powder (Jeera),1 teaspoon Coriander Powder (Dhania),1 tablespoon Garam masala powder,1 cup Curd (Dahi / Yogurt),Salt - to taste,Sunflower Oil,Coriander (Dhania) Leaves - to serve,1 cup Milk,6 Saffron strands,1 cup Wheat Berries/ Whole Wheat</t>
  </si>
  <si>
    <t xml:space="preserve">To begin making the Vegetable Handi Biryani Recipe, we will first keep a pressure cooker on a medium flame. Add ghee, once it starts to melt add all the spice.Add your soaked rice with 1 cup milk and 3 cups of water. Sprinkle little salt and pressure cook it for 2 whistle.Heat a sauce pan with oil, add onions, garlic, ginger and saute until it softens. Add carrots and green beans and saute until the vegetables are cooked.Add tomatoes and sprinkle little salt so that the tomatoes get cooked quickly. Once the tomatoes become mushy add all the spice powders and give it a toss.Finally add curd and cooked chana and mix well. Cook until all the masala comes together. Season it well with salt. Keep it aside.Heat the milk and saffron mixture in a microwave oven till it the milk is luke warm.Mix water with whole wheat flour to form a firm dough and keep it ready.Take out a Handi or a casserole, add the channa masala mixture at the bottom, layer it with your flavored rice. Pour saffron flavored milk on top and sprinkle with chopped coriander leaves.Cover it with a lid. Roll the dough to form a long cylindrical rope. Cover the edges of the lid tightly with the dough. Make sure the heat does not come out.Cook in simmer or low heat for about 15 minutes and then serve.Serve the Vegetable Handi Biryani Recipe with a cucumber raita, carrot salad by the side to enjoy your Biryani.
</t>
  </si>
  <si>
    <t>https://www.archanaskitchen.com/vegetable-handi-biryani-recipe</t>
  </si>
  <si>
    <t>Mughlai Dum Arbi Recipe</t>
  </si>
  <si>
    <t>500 grams Colocasia root (Arbi) - skin peeled,1 Cardamom (Elaichi) Pods/Seeds,4 Cloves (Laung),2 teaspoon Coriander Powder (Dhania),1 teaspoon Red Chilli powder,1 teaspoon Garam masala powder,1 teaspoon Turmeric powder (Haldi),1/4 cup Fresh cream,1/2 cup Curd (Dahi / Yogurt),Salt - to taste,Ghee - for cooking,2 Onion - sliced and fried till golden brown,2 tablespoon Poppy seeds - soaked in warm water,5 Cashew nuts - soaked in warm water,1 inch Ginger - chopped,4 cloves Garlic - chopped</t>
  </si>
  <si>
    <t xml:space="preserve">To begin making the Mughlai Dum Arbi Recipe, we will first peel the skin of the Arbi and cut them into half and set aside.Place a Kadai on medium heat and add some ghee. Add Arbi and keep roasting them till they turn golden brown and become soft. Take them out and drain it over a paper napkin.In the same kadai, add sliced onions and two teaspoons of oil and saute until they turn golden brown. Turn off the heat.Drain the water from the soaked poppy seeds and soaked cashew nuts.In a mixer, add the poppy seeds, browned onion, cashew nuts, ginger and garlic and add a little water and grind into a smooth paste.On a medium heat, on a heavy bottomed kadai, add some ghee and add green cardamom and cloves and allow it to roast for few seconds.Add in the ground paste and saute for few minutes, after it is done you can add curd and add turmeric powder, coriander powder, red chili powder and garam masala powder and stir well until the masala comes together.Add the roasted arbi, salt to taste and cream at the end and give it a stir. Close the pan and cook for 10 more minutes and serve hot with nuts and raisins as your garnish. Serve the Mughlai Dum Arbi Recipe along with Garlic Naan, Dahi Ke Kebab by the side to enjoy your special lunch on your weekday.
</t>
  </si>
  <si>
    <t>http://www.archanaskitchen.com/mughlai-dum-arbi-recipe</t>
  </si>
  <si>
    <t>Shahi Bhindi Recipe in Cashew Nut Gravy - Okras in Cashew Nut Curry</t>
  </si>
  <si>
    <t>300 grams Bhindi (Lady Finger/Okra) - cut in 1 inch length,1/2 teaspoon Red Chilli powder,1/4 teaspoon Turmeric powder (Haldi),1/2 teaspoon Garam masala powder,2 tablespoon Fresh cream,1/2 teaspoon Kasuri Methi (Dried Fenugreek Leaves),2 teaspoon Sunflower Oil,1 tablespoon Ghee,1 Onions - roughly chopped,1/4 cup Cashew nuts,1 Tomato - chopped,4 Garlic,1 teaspoon Ginger - grated,2 Cardamom (Elaichi) Pods/Seeds,2 Cloves (Laung),1/2 inch Cinnamon Stick (Dalchini),1 Green Chillies,1/2 teaspoon Cumin (Jeera) seeds</t>
  </si>
  <si>
    <t xml:space="preserve">To begin making the Shahi Bhindi Recipe in Cashew Nut Gravy - Okras in Cashew Nut Curry, first prepare the bhindi and get all the ingredients ready and keep aside.Heat a teaspoon of oil in a heavy bottomed pan or a skillet. Add the jeera and allow it to crackle. Add cardamom, cinnamon stick, clove and stir for few seconds. Add onions, garlic and ginger and saute until the onions are pink and soft.Add cashew nuts, green chili and saute for a minute along with the onions.Add tomatoes and saute well until all the raw smell goes off, tomatoes are soft and spices releases roasted aroma. Once all the ingredients are softened and cooked, turn off the heat and allow it to cool.Once cooled, grind this shahi masala mixture into a smooth paste.Heat ghee in the same pan as above and add the cut bhindi. Sprinkle some salt and stir saute them for about 5 minutes on medium heat until cooked through. Do not allow them to burn but just roast them well. Transfer the cooked bhindi into another bowl.In the same pan,  heat 1 tablespoon of oil. Add the ground shahi masala paste, red chili powder, turmeric powder, garam masala powder and saute until the masala is cooked well.Add the fried bhindi and stir to combine the bhindi well into the shahi masala. Add  warm water to adjust the consistency of the gravy . Bring the Shahi Bhindi to a brisk boil and cook for 2 to 3 minutes.Lastly, add 2 tablespoon of cream and kasuri methi. Stir and cook for another minute and turn off the heat. Stir in the chopped coriander leaves and serve.Serve the Shahi Bhindi in Cashew Nut Gravy along with Parathas or Butter Naan, Jeera Rice and Sindhi Kadhi for a perfect weekend party with friends.
</t>
  </si>
  <si>
    <t>http://www.archanaskitchen.com/shahi-bhindi-recipe-in-cashew-nut-gravy-okras-in-cashew-nut-curry</t>
  </si>
  <si>
    <t>Lehsuni Methi Paneer Recipe - Garlic Methi Paneer Curry</t>
  </si>
  <si>
    <t>250 grams Paneer (Homemade Cottage Cheese),1 tablespoon Kasuri Methi (Dried Fenugreek Leaves),3 tablespoons Curd (Dahi / Yogurt),1/2 cup Fresh cream,1/2 teaspoon Garam masala powder,1/4 teaspoon Cardamom Powder (Elaichi),Salt - to taste,1 teaspoon Ghee - for cooking,8 Whole cashews,4 cloves Garlic,2 Green Chillies - chopped,1 inch Ginger - chopped</t>
  </si>
  <si>
    <t xml:space="preserve">To begin making the Lehsuni Methi Paneer recipe, soak the cashews in a bowl with 1/4 cup water for about an hour.After an hour, grind cashew along with ginger, garlic and green chillies and the soaked cashew water make a smooth paste and keep aside.In a big bowl, add cashew ginger garlic and chilli paste, fresh cream, curd, garam masala, cardamom powder salt and whisk well to form a smooth mixture. Heat ghee in a pan over medium heat; Add the cashew cream mixture, the chopped Paneer cubes and simmer for about 5 minutes.Add water to adjust the consistency of the mixture while it's simmering. Check the salt and spices and adjust to taste accordingly. Finally stir in the kasuri methi, cover the pan and turn off the heat.Allow the flavours of methi to get infused into the Lehsuni Paneer Methi sabzi. Transfer the Lehsuni Methi Paneer into a serving bowl and serve hot.Serve Lehsuni Methi Paneer Recipe along with Smoked Makhani Dhaba Style Dal, Jeera Rice, Tomato Onion Tadka Raita and Garlic Naan for a house party.
</t>
  </si>
  <si>
    <t>http://www.archanaskitchen.com/lehsuni-methi-paneer-recipe-paneer-curry-flavoured-with-fenugreek-and-garlic</t>
  </si>
  <si>
    <t>Pumpkin Dal with Garlic Tadka Recipe</t>
  </si>
  <si>
    <t>1/4 cup Arhar dal (Split Toor Dal),1/4 cup Yellow Moong Dal (Split),1/4 cup Masoor Dal (Whole),1 inch Ginger - grated,2 Green Chillies - slit,1 inch Cinnamon Stick (Dalchini),1 Bay leaves (tej patta),2 Tomatoes - finely chopped,250 grams Kaddu (Parangikai/ Pumpkin) - peeled and chopped,Salt - to taste,Sunflower Oil - for cooking,1 teaspoon Turmeric powder (Haldi),1 teaspoon Ghee,1 teaspoon Cumin seeds (Jeera),4 cloves Garlic,2 Dry Red Chillies</t>
  </si>
  <si>
    <t xml:space="preserve">To begin making the Pumpkin Dal with Garlic Tadka Recipe, we will be cooking all the ingredients for the dal in a pressure cooker.First, get all the ingredients ready. Wash the dal, cut the pumpkin and the remaining ingredients ready.Add all the ingredients into the pressure cooker (except the ingredients for the tadka), add 2-1/2 cups of water, salt and cover the pressure cooker. Cook until you hear two whistles. After a couple of whistles, turn the heat to low and simmer for a couple of minutes and turn off the heat.Allow the pressure to release naturally. Once the pressure has released, open the cooker and give the dal a stir and transfer to a serving bowl. Check the salt and spices and adjust to suit your taste.For the garlic tadka, heat ghee in a small tadka pan on medium heat. Add the cumin seeds, garlic and red chilies. Allow them to roast for a few seconds and pour the tadka over the dal.Serve the Pumpkin Dal with Garlic Tadka Recipe along with steamed rice, papad and achaar for a quick weeknight dinner.
</t>
  </si>
  <si>
    <t>https://www.archanaskitchen.com/pumpkin-dal-with-garlic-tadka-recipe</t>
  </si>
  <si>
    <t>Sukhi Aloo Sabzi</t>
  </si>
  <si>
    <t>4 potatoes - boiled, 2 tbsp oil, 1/2 tsp mustard seeds, 1/2 tsp cumin seeds, 1/2 tsp turmeric powder, 1 tsp coriander powder, 1 tsp garam masala powder, 1/2 tsp dried mango powder, 1/2 tsp red chilli powder, salt - according to taste, 2 sprigs coriander leaves - chopped, oil - according to use</t>
  </si>
  <si>
    <t>"To make Sukhi Aloo Sabzi, first boil the potatoes in a pressure cooker with water and salt as per requirement. Let the pressure release. After it cools down, peel and chop them. Now heat 2 tablespoons of oil in a pan. Add mustard seeds, fennel seeds, cumin seeds and let it cook for 15 seconds. After 15 seconds, add potatoes, rest of the spices and salt. Mix everything and sprinkle some water. Cover the pan and let it cook for 10 to 12 minutes. Serve hot. Serve Sukhi Aloo Sabzi with Gujarati Kadhi and Methi Thepla for lunch or dinner."</t>
  </si>
  <si>
    <t>https://www.archanaskitchen.com/sukhi-aloo-sabzi-recipe-in-hindi</t>
  </si>
  <si>
    <t>1/4 cup carrot - grated, 1/4 cup zucchini - grated, 1/4 cup beetroot - grated, 1/4 cup bottle gourd - grated, 1/4 cup cabbage - grated, 1/4 cup tofu - grated, 1 tsp ginger garlic paste, 2 green chillies - grind, 2 tbsp multigrain flour - or gram flour, 1/2 tsp coriander powder, 1/2 tsp cumin powder, 2 tsp rice flour, 1/4 tsp asafoetida, 1/2 tsp dried mango powder, salt - according to taste, oil - for frying (as per requirement), 2 onions - chopped, 3 tomatoes - boiled and peeled and finely chopped, 7 cashews - soaked in hot water for 30 minutes, 1 tsp garam masala powder, 1 tsp red chilli powder, 1 tsp cumin seeds, 1/2 tsp sugar, 1 tsp ginger garlic powder Paste, oil - as per requirement, salt - as per taste, green coriander - some</t>
  </si>
  <si>
    <t>"To make Vegan Kofta Curry, first of all take all the ingredients given for making kofta in a bowl. Mix well and make small balls of the size of a lemon. Heat oil in a pan and after it gets heated add these balls slowly in it. Fry till they turn brown. Take them out on a tissue paper with the help of a spoon. You can also make these koftas in a paniyaram pan. Now we will make its gravy. In a mixer grinder put onion, tomato, cashew and make a paste of it. Now heat oil in a pan. Add cumin seeds in it and cook for 10 seconds. After 10 seconds add onion and ginger garlic paste in it. Cook for 3 minutes and after that add tomato paste in it. Mix and cook for 3 to 5 minutes. After 5 minutes add garam masala, red chili powder in it and mix. After 15 seconds add cashew paste, sugar and salt in it. Add water as per requirement and fry for 3 to 4 minutes. Let it cook for a minute. After 3 to 4 minutes, turn off the gas and garnish with coriander leaves. Serve Vegan Kofta Curry with Laccha Paratha and Palak Raita for dinner.</t>
  </si>
  <si>
    <t>https://www.archanaskitchen.com/vegan-kofta-curry-recipe-recipe-in-hindi</t>
  </si>
  <si>
    <t>Beans Karam Recipe (Beans Curry)</t>
  </si>
  <si>
    <t>500 grams Green beans (French Beans),2 Onions - chopped,1 tablespoon Coriander (Dhania) Seeds,1/2 teaspoon Cumin seeds (Jeera),4 Dry Red Chillies,2 Byadagi Dried Chillies,1 cup Fresh coconut - grated,2 tablespoons Dessicated Coconut,1 tablespoon Poppy seeds,1 Tamarind - lemon ball sized,2 tablespoons Jaggery,1 tablespoon Turmeric powder (Haldi),Salt - to taste,1 teaspoon Mustard seeds,10 Curry leaves,1/4 teaspoon Asafoetida (hing)</t>
  </si>
  <si>
    <t xml:space="preserve">To begin making the Beans Karam recipe, roast coriander seeds, cumin seeds, chillies, dry coconut, poppy seeds and fresh coconut in a pan with little oil.Grind this mixture with tamarind extract, jaggery, 1/2 an onion and salt into a paste in a mixer grinder.Cook the beans till tender in a pan with some water. Heat oil in a heavy bottomed pan, add mustard seeds and let them crackle.Next, add hing, curry leaves, 1-1/2 onions with a pinch of salt and let it cook until transparent.Add turmeric powder, beans and saute for a minute. Add the ground masala paste to the pan and cook for 5 to 6 minutes while stirring in between.Add a cup of water and bring this to a boil. Adjust the seasoning and serve hot.Serve Beans Karam Recipe along with Phulkas, Steamed Rice and Puli Manga Kuzhambu Recipe for a complete meal.
</t>
  </si>
  <si>
    <t>http://www.archanaskitchen.com/beans-karam-recipe-beans-curry</t>
  </si>
  <si>
    <t>Gajar Shalgam Ka Paani Wala Achar Recipe - Carrot And Turnip Pickle</t>
  </si>
  <si>
    <t>4 Turnips - peeled &amp; cut in thick slices,2 Carrots (Gajjar) - peeled &amp; cut in thick slices,1-1/2 cups Water,2 tablespoons Vinegar,1 teaspoon Mustard seeds,1 tablespoon Fennel seeds (Saunf),1 teaspoon Cumin seeds (Jeera),1 teaspoon Methi Seeds (Fenugreek Seeds) - optional,Salt - as needed</t>
  </si>
  <si>
    <t xml:space="preserve">To begin making the Gajar Shalgam Ka Paani Wala Achar recipe, cut vegetables into thick slices and wash it nicely.Add 1-1/2 cups of water and the vegetables in a pressure cooker and pressure cook for 1 whistle.Turn off the heat and allow the steam to release naturally.Once the steam is completely released, transfer the vegetables along with the water into a pan and keep aside.In a separate pan, dry roast mustard seeds, cumin and fennel along with some fenugreek seeds and crush them partially using a mortar pestle.Add vinegar, salt and the crushed spices to the cooked turnip and carrot and stir nicely. Give a gentle boil and turn off the heat.Allow the pickle to cool down completely and later transfer it in a jar or any container and store in fridge.Serve Gajar Shalgam Ka Paani Wala Achar with Whole Wheat Lachha Paratha, Gajar Paratha or any other stuffed paratha for breakfast or dinner.
</t>
  </si>
  <si>
    <t>http://www.archanaskitchen.com/gajar-shaljam-ka-paani-wala-achar-recipe-instant-carrot-and-turnip-pickle</t>
  </si>
  <si>
    <t>Tofu Bhurji Recipe</t>
  </si>
  <si>
    <t>300 gms tofu - crumbled, 1 onion - chopped, 1 tomato - chopped, 1 green chilli - chopped, 1 capsicum (red), 1 tsp cumin seeds, 2 tsp red chilli powder, 1 tsp black pepper powder, 1 tsp turmeric powder, 4 sprigs coriander leaves - chopped, salt - according to taste, oil</t>
  </si>
  <si>
    <t xml:space="preserve">To make Tofu Bhurji Recipe, first crumble the tofu and keep it aside. Now heat oil in a pan. Add cumin seeds, onion, capsicum, green chillies, ginger and cook till the capsicum becomes soft. After it becomes soft, add tomatoes, turmeric powder, red chilli powder and mix well. Now add crumbled tofu, salt and cook for 1 more minute. Serve. Serve Tofu Bhurji Recipe with Bread Toast and Punjabi Style Espresso Coffee for breakfast.
</t>
  </si>
  <si>
    <t>https://www.archanaskitchen.com/tofu-bhurji-recipe-spicy-scrambled-tofu-in-hindi</t>
  </si>
  <si>
    <t>Masala Lachha Paratha Recipe</t>
  </si>
  <si>
    <t>2 cups Whole Wheat Flour,1 teaspoon Coriander Powder (Dhania),1 teaspoon Red Chilli powder,1 teaspoon Garam masala powder,1/2 teaspoon Turmeric powder (Haldi),Salt - to taste,2 tablespoons Sunflower Oil,Water - as required,Ghee - to layer and cooking parathas</t>
  </si>
  <si>
    <t xml:space="preserve">To begin making the Masala Lachha Paratha Recipe, attach the atta kneading blade into the Zodiac Master Chef Jar.Once done add whole wheat flour, red chilli powder, garam masala powder, turmeric powder, salt to taste and 1 tablespoon of oil into the jar.Close the jar and turn on the atta kneading function. Add little water at a time from the nozzle until you notice the dough comes together. Towards the end when the dough has come together drizzle a little more oil. Run the food processor until the dough comes away from the sides of the jar. Divide the dough into large lemon size portions. You will get 8 to 9 portions. Preheat a skillet on medium heat. If you are using a cast iron skillet, then grease the skillet well and allow it to preheat.Shape each dough portion into a round ball, press it between the palm of your hands.Dust the dough in flour and roll it into a 6 inch diameter circle. Smear the ghee over the rolled dough and dust a little flour all over. Fold the dough forming pleats. Grease the pleats in between with some ghee.Roll the folded dough into a swiss roll. Flatten the dough between your palms, dust in flour and roll into a 4 to 5 inch circle. Place the rolled layered Lachha Paratha on the preheated skillet. Cook for a few seconds and flip.Drizzle ghee and cook the Masala Lachha paratha until golden brown and cooked through completely.Serve the Whole Wheat Lachha Paratha along with Mango Achar, Paneer Butter Masala or your favorite Vegetarian Gravy for a weeknight dinner or even for breakfast along with a chutney.
</t>
  </si>
  <si>
    <t>http://www.archanaskitchen.com/masala-lachha-paratha-recipe</t>
  </si>
  <si>
    <t>Spicy &amp; Masaledar Aloo Gobi &amp; Beans Tawa Sabzi Recipe</t>
  </si>
  <si>
    <t>2 Potatoes (Aloo) - peeled and diced,1 Cauliflower (gobi) - cut into florets,1 cup Green beans (French Beans) - cut into 1 inch pieces,2 Tomatoes - finely chopped,1 inch Ginger - chopped,4 cloves Garlic - chopped,1 Green Chilli - slit,1 teaspoon Red Chilli powder,1/4 teaspoon Turmeric powder (Haldi),2 teaspoons Coriander Powder (Dhania),1 teaspoon Cumin powder (Jeera),1 teaspoon Garam masala powder,1 teaspoon Amchur (Dry Mango Powder),Salt - to taste,Sunflower Oil,3 sprig Coriander (Dhania) Leaves - chopped</t>
  </si>
  <si>
    <t xml:space="preserve">To begin making the Spicy &amp; Masaledar Aloo Gobi &amp; Beans Tawa Sabzi Recipe, heat a kadai with oil over medium heat.Add ginger and garlic, allow it to soften. Once done add chopped onions and cook till they turn translucent.Add chopped tomatoes and sprinkle with little salt and cook until the tomatoes become mushy and soft. Once the tomatoes soften, add all the spice powders and saute well. Stir in the potatoes, cauliflower and green beans along with salt to taste. Sprinkle 1/4 cup of water and cook until the vegetables are cooked through. Check for salt and add if required.Cook until the Aloo Gobi &amp; Beans Tawa Sabzi  becomes semi dry. Once done, turn off the heat and stir in the chopped coriander leaves and mix well.Serve the Masaledar Aloo Gobi &amp; Beans Tawa Sabzi along with Tawa paratha, Punjabi Kadhi Pakora and Curd rice to make it a complete meal.
</t>
  </si>
  <si>
    <t>http://www.archanaskitchen.com/spicy-masaledar-aloo-gobi-beans-tawa-sabzi-recipe</t>
  </si>
  <si>
    <t>Spicy Baby Potatoes</t>
  </si>
  <si>
    <t>12 small potatoes, oil - as per requirement, 1 dried red chilli, 1 tsp cumin seeds, 1 sprig curry leaves, 1 tsp coriander powder, 1/2 tsp turmeric powder, 1 tsp cumin powder, 1 tsp red chilli powder, 1 tsp garam masala powder, 1 tsp dry mango powder, salt - as per taste, 1 tsp lemon juice, 3 tbsp coriander leaves - chopped</t>
  </si>
  <si>
    <t>"To make Spicy Small Potatoes, first boil the potatoes with water in a pressure cooker. After they cool down, peel them and keep them aside. Now heat oil in a pan. Add dried red chillies, curry leaves, cumin seeds and let them cook for 10 seconds. After cooking for 10 seconds, add coriander powder, red chilli powder, turmeric powder, dry mango powder, cumin powder, garam masala powder and turmeric powder. Cook for 30 seconds. After 30 seconds, add potatoes and mix everything. Cook for 6 to 7 minutes. After that add salt, lemon juice and mix. Turn off the gas and garnish with green coriander. Serve Spicy Small Potatoes with Panchmel Dal, Boondi Raita and Phulkas for lunch."</t>
  </si>
  <si>
    <t>https://www.archanaskitchen.com/spicy-baby-potatoes-recipe-in-hindi</t>
  </si>
  <si>
    <t>Patta Gobi Matar Nu Shaak Recipe (Cabbage &amp; Peas Sabzi Recipe)</t>
  </si>
  <si>
    <t>3 cups Cabbage (Patta Gobi/ Muttaikose) - finely chopped,1/2 cup Green peas (Matar),1 teaspoon Mustard seeds,1 Bay leaf (tej patta) - roughly torn,1 sprig Curry leaves - roughly torn,1 Tomato - finely chopped,1/2 teaspoon Turmeric powder (Haldi),1/2 teaspoon Red Chilli powder,1/2 teaspoon Garam masala powder,Salt - to taste,Sunflower Oil - for cooking</t>
  </si>
  <si>
    <t xml:space="preserve">To begin making the Patta Gobi Matar Nu Shaak, first prep all the ingredients and keep them ready. Add the chopped cabbage and the green peas into the pressure cooker, sprinkle some salt and 3 tablespoons water.Pressure cooker for just two whistles and turn off the heat. Release the pressure immediately so the peas remain green and the vegetables don't get overcooked.Keep this aside. In a heavy bottomed pan, add the mustard seeds and allow it to crackle. Add the bay leaf, curry leaves and tomatoes.Saute one medium heat until the tomatoes are lightly softeted. Add the remaining spice ingredients and give it a stir.Add the cooked cabbage and peas, and saute until well combined. Cover and allow it to cook for a couple of minutes till all the flavors are absorbed by the Patta Gobi.Once done, turn off the heat and serve warm.Serve the Patta Gobi Matar Ki Sabzi along with Khatta Mag and Phulkas for a wholesome meal.
</t>
  </si>
  <si>
    <t>http://www.archanaskitchen.com/patta-gobi-matar-nu-shaak-recipe-cabbage-peas-sabzi-recipe</t>
  </si>
  <si>
    <t>Spicy &amp; Tangy Pakodi Chaat Recipe</t>
  </si>
  <si>
    <t>1 cup Dried Yellow/White Peas (Vatana) - soaked for 4 hours,1/2 teaspoon Turmeric powder (Haldi),1 cup Gram flour (besan),1 Onion - chopped,1/8 teaspoon Baking soda,Salt - per taste,1/2 tablespoon Black pepper powder,1 teaspoon Cumin powder (Jeera) - roasted,2 teaspoons Coriander Powder (Dhania),1 tablespoon Green Chutney (Coriander &amp; Mint),1 tablespoon Sweet Chutney (Date &amp; Tamarind),1 teaspoon Sugar - powdered,3 tablespoons Curd (Dahi / Yogurt),1 teaspoon Green Chilli - chopped,Sunflower Oil - for frying,Black Salt (Kala Namak) - as required,1 Onion - chopped for serving,2 tablespoons Raw Peanuts (Moongphali) - roasted or fried,Curry leaves - as required</t>
  </si>
  <si>
    <t xml:space="preserve">To begin with Pakodi Chaat recipe, firstly soak white peas for about 4 hours.Add turmeric and salt and pressure cook up to 3 whistles until those are too soft.Mash peas with back side of a spatula and add black pepper powder, coriander powder, cumin powder and cook with 1/4 cup of water for 2 minutes.In the meantime fry pakodi. Make a thick batter of gram-flour, salt, curry leaves, chopped onion, baking soda with 4 to 5 tablespoons of water. Heat oil, drop the batter in the oil to form small fritters.Reduce heat to medium and deep fry till they turn golden brown in a deep fry pan.Whisk the curd and add sugar powder in it. Mix it properly.Take two plates. Spread spiced mashed peas on it. Add pakodis to it. Top it with curd, dhaniya pudina chutney and date tamarind chutney as per your taste.Serve  the Pakodi Chaat on its own with a hot cup of Masala Chai for a evening snack or serve along with Homemade Canape Papdi Chaat  and Moong Sprouts Usal  for your next chaat party.
</t>
  </si>
  <si>
    <t>https://www.archanaskitchen.com/spicy-tangy-pakodi-chaat-recipe</t>
  </si>
  <si>
    <t>Spinach and Green Peas Curry\</t>
  </si>
  <si>
    <t>500 grams spinach, 1 cup green peas, 1 onion - finely chopped, 1 tomato - finely chopped, 2 inch ginger - grated, 3 cloves garlic - finely chopped, 1/2 teaspoon red chili powder, 1 teaspoon garam masala powder, 1 teaspoon coriander powder, 1 tablespoons oil, 1 tablespoon ghee, 1 teaspoon cumin seeds, 2 cloves garlic - finely chopped, 3 teaspoons onion - finely chopped, 1 dried red chilli, 1/4 teaspoon garam masala powder</t>
  </si>
  <si>
    <t>"To make Palak Matar, first wash the spinach and boil it in hot water with salt. Grind the spinach in a blender with some salt and water. Keep it aside. Now heat oil in a pan. Add onions and cook till they become soft. After they become soft, add grated garlic and ginger. Cook for 2 minutes and add tomatoes. Cook till tomatoes become soft. After they become soft, add peas and 1/2 cup water. Cook till peas are cooked. After they are cooked, add coriander powder, red chili powder, garam masala powder and let it cook for 2 minutes. After 2 minutes, add grinded spinach, salt and let it cook for 10 minutes. After 10 minutes, turn off the gas. Now heat ghee in a tadka pan. Add cumin seeds, red chili powder and let it cook for 15 seconds. After 15 seconds, add onion, garlic and cook till it becomes brown. Add garam masala powder, mix and add this tadka to the vegetable Add it. Serve Palak Matar with Phulka and Boondi Raita for lunch.</t>
  </si>
  <si>
    <t>http://www.archanaskitchen.com/spinach-and-green-peas-curry-recipe-in-hindi</t>
  </si>
  <si>
    <t>Masoor Dal With Scrambled Eggs Recipe - Lentil Curry With Eggs</t>
  </si>
  <si>
    <t>2 Whole Eggs,1/2 cup Masoor Dal (Whole),1/2 cup Coconut milk - thick,1 Onion - finely chopped,1 Tomato - finely chopped,3 Green Chillies - chopped,1/4 cup Mint Leaves (Pudina) - chopped,1 teaspoon Ginger Garlic Paste,1/2 teaspoon Turmeric powder (Haldi),1 teaspoon Garam masala powder,1/4 teaspoon Cumin powder (Jeera),1 pinch Asafoetida (hing),Salt - to taste,1 teaspoon Mustard seeds,6 Curry leaves,2 teaspoons Sunflower Oil</t>
  </si>
  <si>
    <t xml:space="preserve">To begin making the Egg Masoor Dal Recipe first, thoroughly wash the masoor dal in running water.Then add it to a pressure cooker along with 1 and ½ cups water and place it on the heat. Allow it to cook till you hear three whistles. Then turn off the heat and set the cooker aside so the pressure can release naturally.When you are able to open the pressure cooker with ease, after the pressure has naturally released, mash the dal with the back of a ladle and set it aside.Place a kadai on the heat. Heat 2 teaspoons oil and add in the mustard seeds followed by the curry leaves and allow them to crackle. Next, add chopped onions and green chilies and saute for a couple of minutes.Now add in the ginger garlic paste and saute until the raw smell of ginger and garlic goes away. Then, add the chopped tomatoes and cook them till they are mushyAt this stage, add mint leaves and stir well.Add turmeric powder, garam masala and cumin powder. Mix well and simmer for a while longer till the masalas come together.Now, to scramble the eggs, turn the heat down and break the eggs one by one directly into the pan.Gently but continuously keep stirring the eggs till they are scrambled and cooked solid.Once the eggs are cooked, add the mashed masoor dal and asafoetida and mix well. Pour in 1/2 cup of water, stir and cover the kadai. Cook the dal, covered, for 5 minutes on low-medium heat.Finally, add the coconut milk and salt to taste. Stir well and cook covered for 7-10 minutes, then turn the heat off. Serve Masoor Dal With Scrambled Eggs along with Parathas, Phulkas or Naans along with a Kala Chana Salad With Grated Carrot, Cucumber &amp; Tomatoes for sumptuous North Indian style dinner.  
</t>
  </si>
  <si>
    <t>http://www.archanaskitchen.com/egg-masoor-dal-recipe-lentil-curry-with-eggs</t>
  </si>
  <si>
    <t>Sukhi Dahi Wali Lauki</t>
  </si>
  <si>
    <t>1-1/2 cup bottle gourd - peel and chop, 1/2 teaspoon cumin seeds, 1/2 teaspoon mustard seeds, 5 - 6 curry leaves, 1 - 2 green chillies - finely chopped, 3 - 4 cloves garlic - finely chopped, 1 onion - finely chopped, 1 tomato - chopped, 1/4 cup curd, 1 teaspoon red chilli powder, 1/2 teaspoon turmeric powder, 1/2 teaspoon coriander powder, salt - as per requirement, water - as per requirement, oil - as per requirement</t>
  </si>
  <si>
    <t>"To make Sukhi Dahi Wali Lauki (Sweet Dahi Wali Bottle Gourd) first heat oil in a pan. Now add cumin seeds, mustard seeds, curry leaves and green chillies. After 10 seconds add garlic and onions. Cook till onions become soft. Now add bottle gourd and mix. Now add salt, turmeric powder and cover the pan. Let it cook for 3 to 4 minutes. Now add tomatoes, red chilli powder and coriander powder. Mix it and cover the pan. Now add curd and some water in a bowl and mix. Keep it aside. After the bottle gourd becomes soft, add curd and mix it. After the curd is mixed well, cover the pan and cook for 6 to 8 minutes. Serve hot. Serve Sukhi Dahi Wali Lauki with Panchmel Dal, Khichria Churri and Phulka for lunch."</t>
  </si>
  <si>
    <t>https://www.archanaskitchen.com/sukhi-dahi-wali-lauki-recipe-yogurt-based-bottle-gourd-sabzi-in-hindi</t>
  </si>
  <si>
    <t>Raw Papaya Kofta In Yogurt Curry Recipe</t>
  </si>
  <si>
    <t>1 cup Raw papaya - grated,1 cup Cabbage (Patta Gobi/ Muttaikose) - chopped finely,2 Potatoes (Aloo) - boiled,2 tablespoon Gram flour (besan),1 teaspoon Cumin powder (Jeera),1 teaspoon Red Chilli powder,1/4 teaspoon Turmeric powder (Haldi),Salt - to taste,2 tablespoon Sunflower seeds - roasted,1 cup Curd (Dahi / Yogurt),1 tablespoon Gram flour (besan),2 teaspoon Red Chilli powder,1 teaspoon Coriander Powder (Dhania),1/4 teaspoon Turmeric powder (Haldi),1 teaspoon Garam masala powder,1 teaspoon Sugar,Salt - to taste,1 teaspoon Mustard seeds,1 Bay leaf (tej patta),2 sprig Curry leaves,1 inch Ginger - chopped,4 cloves Garlic - chopped,Sunflower Oil</t>
  </si>
  <si>
    <t xml:space="preserve">To begin making the Raw Papaya Kofta In Yogurt Curry Recipe, add all the ingredients into a bowl for the koftas. Check for salt and mix well and shape them into small balls and keep it aside.Heat a kuzi paniyaram pan with little oil in each holes. Once the pan becomes hot, place the koftas and fry them till it forms a nice golden crust on the outside. Keep turning them by using a spoon.Take the koftas out and do the same for the rest of the batch.Heat a pan with oil, add the sunflower seeds and roast them well till it is golden brown. Allow it to cool down and grind it in a mixer to a smooth paste by adding little water.Take a small mixing bowl and add curd, besan, red chilli powder, turmeric powder, garam masala, coriander powder, salt and ½ cup water and whisk well till it combines and forms a smooth mixture.Heat a kadai with oil, add mustard seeds, bay leaf and curry leaves. Allow them to crackle and add chopped ginger garlic into the pan and saute until it softens.Add the mixed yogurt mixture and keep turning using a spatula till it thickens, adjust the thickness of the gravy as you want and check for salt.To serve, place the koftas in a serve plate and pour over the curry on top and garnish it with coriander leaves if you wish.Serve the Raw Papaya Kofta In Yogurt Curry Recipe along with Tawa paratha, Lauki Raita Recipe by the side or also with just peas pulao. 
</t>
  </si>
  <si>
    <t>https://www.archanaskitchen.com/raw-papaya-kofta-in-yogurt-curry-recipe</t>
  </si>
  <si>
    <t>Matar Besan And Paneer Cheela Recipe -Green Peas &amp; Paneer Crepes</t>
  </si>
  <si>
    <t>1 cup Green peas (Matar) - steamed,1 cup Gram flour (besan),1/2 cup Paneer (Homemade Cottage Cheese) - grated,1 teaspoon Ginger - roughly chopped,2 Green Chillies - finely chopped,1/2 teaspoon Turmeric powder (Haldi),1/2 teaspoon Cumin powder (Jeera),1/2 teaspoon Salt,2 Sunflower Oil - for cooking cheela,1/2 teaspoon Salt,2 teaspoons Sunflower Oil - for pan roasting</t>
  </si>
  <si>
    <t xml:space="preserve">To begin making the Matar Besan And Paneer Cheela Recipe, add the Green Peas/Matar, green chillies and ginger into the mixer grinder, add water and make a thick puree.Add the matar paste in a large mixing bowl. Into the bowl, add besan, grated cheese, turmeric powder, cumin powder and salt. Stir in water and whisk well to make a thick cheela batter.Preheat a pan over medium heat. Take a medium scoop of matar and paneer cheela batter and drop in the center of the pan and gently spread to make cheela. You can adjust the thickness of the cheela to suit your taste.Drizzle oil from the sides and cook the matar besan cheela until you see golden spots on all sides.Once the bottom side is roasted well, carefully flip the matar paneer besan cheela with a spatula and roast the other side by adding few drops of oil from sides again. Transfer the Matar Besan And Paneer Cheela to a serving plate and serve hot. Serve Matar Besan And Paneer Cheela with Tomato Onion Chutney, Tomato Garlic Chutney or any other chutney of your choice and Masala Chai for your breakfast or as a tea time snack.
</t>
  </si>
  <si>
    <t>https://www.archanaskitchen.com/green-pea-pancake-recipe-matar-ka-cheela</t>
  </si>
  <si>
    <t>Arbi Tomato Onion Sabzi Recipe (Spicy Colocasia Stir fry)</t>
  </si>
  <si>
    <t>12 Colocasia root (Arbi) - thinly sliced like fries,1 Onion - sliced,2 Tomatoes - chopped,1 teaspoon Ginger Garlic Paste,Asafoetida (hing) - A pinch (optional),3/4 teaspoon Turmeric powder (Haldi),Salt - as required,3/4 teaspoon Red Chilli powder,3/4 teaspoon Coriander Powder (Dhania),3/4 teaspoon Garam masala powder,2 Green Chillies - slit thinly,2 Dry Red Chillies,Sunflower Oil - as required</t>
  </si>
  <si>
    <t xml:space="preserve">To begin making the Arbi Tomato Onion Sabzi Recipe, wash and soak in salted water for 10 to 15 minutes. Wash again and use towel to soak water from the arbi sticks.Heat oil in a kadhai and deep fry arbi sticks till they become golden in colour. Drain onto paper towel and keep it aside.Heat 2 tablespoons oil in a kadhai. Add whole red chilies, asafoetida, ginger and garlic paste and sauté it for 1 min.Add sliced onions and stir until they become translucent.Add turmeric powder, salt, red chili powder, coriander powder and garam masala.Add chopped tomatoes and green chilies. Mix well and cook it for 3-4 minutes.Add the Arbi and mix well. Cover it with the lid and cook it for 8-10 minutes.Serve Arbi Tomato Onion Sabzi with phulkas and Rajasthani Kadhi for a weekday meal.
</t>
  </si>
  <si>
    <t>https://www.archanaskitchen.com/arbi-tomato-onion-sabzi-recipe-spicy-colocasia-stir-fry</t>
  </si>
  <si>
    <t>Chole Pindi Recipe</t>
  </si>
  <si>
    <t>1 cup black chickpeas - soak overnight, 2 cardamoms, 1 onion - finely chopped, 1 cinnamon stick, 1 inch ginger - finely chopped, 2 green chillies - chop straight, 1/2 cup tomato puree, 1/2 teaspoon turmeric powder, 1 teaspoon pomegranate seeds, 1 teaspoon coriander powder, 1/2 teaspoon garam masala powder, 1/2 teaspoon dry mango powder - or lemon juice, 1/2 teaspoon red chilli powder, oil - or ghee, salt - according to taste, 1 inch ginger - finely chopped, lemon - grinded</t>
  </si>
  <si>
    <t>"To make Chole Pindi recipe, first of all we will cook black chickpeas in a pressure cooker. In a pressure cooker add black chickpeas along with water and salt as per requirement. Cook till 4 to 5 whistles. Turn off the gas and let the pressure release on its own. Open the cooker and keep the chickpeas aside. Now heat oil in a pan. Add onion, ginger, green chili and cook till onion becomes soft. After onion becomes soft add tomatoes, turmeric powder, coriander powder, garam masala powder, dried mango powder, red chili powder, cinnamon, cardamom and cook till tomato becomes soft. Now add black chickpeas and mix. Cover the pan and cook for 5 minutes. Turn off the gas and garnish with green coriander, ginger and lemon juice. Serve Chole Pindi recipe with Ajwain Puri, Boondi Raita and Atte Ka Halwa for lunch. "</t>
  </si>
  <si>
    <t>https://www.archanaskitchen.com/chole-pindi-recipe-spicy-chickpea-curry-in-hindi</t>
  </si>
  <si>
    <t>Murgh Masala Recipe - Chicken Tangdi Masala</t>
  </si>
  <si>
    <t>400 grams Chicken legs,1 tablespoon Lemon juice - to tenderize the chicken,1 teaspoon Salt - to tenderize the chicken,1 teaspoon Ginger Garlic Paste,1 teaspoon Kashmiri Red Chilli Powder,2 tablespoons Curd (Dahi / Yogurt) - beaten,2 Onions - finely chopped,1 inch Ginger - finely chopped,1 Cardamom (Elaichi) Pods/Seeds,1 inch Cinnamon Stick (Dalchini),1 Bay leaf (tej patta),3 tablespoons Homemade tomato puree,1/2 tablespoon Honey,1/2 teaspoon Turmeric powder (Haldi),1/2 teaspoon Red Chilli powder,1/4 teaspoon Cumin powder (Jeera),1/4 teaspoon Garam masala powder,Salt - as per taste,2 teaspoons Mustard oil,Coriander (Dhania) Leaves - finely chopped for garnish</t>
  </si>
  <si>
    <t xml:space="preserve">To begin making the Murgh Masala recipe, wash the chicken legs thoroughly and pat dry it with a kitchen towel.In a small bowl, mix lemon juice &amp; salt and apply this mixture on the chicken pieces to tenderize the meat. Keep the chicken rested for 5 minutes. Separately in another mixing bowl, combine ginger garlic paste, curd and kashmiri chilli powder to make the marinade for Murgh Masala. Add the chicken to this, cover and marinate for a minimum of 30 minutes. Heat a pan on low flame, add mustard oil, place the chicken in the pan along with the cinnamon sticks. Fry the chicken on both sides and this process will take a good 10 minutes. After the chicken legs are pan fried, take them out of the pan and rest them on a plate.In a the same pan, add cardamom, bay leaf and saute for a minute. Next, add onions and saute the onions until they become translucent. This will take about 3-4 minutes. Once the onions are cooked, add all the spice powders including turmeric powder, red chilli powder, cumin powder, garam masala powder and salt as per your taste. Saute all the spices together until they are well combined. Next add the tomato puree and honey and mix it well along with the masalas. Place the chicken legs back into the pan and mix until all the masala gets coated well on to the chicken legs. Make sure the heat is on low and let the chicken legs cook in the masala for another 15 minutes. Keep tossing the chicken legs in the masala in regular intervals to make sure that the chicken does not burn. Turn off the flame and garnish with finely chopped coriander leaves. Murgh Masala is ready to be servedServe Murgh Masala along with phulkas and Tadka Raita for scrumptious Indian dinner. If you are looking for an easy chicken recipe for dinner, you should definitely try this one.
</t>
  </si>
  <si>
    <t>http://www.archanaskitchen.com/murgh-masala-recipe-chicken-legs-in-a-spicy-sauce</t>
  </si>
  <si>
    <t>Traditional Mathri Recipe - North Indian Savoury Cracker Recipe</t>
  </si>
  <si>
    <t>1 cup Vivatta Maida,2-1/2 tablespoons Ghee,Salt - to taste,1 teaspoon Ajwain (Carom seeds),1 teaspoon Whole Black Peppercorns - coarsely pounded,Water - to knead,Sunflower Oil - for deep frying</t>
  </si>
  <si>
    <t xml:space="preserve">To begin making the mathri get all the ingredients ready and handy.Take a mixing bowl add the maida, ghee, ajwain and mix it well with your hands till the mixture resembles coarse crumbs. Add water gradually and mix till the flour comes together to form a firm and soft mathri dough.Knead the mathri dough it lightly and put it back into the bowl, cover it with a clean damp cloth and let it rest for half an hour.Heat oil for deep frying on a medium heat. Divide the mathri dough into very small portions. You will get about 20 mathris.Roll the mathri dough into 75mm thickness or the desired thickness you like.Make holes in them using forks, to avoid Mathri from puffing up while frying.Drop the mathri dough into the hot oil and deep fry till the Mathri on low to medium heat until they turn golden brown in color, flipping it once or twice.Drain the oil and put them on kitchen towel/ tissues. Sprinkle chaat masala over the mathris and store them in airtight containers.
</t>
  </si>
  <si>
    <t>http://www.archanaskitchen.com/mathri-north-indian-savoury-snack-recipe</t>
  </si>
  <si>
    <t>Matar Samosa Chaat Recipe - Delicious Evening Tea Time Snack</t>
  </si>
  <si>
    <t>1 cup Dried Green Peas (Vatana) - soaked for 8 hours,1 teaspoon Kalonji (Onion Nigella Seeds),1 inch Ginger - finely chopped,1 Onion - finely chopped,1 Tomato - finely chopped,2 Green Chillies - finely chopped,1/2 teaspoon Turmeric powder (Haldi),1 teaspoon Chaat Masala Powder,1/2 teaspoon Garam masala powder,1 teaspoon Amchur (Dry Mango Powder),Salt - to taste,8 Punjabi Aloo Samosa,4 tablespoons Sweet Chutney (Date &amp; Tamarind),4 tablespoons Green Chutney (Coriander &amp; Mint),1/4 cup Sev - bhujia,1 Onion - finely chopped,1/4 cup Fresh Pomegranate Fruit Kernels</t>
  </si>
  <si>
    <t xml:space="preserve">To begin making the Matar Samosa Chaat Recipe, first get all the ingredients ready.Pressure cook the soaked matar along with a pinch of salt for about 6 to 8 whistles and turn off the heat. It will take approximately 30 minutes to get a well cooked matar.Allow the pressure to release naturally. Once done, we will now make the matar masala.Heat oil in a saucepan over medium heat; add the kalonji and allow it to sizzle. Add the onion, ginger, green chillies and saute until the onions are soft. Once soft, add the tomatoes and saute until it becomes mushy.Once done, add the turmeric powder, chaat masala powder, garam masala powder and the amchur powder and give it a stir. Add the cooked matar and stir well to combine. Add a little water to adjust the consistency of the matar masala for the samosa chaat. Check the taste and adjust the spices accordingly. Once done, keep the matar masala aside.Click here to get the recipe of the Punjabi Samosa Recipe, make them and keep them aside. Get the chutneys ready as well. Break each samosa into 2-3 parts and smash it lightly with the palm of your hand.In a large platter, spoon the matar masala at the bottom, arrange the samosas and drizzle them with Date Tamarind Chutney and Green Coriander Chutney. Sprinkle with red chili powder (if using), chaat masala powder and cumin powder.Add a little salt to the beaten curd, and drizzle that as well over the Matar Samosa Chaat.Finally top the Matar Samosa Chaat with bhujia sev and sliced onions and serve.Serve the Matar Samosa Chaat as a evening tea time snack or as a appetizer for your chaat parties along with Homemade Vada Pav and Chaas Dahi Vada Recipe.
</t>
  </si>
  <si>
    <t>http://www.archanaskitchen.com/matar-samosa-chaat-recipe-a-delicious-evening-tea-time-snack</t>
  </si>
  <si>
    <t>Kaddu Simla Mirch Sabzi</t>
  </si>
  <si>
    <t>1 kg pumpkin, 2 tomatoes - chopped, 1 capsicum (green) - chopped, 1 green chilli - finely chopped, 1/2 teaspoon mustard seeds, 1 teaspoon cumin seeds, 1/4 teaspoon fenugreek seeds, 1 teaspoon turmeric powder, 1 teaspoon sambar powder, 1 tablespoon jaggery, 1 teaspoon oil, salt - according to taste</t>
  </si>
  <si>
    <t>"To make Pumpkin Capsicum Sabzi, first heat oil in a pan. Add mustard seeds, cumin seeds and fenugreek seeds. Let it cook for 10 seconds. After 10 seconds add green chillies, capsicum and let it cook for 2 to 3 minutes. Now add turmeric powder, red chilli powder, tomato, pumpkin, sambar powder, salt and jaggery. Mix and let it cook for 2 minutes. Let the pumpkin cook. After cooking, turn off the gas and garnish with coriander leaves. Serve Pumpkin Capsicum Sabzi with Phalguni Daal and Tawa Paratha."</t>
  </si>
  <si>
    <t>https://www.archanaskitchen.com/kaddu-simla-mirch-sabzi-recipe-in-hindi</t>
  </si>
  <si>
    <t>500 grams Bhindi (Lady Finger/Okra) - cut small,1 Onion - chopped,1 Tomato - chopped,1 inch Ginger - chopped,1 teaspoon Red Chilli powder,1/2 teaspoon Turmeric powder (Haldi),1 teaspoon Coriander Powder (Dhania),1 cup Curd (Dahi / Yogurt),1 tablespoon Gram flour (besan),1 teaspoon Fennel seeds (Saunf),1 teaspoon Cumin seeds (Jeera),1 teaspoon Kalonji (Onion Nigella Seeds),1 teaspoon Mustard seeds,1 teaspoon Ajwain (Carom seeds)</t>
  </si>
  <si>
    <t xml:space="preserve">To begin making the Dahi Achari Bhindi Recipe, we will first make the achari masala.To prepare the marinade for Achari masala, in a pan add mustard seeds, cumin seeds, fennel seeds, kalonji seeds, carom seeds, fenugreek seeds and dry red chilies.Dry roast the spices and chilies over medium heat till fragrant and slightly browned. Turn off the heat. Transfer spices to the jar of mixer and grind into a coarse powder. Keep the achari powder aside.Wash and clean the Bhindi. Wipe the bhindi with a paper towel or a kitchen towel until bhindi is dry. This is done in order to ensure bhindi does not get mushy while cooking. Chop them into small pieces and keep aside. Heat oil in a wok and add the chopped bhindi and sprinkle a little salt and saute till they become soft and charred on the outside.Take the Bhindi out and keep it separate. Into the same wok add a teaspoon of oil and add chopped onions and saute till raw smell goes off. Now add chopped ginger and fry well till golden.Add tomatoes and sprinkle salt so that they can turn a little mushy.Now add turmeric powder, coriander powder, red chili powder and the achari masala. Saute until the tomatoes soften. whisk curd and besan together. Add to the pan and cook until the curd is mixed well and it thickens.Add sautéed ladies finger and salt as per your taste and slow cook the bhindi on low flame with lid closed.Once the Dahi Achari Bhindi has absorbed all the flavor, turn off the heat and garnish with freshly chopped coriander.Serve the Dahi Achari Bhindi Recipe along with Phulka or Methi Lacha Paratha and Boondi Raita by the side for a weekday meal.
</t>
  </si>
  <si>
    <t>https://www.archanaskitchen.com/dahi-achari-bhindi-recipe</t>
  </si>
  <si>
    <t>Surati Jowar Vada</t>
  </si>
  <si>
    <t>1 cup jowar flour, 1/2 cup gram flour, 1 inch ginger - chopped, 4 cloves garlic - chopped, 1 teaspoon red chili powder, 1/2 teaspoon turmeric powder, 1 cup curd, salt - according to taste, 3 teaspoon sesame (white), oil</t>
  </si>
  <si>
    <t>"To make Surati Jowar Vada, first of all, take jowar flour, gram flour, ginger, garlic, red chilli powder, turmeric powder, curds, salt and sesame seeds in a bowl. Mix everything well and make a thick batter. Keep this batter aside for 1 hour. After 1 hour, heat a paniyaram pan and add oil in each scoop. Pour the prepared batter in each scoop. Cover the pan and let it cook. Add some more oil and cook well from both the sides. Once cooked, remove from the pan and serve hot. Serve Surati Jowar Vada with coriander mint chutney and masala tea for evening snack."</t>
  </si>
  <si>
    <t>https://www.archanaskitchen.com/surati-jowar-vada-recipe-in-hindi</t>
  </si>
  <si>
    <t>Methi Murgh Recipe - Chicken with Fenugreek Leaves</t>
  </si>
  <si>
    <t>200 grams Chicken - with bones,1 cup Methi Leaves (Fenugreek Leaves) - washed,2 Onions - sliced,2 Tomatoes - chopped,2 cloves Garlic - crushed,1 inch Ginger - chopped,1 teaspoon Fennel seeds (Saunf),1 inch Cinnamon Stick (Dalchini),1 teaspoon Whole Black Peppercorns,2 teaspoon Red Chilli powder,1/2 teaspoon Turmeric powder (Haldi),2 teaspoon Garam masala powder,1 teaspoon Cumin powder (Jeera),Salt - to taste,Sunflower Oil - as required</t>
  </si>
  <si>
    <t xml:space="preserve">To begin making the Methi Murgh Recipe, we will first heat oil in a heavy bottomed pan.Add cinnamon stick, shahi jeera and peppercorns, allow it to splutter for few seconds. Add in ginger and garlic and cook until it softens. This will take about 2 minutes.Add chopped onions and saute till they turn golden brown. Add tomatoes and sprinkle with little salt and cook till they turn mushy.Add washed and cleaned chicken pieces, turmeric powder, garam masala powder, cumin powder, red chilli powder and let it cook for about 8 to 10 minutes.Add cleaned fenugreek leaves and add about 1/2 cup of water, cover it with the lid and allow the chicken to cook for some more time.Open the lid and keep cooking until the water has evaporated and you are left with a thick gravy.Serve the Methi Murgh Recipe along with Tawa Paratha and Burani Raita to make a delicious meal for your dinner.
</t>
  </si>
  <si>
    <t>https://www.archanaskitchen.com/methi-murgh-recipe-chicken-with-fenugreek-leaves-recipe</t>
  </si>
  <si>
    <t>1 cup wheat flour, salt - according to taste, water - according to requirement, 1 cup chickpeas or chickpeas - soak overnight and boil, 1 inch ginger - chop, 4 long garlic - grate, 1 tablespoon red chili powder, 1 teaspoon turmeric powder, 2 tablespoons cumin powder, 2 tablespoons chaat masala powder, 1 teaspoon sugar, salt - according to taste, 1 onion - chop, 1 tomato - chop, 1 green chili - chop, 2 sprigs coriander leaves - chop</t>
  </si>
  <si>
    <t>"To make Chana Chaat Roll recipe, first soak chickpeas in water overnight. Now put chickpeas in a pressure cooker along with water and cook for 30 minutes. Let the pressure release and open the cooker and take out the chickpeas separately. Keep 1 cup of chickpea water aside. Heat oil in a saucepan. Add garlic and ginger and cook for 1 minute. After cooking for 1 minute, add chickpeas, red chili powder, turmeric powder, chaat masala powder, cumin powder, sugar and salt. Mix everything well. At this time add 1 cup chickpea water and cook till the water evaporates. Turn off the gas and add onion, tomato, green chili and coriander leaves. Mix it and keep it aside. To make paratha, first knead the dough. Now make a medium sized ball. Roll it and make paratha. Do not make it too thin. Now put the paratha on a pan. Add some ghee and cook well from both the sides. Cook till it becomes crispy. Remove from the gas and make other parathas in the same way. Now for making the rolls, take one paratha and apply mustard sauce on it. Take kabuli chana masala and place it on one side of the paratha. Roll it well and serve. Serve chana chaat rolls with coriander mint chutney and filter coffee for evening snack. You can also pack it in your or your kids' lunch box.</t>
  </si>
  <si>
    <t>https://www.archanaskitchen.com/spicy-chana-chaat-frankie-recipe-in-hindi</t>
  </si>
  <si>
    <t>Kasuri Methi Paneer Sabzi Recipe</t>
  </si>
  <si>
    <t>1 cup Paneer (Homemade Cottage Cheese) - cubed,2 Onions - finely chopped,2 Tomatoes - finely chopped,1 teaspoon Ginger - finely chopped,1 teaspoon Garlic - finely chopped,1 teaspoon Turmeric powder (Haldi),1 teaspoon Cumin seeds (Jeera),2 teaspoon Red Chilli powder,2-1/2 teaspoon Garam masala powder,2 tablespoons Kasuri Methi (Dried Fenugreek Leaves),Salt - to taste,Sunflower Oil - as required</t>
  </si>
  <si>
    <t xml:space="preserve">To begin making  Kasuri Methi Paneer Sabzi Recipe, in a non-stick stir fry pan, add cooking oil and heat it over medium heat.Once the oil is hot, add cumin seeds and let them sizzle.Then add finely chopped onion and saute till  they become transparent; Add tomatoes and cook until they become soft and mushy.Add the masala powders, red chilli powder, garam masala and saute for a minute.Crush methi leaves with your hand and stir them well into the pan .Add required amount of salt.Add the paneer pieces to the spicy mixture in the pan.Combine Kasuri Methi Paneer Sabzi them well and simmer for about 3 - 4 minutes. Do not saute often after adding paneer, as the paneer pieces may break and crumble.Switch off the flame and add garnish Kasuri Methi Paneer Sabzi with chopped coriander leaves.Serve Kasuri Methi Paneer Sabzi with Roti/Phulka or Chapati/Tawa Paratha. You can even serve it as an starter to your party meal made of Peshawari Chole Recipe and Sindhi Pulao Recipe
</t>
  </si>
  <si>
    <t>https://www.archanaskitchen.com/kasuri-methi-paneer-sabzi-recipe</t>
  </si>
  <si>
    <t>Homemade Canape Papdi Chaat Recipe</t>
  </si>
  <si>
    <t>1 cup Gram flour (besan),1 1/2 tablespoons Instant Oats (Oatmeal) - ground to a fine flour,1 1/2 tablespoons Whole Wheat Flour,1 tablespoon Kashmiri Red Chilli Powder,1 tablespoon Sunflower Oil,1/2 teaspoon Cooking soda,Salt - to taste,Water - as required,1/2 cup Green Moong Sprouts,1/2 cup Chickpea Sprouts,1 Onion - finely chopped,1 Tomato - finely chopped,2 sprig Coriander (Dhania) Leaves - finely chopped,2 tablespoon Lemon juice,1 teaspoon Chaat Masala Powder,1 Green Chilli - finely chopped,1/4 cup Sev</t>
  </si>
  <si>
    <t xml:space="preserve">To begin making the Homemade Canape Papdi Chaat Recipe, we will first make the canape papdi. In a bowl sieve to gather besan, oats flour, wheat flour. Add red chili powder, salt, oil, cooking soda and mix until the flour turn to form crumble.Add water little by little to the canape papdi mixture until you get a soft and stiff dough. Cover the dough with damp cloth and let it rest for 30 minutes.Once well rested, knead for a few minutes again. Pinch a small portion of the dough, roll it into a ball.Sprinkle wheat flour on a clean surface. Place the ball on the surface and roll it as thin as possible. Cut out smaller round shapes and place them over a greased tart pans pressing them to the edges. Scrap out the extra dough from the edges of the tart pans. Repeat this step for rest of the dough.Preheat the oven at 150 degree centigrade. Place the tart pans in oven and bake the canape papdis until they start to turn golden brown. Remove from oven, let it cool for some time. Then gently pull the canapes out of the tart pan.These canape papdi cups can be stored in airtight containers for about a week.To make canape papdi chaat, mix all the ingredients mentioned except sev under the list 'for making chaat' in a bowl. Check the salt and seasoning and adjust to suit your taste.When you are ready to serve, spoon in the chaat mixture into canape papdi cups. Sprinkle some sev over top and serve the Homemade Canape Papdi Chaat immediately. If you prefer you could add some yogurt, green chutney and sweet chutney to give it an added taste and flavor.Khubani Ka Meetha Recipe (A Rich Hyderabadi Nawabi Dessert)
</t>
  </si>
  <si>
    <t>https://www.archanaskitchen.com/homemade-canape-papdi-chaat-recipe</t>
  </si>
  <si>
    <t>Chicken Cheese Stuffed Kulcha Recipe</t>
  </si>
  <si>
    <t>250 grams Chicken - minced,1 tablespoon Sunflower Oil,2 cloves Garlic - finely chopped,1 teaspoon Red Chilli powder,1 teaspoon Cumin powder (Jeera),1 teaspoon Black pepper powder,1/3 teaspoon Turmeric powder (Haldi),1 teaspoon Garam masala powder,1/2 cup Cheese - grated,1 teaspoon Coriander Powder (Dhania),1/2 cup Whole Wheat Flour,1/2 teaspoon Active dry yeast,1/2 cup All Purpose Flour (Maida),1 tablespoon Curd (Dahi / Yogurt),1 teaspoon Sugar,Salt - to taste,Water - to knead the dough,1 tablespoon Butter,1 Butter,1 tablespoon Kalonji (Onion Nigella Seeds),Butter - to cook the kulchas,1/4 cup Coriander (Dhania) Leaves - finely chopped</t>
  </si>
  <si>
    <t xml:space="preserve">To begin making the Chicken Cheese Stuffed Kulcha Recipe, we will first make the dough. To make the dough for the Chicken Cheese Stuffed KulchaIn a mixing bowl, combine the whole wheat flour, all purpose flour, yeast, curd, sugar, salt,  butter with your fingers. Next add water, little by little to knead the dough. We are looking for a smooth soft dough. Bring the kulcha dough together to form a smooth dough with a few drops of cooking oil. Cover the bowl with a damp cloth and rest it in a warm place for about 30-40 minutes or until  the dough has doubled in size. To make the filling for the Chicken Cheese Stuffed KulchaIn a pan heat oil on medium heat, once the oil is hot add the garlic and saute for 30 seconds. Next add all the dry masalas, red chilli powder, cumin powder, black pepper powder, turmeric powder, garam masala powder, coriander powder and salt. At this stage add the minced chicken and cook until the chicken has fully cooked through. This will take a good 12-15 minutes. The chicken will release some water of its own. If the chicken is not cooked and the water has dried up completely then you can add a dash of water to help cook the chicken completely.Once cooked, transfer to a bowl and allow it to cool. Once the chicken mince has cooled, mix in the grated cheese. To Cook the Chicken Cheese Stuffed KulchaPreheat the tawa on medium flame.Remove the dough from the warm place, punch the dough back with your knuckles. Now divide the dough into equal portions of lemon ball sizes, dust in flour and flatten them using a rolling pin to about 2 inch diameter. Now place a tablespoon or two of the chicken cheese filling in the center, and bring the edges of the chicken cheese kulcha together in the center.Flatten the kulcha between your palms, dust in flour. Roll them out to a slightly elongated shaped kulchas, now sprinkle a few drops of water and sprinkle a few coriander leaves and kalonji seeds. Pat down gently with your fingers to help them stick on the kulchas.Place the water side of the chicken cheese kulcha face down on the greased tawa which has been preheating. Cook for about a minute before you flip and cook on the other side. Slather butter generously on both sides of the Chicken Cheese Kulcha and flip and cook on both sides until the kulcha is golden brown and lightly crisp on both sides. Repeat the same for the remaining dough and make the Chicken Cheese Kulchas the similar way.Serve Chicken Cheese Stuffed Kulcha Recipe along with Maa Ki Dal Recipe - Punjabi Style Black Urad Dal, Pickled Onions and a glass of Masala Chaas Recipe - Indian Spiced Buttermilk. Serve Rose Flavoured Shahi Tukda Recipe to complete this satisfying Sunday meal.
</t>
  </si>
  <si>
    <t>http://www.archanaskitchen.com/chicken-cheese-stuffed-kulcha-recipe</t>
  </si>
  <si>
    <t>Dum Arbi</t>
  </si>
  <si>
    <t>300 grams arbi - boiled and cut into pieces, 2 tablespoons oil - for frying, 2 tablespoons oil - for vegetable, 1/2 cup tomatoes - finely chopped, 1 tablespoon green chili - finely chopped, 2 teaspoon ginger garlic paste, 1/4 cup onion - finely chopped, 1/2 cup curd, asafoetida - a pinch, 1/2 celery, 1/4 teaspoon turmeric powder, 1 teaspoon coriander powder, 1 teaspoon red chili powder, 1/4 teaspoon garam masala powder, salt - according to taste, 2 tablespoons green coriander</t>
  </si>
  <si>
    <t xml:space="preserve">दम अरबी सब्जी बनाने के लिए सबसे पहले दहीं को फेंट कर साइड मे रखे। पेन मे तेल लेकर अरबी के टुकडो को गोल्डन ब्राउन होने तक भून ले।कढाई मे सब्जी बनाने के लिए तेल गर्म करे। अजवाइन और हींग का तडका लगाए। अदरक और लहसुन की पेस्ट डालकर मिलाए। लालमिर्च पाउडर, धनिया पाउडर, हल्दी पाउडर डालकर मिलाए। प्याज और हरीमिर्च डालकर मिलाए।प्याज के नरम होने के बाद टमाटर डालकर पकाए तब तक जब तक की टमाटर नरम हो जाए और तेल उपर दिखने लगे।अब धीमी आँच कर सब्जी मे दहीं डाले और 2 मिनट तक हिलाते हुए पकाए।नमक और गरम मसाला डालकर मिलाए। अब अरबी डालकर मिलाए। 1/2 कप पानी डालकर  भांप बहार ना निकले इस तरह ढक्कन ढक कर धीमी आँच पर सब्जी को 10 मिनट दम देकर पकाए। हरा धनिया मिलाकर गर्मागर्म परोसे।दम अरबी सब्जी को तवा पराठा और बूंदी रायते के साथ दिन के खाने के लिए परोसे।
</t>
  </si>
  <si>
    <t>https://www.archanaskitchen.com/dum-arbi-recipe-in-hindi</t>
  </si>
  <si>
    <t>Creamy Dal Makhani Recipe</t>
  </si>
  <si>
    <t>1 cup Black Urad Dal (Whole),1/2 cup Rajma (Large Kidney Beans),3 tablespoons Fresh cream - full fat,4 tablespoons Butter,1/2 teaspoon Red Chilli powder,1/2 teaspoon Turmeric powder (Haldi),1/2 teaspoon Cumin seeds (Jeera),4 cups Water,1 Onion - finely chopped,1/2 cup Homemade tomato puree,1 teaspoon Ginger - grated,1 teaspoon Garam masala powder,1/8 teaspoon Asafoetida (hing),1 Black cardamom (Badi Elaichi),2 Cloves (Laung),2 Green Chillies - chopped,1 teaspoon Coriander Powder (Dhania),Salt - as required</t>
  </si>
  <si>
    <t xml:space="preserve">To begin making the Creamy Dal Makhani recipe, wash and soak black lentil and kidney beans together in enough water for at least 8 hours or for overnight.Drain the water and wash thoroughly at least for 5 to 6 times.The best way to make sure that it is purely washed, is that you can see clear water after washing them.In a pressure cooker, add lentil, kidney beans, asafoetida , turmeric, salt, water, black cardamom and cloves and pressure cook for 2 to 3 whistle on high flame then lower the heat and let it cook for another 15 to 18 minutes.When the cooker cools down completely, open it and check the cooked lentils should be very soft to touch.You should be able to mash the both lentil and kidney beans with spoon if they are cooked completely.If they are not cooked thoroughly, then pressure cook for 2 whistle more and add warm water if required.Now heat a thick bottomed pan add 3 tablespoons butter in it.Add cumin seeds and fry them until you see them into golden brown colour. Once cumin seeds are golden brown, then add chopped onions.After 3 minutes or until onion turns in light golden colour add tomato puree, green chillies and grated ginger.After 1 minutes add chilli powder, coriander powder and (add spices to adjust your taste) cook till the oil starts separating from the mixture.Now add cooked lentils and simmer for 12 to 15 minutes. Add garam masala, cream and 1 tablespoon butter (if lentils will thicken after some time so make sure to add enough warm water for cooking).Cook for another 5 minutes. Now creamy Makhani daal is ready to serve.Garnish with fresh cream &amp; butter and serve hot. Serve Creamy Dal Makhani with Jeera Rice and Tawa Parathas for a delicious meal.
</t>
  </si>
  <si>
    <t>https://www.archanaskitchen.com/creamy-dal-makhani-recipe</t>
  </si>
  <si>
    <t>Aloo Gobi Matar Ki Sabzi Recipe</t>
  </si>
  <si>
    <t>1/2 kg Cauliflower (gobi) - floret,2 Potato (Aloo),1 cup Green peas (Matar),2 teaspoon Red Chilli powder,1 tablespoon Coriander Powder (Dhania),1 tablespoon Turmeric powder (Haldi),2 tablespoon Onion - finely chopped,1 teaspoon Ginger - finely chopped,1 teaspoon Methi Leaves (Fenugreek Leaves),1 sprig Coriander (Dhania) Leaves - for garnishing,Sunflower Oil - as required,Salt - to taste</t>
  </si>
  <si>
    <t xml:space="preserve">To prepare Aloo Gobhi Matar Ki Sabzi Recipe, put the florets in a large bowl and cover with hot water. Add a teaspoon of salt and mix well. Keep aside for 10 minutes.Peel wash and cut the potato into small pieces and put potatoes in cold water.Heat the oil in a kadai or a non-stick pan. Add fenugreek seeds, when they splutter, sauté ginger and onion.Now add the cauliflower florets, peas, potatoes and fry for few minutes stirring occasionally.Cover and cook for 2-3 minutes.Now add turmeric, red chili powder, coriander powder and salt stir and mix well all the spices and veggies together. Adjust salt.Cover with a tight-fitting lid and cook on low flame for 5 to 6 minutes. Turn off the heat.Garnish with coriander, serve Aloo Gobhi Matar Ki Sabzi Recipe hot with chapati or poori.
</t>
  </si>
  <si>
    <t>http://www.archanaskitchen.com/aloo-gobhi-matar-ki-sabzi-recipe</t>
  </si>
  <si>
    <t>5 potatoes - peel and chop, 2 tbsp mustard oil - or any other oil, 1 tsp cumin seeds, 1 asafoetida - a pinch, 1/4 tsp fenugreek seeds, 1 green chilli - chop, 1 tsp red chilli powder, 1 tsp cumin powder, 1 bay leaf, 1 tsp coriander powder, 1/2 tsp dried mango powder, 1/2 tsp chaat masala powder, 1/2 tsp garam masala powder, 1/2 tsp turmeric powder, 1 tsp kasuri methi, 1/3 cup tomato puree, 2 tsp tamarind paste, 1/3 cup coriander leaves - finely chopped</t>
  </si>
  <si>
    <t>"To make Patiala Aloo Recipe, first of all, peel and chop the potatoes. Soak them in water and keep aside. Now heat mustard oil in a pan. After it gets heated, add cumin seeds, bay leaves, fenugreek seeds, asafoetida and cook till the cumin seeds crackle. Now remove the potatoes from water and put them in the pan. After 1 minute add green chilies, salt, turmeric powder and mix well. Cover the pan and cook till the potatoes are cooked well. It will take 12 to 15 minutes. After this add red chili powder, cumin powder, coriander powder, dry mango powder, chaat masala powder and garam masala powder. Add some water and mix well. After 1 minute add tomato puree, tamarind paste and mix well. Cook for 3 to 4 minutes, garnish with coriander leaves and serve. Enjoy Patiala Aloo Recipe with Dal Tadka and Phulkas. Serve for dinner.</t>
  </si>
  <si>
    <t>http://www.archanaskitchen.com/patiala-aloo-recipe-in-hindi</t>
  </si>
  <si>
    <t>Paneer Do Pyaza Recipe</t>
  </si>
  <si>
    <t>1 cup Paneer (Homemade Cottage Cheese) - cubed,Sunflower Oil - as required,1-1/2 Onions - cut lengthwise,1 Onions - cubed,2-1/2 Tomatoes - finely chopped,1 teaspoon Cumin seeds (Jeera),2 Cardamom (Elaichi) Pods/Seeds,1-1/2 teaspoon Ginger Garlic Paste,1/4 teaspoon Turmeric powder (Haldi),1 teaspoon Coriander Powder (Dhania),1-1/2 teaspoon Red Chilli powder,1 teaspoon Kasuri Methi (Dried Fenugreek Leaves),1/2 teaspoon Garam masala powder,1/4 cup Heavy whipping cream,Salt - as required</t>
  </si>
  <si>
    <t xml:space="preserve">To begin making the Paneer Do Pyaza recipe, heat a half teaspoon of oil in a kadhai/wok and add onions. Cook until they become translucent and keep them aside.In the same kadai, add remaining oil and cumin seeds and wait until they sizzle and add cardamom seeds and saute until a nice aroma comes out of it.Now add lengthwise cut onions and cook until they become transparent. Add ginger garlic paste and saute for a minute.After a minute, add tomatoes and cook until they become soft. Add spice powders, kasthuri methi, required amount of salt and toss them well.Simmer the gravy. Cook until moisture is absorbed and oil starts leaving from the sides.Add cubed paneer, fried onions and give them a stir, add a dash of cream and simmer Paneer Do Pyaza for about 3-4 minutes.Serve Paneer Do Pyaza as a starter at your parties with chapatti/roti or whole wheat lachha paratha, Aloo Matar Sabzi and Tomato Onion Cucumber Raita.
</t>
  </si>
  <si>
    <t>https://www.archanaskitchen.com/paneer-do-pyaza-recipe</t>
  </si>
  <si>
    <t>Saunf Wali Hari Gobi Sabzi Recipe - Cauliflower Spiced with Fennel and Green Chutney</t>
  </si>
  <si>
    <t>1 Cauliflower (gobi) - cut into florets,1 teaspoon Fennel seeds (Saunf),1 Ginger,2 Tomatoes - finely chopped,2 Bay leaves (tej patta),1/2 cup Green Chutney (Coriander &amp; Mint),1/2 cup Curd (Dahi / Yogurt),1/2 teaspoon Turmeric powder (Haldi),1 teaspoon Coriander Powder (Dhania),Salt,Red Chilli powder,Sunflower Oil - for cooking</t>
  </si>
  <si>
    <t xml:space="preserve">To begin making the Saunf Wali Hari Gobi Sabzi Recipe, get all the ingredients and keep them ready. If you don't have Green Chutney, click here to get the recipe.Heat a teaspoon of oil in a heavy bottomed pan; add the fennel seeds, ginger and bay leaves. Stir fry for a few seconds. Add the tomatoes, turmeric powder, coriander powder, chili powder and give it a stir. Next add the yogurt, green chutney and salt. Give it a stir.Add the Cauliflower into the Chutney Masala and stir well to combine into the masala. Once combined, cover the pan and cook until the cauliflower is well cooked. This will take about 5 to 8 minutes on medium heat.Make sure you keep stirring it intermittently until done. Once done, turn off the heat and serve.Serve the Saunf Wali Hari Gobi Sabzi Recipe along with Tawa Paratha and Boondi Raita Recipe Spiced With Black Salt for lunch or dinner.
</t>
  </si>
  <si>
    <t>https://www.archanaskitchen.com/saunf-wali-hari-gobi-sabzi-recipe-cauliflower-spiced-with-fennel-and-green-chutney</t>
  </si>
  <si>
    <t>Dhaba Style Dal Palak Recipe</t>
  </si>
  <si>
    <t>1 cup Arhar dal (Split Toor Dal) - washed,2 cups Spinach Leaves (Palak) - finely chopped,1 tablespoon Sunflower Oil,1 Onion - finely chopped,1 Tomato - finely chopped,2 Green Chillies - slit,2 inch Ginger - finely chopped,4 cloves Garlic - finely chopped,1/2 teaspoon Garam masala powder,1/4 teaspoon Turmeric powder (Haldi),Salt - to taste,1 Lemon - juice extracted,1 tablespoon Ghee,1 teaspoon Cumin seeds (Jeera),2 cloves Garlic - sliced thin,2 Dry Red Chillies</t>
  </si>
  <si>
    <t xml:space="preserve">To begin making the Dhaba Style Dal Palak, add the chopped spinach along with 2 tablespoon of water and pressure cook for one whistle and turn off the heat. Release the pressure immediately to keep the fresh green colour of spinach. Keep the spinach aside.Heat oil in the pressure cooker; add the cumin seeds and allow it to crackle. Add the onion, ginger and garlic and saute until the onions turn soft.Once the onions have softened, add the tomatoes, turmeric powder, green chillies, garam masala powder and saute until the tomatoes becomes just a little soft.At this stage add the washed toor dal, salt to taste, 2-1/2 cups of water and cover the pressure cooker. Pressure cook for about 4 to 5 whistles and turn off the heat.Allow the pressure to release naturally. Once done, open the cooker and add the cooked spinach/ palak to the dal. Give it a brisk boil and turn off the heat. Check the salt and adjust to taste accordingly. Transfer the Dhaba Style Dal Palak to a serving bowl.For the tadka, heat ghee in a tadka pan, add cumin seeds, red chillies and garlic. Saute until they crackle and the garlic turns golden. Add this tadka to the Dhaba Style Dal Palak and give it a stir.Finally squeeze in the lemon juice and serve hot.Serve Dhaba Style Dal Palak with Steamed Rice or phulkas and Sindhi Karela Bhaji for lunch or dinner.
</t>
  </si>
  <si>
    <t>https://www.archanaskitchen.com/dhaba-style-dal-palak-recipe</t>
  </si>
  <si>
    <t>Kolhapuri Akkha Masoor Dal Recipe (Masoor Dal in Kholapuri Masala)</t>
  </si>
  <si>
    <t>2 cups Masoor Dal (Whole) - soaked for 5 hours,1 Onion - chopped,1 Tomato - chopped,1 inch Ginger - chopped,4 cloves Garlic - chopped,1 teaspoon Red Chilli powder,1/2 teaspoon Turmeric powder (Haldi),2 teaspoon Kolhapuri Khanda Lasun Masala - or goda masala,3 teaspoons Sesame seeds (Til seeds),3 teaspoons Dessicated Coconut</t>
  </si>
  <si>
    <t xml:space="preserve">To begin making the Kolhapuri Akkha Masoor Dal Recipe, lets roast the sesame seeds and dessicated coconut on a hot pan.Roast them till they turn golden brown. Grind it in the mixer to a smooth powder.Next pressure cook the masoor dal with water and salt for atleast 5 whistle. Allow the pressure to release naturally.Heat a flat skillet with oil, add ginger and garlic and saute until softens. Add chopped onions and saute till they turn translucent.Later add chopped tomatoes and cook until the tomatoes turn mushy. Sprinkle salt and the other spice powders and cook until the raw smell goes away.Add ground sesame and coconut powder and saute them as well. Add cooked masoor dal and add 1 cup of water. Check for salt and leave it to boil in simmer.Serve the Kolhapuri Akkha Masoor Dal Recipe along with Doli Ki Roti or bajra roti with salad by the side.
</t>
  </si>
  <si>
    <t>http://www.archanaskitchen.com/kolhapuri-akkha-masoor-dal-recipe-masoor-dal-in-kholapuri-masala</t>
  </si>
  <si>
    <t>Spicy Soya Bhurji Recipe - North Indian Soya Matar Bhurji</t>
  </si>
  <si>
    <t>1 cup Soybeans (Whole Soya dal) - (Soya chunks),1/2 cup Green peas (Matar) - steamed,1 Onion - finely chopped,1 Tomato - finely chopped,2 Green Chillies - finely chopped,4 cloves Garlic,2 inch Ginger - roughly chopped,1 teaspoon Coriander Powder (Dhania),1 teaspoon Red Chilli powder,1/2 teaspoon Turmeric powder (Haldi),1 teaspoon Chana Masala Powder,1/2 teaspoon Garam masala powder,1/4 cup Coriander (Dhania) Leaves - finely chopped,1 teaspoon Sunflower Oil,Salt - to taste</t>
  </si>
  <si>
    <t xml:space="preserve">To begin making the Spicy Soya Bhurji Recipe, soak the dried soya chunks in hot water for 5 minutes, so it becomes soft. Squeeze and blend into a semi chunky pieces using a mixer grinder. Keep it aside.Heat oil in a heavy bottomed pan, add the onions, ginger and garlic and saute until the onions turn golden in colour.Add in the tomatoes, green chillies and cook until the tomatoes soften.Add the turmeric powder, coriander powder, red chilli powder, chole masala powder, garam masala powder and mix well.Now, add the prepared soya bhurji into the pan, steamed green peas, mix well, sprinkle some water and close it with a lid and cook the Spicy Soya Bhurji for 5 minutes until all the masalas are well absorbed.Remove the lid and increase the heat so the liquid in the Spicy Soya Bhurji vaporizes and it gets a bit dry.Once done, switch off the heat, garnish the Spicy Soya Bhurji with coriander leaves and serve hot.  Check the salt and spices and adjust accordingly.Serve the Spicy Soya Bhurji Recipe along with Tawa Paratha, Punjabi Kadhi with Methi and Carrot Cucumber Tomato Salad for a wholesome lunch or dinner.You can also serve Soya Chunks Bhurji along with Panchmel Dal and Phulka for a weekday meal. To add extra nutrition, add a bowl of Curd and Satvik Carrot Sprout Salad to your meal.
</t>
  </si>
  <si>
    <t>https://www.archanaskitchen.com/spicy-soya-bhurji-recipe-north-indian-soya-matar-bhurji</t>
  </si>
  <si>
    <t>Shakarkandi Ka Halwa Recipe (Sweet Potato Halwa)</t>
  </si>
  <si>
    <t>2 Sweet Potato - grated,1 tablespoon Sugar,1 tablespoon Ghee,1/2 cup Mixed nuts - chopped,1 teaspoon Cardamom Powder (Elaichi)</t>
  </si>
  <si>
    <t xml:space="preserve">To begin making Shakarkandi Ka Halwa Recipe(Sweet Potato Halwa), in a plate, peel and grate the sweet potatoes. Place a Kadai on medium heat. Add ghee to it. Once the ghee is warm, add grated sweet potato and saute till the sweet potato softens. Add sugar, cardamom powder and nuts, mix well, keep stirring and cook the Halwa for 2-3 minutes. Keep a few chopped nuts for garnishing.Turn off the heat, transfer into a serving bowl, garnish with nuts.Serve Shakarkandi Ka Halwa Recipe hot for breakfast or pack it for kids snack box, or alternatively serve it as healthy dessert.
</t>
  </si>
  <si>
    <t>http://www.archanaskitchen.com/shakarkandi-ka-halwa-recipe-sweet-potato-halwa</t>
  </si>
  <si>
    <t>Beetroot, Carrot &amp; Cucumber Salad with Peanuts Recipe</t>
  </si>
  <si>
    <t>2 beetroot - grate, 2 carrots - grate, 1 cucumber - remove seeds and chop, 4 tablespoons peanuts, 1 green chilli - chop, 4 sprigs coriander leaves - chop, 1 teaspoon lemon juice, 1 teaspoon black pepper powder, 1 teaspoon chaat masala powder, salt - according to taste</t>
  </si>
  <si>
    <t>"To make Beetroot, Carrot and Cucumber Salad Recipe, first prepare all the ingredients. In a mixing bowl, add beetroot, carrot, cucumber, peanuts, green chillies, coriander leaves, lemon juice, black pepper powder, chaat masala powder, salt and mix well. Transfer to a bowl and serve. Serve Beetroot, Carrot and Cucumber Salad Recipe with Panchmel Daal, Lauki Badi Sabzi and Phulkas."</t>
  </si>
  <si>
    <t>http://www.archanaskitchen.com/beetroot-carrot-cucumber-salad-with-peanuts-recipe-in-hindi</t>
  </si>
  <si>
    <t>Pineapple Paneer Tikka Recipe</t>
  </si>
  <si>
    <t>300 grams Paneer (Homemade Cottage Cheese) - Homemade Cottage Cheese             ,1 Pineapple - cut into triangles,1 Red Bell pepper (Capsicum) - cut into triangles,Sunflower Oil - for tossing,1 cup Hung Curd (Greek Yogurt),3 tablespoons Gram flour (besan),3 cloves Garlic - ground to paste,1 inch Ginger - ground to paste,1 tablespoon Kasuri Methi (Dried Fenugreek Leaves),1 teaspoon Fennel seeds (Saunf) - roasted ground to powder,1/2 teaspoon Ajwain (Carom seeds),1/2 teaspoon Cumin powder (Jeera),1/2 teaspoon Coriander Powder (Dhania),3/4 teaspoon Black pepper powder,3/4 teaspoon Turmeric powder (Haldi),1 teaspoon Red Chilli powder,2 teaspoon Garam masala powder,1/4 teaspoon Black Salt (Kala Namak),Salt - to taste</t>
  </si>
  <si>
    <t xml:space="preserve">To begin making the Pineapple Paneer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pineapple &amp; bell peppers in a large bowl, add in the marinade and allow it to rest covered for about half an hour to one hour or even overnight.Take a skewer and add paneer cubes, pineapple and bell peppers and line it up till the top. Do the same for the rest of the skewers.Heat a grill pan over medium heat, add a little oil and place few marinated paneer skewer along with a little of the marinade on top.Add a spoon of ghee or oil on the coal. It will begin to smoke a little, reduce the heat to low and let it sit for about a minute on each side. Keep turning and cook evenly on all the side till it is charred. Cook the skewer for atleast 10 minutes and serve hot. Serve the Pineapple Paneer Tikka Recipe along with Jeera Rice, Tomato Onion Cucumber Raita and Smoked Dal Makhani Dhaba Style to make it a complete meal.
</t>
  </si>
  <si>
    <t>https://www.archanaskitchen.com/pineapple-paneer-tikka-recipe</t>
  </si>
  <si>
    <t>Mushroom Tikka Masala Dry Recipe</t>
  </si>
  <si>
    <t>2 cups Button mushrooms - cut into 2,1/2 cup Green Bell Pepper (Capsicum) - cubed,1/2 cup Onion - chopped,1/4 cup Curd (Dahi / Yogurt) - or greek yogurt (hung yogurt),2 tablespoon Gram flour (besan),1 teaspoon Ginger Garlic Paste,1/8 teaspoon Turmeric powder (Haldi),1 teaspoon Kashmiri Red Chilli Powder,2 teaspoon Garam masala powder,1 teaspoon Turmeric powder (Haldi),1/2 teaspoon Chaat Masala Powder,1 teaspoon Lemon juice,2 teaspoons Sunflower Oil,Salt - to taste,Kasuri Methi (Dried Fenugreek Leaves)</t>
  </si>
  <si>
    <t xml:space="preserve">To begin making the Mushroom Tikka Masala Dry Recipe, we will first mix yogurt, besan, red chilli powder, turmeric powder, garam masala, chaat masala powder to form a mixture.Heat a kadai with oil, add ginger and garlic and saute till they soften. Add in onions and bell peppers and saute till the onions turn translucent.Once the onions are softened add mushrooms and cook until all the water is evaporated well. Finally, add in the yogurt besan mixture that was mixed earlier.Mix well and cook until the raw smell goes away and the gravy slightly thickens. Check for salt and sprinkle some kasuri methi and lemon juice and mix well.Finally when the mushroom is cooked well into the gravy, you can switch off the heat and serve hot.Serve the Mushroom Tikka Masala Dry Recipe along with with Pudina Tawa Paratha or Butter Garlic Naan Recipe and Bharma Baingan Aur Pyaz Ki Sabzi Recipe (Spicy Stuffed Brinjals With Onions).
</t>
  </si>
  <si>
    <t>https://www.archanaskitchen.com/mushroom-tikka-masala-dry-recipe</t>
  </si>
  <si>
    <t>Aloo Patta Gobi Sabzi Recipe</t>
  </si>
  <si>
    <t>2 potatoes, 1 onion - chopped, 2 cups cabbage, 1/4 tsp turmeric powder, 1/2 tsp red chili powder, 1 tsp coriander powder, 1/2 inch cinnamon, 2 cloves, 1 bay leaf, 1/2 tsp fennel, 1 tsp cumin, salt - according to taste, 1 tsp oil, green coriander - according to use</t>
  </si>
  <si>
    <t>"To make Aloo Patta Gobi Sabzi recipe, first wash the potatoes and cabbage thoroughly. Peel and chop the potatoes and keep them in water so that they do not turn black. Heat oil in a pan. Add cinnamon, cloves, bay leaves, fennel seeds, cumin seeds and cook for 1 minute. Add onion and cook till onion becomes soft. After onion becomes soft, add cabbage, potatoes and cook for 1 minute. Add turmeric powder, red chili powder, coriander powder, salt, little water and cook for 2 to 3 minutes. Cook till vegetables become soft. Garnish with coriander leaves and serve. Serve Aloo Patta Gobi Sabzi with Palak Daal, Boondi Raita and Phulkas for lunch."</t>
  </si>
  <si>
    <t>https://www.archanaskitchen.com/aloo-patta-gobi-sabzi-recipe-potato-cabbage-sabzi-in-hindi</t>
  </si>
  <si>
    <t>Aam Ka Panna Recipe With Jaggery</t>
  </si>
  <si>
    <t>2 Mango (Raw) - medium,1/2 cup Jaggery - or sugar,1/2 teaspoon Cumin powder (Jeera),Black Salt (Kala Namak) - as per taste,1/4 teaspoon Black pepper powder,10 Mint Leaves (Pudina),Water - chilled,Ice cubes</t>
  </si>
  <si>
    <t xml:space="preserve">To begin making Aam ka Panna recipe with Jaggery, rinse the mangoes and place them on a wire mesh on the gas stove.Roast till the skin is completely charred and the mangoes are cooked well from inside.Place the roasted mangoes in a foil. Close and let them cool.Remove the peel and keep the pulp aside.In a Blender, add the mango pulp and rest of the spices like the black salt, pepper powder, cumin powder and jaggery. Blend to a smooth paste. Adjust sweet and spices to suit your taste.In a pitcher, add in the paste. Pour chilled water and ice cubes.Garnish Aam ka Panna recipe with some mint leaves and serve in glasses.Serve the Aam Ka Panna Recipe With Jaggery as a cool drink on a evening summer with Chickpea Sundal Recipe or Sprouted Moong Bade Recipe (Moong Sprout Fritters Recipe).
</t>
  </si>
  <si>
    <t>http://www.archanaskitchen.com/aam-ka-panna-recipe-with-jaggery</t>
  </si>
  <si>
    <t>Achari Baingan Bharta Recipe</t>
  </si>
  <si>
    <t>1 Brinjal (Baingan / Eggplant),3 Tomatoes,1 Onion,5 Garlic - cloves,2 Green Chillies - finely chopped,1 inch Ginger - grated,1/2 teaspoon Turmeric powder (Haldi),2 tablespoons Coriander (Dhania) Leaves - chopped,1 tablespoon Coriander Powder (Dhania),1 teaspoon Red Chilli powder,1-2 teaspoons Mango pickle - optional,1-1/2 teaspoon Achari masala,Sunflower Oil - as required,Asafoetida (hing) - a pinch,Salt - to taste,1 teaspoon Mustard seeds,1 teaspoon Cumin seeds (Jeera),1 teaspoon Fennel seeds (Saunf),1/4 teaspoon Kalonji (Onion Nigella Seeds),1/4 teaspoon Methi Seeds (Fenugreek Seeds),1/4 teaspoon Ajwain (Carom seeds),2 Dry Red Chillies,1/2 teaspoon Amchur (Dry Mango Powder)</t>
  </si>
  <si>
    <t xml:space="preserve">To begin making the Achari Baingan Bharta, firstly set aside the amchoor powder and dry roast all the ingredients under ‘For the ochre masala’, until fragrant and now add amchoor powder and grind to a powder. (not very fine).The next step is to make the bharta. In a large baking tray, place the onion with its pee, greased eggplant and tomatoes and roast the veggies for 30 minutes at 200 degrees preheated oven. Set it aside to cool down completely.Skin the eggplant and mash it completely using a fork. Peel the onions and roughly chop or process it roughly in a food processor. Separate the skin and seeds from the tomatoes and mash them roughly.In a hot wide pan, add oil, ginger, garlic, green chillies, hing and stir it around for a minute or two.Add the onions, tomatoes, turmeric, coriander powder, chilli powder and some salt, mix well and cook for a couple of minutes until you see its starting to dry out.Now add the achaari masala, mango pickle and mashed baingan and combine it well with the tomato mixture and cook until you see the bhartha coming together.Adjust the seasoning and garnish it with some fresh coriander.Enjoy Achari Baingan Bharta with Phulkas and Panchmel Dal for a weekday meal.
</t>
  </si>
  <si>
    <t>http://www.archanaskitchen.com/achari-baingan-bharta-recipe</t>
  </si>
  <si>
    <t>1 cup paneer - grated, 1 potato - boiled and grated, 1/2 cup milk powder, 1 inch ginger - finely chopped, 1 green chilli - finely chopped, 1 onion - finely chopped, 1 garam masala powder, 1 chaat masala powder, 3 green coriander - finely chopped, 1 rice flour, salt - according to taste, oil - according to use</t>
  </si>
  <si>
    <t>"To make Vegetarian Malai Kabab Recipe, first keep all the ingredients ready. In a mixing bowl add paneer, potatoes, milk powder, green chilies, ginger, onions, garam masala powder, chaat masala powder, coriander leaves, rice flour, salt and mix well. Take some mixture and make small round kebabs. Press them to flatten them. Heat oil in a pan. Place the kebabs in it and cook on both sides till they turn golden brown. Once cooked, remove on a kitchen paper to absorb oil and serve. Serve Vegetarian Malai Kabab Recipe with Coriander Mint Chutney and Vinegar Onions as a starter."</t>
  </si>
  <si>
    <t>http://www.archanaskitchen.com/vegetarian-malai-kebab-recipe-in-hindi</t>
  </si>
  <si>
    <t>Traditional Whole Gobi Musallam Recipe</t>
  </si>
  <si>
    <t>1 Cauliflower (gobi) - whole,10 Cashew nuts,1 Onion - chopped,2 Tomatoes - chopped,4 cloves Garlic - chopped,1/2 inch Ginger - chopped,1 teaspoon Cumin powder (Jeera),1 teaspoon Coriander Powder (Dhania),1 teaspoon Red Chilli powder,1 teaspoon Garam masala powder,2 teaspoons Kasuri Methi (Dried Fenugreek Leaves),1/2 teaspoon Turmeric powder (Haldi),Coriander (Dhania) Leaves - for garnishing,Water - as needed,Salt - as needed</t>
  </si>
  <si>
    <t xml:space="preserve">To prepare Traditional Whole Gobi Musallam Recipe, remove any outer leaves from the cauliflower head. Then put the cauliflower on a plate facing the stem upwards. Using a knife, cut the extra stem in such a way that cauliflower can sit straight at base facing the florets upwards.Soak the cashews in water.Prep other veggies and ingredients as well.In a pan boil enough water along with salt and turmeric powder. Gently drop the whole head cauliflower (head facing upwards) in the boiling water and boil for 5 minutes. Then flip it (head facing downwards) and again boil for 5 minutes. Or alternatively, steam it till al dente.Strain the cauliflower and keep aside.In another pan, heat oil on medium heat. Add the coarsely chopped onion, garlic, ginger and sauté for 5 minutes till onion turns transparent.Next add coarsely chopped tomato and all spice powder except kasoori methi. Cook until tomato turns soft.Turn off the heat and let the masala mixture cool completely.Then blend the cooled masala mixture along with soaked cashews until smooth paste in a blender.Pour this paste into the same pan and cook again on medium heat for 5-10 minutes.Add little water if the sauce gets too thick. Now add kasoori methi, stir well and cook for another 5 minutes.In the meanwhile, preheat oven to 200 deg C.Put the cauliflower (head facing upwards) in a baking dish and pour the masala over the cauliflower and ensure that the whole cauliflower is well coated. Bake for 30 minutes and by the time the cauliflower starts to brown.Garnish with coriander leaves, slice Traditional Whole Gobi Musallam Recipe and serve along with naans or phulkas.
</t>
  </si>
  <si>
    <t>http://www.archanaskitchen.com/traditional-whole-gobhi-musallam-recipe</t>
  </si>
  <si>
    <t>Dhingri Matar Recipe (Mushrooms and Peas Spicy Curry)</t>
  </si>
  <si>
    <t>400 grams Button mushrooms,1/4 cup Green peas (Matar) - steamed,1 cup Soy Chunks (Nuggets),2 cups Homemade tomato puree,1/2 teaspoon Turmeric powder (Haldi),1 teaspoon Garam masala powder,1/2 teaspoon Red Chilli powder,4 cloves Garlic,1 inch Ginger,1 tablespoon Poppy seeds,5 Cashew nuts,Sunflower Oil - for cooking,Salt - to taste,1 Stalk Coriander (Dhania) Leaves - finely chopped</t>
  </si>
  <si>
    <t>To begin making the Dhingri Matar Recipe, we will first make a paste of the ginger and garlic, adding a dash of water if required. Keep asideMake a paste of poppy seeds and cashew nuts, adding just enough water to make a paste. Keep aside.Soak the soy chunks in warm water for about 15 minutes and keep aside.Heat the oil in a pan; add the ginger and garlic paste and saute until well absorbed into the oil and turned light golden brown.Add the tomato puree and turmeric powder and saute for a few minutes. Stir in the peas, soy chunks, mushrooms and simmer until the mushrooms are tender.Add the garam masala, cashew nut-poppy paste, salt, chilli powder. Simmer for about 5 minutes and bring the Dhingri Matar to a quick boil. Check the salt and spice levels and adjust to suit your taste. Turn off the heat and stir in the chopped coriander leaves. Once done, transfer to a serving bowl and serve warm with your choice of naan</t>
  </si>
  <si>
    <t>https://www.archanaskitchen.com/dhingri-mutter-recipe-mushrooms-and-peas-spicy-curry</t>
  </si>
  <si>
    <t>One Pot Punjabi Rajma Masala Recipe</t>
  </si>
  <si>
    <t>1 cup rajma, 1 inch ginger - finely chopped, 2 cloves garlic - finely chopped, 1 onion - chopped, 1/2 cup tomato puree, 1 tsp turmeric powder, 1 tsp cumin powder - roasted, 1 tsp garam masala powder, 4 cardamoms, 2 inches cinnamon, 1 tbsp butter, green coriander - a little, 1 tsp oil, salt - according to taste</t>
  </si>
  <si>
    <t>"To make One Pot Rajma Masala recipe, first soak the rajma in 3 cups of water for 8 to 10 minutes. Now turn on the sauté mode in an electric pressure cooker. Heat oil as per requirement. Now add onion, garlic, ginger and cook till the onion turns golden brown. Now add tomato puree, turmeric powder, cumin powder, garam masala powder, cardamom and cinnamon. Cook for 2 minutes. Now add the soaked rajma along with water. Close the cooker and turn on the rajma mode. After cooking, let the pressure release automatically. After the pressure is released, you will see that the indicator has gone down. After the pressure is released, open the cooker, take it out in a bowl and garnish with green coriander. Serve One Pot Punjabi Rajma Masala Recipe with Rice and Mint Onion Kachumber Salad for dinner."</t>
  </si>
  <si>
    <t>https://www.archanaskitchen.com/one-pot-punjabi-rajma-masala-recipe-in-preethi-electric-pressure-cooker-in-hindi</t>
  </si>
  <si>
    <t>Hara Chana Masala</t>
  </si>
  <si>
    <t>200 grams green gram - soaked overnight, 1 onion - finely chopped, 1 tomato - finely chopped, 1 cinnamon stick, 2 teaspoon coriander powder, 1 teaspoon red chili powder, 1 teaspoon garam masala powder, 1 tablespoon ghee, 2 teaspoon coriander leaves - finely chopped, salt - according to taste, 2 inch ginger, 5 cloves garlic, 1 green chili, 3 sprigs coriander leaves - chopped, 1 inch cinnamon stick, 3 cloves</t>
  </si>
  <si>
    <t>"To make Hara Chana Masala, first soak the green chickpeas overnight. In the morning, put them in a pressure cooker with water and cook till 3 whistles. Keep it aside. Now take a mixer grinder and put all the ingredients to be ground with some water and make a paste. Keep it aside. Now heat oil in a pan. Add cinnamon and onions. Cook till the onions become soft. Now add the ground masala and cook for 3 minutes. After 3 minutes, add tomatoes and cook till they become soft. Now add coriander powder, red chili powder and garam masala powder and mix. Cook for 5 minutes. After 5 minutes, add boiled green chickpeas, 2 cups of water and cook for 10 minutes. After 10 minutes, garnish with coriander leaves and serve hot. Serve Hara Chana Masala with Panchmel Dal, Kachumber Salad, Boondi Raita and Phulkas for lunch."</t>
  </si>
  <si>
    <t>http://www.archanaskitchen.com/hara-chana-masala-recipe-in-hindi</t>
  </si>
  <si>
    <t>Aloo Methi Paratha Recipe</t>
  </si>
  <si>
    <t>3 cups Whole Wheat Flour,Water - as required,1 tablespoon Sunflower Oil,Whole Wheat Flour - for dusting,Salt - to taste,1 cup Potato (Aloo) - boiled and mashed,1/2 cup Onion - finely chopped,1/2 cup Methi Leaves (Fenugreek Leaves) - chopped,2 Green Chillies - finely chopped,Coriander (Dhania) Leaves - finely chopped,1/4 tablespoon Coriander Powder (Dhania),1/2 tablespoon Red Chilli powder,1/4 tablespoon Garam masala powder,1/2 tablespoon Chaat Masala Powder,Salt - to taste,Ghee - as required</t>
  </si>
  <si>
    <t xml:space="preserve">To begin making the Aloo Methi Paratha recipe, in a bowl, mix together wheat flour, salt and oil.Add water little at a time and prepare a soft dough just as we make dough for chapati. Grease your hands with oil and knead it well. Cover it and let it rest for some time.Now prepare stuffing the stuffing for the paratha. Mix mashed potatoes, chopped onions, chopped methi, finely chopped green chillies and fresh coriander properly in a bowl.Now add all dry spiced in mixture including salt, red chilli powder, garam masala, coriander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pressure.Heat a tawa, put the rolled out paratha on it. Let it cook little bit on one side.Flip it over to the other side and spread some ghee over the paratha which is half cooked.Flip it again, when the second side is half cooked and spread some more ghee.Flip it gain, do it couple of times to get paratha browned and cooked well.Now topped it with butter and serve hot.Serve Aloo Methi Paratha along with Boondi Raita, Bhindi Raita or any other raita of your choice.
</t>
  </si>
  <si>
    <t>https://www.archanaskitchen.com/aloo-methi-paratha-recipe</t>
  </si>
  <si>
    <t>Mashed Peas Recipe</t>
  </si>
  <si>
    <t xml:space="preserve">To begin making the Mashed Peas, first cook the peas till they lose their bite (you can use a pressure cooker or a saucepan to cook them).Reserve some water and drain off the remaining water from the vessel.In a pan heat the olive oil. Add the garlic and peas and sauté for 2-3 minutes.Take it off the heat and add the mint leaves and mashed avocados.Mash together the peas and avocado. You can use a food processor for blending them together, a potato masher or you can mash it using your hands. Add some reserved water if required.Season with salt and pepper and add the lime juice.Serve the mashed peas along with your favourite curry for a light meal or spread them on toasted bread for a quick snack. You can also have it along with salads like Beetroot salad with mixed greens and feta cheese and Smoked tofu and grilled vegetable salad.
</t>
  </si>
  <si>
    <t>http://www.archanaskitchen.com/mashed-peas-recipe</t>
  </si>
  <si>
    <t>Healthy Veg Lollipop Recipe With Palak &amp; Rajma</t>
  </si>
  <si>
    <t>1 cup Rajma (Large Kidney Beans) - 1 cup rajma,2 cups Spinach Leaves (Palak) - chopped &amp; tightly packed,1/2 cup Rolled Oats - finely powdered,1 teaspoon Red Chilli powder,1 teaspoon Garam masala powder,1/2 teaspoon Cumin powder (Jeera),1/2 teaspoon Amchur (Dry Mango Powder),Salt - to taste,Sunflower Oil - as required,3 tablespoons Gram flour (besan),Water - as required,Turmeric powder (Haldi) - a pinch,Salt - to taste,1/2 cup Rolled Oats - coarsely powdered</t>
  </si>
  <si>
    <t xml:space="preserve">To begin making the Healthy Veg Lollipop Recipe With Palak &amp; Rajma, soak rajma in water for 7-8 hours or overnight. The quantity of rajma would have almost doubled.Drain the water and pressure cook the soaked rajma with fresh water upto 8 to 10 whistles/ about 30 minutes so that they are soft when pressed. Let the pressure release on its own.Drain the water from the rajma and use it for any other purpose (in a curry or to knead chapati dough). Do not discard this water.In the meantime, thoroughly wash palak leaves multiple times. Saute the spinach lighty in a pan without any oil until soft and the spinach shrinks. Turn off the heat and allow the spinach to cool.Now, finely powder rolled oats in a mixer/blender and set aside.In a mixing bowl, take cooked rajma and mash it well using a masher or with your hand. Do not make it completely smooth, but coarsely mash some of them. This will give you a nice texture when you bite the lollipops.Next, add the cooked spinach, oats powder, salt and all the spices mentioned under 'To make Palak Rajma Oats Lollipop' which includes red chilli powder, garam masala powder, cumin powder, amchur powder, salt and oil.Mix all the contents thoroughly so that it forms a soft non-sticky dough. You should be easily able to shape it into small balls. If your dough is sticky, you can add more oats powder. Make small lemon sized balls and set aside.Check the spices and salt and adjust to suit your taste.Now, you will have to make a thin paste of gram flour. For this, mix gram flour with salt and turmeric powder. Add water as required and whisk well to form a lump-free, thin paste. Set aside.Next, make a coarse powder of rolled oats and set aside. Coating the veg lollipops with oats gives a nice crunchy texture to them. Now, heat a paddu / appe / paniyaram pan and add few drops of oil to each of the cavities.Dip each of the veg lollipop balls in gram flour mixture and roll them gently over oats so that they are uniformly coated.Gently place the veg lollipop balls inside the oiled cavities of the paddu pan. Cook them in low-medium heat until light brown in colour. Flip the veg lollipops around so that they cook well on all sides.Once the veg lollipops they are done, transfer them onto a paper towel to remove excess oil. Gently prick each of them with a toothpick so that they resemble a lollipop. Serve Healthy Veg Lollipop Recipe With Palak &amp; Rajma along with Dhaniya Pudina Chutney and Masala Chai for your tea party or as an evening snack.
</t>
  </si>
  <si>
    <t>http://www.archanaskitchen.com/healthy-veg-lollipop-recipe-with-palak-rajma</t>
  </si>
  <si>
    <t>Matki Khichdi Recipe - Palak Pudina Moth Bean Khichdi Recipe</t>
  </si>
  <si>
    <t>3/4 cup Rice,1 cup Moth Dal (Matki) - soaked overnight,1 Onion - finely chopped,1 cup Spinach - roughly chopped,1/2 cup Mint Leaves (Pudina) - roughly chopped,1/2 teaspoon Garam masala powder,1 teaspoon Cumin seeds (Jeera),1 teaspoon Black pepper powder,1 teaspoon Asafoetida (hing),2 teaspoons Ghee,Salt - to taste,1 tablespoon Ghee,4 cloves Garlic - finely chopped</t>
  </si>
  <si>
    <t xml:space="preserve">To begin making Hariyali Matki Khichdi (Palak Pudina Moth Bean Khichdi Recipe), wash and soak the moth beans overnight.Wash and soak the rice for 10 minutes before starting to cook.Heat 2 teaspoons of ghee in a pressure pan, add the cumin seeds, whole peppercorns and let it crackle.Add the asafoetida, onions and saute until it turns translucent.Once the onions turn translucent, add the chopped spinach and mint leaves, saute until it wilts a bit.Drain and add the soaked moth beans and rice.Add 4 cups of water, season with salt, garam masala and pressure cook the Matki Khichdi for 3 to 4 whistles. Switch off the heat. And let the pressure release naturally.Open the lid and gently mix the Matki Khichdi together.Now, heat the remaining ghee in a small tadka pan, add the chopped garlic cloves and fry until it turns golden. Switch off the heat.Pour this crispy garlic tadka over the prepared Matki Khichdi.Garnish with more fresh mint leaves and serve Hariyali Matki Khichdi recipe along with Rajasthani Kadhi, Satvik Sprouts Salad and Roasted Papad for a weeknight dinner.
</t>
  </si>
  <si>
    <t>http://www.archanaskitchen.com/matki-khichdi-recipe-palak-pudina-moth-bean-khichdi-recipe</t>
  </si>
  <si>
    <t>Chunni Ki Puri Recipe - Moong Dal And Besan Fried Puri Recipe</t>
  </si>
  <si>
    <t>1/4 cup Yellow Moong Dal (Split) - washed,1/2 cup Gram flour (besan),2 cups Whole Wheat Flour,Salt - to taste,1/4 teaspoon Asafoetida (hing),1 tablespoon Sunflower Oil,Sunflower Oil - for deep frying</t>
  </si>
  <si>
    <t xml:space="preserve">To begin making the Chunni ki Puri / Dal &amp; Besan Puri Recipe, wash and soak the moong dal for 20 minutes.In a pressure cooker, add the dal along with 1/2 cup of water and pressure cook for 2 whistles and turn off the heat. Allow the pressure to release naturally.Once the pressure has released, mash dal with a whisk or churner, and allow it to cool. There will be very little water remaining which you can use to make the poori dough.In a large mixing bowl, add whole wheat flour, besan, salt, hing and the mashed dal. Add a little water if required and knead into a firm dough. Add a teaspoon of oil on the top and knead for a few more minutes until smooth. Cover with a muslin cloth and set aside.In a heavy bottomed pan, add required amount of oil for frying the Dal &amp; Besan Puri.Divide the Dal &amp; Besan Puri dough into equal portions, and dust the surface with whole wheat flour and flatten the dough balls with the rolling pin. Roll them out into a 2-1/2 to 3 inch diameter circle.Once the oil is heated, gently slice in the Dal &amp; Besan Puri.Using a slotted spoon, keep pouring oil over the puri and gently press the puri, so that the chunni ki puri puffs up. At this point, turn the puri to the other side and fry till it turns golden brown.Drain the Dal &amp; Besan Puri on a kitchen towel to absorb the extra oil and serve hot. Serve Chunni ki Puri/Dal &amp; Besan Puri along with Jodhpuri Aloo Recipe or Rawal Pindi Style Chole Recipe and Boondi Raita for a weekday meal.
</t>
  </si>
  <si>
    <t>http://www.archanaskitchen.com/chunni-ki-puri-recipe</t>
  </si>
  <si>
    <t>1 cup white urad dal - soak for 8 hours, 15 almonds - soak and peel, 1/2 cup milk, 1 tsp turmeric powder, salt - according to taste, 1 onion - chopped, 1 tomato - chopped, 1 tsp cumin seeds, 1 tsp red chilli powder, 1 green chilli - chopped, oil</t>
  </si>
  <si>
    <t>"To make Shahi Daal Recipe, first of all take a pressure cooker and add urad dal, almonds, turmeric powder, salt, water as required. Close the cooker and cook till 4 whistles. Turn off the gas and let the pressure release automatically. Open the cooker, add 1 cup milk, turn on the gas and cook for 2 minutes. Add salt, mix and turn off the gas. Now heat oil in a pan. Add cumin seeds and let them crackle. After the cumin seeds crackle, add onions and cook till they become soft. Now add tomatoes, salt and cook till the tomatoes become soft. Now add red chili powder and cook for 2 minutes. After 2 minutes add dal and mix. Turn off the gas after 1 minute and serve. Serve Shahi Daal Recipe with Bhindi Masala, Tomato Onion Cucumber Raita and Phulkas for lunch."</t>
  </si>
  <si>
    <t>http://www.archanaskitchen.com/shahi-dal-recipe-in-hindi</t>
  </si>
  <si>
    <t>Aloo Matar Korma Recipe In White Gravy</t>
  </si>
  <si>
    <t>500 grams Baby Potatoes - boiled,1 cup Green peas (Matar) - boiled,1 Bay leaf (tej patta),2 Cardamom (Elaichi) Pods/Seeds,4 Cloves (Laung),1 teaspoon Garam masala powder,2 tablespoons Curd (Dahi / Yogurt),1/4 cup Fresh cream,1 tablespoon Ghee,Salt - to taste,1 Onion - roughly chopped,2 tablespoons Cashew nuts,2 Green Chillies,1 inch Ginger</t>
  </si>
  <si>
    <t xml:space="preserve">To begin making the Aloo Matar Korma Recipe In White Gravy, wash and pressure cook the baby potatoes to 2 whistles. Peel and keep aside.Similarly, steam or boil the green peas and keep them aside.Make a smooth paste of the ingredients mentioned under 'grind into a smooth paste' which includes onion, cashew nuts, green chillies and ginger using a mixer grinder. Keep it aside.Now, heat ghee in a heavy bottomed pan, add the bayleaf, cardamoms, cloves and let it release its aroma into the ghee. This will take about 10 to 15 seconds.Add the ground onion ginger cashew mixture into the pan and saute for 3 minutes.Gently whisk the curd and garam masala into the cream to a smooth texture and add it to the pan.Add a cup of water, season with salt and let it simmer for 2 to 3 minutes.Add the boiled baby potatoes and green peas, simmer for another 2 minutes and switch off the flame.Serve this delicious Aloo Matar Korma Recipe In White Gravy along with Tawa Paratha and Palak Raita for a weekday meal.
</t>
  </si>
  <si>
    <t>https://www.archanaskitchen.com/aloo-matar-korma-recipe-in-white-gravy</t>
  </si>
  <si>
    <t>Stuffed Ridge Gourd Recipe</t>
  </si>
  <si>
    <t>1 Ridge Gourd (Turai/ Peerkangai) - skin peeled and cut into 2 inch cylindrical.,1 teaspoon Mustard seeds,1 Onion - chopped,1 Tomato - chopped,2 tablespoon Roasted Peanuts (Moongphali),1 Green Chilli - chopped,2 sprig Coriander (Dhania) Leaves,4 cloves Garlic,1 teaspoon Cumin seeds (Jeera)</t>
  </si>
  <si>
    <t xml:space="preserve">To begin making the Stuffed Ridge Gourd Recipe prep the ridge gourd and keep it ready. Slit each cylinder into 4. Do not cut too much.Grind all the ingredient’s with little water to a smooth paste. Once that is ground, stuff in the filling into the cut the ridge gourd and keep it aside.Heat a sauce pan with oil, add mustard seeds and allow it to crackle for 10 seconds.Place the stuffed ridge gourd and cook them till for 5 minutes. Keep turning the ridge gourd so that it does not stick to the pan.Add the ground paste and little water and cook it covered with a lid, add salt and carefully mix. Cook until the masala reduces.Serve the Stuffed Ridge Gourd Recipe along with Tawa Paratha, Dal Palak Recipe and Spinach Rice to make it a complete meal.
</t>
  </si>
  <si>
    <t>http://www.archanaskitchen.com/stuffed-ridge-gourd-recipe</t>
  </si>
  <si>
    <t>Nimki Aloo Anardana Curry Recipe - Potato And Nimki Curry</t>
  </si>
  <si>
    <t>1 cup All Purpose Flour (Maida),1 tablespoon Ajwain (Carom seeds),1 tablespoon Sooji (Semolina/ Rava),1 tablespoon Ghee,Salt - to taste,Water - as required for dough mixing,Sunflower Oil - as required,5 Potatoes (Aloo) - peeled and diced,1 Onion - finely chopped,1 tablespoon Ginger Garlic Paste,1/2 cup Homemade tomato puree,2 tablespoons Sunflower Oil,1/2 teaspoon Cumin seeds (Jeera),1/2 teaspoon Turmeric powder (Haldi),1 teaspoon Red Chilli powder,1 teaspoon Coriander Powder (Dhania),1 tablespoon Anardana Powder (Pomegranate Seed Powder),1 teaspoon Fennel seeds (Saunf) - powdered,1 teaspoon Sugar,1/2 teaspoon Garam masala powder,Salt - to taste,1/2 teaspoon Kasuri Methi (Dried Fenugreek Leaves),Coriander (Dhania) Leaves - chopped,Fresh Pomegranate Fruit Kernels - as required,Lemon wedges - as required,Onion - finely chopped</t>
  </si>
  <si>
    <t xml:space="preserve">To begin making the Nimki Aloo Anardana Curry recipe, we will first start by making the Nimki.In a bowl add maida, salt, semolina, ghee &amp; mix well.To this gradually add water and start kneading to form a stiff dough. Set aside for 15-20 minutes and knead again to form a smooth dough.Now take a ball sized dough and start rolling it like a roti and cut it into diamond shapes with a knife.Heat the required oil in a pan for deep frying and add the nimkis one by one. Fry them over a medium low heat till they turn golden colour from all the sides.Remove from oil and place them over a tissue paper to absorb the excess oil from the nimki. Set it aside.Note: you can also use readymade Nimki to make this Nimki Aloo Anardana Curry RecipeThe next step is to make the Aloo/ Potato curry in the pressure cooker.  Heat oil in a pressure cooker over medium heat; add cumin seeds, ginger garlic paste and cook till the raw smell is gone. This will take about a minute or two.After a minute or two, add finely chopped onions and let it cook till the onions turn soft and translucent.Next, add all the dry spices including garam masala powder, turmeric powder, red chilli powder, fennel powder, coriander powder, anardana powder and light roast for a minute.After a minute, add tomato puree and the diced potatoes and let it simmer for 2 minutes. Add salt to taste, 1 cup of water and cover the pressure cooker and cook for 4 to 5 whistles.Once done, turn off the heat and allow the pressure to release naturally.Once the pressure releases, add the kasuri methi and check the salt and spices and adjust accordingly. Transfer to a serving bowl.Lastly, garnish it with pomegranate seeds, coriander leaves, nimki, lemon wedges and onions and serve hot.Serve Nimki Aloo Anardana Curry along with Palak Raita, Kachumber Salad and Tawa Paratha for a weekday meal with your family.
</t>
  </si>
  <si>
    <t>http://www.archanaskitchen.com/nimki-aloo-anardana-curry-recipe-potato-and-nimki-curry</t>
  </si>
  <si>
    <t>Aam Papad Recipe (Tasty Mango Bars)</t>
  </si>
  <si>
    <t>3 cups Mango Pulp (Puree),1/2 cup Sugar,1/2 teaspoon Ghee - for greasing,1/2 teaspoon Cardamom Powder (Elaichi)</t>
  </si>
  <si>
    <t xml:space="preserve">o prepare Aam Papad Recipe (Tasty Mango Bars), get a few mangoes and extract 3 cups full of pulp.Add the mango pulp, sugar and cardamom powder in a pan and place it on the gas to boil.After it comes to boil, cook for 5-8 minutes while you stir continuously, until the pulp thickens and slightly changes its colour.Grease a plate or tray with ghee, pour the cooked mango mix on the plate and spread it out thinly to allow them to dry.Now keep this plate out in the sun to dry. If the sun's heat is strong then the Aam Papad will be dried and ready by evening. If you pour the Mango mixture to a large plate and very thin, then you can take out the whole strip, fold them a couple of times and then cut with a knife.This way, you can get a thick mango bar in shorter time. Otherwise, spread it out about 1-2 cm thick and you can cut Aam papad right away once they are dry. Serve these sweet and tasty mango bars during the evenings. Kids and grownups are sure to love it alike.
</t>
  </si>
  <si>
    <t>https://www.archanaskitchen.com/aam-papad-recipe-tasty-mango-bars</t>
  </si>
  <si>
    <t>Besan Ladoo</t>
  </si>
  <si>
    <t>1 cup gram dal, 3/4 cup sugar - powdered, 1 teaspoon cardamom powder, 2 tablespoons ghee, 1 tablespoon pistachio - cut into pieces (for garnish)</t>
  </si>
  <si>
    <t>"To make Besan Laddu, first roast the Bengal gram dal in a pan till it turns golden brown. After roasting the Bengal gram dal, keep it aside to cool. Now put the roasted Bengal gram dal, sugar, cardamom powder in a food processor and grind it. Now take out this Bengal gram dal in a bowl and add ghee to it. Mix it well using your hands. After it becomes soft, make small balls and fill them with pistachios. You can keep them in an air tight container for a few days. Make Bengal gram dal laddu for the upcoming festival and enjoy it."</t>
  </si>
  <si>
    <t>http://www.archanaskitchen.com/besan-ladoo-recipe-in-hindi</t>
  </si>
  <si>
    <t>1 Cauliflower (gobi) - cut into large florets,1 cup Hung Curd (Greek Yogurt) - (or greek yogurt),1/2 teaspoon Red Chilli powder,1 teaspoon Garam masala powder,1 teaspoon Chaat Masala Powder,1/2 teaspoon Turmeric powder (Haldi),1 teaspoon Coriander Powder (Dhania),1/2 teaspoon Ajwain (Carom seeds),1 teaspoon Kasuri Methi (Dried Fenugreek Leaves),3 tablespoons Gram flour (besan),Sunflower Oil - for cooking,Salt - to taste</t>
  </si>
  <si>
    <t xml:space="preserve">To begin making the Tandoori Gobi Tikka Recipe, make sure you have all the ingredients ready. The most important being the hung curd (greek yogurt). To make the Tandoori Gobi Tikka Recipe, we will first power steam the cauliflower. Power steaming is a process there the vegetable is partially cooked, but when you take a bite, it is edible enough to eat and yet firm. Steaming the cauliflower helps it to absorb the tikka masala well.To steam the cauliflower, place the florets in a Steamer and steam for about 4 minutes on high heat. Once done, turn off the heat and transfer to a large mixing bowl.Into the cauliflower add the remaining tikka ingredients including hung curd, red chilli powder, garam masala powder, chaat masala powder, turmeric powder, coriander powder, ajwain, kasuri methi, gram flour, salt and give it a good stir.Cover the cauliflower and allow it to marinate for at least 30 minutes before you can make the Tandoori Tikkas with the coal smoking methodOnce the marination is done, our next step is to cook the Tikka's. There are two ways you can make these. If you have a Barbeque Grill then you can grill the Tandoori Gobi Tikka or flavor the Tikkas using the Coal Smoking Method.*Barbeque Method:To grilling the tikkas, we will first soak skewers in water for few minutes. This prevents skewers from falling apart while grilling. Thread the gobi pieces into wooden skewers. Prepare your charcoal barbecue. Grill the Tandoori Gobi Tikka skewers from both the sides applying little oil till they turn brown on all sides and charred marks appear on the paneer.*Wok (Kadai) Method:Heat oil in a Wok (Kadai); add the marinated Gobi tikka pieces and stir-fry for a few minutes on low to medium heat.In the meanwhile; prepare the coal for the coal smoking method. Once the coal reaches red hot, place the hot coal in small steel or glass bowl.Place this bowl in the center of the Kadai that has the Tandoori Gobi Tikka, pour a teaspoon of ghee. You will notice that the coal will begin to smoke. At this stage, cover the pan and allow the smoke flavors to get into the tikka. Keep it covered for about a minute.Open the pan and the tikkas will be ready to be served.*Method to ServeTransfer grilled Tandoori Gobi Tikka to a serving plate. Serve Tandoori Gobi Tikka along with Green Chutney and Pickled Onions by the side for your party appetisers.
</t>
  </si>
  <si>
    <t>https://www.archanaskitchen.com/tandoori-gobi-tikka-recipe</t>
  </si>
  <si>
    <t>Masoor Dal Makhani</t>
  </si>
  <si>
    <t>1 cup masoor dal, 1 onion - finely chopped, 1 tomato, 6 cloves garlic - grated, 2 inch ginger - grated, 1 bay leaf, 2 cloves, 1 teaspoon cumin seeds, 1 cinnamon stick, 1 teaspoon red chilli powder, 2 teaspoons garam masala powder, 2 teaspoons coriander powder, 2 tablespoons ghee, 2 teaspoons cream, salt - according to taste</t>
  </si>
  <si>
    <t>"To make masoor dal makhani, first wash the masoor dal thoroughly. Soak the masoor dal in lukewarm water for 30 minutes. Heat ghee in a pressure cooker. Add cinnamon, cloves, bay leaves and cumin seeds. After 10 seconds, add onions and cook till golden brown. Add grated ginger and garlic paste and mix well. Cook for 2 to 3 minutes and add tomatoes. Add coriander powder, red chili powder, garam masala powder and cook till tomatoes turn soft. Add masoor dal, water and salt as per requirement. Mix well, close the cooker and cook till 4 to 5 whistles. After the pressure is released, open the cooker, add cream and mix well. Serve hot. Serve masoor dal makhani with paneer masala, lachha paratha and jeera rice for lunch."</t>
  </si>
  <si>
    <t>https://www.archanaskitchen.com/masoor-dal-makhani-recipe-in-hindi</t>
  </si>
  <si>
    <t>Carrot &amp; Capsicum Sabzi Recipe - No Onion No Garlic</t>
  </si>
  <si>
    <t>4 Carrots (Gajjar) - chopped,1 Green Bell Pepper (Capsicum) - cut into squares,1 teaspoon Kalonji (Onion Nigella Seeds),1 teaspoon Mustard seeds,1 pinch Asafoetida (hing),1 1/2 tablespoon Coriander Powder (Dhania),1 tablespoon Garam masala powder,1 tablespoon Red Chilli powder,1 teaspoon Amchur (Dry Mango Powder),Salt - to taste,Sunflower Oil</t>
  </si>
  <si>
    <t xml:space="preserve">To begin making the Carrot &amp; Capsicum Sabzi Recipe, heat a kadai with oil, add mustard seeds and ajwain and allow it to splutter for few seconds.Add a pinch of hing and chopped carrots and saute till they turn soft. This will take about 5 to 10 minutes to cook.Once that is done add the chopped bell peppers and sprinkle some salt and keep sautéing until the bell peppers are cooked.Add all the spice powders like coriander powder, garam masala powder, red chilli powder, amchoor to the vegetables and mix well.Sprinkle some water and cover it with the lid and allow the masala to cook for at least 10 minutes on medium heat. Check for salt in the Carrot &amp; Capsicum Sabzi  before your turn off the heat and serve hot.Serve the Carrot &amp; Capsicum Sabzi Recipe along with Gujarati Dal Recipe, phulka and raita to make it a complete meal.
</t>
  </si>
  <si>
    <t>https://www.archanaskitchen.com/carrot-capsicum-sabzi-recipe</t>
  </si>
  <si>
    <t>Kabuli Chana Kofta Biryani Recipe - Chickpea Kofta Biryani</t>
  </si>
  <si>
    <t>1-1/2 cup Kabuli Chana (White Chickpeas) - soaked for 8 hours,1 Onion - chopped,1 tablespoon Green Chilli - chopped,1 tablespoon Garlic - chopped,1 tablespoon Coriander (Dhania) Leaves - chopped,1 tablespoon Mint Leaves (Pudina) - chopped,1/4 teaspoon Turmeric powder (Haldi),1 teaspoon Red Chilli powder,1/4 teaspoon Fennel seeds (Saunf),Salt - to taste,2 Onions - finely chopped,1 teaspoon Ginger - finely chopped,1 teaspoon Garlic - finely chopped,1 cup Homemade tomato puree,1 teaspoon Red Chilli powder,1 teaspoon Coriander Powder (Dhania),1 teaspoon Garam masala powder,1/4 cup Fresh cream,Salt - to taste,1 tablespoon Sunflower Oil,1 cup Basmati rice,2 Bay leaf (tej patta),4 Cloves (Laung),2 Cardamom (Elaichi) Pods/Seeds,Salt - to taste,1/4 cup Milk - warm,Saffron strands - a generous pinch,1 tablespoon Coriander (Dhania) Leaves - chopped,1 tablespoon Mint Leaves (Pudina) - chopped,1 tablespoon Ghee</t>
  </si>
  <si>
    <t xml:space="preserve">To begin making  Kabuli Chana Kofta Biryani  first prep all the ingredients and keep aside.Take the soaked kabuli chana, drain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 Kuzhi paniyaram pan over medium heat, add 1/4 teaspoon of oil in each of the cavities of the pan.Spoon a tablespoon of Kabuli Chana Pakora mixture into each of the cavities of the pan.Cook Kabuli Chana Pakora on medium high heat and turn them once they turn golden brown on one side. This will take about three minutes. Cook the other side of the pakoras till they turn golden brown as well.Make sure the inside of the Kabuli Chana Pakora is well cooked and the outer covering is nice and crisp.Drain the well fried Kabuli Chana Pakoras on an absorbent paper and keep aside.Next make the gravy for Kabuli Chana Kofta Biryani. Heat a kadai and add oil, once hot add the chopped onions and fry till they start become golden brown. Next add the chopped ginger and garlic and fry till the raw smell goes off. Do not brown the garlic and ginger. Add all the dry masalas now, like the turmeric powder, chilli powder, coriander powder and garam masala powder. Add the tomato puree and saute till the raw smell goes off and saute on medium heat for five minutes.Add half a glass of water and boil for five minutes. Then add the koftas in the gravy and simmer for another five minutes. Finally add fresh cream and stir to make the gravy thick and creamy, simmer for a minute and stir continuously. Switch off and keep aside.To make the flavored riceWe begin making the Kabuli Chana Kofta Biryani Recipe by cooking the rice first in pressure cooker, so heat the pressure cooker with a tablespoon of oil, add all the whole spices, and let the aroma come out.Then add in the soaked rice with 2 cups water and pressure cook for 2 whistles, and reduce the heat and cook it in the simmer for 5 more minutes. Release the pressure naturally. Keep it aside.Add saffron strand in warm milk and keep aside.Assembling the biryaniTake a deep saucepan or another pressure cooker big enough to hold both the gravy and the rice.First add ghee at the bottom. Layer the bottom of the pan with half the kofta gravy, add half the rice over this kofta layer. .Sprinkle chopped coriander leaves, mint leaves and half of the saffron milk. Repeat the process with the leftover gravy and rice and saffron milk.Cover the saucepan and place it on low it and simmer for 5 minutes until the flavours go into the rice.Once done, turn off the heat and wait for 5 minutes before fluffing up the Kofta biryani.Serve the Kabuli Chana Kofta Biryani along with Mirchi Ka Salan and Tomato Onion Cucumber Raita and  Ragi Malpua With Rabri for your next party.
</t>
  </si>
  <si>
    <t>https://www.archanaskitchen.com/kabuli-chana-kofta-biryani-recipe</t>
  </si>
  <si>
    <t>250 grams Bhindi (Lady Finger/Okra) - cut into 1-1/2 inch pieces,1/2 teaspoon SSP Asafoetida (Hing),1 teaspoon Mustard oil,Salt - to taste,2 Potato (Aloo) - peeled and cut into wedges,1/4 teaspoon Asafoetida (hing) - a pinch,1/2 teaspoon Cumin (Jeera) seeds,1/2 teaspoon Turmeric powder (Haldi),Salt - to taste,1 tablespoon Mustard oil,1 Onion - finely chopped,6 cloves Garlic - finely chopped,1 inch Ginger - finely chopped,1 cup Tomatoes - puree,1 inch Cinnamon stick,1 Bay leaf (tej patta),1/2 teaspoon Turmeric powder (Haldi),1 teaspoon Red Chilli powder,1 teaspoon Coriander Powder (Dhania),Water - as required,Salt - to taste,Sunflower Oil - as required,1 tablespoon Kasuri Methi (Dried Fenugreek Leaves),Coriander (Dhania) Leaves - a few</t>
  </si>
  <si>
    <t xml:space="preserve">To begin making the Aloo Bhindi Masala Gravy Recipe, first we will pan fry the bhindi.Into a preheated pan add oil. Once the oil is hot add the asafoetida, bhindi and salt to taste. Saute for a minute and the cover the pan. Keep your ladle in the pan to keep the lid ajar a little. This will help the bhindis to cook well but not get soggy at the same time.Cook the bhindi until they are completely done. Stir occasionally to cook them evenly. Once done keep the bhindi aside. Next we will roast the potatoes. Into a preheated pan add mustard oil, cumin seeds, asafoetida, turmeric powder, potatoes and salt to taste.Saute for a minute and then cover the pan.Cook the potatoes until cooked through. Once done turn off the heat and keep aside.  We will finally make the gravy for the Aloo Bhindi Masala.Into  preheated pan add oil, onions, garlic, ginger and saute until the onions soften and turn golden brown in color. Once done add the cinnamon, bay leaf, tomato puree, turmeric powder, red chili powder, coriander powder and salt to taste.Bring the masala to a brisk boil for 3 to 4 minutes.After 4 minutes add the roasted potatoes and bhindi in to the masala.Stir well to combine and simmer the aloo bhindi masala for 3 to 4 minutes.Finally stir in the kasuri methi. Cook for a minute and turn off the heat. Transfer the Aloo bhindi masala gravy into a serving bowl. Garnish it with some chopped coriander leaves and serve.Serve this simple and tasty Aloo Bhindi Masala Gravy Recipe along with Lasooni Dal, Tomato Onion Cucumber Raita and Phulka for an everyday meal.
</t>
  </si>
  <si>
    <t>http://www.archanaskitchen.com/aloo-bhindi-masala-gravy-recipe-potato-bhindi-curry-recipe</t>
  </si>
  <si>
    <t>Khatte Chole Recipe - A Delicious North Indian Chana Masala</t>
  </si>
  <si>
    <t>1-1/2 cups Kabuli Chana (White Chickpeas) - soaked overnight and boiled,1 Onion - thinly sliced,1 Tomato - thinly sliced,1 Cinnamon Stick (Dalchini),2 Cloves (Laung),1 inch Ginger - grated,1 teaspoon Ajwain (Carom seeds),1 teaspoons Coriander Powder (Dhania),1 teaspoon Red Chilli powder,1 teaspoon Garam masala powder,2 teaspoons Amchur (Dry Mango Powder),2 teaspoons Ghee,Salt - to taste,1 Onion - thinly sliced,1 Green Chilli - finely chopped</t>
  </si>
  <si>
    <t xml:space="preserve">To begin making Khatte Chole Recipe, soak the white chickpea or kabuli chana overnight and in the morning boil it with enough water using a pressure cooker for 8 to 10 whistles - about 30 minutes and keep aside.Heat ghee in a large saucepan on medium heat, add ajwain, cinnamon stick and the cloves and let its aroma get released in the ghee.Add the slices onions and ginger and sauté until they are slightly soft. This will take around 3 to 4 minutes.Add sliced tomatoes, cook until the tomatoes turns mushy.Once the tomatoes have softened add the spice powders - red chilli powder, garam masala, coriander, and amchur, and cook until the ghee leaves the sides.Add the boiled kabuli chana, season with salt and let it simmer for 20 minutes until the Khatte Chole gets well coated with the masala. Once done, check the salt and spices and adjust to suit your taste.Serve the Khatte Chole Recipe along with Gehu Bajra Thepla or Bhatura Recipe along with the fresh onion salad and Masala Chaas Recipe for the weekend brunch.
</t>
  </si>
  <si>
    <t>http://www.archanaskitchen.com/khatte-chole-recipe</t>
  </si>
  <si>
    <t>Pan Fried Broccoli Pakora Recipe</t>
  </si>
  <si>
    <t>250 grams Broccoli - roughly chopped,1 Onion - thinly sliced,50 grams Gram flour (besan),1 teaspoon Fennel seeds (Saunf),1 teaspoon Chaat Masala Powder,Salt - to taste,Sunflower Oil - as required</t>
  </si>
  <si>
    <t xml:space="preserve">To begin making the Pan Fried Broccoli Pakora Recipe, combine all the ingredients together in a bowl including broccoli, onion, gram flour, fennel seeds, chaat masala powder and salt.Add water little at a time, to make a thick pakora batter. Check the salt, spices and adjust to suit your taste.Preheat the Kuzhi Paniyaram Pan on medium heat; add a few drops of oil into each cavity. Spoon the Broccoli Pakora batter into the cavity and pan-fry them until it is browned and crisp on both sides. Each side will take about 3 to 4 minutes on low heat.Once done transfer the Broccoli Pakoras onto a plate with an oil absorbent paper, so that it soaks up the excess oil from the Pakoras.Proceed the same way with the remaining Broccoli Pakora Batter.Arrange the Broccoli Pakoras on a serving platter, sprinkle some chaat masala, place some pickled onions by the side and serve it as a snack or as an appetizer for parties.Serve Pan Fried Broccoli Pakora Recipe along with Dhaniya Pudina Chutney and a hot cup of Masala Chai or Adrak Chai for your evening snacks.
</t>
  </si>
  <si>
    <t>http://www.archanaskitchen.com/non-fried-broccoli-pakora-recipe</t>
  </si>
  <si>
    <t>Hariyali Chicken Tikka Masala Recipe</t>
  </si>
  <si>
    <t>300 grams Chicken breasts - cut into small pieces,1 teaspoon Red Chilli powder,1/2 teaspoon Turmeric powder (Haldi),2 teaspoons Garam masala powder,1 teaspoon Amchur (Dry Mango Powder),1 teaspoon Cumin powder (Jeera),1/4 cup Curd (Dahi / Yogurt),1/4 cup Fresh cream,Salt - to taste,1 cup Coriander (Dhania) Leaves,1 cup Mint Leaves (Pudina),1 Green Chilli</t>
  </si>
  <si>
    <t xml:space="preserve">To begin making the Hariyali Chicken Tikka Masala Recipe, we will first grind the coriander leaves, mint leaves and green chilli to a smooth paste in a mixer grinder.Add this ground paste along with turmeric powder, garam masala powder, amchur powder, cumin powder and curd into a bowl. Mix everything well.Add chicken pieces to this marination and salt to taste. Mix well and keep it aside for about 1 hour.After an hour, heat a heavy bottomed pan with oil and add only the chicken pieces into the kadai to fry.Fry until the chicken pieces are cooked and they crisp up. Take them out and keep it aside.In the same kadai, add the remaining marination gravy that is left out, and cook till the gravy has reduced. This will take about 3 to 4 minutes.Check for salt and seasoning, if required you can add them. Add cream at the end and little bit of water to adjust consistency.Cook for 2 minutes and add cooked chicken pieces into the gravy and serve hot.Serve the Hariyali Chicken Tikka Masala Recipe along with Tawa Paratha or Garlic Naan and Burani Raita with Saunf Aloo &amp; Dal Kebab Recipe by the side to make it a complete meal.
</t>
  </si>
  <si>
    <t>https://www.archanaskitchen.com/hariyali-chicken-tikka-masala-recipe</t>
  </si>
  <si>
    <t>Green Moong Dal Cheela Recipe - Savory Green Mung Bean Pancakes</t>
  </si>
  <si>
    <t>1 cup Green Moong Dal (Whole),1-1/2 tablespoons Rice flour,1/4 cup Coriander (Dhania) Leaves - chopped,2 Green Chillies - finely chopped,1 inch Ginger - grated,3 cloves Garlic - finely chopped,3/4 cup Water,Salt - or to taste,1/2 teaspoon Red Chilli powder,1 teaspoon Garam masala powder,2 teaspoons Flax seed powder (flax meal),Sunflower Oil - for shallow frying</t>
  </si>
  <si>
    <t xml:space="preserve">To begin making Moong Dal Cheela Recipe, soak the moong dal in water for a 5 to 6 hours or preferably overnight. Once soaked, using a grinder, coarsely grind the moong dal with a very little water to make a thick batter.Once done, remove the moong dal cheela batter into a mixing bowl, add other ingredients like rice flour, coriander leaves, green chillies, ginger and garlic, salt, red chilli powder, garam masala powder and flax seed powder. Mix everything well.The batter should be thick pouring consistency. Check the salt and adjust to suit according to taste. Place a tawa on medium heat, add a few teaspoons of oil. Once the oil is hot, add two heapful tablespoons of the moong dal cheela batter on the tawa. Quickly spread it using the back of a spoon and let the moong dal cheela cook for a minute or two or till the bottom of the cheela turns golden brown. Flip the moong dal cheela and cook other side of the cheela too.Remove the Moong Dal Cheela on an absorbent sheet or kitchen towel to absorb the excess oil. Use the moong dal cheela batter in a similar way to make more cheelas. Once done, it is ready to be served.Serve Moong Dal Cheela Recipe along with Tomato Chutney or Capsicum Chutney Recipe for a wonderful and healthy North Indian Style breakfast and also an Indian Diabetic Breakfast.
</t>
  </si>
  <si>
    <t>https://www.archanaskitchen.com/green-moong-dal-cheela-recipe-green-mung-bean-pancakes</t>
  </si>
  <si>
    <t>Boiled Potato in Tangy Tomato Sauce</t>
  </si>
  <si>
    <t>6 potatoes - boil, peel and chop, 4 tomatoes - make puree, oil - as per requirement, 1 tsp cumin seeds, 1/4 tsp asafoetida, salt - as per taste, red chilli powder - as per taste, 1 tsp sugar, 1/4 tsp turmeric powder, 1 tsp cumin powder - roast, 1/4 tsp garam masala powder, 1 tsp coriander powder</t>
  </si>
  <si>
    <t>"To make Rase Wale Aloo, first heat oil in a pan. Add cumin seeds and asafoetida in it. After 15 seconds, add tomato puree and let it cook for 3 to 5 minutes. After 5 minutes, add all the sugar spices and sugar. Mix and let it cook for 1 minute. After 1 minute, add potatoes and 1 glass of water and let it cook for 5 to 8 minutes. Mash some potatoes so that the gravy becomes a little thicker. Serve hot. Serve Rase Wale Aloo with Boondi Raita and Puri for lunch. "</t>
  </si>
  <si>
    <t>http://www.archanaskitchen.com/boiled-potato-in-tangy-tomato-sauce-recipe-in-hindi</t>
  </si>
  <si>
    <t>Sweet Potato Dal</t>
  </si>
  <si>
    <t>1 cup lentils, 1 cup sweet potato - diced, 1 tbsp coconut oil - any will do, 2 onions - finely chopped, 1 tomato - finely chopped, 1 tsp cumin seeds, 4 green chillies - chopped, 5 garlic cloves - peeled and chopped, 1-1/2 tsp turmeric powder, 1 tsp red chilli powder, 1 tsp garam masala powder, 5 curry leaves, 1/2 tsp salt, 2 cups water, 1 tsp oil, 1/2 tsp cumin seeds, 1/2 tsp black urad dal (split), 1/2 tsp mustard seeds, coriander leaves - a little</t>
  </si>
  <si>
    <t>"To make Sweet Potato Dal, first soak the masoor dal in water for 1 hour. Now put the dal in a pressure cooker and add water as per requirement and cook till 2 whistles. After 2 whistles, turn off the gas and let the pressure release. Now heat oil in a pan. Add cumin seeds and cook for 10 seconds. After 10 seconds, add green chilies and garlic. Cook till the garlic turns brown. Now add onions and cook till they become soft. Now add chopped tomatoes and cook till the tomatoes become soft. Now add the mentioned spices and mix well. Now add sweet potato and water and cook till the sweet potato is cooked. After the sweet potato is cooked, add salt. Reduce the flame and cook for 5 minutes. Turn off after 5 minutes and serve hot. Serve Sweet Potato Dal with Lauki Badi Sabzi, Boondi Raita and Phulkas for lunch You can serve it.</t>
  </si>
  <si>
    <t>http://www.archanaskitchen.com/sweet-potato-dal-recipe-in-hindi</t>
  </si>
  <si>
    <t>Kale And Vegetable Fried Quinoa Recipe</t>
  </si>
  <si>
    <t>2 cups Quinoa,1 cup Onion - chopped,1 cup Celery - chopped,2 cups Kale - stemmed and chopped,1 cup Carrots (Gajjar) - diced,1 cup Green peas (Matar),1/4 teaspoon Garlic - minced,1 tablespoon Extra Virgin Olive Oil,Salt - to taste</t>
  </si>
  <si>
    <t xml:space="preserve">To begin making the Kale And Vegetable Fried Quinoa  recipe, cook 2 cups of quinoa with 4 cups water, a spritz of olive oil and 1/2 teaspoon salt. Bring the quinoa mixture to a rolling boil on high heat, about 5 minutes. Lower the heat, cover and let it simmer until they are cooked completely, about 10 minutes. Fluff the quinoa with a fork and set aside to cool.Add a tablespoon of olive oil and minced garlic into a pan on medium heat. Add in onions, peas and carrots. Turn the heat to medium high and saute for a few minutes.Add in the chopped kale and saute for 2 minutes. Toss in the quinoa and combine the mixture. Add salt and pepper; toss them all together gently. Turn off the heat. Devour!Serve Kale And Vegetable Fried Quinoa Recipe on its own along with a cup of hot Masala Chai for breakfast.
</t>
  </si>
  <si>
    <t>http://www.archanaskitchen.com/kale-and-vegetable-fried-quinoa-recipe</t>
  </si>
  <si>
    <t>Makai Ka Cheela Recipe - Delicious Corn Cheela Recipe</t>
  </si>
  <si>
    <t>2 cups Sweet corn,3 tablespoons Gram flour (besan),1 Onion - finely chopped,2 Green Chillies - finely chopped,1 teaspoon Ginger - grated,Coriander (Dhania) Leaves - a small bunch finely chopped,Sunflower Oil - for making chillas,Salt - to taste</t>
  </si>
  <si>
    <t xml:space="preserve">To begin making Makai Ka Cheela Recipe, peel the corn sheath, separate the corn kernels from the cob and keep aside. Now, make a coarse mixture of the sweet corn/ makai using a mixer and transfer it in a bowl.Into the bowl, add the besan, chopped onion, green chilli, grated ginger, season with salt.Mix everything adding little water at a time - the consistency of the Makai ka cheela batter should be a little thick.Now heat a skillet on medium flame, brush it with a little oil, pour a ladle full of the prepared Makai Ka Cheela mixture, spread it as your would spread a dosa and let it cook for a minute.Once the bottom of the cheela till it turns a little brown, flip over and cook the other side for another minute.Serve the cooked Makai ka cheela in a plate and proceed to prepare cheelas with the remaining batter.Serve Makai Ka Cheela along with Dhaniya Pudina Chutney &amp; Filter Coffee for breakfast or as an after school snacks for kids.
</t>
  </si>
  <si>
    <t>http://www.archanaskitchen.com/makai-ka-cheela-recipe-delicious-corn-cheela-recipe</t>
  </si>
  <si>
    <t>Mooli Jowar Ki Roti Recipe - Mullangi Kambu Chapathi</t>
  </si>
  <si>
    <t>1 Mooli/ Mullangi (Radish),1 1/2 cup Jowar Flour (Sorghum),1 teaspoon Ginger Garlic Paste,1/2 teaspoon Red Chilli powder,Salt - as required,Sunflower Oil - as required,Hot water - for kneading</t>
  </si>
  <si>
    <t xml:space="preserve">To begin making Mooli Jowar Ki Roti, wash the radish thoroughly, peel the skin and grate it. Take the grated radish in a mixing bowl, add jowar flour, ginger garlic paste, chilli powder and required amount of salt to it. Mix all ingredients well and add very little hot water. The water from the grated radish will be sufficient for kneading the dough.Knead all these ingredients into a soft dough and keep covered for 5 minutes.After five minutes, knead it again and divide into small balls.Flatten the ball into a thin circle placing it above butter paper or plastic sheet, using a rolling pin. The dough will be sticky so add little flour while flattening. You can also flatten with hands like making adai or thepla. Place a griddle/tawa on medium heat and add a little oil on it. Place the mooli jowar roti atop the heated tawa, along with butter paper. Carefully remove the butter paper and cook the roti on medium flame on both sides. Repeat this process for the rest of the Rotis and your delicious Mooli Jowar Ki Roti is ready to be servedServe Mooli Jowar Ki Roti along with Aloo Gobi Ki Sabzi, Curd and Gor Keri Pickle for a complete North Indian Style Breakfast. 
</t>
  </si>
  <si>
    <t>http://www.archanaskitchen.com/mooli-jowar-ki-roti-recipe-mullangi-kambu-chapathi</t>
  </si>
  <si>
    <t>2 tbsp oil, 1/2 cup gram flour, 1/4 tsp asafoetida, 1/2 tsp celery, 1 tsp cumin seeds, 1 tsp red chili powder, 1 tsp coriander powder, 1 tsp cumin powder, 1 tsp dry mango powder, 1 tsp garam masala powder, salt - according to taste, 1-1/2 cup fenugreek - finely chopped, 2 cups wheat flour, water - according to need, salt - according to taste, ghee - according to need</t>
  </si>
  <si>
    <t>"To make Besan Methi Paratha recipe, first of all we will make masala for paratha. Heat oil in a pan. Add cumin seeds, ajwain, asafoetida and let the cumin seeds crackle. After crackling, add gram flour and let it cook on medium flame. After the gram flour turns light brown, add red chili powder, coriander powder, cumin powder, dry mango powder, garam masala powder, salt and mix. After 1 minute add fenugreek and cook till it becomes soft. Turn off the gas and let the masala cool down. To make the dough of paratha, add flour, salt in a mixing bowl and mix. Now add water little by little and knead well. Put some oil in the middle and knead well. Cover and keep aside. Heat a pan. Take a portion of dough and make a round roti of 2 diameters. Now put masala in the middle and close it from all the corners. Flatten it with your hand and roll it again. Now cut this paratha into pieces Place it on the pan and apply ghee or oil all around and cook till it is well cooked from both the sides. Serve. Serve Besan Methi Paratha Recipe with Boondi Raita and Aam Chunda Pickle for breakfast.</t>
  </si>
  <si>
    <t>https://www.archanaskitchen.com/besan-methi-paratha-recipe-in-hindi</t>
  </si>
  <si>
    <t>Matar Ka Cheela</t>
  </si>
  <si>
    <t>1 cup green peas - boil, 2 tbsp gram flour, 2 tbsp rice flour, 2 tbsp paneer - grate, 1 tbsp cream, 1 tsp ginger - grate, 1/2 tsp cooking soda, 1/2 tsp red chilli powder, 1/2 tsp cumin powder, 1/2 tsp salt, 2 tsp oil - as per requirement</t>
  </si>
  <si>
    <t>"To make matar ka cheela, first boil the peas. Put it in a mixer grinder with some water and make a paste. Put this paste in a bowl with all the other ingredients. Do not add oil. Mix this mixture well. Now heat a non-stick pan. Pour some oil in it. After the oil is heated, remove it with a paper napkin. Now pour some pea mixture in the middle of the pan. Now spread it in the middle in a round shape like a pancake with the help of a spoon. Pour some oil on the sides and cook till it is cooked on both sides. Serve matar ka cheela with coriander mint chutney and ginger tea for breakfast. "</t>
  </si>
  <si>
    <t>https://www.archanaskitchen.com/matar-ka-cheela-recipe-in-hindi</t>
  </si>
  <si>
    <t>Palak Patta Chaat Recipe-Delhi style Spinach leaf Chaat</t>
  </si>
  <si>
    <t>10 Spinach Leaves (Palak),1 pinch Enos fruit salt,1/4 cup Gram flour (besan),Salt - to taste,1/4 cup Green Chutney (Coriander &amp; Mint),1/4 cup Sweet Chutney (Date &amp; Tamarind),1/4 cup Lahsun Ki Chutney (Red Garlic Chutney),Sev - to garnish,1 Onion - chopped,1/4 cup Curd (Dahi / Yogurt),1 Potato (Aloo) - boiled and mashed,1 Carrot (Gajjar) - grated,Red Chilli powder - to sprinkle,Cumin powder (Jeera) - to sprinkle,Chaat Masala Powder - to sprinkle</t>
  </si>
  <si>
    <t xml:space="preserve">To begin making, the Palak Patta Chaat Recipe, first let us fry the spinach/palak leaves. Wash and dry the palak leaves.In a mixing bowl, combine gram flour, salt and Eno along with 2 tablespoons of water to make a dropping consistency batter. Mix well and set aside.In a kadai, heat oil on medium flame, dip each spinach/palak leaf in the gram flour batter and coat it completely gradually put them into the oil and deep fry until golden brown in color.Drain them on an absorbent paper and plate it in a platter to make the chaat.To make the Palak Patta Chaat, arrange the fried palak pattas on a plate.In a mixing bowl, combine grated carrots, mashed potatoes and chopped onions with some chaat masala.Place a little bit of the carrot-potato-onion mixture on each of the fried palak leaves.Next, spoon a teaspoon of each dhaniya-pudina chutney,  date and tamarind Chutney and  lahsun ki chutney on each of the palak pattas.Top this with a teaspoon of curd .Finally sprinkle some red chilli powder, Cumin powder and chaat masala.Garnish with Sev and serve.Serve this Palak Patta Chaat Recipe along with Spicy Black Chickpeas Sprouts Salad Chaat Recipe and Delhi Style Matar Chaat (Matra) Recipe (Spicy &amp; Tangy Dry Green Peas Curry Curry Recipe) at your chaat parties or as part of your festive feasts like Holi and Diwali.
</t>
  </si>
  <si>
    <t>https://www.archanaskitchen.com/palak-patta-chaat-recipe</t>
  </si>
  <si>
    <t>Kasuri Methi Paneer Sabzi</t>
  </si>
  <si>
    <t>1 cup paneer - chopped, 2 onions - finely chopped, 2 tomatoes - finely chopped, 1 tablespoon ginger garlic paste, 1 teaspoon turmeric powder, 1 teaspoon cumin seeds, 2 teaspoon red chili powder, 2-1/2 teaspoon garam masala powder, salt - according to taste, oil - according to use</t>
  </si>
  <si>
    <t>"To make Kasuri Methi Paneer Sabzi, first of all, prepare all the ingredients. Now heat oil in a pan. After the oil is heated, add cumin seeds and cook for 10 seconds. After 10 seconds, add onions and cook till they become soft. After they become soft, add tomatoes and cook till they become soft. Now add all the spices and cook for 3 to 4 minutes. After the masala is cooked, add crushed Kasuri Methi. Add salt according to taste and mix. After 1 minute, add paneer and mix. Let it cook for 3 to 5 minutes, turn off the gas and garnish with green coriander. Serve Kasuri Methi Paneer Sabzi with Dal Tadka, Beetroot Raita and Phulkas to end the day."</t>
  </si>
  <si>
    <t>http://www.archanaskitchen.com/kasuri-methi-paneer-sabzi-recipe-in-hindi-1</t>
  </si>
  <si>
    <t>Hariyali Gobi Recipe - Palak Cauliflower Curry Recipe</t>
  </si>
  <si>
    <t>2 cups Cauliflower (gobi) - cut into big florets,1/2 teaspoon Turmeric powder (Haldi),1 teaspoon Garam masala powder,Salt - to taste,500 grams Spinach - washed and chopped,1 Tomato - chopped or pureed,2 cloves Garlic - grated,2 inch Ginger - grated,2 Green Chillies - slit,1/2 teaspoon Cumin seeds (Jeera),1 inch Cinnamon Powder (Dalchini),1 teaspoon Cumin powder (Jeera),1/4 teaspoon Turmeric powder (Haldi),1 teaspoon Garam masala powder,2 tablespoons Fresh cream,1 tablespoon Butter,Salt - to taste</t>
  </si>
  <si>
    <t xml:space="preserve">To begin making the Hariyali Gobi Recipe we will first pressure cook the Hariyali masala.Heat butter into the pressure cooker over medium heat; add the cumin seeds, garlic and saute for a few seconds.Add the cinnamon, green chillies, palak, tomatoes, cumin powder, garam masala powder, turmeric powder and cumin powder. Saute for a few seconds, add 1 tablespoon water, cover the pressure cooker and cook for one whistle and turn off the heat.Release the pressure immediately by running it under cold water. This will help preserve the fresh green color of the palak.Once cooked allow the palak to cool completely and then pulse it in your blender, with almost no water into a smooth puree.Heat oil in a kadai; add chopped cauliflower and sauté with little turmeric powder, salt.After few seconds sprinkle some water and cover it and cook for about 5 minutes. Once the gobi cooked, toss in the garam masala and stir fry for a few minutes and turn off the heat.The gobi, should be firm and yet cooked.Once done, stir in the cream into the palak curry and transfer to a serving bowl. Place the roasted gobi into the palak curry and serve the Hariyali Gobi hot.Serve the Hariyali Gobi Recipe along with Phulka, Kadhi Pakora and Spicy Paneer Pulao for a weeknight dinner.
</t>
  </si>
  <si>
    <t>http://www.archanaskitchen.com/hariyali-gobi-recipe-palak-cauliflower-curry-recipe</t>
  </si>
  <si>
    <t>Shakarkandi Malpua Recipe - Mishti Aloo Malpua Recipe</t>
  </si>
  <si>
    <t>2 Sweet Potatoes - boiled,1 cup Milk Powder,1/2 cup All Purpose Flour (Maida),1 tablespoon Sugar,2 tablespoon Sooji (Semolina/ Rava),1 teaspoon Fennel seeds (Saunf),1 teaspoon Cardamom Powder (Elaichi),1 cup Sugar,1 cup Water,1 teaspoon Rose water,Sunflower Oil - or ghee,Pistachios - chopped</t>
  </si>
  <si>
    <t xml:space="preserve">To begin making the Shakarkandi Malpua recipe, first we need to peel and boil the sweet potato. After it gets cold, mash the sweet potato with a masher or with hand. In a big bowl, add mashed potato, milk powder, all purpose flour, sugar, sooji, fennel seeds, cardamom powder and make a smooth thick batter, thicker than normal malpua batter, otherwise it will break while frying.  Add more milk if necessary. Rest it for 20 minutes.Meanwhile make the sugar syrup. In a saucepan, add 1 cup sugar with 1 cup of water and let it boil until sugar dissolved completely. After the sugar dissolves, give it a stir and boil for more 5 minutes.After 5 minutes, add rose water and give it a stir.Heat oil in a frying pan and add 1 ladle full of Shakarkandi Malpua batter giving it a round shape.Let the Shakarkandi Malpua fry one side then flip another side to prevent breaking.After the malpua turns light brown from both the sides, take out and dip in sugar syrup.Dip the Shakarkandi Malpua in sugar syrup for 5 minutes then transfer into another bowl. Make the other malpuas following the same process. Place the Shakarkandi Malpua in a serving bowl and top it with chopped pistachios on top. These malpuas can be stored in freezer for 5 days. Whenever you want to eat, you can heat it and serve. Serve Shakarkandi Malpua Recipe as a dessert on a special ocassion after a soulful meal of Jaipuri Aloo Pyaaz Ki Sabzi, Ajwain Puri, Kale Chane Ki Sabzi, Boondi Raita and Satvik Carrot Sprout Salad.
</t>
  </si>
  <si>
    <t>http://www.archanaskitchen.com/shakarkandi-malpua-recipe-sweet-potato-malpua</t>
  </si>
  <si>
    <t>Green Moong Dal Makhani</t>
  </si>
  <si>
    <t>1 cup green moong dal, 1 tomato - make puree, 1 inch ginger - grate, 2 green chillies - finely chopped, 1 teaspoon turmeric powder, 1/2 teaspoon cumin powder, 1 teaspoon whole black pepper - crush, 1 teaspoon cardamom powder, 1 teaspoon oil, 1/4 cup cream, 5 sprigs of coriander - finely chopped, salt - according to taste</t>
  </si>
  <si>
    <t>"To make Green Moong Dal Makhani, first soak the moong dal in 3 cups of water for 2 hours. Put this dal in a pressure cooker along with water and salt. Cook till 3 whistles. Turn off the gas and let the pressure release automatically. Now heat oil in a pan. Add ginger and let it cook for 10 seconds. After 10 seconds add tomatoes, green chilies, turmeric powder, black pepper powder, cumin powder and let it cook for 1 minute. After 1 minute add dal and some water. Cover the pan and let it cook for 15 minutes. After 10 minutes add cream and coriander leaves. Mix and let it cook for 5 more minutes. Serve Green Moong Dal Makhani with Bhindi Masala and Phulkas for lunch."</t>
  </si>
  <si>
    <t>https://www.archanaskitchen.com/green-moong-dal-makhani-recipe-in-hindi</t>
  </si>
  <si>
    <t>Moong Dal Chilla</t>
  </si>
  <si>
    <t>1/2 cup yellow moong dal - or green moong dal, 1/2 cup masoor dal, 1/4 cup white urad dal, 1 teaspoon cumin seeds, 1 onion - finely chopped, 2 green chillies - finely chopped, 2 sprigs of coriander leaves - finely chopped, oil - as per requirement, 1/2 teaspoon turmeric powder, salt - according to taste</t>
  </si>
  <si>
    <t>"To make Moong Dal Cheela, first soak moong dal and urad dal in 2 cups of water for 1 hour. After 2 hours, grind it in a mixer grinder and make a paste. Add water to this mixture as per your requirement and make it like dosa mixture. Add all the remaining ingredients except oil to this mixture. Now heat a pan. After it gets heated, pour 1 tablespoon of dal mixture on it. Spread it in a round shape by rotating it from the middle. Now pour some oil all around and let it cook. Cook till it turns brown and then flip it. Let the other side cook as well and then serve hot. Serve Moong Dal Cheela with coriander mint chutney or tomato chutney for lunch."</t>
  </si>
  <si>
    <t>http://www.archanaskitchen.com/moong-dal-chilla-recipe-in-hindi</t>
  </si>
  <si>
    <t>Mango Kheer Recipe</t>
  </si>
  <si>
    <t>1 cup Mango Pulp (Puree),1 Milk,3/4 cup Semiya (Vermicelli),1 tablespoon Ghee,3/4 teaspoon Cardamom Powder (Elaichi),6 tablespoon Sugar,1 tablespoon Slivered Almonds (Badam),1/4 cup Raisins,1/4 teaspoon Saffron strands</t>
  </si>
  <si>
    <t xml:space="preserve">To begin making the Mango Kheer Recipe, prepare all the ingredients, including pulping mangoes and thinly slicing the almonds.Heat ghee in a heavy bottomed pan and roast vermicelli till it turns golden brown in colour.Once the vermicelli is roasted, add full cream milk, bring it to a boil and then reduce flame to medium and let it cook for some time. Keep stirring it in between.Check if vermicelli is cooked till soft. Once done then add sugar, and cook till the sugar dissolves completely. This will take 2 to 3 minutes.Next, add raisins and cardamom powder, give a nice stir, and switch off flame.Let it cool down it a bit. Once the kheer has cooled down add mango pulp, mix it properly and refrigerate Mango Kheer for at least an hour.Garnish Mango Kheer with almond flakes and serve chilled. Serve Mango Kheer after your delicious meal of Dal Makhani, Palak Paneer, Lachha Paratha and Jeera Rice for your weekend meal.
</t>
  </si>
  <si>
    <t>http://www.archanaskitchen.com/mango-kheer-recipe</t>
  </si>
  <si>
    <t>Anar &amp; Aloo Pakora Recipe - Dry Pomegranate &amp; Potato Pakora</t>
  </si>
  <si>
    <t>5 Potatoes (Aloo) - boiled and mashed,Green Chillies - finely chopped,1 cup Coriander (Dhania) Leaves,1/2 cup Anardana Powder (Pomegranate Seed Powder),1 teaspoon Red Chilli powder,1 teaspoon Cumin seeds (Jeera),Salt - to taste,1 teaspoon Chaat Masala Powder,1-1/2 cup Gram flour (besan),2 teaspoons Sunflower Oil - as required</t>
  </si>
  <si>
    <t xml:space="preserve">To begin making Anar &amp; Aloo Pakora Recipe, mash aloo in a bowl and add the dry pomegranate seeds, jeera, chopped green chillies, salt, red chilli powder, chaat masala and mix till combined.Pinch smaller portions and make small balls which can fit into paniyaram pan.Now in a separate bowl, mix besan, add salt, and 2 teaspoons of oil and mix with water and make a thick batter.Now in this batter add the aloo-pomegranate balls.Now in a deep frying pan, heat oil. Once it is hot, add the aloo kofta in it and fry on all sides by turning them around when required to fry till crisp and golden brown..Alternatively, you can heat a paniyaram pan and put the koftas in individual paniyaram cavities and fry them with the help of a drizzle of oil around them, and turning them to brown evenly. Since the aloos are pre boiled, these paniyaram fried pakoras would be perfect to try.Serve Anar &amp; Aloo Koftas Recipe (Pomegranate &amp; Potato Fritters) along with Dhaniya Pudina Chutney and Date &amp; Tamarind Chutney and a cup of Adrak Chai.
</t>
  </si>
  <si>
    <t>https://www.archanaskitchen.com/anar-aloo-koftas-recipe-pomegranate-potato-fritters</t>
  </si>
  <si>
    <t>Paneer Shashlik</t>
  </si>
  <si>
    <t>500 gms paneer - chopped, 1 capsicum (green) - chopped, 1 capsicum (yellow) - chopped, 1 onion - finely chopped, 2 tomatoes - remove pulp and chop, 1 tbsp coriander leaves, oil - as per requirement, 1 tsp pomegranate seeds, 1/2 cup cream, 1 tsp lemon juice, 100 gms curd, 2 tsp oil, 1/4 tsp black pepper powder, 1 tsp salt, 1 tsp cumin powder, 1 tsp garam masala powder, 1 tsp chaat masala powder, 1 tbsp garlic - paste, 1 tbsp ginger - paste, 1 tbsp corn flour, oil - as per requirement, lemon juice - as per requirement, onion - cut into round and thin pieces (for garnish), cabbage - cut into thin pieces (for garnish)</t>
  </si>
  <si>
    <t>"To make Paneer Shashlik, first of all, put all the ingredients given for marination in a bowl and mix them. Now add paneer and vegetables in it and mix everything well. After mixing well, put it in a bowl, cover it and put it in the fridge for 2 hours. Now preheat the oven at 250 C degree for 10 minutes. Soak the bamboo skewers in water. Now take a bamboo skewer and put paneer and vegetables in it one by one. Place it on a grill tray. Apply some oil, put this tray in the oven and let it cook for 6 to 7 minutes. Keep turning the skewers every 2 minutes. After it is cooked, put lemon juice and chaat masala on it and serve hot. Serve Paneer Shashlik with Daal Palak and Tawa Paratha for lunch. "</t>
  </si>
  <si>
    <t>https://www.archanaskitchen.com/paneer-shashlik-recipe-in-hindi</t>
  </si>
  <si>
    <t>Jain Style Dal Makhani</t>
  </si>
  <si>
    <t>3/4 cup black urad dal, 1/4 cup rajma, 1 teaspoon cumin seeds, 1 inch cinnamon, 3 cloves, 2 big cardamoms, 2 tomatoes - make puree, 1 green chilli - finely chopped, 1 teaspoon red chilli powder, 1 teaspoon garam masala powder, 2 teaspoons ginger powder, 2 tablespoons ghee, 1 cup milk - low fat, salt - according to taste, 1 inch ginger - finely chopped, 2 tablespoons cream</t>
  </si>
  <si>
    <t>"To make Jain style Dal Makhani, first soak urad dal and rajma overnight. Put them in a pressure cooker with 2 to 3 cups of water and cook till 3 whistles. After 3 whistles, let it cook on low flame for 10 minutes. After cooking, keep some mash aside. Now put tomatoes in a mixer grinder and make its puree. Keep it aside. Now heat ghee in a pan. Add cinnamon, cloves, big cardamom and cook for 20 seconds. Add cumin seeds and cook for 10 seconds. Now add tomato puree, green chillies and cook for 2 minutes. Now add red chilli powder, garam masala powder, ginger powder and let it cook. Now add cooked dal, salt and water as per requirement. Cook for 10 to 15 minutes. After this add milk and let it boil. After cooking, garnish with ginger and cream and Serve. Serve Jain Style Dal Makhani with Masala Roasted Potatoes and Phulkas for dinner.</t>
  </si>
  <si>
    <t>https://www.archanaskitchen.com/jain-style-dal-makhani-recipe-in-hindi</t>
  </si>
  <si>
    <t>Dubki Wale Aloo</t>
  </si>
  <si>
    <t>6 potatoes - boil, 1 tomato - puree, 2 tsp coriander seeds - roast and crush, 2 tsp red chilli powder, 1/2 tsp turmeric powder, 1 tsp dry mango powder, 2 tsp ginger - grate, 1/2 tsp fenugreek seeds - crush, 1 tsp cumin seeds, 4 dry red chillies - chop, 1 tsp kasuri methi, asafoetida - a pinch</t>
  </si>
  <si>
    <t>"To make Dubki Wale Aloo, first cut the boiled potatoes into small pieces. Now heat mustard oil in a pan. When it gets hot, reduce the flame and add cumin seeds, dry chilies and let it cook for 10 seconds. After 10 seconds, add fenugreek seeds, asafoetida and ginger. After 1 minute, add tomatoes and cook till they become soft. After tomatoes become soft, add coriander, red chili powder and turmeric powder. Mix. Add potatoes and mix. After mixing, add 3 cups of water and mix. Let it cook for 5 to 6 minutes. After cooking, add Kasuri Methi and cook for 1 more minute. Garnish with green coriander and serve. Serve Dubki Wale Aloo with Rajgira Puri or Paratha on fasting days."</t>
  </si>
  <si>
    <t>http://www.archanaskitchen.com/dubki-wale-aloo-recipe-in-hindi</t>
  </si>
  <si>
    <t>Uttarakhand Style Black Gram Chainsoo Recipe</t>
  </si>
  <si>
    <t>1/2 cup Arhar dal (Split Toor Dal),1/2 teaspoon Coriander Powder (Dhania),1/2 teaspoon Cumin powder (Jeera),1/2 teaspoon Red Chilli powder,1/4 teaspoon Turmeric powder (Haldi),1/4 teaspoon Whole Black Peppercorns,2 teaspoon Sunflower Oil,1-1/4 cup Water,2 Dry Red Chilli,Salt - to taste</t>
  </si>
  <si>
    <t xml:space="preserve">To begin making Black Gram Chainsoo Recipe, first heat a Kadhai and dry roast the dal for few minutes until you can smell the aroma. Set aside.Once it is cooled down, grind the dry mixture to a fine powder. Heat a heavy bottomed kadhai with oil, temper with red chilli and pepper corns.Add all the masalas including coriander powder, cumin powder, red chilli powder, turmeric powder, salt with 2 tablespoons water and fry for a minute. Add the powdered dal, mix it up and then add water.Cook on medium to low flame stirring occasionally until thickens for 20-30 minutes. Once it is done, switch off the gas and serve hot.Serve Uttarakhand Style Black Gram Chainsoo along with Steamed Rice and Spicy Baby Potatoes for your weekday lunch.
</t>
  </si>
  <si>
    <t>https://www.archanaskitchen.com/uttarakhand-style-black-gram-chainsoo-recipe</t>
  </si>
  <si>
    <t>Aloo Matar Paneer Curry Recipe</t>
  </si>
  <si>
    <t>500 grams Paneer (Homemade Cottage Cheese) - cut into cubes,2 Potatoes (Aloo) - boiled and diced,1/2 cup Green peas (Matar) - steamed,1 cup Homemade tomato puree,1/2 teaspoon Cumin seeds (Jeera),2 Green Chillies - slit,1/2 teaspoon Coriander Powder (Dhania),1/2 teaspoon Garam masala powder,1/2 teaspoon Turmeric powder (Haldi),1/2 teaspoon Red Chilli powder,1 tablespoon Kasuri Methi (Dried Fenugreek Leaves),2 tablespoon Fresh cream,Salt - to taste,Sunflower Oil - for cooking,1 Onion - finely chopped,3 cloves Garlic,1 inch Ginger,1 cup Homemade tomato puree</t>
  </si>
  <si>
    <t xml:space="preserve">To begin making the Aloo Matar Sabzi Recipe, we will first make a paste of the onion, ginger and garlic and keep aside.Heat a tablespoon of oil in a heavy bottomed pan; add in the cumin seeds and allow it to crackle. Add in the onion paste mixture and saute on low heat until the raw small from the onions go away and they turn golden in color.Add the tomato puree, green chillies, turmeric powder, coriander powder, garam masala powder, salt and chilli powder and stir well. Allow the tomatoes to cook and reduce to form a thick curry mixture.Once it comes together, add the cooked potatoes and paneer cubes. Turn the heat to low, add about 1 cup water, cover the pan and simmer the mixture for about 15 minutes.In the last 3 minutes of the simmering process of the aloo matar paneer sabzi, add in the steamed peas and stir.Finally stir in the kasuri methi and cream and turn off the heat. Check the salt and spice levels and adjust to suit your taste.Serve the Aloo Matar Paneer Curry Recipe along with Tawa Paratha or Phulka along with Mooli Raita by the side to make it a complete meal.
</t>
  </si>
  <si>
    <t>http://www.archanaskitchen.com/aloo-matar-paneer-curry-recipe</t>
  </si>
  <si>
    <t>Tindora Ka Salan Recipe</t>
  </si>
  <si>
    <t>250 grams Tindora (Dondakaya/ Kovakkai) - slitted keeping the base intact,1 Onion - thinly sliced,2 Green Chillies - slit,1 tablespoon Ginger Garlic Paste,1/4 teaspoon Methi Seeds (Fenugreek Seeds),1/2 teaspoon Cumin seeds (Jeera),1/2 teaspoon Mustard seeds,2 sprig Curry leaves,2 Dry Red Chillies,1/2 teaspoon Cumin powder (Jeera),1 teaspoon Red Chilli powder,1 teaspoon Coriander Powder (Dhania),1/2 teaspoon Turmeric powder (Haldi),2 teaspoons Jaggery - powdered,1/4 cup Tamarind Water,2 tablespoons Mint Leaves (Pudina) - finely chopped,2 tablespoons Coriander (Dhania) Leaves - finely chopped,1 teaspoon Lemon juice,1 tablespoon Sunflower Oil,Salt - to taste,1 tablespoons Raw Peanuts (Moongphali),1 tablespoon Sesame seeds (Til seeds),2 tablespoon Fresh coconut - grated</t>
  </si>
  <si>
    <t xml:space="preserve">To begin making the Tindora Ka Salan Recipe, dry roast the peanuts, sesame and grated coconut till it turns golden and fragrant and grind it to a smooth paste using mixer grinder with little water and keep aside.Wash, and slit the tindoras into 4 keeping the base intact.Heat 2 teaspoons of oil in a heavy bottomed pan, add the slit tindoras and cook until they are cooked to 3/4th with occasionally stirring in between. Keep aside.Heat the remaining oil in the pan, add the mustard seeds and let it splutter.Now, add the cumin seeds, red chillies, fenugreek seeds and saute for a minute.Add the sliced onions and saute till they turn brown. Add in the ginger garlic paste and saute until the raw smell goes away.Add the turmeric, red chilli, cumin, coriander powder and green chilli, saute for a minute.Add the prepared masala and little water, and simmer for 2 minutes.Add the mint, coriander leaves, green chilli, partially fried tindoras and mix well.Now, add in the tamarind juice, jaggery, season with salt and simmer for 10 minutes.Once the tindoras are fully cooked, switch off the flame, add the lemon juice and let it rest for an hour before serving.Serve the Tindora Ka Salan Recipe along with Paneer Biryani, Vegetable Biryani or any other biryani of your choice at your next home party.
</t>
  </si>
  <si>
    <t>https://www.archanaskitchen.com/tindora-ka-salan-recipe</t>
  </si>
  <si>
    <t>Potato Fenugreek Leaves Stir Fry</t>
  </si>
  <si>
    <t>3 potatoes - boiled, 250 grams fenugreek - wash and chop, 1 onion - chop thinly, 1 tomato - make puree, 1 inch ginger - grate, 2 cloves garlic - grate, 1 teaspoon turmeric powder, 1 teaspoon garam masala powder, 1 teaspoon coriander powder, salt - according to taste, red chili powder - according to taste, 1 teaspoon cumin, oil - according to use</t>
  </si>
  <si>
    <t>"To make Aloo Methi ki Sabzi, first boil the potatoes in a pressure cooker till 2 whistles. First of all heat oil in a pan. Add cumin seeds and chopped potatoes. Add some tamarind and turmeric powder. Mix and cook till the potatoes turn light brown. Now add turmeric powder, garam masala powder, coriander powder and tomatoes. Cook for 2 minutes, keep the pan aside. Now heat oil in a small pan. Add onion and ginger to it. Cook till the onion becomes a little soft and light brown. After the onion becomes soft, add fenugreek to it and cook till it becomes soft. After the fenugreek becomes soft, mix this mixture in the potatoes. Now put the pan with potatoes on the gas again and let it cook for next 2 minutes. After 2 minutes turn off the gas and serve. Serve Aloo Methi ki Sabzi with Garlic Dal and Tawa Paratha for lunch. "</t>
  </si>
  <si>
    <t>http://www.archanaskitchen.com/potato-fenugreek-leaves-stir-fry-recipe-in-hindi</t>
  </si>
  <si>
    <t>Soya Granule Samosa Recipe - Perfect Evening Snack</t>
  </si>
  <si>
    <t>1 cup All Purpose Flour (Maida),1 cup Whole Wheat Flour,1 teaspoon Salt,2 tablespoons Ghee,1 teaspoon Ajwain (Carom seeds),Water - as required,1/2 cup Soy granules,1 Onion - finely chopped,2 Green Chillies - finely chopped,1/4 cup Green peas (Matar) - steamed,1 teaspoon Cumin seeds (Jeera),1 tablespoon Sunflower Oil,1 tablespoon Ginger Garlic Paste,1 teaspoon Coriander Powder (Dhania),1 teaspoon Red Chilli powder,1/4 teaspoon Turmeric powder (Haldi),1/2 teaspoon Garam masala powder,1 teaspoon Sugar,Salt - to taste,Sunflower Oil - for deep frying</t>
  </si>
  <si>
    <t xml:space="preserve">To begin with Soya Granule Samosa, add maida, wheat flour, salt, ghee and ajwain in a bowl. Mix all the ingredients until it resembles bread crumbs.Add water little at a time and knead the flour into a stiff dough. Cover it with damp cloth and let it rest for about 30 minutes.The next step is to prepare the filling for the Soy Granule Samosa Recipe. Bring 2 cups of water to boil and add 1 teaspoon salt and soya granules into hot water. Let the soy granules submerge fully and rest in hot water for about 12 to 15 minutes.Once soaked and soft, drain the water and keep the soya granules aside. If using fresh green peas, blanch them until they get cooked. Drain and keep aside.Heat a tablespoon of oil in a pan. Add cumin seeds and wait till they splutter. Add finely chopped onions and green chilies and cook till onions turn soft.Add ginger garlic paste and cook till the raw smell of the paste goes off.Add cumin powder, turmeric powder, red chili powder, coriander powder and salt, mix well cook for about 15 seconds.Add soya granules and green peas, mix well, simmer and let it cook for 10 minutes in its own juices.Turn off the heat and let the filling cool down completely.Now, knead the dough once again and divide into 6 equal portions. Take a portion, and roll out a portion of dough into 6 to 7 inch diameter circle. Using a sharp knife, cut the circle into 2.Take a portion of the samosa dough, join the edges to make a cone. Add a 1 or 2 tablespoons of the soya granule samosa filling in the centre. Apply water on the edges to seal the samosa cone. Seal the edges tight and repeat the same process with the remaining dough and make the samosas.Heat oil in a deep fry pan for frying. Once oil turns hot, reduce the flame to medium and drop 2 to 3 samosas at a time and fry until golden brown on all the sides. Drain on absorbent paper.Give this delicious and crispy Soya Granule Samosa a try for an evening snack and serve it along with Lehsun Pudina Chutney and  Gulkand Chai as an appetizer for Indian Dinner Parties.You can also make this Soya Granule Samosa for the festival of Holi or even Diwali when you have friends and family over for dinner or a chai party.
</t>
  </si>
  <si>
    <t>http://www.archanaskitchen.com/soya-granule-samosa-recipe</t>
  </si>
  <si>
    <t>Vegetable Yakhni Pulao Recipe</t>
  </si>
  <si>
    <t>1 teaspoon Ajwain (Carom seeds),1 tablespoon Coriander (Dhania) Seeds,1 teaspoon Fennel seeds (Saunf),3 Cloves (Laung),4 Cardamom (Elaichi) Pods/Seeds,2 inch Cinnamon Stick (Dalchini),2 to 3 Whole Black Peppercorns,2 cups Vegetable stock - or water,2 cups Basmati rice,1 Onion - finely chopped,1 inch Ginger - grated,4 cloves Garlic - grated,2 Green Chillies - slit,1 Bay leaf (tej patta),1 Carrot (Gajjar) - thinly sliced,1 cup Cauliflower (gobi) - cut into florets,1/2 cup Green beans (French Beans) - thinly sliced,1/2 cup Green peas (Matar),1 cup Curd (Dahi / Yogurt) - whisked,1/2 cup Mint Leaves (Pudina) - finely chopped,Salt - to taste,4 tablespoon Ghee,1/4 cup Caramelized onions,Mint Leaves (Pudina) - for garnish,1 teaspoon Ghee,1 tablespoon Cashew nuts,1 tablespoon Raisins</t>
  </si>
  <si>
    <t xml:space="preserve">To begin making the Vegetable Yakhni Pulao Recipe, first roast all the spices including shahi jeera, coriander seeds, fennel seeds, cloves, cardamom, cinnamon stick and whole black peppercorns in a small pan over medium heat. This will take about 4 to 5 minutes.Once roasted, make a coarse powder and keep aside.Prepare the caramelized onions for garnish. Heat a pan with some oil. Add the thinly sliced onions and cook till it turns brown in colour. Keep it aside.In another small pan, add a tablespoon of ghee and roast the cashewnuts over medium heat until golden brown and crisp. Once golden brown, add the raisins and saute for a few minutes and turn off the heat. Keep this aside for garnish.The final step is to cook the rice with the stock and vegetables.In a large sauce pan over medium heat, add 3 tablespoons of ghee. Add the onions, ginger, garlic, green chilies, bay leaf and saute until the onions soften and you get good aromas.Add the spice powder mix, the chopped vegetables and the rice. Stir for a few minutes until you can see the rice is well coated with the spices.After a few minutes, add the vegetable stock/water and the yogurt. Add the salt and the chopped mint leaves. Stir well to combine. Bring the Yakhni Pulao to a brisk boil.Once it comes to a brisk boil, turn the heat to low, cover the pan and cook the pulao until all the rice is absorbed. The rice should be of grainy texture.Once all the water is absorbed, turn off the heat. Allow the Yakhni Pulao to rest for 10 minutes before you can stir.After 10 minutes, open, add the chopped coriander leaves and give it a stir with a large fork and fluff up the rice.Transfer to a serving dish, garnish with the caramelised onions, cashew nuts and mint leaves.Serve the Yakhni Pulao Recipe along with Paneer Tikka Masala, Punjabi Dal Tadka and Phulka for a special weekend dinner.
</t>
  </si>
  <si>
    <t>http://www.archanaskitchen.com/vegetable-yakhni-pulao-recipe</t>
  </si>
  <si>
    <t>Gawar Phali Masala Sabzi Recipe</t>
  </si>
  <si>
    <t>300 gms cluster beans - wash and cut into 1 inch pieces, 1 onion - chop, 1 tomato - chop, 4 cloves garlic - finely chop, 1 inch ginger - finely chop, 1 sprig curry leaves, 1/2 tsp turmeric powder, 1 tsp red chilli powder, 1 tsp cumin seeds, 1 tsp mustard seeds, 1/4 tsp asafoetida, 1 tbsp coriander powder, 1/2 tsp cumin powder, 2 tbsp peanuts - roasted, salt - according to taste, 1 tsp oil, coriander leaves - chopped</t>
  </si>
  <si>
    <t>To make "Gawar Phali Masala Sabzi Recipe, first of all, put Gawar Phali, salt and 2 tbsp water in a pressure cooker. Cook till 1 whistle. After 1 whistle, turn off the cooker. Place the cooker under cold water and remove the pressure. Keep it aside. Heat oil in a pan. Add mustard seeds, cumin seeds, curry leaves and cook till the mustard seeds crackle. Now add onion, ginger, garlic and cook till onion becomes soft. After onion becomes soft, add asafoetida, tomatoes and cook till tomato becomes soft. After tomato becomes soft, add coriander powder, cumin powder, red chili powder, turmeric powder, mix and cook for 2 minutes. After 2 minutes, add Gawar Phali and cook for 2 minutes. Add 1/2 cup water and let it boil. After boiling, turn off the gas and take out in a bowl. Garnish with green coriander and serve. Gawar Serve Phali Masala Sabzi along with Phulka, Tomato Onion Cucumber Raita and Papad for dinner.</t>
  </si>
  <si>
    <t>http://www.archanaskitchen.com/gawar-phali-masala-sabzi-recipe-cluster-beans-gravy-sabzi-in-hindi</t>
  </si>
  <si>
    <t>Methi, Mooli Makkai Paratha Recipe</t>
  </si>
  <si>
    <t>2 cups Methi Leaves (Fenugreek Leaves) - roughy chopped,2 cups Mooli/ Mullangi (Radish) - grated,4 cups Makki Ka Atta (Yellow Corn Meal Flour),2 Green Chillies - finely chopped,1-1/2 teaspoon Ajwain (Carom seeds),1/2 teaspoon Red Chilli powder,2 teaspoons Coriander Powder (Dhania),Salt - to taste,Water - to knead the dough or buttermilk,Ghee - or oil</t>
  </si>
  <si>
    <t xml:space="preserve">To begin making Methi, Mooli Makkai Paratha Recipe, we first prepare the ingredients one by one.Wash, peel and grate the radish and keep aside.Similarly, seperate out only the methi leaves from its stem, wash and roughly chop it and keep aside.Now, take a big bowl, squeeze out the water from the grated radish and add it into the bowl.Add the chopped methi leaves, green chillies, makkai aata, gently crushed ajwain seeds between the palms, red chilli and coriander powder.Season with salt and mix the ingredients well.Now, slowly add the water or butter milk to make it into a tight dough. The maize will keep absorbing water into it.Divide the dough into 12 equal balls and keep aside.Now, line a butter or parchment paper on the kitchen slab, greese it with few drops of oil. Take one small dough ball, knead it till it becomes soft, and gently press it over the parchment paper.Pat it with your fingers and flat it out to the size of small poori's.Heat skillet on medium flame, place the patted makkai roti over the skillet, add a few drops of oil / ghee on the sides and let it cook on the surface for 2-3 minutes.Flip over and cook the other side for another 3 minutes brushing it with little oil. Similarly, make the rest of the roti's.Serve the Methi, Mooli Makkai Paratha Recipe along with Gur/jaggery, dollop of white butter and traditional Sarson Ka Saag for a weekend Punjabi cuisine inspired lunch.
</t>
  </si>
  <si>
    <t>http://www.archanaskitchen.com/methi-mooli-makkai-paratha-recipe</t>
  </si>
  <si>
    <t>Palak Makhana Recipe (Navratri Fasting/Vrat Recipe)</t>
  </si>
  <si>
    <t>300 grams Spinach Leaves (Palak),2 Tomatoes - diced,1 cup Phool Makhana (Lotus Seeds),1 teaspoon Cumin seeds (Jeera),1 teaspoon Garam masala powder,1/2 teaspoon Red Chilli powder,1/2 teaspoon Turmeric powder (Haldi),1 Cinnamon Stick (Dalchini),2 tablespoon Milk,1 tablespoon Ghee,Salt - to taste</t>
  </si>
  <si>
    <t xml:space="preserve">We begin the Palak Makhana by washing the spinach thoroughly under running water. Drain the spinach and cook it in a pressure cooker with little bit of turmeric powder, cumin seeds and green chillies for 2 whistle.Once the whistle is done let it cool down till the pressure comes out naturally. Blend it into paste and keep it aside.Roast the makhana with ghee on a flat bottomed non-stick pan. Remove the makhana and in the same pan add little bit of oil and temper the cumin seeds and add the tomatoes.Cook until they loose all the liquids and add all the spice powders.Add little water and simmer it for 2 minutes. Add the blended spinach mixture along with milk and simmer it for 3 minutes again.Finally, add the makhana and bring it to a boil.You can serve your creamy Palak makhana with Ajwain puri or Jeera pulao to make a complete wholesome meal.
</t>
  </si>
  <si>
    <t>http://www.archanaskitchen.com/palak-makhana-recipe-navaratri-fasting-vrat-recipe</t>
  </si>
  <si>
    <t>Tofu Methi Paratha Recipe</t>
  </si>
  <si>
    <t>1-1/2 cups Whole Wheat Flour,1/4 cup Bajra Flour ( Pearl Millet),1/4 cup Jowar Flour (Sorghum),1/2 teaspoon Salt,1 teaspoon Sunflower Oil,1 cup Tofu - crumbled,1 teaspoon Cumin powder (Jeera),2 Green Chillies - finely chopped,1 Onion - finely chopped,1/2 cup Methi Leaves (Fenugreek Leaves) - finely chopped,Salt - to taste</t>
  </si>
  <si>
    <t xml:space="preserve">To begin making the Tofu Methi Paratha Recipe, we will first make the dough for the parathas. In a large bowl add whole wheat flour and some salt. 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6 equal portions and keep aside.While the dough is resting, lets prepare the filling for the parathas. In a large bowl; add tofu, onion, chopped methi leaves, green chillies, cumin powder, and salt. Combine all the ingredients well.Divide the filling into 6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a portion of the tofu methi paratha filling onto the circle and spread it evenly around. Next, take the other rolled portion of the dough and place it over the filling.Press and fold the edges so that the filling does not come out while cooking the tofu methi paratha. Once sealed press down the tofu methi paratha with your palms to release any air pockets.And give it a gentle roll with the pin to even it out. Proceed the same way with the remaining paratha dough and filling portions.Now we will get into the final steps of cooking a tofu methi paratha, preheat a skillet on medium heat and place the filled dough.Allow it to cook on medium heat for about 30 to 45 seconds and flip over. Add this stage add a teaspoon of ghee or oil and spread it around the tofu methi paratha.Flip again, so the oiled side of the tofu methi paratha can cook on the skillet. Spread a little more ghee and keep pressing the tofu methi paratha while on the skillet to cook the paratha evenly from inside out.Do the flipping over process a couple of times until both sides get cooked, browned and crisp evenly. Make sure you cook on medium heat as it allows the tofu methi paratha to get a crisp on the outside and yet have soft texture.Once the tofu methi paratha is cooked transfer it to a plate and serve.Serve the Tofu Methi Paratha Recipe along with a Tomato Onion Cucumber Raita Recipe and Pisarna Manga Recipe  for breakfast, lunch or dinner.
</t>
  </si>
  <si>
    <t>http://www.archanaskitchen.com/tofu-methi-paratha-recipe</t>
  </si>
  <si>
    <t xml:space="preserve">Nawabi Mixed Vegetable Gravy </t>
  </si>
  <si>
    <t>1/2 cup cabbage, 1/4 cup green beans - chopped into 1 inch pieces, 1/4 cup carrots - chopped, 1/4 cup green peas, 1 bay leaf, 3 cloves, 1 inch cinnamon stick, 1 onion - chopped, 1 tomato - chopped, 1 green chilli - chopped in the middle, 2 tsp coriander powder, 1 tsp red chilli powder, 1 tsp garam masala powder, coriander leaves - finely chopped (for garnish), 2 tbsp ghee, 10 cashew nuts - soaked, 1 onion - soaked, 1 tomato, 3 garlic cloves, 2 inch ginger, 1/2 tsp cumin seeds</t>
  </si>
  <si>
    <t>"To make Nawabi Mixed Vegetable, first of all soak cashews and onions in hot water for 2 minutes. After that drain the water. Now grind cashews and onions with tomatoes, ginger, garlic and cumin seeds with some water and keep it aside. Now heat ghee in a pan. Add bay leaves, cloves, cinnamon and let it cook for 15 seconds. Now add onions and cook till they turn brown. Now add tomatoes and cook for few minutes. Now add chopped vegetables and mix. Now add coriander powder, red chili powder, garam masala powder and mix. Now add salt, 1/2 cup water and cook by shaking the pan. After the vegetables are cooked, add the ground masala and mix. Add salt according to taste and cook for 10 minutes. After 10 minutes turn off the gas and garnish with green coriander. Nawabi Mixed Vegetable is prepared in Gujarati style Serve with Daal, Phulka and Salad for lunch.</t>
  </si>
  <si>
    <t>https://www.archanaskitchen.com/nawabi-mixed-vegetable-gravy-recipe-2</t>
  </si>
  <si>
    <t>Rose Lassi Recipe</t>
  </si>
  <si>
    <t>2 cups Curd (Dahi / Yogurt),1 cup Chilled water,3 tablespoons Sugar,2 tablespoons Rose syrup,Ice cubes - a few,Pistachios - a few</t>
  </si>
  <si>
    <t xml:space="preserve">To begin making the Rose Lassi Recipe, into the Preethi Zodiac blender tall jar add the yogurt, chilled water, rose syrup, sugar and a few ice cubes. Turn on the puree mode and blend to make a smooth lassi.Check sugar and add more if required.Transfer the Rose Lassi into serving glass and sprinkle chopped pistachios on the top and serve chilled. Serve Rose Lassi during the Holi festival or any special occasion with Mirchi Bajji and Matar Samosa Chaat to your friends and family. 
</t>
  </si>
  <si>
    <t>https://www.archanaskitchen.com/rose-lassi-recipe</t>
  </si>
  <si>
    <t>Keema Bhindi Recipe</t>
  </si>
  <si>
    <t>500 gms chicken - grind, 250 gms lady finger, 2 onions - finely chopped, 2 tomatoes - finely chopped, 1 tbsp ginger garlic paste, 1 tbsp Kashmiri red chilli powder, 2 tsp coriander powder, 1 tsp turmeric powder, 1 tsp cumin powder - roast, 1-1/2 tsp garam masala powder, 2 tsp oil - + 2 tbsp oil for frying, green coriander - chop, 1 tsp kasuri methi</t>
  </si>
  <si>
    <t>"To make Keema Bhindi recipe, first of all keep all the ingredients ready. Wash the bhindi and dry it well and keep it aside. Cut the corners of the bhindi and then chop it and keep it aside. Now heat oil in a pan. Add bhindi and cook for 4 to 5 minutes. Now take it out on a kitchen towel and keep it aside. Now add onion in the same pan and cook till it becomes soft. After the onion becomes soft, add ginger garlic paste and cook for 2 to 3 minutes. Now add tomatoes and cook till the tomatoes become soft. After the tomatoes become soft, add Kashmiri red chilli powder, turmeric powder, cumin powder, mix and cook for 1 minute. Now add chicken and mix well. Cook till the chicken is cooked. Now add water and cook for 2 minutes. Add bhindi and mix it. Cook for 5 minutes. Add garam masala powder, mix and turn off the gas. Keema Bhindi Serve the recipe with Phulkas and Burani Raita for dinner. "</t>
  </si>
  <si>
    <t>https://www.archanaskitchen.com/keema-bhindi-recipe-okra-minced-meat-curry-in-hindi</t>
  </si>
  <si>
    <t>Uttarakhand Mooli Thechua Recipe (Radish Salad)</t>
  </si>
  <si>
    <t>4 Mooli/ Mullangi (Radish) - peeled and grated,3/4 cup Coriander (Dhania) Leaves - chopped finely,4 Green Chillies,Salt - to taste</t>
  </si>
  <si>
    <t xml:space="preserve">To begin making Uttarakhand Mooli Thechua Recipe (Radish Salad), with the help of a blender or in an ammikallu, grind add fresh coriander, green chillies and salt until they become like a paste.Also grate the radish and keep ready. In a mixing bowl, add the grated radish and mix the ground paste of coriander, green chillies and salt. Check for salt and adjust if required.Serve Uttarakhand Mooli Thechua Recipe (Radish Salad) alongside a complete meal of Phulka, Moong Dal Dubka Recipe, steamed rice and Kalonji Gobi Aloo Recipe.
</t>
  </si>
  <si>
    <t>https://www.archanaskitchen.com/uttarakhand-mooli-thechua-recipe-radish-salad</t>
  </si>
  <si>
    <t>Dum Ka Murgh (Lagan Ka Murgh) Recipe</t>
  </si>
  <si>
    <t>1 kg Chicken - cut into medium pieces,4 Onions - finely chopped,1 teaspoons Ginger - paste,1 teaspoons Garlic - paste,1/2 cup Poppy seeds - soaked in water,1/2 cup Cashew nuts - blanched,3 Green Chillies,Sunflower Oil - as required,2 tablespoons Coriander (Dhania) Leaves - chopped,1/2 cup Curd (Dahi / Yogurt),1/2 teaspoon Turmeric powder (Haldi),2 teaspoon Red Chilli powder,1-1/2 tablespoons Coriander Powder (Dhania),2 tablespoons Mustard oil,1 teaspoon Lemon juice,1 teaspoon Salt,1 teaspoon Ginger Garlic Paste,2 Bay leaf (tej patta),4 Cardamom (Elaichi) Pods/Seeds,2 Black cardamom (Badi Elaichi),1 inch Cinnamon Stick (Dalchini),1/2 teaspoon Ajwain (Carom seeds),1 teaspoon Mace (Javitri),4 Cloves (Laung),4 Whole Black Peppercorns</t>
  </si>
  <si>
    <t xml:space="preserve">To begin making the Dum Ka Murgh recipe, wash and strain the chicken nicely. In a mixing bowl, add chicken with all the ingredients mentioned under Marinade.Mix well and cling wrap the bowl, refrigerate for 2 to 3 hours.In a heavy bottomed pan, heat oil and add all the whole spices and let them crackle.Now add finely chopped or ground onion and saute till raw smell goes off.Add ginger garlic paste and fry everything till golden in colour.Now add the marinated chicken along with the curd mix and turn the flames high so that the curd leaves water.Once the curd starts reducing, turn the flame low and let the chicken cook with lid covered. This may take 20-30 minutes.Meanwhile take soaked poppy seeds and blanched cashews in a grinder jar and grind to make a smooth and fine paste.Once the chicken is slow cooked, add the cashew and poppy paste and mix nicely.Adjust salt and add little water to make a thick curry. Cover the lid and let the chicken cook for another 7 to 8 minutes.Turn off the gas and garnish the Lagan ka Murgh with broken cashew chunks and fresh coriander.Garnished with cashews chunks and coriander, Dum ka Murgh goes best when served with Roomali Roti, Mandey or Butter Naan.
</t>
  </si>
  <si>
    <t>http://www.archanaskitchen.com/dum-ka-murgh-lagan-ka-murgh-recipe</t>
  </si>
  <si>
    <t>1/2 cup yellow moong dal, 1/2 cup masoor dal, 250 grams spinach - finely chopped and boiled, 1 tomato - finely chopped, 1 inch ginger - grated, 1 teaspoon turmeric powder, 1/2 teaspoon cumin powder, 1/2 teaspoon garam masala powder, salt - according to taste, 1 tablespoon ghee, 1/2 teaspoon cumin seeds, 2 dried red chillies</t>
  </si>
  <si>
    <t>"To make Daal Palak recipe, first cook the daal in a pressure cooker with 3 cups of water. To know how to cook daal in a pressure cooker, see here. You can cook the spinach in a pressure cooker or fry it lightly in a pan with little oil. Now the method of cooking the spinach in a pressure cooker is given, but if you are cooking in a pan, then cook the spinach till it becomes soft by pushing it in the same way. Now heat oil in a pressure cooker. After 10 seconds, add ginger, green chili, tomato, turmeric powder, cumin powder, garam masala powder, salt and spinach and cook till one whistle comes. After the whistle comes, turn off the gas and keep the cooker under cold water. So that the pressure of the cooker is released and the spinach does not cook too much and remains green. Now when both daal and spinach are ready, mix the cooked daal in the cooked spinach and stir. Now let the daal palak boil. Now prepare the tempering, for tempering, heat one tablespoon ghee in a tempering pan. Then, add cumin seeds and dried red chillies and fry them well. Pour this seasoning into the Daal Palak, mix them well and serve hot. You can use masoor, moong, toor or chana dal to make Daal Palak. Serve Daal Palak in winters with hot Tawa Parathas, Palak Raita and Kachumber Salad.</t>
  </si>
  <si>
    <t>http://www.archanaskitchen.com/dal-palak-recipe-in-hindi</t>
  </si>
  <si>
    <t>Baingan Bharta Recipe - Smoked Roasted Eggplant with Green Chillies and Ginger</t>
  </si>
  <si>
    <t>1 Brinjal (Baingan / Eggplant),2 inch Ginger - finely chopped,1 Onion - finely chopped,1 Tomato - finely chopped,2 Green Chillies - finely chopped,1/4 teaspoon Turmeric powder (Haldi),1/2 teaspoon Garam masala powder,1/2 teaspoon Coriander Powder (Dhania),2 tablespoons Ghee,1 teaspoon Red Chilli powder,Salt - to taste,4 sprig Coriander (Dhania) Leaves - finely chopped for garnish</t>
  </si>
  <si>
    <t xml:space="preserve">To begin making the Baingan Bharta Recipe , first prep all the ingredients and keep them ready.The brinjal needs to be roasted and can be roasted in two ways; in the oven or on the gas flame.Method using the oven for roastingPreheat the oven to 180 C. 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ghee in a pan over medium high heat. Add the cumin seeds and allow seeds to crackle. Add the grated ginger and chopped onions, sauté over medium heat until the onions are tender.Then add the chopped tomatoes, turmeric powder, green chillies, coriander powder, garam masala powder and chilli powder.Stir to combine and sauté until all the ingredients come together for about couple of minutes and the tomatoes become soft and mushy.Stir in the roasted brinjal and salt. Turn the heat to low and simmer the Baingan Bharta for about 10 minutes or so until it gets well combined with the tomatoes and spices.Once done turn off the heat, check the salt and seasonings and adjust to taste accordingly. Finally garnish with freshly chopped coriander leaves and serve hot.Serve the Baingan Bharta Recipe along with hot Kadai Paneer, Dal Makhani, Phulka to enjoy your special weekend meal with family.
</t>
  </si>
  <si>
    <t>http://www.archanaskitchen.com/dhaba-style-baingan-ka-bharta-recipe</t>
  </si>
  <si>
    <t>Corn &amp; Paneer Baked Samosa Recipe</t>
  </si>
  <si>
    <t>2 cups All Purpose Flour (Maida),1/4 cup Ghee,Salt - to taste,1 teaspoon Ajwain (Carom seeds),Water - to knead,All Purpose Flour (Maida) - extra for dusting,1 cup Paneer (Homemade Cottage Cheese) -  crumbled,3/4 cup Sweet corn,1 teaspoon Black pepper powder,Salt - to taste,2 sprig Coriander (Dhania) Leaves - chopped</t>
  </si>
  <si>
    <t xml:space="preserve">To begin making  Corn &amp; Paneer Baked Samosa Recipe, first make the dough ,mix the flour and the salt well together. Soften the butter or ghee and combine into the flour and mix using your fingers till you get a crumb like mixture.Add water little by little to make a firm dough. Knead it till the dough comes together to form a ball.Rest the dough for about half an hour covered with a wet cloth at room temperature.While the dough is resting, mix all the filling ingredients together and keep aside .Preheat the oven to 220 C. Grease an oven dish with 1 tablespoon Oil or Butter.Divide the samosa dough into 20 balls, each about 1 inch in diameter.Take one ball and shape the samosa with the corn and paneer filling.Samosas can be shaped in two ways - Roll into a triangle. Place some filling in the center. Bring edges together and seal them to form a pyramid.Or roll into a circle. Cut across the center to form semi circles.  Fill in the filling in one semi circle. Shape into cone. Seal edges.Repeat the same process of shaping and filling the samosas with rest of the dough. Place samosas on greased oven dish and bake at 220 C for 15-20 minutes until golden brown or if you wish deep fry them till golden brown.Serve the Corn and Paneer Samosas along with a Green Chutney or Date and Tamarind Chutney  as a tea time snack along with a cup of Ginger Cardamom Chai.
</t>
  </si>
  <si>
    <t>https://www.archanaskitchen.com/corn-paneer-baked-samosa-recipe-non-fried</t>
  </si>
  <si>
    <t>Vagharela Rotli Recipe</t>
  </si>
  <si>
    <t>2 cups roti - cut into small pieces, 1/4 tsp mustard seeds, 1/4 tsp cumin seeds, 6 curry leaves - finely chopped, 1/4 tsp red chilli powder, 1/4 tsp turmeric powder, 1/4 tsp asafoetida, 1 tsp oil, salt - according to taste</t>
  </si>
  <si>
    <t>"To make Vagharela Rotli Recipe, first take a big bowl. Add roti pieces, turmeric powder, curry leaves, red chili powder, asafoetida and mix well. Now heat oil in a pan. Add mustard seeds, cumin seeds and let them crackle. After crackling, add roti mixture, salt according to taste and mix well. Cook for 3 to 4 minutes and turn off the gas. Serve. Serve Vagharela Rotli Recipe with masala tea for morning or evening breakfast."</t>
  </si>
  <si>
    <t>https://www.archanaskitchen.com/vagharela-rotli-recipe-roti-ka-poha-in-hindi</t>
  </si>
  <si>
    <t>Gobi and Soya Keema Recipe</t>
  </si>
  <si>
    <t>500 grams cauliflower - grated, 1 cup soya chunks, 6 small potatoes - peeled and cut in half, 1/2 cup green peas - boiled, 1 onion - chopped, 1 green chilli - chopped, 1 inch ginger, 2 cloves garlic, salt - according to taste, 2 tablespoons ghee, 1 teaspoon red chilli powder, 2 teaspoon garam masala powder, 1 teaspoon turmeric powder, 1 teaspoon coriander powder, 1 bay leaf, 5 sprigs of coriander - chopped, 1 teaspoon lemon juice</t>
  </si>
  <si>
    <t>"To make Gobi and Soya Keema Recipe, first wash the Gobi thoroughly and dry it. Cut the green part with the help of a knife and then either grind the Gobi in a food processor or grate it with the help of a grater. Now heat 1 cup water in a saucepan. After it boils, add soya chunks and cook for 1 to 2 minutes. Turn off the gas, remove the soya chunks and keep them aside. Heat ghee in a pan. Add bay leaves and cook for 10 seconds. Now add onions and cook till they turn golden brown. After the onions turn golden brown, add green chilies, ginger garlic paste, 1/4 cup water and mix well. Cook for 2 to 3 minutes. Now add potatoes, green peas, salt, turmeric powder, red chili powder, coriander powder, mix and cook for 5 minutes. Now add Gobi, soya, garam masala, mix, cover the pan and cook on low flame for 10 to 3 minutes. Let it cook for 15 minutes. After 10 to 15 minutes add lemon juice, mix well and garnish with coriander leaves. Serve Gobi and Soya Keema Recipe with Tawa Paratha and Tomato Onion Cucumber Raita for dinner. "</t>
  </si>
  <si>
    <t>http://www.archanaskitchen.com/gobi-and-soya-keema-recipe-in-hindi</t>
  </si>
  <si>
    <t>Fried Barnyard Millet Recipe -Fried Samvat Rice</t>
  </si>
  <si>
    <t>1 cup Samvat rice - or vrat ke chawal,2 tablespoons Ghee,1/2 teaspoon Cumin seeds (Jeera),3 Whole Black Peppercorns,2 Green Chillies - chopped,1 Potato (Aloo) - peeled and cubed,1 Tomato - chopped,1 tablespoon Coriander (Dhania) Leaves,150 grams Paneer (Homemade Cottage Cheese) - cubed,1 teaspoon Lemon juice,8 Cashew nuts,Rock Salt - or sendha namak as required</t>
  </si>
  <si>
    <t xml:space="preserve">Wash and soak samvat rice for 20 minutes.To begin making the Fried Samvat Rice Or Barnyard Millet recipe, now heat 2-1/2 cups of water in a sauce pan and add soaked samvat rice, cubed potatoes and pinch of salt in it and cook until you feel that it is cooked properly(cook on medium heat)Heat ghee in a wok/kadhai, add cumin seeds, black pepper, cashews and saute until cumin splutters.Now add tomato and green chillies cook it for about 3 to 4 minutes.Now add salt and cook it for few minutes on low heat.Now add cooked samvat rice and mix it well.Now switch off the flame and add lemon juice and coriander leaves mix well. Again cover the pan and let it sit for 15 minutes.In a separate pan add little ghee and pan fry paneer cubes and cashews until golden brown. Add to the Fried Samvat rice. Serve hot.Serve Fried Samvat Rice Or Barnyard Millet along with Palak Makhana Recipe and Tadka Raita for a fasting meal or as a light dinner.
</t>
  </si>
  <si>
    <t>http://www.archanaskitchen.com/fried-barnyard-millet-recipe-fried-samvat-rice</t>
  </si>
  <si>
    <t>Dum Murgh Aatishi Recipe - Spicy Smoked Chicken Recipe</t>
  </si>
  <si>
    <t>500 grams Chicken - Boneless,1/2 teaspoon Anardana Powder (Pomegranate Seed Powder),2 teaspoons Red Chilli powder,1 teaspoon Cumin powder (Jeera),1 tablespoon Lemon juice,Salt - to taste,1/2 tablespoon Ginger Garlic Paste,8 Whole cashews,1/2 teaspoon Poppy seeds,1 teaspoon Char Magaz,1/2 teaspoon Fennel seeds (Saunf),4 Onions - chopped,4 cloves Garlic - chopped,1 inch Ginger - chopped,1 cup Homemade tomato puree,2 tablespoons Ghee,2 Dry Red Chillies,1/2 teaspoons Garam masala powder,1 teaspoon Red Chilli powder,1 inch Coal - for dum,1/2 cup Fresh cream</t>
  </si>
  <si>
    <t xml:space="preserve">To begin making the Dum Murgh Aatishi Recipe, firstly add 1/2 tablespoon ginger garlic paste, red chilli powder, lemon juice, salt to taste, anardana powder, cumin powder and mix everything well.Next, add chicken and mix so that the chicken is properly marinated with the masala. Cover and keep it aside for 3 to 4 hours for marination.Meanwhile add khus khus, cashew nuts, char magaz and fennel seeds in a mixer grinder and make a paste out of it. Keep it aside.Heat oil in a heavy bottomed pan. Once it is hot, add the ginger garlic and onions and saute until the onions become caramelised. Once it gets caramelised, grind to make a smooth paste and keep aside.The final step is to make the Dum Murgh Aatishi.In a pan; add the ghee and dry red chillies. Stir in the brown onion paste, poppy seeds paste, tomato purée, garam masala powder, red chilli powder and keep stirring till oil leave from side. This will take about 4 to 5 minutes.After 4 to 5 minutes, add in the boneless marinated chicken and let it cook for about 3 to 4 minutes.  Once the chicken is cooked properly, add in the cream to the chicken mixture. After 2 minutes, switch of the heat.Heat a coal directly on the gas flame. Once it is red, add it in a small bowl. Place this bowl in the middle of the heavy bottomed pan of the chicken. Put a teaspoon of ghee over the coal and cover the pan.The coal will smoke and add the smoky flavor to the chicken. Once the smoke has subsided, remove the coal from the bowl and transfer the Dum Murgh Aatishi to a serving bowl.Serve Dum Murgh Aatishi along with Garlic Naan, Jeera Rice, Burani Raita and Pudina Pyaz Kachumber Salad for a weekday meal.
</t>
  </si>
  <si>
    <t>http://www.archanaskitchen.com/dum-murgh-aatishi-recipe-spicy-smoked-chicken-recipe</t>
  </si>
  <si>
    <t>Puri for Pani Puri Recipe -Golgappa/ Puchka Puri Recipe</t>
  </si>
  <si>
    <t>1 cup Sooji (Semolina/ Rava),1 tablespoon All Purpose Flour (Maida),1/2 teaspoon Salt,1 tablespoon Sunflower Oil,1/4 cup Lukewarm Water,Sunflower Oil - for deep frying</t>
  </si>
  <si>
    <t xml:space="preserve">To begin making the Puri for Pani Puri, in a large bowl, add in the salt, sooji rava and the warm water. Mix the ingredients well until the sooji rava has absorbed all the water. The mixture will resemble a wet crumb texture.With this existing moisture we need to make this into a smooth dough. For that add in a tablespoon of maida (all purpose flour). This flour is to absorb that extra moisture and give it a bit of gluten for the dough. Resist the temptation to add more flour, this will alter the texture of the puri for the pani puriKnead this dough well for about 10 minutes continuously. It will be easier to knead it on your kitchen platform rather than the bowl. You can use both your hands and muscle power to get the sooji rava mixture into a consistency of a smooth dough. The dough should not be super stiff. It should be firm, yet smooth and pliable.NOTE: Do time yourself and knead for 10 minutes and not any less (smiles)The kneading helps the dough develop the gluten and the warmth of your hand helps it get softer. This gluten will help the puri’s puff in the oil and turn crisp as well.Also note, the dough should not be soft, it should be medium tight and not hard. Hence kneading well helps give that smooth finishAfter kneading the dough for 10 minutes, add in 1 tablespoon of oil. It is important that you add the oil only after kneading the dough and not in the beginning. This will give the crunch to the dough that a puri of the pani puri should have.Knead this pani puri dough for another 3 minutes (put a timer on)Now cover the dough either in a box with a lid or invert a bowl over it. This helps the dough to sweat and form its gluten and softness. Allow the dough to rest for at least 30 minutes.Once the dough is well rested for 30 minutes, knead the dough once again for another 2 minutes (set the timer on)Once kneaded, we will now use a cookie cutter or the cap of the cocktail shaker to cut the puri’s for the pani puri.Preheat the oil for deep frying the puri for the pani puri.Divide the dough in 3 small portions. Take one portion out and keep the rest covered. Roll the dough into a thin sheet and using a cutter make rounds of the dough.I like to roll these rounds a little more with a rolling pin just to make sure you get the perfect thickness.Keep adding one puri at a time into the preheat oil and fry the puri’s on low to medium heat (not high heat), until they puff and turn golden brown on both sides.Note: The puri’s have to fry on low to medium heat to get that perfect crispness.Drain the puri’s once they turn golden brown on absorbent paper.Continue the same process for the remaining portions of the dough.Serve these  Puris with Pani to make Pani Puris | Golgappas | Puchka’s the most famous street food snack of india.
</t>
  </si>
  <si>
    <t>http://www.archanaskitchen.com/puri-for-pani-puri-golgappa-puchka-recipe</t>
  </si>
  <si>
    <t>Mushroom Tikka Masala Recipe (Mushroom &amp; Bell Peppers In Spicy Tomato Gravy)</t>
  </si>
  <si>
    <t>1/4 cup Curd (Dahi / Yogurt) - or greek yogurt (hung yogurt),1 teaspoon Kashmiri Red Chilli Powder,1 teaspoon Garam masala powder - or kitchen king masala,1 teaspoon Ginger Garlic Paste,1/8 teaspoon Turmeric powder (Haldi),1 tablespoon Gram flour (besan),1 teaspoon Lemon juice,1/2 teaspoon Chaat Masala Powder,2 cups Button mushrooms - cut into 2,2 teaspoons Sunflower Oil,1/2 cup Green Bell Pepper (Capsicum) - cubed,1/2 teaspoon Cumin seeds (Jeera),2 Cloves (Laung),1/2 inch Cinnamon Powder (Dalchini),1 Cardamom (Elaichi) Pods/Seeds,1 clove Garlic,1 inch Ginger,1/2 cup Onion - chopped,3 Green Chillies - or jalapenos,8 Cashew nuts,1 Tomato,1 Bay leaf (tej patta),1 teaspoon Garam masala powder,1 tablespoon Sunflower Oil - or ghee,Salt - to taste,1 tablespoon Sunflower Oil - or ghee,Kasuri Methi (Dried Fenugreek Leaves) - to garnish</t>
  </si>
  <si>
    <t xml:space="preserve">To begin making Mushroom Tikka Masala Recipe (Mushroom &amp; Bell Peppers In Spicy Tomato Gravy), prep up with all the ingredients and start with marinating the mushrooms.In a large mixing bowl, add all the marinade ingredients, except mushrooms.Mix well, do a taste test and adjust spices and salt according to your taste.Add in the cut mushrooms and toss well to coat the mushrooms with the marinade evenly.Cover with a cling wrap or plate and keep in the refrigerator for about 30 minutes to an hour.Preparing Tikka Masala Paste:In a kadai, heat 2 tablespoons oil and once hot, add the cloves, cumin, cinnamon and green cardamom. Sauté for a few seconds.Add the chopped onions, green chillies, ginger, garlic and cashew nuts; fry for a few minutes till lightly roasted and the onions turn soft and cashews light brown.Stir in the chopped tomatoes along with a pinch of salt and fry on medium flame until the tomatoes are slightly cooked, turn soft and most of the moisture is gone (you can see the gravy leaving the sides of the pan); about 2 to 3 minutes. Remove from flame and let cool.Once cooled a bit, place the fried mixture in a blender jar and blend to a fine paste; there is no need to add any water as the moisture in the tomatoes is enough to make a smooth creamy paste. Keep aside.Preparing the Mushroom Tikka MasalaNow, heat the same saucepan with about 2 teaspoons of oil. Once the oil is hot, add the marinated mushroom (if there is marinade left in the bowl, do not add this; you can add this in the tikka masala gravy later) and fry on medium high heat, stirring continuously.When the mushrooms starts to wilt, it will start to release water. Keep stirring.Once most of the moisture is gone, add the cubed capsicum and sauté again for a few minutes till the mixture is well roasted.At this stage, switch off flame and keep these roasted mushrooms and capsicum aside.In a deep kadai, heat 1 tablespoon of oil/ghee, add bay leaf and stir in the tomato-onion-cashew paste.Sauté for a few seconds; tip in the rest of the spices; coriander powder, garam masala powder, turmeric powder and salt to taste (remember, the grilled mushrooms have salt too, so add accordingly); give it a good stir.Add about 1 cup of water (rinse the blender jar and add this water too), mix well and bring to a boil on medium high heat. Adjust the consistency of the gravy according to how thin or thick you want it. At this stage, if you have any leftover marinade, you can add that too.Once it comes to a boil, reduce the heat and stir in the sautéed mushrooms and bell pepper mixture.Mix well, adjust the salt and heat on medium high, until the mixture is heated through; about 2 to 3 minutes.Remove from heat, garnish with crushed kasoori methi leaves/coriander leaves and serve hot with with Pudina Tawa Paratha or Butter Garlic Naan Recipe and Bharma Baingan Aur Pyaaz Ki Sabzi Recipe (Spicy Stuffed Brinjals With Onions). You can even pair it with steamed basmati rice.
</t>
  </si>
  <si>
    <t>http://www.archanaskitchen.com/mushroom-tikka-masala-recipe-mushroom-bell-peppers-in-spicy-tomato-gravy</t>
  </si>
  <si>
    <t>Moong Cheese Kachori</t>
  </si>
  <si>
    <t>1/2 cup wheat flour, 1/2 cup maida (all purpose flour), 1/4 cup oats, 2 tbsp oil, salt - according to taste, 1 cup sprouted moong - boiled, 1/2 cup sweet potato - boiled, 1/4 cup mozzarella cheese, salt - according to taste, 1 tsp chili flakes, 1 tsp mixed herbs</t>
  </si>
  <si>
    <t>"To make Mung Cheese Kachori, first of all mix all the ingredients of the Kachori dough like wheat flour, refined flour, oats and salt, oil and knead the dough. Add sprouted mung beans, sugar candi, chilli flakes, mixed herbs and salt and mix. And make balls. Prepare the balls by filling mozzarella cheese in the middle. Roll out the dough into medium sized Puri. Place stuffing balls in the middle and seal all the four corners. Give it the shape of a Kachori. Now heat oil in a pan. Put the Kachori in it and cook till it turns golden from both the sides. Serve hot. Serve Mung Cheese Kachori with coriander mint chutney and sweet tamarind chutney."</t>
  </si>
  <si>
    <t>http://www.archanaskitchen.com/moong-cheese-kachori-recipe-in-hindi</t>
  </si>
  <si>
    <t>Beetroot, Aloo &amp; Amaranth Leaves Sabzi Recipe</t>
  </si>
  <si>
    <t>2 Beetroot - grated,10 Baby Potatoes,1 cup Green Amaranth Leaves - chopped,1 Onion - sliced,3 cloves Garlic - finely chopped,2 Green Chillies - slit,1 teaspoon Mustard seeds,1 teaspoon Cumin seeds (Jeera),1 pinch SSP Asafoetida (Hing),1/4 teaspoon Turmeric powder (Haldi),1/2 teaspoon Red Chilli powder,2 teaspoon Coriander Powder (Dhania),1 teaspoon Garam masala powder,Salt - to taste,2 teaspoon Mustard oil</t>
  </si>
  <si>
    <t xml:space="preserve">To begin making the Beetroot, Aloo &amp; Amaranth Leaves Sabzi Recipe, pressure cook the baby potatoes in water for  2 whistle. Let the pressure release naturally and then open the lid and peel the potatoes. Keep aside.Heat a kadai and add some oil. Once the oil is hot add mustard seeds, hing, cumin seeds and allow it to splutter for few seconds. After the seeds have spluttered add the garlic, green chillies and onions and saute till onions are soft.Once the onions have softened add the baby potatoes and roast for two minutes.Now add the masalas, haldi, coriander powder, chilli powder and stir well to combine. Once the masalas are well combined into the potatoes add the grated beetroot, salt to taste and stir. Add in the Amaranth leaves and combine everything well. Close the pan with a lid and cook till the leaves and beetroot are nearly done. Open the lid and stir in the garam masala and cook till the beetroot and amaranth leaves are cooked.Turn off the heat and transfer the Beetroot, Aloo &amp; Amaranth Leaves Sabzi into a serving owl.Serve the Beetroot, Aloo &amp; Amaranth Leaves Sabzi Recipe along with phulka, Green Moong Dal Makhani and Sweet Potato &amp; Green Bean Salad by the side to make it a rich and delicious meal.
</t>
  </si>
  <si>
    <t>http://www.archanaskitchen.com/beetroot-aloo-amaranth-leaves-subzi-recipe</t>
  </si>
  <si>
    <t>Rajma Saagwala (Dry Kidney Beans And Spinach Stir Fry) Recipe</t>
  </si>
  <si>
    <t>1 cup Rajma (Large Kidney Beans) - boiled,2 cups Spinach Leaves (Palak) - roughly chopped,Sunflower Oil - as required,1 teaspoon Cumin seeds (Jeera),1 Onion - finely chopped,5 Garlic - cloves,1 Green Chilli - finely chopped,1/4 teaspoon Turmeric powder (Haldi),1/2 teaspoon Garam masala powder,Asafoetida (hing) - A pinch,Salt - to taste</t>
  </si>
  <si>
    <t xml:space="preserve">To begin making Rajma Saagwala recipe, pressure cook the overnight soaked rajma for two whistles in a pressure cooker and keep it aside.Now heat a wok in medium flame, pour oil, add the cumin seeds and a pinch of asafoetida and let it crackle.Add the finely chopped garlic and sauté till aromatic.Add the finely chopped onion and green chilli and cook till the onions become translucent.Add the roughly chopped spinach and cooked rajma and give it a stir.Now add the turmeric, garam masala powder and season with salt and mix well.Let the vegetable cook in medium flame for 10 minutes, occasionally keep stirring in between.Once done, switch off the flame and it is ready to be served. Serve Rajma Saagwala as a side dish with Rabodi Ki Sabji and Whole Wheat Lachha Parathas for a delicious weekday meal.
</t>
  </si>
  <si>
    <t>https://www.archanaskitchen.com/rajma-saagwala-dry-kidney-beans-and-spinach-stir-fry-recipe</t>
  </si>
  <si>
    <t>Boondi And Spring Onion Greens Sabzi</t>
  </si>
  <si>
    <t>8 green onion leaves - chopped, 1 cup boondi, 2 green chillies - finely chopped, oil - as per requirement, 1 tsp cumin seeds, 1/4 tsp asafoetida, 1 tbsp garlic - paste, 1/2 tbsp turmeric powder, 1 tbsp coriander powder, 1 tbsp red chilli powder, 1/4 tbsp garam masala powder, 1/2 cup coconut powder, salt - according to taste, 1/2 cup tomatoes - chopped, 1/4 cup water, 1/2 tsp dry mango powder</t>
  </si>
  <si>
    <t>"To make Boondi and Spring Onion Sabzi, first heat oil in a pan. Add cumin seeds and asafoetida and cook for 10 seconds. Now add garlic paste and cook for 2 minutes. Add coconut powder and cook for 30 seconds. Now add turmeric powder, coriander powder, red chili powder, garam masala powder and salt. Now add spring onion leaves and cook for 3 to 4 minutes. After this add tomatoes and some water. Cook for 1 more minute. Now add dry mango powder and mix it. Add boondi on top. Do not mix it and cover the pan. Cook till the boondi becomes soft. Serve. Serve Boondi and Spring Onion Sabzi with Garlic Daal and Phulkas for lunch."</t>
  </si>
  <si>
    <t>https://www.archanaskitchen.com/boondi-and-spring-onion-greens-sabzi-recipe-in-hindi</t>
  </si>
  <si>
    <t>Chicken Curry With Sweet Potatoes Recipe</t>
  </si>
  <si>
    <t>250 grams Chicken - cut into pieces with bones,2 Sweet Potatoes - diced,5 sprig Coriander (Dhania) Leaves - finely chopped,1/2 cup Curd (Dahi / Yogurt),Salt - as per required,1 teaspoon Turmeric powder (Haldi),1 teaspoon Red Chilli powder,1 teaspoon Sunflower Oil,1 Onion - thinly sliced,6 cloves Garlic - finely chopped,2 inch Ginger - grated,1 Green Chilli - finely chopped,1/2 cup Homemade tomato puree,3 Whole Black Peppercorns,3 Cloves (Laung),1 inch Cinnamon Stick (Dalchini),1 teaspoon Cumin seeds (Jeera),1 teaspoon Coriander (Dhania) Seeds,2 Byadagi Dried Chillies</t>
  </si>
  <si>
    <t xml:space="preserve">To prepare the Chicken Curry With Sweet Potatoes recipe, firstly wash the chicken pieces thoroughly. Peel of the potatoes and dice them.To marinate the chicken, in a mixing bowl, combine the chicken and potatoes cubes along with yogurt, salt, turmeric powder and red chilli powder. Mix well and keep them aside.In a medium skillet, add the spice - peppercorns, cloves, byadgi chillies, coriander seeds, cumin seeds and cinnamon stick.Fry them on the medium flame till it leaves a nice aroma. Let it cool and grind it to a smooth powder.In the same skillet, add another teaspoon of oil. When it's hot add curry leaves. When the curry leaves splutter, add the thinly sliced onions. Cook till they become soft and tender. Add the ginger, garlic, ground masala and green chillies. Stir fry for a few seconds. Add the tomato puree and stir.Now add the chicken and potato pieces. Add the oats and about 1-1/2 cup of water, adjust salt to taste. Cover and let it cook till the chicken is cooked well.Once done, turn off the heat, stir in the chopped coriander leaves and serve.Chicken Curry With Sweet Potatoes goes really well with  Lachha Parathas, Jeera Rice and Lachedar Kakdi Pyaz Kachumber Recipe for a complete meal.
</t>
  </si>
  <si>
    <t>http://www.archanaskitchen.com/chicken-curry-with-sweet-potatoes-recipe</t>
  </si>
  <si>
    <t>1 cup Fresh Figs - cut into quarteres,1 cup Beetroot - grated,1 teaspoon Ajwain (Carom seeds),1 teaspoon Nutmeg,2 teaspoon Red Chilli powder,4 cloves Garlic - chopped,3 Green Chillies - chopped</t>
  </si>
  <si>
    <t>We begin making the Beetroot and Fig Chutney Recipe by heating a sauce pan with oil.  Crackle few ajwain seeds.Then add in the chopped garlic. Saute for few minutes. Add in the Beetroot and figs. Saute for 20 minutes.Add in the nutmeg powder, red chilli powder, green chillies and add ¼ cup water and cook it till the vegetable is cooked. Serve the Beetroot and Fig Chutney Recipe along with stuffed paratha</t>
  </si>
  <si>
    <t>http://www.archanaskitchen.com/beetroot-and-fig-chutney-recipe</t>
  </si>
  <si>
    <t>Achari Paneer Recipe -Spicy Pickled Paneer Gravy</t>
  </si>
  <si>
    <t>200 grams Paneer (Homemade Cottage Cheese),1 tablespoon Sunflower Oil,2 Onion - chopped,3 cloves Garlic,1 inch Ginger,2 tablespoons Pachranga Pickle - with masala,1 teaspoon Fennel seeds (Saunf),1 teaspoon Red Chilli powder,1 teaspoon Turmeric powder (Haldi),1/2 teaspoon Coriander Powder (Dhania),1/2 teaspoon Garam masala powder,Water - as required,1-1/2 cups Homemade tomato puree,1 teaspoon Honey,Salt - to taste,1/4 cup Fresh cream,1/4 tablespoon Kasuri Methi (Dried Fenugreek Leaves)</t>
  </si>
  <si>
    <t xml:space="preserve">To begin making the Achari Paneer recipe, grind all the ingredients to be ground into a paste - onion, ginger, garlic, pachranga pickle and fennel seeds.Heat oil in a pan; add the ground paste and saute until the raw smell goes away and the oil starts separating. This will take about 3 to 4 minutes.Add the red chilli powder, turmeric powder, coriander powder and garam masala and saute into the masala. Stir in the tomato puree, salt, honey and cream. Give it a brisk boil.Finally stir in the paneer into the achari masala.You can add a little water if needed according to your preference and simmer the achari paneer masala for about 4 to 5 minutes so the flavors get combined well into the masala. Once done, garnish Achari Paneer with Kasuri Methi leaves, check the taste and adjust the salt and spices accordingly and serve.Serve Achari Paneer with Whole Wheat Lachha Paratha or Jeera Rice ,Lauki Raita and Apple Mawa Kheer for a weekend lunch.
</t>
  </si>
  <si>
    <t>https://www.archanaskitchen.com/achari-paneer-recipe-spicy-pickled-paneer-gravy</t>
  </si>
  <si>
    <t>Sev Puri Recipe (Papdi Chaat) - Indian Street Food Evening Snack</t>
  </si>
  <si>
    <t>20 Papdi puris - (flattened crisp puris),1 cup Sweet Chutney (Date &amp; Tamarind),1 cup Green Chutney (Coriander &amp; Mint),2 Potatoes (Aloo) - boiled and diced small,2 Onions - finely chopped,1/2 cup Green Moong Sprouts,1/2 cup Sev,1/2 cup Curd (Dahi / Yogurt) - whipped,Chaat Masala Powder - as required,Cumin powder (Jeera) - as required,Red Chilli powder - as required,2 sprig Coriander (Dhania) Leaves - for garnishing</t>
  </si>
  <si>
    <t xml:space="preserve">To begin making the Sev Puri Recipe (Papdi Chaat); we first have to get all the ingredients ready and keep them all together by the side.Making the Sev Puri Recipe (Papdi Chaat) is all about arranging and layering the different ingredients on a platter. In a large bowl, combine the potatoes, sprouts, the 1/2 teaspoon of chaat masala, 1/2 teaspoon of cumin powder and a pinch of red chilli powder. Stir well to combine. Check the salt and spice levels and adjust to suit your taste. Keep this aside.Lay the papdi in large platter or in individual plates. Spoon the potato sprout mixture over the papdi. Add 1 tablespoon of whipped yogurt, 1 teaspoon of date and tamarind chutney and 1 teaspoon of green chutney over each papdi.Sprinkle the onion, coriander leaves and theSprinkle the onion, coriander leaves and the sev generously over each of the papdis and serve immediately.Sev Puri dish tends to get soggy fast, so it tastes best when consumed immediately.Serve the Sev Puri / Papdi Chaat as a evening tea time snack on a weekend along with Bhel Puri With Raw Mango or Pav Bhaji to make a complete meal.
</t>
  </si>
  <si>
    <t>http://www.archanaskitchen.com/sev-puri-recipe-papdi-chaat</t>
  </si>
  <si>
    <t>Multani Kaali Arbi</t>
  </si>
  <si>
    <t>500 grams arbi, oil - as per requirement, salt - as per taste, 1/4 teaspoon red chili powder, 3 sprigs of green coriander - chopped</t>
  </si>
  <si>
    <t>"To make Multani Kali Arbi, first wash the arbi 2 to 3 times. Peel the arbi and cut them into round and thin slices. Heat oil in a pan. Add arbi and cook till it turns light brown. Add red chili powder, salt and mix well. After 1 minute, add 3 to 4 cups of water and let it boil. Cook for at least 20 minutes. If the curry thickens, add some more water as per your taste. Turn off the gas, cover the pan and let it remain in the pan for 20 minutes. Garnish with coriander leaves and serve. Serve Multani Kali Arbi with Palak Raita and Phulkas for lunch."</t>
  </si>
  <si>
    <t>https://www.archanaskitchen.com/multani-kaali-arbi-recipe-in-hindi</t>
  </si>
  <si>
    <t>Methi Malai Paneer Recipe</t>
  </si>
  <si>
    <t>1 cup Methi Leaves (Fenugreek Leaves) - chopped,100 grams Paneer (Homemade Cottage Cheese) - diced,1 teaspoon Kasuri Methi (Dried Fenugreek Leaves),1/2 cup Milk,2 tablespoon Fresh cream,1 tablespoon Butter - or ghee/oil,1/2 teaspoon Cumin seeds (Jeera),1 Bay leaf (tej patta),1/2 teaspoon Red Chilli powder,1/4 teaspoon Turmeric powder (Haldi),1/2 teaspoon Coriander Powder (Dhania),Salt - to taste,1/2 teaspoon Garam masala powder,2 Onions - sliced,4 cloves Garlic,2 Tomatoes,2 Green Chillies,10 Cashew nuts - soaked in water</t>
  </si>
  <si>
    <t xml:space="preserve">To begin making the Methi Malai Paneer Recipe, soak cashews in warm water for 15 to 20 minutes. Keep it aside.Heat oil in a heavy bottomed pan. Add fenugreek leaves with little salt and cook till the raw smell evaporates. To the same heavy bottomed pan, add 1 teaspoon of oil and add sliced onion, ginger, garlic and green chillies. Saute till raw smell goes. Add diced tomatoes and salt. Saute till tomatoes are mushy. Once onion tomato mixture has cooled, grind it very smooth along with soaked cashews. Our masala for methi malai paneer is ready.Add remaining oil in a heavy bottomed pan. Add bay leaf, cumin seeds and let it cook for about 15 seconds.After 15 seconds, add ground onion tomato paste and cook for about 2 to 4 minutes.Add turmeric powder, red chilli powder, coriander powder, kasuri methi and salt. Saute well. Add sauteed methi leaves, diced paneer, milk and required water to get the desired consistency. Mix everything well and keep it covered. Stir in between. When the curry is boiling well, add malai and garam masala powder and let it cook for another 1 minute. Mix Methi Malai Paneer and switch off.Serve Methi Malai Paneer Recipe along with Whole Wheat Lachha Paratha, Burani Raita and Kachumber Salad for a weekday meal.
</t>
  </si>
  <si>
    <t>http://www.archanaskitchen.com/methi-malai-paneer-recipe</t>
  </si>
  <si>
    <t>Sweet &amp; Spicy Pineapple Pani Puri Recipe</t>
  </si>
  <si>
    <t>18 Pani Puris,1/2 cup Green Moong Sprouts,2 Potato (Aloo) - boiled,Salt - to taste,1/2 teaspoon Chaat Masala Powder,1/2 teaspoon Cumin powder (Jeera),1/2 teaspoon Red Chilli powder,2 cups Pineapple - peeled,1 Green Chilli,1 teaspoon Chaat Masala Powder,1/2 teaspoon Cumin powder (Jeera) - 1/2 teaspoon cumin powder,1 tablespoon Sugar,Black Salt (Kala Namak) - to taste,1 tablespoon Lemon juice</t>
  </si>
  <si>
    <t xml:space="preserve">To begin making the Sweet &amp; Spicy Pineapple Pani Puri Recipe, we will first make the Sweet &amp; Spicy Pineapple Pani.In a mixer jar, combine the pineapple pieces along with green chilli, chaat masala, cumin powder, sugar, salt and grind it along with some water. Transfer to a serving bowl, add the lemon juice and adjust the salt and spices of the pineapple pani according to your taste. Place the pineapple pani in the refrigerator to chill. Note, you don't have to strain the fiber from the pineapple, it tastes delicious with the fiber when had along with the crisp puri.For the Pani Puri filling, in a mixing bowl, mash the potatoes, add the green moong sprouts and the dry masalas- chaat masala, cumin powder and red chilli powder. Mix well. Serve Sweet &amp; Spicy Pineapple Pani Puri , by slightly crack the puris on the top to make an opening, stuff the potato-sprouts filling, fill it with the Sweet &amp; Spicy Pineapple Pani and serve. You can either use store bought puris, or make them at home by following this link Puri for Pani Puri Recipe.Serve Sweet &amp; Spicy Pineapple Pani Puri at your chaat party long with Dahi Batata Puri Chaat Recipe and Chole Aloo Tikki Chaat Recipe. 
</t>
  </si>
  <si>
    <t>https://www.archanaskitchen.com/sweet-spicy-pineapple-pani-puri-recipe</t>
  </si>
  <si>
    <t>Parwal Masala Recipe</t>
  </si>
  <si>
    <t>300 grams parwal - peel and cut straight, 2 tomatoes - cut, 3 teaspoons watermelon, 1 inch ginger - finely chopped, 1 teaspoon red chili powder, 1 teaspoon coriander powder, 1/2 teaspoon cumin powder, 1/2 teaspoon garam masala powder, 1 bay leaf, salt - according to taste, 1 teaspoon oil</t>
  </si>
  <si>
    <t>"To make Parwal Masala recipe, first wash and peel the parwal. Cut it in half and keep it aside. Now put ginger, tomato, watermelon in a mixer grinder and make a paste. Now heat oil in a pan. Add parwal in it and cook till it becomes soft. Keep it aside. Now add bay leaves, tomato ginger paste in the same pan and cook for 3 to 4 minutes. After 4 minutes add red chili powder, coriander powder, cumin powder, garam masala powder and mix. Let it cook for 3 minutes and after that add parwal, water and let it cook. Cook for 5 minutes, turn off the gas and serve. Serve Parwal Masala recipe with Tawa Paratha and Lauki Raita for lunch. "</t>
  </si>
  <si>
    <t>http://www.archanaskitchen.com/parwal-masala-recipe-no-onion-no-garlic-recipe-in-hindi</t>
  </si>
  <si>
    <t>Broccoli Paratha Recipe</t>
  </si>
  <si>
    <t>500 grams Broccoli,1 Onion,1 tablespoon Coriander Powder (Dhania),Salt - as per taste,1 teaspoon Red Chilli powder,1 teaspoon Garam masala powder,1 teaspoon Cumin powder (Jeera),1 teaspoon Sunflower Oil,2 cups Whole Wheat Flour,Salt - to taste,Water - as required,Sunflower Oil - or ghee for frying paratha</t>
  </si>
  <si>
    <t xml:space="preserve">To begin making the Broccoli Paratha recipe, mix wheat flour, salt and water to form a soft non sticky dough, cover and let it rest for at least 30 minutesCut broccoli into small pieces and put them in hot water for 5 minutes.Remove and pat dry the florets. Grate the broccoli florets and keep them aside. If you are using a blender, use small jar. Add small quantity of florets and pulse grind. Don't grind too much as broccoli loses water. In a heavy pan, add oil and fry onions. Add grated broccoli and fry for 3 to 4 minutes. Broccoli cooks very fast. So keep stirring continuously so that it does not stick to the pan. After broccoli mixture is dry and is well cooked, add salt, red chilli, coriander powder, jeera powder, garam masala and mix well. Cool the mixture completely before making the parathas.In the mean while, knead the wheat dough well, make equal size balls. Flaten the dough ball with hand and thin out the edges. Make a cup and put the broccoli stuffing in the middle, close the edges.Donot pinch off the excess dough. Instead fold it and seal the stuffed dough with it.Dust the ball with flour and roll gently. Do not apply much pressure. Place the rolled paratha on a hot tawa and cook till brown spots appear. Apply oil, cook from both the sides and they are ready to eat.Serve Broccoli Paratha along with Dhaniya Pudina Chutney and Boondi Raita for your weekday meal.
</t>
  </si>
  <si>
    <t>https://www.archanaskitchen.com/broccoli-paratha-recipe</t>
  </si>
  <si>
    <t>Pudina Dahi Chutney Recipe- Mint Yoghurt Dip</t>
  </si>
  <si>
    <t>1 cup Curd (Dahi / Yogurt),1/2 cup Coriander (Dhania) Leaves - chopped,1 cup Mint Leaves (Pudina) - chopped,1 Green Chilli - chopped,1 inch Ginger - chopped,Salt - to taste,Sunflower Oil</t>
  </si>
  <si>
    <t xml:space="preserve">To begin making the Pudina Dahi Chutney Recipe, grind the dhaniya and pudina leaves along with green chilli and ginger.Add water if required, grind to form a smooth paste. Once that is done add the ground dhaniya pudina paste into the dahi.Add enough salt and mix to form a light green creamy chutney. Transfer into a bowl and garnish it with mint on top.Serve the Pudina Dahi Chutney Recipe along with Dahi Ke Kebab ,Chicken Tikka Recipe to enjoy your starters.
</t>
  </si>
  <si>
    <t>https://www.archanaskitchen.com/dahi-wali-dhania-pudina-chutney-recipe-coriander-mint-yogurt-chutney</t>
  </si>
  <si>
    <t>Gulab Sandesh Recipe - Cottage Cheese Flavored with Rose Water</t>
  </si>
  <si>
    <t>350 grams Chenna (Homemade Cottage Cheese),1/4 cup Sugar - powdered,1 teaspoon Rose water,1/4 cup Pistachios - sliced,Fresh rose petals - for garnishing (optional)</t>
  </si>
  <si>
    <t xml:space="preserve">To begin making the Gulab Sandesh Recipe, make the homemade paneer/ chenna according to the instructions.Once all the water from the chenna is drained, place the chenna in a large mixing bowl. Add the sugar and gulab jal (rose water). Using the heel of your hands, knead the chenna to make a very soft and smooth mixture.This process takes at least 10 minutes to get a really soft and smooth chenna sandesh mixture.Once you notice you have a smooth ball of sandesh dough, divide the sandesh into equal portions and shape them into tiny bite size balls.Roll them between the palms of your hand and shape them into smooth balls. Using your thumb make an impression in the center. Place a sliced pistachio or a fresh rose petal in the center and the Gulab Sandesh is ready to be served.Serve the Gulab Sandesh with a warm cup of Tetley Cinnamon and Honey Green Tea that compliments and balances out the sweetness of the sandesh.
</t>
  </si>
  <si>
    <t>http://www.archanaskitchen.com/gulab-sandesh-recipe-cottage-cheese-flavored-with-rose-water</t>
  </si>
  <si>
    <t>Pudina Chutney Recipe</t>
  </si>
  <si>
    <t>2 cups Mint Leaves (Pudina) - cleaned,1/3 cup Fresh coconut - grated,1 teaspoon Coriander (Dhania) Seeds,3 Dry Red Chillies,2 teaspoons Tamarind Paste,2 teaspoons White Urad Dal (Split),1/2 tablespoon Jaggery,1/4 teaspoon Turmeric powder (Haldi),Salt - to taste,1 teaspoon Sunflower Oil,1/2 teaspoon Mustard seeds,1 teaspoon White Urad Dal (Split),5 to 6 Curry leaves,2 Dry Red Chillies,1/4 teaspoon Asafoetida (hing)</t>
  </si>
  <si>
    <t xml:space="preserve">To begin making the Pudina Chutney Recipe, first dry the washed mint leaves on a kitchen towel.Heat oil in a wide pan coriander seeds and  urad dal and saute till the urad dal turns golden brown in color. Once done add the dry chillies and saute till they turn crisp, then add coconut, turmeric powder and mint leaves. Saute till the water from the mint leaves dry up. Turn off the heat and allow to cool down.Once cooled add this into a small mixer jar along with tamarind extract, salt and jaggery and blend. Sprinkle some water if required. After the Pudina chutney is ground into a smooth paste transfer it into a bowl. For the tempering, heat oil in a tadka pan, add mustard seeds and allow them to splutter,Once the mustard seeds have spluttered add the urad dal and saute till the dal turns golden brown in color.Once done add red chillies, asafoetida and curry leaves, saute till the curry leaves turn crisp and turn off the heat. Now add the tadka over the Pudina chutney, stir and serve.Serve Pudina Chutney with Dosakaya Pappu Recipe and hot Steamed Rice Recipe for a delicious weekday lunch.
</t>
  </si>
  <si>
    <t>https://www.archanaskitchen.com/pudina-chutney-recipe</t>
  </si>
  <si>
    <t>Drumstick Leaves Kadhi Pakora Recipe - Moringa Kadhi Pakora</t>
  </si>
  <si>
    <t>1 cup Drumstick Leaves (Moringa/Murungai Keerai),3/4 cup Gram flour (besan),1 teaspoon Red Chilli powder,1/2 teaspoon Turmeric powder (Haldi),1/4 Enos fruit salt - or baking powder,1 teaspoon Ajwain (Carom seeds),1/4 teaspoon Asafoetida (hing) - Asafoetida,Sunflower Oil - for frying,1 cup Curd (Dahi / Yogurt),1/4 cup Gram flour (besan),1/2 teaspoon Turmeric powder (Haldi),Salt - as required,1 teaspoon Ghee,1 teaspoon Mustard seeds,1 Fresh Red Chilli,2 inch Cinnamon Stick (Dalchini),1 sprig Curry leaves,Coriander (Dhania) Leaves - for garnish</t>
  </si>
  <si>
    <t xml:space="preserve">To begin making Drumstick Leaves Kadhi Pakoda Recipe, the drumstick leaves pakoda should be prepared.First wash the drumstick leaves and chop the leaves. Take a large bowl and mix all the ingredients for the pakoras - Gram Flour, Red Chili powder, Drumstick leaves, Turmeric powder, Enos Fruits salt, Asafoetida, Salt and Carom seeds.To this mixture, add the water a few drops at a time. The final mixture should neither dry or soggy. Divide the mixture into 8-10 pakora balls. Into a paniyaram pan, add a few drops of oil into the cavities and add the pakora into the cavities and pan fry them until it is  brown and crisp on all sides.Once the moringa pakoras are done, keep them aside.The next step is to make the KadhiIn a saucepan add the curd, gram flour, turmeric powder and salt. Add 2 cups of water and mix the kadhi mixture well. Turn the heat to high and keep whisking the kadhi until it becomes smooth and slightly thick. Once the kadhi begins to thicken, turn the heat low and allow the kadhi to simmer for 10 minutes. While the kadhi is simmering, heat ghee in a tadka pan; Add the mustard seeds, cumin seeds, cinnamon stick, red chillies and curry leaves. Allow them to crackle.Add this to the kadhi mixture and also drop in the moringa pakoras. Give the Morinka Kadhi Pakora a brisk boil and turn off the heat. Once done, give the Drumstick Leaves Kadhi Pakoda  a taste and adjust the salt and spices accordingly. Once done, serve hot.Serve Drumstick Leaves Kadhi Pakoda Recipe along with Green Moong Dal Khichdi for a delicious weeknight dinner.
</t>
  </si>
  <si>
    <t>http://www.archanaskitchen.com/drumstick-leaves-kadhi-pakoda-recipe</t>
  </si>
  <si>
    <t>Suran Ki Sabzi Recipe - Jimikand Masala Sabzi Recipe</t>
  </si>
  <si>
    <t>300 grams Elephant yam (Suran/Senai/Ratalu) - cubed,1/4 cup Green peas (Matar) - steamed,1 inch Ginger,1/2 cup Homemade tomato puree,1/4 teaspoon Turmeric powder (Haldi),1 teaspoon Kashmiri Red Chilli Powder,1 teaspoon Garam masala powder,1/4 cup Curd (Dahi / Yogurt),1 inch Cinnamon Stick (Dalchini),2 Cloves (Laung),1 Black cardamom (Badi Elaichi),Coriander (Dhania) Leaves - for garnish,2 teaspoons Ghee,Salt - as per your taste</t>
  </si>
  <si>
    <t xml:space="preserve">To begin making Suran Ki Sabzi Recipe, first wash the suran cubes and mix with lime juice in a bowl and keep it aside for 5 minutes.Take a pressure cooker  add the suran along with salt and 2 tablespoons of water.  Pressure cook for 1 whistle and turn off the heat. Allow the pressure to release naturally. Heat a heavy bottomed saucepan with ghee cinnamon, cloves, cardamom and ginger. Saute until you can smell the aromas coming through. Once done, add the tomato puree and all the remaining masalas.Stir for a few minutes until the masalas get well combined into the tomato gravy.Next, add the cooked suran cubes and dahi and give the Suran Ki Sabzi a brisk boil for 2 minutes and turn off the heat.Check the salt and spices to taste and adjust accordingly. Finally stir in the coriander leaves into the Suran Ki Sabzi and serve hot.Serve this delicious Suran Ki Sabzi along with Rotis/Jeera Rice, Palak Raita and Kala Chana Salad for a simple dinner.
</t>
  </si>
  <si>
    <t>https://www.archanaskitchen.com/suran-ki-sabzi-recipe-jimikand-masala-sabzi-recipe</t>
  </si>
  <si>
    <t>Rajma Kofta In Milk And Poppy Seed Gravy Recipe</t>
  </si>
  <si>
    <t>1/2 cup Rajma (Large Kidney Beans),1/4 cup Cashew nuts,2 tablespoons Raisins,1/4 teaspoon Asafoetida (hing),1/4 teaspoon Cumin seeds (Jeera),2 tablespoons Gram flour (besan),1/4 teaspoon Red Chilli powder,2 teaspoons Coriander (Dhania) Leaves - chopped,2 teaspoons Ghee,3 teaspoons Poppy seeds - ground to paste,1 teaspoons Fresh cream,1/2 cup Milk,1/2 teaspoon Garam masala powder,Water - as required,Salt - to taste,Saffron strands - a few to garnish</t>
  </si>
  <si>
    <t xml:space="preserve">To begin making Rajma Kofta In Milk And Poppy Seed Gravy Recipe, prepare the koftas first. Remember to first soak the rajma overnight and pressure cook with salt until the rajma is cooked and softened.Blend the boiled rajma, besan, cashew, raisins, chilli powder, hing, coriander leaves and salt in a food processor. Check for seasoning and adjust. Spread this mashed spiced rajma on a thali or a large plate. Make small round balls of rajma kofta with your palm.Heat a frying pan with half ghee and fry the kofta balls for about 10 minutes. Set aside.What you can also do is, heat a kuzhi paniyaram pan, drop in a few drops of oil into each cavity and put in these balls into each cavity. Once browned on the bottom, you can rotate the kofta balls and brown them evenly from the other side as well. This is a healthier way to prepare koftas instead of deep frying them in traditional way.Take a kadai and heat ghee, add cumin and allow to sizzle.Once sizzling, add in milk, cream, poppy seed paste and garam masala powder. Add salt and stir. Add water only if needed.Cook till the mixture comes to one boil and add the koftas and Switch off heat after half a minute. Serve with your favourite garnish like saffron or coriander leaves.Serve Rajma Kofta In Milk And Poppy Seed Gravy Recipe along with Saffron Pilaf Recipe (Kesar Pulao) and Pudina Tawa Paratha Recipe for lunch or dinner with Green Moong Sprout Salad With Capsicum And Carrots to complete the meal.
</t>
  </si>
  <si>
    <t>https://www.archanaskitchen.com/rajma-kofta-in-milk-and-poppy-seed-gravy-recipe</t>
  </si>
  <si>
    <t>Arbi Ka Saag</t>
  </si>
  <si>
    <t>250 grams arbi - boil and peel, oil - as per requirement, 1/2 teaspoon mustard, 1/4 teaspoon asafoetida, 1 green chilli - finely chopped, 1 tablespoon ginger garlic paste, 1 onion - finely chopped, 1/2 cup curd, 1 teaspoon red chilli powder, 1/2 teaspoon turmeric powder, 1 teaspoon coriander powder, salt - as per taste, water - as per requirement, 3 sprigs of coriander - finely chopped</t>
  </si>
  <si>
    <t>"To make arbi ka saag, first boil and chop the arbi. Keep it aside. Now heat oil in a pan. Add mustard seeds, asafoetida and cook for 10 seconds. After 10 seconds add ginger garlic paste, green chillies and cook for 2 to 3 minutes. After 2 to 3 minutes add onions and cook till they become soft. After they become soft add all the spices like red chilli powder, turmeric powder, coriander powder and salt. Let it cook for 4 to 5 minutes. After that add boiled arbi. Mix and reduce the flame. Now add curd and keep stirring for 1 minute. After that cover the pan and let it cook for 8 to 10 minutes. After that turn off the gas and garnish with green coriander. Serve arbi ka saag with phulka and boondi raita for lunch."</t>
  </si>
  <si>
    <t>https://www.archanaskitchen.com/arbi-ka-saag-recipe-in-hindi</t>
  </si>
  <si>
    <t>Methi Pakoda Kadhi Recipe - Punjabi Kadhi Pakora</t>
  </si>
  <si>
    <t>1/2 cup Methi Leaves (Fenugreek Leaves) - finely chopped,1 Onion - finely chopped,1 cup Gram flour (besan),1 teaspoon Red Chilli powder,1/2 teaspoon Turmeric powder (Haldi),1/4 teaspoon Enos fruit salt - or baking powder,1 teaspoon Ajwain (Carom seeds),1/4 teaspoon Asafoetida (hing) - Asafoetida,Sunflower Oil - for frying the methi pakoras,1 cup Curd (Dahi / Yogurt),3 tablespoons Gram flour (besan),1/2 teaspoon Turmeric powder (Haldi),1/2 teaspoon Red Chilli powder,1 teaspoon Coriander Powder (Dhania),Salt - as required,2 tablespoons Ghee,1 teaspoon Cumin seeds (Jeera),1 Dry Red Chilli,2 inch Cinnamon Stick (Dalchini),Coriander (Dhania) Leaves - for garnish if required</t>
  </si>
  <si>
    <t xml:space="preserve">To begin making Methi Pakoda Kadhi Recipe, first step is to make the pakora.Take a large bowl and mix all the ingredients for the pakoras like - Gram Flour, Red Chili powder, methi leaves, onion, Turmeric powder, Enos Fruits salt, Asafoetida, Salt and Carom seeds. Add little water at a time and make a thick pakora batter. Heat a paniyaram pan, add a few drops of oil into the cavities and spoon small portions of the pakora batter into the cavities and pan fry them until it is brown and crisp on all sides.Once the methi pakoras are done, keep them aside.The next step is to make the Kadhi.In a saucepan add the curd, gram flour, turmeric powder, red chilli powder and turmeric powder and salt. Add 2-1/2 cups of water and mix the kadhi mixture well.Turn the heat to high and keep whisking the kadhi until it becomes smooth and slightly thick.Once the kadhi begins to thicken, turn the heat low and allow the kadhi to simmer for 10 minutes. This simmering process allows the kadhi to get all the flavors.After 10 minutes of simmering, add the pakoras into the kadhi and simmer the pakoras for another 5 to 8 minutes until they become soft.While the Methi Pakoda Kadhi is simmering, heat ghee in a tadka pan; add the cumin seeds, cinnamon stick, and red chillies. Allow them to crackle.Give the Methi Kadhi Pakoda  a taste and adjust the salt and spices accordingly. Once done, transfer the Methi Pakoda Kadhi to a serving bowl.Pour the tadka over the Methi Pakoda Kadhi and give it a swirl and serve hot.Serve the Methi Pakoda Kadhi Recipe along with Multigrain Methi Thepla, Aloo Simla Mirch Ki Sabzi and salad by the side for a delicious lunch or dinner.
</t>
  </si>
  <si>
    <t>https://www.archanaskitchen.com/methi-pakoda-kadhi-recipe-punjabi-kadhi-pakora</t>
  </si>
  <si>
    <t>Healthy Kabuli Chana Pakora Recipe</t>
  </si>
  <si>
    <t>1 cup Kabuli Chana (White Chickpeas) - soaked for 8 hours,1 Onion - chopped,1 tablespoon Green Chilli - chopped,1 tablespoon Garlic - chopped,1 tablespoon Coriander (Dhania) Leaves - chopped,1 tablespoon Mint Leaves (Pudina) - chopped,1 teaspoon Red Chilli powder,1/4 teaspoon Fennel seeds (Saunf),Salt - to taste</t>
  </si>
  <si>
    <t xml:space="preserve">To begin making Healthy Kabuli Chana Pakora Recipe first prep all the ingredients and keep aside.Take the soaked kabuli chana, drain all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 Kuzhi paniyaram pan over medium heat, add 1/4 teaspoon of oil in each of the cavities of the pan.Spoon a tablespoon of Kabuli Chana Pakora mixture into each of the cavities of the pan.Cook Kabuli Chana Pakora on medium high heat and turn them once they turn golden brown on one side. This will take about three minutes. Cook the other side of the pakoras till they turn golden brown as well.Make sure the inside of the Kabuli Chana Pakora is well cooked and the outer covering is nice and crisp.Drain the well fried Kabuli Chana Pakoras on an absorbent paper and serve hot. Serve the Kabuli Chana Pakora as high tea snacks, or after school snacks to your kids along with Green Chutney Recipe - Coriander Mint Chutney Recipe or Date and Tamarind Chutney and Ginger Cardamom Chai.
</t>
  </si>
  <si>
    <t>https://www.archanaskitchen.com/healthy-kabuli-chana-pakora-recipe</t>
  </si>
  <si>
    <t>Methi Matar Malai</t>
  </si>
  <si>
    <t>250 grams fenugreek - finely chopped, 100 grams green peas - steamed, salt - according to taste, 1/2 teaspoon cumin seeds, 1 tomato - pureed, 1/2 cup hung curd, 1/2 teaspoon sugar, 1 teaspoon garam masala powder, 1 teaspoon turmeric powder, 1/2 teaspoon black pepper powder, 1 onion - chopped, 2 green chillies, 2 cloves garlic, 1 inch ginger, 6 almonds, 1 teaspoon poppy seeds</t>
  </si>
  <si>
    <t>"To make Methi Malai Matar, first of all put the ingredients given for making the paste in a mixer grinder and grind it. Now heat oil in a pan. Add fenugreek and salt to it. Cook till fenugreek becomes soft. After it becomes soft, remove it from the pan and keep it aside. Add some more oil in the same pan. Add the ground masala, salt and cook for 3 to 4 minutes. After that add turmeric powder, garam masala powder, black pepper powder and tomatoes. Mix it and let it cook for 1 minute. After 1 minute add hung curd and mix it. After 30 seconds add fenugreek and peas to it. Reduce the flame and cook for 2 to 3 minutes. Turn off the gas and serve hot. Serve Methi Malai Matar with Tomato Onion Cucumber Raita, Panchmel Dal and Phulkas for lunch."</t>
  </si>
  <si>
    <t>https://www.archanaskitchen.com/methi-matar-malai-recipe-in-hindi</t>
  </si>
  <si>
    <t>Moringa Masoor Dal Recipe</t>
  </si>
  <si>
    <t>1 cup masoor dal, 200 grams drumstick leaves - clean and chop, 1/4 teaspoon asafoetida, 1 teaspoon cumin seeds, 1 inch ginger - finely chopped, 1 green chilli - straight and thinly sliced, 1 tomato - chopped, 1 dry red chilli, 1/2 teaspoon turmeric powder, 1/2 teaspoon red chilli powder, 2 teaspoons coriander powder, salt - according to taste, 1 tablespoon ghee, 1 tablespoon lemon juice</t>
  </si>
  <si>
    <t>"To make Moringa Masoor Dal recipe, first wash the masoor dal and soak it in 3 cups of water for 30 minutes. Now wash the drumstick leaves and dry them well. Chop them finely and keep aside. Heat oil in a pan. Add drumstick leaves, salt, mix and cover the pan. Cook till the leaves become soft. It will take 2 to 3 minutes. Once done, turn off the gas and keep the drumstick leaves aside. Heat ghee in a pressure cooker. Add asafoetida, cumin seeds and cook till the cumin seeds crackle. Now add tomatoes, ginger, green chilies, coriander powder, turmeric powder, red chili powder and cook for 1 minute. After 1 minute add masoor dal with water, mix and close the cooker. Cook till 3 whistles, reduce the flame and let it cook for 5 minutes. After 5 minutes, turn off the gas and let the pressure release automatically. Open the cooker, add the cooked drumstick leaves in it Add leaves, lemon, mix and serve. Serve Moringa Masoor Dal Recipe with Pumpkin Capsicum, Rice and Phulkas for dinner. "</t>
  </si>
  <si>
    <t>https://www.archanaskitchen.com/moringa-masoor-dal-recipe-drumstick-leaves-dal-in-hindi</t>
  </si>
  <si>
    <t>Zarda Pulav Recipe (Rice Flavoured With Nuts And Saffron)</t>
  </si>
  <si>
    <t>1 Saffron strands - generous pinch,3 tablespoon Milk - coconut milk or almond milk,1 cup Basmati rice,2 Bay leaf (tej patta),2 Black cardamom (Badi Elaichi),2 tablespoons Ghee - plus 1 teaspoon Ghee (Vegans can use coconut oil),4 Cloves (Laung),4 Cardamom (Elaichi) Pods/Seeds,1 inch Cinnamon Stick (Dalchini),3/4 teaspoon Cardamom Powder (Elaichi),Nutmeg powder - a pinch,Whole cashews - chopped,Badam (Almond) - chopped,Pistachios - chopped,1/2 cup Sugar - + 2 tablespoons Sugar,Raisins - as required (for garnishing),Dry coconut (kopra) - sliced</t>
  </si>
  <si>
    <t xml:space="preserve">To begin making the Zarda Pulav recipes, warm the milk in a saucepan, add saffron and keep it aside for an hour so that the flavour of saffron is properly absorbed in the milk.Meanwhile, wash the rice with water properly. Once washed properly, soak it in required amount of water for about half an hour.Take 4 to 5 cups of water in a large saucepan, add one bay leaf and one black cardamom. Allow the water to come to a boil.Add a teaspoon of ghee and then add rice and gently stir it for 15 seconds. Par boil the rice i.e. cook it till it is cooked approximately eighty percent. (just as one would cook for layered biryani).Drain and sieve excess water in a colander and remove the rice on a wide plate to allow it to cool. (If you leave it in the colander, the rice will keep cooking gently in its own heat)In a heavy bottomed pan (so that rice does not stick to each other while cooking), heat the ghee and stir fry the cashews, almonds and pistachios for a few seconds till golden in colour (you can roast instead of frying them if you wish to). Remove on an absorbent sheet.In the same pan add cloves, black cardamom, bay leaf, green cardamom and cinnamon stick. Allow the spices to become aromatic. Add rice and very gently stir in the sugar along with saffron milk and cardamom powder {stir in gently so as not to break the rice grains}.Cover the pot and allow the contents to cook on low heat for approximately 10 minutes. Remove the pan from heat but do not open the lid of the pan. Keep it covered till you are ready to serve.Remove the lid and fluff the rice gently with a fork. Serve hot, garnished with assorted nuts and if you may, add some dry coconut slices and raisins.  Serve Zarda Pulav along with Smoked Dal Makhani Dhaba Style Recipe, Paneer Butter Masala, Jeera Rice and Tawa Paratha for a special weekend meal or you can even make it for your Pot Luck parties.
</t>
  </si>
  <si>
    <t>https://www.archanaskitchen.com/zarda-pulav-recipe-rice-flavoured-with-nuts-and-saffron</t>
  </si>
  <si>
    <t>Besan Halwa Recipe</t>
  </si>
  <si>
    <t>1 cup Gram flour (besan),1/2 cup Ghee,1/2 cup Sugar,2-1/2 cups Water,1 teaspoon Cardamom Powder (Elaichi),1 tablespoon Badam (Almond) - chopped or sliced</t>
  </si>
  <si>
    <t xml:space="preserve">To begin making Besan Ka Halwa Recipe, heat a heavy bottomed pan on medium heat; melt the one cup of ghee and stir in the besan flour and roast the mixture on medium heat.Continue to roast until the mixture begins to release a roasted aroma and changes color to a roasted brown; the process will take about five minutes.Keep stirring continuously while it is roasting. The mixture will begin to resemble like coarse crumbles. Turn the heat to lowIn another sauce pan, combine the water and sugar and bring the mixture to a boil. Once it comes to a boil, stir in the cardamom powder. Slowly start stirring in the prepared sugar hot water to the mixture. The besan halwa will start splitting and curdling. Continue stirring until the besan halwa thickens, but yet feels coarse and not like a blob of dough.Stir continuously for 5 to 10 minutes on medium heat until the besan halwa comes away from the sides of the pan.Turn off the heat, stir in the chopped almonds to the besan halwa and serve hot.Serve Besan Ka Halwa after a delicious meal of Dal Makhani, Paneer Butter Masala, Garlic Naan and Jeera Rice for a weekend meal.
</t>
  </si>
  <si>
    <t>https://www.archanaskitchen.com/besan-halwa-recipe</t>
  </si>
  <si>
    <t>Chatpata Baby Potato Recipe</t>
  </si>
  <si>
    <t>12 Baby Potatoes - boiled and peeled,1 tablespoon Coriander (Dhania) Seeds,1 tablespoon Cumin seeds (Jeera),1/2 tablespoon Fennel seeds (Saunf),1/2 tablespoon Whole Black Peppercorns,2 Dry Red Chillies,Sunflower Oil - as required,1-1/2 tablespoon Ginger Garlic Paste,1-1/2 tablespoon Tamarind Paste,1/4 tablespoon Sugar,3 tablespoons Water,Salt - to taste,Coriander (Dhania) Leaves - as required</t>
  </si>
  <si>
    <t xml:space="preserve">To begin making the Chatpata Baby Potato Recipe, heat a heavy bottomed pan.Once done, add in the coriander seeds, cumin seeds, fennel seeds, black peppercorn and dry red chillies. Roast them for few seconds.Add all roasted dry masala in grinder and turn them into a coarse powder.Heat oil in a wok/kadhai. Add asafoetida and after few seconds, add ginger garlic paste. Saute it properly. This will take about 1 to 2 minutes.Add baby potato and cook them till the colour of baby potatoes turn into golden brown.Meanwhile, mix tamarind paste and sugar in water and add into the potatoes. Add salt to taste and the roasted dry masala. Mix and cook the Chatpata Aloo for two more minute and serve hot.Serve Chatpata Baby Potato along with Panchmel Dal, Lauki Raita and Pudina Tawa Paratha for a weekday meal.
</t>
  </si>
  <si>
    <t>http://www.archanaskitchen.com/chatpata-baby-potato-recipe</t>
  </si>
  <si>
    <t>Semiya Kesari Recipe</t>
  </si>
  <si>
    <t>2 cups Hot water,1 cup Semiya (Vermicelli),1/4 cup Sugar,3 tablespoons Cashew nuts - halved,3 tablespoons Raisins,1/4 teaspoon Cardamom Powder (Elaichi),2 Saffron strands,2 teaspoon Ghee - + 1/4 cup</t>
  </si>
  <si>
    <t xml:space="preserve">To begin making the Semiya Kesari Recipe, in a heavy bottomed saucepan; add a teaspoon of ghee roast the vermicelli on low heat until you get a roasted aroma. Meanwhile boil water in a saucepan. Add in the sugar, cardamom powder, saffron and stir until the sugar dissolves completely.When it comes to a boil, add in the roasted vermicelli, turn the heat to low and simmer and cook until the semiya is cooked completely.Once done, add in 1/4 cup ghee and mix it properly and let it cook for another 2 minutes. While the Semiya is simmering, we will roast the cashew nuts. In a small pan, add a teaspoon of ghee on low heat; add in the cashew nuts and roast until crisp and golden. Add in the raisins, stir for a few seconds and keep aside.Turn off the heat and finally garnish the Semiya Kesari with the roasted cashew nuts and serve the Semiya hot or cold as desired.Serve the Semiya Kesari Recipe after a meal of Hyderabadi Biryani and Tomato Onion Cucumber Raita for your Sunday lunch.
</t>
  </si>
  <si>
    <t>https://www.archanaskitchen.com/semiya-kesari-recipe</t>
  </si>
  <si>
    <t>Khatta Meetha Tamatar Sabzi Recipe - A Chutney Style Dry Sabzi</t>
  </si>
  <si>
    <t>1 tablespoon Mustard oil,1/2 teaspoon Mustard seeds,1/2 Fennel seeds (Saunf),1/2 Cumin seeds (Jeera),1/4 Kalonji (Onion Nigella Seeds),1/4 Methi Seeds (Fenugreek Seeds),1 inch Ginger - finely chopped,6 cloves Garlic - finely chopped,2 Green Chillies - finely chopped,1 Onion - finely chopped,4 Tomatoes - finely chopped,1 teaspoon Amchur (Dry Mango Powder),1 teaspoon Cumin powder (Jeera),1 teaspoon Garam masala powder,1 teaspoon Red Chilli powder,2 teaspoons Jaggery,1 tablespoon Coriander (Dhania) Leaves,1 tablespoon Mint Leaves (Pudina)</t>
  </si>
  <si>
    <t xml:space="preserve">To begin making the Khatta Meetha Tamatar Sabzi, heat the mustard oil in a kadai on high heat.Once it reaches smoking point, reduce the flame, now add the mustard seeds, fennel seeds, cumin seeds, onion seeds and fenugreek seeds.When these seeds begin to sizzle, quickly add the ginger, garlic and green chilli and give it a good stir.When the garlic turns brown in colour, add the onions and saute for a couple of minutes.Once the onions are translucent and cooked,add tomatoes, cover the pan and cook for 5-7 minutes or until the tomatoes turn soft and mushy. You can use a potato masher or the back of the ladle to mash the tomatoes once they turn soft.Open the lid and add all the dry masalas to the tamatar Sabzi, amchur powder, cumin powder, garam masala powder and red chilli powder. Mix well to combine. Finally add the jaggery and sprinkle some water, add in the coriander and mint leaves and give it a good mix.Serve this Khatta Meetha Tamatar Sabzi along with Puri Recipe (Puffed Fried Indian Bread) and Palak Raita Recipe (Spinach Yogurt Salad) for a simple weeknight dinner.
</t>
  </si>
  <si>
    <t>https://www.archanaskitchen.com/khatta-meetha-tamaatar-sabzi-recipe</t>
  </si>
  <si>
    <t>Masoor Dal Kebabs Recipe</t>
  </si>
  <si>
    <t>2 Potatoes (Aloo) - skin peeled and boiled,1 cup Masoor Dal (Whole) - soaked for at least 6 hours,1 teaspoon Cumin seeds (Jeera),1 Onion - chopped,1 Green Chilli - chopped,4 cloves Garlic - chopped,1 inch Ginger - chopped,1 teaspoon Turmeric powder (Haldi),1 teaspoon Red Chilli powder,3 teaspoons Garam masala powder,Salt - to taste,Sunflower Oil</t>
  </si>
  <si>
    <t xml:space="preserve">To begin making the Masoor Dal Kebabs Recipe, pressure cook the peeled potatoes separately first in a pressure cooker with 1/4 cup of water, salt an pinch for at least 4 whistle. The potatoes need to be completely soft and easy to mash. Once done, allow the pressure to release naturally and take the potatoes out and place it in a mixing bowl. Once it has cool down you can mash it well. Now cook soaked masoor dal with 2 cups of water, salt to taste for at least 6-8 whistle, once done allow the pressure to release naturally, drain out the excess water and you can use the water that has been drained out for your dals, curries etc, to give your dish a healthy touch.Mash the masoor dal also coarsely and them along with the potatoes and mix well. Heat a sauce pan with oil, add cumin seeds and allow it to crackle for few seconds.Add chopped garlic, ginger and saute until they soften. Add onions and green chilli and saute until the onions turn translucent.Add turmeric powder, red chilli powder, garam masala powder, salt and give it a stir.Add mashed potato and masoor dal and slowly mix well until all the masala is evenly coated. Keep mixing until the kebab mixture combines together.Leave it to dry and switch off the heat. Once the mixture is cooled down, pinch out a small portion of the mixture and start shaping them into cylindrical shapes. Do the same for the rest of the mixture.Heat a flat skillet with 3 tablespoon oil, add the kebabs slowly and keep turning it over until it crisps up evenly on all the side.Serve the Masoor Dal Kebabs Recipe along with Hyderabadi Vegetable Biryani Recipe,Tomato Onion Cucumber Raita Recipe or it can simply serve with a yogurt dip to enjoy it for your appetizers.
</t>
  </si>
  <si>
    <t>http://www.archanaskitchen.com/masoor-dal-kebabs-recipe</t>
  </si>
  <si>
    <t>Soya Methi Palak Ki Sabzi Recipe</t>
  </si>
  <si>
    <t>2 cups Spinach Leaves (Palak) - roughly chopped,100 grams Soy Chunks (Nuggets),1 cup Methi Leaves (Fenugreek Leaves) - roughly chopped,1/2 cup Onion - chopped,3/4 cup Homemade tomato puree,2 cloves Garlic - finely chopped,1 inch Ginger - finely chopped,2 Green Chillies - slit lengthwise,Salt - as per taste,1 teaspoon Cumin powder (Jeera),1 teaspoon Garam masala powder,2 teaspoons Butter,2 Garlic - thinly sliced,3 Dry Red Chillies,1 tablespoon Sunflower Oil</t>
  </si>
  <si>
    <t xml:space="preserve">To begin making the Soya Methi Palak Ki Sabzi Recipe, firstly soak the soya chunks in a bowl of hot boiling water. Transfer the soy chunks along with the water into a  pressure cooker and pressure cook for one whistle. Turn off the flame. Allow the pressure to release naturally. Drain the water and set the soya chunks aside. Heat a pressure cooker with oil on medium flame, add ginger, green chillies, spinach along with 2 tablespoons of water and pressure cook for 2 whistles. Turn off the flame and allow the pressure to release naturally. Once cooled, transfer the ginger, green chillies, spinach into a mixer jar and grind into a paste. Set aside. Heat butter in a pan on low flame, add chopped garlic and saute for about 30 seconds or until it turns light brown. Once done add finely chopped onions and saute till it turns transparent, this will take about 2-3 minutes. Once the onion-garlic is well cooked, add tomato puree and mix well. Cover and cook for 2 minutes. At this stage open the lid, and add the methi leaves, continue to cook, stirring occasionally. Once the methi leaves have cooked add in the spinach puree, cooked soya chunks, salt, cumin powder , garam masala and give it a good stir. Once Soya Methi Palak Ki Sabzi is well combined bring to a boil and turn off the heat.Serve Soya Methi Palak Ki Sabzi Recipe along with Jowar Atta Roti Recipe - Sorghum Wheat Phulka Recipe, Pudina Pyaz Kachumber Salad Recipe and Beetroot Carrot Raita Recipe for a complete diabetic meal.
</t>
  </si>
  <si>
    <t>http://www.archanaskitchen.com/soya-methi-palak-ki-sabzi-recipe</t>
  </si>
  <si>
    <t>Tandoori Style Soya Chaap Curry Recipe</t>
  </si>
  <si>
    <t>6 Soya Chaap,1 Tablespoon Ginger Garlic Paste,1/2 cup Curd (Dahi / Yogurt),1 Red Bell pepper (Capsicum),1/4 cup Cheese - grated,4 Green Chillies,1 teaspoon Garam masala powder,1 teaspoon Tandoori masala,1/2 teaspoon Red Chilli powder,1/4 teaspoon Kashmiri Red Chilli Powder,Coriander (Dhania) Leaves - Fresh (chopped),Salt - to taste,Sunflower Oil - as required</t>
  </si>
  <si>
    <t xml:space="preserve">To begin making the Tandoori Style Soya Chaap Curry recipe, first remove the sticks from Soya chaap and dice them small circular pieces.Next, take a bowl and add diced soya chaap, ginger garlic paste, and salt together. Use your hands to rub the mixture on soya chaap. Let it marinate for 15 minutes.Meanwhile, take the red pepper and keep it directly on gas (fire) for roasting. Roast till it gets charred from all the sides. Let it cool down for few minutes. Use your hands to remove the burnt skin from the pepper. Grind the roasted pepper &amp; green chillies together.Now take the marinated soya chaaps and add red pepper paste, whisked yogurt, grated cheese and all the spices into it. Give it a good stir so that soya chunks are properly coated. Cover the bowl with a cling film &amp; leave it for another 15 minutes of marination. Once marinated, then heat up oil in pan and first add the soya chunks in order to fry them. Cook them for 7-8 minutes and then add the left over marinade into the pan. Cook on low heat till the gravy starts thickening.Adjust salt as per your taste and turn off the heat. Garnish it with some fresh coriander leaves and serve hot.Serve Tandoori Style Soya Chaap Curry along with Tomato Onion Cucumber Raita and Whole Wheat Lachha Paratha for a weekday meal.
</t>
  </si>
  <si>
    <t>https://www.archanaskitchen.com/tandoori-style-soya-chaap-curry-recipe</t>
  </si>
  <si>
    <t>Uttaranchal Style Garwhali Kafuli Recipe (Spinach Curry)</t>
  </si>
  <si>
    <t>2 cups Spinach Leaves (Palak),1 cup Methi Leaves (Fenugreek Leaves),2 Green Chilli - chopped,1 inch Ginger - chopped,1 teaspoon Cumin powder (Jeera),1/2 teaspoon Turmeric powder (Haldi),1 teaspoon Coriander Powder (Dhania),1 pinch Asafoetida (hing),1 tablespoon Rice flour,1/4 cup Curd (Dahi / Yogurt),Salt - to taste,Sunflower Oil</t>
  </si>
  <si>
    <t xml:space="preserve">To begin making the Uttaranchal Style Garwhali Kafuli Recipe, wash the spinach leaves and fenugreek leaves and chop them.Add the leaves along with green chilli, salt and little bit of water and pressure cook for about 2 whistle till done.Allow the pressure to release naturally and cool the leaves for some time and blitz it in the grinder till it forms a smooth paste.Heat a kadai with oil, add ginger allow it soften. Add ground spinach paste and keep stirring.You can also add in spice powder and salt and give a stir. In a separate bowl mix rice flour with 1/2 cup of water and stir in into the gravy mixture.Also add in the beaten curd and keep stirring until the gravy thickens. Check for salt and garnish it with ginger. Serve the Uttaranchal Style Garwhali Kafuli Recipe along with a Baby corn and Carrot Subzi and Missi Roti by the side to make it a complete meal.
</t>
  </si>
  <si>
    <t>http://www.archanaskitchen.com/uttaranchal-style-garwhali-kafuli-recipe-spinach-curry</t>
  </si>
  <si>
    <t>Authentic Nimki Recipe - Evening Tea Time Snack</t>
  </si>
  <si>
    <t>2 cups All Purpose Flour (Maida),1 teaspoon Salt,1/4 cup Ghee - or oil,1 teaspoon Ajwain (Carom seeds),2 tablespoons Ghee,2 tablespoons Chaat Masala Powder,Sunflower Oil - for deep frying</t>
  </si>
  <si>
    <t xml:space="preserve">To begin making the Nimki (Mathri) recipe, we will first make the dough for the Nimki.In a large mixing bowl, add all purpose flour, oil or ghee, salt and ajwain. Combine the flour well into the ghee until you get a crumbly mixture.Add little water at a time and knead to make a very stiff nimki dough. Cover the dough and keep aside for 30 minutes. After 30 minutes of resting, divide the dough into 20 equal balls.Roll each ball into a 4 inch disc. Apply little ghee on the disc and sprinkle some chaat masala.Fold the disc to make a semi circle, apply little ghee on the semicircle and fold once again to make a triangle. Prick the Nimki (Mathri) with a fork on both sides, so they that they don’t open and fluff up while deep frying them. Make the remaining portions of the mathri in the same manner.Heat oil for deep frying. When the oil is slightly hot, add a few Nimki (Mathri) at a time and fry on low heat until golden brown and crisp. Do make sure to fry on low to medium heat, else the Nimki will feel raw from the inside and crisp from the outside.Keep turning the Nimki (Mathri) while frying. Once done, drain the excess oil and place them on paper towels and allow them to cool. Once cooled, store the Nimki (Mathri) in an airtight container for up to a month.Serve the Parti Mathri or Nimki with ginger tea or mango pickle as a tea time snack or make it for the festival like Diwali, Holi or any other special occasion.
</t>
  </si>
  <si>
    <t>https://www.archanaskitchen.com/authentic-nimki-recipe-evening-tea-time-snack</t>
  </si>
  <si>
    <t>Achari Gosht Recipe</t>
  </si>
  <si>
    <t>300 grams Mutton,1/2 cup Curd (Dahi / Yogurt),1 teaspoon Red Chilli powder,1 tablespoon Coriander Powder (Dhania),1 tablespoon Garam masala powder,1/2 teaspoon Turmeric powder (Haldi),Salt - adjust according to taste,2 teaspoons Sunflower Oil,2 Tomatoes - chopped,2 Onions - sliced,1 Green Chilli,1 teaspoon Mustard seeds,1 teaspoon Kalonji (Onion Nigella Seeds),1 teaspoon Fennel seeds (Saunf),1 teaspoon Cumin seeds (Jeera),1 teaspoon Methi Seeds (Fenugreek Seeds),2 Dry Red Chillies</t>
  </si>
  <si>
    <t xml:space="preserve">To begin making the Achari Gosht Recipe, in a large bowl add the curd, red chilli powder, coriander powder, garam masala powder and turmeric powder and mix them well together. Place the mutton pieces in this curd mixture and coat the mutton with the curd/marinade mixture. Keep it aside for at least 1 hour.In a mixer, add onions, tomatoes and green chillies and grind to a smooth paste and keep it aside.In a skillet, add all the ingredients to prepare the achari masala and roast the whole spices on a medium flame for 10 minutes until the seeds start popping out.Take the skillet off the heat and let the spices cool to room temperature. Grind this into a coarse powder in a mixer and keep it aside.In a pressure cooker pan, heat some oil, add the ground tomato and onions mixture and saute till they lose their raw smell.Add in the achari masala and saute for some more time. Add in the marinated mutton pieces and keep cooking till the curd loses its moisture.Check for salt and add about 1 cup of water and pressure cook for atleast 5 whistles.Serve the Achari Gosht Recipe along with Garlic Naan Without Yeast Recipe and pickled onions and Tadka Dal to make it a complete dish.
</t>
  </si>
  <si>
    <t>http://www.archanaskitchen.com/achari-gosht-recipe</t>
  </si>
  <si>
    <t>Achari Aloo Gobi Recipe - Spicy Indian Cauliflower Stir Fry</t>
  </si>
  <si>
    <t>1 Cauliflower (gobi) - cut into florets,2 Potatoes (Aloo) - boiled and peeled,2 tablespoons Mustard oil,2 Green Chillies - slit lengthwise,1 inch Ginger - grated,1 Onion - sliced,1 teaspoon Achari masala,1 teaspoon Amchur (Dry Mango Powder),1 teaspoon Turmeric powder (Haldi),Salt - to taste,Red Chilli powder - to taste,1 Dry Red Chilli,1 teaspoon Coriander (Dhania) Seeds,1/2 teaspoon Kalonji (Onion Nigella Seeds),2 teaspoons Fennel seeds (Saunf),1 teaspoon Mustard seeds,2 teaspoon Cumin seeds (Jeera),1/2 teaspoon Methi Seeds (Fenugreek Seeds)</t>
  </si>
  <si>
    <t xml:space="preserve">To begin making the Achari Aloo Gobi Recipe, we will first cook the boil the potatoes until firm. You can pressure cook the potatoes with just a little water for a couple of whistles and turn off the heat. Once the potatoes are cooked, peel and dice the potatoes. Keep aside.Steam the cauliflower florets in a steamer until just about cooked and keep aside. The next step is to make the Achaari Masala.In a small pan or skillet, roast all the ingredients for the achaari masala until you get a roasted aroma for about a couple of minutes. Once roasted, turn off the heat and cool the ingredients and blend to make the achaari masala powder.In a kadai or pan, heat mustard oil on medium heat. Add green chilies, ginger and onions and saute until the onions are translucent. Add all the turmeric powder, achaari masala powder, salt, amchur powder, cauliflower and potatoes. Add a splash of water, mix to combine all the ingredients, cover with a lid and cook for 5-8 minutes on low to medium heat until all the masala has combined well and the gobi and aloo are cooked through and absorbed masala.Check for salt and spiced and adjust to suit your taste. Turn off the heat, stir in the chopped coriander leaves and transfer to a serving bowl.Serve the Achari Aloo Gobi along with Phulka's and Tomato Onion Cucumber Raita for a quick weeknight dinner.
</t>
  </si>
  <si>
    <t>http://www.archanaskitchen.com/achaari-aloo-gobi-recipe-cauliflower-in-pickling-spices-indian-vegetarian</t>
  </si>
  <si>
    <t>Dhania Murgh Makhani Recipe</t>
  </si>
  <si>
    <t>300 grams Chicken drumstick - cut into small pieces,2 Potatoes (Aloo) - skin peeled and cubed,1 Cardamom (Elaichi) Pods/Seeds,2 inch Cinnamon Stick (Dalchini),1 teaspoon Cumin seeds (Jeera),1 Onion - sliced,1 teaspoon Turmeric powder (Haldi),1 Lemon juice,1 tablespoon Garam masala powder,1 teaspoon Amchur (Dry Mango Powder),1 cup Curd (Dahi / Yogurt),Salt - to taste,2 Onions - sliced,1 Tomato - chopped,1/2 cup Coriander (Dhania) Leaves,1 inch Ginger - chopped,4 cloves Garlic,2 Green Chilli - chopped</t>
  </si>
  <si>
    <t xml:space="preserve">To begin making the Dhania Murgh Makhani Recipe, we will wash the chicken pieces thoroughly and marinate with turmeric powder, salt and lemon juice in a bowl.Heat pan with oil, add sliced onions and saute until it softens, add tomatoes and saute them as well until it is thoroughly mashed.Switch off the heat once done and allow it cool down. Grind the sautéed onions and tomatoes along with coriander leaves, green chilli, garlic and ginger into a fine paste by adding some water.Heat a pressure cooker with oil, add whole spice like cinnamon and cardamom pods and add a teaspoon of cumin seeds and allow it to crackle for few seconds.Add sliced onions and saute until it softens. Add chopped potatoes, chicken, ground masala paste along with all the spice powders. Check for salt.Saute for about 5 minutes until the masala is coated well. Add curd and give one last stir. If the water is not enough for the chicken to cook, add about 1 cup water and pressure cook it for 4 whistle until done.Serve the Dhania Murgh Makhani along with garlic naan, steamed rice and a vegetarian subzi to go along with curry for your Sunday meal.
</t>
  </si>
  <si>
    <t>http://www.archanaskitchen.com/dhania-murgh-makhani-recipe</t>
  </si>
  <si>
    <t>Til Ke Laddu Recipe (Sesame Seeds Laddu Recipe)</t>
  </si>
  <si>
    <t>250 grams Sesame seeds (Til seeds) - 2 cups,250 grams Jaggery,1/2 cup Dessicated Coconut,1/2 cup Roasted Peanuts (Moongphali) - crushed,1 teaspoon Cardamom Powder (Elaichi),2 tablespoon Ghee</t>
  </si>
  <si>
    <t xml:space="preserve">We begin making the Til Ke Laddu Recipe (Sesame Seeds Laddu Recipe) by heating a flat nonstick Kadai. Keep it in a medium heat, add the sesame seeds and dry roast them till it changes colour. Remove and keep it aside.Then add the peanuts and dry roast them till it is brown. Remove from the flame and let it cool down, and ground it into a coarse mixture using mortar pestle.In the same pan, dry roast the desiccated coconut till it is golden brown and keep it aside.Mix all the 3 ingredients together along with cardamom powder and keep it aside.Next to prepare the jaggery syrup, heat the kadai and add the powdered jaggery with ½ cup water and keep stirring till all the lumps is mixed well.Keep stirring till it boils and reaches a soft boil stage. Which means when you add a drop of jaggery syrup on the table it has to stay in the shape of a drop and not spread. You can also check by add the the drops of jaggery into a bowl containing water, once you remove the jaggery out it should be sticky and have the soft ball shape.At this point switch of the flame, add the dry roasted mixture carefully and mix well. Take the pan away from the heat and keep it on the kitchen slab.You can wait for few minutes or when it is hot only, apply some ghee on to your palm and start making small balls and keep it on a plate to hold its shape.Serve the Til Ke Laddu Recipe (Sesame Seeds Laddu Recipe) as a Party Dessert for any festival occasion.
</t>
  </si>
  <si>
    <t>https://www.archanaskitchen.com/til-ke-laddu-recipe-sesame-seeds-laddu-recipe</t>
  </si>
  <si>
    <t>Baby Corn Butter Masala Recipe</t>
  </si>
  <si>
    <t>500 grams Baby corn - cut into slices,3 Tomatoes - pureed,1 teaspoon Red Chilli powder,1 teaspoon Cumin powder (Jeera),1 teaspoon Garam masala powder,1/4 cup Fresh cream,2 tablespoons Butter,Salt - to taste,1 teaspoon Kasuri Methi (Dried Fenugreek Leaves),Sunflower Oil - or butter will also do,1 Onion,1 inch Ginger - peeled,6 cloves Garlic,2 tablespoon Cashew nuts</t>
  </si>
  <si>
    <t xml:space="preserve">To begin making the Baby Corn Butter Masala Recipe in a mixer grinder the ingredients mentioned under 'to be ground into paste' to a smooth consistency including onion, ginger, garlic, cashew using a little water. Transfer to a bowl and set aside till required.Heat the butter in a curry pan over medium heat. Add baby corn and stir fry for at least 10 minutes until it well roasted and is cooked.Once the baby corn is cooked you can take them out and place it in a bowl.Into the same pan, add some more oil, add onion paste and saute over medium heat till it is light brown in color and the oil starts separating from the masala.Add the red chili powder and tomato puree, saute once again few more minutes over medium heat. As the masala gets roasted it will change color to bright red.Once the masala gets well roasted, add the cumin powder, garam masala along with 1 cup of water. Stir to combine and let the butter masala gravy simmer for 10 to 15 minutes over medium heat or till it thickens.Once the butter masala thickens add the cream, salt and baby corn to it. Stir to combine and simmer for next 5 - 10 minutes and allow the baby corn to absorb the flavor of the gravy.If the Baby corn Butter Masala still seems little bit runny let it simmer for few more minutes. Turn off the heat. Sprinkle crushed kasuri methi over the Baby Corn Butter Masala and stir to combine.Serve the Baby Corn Butter Masala Recipe along with your favorite Indian Bread, Jeera Pulao, Papad and Tomato Onion Cucumber Raita to me a complete dinner for your family.
</t>
  </si>
  <si>
    <t>https://www.archanaskitchen.com/baby-corn-butter-masala-recipe</t>
  </si>
  <si>
    <t>Kadai Vegetable Sabzi Recipe (Mixed Vegetable Saute with Spices)</t>
  </si>
  <si>
    <t>200 grams Cauliflower (gobi) - small florets steamed,2 Carrots (Gajjar) - diced or sliced,100 grams Green beans (French Beans) - cut into 1 inch pieces,1 Onion - diced,1 Green Bell Pepper (Capsicum) - diced,3 cloves Garlic - grated,1 inch Ginger - grated,1/2 cup Homemade tomato puree -  or 2 large tomatoes diced,1 teaspoon Cardamom Powder (Elaichi),1 teaspoon Turmeric powder (Haldi),1 teaspoon Coriander Powder (Dhania),1/2 teaspoon Garam masala powder,1 teaspoon Red Chilli powder,1 tablespoon Kasuri Methi (Dried Fenugreek Leaves),Sunflower Oil - for cooking,1 tablespoon Butter,Salt - to taste</t>
  </si>
  <si>
    <t xml:space="preserve">To begin making the Kadai Vegetable Sabzi, we will first steam all the vegetables (carrots, beans and cauliflower). You can use a steamer or a pressure cooker to steam your vegetables. See the video recipe of how to steam vegetables in a pressure cooker. If using a pressure cooker, you just have to add 3 tablespoons of water and not more. Next once the vegetables are steamed, keep them aside.Next in a large kadai or a wok or a heavy bottomed pan; add in a tablespoon of oil. Add in the grated ginger, garlic, onions and capsicum. Stir fry on medium high heat until the onions and capsicum have become lightly lender but are still a little crisp.Once the onions and capsicum have reached the texture that you desire; add in the tomato puree and the masalas (coriander, turmeric, cardamom, garam masala and red chilli powder)Saute all the ingredient and wait for the tomatoes to come to a quick boil. After which add in the steamed vegetables, check the salt and spice levels and give all the ingredients a stir.Finally add in the dried fenugreek leaves (kasuri methi). Cover the pan, turn the heat to low and simmer the Kadai Vegetable Sabzi for about 3 to 5 minutes.Turn off the heat and trasfter the kadai sabzi to a serving platter.
</t>
  </si>
  <si>
    <t>http://www.archanaskitchen.com/kadai-vegetable-sabzi-recipe-mixed-vegetable-saute-with-spices</t>
  </si>
  <si>
    <t>Gawar Phali Methi Ki Sabzi Recipe -Cluster Beans Methi Sabzi</t>
  </si>
  <si>
    <t>1 cup Methi Leaves (Fenugreek Leaves) - chopped,300 grams Gawar Phali (Kothavarangai / Cluster beans) - cut small,1 Onion - chopped,1 Tomato - chopped,4 cloves Garlic - chopped,1 inch Ginger - chopped,1 teaspoon Red Chilli powder,1/2 teaspoon Turmeric powder (Haldi),1 teaspoon Coriander Powder (Dhania),1 teaspoon Garam masala powder,Salt - to taste,1 teaspoon Jaggery,Sunflower Oil</t>
  </si>
  <si>
    <t xml:space="preserve">To begin making the Gawar Phali Methi Ki Sabzi Recipe, chop the cluster beans/ gawar phali and keep it ready.Add the chopped vegetables into a pressure cooker with 3 tablespoons of water along with some salt to taste. Pressure cook for 2 whistles and release the pressure immediately. Open the lid of the pressure cooker to maintain the green color of the vegetable.Heat a pan with oil, add ginger &amp; garlic and saute till they turn soft. Add in onions and saute and cook till the onions turn translucent.Once the onions are soft, you can add chopped tomatoes now and add a pinch of salt and cook till the tomatoes turn mushy.Add chopped methi leaves and saute till the leaves wilt, this will take about 3 minutes.Once done, add the cooked Gawar Phali, along with red chilli powder, turmeric, coriander, garam masala powder and sugar.Mix well, saute for about a minute until all the ingredients are well combined. Give the Gawar Phali Methi Ki Sabzi a taste and adjust the salt and spices accordingly.  Turn off the heat.Transfer the Gawar Phali Methi Ki Sabzi to a serving bowl and serve hot.Serve the Gawar Phali Methi Ki Sabzi Recipe along with Lauki Chana Dal, Palak Ragi &amp; Oats Wheat Thepla , and Cauliflower &amp; Cucumber Raita to make your meal complete for your weekday lunch.
</t>
  </si>
  <si>
    <t>http://www.archanaskitchen.com/gawar-phali-methi-ki-sabzi-recipe-cluster-beans-methi-sabzi</t>
  </si>
  <si>
    <t>One Pot Aloo Gobi Sabzi Recipe Using Preethi Electric Pressure Cooker</t>
  </si>
  <si>
    <t>2 Potatoes (Aloo) - peeled and cubed,1 Cauliflower (gobi) - washed and cut into florets,1 inch Ginger - grated,2 Tomatoes - pureed,1/2 teaspoon Cumin seeds (Jeera),1 teaspoon Turmeric powder (Haldi),1 teaspoon Garam masala powder,2 Cardamom (Elaichi) Pods/Seeds,1/4 teaspoon Red Chilli powder,2 sprig Coriander (Dhania) Leaves - finely chopped,Sunflower Oil - as required,Salt - to taste</t>
  </si>
  <si>
    <t xml:space="preserve">To begin making the One Pot Aloo Gobi Ki Sabzi Recipe in the Preethi Electric Pressure Cooker, heat oil in pan and make the setting to the gravy mode; add cumin seeds, ginger, cardamom pods. Allow the cumin seeds to crackle.Once the cumin seeds crackle for a few seconds, add the tomatoes, aloo, gobi, salt, chilli powder, turmeric powder, garam masala and 1/4 cup of water.Stir to combine all the aloo gobi ingredients. Lock the lid in place. Set the timer for 20 minutes and allow it to cook until you hear the beep sound.Once the aloo gobi sabzi is done, allow the pressure to release naturally. Check the salt and pepper to taste and transfer Aloo Gobi sabzi to serving dish and serve warm.Serve the One Pot Aloo Gobi Sabzi along with Traditional Punjabi Kadhi with Methi  and Chawal for a quick weeknight dinner.
</t>
  </si>
  <si>
    <t>http://www.archanaskitchen.com/one-pot-aloo-gobi-sabzi-recipe-using-electric-pressure-cooker</t>
  </si>
  <si>
    <t>2 cups green peas - steam, 1/2 cup paneer - cut into small pieces, 1 tsp cumin seeds, asafoetida - a pinch, 1 tbsp oil, salt - according to taste, 2 cups coriander leaves, 2 green chillies, 5 cloves garlic, 1 inch ginger, 1 tbsp lemon juice</t>
  </si>
  <si>
    <t>"To make Hariyali Matar Recipe, first wash the green peas thoroughly. Steam them in a steamer and keep aside. Now grind coriander leaves, green chilies, garlic, ginger, lemon juice, some water in a mixer grinder. Keep aside. Now heat oil in a pan. Add asafoetida, cumin seeds and let them crackle. Now add green coriander masala and cook for 2 minutes. Now add green peas, salt, 1 cup water, mix and cook for 2 to 3 minutes. Now add paneer and mix well. Cook for 2 minutes and turn off the gas. Serve. Serve Hariyali Matar Recipe with Dal Tadka, Lauki Raita and Phulkas for lunch. "</t>
  </si>
  <si>
    <t>https://www.archanaskitchen.com/hariyali-matar-recipe-in-hindi</t>
  </si>
  <si>
    <t>Paneer Bhurji Gravy Recipe</t>
  </si>
  <si>
    <t>Sunflower Oil - as required,1/2 teaspoon Cumin seeds (Jeera),1/2 teaspoon Mustard seeds,1/4 teaspoon Asafoetida (hing),1 Bay leaves (tej patta),1 Star anise,1 Dry Red Chilli,2 Cloves (Laung),1 Black cardamom (Badi Elaichi),2 Cardamom (Elaichi) Pods/Seeds,1 Onion - finely chopped,1/2 tablespoon Ginger - paste,1/2 tablespoon Garlic - paste,1/4 cup Homemade tomato puree,1 Tomato - chopped,1 cup Paneer (Homemade Cottage Cheese) - crumbled,Coriander (Dhania) Leaves - few,1 teaspoon Red Chilli powder,1/2 teaspoon Turmeric powder (Haldi),1 teaspoon Coriander Powder (Dhania),1/2 teaspoon Garam masala powder,Salt - as required,Water - as required</t>
  </si>
  <si>
    <t xml:space="preserve">To begin making the Paneer Bhurji Gravy recipe, heat oil in a heavy bottomed pan. Add cumin seeds, mustard seeds, bay leaf, red dry chilli, black cardamom, green cardamom, star anise and hing.Once the mustard seeds splutter and the spices release a nice aroma, add the finely chopped onions. Cook them till they turn soft and translucent.Add the ginger garlic paste and let it cook for, once done add the finely chopped tomatoes and tomato puree.Cover with lid and let it cook it for about 3 to 4 minutes.Once the tomatoes are cooked and start coming together add the spices including red chilli powder, turmeric powder, coriander powder, garam masala and salt.Stir well to combine and let it cook for 5 minutes. After 5 minutes, add the crumbled paneer and the required water. Mix everything properly and let it simmer for three to four minutes and then turn off the heat.Once it is done, garnish with coriander leaves and serve hot. Serve Paneer Bhurji Gravy along with Bharwa Karela and Pudina Tawa Paratha for a delicious lunch or dinner on a weekday.
</t>
  </si>
  <si>
    <t>http://www.archanaskitchen.com/paneer-bhurji-gravy-recipe</t>
  </si>
  <si>
    <t>Butter Chicken With Tandoori Mayo Recipe</t>
  </si>
  <si>
    <t>400 grams Boneless chicken - cubed to bite size (2-inches),Butter - as required,Sunflower Oil - as required,2 tablespoon Del Monte Tandoori Mayo,1 tablespoon Cumin powder (Jeera),1 tablespoon Coriander Powder (Dhania),1 tablespoon Red Chilli powder,1/2 tablespoon Turmeric powder (Haldi),3/4 tablespoon Ginger - grated,3/4 tablespoon Garlic - grated,1 tablespoon Lemon juice,2 tablespoon Curd (Dahi / Yogurt),1 teaspoon Salt,2 Onion - chopped,5 Tomatoes - chopped,1 cup Water,1 teaspoon Turmeric powder (Haldi),1 teaspoon Red Chilli powder,1 teaspoon Coriander Powder (Dhania),1/2 teaspoon Cumin powder (Jeera),1/2 inch Ginger - peeled and finely chopped,1 Green Chilli - finely chopped,2 tablespoon Butter,1/2 teaspoon Sugar,1 tablespoon Del Monte Tandoori Mayo,4 tablespoon Fresh cream,1 teaspoon Sunflower Oil,Coriander (Dhania) Leaves,1 teaspoon Fresh cream,1 tablespoon Butter</t>
  </si>
  <si>
    <t xml:space="preserve">To prepare Butter Chicken With Tandoori Mayo Recipe, first marinate the chicken. In a mixing bowl, add the chicken pieces and all the ingredients mentioned in "For Marination" list.Combine all the ingredients together and mix well by applying the marinade to the chicken pieces.Close this bowl and leave it in the refrigerator for at least 2 hours.After the chicken gets marinated and when it is time to make the gravy, keep the marinated chicken out from the freezer.Now to prepare the pan fried chicken tikkas/kebabs, heat a kadai/wok with 2 teaspoon oil. Once the oil is heated, add 2 tablespoon butter and wait for it to melt.After butter gets melted, add the marinated chicken pieces and fry in batches till they are cooked. Add more butter if needed while frying.After frying remove the chicken kebabs/tikka and keep aside.To prepare tomato gravy for the butter chicken, boil the tomatoes for 10 minutes in a cup of water and switch off the gas.After cooling, add this to a mixer along with chopped onion and grind to a thin puree.In the pan, add a teaspoon of oil and 2 tablespoons butter. After the butter melts, add ginger and green chillies and saute for 2 minutes.Add the spice powders (turmeric powder, red chili powder, cumin powder and coriander powder) one by one and saute till they mix well and are aromatic.Now pour the tomato and onion puree and mix well with spices.Simmer on low flame till oil rises to the surface of the gravy and the color of the gravy changes.Add the chicken tikka pieces and mix well. Add 1/2 teaspoon sugar and mix well.Simmer the gravy for 10 minutes. Adjust salt. Now add fresh cream and Delmonte tandoori mayo, mix and simmer for 5 minutes.Garnish with cream, a knob of butter and coriander leaves. Serve with steamed Basmati rice, Naan or Pudina Tawa Paratha.
</t>
  </si>
  <si>
    <t>http://www.archanaskitchen.com/butter-chicken-with-tandoori-mayo-recipe</t>
  </si>
  <si>
    <t>Spicy and Tangy Mixed Vegetable Poha Recipe With Peanuts</t>
  </si>
  <si>
    <t>2 cups Poha (Flattened rice),1/2 teaspoon Mustard seeds,1/2 teaspoon Cumin seeds (Jeera),1 sprig Curry leaves - roughly torn,1 Onion - finely chopped,2 Green Chillies - finely chopped,1 inch Ginger - grated,1 Carrot (Gajjar) - finely chopped,1/2 cup Green Bell Pepper (Capsicum) - finely chopped,1/3 cup Green peas (Matar),3 tablespoons Roasted Peanuts (Moongphali),1 teaspoon Turmeric powder (Haldi),2 teaspoons Sugar,Salt - to taste,1 teaspoon Lemon juice,Coriander (Dhania) Leaves - a small bunch finely chopped,Figaro Pure Olive Oil - for cooking</t>
  </si>
  <si>
    <t xml:space="preserve">To begin making the Mixed Vegetable Poha Recipe, heat Figaro Pure Olive Oil in a pan, add the raw peanuts and roast  until crisp.  Keep the peanuts aside.Heat oil in a kadai, add the mustard and cumin seeds; allow it to crackle. Add the curry leaves, onions and saute until softened. Once the onions have softened, add the remaining vegetables, sprinkle some salt and water and allow it to steam cook.Place the poha in a colander and rinse it well under running water. Stir the poha gently by using your fingers while rinsing, otherwise they will become mushy at the time of cooking. Once washed set aside the poha.Stir in the turmeric powder, peanuts, salt and sugar. Stir to combine and finally add rinsed poha.Give the poha a gentle stir until all the ingredients come together. Turn the heat to low and cover the pan. Allow the mixed vegetable poha to cook in the steam along with the vegetables. This will take about 3 to 4 minutes.After 3 to 4 minutes, you will notice the poha has puffed up slightly. At this stage turn off the heat. Stir in the juice from one lemon and the coriander leaves.Check the salt and seasonings and adjust to suit your taste and serve.Serve the Mixed Vegetable Poha along with Bhujia, Fruits and a hot cup of Adrak Chai for a wholesome breakfast.
</t>
  </si>
  <si>
    <t>https://www.archanaskitchen.com/spicy-and-tangy-mixed-vegetable-poha-recipe-with-peanuts</t>
  </si>
  <si>
    <t>Dry Fruit Burfi Recipe With Gulkand</t>
  </si>
  <si>
    <t>1 1/2 cups Dried Figs - chopped,1 cup Dates - chopped,1/3 cup Badam (Almond),1/3 cup Cashew nuts,1/3 cup Walnuts,1/3 cup Pistachios,1/3 cup Raisins,2 tablespoons Gulkand,1/4 teaspoon Nutmeg powder,1 tablespoon Ghee,1 Edible Silver Foil/Leaf (Chandi Ka Vark) - optional</t>
  </si>
  <si>
    <t xml:space="preserve">To begin making the Dry Fruit Burfi With Gulkand Recipe, soak the chopped anjeer/dried figs in warm water for 15 minutes, strain water and pat dry well. Grind anjeer/figs along with the dates and raisins to smooth paste without adding any water. Keep it aside.Meanwhile finely chop almonds, cashewnuts, walnut and pista. You can also use a food processor or a mini chopped to fasten the process.Heat oil or ghee in a heavy bottomed pan, add anjeer dates paste mix well and saute for a minute.Next add chopped date and nut mixture, nutmeg powder, gulkand mixture and stir to combine well.Cook for a couple of minutes until you notice the burfi mixture coming away from the sides of the pan. Once you notice the burfi mixture comes away from the sides of the pan turn off the heat. Grease a tray with ghee and pour burfi mixture into the tray. Level it well with a spatula and allow mixture to cook completely and set itself into a firm burfi.Optionally add the silver varq if you are using and keep burfi in refrigerator for 20 to 30 minutes. Cut the Dry Fruit Burfi into desired shapes.Serve Dry Fruit Burfi With Gulkand as a festival dessert along with Jalebi and Samosas to your guests when they come to visit you.
</t>
  </si>
  <si>
    <t>http://www.archanaskitchen.com/dry-fruit-burfi-recipe-with-gulkand-diwali-mithai</t>
  </si>
  <si>
    <t>Punjabi Style Creamy Cauliflower And Peas Curry</t>
  </si>
  <si>
    <t>1 cabbage - chopped, 1/2 cup green peas, 1/8 tsp turmeric powder, 1/2 tsp coriander powder, 1 tsp red chili powder, 1/2 tsp garam masala powder, 2 onions, 4 tomatoes, 2 green chilies, 4 cloves of garlic, 1/2 inch ginger, 20 almonds - soak for 15 minutes and peel, 15 cashews, 1 tbsp oil, 1/2 tsp cumin seeds, green coriander - a little</t>
  </si>
  <si>
    <t>"To make Amritsari Gobi Matar Ki Sabzi, first grind all the ingredients given for the gravy and keep aside. Grind almonds and cashews in a mixer grinder along with 1/4 cup water. Keep aside. Now heat oil in a pan. Add cumin seeds and cook for 15 seconds. Add gravy puree, turmeric powder, red chili powder, coriander powder, salt and mix well. Cook for 5 to 7 minutes. After 7 minutes add cauliflower, green peas and mix well. Add 1/2 cup water and cook till cauliflower is cooked. Turn off the gas and garnish with coriander leaves. Serve Amritsari Gobi Matar Ki Sabzi with Daal Palak and Phulkas for lunch."</t>
  </si>
  <si>
    <t>http://www.archanaskitchen.com/punjabi-style-creamy-cauliflower-and-peas-curry-recipe-in-hindi</t>
  </si>
  <si>
    <t>Keema Kaleji Recipe- Mutton Liver Mince</t>
  </si>
  <si>
    <t>750 grams Mutton - minced,400 grams Mutton - Kaleji / Liver,4 Onions - finely chopped,2 tablespoon Ginger - minced,2-1/2 tablespoon Garlic - minced,6 Green Chillies,1/2 teaspoon Turmeric powder (Haldi),2-1/2 tablespoon Coriander Powder (Dhania),1-1/2 tablespoon Red Chilli powder,1/2 cup Curd (Dahi / Yogurt) - sour,1/2 cup Mustard oil,5 Mint Leaves (Pudina),Salt - to taste,Lemon juice - few drops,Coriander (Dhania) Leaves - Fresh for garnish (chopped),2 Bay leaf (tej patta),5 Cloves (Laung),5 Whole Black Peppercorns,2 Black cardamom (Badi Elaichi),4 Cardamom (Elaichi) Pods/Seeds - green,1 inch Cinnamon Stick (Dalchini),1 teaspoon Mace (Javitri),4 Dry Red Chillies</t>
  </si>
  <si>
    <t xml:space="preserve">To begin making the Keema Kaleji , wash and rinse keema and kaleji together under running water and keep aside.Heat oil in wok on a low flame and add whole spices - Bay Leaf, Cloves, Peppercorns, Badi Elaichi, Cardamom, Cinnamon stick, Mace and Dry Red Chillies and let them splutter. Now add chopped onions and saute till golden. Add minced ginger and garlic and fry till raw smell goes off. Meanwhile, take curd in a bowl and whisk to break lumps and keep aside. When the ginger garlic and onion mix is golden, add washed keema and kaleji together and mix well.Keep the flames high now and fry till the moisture evaporates and kheema looks pale in color. Add in the whisked curd and mix thoroughly till curd starts leaving water.Add some turmeric powder and salt and give a quick stir. Lower the flames and close the lid of the wok, let the kheema cook and this may take 20 to 25 minutes or even more.Do not add any extra water as the curd water is enough to cook the mutton mince and liver.While the kheema is cooking, add in some chopped mint leaves, this will give flavor and aroma to the dish.Once the kheema and kaleji starts to soften, add red chili powder, coriander powder and cook on a high flames till the water is absorbed and oil starts leaving the sides. Adjust oil and salt if required and fry till the keema kaleji is completely done. Drizzle some lemon juice all over and turn off the gas. Garnish with some freshly chopped coriander and serve hot Serve Keema Kaleji along with Tawa Parathas, Mutton Biryani and Burani Raita for a delicious and elaborate weekend meal.
</t>
  </si>
  <si>
    <t>http://www.archanaskitchen.com/kheema-kaleji-recipe</t>
  </si>
  <si>
    <t>Spinach Corn Sabzi Recipe</t>
  </si>
  <si>
    <t>10 sprig Spinach - washed and chopped,1/2 cup Sweet corn - boiled,Sunflower Oil - as required,1 teaspoons Cumin seeds (Jeera),1 tablespoon Ginger Garlic Paste,3 Green Chillies - finely chopped (adjustable),6 Cashew nuts,1 Onion - chopped,1 Tomato - chopped,1/2 teaspoon Turmeric powder (Haldi),1 teaspoon Red Chilli powder,1 teaspoon Coriander Powder (Dhania),Salt - to taste,5 tablespoons Milk,1/2 teaspoon Garam masala powder</t>
  </si>
  <si>
    <t xml:space="preserve">To begin making the Spinach Corn Sabzi recipe, heat oil in a heavy bottomed pan. Once the oil is hot, add the cumin seeds. After about 10 seconds, add ginger garlic paste, green chillies and saute it on medium heat. Once ginger  &amp; garlic releases its aroma add onion and cashews. Saute them till onion turns to golden brown in colour.After the onions have become golden brown add chopped tomatoes and cook them till they become tender. Add turmeric powder, salt to taste, red chilli powder and coriander powder. Mix them well to combine.Once the maslas are combined add chopped spinach and cook it for about two minutes. Once spinach is cooked properly, put the whole spinach mixture to a blender and make a puree.In same pan add sweetcorn and cook it for a minute. Now add spinach puree and milk. Cook for about 3 to 4 minute on low flame. Add some garam masala to the Spinach Corn Sabzi, mix it well and cook for another minute and turn of the heat.Remove the Spinach Corn Sabzi into a serving bowl and serve hot.Serve Spinach Corn Sabzi along with Tawa Paratha and Lauki Raita for a weekday meal with your family.
</t>
  </si>
  <si>
    <t>http://www.archanaskitchen.com/spinach-corn-sabzi-recipe</t>
  </si>
  <si>
    <t>Boondi And Spring Onion Greens Sabzi Recipe</t>
  </si>
  <si>
    <t>8 Spring Onion Greens - chopped (chop away onion bulbs),1 cup Boondi,2 Green Chillies - finely chopped,Sunflower Oil - as required,1 teaspoon Cumin seeds (Jeera),1/4 teaspoon Asafoetida (hing),1 tablespoon Garlic - paste,1/2 tablespoon Turmeric powder (Haldi),1 tablespoon Coriander Powder (Dhania),1 tablespoon Red Chilli powder,1/4 tablespoon Garam masala powder,1/2 cup Dessicated Coconut,Salt - to taste,1/2 cup Tomato - chopped,1/4 cup Water,1/2 teaspoon Amchur (Dry Mango Powder)</t>
  </si>
  <si>
    <t xml:space="preserve">To begin making the Boondi And Spring Onion Greens Sabzi recipe, heat oil in a non stick wok/kadhai, add cumin seeds and asafoetida.Once cumin seeds starts to crackle, add garlic paste, saute it till raw aroma of garlic goes away.Add coconut powder, saute it for few seconds and make sure coconut powder does not get burnt.Add turmeric powder, dhaniya powder, red chilli powder, garam masala powder and the required salt.Add spring onion green and mix it well, let it cook for 3 to 4 minutes. After 3 to 4 minutes, add chopped tomatoes and some water. Let it cook for another minute.Add dry mango powder and mix it well. Spread khari boondi over the mixture. Don’t mix it, just spread it and cover the lid for few seconds till boondi gets soft.Now mix it slowly and your Boondi And Spring Onion Greens Sabzi is ready to be served.Serve Boondi And Spring Onion Greens Sabzi along with Panchmel Dal and Tawa Paratha for a weekday meal.
</t>
  </si>
  <si>
    <t>http://www.archanaskitchen.com/boondi-and-spring-onion-greens-sabzi-recipe</t>
  </si>
  <si>
    <t>Kadai Baby Corn Paneer Recipe</t>
  </si>
  <si>
    <t>200 grams Baby corn - sliced,200 grams Paneer (Homemade Cottage Cheese) - diced,1 Onion - chopped,1 inch Ginger - finely chopped,3 cloves Garlic - finely chopped,2 Tomatoes - chopped,1/2 teaspoon Turmeric powder (Haldi),1 teaspoon Garam masala powder,1/2 teaspoon Cardamom Powder (Elaichi),1/2 teaspoon Kashmiri Red Chilli Powder,1 teaspoon Ghee - for garnish,1 teaspoon Kasuri Methi (Dried Fenugreek Leaves),1 teaspoon Sunflower Oil</t>
  </si>
  <si>
    <t xml:space="preserve">To begin making the Kadai Baby Corn Paneer Recipe, heat oil in a heavy bottomed pan. Once the oil is slightly hot, add ginger and garlic. Let it cook for about 30 seconds.After 30 seconds, add in the onions and saute till they become soft and translucent. This will take about a minute or two.As soon as the onion become translucent, add the baby corn and stir fry till the baby corn become tender.Then slowly add in the tomato along with turmeric powder, cardamom powder, red chilli powder and saute well for about 10 minutes.After 10 minutes, add in the paneer, kasuri methi into the Baby Corn Stir Fry. Stir and combine everything well and check for seasoning like salt and switch off the heat. It is ready to be served.Serve the Kadai Baby Corn Paneer Recipe along with Dal Bukhara, Phulka, Aromatic Vegetable Pulao and Burani Raita to make a complete meal.
</t>
  </si>
  <si>
    <t>http://www.archanaskitchen.com/kadai-paneer-baby-corn-stir-fry-recipe</t>
  </si>
  <si>
    <t>4 Tawa Paratha, 1 onion - thinly sliced, 2 cups cabbage - thinly sliced, 1 cup carrots - grated, 1/2 cup green peas, 3/4 cup potatoes - boiled and mash, 1/2 capsicum (green) - thinly sliced, 1 cup tomatoes - chopped, 1 inch ginger - grated, 1 green chilli - finely chopped, 2 sprigs coriander leaves - chopped, 2 tbsp oil, 1 tsp cumin seeds, 1 tsp salt, 1/2 tsp garam masala powder</t>
  </si>
  <si>
    <t>"To make Vegetable Paratha Roll recipe, first make Tawa Paratha and keep it ready. Keep it aside. Now heat oil in a pan. Add onion, ginger, garlic, carrot, green peas, salt and cook till carrot becomes soft. Meanwhile put potatoes in pressure cooker along with water and cook till 4 whistles. Turn off gas and let the pressure release automatically. Open cooker, peel and mash potatoes. Keep it aside. After carrots become soft, add cabbage, tomato, capsicum and cook till cabbage becomes soft. Add salt, cumin, garam masala powder, mashed potatoes and cook for 3 to 4 minutes. Now we will make rolls. Take a paratha and put some masala in its center. Roll the paratha and serve. Serve Vegetable Paratha Roll Recipe with Coriander Mint Chutney and Masala Chai for evening snack."</t>
  </si>
  <si>
    <t>https://www.archanaskitchen.com/healthy-vegetable-paratha-rolls-recipe-in-hindi</t>
  </si>
  <si>
    <t>Chole Pindi</t>
  </si>
  <si>
    <t>1 cup chickpeas or chickpeas - soaked overnight, 2 cardamoms, 1 onion - finely chopped, 1 cinnamon stick, 1 inch ginger - finely chopped (for garnish), 2 green chillies - finely chopped, 1/2 cup tomato puree, 1/2 teaspoon turmeric powder, 1 teaspoon pomegranate powder, 1 teaspoon coriander powder, 1/2 teaspoon garam masala powder, 1/2 teaspoon dried mango powder, 1/2 teaspoon red chilli powder, oil - or ghee (as per requirement), salt - according to taste, 1 inch ginger - finely chopped, lemon - chopped</t>
  </si>
  <si>
    <t>"To make Chole Pindi, first put the chickpeas in a pressure cooker along with water and salt as per requirement. Cook till 5 whistles. Let the pressure release automatically and keep it aside. Now heat oil in a pan. Add onion, green chillies, tomatoes, turmeric powder, coriander powder, garam masala powder, dried mango powder, red chilli powder, cinnamon and cardamom. Cook till the onions and tomatoes are cooked. Now add the cooked chickpeas and let it cook for 5 minutes. After cooking, turn off the gas and garnish with green coriander. Also put thinly sliced ​​ginger and lemon on top. Serve Chole Pindi with Bhindi Raita, Besan Aur Mirchi Ki Sabzi and Phulkas for lunch."</t>
  </si>
  <si>
    <t>https://www.archanaskitchen.com/chole-pindi-recipe-in-hindi</t>
  </si>
  <si>
    <t>Reshmi Kofta Recipe in Rich Cashew Gravy</t>
  </si>
  <si>
    <t>150 grams Paneer (Homemade Cottage Cheese) - grated,50 grams Cheese - grated,3 Potatoes (Aloo) - boiled and mashed,1 tablespoon Gram flour (besan),Salt - to taste,Red Chilli powder - to taste,2 Onions - roughy chopped,3 cloves Garlic,1 inch Ginger,1-1/2 cups Homemade tomato puree,1/4 cup Cashew nuts - ground to smooth paste with water,1 tablespoon Fresh cream,1 teaspoon Kashmiri Red Chilli Powder,1/2 teaspoon Turmeric powder (Haldi),1 teaspoon Coriander Powder (Dhania),1 teaspoon Garam masala powder,1 teaspoon Kasuri Methi (Dried Fenugreek Leaves),Coriander (Dhania) Leaves - chopped for garnish,Salt - to taste</t>
  </si>
  <si>
    <t xml:space="preserve">To begin making the Reshmi Kofta Recipe in Rich Cashew Gravy, first get all the ingredients together, so we can begin making the preps to make the kofta.Make a homemade tomato puree according to this recipe and keep aside.Make a smooth paste of the cashewnuts, by grinding it along with a little water and keep aside. Make a paste of the onion, ginger and garlic and keep aside.To begin making the kofta, combine the cheese, paneer and potatoes in a large mixing bowl, add a tablespoon of besan, salt and chilli powder. Combine to make a kofta mixture. Divide it into lemon sized balls. Heat the paniyaram pan over medium heat, add a little oil in each of the cavities and pan fry the reshmi koftas until cooked through and golden brown. Once all the kofta balls are fried, keep them aside.Heat oil in a kadai over medium heat; add the onion ginger garlic paste and cook until the raw smell goes away and the onion is lightly browned.Once the onion is cooked, add all the masalas and stir for a few seconds. The process of adding the masalas into the onion also helps the raw smell go away. Stir in the tomato puree, the cashewnut paste and the cream. Give the mixture a brisk boil and simmer for 10 minutes so the kofta curry gets the right flavors and taste.Check the salt and seasoning and adjust to suit your taste. When you are ready to serve, add the pan fried Reshmi kofta balls, the chopped coriander leaves, the kasuri methi and simmer for 3 to 4 minutes.Serve the Reshmi Kofta Curry along with Palak Paneer, Dal Makhani, Phulka and Kadai Beans and Carrot Pulao Recipe for a perfect weekend dinner.
</t>
  </si>
  <si>
    <t>http://www.archanaskitchen.com/reshmi-kofta-recipe-in-rich-cashew-gravy</t>
  </si>
  <si>
    <t>Makhana Ki Sabzi</t>
  </si>
  <si>
    <t>2 cup makhana, 1/4 cup green peas, 1 teaspoon ginger - grated, 2 + 1 onion - chopped, 6 cashews, 1 tablespoon khus khus, 1 tablespoon pumpkin seeds, 1 cardamom, 1 bay leaf, 1 inch cinnamon, 2 cloves, 1 green chilli, 1 teaspoon red chilli flakes, 2 tablespoon butter, 1 tablespoon ghee, oil - as per requirement</t>
  </si>
  <si>
    <t>"To make Makhana ki Sabzi, keep all the ingredients ready. In a pressure cooker add onion, cashews, khus khus, pumpkin seeds, water and cook till 2 whistles. After it cools down, put it in the mixer and make a paste. Now heat ghee in a pan and add makhanas. Cook till makhanas become crisp. Keep aside. Now heat oil in a pan. Add bay leaves, cinnamon, cloves, cardamom and let it cook for 1 minute. After 1 minute add green chillies and onions. Cook till onions become soft. Now add green peas and cook for 1 minute. After that add onion and khus khus paste, red chilli flakes and cook for 1 minute. After 1 minute add 2 cups of water, ginger and let it cook for 2 minutes. Now add roasted makhana and let it cook till it becomes soft. After it becomes soft, turn off the gas and serve. Makhana ki Sabzi Serve it with Dhaba Style Dal Palak and Phulkas for dinner. "</t>
  </si>
  <si>
    <t>https://www.archanaskitchen.com/makhana-ki-sabzi-recipe-in-hindi</t>
  </si>
  <si>
    <t>Sarson Chole Ka Saag Recipe - Kabuli Chana In Mustard Leaves Gravy</t>
  </si>
  <si>
    <t>1/2 cup Kabuli Chana (White Chickpeas) - soaked over night,1/4 cup Makki Ka Atta (Yellow Corn Meal Flour),2 Green Chillies - finely chopped,4 cloves Garlic - finely chopped,Salt - to taste,150 grams Spinach Leaves (Palak) - washed and finely chopped,50 grams Bathua leaves - washed and finely chopped,300 grams Mustard greens - washed and finely chopped,2 tablespoons Ghee,1 inch Ginger - finely chopped,4 cloves Garlic - finely chopped,2 Onions - finely chopped,2 Tomatoes - finely chopped,1 teaspoon Red Chilli powder,Salt - to taste,1 teaspoon Cumin powder (Jeera),1 teaspoon Coriander Powder (Dhania),1 teaspoon Garam masala powder,1/3 teaspoon Turmeric powder (Haldi),White Butter - to serve</t>
  </si>
  <si>
    <t xml:space="preserve">To begin making the Sarson Chole Ka Saag Recipe, firstly wash and soak the chana overnight.To cook the Chole for the Sarson Chole Ka SaagNext morning, transfer the chole along with the water into a pressure cooker with some salt, close the pressure cooker. Pressure cook for 6-8 whistles and turn off the flame. Allow the pressure to release naturally before you open the pressure cooker. How To Cook Legumes in Pressure CookerDrain the excess water from the chana and set aside. To cook the Saag for the Sarson Chole Ka SaagIn a pressure cooker, add the finely chopped sarson leaves, palak leaves and bathua leaves, along with 1/4 cup of water, salt, green chillies and garlic.Close and pressure cook for about 3 whistles and turn off the flame. Once the pressure releases naturally, open the lid and sprinkle the corn meal over it, using a potato masher, mash the saag well. To make the Tadka for the Sarson Chole Ka SaagHeat a kadai with ghee on medium flame, to this add the finely chopped ginger and garlic and saute for about a minute. To this add the finely chopped onions, and cook until it turns into a deep brown colour. Once the onions are brown, add in the chopped tomatoes and cook until they turn mushy. Mash the onion- tomato mixture with the back of the ladle. At this stage, add all the dry masalas - salt, red chilli, turmeric powder, cumin powder, garam masala, and coriander powder. Mix well and add the pre cooked greens, and chole and simmer for a few minutes until the Sarson Chole Ka Saag comes to a boil. Transfer the Sarson Chole Ka Saag to a serving bowl and serve with a dollop of white butter. Serve Sarson Chole Ka Saag Recipe along with Makki Ki Roti Recipe - A Classic North Indian Corn Roti, Gajar Shalgam Ka Paani Wala Achar Recipe - Carrot And Turnip Pickle, White Butter and Jaggery by the side to complete winter dinner. You could also serve Sarson Chole  Ka Saag as brunch along with Puri Recipe - Learn to Make Soft Puffed Puris At Home, and  Boondi Raita Recipe Spiced With Black Salt. 
</t>
  </si>
  <si>
    <t>https://www.archanaskitchen.com/sarson-chole-ka-saag-recipe-kabuli-chana-in-mustard-leaves-gravy</t>
  </si>
  <si>
    <t>Cauliflower Paneer Kofta Curry Recipe</t>
  </si>
  <si>
    <t>1 Cauliflower (gobi),1/2 cup Paneer (Homemade Cottage Cheese) - grated,4 Potatoes (Aloo) - cooked and mashed,3 tablespoons Corn flour,1 tablespoon Red Chilli powder,1 tablespoon Coriander Powder (Dhania),1 teaspoon Cumin powder (Jeera) - roasted,1 teaspoon Garam masala powder,Salt - to taste,2 Onions - finely chopped,4 Tomatoes - pureed,1 teaspoon Ajwain (Carom seeds),1 1/2 tablespoon Kashmiri Red Chilli Powder,1 tablespoon Coriander Powder (Dhania),1 teaspoon Garam masala powder,Salt - to taste,1 tablespoon Butter - or oil,1 tablespoon Fresh cream - reserve 2 teaspoons for garnish,Water - as required,Coriander (Dhania) Leaves - as required for garnish</t>
  </si>
  <si>
    <t xml:space="preserve">To begin making Cauliflower Paneer Kofta Curry Recipe place big pot on the heat. Add 1 liter of water into the pot and bring it to a boil. Add 1 teaspoon of salt to the boiling water and turn off the heat.Next, to chop up the cauliflower, first remove the stem and leafy parts of the cauliflower and immerse it into the just-boiled, hot water. Allow the cauliflower sit for about 3 to 4 minutes. Then remove it from hot water, and place it on a kitchen towel. Pat it dry completely.Now grate the cauliflower completely and set it aside for a while. After about 10 minutes, cauliflower would have released a lot of water, squeeze it out and discard the water.Next, heat a pan and dry roast the grated cauliflower until it feels completely dry and contains no more moisture. While roasting it, take care not to cook it too much. It should not change to brown, so it is best to roast it on a low flame.Once the cauliflower is completely dry, take it off the heat, transfer it into a cool dish and allow it to come down to room temperature.Add the grated paneer to the cooled cauliflower. Add in the mashed potatoes, and all the spices along with corn flour. Knead well until everything is mixed. Make small lemon sized balls of the mix and arrange them on a plate. Set them aside till further use.Next, we need to fry the koftas. Warm some oil in a pan, when oil is hot enough, deep fry the koftas until evenly golden brown. For an oil-free version, you could also bake them in a pre-heated oven, or use a kuzhi-paniyaram pan to pan-fry them. Either way, lay the golden brown koftas onto kitchen paper once they are browned on all sides.To prepare the curry, first warm some oil or butter in a pan. Add the shahi jeera and fry for a minute. Next add the finely chopped onions and fry them till translucent. Add the tomato puree and cook it together until the puree thickens and begins to leave the sides of the pan.At this stage, add all the spice powders and mix well. Then add water as required and bring the curry to boil.Turn the heat down, add the cream, mix well and finally add the fried kofta balls. Simmer on low heat for about 3 to 4 minutes.Turn off the heat, garnish the curry with the reserved cream and fresh coriander leaves.Serve Cauliflower Paneer Kofta Curry  with Phulkas, Dal Tadka and Chana Dal Pulao along with a Urad Dal Raita for a comforting, yet special homely meal.
</t>
  </si>
  <si>
    <t>https://www.archanaskitchen.com/cauliflower-paneer-kofta-curry-recipe</t>
  </si>
  <si>
    <t xml:space="preserve">Arbi Dahi Wali Sabzi </t>
  </si>
  <si>
    <t>250 grams arbi, 1 cup curd, 1/2 teaspoon celery, 1-1/2 teaspoon Kashmiri red chilli, 1/4 teaspoon turmeric powder, 1 teaspoon coriander powder, 1 teaspoon garam masala powder, 2 tablespoons coriander leaves - chopped, salt - according to taste, oil - according to requirement, 1 cup water - or according to requirement</t>
  </si>
  <si>
    <t>"To make Arbi Dahi Wali Sabzi, first wash the arbi thoroughly twice. After washing, put it in a pressure cooker with water and salt and cook till 1 whistle. Peel the arbi and cut it in half. Now take curd in a bowl and beat it well. Keep it aside. Now heat oil in a pan. Add celery in it and cook for 10 seconds. After 10 seconds, add red chili powder, turmeric powder, coriander powder and mix. After 1 minute, add arbi, mix and cook for 10 to 12 minutes. Add 1/2 cup water and let it boil. Cook for 5 to 7 minutes. After that add curd and keep stirring till it boils. After boiling, add garam masala powder and garnish with green coriander. Serve Arbi Dahi Wali Sabzi with Bhindi ki Sabzi and Phulka for lunch Serve it.</t>
  </si>
  <si>
    <t>https://www.archanaskitchen.com/arbi-dahi-wali-sabzi-recipe-in-hindi</t>
  </si>
  <si>
    <t>Raw Mango Masoor Dal Recipe</t>
  </si>
  <si>
    <t>1 cup masoor dal, 1/2 cup raw mango - chopped, 2 green chillies - chopped thinly, 1/2 teaspoon turmeric powder, salt - according to taste, 2 tablespoons mustard oil, 1/2 teaspoon cumin seeds, 1/2 teaspoon mustard seeds, 1/4 teaspoon nigella seeds, 1/2 teaspoon fennel seeds, 1/4 teaspoon fenugreek seeds, 3 dried red chillies</t>
  </si>
  <si>
    <t>"To make Aamwali Masoor Dal, first wash the masoor dal thoroughly. Now put the dal, 2 cups of water, salt to taste, turmeric powder and green chillies in a pressure cooker. Cook for 2 minutes and let it boil. After boiling, add raw mangoes. Cover the cooker and cook till 2 whistles. Let the pressure release on its own. Open the cooker and if you feel the dal is thick, add some more water and mix it. Turn on the gas and let it cook for 2 to 3 minutes. Now we will make the Tadka for the dal. Heat mustard oil in a Tadka pan. Add cumin seeds, mustard seeds, kalonji, fenugreek and mix it. After 10 seconds, add dried red chillies and cook for next 15 seconds. Pour this tempering in the dal and mix it. Turn off the gas and serve hot. Serve Aamwali Masoor Dal with Sev Tomato Sabzi, Palak Raita and Phulkas for lunch Serve it.</t>
  </si>
  <si>
    <t>https://www.archanaskitchen.com/green-mango-masoor-dal-recipe-in-hindi</t>
  </si>
  <si>
    <t>Gulkand Seviyan Kheer Recipe</t>
  </si>
  <si>
    <t>1-1/2 liter Milk - full fat,70 grams Thin Semiya (Seviyan),1/2 teaspoon Cardamom Powder (Elaichi),1/3 cup Gulkand,Saffron strands - a few,6 Pistachios - chopped,Rose water - as required,Dried rose petals - for garnish</t>
  </si>
  <si>
    <t xml:space="preserve">To begin making the Gulkand Seviyan Kheer Recipe in a saucepan bring the milk to a rolling boil. Once the milk has boiled, reduce the flame, and allow the milk to simmer on low flame, until it reduces to half its quantity. This process will take a good 20 minutes. Ensure the milk is stirred occasionally to prevent the bottom of the pan burning the milk. It is also always a good idea to keep a ladle inside the milk container. Once the milk is reduced, add the cardamom powder, and a few strands of saffron. Next, to this add the gulkand and mix vigorously until it melts and comes together along with the milk. Adjust the sweetness of the gulkand kheer, based on the sweetness of the gulkand, if required add sugar to suit your taste. Since the gulkand is already packed with the rose flavour, depending on how strong or mild you prefer, add the rose water, according to how aromatic you like the gulkand kheer to be. Finally, add in the thin seviyan and wait until the seviyan wilts down and becomes soft. Turn off the heat, transfer the Gulkand kheer to a serving bowl and garnish with some crushed pistachios and dry rose petals. Serve Gulkand Seviyan Kheer as dessert or part of a meal that consists of Ajwain Puri Recipe, and Aloo Tamatari Recipe for a lovely comforting Sunday brunch.
</t>
  </si>
  <si>
    <t>https://www.archanaskitchen.com/gulkand-seviyan-kheer-recipe</t>
  </si>
  <si>
    <t>Chicken Jalfrezi Recipe - Chicken And Bell Peppers In Tomato Gravy</t>
  </si>
  <si>
    <t>250 grams Chicken breasts - cut into small pieces,1 Onion - diced,1 Red Bell pepper (Capsicum) - diced,1 Green Bell Pepper (Capsicum) - diced,2 Carrots (Gajjar) - diced thin,1 inch Ginger - grated,2 cloves Garlic - grated,1 Tomato - diced,1 cup Homemade tomato puree,1 teaspoon Honey,1/2 teaspoon Turmeric powder (Haldi),1 teaspoon Garam masala powder,1 teaspoon Coriander Powder (Dhania),1 Stalk Coriander (Dhania) Leaves - finely chopped,1 tablespoon Butter - softened,Salt,Sunflower Oil</t>
  </si>
  <si>
    <t xml:space="preserve">To begin making the Chicken Jalfrezi Recipe, firstly make tomato puree and cut all the vegetables. Heat oil or butter in a heavy bottomed pan or a Kadai, add the ginger, garlic and onions and saute until the onions become soft and translucent.Once the onions are cooked, add bell peppers, carrots and stir fry on medium heat until they are slightly softened.Add the chicken pieces and cook till the pieces are roasted and cooked well. Next, add diced tomatoes, turmeric powder, garam masala powder, coriander powder, salt, red chili powder.Cook until the tomatoes become mushy. Once done, add tomato puree as well and mix. Cover and cook again for another 10 minutes. Finally add honey, and cook or at least 10 minutes until the chicken is cooked.Check the salt and spice levels of the Chicken Jalfrezi and adjust to suit your taste. Give the Jalfrezi a simmer for 3 to 4 minutes and turn off the heat.Transfer to a serving bowl and garnish it with chopped coriander leaves.Serve the Chicken Jalfrezi along with Phulka's and Mooli Raita Recipe for a weeknight dinner.
</t>
  </si>
  <si>
    <t>http://www.archanaskitchen.com/chicken-jalfrezi-recipe</t>
  </si>
  <si>
    <t>1 cup Soy Chunks (Nuggets) - soaked in hot water,1 cup Methi Leaves (Fenugreek Leaves) - washed and finely chopped,1 Tomato,1 Onion,2 teaspoons Sunflower Oil,1/2 teaspoon Mustard seeds,1/2 teaspoon Turmeric powder (Haldi),2 teaspoons Red Chilli powder,1 teaspoon Cumin powder (Jeera),1 teaspoon Coriander Powder (Dhania),1 teaspoon Garam masala powder,Salt - as required</t>
  </si>
  <si>
    <t xml:space="preserve">To begin making the Methi &amp; Soya Chunks Dry Sabzi Recipe , we need to soak the soya chunks in a bowl of boiling hot water for about 20 minutes.After 20 minutes, drain the extra water and set it aside. In a heavy bottomed pan, heat oil on medium heat, add mustard seeds and let them splutter.Next, add in the chopped onion and cook till it turns golden brown. This will take about 4 to 6 minutes.Once the onions are nice and brown in colour, add in the chopped tomato and cook well until they turn soft and mushy. Now that the onion tomato base has come together, add the methi leaves. Cover and let it cook for 2 minutes.At this stage add turmeric powder, red chilli powder, cumin powder, coriander powder, garam masala powder and stir well.To this methi mix, add the drained soya and salt. Mix well to combine and let it cook for 2 more minutes.Turn off the heat and remove Methi &amp; Soya Chunks Dry Sabzi into a serving bowl.Serve this Methi &amp; Soya Chunks Dry Sabzi Recipe  Dhaba Style Dal Fry Recipe and Steamed Rice along with a bowl of Dahi, for a simple and comforting weekday meal. 
</t>
  </si>
  <si>
    <t>http://www.archanaskitchen.com/methi-soya-chunks-dry-sabzi-recipe</t>
  </si>
  <si>
    <t>Amla Chutney Recipe</t>
  </si>
  <si>
    <t>100 grams amla, 1 teaspoon cumin, 1 teaspoon mustard, 1 sprig curry leaves, asafoetida - a pinch, 1/4 cup jaggery, 2 teaspoons red chili powder - or as per taste, salt - according to taste, oil</t>
  </si>
  <si>
    <t>"To make Sweet and Spicy Amla Chutney, first, put the amla in a pressure cooker with some water and cook till 3 whistles. After the pressure is released, open the cooker and remove the seeds from the amla. Put the amla in a mixer grinder with some water and grind it. Now heat oil in a pan. Add cumin seeds, mustard seeds, asafoetida and let it cook for 10 seconds. After 10 seconds, add red chilli powder, amla paste and mix. Add jaggery, salt and cook for 2 to 3 minutes. Serve. Serve Sweet and Spicy Amla Chutney as a side dish with Garlic Daal, Aloo Bhindi Sabzi and Phulkas."</t>
  </si>
  <si>
    <t>http://www.archanaskitchen.com/sweet-spicy-amla-chutney-recipe-in-hindi</t>
  </si>
  <si>
    <t>Arbi Dahi Wali Sabzi Recipe</t>
  </si>
  <si>
    <t>250 grams Colocasia root (Arbi),1 cup Curd (Dahi / Yogurt),1/2 teaspoon Ajwain (Carom seeds),1 1/2 teaspoon Kashmiri Red Chilli Powder,1/4 teaspoon Turmeric powder (Haldi),1 teaspoon Coriander Powder (Dhania),1 teaspoon Garam masala powder,2 tablespoon Coriander (Dhania) Leaves - chopped,Salt - to taste,Sunflower Oil - to cook,1 cup Water - adjustable</t>
  </si>
  <si>
    <t xml:space="preserve">To start preparing Arbi Dahi Wali Sabzi, scrub arbi to get rid of mud and dirt. Wash it twice at least. Pressure cook arbi with little water and a pinch of salt for 1 whistle (do not overcook). Arbi has to be cooked, but firm.Peel the skin off and cut them into half, lengthwise.Whisk yogurt or dahi well, keep aside.Heat oil in a pan. Add ajwain and sauté for 10 seconds.Add red chili powder, turmeric powder, coriander powder and give it a mix.Add arbi and cook in oil and spices for about 10 to 12 minutes on medium flame with constant stirring.Add 1/2 cup water and bring it to boil. Let it boil for 5 to 7 minutes.Add the whisked curd and with constant stirring, cook until the gravy just begins to come to a boil.Add garam masala powder, chopped coriander leaves, stir well and turn off flame.Serve Arbi Dahi Wali Sabzi along with Pudina Tawa Paratha, Mixed Sprouts Sabzi Recipe and Kachumber Salad for a perfect meal.
</t>
  </si>
  <si>
    <t>http://www.archanaskitchen.com/arbi-dahi-wali-sabzi-recipe</t>
  </si>
  <si>
    <t>Methi Shakarkand Aloo Sabzi Recipe - Sweet Potato &amp; Fenugreek Leaves Sabzi</t>
  </si>
  <si>
    <t>2 Sweet Potato - skin peeled,1 cup Methi Leaves (Fenugreek Leaves) - chopped,1 teaspoon Cumin seeds (Jeera),1 Green Chilli - slit,1 teaspoon Coriander Powder (Dhania),1 teaspoon Black pepper powder,1/4 teaspoon Turmeric powder (Haldi),Salt - to taste</t>
  </si>
  <si>
    <t xml:space="preserve">To begin making the Sweet Potato &amp; Fenugreek Leaves Sabzi Recipe, we will heat a kadai with oil, add cumin seeds and allow it to splutter for few seconds.Add sweet potato, green chilli and sprinkle with salt and allow it to cook covered till it is done. Keep tossing it at regular intervals.Add fenugreek leaves, coriander powder, turmeric powder, black pepper powder and salt to taste. Combine well. Sprinkle little water to the Sweet Potato &amp; Fenugreek Leaves Sabzi and cook covered for 10 more minutes and serve hot. Serve the Sweet Potato &amp; Fenugreek Leaves Sabzi Recipe along with Phulka and Gujarati Dal to make a complete meal.
</t>
  </si>
  <si>
    <t>http://www.archanaskitchen.com/sweet-potato-fenugreek-leaves-subzi-recipe</t>
  </si>
  <si>
    <t>Dry Methi Malai Matar Recipe</t>
  </si>
  <si>
    <t>300 grams Methi Leaves (Fenugreek Leaves) - finely chopped,1/2 cup Green peas (Matar),2 tablespoon Fresh cream,1-1/2 tablespoon Sunflower Oil,1 Bay leaf (tej patta),1/2 Cinnamon Stick (Dalchini),1/2 teaspoon Cumin seeds (Jeera),1/2 cup Onion - finely chopped,1 tablespoon Garlic - finely chopped,1/4 teaspoon Ginger - paste,2 Green Chillies - chopped,1/2 cup Tomatoes - finely chopped,1 tablespoon Tomato Ketchup,1/4 teaspoon Garam masala powder,1/4 teaspoon Red Chilli powder,Salt - to taste</t>
  </si>
  <si>
    <t xml:space="preserve">To begin with Dry Methi Malai Matar, firstly wash fresh methi twice with clean water and chop these washed leaves finely.Peel fresh peas or use frozen green peas and boil them.Heat a pan and add 1 teaspoon of oil and put the chopped Methi leaves, and saute them until all the water gets steamed up and methi becomes dry. Take out from the pan and transfer it to the bowl.Add oil in the same pan with bay leaf, cinnamon stick and cumin seeds. After 30 seconds add finely chopped garlic, onion and chopped green chilies. Let it cook till the onions turn light brown and soft.Once it is done, add tomatoes and let them saute for about 2 minutes.Add all the spices mentioned in the ingredients and cook it for few seconds more.After few seconds, add fresh cream/malai and let it cook for a minute or two.After a minute or two, add sauted and dried methi and boiled green peas in it, then stir it for a few seconds.Add tomato ketchup into it and mix everything properly. Cover it with a lid and cook for another 5 minutes. After 5 minutes switch off the gas and your dish is ready.Serve Dry Methi Malai Matar with Besan &amp; Atta Ki Roti, Missi Roti or Whole Wheat Palak Naan.
</t>
  </si>
  <si>
    <t>https://www.archanaskitchen.com/dry-methi-malai-matar-recipe</t>
  </si>
  <si>
    <t>Saagwala Chicken  Recipe - Palak Chicken Curry</t>
  </si>
  <si>
    <t>350 grams Chicken,300 grams Spinach - roughly chopped,1 teaspoon Ajwain (Carom seeds),2 tablespoons Ghee,6 cloves Garlic,2 Cardamom (Elaichi) Pods/Seeds,2 inch Cinnamon Stick (Dalchini),3 Cloves (Laung),2 inch Ginger,2 Green Chillies,2 Onion - thinly sliced,1 teaspoon Red Chilli powder,1 teaspoon Garam masala powder,2 tablespoons Fresh cream,Salt - to taste</t>
  </si>
  <si>
    <t xml:space="preserve">To begin making the Saagwala Chicken recipe, firstly clean, wash the chicken breast and cut into small to medium sized pieces and keep the legs if you are using it. Into a pressure cooker, add the chopped spinach leaves, green chillies, along with 2 tablespoons water and pressure cook for 1 whistle and turn off the heat.Release the pressure immediately by running it under cold water. Open the cooker and allow the spinach to cool. It's important to open the spinach immediately, so the spinach remains green.Once the spinach cools, place it in a mixer grinder and make a puree. Keep the palak puree/ spinach puree aside.Heat a heavy bottomed pan with ghee, add ajwain, cloves, cinnamon, cardamom and saute it for about 10 seconds.Add the ginger, garlic and onions and saute until the onions turn translucent. Add the chicken, salt and red chilli powder, garam masala powder and stir to combine.Cover the pan and cook the chicken on low heat until it gets cooked completely. Sprinkle a little water if required and cook the chicken until it is done.Finally, pour the spinach puree and cream. Mix everything well and let the Palak Chicken / Saagwala Chicken simmer for 4 to 5 minutes until the gravy chickens.Once the Saagwala Chicken is done, check the taste and adjust the salt accordingly.Serve Saagwala Chicken Recipe along with Burani Raita and Butter Garlic Naan Recipe for a weekend dinner along with your family. You can also serve Kachumber Salad with this meal.
</t>
  </si>
  <si>
    <t>http://www.archanaskitchen.com/palak-chicken-curry-recipe-saag-wala-chicken</t>
  </si>
  <si>
    <t>Kaccha Kela Aur Bhindi Ki Sabzi Recipe - Raw Banana &amp; Ladies Finger Stir Fry</t>
  </si>
  <si>
    <t>300 grams Bhindi (Lady Finger/Okra) - chopped,2 Raw Banana,1 teaspoon Turmeric powder (Haldi),1 teaspoon Black pepper powder,1/2 teaspoon SSP Asafoetida (Hing),1 teaspoon Amchur (Dry Mango Powder),Salt - to taste,Sunflower Oil,1/4 teaspoon Red Chilli powder,1/2 teaspoon Garam masala powder,1/2 teaspoon Coriander (Dhania) Powder</t>
  </si>
  <si>
    <t xml:space="preserve">To begin making the Kaccha Kela Aur Bhindi Ki Sabzi Recipe, we will pre cook the raw banana.Firstly, peel and cut the raw banana and keep it aside. In a pressure cooker combine, add the chopped raw banana with half cup of water, turmeric powder and salt. Cover and pressure cook for 3 whistles and turn off the heat.Once done, open the pressure cooker and allow the banana to cool and keep it aside.Heat oil in a heavy bottomed pan. Add cumin seeds, asafoetida and let the cumin seeds crackle. Once it crackles, add in the ladies finger, sprinkle little salt and saute till they soften and get cooked through. You can cover it and cook as it will cook faster.This will take about 10 minutes. Once the bhindi is cooked, add in the cooked raw banana, amchur powder, pepper powder, red chilli powder, coriander powder, garam masala powder and saute till the masala is well coated with the masala - about 4 to 5 minutes and turn off the heat.After 4 to 5 minutes, transfer the Kaccha Kela Aur Bhindi Ki Sabzi to a serving bowl and garnish it with coriander leaves.Serve the Kaccha Kela Aur Bhindi Ki Sabzi Recipe along with Gujarati Dal, Lauki Raita and Phulka to enjoy a good weekday meal.
</t>
  </si>
  <si>
    <t>https://www.archanaskitchen.com/kacha-kela-bhindi-recipe</t>
  </si>
  <si>
    <t>Veg Chilli Milli</t>
  </si>
  <si>
    <t>1 cup cauliflower - finely chopped, 1 carrot - thinly sliced, 1 green capsicum - thinly sliced, 4 tomatoes, 1/2 cup green peas, 3 tbsp cashew nuts, 2 tbsp oil, 1 bay leaf, 2 cardamom - green, 1 cardamom - black, 2 cloves, 1 inch cinnamon, 1 onion - finely chopped, 1 tbsp ginger garlic paste, 1/2 tbsp turmeric, 1 tbsp Kashmiri red chilli powder, 1 tbsp coriander powder, 3 to 4 green chillies - chopped, 1-1/2 cup water, 1 tbsp Kasuri methi, 1/4 tbsp garam masala powder, green coriander - small pieces, 1/4 tbsp sugar, 3 tbsp cream, salt - according to taste</t>
  </si>
  <si>
    <t>"To make Chilli Milli, first of all soak cashews in 1/4th cup hot water for 20-25 minutes. After 25 minutes remove cashews from water and grind them with ginger and tomato to make a paste. Heat little oil in a pan and add bay leaf, green cardamom, black cardamom, cloves and cinnamon and let them cook. Now add chopped onion and ginger garlic paste to it and cook on medium flame till the smell of ginger garlic goes away and onion becomes light brown. Add tomato cashew paste to it and mix well, then add turmeric, Kashmiri red chilli and coriander powder. Add green chilli and cook on medium flame till oil separates. Mix cauliflower, carrot, capsicum and green peas with spices and cook for 5-6 minutes. Now add water and salt and cover it. Cook on medium flame till vegetable is cooked well. If needed add little salt Add more water but make sure the gravy isn't thin. Once the vegetables are cooked, add garam masala, kasuri methi and sugar and mix well. Cook for a while and then add cream and garnish with coriander. Serve Chilli Mili with Boondi Raita and Tawa Paratha.</t>
  </si>
  <si>
    <t>https://www.archanaskitchen.com/veg-chilli-milli-recipe-in-hindi</t>
  </si>
  <si>
    <t xml:space="preserve">Arbi Tomato Onion Sabzi </t>
  </si>
  <si>
    <t>12 Arbi - thinly sliced, 1 onion - sliced, 2 tomatoes - sliced, 1 tsp ginger garlic paste, a pinch of asafoetida, 3/4 tsp turmeric powder, salt - according to taste, 3/4 tsp red chilli powder, 3/4 tsp garam masala powder, 2 green chillies - thinly sliced, 3/4 tsp coriander powder, 2 dried red chillies, oil - according to need</t>
  </si>
  <si>
    <t>"To make Tomato Onion Wali Arbi ki Sabzi, first wash the arbi and soak it in salted water for 10 to 15 minutes. Drain the water and wash it again. Dry it. Now heat oil in a pan. Add arbi and cook till it turns golden brown. Now remove it on a paper towel and keep it aside. Heat some more oil in the same pan. Add dry red chilli, asafoetida, ginger, garlic paste and cook for 1 minute. Now add onion and cook till onion becomes soft. Add turmeric powder, red chilli powder, salt, coriander powder and garam masala powder. After 1 minute add tomatoes and green chilli and cook for 3 minutes. Now add arbi and mix well. Cover the pan and cook for 6 to 8 minutes. Serve hot. Serve Tomato Onion Wali Arbi ki Sabzi with Boondi Raita and Phulka for lunch."</t>
  </si>
  <si>
    <t>http://www.archanaskitchen.com/arbi-tomato-onion-sabzi-recipe-spicy-colocasia-stir-fry-in-hindi</t>
  </si>
  <si>
    <t>Chocolate Flavoured 7 Cup Burfi Recipe</t>
  </si>
  <si>
    <t>1 cup Gram flour (besan),1-3/4 cup Sugar - (you can use 2 cups if you like it very sweet),1 cup Ghee,1 cup Milk,1 cup Fresh coconut,1/2 cup Cocoa Powder,1/2 cup Cashew nuts - powdered,Cashew nuts - Handful for decoration,Cardamom (Elaichi) Pods/Seeds - crushed or cinnamon powder for flavour (optional)</t>
  </si>
  <si>
    <t xml:space="preserve">To begin making the Chocolate 7 Cup Burfi recipe, first grease a baking pan or a steel plate with ghee.Mix all the ingredients in a large non stick pan/ wok and place it on medium heat.Stir to mix all the ingredients together. Remove lumps if any using the back of the spoon.Cook the mixture on low to medium flame, stirring continuously.Cook till the mixture thickens and comes together as one mass (about 25-30 minutes).Take out the mixture into the greased plate and press with the back of the spoon or use a foil to spread it uniformly and level the surface.With a sharp knife etch square or diamond shapes in the mixture.Place cashew nuts halves or pieces in the centre of each piece and press.Cool completely and then cut into pieces.Store in an airtight container. Refrigerate if keeping for a longer duration.Serve Chocolate Flavoured 7 Cup Burfi as a dessert after a simple and delicious meal of South Indian Style Vegetable Kurma, Steamed Rice and Elai Vadam.
</t>
  </si>
  <si>
    <t>https://www.archanaskitchen.com/chocolate-flavoured-7-cup-burfi-recipe</t>
  </si>
  <si>
    <t xml:space="preserve">Saunf Wali Hari Gobi Sabzi </t>
  </si>
  <si>
    <t>1 cabbage - chopped, 1 teaspoon fennel, 1 ginger, 2 tomatoes - finely chopped, 2 bay leaves, 1/2 cup green chutney, 1/2 cup curd, 1/2 teaspoon turmeric powder, 1 teaspoon coriander powder, salt, red chili powder, oil - as per requirement</t>
  </si>
  <si>
    <t>"To make Fennel Wali Hari Gobi Sabzi, first make green chutney (coriander mint chutney). Keep it aside. Heat oil in a pan. Add fennel, ginger, bay leaves and cook for 10 seconds. Now add tomatoes, turmeric powder, coriander powder, red chili powder and mix well. Add curd, green chutney and salt. Mix well. Add cauliflower and mix well. Cover the pan and cook till cauliflower is cooked. It will take 5 to 8 minutes. Once cooked, turn off the gas and serve. Serve Fennel Wali Hari Gobi Sabzi with Panchmel Daal and Phulkas for lunch."</t>
  </si>
  <si>
    <t>http://www.archanaskitchen.com/saunf-wali-hari-gobi-sabzi-recipe-cauliflower-spiced-with-fennel-and-green-chutney-in-hindi</t>
  </si>
  <si>
    <t>Navrang Dal Recipe ( Spicy Mixed Lentils)</t>
  </si>
  <si>
    <t>2 tablespoons Green Moong Dal (Whole),2 tablespoons White Urad Dal (Split),2 tablespoons Black Urad Dal (Whole),2 tablespoons Pink Masoor Dal (Split),2 tablespoons Masoor Dal (Whole),2 tablespoons Rajma (Large Kidney Beans),2 tablespoons Kabuli Chana (White Chickpeas),1/4 cup Yellow Moong Dal (Split) - (soak for 20 minutes),1 tablespoon Arhar dal (Split Toor Dal) - (soak for 20 minutes),1 Onion - finely chopped,1 Tomato - finely chopped,1 tablespoon Ginger Garlic Paste,1 Green Chilli - slit,2 teaspoons Coriander Powder (Dhania),1 teaspoon Red Chilli powder,2 teaspoons Garam masala powder,1 tablespoon Kasuri Methi (Dried Fenugreek Leaves),1 inch Ginger - cut to julienned for garnish,2 tablespoons Ghee,1 Cinnamon Stick (Dalchini),1 teaspoon Cumin seeds (Jeera),Salt - to taste</t>
  </si>
  <si>
    <t xml:space="preserve">To begin making Navrang Dal (spicy Mixed Lentils) Recipe soak all the dals except split moong and toor dal overnight. In the morning pressure cook everything together till it's cooked. Mash the cooked dal gently and keep it aside.Heat a big wok on medium flame, pour oil or ghee, a stick of cinnamon and cumin seeds and let it splutter.To this add the onions and sauté till it turns light brown.Add the ginger garlic paste and cook until the raw smell of the paste goes away.Now add the chopped tomatoes and slit green chilli and cook until the tomatoes are half done.Add the coriander, red chilli, and garam masala powder and give it a mix and cook until the ghee or oil separates out.Now add the cooked mashed dal to this, season with salt, add the required amount of water and let it simmer for ten minutes.Now gently crush the kasuri methi between your palms and put it over the dal.Bring it to a boil, switch off the flame and garnish with the ginger julienned.Your Navang Dal is ready to be served, serve it with Laccha Paratha or Peas Pulao for a weeknight dinner.
</t>
  </si>
  <si>
    <t>http://www.archanaskitchen.com/navrang-dal-recipe-spicy-mixed-lentils</t>
  </si>
  <si>
    <t>Suran Kebab Masala Recipe - Yam In Tomato Onion Gravy</t>
  </si>
  <si>
    <t>300 grams Elephant yam (Suran/Senai/Ratalu),2 tablespoons Kebab Masala - store bought.,2 Onions - finely chopped,3/4 cup Homemade tomato puree,6 cloves Garlic - pounded,1 inch Ginger - pounded,1 Green Chilli - pounded,2 teaspoons Red Chilli powder,1/4 teaspoon Turmeric powder (Haldi),2 teaspoons Coriander Powder (Dhania),1 teaspoon Cumin powder (Jeera),1/2 teaspoon Garam masala powder,2 tablespoons Curd (Dahi / Yogurt),Sunflower Oil - as required,Salt - to taste</t>
  </si>
  <si>
    <t xml:space="preserve">To begin making the Suran Kebab Masala Recipe, firstly peel the yam and cut into 1 inch cubes. Wash the suran well and drain the water. Pat dry the suran with absorbent paper.Transfer the suran pieces to a bowl, along with salt and kebab masala. Mix and coat all the pieces well. Allow to sit for 10 minutes. Heat oil in a heavy bottomed pan, on medium heat to deep fry the Suran Kebabs. Gently slide the Suran pieces from the side of the kadai and deep fry until crisp nd golden brown, stirring occasionally. This will take about 8-10 minutes. Drain the Suran Kebabs on absorbent paper and set aside. Now, in a pressure cooker add 1 teaspoon of oil and heat this on medium flame.Add finely chopped onions, saute till golden brown, for about 4-6 minutes. Next add ginger, garlic and green chilli paste. Mix well.At this stage, add red chilli powder and tomato puree. Cook well until oil separates. This will take about 3 to 4 minutes.Now add all the other dry masala powders including turmeric powder, coriander powder, cumin powder, garam masala powder and stir well. Let it cook for about 2 minutes.After 2 minutes, add the Suran Kebabs to this gravy, along with curd and salt. Mix everything well.Add water to adjust the consistency. Pressure cook for 2 whistles and allow the pressure to release naturally.Open the cooker, give it a stir and garnish with coriander leaves. Serve Suran Kebab Masala Recipe along with Palak Raita, Panchmel Dal and Phulka for a weekend meal.
</t>
  </si>
  <si>
    <t>http://www.archanaskitchen.com/suran-kebab-masala-recipe-yam-in-tomato-onion-gravy</t>
  </si>
  <si>
    <t>Thandai Mousse Recipe</t>
  </si>
  <si>
    <t>2 tablespoons Thandai Masala,2 teaspoon Agar agar - (china grass),1 cup Milk - room temperature,2 tablespoon Sugar - to taste,1 cup Heavy whipping cream,Lemon juice - from half a lemon,1 tablespoon Pistachios - chopped</t>
  </si>
  <si>
    <t xml:space="preserve">To prepare Thandai Mousse, cut china grass sheet into small pieces and blend in the mixer to get a coarse powder. Transfer to a bowl and keep aside. For whipping the cream, transfer the cream to a large bowl. Using an electric hand blender at medium speed whip the cream till soft peaks are formed. Keep the bowl of whipped cream in the fridge while you prepare the thandai flavored mixture.  In a small pan add milk, china grass and 1/2 cup of water. Heat pan over medium heat while stirring continuously the ingredients in the pan. Bring the mixture to the boil once, reduce the flame to low. Once pieces of china grass start dissolving in the liquid, add sugar. Stir to evenly combine.Now add the thandai masala, stir the mixture with a spoon continuously. Bring the mixture to boil once and then let it simmer over medium heat for few minutes or till it start thickening. Once liquid start thickening, turn off the heat. Arrange a metal strainer over a large bowl. Strain the hot mixture into the bowl. You will notice all the undissolved pieces of china grass remain in the sieve. Transfer the strained mixture into a steel bowl and place the bowl in a deep vessel filled with ice cubes for 8 to 10 minutes or until the mixture cools down. Whisk the mixture vigorously and continuously till it is in ice-cube vessel to avoid any lump formation.Add the beaten whipped cream and fold gently.Add the lemon juice and fold gently.Now gently fold in the whipped cream into the thandai flavored mixture. Once the whipped cream and the liquid is evenly combined, add the lemon juice. Stir gently once to combine the lemon juice. Transfer equal portions of mousse into the serving bowls. Refrigerate the mousse for about 6 hours or overnight to have it set perfectly.Garnish Thandai Mousse with chopped pistachio before serving.  Serve Thandai Mousse as a dessert along with a quick snack of Corn Matar Kachori this festive season.
</t>
  </si>
  <si>
    <t>http://www.archanaskitchen.com/thandai-mousse-recipe</t>
  </si>
  <si>
    <t>Sattu Ka Namkeen Sharbat Recipe</t>
  </si>
  <si>
    <t>3-1/2 tablespoons Roasted Gram Flour (Sattu Ka Atta),4 Mint Leaves (Pudina) - finely chopped,2 tablespoons Coriander (Dhania) Leaves - finely chopped,1 Green Chilli - finely chopped,1 tablespoon Lemon juice,1/2 teaspoon Cumin powder (Jeera),1/2 teaspoon Black Salt (Kala Namak),3 cups Chilled water,Salt - to taste</t>
  </si>
  <si>
    <t xml:space="preserve">To begin making the Sattu Ka Namkeen Sharbat Recipe, get all the ingredients handy.In a bowl, add the sattu flour. To this, add rest of the ingredients including pudina leaves, coriander leaves, green chilli, lemon juice, roasted cumin powder, black salt, and mix well after adding cold or chilled water.Stir until the drink is uniform and without any lumps. You can do this with a spoon or use a handheld buttermilk churner/whisk.Pour it into the tall glasses and serve.Serve the Sattu Ka Namkeen Sharbat Recipe in summers along with Gujarati Khandvi Recipe for a traditional after school snack for the kids or alongside Oranges With Cottage Cheese Recipe, or to your guests as a refreshing welcome drink.
</t>
  </si>
  <si>
    <t>https://www.archanaskitchen.com/sattu-ka-namkeen-sharbat-recipe</t>
  </si>
  <si>
    <t>Gahat Rasmi Badi Recipe (Uttaranchal Kulith Koftas In Tomato Onion Gravy)</t>
  </si>
  <si>
    <t>1 Cup Horse Gram Dal (Kollu/ Kulith) - soaked overnight,1/4 teaspoon Turmeric powder (Haldi),2 Green Chillies - chopped finely,1 tablespoon Sunflower Oil,1 Onion - chopped finely,1 Tomato - chopped finely,1/2 teaspoon Cumin seeds (Jeera),1/2 teaspoon Ginger Garlic Paste,1/2 teaspoon Red Chilli powder,1/4 teaspoon Garam masala powder,1/4 teaspoon Cinnamon Powder (Dalchini),1/2 cup Water,Salt - to taste</t>
  </si>
  <si>
    <t xml:space="preserve">To prepare Gahat Rasmi Badi Recipe (Uttaranchal Kulith Koftas In Tomato Onion Gravy), soak Gahat dal in water overnight. Drain the excess water and grind them into a coarse paste with turmeric, chopped green chilies and a little salt.Scoop a tablespoon of grounded paste and roll into small round balls. Ensure that the batter is firm to do koftas and is not watery.Steam the balls in a steamer or in an idly cooker for about 10 minutes until they are cooked completely. Remove the koftas once it is cooked and keep it aside.Heat a medium sized non-stick pan. Add oil to the pan.Once the oil is hot, add cumin seeds and let it splutter.Stir in the chopped onions and cook until they become transparent.Add ginger garlic paste and saute until the raw smell goes off.Add chopped tomatoes and cook until they become mushy.Add spice powders and combine them well.Now, add water to the onion-tomato mixture and cook until they are completely cookedSeason it with salt. Now add steamed gahat balls to the curry.Cook with the lid covered over medium flame for about 5 minutes until the balls are blended completely with the curry.Serve Gahat Rasmi Badi Recipe (Uttaranchal Kulith Koftas In Tomato Onion Gravy) with hot steamed rice and kulcha.
</t>
  </si>
  <si>
    <t>https://www.archanaskitchen.com/gahat-rasmi-badi-recipe-uttaranchal-kulith-koftas-in-tomato-onion-gravy</t>
  </si>
  <si>
    <t>1 tablespoon oil, 1 inch cinnamon, 2 cloves, 1 cup chickpeas or chickpeas, 1 cup broccoli, 1 onion - chopped, 1 tomato - chopped, 1 teaspoon ginger garlic paste, 1 teaspoon cumin powder, 1 teaspoon red chili powder, salt - according to taste, 1 cup water, green coriander - a little</t>
  </si>
  <si>
    <t>"To make Vegan Chole and Broccoli Curry recipe, first soak chickpeas in water for 1 hour. Put chickpeas in pressure cooker and cook for 3 hours. Let the pressure release on its own. After releasing the pressure, put 1/4 cup chickpeas in mixer grinder and grind it. Heat oil in a pan. After oil is heated, add cinnamon, cloves and cook for 10 seconds. Now add onion and cook till onion becomes soft. After onion becomes soft, add ginger garlic paste and cook for 2 to 3 minutes. After 2 to 3 minutes, add tomatoes and cook till tomato becomes soft. After tomato becomes soft, add red chili powder, cumin powder and salt. Mix. After 2 minutes, add chickpeas and ground chickpea paste. Add 1 cup water and boil. Reduce the flame of gas and let the vegetable cook. Now take water in a saucepan Add the broccoli and let it boil. After it boils, add the broccoli and cook for 2 minutes. After 2 minutes, wash the broccoli with cold water and keep it aside. Once the gravy is cooked, add the broccoli and mix it. Cook for 2 to 3 minutes, garnish with coriander leaves and serve. Serve Vegan Chole and Broccoli Curry with Tawa Parathas and Boondi Raita for lunch.</t>
  </si>
  <si>
    <t>https://www.archanaskitchen.com/vegan-chickpeas-and-broccoli-curry-recipe-in-hindi</t>
  </si>
  <si>
    <t>Broccoli Peanut Oats Tikki Recipe</t>
  </si>
  <si>
    <t>1/2 teaspoon Extra Virgin Olive Oil,1 cup Broccoli - grated,3 Potatoes (Aloo) - boiled &amp; mashed,1/2 cup Roasted Peanuts (Moongphali) - coarsely crushed,2 tablespoons Instant Oats (Oatmeal) - powdered,2 Green Chillies - finely chopped,2 cloves Garlic - finely chopped,1/4 teaspoon Garam masala powder,1 teaspoon Chaat Masala Powder</t>
  </si>
  <si>
    <t xml:space="preserve">To begin making the Broccoli Peanuts And Oats Tikki Recipe, get all the ingredients prepped and ready.Into a pressure cooked, add 3 potatoes, cut into half and half cup water. Pressure cook for 5 to 6 whistles and turn off the heat. Allow the pressure to release naturally.Peel the skin and mash the potato and keep aside.Into a mixer grinder, add the instant oats and make into a powder and keep aside. Pound the shelled roasted peanuts in a pestle &amp; mortar and keep aside.Into a large mixing bowl, add the broccoli, boiled, mashed potatoes, green chilli, garlic, powdered oats, chaat masala, garam masala, roasted crushed peanuts and salt to taste. Mix until all the ingredients are well combined.Divide the mixture into 8 portions and flatten them into thick discs.Place the tikkis on a preheated pan, drizzle a little oil over each tikki. Cook on both sides until golden.Once done, remove from the heat and transfer to a serving bowl.Serve Broccoli And Oats Tikki Recipe along with a Mint Chutney and Adrak Chai for a perfect tea time snack.
</t>
  </si>
  <si>
    <t>http://www.archanaskitchen.com/broccoli-peanuts-and-oats-tikkis-recipe</t>
  </si>
  <si>
    <t>Bharwa Karela Recipe</t>
  </si>
  <si>
    <t>5 Karela (Bitter Gourd/ Pavakkai),1 Onion - finely chopped,1 teaspoon Turmeric powder (Haldi),1 teaspoon Red Chilli powder,1 teaspoon Cumin seeds (Jeera),1 teaspoon Salt,1 teaspoon Coriander Powder (Dhania),1 teaspoon Mango pickle,Cotton threads - to tie and secure the guards,Sunflower Oil - for deep frying</t>
  </si>
  <si>
    <t xml:space="preserve">To begin with Bharwa Karela, firstly peel the Karelas and rinse it off with salt and turmeric to remove the bitterness and let it rest for 15-20 minutes.Now make a vertical cut on each Karela to fill the spicy masala.The next step is to prepare the masala. Take a mixing bowl and add turmeric powder, red chilli powder, cumin seeds, coriander powder, mango pickle, onion and salt. Mix it well.Now fill the dried Karelas with this tangy and spicy filling. After which wrap the Karela using a a cotton thread and secure it well by closing the slit.Heat the oil in a kadhai and once the oil is hot enough, drop the stuffed Karelas into the oil carefully.Fry them till they become brown. Once it is done, remove the thread and place it on a tissue paper to remove the excess oil.Serve Bharwa Karela along with Punjabi Dal Tadka and Boondi Raita for an everyday meal.
</t>
  </si>
  <si>
    <t>http://www.archanaskitchen.com/bharwa-karela-stuffed-bitter-gourds-recipe</t>
  </si>
  <si>
    <t xml:space="preserve">Dhingri Matar </t>
  </si>
  <si>
    <t>400 gms button mushrooms, 1/4 cup green peas - steamed, 1 cup soya chunks, 2 cups tomato puree, 1/2 tsp turmeric powder, 1 tsp garam masala powder, 1/2 tsp red chilli powder, 4 cloves garlic, 1 inch ginger, 1 tbsp poppy seeds, 5 cashews, oil - as per requirement, salt - as per taste, 4 sprigs coriander leaves - finely chopped</t>
  </si>
  <si>
    <t>"To make Dhingri matar, first make ginger garlic paste and keep it aside. Now put poppy seeds, cashews and some water in a mixer. Make a paste and keep it aside. Now soak soya chunks in hot water for 15 minutes and keep it aside. Now heat oil in a pan. Add ginger garlic paste and cook for 1 minute. Now add tomato puree, turmeric powder and let it cook for 2 minutes. Now add peas, soya chunks, mushrooms and let it cook till the mushrooms become soft. After the mushrooms become soft, add garam masala, cashew poppy seeds paste, salt, red chili powder and mix. Let it cook for 5 to 7 minutes. Turn off the gas and garnish with green coriander. Serve Dhingri matar with spinach raita and mint tawa paratha for lunch."</t>
  </si>
  <si>
    <t>http://www.archanaskitchen.com/dhingri-matar-recipe-mushrooms-and-peas-spicy-curry-in-hindi</t>
  </si>
  <si>
    <t>Green Peas, Potato and Paneer Tikki Recipe</t>
  </si>
  <si>
    <t>3 tablespoons Sunflower Oil,3 Potatoes (Aloo) - boiled and mashed,100 grams Paneer (Homemade Cottage Cheese) - grated,3/4 cup Green peas (Matar) - steamed,1 Onions - finely chopped,1/2 cup Instant Oats (Oatmeal),1 inch Ginger - grated,2 Green Chillies - finely chopped,2 sprig Coriander (Dhania) Leaves - finely chopped,1/2 teaspoon Cumin powder (Jeera),1/2 teaspoon Red Chilli powder,1 teaspoon Chaat Masala Powder,Salt - to taste</t>
  </si>
  <si>
    <t xml:space="preserve">To begin making the Green Peas, Potato and Paneer Tikki Recipe, first combine all the ingredients in a large mixing bowl, except the oil.Combine all the ingredients well, mash the green peas lightly with your hands as you mix. Check the salt and spice levels and adjust to suit your taste. The next step is to shape the tikkis into medium size discs. Divide the Green Peas Potato Paneer Tikki mixture into equal size portions and shape them into 1/2 inch thick discs.Once you have shaped them into discs, the next step is to cook the tikkis. Heat oil in a large skillet or pan and shallow fry the tikkis for 10-12 minutes on each side till golden brown and cooked through. Once the Green Peas, Potato and Paneer Tikki have cooked through, remove them from the pan and drain the excess oil in a kitchen paper towel. Arrange the Green Peas, Potato and Paneer Tikkis on a serving platter and serve it along with Green Chutney and Date Tamarind Chutney for the festivals like Diwali or as an appetizer for parties. Serve the Green Peas, Potato and Paneer Tikkis, along with a Tetley Lemon &amp; Honey Green Tea and stay light, fit and healthy.
</t>
  </si>
  <si>
    <t>http://www.archanaskitchen.com/green-peas-potato-and-paneer-tikkis-recipe</t>
  </si>
  <si>
    <t>Lauki Thepla Recipe</t>
  </si>
  <si>
    <t>1-1/2 cups Whole Wheat Flour,1/2 cup Gram flour (besan),1 cup Bottle gourd (lauki) - peeled and grated,1 Green Chilli - finely chopped,2 tablespoon Coriander (Dhania) Leaves - finely chopped,1 inch Ginger - peeled and crushed into paste,1/2 teaspoon Turmeric powder (Haldi),2 teaspoons Red Chilli powder,1 teaspoon Garam masala powder,2 tablespoons Hung Curd (Greek Yogurt),2 tablespoons Ghee,Salt - to taste</t>
  </si>
  <si>
    <t xml:space="preserve">To begin making the Lauki Thepla Recipe, in a mixing bowl, add wheat flour, gram flour, turmeric powder, red chili powder, chopped green chili, ginger paste, garam masala, salt to taste and grated lauki.Mix everything with your fingers. Keep on mixing till a firm dough is formed.Add curd only if needed. Normally bottlegourd releases water. But if the dough becomes too dry, add curd little at a time and make firm dough.Do not let the dough rest as the bottle gourd in it will release water and make the dough sticky.Make balls of equal size. Dust the rolling board with flour. Flatten the dough balls and roll it into thin theplas. Do not make them thick.Heat a tawa, spread 1 teaspoon ghee. Fry the thepla by applying ghee on both sides. When the theplas turn brownish they are done.To keep theplas soft, apply more ghee/oil to the theplas. Serve Lauki Thepla along with Aam Ka Achaar and Filter Coffee for your weekday breakfast.
</t>
  </si>
  <si>
    <t>https://www.archanaskitchen.com/lauki-thepla-recipe</t>
  </si>
  <si>
    <t>Khajoor Imli Ki Chutney With Panch Phoran Masala Recipe</t>
  </si>
  <si>
    <t>250 grams Dates - seedless,75 grams Tamarind - pitted,4 tablespoons Jaggery - broken,1 tablespoon Sunflower Oil,4 Dry Red Chillies,1 tablespoon Panch Phoran Masala,Salt - to taste</t>
  </si>
  <si>
    <t xml:space="preserve">To begin making the Khajoor Imli Ki Chutney recipe, soak tamarind in sufficient water for 1 hour approximately and collect the pulpy water.Discard the impurities well. In a separate bowl, soak jaggery for almost an hour.Crush with a fork and pass it through a sieve, discard the impurities and collect the melted jaggery in a bowl.In a blender jar, collect dates and by adding very little water, grind to make a thick paste.Heat a wok and add pulpy tamarind water and allow it to boil.Once the tamarind starts boiling, add in the mashed jaggery, dates paste and salt, stir well.Adjust the consistency as required. You can add little water if you want your chutney to be thin and runny, or else cook till the desired thickness is achieved.In a separate pan, heat oil and add dry red chilies and panch phoron. Allow them to crackle.Transfer the tempering into the chutney, turn off the gas and allow it to cool down completely.Once the chutney is cooled, collect it in a clean and dry air tight jar.The chutney remains good for months if stored in refrigerator and avoid using wet or moist spoon.Serve Khajoor Imli Ki Chutney With Panch Phoran Masala Recipe along with Samosa or use it in chaats.
</t>
  </si>
  <si>
    <t>https://www.archanaskitchen.com/khajoor-imli-ki-chutney-with-panch-phoran-masala-recipe</t>
  </si>
  <si>
    <t xml:space="preserve">Lilve Ki Sabzi </t>
  </si>
  <si>
    <t>Oil - as per requirement, 1 cup green gram - or lilva, 1 potato - chopped, 1 bay leaf, 2 cloves, 1 big cardamom, 1 tbsp ginger garlic paste, 2 tbsp curd, 1 onion - make a paste, 1 onion - finely chopped, 1 tsp red chilli powder, 3/4 tsp turmeric powder, 1 tsp coriander powder, salt - as per requirement, water - as per requirement, 3 sprigs of coriander - finely chopped</t>
  </si>
  <si>
    <t>"To make Lilve ki Sabzi, first heat oil in a pan. Once oil is hot, add bay leaves, cloves and cardamom. After 15 seconds, add onions and cook till soft. Now add potatoes and cook for another 5 minutes. After 5 minutes, add ginger garlic and onion paste. Let it cook for 2 to 3 minutes. After 3 minutes, add red chili powder, turmeric powder and coriander powder. After cooking for 2 minutes, add curd, salt and mix. After 3 minutes, add green gram. Mix, cover the pan and let it cook for 5 minutes. After 5 minutes, add water as per requirement and let it cook. After 4 to 5 minutes, turn off the gas and garnish with green coriander. Serve Lilve ki Sabzi with Panchmel Daal, Boondi Raita and Phulkas for lunch."</t>
  </si>
  <si>
    <t>https://www.archanaskitchen.com/lilve-ki-sabzi-recipe-green-chickpea-curry-in-hindi</t>
  </si>
  <si>
    <t>Sautéed Potatoes With Spinach</t>
  </si>
  <si>
    <t>3 potatoes - boiled and chopped, 500 grams spinach - washed and chopped, 1 onion - thinly sliced, ginger - small piece, 2 tomatoes - finely chopped, 1 tsp turmeric powder - turmeric powder, 1 tsp red chilli powder, 1/4 tsp cinnamon powder, 1/4 tsp garam masala powder, 1/2 tsp cumin seeds, oil - as per use, salt - as per taste</t>
  </si>
  <si>
    <t>"To make Aloo Palak ki Sabzi, first of all we will cook the spinach separately. Heat oil in a pan. Add spinach and salt and cook till the spinach is cooked. When spinach is cooked, it leaves water. So cook it on high flame so that the water dries up. After the water dries up, turn off the gas and keep the spinach aside. Heat oil again in the same pan. Add cumin seeds, ginger, onion and cook the onion till it turns golden. After the onion turns golden, add boiled potatoes, namak and let it cook for 2 to 4 minutes. After 2 to 4 minutes add tomatoes, turmeric powder, red chilli powder, cinnamon powder, garam masala powder and salt. Mix everything well. Cook for 4 to 5 minutes and then add the cooked spinach to it. Cover the pan and let it cook for 3 to 5 minutes. After that take it out in a serving bowl and serve hot."</t>
  </si>
  <si>
    <t>https://www.archanaskitchen.com/sauteed-potatoes-with-spinach-recipe-in-hindi</t>
  </si>
  <si>
    <t>Aloo Kulcha Recipe (Spiced Potato Stuffed Indian Flat Bread)</t>
  </si>
  <si>
    <t>3 cups All Purpose Flour (Maida),3 tablespoon Hung Curd (Greek Yogurt),1/3 teaspoon Baking soda,1/2 teaspoon Baking powder,1 teaspoon Sugar,1 tablespoon Sunflower Oil,Salt - to taste,Lukewarm Water - as needed,4 Potatoes (Aloo) - boiled and peeled,1/2 teaspoon Salt,2 Green Chillies - chopped fine,1 inch Ginger - grated,1/2 teaspoon Chaat Masala Powder,1/2 teaspoon Red Chilli powder,1/2 teaspoon Cumin powder (Jeera),1 teaspoon Coriander Powder (Dhania),1/4 teaspoon Garam masala powder,1/4 cup Coriander (Dhania) Leaves - finely chopped,1 teaspoon Ajwain (Carom seeds),1/2 cup Ghee - (adjust)</t>
  </si>
  <si>
    <t xml:space="preserve">To begin making the Aloo Kulcha Recipe first prepare the dough. To do this, sieve the all purpose flour, baking soda, baking powder, salt and sugar together to combine them.Add the curd and oil to it. Combine it with your fingers. Next add the lukewarm water a little bit at a time while kneading the flour together. Punch, press and pull the dough together kneading it continuously till it forms a firm, but soft dough.Knead well for a minimum of 5 to 7 minutes so that the dough is smooth. Apply a little bit of oil all over the dough and cover it with a wet towel. Set it aside in a warm place for 3 to 4 hours to rise a little bit. You can do this in a just-warmed oven, if you live in a cold place.In the meantime, prepare the stuffing for the kulcha. Mash the boiled and peeled potatoes, in a mixing bowl.Add salt, green chillies, coriander powder, cumin powder, grated ginger, chat masala, red chilli powder, garam masala, coriander leaves and mix well with your fingers till it is a evenly combined potato mixture.Now, to prepare the Aloo Kulchas, turn out the dough onto a work surface dusted with a little flour. Knead it for 3-4 minutes, then roll out the dough into a long cylinder and cut it into 8 individual portions.Rolle acc of the portions into a ball. Taking one ball at a time, flatten it out with your fingers to form a small disc about 3 inches in diameter. Take a spoonful of the spicy potato filling, place it in the centre of the disc.Bring the edges of the dic together into the centre and seal the filling inside to make a stuffed dough ball.Flatten it down slightly with your palm, and using a little flour for dusting, roll it out gently with a rolling pin to make a thin round about 5 inches in diameter. The kulcha will be slightly thicker than a usual chapati due to the stuffing. Take care not to let the stuffing ooze out of the kulcha.Next, wet your palms with a little water and pat one side of the kulcha with it. Sprinkle a pinch of ajwain seeds and chopped coriander leaves over it and press down so they stick to the kulcha.Warm a skillet or tava on a medium heat. When it is hot enough, place the kulcha on it, wet side down.Now, wet your palms again and pat the other side as the kulcha cooks on a medium heat. Sprinkle the reverse side with ajwain and chopped coriander as well.When little bubbles begin to form on the surface, flip the kulcha over to cook the other side. Repeat until both sides are browned evenly.When ou take the kulcha off the tava, liberally apply butter or ghee over it and stack them for serving.Repeat the procedure for the rest of the rounds made and all the kulcha are cooked.Serve hot along with Chole Pindi and a simple Mooli Raita or Salad for a quick wholesome lunch or dinner.
</t>
  </si>
  <si>
    <t>http://www.archanaskitchen.com/aloo-kulcha-recipe-spiced-potato-stuffed-indian-flat-bread</t>
  </si>
  <si>
    <t>Hariyali Mutton Curry Recipe</t>
  </si>
  <si>
    <t>500 grams Mutton,2 Onions - pureed,2 Tomatoes - pureed,Salt - to taste,1 teaspoon Sunflower Oil,2 tablespoon Fresh cream,2 cups Coriander (Dhania) Leaves,2 tablespoon Mint Leaves (Pudina),8 Green Chillies - adjustable,2 Cloves (Laung),2 inch Cinnamon Stick (Dalchini),2 Cardamom (Elaichi) Pods/Seeds,1/2 Star anise,2 tablespoon Ginger - chopped,2 tablespoon Garlic - chopped</t>
  </si>
  <si>
    <t xml:space="preserve">To begin making the Hariyali Mutton Curry recipe, clean/rinse mutton pieces. Add 1 teaspoon salt and pressure cook in 1/2 cup water for about 3 whistles.Grind all the ingredients mentioned under ‘for green masala’ together with a little water.Heat oil in a pan. Add onion paste and saute until raw smell of the onions goes off.Add tomato puree and cook until oil separates from the sides of the pan.Add green masala paste and cook for 5 minutes. Add cooked mutton pieces and mix well.Add salt to taste and little water if required. Simmer and cook covered for 10 to 15 minutes. Whisk cream and add it to the curry. Serve hot.Serve Hariyali Mutton Curry along with Pudina Lahsun Lachha Paratha, Tomato Onion Cucumber Raita and Steamed Rice for a weeknight dinner.
</t>
  </si>
  <si>
    <t>https://www.archanaskitchen.com/hariyali-mutton-curry-recipe</t>
  </si>
  <si>
    <t>Sookha Bhujia Bhel Recipe</t>
  </si>
  <si>
    <t>2 cups Sev - Bhujia  (you can use any sev),1/2 cup Onions - finely chopped,1/2 cup Tomatoes - finely chopped,1/4 cup Cucumber - finely chopped,1 Green Chilli - finely chopped,2 tablespoons Coriander (Dhania) Leaves - finely chopped,1/4 cup Green Channa Sprouts - optional of your choice,2 tablespoons Sweet Chutney (Date &amp; Tamarind),1 tablespoon Green Chutney (Coriander &amp; Mint),1 teaspoon Lemon juice,1/4 teaspoon Chaat Masala Powder,Salt and Pepper - to taste</t>
  </si>
  <si>
    <t xml:space="preserve">To begin making the Sookha Bhujia Bhel Recipe, take a big bowl and add all the ingredients except bhujia sev and mix well.Just before serving add the crunchy bhujia sev, and give it a good stir. It is ready to be served.Serve the Sookha Bhujia Bhel as an after school snack for kids with Papaya Banana Smoothie or Red Wine Sangria Cocktail Recipe as a party appetizer.
</t>
  </si>
  <si>
    <t>https://www.archanaskitchen.com/sookha-bhujia-bhel-recipe</t>
  </si>
  <si>
    <t>2 cup all purpose flour, 3 tbsp oil, 1/4 tsp celery, 1/2 tsp lemon juice, 4 potatoes - boil, 1/2 cup green peas - boil, 1/4 cup carrots - boil and chop, 1/4 tsp mustard, 1/4 tsp coriander seeds, 1/4 cup onion - finely chopped, 5 curry leaves, 3 green chillies - finely chopped, 1 inch ginger - grated, 1/2 tsp red chilli powder, 1/2 tsp coriander powder, 1/4 tsp turmeric powder, 1 tsp garam masala powder, salt - according to taste, oil - according to use</t>
  </si>
  <si>
    <t>"To make Vegetable Samosa recipe, first of all add flour, salt, oil, celery and lemon juice in a big bowl and mix well. Add water slowly and knead well. Keep aside. Now heat oil in a pan. Add mustard seeds and let them crackle. After crackling, add onion, green chili, curry leaves, ginger and cook till onion becomes soft. After onion becomes soft, add red chili powder, coriander powder, turmeric powder, garam masala powder, salt and mix well. After 2 minutes add mashed potatoes, green peas, carrots and mix well. Add coriander leaves, cook for 2 minutes and your masala is ready. Now take a medium size ball and roll it a little thick. Now cut it in half. Now apply water on the corner and make a cone shape. Now add samosa mixture in it and mix it on top. Make all the samosas in the same way. Now heat oil in a pan. One by one Add the samosa and cook till it turns golden brown. Drain it on a kitchen towel to absorb excess oil. Serve. Serve Vegetable Samosa Recipe with Coriander Mint Chutney and Masala Chai for lunch. "</t>
  </si>
  <si>
    <t>http://www.archanaskitchen.com/mixed-vegetable-samosa-recipe-in-hindi</t>
  </si>
  <si>
    <t>Homemade Butter Naan Recipe - Soft Yogurt Bread</t>
  </si>
  <si>
    <t>3 cups All Purpose Flour (Maida),1/2 cup Butter (unsalted) - softened,1 cup Curd (Dahi / Yogurt),3 tablespoons Lukewarm Water,1 tablespoon Sugar,2 teaspoons Active dry yeast,1-1/2 teaspoons Salt,2 teaspoons Chaat Masala Powder,1 tablespoon Butter - softened</t>
  </si>
  <si>
    <t xml:space="preserve">To begin making the Butter Naan recipe, in a large bowl add the 3 cups of flour and butter. With your hands, blend the butter into the flour until it forms coarse crumbs. You can do this in a blender as well, but the dough when worked with hands gives a better texture to the dough.Stir together the warm water, yeast  and sugar until yeast is completely dissolved. Now make a well in the center of the flour mixture and add the yogurt, salt and yeast mixture.Knead into the flour and until the whole dough collects into a mass. Add a little more water if required to bring the dough together. The dough will be wet and sticky. Wipe your hands clean and oil them. Now knead the naan dough with the oiled hands until smooth , for about 10 minutes; oil your hands more if the dough is sticky. The dough after 10 minutes of kneading will still be soft and pliable. Place the dough in a greased bowl, cover the bowl and  allow the dough to rest for 3 to 4 hours until the dough has doubled in volume. Once the naan dough has doubled, punch down the dough, knead for a minute and divide into 12 to 15 equal portions.With a rolling pin, quickly roll out each ball into a 5 inch oval. With your fingers, stretch each round into a 5-7 inch oval. The next step is to cook the naans. Follow either of the below methods.Method for Cooking the Naans in the OvenPreheat the oven to 250 C or to the maximum heat.If you have a baking stone; place it in the oven. Arrange a few of the naans in a single layer on the ungreased baking sheets or directly on the baking stone. And bake until they are puffed and lightly brown, 3-4 minutes.Repeat with the same process of baking with the remaining naans. Keep the baked naans aside. Naans can be pre made and kept warm wrapped in a cloth and inside bread box or any other covered container.Before serving, preheat broiler to maximum heat. Transfer a few of the naans to the broiler pan and broil for 15-20 seconds to brown the tops.You can also brown the tops on the gas stove; hold the naans with the tongs and place them directly over the flame for about 10 seconds. Repeat with remaining breads.Method for Cooking the Naans on Gas StoveHeat an iron skillet on high heat. Place the rolled naans out on the skillet and cook on both sides until you can see light brown spots and bubbles coming through. Using tongs, flip the naan directly on the flame to give it the roasted flavor and make it little more crisp.Once done, remove from the flame and serve hot.Brush the tops of the Butter Naan lightly with chaat masala and butter if desired. Serve the Butter Naans hot.Serve Homemade Butter Naan recipe with Paneer Makhani or Smoked Dal Makhani Dhaba Style Recipe and Pickled Onions for a weekend lunch or dinner.
</t>
  </si>
  <si>
    <t>https://www.archanaskitchen.com/homemade-butter-naan-recipe</t>
  </si>
  <si>
    <t>Pahadi Chicken Curry Recipe</t>
  </si>
  <si>
    <t>500 grams Chicken - with bone,1/2 cup Curd (Dahi / Yogurt) - whisked,1/4 cup Milk,1 teaspoon Turmeric powder (Haldi),2 Cardamom (Elaichi) Pods/Seeds,1 Black cardamom (Badi Elaichi),2 sprig Coriander (Dhania) Leaves - chopped,Salt - to taste,Sunflower Oil,2 Onions - chopped,4 cloves Garlic - chopped,1 inch Ginger,2 tablespoon Coriander (Dhania) Seeds,1 inch Cinnamon Stick (Dalchini),2 Cloves (Laung),1 teaspoon Fennel seeds (Saunf),1 teaspoon Whole Black Peppercorns,1 Green Chilli - chopped</t>
  </si>
  <si>
    <t xml:space="preserve">To begin making the Pahadi Chicken Curry Recipe, heat a kadai with oil. Once the oil is hot, add cloves, cinnamon stick, cloves and allow it to fry for few seconds.Add coriander seeds, fennel seeds, garlic, ginger and saute till they soften. Add onions and saute till the onions turn translucent and become brown.Allow it to cool down and grind the onion mixture to a smooth paste by adding little water ina  mixer grinder.Heat the same kadai with little oil, add chicken pieces, turmeric powder, salt and fry till the chicken turn golden brown and crispy.Take the chicken out, and in the same oil, add black cardamom, green cardamom and allow it the aroma to release for few seconds.Add onion mixture and cook for about 4 to 5 minutes.After 4 to 5 minutes, add chicken pieces, whisked curd, milk and mix well. Check for salt and cook the pahadi chicken curry on medium heat.You can add some water to adjust the consistency of the chicken curry.Cover and cook the Pahadi Chicken Curry in medium heat for about 10 minutes. Add coriander leaves at the end, give it a mix and serve hot.Serve the Pahadi Chicken Curry Recipe along with Butter Garlic Naan, Pickled Onions (Pyaz Kachumber) and Jeera Rice for a weekday meal with your family.
</t>
  </si>
  <si>
    <t>http://www.archanaskitchen.com/pahadi-chicken-curry-recipe</t>
  </si>
  <si>
    <t>Kurkuri Bhindi And Onion Masala Recipe</t>
  </si>
  <si>
    <t>250 grams Bhindi (Lady Finger/Okra) - sliced in small round shape,1-1/2 tablespoon Gram flour (besan),1-1/2 teaspoon Red Chilli powder,1 teaspoon Turmeric powder (Haldi),1-1/2 teaspoon Coriander Powder (Dhania),1/2 teaspoon Amchur (Dry Mango Powder),Salt - as required,Water - as required,Sunflower Oil - as required,1 teaspoon Cumin seeds (Jeera),1/2 teaspoon Mustard seeds,1/4 teaspoon Asafoetida (hing),1 tablespoon Ginger Garlic Paste,1 Green Chilli - finely chopped,2 Onions - finely chopped,Coriander (Dhania) Leaves - finely chopped</t>
  </si>
  <si>
    <t xml:space="preserve">To begin making the Kurkuri Bhindi And Onion Masala recipe, Firstly we will make the kurkuri bhindi. Take a mixing bowl, add the sliced bhindi, besan, 1/2 teaspoon red chilli powder, 1/2 teaspoon turmeric powder, 1/2 teaspoon coriander powder, 1/2 teaspoon amchur powder, required salt and a little water. Mix everything properly.Once it is done, heat oil in a wok and fry the bhindis. Once done, take it out on the absorbent paper to absorb the extra oil. Keep it aside.Now heat oil in a different wok. Add cumin seeds, mustard seeds, hing and green chillies.After 10 to 15 seconds add in the ginger garlic paste. Saute it for a minute and then add the chopped onions. Cook till it becomes soft and translucent.Add in the remaining red chilli powder, turmeric powder, coriander powder and the required salt. Mix it, cover the kadai and let it cook for 3 to 4 minutes.Add in the fried bhindi and mix it properly. Cook for two more minutes, switch off the stove and garnish with chopped coriander leaves.Serve Kurkuri Bhindi And Onion Masala along with Panchmel dal and Phulka for a weekday meal.
</t>
  </si>
  <si>
    <t>http://www.archanaskitchen.com/kurkuri-bhindi-and-onion-masala-recipe</t>
  </si>
  <si>
    <t>Pudina Lassi Recipe</t>
  </si>
  <si>
    <t>1 cup curd, ice - as per requirement, 1 green chilli - chopped, 1/2 cup mint - washed and chopped, 1/2 teaspoon black salt or rock salt - optional</t>
  </si>
  <si>
    <t>"To make Pudina Lassi Recipe, first add curd, mint leaves, black salt, green chillies and grind well. Blend for 2 to 3 minutes. Now add ice and again blend for 30 seconds. Pour it in a glass and serve. Serve Pudina Lassi Recipe with Daal Banjara, Sev Tomato Ki Sabzi and Phulkas for lunch."</t>
  </si>
  <si>
    <t>https://www.archanaskitchen.com/pudina-lassi-recipe-refreshing-pud-lassi-recipe-in-hindi</t>
  </si>
  <si>
    <t>Surati Jowar Vada Recipe</t>
  </si>
  <si>
    <t>1 cup Jowar Flour (Sorghum),1/2 cup Gram flour (besan),1 inch Ginger - chopped,4 cloves Garlic - chopped,1 teaspoon Red Chilli powder,1/2 teaspoon Turmeric powder (Haldi),1 cup Curd (Dahi / Yogurt),Salt - to taste,3 teaspoon Sesame seeds (Til seeds),Sunflower Oil</t>
  </si>
  <si>
    <t xml:space="preserve">To begin making the Surati Jowar Vada Recipe, mix all the ingridietns into a bowl and add about 1/2 cup water to form a batter.Rest the batter for atleast an hour and then start to fry them.Heat the Kuzhi paniyaram Pan and add a drop of oil to coat the pan; once the pan is well heated scoop the vada batter using a scoop spoon. Cover the pan and allow it to steam.You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is the test to check whether it is has been cooked. Continue the same process with the remaining batter.Serve the Surati Jowar Vada Recipe as a snack recipe along with adrak chai or Punjabi Style Espresso Coffee.
</t>
  </si>
  <si>
    <t>https://www.archanaskitchen.com/surati-jowar-vada-recipe</t>
  </si>
  <si>
    <t xml:space="preserve">Rose Gulkand Phirni </t>
  </si>
  <si>
    <t>2 litres milk - full fat, 1/2 cup rice - soaked in water for 30 minutes, 1-1/2 cups condensed milk, 4 tbsp rose petals - soaked in 4 tbsp hot milk, 2 tbsp gulkand, 2 tbsp sugar, 2 tbsp rose water - or Rooh Afzah, 1/2 tsp cardamom powder, 1/2 tsp fennel powder, 1 tsp rose water, 12 pistachios - chopped, 12 almonds - chopped, 12 cashews - chopped, rose petals - dried (few)</t>
  </si>
  <si>
    <t>"To make Gulab Gulkand Phirni, first drain the water from the soaked rice. Grind the rice into a coarse mixture. Add 1/4 cup water, mix it and keep it aside. Now put the milk to boil in a saucepan. After the milk boils, reduce the flame and add the ground rice to it. Keep stirring till the milk thickens and by this time the rice should also be cooked. After the rice is cooked, add the remaining ingredients and let it cook for another 3 to 5 minutes. Turn off the gas and keep the Phirni aside to cool. Garnish with nuts and rose petals and serve. Serve Gulab Gulkand Phirni as a dessert after dinner or lunch."</t>
  </si>
  <si>
    <t>http://www.archanaskitchen.com/rose-gulkand-phirni-recipe-in-hindi</t>
  </si>
  <si>
    <t>Jain Style Corn Palak Recipe</t>
  </si>
  <si>
    <t>1 cup Spinach Leaves (Palak) - packed,1/2 cup Sweet corn - boiled,Salt - to taste,1 tablespoon Sugar,1/2 tablespoon Kasuri Methi (Dried Fenugreek Leaves),1 teaspoon Lemon juice,1 tablespoon Garam masala powder,1/2 teaspoon Red Chilli powder,1/2 teaspoon Cumin powder (Jeera),Sunflower Oil - as required,2 Tomatoes,2 Green Chillies,8 to 10 Cashew nuts,Sunflower Oil - as required,1/2 teaspoon Cumin seeds (Jeera),Asafoetida (hing),1/2 teaspoon Red Chilli powder</t>
  </si>
  <si>
    <t xml:space="preserve">To begin making the Jain Style Corn Palak recipe, blanch the spinach leaves and reserve in ice cold water. Drain and puree into a paste in a mixer grinder.Saute the ingredients mentioned under "To grind" in 1 teaspoon oil till tomato shrivels a bit and grind to a smooth paste once cooled using some water.In a heavy bottomed pan, temper with the tempering ingredients, add the turmeric, pureed spinach, salt. Mix well and let the spinach paste cook for 3 to 4 minutes till it dries up a bit.Now add the pureed tomato masala, dry spice powders and corn. Mix well and let it simmer lightly for 8-10 mins.Adjust water to desired thickness, adding a tablespoon or two at a time. Finish with crushed kasuri methi, salt and lemon juice.Mix everything well and it is ready to be served. Serve Jain Style Corn Palak along with Phulka, Pudina Tawa Paratha or Steamed Rice for a weekday lunch or dinner.
</t>
  </si>
  <si>
    <t>http://www.archanaskitchen.com/jain-style-corn-palak-recipe</t>
  </si>
  <si>
    <t>Yogurt Based Bottle Gourd Sabzi</t>
  </si>
  <si>
    <t>1-1/2 cup bottle gourd - peel and chop, 1/2 teaspoon cumin seeds, 1/2 teaspoon mustard seeds, 5 curry leaves, 1 green chilli - finely chopped, 3 long garlic - finely chopped, 1 onion - finely chopped, 1 tomato - chopped, 1/4 cup curd, 1 teaspoon red chilli powder, 1/2 teaspoon turmeric powder, 1/2 teaspoon coriander powder, salt - according to taste, water - according to need, oil - according to need</t>
  </si>
  <si>
    <t>"To make Sukhi Dahi Wali Lauki (Sukhi Dahi Wali Lauki), first heat oil in a pan. Add cumin seeds, mustard seeds, curry leaves and green chillies. After 10 to 15 seconds, add garlic and onion. Cook till onion becomes soft. After onion becomes soft, add chopped bottle gourd. Mix and then add salt, turmeric powder and mix everything again. Cook for 3 to 4 minutes. After this add tomatoes, red chilli powder and coriander powder. Mix everything and cover the pan. Now mix curd and water in a bowl and keep it aside. When the bottle gourd becomes soft, reduce the flame and add curd. Keep mixing it. After curd is well mixed with the bottle gourd, cover the pan again and cook for next 5 minutes. Serve hot after 5 minutes. Serve Sukhi Dahi Wali Lauki with Rajasthani Kadhi, Khichiya Churi and Phulka for lunch. "</t>
  </si>
  <si>
    <t>https://www.archanaskitchen.com/yogurt-based-bottle-gourd-sabzi-recipe-in-hindi</t>
  </si>
  <si>
    <t>Malpua With Rose And Saffron Syrup Recipe</t>
  </si>
  <si>
    <t>1 cup Milk,1/2 cup Sooji (Semolina/ Rava),1/2 cup All Purpose Flour (Maida),1/3 cup Khoya (Mawa),1/4 teaspoon Baking powder,2 tablespoons Sugar,1/2 teaspoon Fennel seeds (Saunf) - crushed,1/4 teaspoon Cardamom (Elaichi) Pods/Seeds - crushed,1/4 cup Raisins,Pistachios - or almonds to garnish,Sunflower Oil - to deep fry,2 cup Sugar,1-3/4 cup Water,5 Cardamom (Elaichi) Pods/Seeds,8 Saffron strands,1 teaspoon Rose Essence,Rabri - thick clotted cream</t>
  </si>
  <si>
    <t xml:space="preserve">To begin with Malpua With Rose And Saffron Syrup, pour the milk into a saucepan and let it boil. Switch off the heat when it reaches the boiling point.Add semolina/suji to the milk and mix well. Let it stand for 15-20 min and again mix it properly.Add flour, sugar and mawa, mix well. Grate the mawa/khoya before adding to the mixture.Add crushed fennel seeds, cardamom seeds and raisins and mix it gently. Cover the mixture and let it stand for at least an hour.The next step is to make the syrup. Add measured amount of sugar and water in a saucepan and let it boil. As the sugar dissolves completely, lower the heat to medium.Add cardamoms, saffron and rose to flavour the syrup. Keep the syrup hot.Now to make the pancakes/malpuas, heat sufficient oil in a deep fry pan for frying. As the oil is heating up, beat the batter really well. Add baking powder to the batter just before frying.Once the oil is hot, reduce it to the lowest point. Next, take a ladle full of batter, pour it gently into the oil and do not touch.Once it starts to get golden brown, turn it over and let it fry on the other side as well.Deep fry till nicely brown. The edges should start to get crispy but the centre still be a little soft. Drain the pancakes on tissues.Dip it in the hot rose and saffron syrup.To serve the malpuas, remove the pancakes/malpuas from the syrup, transfer them to individual plates, pour a bit of syrup on top and garnish it with almonds and pistachios. Serve with cold rabri on the side.Serve Malpua With Rose And Saffron Syrup as a dessert after your meal or you can also serve it to your guest with some spicy snack like Matar Samosa or Moong Dal Mini Samosas.
</t>
  </si>
  <si>
    <t>https://www.archanaskitchen.com/malpua-with-rose-and-saffron-syrup-recipe</t>
  </si>
  <si>
    <t>High Protein Broccoli and Dill Stuffed Paratha Recipe</t>
  </si>
  <si>
    <t>1 cup Whole Wheat Flour,1 teaspoon Salt,Water - as required,1/2 cup Gram flour (besan),1 cup Broccoli - florets blitzed into small pieces,1/2 cup Dill leaves - chopped,1 Red Bell pepper (Capsicum) - chopped,1 Onion - chopped,1 inch Ginger - chopped,4 cloves Garlic - chopped,1 teaspoon Red Chilli powder,1 teaspoon Turmeric powder (Haldi),Salt - to taste,Sunflower Oil</t>
  </si>
  <si>
    <t xml:space="preserve">We begin making the High Protein Broccoli and Dill Stuffed Paratha Recipe by mixing for the dough, add all the ingredients and add water slowly and knead it into a firm and non-sticky dough. Keep it aside covered.Now to make the stuffing, heat a sauce pan, crackle the cumin seeds and asafetida. Add in the chopped vegetables and saute till it is cooked.In a separate bowl add the red chilli powder, salt Besan flour and water, mix well, keep it aside. Then add it to the sautéing vegetables.Mix well and cook till it is cooked. Check for seasoning and saute well. Leave it to cool down.Now to begin making the paratha, keep some flour aside for dusting. Divide the dough into large lemon side balls.Dust the dough portions in flour, flatten it and roll it into a 3 inch diameter circle.Now add the Broccoli and Bell peppers Mixture, add about a tablespoon in the center. Close the paratha by folding it from all the side like a dumpling and seal it properly and flatten it. Take care, the filling can ooze out if the dough is rolled out too thin.Now to cook the Protein Broccoli and Dill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parathas hot.Serve the High Protein Broccoli and Dill Stuffed Paratha Recipe as a Lunch meal for your kids lunch box or have it during lunch on Sunday.
</t>
  </si>
  <si>
    <t>http://www.archanaskitchen.com/high-protein-broccoli-and-dill-stuffed-paratha-recipe</t>
  </si>
  <si>
    <t>1/2 cup Kabuli Chana (White Chickpeas),1 Onion - chopped,1 teaspoon Ginger Garlic Paste,1 teaspoon Basil powder - or oregano,1/2 teaspoon Red Chilli flakes,1 teaspoon Black pepper powder,Turmeric powder (Haldi) - a pinch,1 teaspoon Sunflower Oil,Lemon juice - to taste,Salt - to taste</t>
  </si>
  <si>
    <t xml:space="preserve">To begin making the Chickpea Soup recipe, wash and soak chickpeas for 8 to 10 hours. Pressure cook chickpeas for 3 to 4 whistles till they are soft. While cooking add a cup of water and a pinch of turmeric. Allow the chickpeas to cool. Once they are cool enough to handle, add some more water and blend the chickpeas to a super smooth paste. Heat a teaspoon oil in a wok. Saute chopped onions, ginger garlic paste till raw smell goes. Add chickpeas puree and add water as required to get the desired consistency.Add salt, basil powder, chilli flakes and bring it to boil. Finally, add freshly ground pepper powder and few drops of lemon and boil for another 2 minutes. Serve hot.Serve Chickpea Soup along with Garlic Bread for a weeknight healthy and light dinner.
</t>
  </si>
  <si>
    <t>http://www.archanaskitchen.com/chickpea-soup-recipe</t>
  </si>
  <si>
    <t xml:space="preserve">Panjiri Ladoo </t>
  </si>
  <si>
    <t>75 gms dry ginger, 15 gms cumin, 15 gms celery, 15 gms coriander seeds, 15 gms whole black pepper, 15 gms fennel, 125 gms ghee, 500 gms sugar - powdered</t>
  </si>
  <si>
    <t>To make traditional Panjiri Laddu, first grind dry ginger, dry coriander, cumin, celery, black pepper, fennel in a mixer. Take out the ground mixture in a bowl. Add sugar and ghee. Mix all the ingredients and make laddus. Place Tulsi leaves on it and offer it as Prasad. Serve traditional Panjiri Laddus as Prasad on the day of Janmashtami.</t>
  </si>
  <si>
    <t>http://www.archanaskitchen.com/panjiri-ladoo-recipe-in-hindi</t>
  </si>
  <si>
    <t>Rajasthani Hari Mirch Ka Maas Recipe</t>
  </si>
  <si>
    <t>400 grams Mutton - on the bone,3 Green Chillies,1 tablespoon Lemon juice,Salt - to taste,1/2 teaspoon Turmeric powder (Haldi),2 tablespoons Ghee,1 tablespoon Ginger - finely chopped,1 tablespoon Garlic - finely chopped,2 Onions - thinly sliced,1/2 cup Curd (Dahi / Yogurt),2 sprig Coriander (Dhania) Leaves - finely chopped,1 Green Chilli - large sized,1/2 teaspoon Red Chilli powder</t>
  </si>
  <si>
    <t xml:space="preserve">To begin making the Rajasthani Hari Mirch Ka Maas Recipe, we need to roast the fresh green chillies. Dry roast the green chillies on medium flame for about a minute until it wilts a little and turn off the flame. Transfer the green chillies into a mixer jar and grind into a paste with very little water. Transfer to a large mixing bowl. Into the mixing bowl, add in salt, turmeric powder, lemon juice and the mutton pieces. Mix well and allow the mutton to marinate for about an hour. Getting ahead to make the Rajasthani Hari Mirch Ka Maas RecipeHeat a pressure cooker with ghee on medium flame, into the hot ghee add in the onions, ginger- garlic and saute until the onion turns into a light brown colour. Once the ginger, garlic and onions have cooked well, add in the mutton along with the marinade. Mix well and continue to cook until the mutton has cooked half way through - about 5 minutes.At this stage, add in the yogurt, red chilli powder and the green chillies. Adjust the salt to your taste, add about half a cup of water and give it a good mix. Close the pressure cooker and pressure cook for 3-4 whistles. Turn off the flame and allow the pressure to release naturally. Once the pressure has released, open the cooker and mix in the coriander leaves.  Transfer the Rajasthani Hari Mirch Ka Maas to a serving bowl and serve hot.Serve Rajasthani Hari Mirch Ka Maas Recipe along with Dhaba Style Spicy Ghee Rice Recipe Made From Whole Spices, Pickled Onions Recipe, for a soulful comforting meal.
</t>
  </si>
  <si>
    <t>https://www.archanaskitchen.com/rajasthani-hari-mirch-ka-maas-recipe</t>
  </si>
  <si>
    <t>Nawabi Kofta Curry Recipe</t>
  </si>
  <si>
    <t>4 Potatoes (Aloo) - boiled and peeled,1 teaspoon Black pepper powder,250 grams Paneer (Homemade Cottage Cheese) - crumbled,2 tablespoons Cashew nuts - chopped,2 tablespoons Raisins - chopped,2 Green Chillies - finely chopped,2 sprig Coriander (Dhania) Leaves - chopped,1 teaspoon Cumin powder (Jeera),1 teaspoon Garam masala powder,Salt - to taste,2 cups Homemade tomato puree,2 tablespoons Ghee,2 Onion - chopped,5 cloves Garlic,1 inch Ginger,1 teaspoon Fennel seeds (Saunf),1 teaspoon Coriander (Dhania) Seeds,2 Cloves (Laung),1 inch Cinnamon Stick (Dalchini),2 Cardamom (Elaichi) Pods/Seeds,1/2 teaspoon Turmeric powder (Haldi),1 teaspoon Kashmiri Red Chilli Powder,1/4 cup Fresh cream,Salt - to taste,2 sprig Coriander (Dhania) Leaves - chopped to garnish</t>
  </si>
  <si>
    <t xml:space="preserve">To begin making the Nawabi Kofta Curry Recipe, we will first make the kofta for the curry.In a large bowl, combine the mashed potatoes, along with the salt and pepper powder. Mix well to make a smooth mixture. Grease palms with oil divide them into 6-8 equal portions shaped into balls.To make the filling of the nawabi koftas, in another bowl, combine the crumbled paneer, cashew nuts, raisins, green chillies, salt, cumin powder, garam masala powder and coriander leaves. Mix well to combine them, grease palms with oil divide them into  6-8 equal portions shaped into balls.Next grease your fingers and palms with oil. Take one portion of the potato mixture and flatten it on the palm of your hand. Place the paneer - dry fruit filling in the center.Then bring the edges of the flattened potato towards the center to cover the filling forming a stuffed aloo kofta. Proceed the similar way to make the rest of the koftas.Preheat a paniyaram pan, with a few drops of oil in each of the cavities on medium high flame.Once the oil is hot, gradually lower the koftas into each of the cavities, flip and cook until golden brown in colour.  Drain them on an absorbent kitchen towel and set aside. *To make the Nawabi Kofta Curry RecipeIn a small skillet, dry roast the fennel seeds, coriander seeds, cloves, cinnamon and cardamom for about 3-4 minutes on medium low flame or until the aroma of the spices wafts in the air. Turn off the flame, allow it to cool and transfer the spices into a mixer jar and grind the spices into a coarse powder. In a mixer jar, combine the onions, garlic, and ginger, grind to a smooth paste. Transfer to a bowl and set aside.Heat ghee in a heavy bottomed pan; add the freshly ground paste and sauté on medium heat for about 4-6 minutes. Add in the freshly ground spice mixture to this and stir until you get the aroma from the spices.Add the tomato puree, turmeric powder, chilli powder, sugar and simmer for about 5 minutes until the tomato is bubbling and has combined well into the spicy forming a delicious aromatic Nawabi Kofta Curry gravy.Add in the fresh cream and a little water if required and simmer for a few more minutes.Serve the Nawabi Kofta Curry Recipe along with Dal Makhani, Tomato Onion Tadka Raita, Butter Naan and Vegetable Pulav for a delicious weekend meal.
</t>
  </si>
  <si>
    <t>https://www.archanaskitchen.com/nawabi-kofta-curry-recipe</t>
  </si>
  <si>
    <t>1/4 cup Daliya - soaked for 4 hours, 1/4 cup White Urad Dal - whole, 1/4 cup Yellow Moong Dal - split, 1/4 cup Chana Dal - soaked for 4 hours, 500 gms Mutton - cut into chunks, 2 inch Ginger - finely chopped, 10 cloves Garlic - finely chopped, Salt - according to taste, Saffron - little, 2 Green Chillies - finely chopped, 1 tsp Red Chili Powder, 1/2 tsp Turmeric Powder, 1 1/2 tsp Coriander Powder, 1 tsp Cumin Powder, 2 tsp Chat Masala Powder, 2 tbsp Gram Flour, Mint - little, Ghee - as per requirement</t>
  </si>
  <si>
    <t>To make Haleem Ke Kabab recipe, first of all take a pressure cooker and add dalia, chana dal, urad dal, moong dal, mutton, ginger, garlic, salt and mix well. Add water as per requirement and close the cooker. Cook till 5 to 6 whistles. Lower the flame and cook for 5 more minutes. Turn off the gas and let the pressure release automatically. Open the cooker and take out the mutton pieces from this mixture and keep it aside. Let it cool. After cooling, take out the mutton from the bone and keep it aside. Now put this mutton mixture in a food processor and grind it to make a paste. Keep it aside. Now heat ghee in a pan. Add saffron, green chillies, red chilli powder, turmeric powder, coriander powder, cumin powder, chaat masala powder and mix well. Add cooked dal, mutton and mix. Cook well for 3 to 4 minutes. Turn off the gas and take out this mixture in a bowl. Let it cool. After cooling add gram flour to it and mix well. Apply oil on your hands and make round kebabs from this mixture. Heat a pan. Pour some ghee and place the kebabs on it. Cook till they turn golden brown from both the sides. Serve. Serve Haleem Kebab Recipe with Coriander Mint Chutney and thinly sliced ​​onions.</t>
  </si>
  <si>
    <t>http://www.archanaskitchen.com/haleem-ke-kebab-recipe-in-hindi</t>
  </si>
  <si>
    <t>Aam Ki Launji Pickle Recipe - Sweet &amp; Spicy Mango Pickle</t>
  </si>
  <si>
    <t>500 grams Mango (Raw) - peeled and chopped,1/4 cup Jaggery,1/2 teaspoon Red Chilli powder,Salt - to taste,1 tablespoon Sunflower Oil,1/2 teaspoon SSP Asafoetida (Hing),1/4 teaspoon Methi Seeds (Fenugreek Seeds),1 teaspoon Cumin seeds (Jeera),1 teaspoon Fennel seeds (Saunf),1/2 teaspoon Turmeric powder (Haldi),Black Salt (Kala Namak) - to taste,1/2 teaspoon Garam masala powder</t>
  </si>
  <si>
    <t xml:space="preserve">To begin making Aam Ki Launji Pickle Recipe, wash and wipe the mango, cut into wedges and set aside. Heat a pan with oil on medium heat, to this add the cumin seeds, fenugreek seeds, fennel seeds and allow them to sizzle. To this add hing and turmeric powder. Now add the freshly cut raw mango wedges and give it a good stir. To this mango mixture, add about three fourth cup of water, salt, black salt and red chilli powder. Mix thoroughly until the mixture is well combined. Cover and cook the mangoes for about 10 minutes on medium flame until it has softened. Sometimes it will take a little longer based on how raw the mangoes are.Open the lid, add the jaggery and garam masala. Stir to combine. Cook the Aam Ki Launji until the jaggery has completely melted and the mixture has thickened. Switch off the flame and allow the Aam Ki Launji Pickle to come to room temperature.Refrigerate the Aam Ki Launji Pickle Recipe in a glass bottle for about 2 to 3 weeks and use as required.Serve the Aam Ki Launji Pickle Recipe with Tawa Paratha Recipe - Plain Paratha and a cup of Adrak Chai Recipe - Indian Style Ginger Tea for a complete weekday breakfast.
</t>
  </si>
  <si>
    <t>https://www.archanaskitchen.com/aam-ki-launji-pickle-recipe-sweet-spicy-amla-pickle</t>
  </si>
  <si>
    <t>Smoked Tandoori Chicken Recipe - Classic North Indian Chicken Recipe</t>
  </si>
  <si>
    <t>2 Chicken thighs,4 tablespoons Mustard oil,2 tablespoons Ghee,3 Charcoal - small pieces,1/2 cup Hung Curd (Greek Yogurt),1 tablespoon Ginger - paste,1 tablespoon Garlic - paste,1 tablespoon Lemon juice,1 teaspoon Garam masala powder,1 tablespoon Coriander Powder (Dhania),1 tablespoon Kashmiri Red Chilli Powder,1 teaspoon Chaat Masala Powder,1/4 teaspoon Black Salt (Kala Namak),Salt - as required,2 tablespoons Mustard oil</t>
  </si>
  <si>
    <t xml:space="preserve">To begin making the Smoked Tandoori Chicken Recipe, clean, wash and make 1 inch slits on Chicken thighs on both sides and keep aside.Mix all the ingredients mentioned in 'marination' in a large bowl to make a smooth paste.Add chicken thighs in it and rub the marinade well all over the pieces. Cling wrap the bowl and refrigerate it for minimum 3-4 hours. (Overnight marination gives much more amazing results)Grill Pan MethodHeat some mustard oil in a grilling pan and place the marinated chicken thighs and allow then to cook till they get well cooked. Carefully flip the tandoori chicken and cook from another side as well. Brush some ghee or mustard oil in top while the chicken is grilling.Ones the tandoori chicken is soft, juicy, charred and nicely cooked, transfer it in a broad, wide base bowl.Oven MethodPreheat the oven to 210 C for about 10 minutes.Once the oven is heated, place the marinated chicken in the oven in the middle rack. Bake the Tandoori Chicken for half the time on one side, drizzle more ghee or oil in between and then turn it over and slather some of the masala from the pan and even it out. Bake until the masala and top of the tandoori chicken looks cooked and absolutely well done.For the Smoking the Tandoori Chicken Place the Tandoori chicken on the sides of the bowl and a small steel bowl covered with aluminium foil in the centre.Take a piece of charcoal and hold it on fire with the help of a tong.As soon as the charcoal starts burning and is red hot place it in the small bowl.Take 1 tbsp of ghee over the charcoal and close the lid such that all the smoke remain inside the bowl of tandoori chickenKeep the lid closed and open only when you are ready to serve the Tandoori Chicken.Serve Stove Top Grilled And Smoked Tandoori Chicken as a starter at your house parties with Dhaniya Pudina Chutney and some Pickled Onions.
</t>
  </si>
  <si>
    <t>http://www.archanaskitchen.com/stove-top-grilled-and-smoked-tandoori-chicken-recipe</t>
  </si>
  <si>
    <t>Tadkewali Masoor Dal Recipe</t>
  </si>
  <si>
    <t>1 tbsp ghee, 1/4 tsp asafoetida, 1 onion - finely chopped, 1 inch ginger - finely chopped, 4 cloves garlic - finely chopped, 2 green chillies - finely chopped, 2 tomatoes - finely chopped, 1/2 tsp turmeric powder, 1/2 tsp red chilli powder, 1/2 tsp garam masala powder, salt - according to taste, 1 cup lentils, 2-1/2 cups water, green coriander - a little, 1 tbsp ghee, 1 tsp cumin seeds, 1/4 tsp asafoetida, 1/4 tsp red chilli powder</t>
  </si>
  <si>
    <t>To make Tadka Wali Masoor Dal Recipe, first wash the masoor dal thoroughly and soak it for 3 to 4 hours. Heat ghee in a pressure cooker. Add asafoetida, ginger, garlic, onion and cook till onions become soft. After onions become soft, add tomatoes, turmeric powder, red chili powder, garam masala powder and cook for 1 minute. After 1 minute add masoor dal, salt and 2-1/2 cups water and mix. Close the cooker and cook till 4 whistles. Reduce the flame and let it cook for 5 minutes. Turn off the gas. Let the pressure release automatically. After the pressure is released, open the cooker and add coriander leaves to it. Mix it and take it out in a serving bowl. For the Tadka, heat ghee in a pan. Add cumin seeds, asafoetida, red chili powder and cook till the cumin seeds crackle. Pour this tempering to the dal and mix. Serve. Serve Tadka Wali Masoor Dal Recipe along with Aloo Palak Sabzi Recipe, Phulka and Khamang Cucumber for dinner.</t>
  </si>
  <si>
    <t>https://www.archanaskitchen.com/tadkewali-masoor-dal-recipe-high-protein-masoor-dal-recipe-in-hindi</t>
  </si>
  <si>
    <t>One Pot Punjabi Rajma Masala Recipe In Preethi Electric Pressure Cooker</t>
  </si>
  <si>
    <t>1 cup Rajma (Large Kidney Beans),1 inch Ginger - finely chopped,2 cloves Garlic - finely chopped,1 Onion - roughly chopped,1/2 cup Homemade tomato puree,1 teaspoon Turmeric powder (Haldi),1 teaspoon Cumin powder (Jeera) - roasted,1 teaspoon Garam masala powder,4 Cardamom (Elaichi) Pods/Seeds,2 inch Cinnamon Stick (Dalchini),1 tablespoon Butter,Coriander (Dhania) Leaves - a small bunch,1 teaspoon Sunflower Oil,Salt - to taste</t>
  </si>
  <si>
    <t xml:space="preserve">To begin making the Rajma Masala recipe, we will first soak the rajma immersed completely in 3 cups of water for about 8 to 10 hours. To make the Rajma Masala turn on the Preethi Pressure Cooker. Change the setting on the pressure cooker to the saute mode.Heat a teaspoon of oil in the electric pressure cooker pan; add the onion, garlic, ginger and saute for 3 to 4 minutes until the onions start to turn golden in colour.Once done stir in the tomato puree, the turmeric powder, cumin powder, garam masala powder, cardamom pods and cinnamon stick.Saute for another couple of minutes and then add in the soaked rajma along with its water. Add any additional water if required. There should enough water such that the water level is at least 1 inch above the rajma.Cover the pressure cooker, set the mode to rajma mode and wait until done. Once done the electric pressure cooker will go into the keep warm mode. Allow the pressure cooker to release its pressure naturally - you will notice the pressure indicator has gone down.The rajma will continue to cook in the pressure cooker as long as there is pressure inside.Once the pressure has released, open the cooker. The rajma should be now cooked completely. If you press the rajma between your fingers it will get mashed easily.Once the Rajma Masala is cooked, check the salt and spice levels and adjust to suit your taste. Stir in the chopped coriander leaves and serve.Serve the Rajma Masala dish for Sunday Lunch along with Steamed Hot Rice and Aloo Parwal Sabzi making the meal wholesome and nutritious.
</t>
  </si>
  <si>
    <t>https://www.archanaskitchen.com/one-pot-punjabi-rajma-masala-recipe-in-electric-pressure-cooker</t>
  </si>
  <si>
    <t>1 tablespoon oil, 1 cup wheat flour, salt - according to taste, 2 sweet potatoes - peel and boil, 1 cup fenugreek - chop, 1 teaspoon cumin seeds, 1 inch ginger - chop, 1 green chilli - chop, 1 teaspoon turmeric powder, 1 teaspoon red chilli powder, 1 teaspoon coriander powder, 2 tablespoon mustard oil, salt - according to taste</t>
  </si>
  <si>
    <t>To make Sweet Potato and Fenugreek Paratha recipe, first put potatoes in a pressure cooker along with water as per requirement and cook till 4 whistles. Let the pressure release automatically. Open the cooker and let the potatoes cool down. After the potatoes cool down, peel them and mash them. Wash and clean the fenugreek. Chop the fenugreek and keep it aside. Now take wheat flour, salt and oil in a bowl and mix them. Add water little by little and knead the dough. Cover it and keep it aside. Heat mustard oil in a pan. Add cumin seeds and let them crackle. Now add ginger and cook for 2 minutes. Now add fenugreek and cook till fenugreek becomes soft. After fenugreek becomes soft, add potatoes, green chillies, turmeric powder, red chilli powder, coriander powder, salt and cook for 2 minutes. Switch off the gas and keep it aside to cool down. Now take a small piece of dough and roll it in a round shape. Place the spice mixture in the centre and close it from all sides. Now coat it with dry flour. Roll it again. Roll it thickly otherwise the masala might come out. Make all the parathas like this. Heat a pan. Place the parathas on it and apply ghee on top. Cook till it turns golden brown from both the sides and then turn off the gas. Serve Sweet Potato and Fenugreek Paratha Recipe with Boondi Raita and Chilli Pickle for breakfast or dinner.</t>
  </si>
  <si>
    <t>https://www.archanaskitchen.com/sweet-potato-methi-stuffed-paratha-recipe-in-hindi</t>
  </si>
  <si>
    <t>Navrang Dal Recipe</t>
  </si>
  <si>
    <t>2 tbsp green moong dal, 2 tbsp white urad dal, 2 tbsp black urad dal (split), 2 tbsp masoor dal (split), 2 tbsp masoor dal, 2 tbsp rajma, 2 tbsp kabuli chana or chickpea, 1/4 cup yellow moong dal - soak for 20 minutes, 1 tbsp arhar dal - soak for 20 minutes, 1 onion - finely chopped, 1 tomato - finely chopped, 1 tbsp ginger garlic paste, 1 green chilli - chopped straight, 2 tsp coriander powder, 1 tsp red chilli powder, 2 tsp garam masala powder, 1 tbsp kasuri methi, 1 inch ginger - chopped straight and thin, 2 tbsp ghee, 1 tsp cumin seeds, 1 cinnamon stick, Salt - according to taste</t>
  </si>
  <si>
    <t>To make Navrang Daal recipe, first soak all the dals in water overnight. Do not soak moong dal and toor dal. Now put all the dals in a pressure cooker and cook till 3 to 4 whistles. Let the pressure release automatically. Open the cooker, mash the dals and keep aside. Now heat oil or ghee in a pan. Add cinnamon, cumin seeds and let the cumin seeds crackle. Now add onion and cook till it becomes light brown. Now add ginger garlic paste and cook for 3 to 4 minutes. After 3 to 4 minutes add tomatoes, green chillies and cook till tomatoes are half cooked. After tomatoes are half cooked add coriander powder, red chilli powder, garam masala powder and cook for 3 to 4 minutes. Now add cooked dal, salt according to taste, water as per requirement and cook for 10 minutes. After 10 minutes add kasuri methi and let it boil. After boiling, turn off the gas and garnish with ginger. Serve. Serve Navrang Dal with Bhindi Masala and Tawa Paratha for lunch.</t>
  </si>
  <si>
    <t>https://www.archanaskitchen.com/navrang-dal-recipe-spicy-mixed-lentils-in-hindi</t>
  </si>
  <si>
    <t>Ingredients_en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</si>
</sst>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0"/>
      <color rgb="FF000000"/>
      <name val="Arial"/>
      <charset val="1"/>
    </font>
    <font>
      <sz val="11"/>
      <color theme="1"/>
      <name val="Arial"/>
      <charset val="1"/>
    </font>
    <font>
      <u/>
      <sz val="11"/>
      <color rgb="FF0000FF"/>
      <name val="Cambria"/>
      <charset val="1"/>
    </font>
    <font>
      <sz val="11"/>
      <color rgb="FF222222"/>
      <name val="&quot;Google Sans&quot;"/>
      <charset val="1"/>
    </font>
  </fonts>
  <fills count="3">
    <fill>
      <patternFill patternType="none"/>
    </fill>
    <fill>
      <patternFill patternType="gray125"/>
    </fill>
    <fill>
      <patternFill patternType="solid">
        <fgColor rgb="FFE1E9F7"/>
        <bgColor rgb="FFCCFFFF"/>
      </patternFill>
    </fill>
  </fills>
  <borders count="1">
    <border>
      <left/>
      <right/>
      <top/>
      <bottom/>
      <diagonal/>
    </border>
  </borders>
  <cellStyleXfs count="1">
    <xf numFmtId="0" fontId="0" fillId="0" borderId="0"/>
  </cellStyleXfs>
  <cellXfs count="6">
    <xf numFmtId="0" fontId="0" fillId="0" borderId="0" xfId="0"/>
    <xf numFmtId="0" fontId="1" fillId="0" borderId="0" xfId="0" applyFont="1"/>
    <xf numFmtId="0" fontId="0" fillId="0" borderId="0" xfId="0" applyAlignment="1">
      <alignment wrapText="1"/>
    </xf>
    <xf numFmtId="0" fontId="2" fillId="0" borderId="0" xfId="0" applyFont="1"/>
    <xf numFmtId="0" fontId="1" fillId="0" borderId="0" xfId="0" applyFont="1" applyAlignment="1">
      <alignment wrapText="1"/>
    </xf>
    <xf numFmtId="0" fontId="3" fillId="2" borderId="0" xfId="0" applyFont="1" applyFill="1"/>
  </cellXfs>
  <cellStyles count="1">
    <cellStyle name="Normal" xfId="0" builtinId="0"/>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E1E9F7"/>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222222"/>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a:fillStyleLst>
        <a:solidFill>
          <a:schemeClr val="phClr"/>
        </a:solidFill>
        <a:gradFill>
          <a:gsLst>
            <a:gs pos="0">
              <a:schemeClr val="phClr">
                <a:lumMod val="110000"/>
                <a:tint val="67000"/>
              </a:schemeClr>
            </a:gs>
            <a:gs pos="50000">
              <a:schemeClr val="phClr">
                <a:lumMod val="105000"/>
                <a:tint val="73000"/>
              </a:schemeClr>
            </a:gs>
            <a:gs pos="100000">
              <a:schemeClr val="phClr">
                <a:lumMod val="105000"/>
                <a:tint val="81000"/>
              </a:schemeClr>
            </a:gs>
          </a:gsLst>
          <a:lin ang="5400000" scaled="0"/>
          <a:tileRect/>
        </a:gradFill>
        <a:gradFill>
          <a:gsLst>
            <a:gs pos="0">
              <a:schemeClr val="phClr">
                <a:lumMod val="102000"/>
                <a:tint val="94000"/>
              </a:schemeClr>
            </a:gs>
            <a:gs pos="50000">
              <a:schemeClr val="phClr">
                <a:lumMod val="100000"/>
                <a:shade val="100000"/>
              </a:schemeClr>
            </a:gs>
            <a:gs pos="100000">
              <a:schemeClr val="phClr">
                <a:lumMod val="99000"/>
                <a:shade val="78000"/>
              </a:schemeClr>
            </a:gs>
          </a:gsLst>
          <a:lin ang="5400000" scaled="0"/>
          <a:tileRect/>
        </a:gradFill>
      </a:fillStyleLst>
      <a:lnStyleLst>
        <a:ln w="6350" cap="flat" cmpd="sng" algn="ctr">
          <a:prstDash val="solid"/>
          <a:miter lim="800000"/>
        </a:ln>
        <a:ln w="12700" cap="flat" cmpd="sng" algn="ctr">
          <a:prstDash val="solid"/>
          <a:miter lim="800000"/>
        </a:ln>
        <a:ln w="19050" cap="flat" cmpd="sng" algn="ctr">
          <a:prstDash val="solid"/>
          <a:miter lim="800000"/>
        </a:ln>
      </a:lnStyleLst>
      <a:effectStyleLst>
        <a:effectStyle>
          <a:effectLst/>
        </a:effectStyle>
        <a:effectStyle>
          <a:effectLst/>
        </a:effectStyle>
        <a:effectStyle>
          <a:effectLst/>
        </a:effectStyle>
      </a:effectStyleLst>
      <a:bgFillStyleLst>
        <a:solidFill>
          <a:schemeClr val="phClr"/>
        </a:solidFill>
        <a:solidFill>
          <a:schemeClr val="phClr">
            <a:tint val="95000"/>
          </a:schemeClr>
        </a:solidFill>
        <a:gradFill>
          <a:gsLst>
            <a:gs pos="0">
              <a:schemeClr val="phClr">
                <a:tint val="93000"/>
                <a:shade val="98000"/>
                <a:lumMod val="102000"/>
              </a:schemeClr>
            </a:gs>
            <a:gs pos="50000">
              <a:schemeClr val="phClr">
                <a:tint val="98000"/>
                <a:shade val="90000"/>
                <a:lumMod val="103000"/>
              </a:schemeClr>
            </a:gs>
            <a:gs pos="100000">
              <a:schemeClr val="phClr">
                <a:shade val="63000"/>
              </a:schemeClr>
            </a:gs>
          </a:gsLst>
          <a:lin ang="5400000" scaled="0"/>
          <a:tileRect/>
        </a:gradFill>
      </a:bgFillStyleLst>
    </a:fmtScheme>
  </a:themeElements>
  <a:objectDefaults/>
  <a:extraClrSchemeLst/>
</a:theme>
</file>

<file path=xl/worksheets/_rels/sheet2.xml.rels><?xml version="1.0" encoding="UTF-8" standalone="yes"?>
<Relationships xmlns="http://schemas.openxmlformats.org/package/2006/relationships"><Relationship Id="rId26" Type="http://schemas.openxmlformats.org/officeDocument/2006/relationships/hyperlink" Target="https://www.archanaskitchen.com/rajasthani-mutton-banjara-recipe" TargetMode="External"/><Relationship Id="rId117" Type="http://schemas.openxmlformats.org/officeDocument/2006/relationships/hyperlink" Target="http://www.archanaskitchen.com/rajasthani-sweet-spicy-ker-sangri-sabzi-recipe" TargetMode="External"/><Relationship Id="rId21" Type="http://schemas.openxmlformats.org/officeDocument/2006/relationships/hyperlink" Target="http://www.archanaskitchen.com/panchmel-dal-recipe-in-hindi" TargetMode="External"/><Relationship Id="rId42" Type="http://schemas.openxmlformats.org/officeDocument/2006/relationships/hyperlink" Target="http://www.archanaskitchen.com/rajasthani-dal-recipe" TargetMode="External"/><Relationship Id="rId47" Type="http://schemas.openxmlformats.org/officeDocument/2006/relationships/hyperlink" Target="https://www.archanaskitchen.com/rajasthani-ghevar-recipe" TargetMode="External"/><Relationship Id="rId63" Type="http://schemas.openxmlformats.org/officeDocument/2006/relationships/hyperlink" Target="http://www.archanaskitchen.com/gulkand-kala-jamun-recipe" TargetMode="External"/><Relationship Id="rId68" Type="http://schemas.openxmlformats.org/officeDocument/2006/relationships/hyperlink" Target="http://www.archanaskitchen.com/black-chana-masala-recipe" TargetMode="External"/><Relationship Id="rId84" Type="http://schemas.openxmlformats.org/officeDocument/2006/relationships/hyperlink" Target="https://www.archanaskitchen.com/baked-stuffed-baati-with-churma-and-panchratna-dal-recipe" TargetMode="External"/><Relationship Id="rId89" Type="http://schemas.openxmlformats.org/officeDocument/2006/relationships/hyperlink" Target="https://www.archanaskitchen.com/rajasthani-pyaz-ki-kadhi-recipe" TargetMode="External"/><Relationship Id="rId112" Type="http://schemas.openxmlformats.org/officeDocument/2006/relationships/hyperlink" Target="https://www.archanaskitchen.com/rajasthani-pyaaz-ki-kadhi-recipe-onion-kadhi-recipe-in-hindi" TargetMode="External"/><Relationship Id="rId16" Type="http://schemas.openxmlformats.org/officeDocument/2006/relationships/hyperlink" Target="https://www.archanaskitchen.com/rajasthani-style-oliya-recipe-sweetened-rice-yogurt-pudding-recipe" TargetMode="External"/><Relationship Id="rId107" Type="http://schemas.openxmlformats.org/officeDocument/2006/relationships/hyperlink" Target="https://www.archanaskitchen.com/mirchi-ka-kuta-recipe" TargetMode="External"/><Relationship Id="rId11" Type="http://schemas.openxmlformats.org/officeDocument/2006/relationships/hyperlink" Target="http://www.archanaskitchen.com/gavarfali-ki-sukhi-sabzi-recipe-in-hindi" TargetMode="External"/><Relationship Id="rId32" Type="http://schemas.openxmlformats.org/officeDocument/2006/relationships/hyperlink" Target="https://www.archanaskitchen.com/panchkuti-panchmel-dal-rajasthani-five-dal-recipe" TargetMode="External"/><Relationship Id="rId37" Type="http://schemas.openxmlformats.org/officeDocument/2006/relationships/hyperlink" Target="http://www.archanaskitchen.com/arbi-ajwain-ki-sabzi-recipe-roasted-colocasia-stir-fry-with-ajwain" TargetMode="External"/><Relationship Id="rId53" Type="http://schemas.openxmlformats.org/officeDocument/2006/relationships/hyperlink" Target="http://www.archanaskitchen.com/spicy-masala-khichia-recipe-spicy-corn-flour-papad" TargetMode="External"/><Relationship Id="rId58" Type="http://schemas.openxmlformats.org/officeDocument/2006/relationships/hyperlink" Target="https://www.archanaskitchen.com/churma-laddu-with-coconut-recipe" TargetMode="External"/><Relationship Id="rId74" Type="http://schemas.openxmlformats.org/officeDocument/2006/relationships/hyperlink" Target="https://www.archanaskitchen.com/moong-dal-karara-recipe" TargetMode="External"/><Relationship Id="rId79" Type="http://schemas.openxmlformats.org/officeDocument/2006/relationships/hyperlink" Target="https://www.archanaskitchen.com/laal-maas-biryani-recipe-in-hindi" TargetMode="External"/><Relationship Id="rId102" Type="http://schemas.openxmlformats.org/officeDocument/2006/relationships/hyperlink" Target="http://www.archanaskitchen.com/crispy-amla-gawar-phali-sabzi-recipe-in-hindi" TargetMode="External"/><Relationship Id="rId123" Type="http://schemas.openxmlformats.org/officeDocument/2006/relationships/hyperlink" Target="https://www.archanaskitchen.com/kacche-aam-ki-launji-recipe-in-hindi" TargetMode="External"/><Relationship Id="rId5" Type="http://schemas.openxmlformats.org/officeDocument/2006/relationships/hyperlink" Target="https://www.archanaskitchen.com/rajasthani-gunde-ki-sabzi-recipe-bird-lime-stir-fry" TargetMode="External"/><Relationship Id="rId90" Type="http://schemas.openxmlformats.org/officeDocument/2006/relationships/hyperlink" Target="https://www.archanaskitchen.com/rajasthani-chawle-wale-dhokle-recipe" TargetMode="External"/><Relationship Id="rId95" Type="http://schemas.openxmlformats.org/officeDocument/2006/relationships/hyperlink" Target="https://www.archanaskitchen.com/lauki-badi-ki-sabzi-recipe" TargetMode="External"/><Relationship Id="rId22" Type="http://schemas.openxmlformats.org/officeDocument/2006/relationships/hyperlink" Target="https://www.archanaskitchen.com/bird-lime-stir-fry-recipe-in-hindi" TargetMode="External"/><Relationship Id="rId27" Type="http://schemas.openxmlformats.org/officeDocument/2006/relationships/hyperlink" Target="https://www.archanaskitchen.com/rajasthani-style-safed-maas-recipe" TargetMode="External"/><Relationship Id="rId43" Type="http://schemas.openxmlformats.org/officeDocument/2006/relationships/hyperlink" Target="http://www.archanaskitchen.com/mirchi-ke-tipore-recipe" TargetMode="External"/><Relationship Id="rId48" Type="http://schemas.openxmlformats.org/officeDocument/2006/relationships/hyperlink" Target="https://www.archanaskitchen.com/rajasthani-dal-muthiya-recipe" TargetMode="External"/><Relationship Id="rId64" Type="http://schemas.openxmlformats.org/officeDocument/2006/relationships/hyperlink" Target="https://www.archanaskitchen.com/rajasthani-khoya-matar-sabzi-recipe" TargetMode="External"/><Relationship Id="rId69" Type="http://schemas.openxmlformats.org/officeDocument/2006/relationships/hyperlink" Target="http://www.archanaskitchen.com/jaisalmer-kala-chana-kadhi-recipe" TargetMode="External"/><Relationship Id="rId113" Type="http://schemas.openxmlformats.org/officeDocument/2006/relationships/hyperlink" Target="http://www.archanaskitchen.com/bhutte-ka-kees-recipe" TargetMode="External"/><Relationship Id="rId118" Type="http://schemas.openxmlformats.org/officeDocument/2006/relationships/hyperlink" Target="http://www.archanaskitchen.com/bharwa-bhindi-and-pyaaz-ki-sabzi-recipe" TargetMode="External"/><Relationship Id="rId80" Type="http://schemas.openxmlformats.org/officeDocument/2006/relationships/hyperlink" Target="https://www.archanaskitchen.com/rajasthani-dal-baati-churma-recipe" TargetMode="External"/><Relationship Id="rId85" Type="http://schemas.openxmlformats.org/officeDocument/2006/relationships/hyperlink" Target="https://www.archanaskitchen.com/tangy-aam-ka-murabba-recipe" TargetMode="External"/><Relationship Id="rId12" Type="http://schemas.openxmlformats.org/officeDocument/2006/relationships/hyperlink" Target="https://www.archanaskitchen.com/chatpati-sattu-ki-kachori-recipe-kachori-stuffed-with-sattu-and-pickle" TargetMode="External"/><Relationship Id="rId17" Type="http://schemas.openxmlformats.org/officeDocument/2006/relationships/hyperlink" Target="https://www.archanaskitchen.com/rajasthani-ghasela-recipe-besan-ka-pitta" TargetMode="External"/><Relationship Id="rId33" Type="http://schemas.openxmlformats.org/officeDocument/2006/relationships/hyperlink" Target="https://www.archanaskitchen.com/rajasthani-laal-maas-recipe-mutton-in-red-spicy-gravy" TargetMode="External"/><Relationship Id="rId38" Type="http://schemas.openxmlformats.org/officeDocument/2006/relationships/hyperlink" Target="https://www.archanaskitchen.com/kacche-aam-ki-launji-recipe" TargetMode="External"/><Relationship Id="rId59" Type="http://schemas.openxmlformats.org/officeDocument/2006/relationships/hyperlink" Target="https://www.archanaskitchen.com/palak-kadhi-recipe-spinach-yogurt-curry" TargetMode="External"/><Relationship Id="rId103" Type="http://schemas.openxmlformats.org/officeDocument/2006/relationships/hyperlink" Target="https://www.archanaskitchen.com/gavar-ki-sabji-recipe-cluster-beans-curry-in-hindi" TargetMode="External"/><Relationship Id="rId108" Type="http://schemas.openxmlformats.org/officeDocument/2006/relationships/hyperlink" Target="https://www.archanaskitchen.com/bharwa-besan-mirch-sabzi-recipe-chillies-stuffed-with-spiced-gram-flour" TargetMode="External"/><Relationship Id="rId54" Type="http://schemas.openxmlformats.org/officeDocument/2006/relationships/hyperlink" Target="https://www.archanaskitchen.com/methi-dana-sabzi-recipe-healthy-fenugreek-seeds-stir-fry" TargetMode="External"/><Relationship Id="rId70" Type="http://schemas.openxmlformats.org/officeDocument/2006/relationships/hyperlink" Target="http://www.archanaskitchen.com/marwadi-gatte-ki-kadhi-recipe-gram-flour-dumpling-in-yogurt-curry-recipe-in-hindi" TargetMode="External"/><Relationship Id="rId75" Type="http://schemas.openxmlformats.org/officeDocument/2006/relationships/hyperlink" Target="https://www.archanaskitchen.com/rajasthani-kanji-vada-recipe" TargetMode="External"/><Relationship Id="rId91" Type="http://schemas.openxmlformats.org/officeDocument/2006/relationships/hyperlink" Target="https://www.archanaskitchen.com/roasted-colocasia-stir-fry-with-ajwain-recipe-in-hindi" TargetMode="External"/><Relationship Id="rId96" Type="http://schemas.openxmlformats.org/officeDocument/2006/relationships/hyperlink" Target="https://www.archanaskitchen.com/rajasthani-kachri-ki-chutney-recipe-wild-cucumber-chutney" TargetMode="External"/><Relationship Id="rId1" Type="http://schemas.openxmlformats.org/officeDocument/2006/relationships/hyperlink" Target="http://www.archanaskitchen.com/rajasthani-khooba-roti-recipe" TargetMode="External"/><Relationship Id="rId6" Type="http://schemas.openxmlformats.org/officeDocument/2006/relationships/hyperlink" Target="http://www.archanaskitchen.com/lentils-and-mixed-grains-kichada-recipe" TargetMode="External"/><Relationship Id="rId23" Type="http://schemas.openxmlformats.org/officeDocument/2006/relationships/hyperlink" Target="https://www.archanaskitchen.com/rajasthani-govind-gatta-curry-recipe" TargetMode="External"/><Relationship Id="rId28" Type="http://schemas.openxmlformats.org/officeDocument/2006/relationships/hyperlink" Target="http://www.archanaskitchen.com/rajasthani-mirchi-bada-recipe-chilli-fritters" TargetMode="External"/><Relationship Id="rId49" Type="http://schemas.openxmlformats.org/officeDocument/2006/relationships/hyperlink" Target="https://www.archanaskitchen.com/papad-ki-sabzi-recipe-in-hindi" TargetMode="External"/><Relationship Id="rId114" Type="http://schemas.openxmlformats.org/officeDocument/2006/relationships/hyperlink" Target="https://www.archanaskitchen.com/rabodi-ki-sabzi-recipe" TargetMode="External"/><Relationship Id="rId119" Type="http://schemas.openxmlformats.org/officeDocument/2006/relationships/hyperlink" Target="https://www.archanaskitchen.com/karela-besan-sabzi-recipe" TargetMode="External"/><Relationship Id="rId44" Type="http://schemas.openxmlformats.org/officeDocument/2006/relationships/hyperlink" Target="http://www.archanaskitchen.com/churma-ladoo-recipe" TargetMode="External"/><Relationship Id="rId60" Type="http://schemas.openxmlformats.org/officeDocument/2006/relationships/hyperlink" Target="http://www.archanaskitchen.com/jaipuri-aloo-pyaz-ki-sabzi-recipe-in-hindi" TargetMode="External"/><Relationship Id="rId65" Type="http://schemas.openxmlformats.org/officeDocument/2006/relationships/hyperlink" Target="https://www.archanaskitchen.com/ghoogri-recipe" TargetMode="External"/><Relationship Id="rId81" Type="http://schemas.openxmlformats.org/officeDocument/2006/relationships/hyperlink" Target="http://www.archanaskitchen.com/pitor-ki-sabzi-recipe" TargetMode="External"/><Relationship Id="rId86" Type="http://schemas.openxmlformats.org/officeDocument/2006/relationships/hyperlink" Target="http://www.archanaskitchen.com/rajasthani-badi-ki-sabzi-recipe-in-hindi" TargetMode="External"/><Relationship Id="rId4" Type="http://schemas.openxmlformats.org/officeDocument/2006/relationships/hyperlink" Target="http://www.archanaskitchen.com/jodhpuri-aloo-recipe" TargetMode="External"/><Relationship Id="rId9" Type="http://schemas.openxmlformats.org/officeDocument/2006/relationships/hyperlink" Target="https://www.archanaskitchen.com/lauki-badi-ki-sabzi-recipe-in-hindi" TargetMode="External"/><Relationship Id="rId13" Type="http://schemas.openxmlformats.org/officeDocument/2006/relationships/hyperlink" Target="https://www.archanaskitchen.com/marwadi-gatte-ki-kadhi-recipe-gram-flour-dumpling-in-yogurt-curry-recipe" TargetMode="External"/><Relationship Id="rId18" Type="http://schemas.openxmlformats.org/officeDocument/2006/relationships/hyperlink" Target="http://www.archanaskitchen.com/haldi-ki-sabzi-recipe-fresh-turmeric-root-vegetable-in-hindi" TargetMode="External"/><Relationship Id="rId39" Type="http://schemas.openxmlformats.org/officeDocument/2006/relationships/hyperlink" Target="http://www.archanaskitchen.com/laal-maas-biryani-recipe" TargetMode="External"/><Relationship Id="rId109" Type="http://schemas.openxmlformats.org/officeDocument/2006/relationships/hyperlink" Target="http://www.archanaskitchen.com/spiced-khooba-roti-rajasthani-pinched-flatbread-recipe" TargetMode="External"/><Relationship Id="rId34" Type="http://schemas.openxmlformats.org/officeDocument/2006/relationships/hyperlink" Target="https://www.archanaskitchen.com/rajasthani-kalmi-vada-recipe-fried-lentil-fritters" TargetMode="External"/><Relationship Id="rId50" Type="http://schemas.openxmlformats.org/officeDocument/2006/relationships/hyperlink" Target="http://www.archanaskitchen.com/rajasthani-mirchi-bada-recipe-chilli-fritters-in-hindi" TargetMode="External"/><Relationship Id="rId55" Type="http://schemas.openxmlformats.org/officeDocument/2006/relationships/hyperlink" Target="https://www.archanaskitchen.com/karela-kadhi-recipe-in-hindi" TargetMode="External"/><Relationship Id="rId76" Type="http://schemas.openxmlformats.org/officeDocument/2006/relationships/hyperlink" Target="http://www.archanaskitchen.com/bharma-baingan-aur-pyaaz-ki-sabzi-recipe-spicy-stuffed-brinjals-with-onions" TargetMode="External"/><Relationship Id="rId97" Type="http://schemas.openxmlformats.org/officeDocument/2006/relationships/hyperlink" Target="https://www.archanaskitchen.com/rajasthani-bajre-ki-khatti-raabdi-recipe" TargetMode="External"/><Relationship Id="rId104" Type="http://schemas.openxmlformats.org/officeDocument/2006/relationships/hyperlink" Target="http://www.archanaskitchen.com/bharma-baingan-aur-pyaaz-ki-sabzi-recipe-spicy-stuffed-brinjals-with-onions-in-hindi" TargetMode="External"/><Relationship Id="rId120" Type="http://schemas.openxmlformats.org/officeDocument/2006/relationships/hyperlink" Target="http://www.archanaskitchen.com/pitor-ki-sabzi-recipe-in-hindi" TargetMode="External"/><Relationship Id="rId7" Type="http://schemas.openxmlformats.org/officeDocument/2006/relationships/hyperlink" Target="https://www.archanaskitchen.com/besan-ka-pitta-recipe-in-hindi" TargetMode="External"/><Relationship Id="rId71" Type="http://schemas.openxmlformats.org/officeDocument/2006/relationships/hyperlink" Target="http://www.archanaskitchen.com/aal-ke-kofte-bottle-gourd-fritters-in-spicy-gravy-recipe-in-hindi" TargetMode="External"/><Relationship Id="rId92" Type="http://schemas.openxmlformats.org/officeDocument/2006/relationships/hyperlink" Target="http://www.archanaskitchen.com/palak-kadhi-recipe-spinach-kadhi-in-hindi" TargetMode="External"/><Relationship Id="rId2" Type="http://schemas.openxmlformats.org/officeDocument/2006/relationships/hyperlink" Target="https://www.archanaskitchen.com/rajasthani-style-sukhe-gatte-capsicum-ki-sabzi-recipe" TargetMode="External"/><Relationship Id="rId29" Type="http://schemas.openxmlformats.org/officeDocument/2006/relationships/hyperlink" Target="https://www.archanaskitchen.com/rajasthani-curry-with-corn-papad-recipe-in-hindi" TargetMode="External"/><Relationship Id="rId24" Type="http://schemas.openxmlformats.org/officeDocument/2006/relationships/hyperlink" Target="https://www.archanaskitchen.com/murgh-ajmeri-recipe" TargetMode="External"/><Relationship Id="rId40" Type="http://schemas.openxmlformats.org/officeDocument/2006/relationships/hyperlink" Target="http://www.archanaskitchen.com/rajasthani-kadhi-recipe" TargetMode="External"/><Relationship Id="rId45" Type="http://schemas.openxmlformats.org/officeDocument/2006/relationships/hyperlink" Target="http://www.archanaskitchen.com/maachli-jaisamandi-recipe-rajasthani-style-fish-in-creamy-gravy" TargetMode="External"/><Relationship Id="rId66" Type="http://schemas.openxmlformats.org/officeDocument/2006/relationships/hyperlink" Target="https://www.archanaskitchen.com/green-chana-chutney-recipe-in-hindi" TargetMode="External"/><Relationship Id="rId87" Type="http://schemas.openxmlformats.org/officeDocument/2006/relationships/hyperlink" Target="https://www.archanaskitchen.com/kachri-phali-ki-sabzi-recipe-wild-cucumber-and-beans-sabzi" TargetMode="External"/><Relationship Id="rId110" Type="http://schemas.openxmlformats.org/officeDocument/2006/relationships/hyperlink" Target="https://www.archanaskitchen.com/besan-capsicum-ki-sabzi-recipe" TargetMode="External"/><Relationship Id="rId115" Type="http://schemas.openxmlformats.org/officeDocument/2006/relationships/hyperlink" Target="http://www.archanaskitchen.com/hare-chane-ki-burfi-recipe" TargetMode="External"/><Relationship Id="rId61" Type="http://schemas.openxmlformats.org/officeDocument/2006/relationships/hyperlink" Target="https://www.archanaskitchen.com/bajra-ka-kheech-recipe" TargetMode="External"/><Relationship Id="rId82" Type="http://schemas.openxmlformats.org/officeDocument/2006/relationships/hyperlink" Target="https://www.archanaskitchen.com/rajasthani-sev-tamatar-ki-sabzi-recipe-in-hindi" TargetMode="External"/><Relationship Id="rId19" Type="http://schemas.openxmlformats.org/officeDocument/2006/relationships/hyperlink" Target="https://www.archanaskitchen.com/rajasthani-gatte-ka-pulao-recipe" TargetMode="External"/><Relationship Id="rId14" Type="http://schemas.openxmlformats.org/officeDocument/2006/relationships/hyperlink" Target="https://www.archanaskitchen.com/besan-aur-mirch-ki-sabzi-recipe" TargetMode="External"/><Relationship Id="rId30" Type="http://schemas.openxmlformats.org/officeDocument/2006/relationships/hyperlink" Target="http://www.archanaskitchen.com/green-chana-chutney-green-chickpea-chutney-recipe-in-hindi" TargetMode="External"/><Relationship Id="rId35" Type="http://schemas.openxmlformats.org/officeDocument/2006/relationships/hyperlink" Target="https://www.archanaskitchen.com/rajasthani-kadhi-recipe-in-hindi" TargetMode="External"/><Relationship Id="rId56" Type="http://schemas.openxmlformats.org/officeDocument/2006/relationships/hyperlink" Target="https://www.archanaskitchen.com/spicy-whole-wheat-bottle-gourd-dumplings-lauki-ke-gatte-recipe" TargetMode="External"/><Relationship Id="rId77" Type="http://schemas.openxmlformats.org/officeDocument/2006/relationships/hyperlink" Target="https://www.archanaskitchen.com/makhan-bada-recipe" TargetMode="External"/><Relationship Id="rId100" Type="http://schemas.openxmlformats.org/officeDocument/2006/relationships/hyperlink" Target="http://www.archanaskitchen.com/rajasthani-dal-baaple-churma-recipe" TargetMode="External"/><Relationship Id="rId105" Type="http://schemas.openxmlformats.org/officeDocument/2006/relationships/hyperlink" Target="http://www.archanaskitchen.com/mirchi-lahsun-ka-chunda-recipe-chilli-garlic-chunda" TargetMode="External"/><Relationship Id="rId8" Type="http://schemas.openxmlformats.org/officeDocument/2006/relationships/hyperlink" Target="https://www.archanaskitchen.com/rajasthani-gatte-ki-sabzi-recipe-with-onion-garlic" TargetMode="External"/><Relationship Id="rId51" Type="http://schemas.openxmlformats.org/officeDocument/2006/relationships/hyperlink" Target="https://www.archanaskitchen.com/papad-ki-sabzi-recipe" TargetMode="External"/><Relationship Id="rId72" Type="http://schemas.openxmlformats.org/officeDocument/2006/relationships/hyperlink" Target="http://www.archanaskitchen.com/rajasthani-dal-recipe-in-hindi" TargetMode="External"/><Relationship Id="rId93" Type="http://schemas.openxmlformats.org/officeDocument/2006/relationships/hyperlink" Target="http://www.archanaskitchen.com/black-chana-masala-recipe-in-hindi" TargetMode="External"/><Relationship Id="rId98" Type="http://schemas.openxmlformats.org/officeDocument/2006/relationships/hyperlink" Target="http://www.archanaskitchen.com/karela-kadhi-recipe" TargetMode="External"/><Relationship Id="rId121" Type="http://schemas.openxmlformats.org/officeDocument/2006/relationships/hyperlink" Target="https://www.archanaskitchen.com/gavarfali-ki-sukhi-sabzi-recipe" TargetMode="External"/><Relationship Id="rId3" Type="http://schemas.openxmlformats.org/officeDocument/2006/relationships/hyperlink" Target="http://www.archanaskitchen.com/rajasthani-kachri-ki-chutney-recipe-wild-cucumber-chutney-in-hindi" TargetMode="External"/><Relationship Id="rId25" Type="http://schemas.openxmlformats.org/officeDocument/2006/relationships/hyperlink" Target="http://www.archanaskitchen.com/gavar-ki-sabji-recipe-cluster-beans-curry" TargetMode="External"/><Relationship Id="rId46" Type="http://schemas.openxmlformats.org/officeDocument/2006/relationships/hyperlink" Target="https://www.archanaskitchen.com/crispy-gawar-phali-sabzi-recipe" TargetMode="External"/><Relationship Id="rId67" Type="http://schemas.openxmlformats.org/officeDocument/2006/relationships/hyperlink" Target="https://www.archanaskitchen.com/green-chilli-vegetable-recipe" TargetMode="External"/><Relationship Id="rId116" Type="http://schemas.openxmlformats.org/officeDocument/2006/relationships/hyperlink" Target="http://www.archanaskitchen.com/rajasthani-dana-methi-papad-ka-saag-recipe" TargetMode="External"/><Relationship Id="rId20" Type="http://schemas.openxmlformats.org/officeDocument/2006/relationships/hyperlink" Target="http://www.archanaskitchen.com/rajasthani-makki-ka-chatpata-dhokla-recipe" TargetMode="External"/><Relationship Id="rId41" Type="http://schemas.openxmlformats.org/officeDocument/2006/relationships/hyperlink" Target="http://www.archanaskitchen.com/rabodi-ki-sabzi-recipe-in-hindi" TargetMode="External"/><Relationship Id="rId62" Type="http://schemas.openxmlformats.org/officeDocument/2006/relationships/hyperlink" Target="http://www.archanaskitchen.com/besan-capsicum-ki-sabzi-recipe-in-hindi" TargetMode="External"/><Relationship Id="rId83" Type="http://schemas.openxmlformats.org/officeDocument/2006/relationships/hyperlink" Target="https://www.archanaskitchen.com/gehun-ki-bikaneri-khichdi-recipe-wheat-kernel-and-moong-dal-khichdi" TargetMode="External"/><Relationship Id="rId88" Type="http://schemas.openxmlformats.org/officeDocument/2006/relationships/hyperlink" Target="https://www.archanaskitchen.com/bharwa-besan-mirch-sabzi-recipe-chillies-stuffed-with-spiced-gram-flour-in-hindi" TargetMode="External"/><Relationship Id="rId111" Type="http://schemas.openxmlformats.org/officeDocument/2006/relationships/hyperlink" Target="http://www.archanaskitchen.com/sweet-spicy-raw-papaya-moongfali-ki-subzi-recipe" TargetMode="External"/><Relationship Id="rId15" Type="http://schemas.openxmlformats.org/officeDocument/2006/relationships/hyperlink" Target="http://www.archanaskitchen.com/rajasthani-hare-chane-ka-halwa-recipe-in-hindi" TargetMode="External"/><Relationship Id="rId36" Type="http://schemas.openxmlformats.org/officeDocument/2006/relationships/hyperlink" Target="https://www.archanaskitchen.com/gavar-ki-sabji-recipe-in-hindi" TargetMode="External"/><Relationship Id="rId57" Type="http://schemas.openxmlformats.org/officeDocument/2006/relationships/hyperlink" Target="http://www.archanaskitchen.com/rajasthani-hare-chane-ka-halwa-recipe-choliya-halwa" TargetMode="External"/><Relationship Id="rId106" Type="http://schemas.openxmlformats.org/officeDocument/2006/relationships/hyperlink" Target="http://www.archanaskitchen.com/baked-whole-wheat-masala-baati-recipe-healthy-rajasthani-spiced-wheat-dumplings" TargetMode="External"/><Relationship Id="rId10" Type="http://schemas.openxmlformats.org/officeDocument/2006/relationships/hyperlink" Target="https://www.archanaskitchen.com/green-chana-chutney-green-chickpea-chutney-recipe" TargetMode="External"/><Relationship Id="rId31" Type="http://schemas.openxmlformats.org/officeDocument/2006/relationships/hyperlink" Target="http://www.archanaskitchen.com/green-chilli-vegetable-recipe-in-hindi" TargetMode="External"/><Relationship Id="rId52" Type="http://schemas.openxmlformats.org/officeDocument/2006/relationships/hyperlink" Target="http://www.archanaskitchen.com/jodhpuri-kabuli-recipe" TargetMode="External"/><Relationship Id="rId73" Type="http://schemas.openxmlformats.org/officeDocument/2006/relationships/hyperlink" Target="https://www.archanaskitchen.com/rajasthani-gunde-ka-achaar-recipe-bird-lime-pickle" TargetMode="External"/><Relationship Id="rId78" Type="http://schemas.openxmlformats.org/officeDocument/2006/relationships/hyperlink" Target="https://www.archanaskitchen.com/aal-ke-kofte-bottle-gourd-fritters-in-spicy-gravy-recipe" TargetMode="External"/><Relationship Id="rId94" Type="http://schemas.openxmlformats.org/officeDocument/2006/relationships/hyperlink" Target="https://www.archanaskitchen.com/no-onion-no-garlic-rajasthani-gatte-ki-kadhi-recipe" TargetMode="External"/><Relationship Id="rId99" Type="http://schemas.openxmlformats.org/officeDocument/2006/relationships/hyperlink" Target="https://www.archanaskitchen.com/jaipuri-aloo-pyaz-ki-sabzi-recipe" TargetMode="External"/><Relationship Id="rId101" Type="http://schemas.openxmlformats.org/officeDocument/2006/relationships/hyperlink" Target="https://www.archanaskitchen.com/besan-aur-mirch-ki-sabzi-recipe-in-hindi" TargetMode="External"/><Relationship Id="rId122" Type="http://schemas.openxmlformats.org/officeDocument/2006/relationships/hyperlink" Target="https://www.archanaskitchen.com/rajasthani-methi-mangodi-sabzi-recipe" TargetMode="External"/></Relationships>
</file>

<file path=xl/worksheets/_rels/sheet3.xml.rels><?xml version="1.0" encoding="UTF-8" standalone="yes"?>
<Relationships xmlns="http://schemas.openxmlformats.org/package/2006/relationships"><Relationship Id="rId117" Type="http://schemas.openxmlformats.org/officeDocument/2006/relationships/hyperlink" Target="https://www.archanaskitchen.com/kerala-mutton-pepper-fry-recipe" TargetMode="External"/><Relationship Id="rId21" Type="http://schemas.openxmlformats.org/officeDocument/2006/relationships/hyperlink" Target="https://www.archanaskitchen.com/kerala-style-sugian-recipe-sweet-moong-dal-bondas" TargetMode="External"/><Relationship Id="rId42" Type="http://schemas.openxmlformats.org/officeDocument/2006/relationships/hyperlink" Target="http://www.archanaskitchen.com/kerala-style-chemeen-moilee-recipe-prawn-curry" TargetMode="External"/><Relationship Id="rId63" Type="http://schemas.openxmlformats.org/officeDocument/2006/relationships/hyperlink" Target="http://www.archanaskitchen.com/kerala-pumpkin-black-eyed-beans-erissery-recipe" TargetMode="External"/><Relationship Id="rId84" Type="http://schemas.openxmlformats.org/officeDocument/2006/relationships/hyperlink" Target="http://www.archanaskitchen.com/chow-chow-thoran-poriyal-recipe" TargetMode="External"/><Relationship Id="rId138" Type="http://schemas.openxmlformats.org/officeDocument/2006/relationships/hyperlink" Target="http://www.archanaskitchen.com/varutharacha-mutta-curry-recipe" TargetMode="External"/><Relationship Id="rId159" Type="http://schemas.openxmlformats.org/officeDocument/2006/relationships/hyperlink" Target="https://www.archanaskitchen.com/beans-mezhukkupuratti-recipe-kerala-style-stir-fried-beans" TargetMode="External"/><Relationship Id="rId107" Type="http://schemas.openxmlformats.org/officeDocument/2006/relationships/hyperlink" Target="http://www.archanaskitchen.com/vellarikka-manga-curry-recipe-kerala-style-cucumber-and-raw-mango-curry" TargetMode="External"/><Relationship Id="rId11" Type="http://schemas.openxmlformats.org/officeDocument/2006/relationships/hyperlink" Target="http://www.archanaskitchen.com/kerala-style-appam-recipe-fermented-rice-pancakes-with-coconut-in-hindi" TargetMode="External"/><Relationship Id="rId32" Type="http://schemas.openxmlformats.org/officeDocument/2006/relationships/hyperlink" Target="https://www.archanaskitchen.com/omakka-curry-recipe-kerala-style-papaya-curry" TargetMode="External"/><Relationship Id="rId53" Type="http://schemas.openxmlformats.org/officeDocument/2006/relationships/hyperlink" Target="https://www.archanaskitchen.com/chemba-arisi-thengai-paal-payasam-recipe-red-rice-payasam" TargetMode="External"/><Relationship Id="rId74" Type="http://schemas.openxmlformats.org/officeDocument/2006/relationships/hyperlink" Target="https://www.archanaskitchen.com/kerala-style-banana-dosa-recipe" TargetMode="External"/><Relationship Id="rId128" Type="http://schemas.openxmlformats.org/officeDocument/2006/relationships/hyperlink" Target="https://www.archanaskitchen.com/andi-unda-kerala-special-cashew-rice-balls-recipe" TargetMode="External"/><Relationship Id="rId149" Type="http://schemas.openxmlformats.org/officeDocument/2006/relationships/hyperlink" Target="https://www.archanaskitchen.com/kerala-style-prawns-shrimp-biryani-chemmeen-biryani-recipe" TargetMode="External"/><Relationship Id="rId5" Type="http://schemas.openxmlformats.org/officeDocument/2006/relationships/hyperlink" Target="http://www.archanaskitchen.com/malabar-kaai-curry-recipe-with-nenthrapazham" TargetMode="External"/><Relationship Id="rId95" Type="http://schemas.openxmlformats.org/officeDocument/2006/relationships/hyperlink" Target="https://www.archanaskitchen.com/ada-pradhaman-recipe-kerala-style-rice-flake-pudding-with-jaggery-coconut-milk" TargetMode="External"/><Relationship Id="rId160" Type="http://schemas.openxmlformats.org/officeDocument/2006/relationships/hyperlink" Target="https://www.archanaskitchen.com/chena-mezhukuparrati-recipe-eggplant-foot-yam-stir-fry" TargetMode="External"/><Relationship Id="rId22" Type="http://schemas.openxmlformats.org/officeDocument/2006/relationships/hyperlink" Target="http://www.archanaskitchen.com/kerala-style-vendakkai-uppadan-recipe-okra-curry-without-coconut-recipe-in-hindi" TargetMode="External"/><Relationship Id="rId43" Type="http://schemas.openxmlformats.org/officeDocument/2006/relationships/hyperlink" Target="http://www.archanaskitchen.com/chena-mezhukuparrati-recipe-eggplant-foot-yam-stir-fry-in-hindi" TargetMode="External"/><Relationship Id="rId64" Type="http://schemas.openxmlformats.org/officeDocument/2006/relationships/hyperlink" Target="https://www.archanaskitchen.com/kerala-style-vattayapam-recipe-steamed-coconut-rice-cakes-recipe" TargetMode="External"/><Relationship Id="rId118" Type="http://schemas.openxmlformats.org/officeDocument/2006/relationships/hyperlink" Target="http://www.archanaskitchen.com/meen-varuthathu-recipe-kerala-style-fish-fry-in-hindi" TargetMode="External"/><Relationship Id="rId139" Type="http://schemas.openxmlformats.org/officeDocument/2006/relationships/hyperlink" Target="https://www.archanaskitchen.com/cabbage-thoran-recipe-in-hindi" TargetMode="External"/><Relationship Id="rId85" Type="http://schemas.openxmlformats.org/officeDocument/2006/relationships/hyperlink" Target="http://www.archanaskitchen.com/kanji-payar-recipe" TargetMode="External"/><Relationship Id="rId150" Type="http://schemas.openxmlformats.org/officeDocument/2006/relationships/hyperlink" Target="https://www.archanaskitchen.com/kerala-style-vettu-cake-recipe-eggless-wholewheat-tea-shop-cake" TargetMode="External"/><Relationship Id="rId12" Type="http://schemas.openxmlformats.org/officeDocument/2006/relationships/hyperlink" Target="http://www.archanaskitchen.com/paruppu-payasam-recipe" TargetMode="External"/><Relationship Id="rId17" Type="http://schemas.openxmlformats.org/officeDocument/2006/relationships/hyperlink" Target="http://www.archanaskitchen.com/kerala-style-chicken-chatti-pathiri-recipe" TargetMode="External"/><Relationship Id="rId33" Type="http://schemas.openxmlformats.org/officeDocument/2006/relationships/hyperlink" Target="http://www.archanaskitchen.com/kerala-special-mambazha-puliserry-recipe" TargetMode="External"/><Relationship Id="rId38" Type="http://schemas.openxmlformats.org/officeDocument/2006/relationships/hyperlink" Target="http://www.archanaskitchen.com/mango-coconut-kheer-recipe" TargetMode="External"/><Relationship Id="rId59" Type="http://schemas.openxmlformats.org/officeDocument/2006/relationships/hyperlink" Target="http://www.archanaskitchen.com/sweet-spicy-kadala-curry-recipe-with-tamarind-and-coconut-milk-in-hindi" TargetMode="External"/><Relationship Id="rId103" Type="http://schemas.openxmlformats.org/officeDocument/2006/relationships/hyperlink" Target="https://www.archanaskitchen.com/kerala-style-cauliflower-kurma-recipe" TargetMode="External"/><Relationship Id="rId108" Type="http://schemas.openxmlformats.org/officeDocument/2006/relationships/hyperlink" Target="http://www.archanaskitchen.com/baby-potato-theeyal-recipe-kerala-style-potatoes-in-shallots-and-roasted-coconut-recipe-2" TargetMode="External"/><Relationship Id="rId124" Type="http://schemas.openxmlformats.org/officeDocument/2006/relationships/hyperlink" Target="https://www.archanaskitchen.com/baked-chinese-potato-recipe-koorka-mezhukuperatti" TargetMode="External"/><Relationship Id="rId129" Type="http://schemas.openxmlformats.org/officeDocument/2006/relationships/hyperlink" Target="http://www.archanaskitchen.com/chemmeen-muringakka-curry-recipe-prawn-drumstick-curry" TargetMode="External"/><Relationship Id="rId54" Type="http://schemas.openxmlformats.org/officeDocument/2006/relationships/hyperlink" Target="http://www.archanaskitchen.com/mulangi-thoran-recipe-raddish-stir-fry-with-coconut" TargetMode="External"/><Relationship Id="rId70" Type="http://schemas.openxmlformats.org/officeDocument/2006/relationships/hyperlink" Target="https://www.archanaskitchen.com/kerala-style-chena-mezhukkupuratty-recipe-yam-stir-fry-recipe" TargetMode="External"/><Relationship Id="rId75" Type="http://schemas.openxmlformats.org/officeDocument/2006/relationships/hyperlink" Target="https://www.archanaskitchen.com/kerala-style-mutton-roast-recipe-mutton-masala-in-semi-gravy" TargetMode="External"/><Relationship Id="rId91" Type="http://schemas.openxmlformats.org/officeDocument/2006/relationships/hyperlink" Target="http://www.archanaskitchen.com/baked-banana-chips-recipe-in-hindi" TargetMode="External"/><Relationship Id="rId96" Type="http://schemas.openxmlformats.org/officeDocument/2006/relationships/hyperlink" Target="http://www.archanaskitchen.com/banana-stem-thoran-recipe-ayurvedic-no-onion-no-garlic-recipe" TargetMode="External"/><Relationship Id="rId140" Type="http://schemas.openxmlformats.org/officeDocument/2006/relationships/hyperlink" Target="http://www.archanaskitchen.com/calamari-roast-recipe-kerala-style-squid" TargetMode="External"/><Relationship Id="rId145" Type="http://schemas.openxmlformats.org/officeDocument/2006/relationships/hyperlink" Target="http://www.archanaskitchen.com/murungai-keerai-puttu-drumstick-leaves-puttu-recipe" TargetMode="External"/><Relationship Id="rId161" Type="http://schemas.openxmlformats.org/officeDocument/2006/relationships/hyperlink" Target="http://www.archanaskitchen.com/kerala-style-ulli-theeyal-recipe-small-onions-roasted-in-spicy-tamarind-coconut-gravy-in-hindi" TargetMode="External"/><Relationship Id="rId1" Type="http://schemas.openxmlformats.org/officeDocument/2006/relationships/hyperlink" Target="https://www.archanaskitchen.com/kerala-palada-pradhaman-recipe" TargetMode="External"/><Relationship Id="rId6" Type="http://schemas.openxmlformats.org/officeDocument/2006/relationships/hyperlink" Target="https://www.archanaskitchen.com/kerala-style-vendakkai-thoran-recipe-stir-fried-okra-with-ground-coconut-recipe" TargetMode="External"/><Relationship Id="rId23" Type="http://schemas.openxmlformats.org/officeDocument/2006/relationships/hyperlink" Target="https://www.archanaskitchen.com/kerala-cherupayar-curry-recipe-green-moong-and-yellow-moong-dal-recipe" TargetMode="External"/><Relationship Id="rId28" Type="http://schemas.openxmlformats.org/officeDocument/2006/relationships/hyperlink" Target="http://www.archanaskitchen.com/kerala-style-chicken-tomato-roast-recipe" TargetMode="External"/><Relationship Id="rId49" Type="http://schemas.openxmlformats.org/officeDocument/2006/relationships/hyperlink" Target="http://www.archanaskitchen.com/carrot-and-beans-thoran-recipe-in-hindi" TargetMode="External"/><Relationship Id="rId114" Type="http://schemas.openxmlformats.org/officeDocument/2006/relationships/hyperlink" Target="http://www.archanaskitchen.com/raw-papaya-thoran-recipe" TargetMode="External"/><Relationship Id="rId119" Type="http://schemas.openxmlformats.org/officeDocument/2006/relationships/hyperlink" Target="http://www.archanaskitchen.com/10-minutes-oats-unni-appam-nei-appam-recipe" TargetMode="External"/><Relationship Id="rId44" Type="http://schemas.openxmlformats.org/officeDocument/2006/relationships/hyperlink" Target="http://www.archanaskitchen.com/prawns-theeyal-recipe-chemeen-theeyal" TargetMode="External"/><Relationship Id="rId60" Type="http://schemas.openxmlformats.org/officeDocument/2006/relationships/hyperlink" Target="http://www.archanaskitchen.com/malabari-parotta-without-egg-recipe-kerala-parotta" TargetMode="External"/><Relationship Id="rId65" Type="http://schemas.openxmlformats.org/officeDocument/2006/relationships/hyperlink" Target="http://www.archanaskitchen.com/nadan-meen-kari-kerala-style-fish-curry-recipe" TargetMode="External"/><Relationship Id="rId81" Type="http://schemas.openxmlformats.org/officeDocument/2006/relationships/hyperlink" Target="http://www.archanaskitchen.com/raw-banana-thoran-recipe-in-hindi" TargetMode="External"/><Relationship Id="rId86" Type="http://schemas.openxmlformats.org/officeDocument/2006/relationships/hyperlink" Target="https://www.archanaskitchen.com/pattani-kootu-recipe-green-peas-curry" TargetMode="External"/><Relationship Id="rId130" Type="http://schemas.openxmlformats.org/officeDocument/2006/relationships/hyperlink" Target="http://www.archanaskitchen.com/mambhazam-pulissery-recipe" TargetMode="External"/><Relationship Id="rId135" Type="http://schemas.openxmlformats.org/officeDocument/2006/relationships/hyperlink" Target="https://www.archanaskitchen.com/kerala-style-karamani-thoran-recipe-yard-beans-stir-fry-with-coconut" TargetMode="External"/><Relationship Id="rId151" Type="http://schemas.openxmlformats.org/officeDocument/2006/relationships/hyperlink" Target="https://www.archanaskitchen.com/kerala-style-varutharacha-sambar-recipe-tangy-coconut-sambar-recipe" TargetMode="External"/><Relationship Id="rId156" Type="http://schemas.openxmlformats.org/officeDocument/2006/relationships/hyperlink" Target="http://www.archanaskitchen.com/kerala-style-murungai-keerai-thoran-recipe" TargetMode="External"/><Relationship Id="rId13" Type="http://schemas.openxmlformats.org/officeDocument/2006/relationships/hyperlink" Target="http://www.archanaskitchen.com/nendra-vazhaipazham-puliserry-recipe-ripe-banana-cooked-in-curd" TargetMode="External"/><Relationship Id="rId18" Type="http://schemas.openxmlformats.org/officeDocument/2006/relationships/hyperlink" Target="http://www.archanaskitchen.com/kerala-style-pazham-pori-recipe-banana-fritters-recipe" TargetMode="External"/><Relationship Id="rId39" Type="http://schemas.openxmlformats.org/officeDocument/2006/relationships/hyperlink" Target="https://www.archanaskitchen.com/kerala-kadala-curry-recipe-spicy-chickpeas-in-coconut-curry-in-hindi" TargetMode="External"/><Relationship Id="rId109" Type="http://schemas.openxmlformats.org/officeDocument/2006/relationships/hyperlink" Target="http://www.archanaskitchen.com/kerala-matta-rice-puttu-recipe" TargetMode="External"/><Relationship Id="rId34" Type="http://schemas.openxmlformats.org/officeDocument/2006/relationships/hyperlink" Target="http://www.archanaskitchen.com/kerala-style-vendakkai-pachadi-recipe-in-hindi" TargetMode="External"/><Relationship Id="rId50" Type="http://schemas.openxmlformats.org/officeDocument/2006/relationships/hyperlink" Target="http://www.archanaskitchen.com/baked-banana-chips-recipe" TargetMode="External"/><Relationship Id="rId55" Type="http://schemas.openxmlformats.org/officeDocument/2006/relationships/hyperlink" Target="https://www.archanaskitchen.com/no-yeast-kerala-style-appam-recipe" TargetMode="External"/><Relationship Id="rId76" Type="http://schemas.openxmlformats.org/officeDocument/2006/relationships/hyperlink" Target="http://www.archanaskitchen.com/chicken-kappa-biryani-recipe" TargetMode="External"/><Relationship Id="rId97" Type="http://schemas.openxmlformats.org/officeDocument/2006/relationships/hyperlink" Target="http://www.archanaskitchen.com/chow-chow-thoran-recipe-in-hindi" TargetMode="External"/><Relationship Id="rId104" Type="http://schemas.openxmlformats.org/officeDocument/2006/relationships/hyperlink" Target="https://www.archanaskitchen.com/malabar-prawn-curry-recipe" TargetMode="External"/><Relationship Id="rId120" Type="http://schemas.openxmlformats.org/officeDocument/2006/relationships/hyperlink" Target="http://www.archanaskitchen.com/chow-chow-thoran-poriyal-recipe-in-hindi" TargetMode="External"/><Relationship Id="rId125" Type="http://schemas.openxmlformats.org/officeDocument/2006/relationships/hyperlink" Target="http://www.archanaskitchen.com/kerala-style-puttu-upma-recipe-with-scrambled-eggs" TargetMode="External"/><Relationship Id="rId141" Type="http://schemas.openxmlformats.org/officeDocument/2006/relationships/hyperlink" Target="https://www.archanaskitchen.com/carrot-and-beans-thoran-subzi-recipe" TargetMode="External"/><Relationship Id="rId146" Type="http://schemas.openxmlformats.org/officeDocument/2006/relationships/hyperlink" Target="https://www.archanaskitchen.com/kerala-style-whole-wheat-parotta-recipe" TargetMode="External"/><Relationship Id="rId7" Type="http://schemas.openxmlformats.org/officeDocument/2006/relationships/hyperlink" Target="https://www.archanaskitchen.com/vendakka-stew-recipe-kerala-style-okra-stew" TargetMode="External"/><Relationship Id="rId71" Type="http://schemas.openxmlformats.org/officeDocument/2006/relationships/hyperlink" Target="http://www.archanaskitchen.com/kerala-style-chakka-varattiyathuari-payasam-recipe-jackfruit-brown-rice-kheer-pudding-recipe" TargetMode="External"/><Relationship Id="rId92" Type="http://schemas.openxmlformats.org/officeDocument/2006/relationships/hyperlink" Target="http://www.archanaskitchen.com/nei-appam-recipe-rice-flour-appam" TargetMode="External"/><Relationship Id="rId162" Type="http://schemas.openxmlformats.org/officeDocument/2006/relationships/hyperlink" Target="https://www.archanaskitchen.com/cabbage-and-carrot-thoran-recipe" TargetMode="External"/><Relationship Id="rId2" Type="http://schemas.openxmlformats.org/officeDocument/2006/relationships/hyperlink" Target="http://www.archanaskitchen.com/white-pumpkin-mor-kuzhambu-recipe-kerala-style-white-pumpkin-gravy" TargetMode="External"/><Relationship Id="rId29" Type="http://schemas.openxmlformats.org/officeDocument/2006/relationships/hyperlink" Target="https://www.archanaskitchen.com/kerala-style-taroo-root-curry-recipe-colacasia" TargetMode="External"/><Relationship Id="rId24" Type="http://schemas.openxmlformats.org/officeDocument/2006/relationships/hyperlink" Target="http://www.archanaskitchen.com/nei-appam-recipe-coconut-banana-fritters" TargetMode="External"/><Relationship Id="rId40" Type="http://schemas.openxmlformats.org/officeDocument/2006/relationships/hyperlink" Target="http://www.archanaskitchen.com/guava-and-papaya-mimosa-drink-recipe" TargetMode="External"/><Relationship Id="rId45" Type="http://schemas.openxmlformats.org/officeDocument/2006/relationships/hyperlink" Target="https://www.archanaskitchen.com/kerala-style-eggplant-curry-recipe" TargetMode="External"/><Relationship Id="rId66" Type="http://schemas.openxmlformats.org/officeDocument/2006/relationships/hyperlink" Target="http://www.archanaskitchen.com/pazhutha-manga-pachadi-recipe-kerala-style-ripe-mango-curry" TargetMode="External"/><Relationship Id="rId87" Type="http://schemas.openxmlformats.org/officeDocument/2006/relationships/hyperlink" Target="http://www.archanaskitchen.com/nandan-kozhi-recipe-kerala-style-chicken-curry" TargetMode="External"/><Relationship Id="rId110" Type="http://schemas.openxmlformats.org/officeDocument/2006/relationships/hyperlink" Target="https://www.archanaskitchen.com/kerala-style-chicken-stew-recipe" TargetMode="External"/><Relationship Id="rId115" Type="http://schemas.openxmlformats.org/officeDocument/2006/relationships/hyperlink" Target="https://www.archanaskitchen.com/kerala-avial-recipe-in-hindi" TargetMode="External"/><Relationship Id="rId131" Type="http://schemas.openxmlformats.org/officeDocument/2006/relationships/hyperlink" Target="https://www.archanaskitchen.com/kerala-varutharacha-mutton-curry-recipe" TargetMode="External"/><Relationship Id="rId136" Type="http://schemas.openxmlformats.org/officeDocument/2006/relationships/hyperlink" Target="http://www.archanaskitchen.com/nadan-tomato-curry-recipe-kerala-style-tomato-curry" TargetMode="External"/><Relationship Id="rId157" Type="http://schemas.openxmlformats.org/officeDocument/2006/relationships/hyperlink" Target="https://www.archanaskitchen.com/kerala-style-rich-creamy-egg-cashew-curry-recipe-in-hindi" TargetMode="External"/><Relationship Id="rId61" Type="http://schemas.openxmlformats.org/officeDocument/2006/relationships/hyperlink" Target="http://www.archanaskitchen.com/kerala-tomato-fry-recipe" TargetMode="External"/><Relationship Id="rId82" Type="http://schemas.openxmlformats.org/officeDocument/2006/relationships/hyperlink" Target="http://www.archanaskitchen.com/kerala-style-eggplant-curry-recipe-in-hindi" TargetMode="External"/><Relationship Id="rId152" Type="http://schemas.openxmlformats.org/officeDocument/2006/relationships/hyperlink" Target="https://www.archanaskitchen.com/sweet-and-spicy-kadala-curry-recipe-with-tamarind-and-coconut-milk" TargetMode="External"/><Relationship Id="rId19" Type="http://schemas.openxmlformats.org/officeDocument/2006/relationships/hyperlink" Target="https://www.archanaskitchen.com/kerala-style-fish-curry-recipe" TargetMode="External"/><Relationship Id="rId14" Type="http://schemas.openxmlformats.org/officeDocument/2006/relationships/hyperlink" Target="https://www.archanaskitchen.com/kerala-chicken-curry-recipe-with-freshly-ground-spices" TargetMode="External"/><Relationship Id="rId30" Type="http://schemas.openxmlformats.org/officeDocument/2006/relationships/hyperlink" Target="https://www.archanaskitchen.com/pavakka-pachadi-recipe-bitter-gourd-pachadi" TargetMode="External"/><Relationship Id="rId35" Type="http://schemas.openxmlformats.org/officeDocument/2006/relationships/hyperlink" Target="http://www.archanaskitchen.com/caramel-folded-plum-cake-recipe" TargetMode="External"/><Relationship Id="rId56" Type="http://schemas.openxmlformats.org/officeDocument/2006/relationships/hyperlink" Target="https://www.archanaskitchen.com/moru-kachiyathu-recipe-kerala-style-seasoned-buttermilk" TargetMode="External"/><Relationship Id="rId77" Type="http://schemas.openxmlformats.org/officeDocument/2006/relationships/hyperlink" Target="http://www.archanaskitchen.com/kerala-style-nadan-tomato-curry-recipe-recipe-in-hindi" TargetMode="External"/><Relationship Id="rId100" Type="http://schemas.openxmlformats.org/officeDocument/2006/relationships/hyperlink" Target="https://www.archanaskitchen.com/kerala-style-chakka-adai-recipe-rice-flour-and-jackfruit-flatbread-recipe" TargetMode="External"/><Relationship Id="rId105" Type="http://schemas.openxmlformats.org/officeDocument/2006/relationships/hyperlink" Target="https://www.archanaskitchen.com/thalassery-chicken-biriyani-recipe" TargetMode="External"/><Relationship Id="rId126" Type="http://schemas.openxmlformats.org/officeDocument/2006/relationships/hyperlink" Target="https://www.archanaskitchen.com/sprouted-horsegram-thoran-recipe-no-onion-no-garlic" TargetMode="External"/><Relationship Id="rId147" Type="http://schemas.openxmlformats.org/officeDocument/2006/relationships/hyperlink" Target="http://www.archanaskitchen.com/kerala-style-vegetable-stew-recipe-in-hindi" TargetMode="External"/><Relationship Id="rId8" Type="http://schemas.openxmlformats.org/officeDocument/2006/relationships/hyperlink" Target="http://www.archanaskitchen.com/kerala-style-pacha-mango-avial-recipe" TargetMode="External"/><Relationship Id="rId51" Type="http://schemas.openxmlformats.org/officeDocument/2006/relationships/hyperlink" Target="https://www.archanaskitchen.com/achappam-recipe-kerala-style-fried-rose-cookies" TargetMode="External"/><Relationship Id="rId72" Type="http://schemas.openxmlformats.org/officeDocument/2006/relationships/hyperlink" Target="http://www.archanaskitchen.com/kerala-style-appam-recipe-fermented-rice-pancakes-with-coconut" TargetMode="External"/><Relationship Id="rId93" Type="http://schemas.openxmlformats.org/officeDocument/2006/relationships/hyperlink" Target="https://www.archanaskitchen.com/kerala-avial-recipe" TargetMode="External"/><Relationship Id="rId98" Type="http://schemas.openxmlformats.org/officeDocument/2006/relationships/hyperlink" Target="http://www.archanaskitchen.com/kerala-style-mushroom-sabzi-recipe-in-hindi" TargetMode="External"/><Relationship Id="rId121" Type="http://schemas.openxmlformats.org/officeDocument/2006/relationships/hyperlink" Target="http://www.archanaskitchen.com/calicut-payyoli-chicken-fry-recipe" TargetMode="External"/><Relationship Id="rId142" Type="http://schemas.openxmlformats.org/officeDocument/2006/relationships/hyperlink" Target="https://www.archanaskitchen.com/kerala-style-konju-curry-with-thengakothu-recipe-kerala-style-prawn-curry" TargetMode="External"/><Relationship Id="rId163" Type="http://schemas.openxmlformats.org/officeDocument/2006/relationships/hyperlink" Target="https://www.archanaskitchen.com/perum-payaru-theeyal-recipe-kerala-style-black-eyed-bean-curry" TargetMode="External"/><Relationship Id="rId3" Type="http://schemas.openxmlformats.org/officeDocument/2006/relationships/hyperlink" Target="http://www.archanaskitchen.com/kerala-style-plantain-yam-kootu-curry-recipe-in-hindi" TargetMode="External"/><Relationship Id="rId25" Type="http://schemas.openxmlformats.org/officeDocument/2006/relationships/hyperlink" Target="https://www.archanaskitchen.com/biryani-chammanthi-recipe" TargetMode="External"/><Relationship Id="rId46" Type="http://schemas.openxmlformats.org/officeDocument/2006/relationships/hyperlink" Target="https://www.archanaskitchen.com/kerala-style-jack-fruit-seeds-stir-fry-recipe-in-hindi" TargetMode="External"/><Relationship Id="rId67" Type="http://schemas.openxmlformats.org/officeDocument/2006/relationships/hyperlink" Target="http://www.archanaskitchen.com/kerala-style-egg-roast-curry-recipe-in-hindi" TargetMode="External"/><Relationship Id="rId116" Type="http://schemas.openxmlformats.org/officeDocument/2006/relationships/hyperlink" Target="https://www.archanaskitchen.com/vivatta-whole-wheat-flour-puttu-recipe" TargetMode="External"/><Relationship Id="rId137" Type="http://schemas.openxmlformats.org/officeDocument/2006/relationships/hyperlink" Target="http://www.archanaskitchen.com/kerala-special-vegetable-stew-recipe" TargetMode="External"/><Relationship Id="rId158" Type="http://schemas.openxmlformats.org/officeDocument/2006/relationships/hyperlink" Target="http://www.archanaskitchen.com/fish-molee-recipe" TargetMode="External"/><Relationship Id="rId20" Type="http://schemas.openxmlformats.org/officeDocument/2006/relationships/hyperlink" Target="https://www.archanaskitchen.com/kerala-style-chakka-pal-kozhukattai-recipe-rice-dumpling-in-jackfruit-flavored-coconut-milk-recipe" TargetMode="External"/><Relationship Id="rId41" Type="http://schemas.openxmlformats.org/officeDocument/2006/relationships/hyperlink" Target="https://www.archanaskitchen.com/kerala-style-christmas-plum-cake-recipe" TargetMode="External"/><Relationship Id="rId62" Type="http://schemas.openxmlformats.org/officeDocument/2006/relationships/hyperlink" Target="https://www.archanaskitchen.com/kerala-chicken-curry-recipe-nadan-kozhi-curry" TargetMode="External"/><Relationship Id="rId83" Type="http://schemas.openxmlformats.org/officeDocument/2006/relationships/hyperlink" Target="http://www.archanaskitchen.com/meen-varuthathu-recipe-kerala-style-fish-fry" TargetMode="External"/><Relationship Id="rId88" Type="http://schemas.openxmlformats.org/officeDocument/2006/relationships/hyperlink" Target="https://www.archanaskitchen.com/kerala-chicken-curry-recipe" TargetMode="External"/><Relationship Id="rId111" Type="http://schemas.openxmlformats.org/officeDocument/2006/relationships/hyperlink" Target="https://www.archanaskitchen.com/kuruku-kaalan-recipe-raw-bananas-in-coconut-curry-in-hindi" TargetMode="External"/><Relationship Id="rId132" Type="http://schemas.openxmlformats.org/officeDocument/2006/relationships/hyperlink" Target="http://www.archanaskitchen.com/chena-kaya-erissery-recipe" TargetMode="External"/><Relationship Id="rId153" Type="http://schemas.openxmlformats.org/officeDocument/2006/relationships/hyperlink" Target="http://www.archanaskitchen.com/pulikuthi-upperi-recipe-spicy-tangy-palakkad-poriyal-recipe" TargetMode="External"/><Relationship Id="rId15" Type="http://schemas.openxmlformats.org/officeDocument/2006/relationships/hyperlink" Target="https://www.archanaskitchen.com/karnataka-special-huli-tovve-recipe" TargetMode="External"/><Relationship Id="rId36" Type="http://schemas.openxmlformats.org/officeDocument/2006/relationships/hyperlink" Target="https://www.archanaskitchen.com/mambazha-pulissery-recipe-mango-yogurt-curry" TargetMode="External"/><Relationship Id="rId57" Type="http://schemas.openxmlformats.org/officeDocument/2006/relationships/hyperlink" Target="http://www.archanaskitchen.com/raw-banana-thoran-recipe" TargetMode="External"/><Relationship Id="rId106" Type="http://schemas.openxmlformats.org/officeDocument/2006/relationships/hyperlink" Target="http://www.archanaskitchen.com/dry-ginger-coffee-recipe-in-hindi" TargetMode="External"/><Relationship Id="rId127" Type="http://schemas.openxmlformats.org/officeDocument/2006/relationships/hyperlink" Target="http://www.archanaskitchen.com/kaya-tholi-thoran-recipe" TargetMode="External"/><Relationship Id="rId10" Type="http://schemas.openxmlformats.org/officeDocument/2006/relationships/hyperlink" Target="http://www.archanaskitchen.com/tapioca-with-coconut-curd-chutney-recipe" TargetMode="External"/><Relationship Id="rId31" Type="http://schemas.openxmlformats.org/officeDocument/2006/relationships/hyperlink" Target="https://www.archanaskitchen.com/biriyani-chammanthi-recipe-green-chutney-recipe" TargetMode="External"/><Relationship Id="rId52" Type="http://schemas.openxmlformats.org/officeDocument/2006/relationships/hyperlink" Target="http://www.archanaskitchen.com/mutton-stew-kerala-style-recipe" TargetMode="External"/><Relationship Id="rId73" Type="http://schemas.openxmlformats.org/officeDocument/2006/relationships/hyperlink" Target="https://www.archanaskitchen.com/mango-drumstick-mulakushyam-recipe-coconut-based-curry" TargetMode="External"/><Relationship Id="rId78" Type="http://schemas.openxmlformats.org/officeDocument/2006/relationships/hyperlink" Target="http://www.archanaskitchen.com/kerala-style-vendakkai-thoran-recipe-stir-fried-okra-with-ground-coconut-recipe-in-hindi" TargetMode="External"/><Relationship Id="rId94" Type="http://schemas.openxmlformats.org/officeDocument/2006/relationships/hyperlink" Target="https://www.archanaskitchen.com/chakka-erissery-recipe-kerala-style-coconut-laced-jackfruit-sabzi" TargetMode="External"/><Relationship Id="rId99" Type="http://schemas.openxmlformats.org/officeDocument/2006/relationships/hyperlink" Target="https://www.archanaskitchen.com/kerala-style-cauliflower-kurma-recipe-in-hindi" TargetMode="External"/><Relationship Id="rId101" Type="http://schemas.openxmlformats.org/officeDocument/2006/relationships/hyperlink" Target="https://www.archanaskitchen.com/kerala-pumpkin-pachadi-recipe-parangikai-pachadi" TargetMode="External"/><Relationship Id="rId122" Type="http://schemas.openxmlformats.org/officeDocument/2006/relationships/hyperlink" Target="https://www.archanaskitchen.com/cabbage-and-carrot-thoran-recipe-in-hindi" TargetMode="External"/><Relationship Id="rId143" Type="http://schemas.openxmlformats.org/officeDocument/2006/relationships/hyperlink" Target="http://www.archanaskitchen.com/mint-vegetables-moilee-recipe-mixed-vegetables-cooked-in-minty-coconut-milk" TargetMode="External"/><Relationship Id="rId148" Type="http://schemas.openxmlformats.org/officeDocument/2006/relationships/hyperlink" Target="https://www.archanaskitchen.com/kerala-vendakkai-thoran-recipe-okra-stir-fry-with-coconut-in-hindi" TargetMode="External"/><Relationship Id="rId4" Type="http://schemas.openxmlformats.org/officeDocument/2006/relationships/hyperlink" Target="https://www.archanaskitchen.com/dry-sweet-potato-thoran-recipe" TargetMode="External"/><Relationship Id="rId9" Type="http://schemas.openxmlformats.org/officeDocument/2006/relationships/hyperlink" Target="https://www.archanaskitchen.com/meen-vevichathu-recipe-kottayam-style-fish-curry" TargetMode="External"/><Relationship Id="rId26" Type="http://schemas.openxmlformats.org/officeDocument/2006/relationships/hyperlink" Target="http://www.archanaskitchen.com/vendakkai-uppadan-recipe-kerala-style-okra-curry-without-coconut" TargetMode="External"/><Relationship Id="rId47" Type="http://schemas.openxmlformats.org/officeDocument/2006/relationships/hyperlink" Target="https://www.archanaskitchen.com/molagooshyam-recipe-a-mixed-vegetable-lentil-curry" TargetMode="External"/><Relationship Id="rId68" Type="http://schemas.openxmlformats.org/officeDocument/2006/relationships/hyperlink" Target="http://www.archanaskitchen.com/spicy-crab-masala-recipe" TargetMode="External"/><Relationship Id="rId89" Type="http://schemas.openxmlformats.org/officeDocument/2006/relationships/hyperlink" Target="http://www.archanaskitchen.com/baby-potato-theeyal-recipe-kerala-style-potatoes-in-shallots-and-roasted-coconut-recipe" TargetMode="External"/><Relationship Id="rId112" Type="http://schemas.openxmlformats.org/officeDocument/2006/relationships/hyperlink" Target="http://www.archanaskitchen.com/baked-chinese-potato-recipe-koorka-mezhukuperatti-in-hindi" TargetMode="External"/><Relationship Id="rId133" Type="http://schemas.openxmlformats.org/officeDocument/2006/relationships/hyperlink" Target="http://www.archanaskitchen.com/meen-peera-kerala-style-fish-recipe-with-shredded-coconut" TargetMode="External"/><Relationship Id="rId154" Type="http://schemas.openxmlformats.org/officeDocument/2006/relationships/hyperlink" Target="https://www.archanaskitchen.com/kaya-tholi-thoran-recipe-raw-banana-thoran-in-hindi" TargetMode="External"/><Relationship Id="rId16" Type="http://schemas.openxmlformats.org/officeDocument/2006/relationships/hyperlink" Target="http://www.archanaskitchen.com/kerala-style-taroo-root-curry-recipe-colacasia-in-hindi" TargetMode="External"/><Relationship Id="rId37" Type="http://schemas.openxmlformats.org/officeDocument/2006/relationships/hyperlink" Target="http://www.archanaskitchen.com/neymeen-vatti-pattichathu-recipe-seer-fish-with-spicy-masala" TargetMode="External"/><Relationship Id="rId58" Type="http://schemas.openxmlformats.org/officeDocument/2006/relationships/hyperlink" Target="http://www.archanaskitchen.com/kerala-style-coconut-dry-chammanthi-recipe-with-shallots" TargetMode="External"/><Relationship Id="rId79" Type="http://schemas.openxmlformats.org/officeDocument/2006/relationships/hyperlink" Target="https://www.archanaskitchen.com/kerala-tomato-fry-recipe-in-hindi" TargetMode="External"/><Relationship Id="rId102" Type="http://schemas.openxmlformats.org/officeDocument/2006/relationships/hyperlink" Target="http://www.archanaskitchen.com/kerala-style-kappa-ulathiyatu-recipe-tapioca-stir-fry-recipe" TargetMode="External"/><Relationship Id="rId123" Type="http://schemas.openxmlformats.org/officeDocument/2006/relationships/hyperlink" Target="https://www.archanaskitchen.com/matta-rice-chemba-rice-recipe-pressure-cooker-method" TargetMode="External"/><Relationship Id="rId144" Type="http://schemas.openxmlformats.org/officeDocument/2006/relationships/hyperlink" Target="http://www.archanaskitchen.com/mushroom-thoran-recipe-kerala-style-mushroom-sabzi" TargetMode="External"/><Relationship Id="rId90" Type="http://schemas.openxmlformats.org/officeDocument/2006/relationships/hyperlink" Target="https://www.archanaskitchen.com/pumpkin-errisery-recipe-kerala-style-pumpkin-sabzi-with-coconut" TargetMode="External"/><Relationship Id="rId27" Type="http://schemas.openxmlformats.org/officeDocument/2006/relationships/hyperlink" Target="http://www.archanaskitchen.com/mushroom-thoran-recipe-kerala-style-mushroom-sabzi-in-hindi" TargetMode="External"/><Relationship Id="rId48" Type="http://schemas.openxmlformats.org/officeDocument/2006/relationships/hyperlink" Target="http://www.archanaskitchen.com/cabbage-thoran-poriyal-recipe-south-indian-style-cabbage-sabzi-in-hindi" TargetMode="External"/><Relationship Id="rId69" Type="http://schemas.openxmlformats.org/officeDocument/2006/relationships/hyperlink" Target="https://www.archanaskitchen.com/chukku-kaapi-recipe-dry-ginger-coffee" TargetMode="External"/><Relationship Id="rId113" Type="http://schemas.openxmlformats.org/officeDocument/2006/relationships/hyperlink" Target="http://www.archanaskitchen.com/kerala-style-chakkakuru-mezhukkupuratti-recipe-jackfruit-seed-poriyal" TargetMode="External"/><Relationship Id="rId134" Type="http://schemas.openxmlformats.org/officeDocument/2006/relationships/hyperlink" Target="http://www.archanaskitchen.com/chenakayi-erissery-recipe-yam-erissery" TargetMode="External"/><Relationship Id="rId80" Type="http://schemas.openxmlformats.org/officeDocument/2006/relationships/hyperlink" Target="https://www.archanaskitchen.com/rich-creamy-egg-cashew-curry-recipe" TargetMode="External"/><Relationship Id="rId155" Type="http://schemas.openxmlformats.org/officeDocument/2006/relationships/hyperlink" Target="https://www.archanaskitchen.com/idichakka-thoran-recipe-young-jack-fruit-with-spiced-coconut"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www.archanaskitchen.com/uddina-hittu-recipe-udnittu-urad-dal-flour-in-spiced-buttermilk" TargetMode="External"/><Relationship Id="rId13" Type="http://schemas.openxmlformats.org/officeDocument/2006/relationships/hyperlink" Target="https://www.archanaskitchen.com/batani-gassi-recipe-udupi-style-potatoes-and-peas-curry" TargetMode="External"/><Relationship Id="rId3" Type="http://schemas.openxmlformats.org/officeDocument/2006/relationships/hyperlink" Target="http://www.archanaskitchen.com/padipe-saasmi-recipe-udupi-style-amaranth-leaves-curry-with-coconut-tamarind" TargetMode="External"/><Relationship Id="rId7" Type="http://schemas.openxmlformats.org/officeDocument/2006/relationships/hyperlink" Target="http://www.archanaskitchen.com/udupi-style-sambar-recipe-masala-huli-with-mixed-vegetables" TargetMode="External"/><Relationship Id="rId12" Type="http://schemas.openxmlformats.org/officeDocument/2006/relationships/hyperlink" Target="http://www.archanaskitchen.com/udupi-tomato-rasam-recipe" TargetMode="External"/><Relationship Id="rId2" Type="http://schemas.openxmlformats.org/officeDocument/2006/relationships/hyperlink" Target="https://www.archanaskitchen.com/udupi-style-red-parboiled-rice-sevai-recipe-red-rice-vermicelli" TargetMode="External"/><Relationship Id="rId1" Type="http://schemas.openxmlformats.org/officeDocument/2006/relationships/hyperlink" Target="http://www.archanaskitchen.com/udupi-style-ash-gourd-coconut-curry-recipe" TargetMode="External"/><Relationship Id="rId6" Type="http://schemas.openxmlformats.org/officeDocument/2006/relationships/hyperlink" Target="https://www.archanaskitchen.com/udupi-style-sannappa-recipe-brown-rice-and-banana-fritters-recipe" TargetMode="External"/><Relationship Id="rId11" Type="http://schemas.openxmlformats.org/officeDocument/2006/relationships/hyperlink" Target="http://www.archanaskitchen.com/udupi-style-sambar-with-thondekayi-badnekayi-recipe-sambar-with-ivy-gourd-brinjal" TargetMode="External"/><Relationship Id="rId5" Type="http://schemas.openxmlformats.org/officeDocument/2006/relationships/hyperlink" Target="https://www.archanaskitchen.com/kottambari-tambuli-recipe-udupi-style-raw-coriander-kadhi" TargetMode="External"/><Relationship Id="rId15" Type="http://schemas.openxmlformats.org/officeDocument/2006/relationships/hyperlink" Target="https://www.archanaskitchen.com/udupi-style-bende-kayi-palya-recipe-ladies-finger-dry-with-coconut" TargetMode="External"/><Relationship Id="rId10" Type="http://schemas.openxmlformats.org/officeDocument/2006/relationships/hyperlink" Target="http://www.archanaskitchen.com/udupi-style-huli-pudi-recipe-sambar-mix-recipe" TargetMode="External"/><Relationship Id="rId4" Type="http://schemas.openxmlformats.org/officeDocument/2006/relationships/hyperlink" Target="http://www.archanaskitchen.com/udupi-red-parboiled-rice-shavige-recipe" TargetMode="External"/><Relationship Id="rId9" Type="http://schemas.openxmlformats.org/officeDocument/2006/relationships/hyperlink" Target="https://www.archanaskitchen.com/udupi-style-pelakai-teepe-dose-recipe-halasina-hanina-dose-recipe" TargetMode="External"/><Relationship Id="rId14" Type="http://schemas.openxmlformats.org/officeDocument/2006/relationships/hyperlink" Target="https://www.archanaskitchen.com/udupi-style-alsande-kayi-sarru-recipe-long-beans-gravy-recipe" TargetMode="External"/></Relationships>
</file>

<file path=xl/worksheets/_rels/sheet5.xml.rels><?xml version="1.0" encoding="UTF-8" standalone="yes"?>
<Relationships xmlns="http://schemas.openxmlformats.org/package/2006/relationships"><Relationship Id="rId26" Type="http://schemas.openxmlformats.org/officeDocument/2006/relationships/hyperlink" Target="http://www.archanaskitchen.com/gujarati-style-multigrain-masala-kadak-puri-recipe-masala-mathri" TargetMode="External"/><Relationship Id="rId21" Type="http://schemas.openxmlformats.org/officeDocument/2006/relationships/hyperlink" Target="http://www.archanaskitchen.com/kesar-shrikhand-recipe" TargetMode="External"/><Relationship Id="rId42" Type="http://schemas.openxmlformats.org/officeDocument/2006/relationships/hyperlink" Target="http://www.archanaskitchen.com/gujarati-badshahi-pulao-recipe-a-rich-preparation-of-rice-vegetables-nuts-and-spices" TargetMode="External"/><Relationship Id="rId47" Type="http://schemas.openxmlformats.org/officeDocument/2006/relationships/hyperlink" Target="https://www.archanaskitchen.com/paka-kela-ki-sabzi-recipe-in-hindi" TargetMode="External"/><Relationship Id="rId63" Type="http://schemas.openxmlformats.org/officeDocument/2006/relationships/hyperlink" Target="http://www.archanaskitchen.com/oats-methi-muthia-recipe-healthy-diabetic-friendly-muthia" TargetMode="External"/><Relationship Id="rId68" Type="http://schemas.openxmlformats.org/officeDocument/2006/relationships/hyperlink" Target="http://www.archanaskitchen.com/basundi-recipe-a-nutty-condensed-milk-pudding" TargetMode="External"/><Relationship Id="rId84" Type="http://schemas.openxmlformats.org/officeDocument/2006/relationships/hyperlink" Target="http://www.archanaskitchen.com/gujarati-batata-pulao-recipe-sweet-and-spicy-pulav-made-with-lentils-and-potatoes" TargetMode="External"/><Relationship Id="rId89" Type="http://schemas.openxmlformats.org/officeDocument/2006/relationships/hyperlink" Target="http://www.archanaskitchen.com/gujarati-biraj-recipe-saffron-flavored-sweet-lentil-rice-with-dry-fruits-and-coconut" TargetMode="External"/><Relationship Id="rId112" Type="http://schemas.openxmlformats.org/officeDocument/2006/relationships/hyperlink" Target="https://www.archanaskitchen.com/sprouted-moong-dhokla-recipe" TargetMode="External"/><Relationship Id="rId16" Type="http://schemas.openxmlformats.org/officeDocument/2006/relationships/hyperlink" Target="http://www.archanaskitchen.com/golpapdi-recipe-a-traditional-gujarati-indian-sweet" TargetMode="External"/><Relationship Id="rId107" Type="http://schemas.openxmlformats.org/officeDocument/2006/relationships/hyperlink" Target="http://www.archanaskitchen.com/cauliflower-palak-methi-muthia-recipe" TargetMode="External"/><Relationship Id="rId11" Type="http://schemas.openxmlformats.org/officeDocument/2006/relationships/hyperlink" Target="https://www.archanaskitchen.com/keri-na-gotla-nu-shaak-recipe-gujarati-style-ripe-mango-curry" TargetMode="External"/><Relationship Id="rId32" Type="http://schemas.openxmlformats.org/officeDocument/2006/relationships/hyperlink" Target="http://www.archanaskitchen.com/uparghi-laadu-recipe-whole-wheat-flour-banana-squares" TargetMode="External"/><Relationship Id="rId37" Type="http://schemas.openxmlformats.org/officeDocument/2006/relationships/hyperlink" Target="http://www.archanaskitchen.com/lapsi-recipe" TargetMode="External"/><Relationship Id="rId53" Type="http://schemas.openxmlformats.org/officeDocument/2006/relationships/hyperlink" Target="https://www.archanaskitchen.com/kathiyawadi-shaak-recipe" TargetMode="External"/><Relationship Id="rId58" Type="http://schemas.openxmlformats.org/officeDocument/2006/relationships/hyperlink" Target="http://www.archanaskitchen.com/makai-dhokla-savoury-steamed-corn-cake-recipe" TargetMode="External"/><Relationship Id="rId74" Type="http://schemas.openxmlformats.org/officeDocument/2006/relationships/hyperlink" Target="https://www.archanaskitchen.com/chundo-chunda-a-classic-sweet-mango-gujarati-pickle-recipe" TargetMode="External"/><Relationship Id="rId79" Type="http://schemas.openxmlformats.org/officeDocument/2006/relationships/hyperlink" Target="https://www.archanaskitchen.com/gujarati-khichu-recipe-steamed-rice-flour-savory-donuts" TargetMode="External"/><Relationship Id="rId102" Type="http://schemas.openxmlformats.org/officeDocument/2006/relationships/hyperlink" Target="http://www.archanaskitchen.com/sweet-and-spicy-tomato-chutney-recipe" TargetMode="External"/><Relationship Id="rId5" Type="http://schemas.openxmlformats.org/officeDocument/2006/relationships/hyperlink" Target="http://www.archanaskitchen.com/gujarati-methi-na-dhebra-recipe" TargetMode="External"/><Relationship Id="rId90" Type="http://schemas.openxmlformats.org/officeDocument/2006/relationships/hyperlink" Target="http://www.archanaskitchen.com/oats-rava-dhokla-recipe-steamed-semolina-oat-cake" TargetMode="External"/><Relationship Id="rId95" Type="http://schemas.openxmlformats.org/officeDocument/2006/relationships/hyperlink" Target="https://www.archanaskitchen.com/gujarati-lasaniya-batata-recipe-garlic-potato-curry-in-hindi" TargetMode="External"/><Relationship Id="rId22" Type="http://schemas.openxmlformats.org/officeDocument/2006/relationships/hyperlink" Target="http://www.archanaskitchen.com/instant-sandwich-khaman-dhokla-recipe" TargetMode="External"/><Relationship Id="rId27" Type="http://schemas.openxmlformats.org/officeDocument/2006/relationships/hyperlink" Target="https://www.archanaskitchen.com/ringan-methi-nu-shaak-recipe-gujarati-style-eggplant-and-fenugreek-leaves-sabzi" TargetMode="External"/><Relationship Id="rId43" Type="http://schemas.openxmlformats.org/officeDocument/2006/relationships/hyperlink" Target="http://www.archanaskitchen.com/gujarati-style-adadiya-pak-recipe" TargetMode="External"/><Relationship Id="rId48" Type="http://schemas.openxmlformats.org/officeDocument/2006/relationships/hyperlink" Target="https://www.archanaskitchen.com/carrot-methi-jowar-thepla-recipe" TargetMode="External"/><Relationship Id="rId64" Type="http://schemas.openxmlformats.org/officeDocument/2006/relationships/hyperlink" Target="http://www.archanaskitchen.com/batata-nu-shaak-recipe-aloo-tamatar-ki-sabzi" TargetMode="External"/><Relationship Id="rId69" Type="http://schemas.openxmlformats.org/officeDocument/2006/relationships/hyperlink" Target="http://www.archanaskitchen.com/healthy-carrot-methi-mooli-thepla-recipe" TargetMode="External"/><Relationship Id="rId113" Type="http://schemas.openxmlformats.org/officeDocument/2006/relationships/hyperlink" Target="http://www.archanaskitchen.com/kathiyawadi-stuffed-onion-recipe" TargetMode="External"/><Relationship Id="rId80" Type="http://schemas.openxmlformats.org/officeDocument/2006/relationships/hyperlink" Target="https://www.archanaskitchen.com/gujarati-trevti-dal-recipe-creamy-lentils-cooked-in-mild-spices" TargetMode="External"/><Relationship Id="rId85" Type="http://schemas.openxmlformats.org/officeDocument/2006/relationships/hyperlink" Target="http://www.archanaskitchen.com/khatta-meetha-pudla-recipe-gujarati-style-sweetish-savoury-pancake" TargetMode="External"/><Relationship Id="rId12" Type="http://schemas.openxmlformats.org/officeDocument/2006/relationships/hyperlink" Target="https://www.archanaskitchen.com/dal-dhokli-recipe-with-sprouted-moong-dal" TargetMode="External"/><Relationship Id="rId17" Type="http://schemas.openxmlformats.org/officeDocument/2006/relationships/hyperlink" Target="http://www.archanaskitchen.com/green-chutney-rava-dhokla-recipe-sooji-dhokla" TargetMode="External"/><Relationship Id="rId33" Type="http://schemas.openxmlformats.org/officeDocument/2006/relationships/hyperlink" Target="https://www.archanaskitchen.com/batata-nu-shaak-recipe-in-hindi" TargetMode="External"/><Relationship Id="rId38" Type="http://schemas.openxmlformats.org/officeDocument/2006/relationships/hyperlink" Target="http://www.archanaskitchen.com/spinach-khandvi-recipe-gujarati-snack-savory-gram-flour-pinwheels" TargetMode="External"/><Relationship Id="rId59" Type="http://schemas.openxmlformats.org/officeDocument/2006/relationships/hyperlink" Target="http://www.archanaskitchen.com/fada-ni-khichdi-recipe" TargetMode="External"/><Relationship Id="rId103" Type="http://schemas.openxmlformats.org/officeDocument/2006/relationships/hyperlink" Target="https://www.archanaskitchen.com/sweet-and-spicy-yogurt-curry-recipe-in-hindi" TargetMode="External"/><Relationship Id="rId108" Type="http://schemas.openxmlformats.org/officeDocument/2006/relationships/hyperlink" Target="http://www.archanaskitchen.com/gujarati-kadhi-with-milk-mint-recipe" TargetMode="External"/><Relationship Id="rId54" Type="http://schemas.openxmlformats.org/officeDocument/2006/relationships/hyperlink" Target="https://www.archanaskitchen.com/farali-batata-chivda-potato-chevda-fasting-recipe" TargetMode="External"/><Relationship Id="rId70" Type="http://schemas.openxmlformats.org/officeDocument/2006/relationships/hyperlink" Target="http://www.archanaskitchen.com/kathiyawadi-adad-dal-recipe" TargetMode="External"/><Relationship Id="rId75" Type="http://schemas.openxmlformats.org/officeDocument/2006/relationships/hyperlink" Target="https://www.archanaskitchen.com/buckwheat-corn-dhokla-recipe" TargetMode="External"/><Relationship Id="rId91" Type="http://schemas.openxmlformats.org/officeDocument/2006/relationships/hyperlink" Target="http://www.archanaskitchen.com/rajasthani-sev-tamatar-ki-sabzi-recipe" TargetMode="External"/><Relationship Id="rId96" Type="http://schemas.openxmlformats.org/officeDocument/2006/relationships/hyperlink" Target="http://www.archanaskitchen.com/achari-masala-recipe-for-fresh-pickles-sambharo-masala" TargetMode="External"/><Relationship Id="rId1" Type="http://schemas.openxmlformats.org/officeDocument/2006/relationships/hyperlink" Target="https://www.archanaskitchen.com/tindora-sambharo-recipe-instant-tendli-pickle" TargetMode="External"/><Relationship Id="rId6" Type="http://schemas.openxmlformats.org/officeDocument/2006/relationships/hyperlink" Target="http://www.archanaskitchen.com/paka-kela-ki-sabzi-gujarati-jain-recipe" TargetMode="External"/><Relationship Id="rId15" Type="http://schemas.openxmlformats.org/officeDocument/2006/relationships/hyperlink" Target="http://www.archanaskitchen.com/chiba-dhokli-recipe-gujarati-snack-with-besan-in-hindi" TargetMode="External"/><Relationship Id="rId23" Type="http://schemas.openxmlformats.org/officeDocument/2006/relationships/hyperlink" Target="https://www.archanaskitchen.com/lauki-chana-dal-recipe-in-hindi" TargetMode="External"/><Relationship Id="rId28" Type="http://schemas.openxmlformats.org/officeDocument/2006/relationships/hyperlink" Target="http://www.archanaskitchen.com/gujarati-wadi-pulao-recipe" TargetMode="External"/><Relationship Id="rId36" Type="http://schemas.openxmlformats.org/officeDocument/2006/relationships/hyperlink" Target="http://www.archanaskitchen.com/aloo-beans-sabzi-recipe-potato-beans-stir-fry" TargetMode="External"/><Relationship Id="rId49" Type="http://schemas.openxmlformats.org/officeDocument/2006/relationships/hyperlink" Target="http://www.archanaskitchen.com/tindora-sambharo-recipe-instant-tendli-pickle-in-hindi" TargetMode="External"/><Relationship Id="rId57" Type="http://schemas.openxmlformats.org/officeDocument/2006/relationships/hyperlink" Target="http://www.archanaskitchen.com/kathiawadi-dhokli-nu-shaak-recipe" TargetMode="External"/><Relationship Id="rId106" Type="http://schemas.openxmlformats.org/officeDocument/2006/relationships/hyperlink" Target="http://www.archanaskitchen.com/turai-moong-dal-recipe" TargetMode="External"/><Relationship Id="rId114" Type="http://schemas.openxmlformats.org/officeDocument/2006/relationships/hyperlink" Target="http://www.archanaskitchen.com/gujarati-tawa-handvo-recipe-with-sweet-corn" TargetMode="External"/><Relationship Id="rId10" Type="http://schemas.openxmlformats.org/officeDocument/2006/relationships/hyperlink" Target="http://www.archanaskitchen.com/farali-pattice-recipe-a-popular-fasting-food" TargetMode="External"/><Relationship Id="rId31" Type="http://schemas.openxmlformats.org/officeDocument/2006/relationships/hyperlink" Target="https://www.archanaskitchen.com/vatana-bateta-no-rotla-recipe-gujarati-peas-and-potato-cake" TargetMode="External"/><Relationship Id="rId44" Type="http://schemas.openxmlformats.org/officeDocument/2006/relationships/hyperlink" Target="https://www.archanaskitchen.com/amaranth-sooji-oats-dhokla-recipe" TargetMode="External"/><Relationship Id="rId52" Type="http://schemas.openxmlformats.org/officeDocument/2006/relationships/hyperlink" Target="https://www.archanaskitchen.com/gujarati-palak-dhokla-recipe-steamed-spinach-lentil-cakes-in-hindi" TargetMode="External"/><Relationship Id="rId60" Type="http://schemas.openxmlformats.org/officeDocument/2006/relationships/hyperlink" Target="https://www.archanaskitchen.com/gujarati-valsadi-vada-recipe-multigrain-masala-vada" TargetMode="External"/><Relationship Id="rId65" Type="http://schemas.openxmlformats.org/officeDocument/2006/relationships/hyperlink" Target="https://www.archanaskitchen.com/gujarati-lasaniya-batata-recipe-garlic-potato-curry" TargetMode="External"/><Relationship Id="rId73" Type="http://schemas.openxmlformats.org/officeDocument/2006/relationships/hyperlink" Target="https://www.archanaskitchen.com/gujarati-kachariyu-recipe-traditional-spiced-sesame-and-coconut-ladoos-with-dates-and-figs" TargetMode="External"/><Relationship Id="rId78" Type="http://schemas.openxmlformats.org/officeDocument/2006/relationships/hyperlink" Target="https://www.archanaskitchen.com/dudhi-dhokli-nu-shaak-recipe-bottle-gourd-and-steamed-dumplings-curry" TargetMode="External"/><Relationship Id="rId81" Type="http://schemas.openxmlformats.org/officeDocument/2006/relationships/hyperlink" Target="https://www.archanaskitchen.com/chiba-dhokli-recipe-gujarati-snack-with-besan" TargetMode="External"/><Relationship Id="rId86" Type="http://schemas.openxmlformats.org/officeDocument/2006/relationships/hyperlink" Target="https://www.archanaskitchen.com/fajeto-gujarati-mango-kadhi-recipe" TargetMode="External"/><Relationship Id="rId94" Type="http://schemas.openxmlformats.org/officeDocument/2006/relationships/hyperlink" Target="https://www.archanaskitchen.com/raw-papitha-no-sambharo-recipe" TargetMode="External"/><Relationship Id="rId99" Type="http://schemas.openxmlformats.org/officeDocument/2006/relationships/hyperlink" Target="https://www.archanaskitchen.com/turai-moong-dal-recipe-in-hindi" TargetMode="External"/><Relationship Id="rId101" Type="http://schemas.openxmlformats.org/officeDocument/2006/relationships/hyperlink" Target="https://www.archanaskitchen.com/thabdi-peda-recipe-in-hindi" TargetMode="External"/><Relationship Id="rId4" Type="http://schemas.openxmlformats.org/officeDocument/2006/relationships/hyperlink" Target="https://www.archanaskitchen.com/gehun-bhajra-thepla-recipe-spiced-wheat-millet-flat-bread" TargetMode="External"/><Relationship Id="rId9" Type="http://schemas.openxmlformats.org/officeDocument/2006/relationships/hyperlink" Target="https://www.archanaskitchen.com/aamras-ki-kadhi-recipe" TargetMode="External"/><Relationship Id="rId13" Type="http://schemas.openxmlformats.org/officeDocument/2006/relationships/hyperlink" Target="http://www.archanaskitchen.com/oil-free-gujarati-undhiyu-recipe-no-onion-no-garlic" TargetMode="External"/><Relationship Id="rId18" Type="http://schemas.openxmlformats.org/officeDocument/2006/relationships/hyperlink" Target="https://www.archanaskitchen.com/whole-stuffed-mango-pickle-recipe-guajarati-dabla-kairi-nu-athanu" TargetMode="External"/><Relationship Id="rId39" Type="http://schemas.openxmlformats.org/officeDocument/2006/relationships/hyperlink" Target="http://www.archanaskitchen.com/pudina-sooji-oats-dhokla-recipe-steamed-semolina-cake-with-oats-mint-leaves" TargetMode="External"/><Relationship Id="rId109" Type="http://schemas.openxmlformats.org/officeDocument/2006/relationships/hyperlink" Target="https://www.archanaskitchen.com/jain-style-whole-green-moong-dal-subzi-recipe-gujarati-vaghareli-mag-in-hindi" TargetMode="External"/><Relationship Id="rId34" Type="http://schemas.openxmlformats.org/officeDocument/2006/relationships/hyperlink" Target="http://www.archanaskitchen.com/karela-muthia-recipe-bitter-gourd-steamed-dumplings" TargetMode="External"/><Relationship Id="rId50" Type="http://schemas.openxmlformats.org/officeDocument/2006/relationships/hyperlink" Target="https://www.archanaskitchen.com/aloo-baingan-ki-sabzi-recipe-in-hindi" TargetMode="External"/><Relationship Id="rId55" Type="http://schemas.openxmlformats.org/officeDocument/2006/relationships/hyperlink" Target="https://www.archanaskitchen.com/puran-poli-recipe-with-toor-dal-and-chana-dal" TargetMode="External"/><Relationship Id="rId76" Type="http://schemas.openxmlformats.org/officeDocument/2006/relationships/hyperlink" Target="https://www.archanaskitchen.com/lauki-tamatar-ki-sabzi-recipe-doodhi-ghiya-sabzi" TargetMode="External"/><Relationship Id="rId97" Type="http://schemas.openxmlformats.org/officeDocument/2006/relationships/hyperlink" Target="http://www.archanaskitchen.com/mixed-vegetable-handvo-recipe-savory-rice-lentil-cake" TargetMode="External"/><Relationship Id="rId104" Type="http://schemas.openxmlformats.org/officeDocument/2006/relationships/hyperlink" Target="http://www.archanaskitchen.com/lauki-tamatar-ki-sabzi-recipe-in-hindi" TargetMode="External"/><Relationship Id="rId7" Type="http://schemas.openxmlformats.org/officeDocument/2006/relationships/hyperlink" Target="https://www.archanaskitchen.com/no-onion-no-garlic-lobia-masala-recipe-in-electric-pressure-cooker" TargetMode="External"/><Relationship Id="rId71" Type="http://schemas.openxmlformats.org/officeDocument/2006/relationships/hyperlink" Target="https://www.archanaskitchen.com/bardoli-ki-khichdi-recipe" TargetMode="External"/><Relationship Id="rId92" Type="http://schemas.openxmlformats.org/officeDocument/2006/relationships/hyperlink" Target="http://www.archanaskitchen.com/gujarati-dal-recipe-in-hindi" TargetMode="External"/><Relationship Id="rId2" Type="http://schemas.openxmlformats.org/officeDocument/2006/relationships/hyperlink" Target="http://www.archanaskitchen.com/cabbage-and-carrot-sambharo-recipe-gujarati-vegetable-stirfry" TargetMode="External"/><Relationship Id="rId29" Type="http://schemas.openxmlformats.org/officeDocument/2006/relationships/hyperlink" Target="https://www.archanaskitchen.com/gujarati-style-lapsi-recipe-millet-sweet-pudding" TargetMode="External"/><Relationship Id="rId24" Type="http://schemas.openxmlformats.org/officeDocument/2006/relationships/hyperlink" Target="http://www.archanaskitchen.com/mutton-khurdi-recipe-bohra-style-white-mutton-stock-soup" TargetMode="External"/><Relationship Id="rId40" Type="http://schemas.openxmlformats.org/officeDocument/2006/relationships/hyperlink" Target="https://www.archanaskitchen.com/aloo-simla-mirch-ki-sabzi-recipe-in-hindi" TargetMode="External"/><Relationship Id="rId45" Type="http://schemas.openxmlformats.org/officeDocument/2006/relationships/hyperlink" Target="https://www.archanaskitchen.com/gujarati-tawa-handvo-recipe-healthy-pan-fried-lentil-cakes" TargetMode="External"/><Relationship Id="rId66" Type="http://schemas.openxmlformats.org/officeDocument/2006/relationships/hyperlink" Target="https://www.archanaskitchen.com/gujarati-meetha-pudla-recipe-sweet-whole-wheat-pancake" TargetMode="External"/><Relationship Id="rId87" Type="http://schemas.openxmlformats.org/officeDocument/2006/relationships/hyperlink" Target="https://www.archanaskitchen.com/semolina-gujiya-recipe" TargetMode="External"/><Relationship Id="rId110" Type="http://schemas.openxmlformats.org/officeDocument/2006/relationships/hyperlink" Target="http://www.archanaskitchen.com/whole-green-moong-dal-sabzi-recipe-vagharela-mag" TargetMode="External"/><Relationship Id="rId115" Type="http://schemas.openxmlformats.org/officeDocument/2006/relationships/hyperlink" Target="https://www.archanaskitchen.com/kuvar-pak-recipe-aloe-vera-sweet-recipe" TargetMode="External"/><Relationship Id="rId61" Type="http://schemas.openxmlformats.org/officeDocument/2006/relationships/hyperlink" Target="http://www.archanaskitchen.com/ratalu-pakora-recipe-purple-yam-fritters" TargetMode="External"/><Relationship Id="rId82" Type="http://schemas.openxmlformats.org/officeDocument/2006/relationships/hyperlink" Target="https://www.archanaskitchen.com/kela-methi-bhajiya-recipe" TargetMode="External"/><Relationship Id="rId19" Type="http://schemas.openxmlformats.org/officeDocument/2006/relationships/hyperlink" Target="http://www.archanaskitchen.com/jain-style-whole-green-moong-dal-subzi-recipe-gujarati-vaghareli-mag" TargetMode="External"/><Relationship Id="rId14" Type="http://schemas.openxmlformats.org/officeDocument/2006/relationships/hyperlink" Target="http://www.archanaskitchen.com/saragvo-nu-shaak-recipe-drumstick-masala-sabzi" TargetMode="External"/><Relationship Id="rId30" Type="http://schemas.openxmlformats.org/officeDocument/2006/relationships/hyperlink" Target="https://www.archanaskitchen.com/raw-mango-dhokla-recipe-topped-with-sweet-mango-chutney" TargetMode="External"/><Relationship Id="rId35" Type="http://schemas.openxmlformats.org/officeDocument/2006/relationships/hyperlink" Target="http://www.archanaskitchen.com/pomegranate-flavoured-stuffed-khandvi-recipe" TargetMode="External"/><Relationship Id="rId56" Type="http://schemas.openxmlformats.org/officeDocument/2006/relationships/hyperlink" Target="http://www.archanaskitchen.com/gujarati-style-osaman-dal-recipe" TargetMode="External"/><Relationship Id="rId77" Type="http://schemas.openxmlformats.org/officeDocument/2006/relationships/hyperlink" Target="http://www.archanaskitchen.com/sev-tamatar-ki-sabzi-recipe-sev-tamta-nu-shaak-in-hindi" TargetMode="External"/><Relationship Id="rId100" Type="http://schemas.openxmlformats.org/officeDocument/2006/relationships/hyperlink" Target="http://www.archanaskitchen.com/khatti-meethi-tinda-recipe-recipe-in-hindi" TargetMode="External"/><Relationship Id="rId105" Type="http://schemas.openxmlformats.org/officeDocument/2006/relationships/hyperlink" Target="https://www.archanaskitchen.com/saragvo-nu-shaak-recipe-drumstick-masala-sabzi-in-hindi" TargetMode="External"/><Relationship Id="rId8" Type="http://schemas.openxmlformats.org/officeDocument/2006/relationships/hyperlink" Target="http://www.archanaskitchen.com/fansi-muthia-nu-shaak-recipe" TargetMode="External"/><Relationship Id="rId51" Type="http://schemas.openxmlformats.org/officeDocument/2006/relationships/hyperlink" Target="http://www.archanaskitchen.com/gujarati-kobi-marcha-no-sambharo-recipe-cabbage-bell-pepper-stir-fry" TargetMode="External"/><Relationship Id="rId72" Type="http://schemas.openxmlformats.org/officeDocument/2006/relationships/hyperlink" Target="https://www.archanaskitchen.com/kaju-karela-recipe-bitter-gourd-and-cashew-nuts-stir-fry" TargetMode="External"/><Relationship Id="rId93" Type="http://schemas.openxmlformats.org/officeDocument/2006/relationships/hyperlink" Target="https://www.archanaskitchen.com/roasted-pumpkin-rava-dhokla-recipe-sooji-dhokla" TargetMode="External"/><Relationship Id="rId98" Type="http://schemas.openxmlformats.org/officeDocument/2006/relationships/hyperlink" Target="https://www.archanaskitchen.com/bhaat-na-rasawala-muthia-dhokla-recipe-gujarati-rasiya-dhokla" TargetMode="External"/><Relationship Id="rId3" Type="http://schemas.openxmlformats.org/officeDocument/2006/relationships/hyperlink" Target="http://www.archanaskitchen.com/crispy-masala-peanuts-recipe-gujarati-sing-bhujia" TargetMode="External"/><Relationship Id="rId25" Type="http://schemas.openxmlformats.org/officeDocument/2006/relationships/hyperlink" Target="http://www.archanaskitchen.com/gujarati-kadhi-with-milk-and-mint-recipe-in-hindi" TargetMode="External"/><Relationship Id="rId46" Type="http://schemas.openxmlformats.org/officeDocument/2006/relationships/hyperlink" Target="https://www.archanaskitchen.com/vagharelo-bhaat-recipe-gujarati-masala-rice" TargetMode="External"/><Relationship Id="rId67" Type="http://schemas.openxmlformats.org/officeDocument/2006/relationships/hyperlink" Target="https://www.archanaskitchen.com/green-moong-dal-sabzi-recipe-in-hindi" TargetMode="External"/><Relationship Id="rId20" Type="http://schemas.openxmlformats.org/officeDocument/2006/relationships/hyperlink" Target="https://www.archanaskitchen.com/adadiya-ladwa-recipe-urad-dal-halwa-with-nuts-spices" TargetMode="External"/><Relationship Id="rId41" Type="http://schemas.openxmlformats.org/officeDocument/2006/relationships/hyperlink" Target="https://www.archanaskitchen.com/gujarati-mooli-bajra-muthia-recipe-steamed-and-tempered-grated-radish-and-bajra-besan-dumplings" TargetMode="External"/><Relationship Id="rId62" Type="http://schemas.openxmlformats.org/officeDocument/2006/relationships/hyperlink" Target="http://www.archanaskitchen.com/rasawala-dhokla-recipe" TargetMode="External"/><Relationship Id="rId83" Type="http://schemas.openxmlformats.org/officeDocument/2006/relationships/hyperlink" Target="http://www.archanaskitchen.com/gehun-ka-halwa-recipe-in-hindi" TargetMode="External"/><Relationship Id="rId88" Type="http://schemas.openxmlformats.org/officeDocument/2006/relationships/hyperlink" Target="http://www.archanaskitchen.com/achari-masala-recipe-for-fresh-pickles-sambharo-masala-in-hindi" TargetMode="External"/><Relationship Id="rId111" Type="http://schemas.openxmlformats.org/officeDocument/2006/relationships/hyperlink" Target="http://www.archanaskitchen.com/methi-missi-roti-recipe"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www.archanaskitchen.com/kongunadu-style-kalan-kauzhambu-recipe-mushroom-curry" TargetMode="External"/><Relationship Id="rId2" Type="http://schemas.openxmlformats.org/officeDocument/2006/relationships/hyperlink" Target="http://www.archanaskitchen.com/kongunadu-special-pattani-biryani-recipe-green-peas-biryani-from-kongunadu" TargetMode="External"/><Relationship Id="rId1" Type="http://schemas.openxmlformats.org/officeDocument/2006/relationships/hyperlink" Target="https://www.archanaskitchen.com/kongunadu-style-vetrilai-sadam-recipe-betel-leaves-rice" TargetMode="External"/></Relationships>
</file>

<file path=xl/worksheets/_rels/sheet7.xml.rels><?xml version="1.0" encoding="UTF-8" standalone="yes"?>
<Relationships xmlns="http://schemas.openxmlformats.org/package/2006/relationships"><Relationship Id="rId117" Type="http://schemas.openxmlformats.org/officeDocument/2006/relationships/hyperlink" Target="http://www.archanaskitchen.com/soft-and-crispy-cheese-stuffed-puff-sticks-recipe" TargetMode="External"/><Relationship Id="rId671" Type="http://schemas.openxmlformats.org/officeDocument/2006/relationships/hyperlink" Target="https://www.archanaskitchen.com/garlic-bread-with-herb-butter-recipe" TargetMode="External"/><Relationship Id="rId769" Type="http://schemas.openxmlformats.org/officeDocument/2006/relationships/hyperlink" Target="http://www.archanaskitchen.com/muesli-chia-seeds-kaiser-roll-recipe-hard-roll-recipe" TargetMode="External"/><Relationship Id="rId976" Type="http://schemas.openxmlformats.org/officeDocument/2006/relationships/hyperlink" Target="https://www.archanaskitchen.com/chilled-spinach-and-cucumber-soup-recipe" TargetMode="External"/><Relationship Id="rId21" Type="http://schemas.openxmlformats.org/officeDocument/2006/relationships/hyperlink" Target="https://www.archanaskitchen.com/coffee-chocolate-truffles-recipe" TargetMode="External"/><Relationship Id="rId324" Type="http://schemas.openxmlformats.org/officeDocument/2006/relationships/hyperlink" Target="https://www.archanaskitchen.com/multigrain-griddle-pan-waffles-with-nutella-egg-and-eggless-recipe" TargetMode="External"/><Relationship Id="rId531" Type="http://schemas.openxmlformats.org/officeDocument/2006/relationships/hyperlink" Target="http://www.archanaskitchen.com/oatmeal-cherry-cookies-recipe" TargetMode="External"/><Relationship Id="rId629" Type="http://schemas.openxmlformats.org/officeDocument/2006/relationships/hyperlink" Target="http://www.archanaskitchen.com/apple-and-raisin-chutney-recipe-in-hindi" TargetMode="External"/><Relationship Id="rId170" Type="http://schemas.openxmlformats.org/officeDocument/2006/relationships/hyperlink" Target="http://www.archanaskitchen.com/oats-and-date-cookie-recipe" TargetMode="External"/><Relationship Id="rId836" Type="http://schemas.openxmlformats.org/officeDocument/2006/relationships/hyperlink" Target="http://www.archanaskitchen.com/chicken-in-lemon-butter-sauce-recipe" TargetMode="External"/><Relationship Id="rId268" Type="http://schemas.openxmlformats.org/officeDocument/2006/relationships/hyperlink" Target="http://www.archanaskitchen.com/carrot-cake-pancakes-recipe" TargetMode="External"/><Relationship Id="rId475" Type="http://schemas.openxmlformats.org/officeDocument/2006/relationships/hyperlink" Target="https://www.archanaskitchen.com/apricot-muesli-coffee-slice-recipe" TargetMode="External"/><Relationship Id="rId682" Type="http://schemas.openxmlformats.org/officeDocument/2006/relationships/hyperlink" Target="http://www.archanaskitchen.com/no-bake-oreo-chocolate-tart-recipe" TargetMode="External"/><Relationship Id="rId903" Type="http://schemas.openxmlformats.org/officeDocument/2006/relationships/hyperlink" Target="http://www.archanaskitchen.com/rustic-rosemary-garlic-zucchini-bread-recipe" TargetMode="External"/><Relationship Id="rId32" Type="http://schemas.openxmlformats.org/officeDocument/2006/relationships/hyperlink" Target="https://www.archanaskitchen.com/pear-and-walnut-salad-recipe" TargetMode="External"/><Relationship Id="rId128" Type="http://schemas.openxmlformats.org/officeDocument/2006/relationships/hyperlink" Target="https://www.archanaskitchen.com/brondies-recipe" TargetMode="External"/><Relationship Id="rId335" Type="http://schemas.openxmlformats.org/officeDocument/2006/relationships/hyperlink" Target="http://www.archanaskitchen.com/quick-chocolate-pudding-recipe" TargetMode="External"/><Relationship Id="rId542" Type="http://schemas.openxmlformats.org/officeDocument/2006/relationships/hyperlink" Target="http://www.archanaskitchen.com/spicy-mushroom-veggie-burger-recipe" TargetMode="External"/><Relationship Id="rId987" Type="http://schemas.openxmlformats.org/officeDocument/2006/relationships/hyperlink" Target="https://www.archanaskitchen.com/chicken-corn-fritters-recipe" TargetMode="External"/><Relationship Id="rId181" Type="http://schemas.openxmlformats.org/officeDocument/2006/relationships/hyperlink" Target="https://www.archanaskitchen.com/waldrof-salad-recipe" TargetMode="External"/><Relationship Id="rId402" Type="http://schemas.openxmlformats.org/officeDocument/2006/relationships/hyperlink" Target="https://www.archanaskitchen.com/mango-iced-tea-recipe" TargetMode="External"/><Relationship Id="rId847" Type="http://schemas.openxmlformats.org/officeDocument/2006/relationships/hyperlink" Target="https://www.archanaskitchen.com/spinach-stir-fry-recipe-with-garlic-in-hindi" TargetMode="External"/><Relationship Id="rId279" Type="http://schemas.openxmlformats.org/officeDocument/2006/relationships/hyperlink" Target="http://www.archanaskitchen.com/beetroot-juice-recipe-with-cucumber-and-pineapple" TargetMode="External"/><Relationship Id="rId486" Type="http://schemas.openxmlformats.org/officeDocument/2006/relationships/hyperlink" Target="https://www.archanaskitchen.com/sweet-and-tangy-mango-ice-cream-recipe" TargetMode="External"/><Relationship Id="rId693" Type="http://schemas.openxmlformats.org/officeDocument/2006/relationships/hyperlink" Target="http://www.archanaskitchen.com/spicy-peanut-black-rice-salad-with-mango-grapes-and-avocado-recipe" TargetMode="External"/><Relationship Id="rId707" Type="http://schemas.openxmlformats.org/officeDocument/2006/relationships/hyperlink" Target="http://www.archanaskitchen.com/fluffy-corn-muffins-recipe" TargetMode="External"/><Relationship Id="rId914" Type="http://schemas.openxmlformats.org/officeDocument/2006/relationships/hyperlink" Target="http://www.archanaskitchen.com/caramelized-coconut-cake-recipe" TargetMode="External"/><Relationship Id="rId43" Type="http://schemas.openxmlformats.org/officeDocument/2006/relationships/hyperlink" Target="http://www.archanaskitchen.com/baked-muesli-tart-with-strawberry-yogurt-and-chia-seeds-recipe" TargetMode="External"/><Relationship Id="rId139" Type="http://schemas.openxmlformats.org/officeDocument/2006/relationships/hyperlink" Target="http://www.archanaskitchen.com/mushroom-goat-cheese-omeltte-with-spinach-recipe" TargetMode="External"/><Relationship Id="rId346" Type="http://schemas.openxmlformats.org/officeDocument/2006/relationships/hyperlink" Target="http://www.archanaskitchen.com/eggless-mango-cheesecake-recipe" TargetMode="External"/><Relationship Id="rId553" Type="http://schemas.openxmlformats.org/officeDocument/2006/relationships/hyperlink" Target="http://www.archanaskitchen.com/sweet-potato-spinach-hash-brown-recipe" TargetMode="External"/><Relationship Id="rId760" Type="http://schemas.openxmlformats.org/officeDocument/2006/relationships/hyperlink" Target="http://www.archanaskitchen.com/fizzy-pomegranate-mint-mocktail-recipe" TargetMode="External"/><Relationship Id="rId998" Type="http://schemas.openxmlformats.org/officeDocument/2006/relationships/hyperlink" Target="http://www.archanaskitchen.com/ginger-and-carrot-veg-balls-with-sauteed-leek-recipe" TargetMode="External"/><Relationship Id="rId192" Type="http://schemas.openxmlformats.org/officeDocument/2006/relationships/hyperlink" Target="http://www.archanaskitchen.com/corn-and-bell-pepper-sandwich-recipe" TargetMode="External"/><Relationship Id="rId206" Type="http://schemas.openxmlformats.org/officeDocument/2006/relationships/hyperlink" Target="https://www.archanaskitchen.com/light-and-healthy-spinach-soup-recipe" TargetMode="External"/><Relationship Id="rId413" Type="http://schemas.openxmlformats.org/officeDocument/2006/relationships/hyperlink" Target="https://www.archanaskitchen.com/sweet-spinach-whole-wheat-muffin-recipe" TargetMode="External"/><Relationship Id="rId858" Type="http://schemas.openxmlformats.org/officeDocument/2006/relationships/hyperlink" Target="https://www.archanaskitchen.com/mini-key-lime-pie-no-bake-and-eggless-recipe" TargetMode="External"/><Relationship Id="rId497" Type="http://schemas.openxmlformats.org/officeDocument/2006/relationships/hyperlink" Target="http://www.archanaskitchen.com/melon-salsa-recipe" TargetMode="External"/><Relationship Id="rId620" Type="http://schemas.openxmlformats.org/officeDocument/2006/relationships/hyperlink" Target="https://www.archanaskitchen.com/cheesy-pull-apart-bread-recipe" TargetMode="External"/><Relationship Id="rId718" Type="http://schemas.openxmlformats.org/officeDocument/2006/relationships/hyperlink" Target="http://www.archanaskitchen.com/healthy-oats-waffles-recipe" TargetMode="External"/><Relationship Id="rId925" Type="http://schemas.openxmlformats.org/officeDocument/2006/relationships/hyperlink" Target="https://www.archanaskitchen.com/delicious-cheesy-spaghetti-sandwich-recipe" TargetMode="External"/><Relationship Id="rId357" Type="http://schemas.openxmlformats.org/officeDocument/2006/relationships/hyperlink" Target="https://www.archanaskitchen.com/baked-polenta-fries-recipe" TargetMode="External"/><Relationship Id="rId54" Type="http://schemas.openxmlformats.org/officeDocument/2006/relationships/hyperlink" Target="http://www.archanaskitchen.com/apple-tart-recipe-with-puff-pastry-open-pie" TargetMode="External"/><Relationship Id="rId217" Type="http://schemas.openxmlformats.org/officeDocument/2006/relationships/hyperlink" Target="http://www.archanaskitchen.com/spinach-and-dill-tart-with-roasted-peppers-recipe" TargetMode="External"/><Relationship Id="rId564" Type="http://schemas.openxmlformats.org/officeDocument/2006/relationships/hyperlink" Target="http://www.archanaskitchen.com/fresh-apple-bundt-cake-recipe" TargetMode="External"/><Relationship Id="rId771" Type="http://schemas.openxmlformats.org/officeDocument/2006/relationships/hyperlink" Target="http://www.archanaskitchen.com/spinach-paneer-cornmeal-roll-recipe" TargetMode="External"/><Relationship Id="rId869" Type="http://schemas.openxmlformats.org/officeDocument/2006/relationships/hyperlink" Target="http://www.archanaskitchen.com/cauliflower-soup-recipe" TargetMode="External"/><Relationship Id="rId424" Type="http://schemas.openxmlformats.org/officeDocument/2006/relationships/hyperlink" Target="https://www.archanaskitchen.com/buttered-mashed-potatoes-with-salt-and-pepper-recipe-for-babies-over-7-months" TargetMode="External"/><Relationship Id="rId631" Type="http://schemas.openxmlformats.org/officeDocument/2006/relationships/hyperlink" Target="https://www.archanaskitchen.com/traditional-christmas-cake-recipe" TargetMode="External"/><Relationship Id="rId729" Type="http://schemas.openxmlformats.org/officeDocument/2006/relationships/hyperlink" Target="http://www.archanaskitchen.com/black-rice-porridge-recipe" TargetMode="External"/><Relationship Id="rId270" Type="http://schemas.openxmlformats.org/officeDocument/2006/relationships/hyperlink" Target="https://www.archanaskitchen.com/tandoori-mayonnaise-chicken-cigar-recipe" TargetMode="External"/><Relationship Id="rId936" Type="http://schemas.openxmlformats.org/officeDocument/2006/relationships/hyperlink" Target="https://www.archanaskitchen.com/peach-cobbler-scones-recipe" TargetMode="External"/><Relationship Id="rId65" Type="http://schemas.openxmlformats.org/officeDocument/2006/relationships/hyperlink" Target="http://www.archanaskitchen.com/grilled-paneer-pineapple-sandwich-recipe" TargetMode="External"/><Relationship Id="rId130" Type="http://schemas.openxmlformats.org/officeDocument/2006/relationships/hyperlink" Target="http://www.archanaskitchen.com/zucchini-and-bell-pepper-stir-fry-recipe" TargetMode="External"/><Relationship Id="rId368" Type="http://schemas.openxmlformats.org/officeDocument/2006/relationships/hyperlink" Target="https://www.archanaskitchen.com/no-onion-no-garlic-roasted-mushroom-recipe" TargetMode="External"/><Relationship Id="rId575" Type="http://schemas.openxmlformats.org/officeDocument/2006/relationships/hyperlink" Target="https://www.archanaskitchen.com/paleo-balsamic-mushrooms-recipe" TargetMode="External"/><Relationship Id="rId782" Type="http://schemas.openxmlformats.org/officeDocument/2006/relationships/hyperlink" Target="http://www.archanaskitchen.com/baked-brie-in-puff-pastry-with-fruits-recipe" TargetMode="External"/><Relationship Id="rId228" Type="http://schemas.openxmlformats.org/officeDocument/2006/relationships/hyperlink" Target="http://www.archanaskitchen.com/rich-chocolate-cheesecake-recipe" TargetMode="External"/><Relationship Id="rId435" Type="http://schemas.openxmlformats.org/officeDocument/2006/relationships/hyperlink" Target="https://www.archanaskitchen.com/cheese-tarts-recipe" TargetMode="External"/><Relationship Id="rId642" Type="http://schemas.openxmlformats.org/officeDocument/2006/relationships/hyperlink" Target="https://www.archanaskitchen.com/banana-butterscotch-cake-recipe" TargetMode="External"/><Relationship Id="rId281" Type="http://schemas.openxmlformats.org/officeDocument/2006/relationships/hyperlink" Target="http://www.archanaskitchen.com/whole-wheat-banana-bread-cake-eggless-recipe-given" TargetMode="External"/><Relationship Id="rId502" Type="http://schemas.openxmlformats.org/officeDocument/2006/relationships/hyperlink" Target="https://www.archanaskitchen.com/no-bake-white-chocolate-cheesecake-recipe" TargetMode="External"/><Relationship Id="rId947" Type="http://schemas.openxmlformats.org/officeDocument/2006/relationships/hyperlink" Target="http://www.archanaskitchen.com/pumpkin-cupcakes-recipe-with-finger-millet-and-flax-seed" TargetMode="External"/><Relationship Id="rId76" Type="http://schemas.openxmlformats.org/officeDocument/2006/relationships/hyperlink" Target="https://www.archanaskitchen.com/mushroom-corn-basil-stuffed-omelette-recipe" TargetMode="External"/><Relationship Id="rId141" Type="http://schemas.openxmlformats.org/officeDocument/2006/relationships/hyperlink" Target="http://www.archanaskitchen.com/eggless-wholewheat-and-orange-almond-cake-recipe" TargetMode="External"/><Relationship Id="rId379" Type="http://schemas.openxmlformats.org/officeDocument/2006/relationships/hyperlink" Target="http://www.archanaskitchen.com/crunchy-baked-cheese-crisps-recipe" TargetMode="External"/><Relationship Id="rId586" Type="http://schemas.openxmlformats.org/officeDocument/2006/relationships/hyperlink" Target="https://www.archanaskitchen.com/semolina-porridge-fruit-nut-breakfast-bowl-recipe" TargetMode="External"/><Relationship Id="rId793" Type="http://schemas.openxmlformats.org/officeDocument/2006/relationships/hyperlink" Target="http://www.archanaskitchen.com/pan-roasted-herbed-baby-potato-recipe-with-vegetables" TargetMode="External"/><Relationship Id="rId807" Type="http://schemas.openxmlformats.org/officeDocument/2006/relationships/hyperlink" Target="http://www.archanaskitchen.com/mango-buckwheat-porridge-recipe" TargetMode="External"/><Relationship Id="rId7" Type="http://schemas.openxmlformats.org/officeDocument/2006/relationships/hyperlink" Target="http://www.archanaskitchen.com/tomato-relish-recipe" TargetMode="External"/><Relationship Id="rId239" Type="http://schemas.openxmlformats.org/officeDocument/2006/relationships/hyperlink" Target="http://www.archanaskitchen.com/lemon-cherry-berry-spa-water-recipe" TargetMode="External"/><Relationship Id="rId446" Type="http://schemas.openxmlformats.org/officeDocument/2006/relationships/hyperlink" Target="https://www.archanaskitchen.com/greek-yogurt-chocolate-mousse-recipe" TargetMode="External"/><Relationship Id="rId653" Type="http://schemas.openxmlformats.org/officeDocument/2006/relationships/hyperlink" Target="https://www.archanaskitchen.com/cheese-crackers-recipe-in-hindi" TargetMode="External"/><Relationship Id="rId292" Type="http://schemas.openxmlformats.org/officeDocument/2006/relationships/hyperlink" Target="https://www.archanaskitchen.com/carrot-and-orange-loaf-cake-recipe" TargetMode="External"/><Relationship Id="rId306" Type="http://schemas.openxmlformats.org/officeDocument/2006/relationships/hyperlink" Target="https://www.archanaskitchen.com/homemade-low-fat-strawberry-frozen-yogurt-recipe" TargetMode="External"/><Relationship Id="rId860" Type="http://schemas.openxmlformats.org/officeDocument/2006/relationships/hyperlink" Target="https://www.archanaskitchen.com/nutella-pancakes-recipe" TargetMode="External"/><Relationship Id="rId958" Type="http://schemas.openxmlformats.org/officeDocument/2006/relationships/hyperlink" Target="http://www.archanaskitchen.com/cold-coffee-recipe" TargetMode="External"/><Relationship Id="rId87" Type="http://schemas.openxmlformats.org/officeDocument/2006/relationships/hyperlink" Target="https://www.archanaskitchen.com/watermelon-carrot-radish-juice-recipe" TargetMode="External"/><Relationship Id="rId513" Type="http://schemas.openxmlformats.org/officeDocument/2006/relationships/hyperlink" Target="http://www.archanaskitchen.com/red-wine-chocolate-cake-recipe" TargetMode="External"/><Relationship Id="rId597" Type="http://schemas.openxmlformats.org/officeDocument/2006/relationships/hyperlink" Target="https://www.archanaskitchen.com/green-beans-salad-recipe" TargetMode="External"/><Relationship Id="rId720" Type="http://schemas.openxmlformats.org/officeDocument/2006/relationships/hyperlink" Target="http://www.archanaskitchen.com/potato-spinach-roulade-recipe-with-parmesan-cheese-herbed-butter-sauce" TargetMode="External"/><Relationship Id="rId818" Type="http://schemas.openxmlformats.org/officeDocument/2006/relationships/hyperlink" Target="https://www.archanaskitchen.com/hot-coffee-latte-recipe" TargetMode="External"/><Relationship Id="rId152" Type="http://schemas.openxmlformats.org/officeDocument/2006/relationships/hyperlink" Target="http://www.archanaskitchen.com/zoodles-zucchini-noodles-recipe" TargetMode="External"/><Relationship Id="rId457" Type="http://schemas.openxmlformats.org/officeDocument/2006/relationships/hyperlink" Target="https://www.archanaskitchen.com/golden-glow-smoothie-recipe" TargetMode="External"/><Relationship Id="rId1003" Type="http://schemas.openxmlformats.org/officeDocument/2006/relationships/hyperlink" Target="https://www.archanaskitchen.com/buckwheat-oat-waffle-recipe-with-bananas-vanilla-ice-cream" TargetMode="External"/><Relationship Id="rId664" Type="http://schemas.openxmlformats.org/officeDocument/2006/relationships/hyperlink" Target="http://www.archanaskitchen.com/fried-egg-recipe-sunny-side-up" TargetMode="External"/><Relationship Id="rId871" Type="http://schemas.openxmlformats.org/officeDocument/2006/relationships/hyperlink" Target="https://www.archanaskitchen.com/sweet-pumpkin-green-smoothie-recipe" TargetMode="External"/><Relationship Id="rId969" Type="http://schemas.openxmlformats.org/officeDocument/2006/relationships/hyperlink" Target="https://www.archanaskitchen.com/onion-and-cheese-pepper-sandwich-recipe" TargetMode="External"/><Relationship Id="rId14" Type="http://schemas.openxmlformats.org/officeDocument/2006/relationships/hyperlink" Target="http://www.archanaskitchen.com/oreo-milkshake-recipe" TargetMode="External"/><Relationship Id="rId317" Type="http://schemas.openxmlformats.org/officeDocument/2006/relationships/hyperlink" Target="https://www.archanaskitchen.com/lemongrass-tomato-corn-soup-recipe" TargetMode="External"/><Relationship Id="rId524" Type="http://schemas.openxmlformats.org/officeDocument/2006/relationships/hyperlink" Target="https://www.archanaskitchen.com/chocolate-marble-cake-recipe-using-electric-pressure-cooker" TargetMode="External"/><Relationship Id="rId731" Type="http://schemas.openxmlformats.org/officeDocument/2006/relationships/hyperlink" Target="https://www.archanaskitchen.com/muesli-olive-oil-rusk-recipe" TargetMode="External"/><Relationship Id="rId98" Type="http://schemas.openxmlformats.org/officeDocument/2006/relationships/hyperlink" Target="http://www.archanaskitchen.com/eggless-almond-coconut-cookies-recipe" TargetMode="External"/><Relationship Id="rId163" Type="http://schemas.openxmlformats.org/officeDocument/2006/relationships/hyperlink" Target="https://www.archanaskitchen.com/canadian-egg-free-butter-tart-recipe-eggless" TargetMode="External"/><Relationship Id="rId370" Type="http://schemas.openxmlformats.org/officeDocument/2006/relationships/hyperlink" Target="https://www.archanaskitchen.com/buttered-herbed-rice-recipe" TargetMode="External"/><Relationship Id="rId829" Type="http://schemas.openxmlformats.org/officeDocument/2006/relationships/hyperlink" Target="https://www.archanaskitchen.com/chicken-sandwich-with-sweet-corn-recipe" TargetMode="External"/><Relationship Id="rId1014" Type="http://schemas.openxmlformats.org/officeDocument/2006/relationships/hyperlink" Target="http://www.archanaskitchen.com/roasted-cauliflower-salad-with-quinoa-garlic-yogurt-recipe" TargetMode="External"/><Relationship Id="rId230" Type="http://schemas.openxmlformats.org/officeDocument/2006/relationships/hyperlink" Target="http://www.archanaskitchen.com/eggless-mango-cake-recipe" TargetMode="External"/><Relationship Id="rId468" Type="http://schemas.openxmlformats.org/officeDocument/2006/relationships/hyperlink" Target="http://www.archanaskitchen.com/watermelon-and-corn-salad-recipe-a-refreshing-summer-salad" TargetMode="External"/><Relationship Id="rId675" Type="http://schemas.openxmlformats.org/officeDocument/2006/relationships/hyperlink" Target="https://www.archanaskitchen.com/strawberry-compote-galette-recipe" TargetMode="External"/><Relationship Id="rId882" Type="http://schemas.openxmlformats.org/officeDocument/2006/relationships/hyperlink" Target="https://www.archanaskitchen.com/cottage-cheese-pancake-recipe-stuffed-with-chocolate-russian-syrniki-recipe" TargetMode="External"/><Relationship Id="rId25" Type="http://schemas.openxmlformats.org/officeDocument/2006/relationships/hyperlink" Target="https://www.archanaskitchen.com/broccoli-corn-barley-soup-recipe" TargetMode="External"/><Relationship Id="rId328" Type="http://schemas.openxmlformats.org/officeDocument/2006/relationships/hyperlink" Target="http://www.archanaskitchen.com/chocolate-and-oats-christmas-cookie-cake-recipe" TargetMode="External"/><Relationship Id="rId535" Type="http://schemas.openxmlformats.org/officeDocument/2006/relationships/hyperlink" Target="http://www.archanaskitchen.com/tomato-basil-chicken-curry-recipe" TargetMode="External"/><Relationship Id="rId742" Type="http://schemas.openxmlformats.org/officeDocument/2006/relationships/hyperlink" Target="https://www.archanaskitchen.com/old-fashioned-bread-pudding-recipe" TargetMode="External"/><Relationship Id="rId174" Type="http://schemas.openxmlformats.org/officeDocument/2006/relationships/hyperlink" Target="http://www.archanaskitchen.com/banana-cream-pie-recipe" TargetMode="External"/><Relationship Id="rId381" Type="http://schemas.openxmlformats.org/officeDocument/2006/relationships/hyperlink" Target="https://www.archanaskitchen.com/sweet-mixed-fruits-and-granola-breakfast-wraps-recipe" TargetMode="External"/><Relationship Id="rId602" Type="http://schemas.openxmlformats.org/officeDocument/2006/relationships/hyperlink" Target="https://www.archanaskitchen.com/muesli-pumpkin-bread-recipe" TargetMode="External"/><Relationship Id="rId241" Type="http://schemas.openxmlformats.org/officeDocument/2006/relationships/hyperlink" Target="http://www.archanaskitchen.com/refreshing-smoothie-recipe-with-cucumber-kiwi" TargetMode="External"/><Relationship Id="rId479" Type="http://schemas.openxmlformats.org/officeDocument/2006/relationships/hyperlink" Target="http://www.archanaskitchen.com/zucchini-salad-with-barbecue-sauce-dressing-recipe" TargetMode="External"/><Relationship Id="rId686" Type="http://schemas.openxmlformats.org/officeDocument/2006/relationships/hyperlink" Target="http://www.archanaskitchen.com/vanilla-fruit-sauce-with-left-over-fruits-recipe" TargetMode="External"/><Relationship Id="rId893" Type="http://schemas.openxmlformats.org/officeDocument/2006/relationships/hyperlink" Target="https://www.archanaskitchen.com/baked-homemade-croutons-recipe-with-herbs" TargetMode="External"/><Relationship Id="rId907" Type="http://schemas.openxmlformats.org/officeDocument/2006/relationships/hyperlink" Target="http://www.archanaskitchen.com/shrewsbury-cookies-recipe-butter-cookies" TargetMode="External"/><Relationship Id="rId36" Type="http://schemas.openxmlformats.org/officeDocument/2006/relationships/hyperlink" Target="https://www.archanaskitchen.com/weekly-lunch-box-recipes-ideas-from-grilled-sandwich-rava-rotti-to-chickpea-crepe-with-salad-and-chutney-and-more" TargetMode="External"/><Relationship Id="rId339" Type="http://schemas.openxmlformats.org/officeDocument/2006/relationships/hyperlink" Target="https://www.archanaskitchen.com/mexican-chicken-soup-recipe-in-hindi" TargetMode="External"/><Relationship Id="rId546" Type="http://schemas.openxmlformats.org/officeDocument/2006/relationships/hyperlink" Target="http://www.archanaskitchen.com/tutti-frutti-cake-recipe" TargetMode="External"/><Relationship Id="rId753" Type="http://schemas.openxmlformats.org/officeDocument/2006/relationships/hyperlink" Target="http://www.archanaskitchen.com/grilled-eggplant-roll-recipe-with-spicy-herbed-carrots" TargetMode="External"/><Relationship Id="rId101" Type="http://schemas.openxmlformats.org/officeDocument/2006/relationships/hyperlink" Target="https://www.archanaskitchen.com/apple-upside-down-cake-recipe" TargetMode="External"/><Relationship Id="rId185" Type="http://schemas.openxmlformats.org/officeDocument/2006/relationships/hyperlink" Target="https://www.archanaskitchen.com/black-bean-soup-with-mojo-recipe" TargetMode="External"/><Relationship Id="rId406" Type="http://schemas.openxmlformats.org/officeDocument/2006/relationships/hyperlink" Target="http://www.archanaskitchen.com/tofu-veggie-cole-slaw-sandwich-recipe" TargetMode="External"/><Relationship Id="rId960" Type="http://schemas.openxmlformats.org/officeDocument/2006/relationships/hyperlink" Target="https://www.archanaskitchen.com/simple-luscious-pista-ice-cream-recipe" TargetMode="External"/><Relationship Id="rId392" Type="http://schemas.openxmlformats.org/officeDocument/2006/relationships/hyperlink" Target="https://www.archanaskitchen.com/video-recipe-how-to-make-homemade-vegetable-stock" TargetMode="External"/><Relationship Id="rId613" Type="http://schemas.openxmlformats.org/officeDocument/2006/relationships/hyperlink" Target="https://www.archanaskitchen.com/olive-oil-cranberry-cookies-recipe" TargetMode="External"/><Relationship Id="rId697" Type="http://schemas.openxmlformats.org/officeDocument/2006/relationships/hyperlink" Target="http://www.archanaskitchen.com/homemade-chocolate-almond-spread-recipe" TargetMode="External"/><Relationship Id="rId820" Type="http://schemas.openxmlformats.org/officeDocument/2006/relationships/hyperlink" Target="https://www.archanaskitchen.com/grilled-sub-sandwich-recipes-with-paneer-roasted-vegetables" TargetMode="External"/><Relationship Id="rId918" Type="http://schemas.openxmlformats.org/officeDocument/2006/relationships/hyperlink" Target="https://www.archanaskitchen.com/egg-salad-recipe-with-sun-dried-tomatoes-and-scallions" TargetMode="External"/><Relationship Id="rId252" Type="http://schemas.openxmlformats.org/officeDocument/2006/relationships/hyperlink" Target="http://www.archanaskitchen.com/healthy-brown-rice-salad-recipe" TargetMode="External"/><Relationship Id="rId47" Type="http://schemas.openxmlformats.org/officeDocument/2006/relationships/hyperlink" Target="http://www.archanaskitchen.com/chicken-and-mushroom-pot-pie-recipe" TargetMode="External"/><Relationship Id="rId112" Type="http://schemas.openxmlformats.org/officeDocument/2006/relationships/hyperlink" Target="http://www.archanaskitchen.com/kiwi-basil-lemonade-recipe" TargetMode="External"/><Relationship Id="rId557" Type="http://schemas.openxmlformats.org/officeDocument/2006/relationships/hyperlink" Target="http://www.archanaskitchen.com/chocolate-doughnut-recipe" TargetMode="External"/><Relationship Id="rId764" Type="http://schemas.openxmlformats.org/officeDocument/2006/relationships/hyperlink" Target="https://www.archanaskitchen.com/mushroom-storgonoff-recipe" TargetMode="External"/><Relationship Id="rId971" Type="http://schemas.openxmlformats.org/officeDocument/2006/relationships/hyperlink" Target="https://www.archanaskitchen.com/baked-salmon-recipe-flavored-with-herbs-and-tartare-dip" TargetMode="External"/><Relationship Id="rId196" Type="http://schemas.openxmlformats.org/officeDocument/2006/relationships/hyperlink" Target="http://www.archanaskitchen.com/whole-wheat-homemade-english-muffins-recipe" TargetMode="External"/><Relationship Id="rId417" Type="http://schemas.openxmlformats.org/officeDocument/2006/relationships/hyperlink" Target="https://www.archanaskitchen.com/healthy-eggless-date-squares-recipe" TargetMode="External"/><Relationship Id="rId624" Type="http://schemas.openxmlformats.org/officeDocument/2006/relationships/hyperlink" Target="http://www.archanaskitchen.com/no-bake-chocolate-hazelnut-cheesecake-recipe" TargetMode="External"/><Relationship Id="rId831" Type="http://schemas.openxmlformats.org/officeDocument/2006/relationships/hyperlink" Target="http://www.archanaskitchen.com/herbed-tofu-spinach-in-tomato-basil-sauce-recipe" TargetMode="External"/><Relationship Id="rId263" Type="http://schemas.openxmlformats.org/officeDocument/2006/relationships/hyperlink" Target="https://www.archanaskitchen.com/spinach-ricotta-balls-in-garlic-tomato-basil-sauce-recipe" TargetMode="External"/><Relationship Id="rId470" Type="http://schemas.openxmlformats.org/officeDocument/2006/relationships/hyperlink" Target="https://www.archanaskitchen.com/dark-chocolate-cherry-cake-recipe" TargetMode="External"/><Relationship Id="rId929" Type="http://schemas.openxmlformats.org/officeDocument/2006/relationships/hyperlink" Target="http://www.archanaskitchen.com/grilled-paneer-mint-salad-recipe-with-pickled-onions-pomegranates" TargetMode="External"/><Relationship Id="rId58" Type="http://schemas.openxmlformats.org/officeDocument/2006/relationships/hyperlink" Target="https://www.archanaskitchen.com/microwaved-egg-omlette-in-a-mug-recipe" TargetMode="External"/><Relationship Id="rId123" Type="http://schemas.openxmlformats.org/officeDocument/2006/relationships/hyperlink" Target="http://www.archanaskitchen.com/healthy-vegetable-fries-recipe-oven-roasted-potato-zucchini-and-carrot-fries" TargetMode="External"/><Relationship Id="rId330" Type="http://schemas.openxmlformats.org/officeDocument/2006/relationships/hyperlink" Target="https://www.archanaskitchen.com/guilt-free-fruit-cream-recipe" TargetMode="External"/><Relationship Id="rId568" Type="http://schemas.openxmlformats.org/officeDocument/2006/relationships/hyperlink" Target="https://www.archanaskitchen.com/tomato-basil-chicken-curry-recipe-in-hindi" TargetMode="External"/><Relationship Id="rId775" Type="http://schemas.openxmlformats.org/officeDocument/2006/relationships/hyperlink" Target="http://www.archanaskitchen.com/ice-apple-plum-and-rose-milkshake-recipe" TargetMode="External"/><Relationship Id="rId982" Type="http://schemas.openxmlformats.org/officeDocument/2006/relationships/hyperlink" Target="https://www.archanaskitchen.com/homemade-black-bean-burger-recipe" TargetMode="External"/><Relationship Id="rId428" Type="http://schemas.openxmlformats.org/officeDocument/2006/relationships/hyperlink" Target="http://www.archanaskitchen.com/fried-artichokes-recipe-flavored-with-lemon-ginger" TargetMode="External"/><Relationship Id="rId635" Type="http://schemas.openxmlformats.org/officeDocument/2006/relationships/hyperlink" Target="http://www.archanaskitchen.com/instant-granola-in-a-microwave-recipe" TargetMode="External"/><Relationship Id="rId842" Type="http://schemas.openxmlformats.org/officeDocument/2006/relationships/hyperlink" Target="https://www.archanaskitchen.com/butternut-squash-and-carrot-soup-recipe" TargetMode="External"/><Relationship Id="rId274" Type="http://schemas.openxmlformats.org/officeDocument/2006/relationships/hyperlink" Target="http://www.archanaskitchen.com/chocolate-chip-cookies-with-coconut-recipe" TargetMode="External"/><Relationship Id="rId481" Type="http://schemas.openxmlformats.org/officeDocument/2006/relationships/hyperlink" Target="http://www.archanaskitchen.com/whole-wheat-carrot-cake-recipe" TargetMode="External"/><Relationship Id="rId702" Type="http://schemas.openxmlformats.org/officeDocument/2006/relationships/hyperlink" Target="https://www.archanaskitchen.com/mixed-beans-salad-recipe" TargetMode="External"/><Relationship Id="rId69" Type="http://schemas.openxmlformats.org/officeDocument/2006/relationships/hyperlink" Target="http://www.archanaskitchen.com/chocolate-coffee-sticky-cake-recipe" TargetMode="External"/><Relationship Id="rId134" Type="http://schemas.openxmlformats.org/officeDocument/2006/relationships/hyperlink" Target="https://www.archanaskitchen.com/vegetarian-pot-pie-recipe" TargetMode="External"/><Relationship Id="rId579" Type="http://schemas.openxmlformats.org/officeDocument/2006/relationships/hyperlink" Target="https://www.archanaskitchen.com/vanilla-dutch-baby-pancake-recipe" TargetMode="External"/><Relationship Id="rId786" Type="http://schemas.openxmlformats.org/officeDocument/2006/relationships/hyperlink" Target="https://www.archanaskitchen.com/chicken-cutlet-recipe" TargetMode="External"/><Relationship Id="rId993" Type="http://schemas.openxmlformats.org/officeDocument/2006/relationships/hyperlink" Target="https://www.archanaskitchen.com/broccoli-paneer-peanut-sandwich-recipe" TargetMode="External"/><Relationship Id="rId341" Type="http://schemas.openxmlformats.org/officeDocument/2006/relationships/hyperlink" Target="https://www.archanaskitchen.com/homemade-kit-kat-bars-recipe" TargetMode="External"/><Relationship Id="rId439" Type="http://schemas.openxmlformats.org/officeDocument/2006/relationships/hyperlink" Target="http://www.archanaskitchen.com/apple-cinnamon-soy-smoothie-recipe" TargetMode="External"/><Relationship Id="rId646" Type="http://schemas.openxmlformats.org/officeDocument/2006/relationships/hyperlink" Target="http://www.archanaskitchen.com/vegan-guilt-free-chocolate-espresso-mousse-recipe" TargetMode="External"/><Relationship Id="rId201" Type="http://schemas.openxmlformats.org/officeDocument/2006/relationships/hyperlink" Target="http://www.archanaskitchen.com/carrot-cake-parfait-with-custard-and-strawberries-recipe" TargetMode="External"/><Relationship Id="rId285" Type="http://schemas.openxmlformats.org/officeDocument/2006/relationships/hyperlink" Target="http://www.archanaskitchen.com/crepes-stuffed-with-nutella-seasonal-fruits-recipe" TargetMode="External"/><Relationship Id="rId506" Type="http://schemas.openxmlformats.org/officeDocument/2006/relationships/hyperlink" Target="http://www.archanaskitchen.com/cheesy-sweet-corn-grilled-sandwich-recipe" TargetMode="External"/><Relationship Id="rId853" Type="http://schemas.openxmlformats.org/officeDocument/2006/relationships/hyperlink" Target="http://www.archanaskitchen.com/delicious-paneer-satay-recipe-with-tandoori-mayo-recipe" TargetMode="External"/><Relationship Id="rId492" Type="http://schemas.openxmlformats.org/officeDocument/2006/relationships/hyperlink" Target="http://www.archanaskitchen.com/pineapple-smoothie-recipe" TargetMode="External"/><Relationship Id="rId713" Type="http://schemas.openxmlformats.org/officeDocument/2006/relationships/hyperlink" Target="http://www.archanaskitchen.com/no-bake-mango-and-yogurt-cheesecake-recipe-with-raspberries" TargetMode="External"/><Relationship Id="rId797" Type="http://schemas.openxmlformats.org/officeDocument/2006/relationships/hyperlink" Target="https://www.archanaskitchen.com/detox-blueberry-salad-recipe" TargetMode="External"/><Relationship Id="rId920" Type="http://schemas.openxmlformats.org/officeDocument/2006/relationships/hyperlink" Target="https://www.archanaskitchen.com/mushroom-cutlet-vegetarian-sizzler-recipe" TargetMode="External"/><Relationship Id="rId145" Type="http://schemas.openxmlformats.org/officeDocument/2006/relationships/hyperlink" Target="http://www.archanaskitchen.com/roasted-walnut-zucchini-carrot-salad-in-red-wine-vinaigrette-recipe" TargetMode="External"/><Relationship Id="rId352" Type="http://schemas.openxmlformats.org/officeDocument/2006/relationships/hyperlink" Target="https://www.archanaskitchen.com/lemon-buttermilk-cake-recipe" TargetMode="External"/><Relationship Id="rId212" Type="http://schemas.openxmlformats.org/officeDocument/2006/relationships/hyperlink" Target="http://www.archanaskitchen.com/gluten-free-mango-and-coconut-milk-ice-cream-recipe" TargetMode="External"/><Relationship Id="rId657" Type="http://schemas.openxmlformats.org/officeDocument/2006/relationships/hyperlink" Target="https://www.archanaskitchen.com/baked-pumpkin-cream-cheese-french-toast-recipe-breakfast-bread-pudding-recipe" TargetMode="External"/><Relationship Id="rId864" Type="http://schemas.openxmlformats.org/officeDocument/2006/relationships/hyperlink" Target="http://www.archanaskitchen.com/sprouted-mung-bean-and-spinach-soup-recipe" TargetMode="External"/><Relationship Id="rId296" Type="http://schemas.openxmlformats.org/officeDocument/2006/relationships/hyperlink" Target="https://www.archanaskitchen.com/vegan-chocolate-fudgesicles-recipe" TargetMode="External"/><Relationship Id="rId517" Type="http://schemas.openxmlformats.org/officeDocument/2006/relationships/hyperlink" Target="http://www.archanaskitchen.com/buttermilk-cinnamon-rolls-recipe" TargetMode="External"/><Relationship Id="rId724" Type="http://schemas.openxmlformats.org/officeDocument/2006/relationships/hyperlink" Target="https://www.archanaskitchen.com/lettuce-apple-and-carrot-salad-with-chilli-dressing-recipe" TargetMode="External"/><Relationship Id="rId931" Type="http://schemas.openxmlformats.org/officeDocument/2006/relationships/hyperlink" Target="https://www.archanaskitchen.com/eggless-whole-wheat-banana-muffins-recipe" TargetMode="External"/><Relationship Id="rId60" Type="http://schemas.openxmlformats.org/officeDocument/2006/relationships/hyperlink" Target="http://www.archanaskitchen.com/prunes-spread-with-crumbled-paneer-mushroom-spinach-wrap-recipe" TargetMode="External"/><Relationship Id="rId156" Type="http://schemas.openxmlformats.org/officeDocument/2006/relationships/hyperlink" Target="http://www.archanaskitchen.com/video-recipe-millet-cottage-cheese-rolls-flavored-with-zaatar" TargetMode="External"/><Relationship Id="rId363" Type="http://schemas.openxmlformats.org/officeDocument/2006/relationships/hyperlink" Target="https://www.archanaskitchen.com/herbed-brown-rice-recipe" TargetMode="External"/><Relationship Id="rId570" Type="http://schemas.openxmlformats.org/officeDocument/2006/relationships/hyperlink" Target="https://www.archanaskitchen.com/ragi-choco-coffee-mug-cake-recipe" TargetMode="External"/><Relationship Id="rId1007" Type="http://schemas.openxmlformats.org/officeDocument/2006/relationships/hyperlink" Target="https://www.archanaskitchen.com/tomato-and-zucchini-frittata-recipe" TargetMode="External"/><Relationship Id="rId223" Type="http://schemas.openxmlformats.org/officeDocument/2006/relationships/hyperlink" Target="http://www.archanaskitchen.com/eggless-spicy-spinach-bread-recipe" TargetMode="External"/><Relationship Id="rId430" Type="http://schemas.openxmlformats.org/officeDocument/2006/relationships/hyperlink" Target="https://www.archanaskitchen.com/bulgur-wheat-potato-patty-recipe" TargetMode="External"/><Relationship Id="rId668" Type="http://schemas.openxmlformats.org/officeDocument/2006/relationships/hyperlink" Target="http://www.archanaskitchen.com/coffee-ice-cream-recipe" TargetMode="External"/><Relationship Id="rId875" Type="http://schemas.openxmlformats.org/officeDocument/2006/relationships/hyperlink" Target="https://www.archanaskitchen.com/light-and-creamy-broccoli-soup-recipe" TargetMode="External"/><Relationship Id="rId18" Type="http://schemas.openxmlformats.org/officeDocument/2006/relationships/hyperlink" Target="http://www.archanaskitchen.com/chocolate-chip-and-raisin-rolls-recipe" TargetMode="External"/><Relationship Id="rId528" Type="http://schemas.openxmlformats.org/officeDocument/2006/relationships/hyperlink" Target="http://www.archanaskitchen.com/fluffy-crispy-cheese-herbed-biscuits-recipe" TargetMode="External"/><Relationship Id="rId735" Type="http://schemas.openxmlformats.org/officeDocument/2006/relationships/hyperlink" Target="http://www.archanaskitchen.com/vegetable-sandwich-recipe-with-mashed-avocado-and-cottage-cheese" TargetMode="External"/><Relationship Id="rId942" Type="http://schemas.openxmlformats.org/officeDocument/2006/relationships/hyperlink" Target="http://www.archanaskitchen.com/whole-wheat-buttermilk-banana-pancakes-recipes" TargetMode="External"/><Relationship Id="rId167" Type="http://schemas.openxmlformats.org/officeDocument/2006/relationships/hyperlink" Target="https://www.archanaskitchen.com/jalapeno-potato-cheese-balls-recipe-with-four-pepper-cheese-dip" TargetMode="External"/><Relationship Id="rId374" Type="http://schemas.openxmlformats.org/officeDocument/2006/relationships/hyperlink" Target="https://www.archanaskitchen.com/rosemary-chicken-rice-recipe-with-spicy-tomato-garlic-sauce" TargetMode="External"/><Relationship Id="rId581" Type="http://schemas.openxmlformats.org/officeDocument/2006/relationships/hyperlink" Target="http://www.archanaskitchen.com/roasted-chicken-curry-recipe-in-spinach-parmesan-sauce" TargetMode="External"/><Relationship Id="rId1018" Type="http://schemas.openxmlformats.org/officeDocument/2006/relationships/hyperlink" Target="http://www.archanaskitchen.com/upside-down-choco-orange-cake-recipe" TargetMode="External"/><Relationship Id="rId71" Type="http://schemas.openxmlformats.org/officeDocument/2006/relationships/hyperlink" Target="http://www.archanaskitchen.com/roasted-garlic-potato-soup-recipe" TargetMode="External"/><Relationship Id="rId234" Type="http://schemas.openxmlformats.org/officeDocument/2006/relationships/hyperlink" Target="http://www.archanaskitchen.com/chocolate-flan-cake-recipe" TargetMode="External"/><Relationship Id="rId679" Type="http://schemas.openxmlformats.org/officeDocument/2006/relationships/hyperlink" Target="https://www.archanaskitchen.com/tomato-beetroot-soup-recipe" TargetMode="External"/><Relationship Id="rId802" Type="http://schemas.openxmlformats.org/officeDocument/2006/relationships/hyperlink" Target="https://www.archanaskitchen.com/tofu-strawberry-puree-recipe" TargetMode="External"/><Relationship Id="rId886" Type="http://schemas.openxmlformats.org/officeDocument/2006/relationships/hyperlink" Target="https://www.archanaskitchen.com/sweet-potato-brownie-recipe" TargetMode="External"/><Relationship Id="rId2" Type="http://schemas.openxmlformats.org/officeDocument/2006/relationships/hyperlink" Target="https://www.archanaskitchen.com/cabbage-spinach-pomegranate-slaw-with-lemon-dressing-recipe" TargetMode="External"/><Relationship Id="rId29" Type="http://schemas.openxmlformats.org/officeDocument/2006/relationships/hyperlink" Target="https://www.archanaskitchen.com/savoury-bread-pudding-recipe" TargetMode="External"/><Relationship Id="rId441" Type="http://schemas.openxmlformats.org/officeDocument/2006/relationships/hyperlink" Target="https://www.archanaskitchen.com/orange-marmalade-tea-cake-recipe" TargetMode="External"/><Relationship Id="rId539" Type="http://schemas.openxmlformats.org/officeDocument/2006/relationships/hyperlink" Target="https://www.archanaskitchen.com/olive-tofu-in-harissa-curry-recipe" TargetMode="External"/><Relationship Id="rId746" Type="http://schemas.openxmlformats.org/officeDocument/2006/relationships/hyperlink" Target="https://www.archanaskitchen.com/grilled-cheese-chocolate-sandwich-recipe" TargetMode="External"/><Relationship Id="rId178" Type="http://schemas.openxmlformats.org/officeDocument/2006/relationships/hyperlink" Target="https://www.archanaskitchen.com/egg-salad-sandwich-recipe" TargetMode="External"/><Relationship Id="rId301" Type="http://schemas.openxmlformats.org/officeDocument/2006/relationships/hyperlink" Target="https://www.archanaskitchen.com/cheese-balls-with-capsicum-recipe" TargetMode="External"/><Relationship Id="rId953" Type="http://schemas.openxmlformats.org/officeDocument/2006/relationships/hyperlink" Target="http://www.archanaskitchen.com/bell-pepper-parsley-rice-recipe-in-hindi" TargetMode="External"/><Relationship Id="rId82" Type="http://schemas.openxmlformats.org/officeDocument/2006/relationships/hyperlink" Target="http://www.archanaskitchen.com/video-recipe-how-to-cook-root-vegetables-like-potatoes-using-a-pressure-cooker" TargetMode="External"/><Relationship Id="rId385" Type="http://schemas.openxmlformats.org/officeDocument/2006/relationships/hyperlink" Target="http://www.archanaskitchen.com/lemon-poppy-seeds-pancakes-recipe" TargetMode="External"/><Relationship Id="rId592" Type="http://schemas.openxmlformats.org/officeDocument/2006/relationships/hyperlink" Target="http://www.archanaskitchen.com/loaded-baked-potato-french-fries-recipe" TargetMode="External"/><Relationship Id="rId606" Type="http://schemas.openxmlformats.org/officeDocument/2006/relationships/hyperlink" Target="http://www.archanaskitchen.com/eggless-ragi-whole-wheat-crisp-biscuits-recipe" TargetMode="External"/><Relationship Id="rId813" Type="http://schemas.openxmlformats.org/officeDocument/2006/relationships/hyperlink" Target="https://www.archanaskitchen.com/egg-white-cheese-scrambled-eggs-with-spinach-caramelized-onion-recipe" TargetMode="External"/><Relationship Id="rId245" Type="http://schemas.openxmlformats.org/officeDocument/2006/relationships/hyperlink" Target="http://www.archanaskitchen.com/whole-wheat-lemon-cranberry-muffins-recipe" TargetMode="External"/><Relationship Id="rId452" Type="http://schemas.openxmlformats.org/officeDocument/2006/relationships/hyperlink" Target="https://www.archanaskitchen.com/muesli-ragi-chocolate-chip-cookies-recipe" TargetMode="External"/><Relationship Id="rId897" Type="http://schemas.openxmlformats.org/officeDocument/2006/relationships/hyperlink" Target="http://www.archanaskitchen.com/montreal-mushroom-and-chicken-stir-fry-recipe" TargetMode="External"/><Relationship Id="rId105" Type="http://schemas.openxmlformats.org/officeDocument/2006/relationships/hyperlink" Target="http://www.archanaskitchen.com/diary-free-chocolate-pudding-recipe" TargetMode="External"/><Relationship Id="rId312" Type="http://schemas.openxmlformats.org/officeDocument/2006/relationships/hyperlink" Target="https://www.archanaskitchen.com/broken-wheat-and-apple-porridge-recipe" TargetMode="External"/><Relationship Id="rId757" Type="http://schemas.openxmlformats.org/officeDocument/2006/relationships/hyperlink" Target="http://www.archanaskitchen.com/spicy-kiwi-salsa-feta-toasties-recipe-made-from-zespri-kiwifruit" TargetMode="External"/><Relationship Id="rId964" Type="http://schemas.openxmlformats.org/officeDocument/2006/relationships/hyperlink" Target="http://www.archanaskitchen.com/millet-energy-bites-with-almonds-dates-and-coconut-recipe" TargetMode="External"/><Relationship Id="rId93" Type="http://schemas.openxmlformats.org/officeDocument/2006/relationships/hyperlink" Target="http://www.archanaskitchen.com/eggless-oats-cranberry-almond-cookies-recipe" TargetMode="External"/><Relationship Id="rId189" Type="http://schemas.openxmlformats.org/officeDocument/2006/relationships/hyperlink" Target="https://www.archanaskitchen.com/coconut-banana-oatmeal-porridge-recipe" TargetMode="External"/><Relationship Id="rId396" Type="http://schemas.openxmlformats.org/officeDocument/2006/relationships/hyperlink" Target="https://www.archanaskitchen.com/paneer-shashlik-sizzler-recipe" TargetMode="External"/><Relationship Id="rId617" Type="http://schemas.openxmlformats.org/officeDocument/2006/relationships/hyperlink" Target="http://www.archanaskitchen.com/fresh-figs-ice-cream-recipe" TargetMode="External"/><Relationship Id="rId824" Type="http://schemas.openxmlformats.org/officeDocument/2006/relationships/hyperlink" Target="https://www.archanaskitchen.com/lemon-grilled-chicken-recipe" TargetMode="External"/><Relationship Id="rId256" Type="http://schemas.openxmlformats.org/officeDocument/2006/relationships/hyperlink" Target="https://www.archanaskitchen.com/quick-microwave-chocolate-pudding-recipe" TargetMode="External"/><Relationship Id="rId463" Type="http://schemas.openxmlformats.org/officeDocument/2006/relationships/hyperlink" Target="https://www.archanaskitchen.com/hash-browns-with-chives-recipe" TargetMode="External"/><Relationship Id="rId670" Type="http://schemas.openxmlformats.org/officeDocument/2006/relationships/hyperlink" Target="https://www.archanaskitchen.com/homemade-chocolate-mousse-with-pineapple-recipe" TargetMode="External"/><Relationship Id="rId116" Type="http://schemas.openxmlformats.org/officeDocument/2006/relationships/hyperlink" Target="http://www.archanaskitchen.com/spinach-potato-frittata-bites-recipe" TargetMode="External"/><Relationship Id="rId323" Type="http://schemas.openxmlformats.org/officeDocument/2006/relationships/hyperlink" Target="https://www.archanaskitchen.com/sweet-and-spicy-tofu-salad-with-beetroot-recipe" TargetMode="External"/><Relationship Id="rId530" Type="http://schemas.openxmlformats.org/officeDocument/2006/relationships/hyperlink" Target="https://www.archanaskitchen.com/coffee-caramel-cake-with-walnuts-recipe-eggless" TargetMode="External"/><Relationship Id="rId768" Type="http://schemas.openxmlformats.org/officeDocument/2006/relationships/hyperlink" Target="https://www.archanaskitchen.com/mango-musk-melon-chia-seeds-pudding-recipe" TargetMode="External"/><Relationship Id="rId975" Type="http://schemas.openxmlformats.org/officeDocument/2006/relationships/hyperlink" Target="https://www.archanaskitchen.com/whole-wheat-black-forest-cake-in-a-jar-recipe-eggless" TargetMode="External"/><Relationship Id="rId20" Type="http://schemas.openxmlformats.org/officeDocument/2006/relationships/hyperlink" Target="http://www.archanaskitchen.com/whole-wheat-espresso-chocolate-streusel-cake-recipe" TargetMode="External"/><Relationship Id="rId628" Type="http://schemas.openxmlformats.org/officeDocument/2006/relationships/hyperlink" Target="http://www.archanaskitchen.com/5-grain-greek-yogurt-fruit-parfait-recipe" TargetMode="External"/><Relationship Id="rId835" Type="http://schemas.openxmlformats.org/officeDocument/2006/relationships/hyperlink" Target="https://www.archanaskitchen.com/beet-quinoa-sliders-recipe" TargetMode="External"/><Relationship Id="rId267" Type="http://schemas.openxmlformats.org/officeDocument/2006/relationships/hyperlink" Target="http://www.archanaskitchen.com/avocado-and-almond-salad-recipe-with-feta-cheese" TargetMode="External"/><Relationship Id="rId474" Type="http://schemas.openxmlformats.org/officeDocument/2006/relationships/hyperlink" Target="http://www.archanaskitchen.com/garlic-ginger-spiced-potato-wedges-recipe-baked" TargetMode="External"/><Relationship Id="rId1020" Type="http://schemas.openxmlformats.org/officeDocument/2006/relationships/hyperlink" Target="http://www.archanaskitchen.com/creamy-spinach-and-potato-breakfast-casserole-recipe" TargetMode="External"/><Relationship Id="rId127" Type="http://schemas.openxmlformats.org/officeDocument/2006/relationships/hyperlink" Target="https://www.archanaskitchen.com/coleslaw-salad-on-sliced-apple-recipe" TargetMode="External"/><Relationship Id="rId681" Type="http://schemas.openxmlformats.org/officeDocument/2006/relationships/hyperlink" Target="http://www.archanaskitchen.com/cabbage-slaw-with-ginger-tahini-dressing-recipe" TargetMode="External"/><Relationship Id="rId779" Type="http://schemas.openxmlformats.org/officeDocument/2006/relationships/hyperlink" Target="https://www.archanaskitchen.com/coffee-raisin-cake-with-sugar-glaze-recipe" TargetMode="External"/><Relationship Id="rId902" Type="http://schemas.openxmlformats.org/officeDocument/2006/relationships/hyperlink" Target="https://www.archanaskitchen.com/banana-bread-with-chocolate-chips-and-walnut-recipe" TargetMode="External"/><Relationship Id="rId986" Type="http://schemas.openxmlformats.org/officeDocument/2006/relationships/hyperlink" Target="https://www.archanaskitchen.com/whole-wheat-muesli-pancake-with-spirulina-recipe" TargetMode="External"/><Relationship Id="rId31" Type="http://schemas.openxmlformats.org/officeDocument/2006/relationships/hyperlink" Target="http://www.archanaskitchen.com/zucchini-tater-tots-recipe-a-delicious-party-appetizer" TargetMode="External"/><Relationship Id="rId334" Type="http://schemas.openxmlformats.org/officeDocument/2006/relationships/hyperlink" Target="https://www.archanaskitchen.com/roasted-cauliflower-celery-and-carrot-creamy-vegetable-soup-recipe" TargetMode="External"/><Relationship Id="rId541" Type="http://schemas.openxmlformats.org/officeDocument/2006/relationships/hyperlink" Target="http://www.archanaskitchen.com/pumpkin-cheesecake-recipe" TargetMode="External"/><Relationship Id="rId639" Type="http://schemas.openxmlformats.org/officeDocument/2006/relationships/hyperlink" Target="https://www.archanaskitchen.com/classic-cheesecake-recipe-with-lemon-curd-made-from-preethi-electric-pressure-cooker" TargetMode="External"/><Relationship Id="rId180" Type="http://schemas.openxmlformats.org/officeDocument/2006/relationships/hyperlink" Target="https://www.archanaskitchen.com/eggless-banana-pressure-cooker-cake-recipe" TargetMode="External"/><Relationship Id="rId278" Type="http://schemas.openxmlformats.org/officeDocument/2006/relationships/hyperlink" Target="http://www.archanaskitchen.com/green-peas-sandwich-recipe" TargetMode="External"/><Relationship Id="rId401" Type="http://schemas.openxmlformats.org/officeDocument/2006/relationships/hyperlink" Target="http://www.archanaskitchen.com/whole-grain-and-oat-buns-recipe-healthy-dinner-rolls" TargetMode="External"/><Relationship Id="rId846" Type="http://schemas.openxmlformats.org/officeDocument/2006/relationships/hyperlink" Target="https://www.archanaskitchen.com/paleo-breakfast-casserole-recipe-in-a-mug" TargetMode="External"/><Relationship Id="rId485" Type="http://schemas.openxmlformats.org/officeDocument/2006/relationships/hyperlink" Target="http://www.archanaskitchen.com/spinach-egg-muffins-recipe-in-hindi" TargetMode="External"/><Relationship Id="rId692" Type="http://schemas.openxmlformats.org/officeDocument/2006/relationships/hyperlink" Target="https://www.archanaskitchen.com/mushroom-broccoli-soup-recipe" TargetMode="External"/><Relationship Id="rId706" Type="http://schemas.openxmlformats.org/officeDocument/2006/relationships/hyperlink" Target="https://www.archanaskitchen.com/chicken-boiled-egg-sliders-with-cheesy-garlic-mayo-recipe" TargetMode="External"/><Relationship Id="rId913" Type="http://schemas.openxmlformats.org/officeDocument/2006/relationships/hyperlink" Target="http://www.archanaskitchen.com/sun-dried-tomato-raw-sprouts-and-cream-cheese-bagel-sandwich-recipe" TargetMode="External"/><Relationship Id="rId42" Type="http://schemas.openxmlformats.org/officeDocument/2006/relationships/hyperlink" Target="https://www.archanaskitchen.com/grilled-eggplant-with-yogurt-dip-recipe" TargetMode="External"/><Relationship Id="rId138" Type="http://schemas.openxmlformats.org/officeDocument/2006/relationships/hyperlink" Target="http://www.archanaskitchen.com/spiced-coconut-oatmeal-with-assorted-fruits-recipe" TargetMode="External"/><Relationship Id="rId345" Type="http://schemas.openxmlformats.org/officeDocument/2006/relationships/hyperlink" Target="http://www.archanaskitchen.com/creamy-herb-roasted-potato-soup-in-a-bread-bowl-recipe" TargetMode="External"/><Relationship Id="rId552" Type="http://schemas.openxmlformats.org/officeDocument/2006/relationships/hyperlink" Target="http://www.archanaskitchen.com/chicken-stuffed-bread-recipe" TargetMode="External"/><Relationship Id="rId997" Type="http://schemas.openxmlformats.org/officeDocument/2006/relationships/hyperlink" Target="http://www.archanaskitchen.com/peanut-butter-and-flax-oats-bar-with-chocolate-chip-recipe" TargetMode="External"/><Relationship Id="rId191" Type="http://schemas.openxmlformats.org/officeDocument/2006/relationships/hyperlink" Target="http://www.archanaskitchen.com/spinach-stir-fry-recipe-with-garlic" TargetMode="External"/><Relationship Id="rId205" Type="http://schemas.openxmlformats.org/officeDocument/2006/relationships/hyperlink" Target="http://www.archanaskitchen.com/soft-and-spicy-chicken-nuggets-kfc-style-recipe" TargetMode="External"/><Relationship Id="rId412" Type="http://schemas.openxmlformats.org/officeDocument/2006/relationships/hyperlink" Target="http://www.archanaskitchen.com/whole-wheat-strawberry-banana-muffins-recipe" TargetMode="External"/><Relationship Id="rId857" Type="http://schemas.openxmlformats.org/officeDocument/2006/relationships/hyperlink" Target="http://www.archanaskitchen.com/kale-apple-salad-recipe" TargetMode="External"/><Relationship Id="rId289" Type="http://schemas.openxmlformats.org/officeDocument/2006/relationships/hyperlink" Target="http://www.archanaskitchen.com/braided-almond-roll-recipe" TargetMode="External"/><Relationship Id="rId496" Type="http://schemas.openxmlformats.org/officeDocument/2006/relationships/hyperlink" Target="https://www.archanaskitchen.com/aubergine-and-cranberry-beans-dip-recipe" TargetMode="External"/><Relationship Id="rId717" Type="http://schemas.openxmlformats.org/officeDocument/2006/relationships/hyperlink" Target="http://www.archanaskitchen.com/corn-meal-and-zucchini-muffin-recipe" TargetMode="External"/><Relationship Id="rId924" Type="http://schemas.openxmlformats.org/officeDocument/2006/relationships/hyperlink" Target="http://www.archanaskitchen.com/pineapple-onions-and-cabbage-slaw-with-honey-mustard-recipe" TargetMode="External"/><Relationship Id="rId53" Type="http://schemas.openxmlformats.org/officeDocument/2006/relationships/hyperlink" Target="https://www.archanaskitchen.com/rosemary-and-thyme-chicken-recipe" TargetMode="External"/><Relationship Id="rId149" Type="http://schemas.openxmlformats.org/officeDocument/2006/relationships/hyperlink" Target="https://www.archanaskitchen.com/whole-wheat-crepe-with-muesli-strawberry-recipe" TargetMode="External"/><Relationship Id="rId356" Type="http://schemas.openxmlformats.org/officeDocument/2006/relationships/hyperlink" Target="http://www.archanaskitchen.com/banana-bran-muffin-recipe" TargetMode="External"/><Relationship Id="rId563" Type="http://schemas.openxmlformats.org/officeDocument/2006/relationships/hyperlink" Target="http://www.archanaskitchen.com/apple-danish-pastry-recipe" TargetMode="External"/><Relationship Id="rId770" Type="http://schemas.openxmlformats.org/officeDocument/2006/relationships/hyperlink" Target="http://www.archanaskitchen.com/cheesy-masala-omelette-recipe-with-roasted-vegetables" TargetMode="External"/><Relationship Id="rId216" Type="http://schemas.openxmlformats.org/officeDocument/2006/relationships/hyperlink" Target="http://www.archanaskitchen.com/chocolate-toast-with-toasted-seeds-recipe" TargetMode="External"/><Relationship Id="rId423" Type="http://schemas.openxmlformats.org/officeDocument/2006/relationships/hyperlink" Target="http://www.archanaskitchen.com/spinach-watermelon-salad-recipe-with-walnuts" TargetMode="External"/><Relationship Id="rId868" Type="http://schemas.openxmlformats.org/officeDocument/2006/relationships/hyperlink" Target="https://www.archanaskitchen.com/wheat-pizza-pockets-recipe-baked-with-chicken-filling" TargetMode="External"/><Relationship Id="rId630" Type="http://schemas.openxmlformats.org/officeDocument/2006/relationships/hyperlink" Target="http://www.archanaskitchen.com/cauliflower-au-gratin-recipe-french-style-cauliflower-cheese-bake" TargetMode="External"/><Relationship Id="rId728" Type="http://schemas.openxmlformats.org/officeDocument/2006/relationships/hyperlink" Target="https://www.archanaskitchen.com/mango-lemonade-recipe" TargetMode="External"/><Relationship Id="rId935" Type="http://schemas.openxmlformats.org/officeDocument/2006/relationships/hyperlink" Target="http://www.archanaskitchen.com/homemade-fresh-orange-juice-recipe" TargetMode="External"/><Relationship Id="rId64" Type="http://schemas.openxmlformats.org/officeDocument/2006/relationships/hyperlink" Target="http://www.archanaskitchen.com/herbed-butter-garlic-quinoa-recipe" TargetMode="External"/><Relationship Id="rId367" Type="http://schemas.openxmlformats.org/officeDocument/2006/relationships/hyperlink" Target="https://www.archanaskitchen.com/apple-almond-cake-recipe" TargetMode="External"/><Relationship Id="rId574" Type="http://schemas.openxmlformats.org/officeDocument/2006/relationships/hyperlink" Target="https://www.archanaskitchen.com/twin-in-one-bread-loaf-recipe" TargetMode="External"/><Relationship Id="rId227" Type="http://schemas.openxmlformats.org/officeDocument/2006/relationships/hyperlink" Target="http://www.archanaskitchen.com/spring-onion-roasted-garlic-brown-rice-recipe-in-hindi" TargetMode="External"/><Relationship Id="rId781" Type="http://schemas.openxmlformats.org/officeDocument/2006/relationships/hyperlink" Target="https://www.archanaskitchen.com/strawberry-panna-cotta-tart-with-chocolate-ganache-recipe" TargetMode="External"/><Relationship Id="rId879" Type="http://schemas.openxmlformats.org/officeDocument/2006/relationships/hyperlink" Target="http://www.archanaskitchen.com/wholesome-lentil-salad-recipe-with-oven-roasted-tomatoes" TargetMode="External"/><Relationship Id="rId434" Type="http://schemas.openxmlformats.org/officeDocument/2006/relationships/hyperlink" Target="https://www.archanaskitchen.com/spinach-coconut-zucchini-soup-recipe" TargetMode="External"/><Relationship Id="rId641" Type="http://schemas.openxmlformats.org/officeDocument/2006/relationships/hyperlink" Target="https://www.archanaskitchen.com/guava-empanadas-recipe" TargetMode="External"/><Relationship Id="rId739" Type="http://schemas.openxmlformats.org/officeDocument/2006/relationships/hyperlink" Target="https://www.archanaskitchen.com/kidney-beans-crumbled-feta-basil-salad-with-lemon-vinaigrette-recipe" TargetMode="External"/><Relationship Id="rId280" Type="http://schemas.openxmlformats.org/officeDocument/2006/relationships/hyperlink" Target="http://www.archanaskitchen.com/broccoli-chocolate-muffins-recipe" TargetMode="External"/><Relationship Id="rId501" Type="http://schemas.openxmlformats.org/officeDocument/2006/relationships/hyperlink" Target="http://www.archanaskitchen.com/no-bake-fudge-brownies-recipe" TargetMode="External"/><Relationship Id="rId946" Type="http://schemas.openxmlformats.org/officeDocument/2006/relationships/hyperlink" Target="https://www.archanaskitchen.com/banana-apple-porridge-recipe-for-babies-and-toddlers" TargetMode="External"/><Relationship Id="rId75" Type="http://schemas.openxmlformats.org/officeDocument/2006/relationships/hyperlink" Target="http://www.archanaskitchen.com/chocolate-banana-smoothie-bowl-recipe" TargetMode="External"/><Relationship Id="rId140" Type="http://schemas.openxmlformats.org/officeDocument/2006/relationships/hyperlink" Target="https://www.archanaskitchen.com/chocolate-ganache-tart-recipe" TargetMode="External"/><Relationship Id="rId378" Type="http://schemas.openxmlformats.org/officeDocument/2006/relationships/hyperlink" Target="https://www.archanaskitchen.com/spirulina-protein-energy-balls-with-ragi-recipe" TargetMode="External"/><Relationship Id="rId585" Type="http://schemas.openxmlformats.org/officeDocument/2006/relationships/hyperlink" Target="https://www.archanaskitchen.com/carrot-amla-pomegranate-juice-recipe" TargetMode="External"/><Relationship Id="rId792" Type="http://schemas.openxmlformats.org/officeDocument/2006/relationships/hyperlink" Target="https://www.archanaskitchen.com/homemade-mango-ice-cream-recipe" TargetMode="External"/><Relationship Id="rId806" Type="http://schemas.openxmlformats.org/officeDocument/2006/relationships/hyperlink" Target="https://www.archanaskitchen.com/orange-date-muffin-recipe" TargetMode="External"/><Relationship Id="rId6" Type="http://schemas.openxmlformats.org/officeDocument/2006/relationships/hyperlink" Target="http://www.archanaskitchen.com/pan-fried-rice-balls-filled-with-cheese-recipe" TargetMode="External"/><Relationship Id="rId238" Type="http://schemas.openxmlformats.org/officeDocument/2006/relationships/hyperlink" Target="https://www.archanaskitchen.com/video-recipe-strawberry-compote" TargetMode="External"/><Relationship Id="rId445" Type="http://schemas.openxmlformats.org/officeDocument/2006/relationships/hyperlink" Target="http://www.archanaskitchen.com/spinach-and-soya-meatball-sub-sandwich-recipe" TargetMode="External"/><Relationship Id="rId652" Type="http://schemas.openxmlformats.org/officeDocument/2006/relationships/hyperlink" Target="http://www.archanaskitchen.com/spinach-fig-cherry-tomatoes-salad-with-red-wine-vinaigrette-recipe" TargetMode="External"/><Relationship Id="rId291" Type="http://schemas.openxmlformats.org/officeDocument/2006/relationships/hyperlink" Target="https://www.archanaskitchen.com/watermelon-margarita-granita-recipe" TargetMode="External"/><Relationship Id="rId305" Type="http://schemas.openxmlformats.org/officeDocument/2006/relationships/hyperlink" Target="https://www.archanaskitchen.com/maple-roasted-cinnamon-spiced-latte-recipe" TargetMode="External"/><Relationship Id="rId512" Type="http://schemas.openxmlformats.org/officeDocument/2006/relationships/hyperlink" Target="https://www.archanaskitchen.com/beetroot-cupcakes-recipe-with-oreo-frosting" TargetMode="External"/><Relationship Id="rId957" Type="http://schemas.openxmlformats.org/officeDocument/2006/relationships/hyperlink" Target="http://www.archanaskitchen.com/mango-smoothie-bowl-recipe" TargetMode="External"/><Relationship Id="rId86" Type="http://schemas.openxmlformats.org/officeDocument/2006/relationships/hyperlink" Target="https://www.archanaskitchen.com/orange-lemon-tea-cake-recipe" TargetMode="External"/><Relationship Id="rId151" Type="http://schemas.openxmlformats.org/officeDocument/2006/relationships/hyperlink" Target="http://www.archanaskitchen.com/cream-cheese-scrambled-eggs-recipe" TargetMode="External"/><Relationship Id="rId389" Type="http://schemas.openxmlformats.org/officeDocument/2006/relationships/hyperlink" Target="https://www.archanaskitchen.com/mushroom-masala-cheese-omelette-recipe" TargetMode="External"/><Relationship Id="rId596" Type="http://schemas.openxmlformats.org/officeDocument/2006/relationships/hyperlink" Target="http://www.archanaskitchen.com/roast-peaches-with-coconut-walnut-sauce-chef-vikas-khannas-recipe" TargetMode="External"/><Relationship Id="rId817" Type="http://schemas.openxmlformats.org/officeDocument/2006/relationships/hyperlink" Target="http://www.archanaskitchen.com/chewy-strawberry-muesli-oats-cookie-recipe" TargetMode="External"/><Relationship Id="rId1002" Type="http://schemas.openxmlformats.org/officeDocument/2006/relationships/hyperlink" Target="https://www.archanaskitchen.com/parmesan-and-fresh-herbs-savoury-scones-recipe" TargetMode="External"/><Relationship Id="rId249" Type="http://schemas.openxmlformats.org/officeDocument/2006/relationships/hyperlink" Target="https://www.archanaskitchen.com/watermelon-and-corn-salad-recipe-a-refreshing-summer-salad-in-hindi" TargetMode="External"/><Relationship Id="rId456" Type="http://schemas.openxmlformats.org/officeDocument/2006/relationships/hyperlink" Target="https://www.archanaskitchen.com/oats-cranberry-and-walnut-bread-recipe" TargetMode="External"/><Relationship Id="rId663" Type="http://schemas.openxmlformats.org/officeDocument/2006/relationships/hyperlink" Target="https://www.archanaskitchen.com/broccoli-cheese-filled-crepe-recipe-with-roasted-red-peppers" TargetMode="External"/><Relationship Id="rId870" Type="http://schemas.openxmlformats.org/officeDocument/2006/relationships/hyperlink" Target="https://www.archanaskitchen.com/video-recipe-how-to-make-homemade-tamarind-water" TargetMode="External"/><Relationship Id="rId13" Type="http://schemas.openxmlformats.org/officeDocument/2006/relationships/hyperlink" Target="https://www.archanaskitchen.com/paneer-capsicum-sandwich-recipe" TargetMode="External"/><Relationship Id="rId109" Type="http://schemas.openxmlformats.org/officeDocument/2006/relationships/hyperlink" Target="http://www.archanaskitchen.com/apple-roses-recipe-with-homemade-puff-pastry-sheets-eggless" TargetMode="External"/><Relationship Id="rId316" Type="http://schemas.openxmlformats.org/officeDocument/2006/relationships/hyperlink" Target="https://www.archanaskitchen.com/spinach-apple-with-orange-dressing-recipe" TargetMode="External"/><Relationship Id="rId523" Type="http://schemas.openxmlformats.org/officeDocument/2006/relationships/hyperlink" Target="https://www.archanaskitchen.com/minced-meat-corn-stuffed-bell-peppers-recipe" TargetMode="External"/><Relationship Id="rId968" Type="http://schemas.openxmlformats.org/officeDocument/2006/relationships/hyperlink" Target="http://www.archanaskitchen.com/pear-and-alfa-alfa-sprouts-salad-recipe" TargetMode="External"/><Relationship Id="rId97" Type="http://schemas.openxmlformats.org/officeDocument/2006/relationships/hyperlink" Target="https://www.archanaskitchen.com/eggless-beetroot-brownie-recipe-gluten-free" TargetMode="External"/><Relationship Id="rId730" Type="http://schemas.openxmlformats.org/officeDocument/2006/relationships/hyperlink" Target="http://www.archanaskitchen.com/quinoa-chocolate-cookies-recipe" TargetMode="External"/><Relationship Id="rId828" Type="http://schemas.openxmlformats.org/officeDocument/2006/relationships/hyperlink" Target="https://www.archanaskitchen.com/stuffed-bun-with-veggies-recipe" TargetMode="External"/><Relationship Id="rId1013" Type="http://schemas.openxmlformats.org/officeDocument/2006/relationships/hyperlink" Target="https://www.archanaskitchen.com/eggless-strawberry-rose-and-pistachio-cake-recipe-eggless-egg-free" TargetMode="External"/><Relationship Id="rId162" Type="http://schemas.openxmlformats.org/officeDocument/2006/relationships/hyperlink" Target="https://www.archanaskitchen.com/muesli-banana-fritters-with-whole-wheat-recipe" TargetMode="External"/><Relationship Id="rId467" Type="http://schemas.openxmlformats.org/officeDocument/2006/relationships/hyperlink" Target="http://www.archanaskitchen.com/horlicks-cookies-recipe" TargetMode="External"/><Relationship Id="rId674" Type="http://schemas.openxmlformats.org/officeDocument/2006/relationships/hyperlink" Target="http://www.archanaskitchen.com/deviled-eggs-recipe-with-mayo-and-mustard-recipe" TargetMode="External"/><Relationship Id="rId881" Type="http://schemas.openxmlformats.org/officeDocument/2006/relationships/hyperlink" Target="http://www.archanaskitchen.com/hidden-banana-cupcake-recipe" TargetMode="External"/><Relationship Id="rId979" Type="http://schemas.openxmlformats.org/officeDocument/2006/relationships/hyperlink" Target="https://www.archanaskitchen.com/hashbrown-with-spinach-cheese-recipe" TargetMode="External"/><Relationship Id="rId24" Type="http://schemas.openxmlformats.org/officeDocument/2006/relationships/hyperlink" Target="http://www.archanaskitchen.com/rich-dark-chocolate-mousse-recipe" TargetMode="External"/><Relationship Id="rId327" Type="http://schemas.openxmlformats.org/officeDocument/2006/relationships/hyperlink" Target="http://www.archanaskitchen.com/papaya-sorbet-recipe" TargetMode="External"/><Relationship Id="rId534" Type="http://schemas.openxmlformats.org/officeDocument/2006/relationships/hyperlink" Target="http://www.archanaskitchen.com/red-wine-sauce-over-baked-sol-fish-recipe" TargetMode="External"/><Relationship Id="rId741" Type="http://schemas.openxmlformats.org/officeDocument/2006/relationships/hyperlink" Target="http://www.archanaskitchen.com/pistachio-cranberry-broken-wheat-pulao-recipe" TargetMode="External"/><Relationship Id="rId839" Type="http://schemas.openxmlformats.org/officeDocument/2006/relationships/hyperlink" Target="http://www.archanaskitchen.com/coffee-banana-oats-smoothie-recipe" TargetMode="External"/><Relationship Id="rId173" Type="http://schemas.openxmlformats.org/officeDocument/2006/relationships/hyperlink" Target="http://www.archanaskitchen.com/buckwheat-and-oatmeal-chocochip-pancakes-recipe-eggless" TargetMode="External"/><Relationship Id="rId380" Type="http://schemas.openxmlformats.org/officeDocument/2006/relationships/hyperlink" Target="http://www.archanaskitchen.com/green-beans-in-pomegranate-cream-sauce-recipe" TargetMode="External"/><Relationship Id="rId601" Type="http://schemas.openxmlformats.org/officeDocument/2006/relationships/hyperlink" Target="https://www.archanaskitchen.com/date-walnut-oatmeal-cake-recipe-with-eggless-option" TargetMode="External"/><Relationship Id="rId240" Type="http://schemas.openxmlformats.org/officeDocument/2006/relationships/hyperlink" Target="https://www.archanaskitchen.com/cauliflower-and-broccoli-au-gratin-baked-cauliflower-broccoli-in-a-creamy-sauce-recipe" TargetMode="External"/><Relationship Id="rId478" Type="http://schemas.openxmlformats.org/officeDocument/2006/relationships/hyperlink" Target="https://www.archanaskitchen.com/strawberry-salad-recipe" TargetMode="External"/><Relationship Id="rId685" Type="http://schemas.openxmlformats.org/officeDocument/2006/relationships/hyperlink" Target="http://www.archanaskitchen.com/devil-chicken-recipe" TargetMode="External"/><Relationship Id="rId892" Type="http://schemas.openxmlformats.org/officeDocument/2006/relationships/hyperlink" Target="http://www.archanaskitchen.com/stuffed-chicken-pockets-recipe-with-mint-mayo-recipe" TargetMode="External"/><Relationship Id="rId906" Type="http://schemas.openxmlformats.org/officeDocument/2006/relationships/hyperlink" Target="https://www.archanaskitchen.com/basil-cherry-tomato-omelette-recipe" TargetMode="External"/><Relationship Id="rId35" Type="http://schemas.openxmlformats.org/officeDocument/2006/relationships/hyperlink" Target="https://www.archanaskitchen.com/four-cheese-and-spinach-stuffed-mushrooms-recipe" TargetMode="External"/><Relationship Id="rId100" Type="http://schemas.openxmlformats.org/officeDocument/2006/relationships/hyperlink" Target="http://www.archanaskitchen.com/watermelon-chena-cucumber-with-soy-dressing-recipe" TargetMode="External"/><Relationship Id="rId338" Type="http://schemas.openxmlformats.org/officeDocument/2006/relationships/hyperlink" Target="http://www.archanaskitchen.com/linzer-cookies-recipe" TargetMode="External"/><Relationship Id="rId545" Type="http://schemas.openxmlformats.org/officeDocument/2006/relationships/hyperlink" Target="https://www.archanaskitchen.com/eggless-marble-cake-recipe" TargetMode="External"/><Relationship Id="rId752" Type="http://schemas.openxmlformats.org/officeDocument/2006/relationships/hyperlink" Target="http://www.archanaskitchen.com/chocolate-buckwheat-pancake-skewers-recipe" TargetMode="External"/><Relationship Id="rId184" Type="http://schemas.openxmlformats.org/officeDocument/2006/relationships/hyperlink" Target="http://www.archanaskitchen.com/rose-buns-with-stuffed-mushroom-recipe" TargetMode="External"/><Relationship Id="rId391" Type="http://schemas.openxmlformats.org/officeDocument/2006/relationships/hyperlink" Target="https://www.archanaskitchen.com/strawberry-mojito-recipe" TargetMode="External"/><Relationship Id="rId405" Type="http://schemas.openxmlformats.org/officeDocument/2006/relationships/hyperlink" Target="https://www.archanaskitchen.com/smoky-eggplant-soup-recipe" TargetMode="External"/><Relationship Id="rId612" Type="http://schemas.openxmlformats.org/officeDocument/2006/relationships/hyperlink" Target="https://www.archanaskitchen.com/thumbprint-salted-caramel-chocolate-cookies-recipe" TargetMode="External"/><Relationship Id="rId251" Type="http://schemas.openxmlformats.org/officeDocument/2006/relationships/hyperlink" Target="http://www.archanaskitchen.com/vegetable-clear-soup-recipe-in-hindi" TargetMode="External"/><Relationship Id="rId489" Type="http://schemas.openxmlformats.org/officeDocument/2006/relationships/hyperlink" Target="http://www.archanaskitchen.com/lemon-parsley-quinoa-recipe" TargetMode="External"/><Relationship Id="rId696" Type="http://schemas.openxmlformats.org/officeDocument/2006/relationships/hyperlink" Target="http://www.archanaskitchen.com/vegetable-quinoa-patty-recipe" TargetMode="External"/><Relationship Id="rId917" Type="http://schemas.openxmlformats.org/officeDocument/2006/relationships/hyperlink" Target="http://www.archanaskitchen.com/vanilla-choco-mousse-recipe-with-chocolate-chips" TargetMode="External"/><Relationship Id="rId46" Type="http://schemas.openxmlformats.org/officeDocument/2006/relationships/hyperlink" Target="https://www.archanaskitchen.com/nutty-oats-almond-truffle-recipe-healthy-snack" TargetMode="External"/><Relationship Id="rId349" Type="http://schemas.openxmlformats.org/officeDocument/2006/relationships/hyperlink" Target="http://www.archanaskitchen.com/strawberry-cheesecake-bars-recipe" TargetMode="External"/><Relationship Id="rId556" Type="http://schemas.openxmlformats.org/officeDocument/2006/relationships/hyperlink" Target="http://www.archanaskitchen.com/no-bake-lemon-bars-recipe" TargetMode="External"/><Relationship Id="rId763" Type="http://schemas.openxmlformats.org/officeDocument/2006/relationships/hyperlink" Target="https://www.archanaskitchen.com/how-to-make-homemade-herb-butter-recipe" TargetMode="External"/><Relationship Id="rId111" Type="http://schemas.openxmlformats.org/officeDocument/2006/relationships/hyperlink" Target="http://www.archanaskitchen.com/eggless-tutti-frutti-cake-recipe" TargetMode="External"/><Relationship Id="rId195" Type="http://schemas.openxmlformats.org/officeDocument/2006/relationships/hyperlink" Target="https://www.archanaskitchen.com/eggless-baked-chocolate-chip-coins-recipe" TargetMode="External"/><Relationship Id="rId209" Type="http://schemas.openxmlformats.org/officeDocument/2006/relationships/hyperlink" Target="http://www.archanaskitchen.com/eggless-chocolate-chip-and-honey-cookies-recipe" TargetMode="External"/><Relationship Id="rId416" Type="http://schemas.openxmlformats.org/officeDocument/2006/relationships/hyperlink" Target="http://www.archanaskitchen.com/dill-leaves-parmesan-dip-recipe" TargetMode="External"/><Relationship Id="rId970" Type="http://schemas.openxmlformats.org/officeDocument/2006/relationships/hyperlink" Target="https://www.archanaskitchen.com/radish-sandwich-recipe" TargetMode="External"/><Relationship Id="rId623" Type="http://schemas.openxmlformats.org/officeDocument/2006/relationships/hyperlink" Target="https://www.archanaskitchen.com/flourless-mud-pie-recipe" TargetMode="External"/><Relationship Id="rId830" Type="http://schemas.openxmlformats.org/officeDocument/2006/relationships/hyperlink" Target="https://www.archanaskitchen.com/apple-cucumber-salad-recipe-in-hindi" TargetMode="External"/><Relationship Id="rId928" Type="http://schemas.openxmlformats.org/officeDocument/2006/relationships/hyperlink" Target="http://www.archanaskitchen.com/spiced-whole-wheat-cookie-recipe-atta-biscuit" TargetMode="External"/><Relationship Id="rId57" Type="http://schemas.openxmlformats.org/officeDocument/2006/relationships/hyperlink" Target="http://www.archanaskitchen.com/boiled-eggs-recipe" TargetMode="External"/><Relationship Id="rId262" Type="http://schemas.openxmlformats.org/officeDocument/2006/relationships/hyperlink" Target="http://www.archanaskitchen.com/mushrooms-zucchini-puffs-recipe" TargetMode="External"/><Relationship Id="rId567" Type="http://schemas.openxmlformats.org/officeDocument/2006/relationships/hyperlink" Target="http://www.archanaskitchen.com/no-bake-nutella-cheesecake-recipe" TargetMode="External"/><Relationship Id="rId122" Type="http://schemas.openxmlformats.org/officeDocument/2006/relationships/hyperlink" Target="http://www.archanaskitchen.com/egg-muffin-with-vegetables-recipe" TargetMode="External"/><Relationship Id="rId774" Type="http://schemas.openxmlformats.org/officeDocument/2006/relationships/hyperlink" Target="https://www.archanaskitchen.com/apple-vanilla-whole-wheat-pancakes-recipe" TargetMode="External"/><Relationship Id="rId981" Type="http://schemas.openxmlformats.org/officeDocument/2006/relationships/hyperlink" Target="http://www.archanaskitchen.com/frozen-mango-yogurt-recipe-mango-froyo" TargetMode="External"/><Relationship Id="rId427" Type="http://schemas.openxmlformats.org/officeDocument/2006/relationships/hyperlink" Target="http://www.archanaskitchen.com/zucchini-pancake-recipe-with-tomato-salsa" TargetMode="External"/><Relationship Id="rId634" Type="http://schemas.openxmlformats.org/officeDocument/2006/relationships/hyperlink" Target="https://www.archanaskitchen.com/whole-wheat-orange-honey-cake-recipe" TargetMode="External"/><Relationship Id="rId841" Type="http://schemas.openxmlformats.org/officeDocument/2006/relationships/hyperlink" Target="https://www.archanaskitchen.com/grilled-chicken-salad-recipe" TargetMode="External"/><Relationship Id="rId273" Type="http://schemas.openxmlformats.org/officeDocument/2006/relationships/hyperlink" Target="http://www.archanaskitchen.com/eggless-mango-cupcakes-recipe" TargetMode="External"/><Relationship Id="rId480" Type="http://schemas.openxmlformats.org/officeDocument/2006/relationships/hyperlink" Target="https://www.archanaskitchen.com/green-leaf-salad-with-cucumber-tomato-feta-recipe" TargetMode="External"/><Relationship Id="rId701" Type="http://schemas.openxmlformats.org/officeDocument/2006/relationships/hyperlink" Target="http://www.archanaskitchen.com/plum-panna-shots-recipe" TargetMode="External"/><Relationship Id="rId939" Type="http://schemas.openxmlformats.org/officeDocument/2006/relationships/hyperlink" Target="http://www.archanaskitchen.com/roasted-bell-pepper-quinoa-recipe" TargetMode="External"/><Relationship Id="rId68" Type="http://schemas.openxmlformats.org/officeDocument/2006/relationships/hyperlink" Target="https://www.archanaskitchen.com/healthy-fruit-nut-watermelon-dessert-recipe-with-greek-yogurt" TargetMode="External"/><Relationship Id="rId133" Type="http://schemas.openxmlformats.org/officeDocument/2006/relationships/hyperlink" Target="https://www.archanaskitchen.com/mung-bean-sprouts-tofu-salad-recipe-with-sweet-potatoes-cucumbers-tomatoes" TargetMode="External"/><Relationship Id="rId340" Type="http://schemas.openxmlformats.org/officeDocument/2006/relationships/hyperlink" Target="https://www.archanaskitchen.com/soulful-chicken-soup-recipe" TargetMode="External"/><Relationship Id="rId578" Type="http://schemas.openxmlformats.org/officeDocument/2006/relationships/hyperlink" Target="http://www.archanaskitchen.com/creamy-cinnamon-peach-milkshake-recipe-with-chia-seeds" TargetMode="External"/><Relationship Id="rId785" Type="http://schemas.openxmlformats.org/officeDocument/2006/relationships/hyperlink" Target="https://www.archanaskitchen.com/oatmeal-pancake-recipe-with-orange" TargetMode="External"/><Relationship Id="rId992" Type="http://schemas.openxmlformats.org/officeDocument/2006/relationships/hyperlink" Target="https://www.archanaskitchen.com/whole-wheat-butter-cookies-recipe" TargetMode="External"/><Relationship Id="rId200" Type="http://schemas.openxmlformats.org/officeDocument/2006/relationships/hyperlink" Target="https://www.archanaskitchen.com/chocolate-nutella-lava-cookies-recipe" TargetMode="External"/><Relationship Id="rId438" Type="http://schemas.openxmlformats.org/officeDocument/2006/relationships/hyperlink" Target="http://www.archanaskitchen.com/tempura-chicken-wings-with-barbecue-sauce-recipe" TargetMode="External"/><Relationship Id="rId645" Type="http://schemas.openxmlformats.org/officeDocument/2006/relationships/hyperlink" Target="https://www.archanaskitchen.com/oats-carrot-bell-peppers-mayo-sandwich-recipe" TargetMode="External"/><Relationship Id="rId852" Type="http://schemas.openxmlformats.org/officeDocument/2006/relationships/hyperlink" Target="https://www.archanaskitchen.com/roasted-vegetable-panini-sandwich-with-feta-cheese-recipe" TargetMode="External"/><Relationship Id="rId284" Type="http://schemas.openxmlformats.org/officeDocument/2006/relationships/hyperlink" Target="https://www.archanaskitchen.com/quinoa-chocolate-carrot-cake-recipe" TargetMode="External"/><Relationship Id="rId491" Type="http://schemas.openxmlformats.org/officeDocument/2006/relationships/hyperlink" Target="http://www.archanaskitchen.com/german-pancakes-with-caramelised-apples-recipe" TargetMode="External"/><Relationship Id="rId505" Type="http://schemas.openxmlformats.org/officeDocument/2006/relationships/hyperlink" Target="http://www.archanaskitchen.com/eggless-date-and-cashew-cake-recipe" TargetMode="External"/><Relationship Id="rId712" Type="http://schemas.openxmlformats.org/officeDocument/2006/relationships/hyperlink" Target="http://www.archanaskitchen.com/blueberry-and-lemon-iced-tea-recipe" TargetMode="External"/><Relationship Id="rId79" Type="http://schemas.openxmlformats.org/officeDocument/2006/relationships/hyperlink" Target="http://www.archanaskitchen.com/fruit-and-nut-lauki-brownies-recipe" TargetMode="External"/><Relationship Id="rId144" Type="http://schemas.openxmlformats.org/officeDocument/2006/relationships/hyperlink" Target="https://www.archanaskitchen.com/arugula-watermelon-and-feta-salad-recipe" TargetMode="External"/><Relationship Id="rId589" Type="http://schemas.openxmlformats.org/officeDocument/2006/relationships/hyperlink" Target="http://www.archanaskitchen.com/orange-and-poppy-seeds-muffins-recipe" TargetMode="External"/><Relationship Id="rId796" Type="http://schemas.openxmlformats.org/officeDocument/2006/relationships/hyperlink" Target="https://www.archanaskitchen.com/herbed-butter-rice-recipe-with-rosemary-thyme" TargetMode="External"/><Relationship Id="rId351" Type="http://schemas.openxmlformats.org/officeDocument/2006/relationships/hyperlink" Target="https://www.archanaskitchen.com/chocolate-almond-raisin-cookie-recipe" TargetMode="External"/><Relationship Id="rId449" Type="http://schemas.openxmlformats.org/officeDocument/2006/relationships/hyperlink" Target="http://www.archanaskitchen.com/eggless-checker-board-cookies-recipe" TargetMode="External"/><Relationship Id="rId656" Type="http://schemas.openxmlformats.org/officeDocument/2006/relationships/hyperlink" Target="http://www.archanaskitchen.com/beetroot-salad-recipe-with-mixed-greens-feta-cheese" TargetMode="External"/><Relationship Id="rId863" Type="http://schemas.openxmlformats.org/officeDocument/2006/relationships/hyperlink" Target="https://www.archanaskitchen.com/rice-sizzler-with-tomato-coulis-recipe" TargetMode="External"/><Relationship Id="rId211" Type="http://schemas.openxmlformats.org/officeDocument/2006/relationships/hyperlink" Target="https://www.archanaskitchen.com/pomegranate-sauce-recipe" TargetMode="External"/><Relationship Id="rId295" Type="http://schemas.openxmlformats.org/officeDocument/2006/relationships/hyperlink" Target="http://www.archanaskitchen.com/crunchy-ragi-and-oats-breakfast-bowl-recipe-in-hindi" TargetMode="External"/><Relationship Id="rId309" Type="http://schemas.openxmlformats.org/officeDocument/2006/relationships/hyperlink" Target="https://www.archanaskitchen.com/crunchy-creamy-coleslaw-recipe" TargetMode="External"/><Relationship Id="rId516" Type="http://schemas.openxmlformats.org/officeDocument/2006/relationships/hyperlink" Target="https://www.archanaskitchen.com/sticky-cranberry-gingerbread-recipe" TargetMode="External"/><Relationship Id="rId723" Type="http://schemas.openxmlformats.org/officeDocument/2006/relationships/hyperlink" Target="https://www.archanaskitchen.com/banana-date-chocolate-chip-cake-recipe" TargetMode="External"/><Relationship Id="rId930" Type="http://schemas.openxmlformats.org/officeDocument/2006/relationships/hyperlink" Target="https://www.archanaskitchen.com/blueberry-fool-recipe-quick-dessert-with-whipped-cream-fresh-berries" TargetMode="External"/><Relationship Id="rId1006" Type="http://schemas.openxmlformats.org/officeDocument/2006/relationships/hyperlink" Target="https://www.archanaskitchen.com/twice-baked-potatoes-recipe" TargetMode="External"/><Relationship Id="rId155" Type="http://schemas.openxmlformats.org/officeDocument/2006/relationships/hyperlink" Target="https://www.archanaskitchen.com/garlic-and-mushroom-soup-recipe" TargetMode="External"/><Relationship Id="rId362" Type="http://schemas.openxmlformats.org/officeDocument/2006/relationships/hyperlink" Target="http://www.archanaskitchen.com/orange-peppermint-green-tea-punch-recipe-in-hindi" TargetMode="External"/><Relationship Id="rId222" Type="http://schemas.openxmlformats.org/officeDocument/2006/relationships/hyperlink" Target="https://www.archanaskitchen.com/oat-banana-pancakes-recipe" TargetMode="External"/><Relationship Id="rId667" Type="http://schemas.openxmlformats.org/officeDocument/2006/relationships/hyperlink" Target="http://www.archanaskitchen.com/creamy-stuffed-chicken-with-pepper-cilantro-sauce-recipe" TargetMode="External"/><Relationship Id="rId874" Type="http://schemas.openxmlformats.org/officeDocument/2006/relationships/hyperlink" Target="https://www.archanaskitchen.com/orange-flavored-barbecue-chicken-with-fresh-salad-recipe" TargetMode="External"/><Relationship Id="rId17" Type="http://schemas.openxmlformats.org/officeDocument/2006/relationships/hyperlink" Target="https://www.archanaskitchen.com/homemade-granola-mix-recipe-with-oats-wheat-flakes" TargetMode="External"/><Relationship Id="rId527" Type="http://schemas.openxmlformats.org/officeDocument/2006/relationships/hyperlink" Target="https://www.archanaskitchen.com/bread-toast-recipe" TargetMode="External"/><Relationship Id="rId734" Type="http://schemas.openxmlformats.org/officeDocument/2006/relationships/hyperlink" Target="http://www.archanaskitchen.com/one-pot-creamy-spinach-lentils-recipe" TargetMode="External"/><Relationship Id="rId941" Type="http://schemas.openxmlformats.org/officeDocument/2006/relationships/hyperlink" Target="https://www.archanaskitchen.com/sweet-chili-lime-grilled-chicken-roasted-corn-and-sweet-potato-mash-recipe" TargetMode="External"/><Relationship Id="rId70" Type="http://schemas.openxmlformats.org/officeDocument/2006/relationships/hyperlink" Target="https://www.archanaskitchen.com/date-nuts-and-quinoa-energy-bite-recipe" TargetMode="External"/><Relationship Id="rId166" Type="http://schemas.openxmlformats.org/officeDocument/2006/relationships/hyperlink" Target="https://www.archanaskitchen.com/garlic-spinach-balls-recipe" TargetMode="External"/><Relationship Id="rId373" Type="http://schemas.openxmlformats.org/officeDocument/2006/relationships/hyperlink" Target="https://www.archanaskitchen.com/buckwheat-crepes-stuffed-with-spinach-and-eggs-recipe" TargetMode="External"/><Relationship Id="rId580" Type="http://schemas.openxmlformats.org/officeDocument/2006/relationships/hyperlink" Target="https://www.archanaskitchen.com/fruit-kebabs-recipe" TargetMode="External"/><Relationship Id="rId801" Type="http://schemas.openxmlformats.org/officeDocument/2006/relationships/hyperlink" Target="http://www.archanaskitchen.com/spinach-corn-sandwich-recipe" TargetMode="External"/><Relationship Id="rId1017" Type="http://schemas.openxmlformats.org/officeDocument/2006/relationships/hyperlink" Target="https://www.archanaskitchen.com/creamy-potato-and-vegetable-salad-recipe" TargetMode="External"/><Relationship Id="rId1" Type="http://schemas.openxmlformats.org/officeDocument/2006/relationships/hyperlink" Target="http://www.archanaskitchen.com/homemade-tater-tots-recipe" TargetMode="External"/><Relationship Id="rId233" Type="http://schemas.openxmlformats.org/officeDocument/2006/relationships/hyperlink" Target="https://www.archanaskitchen.com/paneer-and-grapes-platter-recipe" TargetMode="External"/><Relationship Id="rId440" Type="http://schemas.openxmlformats.org/officeDocument/2006/relationships/hyperlink" Target="https://www.archanaskitchen.com/fresh-strawberry-jam-recipe" TargetMode="External"/><Relationship Id="rId678" Type="http://schemas.openxmlformats.org/officeDocument/2006/relationships/hyperlink" Target="https://www.archanaskitchen.com/carrot-sweet-potato-mushrooms-fritters-recipe" TargetMode="External"/><Relationship Id="rId885" Type="http://schemas.openxmlformats.org/officeDocument/2006/relationships/hyperlink" Target="http://www.archanaskitchen.com/spinach-and-sweet-potato-bombs-recipe" TargetMode="External"/><Relationship Id="rId28" Type="http://schemas.openxmlformats.org/officeDocument/2006/relationships/hyperlink" Target="http://www.archanaskitchen.com/flourless-orange-cake-with-cream-cheese-frosting-recipe" TargetMode="External"/><Relationship Id="rId300" Type="http://schemas.openxmlformats.org/officeDocument/2006/relationships/hyperlink" Target="https://www.archanaskitchen.com/pull-apart-bread-with-basil-pesto-recipe" TargetMode="External"/><Relationship Id="rId538" Type="http://schemas.openxmlformats.org/officeDocument/2006/relationships/hyperlink" Target="http://www.archanaskitchen.com/chicken-ranch-wraps-recipe" TargetMode="External"/><Relationship Id="rId745" Type="http://schemas.openxmlformats.org/officeDocument/2006/relationships/hyperlink" Target="http://www.archanaskitchen.com/mango-ginger-virgin-mojito-recipe" TargetMode="External"/><Relationship Id="rId952" Type="http://schemas.openxmlformats.org/officeDocument/2006/relationships/hyperlink" Target="http://www.archanaskitchen.com/lentil-and-coconut-milk-soup-recipe" TargetMode="External"/><Relationship Id="rId81" Type="http://schemas.openxmlformats.org/officeDocument/2006/relationships/hyperlink" Target="http://www.archanaskitchen.com/baked-tomato-basil-chicken-recipe" TargetMode="External"/><Relationship Id="rId177" Type="http://schemas.openxmlformats.org/officeDocument/2006/relationships/hyperlink" Target="http://www.archanaskitchen.com/creamy-potato-egg-salad-recipe-with-herbs" TargetMode="External"/><Relationship Id="rId384" Type="http://schemas.openxmlformats.org/officeDocument/2006/relationships/hyperlink" Target="http://www.archanaskitchen.com/five-spice-bean-burger-recipe" TargetMode="External"/><Relationship Id="rId591" Type="http://schemas.openxmlformats.org/officeDocument/2006/relationships/hyperlink" Target="http://www.archanaskitchen.com/honey-glazed-roasted-carrots-recipe-with-herbs" TargetMode="External"/><Relationship Id="rId605" Type="http://schemas.openxmlformats.org/officeDocument/2006/relationships/hyperlink" Target="https://www.archanaskitchen.com/spinach-and-sweet-potato-kofta-in-green-curry-recipe" TargetMode="External"/><Relationship Id="rId812" Type="http://schemas.openxmlformats.org/officeDocument/2006/relationships/hyperlink" Target="http://www.archanaskitchen.com/cheesy-corn-on-the-cob-recipe" TargetMode="External"/><Relationship Id="rId244" Type="http://schemas.openxmlformats.org/officeDocument/2006/relationships/hyperlink" Target="https://www.archanaskitchen.com/masala-oats-aloo-potato-sandwich-recipe" TargetMode="External"/><Relationship Id="rId689" Type="http://schemas.openxmlformats.org/officeDocument/2006/relationships/hyperlink" Target="http://www.archanaskitchen.com/healthy-vanilla-chocolate-chip-breakfast-muffins-recipe" TargetMode="External"/><Relationship Id="rId896" Type="http://schemas.openxmlformats.org/officeDocument/2006/relationships/hyperlink" Target="https://www.archanaskitchen.com/stuffed-mushroom-recipe" TargetMode="External"/><Relationship Id="rId39" Type="http://schemas.openxmlformats.org/officeDocument/2006/relationships/hyperlink" Target="https://www.archanaskitchen.com/chocolate-glazed-coconut-macaroons-recipe" TargetMode="External"/><Relationship Id="rId451" Type="http://schemas.openxmlformats.org/officeDocument/2006/relationships/hyperlink" Target="https://www.archanaskitchen.com/roasted-garlic-no-knead-skillet-bread-recipe-with-olives" TargetMode="External"/><Relationship Id="rId549" Type="http://schemas.openxmlformats.org/officeDocument/2006/relationships/hyperlink" Target="http://www.archanaskitchen.com/carrot-soup-recipe-in-hindi" TargetMode="External"/><Relationship Id="rId756" Type="http://schemas.openxmlformats.org/officeDocument/2006/relationships/hyperlink" Target="http://www.archanaskitchen.com/vegetable-clear-soup-recipe" TargetMode="External"/><Relationship Id="rId104" Type="http://schemas.openxmlformats.org/officeDocument/2006/relationships/hyperlink" Target="https://www.archanaskitchen.com/whole-wheat-zucchini-cake-recipe" TargetMode="External"/><Relationship Id="rId188" Type="http://schemas.openxmlformats.org/officeDocument/2006/relationships/hyperlink" Target="https://www.archanaskitchen.com/delicious-spicy-chyawanprash-cookies-recipe" TargetMode="External"/><Relationship Id="rId311" Type="http://schemas.openxmlformats.org/officeDocument/2006/relationships/hyperlink" Target="http://www.archanaskitchen.com/chicken-bell-pepper-skewers-recipe" TargetMode="External"/><Relationship Id="rId395" Type="http://schemas.openxmlformats.org/officeDocument/2006/relationships/hyperlink" Target="http://www.archanaskitchen.com/spinach-watermelon-salad-recipe-with-walnuts-in-hindi" TargetMode="External"/><Relationship Id="rId409" Type="http://schemas.openxmlformats.org/officeDocument/2006/relationships/hyperlink" Target="http://www.archanaskitchen.com/eggless-double-chocolate-sugar-bite-cookies-recipe" TargetMode="External"/><Relationship Id="rId963" Type="http://schemas.openxmlformats.org/officeDocument/2006/relationships/hyperlink" Target="http://www.archanaskitchen.com/eggless-jam-filled-thumbprint-cookies-recipe" TargetMode="External"/><Relationship Id="rId92" Type="http://schemas.openxmlformats.org/officeDocument/2006/relationships/hyperlink" Target="http://www.archanaskitchen.com/broccoli-water-chestnut-soup-recipe" TargetMode="External"/><Relationship Id="rId616" Type="http://schemas.openxmlformats.org/officeDocument/2006/relationships/hyperlink" Target="https://www.archanaskitchen.com/chilli-roasted-black-eyed-peas-recipe-in-hindi" TargetMode="External"/><Relationship Id="rId823" Type="http://schemas.openxmlformats.org/officeDocument/2006/relationships/hyperlink" Target="http://www.archanaskitchen.com/walnut-cranberry-no-bake-cheesecake-recipe-with-strawberries" TargetMode="External"/><Relationship Id="rId255" Type="http://schemas.openxmlformats.org/officeDocument/2006/relationships/hyperlink" Target="http://www.archanaskitchen.com/strawberry-coconut-trifle-pudding-recipe" TargetMode="External"/><Relationship Id="rId462" Type="http://schemas.openxmlformats.org/officeDocument/2006/relationships/hyperlink" Target="https://www.archanaskitchen.com/cabbage-bell-pepper-and-apples-with-sriracha-slaw-recipe" TargetMode="External"/><Relationship Id="rId115" Type="http://schemas.openxmlformats.org/officeDocument/2006/relationships/hyperlink" Target="https://www.archanaskitchen.com/broccoli-almond-soup-recipe-healthy-soup-weight-loss-in-hindi" TargetMode="External"/><Relationship Id="rId322" Type="http://schemas.openxmlformats.org/officeDocument/2006/relationships/hyperlink" Target="https://www.archanaskitchen.com/super-food-green-smoothie-recipe-with-greek-yogurt-papaya-spirulina-wheat-grass" TargetMode="External"/><Relationship Id="rId767" Type="http://schemas.openxmlformats.org/officeDocument/2006/relationships/hyperlink" Target="http://www.archanaskitchen.com/vegetarian-potato-hash-recipe" TargetMode="External"/><Relationship Id="rId974" Type="http://schemas.openxmlformats.org/officeDocument/2006/relationships/hyperlink" Target="http://www.archanaskitchen.com/paneer-sizzler-recipe-in-chilli-garlic-sauce-with-rice" TargetMode="External"/><Relationship Id="rId199" Type="http://schemas.openxmlformats.org/officeDocument/2006/relationships/hyperlink" Target="http://www.archanaskitchen.com/evergreen-smoothie-recipe" TargetMode="External"/><Relationship Id="rId627" Type="http://schemas.openxmlformats.org/officeDocument/2006/relationships/hyperlink" Target="http://www.archanaskitchen.com/fennel-infused-mango-sorbet-recipe" TargetMode="External"/><Relationship Id="rId834" Type="http://schemas.openxmlformats.org/officeDocument/2006/relationships/hyperlink" Target="https://www.archanaskitchen.com/muesli-chia-seed-and-dry-fruit-jar-recipe" TargetMode="External"/><Relationship Id="rId266" Type="http://schemas.openxmlformats.org/officeDocument/2006/relationships/hyperlink" Target="http://www.archanaskitchen.com/mushroom-spinach-herbs-frittata-with-egg-white-recipe" TargetMode="External"/><Relationship Id="rId473" Type="http://schemas.openxmlformats.org/officeDocument/2006/relationships/hyperlink" Target="https://www.archanaskitchen.com/crepes-stuffed-with-caramelized-banana-recipe" TargetMode="External"/><Relationship Id="rId680" Type="http://schemas.openxmlformats.org/officeDocument/2006/relationships/hyperlink" Target="http://www.archanaskitchen.com/carrot-bran-breakfast-muffin-recipes" TargetMode="External"/><Relationship Id="rId901" Type="http://schemas.openxmlformats.org/officeDocument/2006/relationships/hyperlink" Target="https://www.archanaskitchen.com/spicy-sweet-potato-hash-brown-waffles-recipe" TargetMode="External"/><Relationship Id="rId30" Type="http://schemas.openxmlformats.org/officeDocument/2006/relationships/hyperlink" Target="http://www.archanaskitchen.com/orange-peppermint-green-tea-punch-recipe" TargetMode="External"/><Relationship Id="rId126" Type="http://schemas.openxmlformats.org/officeDocument/2006/relationships/hyperlink" Target="https://www.archanaskitchen.com/whole-wheat-buttermilk-vanilla-waffles-recipe" TargetMode="External"/><Relationship Id="rId333" Type="http://schemas.openxmlformats.org/officeDocument/2006/relationships/hyperlink" Target="http://www.archanaskitchen.com/frozen-strawberry-yogurt-with-honey-recipe" TargetMode="External"/><Relationship Id="rId540" Type="http://schemas.openxmlformats.org/officeDocument/2006/relationships/hyperlink" Target="http://www.archanaskitchen.com/dried-cranberry-white-chocolate-chip-biscotti-recipe" TargetMode="External"/><Relationship Id="rId778" Type="http://schemas.openxmlformats.org/officeDocument/2006/relationships/hyperlink" Target="https://www.archanaskitchen.com/basil-pesto-bombs-recipe" TargetMode="External"/><Relationship Id="rId985" Type="http://schemas.openxmlformats.org/officeDocument/2006/relationships/hyperlink" Target="http://www.archanaskitchen.com/cream-cheese-carrot-raisin-sandwich-recipe" TargetMode="External"/><Relationship Id="rId638" Type="http://schemas.openxmlformats.org/officeDocument/2006/relationships/hyperlink" Target="https://www.archanaskitchen.com/rich-decadent-chocolate-souffle-recipe" TargetMode="External"/><Relationship Id="rId845" Type="http://schemas.openxmlformats.org/officeDocument/2006/relationships/hyperlink" Target="http://www.archanaskitchen.com/the-green-flush-healthy-fresh-juice-recipe" TargetMode="External"/><Relationship Id="rId277" Type="http://schemas.openxmlformats.org/officeDocument/2006/relationships/hyperlink" Target="https://www.archanaskitchen.com/cheese-and-bacon-pinwheels-recipe" TargetMode="External"/><Relationship Id="rId400" Type="http://schemas.openxmlformats.org/officeDocument/2006/relationships/hyperlink" Target="http://www.archanaskitchen.com/stuffed-portobello-mushrooms-with-7-grain-rice-pinenuts-and-sprouts-recipe" TargetMode="External"/><Relationship Id="rId484" Type="http://schemas.openxmlformats.org/officeDocument/2006/relationships/hyperlink" Target="http://www.archanaskitchen.com/nutty-pineapple-tutti-frutti-cake-recipe-white-fruitcake" TargetMode="External"/><Relationship Id="rId705" Type="http://schemas.openxmlformats.org/officeDocument/2006/relationships/hyperlink" Target="https://www.archanaskitchen.com/broccoli-egg-scramble-recipe" TargetMode="External"/><Relationship Id="rId137" Type="http://schemas.openxmlformats.org/officeDocument/2006/relationships/hyperlink" Target="https://www.archanaskitchen.com/creamy-coconut-poached-pears-recipe" TargetMode="External"/><Relationship Id="rId344" Type="http://schemas.openxmlformats.org/officeDocument/2006/relationships/hyperlink" Target="https://www.archanaskitchen.com/cauliflower-soup-recipe-in-hindi" TargetMode="External"/><Relationship Id="rId691" Type="http://schemas.openxmlformats.org/officeDocument/2006/relationships/hyperlink" Target="https://www.archanaskitchen.com/ginger-brandy-cookie-recipe" TargetMode="External"/><Relationship Id="rId789" Type="http://schemas.openxmlformats.org/officeDocument/2006/relationships/hyperlink" Target="https://www.archanaskitchen.com/creamy-veg-spring-roll-recipe-kids-recipes-made-with-del-monte" TargetMode="External"/><Relationship Id="rId912" Type="http://schemas.openxmlformats.org/officeDocument/2006/relationships/hyperlink" Target="http://www.archanaskitchen.com/stuffed-cabbage-rolls-recipe" TargetMode="External"/><Relationship Id="rId996" Type="http://schemas.openxmlformats.org/officeDocument/2006/relationships/hyperlink" Target="https://www.archanaskitchen.com/filter-coffee-fudge-brownies-recipe" TargetMode="External"/><Relationship Id="rId41" Type="http://schemas.openxmlformats.org/officeDocument/2006/relationships/hyperlink" Target="http://www.archanaskitchen.com/quick-masala-french-toast-recipe" TargetMode="External"/><Relationship Id="rId551" Type="http://schemas.openxmlformats.org/officeDocument/2006/relationships/hyperlink" Target="https://www.archanaskitchen.com/high-protein-grilled-rajma-corn-sandwich-recipe" TargetMode="External"/><Relationship Id="rId649" Type="http://schemas.openxmlformats.org/officeDocument/2006/relationships/hyperlink" Target="https://www.archanaskitchen.com/savory-carrot-olive-spinach-sandwich-spread-recipe" TargetMode="External"/><Relationship Id="rId856" Type="http://schemas.openxmlformats.org/officeDocument/2006/relationships/hyperlink" Target="http://www.archanaskitchen.com/eggless-peanut-butter-cookies-recipe" TargetMode="External"/><Relationship Id="rId190" Type="http://schemas.openxmlformats.org/officeDocument/2006/relationships/hyperlink" Target="https://www.archanaskitchen.com/cucumber-sandwich-with-yogurt-and-dill-spread-recipe" TargetMode="External"/><Relationship Id="rId204" Type="http://schemas.openxmlformats.org/officeDocument/2006/relationships/hyperlink" Target="http://www.archanaskitchen.com/creamy-radish-soup-recipe-with-sweet-potato" TargetMode="External"/><Relationship Id="rId288" Type="http://schemas.openxmlformats.org/officeDocument/2006/relationships/hyperlink" Target="http://www.archanaskitchen.com/roasted-beet-salad-recipe-with-pearl-barley-spinach" TargetMode="External"/><Relationship Id="rId411" Type="http://schemas.openxmlformats.org/officeDocument/2006/relationships/hyperlink" Target="https://www.archanaskitchen.com/cucumber-ginger-limeade-recipe" TargetMode="External"/><Relationship Id="rId509" Type="http://schemas.openxmlformats.org/officeDocument/2006/relationships/hyperlink" Target="http://www.archanaskitchen.com/strawberry-bundt-cake-with-muesli-and-oats-recipe" TargetMode="External"/><Relationship Id="rId495" Type="http://schemas.openxmlformats.org/officeDocument/2006/relationships/hyperlink" Target="http://www.archanaskitchen.com/garlic-chicken-cheese-balls-recipe" TargetMode="External"/><Relationship Id="rId716" Type="http://schemas.openxmlformats.org/officeDocument/2006/relationships/hyperlink" Target="http://www.archanaskitchen.com/pan-roasted-zucchini-mushroom-recipe" TargetMode="External"/><Relationship Id="rId923" Type="http://schemas.openxmlformats.org/officeDocument/2006/relationships/hyperlink" Target="https://www.archanaskitchen.com/maltesers-butter-cookie-recipe" TargetMode="External"/><Relationship Id="rId52" Type="http://schemas.openxmlformats.org/officeDocument/2006/relationships/hyperlink" Target="https://www.archanaskitchen.com/cauliflower-croquettes-recipe" TargetMode="External"/><Relationship Id="rId148" Type="http://schemas.openxmlformats.org/officeDocument/2006/relationships/hyperlink" Target="https://www.archanaskitchen.com/basil-pesto-grilled-chicken-recipe" TargetMode="External"/><Relationship Id="rId355" Type="http://schemas.openxmlformats.org/officeDocument/2006/relationships/hyperlink" Target="http://www.archanaskitchen.com/orange-yogurt-cake-recipe" TargetMode="External"/><Relationship Id="rId562" Type="http://schemas.openxmlformats.org/officeDocument/2006/relationships/hyperlink" Target="https://www.archanaskitchen.com/fresh-cherry-cake-recipe-with-eggless-option" TargetMode="External"/><Relationship Id="rId215" Type="http://schemas.openxmlformats.org/officeDocument/2006/relationships/hyperlink" Target="http://www.archanaskitchen.com/avocado-mint-soup-recipe-in-hindi" TargetMode="External"/><Relationship Id="rId257" Type="http://schemas.openxmlformats.org/officeDocument/2006/relationships/hyperlink" Target="http://www.archanaskitchen.com/healthy-ragi-energy-balls-with-strawberry-recipe" TargetMode="External"/><Relationship Id="rId422" Type="http://schemas.openxmlformats.org/officeDocument/2006/relationships/hyperlink" Target="https://www.archanaskitchen.com/chocolate-coconut-pistachio-bites-recipe-paleo-vegan" TargetMode="External"/><Relationship Id="rId464" Type="http://schemas.openxmlformats.org/officeDocument/2006/relationships/hyperlink" Target="https://www.archanaskitchen.com/orange-zested-shortbread-cookies-recipe-egg-free-egglesss" TargetMode="External"/><Relationship Id="rId867" Type="http://schemas.openxmlformats.org/officeDocument/2006/relationships/hyperlink" Target="http://www.archanaskitchen.com/eggless-apple-strudel-recipe-with-homemade-pastry-sheet" TargetMode="External"/><Relationship Id="rId1010" Type="http://schemas.openxmlformats.org/officeDocument/2006/relationships/hyperlink" Target="http://www.archanaskitchen.com/spring-onion-roasted-garlic-brown-rice-recipe" TargetMode="External"/><Relationship Id="rId299" Type="http://schemas.openxmlformats.org/officeDocument/2006/relationships/hyperlink" Target="http://www.archanaskitchen.com/whole-wheat-stuffed-bread-sticks-recipe" TargetMode="External"/><Relationship Id="rId727" Type="http://schemas.openxmlformats.org/officeDocument/2006/relationships/hyperlink" Target="https://www.archanaskitchen.com/avocado-grapefruit-and-walnut-salad-recipe" TargetMode="External"/><Relationship Id="rId934" Type="http://schemas.openxmlformats.org/officeDocument/2006/relationships/hyperlink" Target="https://www.archanaskitchen.com/whole-wheat-chocolate-cinnamon-cupcakes-recipe" TargetMode="External"/><Relationship Id="rId63" Type="http://schemas.openxmlformats.org/officeDocument/2006/relationships/hyperlink" Target="https://www.archanaskitchen.com/carrot-and-oats-whole-wheat-bread-recipe" TargetMode="External"/><Relationship Id="rId159" Type="http://schemas.openxmlformats.org/officeDocument/2006/relationships/hyperlink" Target="https://www.archanaskitchen.com/healthy-black-bean-burger-recipe-without-bun" TargetMode="External"/><Relationship Id="rId366" Type="http://schemas.openxmlformats.org/officeDocument/2006/relationships/hyperlink" Target="https://www.archanaskitchen.com/coconut-ricotta-dip-with-banana-chips-recipe" TargetMode="External"/><Relationship Id="rId573" Type="http://schemas.openxmlformats.org/officeDocument/2006/relationships/hyperlink" Target="https://www.archanaskitchen.com/cinnamon-flavoured-eggless-apple-plum-cake-recipe" TargetMode="External"/><Relationship Id="rId780" Type="http://schemas.openxmlformats.org/officeDocument/2006/relationships/hyperlink" Target="https://www.archanaskitchen.com/baked-egg-with-quinoa-tomato-sauce-recipe" TargetMode="External"/><Relationship Id="rId226" Type="http://schemas.openxmlformats.org/officeDocument/2006/relationships/hyperlink" Target="http://www.archanaskitchen.com/avocado-chocolate-pancakes-recipe" TargetMode="External"/><Relationship Id="rId433" Type="http://schemas.openxmlformats.org/officeDocument/2006/relationships/hyperlink" Target="https://www.archanaskitchen.com/apple-and-pomegranate-smoothie-recipe" TargetMode="External"/><Relationship Id="rId878" Type="http://schemas.openxmlformats.org/officeDocument/2006/relationships/hyperlink" Target="http://www.archanaskitchen.com/herbed-lentil-loaf-recipe-from-horse-gram-kollu" TargetMode="External"/><Relationship Id="rId640" Type="http://schemas.openxmlformats.org/officeDocument/2006/relationships/hyperlink" Target="http://www.archanaskitchen.com/crunchy-ragi-and-oats-breakfast-bowl-recipe" TargetMode="External"/><Relationship Id="rId738" Type="http://schemas.openxmlformats.org/officeDocument/2006/relationships/hyperlink" Target="https://www.archanaskitchen.com/eggless-chocolate-pistachio-biscotti-recipe" TargetMode="External"/><Relationship Id="rId945" Type="http://schemas.openxmlformats.org/officeDocument/2006/relationships/hyperlink" Target="https://www.archanaskitchen.com/sago-yogurt-parfait-recipe-creamy-tapioca-pearls-with-assorted-fruits-recipe" TargetMode="External"/><Relationship Id="rId74" Type="http://schemas.openxmlformats.org/officeDocument/2006/relationships/hyperlink" Target="http://www.archanaskitchen.com/fudgy-chocolate-chunk-brownie-recipe-with-egg-free-eggless-option" TargetMode="External"/><Relationship Id="rId377" Type="http://schemas.openxmlformats.org/officeDocument/2006/relationships/hyperlink" Target="https://www.archanaskitchen.com/whole-wheat-cupcakes-recipe" TargetMode="External"/><Relationship Id="rId500" Type="http://schemas.openxmlformats.org/officeDocument/2006/relationships/hyperlink" Target="https://www.archanaskitchen.com/high-protein-broccoli-coriander-loaf-recipe" TargetMode="External"/><Relationship Id="rId584" Type="http://schemas.openxmlformats.org/officeDocument/2006/relationships/hyperlink" Target="http://www.archanaskitchen.com/blueberry-chia-banana-smoothie-recipe" TargetMode="External"/><Relationship Id="rId805" Type="http://schemas.openxmlformats.org/officeDocument/2006/relationships/hyperlink" Target="https://www.archanaskitchen.com/mexican-chicken-soup-recipe" TargetMode="External"/><Relationship Id="rId5" Type="http://schemas.openxmlformats.org/officeDocument/2006/relationships/hyperlink" Target="https://www.archanaskitchen.com/herbed-brown-rice-recipe-in-hindi" TargetMode="External"/><Relationship Id="rId237" Type="http://schemas.openxmlformats.org/officeDocument/2006/relationships/hyperlink" Target="https://www.archanaskitchen.com/watermelon-bocconcini-arugula-salad-recipe" TargetMode="External"/><Relationship Id="rId791" Type="http://schemas.openxmlformats.org/officeDocument/2006/relationships/hyperlink" Target="http://www.archanaskitchen.com/shredded-chicken-cheese-sandwich-recipe" TargetMode="External"/><Relationship Id="rId889" Type="http://schemas.openxmlformats.org/officeDocument/2006/relationships/hyperlink" Target="http://www.archanaskitchen.com/apple-cucumber-minty-salad-recipe" TargetMode="External"/><Relationship Id="rId444" Type="http://schemas.openxmlformats.org/officeDocument/2006/relationships/hyperlink" Target="http://www.archanaskitchen.com/no-bake-eggless-dark-chocolate-fudge-recipe-with-nuts" TargetMode="External"/><Relationship Id="rId651" Type="http://schemas.openxmlformats.org/officeDocument/2006/relationships/hyperlink" Target="http://www.archanaskitchen.com/stuffed-bread-rolls-with-pumpkin-onion-cheese-recipe" TargetMode="External"/><Relationship Id="rId749" Type="http://schemas.openxmlformats.org/officeDocument/2006/relationships/hyperlink" Target="https://www.archanaskitchen.com/fennel-pesto-pull-apart-bread-recipe" TargetMode="External"/><Relationship Id="rId290" Type="http://schemas.openxmlformats.org/officeDocument/2006/relationships/hyperlink" Target="https://www.archanaskitchen.com/caramel-sauce-recipe" TargetMode="External"/><Relationship Id="rId304" Type="http://schemas.openxmlformats.org/officeDocument/2006/relationships/hyperlink" Target="https://www.archanaskitchen.com/broccoli-paneer-mayo-sandwich-recipe" TargetMode="External"/><Relationship Id="rId388" Type="http://schemas.openxmlformats.org/officeDocument/2006/relationships/hyperlink" Target="https://www.archanaskitchen.com/homemade-chocolate-sauce-recipe" TargetMode="External"/><Relationship Id="rId511" Type="http://schemas.openxmlformats.org/officeDocument/2006/relationships/hyperlink" Target="http://www.archanaskitchen.com/caramelised-onion-rosemary-chicken-recipe" TargetMode="External"/><Relationship Id="rId609" Type="http://schemas.openxmlformats.org/officeDocument/2006/relationships/hyperlink" Target="https://www.archanaskitchen.com/upside-down-pear-ginger-cake-recipe" TargetMode="External"/><Relationship Id="rId956" Type="http://schemas.openxmlformats.org/officeDocument/2006/relationships/hyperlink" Target="https://www.archanaskitchen.com/spicy-avocado-scrambled-eggs-recipe" TargetMode="External"/><Relationship Id="rId85" Type="http://schemas.openxmlformats.org/officeDocument/2006/relationships/hyperlink" Target="http://www.archanaskitchen.com/savory-waffles-with-roasted-peppers-in-sun-dried-tomato-pesto-recipe" TargetMode="External"/><Relationship Id="rId150" Type="http://schemas.openxmlformats.org/officeDocument/2006/relationships/hyperlink" Target="http://www.archanaskitchen.com/red-velvet-cake-recipe" TargetMode="External"/><Relationship Id="rId595" Type="http://schemas.openxmlformats.org/officeDocument/2006/relationships/hyperlink" Target="http://www.archanaskitchen.com/mushroom-strudel-recipe-pie-dough-filo-pastry" TargetMode="External"/><Relationship Id="rId816" Type="http://schemas.openxmlformats.org/officeDocument/2006/relationships/hyperlink" Target="http://www.archanaskitchen.com/jello-poke-cake-recipe" TargetMode="External"/><Relationship Id="rId1001" Type="http://schemas.openxmlformats.org/officeDocument/2006/relationships/hyperlink" Target="https://www.archanaskitchen.com/mushrooms-stuffed-with-carrots-and-mint-mayo-recipe" TargetMode="External"/><Relationship Id="rId248" Type="http://schemas.openxmlformats.org/officeDocument/2006/relationships/hyperlink" Target="https://www.archanaskitchen.com/creamy-delicious-egg-mayo-sandwich-recipe-kids-recipes-made-with-del-monte" TargetMode="External"/><Relationship Id="rId455" Type="http://schemas.openxmlformats.org/officeDocument/2006/relationships/hyperlink" Target="http://www.archanaskitchen.com/banilla-sandwich-cookie-recipe" TargetMode="External"/><Relationship Id="rId662" Type="http://schemas.openxmlformats.org/officeDocument/2006/relationships/hyperlink" Target="https://www.archanaskitchen.com/beetroot-juice-recipe-with-cucumber-pineapple-in-hindi" TargetMode="External"/><Relationship Id="rId12" Type="http://schemas.openxmlformats.org/officeDocument/2006/relationships/hyperlink" Target="https://www.archanaskitchen.com/lemon-frozen-yogurt-recipe" TargetMode="External"/><Relationship Id="rId108" Type="http://schemas.openxmlformats.org/officeDocument/2006/relationships/hyperlink" Target="http://www.archanaskitchen.com/grilled-tomato-and-cheese-sandwich-recipe" TargetMode="External"/><Relationship Id="rId315" Type="http://schemas.openxmlformats.org/officeDocument/2006/relationships/hyperlink" Target="http://www.archanaskitchen.com/ice-cream-cake-recipe-with-chocolate-mocha-frosting" TargetMode="External"/><Relationship Id="rId522" Type="http://schemas.openxmlformats.org/officeDocument/2006/relationships/hyperlink" Target="http://www.archanaskitchen.com/chickoo-sapota-puree-recipe-for-babies-and-toddlers" TargetMode="External"/><Relationship Id="rId967" Type="http://schemas.openxmlformats.org/officeDocument/2006/relationships/hyperlink" Target="https://www.archanaskitchen.com/overnight-pumpkin-french-toast-a-baked-casserole-recipe" TargetMode="External"/><Relationship Id="rId96" Type="http://schemas.openxmlformats.org/officeDocument/2006/relationships/hyperlink" Target="http://www.archanaskitchen.com/parmesan-cheese-biscuits-recipe" TargetMode="External"/><Relationship Id="rId161" Type="http://schemas.openxmlformats.org/officeDocument/2006/relationships/hyperlink" Target="https://www.archanaskitchen.com/sugar-free-pineapple-dates-cake-recipe" TargetMode="External"/><Relationship Id="rId399" Type="http://schemas.openxmlformats.org/officeDocument/2006/relationships/hyperlink" Target="http://www.archanaskitchen.com/paprika-chicken-skewers-recipe" TargetMode="External"/><Relationship Id="rId827" Type="http://schemas.openxmlformats.org/officeDocument/2006/relationships/hyperlink" Target="http://www.archanaskitchen.com/pina-colada-cake-recipe" TargetMode="External"/><Relationship Id="rId1012" Type="http://schemas.openxmlformats.org/officeDocument/2006/relationships/hyperlink" Target="http://www.archanaskitchen.com/whole-wheat-eggless-orange-cake-recipe" TargetMode="External"/><Relationship Id="rId259" Type="http://schemas.openxmlformats.org/officeDocument/2006/relationships/hyperlink" Target="https://www.archanaskitchen.com/cranberry-cookies-recipe" TargetMode="External"/><Relationship Id="rId466" Type="http://schemas.openxmlformats.org/officeDocument/2006/relationships/hyperlink" Target="https://www.archanaskitchen.com/chocolate-and-salted-caramel-tart-recipe" TargetMode="External"/><Relationship Id="rId673" Type="http://schemas.openxmlformats.org/officeDocument/2006/relationships/hyperlink" Target="http://www.archanaskitchen.com/kiwi-popsicles-recipe-without-sugar" TargetMode="External"/><Relationship Id="rId880" Type="http://schemas.openxmlformats.org/officeDocument/2006/relationships/hyperlink" Target="https://www.archanaskitchen.com/buckwheat-crepes-with-fruit-compote-recipe" TargetMode="External"/><Relationship Id="rId23" Type="http://schemas.openxmlformats.org/officeDocument/2006/relationships/hyperlink" Target="https://www.archanaskitchen.com/barley-whole-wheat-coffee-marble-cake-recipe" TargetMode="External"/><Relationship Id="rId119" Type="http://schemas.openxmlformats.org/officeDocument/2006/relationships/hyperlink" Target="http://www.archanaskitchen.com/muesli-oats-cupcake-filled-with-yogurt-and-strawberries-recipe" TargetMode="External"/><Relationship Id="rId326" Type="http://schemas.openxmlformats.org/officeDocument/2006/relationships/hyperlink" Target="https://www.archanaskitchen.com/chickpea-flour-crepes-recipe-with-salad-and-chutney-spread" TargetMode="External"/><Relationship Id="rId533" Type="http://schemas.openxmlformats.org/officeDocument/2006/relationships/hyperlink" Target="https://www.archanaskitchen.com/chocolate-lover-s-cheesecake-recipe" TargetMode="External"/><Relationship Id="rId978" Type="http://schemas.openxmlformats.org/officeDocument/2006/relationships/hyperlink" Target="http://www.archanaskitchen.com/pear-and-apple-coleslaw-recipe" TargetMode="External"/><Relationship Id="rId740" Type="http://schemas.openxmlformats.org/officeDocument/2006/relationships/hyperlink" Target="https://www.archanaskitchen.com/spiced-rice-breakfast-porridge-recipe" TargetMode="External"/><Relationship Id="rId838" Type="http://schemas.openxmlformats.org/officeDocument/2006/relationships/hyperlink" Target="https://www.archanaskitchen.com/almond-flour-muffins-gluten-free-and-grain-free-recipe" TargetMode="External"/><Relationship Id="rId172" Type="http://schemas.openxmlformats.org/officeDocument/2006/relationships/hyperlink" Target="http://www.archanaskitchen.com/broccoli-with-lemon-butter-sauce-recipe" TargetMode="External"/><Relationship Id="rId477" Type="http://schemas.openxmlformats.org/officeDocument/2006/relationships/hyperlink" Target="https://www.archanaskitchen.com/mango-milkshake-recipe-mango-smoothie" TargetMode="External"/><Relationship Id="rId600" Type="http://schemas.openxmlformats.org/officeDocument/2006/relationships/hyperlink" Target="http://www.archanaskitchen.com/oats-yogurt-parfait-with-fruits-recipe" TargetMode="External"/><Relationship Id="rId684" Type="http://schemas.openxmlformats.org/officeDocument/2006/relationships/hyperlink" Target="https://www.archanaskitchen.com/traditional-christmas-cake-with-an-eggless-cake-recipe" TargetMode="External"/><Relationship Id="rId337" Type="http://schemas.openxmlformats.org/officeDocument/2006/relationships/hyperlink" Target="https://www.archanaskitchen.com/healthy-whole-wheat-brown-butter-banana-bread-recipe" TargetMode="External"/><Relationship Id="rId891" Type="http://schemas.openxmlformats.org/officeDocument/2006/relationships/hyperlink" Target="https://www.archanaskitchen.com/spicy-raisins-and-walnut-cake-recipe" TargetMode="External"/><Relationship Id="rId905" Type="http://schemas.openxmlformats.org/officeDocument/2006/relationships/hyperlink" Target="http://www.archanaskitchen.com/decadent-chocolate-truffles-recipe" TargetMode="External"/><Relationship Id="rId989" Type="http://schemas.openxmlformats.org/officeDocument/2006/relationships/hyperlink" Target="http://www.archanaskitchen.com/delicious-avocado-salad-recipe-with-vegetables" TargetMode="External"/><Relationship Id="rId34" Type="http://schemas.openxmlformats.org/officeDocument/2006/relationships/hyperlink" Target="http://www.archanaskitchen.com/chocolate-tart-recipe" TargetMode="External"/><Relationship Id="rId544" Type="http://schemas.openxmlformats.org/officeDocument/2006/relationships/hyperlink" Target="http://www.archanaskitchen.com/herbed-buttered-rice-recipe-with-green-peas" TargetMode="External"/><Relationship Id="rId751" Type="http://schemas.openxmlformats.org/officeDocument/2006/relationships/hyperlink" Target="https://www.archanaskitchen.com/beet-latte-recipes" TargetMode="External"/><Relationship Id="rId849" Type="http://schemas.openxmlformats.org/officeDocument/2006/relationships/hyperlink" Target="https://www.archanaskitchen.com/brownie-butter-cake-recipe" TargetMode="External"/><Relationship Id="rId183" Type="http://schemas.openxmlformats.org/officeDocument/2006/relationships/hyperlink" Target="https://www.archanaskitchen.com/navel-orange-marmalade-recipe" TargetMode="External"/><Relationship Id="rId390" Type="http://schemas.openxmlformats.org/officeDocument/2006/relationships/hyperlink" Target="http://www.archanaskitchen.com/roasted-beet-feta-salad-recipe" TargetMode="External"/><Relationship Id="rId404" Type="http://schemas.openxmlformats.org/officeDocument/2006/relationships/hyperlink" Target="https://www.archanaskitchen.com/bullseye-on-toast-recipe" TargetMode="External"/><Relationship Id="rId611" Type="http://schemas.openxmlformats.org/officeDocument/2006/relationships/hyperlink" Target="https://www.archanaskitchen.com/black-forest-cake-recipe" TargetMode="External"/><Relationship Id="rId250" Type="http://schemas.openxmlformats.org/officeDocument/2006/relationships/hyperlink" Target="https://www.archanaskitchen.com/pea-and-spring-onion-soup-recipe" TargetMode="External"/><Relationship Id="rId488" Type="http://schemas.openxmlformats.org/officeDocument/2006/relationships/hyperlink" Target="http://www.archanaskitchen.com/veggie-chop-burger-recipe" TargetMode="External"/><Relationship Id="rId695" Type="http://schemas.openxmlformats.org/officeDocument/2006/relationships/hyperlink" Target="https://www.archanaskitchen.com/lemon-grass-oats-almonds-pudding-recipe-with-macerated-berries" TargetMode="External"/><Relationship Id="rId709" Type="http://schemas.openxmlformats.org/officeDocument/2006/relationships/hyperlink" Target="https://www.archanaskitchen.com/classic-apple-pie-recipe-stars-in-the-galaxy" TargetMode="External"/><Relationship Id="rId916" Type="http://schemas.openxmlformats.org/officeDocument/2006/relationships/hyperlink" Target="http://www.archanaskitchen.com/healthy-oatmeal-energy-bar-with-dates-nuts-recipe" TargetMode="External"/><Relationship Id="rId45" Type="http://schemas.openxmlformats.org/officeDocument/2006/relationships/hyperlink" Target="http://www.archanaskitchen.com/delicious-skillet-plum-cake-recipe" TargetMode="External"/><Relationship Id="rId110" Type="http://schemas.openxmlformats.org/officeDocument/2006/relationships/hyperlink" Target="http://www.archanaskitchen.com/dry-fruits-spongy-cake-recipe" TargetMode="External"/><Relationship Id="rId348" Type="http://schemas.openxmlformats.org/officeDocument/2006/relationships/hyperlink" Target="https://www.archanaskitchen.com/garlic-toasted-beans-salad-recipe" TargetMode="External"/><Relationship Id="rId555" Type="http://schemas.openxmlformats.org/officeDocument/2006/relationships/hyperlink" Target="https://www.archanaskitchen.com/courgette-red-pepper-muffin-recipe" TargetMode="External"/><Relationship Id="rId762" Type="http://schemas.openxmlformats.org/officeDocument/2006/relationships/hyperlink" Target="http://www.archanaskitchen.com/lemongrass-tomato-corn-soup-recipe-in-hindi" TargetMode="External"/><Relationship Id="rId194" Type="http://schemas.openxmlformats.org/officeDocument/2006/relationships/hyperlink" Target="https://www.archanaskitchen.com/egg-in-a-biscuit-recipe" TargetMode="External"/><Relationship Id="rId208" Type="http://schemas.openxmlformats.org/officeDocument/2006/relationships/hyperlink" Target="https://www.archanaskitchen.com/rich-chocolate-brownies-eggless-option-recipe" TargetMode="External"/><Relationship Id="rId415" Type="http://schemas.openxmlformats.org/officeDocument/2006/relationships/hyperlink" Target="http://www.archanaskitchen.com/creamy-sweet-corn-and-jalapeno-dip-recipe" TargetMode="External"/><Relationship Id="rId622" Type="http://schemas.openxmlformats.org/officeDocument/2006/relationships/hyperlink" Target="https://www.archanaskitchen.com/eggless-chocolate-chip-cupcakes-with-spinach-recipe" TargetMode="External"/><Relationship Id="rId261" Type="http://schemas.openxmlformats.org/officeDocument/2006/relationships/hyperlink" Target="http://www.archanaskitchen.com/giant-chocolate-chunk-cookie-recipe-with-walnuts" TargetMode="External"/><Relationship Id="rId499" Type="http://schemas.openxmlformats.org/officeDocument/2006/relationships/hyperlink" Target="http://www.archanaskitchen.com/mustard-mayo-baby-potato-salad-recipe" TargetMode="External"/><Relationship Id="rId927" Type="http://schemas.openxmlformats.org/officeDocument/2006/relationships/hyperlink" Target="https://www.archanaskitchen.com/eggless-red-velvet-beetroot-muffins-recipe" TargetMode="External"/><Relationship Id="rId56" Type="http://schemas.openxmlformats.org/officeDocument/2006/relationships/hyperlink" Target="http://www.archanaskitchen.com/spinach-garlic-potato-patties-recipe" TargetMode="External"/><Relationship Id="rId359" Type="http://schemas.openxmlformats.org/officeDocument/2006/relationships/hyperlink" Target="https://www.archanaskitchen.com/stuffed-tomatoes-with-quinoa-spinach-and-cheese-recipe" TargetMode="External"/><Relationship Id="rId566" Type="http://schemas.openxmlformats.org/officeDocument/2006/relationships/hyperlink" Target="http://www.archanaskitchen.com/mocha-swiss-roll-recipe-cream-roll" TargetMode="External"/><Relationship Id="rId773" Type="http://schemas.openxmlformats.org/officeDocument/2006/relationships/hyperlink" Target="http://www.archanaskitchen.com/roasted-cauliflower-dill-soup-recipe" TargetMode="External"/><Relationship Id="rId121" Type="http://schemas.openxmlformats.org/officeDocument/2006/relationships/hyperlink" Target="https://www.archanaskitchen.com/roasted-bell-pepper-quinoa-recipe-in-hindi" TargetMode="External"/><Relationship Id="rId219" Type="http://schemas.openxmlformats.org/officeDocument/2006/relationships/hyperlink" Target="https://www.archanaskitchen.com/crispy-potato-roses-recipe" TargetMode="External"/><Relationship Id="rId426" Type="http://schemas.openxmlformats.org/officeDocument/2006/relationships/hyperlink" Target="http://www.archanaskitchen.com/spinach-mushroom-stir-fry-recipe-in-hindi" TargetMode="External"/><Relationship Id="rId633" Type="http://schemas.openxmlformats.org/officeDocument/2006/relationships/hyperlink" Target="http://www.archanaskitchen.com/vegetarian-corn-chowder-soup-recipe" TargetMode="External"/><Relationship Id="rId980" Type="http://schemas.openxmlformats.org/officeDocument/2006/relationships/hyperlink" Target="https://www.archanaskitchen.com/savory-french-toast-recipe-with-creamy-achari-mushroom" TargetMode="External"/><Relationship Id="rId840" Type="http://schemas.openxmlformats.org/officeDocument/2006/relationships/hyperlink" Target="http://www.archanaskitchen.com/broccoli-paneer-peanut-sandwich-recipe-in-hindi" TargetMode="External"/><Relationship Id="rId938" Type="http://schemas.openxmlformats.org/officeDocument/2006/relationships/hyperlink" Target="http://www.archanaskitchen.com/whole-wheat-oatmeal-and-amaranth-fruitcake-cookies-recipe" TargetMode="External"/><Relationship Id="rId67" Type="http://schemas.openxmlformats.org/officeDocument/2006/relationships/hyperlink" Target="https://www.archanaskitchen.com/cheddar-beer-bread-recipe-cheesy-bread-recipe" TargetMode="External"/><Relationship Id="rId272" Type="http://schemas.openxmlformats.org/officeDocument/2006/relationships/hyperlink" Target="http://www.archanaskitchen.com/no-bake-strawberry-cream-cheese-dessert-recipe" TargetMode="External"/><Relationship Id="rId577" Type="http://schemas.openxmlformats.org/officeDocument/2006/relationships/hyperlink" Target="https://www.archanaskitchen.com/fig-ricotta-and-honey-salad-recipe-with-pine-nuts" TargetMode="External"/><Relationship Id="rId700" Type="http://schemas.openxmlformats.org/officeDocument/2006/relationships/hyperlink" Target="https://www.archanaskitchen.com/steamed-chicken-with-salad-recipe" TargetMode="External"/><Relationship Id="rId132" Type="http://schemas.openxmlformats.org/officeDocument/2006/relationships/hyperlink" Target="http://www.archanaskitchen.com/mango-avocado-and-chickpea-salad-recipe" TargetMode="External"/><Relationship Id="rId784" Type="http://schemas.openxmlformats.org/officeDocument/2006/relationships/hyperlink" Target="https://www.archanaskitchen.com/savoury-pancakes-recipe-with-spinach-paneer-filling" TargetMode="External"/><Relationship Id="rId991" Type="http://schemas.openxmlformats.org/officeDocument/2006/relationships/hyperlink" Target="https://www.archanaskitchen.com/whole-wheat-oats-and-pesto-bread-recipe" TargetMode="External"/><Relationship Id="rId437" Type="http://schemas.openxmlformats.org/officeDocument/2006/relationships/hyperlink" Target="http://www.archanaskitchen.com/vegetable-sizzler-recipe-with-potato-tikki-mint-rice-corn-and-spinach-sauce" TargetMode="External"/><Relationship Id="rId644" Type="http://schemas.openxmlformats.org/officeDocument/2006/relationships/hyperlink" Target="https://www.archanaskitchen.com/eggless-carrot-muffins-recipe" TargetMode="External"/><Relationship Id="rId851" Type="http://schemas.openxmlformats.org/officeDocument/2006/relationships/hyperlink" Target="https://www.archanaskitchen.com/lavender-lemonade-cooler-recipe" TargetMode="External"/><Relationship Id="rId283" Type="http://schemas.openxmlformats.org/officeDocument/2006/relationships/hyperlink" Target="http://www.archanaskitchen.com/no-mayo-potato-salad-recipe" TargetMode="External"/><Relationship Id="rId490" Type="http://schemas.openxmlformats.org/officeDocument/2006/relationships/hyperlink" Target="https://www.archanaskitchen.com/eggless-bread-omelette-recipe" TargetMode="External"/><Relationship Id="rId504" Type="http://schemas.openxmlformats.org/officeDocument/2006/relationships/hyperlink" Target="http://www.archanaskitchen.com/chocolate-chip-scone-recipe" TargetMode="External"/><Relationship Id="rId711" Type="http://schemas.openxmlformats.org/officeDocument/2006/relationships/hyperlink" Target="http://www.archanaskitchen.com/apple-and-ginger-cocktail-recipe" TargetMode="External"/><Relationship Id="rId949" Type="http://schemas.openxmlformats.org/officeDocument/2006/relationships/hyperlink" Target="http://www.archanaskitchen.com/tomato-beetroot-soup-recipe-in-hindi" TargetMode="External"/><Relationship Id="rId78" Type="http://schemas.openxmlformats.org/officeDocument/2006/relationships/hyperlink" Target="http://www.archanaskitchen.com/video-recipe-spicy-baked-potato-rolls" TargetMode="External"/><Relationship Id="rId143" Type="http://schemas.openxmlformats.org/officeDocument/2006/relationships/hyperlink" Target="http://www.archanaskitchen.com/oven-roasted-peaches-and-cream-recipe" TargetMode="External"/><Relationship Id="rId350" Type="http://schemas.openxmlformats.org/officeDocument/2006/relationships/hyperlink" Target="https://www.archanaskitchen.com/peanut-chilli-dipping-sauce-recipe" TargetMode="External"/><Relationship Id="rId588" Type="http://schemas.openxmlformats.org/officeDocument/2006/relationships/hyperlink" Target="https://www.archanaskitchen.com/shortbread-cookies-with-citrus-zest-recipe" TargetMode="External"/><Relationship Id="rId795" Type="http://schemas.openxmlformats.org/officeDocument/2006/relationships/hyperlink" Target="https://www.archanaskitchen.com/ragi-finger-millet-chocolate-brownies-recipe" TargetMode="External"/><Relationship Id="rId809" Type="http://schemas.openxmlformats.org/officeDocument/2006/relationships/hyperlink" Target="https://www.archanaskitchen.com/whole-wheat-pasta-salad-with-capsicum-and-corn-recipe" TargetMode="External"/><Relationship Id="rId9" Type="http://schemas.openxmlformats.org/officeDocument/2006/relationships/hyperlink" Target="http://www.archanaskitchen.com/zucchini-roll-up-lasagne-recipe" TargetMode="External"/><Relationship Id="rId210" Type="http://schemas.openxmlformats.org/officeDocument/2006/relationships/hyperlink" Target="http://www.archanaskitchen.com/avocado-cheese-chilli-toast-recipe" TargetMode="External"/><Relationship Id="rId448" Type="http://schemas.openxmlformats.org/officeDocument/2006/relationships/hyperlink" Target="http://www.archanaskitchen.com/s-mores-cake-recipe" TargetMode="External"/><Relationship Id="rId655" Type="http://schemas.openxmlformats.org/officeDocument/2006/relationships/hyperlink" Target="http://www.archanaskitchen.com/onion-and-parmesan-toast-recipe" TargetMode="External"/><Relationship Id="rId862" Type="http://schemas.openxmlformats.org/officeDocument/2006/relationships/hyperlink" Target="http://www.archanaskitchen.com/savory-bread-pudding-with-broccoli-and-tomato-recipe" TargetMode="External"/><Relationship Id="rId294" Type="http://schemas.openxmlformats.org/officeDocument/2006/relationships/hyperlink" Target="http://www.archanaskitchen.com/tomato-chickpea-and-coconut-soup-recipe" TargetMode="External"/><Relationship Id="rId308" Type="http://schemas.openxmlformats.org/officeDocument/2006/relationships/hyperlink" Target="http://www.archanaskitchen.com/herb-cheese-mushroom-omelette-recipe" TargetMode="External"/><Relationship Id="rId515" Type="http://schemas.openxmlformats.org/officeDocument/2006/relationships/hyperlink" Target="https://www.archanaskitchen.com/almond-butter-recipe" TargetMode="External"/><Relationship Id="rId722" Type="http://schemas.openxmlformats.org/officeDocument/2006/relationships/hyperlink" Target="https://www.archanaskitchen.com/herbed-cheesy-bun-munch-recipe" TargetMode="External"/><Relationship Id="rId89" Type="http://schemas.openxmlformats.org/officeDocument/2006/relationships/hyperlink" Target="http://www.archanaskitchen.com/mango-chia-seeds-smoothie-topped-with-muesli-recipe" TargetMode="External"/><Relationship Id="rId154" Type="http://schemas.openxmlformats.org/officeDocument/2006/relationships/hyperlink" Target="http://www.archanaskitchen.com/french-onion-tart-recipe" TargetMode="External"/><Relationship Id="rId361" Type="http://schemas.openxmlformats.org/officeDocument/2006/relationships/hyperlink" Target="http://www.archanaskitchen.com/honey-roasted-sweet-potato-with-red-onions-recipe" TargetMode="External"/><Relationship Id="rId599" Type="http://schemas.openxmlformats.org/officeDocument/2006/relationships/hyperlink" Target="http://www.archanaskitchen.com/banana-and-cranberry-bran-muffins-recipe" TargetMode="External"/><Relationship Id="rId1005" Type="http://schemas.openxmlformats.org/officeDocument/2006/relationships/hyperlink" Target="http://www.archanaskitchen.com/spiced-carrot-walnut-cake-recipe-with-chocolate" TargetMode="External"/><Relationship Id="rId459" Type="http://schemas.openxmlformats.org/officeDocument/2006/relationships/hyperlink" Target="https://www.archanaskitchen.com/simple-peruvian-mayocoba-beans-salad-recipe" TargetMode="External"/><Relationship Id="rId666" Type="http://schemas.openxmlformats.org/officeDocument/2006/relationships/hyperlink" Target="https://www.archanaskitchen.com/video-recipe-apple-pie-made-with-whole-wheat-pie-crust" TargetMode="External"/><Relationship Id="rId873" Type="http://schemas.openxmlformats.org/officeDocument/2006/relationships/hyperlink" Target="http://www.archanaskitchen.com/nutella-filled-hand-pies-recipe" TargetMode="External"/><Relationship Id="rId16" Type="http://schemas.openxmlformats.org/officeDocument/2006/relationships/hyperlink" Target="https://www.archanaskitchen.com/chicken-sausages-baked-beans-and-stir-fried-broccoli-recipe" TargetMode="External"/><Relationship Id="rId221" Type="http://schemas.openxmlformats.org/officeDocument/2006/relationships/hyperlink" Target="http://www.archanaskitchen.com/egg-free-custard-cookie-biscuit-recipe" TargetMode="External"/><Relationship Id="rId319" Type="http://schemas.openxmlformats.org/officeDocument/2006/relationships/hyperlink" Target="https://www.archanaskitchen.com/eggless-peach-cobbler-recipe" TargetMode="External"/><Relationship Id="rId526" Type="http://schemas.openxmlformats.org/officeDocument/2006/relationships/hyperlink" Target="http://www.archanaskitchen.com/vanilla-panna-cotta-recipe" TargetMode="External"/><Relationship Id="rId733" Type="http://schemas.openxmlformats.org/officeDocument/2006/relationships/hyperlink" Target="http://www.archanaskitchen.com/flourless-chilli-chocolate-cake-recipe" TargetMode="External"/><Relationship Id="rId940" Type="http://schemas.openxmlformats.org/officeDocument/2006/relationships/hyperlink" Target="https://www.archanaskitchen.com/dulce-de-leche-brownie-recipe" TargetMode="External"/><Relationship Id="rId1016" Type="http://schemas.openxmlformats.org/officeDocument/2006/relationships/hyperlink" Target="https://www.archanaskitchen.com/pancakes-drizzled-with-chocolate-sauce-served-with-fruits-jaggery-recipe-breakfast-in-bed" TargetMode="External"/><Relationship Id="rId165" Type="http://schemas.openxmlformats.org/officeDocument/2006/relationships/hyperlink" Target="https://www.archanaskitchen.com/carrot-beet-amaranth-super-salad-recipe" TargetMode="External"/><Relationship Id="rId372" Type="http://schemas.openxmlformats.org/officeDocument/2006/relationships/hyperlink" Target="https://www.archanaskitchen.com/apple-empanadas-recipe" TargetMode="External"/><Relationship Id="rId677" Type="http://schemas.openxmlformats.org/officeDocument/2006/relationships/hyperlink" Target="https://www.archanaskitchen.com/50-whole-wheat-strawberry-tea-cake-recipe" TargetMode="External"/><Relationship Id="rId800" Type="http://schemas.openxmlformats.org/officeDocument/2006/relationships/hyperlink" Target="http://www.archanaskitchen.com/potato-basil-fritters-recipe" TargetMode="External"/><Relationship Id="rId232" Type="http://schemas.openxmlformats.org/officeDocument/2006/relationships/hyperlink" Target="http://www.archanaskitchen.com/chocolate-banana-cake-recipe-with-eggless-egg-free-option" TargetMode="External"/><Relationship Id="rId884" Type="http://schemas.openxmlformats.org/officeDocument/2006/relationships/hyperlink" Target="https://www.archanaskitchen.com/whole-wheat-sunflower-seed-bread-recipe" TargetMode="External"/><Relationship Id="rId27" Type="http://schemas.openxmlformats.org/officeDocument/2006/relationships/hyperlink" Target="https://www.archanaskitchen.com/pomegranate-frozen-margarita-recipe-with-non-alcoholic-options" TargetMode="External"/><Relationship Id="rId537" Type="http://schemas.openxmlformats.org/officeDocument/2006/relationships/hyperlink" Target="https://www.archanaskitchen.com/indian-style-jeera-biscuit-recipe" TargetMode="External"/><Relationship Id="rId744" Type="http://schemas.openxmlformats.org/officeDocument/2006/relationships/hyperlink" Target="https://www.archanaskitchen.com/eggless-whole-wheat-cake-with-chocolate-buttercream-frosting-recipe" TargetMode="External"/><Relationship Id="rId951" Type="http://schemas.openxmlformats.org/officeDocument/2006/relationships/hyperlink" Target="https://www.archanaskitchen.com/mushrooms-on-toast-recipe" TargetMode="External"/><Relationship Id="rId80" Type="http://schemas.openxmlformats.org/officeDocument/2006/relationships/hyperlink" Target="https://www.archanaskitchen.com/corn-cheese-balls-recipe" TargetMode="External"/><Relationship Id="rId176" Type="http://schemas.openxmlformats.org/officeDocument/2006/relationships/hyperlink" Target="https://www.archanaskitchen.com/pomegranate-and-chia-seeds-yogurt-smoothie-recipe" TargetMode="External"/><Relationship Id="rId383" Type="http://schemas.openxmlformats.org/officeDocument/2006/relationships/hyperlink" Target="http://www.archanaskitchen.com/chocolate-espresso-custard-pudding-recipe" TargetMode="External"/><Relationship Id="rId590" Type="http://schemas.openxmlformats.org/officeDocument/2006/relationships/hyperlink" Target="http://www.archanaskitchen.com/banana-walnut-chai-smoothie-recipe" TargetMode="External"/><Relationship Id="rId604" Type="http://schemas.openxmlformats.org/officeDocument/2006/relationships/hyperlink" Target="https://www.archanaskitchen.com/roasted-beet-and-walnut-dip-recipe" TargetMode="External"/><Relationship Id="rId811" Type="http://schemas.openxmlformats.org/officeDocument/2006/relationships/hyperlink" Target="http://www.archanaskitchen.com/kale-and-mushroom-french-soup-recipe-in-hindi" TargetMode="External"/><Relationship Id="rId243" Type="http://schemas.openxmlformats.org/officeDocument/2006/relationships/hyperlink" Target="http://www.archanaskitchen.com/avocado-salsa-open-multigrain-toast-with-fried-egg-recipe" TargetMode="External"/><Relationship Id="rId450" Type="http://schemas.openxmlformats.org/officeDocument/2006/relationships/hyperlink" Target="https://www.archanaskitchen.com/lip-smacking-lemonade-cupcake-recipe" TargetMode="External"/><Relationship Id="rId688" Type="http://schemas.openxmlformats.org/officeDocument/2006/relationships/hyperlink" Target="https://www.archanaskitchen.com/open-toast-marconi-recipe" TargetMode="External"/><Relationship Id="rId895" Type="http://schemas.openxmlformats.org/officeDocument/2006/relationships/hyperlink" Target="http://www.archanaskitchen.com/mushroom-and-scrambled-egg-bagel-sandwich-recipe" TargetMode="External"/><Relationship Id="rId909" Type="http://schemas.openxmlformats.org/officeDocument/2006/relationships/hyperlink" Target="http://www.archanaskitchen.com/grilled-pineapple-and-chicken-salad-recipe-tangy-summer-salad" TargetMode="External"/><Relationship Id="rId38" Type="http://schemas.openxmlformats.org/officeDocument/2006/relationships/hyperlink" Target="https://www.archanaskitchen.com/cold-potato-salad-with-cilantro-dressing-recipe" TargetMode="External"/><Relationship Id="rId103" Type="http://schemas.openxmlformats.org/officeDocument/2006/relationships/hyperlink" Target="http://www.archanaskitchen.com/spicy-mixed-vegetable-lollipop-recipe" TargetMode="External"/><Relationship Id="rId310" Type="http://schemas.openxmlformats.org/officeDocument/2006/relationships/hyperlink" Target="https://www.archanaskitchen.com/green-apple-radish-pepper-salad-recipe" TargetMode="External"/><Relationship Id="rId548" Type="http://schemas.openxmlformats.org/officeDocument/2006/relationships/hyperlink" Target="https://www.archanaskitchen.com/strawberry-cheesecake-muffins-recipe" TargetMode="External"/><Relationship Id="rId755" Type="http://schemas.openxmlformats.org/officeDocument/2006/relationships/hyperlink" Target="https://www.archanaskitchen.com/tandoori-mayo-chickpea-stuffed-pita-recipe-with-pickled-onions-and-vegetables" TargetMode="External"/><Relationship Id="rId962" Type="http://schemas.openxmlformats.org/officeDocument/2006/relationships/hyperlink" Target="http://www.archanaskitchen.com/stir-fried-honey-parsnip-recipe-with-herbs" TargetMode="External"/><Relationship Id="rId91" Type="http://schemas.openxmlformats.org/officeDocument/2006/relationships/hyperlink" Target="https://www.archanaskitchen.com/quick-and-easy-chocolate-cupcake-recipe-with-eggless-option" TargetMode="External"/><Relationship Id="rId187" Type="http://schemas.openxmlformats.org/officeDocument/2006/relationships/hyperlink" Target="https://www.archanaskitchen.com/skillet-potato-and-eggs-recipe" TargetMode="External"/><Relationship Id="rId394" Type="http://schemas.openxmlformats.org/officeDocument/2006/relationships/hyperlink" Target="http://www.archanaskitchen.com/how-to-make-preserved-pineapple-recipe" TargetMode="External"/><Relationship Id="rId408" Type="http://schemas.openxmlformats.org/officeDocument/2006/relationships/hyperlink" Target="https://www.archanaskitchen.com/no-bake-cocoa-oats-cookies-recipe" TargetMode="External"/><Relationship Id="rId615" Type="http://schemas.openxmlformats.org/officeDocument/2006/relationships/hyperlink" Target="https://www.archanaskitchen.com/watermelon-pizza-recipe" TargetMode="External"/><Relationship Id="rId822" Type="http://schemas.openxmlformats.org/officeDocument/2006/relationships/hyperlink" Target="http://www.archanaskitchen.com/red-smoothie-bowl-recipe" TargetMode="External"/><Relationship Id="rId254" Type="http://schemas.openxmlformats.org/officeDocument/2006/relationships/hyperlink" Target="https://www.archanaskitchen.com/eggless-sugarless-oats-and-nuts-cookie-recipe" TargetMode="External"/><Relationship Id="rId699" Type="http://schemas.openxmlformats.org/officeDocument/2006/relationships/hyperlink" Target="http://www.archanaskitchen.com/banana-chia-seeds-muesli-muffin-recipe" TargetMode="External"/><Relationship Id="rId49" Type="http://schemas.openxmlformats.org/officeDocument/2006/relationships/hyperlink" Target="https://www.archanaskitchen.com/spiced-oat-whole-wheat-carrot-cake-recipe-egg-free-recipe-eggless" TargetMode="External"/><Relationship Id="rId114" Type="http://schemas.openxmlformats.org/officeDocument/2006/relationships/hyperlink" Target="http://www.archanaskitchen.com/strawberry-chocolate-rolls-recipe-with-vanilla-glaze" TargetMode="External"/><Relationship Id="rId461" Type="http://schemas.openxmlformats.org/officeDocument/2006/relationships/hyperlink" Target="http://www.archanaskitchen.com/sesame-potato-toast-recipe" TargetMode="External"/><Relationship Id="rId559" Type="http://schemas.openxmlformats.org/officeDocument/2006/relationships/hyperlink" Target="http://www.archanaskitchen.com/frozen-strawberry-yogurt-recipe" TargetMode="External"/><Relationship Id="rId766" Type="http://schemas.openxmlformats.org/officeDocument/2006/relationships/hyperlink" Target="https://www.archanaskitchen.com/corn-toast-recipe-with-moong-sprouts-vegetables" TargetMode="External"/><Relationship Id="rId198" Type="http://schemas.openxmlformats.org/officeDocument/2006/relationships/hyperlink" Target="http://www.archanaskitchen.com/spinach-dates-banana-smoothie-recipe" TargetMode="External"/><Relationship Id="rId321" Type="http://schemas.openxmlformats.org/officeDocument/2006/relationships/hyperlink" Target="https://www.archanaskitchen.com/eggless-dark-chocolate-cookies-with-almonds-recipe" TargetMode="External"/><Relationship Id="rId419" Type="http://schemas.openxmlformats.org/officeDocument/2006/relationships/hyperlink" Target="http://www.archanaskitchen.com/granola-yogurt-parfait-recipe-with-fresh-kiwi-pomegranates" TargetMode="External"/><Relationship Id="rId626" Type="http://schemas.openxmlformats.org/officeDocument/2006/relationships/hyperlink" Target="https://www.archanaskitchen.com/bread-waffle-pizza-recipe" TargetMode="External"/><Relationship Id="rId973" Type="http://schemas.openxmlformats.org/officeDocument/2006/relationships/hyperlink" Target="http://www.archanaskitchen.com/whole-wheat-roasted-vegetable-pizza-pockets-recipe" TargetMode="External"/><Relationship Id="rId833" Type="http://schemas.openxmlformats.org/officeDocument/2006/relationships/hyperlink" Target="https://www.archanaskitchen.com/mango-lemon-bar-recipe" TargetMode="External"/><Relationship Id="rId265" Type="http://schemas.openxmlformats.org/officeDocument/2006/relationships/hyperlink" Target="http://www.archanaskitchen.com/how-to-make-egg-free-mayonnaise-recipe-eggless" TargetMode="External"/><Relationship Id="rId472" Type="http://schemas.openxmlformats.org/officeDocument/2006/relationships/hyperlink" Target="http://www.archanaskitchen.com/cinnamon-rice-pudding-with-cherry-compote-recipe" TargetMode="External"/><Relationship Id="rId900" Type="http://schemas.openxmlformats.org/officeDocument/2006/relationships/hyperlink" Target="https://www.archanaskitchen.com/nutty-delight-smoothie-recipe" TargetMode="External"/><Relationship Id="rId125" Type="http://schemas.openxmlformats.org/officeDocument/2006/relationships/hyperlink" Target="https://www.archanaskitchen.com/spinach-apple-and-walnut-salad-recipe" TargetMode="External"/><Relationship Id="rId332" Type="http://schemas.openxmlformats.org/officeDocument/2006/relationships/hyperlink" Target="https://www.archanaskitchen.com/vegan-chocolate-mocha-banana-cake-recipe" TargetMode="External"/><Relationship Id="rId777" Type="http://schemas.openxmlformats.org/officeDocument/2006/relationships/hyperlink" Target="https://www.archanaskitchen.com/lemon-ginger-spice-detox-tea-recipe" TargetMode="External"/><Relationship Id="rId984" Type="http://schemas.openxmlformats.org/officeDocument/2006/relationships/hyperlink" Target="http://www.archanaskitchen.com/chilli-roasted-black-eyed-peas-recipe" TargetMode="External"/><Relationship Id="rId637" Type="http://schemas.openxmlformats.org/officeDocument/2006/relationships/hyperlink" Target="http://www.archanaskitchen.com/homemade-rose-flavoured-ice-cream-cake-recipe" TargetMode="External"/><Relationship Id="rId844" Type="http://schemas.openxmlformats.org/officeDocument/2006/relationships/hyperlink" Target="https://www.archanaskitchen.com/watermelon-basil-sei-white-tea-recipe-in-hindi" TargetMode="External"/><Relationship Id="rId276" Type="http://schemas.openxmlformats.org/officeDocument/2006/relationships/hyperlink" Target="https://www.archanaskitchen.com/chilled-spinach-and-cucumber-soup-recipe-in-hindi" TargetMode="External"/><Relationship Id="rId483" Type="http://schemas.openxmlformats.org/officeDocument/2006/relationships/hyperlink" Target="https://www.archanaskitchen.com/savory-ricotta-tart-recipe" TargetMode="External"/><Relationship Id="rId690" Type="http://schemas.openxmlformats.org/officeDocument/2006/relationships/hyperlink" Target="http://www.archanaskitchen.com/savory-melon-salad-recipe-spiced-with-ginger-mint" TargetMode="External"/><Relationship Id="rId704" Type="http://schemas.openxmlformats.org/officeDocument/2006/relationships/hyperlink" Target="http://www.archanaskitchen.com/savoury-yogurt-parfait-recipe" TargetMode="External"/><Relationship Id="rId911" Type="http://schemas.openxmlformats.org/officeDocument/2006/relationships/hyperlink" Target="https://www.archanaskitchen.com/fresh-fig-compote-recipe-for-desserts" TargetMode="External"/><Relationship Id="rId40" Type="http://schemas.openxmlformats.org/officeDocument/2006/relationships/hyperlink" Target="https://www.archanaskitchen.com/coconut-chocolate-balls-recipe" TargetMode="External"/><Relationship Id="rId136" Type="http://schemas.openxmlformats.org/officeDocument/2006/relationships/hyperlink" Target="http://www.archanaskitchen.com/grilled-herring-with-kasundi-mustard-and-wild-celery-recipe" TargetMode="External"/><Relationship Id="rId343" Type="http://schemas.openxmlformats.org/officeDocument/2006/relationships/hyperlink" Target="http://www.archanaskitchen.com/roasted-pumpkin-orange-and-urad-dal-salad-recipe" TargetMode="External"/><Relationship Id="rId550" Type="http://schemas.openxmlformats.org/officeDocument/2006/relationships/hyperlink" Target="http://www.archanaskitchen.com/baked-yogurt-with-honey-cinnamon-grilled-fruits-recipe" TargetMode="External"/><Relationship Id="rId788" Type="http://schemas.openxmlformats.org/officeDocument/2006/relationships/hyperlink" Target="https://www.archanaskitchen.com/roasted-chickpeas-with-apples-salad-recipe" TargetMode="External"/><Relationship Id="rId995" Type="http://schemas.openxmlformats.org/officeDocument/2006/relationships/hyperlink" Target="http://www.archanaskitchen.com/nut-filled-chocolate-pastry-recipe" TargetMode="External"/><Relationship Id="rId203" Type="http://schemas.openxmlformats.org/officeDocument/2006/relationships/hyperlink" Target="http://www.archanaskitchen.com/mushroom-and-broccoli-soup-recipe-in-hindi" TargetMode="External"/><Relationship Id="rId648" Type="http://schemas.openxmlformats.org/officeDocument/2006/relationships/hyperlink" Target="http://www.archanaskitchen.com/tomatoes-stuffed-with-mint-mayo-and-paneer-recipe" TargetMode="External"/><Relationship Id="rId855" Type="http://schemas.openxmlformats.org/officeDocument/2006/relationships/hyperlink" Target="https://www.archanaskitchen.com/figs-and-muesli-bread-pudding-recipe" TargetMode="External"/><Relationship Id="rId287" Type="http://schemas.openxmlformats.org/officeDocument/2006/relationships/hyperlink" Target="https://www.archanaskitchen.com/avocado-mint-soup-recipe" TargetMode="External"/><Relationship Id="rId410" Type="http://schemas.openxmlformats.org/officeDocument/2006/relationships/hyperlink" Target="https://www.archanaskitchen.com/mozzarella-basil-sandwiches-recipe" TargetMode="External"/><Relationship Id="rId494" Type="http://schemas.openxmlformats.org/officeDocument/2006/relationships/hyperlink" Target="https://www.archanaskitchen.com/cherry-tomato-cucumber-onion-salad-in-red-wine-vinaigrette-dressing-recipe" TargetMode="External"/><Relationship Id="rId508" Type="http://schemas.openxmlformats.org/officeDocument/2006/relationships/hyperlink" Target="https://www.archanaskitchen.com/double-chocolate-coconut-fudge-recipe" TargetMode="External"/><Relationship Id="rId715" Type="http://schemas.openxmlformats.org/officeDocument/2006/relationships/hyperlink" Target="http://www.archanaskitchen.com/spiced-carrot-and-onion-soup-recipe-in-hindi" TargetMode="External"/><Relationship Id="rId922" Type="http://schemas.openxmlformats.org/officeDocument/2006/relationships/hyperlink" Target="https://www.archanaskitchen.com/orange-apple-arugula-salad-recipe-with-honey-roasted-almonds-ginger-dressing" TargetMode="External"/><Relationship Id="rId147" Type="http://schemas.openxmlformats.org/officeDocument/2006/relationships/hyperlink" Target="http://www.archanaskitchen.com/orange-mocktail-recipe" TargetMode="External"/><Relationship Id="rId354" Type="http://schemas.openxmlformats.org/officeDocument/2006/relationships/hyperlink" Target="http://www.archanaskitchen.com/soulful-chicken-soup-recipe-in-hindi" TargetMode="External"/><Relationship Id="rId799" Type="http://schemas.openxmlformats.org/officeDocument/2006/relationships/hyperlink" Target="http://www.archanaskitchen.com/tofu-chocolate-mousse-recipe" TargetMode="External"/><Relationship Id="rId51" Type="http://schemas.openxmlformats.org/officeDocument/2006/relationships/hyperlink" Target="http://www.archanaskitchen.com/egg-white-omelette-recipe-with-spinach" TargetMode="External"/><Relationship Id="rId561" Type="http://schemas.openxmlformats.org/officeDocument/2006/relationships/hyperlink" Target="https://www.archanaskitchen.com/vegetarian-watermelon-jello-recipe" TargetMode="External"/><Relationship Id="rId659" Type="http://schemas.openxmlformats.org/officeDocument/2006/relationships/hyperlink" Target="http://www.archanaskitchen.com/shrimp-deviled-eggs-recipe" TargetMode="External"/><Relationship Id="rId866" Type="http://schemas.openxmlformats.org/officeDocument/2006/relationships/hyperlink" Target="https://www.archanaskitchen.com/oats-carrot-cake-cookies-recipe" TargetMode="External"/><Relationship Id="rId214" Type="http://schemas.openxmlformats.org/officeDocument/2006/relationships/hyperlink" Target="http://www.archanaskitchen.com/gingerbread-pancake-recipe" TargetMode="External"/><Relationship Id="rId298" Type="http://schemas.openxmlformats.org/officeDocument/2006/relationships/hyperlink" Target="http://www.archanaskitchen.com/spiced-carrot-olive-cake-recipe-with-eggless-egg-free-option" TargetMode="External"/><Relationship Id="rId421" Type="http://schemas.openxmlformats.org/officeDocument/2006/relationships/hyperlink" Target="https://www.archanaskitchen.com/irish-barm-brack-recipe" TargetMode="External"/><Relationship Id="rId519" Type="http://schemas.openxmlformats.org/officeDocument/2006/relationships/hyperlink" Target="http://www.archanaskitchen.com/mango-greek-yogurt-cheesecake-with-muesli-crumble-recipe" TargetMode="External"/><Relationship Id="rId158" Type="http://schemas.openxmlformats.org/officeDocument/2006/relationships/hyperlink" Target="http://www.archanaskitchen.com/sweet-potato-green-bean-salad-recipe" TargetMode="External"/><Relationship Id="rId726" Type="http://schemas.openxmlformats.org/officeDocument/2006/relationships/hyperlink" Target="https://www.archanaskitchen.com/apple-carrot-sweet-potato-soup-with-garam-masala-roasted-chickpeas-recipe" TargetMode="External"/><Relationship Id="rId933" Type="http://schemas.openxmlformats.org/officeDocument/2006/relationships/hyperlink" Target="http://www.archanaskitchen.com/oats-peanut-butter-chocolate-chip-trail-mix-recipe" TargetMode="External"/><Relationship Id="rId1009" Type="http://schemas.openxmlformats.org/officeDocument/2006/relationships/hyperlink" Target="https://www.archanaskitchen.com/whole-wheat-waffles-with-caramelised-bananas-egg-and-eggless-recipe" TargetMode="External"/><Relationship Id="rId62" Type="http://schemas.openxmlformats.org/officeDocument/2006/relationships/hyperlink" Target="https://www.archanaskitchen.com/whole-wheat-eggless-cinnamon-raisin-swirl-bread-recipe" TargetMode="External"/><Relationship Id="rId365" Type="http://schemas.openxmlformats.org/officeDocument/2006/relationships/hyperlink" Target="http://www.archanaskitchen.com/new-york-style-baked-cheesecake-recipe" TargetMode="External"/><Relationship Id="rId572" Type="http://schemas.openxmlformats.org/officeDocument/2006/relationships/hyperlink" Target="http://www.archanaskitchen.com/spiced-carrot-soup-recipe" TargetMode="External"/><Relationship Id="rId225" Type="http://schemas.openxmlformats.org/officeDocument/2006/relationships/hyperlink" Target="http://www.archanaskitchen.com/white-chocolate-maltesers-fudge-recipe" TargetMode="External"/><Relationship Id="rId432" Type="http://schemas.openxmlformats.org/officeDocument/2006/relationships/hyperlink" Target="http://www.archanaskitchen.com/roasted-cherry-tomato-soup-recipe-in-hindi" TargetMode="External"/><Relationship Id="rId877" Type="http://schemas.openxmlformats.org/officeDocument/2006/relationships/hyperlink" Target="http://www.archanaskitchen.com/homemade-harissa-paste-recipe" TargetMode="External"/><Relationship Id="rId737" Type="http://schemas.openxmlformats.org/officeDocument/2006/relationships/hyperlink" Target="http://www.archanaskitchen.com/healthy-lemon-cupcakes-recipe-eggless" TargetMode="External"/><Relationship Id="rId944" Type="http://schemas.openxmlformats.org/officeDocument/2006/relationships/hyperlink" Target="http://www.archanaskitchen.com/carrot-cake-recipe-for-healthy-heart" TargetMode="External"/><Relationship Id="rId73" Type="http://schemas.openxmlformats.org/officeDocument/2006/relationships/hyperlink" Target="https://www.archanaskitchen.com/vegan-burger-recipe-with-beans-and-tofu-patty" TargetMode="External"/><Relationship Id="rId169" Type="http://schemas.openxmlformats.org/officeDocument/2006/relationships/hyperlink" Target="https://www.archanaskitchen.com/eggless-wholewheat-and-custard-powder-coconut-cookies-recipe" TargetMode="External"/><Relationship Id="rId376" Type="http://schemas.openxmlformats.org/officeDocument/2006/relationships/hyperlink" Target="http://www.archanaskitchen.com/peanut-butter-oat-almond-energy-bar-recipe" TargetMode="External"/><Relationship Id="rId583" Type="http://schemas.openxmlformats.org/officeDocument/2006/relationships/hyperlink" Target="https://www.archanaskitchen.com/sparkling-strawberry-mocktail-recipe" TargetMode="External"/><Relationship Id="rId790" Type="http://schemas.openxmlformats.org/officeDocument/2006/relationships/hyperlink" Target="http://www.archanaskitchen.com/fusion-wrap-recipe-mixed-vegetables-wrapped-in-tortilla" TargetMode="External"/><Relationship Id="rId804" Type="http://schemas.openxmlformats.org/officeDocument/2006/relationships/hyperlink" Target="http://www.archanaskitchen.com/couscous-salad-with-cucumber-and-feta-cheese-recipe" TargetMode="External"/><Relationship Id="rId4" Type="http://schemas.openxmlformats.org/officeDocument/2006/relationships/hyperlink" Target="http://www.archanaskitchen.com/whole-wheat-pita-bread-recipe" TargetMode="External"/><Relationship Id="rId236" Type="http://schemas.openxmlformats.org/officeDocument/2006/relationships/hyperlink" Target="http://www.archanaskitchen.com/chocolate-crinkle-cookies-recipe" TargetMode="External"/><Relationship Id="rId443" Type="http://schemas.openxmlformats.org/officeDocument/2006/relationships/hyperlink" Target="http://www.archanaskitchen.com/rye-breakfast-sandwich-with-cucumber-and-eggs-recipe" TargetMode="External"/><Relationship Id="rId650" Type="http://schemas.openxmlformats.org/officeDocument/2006/relationships/hyperlink" Target="https://www.archanaskitchen.com/open-toast-with-egg-tomato-spinach-recipe" TargetMode="External"/><Relationship Id="rId888" Type="http://schemas.openxmlformats.org/officeDocument/2006/relationships/hyperlink" Target="https://www.archanaskitchen.com/fresh-basil-pesto-recipe" TargetMode="External"/><Relationship Id="rId303" Type="http://schemas.openxmlformats.org/officeDocument/2006/relationships/hyperlink" Target="https://www.archanaskitchen.com/eggless-saffron-laced-almond-cookies-recipe" TargetMode="External"/><Relationship Id="rId748" Type="http://schemas.openxmlformats.org/officeDocument/2006/relationships/hyperlink" Target="https://www.archanaskitchen.com/sweet-potato-avocado-brownie-bites-recipe" TargetMode="External"/><Relationship Id="rId955" Type="http://schemas.openxmlformats.org/officeDocument/2006/relationships/hyperlink" Target="http://www.archanaskitchen.com/homemade-quick-puff-pastry-sheet-recipe-perfect-for-puffs-tarts-pies" TargetMode="External"/><Relationship Id="rId84" Type="http://schemas.openxmlformats.org/officeDocument/2006/relationships/hyperlink" Target="http://www.archanaskitchen.com/eggplant-steaks-recipe" TargetMode="External"/><Relationship Id="rId387" Type="http://schemas.openxmlformats.org/officeDocument/2006/relationships/hyperlink" Target="https://www.archanaskitchen.com/basic-homemade-bread-recipe-using-yeast" TargetMode="External"/><Relationship Id="rId510" Type="http://schemas.openxmlformats.org/officeDocument/2006/relationships/hyperlink" Target="https://www.archanaskitchen.com/spiced-chocolate-and-beetroot-tea-cake-recipe" TargetMode="External"/><Relationship Id="rId594" Type="http://schemas.openxmlformats.org/officeDocument/2006/relationships/hyperlink" Target="https://www.archanaskitchen.com/israeli-couscous-salad-recipe" TargetMode="External"/><Relationship Id="rId608" Type="http://schemas.openxmlformats.org/officeDocument/2006/relationships/hyperlink" Target="http://www.archanaskitchen.com/whole-wheat-fruit-and-nut-cup-cake-recipe" TargetMode="External"/><Relationship Id="rId815" Type="http://schemas.openxmlformats.org/officeDocument/2006/relationships/hyperlink" Target="https://www.archanaskitchen.com/vegetable-barley-soup-recipe" TargetMode="External"/><Relationship Id="rId247" Type="http://schemas.openxmlformats.org/officeDocument/2006/relationships/hyperlink" Target="http://www.archanaskitchen.com/herbed-potato-salad-recipe" TargetMode="External"/><Relationship Id="rId899" Type="http://schemas.openxmlformats.org/officeDocument/2006/relationships/hyperlink" Target="https://www.archanaskitchen.com/spinach-and-banana-smoothie-recipe" TargetMode="External"/><Relationship Id="rId1000" Type="http://schemas.openxmlformats.org/officeDocument/2006/relationships/hyperlink" Target="http://www.archanaskitchen.com/hawaiian-chicken-skewers-recipe" TargetMode="External"/><Relationship Id="rId107" Type="http://schemas.openxmlformats.org/officeDocument/2006/relationships/hyperlink" Target="https://www.archanaskitchen.com/fruit-sandwich-recipe" TargetMode="External"/><Relationship Id="rId454" Type="http://schemas.openxmlformats.org/officeDocument/2006/relationships/hyperlink" Target="https://www.archanaskitchen.com/broccoli-orange-asian-salad-recipe" TargetMode="External"/><Relationship Id="rId661" Type="http://schemas.openxmlformats.org/officeDocument/2006/relationships/hyperlink" Target="http://www.archanaskitchen.com/nutella-kiwi-filled-whole-wheat-crepe-recipe-made-from-zespri-kiwifruit" TargetMode="External"/><Relationship Id="rId759" Type="http://schemas.openxmlformats.org/officeDocument/2006/relationships/hyperlink" Target="https://www.archanaskitchen.com/orange-cranberry-cupcakes-recipe" TargetMode="External"/><Relationship Id="rId966" Type="http://schemas.openxmlformats.org/officeDocument/2006/relationships/hyperlink" Target="https://www.archanaskitchen.com/spicy-mango-lime-grilled-chicken-recipe" TargetMode="External"/><Relationship Id="rId11" Type="http://schemas.openxmlformats.org/officeDocument/2006/relationships/hyperlink" Target="http://www.archanaskitchen.com/carrot-corn-mayo-pancake-recipe-with-sandwich-spread" TargetMode="External"/><Relationship Id="rId314" Type="http://schemas.openxmlformats.org/officeDocument/2006/relationships/hyperlink" Target="http://www.archanaskitchen.com/classic-banana-walnut-steamed-bread-recipe-in-preethi-electric-pressure-cooker" TargetMode="External"/><Relationship Id="rId398" Type="http://schemas.openxmlformats.org/officeDocument/2006/relationships/hyperlink" Target="https://www.archanaskitchen.com/ribs-with-guava-barbecue-sauce-recipe" TargetMode="External"/><Relationship Id="rId521" Type="http://schemas.openxmlformats.org/officeDocument/2006/relationships/hyperlink" Target="http://www.archanaskitchen.com/cape-gooseberry-salad-recipe" TargetMode="External"/><Relationship Id="rId619" Type="http://schemas.openxmlformats.org/officeDocument/2006/relationships/hyperlink" Target="https://www.archanaskitchen.com/spinach-banana-muffin-recipe" TargetMode="External"/><Relationship Id="rId95" Type="http://schemas.openxmlformats.org/officeDocument/2006/relationships/hyperlink" Target="http://www.archanaskitchen.com/french-toast-blt-bagel-sandwich-recipe" TargetMode="External"/><Relationship Id="rId160" Type="http://schemas.openxmlformats.org/officeDocument/2006/relationships/hyperlink" Target="http://www.archanaskitchen.com/cumin-spiced-potato-and-leek-soup-recipe" TargetMode="External"/><Relationship Id="rId826" Type="http://schemas.openxmlformats.org/officeDocument/2006/relationships/hyperlink" Target="http://www.archanaskitchen.com/jalapeno-cilantro-lime-rice-recipe" TargetMode="External"/><Relationship Id="rId1011" Type="http://schemas.openxmlformats.org/officeDocument/2006/relationships/hyperlink" Target="http://www.archanaskitchen.com/bell-pepper-parsley-rice-recipe" TargetMode="External"/><Relationship Id="rId258" Type="http://schemas.openxmlformats.org/officeDocument/2006/relationships/hyperlink" Target="http://www.archanaskitchen.com/no-churn-strawberry-ice-cream-recipe" TargetMode="External"/><Relationship Id="rId465" Type="http://schemas.openxmlformats.org/officeDocument/2006/relationships/hyperlink" Target="http://www.archanaskitchen.com/mango-popsicle-recipe" TargetMode="External"/><Relationship Id="rId672" Type="http://schemas.openxmlformats.org/officeDocument/2006/relationships/hyperlink" Target="https://www.archanaskitchen.com/cheesy-bread-pizza-recipe-with-roasted-veggies-kids-recipes-made-with-del-monte" TargetMode="External"/><Relationship Id="rId22" Type="http://schemas.openxmlformats.org/officeDocument/2006/relationships/hyperlink" Target="http://www.archanaskitchen.com/potato-pancakes-recipe" TargetMode="External"/><Relationship Id="rId118" Type="http://schemas.openxmlformats.org/officeDocument/2006/relationships/hyperlink" Target="http://www.archanaskitchen.com/broad-bean-and-courgette-zucchini-pilaf-pulao-recipe" TargetMode="External"/><Relationship Id="rId325" Type="http://schemas.openxmlformats.org/officeDocument/2006/relationships/hyperlink" Target="http://www.archanaskitchen.com/overnight-oats-recipe-no-cook-blueberry-vanilla-and-chia-seeds-oatmeal" TargetMode="External"/><Relationship Id="rId532" Type="http://schemas.openxmlformats.org/officeDocument/2006/relationships/hyperlink" Target="http://www.archanaskitchen.com/oatmeal-banana-mini-cake-recipe-with-walnuts" TargetMode="External"/><Relationship Id="rId977" Type="http://schemas.openxmlformats.org/officeDocument/2006/relationships/hyperlink" Target="https://www.archanaskitchen.com/cheese-garlic-cracked-bread-recipe" TargetMode="External"/><Relationship Id="rId171" Type="http://schemas.openxmlformats.org/officeDocument/2006/relationships/hyperlink" Target="https://www.archanaskitchen.com/leftover-carrot-cake-mini-trifle-recipe" TargetMode="External"/><Relationship Id="rId837" Type="http://schemas.openxmlformats.org/officeDocument/2006/relationships/hyperlink" Target="http://www.archanaskitchen.com/ajo-blanco-recipe-chilled-white-grape-and-almond-gazpacho" TargetMode="External"/><Relationship Id="rId269" Type="http://schemas.openxmlformats.org/officeDocument/2006/relationships/hyperlink" Target="https://www.archanaskitchen.com/old-fashioned-pound-cake-with-egg-and-eggless-recipe" TargetMode="External"/><Relationship Id="rId476" Type="http://schemas.openxmlformats.org/officeDocument/2006/relationships/hyperlink" Target="http://www.archanaskitchen.com/banana-yogurt-and-walnut-smoothie-recipe" TargetMode="External"/><Relationship Id="rId683" Type="http://schemas.openxmlformats.org/officeDocument/2006/relationships/hyperlink" Target="http://www.archanaskitchen.com/khus-and-cucumber-mojito-recipe" TargetMode="External"/><Relationship Id="rId890" Type="http://schemas.openxmlformats.org/officeDocument/2006/relationships/hyperlink" Target="https://www.archanaskitchen.com/grilled-cheese-sandwich-recipe-with-scrambled-eggs" TargetMode="External"/><Relationship Id="rId904" Type="http://schemas.openxmlformats.org/officeDocument/2006/relationships/hyperlink" Target="http://www.archanaskitchen.com/almond-milk-chia-seeds-pudding-with-fresh-fruits-recipe" TargetMode="External"/><Relationship Id="rId33" Type="http://schemas.openxmlformats.org/officeDocument/2006/relationships/hyperlink" Target="https://www.archanaskitchen.com/papaya-orange-pomegranate-salad-recipe-with-roasted-peanuts" TargetMode="External"/><Relationship Id="rId129" Type="http://schemas.openxmlformats.org/officeDocument/2006/relationships/hyperlink" Target="http://www.archanaskitchen.com/breakfast-bar-recipe-with-berries-quinoa-oats" TargetMode="External"/><Relationship Id="rId336" Type="http://schemas.openxmlformats.org/officeDocument/2006/relationships/hyperlink" Target="https://www.archanaskitchen.com/creamy-mushroom-mini-pie-recipe" TargetMode="External"/><Relationship Id="rId543" Type="http://schemas.openxmlformats.org/officeDocument/2006/relationships/hyperlink" Target="http://www.archanaskitchen.com/healthy-amaranth-potato-thyme-croquette-recipe" TargetMode="External"/><Relationship Id="rId988" Type="http://schemas.openxmlformats.org/officeDocument/2006/relationships/hyperlink" Target="https://www.archanaskitchen.com/spinach-salad-with-boiled-eggs-and-mushrooms-recipe" TargetMode="External"/><Relationship Id="rId182" Type="http://schemas.openxmlformats.org/officeDocument/2006/relationships/hyperlink" Target="http://www.archanaskitchen.com/vegan-cashew-mayonnaise-recipe" TargetMode="External"/><Relationship Id="rId403" Type="http://schemas.openxmlformats.org/officeDocument/2006/relationships/hyperlink" Target="http://www.archanaskitchen.com/smoky-eggplant-soup-recipe-in-hindi" TargetMode="External"/><Relationship Id="rId750" Type="http://schemas.openxmlformats.org/officeDocument/2006/relationships/hyperlink" Target="http://www.archanaskitchen.com/masala-omelette-sliders-recipe-high-protein-breakfast" TargetMode="External"/><Relationship Id="rId848" Type="http://schemas.openxmlformats.org/officeDocument/2006/relationships/hyperlink" Target="https://www.archanaskitchen.com/glazed-apples-and-banana-wheat-crumb-tart-recipe" TargetMode="External"/><Relationship Id="rId487" Type="http://schemas.openxmlformats.org/officeDocument/2006/relationships/hyperlink" Target="http://www.archanaskitchen.com/protein-rich-paneer-and-horse-gram-soup-recipe" TargetMode="External"/><Relationship Id="rId610" Type="http://schemas.openxmlformats.org/officeDocument/2006/relationships/hyperlink" Target="http://www.archanaskitchen.com/oats-omelette-recipe" TargetMode="External"/><Relationship Id="rId694" Type="http://schemas.openxmlformats.org/officeDocument/2006/relationships/hyperlink" Target="https://www.archanaskitchen.com/roasted-baby-potatoes-recipe" TargetMode="External"/><Relationship Id="rId708" Type="http://schemas.openxmlformats.org/officeDocument/2006/relationships/hyperlink" Target="http://www.archanaskitchen.com/quinoa-veg-soup-bolivian-style-stew-recipe" TargetMode="External"/><Relationship Id="rId915" Type="http://schemas.openxmlformats.org/officeDocument/2006/relationships/hyperlink" Target="http://www.archanaskitchen.com/watermelon-cranberry-mocktail-recipe" TargetMode="External"/><Relationship Id="rId347" Type="http://schemas.openxmlformats.org/officeDocument/2006/relationships/hyperlink" Target="https://www.archanaskitchen.com/eggless-gluten-free-oats-banana-brownie-recipe" TargetMode="External"/><Relationship Id="rId999" Type="http://schemas.openxmlformats.org/officeDocument/2006/relationships/hyperlink" Target="http://www.archanaskitchen.com/wheat-berry-salad-with-cranberries-recipe" TargetMode="External"/><Relationship Id="rId44" Type="http://schemas.openxmlformats.org/officeDocument/2006/relationships/hyperlink" Target="https://www.archanaskitchen.com/coriander-prawn-cakes-recipe" TargetMode="External"/><Relationship Id="rId554" Type="http://schemas.openxmlformats.org/officeDocument/2006/relationships/hyperlink" Target="https://www.archanaskitchen.com/chicken-steak-recipe-with-pan-roasted-vegetables-potato-mash" TargetMode="External"/><Relationship Id="rId761" Type="http://schemas.openxmlformats.org/officeDocument/2006/relationships/hyperlink" Target="https://www.archanaskitchen.com/steamed-vegetables-with-chilli-lime-butter-recipe" TargetMode="External"/><Relationship Id="rId859" Type="http://schemas.openxmlformats.org/officeDocument/2006/relationships/hyperlink" Target="http://www.archanaskitchen.com/dates-chocolate-nut-balls-recipe-energy-balls-recipe" TargetMode="External"/><Relationship Id="rId193" Type="http://schemas.openxmlformats.org/officeDocument/2006/relationships/hyperlink" Target="https://www.archanaskitchen.com/tangy-tomato-pie-tart-recipe" TargetMode="External"/><Relationship Id="rId207" Type="http://schemas.openxmlformats.org/officeDocument/2006/relationships/hyperlink" Target="https://www.archanaskitchen.com/sweet-chili-orange-chicken-recipe" TargetMode="External"/><Relationship Id="rId414" Type="http://schemas.openxmlformats.org/officeDocument/2006/relationships/hyperlink" Target="http://www.archanaskitchen.com/crunchy-carrots-in-hot-dogs-buns-recipe" TargetMode="External"/><Relationship Id="rId498" Type="http://schemas.openxmlformats.org/officeDocument/2006/relationships/hyperlink" Target="http://www.archanaskitchen.com/giant-skillet-cookie-recipe" TargetMode="External"/><Relationship Id="rId621" Type="http://schemas.openxmlformats.org/officeDocument/2006/relationships/hyperlink" Target="http://www.archanaskitchen.com/pesto-paneer-stuffed-french-toast-recipe" TargetMode="External"/><Relationship Id="rId260" Type="http://schemas.openxmlformats.org/officeDocument/2006/relationships/hyperlink" Target="https://www.archanaskitchen.com/sweet-potato-celery-and-peanut-soup-recipe" TargetMode="External"/><Relationship Id="rId719" Type="http://schemas.openxmlformats.org/officeDocument/2006/relationships/hyperlink" Target="https://www.archanaskitchen.com/beetroot-carrot-tomato-ginger-juice-recipe" TargetMode="External"/><Relationship Id="rId926" Type="http://schemas.openxmlformats.org/officeDocument/2006/relationships/hyperlink" Target="http://www.archanaskitchen.com/broccoli-oats-smoothie-bowl-recipe" TargetMode="External"/><Relationship Id="rId55" Type="http://schemas.openxmlformats.org/officeDocument/2006/relationships/hyperlink" Target="https://www.archanaskitchen.com/broccoli-soup-recipe-for-babies-toddlers-above-7-months" TargetMode="External"/><Relationship Id="rId120" Type="http://schemas.openxmlformats.org/officeDocument/2006/relationships/hyperlink" Target="http://www.archanaskitchen.com/nutty-oats-and-berry-truffle-recipe" TargetMode="External"/><Relationship Id="rId358" Type="http://schemas.openxmlformats.org/officeDocument/2006/relationships/hyperlink" Target="http://www.archanaskitchen.com/simple-winter-salad-with-beet-carrots-feta-recipe" TargetMode="External"/><Relationship Id="rId565" Type="http://schemas.openxmlformats.org/officeDocument/2006/relationships/hyperlink" Target="https://www.archanaskitchen.com/grilled-cheese-sandwich-recipe-made-with-paneer-potato" TargetMode="External"/><Relationship Id="rId772" Type="http://schemas.openxmlformats.org/officeDocument/2006/relationships/hyperlink" Target="http://www.archanaskitchen.com/homemade-trail-mix-recipe-with-dry-fruits" TargetMode="External"/><Relationship Id="rId218" Type="http://schemas.openxmlformats.org/officeDocument/2006/relationships/hyperlink" Target="http://www.archanaskitchen.com/spinach-egg-muffins-recipe" TargetMode="External"/><Relationship Id="rId425" Type="http://schemas.openxmlformats.org/officeDocument/2006/relationships/hyperlink" Target="https://www.archanaskitchen.com/quinoa-with-grilled-zucchini-chickpea-recipe" TargetMode="External"/><Relationship Id="rId632" Type="http://schemas.openxmlformats.org/officeDocument/2006/relationships/hyperlink" Target="http://www.archanaskitchen.com/salted-caramel-ice-cream-recipe-with-salted-roasted-almonds" TargetMode="External"/><Relationship Id="rId271" Type="http://schemas.openxmlformats.org/officeDocument/2006/relationships/hyperlink" Target="http://www.archanaskitchen.com/russian-radish-cucumber-salad-recipe" TargetMode="External"/><Relationship Id="rId937" Type="http://schemas.openxmlformats.org/officeDocument/2006/relationships/hyperlink" Target="http://www.archanaskitchen.com/mango-milkshake-recipe-mango-smoothie-in-hindi" TargetMode="External"/><Relationship Id="rId66" Type="http://schemas.openxmlformats.org/officeDocument/2006/relationships/hyperlink" Target="https://www.archanaskitchen.com/strawberry-chocolate-loaf-cake-recipe" TargetMode="External"/><Relationship Id="rId131" Type="http://schemas.openxmlformats.org/officeDocument/2006/relationships/hyperlink" Target="https://www.archanaskitchen.com/oven-baked-sweet-potato-fries-recipe" TargetMode="External"/><Relationship Id="rId369" Type="http://schemas.openxmlformats.org/officeDocument/2006/relationships/hyperlink" Target="http://www.archanaskitchen.com/no-bake-peanut-butter-granola-bars-recipe-in-hindi" TargetMode="External"/><Relationship Id="rId576" Type="http://schemas.openxmlformats.org/officeDocument/2006/relationships/hyperlink" Target="http://www.archanaskitchen.com/apple-and-raisin-chutney-recipe" TargetMode="External"/><Relationship Id="rId783" Type="http://schemas.openxmlformats.org/officeDocument/2006/relationships/hyperlink" Target="https://www.archanaskitchen.com/mushroom-bean-sloppy-joe-recipe" TargetMode="External"/><Relationship Id="rId990" Type="http://schemas.openxmlformats.org/officeDocument/2006/relationships/hyperlink" Target="http://www.archanaskitchen.com/white-chocolate-pistachio-bars-recipe-white-chocolate-pistachio-fudge" TargetMode="External"/><Relationship Id="rId229" Type="http://schemas.openxmlformats.org/officeDocument/2006/relationships/hyperlink" Target="https://www.archanaskitchen.com/whole-wheat-crepes-with-roasted-vegetables-and-white-sauce-recipe" TargetMode="External"/><Relationship Id="rId436" Type="http://schemas.openxmlformats.org/officeDocument/2006/relationships/hyperlink" Target="http://www.archanaskitchen.com/dairyfree-balsamic-strawberry-ice-cream-recipe" TargetMode="External"/><Relationship Id="rId643" Type="http://schemas.openxmlformats.org/officeDocument/2006/relationships/hyperlink" Target="http://www.archanaskitchen.com/peri-peri-fish-fingers-recipe" TargetMode="External"/><Relationship Id="rId850" Type="http://schemas.openxmlformats.org/officeDocument/2006/relationships/hyperlink" Target="https://www.archanaskitchen.com/chopped-spinach-and-pomegranate-salad-recipe" TargetMode="External"/><Relationship Id="rId948" Type="http://schemas.openxmlformats.org/officeDocument/2006/relationships/hyperlink" Target="https://www.archanaskitchen.com/eggless-nutella-swirl-cupcakes-recipe" TargetMode="External"/><Relationship Id="rId77" Type="http://schemas.openxmlformats.org/officeDocument/2006/relationships/hyperlink" Target="https://www.archanaskitchen.com/vegetarian-sloppy-joe-recipe-kids-recipes-made-with-del-monte" TargetMode="External"/><Relationship Id="rId282" Type="http://schemas.openxmlformats.org/officeDocument/2006/relationships/hyperlink" Target="https://www.archanaskitchen.com/pan-grilled-balsamic-chicken-breast-and-mushrooms-recipe" TargetMode="External"/><Relationship Id="rId503" Type="http://schemas.openxmlformats.org/officeDocument/2006/relationships/hyperlink" Target="https://www.archanaskitchen.com/roasted-cherry-tomato-soup-recipe" TargetMode="External"/><Relationship Id="rId587" Type="http://schemas.openxmlformats.org/officeDocument/2006/relationships/hyperlink" Target="https://www.archanaskitchen.com/rustic-cottage-pie-with-mushroom-sauce-recipe" TargetMode="External"/><Relationship Id="rId710" Type="http://schemas.openxmlformats.org/officeDocument/2006/relationships/hyperlink" Target="https://www.archanaskitchen.com/8-ingredient-sugar-free-granola-parfait-recipe" TargetMode="External"/><Relationship Id="rId808" Type="http://schemas.openxmlformats.org/officeDocument/2006/relationships/hyperlink" Target="http://www.archanaskitchen.com/fresh-fruit-bowl-recipe" TargetMode="External"/><Relationship Id="rId8" Type="http://schemas.openxmlformats.org/officeDocument/2006/relationships/hyperlink" Target="http://www.archanaskitchen.com/mango-donut-cake-with-chocolate-glaze-recipe" TargetMode="External"/><Relationship Id="rId142" Type="http://schemas.openxmlformats.org/officeDocument/2006/relationships/hyperlink" Target="https://www.archanaskitchen.com/strawberry-smoothie-bowl-with-chia-seeds-and-muesli-recipe" TargetMode="External"/><Relationship Id="rId447" Type="http://schemas.openxmlformats.org/officeDocument/2006/relationships/hyperlink" Target="https://www.archanaskitchen.com/eggless-boston-cream-cupcake-recipe-with-vegan-option" TargetMode="External"/><Relationship Id="rId794" Type="http://schemas.openxmlformats.org/officeDocument/2006/relationships/hyperlink" Target="https://www.archanaskitchen.com/beans-on-toast-recipe" TargetMode="External"/><Relationship Id="rId654" Type="http://schemas.openxmlformats.org/officeDocument/2006/relationships/hyperlink" Target="https://www.archanaskitchen.com/vegan-glutenfree-banana-bread-recipe" TargetMode="External"/><Relationship Id="rId861" Type="http://schemas.openxmlformats.org/officeDocument/2006/relationships/hyperlink" Target="http://www.archanaskitchen.com/strawberry-salad-recipe-in-hindi" TargetMode="External"/><Relationship Id="rId959" Type="http://schemas.openxmlformats.org/officeDocument/2006/relationships/hyperlink" Target="https://www.archanaskitchen.com/napa-cabbage-coleslaw-with-greek-yogurt-recipe" TargetMode="External"/><Relationship Id="rId293" Type="http://schemas.openxmlformats.org/officeDocument/2006/relationships/hyperlink" Target="https://www.archanaskitchen.com/banana-and-mango-smoothie-recipe-with-yogurt" TargetMode="External"/><Relationship Id="rId307" Type="http://schemas.openxmlformats.org/officeDocument/2006/relationships/hyperlink" Target="https://www.archanaskitchen.com/buttered-broccoli-poriyal-or-sabzi-recipe-for-babies-and-toddlers-over-10-months" TargetMode="External"/><Relationship Id="rId514" Type="http://schemas.openxmlformats.org/officeDocument/2006/relationships/hyperlink" Target="http://www.archanaskitchen.com/cheese-crackers-recipe" TargetMode="External"/><Relationship Id="rId721" Type="http://schemas.openxmlformats.org/officeDocument/2006/relationships/hyperlink" Target="https://www.archanaskitchen.com/choco-berry-chia-parfait-recipe" TargetMode="External"/><Relationship Id="rId88" Type="http://schemas.openxmlformats.org/officeDocument/2006/relationships/hyperlink" Target="http://www.archanaskitchen.com/fennel-potato-croquettes-with-paneer-recipe" TargetMode="External"/><Relationship Id="rId153" Type="http://schemas.openxmlformats.org/officeDocument/2006/relationships/hyperlink" Target="http://www.archanaskitchen.com/apple-pancake-mess-recipe" TargetMode="External"/><Relationship Id="rId360" Type="http://schemas.openxmlformats.org/officeDocument/2006/relationships/hyperlink" Target="https://www.archanaskitchen.com/spirulina-and-mint-basil-pesto-recipe" TargetMode="External"/><Relationship Id="rId598" Type="http://schemas.openxmlformats.org/officeDocument/2006/relationships/hyperlink" Target="https://www.archanaskitchen.com/cold-phyllo-tartlets-with-cream-cheese-and-dill-toppings-recipe" TargetMode="External"/><Relationship Id="rId819" Type="http://schemas.openxmlformats.org/officeDocument/2006/relationships/hyperlink" Target="http://www.archanaskitchen.com/eggless-paneer-mc-puff-recipe-mc-donald-s-style" TargetMode="External"/><Relationship Id="rId1004" Type="http://schemas.openxmlformats.org/officeDocument/2006/relationships/hyperlink" Target="https://www.archanaskitchen.com/carrot-cake-overnight-oats-recipe" TargetMode="External"/><Relationship Id="rId220" Type="http://schemas.openxmlformats.org/officeDocument/2006/relationships/hyperlink" Target="http://www.archanaskitchen.com/chilli-chocolate-cookies-recipe" TargetMode="External"/><Relationship Id="rId458" Type="http://schemas.openxmlformats.org/officeDocument/2006/relationships/hyperlink" Target="https://www.archanaskitchen.com/grilled-basil-pesto-chicken-sub-sandwich-recipe" TargetMode="External"/><Relationship Id="rId665" Type="http://schemas.openxmlformats.org/officeDocument/2006/relationships/hyperlink" Target="http://www.archanaskitchen.com/blueberry-mango-marble-froyo-bars-recipe" TargetMode="External"/><Relationship Id="rId872" Type="http://schemas.openxmlformats.org/officeDocument/2006/relationships/hyperlink" Target="http://www.archanaskitchen.com/french-toast-oatmeal-bake-recipe" TargetMode="External"/><Relationship Id="rId15" Type="http://schemas.openxmlformats.org/officeDocument/2006/relationships/hyperlink" Target="https://www.archanaskitchen.com/devils-food-cake-recipe-with-eggless-egg-free-option" TargetMode="External"/><Relationship Id="rId318" Type="http://schemas.openxmlformats.org/officeDocument/2006/relationships/hyperlink" Target="http://www.archanaskitchen.com/stuffed-mushrooms-with-spinach-parmesan-recipe" TargetMode="External"/><Relationship Id="rId525" Type="http://schemas.openxmlformats.org/officeDocument/2006/relationships/hyperlink" Target="http://www.archanaskitchen.com/spicy-hot-chocolate-recipe-perfect-drink-for-a-rainy-day-or-winters" TargetMode="External"/><Relationship Id="rId732" Type="http://schemas.openxmlformats.org/officeDocument/2006/relationships/hyperlink" Target="http://www.archanaskitchen.com/whole-wheat-crepe-with-eggs-and-roasted-peppers-recipe" TargetMode="External"/><Relationship Id="rId99" Type="http://schemas.openxmlformats.org/officeDocument/2006/relationships/hyperlink" Target="https://www.archanaskitchen.com/eggless-christmas-tree-chocolate-cookies-recipe" TargetMode="External"/><Relationship Id="rId164" Type="http://schemas.openxmlformats.org/officeDocument/2006/relationships/hyperlink" Target="http://www.archanaskitchen.com/beet-carrot-and-apple-salad-in-orange-mustard-vinaigrette-recipe" TargetMode="External"/><Relationship Id="rId371" Type="http://schemas.openxmlformats.org/officeDocument/2006/relationships/hyperlink" Target="http://www.archanaskitchen.com/mushroom-and-beet-wellington-with-red-vinegratte-sauce-recipe" TargetMode="External"/><Relationship Id="rId1015" Type="http://schemas.openxmlformats.org/officeDocument/2006/relationships/hyperlink" Target="https://www.archanaskitchen.com/black-soya-bean-and-walnut-burger-recipe" TargetMode="External"/><Relationship Id="rId469" Type="http://schemas.openxmlformats.org/officeDocument/2006/relationships/hyperlink" Target="https://www.archanaskitchen.com/tuna-roasted-mushroom-sandwich-recipe-with-tartare-dip-mayo" TargetMode="External"/><Relationship Id="rId676" Type="http://schemas.openxmlformats.org/officeDocument/2006/relationships/hyperlink" Target="http://www.archanaskitchen.com/beetroot-soft-tart-recipe" TargetMode="External"/><Relationship Id="rId883" Type="http://schemas.openxmlformats.org/officeDocument/2006/relationships/hyperlink" Target="http://www.archanaskitchen.com/3-ingredients-banana-ice-cream-recipe-healthy-version" TargetMode="External"/><Relationship Id="rId26" Type="http://schemas.openxmlformats.org/officeDocument/2006/relationships/hyperlink" Target="http://www.archanaskitchen.com/asian-style-honey-soy-sticky-chicken-recipe" TargetMode="External"/><Relationship Id="rId231" Type="http://schemas.openxmlformats.org/officeDocument/2006/relationships/hyperlink" Target="http://www.archanaskitchen.com/heart-shaped-sugar-cookies-recipe" TargetMode="External"/><Relationship Id="rId329" Type="http://schemas.openxmlformats.org/officeDocument/2006/relationships/hyperlink" Target="https://www.archanaskitchen.com/stuffed-jacket-potatoes-recipe" TargetMode="External"/><Relationship Id="rId536" Type="http://schemas.openxmlformats.org/officeDocument/2006/relationships/hyperlink" Target="https://www.archanaskitchen.com/grilled-chicken-wings-recipe" TargetMode="External"/><Relationship Id="rId175" Type="http://schemas.openxmlformats.org/officeDocument/2006/relationships/hyperlink" Target="http://www.archanaskitchen.com/chocolate-honeycomb-bun-recipe" TargetMode="External"/><Relationship Id="rId743" Type="http://schemas.openxmlformats.org/officeDocument/2006/relationships/hyperlink" Target="https://www.archanaskitchen.com/eggless-mango-mousse-recipe" TargetMode="External"/><Relationship Id="rId950" Type="http://schemas.openxmlformats.org/officeDocument/2006/relationships/hyperlink" Target="https://www.archanaskitchen.com/beetroot-pancakes-recipe" TargetMode="External"/><Relationship Id="rId382" Type="http://schemas.openxmlformats.org/officeDocument/2006/relationships/hyperlink" Target="http://www.archanaskitchen.com/open-burger-with-vegetable-patty-recipe" TargetMode="External"/><Relationship Id="rId603" Type="http://schemas.openxmlformats.org/officeDocument/2006/relationships/hyperlink" Target="https://www.archanaskitchen.com/creamy-cabbage-sweet-corn-cole-slaw-with-hung-curd-recipe" TargetMode="External"/><Relationship Id="rId687" Type="http://schemas.openxmlformats.org/officeDocument/2006/relationships/hyperlink" Target="http://www.archanaskitchen.com/peanut-butter-cookies-recipe" TargetMode="External"/><Relationship Id="rId810" Type="http://schemas.openxmlformats.org/officeDocument/2006/relationships/hyperlink" Target="http://www.archanaskitchen.com/roasted-cauliflower-dill-soup-recipe-in-hindi" TargetMode="External"/><Relationship Id="rId908" Type="http://schemas.openxmlformats.org/officeDocument/2006/relationships/hyperlink" Target="http://www.archanaskitchen.com/watermelon-ice-popsicles-recipe" TargetMode="External"/><Relationship Id="rId242" Type="http://schemas.openxmlformats.org/officeDocument/2006/relationships/hyperlink" Target="http://www.archanaskitchen.com/how-to-make-tutty-fruity-recipe" TargetMode="External"/><Relationship Id="rId894" Type="http://schemas.openxmlformats.org/officeDocument/2006/relationships/hyperlink" Target="http://www.archanaskitchen.com/lemon-cucumber-detox-water-recipe" TargetMode="External"/><Relationship Id="rId37" Type="http://schemas.openxmlformats.org/officeDocument/2006/relationships/hyperlink" Target="https://www.archanaskitchen.com/spinach-and-corn-sandwich-recipe-flavored-with-sandwich-spread" TargetMode="External"/><Relationship Id="rId102" Type="http://schemas.openxmlformats.org/officeDocument/2006/relationships/hyperlink" Target="http://www.archanaskitchen.com/strawberry-brownie-bars-recipe" TargetMode="External"/><Relationship Id="rId547" Type="http://schemas.openxmlformats.org/officeDocument/2006/relationships/hyperlink" Target="http://www.archanaskitchen.com/carrot-ribbon-salad-with-asian-sesame-dressing-recipe" TargetMode="External"/><Relationship Id="rId754" Type="http://schemas.openxmlformats.org/officeDocument/2006/relationships/hyperlink" Target="http://www.archanaskitchen.com/summer-fruit-tart-recipe" TargetMode="External"/><Relationship Id="rId961" Type="http://schemas.openxmlformats.org/officeDocument/2006/relationships/hyperlink" Target="http://www.archanaskitchen.com/heart-shaped-cake-pops-recipe" TargetMode="External"/><Relationship Id="rId90" Type="http://schemas.openxmlformats.org/officeDocument/2006/relationships/hyperlink" Target="http://www.archanaskitchen.com/egg-and-spinach-breakfast-pizza-recipe" TargetMode="External"/><Relationship Id="rId186" Type="http://schemas.openxmlformats.org/officeDocument/2006/relationships/hyperlink" Target="http://www.archanaskitchen.com/eggs-benedict-with-caremalize-onion-and-hollandaise-sauce-recipe" TargetMode="External"/><Relationship Id="rId393" Type="http://schemas.openxmlformats.org/officeDocument/2006/relationships/hyperlink" Target="https://www.archanaskitchen.com/welsh-apple-cinnamon-scones-recipe" TargetMode="External"/><Relationship Id="rId407" Type="http://schemas.openxmlformats.org/officeDocument/2006/relationships/hyperlink" Target="https://www.archanaskitchen.com/sticky-date-pudding-with-butterscotch-sauce-recipe" TargetMode="External"/><Relationship Id="rId614" Type="http://schemas.openxmlformats.org/officeDocument/2006/relationships/hyperlink" Target="https://www.archanaskitchen.com/chocolate-pancakes-with-banana-recipe" TargetMode="External"/><Relationship Id="rId821" Type="http://schemas.openxmlformats.org/officeDocument/2006/relationships/hyperlink" Target="http://www.archanaskitchen.com/oreo-cake-recipe-with-buttercream-frosting-eggless" TargetMode="External"/><Relationship Id="rId253" Type="http://schemas.openxmlformats.org/officeDocument/2006/relationships/hyperlink" Target="http://www.archanaskitchen.com/quinoa-flaxseed-banana-muffins-recipe" TargetMode="External"/><Relationship Id="rId460" Type="http://schemas.openxmlformats.org/officeDocument/2006/relationships/hyperlink" Target="http://www.archanaskitchen.com/spiced-orange-iced-tea-recipe" TargetMode="External"/><Relationship Id="rId698" Type="http://schemas.openxmlformats.org/officeDocument/2006/relationships/hyperlink" Target="https://www.archanaskitchen.com/pavlova-recipe-with-strawberries" TargetMode="External"/><Relationship Id="rId919" Type="http://schemas.openxmlformats.org/officeDocument/2006/relationships/hyperlink" Target="http://www.archanaskitchen.com/oven-baked-rice-casserole-recipe" TargetMode="External"/><Relationship Id="rId48" Type="http://schemas.openxmlformats.org/officeDocument/2006/relationships/hyperlink" Target="http://www.archanaskitchen.com/roasted-potatoes-zucchini-bake-recipe-in-a-creamy-parsley-sauce" TargetMode="External"/><Relationship Id="rId113" Type="http://schemas.openxmlformats.org/officeDocument/2006/relationships/hyperlink" Target="https://www.archanaskitchen.com/buckwheat-apple-cinnamon-loaf-cake-recipe" TargetMode="External"/><Relationship Id="rId320" Type="http://schemas.openxmlformats.org/officeDocument/2006/relationships/hyperlink" Target="https://www.archanaskitchen.com/herbed-muffins-with-cheese-recipe" TargetMode="External"/><Relationship Id="rId558" Type="http://schemas.openxmlformats.org/officeDocument/2006/relationships/hyperlink" Target="https://www.archanaskitchen.com/caramelized-carrots-pumpkin-seeds-cake-recipe" TargetMode="External"/><Relationship Id="rId765" Type="http://schemas.openxmlformats.org/officeDocument/2006/relationships/hyperlink" Target="http://www.archanaskitchen.com/paneer-pancake-recipe-homemade-cottage-cheese-pancake-with-egg-free-option" TargetMode="External"/><Relationship Id="rId972" Type="http://schemas.openxmlformats.org/officeDocument/2006/relationships/hyperlink" Target="https://www.archanaskitchen.com/bread-boats-filled-with-spinach-eggs-and-sandwich-spread-recipe" TargetMode="External"/><Relationship Id="rId197" Type="http://schemas.openxmlformats.org/officeDocument/2006/relationships/hyperlink" Target="https://www.archanaskitchen.com/curried-couscous-recipe" TargetMode="External"/><Relationship Id="rId418" Type="http://schemas.openxmlformats.org/officeDocument/2006/relationships/hyperlink" Target="http://www.archanaskitchen.com/dragon-fruit-rose-water-popsicle-recipe" TargetMode="External"/><Relationship Id="rId625" Type="http://schemas.openxmlformats.org/officeDocument/2006/relationships/hyperlink" Target="https://www.archanaskitchen.com/mango-cream-popsicle-recipe" TargetMode="External"/><Relationship Id="rId832" Type="http://schemas.openxmlformats.org/officeDocument/2006/relationships/hyperlink" Target="https://www.archanaskitchen.com/pistachio-lemon-cookie-recipe-in-hindi" TargetMode="External"/><Relationship Id="rId264" Type="http://schemas.openxmlformats.org/officeDocument/2006/relationships/hyperlink" Target="http://www.archanaskitchen.com/breakfast-fruit-tarts-recipe-with-vegan-option" TargetMode="External"/><Relationship Id="rId471" Type="http://schemas.openxmlformats.org/officeDocument/2006/relationships/hyperlink" Target="https://www.archanaskitchen.com/spinach-omelette-recipe" TargetMode="External"/><Relationship Id="rId59" Type="http://schemas.openxmlformats.org/officeDocument/2006/relationships/hyperlink" Target="http://www.archanaskitchen.com/banana-digestive-pudding-recipe-with-pistachios" TargetMode="External"/><Relationship Id="rId124" Type="http://schemas.openxmlformats.org/officeDocument/2006/relationships/hyperlink" Target="http://www.archanaskitchen.com/broccoli-salad-recipe-with-roasted-onion-peppers" TargetMode="External"/><Relationship Id="rId569" Type="http://schemas.openxmlformats.org/officeDocument/2006/relationships/hyperlink" Target="http://www.archanaskitchen.com/flourless-chocolate-rum-cake-recipe" TargetMode="External"/><Relationship Id="rId776" Type="http://schemas.openxmlformats.org/officeDocument/2006/relationships/hyperlink" Target="https://www.archanaskitchen.com/chicken-and-cheese-sandwich-with-avocado-recipe" TargetMode="External"/><Relationship Id="rId983" Type="http://schemas.openxmlformats.org/officeDocument/2006/relationships/hyperlink" Target="http://www.archanaskitchen.com/nando-s-peri-peri-chicken-recipe" TargetMode="External"/><Relationship Id="rId331" Type="http://schemas.openxmlformats.org/officeDocument/2006/relationships/hyperlink" Target="https://www.archanaskitchen.com/asian-style-bean-sprout-corn-salad-recipe" TargetMode="External"/><Relationship Id="rId429" Type="http://schemas.openxmlformats.org/officeDocument/2006/relationships/hyperlink" Target="http://www.archanaskitchen.com/vegetable-tartlets-recipe" TargetMode="External"/><Relationship Id="rId636" Type="http://schemas.openxmlformats.org/officeDocument/2006/relationships/hyperlink" Target="https://www.archanaskitchen.com/minty-summer-salad-recipe-with-red-cabbage-lettuce-onions-and-tomatoes" TargetMode="External"/><Relationship Id="rId843" Type="http://schemas.openxmlformats.org/officeDocument/2006/relationships/hyperlink" Target="http://www.archanaskitchen.com/boiled-egg-white-sandwich-recipe" TargetMode="External"/><Relationship Id="rId275" Type="http://schemas.openxmlformats.org/officeDocument/2006/relationships/hyperlink" Target="https://www.archanaskitchen.com/parmesan-corn-chili-fries-recipe" TargetMode="External"/><Relationship Id="rId482" Type="http://schemas.openxmlformats.org/officeDocument/2006/relationships/hyperlink" Target="http://www.archanaskitchen.com/cheesy-spinach-open-toast-recipe" TargetMode="External"/><Relationship Id="rId703" Type="http://schemas.openxmlformats.org/officeDocument/2006/relationships/hyperlink" Target="http://www.archanaskitchen.com/spinach-mushroom-scrambled-eggs-recipe" TargetMode="External"/><Relationship Id="rId910" Type="http://schemas.openxmlformats.org/officeDocument/2006/relationships/hyperlink" Target="https://www.archanaskitchen.com/low-fat-apple-crumble-with-muesli-recipe" TargetMode="External"/><Relationship Id="rId135" Type="http://schemas.openxmlformats.org/officeDocument/2006/relationships/hyperlink" Target="http://www.archanaskitchen.com/cuban-black-bean-salad-recipe" TargetMode="External"/><Relationship Id="rId342" Type="http://schemas.openxmlformats.org/officeDocument/2006/relationships/hyperlink" Target="https://www.archanaskitchen.com/vegan-hot-chocolate-recipe" TargetMode="External"/><Relationship Id="rId787" Type="http://schemas.openxmlformats.org/officeDocument/2006/relationships/hyperlink" Target="https://www.archanaskitchen.com/choco-swirl-cookies-recipe-eggless-choco-pinwheel-cookies" TargetMode="External"/><Relationship Id="rId994" Type="http://schemas.openxmlformats.org/officeDocument/2006/relationships/hyperlink" Target="https://www.archanaskitchen.com/beetroot-and-celery-juice-recipe" TargetMode="External"/><Relationship Id="rId202" Type="http://schemas.openxmlformats.org/officeDocument/2006/relationships/hyperlink" Target="http://www.archanaskitchen.com/herbed-vegetables-in-roasted-bell-pepper-sauce-recipe" TargetMode="External"/><Relationship Id="rId647" Type="http://schemas.openxmlformats.org/officeDocument/2006/relationships/hyperlink" Target="http://www.archanaskitchen.com/eggless-cake-pops-recipe" TargetMode="External"/><Relationship Id="rId854" Type="http://schemas.openxmlformats.org/officeDocument/2006/relationships/hyperlink" Target="http://www.archanaskitchen.com/mini-lemon-tarts-recipe" TargetMode="External"/><Relationship Id="rId286" Type="http://schemas.openxmlformats.org/officeDocument/2006/relationships/hyperlink" Target="http://www.archanaskitchen.com/easy-homemade-queso-dip-recipe" TargetMode="External"/><Relationship Id="rId493" Type="http://schemas.openxmlformats.org/officeDocument/2006/relationships/hyperlink" Target="http://www.archanaskitchen.com/eggless-orange-and-apple-ice-cream-recipe" TargetMode="External"/><Relationship Id="rId507" Type="http://schemas.openxmlformats.org/officeDocument/2006/relationships/hyperlink" Target="http://www.archanaskitchen.com/non-fried-corn-cheese-bites-recipe-corn-paneer-balls" TargetMode="External"/><Relationship Id="rId714" Type="http://schemas.openxmlformats.org/officeDocument/2006/relationships/hyperlink" Target="https://www.archanaskitchen.com/nutty-chocolate-high-fibre-biscuit-cake-recipe" TargetMode="External"/><Relationship Id="rId921" Type="http://schemas.openxmlformats.org/officeDocument/2006/relationships/hyperlink" Target="https://www.archanaskitchen.com/poached-eggs-recipe-with-arugula-fig-walnut-salad" TargetMode="External"/><Relationship Id="rId50" Type="http://schemas.openxmlformats.org/officeDocument/2006/relationships/hyperlink" Target="http://www.archanaskitchen.com/zingy-lime-and-salmon-recipe" TargetMode="External"/><Relationship Id="rId146" Type="http://schemas.openxmlformats.org/officeDocument/2006/relationships/hyperlink" Target="https://www.archanaskitchen.com/no-bake-tangy-lemon-pie-recipe" TargetMode="External"/><Relationship Id="rId353" Type="http://schemas.openxmlformats.org/officeDocument/2006/relationships/hyperlink" Target="https://www.archanaskitchen.com/roasted-red-pepper-and-pumpkin-soup-recipe" TargetMode="External"/><Relationship Id="rId560" Type="http://schemas.openxmlformats.org/officeDocument/2006/relationships/hyperlink" Target="https://www.archanaskitchen.com/coca-cola-bundt-cake-recipe" TargetMode="External"/><Relationship Id="rId798" Type="http://schemas.openxmlformats.org/officeDocument/2006/relationships/hyperlink" Target="https://www.archanaskitchen.com/grilled-eggplant-with-italian-herbs-recipe" TargetMode="External"/><Relationship Id="rId213" Type="http://schemas.openxmlformats.org/officeDocument/2006/relationships/hyperlink" Target="http://www.archanaskitchen.com/coconut-french-toast-with-chocolate-chips-recipe" TargetMode="External"/><Relationship Id="rId420" Type="http://schemas.openxmlformats.org/officeDocument/2006/relationships/hyperlink" Target="https://www.archanaskitchen.com/high-fiber-oat-and-orange-coconut-parfait-recipe" TargetMode="External"/><Relationship Id="rId658" Type="http://schemas.openxmlformats.org/officeDocument/2006/relationships/hyperlink" Target="http://www.archanaskitchen.com/broccoli-almond-soup-recipe" TargetMode="External"/><Relationship Id="rId865" Type="http://schemas.openxmlformats.org/officeDocument/2006/relationships/hyperlink" Target="https://www.archanaskitchen.com/healthy-rose-cookies-recipe-with-persian-twist" TargetMode="External"/><Relationship Id="rId297" Type="http://schemas.openxmlformats.org/officeDocument/2006/relationships/hyperlink" Target="http://www.archanaskitchen.com/potato-and-paneer-reuben-sandwich-recipe" TargetMode="External"/><Relationship Id="rId518" Type="http://schemas.openxmlformats.org/officeDocument/2006/relationships/hyperlink" Target="https://www.archanaskitchen.com/spicy-mushroom-and-spring-onion-toast-recipe" TargetMode="External"/><Relationship Id="rId725" Type="http://schemas.openxmlformats.org/officeDocument/2006/relationships/hyperlink" Target="https://www.archanaskitchen.com/buttered-green-beans-recipe-finger-food-for-toddlers" TargetMode="External"/><Relationship Id="rId932" Type="http://schemas.openxmlformats.org/officeDocument/2006/relationships/hyperlink" Target="http://www.archanaskitchen.com/lemon-and-rosemary-shortbread-cookies-recipe" TargetMode="External"/><Relationship Id="rId157" Type="http://schemas.openxmlformats.org/officeDocument/2006/relationships/hyperlink" Target="https://www.archanaskitchen.com/pineapple-carpaccio-recipe-spiced-pineapple-salad-with-ginger-mint" TargetMode="External"/><Relationship Id="rId364" Type="http://schemas.openxmlformats.org/officeDocument/2006/relationships/hyperlink" Target="https://www.archanaskitchen.com/oat-olives-and-broccoli-sandwich-spread-recipe-pesto" TargetMode="External"/><Relationship Id="rId1008" Type="http://schemas.openxmlformats.org/officeDocument/2006/relationships/hyperlink" Target="http://www.archanaskitchen.com/triple-bean-vegetarian-cutlets-or-patty-recipe" TargetMode="External"/><Relationship Id="rId61" Type="http://schemas.openxmlformats.org/officeDocument/2006/relationships/hyperlink" Target="https://www.archanaskitchen.com/chicken-with-mushroom-sauce-recipe" TargetMode="External"/><Relationship Id="rId571" Type="http://schemas.openxmlformats.org/officeDocument/2006/relationships/hyperlink" Target="https://www.archanaskitchen.com/quick-easy-apple-cake-recipe" TargetMode="External"/><Relationship Id="rId669" Type="http://schemas.openxmlformats.org/officeDocument/2006/relationships/hyperlink" Target="https://www.archanaskitchen.com/pizza-pinwheels-recipe" TargetMode="External"/><Relationship Id="rId876" Type="http://schemas.openxmlformats.org/officeDocument/2006/relationships/hyperlink" Target="http://www.archanaskitchen.com/healthy-yogurt-parfait-with-oats-and-fresh-fruits-recipe" TargetMode="External"/><Relationship Id="rId19" Type="http://schemas.openxmlformats.org/officeDocument/2006/relationships/hyperlink" Target="http://www.archanaskitchen.com/carrot-and-peas-sandwich-recipe" TargetMode="External"/><Relationship Id="rId224" Type="http://schemas.openxmlformats.org/officeDocument/2006/relationships/hyperlink" Target="https://www.archanaskitchen.com/eggwhite-frittata-with-roasted-vegetables-recipe" TargetMode="External"/><Relationship Id="rId431" Type="http://schemas.openxmlformats.org/officeDocument/2006/relationships/hyperlink" Target="https://www.archanaskitchen.com/protein-fingers-recipe" TargetMode="External"/><Relationship Id="rId529" Type="http://schemas.openxmlformats.org/officeDocument/2006/relationships/hyperlink" Target="http://www.archanaskitchen.com/no-bake-marie-biscuit-energy-bites-recipe" TargetMode="External"/><Relationship Id="rId736" Type="http://schemas.openxmlformats.org/officeDocument/2006/relationships/hyperlink" Target="https://www.archanaskitchen.com/blueberry-muffin-cake-recipe" TargetMode="External"/><Relationship Id="rId168" Type="http://schemas.openxmlformats.org/officeDocument/2006/relationships/hyperlink" Target="https://www.archanaskitchen.com/banana-almond-butter-bread-recipe" TargetMode="External"/><Relationship Id="rId943" Type="http://schemas.openxmlformats.org/officeDocument/2006/relationships/hyperlink" Target="https://www.archanaskitchen.com/grilled-stuffed-mushrooms-recipe-with-onion-parmesan-herbs" TargetMode="External"/><Relationship Id="rId1019" Type="http://schemas.openxmlformats.org/officeDocument/2006/relationships/hyperlink" Target="https://www.archanaskitchen.com/southern-buttermilk-biscuits-recipe" TargetMode="External"/><Relationship Id="rId72" Type="http://schemas.openxmlformats.org/officeDocument/2006/relationships/hyperlink" Target="https://www.archanaskitchen.com/vegetable-filled-souffle-recipe" TargetMode="External"/><Relationship Id="rId375" Type="http://schemas.openxmlformats.org/officeDocument/2006/relationships/hyperlink" Target="https://www.archanaskitchen.com/whole-wheat-eggless-pineapple-muffins-recipe" TargetMode="External"/><Relationship Id="rId582" Type="http://schemas.openxmlformats.org/officeDocument/2006/relationships/hyperlink" Target="https://www.archanaskitchen.com/avocado-tomato-grilled-cheese-sandwich-recipe" TargetMode="External"/><Relationship Id="rId803" Type="http://schemas.openxmlformats.org/officeDocument/2006/relationships/hyperlink" Target="http://www.archanaskitchen.com/continental-spinach-mushroom-stir-fry-recipe" TargetMode="External"/><Relationship Id="rId3" Type="http://schemas.openxmlformats.org/officeDocument/2006/relationships/hyperlink" Target="http://www.archanaskitchen.com/eggless-chocolate-cupcakes-with-raspberry-and-cream-cheese-frosting-recipe" TargetMode="External"/><Relationship Id="rId235" Type="http://schemas.openxmlformats.org/officeDocument/2006/relationships/hyperlink" Target="https://www.archanaskitchen.com/papaya-basil-smoothie-with-chia-seeds-recipe" TargetMode="External"/><Relationship Id="rId442" Type="http://schemas.openxmlformats.org/officeDocument/2006/relationships/hyperlink" Target="http://www.archanaskitchen.com/muesli-and-oats-waffle-with-apricots-recipe" TargetMode="External"/><Relationship Id="rId887" Type="http://schemas.openxmlformats.org/officeDocument/2006/relationships/hyperlink" Target="https://www.archanaskitchen.com/banana-orange-spinach-smoothie-recipe-in-hindi" TargetMode="External"/><Relationship Id="rId302" Type="http://schemas.openxmlformats.org/officeDocument/2006/relationships/hyperlink" Target="http://www.archanaskitchen.com/tomato-tarts-recipe" TargetMode="External"/><Relationship Id="rId747" Type="http://schemas.openxmlformats.org/officeDocument/2006/relationships/hyperlink" Target="http://www.archanaskitchen.com/carrot-soup-recipe" TargetMode="External"/><Relationship Id="rId954" Type="http://schemas.openxmlformats.org/officeDocument/2006/relationships/hyperlink" Target="https://www.archanaskitchen.com/homemade-baked-donuts-recipe" TargetMode="External"/><Relationship Id="rId83" Type="http://schemas.openxmlformats.org/officeDocument/2006/relationships/hyperlink" Target="http://www.archanaskitchen.com/cucumber-honey-limeade-recipe" TargetMode="External"/><Relationship Id="rId179" Type="http://schemas.openxmlformats.org/officeDocument/2006/relationships/hyperlink" Target="http://www.archanaskitchen.com/grapes-muffin-recipe" TargetMode="External"/><Relationship Id="rId386" Type="http://schemas.openxmlformats.org/officeDocument/2006/relationships/hyperlink" Target="https://www.archanaskitchen.com/almond-butter-muesli-bars-with-figs-recipe" TargetMode="External"/><Relationship Id="rId593" Type="http://schemas.openxmlformats.org/officeDocument/2006/relationships/hyperlink" Target="http://www.archanaskitchen.com/peanut-butter-bars-recipe" TargetMode="External"/><Relationship Id="rId607" Type="http://schemas.openxmlformats.org/officeDocument/2006/relationships/hyperlink" Target="https://www.archanaskitchen.com/healthy-spicy-banana-cake-recipe" TargetMode="External"/><Relationship Id="rId814" Type="http://schemas.openxmlformats.org/officeDocument/2006/relationships/hyperlink" Target="http://www.archanaskitchen.com/carrot-cashew-smoothie-recipe" TargetMode="External"/><Relationship Id="rId246" Type="http://schemas.openxmlformats.org/officeDocument/2006/relationships/hyperlink" Target="https://www.archanaskitchen.com/french-toast-jam-roll-ups-recipe" TargetMode="External"/><Relationship Id="rId453" Type="http://schemas.openxmlformats.org/officeDocument/2006/relationships/hyperlink" Target="https://www.archanaskitchen.com/scalloped-potatoes-with-baked-eggs-corns-recipe" TargetMode="External"/><Relationship Id="rId660" Type="http://schemas.openxmlformats.org/officeDocument/2006/relationships/hyperlink" Target="http://www.archanaskitchen.com/saffron-mango-ice-cream-recipe" TargetMode="External"/><Relationship Id="rId898" Type="http://schemas.openxmlformats.org/officeDocument/2006/relationships/hyperlink" Target="http://www.archanaskitchen.com/baby-potato-salad-with-onion-cheese-recipe" TargetMode="External"/><Relationship Id="rId106" Type="http://schemas.openxmlformats.org/officeDocument/2006/relationships/hyperlink" Target="https://www.archanaskitchen.com/strawberry-banana-sorbet-recipe" TargetMode="External"/><Relationship Id="rId313" Type="http://schemas.openxmlformats.org/officeDocument/2006/relationships/hyperlink" Target="https://www.archanaskitchen.com/chocolate-banana-smoothie-bowl-recipe-in-hindi" TargetMode="External"/><Relationship Id="rId758" Type="http://schemas.openxmlformats.org/officeDocument/2006/relationships/hyperlink" Target="https://www.archanaskitchen.com/baked-yogurt-tart-recipe-with-figs-blueberries-with-eggless-recipe-option" TargetMode="External"/><Relationship Id="rId965" Type="http://schemas.openxmlformats.org/officeDocument/2006/relationships/hyperlink" Target="https://www.archanaskitchen.com/sweet-potato-mash-recipe" TargetMode="External"/><Relationship Id="rId10" Type="http://schemas.openxmlformats.org/officeDocument/2006/relationships/hyperlink" Target="https://www.archanaskitchen.com/walnut-and-flax-seed-trail-mix-recipe-with-figs-and-honey" TargetMode="External"/><Relationship Id="rId94" Type="http://schemas.openxmlformats.org/officeDocument/2006/relationships/hyperlink" Target="https://www.archanaskitchen.com/arugula-fig-salad-recipe" TargetMode="External"/><Relationship Id="rId397" Type="http://schemas.openxmlformats.org/officeDocument/2006/relationships/hyperlink" Target="http://www.archanaskitchen.com/spiced-apple-crumble-recipe-with-greek-yogurt" TargetMode="External"/><Relationship Id="rId520" Type="http://schemas.openxmlformats.org/officeDocument/2006/relationships/hyperlink" Target="https://www.archanaskitchen.com/healthy-creamy-chicken-soup-with-vegetables-recipe" TargetMode="External"/><Relationship Id="rId618" Type="http://schemas.openxmlformats.org/officeDocument/2006/relationships/hyperlink" Target="https://www.archanaskitchen.com/sour-cream-onion-dip-recipe" TargetMode="External"/><Relationship Id="rId825" Type="http://schemas.openxmlformats.org/officeDocument/2006/relationships/hyperlink" Target="https://www.archanaskitchen.com/whole-wheat-and-jowar-pearl-millet-orange-cake-with-orange-glaze-recipe" TargetMode="External"/></Relationships>
</file>

<file path=xl/worksheets/_rels/sheet8.xml.rels><?xml version="1.0" encoding="UTF-8" standalone="yes"?>
<Relationships xmlns="http://schemas.openxmlformats.org/package/2006/relationships"><Relationship Id="rId26" Type="http://schemas.openxmlformats.org/officeDocument/2006/relationships/hyperlink" Target="https://www.archanaskitchen.com/chettinad-kavuni-arisi-sweet-recipe-black-rice-pudding" TargetMode="External"/><Relationship Id="rId21" Type="http://schemas.openxmlformats.org/officeDocument/2006/relationships/hyperlink" Target="https://www.archanaskitchen.com/chettinad-muttai-masala-recipe-chettinad-style-egg-curry-in-hindi" TargetMode="External"/><Relationship Id="rId42" Type="http://schemas.openxmlformats.org/officeDocument/2006/relationships/hyperlink" Target="http://www.archanaskitchen.com/chettinad-vegetable-biryani-recipe" TargetMode="External"/><Relationship Id="rId47" Type="http://schemas.openxmlformats.org/officeDocument/2006/relationships/hyperlink" Target="http://www.archanaskitchen.com/chettinad-kozhi-rasam-recipe-chettinad-chicken-rasam" TargetMode="External"/><Relationship Id="rId63" Type="http://schemas.openxmlformats.org/officeDocument/2006/relationships/hyperlink" Target="http://www.archanaskitchen.com/cauliflower-pepper-fry-recipe-chettinad-style" TargetMode="External"/><Relationship Id="rId68" Type="http://schemas.openxmlformats.org/officeDocument/2006/relationships/hyperlink" Target="http://www.archanaskitchen.com/mixed-sprouts-in-chettinad-masala-recipe" TargetMode="External"/><Relationship Id="rId2" Type="http://schemas.openxmlformats.org/officeDocument/2006/relationships/hyperlink" Target="http://www.archanaskitchen.com/chettinad-sweet-paniyaram-recipe-in-hindi" TargetMode="External"/><Relationship Id="rId16" Type="http://schemas.openxmlformats.org/officeDocument/2006/relationships/hyperlink" Target="http://www.archanaskitchen.com/chettinad-vengaya-kosu-recipe-spicy-curry-from-chettinad-cuisine-in-hindi" TargetMode="External"/><Relationship Id="rId29" Type="http://schemas.openxmlformats.org/officeDocument/2006/relationships/hyperlink" Target="http://www.archanaskitchen.com/chettinad-pazha-payasam-recipe-chettinad-style-fruit-payasam" TargetMode="External"/><Relationship Id="rId11" Type="http://schemas.openxmlformats.org/officeDocument/2006/relationships/hyperlink" Target="https://www.archanaskitchen.com/thalicha-thayir-sadam-recipe-spicy-seasoned-curd-rice" TargetMode="External"/><Relationship Id="rId24" Type="http://schemas.openxmlformats.org/officeDocument/2006/relationships/hyperlink" Target="https://www.archanaskitchen.com/chettinad-style-puliyogare-gojju-recipe" TargetMode="External"/><Relationship Id="rId32" Type="http://schemas.openxmlformats.org/officeDocument/2006/relationships/hyperlink" Target="https://www.archanaskitchen.com/chettinad-vegetable-pulao-recipe-with-kohinoor-silver-basmati-rice" TargetMode="External"/><Relationship Id="rId37" Type="http://schemas.openxmlformats.org/officeDocument/2006/relationships/hyperlink" Target="https://www.archanaskitchen.com/sakkaravalli-kizhangu-poriyal-recipe-spicy-sweet-potato-roast" TargetMode="External"/><Relationship Id="rId40" Type="http://schemas.openxmlformats.org/officeDocument/2006/relationships/hyperlink" Target="https://www.archanaskitchen.com/chettinadu-kozhi-kuzhambu-recipe-chettinadu-chicken-curry" TargetMode="External"/><Relationship Id="rId45" Type="http://schemas.openxmlformats.org/officeDocument/2006/relationships/hyperlink" Target="http://www.archanaskitchen.com/chettinad-mint-potato-biryani-recipe" TargetMode="External"/><Relationship Id="rId53" Type="http://schemas.openxmlformats.org/officeDocument/2006/relationships/hyperlink" Target="http://www.archanaskitchen.com/kosamalli-recipe-chettinad-style-brinjal-and-potato-mash" TargetMode="External"/><Relationship Id="rId58" Type="http://schemas.openxmlformats.org/officeDocument/2006/relationships/hyperlink" Target="http://www.archanaskitchen.com/chettinad-thakkali-vengaya-kuzhambu-recipe" TargetMode="External"/><Relationship Id="rId66" Type="http://schemas.openxmlformats.org/officeDocument/2006/relationships/hyperlink" Target="https://www.archanaskitchen.com/chettinad-prawn-curry-recipe" TargetMode="External"/><Relationship Id="rId74" Type="http://schemas.openxmlformats.org/officeDocument/2006/relationships/hyperlink" Target="https://www.archanaskitchen.com/chettinad-style-paneer-kurma-recipe-in-hindi" TargetMode="External"/><Relationship Id="rId5" Type="http://schemas.openxmlformats.org/officeDocument/2006/relationships/hyperlink" Target="https://www.archanaskitchen.com/chettinad-takkali-sadam-recipe-chettinad-style-tomato-rice" TargetMode="External"/><Relationship Id="rId61" Type="http://schemas.openxmlformats.org/officeDocument/2006/relationships/hyperlink" Target="https://www.archanaskitchen.com/chettinad-dry-pepper-chicken-recipe-in-hindi" TargetMode="External"/><Relationship Id="rId19" Type="http://schemas.openxmlformats.org/officeDocument/2006/relationships/hyperlink" Target="https://www.archanaskitchen.com/kathirikai-urulaikizhangu-kara-kuzhambhu-recipe" TargetMode="External"/><Relationship Id="rId14" Type="http://schemas.openxmlformats.org/officeDocument/2006/relationships/hyperlink" Target="https://www.archanaskitchen.com/restaurant-style-chettinad-style-fish-curry-recipe" TargetMode="External"/><Relationship Id="rId22" Type="http://schemas.openxmlformats.org/officeDocument/2006/relationships/hyperlink" Target="https://www.archanaskitchen.com/chettinad-kathirikai-chops-recipe-brinjal-curry-for-biryanis" TargetMode="External"/><Relationship Id="rId27" Type="http://schemas.openxmlformats.org/officeDocument/2006/relationships/hyperlink" Target="http://www.archanaskitchen.com/chettinad-mutton-chops-kozhumbhu-mutton-chops-curry-recipe" TargetMode="External"/><Relationship Id="rId30" Type="http://schemas.openxmlformats.org/officeDocument/2006/relationships/hyperlink" Target="http://www.archanaskitchen.com/kathirikai-poondu-pirattal-recipe-south-indian-style-brinjal-stir-fry-with-garlic-in-hindi" TargetMode="External"/><Relationship Id="rId35" Type="http://schemas.openxmlformats.org/officeDocument/2006/relationships/hyperlink" Target="http://www.archanaskitchen.com/chettinad-keerai-mandi-recipe-with-amaranth-greens" TargetMode="External"/><Relationship Id="rId43" Type="http://schemas.openxmlformats.org/officeDocument/2006/relationships/hyperlink" Target="http://www.archanaskitchen.com/chettinad-eral-thokku-recipe-prawn-masala" TargetMode="External"/><Relationship Id="rId48" Type="http://schemas.openxmlformats.org/officeDocument/2006/relationships/hyperlink" Target="http://www.archanaskitchen.com/chettinad-style-tomato-vermicelli-recipe" TargetMode="External"/><Relationship Id="rId56" Type="http://schemas.openxmlformats.org/officeDocument/2006/relationships/hyperlink" Target="http://www.archanaskitchen.com/urulai-kizhangu-roast-recipe-spicy-potato-roast-recipe" TargetMode="External"/><Relationship Id="rId64" Type="http://schemas.openxmlformats.org/officeDocument/2006/relationships/hyperlink" Target="https://www.archanaskitchen.com/paal-kozhukattai-recipe" TargetMode="External"/><Relationship Id="rId69" Type="http://schemas.openxmlformats.org/officeDocument/2006/relationships/hyperlink" Target="https://www.archanaskitchen.com/milagu-kozhambu-recipe" TargetMode="External"/><Relationship Id="rId8" Type="http://schemas.openxmlformats.org/officeDocument/2006/relationships/hyperlink" Target="http://www.archanaskitchen.com/tamil-nadu-style-vella-paniyaram-recipe-semi-sweet-rice-dal-fritters" TargetMode="External"/><Relationship Id="rId51" Type="http://schemas.openxmlformats.org/officeDocument/2006/relationships/hyperlink" Target="http://www.archanaskitchen.com/chettinad-sura-meen-kuzhambu-recipe-shark-fish-curry" TargetMode="External"/><Relationship Id="rId72" Type="http://schemas.openxmlformats.org/officeDocument/2006/relationships/hyperlink" Target="http://www.archanaskitchen.com/chettinad-idiappam-recipe" TargetMode="External"/><Relationship Id="rId3" Type="http://schemas.openxmlformats.org/officeDocument/2006/relationships/hyperlink" Target="https://www.archanaskitchen.com/chettinad-style-chicken-roast-recipe" TargetMode="External"/><Relationship Id="rId12" Type="http://schemas.openxmlformats.org/officeDocument/2006/relationships/hyperlink" Target="http://www.archanaskitchen.com/savory-flaxseed-multigrain-crackers-recipe" TargetMode="External"/><Relationship Id="rId17" Type="http://schemas.openxmlformats.org/officeDocument/2006/relationships/hyperlink" Target="http://www.archanaskitchen.com/chettinad-beans-cauliflower-poriyal-recipe-south-indian-stir-fry" TargetMode="External"/><Relationship Id="rId25" Type="http://schemas.openxmlformats.org/officeDocument/2006/relationships/hyperlink" Target="http://www.archanaskitchen.com/kathirikai-poondu-pirattal-recipe-south-indian-style-brinjal-stir-fry-with-garlic" TargetMode="External"/><Relationship Id="rId33" Type="http://schemas.openxmlformats.org/officeDocument/2006/relationships/hyperlink" Target="http://www.archanaskitchen.com/spicy-chettinad-fish-fry-recipe" TargetMode="External"/><Relationship Id="rId38" Type="http://schemas.openxmlformats.org/officeDocument/2006/relationships/hyperlink" Target="https://www.archanaskitchen.com/chettinad-style-pepper-mushroom-recipe-in-hindi" TargetMode="External"/><Relationship Id="rId46" Type="http://schemas.openxmlformats.org/officeDocument/2006/relationships/hyperlink" Target="https://www.archanaskitchen.com/thengai-paal-kurma-recipe-mixed-vegetables-in-coconut-gravy" TargetMode="External"/><Relationship Id="rId59" Type="http://schemas.openxmlformats.org/officeDocument/2006/relationships/hyperlink" Target="http://www.archanaskitchen.com/kavuni-arisi-payasam-recipe-black-rice-kheer" TargetMode="External"/><Relationship Id="rId67" Type="http://schemas.openxmlformats.org/officeDocument/2006/relationships/hyperlink" Target="https://www.archanaskitchen.com/cauliflower-pepper-fry-recipe-in-hindi" TargetMode="External"/><Relationship Id="rId20" Type="http://schemas.openxmlformats.org/officeDocument/2006/relationships/hyperlink" Target="https://www.archanaskitchen.com/chettinad-beetroot-kurma-recipe" TargetMode="External"/><Relationship Id="rId41" Type="http://schemas.openxmlformats.org/officeDocument/2006/relationships/hyperlink" Target="http://www.archanaskitchen.com/chettinadu-style-kathirikai-sundakkai-vathal-kuzhambu-gravy-recipe" TargetMode="External"/><Relationship Id="rId54" Type="http://schemas.openxmlformats.org/officeDocument/2006/relationships/hyperlink" Target="https://www.archanaskitchen.com/chettinadu-nandu-varuval-recipe-crab-fry-dry-with-baby-onions" TargetMode="External"/><Relationship Id="rId62" Type="http://schemas.openxmlformats.org/officeDocument/2006/relationships/hyperlink" Target="http://www.archanaskitchen.com/chettinad-podalangai-vadai-recipe-chettinad-style-snake-gourd-fritters" TargetMode="External"/><Relationship Id="rId70" Type="http://schemas.openxmlformats.org/officeDocument/2006/relationships/hyperlink" Target="http://www.archanaskitchen.com/chettinad-fish-fry-with-roasted-corn-onions-and-carrots-with-french-beans-recipe" TargetMode="External"/><Relationship Id="rId1" Type="http://schemas.openxmlformats.org/officeDocument/2006/relationships/hyperlink" Target="https://www.archanaskitchen.com/chettinad-vegetable-pulao-recipe-with-kohinoor-silver-basmati-rice-in-hindi" TargetMode="External"/><Relationship Id="rId6" Type="http://schemas.openxmlformats.org/officeDocument/2006/relationships/hyperlink" Target="https://www.archanaskitchen.com/chettinad-pakoda-curry-recipe" TargetMode="External"/><Relationship Id="rId15" Type="http://schemas.openxmlformats.org/officeDocument/2006/relationships/hyperlink" Target="http://www.archanaskitchen.com/kosamalli-recipe-chettinad-style-brinjal-and-potato-mash-in-hindi" TargetMode="External"/><Relationship Id="rId23" Type="http://schemas.openxmlformats.org/officeDocument/2006/relationships/hyperlink" Target="https://www.archanaskitchen.com/cauliflower-pepper-fry-recipe-chettinad-style-in-hindi" TargetMode="External"/><Relationship Id="rId28" Type="http://schemas.openxmlformats.org/officeDocument/2006/relationships/hyperlink" Target="https://www.archanaskitchen.com/paal-katti-chettiand-curry-recipe-chettinad-style-paneer-kurma-recipe" TargetMode="External"/><Relationship Id="rId36" Type="http://schemas.openxmlformats.org/officeDocument/2006/relationships/hyperlink" Target="http://www.archanaskitchen.com/chettinadu-style-kollu-thogayal-recipe-horsegram-chutney" TargetMode="External"/><Relationship Id="rId49" Type="http://schemas.openxmlformats.org/officeDocument/2006/relationships/hyperlink" Target="http://www.archanaskitchen.com/chettinad-vegetable-pulao-recipe-with-figaro-olive-oil" TargetMode="External"/><Relationship Id="rId57" Type="http://schemas.openxmlformats.org/officeDocument/2006/relationships/hyperlink" Target="http://www.archanaskitchen.com/kondakadalai-puli-vengaya-kuzhambu-recipe-south-indian-style-spicy-and-tangy-kala-chana" TargetMode="External"/><Relationship Id="rId10" Type="http://schemas.openxmlformats.org/officeDocument/2006/relationships/hyperlink" Target="http://www.archanaskitchen.com/chettinad-vengaya-kosu-recipe-spicy-curry-from-chettinad-cuisine" TargetMode="External"/><Relationship Id="rId31" Type="http://schemas.openxmlformats.org/officeDocument/2006/relationships/hyperlink" Target="https://www.archanaskitchen.com/chettinad-sweet-paniyaram-recipe" TargetMode="External"/><Relationship Id="rId44" Type="http://schemas.openxmlformats.org/officeDocument/2006/relationships/hyperlink" Target="https://www.archanaskitchen.com/chettinad-rasam-powder-recipe" TargetMode="External"/><Relationship Id="rId52" Type="http://schemas.openxmlformats.org/officeDocument/2006/relationships/hyperlink" Target="http://www.archanaskitchen.com/chettinad-beans-cauliflower-poriyal-recipe-in-hindi" TargetMode="External"/><Relationship Id="rId60" Type="http://schemas.openxmlformats.org/officeDocument/2006/relationships/hyperlink" Target="http://www.archanaskitchen.com/chettinad-masala-powder-recipe" TargetMode="External"/><Relationship Id="rId65" Type="http://schemas.openxmlformats.org/officeDocument/2006/relationships/hyperlink" Target="http://www.archanaskitchen.com/chettinad-masala-powder-recipe-in-hindi" TargetMode="External"/><Relationship Id="rId73" Type="http://schemas.openxmlformats.org/officeDocument/2006/relationships/hyperlink" Target="http://www.archanaskitchen.com/kavuni-arisi-paniyaram-recipe-black-rice-paniyaram-recipe" TargetMode="External"/><Relationship Id="rId4" Type="http://schemas.openxmlformats.org/officeDocument/2006/relationships/hyperlink" Target="http://www.archanaskitchen.com/chettinad-style-prawn-biryani-recipe" TargetMode="External"/><Relationship Id="rId9" Type="http://schemas.openxmlformats.org/officeDocument/2006/relationships/hyperlink" Target="https://www.archanaskitchen.com/beetroot-millet-paniyaram-recipe" TargetMode="External"/><Relationship Id="rId13" Type="http://schemas.openxmlformats.org/officeDocument/2006/relationships/hyperlink" Target="http://www.archanaskitchen.com/chettinad-takkali-sadam-recipe-chettinad-style-tomato-rice-in-hindi" TargetMode="External"/><Relationship Id="rId18" Type="http://schemas.openxmlformats.org/officeDocument/2006/relationships/hyperlink" Target="http://www.archanaskitchen.com/chettinad-muttai-masala-recipe-chettinad-style-egg-curry" TargetMode="External"/><Relationship Id="rId39" Type="http://schemas.openxmlformats.org/officeDocument/2006/relationships/hyperlink" Target="http://www.archanaskitchen.com/chettinad-pattani-kurma-recipe-chettinad-peas-curry" TargetMode="External"/><Relationship Id="rId34" Type="http://schemas.openxmlformats.org/officeDocument/2006/relationships/hyperlink" Target="http://www.archanaskitchen.com/kandarappam-recipe-chettinad-sweet-appam" TargetMode="External"/><Relationship Id="rId50" Type="http://schemas.openxmlformats.org/officeDocument/2006/relationships/hyperlink" Target="http://www.archanaskitchen.com/chettinad-style-pepper-mushroom-recipe" TargetMode="External"/><Relationship Id="rId55" Type="http://schemas.openxmlformats.org/officeDocument/2006/relationships/hyperlink" Target="http://www.archanaskitchen.com/chettinad-mushroom-and-green-peas-stir-fry-recipe" TargetMode="External"/><Relationship Id="rId7" Type="http://schemas.openxmlformats.org/officeDocument/2006/relationships/hyperlink" Target="http://www.archanaskitchen.com/chettinad-pepper-chicken-dry-recipe" TargetMode="External"/><Relationship Id="rId71" Type="http://schemas.openxmlformats.org/officeDocument/2006/relationships/hyperlink" Target="https://www.archanaskitchen.com/chettinad-inippu-seeyam-recipe" TargetMode="External"/></Relationships>
</file>

<file path=xl/worksheets/_rels/sheet9.xml.rels><?xml version="1.0" encoding="UTF-8" standalone="yes"?>
<Relationships xmlns="http://schemas.openxmlformats.org/package/2006/relationships"><Relationship Id="rId117" Type="http://schemas.openxmlformats.org/officeDocument/2006/relationships/hyperlink" Target="https://www.archanaskitchen.com/halli-style-mutton-saru-recipe" TargetMode="External"/><Relationship Id="rId21" Type="http://schemas.openxmlformats.org/officeDocument/2006/relationships/hyperlink" Target="http://www.archanaskitchen.com/togarikalu-akki-recipe-karnataka-style-rice-rava-upma-with-fresh-pigeon-peas" TargetMode="External"/><Relationship Id="rId42" Type="http://schemas.openxmlformats.org/officeDocument/2006/relationships/hyperlink" Target="https://www.archanaskitchen.com/pudina-tambuli-recipe" TargetMode="External"/><Relationship Id="rId63" Type="http://schemas.openxmlformats.org/officeDocument/2006/relationships/hyperlink" Target="http://www.archanaskitchen.com/karwar-style-surana-bhaji-recipe-hot-and-sour-yam-recipe" TargetMode="External"/><Relationship Id="rId84" Type="http://schemas.openxmlformats.org/officeDocument/2006/relationships/hyperlink" Target="http://www.archanaskitchen.com/avalakki-bella-usuli-recipe-jaggery-flattened-rice" TargetMode="External"/><Relationship Id="rId138" Type="http://schemas.openxmlformats.org/officeDocument/2006/relationships/hyperlink" Target="http://www.archanaskitchen.com/karnataka-style-aralu-sandige-recipe-puffed-paddy-fryums" TargetMode="External"/><Relationship Id="rId159" Type="http://schemas.openxmlformats.org/officeDocument/2006/relationships/hyperlink" Target="https://www.archanaskitchen.com/muga-ambat-recipe" TargetMode="External"/><Relationship Id="rId170" Type="http://schemas.openxmlformats.org/officeDocument/2006/relationships/hyperlink" Target="https://www.archanaskitchen.com/jolada-mudde-recipe" TargetMode="External"/><Relationship Id="rId107" Type="http://schemas.openxmlformats.org/officeDocument/2006/relationships/hyperlink" Target="https://www.archanaskitchen.com/menthe-fenugreek-seeds-tambli-recipe-karnataka-recipes-in-hindi" TargetMode="External"/><Relationship Id="rId11" Type="http://schemas.openxmlformats.org/officeDocument/2006/relationships/hyperlink" Target="https://www.archanaskitchen.com/ragi-halwa-recipe-healthy-indian-sweet-made-with-ragi" TargetMode="External"/><Relationship Id="rId32" Type="http://schemas.openxmlformats.org/officeDocument/2006/relationships/hyperlink" Target="http://www.archanaskitchen.com/avarekalu-tikki-recipe" TargetMode="External"/><Relationship Id="rId53" Type="http://schemas.openxmlformats.org/officeDocument/2006/relationships/hyperlink" Target="http://www.archanaskitchen.com/karnataka-style-harive-soppu-bendi-recipe-amaranth-leaves-cooked-in-coconut-broth" TargetMode="External"/><Relationship Id="rId74" Type="http://schemas.openxmlformats.org/officeDocument/2006/relationships/hyperlink" Target="https://www.archanaskitchen.com/harive-soppina-saaru-recipe-karnataka-style-amaranth-leaves-cooked-with-lentils" TargetMode="External"/><Relationship Id="rId128" Type="http://schemas.openxmlformats.org/officeDocument/2006/relationships/hyperlink" Target="https://www.archanaskitchen.com/kadle-bele-chutney-pudi-recipe" TargetMode="External"/><Relationship Id="rId149" Type="http://schemas.openxmlformats.org/officeDocument/2006/relationships/hyperlink" Target="https://www.archanaskitchen.com/tomato-pulav-recipe" TargetMode="External"/><Relationship Id="rId5" Type="http://schemas.openxmlformats.org/officeDocument/2006/relationships/hyperlink" Target="http://www.archanaskitchen.com/hunase-gojju-recipe-in-hindi" TargetMode="External"/><Relationship Id="rId95" Type="http://schemas.openxmlformats.org/officeDocument/2006/relationships/hyperlink" Target="http://www.archanaskitchen.com/ambode-recipe-karnataka-style-masala-vada" TargetMode="External"/><Relationship Id="rId160" Type="http://schemas.openxmlformats.org/officeDocument/2006/relationships/hyperlink" Target="http://www.archanaskitchen.com/dali-thoy-recipe-karwar-style-toor-dal-curry" TargetMode="External"/><Relationship Id="rId181" Type="http://schemas.openxmlformats.org/officeDocument/2006/relationships/hyperlink" Target="http://www.archanaskitchen.com/one-pot-vangi-bath-recipe-using-preethi-electric-pressure-cooker-brinjal-rice" TargetMode="External"/><Relationship Id="rId22" Type="http://schemas.openxmlformats.org/officeDocument/2006/relationships/hyperlink" Target="http://www.archanaskitchen.com/karnataka-style-avarekalu-huli-saru-recipe-field-beans-in-a-coconut-based-gravy-recipe" TargetMode="External"/><Relationship Id="rId43" Type="http://schemas.openxmlformats.org/officeDocument/2006/relationships/hyperlink" Target="https://www.archanaskitchen.com/karnataka-style-ranjaka-recipe-red-chili-chutney-recipe" TargetMode="External"/><Relationship Id="rId64" Type="http://schemas.openxmlformats.org/officeDocument/2006/relationships/hyperlink" Target="http://www.archanaskitchen.com/kalingana-polo-recipe-karwar-style-watermelon-rind-dosa" TargetMode="External"/><Relationship Id="rId118" Type="http://schemas.openxmlformats.org/officeDocument/2006/relationships/hyperlink" Target="https://www.archanaskitchen.com/baked-maddur-vada-recipe" TargetMode="External"/><Relationship Id="rId139" Type="http://schemas.openxmlformats.org/officeDocument/2006/relationships/hyperlink" Target="http://www.archanaskitchen.com/palak-dal-recipe-in-hindi" TargetMode="External"/><Relationship Id="rId85" Type="http://schemas.openxmlformats.org/officeDocument/2006/relationships/hyperlink" Target="https://www.archanaskitchen.com/menthe-fenugreek-seeds-tambli-recipe-karnataka-recipes" TargetMode="External"/><Relationship Id="rId150" Type="http://schemas.openxmlformats.org/officeDocument/2006/relationships/hyperlink" Target="http://www.archanaskitchen.com/ambade-udid-methi-recipe-karwar-style-hog-plum-curry" TargetMode="External"/><Relationship Id="rId171" Type="http://schemas.openxmlformats.org/officeDocument/2006/relationships/hyperlink" Target="http://www.archanaskitchen.com/menthya-jolada-mudde-recipe-methi-jowar-balls-recipe" TargetMode="External"/><Relationship Id="rId12" Type="http://schemas.openxmlformats.org/officeDocument/2006/relationships/hyperlink" Target="http://www.archanaskitchen.com/bibya-usal-recipe-karwar-spiced-cashew-nut-sabzi" TargetMode="External"/><Relationship Id="rId33" Type="http://schemas.openxmlformats.org/officeDocument/2006/relationships/hyperlink" Target="https://www.archanaskitchen.com/karnataka-style-sabsige-soppu-akki-rotti-dill-leaves-and-flattened-rice-bread-recipe" TargetMode="External"/><Relationship Id="rId108" Type="http://schemas.openxmlformats.org/officeDocument/2006/relationships/hyperlink" Target="https://www.archanaskitchen.com/iyengar-style-masala-toast-recipe-in-hindi" TargetMode="External"/><Relationship Id="rId129" Type="http://schemas.openxmlformats.org/officeDocument/2006/relationships/hyperlink" Target="http://www.archanaskitchen.com/avarekallu-obbatu-recipe-sweet-paratha-stuffed-with-field-beans-recipe" TargetMode="External"/><Relationship Id="rId54" Type="http://schemas.openxmlformats.org/officeDocument/2006/relationships/hyperlink" Target="https://www.archanaskitchen.com/karnataka-style-mango-rasa-recipe-mangrasa" TargetMode="External"/><Relationship Id="rId75" Type="http://schemas.openxmlformats.org/officeDocument/2006/relationships/hyperlink" Target="http://www.archanaskitchen.com/malnad-special-appe-midi-uppinakayi-recipe-tender-mango-pickle" TargetMode="External"/><Relationship Id="rId96" Type="http://schemas.openxmlformats.org/officeDocument/2006/relationships/hyperlink" Target="https://www.archanaskitchen.com/pineapple-kesari-bhath-recipe-sweet-semolina-pudding" TargetMode="External"/><Relationship Id="rId140" Type="http://schemas.openxmlformats.org/officeDocument/2006/relationships/hyperlink" Target="https://www.archanaskitchen.com/yele-kadubu-recipe-with-sweet-and-spicy-onion-chutney-in-hindi" TargetMode="External"/><Relationship Id="rId161" Type="http://schemas.openxmlformats.org/officeDocument/2006/relationships/hyperlink" Target="http://www.archanaskitchen.com/karwar-style-valval-recipe-mixed-vegetables-in-coconut-milk" TargetMode="External"/><Relationship Id="rId182" Type="http://schemas.openxmlformats.org/officeDocument/2006/relationships/hyperlink" Target="https://www.archanaskitchen.com/one-pot-vangi-bath-recipe-using-preethi-electric-pressure-cooker-brinjal-rice-in-hindi" TargetMode="External"/><Relationship Id="rId6" Type="http://schemas.openxmlformats.org/officeDocument/2006/relationships/hyperlink" Target="https://www.archanaskitchen.com/rava-chakkuli-recipe-karnataka-style-chakli-with-rava-rice-flour" TargetMode="External"/><Relationship Id="rId23" Type="http://schemas.openxmlformats.org/officeDocument/2006/relationships/hyperlink" Target="http://www.archanaskitchen.com/karnataka-style-sorakkai-palya-recipe-pressure-cooked-bottle-gourd-recipe" TargetMode="External"/><Relationship Id="rId119" Type="http://schemas.openxmlformats.org/officeDocument/2006/relationships/hyperlink" Target="http://www.archanaskitchen.com/ellu-chutney-sesame-seeds-chutney-recipe" TargetMode="External"/><Relationship Id="rId44" Type="http://schemas.openxmlformats.org/officeDocument/2006/relationships/hyperlink" Target="http://www.archanaskitchen.com/karnataka-style-menthya-soppu-hesaru-kaalu-palya-recipe" TargetMode="External"/><Relationship Id="rId65" Type="http://schemas.openxmlformats.org/officeDocument/2006/relationships/hyperlink" Target="https://www.archanaskitchen.com/karwar-style-anasa-patal-bhaaji-recipe-pineapple-cooked-with-coconut-recipe" TargetMode="External"/><Relationship Id="rId86" Type="http://schemas.openxmlformats.org/officeDocument/2006/relationships/hyperlink" Target="https://www.archanaskitchen.com/karnataka-style-avarekai-upma-uppittu-recipe" TargetMode="External"/><Relationship Id="rId130" Type="http://schemas.openxmlformats.org/officeDocument/2006/relationships/hyperlink" Target="http://www.archanaskitchen.com/kara-kadubu-recipe-malanad-style-steamed-spiced-rice-dumplings" TargetMode="External"/><Relationship Id="rId151" Type="http://schemas.openxmlformats.org/officeDocument/2006/relationships/hyperlink" Target="http://www.archanaskitchen.com/karwar-style-lasani-kadhi-recipe" TargetMode="External"/><Relationship Id="rId172" Type="http://schemas.openxmlformats.org/officeDocument/2006/relationships/hyperlink" Target="https://www.archanaskitchen.com/uchellu-chutney-recipe-niger-seeds-chutney" TargetMode="External"/><Relationship Id="rId13" Type="http://schemas.openxmlformats.org/officeDocument/2006/relationships/hyperlink" Target="https://www.archanaskitchen.com/karantaka-style-seke-undlaka-undlige-recipe-mini-steamed-sweet-dumplings-recipe" TargetMode="External"/><Relationship Id="rId18" Type="http://schemas.openxmlformats.org/officeDocument/2006/relationships/hyperlink" Target="https://www.archanaskitchen.com/karwar-style-varan-kadhi-recipe" TargetMode="External"/><Relationship Id="rId39" Type="http://schemas.openxmlformats.org/officeDocument/2006/relationships/hyperlink" Target="http://www.archanaskitchen.com/karnataka-style-pudina-mavinkayi-chutney-recipe-mint-mango-chutney" TargetMode="External"/><Relationship Id="rId109" Type="http://schemas.openxmlformats.org/officeDocument/2006/relationships/hyperlink" Target="http://www.archanaskitchen.com/iyengar-bakery-style-masala-bread-recipe" TargetMode="External"/><Relationship Id="rId34" Type="http://schemas.openxmlformats.org/officeDocument/2006/relationships/hyperlink" Target="http://www.archanaskitchen.com/sagu-masala-dosa-recipe" TargetMode="External"/><Relationship Id="rId50" Type="http://schemas.openxmlformats.org/officeDocument/2006/relationships/hyperlink" Target="https://www.archanaskitchen.com/karanataka-style-hurali-kaalu-saaru-recipe" TargetMode="External"/><Relationship Id="rId55" Type="http://schemas.openxmlformats.org/officeDocument/2006/relationships/hyperlink" Target="http://www.archanaskitchen.com/huli-soppu-saaru-recipe-karnataka-style-mixed-greens-sambar" TargetMode="External"/><Relationship Id="rId76" Type="http://schemas.openxmlformats.org/officeDocument/2006/relationships/hyperlink" Target="http://www.archanaskitchen.com/karnataka-style-badnekayi-palya-recipe-long-brinjal-with-spicy-coconut-recipe" TargetMode="External"/><Relationship Id="rId97" Type="http://schemas.openxmlformats.org/officeDocument/2006/relationships/hyperlink" Target="http://www.archanaskitchen.com/karatya-kismore-recipe-sweet-and-tangy-bitter-guard-salad-recipe" TargetMode="External"/><Relationship Id="rId104" Type="http://schemas.openxmlformats.org/officeDocument/2006/relationships/hyperlink" Target="https://www.archanaskitchen.com/hurali-kalu-chutney-recipe-horse-gram-chutney-recipe-in-hindi" TargetMode="External"/><Relationship Id="rId120" Type="http://schemas.openxmlformats.org/officeDocument/2006/relationships/hyperlink" Target="https://www.archanaskitchen.com/karnataka-style-haalbai-recipe" TargetMode="External"/><Relationship Id="rId125" Type="http://schemas.openxmlformats.org/officeDocument/2006/relationships/hyperlink" Target="https://www.archanaskitchen.com/ragi-halbai-recipe" TargetMode="External"/><Relationship Id="rId141" Type="http://schemas.openxmlformats.org/officeDocument/2006/relationships/hyperlink" Target="http://www.archanaskitchen.com/kerala-cheriya-ulli-sambar-recipe" TargetMode="External"/><Relationship Id="rId146" Type="http://schemas.openxmlformats.org/officeDocument/2006/relationships/hyperlink" Target="http://www.archanaskitchen.com/karwar-style-dali-ambat-ani-maska-sang-recipe-toor-dal-and-drumsticks-pod-curry-recipe" TargetMode="External"/><Relationship Id="rId167" Type="http://schemas.openxmlformats.org/officeDocument/2006/relationships/hyperlink" Target="http://www.archanaskitchen.com/mixed-vegetable-akki-roti-recipe" TargetMode="External"/><Relationship Id="rId188" Type="http://schemas.openxmlformats.org/officeDocument/2006/relationships/hyperlink" Target="http://www.archanaskitchen.com/badanekaayi-gojju-brinjal-curry-recipe-in-hindi" TargetMode="External"/><Relationship Id="rId7" Type="http://schemas.openxmlformats.org/officeDocument/2006/relationships/hyperlink" Target="https://www.archanaskitchen.com/karnataka-style-gasagase-payasa-recipe-poppy-seed-payasam" TargetMode="External"/><Relationship Id="rId71" Type="http://schemas.openxmlformats.org/officeDocument/2006/relationships/hyperlink" Target="https://www.archanaskitchen.com/karnataka-style-majjige-huli-recipe-tasty-buttermilk-rasam" TargetMode="External"/><Relationship Id="rId92" Type="http://schemas.openxmlformats.org/officeDocument/2006/relationships/hyperlink" Target="https://www.archanaskitchen.com/karnataka-style-chicken-saaru-recipe" TargetMode="External"/><Relationship Id="rId162" Type="http://schemas.openxmlformats.org/officeDocument/2006/relationships/hyperlink" Target="https://www.archanaskitchen.com/rava-rotti-recipe-karnataka-style-semolina-flat-bread" TargetMode="External"/><Relationship Id="rId183" Type="http://schemas.openxmlformats.org/officeDocument/2006/relationships/hyperlink" Target="http://www.archanaskitchen.com/karnatak-style-kadle-kaalu-saru-recipe-black-chickpea-curry" TargetMode="External"/><Relationship Id="rId2" Type="http://schemas.openxmlformats.org/officeDocument/2006/relationships/hyperlink" Target="https://www.archanaskitchen.com/kara-obbattu-recipe-bread-stuffed-with-spicy-potato-mixture-recipe" TargetMode="External"/><Relationship Id="rId29" Type="http://schemas.openxmlformats.org/officeDocument/2006/relationships/hyperlink" Target="http://www.archanaskitchen.com/sesame-seeds-chutney-recipe-in-hindi" TargetMode="External"/><Relationship Id="rId24" Type="http://schemas.openxmlformats.org/officeDocument/2006/relationships/hyperlink" Target="https://www.archanaskitchen.com/udid-methi-recipe-karwar-style-green-mango-curry-with-methi" TargetMode="External"/><Relationship Id="rId40" Type="http://schemas.openxmlformats.org/officeDocument/2006/relationships/hyperlink" Target="https://www.archanaskitchen.com/hunase-saaru-recipe-mysore-style-spicy-tamarind-rasam" TargetMode="External"/><Relationship Id="rId45" Type="http://schemas.openxmlformats.org/officeDocument/2006/relationships/hyperlink" Target="http://www.archanaskitchen.com/avarekalu-payasa-recipe-broad-beans-pudding" TargetMode="External"/><Relationship Id="rId66" Type="http://schemas.openxmlformats.org/officeDocument/2006/relationships/hyperlink" Target="http://www.archanaskitchen.com/bele-dose-recipe-lentil-dosa-recipe" TargetMode="External"/><Relationship Id="rId87" Type="http://schemas.openxmlformats.org/officeDocument/2006/relationships/hyperlink" Target="https://www.archanaskitchen.com/karnataka-style-ellu-bella-recipe-sankrati-mix-recipe" TargetMode="External"/><Relationship Id="rId110" Type="http://schemas.openxmlformats.org/officeDocument/2006/relationships/hyperlink" Target="https://www.archanaskitchen.com/heerekai-sippe-chutney-recipe-ridge-gourd-peel-chutney" TargetMode="External"/><Relationship Id="rId115" Type="http://schemas.openxmlformats.org/officeDocument/2006/relationships/hyperlink" Target="http://www.archanaskitchen.com/karnataka-style-heerekai-dose-recipe-ridge-gourd-dosa-recipe" TargetMode="External"/><Relationship Id="rId131" Type="http://schemas.openxmlformats.org/officeDocument/2006/relationships/hyperlink" Target="http://www.archanaskitchen.com/karnataka-style-baledindina-kosambri-recipe-banana-stem-salad" TargetMode="External"/><Relationship Id="rId136" Type="http://schemas.openxmlformats.org/officeDocument/2006/relationships/hyperlink" Target="http://www.archanaskitchen.com/karanatak-style-hurigadle-tambittu-recipe-gram-flour-laddoo-recipe" TargetMode="External"/><Relationship Id="rId157" Type="http://schemas.openxmlformats.org/officeDocument/2006/relationships/hyperlink" Target="https://www.archanaskitchen.com/karnataka-style-jackfruit-moong-dal-payasa-recipe" TargetMode="External"/><Relationship Id="rId178" Type="http://schemas.openxmlformats.org/officeDocument/2006/relationships/hyperlink" Target="http://www.archanaskitchen.com/sabudana-sandige-fryums-recipe" TargetMode="External"/><Relationship Id="rId61" Type="http://schemas.openxmlformats.org/officeDocument/2006/relationships/hyperlink" Target="http://www.archanaskitchen.com/karnataka-style-beetroot-palya-recipe" TargetMode="External"/><Relationship Id="rId82" Type="http://schemas.openxmlformats.org/officeDocument/2006/relationships/hyperlink" Target="http://www.archanaskitchen.com/karnataka-style-sabbasitige-rasam-recipe-dill-leave-toor-dal-rasam-recipe" TargetMode="External"/><Relationship Id="rId152" Type="http://schemas.openxmlformats.org/officeDocument/2006/relationships/hyperlink" Target="http://www.archanaskitchen.com/baale-dindu-kadale-kaalina-palya-banana-stem-curry-with-chickpeas-recipe-in-hindi" TargetMode="External"/><Relationship Id="rId173" Type="http://schemas.openxmlformats.org/officeDocument/2006/relationships/hyperlink" Target="https://www.archanaskitchen.com/aavryachi-bhaji-avarakkai-poriyal-broad-beans-stir-fry-recipe" TargetMode="External"/><Relationship Id="rId19" Type="http://schemas.openxmlformats.org/officeDocument/2006/relationships/hyperlink" Target="https://www.archanaskitchen.com/karnataka-style-ranjaka-recipe-red-chili-chutney-recipe-in-hindi" TargetMode="External"/><Relationship Id="rId14" Type="http://schemas.openxmlformats.org/officeDocument/2006/relationships/hyperlink" Target="http://www.archanaskitchen.com/chicken-donne-biryani-recipe-bangalore-shivaji-military-style" TargetMode="External"/><Relationship Id="rId30" Type="http://schemas.openxmlformats.org/officeDocument/2006/relationships/hyperlink" Target="https://www.archanaskitchen.com/karantaka-style-bassaur-palya-recipe-toor-dal-and-dill-leaves-stir-fry-recipe" TargetMode="External"/><Relationship Id="rId35" Type="http://schemas.openxmlformats.org/officeDocument/2006/relationships/hyperlink" Target="https://www.archanaskitchen.com/konkani-style-madgane-recipe-with-oats-rajgira" TargetMode="External"/><Relationship Id="rId56" Type="http://schemas.openxmlformats.org/officeDocument/2006/relationships/hyperlink" Target="https://www.archanaskitchen.com/palak-tambuli-udupi-style-spinach-tambli-recipe" TargetMode="External"/><Relationship Id="rId77" Type="http://schemas.openxmlformats.org/officeDocument/2006/relationships/hyperlink" Target="http://www.archanaskitchen.com/mysore-masala-dosa-recipe" TargetMode="External"/><Relationship Id="rId100" Type="http://schemas.openxmlformats.org/officeDocument/2006/relationships/hyperlink" Target="http://www.archanaskitchen.com/masala-roti-recipe-soft-and-spicy-indian-flat-bread" TargetMode="External"/><Relationship Id="rId105" Type="http://schemas.openxmlformats.org/officeDocument/2006/relationships/hyperlink" Target="https://www.archanaskitchen.com/karnataka-style-avarekalu-kosambari-recipe" TargetMode="External"/><Relationship Id="rId126" Type="http://schemas.openxmlformats.org/officeDocument/2006/relationships/hyperlink" Target="https://www.archanaskitchen.com/hurali-kalu-chutney-recipe-horse-gram-chutney-recipe" TargetMode="External"/><Relationship Id="rId147" Type="http://schemas.openxmlformats.org/officeDocument/2006/relationships/hyperlink" Target="https://www.archanaskitchen.com/karwar-style-kelya-sasav-recipe-banana-relish-recipe" TargetMode="External"/><Relationship Id="rId168" Type="http://schemas.openxmlformats.org/officeDocument/2006/relationships/hyperlink" Target="https://www.archanaskitchen.com/togarikaayi-usli-recipe-green-pigeon-peas" TargetMode="External"/><Relationship Id="rId8" Type="http://schemas.openxmlformats.org/officeDocument/2006/relationships/hyperlink" Target="http://www.archanaskitchen.com/karnataka-style-mixed-vegetable-saagu-recipe-spicy-vegetable-coconut-gravy-recipe" TargetMode="External"/><Relationship Id="rId51" Type="http://schemas.openxmlformats.org/officeDocument/2006/relationships/hyperlink" Target="http://www.archanaskitchen.com/peanut-chutney-powder-recipe" TargetMode="External"/><Relationship Id="rId72" Type="http://schemas.openxmlformats.org/officeDocument/2006/relationships/hyperlink" Target="http://www.archanaskitchen.com/bharli-vangi-recipe-karwar-nkgsb-style-brinjal-curry" TargetMode="External"/><Relationship Id="rId93" Type="http://schemas.openxmlformats.org/officeDocument/2006/relationships/hyperlink" Target="http://www.archanaskitchen.com/mavinakayi-chutney-recipe-south-canara-raw-mango-chutney-in-hindi" TargetMode="External"/><Relationship Id="rId98" Type="http://schemas.openxmlformats.org/officeDocument/2006/relationships/hyperlink" Target="http://www.archanaskitchen.com/masala-pohe-recipe-in-hindi" TargetMode="External"/><Relationship Id="rId121" Type="http://schemas.openxmlformats.org/officeDocument/2006/relationships/hyperlink" Target="https://www.archanaskitchen.com/karnataka-style-pudina-shavige-recipe-mint-vermicelli-recipe" TargetMode="External"/><Relationship Id="rId142" Type="http://schemas.openxmlformats.org/officeDocument/2006/relationships/hyperlink" Target="https://www.archanaskitchen.com/karnataka-style-sabsige-soppu-paddu-recipe-dill-leaves-savory-fritters-recipe" TargetMode="External"/><Relationship Id="rId163" Type="http://schemas.openxmlformats.org/officeDocument/2006/relationships/hyperlink" Target="http://www.archanaskitchen.com/ambade-kaarle-lonche-recipe-hog-plums-bitter-gourd-pickle" TargetMode="External"/><Relationship Id="rId184" Type="http://schemas.openxmlformats.org/officeDocument/2006/relationships/hyperlink" Target="http://www.archanaskitchen.com/tomato-gojju-south-indian-style-tomato-curry-recipe" TargetMode="External"/><Relationship Id="rId3" Type="http://schemas.openxmlformats.org/officeDocument/2006/relationships/hyperlink" Target="https://www.archanaskitchen.com/karanataka-style-goraikai-kara-recipe-cluster-beans-chutney-recipe" TargetMode="External"/><Relationship Id="rId25" Type="http://schemas.openxmlformats.org/officeDocument/2006/relationships/hyperlink" Target="https://www.archanaskitchen.com/matwadi-palya-recipe-madhwa-brahmin-style-methi-chana-dal-sabzi" TargetMode="External"/><Relationship Id="rId46" Type="http://schemas.openxmlformats.org/officeDocument/2006/relationships/hyperlink" Target="https://www.archanaskitchen.com/karnataka-style-badnekayi-mosaru-gojju-recipe" TargetMode="External"/><Relationship Id="rId67" Type="http://schemas.openxmlformats.org/officeDocument/2006/relationships/hyperlink" Target="https://www.archanaskitchen.com/sakkare-achhu-recipe-festive-sugar-figurines" TargetMode="External"/><Relationship Id="rId116" Type="http://schemas.openxmlformats.org/officeDocument/2006/relationships/hyperlink" Target="http://www.archanaskitchen.com/karnataka-style-alugadde-and-mentye-pakoda-recipe-potato-and-fenugreek-leaves-fritters" TargetMode="External"/><Relationship Id="rId137" Type="http://schemas.openxmlformats.org/officeDocument/2006/relationships/hyperlink" Target="http://www.archanaskitchen.com/pudina-mavinakayi-chutney-recipe-mint-mango-chutney-in-hindi" TargetMode="External"/><Relationship Id="rId158" Type="http://schemas.openxmlformats.org/officeDocument/2006/relationships/hyperlink" Target="https://www.archanaskitchen.com/kumbalakai-majjige-huli-recipe-ash-gourd-buttermilk-curry" TargetMode="External"/><Relationship Id="rId20" Type="http://schemas.openxmlformats.org/officeDocument/2006/relationships/hyperlink" Target="https://www.archanaskitchen.com/surti-obbattu-recipe-fruit-nut-pooris-saffron-milk" TargetMode="External"/><Relationship Id="rId41" Type="http://schemas.openxmlformats.org/officeDocument/2006/relationships/hyperlink" Target="https://www.archanaskitchen.com/karnataka-style-southekayi-seppe-chutney-recipe-mangalore-cucumber-peel-chutney-recipe" TargetMode="External"/><Relationship Id="rId62" Type="http://schemas.openxmlformats.org/officeDocument/2006/relationships/hyperlink" Target="https://www.archanaskitchen.com/ragi-mudde-recipe" TargetMode="External"/><Relationship Id="rId83" Type="http://schemas.openxmlformats.org/officeDocument/2006/relationships/hyperlink" Target="https://www.archanaskitchen.com/south-canara-style-mavinakayi-hindi-recipe-raw-mango-spicy-chutney" TargetMode="External"/><Relationship Id="rId88" Type="http://schemas.openxmlformats.org/officeDocument/2006/relationships/hyperlink" Target="http://www.archanaskitchen.com/sprouted-green-gram-kosambari-recipe" TargetMode="External"/><Relationship Id="rId111" Type="http://schemas.openxmlformats.org/officeDocument/2006/relationships/hyperlink" Target="https://www.archanaskitchen.com/avarekalu-pulao-recipe-karnataka-style-avarekalu-pulao" TargetMode="External"/><Relationship Id="rId132" Type="http://schemas.openxmlformats.org/officeDocument/2006/relationships/hyperlink" Target="http://www.archanaskitchen.com/alasande-kaalu-saaru-recipe-malnad-style-black-eyed-beans-curry" TargetMode="External"/><Relationship Id="rId153" Type="http://schemas.openxmlformats.org/officeDocument/2006/relationships/hyperlink" Target="http://www.archanaskitchen.com/north-kanara-sweet-and-sour-raw-mango-chutney-recipe-in-hindi" TargetMode="External"/><Relationship Id="rId174" Type="http://schemas.openxmlformats.org/officeDocument/2006/relationships/hyperlink" Target="https://www.archanaskitchen.com/karnataka-style-menthe-kadubu-recipe-fenugreek-leaves-wheat-dumpling-recipe" TargetMode="External"/><Relationship Id="rId179" Type="http://schemas.openxmlformats.org/officeDocument/2006/relationships/hyperlink" Target="http://www.archanaskitchen.com/congress-buns-recipe" TargetMode="External"/><Relationship Id="rId15" Type="http://schemas.openxmlformats.org/officeDocument/2006/relationships/hyperlink" Target="https://www.archanaskitchen.com/karnataka-style-orange-peels-curry-recipe" TargetMode="External"/><Relationship Id="rId36" Type="http://schemas.openxmlformats.org/officeDocument/2006/relationships/hyperlink" Target="https://www.archanaskitchen.com/karnataka-style-kashi-halwa-recipe-with-ash-gourd" TargetMode="External"/><Relationship Id="rId57" Type="http://schemas.openxmlformats.org/officeDocument/2006/relationships/hyperlink" Target="https://www.archanaskitchen.com/karwar-style-tousali-recipe-cucumber-cake-recipe" TargetMode="External"/><Relationship Id="rId106" Type="http://schemas.openxmlformats.org/officeDocument/2006/relationships/hyperlink" Target="http://www.archanaskitchen.com/karnataka-style-avarekalu-rotti-recipe" TargetMode="External"/><Relationship Id="rId127" Type="http://schemas.openxmlformats.org/officeDocument/2006/relationships/hyperlink" Target="http://www.archanaskitchen.com/karnataka-style-avarekalu-sagu-recipe-hyacinth-beans-mochai-kurma-recipe" TargetMode="External"/><Relationship Id="rId10" Type="http://schemas.openxmlformats.org/officeDocument/2006/relationships/hyperlink" Target="http://www.archanaskitchen.com/mysore-chutney-recipe-chana-dal-chutney-in-hindi" TargetMode="External"/><Relationship Id="rId31" Type="http://schemas.openxmlformats.org/officeDocument/2006/relationships/hyperlink" Target="http://www.archanaskitchen.com/phodni-phov-recipe-karwar-style-poha-with-cashewnuts" TargetMode="External"/><Relationship Id="rId52" Type="http://schemas.openxmlformats.org/officeDocument/2006/relationships/hyperlink" Target="https://www.archanaskitchen.com/bellada-coffee-recipe-with-milk-karnataka-style-filter-coffee-with-jaggery" TargetMode="External"/><Relationship Id="rId73" Type="http://schemas.openxmlformats.org/officeDocument/2006/relationships/hyperlink" Target="https://www.archanaskitchen.com/avarekalu-kadubu-recipe-hyacinth-beans-steamed-dumplings" TargetMode="External"/><Relationship Id="rId78" Type="http://schemas.openxmlformats.org/officeDocument/2006/relationships/hyperlink" Target="https://www.archanaskitchen.com/drumstick-leaves-ragi-roti-recipe-moringa-millet-flat-bread" TargetMode="External"/><Relationship Id="rId94" Type="http://schemas.openxmlformats.org/officeDocument/2006/relationships/hyperlink" Target="http://www.archanaskitchen.com/insant-mysore-pak-recipe" TargetMode="External"/><Relationship Id="rId99" Type="http://schemas.openxmlformats.org/officeDocument/2006/relationships/hyperlink" Target="http://www.archanaskitchen.com/mysore-bonda-recipe-healthy-pan-fried-recipe" TargetMode="External"/><Relationship Id="rId101" Type="http://schemas.openxmlformats.org/officeDocument/2006/relationships/hyperlink" Target="https://www.archanaskitchen.com/karnataka-style-set-dosa-recipe" TargetMode="External"/><Relationship Id="rId122" Type="http://schemas.openxmlformats.org/officeDocument/2006/relationships/hyperlink" Target="http://www.archanaskitchen.com/palak-tambuli-recipe-udupi-style-spinach-tambli-in-hindi" TargetMode="External"/><Relationship Id="rId143" Type="http://schemas.openxmlformats.org/officeDocument/2006/relationships/hyperlink" Target="https://www.archanaskitchen.com/gojju-avalakki-recipe" TargetMode="External"/><Relationship Id="rId148" Type="http://schemas.openxmlformats.org/officeDocument/2006/relationships/hyperlink" Target="https://www.archanaskitchen.com/karnataka-style-spring-onion-dosa-recipe" TargetMode="External"/><Relationship Id="rId164" Type="http://schemas.openxmlformats.org/officeDocument/2006/relationships/hyperlink" Target="https://www.archanaskitchen.com/dharwad-peda-recipe" TargetMode="External"/><Relationship Id="rId169" Type="http://schemas.openxmlformats.org/officeDocument/2006/relationships/hyperlink" Target="http://www.archanaskitchen.com/bendekayi-gojju-recipe-karnataka-style-okra-in-coconut-gravy" TargetMode="External"/><Relationship Id="rId185" Type="http://schemas.openxmlformats.org/officeDocument/2006/relationships/hyperlink" Target="https://www.archanaskitchen.com/elaneer-rasam-recipe-tender-coconut-rasam-in-hindi" TargetMode="External"/><Relationship Id="rId4" Type="http://schemas.openxmlformats.org/officeDocument/2006/relationships/hyperlink" Target="https://www.archanaskitchen.com/ragi-ujju-rotti-recipe" TargetMode="External"/><Relationship Id="rId9" Type="http://schemas.openxmlformats.org/officeDocument/2006/relationships/hyperlink" Target="http://www.archanaskitchen.com/black-eyed-peas-masala-vadas-recipe" TargetMode="External"/><Relationship Id="rId180" Type="http://schemas.openxmlformats.org/officeDocument/2006/relationships/hyperlink" Target="http://www.archanaskitchen.com/elaneer-rasam-recipe-tender-coconut-rasam" TargetMode="External"/><Relationship Id="rId26" Type="http://schemas.openxmlformats.org/officeDocument/2006/relationships/hyperlink" Target="http://www.archanaskitchen.com/hayagreeva-recipe-bengal-gram-sweet-from-karnataka" TargetMode="External"/><Relationship Id="rId47" Type="http://schemas.openxmlformats.org/officeDocument/2006/relationships/hyperlink" Target="https://www.archanaskitchen.com/hunase-gojju-recipe" TargetMode="External"/><Relationship Id="rId68" Type="http://schemas.openxmlformats.org/officeDocument/2006/relationships/hyperlink" Target="https://www.archanaskitchen.com/karnataka-style-sandige-huli-recipe-toor-dal-dumplings-in-gravy-recipe" TargetMode="External"/><Relationship Id="rId89" Type="http://schemas.openxmlformats.org/officeDocument/2006/relationships/hyperlink" Target="https://www.archanaskitchen.com/sajjappa-recipe-stuffed-sweetened-coconut-pastry" TargetMode="External"/><Relationship Id="rId112" Type="http://schemas.openxmlformats.org/officeDocument/2006/relationships/hyperlink" Target="https://www.archanaskitchen.com/averekallu-rava-laddu-recipe-field-beans-semolina-balls-recipe" TargetMode="External"/><Relationship Id="rId133" Type="http://schemas.openxmlformats.org/officeDocument/2006/relationships/hyperlink" Target="https://www.archanaskitchen.com/udupi-style-heeraikai-bajji-recipe-ridge-gourd-fritters-recipe" TargetMode="External"/><Relationship Id="rId154" Type="http://schemas.openxmlformats.org/officeDocument/2006/relationships/hyperlink" Target="https://www.archanaskitchen.com/karnataka-style-utthatthi-payasa-recipe-dry-dates-kheer" TargetMode="External"/><Relationship Id="rId175" Type="http://schemas.openxmlformats.org/officeDocument/2006/relationships/hyperlink" Target="https://www.archanaskitchen.com/pineapple-gojju-recipe-karnataka-style-tangy-and-spicy-pineapple-curry" TargetMode="External"/><Relationship Id="rId16" Type="http://schemas.openxmlformats.org/officeDocument/2006/relationships/hyperlink" Target="http://www.archanaskitchen.com/khara-bhath-recipe-south-indian-rava-bhath" TargetMode="External"/><Relationship Id="rId37" Type="http://schemas.openxmlformats.org/officeDocument/2006/relationships/hyperlink" Target="http://www.archanaskitchen.com/khatkhate-recipe-karwar-style-mixed-vegetable-curry-with-toor-dal-coconut" TargetMode="External"/><Relationship Id="rId58" Type="http://schemas.openxmlformats.org/officeDocument/2006/relationships/hyperlink" Target="https://www.archanaskitchen.com/karnataka-style-bassaru-recipe-dill-flavored-coconut-rasam-recipe" TargetMode="External"/><Relationship Id="rId79" Type="http://schemas.openxmlformats.org/officeDocument/2006/relationships/hyperlink" Target="https://www.archanaskitchen.com/karnataka-style-churumuri-spicy-puffed-rice-recipe" TargetMode="External"/><Relationship Id="rId102" Type="http://schemas.openxmlformats.org/officeDocument/2006/relationships/hyperlink" Target="http://www.archanaskitchen.com/karnataka-style-bele-saru-recipe" TargetMode="External"/><Relationship Id="rId123" Type="http://schemas.openxmlformats.org/officeDocument/2006/relationships/hyperlink" Target="http://www.archanaskitchen.com/karnataka-style-moolangi-chutney-recipe-radish-thogayal-in-hindi" TargetMode="External"/><Relationship Id="rId144" Type="http://schemas.openxmlformats.org/officeDocument/2006/relationships/hyperlink" Target="https://www.archanaskitchen.com/spicy-baked-beans-with-potato-cakes-recipe" TargetMode="External"/><Relationship Id="rId90" Type="http://schemas.openxmlformats.org/officeDocument/2006/relationships/hyperlink" Target="https://www.archanaskitchen.com/nucchinunde-nucchina-unde-recipe-karnataka-style-dal-steamed-pakora" TargetMode="External"/><Relationship Id="rId165" Type="http://schemas.openxmlformats.org/officeDocument/2006/relationships/hyperlink" Target="http://www.archanaskitchen.com/togarikaayi-usli-recipe-green-pigeon-peas-in-hindi" TargetMode="External"/><Relationship Id="rId186" Type="http://schemas.openxmlformats.org/officeDocument/2006/relationships/hyperlink" Target="https://www.archanaskitchen.com/chow-chow-pasiparuppu-poriyal-recipe-chayote-squash-and-moong-stir-fry" TargetMode="External"/><Relationship Id="rId27" Type="http://schemas.openxmlformats.org/officeDocument/2006/relationships/hyperlink" Target="https://www.archanaskitchen.com/iyengar-style-masala-toast-recipe" TargetMode="External"/><Relationship Id="rId48" Type="http://schemas.openxmlformats.org/officeDocument/2006/relationships/hyperlink" Target="https://www.archanaskitchen.com/mysore-chutney-recipe-chana-dal-chutney" TargetMode="External"/><Relationship Id="rId69" Type="http://schemas.openxmlformats.org/officeDocument/2006/relationships/hyperlink" Target="http://www.archanaskitchen.com/yele-kadubu-recipe-with-sweet-and-spicy-onion-chutney" TargetMode="External"/><Relationship Id="rId113" Type="http://schemas.openxmlformats.org/officeDocument/2006/relationships/hyperlink" Target="https://www.archanaskitchen.com/milk-sooji-fudge-recipe" TargetMode="External"/><Relationship Id="rId134" Type="http://schemas.openxmlformats.org/officeDocument/2006/relationships/hyperlink" Target="http://www.archanaskitchen.com/mysore-style-avarekalu-rasam-recipe" TargetMode="External"/><Relationship Id="rId80" Type="http://schemas.openxmlformats.org/officeDocument/2006/relationships/hyperlink" Target="https://www.archanaskitchen.com/karnataka-style-sorakkai-palya-recipe-pressure-cooked-bottle-gourd-recipe-in-hindi" TargetMode="External"/><Relationship Id="rId155" Type="http://schemas.openxmlformats.org/officeDocument/2006/relationships/hyperlink" Target="http://www.archanaskitchen.com/north-kanara-sweet-and-sour-raw-mango-chutney-recipe" TargetMode="External"/><Relationship Id="rId176" Type="http://schemas.openxmlformats.org/officeDocument/2006/relationships/hyperlink" Target="https://www.archanaskitchen.com/gurellu-chutney-podi-recipe-niger-seeds-chutney-recipe" TargetMode="External"/><Relationship Id="rId17" Type="http://schemas.openxmlformats.org/officeDocument/2006/relationships/hyperlink" Target="https://www.archanaskitchen.com/lentil-dosa-recipe-in-hindi" TargetMode="External"/><Relationship Id="rId38" Type="http://schemas.openxmlformats.org/officeDocument/2006/relationships/hyperlink" Target="http://www.archanaskitchen.com/ellu-chutney-sesame-seeds-chutney-recipe-in-hindi" TargetMode="External"/><Relationship Id="rId59" Type="http://schemas.openxmlformats.org/officeDocument/2006/relationships/hyperlink" Target="http://www.archanaskitchen.com/karwar-style-muga-ambat-recipe" TargetMode="External"/><Relationship Id="rId103" Type="http://schemas.openxmlformats.org/officeDocument/2006/relationships/hyperlink" Target="https://www.archanaskitchen.com/karnataka-style-tamarind-gojju-recipe" TargetMode="External"/><Relationship Id="rId124" Type="http://schemas.openxmlformats.org/officeDocument/2006/relationships/hyperlink" Target="https://www.archanaskitchen.com/hesarukaalu-upittu-recipe-moong-dal-upma" TargetMode="External"/><Relationship Id="rId70" Type="http://schemas.openxmlformats.org/officeDocument/2006/relationships/hyperlink" Target="https://www.archanaskitchen.com/banana-stem-sabzi-recipe-with-curry-powder" TargetMode="External"/><Relationship Id="rId91" Type="http://schemas.openxmlformats.org/officeDocument/2006/relationships/hyperlink" Target="https://www.archanaskitchen.com/karnataka-style-bonda-soup-recipe-urad-dal-fritters-in-spicy-dal-soup-recipe" TargetMode="External"/><Relationship Id="rId145" Type="http://schemas.openxmlformats.org/officeDocument/2006/relationships/hyperlink" Target="http://www.archanaskitchen.com/thatte-idli-recipe" TargetMode="External"/><Relationship Id="rId166" Type="http://schemas.openxmlformats.org/officeDocument/2006/relationships/hyperlink" Target="http://www.archanaskitchen.com/karnataka-style-badnekeyae-yennagai-gojju-recipe-stuffed-brinjal-recipe" TargetMode="External"/><Relationship Id="rId187" Type="http://schemas.openxmlformats.org/officeDocument/2006/relationships/hyperlink" Target="https://www.archanaskitchen.com/badanekaayi-gojju-brinjal-curry-recipe" TargetMode="External"/><Relationship Id="rId1" Type="http://schemas.openxmlformats.org/officeDocument/2006/relationships/hyperlink" Target="http://www.archanaskitchen.com/bengaluru-style-brinjal-gravy-recipe-for-biryani" TargetMode="External"/><Relationship Id="rId28" Type="http://schemas.openxmlformats.org/officeDocument/2006/relationships/hyperlink" Target="https://www.archanaskitchen.com/gorikayi-palya-recipe-karnataka-style-cluster-beans-sabzi" TargetMode="External"/><Relationship Id="rId49" Type="http://schemas.openxmlformats.org/officeDocument/2006/relationships/hyperlink" Target="http://www.archanaskitchen.com/karnataka-style-obbattu-saaru-recipe" TargetMode="External"/><Relationship Id="rId114" Type="http://schemas.openxmlformats.org/officeDocument/2006/relationships/hyperlink" Target="https://www.archanaskitchen.com/karnataka-style-avarekalu-chitranna-recipe-field-beans-tossed-with-lemon-rice" TargetMode="External"/><Relationship Id="rId60" Type="http://schemas.openxmlformats.org/officeDocument/2006/relationships/hyperlink" Target="http://www.archanaskitchen.com/karwar-style-yerappe-ani-recipe-rice-and-black-split-gram-dumpling-recipe" TargetMode="External"/><Relationship Id="rId81" Type="http://schemas.openxmlformats.org/officeDocument/2006/relationships/hyperlink" Target="https://www.archanaskitchen.com/sabbasige-soppu-dosa-recipe-dill-leaves-sweet-dosa" TargetMode="External"/><Relationship Id="rId135" Type="http://schemas.openxmlformats.org/officeDocument/2006/relationships/hyperlink" Target="http://www.archanaskitchen.com/karjikai-karnataka-style-deep-fried-sweet-pastry-recipe" TargetMode="External"/><Relationship Id="rId156" Type="http://schemas.openxmlformats.org/officeDocument/2006/relationships/hyperlink" Target="https://www.archanaskitchen.com/baale-dindu-kadale-kaalina-palya-banana-stem-curry-with-chickpeas-recipe" TargetMode="External"/><Relationship Id="rId177" Type="http://schemas.openxmlformats.org/officeDocument/2006/relationships/hyperlink" Target="http://www.archanaskitchen.com/jolada-roti-jowar-bhakri-recipe" TargetMode="External"/></Relationships>
</file>

<file path=xl/worksheets/_rels/sheet10.xml.rels><?xml version="1.0" encoding="UTF-8" standalone="yes"?>
<Relationships xmlns="http://schemas.openxmlformats.org/package/2006/relationships"><Relationship Id="rId26" Type="http://schemas.openxmlformats.org/officeDocument/2006/relationships/hyperlink" Target="http://www.archanaskitchen.com/bangaladumpa-vepudu-recipe-potato-fry-recipe" TargetMode="External"/><Relationship Id="rId117" Type="http://schemas.openxmlformats.org/officeDocument/2006/relationships/hyperlink" Target="https://www.archanaskitchen.com/thotakura-vepudu-recipe-andhra-style-amaranth-greens-stir-fry" TargetMode="External"/><Relationship Id="rId21" Type="http://schemas.openxmlformats.org/officeDocument/2006/relationships/hyperlink" Target="http://www.archanaskitchen.com/andhra-style-multi-lentil-garelu-vada-recipe" TargetMode="External"/><Relationship Id="rId42" Type="http://schemas.openxmlformats.org/officeDocument/2006/relationships/hyperlink" Target="https://www.archanaskitchen.com/andhra-style-green-chilli-chicken-recipe" TargetMode="External"/><Relationship Id="rId47" Type="http://schemas.openxmlformats.org/officeDocument/2006/relationships/hyperlink" Target="http://www.archanaskitchen.com/andhra-style-chamadumpa-vepudu-recipe-colocassia-stir-fry-recipe" TargetMode="External"/><Relationship Id="rId63" Type="http://schemas.openxmlformats.org/officeDocument/2006/relationships/hyperlink" Target="https://www.archanaskitchen.com/oats-pessaratu-recipe-oatmeal-green-gram-crepes" TargetMode="External"/><Relationship Id="rId68" Type="http://schemas.openxmlformats.org/officeDocument/2006/relationships/hyperlink" Target="http://www.archanaskitchen.com/andhra-style-sorakaya-kura-recipe-bottle-gourd-and-toor-dal-recipe" TargetMode="External"/><Relationship Id="rId84" Type="http://schemas.openxmlformats.org/officeDocument/2006/relationships/hyperlink" Target="https://www.archanaskitchen.com/andhra-style-kandi-pachadi-recipe-masoor-dal-chutney-recipe-in-hindi" TargetMode="External"/><Relationship Id="rId89" Type="http://schemas.openxmlformats.org/officeDocument/2006/relationships/hyperlink" Target="http://www.archanaskitchen.com/andhra-style-beetroot-vepudu-recipe-stir-fried-beetroot-in-hindi" TargetMode="External"/><Relationship Id="rId112" Type="http://schemas.openxmlformats.org/officeDocument/2006/relationships/hyperlink" Target="http://www.archanaskitchen.com/aratikaaya-masala-pulusu-recipe-raw-banana-stir-fry-recipe" TargetMode="External"/><Relationship Id="rId16" Type="http://schemas.openxmlformats.org/officeDocument/2006/relationships/hyperlink" Target="http://www.archanaskitchen.com/andhra-style-mamidikaya-pesarappu-pachadi-recipe-raw-mango-and-moong-dal-chutney" TargetMode="External"/><Relationship Id="rId107" Type="http://schemas.openxmlformats.org/officeDocument/2006/relationships/hyperlink" Target="https://www.archanaskitchen.com/andhra-style-nalla-karam-podi-recipe" TargetMode="External"/><Relationship Id="rId11" Type="http://schemas.openxmlformats.org/officeDocument/2006/relationships/hyperlink" Target="http://www.archanaskitchen.com/andhra-style-paakundalu-pakam-undalu-recipe-rice-flour-coconut-fritters" TargetMode="External"/><Relationship Id="rId32" Type="http://schemas.openxmlformats.org/officeDocument/2006/relationships/hyperlink" Target="http://www.archanaskitchen.com/masala-akki-roti-with-spinach-sarvapindi-recipe" TargetMode="External"/><Relationship Id="rId37" Type="http://schemas.openxmlformats.org/officeDocument/2006/relationships/hyperlink" Target="http://www.archanaskitchen.com/pandu-mirapakaya-pachadi-andhra-red-chilli-chutney-recipe-in-hindi" TargetMode="External"/><Relationship Id="rId53" Type="http://schemas.openxmlformats.org/officeDocument/2006/relationships/hyperlink" Target="https://www.archanaskitchen.com/andhra-style-zucchini-tomato-chutney-recipe" TargetMode="External"/><Relationship Id="rId58" Type="http://schemas.openxmlformats.org/officeDocument/2006/relationships/hyperlink" Target="http://www.archanaskitchen.com/panasa-pottu-pappu-koora-recipe-raw-jackfruit-moong-dal-curry" TargetMode="External"/><Relationship Id="rId74" Type="http://schemas.openxmlformats.org/officeDocument/2006/relationships/hyperlink" Target="http://www.archanaskitchen.com/andhra-style-beetroot-vepudu-recipe-stir-fried-beetroot" TargetMode="External"/><Relationship Id="rId79" Type="http://schemas.openxmlformats.org/officeDocument/2006/relationships/hyperlink" Target="https://www.archanaskitchen.com/gutti-vankaya-recipe-andhra-style-stuffed-brinjal" TargetMode="External"/><Relationship Id="rId102" Type="http://schemas.openxmlformats.org/officeDocument/2006/relationships/hyperlink" Target="http://www.archanaskitchen.com/pappu-chekkalu-recipe-andhra-style-spiced-rice-cracker" TargetMode="External"/><Relationship Id="rId5" Type="http://schemas.openxmlformats.org/officeDocument/2006/relationships/hyperlink" Target="https://www.archanaskitchen.com/lauki-ka-salan-recipe-bottle-gourd-salan-recipe" TargetMode="External"/><Relationship Id="rId90" Type="http://schemas.openxmlformats.org/officeDocument/2006/relationships/hyperlink" Target="https://www.archanaskitchen.com/andhra-style-coconut-flavored-rice-upma-recipe" TargetMode="External"/><Relationship Id="rId95" Type="http://schemas.openxmlformats.org/officeDocument/2006/relationships/hyperlink" Target="https://www.archanaskitchen.com/royyala-kura-recipe-andhra-style-prawn-curry" TargetMode="External"/><Relationship Id="rId22" Type="http://schemas.openxmlformats.org/officeDocument/2006/relationships/hyperlink" Target="https://www.archanaskitchen.com/andhra-style-mutton-curry-recipe" TargetMode="External"/><Relationship Id="rId27" Type="http://schemas.openxmlformats.org/officeDocument/2006/relationships/hyperlink" Target="https://www.archanaskitchen.com/andhra-style-munakkada-masala-kura-recipe-drumstick-dry-curry-recipe" TargetMode="External"/><Relationship Id="rId43" Type="http://schemas.openxmlformats.org/officeDocument/2006/relationships/hyperlink" Target="https://www.archanaskitchen.com/pesara-pappu-pulusu-recipe" TargetMode="External"/><Relationship Id="rId48" Type="http://schemas.openxmlformats.org/officeDocument/2006/relationships/hyperlink" Target="https://www.archanaskitchen.com/chakkra-pongali-recipe-andhra-style-sweet-pongal" TargetMode="External"/><Relationship Id="rId64" Type="http://schemas.openxmlformats.org/officeDocument/2006/relationships/hyperlink" Target="http://www.archanaskitchen.com/boodida-gummadikaya-pachi-vadiyalu-andhra-style-ash-gourd-fritters-recipe" TargetMode="External"/><Relationship Id="rId69" Type="http://schemas.openxmlformats.org/officeDocument/2006/relationships/hyperlink" Target="https://www.archanaskitchen.com/gutti-vankaya-recipe-andhra-style-stuffed-brinjal-in-hindi" TargetMode="External"/><Relationship Id="rId113" Type="http://schemas.openxmlformats.org/officeDocument/2006/relationships/hyperlink" Target="https://www.archanaskitchen.com/snake-gourd-salan-recipe-snake-gourd-cooked-in-tangy-spicy-peanut-sesame-curry" TargetMode="External"/><Relationship Id="rId118" Type="http://schemas.openxmlformats.org/officeDocument/2006/relationships/hyperlink" Target="https://www.archanaskitchen.com/ullikadala-pulusu-recipe-spring-onion-curry" TargetMode="External"/><Relationship Id="rId80" Type="http://schemas.openxmlformats.org/officeDocument/2006/relationships/hyperlink" Target="https://www.archanaskitchen.com/andhra-style-bobbarlu-vada-alsande-vada-recipe-spicy-lobia-vada-recipe" TargetMode="External"/><Relationship Id="rId85" Type="http://schemas.openxmlformats.org/officeDocument/2006/relationships/hyperlink" Target="https://www.archanaskitchen.com/andhra-style-chama-dumpa-pulusu-recipe-arbi-with-sesame-tamarind-sauce-recipe-in-hindi" TargetMode="External"/><Relationship Id="rId12" Type="http://schemas.openxmlformats.org/officeDocument/2006/relationships/hyperlink" Target="https://www.archanaskitchen.com/nellor-brinjal-fry-recipe" TargetMode="External"/><Relationship Id="rId17" Type="http://schemas.openxmlformats.org/officeDocument/2006/relationships/hyperlink" Target="http://www.archanaskitchen.com/andhra-style-uppu-pindi-recipe-rice-rava-and-moong-dal-pudding-recipe" TargetMode="External"/><Relationship Id="rId33" Type="http://schemas.openxmlformats.org/officeDocument/2006/relationships/hyperlink" Target="http://www.archanaskitchen.com/beerakaya-tomato-koora-recipe-andhra-style-ridge-gourd-curry" TargetMode="External"/><Relationship Id="rId38" Type="http://schemas.openxmlformats.org/officeDocument/2006/relationships/hyperlink" Target="http://www.archanaskitchen.com/andhra-style-makka-garelu-recipe-maize-kernel-vada-recipe" TargetMode="External"/><Relationship Id="rId59" Type="http://schemas.openxmlformats.org/officeDocument/2006/relationships/hyperlink" Target="http://www.archanaskitchen.com/andhra-pepper-chicken-recipe" TargetMode="External"/><Relationship Id="rId103" Type="http://schemas.openxmlformats.org/officeDocument/2006/relationships/hyperlink" Target="https://www.archanaskitchen.com/andhra-style-mukkala-pulusu-recipe-sweet-tangy-vegetable-stew" TargetMode="External"/><Relationship Id="rId108" Type="http://schemas.openxmlformats.org/officeDocument/2006/relationships/hyperlink" Target="https://www.archanaskitchen.com/andhra-style-kandi-pachadi-recipe-masoor-dal-chutney-recipe" TargetMode="External"/><Relationship Id="rId54" Type="http://schemas.openxmlformats.org/officeDocument/2006/relationships/hyperlink" Target="http://www.archanaskitchen.com/andhra-style-eggplant-poppy-seeds-curry-recipe" TargetMode="External"/><Relationship Id="rId70" Type="http://schemas.openxmlformats.org/officeDocument/2006/relationships/hyperlink" Target="http://www.archanaskitchen.com/thotakura-majiga-pulusu-recipe-amaranth-leaves-in-buttermilk-stew" TargetMode="External"/><Relationship Id="rId75" Type="http://schemas.openxmlformats.org/officeDocument/2006/relationships/hyperlink" Target="http://www.archanaskitchen.com/mamida-pandu-pulusu-mango-curry-recipe" TargetMode="External"/><Relationship Id="rId91" Type="http://schemas.openxmlformats.org/officeDocument/2006/relationships/hyperlink" Target="http://www.archanaskitchen.com/arbi-with-sesame-tamarind-sauce-recipe-chama-dumpa-pulusu" TargetMode="External"/><Relationship Id="rId96" Type="http://schemas.openxmlformats.org/officeDocument/2006/relationships/hyperlink" Target="http://www.archanaskitchen.com/andhra-style-beerakaya-pappu-recipe-ridge-gourd-dal-recipe" TargetMode="External"/><Relationship Id="rId1" Type="http://schemas.openxmlformats.org/officeDocument/2006/relationships/hyperlink" Target="http://www.archanaskitchen.com/gongura-chicken-curry-recipe-andhra-style-gongura-chicken" TargetMode="External"/><Relationship Id="rId6" Type="http://schemas.openxmlformats.org/officeDocument/2006/relationships/hyperlink" Target="https://www.archanaskitchen.com/andhra-style-vendakaya-charu-recipe-ladies-finger-rasam-recipe" TargetMode="External"/><Relationship Id="rId23" Type="http://schemas.openxmlformats.org/officeDocument/2006/relationships/hyperlink" Target="https://www.archanaskitchen.com/andhra-ripe-red-chilli-chutney-recipe" TargetMode="External"/><Relationship Id="rId28" Type="http://schemas.openxmlformats.org/officeDocument/2006/relationships/hyperlink" Target="https://www.archanaskitchen.com/andhra-style-erra-kaaram-dosa-recipe-spicy-red-chilli-chutney-dosa-recipe" TargetMode="External"/><Relationship Id="rId49" Type="http://schemas.openxmlformats.org/officeDocument/2006/relationships/hyperlink" Target="https://www.archanaskitchen.com/andhra-style-sarva-pindi-gine-pindi-recipe-rice-flour-and-chana-dal-flatbread-recipe" TargetMode="External"/><Relationship Id="rId114" Type="http://schemas.openxmlformats.org/officeDocument/2006/relationships/hyperlink" Target="http://www.archanaskitchen.com/andhra-style-mamidikaya-nuvvula-pachadi-mango-sesame-chutney-recipe" TargetMode="External"/><Relationship Id="rId10" Type="http://schemas.openxmlformats.org/officeDocument/2006/relationships/hyperlink" Target="https://www.archanaskitchen.com/menthi-aaku-badeela-koora-recipe-chickpea-flour-balls-cooked-with-methi-leaves" TargetMode="External"/><Relationship Id="rId31" Type="http://schemas.openxmlformats.org/officeDocument/2006/relationships/hyperlink" Target="http://www.archanaskitchen.com/andhra-style-davva-aava-koora-recipe-sweet-and-spicy-banana-stem-peanut-curry-recipe" TargetMode="External"/><Relationship Id="rId44" Type="http://schemas.openxmlformats.org/officeDocument/2006/relationships/hyperlink" Target="http://www.archanaskitchen.com/andhra-style-aratikaya-vepudu-recipe-raw-banana-dry-sabzi" TargetMode="External"/><Relationship Id="rId52" Type="http://schemas.openxmlformats.org/officeDocument/2006/relationships/hyperlink" Target="https://www.archanaskitchen.com/andhra-style-peanut-chutney-recipe-with-tomatoes-in-hindi" TargetMode="External"/><Relationship Id="rId60" Type="http://schemas.openxmlformats.org/officeDocument/2006/relationships/hyperlink" Target="https://www.archanaskitchen.com/andhra-dondakaya-chutney-recipe-tindora-chutney" TargetMode="External"/><Relationship Id="rId65" Type="http://schemas.openxmlformats.org/officeDocument/2006/relationships/hyperlink" Target="https://www.archanaskitchen.com/andhra-style-makka-garelu-recipe-corn-vada-recipe-in-hindi" TargetMode="External"/><Relationship Id="rId73" Type="http://schemas.openxmlformats.org/officeDocument/2006/relationships/hyperlink" Target="http://www.archanaskitchen.com/thotakura-undal-recipe-crispy-amaranth-leaves-balls" TargetMode="External"/><Relationship Id="rId78" Type="http://schemas.openxmlformats.org/officeDocument/2006/relationships/hyperlink" Target="http://www.archanaskitchen.com/mixed-vegetable-koora-recipe-mixed-vegetable-poriyal" TargetMode="External"/><Relationship Id="rId81" Type="http://schemas.openxmlformats.org/officeDocument/2006/relationships/hyperlink" Target="https://www.archanaskitchen.com/mukkala-pulusu-recipe-andhra-style-mixed-vegetable-sambar" TargetMode="External"/><Relationship Id="rId86" Type="http://schemas.openxmlformats.org/officeDocument/2006/relationships/hyperlink" Target="http://www.archanaskitchen.com/andhra-style-peanut-chutney-recipe-with-tomatoes" TargetMode="External"/><Relationship Id="rId94" Type="http://schemas.openxmlformats.org/officeDocument/2006/relationships/hyperlink" Target="http://www.archanaskitchen.com/classic-andhra-style-chicken-curry-recipe" TargetMode="External"/><Relationship Id="rId99" Type="http://schemas.openxmlformats.org/officeDocument/2006/relationships/hyperlink" Target="http://www.archanaskitchen.com/telangana-style-barada-palya-recipe-chana-dal-dry-sabzi" TargetMode="External"/><Relationship Id="rId101" Type="http://schemas.openxmlformats.org/officeDocument/2006/relationships/hyperlink" Target="http://www.archanaskitchen.com/andhra-style-vankaya-kothimeera-karam-recipe-brinjal-cooked-with-spicy-coriander-mix-recipe-in-hindi" TargetMode="External"/><Relationship Id="rId4" Type="http://schemas.openxmlformats.org/officeDocument/2006/relationships/hyperlink" Target="http://www.archanaskitchen.com/andhra-style-tamati-pachadi-recipe-tomato-chutney" TargetMode="External"/><Relationship Id="rId9" Type="http://schemas.openxmlformats.org/officeDocument/2006/relationships/hyperlink" Target="https://www.archanaskitchen.com/andhra-style-palakaru-vepadu-recipe-spinach-stir-fry-recipe" TargetMode="External"/><Relationship Id="rId13" Type="http://schemas.openxmlformats.org/officeDocument/2006/relationships/hyperlink" Target="http://www.archanaskitchen.com/ragi-sankati-recipe-andhra-style-ragi-mudda" TargetMode="External"/><Relationship Id="rId18" Type="http://schemas.openxmlformats.org/officeDocument/2006/relationships/hyperlink" Target="https://www.archanaskitchen.com/andhra-style-vegetarian-biryani-with-soya-chunks-recipe-is" TargetMode="External"/><Relationship Id="rId39" Type="http://schemas.openxmlformats.org/officeDocument/2006/relationships/hyperlink" Target="https://www.archanaskitchen.com/andhra-style-pulihora-recipe-spicy-tangy-tamarind-rice" TargetMode="External"/><Relationship Id="rId109" Type="http://schemas.openxmlformats.org/officeDocument/2006/relationships/hyperlink" Target="http://www.archanaskitchen.com/vankaya-kothimeera-karam-recipe-andhra-style-brinjals-cooked-with-spicy-coriander-mix" TargetMode="External"/><Relationship Id="rId34" Type="http://schemas.openxmlformats.org/officeDocument/2006/relationships/hyperlink" Target="http://www.archanaskitchen.com/andhra-style-vankaya-verusenga-stir-fry-recipe-brinjal-and-peanut-stir-fry-recipe" TargetMode="External"/><Relationship Id="rId50" Type="http://schemas.openxmlformats.org/officeDocument/2006/relationships/hyperlink" Target="http://www.archanaskitchen.com/andhra-style-dondakaya-menthi-karam-koora-recipe" TargetMode="External"/><Relationship Id="rId55" Type="http://schemas.openxmlformats.org/officeDocument/2006/relationships/hyperlink" Target="https://www.archanaskitchen.com/dosakaya-pappu-recipe-andhra-style-yellow-cucumber-dal" TargetMode="External"/><Relationship Id="rId76" Type="http://schemas.openxmlformats.org/officeDocument/2006/relationships/hyperlink" Target="http://www.archanaskitchen.com/gongura-chicken-curry-recipe-andhra-style-gongura-chicken-in-hindi" TargetMode="External"/><Relationship Id="rId97" Type="http://schemas.openxmlformats.org/officeDocument/2006/relationships/hyperlink" Target="https://www.archanaskitchen.com/andhra-style-chepa-vepudu-recipe-andhra-fish-fry-recipe" TargetMode="External"/><Relationship Id="rId104" Type="http://schemas.openxmlformats.org/officeDocument/2006/relationships/hyperlink" Target="http://www.archanaskitchen.com/andhra-style-chilakada-dumpa-pulusu-recipe-sweet-potato-in-tangy-sweet-spicy-curry-recipe" TargetMode="External"/><Relationship Id="rId7" Type="http://schemas.openxmlformats.org/officeDocument/2006/relationships/hyperlink" Target="http://www.archanaskitchen.com/andhra-style-palak-kura-pappu-recipe-spinach-dal-recipe" TargetMode="External"/><Relationship Id="rId71" Type="http://schemas.openxmlformats.org/officeDocument/2006/relationships/hyperlink" Target="https://www.archanaskitchen.com/andhra-style-pachi-pulusu-recipe-raw-tamarind-rasam-recipe" TargetMode="External"/><Relationship Id="rId92" Type="http://schemas.openxmlformats.org/officeDocument/2006/relationships/hyperlink" Target="https://www.archanaskitchen.com/andhra-style-tamati-pachadi-recipe-tomato-chutney-in-hindi" TargetMode="External"/><Relationship Id="rId2" Type="http://schemas.openxmlformats.org/officeDocument/2006/relationships/hyperlink" Target="https://www.archanaskitchen.com/andhra-style-allam-pachadi-ginger-chutney-recipe-in-hindi" TargetMode="External"/><Relationship Id="rId29" Type="http://schemas.openxmlformats.org/officeDocument/2006/relationships/hyperlink" Target="https://www.archanaskitchen.com/vankaya-ulli-karam-recipe-eggplant-in-spicy-onion-gravy" TargetMode="External"/><Relationship Id="rId24" Type="http://schemas.openxmlformats.org/officeDocument/2006/relationships/hyperlink" Target="http://www.archanaskitchen.com/andhra-style-pappu-charu-recipe-lentil-soup-style-curry" TargetMode="External"/><Relationship Id="rId40" Type="http://schemas.openxmlformats.org/officeDocument/2006/relationships/hyperlink" Target="https://www.archanaskitchen.com/andhra-style-potato-and-drumstick-gravy-recipe" TargetMode="External"/><Relationship Id="rId45" Type="http://schemas.openxmlformats.org/officeDocument/2006/relationships/hyperlink" Target="https://www.archanaskitchen.com/andhra-style-mamidikaya-perugu-pachadi-recipe-raw-mango-yogurt-chutney" TargetMode="External"/><Relationship Id="rId66" Type="http://schemas.openxmlformats.org/officeDocument/2006/relationships/hyperlink" Target="http://www.archanaskitchen.com/dappalam-recipe-andhra-vegetable-stew-recipe" TargetMode="External"/><Relationship Id="rId87" Type="http://schemas.openxmlformats.org/officeDocument/2006/relationships/hyperlink" Target="https://www.archanaskitchen.com/andhra-style-potato-korma-recipe" TargetMode="External"/><Relationship Id="rId110" Type="http://schemas.openxmlformats.org/officeDocument/2006/relationships/hyperlink" Target="http://www.archanaskitchen.com/andhra-style-karivepaku-pachadi-recipe-curry-leaf-chutney-recipe-in-hindi" TargetMode="External"/><Relationship Id="rId115" Type="http://schemas.openxmlformats.org/officeDocument/2006/relationships/hyperlink" Target="https://www.archanaskitchen.com/dry-palak-dal-sabzi-recipe-in-hindi" TargetMode="External"/><Relationship Id="rId61" Type="http://schemas.openxmlformats.org/officeDocument/2006/relationships/hyperlink" Target="http://www.archanaskitchen.com/mango-pickle-andhra-avakaya-recipe" TargetMode="External"/><Relationship Id="rId82" Type="http://schemas.openxmlformats.org/officeDocument/2006/relationships/hyperlink" Target="https://www.archanaskitchen.com/andhra-style-kavepaku-pachadi-recipe-curry-leaf-chutney-recipe" TargetMode="External"/><Relationship Id="rId19" Type="http://schemas.openxmlformats.org/officeDocument/2006/relationships/hyperlink" Target="https://www.archanaskitchen.com/andhra-style-pappulo-undrallu-recipe-rice-dumplings-in-sweetened-lentil-broth" TargetMode="External"/><Relationship Id="rId14" Type="http://schemas.openxmlformats.org/officeDocument/2006/relationships/hyperlink" Target="http://www.archanaskitchen.com/andhra-chicken-fry-recipe" TargetMode="External"/><Relationship Id="rId30" Type="http://schemas.openxmlformats.org/officeDocument/2006/relationships/hyperlink" Target="http://www.archanaskitchen.com/mamidikaya-pappu-recipe-raw-mango-dal" TargetMode="External"/><Relationship Id="rId35" Type="http://schemas.openxmlformats.org/officeDocument/2006/relationships/hyperlink" Target="http://www.archanaskitchen.com/beans-vepudu-recipe-andhra-style-beans-cooked-with-spicy-sesame-spicy-mix" TargetMode="External"/><Relationship Id="rId56" Type="http://schemas.openxmlformats.org/officeDocument/2006/relationships/hyperlink" Target="http://www.archanaskitchen.com/andhra-style-kakarakaya-vepudu-recipe-bitter-gourd-stir-fry" TargetMode="External"/><Relationship Id="rId77" Type="http://schemas.openxmlformats.org/officeDocument/2006/relationships/hyperlink" Target="https://www.archanaskitchen.com/andhra-style-pappu-charu-recipe-lentil-soup-style-curry-in-hindi" TargetMode="External"/><Relationship Id="rId100" Type="http://schemas.openxmlformats.org/officeDocument/2006/relationships/hyperlink" Target="https://www.archanaskitchen.com/thotakura-pappu-recipe-toor-dal-with-amarnath-leaves" TargetMode="External"/><Relationship Id="rId105" Type="http://schemas.openxmlformats.org/officeDocument/2006/relationships/hyperlink" Target="https://www.archanaskitchen.com/andhra-style-kandagadda-vepadu-recipe-yam-stir-fry-recipe" TargetMode="External"/><Relationship Id="rId8" Type="http://schemas.openxmlformats.org/officeDocument/2006/relationships/hyperlink" Target="http://www.archanaskitchen.com/andhra-style-saggubiyyam-punugulu-recipe-crispy-tapioca-snack" TargetMode="External"/><Relationship Id="rId51" Type="http://schemas.openxmlformats.org/officeDocument/2006/relationships/hyperlink" Target="https://www.archanaskitchen.com/andhra-style-usirikaya-pachadi-recipe-indian-gooseberries-chutney" TargetMode="External"/><Relationship Id="rId72" Type="http://schemas.openxmlformats.org/officeDocument/2006/relationships/hyperlink" Target="http://www.archanaskitchen.com/andhra-style-pesarattu-upma-recipe" TargetMode="External"/><Relationship Id="rId93" Type="http://schemas.openxmlformats.org/officeDocument/2006/relationships/hyperlink" Target="https://www.archanaskitchen.com/rayalseema-style-borugula-upma-recipe" TargetMode="External"/><Relationship Id="rId98" Type="http://schemas.openxmlformats.org/officeDocument/2006/relationships/hyperlink" Target="https://www.archanaskitchen.com/andhra-style-patoli-recipe-dal-usli-crumbled-dal-recipe" TargetMode="External"/><Relationship Id="rId3" Type="http://schemas.openxmlformats.org/officeDocument/2006/relationships/hyperlink" Target="https://www.archanaskitchen.com/andhra-style-ingavu-chaaru-recipe-asafetida-flavored-tamarind-rasam" TargetMode="External"/><Relationship Id="rId25" Type="http://schemas.openxmlformats.org/officeDocument/2006/relationships/hyperlink" Target="http://www.archanaskitchen.com/andhra-style-allam-pachadi-ginger-chutney-recipe" TargetMode="External"/><Relationship Id="rId46" Type="http://schemas.openxmlformats.org/officeDocument/2006/relationships/hyperlink" Target="https://www.archanaskitchen.com/chikkudukaya-vepudu-recipe-broad-beans-masala-poriyal" TargetMode="External"/><Relationship Id="rId67" Type="http://schemas.openxmlformats.org/officeDocument/2006/relationships/hyperlink" Target="https://www.archanaskitchen.com/menthi-vankaya-recipe-andhra-style-fenugreek-spiced-baingan" TargetMode="External"/><Relationship Id="rId116" Type="http://schemas.openxmlformats.org/officeDocument/2006/relationships/hyperlink" Target="http://www.archanaskitchen.com/dry-palak-dal-sabzi-recipe" TargetMode="External"/><Relationship Id="rId20" Type="http://schemas.openxmlformats.org/officeDocument/2006/relationships/hyperlink" Target="https://www.archanaskitchen.com/andhra-style-mirapakaya-bajji-recipe-stuffed-chili-recipe" TargetMode="External"/><Relationship Id="rId41" Type="http://schemas.openxmlformats.org/officeDocument/2006/relationships/hyperlink" Target="https://www.archanaskitchen.com/konaseema-kodi-kura-recipe-andhra-style-chicken-curry" TargetMode="External"/><Relationship Id="rId62" Type="http://schemas.openxmlformats.org/officeDocument/2006/relationships/hyperlink" Target="http://www.archanaskitchen.com/gutti-dondakaya-vepudu-recipe-andhra-style-stuffed-ivy-gourds" TargetMode="External"/><Relationship Id="rId83" Type="http://schemas.openxmlformats.org/officeDocument/2006/relationships/hyperlink" Target="http://www.archanaskitchen.com/andhra-style-paruppu-podi-recipe-dal-podi" TargetMode="External"/><Relationship Id="rId88" Type="http://schemas.openxmlformats.org/officeDocument/2006/relationships/hyperlink" Target="https://www.archanaskitchen.com/aava-pettina-majjiga-pulusu-recipe-yogurt-in-a-mustard-sauce" TargetMode="External"/><Relationship Id="rId111" Type="http://schemas.openxmlformats.org/officeDocument/2006/relationships/hyperlink" Target="https://www.archanaskitchen.com/osmania-biscuits-recipe" TargetMode="External"/><Relationship Id="rId15" Type="http://schemas.openxmlformats.org/officeDocument/2006/relationships/hyperlink" Target="http://www.archanaskitchen.com/dibba-rotti-minapa-rotti-recipe-pan-idli-recipe" TargetMode="External"/><Relationship Id="rId36" Type="http://schemas.openxmlformats.org/officeDocument/2006/relationships/hyperlink" Target="http://www.archanaskitchen.com/andhra-style-andhra-kandi-attu-recipe-toor-dal-dosa-recipe" TargetMode="External"/><Relationship Id="rId57" Type="http://schemas.openxmlformats.org/officeDocument/2006/relationships/hyperlink" Target="https://www.archanaskitchen.com/andhra-style-pappu-urumindi-recipe" TargetMode="External"/><Relationship Id="rId106" Type="http://schemas.openxmlformats.org/officeDocument/2006/relationships/hyperlink" Target="https://www.archanaskitchen.com/andhra-style-pindi-miriyam-recipe" TargetMode="External"/></Relationships>
</file>

<file path=xl/worksheets/_rels/sheet11.xml.rels><?xml version="1.0" encoding="UTF-8" standalone="yes"?>
<Relationships xmlns="http://schemas.openxmlformats.org/package/2006/relationships"><Relationship Id="rId117" Type="http://schemas.openxmlformats.org/officeDocument/2006/relationships/hyperlink" Target="http://www.archanaskitchen.com/methi-moong-dal-palak-recipe-in-hindi" TargetMode="External"/><Relationship Id="rId671" Type="http://schemas.openxmlformats.org/officeDocument/2006/relationships/hyperlink" Target="https://www.archanaskitchen.com/palak-and-moong-dal-pakodas-recipe-in-hindi" TargetMode="External"/><Relationship Id="rId769" Type="http://schemas.openxmlformats.org/officeDocument/2006/relationships/hyperlink" Target="http://www.archanaskitchen.com/chunni-ki-puri-recipe" TargetMode="External"/><Relationship Id="rId21" Type="http://schemas.openxmlformats.org/officeDocument/2006/relationships/hyperlink" Target="http://www.archanaskitchen.com/palak-chana-dal-recipe-healthy-spinach-gram-dal-recipe" TargetMode="External"/><Relationship Id="rId324" Type="http://schemas.openxmlformats.org/officeDocument/2006/relationships/hyperlink" Target="https://www.archanaskitchen.com/achari-masala-recipe" TargetMode="External"/><Relationship Id="rId531" Type="http://schemas.openxmlformats.org/officeDocument/2006/relationships/hyperlink" Target="http://www.archanaskitchen.com/badam-besan-ladoo-recipe" TargetMode="External"/><Relationship Id="rId629" Type="http://schemas.openxmlformats.org/officeDocument/2006/relationships/hyperlink" Target="http://www.archanaskitchen.com/mixed-vegetable-noodle-cutlet-recipe" TargetMode="External"/><Relationship Id="rId170" Type="http://schemas.openxmlformats.org/officeDocument/2006/relationships/hyperlink" Target="http://www.archanaskitchen.com/4-cheese-paratha-with-chili-herbs-recipe" TargetMode="External"/><Relationship Id="rId836" Type="http://schemas.openxmlformats.org/officeDocument/2006/relationships/hyperlink" Target="http://www.archanaskitchen.com/methi-malai-paneer-recipe" TargetMode="External"/><Relationship Id="rId268" Type="http://schemas.openxmlformats.org/officeDocument/2006/relationships/hyperlink" Target="https://www.archanaskitchen.com/vegetable-dal-pakora-recipe-dal-bhajiya-in-hindi" TargetMode="External"/><Relationship Id="rId475" Type="http://schemas.openxmlformats.org/officeDocument/2006/relationships/hyperlink" Target="http://www.archanaskitchen.com/mutton-keema-recipe" TargetMode="External"/><Relationship Id="rId682" Type="http://schemas.openxmlformats.org/officeDocument/2006/relationships/hyperlink" Target="https://www.archanaskitchen.com/mixed-vegetable-corn-pakora-recipe-made-in-kuzhi-paniyaram-pan" TargetMode="External"/><Relationship Id="rId903" Type="http://schemas.openxmlformats.org/officeDocument/2006/relationships/hyperlink" Target="https://www.archanaskitchen.com/sattu-ka-namkeen-sharbat-recipe" TargetMode="External"/><Relationship Id="rId32" Type="http://schemas.openxmlformats.org/officeDocument/2006/relationships/hyperlink" Target="https://www.archanaskitchen.com/kasuri-methi-aur-aloo-rasedar-recipe" TargetMode="External"/><Relationship Id="rId128" Type="http://schemas.openxmlformats.org/officeDocument/2006/relationships/hyperlink" Target="https://www.archanaskitchen.com/chicken-and-sweet-potato-dill-curry-recipe" TargetMode="External"/><Relationship Id="rId335" Type="http://schemas.openxmlformats.org/officeDocument/2006/relationships/hyperlink" Target="http://www.archanaskitchen.com/veg-makhanwala-recipe-north-indian-mixed-vegetables-gravy-in-hindi" TargetMode="External"/><Relationship Id="rId542" Type="http://schemas.openxmlformats.org/officeDocument/2006/relationships/hyperlink" Target="http://www.archanaskitchen.com/paneer-stuffed-mushroom-masala-recipe" TargetMode="External"/><Relationship Id="rId181" Type="http://schemas.openxmlformats.org/officeDocument/2006/relationships/hyperlink" Target="https://www.archanaskitchen.com/lugai-gosht-recipe-mutton-in-spicy-tomato-onion-gravy" TargetMode="External"/><Relationship Id="rId402" Type="http://schemas.openxmlformats.org/officeDocument/2006/relationships/hyperlink" Target="https://www.archanaskitchen.com/moongphali-bhindi-recipe-okra-and-peanut-stir-fry" TargetMode="External"/><Relationship Id="rId847" Type="http://schemas.openxmlformats.org/officeDocument/2006/relationships/hyperlink" Target="https://www.archanaskitchen.com/methi-pakoda-kadhi-recipe-punjabi-kadhi-pakora" TargetMode="External"/><Relationship Id="rId279" Type="http://schemas.openxmlformats.org/officeDocument/2006/relationships/hyperlink" Target="https://www.archanaskitchen.com/bhune-pyaz-ka-gosht-recipe-mutton-curry-with-roasted-onion-spices" TargetMode="External"/><Relationship Id="rId486" Type="http://schemas.openxmlformats.org/officeDocument/2006/relationships/hyperlink" Target="http://www.archanaskitchen.com/capsicum-curry-recipe-in-hindi" TargetMode="External"/><Relationship Id="rId693" Type="http://schemas.openxmlformats.org/officeDocument/2006/relationships/hyperlink" Target="https://www.archanaskitchen.com/delicious-dal-makhani-recipe-without-onion-and-garlic-in-hindi" TargetMode="External"/><Relationship Id="rId707" Type="http://schemas.openxmlformats.org/officeDocument/2006/relationships/hyperlink" Target="https://www.archanaskitchen.com/urad-ki-sukhi-dal-recipe-spicy-dry-urad-dal-in-hindi" TargetMode="External"/><Relationship Id="rId914" Type="http://schemas.openxmlformats.org/officeDocument/2006/relationships/hyperlink" Target="http://www.archanaskitchen.com/aloo-kulcha-recipe-spiced-potato-stuffed-indian-flat-bread" TargetMode="External"/><Relationship Id="rId43" Type="http://schemas.openxmlformats.org/officeDocument/2006/relationships/hyperlink" Target="https://www.archanaskitchen.com/palak-paneer-bhurji-recipe-spiced-cottage-cheese-scramble-with-spinach-recipe-in-hindi" TargetMode="External"/><Relationship Id="rId139" Type="http://schemas.openxmlformats.org/officeDocument/2006/relationships/hyperlink" Target="https://www.archanaskitchen.com/whole-wheat-spinach-and-tofu-paratha-recipe" TargetMode="External"/><Relationship Id="rId346" Type="http://schemas.openxmlformats.org/officeDocument/2006/relationships/hyperlink" Target="https://www.archanaskitchen.com/achaari-aloo-gobhi-recipe-in-hindi" TargetMode="External"/><Relationship Id="rId553" Type="http://schemas.openxmlformats.org/officeDocument/2006/relationships/hyperlink" Target="http://www.archanaskitchen.com/fish-tikka-masala-gravy-recipe" TargetMode="External"/><Relationship Id="rId760" Type="http://schemas.openxmlformats.org/officeDocument/2006/relationships/hyperlink" Target="http://www.archanaskitchen.com/vegetarian-malai-kebab-recipe-in-hindi" TargetMode="External"/><Relationship Id="rId192" Type="http://schemas.openxmlformats.org/officeDocument/2006/relationships/hyperlink" Target="http://www.archanaskitchen.com/no-onion-and-no-garlic-aloo-gajar-matar-ki-sabzi-recipe-in-hindi" TargetMode="External"/><Relationship Id="rId206" Type="http://schemas.openxmlformats.org/officeDocument/2006/relationships/hyperlink" Target="http://www.archanaskitchen.com/dahi-achari-bhindi-recipe-in-hindi" TargetMode="External"/><Relationship Id="rId413" Type="http://schemas.openxmlformats.org/officeDocument/2006/relationships/hyperlink" Target="http://www.archanaskitchen.com/aloo-methi-sabzi-recipe-potato-fenugreek-leaves-stir-fry" TargetMode="External"/><Relationship Id="rId858" Type="http://schemas.openxmlformats.org/officeDocument/2006/relationships/hyperlink" Target="https://www.archanaskitchen.com/tandoori-style-soya-chaap-curry-recipe" TargetMode="External"/><Relationship Id="rId497" Type="http://schemas.openxmlformats.org/officeDocument/2006/relationships/hyperlink" Target="https://www.archanaskitchen.com/paneer-and-green-peas-paratha-recipe" TargetMode="External"/><Relationship Id="rId620" Type="http://schemas.openxmlformats.org/officeDocument/2006/relationships/hyperlink" Target="http://www.archanaskitchen.com/choco-badam-barfi-choco-almond-fudge-recipe" TargetMode="External"/><Relationship Id="rId718" Type="http://schemas.openxmlformats.org/officeDocument/2006/relationships/hyperlink" Target="http://www.archanaskitchen.com/beans-karam-recipe-beans-curry" TargetMode="External"/><Relationship Id="rId925" Type="http://schemas.openxmlformats.org/officeDocument/2006/relationships/hyperlink" Target="https://www.archanaskitchen.com/yogurt-based-bottle-gourd-sabzi-recipe-in-hindi" TargetMode="External"/><Relationship Id="rId357" Type="http://schemas.openxmlformats.org/officeDocument/2006/relationships/hyperlink" Target="https://www.archanaskitchen.com/crispy-paneer-schezwan-recipe" TargetMode="External"/><Relationship Id="rId54" Type="http://schemas.openxmlformats.org/officeDocument/2006/relationships/hyperlink" Target="http://www.archanaskitchen.com/moringa-masoor-dal-recipe-drumstick-leaves-dal" TargetMode="External"/><Relationship Id="rId217" Type="http://schemas.openxmlformats.org/officeDocument/2006/relationships/hyperlink" Target="https://www.archanaskitchen.com/aloo-gajar-matar-sabzi-recipe" TargetMode="External"/><Relationship Id="rId564" Type="http://schemas.openxmlformats.org/officeDocument/2006/relationships/hyperlink" Target="https://www.archanaskitchen.com/sukhi-dahi-wali-lauki-recipe-yogurt-based-bottle-gourd-sabzi" TargetMode="External"/><Relationship Id="rId771" Type="http://schemas.openxmlformats.org/officeDocument/2006/relationships/hyperlink" Target="https://www.archanaskitchen.com/aloo-matar-korma-recipe-in-white-gravy" TargetMode="External"/><Relationship Id="rId869" Type="http://schemas.openxmlformats.org/officeDocument/2006/relationships/hyperlink" Target="https://www.archanaskitchen.com/hariyali-matar-recipe-in-hindi" TargetMode="External"/><Relationship Id="rId424" Type="http://schemas.openxmlformats.org/officeDocument/2006/relationships/hyperlink" Target="https://www.archanaskitchen.com/gobi-ke-kofte-recipe-cauliflower-fritters-in-spicy-gravy" TargetMode="External"/><Relationship Id="rId631" Type="http://schemas.openxmlformats.org/officeDocument/2006/relationships/hyperlink" Target="http://www.archanaskitchen.com/chicken-tikka-masala-recipe" TargetMode="External"/><Relationship Id="rId729" Type="http://schemas.openxmlformats.org/officeDocument/2006/relationships/hyperlink" Target="https://www.archanaskitchen.com/raw-papaya-kofta-in-yogurt-curry-recipe" TargetMode="External"/><Relationship Id="rId270" Type="http://schemas.openxmlformats.org/officeDocument/2006/relationships/hyperlink" Target="https://www.archanaskitchen.com/sprouted-ragi-rajma-cutlets-recipe" TargetMode="External"/><Relationship Id="rId936" Type="http://schemas.openxmlformats.org/officeDocument/2006/relationships/hyperlink" Target="https://www.archanaskitchen.com/one-pot-punjabi-rajma-masala-recipe-in-electric-pressure-cooker" TargetMode="External"/><Relationship Id="rId65" Type="http://schemas.openxmlformats.org/officeDocument/2006/relationships/hyperlink" Target="https://www.archanaskitchen.com/potato-paneer-curry-without-onion-and-garlic-recipe-vrat-wale-aloo-paneer" TargetMode="External"/><Relationship Id="rId130" Type="http://schemas.openxmlformats.org/officeDocument/2006/relationships/hyperlink" Target="http://www.archanaskitchen.com/sprouted-moong-dal-spicy-sprouted-lentil-curry-recipe-in-hindi" TargetMode="External"/><Relationship Id="rId368" Type="http://schemas.openxmlformats.org/officeDocument/2006/relationships/hyperlink" Target="http://www.archanaskitchen.com/kela-matar-ki-sabzi-recipe-raw-banana-green-peas-stir-fry" TargetMode="External"/><Relationship Id="rId575" Type="http://schemas.openxmlformats.org/officeDocument/2006/relationships/hyperlink" Target="https://www.archanaskitchen.com/pyaz-kachori-chaat-recipe" TargetMode="External"/><Relationship Id="rId782" Type="http://schemas.openxmlformats.org/officeDocument/2006/relationships/hyperlink" Target="http://www.archanaskitchen.com/non-fried-broccoli-pakora-recipe" TargetMode="External"/><Relationship Id="rId228" Type="http://schemas.openxmlformats.org/officeDocument/2006/relationships/hyperlink" Target="http://www.archanaskitchen.com/minced-meat-and-egg-croquettes-recipe" TargetMode="External"/><Relationship Id="rId435" Type="http://schemas.openxmlformats.org/officeDocument/2006/relationships/hyperlink" Target="http://www.archanaskitchen.com/achari-aloo-parwal-sabzi-recipe-pointed-gourd-and-potato-stir-fry-in-pickle-spices" TargetMode="External"/><Relationship Id="rId642" Type="http://schemas.openxmlformats.org/officeDocument/2006/relationships/hyperlink" Target="http://www.archanaskitchen.com/paneer-bread-balls-recipe-cottage-cheese-bread-croquettes" TargetMode="External"/><Relationship Id="rId281" Type="http://schemas.openxmlformats.org/officeDocument/2006/relationships/hyperlink" Target="https://www.archanaskitchen.com/achari-kaddu-ki-sabzi-recipe" TargetMode="External"/><Relationship Id="rId502" Type="http://schemas.openxmlformats.org/officeDocument/2006/relationships/hyperlink" Target="http://www.archanaskitchen.com/paneer-stuffed-bhindi-in-ajwain-tomato-gravy-recipe" TargetMode="External"/><Relationship Id="rId76" Type="http://schemas.openxmlformats.org/officeDocument/2006/relationships/hyperlink" Target="http://www.archanaskitchen.com/chawli-ki-phali-aloo-subzi-recipe" TargetMode="External"/><Relationship Id="rId141" Type="http://schemas.openxmlformats.org/officeDocument/2006/relationships/hyperlink" Target="https://www.archanaskitchen.com/vegetable-dal-pakora-recipe-dal-bajiya-spicy-lentil-fritters" TargetMode="External"/><Relationship Id="rId379" Type="http://schemas.openxmlformats.org/officeDocument/2006/relationships/hyperlink" Target="http://www.archanaskitchen.com/spicy-potatoes-and-lady-s-finger-stir-fry-recipe-in-hindi" TargetMode="External"/><Relationship Id="rId586" Type="http://schemas.openxmlformats.org/officeDocument/2006/relationships/hyperlink" Target="https://www.archanaskitchen.com/baby-potatoes-in-tomato-gravy-recipe-in-hindi" TargetMode="External"/><Relationship Id="rId793" Type="http://schemas.openxmlformats.org/officeDocument/2006/relationships/hyperlink" Target="http://www.archanaskitchen.com/kasuri-methi-paneer-sabzi-recipe-in-hindi-1" TargetMode="External"/><Relationship Id="rId807" Type="http://schemas.openxmlformats.org/officeDocument/2006/relationships/hyperlink" Target="http://www.archanaskitchen.com/soya-granule-samosa-recipe" TargetMode="External"/><Relationship Id="rId7" Type="http://schemas.openxmlformats.org/officeDocument/2006/relationships/hyperlink" Target="http://www.archanaskitchen.com/matar-paneer-kachori-korma-recipe-green-peas-and-paneer-kachori-curry" TargetMode="External"/><Relationship Id="rId239" Type="http://schemas.openxmlformats.org/officeDocument/2006/relationships/hyperlink" Target="https://www.archanaskitchen.com/palak-makki-ki-roti-recipe-spicy-spinach-corn-meal-flat-bread-recipe" TargetMode="External"/><Relationship Id="rId446" Type="http://schemas.openxmlformats.org/officeDocument/2006/relationships/hyperlink" Target="http://www.archanaskitchen.com/malai-matar-paneer-recipe-cottage-cheese-peas-in-rich-creamy-gravy" TargetMode="External"/><Relationship Id="rId653" Type="http://schemas.openxmlformats.org/officeDocument/2006/relationships/hyperlink" Target="https://www.archanaskitchen.com/sukhi-urad-dal-sabzi-recipe-in-hindi" TargetMode="External"/><Relationship Id="rId292" Type="http://schemas.openxmlformats.org/officeDocument/2006/relationships/hyperlink" Target="https://www.archanaskitchen.com/amritsari-gobi-matar-recipe-punjabi-style-creamy-cauliflower-and-peas-curry" TargetMode="External"/><Relationship Id="rId306" Type="http://schemas.openxmlformats.org/officeDocument/2006/relationships/hyperlink" Target="https://www.archanaskitchen.com/malai-chickpea-kebab-recipe" TargetMode="External"/><Relationship Id="rId860" Type="http://schemas.openxmlformats.org/officeDocument/2006/relationships/hyperlink" Target="https://www.archanaskitchen.com/authentic-nimki-recipe-evening-tea-time-snack" TargetMode="External"/><Relationship Id="rId87" Type="http://schemas.openxmlformats.org/officeDocument/2006/relationships/hyperlink" Target="http://www.archanaskitchen.com/bhindi-capsicum-subzi-recipe" TargetMode="External"/><Relationship Id="rId513" Type="http://schemas.openxmlformats.org/officeDocument/2006/relationships/hyperlink" Target="http://www.archanaskitchen.com/mango-phirni-recipe-north-indian-milk-pudding-with-fresh-alphonso-mangoes" TargetMode="External"/><Relationship Id="rId597" Type="http://schemas.openxmlformats.org/officeDocument/2006/relationships/hyperlink" Target="http://www.archanaskitchen.com/aval-mixture-recipe-poha-chivda" TargetMode="External"/><Relationship Id="rId720" Type="http://schemas.openxmlformats.org/officeDocument/2006/relationships/hyperlink" Target="https://www.archanaskitchen.com/tofu-bhurji-recipe-spicy-scrambled-tofu-in-hindi" TargetMode="External"/><Relationship Id="rId818" Type="http://schemas.openxmlformats.org/officeDocument/2006/relationships/hyperlink" Target="http://www.archanaskitchen.com/dal-palak-recipe-in-hindi" TargetMode="External"/><Relationship Id="rId152" Type="http://schemas.openxmlformats.org/officeDocument/2006/relationships/hyperlink" Target="http://www.archanaskitchen.com/patiala-aloo-recipe" TargetMode="External"/><Relationship Id="rId457" Type="http://schemas.openxmlformats.org/officeDocument/2006/relationships/hyperlink" Target="http://www.archanaskitchen.com/sprouted-moong-and-methi-cheela-recipe-a-healthy-breakfast" TargetMode="External"/><Relationship Id="rId664" Type="http://schemas.openxmlformats.org/officeDocument/2006/relationships/hyperlink" Target="http://www.archanaskitchen.com/falahari-rajgira-aloo-tikki-recipe-gluten-free-amaranth-potato-patty" TargetMode="External"/><Relationship Id="rId871" Type="http://schemas.openxmlformats.org/officeDocument/2006/relationships/hyperlink" Target="http://www.archanaskitchen.com/butter-chicken-with-tandoori-mayo-recipe" TargetMode="External"/><Relationship Id="rId14" Type="http://schemas.openxmlformats.org/officeDocument/2006/relationships/hyperlink" Target="https://www.archanaskitchen.com/north-indian-style-mushroom-matar-masala-recipe" TargetMode="External"/><Relationship Id="rId317" Type="http://schemas.openxmlformats.org/officeDocument/2006/relationships/hyperlink" Target="https://www.archanaskitchen.com/makhana-aloo-tikki-recipe-spiced-lotus-seed-patties-recipe" TargetMode="External"/><Relationship Id="rId524" Type="http://schemas.openxmlformats.org/officeDocument/2006/relationships/hyperlink" Target="http://www.archanaskitchen.com/aloo-bhindi-masala-gravy-recipe-potato-bhindi-curry-recipe-in-hindi" TargetMode="External"/><Relationship Id="rId731" Type="http://schemas.openxmlformats.org/officeDocument/2006/relationships/hyperlink" Target="https://www.archanaskitchen.com/arbi-tomato-onion-sabzi-recipe-spicy-colocasia-stir-fry" TargetMode="External"/><Relationship Id="rId98" Type="http://schemas.openxmlformats.org/officeDocument/2006/relationships/hyperlink" Target="http://www.archanaskitchen.com/moong-dal-dubka-recipe" TargetMode="External"/><Relationship Id="rId163" Type="http://schemas.openxmlformats.org/officeDocument/2006/relationships/hyperlink" Target="http://www.archanaskitchen.com/suva-methi-baingan-sabzi-recipe-eggplant-in-dill-and-methi-leaves-curry-recipe" TargetMode="External"/><Relationship Id="rId370" Type="http://schemas.openxmlformats.org/officeDocument/2006/relationships/hyperlink" Target="http://www.archanaskitchen.com/bhatt-ki-dal-recipe-traditional-kumaoni-black-bean-dal-in-hindi" TargetMode="External"/><Relationship Id="rId829" Type="http://schemas.openxmlformats.org/officeDocument/2006/relationships/hyperlink" Target="https://www.archanaskitchen.com/rajma-saagwala-dry-kidney-beans-and-spinach-stir-fry-recipe" TargetMode="External"/><Relationship Id="rId230" Type="http://schemas.openxmlformats.org/officeDocument/2006/relationships/hyperlink" Target="http://www.archanaskitchen.com/besan-methi-paratha-recipe" TargetMode="External"/><Relationship Id="rId468" Type="http://schemas.openxmlformats.org/officeDocument/2006/relationships/hyperlink" Target="https://www.archanaskitchen.com/apple-mawa-kheer-recipe" TargetMode="External"/><Relationship Id="rId675" Type="http://schemas.openxmlformats.org/officeDocument/2006/relationships/hyperlink" Target="https://www.archanaskitchen.com/besan-ke-laddu-recipe" TargetMode="External"/><Relationship Id="rId882" Type="http://schemas.openxmlformats.org/officeDocument/2006/relationships/hyperlink" Target="https://www.archanaskitchen.com/makhana-ki-sabzi-recipe-in-hindi" TargetMode="External"/><Relationship Id="rId25" Type="http://schemas.openxmlformats.org/officeDocument/2006/relationships/hyperlink" Target="https://www.archanaskitchen.com/potato-paneer-curry-without-onion-and-garlic-recipe-recipe-in-hindi" TargetMode="External"/><Relationship Id="rId328" Type="http://schemas.openxmlformats.org/officeDocument/2006/relationships/hyperlink" Target="https://www.archanaskitchen.com/spicy-chana-chaat-frankie-recipe" TargetMode="External"/><Relationship Id="rId535" Type="http://schemas.openxmlformats.org/officeDocument/2006/relationships/hyperlink" Target="http://www.archanaskitchen.com/gree-chutney-aloo-chaat-recipe-in-hindi" TargetMode="External"/><Relationship Id="rId742" Type="http://schemas.openxmlformats.org/officeDocument/2006/relationships/hyperlink" Target="https://www.archanaskitchen.com/homemade-canape-papdi-chaat-recipe" TargetMode="External"/><Relationship Id="rId174" Type="http://schemas.openxmlformats.org/officeDocument/2006/relationships/hyperlink" Target="https://www.archanaskitchen.com/paneer-kofta-curry-recipe-non-fried-in-hindi" TargetMode="External"/><Relationship Id="rId381" Type="http://schemas.openxmlformats.org/officeDocument/2006/relationships/hyperlink" Target="http://www.archanaskitchen.com/kadai-chole-recipe-dry-chickpeas-masala-with-capsicum-in-hindi" TargetMode="External"/><Relationship Id="rId602" Type="http://schemas.openxmlformats.org/officeDocument/2006/relationships/hyperlink" Target="https://www.archanaskitchen.com/dahi-turai-ki-sabzi-recipe-ridge-gourd-simmered-in-yogurt-curry-recipe" TargetMode="External"/><Relationship Id="rId241" Type="http://schemas.openxmlformats.org/officeDocument/2006/relationships/hyperlink" Target="https://www.archanaskitchen.com/paneer-and-raw-mango-curry-recipe" TargetMode="External"/><Relationship Id="rId479" Type="http://schemas.openxmlformats.org/officeDocument/2006/relationships/hyperlink" Target="https://www.archanaskitchen.com/oats-and-rajma-cutlet-recipe-a-delicious-tea-time-snack" TargetMode="External"/><Relationship Id="rId686" Type="http://schemas.openxmlformats.org/officeDocument/2006/relationships/hyperlink" Target="https://www.archanaskitchen.com/butter-chicken-recipe-classic-indian-chicken-gravy" TargetMode="External"/><Relationship Id="rId893" Type="http://schemas.openxmlformats.org/officeDocument/2006/relationships/hyperlink" Target="https://www.archanaskitchen.com/dry-methi-malai-matar-recipe" TargetMode="External"/><Relationship Id="rId907" Type="http://schemas.openxmlformats.org/officeDocument/2006/relationships/hyperlink" Target="http://www.archanaskitchen.com/bharwa-karela-stuffed-bitter-gourds-recipe" TargetMode="External"/><Relationship Id="rId36" Type="http://schemas.openxmlformats.org/officeDocument/2006/relationships/hyperlink" Target="http://www.archanaskitchen.com/stuffed-arbi-paratha-recipe" TargetMode="External"/><Relationship Id="rId339" Type="http://schemas.openxmlformats.org/officeDocument/2006/relationships/hyperlink" Target="https://www.archanaskitchen.com/bhindi-and-paneer-masala-gravy-recipe" TargetMode="External"/><Relationship Id="rId546" Type="http://schemas.openxmlformats.org/officeDocument/2006/relationships/hyperlink" Target="http://www.archanaskitchen.com/maash-ki-dal-khasgi-recipe-dhaba-style-urad-dal" TargetMode="External"/><Relationship Id="rId753" Type="http://schemas.openxmlformats.org/officeDocument/2006/relationships/hyperlink" Target="http://www.archanaskitchen.com/shakarkandi-ka-halwa-recipe-sweet-potato-halwa" TargetMode="External"/><Relationship Id="rId101" Type="http://schemas.openxmlformats.org/officeDocument/2006/relationships/hyperlink" Target="http://www.archanaskitchen.com/atte-ka-halwa-recipe-whole-wheat-flour-halwa-with-khoya" TargetMode="External"/><Relationship Id="rId185" Type="http://schemas.openxmlformats.org/officeDocument/2006/relationships/hyperlink" Target="http://www.archanaskitchen.com/mutton-matar-keema-recipe-minced-mutton-with-green-peas" TargetMode="External"/><Relationship Id="rId406" Type="http://schemas.openxmlformats.org/officeDocument/2006/relationships/hyperlink" Target="https://www.archanaskitchen.com/no-onion-no-garlic-black-eyed-beans-curry-recipe-in-hindi" TargetMode="External"/><Relationship Id="rId392" Type="http://schemas.openxmlformats.org/officeDocument/2006/relationships/hyperlink" Target="http://www.archanaskitchen.com/achari-paneer-masala-recipe" TargetMode="External"/><Relationship Id="rId613" Type="http://schemas.openxmlformats.org/officeDocument/2006/relationships/hyperlink" Target="https://www.archanaskitchen.com/haleem-ke-kebab-recipe" TargetMode="External"/><Relationship Id="rId697" Type="http://schemas.openxmlformats.org/officeDocument/2006/relationships/hyperlink" Target="https://www.archanaskitchen.com/fried-poha-chivda-recipe-flatten-rice-spicy-mixture-in-hindi" TargetMode="External"/><Relationship Id="rId820" Type="http://schemas.openxmlformats.org/officeDocument/2006/relationships/hyperlink" Target="https://www.archanaskitchen.com/corn-paneer-baked-samosa-recipe-non-fried" TargetMode="External"/><Relationship Id="rId918" Type="http://schemas.openxmlformats.org/officeDocument/2006/relationships/hyperlink" Target="https://www.archanaskitchen.com/homemade-butter-naan-recipe" TargetMode="External"/><Relationship Id="rId252" Type="http://schemas.openxmlformats.org/officeDocument/2006/relationships/hyperlink" Target="https://www.archanaskitchen.com/sweet-potato-methi-stuffed-paratha-recipe" TargetMode="External"/><Relationship Id="rId47" Type="http://schemas.openxmlformats.org/officeDocument/2006/relationships/hyperlink" Target="http://www.archanaskitchen.com/matar-besan-and-paneer-cheela-recipe-green-peas-paneer-crepes-in-hindi" TargetMode="External"/><Relationship Id="rId112" Type="http://schemas.openxmlformats.org/officeDocument/2006/relationships/hyperlink" Target="https://www.archanaskitchen.com/makki-ki-baked-mathri-recipe-baked-cornmeal-flaky-biscuit" TargetMode="External"/><Relationship Id="rId557" Type="http://schemas.openxmlformats.org/officeDocument/2006/relationships/hyperlink" Target="https://www.archanaskitchen.com/paneer-pav-bhaji-recipe-delicious-indian-street-food-dinner" TargetMode="External"/><Relationship Id="rId764" Type="http://schemas.openxmlformats.org/officeDocument/2006/relationships/hyperlink" Target="http://www.archanaskitchen.com/hara-chana-masala-recipe-in-hindi" TargetMode="External"/><Relationship Id="rId196" Type="http://schemas.openxmlformats.org/officeDocument/2006/relationships/hyperlink" Target="http://www.archanaskitchen.com/palak-paneer-bhurji-recipe-spiced-cottage-cheese-scramble-with-spinach-recipe" TargetMode="External"/><Relationship Id="rId417" Type="http://schemas.openxmlformats.org/officeDocument/2006/relationships/hyperlink" Target="https://www.archanaskitchen.com/khajoor-imli-ki-chutney-with-panch-phoran-masala-recipe-in-hindi" TargetMode="External"/><Relationship Id="rId624" Type="http://schemas.openxmlformats.org/officeDocument/2006/relationships/hyperlink" Target="https://www.archanaskitchen.com/doli-ki-roti-recipe" TargetMode="External"/><Relationship Id="rId831" Type="http://schemas.openxmlformats.org/officeDocument/2006/relationships/hyperlink" Target="http://www.archanaskitchen.com/chicken-curry-with-sweet-potatoes-recipe" TargetMode="External"/><Relationship Id="rId263" Type="http://schemas.openxmlformats.org/officeDocument/2006/relationships/hyperlink" Target="http://www.archanaskitchen.com/khaman-dhokla-poha-recipe" TargetMode="External"/><Relationship Id="rId470" Type="http://schemas.openxmlformats.org/officeDocument/2006/relationships/hyperlink" Target="https://www.archanaskitchen.com/masoor-dal-makhni-recipe-in-hindi" TargetMode="External"/><Relationship Id="rId929" Type="http://schemas.openxmlformats.org/officeDocument/2006/relationships/hyperlink" Target="http://www.archanaskitchen.com/panjiri-ladoo-recipe-in-hindi" TargetMode="External"/><Relationship Id="rId58" Type="http://schemas.openxmlformats.org/officeDocument/2006/relationships/hyperlink" Target="http://www.archanaskitchen.com/party-sev-puri-recipe-filled-with-potato-pomegranate-mint-mayo" TargetMode="External"/><Relationship Id="rId123" Type="http://schemas.openxmlformats.org/officeDocument/2006/relationships/hyperlink" Target="http://www.archanaskitchen.com/mixed-millet-khichdi-recipe" TargetMode="External"/><Relationship Id="rId330" Type="http://schemas.openxmlformats.org/officeDocument/2006/relationships/hyperlink" Target="https://www.archanaskitchen.com/cheese-garlic-naan-recipe" TargetMode="External"/><Relationship Id="rId568" Type="http://schemas.openxmlformats.org/officeDocument/2006/relationships/hyperlink" Target="https://www.archanaskitchen.com/dal-kabila-recipe-diabetic-urad-dal-tadka" TargetMode="External"/><Relationship Id="rId775" Type="http://schemas.openxmlformats.org/officeDocument/2006/relationships/hyperlink" Target="http://www.archanaskitchen.com/besan-ladoo-recipe-in-hindi" TargetMode="External"/><Relationship Id="rId428" Type="http://schemas.openxmlformats.org/officeDocument/2006/relationships/hyperlink" Target="http://www.archanaskitchen.com/methi-paneer-bhurji-recipe-in-creamy-gravy" TargetMode="External"/><Relationship Id="rId635" Type="http://schemas.openxmlformats.org/officeDocument/2006/relationships/hyperlink" Target="https://www.archanaskitchen.com/aloo-gobhi-matar-ki-sabzi-recipe-in-hindi" TargetMode="External"/><Relationship Id="rId842" Type="http://schemas.openxmlformats.org/officeDocument/2006/relationships/hyperlink" Target="https://www.archanaskitchen.com/pudina-chutney-recipe" TargetMode="External"/><Relationship Id="rId274" Type="http://schemas.openxmlformats.org/officeDocument/2006/relationships/hyperlink" Target="http://www.archanaskitchen.com/raw-banana-ajwain-paratha-recipe" TargetMode="External"/><Relationship Id="rId481" Type="http://schemas.openxmlformats.org/officeDocument/2006/relationships/hyperlink" Target="https://www.archanaskitchen.com/pudina-chutney-recipe-in-hindi" TargetMode="External"/><Relationship Id="rId702" Type="http://schemas.openxmlformats.org/officeDocument/2006/relationships/hyperlink" Target="https://www.archanaskitchen.com/bharwa-pyaz-ki-sabzi-recipe" TargetMode="External"/><Relationship Id="rId69" Type="http://schemas.openxmlformats.org/officeDocument/2006/relationships/hyperlink" Target="https://www.archanaskitchen.com/bihari-shakarkand-bhujiya-recipe" TargetMode="External"/><Relationship Id="rId134" Type="http://schemas.openxmlformats.org/officeDocument/2006/relationships/hyperlink" Target="http://www.archanaskitchen.com/chocolate-coconut-gujiya-recipe" TargetMode="External"/><Relationship Id="rId579" Type="http://schemas.openxmlformats.org/officeDocument/2006/relationships/hyperlink" Target="https://www.archanaskitchen.com/badami-paneer-masala-recipe-paneer-in-almond-gravy" TargetMode="External"/><Relationship Id="rId786" Type="http://schemas.openxmlformats.org/officeDocument/2006/relationships/hyperlink" Target="http://www.archanaskitchen.com/sweet-potato-dal-recipe-in-hindi" TargetMode="External"/><Relationship Id="rId341" Type="http://schemas.openxmlformats.org/officeDocument/2006/relationships/hyperlink" Target="http://www.archanaskitchen.com/nawabi-mixed-vegetable-gravy-recipe" TargetMode="External"/><Relationship Id="rId439" Type="http://schemas.openxmlformats.org/officeDocument/2006/relationships/hyperlink" Target="http://www.archanaskitchen.com/beetroot-moong-phali-sabzi-recipe-beetroot-stir-fry-with-roasted-peanuts" TargetMode="External"/><Relationship Id="rId646" Type="http://schemas.openxmlformats.org/officeDocument/2006/relationships/hyperlink" Target="https://www.archanaskitchen.com/quick-prawn-tikka-masala-recipe" TargetMode="External"/><Relationship Id="rId201" Type="http://schemas.openxmlformats.org/officeDocument/2006/relationships/hyperlink" Target="http://www.archanaskitchen.com/carrot-matar-paratha-recipe" TargetMode="External"/><Relationship Id="rId285" Type="http://schemas.openxmlformats.org/officeDocument/2006/relationships/hyperlink" Target="https://www.archanaskitchen.com/soya-kheema-paratha-recipe-spicy-soy-granules-flat-bread" TargetMode="External"/><Relationship Id="rId506" Type="http://schemas.openxmlformats.org/officeDocument/2006/relationships/hyperlink" Target="http://www.archanaskitchen.com/arbi-ka-achaar-recipe-instant-colocasia-pickle" TargetMode="External"/><Relationship Id="rId853" Type="http://schemas.openxmlformats.org/officeDocument/2006/relationships/hyperlink" Target="http://www.archanaskitchen.com/chatpata-baby-potato-recipe" TargetMode="External"/><Relationship Id="rId492" Type="http://schemas.openxmlformats.org/officeDocument/2006/relationships/hyperlink" Target="http://www.archanaskitchen.com/shahi-tindora-recipe-tindora-in-cashew-nut-curry" TargetMode="External"/><Relationship Id="rId713" Type="http://schemas.openxmlformats.org/officeDocument/2006/relationships/hyperlink" Target="http://www.archanaskitchen.com/shahi-bhindi-recipe-in-cashew-nut-gravy-okras-in-cashew-nut-curry" TargetMode="External"/><Relationship Id="rId797" Type="http://schemas.openxmlformats.org/officeDocument/2006/relationships/hyperlink" Target="http://www.archanaskitchen.com/moong-dal-chilla-recipe-in-hindi" TargetMode="External"/><Relationship Id="rId920" Type="http://schemas.openxmlformats.org/officeDocument/2006/relationships/hyperlink" Target="http://www.archanaskitchen.com/kurkuri-bhindi-and-onion-masala-recipe" TargetMode="External"/><Relationship Id="rId145" Type="http://schemas.openxmlformats.org/officeDocument/2006/relationships/hyperlink" Target="https://www.archanaskitchen.com/rase-wale-aloo-recipe-boiled-potato-in-tangy-tomato-sauce" TargetMode="External"/><Relationship Id="rId352" Type="http://schemas.openxmlformats.org/officeDocument/2006/relationships/hyperlink" Target="http://www.archanaskitchen.com/chickpea-tikka-masala-recipe" TargetMode="External"/><Relationship Id="rId212" Type="http://schemas.openxmlformats.org/officeDocument/2006/relationships/hyperlink" Target="https://www.archanaskitchen.com/bharwa-baingan-aur-pyaaz-ki-sabzi-recipe-roz-ka-khana-with-figaro-olive-oil" TargetMode="External"/><Relationship Id="rId657" Type="http://schemas.openxmlformats.org/officeDocument/2006/relationships/hyperlink" Target="https://www.archanaskitchen.com/one-pot-butter-chicken-khichdi-recipe" TargetMode="External"/><Relationship Id="rId864" Type="http://schemas.openxmlformats.org/officeDocument/2006/relationships/hyperlink" Target="https://www.archanaskitchen.com/til-ke-laddu-recipe-sesame-seeds-laddu-recipe" TargetMode="External"/><Relationship Id="rId296" Type="http://schemas.openxmlformats.org/officeDocument/2006/relationships/hyperlink" Target="https://www.archanaskitchen.com/kesar-malai-doodh-recipe" TargetMode="External"/><Relationship Id="rId517" Type="http://schemas.openxmlformats.org/officeDocument/2006/relationships/hyperlink" Target="http://www.archanaskitchen.com/pyaaz-ki-kachori-recipe" TargetMode="External"/><Relationship Id="rId724" Type="http://schemas.openxmlformats.org/officeDocument/2006/relationships/hyperlink" Target="http://www.archanaskitchen.com/patta-gobi-matar-nu-shaak-recipe-cabbage-peas-sabzi-recipe" TargetMode="External"/><Relationship Id="rId931" Type="http://schemas.openxmlformats.org/officeDocument/2006/relationships/hyperlink" Target="https://www.archanaskitchen.com/nawabi-kofta-curry-recipe" TargetMode="External"/><Relationship Id="rId60" Type="http://schemas.openxmlformats.org/officeDocument/2006/relationships/hyperlink" Target="https://www.archanaskitchen.com/chilke-wali-mung-dal-curry-recipe" TargetMode="External"/><Relationship Id="rId156" Type="http://schemas.openxmlformats.org/officeDocument/2006/relationships/hyperlink" Target="https://www.archanaskitchen.com/shakkarpara-shankarpali-recipe" TargetMode="External"/><Relationship Id="rId363" Type="http://schemas.openxmlformats.org/officeDocument/2006/relationships/hyperlink" Target="https://www.archanaskitchen.com/sweet-potato-kheer-recipe" TargetMode="External"/><Relationship Id="rId570" Type="http://schemas.openxmlformats.org/officeDocument/2006/relationships/hyperlink" Target="https://www.archanaskitchen.com/mirchi-and-aloo-curry-recipe-long-green-chilli-and-potato-curry-recipe" TargetMode="External"/><Relationship Id="rId223" Type="http://schemas.openxmlformats.org/officeDocument/2006/relationships/hyperlink" Target="http://www.archanaskitchen.com/lauki-paneer-kofta-curry-recipe-no-onion-no-garlic-recipe" TargetMode="External"/><Relationship Id="rId430" Type="http://schemas.openxmlformats.org/officeDocument/2006/relationships/hyperlink" Target="http://www.archanaskitchen.com/pyaaz-ki-sabzi-recipe" TargetMode="External"/><Relationship Id="rId668" Type="http://schemas.openxmlformats.org/officeDocument/2006/relationships/hyperlink" Target="https://www.archanaskitchen.com/bhindi-masala-gravy-recipe-ladies-finger-in-tomato-onion-gravy-in-hindi" TargetMode="External"/><Relationship Id="rId875" Type="http://schemas.openxmlformats.org/officeDocument/2006/relationships/hyperlink" Target="http://www.archanaskitchen.com/kheema-kaleji-recipe" TargetMode="External"/><Relationship Id="rId18" Type="http://schemas.openxmlformats.org/officeDocument/2006/relationships/hyperlink" Target="https://www.archanaskitchen.com/masalewali-turai-sabzi-recipe-ridge-gourd-in-tomato-curry-in-hindi" TargetMode="External"/><Relationship Id="rId528" Type="http://schemas.openxmlformats.org/officeDocument/2006/relationships/hyperlink" Target="http://www.archanaskitchen.com/mutton-do-pyaza-recipe" TargetMode="External"/><Relationship Id="rId735" Type="http://schemas.openxmlformats.org/officeDocument/2006/relationships/hyperlink" Target="http://www.archanaskitchen.com/matar-samosa-chaat-recipe-a-delicious-evening-tea-time-snack" TargetMode="External"/><Relationship Id="rId167" Type="http://schemas.openxmlformats.org/officeDocument/2006/relationships/hyperlink" Target="http://www.archanaskitchen.com/phool-gobi-sabzi-recipe-in-hindi" TargetMode="External"/><Relationship Id="rId374" Type="http://schemas.openxmlformats.org/officeDocument/2006/relationships/hyperlink" Target="https://www.archanaskitchen.com/samosas-with-minced-mushroom-paneer-and-soya-chunks-stuffing-recipe" TargetMode="External"/><Relationship Id="rId581" Type="http://schemas.openxmlformats.org/officeDocument/2006/relationships/hyperlink" Target="http://www.archanaskitchen.com/paneer-tikka-pulao-recipe" TargetMode="External"/><Relationship Id="rId71" Type="http://schemas.openxmlformats.org/officeDocument/2006/relationships/hyperlink" Target="https://www.archanaskitchen.com/espresso-coffee-recipe-homemade-no-machine-espresso-coffee" TargetMode="External"/><Relationship Id="rId234" Type="http://schemas.openxmlformats.org/officeDocument/2006/relationships/hyperlink" Target="https://www.archanaskitchen.com/tomato-poha-with-peas-recipe" TargetMode="External"/><Relationship Id="rId679" Type="http://schemas.openxmlformats.org/officeDocument/2006/relationships/hyperlink" Target="https://www.archanaskitchen.com/dill-leaves-toor-dal-recipe-shepu-suva-dal-recipe" TargetMode="External"/><Relationship Id="rId802" Type="http://schemas.openxmlformats.org/officeDocument/2006/relationships/hyperlink" Target="http://www.archanaskitchen.com/dubki-wale-aloo-recipe-in-hindi" TargetMode="External"/><Relationship Id="rId886" Type="http://schemas.openxmlformats.org/officeDocument/2006/relationships/hyperlink" Target="https://www.archanaskitchen.com/green-mango-masoor-dal-recipe-in-hindi" TargetMode="External"/><Relationship Id="rId2" Type="http://schemas.openxmlformats.org/officeDocument/2006/relationships/hyperlink" Target="https://www.archanaskitchen.com/matar-samosa-recipe-green-pea-samosa" TargetMode="External"/><Relationship Id="rId29" Type="http://schemas.openxmlformats.org/officeDocument/2006/relationships/hyperlink" Target="https://www.archanaskitchen.com/baingan-sarson-ka-saag-recipe" TargetMode="External"/><Relationship Id="rId441" Type="http://schemas.openxmlformats.org/officeDocument/2006/relationships/hyperlink" Target="http://www.archanaskitchen.com/restaurant-style-paneer-lababdar-recipe" TargetMode="External"/><Relationship Id="rId539" Type="http://schemas.openxmlformats.org/officeDocument/2006/relationships/hyperlink" Target="https://www.archanaskitchen.com/pudina-dahi-chutney-recipe-mint-yoghurt-dip-in-hindi" TargetMode="External"/><Relationship Id="rId746" Type="http://schemas.openxmlformats.org/officeDocument/2006/relationships/hyperlink" Target="http://www.archanaskitchen.com/aloo-gobhi-matar-ki-sabzi-recipe" TargetMode="External"/><Relationship Id="rId178" Type="http://schemas.openxmlformats.org/officeDocument/2006/relationships/hyperlink" Target="http://www.archanaskitchen.com/dal-banjara-recipe-in-hindi" TargetMode="External"/><Relationship Id="rId301" Type="http://schemas.openxmlformats.org/officeDocument/2006/relationships/hyperlink" Target="https://www.archanaskitchen.com/hariyali-tawa-fish-fry-recipe" TargetMode="External"/><Relationship Id="rId82" Type="http://schemas.openxmlformats.org/officeDocument/2006/relationships/hyperlink" Target="https://www.archanaskitchen.com/rajgira-paneer-paratha-recipe-navarati-fasting-vrat-recipe" TargetMode="External"/><Relationship Id="rId385" Type="http://schemas.openxmlformats.org/officeDocument/2006/relationships/hyperlink" Target="http://www.archanaskitchen.com/dal-fry-recipe" TargetMode="External"/><Relationship Id="rId592" Type="http://schemas.openxmlformats.org/officeDocument/2006/relationships/hyperlink" Target="http://www.archanaskitchen.com/sookha-aloo-matar-methi-sabzi-recipe" TargetMode="External"/><Relationship Id="rId606" Type="http://schemas.openxmlformats.org/officeDocument/2006/relationships/hyperlink" Target="http://www.archanaskitchen.com/pineapple-mushroom-tikka-recipe-with-tandoori-masala" TargetMode="External"/><Relationship Id="rId813" Type="http://schemas.openxmlformats.org/officeDocument/2006/relationships/hyperlink" Target="https://www.archanaskitchen.com/nawabi-mixed-vegetable-gravy-recipe-2" TargetMode="External"/><Relationship Id="rId245" Type="http://schemas.openxmlformats.org/officeDocument/2006/relationships/hyperlink" Target="https://www.archanaskitchen.com/kadai-egg-masala-recipe" TargetMode="External"/><Relationship Id="rId452" Type="http://schemas.openxmlformats.org/officeDocument/2006/relationships/hyperlink" Target="https://www.archanaskitchen.com/one-pot-aloo-gobi-recipe-in-hindi" TargetMode="External"/><Relationship Id="rId897" Type="http://schemas.openxmlformats.org/officeDocument/2006/relationships/hyperlink" Target="http://www.archanaskitchen.com/arbi-tomato-onion-sabzi-recipe-spicy-colocasia-stir-fry-in-hindi" TargetMode="External"/><Relationship Id="rId105" Type="http://schemas.openxmlformats.org/officeDocument/2006/relationships/hyperlink" Target="http://www.archanaskitchen.com/corn-bhel-recipe" TargetMode="External"/><Relationship Id="rId312" Type="http://schemas.openxmlformats.org/officeDocument/2006/relationships/hyperlink" Target="https://www.archanaskitchen.com/chicken-malai-kabab-recipe" TargetMode="External"/><Relationship Id="rId757" Type="http://schemas.openxmlformats.org/officeDocument/2006/relationships/hyperlink" Target="https://www.archanaskitchen.com/aloo-patta-gobi-sabzi-recipe-potato-cabbage-sabzi-in-hindi" TargetMode="External"/><Relationship Id="rId93" Type="http://schemas.openxmlformats.org/officeDocument/2006/relationships/hyperlink" Target="https://www.archanaskitchen.com/lilve-ki-sabzi-recipe-green-chickpea-curry" TargetMode="External"/><Relationship Id="rId189" Type="http://schemas.openxmlformats.org/officeDocument/2006/relationships/hyperlink" Target="https://www.archanaskitchen.com/kadai-chicken-recipe" TargetMode="External"/><Relationship Id="rId396" Type="http://schemas.openxmlformats.org/officeDocument/2006/relationships/hyperlink" Target="http://www.archanaskitchen.com/green-chutney-aloo-chaat-recipe" TargetMode="External"/><Relationship Id="rId617" Type="http://schemas.openxmlformats.org/officeDocument/2006/relationships/hyperlink" Target="http://www.archanaskitchen.com/aloo-tamatari-recipe-in-hindi" TargetMode="External"/><Relationship Id="rId824" Type="http://schemas.openxmlformats.org/officeDocument/2006/relationships/hyperlink" Target="http://www.archanaskitchen.com/dum-murgh-aatishi-recipe-spicy-smoked-chicken-recipe" TargetMode="External"/><Relationship Id="rId256" Type="http://schemas.openxmlformats.org/officeDocument/2006/relationships/hyperlink" Target="http://www.archanaskitchen.com/methi-masoor-dal-recipe" TargetMode="External"/><Relationship Id="rId463" Type="http://schemas.openxmlformats.org/officeDocument/2006/relationships/hyperlink" Target="https://www.archanaskitchen.com/paneer-jalfrezi-recipe" TargetMode="External"/><Relationship Id="rId670" Type="http://schemas.openxmlformats.org/officeDocument/2006/relationships/hyperlink" Target="http://www.archanaskitchen.com/lehsuni-pudina-chutney-recipe-in-hindi" TargetMode="External"/><Relationship Id="rId116" Type="http://schemas.openxmlformats.org/officeDocument/2006/relationships/hyperlink" Target="http://www.archanaskitchen.com/aam-ki-launji-pickle-recipe-sweet-spicy-mango-pickle-in-hindi" TargetMode="External"/><Relationship Id="rId323" Type="http://schemas.openxmlformats.org/officeDocument/2006/relationships/hyperlink" Target="http://www.archanaskitchen.com/malai-kofta-recipe-cottage-cheese-potato-balls-in-creamy-red-gravy" TargetMode="External"/><Relationship Id="rId530" Type="http://schemas.openxmlformats.org/officeDocument/2006/relationships/hyperlink" Target="http://www.archanaskitchen.com/punjabi-methi-kadhi-recipe-fenugreek-leaf-yogurt-curry-in-hindi" TargetMode="External"/><Relationship Id="rId768" Type="http://schemas.openxmlformats.org/officeDocument/2006/relationships/hyperlink" Target="http://www.archanaskitchen.com/matki-khichdi-recipe-palak-pudina-moth-bean-khichdi-recipe" TargetMode="External"/><Relationship Id="rId20" Type="http://schemas.openxmlformats.org/officeDocument/2006/relationships/hyperlink" Target="http://www.archanaskitchen.com/mushroom-paratha-recipe" TargetMode="External"/><Relationship Id="rId628" Type="http://schemas.openxmlformats.org/officeDocument/2006/relationships/hyperlink" Target="https://www.archanaskitchen.com/nimbu-chunda-recipe-lemon-chutney-no-cook-and-oil-free" TargetMode="External"/><Relationship Id="rId835" Type="http://schemas.openxmlformats.org/officeDocument/2006/relationships/hyperlink" Target="https://www.archanaskitchen.com/multani-kaali-arbi-recipe-in-hindi" TargetMode="External"/><Relationship Id="rId267" Type="http://schemas.openxmlformats.org/officeDocument/2006/relationships/hyperlink" Target="https://www.archanaskitchen.com/tangy-corn-tamatar-bharta-recipe-in-hindi" TargetMode="External"/><Relationship Id="rId474" Type="http://schemas.openxmlformats.org/officeDocument/2006/relationships/hyperlink" Target="http://www.archanaskitchen.com/beetroot-sesame-thepla-recipe" TargetMode="External"/><Relationship Id="rId127" Type="http://schemas.openxmlformats.org/officeDocument/2006/relationships/hyperlink" Target="http://www.archanaskitchen.com/mirchi-bajji-recipe-mirapakaya-bajji-green-chilli-fritters" TargetMode="External"/><Relationship Id="rId681" Type="http://schemas.openxmlformats.org/officeDocument/2006/relationships/hyperlink" Target="https://www.archanaskitchen.com/sweet-potato-and-carrot-subzi-recipe" TargetMode="External"/><Relationship Id="rId779" Type="http://schemas.openxmlformats.org/officeDocument/2006/relationships/hyperlink" Target="https://www.archanaskitchen.com/kabuli-chana-kofta-biryani-recipe" TargetMode="External"/><Relationship Id="rId902" Type="http://schemas.openxmlformats.org/officeDocument/2006/relationships/hyperlink" Target="http://www.archanaskitchen.com/thandai-mousse-recipe" TargetMode="External"/><Relationship Id="rId31" Type="http://schemas.openxmlformats.org/officeDocument/2006/relationships/hyperlink" Target="https://www.archanaskitchen.com/bael-ka-sharbat-recipe-woodapple-squash-drink" TargetMode="External"/><Relationship Id="rId334" Type="http://schemas.openxmlformats.org/officeDocument/2006/relationships/hyperlink" Target="https://www.archanaskitchen.com/oats-peas-tofu-stuffed-paratha-recipe" TargetMode="External"/><Relationship Id="rId541" Type="http://schemas.openxmlformats.org/officeDocument/2006/relationships/hyperlink" Target="http://www.archanaskitchen.com/creamy-dal-makhani-recipe-in-hindi" TargetMode="External"/><Relationship Id="rId639" Type="http://schemas.openxmlformats.org/officeDocument/2006/relationships/hyperlink" Target="http://www.archanaskitchen.com/dal-shorba-recipe-indian-style-lentil-soup-in-hindi" TargetMode="External"/><Relationship Id="rId180" Type="http://schemas.openxmlformats.org/officeDocument/2006/relationships/hyperlink" Target="http://www.archanaskitchen.com/gobi-matar-mini-samosa-recipe" TargetMode="External"/><Relationship Id="rId278" Type="http://schemas.openxmlformats.org/officeDocument/2006/relationships/hyperlink" Target="http://www.archanaskitchen.com/methi-pudina-aloo-sabzi-recipe" TargetMode="External"/><Relationship Id="rId401" Type="http://schemas.openxmlformats.org/officeDocument/2006/relationships/hyperlink" Target="http://www.archanaskitchen.com/jeera-aloo-sabzi-recipe-in-hindi" TargetMode="External"/><Relationship Id="rId846" Type="http://schemas.openxmlformats.org/officeDocument/2006/relationships/hyperlink" Target="https://www.archanaskitchen.com/arbi-ka-saag-recipe-in-hindi" TargetMode="External"/><Relationship Id="rId485" Type="http://schemas.openxmlformats.org/officeDocument/2006/relationships/hyperlink" Target="https://www.archanaskitchen.com/khumb-kakuri-potli-kebab-recipe-with-sandwich-spread" TargetMode="External"/><Relationship Id="rId692" Type="http://schemas.openxmlformats.org/officeDocument/2006/relationships/hyperlink" Target="http://www.archanaskitchen.com/shahi-egg-curry-recipe-in-tomato-cashew-gravy-roz-ka-khana-with-figaro-olive-oil-in-hindi" TargetMode="External"/><Relationship Id="rId706" Type="http://schemas.openxmlformats.org/officeDocument/2006/relationships/hyperlink" Target="https://www.archanaskitchen.com/saag-tofu-recipe-in-hindi" TargetMode="External"/><Relationship Id="rId913" Type="http://schemas.openxmlformats.org/officeDocument/2006/relationships/hyperlink" Target="https://www.archanaskitchen.com/sauteed-potatoes-with-spinach-recipe-in-hindi" TargetMode="External"/><Relationship Id="rId42" Type="http://schemas.openxmlformats.org/officeDocument/2006/relationships/hyperlink" Target="http://www.archanaskitchen.com/dahi-bhindi-recipe-okra-in-yogurt-curry-with-caramelized-onions" TargetMode="External"/><Relationship Id="rId138" Type="http://schemas.openxmlformats.org/officeDocument/2006/relationships/hyperlink" Target="http://www.archanaskitchen.com/sprouted-moong-dal-spicy-sprouted-lentil-curry-recipe" TargetMode="External"/><Relationship Id="rId345" Type="http://schemas.openxmlformats.org/officeDocument/2006/relationships/hyperlink" Target="https://www.archanaskitchen.com/boondi-ki-kheer-recipe" TargetMode="External"/><Relationship Id="rId552" Type="http://schemas.openxmlformats.org/officeDocument/2006/relationships/hyperlink" Target="https://www.archanaskitchen.com/aloo-gobi-ki-sabzi-recipe-in-hindi" TargetMode="External"/><Relationship Id="rId191" Type="http://schemas.openxmlformats.org/officeDocument/2006/relationships/hyperlink" Target="https://www.archanaskitchen.com/lahsuni-paneer-recipe-paneer-flavoured-with-garlic" TargetMode="External"/><Relationship Id="rId205" Type="http://schemas.openxmlformats.org/officeDocument/2006/relationships/hyperlink" Target="https://www.archanaskitchen.com/aloo-gajar-matar-sabzi-recipe-in-hindi" TargetMode="External"/><Relationship Id="rId412" Type="http://schemas.openxmlformats.org/officeDocument/2006/relationships/hyperlink" Target="https://www.archanaskitchen.com/mooli-and-moong-dal-sabji-recipe" TargetMode="External"/><Relationship Id="rId857" Type="http://schemas.openxmlformats.org/officeDocument/2006/relationships/hyperlink" Target="http://www.archanaskitchen.com/soya-methi-palak-ki-sabzi-recipe" TargetMode="External"/><Relationship Id="rId289" Type="http://schemas.openxmlformats.org/officeDocument/2006/relationships/hyperlink" Target="https://www.archanaskitchen.com/bhopali-style-gosht-ka-pulao-recipe" TargetMode="External"/><Relationship Id="rId496" Type="http://schemas.openxmlformats.org/officeDocument/2006/relationships/hyperlink" Target="https://www.archanaskitchen.com/gobi-biryani-recipe-in-hindi" TargetMode="External"/><Relationship Id="rId717" Type="http://schemas.openxmlformats.org/officeDocument/2006/relationships/hyperlink" Target="https://www.archanaskitchen.com/vegan-kofta-curry-recipe-recipe-in-hindi" TargetMode="External"/><Relationship Id="rId924" Type="http://schemas.openxmlformats.org/officeDocument/2006/relationships/hyperlink" Target="http://www.archanaskitchen.com/jain-style-corn-palak-recipe" TargetMode="External"/><Relationship Id="rId53" Type="http://schemas.openxmlformats.org/officeDocument/2006/relationships/hyperlink" Target="https://www.archanaskitchen.com/stuffed-mooli-paneer-paratha-recipe" TargetMode="External"/><Relationship Id="rId149" Type="http://schemas.openxmlformats.org/officeDocument/2006/relationships/hyperlink" Target="http://www.archanaskitchen.com/dal-banjara-recipe-langar-wali-dal" TargetMode="External"/><Relationship Id="rId356" Type="http://schemas.openxmlformats.org/officeDocument/2006/relationships/hyperlink" Target="http://www.archanaskitchen.com/methi-makhana-mutter-korma-recipe" TargetMode="External"/><Relationship Id="rId563" Type="http://schemas.openxmlformats.org/officeDocument/2006/relationships/hyperlink" Target="http://www.archanaskitchen.com/bhatt-ki-dal-traditional-kumaoni-black-bean-dal-recipe" TargetMode="External"/><Relationship Id="rId770" Type="http://schemas.openxmlformats.org/officeDocument/2006/relationships/hyperlink" Target="http://www.archanaskitchen.com/shahi-dal-recipe-in-hindi" TargetMode="External"/><Relationship Id="rId216" Type="http://schemas.openxmlformats.org/officeDocument/2006/relationships/hyperlink" Target="http://www.archanaskitchen.com/chilke-wali-mung-dal-curry-recipe-in-hindi" TargetMode="External"/><Relationship Id="rId423" Type="http://schemas.openxmlformats.org/officeDocument/2006/relationships/hyperlink" Target="https://www.archanaskitchen.com/gluten-free-rajgira-burfi-recipe" TargetMode="External"/><Relationship Id="rId868" Type="http://schemas.openxmlformats.org/officeDocument/2006/relationships/hyperlink" Target="http://www.archanaskitchen.com/one-pot-aloo-gobi-sabzi-recipe-using-electric-pressure-cooker" TargetMode="External"/><Relationship Id="rId630" Type="http://schemas.openxmlformats.org/officeDocument/2006/relationships/hyperlink" Target="https://www.archanaskitchen.com/dhaba-style-paneer-butter-masala-recipe" TargetMode="External"/><Relationship Id="rId728" Type="http://schemas.openxmlformats.org/officeDocument/2006/relationships/hyperlink" Target="https://www.archanaskitchen.com/sukhi-dahi-wali-lauki-recipe-yogurt-based-bottle-gourd-sabzi-in-hindi" TargetMode="External"/><Relationship Id="rId935" Type="http://schemas.openxmlformats.org/officeDocument/2006/relationships/hyperlink" Target="https://www.archanaskitchen.com/tadkewali-masoor-dal-recipe-high-protein-masoor-dal-recipe-in-hindi" TargetMode="External"/><Relationship Id="rId64" Type="http://schemas.openxmlformats.org/officeDocument/2006/relationships/hyperlink" Target="http://www.archanaskitchen.com/corn-salad-with-radishes-jalapeno-and-lime-in-delmonte-mint-mayonnaise-recipe" TargetMode="External"/><Relationship Id="rId367" Type="http://schemas.openxmlformats.org/officeDocument/2006/relationships/hyperlink" Target="https://www.archanaskitchen.com/beetroot-and-fig-chutney-recipe-in-hindi" TargetMode="External"/><Relationship Id="rId574" Type="http://schemas.openxmlformats.org/officeDocument/2006/relationships/hyperlink" Target="https://www.archanaskitchen.com/bharwa-lauki-stuffed-bottle-gourd-recipe-in-hindi" TargetMode="External"/><Relationship Id="rId227" Type="http://schemas.openxmlformats.org/officeDocument/2006/relationships/hyperlink" Target="https://www.archanaskitchen.com/vegan-navratan-korma-recipe-in-hindi" TargetMode="External"/><Relationship Id="rId781" Type="http://schemas.openxmlformats.org/officeDocument/2006/relationships/hyperlink" Target="http://www.archanaskitchen.com/khatte-chole-recipe" TargetMode="External"/><Relationship Id="rId879" Type="http://schemas.openxmlformats.org/officeDocument/2006/relationships/hyperlink" Target="https://www.archanaskitchen.com/healthy-vegetable-paratha-rolls-recipe-in-hindi" TargetMode="External"/><Relationship Id="rId434" Type="http://schemas.openxmlformats.org/officeDocument/2006/relationships/hyperlink" Target="https://www.archanaskitchen.com/palak-and-moong-dal-pakodas-recipe" TargetMode="External"/><Relationship Id="rId641" Type="http://schemas.openxmlformats.org/officeDocument/2006/relationships/hyperlink" Target="http://www.archanaskitchen.com/sweet-corn-methi-tomato-rice-recipe" TargetMode="External"/><Relationship Id="rId739" Type="http://schemas.openxmlformats.org/officeDocument/2006/relationships/hyperlink" Target="https://www.archanaskitchen.com/methi-murgh-recipe-chicken-with-fenugreek-leaves-recipe" TargetMode="External"/><Relationship Id="rId280" Type="http://schemas.openxmlformats.org/officeDocument/2006/relationships/hyperlink" Target="https://www.archanaskitchen.com/crispy-aloo-bread-pakora-recipe-roz-ka-khana-with-figaro-olive-oil" TargetMode="External"/><Relationship Id="rId501" Type="http://schemas.openxmlformats.org/officeDocument/2006/relationships/hyperlink" Target="https://www.archanaskitchen.com/mawa-gujiya-with-badam-and-pista-recipe" TargetMode="External"/><Relationship Id="rId75" Type="http://schemas.openxmlformats.org/officeDocument/2006/relationships/hyperlink" Target="http://www.archanaskitchen.com/paneer-satay-recipe-healthy-vegetarian-appetizer" TargetMode="External"/><Relationship Id="rId140" Type="http://schemas.openxmlformats.org/officeDocument/2006/relationships/hyperlink" Target="https://www.archanaskitchen.com/mooli-bhurji-recipe-in-hindi" TargetMode="External"/><Relationship Id="rId378" Type="http://schemas.openxmlformats.org/officeDocument/2006/relationships/hyperlink" Target="http://www.archanaskitchen.com/palak-puri-recipe-crispy-spinach-puri-snack-in-hindi" TargetMode="External"/><Relationship Id="rId585" Type="http://schemas.openxmlformats.org/officeDocument/2006/relationships/hyperlink" Target="https://www.archanaskitchen.com/gawarphali-ki-sabzi-recipe-cluster-beans-curry" TargetMode="External"/><Relationship Id="rId792" Type="http://schemas.openxmlformats.org/officeDocument/2006/relationships/hyperlink" Target="https://www.archanaskitchen.com/palak-patta-chaat-recipe" TargetMode="External"/><Relationship Id="rId806" Type="http://schemas.openxmlformats.org/officeDocument/2006/relationships/hyperlink" Target="http://www.archanaskitchen.com/potato-fenugreek-leaves-stir-fry-recipe-in-hindi" TargetMode="External"/><Relationship Id="rId6" Type="http://schemas.openxmlformats.org/officeDocument/2006/relationships/hyperlink" Target="http://www.archanaskitchen.com/vegan-chickpea-omelette-recipe-spiced-chickpea-flour-pancakes" TargetMode="External"/><Relationship Id="rId238" Type="http://schemas.openxmlformats.org/officeDocument/2006/relationships/hyperlink" Target="https://www.archanaskitchen.com/mutton-dum-biryani-recipe" TargetMode="External"/><Relationship Id="rId445" Type="http://schemas.openxmlformats.org/officeDocument/2006/relationships/hyperlink" Target="http://www.archanaskitchen.com/palak-chole-recipe-in-hindi" TargetMode="External"/><Relationship Id="rId652" Type="http://schemas.openxmlformats.org/officeDocument/2006/relationships/hyperlink" Target="http://www.archanaskitchen.com/dhaniya-pudina-chutney-recipe-in-hindi" TargetMode="External"/><Relationship Id="rId291" Type="http://schemas.openxmlformats.org/officeDocument/2006/relationships/hyperlink" Target="http://www.archanaskitchen.com/mooli-bhurji-recipe" TargetMode="External"/><Relationship Id="rId305" Type="http://schemas.openxmlformats.org/officeDocument/2006/relationships/hyperlink" Target="http://www.archanaskitchen.com/veg-chilli-milli-recipe" TargetMode="External"/><Relationship Id="rId512" Type="http://schemas.openxmlformats.org/officeDocument/2006/relationships/hyperlink" Target="http://www.archanaskitchen.com/achari-aloo-recipe-in-hindi" TargetMode="External"/><Relationship Id="rId86" Type="http://schemas.openxmlformats.org/officeDocument/2006/relationships/hyperlink" Target="http://www.archanaskitchen.com/chole-capsicum-masala-recipe-recipe-in-hindi" TargetMode="External"/><Relationship Id="rId151" Type="http://schemas.openxmlformats.org/officeDocument/2006/relationships/hyperlink" Target="https://www.archanaskitchen.com/potato-achari-recipe-in-hindi" TargetMode="External"/><Relationship Id="rId389" Type="http://schemas.openxmlformats.org/officeDocument/2006/relationships/hyperlink" Target="http://www.archanaskitchen.com/chole-pindi-recipe-spicy-chickpea-curry" TargetMode="External"/><Relationship Id="rId596" Type="http://schemas.openxmlformats.org/officeDocument/2006/relationships/hyperlink" Target="http://www.archanaskitchen.com/whole-wheat-poori-with-aloo-raswala-sabzi-recipe" TargetMode="External"/><Relationship Id="rId817" Type="http://schemas.openxmlformats.org/officeDocument/2006/relationships/hyperlink" Target="http://www.archanaskitchen.com/dum-ka-murgh-lagan-ka-murgh-recipe" TargetMode="External"/><Relationship Id="rId249" Type="http://schemas.openxmlformats.org/officeDocument/2006/relationships/hyperlink" Target="https://www.archanaskitchen.com/easy-creamy-chicken-curry-recipe-in-hindi" TargetMode="External"/><Relationship Id="rId456" Type="http://schemas.openxmlformats.org/officeDocument/2006/relationships/hyperlink" Target="https://www.archanaskitchen.com/urad-ki-sukhi-dal-recipe" TargetMode="External"/><Relationship Id="rId663" Type="http://schemas.openxmlformats.org/officeDocument/2006/relationships/hyperlink" Target="http://www.archanaskitchen.com/capsicum-curry-recipe" TargetMode="External"/><Relationship Id="rId870" Type="http://schemas.openxmlformats.org/officeDocument/2006/relationships/hyperlink" Target="http://www.archanaskitchen.com/paneer-bhurji-gravy-recipe" TargetMode="External"/><Relationship Id="rId13" Type="http://schemas.openxmlformats.org/officeDocument/2006/relationships/hyperlink" Target="https://www.archanaskitchen.com/mukhadi-halwa-recipe-semolina-all-purpose-flour-halwa" TargetMode="External"/><Relationship Id="rId109" Type="http://schemas.openxmlformats.org/officeDocument/2006/relationships/hyperlink" Target="http://www.archanaskitchen.com/carrot-semolina-phirni-recipe" TargetMode="External"/><Relationship Id="rId316" Type="http://schemas.openxmlformats.org/officeDocument/2006/relationships/hyperlink" Target="http://www.archanaskitchen.com/sookhi-moong-palak-dal-recipe-whole-green-moong-gram-with-spinach-in-hindi" TargetMode="External"/><Relationship Id="rId523" Type="http://schemas.openxmlformats.org/officeDocument/2006/relationships/hyperlink" Target="https://www.archanaskitchen.com/whole-wheat-onion-stuffed-kulcha-recipe" TargetMode="External"/><Relationship Id="rId97" Type="http://schemas.openxmlformats.org/officeDocument/2006/relationships/hyperlink" Target="https://www.archanaskitchen.com/baby-corn-and-carrot-subzi-recipe" TargetMode="External"/><Relationship Id="rId730" Type="http://schemas.openxmlformats.org/officeDocument/2006/relationships/hyperlink" Target="https://www.archanaskitchen.com/green-pea-pancake-recipe-matar-ka-cheela" TargetMode="External"/><Relationship Id="rId828" Type="http://schemas.openxmlformats.org/officeDocument/2006/relationships/hyperlink" Target="http://www.archanaskitchen.com/beetroot-aloo-amaranth-leaves-subzi-recipe" TargetMode="External"/><Relationship Id="rId162" Type="http://schemas.openxmlformats.org/officeDocument/2006/relationships/hyperlink" Target="https://www.archanaskitchen.com/tamatar-pyaz-ki-sabzi-recipe-tomato-onion-sabzi" TargetMode="External"/><Relationship Id="rId467" Type="http://schemas.openxmlformats.org/officeDocument/2006/relationships/hyperlink" Target="https://www.archanaskitchen.com/spicy-minced-chicken-keema-balls-curry-recipe" TargetMode="External"/><Relationship Id="rId674" Type="http://schemas.openxmlformats.org/officeDocument/2006/relationships/hyperlink" Target="http://www.archanaskitchen.com/hara-chana-masala-recipe" TargetMode="External"/><Relationship Id="rId881" Type="http://schemas.openxmlformats.org/officeDocument/2006/relationships/hyperlink" Target="http://www.archanaskitchen.com/reshmi-kofta-recipe-in-rich-cashew-gravy" TargetMode="External"/><Relationship Id="rId24" Type="http://schemas.openxmlformats.org/officeDocument/2006/relationships/hyperlink" Target="http://www.archanaskitchen.com/dahi-bhalla-papdi-puri-chaat-recipe" TargetMode="External"/><Relationship Id="rId327" Type="http://schemas.openxmlformats.org/officeDocument/2006/relationships/hyperlink" Target="http://www.archanaskitchen.com/chana-methi-dal-recipe-in-hindi" TargetMode="External"/><Relationship Id="rId534" Type="http://schemas.openxmlformats.org/officeDocument/2006/relationships/hyperlink" Target="http://www.archanaskitchen.com/paneer-shashlik-recipe" TargetMode="External"/><Relationship Id="rId741" Type="http://schemas.openxmlformats.org/officeDocument/2006/relationships/hyperlink" Target="https://www.archanaskitchen.com/kasuri-methi-paneer-sabzi-recipe" TargetMode="External"/><Relationship Id="rId839" Type="http://schemas.openxmlformats.org/officeDocument/2006/relationships/hyperlink" Target="https://www.archanaskitchen.com/broccoli-paratha-recipe" TargetMode="External"/><Relationship Id="rId173" Type="http://schemas.openxmlformats.org/officeDocument/2006/relationships/hyperlink" Target="https://www.archanaskitchen.com/matar-keema-recipe-in-hindi" TargetMode="External"/><Relationship Id="rId380" Type="http://schemas.openxmlformats.org/officeDocument/2006/relationships/hyperlink" Target="http://www.archanaskitchen.com/arbi-shimla-mirch-sabzi-recipe-colocasia-capsicum-sabzi" TargetMode="External"/><Relationship Id="rId601" Type="http://schemas.openxmlformats.org/officeDocument/2006/relationships/hyperlink" Target="https://www.archanaskitchen.com/gondh-panni-recipe-sweet-gum-tree-almond-drink-recipe" TargetMode="External"/><Relationship Id="rId240" Type="http://schemas.openxmlformats.org/officeDocument/2006/relationships/hyperlink" Target="http://www.archanaskitchen.com/aloo-dal-pakoras-recipe" TargetMode="External"/><Relationship Id="rId478" Type="http://schemas.openxmlformats.org/officeDocument/2006/relationships/hyperlink" Target="http://www.archanaskitchen.com/hariyali-chicken-tikka-wrap-recipe" TargetMode="External"/><Relationship Id="rId685" Type="http://schemas.openxmlformats.org/officeDocument/2006/relationships/hyperlink" Target="http://www.archanaskitchen.com/amla-methi-sukhi-sabzi-recipe-healthy-diabetic-sabzi-in-hindi" TargetMode="External"/><Relationship Id="rId892" Type="http://schemas.openxmlformats.org/officeDocument/2006/relationships/hyperlink" Target="http://www.archanaskitchen.com/sweet-potato-fenugreek-leaves-subzi-recipe" TargetMode="External"/><Relationship Id="rId906" Type="http://schemas.openxmlformats.org/officeDocument/2006/relationships/hyperlink" Target="http://www.archanaskitchen.com/broccoli-peanuts-and-oats-tikkis-recipe" TargetMode="External"/><Relationship Id="rId35" Type="http://schemas.openxmlformats.org/officeDocument/2006/relationships/hyperlink" Target="http://www.archanaskitchen.com/baingan-sarson-ka-saag-recipe-in-hindi" TargetMode="External"/><Relationship Id="rId100" Type="http://schemas.openxmlformats.org/officeDocument/2006/relationships/hyperlink" Target="https://www.archanaskitchen.com/onion-thepla-recipe" TargetMode="External"/><Relationship Id="rId338" Type="http://schemas.openxmlformats.org/officeDocument/2006/relationships/hyperlink" Target="https://www.archanaskitchen.com/moong-dal-sookhi-sabzi-recipe" TargetMode="External"/><Relationship Id="rId545" Type="http://schemas.openxmlformats.org/officeDocument/2006/relationships/hyperlink" Target="https://www.archanaskitchen.com/beetroot-spinach-nimki-recipe-namak-para" TargetMode="External"/><Relationship Id="rId752" Type="http://schemas.openxmlformats.org/officeDocument/2006/relationships/hyperlink" Target="https://www.archanaskitchen.com/spicy-soya-bhurji-recipe-north-indian-soya-matar-bhurji" TargetMode="External"/><Relationship Id="rId184" Type="http://schemas.openxmlformats.org/officeDocument/2006/relationships/hyperlink" Target="http://www.archanaskitchen.com/paneer-makhana-gulgule-chaat-recipe-no-onion-no-garlic" TargetMode="External"/><Relationship Id="rId391" Type="http://schemas.openxmlformats.org/officeDocument/2006/relationships/hyperlink" Target="https://www.archanaskitchen.com/carrot-sweet-potato-paratha-recipe" TargetMode="External"/><Relationship Id="rId405" Type="http://schemas.openxmlformats.org/officeDocument/2006/relationships/hyperlink" Target="https://www.archanaskitchen.com/corn-stuffed-paratha-recipe" TargetMode="External"/><Relationship Id="rId612" Type="http://schemas.openxmlformats.org/officeDocument/2006/relationships/hyperlink" Target="https://www.archanaskitchen.com/baked-kachori-aloo-recipe-kolkata-style-club-kachori" TargetMode="External"/><Relationship Id="rId251" Type="http://schemas.openxmlformats.org/officeDocument/2006/relationships/hyperlink" Target="https://www.archanaskitchen.com/lehsuni-pudina-chutney-recipe" TargetMode="External"/><Relationship Id="rId489" Type="http://schemas.openxmlformats.org/officeDocument/2006/relationships/hyperlink" Target="https://www.archanaskitchen.com/keema-bhindi-recipe-okra-minced-meat-curry" TargetMode="External"/><Relationship Id="rId696" Type="http://schemas.openxmlformats.org/officeDocument/2006/relationships/hyperlink" Target="https://www.archanaskitchen.com/dahi-wale-makhane-recipe-lotus-seeds-in-curd-gravy" TargetMode="External"/><Relationship Id="rId917" Type="http://schemas.openxmlformats.org/officeDocument/2006/relationships/hyperlink" Target="http://www.archanaskitchen.com/mixed-vegetable-samosa-recipe-in-hindi" TargetMode="External"/><Relationship Id="rId46" Type="http://schemas.openxmlformats.org/officeDocument/2006/relationships/hyperlink" Target="http://www.archanaskitchen.com/spicy-baby-potatoes-recipe" TargetMode="External"/><Relationship Id="rId349" Type="http://schemas.openxmlformats.org/officeDocument/2006/relationships/hyperlink" Target="https://www.archanaskitchen.com/tawa-tandoori-roti-recipe" TargetMode="External"/><Relationship Id="rId556" Type="http://schemas.openxmlformats.org/officeDocument/2006/relationships/hyperlink" Target="http://www.archanaskitchen.com/vegetarian-malai-kebab-recipe" TargetMode="External"/><Relationship Id="rId763" Type="http://schemas.openxmlformats.org/officeDocument/2006/relationships/hyperlink" Target="https://www.archanaskitchen.com/one-pot-punjabi-rajma-masala-recipe-in-preethi-electric-pressure-cooker-in-hindi" TargetMode="External"/><Relationship Id="rId111" Type="http://schemas.openxmlformats.org/officeDocument/2006/relationships/hyperlink" Target="http://www.archanaskitchen.com/dhaba-style-tawa-pulao-recipe-masala-brown-rice-tawa-pulao" TargetMode="External"/><Relationship Id="rId195" Type="http://schemas.openxmlformats.org/officeDocument/2006/relationships/hyperlink" Target="https://www.archanaskitchen.com/potato-achari-recipe-achari-aloo" TargetMode="External"/><Relationship Id="rId209" Type="http://schemas.openxmlformats.org/officeDocument/2006/relationships/hyperlink" Target="https://www.archanaskitchen.com/no-bake-rice-mawa-cake-recipe-burfi" TargetMode="External"/><Relationship Id="rId416" Type="http://schemas.openxmlformats.org/officeDocument/2006/relationships/hyperlink" Target="https://www.archanaskitchen.com/lahsuni-palak-dal-recipe-spinach-lentil-curry-with-garlic" TargetMode="External"/><Relationship Id="rId623" Type="http://schemas.openxmlformats.org/officeDocument/2006/relationships/hyperlink" Target="https://www.archanaskitchen.com/no-onion-no-garlic-black-eyed-beans-curry-recipe" TargetMode="External"/><Relationship Id="rId830" Type="http://schemas.openxmlformats.org/officeDocument/2006/relationships/hyperlink" Target="https://www.archanaskitchen.com/boondi-and-spring-onion-greens-sabzi-recipe-in-hindi" TargetMode="External"/><Relationship Id="rId928" Type="http://schemas.openxmlformats.org/officeDocument/2006/relationships/hyperlink" Target="http://www.archanaskitchen.com/chickpea-soup-recipe" TargetMode="External"/><Relationship Id="rId57" Type="http://schemas.openxmlformats.org/officeDocument/2006/relationships/hyperlink" Target="https://www.archanaskitchen.com/gulkand-chai-recipe" TargetMode="External"/><Relationship Id="rId262" Type="http://schemas.openxmlformats.org/officeDocument/2006/relationships/hyperlink" Target="https://www.archanaskitchen.com/lauki-paratha-recipe-bottle-gourd-flatbread" TargetMode="External"/><Relationship Id="rId567" Type="http://schemas.openxmlformats.org/officeDocument/2006/relationships/hyperlink" Target="https://www.archanaskitchen.com/shahi-paneer-recipe-in-hindi" TargetMode="External"/><Relationship Id="rId122" Type="http://schemas.openxmlformats.org/officeDocument/2006/relationships/hyperlink" Target="https://www.archanaskitchen.com/kasuri-malai-murgh-recipe" TargetMode="External"/><Relationship Id="rId774" Type="http://schemas.openxmlformats.org/officeDocument/2006/relationships/hyperlink" Target="https://www.archanaskitchen.com/aam-papad-recipe-tasty-mango-bars" TargetMode="External"/><Relationship Id="rId427" Type="http://schemas.openxmlformats.org/officeDocument/2006/relationships/hyperlink" Target="http://www.archanaskitchen.com/banarasi-tamatar-chaat-recipe" TargetMode="External"/><Relationship Id="rId634" Type="http://schemas.openxmlformats.org/officeDocument/2006/relationships/hyperlink" Target="http://www.archanaskitchen.com/patta-gobhi-ki-sabji-recipe-cabbage-tomato-sabzi" TargetMode="External"/><Relationship Id="rId841" Type="http://schemas.openxmlformats.org/officeDocument/2006/relationships/hyperlink" Target="http://www.archanaskitchen.com/gulab-sandesh-recipe-cottage-cheese-flavored-with-rose-water" TargetMode="External"/><Relationship Id="rId273" Type="http://schemas.openxmlformats.org/officeDocument/2006/relationships/hyperlink" Target="https://www.archanaskitchen.com/thai-jasmine-sticky-rice-recipe" TargetMode="External"/><Relationship Id="rId480" Type="http://schemas.openxmlformats.org/officeDocument/2006/relationships/hyperlink" Target="https://www.archanaskitchen.com/dum-ke-shami-kebab-recipe" TargetMode="External"/><Relationship Id="rId701" Type="http://schemas.openxmlformats.org/officeDocument/2006/relationships/hyperlink" Target="https://www.archanaskitchen.com/dhaba-style-tomato-chutney-recipe" TargetMode="External"/><Relationship Id="rId68" Type="http://schemas.openxmlformats.org/officeDocument/2006/relationships/hyperlink" Target="https://www.archanaskitchen.com/sweet-potato-dal-recipe" TargetMode="External"/><Relationship Id="rId133" Type="http://schemas.openxmlformats.org/officeDocument/2006/relationships/hyperlink" Target="https://www.archanaskitchen.com/beans-curry-recipe-in-hindi" TargetMode="External"/><Relationship Id="rId340" Type="http://schemas.openxmlformats.org/officeDocument/2006/relationships/hyperlink" Target="https://www.archanaskitchen.com/pumpkin-dal-with-garlic-tadka-recipe-in-hindi" TargetMode="External"/><Relationship Id="rId578" Type="http://schemas.openxmlformats.org/officeDocument/2006/relationships/hyperlink" Target="https://www.archanaskitchen.com/tofu-capsicum-paratha-recipe-stuffed-tofu-flat-bread" TargetMode="External"/><Relationship Id="rId785" Type="http://schemas.openxmlformats.org/officeDocument/2006/relationships/hyperlink" Target="http://www.archanaskitchen.com/boiled-potato-in-tangy-tomato-sauce-recipe-in-hindi" TargetMode="External"/><Relationship Id="rId200" Type="http://schemas.openxmlformats.org/officeDocument/2006/relationships/hyperlink" Target="https://www.archanaskitchen.com/tamatar-wali-arbi-sabzi-recipe" TargetMode="External"/><Relationship Id="rId438" Type="http://schemas.openxmlformats.org/officeDocument/2006/relationships/hyperlink" Target="http://www.archanaskitchen.com/khatta-meetha-lauki-recipe-tangy-and-sweet-bottle-gourd-curry-recipe" TargetMode="External"/><Relationship Id="rId645" Type="http://schemas.openxmlformats.org/officeDocument/2006/relationships/hyperlink" Target="http://www.archanaskitchen.com/egg-masoor-dal-recipe-lentil-curry-with-eggs-in-hindi" TargetMode="External"/><Relationship Id="rId852" Type="http://schemas.openxmlformats.org/officeDocument/2006/relationships/hyperlink" Target="https://www.archanaskitchen.com/besan-halwa-recipe" TargetMode="External"/><Relationship Id="rId284" Type="http://schemas.openxmlformats.org/officeDocument/2006/relationships/hyperlink" Target="https://www.archanaskitchen.com/aloo-matar-pudina-tikki-recipe-in-hindi" TargetMode="External"/><Relationship Id="rId491" Type="http://schemas.openxmlformats.org/officeDocument/2006/relationships/hyperlink" Target="http://www.archanaskitchen.com/crisp-baked-tandoori-mayo-cheddar-chicken-recipe" TargetMode="External"/><Relationship Id="rId505" Type="http://schemas.openxmlformats.org/officeDocument/2006/relationships/hyperlink" Target="https://www.archanaskitchen.com/matar-poha-recipe-flattened-rice-stir-fry-with-green-peas" TargetMode="External"/><Relationship Id="rId712" Type="http://schemas.openxmlformats.org/officeDocument/2006/relationships/hyperlink" Target="http://www.archanaskitchen.com/mughlai-dum-arbi-recipe" TargetMode="External"/><Relationship Id="rId79" Type="http://schemas.openxmlformats.org/officeDocument/2006/relationships/hyperlink" Target="http://www.archanaskitchen.com/makhana-ki-sabzi-recipe" TargetMode="External"/><Relationship Id="rId144" Type="http://schemas.openxmlformats.org/officeDocument/2006/relationships/hyperlink" Target="http://www.archanaskitchen.com/chatpata-baby-potato-recipe-in-hindi" TargetMode="External"/><Relationship Id="rId589" Type="http://schemas.openxmlformats.org/officeDocument/2006/relationships/hyperlink" Target="http://www.archanaskitchen.com/besan-kela-subzi-recipe-raw-banana-in-gram-flour-and-yogurt-curry-recipe" TargetMode="External"/><Relationship Id="rId796" Type="http://schemas.openxmlformats.org/officeDocument/2006/relationships/hyperlink" Target="https://www.archanaskitchen.com/green-moong-dal-makhani-recipe-in-hindi" TargetMode="External"/><Relationship Id="rId351" Type="http://schemas.openxmlformats.org/officeDocument/2006/relationships/hyperlink" Target="http://www.archanaskitchen.com/broken-wheat-and-green-moong-khichdi-recipe" TargetMode="External"/><Relationship Id="rId449" Type="http://schemas.openxmlformats.org/officeDocument/2006/relationships/hyperlink" Target="https://www.archanaskitchen.com/pineapple-and-semolina-sheera-recipe" TargetMode="External"/><Relationship Id="rId656" Type="http://schemas.openxmlformats.org/officeDocument/2006/relationships/hyperlink" Target="https://www.archanaskitchen.com/dahi-suran-ki-kadhi-recipe-yam-cooked-in-yogurt-curry-recipe-in-hindi" TargetMode="External"/><Relationship Id="rId863" Type="http://schemas.openxmlformats.org/officeDocument/2006/relationships/hyperlink" Target="http://www.archanaskitchen.com/dhania-murgh-makhani-recipe" TargetMode="External"/><Relationship Id="rId211" Type="http://schemas.openxmlformats.org/officeDocument/2006/relationships/hyperlink" Target="http://www.archanaskitchen.com/raw-banana-cutlet-recipe" TargetMode="External"/><Relationship Id="rId295" Type="http://schemas.openxmlformats.org/officeDocument/2006/relationships/hyperlink" Target="https://www.archanaskitchen.com/lehsun-pyaaz-tadkewali-masoor-dal-khichdi-recipe" TargetMode="External"/><Relationship Id="rId309" Type="http://schemas.openxmlformats.org/officeDocument/2006/relationships/hyperlink" Target="https://www.archanaskitchen.com/pudina-moong-dal-recipe-in-hindi" TargetMode="External"/><Relationship Id="rId516" Type="http://schemas.openxmlformats.org/officeDocument/2006/relationships/hyperlink" Target="https://www.archanaskitchen.com/dahi-suran-ki-kadhi-recipe-yam-cooked-in-yogurt-curry-recipe" TargetMode="External"/><Relationship Id="rId723" Type="http://schemas.openxmlformats.org/officeDocument/2006/relationships/hyperlink" Target="https://www.archanaskitchen.com/spicy-baby-potatoes-recipe-in-hindi" TargetMode="External"/><Relationship Id="rId930" Type="http://schemas.openxmlformats.org/officeDocument/2006/relationships/hyperlink" Target="https://www.archanaskitchen.com/rajasthani-hari-mirch-ka-maas-recipe" TargetMode="External"/><Relationship Id="rId155" Type="http://schemas.openxmlformats.org/officeDocument/2006/relationships/hyperlink" Target="http://www.archanaskitchen.com/paneer-bhurji-recipe-with-capsicum-recipe-in-hindi" TargetMode="External"/><Relationship Id="rId362" Type="http://schemas.openxmlformats.org/officeDocument/2006/relationships/hyperlink" Target="http://www.archanaskitchen.com/rajma-saagwala-dry-kidney-beans-and-spinach-stir-fry-recipe-2" TargetMode="External"/><Relationship Id="rId222" Type="http://schemas.openxmlformats.org/officeDocument/2006/relationships/hyperlink" Target="https://www.archanaskitchen.com/paneer-matar-butter-masala-recipe-in-hindi" TargetMode="External"/><Relationship Id="rId667" Type="http://schemas.openxmlformats.org/officeDocument/2006/relationships/hyperlink" Target="https://www.archanaskitchen.com/creamy-phirni-recipe" TargetMode="External"/><Relationship Id="rId874" Type="http://schemas.openxmlformats.org/officeDocument/2006/relationships/hyperlink" Target="http://www.archanaskitchen.com/punjabi-style-creamy-cauliflower-and-peas-curry-recipe-in-hindi" TargetMode="External"/><Relationship Id="rId17" Type="http://schemas.openxmlformats.org/officeDocument/2006/relationships/hyperlink" Target="http://www.archanaskitchen.com/nutty-aloo-paratha-recipe" TargetMode="External"/><Relationship Id="rId527" Type="http://schemas.openxmlformats.org/officeDocument/2006/relationships/hyperlink" Target="http://www.archanaskitchen.com/chicken-dum-biryani-recipe" TargetMode="External"/><Relationship Id="rId734" Type="http://schemas.openxmlformats.org/officeDocument/2006/relationships/hyperlink" Target="http://www.archanaskitchen.com/mathri-north-indian-savoury-snack-recipe" TargetMode="External"/><Relationship Id="rId70" Type="http://schemas.openxmlformats.org/officeDocument/2006/relationships/hyperlink" Target="https://www.archanaskitchen.com/dry-crispy-kurkure-karela-sabzi-recipe" TargetMode="External"/><Relationship Id="rId166" Type="http://schemas.openxmlformats.org/officeDocument/2006/relationships/hyperlink" Target="http://www.archanaskitchen.com/kesar-shahi-tukda-with-rabdi-rabri-recipe-saffron-bread-pudding-with-spiced-milk-custard" TargetMode="External"/><Relationship Id="rId331" Type="http://schemas.openxmlformats.org/officeDocument/2006/relationships/hyperlink" Target="http://www.archanaskitchen.com/pudina-buttermilk-recipe" TargetMode="External"/><Relationship Id="rId373" Type="http://schemas.openxmlformats.org/officeDocument/2006/relationships/hyperlink" Target="http://www.archanaskitchen.com/shahi-paratha-recipe" TargetMode="External"/><Relationship Id="rId429" Type="http://schemas.openxmlformats.org/officeDocument/2006/relationships/hyperlink" Target="http://www.archanaskitchen.com/rose-gulkand-phirni-recipe" TargetMode="External"/><Relationship Id="rId580" Type="http://schemas.openxmlformats.org/officeDocument/2006/relationships/hyperlink" Target="http://www.archanaskitchen.com/dahi-wali-singhade-ki-subzi-recipe" TargetMode="External"/><Relationship Id="rId636" Type="http://schemas.openxmlformats.org/officeDocument/2006/relationships/hyperlink" Target="https://www.archanaskitchen.com/aloo-beetroot-and-baby-corn-mixed-sabzi-recipe" TargetMode="External"/><Relationship Id="rId801" Type="http://schemas.openxmlformats.org/officeDocument/2006/relationships/hyperlink" Target="https://www.archanaskitchen.com/jain-style-dal-makhani-recipe-in-hindi" TargetMode="External"/><Relationship Id="rId1" Type="http://schemas.openxmlformats.org/officeDocument/2006/relationships/hyperlink" Target="http://www.archanaskitchen.com/mini-dal-samosa-curry-recipe" TargetMode="External"/><Relationship Id="rId233" Type="http://schemas.openxmlformats.org/officeDocument/2006/relationships/hyperlink" Target="http://www.archanaskitchen.com/aloo-dum-biryani-potato-pilaf-recipe" TargetMode="External"/><Relationship Id="rId440" Type="http://schemas.openxmlformats.org/officeDocument/2006/relationships/hyperlink" Target="https://www.archanaskitchen.com/dhaba-style-country-chicken-recipe" TargetMode="External"/><Relationship Id="rId678" Type="http://schemas.openxmlformats.org/officeDocument/2006/relationships/hyperlink" Target="https://www.archanaskitchen.com/paneer-kofta-curry-recipe" TargetMode="External"/><Relationship Id="rId843" Type="http://schemas.openxmlformats.org/officeDocument/2006/relationships/hyperlink" Target="http://www.archanaskitchen.com/drumstick-leaves-kadhi-pakoda-recipe" TargetMode="External"/><Relationship Id="rId885" Type="http://schemas.openxmlformats.org/officeDocument/2006/relationships/hyperlink" Target="https://www.archanaskitchen.com/arbi-dahi-wali-sabzi-recipe-in-hindi" TargetMode="External"/><Relationship Id="rId28" Type="http://schemas.openxmlformats.org/officeDocument/2006/relationships/hyperlink" Target="http://www.archanaskitchen.com/aloo-bhey-ki-sabzi-recipe-potato-lotus-stem-curry-kamal-kakdi" TargetMode="External"/><Relationship Id="rId275" Type="http://schemas.openxmlformats.org/officeDocument/2006/relationships/hyperlink" Target="https://www.archanaskitchen.com/soya-keema-masala-recipe" TargetMode="External"/><Relationship Id="rId300" Type="http://schemas.openxmlformats.org/officeDocument/2006/relationships/hyperlink" Target="http://www.archanaskitchen.com/murg-anardana-recipe-pomegranate-chicken-in-yogurt-gravy" TargetMode="External"/><Relationship Id="rId482" Type="http://schemas.openxmlformats.org/officeDocument/2006/relationships/hyperlink" Target="http://www.archanaskitchen.com/raw-mango-dal-fry-recipe-in-hindi" TargetMode="External"/><Relationship Id="rId538" Type="http://schemas.openxmlformats.org/officeDocument/2006/relationships/hyperlink" Target="http://www.archanaskitchen.com/easy-creamy-chicken-curry-recipe" TargetMode="External"/><Relationship Id="rId703" Type="http://schemas.openxmlformats.org/officeDocument/2006/relationships/hyperlink" Target="http://www.archanaskitchen.com/methi-paneer-bhurji-recipe-in-hindi" TargetMode="External"/><Relationship Id="rId745" Type="http://schemas.openxmlformats.org/officeDocument/2006/relationships/hyperlink" Target="https://www.archanaskitchen.com/creamy-dal-makhani-recipe" TargetMode="External"/><Relationship Id="rId910" Type="http://schemas.openxmlformats.org/officeDocument/2006/relationships/hyperlink" Target="https://www.archanaskitchen.com/lauki-thepla-recipe" TargetMode="External"/><Relationship Id="rId81" Type="http://schemas.openxmlformats.org/officeDocument/2006/relationships/hyperlink" Target="http://www.archanaskitchen.com/chole-biryani-recipe-spicy-chana-biryani-recipe" TargetMode="External"/><Relationship Id="rId135" Type="http://schemas.openxmlformats.org/officeDocument/2006/relationships/hyperlink" Target="https://www.archanaskitchen.com/aloo-masala-puri-recipe" TargetMode="External"/><Relationship Id="rId177" Type="http://schemas.openxmlformats.org/officeDocument/2006/relationships/hyperlink" Target="https://www.archanaskitchen.com/dhaba-style-egg-curry-recipe" TargetMode="External"/><Relationship Id="rId342" Type="http://schemas.openxmlformats.org/officeDocument/2006/relationships/hyperlink" Target="https://www.archanaskitchen.com/lobia-kebabs-recipe-black-eyed-bean-patties" TargetMode="External"/><Relationship Id="rId384" Type="http://schemas.openxmlformats.org/officeDocument/2006/relationships/hyperlink" Target="http://www.archanaskitchen.com/pudian-coriander-raita-recipe" TargetMode="External"/><Relationship Id="rId591" Type="http://schemas.openxmlformats.org/officeDocument/2006/relationships/hyperlink" Target="https://www.archanaskitchen.com/carrot-cauliflower-peas-sabzi-recipe-gajar-gobi-matar-sabzi-in-hindi" TargetMode="External"/><Relationship Id="rId605" Type="http://schemas.openxmlformats.org/officeDocument/2006/relationships/hyperlink" Target="https://www.archanaskitchen.com/paneer-kalimirch-recipe-in-hindi" TargetMode="External"/><Relationship Id="rId787" Type="http://schemas.openxmlformats.org/officeDocument/2006/relationships/hyperlink" Target="http://www.archanaskitchen.com/kale-and-vegetable-fried-quinoa-recipe" TargetMode="External"/><Relationship Id="rId812" Type="http://schemas.openxmlformats.org/officeDocument/2006/relationships/hyperlink" Target="http://www.archanaskitchen.com/tofu-methi-paratha-recipe" TargetMode="External"/><Relationship Id="rId202" Type="http://schemas.openxmlformats.org/officeDocument/2006/relationships/hyperlink" Target="https://www.archanaskitchen.com/jowar-garlic-naan-recipe" TargetMode="External"/><Relationship Id="rId244" Type="http://schemas.openxmlformats.org/officeDocument/2006/relationships/hyperlink" Target="https://www.archanaskitchen.com/paneer-kalimirch-recipe-paneer-in-black-pepper-flavored-gravy" TargetMode="External"/><Relationship Id="rId647" Type="http://schemas.openxmlformats.org/officeDocument/2006/relationships/hyperlink" Target="http://www.archanaskitchen.com/khatti-meethi-tinda-masala-recipe" TargetMode="External"/><Relationship Id="rId689" Type="http://schemas.openxmlformats.org/officeDocument/2006/relationships/hyperlink" Target="http://www.archanaskitchen.com/vegan-black-beans-stuffed-paratha-recipe" TargetMode="External"/><Relationship Id="rId854" Type="http://schemas.openxmlformats.org/officeDocument/2006/relationships/hyperlink" Target="https://www.archanaskitchen.com/semiya-kesari-recipe" TargetMode="External"/><Relationship Id="rId896" Type="http://schemas.openxmlformats.org/officeDocument/2006/relationships/hyperlink" Target="https://www.archanaskitchen.com/veg-chilli-milli-recipe-in-hindi" TargetMode="External"/><Relationship Id="rId39" Type="http://schemas.openxmlformats.org/officeDocument/2006/relationships/hyperlink" Target="https://www.archanaskitchen.com/bharwa-pyaz-ki-sabzi-recipe-in-hindi" TargetMode="External"/><Relationship Id="rId286" Type="http://schemas.openxmlformats.org/officeDocument/2006/relationships/hyperlink" Target="https://www.archanaskitchen.com/chatpata-lobia-chaat-recipe-healthy-black-eyed-bean-snack" TargetMode="External"/><Relationship Id="rId451" Type="http://schemas.openxmlformats.org/officeDocument/2006/relationships/hyperlink" Target="https://www.archanaskitchen.com/dry-methi-malai-matar-recipe-in-hindi" TargetMode="External"/><Relationship Id="rId493" Type="http://schemas.openxmlformats.org/officeDocument/2006/relationships/hyperlink" Target="https://www.archanaskitchen.com/kadai-chole-recipe-dry-chickpeas-with-capsicum" TargetMode="External"/><Relationship Id="rId507" Type="http://schemas.openxmlformats.org/officeDocument/2006/relationships/hyperlink" Target="https://www.archanaskitchen.com/pudina-moong-dal-recipe-mint-moong-dal-in-hindi-in-hindi" TargetMode="External"/><Relationship Id="rId549" Type="http://schemas.openxmlformats.org/officeDocument/2006/relationships/hyperlink" Target="http://www.archanaskitchen.com/aloo-patta-gobi-sabzi-recipe-potato-cabbage-sabzi" TargetMode="External"/><Relationship Id="rId714" Type="http://schemas.openxmlformats.org/officeDocument/2006/relationships/hyperlink" Target="http://www.archanaskitchen.com/lehsuni-methi-paneer-recipe-paneer-curry-flavoured-with-fenugreek-and-garlic" TargetMode="External"/><Relationship Id="rId756" Type="http://schemas.openxmlformats.org/officeDocument/2006/relationships/hyperlink" Target="https://www.archanaskitchen.com/mushroom-tikka-masala-dry-recipe" TargetMode="External"/><Relationship Id="rId921" Type="http://schemas.openxmlformats.org/officeDocument/2006/relationships/hyperlink" Target="https://www.archanaskitchen.com/pudina-lassi-recipe-refreshing-pud-lassi-recipe-in-hindi" TargetMode="External"/><Relationship Id="rId50" Type="http://schemas.openxmlformats.org/officeDocument/2006/relationships/hyperlink" Target="http://www.archanaskitchen.com/gawar-phali-masala-sabzi-recipe-cluster-bean-gravy-sabzi" TargetMode="External"/><Relationship Id="rId104" Type="http://schemas.openxmlformats.org/officeDocument/2006/relationships/hyperlink" Target="http://www.archanaskitchen.com/punjabi-sabut-moong-ki-dal-recipe-in-hindi" TargetMode="External"/><Relationship Id="rId146" Type="http://schemas.openxmlformats.org/officeDocument/2006/relationships/hyperlink" Target="http://www.archanaskitchen.com/gajar-ka-halwa-recipe-with-khoya" TargetMode="External"/><Relationship Id="rId188" Type="http://schemas.openxmlformats.org/officeDocument/2006/relationships/hyperlink" Target="https://www.archanaskitchen.com/shakarkandi-ke-gulab-jamun-recipe-sweet-potato-gulab-jamun" TargetMode="External"/><Relationship Id="rId311" Type="http://schemas.openxmlformats.org/officeDocument/2006/relationships/hyperlink" Target="http://www.archanaskitchen.com/dhaba-style-green-moong-dal-tadka-recipe-in-hindi" TargetMode="External"/><Relationship Id="rId353" Type="http://schemas.openxmlformats.org/officeDocument/2006/relationships/hyperlink" Target="http://www.archanaskitchen.com/bathua-aloo-paratha-recipe" TargetMode="External"/><Relationship Id="rId395" Type="http://schemas.openxmlformats.org/officeDocument/2006/relationships/hyperlink" Target="https://www.archanaskitchen.com/kela-besani-sabzi-recipe-in-hindi" TargetMode="External"/><Relationship Id="rId409" Type="http://schemas.openxmlformats.org/officeDocument/2006/relationships/hyperlink" Target="https://www.archanaskitchen.com/palak-matar-recipe-spinach-and-green-peas-curry" TargetMode="External"/><Relationship Id="rId560" Type="http://schemas.openxmlformats.org/officeDocument/2006/relationships/hyperlink" Target="https://www.archanaskitchen.com/peanut-kesar-burfi-recipe" TargetMode="External"/><Relationship Id="rId798" Type="http://schemas.openxmlformats.org/officeDocument/2006/relationships/hyperlink" Target="http://www.archanaskitchen.com/mango-kheer-recipe" TargetMode="External"/><Relationship Id="rId92" Type="http://schemas.openxmlformats.org/officeDocument/2006/relationships/hyperlink" Target="https://www.archanaskitchen.com/achari-masala-powder-recipe-in-hindi" TargetMode="External"/><Relationship Id="rId213" Type="http://schemas.openxmlformats.org/officeDocument/2006/relationships/hyperlink" Target="https://www.archanaskitchen.com/dahi-suran-ki-sabzi-recipe-stir-fried-yam-in-dry-yogurt-curry-recipe" TargetMode="External"/><Relationship Id="rId420" Type="http://schemas.openxmlformats.org/officeDocument/2006/relationships/hyperlink" Target="https://www.archanaskitchen.com/maash-ki-dal-khasgi-recipe-dhaba-style-urad-dal-in-hindi" TargetMode="External"/><Relationship Id="rId616" Type="http://schemas.openxmlformats.org/officeDocument/2006/relationships/hyperlink" Target="https://www.archanaskitchen.com/green-mango-masoor-dal-recipe" TargetMode="External"/><Relationship Id="rId658" Type="http://schemas.openxmlformats.org/officeDocument/2006/relationships/hyperlink" Target="https://www.archanaskitchen.com/punjabi-sabut-moong-ki-dal-recipe-whole-green-lentils-cooked-with-punjabi-spices-in-hindi" TargetMode="External"/><Relationship Id="rId823" Type="http://schemas.openxmlformats.org/officeDocument/2006/relationships/hyperlink" Target="http://www.archanaskitchen.com/fried-barnyard-millet-recipe-fried-samvat-rice" TargetMode="External"/><Relationship Id="rId865" Type="http://schemas.openxmlformats.org/officeDocument/2006/relationships/hyperlink" Target="https://www.archanaskitchen.com/baby-corn-butter-masala-recipe" TargetMode="External"/><Relationship Id="rId255" Type="http://schemas.openxmlformats.org/officeDocument/2006/relationships/hyperlink" Target="https://www.archanaskitchen.com/cranberry-and-prune-chutney-whole-wheat-naan-recipe" TargetMode="External"/><Relationship Id="rId297" Type="http://schemas.openxmlformats.org/officeDocument/2006/relationships/hyperlink" Target="https://www.archanaskitchen.com/delicious-methi-chicken-curry-murgh-methi-curry-recipe" TargetMode="External"/><Relationship Id="rId462" Type="http://schemas.openxmlformats.org/officeDocument/2006/relationships/hyperlink" Target="https://www.archanaskitchen.com/cabbage-chana-dal-sabzi-gobi-chana-dal-recipe" TargetMode="External"/><Relationship Id="rId518" Type="http://schemas.openxmlformats.org/officeDocument/2006/relationships/hyperlink" Target="http://www.archanaskitchen.com/palak-and-peas-kachori-recipe" TargetMode="External"/><Relationship Id="rId725" Type="http://schemas.openxmlformats.org/officeDocument/2006/relationships/hyperlink" Target="https://www.archanaskitchen.com/spicy-tangy-pakodi-chaat-recipe" TargetMode="External"/><Relationship Id="rId932" Type="http://schemas.openxmlformats.org/officeDocument/2006/relationships/hyperlink" Target="http://www.archanaskitchen.com/haleem-ke-kebab-recipe-in-hindi" TargetMode="External"/><Relationship Id="rId115" Type="http://schemas.openxmlformats.org/officeDocument/2006/relationships/hyperlink" Target="https://www.archanaskitchen.com/chana-methi-dal-recipe-fenugreek-split-bengal-gram-curry" TargetMode="External"/><Relationship Id="rId157" Type="http://schemas.openxmlformats.org/officeDocument/2006/relationships/hyperlink" Target="http://www.archanaskitchen.com/mutton-shami-kebab-recipe" TargetMode="External"/><Relationship Id="rId322" Type="http://schemas.openxmlformats.org/officeDocument/2006/relationships/hyperlink" Target="http://www.archanaskitchen.com/tamatari-chole-recipe" TargetMode="External"/><Relationship Id="rId364" Type="http://schemas.openxmlformats.org/officeDocument/2006/relationships/hyperlink" Target="http://www.archanaskitchen.com/murgh-palak-recipe-chicken-in-a-palak-gravy" TargetMode="External"/><Relationship Id="rId767" Type="http://schemas.openxmlformats.org/officeDocument/2006/relationships/hyperlink" Target="http://www.archanaskitchen.com/healthy-veg-lollipop-recipe-with-palak-rajma" TargetMode="External"/><Relationship Id="rId61" Type="http://schemas.openxmlformats.org/officeDocument/2006/relationships/hyperlink" Target="https://www.archanaskitchen.com/sookhi-moong-palak-dal-recipe-whole-green-gram-with-spinach" TargetMode="External"/><Relationship Id="rId199" Type="http://schemas.openxmlformats.org/officeDocument/2006/relationships/hyperlink" Target="https://www.archanaskitchen.com/boondi-ki-kheer-recipe-in-hindi" TargetMode="External"/><Relationship Id="rId571" Type="http://schemas.openxmlformats.org/officeDocument/2006/relationships/hyperlink" Target="http://www.archanaskitchen.com/stuffed-makai-paratha-recipe-corn-and-coriander-stuffed-flat-bread" TargetMode="External"/><Relationship Id="rId627" Type="http://schemas.openxmlformats.org/officeDocument/2006/relationships/hyperlink" Target="http://www.archanaskitchen.com/mutton-galouti-kebab-recipe" TargetMode="External"/><Relationship Id="rId669" Type="http://schemas.openxmlformats.org/officeDocument/2006/relationships/hyperlink" Target="http://www.archanaskitchen.com/singhara-pulao-recipe-water-chestnut-rice-recipe" TargetMode="External"/><Relationship Id="rId834" Type="http://schemas.openxmlformats.org/officeDocument/2006/relationships/hyperlink" Target="http://www.archanaskitchen.com/sev-puri-recipe-papdi-chaat" TargetMode="External"/><Relationship Id="rId876" Type="http://schemas.openxmlformats.org/officeDocument/2006/relationships/hyperlink" Target="http://www.archanaskitchen.com/spinach-corn-sabzi-recipe" TargetMode="External"/><Relationship Id="rId19" Type="http://schemas.openxmlformats.org/officeDocument/2006/relationships/hyperlink" Target="https://www.archanaskitchen.com/sukhi-suran-masala-sabzi-recipe" TargetMode="External"/><Relationship Id="rId224" Type="http://schemas.openxmlformats.org/officeDocument/2006/relationships/hyperlink" Target="https://www.archanaskitchen.com/kesar-pista-kulfi-recipe-indian-icecream-dessert-recipe" TargetMode="External"/><Relationship Id="rId266" Type="http://schemas.openxmlformats.org/officeDocument/2006/relationships/hyperlink" Target="http://www.archanaskitchen.com/ragi-and-atta-paneer-stuffed-paratha-recipe" TargetMode="External"/><Relationship Id="rId431" Type="http://schemas.openxmlformats.org/officeDocument/2006/relationships/hyperlink" Target="http://www.archanaskitchen.com/dal-banjara-recipe-langar-wali-dal-in-hindi" TargetMode="External"/><Relationship Id="rId473" Type="http://schemas.openxmlformats.org/officeDocument/2006/relationships/hyperlink" Target="https://www.archanaskitchen.com/cabbage-capsicum-sabzi-recipe-simla-mirch-patta-gobi-sabzi" TargetMode="External"/><Relationship Id="rId529" Type="http://schemas.openxmlformats.org/officeDocument/2006/relationships/hyperlink" Target="https://www.archanaskitchen.com/matar-butter-masala-recipe" TargetMode="External"/><Relationship Id="rId680" Type="http://schemas.openxmlformats.org/officeDocument/2006/relationships/hyperlink" Target="http://www.archanaskitchen.com/jain-style-corn-palak-recipe-in-hindi" TargetMode="External"/><Relationship Id="rId736" Type="http://schemas.openxmlformats.org/officeDocument/2006/relationships/hyperlink" Target="https://www.archanaskitchen.com/kaddu-simla-mirch-sabzi-recipe-in-hindi" TargetMode="External"/><Relationship Id="rId901" Type="http://schemas.openxmlformats.org/officeDocument/2006/relationships/hyperlink" Target="http://www.archanaskitchen.com/suran-kebab-masala-recipe-yam-in-tomato-onion-gravy" TargetMode="External"/><Relationship Id="rId30" Type="http://schemas.openxmlformats.org/officeDocument/2006/relationships/hyperlink" Target="https://www.archanaskitchen.com/stuffed-bhindi-with-paneer-recipe-in-hindi" TargetMode="External"/><Relationship Id="rId126" Type="http://schemas.openxmlformats.org/officeDocument/2006/relationships/hyperlink" Target="https://www.archanaskitchen.com/arbi-ki-khatta-subzi-recipe-colocasia-in-yoghurt-curry" TargetMode="External"/><Relationship Id="rId168" Type="http://schemas.openxmlformats.org/officeDocument/2006/relationships/hyperlink" Target="https://www.archanaskitchen.com/stir-fried-potatoes-with-broccoli-recipe-aloo-broccoli-sabzi" TargetMode="External"/><Relationship Id="rId333" Type="http://schemas.openxmlformats.org/officeDocument/2006/relationships/hyperlink" Target="https://www.archanaskitchen.com/tamatar-ghost-recipe-mutton-in-tomato-curry" TargetMode="External"/><Relationship Id="rId540" Type="http://schemas.openxmlformats.org/officeDocument/2006/relationships/hyperlink" Target="https://www.archanaskitchen.com/kala-chana-masala-recipe" TargetMode="External"/><Relationship Id="rId778" Type="http://schemas.openxmlformats.org/officeDocument/2006/relationships/hyperlink" Target="https://www.archanaskitchen.com/carrot-capsicum-sabzi-recipe" TargetMode="External"/><Relationship Id="rId72" Type="http://schemas.openxmlformats.org/officeDocument/2006/relationships/hyperlink" Target="https://www.archanaskitchen.com/guilt-free-coconut-barfi-recipe" TargetMode="External"/><Relationship Id="rId375" Type="http://schemas.openxmlformats.org/officeDocument/2006/relationships/hyperlink" Target="http://www.archanaskitchen.com/stuffed-mooli-paratha-recipe-with-radish-greens" TargetMode="External"/><Relationship Id="rId582" Type="http://schemas.openxmlformats.org/officeDocument/2006/relationships/hyperlink" Target="https://www.archanaskitchen.com/palak-gobi-sabzi-recipe-in-hindi" TargetMode="External"/><Relationship Id="rId638" Type="http://schemas.openxmlformats.org/officeDocument/2006/relationships/hyperlink" Target="http://www.archanaskitchen.com/aloo-broccoli-sabzi-recipe-stir-fried-potatoes-broccoli-recipe-in-hindi-in-hindi" TargetMode="External"/><Relationship Id="rId803" Type="http://schemas.openxmlformats.org/officeDocument/2006/relationships/hyperlink" Target="https://www.archanaskitchen.com/uttarakhand-style-black-gram-chainsoo-recipe" TargetMode="External"/><Relationship Id="rId845" Type="http://schemas.openxmlformats.org/officeDocument/2006/relationships/hyperlink" Target="https://www.archanaskitchen.com/rajma-kofta-in-milk-and-poppy-seed-gravy-recipe" TargetMode="External"/><Relationship Id="rId3" Type="http://schemas.openxmlformats.org/officeDocument/2006/relationships/hyperlink" Target="http://www.archanaskitchen.com/kesar-chai-recipe-a-delicious-saffron-flavored-indian-tea" TargetMode="External"/><Relationship Id="rId235" Type="http://schemas.openxmlformats.org/officeDocument/2006/relationships/hyperlink" Target="https://www.archanaskitchen.com/sprouted-moong-chaat-recipe" TargetMode="External"/><Relationship Id="rId277" Type="http://schemas.openxmlformats.org/officeDocument/2006/relationships/hyperlink" Target="http://www.archanaskitchen.com/masaledar-moongphali-til-wale-aloo-recipe" TargetMode="External"/><Relationship Id="rId400" Type="http://schemas.openxmlformats.org/officeDocument/2006/relationships/hyperlink" Target="http://www.archanaskitchen.com/multani-kaali-arbi-recipe-arbi-gravy-style" TargetMode="External"/><Relationship Id="rId442" Type="http://schemas.openxmlformats.org/officeDocument/2006/relationships/hyperlink" Target="http://www.archanaskitchen.com/gobi-aur-kele-kofta-curry-recipe-no-onion-no-garlic" TargetMode="External"/><Relationship Id="rId484" Type="http://schemas.openxmlformats.org/officeDocument/2006/relationships/hyperlink" Target="http://www.archanaskitchen.com/saag-tofu-recipe-tofu-simmered-in-spiced-mustard-spinach-leaves" TargetMode="External"/><Relationship Id="rId705" Type="http://schemas.openxmlformats.org/officeDocument/2006/relationships/hyperlink" Target="https://www.archanaskitchen.com/shahi-bhindi-recipe-in-cashew-nut-gravy-okras-in-cashew-nut-curry-in-hindi" TargetMode="External"/><Relationship Id="rId887" Type="http://schemas.openxmlformats.org/officeDocument/2006/relationships/hyperlink" Target="https://www.archanaskitchen.com/gulkand-seviyan-kheer-recipe" TargetMode="External"/><Relationship Id="rId137" Type="http://schemas.openxmlformats.org/officeDocument/2006/relationships/hyperlink" Target="https://www.archanaskitchen.com/mushroom-curry-recipe-in-hindi" TargetMode="External"/><Relationship Id="rId302" Type="http://schemas.openxmlformats.org/officeDocument/2006/relationships/hyperlink" Target="http://www.archanaskitchen.com/masoor-dal-aur-rajma-masala-recipe" TargetMode="External"/><Relationship Id="rId344" Type="http://schemas.openxmlformats.org/officeDocument/2006/relationships/hyperlink" Target="http://www.archanaskitchen.com/masala-jowar-methi-recipe" TargetMode="External"/><Relationship Id="rId691" Type="http://schemas.openxmlformats.org/officeDocument/2006/relationships/hyperlink" Target="http://www.archanaskitchen.com/chana-methi-dal-recipe-fenugreek-split-bengal-gram-curry-in-hindi" TargetMode="External"/><Relationship Id="rId747" Type="http://schemas.openxmlformats.org/officeDocument/2006/relationships/hyperlink" Target="http://www.archanaskitchen.com/patiala-aloo-recipe-in-hindi" TargetMode="External"/><Relationship Id="rId789" Type="http://schemas.openxmlformats.org/officeDocument/2006/relationships/hyperlink" Target="http://www.archanaskitchen.com/mooli-jowar-ki-roti-recipe-mullangi-kambu-chapathi" TargetMode="External"/><Relationship Id="rId912" Type="http://schemas.openxmlformats.org/officeDocument/2006/relationships/hyperlink" Target="https://www.archanaskitchen.com/lilve-ki-sabzi-recipe-green-chickpea-curry-in-hindi" TargetMode="External"/><Relationship Id="rId41" Type="http://schemas.openxmlformats.org/officeDocument/2006/relationships/hyperlink" Target="https://www.archanaskitchen.com/vegan-navratan-korma-recipe" TargetMode="External"/><Relationship Id="rId83" Type="http://schemas.openxmlformats.org/officeDocument/2006/relationships/hyperlink" Target="http://www.archanaskitchen.com/oats-and-vegetable-kebab-recipe-in-hindi" TargetMode="External"/><Relationship Id="rId179" Type="http://schemas.openxmlformats.org/officeDocument/2006/relationships/hyperlink" Target="https://www.archanaskitchen.com/lobia-masala-recipe-black-eyed-bean-curry-roz-ka-khana-with-figaro-olive-oil-in-hindi" TargetMode="External"/><Relationship Id="rId386" Type="http://schemas.openxmlformats.org/officeDocument/2006/relationships/hyperlink" Target="https://www.archanaskitchen.com/whole-wheat-vegetable-chilla-cheela-recipe" TargetMode="External"/><Relationship Id="rId551" Type="http://schemas.openxmlformats.org/officeDocument/2006/relationships/hyperlink" Target="https://www.archanaskitchen.com/anda-bhurji-recipe-in-hindi" TargetMode="External"/><Relationship Id="rId593" Type="http://schemas.openxmlformats.org/officeDocument/2006/relationships/hyperlink" Target="http://www.archanaskitchen.com/urad-ki-sukhi-dal-recipe-in-hindi" TargetMode="External"/><Relationship Id="rId607" Type="http://schemas.openxmlformats.org/officeDocument/2006/relationships/hyperlink" Target="https://www.archanaskitchen.com/chana-dal-methi-ki-sabzi-recipe-in-hindi-1" TargetMode="External"/><Relationship Id="rId649" Type="http://schemas.openxmlformats.org/officeDocument/2006/relationships/hyperlink" Target="http://www.archanaskitchen.com/mixed-vegetable-jalfrezi-recipe" TargetMode="External"/><Relationship Id="rId814" Type="http://schemas.openxmlformats.org/officeDocument/2006/relationships/hyperlink" Target="https://www.archanaskitchen.com/rose-lassi-recipe" TargetMode="External"/><Relationship Id="rId856" Type="http://schemas.openxmlformats.org/officeDocument/2006/relationships/hyperlink" Target="http://www.archanaskitchen.com/masoor-dal-kebabs-recipe" TargetMode="External"/><Relationship Id="rId190" Type="http://schemas.openxmlformats.org/officeDocument/2006/relationships/hyperlink" Target="http://www.archanaskitchen.com/shikhampuri-kebab-recipe-kebabs-made-with-brown-chickpeas" TargetMode="External"/><Relationship Id="rId204" Type="http://schemas.openxmlformats.org/officeDocument/2006/relationships/hyperlink" Target="http://www.archanaskitchen.com/anar-aloo-pakora-recipe-dry-pomegranate-potato-pakora-in-hindi" TargetMode="External"/><Relationship Id="rId246" Type="http://schemas.openxmlformats.org/officeDocument/2006/relationships/hyperlink" Target="http://www.archanaskitchen.com/pyaaz-ki-sabzi-recipe-in-hindi" TargetMode="External"/><Relationship Id="rId288" Type="http://schemas.openxmlformats.org/officeDocument/2006/relationships/hyperlink" Target="http://www.archanaskitchen.com/singhara-atta-cheela-recipe-no-onion-no-garlic-navratri-fasting-vrat-recipe" TargetMode="External"/><Relationship Id="rId411" Type="http://schemas.openxmlformats.org/officeDocument/2006/relationships/hyperlink" Target="http://www.archanaskitchen.com/kasuri-malai-murgh-tikka-recipe" TargetMode="External"/><Relationship Id="rId453" Type="http://schemas.openxmlformats.org/officeDocument/2006/relationships/hyperlink" Target="http://www.archanaskitchen.com/dahi-suran-ki-sabzi-recipe-stir-fried-yam-in-dry-yogurt-curry-recipe-in-hindi" TargetMode="External"/><Relationship Id="rId509" Type="http://schemas.openxmlformats.org/officeDocument/2006/relationships/hyperlink" Target="http://www.archanaskitchen.com/whole-wheat-naan-recipe" TargetMode="External"/><Relationship Id="rId660" Type="http://schemas.openxmlformats.org/officeDocument/2006/relationships/hyperlink" Target="https://www.archanaskitchen.com/dahi-gujiya-recipe" TargetMode="External"/><Relationship Id="rId898" Type="http://schemas.openxmlformats.org/officeDocument/2006/relationships/hyperlink" Target="https://www.archanaskitchen.com/chocolate-flavoured-7-cup-burfi-recipe" TargetMode="External"/><Relationship Id="rId106" Type="http://schemas.openxmlformats.org/officeDocument/2006/relationships/hyperlink" Target="https://www.archanaskitchen.com/dhaba-style-egg-curry-recipe-in-electric-pressure-cooker-in-hindi" TargetMode="External"/><Relationship Id="rId313" Type="http://schemas.openxmlformats.org/officeDocument/2006/relationships/hyperlink" Target="https://www.archanaskitchen.com/yellow-moong-dal-with-roasted-capsicum-onion-paratha-recipe" TargetMode="External"/><Relationship Id="rId495" Type="http://schemas.openxmlformats.org/officeDocument/2006/relationships/hyperlink" Target="https://www.archanaskitchen.com/hariyali-matar-recipe" TargetMode="External"/><Relationship Id="rId716" Type="http://schemas.openxmlformats.org/officeDocument/2006/relationships/hyperlink" Target="https://www.archanaskitchen.com/sukhi-aloo-sabzi-recipe-in-hindi" TargetMode="External"/><Relationship Id="rId758" Type="http://schemas.openxmlformats.org/officeDocument/2006/relationships/hyperlink" Target="http://www.archanaskitchen.com/aam-ka-panna-recipe-with-jaggery" TargetMode="External"/><Relationship Id="rId923" Type="http://schemas.openxmlformats.org/officeDocument/2006/relationships/hyperlink" Target="http://www.archanaskitchen.com/rose-gulkand-phirni-recipe-in-hindi" TargetMode="External"/><Relationship Id="rId10" Type="http://schemas.openxmlformats.org/officeDocument/2006/relationships/hyperlink" Target="http://www.archanaskitchen.com/murgh-malaiwala-recipe-chicken-in-rich-creamy-gravy" TargetMode="External"/><Relationship Id="rId52" Type="http://schemas.openxmlformats.org/officeDocument/2006/relationships/hyperlink" Target="https://www.archanaskitchen.com/tofu-bhurji-recipe" TargetMode="External"/><Relationship Id="rId94" Type="http://schemas.openxmlformats.org/officeDocument/2006/relationships/hyperlink" Target="http://www.archanaskitchen.com/matar-keema-recipe-green-peas-gravy-with-vegetables" TargetMode="External"/><Relationship Id="rId148" Type="http://schemas.openxmlformats.org/officeDocument/2006/relationships/hyperlink" Target="https://www.archanaskitchen.com/dal-tadka-recipe-flavored-with-lemon-and-coriander" TargetMode="External"/><Relationship Id="rId355" Type="http://schemas.openxmlformats.org/officeDocument/2006/relationships/hyperlink" Target="http://www.archanaskitchen.com/chawli-beans-ajwain-ki-sabzi-recipe-cowpea-beans-stir-fry" TargetMode="External"/><Relationship Id="rId397" Type="http://schemas.openxmlformats.org/officeDocument/2006/relationships/hyperlink" Target="http://www.archanaskitchen.com/restaurant-style-green-peas-masala-recipe" TargetMode="External"/><Relationship Id="rId520" Type="http://schemas.openxmlformats.org/officeDocument/2006/relationships/hyperlink" Target="http://www.archanaskitchen.com/jowar-atta-pyaz-thepla-recipe-sorghum-wheat-onion-thepla" TargetMode="External"/><Relationship Id="rId562" Type="http://schemas.openxmlformats.org/officeDocument/2006/relationships/hyperlink" Target="https://www.archanaskitchen.com/chaas-dahi-vada-recipe-dahi-vada-in-refreshing-buttermilk" TargetMode="External"/><Relationship Id="rId618" Type="http://schemas.openxmlformats.org/officeDocument/2006/relationships/hyperlink" Target="https://www.archanaskitchen.com/coriander-chicken-roast-recipe" TargetMode="External"/><Relationship Id="rId825" Type="http://schemas.openxmlformats.org/officeDocument/2006/relationships/hyperlink" Target="http://www.archanaskitchen.com/puri-for-pani-puri-golgappa-puchka-recipe" TargetMode="External"/><Relationship Id="rId215" Type="http://schemas.openxmlformats.org/officeDocument/2006/relationships/hyperlink" Target="https://www.archanaskitchen.com/tandoori-gobi-tikka-recipe-in-hindi" TargetMode="External"/><Relationship Id="rId257" Type="http://schemas.openxmlformats.org/officeDocument/2006/relationships/hyperlink" Target="http://www.archanaskitchen.com/whole-wheat-methi-garlic-naan-recipe-oven-method-with-yeast" TargetMode="External"/><Relationship Id="rId422" Type="http://schemas.openxmlformats.org/officeDocument/2006/relationships/hyperlink" Target="https://www.archanaskitchen.com/bharwa-karela-makhani-recipe-stuffed-karela-in-gravy" TargetMode="External"/><Relationship Id="rId464" Type="http://schemas.openxmlformats.org/officeDocument/2006/relationships/hyperlink" Target="http://www.archanaskitchen.com/green-soya-and-spinach-curry-recipe-in-hindi" TargetMode="External"/><Relationship Id="rId867" Type="http://schemas.openxmlformats.org/officeDocument/2006/relationships/hyperlink" Target="http://www.archanaskitchen.com/gawar-phali-methi-ki-sabzi-recipe-cluster-beans-methi-sabzi" TargetMode="External"/><Relationship Id="rId299" Type="http://schemas.openxmlformats.org/officeDocument/2006/relationships/hyperlink" Target="https://www.archanaskitchen.com/methi-soya-chunks-dry-sabzi-recipe-in-hindi" TargetMode="External"/><Relationship Id="rId727" Type="http://schemas.openxmlformats.org/officeDocument/2006/relationships/hyperlink" Target="http://www.archanaskitchen.com/egg-masoor-dal-recipe-lentil-curry-with-eggs" TargetMode="External"/><Relationship Id="rId934" Type="http://schemas.openxmlformats.org/officeDocument/2006/relationships/hyperlink" Target="http://www.archanaskitchen.com/stove-top-grilled-and-smoked-tandoori-chicken-recipe" TargetMode="External"/><Relationship Id="rId63" Type="http://schemas.openxmlformats.org/officeDocument/2006/relationships/hyperlink" Target="http://www.archanaskitchen.com/paneer-in-coconut-gravy-recipe" TargetMode="External"/><Relationship Id="rId159" Type="http://schemas.openxmlformats.org/officeDocument/2006/relationships/hyperlink" Target="https://www.archanaskitchen.com/arbi-ka-saag-recipe" TargetMode="External"/><Relationship Id="rId366" Type="http://schemas.openxmlformats.org/officeDocument/2006/relationships/hyperlink" Target="https://www.archanaskitchen.com/murghi-aur-masoor-dal-recipe-bombay-style-chicken-with-red-lentils" TargetMode="External"/><Relationship Id="rId573" Type="http://schemas.openxmlformats.org/officeDocument/2006/relationships/hyperlink" Target="https://www.archanaskitchen.com/shahi-egg-curry-recipe-in-tomato-cashew-gravy" TargetMode="External"/><Relationship Id="rId780" Type="http://schemas.openxmlformats.org/officeDocument/2006/relationships/hyperlink" Target="http://www.archanaskitchen.com/aloo-bhindi-masala-gravy-recipe-potato-bhindi-curry-recipe" TargetMode="External"/><Relationship Id="rId226" Type="http://schemas.openxmlformats.org/officeDocument/2006/relationships/hyperlink" Target="http://www.archanaskitchen.com/dahi-wale-aloo-recipe-in-hindi" TargetMode="External"/><Relationship Id="rId433" Type="http://schemas.openxmlformats.org/officeDocument/2006/relationships/hyperlink" Target="http://www.archanaskitchen.com/methi-mushroom-masala-recipe" TargetMode="External"/><Relationship Id="rId878" Type="http://schemas.openxmlformats.org/officeDocument/2006/relationships/hyperlink" Target="http://www.archanaskitchen.com/kadai-paneer-baby-corn-stir-fry-recipe" TargetMode="External"/><Relationship Id="rId640" Type="http://schemas.openxmlformats.org/officeDocument/2006/relationships/hyperlink" Target="http://www.archanaskitchen.com/masoor-dal-aur-rajma-masala-recipe-in-hindi" TargetMode="External"/><Relationship Id="rId738" Type="http://schemas.openxmlformats.org/officeDocument/2006/relationships/hyperlink" Target="https://www.archanaskitchen.com/surati-jowar-vada-recipe-in-hindi" TargetMode="External"/><Relationship Id="rId74" Type="http://schemas.openxmlformats.org/officeDocument/2006/relationships/hyperlink" Target="https://www.archanaskitchen.com/thandai-shrikhand-tart-recipe" TargetMode="External"/><Relationship Id="rId377" Type="http://schemas.openxmlformats.org/officeDocument/2006/relationships/hyperlink" Target="https://www.archanaskitchen.com/ganne-ke-ras-ki-kheer-recipe-sugarcane-kheer-recipe" TargetMode="External"/><Relationship Id="rId500" Type="http://schemas.openxmlformats.org/officeDocument/2006/relationships/hyperlink" Target="https://www.archanaskitchen.com/lauki-kofta-recipe-non-fried-doodhi-kofta" TargetMode="External"/><Relationship Id="rId584" Type="http://schemas.openxmlformats.org/officeDocument/2006/relationships/hyperlink" Target="https://www.archanaskitchen.com/baked-mathri-recipe-a-delicious-north-indian-snack" TargetMode="External"/><Relationship Id="rId805" Type="http://schemas.openxmlformats.org/officeDocument/2006/relationships/hyperlink" Target="https://www.archanaskitchen.com/tindora-ka-salan-recipe" TargetMode="External"/><Relationship Id="rId5" Type="http://schemas.openxmlformats.org/officeDocument/2006/relationships/hyperlink" Target="http://www.archanaskitchen.com/kaddu-palak-roti-recipe-pumpkin-spinach-flat-bread" TargetMode="External"/><Relationship Id="rId237" Type="http://schemas.openxmlformats.org/officeDocument/2006/relationships/hyperlink" Target="https://www.archanaskitchen.com/thandai-shahi-tukda-recipe" TargetMode="External"/><Relationship Id="rId791" Type="http://schemas.openxmlformats.org/officeDocument/2006/relationships/hyperlink" Target="https://www.archanaskitchen.com/matar-ka-cheela-recipe-in-hindi" TargetMode="External"/><Relationship Id="rId889" Type="http://schemas.openxmlformats.org/officeDocument/2006/relationships/hyperlink" Target="http://www.archanaskitchen.com/methi-soya-chunks-dry-sabzi-recipe" TargetMode="External"/><Relationship Id="rId444" Type="http://schemas.openxmlformats.org/officeDocument/2006/relationships/hyperlink" Target="http://www.archanaskitchen.com/whole-wheat-palak-naan-recipe" TargetMode="External"/><Relationship Id="rId651" Type="http://schemas.openxmlformats.org/officeDocument/2006/relationships/hyperlink" Target="https://www.archanaskitchen.com/dhaba-style-egg-curry-recipe-in-hindi" TargetMode="External"/><Relationship Id="rId749" Type="http://schemas.openxmlformats.org/officeDocument/2006/relationships/hyperlink" Target="https://www.archanaskitchen.com/saunf-wali-hari-gobi-sabzi-recipe-cauliflower-spiced-with-fennel-and-green-chutney" TargetMode="External"/><Relationship Id="rId290" Type="http://schemas.openxmlformats.org/officeDocument/2006/relationships/hyperlink" Target="https://www.archanaskitchen.com/chotti-aloor-dum-recipe-baby-potatoes-in-tomato-gravy" TargetMode="External"/><Relationship Id="rId304" Type="http://schemas.openxmlformats.org/officeDocument/2006/relationships/hyperlink" Target="http://www.archanaskitchen.com/no-onion-and-no-garlic-aloo-gajar-matar-ki-sabzi-recipe" TargetMode="External"/><Relationship Id="rId388" Type="http://schemas.openxmlformats.org/officeDocument/2006/relationships/hyperlink" Target="http://www.archanaskitchen.com/spicy-aloo-naan-recipe" TargetMode="External"/><Relationship Id="rId511" Type="http://schemas.openxmlformats.org/officeDocument/2006/relationships/hyperlink" Target="http://www.archanaskitchen.com/dal-fry-recipe-in-hindi" TargetMode="External"/><Relationship Id="rId609" Type="http://schemas.openxmlformats.org/officeDocument/2006/relationships/hyperlink" Target="https://www.archanaskitchen.com/pineapple-chicken-tikka-recipe" TargetMode="External"/><Relationship Id="rId85" Type="http://schemas.openxmlformats.org/officeDocument/2006/relationships/hyperlink" Target="http://www.archanaskitchen.com/mango-kalakand-recipe" TargetMode="External"/><Relationship Id="rId150" Type="http://schemas.openxmlformats.org/officeDocument/2006/relationships/hyperlink" Target="https://www.archanaskitchen.com/tawa-mushroom-recipe" TargetMode="External"/><Relationship Id="rId595" Type="http://schemas.openxmlformats.org/officeDocument/2006/relationships/hyperlink" Target="https://www.archanaskitchen.com/masoor-dal-makhni-recipe" TargetMode="External"/><Relationship Id="rId816" Type="http://schemas.openxmlformats.org/officeDocument/2006/relationships/hyperlink" Target="https://www.archanaskitchen.com/uttarakhand-mooli-thechua-recipe-radish-salad" TargetMode="External"/><Relationship Id="rId248" Type="http://schemas.openxmlformats.org/officeDocument/2006/relationships/hyperlink" Target="http://www.archanaskitchen.com/delhi-style-fruit-chaat-recipe-homemade-kulle-chaat-of-north-india" TargetMode="External"/><Relationship Id="rId455" Type="http://schemas.openxmlformats.org/officeDocument/2006/relationships/hyperlink" Target="https://www.archanaskitchen.com/palak-makhana-recipe-navratri-fasting-vrat-recipe-2-in-hindi" TargetMode="External"/><Relationship Id="rId662" Type="http://schemas.openxmlformats.org/officeDocument/2006/relationships/hyperlink" Target="http://www.archanaskitchen.com/fusion-spinach-parathas-with-onion-tomato-salsa-recipe" TargetMode="External"/><Relationship Id="rId12" Type="http://schemas.openxmlformats.org/officeDocument/2006/relationships/hyperlink" Target="http://www.archanaskitchen.com/goond-ke-ladoo-recipe-edible-gum-ladoo" TargetMode="External"/><Relationship Id="rId108" Type="http://schemas.openxmlformats.org/officeDocument/2006/relationships/hyperlink" Target="https://www.archanaskitchen.com/vrat-ki-kachori-recipe-savory-buckwheat-paneer-pastry" TargetMode="External"/><Relationship Id="rId315" Type="http://schemas.openxmlformats.org/officeDocument/2006/relationships/hyperlink" Target="http://www.archanaskitchen.com/schezwan-style-chinese-veg-samosa-recipe-roz-ka-khana-with-figaro-olive-oil" TargetMode="External"/><Relationship Id="rId522" Type="http://schemas.openxmlformats.org/officeDocument/2006/relationships/hyperlink" Target="http://www.archanaskitchen.com/methi-malai-matar-recipe-fenugreek-peas-curry-with-cream" TargetMode="External"/><Relationship Id="rId96" Type="http://schemas.openxmlformats.org/officeDocument/2006/relationships/hyperlink" Target="http://www.archanaskitchen.com/turai-pyaz-hari-mirch-ki-sabzi-recipe-ridge-gourd-stir-fry-with-green-chili-and-onions" TargetMode="External"/><Relationship Id="rId161" Type="http://schemas.openxmlformats.org/officeDocument/2006/relationships/hyperlink" Target="http://www.archanaskitchen.com/garlic-dal-recipe-in-hindi" TargetMode="External"/><Relationship Id="rId399" Type="http://schemas.openxmlformats.org/officeDocument/2006/relationships/hyperlink" Target="https://www.archanaskitchen.com/achari-lachha-paratha-recipe-spicy-indian-style-flaky-bread" TargetMode="External"/><Relationship Id="rId827" Type="http://schemas.openxmlformats.org/officeDocument/2006/relationships/hyperlink" Target="http://www.archanaskitchen.com/moong-cheese-kachori-recipe-in-hindi" TargetMode="External"/><Relationship Id="rId259" Type="http://schemas.openxmlformats.org/officeDocument/2006/relationships/hyperlink" Target="http://www.archanaskitchen.com/cabbage-bhurji-recipe-in-hindi" TargetMode="External"/><Relationship Id="rId466" Type="http://schemas.openxmlformats.org/officeDocument/2006/relationships/hyperlink" Target="https://www.archanaskitchen.com/aloo-bajia-potato-bajji-recipe" TargetMode="External"/><Relationship Id="rId673" Type="http://schemas.openxmlformats.org/officeDocument/2006/relationships/hyperlink" Target="https://www.archanaskitchen.com/spinach-foxtail-millet-dhokla-recipe" TargetMode="External"/><Relationship Id="rId880" Type="http://schemas.openxmlformats.org/officeDocument/2006/relationships/hyperlink" Target="https://www.archanaskitchen.com/chole-pindi-recipe-in-hindi" TargetMode="External"/><Relationship Id="rId23" Type="http://schemas.openxmlformats.org/officeDocument/2006/relationships/hyperlink" Target="http://www.archanaskitchen.com/palak-mushroom-gravy-recipe-spinach-mushroom-curry" TargetMode="External"/><Relationship Id="rId119" Type="http://schemas.openxmlformats.org/officeDocument/2006/relationships/hyperlink" Target="https://www.archanaskitchen.com/kachi-tikya-recipe-chicken-in-tomato-gravy-with-potatoes" TargetMode="External"/><Relationship Id="rId326" Type="http://schemas.openxmlformats.org/officeDocument/2006/relationships/hyperlink" Target="http://www.archanaskitchen.com/oats-and-vegetable-kebab-recipe" TargetMode="External"/><Relationship Id="rId533" Type="http://schemas.openxmlformats.org/officeDocument/2006/relationships/hyperlink" Target="https://www.archanaskitchen.com/arbi-gosht-masala-recipe-mutton-arbi-curry-in-electric-pressure-cooker" TargetMode="External"/><Relationship Id="rId740" Type="http://schemas.openxmlformats.org/officeDocument/2006/relationships/hyperlink" Target="https://www.archanaskitchen.com/spicy-chana-chaat-frankie-recipe-in-hindi" TargetMode="External"/><Relationship Id="rId838" Type="http://schemas.openxmlformats.org/officeDocument/2006/relationships/hyperlink" Target="http://www.archanaskitchen.com/parwal-masala-recipe-no-onion-no-garlic-recipe-in-hindi" TargetMode="External"/><Relationship Id="rId172" Type="http://schemas.openxmlformats.org/officeDocument/2006/relationships/hyperlink" Target="http://www.archanaskitchen.com/gobi-ke-kofte-recipe-cauliflower-fritters-in-spicy-gravy-in-hindi" TargetMode="External"/><Relationship Id="rId477" Type="http://schemas.openxmlformats.org/officeDocument/2006/relationships/hyperlink" Target="https://www.archanaskitchen.com/oats-and-black-moong-dal-dahi-vada-recipe" TargetMode="External"/><Relationship Id="rId600" Type="http://schemas.openxmlformats.org/officeDocument/2006/relationships/hyperlink" Target="http://www.archanaskitchen.com/makhmali-rajma-kebab-recipe" TargetMode="External"/><Relationship Id="rId684" Type="http://schemas.openxmlformats.org/officeDocument/2006/relationships/hyperlink" Target="http://www.archanaskitchen.com/achari-aloo-parwal-sabzi-recipe-pointed-gourd-and-potato-stir-fry-in-pickle-spices-in-hindi" TargetMode="External"/><Relationship Id="rId337" Type="http://schemas.openxmlformats.org/officeDocument/2006/relationships/hyperlink" Target="https://www.archanaskitchen.com/creamy-kulfi-kebab-recipe-with-tandoori-mayo-recipe" TargetMode="External"/><Relationship Id="rId891" Type="http://schemas.openxmlformats.org/officeDocument/2006/relationships/hyperlink" Target="http://www.archanaskitchen.com/arbi-dahi-wali-sabzi-recipe" TargetMode="External"/><Relationship Id="rId905" Type="http://schemas.openxmlformats.org/officeDocument/2006/relationships/hyperlink" Target="https://www.archanaskitchen.com/vegan-chickpeas-and-broccoli-curry-recipe-in-hindi" TargetMode="External"/><Relationship Id="rId34" Type="http://schemas.openxmlformats.org/officeDocument/2006/relationships/hyperlink" Target="http://www.archanaskitchen.com/chana-aur-aloo-ki-sookhi-subzi-recipe" TargetMode="External"/><Relationship Id="rId544" Type="http://schemas.openxmlformats.org/officeDocument/2006/relationships/hyperlink" Target="http://www.archanaskitchen.com/yam-kofta-curry-recipe-suran-kofta-curry" TargetMode="External"/><Relationship Id="rId751" Type="http://schemas.openxmlformats.org/officeDocument/2006/relationships/hyperlink" Target="http://www.archanaskitchen.com/kolhapuri-akkha-masoor-dal-recipe-masoor-dal-in-kholapuri-masala" TargetMode="External"/><Relationship Id="rId849" Type="http://schemas.openxmlformats.org/officeDocument/2006/relationships/hyperlink" Target="https://www.archanaskitchen.com/methi-matar-malai-recipe-in-hindi" TargetMode="External"/><Relationship Id="rId183" Type="http://schemas.openxmlformats.org/officeDocument/2006/relationships/hyperlink" Target="https://www.archanaskitchen.com/mumbai-style-pani-puri-recipe" TargetMode="External"/><Relationship Id="rId390" Type="http://schemas.openxmlformats.org/officeDocument/2006/relationships/hyperlink" Target="https://www.archanaskitchen.com/besan-and-green-pea-cheela-recipe" TargetMode="External"/><Relationship Id="rId404" Type="http://schemas.openxmlformats.org/officeDocument/2006/relationships/hyperlink" Target="http://www.archanaskitchen.com/dal-tadka-recipe-flavored-with-lemon-and-coriander-in-hindi" TargetMode="External"/><Relationship Id="rId611" Type="http://schemas.openxmlformats.org/officeDocument/2006/relationships/hyperlink" Target="https://www.archanaskitchen.com/cauliflower-and-soya-chunks-curry-recipe" TargetMode="External"/><Relationship Id="rId250" Type="http://schemas.openxmlformats.org/officeDocument/2006/relationships/hyperlink" Target="https://www.archanaskitchen.com/green-chutney-recipe-coriander-mint-chutney-recipe" TargetMode="External"/><Relationship Id="rId488" Type="http://schemas.openxmlformats.org/officeDocument/2006/relationships/hyperlink" Target="http://www.archanaskitchen.com/kolhapuri-palak-egg-curry-recipe" TargetMode="External"/><Relationship Id="rId695" Type="http://schemas.openxmlformats.org/officeDocument/2006/relationships/hyperlink" Target="https://www.archanaskitchen.com/paneer-do-pyaza-recipe-in-hindi" TargetMode="External"/><Relationship Id="rId709" Type="http://schemas.openxmlformats.org/officeDocument/2006/relationships/hyperlink" Target="http://www.archanaskitchen.com/chatpata-hing-pani-puri-recipe-flavored-asafoetida-pani" TargetMode="External"/><Relationship Id="rId916" Type="http://schemas.openxmlformats.org/officeDocument/2006/relationships/hyperlink" Target="https://www.archanaskitchen.com/sookha-bhujia-bhel-recipe" TargetMode="External"/><Relationship Id="rId45" Type="http://schemas.openxmlformats.org/officeDocument/2006/relationships/hyperlink" Target="https://www.archanaskitchen.com/sweet-spicy-stuffed-paneer-in-kofta-curry-recipe" TargetMode="External"/><Relationship Id="rId110" Type="http://schemas.openxmlformats.org/officeDocument/2006/relationships/hyperlink" Target="https://www.archanaskitchen.com/achari-paneer-masala-recipe-in-hindi" TargetMode="External"/><Relationship Id="rId348" Type="http://schemas.openxmlformats.org/officeDocument/2006/relationships/hyperlink" Target="http://www.archanaskitchen.com/cheesy-aloo-paratha-recipe" TargetMode="External"/><Relationship Id="rId555" Type="http://schemas.openxmlformats.org/officeDocument/2006/relationships/hyperlink" Target="https://www.archanaskitchen.com/healthy-vegetable-paratha-rolls-recipe" TargetMode="External"/><Relationship Id="rId762" Type="http://schemas.openxmlformats.org/officeDocument/2006/relationships/hyperlink" Target="https://www.archanaskitchen.com/dhingri-mutter-recipe-mushrooms-and-peas-spicy-curry" TargetMode="External"/><Relationship Id="rId194" Type="http://schemas.openxmlformats.org/officeDocument/2006/relationships/hyperlink" Target="http://www.archanaskitchen.com/delicious-breakfast-anda-ghotala-recipe-with-butter-pav" TargetMode="External"/><Relationship Id="rId208" Type="http://schemas.openxmlformats.org/officeDocument/2006/relationships/hyperlink" Target="https://www.archanaskitchen.com/dahi-baingan-recipe-brinjal-curry-in-curd-based-gravy" TargetMode="External"/><Relationship Id="rId415" Type="http://schemas.openxmlformats.org/officeDocument/2006/relationships/hyperlink" Target="http://www.archanaskitchen.com/khatti-meethi-palak-khichdi-recipe-spinach_khichdi" TargetMode="External"/><Relationship Id="rId622" Type="http://schemas.openxmlformats.org/officeDocument/2006/relationships/hyperlink" Target="http://www.archanaskitchen.com/tawa-paneer-masala-recipe" TargetMode="External"/><Relationship Id="rId261" Type="http://schemas.openxmlformats.org/officeDocument/2006/relationships/hyperlink" Target="http://www.archanaskitchen.com/dal-kabila-recipe-diabetic-urad-dal-tadka-in-hindi" TargetMode="External"/><Relationship Id="rId499" Type="http://schemas.openxmlformats.org/officeDocument/2006/relationships/hyperlink" Target="https://www.archanaskitchen.com/broccoli-pakora-masala-recipe-broccoli-in-spiced-yogurt-gravy" TargetMode="External"/><Relationship Id="rId927" Type="http://schemas.openxmlformats.org/officeDocument/2006/relationships/hyperlink" Target="http://www.archanaskitchen.com/high-protein-broccoli-and-dill-stuffed-paratha-recipe" TargetMode="External"/><Relationship Id="rId56" Type="http://schemas.openxmlformats.org/officeDocument/2006/relationships/hyperlink" Target="http://www.archanaskitchen.com/kurkuri-bhindi-with-spicy-tomato-yogurt-gravy-recipe" TargetMode="External"/><Relationship Id="rId359" Type="http://schemas.openxmlformats.org/officeDocument/2006/relationships/hyperlink" Target="http://www.archanaskitchen.com/vegetarian-chinese-samosa-recipe" TargetMode="External"/><Relationship Id="rId566" Type="http://schemas.openxmlformats.org/officeDocument/2006/relationships/hyperlink" Target="http://www.archanaskitchen.com/whole-wheat-sonth-ke-ladoo-recipe" TargetMode="External"/><Relationship Id="rId773" Type="http://schemas.openxmlformats.org/officeDocument/2006/relationships/hyperlink" Target="http://www.archanaskitchen.com/nimki-aloo-anardana-curry-recipe-potato-and-nimki-curry" TargetMode="External"/><Relationship Id="rId121" Type="http://schemas.openxmlformats.org/officeDocument/2006/relationships/hyperlink" Target="https://www.archanaskitchen.com/methi-leaves-curry-recipe-in-hindi" TargetMode="External"/><Relationship Id="rId219" Type="http://schemas.openxmlformats.org/officeDocument/2006/relationships/hyperlink" Target="http://www.archanaskitchen.com/rasgulla-custard-pudding-recipe" TargetMode="External"/><Relationship Id="rId426" Type="http://schemas.openxmlformats.org/officeDocument/2006/relationships/hyperlink" Target="http://www.archanaskitchen.com/fish-tandoori-recipe" TargetMode="External"/><Relationship Id="rId633" Type="http://schemas.openxmlformats.org/officeDocument/2006/relationships/hyperlink" Target="https://www.archanaskitchen.com/gol-gappa-chaat-recipe" TargetMode="External"/><Relationship Id="rId840" Type="http://schemas.openxmlformats.org/officeDocument/2006/relationships/hyperlink" Target="https://www.archanaskitchen.com/dahi-wali-dhania-pudina-chutney-recipe-coriander-mint-yogurt-chutney" TargetMode="External"/><Relationship Id="rId938" Type="http://schemas.openxmlformats.org/officeDocument/2006/relationships/hyperlink" Target="https://www.archanaskitchen.com/navrang-dal-recipe-spicy-mixed-lentils-in-hindi" TargetMode="External"/><Relationship Id="rId67" Type="http://schemas.openxmlformats.org/officeDocument/2006/relationships/hyperlink" Target="http://www.archanaskitchen.com/vegan-kofta-curry-recipe" TargetMode="External"/><Relationship Id="rId272" Type="http://schemas.openxmlformats.org/officeDocument/2006/relationships/hyperlink" Target="https://www.archanaskitchen.com/paneer-tikka-pulao-recipe-in-hindi" TargetMode="External"/><Relationship Id="rId577" Type="http://schemas.openxmlformats.org/officeDocument/2006/relationships/hyperlink" Target="http://www.archanaskitchen.com/potato-puff-pastry-recipe" TargetMode="External"/><Relationship Id="rId700" Type="http://schemas.openxmlformats.org/officeDocument/2006/relationships/hyperlink" Target="https://www.archanaskitchen.com/chana-chaat-recipe-chickpea-chat-with-fresh-garden-vegetables" TargetMode="External"/><Relationship Id="rId132" Type="http://schemas.openxmlformats.org/officeDocument/2006/relationships/hyperlink" Target="http://www.archanaskitchen.com/chana-dal-khichdi-recipe" TargetMode="External"/><Relationship Id="rId784" Type="http://schemas.openxmlformats.org/officeDocument/2006/relationships/hyperlink" Target="https://www.archanaskitchen.com/green-moong-dal-cheela-recipe-green-mung-bean-pancakes" TargetMode="External"/><Relationship Id="rId437" Type="http://schemas.openxmlformats.org/officeDocument/2006/relationships/hyperlink" Target="http://www.archanaskitchen.com/kalimirch-aloo-bhindi-recipe-potato-lady-finger-flavoured-with-pepper" TargetMode="External"/><Relationship Id="rId644" Type="http://schemas.openxmlformats.org/officeDocument/2006/relationships/hyperlink" Target="http://www.archanaskitchen.com/masoor-moong-phali-ki-dal-recipe-masoor-dal-with-peanuts-recipe-in-hindi" TargetMode="External"/><Relationship Id="rId851" Type="http://schemas.openxmlformats.org/officeDocument/2006/relationships/hyperlink" Target="https://www.archanaskitchen.com/zarda-pulav-recipe-rice-flavoured-with-nuts-and-saffron" TargetMode="External"/><Relationship Id="rId283" Type="http://schemas.openxmlformats.org/officeDocument/2006/relationships/hyperlink" Target="http://www.archanaskitchen.com/veg-makhanwala-recipe-north-indian-mixed-vegetables-gravy" TargetMode="External"/><Relationship Id="rId490" Type="http://schemas.openxmlformats.org/officeDocument/2006/relationships/hyperlink" Target="http://www.archanaskitchen.com/uttarkhand-style-mixed-bhaddu-dal-recipe" TargetMode="External"/><Relationship Id="rId504" Type="http://schemas.openxmlformats.org/officeDocument/2006/relationships/hyperlink" Target="http://www.archanaskitchen.com/pudina-moong-dal-recipe-mint-moong-dal" TargetMode="External"/><Relationship Id="rId711" Type="http://schemas.openxmlformats.org/officeDocument/2006/relationships/hyperlink" Target="https://www.archanaskitchen.com/vegetable-handi-biryani-recipe" TargetMode="External"/><Relationship Id="rId78" Type="http://schemas.openxmlformats.org/officeDocument/2006/relationships/hyperlink" Target="https://www.archanaskitchen.com/kali-mirchi-singhade-ki-subzi-recipe" TargetMode="External"/><Relationship Id="rId143" Type="http://schemas.openxmlformats.org/officeDocument/2006/relationships/hyperlink" Target="http://www.archanaskitchen.com/chirongi-and-makhane-ki-kheer-recipe" TargetMode="External"/><Relationship Id="rId350" Type="http://schemas.openxmlformats.org/officeDocument/2006/relationships/hyperlink" Target="https://www.archanaskitchen.com/stuffed-capsicum-makhani-recipe" TargetMode="External"/><Relationship Id="rId588" Type="http://schemas.openxmlformats.org/officeDocument/2006/relationships/hyperlink" Target="http://www.archanaskitchen.com/shimla-mirch-ki-launji-recipe" TargetMode="External"/><Relationship Id="rId795" Type="http://schemas.openxmlformats.org/officeDocument/2006/relationships/hyperlink" Target="http://www.archanaskitchen.com/shakarkandi-malpua-recipe-sweet-potato-malpua" TargetMode="External"/><Relationship Id="rId809" Type="http://schemas.openxmlformats.org/officeDocument/2006/relationships/hyperlink" Target="http://www.archanaskitchen.com/gawar-phali-masala-sabzi-recipe-cluster-beans-gravy-sabzi-in-hindi" TargetMode="External"/><Relationship Id="rId9" Type="http://schemas.openxmlformats.org/officeDocument/2006/relationships/hyperlink" Target="http://www.archanaskitchen.com/paneer-and-green-peas-paratha-recipe-in-hindi" TargetMode="External"/><Relationship Id="rId210" Type="http://schemas.openxmlformats.org/officeDocument/2006/relationships/hyperlink" Target="http://www.archanaskitchen.com/tangy-and-sweet-bottle-gourd-curry-recipe-in-hindi" TargetMode="External"/><Relationship Id="rId448" Type="http://schemas.openxmlformats.org/officeDocument/2006/relationships/hyperlink" Target="http://www.archanaskitchen.com/spinach-paneer-kofta-curry-recipe" TargetMode="External"/><Relationship Id="rId655" Type="http://schemas.openxmlformats.org/officeDocument/2006/relationships/hyperlink" Target="http://www.archanaskitchen.com/delicious-dal-makhani-recipe-without-onion-and-garlic" TargetMode="External"/><Relationship Id="rId862" Type="http://schemas.openxmlformats.org/officeDocument/2006/relationships/hyperlink" Target="http://www.archanaskitchen.com/achaari-aloo-gobi-recipe-cauliflower-in-pickling-spices-indian-vegetarian" TargetMode="External"/><Relationship Id="rId294" Type="http://schemas.openxmlformats.org/officeDocument/2006/relationships/hyperlink" Target="http://www.archanaskitchen.com/green-beans-egg-scramble-recipe-in-hindi" TargetMode="External"/><Relationship Id="rId308" Type="http://schemas.openxmlformats.org/officeDocument/2006/relationships/hyperlink" Target="https://www.archanaskitchen.com/paneer-kulcha-recipe-cottage-cheese-stuffed-leavened-flat-bread" TargetMode="External"/><Relationship Id="rId515" Type="http://schemas.openxmlformats.org/officeDocument/2006/relationships/hyperlink" Target="https://www.archanaskitchen.com/hare-chane-ka-pulav-recipe" TargetMode="External"/><Relationship Id="rId722" Type="http://schemas.openxmlformats.org/officeDocument/2006/relationships/hyperlink" Target="http://www.archanaskitchen.com/spicy-masaledar-aloo-gobi-beans-tawa-sabzi-recipe" TargetMode="External"/><Relationship Id="rId89" Type="http://schemas.openxmlformats.org/officeDocument/2006/relationships/hyperlink" Target="https://www.archanaskitchen.com/chatpata-rajma-salad-recipe-kidney-beans-salad-recipe" TargetMode="External"/><Relationship Id="rId154" Type="http://schemas.openxmlformats.org/officeDocument/2006/relationships/hyperlink" Target="https://www.archanaskitchen.com/thandai-flavored-rice-kheer-recipe" TargetMode="External"/><Relationship Id="rId361" Type="http://schemas.openxmlformats.org/officeDocument/2006/relationships/hyperlink" Target="http://www.archanaskitchen.com/roat-recipe-uttarakhand-style-sweetened-flatbread" TargetMode="External"/><Relationship Id="rId599" Type="http://schemas.openxmlformats.org/officeDocument/2006/relationships/hyperlink" Target="https://www.archanaskitchen.com/cabbage-capsicum-sabzi-recipe-simla-mirch-patta-gobi-sabzi-in-hindi" TargetMode="External"/><Relationship Id="rId459" Type="http://schemas.openxmlformats.org/officeDocument/2006/relationships/hyperlink" Target="https://www.archanaskitchen.com/hariyali-paneer-tikka-masala-gravy-recipe-no-onion-no-garlic-recipe-in-hindi" TargetMode="External"/><Relationship Id="rId666" Type="http://schemas.openxmlformats.org/officeDocument/2006/relationships/hyperlink" Target="https://www.archanaskitchen.com/north-indian-style-green-raw-papaya-curry-recipe" TargetMode="External"/><Relationship Id="rId873" Type="http://schemas.openxmlformats.org/officeDocument/2006/relationships/hyperlink" Target="http://www.archanaskitchen.com/dry-fruit-burfi-recipe-with-gulkand-diwali-mithai" TargetMode="External"/><Relationship Id="rId16" Type="http://schemas.openxmlformats.org/officeDocument/2006/relationships/hyperlink" Target="https://www.archanaskitchen.com/dahi-wale-paneer-recipe-paneer-in-a-curd-gravy" TargetMode="External"/><Relationship Id="rId221" Type="http://schemas.openxmlformats.org/officeDocument/2006/relationships/hyperlink" Target="http://www.archanaskitchen.com/aloo-gobi-recipe-potato-and-cauliflower-dry-curry" TargetMode="External"/><Relationship Id="rId319" Type="http://schemas.openxmlformats.org/officeDocument/2006/relationships/hyperlink" Target="http://www.archanaskitchen.com/bitter-gourd-peel-puri-recipe" TargetMode="External"/><Relationship Id="rId526" Type="http://schemas.openxmlformats.org/officeDocument/2006/relationships/hyperlink" Target="http://www.archanaskitchen.com/aamras-recipe-ripe-mango-ras-in-hindi" TargetMode="External"/><Relationship Id="rId733" Type="http://schemas.openxmlformats.org/officeDocument/2006/relationships/hyperlink" Target="http://www.archanaskitchen.com/murgh-masala-recipe-chicken-legs-in-a-spicy-sauce" TargetMode="External"/><Relationship Id="rId165" Type="http://schemas.openxmlformats.org/officeDocument/2006/relationships/hyperlink" Target="https://www.archanaskitchen.com/wheat-rava-halwa-recipe" TargetMode="External"/><Relationship Id="rId372" Type="http://schemas.openxmlformats.org/officeDocument/2006/relationships/hyperlink" Target="https://www.archanaskitchen.com/dhaba-mutton-recipe-spicy-mutton-gravy" TargetMode="External"/><Relationship Id="rId677" Type="http://schemas.openxmlformats.org/officeDocument/2006/relationships/hyperlink" Target="https://www.archanaskitchen.com/vegan-chickpeas-and-broccoli-curry-recipe" TargetMode="External"/><Relationship Id="rId800" Type="http://schemas.openxmlformats.org/officeDocument/2006/relationships/hyperlink" Target="https://www.archanaskitchen.com/paneer-shashlik-recipe-in-hindi" TargetMode="External"/><Relationship Id="rId232" Type="http://schemas.openxmlformats.org/officeDocument/2006/relationships/hyperlink" Target="https://www.archanaskitchen.com/amla-mirchi-ka-achari-subzi-recipe-gooseberry-green-chilli-subzi" TargetMode="External"/><Relationship Id="rId884" Type="http://schemas.openxmlformats.org/officeDocument/2006/relationships/hyperlink" Target="https://www.archanaskitchen.com/cauliflower-paneer-kofta-curry-recipe" TargetMode="External"/><Relationship Id="rId27" Type="http://schemas.openxmlformats.org/officeDocument/2006/relationships/hyperlink" Target="http://www.archanaskitchen.com/dahi-wale-aloo-recipe-indian-yogurt-based-potato-curry" TargetMode="External"/><Relationship Id="rId537" Type="http://schemas.openxmlformats.org/officeDocument/2006/relationships/hyperlink" Target="http://www.archanaskitchen.com/matar-millet-paulo-recipe-peas-paulo-recipe" TargetMode="External"/><Relationship Id="rId744" Type="http://schemas.openxmlformats.org/officeDocument/2006/relationships/hyperlink" Target="https://www.archanaskitchen.com/dum-arbi-recipe-in-hindi" TargetMode="External"/><Relationship Id="rId80" Type="http://schemas.openxmlformats.org/officeDocument/2006/relationships/hyperlink" Target="http://www.archanaskitchen.com/achari-gobi-shimla-mirch-ki-sabzi-recipe-capsicum-and-cauliflower-sabzi" TargetMode="External"/><Relationship Id="rId176" Type="http://schemas.openxmlformats.org/officeDocument/2006/relationships/hyperlink" Target="https://www.archanaskitchen.com/amritsari-fish-gravy-recipe" TargetMode="External"/><Relationship Id="rId383" Type="http://schemas.openxmlformats.org/officeDocument/2006/relationships/hyperlink" Target="http://www.archanaskitchen.com/indian-style-black-chickpea-salad-recipe" TargetMode="External"/><Relationship Id="rId590" Type="http://schemas.openxmlformats.org/officeDocument/2006/relationships/hyperlink" Target="http://www.archanaskitchen.com/sweet-corn-and-capsicum-gravy-recipe" TargetMode="External"/><Relationship Id="rId604" Type="http://schemas.openxmlformats.org/officeDocument/2006/relationships/hyperlink" Target="http://www.archanaskitchen.com/spicy-daliya-pulav-recipe" TargetMode="External"/><Relationship Id="rId811" Type="http://schemas.openxmlformats.org/officeDocument/2006/relationships/hyperlink" Target="http://www.archanaskitchen.com/palak-makhana-recipe-navaratri-fasting-vrat-recipe" TargetMode="External"/><Relationship Id="rId243" Type="http://schemas.openxmlformats.org/officeDocument/2006/relationships/hyperlink" Target="https://www.archanaskitchen.com/shahi-dal-recipe" TargetMode="External"/><Relationship Id="rId450" Type="http://schemas.openxmlformats.org/officeDocument/2006/relationships/hyperlink" Target="http://www.archanaskitchen.com/chicken-meatballs-in-a-makhni-gravy-recipe" TargetMode="External"/><Relationship Id="rId688" Type="http://schemas.openxmlformats.org/officeDocument/2006/relationships/hyperlink" Target="https://www.archanaskitchen.com/cabbage-tomato-sabzi-recipe-in-hindi" TargetMode="External"/><Relationship Id="rId895" Type="http://schemas.openxmlformats.org/officeDocument/2006/relationships/hyperlink" Target="https://www.archanaskitchen.com/kacha-kela-bhindi-recipe" TargetMode="External"/><Relationship Id="rId909" Type="http://schemas.openxmlformats.org/officeDocument/2006/relationships/hyperlink" Target="http://www.archanaskitchen.com/green-peas-potato-and-paneer-tikkis-recipe" TargetMode="External"/><Relationship Id="rId38" Type="http://schemas.openxmlformats.org/officeDocument/2006/relationships/hyperlink" Target="http://www.archanaskitchen.com/oats-and-whole-wheat-kachori-stuffed-with-peas-recipe" TargetMode="External"/><Relationship Id="rId103" Type="http://schemas.openxmlformats.org/officeDocument/2006/relationships/hyperlink" Target="http://www.archanaskitchen.com/bhindi-masala-recipe-for-biryani-lady-finger-in-tomato-onion-gravy" TargetMode="External"/><Relationship Id="rId310" Type="http://schemas.openxmlformats.org/officeDocument/2006/relationships/hyperlink" Target="http://www.archanaskitchen.com/moong-dal-sookhi-sabzi-recipe-in-hindi" TargetMode="External"/><Relationship Id="rId548" Type="http://schemas.openxmlformats.org/officeDocument/2006/relationships/hyperlink" Target="https://www.archanaskitchen.com/kaju-butter-masala-recipe" TargetMode="External"/><Relationship Id="rId755" Type="http://schemas.openxmlformats.org/officeDocument/2006/relationships/hyperlink" Target="https://www.archanaskitchen.com/pineapple-paneer-tikka-recipe" TargetMode="External"/><Relationship Id="rId91" Type="http://schemas.openxmlformats.org/officeDocument/2006/relationships/hyperlink" Target="https://www.archanaskitchen.com/mixed-millet-phulka-recipe-ragi-jowar-bajra-wheat-phulka" TargetMode="External"/><Relationship Id="rId187" Type="http://schemas.openxmlformats.org/officeDocument/2006/relationships/hyperlink" Target="https://www.archanaskitchen.com/aloo-palak-sabzi-recipe-in-hindi" TargetMode="External"/><Relationship Id="rId394" Type="http://schemas.openxmlformats.org/officeDocument/2006/relationships/hyperlink" Target="https://www.archanaskitchen.com/tandoori-aloo-tikka-recipe-indian-spiced-roasted-smoked-potatoes" TargetMode="External"/><Relationship Id="rId408" Type="http://schemas.openxmlformats.org/officeDocument/2006/relationships/hyperlink" Target="http://www.archanaskitchen.com/nagori-puri-recipe-semolina-puri" TargetMode="External"/><Relationship Id="rId615" Type="http://schemas.openxmlformats.org/officeDocument/2006/relationships/hyperlink" Target="https://www.archanaskitchen.com/tandoori-paneer-tikka-masala-recipe" TargetMode="External"/><Relationship Id="rId822" Type="http://schemas.openxmlformats.org/officeDocument/2006/relationships/hyperlink" Target="http://www.archanaskitchen.com/gobi-and-soya-keema-recipe-in-hindi" TargetMode="External"/><Relationship Id="rId254" Type="http://schemas.openxmlformats.org/officeDocument/2006/relationships/hyperlink" Target="http://www.archanaskitchen.com/amritsari-ajwaini-paneer-recipe-in-hindi" TargetMode="External"/><Relationship Id="rId699" Type="http://schemas.openxmlformats.org/officeDocument/2006/relationships/hyperlink" Target="http://www.archanaskitchen.com/aloo-dal-pakoras-recipe-in-hindi" TargetMode="External"/><Relationship Id="rId49" Type="http://schemas.openxmlformats.org/officeDocument/2006/relationships/hyperlink" Target="https://www.archanaskitchen.com/papaya-and-carrot-halwa-recipe" TargetMode="External"/><Relationship Id="rId114" Type="http://schemas.openxmlformats.org/officeDocument/2006/relationships/hyperlink" Target="https://www.archanaskitchen.com/palak-pakora-recipe-made-in-kuzhi-paniyaram-pan-in-hindi" TargetMode="External"/><Relationship Id="rId461" Type="http://schemas.openxmlformats.org/officeDocument/2006/relationships/hyperlink" Target="http://www.archanaskitchen.com/phool-makhana-kheer-recipe-sweetened-with-jaggery" TargetMode="External"/><Relationship Id="rId559" Type="http://schemas.openxmlformats.org/officeDocument/2006/relationships/hyperlink" Target="http://www.archanaskitchen.com/baby-corn-and-tomato-mixed-rice-recipe" TargetMode="External"/><Relationship Id="rId766" Type="http://schemas.openxmlformats.org/officeDocument/2006/relationships/hyperlink" Target="http://www.archanaskitchen.com/mashed-peas-recipe" TargetMode="External"/><Relationship Id="rId198" Type="http://schemas.openxmlformats.org/officeDocument/2006/relationships/hyperlink" Target="https://www.archanaskitchen.com/jain-style-dal-makhani-recipe" TargetMode="External"/><Relationship Id="rId321" Type="http://schemas.openxmlformats.org/officeDocument/2006/relationships/hyperlink" Target="https://www.archanaskitchen.com/parwal-ki-mithai-recipe-pointed-gourd-sweet" TargetMode="External"/><Relationship Id="rId419" Type="http://schemas.openxmlformats.org/officeDocument/2006/relationships/hyperlink" Target="https://www.archanaskitchen.com/moong-dal-tadka-recipe-in-hindi" TargetMode="External"/><Relationship Id="rId626" Type="http://schemas.openxmlformats.org/officeDocument/2006/relationships/hyperlink" Target="https://www.archanaskitchen.com/ram-ladoo-recipe-gul-gule-street-food-of-delhi" TargetMode="External"/><Relationship Id="rId833" Type="http://schemas.openxmlformats.org/officeDocument/2006/relationships/hyperlink" Target="https://www.archanaskitchen.com/achari-paneer-recipe-spicy-pickled-paneer-gravy" TargetMode="External"/><Relationship Id="rId265" Type="http://schemas.openxmlformats.org/officeDocument/2006/relationships/hyperlink" Target="https://www.archanaskitchen.com/phulka-recipe-roti-chapati-puffed-indian-bread-in-hindi" TargetMode="External"/><Relationship Id="rId472" Type="http://schemas.openxmlformats.org/officeDocument/2006/relationships/hyperlink" Target="https://www.archanaskitchen.com/kolhapuri-palak-egg-curry-recipe-in-hindi" TargetMode="External"/><Relationship Id="rId900" Type="http://schemas.openxmlformats.org/officeDocument/2006/relationships/hyperlink" Target="http://www.archanaskitchen.com/navrang-dal-recipe-spicy-mixed-lentils" TargetMode="External"/><Relationship Id="rId125" Type="http://schemas.openxmlformats.org/officeDocument/2006/relationships/hyperlink" Target="https://www.archanaskitchen.com/rajgira-ki-kheer-recipe" TargetMode="External"/><Relationship Id="rId332" Type="http://schemas.openxmlformats.org/officeDocument/2006/relationships/hyperlink" Target="https://www.archanaskitchen.com/chickpea-soup-recipe-in-hindi" TargetMode="External"/><Relationship Id="rId777" Type="http://schemas.openxmlformats.org/officeDocument/2006/relationships/hyperlink" Target="https://www.archanaskitchen.com/masoor-dal-makhani-recipe-in-hindi" TargetMode="External"/><Relationship Id="rId637" Type="http://schemas.openxmlformats.org/officeDocument/2006/relationships/hyperlink" Target="https://www.archanaskitchen.com/paneer-butter-masala-recipe-in-hindi" TargetMode="External"/><Relationship Id="rId844" Type="http://schemas.openxmlformats.org/officeDocument/2006/relationships/hyperlink" Target="https://www.archanaskitchen.com/suran-ki-sabzi-recipe-jimikand-masala-sabzi-recipe" TargetMode="External"/><Relationship Id="rId276" Type="http://schemas.openxmlformats.org/officeDocument/2006/relationships/hyperlink" Target="http://www.archanaskitchen.com/methi-chaman-recipe-paneer-in-dark-leafy-greens-based-gravy" TargetMode="External"/><Relationship Id="rId483" Type="http://schemas.openxmlformats.org/officeDocument/2006/relationships/hyperlink" Target="http://www.archanaskitchen.com/mushroom-do-pyaza-recipe" TargetMode="External"/><Relationship Id="rId690" Type="http://schemas.openxmlformats.org/officeDocument/2006/relationships/hyperlink" Target="http://www.archanaskitchen.com/sukha-kala-chana-masala-recipe-ashtami-prasad" TargetMode="External"/><Relationship Id="rId704" Type="http://schemas.openxmlformats.org/officeDocument/2006/relationships/hyperlink" Target="https://www.archanaskitchen.com/paan-matka-kulfi-recipe" TargetMode="External"/><Relationship Id="rId911" Type="http://schemas.openxmlformats.org/officeDocument/2006/relationships/hyperlink" Target="https://www.archanaskitchen.com/khajoor-imli-ki-chutney-with-panch-phoran-masala-recipe" TargetMode="External"/><Relationship Id="rId40" Type="http://schemas.openxmlformats.org/officeDocument/2006/relationships/hyperlink" Target="http://www.archanaskitchen.com/aam-panna-pani-puri-recipe" TargetMode="External"/><Relationship Id="rId136" Type="http://schemas.openxmlformats.org/officeDocument/2006/relationships/hyperlink" Target="http://www.archanaskitchen.com/baked-paneer-corn-kebab-recipe" TargetMode="External"/><Relationship Id="rId343" Type="http://schemas.openxmlformats.org/officeDocument/2006/relationships/hyperlink" Target="https://www.archanaskitchen.com/dubki-wale-aloo-recipe-potatoes-in-a-spicy-north-indian-gravy" TargetMode="External"/><Relationship Id="rId550" Type="http://schemas.openxmlformats.org/officeDocument/2006/relationships/hyperlink" Target="http://www.archanaskitchen.com/stuffed-matar-gobi-paratha-recipe-green-pea-cauliflower-flat-bread" TargetMode="External"/><Relationship Id="rId788" Type="http://schemas.openxmlformats.org/officeDocument/2006/relationships/hyperlink" Target="http://www.archanaskitchen.com/makai-ka-cheela-recipe-delicious-corn-cheela-recipe" TargetMode="External"/><Relationship Id="rId203" Type="http://schemas.openxmlformats.org/officeDocument/2006/relationships/hyperlink" Target="https://www.archanaskitchen.com/kale-chane-ki-kadhi-recipe" TargetMode="External"/><Relationship Id="rId648" Type="http://schemas.openxmlformats.org/officeDocument/2006/relationships/hyperlink" Target="https://www.archanaskitchen.com/masoor-moong-phali-ki-dal-recipe-masoor-dal-with-peanuts-recipe" TargetMode="External"/><Relationship Id="rId855" Type="http://schemas.openxmlformats.org/officeDocument/2006/relationships/hyperlink" Target="https://www.archanaskitchen.com/khatta-meetha-tamaatar-sabzi-recipe" TargetMode="External"/><Relationship Id="rId287" Type="http://schemas.openxmlformats.org/officeDocument/2006/relationships/hyperlink" Target="http://www.archanaskitchen.com/indori-poha-recipe" TargetMode="External"/><Relationship Id="rId410" Type="http://schemas.openxmlformats.org/officeDocument/2006/relationships/hyperlink" Target="https://www.archanaskitchen.com/angoor-raita-recipe" TargetMode="External"/><Relationship Id="rId494" Type="http://schemas.openxmlformats.org/officeDocument/2006/relationships/hyperlink" Target="https://www.archanaskitchen.com/cauliflower-potato-stir-fry-with-nigella-seeds-recipe-in-hindi" TargetMode="External"/><Relationship Id="rId508" Type="http://schemas.openxmlformats.org/officeDocument/2006/relationships/hyperlink" Target="http://www.archanaskitchen.com/delhi-style-matar-chaat-matra-recipe-spicy-tangy-dry-green-peas-curry-curry-recipe" TargetMode="External"/><Relationship Id="rId715" Type="http://schemas.openxmlformats.org/officeDocument/2006/relationships/hyperlink" Target="https://www.archanaskitchen.com/pumpkin-dal-with-garlic-tadka-recipe" TargetMode="External"/><Relationship Id="rId922" Type="http://schemas.openxmlformats.org/officeDocument/2006/relationships/hyperlink" Target="https://www.archanaskitchen.com/surati-jowar-vada-recipe" TargetMode="External"/><Relationship Id="rId147" Type="http://schemas.openxmlformats.org/officeDocument/2006/relationships/hyperlink" Target="https://www.archanaskitchen.com/garlic-red-chicken-gravy-recipe" TargetMode="External"/><Relationship Id="rId354" Type="http://schemas.openxmlformats.org/officeDocument/2006/relationships/hyperlink" Target="http://www.archanaskitchen.com/saffron-pilaf-recipe-kesar-flavoured-rice-in-hindi" TargetMode="External"/><Relationship Id="rId799" Type="http://schemas.openxmlformats.org/officeDocument/2006/relationships/hyperlink" Target="https://www.archanaskitchen.com/anar-aloo-koftas-recipe-pomegranate-potato-fritters" TargetMode="External"/><Relationship Id="rId51" Type="http://schemas.openxmlformats.org/officeDocument/2006/relationships/hyperlink" Target="https://www.archanaskitchen.com/how-to-make-pickled-onions-recipe" TargetMode="External"/><Relationship Id="rId561" Type="http://schemas.openxmlformats.org/officeDocument/2006/relationships/hyperlink" Target="http://www.archanaskitchen.com/ande-ka-salan-recipe" TargetMode="External"/><Relationship Id="rId659" Type="http://schemas.openxmlformats.org/officeDocument/2006/relationships/hyperlink" Target="http://www.archanaskitchen.com/cheesy-aloo-paratha-recipe-in-hindi" TargetMode="External"/><Relationship Id="rId866" Type="http://schemas.openxmlformats.org/officeDocument/2006/relationships/hyperlink" Target="http://www.archanaskitchen.com/kadai-vegetable-sabzi-recipe-mixed-vegetable-saute-with-spices" TargetMode="External"/><Relationship Id="rId214" Type="http://schemas.openxmlformats.org/officeDocument/2006/relationships/hyperlink" Target="https://www.archanaskitchen.com/palak-chole-recipe-spinach-chickpea-curry" TargetMode="External"/><Relationship Id="rId298" Type="http://schemas.openxmlformats.org/officeDocument/2006/relationships/hyperlink" Target="https://www.archanaskitchen.com/north-indian-sooji-halwa-recipe" TargetMode="External"/><Relationship Id="rId421" Type="http://schemas.openxmlformats.org/officeDocument/2006/relationships/hyperlink" Target="https://www.archanaskitchen.com/hariyali-dum-aloo-recipe" TargetMode="External"/><Relationship Id="rId519" Type="http://schemas.openxmlformats.org/officeDocument/2006/relationships/hyperlink" Target="http://www.archanaskitchen.com/fried-poha-chiwda-recipe-flatten-rice-spicy-mixture" TargetMode="External"/><Relationship Id="rId158" Type="http://schemas.openxmlformats.org/officeDocument/2006/relationships/hyperlink" Target="http://www.archanaskitchen.com/garlic-naan-without-yeast-recipe" TargetMode="External"/><Relationship Id="rId726" Type="http://schemas.openxmlformats.org/officeDocument/2006/relationships/hyperlink" Target="http://www.archanaskitchen.com/spinach-and-green-peas-curry-recipe-in-hindi" TargetMode="External"/><Relationship Id="rId933" Type="http://schemas.openxmlformats.org/officeDocument/2006/relationships/hyperlink" Target="https://www.archanaskitchen.com/aam-ki-launji-pickle-recipe-sweet-spicy-amla-pickle" TargetMode="External"/><Relationship Id="rId62" Type="http://schemas.openxmlformats.org/officeDocument/2006/relationships/hyperlink" Target="https://www.archanaskitchen.com/potato-stuffed-dal-dhokli-recipe" TargetMode="External"/><Relationship Id="rId365" Type="http://schemas.openxmlformats.org/officeDocument/2006/relationships/hyperlink" Target="http://www.archanaskitchen.com/chana-aur-aloo-ki-sookhi-sabzi-recipe-in-hindi" TargetMode="External"/><Relationship Id="rId572" Type="http://schemas.openxmlformats.org/officeDocument/2006/relationships/hyperlink" Target="http://www.archanaskitchen.com/carrot-kanji-recipe-mustard-flavoured-drink-made-from-carrots-beetroot" TargetMode="External"/><Relationship Id="rId225" Type="http://schemas.openxmlformats.org/officeDocument/2006/relationships/hyperlink" Target="https://www.archanaskitchen.com/palak-pakora-recipe-made-in-kuzhi-paniyaram-pan" TargetMode="External"/><Relationship Id="rId432" Type="http://schemas.openxmlformats.org/officeDocument/2006/relationships/hyperlink" Target="https://www.archanaskitchen.com/uttarakhand-style-singhal-recipe" TargetMode="External"/><Relationship Id="rId877" Type="http://schemas.openxmlformats.org/officeDocument/2006/relationships/hyperlink" Target="http://www.archanaskitchen.com/boondi-and-spring-onion-greens-sabzi-recipe" TargetMode="External"/><Relationship Id="rId737" Type="http://schemas.openxmlformats.org/officeDocument/2006/relationships/hyperlink" Target="https://www.archanaskitchen.com/dahi-achari-bhindi-recipe" TargetMode="External"/><Relationship Id="rId73" Type="http://schemas.openxmlformats.org/officeDocument/2006/relationships/hyperlink" Target="https://www.archanaskitchen.com/lehsuni-tikki-recipe" TargetMode="External"/><Relationship Id="rId169" Type="http://schemas.openxmlformats.org/officeDocument/2006/relationships/hyperlink" Target="http://www.archanaskitchen.com/one-pot-pav-bhaji-recipe-using-preethi-electric-pressure-cooker" TargetMode="External"/><Relationship Id="rId376" Type="http://schemas.openxmlformats.org/officeDocument/2006/relationships/hyperlink" Target="https://www.archanaskitchen.com/no-onion-no-garlic-parwal-masala-recipe" TargetMode="External"/><Relationship Id="rId583" Type="http://schemas.openxmlformats.org/officeDocument/2006/relationships/hyperlink" Target="http://www.archanaskitchen.com/tandoori-chicken-curry-recipe" TargetMode="External"/><Relationship Id="rId790" Type="http://schemas.openxmlformats.org/officeDocument/2006/relationships/hyperlink" Target="https://www.archanaskitchen.com/besan-methi-paratha-recipe-in-hindi" TargetMode="External"/><Relationship Id="rId804" Type="http://schemas.openxmlformats.org/officeDocument/2006/relationships/hyperlink" Target="http://www.archanaskitchen.com/aloo-matar-paneer-curry-recipe" TargetMode="External"/><Relationship Id="rId4" Type="http://schemas.openxmlformats.org/officeDocument/2006/relationships/hyperlink" Target="http://www.archanaskitchen.com/gujarati-aamras-recipe-a-delicious-mango-pulp" TargetMode="External"/><Relationship Id="rId236" Type="http://schemas.openxmlformats.org/officeDocument/2006/relationships/hyperlink" Target="http://www.archanaskitchen.com/mixed-vegetable-handi-recipe" TargetMode="External"/><Relationship Id="rId443" Type="http://schemas.openxmlformats.org/officeDocument/2006/relationships/hyperlink" Target="https://www.archanaskitchen.com/whole-wheat-onion-stuffed-kulcha-recipe-in-hindi" TargetMode="External"/><Relationship Id="rId650" Type="http://schemas.openxmlformats.org/officeDocument/2006/relationships/hyperlink" Target="https://www.archanaskitchen.com/kaccha-kela-aur-bhindi-ki-sabzi-recipe-raw-banana-ladies-finger-stir-fry-in-hindi" TargetMode="External"/><Relationship Id="rId888" Type="http://schemas.openxmlformats.org/officeDocument/2006/relationships/hyperlink" Target="http://www.archanaskitchen.com/chicken-jalfrezi-recipe" TargetMode="External"/><Relationship Id="rId303" Type="http://schemas.openxmlformats.org/officeDocument/2006/relationships/hyperlink" Target="http://www.archanaskitchen.com/dhaba-style-green-moong-dal-tadka-recipe" TargetMode="External"/><Relationship Id="rId748" Type="http://schemas.openxmlformats.org/officeDocument/2006/relationships/hyperlink" Target="https://www.archanaskitchen.com/paneer-do-pyaza-recipe" TargetMode="External"/><Relationship Id="rId84" Type="http://schemas.openxmlformats.org/officeDocument/2006/relationships/hyperlink" Target="https://www.archanaskitchen.com/tandoori-potatoes-recipe" TargetMode="External"/><Relationship Id="rId387" Type="http://schemas.openxmlformats.org/officeDocument/2006/relationships/hyperlink" Target="http://www.archanaskitchen.com/layered-paneer-butter-masala-biryani-recipe" TargetMode="External"/><Relationship Id="rId510" Type="http://schemas.openxmlformats.org/officeDocument/2006/relationships/hyperlink" Target="http://www.archanaskitchen.com/amritsar-murgh-makhani-recipe" TargetMode="External"/><Relationship Id="rId594" Type="http://schemas.openxmlformats.org/officeDocument/2006/relationships/hyperlink" Target="http://www.archanaskitchen.com/plain-paratha-tawa-paratha-recipe" TargetMode="External"/><Relationship Id="rId608" Type="http://schemas.openxmlformats.org/officeDocument/2006/relationships/hyperlink" Target="http://www.archanaskitchen.com/amla-methi-sukhi-sabzi-recipe-healthy-diabetic-sabzi" TargetMode="External"/><Relationship Id="rId815" Type="http://schemas.openxmlformats.org/officeDocument/2006/relationships/hyperlink" Target="https://www.archanaskitchen.com/keema-bhindi-recipe-okra-minced-meat-curry-in-hindi" TargetMode="External"/><Relationship Id="rId247" Type="http://schemas.openxmlformats.org/officeDocument/2006/relationships/hyperlink" Target="https://www.archanaskitchen.com/singhade-ka-achaar-recipe-water-chestnut-pickle" TargetMode="External"/><Relationship Id="rId899" Type="http://schemas.openxmlformats.org/officeDocument/2006/relationships/hyperlink" Target="http://www.archanaskitchen.com/saunf-wali-hari-gobi-sabzi-recipe-cauliflower-spiced-with-fennel-and-green-chutney-in-hindi" TargetMode="External"/><Relationship Id="rId107" Type="http://schemas.openxmlformats.org/officeDocument/2006/relationships/hyperlink" Target="http://www.archanaskitchen.com/kadhai-tofu-sabji-recipe" TargetMode="External"/><Relationship Id="rId454" Type="http://schemas.openxmlformats.org/officeDocument/2006/relationships/hyperlink" Target="https://www.archanaskitchen.com/cabbage-bhurji-recipe" TargetMode="External"/><Relationship Id="rId661" Type="http://schemas.openxmlformats.org/officeDocument/2006/relationships/hyperlink" Target="http://www.archanaskitchen.com/oats-apple-phirni-recipe" TargetMode="External"/><Relationship Id="rId759" Type="http://schemas.openxmlformats.org/officeDocument/2006/relationships/hyperlink" Target="http://www.archanaskitchen.com/achari-baingan-bharta-recipe" TargetMode="External"/><Relationship Id="rId11" Type="http://schemas.openxmlformats.org/officeDocument/2006/relationships/hyperlink" Target="https://www.archanaskitchen.com/layered-paneer-butter-masala-biryani-recipe-in-hindi" TargetMode="External"/><Relationship Id="rId314" Type="http://schemas.openxmlformats.org/officeDocument/2006/relationships/hyperlink" Target="https://www.archanaskitchen.com/bajra-kaddu-ki-roti-recipe-bajra-pumpkin-roti-recipe" TargetMode="External"/><Relationship Id="rId398" Type="http://schemas.openxmlformats.org/officeDocument/2006/relationships/hyperlink" Target="http://www.archanaskitchen.com/dhaba-style-dal-fry-recipe-in-hindi" TargetMode="External"/><Relationship Id="rId521" Type="http://schemas.openxmlformats.org/officeDocument/2006/relationships/hyperlink" Target="http://www.archanaskitchen.com/arbi-cutlet-recipe-spiced-colocasia-patties" TargetMode="External"/><Relationship Id="rId619" Type="http://schemas.openxmlformats.org/officeDocument/2006/relationships/hyperlink" Target="https://www.archanaskitchen.com/sweet-spicy-amla-chutney-recipe" TargetMode="External"/><Relationship Id="rId95" Type="http://schemas.openxmlformats.org/officeDocument/2006/relationships/hyperlink" Target="https://www.archanaskitchen.com/dry-navratan-korma-recipe-in-hindi" TargetMode="External"/><Relationship Id="rId160" Type="http://schemas.openxmlformats.org/officeDocument/2006/relationships/hyperlink" Target="https://www.archanaskitchen.com/butter-garlic-naan-garlic-flavoured-flat-bread-recipe" TargetMode="External"/><Relationship Id="rId826" Type="http://schemas.openxmlformats.org/officeDocument/2006/relationships/hyperlink" Target="http://www.archanaskitchen.com/mushroom-tikka-masala-recipe-mushroom-bell-peppers-in-spicy-tomato-gravy" TargetMode="External"/><Relationship Id="rId258" Type="http://schemas.openxmlformats.org/officeDocument/2006/relationships/hyperlink" Target="https://www.archanaskitchen.com/hariyali-paneer-tikka-masala-gravy-recipe-no-onion-no-garlic-recipe" TargetMode="External"/><Relationship Id="rId465" Type="http://schemas.openxmlformats.org/officeDocument/2006/relationships/hyperlink" Target="https://www.archanaskitchen.com/indian-garam-masala-powder-recipe" TargetMode="External"/><Relationship Id="rId672" Type="http://schemas.openxmlformats.org/officeDocument/2006/relationships/hyperlink" Target="http://www.archanaskitchen.com/bhindi-masala-recipe-bhindi-tamatar-ki-sabzi-in-hindi" TargetMode="External"/><Relationship Id="rId22" Type="http://schemas.openxmlformats.org/officeDocument/2006/relationships/hyperlink" Target="https://www.archanaskitchen.com/paneer-matar-butter-masala-indian-cottage-cheese-and-peas-masala-with-butter-recipe" TargetMode="External"/><Relationship Id="rId118" Type="http://schemas.openxmlformats.org/officeDocument/2006/relationships/hyperlink" Target="https://www.archanaskitchen.com/paneer-bhurji-gravy-recipe-in-hindi" TargetMode="External"/><Relationship Id="rId325" Type="http://schemas.openxmlformats.org/officeDocument/2006/relationships/hyperlink" Target="https://www.archanaskitchen.com/dhaba-style-dal-fry-recipe" TargetMode="External"/><Relationship Id="rId532" Type="http://schemas.openxmlformats.org/officeDocument/2006/relationships/hyperlink" Target="http://www.archanaskitchen.com/dal-shorba-recipe-lentil-soup" TargetMode="External"/><Relationship Id="rId171" Type="http://schemas.openxmlformats.org/officeDocument/2006/relationships/hyperlink" Target="https://www.archanaskitchen.com/spicy-pickled-paneer-gravy-recipe-in-hindi" TargetMode="External"/><Relationship Id="rId837" Type="http://schemas.openxmlformats.org/officeDocument/2006/relationships/hyperlink" Target="https://www.archanaskitchen.com/sweet-spicy-pineapple-pani-puri-recipe" TargetMode="External"/><Relationship Id="rId269" Type="http://schemas.openxmlformats.org/officeDocument/2006/relationships/hyperlink" Target="https://www.archanaskitchen.com/gajar-ka-halwa-recipe-in-hindi" TargetMode="External"/><Relationship Id="rId476" Type="http://schemas.openxmlformats.org/officeDocument/2006/relationships/hyperlink" Target="https://www.archanaskitchen.com/dhaniya-pudina-chicken-tikka-recipe" TargetMode="External"/><Relationship Id="rId683" Type="http://schemas.openxmlformats.org/officeDocument/2006/relationships/hyperlink" Target="http://www.archanaskitchen.com/sukhi-suran-masala-sabzi-recipe-in-hindi" TargetMode="External"/><Relationship Id="rId890" Type="http://schemas.openxmlformats.org/officeDocument/2006/relationships/hyperlink" Target="http://www.archanaskitchen.com/sweet-spicy-amla-chutney-recipe-in-hindi" TargetMode="External"/><Relationship Id="rId904" Type="http://schemas.openxmlformats.org/officeDocument/2006/relationships/hyperlink" Target="https://www.archanaskitchen.com/gahat-rasmi-badi-recipe-uttaranchal-kulith-koftas-in-tomato-onion-gravy" TargetMode="External"/><Relationship Id="rId33" Type="http://schemas.openxmlformats.org/officeDocument/2006/relationships/hyperlink" Target="http://www.archanaskitchen.com/sprouted-matki-cheela-recipe-with-palak-moth-beans-cheela" TargetMode="External"/><Relationship Id="rId129" Type="http://schemas.openxmlformats.org/officeDocument/2006/relationships/hyperlink" Target="http://www.archanaskitchen.com/kadhai-tofu-sabji-recipe-in-hindi" TargetMode="External"/><Relationship Id="rId336" Type="http://schemas.openxmlformats.org/officeDocument/2006/relationships/hyperlink" Target="https://www.archanaskitchen.com/palak-puri-recipe-crispy-spinach-puri-snack" TargetMode="External"/><Relationship Id="rId543" Type="http://schemas.openxmlformats.org/officeDocument/2006/relationships/hyperlink" Target="https://www.archanaskitchen.com/anda-bhurji-recipe-spicy-indian-style-scrambled-eggs" TargetMode="External"/><Relationship Id="rId182" Type="http://schemas.openxmlformats.org/officeDocument/2006/relationships/hyperlink" Target="http://www.archanaskitchen.com/dal-palak-recipe-spinach-and-lentil-curry" TargetMode="External"/><Relationship Id="rId403" Type="http://schemas.openxmlformats.org/officeDocument/2006/relationships/hyperlink" Target="https://www.archanaskitchen.com/murg-mussalam-recipe-masala-roasted-chicken" TargetMode="External"/><Relationship Id="rId750" Type="http://schemas.openxmlformats.org/officeDocument/2006/relationships/hyperlink" Target="https://www.archanaskitchen.com/dhaba-style-dal-palak-recipe" TargetMode="External"/><Relationship Id="rId848" Type="http://schemas.openxmlformats.org/officeDocument/2006/relationships/hyperlink" Target="https://www.archanaskitchen.com/healthy-kabuli-chana-pakora-recipe" TargetMode="External"/><Relationship Id="rId487" Type="http://schemas.openxmlformats.org/officeDocument/2006/relationships/hyperlink" Target="http://www.archanaskitchen.com/banarasi-chooda-matar-chura-matar-recipe" TargetMode="External"/><Relationship Id="rId610" Type="http://schemas.openxmlformats.org/officeDocument/2006/relationships/hyperlink" Target="http://www.archanaskitchen.com/tawa-paneer-masala-recipe-in-hindi" TargetMode="External"/><Relationship Id="rId694" Type="http://schemas.openxmlformats.org/officeDocument/2006/relationships/hyperlink" Target="http://www.archanaskitchen.com/kala-chana-chaat-recipe" TargetMode="External"/><Relationship Id="rId708" Type="http://schemas.openxmlformats.org/officeDocument/2006/relationships/hyperlink" Target="https://www.archanaskitchen.com/lahsun-ki-chutney-recipe-a-spicy-garlic-chutney" TargetMode="External"/><Relationship Id="rId915" Type="http://schemas.openxmlformats.org/officeDocument/2006/relationships/hyperlink" Target="https://www.archanaskitchen.com/hariyali-mutton-curry-recipe" TargetMode="External"/><Relationship Id="rId347" Type="http://schemas.openxmlformats.org/officeDocument/2006/relationships/hyperlink" Target="https://www.archanaskitchen.com/stuffed-mooli-paratha-recipe-radish-flat-bread" TargetMode="External"/><Relationship Id="rId44" Type="http://schemas.openxmlformats.org/officeDocument/2006/relationships/hyperlink" Target="https://www.archanaskitchen.com/beetroot-loni-sponge-dosa-recipe" TargetMode="External"/><Relationship Id="rId554" Type="http://schemas.openxmlformats.org/officeDocument/2006/relationships/hyperlink" Target="https://www.archanaskitchen.com/achari-paneer-tikka-recipe-in-hindi" TargetMode="External"/><Relationship Id="rId761" Type="http://schemas.openxmlformats.org/officeDocument/2006/relationships/hyperlink" Target="http://www.archanaskitchen.com/traditional-whole-gobhi-musallam-recipe" TargetMode="External"/><Relationship Id="rId859" Type="http://schemas.openxmlformats.org/officeDocument/2006/relationships/hyperlink" Target="http://www.archanaskitchen.com/uttaranchal-style-garwhali-kafuli-recipe-spinach-curry" TargetMode="External"/><Relationship Id="rId193" Type="http://schemas.openxmlformats.org/officeDocument/2006/relationships/hyperlink" Target="https://www.archanaskitchen.com/kathal-masaledaar-recipe-raw-jackfruit-in-a-gravy" TargetMode="External"/><Relationship Id="rId207" Type="http://schemas.openxmlformats.org/officeDocument/2006/relationships/hyperlink" Target="https://www.archanaskitchen.com/farali-aaloo-pattice-recipe" TargetMode="External"/><Relationship Id="rId414" Type="http://schemas.openxmlformats.org/officeDocument/2006/relationships/hyperlink" Target="https://www.archanaskitchen.com/vegan-malai-gobhi-recipe" TargetMode="External"/><Relationship Id="rId498" Type="http://schemas.openxmlformats.org/officeDocument/2006/relationships/hyperlink" Target="https://www.archanaskitchen.com/bhel-puri-with-raw-mango-recipe" TargetMode="External"/><Relationship Id="rId621" Type="http://schemas.openxmlformats.org/officeDocument/2006/relationships/hyperlink" Target="https://www.archanaskitchen.com/chana-dal-methi-ki-sabzi-recipe-1" TargetMode="External"/><Relationship Id="rId260" Type="http://schemas.openxmlformats.org/officeDocument/2006/relationships/hyperlink" Target="https://www.archanaskitchen.com/achari-baingan-bharta-recipe-in-hindi" TargetMode="External"/><Relationship Id="rId719" Type="http://schemas.openxmlformats.org/officeDocument/2006/relationships/hyperlink" Target="http://www.archanaskitchen.com/gajar-shaljam-ka-paani-wala-achar-recipe-instant-carrot-and-turnip-pickle" TargetMode="External"/><Relationship Id="rId926" Type="http://schemas.openxmlformats.org/officeDocument/2006/relationships/hyperlink" Target="https://www.archanaskitchen.com/malpua-with-rose-and-saffron-syrup-recipe" TargetMode="External"/><Relationship Id="rId55" Type="http://schemas.openxmlformats.org/officeDocument/2006/relationships/hyperlink" Target="https://www.archanaskitchen.com/navrang-dal-recipe-in-hindi" TargetMode="External"/><Relationship Id="rId120" Type="http://schemas.openxmlformats.org/officeDocument/2006/relationships/hyperlink" Target="https://www.archanaskitchen.com/potato-stuffed-dal-dhokli-recipe-2" TargetMode="External"/><Relationship Id="rId358" Type="http://schemas.openxmlformats.org/officeDocument/2006/relationships/hyperlink" Target="https://www.archanaskitchen.com/moong-dal-ghughra-recipe-gujiya-karanji" TargetMode="External"/><Relationship Id="rId565" Type="http://schemas.openxmlformats.org/officeDocument/2006/relationships/hyperlink" Target="https://www.archanaskitchen.com/peanut-chaat-with-spiced-yogurt-recipe-in-hindi" TargetMode="External"/><Relationship Id="rId772" Type="http://schemas.openxmlformats.org/officeDocument/2006/relationships/hyperlink" Target="http://www.archanaskitchen.com/stuffed-ridge-gourd-recipe" TargetMode="External"/><Relationship Id="rId218" Type="http://schemas.openxmlformats.org/officeDocument/2006/relationships/hyperlink" Target="http://www.archanaskitchen.com/dill-poha-cutlets-recipe" TargetMode="External"/><Relationship Id="rId425" Type="http://schemas.openxmlformats.org/officeDocument/2006/relationships/hyperlink" Target="https://www.archanaskitchen.com/carrot-cauliflower-peas-sabzi-recipe-gajar-gobi-matar-sabzi" TargetMode="External"/><Relationship Id="rId632" Type="http://schemas.openxmlformats.org/officeDocument/2006/relationships/hyperlink" Target="https://www.archanaskitchen.com/uttarakhand-mooli-thechua-recipe-radish-salad-in-hindi" TargetMode="External"/><Relationship Id="rId271" Type="http://schemas.openxmlformats.org/officeDocument/2006/relationships/hyperlink" Target="https://www.archanaskitchen.com/paneer-in-white-gravy-recipe-no-onion-no-garlic" TargetMode="External"/><Relationship Id="rId937" Type="http://schemas.openxmlformats.org/officeDocument/2006/relationships/hyperlink" Target="https://www.archanaskitchen.com/sweet-potato-methi-stuffed-paratha-recipe-in-hindi" TargetMode="External"/><Relationship Id="rId66" Type="http://schemas.openxmlformats.org/officeDocument/2006/relationships/hyperlink" Target="http://www.archanaskitchen.com/chickpea-coconut-milk-curry-recipe" TargetMode="External"/><Relationship Id="rId131" Type="http://schemas.openxmlformats.org/officeDocument/2006/relationships/hyperlink" Target="https://www.archanaskitchen.com/carrot-semolina-phirni-recipe-in-hindi" TargetMode="External"/><Relationship Id="rId369" Type="http://schemas.openxmlformats.org/officeDocument/2006/relationships/hyperlink" Target="https://www.archanaskitchen.com/jain-style-paneer-makhani-recipe-in-hindi" TargetMode="External"/><Relationship Id="rId576" Type="http://schemas.openxmlformats.org/officeDocument/2006/relationships/hyperlink" Target="http://www.archanaskitchen.com/dahi-walla-tinda-recipe-indian-round-gourd-or-apple-gourd-curry" TargetMode="External"/><Relationship Id="rId783" Type="http://schemas.openxmlformats.org/officeDocument/2006/relationships/hyperlink" Target="https://www.archanaskitchen.com/hariyali-chicken-tikka-masala-recipe" TargetMode="External"/><Relationship Id="rId229" Type="http://schemas.openxmlformats.org/officeDocument/2006/relationships/hyperlink" Target="http://www.archanaskitchen.com/katti-mitti-mirchi-ki-sabzi-recipe" TargetMode="External"/><Relationship Id="rId436" Type="http://schemas.openxmlformats.org/officeDocument/2006/relationships/hyperlink" Target="http://www.archanaskitchen.com/punjabi-sabut-moong-ki-dal-recipe-whole-green-lentils-cooked-with-punjabi-spices" TargetMode="External"/><Relationship Id="rId643" Type="http://schemas.openxmlformats.org/officeDocument/2006/relationships/hyperlink" Target="https://www.archanaskitchen.com/warqi-paratha-recipe" TargetMode="External"/><Relationship Id="rId850" Type="http://schemas.openxmlformats.org/officeDocument/2006/relationships/hyperlink" Target="https://www.archanaskitchen.com/moringa-masoor-dal-recipe-drumstick-leaves-dal-in-hindi" TargetMode="External"/><Relationship Id="rId77" Type="http://schemas.openxmlformats.org/officeDocument/2006/relationships/hyperlink" Target="http://www.archanaskitchen.com/navratan-korma-recipe" TargetMode="External"/><Relationship Id="rId282" Type="http://schemas.openxmlformats.org/officeDocument/2006/relationships/hyperlink" Target="https://www.archanaskitchen.com/delicious-one-pot-butter-chicken-khichdi-recipe-in-hindi" TargetMode="External"/><Relationship Id="rId503" Type="http://schemas.openxmlformats.org/officeDocument/2006/relationships/hyperlink" Target="http://www.archanaskitchen.com/methi-moong-dal-palak-recipe" TargetMode="External"/><Relationship Id="rId587" Type="http://schemas.openxmlformats.org/officeDocument/2006/relationships/hyperlink" Target="https://www.archanaskitchen.com/navratan-korma-recipe-in-hindi" TargetMode="External"/><Relationship Id="rId710" Type="http://schemas.openxmlformats.org/officeDocument/2006/relationships/hyperlink" Target="https://www.archanaskitchen.com/tomato-poha-with-peas-recipe-in-hindi" TargetMode="External"/><Relationship Id="rId808" Type="http://schemas.openxmlformats.org/officeDocument/2006/relationships/hyperlink" Target="http://www.archanaskitchen.com/vegetable-yakhni-pulao-recipe" TargetMode="External"/><Relationship Id="rId8" Type="http://schemas.openxmlformats.org/officeDocument/2006/relationships/hyperlink" Target="http://www.archanaskitchen.com/makhan-recipe-homemade-butter" TargetMode="External"/><Relationship Id="rId142" Type="http://schemas.openxmlformats.org/officeDocument/2006/relationships/hyperlink" Target="https://www.archanaskitchen.com/bhel-puri-recipe-an-indian-street-food-tea-time-snack-in-hindi" TargetMode="External"/><Relationship Id="rId447" Type="http://schemas.openxmlformats.org/officeDocument/2006/relationships/hyperlink" Target="https://www.archanaskitchen.com/nariyal-ki-kachori-recipe-pan-fried-farali-aloo-vada" TargetMode="External"/><Relationship Id="rId794" Type="http://schemas.openxmlformats.org/officeDocument/2006/relationships/hyperlink" Target="http://www.archanaskitchen.com/hariyali-gobi-recipe-palak-cauliflower-curry-recipe" TargetMode="External"/><Relationship Id="rId654" Type="http://schemas.openxmlformats.org/officeDocument/2006/relationships/hyperlink" Target="https://www.archanaskitchen.com/tangy-corn-tamatar-bharta-recipe" TargetMode="External"/><Relationship Id="rId861" Type="http://schemas.openxmlformats.org/officeDocument/2006/relationships/hyperlink" Target="http://www.archanaskitchen.com/achari-gosht-recipe" TargetMode="External"/><Relationship Id="rId293" Type="http://schemas.openxmlformats.org/officeDocument/2006/relationships/hyperlink" Target="http://www.archanaskitchen.com/methi-moong-dal-recipe-healthy-diabetic-friendly-recipe" TargetMode="External"/><Relationship Id="rId307" Type="http://schemas.openxmlformats.org/officeDocument/2006/relationships/hyperlink" Target="http://www.archanaskitchen.com/baby-corn-capsicum-masala-recipe-in-hindi" TargetMode="External"/><Relationship Id="rId514" Type="http://schemas.openxmlformats.org/officeDocument/2006/relationships/hyperlink" Target="http://www.archanaskitchen.com/rajgira-puri-recipe-navratri-fasting-vrat-recipe" TargetMode="External"/><Relationship Id="rId721" Type="http://schemas.openxmlformats.org/officeDocument/2006/relationships/hyperlink" Target="http://www.archanaskitchen.com/masala-lachha-paratha-recipe" TargetMode="External"/><Relationship Id="rId88" Type="http://schemas.openxmlformats.org/officeDocument/2006/relationships/hyperlink" Target="https://www.archanaskitchen.com/raw-mango-dal-fry-recipe" TargetMode="External"/><Relationship Id="rId153" Type="http://schemas.openxmlformats.org/officeDocument/2006/relationships/hyperlink" Target="https://www.archanaskitchen.com/dahi-batata-puri-chaat-recipe-classic-indian-tea-time-snack" TargetMode="External"/><Relationship Id="rId360" Type="http://schemas.openxmlformats.org/officeDocument/2006/relationships/hyperlink" Target="http://www.archanaskitchen.com/stuffed-masala-aloo-naan-recipe-made-without-oven" TargetMode="External"/><Relationship Id="rId598" Type="http://schemas.openxmlformats.org/officeDocument/2006/relationships/hyperlink" Target="http://www.archanaskitchen.com/almond-and-cashewnut-mushroom-curry-recipe" TargetMode="External"/><Relationship Id="rId819" Type="http://schemas.openxmlformats.org/officeDocument/2006/relationships/hyperlink" Target="http://www.archanaskitchen.com/dhaba-style-baingan-ka-bharta-recipe" TargetMode="External"/><Relationship Id="rId220" Type="http://schemas.openxmlformats.org/officeDocument/2006/relationships/hyperlink" Target="https://www.archanaskitchen.com/tandoori-paneer-tikka-masala-recipe-in-hindi" TargetMode="External"/><Relationship Id="rId458" Type="http://schemas.openxmlformats.org/officeDocument/2006/relationships/hyperlink" Target="http://www.archanaskitchen.com/barnyard-millet-and-ragi-khichdi-recipe" TargetMode="External"/><Relationship Id="rId665" Type="http://schemas.openxmlformats.org/officeDocument/2006/relationships/hyperlink" Target="http://www.archanaskitchen.com/paneer-makhani-recipe-in-hindi" TargetMode="External"/><Relationship Id="rId872" Type="http://schemas.openxmlformats.org/officeDocument/2006/relationships/hyperlink" Target="https://www.archanaskitchen.com/spicy-and-tangy-mixed-vegetable-poha-recipe-with-peanuts" TargetMode="External"/><Relationship Id="rId15" Type="http://schemas.openxmlformats.org/officeDocument/2006/relationships/hyperlink" Target="https://www.archanaskitchen.com/chole-dhania-masala-recipe" TargetMode="External"/><Relationship Id="rId318" Type="http://schemas.openxmlformats.org/officeDocument/2006/relationships/hyperlink" Target="https://www.archanaskitchen.com/hariyali-chicken-tikka-recipe" TargetMode="External"/><Relationship Id="rId525" Type="http://schemas.openxmlformats.org/officeDocument/2006/relationships/hyperlink" Target="http://www.archanaskitchen.com/dry-navratan-korma-recipe" TargetMode="External"/><Relationship Id="rId732" Type="http://schemas.openxmlformats.org/officeDocument/2006/relationships/hyperlink" Target="https://www.archanaskitchen.com/chole-pindi-recipe-spicy-chickpea-curry-in-hindi" TargetMode="External"/><Relationship Id="rId99" Type="http://schemas.openxmlformats.org/officeDocument/2006/relationships/hyperlink" Target="http://www.archanaskitchen.com/chilli-cheese-stuffed-kulcha-recipe" TargetMode="External"/><Relationship Id="rId164" Type="http://schemas.openxmlformats.org/officeDocument/2006/relationships/hyperlink" Target="http://www.archanaskitchen.com/karela-aur-baingan-ki-sabzi-recipe-bitter-gourd-brinjal-sabzi" TargetMode="External"/><Relationship Id="rId371" Type="http://schemas.openxmlformats.org/officeDocument/2006/relationships/hyperlink" Target="http://www.archanaskitchen.com/dhaba-style-dal-palak-recipe-in-hindi" TargetMode="External"/><Relationship Id="rId469" Type="http://schemas.openxmlformats.org/officeDocument/2006/relationships/hyperlink" Target="http://www.archanaskitchen.com/hara-bhara-kebab-recipe-with-millets" TargetMode="External"/><Relationship Id="rId676" Type="http://schemas.openxmlformats.org/officeDocument/2006/relationships/hyperlink" Target="https://www.archanaskitchen.com/khatta-meetha-mooli-subzi-recipe-sweet-and-tangy-radish-dry-recipe" TargetMode="External"/><Relationship Id="rId883" Type="http://schemas.openxmlformats.org/officeDocument/2006/relationships/hyperlink" Target="https://www.archanaskitchen.com/sarson-chole-ka-saag-recipe-kabuli-chana-in-mustard-leaves-gravy" TargetMode="External"/><Relationship Id="rId26" Type="http://schemas.openxmlformats.org/officeDocument/2006/relationships/hyperlink" Target="https://www.archanaskitchen.com/north-indian-pheni-recipe-a-thin-silky-seviyan-kheer" TargetMode="External"/><Relationship Id="rId231" Type="http://schemas.openxmlformats.org/officeDocument/2006/relationships/hyperlink" Target="https://www.archanaskitchen.com/onion-paneer-paratha-recipe" TargetMode="External"/><Relationship Id="rId329" Type="http://schemas.openxmlformats.org/officeDocument/2006/relationships/hyperlink" Target="http://www.archanaskitchen.com/matar-poha-recipe-flattened-rice-stir-fry-with-green-peas-in-hindi" TargetMode="External"/><Relationship Id="rId536" Type="http://schemas.openxmlformats.org/officeDocument/2006/relationships/hyperlink" Target="https://www.archanaskitchen.com/kolhapuri-misal-pav-recipe" TargetMode="External"/><Relationship Id="rId175" Type="http://schemas.openxmlformats.org/officeDocument/2006/relationships/hyperlink" Target="http://www.archanaskitchen.com/chole-capsicum-masala-recipe" TargetMode="External"/><Relationship Id="rId743" Type="http://schemas.openxmlformats.org/officeDocument/2006/relationships/hyperlink" Target="http://www.archanaskitchen.com/chicken-cheese-stuffed-kulcha-recipe" TargetMode="External"/><Relationship Id="rId382" Type="http://schemas.openxmlformats.org/officeDocument/2006/relationships/hyperlink" Target="https://www.archanaskitchen.com/makhana-moongphali-ki-kadhi-navratri-fasting-vrat-recipe" TargetMode="External"/><Relationship Id="rId603" Type="http://schemas.openxmlformats.org/officeDocument/2006/relationships/hyperlink" Target="https://www.archanaskitchen.com/murg-badami-recipe-chicken-in-almond-gravy" TargetMode="External"/><Relationship Id="rId687" Type="http://schemas.openxmlformats.org/officeDocument/2006/relationships/hyperlink" Target="https://www.archanaskitchen.com/palak-khichdi-with-brown-rice-and-toasted-peanuts-recipe-in-hindi" TargetMode="External"/><Relationship Id="rId810" Type="http://schemas.openxmlformats.org/officeDocument/2006/relationships/hyperlink" Target="http://www.archanaskitchen.com/methi-mooli-makkai-paratha-recipe" TargetMode="External"/><Relationship Id="rId908" Type="http://schemas.openxmlformats.org/officeDocument/2006/relationships/hyperlink" Target="http://www.archanaskitchen.com/dhingri-matar-recipe-mushrooms-and-peas-spicy-curry-in-hindi" TargetMode="External"/><Relationship Id="rId242" Type="http://schemas.openxmlformats.org/officeDocument/2006/relationships/hyperlink" Target="http://www.archanaskitchen.com/bhut-jolokia-murgh-recipe-ghost-chilli-chicken-curry" TargetMode="External"/><Relationship Id="rId894" Type="http://schemas.openxmlformats.org/officeDocument/2006/relationships/hyperlink" Target="http://www.archanaskitchen.com/palak-chicken-curry-recipe-saag-wala-chicken" TargetMode="External"/><Relationship Id="rId37" Type="http://schemas.openxmlformats.org/officeDocument/2006/relationships/hyperlink" Target="https://www.archanaskitchen.com/baby-corn-cigar-recipe" TargetMode="External"/><Relationship Id="rId102" Type="http://schemas.openxmlformats.org/officeDocument/2006/relationships/hyperlink" Target="http://www.archanaskitchen.com/bharwa-lauki-recipe-in-no-onion-no-garlic-makhani-gravy" TargetMode="External"/><Relationship Id="rId547" Type="http://schemas.openxmlformats.org/officeDocument/2006/relationships/hyperlink" Target="https://www.archanaskitchen.com/beetroot-carrot-cucumber-salad-with-peanuts-recipe" TargetMode="External"/><Relationship Id="rId754" Type="http://schemas.openxmlformats.org/officeDocument/2006/relationships/hyperlink" Target="http://www.archanaskitchen.com/beetroot-carrot-cucumber-salad-with-peanuts-recipe-in-hindi" TargetMode="External"/><Relationship Id="rId90" Type="http://schemas.openxmlformats.org/officeDocument/2006/relationships/hyperlink" Target="http://www.archanaskitchen.com/homemade-easy-gulab-jamun-recipe-delicious-tasty" TargetMode="External"/><Relationship Id="rId186" Type="http://schemas.openxmlformats.org/officeDocument/2006/relationships/hyperlink" Target="https://www.archanaskitchen.com/palak-chana-dal-recipe-healthy-spinach-gram-dal-recipe-in-hindi" TargetMode="External"/><Relationship Id="rId393" Type="http://schemas.openxmlformats.org/officeDocument/2006/relationships/hyperlink" Target="https://www.archanaskitchen.com/matar-kachori-recipe" TargetMode="External"/><Relationship Id="rId407" Type="http://schemas.openxmlformats.org/officeDocument/2006/relationships/hyperlink" Target="https://www.archanaskitchen.com/badam-elaichi-kulfi-almond-cardamom-kulfi-recipe" TargetMode="External"/><Relationship Id="rId614" Type="http://schemas.openxmlformats.org/officeDocument/2006/relationships/hyperlink" Target="https://www.archanaskitchen.com/paneer-butter-masala-recipe" TargetMode="External"/><Relationship Id="rId821" Type="http://schemas.openxmlformats.org/officeDocument/2006/relationships/hyperlink" Target="https://www.archanaskitchen.com/vagharela-rotli-recipe-roti-ka-poha-in-hindi" TargetMode="External"/><Relationship Id="rId253" Type="http://schemas.openxmlformats.org/officeDocument/2006/relationships/hyperlink" Target="http://www.archanaskitchen.com/paneer-methi-paratha-recipe" TargetMode="External"/><Relationship Id="rId460" Type="http://schemas.openxmlformats.org/officeDocument/2006/relationships/hyperlink" Target="http://www.archanaskitchen.com/dhokla-sandwich-with-roasted-capsicum-paneer-recipe" TargetMode="External"/><Relationship Id="rId698" Type="http://schemas.openxmlformats.org/officeDocument/2006/relationships/hyperlink" Target="http://www.archanaskitchen.com/khakra-chaat-recipe" TargetMode="External"/><Relationship Id="rId919" Type="http://schemas.openxmlformats.org/officeDocument/2006/relationships/hyperlink" Target="http://www.archanaskitchen.com/pahadi-chicken-curry-recipe" TargetMode="External"/><Relationship Id="rId48" Type="http://schemas.openxmlformats.org/officeDocument/2006/relationships/hyperlink" Target="http://www.archanaskitchen.com/spicy-paneer-bhurji-pav-sandwich-recipe-spiced-cottage-cheese-bun-sandwich" TargetMode="External"/><Relationship Id="rId113" Type="http://schemas.openxmlformats.org/officeDocument/2006/relationships/hyperlink" Target="http://www.archanaskitchen.com/kadai-broccoli-masala-recipe-broccoli-cooked-with-indian-spices" TargetMode="External"/><Relationship Id="rId320" Type="http://schemas.openxmlformats.org/officeDocument/2006/relationships/hyperlink" Target="http://www.archanaskitchen.com/mushroom-curry-recipe" TargetMode="External"/><Relationship Id="rId558" Type="http://schemas.openxmlformats.org/officeDocument/2006/relationships/hyperlink" Target="https://www.archanaskitchen.com/punjabi-rajma-masala-recipe-in-hindi" TargetMode="External"/><Relationship Id="rId765" Type="http://schemas.openxmlformats.org/officeDocument/2006/relationships/hyperlink" Target="https://www.archanaskitchen.com/aloo-methi-paratha-recipe" TargetMode="External"/><Relationship Id="rId197" Type="http://schemas.openxmlformats.org/officeDocument/2006/relationships/hyperlink" Target="https://www.archanaskitchen.com/petha-wadi-sabzi-recipe" TargetMode="External"/><Relationship Id="rId418" Type="http://schemas.openxmlformats.org/officeDocument/2006/relationships/hyperlink" Target="https://www.archanaskitchen.com/kala-desi-chana-recipe-in-hindi" TargetMode="External"/><Relationship Id="rId625" Type="http://schemas.openxmlformats.org/officeDocument/2006/relationships/hyperlink" Target="https://www.archanaskitchen.com/bhuna-murgh-recipe" TargetMode="External"/><Relationship Id="rId832" Type="http://schemas.openxmlformats.org/officeDocument/2006/relationships/hyperlink" Target="http://www.archanaskitchen.com/beetroot-and-fig-chutney-recipe" TargetMode="External"/><Relationship Id="rId264" Type="http://schemas.openxmlformats.org/officeDocument/2006/relationships/hyperlink" Target="https://www.archanaskitchen.com/singhare-atte-ka-halwa-sheera-recipe-water-chestnut-flour-halwa" TargetMode="External"/><Relationship Id="rId471" Type="http://schemas.openxmlformats.org/officeDocument/2006/relationships/hyperlink" Target="http://www.archanaskitchen.com/kaju-pista-roll-recipe-cashew-nut-pistachio-fudge" TargetMode="External"/><Relationship Id="rId59" Type="http://schemas.openxmlformats.org/officeDocument/2006/relationships/hyperlink" Target="https://www.archanaskitchen.com/roasted-chickpeas-recipe" TargetMode="External"/><Relationship Id="rId124" Type="http://schemas.openxmlformats.org/officeDocument/2006/relationships/hyperlink" Target="https://www.archanaskitchen.com/chironji-ki-dal-recipe" TargetMode="External"/><Relationship Id="rId569" Type="http://schemas.openxmlformats.org/officeDocument/2006/relationships/hyperlink" Target="http://www.archanaskitchen.com/green-beans-egg-scramble-recipe" TargetMode="External"/><Relationship Id="rId776" Type="http://schemas.openxmlformats.org/officeDocument/2006/relationships/hyperlink" Target="https://www.archanaskitchen.com/tandoori-gobi-tikka-recip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heetPr>
  <dimension ref="A1:O3216"/>
  <sheetViews>
    <sheetView tabSelected="1" zoomScaleNormal="100" workbookViewId="0">
      <selection activeCell="F1" sqref="F1"/>
    </sheetView>
  </sheetViews>
  <sheetFormatPr defaultColWidth="12.6640625" defaultRowHeight="15.75" customHeight="1"/>
  <sheetData>
    <row r="1" spans="1:15" ht="13.8">
      <c r="A1" t="s">
        <v>0</v>
      </c>
      <c r="B1" t="s">
        <v>1</v>
      </c>
      <c r="C1" t="s">
        <v>2</v>
      </c>
      <c r="D1" t="s">
        <v>3</v>
      </c>
      <c r="E1" t="s">
        <v>4</v>
      </c>
      <c r="F1" t="s">
        <v>34716</v>
      </c>
      <c r="G1" t="s">
        <v>5</v>
      </c>
      <c r="H1" t="s">
        <v>6</v>
      </c>
      <c r="I1" t="s">
        <v>7</v>
      </c>
      <c r="J1" t="s">
        <v>8</v>
      </c>
      <c r="K1" t="s">
        <v>9</v>
      </c>
      <c r="L1" s="1" t="s">
        <v>10</v>
      </c>
      <c r="M1" s="1"/>
      <c r="N1" s="1"/>
      <c r="O1" s="1"/>
    </row>
    <row r="2" spans="1:15" ht="409.6">
      <c r="A2" t="s">
        <v>11</v>
      </c>
      <c r="B2" t="s">
        <v>12</v>
      </c>
      <c r="C2" t="s">
        <v>13</v>
      </c>
      <c r="D2" t="s">
        <v>14</v>
      </c>
      <c r="E2">
        <v>15</v>
      </c>
      <c r="F2" s="2" t="s">
        <v>15</v>
      </c>
      <c r="G2" s="2" t="s">
        <v>16</v>
      </c>
      <c r="H2" s="2" t="s">
        <v>17</v>
      </c>
      <c r="I2" s="2" t="s">
        <v>18</v>
      </c>
      <c r="J2" t="s">
        <v>19</v>
      </c>
      <c r="L2" s="1">
        <v>2</v>
      </c>
      <c r="M2" s="1"/>
      <c r="N2" s="1"/>
      <c r="O2" s="3"/>
    </row>
    <row r="3" spans="1:15" ht="409.6">
      <c r="A3" t="s">
        <v>20</v>
      </c>
      <c r="B3" t="s">
        <v>21</v>
      </c>
      <c r="C3" t="s">
        <v>22</v>
      </c>
      <c r="D3" t="s">
        <v>23</v>
      </c>
      <c r="E3">
        <v>45</v>
      </c>
      <c r="F3" s="2" t="s">
        <v>24</v>
      </c>
      <c r="G3" s="2" t="s">
        <v>25</v>
      </c>
      <c r="H3" s="2" t="s">
        <v>26</v>
      </c>
      <c r="I3" s="2" t="s">
        <v>27</v>
      </c>
      <c r="J3" t="s">
        <v>28</v>
      </c>
      <c r="L3" s="1">
        <v>2</v>
      </c>
      <c r="M3" s="1"/>
      <c r="N3" s="1"/>
      <c r="O3" s="3"/>
    </row>
    <row r="4" spans="1:15" ht="409.6">
      <c r="A4" t="s">
        <v>29</v>
      </c>
      <c r="B4" t="s">
        <v>30</v>
      </c>
      <c r="C4" t="s">
        <v>13</v>
      </c>
      <c r="D4" t="s">
        <v>14</v>
      </c>
      <c r="E4">
        <v>20</v>
      </c>
      <c r="F4" s="2" t="s">
        <v>31</v>
      </c>
      <c r="G4" s="2" t="s">
        <v>32</v>
      </c>
      <c r="H4" s="2" t="s">
        <v>33</v>
      </c>
      <c r="I4" s="2" t="s">
        <v>34</v>
      </c>
      <c r="J4" t="s">
        <v>35</v>
      </c>
      <c r="L4" s="1">
        <v>2</v>
      </c>
      <c r="M4" s="1"/>
      <c r="N4" s="1"/>
      <c r="O4" s="3"/>
    </row>
    <row r="5" spans="1:15" ht="409.6">
      <c r="A5" t="s">
        <v>36</v>
      </c>
      <c r="B5" t="s">
        <v>37</v>
      </c>
      <c r="C5" t="s">
        <v>13</v>
      </c>
      <c r="D5" t="s">
        <v>14</v>
      </c>
      <c r="E5">
        <v>20</v>
      </c>
      <c r="F5" s="2" t="s">
        <v>38</v>
      </c>
      <c r="G5" s="2" t="s">
        <v>39</v>
      </c>
      <c r="H5" s="2" t="s">
        <v>40</v>
      </c>
      <c r="I5" s="2" t="s">
        <v>41</v>
      </c>
      <c r="L5" s="1">
        <v>2</v>
      </c>
      <c r="M5" s="1"/>
      <c r="N5" s="1"/>
      <c r="O5" s="3"/>
    </row>
    <row r="6" spans="1:15" ht="409.6">
      <c r="A6" t="s">
        <v>42</v>
      </c>
      <c r="B6" t="s">
        <v>43</v>
      </c>
      <c r="C6" t="s">
        <v>44</v>
      </c>
      <c r="D6" t="s">
        <v>14</v>
      </c>
      <c r="E6">
        <v>45</v>
      </c>
      <c r="F6" s="2" t="s">
        <v>45</v>
      </c>
      <c r="G6" s="2" t="s">
        <v>46</v>
      </c>
      <c r="H6" s="2" t="s">
        <v>47</v>
      </c>
      <c r="I6" s="2" t="s">
        <v>48</v>
      </c>
      <c r="J6" t="s">
        <v>49</v>
      </c>
      <c r="L6" s="1">
        <v>2</v>
      </c>
      <c r="M6" s="1"/>
      <c r="N6" s="1"/>
      <c r="O6" s="3"/>
    </row>
    <row r="7" spans="1:15" ht="409.6">
      <c r="A7" t="s">
        <v>50</v>
      </c>
      <c r="B7" t="s">
        <v>51</v>
      </c>
      <c r="C7" t="s">
        <v>52</v>
      </c>
      <c r="D7" t="s">
        <v>23</v>
      </c>
      <c r="E7">
        <v>5</v>
      </c>
      <c r="F7" s="2" t="s">
        <v>53</v>
      </c>
      <c r="G7" s="2" t="s">
        <v>54</v>
      </c>
      <c r="H7" s="2" t="s">
        <v>55</v>
      </c>
      <c r="I7" s="2" t="s">
        <v>56</v>
      </c>
      <c r="J7" t="s">
        <v>57</v>
      </c>
      <c r="L7" s="1">
        <v>2</v>
      </c>
      <c r="M7" s="1"/>
      <c r="N7" s="1"/>
      <c r="O7" s="3"/>
    </row>
    <row r="8" spans="1:15" ht="409.6">
      <c r="A8" t="s">
        <v>58</v>
      </c>
      <c r="B8" t="s">
        <v>59</v>
      </c>
      <c r="C8" t="s">
        <v>44</v>
      </c>
      <c r="D8" t="s">
        <v>14</v>
      </c>
      <c r="E8">
        <v>30</v>
      </c>
      <c r="F8" s="2" t="s">
        <v>60</v>
      </c>
      <c r="G8" s="2" t="s">
        <v>61</v>
      </c>
      <c r="H8" s="2" t="s">
        <v>62</v>
      </c>
      <c r="I8" s="2" t="s">
        <v>63</v>
      </c>
      <c r="J8" t="s">
        <v>64</v>
      </c>
      <c r="L8" s="1">
        <v>2</v>
      </c>
      <c r="M8" s="1"/>
      <c r="N8" s="1"/>
      <c r="O8" s="3"/>
    </row>
    <row r="9" spans="1:15" ht="409.6">
      <c r="A9" t="s">
        <v>65</v>
      </c>
      <c r="B9" t="s">
        <v>66</v>
      </c>
      <c r="C9" t="s">
        <v>67</v>
      </c>
      <c r="D9" t="s">
        <v>14</v>
      </c>
      <c r="E9">
        <v>30</v>
      </c>
      <c r="F9" s="2" t="s">
        <v>68</v>
      </c>
      <c r="G9" s="2" t="s">
        <v>69</v>
      </c>
      <c r="H9" s="2" t="s">
        <v>70</v>
      </c>
      <c r="I9" s="2" t="s">
        <v>71</v>
      </c>
      <c r="L9" s="1">
        <v>2</v>
      </c>
      <c r="M9" s="1"/>
      <c r="N9" s="1"/>
      <c r="O9" s="3"/>
    </row>
    <row r="10" spans="1:15" ht="409.6">
      <c r="A10" t="s">
        <v>72</v>
      </c>
      <c r="B10" t="s">
        <v>73</v>
      </c>
      <c r="C10" t="s">
        <v>74</v>
      </c>
      <c r="D10" t="s">
        <v>14</v>
      </c>
      <c r="E10">
        <v>20</v>
      </c>
      <c r="F10" s="2" t="s">
        <v>75</v>
      </c>
      <c r="G10" s="2" t="s">
        <v>76</v>
      </c>
      <c r="H10" s="2" t="s">
        <v>77</v>
      </c>
      <c r="I10" s="2" t="s">
        <v>78</v>
      </c>
      <c r="J10" t="s">
        <v>79</v>
      </c>
      <c r="K10" t="s">
        <v>80</v>
      </c>
      <c r="L10" s="1">
        <v>2</v>
      </c>
      <c r="M10" s="1"/>
      <c r="N10" s="1"/>
      <c r="O10" s="3"/>
    </row>
    <row r="11" spans="1:15" ht="409.6">
      <c r="A11" t="s">
        <v>81</v>
      </c>
      <c r="B11" t="s">
        <v>82</v>
      </c>
      <c r="C11" t="s">
        <v>74</v>
      </c>
      <c r="D11" t="s">
        <v>14</v>
      </c>
      <c r="E11">
        <v>20</v>
      </c>
      <c r="F11" s="2" t="s">
        <v>83</v>
      </c>
      <c r="G11" s="2" t="s">
        <v>84</v>
      </c>
      <c r="H11" s="2" t="s">
        <v>85</v>
      </c>
      <c r="I11" s="2" t="s">
        <v>86</v>
      </c>
      <c r="J11" t="s">
        <v>87</v>
      </c>
      <c r="L11" s="1">
        <v>2</v>
      </c>
      <c r="M11" s="1"/>
      <c r="N11" s="1"/>
      <c r="O11" s="3"/>
    </row>
    <row r="12" spans="1:15" ht="409.6">
      <c r="A12" t="s">
        <v>88</v>
      </c>
      <c r="B12" t="s">
        <v>89</v>
      </c>
      <c r="C12" t="s">
        <v>74</v>
      </c>
      <c r="D12" t="s">
        <v>14</v>
      </c>
      <c r="E12">
        <v>25</v>
      </c>
      <c r="F12" s="2" t="s">
        <v>90</v>
      </c>
      <c r="G12" s="2" t="s">
        <v>91</v>
      </c>
      <c r="H12" s="2" t="s">
        <v>92</v>
      </c>
      <c r="I12" s="2" t="s">
        <v>93</v>
      </c>
      <c r="J12" t="s">
        <v>94</v>
      </c>
      <c r="L12" s="1">
        <v>2</v>
      </c>
      <c r="M12" s="1"/>
      <c r="N12" s="1"/>
      <c r="O12" s="3"/>
    </row>
    <row r="13" spans="1:15" ht="409.6">
      <c r="A13" t="s">
        <v>95</v>
      </c>
      <c r="B13" t="s">
        <v>96</v>
      </c>
      <c r="C13" t="s">
        <v>97</v>
      </c>
      <c r="D13" t="s">
        <v>14</v>
      </c>
      <c r="E13">
        <v>40</v>
      </c>
      <c r="F13" s="2" t="s">
        <v>98</v>
      </c>
      <c r="G13" s="2" t="s">
        <v>99</v>
      </c>
      <c r="H13" s="2" t="s">
        <v>100</v>
      </c>
      <c r="I13" s="2" t="s">
        <v>101</v>
      </c>
      <c r="J13" t="s">
        <v>102</v>
      </c>
      <c r="L13" s="1">
        <v>2</v>
      </c>
      <c r="M13" s="1"/>
      <c r="N13" s="1"/>
      <c r="O13" s="3"/>
    </row>
    <row r="14" spans="1:15" ht="409.6">
      <c r="A14" t="s">
        <v>103</v>
      </c>
      <c r="B14" t="s">
        <v>104</v>
      </c>
      <c r="C14" t="s">
        <v>13</v>
      </c>
      <c r="D14" t="s">
        <v>14</v>
      </c>
      <c r="E14">
        <v>30</v>
      </c>
      <c r="F14" s="2" t="s">
        <v>105</v>
      </c>
      <c r="G14" s="2" t="s">
        <v>106</v>
      </c>
      <c r="H14" s="2" t="s">
        <v>107</v>
      </c>
      <c r="I14" s="2" t="s">
        <v>108</v>
      </c>
      <c r="J14" t="s">
        <v>109</v>
      </c>
      <c r="L14" s="1">
        <v>2</v>
      </c>
      <c r="M14" s="1"/>
      <c r="N14" s="1"/>
      <c r="O14" s="3"/>
    </row>
    <row r="15" spans="1:15" ht="409.6">
      <c r="A15" t="s">
        <v>110</v>
      </c>
      <c r="B15" t="s">
        <v>111</v>
      </c>
      <c r="C15" t="s">
        <v>13</v>
      </c>
      <c r="D15" t="s">
        <v>14</v>
      </c>
      <c r="E15">
        <v>20</v>
      </c>
      <c r="F15" s="2" t="s">
        <v>112</v>
      </c>
      <c r="G15" s="2" t="s">
        <v>113</v>
      </c>
      <c r="H15" s="2" t="s">
        <v>114</v>
      </c>
      <c r="I15" s="2" t="s">
        <v>115</v>
      </c>
      <c r="J15" t="s">
        <v>116</v>
      </c>
      <c r="L15" s="1">
        <v>2</v>
      </c>
      <c r="M15" s="1"/>
      <c r="N15" s="1"/>
      <c r="O15" s="3"/>
    </row>
    <row r="16" spans="1:15" ht="409.6">
      <c r="A16" t="s">
        <v>117</v>
      </c>
      <c r="B16" t="s">
        <v>118</v>
      </c>
      <c r="C16" t="s">
        <v>13</v>
      </c>
      <c r="D16" t="s">
        <v>14</v>
      </c>
      <c r="E16">
        <v>25</v>
      </c>
      <c r="F16" s="2" t="s">
        <v>119</v>
      </c>
      <c r="G16" s="2" t="s">
        <v>120</v>
      </c>
      <c r="H16" s="2" t="s">
        <v>121</v>
      </c>
      <c r="I16" s="2" t="s">
        <v>122</v>
      </c>
      <c r="J16" t="s">
        <v>123</v>
      </c>
      <c r="L16" s="1">
        <v>2</v>
      </c>
      <c r="M16" s="1"/>
      <c r="N16" s="1"/>
      <c r="O16" s="3"/>
    </row>
    <row r="17" spans="1:15" ht="409.6">
      <c r="A17" t="s">
        <v>124</v>
      </c>
      <c r="B17" t="s">
        <v>125</v>
      </c>
      <c r="C17" t="s">
        <v>13</v>
      </c>
      <c r="D17" t="s">
        <v>14</v>
      </c>
      <c r="E17">
        <v>25</v>
      </c>
      <c r="F17" s="2" t="s">
        <v>126</v>
      </c>
      <c r="G17" s="2" t="s">
        <v>127</v>
      </c>
      <c r="H17" s="2" t="s">
        <v>128</v>
      </c>
      <c r="I17" s="2" t="s">
        <v>129</v>
      </c>
      <c r="J17" t="s">
        <v>123</v>
      </c>
      <c r="L17" s="1">
        <v>2</v>
      </c>
      <c r="M17" s="1"/>
      <c r="N17" s="1"/>
      <c r="O17" s="3"/>
    </row>
    <row r="18" spans="1:15" ht="409.6">
      <c r="A18" t="s">
        <v>130</v>
      </c>
      <c r="B18" t="s">
        <v>131</v>
      </c>
      <c r="C18" t="s">
        <v>13</v>
      </c>
      <c r="D18" t="s">
        <v>14</v>
      </c>
      <c r="E18">
        <v>20</v>
      </c>
      <c r="F18" s="2" t="s">
        <v>132</v>
      </c>
      <c r="G18" s="2" t="s">
        <v>133</v>
      </c>
      <c r="H18" s="2" t="s">
        <v>134</v>
      </c>
      <c r="I18" s="2" t="s">
        <v>135</v>
      </c>
      <c r="L18" s="1">
        <v>2</v>
      </c>
      <c r="M18" s="1"/>
      <c r="N18" s="1"/>
      <c r="O18" s="3"/>
    </row>
    <row r="19" spans="1:15" ht="13.8">
      <c r="A19" t="s">
        <v>136</v>
      </c>
      <c r="B19" t="s">
        <v>137</v>
      </c>
      <c r="C19" t="s">
        <v>22</v>
      </c>
      <c r="D19" t="s">
        <v>14</v>
      </c>
      <c r="E19">
        <v>40</v>
      </c>
      <c r="F19" t="s">
        <v>138</v>
      </c>
      <c r="G19" t="s">
        <v>139</v>
      </c>
      <c r="H19" t="s">
        <v>140</v>
      </c>
      <c r="I19" t="s">
        <v>141</v>
      </c>
      <c r="J19" t="s">
        <v>142</v>
      </c>
      <c r="L19" s="1">
        <v>2</v>
      </c>
      <c r="M19" s="1"/>
      <c r="N19" s="1"/>
      <c r="O19" s="3"/>
    </row>
    <row r="20" spans="1:15" ht="409.6">
      <c r="A20" t="s">
        <v>143</v>
      </c>
      <c r="B20" t="s">
        <v>144</v>
      </c>
      <c r="C20" t="s">
        <v>145</v>
      </c>
      <c r="D20" t="s">
        <v>14</v>
      </c>
      <c r="E20">
        <v>45</v>
      </c>
      <c r="F20" s="2" t="s">
        <v>146</v>
      </c>
      <c r="G20" s="2" t="s">
        <v>147</v>
      </c>
      <c r="H20" s="2" t="s">
        <v>148</v>
      </c>
      <c r="I20" s="2" t="s">
        <v>149</v>
      </c>
      <c r="J20" t="s">
        <v>150</v>
      </c>
      <c r="L20" s="1">
        <v>2</v>
      </c>
      <c r="M20" s="1"/>
      <c r="N20" s="1"/>
      <c r="O20" s="3"/>
    </row>
    <row r="21" spans="1:15" ht="409.6">
      <c r="A21" t="s">
        <v>151</v>
      </c>
      <c r="B21" t="s">
        <v>152</v>
      </c>
      <c r="C21" t="s">
        <v>145</v>
      </c>
      <c r="D21" t="s">
        <v>14</v>
      </c>
      <c r="E21">
        <v>45</v>
      </c>
      <c r="F21" s="2" t="s">
        <v>153</v>
      </c>
      <c r="G21" s="2" t="s">
        <v>154</v>
      </c>
      <c r="H21" s="2" t="s">
        <v>155</v>
      </c>
      <c r="I21" s="2" t="s">
        <v>156</v>
      </c>
      <c r="J21" t="s">
        <v>157</v>
      </c>
      <c r="L21" s="1">
        <v>2</v>
      </c>
      <c r="M21" s="1"/>
      <c r="N21" s="1"/>
      <c r="O21" s="3"/>
    </row>
    <row r="22" spans="1:15" ht="409.6">
      <c r="A22" t="s">
        <v>158</v>
      </c>
      <c r="B22" t="s">
        <v>159</v>
      </c>
      <c r="C22" t="s">
        <v>160</v>
      </c>
      <c r="D22" t="s">
        <v>14</v>
      </c>
      <c r="E22">
        <v>45</v>
      </c>
      <c r="F22" s="2" t="s">
        <v>161</v>
      </c>
      <c r="G22" s="2" t="s">
        <v>162</v>
      </c>
      <c r="H22" s="2" t="s">
        <v>163</v>
      </c>
      <c r="I22" s="2" t="s">
        <v>164</v>
      </c>
      <c r="J22" t="s">
        <v>165</v>
      </c>
      <c r="L22" s="1">
        <v>2</v>
      </c>
      <c r="M22" s="1"/>
      <c r="N22" s="1"/>
      <c r="O22" s="3"/>
    </row>
    <row r="23" spans="1:15" ht="409.6">
      <c r="A23" t="s">
        <v>166</v>
      </c>
      <c r="B23" t="s">
        <v>167</v>
      </c>
      <c r="C23" t="s">
        <v>44</v>
      </c>
      <c r="D23" t="s">
        <v>14</v>
      </c>
      <c r="E23">
        <v>45</v>
      </c>
      <c r="F23" s="2" t="s">
        <v>168</v>
      </c>
      <c r="G23" s="2" t="s">
        <v>169</v>
      </c>
      <c r="H23" s="2" t="s">
        <v>170</v>
      </c>
      <c r="I23" s="2" t="s">
        <v>171</v>
      </c>
      <c r="J23" t="s">
        <v>172</v>
      </c>
      <c r="L23" s="1">
        <v>2</v>
      </c>
      <c r="M23" s="1"/>
      <c r="N23" s="1"/>
      <c r="O23" s="3"/>
    </row>
    <row r="24" spans="1:15" ht="409.6">
      <c r="A24" t="s">
        <v>173</v>
      </c>
      <c r="B24" t="s">
        <v>174</v>
      </c>
      <c r="C24" t="s">
        <v>160</v>
      </c>
      <c r="D24" t="s">
        <v>14</v>
      </c>
      <c r="E24">
        <v>45</v>
      </c>
      <c r="F24" s="2" t="s">
        <v>175</v>
      </c>
      <c r="G24" s="2" t="s">
        <v>176</v>
      </c>
      <c r="H24" s="2" t="s">
        <v>177</v>
      </c>
      <c r="I24" s="2" t="s">
        <v>178</v>
      </c>
      <c r="J24" t="s">
        <v>179</v>
      </c>
      <c r="L24" s="1">
        <v>2</v>
      </c>
      <c r="M24" s="1"/>
      <c r="N24" s="1"/>
      <c r="O24" s="3"/>
    </row>
    <row r="25" spans="1:15" ht="409.6">
      <c r="A25" t="s">
        <v>180</v>
      </c>
      <c r="B25" t="s">
        <v>181</v>
      </c>
      <c r="C25" t="s">
        <v>44</v>
      </c>
      <c r="D25" t="s">
        <v>14</v>
      </c>
      <c r="E25">
        <v>40</v>
      </c>
      <c r="F25" s="2" t="s">
        <v>182</v>
      </c>
      <c r="G25" s="2" t="s">
        <v>183</v>
      </c>
      <c r="H25" s="2" t="s">
        <v>184</v>
      </c>
      <c r="I25" s="2" t="s">
        <v>185</v>
      </c>
      <c r="J25" t="s">
        <v>186</v>
      </c>
      <c r="L25" s="1">
        <v>2</v>
      </c>
      <c r="M25" s="1"/>
      <c r="N25" s="1"/>
      <c r="O25" s="3"/>
    </row>
    <row r="26" spans="1:15" ht="409.6">
      <c r="A26" t="s">
        <v>187</v>
      </c>
      <c r="B26" t="s">
        <v>188</v>
      </c>
      <c r="C26" t="s">
        <v>160</v>
      </c>
      <c r="D26" t="s">
        <v>14</v>
      </c>
      <c r="E26">
        <v>40</v>
      </c>
      <c r="F26" s="2" t="s">
        <v>189</v>
      </c>
      <c r="G26" s="2" t="s">
        <v>190</v>
      </c>
      <c r="H26" s="2" t="s">
        <v>191</v>
      </c>
      <c r="I26" s="2" t="s">
        <v>192</v>
      </c>
      <c r="J26" t="s">
        <v>193</v>
      </c>
      <c r="L26" s="1">
        <v>2</v>
      </c>
      <c r="M26" s="1"/>
      <c r="N26" s="1"/>
      <c r="O26" s="3"/>
    </row>
    <row r="27" spans="1:15" ht="409.6">
      <c r="A27" t="s">
        <v>194</v>
      </c>
      <c r="B27" t="s">
        <v>195</v>
      </c>
      <c r="C27" t="s">
        <v>160</v>
      </c>
      <c r="D27" t="s">
        <v>14</v>
      </c>
      <c r="E27">
        <v>35</v>
      </c>
      <c r="F27" s="2" t="s">
        <v>196</v>
      </c>
      <c r="G27" s="2" t="s">
        <v>197</v>
      </c>
      <c r="H27" s="2" t="s">
        <v>198</v>
      </c>
      <c r="I27" s="2" t="s">
        <v>199</v>
      </c>
      <c r="J27" t="s">
        <v>200</v>
      </c>
      <c r="L27" s="1">
        <v>2</v>
      </c>
      <c r="M27" s="1"/>
      <c r="N27" s="1"/>
      <c r="O27" s="3"/>
    </row>
    <row r="28" spans="1:15" ht="409.6">
      <c r="A28" t="s">
        <v>201</v>
      </c>
      <c r="B28" t="s">
        <v>202</v>
      </c>
      <c r="C28" t="s">
        <v>13</v>
      </c>
      <c r="D28" t="s">
        <v>14</v>
      </c>
      <c r="E28">
        <v>40</v>
      </c>
      <c r="F28" s="2" t="s">
        <v>203</v>
      </c>
      <c r="G28" s="2" t="s">
        <v>204</v>
      </c>
      <c r="H28" s="2" t="s">
        <v>205</v>
      </c>
      <c r="I28" s="2" t="s">
        <v>206</v>
      </c>
      <c r="J28" t="s">
        <v>207</v>
      </c>
      <c r="L28" s="1">
        <v>2</v>
      </c>
      <c r="M28" s="1"/>
      <c r="N28" s="1"/>
      <c r="O28" s="3"/>
    </row>
    <row r="29" spans="1:15" ht="409.6">
      <c r="A29" t="s">
        <v>208</v>
      </c>
      <c r="B29" t="s">
        <v>209</v>
      </c>
      <c r="C29" t="s">
        <v>97</v>
      </c>
      <c r="D29" t="s">
        <v>14</v>
      </c>
      <c r="E29">
        <v>30</v>
      </c>
      <c r="F29" s="2" t="s">
        <v>210</v>
      </c>
      <c r="G29" s="2" t="s">
        <v>211</v>
      </c>
      <c r="H29" s="2" t="s">
        <v>212</v>
      </c>
      <c r="I29" s="2" t="s">
        <v>213</v>
      </c>
      <c r="J29" t="s">
        <v>214</v>
      </c>
      <c r="L29" s="1">
        <v>2</v>
      </c>
      <c r="M29" s="1"/>
      <c r="N29" s="1"/>
      <c r="O29" s="3"/>
    </row>
    <row r="30" spans="1:15" ht="409.6">
      <c r="A30" t="s">
        <v>215</v>
      </c>
      <c r="B30" t="s">
        <v>216</v>
      </c>
      <c r="C30" t="s">
        <v>160</v>
      </c>
      <c r="D30" t="s">
        <v>14</v>
      </c>
      <c r="E30">
        <v>30</v>
      </c>
      <c r="F30" s="2" t="s">
        <v>217</v>
      </c>
      <c r="G30" s="2" t="s">
        <v>218</v>
      </c>
      <c r="H30" s="2" t="s">
        <v>219</v>
      </c>
      <c r="I30" s="2" t="s">
        <v>220</v>
      </c>
      <c r="J30" t="s">
        <v>221</v>
      </c>
      <c r="L30" s="1">
        <v>2</v>
      </c>
      <c r="M30" s="1"/>
      <c r="N30" s="1"/>
      <c r="O30" s="3"/>
    </row>
    <row r="31" spans="1:15" ht="409.6">
      <c r="A31" t="s">
        <v>222</v>
      </c>
      <c r="B31" t="s">
        <v>223</v>
      </c>
      <c r="C31" t="s">
        <v>160</v>
      </c>
      <c r="D31" t="s">
        <v>14</v>
      </c>
      <c r="E31">
        <v>25</v>
      </c>
      <c r="F31" s="2" t="s">
        <v>224</v>
      </c>
      <c r="G31" s="2" t="s">
        <v>225</v>
      </c>
      <c r="H31" s="2" t="s">
        <v>226</v>
      </c>
      <c r="I31" s="2" t="s">
        <v>227</v>
      </c>
      <c r="J31" t="s">
        <v>228</v>
      </c>
      <c r="L31" s="1">
        <v>2</v>
      </c>
      <c r="M31" s="1"/>
      <c r="N31" s="1"/>
      <c r="O31" s="3"/>
    </row>
    <row r="32" spans="1:15" ht="409.6">
      <c r="A32" t="s">
        <v>229</v>
      </c>
      <c r="B32" t="s">
        <v>230</v>
      </c>
      <c r="C32" t="s">
        <v>67</v>
      </c>
      <c r="D32" t="s">
        <v>14</v>
      </c>
      <c r="E32">
        <v>30</v>
      </c>
      <c r="F32" s="2" t="s">
        <v>231</v>
      </c>
      <c r="G32" s="2" t="s">
        <v>232</v>
      </c>
      <c r="H32" s="2" t="s">
        <v>233</v>
      </c>
      <c r="I32" s="2" t="s">
        <v>234</v>
      </c>
      <c r="J32" t="s">
        <v>235</v>
      </c>
      <c r="L32" s="1">
        <v>2</v>
      </c>
      <c r="M32" s="1"/>
      <c r="N32" s="1"/>
      <c r="O32" s="3"/>
    </row>
    <row r="33" spans="1:15" ht="409.6">
      <c r="A33" t="s">
        <v>236</v>
      </c>
      <c r="B33" t="s">
        <v>237</v>
      </c>
      <c r="C33" t="s">
        <v>160</v>
      </c>
      <c r="D33" t="s">
        <v>14</v>
      </c>
      <c r="E33">
        <v>30</v>
      </c>
      <c r="F33" s="2" t="s">
        <v>238</v>
      </c>
      <c r="G33" s="2" t="s">
        <v>239</v>
      </c>
      <c r="H33" s="2" t="s">
        <v>240</v>
      </c>
      <c r="I33" s="2" t="s">
        <v>241</v>
      </c>
      <c r="J33" t="s">
        <v>242</v>
      </c>
      <c r="L33" s="1">
        <v>2</v>
      </c>
      <c r="M33" s="1"/>
      <c r="N33" s="1"/>
      <c r="O33" s="3"/>
    </row>
    <row r="34" spans="1:15" ht="409.6">
      <c r="A34" t="s">
        <v>243</v>
      </c>
      <c r="B34" t="s">
        <v>244</v>
      </c>
      <c r="C34" t="s">
        <v>44</v>
      </c>
      <c r="D34" t="s">
        <v>14</v>
      </c>
      <c r="E34">
        <v>30</v>
      </c>
      <c r="F34" s="2" t="s">
        <v>245</v>
      </c>
      <c r="G34" s="2" t="s">
        <v>246</v>
      </c>
      <c r="H34" s="2" t="s">
        <v>247</v>
      </c>
      <c r="I34" s="2" t="s">
        <v>248</v>
      </c>
      <c r="J34" t="s">
        <v>249</v>
      </c>
      <c r="L34" s="1">
        <v>2</v>
      </c>
      <c r="M34" s="1"/>
      <c r="N34" s="1"/>
      <c r="O34" s="3"/>
    </row>
    <row r="35" spans="1:15" ht="409.6">
      <c r="A35" t="s">
        <v>250</v>
      </c>
      <c r="B35" t="s">
        <v>251</v>
      </c>
      <c r="C35" t="s">
        <v>44</v>
      </c>
      <c r="D35" t="s">
        <v>14</v>
      </c>
      <c r="E35">
        <v>30</v>
      </c>
      <c r="F35" s="2" t="s">
        <v>252</v>
      </c>
      <c r="G35" s="2" t="s">
        <v>253</v>
      </c>
      <c r="H35" s="2" t="s">
        <v>254</v>
      </c>
      <c r="I35" s="2" t="s">
        <v>255</v>
      </c>
      <c r="J35" t="s">
        <v>256</v>
      </c>
      <c r="L35" s="1">
        <v>2</v>
      </c>
      <c r="M35" s="1"/>
      <c r="N35" s="1"/>
      <c r="O35" s="3"/>
    </row>
    <row r="36" spans="1:15" ht="409.6">
      <c r="A36" t="s">
        <v>257</v>
      </c>
      <c r="B36" t="s">
        <v>258</v>
      </c>
      <c r="C36" t="s">
        <v>160</v>
      </c>
      <c r="D36" t="s">
        <v>14</v>
      </c>
      <c r="E36">
        <v>40</v>
      </c>
      <c r="F36" s="2" t="s">
        <v>259</v>
      </c>
      <c r="G36" s="2" t="s">
        <v>260</v>
      </c>
      <c r="H36" s="2" t="s">
        <v>261</v>
      </c>
      <c r="I36" s="2" t="s">
        <v>262</v>
      </c>
      <c r="J36" t="s">
        <v>263</v>
      </c>
      <c r="L36" s="1">
        <v>2</v>
      </c>
      <c r="M36" s="1"/>
      <c r="N36" s="1"/>
      <c r="O36" s="3"/>
    </row>
    <row r="37" spans="1:15" ht="409.6">
      <c r="A37" t="s">
        <v>264</v>
      </c>
      <c r="B37" t="s">
        <v>265</v>
      </c>
      <c r="C37" t="s">
        <v>160</v>
      </c>
      <c r="D37" t="s">
        <v>14</v>
      </c>
      <c r="E37">
        <v>30</v>
      </c>
      <c r="F37" s="2" t="s">
        <v>266</v>
      </c>
      <c r="G37" s="2" t="s">
        <v>267</v>
      </c>
      <c r="H37" s="2" t="s">
        <v>268</v>
      </c>
      <c r="I37" s="2" t="s">
        <v>269</v>
      </c>
      <c r="J37" t="s">
        <v>270</v>
      </c>
      <c r="L37" s="1">
        <v>2</v>
      </c>
      <c r="M37" s="1"/>
      <c r="N37" s="1"/>
      <c r="O37" s="3"/>
    </row>
    <row r="38" spans="1:15" ht="409.6">
      <c r="A38" t="s">
        <v>271</v>
      </c>
      <c r="B38" t="s">
        <v>272</v>
      </c>
      <c r="C38" t="s">
        <v>160</v>
      </c>
      <c r="D38" t="s">
        <v>14</v>
      </c>
      <c r="E38">
        <v>30</v>
      </c>
      <c r="F38" s="2" t="s">
        <v>273</v>
      </c>
      <c r="G38" s="2" t="s">
        <v>274</v>
      </c>
      <c r="H38" s="2" t="s">
        <v>275</v>
      </c>
      <c r="I38" s="2" t="s">
        <v>276</v>
      </c>
      <c r="J38" t="s">
        <v>277</v>
      </c>
      <c r="L38" s="1">
        <v>2</v>
      </c>
      <c r="M38" s="1"/>
      <c r="N38" s="1"/>
      <c r="O38" s="3"/>
    </row>
    <row r="39" spans="1:15" ht="409.6">
      <c r="A39" t="s">
        <v>278</v>
      </c>
      <c r="B39" t="s">
        <v>279</v>
      </c>
      <c r="C39" t="s">
        <v>67</v>
      </c>
      <c r="D39" t="s">
        <v>14</v>
      </c>
      <c r="E39">
        <v>30</v>
      </c>
      <c r="F39" s="2" t="s">
        <v>280</v>
      </c>
      <c r="G39" s="2" t="s">
        <v>281</v>
      </c>
      <c r="H39" s="2" t="s">
        <v>282</v>
      </c>
      <c r="I39" s="2" t="s">
        <v>283</v>
      </c>
      <c r="J39" t="s">
        <v>284</v>
      </c>
      <c r="L39" s="1">
        <v>2</v>
      </c>
      <c r="M39" s="1"/>
      <c r="N39" s="1"/>
      <c r="O39" s="3"/>
    </row>
    <row r="40" spans="1:15" ht="409.6">
      <c r="A40" t="s">
        <v>285</v>
      </c>
      <c r="B40" t="s">
        <v>286</v>
      </c>
      <c r="C40" t="s">
        <v>287</v>
      </c>
      <c r="D40" t="s">
        <v>23</v>
      </c>
      <c r="E40">
        <v>10</v>
      </c>
      <c r="F40" s="2" t="s">
        <v>288</v>
      </c>
      <c r="G40" s="2" t="s">
        <v>289</v>
      </c>
      <c r="H40" s="2" t="s">
        <v>290</v>
      </c>
      <c r="I40" s="2" t="s">
        <v>291</v>
      </c>
      <c r="J40" t="s">
        <v>292</v>
      </c>
      <c r="L40" s="1">
        <v>2</v>
      </c>
      <c r="M40" s="1"/>
      <c r="N40" s="1"/>
      <c r="O40" s="3"/>
    </row>
    <row r="41" spans="1:15" ht="409.6">
      <c r="A41" t="s">
        <v>293</v>
      </c>
      <c r="B41" t="s">
        <v>294</v>
      </c>
      <c r="C41" t="s">
        <v>287</v>
      </c>
      <c r="D41" t="s">
        <v>23</v>
      </c>
      <c r="E41">
        <v>10</v>
      </c>
      <c r="F41" s="2" t="s">
        <v>295</v>
      </c>
      <c r="G41" s="2" t="s">
        <v>296</v>
      </c>
      <c r="H41" s="2" t="s">
        <v>297</v>
      </c>
      <c r="I41" s="2" t="s">
        <v>298</v>
      </c>
      <c r="J41" t="s">
        <v>299</v>
      </c>
      <c r="L41" s="1">
        <v>2</v>
      </c>
      <c r="M41" s="1"/>
      <c r="N41" s="1"/>
      <c r="O41" s="3"/>
    </row>
    <row r="42" spans="1:15" ht="409.6">
      <c r="A42" t="s">
        <v>300</v>
      </c>
      <c r="B42" t="s">
        <v>301</v>
      </c>
      <c r="C42" t="s">
        <v>287</v>
      </c>
      <c r="D42" t="s">
        <v>23</v>
      </c>
      <c r="E42">
        <v>10</v>
      </c>
      <c r="F42" s="2" t="s">
        <v>302</v>
      </c>
      <c r="G42" s="2" t="s">
        <v>303</v>
      </c>
      <c r="H42" s="2" t="s">
        <v>304</v>
      </c>
      <c r="I42" s="2" t="s">
        <v>305</v>
      </c>
      <c r="J42" t="s">
        <v>306</v>
      </c>
      <c r="L42" s="1">
        <v>2</v>
      </c>
      <c r="M42" s="1"/>
      <c r="N42" s="1"/>
      <c r="O42" s="3"/>
    </row>
    <row r="43" spans="1:15" ht="409.6">
      <c r="A43" t="s">
        <v>307</v>
      </c>
      <c r="B43" t="s">
        <v>308</v>
      </c>
      <c r="C43" t="s">
        <v>287</v>
      </c>
      <c r="D43" t="s">
        <v>23</v>
      </c>
      <c r="E43">
        <v>15</v>
      </c>
      <c r="F43" s="2" t="s">
        <v>309</v>
      </c>
      <c r="G43" s="2" t="s">
        <v>310</v>
      </c>
      <c r="H43" s="2" t="s">
        <v>311</v>
      </c>
      <c r="I43" s="2" t="s">
        <v>312</v>
      </c>
      <c r="J43" t="s">
        <v>313</v>
      </c>
      <c r="L43" s="1">
        <v>2</v>
      </c>
      <c r="M43" s="1"/>
      <c r="N43" s="1"/>
      <c r="O43" s="3"/>
    </row>
    <row r="44" spans="1:15" ht="356.4">
      <c r="A44" t="s">
        <v>314</v>
      </c>
      <c r="B44" t="s">
        <v>315</v>
      </c>
      <c r="C44" t="s">
        <v>287</v>
      </c>
      <c r="D44" t="s">
        <v>23</v>
      </c>
      <c r="E44">
        <v>15</v>
      </c>
      <c r="F44" s="2" t="s">
        <v>316</v>
      </c>
      <c r="G44" s="2" t="s">
        <v>317</v>
      </c>
      <c r="H44" s="2" t="s">
        <v>318</v>
      </c>
      <c r="I44" s="2" t="s">
        <v>319</v>
      </c>
      <c r="J44" t="s">
        <v>320</v>
      </c>
      <c r="L44" s="1">
        <v>2</v>
      </c>
      <c r="M44" s="1"/>
      <c r="N44" s="1"/>
      <c r="O44" s="3"/>
    </row>
    <row r="45" spans="1:15" ht="409.6">
      <c r="A45" t="s">
        <v>321</v>
      </c>
      <c r="B45" t="s">
        <v>322</v>
      </c>
      <c r="C45" t="s">
        <v>287</v>
      </c>
      <c r="D45" t="s">
        <v>23</v>
      </c>
      <c r="E45">
        <v>5</v>
      </c>
      <c r="F45" s="2" t="s">
        <v>323</v>
      </c>
      <c r="G45" s="2" t="s">
        <v>324</v>
      </c>
      <c r="H45" s="2" t="s">
        <v>325</v>
      </c>
      <c r="I45" s="2" t="s">
        <v>326</v>
      </c>
      <c r="J45" t="s">
        <v>327</v>
      </c>
      <c r="L45" s="1">
        <v>2</v>
      </c>
      <c r="M45" s="1"/>
      <c r="N45" s="1"/>
      <c r="O45" s="3"/>
    </row>
    <row r="46" spans="1:15" ht="409.6">
      <c r="A46" t="s">
        <v>328</v>
      </c>
      <c r="B46" t="s">
        <v>329</v>
      </c>
      <c r="C46" t="s">
        <v>287</v>
      </c>
      <c r="D46" t="s">
        <v>23</v>
      </c>
      <c r="E46">
        <v>20</v>
      </c>
      <c r="F46" s="2" t="s">
        <v>330</v>
      </c>
      <c r="G46" s="2" t="s">
        <v>331</v>
      </c>
      <c r="H46" s="2" t="s">
        <v>332</v>
      </c>
      <c r="I46" s="2" t="s">
        <v>333</v>
      </c>
      <c r="J46" t="s">
        <v>334</v>
      </c>
      <c r="L46" s="1">
        <v>2</v>
      </c>
      <c r="M46" s="1"/>
      <c r="N46" s="1"/>
      <c r="O46" s="3"/>
    </row>
    <row r="47" spans="1:15" ht="409.6">
      <c r="A47" t="s">
        <v>335</v>
      </c>
      <c r="B47" t="s">
        <v>336</v>
      </c>
      <c r="C47" t="s">
        <v>287</v>
      </c>
      <c r="D47" t="s">
        <v>23</v>
      </c>
      <c r="E47">
        <v>10</v>
      </c>
      <c r="F47" s="2" t="s">
        <v>337</v>
      </c>
      <c r="G47" s="2" t="s">
        <v>338</v>
      </c>
      <c r="H47" s="2" t="s">
        <v>339</v>
      </c>
      <c r="I47" s="2" t="s">
        <v>340</v>
      </c>
      <c r="J47" t="s">
        <v>341</v>
      </c>
      <c r="L47" s="1">
        <v>2</v>
      </c>
      <c r="M47" s="1"/>
      <c r="N47" s="1"/>
      <c r="O47" s="3"/>
    </row>
    <row r="48" spans="1:15" ht="409.6">
      <c r="A48" t="s">
        <v>342</v>
      </c>
      <c r="B48" t="s">
        <v>343</v>
      </c>
      <c r="C48" t="s">
        <v>287</v>
      </c>
      <c r="D48" t="s">
        <v>23</v>
      </c>
      <c r="E48">
        <v>10</v>
      </c>
      <c r="F48" s="2" t="s">
        <v>344</v>
      </c>
      <c r="G48" s="2" t="s">
        <v>345</v>
      </c>
      <c r="H48" s="2" t="s">
        <v>346</v>
      </c>
      <c r="I48" s="2" t="s">
        <v>347</v>
      </c>
      <c r="J48" t="s">
        <v>348</v>
      </c>
      <c r="L48" s="1">
        <v>2</v>
      </c>
      <c r="M48" s="1"/>
      <c r="N48" s="1"/>
      <c r="O48" s="3"/>
    </row>
    <row r="49" spans="1:15" ht="409.6">
      <c r="A49" t="s">
        <v>349</v>
      </c>
      <c r="B49" t="s">
        <v>350</v>
      </c>
      <c r="C49" t="s">
        <v>52</v>
      </c>
      <c r="D49" t="s">
        <v>23</v>
      </c>
      <c r="E49">
        <v>10</v>
      </c>
      <c r="F49" s="2" t="s">
        <v>351</v>
      </c>
      <c r="G49" s="2" t="s">
        <v>352</v>
      </c>
      <c r="H49" s="2" t="s">
        <v>353</v>
      </c>
      <c r="I49" s="2" t="s">
        <v>354</v>
      </c>
      <c r="J49" t="s">
        <v>355</v>
      </c>
      <c r="L49" s="1">
        <v>2</v>
      </c>
      <c r="M49" s="1"/>
      <c r="N49" s="1"/>
      <c r="O49" s="3"/>
    </row>
    <row r="50" spans="1:15" ht="409.6">
      <c r="A50" t="s">
        <v>356</v>
      </c>
      <c r="B50" t="s">
        <v>357</v>
      </c>
      <c r="C50" t="s">
        <v>358</v>
      </c>
      <c r="D50" t="s">
        <v>23</v>
      </c>
      <c r="E50">
        <v>15</v>
      </c>
      <c r="F50" s="2" t="s">
        <v>359</v>
      </c>
      <c r="G50" s="2" t="s">
        <v>360</v>
      </c>
      <c r="H50" s="2" t="s">
        <v>361</v>
      </c>
      <c r="I50" s="2" t="s">
        <v>362</v>
      </c>
      <c r="J50" t="s">
        <v>363</v>
      </c>
      <c r="L50" s="1">
        <v>2</v>
      </c>
      <c r="M50" s="1"/>
      <c r="N50" s="1"/>
      <c r="O50" s="3"/>
    </row>
    <row r="51" spans="1:15" ht="409.6">
      <c r="A51" t="s">
        <v>364</v>
      </c>
      <c r="B51" t="s">
        <v>365</v>
      </c>
      <c r="C51" t="s">
        <v>358</v>
      </c>
      <c r="D51" t="s">
        <v>23</v>
      </c>
      <c r="E51">
        <v>15</v>
      </c>
      <c r="F51" s="2" t="s">
        <v>366</v>
      </c>
      <c r="G51" s="2" t="s">
        <v>367</v>
      </c>
      <c r="H51" s="2" t="s">
        <v>368</v>
      </c>
      <c r="I51" s="2" t="s">
        <v>369</v>
      </c>
      <c r="J51" t="s">
        <v>370</v>
      </c>
      <c r="L51" s="1">
        <v>2</v>
      </c>
      <c r="M51" s="1"/>
      <c r="N51" s="1"/>
      <c r="O51" s="3"/>
    </row>
    <row r="52" spans="1:15" ht="409.6">
      <c r="A52" t="s">
        <v>371</v>
      </c>
      <c r="B52" t="s">
        <v>372</v>
      </c>
      <c r="C52" t="s">
        <v>358</v>
      </c>
      <c r="D52" t="s">
        <v>23</v>
      </c>
      <c r="E52">
        <v>15</v>
      </c>
      <c r="F52" s="2" t="s">
        <v>373</v>
      </c>
      <c r="G52" s="2" t="s">
        <v>374</v>
      </c>
      <c r="H52" s="2" t="s">
        <v>375</v>
      </c>
      <c r="I52" s="2" t="s">
        <v>376</v>
      </c>
      <c r="J52" t="s">
        <v>377</v>
      </c>
      <c r="L52" s="1">
        <v>2</v>
      </c>
      <c r="M52" s="1"/>
      <c r="N52" s="1"/>
      <c r="O52" s="3"/>
    </row>
    <row r="53" spans="1:15" ht="409.6">
      <c r="A53" t="s">
        <v>378</v>
      </c>
      <c r="B53" t="s">
        <v>379</v>
      </c>
      <c r="C53" t="s">
        <v>358</v>
      </c>
      <c r="D53" t="s">
        <v>23</v>
      </c>
      <c r="E53">
        <v>15</v>
      </c>
      <c r="F53" s="2" t="s">
        <v>380</v>
      </c>
      <c r="G53" s="2" t="s">
        <v>381</v>
      </c>
      <c r="H53" s="2" t="s">
        <v>382</v>
      </c>
      <c r="I53" s="2" t="s">
        <v>383</v>
      </c>
      <c r="J53" t="s">
        <v>384</v>
      </c>
      <c r="L53" s="1">
        <v>2</v>
      </c>
      <c r="M53" s="1"/>
      <c r="N53" s="1"/>
      <c r="O53" s="3"/>
    </row>
    <row r="54" spans="1:15" ht="409.6">
      <c r="A54" t="s">
        <v>385</v>
      </c>
      <c r="B54" t="s">
        <v>386</v>
      </c>
      <c r="C54" t="s">
        <v>358</v>
      </c>
      <c r="D54" t="s">
        <v>23</v>
      </c>
      <c r="E54">
        <v>15</v>
      </c>
      <c r="F54" s="2" t="s">
        <v>387</v>
      </c>
      <c r="G54" s="2" t="s">
        <v>388</v>
      </c>
      <c r="H54" s="2" t="s">
        <v>389</v>
      </c>
      <c r="I54" s="2" t="s">
        <v>390</v>
      </c>
      <c r="J54" t="s">
        <v>391</v>
      </c>
      <c r="L54" s="1">
        <v>2</v>
      </c>
      <c r="M54" s="1"/>
      <c r="N54" s="1"/>
      <c r="O54" s="3"/>
    </row>
    <row r="55" spans="1:15" ht="409.6">
      <c r="A55" t="s">
        <v>392</v>
      </c>
      <c r="B55" t="s">
        <v>393</v>
      </c>
      <c r="C55" t="s">
        <v>67</v>
      </c>
      <c r="D55" t="s">
        <v>14</v>
      </c>
      <c r="E55">
        <v>20</v>
      </c>
      <c r="F55" s="2" t="s">
        <v>394</v>
      </c>
      <c r="G55" s="2" t="s">
        <v>395</v>
      </c>
      <c r="H55" s="2" t="s">
        <v>396</v>
      </c>
      <c r="I55" s="2" t="s">
        <v>397</v>
      </c>
      <c r="J55" t="s">
        <v>398</v>
      </c>
      <c r="L55" s="1">
        <v>2</v>
      </c>
      <c r="M55" s="1"/>
      <c r="N55" s="1"/>
      <c r="O55" s="3"/>
    </row>
    <row r="56" spans="1:15" ht="409.6">
      <c r="A56" t="s">
        <v>399</v>
      </c>
      <c r="B56" t="s">
        <v>400</v>
      </c>
      <c r="C56" t="s">
        <v>67</v>
      </c>
      <c r="D56" t="s">
        <v>14</v>
      </c>
      <c r="E56">
        <v>30</v>
      </c>
      <c r="F56" s="2" t="s">
        <v>401</v>
      </c>
      <c r="G56" s="2" t="s">
        <v>402</v>
      </c>
      <c r="H56" s="2" t="s">
        <v>403</v>
      </c>
      <c r="I56" s="2" t="s">
        <v>404</v>
      </c>
      <c r="J56" t="s">
        <v>405</v>
      </c>
      <c r="L56" s="1">
        <v>2</v>
      </c>
      <c r="M56" s="1"/>
      <c r="N56" s="1"/>
      <c r="O56" s="3"/>
    </row>
    <row r="57" spans="1:15" ht="409.6">
      <c r="A57" t="s">
        <v>406</v>
      </c>
      <c r="B57" t="s">
        <v>407</v>
      </c>
      <c r="C57" t="s">
        <v>67</v>
      </c>
      <c r="D57" t="s">
        <v>14</v>
      </c>
      <c r="E57">
        <v>80</v>
      </c>
      <c r="F57" s="2" t="s">
        <v>408</v>
      </c>
      <c r="G57" s="2" t="s">
        <v>409</v>
      </c>
      <c r="H57" s="2" t="s">
        <v>410</v>
      </c>
      <c r="I57" s="2" t="s">
        <v>411</v>
      </c>
      <c r="J57" t="s">
        <v>412</v>
      </c>
      <c r="L57" s="1">
        <v>2</v>
      </c>
      <c r="M57" s="1"/>
      <c r="N57" s="1"/>
      <c r="O57" s="3"/>
    </row>
    <row r="58" spans="1:15" ht="409.6">
      <c r="A58" t="s">
        <v>413</v>
      </c>
      <c r="B58" t="s">
        <v>414</v>
      </c>
      <c r="C58" t="s">
        <v>67</v>
      </c>
      <c r="D58" t="s">
        <v>14</v>
      </c>
      <c r="E58">
        <v>30</v>
      </c>
      <c r="F58" s="2" t="s">
        <v>415</v>
      </c>
      <c r="G58" s="2" t="s">
        <v>416</v>
      </c>
      <c r="H58" s="2" t="s">
        <v>417</v>
      </c>
      <c r="I58" s="2" t="s">
        <v>418</v>
      </c>
      <c r="J58" t="s">
        <v>419</v>
      </c>
      <c r="L58" s="1">
        <v>2</v>
      </c>
      <c r="M58" s="1"/>
      <c r="N58" s="1"/>
      <c r="O58" s="3"/>
    </row>
    <row r="59" spans="1:15" ht="409.6">
      <c r="A59" t="s">
        <v>420</v>
      </c>
      <c r="B59" t="s">
        <v>421</v>
      </c>
      <c r="C59" t="s">
        <v>160</v>
      </c>
      <c r="D59" t="s">
        <v>14</v>
      </c>
      <c r="E59">
        <v>40</v>
      </c>
      <c r="F59" s="2" t="s">
        <v>422</v>
      </c>
      <c r="G59" s="2" t="s">
        <v>423</v>
      </c>
      <c r="H59" s="2" t="s">
        <v>424</v>
      </c>
      <c r="I59" s="2" t="s">
        <v>425</v>
      </c>
      <c r="J59" t="s">
        <v>426</v>
      </c>
      <c r="L59" s="1">
        <v>2</v>
      </c>
      <c r="M59" s="1"/>
      <c r="N59" s="1"/>
      <c r="O59" s="3"/>
    </row>
    <row r="60" spans="1:15" ht="409.6">
      <c r="A60" t="s">
        <v>427</v>
      </c>
      <c r="B60" t="s">
        <v>428</v>
      </c>
      <c r="C60" t="s">
        <v>429</v>
      </c>
      <c r="D60" t="s">
        <v>23</v>
      </c>
      <c r="E60">
        <v>30</v>
      </c>
      <c r="F60" s="2" t="s">
        <v>430</v>
      </c>
      <c r="G60" s="2" t="s">
        <v>431</v>
      </c>
      <c r="H60" s="2" t="s">
        <v>432</v>
      </c>
      <c r="I60" s="2" t="s">
        <v>433</v>
      </c>
      <c r="J60" t="s">
        <v>434</v>
      </c>
      <c r="L60" s="1">
        <v>2</v>
      </c>
      <c r="M60" s="1"/>
      <c r="N60" s="1"/>
      <c r="O60" s="3"/>
    </row>
    <row r="61" spans="1:15" ht="409.6">
      <c r="A61" t="s">
        <v>435</v>
      </c>
      <c r="B61" t="s">
        <v>436</v>
      </c>
      <c r="C61" t="s">
        <v>145</v>
      </c>
      <c r="D61" t="s">
        <v>23</v>
      </c>
      <c r="E61">
        <v>20</v>
      </c>
      <c r="F61" s="2" t="s">
        <v>437</v>
      </c>
      <c r="G61" s="2" t="s">
        <v>438</v>
      </c>
      <c r="H61" s="2" t="s">
        <v>439</v>
      </c>
      <c r="I61" s="2" t="s">
        <v>440</v>
      </c>
      <c r="J61" t="s">
        <v>441</v>
      </c>
      <c r="L61" s="1">
        <v>2</v>
      </c>
      <c r="M61" s="1"/>
      <c r="N61" s="1"/>
      <c r="O61" s="3"/>
    </row>
    <row r="62" spans="1:15" ht="409.6">
      <c r="A62" t="s">
        <v>442</v>
      </c>
      <c r="B62" t="s">
        <v>443</v>
      </c>
      <c r="C62" t="s">
        <v>145</v>
      </c>
      <c r="D62" t="s">
        <v>23</v>
      </c>
      <c r="E62">
        <v>30</v>
      </c>
      <c r="F62" s="2" t="s">
        <v>444</v>
      </c>
      <c r="G62" s="2" t="s">
        <v>445</v>
      </c>
      <c r="H62" s="2" t="s">
        <v>446</v>
      </c>
      <c r="I62" s="2" t="s">
        <v>447</v>
      </c>
      <c r="J62" t="s">
        <v>448</v>
      </c>
      <c r="L62" s="1">
        <v>2</v>
      </c>
      <c r="M62" s="1"/>
      <c r="N62" s="1"/>
      <c r="O62" s="3"/>
    </row>
    <row r="63" spans="1:15" ht="409.6">
      <c r="A63" t="s">
        <v>449</v>
      </c>
      <c r="B63" t="s">
        <v>450</v>
      </c>
      <c r="C63" t="s">
        <v>451</v>
      </c>
      <c r="D63" t="s">
        <v>23</v>
      </c>
      <c r="E63">
        <v>30</v>
      </c>
      <c r="F63" s="2" t="s">
        <v>452</v>
      </c>
      <c r="G63" s="2" t="s">
        <v>453</v>
      </c>
      <c r="H63" s="2" t="s">
        <v>454</v>
      </c>
      <c r="I63" s="2" t="s">
        <v>455</v>
      </c>
      <c r="J63" t="s">
        <v>456</v>
      </c>
      <c r="L63" s="1">
        <v>2</v>
      </c>
      <c r="M63" s="1"/>
      <c r="N63" s="1"/>
      <c r="O63" s="3"/>
    </row>
    <row r="64" spans="1:15" ht="409.6">
      <c r="A64" t="s">
        <v>457</v>
      </c>
      <c r="B64" t="s">
        <v>458</v>
      </c>
      <c r="C64" t="s">
        <v>145</v>
      </c>
      <c r="D64" t="s">
        <v>23</v>
      </c>
      <c r="E64">
        <v>35</v>
      </c>
      <c r="F64" s="2" t="s">
        <v>459</v>
      </c>
      <c r="G64" s="2" t="s">
        <v>460</v>
      </c>
      <c r="H64" s="2" t="s">
        <v>461</v>
      </c>
      <c r="I64" s="2" t="s">
        <v>462</v>
      </c>
      <c r="J64" t="s">
        <v>463</v>
      </c>
      <c r="L64" s="1">
        <v>2</v>
      </c>
      <c r="M64" s="1"/>
      <c r="N64" s="1"/>
      <c r="O64" s="3"/>
    </row>
    <row r="65" spans="1:15" ht="409.6">
      <c r="A65" t="s">
        <v>464</v>
      </c>
      <c r="B65" t="s">
        <v>465</v>
      </c>
      <c r="C65" t="s">
        <v>145</v>
      </c>
      <c r="D65" t="s">
        <v>23</v>
      </c>
      <c r="E65">
        <v>15</v>
      </c>
      <c r="F65" s="2" t="s">
        <v>466</v>
      </c>
      <c r="G65" s="2" t="s">
        <v>467</v>
      </c>
      <c r="H65" s="2" t="s">
        <v>468</v>
      </c>
      <c r="I65" s="2" t="s">
        <v>469</v>
      </c>
      <c r="J65" t="s">
        <v>470</v>
      </c>
      <c r="L65" s="1">
        <v>2</v>
      </c>
      <c r="M65" s="1"/>
      <c r="N65" s="1"/>
      <c r="O65" s="3"/>
    </row>
    <row r="66" spans="1:15" ht="13.8">
      <c r="A66" t="s">
        <v>471</v>
      </c>
      <c r="B66" t="s">
        <v>472</v>
      </c>
      <c r="C66" t="s">
        <v>473</v>
      </c>
      <c r="D66" t="s">
        <v>23</v>
      </c>
      <c r="E66">
        <v>15</v>
      </c>
      <c r="F66" t="s">
        <v>474</v>
      </c>
      <c r="G66" t="s">
        <v>475</v>
      </c>
      <c r="H66" t="s">
        <v>476</v>
      </c>
      <c r="I66" t="s">
        <v>477</v>
      </c>
      <c r="J66" t="s">
        <v>478</v>
      </c>
      <c r="L66" s="1">
        <v>2</v>
      </c>
      <c r="M66" s="1"/>
      <c r="N66" s="1"/>
      <c r="O66" s="3"/>
    </row>
    <row r="67" spans="1:15" ht="409.6">
      <c r="A67" t="s">
        <v>479</v>
      </c>
      <c r="B67" t="s">
        <v>480</v>
      </c>
      <c r="C67" t="s">
        <v>358</v>
      </c>
      <c r="D67" t="s">
        <v>23</v>
      </c>
      <c r="E67">
        <v>5</v>
      </c>
      <c r="F67" t="s">
        <v>481</v>
      </c>
      <c r="G67" t="s">
        <v>482</v>
      </c>
      <c r="H67" s="2" t="s">
        <v>483</v>
      </c>
      <c r="I67" s="2" t="s">
        <v>484</v>
      </c>
      <c r="J67" t="s">
        <v>485</v>
      </c>
      <c r="L67" s="1">
        <v>2</v>
      </c>
      <c r="M67" s="1"/>
      <c r="N67" s="1"/>
      <c r="O67" s="3"/>
    </row>
    <row r="68" spans="1:15" ht="264">
      <c r="A68" t="s">
        <v>486</v>
      </c>
      <c r="B68" t="s">
        <v>487</v>
      </c>
      <c r="C68" t="s">
        <v>358</v>
      </c>
      <c r="D68" t="s">
        <v>23</v>
      </c>
      <c r="E68">
        <v>5</v>
      </c>
      <c r="F68" t="s">
        <v>488</v>
      </c>
      <c r="G68" t="s">
        <v>489</v>
      </c>
      <c r="H68" s="2" t="s">
        <v>490</v>
      </c>
      <c r="I68" s="2" t="s">
        <v>491</v>
      </c>
      <c r="J68" t="s">
        <v>492</v>
      </c>
      <c r="L68" s="1">
        <v>2</v>
      </c>
      <c r="M68" s="1"/>
      <c r="N68" s="1"/>
      <c r="O68" s="3"/>
    </row>
    <row r="69" spans="1:15" ht="409.6">
      <c r="A69" t="s">
        <v>493</v>
      </c>
      <c r="B69" t="s">
        <v>494</v>
      </c>
      <c r="C69" t="s">
        <v>358</v>
      </c>
      <c r="D69" t="s">
        <v>23</v>
      </c>
      <c r="E69">
        <v>5</v>
      </c>
      <c r="F69" s="2" t="s">
        <v>495</v>
      </c>
      <c r="G69" s="2" t="s">
        <v>496</v>
      </c>
      <c r="H69" s="2" t="s">
        <v>497</v>
      </c>
      <c r="I69" s="2" t="s">
        <v>498</v>
      </c>
      <c r="J69" t="s">
        <v>499</v>
      </c>
      <c r="L69" s="1">
        <v>2</v>
      </c>
      <c r="M69" s="1"/>
      <c r="N69" s="1"/>
      <c r="O69" s="3"/>
    </row>
    <row r="70" spans="1:15" ht="409.6">
      <c r="A70" t="s">
        <v>500</v>
      </c>
      <c r="B70" t="s">
        <v>501</v>
      </c>
      <c r="C70" t="s">
        <v>358</v>
      </c>
      <c r="D70" t="s">
        <v>23</v>
      </c>
      <c r="E70">
        <v>10</v>
      </c>
      <c r="F70" s="2" t="s">
        <v>502</v>
      </c>
      <c r="G70" s="2" t="s">
        <v>503</v>
      </c>
      <c r="H70" s="2" t="s">
        <v>504</v>
      </c>
      <c r="I70" s="2" t="s">
        <v>505</v>
      </c>
      <c r="J70" t="s">
        <v>506</v>
      </c>
      <c r="L70" s="1">
        <v>2</v>
      </c>
      <c r="M70" s="1"/>
      <c r="N70" s="1"/>
      <c r="O70" s="3"/>
    </row>
    <row r="71" spans="1:15" ht="237.6">
      <c r="A71" t="s">
        <v>507</v>
      </c>
      <c r="B71" t="s">
        <v>508</v>
      </c>
      <c r="C71" t="s">
        <v>358</v>
      </c>
      <c r="D71" t="s">
        <v>23</v>
      </c>
      <c r="E71">
        <v>5</v>
      </c>
      <c r="F71" s="2" t="s">
        <v>509</v>
      </c>
      <c r="G71" s="2" t="s">
        <v>510</v>
      </c>
      <c r="H71" s="2" t="s">
        <v>511</v>
      </c>
      <c r="I71" s="2" t="s">
        <v>512</v>
      </c>
      <c r="J71" t="s">
        <v>513</v>
      </c>
      <c r="L71" s="1">
        <v>2</v>
      </c>
      <c r="M71" s="1"/>
      <c r="N71" s="1"/>
      <c r="O71" s="3"/>
    </row>
    <row r="72" spans="1:15" ht="409.6">
      <c r="A72" t="s">
        <v>514</v>
      </c>
      <c r="B72" t="s">
        <v>515</v>
      </c>
      <c r="C72" t="s">
        <v>358</v>
      </c>
      <c r="D72" t="s">
        <v>23</v>
      </c>
      <c r="E72">
        <v>10</v>
      </c>
      <c r="F72" s="2" t="s">
        <v>516</v>
      </c>
      <c r="G72" s="2" t="s">
        <v>517</v>
      </c>
      <c r="H72" s="2" t="s">
        <v>518</v>
      </c>
      <c r="I72" s="2" t="s">
        <v>519</v>
      </c>
      <c r="J72" t="s">
        <v>520</v>
      </c>
      <c r="L72" s="1">
        <v>2</v>
      </c>
      <c r="M72" s="1"/>
      <c r="N72" s="1"/>
      <c r="O72" s="3"/>
    </row>
    <row r="73" spans="1:15" ht="409.6">
      <c r="A73" t="s">
        <v>521</v>
      </c>
      <c r="B73" t="s">
        <v>522</v>
      </c>
      <c r="C73" t="s">
        <v>358</v>
      </c>
      <c r="D73" t="s">
        <v>23</v>
      </c>
      <c r="E73">
        <v>10</v>
      </c>
      <c r="F73" s="2" t="s">
        <v>523</v>
      </c>
      <c r="G73" s="2" t="s">
        <v>524</v>
      </c>
      <c r="H73" s="2" t="s">
        <v>525</v>
      </c>
      <c r="I73" s="2" t="s">
        <v>526</v>
      </c>
      <c r="J73" t="s">
        <v>527</v>
      </c>
      <c r="L73" s="1">
        <v>2</v>
      </c>
      <c r="M73" s="1"/>
      <c r="N73" s="1"/>
      <c r="O73" s="3"/>
    </row>
    <row r="74" spans="1:15" ht="409.6">
      <c r="A74" t="s">
        <v>528</v>
      </c>
      <c r="B74" t="s">
        <v>529</v>
      </c>
      <c r="C74" t="s">
        <v>358</v>
      </c>
      <c r="D74" t="s">
        <v>23</v>
      </c>
      <c r="E74">
        <v>10</v>
      </c>
      <c r="F74" t="s">
        <v>530</v>
      </c>
      <c r="G74" t="s">
        <v>531</v>
      </c>
      <c r="H74" s="2" t="s">
        <v>532</v>
      </c>
      <c r="I74" s="2" t="s">
        <v>533</v>
      </c>
      <c r="J74" t="s">
        <v>534</v>
      </c>
      <c r="L74" s="1">
        <v>2</v>
      </c>
      <c r="M74" s="1"/>
      <c r="N74" s="1"/>
      <c r="O74" s="3"/>
    </row>
    <row r="75" spans="1:15" ht="409.6">
      <c r="A75" t="s">
        <v>535</v>
      </c>
      <c r="B75" t="s">
        <v>536</v>
      </c>
      <c r="C75" t="s">
        <v>358</v>
      </c>
      <c r="D75" t="s">
        <v>23</v>
      </c>
      <c r="E75">
        <v>10</v>
      </c>
      <c r="F75" t="s">
        <v>537</v>
      </c>
      <c r="G75" t="s">
        <v>538</v>
      </c>
      <c r="H75" s="2" t="s">
        <v>539</v>
      </c>
      <c r="I75" s="2" t="s">
        <v>540</v>
      </c>
      <c r="J75" t="s">
        <v>541</v>
      </c>
      <c r="L75" s="1">
        <v>2</v>
      </c>
      <c r="M75" s="1"/>
      <c r="N75" s="1"/>
      <c r="O75" s="3"/>
    </row>
    <row r="76" spans="1:15" ht="409.2">
      <c r="A76" t="s">
        <v>542</v>
      </c>
      <c r="B76" t="s">
        <v>543</v>
      </c>
      <c r="C76" t="s">
        <v>358</v>
      </c>
      <c r="D76" t="s">
        <v>23</v>
      </c>
      <c r="E76">
        <v>10</v>
      </c>
      <c r="F76" t="s">
        <v>544</v>
      </c>
      <c r="G76" t="s">
        <v>545</v>
      </c>
      <c r="H76" s="2" t="s">
        <v>546</v>
      </c>
      <c r="I76" s="2" t="s">
        <v>547</v>
      </c>
      <c r="J76" t="s">
        <v>548</v>
      </c>
      <c r="L76" s="1">
        <v>2</v>
      </c>
      <c r="M76" s="1"/>
      <c r="N76" s="1"/>
      <c r="O76" s="3"/>
    </row>
    <row r="77" spans="1:15" ht="409.6">
      <c r="A77" t="s">
        <v>549</v>
      </c>
      <c r="B77" t="s">
        <v>550</v>
      </c>
      <c r="C77" t="s">
        <v>358</v>
      </c>
      <c r="D77" t="s">
        <v>23</v>
      </c>
      <c r="E77">
        <v>10</v>
      </c>
      <c r="F77" s="2" t="s">
        <v>551</v>
      </c>
      <c r="G77" s="2" t="s">
        <v>552</v>
      </c>
      <c r="H77" s="2" t="s">
        <v>553</v>
      </c>
      <c r="I77" s="2" t="s">
        <v>554</v>
      </c>
      <c r="J77" t="s">
        <v>555</v>
      </c>
      <c r="L77" s="1">
        <v>2</v>
      </c>
      <c r="M77" s="1"/>
      <c r="N77" s="1"/>
      <c r="O77" s="3"/>
    </row>
    <row r="78" spans="1:15" ht="13.8">
      <c r="A78" t="s">
        <v>556</v>
      </c>
      <c r="B78" t="s">
        <v>557</v>
      </c>
      <c r="C78" t="s">
        <v>97</v>
      </c>
      <c r="D78" t="s">
        <v>23</v>
      </c>
      <c r="E78">
        <v>15</v>
      </c>
      <c r="F78" t="s">
        <v>558</v>
      </c>
      <c r="G78" t="s">
        <v>559</v>
      </c>
      <c r="H78" t="s">
        <v>560</v>
      </c>
      <c r="I78" t="s">
        <v>561</v>
      </c>
      <c r="J78" t="s">
        <v>562</v>
      </c>
      <c r="L78" s="1">
        <v>2</v>
      </c>
      <c r="M78" s="1"/>
      <c r="N78" s="1"/>
      <c r="O78" s="3"/>
    </row>
    <row r="79" spans="1:15" ht="409.6">
      <c r="A79" t="s">
        <v>563</v>
      </c>
      <c r="B79" t="s">
        <v>564</v>
      </c>
      <c r="C79" t="s">
        <v>429</v>
      </c>
      <c r="D79" t="s">
        <v>23</v>
      </c>
      <c r="E79">
        <v>20</v>
      </c>
      <c r="F79" t="s">
        <v>565</v>
      </c>
      <c r="G79" t="s">
        <v>566</v>
      </c>
      <c r="H79" s="2" t="s">
        <v>567</v>
      </c>
      <c r="I79" s="2" t="s">
        <v>568</v>
      </c>
      <c r="J79" t="s">
        <v>569</v>
      </c>
      <c r="L79" s="1">
        <v>2</v>
      </c>
      <c r="M79" s="1"/>
      <c r="N79" s="1"/>
      <c r="O79" s="3"/>
    </row>
    <row r="80" spans="1:15" ht="409.6">
      <c r="A80" t="s">
        <v>570</v>
      </c>
      <c r="B80" t="s">
        <v>571</v>
      </c>
      <c r="C80" t="s">
        <v>572</v>
      </c>
      <c r="D80" t="s">
        <v>14</v>
      </c>
      <c r="E80">
        <v>35</v>
      </c>
      <c r="F80" t="s">
        <v>573</v>
      </c>
      <c r="G80" t="s">
        <v>574</v>
      </c>
      <c r="H80" s="2" t="s">
        <v>575</v>
      </c>
      <c r="I80" s="2" t="s">
        <v>576</v>
      </c>
      <c r="J80" t="s">
        <v>577</v>
      </c>
      <c r="K80" t="s">
        <v>578</v>
      </c>
      <c r="L80" s="1">
        <v>2</v>
      </c>
      <c r="M80" s="1"/>
      <c r="N80" s="1"/>
      <c r="O80" s="3"/>
    </row>
    <row r="81" spans="1:15" ht="409.6">
      <c r="A81" t="s">
        <v>579</v>
      </c>
      <c r="B81" t="s">
        <v>580</v>
      </c>
      <c r="C81" t="s">
        <v>581</v>
      </c>
      <c r="D81" t="s">
        <v>23</v>
      </c>
      <c r="E81">
        <v>30</v>
      </c>
      <c r="F81" t="s">
        <v>582</v>
      </c>
      <c r="G81" t="s">
        <v>583</v>
      </c>
      <c r="H81" s="2" t="s">
        <v>584</v>
      </c>
      <c r="I81" s="2" t="s">
        <v>585</v>
      </c>
      <c r="J81" t="s">
        <v>586</v>
      </c>
      <c r="L81" s="1">
        <v>2</v>
      </c>
      <c r="M81" s="1"/>
      <c r="N81" s="1"/>
      <c r="O81" s="3"/>
    </row>
    <row r="82" spans="1:15" ht="13.8">
      <c r="A82" t="s">
        <v>587</v>
      </c>
      <c r="B82" t="s">
        <v>588</v>
      </c>
      <c r="C82" t="s">
        <v>429</v>
      </c>
      <c r="D82" t="s">
        <v>23</v>
      </c>
      <c r="E82">
        <v>30</v>
      </c>
      <c r="F82" t="s">
        <v>589</v>
      </c>
      <c r="G82" t="s">
        <v>590</v>
      </c>
      <c r="H82" t="s">
        <v>591</v>
      </c>
      <c r="I82" t="s">
        <v>592</v>
      </c>
      <c r="J82" t="s">
        <v>593</v>
      </c>
      <c r="K82" t="s">
        <v>594</v>
      </c>
      <c r="L82" s="1">
        <v>2</v>
      </c>
      <c r="M82" s="1"/>
      <c r="N82" s="1"/>
      <c r="O82" s="3"/>
    </row>
    <row r="83" spans="1:15" ht="13.8">
      <c r="A83" t="s">
        <v>595</v>
      </c>
      <c r="B83" t="s">
        <v>596</v>
      </c>
      <c r="C83" t="s">
        <v>597</v>
      </c>
      <c r="D83" t="s">
        <v>23</v>
      </c>
      <c r="E83">
        <v>10</v>
      </c>
      <c r="F83" t="s">
        <v>598</v>
      </c>
      <c r="G83" t="s">
        <v>599</v>
      </c>
      <c r="H83" t="s">
        <v>600</v>
      </c>
      <c r="I83" t="s">
        <v>601</v>
      </c>
      <c r="J83" t="s">
        <v>602</v>
      </c>
      <c r="L83" s="1">
        <v>2</v>
      </c>
      <c r="M83" s="1"/>
      <c r="N83" s="1"/>
      <c r="O83" s="3"/>
    </row>
    <row r="84" spans="1:15" ht="409.6">
      <c r="A84" t="s">
        <v>603</v>
      </c>
      <c r="B84" t="s">
        <v>604</v>
      </c>
      <c r="C84" t="s">
        <v>473</v>
      </c>
      <c r="D84" t="s">
        <v>23</v>
      </c>
      <c r="E84">
        <v>30</v>
      </c>
      <c r="F84" t="s">
        <v>605</v>
      </c>
      <c r="G84" t="s">
        <v>606</v>
      </c>
      <c r="H84" s="2" t="s">
        <v>607</v>
      </c>
      <c r="I84" s="2" t="s">
        <v>608</v>
      </c>
      <c r="J84" t="s">
        <v>609</v>
      </c>
      <c r="L84" s="1">
        <v>2</v>
      </c>
      <c r="M84" s="1"/>
      <c r="N84" s="1"/>
      <c r="O84" s="3"/>
    </row>
    <row r="85" spans="1:15" ht="409.6">
      <c r="A85" t="s">
        <v>610</v>
      </c>
      <c r="B85" t="s">
        <v>611</v>
      </c>
      <c r="C85" t="s">
        <v>612</v>
      </c>
      <c r="D85" t="s">
        <v>14</v>
      </c>
      <c r="E85">
        <v>25</v>
      </c>
      <c r="F85" t="s">
        <v>613</v>
      </c>
      <c r="G85" t="s">
        <v>614</v>
      </c>
      <c r="H85" s="2" t="s">
        <v>615</v>
      </c>
      <c r="I85" s="2" t="s">
        <v>616</v>
      </c>
      <c r="J85" t="s">
        <v>617</v>
      </c>
      <c r="L85" s="1">
        <v>2</v>
      </c>
      <c r="M85" s="1"/>
      <c r="N85" s="1"/>
      <c r="O85" s="3"/>
    </row>
    <row r="86" spans="1:15" ht="13.8">
      <c r="A86" t="s">
        <v>618</v>
      </c>
      <c r="B86" t="s">
        <v>619</v>
      </c>
      <c r="C86" t="s">
        <v>620</v>
      </c>
      <c r="D86" t="s">
        <v>23</v>
      </c>
      <c r="E86">
        <v>15</v>
      </c>
      <c r="F86" t="s">
        <v>621</v>
      </c>
      <c r="G86" t="s">
        <v>622</v>
      </c>
      <c r="H86" t="s">
        <v>623</v>
      </c>
      <c r="I86" t="s">
        <v>624</v>
      </c>
      <c r="J86" t="s">
        <v>625</v>
      </c>
      <c r="K86" t="s">
        <v>626</v>
      </c>
      <c r="L86" s="1">
        <v>2</v>
      </c>
      <c r="M86" s="1"/>
      <c r="N86" s="1"/>
      <c r="O86" s="3"/>
    </row>
    <row r="87" spans="1:15" ht="409.6">
      <c r="A87" t="s">
        <v>627</v>
      </c>
      <c r="B87" t="s">
        <v>628</v>
      </c>
      <c r="C87" t="s">
        <v>612</v>
      </c>
      <c r="D87" t="s">
        <v>14</v>
      </c>
      <c r="E87">
        <v>30</v>
      </c>
      <c r="F87" t="s">
        <v>629</v>
      </c>
      <c r="G87" t="s">
        <v>630</v>
      </c>
      <c r="H87" s="2" t="s">
        <v>631</v>
      </c>
      <c r="I87" s="2" t="s">
        <v>632</v>
      </c>
      <c r="J87" t="s">
        <v>633</v>
      </c>
      <c r="K87" t="s">
        <v>626</v>
      </c>
      <c r="L87" s="1">
        <v>2</v>
      </c>
      <c r="M87" s="1"/>
      <c r="N87" s="1"/>
      <c r="O87" s="3"/>
    </row>
    <row r="88" spans="1:15" ht="409.6">
      <c r="A88" t="s">
        <v>634</v>
      </c>
      <c r="B88" t="s">
        <v>635</v>
      </c>
      <c r="C88" t="s">
        <v>581</v>
      </c>
      <c r="D88" t="s">
        <v>14</v>
      </c>
      <c r="E88">
        <v>15</v>
      </c>
      <c r="F88" t="s">
        <v>636</v>
      </c>
      <c r="G88" t="s">
        <v>637</v>
      </c>
      <c r="H88" s="2" t="s">
        <v>638</v>
      </c>
      <c r="I88" s="2" t="s">
        <v>639</v>
      </c>
      <c r="J88" t="s">
        <v>640</v>
      </c>
      <c r="K88" t="s">
        <v>641</v>
      </c>
      <c r="L88" s="1">
        <v>2</v>
      </c>
      <c r="M88" s="1"/>
      <c r="N88" s="1"/>
      <c r="O88" s="3"/>
    </row>
    <row r="89" spans="1:15" ht="409.6">
      <c r="A89" t="s">
        <v>642</v>
      </c>
      <c r="B89" t="s">
        <v>643</v>
      </c>
      <c r="C89" t="s">
        <v>644</v>
      </c>
      <c r="D89" t="s">
        <v>23</v>
      </c>
      <c r="E89">
        <v>10</v>
      </c>
      <c r="F89" t="s">
        <v>645</v>
      </c>
      <c r="G89" t="s">
        <v>646</v>
      </c>
      <c r="H89" s="2" t="s">
        <v>647</v>
      </c>
      <c r="I89" s="2" t="s">
        <v>648</v>
      </c>
      <c r="J89" t="s">
        <v>649</v>
      </c>
      <c r="L89" s="1">
        <v>2</v>
      </c>
      <c r="M89" s="1"/>
      <c r="N89" s="1"/>
      <c r="O89" s="3"/>
    </row>
    <row r="90" spans="1:15" ht="409.6">
      <c r="A90" t="s">
        <v>650</v>
      </c>
      <c r="B90" t="s">
        <v>651</v>
      </c>
      <c r="C90" t="s">
        <v>652</v>
      </c>
      <c r="D90" t="s">
        <v>14</v>
      </c>
      <c r="E90">
        <v>25</v>
      </c>
      <c r="F90" t="s">
        <v>653</v>
      </c>
      <c r="G90" t="s">
        <v>654</v>
      </c>
      <c r="H90" s="2" t="s">
        <v>655</v>
      </c>
      <c r="I90" s="2" t="s">
        <v>656</v>
      </c>
      <c r="J90" t="s">
        <v>657</v>
      </c>
      <c r="K90" t="s">
        <v>658</v>
      </c>
      <c r="L90" s="1">
        <v>2</v>
      </c>
      <c r="M90" s="1"/>
      <c r="N90" s="1"/>
      <c r="O90" s="3"/>
    </row>
    <row r="91" spans="1:15" ht="409.6">
      <c r="A91" t="s">
        <v>659</v>
      </c>
      <c r="B91" t="s">
        <v>660</v>
      </c>
      <c r="C91" t="s">
        <v>581</v>
      </c>
      <c r="D91" t="s">
        <v>23</v>
      </c>
      <c r="E91">
        <v>20</v>
      </c>
      <c r="F91" t="s">
        <v>661</v>
      </c>
      <c r="G91" t="s">
        <v>662</v>
      </c>
      <c r="H91" s="2" t="s">
        <v>663</v>
      </c>
      <c r="I91" s="2" t="s">
        <v>664</v>
      </c>
      <c r="J91" t="s">
        <v>665</v>
      </c>
      <c r="L91" s="1">
        <v>2</v>
      </c>
      <c r="M91" s="1"/>
      <c r="N91" s="1"/>
      <c r="O91" s="3"/>
    </row>
    <row r="92" spans="1:15" ht="409.6">
      <c r="A92" t="s">
        <v>666</v>
      </c>
      <c r="B92" t="s">
        <v>667</v>
      </c>
      <c r="C92" t="s">
        <v>429</v>
      </c>
      <c r="D92" t="s">
        <v>23</v>
      </c>
      <c r="E92">
        <v>10</v>
      </c>
      <c r="F92" t="s">
        <v>668</v>
      </c>
      <c r="G92" t="s">
        <v>669</v>
      </c>
      <c r="H92" s="2" t="s">
        <v>670</v>
      </c>
      <c r="I92" s="2" t="s">
        <v>671</v>
      </c>
      <c r="J92" t="s">
        <v>672</v>
      </c>
      <c r="L92" s="1">
        <v>2</v>
      </c>
      <c r="M92" s="1"/>
      <c r="N92" s="1"/>
      <c r="O92" s="3"/>
    </row>
    <row r="93" spans="1:15" ht="409.6">
      <c r="A93" t="s">
        <v>673</v>
      </c>
      <c r="B93" t="s">
        <v>674</v>
      </c>
      <c r="C93" t="s">
        <v>581</v>
      </c>
      <c r="D93" t="s">
        <v>23</v>
      </c>
      <c r="E93">
        <v>5</v>
      </c>
      <c r="F93" t="s">
        <v>675</v>
      </c>
      <c r="G93" t="s">
        <v>676</v>
      </c>
      <c r="H93" s="2" t="s">
        <v>677</v>
      </c>
      <c r="I93" s="2" t="s">
        <v>678</v>
      </c>
      <c r="J93" t="s">
        <v>679</v>
      </c>
      <c r="L93" s="1">
        <v>2</v>
      </c>
      <c r="M93" s="1"/>
      <c r="N93" s="1"/>
      <c r="O93" s="3"/>
    </row>
    <row r="94" spans="1:15" ht="409.6">
      <c r="A94" t="s">
        <v>680</v>
      </c>
      <c r="B94" t="s">
        <v>681</v>
      </c>
      <c r="C94" t="s">
        <v>682</v>
      </c>
      <c r="D94" t="s">
        <v>14</v>
      </c>
      <c r="E94">
        <v>15</v>
      </c>
      <c r="F94" t="s">
        <v>683</v>
      </c>
      <c r="G94" t="s">
        <v>684</v>
      </c>
      <c r="H94" s="2" t="s">
        <v>685</v>
      </c>
      <c r="I94" s="2" t="s">
        <v>686</v>
      </c>
      <c r="J94" t="s">
        <v>687</v>
      </c>
      <c r="K94" t="s">
        <v>688</v>
      </c>
      <c r="L94" s="1">
        <v>2</v>
      </c>
      <c r="M94" s="1"/>
      <c r="N94" s="1"/>
      <c r="O94" s="3"/>
    </row>
    <row r="95" spans="1:15" ht="409.6">
      <c r="A95" t="s">
        <v>689</v>
      </c>
      <c r="B95" t="s">
        <v>690</v>
      </c>
      <c r="C95" t="s">
        <v>652</v>
      </c>
      <c r="D95" t="s">
        <v>14</v>
      </c>
      <c r="E95">
        <v>25</v>
      </c>
      <c r="F95" t="s">
        <v>691</v>
      </c>
      <c r="G95" t="s">
        <v>692</v>
      </c>
      <c r="H95" s="2" t="s">
        <v>693</v>
      </c>
      <c r="I95" s="2" t="s">
        <v>694</v>
      </c>
      <c r="J95" t="s">
        <v>695</v>
      </c>
      <c r="K95" t="s">
        <v>696</v>
      </c>
      <c r="L95" s="1">
        <v>2</v>
      </c>
      <c r="M95" s="1"/>
      <c r="N95" s="1"/>
      <c r="O95" s="3"/>
    </row>
    <row r="96" spans="1:15" ht="409.6">
      <c r="A96" t="s">
        <v>697</v>
      </c>
      <c r="B96" t="s">
        <v>698</v>
      </c>
      <c r="C96" t="s">
        <v>581</v>
      </c>
      <c r="D96" t="s">
        <v>23</v>
      </c>
      <c r="E96">
        <v>40</v>
      </c>
      <c r="F96" t="s">
        <v>699</v>
      </c>
      <c r="G96" t="s">
        <v>700</v>
      </c>
      <c r="H96" s="2" t="s">
        <v>701</v>
      </c>
      <c r="I96" s="2" t="s">
        <v>702</v>
      </c>
      <c r="J96" t="s">
        <v>703</v>
      </c>
      <c r="L96" s="1">
        <v>2</v>
      </c>
      <c r="M96" s="1"/>
      <c r="N96" s="1"/>
      <c r="O96" s="3"/>
    </row>
    <row r="97" spans="1:15" ht="409.6">
      <c r="A97" t="s">
        <v>704</v>
      </c>
      <c r="B97" t="s">
        <v>705</v>
      </c>
      <c r="C97" t="s">
        <v>706</v>
      </c>
      <c r="D97" t="s">
        <v>14</v>
      </c>
      <c r="E97">
        <v>20</v>
      </c>
      <c r="F97" t="s">
        <v>707</v>
      </c>
      <c r="G97" t="s">
        <v>708</v>
      </c>
      <c r="H97" s="2" t="s">
        <v>709</v>
      </c>
      <c r="I97" s="2" t="s">
        <v>710</v>
      </c>
      <c r="J97" t="s">
        <v>711</v>
      </c>
      <c r="K97" t="s">
        <v>712</v>
      </c>
      <c r="L97" s="1">
        <v>2</v>
      </c>
      <c r="M97" s="1"/>
      <c r="N97" s="1"/>
      <c r="O97" s="3"/>
    </row>
    <row r="98" spans="1:15" ht="409.6">
      <c r="A98" t="s">
        <v>713</v>
      </c>
      <c r="B98" t="s">
        <v>714</v>
      </c>
      <c r="C98" t="s">
        <v>612</v>
      </c>
      <c r="D98" t="s">
        <v>14</v>
      </c>
      <c r="E98">
        <v>40</v>
      </c>
      <c r="F98" t="s">
        <v>715</v>
      </c>
      <c r="G98" t="s">
        <v>716</v>
      </c>
      <c r="H98" s="2" t="s">
        <v>717</v>
      </c>
      <c r="I98" s="2" t="s">
        <v>718</v>
      </c>
      <c r="J98" t="s">
        <v>719</v>
      </c>
      <c r="K98" t="s">
        <v>720</v>
      </c>
      <c r="L98" s="1">
        <v>2</v>
      </c>
      <c r="M98" s="1"/>
      <c r="N98" s="1"/>
      <c r="O98" s="3"/>
    </row>
    <row r="99" spans="1:15" ht="409.6">
      <c r="A99" t="s">
        <v>721</v>
      </c>
      <c r="B99" t="s">
        <v>722</v>
      </c>
      <c r="C99" t="s">
        <v>581</v>
      </c>
      <c r="D99" t="s">
        <v>23</v>
      </c>
      <c r="E99">
        <v>20</v>
      </c>
      <c r="F99" t="s">
        <v>723</v>
      </c>
      <c r="G99" t="s">
        <v>724</v>
      </c>
      <c r="H99" s="2" t="s">
        <v>725</v>
      </c>
      <c r="I99" s="2" t="s">
        <v>726</v>
      </c>
      <c r="J99" t="s">
        <v>727</v>
      </c>
      <c r="L99" s="1">
        <v>2</v>
      </c>
      <c r="M99" s="1"/>
      <c r="N99" s="1"/>
      <c r="O99" s="3"/>
    </row>
    <row r="100" spans="1:15" ht="409.6">
      <c r="A100" t="s">
        <v>728</v>
      </c>
      <c r="B100" t="s">
        <v>729</v>
      </c>
      <c r="C100" t="s">
        <v>730</v>
      </c>
      <c r="D100" t="s">
        <v>23</v>
      </c>
      <c r="E100">
        <v>20</v>
      </c>
      <c r="F100" t="s">
        <v>731</v>
      </c>
      <c r="G100" t="s">
        <v>732</v>
      </c>
      <c r="H100" s="2" t="s">
        <v>733</v>
      </c>
      <c r="I100" s="2" t="s">
        <v>734</v>
      </c>
      <c r="J100" t="s">
        <v>735</v>
      </c>
      <c r="K100" t="s">
        <v>736</v>
      </c>
      <c r="L100" s="1">
        <v>2</v>
      </c>
      <c r="M100" s="1"/>
      <c r="N100" s="1"/>
      <c r="O100" s="3"/>
    </row>
    <row r="101" spans="1:15" ht="13.8">
      <c r="A101" t="s">
        <v>737</v>
      </c>
      <c r="B101" t="s">
        <v>738</v>
      </c>
      <c r="C101" t="s">
        <v>97</v>
      </c>
      <c r="D101" t="s">
        <v>14</v>
      </c>
      <c r="E101">
        <v>30</v>
      </c>
      <c r="F101" t="s">
        <v>739</v>
      </c>
      <c r="G101" t="s">
        <v>740</v>
      </c>
      <c r="H101" t="s">
        <v>741</v>
      </c>
      <c r="I101" t="s">
        <v>742</v>
      </c>
      <c r="J101" t="s">
        <v>743</v>
      </c>
      <c r="L101" s="1">
        <v>2</v>
      </c>
      <c r="M101" s="1"/>
      <c r="N101" s="1"/>
      <c r="O101" s="3"/>
    </row>
    <row r="102" spans="1:15" ht="13.8">
      <c r="A102" t="s">
        <v>744</v>
      </c>
      <c r="B102" t="s">
        <v>745</v>
      </c>
      <c r="C102" t="s">
        <v>706</v>
      </c>
      <c r="D102" t="s">
        <v>14</v>
      </c>
      <c r="E102">
        <v>30</v>
      </c>
      <c r="F102" t="s">
        <v>746</v>
      </c>
      <c r="G102" t="s">
        <v>747</v>
      </c>
      <c r="H102" t="s">
        <v>748</v>
      </c>
      <c r="I102" t="s">
        <v>749</v>
      </c>
      <c r="J102" t="s">
        <v>750</v>
      </c>
      <c r="K102" t="s">
        <v>751</v>
      </c>
      <c r="L102" s="1">
        <v>2</v>
      </c>
      <c r="M102" s="1"/>
      <c r="N102" s="1"/>
      <c r="O102" s="3"/>
    </row>
    <row r="103" spans="1:15" ht="13.8">
      <c r="A103" t="s">
        <v>752</v>
      </c>
      <c r="B103" t="s">
        <v>753</v>
      </c>
      <c r="C103" t="s">
        <v>754</v>
      </c>
      <c r="D103" t="s">
        <v>14</v>
      </c>
      <c r="E103">
        <v>20</v>
      </c>
      <c r="F103" t="s">
        <v>755</v>
      </c>
      <c r="G103" t="s">
        <v>756</v>
      </c>
      <c r="H103" t="s">
        <v>757</v>
      </c>
      <c r="I103" t="s">
        <v>758</v>
      </c>
      <c r="J103" t="s">
        <v>759</v>
      </c>
      <c r="K103" t="s">
        <v>760</v>
      </c>
      <c r="L103" s="1">
        <v>2</v>
      </c>
      <c r="M103" s="1"/>
      <c r="N103" s="1"/>
      <c r="O103" s="3"/>
    </row>
    <row r="104" spans="1:15" ht="13.8">
      <c r="A104" t="s">
        <v>761</v>
      </c>
      <c r="B104" t="s">
        <v>762</v>
      </c>
      <c r="C104" t="s">
        <v>13</v>
      </c>
      <c r="D104" t="s">
        <v>14</v>
      </c>
      <c r="E104">
        <v>15</v>
      </c>
      <c r="F104" t="s">
        <v>763</v>
      </c>
      <c r="G104" t="s">
        <v>764</v>
      </c>
      <c r="H104" t="s">
        <v>765</v>
      </c>
      <c r="I104" t="s">
        <v>766</v>
      </c>
      <c r="J104" t="s">
        <v>767</v>
      </c>
      <c r="K104" t="s">
        <v>768</v>
      </c>
      <c r="L104" s="1">
        <v>2</v>
      </c>
      <c r="M104" s="1"/>
      <c r="N104" s="1"/>
      <c r="O104" s="3"/>
    </row>
    <row r="105" spans="1:15" ht="13.8">
      <c r="A105" t="s">
        <v>769</v>
      </c>
      <c r="B105" t="s">
        <v>770</v>
      </c>
      <c r="C105" t="s">
        <v>754</v>
      </c>
      <c r="D105" t="s">
        <v>14</v>
      </c>
      <c r="E105">
        <v>30</v>
      </c>
      <c r="F105" t="s">
        <v>771</v>
      </c>
      <c r="G105" t="s">
        <v>772</v>
      </c>
      <c r="H105" t="s">
        <v>773</v>
      </c>
      <c r="I105" t="s">
        <v>774</v>
      </c>
      <c r="J105" t="s">
        <v>775</v>
      </c>
      <c r="K105" t="s">
        <v>776</v>
      </c>
      <c r="L105" s="1">
        <v>2</v>
      </c>
      <c r="M105" s="1"/>
      <c r="N105" s="1"/>
      <c r="O105" s="3"/>
    </row>
    <row r="106" spans="1:15" ht="13.8">
      <c r="A106" t="s">
        <v>777</v>
      </c>
      <c r="B106" t="s">
        <v>778</v>
      </c>
      <c r="C106" t="s">
        <v>74</v>
      </c>
      <c r="D106" t="s">
        <v>14</v>
      </c>
      <c r="E106">
        <v>10</v>
      </c>
      <c r="F106" t="s">
        <v>779</v>
      </c>
      <c r="G106" t="s">
        <v>780</v>
      </c>
      <c r="H106" t="s">
        <v>781</v>
      </c>
      <c r="I106" t="s">
        <v>782</v>
      </c>
      <c r="J106" t="s">
        <v>783</v>
      </c>
      <c r="K106" t="s">
        <v>784</v>
      </c>
      <c r="L106" s="1">
        <v>2</v>
      </c>
      <c r="M106" s="1"/>
      <c r="N106" s="1"/>
      <c r="O106" s="3"/>
    </row>
    <row r="107" spans="1:15" ht="13.8">
      <c r="A107" t="s">
        <v>785</v>
      </c>
      <c r="B107" t="s">
        <v>786</v>
      </c>
      <c r="C107" t="s">
        <v>652</v>
      </c>
      <c r="D107" t="s">
        <v>14</v>
      </c>
      <c r="E107">
        <v>30</v>
      </c>
      <c r="F107" t="s">
        <v>787</v>
      </c>
      <c r="G107" t="s">
        <v>788</v>
      </c>
      <c r="H107" t="s">
        <v>789</v>
      </c>
      <c r="I107" t="s">
        <v>790</v>
      </c>
      <c r="J107" t="s">
        <v>791</v>
      </c>
      <c r="L107" s="1">
        <v>2</v>
      </c>
      <c r="M107" s="1"/>
      <c r="N107" s="1"/>
      <c r="O107" s="3"/>
    </row>
    <row r="108" spans="1:15" ht="13.8">
      <c r="A108" t="s">
        <v>792</v>
      </c>
      <c r="B108" t="s">
        <v>793</v>
      </c>
      <c r="C108" t="s">
        <v>572</v>
      </c>
      <c r="D108" t="s">
        <v>23</v>
      </c>
      <c r="E108">
        <v>40</v>
      </c>
      <c r="F108" t="s">
        <v>794</v>
      </c>
      <c r="G108" t="s">
        <v>795</v>
      </c>
      <c r="H108" t="s">
        <v>796</v>
      </c>
      <c r="I108" t="s">
        <v>797</v>
      </c>
      <c r="J108" t="s">
        <v>798</v>
      </c>
      <c r="L108" s="1">
        <v>2</v>
      </c>
      <c r="M108" s="1"/>
      <c r="N108" s="1"/>
      <c r="O108" s="3"/>
    </row>
    <row r="109" spans="1:15" ht="13.8">
      <c r="A109" t="s">
        <v>799</v>
      </c>
      <c r="B109" t="s">
        <v>800</v>
      </c>
      <c r="C109" t="s">
        <v>620</v>
      </c>
      <c r="D109" t="s">
        <v>14</v>
      </c>
      <c r="E109">
        <v>20</v>
      </c>
      <c r="F109" t="s">
        <v>801</v>
      </c>
      <c r="G109" t="s">
        <v>802</v>
      </c>
      <c r="H109" t="s">
        <v>803</v>
      </c>
      <c r="I109" t="s">
        <v>804</v>
      </c>
      <c r="J109" t="s">
        <v>805</v>
      </c>
      <c r="L109" s="1">
        <v>2</v>
      </c>
      <c r="M109" s="1"/>
      <c r="N109" s="1"/>
      <c r="O109" s="3"/>
    </row>
    <row r="110" spans="1:15" ht="13.8">
      <c r="A110" t="s">
        <v>806</v>
      </c>
      <c r="B110" t="s">
        <v>807</v>
      </c>
      <c r="C110" t="s">
        <v>644</v>
      </c>
      <c r="D110" t="s">
        <v>23</v>
      </c>
      <c r="E110">
        <v>20</v>
      </c>
      <c r="F110" t="s">
        <v>808</v>
      </c>
      <c r="G110" t="s">
        <v>809</v>
      </c>
      <c r="H110" t="s">
        <v>810</v>
      </c>
      <c r="I110" t="s">
        <v>811</v>
      </c>
      <c r="J110" t="s">
        <v>812</v>
      </c>
      <c r="L110" s="1">
        <v>2</v>
      </c>
      <c r="M110" s="1"/>
      <c r="N110" s="1"/>
      <c r="O110" s="3"/>
    </row>
    <row r="111" spans="1:15" ht="13.8">
      <c r="A111" t="s">
        <v>813</v>
      </c>
      <c r="B111" t="s">
        <v>814</v>
      </c>
      <c r="C111" t="s">
        <v>815</v>
      </c>
      <c r="D111" t="s">
        <v>14</v>
      </c>
      <c r="E111">
        <v>20</v>
      </c>
      <c r="F111" t="s">
        <v>816</v>
      </c>
      <c r="G111" t="s">
        <v>817</v>
      </c>
      <c r="H111" t="s">
        <v>818</v>
      </c>
      <c r="I111" t="s">
        <v>819</v>
      </c>
      <c r="J111" t="s">
        <v>820</v>
      </c>
      <c r="K111" t="s">
        <v>821</v>
      </c>
      <c r="L111" s="1">
        <v>2</v>
      </c>
      <c r="M111" s="1"/>
      <c r="N111" s="1"/>
      <c r="O111" s="3"/>
    </row>
    <row r="112" spans="1:15" ht="13.8">
      <c r="A112" t="s">
        <v>822</v>
      </c>
      <c r="B112" t="s">
        <v>823</v>
      </c>
      <c r="C112" t="s">
        <v>581</v>
      </c>
      <c r="D112" t="s">
        <v>23</v>
      </c>
      <c r="E112">
        <v>20</v>
      </c>
      <c r="F112" t="s">
        <v>824</v>
      </c>
      <c r="G112" t="s">
        <v>825</v>
      </c>
      <c r="H112" t="s">
        <v>826</v>
      </c>
      <c r="I112" t="s">
        <v>827</v>
      </c>
      <c r="J112" t="s">
        <v>828</v>
      </c>
      <c r="L112" s="1">
        <v>2</v>
      </c>
      <c r="M112" s="1"/>
      <c r="N112" s="1"/>
      <c r="O112" s="3"/>
    </row>
    <row r="113" spans="1:15" ht="13.8">
      <c r="A113" t="s">
        <v>829</v>
      </c>
      <c r="B113" t="s">
        <v>830</v>
      </c>
      <c r="C113" t="s">
        <v>22</v>
      </c>
      <c r="D113" t="s">
        <v>14</v>
      </c>
      <c r="E113">
        <v>40</v>
      </c>
      <c r="F113" t="s">
        <v>831</v>
      </c>
      <c r="G113" t="s">
        <v>832</v>
      </c>
      <c r="H113" t="s">
        <v>833</v>
      </c>
      <c r="I113" t="s">
        <v>834</v>
      </c>
      <c r="J113" t="s">
        <v>835</v>
      </c>
      <c r="K113" t="s">
        <v>836</v>
      </c>
      <c r="L113" s="1">
        <v>2</v>
      </c>
      <c r="M113" s="1"/>
      <c r="N113" s="1"/>
      <c r="O113" s="3"/>
    </row>
    <row r="114" spans="1:15" ht="13.8">
      <c r="A114" t="s">
        <v>837</v>
      </c>
      <c r="B114" t="s">
        <v>838</v>
      </c>
      <c r="C114" t="s">
        <v>581</v>
      </c>
      <c r="D114" t="s">
        <v>23</v>
      </c>
      <c r="E114">
        <v>20</v>
      </c>
      <c r="F114" t="s">
        <v>839</v>
      </c>
      <c r="G114" t="s">
        <v>840</v>
      </c>
      <c r="H114" t="s">
        <v>841</v>
      </c>
      <c r="I114" t="s">
        <v>842</v>
      </c>
      <c r="J114" t="s">
        <v>843</v>
      </c>
      <c r="L114" s="1">
        <v>2</v>
      </c>
      <c r="M114" s="1"/>
      <c r="N114" s="1"/>
      <c r="O114" s="3"/>
    </row>
    <row r="115" spans="1:15" ht="13.8">
      <c r="A115" t="s">
        <v>844</v>
      </c>
      <c r="B115" t="s">
        <v>845</v>
      </c>
      <c r="C115" t="s">
        <v>572</v>
      </c>
      <c r="D115" t="s">
        <v>23</v>
      </c>
      <c r="E115">
        <v>20</v>
      </c>
      <c r="F115" t="s">
        <v>846</v>
      </c>
      <c r="G115" t="s">
        <v>847</v>
      </c>
      <c r="H115" t="s">
        <v>848</v>
      </c>
      <c r="I115" t="s">
        <v>849</v>
      </c>
      <c r="J115" t="s">
        <v>850</v>
      </c>
      <c r="L115" s="1">
        <v>2</v>
      </c>
      <c r="M115" s="1"/>
      <c r="N115" s="1"/>
      <c r="O115" s="3"/>
    </row>
    <row r="116" spans="1:15" ht="13.8">
      <c r="A116" t="s">
        <v>851</v>
      </c>
      <c r="B116" t="s">
        <v>852</v>
      </c>
      <c r="C116" t="s">
        <v>22</v>
      </c>
      <c r="D116" t="s">
        <v>14</v>
      </c>
      <c r="E116">
        <v>30</v>
      </c>
      <c r="F116" t="s">
        <v>853</v>
      </c>
      <c r="G116" t="s">
        <v>854</v>
      </c>
      <c r="H116" t="s">
        <v>855</v>
      </c>
      <c r="I116" t="s">
        <v>856</v>
      </c>
      <c r="J116" t="s">
        <v>857</v>
      </c>
      <c r="K116" t="s">
        <v>858</v>
      </c>
      <c r="L116" s="1">
        <v>2</v>
      </c>
      <c r="M116" s="1"/>
      <c r="N116" s="1"/>
      <c r="O116" s="3"/>
    </row>
    <row r="117" spans="1:15" ht="13.8">
      <c r="A117" t="s">
        <v>859</v>
      </c>
      <c r="B117" t="s">
        <v>860</v>
      </c>
      <c r="C117" t="s">
        <v>706</v>
      </c>
      <c r="D117" t="s">
        <v>14</v>
      </c>
      <c r="E117">
        <v>15</v>
      </c>
      <c r="F117" t="s">
        <v>861</v>
      </c>
      <c r="G117" t="s">
        <v>862</v>
      </c>
      <c r="H117" t="s">
        <v>863</v>
      </c>
      <c r="I117" t="s">
        <v>864</v>
      </c>
      <c r="J117" t="s">
        <v>865</v>
      </c>
      <c r="K117" t="s">
        <v>866</v>
      </c>
      <c r="L117" s="1">
        <v>2</v>
      </c>
      <c r="M117" s="1"/>
      <c r="N117" s="1"/>
      <c r="O117" s="3"/>
    </row>
    <row r="118" spans="1:15" ht="13.8">
      <c r="A118" t="s">
        <v>867</v>
      </c>
      <c r="B118" t="s">
        <v>868</v>
      </c>
      <c r="C118" t="s">
        <v>97</v>
      </c>
      <c r="D118" t="s">
        <v>23</v>
      </c>
      <c r="E118">
        <v>15</v>
      </c>
      <c r="F118" t="s">
        <v>869</v>
      </c>
      <c r="G118" t="s">
        <v>870</v>
      </c>
      <c r="H118" t="s">
        <v>871</v>
      </c>
      <c r="I118" t="s">
        <v>872</v>
      </c>
      <c r="J118" t="s">
        <v>873</v>
      </c>
      <c r="L118" s="1">
        <v>2</v>
      </c>
      <c r="M118" s="1"/>
      <c r="N118" s="1"/>
      <c r="O118" s="3"/>
    </row>
    <row r="119" spans="1:15" ht="13.8">
      <c r="A119" t="s">
        <v>874</v>
      </c>
      <c r="B119" t="s">
        <v>875</v>
      </c>
      <c r="C119" t="s">
        <v>572</v>
      </c>
      <c r="D119" t="s">
        <v>23</v>
      </c>
      <c r="E119">
        <v>20</v>
      </c>
      <c r="F119" t="s">
        <v>876</v>
      </c>
      <c r="G119" t="s">
        <v>877</v>
      </c>
      <c r="H119" t="s">
        <v>878</v>
      </c>
      <c r="I119" t="s">
        <v>879</v>
      </c>
      <c r="J119" t="s">
        <v>880</v>
      </c>
      <c r="K119" t="s">
        <v>881</v>
      </c>
      <c r="L119" s="1">
        <v>2</v>
      </c>
      <c r="M119" s="1"/>
      <c r="N119" s="1"/>
      <c r="O119" s="3"/>
    </row>
    <row r="120" spans="1:15" ht="13.8">
      <c r="A120" t="s">
        <v>882</v>
      </c>
      <c r="B120" t="s">
        <v>883</v>
      </c>
      <c r="C120" t="s">
        <v>572</v>
      </c>
      <c r="D120" t="s">
        <v>14</v>
      </c>
      <c r="E120">
        <v>20</v>
      </c>
      <c r="F120" t="s">
        <v>884</v>
      </c>
      <c r="G120" t="s">
        <v>885</v>
      </c>
      <c r="H120" t="s">
        <v>886</v>
      </c>
      <c r="I120" t="s">
        <v>887</v>
      </c>
      <c r="J120" t="s">
        <v>888</v>
      </c>
      <c r="K120" t="s">
        <v>889</v>
      </c>
      <c r="L120" s="1">
        <v>2</v>
      </c>
      <c r="M120" s="1"/>
      <c r="N120" s="1"/>
      <c r="O120" s="3"/>
    </row>
    <row r="121" spans="1:15" ht="13.8">
      <c r="A121" t="s">
        <v>890</v>
      </c>
      <c r="B121" t="s">
        <v>891</v>
      </c>
      <c r="C121" t="s">
        <v>892</v>
      </c>
      <c r="D121" t="s">
        <v>14</v>
      </c>
      <c r="E121">
        <v>15</v>
      </c>
      <c r="F121" t="s">
        <v>893</v>
      </c>
      <c r="G121" t="s">
        <v>894</v>
      </c>
      <c r="H121" t="s">
        <v>895</v>
      </c>
      <c r="I121" t="s">
        <v>896</v>
      </c>
      <c r="J121" t="s">
        <v>897</v>
      </c>
      <c r="K121" t="s">
        <v>898</v>
      </c>
      <c r="L121" s="1">
        <v>2</v>
      </c>
      <c r="M121" s="1"/>
      <c r="N121" s="1"/>
      <c r="O121" s="3"/>
    </row>
    <row r="122" spans="1:15" ht="13.8">
      <c r="A122" t="s">
        <v>899</v>
      </c>
      <c r="B122" t="s">
        <v>900</v>
      </c>
      <c r="C122" t="s">
        <v>97</v>
      </c>
      <c r="D122" t="s">
        <v>23</v>
      </c>
      <c r="E122">
        <v>30</v>
      </c>
      <c r="F122" t="s">
        <v>901</v>
      </c>
      <c r="G122" t="s">
        <v>902</v>
      </c>
      <c r="H122" t="s">
        <v>903</v>
      </c>
      <c r="I122" t="s">
        <v>904</v>
      </c>
      <c r="J122" t="s">
        <v>905</v>
      </c>
      <c r="L122" s="1">
        <v>2</v>
      </c>
      <c r="M122" s="1"/>
      <c r="N122" s="1"/>
      <c r="O122" s="3"/>
    </row>
    <row r="123" spans="1:15" ht="13.8">
      <c r="A123" t="s">
        <v>906</v>
      </c>
      <c r="B123" t="s">
        <v>907</v>
      </c>
      <c r="C123" t="s">
        <v>572</v>
      </c>
      <c r="D123" t="s">
        <v>23</v>
      </c>
      <c r="E123">
        <v>20</v>
      </c>
      <c r="F123" t="s">
        <v>908</v>
      </c>
      <c r="G123" t="s">
        <v>909</v>
      </c>
      <c r="H123" t="s">
        <v>910</v>
      </c>
      <c r="I123" t="s">
        <v>911</v>
      </c>
      <c r="J123" t="s">
        <v>912</v>
      </c>
      <c r="L123" s="1">
        <v>2</v>
      </c>
      <c r="M123" s="1"/>
      <c r="N123" s="1"/>
      <c r="O123" s="3"/>
    </row>
    <row r="124" spans="1:15" ht="13.8">
      <c r="A124" t="s">
        <v>913</v>
      </c>
      <c r="B124" t="s">
        <v>914</v>
      </c>
      <c r="C124" t="s">
        <v>706</v>
      </c>
      <c r="D124" t="s">
        <v>14</v>
      </c>
      <c r="E124">
        <v>10</v>
      </c>
      <c r="F124" t="s">
        <v>915</v>
      </c>
      <c r="G124" t="s">
        <v>916</v>
      </c>
      <c r="H124" t="s">
        <v>917</v>
      </c>
      <c r="I124" t="s">
        <v>918</v>
      </c>
      <c r="J124" t="s">
        <v>919</v>
      </c>
      <c r="K124" t="s">
        <v>920</v>
      </c>
      <c r="L124" s="1">
        <v>2</v>
      </c>
      <c r="M124" s="1"/>
      <c r="N124" s="1"/>
      <c r="O124" s="3"/>
    </row>
    <row r="125" spans="1:15" ht="13.8">
      <c r="A125" t="s">
        <v>921</v>
      </c>
      <c r="B125" t="s">
        <v>922</v>
      </c>
      <c r="C125" t="s">
        <v>160</v>
      </c>
      <c r="D125" t="s">
        <v>14</v>
      </c>
      <c r="E125">
        <v>20</v>
      </c>
      <c r="F125" t="s">
        <v>923</v>
      </c>
      <c r="G125" t="s">
        <v>924</v>
      </c>
      <c r="H125" t="s">
        <v>925</v>
      </c>
      <c r="I125" t="s">
        <v>926</v>
      </c>
      <c r="J125" t="s">
        <v>927</v>
      </c>
      <c r="K125" t="s">
        <v>928</v>
      </c>
      <c r="L125" s="1">
        <v>2</v>
      </c>
      <c r="M125" s="1"/>
      <c r="N125" s="1"/>
      <c r="O125" s="3"/>
    </row>
    <row r="126" spans="1:15" ht="13.8">
      <c r="A126" t="s">
        <v>929</v>
      </c>
      <c r="B126" t="s">
        <v>930</v>
      </c>
      <c r="C126" t="s">
        <v>706</v>
      </c>
      <c r="D126" t="s">
        <v>14</v>
      </c>
      <c r="E126">
        <v>20</v>
      </c>
      <c r="F126" t="s">
        <v>931</v>
      </c>
      <c r="G126" t="s">
        <v>932</v>
      </c>
      <c r="H126" t="s">
        <v>933</v>
      </c>
      <c r="I126" t="s">
        <v>934</v>
      </c>
      <c r="J126" t="s">
        <v>935</v>
      </c>
      <c r="K126" t="s">
        <v>936</v>
      </c>
      <c r="L126" s="1">
        <v>2</v>
      </c>
      <c r="M126" s="1"/>
      <c r="N126" s="1"/>
      <c r="O126" s="3"/>
    </row>
    <row r="127" spans="1:15" ht="13.8">
      <c r="A127" t="s">
        <v>937</v>
      </c>
      <c r="B127" t="s">
        <v>938</v>
      </c>
      <c r="C127" t="s">
        <v>939</v>
      </c>
      <c r="D127" t="s">
        <v>14</v>
      </c>
      <c r="E127">
        <v>30</v>
      </c>
      <c r="F127" t="s">
        <v>940</v>
      </c>
      <c r="G127" t="s">
        <v>941</v>
      </c>
      <c r="H127" t="s">
        <v>942</v>
      </c>
      <c r="I127" t="s">
        <v>943</v>
      </c>
      <c r="J127" t="s">
        <v>944</v>
      </c>
      <c r="K127" t="s">
        <v>945</v>
      </c>
      <c r="L127" s="1">
        <v>2</v>
      </c>
      <c r="M127" s="1"/>
      <c r="N127" s="1"/>
      <c r="O127" s="3"/>
    </row>
    <row r="128" spans="1:15" ht="13.8">
      <c r="A128" t="s">
        <v>946</v>
      </c>
      <c r="B128" t="s">
        <v>947</v>
      </c>
      <c r="C128" t="s">
        <v>22</v>
      </c>
      <c r="D128" t="s">
        <v>23</v>
      </c>
      <c r="E128">
        <v>30</v>
      </c>
      <c r="F128" t="s">
        <v>948</v>
      </c>
      <c r="G128" t="s">
        <v>949</v>
      </c>
      <c r="H128" t="s">
        <v>950</v>
      </c>
      <c r="I128" t="s">
        <v>951</v>
      </c>
      <c r="J128" t="s">
        <v>952</v>
      </c>
      <c r="K128" t="s">
        <v>953</v>
      </c>
      <c r="L128" s="1">
        <v>2</v>
      </c>
      <c r="M128" s="1"/>
      <c r="N128" s="1"/>
      <c r="O128" s="3"/>
    </row>
    <row r="129" spans="1:15" ht="13.8">
      <c r="A129" t="s">
        <v>954</v>
      </c>
      <c r="B129" t="s">
        <v>955</v>
      </c>
      <c r="C129" t="s">
        <v>572</v>
      </c>
      <c r="D129" t="s">
        <v>23</v>
      </c>
      <c r="E129">
        <v>30</v>
      </c>
      <c r="F129" t="s">
        <v>956</v>
      </c>
      <c r="G129" t="s">
        <v>957</v>
      </c>
      <c r="H129" t="s">
        <v>958</v>
      </c>
      <c r="I129" t="s">
        <v>959</v>
      </c>
      <c r="J129" t="s">
        <v>960</v>
      </c>
      <c r="K129" t="s">
        <v>961</v>
      </c>
      <c r="L129" s="1">
        <v>2</v>
      </c>
      <c r="M129" s="1"/>
      <c r="N129" s="1"/>
      <c r="O129" s="3"/>
    </row>
    <row r="130" spans="1:15" ht="13.8">
      <c r="A130" t="s">
        <v>962</v>
      </c>
      <c r="B130" t="s">
        <v>963</v>
      </c>
      <c r="C130" t="s">
        <v>97</v>
      </c>
      <c r="D130" t="s">
        <v>23</v>
      </c>
      <c r="E130">
        <v>30</v>
      </c>
      <c r="F130" t="s">
        <v>964</v>
      </c>
      <c r="G130" t="s">
        <v>965</v>
      </c>
      <c r="H130" t="s">
        <v>966</v>
      </c>
      <c r="I130" t="s">
        <v>967</v>
      </c>
      <c r="J130" t="s">
        <v>968</v>
      </c>
      <c r="K130" t="s">
        <v>969</v>
      </c>
      <c r="L130" s="1">
        <v>2</v>
      </c>
      <c r="M130" s="1"/>
      <c r="N130" s="1"/>
      <c r="O130" s="3"/>
    </row>
    <row r="131" spans="1:15" ht="13.8">
      <c r="A131" t="s">
        <v>970</v>
      </c>
      <c r="B131" t="s">
        <v>971</v>
      </c>
      <c r="C131" t="s">
        <v>972</v>
      </c>
      <c r="D131" t="s">
        <v>23</v>
      </c>
      <c r="E131">
        <v>20</v>
      </c>
      <c r="F131" t="s">
        <v>973</v>
      </c>
      <c r="G131" t="s">
        <v>974</v>
      </c>
      <c r="H131" t="s">
        <v>975</v>
      </c>
      <c r="I131" t="s">
        <v>976</v>
      </c>
      <c r="J131" t="s">
        <v>977</v>
      </c>
      <c r="L131" s="1">
        <v>2</v>
      </c>
      <c r="M131" s="1"/>
      <c r="N131" s="1"/>
      <c r="O131" s="3"/>
    </row>
    <row r="132" spans="1:15" ht="13.8">
      <c r="A132" t="s">
        <v>978</v>
      </c>
      <c r="B132" t="s">
        <v>979</v>
      </c>
      <c r="C132" t="s">
        <v>451</v>
      </c>
      <c r="D132" t="s">
        <v>23</v>
      </c>
      <c r="E132">
        <v>30</v>
      </c>
      <c r="F132" t="s">
        <v>980</v>
      </c>
      <c r="G132" t="s">
        <v>981</v>
      </c>
      <c r="H132" t="s">
        <v>982</v>
      </c>
      <c r="I132" t="s">
        <v>983</v>
      </c>
      <c r="J132" t="s">
        <v>984</v>
      </c>
      <c r="K132" t="s">
        <v>985</v>
      </c>
      <c r="L132" s="1">
        <v>2</v>
      </c>
      <c r="M132" s="1"/>
      <c r="N132" s="1"/>
      <c r="O132" s="3"/>
    </row>
    <row r="133" spans="1:15" ht="13.8">
      <c r="A133" t="s">
        <v>986</v>
      </c>
      <c r="B133" t="s">
        <v>987</v>
      </c>
      <c r="C133" t="s">
        <v>988</v>
      </c>
      <c r="D133" t="s">
        <v>23</v>
      </c>
      <c r="E133">
        <v>20</v>
      </c>
      <c r="F133" t="s">
        <v>989</v>
      </c>
      <c r="G133" t="s">
        <v>990</v>
      </c>
      <c r="H133" t="s">
        <v>991</v>
      </c>
      <c r="I133" t="s">
        <v>992</v>
      </c>
      <c r="J133" t="s">
        <v>993</v>
      </c>
      <c r="L133" s="1">
        <v>2</v>
      </c>
      <c r="M133" s="1"/>
      <c r="N133" s="1"/>
      <c r="O133" s="3"/>
    </row>
    <row r="134" spans="1:15" ht="13.8">
      <c r="A134" t="s">
        <v>994</v>
      </c>
      <c r="B134" t="s">
        <v>995</v>
      </c>
      <c r="C134" t="s">
        <v>996</v>
      </c>
      <c r="D134" t="s">
        <v>23</v>
      </c>
      <c r="E134">
        <v>20</v>
      </c>
      <c r="F134" t="s">
        <v>997</v>
      </c>
      <c r="G134" t="s">
        <v>998</v>
      </c>
      <c r="H134" t="s">
        <v>999</v>
      </c>
      <c r="I134" t="s">
        <v>1000</v>
      </c>
      <c r="J134" t="s">
        <v>1001</v>
      </c>
      <c r="K134" t="s">
        <v>1002</v>
      </c>
      <c r="L134" s="1">
        <v>2</v>
      </c>
      <c r="M134" s="1"/>
      <c r="N134" s="1"/>
      <c r="O134" s="3"/>
    </row>
    <row r="135" spans="1:15" ht="13.8">
      <c r="A135" t="s">
        <v>1003</v>
      </c>
      <c r="B135" t="s">
        <v>1004</v>
      </c>
      <c r="C135" t="s">
        <v>644</v>
      </c>
      <c r="D135" t="s">
        <v>23</v>
      </c>
      <c r="E135">
        <v>15</v>
      </c>
      <c r="F135" t="s">
        <v>1005</v>
      </c>
      <c r="G135" t="s">
        <v>1006</v>
      </c>
      <c r="H135" t="s">
        <v>1007</v>
      </c>
      <c r="I135" t="s">
        <v>1008</v>
      </c>
      <c r="J135" t="s">
        <v>1009</v>
      </c>
      <c r="L135" s="1">
        <v>2</v>
      </c>
      <c r="M135" s="1"/>
      <c r="N135" s="1"/>
      <c r="O135" s="3"/>
    </row>
    <row r="136" spans="1:15" ht="13.8">
      <c r="A136" t="s">
        <v>1010</v>
      </c>
      <c r="B136" t="s">
        <v>1011</v>
      </c>
      <c r="C136" t="s">
        <v>1010</v>
      </c>
      <c r="D136" t="s">
        <v>14</v>
      </c>
      <c r="E136">
        <v>45</v>
      </c>
      <c r="F136" t="s">
        <v>1012</v>
      </c>
      <c r="G136" t="s">
        <v>1013</v>
      </c>
      <c r="H136" t="s">
        <v>1014</v>
      </c>
      <c r="I136" t="s">
        <v>1014</v>
      </c>
      <c r="J136" t="s">
        <v>1015</v>
      </c>
      <c r="K136" t="s">
        <v>1016</v>
      </c>
      <c r="L136" s="1">
        <v>2</v>
      </c>
      <c r="M136" s="1"/>
      <c r="N136" s="1"/>
      <c r="O136" s="3"/>
    </row>
    <row r="137" spans="1:15" ht="13.8">
      <c r="A137" t="s">
        <v>1017</v>
      </c>
      <c r="B137" t="s">
        <v>1018</v>
      </c>
      <c r="C137" t="s">
        <v>815</v>
      </c>
      <c r="D137" t="s">
        <v>14</v>
      </c>
      <c r="E137">
        <v>40</v>
      </c>
      <c r="F137" t="s">
        <v>1019</v>
      </c>
      <c r="G137" t="s">
        <v>1020</v>
      </c>
      <c r="H137" t="s">
        <v>1021</v>
      </c>
      <c r="I137" t="s">
        <v>1022</v>
      </c>
      <c r="J137" t="s">
        <v>1023</v>
      </c>
      <c r="K137" t="s">
        <v>1024</v>
      </c>
      <c r="L137" s="1">
        <v>2</v>
      </c>
      <c r="M137" s="1"/>
      <c r="N137" s="1"/>
      <c r="O137" s="3"/>
    </row>
    <row r="138" spans="1:15" ht="13.8">
      <c r="A138" t="s">
        <v>1025</v>
      </c>
      <c r="B138" t="s">
        <v>1026</v>
      </c>
      <c r="C138" t="s">
        <v>652</v>
      </c>
      <c r="D138" t="s">
        <v>14</v>
      </c>
      <c r="E138">
        <v>40</v>
      </c>
      <c r="F138" t="s">
        <v>1027</v>
      </c>
      <c r="G138" t="s">
        <v>1028</v>
      </c>
      <c r="H138" t="s">
        <v>1029</v>
      </c>
      <c r="I138" t="s">
        <v>1030</v>
      </c>
      <c r="J138" t="s">
        <v>1031</v>
      </c>
      <c r="K138" t="s">
        <v>1032</v>
      </c>
      <c r="L138" s="1">
        <v>2</v>
      </c>
      <c r="M138" s="1"/>
      <c r="N138" s="1"/>
      <c r="O138" s="3"/>
    </row>
    <row r="139" spans="1:15" ht="13.8">
      <c r="A139" t="s">
        <v>1033</v>
      </c>
      <c r="B139" t="s">
        <v>1034</v>
      </c>
      <c r="C139" t="s">
        <v>44</v>
      </c>
      <c r="D139" t="s">
        <v>14</v>
      </c>
      <c r="E139">
        <v>30</v>
      </c>
      <c r="F139" t="s">
        <v>1035</v>
      </c>
      <c r="G139" t="s">
        <v>1036</v>
      </c>
      <c r="H139" t="s">
        <v>1037</v>
      </c>
      <c r="I139" t="s">
        <v>1038</v>
      </c>
      <c r="J139" t="s">
        <v>1039</v>
      </c>
      <c r="L139" s="1">
        <v>2</v>
      </c>
      <c r="M139" s="1"/>
      <c r="N139" s="1"/>
      <c r="O139" s="3"/>
    </row>
    <row r="140" spans="1:15" ht="13.8">
      <c r="A140" t="s">
        <v>1040</v>
      </c>
      <c r="B140" t="s">
        <v>1041</v>
      </c>
      <c r="C140" t="s">
        <v>682</v>
      </c>
      <c r="D140" t="s">
        <v>14</v>
      </c>
      <c r="E140">
        <v>15</v>
      </c>
      <c r="F140" t="s">
        <v>1042</v>
      </c>
      <c r="G140" t="s">
        <v>1043</v>
      </c>
      <c r="H140" t="s">
        <v>1044</v>
      </c>
      <c r="I140" t="s">
        <v>1045</v>
      </c>
      <c r="J140" t="s">
        <v>1046</v>
      </c>
      <c r="L140" s="1">
        <v>2</v>
      </c>
      <c r="M140" s="1"/>
      <c r="N140" s="1"/>
      <c r="O140" s="3"/>
    </row>
    <row r="141" spans="1:15" ht="13.8">
      <c r="A141" t="s">
        <v>844</v>
      </c>
      <c r="B141" t="s">
        <v>1047</v>
      </c>
      <c r="C141" t="s">
        <v>572</v>
      </c>
      <c r="D141" t="s">
        <v>23</v>
      </c>
      <c r="E141">
        <v>20</v>
      </c>
      <c r="F141" t="s">
        <v>1048</v>
      </c>
      <c r="G141" t="s">
        <v>1049</v>
      </c>
      <c r="H141" t="s">
        <v>1050</v>
      </c>
      <c r="I141" t="s">
        <v>1051</v>
      </c>
      <c r="J141" t="s">
        <v>1052</v>
      </c>
      <c r="L141" s="1">
        <v>2</v>
      </c>
      <c r="M141" s="1"/>
      <c r="N141" s="1"/>
      <c r="O141" s="3"/>
    </row>
    <row r="142" spans="1:15" ht="13.8">
      <c r="A142" t="s">
        <v>1053</v>
      </c>
      <c r="B142" t="s">
        <v>1054</v>
      </c>
      <c r="C142" t="s">
        <v>22</v>
      </c>
      <c r="D142" t="s">
        <v>14</v>
      </c>
      <c r="E142">
        <v>40</v>
      </c>
      <c r="F142" t="s">
        <v>1055</v>
      </c>
      <c r="G142" t="s">
        <v>1056</v>
      </c>
      <c r="H142" t="s">
        <v>1057</v>
      </c>
      <c r="I142" t="s">
        <v>1058</v>
      </c>
      <c r="J142" t="s">
        <v>1059</v>
      </c>
      <c r="L142" s="1">
        <v>2</v>
      </c>
      <c r="M142" s="1"/>
      <c r="N142" s="1"/>
      <c r="O142" s="3"/>
    </row>
    <row r="143" spans="1:15" ht="13.8">
      <c r="A143" t="s">
        <v>1060</v>
      </c>
      <c r="B143" t="s">
        <v>1061</v>
      </c>
      <c r="C143" t="s">
        <v>473</v>
      </c>
      <c r="D143" t="s">
        <v>23</v>
      </c>
      <c r="E143">
        <v>15</v>
      </c>
      <c r="F143" t="s">
        <v>1062</v>
      </c>
      <c r="G143" t="s">
        <v>1063</v>
      </c>
      <c r="H143" t="s">
        <v>1064</v>
      </c>
      <c r="I143" t="s">
        <v>1065</v>
      </c>
      <c r="J143" t="s">
        <v>1066</v>
      </c>
      <c r="K143" t="s">
        <v>1067</v>
      </c>
      <c r="L143" s="1">
        <v>2</v>
      </c>
      <c r="M143" s="1"/>
      <c r="N143" s="1"/>
      <c r="O143" s="3"/>
    </row>
    <row r="144" spans="1:15" ht="13.8">
      <c r="A144" t="s">
        <v>1068</v>
      </c>
      <c r="B144" t="s">
        <v>1069</v>
      </c>
      <c r="C144" t="s">
        <v>996</v>
      </c>
      <c r="D144" t="s">
        <v>23</v>
      </c>
      <c r="E144">
        <v>30</v>
      </c>
      <c r="F144" t="s">
        <v>1070</v>
      </c>
      <c r="G144" t="s">
        <v>1071</v>
      </c>
      <c r="H144" t="s">
        <v>1072</v>
      </c>
      <c r="I144" t="s">
        <v>1073</v>
      </c>
      <c r="J144" t="s">
        <v>1074</v>
      </c>
      <c r="K144" t="s">
        <v>1075</v>
      </c>
      <c r="L144" s="1">
        <v>2</v>
      </c>
      <c r="M144" s="1"/>
      <c r="N144" s="1"/>
      <c r="O144" s="3"/>
    </row>
    <row r="145" spans="1:15" ht="13.8">
      <c r="A145" t="s">
        <v>1076</v>
      </c>
      <c r="B145" t="s">
        <v>1077</v>
      </c>
      <c r="C145" t="s">
        <v>754</v>
      </c>
      <c r="D145" t="s">
        <v>14</v>
      </c>
      <c r="E145">
        <v>40</v>
      </c>
      <c r="F145" t="s">
        <v>1078</v>
      </c>
      <c r="G145" t="s">
        <v>1079</v>
      </c>
      <c r="H145" t="s">
        <v>1080</v>
      </c>
      <c r="I145" t="s">
        <v>1081</v>
      </c>
      <c r="J145" t="s">
        <v>1082</v>
      </c>
      <c r="L145" s="1">
        <v>2</v>
      </c>
      <c r="M145" s="1"/>
      <c r="N145" s="1"/>
      <c r="O145" s="3"/>
    </row>
    <row r="146" spans="1:15" ht="13.8">
      <c r="A146" t="s">
        <v>1083</v>
      </c>
      <c r="B146" t="s">
        <v>1084</v>
      </c>
      <c r="C146" t="s">
        <v>22</v>
      </c>
      <c r="D146" t="s">
        <v>14</v>
      </c>
      <c r="E146">
        <v>30</v>
      </c>
      <c r="F146" t="s">
        <v>1085</v>
      </c>
      <c r="G146" t="s">
        <v>1086</v>
      </c>
      <c r="H146" t="s">
        <v>1087</v>
      </c>
      <c r="I146" t="s">
        <v>1088</v>
      </c>
      <c r="J146" t="s">
        <v>1089</v>
      </c>
      <c r="L146" s="1">
        <v>2</v>
      </c>
      <c r="M146" s="1"/>
      <c r="N146" s="1"/>
      <c r="O146" s="3"/>
    </row>
    <row r="147" spans="1:15" ht="13.8">
      <c r="A147" t="s">
        <v>1090</v>
      </c>
      <c r="B147" t="s">
        <v>1091</v>
      </c>
      <c r="C147" t="s">
        <v>97</v>
      </c>
      <c r="D147" t="s">
        <v>23</v>
      </c>
      <c r="E147">
        <v>15</v>
      </c>
      <c r="F147" t="s">
        <v>1092</v>
      </c>
      <c r="G147" t="s">
        <v>1093</v>
      </c>
      <c r="H147" t="s">
        <v>1094</v>
      </c>
      <c r="I147" t="s">
        <v>1095</v>
      </c>
      <c r="J147" t="s">
        <v>1096</v>
      </c>
      <c r="L147" s="1">
        <v>2</v>
      </c>
      <c r="M147" s="1"/>
      <c r="N147" s="1"/>
      <c r="O147" s="3"/>
    </row>
    <row r="148" spans="1:15" ht="13.8">
      <c r="A148" t="s">
        <v>1097</v>
      </c>
      <c r="B148" t="s">
        <v>1098</v>
      </c>
      <c r="C148" t="s">
        <v>939</v>
      </c>
      <c r="D148" t="s">
        <v>14</v>
      </c>
      <c r="E148">
        <v>45</v>
      </c>
      <c r="F148" t="s">
        <v>1099</v>
      </c>
      <c r="G148" t="s">
        <v>1100</v>
      </c>
      <c r="H148" t="s">
        <v>1101</v>
      </c>
      <c r="I148" t="s">
        <v>1102</v>
      </c>
      <c r="J148" t="s">
        <v>1103</v>
      </c>
      <c r="L148" s="1">
        <v>2</v>
      </c>
      <c r="M148" s="1"/>
      <c r="N148" s="1"/>
      <c r="O148" s="3"/>
    </row>
    <row r="149" spans="1:15" ht="13.8">
      <c r="A149" t="s">
        <v>1104</v>
      </c>
      <c r="B149" t="s">
        <v>1105</v>
      </c>
      <c r="C149" t="s">
        <v>682</v>
      </c>
      <c r="D149" t="s">
        <v>14</v>
      </c>
      <c r="E149">
        <v>15</v>
      </c>
      <c r="F149" t="s">
        <v>1106</v>
      </c>
      <c r="G149" t="s">
        <v>1107</v>
      </c>
      <c r="H149" t="s">
        <v>1108</v>
      </c>
      <c r="I149" t="s">
        <v>1109</v>
      </c>
      <c r="J149" t="s">
        <v>1110</v>
      </c>
      <c r="K149" t="s">
        <v>1111</v>
      </c>
      <c r="L149" s="1">
        <v>2</v>
      </c>
      <c r="M149" s="1"/>
      <c r="N149" s="1"/>
      <c r="O149" s="3"/>
    </row>
    <row r="150" spans="1:15" ht="13.8">
      <c r="A150" t="s">
        <v>1112</v>
      </c>
      <c r="B150" t="s">
        <v>1113</v>
      </c>
      <c r="C150" t="s">
        <v>652</v>
      </c>
      <c r="D150" t="s">
        <v>14</v>
      </c>
      <c r="E150">
        <v>20</v>
      </c>
      <c r="F150" t="s">
        <v>1114</v>
      </c>
      <c r="G150" t="s">
        <v>1115</v>
      </c>
      <c r="H150" t="s">
        <v>1116</v>
      </c>
      <c r="I150" t="s">
        <v>1117</v>
      </c>
      <c r="J150" t="s">
        <v>1118</v>
      </c>
      <c r="K150" t="s">
        <v>1119</v>
      </c>
      <c r="L150" s="1">
        <v>2</v>
      </c>
      <c r="M150" s="1"/>
      <c r="N150" s="1"/>
      <c r="O150" s="3"/>
    </row>
    <row r="151" spans="1:15" ht="13.8">
      <c r="A151" t="s">
        <v>1120</v>
      </c>
      <c r="B151" t="s">
        <v>1121</v>
      </c>
      <c r="C151" t="s">
        <v>581</v>
      </c>
      <c r="D151" t="s">
        <v>23</v>
      </c>
      <c r="E151">
        <v>20</v>
      </c>
      <c r="F151" t="s">
        <v>1122</v>
      </c>
      <c r="G151" t="s">
        <v>1123</v>
      </c>
      <c r="H151" t="s">
        <v>1124</v>
      </c>
      <c r="I151" t="s">
        <v>1125</v>
      </c>
      <c r="J151" t="s">
        <v>1126</v>
      </c>
      <c r="K151" t="s">
        <v>1127</v>
      </c>
      <c r="L151" s="1">
        <v>2</v>
      </c>
      <c r="M151" s="1"/>
      <c r="N151" s="1"/>
      <c r="O151" s="3"/>
    </row>
    <row r="152" spans="1:15" ht="13.8">
      <c r="A152" t="s">
        <v>1128</v>
      </c>
      <c r="B152" t="s">
        <v>1129</v>
      </c>
      <c r="C152" t="s">
        <v>97</v>
      </c>
      <c r="D152" t="s">
        <v>23</v>
      </c>
      <c r="E152">
        <v>20</v>
      </c>
      <c r="F152" t="s">
        <v>1130</v>
      </c>
      <c r="G152" t="s">
        <v>1131</v>
      </c>
      <c r="H152" t="s">
        <v>1132</v>
      </c>
      <c r="I152" t="s">
        <v>1133</v>
      </c>
      <c r="J152" t="s">
        <v>1134</v>
      </c>
      <c r="L152" s="1">
        <v>2</v>
      </c>
      <c r="M152" s="1"/>
      <c r="N152" s="1"/>
      <c r="O152" s="3"/>
    </row>
    <row r="153" spans="1:15" ht="13.8">
      <c r="A153" t="s">
        <v>1135</v>
      </c>
      <c r="B153" t="s">
        <v>1136</v>
      </c>
      <c r="C153" t="s">
        <v>22</v>
      </c>
      <c r="D153" t="s">
        <v>14</v>
      </c>
      <c r="E153">
        <v>30</v>
      </c>
      <c r="F153" t="s">
        <v>1137</v>
      </c>
      <c r="G153" t="s">
        <v>1138</v>
      </c>
      <c r="H153" t="s">
        <v>1139</v>
      </c>
      <c r="I153" t="s">
        <v>1140</v>
      </c>
      <c r="J153" t="s">
        <v>1141</v>
      </c>
      <c r="K153" t="s">
        <v>1142</v>
      </c>
      <c r="L153" s="1">
        <v>2</v>
      </c>
      <c r="M153" s="1"/>
      <c r="N153" s="1"/>
      <c r="O153" s="3"/>
    </row>
    <row r="154" spans="1:15" ht="13.8">
      <c r="A154" t="s">
        <v>1143</v>
      </c>
      <c r="B154" t="s">
        <v>1144</v>
      </c>
      <c r="C154" t="s">
        <v>429</v>
      </c>
      <c r="D154" t="s">
        <v>23</v>
      </c>
      <c r="E154">
        <v>20</v>
      </c>
      <c r="F154" t="s">
        <v>1145</v>
      </c>
      <c r="G154" t="s">
        <v>1146</v>
      </c>
      <c r="H154" t="s">
        <v>1147</v>
      </c>
      <c r="I154" t="s">
        <v>1148</v>
      </c>
      <c r="J154" t="s">
        <v>1149</v>
      </c>
      <c r="K154" t="s">
        <v>1150</v>
      </c>
      <c r="L154" s="1">
        <v>2</v>
      </c>
      <c r="M154" s="1"/>
      <c r="N154" s="1"/>
      <c r="O154" s="3"/>
    </row>
    <row r="155" spans="1:15" ht="13.8">
      <c r="A155" t="s">
        <v>1151</v>
      </c>
      <c r="B155" t="s">
        <v>1152</v>
      </c>
      <c r="C155" t="s">
        <v>815</v>
      </c>
      <c r="D155" t="s">
        <v>14</v>
      </c>
      <c r="E155">
        <v>30</v>
      </c>
      <c r="F155" t="s">
        <v>1153</v>
      </c>
      <c r="G155" t="s">
        <v>1154</v>
      </c>
      <c r="H155" t="s">
        <v>1155</v>
      </c>
      <c r="I155" t="s">
        <v>1156</v>
      </c>
      <c r="J155" t="s">
        <v>1157</v>
      </c>
      <c r="K155" t="s">
        <v>1158</v>
      </c>
      <c r="L155" s="1">
        <v>2</v>
      </c>
      <c r="M155" s="1"/>
      <c r="N155" s="1"/>
      <c r="O155" s="3"/>
    </row>
    <row r="156" spans="1:15" ht="13.8">
      <c r="A156" t="s">
        <v>1159</v>
      </c>
      <c r="B156" t="s">
        <v>1160</v>
      </c>
      <c r="C156" t="s">
        <v>1010</v>
      </c>
      <c r="D156" t="s">
        <v>14</v>
      </c>
      <c r="E156">
        <v>45</v>
      </c>
      <c r="F156" t="s">
        <v>1161</v>
      </c>
      <c r="G156" t="s">
        <v>1162</v>
      </c>
      <c r="H156" t="s">
        <v>1163</v>
      </c>
      <c r="I156" t="s">
        <v>1164</v>
      </c>
      <c r="J156" t="s">
        <v>1165</v>
      </c>
      <c r="K156" t="s">
        <v>1166</v>
      </c>
      <c r="L156" s="1">
        <v>2</v>
      </c>
      <c r="M156" s="1"/>
      <c r="N156" s="1"/>
      <c r="O156" s="3"/>
    </row>
    <row r="157" spans="1:15" ht="13.8">
      <c r="A157" t="s">
        <v>815</v>
      </c>
      <c r="B157" t="s">
        <v>1167</v>
      </c>
      <c r="C157" t="s">
        <v>815</v>
      </c>
      <c r="D157" t="s">
        <v>14</v>
      </c>
      <c r="E157">
        <v>40</v>
      </c>
      <c r="F157" t="s">
        <v>1168</v>
      </c>
      <c r="G157" t="s">
        <v>1169</v>
      </c>
      <c r="H157" t="s">
        <v>1170</v>
      </c>
      <c r="I157" t="s">
        <v>1171</v>
      </c>
      <c r="J157" t="s">
        <v>1172</v>
      </c>
      <c r="K157" t="s">
        <v>1173</v>
      </c>
      <c r="L157" s="1">
        <v>2</v>
      </c>
      <c r="M157" s="1"/>
      <c r="N157" s="1"/>
      <c r="O157" s="3"/>
    </row>
    <row r="158" spans="1:15" ht="13.8">
      <c r="A158" t="s">
        <v>1174</v>
      </c>
      <c r="B158" t="s">
        <v>1175</v>
      </c>
      <c r="C158" t="s">
        <v>1176</v>
      </c>
      <c r="D158" t="s">
        <v>14</v>
      </c>
      <c r="E158">
        <v>30</v>
      </c>
      <c r="F158" t="s">
        <v>1177</v>
      </c>
      <c r="G158" t="s">
        <v>1178</v>
      </c>
      <c r="H158" t="s">
        <v>1179</v>
      </c>
      <c r="I158" t="s">
        <v>1180</v>
      </c>
      <c r="J158" t="s">
        <v>1181</v>
      </c>
      <c r="K158" t="s">
        <v>1182</v>
      </c>
      <c r="L158" s="1">
        <v>2</v>
      </c>
      <c r="M158" s="1"/>
      <c r="N158" s="1"/>
      <c r="O158" s="3"/>
    </row>
    <row r="159" spans="1:15" ht="13.8">
      <c r="A159" t="s">
        <v>1183</v>
      </c>
      <c r="B159" t="s">
        <v>21</v>
      </c>
      <c r="C159" t="s">
        <v>22</v>
      </c>
      <c r="D159" t="s">
        <v>23</v>
      </c>
      <c r="E159">
        <v>40</v>
      </c>
      <c r="F159" t="s">
        <v>1184</v>
      </c>
      <c r="G159" t="s">
        <v>1185</v>
      </c>
      <c r="H159" t="s">
        <v>1186</v>
      </c>
      <c r="I159" t="s">
        <v>1187</v>
      </c>
      <c r="J159" t="s">
        <v>1188</v>
      </c>
      <c r="K159" t="s">
        <v>1189</v>
      </c>
      <c r="L159" s="1">
        <v>2</v>
      </c>
      <c r="M159" s="1"/>
      <c r="N159" s="1"/>
      <c r="O159" s="3"/>
    </row>
    <row r="160" spans="1:15" ht="13.8">
      <c r="A160" t="s">
        <v>1190</v>
      </c>
      <c r="B160" t="s">
        <v>1191</v>
      </c>
      <c r="C160" t="s">
        <v>972</v>
      </c>
      <c r="D160" t="s">
        <v>23</v>
      </c>
      <c r="E160">
        <v>30</v>
      </c>
      <c r="F160" t="s">
        <v>1192</v>
      </c>
      <c r="G160" t="s">
        <v>1193</v>
      </c>
      <c r="H160" t="s">
        <v>1194</v>
      </c>
      <c r="I160" t="s">
        <v>1195</v>
      </c>
      <c r="J160" t="s">
        <v>1196</v>
      </c>
      <c r="L160" s="1">
        <v>2</v>
      </c>
      <c r="M160" s="1"/>
      <c r="N160" s="1"/>
      <c r="O160" s="3"/>
    </row>
    <row r="161" spans="1:15" ht="13.8">
      <c r="A161" t="s">
        <v>1197</v>
      </c>
      <c r="B161" t="s">
        <v>1198</v>
      </c>
      <c r="C161" t="s">
        <v>581</v>
      </c>
      <c r="D161" t="s">
        <v>23</v>
      </c>
      <c r="E161">
        <v>1</v>
      </c>
      <c r="F161" t="s">
        <v>1199</v>
      </c>
      <c r="G161" t="s">
        <v>1200</v>
      </c>
      <c r="H161" t="s">
        <v>1201</v>
      </c>
      <c r="I161" t="s">
        <v>1202</v>
      </c>
      <c r="J161" t="s">
        <v>1203</v>
      </c>
      <c r="K161" t="s">
        <v>1204</v>
      </c>
      <c r="L161" s="1">
        <v>2</v>
      </c>
      <c r="M161" s="1"/>
      <c r="N161" s="1"/>
      <c r="O161" s="3"/>
    </row>
    <row r="162" spans="1:15" ht="13.8">
      <c r="A162" t="s">
        <v>1205</v>
      </c>
      <c r="B162" t="s">
        <v>1206</v>
      </c>
      <c r="C162" t="s">
        <v>581</v>
      </c>
      <c r="D162" t="s">
        <v>23</v>
      </c>
      <c r="E162">
        <v>30</v>
      </c>
      <c r="F162" t="s">
        <v>1207</v>
      </c>
      <c r="G162" t="s">
        <v>1208</v>
      </c>
      <c r="H162" t="s">
        <v>1209</v>
      </c>
      <c r="I162" t="s">
        <v>1210</v>
      </c>
      <c r="J162" t="s">
        <v>1211</v>
      </c>
      <c r="K162" t="s">
        <v>1212</v>
      </c>
      <c r="L162" s="1">
        <v>2</v>
      </c>
      <c r="M162" s="1"/>
      <c r="N162" s="1"/>
      <c r="O162" s="3"/>
    </row>
    <row r="163" spans="1:15" ht="13.8">
      <c r="A163" t="s">
        <v>1213</v>
      </c>
      <c r="B163" t="s">
        <v>1214</v>
      </c>
      <c r="C163" t="s">
        <v>682</v>
      </c>
      <c r="D163" t="s">
        <v>14</v>
      </c>
      <c r="E163">
        <v>20</v>
      </c>
      <c r="F163" t="s">
        <v>1215</v>
      </c>
      <c r="G163" t="s">
        <v>1216</v>
      </c>
      <c r="H163" t="s">
        <v>1217</v>
      </c>
      <c r="I163" t="s">
        <v>1218</v>
      </c>
      <c r="J163" t="s">
        <v>1219</v>
      </c>
      <c r="K163" t="s">
        <v>1220</v>
      </c>
      <c r="L163" s="1">
        <v>2</v>
      </c>
      <c r="M163" s="1"/>
      <c r="N163" s="1"/>
      <c r="O163" s="3"/>
    </row>
    <row r="164" spans="1:15" ht="13.8">
      <c r="A164" t="s">
        <v>1221</v>
      </c>
      <c r="B164" t="s">
        <v>1222</v>
      </c>
      <c r="C164" t="s">
        <v>730</v>
      </c>
      <c r="D164" t="s">
        <v>23</v>
      </c>
      <c r="E164">
        <v>30</v>
      </c>
      <c r="F164" t="s">
        <v>1223</v>
      </c>
      <c r="G164" t="s">
        <v>1224</v>
      </c>
      <c r="H164" t="s">
        <v>1225</v>
      </c>
      <c r="I164" t="s">
        <v>1226</v>
      </c>
      <c r="J164" t="s">
        <v>1227</v>
      </c>
      <c r="K164" t="s">
        <v>1228</v>
      </c>
      <c r="L164" s="1">
        <v>2</v>
      </c>
      <c r="M164" s="1"/>
      <c r="N164" s="1"/>
      <c r="O164" s="3"/>
    </row>
    <row r="165" spans="1:15" ht="13.8">
      <c r="A165" t="s">
        <v>1229</v>
      </c>
      <c r="B165" t="s">
        <v>1230</v>
      </c>
      <c r="C165" t="s">
        <v>74</v>
      </c>
      <c r="D165" t="s">
        <v>14</v>
      </c>
      <c r="E165">
        <v>15</v>
      </c>
      <c r="F165" t="s">
        <v>1231</v>
      </c>
      <c r="G165" t="s">
        <v>1232</v>
      </c>
      <c r="H165" t="s">
        <v>1233</v>
      </c>
      <c r="I165" t="s">
        <v>1234</v>
      </c>
      <c r="J165" t="s">
        <v>1235</v>
      </c>
      <c r="K165" t="s">
        <v>1236</v>
      </c>
      <c r="L165" s="1">
        <v>2</v>
      </c>
      <c r="M165" s="1"/>
      <c r="N165" s="1"/>
      <c r="O165" s="3"/>
    </row>
    <row r="166" spans="1:15" ht="13.8">
      <c r="A166" t="s">
        <v>1237</v>
      </c>
      <c r="B166" t="s">
        <v>1238</v>
      </c>
      <c r="C166" t="s">
        <v>612</v>
      </c>
      <c r="D166" t="s">
        <v>23</v>
      </c>
      <c r="E166">
        <v>30</v>
      </c>
      <c r="F166" t="s">
        <v>1239</v>
      </c>
      <c r="G166" t="s">
        <v>1240</v>
      </c>
      <c r="H166" t="s">
        <v>1241</v>
      </c>
      <c r="I166" t="s">
        <v>1242</v>
      </c>
      <c r="J166" t="s">
        <v>1243</v>
      </c>
      <c r="K166" t="s">
        <v>1244</v>
      </c>
      <c r="L166" s="1">
        <v>2</v>
      </c>
      <c r="M166" s="1"/>
      <c r="N166" s="1"/>
      <c r="O166" s="3"/>
    </row>
    <row r="167" spans="1:15" ht="13.8">
      <c r="A167" t="s">
        <v>1245</v>
      </c>
      <c r="B167" t="s">
        <v>1246</v>
      </c>
      <c r="C167" t="s">
        <v>972</v>
      </c>
      <c r="D167" t="s">
        <v>23</v>
      </c>
      <c r="E167">
        <v>30</v>
      </c>
      <c r="F167" t="s">
        <v>1247</v>
      </c>
      <c r="G167" t="s">
        <v>1248</v>
      </c>
      <c r="H167" t="s">
        <v>1249</v>
      </c>
      <c r="I167" t="s">
        <v>1250</v>
      </c>
      <c r="J167" t="s">
        <v>1251</v>
      </c>
      <c r="K167" t="s">
        <v>1252</v>
      </c>
      <c r="L167" s="1">
        <v>2</v>
      </c>
      <c r="M167" s="1"/>
      <c r="N167" s="1"/>
      <c r="O167" s="3"/>
    </row>
    <row r="168" spans="1:15" ht="13.8">
      <c r="A168" t="s">
        <v>1253</v>
      </c>
      <c r="B168" t="s">
        <v>1254</v>
      </c>
      <c r="C168" t="s">
        <v>988</v>
      </c>
      <c r="D168" t="s">
        <v>23</v>
      </c>
      <c r="E168">
        <v>45</v>
      </c>
      <c r="F168" t="s">
        <v>1255</v>
      </c>
      <c r="G168" t="s">
        <v>1256</v>
      </c>
      <c r="H168" t="s">
        <v>1257</v>
      </c>
      <c r="I168" t="s">
        <v>1258</v>
      </c>
      <c r="J168" t="s">
        <v>1259</v>
      </c>
      <c r="K168" t="s">
        <v>1260</v>
      </c>
      <c r="L168" s="1">
        <v>2</v>
      </c>
      <c r="M168" s="1"/>
      <c r="N168" s="1"/>
      <c r="O168" s="3"/>
    </row>
    <row r="169" spans="1:15" ht="13.8">
      <c r="A169" t="s">
        <v>1261</v>
      </c>
      <c r="B169" t="s">
        <v>1262</v>
      </c>
      <c r="C169" t="s">
        <v>572</v>
      </c>
      <c r="D169" t="s">
        <v>23</v>
      </c>
      <c r="E169">
        <v>30</v>
      </c>
      <c r="F169" t="s">
        <v>1263</v>
      </c>
      <c r="G169" t="s">
        <v>1264</v>
      </c>
      <c r="H169" t="s">
        <v>1265</v>
      </c>
      <c r="I169" t="s">
        <v>1266</v>
      </c>
      <c r="J169" t="s">
        <v>1267</v>
      </c>
      <c r="K169" t="s">
        <v>1268</v>
      </c>
      <c r="L169" s="1">
        <v>2</v>
      </c>
      <c r="M169" s="1"/>
      <c r="N169" s="1"/>
      <c r="O169" s="3"/>
    </row>
    <row r="170" spans="1:15" ht="13.8">
      <c r="A170" t="s">
        <v>1269</v>
      </c>
      <c r="B170" t="s">
        <v>1270</v>
      </c>
      <c r="C170" t="s">
        <v>44</v>
      </c>
      <c r="D170" t="s">
        <v>14</v>
      </c>
      <c r="E170">
        <v>30</v>
      </c>
      <c r="F170" t="s">
        <v>1271</v>
      </c>
      <c r="G170" t="s">
        <v>1272</v>
      </c>
      <c r="H170" t="s">
        <v>1273</v>
      </c>
      <c r="I170" t="s">
        <v>1274</v>
      </c>
      <c r="J170" t="s">
        <v>1275</v>
      </c>
      <c r="K170" t="s">
        <v>1276</v>
      </c>
      <c r="L170" s="1">
        <v>2</v>
      </c>
      <c r="M170" s="1"/>
      <c r="N170" s="1"/>
      <c r="O170" s="3"/>
    </row>
    <row r="171" spans="1:15" ht="13.8">
      <c r="A171" t="s">
        <v>1277</v>
      </c>
      <c r="B171" t="s">
        <v>1278</v>
      </c>
      <c r="C171" t="s">
        <v>22</v>
      </c>
      <c r="D171" t="s">
        <v>14</v>
      </c>
      <c r="E171">
        <v>45</v>
      </c>
      <c r="F171" t="s">
        <v>1279</v>
      </c>
      <c r="G171" t="s">
        <v>1280</v>
      </c>
      <c r="H171" t="s">
        <v>1281</v>
      </c>
      <c r="I171" t="s">
        <v>1282</v>
      </c>
      <c r="J171" t="s">
        <v>1283</v>
      </c>
      <c r="K171" t="s">
        <v>1284</v>
      </c>
      <c r="L171" s="1">
        <v>2</v>
      </c>
      <c r="M171" s="1"/>
      <c r="N171" s="1"/>
      <c r="O171" s="3"/>
    </row>
    <row r="172" spans="1:15" ht="13.8">
      <c r="A172" t="s">
        <v>1285</v>
      </c>
      <c r="B172" t="s">
        <v>1286</v>
      </c>
      <c r="C172" t="s">
        <v>939</v>
      </c>
      <c r="D172" t="s">
        <v>14</v>
      </c>
      <c r="E172">
        <v>40</v>
      </c>
      <c r="F172" t="s">
        <v>1287</v>
      </c>
      <c r="G172" t="s">
        <v>1288</v>
      </c>
      <c r="H172" t="s">
        <v>1289</v>
      </c>
      <c r="I172" t="s">
        <v>1290</v>
      </c>
      <c r="J172" t="s">
        <v>1291</v>
      </c>
      <c r="K172" t="s">
        <v>1292</v>
      </c>
      <c r="L172" s="1">
        <v>2</v>
      </c>
      <c r="M172" s="1"/>
      <c r="N172" s="1"/>
      <c r="O172" s="3"/>
    </row>
    <row r="173" spans="1:15" ht="13.8">
      <c r="A173" t="s">
        <v>1293</v>
      </c>
      <c r="B173" t="s">
        <v>1294</v>
      </c>
      <c r="C173" t="s">
        <v>572</v>
      </c>
      <c r="D173" t="s">
        <v>23</v>
      </c>
      <c r="E173">
        <v>30</v>
      </c>
      <c r="F173" t="s">
        <v>1295</v>
      </c>
      <c r="G173" t="s">
        <v>1296</v>
      </c>
      <c r="H173" t="s">
        <v>1297</v>
      </c>
      <c r="I173" t="s">
        <v>1298</v>
      </c>
      <c r="J173" t="s">
        <v>1299</v>
      </c>
      <c r="K173" t="s">
        <v>1300</v>
      </c>
      <c r="L173" s="1">
        <v>2</v>
      </c>
      <c r="M173" s="1"/>
      <c r="N173" s="1"/>
      <c r="O173" s="3"/>
    </row>
    <row r="174" spans="1:15" ht="13.8">
      <c r="A174" t="s">
        <v>1301</v>
      </c>
      <c r="B174" t="s">
        <v>1302</v>
      </c>
      <c r="C174" t="s">
        <v>988</v>
      </c>
      <c r="D174" t="s">
        <v>23</v>
      </c>
      <c r="E174">
        <v>45</v>
      </c>
      <c r="F174" t="s">
        <v>1303</v>
      </c>
      <c r="G174" t="s">
        <v>1304</v>
      </c>
      <c r="H174" t="s">
        <v>1305</v>
      </c>
      <c r="I174" t="s">
        <v>1306</v>
      </c>
      <c r="J174" t="s">
        <v>1307</v>
      </c>
      <c r="K174" t="s">
        <v>1308</v>
      </c>
      <c r="L174" s="1">
        <v>2</v>
      </c>
      <c r="M174" s="1"/>
      <c r="N174" s="1"/>
      <c r="O174" s="3"/>
    </row>
    <row r="175" spans="1:15" ht="13.8">
      <c r="A175" t="s">
        <v>1309</v>
      </c>
      <c r="B175" t="s">
        <v>1310</v>
      </c>
      <c r="C175" t="s">
        <v>67</v>
      </c>
      <c r="D175" t="s">
        <v>14</v>
      </c>
      <c r="E175">
        <v>10</v>
      </c>
      <c r="F175" t="s">
        <v>1311</v>
      </c>
      <c r="G175" t="s">
        <v>1312</v>
      </c>
      <c r="H175" t="s">
        <v>1313</v>
      </c>
      <c r="I175" t="s">
        <v>1314</v>
      </c>
      <c r="J175" t="s">
        <v>1315</v>
      </c>
      <c r="K175" t="s">
        <v>1316</v>
      </c>
      <c r="L175" s="1">
        <v>2</v>
      </c>
      <c r="M175" s="1"/>
      <c r="N175" s="1"/>
      <c r="O175" s="3"/>
    </row>
    <row r="176" spans="1:15" ht="13.8">
      <c r="A176" t="s">
        <v>1317</v>
      </c>
      <c r="B176" t="s">
        <v>1318</v>
      </c>
      <c r="C176" t="s">
        <v>22</v>
      </c>
      <c r="D176" t="s">
        <v>14</v>
      </c>
      <c r="E176">
        <v>30</v>
      </c>
      <c r="F176" t="s">
        <v>1319</v>
      </c>
      <c r="G176" t="s">
        <v>1320</v>
      </c>
      <c r="H176" t="s">
        <v>1321</v>
      </c>
      <c r="I176" t="s">
        <v>1322</v>
      </c>
      <c r="J176" t="s">
        <v>1323</v>
      </c>
      <c r="K176" t="s">
        <v>1324</v>
      </c>
      <c r="L176" s="1">
        <v>2</v>
      </c>
      <c r="M176" s="1"/>
      <c r="N176" s="1"/>
      <c r="O176" s="3"/>
    </row>
    <row r="177" spans="1:15" ht="13.8">
      <c r="A177" t="s">
        <v>1325</v>
      </c>
      <c r="B177" t="s">
        <v>1326</v>
      </c>
      <c r="C177" t="s">
        <v>644</v>
      </c>
      <c r="D177" t="s">
        <v>23</v>
      </c>
      <c r="E177">
        <v>15</v>
      </c>
      <c r="F177" t="s">
        <v>1327</v>
      </c>
      <c r="G177" t="s">
        <v>1328</v>
      </c>
      <c r="H177" t="s">
        <v>1329</v>
      </c>
      <c r="I177" t="s">
        <v>1330</v>
      </c>
      <c r="J177" t="s">
        <v>1331</v>
      </c>
      <c r="L177" s="1">
        <v>2</v>
      </c>
      <c r="M177" s="1"/>
      <c r="N177" s="1"/>
      <c r="O177" s="3"/>
    </row>
    <row r="178" spans="1:15" ht="13.8">
      <c r="A178" t="s">
        <v>1332</v>
      </c>
      <c r="B178" t="s">
        <v>1333</v>
      </c>
      <c r="C178" t="s">
        <v>652</v>
      </c>
      <c r="D178" t="s">
        <v>14</v>
      </c>
      <c r="E178">
        <v>30</v>
      </c>
      <c r="F178" t="s">
        <v>1334</v>
      </c>
      <c r="G178" t="s">
        <v>1335</v>
      </c>
      <c r="H178" t="s">
        <v>1336</v>
      </c>
      <c r="I178" t="s">
        <v>1337</v>
      </c>
      <c r="J178" t="s">
        <v>1338</v>
      </c>
      <c r="K178" t="s">
        <v>1339</v>
      </c>
      <c r="L178" s="1">
        <v>2</v>
      </c>
      <c r="M178" s="1"/>
      <c r="N178" s="1"/>
      <c r="O178" s="3"/>
    </row>
    <row r="179" spans="1:15" ht="13.8">
      <c r="A179" t="s">
        <v>1340</v>
      </c>
      <c r="B179" t="s">
        <v>1341</v>
      </c>
      <c r="C179" t="s">
        <v>97</v>
      </c>
      <c r="D179" t="s">
        <v>23</v>
      </c>
      <c r="E179">
        <v>15</v>
      </c>
      <c r="F179" t="s">
        <v>1342</v>
      </c>
      <c r="G179" t="s">
        <v>1343</v>
      </c>
      <c r="H179" t="s">
        <v>1344</v>
      </c>
      <c r="I179" t="s">
        <v>1345</v>
      </c>
      <c r="J179" t="s">
        <v>1346</v>
      </c>
      <c r="L179" s="1">
        <v>2</v>
      </c>
      <c r="M179" s="1"/>
      <c r="N179" s="1"/>
      <c r="O179" s="3"/>
    </row>
    <row r="180" spans="1:15" ht="13.8">
      <c r="A180" t="s">
        <v>1347</v>
      </c>
      <c r="B180" t="s">
        <v>1348</v>
      </c>
      <c r="C180" t="s">
        <v>972</v>
      </c>
      <c r="D180" t="s">
        <v>23</v>
      </c>
      <c r="E180">
        <v>20</v>
      </c>
      <c r="F180" t="s">
        <v>1349</v>
      </c>
      <c r="G180" t="s">
        <v>1350</v>
      </c>
      <c r="H180" t="s">
        <v>1351</v>
      </c>
      <c r="I180" t="s">
        <v>1352</v>
      </c>
      <c r="J180" t="s">
        <v>1353</v>
      </c>
      <c r="L180" s="1">
        <v>2</v>
      </c>
      <c r="M180" s="1"/>
      <c r="N180" s="1"/>
      <c r="O180" s="3"/>
    </row>
    <row r="181" spans="1:15" ht="13.8">
      <c r="A181" t="s">
        <v>1354</v>
      </c>
      <c r="B181" t="s">
        <v>1355</v>
      </c>
      <c r="C181" t="s">
        <v>581</v>
      </c>
      <c r="D181" t="s">
        <v>23</v>
      </c>
      <c r="E181">
        <v>20</v>
      </c>
      <c r="F181" t="s">
        <v>1356</v>
      </c>
      <c r="G181" t="s">
        <v>1357</v>
      </c>
      <c r="H181" t="s">
        <v>1358</v>
      </c>
      <c r="I181" t="s">
        <v>1359</v>
      </c>
      <c r="J181" t="s">
        <v>1360</v>
      </c>
      <c r="L181" s="1">
        <v>2</v>
      </c>
      <c r="M181" s="1"/>
      <c r="N181" s="1"/>
      <c r="O181" s="3"/>
    </row>
    <row r="182" spans="1:15" ht="13.8">
      <c r="A182" t="s">
        <v>1361</v>
      </c>
      <c r="B182" t="s">
        <v>1362</v>
      </c>
      <c r="C182" t="s">
        <v>52</v>
      </c>
      <c r="D182" t="s">
        <v>23</v>
      </c>
      <c r="E182">
        <v>2</v>
      </c>
      <c r="F182" t="s">
        <v>1363</v>
      </c>
      <c r="G182" t="s">
        <v>1364</v>
      </c>
      <c r="H182" t="s">
        <v>1365</v>
      </c>
      <c r="I182" t="s">
        <v>1366</v>
      </c>
      <c r="J182" t="s">
        <v>1367</v>
      </c>
      <c r="L182" s="1">
        <v>2</v>
      </c>
      <c r="M182" s="1"/>
      <c r="N182" s="1"/>
      <c r="O182" s="3"/>
    </row>
    <row r="183" spans="1:15" ht="13.8">
      <c r="A183" t="s">
        <v>1368</v>
      </c>
      <c r="B183" t="s">
        <v>1369</v>
      </c>
      <c r="C183" t="s">
        <v>652</v>
      </c>
      <c r="D183" t="s">
        <v>14</v>
      </c>
      <c r="E183">
        <v>30</v>
      </c>
      <c r="F183" t="s">
        <v>1370</v>
      </c>
      <c r="G183" t="s">
        <v>1371</v>
      </c>
      <c r="H183" t="s">
        <v>1372</v>
      </c>
      <c r="I183" t="s">
        <v>1373</v>
      </c>
      <c r="J183" t="s">
        <v>1374</v>
      </c>
      <c r="L183" s="1">
        <v>2</v>
      </c>
      <c r="M183" s="1"/>
      <c r="N183" s="1"/>
      <c r="O183" s="3"/>
    </row>
    <row r="184" spans="1:15" ht="13.8">
      <c r="A184" t="s">
        <v>1375</v>
      </c>
      <c r="B184" t="s">
        <v>1376</v>
      </c>
      <c r="C184" t="s">
        <v>572</v>
      </c>
      <c r="D184" t="s">
        <v>23</v>
      </c>
      <c r="E184">
        <v>45</v>
      </c>
      <c r="F184" t="s">
        <v>1377</v>
      </c>
      <c r="G184" t="s">
        <v>1378</v>
      </c>
      <c r="H184" t="s">
        <v>1379</v>
      </c>
      <c r="I184" t="s">
        <v>1380</v>
      </c>
      <c r="J184" t="s">
        <v>1381</v>
      </c>
      <c r="L184" s="1">
        <v>2</v>
      </c>
      <c r="M184" s="1"/>
      <c r="N184" s="1"/>
      <c r="O184" s="3"/>
    </row>
    <row r="185" spans="1:15" ht="13.8">
      <c r="A185" t="s">
        <v>1382</v>
      </c>
      <c r="B185" t="s">
        <v>1383</v>
      </c>
      <c r="C185" t="s">
        <v>972</v>
      </c>
      <c r="D185" t="s">
        <v>23</v>
      </c>
      <c r="E185">
        <v>30</v>
      </c>
      <c r="F185" t="s">
        <v>1384</v>
      </c>
      <c r="G185" t="s">
        <v>1385</v>
      </c>
      <c r="H185" t="s">
        <v>1386</v>
      </c>
      <c r="I185" t="s">
        <v>1387</v>
      </c>
      <c r="J185" t="s">
        <v>1388</v>
      </c>
      <c r="L185" s="1">
        <v>2</v>
      </c>
      <c r="M185" s="1"/>
      <c r="N185" s="1"/>
      <c r="O185" s="3"/>
    </row>
    <row r="186" spans="1:15" ht="13.8">
      <c r="A186" t="s">
        <v>1389</v>
      </c>
      <c r="B186" t="s">
        <v>1390</v>
      </c>
      <c r="C186" t="s">
        <v>429</v>
      </c>
      <c r="D186" t="s">
        <v>23</v>
      </c>
      <c r="E186">
        <v>15</v>
      </c>
      <c r="F186" t="s">
        <v>1391</v>
      </c>
      <c r="G186" t="s">
        <v>1392</v>
      </c>
      <c r="H186" t="s">
        <v>1393</v>
      </c>
      <c r="I186" t="s">
        <v>1394</v>
      </c>
      <c r="J186" t="s">
        <v>1395</v>
      </c>
      <c r="L186" s="1">
        <v>2</v>
      </c>
      <c r="M186" s="1"/>
      <c r="N186" s="1"/>
      <c r="O186" s="3"/>
    </row>
    <row r="187" spans="1:15" ht="13.8">
      <c r="A187" t="s">
        <v>1396</v>
      </c>
      <c r="B187" t="s">
        <v>1397</v>
      </c>
      <c r="C187" t="s">
        <v>939</v>
      </c>
      <c r="D187" t="s">
        <v>14</v>
      </c>
      <c r="E187">
        <v>40</v>
      </c>
      <c r="F187" t="s">
        <v>1398</v>
      </c>
      <c r="G187" t="s">
        <v>1399</v>
      </c>
      <c r="H187" t="s">
        <v>1400</v>
      </c>
      <c r="I187" t="s">
        <v>1401</v>
      </c>
      <c r="J187" t="s">
        <v>1402</v>
      </c>
      <c r="L187" s="1">
        <v>2</v>
      </c>
      <c r="M187" s="1"/>
      <c r="N187" s="1"/>
      <c r="O187" s="3"/>
    </row>
    <row r="188" spans="1:15" ht="13.8">
      <c r="A188" t="s">
        <v>1403</v>
      </c>
      <c r="B188" t="s">
        <v>1404</v>
      </c>
      <c r="C188" t="s">
        <v>644</v>
      </c>
      <c r="D188" t="s">
        <v>23</v>
      </c>
      <c r="E188">
        <v>20</v>
      </c>
      <c r="F188" t="s">
        <v>1405</v>
      </c>
      <c r="G188" t="s">
        <v>1406</v>
      </c>
      <c r="H188" t="s">
        <v>1407</v>
      </c>
      <c r="I188" t="s">
        <v>1408</v>
      </c>
      <c r="J188" t="s">
        <v>1409</v>
      </c>
      <c r="K188" t="s">
        <v>1410</v>
      </c>
      <c r="L188" s="1">
        <v>2</v>
      </c>
      <c r="M188" s="1"/>
      <c r="N188" s="1"/>
      <c r="O188" s="3"/>
    </row>
    <row r="189" spans="1:15" ht="13.8">
      <c r="A189" t="s">
        <v>1411</v>
      </c>
      <c r="B189" t="s">
        <v>1412</v>
      </c>
      <c r="C189" t="s">
        <v>706</v>
      </c>
      <c r="D189" t="s">
        <v>14</v>
      </c>
      <c r="E189">
        <v>25</v>
      </c>
      <c r="F189" t="s">
        <v>1413</v>
      </c>
      <c r="G189" t="s">
        <v>1414</v>
      </c>
      <c r="H189" t="s">
        <v>1415</v>
      </c>
      <c r="I189" t="s">
        <v>1416</v>
      </c>
      <c r="J189" t="s">
        <v>1417</v>
      </c>
      <c r="L189" s="1">
        <v>2</v>
      </c>
      <c r="M189" s="1"/>
      <c r="N189" s="1"/>
      <c r="O189" s="3"/>
    </row>
    <row r="190" spans="1:15" ht="13.8">
      <c r="A190" t="s">
        <v>1418</v>
      </c>
      <c r="B190" t="s">
        <v>1419</v>
      </c>
      <c r="C190" t="s">
        <v>581</v>
      </c>
      <c r="D190" t="s">
        <v>23</v>
      </c>
      <c r="E190">
        <v>25</v>
      </c>
      <c r="F190" t="s">
        <v>1420</v>
      </c>
      <c r="G190" t="s">
        <v>1421</v>
      </c>
      <c r="H190" t="s">
        <v>1422</v>
      </c>
      <c r="I190" t="s">
        <v>1423</v>
      </c>
      <c r="J190" t="s">
        <v>1424</v>
      </c>
      <c r="L190" s="1">
        <v>2</v>
      </c>
      <c r="M190" s="1"/>
      <c r="N190" s="1"/>
      <c r="O190" s="3"/>
    </row>
    <row r="191" spans="1:15" ht="13.8">
      <c r="A191" t="s">
        <v>1425</v>
      </c>
      <c r="B191" t="s">
        <v>1426</v>
      </c>
      <c r="C191" t="s">
        <v>620</v>
      </c>
      <c r="D191" t="s">
        <v>23</v>
      </c>
      <c r="E191">
        <v>20</v>
      </c>
      <c r="F191" t="s">
        <v>1427</v>
      </c>
      <c r="G191" t="s">
        <v>1428</v>
      </c>
      <c r="H191" t="s">
        <v>1429</v>
      </c>
      <c r="I191" t="s">
        <v>1430</v>
      </c>
      <c r="J191" t="s">
        <v>1431</v>
      </c>
      <c r="L191" s="1">
        <v>2</v>
      </c>
      <c r="M191" s="1"/>
      <c r="N191" s="1"/>
      <c r="O191" s="3"/>
    </row>
    <row r="192" spans="1:15" ht="13.8">
      <c r="A192" t="s">
        <v>1432</v>
      </c>
      <c r="B192" t="s">
        <v>1433</v>
      </c>
      <c r="C192" t="s">
        <v>972</v>
      </c>
      <c r="D192" t="s">
        <v>23</v>
      </c>
      <c r="E192">
        <v>35</v>
      </c>
      <c r="F192" t="s">
        <v>1434</v>
      </c>
      <c r="G192" t="s">
        <v>1435</v>
      </c>
      <c r="H192" t="s">
        <v>1436</v>
      </c>
      <c r="I192" t="s">
        <v>1437</v>
      </c>
      <c r="J192" t="s">
        <v>1438</v>
      </c>
      <c r="L192" s="1">
        <v>2</v>
      </c>
      <c r="M192" s="1"/>
      <c r="N192" s="1"/>
      <c r="O192" s="3"/>
    </row>
    <row r="193" spans="1:15" ht="13.8">
      <c r="A193" t="s">
        <v>1439</v>
      </c>
      <c r="B193" t="s">
        <v>1440</v>
      </c>
      <c r="C193" t="s">
        <v>644</v>
      </c>
      <c r="D193" t="s">
        <v>23</v>
      </c>
      <c r="E193">
        <v>20</v>
      </c>
      <c r="F193" t="s">
        <v>1441</v>
      </c>
      <c r="G193" t="s">
        <v>1442</v>
      </c>
      <c r="H193" t="s">
        <v>1443</v>
      </c>
      <c r="I193" t="s">
        <v>1444</v>
      </c>
      <c r="J193" t="s">
        <v>1445</v>
      </c>
      <c r="L193" s="1">
        <v>2</v>
      </c>
      <c r="M193" s="1"/>
      <c r="N193" s="1"/>
      <c r="O193" s="3"/>
    </row>
    <row r="194" spans="1:15" ht="13.8">
      <c r="A194" t="s">
        <v>1446</v>
      </c>
      <c r="B194" t="s">
        <v>1447</v>
      </c>
      <c r="C194" t="s">
        <v>429</v>
      </c>
      <c r="D194" t="s">
        <v>23</v>
      </c>
      <c r="E194">
        <v>15</v>
      </c>
      <c r="F194" t="s">
        <v>1448</v>
      </c>
      <c r="G194" t="s">
        <v>1449</v>
      </c>
      <c r="H194" t="s">
        <v>1450</v>
      </c>
      <c r="I194" t="s">
        <v>1451</v>
      </c>
      <c r="J194" t="s">
        <v>1452</v>
      </c>
      <c r="L194" s="1">
        <v>2</v>
      </c>
      <c r="M194" s="1"/>
      <c r="N194" s="1"/>
      <c r="O194" s="3"/>
    </row>
    <row r="195" spans="1:15" ht="13.8">
      <c r="A195" t="s">
        <v>1453</v>
      </c>
      <c r="B195" t="s">
        <v>1454</v>
      </c>
      <c r="C195" t="s">
        <v>74</v>
      </c>
      <c r="D195" t="s">
        <v>14</v>
      </c>
      <c r="E195">
        <v>25</v>
      </c>
      <c r="F195" t="s">
        <v>1455</v>
      </c>
      <c r="G195" t="s">
        <v>1456</v>
      </c>
      <c r="H195" t="s">
        <v>1457</v>
      </c>
      <c r="I195" t="s">
        <v>1458</v>
      </c>
      <c r="J195" t="s">
        <v>1459</v>
      </c>
      <c r="L195" s="1">
        <v>2</v>
      </c>
      <c r="M195" s="1"/>
      <c r="N195" s="1"/>
      <c r="O195" s="3"/>
    </row>
    <row r="196" spans="1:15" ht="13.8">
      <c r="A196" t="s">
        <v>1460</v>
      </c>
      <c r="B196" t="s">
        <v>1461</v>
      </c>
      <c r="C196" t="s">
        <v>988</v>
      </c>
      <c r="D196" t="s">
        <v>23</v>
      </c>
      <c r="E196">
        <v>15</v>
      </c>
      <c r="F196" t="s">
        <v>1462</v>
      </c>
      <c r="G196" t="s">
        <v>1463</v>
      </c>
      <c r="H196" t="s">
        <v>1464</v>
      </c>
      <c r="I196" t="s">
        <v>1465</v>
      </c>
      <c r="J196" t="s">
        <v>1466</v>
      </c>
      <c r="L196" s="1">
        <v>2</v>
      </c>
      <c r="M196" s="1"/>
      <c r="N196" s="1"/>
      <c r="O196" s="3"/>
    </row>
    <row r="197" spans="1:15" ht="13.8">
      <c r="A197" t="s">
        <v>1467</v>
      </c>
      <c r="B197" t="s">
        <v>1468</v>
      </c>
      <c r="C197" t="s">
        <v>972</v>
      </c>
      <c r="D197" t="s">
        <v>23</v>
      </c>
      <c r="E197">
        <v>15</v>
      </c>
      <c r="F197" t="s">
        <v>1469</v>
      </c>
      <c r="G197" t="s">
        <v>1470</v>
      </c>
      <c r="H197" t="s">
        <v>1471</v>
      </c>
      <c r="I197" t="s">
        <v>1472</v>
      </c>
      <c r="J197" t="s">
        <v>1473</v>
      </c>
      <c r="L197" s="1">
        <v>2</v>
      </c>
      <c r="M197" s="1"/>
      <c r="N197" s="1"/>
      <c r="O197" s="3"/>
    </row>
    <row r="198" spans="1:15" ht="13.8">
      <c r="A198" t="s">
        <v>1474</v>
      </c>
      <c r="B198" t="s">
        <v>1475</v>
      </c>
      <c r="C198" t="s">
        <v>972</v>
      </c>
      <c r="D198" t="s">
        <v>23</v>
      </c>
      <c r="E198">
        <v>15</v>
      </c>
      <c r="F198" t="s">
        <v>1476</v>
      </c>
      <c r="G198" t="s">
        <v>1477</v>
      </c>
      <c r="H198" t="s">
        <v>1478</v>
      </c>
      <c r="I198" t="s">
        <v>1479</v>
      </c>
      <c r="J198" t="s">
        <v>1480</v>
      </c>
      <c r="L198" s="1">
        <v>2</v>
      </c>
      <c r="M198" s="1"/>
      <c r="N198" s="1"/>
      <c r="O198" s="3"/>
    </row>
    <row r="199" spans="1:15" ht="13.8">
      <c r="A199" t="s">
        <v>1481</v>
      </c>
      <c r="B199" t="s">
        <v>1482</v>
      </c>
      <c r="C199" t="s">
        <v>620</v>
      </c>
      <c r="D199" t="s">
        <v>23</v>
      </c>
      <c r="E199">
        <v>20</v>
      </c>
      <c r="F199" t="s">
        <v>1483</v>
      </c>
      <c r="G199" t="s">
        <v>1484</v>
      </c>
      <c r="H199" t="s">
        <v>1485</v>
      </c>
      <c r="I199" t="s">
        <v>1486</v>
      </c>
      <c r="J199" t="s">
        <v>1487</v>
      </c>
      <c r="L199" s="1">
        <v>2</v>
      </c>
      <c r="M199" s="1"/>
      <c r="N199" s="1"/>
      <c r="O199" s="3"/>
    </row>
    <row r="200" spans="1:15" ht="13.8">
      <c r="A200" t="s">
        <v>1488</v>
      </c>
      <c r="B200" t="s">
        <v>1489</v>
      </c>
      <c r="C200" t="s">
        <v>52</v>
      </c>
      <c r="D200" t="s">
        <v>23</v>
      </c>
      <c r="E200">
        <v>30</v>
      </c>
      <c r="F200" t="s">
        <v>1490</v>
      </c>
      <c r="G200" t="s">
        <v>1491</v>
      </c>
      <c r="H200" t="s">
        <v>1492</v>
      </c>
      <c r="I200" t="s">
        <v>1493</v>
      </c>
      <c r="J200" t="s">
        <v>1494</v>
      </c>
      <c r="L200" s="1">
        <v>2</v>
      </c>
      <c r="M200" s="1"/>
      <c r="N200" s="1"/>
      <c r="O200" s="3"/>
    </row>
    <row r="201" spans="1:15" ht="13.8">
      <c r="A201" t="s">
        <v>1495</v>
      </c>
      <c r="B201" t="s">
        <v>1496</v>
      </c>
      <c r="C201" t="s">
        <v>358</v>
      </c>
      <c r="D201" t="s">
        <v>23</v>
      </c>
      <c r="E201">
        <v>5</v>
      </c>
      <c r="F201" t="s">
        <v>1497</v>
      </c>
      <c r="G201" t="s">
        <v>1498</v>
      </c>
      <c r="H201" t="s">
        <v>1499</v>
      </c>
      <c r="I201" t="s">
        <v>1500</v>
      </c>
      <c r="L201" s="1">
        <v>2</v>
      </c>
      <c r="M201" s="1"/>
      <c r="N201" s="1"/>
      <c r="O201" s="3"/>
    </row>
    <row r="202" spans="1:15" ht="13.8">
      <c r="A202" t="s">
        <v>1501</v>
      </c>
      <c r="B202" t="s">
        <v>1502</v>
      </c>
      <c r="C202" t="s">
        <v>52</v>
      </c>
      <c r="D202" t="s">
        <v>23</v>
      </c>
      <c r="E202">
        <v>20</v>
      </c>
      <c r="F202" t="s">
        <v>1503</v>
      </c>
      <c r="G202" t="s">
        <v>1504</v>
      </c>
      <c r="H202" t="s">
        <v>1505</v>
      </c>
      <c r="I202" t="s">
        <v>1506</v>
      </c>
      <c r="J202" t="s">
        <v>1507</v>
      </c>
      <c r="L202" s="1">
        <v>2</v>
      </c>
      <c r="M202" s="1"/>
      <c r="N202" s="1"/>
      <c r="O202" s="3"/>
    </row>
    <row r="203" spans="1:15" ht="13.8">
      <c r="A203" t="s">
        <v>1508</v>
      </c>
      <c r="B203" t="s">
        <v>1509</v>
      </c>
      <c r="C203" t="s">
        <v>451</v>
      </c>
      <c r="D203" t="s">
        <v>14</v>
      </c>
      <c r="E203">
        <v>25</v>
      </c>
      <c r="F203" t="s">
        <v>1510</v>
      </c>
      <c r="G203" t="s">
        <v>1511</v>
      </c>
      <c r="H203" t="s">
        <v>1512</v>
      </c>
      <c r="I203" t="s">
        <v>1513</v>
      </c>
      <c r="J203" t="s">
        <v>1514</v>
      </c>
      <c r="L203" s="1">
        <v>2</v>
      </c>
      <c r="M203" s="1"/>
      <c r="N203" s="1"/>
      <c r="O203" s="3"/>
    </row>
    <row r="204" spans="1:15" ht="13.8">
      <c r="A204" t="s">
        <v>1515</v>
      </c>
      <c r="B204" t="s">
        <v>1516</v>
      </c>
      <c r="C204" t="s">
        <v>97</v>
      </c>
      <c r="D204" t="s">
        <v>23</v>
      </c>
      <c r="E204">
        <v>25</v>
      </c>
      <c r="F204" t="s">
        <v>1517</v>
      </c>
      <c r="G204" t="s">
        <v>1518</v>
      </c>
      <c r="H204" t="s">
        <v>1519</v>
      </c>
      <c r="I204" t="s">
        <v>1520</v>
      </c>
      <c r="J204" t="s">
        <v>1521</v>
      </c>
      <c r="L204" s="1">
        <v>2</v>
      </c>
      <c r="M204" s="1"/>
      <c r="N204" s="1"/>
      <c r="O204" s="3"/>
    </row>
    <row r="205" spans="1:15" ht="13.8">
      <c r="A205" t="s">
        <v>1522</v>
      </c>
      <c r="B205" t="s">
        <v>1523</v>
      </c>
      <c r="C205" t="s">
        <v>730</v>
      </c>
      <c r="D205" t="s">
        <v>23</v>
      </c>
      <c r="E205">
        <v>25</v>
      </c>
      <c r="F205" t="s">
        <v>1524</v>
      </c>
      <c r="G205" t="s">
        <v>1525</v>
      </c>
      <c r="H205" t="s">
        <v>1526</v>
      </c>
      <c r="I205" t="s">
        <v>1527</v>
      </c>
      <c r="J205" t="s">
        <v>1528</v>
      </c>
      <c r="L205" s="1">
        <v>2</v>
      </c>
      <c r="M205" s="1"/>
      <c r="N205" s="1"/>
      <c r="O205" s="3"/>
    </row>
    <row r="206" spans="1:15" ht="13.8">
      <c r="A206" t="s">
        <v>1529</v>
      </c>
      <c r="B206" t="s">
        <v>1530</v>
      </c>
      <c r="C206" t="s">
        <v>581</v>
      </c>
      <c r="D206" t="s">
        <v>23</v>
      </c>
      <c r="E206">
        <v>25</v>
      </c>
      <c r="F206" t="s">
        <v>1531</v>
      </c>
      <c r="G206" t="s">
        <v>1532</v>
      </c>
      <c r="H206" t="s">
        <v>1533</v>
      </c>
      <c r="I206" t="s">
        <v>1534</v>
      </c>
      <c r="J206" t="s">
        <v>1535</v>
      </c>
      <c r="L206" s="1">
        <v>2</v>
      </c>
      <c r="M206" s="1"/>
      <c r="N206" s="1"/>
      <c r="O206" s="3"/>
    </row>
    <row r="207" spans="1:15" ht="13.8">
      <c r="A207" t="s">
        <v>1536</v>
      </c>
      <c r="B207" t="s">
        <v>1537</v>
      </c>
      <c r="C207" t="s">
        <v>972</v>
      </c>
      <c r="D207" t="s">
        <v>23</v>
      </c>
      <c r="E207">
        <v>90</v>
      </c>
      <c r="F207" t="s">
        <v>1538</v>
      </c>
      <c r="G207" t="s">
        <v>1539</v>
      </c>
      <c r="H207" t="s">
        <v>1540</v>
      </c>
      <c r="I207" t="s">
        <v>1541</v>
      </c>
      <c r="J207" t="s">
        <v>1542</v>
      </c>
      <c r="L207" s="1">
        <v>2</v>
      </c>
      <c r="M207" s="1"/>
      <c r="N207" s="1"/>
      <c r="O207" s="3"/>
    </row>
    <row r="208" spans="1:15" ht="13.8">
      <c r="A208" t="s">
        <v>1543</v>
      </c>
      <c r="B208" t="s">
        <v>1544</v>
      </c>
      <c r="C208" t="s">
        <v>988</v>
      </c>
      <c r="D208" t="s">
        <v>23</v>
      </c>
      <c r="E208">
        <v>5</v>
      </c>
      <c r="F208" t="s">
        <v>1545</v>
      </c>
      <c r="G208" t="s">
        <v>1546</v>
      </c>
      <c r="H208" t="s">
        <v>1547</v>
      </c>
      <c r="I208" t="s">
        <v>1548</v>
      </c>
      <c r="J208" t="s">
        <v>1549</v>
      </c>
      <c r="L208" s="1">
        <v>2</v>
      </c>
      <c r="M208" s="1"/>
      <c r="N208" s="1"/>
      <c r="O208" s="3"/>
    </row>
    <row r="209" spans="1:15" ht="13.8">
      <c r="A209" t="s">
        <v>1550</v>
      </c>
      <c r="B209" t="s">
        <v>1551</v>
      </c>
      <c r="C209" t="s">
        <v>972</v>
      </c>
      <c r="D209" t="s">
        <v>23</v>
      </c>
      <c r="E209">
        <v>10</v>
      </c>
      <c r="F209" t="s">
        <v>1552</v>
      </c>
      <c r="G209" t="s">
        <v>1553</v>
      </c>
      <c r="H209" t="s">
        <v>1554</v>
      </c>
      <c r="I209" t="s">
        <v>1555</v>
      </c>
      <c r="J209" t="s">
        <v>1556</v>
      </c>
      <c r="L209" s="1">
        <v>2</v>
      </c>
      <c r="M209" s="1"/>
      <c r="N209" s="1"/>
      <c r="O209" s="3"/>
    </row>
    <row r="210" spans="1:15" ht="13.8">
      <c r="A210" t="s">
        <v>1557</v>
      </c>
      <c r="B210" t="s">
        <v>1558</v>
      </c>
      <c r="C210" t="s">
        <v>52</v>
      </c>
      <c r="D210" t="s">
        <v>23</v>
      </c>
      <c r="E210">
        <v>15</v>
      </c>
      <c r="F210" t="s">
        <v>1559</v>
      </c>
      <c r="G210" t="s">
        <v>1560</v>
      </c>
      <c r="H210" t="s">
        <v>1561</v>
      </c>
      <c r="I210" t="s">
        <v>1562</v>
      </c>
      <c r="J210" t="s">
        <v>1563</v>
      </c>
      <c r="L210" s="1">
        <v>2</v>
      </c>
      <c r="M210" s="1"/>
      <c r="N210" s="1"/>
      <c r="O210" s="3"/>
    </row>
    <row r="211" spans="1:15" ht="13.8">
      <c r="A211" t="s">
        <v>1564</v>
      </c>
      <c r="B211" t="s">
        <v>1565</v>
      </c>
      <c r="C211" t="s">
        <v>754</v>
      </c>
      <c r="D211" t="s">
        <v>23</v>
      </c>
      <c r="E211">
        <v>15</v>
      </c>
      <c r="F211" t="s">
        <v>1566</v>
      </c>
      <c r="G211" t="s">
        <v>1567</v>
      </c>
      <c r="H211" t="s">
        <v>1568</v>
      </c>
      <c r="I211" t="s">
        <v>1569</v>
      </c>
      <c r="J211" t="s">
        <v>1570</v>
      </c>
      <c r="L211" s="1">
        <v>2</v>
      </c>
      <c r="M211" s="1"/>
      <c r="N211" s="1"/>
      <c r="O211" s="3"/>
    </row>
    <row r="212" spans="1:15" ht="13.8">
      <c r="A212" t="s">
        <v>1571</v>
      </c>
      <c r="B212" t="s">
        <v>1572</v>
      </c>
      <c r="C212" t="s">
        <v>429</v>
      </c>
      <c r="D212" t="s">
        <v>23</v>
      </c>
      <c r="E212">
        <v>5</v>
      </c>
      <c r="F212" t="s">
        <v>1573</v>
      </c>
      <c r="G212" t="s">
        <v>1574</v>
      </c>
      <c r="H212" t="s">
        <v>1575</v>
      </c>
      <c r="I212" t="s">
        <v>1576</v>
      </c>
      <c r="J212" t="s">
        <v>1577</v>
      </c>
      <c r="L212" s="1">
        <v>2</v>
      </c>
      <c r="M212" s="1"/>
      <c r="N212" s="1"/>
      <c r="O212" s="3"/>
    </row>
    <row r="213" spans="1:15" ht="13.8">
      <c r="A213" t="s">
        <v>1578</v>
      </c>
      <c r="B213" t="s">
        <v>1579</v>
      </c>
      <c r="C213" t="s">
        <v>429</v>
      </c>
      <c r="D213" t="s">
        <v>23</v>
      </c>
      <c r="E213">
        <v>35</v>
      </c>
      <c r="F213" t="s">
        <v>1580</v>
      </c>
      <c r="G213" t="s">
        <v>1581</v>
      </c>
      <c r="H213" t="s">
        <v>1582</v>
      </c>
      <c r="I213" t="s">
        <v>1583</v>
      </c>
      <c r="J213" t="s">
        <v>1584</v>
      </c>
      <c r="L213" s="1">
        <v>2</v>
      </c>
      <c r="M213" s="1"/>
      <c r="N213" s="1"/>
      <c r="O213" s="3"/>
    </row>
    <row r="214" spans="1:15" ht="13.8">
      <c r="A214" t="s">
        <v>1585</v>
      </c>
      <c r="B214" t="s">
        <v>1586</v>
      </c>
      <c r="C214" t="s">
        <v>97</v>
      </c>
      <c r="D214" t="s">
        <v>23</v>
      </c>
      <c r="E214">
        <v>25</v>
      </c>
      <c r="F214" t="s">
        <v>1587</v>
      </c>
      <c r="G214" t="s">
        <v>1588</v>
      </c>
      <c r="H214" t="s">
        <v>1589</v>
      </c>
      <c r="I214" t="s">
        <v>1590</v>
      </c>
      <c r="J214" t="s">
        <v>1591</v>
      </c>
      <c r="L214" s="1">
        <v>2</v>
      </c>
      <c r="M214" s="1"/>
      <c r="N214" s="1"/>
      <c r="O214" s="3"/>
    </row>
    <row r="215" spans="1:15" ht="13.8">
      <c r="A215" t="s">
        <v>1592</v>
      </c>
      <c r="B215" t="s">
        <v>1593</v>
      </c>
      <c r="C215" t="s">
        <v>473</v>
      </c>
      <c r="D215" t="s">
        <v>23</v>
      </c>
      <c r="E215">
        <v>20</v>
      </c>
      <c r="F215" t="s">
        <v>1594</v>
      </c>
      <c r="G215" t="s">
        <v>1595</v>
      </c>
      <c r="H215" t="s">
        <v>1596</v>
      </c>
      <c r="I215" t="s">
        <v>1597</v>
      </c>
      <c r="J215" t="s">
        <v>1598</v>
      </c>
      <c r="L215" s="1">
        <v>2</v>
      </c>
      <c r="M215" s="1"/>
      <c r="N215" s="1"/>
      <c r="O215" s="3"/>
    </row>
    <row r="216" spans="1:15" ht="13.8">
      <c r="A216" t="s">
        <v>1599</v>
      </c>
      <c r="B216" t="s">
        <v>1600</v>
      </c>
      <c r="C216" t="s">
        <v>451</v>
      </c>
      <c r="D216" t="s">
        <v>23</v>
      </c>
      <c r="E216">
        <v>20</v>
      </c>
      <c r="F216" t="s">
        <v>1601</v>
      </c>
      <c r="G216" t="s">
        <v>1602</v>
      </c>
      <c r="H216" t="s">
        <v>1603</v>
      </c>
      <c r="I216" t="s">
        <v>1604</v>
      </c>
      <c r="J216" t="s">
        <v>1605</v>
      </c>
      <c r="L216" s="1">
        <v>2</v>
      </c>
      <c r="M216" s="1"/>
      <c r="N216" s="1"/>
      <c r="O216" s="3"/>
    </row>
    <row r="217" spans="1:15" ht="13.8">
      <c r="A217" t="s">
        <v>1606</v>
      </c>
      <c r="B217" t="s">
        <v>1607</v>
      </c>
      <c r="C217" t="s">
        <v>572</v>
      </c>
      <c r="D217" t="s">
        <v>23</v>
      </c>
      <c r="E217">
        <v>20</v>
      </c>
      <c r="F217" t="s">
        <v>1608</v>
      </c>
      <c r="G217" t="s">
        <v>1609</v>
      </c>
      <c r="H217" t="s">
        <v>1610</v>
      </c>
      <c r="I217" t="s">
        <v>1611</v>
      </c>
      <c r="J217" t="s">
        <v>1612</v>
      </c>
      <c r="L217" s="1">
        <v>2</v>
      </c>
      <c r="M217" s="1"/>
      <c r="N217" s="1"/>
      <c r="O217" s="3"/>
    </row>
    <row r="218" spans="1:15" ht="13.8">
      <c r="A218" t="s">
        <v>1613</v>
      </c>
      <c r="B218" t="s">
        <v>1614</v>
      </c>
      <c r="C218" t="s">
        <v>581</v>
      </c>
      <c r="D218" t="s">
        <v>23</v>
      </c>
      <c r="E218">
        <v>25</v>
      </c>
      <c r="F218" t="s">
        <v>1615</v>
      </c>
      <c r="G218" t="s">
        <v>1616</v>
      </c>
      <c r="H218" t="s">
        <v>1617</v>
      </c>
      <c r="I218" t="s">
        <v>1618</v>
      </c>
      <c r="J218" t="s">
        <v>1619</v>
      </c>
      <c r="L218" s="1">
        <v>2</v>
      </c>
      <c r="M218" s="1"/>
      <c r="N218" s="1"/>
      <c r="O218" s="3"/>
    </row>
    <row r="219" spans="1:15" ht="13.8">
      <c r="A219" t="s">
        <v>1620</v>
      </c>
      <c r="B219" t="s">
        <v>1621</v>
      </c>
      <c r="C219" t="s">
        <v>754</v>
      </c>
      <c r="D219" t="s">
        <v>14</v>
      </c>
      <c r="E219">
        <v>25</v>
      </c>
      <c r="F219" t="s">
        <v>1622</v>
      </c>
      <c r="G219" t="s">
        <v>1623</v>
      </c>
      <c r="H219" t="s">
        <v>1624</v>
      </c>
      <c r="I219" t="s">
        <v>1625</v>
      </c>
      <c r="J219" t="s">
        <v>1626</v>
      </c>
      <c r="L219" s="1">
        <v>2</v>
      </c>
      <c r="M219" s="1"/>
      <c r="N219" s="1"/>
      <c r="O219" s="3"/>
    </row>
    <row r="220" spans="1:15" ht="13.8">
      <c r="A220" t="s">
        <v>1627</v>
      </c>
      <c r="B220" t="s">
        <v>1628</v>
      </c>
      <c r="C220" t="s">
        <v>581</v>
      </c>
      <c r="D220" t="s">
        <v>23</v>
      </c>
      <c r="E220">
        <v>25</v>
      </c>
      <c r="F220" t="s">
        <v>1629</v>
      </c>
      <c r="G220" t="s">
        <v>1630</v>
      </c>
      <c r="H220" t="s">
        <v>1631</v>
      </c>
      <c r="I220" t="s">
        <v>1632</v>
      </c>
      <c r="J220" t="s">
        <v>1633</v>
      </c>
      <c r="L220" s="1">
        <v>2</v>
      </c>
      <c r="M220" s="1"/>
      <c r="N220" s="1"/>
      <c r="O220" s="3"/>
    </row>
    <row r="221" spans="1:15" ht="13.8">
      <c r="A221" t="s">
        <v>1634</v>
      </c>
      <c r="B221" t="s">
        <v>1635</v>
      </c>
      <c r="C221" t="s">
        <v>572</v>
      </c>
      <c r="D221" t="s">
        <v>23</v>
      </c>
      <c r="E221">
        <v>10</v>
      </c>
      <c r="F221" t="s">
        <v>1636</v>
      </c>
      <c r="G221" t="s">
        <v>1637</v>
      </c>
      <c r="H221" t="s">
        <v>1638</v>
      </c>
      <c r="I221" t="s">
        <v>1639</v>
      </c>
      <c r="J221" t="s">
        <v>1640</v>
      </c>
      <c r="L221" s="1">
        <v>2</v>
      </c>
      <c r="M221" s="1"/>
      <c r="N221" s="1"/>
      <c r="O221" s="3"/>
    </row>
    <row r="222" spans="1:15" ht="13.8">
      <c r="A222" t="s">
        <v>1641</v>
      </c>
      <c r="B222" t="s">
        <v>1642</v>
      </c>
      <c r="C222" t="s">
        <v>429</v>
      </c>
      <c r="D222" t="s">
        <v>23</v>
      </c>
      <c r="E222">
        <v>30</v>
      </c>
      <c r="F222" t="s">
        <v>1643</v>
      </c>
      <c r="G222" t="s">
        <v>1644</v>
      </c>
      <c r="H222" t="s">
        <v>1645</v>
      </c>
      <c r="I222" t="s">
        <v>1646</v>
      </c>
      <c r="J222" t="s">
        <v>1647</v>
      </c>
      <c r="L222" s="1">
        <v>2</v>
      </c>
      <c r="M222" s="1"/>
      <c r="N222" s="1"/>
      <c r="O222" s="3"/>
    </row>
    <row r="223" spans="1:15" ht="13.8">
      <c r="A223" t="s">
        <v>1648</v>
      </c>
      <c r="B223" t="s">
        <v>1649</v>
      </c>
      <c r="C223" t="s">
        <v>988</v>
      </c>
      <c r="D223" t="s">
        <v>23</v>
      </c>
      <c r="E223">
        <v>2</v>
      </c>
      <c r="F223" t="s">
        <v>1650</v>
      </c>
      <c r="G223" t="s">
        <v>1651</v>
      </c>
      <c r="H223" t="s">
        <v>1652</v>
      </c>
      <c r="I223" t="s">
        <v>1653</v>
      </c>
      <c r="J223" t="s">
        <v>1654</v>
      </c>
      <c r="L223" s="1">
        <v>2</v>
      </c>
      <c r="M223" s="1"/>
      <c r="N223" s="1"/>
      <c r="O223" s="3"/>
    </row>
    <row r="224" spans="1:15" ht="13.8">
      <c r="A224" t="s">
        <v>1655</v>
      </c>
      <c r="B224" t="s">
        <v>1656</v>
      </c>
      <c r="C224" t="s">
        <v>572</v>
      </c>
      <c r="D224" t="s">
        <v>14</v>
      </c>
      <c r="E224">
        <v>35</v>
      </c>
      <c r="F224" t="s">
        <v>1657</v>
      </c>
      <c r="G224" t="s">
        <v>1658</v>
      </c>
      <c r="H224" t="s">
        <v>1659</v>
      </c>
      <c r="I224" t="s">
        <v>1660</v>
      </c>
      <c r="J224" t="s">
        <v>1661</v>
      </c>
      <c r="L224" s="1">
        <v>2</v>
      </c>
      <c r="M224" s="1"/>
      <c r="N224" s="1"/>
      <c r="O224" s="3"/>
    </row>
    <row r="225" spans="1:15" ht="13.8">
      <c r="A225" t="s">
        <v>1662</v>
      </c>
      <c r="B225" t="s">
        <v>1663</v>
      </c>
      <c r="C225" t="s">
        <v>652</v>
      </c>
      <c r="D225" t="s">
        <v>14</v>
      </c>
      <c r="E225">
        <v>15</v>
      </c>
      <c r="F225" t="s">
        <v>1664</v>
      </c>
      <c r="G225" t="s">
        <v>1665</v>
      </c>
      <c r="H225" t="s">
        <v>1666</v>
      </c>
      <c r="I225" t="s">
        <v>1667</v>
      </c>
      <c r="J225" t="s">
        <v>1668</v>
      </c>
      <c r="L225" s="1">
        <v>2</v>
      </c>
      <c r="M225" s="1"/>
      <c r="N225" s="1"/>
      <c r="O225" s="3"/>
    </row>
    <row r="226" spans="1:15" ht="13.8">
      <c r="A226" t="s">
        <v>1669</v>
      </c>
      <c r="B226" t="s">
        <v>1670</v>
      </c>
      <c r="C226" t="s">
        <v>754</v>
      </c>
      <c r="D226" t="s">
        <v>23</v>
      </c>
      <c r="E226">
        <v>20</v>
      </c>
      <c r="F226" t="s">
        <v>1671</v>
      </c>
      <c r="G226" t="s">
        <v>1672</v>
      </c>
      <c r="H226" t="s">
        <v>1673</v>
      </c>
      <c r="I226" t="s">
        <v>1674</v>
      </c>
      <c r="J226" t="s">
        <v>1675</v>
      </c>
      <c r="L226" s="1">
        <v>2</v>
      </c>
      <c r="M226" s="1"/>
      <c r="N226" s="1"/>
      <c r="O226" s="3"/>
    </row>
    <row r="227" spans="1:15" ht="13.8">
      <c r="A227" t="s">
        <v>1676</v>
      </c>
      <c r="B227" t="s">
        <v>1677</v>
      </c>
      <c r="C227" t="s">
        <v>74</v>
      </c>
      <c r="D227" t="s">
        <v>14</v>
      </c>
      <c r="E227">
        <v>10</v>
      </c>
      <c r="F227" t="s">
        <v>1678</v>
      </c>
      <c r="G227" t="s">
        <v>1679</v>
      </c>
      <c r="H227" t="s">
        <v>1680</v>
      </c>
      <c r="I227" t="s">
        <v>1681</v>
      </c>
      <c r="J227" t="s">
        <v>1682</v>
      </c>
      <c r="L227" s="1">
        <v>2</v>
      </c>
      <c r="M227" s="1"/>
      <c r="N227" s="1"/>
      <c r="O227" s="3"/>
    </row>
    <row r="228" spans="1:15" ht="13.8">
      <c r="A228" t="s">
        <v>1683</v>
      </c>
      <c r="B228" t="s">
        <v>1684</v>
      </c>
      <c r="C228" t="s">
        <v>754</v>
      </c>
      <c r="D228" t="s">
        <v>23</v>
      </c>
      <c r="E228">
        <v>10</v>
      </c>
      <c r="F228" t="s">
        <v>1685</v>
      </c>
      <c r="G228" t="s">
        <v>1686</v>
      </c>
      <c r="H228" t="s">
        <v>1687</v>
      </c>
      <c r="I228" t="s">
        <v>1688</v>
      </c>
      <c r="J228" t="s">
        <v>1689</v>
      </c>
      <c r="L228" s="1">
        <v>2</v>
      </c>
      <c r="M228" s="1"/>
      <c r="N228" s="1"/>
      <c r="O228" s="3"/>
    </row>
    <row r="229" spans="1:15" ht="13.8">
      <c r="A229" t="s">
        <v>1690</v>
      </c>
      <c r="B229" t="s">
        <v>1691</v>
      </c>
      <c r="C229" t="s">
        <v>754</v>
      </c>
      <c r="D229" t="s">
        <v>23</v>
      </c>
      <c r="E229">
        <v>15</v>
      </c>
      <c r="F229" t="s">
        <v>1692</v>
      </c>
      <c r="G229" t="s">
        <v>1693</v>
      </c>
      <c r="H229" t="s">
        <v>1694</v>
      </c>
      <c r="I229" t="s">
        <v>1695</v>
      </c>
      <c r="J229" t="s">
        <v>1696</v>
      </c>
      <c r="L229" s="1">
        <v>2</v>
      </c>
      <c r="M229" s="1"/>
      <c r="N229" s="1"/>
      <c r="O229" s="3"/>
    </row>
    <row r="230" spans="1:15" ht="13.8">
      <c r="A230" t="s">
        <v>1697</v>
      </c>
      <c r="B230" t="s">
        <v>1698</v>
      </c>
      <c r="C230" t="s">
        <v>429</v>
      </c>
      <c r="D230" t="s">
        <v>23</v>
      </c>
      <c r="E230">
        <v>40</v>
      </c>
      <c r="F230" t="s">
        <v>1699</v>
      </c>
      <c r="G230" t="s">
        <v>1700</v>
      </c>
      <c r="H230" t="s">
        <v>1701</v>
      </c>
      <c r="I230" t="s">
        <v>1702</v>
      </c>
      <c r="J230" t="s">
        <v>1703</v>
      </c>
      <c r="L230" s="1">
        <v>2</v>
      </c>
      <c r="M230" s="1"/>
      <c r="N230" s="1"/>
      <c r="O230" s="3"/>
    </row>
    <row r="231" spans="1:15" ht="13.8">
      <c r="A231" t="s">
        <v>1704</v>
      </c>
      <c r="B231" t="s">
        <v>1705</v>
      </c>
      <c r="C231" t="s">
        <v>972</v>
      </c>
      <c r="D231" t="s">
        <v>23</v>
      </c>
      <c r="E231">
        <v>40</v>
      </c>
      <c r="F231" t="s">
        <v>1706</v>
      </c>
      <c r="G231" t="s">
        <v>1707</v>
      </c>
      <c r="H231" t="s">
        <v>1708</v>
      </c>
      <c r="I231" t="s">
        <v>1709</v>
      </c>
      <c r="J231" t="s">
        <v>1710</v>
      </c>
      <c r="L231" s="1">
        <v>2</v>
      </c>
      <c r="M231" s="1"/>
      <c r="N231" s="1"/>
      <c r="O231" s="3"/>
    </row>
    <row r="232" spans="1:15" ht="13.8">
      <c r="A232" t="s">
        <v>1711</v>
      </c>
      <c r="B232" t="s">
        <v>1712</v>
      </c>
      <c r="C232" t="s">
        <v>429</v>
      </c>
      <c r="D232" t="s">
        <v>23</v>
      </c>
      <c r="E232">
        <v>5</v>
      </c>
      <c r="F232" t="s">
        <v>1713</v>
      </c>
      <c r="G232" t="s">
        <v>1714</v>
      </c>
      <c r="H232" t="s">
        <v>1715</v>
      </c>
      <c r="I232" t="s">
        <v>1716</v>
      </c>
      <c r="J232" t="s">
        <v>1717</v>
      </c>
      <c r="L232" s="1">
        <v>2</v>
      </c>
      <c r="M232" s="1"/>
      <c r="N232" s="1"/>
      <c r="O232" s="3"/>
    </row>
    <row r="233" spans="1:15" ht="13.8">
      <c r="A233" t="s">
        <v>1718</v>
      </c>
      <c r="B233" t="s">
        <v>1719</v>
      </c>
      <c r="C233" t="s">
        <v>620</v>
      </c>
      <c r="D233" t="s">
        <v>23</v>
      </c>
      <c r="E233">
        <v>40</v>
      </c>
      <c r="F233" t="s">
        <v>1720</v>
      </c>
      <c r="G233" t="s">
        <v>1721</v>
      </c>
      <c r="H233" t="s">
        <v>1722</v>
      </c>
      <c r="I233" t="s">
        <v>1723</v>
      </c>
      <c r="J233" t="s">
        <v>1724</v>
      </c>
      <c r="L233" s="1">
        <v>2</v>
      </c>
      <c r="M233" s="1"/>
      <c r="N233" s="1"/>
      <c r="O233" s="3"/>
    </row>
    <row r="234" spans="1:15" ht="13.8">
      <c r="A234" t="s">
        <v>1725</v>
      </c>
      <c r="B234" t="s">
        <v>1726</v>
      </c>
      <c r="C234" t="s">
        <v>572</v>
      </c>
      <c r="D234" t="s">
        <v>23</v>
      </c>
      <c r="E234">
        <v>30</v>
      </c>
      <c r="F234" t="s">
        <v>1727</v>
      </c>
      <c r="G234" t="s">
        <v>1728</v>
      </c>
      <c r="H234" t="s">
        <v>1729</v>
      </c>
      <c r="I234" t="s">
        <v>1730</v>
      </c>
      <c r="J234" t="s">
        <v>1731</v>
      </c>
      <c r="L234" s="1">
        <v>2</v>
      </c>
      <c r="M234" s="1"/>
      <c r="N234" s="1"/>
      <c r="O234" s="3"/>
    </row>
    <row r="235" spans="1:15" ht="13.8">
      <c r="A235" t="s">
        <v>1732</v>
      </c>
      <c r="B235" t="s">
        <v>1733</v>
      </c>
      <c r="C235" t="s">
        <v>581</v>
      </c>
      <c r="D235" t="s">
        <v>23</v>
      </c>
      <c r="E235">
        <v>15</v>
      </c>
      <c r="F235" t="s">
        <v>1734</v>
      </c>
      <c r="G235" t="s">
        <v>1735</v>
      </c>
      <c r="H235" t="s">
        <v>1736</v>
      </c>
      <c r="I235" t="s">
        <v>1737</v>
      </c>
      <c r="J235" t="s">
        <v>1738</v>
      </c>
      <c r="L235" s="1">
        <v>2</v>
      </c>
      <c r="M235" s="1"/>
      <c r="N235" s="1"/>
      <c r="O235" s="3"/>
    </row>
    <row r="236" spans="1:15" ht="13.8">
      <c r="A236" t="s">
        <v>1739</v>
      </c>
      <c r="B236" t="s">
        <v>1740</v>
      </c>
      <c r="C236" t="s">
        <v>581</v>
      </c>
      <c r="D236" t="s">
        <v>23</v>
      </c>
      <c r="E236">
        <v>15</v>
      </c>
      <c r="F236" t="s">
        <v>1741</v>
      </c>
      <c r="G236" t="s">
        <v>1742</v>
      </c>
      <c r="H236" t="s">
        <v>1743</v>
      </c>
      <c r="I236" t="s">
        <v>1744</v>
      </c>
      <c r="J236" t="s">
        <v>1745</v>
      </c>
      <c r="L236" s="1">
        <v>2</v>
      </c>
      <c r="M236" s="1"/>
      <c r="N236" s="1"/>
      <c r="O236" s="3"/>
    </row>
    <row r="237" spans="1:15" ht="13.8">
      <c r="A237" t="s">
        <v>1746</v>
      </c>
      <c r="B237" t="s">
        <v>1747</v>
      </c>
      <c r="C237" t="s">
        <v>581</v>
      </c>
      <c r="D237" t="s">
        <v>23</v>
      </c>
      <c r="E237">
        <v>15</v>
      </c>
      <c r="F237" t="s">
        <v>1748</v>
      </c>
      <c r="G237" t="s">
        <v>1749</v>
      </c>
      <c r="H237" t="s">
        <v>1750</v>
      </c>
      <c r="I237" t="s">
        <v>1751</v>
      </c>
      <c r="J237" t="s">
        <v>1752</v>
      </c>
      <c r="L237" s="1">
        <v>2</v>
      </c>
      <c r="M237" s="1"/>
      <c r="N237" s="1"/>
      <c r="O237" s="3"/>
    </row>
    <row r="238" spans="1:15" ht="13.8">
      <c r="A238" t="s">
        <v>1753</v>
      </c>
      <c r="B238" t="s">
        <v>1754</v>
      </c>
      <c r="C238" t="s">
        <v>581</v>
      </c>
      <c r="D238" t="s">
        <v>23</v>
      </c>
      <c r="E238">
        <v>15</v>
      </c>
      <c r="F238" t="s">
        <v>1755</v>
      </c>
      <c r="G238" t="s">
        <v>1756</v>
      </c>
      <c r="H238" t="s">
        <v>1757</v>
      </c>
      <c r="I238" t="s">
        <v>1758</v>
      </c>
      <c r="J238" t="s">
        <v>1759</v>
      </c>
      <c r="L238" s="1">
        <v>2</v>
      </c>
      <c r="M238" s="1"/>
      <c r="N238" s="1"/>
      <c r="O238" s="3"/>
    </row>
    <row r="239" spans="1:15" ht="13.8">
      <c r="A239" t="s">
        <v>1760</v>
      </c>
      <c r="B239" t="s">
        <v>1761</v>
      </c>
      <c r="C239" t="s">
        <v>581</v>
      </c>
      <c r="D239" t="s">
        <v>23</v>
      </c>
      <c r="E239">
        <v>10</v>
      </c>
      <c r="F239" t="s">
        <v>1762</v>
      </c>
      <c r="G239" t="s">
        <v>1763</v>
      </c>
      <c r="H239" t="s">
        <v>1764</v>
      </c>
      <c r="I239" t="s">
        <v>1765</v>
      </c>
      <c r="J239" t="s">
        <v>1766</v>
      </c>
      <c r="L239" s="1">
        <v>2</v>
      </c>
      <c r="M239" s="1"/>
      <c r="N239" s="1"/>
      <c r="O239" s="3"/>
    </row>
    <row r="240" spans="1:15" ht="13.8">
      <c r="A240" t="s">
        <v>1767</v>
      </c>
      <c r="B240" t="s">
        <v>1768</v>
      </c>
      <c r="C240" t="s">
        <v>644</v>
      </c>
      <c r="D240" t="s">
        <v>23</v>
      </c>
      <c r="E240">
        <v>20</v>
      </c>
      <c r="F240" t="s">
        <v>1769</v>
      </c>
      <c r="G240" t="s">
        <v>1770</v>
      </c>
      <c r="H240" t="s">
        <v>1771</v>
      </c>
      <c r="I240" t="s">
        <v>1772</v>
      </c>
      <c r="J240" t="s">
        <v>1773</v>
      </c>
      <c r="L240" s="1">
        <v>2</v>
      </c>
      <c r="M240" s="1"/>
      <c r="N240" s="1"/>
      <c r="O240" s="3"/>
    </row>
    <row r="241" spans="1:15" ht="13.8">
      <c r="A241" t="s">
        <v>1774</v>
      </c>
      <c r="B241" t="s">
        <v>1775</v>
      </c>
      <c r="C241" t="s">
        <v>754</v>
      </c>
      <c r="D241" t="s">
        <v>23</v>
      </c>
      <c r="E241">
        <v>20</v>
      </c>
      <c r="F241" t="s">
        <v>1776</v>
      </c>
      <c r="G241" t="s">
        <v>1777</v>
      </c>
      <c r="H241" t="s">
        <v>1778</v>
      </c>
      <c r="I241" t="s">
        <v>1779</v>
      </c>
      <c r="J241" t="s">
        <v>1780</v>
      </c>
      <c r="L241" s="1">
        <v>2</v>
      </c>
      <c r="M241" s="1"/>
      <c r="N241" s="1"/>
      <c r="O241" s="3"/>
    </row>
    <row r="242" spans="1:15" ht="13.8">
      <c r="A242" t="s">
        <v>1781</v>
      </c>
      <c r="B242" t="s">
        <v>1782</v>
      </c>
      <c r="C242" t="s">
        <v>429</v>
      </c>
      <c r="D242" t="s">
        <v>23</v>
      </c>
      <c r="E242">
        <v>20</v>
      </c>
      <c r="F242" t="s">
        <v>1783</v>
      </c>
      <c r="G242" t="s">
        <v>1784</v>
      </c>
      <c r="H242" t="s">
        <v>1785</v>
      </c>
      <c r="I242" t="s">
        <v>1786</v>
      </c>
      <c r="J242" t="s">
        <v>1787</v>
      </c>
      <c r="L242" s="1">
        <v>2</v>
      </c>
      <c r="M242" s="1"/>
      <c r="N242" s="1"/>
      <c r="O242" s="3"/>
    </row>
    <row r="243" spans="1:15" ht="13.8">
      <c r="A243" t="s">
        <v>1788</v>
      </c>
      <c r="B243" t="s">
        <v>1789</v>
      </c>
      <c r="C243" t="s">
        <v>620</v>
      </c>
      <c r="D243" t="s">
        <v>23</v>
      </c>
      <c r="E243">
        <v>10</v>
      </c>
      <c r="F243" t="s">
        <v>1790</v>
      </c>
      <c r="G243" t="s">
        <v>1791</v>
      </c>
      <c r="H243" t="s">
        <v>1792</v>
      </c>
      <c r="I243" t="s">
        <v>1793</v>
      </c>
      <c r="J243" t="s">
        <v>1794</v>
      </c>
      <c r="L243" s="1">
        <v>2</v>
      </c>
      <c r="M243" s="1"/>
      <c r="N243" s="1"/>
      <c r="O243" s="3"/>
    </row>
    <row r="244" spans="1:15" ht="13.8">
      <c r="A244" t="s">
        <v>1795</v>
      </c>
      <c r="B244" t="s">
        <v>1796</v>
      </c>
      <c r="C244" t="s">
        <v>572</v>
      </c>
      <c r="D244" t="s">
        <v>14</v>
      </c>
      <c r="E244">
        <v>30</v>
      </c>
      <c r="F244" t="s">
        <v>1797</v>
      </c>
      <c r="G244" t="s">
        <v>1798</v>
      </c>
      <c r="H244" t="s">
        <v>1799</v>
      </c>
      <c r="I244" t="s">
        <v>1800</v>
      </c>
      <c r="J244" t="s">
        <v>1801</v>
      </c>
      <c r="L244" s="1">
        <v>2</v>
      </c>
      <c r="M244" s="1"/>
      <c r="N244" s="1"/>
      <c r="O244" s="3"/>
    </row>
    <row r="245" spans="1:15" ht="13.8">
      <c r="A245" t="s">
        <v>1802</v>
      </c>
      <c r="B245" t="s">
        <v>1803</v>
      </c>
      <c r="C245" t="s">
        <v>972</v>
      </c>
      <c r="D245" t="s">
        <v>23</v>
      </c>
      <c r="E245">
        <v>20</v>
      </c>
      <c r="F245" t="s">
        <v>1804</v>
      </c>
      <c r="G245" t="s">
        <v>1805</v>
      </c>
      <c r="H245" t="s">
        <v>1806</v>
      </c>
      <c r="I245" t="s">
        <v>1807</v>
      </c>
      <c r="J245" t="s">
        <v>1808</v>
      </c>
      <c r="L245" s="1">
        <v>2</v>
      </c>
      <c r="M245" s="1"/>
      <c r="N245" s="1"/>
      <c r="O245" s="3"/>
    </row>
    <row r="246" spans="1:15" ht="13.8">
      <c r="A246" t="s">
        <v>1809</v>
      </c>
      <c r="B246" t="s">
        <v>1810</v>
      </c>
      <c r="C246" t="s">
        <v>67</v>
      </c>
      <c r="D246" t="s">
        <v>14</v>
      </c>
      <c r="E246">
        <v>20</v>
      </c>
      <c r="F246" t="s">
        <v>1811</v>
      </c>
      <c r="G246" t="s">
        <v>1812</v>
      </c>
      <c r="H246" t="s">
        <v>1813</v>
      </c>
      <c r="I246" t="s">
        <v>1814</v>
      </c>
      <c r="J246" t="s">
        <v>1815</v>
      </c>
      <c r="L246" s="1">
        <v>2</v>
      </c>
      <c r="M246" s="1"/>
      <c r="N246" s="1"/>
      <c r="O246" s="3"/>
    </row>
    <row r="247" spans="1:15" ht="13.8">
      <c r="A247" t="s">
        <v>1816</v>
      </c>
      <c r="B247" t="s">
        <v>1817</v>
      </c>
      <c r="C247" t="s">
        <v>644</v>
      </c>
      <c r="D247" t="s">
        <v>23</v>
      </c>
      <c r="E247">
        <v>10</v>
      </c>
      <c r="F247" t="s">
        <v>1818</v>
      </c>
      <c r="G247" t="s">
        <v>1819</v>
      </c>
      <c r="H247" t="s">
        <v>1820</v>
      </c>
      <c r="I247" t="s">
        <v>1821</v>
      </c>
      <c r="J247" t="s">
        <v>1822</v>
      </c>
      <c r="L247" s="1">
        <v>2</v>
      </c>
      <c r="M247" s="1"/>
      <c r="N247" s="1"/>
      <c r="O247" s="3"/>
    </row>
    <row r="248" spans="1:15" ht="13.8">
      <c r="A248" t="s">
        <v>1823</v>
      </c>
      <c r="B248" t="s">
        <v>1824</v>
      </c>
      <c r="C248" t="s">
        <v>97</v>
      </c>
      <c r="D248" t="s">
        <v>23</v>
      </c>
      <c r="E248">
        <v>30</v>
      </c>
      <c r="F248" t="s">
        <v>1825</v>
      </c>
      <c r="G248" t="s">
        <v>1826</v>
      </c>
      <c r="H248" t="s">
        <v>1827</v>
      </c>
      <c r="I248" t="s">
        <v>1828</v>
      </c>
      <c r="J248" t="s">
        <v>1829</v>
      </c>
      <c r="K248" t="s">
        <v>1830</v>
      </c>
      <c r="L248" s="1">
        <v>2</v>
      </c>
      <c r="M248" s="1"/>
      <c r="N248" s="1"/>
      <c r="O248" s="3"/>
    </row>
    <row r="249" spans="1:15" ht="13.8">
      <c r="A249" t="s">
        <v>1831</v>
      </c>
      <c r="B249" t="s">
        <v>1832</v>
      </c>
      <c r="C249" t="s">
        <v>754</v>
      </c>
      <c r="D249" t="s">
        <v>23</v>
      </c>
      <c r="E249">
        <v>30</v>
      </c>
      <c r="F249" t="s">
        <v>1833</v>
      </c>
      <c r="G249" t="s">
        <v>1834</v>
      </c>
      <c r="H249" t="s">
        <v>1835</v>
      </c>
      <c r="I249" t="s">
        <v>1836</v>
      </c>
      <c r="J249" t="s">
        <v>1837</v>
      </c>
      <c r="L249" s="1">
        <v>2</v>
      </c>
      <c r="M249" s="1"/>
      <c r="N249" s="1"/>
      <c r="O249" s="3"/>
    </row>
    <row r="250" spans="1:15" ht="13.8">
      <c r="A250" t="s">
        <v>1838</v>
      </c>
      <c r="B250" t="s">
        <v>1839</v>
      </c>
      <c r="C250" t="s">
        <v>972</v>
      </c>
      <c r="D250" t="s">
        <v>23</v>
      </c>
      <c r="E250">
        <v>15</v>
      </c>
      <c r="F250" t="s">
        <v>1840</v>
      </c>
      <c r="G250" t="s">
        <v>1841</v>
      </c>
      <c r="H250" t="s">
        <v>1842</v>
      </c>
      <c r="I250" t="s">
        <v>1843</v>
      </c>
      <c r="J250" t="s">
        <v>1844</v>
      </c>
      <c r="L250" s="1">
        <v>2</v>
      </c>
      <c r="M250" s="1"/>
      <c r="N250" s="1"/>
      <c r="O250" s="3"/>
    </row>
    <row r="251" spans="1:15" ht="13.8">
      <c r="A251" t="s">
        <v>1845</v>
      </c>
      <c r="B251" t="s">
        <v>1846</v>
      </c>
      <c r="C251" t="s">
        <v>97</v>
      </c>
      <c r="D251" t="s">
        <v>14</v>
      </c>
      <c r="E251">
        <v>20</v>
      </c>
      <c r="F251" t="s">
        <v>1847</v>
      </c>
      <c r="G251" t="s">
        <v>1848</v>
      </c>
      <c r="H251" t="s">
        <v>1849</v>
      </c>
      <c r="I251" t="s">
        <v>1850</v>
      </c>
      <c r="J251" t="s">
        <v>1851</v>
      </c>
      <c r="L251" s="1">
        <v>2</v>
      </c>
      <c r="M251" s="1"/>
      <c r="N251" s="1"/>
      <c r="O251" s="3"/>
    </row>
    <row r="252" spans="1:15" ht="13.8">
      <c r="A252" t="s">
        <v>1852</v>
      </c>
      <c r="B252" t="s">
        <v>1853</v>
      </c>
      <c r="C252" t="s">
        <v>22</v>
      </c>
      <c r="D252" t="s">
        <v>14</v>
      </c>
      <c r="E252">
        <v>30</v>
      </c>
      <c r="F252" t="s">
        <v>1854</v>
      </c>
      <c r="G252" t="s">
        <v>1855</v>
      </c>
      <c r="H252" t="s">
        <v>1856</v>
      </c>
      <c r="I252" t="s">
        <v>1857</v>
      </c>
      <c r="J252" t="s">
        <v>1858</v>
      </c>
      <c r="L252" s="1">
        <v>2</v>
      </c>
      <c r="M252" s="1"/>
      <c r="N252" s="1"/>
      <c r="O252" s="3"/>
    </row>
    <row r="253" spans="1:15" ht="13.8">
      <c r="A253" t="s">
        <v>1859</v>
      </c>
      <c r="B253" t="s">
        <v>1860</v>
      </c>
      <c r="C253" t="s">
        <v>988</v>
      </c>
      <c r="D253" t="s">
        <v>23</v>
      </c>
      <c r="E253">
        <v>20</v>
      </c>
      <c r="F253" t="s">
        <v>1861</v>
      </c>
      <c r="G253" t="s">
        <v>1862</v>
      </c>
      <c r="H253" t="s">
        <v>1863</v>
      </c>
      <c r="I253" t="s">
        <v>1864</v>
      </c>
      <c r="J253" t="s">
        <v>1865</v>
      </c>
      <c r="L253" s="1">
        <v>2</v>
      </c>
      <c r="M253" s="1"/>
      <c r="N253" s="1"/>
      <c r="O253" s="3"/>
    </row>
    <row r="254" spans="1:15" ht="13.8">
      <c r="A254" t="s">
        <v>1866</v>
      </c>
      <c r="B254" t="s">
        <v>1867</v>
      </c>
      <c r="C254" t="s">
        <v>612</v>
      </c>
      <c r="D254" t="s">
        <v>23</v>
      </c>
      <c r="E254">
        <v>30</v>
      </c>
      <c r="F254" t="s">
        <v>1868</v>
      </c>
      <c r="G254" t="s">
        <v>1869</v>
      </c>
      <c r="H254" t="s">
        <v>1870</v>
      </c>
      <c r="I254" t="s">
        <v>1871</v>
      </c>
      <c r="J254" t="s">
        <v>1872</v>
      </c>
      <c r="L254" s="1">
        <v>2</v>
      </c>
      <c r="M254" s="1"/>
      <c r="N254" s="1"/>
      <c r="O254" s="3"/>
    </row>
    <row r="255" spans="1:15" ht="13.8">
      <c r="A255" t="s">
        <v>1873</v>
      </c>
      <c r="B255" t="s">
        <v>1874</v>
      </c>
      <c r="C255" t="s">
        <v>972</v>
      </c>
      <c r="D255" t="s">
        <v>23</v>
      </c>
      <c r="E255">
        <v>20</v>
      </c>
      <c r="F255" t="s">
        <v>1875</v>
      </c>
      <c r="G255" t="s">
        <v>1876</v>
      </c>
      <c r="H255" t="s">
        <v>1877</v>
      </c>
      <c r="I255" t="s">
        <v>1878</v>
      </c>
      <c r="J255" t="s">
        <v>1879</v>
      </c>
      <c r="L255" s="1">
        <v>2</v>
      </c>
      <c r="M255" s="1"/>
      <c r="N255" s="1"/>
      <c r="O255" s="3"/>
    </row>
    <row r="256" spans="1:15" ht="13.8">
      <c r="A256" t="s">
        <v>1880</v>
      </c>
      <c r="B256" t="s">
        <v>1881</v>
      </c>
      <c r="C256" t="s">
        <v>988</v>
      </c>
      <c r="D256" t="s">
        <v>23</v>
      </c>
      <c r="E256">
        <v>20</v>
      </c>
      <c r="F256" t="s">
        <v>1882</v>
      </c>
      <c r="G256" t="s">
        <v>1883</v>
      </c>
      <c r="H256" t="s">
        <v>1884</v>
      </c>
      <c r="I256" t="s">
        <v>1885</v>
      </c>
      <c r="J256" t="s">
        <v>1886</v>
      </c>
      <c r="L256" s="1">
        <v>2</v>
      </c>
      <c r="M256" s="1"/>
      <c r="N256" s="1"/>
      <c r="O256" s="3"/>
    </row>
    <row r="257" spans="1:15" ht="13.8">
      <c r="A257" t="s">
        <v>1887</v>
      </c>
      <c r="B257" t="s">
        <v>428</v>
      </c>
      <c r="C257" t="s">
        <v>730</v>
      </c>
      <c r="D257" t="s">
        <v>23</v>
      </c>
      <c r="E257">
        <v>20</v>
      </c>
      <c r="F257" t="s">
        <v>1888</v>
      </c>
      <c r="G257" t="s">
        <v>1889</v>
      </c>
      <c r="H257" t="s">
        <v>1890</v>
      </c>
      <c r="I257" t="s">
        <v>1891</v>
      </c>
      <c r="J257" t="s">
        <v>1892</v>
      </c>
      <c r="K257" t="s">
        <v>1893</v>
      </c>
      <c r="L257" s="1">
        <v>2</v>
      </c>
      <c r="M257" s="1"/>
      <c r="N257" s="1"/>
      <c r="O257" s="3"/>
    </row>
    <row r="258" spans="1:15" ht="13.8">
      <c r="A258" t="s">
        <v>1894</v>
      </c>
      <c r="B258" t="s">
        <v>1895</v>
      </c>
      <c r="C258" t="s">
        <v>581</v>
      </c>
      <c r="D258" t="s">
        <v>23</v>
      </c>
      <c r="E258">
        <v>20</v>
      </c>
      <c r="F258" t="s">
        <v>1896</v>
      </c>
      <c r="G258" t="s">
        <v>1897</v>
      </c>
      <c r="H258" t="s">
        <v>1898</v>
      </c>
      <c r="I258" t="s">
        <v>1899</v>
      </c>
      <c r="J258" t="s">
        <v>1900</v>
      </c>
      <c r="L258" s="1">
        <v>2</v>
      </c>
      <c r="M258" s="1"/>
      <c r="N258" s="1"/>
      <c r="O258" s="3"/>
    </row>
    <row r="259" spans="1:15" ht="13.8">
      <c r="A259" t="s">
        <v>1901</v>
      </c>
      <c r="B259" t="s">
        <v>1902</v>
      </c>
      <c r="C259" t="s">
        <v>581</v>
      </c>
      <c r="D259" t="s">
        <v>23</v>
      </c>
      <c r="E259">
        <v>30</v>
      </c>
      <c r="F259" t="s">
        <v>1903</v>
      </c>
      <c r="G259" t="s">
        <v>1904</v>
      </c>
      <c r="H259" t="s">
        <v>1905</v>
      </c>
      <c r="I259" t="s">
        <v>1906</v>
      </c>
      <c r="J259" t="s">
        <v>1907</v>
      </c>
      <c r="L259" s="1">
        <v>2</v>
      </c>
      <c r="M259" s="1"/>
      <c r="N259" s="1"/>
      <c r="O259" s="3"/>
    </row>
    <row r="260" spans="1:15" ht="13.8">
      <c r="A260" t="s">
        <v>442</v>
      </c>
      <c r="B260" t="s">
        <v>1908</v>
      </c>
      <c r="C260" t="s">
        <v>473</v>
      </c>
      <c r="D260" t="s">
        <v>23</v>
      </c>
      <c r="E260">
        <v>30</v>
      </c>
      <c r="F260" t="s">
        <v>1909</v>
      </c>
      <c r="G260" t="s">
        <v>1910</v>
      </c>
      <c r="H260" t="s">
        <v>1911</v>
      </c>
      <c r="I260" t="s">
        <v>1912</v>
      </c>
      <c r="J260" t="s">
        <v>1913</v>
      </c>
      <c r="L260" s="1">
        <v>2</v>
      </c>
      <c r="M260" s="1"/>
      <c r="N260" s="1"/>
      <c r="O260" s="3"/>
    </row>
    <row r="261" spans="1:15" ht="13.8">
      <c r="A261" t="s">
        <v>1914</v>
      </c>
      <c r="B261" t="s">
        <v>1915</v>
      </c>
      <c r="C261" t="s">
        <v>652</v>
      </c>
      <c r="D261" t="s">
        <v>14</v>
      </c>
      <c r="E261">
        <v>40</v>
      </c>
      <c r="F261" t="s">
        <v>1916</v>
      </c>
      <c r="G261" t="s">
        <v>1917</v>
      </c>
      <c r="H261" t="s">
        <v>1918</v>
      </c>
      <c r="I261" t="s">
        <v>1919</v>
      </c>
      <c r="J261" t="s">
        <v>1920</v>
      </c>
      <c r="L261" s="1">
        <v>2</v>
      </c>
      <c r="M261" s="1"/>
      <c r="N261" s="1"/>
      <c r="O261" s="3"/>
    </row>
    <row r="262" spans="1:15" ht="13.8">
      <c r="A262" t="s">
        <v>1921</v>
      </c>
      <c r="B262" t="s">
        <v>1922</v>
      </c>
      <c r="C262" t="s">
        <v>996</v>
      </c>
      <c r="D262" t="s">
        <v>23</v>
      </c>
      <c r="E262">
        <v>30</v>
      </c>
      <c r="F262" t="s">
        <v>1923</v>
      </c>
      <c r="G262" t="s">
        <v>1924</v>
      </c>
      <c r="H262" t="s">
        <v>1925</v>
      </c>
      <c r="I262" t="s">
        <v>1926</v>
      </c>
      <c r="J262" t="s">
        <v>1927</v>
      </c>
      <c r="L262" s="1">
        <v>2</v>
      </c>
      <c r="M262" s="1"/>
      <c r="N262" s="1"/>
      <c r="O262" s="3"/>
    </row>
    <row r="263" spans="1:15" ht="13.8">
      <c r="A263" t="s">
        <v>1928</v>
      </c>
      <c r="B263" t="s">
        <v>1929</v>
      </c>
      <c r="C263" t="s">
        <v>972</v>
      </c>
      <c r="D263" t="s">
        <v>14</v>
      </c>
      <c r="E263">
        <v>20</v>
      </c>
      <c r="F263" t="s">
        <v>1930</v>
      </c>
      <c r="G263" t="s">
        <v>1931</v>
      </c>
      <c r="H263" t="s">
        <v>1932</v>
      </c>
      <c r="I263" t="s">
        <v>1933</v>
      </c>
      <c r="J263" t="s">
        <v>1934</v>
      </c>
      <c r="L263" s="1">
        <v>2</v>
      </c>
      <c r="M263" s="1"/>
      <c r="N263" s="1"/>
      <c r="O263" s="3"/>
    </row>
    <row r="264" spans="1:15" ht="13.8">
      <c r="A264" t="s">
        <v>1935</v>
      </c>
      <c r="B264" t="s">
        <v>1936</v>
      </c>
      <c r="C264" t="s">
        <v>754</v>
      </c>
      <c r="D264" t="s">
        <v>23</v>
      </c>
      <c r="E264">
        <v>30</v>
      </c>
      <c r="F264" t="s">
        <v>1937</v>
      </c>
      <c r="G264" t="s">
        <v>1938</v>
      </c>
      <c r="H264" t="s">
        <v>1939</v>
      </c>
      <c r="I264" t="s">
        <v>1940</v>
      </c>
      <c r="J264" t="s">
        <v>1941</v>
      </c>
      <c r="L264" s="1">
        <v>2</v>
      </c>
      <c r="M264" s="1"/>
      <c r="N264" s="1"/>
      <c r="O264" s="3"/>
    </row>
    <row r="265" spans="1:15" ht="13.8">
      <c r="A265" t="s">
        <v>1942</v>
      </c>
      <c r="B265" t="s">
        <v>1943</v>
      </c>
      <c r="C265" t="s">
        <v>754</v>
      </c>
      <c r="D265" t="s">
        <v>23</v>
      </c>
      <c r="E265">
        <v>5</v>
      </c>
      <c r="F265" t="s">
        <v>1944</v>
      </c>
      <c r="G265" t="s">
        <v>1945</v>
      </c>
      <c r="H265" t="s">
        <v>1946</v>
      </c>
      <c r="I265" t="s">
        <v>1947</v>
      </c>
      <c r="J265" t="s">
        <v>1948</v>
      </c>
      <c r="L265" s="1">
        <v>2</v>
      </c>
      <c r="M265" s="1"/>
      <c r="N265" s="1"/>
      <c r="O265" s="3"/>
    </row>
    <row r="266" spans="1:15" ht="13.8">
      <c r="A266" t="s">
        <v>1949</v>
      </c>
      <c r="B266" t="s">
        <v>1950</v>
      </c>
      <c r="C266" t="s">
        <v>972</v>
      </c>
      <c r="D266" t="s">
        <v>23</v>
      </c>
      <c r="E266">
        <v>15</v>
      </c>
      <c r="F266" t="s">
        <v>1951</v>
      </c>
      <c r="G266" t="s">
        <v>1952</v>
      </c>
      <c r="H266" t="s">
        <v>1953</v>
      </c>
      <c r="I266" t="s">
        <v>1954</v>
      </c>
      <c r="J266" t="s">
        <v>1955</v>
      </c>
      <c r="L266" s="1">
        <v>2</v>
      </c>
      <c r="M266" s="1"/>
      <c r="N266" s="1"/>
      <c r="O266" s="3"/>
    </row>
    <row r="267" spans="1:15" ht="13.8">
      <c r="A267" t="s">
        <v>1956</v>
      </c>
      <c r="B267" t="s">
        <v>1957</v>
      </c>
      <c r="C267" t="s">
        <v>644</v>
      </c>
      <c r="D267" t="s">
        <v>23</v>
      </c>
      <c r="E267">
        <v>10</v>
      </c>
      <c r="F267" t="s">
        <v>1958</v>
      </c>
      <c r="G267" t="s">
        <v>1959</v>
      </c>
      <c r="H267" t="s">
        <v>1960</v>
      </c>
      <c r="I267" t="s">
        <v>1961</v>
      </c>
      <c r="J267" t="s">
        <v>1962</v>
      </c>
      <c r="L267" s="1">
        <v>2</v>
      </c>
      <c r="M267" s="1"/>
      <c r="N267" s="1"/>
      <c r="O267" s="3"/>
    </row>
    <row r="268" spans="1:15" ht="13.8">
      <c r="A268" t="s">
        <v>1963</v>
      </c>
      <c r="B268" t="s">
        <v>1964</v>
      </c>
      <c r="C268" t="s">
        <v>972</v>
      </c>
      <c r="D268" t="s">
        <v>23</v>
      </c>
      <c r="E268">
        <v>10</v>
      </c>
      <c r="F268" t="s">
        <v>1965</v>
      </c>
      <c r="G268" t="s">
        <v>1966</v>
      </c>
      <c r="H268" t="s">
        <v>1967</v>
      </c>
      <c r="I268" t="s">
        <v>1968</v>
      </c>
      <c r="J268" t="s">
        <v>1969</v>
      </c>
      <c r="L268" s="1">
        <v>2</v>
      </c>
      <c r="M268" s="1"/>
      <c r="N268" s="1"/>
      <c r="O268" s="3"/>
    </row>
    <row r="269" spans="1:15" ht="13.8">
      <c r="A269" t="s">
        <v>1970</v>
      </c>
      <c r="B269" t="s">
        <v>1971</v>
      </c>
      <c r="C269" t="s">
        <v>74</v>
      </c>
      <c r="D269" t="s">
        <v>14</v>
      </c>
      <c r="E269">
        <v>5</v>
      </c>
      <c r="F269" t="s">
        <v>1972</v>
      </c>
      <c r="G269" t="s">
        <v>1973</v>
      </c>
      <c r="H269" t="s">
        <v>1974</v>
      </c>
      <c r="I269" t="s">
        <v>1975</v>
      </c>
      <c r="J269" t="s">
        <v>1976</v>
      </c>
      <c r="K269" t="s">
        <v>1977</v>
      </c>
      <c r="L269" s="1">
        <v>2</v>
      </c>
      <c r="M269" s="1"/>
      <c r="N269" s="1"/>
      <c r="O269" s="3"/>
    </row>
    <row r="270" spans="1:15" ht="13.8">
      <c r="A270" t="s">
        <v>1978</v>
      </c>
      <c r="B270" t="s">
        <v>1979</v>
      </c>
      <c r="C270" t="s">
        <v>572</v>
      </c>
      <c r="D270" t="s">
        <v>14</v>
      </c>
      <c r="E270">
        <v>20</v>
      </c>
      <c r="F270" t="s">
        <v>1980</v>
      </c>
      <c r="G270" t="s">
        <v>1981</v>
      </c>
      <c r="H270" t="s">
        <v>1982</v>
      </c>
      <c r="I270" t="s">
        <v>1983</v>
      </c>
      <c r="J270" t="s">
        <v>1984</v>
      </c>
      <c r="L270" s="1">
        <v>2</v>
      </c>
      <c r="M270" s="1"/>
      <c r="N270" s="1"/>
      <c r="O270" s="3"/>
    </row>
    <row r="271" spans="1:15" ht="13.8">
      <c r="A271" t="s">
        <v>1985</v>
      </c>
      <c r="B271" t="s">
        <v>1986</v>
      </c>
      <c r="C271" t="s">
        <v>892</v>
      </c>
      <c r="D271" t="s">
        <v>14</v>
      </c>
      <c r="E271">
        <v>30</v>
      </c>
      <c r="F271" t="s">
        <v>1987</v>
      </c>
      <c r="G271" t="s">
        <v>1988</v>
      </c>
      <c r="H271" t="s">
        <v>1989</v>
      </c>
      <c r="I271" t="s">
        <v>1990</v>
      </c>
      <c r="J271" t="s">
        <v>1991</v>
      </c>
      <c r="L271" s="1">
        <v>2</v>
      </c>
      <c r="M271" s="1"/>
      <c r="N271" s="1"/>
      <c r="O271" s="3"/>
    </row>
    <row r="272" spans="1:15" ht="13.8">
      <c r="A272" t="s">
        <v>1992</v>
      </c>
      <c r="B272" t="s">
        <v>1993</v>
      </c>
      <c r="C272" t="s">
        <v>754</v>
      </c>
      <c r="D272" t="s">
        <v>23</v>
      </c>
      <c r="E272">
        <v>10</v>
      </c>
      <c r="F272" t="s">
        <v>1994</v>
      </c>
      <c r="G272" t="s">
        <v>1995</v>
      </c>
      <c r="H272" t="s">
        <v>1996</v>
      </c>
      <c r="I272" t="s">
        <v>1997</v>
      </c>
      <c r="J272" t="s">
        <v>1998</v>
      </c>
      <c r="L272" s="1">
        <v>2</v>
      </c>
      <c r="M272" s="1"/>
      <c r="N272" s="1"/>
      <c r="O272" s="3"/>
    </row>
    <row r="273" spans="1:15" ht="13.8">
      <c r="A273" t="s">
        <v>1999</v>
      </c>
      <c r="B273" t="s">
        <v>2000</v>
      </c>
      <c r="C273" t="s">
        <v>429</v>
      </c>
      <c r="D273" t="s">
        <v>23</v>
      </c>
      <c r="E273">
        <v>20</v>
      </c>
      <c r="F273" t="s">
        <v>2001</v>
      </c>
      <c r="G273" t="s">
        <v>2002</v>
      </c>
      <c r="H273" t="s">
        <v>2003</v>
      </c>
      <c r="I273" t="s">
        <v>2004</v>
      </c>
      <c r="J273" t="s">
        <v>2005</v>
      </c>
      <c r="L273" s="1">
        <v>2</v>
      </c>
      <c r="M273" s="1"/>
      <c r="N273" s="1"/>
      <c r="O273" s="3"/>
    </row>
    <row r="274" spans="1:15" ht="13.8">
      <c r="A274" t="s">
        <v>2006</v>
      </c>
      <c r="B274" t="s">
        <v>2007</v>
      </c>
      <c r="C274" t="s">
        <v>730</v>
      </c>
      <c r="D274" t="s">
        <v>23</v>
      </c>
      <c r="E274">
        <v>15</v>
      </c>
      <c r="F274" t="s">
        <v>2008</v>
      </c>
      <c r="G274" t="s">
        <v>2009</v>
      </c>
      <c r="H274" t="s">
        <v>2010</v>
      </c>
      <c r="I274" t="s">
        <v>2011</v>
      </c>
      <c r="J274" t="s">
        <v>2012</v>
      </c>
      <c r="L274" s="1">
        <v>2</v>
      </c>
      <c r="M274" s="1"/>
      <c r="N274" s="1"/>
      <c r="O274" s="3"/>
    </row>
    <row r="275" spans="1:15" ht="13.8">
      <c r="A275" t="s">
        <v>2013</v>
      </c>
      <c r="B275" t="s">
        <v>2014</v>
      </c>
      <c r="C275" t="s">
        <v>74</v>
      </c>
      <c r="D275" t="s">
        <v>14</v>
      </c>
      <c r="E275">
        <v>20</v>
      </c>
      <c r="F275" t="s">
        <v>2015</v>
      </c>
      <c r="G275" t="s">
        <v>2016</v>
      </c>
      <c r="H275" t="s">
        <v>2017</v>
      </c>
      <c r="I275" t="s">
        <v>2018</v>
      </c>
      <c r="J275" t="s">
        <v>2019</v>
      </c>
      <c r="L275" s="1">
        <v>2</v>
      </c>
      <c r="M275" s="1"/>
      <c r="N275" s="1"/>
      <c r="O275" s="3"/>
    </row>
    <row r="276" spans="1:15" ht="13.8">
      <c r="A276" t="s">
        <v>2020</v>
      </c>
      <c r="B276" t="s">
        <v>2021</v>
      </c>
      <c r="C276" t="s">
        <v>74</v>
      </c>
      <c r="D276" t="s">
        <v>14</v>
      </c>
      <c r="E276">
        <v>20</v>
      </c>
      <c r="F276" t="s">
        <v>2022</v>
      </c>
      <c r="G276" t="s">
        <v>2023</v>
      </c>
      <c r="H276" t="s">
        <v>2024</v>
      </c>
      <c r="I276" t="s">
        <v>2025</v>
      </c>
      <c r="J276" t="s">
        <v>2026</v>
      </c>
      <c r="L276" s="1">
        <v>2</v>
      </c>
      <c r="M276" s="1"/>
      <c r="N276" s="1"/>
      <c r="O276" s="3"/>
    </row>
    <row r="277" spans="1:15" ht="13.8">
      <c r="A277" t="s">
        <v>2027</v>
      </c>
      <c r="B277" t="s">
        <v>2028</v>
      </c>
      <c r="C277" t="s">
        <v>972</v>
      </c>
      <c r="D277" t="s">
        <v>23</v>
      </c>
      <c r="E277">
        <v>10</v>
      </c>
      <c r="F277" t="s">
        <v>2029</v>
      </c>
      <c r="G277" t="s">
        <v>2030</v>
      </c>
      <c r="H277" t="s">
        <v>2031</v>
      </c>
      <c r="I277" t="s">
        <v>2032</v>
      </c>
      <c r="J277" t="s">
        <v>2033</v>
      </c>
      <c r="L277" s="1">
        <v>2</v>
      </c>
      <c r="M277" s="1"/>
      <c r="N277" s="1"/>
      <c r="O277" s="3"/>
    </row>
    <row r="278" spans="1:15" ht="13.8">
      <c r="A278" t="s">
        <v>2034</v>
      </c>
      <c r="B278" t="s">
        <v>2035</v>
      </c>
      <c r="C278" t="s">
        <v>473</v>
      </c>
      <c r="D278" t="s">
        <v>23</v>
      </c>
      <c r="E278">
        <v>30</v>
      </c>
      <c r="F278" t="s">
        <v>2036</v>
      </c>
      <c r="G278" t="s">
        <v>2037</v>
      </c>
      <c r="H278" t="s">
        <v>2038</v>
      </c>
      <c r="I278" t="s">
        <v>2039</v>
      </c>
      <c r="J278" t="s">
        <v>2040</v>
      </c>
      <c r="K278" t="s">
        <v>2041</v>
      </c>
      <c r="L278" s="1">
        <v>2</v>
      </c>
      <c r="M278" s="1"/>
      <c r="N278" s="1"/>
      <c r="O278" s="3"/>
    </row>
    <row r="279" spans="1:15" ht="13.8">
      <c r="A279" t="s">
        <v>2042</v>
      </c>
      <c r="B279" t="s">
        <v>2043</v>
      </c>
      <c r="C279" t="s">
        <v>644</v>
      </c>
      <c r="D279" t="s">
        <v>23</v>
      </c>
      <c r="E279">
        <v>15</v>
      </c>
      <c r="F279" t="s">
        <v>2044</v>
      </c>
      <c r="G279" t="s">
        <v>2045</v>
      </c>
      <c r="H279" t="s">
        <v>2046</v>
      </c>
      <c r="I279" t="s">
        <v>2047</v>
      </c>
      <c r="J279" t="s">
        <v>2048</v>
      </c>
      <c r="K279" t="s">
        <v>2049</v>
      </c>
      <c r="L279" s="1">
        <v>2</v>
      </c>
      <c r="M279" s="1"/>
      <c r="N279" s="1"/>
      <c r="O279" s="3"/>
    </row>
    <row r="280" spans="1:15" ht="13.8">
      <c r="A280" t="s">
        <v>2050</v>
      </c>
      <c r="B280" t="s">
        <v>2051</v>
      </c>
      <c r="C280" t="s">
        <v>572</v>
      </c>
      <c r="D280" t="s">
        <v>14</v>
      </c>
      <c r="E280">
        <v>10</v>
      </c>
      <c r="F280" t="s">
        <v>2052</v>
      </c>
      <c r="G280" t="s">
        <v>2053</v>
      </c>
      <c r="H280" t="s">
        <v>2054</v>
      </c>
      <c r="I280" t="s">
        <v>2055</v>
      </c>
      <c r="J280" t="s">
        <v>2056</v>
      </c>
      <c r="L280" s="1">
        <v>2</v>
      </c>
      <c r="M280" s="1"/>
      <c r="N280" s="1"/>
      <c r="O280" s="3"/>
    </row>
    <row r="281" spans="1:15" ht="13.8">
      <c r="A281" t="s">
        <v>2057</v>
      </c>
      <c r="B281" t="s">
        <v>2058</v>
      </c>
      <c r="C281" t="s">
        <v>74</v>
      </c>
      <c r="D281" t="s">
        <v>14</v>
      </c>
      <c r="E281">
        <v>15</v>
      </c>
      <c r="F281" t="s">
        <v>2059</v>
      </c>
      <c r="G281" t="s">
        <v>2060</v>
      </c>
      <c r="H281" t="s">
        <v>2061</v>
      </c>
      <c r="I281" t="s">
        <v>2062</v>
      </c>
      <c r="J281" t="s">
        <v>2063</v>
      </c>
      <c r="L281" s="1">
        <v>2</v>
      </c>
      <c r="M281" s="1"/>
      <c r="N281" s="1"/>
      <c r="O281" s="3"/>
    </row>
    <row r="282" spans="1:15" ht="13.8">
      <c r="A282" t="s">
        <v>2064</v>
      </c>
      <c r="B282" t="s">
        <v>2065</v>
      </c>
      <c r="C282" t="s">
        <v>988</v>
      </c>
      <c r="D282" t="s">
        <v>23</v>
      </c>
      <c r="E282">
        <v>30</v>
      </c>
      <c r="F282" t="s">
        <v>2066</v>
      </c>
      <c r="G282" t="s">
        <v>2067</v>
      </c>
      <c r="H282" t="s">
        <v>2068</v>
      </c>
      <c r="I282" t="s">
        <v>2069</v>
      </c>
      <c r="J282" t="s">
        <v>2070</v>
      </c>
      <c r="L282" s="1">
        <v>2</v>
      </c>
      <c r="M282" s="1"/>
      <c r="N282" s="1"/>
      <c r="O282" s="3"/>
    </row>
    <row r="283" spans="1:15" ht="13.8">
      <c r="A283" t="s">
        <v>2071</v>
      </c>
      <c r="B283" t="s">
        <v>2072</v>
      </c>
      <c r="C283" t="s">
        <v>754</v>
      </c>
      <c r="D283" t="s">
        <v>23</v>
      </c>
      <c r="E283">
        <v>15</v>
      </c>
      <c r="F283" t="s">
        <v>2073</v>
      </c>
      <c r="G283" t="s">
        <v>2074</v>
      </c>
      <c r="H283" t="s">
        <v>2075</v>
      </c>
      <c r="I283" t="s">
        <v>2076</v>
      </c>
      <c r="J283" t="s">
        <v>2077</v>
      </c>
      <c r="L283" s="1">
        <v>2</v>
      </c>
      <c r="M283" s="1"/>
      <c r="N283" s="1"/>
      <c r="O283" s="3"/>
    </row>
    <row r="284" spans="1:15" ht="13.8">
      <c r="A284" t="s">
        <v>2078</v>
      </c>
      <c r="B284" t="s">
        <v>2079</v>
      </c>
      <c r="C284" t="s">
        <v>972</v>
      </c>
      <c r="D284" t="s">
        <v>23</v>
      </c>
      <c r="E284">
        <v>10</v>
      </c>
      <c r="F284" t="s">
        <v>2080</v>
      </c>
      <c r="G284" t="s">
        <v>2081</v>
      </c>
      <c r="H284" t="s">
        <v>2082</v>
      </c>
      <c r="I284" t="s">
        <v>2083</v>
      </c>
      <c r="J284" t="s">
        <v>2084</v>
      </c>
      <c r="L284" s="1">
        <v>2</v>
      </c>
      <c r="M284" s="1"/>
      <c r="N284" s="1"/>
      <c r="O284" s="3"/>
    </row>
    <row r="285" spans="1:15" ht="13.8">
      <c r="A285" t="s">
        <v>2085</v>
      </c>
      <c r="B285" t="s">
        <v>2086</v>
      </c>
      <c r="C285" t="s">
        <v>972</v>
      </c>
      <c r="D285" t="s">
        <v>23</v>
      </c>
      <c r="E285">
        <v>10</v>
      </c>
      <c r="F285" t="s">
        <v>2087</v>
      </c>
      <c r="G285" t="s">
        <v>2088</v>
      </c>
      <c r="H285" t="s">
        <v>2089</v>
      </c>
      <c r="I285" t="s">
        <v>2090</v>
      </c>
      <c r="J285" t="s">
        <v>2091</v>
      </c>
      <c r="L285" s="1">
        <v>2</v>
      </c>
      <c r="M285" s="1"/>
      <c r="N285" s="1"/>
      <c r="O285" s="3"/>
    </row>
    <row r="286" spans="1:15" ht="13.8">
      <c r="A286" t="s">
        <v>2092</v>
      </c>
      <c r="B286" t="s">
        <v>2093</v>
      </c>
      <c r="C286" t="s">
        <v>988</v>
      </c>
      <c r="D286" t="s">
        <v>23</v>
      </c>
      <c r="E286">
        <v>30</v>
      </c>
      <c r="F286" t="s">
        <v>2094</v>
      </c>
      <c r="G286" t="s">
        <v>2095</v>
      </c>
      <c r="H286" t="s">
        <v>2096</v>
      </c>
      <c r="I286" t="s">
        <v>2097</v>
      </c>
      <c r="J286" t="s">
        <v>2098</v>
      </c>
      <c r="L286" s="1">
        <v>2</v>
      </c>
      <c r="M286" s="1"/>
      <c r="N286" s="1"/>
      <c r="O286" s="3"/>
    </row>
    <row r="287" spans="1:15" ht="13.8">
      <c r="A287" t="s">
        <v>2099</v>
      </c>
      <c r="B287" t="s">
        <v>2100</v>
      </c>
      <c r="C287" t="s">
        <v>972</v>
      </c>
      <c r="D287" t="s">
        <v>23</v>
      </c>
      <c r="E287">
        <v>30</v>
      </c>
      <c r="F287" t="s">
        <v>2101</v>
      </c>
      <c r="G287" t="s">
        <v>2102</v>
      </c>
      <c r="H287" t="s">
        <v>2103</v>
      </c>
      <c r="I287" t="s">
        <v>2104</v>
      </c>
      <c r="J287" t="s">
        <v>2105</v>
      </c>
      <c r="L287" s="1">
        <v>2</v>
      </c>
      <c r="M287" s="1"/>
      <c r="N287" s="1"/>
      <c r="O287" s="3"/>
    </row>
    <row r="288" spans="1:15" ht="13.8">
      <c r="A288" t="s">
        <v>2106</v>
      </c>
      <c r="B288" t="s">
        <v>2107</v>
      </c>
      <c r="C288" t="s">
        <v>74</v>
      </c>
      <c r="D288" t="s">
        <v>14</v>
      </c>
      <c r="E288">
        <v>15</v>
      </c>
      <c r="F288" t="s">
        <v>2108</v>
      </c>
      <c r="G288" t="s">
        <v>2109</v>
      </c>
      <c r="H288" t="s">
        <v>2110</v>
      </c>
      <c r="I288" t="s">
        <v>2111</v>
      </c>
      <c r="J288" t="s">
        <v>2112</v>
      </c>
      <c r="L288" s="1">
        <v>2</v>
      </c>
      <c r="M288" s="1"/>
      <c r="N288" s="1"/>
      <c r="O288" s="3"/>
    </row>
    <row r="289" spans="1:15" ht="13.8">
      <c r="A289" t="s">
        <v>2113</v>
      </c>
      <c r="B289" t="s">
        <v>2114</v>
      </c>
      <c r="C289" t="s">
        <v>972</v>
      </c>
      <c r="D289" t="s">
        <v>23</v>
      </c>
      <c r="E289">
        <v>45</v>
      </c>
      <c r="F289" t="s">
        <v>2115</v>
      </c>
      <c r="G289" t="s">
        <v>2116</v>
      </c>
      <c r="H289" t="s">
        <v>2117</v>
      </c>
      <c r="I289" t="s">
        <v>2118</v>
      </c>
      <c r="J289" t="s">
        <v>2119</v>
      </c>
      <c r="L289" s="1">
        <v>2</v>
      </c>
      <c r="M289" s="1"/>
      <c r="N289" s="1"/>
      <c r="O289" s="3"/>
    </row>
    <row r="290" spans="1:15" ht="13.8">
      <c r="A290" t="s">
        <v>2120</v>
      </c>
      <c r="B290" t="s">
        <v>2121</v>
      </c>
      <c r="C290" t="s">
        <v>572</v>
      </c>
      <c r="D290" t="s">
        <v>14</v>
      </c>
      <c r="E290">
        <v>22</v>
      </c>
      <c r="F290" t="s">
        <v>2122</v>
      </c>
      <c r="G290" t="s">
        <v>2123</v>
      </c>
      <c r="H290" t="s">
        <v>2124</v>
      </c>
      <c r="I290" t="s">
        <v>2125</v>
      </c>
      <c r="J290" t="s">
        <v>2126</v>
      </c>
      <c r="L290" s="1">
        <v>2</v>
      </c>
      <c r="M290" s="1"/>
      <c r="N290" s="1"/>
      <c r="O290" s="3"/>
    </row>
    <row r="291" spans="1:15" ht="13.8">
      <c r="A291" t="s">
        <v>2127</v>
      </c>
      <c r="B291" t="s">
        <v>2128</v>
      </c>
      <c r="C291" t="s">
        <v>451</v>
      </c>
      <c r="D291" t="s">
        <v>23</v>
      </c>
      <c r="E291">
        <v>15</v>
      </c>
      <c r="F291" t="s">
        <v>2129</v>
      </c>
      <c r="G291" t="s">
        <v>2130</v>
      </c>
      <c r="H291" t="s">
        <v>2131</v>
      </c>
      <c r="I291" t="s">
        <v>2132</v>
      </c>
      <c r="J291" t="s">
        <v>2133</v>
      </c>
      <c r="L291" s="1">
        <v>2</v>
      </c>
      <c r="M291" s="1"/>
      <c r="N291" s="1"/>
      <c r="O291" s="3"/>
    </row>
    <row r="292" spans="1:15" ht="13.8">
      <c r="A292" t="s">
        <v>2134</v>
      </c>
      <c r="B292" t="s">
        <v>2135</v>
      </c>
      <c r="C292" t="s">
        <v>972</v>
      </c>
      <c r="D292" t="s">
        <v>23</v>
      </c>
      <c r="E292">
        <v>30</v>
      </c>
      <c r="F292" t="s">
        <v>2136</v>
      </c>
      <c r="G292" t="s">
        <v>2137</v>
      </c>
      <c r="H292" t="s">
        <v>2138</v>
      </c>
      <c r="I292" t="s">
        <v>2139</v>
      </c>
      <c r="J292" t="s">
        <v>2140</v>
      </c>
      <c r="L292" s="1">
        <v>2</v>
      </c>
      <c r="M292" s="1"/>
      <c r="N292" s="1"/>
      <c r="O292" s="3"/>
    </row>
    <row r="293" spans="1:15" ht="13.8">
      <c r="A293" t="s">
        <v>2141</v>
      </c>
      <c r="B293" t="s">
        <v>2142</v>
      </c>
      <c r="C293" t="s">
        <v>612</v>
      </c>
      <c r="D293" t="s">
        <v>23</v>
      </c>
      <c r="E293">
        <v>20</v>
      </c>
      <c r="F293" t="s">
        <v>2143</v>
      </c>
      <c r="G293" t="s">
        <v>2144</v>
      </c>
      <c r="H293" t="s">
        <v>2145</v>
      </c>
      <c r="I293" t="s">
        <v>2146</v>
      </c>
      <c r="J293" t="s">
        <v>2147</v>
      </c>
      <c r="L293" s="1">
        <v>2</v>
      </c>
      <c r="M293" s="1"/>
      <c r="N293" s="1"/>
      <c r="O293" s="3"/>
    </row>
    <row r="294" spans="1:15" ht="13.8">
      <c r="A294" t="s">
        <v>2148</v>
      </c>
      <c r="B294" t="s">
        <v>2149</v>
      </c>
      <c r="C294" t="s">
        <v>754</v>
      </c>
      <c r="D294" t="s">
        <v>23</v>
      </c>
      <c r="E294">
        <v>10</v>
      </c>
      <c r="F294" t="s">
        <v>2150</v>
      </c>
      <c r="G294" t="s">
        <v>2151</v>
      </c>
      <c r="H294" t="s">
        <v>2152</v>
      </c>
      <c r="I294" t="s">
        <v>2153</v>
      </c>
      <c r="J294" t="s">
        <v>2154</v>
      </c>
      <c r="L294" s="1">
        <v>2</v>
      </c>
      <c r="M294" s="1"/>
      <c r="N294" s="1"/>
      <c r="O294" s="3"/>
    </row>
    <row r="295" spans="1:15" ht="13.8">
      <c r="A295" t="s">
        <v>2155</v>
      </c>
      <c r="B295" t="s">
        <v>450</v>
      </c>
      <c r="C295" t="s">
        <v>451</v>
      </c>
      <c r="D295" t="s">
        <v>23</v>
      </c>
      <c r="E295">
        <v>20</v>
      </c>
      <c r="F295" t="s">
        <v>2156</v>
      </c>
      <c r="G295" t="s">
        <v>2157</v>
      </c>
      <c r="H295" t="s">
        <v>2158</v>
      </c>
      <c r="I295" t="s">
        <v>2159</v>
      </c>
      <c r="J295" t="s">
        <v>2160</v>
      </c>
      <c r="L295" s="1">
        <v>2</v>
      </c>
      <c r="M295" s="1"/>
      <c r="N295" s="1"/>
      <c r="O295" s="3"/>
    </row>
    <row r="296" spans="1:15" ht="13.8">
      <c r="A296" t="s">
        <v>2161</v>
      </c>
      <c r="B296" t="s">
        <v>2162</v>
      </c>
      <c r="C296" t="s">
        <v>988</v>
      </c>
      <c r="D296" t="s">
        <v>23</v>
      </c>
      <c r="E296">
        <v>20</v>
      </c>
      <c r="F296" t="s">
        <v>2163</v>
      </c>
      <c r="G296" t="s">
        <v>2164</v>
      </c>
      <c r="H296" t="s">
        <v>2165</v>
      </c>
      <c r="I296" t="s">
        <v>2166</v>
      </c>
      <c r="J296" t="s">
        <v>2167</v>
      </c>
      <c r="L296" s="1">
        <v>2</v>
      </c>
      <c r="M296" s="1"/>
      <c r="N296" s="1"/>
      <c r="O296" s="3"/>
    </row>
    <row r="297" spans="1:15" ht="13.8">
      <c r="A297" t="s">
        <v>2168</v>
      </c>
      <c r="B297" t="s">
        <v>2169</v>
      </c>
      <c r="C297" t="s">
        <v>754</v>
      </c>
      <c r="D297" t="s">
        <v>23</v>
      </c>
      <c r="E297">
        <v>25</v>
      </c>
      <c r="F297" t="s">
        <v>2170</v>
      </c>
      <c r="G297" t="s">
        <v>2171</v>
      </c>
      <c r="H297" t="s">
        <v>2172</v>
      </c>
      <c r="I297" t="s">
        <v>2173</v>
      </c>
      <c r="J297" t="s">
        <v>2174</v>
      </c>
      <c r="L297" s="1">
        <v>2</v>
      </c>
      <c r="M297" s="1"/>
      <c r="N297" s="1"/>
      <c r="O297" s="3"/>
    </row>
    <row r="298" spans="1:15" ht="13.8">
      <c r="A298" t="s">
        <v>2175</v>
      </c>
      <c r="B298" t="s">
        <v>2176</v>
      </c>
      <c r="C298" t="s">
        <v>572</v>
      </c>
      <c r="D298" t="s">
        <v>23</v>
      </c>
      <c r="E298">
        <v>2</v>
      </c>
      <c r="F298" t="s">
        <v>2177</v>
      </c>
      <c r="G298" t="s">
        <v>2178</v>
      </c>
      <c r="H298" t="s">
        <v>2179</v>
      </c>
      <c r="I298" t="s">
        <v>2180</v>
      </c>
      <c r="J298" t="s">
        <v>2181</v>
      </c>
      <c r="L298" s="1">
        <v>2</v>
      </c>
      <c r="M298" s="1"/>
      <c r="N298" s="1"/>
      <c r="O298" s="3"/>
    </row>
    <row r="299" spans="1:15" ht="13.8">
      <c r="A299" t="s">
        <v>2182</v>
      </c>
      <c r="B299" t="s">
        <v>2183</v>
      </c>
      <c r="C299" t="s">
        <v>754</v>
      </c>
      <c r="D299" t="s">
        <v>14</v>
      </c>
      <c r="E299">
        <v>15</v>
      </c>
      <c r="F299" t="s">
        <v>2184</v>
      </c>
      <c r="G299" t="s">
        <v>2185</v>
      </c>
      <c r="H299" t="s">
        <v>2186</v>
      </c>
      <c r="I299" t="s">
        <v>2187</v>
      </c>
      <c r="J299" t="s">
        <v>2188</v>
      </c>
      <c r="L299" s="1">
        <v>2</v>
      </c>
      <c r="M299" s="1"/>
      <c r="N299" s="1"/>
      <c r="O299" s="3"/>
    </row>
    <row r="300" spans="1:15" ht="13.8">
      <c r="A300" t="s">
        <v>2189</v>
      </c>
      <c r="B300" t="s">
        <v>2190</v>
      </c>
      <c r="C300" t="s">
        <v>52</v>
      </c>
      <c r="D300" t="s">
        <v>23</v>
      </c>
      <c r="E300">
        <v>5</v>
      </c>
      <c r="F300" t="s">
        <v>2191</v>
      </c>
      <c r="G300" t="s">
        <v>2192</v>
      </c>
      <c r="H300" t="s">
        <v>2193</v>
      </c>
      <c r="I300" t="s">
        <v>2194</v>
      </c>
      <c r="J300" t="s">
        <v>2195</v>
      </c>
      <c r="L300" s="1">
        <v>2</v>
      </c>
      <c r="M300" s="1"/>
      <c r="N300" s="1"/>
      <c r="O300" s="3"/>
    </row>
    <row r="301" spans="1:15" ht="13.8">
      <c r="A301" t="s">
        <v>2196</v>
      </c>
      <c r="B301" t="s">
        <v>2197</v>
      </c>
      <c r="C301" t="s">
        <v>52</v>
      </c>
      <c r="D301" t="s">
        <v>23</v>
      </c>
      <c r="E301">
        <v>5</v>
      </c>
      <c r="F301" t="s">
        <v>2198</v>
      </c>
      <c r="G301" t="s">
        <v>2199</v>
      </c>
      <c r="H301" t="s">
        <v>2200</v>
      </c>
      <c r="I301" t="s">
        <v>2201</v>
      </c>
      <c r="J301" t="s">
        <v>2202</v>
      </c>
      <c r="L301" s="1">
        <v>2</v>
      </c>
      <c r="M301" s="1"/>
      <c r="N301" s="1"/>
      <c r="O301" s="3"/>
    </row>
    <row r="302" spans="1:15" ht="13.8">
      <c r="A302" t="s">
        <v>2203</v>
      </c>
      <c r="B302" t="s">
        <v>2204</v>
      </c>
      <c r="C302" t="s">
        <v>572</v>
      </c>
      <c r="D302" t="s">
        <v>23</v>
      </c>
      <c r="E302">
        <v>15</v>
      </c>
      <c r="F302" t="s">
        <v>2205</v>
      </c>
      <c r="G302" t="s">
        <v>2206</v>
      </c>
      <c r="H302" t="s">
        <v>2207</v>
      </c>
      <c r="I302" t="s">
        <v>2208</v>
      </c>
      <c r="J302" t="s">
        <v>2209</v>
      </c>
      <c r="L302" s="1">
        <v>2</v>
      </c>
      <c r="M302" s="1"/>
      <c r="N302" s="1"/>
      <c r="O302" s="3"/>
    </row>
    <row r="303" spans="1:15" ht="13.8">
      <c r="A303" t="s">
        <v>2210</v>
      </c>
      <c r="B303" t="s">
        <v>2211</v>
      </c>
      <c r="C303" t="s">
        <v>972</v>
      </c>
      <c r="D303" t="s">
        <v>14</v>
      </c>
      <c r="E303">
        <v>50</v>
      </c>
      <c r="F303" t="s">
        <v>2212</v>
      </c>
      <c r="G303" t="s">
        <v>2213</v>
      </c>
      <c r="H303" t="s">
        <v>2214</v>
      </c>
      <c r="I303" t="s">
        <v>2215</v>
      </c>
      <c r="J303" t="s">
        <v>2216</v>
      </c>
      <c r="L303" s="1">
        <v>2</v>
      </c>
      <c r="M303" s="1"/>
      <c r="N303" s="1"/>
      <c r="O303" s="3"/>
    </row>
    <row r="304" spans="1:15" ht="13.8">
      <c r="A304" t="s">
        <v>2217</v>
      </c>
      <c r="B304" t="s">
        <v>2218</v>
      </c>
      <c r="C304" t="s">
        <v>972</v>
      </c>
      <c r="D304" t="s">
        <v>23</v>
      </c>
      <c r="E304">
        <v>15</v>
      </c>
      <c r="F304" t="s">
        <v>2219</v>
      </c>
      <c r="G304" t="s">
        <v>2220</v>
      </c>
      <c r="H304" t="s">
        <v>2221</v>
      </c>
      <c r="I304" t="s">
        <v>2222</v>
      </c>
      <c r="J304" t="s">
        <v>2223</v>
      </c>
      <c r="L304" s="1">
        <v>2</v>
      </c>
      <c r="M304" s="1"/>
      <c r="N304" s="1"/>
      <c r="O304" s="3"/>
    </row>
    <row r="305" spans="1:15" ht="13.8">
      <c r="A305" t="s">
        <v>2224</v>
      </c>
      <c r="B305" t="s">
        <v>2225</v>
      </c>
      <c r="C305" t="s">
        <v>52</v>
      </c>
      <c r="D305" t="s">
        <v>23</v>
      </c>
      <c r="E305">
        <v>40</v>
      </c>
      <c r="F305" t="s">
        <v>2226</v>
      </c>
      <c r="G305" t="s">
        <v>2227</v>
      </c>
      <c r="H305" t="s">
        <v>2228</v>
      </c>
      <c r="I305" t="s">
        <v>2229</v>
      </c>
      <c r="J305" t="s">
        <v>2230</v>
      </c>
      <c r="L305" s="1">
        <v>2</v>
      </c>
      <c r="M305" s="1"/>
      <c r="N305" s="1"/>
      <c r="O305" s="3"/>
    </row>
    <row r="306" spans="1:15" ht="13.8">
      <c r="A306" t="s">
        <v>2231</v>
      </c>
      <c r="B306" t="s">
        <v>2232</v>
      </c>
      <c r="C306" t="s">
        <v>972</v>
      </c>
      <c r="D306" t="s">
        <v>23</v>
      </c>
      <c r="E306">
        <v>35</v>
      </c>
      <c r="F306" t="s">
        <v>2233</v>
      </c>
      <c r="G306" t="s">
        <v>2234</v>
      </c>
      <c r="H306" t="s">
        <v>2235</v>
      </c>
      <c r="I306" t="s">
        <v>2236</v>
      </c>
      <c r="J306" t="s">
        <v>2237</v>
      </c>
      <c r="L306" s="1">
        <v>2</v>
      </c>
      <c r="M306" s="1"/>
      <c r="N306" s="1"/>
      <c r="O306" s="3"/>
    </row>
    <row r="307" spans="1:15" ht="13.8">
      <c r="A307" t="s">
        <v>2238</v>
      </c>
      <c r="B307" t="s">
        <v>2239</v>
      </c>
      <c r="C307" t="s">
        <v>754</v>
      </c>
      <c r="D307" t="s">
        <v>23</v>
      </c>
      <c r="E307">
        <v>30</v>
      </c>
      <c r="F307" t="s">
        <v>2240</v>
      </c>
      <c r="G307" t="s">
        <v>2241</v>
      </c>
      <c r="H307" t="s">
        <v>2242</v>
      </c>
      <c r="I307" t="s">
        <v>2243</v>
      </c>
      <c r="J307" t="s">
        <v>2244</v>
      </c>
      <c r="L307" s="1">
        <v>2</v>
      </c>
      <c r="M307" s="1"/>
      <c r="N307" s="1"/>
      <c r="O307" s="3"/>
    </row>
    <row r="308" spans="1:15" ht="13.8">
      <c r="A308" t="s">
        <v>2245</v>
      </c>
      <c r="B308" t="s">
        <v>1376</v>
      </c>
      <c r="C308" t="s">
        <v>972</v>
      </c>
      <c r="D308" t="s">
        <v>23</v>
      </c>
      <c r="E308">
        <v>20</v>
      </c>
      <c r="F308" t="s">
        <v>2246</v>
      </c>
      <c r="G308" t="s">
        <v>2247</v>
      </c>
      <c r="H308" t="s">
        <v>2248</v>
      </c>
      <c r="I308" t="s">
        <v>2249</v>
      </c>
      <c r="J308" t="s">
        <v>2250</v>
      </c>
      <c r="L308" s="1">
        <v>2</v>
      </c>
      <c r="M308" s="1"/>
      <c r="N308" s="1"/>
      <c r="O308" s="3"/>
    </row>
    <row r="309" spans="1:15" ht="13.8">
      <c r="A309" t="s">
        <v>2251</v>
      </c>
      <c r="B309" t="s">
        <v>2252</v>
      </c>
      <c r="C309" t="s">
        <v>988</v>
      </c>
      <c r="D309" t="s">
        <v>23</v>
      </c>
      <c r="E309">
        <v>10</v>
      </c>
      <c r="F309" t="s">
        <v>2253</v>
      </c>
      <c r="G309" t="s">
        <v>2254</v>
      </c>
      <c r="H309" t="s">
        <v>2255</v>
      </c>
      <c r="I309" t="s">
        <v>2256</v>
      </c>
      <c r="J309" t="s">
        <v>2257</v>
      </c>
      <c r="L309" s="1">
        <v>2</v>
      </c>
      <c r="M309" s="1"/>
      <c r="N309" s="1"/>
      <c r="O309" s="3"/>
    </row>
    <row r="310" spans="1:15" ht="13.8">
      <c r="A310" t="s">
        <v>2258</v>
      </c>
      <c r="B310" t="s">
        <v>2259</v>
      </c>
      <c r="C310" t="s">
        <v>706</v>
      </c>
      <c r="D310" t="s">
        <v>14</v>
      </c>
      <c r="E310">
        <v>10</v>
      </c>
      <c r="F310" t="s">
        <v>2260</v>
      </c>
      <c r="G310" t="s">
        <v>2261</v>
      </c>
      <c r="H310" t="s">
        <v>2262</v>
      </c>
      <c r="I310" t="s">
        <v>2263</v>
      </c>
      <c r="J310" t="s">
        <v>2264</v>
      </c>
      <c r="L310" s="1">
        <v>2</v>
      </c>
      <c r="M310" s="1"/>
      <c r="N310" s="1"/>
      <c r="O310" s="3"/>
    </row>
    <row r="311" spans="1:15" ht="13.8">
      <c r="A311" t="s">
        <v>2265</v>
      </c>
      <c r="B311" t="s">
        <v>2266</v>
      </c>
      <c r="C311" t="s">
        <v>429</v>
      </c>
      <c r="D311" t="s">
        <v>23</v>
      </c>
      <c r="E311">
        <v>30</v>
      </c>
      <c r="F311" t="s">
        <v>2267</v>
      </c>
      <c r="G311" t="s">
        <v>2268</v>
      </c>
      <c r="H311" t="s">
        <v>2269</v>
      </c>
      <c r="I311" t="s">
        <v>2270</v>
      </c>
      <c r="J311" t="s">
        <v>2271</v>
      </c>
      <c r="L311" s="1">
        <v>2</v>
      </c>
      <c r="M311" s="1"/>
      <c r="N311" s="1"/>
      <c r="O311" s="3"/>
    </row>
    <row r="312" spans="1:15" ht="13.8">
      <c r="A312" t="s">
        <v>2272</v>
      </c>
      <c r="B312" t="s">
        <v>2273</v>
      </c>
      <c r="C312" t="s">
        <v>644</v>
      </c>
      <c r="D312" t="s">
        <v>23</v>
      </c>
      <c r="E312">
        <v>25</v>
      </c>
      <c r="F312" t="s">
        <v>2274</v>
      </c>
      <c r="G312" t="s">
        <v>2275</v>
      </c>
      <c r="H312" t="s">
        <v>2276</v>
      </c>
      <c r="I312" t="s">
        <v>2277</v>
      </c>
      <c r="J312" t="s">
        <v>2278</v>
      </c>
      <c r="L312" s="1">
        <v>2</v>
      </c>
      <c r="M312" s="1"/>
      <c r="N312" s="1"/>
      <c r="O312" s="3"/>
    </row>
    <row r="313" spans="1:15" ht="13.8">
      <c r="A313" t="s">
        <v>2279</v>
      </c>
      <c r="B313" t="s">
        <v>2280</v>
      </c>
      <c r="C313" t="s">
        <v>754</v>
      </c>
      <c r="D313" t="s">
        <v>23</v>
      </c>
      <c r="E313">
        <v>15</v>
      </c>
      <c r="F313" t="s">
        <v>2281</v>
      </c>
      <c r="G313" t="s">
        <v>2282</v>
      </c>
      <c r="H313" t="s">
        <v>2283</v>
      </c>
      <c r="I313" t="s">
        <v>2284</v>
      </c>
      <c r="J313" t="s">
        <v>2285</v>
      </c>
      <c r="L313" s="1">
        <v>2</v>
      </c>
      <c r="M313" s="1"/>
      <c r="N313" s="1"/>
      <c r="O313" s="3"/>
    </row>
    <row r="314" spans="1:15" ht="13.8">
      <c r="A314" t="s">
        <v>2286</v>
      </c>
      <c r="B314" t="s">
        <v>2287</v>
      </c>
      <c r="C314" t="s">
        <v>429</v>
      </c>
      <c r="D314" t="s">
        <v>23</v>
      </c>
      <c r="E314">
        <v>10</v>
      </c>
      <c r="F314" t="s">
        <v>2288</v>
      </c>
      <c r="G314" t="s">
        <v>2289</v>
      </c>
      <c r="H314" t="s">
        <v>2290</v>
      </c>
      <c r="I314" t="s">
        <v>2291</v>
      </c>
      <c r="J314" t="s">
        <v>2292</v>
      </c>
      <c r="L314" s="1">
        <v>2</v>
      </c>
      <c r="M314" s="1"/>
      <c r="N314" s="1"/>
      <c r="O314" s="3"/>
    </row>
    <row r="315" spans="1:15" ht="409.6">
      <c r="A315" t="s">
        <v>2293</v>
      </c>
      <c r="B315" t="s">
        <v>2294</v>
      </c>
      <c r="C315" t="s">
        <v>620</v>
      </c>
      <c r="D315" t="s">
        <v>23</v>
      </c>
      <c r="E315">
        <v>20</v>
      </c>
      <c r="F315" t="s">
        <v>2295</v>
      </c>
      <c r="G315" t="s">
        <v>2296</v>
      </c>
      <c r="H315" t="s">
        <v>2297</v>
      </c>
      <c r="I315" s="2" t="s">
        <v>2298</v>
      </c>
      <c r="J315" t="s">
        <v>2299</v>
      </c>
      <c r="L315" s="1">
        <v>2</v>
      </c>
      <c r="M315" s="1"/>
      <c r="N315" s="1"/>
      <c r="O315" s="3"/>
    </row>
    <row r="316" spans="1:15" ht="13.8">
      <c r="A316" t="s">
        <v>2300</v>
      </c>
      <c r="B316" t="s">
        <v>2301</v>
      </c>
      <c r="C316" t="s">
        <v>754</v>
      </c>
      <c r="D316" t="s">
        <v>23</v>
      </c>
      <c r="E316">
        <v>60</v>
      </c>
      <c r="F316" t="s">
        <v>2302</v>
      </c>
      <c r="G316" t="s">
        <v>2303</v>
      </c>
      <c r="H316" t="s">
        <v>2304</v>
      </c>
      <c r="I316" t="s">
        <v>2305</v>
      </c>
      <c r="J316" t="s">
        <v>2306</v>
      </c>
      <c r="L316" s="1">
        <v>2</v>
      </c>
      <c r="M316" s="1"/>
      <c r="N316" s="1"/>
      <c r="O316" s="3"/>
    </row>
    <row r="317" spans="1:15" ht="13.8">
      <c r="A317" t="s">
        <v>2307</v>
      </c>
      <c r="B317" t="s">
        <v>2308</v>
      </c>
      <c r="C317" t="s">
        <v>988</v>
      </c>
      <c r="D317" t="s">
        <v>23</v>
      </c>
      <c r="E317">
        <v>15</v>
      </c>
      <c r="F317" t="s">
        <v>2309</v>
      </c>
      <c r="G317" t="s">
        <v>2310</v>
      </c>
      <c r="H317" t="s">
        <v>2311</v>
      </c>
      <c r="I317" t="s">
        <v>2312</v>
      </c>
      <c r="J317" t="s">
        <v>2313</v>
      </c>
      <c r="L317" s="1">
        <v>2</v>
      </c>
      <c r="M317" s="1"/>
      <c r="N317" s="1"/>
      <c r="O317" s="3"/>
    </row>
    <row r="318" spans="1:15" ht="13.8">
      <c r="A318" t="s">
        <v>2314</v>
      </c>
      <c r="B318" t="s">
        <v>458</v>
      </c>
      <c r="C318" t="s">
        <v>473</v>
      </c>
      <c r="D318" t="s">
        <v>23</v>
      </c>
      <c r="E318">
        <v>20</v>
      </c>
      <c r="F318" t="s">
        <v>2315</v>
      </c>
      <c r="G318" t="s">
        <v>2316</v>
      </c>
      <c r="H318" t="s">
        <v>2317</v>
      </c>
      <c r="I318" t="s">
        <v>2318</v>
      </c>
      <c r="J318" t="s">
        <v>2319</v>
      </c>
      <c r="L318" s="1">
        <v>2</v>
      </c>
      <c r="M318" s="1"/>
      <c r="N318" s="1"/>
      <c r="O318" s="3"/>
    </row>
    <row r="319" spans="1:15" ht="13.8">
      <c r="A319" t="s">
        <v>2320</v>
      </c>
      <c r="B319" t="s">
        <v>2321</v>
      </c>
      <c r="C319" t="s">
        <v>572</v>
      </c>
      <c r="D319" t="s">
        <v>23</v>
      </c>
      <c r="E319">
        <v>25</v>
      </c>
      <c r="F319" t="s">
        <v>2322</v>
      </c>
      <c r="G319" t="s">
        <v>2323</v>
      </c>
      <c r="H319" t="s">
        <v>2324</v>
      </c>
      <c r="I319" t="s">
        <v>2325</v>
      </c>
      <c r="J319" t="s">
        <v>2326</v>
      </c>
      <c r="L319" s="1">
        <v>2</v>
      </c>
      <c r="M319" s="1"/>
      <c r="N319" s="1"/>
      <c r="O319" s="3"/>
    </row>
    <row r="320" spans="1:15" ht="13.8">
      <c r="A320" t="s">
        <v>2327</v>
      </c>
      <c r="B320" t="s">
        <v>2328</v>
      </c>
      <c r="C320" t="s">
        <v>473</v>
      </c>
      <c r="D320" t="s">
        <v>23</v>
      </c>
      <c r="E320">
        <v>30</v>
      </c>
      <c r="F320" t="s">
        <v>2329</v>
      </c>
      <c r="G320" t="s">
        <v>2330</v>
      </c>
      <c r="H320" t="s">
        <v>2331</v>
      </c>
      <c r="I320" t="s">
        <v>2332</v>
      </c>
      <c r="J320" t="s">
        <v>2333</v>
      </c>
      <c r="L320" s="1">
        <v>2</v>
      </c>
      <c r="M320" s="1"/>
      <c r="N320" s="1"/>
      <c r="O320" s="3"/>
    </row>
    <row r="321" spans="1:15" ht="13.8">
      <c r="A321" t="s">
        <v>2334</v>
      </c>
      <c r="B321" t="s">
        <v>2335</v>
      </c>
      <c r="C321" t="s">
        <v>972</v>
      </c>
      <c r="D321" t="s">
        <v>23</v>
      </c>
      <c r="E321">
        <v>10</v>
      </c>
      <c r="F321" t="s">
        <v>2336</v>
      </c>
      <c r="G321" t="s">
        <v>2337</v>
      </c>
      <c r="H321" t="s">
        <v>2338</v>
      </c>
      <c r="I321" t="s">
        <v>2339</v>
      </c>
      <c r="J321" t="s">
        <v>2340</v>
      </c>
      <c r="L321" s="1">
        <v>2</v>
      </c>
      <c r="M321" s="1"/>
      <c r="N321" s="1"/>
      <c r="O321" s="3"/>
    </row>
    <row r="322" spans="1:15" ht="13.8">
      <c r="A322" t="s">
        <v>2341</v>
      </c>
      <c r="B322" t="s">
        <v>2342</v>
      </c>
      <c r="C322" t="s">
        <v>972</v>
      </c>
      <c r="D322" t="s">
        <v>14</v>
      </c>
      <c r="E322">
        <v>60</v>
      </c>
      <c r="F322" t="s">
        <v>2343</v>
      </c>
      <c r="G322" t="s">
        <v>2344</v>
      </c>
      <c r="H322" t="s">
        <v>2345</v>
      </c>
      <c r="I322" t="s">
        <v>2346</v>
      </c>
      <c r="J322" t="s">
        <v>2347</v>
      </c>
      <c r="L322" s="1">
        <v>2</v>
      </c>
      <c r="M322" s="1"/>
      <c r="N322" s="1"/>
      <c r="O322" s="3"/>
    </row>
    <row r="323" spans="1:15" ht="13.8">
      <c r="A323" t="s">
        <v>2348</v>
      </c>
      <c r="B323" t="s">
        <v>2349</v>
      </c>
      <c r="C323" t="s">
        <v>972</v>
      </c>
      <c r="D323" t="s">
        <v>23</v>
      </c>
      <c r="E323">
        <v>60</v>
      </c>
      <c r="F323" t="s">
        <v>2350</v>
      </c>
      <c r="G323" t="s">
        <v>2351</v>
      </c>
      <c r="H323" t="s">
        <v>2352</v>
      </c>
      <c r="I323" t="s">
        <v>2353</v>
      </c>
      <c r="J323" t="s">
        <v>2354</v>
      </c>
      <c r="L323" s="1">
        <v>2</v>
      </c>
      <c r="M323" s="1"/>
      <c r="N323" s="1"/>
      <c r="O323" s="3"/>
    </row>
    <row r="324" spans="1:15" ht="13.8">
      <c r="A324" t="s">
        <v>2355</v>
      </c>
      <c r="B324" t="s">
        <v>2356</v>
      </c>
      <c r="C324" t="s">
        <v>988</v>
      </c>
      <c r="D324" t="s">
        <v>14</v>
      </c>
      <c r="E324">
        <v>140</v>
      </c>
      <c r="F324" t="s">
        <v>2357</v>
      </c>
      <c r="G324" t="s">
        <v>2358</v>
      </c>
      <c r="H324" t="s">
        <v>2359</v>
      </c>
      <c r="I324" t="s">
        <v>2360</v>
      </c>
      <c r="J324" t="s">
        <v>2361</v>
      </c>
      <c r="L324" s="1">
        <v>2</v>
      </c>
      <c r="M324" s="1"/>
      <c r="N324" s="1"/>
      <c r="O324" s="3"/>
    </row>
    <row r="325" spans="1:15" ht="13.8">
      <c r="A325" t="s">
        <v>2362</v>
      </c>
      <c r="B325" t="s">
        <v>2363</v>
      </c>
      <c r="C325" t="s">
        <v>429</v>
      </c>
      <c r="D325" t="s">
        <v>23</v>
      </c>
      <c r="E325">
        <v>15</v>
      </c>
      <c r="F325" t="s">
        <v>2364</v>
      </c>
      <c r="G325" t="s">
        <v>2365</v>
      </c>
      <c r="H325" t="s">
        <v>2366</v>
      </c>
      <c r="I325" t="s">
        <v>2367</v>
      </c>
      <c r="J325" t="s">
        <v>2368</v>
      </c>
      <c r="L325" s="1">
        <v>2</v>
      </c>
      <c r="M325" s="1"/>
      <c r="N325" s="1"/>
      <c r="O325" s="3"/>
    </row>
    <row r="326" spans="1:15" ht="13.8">
      <c r="A326" t="s">
        <v>2369</v>
      </c>
      <c r="B326" t="s">
        <v>2370</v>
      </c>
      <c r="C326" t="s">
        <v>572</v>
      </c>
      <c r="D326" t="s">
        <v>14</v>
      </c>
      <c r="E326">
        <v>80</v>
      </c>
      <c r="F326" t="s">
        <v>2371</v>
      </c>
      <c r="G326" t="s">
        <v>2372</v>
      </c>
      <c r="H326" t="s">
        <v>2373</v>
      </c>
      <c r="I326" t="s">
        <v>2374</v>
      </c>
      <c r="J326" t="s">
        <v>2375</v>
      </c>
      <c r="L326" s="1">
        <v>2</v>
      </c>
      <c r="M326" s="1"/>
      <c r="N326" s="1"/>
      <c r="O326" s="3"/>
    </row>
    <row r="327" spans="1:15" ht="13.8">
      <c r="A327" t="s">
        <v>2376</v>
      </c>
      <c r="B327" t="s">
        <v>2377</v>
      </c>
      <c r="C327" t="s">
        <v>644</v>
      </c>
      <c r="D327" t="s">
        <v>23</v>
      </c>
      <c r="E327">
        <v>20</v>
      </c>
      <c r="F327" t="s">
        <v>2378</v>
      </c>
      <c r="G327" t="s">
        <v>2379</v>
      </c>
      <c r="H327" t="s">
        <v>2380</v>
      </c>
      <c r="I327" t="s">
        <v>2381</v>
      </c>
      <c r="J327" t="s">
        <v>2382</v>
      </c>
      <c r="L327" s="1">
        <v>2</v>
      </c>
      <c r="M327" s="1"/>
      <c r="N327" s="1"/>
      <c r="O327" s="3"/>
    </row>
    <row r="328" spans="1:15" ht="13.8">
      <c r="A328" t="s">
        <v>2383</v>
      </c>
      <c r="B328" t="s">
        <v>2384</v>
      </c>
      <c r="C328" t="s">
        <v>754</v>
      </c>
      <c r="D328" t="s">
        <v>14</v>
      </c>
      <c r="E328">
        <v>20</v>
      </c>
      <c r="F328" t="s">
        <v>2385</v>
      </c>
      <c r="G328" t="s">
        <v>2386</v>
      </c>
      <c r="H328" t="s">
        <v>2387</v>
      </c>
      <c r="I328" t="s">
        <v>2388</v>
      </c>
      <c r="J328" t="s">
        <v>2389</v>
      </c>
      <c r="L328" s="1">
        <v>2</v>
      </c>
      <c r="M328" s="1"/>
      <c r="N328" s="1"/>
      <c r="O328" s="3"/>
    </row>
    <row r="329" spans="1:15" ht="13.8">
      <c r="A329" t="s">
        <v>2390</v>
      </c>
      <c r="B329" t="s">
        <v>2391</v>
      </c>
      <c r="C329" t="s">
        <v>1010</v>
      </c>
      <c r="D329" t="s">
        <v>14</v>
      </c>
      <c r="E329">
        <v>30</v>
      </c>
      <c r="F329" t="s">
        <v>2392</v>
      </c>
      <c r="G329" t="s">
        <v>2393</v>
      </c>
      <c r="H329" t="s">
        <v>2394</v>
      </c>
      <c r="I329" t="s">
        <v>2395</v>
      </c>
      <c r="J329" t="s">
        <v>2396</v>
      </c>
      <c r="L329" s="1">
        <v>2</v>
      </c>
      <c r="M329" s="1"/>
      <c r="N329" s="1"/>
      <c r="O329" s="3"/>
    </row>
    <row r="330" spans="1:15" ht="13.8">
      <c r="A330" t="s">
        <v>2397</v>
      </c>
      <c r="B330" t="s">
        <v>2398</v>
      </c>
      <c r="C330" t="s">
        <v>572</v>
      </c>
      <c r="D330" t="s">
        <v>23</v>
      </c>
      <c r="E330">
        <v>20</v>
      </c>
      <c r="F330" t="s">
        <v>2399</v>
      </c>
      <c r="G330" t="s">
        <v>2400</v>
      </c>
      <c r="H330" t="s">
        <v>2401</v>
      </c>
      <c r="I330" t="s">
        <v>2402</v>
      </c>
      <c r="J330" t="s">
        <v>2403</v>
      </c>
      <c r="L330" s="1">
        <v>2</v>
      </c>
      <c r="M330" s="1"/>
      <c r="N330" s="1"/>
      <c r="O330" s="3"/>
    </row>
    <row r="331" spans="1:15" ht="13.8">
      <c r="A331" t="s">
        <v>2404</v>
      </c>
      <c r="B331" t="s">
        <v>2405</v>
      </c>
      <c r="C331" t="s">
        <v>972</v>
      </c>
      <c r="D331" t="s">
        <v>23</v>
      </c>
      <c r="E331">
        <v>2</v>
      </c>
      <c r="F331" t="s">
        <v>2406</v>
      </c>
      <c r="G331" t="s">
        <v>2407</v>
      </c>
      <c r="H331" t="s">
        <v>2408</v>
      </c>
      <c r="I331" t="s">
        <v>2409</v>
      </c>
      <c r="J331" t="s">
        <v>2410</v>
      </c>
      <c r="L331" s="1">
        <v>2</v>
      </c>
      <c r="M331" s="1"/>
      <c r="N331" s="1"/>
      <c r="O331" s="3"/>
    </row>
    <row r="332" spans="1:15" ht="13.8">
      <c r="A332" t="s">
        <v>2411</v>
      </c>
      <c r="B332" t="s">
        <v>2412</v>
      </c>
      <c r="C332" t="s">
        <v>972</v>
      </c>
      <c r="D332" t="s">
        <v>23</v>
      </c>
      <c r="E332">
        <v>10</v>
      </c>
      <c r="F332" t="s">
        <v>2413</v>
      </c>
      <c r="G332" t="s">
        <v>2414</v>
      </c>
      <c r="H332" t="s">
        <v>2415</v>
      </c>
      <c r="I332" t="s">
        <v>2416</v>
      </c>
      <c r="J332" t="s">
        <v>2417</v>
      </c>
      <c r="L332" s="1">
        <v>2</v>
      </c>
      <c r="M332" s="1"/>
      <c r="N332" s="1"/>
      <c r="O332" s="3"/>
    </row>
    <row r="333" spans="1:15" ht="13.8">
      <c r="A333" t="s">
        <v>2418</v>
      </c>
      <c r="B333" t="s">
        <v>2419</v>
      </c>
      <c r="C333" t="s">
        <v>988</v>
      </c>
      <c r="D333" t="s">
        <v>23</v>
      </c>
      <c r="E333">
        <v>10</v>
      </c>
      <c r="F333" t="s">
        <v>2420</v>
      </c>
      <c r="G333" t="s">
        <v>2421</v>
      </c>
      <c r="H333" t="s">
        <v>2422</v>
      </c>
      <c r="I333" t="s">
        <v>2423</v>
      </c>
      <c r="J333" t="s">
        <v>2424</v>
      </c>
      <c r="L333" s="1">
        <v>2</v>
      </c>
      <c r="M333" s="1"/>
      <c r="N333" s="1"/>
      <c r="O333" s="3"/>
    </row>
    <row r="334" spans="1:15" ht="13.8">
      <c r="A334" t="s">
        <v>2425</v>
      </c>
      <c r="B334" t="s">
        <v>2426</v>
      </c>
      <c r="C334" t="s">
        <v>988</v>
      </c>
      <c r="D334" t="s">
        <v>23</v>
      </c>
      <c r="E334">
        <v>10</v>
      </c>
      <c r="F334" t="s">
        <v>2427</v>
      </c>
      <c r="G334" t="s">
        <v>2428</v>
      </c>
      <c r="H334" t="s">
        <v>2429</v>
      </c>
      <c r="I334" t="s">
        <v>2430</v>
      </c>
      <c r="J334" t="s">
        <v>2431</v>
      </c>
      <c r="L334" s="1">
        <v>2</v>
      </c>
      <c r="M334" s="1"/>
      <c r="N334" s="1"/>
      <c r="O334" s="3"/>
    </row>
    <row r="335" spans="1:15" ht="13.8">
      <c r="A335" t="s">
        <v>2432</v>
      </c>
      <c r="B335" t="s">
        <v>2433</v>
      </c>
      <c r="C335" t="s">
        <v>972</v>
      </c>
      <c r="D335" t="s">
        <v>23</v>
      </c>
      <c r="E335">
        <v>10</v>
      </c>
      <c r="F335" t="s">
        <v>2434</v>
      </c>
      <c r="G335" t="s">
        <v>2435</v>
      </c>
      <c r="H335" t="s">
        <v>2436</v>
      </c>
      <c r="I335" t="s">
        <v>2437</v>
      </c>
      <c r="J335" t="s">
        <v>2438</v>
      </c>
      <c r="L335" s="1">
        <v>2</v>
      </c>
      <c r="M335" s="1"/>
      <c r="N335" s="1"/>
      <c r="O335" s="3"/>
    </row>
    <row r="336" spans="1:15" ht="13.8">
      <c r="A336" t="s">
        <v>2439</v>
      </c>
      <c r="B336" t="s">
        <v>2440</v>
      </c>
      <c r="C336" t="s">
        <v>581</v>
      </c>
      <c r="D336" t="s">
        <v>23</v>
      </c>
      <c r="E336">
        <v>10</v>
      </c>
      <c r="F336" t="s">
        <v>2441</v>
      </c>
      <c r="G336" t="s">
        <v>2442</v>
      </c>
      <c r="H336" t="s">
        <v>2443</v>
      </c>
      <c r="I336" t="s">
        <v>2444</v>
      </c>
      <c r="J336" t="s">
        <v>2445</v>
      </c>
      <c r="L336" s="1">
        <v>2</v>
      </c>
      <c r="M336" s="1"/>
      <c r="N336" s="1"/>
      <c r="O336" s="3"/>
    </row>
    <row r="337" spans="1:15" ht="13.8">
      <c r="A337" t="s">
        <v>2446</v>
      </c>
      <c r="B337" t="s">
        <v>2447</v>
      </c>
      <c r="C337" t="s">
        <v>97</v>
      </c>
      <c r="D337" t="s">
        <v>23</v>
      </c>
      <c r="E337">
        <v>30</v>
      </c>
      <c r="F337" t="s">
        <v>2448</v>
      </c>
      <c r="G337" t="s">
        <v>2449</v>
      </c>
      <c r="H337" t="s">
        <v>2450</v>
      </c>
      <c r="I337" t="s">
        <v>2451</v>
      </c>
      <c r="J337" t="s">
        <v>2452</v>
      </c>
      <c r="L337" s="1">
        <v>2</v>
      </c>
      <c r="M337" s="1"/>
      <c r="N337" s="1"/>
      <c r="O337" s="3"/>
    </row>
    <row r="338" spans="1:15" ht="13.8">
      <c r="A338" t="s">
        <v>2453</v>
      </c>
      <c r="B338" t="s">
        <v>2454</v>
      </c>
      <c r="C338" t="s">
        <v>581</v>
      </c>
      <c r="D338" t="s">
        <v>23</v>
      </c>
      <c r="E338">
        <v>30</v>
      </c>
      <c r="F338" t="s">
        <v>2455</v>
      </c>
      <c r="G338" t="s">
        <v>2456</v>
      </c>
      <c r="H338" t="s">
        <v>2457</v>
      </c>
      <c r="I338" t="s">
        <v>2458</v>
      </c>
      <c r="J338" t="s">
        <v>2459</v>
      </c>
      <c r="L338" s="1">
        <v>2</v>
      </c>
      <c r="M338" s="1"/>
      <c r="N338" s="1"/>
      <c r="O338" s="3"/>
    </row>
    <row r="339" spans="1:15" ht="13.8">
      <c r="A339" t="s">
        <v>2460</v>
      </c>
      <c r="B339" t="s">
        <v>2461</v>
      </c>
      <c r="C339" t="s">
        <v>754</v>
      </c>
      <c r="D339" t="s">
        <v>23</v>
      </c>
      <c r="E339">
        <v>20</v>
      </c>
      <c r="F339" t="s">
        <v>2462</v>
      </c>
      <c r="G339" t="s">
        <v>2463</v>
      </c>
      <c r="H339" t="s">
        <v>2464</v>
      </c>
      <c r="I339" t="s">
        <v>2465</v>
      </c>
      <c r="J339" t="s">
        <v>2466</v>
      </c>
      <c r="L339" s="1">
        <v>2</v>
      </c>
      <c r="M339" s="1"/>
      <c r="N339" s="1"/>
      <c r="O339" s="3"/>
    </row>
    <row r="340" spans="1:15" ht="13.8">
      <c r="A340" t="s">
        <v>2467</v>
      </c>
      <c r="B340" t="s">
        <v>2468</v>
      </c>
      <c r="C340" t="s">
        <v>892</v>
      </c>
      <c r="D340" t="s">
        <v>14</v>
      </c>
      <c r="E340">
        <v>10</v>
      </c>
      <c r="F340" t="s">
        <v>2469</v>
      </c>
      <c r="G340" t="s">
        <v>2470</v>
      </c>
      <c r="H340" t="s">
        <v>2471</v>
      </c>
      <c r="I340" t="s">
        <v>2472</v>
      </c>
      <c r="J340" t="s">
        <v>2473</v>
      </c>
      <c r="L340" s="1">
        <v>2</v>
      </c>
      <c r="M340" s="1"/>
      <c r="N340" s="1"/>
      <c r="O340" s="3"/>
    </row>
    <row r="341" spans="1:15" ht="13.8">
      <c r="A341" t="s">
        <v>2474</v>
      </c>
      <c r="B341" t="s">
        <v>2475</v>
      </c>
      <c r="C341" t="s">
        <v>972</v>
      </c>
      <c r="D341" t="s">
        <v>23</v>
      </c>
      <c r="E341">
        <v>30</v>
      </c>
      <c r="F341" t="s">
        <v>2476</v>
      </c>
      <c r="G341" t="s">
        <v>2477</v>
      </c>
      <c r="H341" t="s">
        <v>2478</v>
      </c>
      <c r="I341" t="s">
        <v>2479</v>
      </c>
      <c r="J341" t="s">
        <v>2480</v>
      </c>
      <c r="K341" t="s">
        <v>2481</v>
      </c>
      <c r="L341" s="1">
        <v>2</v>
      </c>
      <c r="M341" s="1"/>
      <c r="N341" s="1"/>
      <c r="O341" s="3"/>
    </row>
    <row r="342" spans="1:15" ht="13.8">
      <c r="A342" t="s">
        <v>2482</v>
      </c>
      <c r="B342" t="s">
        <v>2483</v>
      </c>
      <c r="C342" t="s">
        <v>451</v>
      </c>
      <c r="D342" t="s">
        <v>23</v>
      </c>
      <c r="E342">
        <v>10</v>
      </c>
      <c r="F342" t="s">
        <v>2484</v>
      </c>
      <c r="G342" t="s">
        <v>2485</v>
      </c>
      <c r="H342" t="s">
        <v>2486</v>
      </c>
      <c r="I342" t="s">
        <v>2487</v>
      </c>
      <c r="J342" t="s">
        <v>2488</v>
      </c>
      <c r="L342" s="1">
        <v>2</v>
      </c>
      <c r="M342" s="1"/>
      <c r="N342" s="1"/>
      <c r="O342" s="3"/>
    </row>
    <row r="343" spans="1:15" ht="13.8">
      <c r="A343" t="s">
        <v>2489</v>
      </c>
      <c r="B343" t="s">
        <v>2490</v>
      </c>
      <c r="C343" t="s">
        <v>581</v>
      </c>
      <c r="D343" t="s">
        <v>23</v>
      </c>
      <c r="E343">
        <v>10</v>
      </c>
      <c r="F343" t="s">
        <v>2491</v>
      </c>
      <c r="G343" t="s">
        <v>2492</v>
      </c>
      <c r="H343" t="s">
        <v>2493</v>
      </c>
      <c r="I343" t="s">
        <v>2494</v>
      </c>
      <c r="J343" t="s">
        <v>2495</v>
      </c>
      <c r="L343" s="1">
        <v>2</v>
      </c>
      <c r="M343" s="1"/>
      <c r="N343" s="1"/>
      <c r="O343" s="3"/>
    </row>
    <row r="344" spans="1:15" ht="13.8">
      <c r="A344" t="s">
        <v>2496</v>
      </c>
      <c r="B344" t="s">
        <v>2497</v>
      </c>
      <c r="C344" t="s">
        <v>429</v>
      </c>
      <c r="D344" t="s">
        <v>23</v>
      </c>
      <c r="E344">
        <v>10</v>
      </c>
      <c r="F344" t="s">
        <v>2498</v>
      </c>
      <c r="G344" t="s">
        <v>2499</v>
      </c>
      <c r="H344" t="s">
        <v>2500</v>
      </c>
      <c r="I344" t="s">
        <v>2501</v>
      </c>
      <c r="J344" t="s">
        <v>2502</v>
      </c>
      <c r="L344" s="1">
        <v>2</v>
      </c>
      <c r="M344" s="1"/>
      <c r="N344" s="1"/>
      <c r="O344" s="3"/>
    </row>
    <row r="345" spans="1:15" ht="13.8">
      <c r="A345" t="s">
        <v>2503</v>
      </c>
      <c r="B345" t="s">
        <v>2504</v>
      </c>
      <c r="C345" t="s">
        <v>988</v>
      </c>
      <c r="D345" t="s">
        <v>23</v>
      </c>
      <c r="E345">
        <v>40</v>
      </c>
      <c r="F345" t="s">
        <v>2505</v>
      </c>
      <c r="G345" t="s">
        <v>2506</v>
      </c>
      <c r="H345" t="s">
        <v>2507</v>
      </c>
      <c r="I345" t="s">
        <v>2508</v>
      </c>
      <c r="J345" t="s">
        <v>2509</v>
      </c>
      <c r="L345" s="1">
        <v>2</v>
      </c>
      <c r="M345" s="1"/>
      <c r="N345" s="1"/>
      <c r="O345" s="3"/>
    </row>
    <row r="346" spans="1:15" ht="13.8">
      <c r="A346" t="s">
        <v>2510</v>
      </c>
      <c r="B346" t="s">
        <v>2511</v>
      </c>
      <c r="C346" t="s">
        <v>451</v>
      </c>
      <c r="D346" t="s">
        <v>23</v>
      </c>
      <c r="E346">
        <v>10</v>
      </c>
      <c r="F346" t="s">
        <v>2512</v>
      </c>
      <c r="G346" t="s">
        <v>2513</v>
      </c>
      <c r="H346" t="s">
        <v>2514</v>
      </c>
      <c r="I346" t="s">
        <v>2515</v>
      </c>
      <c r="J346" t="s">
        <v>2516</v>
      </c>
      <c r="L346" s="1">
        <v>2</v>
      </c>
      <c r="M346" s="1"/>
      <c r="N346" s="1"/>
      <c r="O346" s="3"/>
    </row>
    <row r="347" spans="1:15" ht="13.8">
      <c r="A347" t="s">
        <v>2517</v>
      </c>
      <c r="B347" t="s">
        <v>2518</v>
      </c>
      <c r="C347" t="s">
        <v>754</v>
      </c>
      <c r="D347" t="s">
        <v>23</v>
      </c>
      <c r="E347">
        <v>10</v>
      </c>
      <c r="F347" t="s">
        <v>2519</v>
      </c>
      <c r="G347" t="s">
        <v>2520</v>
      </c>
      <c r="H347" t="s">
        <v>2521</v>
      </c>
      <c r="I347" t="s">
        <v>2522</v>
      </c>
      <c r="J347" t="s">
        <v>2523</v>
      </c>
      <c r="L347" s="1">
        <v>2</v>
      </c>
      <c r="M347" s="1"/>
      <c r="N347" s="1"/>
      <c r="O347" s="3"/>
    </row>
    <row r="348" spans="1:15" ht="13.8">
      <c r="A348" t="s">
        <v>2524</v>
      </c>
      <c r="B348" t="s">
        <v>2525</v>
      </c>
      <c r="C348" t="s">
        <v>972</v>
      </c>
      <c r="D348" t="s">
        <v>23</v>
      </c>
      <c r="E348">
        <v>10</v>
      </c>
      <c r="F348" t="s">
        <v>2526</v>
      </c>
      <c r="G348" t="s">
        <v>2527</v>
      </c>
      <c r="H348" t="s">
        <v>2528</v>
      </c>
      <c r="I348" t="s">
        <v>2529</v>
      </c>
      <c r="J348" t="s">
        <v>2530</v>
      </c>
      <c r="K348" t="s">
        <v>2531</v>
      </c>
      <c r="L348" s="1">
        <v>2</v>
      </c>
      <c r="M348" s="1"/>
      <c r="N348" s="1"/>
      <c r="O348" s="3"/>
    </row>
    <row r="349" spans="1:15" ht="13.8">
      <c r="A349" t="s">
        <v>2532</v>
      </c>
      <c r="B349" t="s">
        <v>2533</v>
      </c>
      <c r="C349" t="s">
        <v>644</v>
      </c>
      <c r="D349" t="s">
        <v>23</v>
      </c>
      <c r="E349">
        <v>15</v>
      </c>
      <c r="F349" t="s">
        <v>2534</v>
      </c>
      <c r="G349" t="s">
        <v>2535</v>
      </c>
      <c r="H349" t="s">
        <v>2536</v>
      </c>
      <c r="I349" t="s">
        <v>2537</v>
      </c>
      <c r="J349" t="s">
        <v>2538</v>
      </c>
      <c r="L349" s="1">
        <v>2</v>
      </c>
      <c r="M349" s="1"/>
      <c r="N349" s="1"/>
      <c r="O349" s="3"/>
    </row>
    <row r="350" spans="1:15" ht="13.8">
      <c r="A350" t="s">
        <v>2539</v>
      </c>
      <c r="B350" t="s">
        <v>2540</v>
      </c>
      <c r="C350" t="s">
        <v>429</v>
      </c>
      <c r="D350" t="s">
        <v>23</v>
      </c>
      <c r="E350">
        <v>10</v>
      </c>
      <c r="F350" t="s">
        <v>2541</v>
      </c>
      <c r="G350" t="s">
        <v>2542</v>
      </c>
      <c r="H350" t="s">
        <v>2543</v>
      </c>
      <c r="I350" t="s">
        <v>2544</v>
      </c>
      <c r="J350" t="s">
        <v>2545</v>
      </c>
      <c r="L350" s="1">
        <v>2</v>
      </c>
      <c r="M350" s="1"/>
      <c r="N350" s="1"/>
      <c r="O350" s="3"/>
    </row>
    <row r="351" spans="1:15" ht="13.8">
      <c r="A351" t="s">
        <v>2546</v>
      </c>
      <c r="B351" t="s">
        <v>2547</v>
      </c>
      <c r="C351" t="s">
        <v>972</v>
      </c>
      <c r="D351" t="s">
        <v>23</v>
      </c>
      <c r="E351">
        <v>40</v>
      </c>
      <c r="F351" t="s">
        <v>2548</v>
      </c>
      <c r="G351" t="s">
        <v>2549</v>
      </c>
      <c r="H351" t="s">
        <v>2550</v>
      </c>
      <c r="I351" t="s">
        <v>2551</v>
      </c>
      <c r="J351" t="s">
        <v>2552</v>
      </c>
      <c r="L351" s="1">
        <v>2</v>
      </c>
      <c r="M351" s="1"/>
      <c r="N351" s="1"/>
      <c r="O351" s="3"/>
    </row>
    <row r="352" spans="1:15" ht="13.8">
      <c r="A352" t="s">
        <v>2553</v>
      </c>
      <c r="B352" t="s">
        <v>2554</v>
      </c>
      <c r="C352" t="s">
        <v>572</v>
      </c>
      <c r="D352" t="s">
        <v>23</v>
      </c>
      <c r="E352">
        <v>10</v>
      </c>
      <c r="F352" t="s">
        <v>2555</v>
      </c>
      <c r="G352" t="s">
        <v>2556</v>
      </c>
      <c r="H352" t="s">
        <v>2557</v>
      </c>
      <c r="I352" t="s">
        <v>2558</v>
      </c>
      <c r="J352" t="s">
        <v>2559</v>
      </c>
      <c r="L352" s="1">
        <v>2</v>
      </c>
      <c r="M352" s="1"/>
      <c r="N352" s="1"/>
      <c r="O352" s="3"/>
    </row>
    <row r="353" spans="1:15" ht="13.8">
      <c r="A353" t="s">
        <v>2560</v>
      </c>
      <c r="B353" t="s">
        <v>2561</v>
      </c>
      <c r="C353" t="s">
        <v>13</v>
      </c>
      <c r="D353" t="s">
        <v>23</v>
      </c>
      <c r="E353">
        <v>25</v>
      </c>
      <c r="F353" t="s">
        <v>2562</v>
      </c>
      <c r="G353" t="s">
        <v>2563</v>
      </c>
      <c r="H353" t="s">
        <v>2564</v>
      </c>
      <c r="I353" t="s">
        <v>2565</v>
      </c>
      <c r="J353" t="s">
        <v>2566</v>
      </c>
      <c r="L353" s="1">
        <v>2</v>
      </c>
      <c r="M353" s="1"/>
      <c r="N353" s="1"/>
      <c r="O353" s="3"/>
    </row>
    <row r="354" spans="1:15" ht="13.8">
      <c r="A354" t="s">
        <v>2567</v>
      </c>
      <c r="B354" t="s">
        <v>2568</v>
      </c>
      <c r="C354" t="s">
        <v>451</v>
      </c>
      <c r="D354" t="s">
        <v>14</v>
      </c>
      <c r="E354">
        <v>20</v>
      </c>
      <c r="F354" t="s">
        <v>2569</v>
      </c>
      <c r="G354" t="s">
        <v>2570</v>
      </c>
      <c r="H354" t="s">
        <v>2571</v>
      </c>
      <c r="I354" t="s">
        <v>2572</v>
      </c>
      <c r="J354" t="s">
        <v>2573</v>
      </c>
      <c r="L354" s="1">
        <v>2</v>
      </c>
      <c r="M354" s="1"/>
      <c r="N354" s="1"/>
      <c r="O354" s="3"/>
    </row>
    <row r="355" spans="1:15" ht="13.8">
      <c r="A355" t="s">
        <v>2574</v>
      </c>
      <c r="B355" t="s">
        <v>2575</v>
      </c>
      <c r="C355" t="s">
        <v>972</v>
      </c>
      <c r="D355" t="s">
        <v>23</v>
      </c>
      <c r="E355">
        <v>15</v>
      </c>
      <c r="F355" t="s">
        <v>2576</v>
      </c>
      <c r="G355" t="s">
        <v>2577</v>
      </c>
      <c r="H355" t="s">
        <v>2578</v>
      </c>
      <c r="I355" t="s">
        <v>2579</v>
      </c>
      <c r="J355" t="s">
        <v>2580</v>
      </c>
      <c r="K355" t="s">
        <v>2581</v>
      </c>
      <c r="L355" s="1">
        <v>2</v>
      </c>
      <c r="M355" s="1"/>
      <c r="N355" s="1"/>
      <c r="O355" s="3"/>
    </row>
    <row r="356" spans="1:15" ht="13.8">
      <c r="A356" t="s">
        <v>2582</v>
      </c>
      <c r="B356" t="s">
        <v>2583</v>
      </c>
      <c r="C356" t="s">
        <v>429</v>
      </c>
      <c r="D356" t="s">
        <v>23</v>
      </c>
      <c r="E356">
        <v>15</v>
      </c>
      <c r="F356" t="s">
        <v>2584</v>
      </c>
      <c r="G356" t="s">
        <v>2585</v>
      </c>
      <c r="H356" t="s">
        <v>2586</v>
      </c>
      <c r="I356" t="s">
        <v>2587</v>
      </c>
      <c r="J356" t="s">
        <v>2588</v>
      </c>
      <c r="L356" s="1">
        <v>2</v>
      </c>
      <c r="M356" s="1"/>
      <c r="N356" s="1"/>
      <c r="O356" s="3"/>
    </row>
    <row r="357" spans="1:15" ht="13.8">
      <c r="A357" t="s">
        <v>2589</v>
      </c>
      <c r="B357" t="s">
        <v>2590</v>
      </c>
      <c r="C357" t="s">
        <v>97</v>
      </c>
      <c r="D357" t="s">
        <v>23</v>
      </c>
      <c r="E357">
        <v>15</v>
      </c>
      <c r="F357" t="s">
        <v>2591</v>
      </c>
      <c r="G357" t="s">
        <v>2592</v>
      </c>
      <c r="H357" t="s">
        <v>2593</v>
      </c>
      <c r="I357" t="s">
        <v>2594</v>
      </c>
      <c r="J357" t="s">
        <v>2595</v>
      </c>
      <c r="L357" s="1">
        <v>2</v>
      </c>
      <c r="M357" s="1"/>
      <c r="N357" s="1"/>
      <c r="O357" s="3"/>
    </row>
    <row r="358" spans="1:15" ht="13.8">
      <c r="A358" t="s">
        <v>2596</v>
      </c>
      <c r="B358" t="s">
        <v>2597</v>
      </c>
      <c r="C358" t="s">
        <v>429</v>
      </c>
      <c r="D358" t="s">
        <v>23</v>
      </c>
      <c r="E358">
        <v>10</v>
      </c>
      <c r="F358" t="s">
        <v>2598</v>
      </c>
      <c r="G358" t="s">
        <v>2599</v>
      </c>
      <c r="H358" t="s">
        <v>2600</v>
      </c>
      <c r="I358" t="s">
        <v>2601</v>
      </c>
      <c r="J358" t="s">
        <v>2602</v>
      </c>
      <c r="L358" s="1">
        <v>2</v>
      </c>
      <c r="M358" s="1"/>
      <c r="N358" s="1"/>
      <c r="O358" s="3"/>
    </row>
    <row r="359" spans="1:15" ht="13.8">
      <c r="A359" t="s">
        <v>2603</v>
      </c>
      <c r="B359" t="s">
        <v>2604</v>
      </c>
      <c r="C359" t="s">
        <v>22</v>
      </c>
      <c r="D359" t="s">
        <v>23</v>
      </c>
      <c r="E359">
        <v>30</v>
      </c>
      <c r="F359" t="s">
        <v>2605</v>
      </c>
      <c r="G359" t="s">
        <v>2606</v>
      </c>
      <c r="H359" t="s">
        <v>2607</v>
      </c>
      <c r="I359" t="s">
        <v>2608</v>
      </c>
      <c r="J359" t="s">
        <v>2609</v>
      </c>
      <c r="L359" s="1">
        <v>2</v>
      </c>
      <c r="M359" s="1"/>
      <c r="N359" s="1"/>
      <c r="O359" s="3"/>
    </row>
    <row r="360" spans="1:15" ht="13.8">
      <c r="A360" t="s">
        <v>2610</v>
      </c>
      <c r="B360" t="s">
        <v>2611</v>
      </c>
      <c r="C360" t="s">
        <v>2612</v>
      </c>
      <c r="D360" t="s">
        <v>23</v>
      </c>
      <c r="E360">
        <v>10</v>
      </c>
      <c r="F360" t="s">
        <v>2613</v>
      </c>
      <c r="G360" t="s">
        <v>2614</v>
      </c>
      <c r="H360" t="s">
        <v>2615</v>
      </c>
      <c r="I360" t="s">
        <v>2616</v>
      </c>
      <c r="J360" t="s">
        <v>2617</v>
      </c>
      <c r="L360" s="1">
        <v>2</v>
      </c>
      <c r="M360" s="1"/>
      <c r="N360" s="1"/>
      <c r="O360" s="3"/>
    </row>
    <row r="361" spans="1:15" ht="13.8">
      <c r="A361" t="s">
        <v>2618</v>
      </c>
      <c r="B361" t="s">
        <v>2619</v>
      </c>
      <c r="C361" t="s">
        <v>52</v>
      </c>
      <c r="D361" t="s">
        <v>23</v>
      </c>
      <c r="E361">
        <v>20</v>
      </c>
      <c r="F361" t="s">
        <v>2620</v>
      </c>
      <c r="G361" t="s">
        <v>2621</v>
      </c>
      <c r="H361" t="s">
        <v>2622</v>
      </c>
      <c r="I361" t="s">
        <v>2623</v>
      </c>
      <c r="J361" t="s">
        <v>2624</v>
      </c>
      <c r="K361" t="s">
        <v>2625</v>
      </c>
      <c r="L361" s="1">
        <v>2</v>
      </c>
      <c r="M361" s="1"/>
      <c r="N361" s="1"/>
      <c r="O361" s="3"/>
    </row>
    <row r="362" spans="1:15" ht="13.8">
      <c r="A362" t="s">
        <v>2626</v>
      </c>
      <c r="B362" t="s">
        <v>2627</v>
      </c>
      <c r="C362" t="s">
        <v>2628</v>
      </c>
      <c r="D362" t="s">
        <v>23</v>
      </c>
      <c r="E362">
        <v>5</v>
      </c>
      <c r="F362" t="s">
        <v>2629</v>
      </c>
      <c r="G362" t="s">
        <v>2630</v>
      </c>
      <c r="H362" t="s">
        <v>2631</v>
      </c>
      <c r="I362" t="s">
        <v>2632</v>
      </c>
      <c r="J362" t="s">
        <v>2633</v>
      </c>
      <c r="L362" s="1">
        <v>2</v>
      </c>
      <c r="M362" s="1"/>
      <c r="N362" s="1"/>
      <c r="O362" s="3"/>
    </row>
    <row r="363" spans="1:15" ht="13.8">
      <c r="A363" t="s">
        <v>2634</v>
      </c>
      <c r="B363" t="s">
        <v>2635</v>
      </c>
      <c r="C363" t="s">
        <v>972</v>
      </c>
      <c r="D363" t="s">
        <v>14</v>
      </c>
      <c r="E363">
        <v>30</v>
      </c>
      <c r="F363" t="s">
        <v>2636</v>
      </c>
      <c r="G363" t="s">
        <v>2637</v>
      </c>
      <c r="H363" t="s">
        <v>2638</v>
      </c>
      <c r="I363" t="s">
        <v>2639</v>
      </c>
      <c r="J363" t="s">
        <v>2640</v>
      </c>
      <c r="L363" s="1">
        <v>2</v>
      </c>
      <c r="M363" s="1"/>
      <c r="N363" s="1"/>
      <c r="O363" s="3"/>
    </row>
    <row r="364" spans="1:15" ht="13.8">
      <c r="A364" t="s">
        <v>2641</v>
      </c>
      <c r="B364" t="s">
        <v>2642</v>
      </c>
      <c r="C364" t="s">
        <v>972</v>
      </c>
      <c r="D364" t="s">
        <v>23</v>
      </c>
      <c r="E364">
        <v>30</v>
      </c>
      <c r="F364" t="s">
        <v>2643</v>
      </c>
      <c r="G364" t="s">
        <v>2644</v>
      </c>
      <c r="H364" t="s">
        <v>2645</v>
      </c>
      <c r="I364" t="s">
        <v>2646</v>
      </c>
      <c r="J364" t="s">
        <v>2647</v>
      </c>
      <c r="L364" s="1">
        <v>2</v>
      </c>
      <c r="M364" s="1"/>
      <c r="N364" s="1"/>
      <c r="O364" s="3"/>
    </row>
    <row r="365" spans="1:15" ht="13.8">
      <c r="A365" t="s">
        <v>2648</v>
      </c>
      <c r="B365" t="s">
        <v>2649</v>
      </c>
      <c r="C365" t="s">
        <v>972</v>
      </c>
      <c r="D365" t="s">
        <v>23</v>
      </c>
      <c r="E365">
        <v>80</v>
      </c>
      <c r="F365" t="s">
        <v>2650</v>
      </c>
      <c r="G365" t="s">
        <v>2651</v>
      </c>
      <c r="H365" t="s">
        <v>2652</v>
      </c>
      <c r="I365" t="s">
        <v>2653</v>
      </c>
      <c r="J365" t="s">
        <v>2654</v>
      </c>
      <c r="K365" t="s">
        <v>2655</v>
      </c>
      <c r="L365" s="1">
        <v>2</v>
      </c>
      <c r="M365" s="1"/>
      <c r="N365" s="1"/>
      <c r="O365" s="3"/>
    </row>
    <row r="366" spans="1:15" ht="13.8">
      <c r="A366" t="s">
        <v>2656</v>
      </c>
      <c r="B366" t="s">
        <v>2657</v>
      </c>
      <c r="C366" t="s">
        <v>972</v>
      </c>
      <c r="D366" t="s">
        <v>23</v>
      </c>
      <c r="E366">
        <v>10</v>
      </c>
      <c r="F366" t="s">
        <v>2658</v>
      </c>
      <c r="G366" t="s">
        <v>2659</v>
      </c>
      <c r="H366" t="s">
        <v>2660</v>
      </c>
      <c r="I366" t="s">
        <v>2661</v>
      </c>
      <c r="J366" t="s">
        <v>2662</v>
      </c>
      <c r="L366" s="1">
        <v>2</v>
      </c>
      <c r="M366" s="1"/>
      <c r="N366" s="1"/>
      <c r="O366" s="3"/>
    </row>
    <row r="367" spans="1:15" ht="13.8">
      <c r="A367" t="s">
        <v>2663</v>
      </c>
      <c r="B367" t="s">
        <v>2664</v>
      </c>
      <c r="C367" t="s">
        <v>74</v>
      </c>
      <c r="D367" t="s">
        <v>14</v>
      </c>
      <c r="E367">
        <v>15</v>
      </c>
      <c r="F367" t="s">
        <v>2665</v>
      </c>
      <c r="G367" t="s">
        <v>2666</v>
      </c>
      <c r="H367" t="s">
        <v>2667</v>
      </c>
      <c r="I367" t="s">
        <v>2668</v>
      </c>
      <c r="J367" t="s">
        <v>2669</v>
      </c>
      <c r="L367" s="1">
        <v>2</v>
      </c>
      <c r="M367" s="1"/>
      <c r="N367" s="1"/>
      <c r="O367" s="3"/>
    </row>
    <row r="368" spans="1:15" ht="13.8">
      <c r="A368" t="s">
        <v>2670</v>
      </c>
      <c r="B368" t="s">
        <v>2671</v>
      </c>
      <c r="C368" t="s">
        <v>52</v>
      </c>
      <c r="D368" t="s">
        <v>23</v>
      </c>
      <c r="E368">
        <v>5</v>
      </c>
      <c r="F368" t="s">
        <v>2672</v>
      </c>
      <c r="G368" t="s">
        <v>2673</v>
      </c>
      <c r="H368" t="s">
        <v>2674</v>
      </c>
      <c r="I368" t="s">
        <v>2675</v>
      </c>
      <c r="J368" t="s">
        <v>2676</v>
      </c>
      <c r="L368" s="1">
        <v>2</v>
      </c>
      <c r="M368" s="1"/>
      <c r="N368" s="1"/>
      <c r="O368" s="3"/>
    </row>
    <row r="369" spans="1:15" ht="13.8">
      <c r="A369" t="s">
        <v>2677</v>
      </c>
      <c r="B369" t="s">
        <v>2678</v>
      </c>
      <c r="C369" t="s">
        <v>581</v>
      </c>
      <c r="D369" t="s">
        <v>23</v>
      </c>
      <c r="E369">
        <v>25</v>
      </c>
      <c r="F369" t="s">
        <v>2679</v>
      </c>
      <c r="G369" t="s">
        <v>2680</v>
      </c>
      <c r="H369" t="s">
        <v>2681</v>
      </c>
      <c r="I369" t="s">
        <v>2682</v>
      </c>
      <c r="J369" t="s">
        <v>2683</v>
      </c>
      <c r="L369" s="1">
        <v>2</v>
      </c>
      <c r="M369" s="1"/>
      <c r="N369" s="1"/>
      <c r="O369" s="3"/>
    </row>
    <row r="370" spans="1:15" ht="13.8">
      <c r="A370" t="s">
        <v>815</v>
      </c>
      <c r="B370" t="s">
        <v>2684</v>
      </c>
      <c r="C370" t="s">
        <v>815</v>
      </c>
      <c r="D370" t="s">
        <v>14</v>
      </c>
      <c r="E370">
        <v>30</v>
      </c>
      <c r="F370" t="s">
        <v>2685</v>
      </c>
      <c r="G370" t="s">
        <v>2686</v>
      </c>
      <c r="H370" t="s">
        <v>2687</v>
      </c>
      <c r="I370" t="s">
        <v>2688</v>
      </c>
      <c r="J370" t="s">
        <v>2689</v>
      </c>
      <c r="K370" t="s">
        <v>2690</v>
      </c>
      <c r="L370" s="1">
        <v>2</v>
      </c>
      <c r="M370" s="1"/>
      <c r="N370" s="1"/>
      <c r="O370" s="3"/>
    </row>
    <row r="371" spans="1:15" ht="13.8">
      <c r="A371" t="s">
        <v>2691</v>
      </c>
      <c r="B371" t="s">
        <v>2692</v>
      </c>
      <c r="C371" t="s">
        <v>473</v>
      </c>
      <c r="D371" t="s">
        <v>23</v>
      </c>
      <c r="E371">
        <v>30</v>
      </c>
      <c r="F371" t="s">
        <v>2693</v>
      </c>
      <c r="G371" t="s">
        <v>2694</v>
      </c>
      <c r="H371" t="s">
        <v>2695</v>
      </c>
      <c r="I371" t="s">
        <v>2696</v>
      </c>
      <c r="J371" t="s">
        <v>2697</v>
      </c>
      <c r="L371" s="1">
        <v>2</v>
      </c>
      <c r="M371" s="1"/>
      <c r="N371" s="1"/>
      <c r="O371" s="3"/>
    </row>
    <row r="372" spans="1:15" ht="13.8">
      <c r="A372" t="s">
        <v>2698</v>
      </c>
      <c r="B372" t="s">
        <v>2699</v>
      </c>
      <c r="C372" t="s">
        <v>644</v>
      </c>
      <c r="D372" t="s">
        <v>23</v>
      </c>
      <c r="E372">
        <v>30</v>
      </c>
      <c r="F372" t="s">
        <v>2700</v>
      </c>
      <c r="G372" t="s">
        <v>2701</v>
      </c>
      <c r="H372" t="s">
        <v>2702</v>
      </c>
      <c r="I372" t="s">
        <v>2703</v>
      </c>
      <c r="J372" t="s">
        <v>2704</v>
      </c>
      <c r="K372" t="s">
        <v>2705</v>
      </c>
      <c r="L372" s="1">
        <v>2</v>
      </c>
      <c r="M372" s="1"/>
      <c r="N372" s="1"/>
      <c r="O372" s="3"/>
    </row>
    <row r="373" spans="1:15" ht="13.8">
      <c r="A373" t="s">
        <v>2706</v>
      </c>
      <c r="B373" t="s">
        <v>1238</v>
      </c>
      <c r="C373" t="s">
        <v>754</v>
      </c>
      <c r="D373" t="s">
        <v>23</v>
      </c>
      <c r="E373">
        <v>30</v>
      </c>
      <c r="F373" t="s">
        <v>2707</v>
      </c>
      <c r="G373" t="s">
        <v>2708</v>
      </c>
      <c r="H373" t="s">
        <v>2709</v>
      </c>
      <c r="I373" t="s">
        <v>2710</v>
      </c>
      <c r="J373" t="s">
        <v>2711</v>
      </c>
      <c r="L373" s="1">
        <v>2</v>
      </c>
      <c r="M373" s="1"/>
      <c r="N373" s="1"/>
      <c r="O373" s="3"/>
    </row>
    <row r="374" spans="1:15" ht="13.8">
      <c r="A374" t="s">
        <v>2712</v>
      </c>
      <c r="B374" t="s">
        <v>2713</v>
      </c>
      <c r="C374" t="s">
        <v>972</v>
      </c>
      <c r="D374" t="s">
        <v>23</v>
      </c>
      <c r="E374">
        <v>20</v>
      </c>
      <c r="F374" t="s">
        <v>2714</v>
      </c>
      <c r="G374" t="s">
        <v>2715</v>
      </c>
      <c r="H374" t="s">
        <v>2716</v>
      </c>
      <c r="I374" t="s">
        <v>2717</v>
      </c>
      <c r="J374" t="s">
        <v>2718</v>
      </c>
      <c r="L374" s="1">
        <v>2</v>
      </c>
      <c r="M374" s="1"/>
      <c r="N374" s="1"/>
      <c r="O374" s="3"/>
    </row>
    <row r="375" spans="1:15" ht="13.8">
      <c r="A375" t="s">
        <v>2719</v>
      </c>
      <c r="B375" t="s">
        <v>2720</v>
      </c>
      <c r="C375" t="s">
        <v>754</v>
      </c>
      <c r="D375" t="s">
        <v>23</v>
      </c>
      <c r="E375">
        <v>25</v>
      </c>
      <c r="F375" t="s">
        <v>2721</v>
      </c>
      <c r="G375" t="s">
        <v>2722</v>
      </c>
      <c r="H375" t="s">
        <v>2723</v>
      </c>
      <c r="I375" t="s">
        <v>2724</v>
      </c>
      <c r="J375" t="s">
        <v>2725</v>
      </c>
      <c r="L375" s="1">
        <v>2</v>
      </c>
      <c r="M375" s="1"/>
      <c r="N375" s="1"/>
      <c r="O375" s="3"/>
    </row>
    <row r="376" spans="1:15" ht="13.8">
      <c r="A376" t="s">
        <v>2726</v>
      </c>
      <c r="B376" t="s">
        <v>2727</v>
      </c>
      <c r="C376" t="s">
        <v>972</v>
      </c>
      <c r="D376" t="s">
        <v>23</v>
      </c>
      <c r="E376">
        <v>30</v>
      </c>
      <c r="F376" t="s">
        <v>2728</v>
      </c>
      <c r="G376" t="s">
        <v>2729</v>
      </c>
      <c r="H376" t="s">
        <v>2730</v>
      </c>
      <c r="I376" t="s">
        <v>2731</v>
      </c>
      <c r="J376" t="s">
        <v>2732</v>
      </c>
      <c r="L376" s="1">
        <v>2</v>
      </c>
      <c r="M376" s="1"/>
      <c r="N376" s="1"/>
      <c r="O376" s="3"/>
    </row>
    <row r="377" spans="1:15" ht="13.8">
      <c r="A377" t="s">
        <v>2733</v>
      </c>
      <c r="B377" t="s">
        <v>2734</v>
      </c>
      <c r="C377" t="s">
        <v>451</v>
      </c>
      <c r="D377" t="s">
        <v>14</v>
      </c>
      <c r="E377">
        <v>15</v>
      </c>
      <c r="F377" t="s">
        <v>2735</v>
      </c>
      <c r="G377" t="s">
        <v>2736</v>
      </c>
      <c r="H377" t="s">
        <v>2737</v>
      </c>
      <c r="I377" t="s">
        <v>2738</v>
      </c>
      <c r="J377" t="s">
        <v>2739</v>
      </c>
      <c r="K377" t="s">
        <v>2740</v>
      </c>
      <c r="L377" s="1">
        <v>2</v>
      </c>
      <c r="M377" s="1"/>
      <c r="N377" s="1"/>
      <c r="O377" s="3"/>
    </row>
    <row r="378" spans="1:15" ht="13.8">
      <c r="A378" t="s">
        <v>2741</v>
      </c>
      <c r="B378" t="s">
        <v>472</v>
      </c>
      <c r="C378" t="s">
        <v>473</v>
      </c>
      <c r="D378" t="s">
        <v>23</v>
      </c>
      <c r="E378">
        <v>30</v>
      </c>
      <c r="F378" t="s">
        <v>2742</v>
      </c>
      <c r="G378" t="s">
        <v>2743</v>
      </c>
      <c r="H378" t="s">
        <v>2744</v>
      </c>
      <c r="I378" t="s">
        <v>2745</v>
      </c>
      <c r="J378" t="s">
        <v>2746</v>
      </c>
      <c r="L378" s="1">
        <v>2</v>
      </c>
      <c r="M378" s="1"/>
      <c r="N378" s="1"/>
      <c r="O378" s="3"/>
    </row>
    <row r="379" spans="1:15" ht="13.8">
      <c r="A379" t="s">
        <v>2747</v>
      </c>
      <c r="B379" t="s">
        <v>2748</v>
      </c>
      <c r="C379" t="s">
        <v>620</v>
      </c>
      <c r="D379" t="s">
        <v>23</v>
      </c>
      <c r="E379">
        <v>5</v>
      </c>
      <c r="F379" t="s">
        <v>2749</v>
      </c>
      <c r="G379" t="s">
        <v>2750</v>
      </c>
      <c r="H379" t="s">
        <v>2751</v>
      </c>
      <c r="I379" t="s">
        <v>2752</v>
      </c>
      <c r="J379" t="s">
        <v>2753</v>
      </c>
      <c r="K379" t="s">
        <v>2754</v>
      </c>
      <c r="L379" s="1">
        <v>2</v>
      </c>
      <c r="M379" s="1"/>
      <c r="N379" s="1"/>
      <c r="O379" s="3"/>
    </row>
    <row r="380" spans="1:15" ht="13.8">
      <c r="A380" t="s">
        <v>2755</v>
      </c>
      <c r="B380" t="s">
        <v>2756</v>
      </c>
      <c r="C380" t="s">
        <v>892</v>
      </c>
      <c r="D380" t="s">
        <v>14</v>
      </c>
      <c r="E380">
        <v>80</v>
      </c>
      <c r="F380" t="s">
        <v>2757</v>
      </c>
      <c r="G380" t="s">
        <v>2758</v>
      </c>
      <c r="H380" t="s">
        <v>2759</v>
      </c>
      <c r="I380" t="s">
        <v>2760</v>
      </c>
      <c r="J380" t="s">
        <v>2761</v>
      </c>
      <c r="K380" t="s">
        <v>2762</v>
      </c>
      <c r="L380" s="1">
        <v>2</v>
      </c>
      <c r="M380" s="1"/>
      <c r="N380" s="1"/>
      <c r="O380" s="3"/>
    </row>
    <row r="381" spans="1:15" ht="13.8">
      <c r="A381" t="s">
        <v>2763</v>
      </c>
      <c r="B381" t="s">
        <v>2764</v>
      </c>
      <c r="C381" t="s">
        <v>572</v>
      </c>
      <c r="D381" t="s">
        <v>23</v>
      </c>
      <c r="E381">
        <v>20</v>
      </c>
      <c r="F381" t="s">
        <v>2765</v>
      </c>
      <c r="G381" t="s">
        <v>2766</v>
      </c>
      <c r="H381" t="s">
        <v>2767</v>
      </c>
      <c r="I381" t="s">
        <v>2768</v>
      </c>
      <c r="J381" t="s">
        <v>2769</v>
      </c>
      <c r="L381" s="1">
        <v>2</v>
      </c>
      <c r="M381" s="1"/>
      <c r="N381" s="1"/>
      <c r="O381" s="3"/>
    </row>
    <row r="382" spans="1:15" ht="13.8">
      <c r="A382" t="s">
        <v>2770</v>
      </c>
      <c r="B382" t="s">
        <v>2771</v>
      </c>
      <c r="C382" t="s">
        <v>972</v>
      </c>
      <c r="D382" t="s">
        <v>23</v>
      </c>
      <c r="E382">
        <v>20</v>
      </c>
      <c r="F382" t="s">
        <v>2772</v>
      </c>
      <c r="G382" t="s">
        <v>2773</v>
      </c>
      <c r="H382" t="s">
        <v>2774</v>
      </c>
      <c r="I382" t="s">
        <v>2775</v>
      </c>
      <c r="J382" t="s">
        <v>2776</v>
      </c>
      <c r="L382" s="1">
        <v>2</v>
      </c>
      <c r="M382" s="1"/>
      <c r="N382" s="1"/>
      <c r="O382" s="3"/>
    </row>
    <row r="383" spans="1:15" ht="13.8">
      <c r="A383" t="s">
        <v>2777</v>
      </c>
      <c r="B383" t="s">
        <v>2778</v>
      </c>
      <c r="C383" t="s">
        <v>572</v>
      </c>
      <c r="D383" t="s">
        <v>23</v>
      </c>
      <c r="E383">
        <v>25</v>
      </c>
      <c r="F383" t="s">
        <v>2779</v>
      </c>
      <c r="G383" t="s">
        <v>2780</v>
      </c>
      <c r="H383" t="s">
        <v>2781</v>
      </c>
      <c r="I383" t="s">
        <v>2782</v>
      </c>
      <c r="J383" t="s">
        <v>2783</v>
      </c>
      <c r="K383" t="s">
        <v>2784</v>
      </c>
      <c r="L383" s="1">
        <v>2</v>
      </c>
      <c r="M383" s="1"/>
      <c r="N383" s="1"/>
      <c r="O383" s="3"/>
    </row>
    <row r="384" spans="1:15" ht="13.8">
      <c r="A384" t="s">
        <v>2785</v>
      </c>
      <c r="B384" t="s">
        <v>2786</v>
      </c>
      <c r="C384" t="s">
        <v>730</v>
      </c>
      <c r="D384" t="s">
        <v>23</v>
      </c>
      <c r="E384">
        <v>20</v>
      </c>
      <c r="F384" t="s">
        <v>2787</v>
      </c>
      <c r="G384" t="s">
        <v>2788</v>
      </c>
      <c r="H384" t="s">
        <v>2789</v>
      </c>
      <c r="I384" t="s">
        <v>2790</v>
      </c>
      <c r="J384" t="s">
        <v>2791</v>
      </c>
      <c r="L384" s="1">
        <v>2</v>
      </c>
      <c r="M384" s="1"/>
      <c r="N384" s="1"/>
      <c r="O384" s="3"/>
    </row>
    <row r="385" spans="1:15" ht="13.8">
      <c r="A385" t="s">
        <v>2792</v>
      </c>
      <c r="B385" t="s">
        <v>2793</v>
      </c>
      <c r="C385" t="s">
        <v>473</v>
      </c>
      <c r="D385" t="s">
        <v>23</v>
      </c>
      <c r="E385">
        <v>30</v>
      </c>
      <c r="F385" t="s">
        <v>2794</v>
      </c>
      <c r="G385" t="s">
        <v>2795</v>
      </c>
      <c r="H385" t="s">
        <v>2796</v>
      </c>
      <c r="I385" t="s">
        <v>2797</v>
      </c>
      <c r="J385" t="s">
        <v>2798</v>
      </c>
      <c r="L385" s="1">
        <v>2</v>
      </c>
      <c r="M385" s="1"/>
      <c r="N385" s="1"/>
      <c r="O385" s="3"/>
    </row>
    <row r="386" spans="1:15" ht="13.8">
      <c r="A386" t="s">
        <v>2799</v>
      </c>
      <c r="B386" t="s">
        <v>2800</v>
      </c>
      <c r="C386" t="s">
        <v>429</v>
      </c>
      <c r="D386" t="s">
        <v>23</v>
      </c>
      <c r="E386">
        <v>40</v>
      </c>
      <c r="F386" t="s">
        <v>2801</v>
      </c>
      <c r="G386" t="s">
        <v>2802</v>
      </c>
      <c r="H386" t="s">
        <v>2803</v>
      </c>
      <c r="I386" t="s">
        <v>2804</v>
      </c>
      <c r="J386" t="s">
        <v>2805</v>
      </c>
      <c r="L386" s="1">
        <v>2</v>
      </c>
      <c r="M386" s="1"/>
      <c r="N386" s="1"/>
      <c r="O386" s="3"/>
    </row>
    <row r="387" spans="1:15" ht="13.8">
      <c r="A387" t="s">
        <v>2806</v>
      </c>
      <c r="B387" t="s">
        <v>2807</v>
      </c>
      <c r="C387" t="s">
        <v>572</v>
      </c>
      <c r="D387" t="s">
        <v>23</v>
      </c>
      <c r="E387">
        <v>20</v>
      </c>
      <c r="F387" t="s">
        <v>2808</v>
      </c>
      <c r="G387" t="s">
        <v>2809</v>
      </c>
      <c r="H387" t="s">
        <v>2810</v>
      </c>
      <c r="I387" t="s">
        <v>2811</v>
      </c>
      <c r="J387" t="s">
        <v>2812</v>
      </c>
      <c r="L387" s="1">
        <v>2</v>
      </c>
      <c r="M387" s="1"/>
      <c r="N387" s="1"/>
      <c r="O387" s="3"/>
    </row>
    <row r="388" spans="1:15" ht="13.8">
      <c r="A388" t="s">
        <v>2813</v>
      </c>
      <c r="B388" t="s">
        <v>2814</v>
      </c>
      <c r="C388" t="s">
        <v>996</v>
      </c>
      <c r="D388" t="s">
        <v>23</v>
      </c>
      <c r="E388">
        <v>20</v>
      </c>
      <c r="F388" t="s">
        <v>2815</v>
      </c>
      <c r="G388" t="s">
        <v>2816</v>
      </c>
      <c r="H388" t="s">
        <v>2817</v>
      </c>
      <c r="I388" t="s">
        <v>2818</v>
      </c>
      <c r="J388" t="s">
        <v>2819</v>
      </c>
      <c r="K388" t="s">
        <v>2820</v>
      </c>
      <c r="L388" s="1">
        <v>2</v>
      </c>
      <c r="M388" s="1"/>
      <c r="N388" s="1"/>
      <c r="O388" s="3"/>
    </row>
    <row r="389" spans="1:15" ht="13.8">
      <c r="A389" t="s">
        <v>2821</v>
      </c>
      <c r="B389" t="s">
        <v>2822</v>
      </c>
      <c r="C389" t="s">
        <v>612</v>
      </c>
      <c r="D389" t="s">
        <v>23</v>
      </c>
      <c r="E389">
        <v>15</v>
      </c>
      <c r="F389" t="s">
        <v>2823</v>
      </c>
      <c r="G389" t="s">
        <v>2824</v>
      </c>
      <c r="H389" t="s">
        <v>2825</v>
      </c>
      <c r="I389" t="s">
        <v>2826</v>
      </c>
      <c r="J389" t="s">
        <v>2827</v>
      </c>
      <c r="L389" s="1">
        <v>2</v>
      </c>
      <c r="M389" s="1"/>
      <c r="N389" s="1"/>
      <c r="O389" s="3"/>
    </row>
    <row r="390" spans="1:15" ht="13.8">
      <c r="A390" t="s">
        <v>2828</v>
      </c>
      <c r="B390" t="s">
        <v>2829</v>
      </c>
      <c r="C390" t="s">
        <v>581</v>
      </c>
      <c r="D390" t="s">
        <v>23</v>
      </c>
      <c r="E390">
        <v>15</v>
      </c>
      <c r="F390" t="s">
        <v>2830</v>
      </c>
      <c r="G390" t="s">
        <v>2831</v>
      </c>
      <c r="H390" t="s">
        <v>2832</v>
      </c>
      <c r="I390" t="s">
        <v>2833</v>
      </c>
      <c r="J390" t="s">
        <v>2834</v>
      </c>
      <c r="L390" s="1">
        <v>2</v>
      </c>
      <c r="M390" s="1"/>
      <c r="N390" s="1"/>
      <c r="O390" s="3"/>
    </row>
    <row r="391" spans="1:15" ht="13.8">
      <c r="A391" t="s">
        <v>2835</v>
      </c>
      <c r="B391" t="s">
        <v>2836</v>
      </c>
      <c r="C391" t="s">
        <v>706</v>
      </c>
      <c r="D391" t="s">
        <v>14</v>
      </c>
      <c r="E391">
        <v>25</v>
      </c>
      <c r="F391" t="s">
        <v>2837</v>
      </c>
      <c r="G391" t="s">
        <v>2838</v>
      </c>
      <c r="H391" t="s">
        <v>2839</v>
      </c>
      <c r="I391" t="s">
        <v>2840</v>
      </c>
      <c r="J391" t="s">
        <v>2841</v>
      </c>
      <c r="L391" s="1">
        <v>2</v>
      </c>
      <c r="M391" s="1"/>
      <c r="N391" s="1"/>
      <c r="O391" s="3"/>
    </row>
    <row r="392" spans="1:15" ht="13.8">
      <c r="A392" t="s">
        <v>2842</v>
      </c>
      <c r="B392" t="s">
        <v>2843</v>
      </c>
      <c r="C392" t="s">
        <v>97</v>
      </c>
      <c r="D392" t="s">
        <v>23</v>
      </c>
      <c r="E392">
        <v>30</v>
      </c>
      <c r="F392" t="s">
        <v>2844</v>
      </c>
      <c r="G392" t="s">
        <v>2845</v>
      </c>
      <c r="H392" t="s">
        <v>2846</v>
      </c>
      <c r="I392" t="s">
        <v>2847</v>
      </c>
      <c r="J392" t="s">
        <v>2848</v>
      </c>
      <c r="L392" s="1">
        <v>2</v>
      </c>
      <c r="M392" s="1"/>
      <c r="N392" s="1"/>
      <c r="O392" s="3"/>
    </row>
    <row r="393" spans="1:15" ht="13.8">
      <c r="A393" t="s">
        <v>2849</v>
      </c>
      <c r="B393" t="s">
        <v>2850</v>
      </c>
      <c r="C393" t="s">
        <v>972</v>
      </c>
      <c r="D393" t="s">
        <v>23</v>
      </c>
      <c r="E393">
        <v>30</v>
      </c>
      <c r="F393" t="s">
        <v>2851</v>
      </c>
      <c r="G393" t="s">
        <v>2852</v>
      </c>
      <c r="H393" t="s">
        <v>2853</v>
      </c>
      <c r="I393" t="s">
        <v>2854</v>
      </c>
      <c r="J393" t="s">
        <v>2855</v>
      </c>
      <c r="L393" s="1">
        <v>2</v>
      </c>
      <c r="M393" s="1"/>
      <c r="N393" s="1"/>
      <c r="O393" s="3"/>
    </row>
    <row r="394" spans="1:15" ht="13.8">
      <c r="A394" t="s">
        <v>2856</v>
      </c>
      <c r="B394" t="s">
        <v>2857</v>
      </c>
      <c r="C394" t="s">
        <v>473</v>
      </c>
      <c r="D394" t="s">
        <v>23</v>
      </c>
      <c r="E394">
        <v>10</v>
      </c>
      <c r="F394" t="s">
        <v>2858</v>
      </c>
      <c r="G394" t="s">
        <v>2859</v>
      </c>
      <c r="H394" t="s">
        <v>2860</v>
      </c>
      <c r="I394" t="s">
        <v>2861</v>
      </c>
      <c r="J394" t="s">
        <v>2862</v>
      </c>
      <c r="L394" s="1">
        <v>2</v>
      </c>
      <c r="M394" s="1"/>
      <c r="N394" s="1"/>
      <c r="O394" s="3"/>
    </row>
    <row r="395" spans="1:15" ht="13.8">
      <c r="A395" t="s">
        <v>2863</v>
      </c>
      <c r="B395" t="s">
        <v>2864</v>
      </c>
      <c r="C395" t="s">
        <v>754</v>
      </c>
      <c r="D395" t="s">
        <v>14</v>
      </c>
      <c r="E395">
        <v>2</v>
      </c>
      <c r="F395" t="s">
        <v>2865</v>
      </c>
      <c r="G395" t="s">
        <v>2866</v>
      </c>
      <c r="H395" t="s">
        <v>2867</v>
      </c>
      <c r="I395" t="s">
        <v>2868</v>
      </c>
      <c r="J395" t="s">
        <v>2869</v>
      </c>
      <c r="L395" s="1">
        <v>2</v>
      </c>
      <c r="M395" s="1"/>
      <c r="N395" s="1"/>
      <c r="O395" s="3"/>
    </row>
    <row r="396" spans="1:15" ht="13.8">
      <c r="A396" t="s">
        <v>2870</v>
      </c>
      <c r="B396" t="s">
        <v>2871</v>
      </c>
      <c r="C396" t="s">
        <v>996</v>
      </c>
      <c r="D396" t="s">
        <v>23</v>
      </c>
      <c r="E396">
        <v>25</v>
      </c>
      <c r="F396" t="s">
        <v>2872</v>
      </c>
      <c r="G396" t="s">
        <v>2873</v>
      </c>
      <c r="H396" t="s">
        <v>2874</v>
      </c>
      <c r="I396" t="s">
        <v>2875</v>
      </c>
      <c r="J396" t="s">
        <v>2876</v>
      </c>
      <c r="L396" s="1">
        <v>2</v>
      </c>
      <c r="M396" s="1"/>
      <c r="N396" s="1"/>
      <c r="O396" s="3"/>
    </row>
    <row r="397" spans="1:15" ht="13.8">
      <c r="A397" t="s">
        <v>2877</v>
      </c>
      <c r="B397" t="s">
        <v>2878</v>
      </c>
      <c r="C397" t="s">
        <v>652</v>
      </c>
      <c r="D397" t="s">
        <v>14</v>
      </c>
      <c r="E397">
        <v>30</v>
      </c>
      <c r="F397" t="s">
        <v>2879</v>
      </c>
      <c r="G397" t="s">
        <v>2880</v>
      </c>
      <c r="H397" t="s">
        <v>2881</v>
      </c>
      <c r="I397" t="s">
        <v>2882</v>
      </c>
      <c r="J397" t="s">
        <v>2883</v>
      </c>
      <c r="K397" t="s">
        <v>2884</v>
      </c>
      <c r="L397" s="1">
        <v>2</v>
      </c>
      <c r="M397" s="1"/>
      <c r="N397" s="1"/>
      <c r="O397" s="3"/>
    </row>
    <row r="398" spans="1:15" ht="13.8">
      <c r="A398" t="s">
        <v>2885</v>
      </c>
      <c r="B398" t="s">
        <v>2886</v>
      </c>
      <c r="C398" t="s">
        <v>2628</v>
      </c>
      <c r="D398" t="s">
        <v>23</v>
      </c>
      <c r="E398">
        <v>15</v>
      </c>
      <c r="F398" t="s">
        <v>2887</v>
      </c>
      <c r="G398" t="s">
        <v>2888</v>
      </c>
      <c r="H398" t="s">
        <v>2889</v>
      </c>
      <c r="I398" t="s">
        <v>2890</v>
      </c>
      <c r="J398" t="s">
        <v>2891</v>
      </c>
      <c r="L398" s="1">
        <v>2</v>
      </c>
      <c r="M398" s="1"/>
      <c r="N398" s="1"/>
      <c r="O398" s="3"/>
    </row>
    <row r="399" spans="1:15" ht="13.8">
      <c r="A399" t="s">
        <v>2892</v>
      </c>
      <c r="B399" t="s">
        <v>2893</v>
      </c>
      <c r="C399" t="s">
        <v>815</v>
      </c>
      <c r="D399" t="s">
        <v>14</v>
      </c>
      <c r="E399">
        <v>25</v>
      </c>
      <c r="F399" t="s">
        <v>2894</v>
      </c>
      <c r="G399" t="s">
        <v>2895</v>
      </c>
      <c r="H399" t="s">
        <v>2896</v>
      </c>
      <c r="I399" t="s">
        <v>2897</v>
      </c>
      <c r="J399" t="s">
        <v>2898</v>
      </c>
      <c r="L399" s="1">
        <v>2</v>
      </c>
      <c r="M399" s="1"/>
      <c r="N399" s="1"/>
      <c r="O399" s="3"/>
    </row>
    <row r="400" spans="1:15" ht="13.8">
      <c r="A400" t="s">
        <v>2899</v>
      </c>
      <c r="B400" t="s">
        <v>2900</v>
      </c>
      <c r="C400" t="s">
        <v>97</v>
      </c>
      <c r="D400" t="s">
        <v>23</v>
      </c>
      <c r="E400">
        <v>25</v>
      </c>
      <c r="F400" t="s">
        <v>2901</v>
      </c>
      <c r="G400" t="s">
        <v>2902</v>
      </c>
      <c r="H400" t="s">
        <v>2903</v>
      </c>
      <c r="I400" t="s">
        <v>2904</v>
      </c>
      <c r="J400" t="s">
        <v>2905</v>
      </c>
      <c r="L400" s="1">
        <v>2</v>
      </c>
      <c r="M400" s="1"/>
      <c r="N400" s="1"/>
      <c r="O400" s="3"/>
    </row>
    <row r="401" spans="1:15" ht="13.8">
      <c r="A401" t="s">
        <v>2906</v>
      </c>
      <c r="B401" t="s">
        <v>2907</v>
      </c>
      <c r="C401" t="s">
        <v>74</v>
      </c>
      <c r="D401" t="s">
        <v>14</v>
      </c>
      <c r="E401">
        <v>10</v>
      </c>
      <c r="F401" t="s">
        <v>2908</v>
      </c>
      <c r="G401" t="s">
        <v>2909</v>
      </c>
      <c r="H401" t="s">
        <v>2910</v>
      </c>
      <c r="I401" t="s">
        <v>2911</v>
      </c>
      <c r="J401" t="s">
        <v>2912</v>
      </c>
      <c r="K401" t="s">
        <v>2913</v>
      </c>
      <c r="L401" s="1">
        <v>2</v>
      </c>
      <c r="M401" s="1"/>
      <c r="N401" s="1"/>
      <c r="O401" s="3"/>
    </row>
    <row r="402" spans="1:15" ht="13.8">
      <c r="A402" t="s">
        <v>2914</v>
      </c>
      <c r="B402" t="s">
        <v>2915</v>
      </c>
      <c r="C402" t="s">
        <v>815</v>
      </c>
      <c r="D402" t="s">
        <v>14</v>
      </c>
      <c r="E402">
        <v>25</v>
      </c>
      <c r="F402" t="s">
        <v>2916</v>
      </c>
      <c r="G402" t="s">
        <v>2917</v>
      </c>
      <c r="H402" t="s">
        <v>2918</v>
      </c>
      <c r="I402" t="s">
        <v>2919</v>
      </c>
      <c r="J402" t="s">
        <v>2920</v>
      </c>
      <c r="K402" t="s">
        <v>2921</v>
      </c>
      <c r="L402" s="1">
        <v>2</v>
      </c>
      <c r="M402" s="1"/>
      <c r="N402" s="1"/>
      <c r="O402" s="3"/>
    </row>
    <row r="403" spans="1:15" ht="13.8">
      <c r="A403" t="s">
        <v>2922</v>
      </c>
      <c r="B403" t="s">
        <v>2923</v>
      </c>
      <c r="C403" t="s">
        <v>473</v>
      </c>
      <c r="D403" t="s">
        <v>23</v>
      </c>
      <c r="E403">
        <v>25</v>
      </c>
      <c r="F403" t="s">
        <v>2924</v>
      </c>
      <c r="G403" t="s">
        <v>2925</v>
      </c>
      <c r="H403" t="s">
        <v>2926</v>
      </c>
      <c r="I403" t="s">
        <v>2927</v>
      </c>
      <c r="J403" t="s">
        <v>2928</v>
      </c>
      <c r="K403" t="s">
        <v>2929</v>
      </c>
      <c r="L403" s="1">
        <v>2</v>
      </c>
      <c r="M403" s="1"/>
      <c r="N403" s="1"/>
      <c r="O403" s="3"/>
    </row>
    <row r="404" spans="1:15" ht="13.8">
      <c r="A404" t="s">
        <v>2930</v>
      </c>
      <c r="B404" t="s">
        <v>2931</v>
      </c>
      <c r="C404" t="s">
        <v>473</v>
      </c>
      <c r="D404" t="s">
        <v>23</v>
      </c>
      <c r="E404">
        <v>30</v>
      </c>
      <c r="F404" t="s">
        <v>2932</v>
      </c>
      <c r="G404" t="s">
        <v>2933</v>
      </c>
      <c r="H404" t="s">
        <v>2934</v>
      </c>
      <c r="I404" t="s">
        <v>2935</v>
      </c>
      <c r="J404" t="s">
        <v>2936</v>
      </c>
      <c r="L404" s="1">
        <v>2</v>
      </c>
      <c r="M404" s="1"/>
      <c r="N404" s="1"/>
      <c r="O404" s="3"/>
    </row>
    <row r="405" spans="1:15" ht="13.8">
      <c r="A405" t="s">
        <v>2937</v>
      </c>
      <c r="B405" t="s">
        <v>2938</v>
      </c>
      <c r="C405" t="s">
        <v>754</v>
      </c>
      <c r="D405" t="s">
        <v>14</v>
      </c>
      <c r="E405">
        <v>5</v>
      </c>
      <c r="F405" t="s">
        <v>2939</v>
      </c>
      <c r="G405" t="s">
        <v>2940</v>
      </c>
      <c r="H405" t="s">
        <v>2941</v>
      </c>
      <c r="I405" t="s">
        <v>2942</v>
      </c>
      <c r="J405" t="s">
        <v>2943</v>
      </c>
      <c r="K405" t="s">
        <v>2944</v>
      </c>
      <c r="L405" s="1">
        <v>2</v>
      </c>
      <c r="M405" s="1"/>
      <c r="N405" s="1"/>
      <c r="O405" s="3"/>
    </row>
    <row r="406" spans="1:15" ht="13.8">
      <c r="A406" t="s">
        <v>2945</v>
      </c>
      <c r="B406" t="s">
        <v>2946</v>
      </c>
      <c r="C406" t="s">
        <v>754</v>
      </c>
      <c r="D406" t="s">
        <v>23</v>
      </c>
      <c r="E406">
        <v>30</v>
      </c>
      <c r="F406" t="s">
        <v>2947</v>
      </c>
      <c r="G406" t="s">
        <v>2948</v>
      </c>
      <c r="H406" t="s">
        <v>2949</v>
      </c>
      <c r="I406" t="s">
        <v>2950</v>
      </c>
      <c r="J406" t="s">
        <v>2951</v>
      </c>
      <c r="K406" t="s">
        <v>2952</v>
      </c>
      <c r="L406" s="1">
        <v>2</v>
      </c>
      <c r="M406" s="1"/>
      <c r="N406" s="1"/>
      <c r="O406" s="3"/>
    </row>
    <row r="407" spans="1:15" ht="13.8">
      <c r="A407" t="s">
        <v>2953</v>
      </c>
      <c r="B407" t="s">
        <v>2954</v>
      </c>
      <c r="C407" t="s">
        <v>429</v>
      </c>
      <c r="D407" t="s">
        <v>23</v>
      </c>
      <c r="E407">
        <v>20</v>
      </c>
      <c r="F407" t="s">
        <v>2955</v>
      </c>
      <c r="G407" t="s">
        <v>2956</v>
      </c>
      <c r="H407" t="s">
        <v>2957</v>
      </c>
      <c r="I407" t="s">
        <v>2958</v>
      </c>
      <c r="J407" t="s">
        <v>2959</v>
      </c>
      <c r="L407" s="1">
        <v>2</v>
      </c>
      <c r="M407" s="1"/>
      <c r="N407" s="1"/>
      <c r="O407" s="3"/>
    </row>
    <row r="408" spans="1:15" ht="409.6">
      <c r="A408" t="s">
        <v>2960</v>
      </c>
      <c r="B408" t="s">
        <v>2961</v>
      </c>
      <c r="C408" t="s">
        <v>74</v>
      </c>
      <c r="D408" t="s">
        <v>14</v>
      </c>
      <c r="E408">
        <v>20</v>
      </c>
      <c r="F408" t="s">
        <v>2962</v>
      </c>
      <c r="G408" t="s">
        <v>2963</v>
      </c>
      <c r="H408" s="2" t="s">
        <v>2964</v>
      </c>
      <c r="I408" s="2" t="s">
        <v>2965</v>
      </c>
      <c r="J408" t="s">
        <v>2966</v>
      </c>
      <c r="K408" t="s">
        <v>2967</v>
      </c>
      <c r="L408" s="1">
        <v>2</v>
      </c>
      <c r="M408" s="1"/>
      <c r="N408" s="1"/>
      <c r="O408" s="3"/>
    </row>
    <row r="409" spans="1:15" ht="409.6">
      <c r="A409" t="s">
        <v>2968</v>
      </c>
      <c r="B409" t="s">
        <v>2969</v>
      </c>
      <c r="C409" t="s">
        <v>996</v>
      </c>
      <c r="D409" t="s">
        <v>23</v>
      </c>
      <c r="E409">
        <v>30</v>
      </c>
      <c r="F409" t="s">
        <v>2970</v>
      </c>
      <c r="G409" t="s">
        <v>2971</v>
      </c>
      <c r="H409" s="2" t="s">
        <v>2972</v>
      </c>
      <c r="I409" s="2" t="s">
        <v>2973</v>
      </c>
      <c r="J409" t="s">
        <v>2974</v>
      </c>
      <c r="L409" s="1">
        <v>2</v>
      </c>
      <c r="M409" s="1"/>
      <c r="N409" s="1"/>
      <c r="O409" s="3"/>
    </row>
    <row r="410" spans="1:15" ht="409.6">
      <c r="A410" t="s">
        <v>2975</v>
      </c>
      <c r="B410" t="s">
        <v>2976</v>
      </c>
      <c r="C410" t="s">
        <v>572</v>
      </c>
      <c r="D410" t="s">
        <v>23</v>
      </c>
      <c r="E410">
        <v>30</v>
      </c>
      <c r="F410" t="s">
        <v>2977</v>
      </c>
      <c r="G410" t="s">
        <v>2978</v>
      </c>
      <c r="H410" s="2" t="s">
        <v>2979</v>
      </c>
      <c r="I410" s="2" t="s">
        <v>2980</v>
      </c>
      <c r="J410" t="s">
        <v>2981</v>
      </c>
      <c r="L410" s="1">
        <v>2</v>
      </c>
      <c r="M410" s="1"/>
      <c r="N410" s="1"/>
      <c r="O410" s="3"/>
    </row>
    <row r="411" spans="1:15" ht="13.8">
      <c r="A411" t="s">
        <v>2982</v>
      </c>
      <c r="B411" t="s">
        <v>2983</v>
      </c>
      <c r="C411" t="s">
        <v>754</v>
      </c>
      <c r="D411" t="s">
        <v>23</v>
      </c>
      <c r="E411">
        <v>30</v>
      </c>
      <c r="F411" t="s">
        <v>2984</v>
      </c>
      <c r="G411" t="s">
        <v>2985</v>
      </c>
      <c r="H411" t="s">
        <v>2986</v>
      </c>
      <c r="I411" t="s">
        <v>2987</v>
      </c>
      <c r="J411" t="s">
        <v>2988</v>
      </c>
      <c r="L411" s="1">
        <v>2</v>
      </c>
      <c r="M411" s="1"/>
      <c r="N411" s="1"/>
      <c r="O411" s="3"/>
    </row>
    <row r="412" spans="1:15" ht="13.8">
      <c r="A412" t="s">
        <v>2989</v>
      </c>
      <c r="B412" t="s">
        <v>2990</v>
      </c>
      <c r="C412" t="s">
        <v>682</v>
      </c>
      <c r="D412" t="s">
        <v>14</v>
      </c>
      <c r="E412">
        <v>10</v>
      </c>
      <c r="F412" t="s">
        <v>2991</v>
      </c>
      <c r="G412" t="s">
        <v>2992</v>
      </c>
      <c r="H412" t="s">
        <v>2993</v>
      </c>
      <c r="I412" t="s">
        <v>2994</v>
      </c>
      <c r="J412" t="s">
        <v>2995</v>
      </c>
      <c r="K412" t="s">
        <v>2996</v>
      </c>
      <c r="L412" s="1">
        <v>2</v>
      </c>
      <c r="M412" s="1"/>
      <c r="N412" s="1"/>
      <c r="O412" s="3"/>
    </row>
    <row r="413" spans="1:15" ht="13.8">
      <c r="A413" t="s">
        <v>2997</v>
      </c>
      <c r="B413" t="s">
        <v>2998</v>
      </c>
      <c r="C413" t="s">
        <v>451</v>
      </c>
      <c r="D413" t="s">
        <v>14</v>
      </c>
      <c r="E413">
        <v>30</v>
      </c>
      <c r="F413" t="s">
        <v>2999</v>
      </c>
      <c r="G413" t="s">
        <v>3000</v>
      </c>
      <c r="H413" t="s">
        <v>3001</v>
      </c>
      <c r="I413" t="s">
        <v>3002</v>
      </c>
      <c r="J413" t="s">
        <v>3003</v>
      </c>
      <c r="K413" t="s">
        <v>3004</v>
      </c>
      <c r="L413" s="1">
        <v>2</v>
      </c>
      <c r="M413" s="1"/>
      <c r="N413" s="1"/>
      <c r="O413" s="3"/>
    </row>
    <row r="414" spans="1:15" ht="13.8">
      <c r="A414" t="s">
        <v>20</v>
      </c>
      <c r="B414" t="s">
        <v>21</v>
      </c>
      <c r="C414" t="s">
        <v>145</v>
      </c>
      <c r="D414" t="s">
        <v>23</v>
      </c>
      <c r="E414">
        <v>45</v>
      </c>
      <c r="F414" t="s">
        <v>3005</v>
      </c>
      <c r="G414" t="s">
        <v>3006</v>
      </c>
      <c r="H414" t="s">
        <v>3007</v>
      </c>
      <c r="I414" t="s">
        <v>3008</v>
      </c>
      <c r="J414" t="s">
        <v>3009</v>
      </c>
      <c r="L414" s="1">
        <v>2</v>
      </c>
      <c r="M414" s="1"/>
      <c r="N414" s="1"/>
      <c r="O414" s="3"/>
    </row>
    <row r="415" spans="1:15" ht="13.8">
      <c r="A415" t="s">
        <v>36</v>
      </c>
      <c r="B415" t="s">
        <v>37</v>
      </c>
      <c r="C415" t="s">
        <v>13</v>
      </c>
      <c r="D415" t="s">
        <v>14</v>
      </c>
      <c r="E415">
        <v>20</v>
      </c>
      <c r="F415" t="s">
        <v>3010</v>
      </c>
      <c r="G415" t="s">
        <v>3011</v>
      </c>
      <c r="H415" t="s">
        <v>3012</v>
      </c>
      <c r="I415" t="s">
        <v>3013</v>
      </c>
      <c r="L415" s="1">
        <v>2</v>
      </c>
      <c r="M415" s="1"/>
      <c r="N415" s="1"/>
      <c r="O415" s="3"/>
    </row>
    <row r="416" spans="1:15" ht="13.8">
      <c r="A416" t="s">
        <v>42</v>
      </c>
      <c r="B416" t="s">
        <v>43</v>
      </c>
      <c r="C416" t="s">
        <v>44</v>
      </c>
      <c r="D416" t="s">
        <v>14</v>
      </c>
      <c r="E416">
        <v>45</v>
      </c>
      <c r="F416" t="s">
        <v>3014</v>
      </c>
      <c r="G416" t="s">
        <v>3015</v>
      </c>
      <c r="H416" t="s">
        <v>3016</v>
      </c>
      <c r="I416" t="s">
        <v>3017</v>
      </c>
      <c r="J416" t="s">
        <v>49</v>
      </c>
      <c r="L416" s="1">
        <v>2</v>
      </c>
      <c r="M416" s="1"/>
      <c r="N416" s="1"/>
      <c r="O416" s="3"/>
    </row>
    <row r="417" spans="1:15" ht="13.8">
      <c r="A417" t="s">
        <v>81</v>
      </c>
      <c r="B417" t="s">
        <v>82</v>
      </c>
      <c r="C417" t="s">
        <v>74</v>
      </c>
      <c r="D417" t="s">
        <v>14</v>
      </c>
      <c r="E417">
        <v>30</v>
      </c>
      <c r="F417" t="s">
        <v>3018</v>
      </c>
      <c r="G417" t="s">
        <v>3019</v>
      </c>
      <c r="H417" t="s">
        <v>3020</v>
      </c>
      <c r="I417" t="s">
        <v>3021</v>
      </c>
      <c r="J417" t="s">
        <v>3022</v>
      </c>
      <c r="L417" s="1">
        <v>2</v>
      </c>
      <c r="M417" s="1"/>
      <c r="N417" s="1"/>
      <c r="O417" s="3"/>
    </row>
    <row r="418" spans="1:15" ht="13.8">
      <c r="A418" t="s">
        <v>58</v>
      </c>
      <c r="B418" t="s">
        <v>59</v>
      </c>
      <c r="C418" t="s">
        <v>44</v>
      </c>
      <c r="D418" t="s">
        <v>14</v>
      </c>
      <c r="E418">
        <v>30</v>
      </c>
      <c r="F418" t="s">
        <v>3023</v>
      </c>
      <c r="G418" t="s">
        <v>3024</v>
      </c>
      <c r="H418" t="s">
        <v>3025</v>
      </c>
      <c r="I418" t="s">
        <v>3026</v>
      </c>
      <c r="J418" t="s">
        <v>64</v>
      </c>
      <c r="L418" s="1">
        <v>2</v>
      </c>
      <c r="M418" s="1"/>
      <c r="N418" s="1"/>
      <c r="O418" s="3"/>
    </row>
    <row r="419" spans="1:15" ht="13.8">
      <c r="A419" t="s">
        <v>65</v>
      </c>
      <c r="B419" t="s">
        <v>66</v>
      </c>
      <c r="C419" t="s">
        <v>67</v>
      </c>
      <c r="D419" t="s">
        <v>14</v>
      </c>
      <c r="E419">
        <v>30</v>
      </c>
      <c r="F419" t="s">
        <v>3027</v>
      </c>
      <c r="G419" t="s">
        <v>3028</v>
      </c>
      <c r="H419" t="s">
        <v>3029</v>
      </c>
      <c r="I419" t="s">
        <v>3030</v>
      </c>
      <c r="L419" s="1">
        <v>2</v>
      </c>
      <c r="M419" s="1"/>
      <c r="N419" s="1"/>
      <c r="O419" s="3"/>
    </row>
    <row r="420" spans="1:15" ht="13.8">
      <c r="A420" t="s">
        <v>81</v>
      </c>
      <c r="B420" t="s">
        <v>82</v>
      </c>
      <c r="C420" t="s">
        <v>74</v>
      </c>
      <c r="D420" t="s">
        <v>14</v>
      </c>
      <c r="E420">
        <v>20</v>
      </c>
      <c r="F420" t="s">
        <v>3018</v>
      </c>
      <c r="G420" t="s">
        <v>3031</v>
      </c>
      <c r="H420" t="s">
        <v>3032</v>
      </c>
      <c r="I420" t="s">
        <v>3033</v>
      </c>
      <c r="J420" t="s">
        <v>87</v>
      </c>
      <c r="L420" s="1">
        <v>2</v>
      </c>
      <c r="M420" s="1"/>
      <c r="N420" s="1"/>
      <c r="O420" s="3"/>
    </row>
    <row r="421" spans="1:15" ht="13.8">
      <c r="A421" t="s">
        <v>88</v>
      </c>
      <c r="B421" t="s">
        <v>89</v>
      </c>
      <c r="C421" t="s">
        <v>74</v>
      </c>
      <c r="D421" t="s">
        <v>14</v>
      </c>
      <c r="E421">
        <v>25</v>
      </c>
      <c r="F421" t="s">
        <v>3034</v>
      </c>
      <c r="G421" t="s">
        <v>3035</v>
      </c>
      <c r="H421" t="s">
        <v>3036</v>
      </c>
      <c r="I421" t="s">
        <v>3037</v>
      </c>
      <c r="J421" t="s">
        <v>94</v>
      </c>
      <c r="L421" s="1">
        <v>2</v>
      </c>
      <c r="M421" s="1"/>
      <c r="N421" s="1"/>
      <c r="O421" s="3"/>
    </row>
    <row r="422" spans="1:15" ht="13.8">
      <c r="A422" t="s">
        <v>95</v>
      </c>
      <c r="B422" t="s">
        <v>96</v>
      </c>
      <c r="C422" t="s">
        <v>97</v>
      </c>
      <c r="D422" t="s">
        <v>14</v>
      </c>
      <c r="E422">
        <v>40</v>
      </c>
      <c r="F422" t="s">
        <v>3038</v>
      </c>
      <c r="G422" t="s">
        <v>3039</v>
      </c>
      <c r="H422" t="s">
        <v>3040</v>
      </c>
      <c r="I422" t="s">
        <v>3041</v>
      </c>
      <c r="J422" t="s">
        <v>102</v>
      </c>
      <c r="L422" s="1">
        <v>2</v>
      </c>
      <c r="M422" s="1"/>
      <c r="N422" s="1"/>
      <c r="O422" s="3"/>
    </row>
    <row r="423" spans="1:15" ht="13.8">
      <c r="A423" t="s">
        <v>110</v>
      </c>
      <c r="B423" t="s">
        <v>111</v>
      </c>
      <c r="C423" t="s">
        <v>13</v>
      </c>
      <c r="D423" t="s">
        <v>14</v>
      </c>
      <c r="E423">
        <v>20</v>
      </c>
      <c r="F423" t="s">
        <v>3042</v>
      </c>
      <c r="G423" t="s">
        <v>3043</v>
      </c>
      <c r="H423" t="s">
        <v>3044</v>
      </c>
      <c r="I423" t="s">
        <v>3045</v>
      </c>
      <c r="J423" t="s">
        <v>116</v>
      </c>
      <c r="L423" s="1">
        <v>2</v>
      </c>
      <c r="M423" s="1"/>
      <c r="N423" s="1"/>
      <c r="O423" s="3"/>
    </row>
    <row r="424" spans="1:15" ht="13.8">
      <c r="A424" t="s">
        <v>117</v>
      </c>
      <c r="B424" t="s">
        <v>118</v>
      </c>
      <c r="C424" t="s">
        <v>13</v>
      </c>
      <c r="D424" t="s">
        <v>14</v>
      </c>
      <c r="E424">
        <v>25</v>
      </c>
      <c r="F424" t="s">
        <v>3046</v>
      </c>
      <c r="G424" t="s">
        <v>3047</v>
      </c>
      <c r="H424" t="s">
        <v>3048</v>
      </c>
      <c r="I424" t="s">
        <v>3049</v>
      </c>
      <c r="J424" t="s">
        <v>123</v>
      </c>
      <c r="L424" s="1">
        <v>2</v>
      </c>
      <c r="M424" s="1"/>
      <c r="N424" s="1"/>
      <c r="O424" s="3"/>
    </row>
    <row r="425" spans="1:15" ht="13.8">
      <c r="A425" t="s">
        <v>124</v>
      </c>
      <c r="B425" t="s">
        <v>125</v>
      </c>
      <c r="C425" t="s">
        <v>13</v>
      </c>
      <c r="D425" t="s">
        <v>14</v>
      </c>
      <c r="E425">
        <v>25</v>
      </c>
      <c r="F425" t="s">
        <v>3050</v>
      </c>
      <c r="G425" t="s">
        <v>3051</v>
      </c>
      <c r="H425" t="s">
        <v>3052</v>
      </c>
      <c r="I425" t="s">
        <v>3053</v>
      </c>
      <c r="J425" t="s">
        <v>123</v>
      </c>
      <c r="L425" s="1">
        <v>2</v>
      </c>
      <c r="M425" s="1"/>
      <c r="N425" s="1"/>
      <c r="O425" s="3"/>
    </row>
    <row r="426" spans="1:15" ht="13.8">
      <c r="A426" t="s">
        <v>130</v>
      </c>
      <c r="B426" t="s">
        <v>131</v>
      </c>
      <c r="C426" t="s">
        <v>13</v>
      </c>
      <c r="D426" t="s">
        <v>14</v>
      </c>
      <c r="E426">
        <v>20</v>
      </c>
      <c r="F426" t="s">
        <v>3054</v>
      </c>
      <c r="G426" t="s">
        <v>3055</v>
      </c>
      <c r="H426" t="s">
        <v>3056</v>
      </c>
      <c r="I426" t="s">
        <v>3057</v>
      </c>
      <c r="L426" s="1">
        <v>2</v>
      </c>
      <c r="M426" s="1"/>
      <c r="N426" s="1"/>
      <c r="O426" s="3"/>
    </row>
    <row r="427" spans="1:15" ht="13.8">
      <c r="A427" t="s">
        <v>3058</v>
      </c>
      <c r="B427" t="s">
        <v>3059</v>
      </c>
      <c r="C427" t="s">
        <v>145</v>
      </c>
      <c r="D427" t="s">
        <v>14</v>
      </c>
      <c r="E427">
        <v>40</v>
      </c>
      <c r="F427" t="s">
        <v>3060</v>
      </c>
      <c r="G427" t="s">
        <v>3061</v>
      </c>
      <c r="H427" t="s">
        <v>140</v>
      </c>
      <c r="I427" t="s">
        <v>141</v>
      </c>
      <c r="J427" t="s">
        <v>142</v>
      </c>
      <c r="L427" s="1">
        <v>2</v>
      </c>
      <c r="M427" s="1"/>
      <c r="N427" s="1"/>
      <c r="O427" s="3"/>
    </row>
    <row r="428" spans="1:15" ht="13.8">
      <c r="A428" t="s">
        <v>3062</v>
      </c>
      <c r="B428" t="s">
        <v>3063</v>
      </c>
      <c r="C428" t="s">
        <v>145</v>
      </c>
      <c r="D428" t="s">
        <v>14</v>
      </c>
      <c r="E428">
        <v>45</v>
      </c>
      <c r="F428" t="s">
        <v>3064</v>
      </c>
      <c r="G428" t="s">
        <v>3065</v>
      </c>
      <c r="H428" t="s">
        <v>3066</v>
      </c>
      <c r="I428" t="s">
        <v>3067</v>
      </c>
      <c r="J428" t="s">
        <v>3068</v>
      </c>
      <c r="L428" s="1">
        <v>2</v>
      </c>
      <c r="M428" s="1"/>
      <c r="N428" s="1"/>
      <c r="O428" s="3"/>
    </row>
    <row r="429" spans="1:15" ht="13.8">
      <c r="A429" t="s">
        <v>3069</v>
      </c>
      <c r="B429" t="s">
        <v>3070</v>
      </c>
      <c r="C429" t="s">
        <v>145</v>
      </c>
      <c r="D429" t="s">
        <v>14</v>
      </c>
      <c r="E429">
        <v>45</v>
      </c>
      <c r="F429" t="s">
        <v>3071</v>
      </c>
      <c r="G429" t="s">
        <v>3072</v>
      </c>
      <c r="H429" t="s">
        <v>3073</v>
      </c>
      <c r="I429" t="s">
        <v>3074</v>
      </c>
      <c r="J429" t="s">
        <v>3075</v>
      </c>
      <c r="L429" s="1">
        <v>2</v>
      </c>
      <c r="M429" s="1"/>
      <c r="N429" s="1"/>
      <c r="O429" s="3"/>
    </row>
    <row r="430" spans="1:15" ht="13.8">
      <c r="A430" t="s">
        <v>3076</v>
      </c>
      <c r="B430" t="s">
        <v>3077</v>
      </c>
      <c r="C430" t="s">
        <v>145</v>
      </c>
      <c r="D430" t="s">
        <v>14</v>
      </c>
      <c r="E430">
        <v>45</v>
      </c>
      <c r="F430" t="s">
        <v>3078</v>
      </c>
      <c r="G430" t="s">
        <v>3079</v>
      </c>
      <c r="H430" t="s">
        <v>3080</v>
      </c>
      <c r="I430" t="s">
        <v>3081</v>
      </c>
      <c r="J430" t="s">
        <v>3082</v>
      </c>
      <c r="L430" s="1">
        <v>2</v>
      </c>
      <c r="M430" s="1"/>
      <c r="N430" s="1"/>
      <c r="O430" s="3"/>
    </row>
    <row r="431" spans="1:15" ht="13.8">
      <c r="A431" t="s">
        <v>143</v>
      </c>
      <c r="B431" t="s">
        <v>144</v>
      </c>
      <c r="C431" t="s">
        <v>145</v>
      </c>
      <c r="D431" t="s">
        <v>14</v>
      </c>
      <c r="E431">
        <v>45</v>
      </c>
      <c r="F431" t="s">
        <v>3083</v>
      </c>
      <c r="G431" t="s">
        <v>3084</v>
      </c>
      <c r="H431" t="s">
        <v>3085</v>
      </c>
      <c r="I431" t="s">
        <v>3086</v>
      </c>
      <c r="J431" t="s">
        <v>150</v>
      </c>
      <c r="L431" s="1">
        <v>2</v>
      </c>
      <c r="M431" s="1"/>
      <c r="N431" s="1"/>
      <c r="O431" s="3"/>
    </row>
    <row r="432" spans="1:15" ht="13.8">
      <c r="A432" t="s">
        <v>3087</v>
      </c>
      <c r="B432" t="s">
        <v>3088</v>
      </c>
      <c r="C432" t="s">
        <v>145</v>
      </c>
      <c r="D432" t="s">
        <v>14</v>
      </c>
      <c r="E432">
        <v>45</v>
      </c>
      <c r="F432" t="s">
        <v>3089</v>
      </c>
      <c r="G432" t="s">
        <v>3090</v>
      </c>
      <c r="H432" t="s">
        <v>3091</v>
      </c>
      <c r="I432" t="s">
        <v>3092</v>
      </c>
      <c r="J432" t="s">
        <v>3093</v>
      </c>
      <c r="L432" s="1">
        <v>2</v>
      </c>
      <c r="M432" s="1"/>
      <c r="N432" s="1"/>
      <c r="O432" s="3"/>
    </row>
    <row r="433" spans="1:15" ht="13.8">
      <c r="A433" t="s">
        <v>151</v>
      </c>
      <c r="B433" t="s">
        <v>152</v>
      </c>
      <c r="C433" t="s">
        <v>145</v>
      </c>
      <c r="D433" t="s">
        <v>14</v>
      </c>
      <c r="E433">
        <v>45</v>
      </c>
      <c r="F433" t="s">
        <v>3094</v>
      </c>
      <c r="G433" t="s">
        <v>3095</v>
      </c>
      <c r="H433" t="s">
        <v>3096</v>
      </c>
      <c r="I433" t="s">
        <v>3097</v>
      </c>
      <c r="J433" t="s">
        <v>157</v>
      </c>
      <c r="L433" s="1">
        <v>2</v>
      </c>
      <c r="M433" s="1"/>
      <c r="N433" s="1"/>
      <c r="O433" s="3"/>
    </row>
    <row r="434" spans="1:15" ht="13.8">
      <c r="A434" t="s">
        <v>3098</v>
      </c>
      <c r="B434" t="s">
        <v>3099</v>
      </c>
      <c r="C434" t="s">
        <v>145</v>
      </c>
      <c r="D434" t="s">
        <v>14</v>
      </c>
      <c r="E434">
        <v>50</v>
      </c>
      <c r="F434" t="s">
        <v>3100</v>
      </c>
      <c r="G434" t="s">
        <v>3101</v>
      </c>
      <c r="H434" t="s">
        <v>3102</v>
      </c>
      <c r="I434" t="s">
        <v>3103</v>
      </c>
      <c r="J434" t="s">
        <v>3104</v>
      </c>
      <c r="L434" s="1">
        <v>2</v>
      </c>
      <c r="M434" s="1"/>
      <c r="N434" s="1"/>
      <c r="O434" s="3"/>
    </row>
    <row r="435" spans="1:15" ht="13.8">
      <c r="A435" t="s">
        <v>158</v>
      </c>
      <c r="B435" t="s">
        <v>159</v>
      </c>
      <c r="C435" t="s">
        <v>160</v>
      </c>
      <c r="D435" t="s">
        <v>14</v>
      </c>
      <c r="E435">
        <v>45</v>
      </c>
      <c r="F435" t="s">
        <v>3105</v>
      </c>
      <c r="G435" t="s">
        <v>3106</v>
      </c>
      <c r="H435" t="s">
        <v>3107</v>
      </c>
      <c r="I435" t="s">
        <v>3108</v>
      </c>
      <c r="J435" t="s">
        <v>165</v>
      </c>
      <c r="L435" s="1">
        <v>2</v>
      </c>
      <c r="M435" s="1"/>
      <c r="N435" s="1"/>
      <c r="O435" s="3"/>
    </row>
    <row r="436" spans="1:15" ht="13.8">
      <c r="A436" t="s">
        <v>166</v>
      </c>
      <c r="B436" t="s">
        <v>167</v>
      </c>
      <c r="C436" t="s">
        <v>160</v>
      </c>
      <c r="D436" t="s">
        <v>14</v>
      </c>
      <c r="E436">
        <v>45</v>
      </c>
      <c r="F436" t="s">
        <v>3109</v>
      </c>
      <c r="G436" t="s">
        <v>3110</v>
      </c>
      <c r="H436" t="s">
        <v>3111</v>
      </c>
      <c r="I436" t="s">
        <v>3112</v>
      </c>
      <c r="J436" t="s">
        <v>172</v>
      </c>
      <c r="L436" s="1">
        <v>2</v>
      </c>
      <c r="M436" s="1"/>
      <c r="N436" s="1"/>
      <c r="O436" s="3"/>
    </row>
    <row r="437" spans="1:15" ht="13.8">
      <c r="A437" t="s">
        <v>173</v>
      </c>
      <c r="B437" t="s">
        <v>174</v>
      </c>
      <c r="C437" t="s">
        <v>160</v>
      </c>
      <c r="D437" t="s">
        <v>14</v>
      </c>
      <c r="E437">
        <v>45</v>
      </c>
      <c r="F437" t="s">
        <v>3113</v>
      </c>
      <c r="G437" t="s">
        <v>3114</v>
      </c>
      <c r="H437" t="s">
        <v>3115</v>
      </c>
      <c r="I437" t="s">
        <v>3116</v>
      </c>
      <c r="J437" t="s">
        <v>179</v>
      </c>
      <c r="L437" s="1">
        <v>2</v>
      </c>
      <c r="M437" s="1"/>
      <c r="N437" s="1"/>
      <c r="O437" s="3"/>
    </row>
    <row r="438" spans="1:15" ht="13.8">
      <c r="A438" t="s">
        <v>180</v>
      </c>
      <c r="B438" t="s">
        <v>181</v>
      </c>
      <c r="C438" t="s">
        <v>44</v>
      </c>
      <c r="D438" t="s">
        <v>14</v>
      </c>
      <c r="E438">
        <v>40</v>
      </c>
      <c r="F438" t="s">
        <v>3117</v>
      </c>
      <c r="G438" t="s">
        <v>3118</v>
      </c>
      <c r="H438" t="s">
        <v>3119</v>
      </c>
      <c r="I438" t="s">
        <v>3120</v>
      </c>
      <c r="J438" t="s">
        <v>186</v>
      </c>
      <c r="L438" s="1">
        <v>2</v>
      </c>
      <c r="M438" s="1"/>
      <c r="N438" s="1"/>
      <c r="O438" s="3"/>
    </row>
    <row r="439" spans="1:15" ht="13.8">
      <c r="A439" t="s">
        <v>187</v>
      </c>
      <c r="B439" t="s">
        <v>188</v>
      </c>
      <c r="C439" t="s">
        <v>160</v>
      </c>
      <c r="D439" t="s">
        <v>14</v>
      </c>
      <c r="E439">
        <v>40</v>
      </c>
      <c r="F439" t="s">
        <v>3121</v>
      </c>
      <c r="G439" t="s">
        <v>3122</v>
      </c>
      <c r="H439" t="s">
        <v>3123</v>
      </c>
      <c r="I439" t="s">
        <v>3124</v>
      </c>
      <c r="J439" t="s">
        <v>193</v>
      </c>
      <c r="L439" s="1">
        <v>2</v>
      </c>
      <c r="M439" s="1"/>
      <c r="N439" s="1"/>
      <c r="O439" s="3"/>
    </row>
    <row r="440" spans="1:15" ht="13.8">
      <c r="A440" t="s">
        <v>194</v>
      </c>
      <c r="B440" t="s">
        <v>195</v>
      </c>
      <c r="C440" t="s">
        <v>160</v>
      </c>
      <c r="D440" t="s">
        <v>14</v>
      </c>
      <c r="E440">
        <v>35</v>
      </c>
      <c r="F440" t="s">
        <v>3125</v>
      </c>
      <c r="G440" t="s">
        <v>3126</v>
      </c>
      <c r="H440" t="s">
        <v>3127</v>
      </c>
      <c r="I440" t="s">
        <v>3128</v>
      </c>
      <c r="J440" t="s">
        <v>200</v>
      </c>
      <c r="L440" s="1">
        <v>2</v>
      </c>
      <c r="M440" s="1"/>
      <c r="N440" s="1"/>
      <c r="O440" s="3"/>
    </row>
    <row r="441" spans="1:15" ht="13.8">
      <c r="A441" t="s">
        <v>201</v>
      </c>
      <c r="B441" t="s">
        <v>202</v>
      </c>
      <c r="C441" t="s">
        <v>13</v>
      </c>
      <c r="D441" t="s">
        <v>14</v>
      </c>
      <c r="E441">
        <v>40</v>
      </c>
      <c r="F441" t="s">
        <v>3129</v>
      </c>
      <c r="G441" t="s">
        <v>3130</v>
      </c>
      <c r="H441" t="s">
        <v>3131</v>
      </c>
      <c r="I441" t="s">
        <v>3132</v>
      </c>
      <c r="J441" t="s">
        <v>207</v>
      </c>
      <c r="L441" s="1">
        <v>2</v>
      </c>
      <c r="M441" s="1"/>
      <c r="N441" s="1"/>
      <c r="O441" s="3"/>
    </row>
    <row r="442" spans="1:15" ht="13.8">
      <c r="A442" t="s">
        <v>208</v>
      </c>
      <c r="B442" t="s">
        <v>209</v>
      </c>
      <c r="C442" t="s">
        <v>44</v>
      </c>
      <c r="D442" t="s">
        <v>14</v>
      </c>
      <c r="E442">
        <v>30</v>
      </c>
      <c r="F442" t="s">
        <v>3133</v>
      </c>
      <c r="G442" t="s">
        <v>3134</v>
      </c>
      <c r="H442" t="s">
        <v>3135</v>
      </c>
      <c r="I442" t="s">
        <v>3136</v>
      </c>
      <c r="J442" t="s">
        <v>214</v>
      </c>
      <c r="L442" s="1">
        <v>2</v>
      </c>
      <c r="M442" s="1"/>
      <c r="N442" s="1"/>
      <c r="O442" s="3"/>
    </row>
    <row r="443" spans="1:15" ht="13.8">
      <c r="A443" t="s">
        <v>215</v>
      </c>
      <c r="B443" t="s">
        <v>216</v>
      </c>
      <c r="C443" t="s">
        <v>160</v>
      </c>
      <c r="D443" t="s">
        <v>14</v>
      </c>
      <c r="E443">
        <v>30</v>
      </c>
      <c r="F443" t="s">
        <v>3137</v>
      </c>
      <c r="G443" t="s">
        <v>3138</v>
      </c>
      <c r="H443" t="s">
        <v>3139</v>
      </c>
      <c r="I443" t="s">
        <v>3140</v>
      </c>
      <c r="J443" t="s">
        <v>221</v>
      </c>
      <c r="L443" s="1">
        <v>2</v>
      </c>
      <c r="M443" s="1"/>
      <c r="N443" s="1"/>
      <c r="O443" s="3"/>
    </row>
    <row r="444" spans="1:15" ht="13.8">
      <c r="A444" t="s">
        <v>222</v>
      </c>
      <c r="B444" t="s">
        <v>223</v>
      </c>
      <c r="C444" t="s">
        <v>44</v>
      </c>
      <c r="D444" t="s">
        <v>14</v>
      </c>
      <c r="E444">
        <v>25</v>
      </c>
      <c r="F444" t="s">
        <v>3141</v>
      </c>
      <c r="G444" t="s">
        <v>3142</v>
      </c>
      <c r="H444" t="s">
        <v>3143</v>
      </c>
      <c r="I444" t="s">
        <v>3144</v>
      </c>
      <c r="J444" t="s">
        <v>228</v>
      </c>
      <c r="L444" s="1">
        <v>2</v>
      </c>
      <c r="M444" s="1"/>
      <c r="N444" s="1"/>
      <c r="O444" s="3"/>
    </row>
    <row r="445" spans="1:15" ht="13.8">
      <c r="A445" t="s">
        <v>229</v>
      </c>
      <c r="B445" t="s">
        <v>230</v>
      </c>
      <c r="C445" t="s">
        <v>67</v>
      </c>
      <c r="D445" t="s">
        <v>14</v>
      </c>
      <c r="E445">
        <v>30</v>
      </c>
      <c r="F445" t="s">
        <v>3145</v>
      </c>
      <c r="G445" t="s">
        <v>3146</v>
      </c>
      <c r="H445" t="s">
        <v>3147</v>
      </c>
      <c r="I445" t="s">
        <v>3148</v>
      </c>
      <c r="J445" t="s">
        <v>235</v>
      </c>
      <c r="L445" s="1">
        <v>2</v>
      </c>
      <c r="M445" s="1"/>
      <c r="N445" s="1"/>
      <c r="O445" s="3"/>
    </row>
    <row r="446" spans="1:15" ht="13.8">
      <c r="A446" t="s">
        <v>236</v>
      </c>
      <c r="B446" t="s">
        <v>237</v>
      </c>
      <c r="C446" t="s">
        <v>160</v>
      </c>
      <c r="D446" t="s">
        <v>14</v>
      </c>
      <c r="E446">
        <v>30</v>
      </c>
      <c r="F446" t="s">
        <v>3149</v>
      </c>
      <c r="G446" t="s">
        <v>3150</v>
      </c>
      <c r="H446" t="s">
        <v>3151</v>
      </c>
      <c r="I446" t="s">
        <v>3152</v>
      </c>
      <c r="J446" t="s">
        <v>242</v>
      </c>
      <c r="L446" s="1">
        <v>2</v>
      </c>
      <c r="M446" s="1"/>
      <c r="N446" s="1"/>
      <c r="O446" s="3"/>
    </row>
    <row r="447" spans="1:15" ht="13.8">
      <c r="A447" t="s">
        <v>243</v>
      </c>
      <c r="B447" t="s">
        <v>244</v>
      </c>
      <c r="C447" t="s">
        <v>160</v>
      </c>
      <c r="D447" t="s">
        <v>14</v>
      </c>
      <c r="E447">
        <v>30</v>
      </c>
      <c r="F447" t="s">
        <v>3153</v>
      </c>
      <c r="G447" t="s">
        <v>3154</v>
      </c>
      <c r="H447" t="s">
        <v>3155</v>
      </c>
      <c r="I447" t="s">
        <v>3156</v>
      </c>
      <c r="J447" t="s">
        <v>249</v>
      </c>
      <c r="L447" s="1">
        <v>2</v>
      </c>
      <c r="M447" s="1"/>
      <c r="N447" s="1"/>
      <c r="O447" s="3"/>
    </row>
    <row r="448" spans="1:15" ht="13.8">
      <c r="A448" t="s">
        <v>250</v>
      </c>
      <c r="B448" t="s">
        <v>251</v>
      </c>
      <c r="C448" t="s">
        <v>44</v>
      </c>
      <c r="D448" t="s">
        <v>14</v>
      </c>
      <c r="E448">
        <v>30</v>
      </c>
      <c r="F448" t="s">
        <v>3157</v>
      </c>
      <c r="G448" t="s">
        <v>3158</v>
      </c>
      <c r="H448" t="s">
        <v>3159</v>
      </c>
      <c r="I448" t="s">
        <v>3160</v>
      </c>
      <c r="J448" t="s">
        <v>256</v>
      </c>
      <c r="L448" s="1">
        <v>2</v>
      </c>
      <c r="M448" s="1"/>
      <c r="N448" s="1"/>
      <c r="O448" s="3"/>
    </row>
    <row r="449" spans="1:15" ht="13.8">
      <c r="A449" t="s">
        <v>257</v>
      </c>
      <c r="B449" t="s">
        <v>258</v>
      </c>
      <c r="C449" t="s">
        <v>160</v>
      </c>
      <c r="D449" t="s">
        <v>14</v>
      </c>
      <c r="E449">
        <v>40</v>
      </c>
      <c r="F449" t="s">
        <v>3161</v>
      </c>
      <c r="G449" t="s">
        <v>3162</v>
      </c>
      <c r="H449" t="s">
        <v>3163</v>
      </c>
      <c r="I449" t="s">
        <v>3164</v>
      </c>
      <c r="J449" t="s">
        <v>263</v>
      </c>
      <c r="L449" s="1">
        <v>2</v>
      </c>
      <c r="M449" s="1"/>
      <c r="N449" s="1"/>
      <c r="O449" s="3"/>
    </row>
    <row r="450" spans="1:15" ht="13.8">
      <c r="A450" t="s">
        <v>264</v>
      </c>
      <c r="B450" t="s">
        <v>265</v>
      </c>
      <c r="C450" t="s">
        <v>160</v>
      </c>
      <c r="D450" t="s">
        <v>14</v>
      </c>
      <c r="E450">
        <v>30</v>
      </c>
      <c r="F450" t="s">
        <v>3165</v>
      </c>
      <c r="G450" t="s">
        <v>3166</v>
      </c>
      <c r="H450" t="s">
        <v>3167</v>
      </c>
      <c r="I450" t="s">
        <v>3168</v>
      </c>
      <c r="J450" t="s">
        <v>270</v>
      </c>
      <c r="L450" s="1">
        <v>2</v>
      </c>
      <c r="M450" s="1"/>
      <c r="N450" s="1"/>
      <c r="O450" s="3"/>
    </row>
    <row r="451" spans="1:15" ht="13.8">
      <c r="A451" t="s">
        <v>271</v>
      </c>
      <c r="B451" t="s">
        <v>272</v>
      </c>
      <c r="C451" t="s">
        <v>160</v>
      </c>
      <c r="D451" t="s">
        <v>14</v>
      </c>
      <c r="E451">
        <v>30</v>
      </c>
      <c r="F451" t="s">
        <v>3169</v>
      </c>
      <c r="G451" t="s">
        <v>3170</v>
      </c>
      <c r="H451" t="s">
        <v>3171</v>
      </c>
      <c r="I451" t="s">
        <v>3172</v>
      </c>
      <c r="J451" t="s">
        <v>277</v>
      </c>
      <c r="L451" s="1">
        <v>2</v>
      </c>
      <c r="M451" s="1"/>
      <c r="N451" s="1"/>
      <c r="O451" s="3"/>
    </row>
    <row r="452" spans="1:15" ht="13.8">
      <c r="A452" t="s">
        <v>278</v>
      </c>
      <c r="B452" t="s">
        <v>279</v>
      </c>
      <c r="C452" t="s">
        <v>67</v>
      </c>
      <c r="D452" t="s">
        <v>14</v>
      </c>
      <c r="E452">
        <v>30</v>
      </c>
      <c r="F452" t="s">
        <v>3173</v>
      </c>
      <c r="G452" t="s">
        <v>3174</v>
      </c>
      <c r="H452" t="s">
        <v>3175</v>
      </c>
      <c r="I452" t="s">
        <v>3176</v>
      </c>
      <c r="J452" t="s">
        <v>284</v>
      </c>
      <c r="L452" s="1">
        <v>2</v>
      </c>
      <c r="M452" s="1"/>
      <c r="N452" s="1"/>
      <c r="O452" s="3"/>
    </row>
    <row r="453" spans="1:15" ht="13.8">
      <c r="A453" t="s">
        <v>285</v>
      </c>
      <c r="B453" t="s">
        <v>286</v>
      </c>
      <c r="C453" t="s">
        <v>287</v>
      </c>
      <c r="D453" t="s">
        <v>23</v>
      </c>
      <c r="E453">
        <v>10</v>
      </c>
      <c r="F453" t="s">
        <v>3177</v>
      </c>
      <c r="G453" t="s">
        <v>3178</v>
      </c>
      <c r="H453" t="s">
        <v>3179</v>
      </c>
      <c r="I453" t="s">
        <v>3180</v>
      </c>
      <c r="J453" t="s">
        <v>292</v>
      </c>
      <c r="L453" s="1">
        <v>2</v>
      </c>
      <c r="M453" s="1"/>
      <c r="N453" s="1"/>
      <c r="O453" s="3"/>
    </row>
    <row r="454" spans="1:15" ht="13.8">
      <c r="A454" t="s">
        <v>293</v>
      </c>
      <c r="B454" t="s">
        <v>294</v>
      </c>
      <c r="C454" t="s">
        <v>287</v>
      </c>
      <c r="D454" t="s">
        <v>23</v>
      </c>
      <c r="E454">
        <v>10</v>
      </c>
      <c r="F454" t="s">
        <v>3181</v>
      </c>
      <c r="G454" t="s">
        <v>3182</v>
      </c>
      <c r="H454" t="s">
        <v>3183</v>
      </c>
      <c r="I454" t="s">
        <v>3184</v>
      </c>
      <c r="J454" t="s">
        <v>299</v>
      </c>
      <c r="L454" s="1">
        <v>2</v>
      </c>
      <c r="M454" s="1"/>
      <c r="N454" s="1"/>
      <c r="O454" s="3"/>
    </row>
    <row r="455" spans="1:15" ht="13.8">
      <c r="A455" t="s">
        <v>300</v>
      </c>
      <c r="B455" t="s">
        <v>301</v>
      </c>
      <c r="C455" t="s">
        <v>287</v>
      </c>
      <c r="D455" t="s">
        <v>23</v>
      </c>
      <c r="E455">
        <v>10</v>
      </c>
      <c r="F455" t="s">
        <v>3185</v>
      </c>
      <c r="G455" t="s">
        <v>3186</v>
      </c>
      <c r="H455" t="s">
        <v>3187</v>
      </c>
      <c r="I455" t="s">
        <v>3188</v>
      </c>
      <c r="L455" s="1">
        <v>2</v>
      </c>
      <c r="M455" s="1"/>
      <c r="N455" s="1"/>
      <c r="O455" s="3"/>
    </row>
    <row r="456" spans="1:15" ht="13.8">
      <c r="A456" t="s">
        <v>307</v>
      </c>
      <c r="B456" t="s">
        <v>308</v>
      </c>
      <c r="C456" t="s">
        <v>287</v>
      </c>
      <c r="D456" t="s">
        <v>23</v>
      </c>
      <c r="E456">
        <v>15</v>
      </c>
      <c r="F456" t="s">
        <v>3189</v>
      </c>
      <c r="G456" t="s">
        <v>3190</v>
      </c>
      <c r="H456" t="s">
        <v>3191</v>
      </c>
      <c r="I456" t="s">
        <v>3192</v>
      </c>
      <c r="J456" t="s">
        <v>313</v>
      </c>
      <c r="L456" s="1">
        <v>2</v>
      </c>
      <c r="M456" s="1"/>
      <c r="N456" s="1"/>
      <c r="O456" s="3"/>
    </row>
    <row r="457" spans="1:15" ht="13.8">
      <c r="A457" t="s">
        <v>314</v>
      </c>
      <c r="B457" t="s">
        <v>315</v>
      </c>
      <c r="C457" t="s">
        <v>287</v>
      </c>
      <c r="D457" t="s">
        <v>23</v>
      </c>
      <c r="E457">
        <v>15</v>
      </c>
      <c r="F457" t="s">
        <v>3193</v>
      </c>
      <c r="G457" t="s">
        <v>3194</v>
      </c>
      <c r="H457" t="s">
        <v>3195</v>
      </c>
      <c r="I457" t="s">
        <v>3196</v>
      </c>
      <c r="J457" t="s">
        <v>320</v>
      </c>
      <c r="L457" s="1">
        <v>2</v>
      </c>
      <c r="M457" s="1"/>
      <c r="N457" s="1"/>
      <c r="O457" s="3"/>
    </row>
    <row r="458" spans="1:15" ht="13.8">
      <c r="A458" t="s">
        <v>321</v>
      </c>
      <c r="B458" t="s">
        <v>322</v>
      </c>
      <c r="C458" t="s">
        <v>287</v>
      </c>
      <c r="D458" t="s">
        <v>23</v>
      </c>
      <c r="E458">
        <v>5</v>
      </c>
      <c r="F458" t="s">
        <v>3197</v>
      </c>
      <c r="G458" t="s">
        <v>3198</v>
      </c>
      <c r="H458" t="s">
        <v>3199</v>
      </c>
      <c r="I458" t="s">
        <v>3200</v>
      </c>
      <c r="J458" t="s">
        <v>327</v>
      </c>
      <c r="L458" s="1">
        <v>2</v>
      </c>
      <c r="M458" s="1"/>
      <c r="N458" s="1"/>
      <c r="O458" s="3"/>
    </row>
    <row r="459" spans="1:15" ht="13.8">
      <c r="A459" t="s">
        <v>328</v>
      </c>
      <c r="B459" t="s">
        <v>329</v>
      </c>
      <c r="C459" t="s">
        <v>287</v>
      </c>
      <c r="D459" t="s">
        <v>23</v>
      </c>
      <c r="E459">
        <v>20</v>
      </c>
      <c r="F459" t="s">
        <v>3201</v>
      </c>
      <c r="G459" t="s">
        <v>3202</v>
      </c>
      <c r="H459" t="s">
        <v>3203</v>
      </c>
      <c r="I459" t="s">
        <v>3204</v>
      </c>
      <c r="J459" t="s">
        <v>334</v>
      </c>
      <c r="L459" s="1">
        <v>2</v>
      </c>
      <c r="M459" s="1"/>
      <c r="N459" s="1"/>
      <c r="O459" s="3"/>
    </row>
    <row r="460" spans="1:15" ht="13.8">
      <c r="A460" t="s">
        <v>335</v>
      </c>
      <c r="B460" t="s">
        <v>336</v>
      </c>
      <c r="C460" t="s">
        <v>287</v>
      </c>
      <c r="D460" t="s">
        <v>23</v>
      </c>
      <c r="E460">
        <v>10</v>
      </c>
      <c r="F460" t="s">
        <v>3205</v>
      </c>
      <c r="G460" t="s">
        <v>3206</v>
      </c>
      <c r="H460" t="s">
        <v>3207</v>
      </c>
      <c r="I460" t="s">
        <v>3208</v>
      </c>
      <c r="J460" t="s">
        <v>341</v>
      </c>
      <c r="L460" s="1">
        <v>2</v>
      </c>
      <c r="M460" s="1"/>
      <c r="N460" s="1"/>
      <c r="O460" s="3"/>
    </row>
    <row r="461" spans="1:15" ht="13.8">
      <c r="A461" t="s">
        <v>342</v>
      </c>
      <c r="B461" t="s">
        <v>343</v>
      </c>
      <c r="C461" t="s">
        <v>287</v>
      </c>
      <c r="D461" t="s">
        <v>23</v>
      </c>
      <c r="E461">
        <v>10</v>
      </c>
      <c r="F461" t="s">
        <v>3209</v>
      </c>
      <c r="G461" t="s">
        <v>3210</v>
      </c>
      <c r="H461" t="s">
        <v>3211</v>
      </c>
      <c r="I461" t="s">
        <v>3212</v>
      </c>
      <c r="J461" t="s">
        <v>348</v>
      </c>
      <c r="L461" s="1">
        <v>2</v>
      </c>
      <c r="M461" s="1"/>
      <c r="N461" s="1"/>
      <c r="O461" s="3"/>
    </row>
    <row r="462" spans="1:15" ht="13.8">
      <c r="A462" t="s">
        <v>364</v>
      </c>
      <c r="B462" t="s">
        <v>365</v>
      </c>
      <c r="C462" t="s">
        <v>358</v>
      </c>
      <c r="D462" t="s">
        <v>23</v>
      </c>
      <c r="E462">
        <v>15</v>
      </c>
      <c r="F462" t="s">
        <v>3213</v>
      </c>
      <c r="G462" t="s">
        <v>3214</v>
      </c>
      <c r="H462" t="s">
        <v>3215</v>
      </c>
      <c r="I462" t="s">
        <v>3216</v>
      </c>
      <c r="J462" t="s">
        <v>370</v>
      </c>
      <c r="L462" s="1">
        <v>2</v>
      </c>
      <c r="M462" s="1"/>
      <c r="N462" s="1"/>
      <c r="O462" s="3"/>
    </row>
    <row r="463" spans="1:15" ht="13.8">
      <c r="A463" t="s">
        <v>371</v>
      </c>
      <c r="B463" t="s">
        <v>372</v>
      </c>
      <c r="C463" t="s">
        <v>358</v>
      </c>
      <c r="D463" t="s">
        <v>23</v>
      </c>
      <c r="E463">
        <v>15</v>
      </c>
      <c r="F463" t="s">
        <v>3217</v>
      </c>
      <c r="G463" t="s">
        <v>3218</v>
      </c>
      <c r="H463" t="s">
        <v>3219</v>
      </c>
      <c r="I463" t="s">
        <v>3220</v>
      </c>
      <c r="J463" t="s">
        <v>377</v>
      </c>
      <c r="L463" s="1">
        <v>2</v>
      </c>
      <c r="M463" s="1"/>
      <c r="N463" s="1"/>
      <c r="O463" s="3"/>
    </row>
    <row r="464" spans="1:15" ht="13.8">
      <c r="A464" t="s">
        <v>378</v>
      </c>
      <c r="B464" t="s">
        <v>379</v>
      </c>
      <c r="C464" t="s">
        <v>358</v>
      </c>
      <c r="D464" t="s">
        <v>23</v>
      </c>
      <c r="E464">
        <v>15</v>
      </c>
      <c r="F464" t="s">
        <v>3221</v>
      </c>
      <c r="G464" t="s">
        <v>3222</v>
      </c>
      <c r="H464" t="s">
        <v>3223</v>
      </c>
      <c r="I464" t="s">
        <v>3224</v>
      </c>
      <c r="J464" t="s">
        <v>384</v>
      </c>
      <c r="L464" s="1">
        <v>2</v>
      </c>
      <c r="M464" s="1"/>
      <c r="N464" s="1"/>
      <c r="O464" s="3"/>
    </row>
    <row r="465" spans="1:15" ht="13.8">
      <c r="A465" t="s">
        <v>385</v>
      </c>
      <c r="B465" t="s">
        <v>386</v>
      </c>
      <c r="C465" t="s">
        <v>358</v>
      </c>
      <c r="D465" t="s">
        <v>23</v>
      </c>
      <c r="E465">
        <v>15</v>
      </c>
      <c r="F465" t="s">
        <v>3225</v>
      </c>
      <c r="G465" t="s">
        <v>3226</v>
      </c>
      <c r="H465" t="s">
        <v>3227</v>
      </c>
      <c r="I465" t="s">
        <v>3228</v>
      </c>
      <c r="J465" t="s">
        <v>391</v>
      </c>
      <c r="L465" s="1">
        <v>2</v>
      </c>
      <c r="M465" s="1"/>
      <c r="N465" s="1"/>
      <c r="O465" s="3"/>
    </row>
    <row r="466" spans="1:15" ht="13.8">
      <c r="A466" t="s">
        <v>392</v>
      </c>
      <c r="B466" t="s">
        <v>393</v>
      </c>
      <c r="C466" t="s">
        <v>67</v>
      </c>
      <c r="D466" t="s">
        <v>14</v>
      </c>
      <c r="E466">
        <v>20</v>
      </c>
      <c r="F466" t="s">
        <v>3229</v>
      </c>
      <c r="G466" t="s">
        <v>3230</v>
      </c>
      <c r="H466" t="s">
        <v>3231</v>
      </c>
      <c r="I466" t="s">
        <v>3232</v>
      </c>
      <c r="J466" t="s">
        <v>398</v>
      </c>
      <c r="L466" s="1">
        <v>2</v>
      </c>
      <c r="M466" s="1"/>
      <c r="N466" s="1"/>
      <c r="O466" s="3"/>
    </row>
    <row r="467" spans="1:15" ht="13.8">
      <c r="A467" t="s">
        <v>399</v>
      </c>
      <c r="B467" t="s">
        <v>400</v>
      </c>
      <c r="C467" t="s">
        <v>67</v>
      </c>
      <c r="D467" t="s">
        <v>14</v>
      </c>
      <c r="E467">
        <v>30</v>
      </c>
      <c r="F467" t="s">
        <v>3233</v>
      </c>
      <c r="G467" t="s">
        <v>3234</v>
      </c>
      <c r="H467" t="s">
        <v>3235</v>
      </c>
      <c r="I467" t="s">
        <v>3236</v>
      </c>
      <c r="J467" t="s">
        <v>405</v>
      </c>
      <c r="L467" s="1">
        <v>2</v>
      </c>
      <c r="M467" s="1"/>
      <c r="N467" s="1"/>
      <c r="O467" s="3"/>
    </row>
    <row r="468" spans="1:15" ht="13.8">
      <c r="A468" t="s">
        <v>406</v>
      </c>
      <c r="B468" t="s">
        <v>407</v>
      </c>
      <c r="C468" t="s">
        <v>67</v>
      </c>
      <c r="D468" t="s">
        <v>14</v>
      </c>
      <c r="E468">
        <v>80</v>
      </c>
      <c r="F468" t="s">
        <v>3237</v>
      </c>
      <c r="G468" t="s">
        <v>3238</v>
      </c>
      <c r="H468" t="s">
        <v>3239</v>
      </c>
      <c r="I468" t="s">
        <v>3240</v>
      </c>
      <c r="J468" t="s">
        <v>412</v>
      </c>
      <c r="L468" s="1">
        <v>2</v>
      </c>
      <c r="M468" s="1"/>
      <c r="N468" s="1"/>
      <c r="O468" s="3"/>
    </row>
    <row r="469" spans="1:15" ht="13.8">
      <c r="A469" t="s">
        <v>413</v>
      </c>
      <c r="B469" t="s">
        <v>414</v>
      </c>
      <c r="C469" t="s">
        <v>67</v>
      </c>
      <c r="D469" t="s">
        <v>14</v>
      </c>
      <c r="E469">
        <v>30</v>
      </c>
      <c r="F469" t="s">
        <v>3241</v>
      </c>
      <c r="G469" t="s">
        <v>3242</v>
      </c>
      <c r="H469" t="s">
        <v>3243</v>
      </c>
      <c r="I469" t="s">
        <v>3244</v>
      </c>
      <c r="J469" t="s">
        <v>419</v>
      </c>
      <c r="L469" s="1">
        <v>2</v>
      </c>
      <c r="M469" s="1"/>
      <c r="N469" s="1"/>
      <c r="O469" s="3"/>
    </row>
    <row r="470" spans="1:15" ht="13.8">
      <c r="A470" t="s">
        <v>420</v>
      </c>
      <c r="B470" t="s">
        <v>421</v>
      </c>
      <c r="C470" t="s">
        <v>160</v>
      </c>
      <c r="D470" t="s">
        <v>14</v>
      </c>
      <c r="E470">
        <v>40</v>
      </c>
      <c r="F470" t="s">
        <v>3245</v>
      </c>
      <c r="G470" t="s">
        <v>3246</v>
      </c>
      <c r="H470" t="s">
        <v>3247</v>
      </c>
      <c r="I470" t="s">
        <v>3248</v>
      </c>
      <c r="J470" t="s">
        <v>426</v>
      </c>
      <c r="L470" s="1">
        <v>2</v>
      </c>
      <c r="M470" s="1"/>
      <c r="N470" s="1"/>
      <c r="O470" s="3"/>
    </row>
    <row r="471" spans="1:15" ht="13.8">
      <c r="A471" t="s">
        <v>427</v>
      </c>
      <c r="B471" t="s">
        <v>428</v>
      </c>
      <c r="C471" t="s">
        <v>429</v>
      </c>
      <c r="D471" t="s">
        <v>23</v>
      </c>
      <c r="E471">
        <v>30</v>
      </c>
      <c r="F471" t="s">
        <v>3249</v>
      </c>
      <c r="G471" t="s">
        <v>3250</v>
      </c>
      <c r="H471" t="s">
        <v>3251</v>
      </c>
      <c r="I471" t="s">
        <v>3252</v>
      </c>
      <c r="J471" t="s">
        <v>434</v>
      </c>
      <c r="L471" s="1">
        <v>2</v>
      </c>
      <c r="M471" s="1"/>
      <c r="N471" s="1"/>
      <c r="O471" s="3"/>
    </row>
    <row r="472" spans="1:15" ht="13.8">
      <c r="A472" t="s">
        <v>3253</v>
      </c>
      <c r="B472" t="s">
        <v>3254</v>
      </c>
      <c r="C472" t="s">
        <v>730</v>
      </c>
      <c r="D472" t="s">
        <v>23</v>
      </c>
      <c r="E472">
        <v>20</v>
      </c>
      <c r="F472" t="s">
        <v>3255</v>
      </c>
      <c r="G472" t="s">
        <v>3256</v>
      </c>
      <c r="H472" t="s">
        <v>3257</v>
      </c>
      <c r="I472" t="s">
        <v>3258</v>
      </c>
      <c r="J472" t="s">
        <v>3259</v>
      </c>
      <c r="L472" s="1">
        <v>2</v>
      </c>
      <c r="M472" s="1"/>
      <c r="N472" s="1"/>
      <c r="O472" s="3"/>
    </row>
    <row r="473" spans="1:15" ht="13.8">
      <c r="A473" t="s">
        <v>435</v>
      </c>
      <c r="B473" t="s">
        <v>436</v>
      </c>
      <c r="C473" t="s">
        <v>145</v>
      </c>
      <c r="D473" t="s">
        <v>23</v>
      </c>
      <c r="E473">
        <v>20</v>
      </c>
      <c r="F473" t="s">
        <v>3260</v>
      </c>
      <c r="G473" t="s">
        <v>3261</v>
      </c>
      <c r="H473" t="s">
        <v>3262</v>
      </c>
      <c r="I473" t="s">
        <v>3263</v>
      </c>
      <c r="J473" t="s">
        <v>441</v>
      </c>
      <c r="L473" s="1">
        <v>2</v>
      </c>
      <c r="M473" s="1"/>
      <c r="N473" s="1"/>
      <c r="O473" s="3"/>
    </row>
    <row r="474" spans="1:15" ht="13.8">
      <c r="A474" t="s">
        <v>3264</v>
      </c>
      <c r="B474" t="s">
        <v>3265</v>
      </c>
      <c r="C474" t="s">
        <v>145</v>
      </c>
      <c r="D474" t="s">
        <v>23</v>
      </c>
      <c r="E474">
        <v>30</v>
      </c>
      <c r="F474" t="s">
        <v>3266</v>
      </c>
      <c r="G474" t="s">
        <v>3267</v>
      </c>
      <c r="H474" t="s">
        <v>3268</v>
      </c>
      <c r="I474" t="s">
        <v>3269</v>
      </c>
      <c r="J474" t="s">
        <v>3270</v>
      </c>
      <c r="L474" s="1">
        <v>2</v>
      </c>
      <c r="M474" s="1"/>
      <c r="N474" s="1"/>
      <c r="O474" s="3"/>
    </row>
    <row r="475" spans="1:15" ht="13.8">
      <c r="A475" t="s">
        <v>442</v>
      </c>
      <c r="B475" t="s">
        <v>443</v>
      </c>
      <c r="C475" t="s">
        <v>145</v>
      </c>
      <c r="D475" t="s">
        <v>23</v>
      </c>
      <c r="E475">
        <v>30</v>
      </c>
      <c r="F475" t="s">
        <v>3271</v>
      </c>
      <c r="G475" t="s">
        <v>3272</v>
      </c>
      <c r="H475" t="s">
        <v>3273</v>
      </c>
      <c r="I475" t="s">
        <v>3274</v>
      </c>
      <c r="J475" t="s">
        <v>448</v>
      </c>
      <c r="L475" s="1">
        <v>2</v>
      </c>
      <c r="M475" s="1"/>
      <c r="N475" s="1"/>
      <c r="O475" s="3"/>
    </row>
    <row r="476" spans="1:15" ht="13.8">
      <c r="A476" t="s">
        <v>449</v>
      </c>
      <c r="B476" t="s">
        <v>450</v>
      </c>
      <c r="C476" t="s">
        <v>451</v>
      </c>
      <c r="D476" t="s">
        <v>23</v>
      </c>
      <c r="E476">
        <v>30</v>
      </c>
      <c r="F476" t="s">
        <v>3275</v>
      </c>
      <c r="G476" t="s">
        <v>3276</v>
      </c>
      <c r="H476" t="s">
        <v>3277</v>
      </c>
      <c r="I476" t="s">
        <v>3278</v>
      </c>
      <c r="J476" t="s">
        <v>456</v>
      </c>
      <c r="L476" s="1">
        <v>2</v>
      </c>
      <c r="M476" s="1"/>
      <c r="N476" s="1"/>
      <c r="O476" s="3"/>
    </row>
    <row r="477" spans="1:15" ht="13.8">
      <c r="A477" t="s">
        <v>457</v>
      </c>
      <c r="B477" t="s">
        <v>3279</v>
      </c>
      <c r="C477" t="s">
        <v>145</v>
      </c>
      <c r="D477" t="s">
        <v>23</v>
      </c>
      <c r="E477">
        <v>35</v>
      </c>
      <c r="F477" t="s">
        <v>3280</v>
      </c>
      <c r="G477" t="s">
        <v>3281</v>
      </c>
      <c r="H477" t="s">
        <v>3282</v>
      </c>
      <c r="I477" t="s">
        <v>3283</v>
      </c>
      <c r="J477" t="s">
        <v>463</v>
      </c>
      <c r="L477" s="1">
        <v>2</v>
      </c>
      <c r="M477" s="1"/>
      <c r="N477" s="1"/>
      <c r="O477" s="3"/>
    </row>
    <row r="478" spans="1:15" ht="13.8">
      <c r="A478" t="s">
        <v>464</v>
      </c>
      <c r="B478" t="s">
        <v>465</v>
      </c>
      <c r="C478" t="s">
        <v>145</v>
      </c>
      <c r="D478" t="s">
        <v>23</v>
      </c>
      <c r="E478">
        <v>15</v>
      </c>
      <c r="F478" t="s">
        <v>3284</v>
      </c>
      <c r="G478" t="s">
        <v>3285</v>
      </c>
      <c r="H478" t="s">
        <v>3286</v>
      </c>
      <c r="I478" t="s">
        <v>3287</v>
      </c>
      <c r="J478" t="s">
        <v>470</v>
      </c>
      <c r="L478" s="1">
        <v>2</v>
      </c>
      <c r="M478" s="1"/>
      <c r="N478" s="1"/>
      <c r="O478" s="3"/>
    </row>
    <row r="479" spans="1:15" ht="13.8">
      <c r="A479" t="s">
        <v>2567</v>
      </c>
      <c r="B479" t="s">
        <v>2568</v>
      </c>
      <c r="C479" t="s">
        <v>451</v>
      </c>
      <c r="D479" t="s">
        <v>14</v>
      </c>
      <c r="E479">
        <v>20</v>
      </c>
      <c r="F479" t="s">
        <v>3288</v>
      </c>
      <c r="G479" t="s">
        <v>3289</v>
      </c>
      <c r="H479" t="s">
        <v>3290</v>
      </c>
      <c r="I479" t="s">
        <v>3291</v>
      </c>
      <c r="J479" t="s">
        <v>3292</v>
      </c>
      <c r="L479" s="1">
        <v>2</v>
      </c>
      <c r="M479" s="1"/>
      <c r="N479" s="1"/>
      <c r="O479" s="3"/>
    </row>
    <row r="480" spans="1:15" ht="13.8">
      <c r="A480" t="s">
        <v>471</v>
      </c>
      <c r="B480" t="s">
        <v>3293</v>
      </c>
      <c r="C480" t="s">
        <v>145</v>
      </c>
      <c r="D480" t="s">
        <v>23</v>
      </c>
      <c r="E480">
        <v>15</v>
      </c>
      <c r="F480" t="s">
        <v>474</v>
      </c>
      <c r="G480" t="s">
        <v>475</v>
      </c>
      <c r="H480" t="s">
        <v>476</v>
      </c>
      <c r="I480" t="s">
        <v>477</v>
      </c>
      <c r="J480" t="s">
        <v>478</v>
      </c>
      <c r="L480" s="1">
        <v>2</v>
      </c>
      <c r="M480" s="1"/>
      <c r="N480" s="1"/>
      <c r="O480" s="3"/>
    </row>
    <row r="481" spans="1:15" ht="13.8">
      <c r="A481" t="s">
        <v>479</v>
      </c>
      <c r="B481" t="s">
        <v>3294</v>
      </c>
      <c r="C481" t="s">
        <v>358</v>
      </c>
      <c r="D481" t="s">
        <v>23</v>
      </c>
      <c r="E481">
        <v>5</v>
      </c>
      <c r="F481" t="s">
        <v>481</v>
      </c>
      <c r="G481" t="s">
        <v>482</v>
      </c>
      <c r="H481" t="s">
        <v>3295</v>
      </c>
      <c r="I481" t="s">
        <v>3296</v>
      </c>
      <c r="J481" t="s">
        <v>485</v>
      </c>
      <c r="L481" s="1">
        <v>2</v>
      </c>
      <c r="M481" s="1"/>
      <c r="N481" s="1"/>
      <c r="O481" s="3"/>
    </row>
    <row r="482" spans="1:15" ht="13.8">
      <c r="A482" t="s">
        <v>486</v>
      </c>
      <c r="B482" t="s">
        <v>487</v>
      </c>
      <c r="C482" t="s">
        <v>358</v>
      </c>
      <c r="D482" t="s">
        <v>23</v>
      </c>
      <c r="E482">
        <v>5</v>
      </c>
      <c r="F482" t="s">
        <v>488</v>
      </c>
      <c r="G482" t="s">
        <v>489</v>
      </c>
      <c r="H482" t="s">
        <v>3297</v>
      </c>
      <c r="I482" t="s">
        <v>3298</v>
      </c>
      <c r="J482" t="s">
        <v>492</v>
      </c>
      <c r="L482" s="1">
        <v>2</v>
      </c>
      <c r="M482" s="1"/>
      <c r="N482" s="1"/>
      <c r="O482" s="3"/>
    </row>
    <row r="483" spans="1:15" ht="13.8">
      <c r="A483" t="s">
        <v>493</v>
      </c>
      <c r="B483" t="s">
        <v>494</v>
      </c>
      <c r="C483" t="s">
        <v>358</v>
      </c>
      <c r="D483" t="s">
        <v>23</v>
      </c>
      <c r="E483">
        <v>5</v>
      </c>
      <c r="F483" t="s">
        <v>3299</v>
      </c>
      <c r="G483" t="s">
        <v>3300</v>
      </c>
      <c r="H483" t="s">
        <v>3301</v>
      </c>
      <c r="I483" t="s">
        <v>3302</v>
      </c>
      <c r="J483" t="s">
        <v>499</v>
      </c>
      <c r="L483" s="1">
        <v>2</v>
      </c>
      <c r="M483" s="1"/>
      <c r="N483" s="1"/>
      <c r="O483" s="3"/>
    </row>
    <row r="484" spans="1:15" ht="13.8">
      <c r="A484" t="s">
        <v>500</v>
      </c>
      <c r="B484" t="s">
        <v>501</v>
      </c>
      <c r="C484" t="s">
        <v>358</v>
      </c>
      <c r="D484" t="s">
        <v>23</v>
      </c>
      <c r="E484">
        <v>10</v>
      </c>
      <c r="F484" t="s">
        <v>3303</v>
      </c>
      <c r="G484" t="s">
        <v>3304</v>
      </c>
      <c r="H484" t="s">
        <v>3305</v>
      </c>
      <c r="I484" t="s">
        <v>3306</v>
      </c>
      <c r="J484" t="s">
        <v>506</v>
      </c>
      <c r="L484" s="1">
        <v>2</v>
      </c>
      <c r="M484" s="1"/>
      <c r="N484" s="1"/>
      <c r="O484" s="3"/>
    </row>
    <row r="485" spans="1:15" ht="13.8">
      <c r="A485" t="s">
        <v>507</v>
      </c>
      <c r="B485" t="s">
        <v>508</v>
      </c>
      <c r="C485" t="s">
        <v>358</v>
      </c>
      <c r="D485" t="s">
        <v>23</v>
      </c>
      <c r="E485">
        <v>5</v>
      </c>
      <c r="F485" t="s">
        <v>3307</v>
      </c>
      <c r="G485" t="s">
        <v>3308</v>
      </c>
      <c r="H485" t="s">
        <v>3309</v>
      </c>
      <c r="I485" t="s">
        <v>3310</v>
      </c>
      <c r="J485" t="s">
        <v>513</v>
      </c>
      <c r="L485" s="1">
        <v>2</v>
      </c>
      <c r="M485" s="1"/>
      <c r="N485" s="1"/>
      <c r="O485" s="3"/>
    </row>
    <row r="486" spans="1:15" ht="13.8">
      <c r="A486" t="s">
        <v>514</v>
      </c>
      <c r="B486" t="s">
        <v>515</v>
      </c>
      <c r="C486" t="s">
        <v>358</v>
      </c>
      <c r="D486" t="s">
        <v>23</v>
      </c>
      <c r="E486">
        <v>10</v>
      </c>
      <c r="F486" t="s">
        <v>3311</v>
      </c>
      <c r="G486" t="s">
        <v>3312</v>
      </c>
      <c r="H486" t="s">
        <v>3313</v>
      </c>
      <c r="I486" t="s">
        <v>3314</v>
      </c>
      <c r="J486" t="s">
        <v>520</v>
      </c>
      <c r="L486" s="1">
        <v>2</v>
      </c>
      <c r="M486" s="1"/>
      <c r="N486" s="1"/>
      <c r="O486" s="3"/>
    </row>
    <row r="487" spans="1:15" ht="13.8">
      <c r="A487" t="s">
        <v>521</v>
      </c>
      <c r="B487" t="s">
        <v>522</v>
      </c>
      <c r="C487" t="s">
        <v>358</v>
      </c>
      <c r="D487" t="s">
        <v>23</v>
      </c>
      <c r="E487">
        <v>10</v>
      </c>
      <c r="F487" t="s">
        <v>3315</v>
      </c>
      <c r="G487" t="s">
        <v>3316</v>
      </c>
      <c r="H487" t="s">
        <v>3317</v>
      </c>
      <c r="I487" t="s">
        <v>3318</v>
      </c>
      <c r="J487" t="s">
        <v>527</v>
      </c>
      <c r="L487" s="1">
        <v>2</v>
      </c>
      <c r="M487" s="1"/>
      <c r="N487" s="1"/>
      <c r="O487" s="3"/>
    </row>
    <row r="488" spans="1:15" ht="13.8">
      <c r="A488" t="s">
        <v>528</v>
      </c>
      <c r="B488" t="s">
        <v>529</v>
      </c>
      <c r="C488" t="s">
        <v>358</v>
      </c>
      <c r="D488" t="s">
        <v>23</v>
      </c>
      <c r="E488">
        <v>10</v>
      </c>
      <c r="F488" t="s">
        <v>530</v>
      </c>
      <c r="G488" t="s">
        <v>531</v>
      </c>
      <c r="H488" t="s">
        <v>3319</v>
      </c>
      <c r="I488" t="s">
        <v>3320</v>
      </c>
      <c r="J488" t="s">
        <v>534</v>
      </c>
      <c r="L488" s="1">
        <v>2</v>
      </c>
      <c r="M488" s="1"/>
      <c r="N488" s="1"/>
      <c r="O488" s="3"/>
    </row>
    <row r="489" spans="1:15" ht="13.8">
      <c r="A489" t="s">
        <v>535</v>
      </c>
      <c r="B489" t="s">
        <v>536</v>
      </c>
      <c r="C489" t="s">
        <v>358</v>
      </c>
      <c r="D489" t="s">
        <v>23</v>
      </c>
      <c r="E489">
        <v>10</v>
      </c>
      <c r="F489" t="s">
        <v>537</v>
      </c>
      <c r="G489" t="s">
        <v>538</v>
      </c>
      <c r="H489" t="s">
        <v>3321</v>
      </c>
      <c r="I489" t="s">
        <v>3322</v>
      </c>
      <c r="J489" t="s">
        <v>541</v>
      </c>
      <c r="L489" s="1">
        <v>2</v>
      </c>
      <c r="M489" s="1"/>
      <c r="N489" s="1"/>
      <c r="O489" s="3"/>
    </row>
    <row r="490" spans="1:15" ht="13.8">
      <c r="A490" t="s">
        <v>3323</v>
      </c>
      <c r="B490" t="s">
        <v>543</v>
      </c>
      <c r="C490" t="s">
        <v>358</v>
      </c>
      <c r="D490" t="s">
        <v>23</v>
      </c>
      <c r="E490">
        <v>10</v>
      </c>
      <c r="F490" t="s">
        <v>544</v>
      </c>
      <c r="G490" t="s">
        <v>545</v>
      </c>
      <c r="H490" t="s">
        <v>3324</v>
      </c>
      <c r="I490" t="s">
        <v>3325</v>
      </c>
      <c r="J490" t="s">
        <v>548</v>
      </c>
      <c r="L490" s="1">
        <v>2</v>
      </c>
      <c r="M490" s="1"/>
      <c r="N490" s="1"/>
      <c r="O490" s="3"/>
    </row>
    <row r="491" spans="1:15" ht="13.8">
      <c r="A491" t="s">
        <v>549</v>
      </c>
      <c r="B491" t="s">
        <v>550</v>
      </c>
      <c r="C491" t="s">
        <v>358</v>
      </c>
      <c r="D491" t="s">
        <v>23</v>
      </c>
      <c r="E491">
        <v>10</v>
      </c>
      <c r="F491" t="s">
        <v>3326</v>
      </c>
      <c r="G491" t="s">
        <v>3327</v>
      </c>
      <c r="H491" t="s">
        <v>3328</v>
      </c>
      <c r="I491" t="s">
        <v>3329</v>
      </c>
      <c r="J491" t="s">
        <v>555</v>
      </c>
      <c r="L491" s="1">
        <v>2</v>
      </c>
      <c r="M491" s="1"/>
      <c r="N491" s="1"/>
      <c r="O491" s="3"/>
    </row>
    <row r="492" spans="1:15" ht="409.6">
      <c r="A492" t="s">
        <v>3330</v>
      </c>
      <c r="B492" t="s">
        <v>3331</v>
      </c>
      <c r="C492" t="s">
        <v>13</v>
      </c>
      <c r="D492" t="s">
        <v>14</v>
      </c>
      <c r="E492">
        <v>25</v>
      </c>
      <c r="F492" s="2" t="s">
        <v>3332</v>
      </c>
      <c r="G492" s="2" t="s">
        <v>3333</v>
      </c>
      <c r="H492" s="2" t="s">
        <v>3334</v>
      </c>
      <c r="I492" s="2" t="s">
        <v>3335</v>
      </c>
      <c r="J492" t="s">
        <v>3336</v>
      </c>
      <c r="L492" s="1">
        <v>2</v>
      </c>
      <c r="M492" s="1"/>
      <c r="N492" s="1"/>
      <c r="O492" s="3"/>
    </row>
    <row r="493" spans="1:15" ht="409.6">
      <c r="A493" t="s">
        <v>3337</v>
      </c>
      <c r="B493" t="s">
        <v>3338</v>
      </c>
      <c r="C493" t="s">
        <v>13</v>
      </c>
      <c r="D493" t="s">
        <v>23</v>
      </c>
      <c r="E493">
        <v>60</v>
      </c>
      <c r="F493" s="2" t="s">
        <v>3339</v>
      </c>
      <c r="G493" s="2" t="s">
        <v>3340</v>
      </c>
      <c r="H493" s="2" t="s">
        <v>3341</v>
      </c>
      <c r="I493" s="2" t="s">
        <v>3342</v>
      </c>
      <c r="J493" t="s">
        <v>3343</v>
      </c>
      <c r="L493" s="1">
        <v>2</v>
      </c>
      <c r="M493" s="1"/>
      <c r="N493" s="1"/>
      <c r="O493" s="3"/>
    </row>
    <row r="494" spans="1:15" ht="409.6">
      <c r="A494" t="s">
        <v>3344</v>
      </c>
      <c r="B494" t="s">
        <v>3345</v>
      </c>
      <c r="C494" t="s">
        <v>13</v>
      </c>
      <c r="D494" t="s">
        <v>23</v>
      </c>
      <c r="E494">
        <v>30</v>
      </c>
      <c r="F494" s="2" t="s">
        <v>3346</v>
      </c>
      <c r="G494" s="2" t="s">
        <v>3347</v>
      </c>
      <c r="H494" s="2" t="s">
        <v>3348</v>
      </c>
      <c r="I494" s="2" t="s">
        <v>3349</v>
      </c>
      <c r="J494" t="s">
        <v>3350</v>
      </c>
      <c r="L494" s="1">
        <v>2</v>
      </c>
      <c r="M494" s="1"/>
      <c r="N494" s="1"/>
      <c r="O494" s="3"/>
    </row>
    <row r="495" spans="1:15" ht="409.6">
      <c r="A495" t="s">
        <v>3351</v>
      </c>
      <c r="B495" t="s">
        <v>3352</v>
      </c>
      <c r="C495" t="s">
        <v>13</v>
      </c>
      <c r="D495" t="s">
        <v>23</v>
      </c>
      <c r="E495">
        <v>25</v>
      </c>
      <c r="F495" s="2" t="s">
        <v>3353</v>
      </c>
      <c r="G495" s="2" t="s">
        <v>3354</v>
      </c>
      <c r="H495" s="2" t="s">
        <v>3355</v>
      </c>
      <c r="I495" s="2" t="s">
        <v>3356</v>
      </c>
      <c r="J495" t="s">
        <v>3357</v>
      </c>
      <c r="L495" s="1">
        <v>2</v>
      </c>
      <c r="M495" s="1"/>
      <c r="N495" s="1"/>
      <c r="O495" s="3"/>
    </row>
    <row r="496" spans="1:15" ht="409.6">
      <c r="A496" t="s">
        <v>3358</v>
      </c>
      <c r="B496" t="s">
        <v>3359</v>
      </c>
      <c r="C496" t="s">
        <v>13</v>
      </c>
      <c r="D496" t="s">
        <v>14</v>
      </c>
      <c r="E496">
        <v>60</v>
      </c>
      <c r="F496" s="2" t="s">
        <v>3360</v>
      </c>
      <c r="G496" s="2" t="s">
        <v>3361</v>
      </c>
      <c r="H496" s="2" t="s">
        <v>3362</v>
      </c>
      <c r="I496" s="2" t="s">
        <v>3363</v>
      </c>
      <c r="J496" t="s">
        <v>3364</v>
      </c>
      <c r="L496" s="1">
        <v>2</v>
      </c>
      <c r="M496" s="1"/>
      <c r="N496" s="1"/>
      <c r="O496" s="3"/>
    </row>
    <row r="497" spans="1:15" ht="409.6">
      <c r="A497" t="s">
        <v>3365</v>
      </c>
      <c r="B497" t="s">
        <v>3366</v>
      </c>
      <c r="C497" t="s">
        <v>13</v>
      </c>
      <c r="D497" t="s">
        <v>23</v>
      </c>
      <c r="E497">
        <v>20</v>
      </c>
      <c r="F497" s="2" t="s">
        <v>3367</v>
      </c>
      <c r="G497" s="2" t="s">
        <v>3368</v>
      </c>
      <c r="H497" s="2" t="s">
        <v>3369</v>
      </c>
      <c r="I497" s="2" t="s">
        <v>3370</v>
      </c>
      <c r="J497" t="s">
        <v>3371</v>
      </c>
      <c r="L497" s="1">
        <v>2</v>
      </c>
      <c r="M497" s="1"/>
      <c r="N497" s="1"/>
      <c r="O497" s="3"/>
    </row>
    <row r="498" spans="1:15" ht="409.6">
      <c r="A498" t="s">
        <v>3372</v>
      </c>
      <c r="B498" t="s">
        <v>3373</v>
      </c>
      <c r="C498" t="s">
        <v>13</v>
      </c>
      <c r="D498" t="s">
        <v>14</v>
      </c>
      <c r="E498">
        <v>25</v>
      </c>
      <c r="F498" s="2" t="s">
        <v>3374</v>
      </c>
      <c r="G498" s="2" t="s">
        <v>3375</v>
      </c>
      <c r="H498" s="2" t="s">
        <v>3376</v>
      </c>
      <c r="I498" s="2" t="s">
        <v>3377</v>
      </c>
      <c r="J498" t="s">
        <v>3378</v>
      </c>
      <c r="L498" s="1">
        <v>2</v>
      </c>
      <c r="M498" s="1"/>
      <c r="N498" s="1"/>
      <c r="O498" s="3"/>
    </row>
    <row r="499" spans="1:15" ht="409.6">
      <c r="A499" t="s">
        <v>3379</v>
      </c>
      <c r="B499" t="s">
        <v>3380</v>
      </c>
      <c r="C499" t="s">
        <v>13</v>
      </c>
      <c r="D499" t="s">
        <v>23</v>
      </c>
      <c r="E499">
        <v>15</v>
      </c>
      <c r="F499" s="2" t="s">
        <v>3381</v>
      </c>
      <c r="G499" s="2" t="s">
        <v>3382</v>
      </c>
      <c r="H499" s="2" t="s">
        <v>3383</v>
      </c>
      <c r="I499" s="2" t="s">
        <v>3384</v>
      </c>
      <c r="J499" t="s">
        <v>3385</v>
      </c>
      <c r="L499" s="1">
        <v>2</v>
      </c>
      <c r="M499" s="1"/>
      <c r="N499" s="1"/>
      <c r="O499" s="3"/>
    </row>
    <row r="500" spans="1:15" ht="409.6">
      <c r="A500" t="s">
        <v>3386</v>
      </c>
      <c r="B500" t="s">
        <v>3387</v>
      </c>
      <c r="C500" t="s">
        <v>13</v>
      </c>
      <c r="D500" t="s">
        <v>23</v>
      </c>
      <c r="E500">
        <v>20</v>
      </c>
      <c r="F500" s="2" t="s">
        <v>3388</v>
      </c>
      <c r="G500" s="2" t="s">
        <v>3389</v>
      </c>
      <c r="H500" s="2" t="s">
        <v>3390</v>
      </c>
      <c r="I500" s="2" t="s">
        <v>3391</v>
      </c>
      <c r="J500" t="s">
        <v>3392</v>
      </c>
      <c r="L500" s="1">
        <v>2</v>
      </c>
      <c r="M500" s="1"/>
      <c r="N500" s="1"/>
      <c r="O500" s="3"/>
    </row>
    <row r="501" spans="1:15" ht="409.6">
      <c r="A501" t="s">
        <v>3393</v>
      </c>
      <c r="B501" t="s">
        <v>3394</v>
      </c>
      <c r="C501" t="s">
        <v>13</v>
      </c>
      <c r="D501" t="s">
        <v>23</v>
      </c>
      <c r="E501">
        <v>70</v>
      </c>
      <c r="F501" s="2" t="s">
        <v>3395</v>
      </c>
      <c r="G501" s="2" t="s">
        <v>3396</v>
      </c>
      <c r="H501" s="2" t="s">
        <v>3397</v>
      </c>
      <c r="I501" s="2" t="s">
        <v>3398</v>
      </c>
      <c r="J501" t="s">
        <v>3399</v>
      </c>
      <c r="L501" s="1">
        <v>2</v>
      </c>
      <c r="M501" s="1"/>
      <c r="N501" s="1"/>
      <c r="O501" s="3"/>
    </row>
    <row r="502" spans="1:15" ht="409.6">
      <c r="A502" t="s">
        <v>3400</v>
      </c>
      <c r="B502" t="s">
        <v>3401</v>
      </c>
      <c r="C502" t="s">
        <v>13</v>
      </c>
      <c r="D502" t="s">
        <v>23</v>
      </c>
      <c r="E502">
        <v>95</v>
      </c>
      <c r="F502" s="2" t="s">
        <v>3402</v>
      </c>
      <c r="G502" s="2" t="s">
        <v>3403</v>
      </c>
      <c r="H502" s="2" t="s">
        <v>3404</v>
      </c>
      <c r="I502" s="2" t="s">
        <v>3405</v>
      </c>
      <c r="J502" t="s">
        <v>3406</v>
      </c>
      <c r="L502" s="1">
        <v>2</v>
      </c>
      <c r="M502" s="1"/>
      <c r="N502" s="1"/>
      <c r="O502" s="3"/>
    </row>
    <row r="503" spans="1:15" ht="409.6">
      <c r="A503" t="s">
        <v>3407</v>
      </c>
      <c r="B503" t="s">
        <v>3408</v>
      </c>
      <c r="C503" t="s">
        <v>13</v>
      </c>
      <c r="D503" t="s">
        <v>14</v>
      </c>
      <c r="E503">
        <v>30</v>
      </c>
      <c r="F503" s="2" t="s">
        <v>3409</v>
      </c>
      <c r="G503" s="2" t="s">
        <v>3410</v>
      </c>
      <c r="H503" s="2" t="s">
        <v>3411</v>
      </c>
      <c r="I503" s="2" t="s">
        <v>3412</v>
      </c>
      <c r="J503" t="s">
        <v>3413</v>
      </c>
      <c r="L503" s="1">
        <v>2</v>
      </c>
      <c r="M503" s="1"/>
      <c r="N503" s="1"/>
      <c r="O503" s="3"/>
    </row>
    <row r="504" spans="1:15" ht="409.6">
      <c r="A504" t="s">
        <v>3414</v>
      </c>
      <c r="B504" t="s">
        <v>3415</v>
      </c>
      <c r="C504" t="s">
        <v>13</v>
      </c>
      <c r="D504" t="s">
        <v>14</v>
      </c>
      <c r="E504">
        <v>110</v>
      </c>
      <c r="F504" s="2" t="s">
        <v>3416</v>
      </c>
      <c r="G504" s="2" t="s">
        <v>3417</v>
      </c>
      <c r="H504" s="2" t="s">
        <v>3418</v>
      </c>
      <c r="I504" s="2" t="s">
        <v>3419</v>
      </c>
      <c r="J504" t="s">
        <v>3420</v>
      </c>
      <c r="L504" s="1">
        <v>2</v>
      </c>
      <c r="M504" s="1"/>
      <c r="N504" s="1"/>
      <c r="O504" s="3"/>
    </row>
    <row r="505" spans="1:15" ht="409.6">
      <c r="A505" t="s">
        <v>3421</v>
      </c>
      <c r="B505" s="2" t="s">
        <v>3422</v>
      </c>
      <c r="C505" t="s">
        <v>13</v>
      </c>
      <c r="D505" t="s">
        <v>23</v>
      </c>
      <c r="E505">
        <v>60</v>
      </c>
      <c r="F505" s="2" t="s">
        <v>3423</v>
      </c>
      <c r="G505" s="2" t="s">
        <v>3424</v>
      </c>
      <c r="H505" s="2" t="s">
        <v>3425</v>
      </c>
      <c r="I505" s="2" t="s">
        <v>3426</v>
      </c>
      <c r="J505" t="s">
        <v>3427</v>
      </c>
      <c r="L505" s="1">
        <v>2</v>
      </c>
      <c r="M505" s="1"/>
      <c r="N505" s="1"/>
      <c r="O505" s="3"/>
    </row>
    <row r="506" spans="1:15" ht="409.6">
      <c r="A506" t="s">
        <v>3428</v>
      </c>
      <c r="B506" t="s">
        <v>3429</v>
      </c>
      <c r="C506" t="s">
        <v>13</v>
      </c>
      <c r="D506" t="s">
        <v>23</v>
      </c>
      <c r="E506">
        <v>30</v>
      </c>
      <c r="F506" s="2" t="s">
        <v>3430</v>
      </c>
      <c r="G506" s="2" t="s">
        <v>3431</v>
      </c>
      <c r="H506" s="2" t="s">
        <v>3432</v>
      </c>
      <c r="I506" s="2" t="s">
        <v>3433</v>
      </c>
      <c r="J506" t="s">
        <v>3434</v>
      </c>
      <c r="L506" s="1">
        <v>2</v>
      </c>
      <c r="M506" s="1"/>
      <c r="N506" s="1"/>
      <c r="O506" s="3"/>
    </row>
    <row r="507" spans="1:15" ht="409.6">
      <c r="A507" t="s">
        <v>3435</v>
      </c>
      <c r="B507" t="s">
        <v>3436</v>
      </c>
      <c r="C507" t="s">
        <v>13</v>
      </c>
      <c r="D507" t="s">
        <v>23</v>
      </c>
      <c r="E507">
        <v>55</v>
      </c>
      <c r="F507" s="2" t="s">
        <v>3437</v>
      </c>
      <c r="G507" s="2" t="s">
        <v>3438</v>
      </c>
      <c r="H507" s="2" t="s">
        <v>3439</v>
      </c>
      <c r="I507" s="2" t="s">
        <v>3440</v>
      </c>
      <c r="J507" t="s">
        <v>3441</v>
      </c>
      <c r="L507" s="1">
        <v>2</v>
      </c>
      <c r="M507" s="1"/>
      <c r="N507" s="1"/>
      <c r="O507" s="3"/>
    </row>
    <row r="508" spans="1:15" ht="409.6">
      <c r="A508" t="s">
        <v>3442</v>
      </c>
      <c r="B508" t="s">
        <v>3443</v>
      </c>
      <c r="C508" t="s">
        <v>13</v>
      </c>
      <c r="D508" t="s">
        <v>23</v>
      </c>
      <c r="E508">
        <v>90</v>
      </c>
      <c r="F508" s="2" t="s">
        <v>3444</v>
      </c>
      <c r="G508" s="2" t="s">
        <v>3445</v>
      </c>
      <c r="H508" s="2" t="s">
        <v>3446</v>
      </c>
      <c r="I508" s="2" t="s">
        <v>3447</v>
      </c>
      <c r="J508" t="s">
        <v>3448</v>
      </c>
      <c r="L508" s="1">
        <v>2</v>
      </c>
      <c r="M508" s="1"/>
      <c r="N508" s="1"/>
      <c r="O508" s="3"/>
    </row>
    <row r="509" spans="1:15" ht="409.6">
      <c r="A509" t="s">
        <v>3449</v>
      </c>
      <c r="B509" t="s">
        <v>3450</v>
      </c>
      <c r="C509" t="s">
        <v>13</v>
      </c>
      <c r="D509" t="s">
        <v>23</v>
      </c>
      <c r="E509">
        <v>15</v>
      </c>
      <c r="F509" s="2" t="s">
        <v>3451</v>
      </c>
      <c r="G509" s="2" t="s">
        <v>3452</v>
      </c>
      <c r="H509" s="2" t="s">
        <v>3453</v>
      </c>
      <c r="I509" s="2" t="s">
        <v>3454</v>
      </c>
      <c r="J509" t="s">
        <v>3455</v>
      </c>
      <c r="L509" s="1">
        <v>2</v>
      </c>
      <c r="M509" s="1"/>
      <c r="N509" s="1"/>
      <c r="O509" s="3"/>
    </row>
    <row r="510" spans="1:15" ht="409.6">
      <c r="A510" t="s">
        <v>3456</v>
      </c>
      <c r="B510" t="s">
        <v>3457</v>
      </c>
      <c r="C510" t="s">
        <v>13</v>
      </c>
      <c r="D510" t="s">
        <v>14</v>
      </c>
      <c r="E510">
        <v>20</v>
      </c>
      <c r="F510" s="2" t="s">
        <v>3458</v>
      </c>
      <c r="G510" s="2" t="s">
        <v>3459</v>
      </c>
      <c r="H510" s="2" t="s">
        <v>3460</v>
      </c>
      <c r="I510" s="2" t="s">
        <v>3461</v>
      </c>
      <c r="J510" t="s">
        <v>3462</v>
      </c>
      <c r="L510" s="1">
        <v>2</v>
      </c>
      <c r="M510" s="1"/>
      <c r="N510" s="1"/>
      <c r="O510" s="3"/>
    </row>
    <row r="511" spans="1:15" ht="409.6">
      <c r="A511" t="s">
        <v>3463</v>
      </c>
      <c r="B511" t="s">
        <v>3464</v>
      </c>
      <c r="C511" t="s">
        <v>13</v>
      </c>
      <c r="D511" t="s">
        <v>23</v>
      </c>
      <c r="E511">
        <v>50</v>
      </c>
      <c r="F511" s="2" t="s">
        <v>3465</v>
      </c>
      <c r="G511" s="2" t="s">
        <v>3466</v>
      </c>
      <c r="H511" s="2" t="s">
        <v>3467</v>
      </c>
      <c r="I511" s="2" t="s">
        <v>3468</v>
      </c>
      <c r="J511" t="s">
        <v>3469</v>
      </c>
      <c r="L511" s="1">
        <v>2</v>
      </c>
      <c r="M511" s="1"/>
      <c r="N511" s="1"/>
      <c r="O511" s="3"/>
    </row>
    <row r="512" spans="1:15" ht="409.6">
      <c r="A512" t="s">
        <v>3470</v>
      </c>
      <c r="B512" t="s">
        <v>3471</v>
      </c>
      <c r="C512" t="s">
        <v>13</v>
      </c>
      <c r="D512" t="s">
        <v>23</v>
      </c>
      <c r="E512">
        <v>55</v>
      </c>
      <c r="F512" s="2" t="s">
        <v>3472</v>
      </c>
      <c r="G512" s="2" t="s">
        <v>3473</v>
      </c>
      <c r="H512" s="2" t="s">
        <v>3474</v>
      </c>
      <c r="I512" s="2" t="s">
        <v>3475</v>
      </c>
      <c r="J512" t="s">
        <v>3476</v>
      </c>
      <c r="L512" s="1">
        <v>2</v>
      </c>
      <c r="M512" s="1"/>
      <c r="N512" s="1"/>
      <c r="O512" s="3"/>
    </row>
    <row r="513" spans="1:15" ht="409.6">
      <c r="A513" t="s">
        <v>3477</v>
      </c>
      <c r="B513" t="s">
        <v>3478</v>
      </c>
      <c r="C513" t="s">
        <v>13</v>
      </c>
      <c r="D513" t="s">
        <v>23</v>
      </c>
      <c r="E513">
        <v>110</v>
      </c>
      <c r="F513" s="2" t="s">
        <v>3479</v>
      </c>
      <c r="G513" s="2" t="s">
        <v>3480</v>
      </c>
      <c r="H513" s="2" t="s">
        <v>3481</v>
      </c>
      <c r="I513" s="2" t="s">
        <v>3482</v>
      </c>
      <c r="J513" t="s">
        <v>3483</v>
      </c>
      <c r="L513" s="1">
        <v>2</v>
      </c>
      <c r="M513" s="1"/>
      <c r="N513" s="1"/>
      <c r="O513" s="3"/>
    </row>
    <row r="514" spans="1:15" ht="409.6">
      <c r="A514" t="s">
        <v>3484</v>
      </c>
      <c r="B514" t="s">
        <v>3485</v>
      </c>
      <c r="C514" t="s">
        <v>13</v>
      </c>
      <c r="D514" t="s">
        <v>23</v>
      </c>
      <c r="E514">
        <v>40</v>
      </c>
      <c r="F514" s="2" t="s">
        <v>3486</v>
      </c>
      <c r="G514" s="2" t="s">
        <v>3487</v>
      </c>
      <c r="H514" s="2" t="s">
        <v>3488</v>
      </c>
      <c r="I514" s="2" t="s">
        <v>3489</v>
      </c>
      <c r="J514" t="s">
        <v>3490</v>
      </c>
      <c r="L514" s="1">
        <v>2</v>
      </c>
      <c r="M514" s="1"/>
      <c r="N514" s="1"/>
      <c r="O514" s="3"/>
    </row>
    <row r="515" spans="1:15" ht="409.6">
      <c r="A515" t="s">
        <v>3491</v>
      </c>
      <c r="B515" t="s">
        <v>3492</v>
      </c>
      <c r="C515" t="s">
        <v>13</v>
      </c>
      <c r="D515" t="s">
        <v>23</v>
      </c>
      <c r="E515">
        <v>40</v>
      </c>
      <c r="F515" s="2" t="s">
        <v>3493</v>
      </c>
      <c r="G515" s="2" t="s">
        <v>3494</v>
      </c>
      <c r="H515" s="2" t="s">
        <v>3495</v>
      </c>
      <c r="I515" s="2" t="s">
        <v>3496</v>
      </c>
      <c r="J515" t="s">
        <v>3497</v>
      </c>
      <c r="L515" s="1">
        <v>2</v>
      </c>
      <c r="M515" s="1"/>
      <c r="N515" s="1"/>
      <c r="O515" s="3"/>
    </row>
    <row r="516" spans="1:15" ht="409.6">
      <c r="A516" t="s">
        <v>3498</v>
      </c>
      <c r="B516" t="s">
        <v>3499</v>
      </c>
      <c r="C516" t="s">
        <v>13</v>
      </c>
      <c r="D516" t="s">
        <v>23</v>
      </c>
      <c r="E516">
        <v>50</v>
      </c>
      <c r="F516" s="2" t="s">
        <v>3500</v>
      </c>
      <c r="G516" s="2" t="s">
        <v>3501</v>
      </c>
      <c r="H516" s="2" t="s">
        <v>3502</v>
      </c>
      <c r="I516" s="2" t="s">
        <v>3503</v>
      </c>
      <c r="J516" t="s">
        <v>3504</v>
      </c>
      <c r="L516" s="1">
        <v>2</v>
      </c>
      <c r="M516" s="1"/>
      <c r="N516" s="1"/>
      <c r="O516" s="3"/>
    </row>
    <row r="517" spans="1:15" ht="409.6">
      <c r="A517" t="s">
        <v>3505</v>
      </c>
      <c r="B517" t="s">
        <v>3506</v>
      </c>
      <c r="C517" t="s">
        <v>13</v>
      </c>
      <c r="D517" t="s">
        <v>23</v>
      </c>
      <c r="E517">
        <v>30</v>
      </c>
      <c r="F517" s="2" t="s">
        <v>3507</v>
      </c>
      <c r="G517" s="2" t="s">
        <v>3508</v>
      </c>
      <c r="H517" s="2" t="s">
        <v>3509</v>
      </c>
      <c r="I517" s="2" t="s">
        <v>3510</v>
      </c>
      <c r="J517" t="s">
        <v>3511</v>
      </c>
      <c r="L517" s="1">
        <v>2</v>
      </c>
      <c r="M517" s="1"/>
      <c r="N517" s="1"/>
      <c r="O517" s="3"/>
    </row>
    <row r="518" spans="1:15" ht="409.6">
      <c r="A518" t="s">
        <v>3512</v>
      </c>
      <c r="B518" t="s">
        <v>3513</v>
      </c>
      <c r="C518" t="s">
        <v>13</v>
      </c>
      <c r="D518" t="s">
        <v>14</v>
      </c>
      <c r="E518">
        <v>25</v>
      </c>
      <c r="F518" s="2" t="s">
        <v>3514</v>
      </c>
      <c r="G518" s="2" t="s">
        <v>3515</v>
      </c>
      <c r="H518" s="2" t="s">
        <v>3516</v>
      </c>
      <c r="I518" s="2" t="s">
        <v>3517</v>
      </c>
      <c r="J518" t="s">
        <v>3518</v>
      </c>
      <c r="L518" s="1">
        <v>2</v>
      </c>
      <c r="M518" s="1"/>
      <c r="N518" s="1"/>
      <c r="O518" s="3"/>
    </row>
    <row r="519" spans="1:15" ht="409.6">
      <c r="A519" t="s">
        <v>3519</v>
      </c>
      <c r="B519" t="s">
        <v>3520</v>
      </c>
      <c r="C519" t="s">
        <v>13</v>
      </c>
      <c r="D519" t="s">
        <v>23</v>
      </c>
      <c r="E519">
        <v>55</v>
      </c>
      <c r="F519" s="2" t="s">
        <v>3521</v>
      </c>
      <c r="G519" s="2" t="s">
        <v>3522</v>
      </c>
      <c r="H519" s="2" t="s">
        <v>3523</v>
      </c>
      <c r="I519" s="2" t="s">
        <v>3524</v>
      </c>
      <c r="J519" t="s">
        <v>3525</v>
      </c>
      <c r="L519" s="1">
        <v>2</v>
      </c>
      <c r="M519" s="1"/>
      <c r="N519" s="1"/>
      <c r="O519" s="3"/>
    </row>
    <row r="520" spans="1:15" ht="409.6">
      <c r="A520" t="s">
        <v>3526</v>
      </c>
      <c r="B520" s="2" t="s">
        <v>3527</v>
      </c>
      <c r="C520" t="s">
        <v>13</v>
      </c>
      <c r="D520" t="s">
        <v>14</v>
      </c>
      <c r="E520">
        <v>50</v>
      </c>
      <c r="F520" s="2" t="s">
        <v>3528</v>
      </c>
      <c r="G520" s="2" t="s">
        <v>3529</v>
      </c>
      <c r="H520" s="2" t="s">
        <v>3530</v>
      </c>
      <c r="I520" s="2" t="s">
        <v>3531</v>
      </c>
      <c r="J520" t="s">
        <v>3532</v>
      </c>
      <c r="L520" s="1">
        <v>2</v>
      </c>
      <c r="M520" s="1"/>
      <c r="N520" s="1"/>
      <c r="O520" s="3"/>
    </row>
    <row r="521" spans="1:15" ht="409.6">
      <c r="A521" t="s">
        <v>3533</v>
      </c>
      <c r="B521" s="2" t="s">
        <v>3534</v>
      </c>
      <c r="C521" t="s">
        <v>13</v>
      </c>
      <c r="D521" t="s">
        <v>23</v>
      </c>
      <c r="E521">
        <v>20</v>
      </c>
      <c r="F521" s="2" t="s">
        <v>3535</v>
      </c>
      <c r="G521" s="2" t="s">
        <v>3536</v>
      </c>
      <c r="H521" s="2" t="s">
        <v>3537</v>
      </c>
      <c r="I521" s="2" t="s">
        <v>3538</v>
      </c>
      <c r="J521" t="s">
        <v>3539</v>
      </c>
      <c r="L521" s="1">
        <v>2</v>
      </c>
      <c r="M521" s="1"/>
      <c r="N521" s="1"/>
      <c r="O521" s="3"/>
    </row>
    <row r="522" spans="1:15" ht="409.6">
      <c r="A522" t="s">
        <v>3540</v>
      </c>
      <c r="B522" t="s">
        <v>3541</v>
      </c>
      <c r="C522" t="s">
        <v>13</v>
      </c>
      <c r="D522" t="s">
        <v>23</v>
      </c>
      <c r="E522">
        <v>20</v>
      </c>
      <c r="F522" s="2" t="s">
        <v>3542</v>
      </c>
      <c r="G522" s="2" t="s">
        <v>3543</v>
      </c>
      <c r="H522" s="2" t="s">
        <v>3544</v>
      </c>
      <c r="I522" s="2" t="s">
        <v>3545</v>
      </c>
      <c r="J522" t="s">
        <v>3546</v>
      </c>
      <c r="L522" s="1">
        <v>2</v>
      </c>
      <c r="M522" s="1"/>
      <c r="N522" s="1"/>
      <c r="O522" s="3"/>
    </row>
    <row r="523" spans="1:15" ht="409.6">
      <c r="A523" t="s">
        <v>3547</v>
      </c>
      <c r="B523" t="s">
        <v>3548</v>
      </c>
      <c r="C523" t="s">
        <v>13</v>
      </c>
      <c r="D523" t="s">
        <v>23</v>
      </c>
      <c r="E523">
        <v>30</v>
      </c>
      <c r="F523" s="2" t="s">
        <v>3549</v>
      </c>
      <c r="G523" s="2" t="s">
        <v>3550</v>
      </c>
      <c r="H523" s="2" t="s">
        <v>3551</v>
      </c>
      <c r="I523" s="2" t="s">
        <v>3552</v>
      </c>
      <c r="J523" t="s">
        <v>3553</v>
      </c>
      <c r="L523" s="1">
        <v>2</v>
      </c>
      <c r="M523" s="1"/>
      <c r="N523" s="1"/>
      <c r="O523" s="3"/>
    </row>
    <row r="524" spans="1:15" ht="409.6">
      <c r="A524" t="s">
        <v>3554</v>
      </c>
      <c r="B524" t="s">
        <v>3555</v>
      </c>
      <c r="C524" t="s">
        <v>13</v>
      </c>
      <c r="D524" t="s">
        <v>14</v>
      </c>
      <c r="E524">
        <v>25</v>
      </c>
      <c r="F524" s="2" t="s">
        <v>3556</v>
      </c>
      <c r="G524" s="2" t="s">
        <v>3557</v>
      </c>
      <c r="H524" s="2" t="s">
        <v>3558</v>
      </c>
      <c r="I524" s="2" t="s">
        <v>3559</v>
      </c>
      <c r="J524" t="s">
        <v>3560</v>
      </c>
      <c r="L524" s="1">
        <v>2</v>
      </c>
      <c r="M524" s="1"/>
      <c r="N524" s="1"/>
      <c r="O524" s="3"/>
    </row>
    <row r="525" spans="1:15" ht="409.6">
      <c r="A525" t="s">
        <v>3561</v>
      </c>
      <c r="B525" s="2" t="s">
        <v>3562</v>
      </c>
      <c r="C525" t="s">
        <v>13</v>
      </c>
      <c r="D525" t="s">
        <v>14</v>
      </c>
      <c r="E525">
        <v>150</v>
      </c>
      <c r="F525" s="2" t="s">
        <v>3563</v>
      </c>
      <c r="G525" s="2" t="s">
        <v>3564</v>
      </c>
      <c r="H525" s="2" t="s">
        <v>3565</v>
      </c>
      <c r="I525" s="2" t="s">
        <v>3566</v>
      </c>
      <c r="J525" t="s">
        <v>3567</v>
      </c>
      <c r="L525" s="1">
        <v>2</v>
      </c>
      <c r="M525" s="1"/>
      <c r="N525" s="1"/>
      <c r="O525" s="3"/>
    </row>
    <row r="526" spans="1:15" ht="409.6">
      <c r="A526" t="s">
        <v>3568</v>
      </c>
      <c r="B526" t="s">
        <v>3569</v>
      </c>
      <c r="C526" t="s">
        <v>13</v>
      </c>
      <c r="D526" t="s">
        <v>14</v>
      </c>
      <c r="E526">
        <v>10</v>
      </c>
      <c r="F526" s="2" t="s">
        <v>3570</v>
      </c>
      <c r="G526" s="2" t="s">
        <v>3571</v>
      </c>
      <c r="H526" s="2" t="s">
        <v>3572</v>
      </c>
      <c r="I526" s="2" t="s">
        <v>3573</v>
      </c>
      <c r="J526" t="s">
        <v>3574</v>
      </c>
      <c r="L526" s="1">
        <v>2</v>
      </c>
      <c r="M526" s="1"/>
      <c r="N526" s="1"/>
      <c r="O526" s="3"/>
    </row>
    <row r="527" spans="1:15" ht="409.6">
      <c r="A527" t="s">
        <v>3575</v>
      </c>
      <c r="B527" t="s">
        <v>3576</v>
      </c>
      <c r="C527" t="s">
        <v>13</v>
      </c>
      <c r="D527" t="s">
        <v>23</v>
      </c>
      <c r="E527">
        <v>95</v>
      </c>
      <c r="F527" s="2" t="s">
        <v>3577</v>
      </c>
      <c r="G527" s="2" t="s">
        <v>3578</v>
      </c>
      <c r="H527" s="2" t="s">
        <v>3579</v>
      </c>
      <c r="I527" s="2" t="s">
        <v>3580</v>
      </c>
      <c r="J527" t="s">
        <v>3581</v>
      </c>
      <c r="L527" s="1">
        <v>2</v>
      </c>
      <c r="M527" s="1"/>
      <c r="N527" s="1"/>
      <c r="O527" s="3"/>
    </row>
    <row r="528" spans="1:15" ht="409.6">
      <c r="A528" t="s">
        <v>3421</v>
      </c>
      <c r="B528" t="s">
        <v>3582</v>
      </c>
      <c r="C528" t="s">
        <v>13</v>
      </c>
      <c r="D528" t="s">
        <v>14</v>
      </c>
      <c r="E528">
        <v>45</v>
      </c>
      <c r="F528" s="2" t="s">
        <v>3583</v>
      </c>
      <c r="G528" s="2" t="s">
        <v>3584</v>
      </c>
      <c r="H528" s="2" t="s">
        <v>3585</v>
      </c>
      <c r="I528" s="2" t="s">
        <v>3586</v>
      </c>
      <c r="J528" t="s">
        <v>3587</v>
      </c>
      <c r="L528" s="1">
        <v>2</v>
      </c>
      <c r="M528" s="1"/>
      <c r="N528" s="1"/>
      <c r="O528" s="3"/>
    </row>
    <row r="529" spans="1:15" ht="409.6">
      <c r="A529" t="s">
        <v>3588</v>
      </c>
      <c r="B529" t="s">
        <v>3589</v>
      </c>
      <c r="C529" t="s">
        <v>13</v>
      </c>
      <c r="D529" t="s">
        <v>14</v>
      </c>
      <c r="E529">
        <v>50</v>
      </c>
      <c r="F529" s="2" t="s">
        <v>3590</v>
      </c>
      <c r="G529" s="2" t="s">
        <v>3591</v>
      </c>
      <c r="H529" s="2" t="s">
        <v>3592</v>
      </c>
      <c r="I529" s="2" t="s">
        <v>3593</v>
      </c>
      <c r="J529" t="s">
        <v>3594</v>
      </c>
      <c r="L529" s="1">
        <v>2</v>
      </c>
      <c r="M529" s="1"/>
      <c r="N529" s="1"/>
      <c r="O529" s="3"/>
    </row>
    <row r="530" spans="1:15" ht="409.6">
      <c r="A530" t="s">
        <v>3595</v>
      </c>
      <c r="B530" t="s">
        <v>3596</v>
      </c>
      <c r="C530" t="s">
        <v>13</v>
      </c>
      <c r="D530" t="s">
        <v>14</v>
      </c>
      <c r="E530">
        <v>30</v>
      </c>
      <c r="F530" s="2" t="s">
        <v>3597</v>
      </c>
      <c r="G530" s="2" t="s">
        <v>3598</v>
      </c>
      <c r="H530" s="2" t="s">
        <v>3599</v>
      </c>
      <c r="I530" s="2" t="s">
        <v>3600</v>
      </c>
      <c r="J530" t="s">
        <v>3601</v>
      </c>
      <c r="L530" s="1">
        <v>2</v>
      </c>
      <c r="M530" s="1"/>
      <c r="N530" s="1"/>
      <c r="O530" s="3"/>
    </row>
    <row r="531" spans="1:15" ht="409.6">
      <c r="A531" t="s">
        <v>3602</v>
      </c>
      <c r="B531" t="s">
        <v>3603</v>
      </c>
      <c r="C531" t="s">
        <v>13</v>
      </c>
      <c r="D531" t="s">
        <v>23</v>
      </c>
      <c r="E531">
        <v>30</v>
      </c>
      <c r="F531" s="2" t="s">
        <v>3604</v>
      </c>
      <c r="G531" s="2" t="s">
        <v>3605</v>
      </c>
      <c r="H531" s="2" t="s">
        <v>3606</v>
      </c>
      <c r="I531" s="2" t="s">
        <v>3607</v>
      </c>
      <c r="J531" t="s">
        <v>3608</v>
      </c>
      <c r="L531" s="1">
        <v>2</v>
      </c>
      <c r="M531" s="1"/>
      <c r="N531" s="1"/>
      <c r="O531" s="3"/>
    </row>
    <row r="532" spans="1:15" ht="409.6">
      <c r="A532" t="s">
        <v>3609</v>
      </c>
      <c r="B532" t="s">
        <v>3610</v>
      </c>
      <c r="C532" t="s">
        <v>13</v>
      </c>
      <c r="D532" t="s">
        <v>14</v>
      </c>
      <c r="E532">
        <v>10</v>
      </c>
      <c r="F532" s="2" t="s">
        <v>3611</v>
      </c>
      <c r="G532" s="2" t="s">
        <v>3612</v>
      </c>
      <c r="H532" s="2" t="s">
        <v>3613</v>
      </c>
      <c r="I532" s="2" t="s">
        <v>3614</v>
      </c>
      <c r="J532" t="s">
        <v>3615</v>
      </c>
      <c r="L532" s="1">
        <v>2</v>
      </c>
      <c r="M532" s="1"/>
      <c r="N532" s="1"/>
      <c r="O532" s="3"/>
    </row>
    <row r="533" spans="1:15" ht="409.6">
      <c r="A533" t="s">
        <v>3616</v>
      </c>
      <c r="B533" t="s">
        <v>3617</v>
      </c>
      <c r="C533" t="s">
        <v>13</v>
      </c>
      <c r="D533" t="s">
        <v>23</v>
      </c>
      <c r="E533">
        <v>40</v>
      </c>
      <c r="F533" s="2" t="s">
        <v>3618</v>
      </c>
      <c r="G533" s="2" t="s">
        <v>3619</v>
      </c>
      <c r="H533" s="2" t="s">
        <v>3620</v>
      </c>
      <c r="I533" s="2" t="s">
        <v>3621</v>
      </c>
      <c r="J533" t="s">
        <v>3622</v>
      </c>
      <c r="L533" s="1">
        <v>2</v>
      </c>
      <c r="M533" s="1"/>
      <c r="N533" s="1"/>
      <c r="O533" s="3"/>
    </row>
    <row r="534" spans="1:15" ht="409.6">
      <c r="A534" t="s">
        <v>3623</v>
      </c>
      <c r="B534" t="s">
        <v>3624</v>
      </c>
      <c r="C534" t="s">
        <v>13</v>
      </c>
      <c r="D534" t="s">
        <v>23</v>
      </c>
      <c r="E534">
        <v>30</v>
      </c>
      <c r="F534" s="2" t="s">
        <v>3625</v>
      </c>
      <c r="G534" s="2" t="s">
        <v>3626</v>
      </c>
      <c r="H534" s="2" t="s">
        <v>3627</v>
      </c>
      <c r="I534" s="2" t="s">
        <v>3628</v>
      </c>
      <c r="J534" t="s">
        <v>3629</v>
      </c>
      <c r="L534" s="1">
        <v>2</v>
      </c>
      <c r="M534" s="1"/>
      <c r="N534" s="1"/>
      <c r="O534" s="3"/>
    </row>
    <row r="535" spans="1:15" ht="409.6">
      <c r="A535" t="s">
        <v>3630</v>
      </c>
      <c r="B535" t="s">
        <v>3631</v>
      </c>
      <c r="C535" t="s">
        <v>13</v>
      </c>
      <c r="D535" t="s">
        <v>23</v>
      </c>
      <c r="E535">
        <v>45</v>
      </c>
      <c r="F535" s="2" t="s">
        <v>3632</v>
      </c>
      <c r="G535" s="2" t="s">
        <v>3633</v>
      </c>
      <c r="H535" s="2" t="s">
        <v>3634</v>
      </c>
      <c r="I535" s="2" t="s">
        <v>3635</v>
      </c>
      <c r="J535" t="s">
        <v>3636</v>
      </c>
      <c r="L535" s="1">
        <v>2</v>
      </c>
      <c r="M535" s="1"/>
      <c r="N535" s="1"/>
      <c r="O535" s="3"/>
    </row>
    <row r="536" spans="1:15" ht="409.6">
      <c r="A536" t="s">
        <v>3637</v>
      </c>
      <c r="B536" t="s">
        <v>3638</v>
      </c>
      <c r="C536" t="s">
        <v>13</v>
      </c>
      <c r="D536" t="s">
        <v>23</v>
      </c>
      <c r="E536">
        <v>25</v>
      </c>
      <c r="F536" s="2" t="s">
        <v>3639</v>
      </c>
      <c r="G536" s="2" t="s">
        <v>3640</v>
      </c>
      <c r="H536" s="2" t="s">
        <v>3641</v>
      </c>
      <c r="I536" s="2" t="s">
        <v>3642</v>
      </c>
      <c r="J536" t="s">
        <v>3643</v>
      </c>
      <c r="L536" s="1">
        <v>2</v>
      </c>
      <c r="M536" s="1"/>
      <c r="N536" s="1"/>
      <c r="O536" s="3"/>
    </row>
    <row r="537" spans="1:15" ht="409.6">
      <c r="A537" t="s">
        <v>3644</v>
      </c>
      <c r="B537" t="s">
        <v>3645</v>
      </c>
      <c r="C537" t="s">
        <v>13</v>
      </c>
      <c r="D537" t="s">
        <v>23</v>
      </c>
      <c r="E537">
        <v>35</v>
      </c>
      <c r="F537" s="2" t="s">
        <v>3646</v>
      </c>
      <c r="G537" s="2" t="s">
        <v>3647</v>
      </c>
      <c r="H537" s="2" t="s">
        <v>3648</v>
      </c>
      <c r="I537" s="2" t="s">
        <v>3649</v>
      </c>
      <c r="J537" t="s">
        <v>3650</v>
      </c>
      <c r="L537" s="1">
        <v>2</v>
      </c>
      <c r="M537" s="1"/>
      <c r="N537" s="1"/>
      <c r="O537" s="3"/>
    </row>
    <row r="538" spans="1:15" ht="409.6">
      <c r="A538" t="s">
        <v>3651</v>
      </c>
      <c r="B538" t="s">
        <v>3652</v>
      </c>
      <c r="C538" t="s">
        <v>13</v>
      </c>
      <c r="D538" t="s">
        <v>14</v>
      </c>
      <c r="E538">
        <v>15</v>
      </c>
      <c r="F538" s="2" t="s">
        <v>3653</v>
      </c>
      <c r="G538" s="2" t="s">
        <v>3654</v>
      </c>
      <c r="H538" s="2" t="s">
        <v>3655</v>
      </c>
      <c r="I538" s="2" t="s">
        <v>3656</v>
      </c>
      <c r="J538" t="s">
        <v>3657</v>
      </c>
      <c r="L538" s="1">
        <v>2</v>
      </c>
      <c r="M538" s="1"/>
      <c r="N538" s="1"/>
      <c r="O538" s="3"/>
    </row>
    <row r="539" spans="1:15" ht="409.6">
      <c r="A539" t="s">
        <v>3658</v>
      </c>
      <c r="B539" t="s">
        <v>3659</v>
      </c>
      <c r="C539" t="s">
        <v>13</v>
      </c>
      <c r="D539" t="s">
        <v>14</v>
      </c>
      <c r="E539">
        <v>15</v>
      </c>
      <c r="F539" s="2" t="s">
        <v>3660</v>
      </c>
      <c r="G539" s="2" t="s">
        <v>3661</v>
      </c>
      <c r="H539" s="2" t="s">
        <v>3662</v>
      </c>
      <c r="I539" s="2" t="s">
        <v>3663</v>
      </c>
      <c r="J539" t="s">
        <v>3664</v>
      </c>
      <c r="L539" s="1">
        <v>2</v>
      </c>
      <c r="M539" s="1"/>
      <c r="N539" s="1"/>
      <c r="O539" s="3"/>
    </row>
    <row r="540" spans="1:15" ht="409.6">
      <c r="A540" t="s">
        <v>3665</v>
      </c>
      <c r="B540" t="s">
        <v>3666</v>
      </c>
      <c r="C540" t="s">
        <v>13</v>
      </c>
      <c r="D540" t="s">
        <v>14</v>
      </c>
      <c r="E540">
        <v>15</v>
      </c>
      <c r="F540" s="2" t="s">
        <v>3667</v>
      </c>
      <c r="G540" s="2" t="s">
        <v>3668</v>
      </c>
      <c r="H540" s="2" t="s">
        <v>3669</v>
      </c>
      <c r="I540" s="2" t="s">
        <v>3670</v>
      </c>
      <c r="J540" t="s">
        <v>3671</v>
      </c>
      <c r="L540" s="1">
        <v>2</v>
      </c>
      <c r="M540" s="1"/>
      <c r="N540" s="1"/>
      <c r="O540" s="3"/>
    </row>
    <row r="541" spans="1:15" ht="409.6">
      <c r="A541" t="s">
        <v>3672</v>
      </c>
      <c r="B541" t="s">
        <v>3673</v>
      </c>
      <c r="C541" t="s">
        <v>13</v>
      </c>
      <c r="D541" t="s">
        <v>23</v>
      </c>
      <c r="E541">
        <v>45</v>
      </c>
      <c r="F541" s="2" t="s">
        <v>3674</v>
      </c>
      <c r="G541" s="2" t="s">
        <v>3675</v>
      </c>
      <c r="H541" s="2" t="s">
        <v>3676</v>
      </c>
      <c r="I541" s="2" t="s">
        <v>3677</v>
      </c>
      <c r="J541" t="s">
        <v>3678</v>
      </c>
      <c r="L541" s="1">
        <v>2</v>
      </c>
      <c r="M541" s="1"/>
      <c r="N541" s="1"/>
      <c r="O541" s="3"/>
    </row>
    <row r="542" spans="1:15" ht="409.6">
      <c r="A542" t="s">
        <v>3679</v>
      </c>
      <c r="B542" t="s">
        <v>3680</v>
      </c>
      <c r="C542" t="s">
        <v>13</v>
      </c>
      <c r="D542" t="s">
        <v>14</v>
      </c>
      <c r="E542">
        <v>25</v>
      </c>
      <c r="F542" s="2" t="s">
        <v>3681</v>
      </c>
      <c r="G542" s="2" t="s">
        <v>3682</v>
      </c>
      <c r="H542" s="2" t="s">
        <v>3683</v>
      </c>
      <c r="I542" s="2" t="s">
        <v>3684</v>
      </c>
      <c r="J542" t="s">
        <v>3685</v>
      </c>
      <c r="L542" s="1">
        <v>2</v>
      </c>
      <c r="M542" s="1"/>
      <c r="N542" s="1"/>
      <c r="O542" s="3"/>
    </row>
    <row r="543" spans="1:15" ht="409.6">
      <c r="A543" t="s">
        <v>3686</v>
      </c>
      <c r="B543" t="s">
        <v>3687</v>
      </c>
      <c r="C543" t="s">
        <v>13</v>
      </c>
      <c r="D543" t="s">
        <v>23</v>
      </c>
      <c r="E543">
        <v>45</v>
      </c>
      <c r="F543" s="2" t="s">
        <v>3688</v>
      </c>
      <c r="G543" s="2" t="s">
        <v>3689</v>
      </c>
      <c r="H543" s="2" t="s">
        <v>3690</v>
      </c>
      <c r="I543" s="2" t="s">
        <v>3691</v>
      </c>
      <c r="J543" t="s">
        <v>3692</v>
      </c>
      <c r="L543" s="1">
        <v>2</v>
      </c>
      <c r="M543" s="1"/>
      <c r="N543" s="1"/>
      <c r="O543" s="3"/>
    </row>
    <row r="544" spans="1:15" ht="409.6">
      <c r="A544" t="s">
        <v>3693</v>
      </c>
      <c r="B544" t="s">
        <v>3694</v>
      </c>
      <c r="C544" t="s">
        <v>13</v>
      </c>
      <c r="D544" t="s">
        <v>23</v>
      </c>
      <c r="E544">
        <v>80</v>
      </c>
      <c r="F544" s="2" t="s">
        <v>3695</v>
      </c>
      <c r="G544" s="2" t="s">
        <v>3696</v>
      </c>
      <c r="H544" s="2" t="s">
        <v>3697</v>
      </c>
      <c r="I544" s="2" t="s">
        <v>3698</v>
      </c>
      <c r="J544" t="s">
        <v>3699</v>
      </c>
      <c r="L544" s="1">
        <v>2</v>
      </c>
      <c r="M544" s="1"/>
      <c r="N544" s="1"/>
      <c r="O544" s="3"/>
    </row>
    <row r="545" spans="1:15" ht="409.6">
      <c r="A545" t="s">
        <v>3700</v>
      </c>
      <c r="B545" t="s">
        <v>3701</v>
      </c>
      <c r="C545" t="s">
        <v>13</v>
      </c>
      <c r="D545" t="s">
        <v>23</v>
      </c>
      <c r="E545">
        <v>30</v>
      </c>
      <c r="F545" s="2" t="s">
        <v>3702</v>
      </c>
      <c r="G545" s="2" t="s">
        <v>3703</v>
      </c>
      <c r="H545" s="2" t="s">
        <v>3704</v>
      </c>
      <c r="I545" s="2" t="s">
        <v>3705</v>
      </c>
      <c r="J545" t="s">
        <v>3706</v>
      </c>
      <c r="L545" s="1">
        <v>2</v>
      </c>
      <c r="M545" s="1"/>
      <c r="N545" s="1"/>
      <c r="O545" s="3"/>
    </row>
    <row r="546" spans="1:15" ht="409.6">
      <c r="A546" t="s">
        <v>3707</v>
      </c>
      <c r="B546" t="s">
        <v>3708</v>
      </c>
      <c r="C546" t="s">
        <v>3709</v>
      </c>
      <c r="D546" t="s">
        <v>23</v>
      </c>
      <c r="E546">
        <v>4</v>
      </c>
      <c r="F546" s="2" t="s">
        <v>3710</v>
      </c>
      <c r="G546" s="2" t="s">
        <v>3711</v>
      </c>
      <c r="H546" s="2" t="s">
        <v>3712</v>
      </c>
      <c r="I546" s="2" t="s">
        <v>3713</v>
      </c>
      <c r="J546" t="s">
        <v>3714</v>
      </c>
      <c r="K546" t="s">
        <v>3715</v>
      </c>
      <c r="L546" s="1">
        <v>2</v>
      </c>
      <c r="M546" s="1"/>
      <c r="N546" s="1"/>
      <c r="O546" s="3"/>
    </row>
    <row r="547" spans="1:15" ht="409.6">
      <c r="A547" t="s">
        <v>3716</v>
      </c>
      <c r="B547" t="s">
        <v>3717</v>
      </c>
      <c r="C547" t="s">
        <v>3709</v>
      </c>
      <c r="D547" t="s">
        <v>23</v>
      </c>
      <c r="E547">
        <v>5</v>
      </c>
      <c r="F547" s="2" t="s">
        <v>3718</v>
      </c>
      <c r="G547" s="2" t="s">
        <v>3719</v>
      </c>
      <c r="H547" s="2" t="s">
        <v>3720</v>
      </c>
      <c r="I547" s="2" t="s">
        <v>3721</v>
      </c>
      <c r="J547" t="s">
        <v>3722</v>
      </c>
      <c r="L547" s="1">
        <v>2</v>
      </c>
      <c r="M547" s="1"/>
      <c r="N547" s="1"/>
      <c r="O547" s="3"/>
    </row>
    <row r="548" spans="1:15" ht="409.6">
      <c r="A548" t="s">
        <v>3723</v>
      </c>
      <c r="B548" t="s">
        <v>3724</v>
      </c>
      <c r="C548" t="s">
        <v>3709</v>
      </c>
      <c r="D548" t="s">
        <v>23</v>
      </c>
      <c r="E548">
        <v>5</v>
      </c>
      <c r="F548" s="2" t="s">
        <v>3725</v>
      </c>
      <c r="G548" s="2" t="s">
        <v>3726</v>
      </c>
      <c r="H548" s="2" t="s">
        <v>3727</v>
      </c>
      <c r="I548" s="2" t="s">
        <v>3728</v>
      </c>
      <c r="J548" t="s">
        <v>3729</v>
      </c>
      <c r="L548" s="1">
        <v>2</v>
      </c>
      <c r="M548" s="1"/>
      <c r="N548" s="1"/>
      <c r="O548" s="3"/>
    </row>
    <row r="549" spans="1:15" ht="409.6">
      <c r="A549" t="s">
        <v>3730</v>
      </c>
      <c r="B549" t="s">
        <v>3731</v>
      </c>
      <c r="C549" t="s">
        <v>3709</v>
      </c>
      <c r="D549" t="s">
        <v>23</v>
      </c>
      <c r="E549">
        <v>5</v>
      </c>
      <c r="F549" s="2" t="s">
        <v>3732</v>
      </c>
      <c r="G549" s="2" t="s">
        <v>3733</v>
      </c>
      <c r="H549" s="2" t="s">
        <v>3734</v>
      </c>
      <c r="I549" s="2" t="s">
        <v>3735</v>
      </c>
      <c r="J549" t="s">
        <v>3736</v>
      </c>
      <c r="L549" s="1">
        <v>2</v>
      </c>
      <c r="M549" s="1"/>
      <c r="N549" s="1"/>
      <c r="O549" s="3"/>
    </row>
    <row r="550" spans="1:15" ht="409.6">
      <c r="A550" t="s">
        <v>3737</v>
      </c>
      <c r="B550" t="s">
        <v>3738</v>
      </c>
      <c r="C550" t="s">
        <v>3709</v>
      </c>
      <c r="D550" t="s">
        <v>23</v>
      </c>
      <c r="E550">
        <v>5</v>
      </c>
      <c r="F550" s="2" t="s">
        <v>3739</v>
      </c>
      <c r="G550" s="2" t="s">
        <v>3740</v>
      </c>
      <c r="H550" s="2" t="s">
        <v>3741</v>
      </c>
      <c r="I550" s="2" t="s">
        <v>3742</v>
      </c>
      <c r="J550" t="s">
        <v>3743</v>
      </c>
      <c r="L550" s="1">
        <v>2</v>
      </c>
      <c r="M550" s="1"/>
      <c r="N550" s="1"/>
      <c r="O550" s="3"/>
    </row>
    <row r="551" spans="1:15" ht="409.6">
      <c r="A551" t="s">
        <v>3744</v>
      </c>
      <c r="B551" t="s">
        <v>3745</v>
      </c>
      <c r="C551" t="s">
        <v>3709</v>
      </c>
      <c r="D551" t="s">
        <v>23</v>
      </c>
      <c r="E551">
        <v>5</v>
      </c>
      <c r="F551" s="2" t="s">
        <v>3746</v>
      </c>
      <c r="G551" s="2" t="s">
        <v>3747</v>
      </c>
      <c r="H551" s="2" t="s">
        <v>3748</v>
      </c>
      <c r="I551" s="2" t="s">
        <v>3749</v>
      </c>
      <c r="J551" t="s">
        <v>3750</v>
      </c>
      <c r="L551" s="1">
        <v>2</v>
      </c>
      <c r="M551" s="1"/>
      <c r="N551" s="1"/>
      <c r="O551" s="3"/>
    </row>
    <row r="552" spans="1:15" ht="409.6">
      <c r="A552" t="s">
        <v>3751</v>
      </c>
      <c r="B552" t="s">
        <v>3752</v>
      </c>
      <c r="C552" t="s">
        <v>3709</v>
      </c>
      <c r="D552" t="s">
        <v>23</v>
      </c>
      <c r="E552">
        <v>15</v>
      </c>
      <c r="F552" s="2" t="s">
        <v>3753</v>
      </c>
      <c r="G552" s="2" t="s">
        <v>3754</v>
      </c>
      <c r="H552" s="2" t="s">
        <v>3755</v>
      </c>
      <c r="I552" s="2" t="s">
        <v>3756</v>
      </c>
      <c r="J552" t="s">
        <v>3757</v>
      </c>
      <c r="L552" s="1">
        <v>2</v>
      </c>
      <c r="M552" s="1"/>
      <c r="N552" s="1"/>
      <c r="O552" s="3"/>
    </row>
    <row r="553" spans="1:15" ht="409.6">
      <c r="A553" t="s">
        <v>3758</v>
      </c>
      <c r="B553" t="s">
        <v>3759</v>
      </c>
      <c r="C553" t="s">
        <v>3709</v>
      </c>
      <c r="D553" t="s">
        <v>23</v>
      </c>
      <c r="E553">
        <v>10</v>
      </c>
      <c r="F553" s="2" t="s">
        <v>3760</v>
      </c>
      <c r="G553" s="2" t="s">
        <v>3761</v>
      </c>
      <c r="H553" s="2" t="s">
        <v>3762</v>
      </c>
      <c r="I553" s="2" t="s">
        <v>3763</v>
      </c>
      <c r="J553" t="s">
        <v>3764</v>
      </c>
      <c r="L553" s="1">
        <v>2</v>
      </c>
      <c r="M553" s="1"/>
      <c r="N553" s="1"/>
      <c r="O553" s="3"/>
    </row>
    <row r="554" spans="1:15" ht="409.6">
      <c r="A554" t="s">
        <v>3765</v>
      </c>
      <c r="B554" t="s">
        <v>3766</v>
      </c>
      <c r="C554" t="s">
        <v>3709</v>
      </c>
      <c r="D554" t="s">
        <v>23</v>
      </c>
      <c r="E554">
        <v>5</v>
      </c>
      <c r="F554" s="2" t="s">
        <v>3767</v>
      </c>
      <c r="G554" s="2" t="s">
        <v>3768</v>
      </c>
      <c r="H554" s="2" t="s">
        <v>3769</v>
      </c>
      <c r="I554" s="2" t="s">
        <v>3770</v>
      </c>
      <c r="J554" t="s">
        <v>3771</v>
      </c>
      <c r="L554" s="1">
        <v>2</v>
      </c>
      <c r="M554" s="1"/>
      <c r="N554" s="1"/>
      <c r="O554" s="3"/>
    </row>
    <row r="555" spans="1:15" ht="409.6">
      <c r="A555" t="s">
        <v>3772</v>
      </c>
      <c r="B555" t="s">
        <v>3773</v>
      </c>
      <c r="C555" t="s">
        <v>3709</v>
      </c>
      <c r="D555" t="s">
        <v>23</v>
      </c>
      <c r="E555">
        <v>5</v>
      </c>
      <c r="F555" s="2" t="s">
        <v>3774</v>
      </c>
      <c r="G555" s="2" t="s">
        <v>3775</v>
      </c>
      <c r="H555" s="2" t="s">
        <v>3776</v>
      </c>
      <c r="I555" s="2" t="s">
        <v>3777</v>
      </c>
      <c r="J555" t="s">
        <v>3778</v>
      </c>
      <c r="L555" s="1">
        <v>2</v>
      </c>
      <c r="M555" s="1"/>
      <c r="N555" s="1"/>
      <c r="O555" s="3"/>
    </row>
    <row r="556" spans="1:15" ht="409.6">
      <c r="A556" t="s">
        <v>3779</v>
      </c>
      <c r="B556" t="s">
        <v>3773</v>
      </c>
      <c r="C556" t="s">
        <v>3709</v>
      </c>
      <c r="D556" t="s">
        <v>23</v>
      </c>
      <c r="E556">
        <v>15</v>
      </c>
      <c r="F556" s="2" t="s">
        <v>3780</v>
      </c>
      <c r="G556" s="2" t="s">
        <v>3781</v>
      </c>
      <c r="H556" s="2" t="s">
        <v>3782</v>
      </c>
      <c r="I556" s="2" t="s">
        <v>3783</v>
      </c>
      <c r="J556" t="s">
        <v>3784</v>
      </c>
      <c r="L556" s="1">
        <v>2</v>
      </c>
      <c r="M556" s="1"/>
      <c r="N556" s="1"/>
      <c r="O556" s="3"/>
    </row>
    <row r="557" spans="1:15" ht="409.6">
      <c r="A557" t="s">
        <v>3785</v>
      </c>
      <c r="B557" t="s">
        <v>3786</v>
      </c>
      <c r="C557" t="s">
        <v>3709</v>
      </c>
      <c r="D557" t="s">
        <v>23</v>
      </c>
      <c r="E557">
        <v>10</v>
      </c>
      <c r="F557" s="2" t="s">
        <v>3787</v>
      </c>
      <c r="G557" s="2" t="s">
        <v>3788</v>
      </c>
      <c r="H557" s="2" t="s">
        <v>3789</v>
      </c>
      <c r="I557" s="2" t="s">
        <v>3790</v>
      </c>
      <c r="J557" t="s">
        <v>3791</v>
      </c>
      <c r="L557" s="1">
        <v>2</v>
      </c>
      <c r="M557" s="1"/>
      <c r="N557" s="1"/>
      <c r="O557" s="3"/>
    </row>
    <row r="558" spans="1:15" ht="409.6">
      <c r="A558" t="s">
        <v>3792</v>
      </c>
      <c r="B558" t="s">
        <v>3793</v>
      </c>
      <c r="C558" t="s">
        <v>3709</v>
      </c>
      <c r="D558" t="s">
        <v>23</v>
      </c>
      <c r="E558">
        <v>5</v>
      </c>
      <c r="F558" s="2" t="s">
        <v>3794</v>
      </c>
      <c r="G558" s="2" t="s">
        <v>3795</v>
      </c>
      <c r="H558" s="2" t="s">
        <v>3796</v>
      </c>
      <c r="I558" s="2" t="s">
        <v>3797</v>
      </c>
      <c r="J558" t="s">
        <v>3798</v>
      </c>
      <c r="L558" s="1">
        <v>2</v>
      </c>
      <c r="M558" s="1"/>
      <c r="N558" s="1"/>
      <c r="O558" s="3"/>
    </row>
    <row r="559" spans="1:15" ht="409.6">
      <c r="A559" t="s">
        <v>3799</v>
      </c>
      <c r="B559" t="s">
        <v>3800</v>
      </c>
      <c r="C559" t="s">
        <v>3709</v>
      </c>
      <c r="D559" t="s">
        <v>23</v>
      </c>
      <c r="E559">
        <v>10</v>
      </c>
      <c r="F559" s="2" t="s">
        <v>3801</v>
      </c>
      <c r="G559" s="2" t="s">
        <v>3802</v>
      </c>
      <c r="H559" s="2" t="s">
        <v>3803</v>
      </c>
      <c r="I559" s="2" t="s">
        <v>3804</v>
      </c>
      <c r="J559" t="s">
        <v>3805</v>
      </c>
      <c r="L559" s="1">
        <v>2</v>
      </c>
      <c r="M559" s="1"/>
      <c r="N559" s="1"/>
      <c r="O559" s="3"/>
    </row>
    <row r="560" spans="1:15" ht="409.6">
      <c r="A560" t="s">
        <v>3806</v>
      </c>
      <c r="B560" t="s">
        <v>3807</v>
      </c>
      <c r="C560" t="s">
        <v>3709</v>
      </c>
      <c r="D560" t="s">
        <v>23</v>
      </c>
      <c r="E560">
        <v>5</v>
      </c>
      <c r="F560" s="2" t="s">
        <v>3808</v>
      </c>
      <c r="G560" s="2" t="s">
        <v>3809</v>
      </c>
      <c r="H560" s="2" t="s">
        <v>3810</v>
      </c>
      <c r="I560" s="2" t="s">
        <v>3811</v>
      </c>
      <c r="J560" t="s">
        <v>3812</v>
      </c>
      <c r="L560" s="1">
        <v>2</v>
      </c>
      <c r="M560" s="1"/>
      <c r="N560" s="1"/>
      <c r="O560" s="3"/>
    </row>
    <row r="561" spans="1:15" ht="409.6">
      <c r="A561" t="s">
        <v>3813</v>
      </c>
      <c r="B561" t="s">
        <v>3814</v>
      </c>
      <c r="C561" t="s">
        <v>3709</v>
      </c>
      <c r="D561" t="s">
        <v>23</v>
      </c>
      <c r="E561">
        <v>5</v>
      </c>
      <c r="F561" s="2" t="s">
        <v>3815</v>
      </c>
      <c r="G561" s="2" t="s">
        <v>3816</v>
      </c>
      <c r="H561" s="2" t="s">
        <v>3817</v>
      </c>
      <c r="I561" s="2" t="s">
        <v>3818</v>
      </c>
      <c r="J561" t="s">
        <v>3819</v>
      </c>
      <c r="L561" s="1">
        <v>2</v>
      </c>
      <c r="M561" s="1"/>
      <c r="N561" s="1"/>
      <c r="O561" s="3"/>
    </row>
    <row r="562" spans="1:15" ht="409.6">
      <c r="A562" t="s">
        <v>3820</v>
      </c>
      <c r="B562" t="s">
        <v>3821</v>
      </c>
      <c r="C562" t="s">
        <v>3709</v>
      </c>
      <c r="D562" t="s">
        <v>23</v>
      </c>
      <c r="E562">
        <v>5</v>
      </c>
      <c r="F562" s="2" t="s">
        <v>3822</v>
      </c>
      <c r="G562" s="2" t="s">
        <v>3823</v>
      </c>
      <c r="H562" s="2" t="s">
        <v>3824</v>
      </c>
      <c r="I562" s="2" t="s">
        <v>3825</v>
      </c>
      <c r="J562" t="s">
        <v>3826</v>
      </c>
      <c r="L562" s="1">
        <v>2</v>
      </c>
      <c r="M562" s="1"/>
      <c r="N562" s="1"/>
      <c r="O562" s="3"/>
    </row>
    <row r="563" spans="1:15" ht="356.4">
      <c r="A563" t="s">
        <v>3827</v>
      </c>
      <c r="B563" t="s">
        <v>3828</v>
      </c>
      <c r="C563" t="s">
        <v>3709</v>
      </c>
      <c r="D563" t="s">
        <v>23</v>
      </c>
      <c r="E563">
        <v>5</v>
      </c>
      <c r="F563" s="2" t="s">
        <v>3829</v>
      </c>
      <c r="G563" s="2" t="s">
        <v>3830</v>
      </c>
      <c r="H563" s="2" t="s">
        <v>3831</v>
      </c>
      <c r="I563" s="2" t="s">
        <v>3832</v>
      </c>
      <c r="J563" t="s">
        <v>3833</v>
      </c>
      <c r="L563" s="1">
        <v>2</v>
      </c>
      <c r="M563" s="1"/>
      <c r="N563" s="1"/>
      <c r="O563" s="3"/>
    </row>
    <row r="564" spans="1:15" ht="409.6">
      <c r="A564" t="s">
        <v>3834</v>
      </c>
      <c r="B564" t="s">
        <v>3835</v>
      </c>
      <c r="C564" t="s">
        <v>3709</v>
      </c>
      <c r="D564" t="s">
        <v>23</v>
      </c>
      <c r="E564">
        <v>10</v>
      </c>
      <c r="F564" s="2" t="s">
        <v>3836</v>
      </c>
      <c r="G564" s="2" t="s">
        <v>3837</v>
      </c>
      <c r="H564" s="2" t="s">
        <v>3838</v>
      </c>
      <c r="I564" s="2" t="s">
        <v>3839</v>
      </c>
      <c r="J564" t="s">
        <v>3840</v>
      </c>
      <c r="L564" s="1">
        <v>2</v>
      </c>
      <c r="M564" s="1"/>
      <c r="N564" s="1"/>
      <c r="O564" s="3"/>
    </row>
    <row r="565" spans="1:15" ht="277.2">
      <c r="A565" t="s">
        <v>2670</v>
      </c>
      <c r="B565" t="s">
        <v>2671</v>
      </c>
      <c r="C565" t="s">
        <v>3709</v>
      </c>
      <c r="D565" t="s">
        <v>23</v>
      </c>
      <c r="E565">
        <v>5</v>
      </c>
      <c r="F565" s="2" t="s">
        <v>3841</v>
      </c>
      <c r="G565" s="2" t="s">
        <v>3842</v>
      </c>
      <c r="H565" s="2" t="s">
        <v>3843</v>
      </c>
      <c r="I565" s="2" t="s">
        <v>3844</v>
      </c>
      <c r="J565" t="s">
        <v>3845</v>
      </c>
      <c r="L565" s="1">
        <v>2</v>
      </c>
      <c r="M565" s="1"/>
      <c r="N565" s="1"/>
      <c r="O565" s="3"/>
    </row>
    <row r="566" spans="1:15" ht="409.6">
      <c r="A566" t="s">
        <v>3846</v>
      </c>
      <c r="B566" t="s">
        <v>3847</v>
      </c>
      <c r="C566" t="s">
        <v>3709</v>
      </c>
      <c r="D566" t="s">
        <v>23</v>
      </c>
      <c r="E566">
        <v>5</v>
      </c>
      <c r="F566" s="2" t="s">
        <v>3848</v>
      </c>
      <c r="G566" s="2" t="s">
        <v>3849</v>
      </c>
      <c r="H566" s="2" t="s">
        <v>3850</v>
      </c>
      <c r="I566" s="2" t="s">
        <v>3851</v>
      </c>
      <c r="J566" t="s">
        <v>3852</v>
      </c>
      <c r="L566" s="1">
        <v>2</v>
      </c>
      <c r="M566" s="1"/>
      <c r="N566" s="1"/>
      <c r="O566" s="3"/>
    </row>
    <row r="567" spans="1:15" ht="409.6">
      <c r="A567" t="s">
        <v>3853</v>
      </c>
      <c r="B567" t="s">
        <v>3854</v>
      </c>
      <c r="C567" t="s">
        <v>3709</v>
      </c>
      <c r="D567" t="s">
        <v>23</v>
      </c>
      <c r="E567">
        <v>5</v>
      </c>
      <c r="F567" s="2" t="s">
        <v>3855</v>
      </c>
      <c r="G567" s="2" t="s">
        <v>3856</v>
      </c>
      <c r="H567" s="2" t="s">
        <v>3857</v>
      </c>
      <c r="I567" s="2" t="s">
        <v>3858</v>
      </c>
      <c r="J567" t="s">
        <v>3859</v>
      </c>
      <c r="L567" s="1">
        <v>2</v>
      </c>
      <c r="M567" s="1"/>
      <c r="N567" s="1"/>
      <c r="O567" s="3"/>
    </row>
    <row r="568" spans="1:15" ht="409.6">
      <c r="A568" t="s">
        <v>3860</v>
      </c>
      <c r="B568" t="s">
        <v>3861</v>
      </c>
      <c r="C568" t="s">
        <v>3709</v>
      </c>
      <c r="D568" t="s">
        <v>23</v>
      </c>
      <c r="E568">
        <v>5</v>
      </c>
      <c r="F568" s="2" t="s">
        <v>3862</v>
      </c>
      <c r="G568" s="2" t="s">
        <v>3863</v>
      </c>
      <c r="H568" s="2" t="s">
        <v>3864</v>
      </c>
      <c r="I568" s="2" t="s">
        <v>3865</v>
      </c>
      <c r="J568" t="s">
        <v>3866</v>
      </c>
      <c r="L568" s="1">
        <v>2</v>
      </c>
      <c r="M568" s="1"/>
      <c r="N568" s="1"/>
      <c r="O568" s="3"/>
    </row>
    <row r="569" spans="1:15" ht="303.60000000000002">
      <c r="A569" t="s">
        <v>3867</v>
      </c>
      <c r="B569" t="s">
        <v>3868</v>
      </c>
      <c r="C569" t="s">
        <v>3709</v>
      </c>
      <c r="D569" t="s">
        <v>23</v>
      </c>
      <c r="E569">
        <v>5</v>
      </c>
      <c r="F569" s="2" t="s">
        <v>3869</v>
      </c>
      <c r="G569" s="2" t="s">
        <v>3870</v>
      </c>
      <c r="H569" s="2" t="s">
        <v>3871</v>
      </c>
      <c r="I569" s="2" t="s">
        <v>3872</v>
      </c>
      <c r="J569" t="s">
        <v>3873</v>
      </c>
      <c r="L569" s="1">
        <v>2</v>
      </c>
      <c r="M569" s="1"/>
      <c r="N569" s="1"/>
      <c r="O569" s="3"/>
    </row>
    <row r="570" spans="1:15" ht="409.6">
      <c r="A570" t="s">
        <v>3874</v>
      </c>
      <c r="B570" t="s">
        <v>3875</v>
      </c>
      <c r="C570" t="s">
        <v>3709</v>
      </c>
      <c r="D570" t="s">
        <v>23</v>
      </c>
      <c r="E570">
        <v>10</v>
      </c>
      <c r="F570" s="2" t="s">
        <v>3876</v>
      </c>
      <c r="G570" s="2" t="s">
        <v>3877</v>
      </c>
      <c r="H570" s="2" t="s">
        <v>3878</v>
      </c>
      <c r="I570" s="2" t="s">
        <v>3879</v>
      </c>
      <c r="J570" t="s">
        <v>3880</v>
      </c>
      <c r="L570" s="1">
        <v>2</v>
      </c>
      <c r="M570" s="1"/>
      <c r="N570" s="1"/>
      <c r="O570" s="3"/>
    </row>
    <row r="571" spans="1:15" ht="409.6">
      <c r="A571" t="s">
        <v>3881</v>
      </c>
      <c r="B571" t="s">
        <v>3882</v>
      </c>
      <c r="C571" t="s">
        <v>3709</v>
      </c>
      <c r="D571" t="s">
        <v>23</v>
      </c>
      <c r="E571">
        <v>10</v>
      </c>
      <c r="F571" s="2" t="s">
        <v>3883</v>
      </c>
      <c r="G571" s="2" t="s">
        <v>3884</v>
      </c>
      <c r="H571" s="2" t="s">
        <v>3885</v>
      </c>
      <c r="I571" s="2" t="s">
        <v>3886</v>
      </c>
      <c r="J571" t="s">
        <v>3887</v>
      </c>
      <c r="L571" s="1">
        <v>2</v>
      </c>
      <c r="M571" s="1"/>
      <c r="N571" s="1"/>
      <c r="O571" s="3"/>
    </row>
    <row r="572" spans="1:15" ht="409.6">
      <c r="A572" t="s">
        <v>3888</v>
      </c>
      <c r="B572" t="s">
        <v>3889</v>
      </c>
      <c r="C572" t="s">
        <v>3709</v>
      </c>
      <c r="D572" t="s">
        <v>23</v>
      </c>
      <c r="E572">
        <v>5</v>
      </c>
      <c r="F572" s="2" t="s">
        <v>3890</v>
      </c>
      <c r="G572" s="2" t="s">
        <v>3891</v>
      </c>
      <c r="H572" s="2" t="s">
        <v>3892</v>
      </c>
      <c r="I572" s="2" t="s">
        <v>3893</v>
      </c>
      <c r="J572" t="s">
        <v>3894</v>
      </c>
      <c r="L572" s="1">
        <v>2</v>
      </c>
      <c r="M572" s="1"/>
      <c r="N572" s="1"/>
      <c r="O572" s="3"/>
    </row>
    <row r="573" spans="1:15" ht="409.6">
      <c r="A573" t="s">
        <v>3895</v>
      </c>
      <c r="B573" t="s">
        <v>3896</v>
      </c>
      <c r="C573" t="s">
        <v>3709</v>
      </c>
      <c r="D573" t="s">
        <v>23</v>
      </c>
      <c r="E573">
        <v>5</v>
      </c>
      <c r="F573" s="2" t="s">
        <v>3897</v>
      </c>
      <c r="G573" s="2" t="s">
        <v>3898</v>
      </c>
      <c r="H573" s="2" t="s">
        <v>3899</v>
      </c>
      <c r="I573" s="2" t="s">
        <v>3900</v>
      </c>
      <c r="J573" t="s">
        <v>3901</v>
      </c>
      <c r="L573" s="1">
        <v>2</v>
      </c>
      <c r="M573" s="1"/>
      <c r="N573" s="1"/>
      <c r="O573" s="3"/>
    </row>
    <row r="574" spans="1:15" ht="409.6">
      <c r="A574" t="s">
        <v>3902</v>
      </c>
      <c r="B574" t="s">
        <v>3903</v>
      </c>
      <c r="C574" t="s">
        <v>3709</v>
      </c>
      <c r="D574" t="s">
        <v>23</v>
      </c>
      <c r="E574">
        <v>5</v>
      </c>
      <c r="F574" s="2" t="s">
        <v>3904</v>
      </c>
      <c r="G574" s="2" t="s">
        <v>3905</v>
      </c>
      <c r="H574" s="2" t="s">
        <v>3906</v>
      </c>
      <c r="I574" s="2" t="s">
        <v>3907</v>
      </c>
      <c r="J574" t="s">
        <v>3908</v>
      </c>
      <c r="L574" s="1">
        <v>2</v>
      </c>
      <c r="M574" s="1"/>
      <c r="N574" s="1"/>
      <c r="O574" s="3"/>
    </row>
    <row r="575" spans="1:15" ht="409.6">
      <c r="A575" t="s">
        <v>3909</v>
      </c>
      <c r="B575" t="s">
        <v>3910</v>
      </c>
      <c r="C575" t="s">
        <v>3709</v>
      </c>
      <c r="D575" t="s">
        <v>23</v>
      </c>
      <c r="E575">
        <v>5</v>
      </c>
      <c r="F575" s="2" t="s">
        <v>3911</v>
      </c>
      <c r="G575" s="2" t="s">
        <v>3912</v>
      </c>
      <c r="H575" s="2" t="s">
        <v>3913</v>
      </c>
      <c r="I575" s="2" t="s">
        <v>3914</v>
      </c>
      <c r="J575" t="s">
        <v>3915</v>
      </c>
      <c r="L575" s="1">
        <v>2</v>
      </c>
      <c r="M575" s="1"/>
      <c r="N575" s="1"/>
      <c r="O575" s="3"/>
    </row>
    <row r="576" spans="1:15" ht="409.6">
      <c r="A576" t="s">
        <v>3916</v>
      </c>
      <c r="B576" t="s">
        <v>3917</v>
      </c>
      <c r="C576" t="s">
        <v>3709</v>
      </c>
      <c r="D576" t="s">
        <v>23</v>
      </c>
      <c r="E576">
        <v>10</v>
      </c>
      <c r="F576" s="2" t="s">
        <v>3918</v>
      </c>
      <c r="G576" s="2" t="s">
        <v>3919</v>
      </c>
      <c r="H576" s="2" t="s">
        <v>3920</v>
      </c>
      <c r="I576" s="2" t="s">
        <v>3921</v>
      </c>
      <c r="J576" t="s">
        <v>3922</v>
      </c>
      <c r="L576" s="1">
        <v>2</v>
      </c>
      <c r="M576" s="1"/>
      <c r="N576" s="1"/>
      <c r="O576" s="3"/>
    </row>
    <row r="577" spans="1:15" ht="409.6">
      <c r="A577" t="s">
        <v>3923</v>
      </c>
      <c r="B577" t="s">
        <v>3924</v>
      </c>
      <c r="C577" t="s">
        <v>3709</v>
      </c>
      <c r="D577" t="s">
        <v>23</v>
      </c>
      <c r="E577">
        <v>10</v>
      </c>
      <c r="F577" s="2" t="s">
        <v>3925</v>
      </c>
      <c r="G577" s="2" t="s">
        <v>3926</v>
      </c>
      <c r="H577" s="2" t="s">
        <v>3927</v>
      </c>
      <c r="I577" s="2" t="s">
        <v>3928</v>
      </c>
      <c r="J577" t="s">
        <v>3929</v>
      </c>
      <c r="L577" s="1">
        <v>2</v>
      </c>
      <c r="M577" s="1"/>
      <c r="N577" s="1"/>
      <c r="O577" s="3"/>
    </row>
    <row r="578" spans="1:15" ht="409.6">
      <c r="A578" t="s">
        <v>3930</v>
      </c>
      <c r="B578" t="s">
        <v>3931</v>
      </c>
      <c r="C578" t="s">
        <v>3709</v>
      </c>
      <c r="D578" t="s">
        <v>23</v>
      </c>
      <c r="E578">
        <v>5</v>
      </c>
      <c r="F578" s="2" t="s">
        <v>3932</v>
      </c>
      <c r="G578" s="2" t="s">
        <v>3933</v>
      </c>
      <c r="H578" s="2" t="s">
        <v>3934</v>
      </c>
      <c r="I578" s="2" t="s">
        <v>3935</v>
      </c>
      <c r="J578" t="s">
        <v>3936</v>
      </c>
      <c r="L578" s="1">
        <v>2</v>
      </c>
      <c r="M578" s="1"/>
      <c r="N578" s="1"/>
      <c r="O578" s="3"/>
    </row>
    <row r="579" spans="1:15" ht="409.6">
      <c r="A579" t="s">
        <v>3937</v>
      </c>
      <c r="B579" t="s">
        <v>3938</v>
      </c>
      <c r="C579" t="s">
        <v>3709</v>
      </c>
      <c r="D579" t="s">
        <v>23</v>
      </c>
      <c r="E579">
        <v>5</v>
      </c>
      <c r="F579" s="2" t="s">
        <v>3939</v>
      </c>
      <c r="G579" s="2" t="s">
        <v>3940</v>
      </c>
      <c r="H579" s="2" t="s">
        <v>3941</v>
      </c>
      <c r="I579" s="2" t="s">
        <v>3942</v>
      </c>
      <c r="J579" t="s">
        <v>3943</v>
      </c>
      <c r="L579" s="1">
        <v>2</v>
      </c>
      <c r="M579" s="1"/>
      <c r="N579" s="1"/>
      <c r="O579" s="3"/>
    </row>
    <row r="580" spans="1:15" ht="409.6">
      <c r="A580" t="s">
        <v>3944</v>
      </c>
      <c r="B580" t="s">
        <v>3945</v>
      </c>
      <c r="C580" t="s">
        <v>3709</v>
      </c>
      <c r="D580" t="s">
        <v>23</v>
      </c>
      <c r="E580">
        <v>5</v>
      </c>
      <c r="F580" s="2" t="s">
        <v>3946</v>
      </c>
      <c r="G580" s="2" t="s">
        <v>3947</v>
      </c>
      <c r="H580" s="2" t="s">
        <v>3948</v>
      </c>
      <c r="I580" s="2" t="s">
        <v>3949</v>
      </c>
      <c r="J580" t="s">
        <v>3950</v>
      </c>
      <c r="L580" s="1">
        <v>2</v>
      </c>
      <c r="M580" s="1"/>
      <c r="N580" s="1"/>
      <c r="O580" s="3"/>
    </row>
    <row r="581" spans="1:15" ht="409.6">
      <c r="A581" t="s">
        <v>3951</v>
      </c>
      <c r="B581" t="s">
        <v>3952</v>
      </c>
      <c r="C581" t="s">
        <v>3709</v>
      </c>
      <c r="D581" t="s">
        <v>23</v>
      </c>
      <c r="E581">
        <v>5</v>
      </c>
      <c r="F581" s="2" t="s">
        <v>3953</v>
      </c>
      <c r="G581" s="2" t="s">
        <v>3954</v>
      </c>
      <c r="H581" s="2" t="s">
        <v>3955</v>
      </c>
      <c r="I581" s="2" t="s">
        <v>3956</v>
      </c>
      <c r="J581" t="s">
        <v>3957</v>
      </c>
      <c r="L581" s="1">
        <v>2</v>
      </c>
      <c r="M581" s="1"/>
      <c r="N581" s="1"/>
      <c r="O581" s="3"/>
    </row>
    <row r="582" spans="1:15" ht="409.6">
      <c r="A582" t="s">
        <v>3958</v>
      </c>
      <c r="B582" t="s">
        <v>3959</v>
      </c>
      <c r="C582" t="s">
        <v>3709</v>
      </c>
      <c r="D582" t="s">
        <v>23</v>
      </c>
      <c r="E582">
        <v>5</v>
      </c>
      <c r="F582" s="2" t="s">
        <v>3960</v>
      </c>
      <c r="G582" s="2" t="s">
        <v>3961</v>
      </c>
      <c r="H582" s="2" t="s">
        <v>3962</v>
      </c>
      <c r="I582" s="2" t="s">
        <v>3963</v>
      </c>
      <c r="J582" t="s">
        <v>3964</v>
      </c>
      <c r="L582" s="1">
        <v>2</v>
      </c>
      <c r="M582" s="1"/>
      <c r="N582" s="1"/>
      <c r="O582" s="3"/>
    </row>
    <row r="583" spans="1:15" ht="409.6">
      <c r="A583" t="s">
        <v>2189</v>
      </c>
      <c r="B583" t="s">
        <v>3965</v>
      </c>
      <c r="C583" t="s">
        <v>3709</v>
      </c>
      <c r="D583" t="s">
        <v>23</v>
      </c>
      <c r="E583">
        <v>5</v>
      </c>
      <c r="F583" s="2" t="s">
        <v>3966</v>
      </c>
      <c r="G583" s="2" t="s">
        <v>3967</v>
      </c>
      <c r="H583" s="2" t="s">
        <v>3968</v>
      </c>
      <c r="I583" s="2" t="s">
        <v>3969</v>
      </c>
      <c r="J583" t="s">
        <v>3970</v>
      </c>
      <c r="L583" s="1">
        <v>2</v>
      </c>
      <c r="M583" s="1"/>
      <c r="N583" s="1"/>
      <c r="O583" s="3"/>
    </row>
    <row r="584" spans="1:15" ht="409.6">
      <c r="A584" t="s">
        <v>3971</v>
      </c>
      <c r="B584" t="s">
        <v>3972</v>
      </c>
      <c r="C584" t="s">
        <v>3709</v>
      </c>
      <c r="D584" t="s">
        <v>23</v>
      </c>
      <c r="E584">
        <v>10</v>
      </c>
      <c r="F584" s="2" t="s">
        <v>3973</v>
      </c>
      <c r="G584" s="2" t="s">
        <v>3974</v>
      </c>
      <c r="H584" s="2" t="s">
        <v>3975</v>
      </c>
      <c r="I584" s="2" t="s">
        <v>3976</v>
      </c>
      <c r="J584" t="s">
        <v>3977</v>
      </c>
      <c r="L584" s="1">
        <v>2</v>
      </c>
      <c r="M584" s="1"/>
      <c r="N584" s="1"/>
      <c r="O584" s="3"/>
    </row>
    <row r="585" spans="1:15" ht="409.6">
      <c r="A585" t="s">
        <v>3978</v>
      </c>
      <c r="B585" s="2" t="s">
        <v>3979</v>
      </c>
      <c r="C585" t="s">
        <v>3709</v>
      </c>
      <c r="D585" t="s">
        <v>23</v>
      </c>
      <c r="E585">
        <v>5</v>
      </c>
      <c r="F585" s="2" t="s">
        <v>3980</v>
      </c>
      <c r="G585" s="2" t="s">
        <v>3981</v>
      </c>
      <c r="H585" s="2" t="s">
        <v>3982</v>
      </c>
      <c r="I585" s="2" t="s">
        <v>3983</v>
      </c>
      <c r="J585" t="s">
        <v>3984</v>
      </c>
      <c r="L585" s="1">
        <v>2</v>
      </c>
      <c r="M585" s="1"/>
      <c r="N585" s="1"/>
      <c r="O585" s="3"/>
    </row>
    <row r="586" spans="1:15" ht="409.6">
      <c r="A586" t="s">
        <v>3985</v>
      </c>
      <c r="B586" t="s">
        <v>3986</v>
      </c>
      <c r="C586" t="s">
        <v>3709</v>
      </c>
      <c r="D586" t="s">
        <v>23</v>
      </c>
      <c r="E586">
        <v>10</v>
      </c>
      <c r="F586" s="2" t="s">
        <v>3987</v>
      </c>
      <c r="G586" s="2" t="s">
        <v>3988</v>
      </c>
      <c r="H586" s="2" t="s">
        <v>3989</v>
      </c>
      <c r="I586" s="2" t="s">
        <v>3990</v>
      </c>
      <c r="J586" t="s">
        <v>3991</v>
      </c>
      <c r="L586" s="1">
        <v>2</v>
      </c>
      <c r="M586" s="1"/>
      <c r="N586" s="1"/>
      <c r="O586" s="3"/>
    </row>
    <row r="587" spans="1:15" ht="409.6">
      <c r="A587" t="s">
        <v>3992</v>
      </c>
      <c r="B587" t="s">
        <v>3993</v>
      </c>
      <c r="C587" t="s">
        <v>3709</v>
      </c>
      <c r="D587" t="s">
        <v>23</v>
      </c>
      <c r="E587">
        <v>5</v>
      </c>
      <c r="F587" s="2" t="s">
        <v>3994</v>
      </c>
      <c r="G587" s="2" t="s">
        <v>3995</v>
      </c>
      <c r="H587" s="2" t="s">
        <v>3996</v>
      </c>
      <c r="I587" s="2" t="s">
        <v>3997</v>
      </c>
      <c r="J587" t="s">
        <v>3998</v>
      </c>
      <c r="L587" s="1">
        <v>2</v>
      </c>
      <c r="M587" s="1"/>
      <c r="N587" s="1"/>
      <c r="O587" s="3"/>
    </row>
    <row r="588" spans="1:15" ht="409.6">
      <c r="A588" t="s">
        <v>3999</v>
      </c>
      <c r="B588" t="s">
        <v>4000</v>
      </c>
      <c r="C588" t="s">
        <v>3709</v>
      </c>
      <c r="D588" t="s">
        <v>23</v>
      </c>
      <c r="E588">
        <v>5</v>
      </c>
      <c r="F588" s="2" t="s">
        <v>4001</v>
      </c>
      <c r="G588" s="2" t="s">
        <v>4002</v>
      </c>
      <c r="H588" s="2" t="s">
        <v>4003</v>
      </c>
      <c r="I588" s="2" t="s">
        <v>4004</v>
      </c>
      <c r="J588" t="s">
        <v>4005</v>
      </c>
      <c r="L588" s="1">
        <v>2</v>
      </c>
      <c r="M588" s="1"/>
      <c r="N588" s="1"/>
      <c r="O588" s="3"/>
    </row>
    <row r="589" spans="1:15" ht="264">
      <c r="A589" t="s">
        <v>4006</v>
      </c>
      <c r="B589" t="s">
        <v>4007</v>
      </c>
      <c r="C589" t="s">
        <v>3709</v>
      </c>
      <c r="D589" t="s">
        <v>23</v>
      </c>
      <c r="E589">
        <v>5</v>
      </c>
      <c r="F589" s="2" t="s">
        <v>4008</v>
      </c>
      <c r="G589" s="2" t="s">
        <v>4009</v>
      </c>
      <c r="H589" s="2" t="s">
        <v>4010</v>
      </c>
      <c r="I589" s="2" t="s">
        <v>4011</v>
      </c>
      <c r="J589" t="s">
        <v>4012</v>
      </c>
      <c r="L589" s="1">
        <v>2</v>
      </c>
      <c r="M589" s="1"/>
      <c r="N589" s="1"/>
      <c r="O589" s="3"/>
    </row>
    <row r="590" spans="1:15" ht="409.6">
      <c r="A590" t="s">
        <v>4013</v>
      </c>
      <c r="B590" t="s">
        <v>4014</v>
      </c>
      <c r="C590" t="s">
        <v>3709</v>
      </c>
      <c r="D590" t="s">
        <v>23</v>
      </c>
      <c r="E590">
        <v>5</v>
      </c>
      <c r="F590" s="2" t="s">
        <v>4015</v>
      </c>
      <c r="G590" s="2" t="s">
        <v>4016</v>
      </c>
      <c r="H590" s="2" t="s">
        <v>4017</v>
      </c>
      <c r="I590" s="2" t="s">
        <v>4018</v>
      </c>
      <c r="J590" t="s">
        <v>4019</v>
      </c>
      <c r="L590" s="1">
        <v>2</v>
      </c>
      <c r="M590" s="1"/>
      <c r="N590" s="1"/>
      <c r="O590" s="3"/>
    </row>
    <row r="591" spans="1:15" ht="409.6">
      <c r="A591" t="s">
        <v>4020</v>
      </c>
      <c r="B591" t="s">
        <v>4021</v>
      </c>
      <c r="C591" t="s">
        <v>3709</v>
      </c>
      <c r="D591" t="s">
        <v>23</v>
      </c>
      <c r="E591">
        <v>5</v>
      </c>
      <c r="F591" s="2" t="s">
        <v>4022</v>
      </c>
      <c r="G591" s="2" t="s">
        <v>4023</v>
      </c>
      <c r="H591" s="2" t="s">
        <v>4024</v>
      </c>
      <c r="I591" s="2" t="s">
        <v>4025</v>
      </c>
      <c r="J591" t="s">
        <v>4026</v>
      </c>
      <c r="L591" s="1">
        <v>2</v>
      </c>
      <c r="M591" s="1"/>
      <c r="N591" s="1"/>
      <c r="O591" s="3"/>
    </row>
    <row r="592" spans="1:15" ht="409.6">
      <c r="A592" t="s">
        <v>4027</v>
      </c>
      <c r="B592" t="s">
        <v>4028</v>
      </c>
      <c r="C592" t="s">
        <v>3709</v>
      </c>
      <c r="D592" t="s">
        <v>23</v>
      </c>
      <c r="E592">
        <v>5</v>
      </c>
      <c r="F592" s="2" t="s">
        <v>4029</v>
      </c>
      <c r="G592" s="2" t="s">
        <v>4030</v>
      </c>
      <c r="H592" s="2" t="s">
        <v>4031</v>
      </c>
      <c r="I592" s="2" t="s">
        <v>4032</v>
      </c>
      <c r="J592" t="s">
        <v>4033</v>
      </c>
      <c r="L592" s="1">
        <v>2</v>
      </c>
      <c r="M592" s="1"/>
      <c r="N592" s="1"/>
      <c r="O592" s="3"/>
    </row>
    <row r="593" spans="1:15" ht="409.6">
      <c r="A593" t="s">
        <v>4034</v>
      </c>
      <c r="B593" t="s">
        <v>4035</v>
      </c>
      <c r="C593" t="s">
        <v>3709</v>
      </c>
      <c r="D593" t="s">
        <v>23</v>
      </c>
      <c r="E593">
        <v>5</v>
      </c>
      <c r="F593" s="2" t="s">
        <v>4036</v>
      </c>
      <c r="G593" s="2" t="s">
        <v>4037</v>
      </c>
      <c r="H593" s="2" t="s">
        <v>4038</v>
      </c>
      <c r="I593" s="2" t="s">
        <v>4039</v>
      </c>
      <c r="J593" t="s">
        <v>4040</v>
      </c>
      <c r="L593" s="1">
        <v>2</v>
      </c>
      <c r="M593" s="1"/>
      <c r="N593" s="1"/>
      <c r="O593" s="3"/>
    </row>
    <row r="594" spans="1:15" ht="409.6">
      <c r="A594" t="s">
        <v>4041</v>
      </c>
      <c r="B594" t="s">
        <v>4042</v>
      </c>
      <c r="C594" t="s">
        <v>4043</v>
      </c>
      <c r="D594" t="s">
        <v>23</v>
      </c>
      <c r="E594">
        <v>20</v>
      </c>
      <c r="F594" s="2" t="s">
        <v>4044</v>
      </c>
      <c r="G594" s="2" t="s">
        <v>4045</v>
      </c>
      <c r="H594" s="2" t="s">
        <v>4046</v>
      </c>
      <c r="I594" s="2" t="s">
        <v>4047</v>
      </c>
      <c r="J594" t="s">
        <v>4048</v>
      </c>
      <c r="K594" t="s">
        <v>4049</v>
      </c>
      <c r="L594" s="1">
        <v>2</v>
      </c>
      <c r="M594" s="1"/>
      <c r="N594" s="1"/>
      <c r="O594" s="3"/>
    </row>
    <row r="595" spans="1:15" ht="409.6">
      <c r="A595" t="s">
        <v>4050</v>
      </c>
      <c r="B595" t="s">
        <v>4051</v>
      </c>
      <c r="C595" t="s">
        <v>4052</v>
      </c>
      <c r="D595" t="s">
        <v>23</v>
      </c>
      <c r="E595">
        <v>15</v>
      </c>
      <c r="F595" s="2" t="s">
        <v>4053</v>
      </c>
      <c r="G595" s="2" t="s">
        <v>4054</v>
      </c>
      <c r="H595" s="2" t="s">
        <v>4055</v>
      </c>
      <c r="I595" s="2" t="s">
        <v>4056</v>
      </c>
      <c r="J595" t="s">
        <v>4057</v>
      </c>
      <c r="K595" t="s">
        <v>4058</v>
      </c>
      <c r="L595" s="1">
        <v>2</v>
      </c>
      <c r="M595" s="1"/>
      <c r="N595" s="1"/>
      <c r="O595" s="3"/>
    </row>
    <row r="596" spans="1:15" ht="409.6">
      <c r="A596" t="s">
        <v>4059</v>
      </c>
      <c r="B596" t="s">
        <v>4060</v>
      </c>
      <c r="C596" t="s">
        <v>4061</v>
      </c>
      <c r="D596" t="s">
        <v>23</v>
      </c>
      <c r="E596">
        <v>5</v>
      </c>
      <c r="F596" s="2" t="s">
        <v>4062</v>
      </c>
      <c r="G596" s="2" t="s">
        <v>4063</v>
      </c>
      <c r="H596" s="2" t="s">
        <v>4064</v>
      </c>
      <c r="I596" s="2" t="s">
        <v>4065</v>
      </c>
      <c r="J596" t="s">
        <v>4066</v>
      </c>
      <c r="K596" t="s">
        <v>4067</v>
      </c>
      <c r="L596" s="1">
        <v>2</v>
      </c>
      <c r="M596" s="1"/>
      <c r="N596" s="1"/>
      <c r="O596" s="3"/>
    </row>
    <row r="597" spans="1:15" ht="409.6">
      <c r="A597" t="s">
        <v>4068</v>
      </c>
      <c r="B597" t="s">
        <v>4069</v>
      </c>
      <c r="C597" t="s">
        <v>4043</v>
      </c>
      <c r="D597" t="s">
        <v>23</v>
      </c>
      <c r="E597">
        <v>15</v>
      </c>
      <c r="F597" s="2" t="s">
        <v>4070</v>
      </c>
      <c r="G597" s="2" t="s">
        <v>4071</v>
      </c>
      <c r="H597" s="2" t="s">
        <v>4072</v>
      </c>
      <c r="I597" s="2" t="s">
        <v>4073</v>
      </c>
      <c r="J597" t="s">
        <v>4074</v>
      </c>
      <c r="K597" t="s">
        <v>4075</v>
      </c>
      <c r="L597" s="1">
        <v>2</v>
      </c>
      <c r="M597" s="1"/>
      <c r="N597" s="1"/>
      <c r="O597" s="3"/>
    </row>
    <row r="598" spans="1:15" ht="409.6">
      <c r="A598" t="s">
        <v>4076</v>
      </c>
      <c r="B598" t="s">
        <v>4077</v>
      </c>
      <c r="C598" t="s">
        <v>4061</v>
      </c>
      <c r="D598" t="s">
        <v>23</v>
      </c>
      <c r="E598">
        <v>10</v>
      </c>
      <c r="F598" s="2" t="s">
        <v>4078</v>
      </c>
      <c r="G598" s="2" t="s">
        <v>4079</v>
      </c>
      <c r="H598" s="2" t="s">
        <v>4080</v>
      </c>
      <c r="I598" s="2" t="s">
        <v>4081</v>
      </c>
      <c r="J598" t="s">
        <v>4082</v>
      </c>
      <c r="K598" t="s">
        <v>4083</v>
      </c>
      <c r="L598" s="1">
        <v>2</v>
      </c>
      <c r="M598" s="1"/>
      <c r="N598" s="1"/>
      <c r="O598" s="3"/>
    </row>
    <row r="599" spans="1:15" ht="409.6">
      <c r="A599" t="s">
        <v>4084</v>
      </c>
      <c r="B599" t="s">
        <v>4085</v>
      </c>
      <c r="C599" t="s">
        <v>4052</v>
      </c>
      <c r="D599" t="s">
        <v>23</v>
      </c>
      <c r="E599">
        <v>10</v>
      </c>
      <c r="F599" s="2" t="s">
        <v>4086</v>
      </c>
      <c r="G599" s="2" t="s">
        <v>4087</v>
      </c>
      <c r="H599" s="2" t="s">
        <v>4088</v>
      </c>
      <c r="I599" s="2" t="s">
        <v>4089</v>
      </c>
      <c r="J599" t="s">
        <v>4090</v>
      </c>
      <c r="K599" t="s">
        <v>4091</v>
      </c>
      <c r="L599" s="1">
        <v>2</v>
      </c>
      <c r="M599" s="1"/>
      <c r="N599" s="1"/>
      <c r="O599" s="3"/>
    </row>
    <row r="600" spans="1:15" ht="409.6">
      <c r="A600" t="s">
        <v>4092</v>
      </c>
      <c r="B600" t="s">
        <v>4093</v>
      </c>
      <c r="C600" t="s">
        <v>4043</v>
      </c>
      <c r="D600" t="s">
        <v>23</v>
      </c>
      <c r="E600">
        <v>15</v>
      </c>
      <c r="F600" s="2" t="s">
        <v>4094</v>
      </c>
      <c r="G600" s="2" t="s">
        <v>4095</v>
      </c>
      <c r="H600" s="2" t="s">
        <v>4096</v>
      </c>
      <c r="I600" s="2" t="s">
        <v>4097</v>
      </c>
      <c r="J600" t="s">
        <v>4098</v>
      </c>
      <c r="K600" t="s">
        <v>4099</v>
      </c>
      <c r="L600" s="1">
        <v>2</v>
      </c>
      <c r="M600" s="1"/>
      <c r="N600" s="1"/>
      <c r="O600" s="3"/>
    </row>
    <row r="601" spans="1:15" ht="409.6">
      <c r="A601" t="s">
        <v>4100</v>
      </c>
      <c r="B601" t="s">
        <v>4101</v>
      </c>
      <c r="C601" t="s">
        <v>4052</v>
      </c>
      <c r="D601" t="s">
        <v>23</v>
      </c>
      <c r="E601">
        <v>20</v>
      </c>
      <c r="F601" s="2" t="s">
        <v>4102</v>
      </c>
      <c r="G601" s="2" t="s">
        <v>4103</v>
      </c>
      <c r="H601" s="2" t="s">
        <v>4104</v>
      </c>
      <c r="I601" s="2" t="s">
        <v>4105</v>
      </c>
      <c r="J601" t="s">
        <v>4106</v>
      </c>
      <c r="K601" t="s">
        <v>4107</v>
      </c>
      <c r="L601" s="1">
        <v>2</v>
      </c>
      <c r="M601" s="1"/>
      <c r="N601" s="1"/>
      <c r="O601" s="3"/>
    </row>
    <row r="602" spans="1:15" ht="409.6">
      <c r="A602" t="s">
        <v>4108</v>
      </c>
      <c r="B602" t="s">
        <v>4109</v>
      </c>
      <c r="C602" t="s">
        <v>2628</v>
      </c>
      <c r="D602" t="s">
        <v>23</v>
      </c>
      <c r="E602">
        <v>10</v>
      </c>
      <c r="F602" s="2" t="s">
        <v>4110</v>
      </c>
      <c r="G602" s="2" t="s">
        <v>4111</v>
      </c>
      <c r="H602" s="2" t="s">
        <v>4112</v>
      </c>
      <c r="I602" s="2" t="s">
        <v>4113</v>
      </c>
      <c r="J602" t="s">
        <v>4114</v>
      </c>
      <c r="L602" s="1">
        <v>2</v>
      </c>
      <c r="M602" s="1"/>
      <c r="N602" s="1"/>
      <c r="O602" s="3"/>
    </row>
    <row r="603" spans="1:15" ht="409.6">
      <c r="A603" t="s">
        <v>4115</v>
      </c>
      <c r="B603" t="s">
        <v>4116</v>
      </c>
      <c r="C603" t="s">
        <v>4043</v>
      </c>
      <c r="D603" t="s">
        <v>23</v>
      </c>
      <c r="E603">
        <v>15</v>
      </c>
      <c r="F603" s="2" t="s">
        <v>4117</v>
      </c>
      <c r="G603" s="2" t="s">
        <v>4118</v>
      </c>
      <c r="H603" s="2" t="s">
        <v>4119</v>
      </c>
      <c r="I603" s="2" t="s">
        <v>4120</v>
      </c>
      <c r="J603" t="s">
        <v>4121</v>
      </c>
      <c r="K603" t="s">
        <v>4122</v>
      </c>
      <c r="L603" s="1">
        <v>2</v>
      </c>
      <c r="M603" s="1"/>
      <c r="N603" s="1"/>
      <c r="O603" s="3"/>
    </row>
    <row r="604" spans="1:15" ht="409.6">
      <c r="A604" t="s">
        <v>3716</v>
      </c>
      <c r="B604" t="s">
        <v>3717</v>
      </c>
      <c r="C604" t="s">
        <v>52</v>
      </c>
      <c r="D604" t="s">
        <v>23</v>
      </c>
      <c r="E604">
        <v>10</v>
      </c>
      <c r="F604" s="2" t="s">
        <v>4123</v>
      </c>
      <c r="G604" s="2" t="s">
        <v>4124</v>
      </c>
      <c r="H604" s="2" t="s">
        <v>3720</v>
      </c>
      <c r="I604" s="2" t="s">
        <v>3721</v>
      </c>
      <c r="J604" t="s">
        <v>4125</v>
      </c>
      <c r="L604" s="1">
        <v>2</v>
      </c>
      <c r="M604" s="1"/>
      <c r="N604" s="1"/>
      <c r="O604" s="3"/>
    </row>
    <row r="605" spans="1:15" ht="409.6">
      <c r="A605" t="s">
        <v>4126</v>
      </c>
      <c r="B605" t="s">
        <v>4127</v>
      </c>
      <c r="C605" t="s">
        <v>4043</v>
      </c>
      <c r="D605" t="s">
        <v>23</v>
      </c>
      <c r="E605">
        <v>10</v>
      </c>
      <c r="F605" s="2" t="s">
        <v>4128</v>
      </c>
      <c r="G605" s="2" t="s">
        <v>4129</v>
      </c>
      <c r="H605" s="2" t="s">
        <v>4130</v>
      </c>
      <c r="I605" s="2" t="s">
        <v>4131</v>
      </c>
      <c r="J605" t="s">
        <v>4132</v>
      </c>
      <c r="L605" s="1">
        <v>2</v>
      </c>
      <c r="M605" s="1"/>
      <c r="N605" s="1"/>
      <c r="O605" s="3"/>
    </row>
    <row r="606" spans="1:15" ht="409.6">
      <c r="A606" t="s">
        <v>2785</v>
      </c>
      <c r="B606" t="s">
        <v>2786</v>
      </c>
      <c r="C606" t="s">
        <v>4043</v>
      </c>
      <c r="D606" t="s">
        <v>23</v>
      </c>
      <c r="E606">
        <v>25</v>
      </c>
      <c r="F606" s="2" t="s">
        <v>4133</v>
      </c>
      <c r="G606" s="2" t="s">
        <v>4134</v>
      </c>
      <c r="H606" s="2" t="s">
        <v>4135</v>
      </c>
      <c r="I606" s="2" t="s">
        <v>4136</v>
      </c>
      <c r="J606" t="s">
        <v>4137</v>
      </c>
      <c r="L606" s="1">
        <v>2</v>
      </c>
      <c r="M606" s="1"/>
      <c r="N606" s="1"/>
      <c r="O606" s="3"/>
    </row>
    <row r="607" spans="1:15" ht="409.6">
      <c r="A607" t="s">
        <v>4138</v>
      </c>
      <c r="B607" t="s">
        <v>4139</v>
      </c>
      <c r="C607" t="s">
        <v>4043</v>
      </c>
      <c r="D607" t="s">
        <v>23</v>
      </c>
      <c r="E607">
        <v>15</v>
      </c>
      <c r="F607" s="2" t="s">
        <v>4140</v>
      </c>
      <c r="G607" s="2" t="s">
        <v>4141</v>
      </c>
      <c r="H607" s="2" t="s">
        <v>4142</v>
      </c>
      <c r="I607" s="2" t="s">
        <v>4143</v>
      </c>
      <c r="J607" t="s">
        <v>4144</v>
      </c>
      <c r="L607" s="1">
        <v>2</v>
      </c>
      <c r="M607" s="1"/>
      <c r="N607" s="1"/>
      <c r="O607" s="3"/>
    </row>
    <row r="608" spans="1:15" ht="409.6">
      <c r="A608" t="s">
        <v>4145</v>
      </c>
      <c r="B608" t="s">
        <v>4146</v>
      </c>
      <c r="C608" t="s">
        <v>4043</v>
      </c>
      <c r="D608" t="s">
        <v>23</v>
      </c>
      <c r="E608">
        <v>15</v>
      </c>
      <c r="F608" s="2" t="s">
        <v>4147</v>
      </c>
      <c r="G608" s="2" t="s">
        <v>4148</v>
      </c>
      <c r="H608" s="2" t="s">
        <v>4149</v>
      </c>
      <c r="I608" s="2" t="s">
        <v>4150</v>
      </c>
      <c r="J608" t="s">
        <v>4151</v>
      </c>
      <c r="L608" s="1">
        <v>2</v>
      </c>
      <c r="M608" s="1"/>
      <c r="N608" s="1"/>
      <c r="O608" s="3"/>
    </row>
    <row r="609" spans="1:15" ht="409.6">
      <c r="A609" t="s">
        <v>4152</v>
      </c>
      <c r="B609" t="s">
        <v>4153</v>
      </c>
      <c r="C609" t="s">
        <v>4154</v>
      </c>
      <c r="D609" t="s">
        <v>23</v>
      </c>
      <c r="E609">
        <v>25</v>
      </c>
      <c r="F609" s="2" t="s">
        <v>4155</v>
      </c>
      <c r="G609" s="2" t="s">
        <v>4156</v>
      </c>
      <c r="H609" s="2" t="s">
        <v>4157</v>
      </c>
      <c r="I609" s="2" t="s">
        <v>4158</v>
      </c>
      <c r="J609" t="s">
        <v>4159</v>
      </c>
      <c r="L609" s="1">
        <v>2</v>
      </c>
      <c r="M609" s="1"/>
      <c r="N609" s="1"/>
      <c r="O609" s="3"/>
    </row>
    <row r="610" spans="1:15" ht="409.6">
      <c r="A610" t="s">
        <v>962</v>
      </c>
      <c r="B610" t="s">
        <v>963</v>
      </c>
      <c r="C610" t="s">
        <v>4043</v>
      </c>
      <c r="D610" t="s">
        <v>23</v>
      </c>
      <c r="E610">
        <v>20</v>
      </c>
      <c r="F610" s="2" t="s">
        <v>4160</v>
      </c>
      <c r="G610" s="2" t="s">
        <v>4161</v>
      </c>
      <c r="H610" s="2" t="s">
        <v>4162</v>
      </c>
      <c r="I610" s="2" t="s">
        <v>4163</v>
      </c>
      <c r="J610" t="s">
        <v>4164</v>
      </c>
      <c r="L610" s="1">
        <v>2</v>
      </c>
      <c r="M610" s="1"/>
      <c r="N610" s="1"/>
      <c r="O610" s="3"/>
    </row>
    <row r="611" spans="1:15" ht="409.6">
      <c r="A611" t="s">
        <v>4165</v>
      </c>
      <c r="B611" t="s">
        <v>4166</v>
      </c>
      <c r="C611" t="s">
        <v>4043</v>
      </c>
      <c r="D611" t="s">
        <v>23</v>
      </c>
      <c r="E611">
        <v>15</v>
      </c>
      <c r="F611" s="2" t="s">
        <v>4167</v>
      </c>
      <c r="G611" s="2" t="s">
        <v>4168</v>
      </c>
      <c r="H611" s="2" t="s">
        <v>4169</v>
      </c>
      <c r="I611" s="2" t="s">
        <v>4170</v>
      </c>
      <c r="J611" t="s">
        <v>4171</v>
      </c>
      <c r="L611" s="1">
        <v>2</v>
      </c>
      <c r="M611" s="1"/>
      <c r="N611" s="1"/>
      <c r="O611" s="3"/>
    </row>
    <row r="612" spans="1:15" ht="409.6">
      <c r="A612" t="s">
        <v>4172</v>
      </c>
      <c r="B612" t="s">
        <v>4173</v>
      </c>
      <c r="C612" t="s">
        <v>644</v>
      </c>
      <c r="D612" t="s">
        <v>23</v>
      </c>
      <c r="E612">
        <v>20</v>
      </c>
      <c r="F612" s="2" t="s">
        <v>4174</v>
      </c>
      <c r="G612" s="2" t="s">
        <v>4175</v>
      </c>
      <c r="H612" s="2" t="s">
        <v>4176</v>
      </c>
      <c r="I612" s="2" t="s">
        <v>4177</v>
      </c>
      <c r="J612" t="s">
        <v>4178</v>
      </c>
      <c r="L612" s="1">
        <v>2</v>
      </c>
      <c r="M612" s="1"/>
      <c r="N612" s="1"/>
      <c r="O612" s="3"/>
    </row>
    <row r="613" spans="1:15" ht="409.6">
      <c r="A613" t="s">
        <v>4179</v>
      </c>
      <c r="B613" t="s">
        <v>4180</v>
      </c>
      <c r="C613" t="s">
        <v>4181</v>
      </c>
      <c r="D613" t="s">
        <v>23</v>
      </c>
      <c r="E613">
        <v>15</v>
      </c>
      <c r="F613" s="2" t="s">
        <v>4182</v>
      </c>
      <c r="G613" s="2" t="s">
        <v>4183</v>
      </c>
      <c r="H613" s="2" t="s">
        <v>4184</v>
      </c>
      <c r="I613" s="2" t="s">
        <v>4185</v>
      </c>
      <c r="J613" t="s">
        <v>4186</v>
      </c>
      <c r="L613" s="1">
        <v>2</v>
      </c>
      <c r="M613" s="1"/>
      <c r="N613" s="1"/>
      <c r="O613" s="3"/>
    </row>
    <row r="614" spans="1:15" ht="409.6">
      <c r="A614" t="s">
        <v>4187</v>
      </c>
      <c r="B614" t="s">
        <v>4188</v>
      </c>
      <c r="C614" t="s">
        <v>4052</v>
      </c>
      <c r="D614" t="s">
        <v>23</v>
      </c>
      <c r="E614">
        <v>15</v>
      </c>
      <c r="F614" s="2" t="s">
        <v>4189</v>
      </c>
      <c r="G614" s="2" t="s">
        <v>4190</v>
      </c>
      <c r="H614" s="2" t="s">
        <v>4191</v>
      </c>
      <c r="I614" s="2" t="s">
        <v>4192</v>
      </c>
      <c r="J614" t="s">
        <v>4193</v>
      </c>
      <c r="L614" s="1">
        <v>2</v>
      </c>
      <c r="M614" s="1"/>
      <c r="N614" s="1"/>
      <c r="O614" s="3"/>
    </row>
    <row r="615" spans="1:15" ht="409.6">
      <c r="A615" t="s">
        <v>4194</v>
      </c>
      <c r="B615" t="s">
        <v>4195</v>
      </c>
      <c r="C615" t="s">
        <v>4043</v>
      </c>
      <c r="D615" t="s">
        <v>23</v>
      </c>
      <c r="E615">
        <v>20</v>
      </c>
      <c r="F615" s="2" t="s">
        <v>4196</v>
      </c>
      <c r="G615" s="2" t="s">
        <v>4197</v>
      </c>
      <c r="H615" s="2" t="s">
        <v>4198</v>
      </c>
      <c r="I615" s="2" t="s">
        <v>4199</v>
      </c>
      <c r="J615" t="s">
        <v>4200</v>
      </c>
      <c r="L615" s="1">
        <v>2</v>
      </c>
      <c r="M615" s="1"/>
      <c r="N615" s="1"/>
      <c r="O615" s="3"/>
    </row>
    <row r="616" spans="1:15" ht="409.6">
      <c r="A616" t="s">
        <v>4201</v>
      </c>
      <c r="B616" t="s">
        <v>4202</v>
      </c>
      <c r="C616" t="s">
        <v>4043</v>
      </c>
      <c r="D616" t="s">
        <v>23</v>
      </c>
      <c r="E616">
        <v>15</v>
      </c>
      <c r="F616" s="2" t="s">
        <v>4203</v>
      </c>
      <c r="G616" s="2" t="s">
        <v>4204</v>
      </c>
      <c r="H616" s="2" t="s">
        <v>4205</v>
      </c>
      <c r="I616" s="2" t="s">
        <v>4206</v>
      </c>
      <c r="J616" t="s">
        <v>4207</v>
      </c>
      <c r="L616" s="1">
        <v>2</v>
      </c>
      <c r="M616" s="1"/>
      <c r="N616" s="1"/>
      <c r="O616" s="3"/>
    </row>
    <row r="617" spans="1:15" ht="409.6">
      <c r="A617" t="s">
        <v>4208</v>
      </c>
      <c r="B617" t="s">
        <v>4209</v>
      </c>
      <c r="C617" t="s">
        <v>2628</v>
      </c>
      <c r="D617" t="s">
        <v>23</v>
      </c>
      <c r="E617">
        <v>15</v>
      </c>
      <c r="F617" s="2" t="s">
        <v>4210</v>
      </c>
      <c r="G617" s="2" t="s">
        <v>4211</v>
      </c>
      <c r="H617" s="2" t="s">
        <v>4212</v>
      </c>
      <c r="I617" s="2" t="s">
        <v>4213</v>
      </c>
      <c r="J617" t="s">
        <v>4214</v>
      </c>
      <c r="L617" s="1">
        <v>2</v>
      </c>
      <c r="M617" s="1"/>
      <c r="N617" s="1"/>
      <c r="O617" s="3"/>
    </row>
    <row r="618" spans="1:15" ht="409.6">
      <c r="A618" t="s">
        <v>4215</v>
      </c>
      <c r="B618" t="s">
        <v>4216</v>
      </c>
      <c r="C618" t="s">
        <v>4043</v>
      </c>
      <c r="D618" t="s">
        <v>23</v>
      </c>
      <c r="E618">
        <v>15</v>
      </c>
      <c r="F618" s="2" t="s">
        <v>4217</v>
      </c>
      <c r="G618" s="2" t="s">
        <v>4218</v>
      </c>
      <c r="H618" s="2" t="s">
        <v>4219</v>
      </c>
      <c r="I618" s="2" t="s">
        <v>4220</v>
      </c>
      <c r="J618" t="s">
        <v>4221</v>
      </c>
      <c r="L618" s="1">
        <v>2</v>
      </c>
      <c r="M618" s="1"/>
      <c r="N618" s="1"/>
      <c r="O618" s="3"/>
    </row>
    <row r="619" spans="1:15" ht="409.6">
      <c r="A619" t="s">
        <v>4222</v>
      </c>
      <c r="B619" t="s">
        <v>4223</v>
      </c>
      <c r="C619" t="s">
        <v>2628</v>
      </c>
      <c r="D619" t="s">
        <v>23</v>
      </c>
      <c r="E619">
        <v>15</v>
      </c>
      <c r="F619" s="2" t="s">
        <v>4224</v>
      </c>
      <c r="G619" s="2" t="s">
        <v>4225</v>
      </c>
      <c r="H619" s="2" t="s">
        <v>4226</v>
      </c>
      <c r="I619" s="2" t="s">
        <v>4227</v>
      </c>
      <c r="J619" t="s">
        <v>4228</v>
      </c>
      <c r="L619" s="1">
        <v>2</v>
      </c>
      <c r="M619" s="1"/>
      <c r="N619" s="1"/>
      <c r="O619" s="3"/>
    </row>
    <row r="620" spans="1:15" ht="409.6">
      <c r="A620" t="s">
        <v>4229</v>
      </c>
      <c r="B620" t="s">
        <v>4230</v>
      </c>
      <c r="C620" t="s">
        <v>4043</v>
      </c>
      <c r="D620" t="s">
        <v>23</v>
      </c>
      <c r="E620">
        <v>10</v>
      </c>
      <c r="F620" s="2" t="s">
        <v>4231</v>
      </c>
      <c r="G620" s="2" t="s">
        <v>4232</v>
      </c>
      <c r="H620" s="2" t="s">
        <v>4233</v>
      </c>
      <c r="I620" s="2" t="s">
        <v>4234</v>
      </c>
      <c r="J620" t="s">
        <v>4235</v>
      </c>
      <c r="L620" s="1">
        <v>2</v>
      </c>
      <c r="M620" s="1"/>
      <c r="N620" s="1"/>
      <c r="O620" s="3"/>
    </row>
    <row r="621" spans="1:15" ht="409.6">
      <c r="A621" t="s">
        <v>4236</v>
      </c>
      <c r="B621" t="s">
        <v>4237</v>
      </c>
      <c r="C621" t="s">
        <v>4043</v>
      </c>
      <c r="D621" t="s">
        <v>23</v>
      </c>
      <c r="E621">
        <v>15</v>
      </c>
      <c r="F621" s="2" t="s">
        <v>4238</v>
      </c>
      <c r="G621" s="2" t="s">
        <v>4239</v>
      </c>
      <c r="H621" s="2" t="s">
        <v>4240</v>
      </c>
      <c r="I621" s="2" t="s">
        <v>4241</v>
      </c>
      <c r="J621" t="s">
        <v>4242</v>
      </c>
      <c r="K621" t="s">
        <v>4243</v>
      </c>
      <c r="L621" s="1">
        <v>2</v>
      </c>
      <c r="M621" s="1"/>
      <c r="N621" s="1"/>
      <c r="O621" s="3"/>
    </row>
    <row r="622" spans="1:15" ht="409.6">
      <c r="A622" t="s">
        <v>4244</v>
      </c>
      <c r="B622" t="s">
        <v>4245</v>
      </c>
      <c r="C622" t="s">
        <v>4043</v>
      </c>
      <c r="D622" t="s">
        <v>23</v>
      </c>
      <c r="E622">
        <v>25</v>
      </c>
      <c r="F622" s="2" t="s">
        <v>4246</v>
      </c>
      <c r="G622" s="2" t="s">
        <v>4247</v>
      </c>
      <c r="H622" s="2" t="s">
        <v>4248</v>
      </c>
      <c r="I622" s="2" t="s">
        <v>4249</v>
      </c>
      <c r="J622" t="s">
        <v>4250</v>
      </c>
      <c r="L622" s="1">
        <v>2</v>
      </c>
      <c r="M622" s="1"/>
      <c r="N622" s="1"/>
      <c r="O622" s="3"/>
    </row>
    <row r="623" spans="1:15" ht="409.6">
      <c r="A623" t="s">
        <v>4251</v>
      </c>
      <c r="B623" s="2" t="s">
        <v>4252</v>
      </c>
      <c r="C623" t="s">
        <v>4043</v>
      </c>
      <c r="D623" t="s">
        <v>23</v>
      </c>
      <c r="E623">
        <v>10</v>
      </c>
      <c r="F623" s="2" t="s">
        <v>4253</v>
      </c>
      <c r="G623" s="2" t="s">
        <v>4254</v>
      </c>
      <c r="H623" s="2" t="s">
        <v>4255</v>
      </c>
      <c r="I623" s="2" t="s">
        <v>4256</v>
      </c>
      <c r="J623" t="s">
        <v>4257</v>
      </c>
      <c r="K623" t="s">
        <v>4258</v>
      </c>
      <c r="L623" s="1">
        <v>2</v>
      </c>
      <c r="M623" s="1"/>
      <c r="N623" s="1"/>
      <c r="O623" s="3"/>
    </row>
    <row r="624" spans="1:15" ht="409.6">
      <c r="A624" t="s">
        <v>4259</v>
      </c>
      <c r="B624" t="s">
        <v>4260</v>
      </c>
      <c r="C624" t="s">
        <v>4061</v>
      </c>
      <c r="D624" t="s">
        <v>14</v>
      </c>
      <c r="E624">
        <v>10</v>
      </c>
      <c r="F624" s="2" t="s">
        <v>4261</v>
      </c>
      <c r="G624" s="2" t="s">
        <v>4262</v>
      </c>
      <c r="H624" s="2" t="s">
        <v>4263</v>
      </c>
      <c r="I624" s="2" t="s">
        <v>4264</v>
      </c>
      <c r="J624" t="s">
        <v>4265</v>
      </c>
      <c r="L624" s="1">
        <v>2</v>
      </c>
      <c r="M624" s="1"/>
      <c r="N624" s="1"/>
      <c r="O624" s="3"/>
    </row>
    <row r="625" spans="1:15" ht="409.6">
      <c r="A625" t="s">
        <v>4266</v>
      </c>
      <c r="B625" t="s">
        <v>4267</v>
      </c>
      <c r="C625" t="s">
        <v>4154</v>
      </c>
      <c r="D625" t="s">
        <v>23</v>
      </c>
      <c r="E625">
        <v>10</v>
      </c>
      <c r="F625" s="2" t="s">
        <v>4268</v>
      </c>
      <c r="G625" s="2" t="s">
        <v>4269</v>
      </c>
      <c r="H625" s="2" t="s">
        <v>4270</v>
      </c>
      <c r="I625" s="2" t="s">
        <v>4271</v>
      </c>
      <c r="J625" t="s">
        <v>4272</v>
      </c>
      <c r="L625" s="1">
        <v>2</v>
      </c>
      <c r="M625" s="1"/>
      <c r="N625" s="1"/>
      <c r="O625" s="3"/>
    </row>
    <row r="626" spans="1:15" ht="409.6">
      <c r="A626" t="s">
        <v>4273</v>
      </c>
      <c r="B626" t="s">
        <v>4274</v>
      </c>
      <c r="C626" t="s">
        <v>4061</v>
      </c>
      <c r="D626" t="s">
        <v>23</v>
      </c>
      <c r="E626">
        <v>10</v>
      </c>
      <c r="F626" s="2" t="s">
        <v>4275</v>
      </c>
      <c r="G626" s="2" t="s">
        <v>4276</v>
      </c>
      <c r="H626" s="2" t="s">
        <v>4277</v>
      </c>
      <c r="I626" s="2" t="s">
        <v>4278</v>
      </c>
      <c r="J626" t="s">
        <v>4279</v>
      </c>
      <c r="L626" s="1">
        <v>2</v>
      </c>
      <c r="M626" s="1"/>
      <c r="N626" s="1"/>
      <c r="O626" s="3"/>
    </row>
    <row r="627" spans="1:15" ht="409.6">
      <c r="A627" t="s">
        <v>4280</v>
      </c>
      <c r="B627" t="s">
        <v>4281</v>
      </c>
      <c r="C627" t="s">
        <v>4181</v>
      </c>
      <c r="D627" t="s">
        <v>23</v>
      </c>
      <c r="E627">
        <v>25</v>
      </c>
      <c r="F627" s="2" t="s">
        <v>4282</v>
      </c>
      <c r="G627" s="2" t="s">
        <v>4283</v>
      </c>
      <c r="H627" s="2" t="s">
        <v>4284</v>
      </c>
      <c r="I627" s="2" t="s">
        <v>4285</v>
      </c>
      <c r="J627" t="s">
        <v>4286</v>
      </c>
      <c r="L627" s="1">
        <v>2</v>
      </c>
      <c r="M627" s="1"/>
      <c r="N627" s="1"/>
      <c r="O627" s="3"/>
    </row>
    <row r="628" spans="1:15" ht="409.6">
      <c r="A628" t="s">
        <v>4287</v>
      </c>
      <c r="B628" t="s">
        <v>4288</v>
      </c>
      <c r="C628" t="s">
        <v>644</v>
      </c>
      <c r="D628" t="s">
        <v>23</v>
      </c>
      <c r="E628">
        <v>25</v>
      </c>
      <c r="F628" s="2" t="s">
        <v>4289</v>
      </c>
      <c r="G628" s="2" t="s">
        <v>4290</v>
      </c>
      <c r="H628" s="2" t="s">
        <v>4291</v>
      </c>
      <c r="I628" s="2" t="s">
        <v>4292</v>
      </c>
      <c r="J628" t="s">
        <v>4293</v>
      </c>
      <c r="L628" s="1">
        <v>2</v>
      </c>
      <c r="M628" s="1"/>
      <c r="N628" s="1"/>
      <c r="O628" s="3"/>
    </row>
    <row r="629" spans="1:15" ht="409.6">
      <c r="A629" t="s">
        <v>4294</v>
      </c>
      <c r="B629" t="s">
        <v>4295</v>
      </c>
      <c r="C629" t="s">
        <v>4061</v>
      </c>
      <c r="D629" t="s">
        <v>23</v>
      </c>
      <c r="E629">
        <v>10</v>
      </c>
      <c r="F629" s="2" t="s">
        <v>4296</v>
      </c>
      <c r="G629" s="2" t="s">
        <v>4297</v>
      </c>
      <c r="H629" s="2" t="s">
        <v>4298</v>
      </c>
      <c r="I629" s="2" t="s">
        <v>4299</v>
      </c>
      <c r="J629" t="s">
        <v>4300</v>
      </c>
      <c r="L629" s="1">
        <v>2</v>
      </c>
      <c r="M629" s="1"/>
      <c r="N629" s="1"/>
      <c r="O629" s="3"/>
    </row>
    <row r="630" spans="1:15" ht="409.6">
      <c r="A630" t="s">
        <v>4301</v>
      </c>
      <c r="B630" t="s">
        <v>4302</v>
      </c>
      <c r="C630" t="s">
        <v>4181</v>
      </c>
      <c r="D630" t="s">
        <v>23</v>
      </c>
      <c r="E630">
        <v>30</v>
      </c>
      <c r="F630" s="2" t="s">
        <v>4303</v>
      </c>
      <c r="G630" s="2" t="s">
        <v>4304</v>
      </c>
      <c r="H630" s="2" t="s">
        <v>4305</v>
      </c>
      <c r="I630" s="2" t="s">
        <v>4306</v>
      </c>
      <c r="J630" t="s">
        <v>4307</v>
      </c>
      <c r="L630" s="1">
        <v>2</v>
      </c>
      <c r="M630" s="1"/>
      <c r="N630" s="1"/>
      <c r="O630" s="3"/>
    </row>
    <row r="631" spans="1:15" ht="409.6">
      <c r="A631" t="s">
        <v>4308</v>
      </c>
      <c r="B631" t="s">
        <v>4309</v>
      </c>
      <c r="C631" t="s">
        <v>4043</v>
      </c>
      <c r="D631" t="s">
        <v>23</v>
      </c>
      <c r="E631">
        <v>10</v>
      </c>
      <c r="F631" s="2" t="s">
        <v>4310</v>
      </c>
      <c r="G631" s="2" t="s">
        <v>4311</v>
      </c>
      <c r="H631" s="2" t="s">
        <v>4312</v>
      </c>
      <c r="I631" s="2" t="s">
        <v>4313</v>
      </c>
      <c r="J631" t="s">
        <v>4314</v>
      </c>
      <c r="L631" s="1">
        <v>2</v>
      </c>
      <c r="M631" s="1"/>
      <c r="N631" s="1"/>
      <c r="O631" s="3"/>
    </row>
    <row r="632" spans="1:15" ht="409.6">
      <c r="A632" t="s">
        <v>4315</v>
      </c>
      <c r="B632" t="s">
        <v>4316</v>
      </c>
      <c r="C632" t="s">
        <v>4043</v>
      </c>
      <c r="D632" t="s">
        <v>23</v>
      </c>
      <c r="E632">
        <v>15</v>
      </c>
      <c r="F632" s="2" t="s">
        <v>4317</v>
      </c>
      <c r="G632" s="2" t="s">
        <v>4318</v>
      </c>
      <c r="H632" s="2" t="s">
        <v>4319</v>
      </c>
      <c r="I632" s="2" t="s">
        <v>4320</v>
      </c>
      <c r="J632" t="s">
        <v>4321</v>
      </c>
      <c r="L632" s="1">
        <v>2</v>
      </c>
      <c r="M632" s="1"/>
      <c r="N632" s="1"/>
      <c r="O632" s="3"/>
    </row>
    <row r="633" spans="1:15" ht="409.6">
      <c r="A633" t="s">
        <v>4322</v>
      </c>
      <c r="B633" t="s">
        <v>4323</v>
      </c>
      <c r="C633" t="s">
        <v>4154</v>
      </c>
      <c r="D633" t="s">
        <v>23</v>
      </c>
      <c r="E633">
        <v>30</v>
      </c>
      <c r="F633" s="2" t="s">
        <v>4324</v>
      </c>
      <c r="G633" s="2" t="s">
        <v>4325</v>
      </c>
      <c r="H633" s="2" t="s">
        <v>4326</v>
      </c>
      <c r="I633" s="2" t="s">
        <v>4327</v>
      </c>
      <c r="J633" t="s">
        <v>4328</v>
      </c>
      <c r="L633" s="1">
        <v>2</v>
      </c>
      <c r="M633" s="1"/>
      <c r="N633" s="1"/>
      <c r="O633" s="3"/>
    </row>
    <row r="634" spans="1:15" ht="409.6">
      <c r="A634" t="s">
        <v>2937</v>
      </c>
      <c r="B634" t="s">
        <v>2938</v>
      </c>
      <c r="C634" t="s">
        <v>4052</v>
      </c>
      <c r="D634" t="s">
        <v>14</v>
      </c>
      <c r="E634">
        <v>10</v>
      </c>
      <c r="F634" s="2" t="s">
        <v>4329</v>
      </c>
      <c r="G634" s="2" t="s">
        <v>4330</v>
      </c>
      <c r="H634" s="2" t="s">
        <v>4331</v>
      </c>
      <c r="I634" s="2" t="s">
        <v>4332</v>
      </c>
      <c r="J634" t="s">
        <v>4333</v>
      </c>
      <c r="L634" s="1">
        <v>2</v>
      </c>
      <c r="M634" s="1"/>
      <c r="N634" s="1"/>
      <c r="O634" s="3"/>
    </row>
    <row r="635" spans="1:15" ht="409.6">
      <c r="A635" t="s">
        <v>4334</v>
      </c>
      <c r="B635" t="s">
        <v>4335</v>
      </c>
      <c r="C635" t="s">
        <v>4043</v>
      </c>
      <c r="D635" t="s">
        <v>14</v>
      </c>
      <c r="E635">
        <v>5</v>
      </c>
      <c r="F635" s="2" t="s">
        <v>4336</v>
      </c>
      <c r="G635" s="2" t="s">
        <v>4337</v>
      </c>
      <c r="H635" s="2" t="s">
        <v>4338</v>
      </c>
      <c r="I635" s="2" t="s">
        <v>4339</v>
      </c>
      <c r="J635" t="s">
        <v>4340</v>
      </c>
      <c r="L635" s="1">
        <v>2</v>
      </c>
      <c r="M635" s="1"/>
      <c r="N635" s="1"/>
      <c r="O635" s="3"/>
    </row>
    <row r="636" spans="1:15" ht="409.6">
      <c r="A636" t="s">
        <v>4341</v>
      </c>
      <c r="B636" s="2" t="s">
        <v>4342</v>
      </c>
      <c r="C636" t="s">
        <v>4043</v>
      </c>
      <c r="D636" t="s">
        <v>23</v>
      </c>
      <c r="E636">
        <v>20</v>
      </c>
      <c r="F636" s="2" t="s">
        <v>4343</v>
      </c>
      <c r="G636" s="2" t="s">
        <v>4344</v>
      </c>
      <c r="H636" s="2" t="s">
        <v>4345</v>
      </c>
      <c r="I636" s="2" t="s">
        <v>4346</v>
      </c>
      <c r="J636" t="s">
        <v>4347</v>
      </c>
      <c r="L636" s="1">
        <v>2</v>
      </c>
      <c r="M636" s="1"/>
      <c r="N636" s="1"/>
      <c r="O636" s="3"/>
    </row>
    <row r="637" spans="1:15" ht="409.6">
      <c r="A637" t="s">
        <v>4348</v>
      </c>
      <c r="B637" t="s">
        <v>4349</v>
      </c>
      <c r="C637" t="s">
        <v>4043</v>
      </c>
      <c r="D637" t="s">
        <v>14</v>
      </c>
      <c r="E637">
        <v>5</v>
      </c>
      <c r="F637" s="2" t="s">
        <v>4350</v>
      </c>
      <c r="G637" s="2" t="s">
        <v>4351</v>
      </c>
      <c r="H637" s="2" t="s">
        <v>4352</v>
      </c>
      <c r="I637" s="2" t="s">
        <v>4353</v>
      </c>
      <c r="J637" t="s">
        <v>4354</v>
      </c>
      <c r="L637" s="1">
        <v>2</v>
      </c>
      <c r="M637" s="1"/>
      <c r="N637" s="1"/>
      <c r="O637" s="3"/>
    </row>
    <row r="638" spans="1:15" ht="409.6">
      <c r="A638" t="s">
        <v>4355</v>
      </c>
      <c r="B638" t="s">
        <v>4356</v>
      </c>
      <c r="C638" t="s">
        <v>4043</v>
      </c>
      <c r="D638" t="s">
        <v>23</v>
      </c>
      <c r="E638">
        <v>20</v>
      </c>
      <c r="F638" s="2" t="s">
        <v>4357</v>
      </c>
      <c r="G638" s="2" t="s">
        <v>4358</v>
      </c>
      <c r="H638" s="2" t="s">
        <v>4359</v>
      </c>
      <c r="I638" s="2" t="s">
        <v>4360</v>
      </c>
      <c r="J638" t="s">
        <v>4361</v>
      </c>
      <c r="L638" s="1">
        <v>2</v>
      </c>
      <c r="M638" s="1"/>
      <c r="N638" s="1"/>
      <c r="O638" s="3"/>
    </row>
    <row r="639" spans="1:15" ht="409.6">
      <c r="A639" t="s">
        <v>4362</v>
      </c>
      <c r="B639" t="s">
        <v>4363</v>
      </c>
      <c r="C639" t="s">
        <v>4052</v>
      </c>
      <c r="D639" t="s">
        <v>23</v>
      </c>
      <c r="E639">
        <v>10</v>
      </c>
      <c r="F639" s="2" t="s">
        <v>4364</v>
      </c>
      <c r="G639" s="2" t="s">
        <v>4365</v>
      </c>
      <c r="H639" s="2" t="s">
        <v>4366</v>
      </c>
      <c r="I639" s="2" t="s">
        <v>4367</v>
      </c>
      <c r="J639" t="s">
        <v>4368</v>
      </c>
      <c r="L639" s="1">
        <v>2</v>
      </c>
      <c r="M639" s="1"/>
      <c r="N639" s="1"/>
      <c r="O639" s="3"/>
    </row>
    <row r="640" spans="1:15" ht="409.6">
      <c r="A640" t="s">
        <v>4369</v>
      </c>
      <c r="B640" t="s">
        <v>4370</v>
      </c>
      <c r="C640" t="s">
        <v>4043</v>
      </c>
      <c r="D640" t="s">
        <v>23</v>
      </c>
      <c r="E640">
        <v>10</v>
      </c>
      <c r="F640" s="2" t="s">
        <v>4371</v>
      </c>
      <c r="G640" s="2" t="s">
        <v>4372</v>
      </c>
      <c r="H640" s="2" t="s">
        <v>4373</v>
      </c>
      <c r="I640" s="2" t="s">
        <v>4374</v>
      </c>
      <c r="J640" t="s">
        <v>4375</v>
      </c>
      <c r="L640" s="1">
        <v>2</v>
      </c>
      <c r="M640" s="1"/>
      <c r="N640" s="1"/>
      <c r="O640" s="3"/>
    </row>
    <row r="641" spans="1:15" ht="409.6">
      <c r="A641" t="s">
        <v>4376</v>
      </c>
      <c r="B641" t="s">
        <v>4377</v>
      </c>
      <c r="C641" t="s">
        <v>4043</v>
      </c>
      <c r="D641" t="s">
        <v>23</v>
      </c>
      <c r="E641">
        <v>10</v>
      </c>
      <c r="F641" s="2" t="s">
        <v>4378</v>
      </c>
      <c r="G641" s="2" t="s">
        <v>4379</v>
      </c>
      <c r="H641" s="2" t="s">
        <v>4380</v>
      </c>
      <c r="I641" s="2" t="s">
        <v>4381</v>
      </c>
      <c r="J641" t="s">
        <v>4382</v>
      </c>
      <c r="L641" s="1">
        <v>2</v>
      </c>
      <c r="M641" s="1"/>
      <c r="N641" s="1"/>
      <c r="O641" s="3"/>
    </row>
    <row r="642" spans="1:15" ht="409.6">
      <c r="A642" t="s">
        <v>4383</v>
      </c>
      <c r="B642" s="2" t="s">
        <v>4384</v>
      </c>
      <c r="C642" t="s">
        <v>4043</v>
      </c>
      <c r="D642" t="s">
        <v>23</v>
      </c>
      <c r="E642">
        <v>5</v>
      </c>
      <c r="F642" s="2" t="s">
        <v>4385</v>
      </c>
      <c r="G642" s="2" t="s">
        <v>4386</v>
      </c>
      <c r="H642" s="2" t="s">
        <v>4387</v>
      </c>
      <c r="I642" s="2" t="s">
        <v>4388</v>
      </c>
      <c r="J642" t="s">
        <v>4389</v>
      </c>
      <c r="L642" s="1">
        <v>2</v>
      </c>
      <c r="M642" s="1"/>
      <c r="N642" s="1"/>
      <c r="O642" s="3"/>
    </row>
    <row r="643" spans="1:15" ht="409.6">
      <c r="A643" t="s">
        <v>4390</v>
      </c>
      <c r="B643" t="s">
        <v>4391</v>
      </c>
      <c r="C643" t="s">
        <v>4043</v>
      </c>
      <c r="D643" t="s">
        <v>23</v>
      </c>
      <c r="E643">
        <v>30</v>
      </c>
      <c r="F643" s="2" t="s">
        <v>4392</v>
      </c>
      <c r="G643" s="2" t="s">
        <v>4393</v>
      </c>
      <c r="H643" s="2" t="s">
        <v>4394</v>
      </c>
      <c r="I643" s="2" t="s">
        <v>4395</v>
      </c>
      <c r="J643" t="s">
        <v>4396</v>
      </c>
      <c r="L643" s="1">
        <v>2</v>
      </c>
      <c r="M643" s="1"/>
      <c r="N643" s="1"/>
      <c r="O643" s="3"/>
    </row>
    <row r="644" spans="1:15" ht="409.6">
      <c r="A644" t="s">
        <v>4397</v>
      </c>
      <c r="B644" t="s">
        <v>4398</v>
      </c>
      <c r="C644" t="s">
        <v>4154</v>
      </c>
      <c r="D644" t="s">
        <v>23</v>
      </c>
      <c r="E644">
        <v>5</v>
      </c>
      <c r="F644" s="2" t="s">
        <v>4399</v>
      </c>
      <c r="G644" s="2" t="s">
        <v>4400</v>
      </c>
      <c r="H644" s="2" t="s">
        <v>4401</v>
      </c>
      <c r="I644" s="2" t="s">
        <v>4402</v>
      </c>
      <c r="J644" t="s">
        <v>4403</v>
      </c>
      <c r="L644" s="1">
        <v>2</v>
      </c>
      <c r="M644" s="1"/>
      <c r="N644" s="1"/>
      <c r="O644" s="3"/>
    </row>
    <row r="645" spans="1:15" ht="409.6">
      <c r="A645" t="s">
        <v>4404</v>
      </c>
      <c r="B645" t="s">
        <v>4405</v>
      </c>
      <c r="C645" t="s">
        <v>4181</v>
      </c>
      <c r="D645" t="s">
        <v>23</v>
      </c>
      <c r="E645">
        <v>15</v>
      </c>
      <c r="F645" s="2" t="s">
        <v>4406</v>
      </c>
      <c r="G645" s="2" t="s">
        <v>4407</v>
      </c>
      <c r="H645" s="2" t="s">
        <v>4408</v>
      </c>
      <c r="I645" s="2" t="s">
        <v>4409</v>
      </c>
      <c r="J645" t="s">
        <v>4410</v>
      </c>
      <c r="L645" s="1">
        <v>2</v>
      </c>
      <c r="M645" s="1"/>
      <c r="N645" s="1"/>
      <c r="O645" s="3"/>
    </row>
    <row r="646" spans="1:15" ht="409.6">
      <c r="A646" t="s">
        <v>4411</v>
      </c>
      <c r="B646" t="s">
        <v>4412</v>
      </c>
      <c r="C646" t="s">
        <v>4043</v>
      </c>
      <c r="D646" t="s">
        <v>23</v>
      </c>
      <c r="E646">
        <v>5</v>
      </c>
      <c r="F646" s="2" t="s">
        <v>4413</v>
      </c>
      <c r="G646" s="2" t="s">
        <v>4414</v>
      </c>
      <c r="H646" s="2" t="s">
        <v>4415</v>
      </c>
      <c r="I646" s="2" t="s">
        <v>4416</v>
      </c>
      <c r="J646" t="s">
        <v>4417</v>
      </c>
      <c r="L646" s="1">
        <v>2</v>
      </c>
      <c r="M646" s="1"/>
      <c r="N646" s="1"/>
      <c r="O646" s="3"/>
    </row>
    <row r="647" spans="1:15" ht="184.8">
      <c r="A647" t="s">
        <v>4418</v>
      </c>
      <c r="B647" t="s">
        <v>4419</v>
      </c>
      <c r="C647" t="s">
        <v>52</v>
      </c>
      <c r="D647" t="s">
        <v>23</v>
      </c>
      <c r="E647">
        <v>5</v>
      </c>
      <c r="F647" s="2" t="s">
        <v>4420</v>
      </c>
      <c r="G647" s="2" t="s">
        <v>4421</v>
      </c>
      <c r="H647" t="s">
        <v>4422</v>
      </c>
      <c r="I647" t="s">
        <v>4423</v>
      </c>
      <c r="J647" t="s">
        <v>4424</v>
      </c>
      <c r="L647" s="1">
        <v>2</v>
      </c>
      <c r="M647" s="1"/>
      <c r="N647" s="1"/>
      <c r="O647" s="3"/>
    </row>
    <row r="648" spans="1:15" ht="409.6">
      <c r="A648" t="s">
        <v>4425</v>
      </c>
      <c r="B648" t="s">
        <v>4426</v>
      </c>
      <c r="C648" t="s">
        <v>4043</v>
      </c>
      <c r="D648" t="s">
        <v>23</v>
      </c>
      <c r="E648">
        <v>5</v>
      </c>
      <c r="F648" s="2" t="s">
        <v>4427</v>
      </c>
      <c r="G648" s="2" t="s">
        <v>4428</v>
      </c>
      <c r="H648" s="2" t="s">
        <v>4429</v>
      </c>
      <c r="I648" s="2" t="s">
        <v>4430</v>
      </c>
      <c r="J648" t="s">
        <v>4431</v>
      </c>
      <c r="L648" s="1">
        <v>2</v>
      </c>
      <c r="M648" s="1"/>
      <c r="N648" s="1"/>
      <c r="O648" s="3"/>
    </row>
    <row r="649" spans="1:15" ht="409.6">
      <c r="A649" t="s">
        <v>4432</v>
      </c>
      <c r="B649" t="s">
        <v>4433</v>
      </c>
      <c r="C649" t="s">
        <v>644</v>
      </c>
      <c r="D649" t="s">
        <v>23</v>
      </c>
      <c r="E649">
        <v>5</v>
      </c>
      <c r="F649" s="2" t="s">
        <v>4434</v>
      </c>
      <c r="G649" s="2" t="s">
        <v>4435</v>
      </c>
      <c r="H649" s="2" t="s">
        <v>4436</v>
      </c>
      <c r="I649" s="2" t="s">
        <v>4437</v>
      </c>
      <c r="J649" t="s">
        <v>4438</v>
      </c>
      <c r="L649" s="1">
        <v>2</v>
      </c>
      <c r="M649" s="1"/>
      <c r="N649" s="1"/>
      <c r="O649" s="3"/>
    </row>
    <row r="650" spans="1:15" ht="409.6">
      <c r="A650" t="s">
        <v>1418</v>
      </c>
      <c r="B650" t="s">
        <v>1419</v>
      </c>
      <c r="C650" t="s">
        <v>4154</v>
      </c>
      <c r="D650" t="s">
        <v>23</v>
      </c>
      <c r="E650">
        <v>15</v>
      </c>
      <c r="F650" s="2" t="s">
        <v>4439</v>
      </c>
      <c r="G650" s="2" t="s">
        <v>4440</v>
      </c>
      <c r="H650" s="2" t="s">
        <v>4441</v>
      </c>
      <c r="I650" s="2" t="s">
        <v>4442</v>
      </c>
      <c r="J650" t="s">
        <v>4443</v>
      </c>
      <c r="L650" s="1">
        <v>2</v>
      </c>
      <c r="M650" s="1"/>
      <c r="N650" s="1"/>
      <c r="O650" s="3"/>
    </row>
    <row r="651" spans="1:15" ht="409.6">
      <c r="A651" t="s">
        <v>4444</v>
      </c>
      <c r="B651" t="s">
        <v>4445</v>
      </c>
      <c r="C651" t="s">
        <v>4043</v>
      </c>
      <c r="D651" t="s">
        <v>23</v>
      </c>
      <c r="E651">
        <v>5</v>
      </c>
      <c r="F651" s="2" t="s">
        <v>4446</v>
      </c>
      <c r="G651" s="2" t="s">
        <v>4447</v>
      </c>
      <c r="H651" s="2" t="s">
        <v>4448</v>
      </c>
      <c r="I651" s="2" t="s">
        <v>4449</v>
      </c>
      <c r="J651" t="s">
        <v>4450</v>
      </c>
      <c r="L651" s="1">
        <v>2</v>
      </c>
      <c r="M651" s="1"/>
      <c r="N651" s="1"/>
      <c r="O651" s="3"/>
    </row>
    <row r="652" spans="1:15" ht="409.6">
      <c r="A652" t="s">
        <v>4451</v>
      </c>
      <c r="B652" t="s">
        <v>4452</v>
      </c>
      <c r="C652" t="s">
        <v>4154</v>
      </c>
      <c r="D652" t="s">
        <v>23</v>
      </c>
      <c r="E652">
        <v>15</v>
      </c>
      <c r="F652" s="2" t="s">
        <v>4453</v>
      </c>
      <c r="G652" s="2" t="s">
        <v>4454</v>
      </c>
      <c r="H652" s="2" t="s">
        <v>4455</v>
      </c>
      <c r="I652" s="2" t="s">
        <v>4456</v>
      </c>
      <c r="J652" t="s">
        <v>4457</v>
      </c>
      <c r="L652" s="1">
        <v>2</v>
      </c>
      <c r="M652" s="1"/>
      <c r="N652" s="1"/>
      <c r="O652" s="3"/>
    </row>
    <row r="653" spans="1:15" ht="409.6">
      <c r="A653" t="s">
        <v>4458</v>
      </c>
      <c r="B653" t="s">
        <v>4459</v>
      </c>
      <c r="C653" t="s">
        <v>4043</v>
      </c>
      <c r="D653" t="s">
        <v>23</v>
      </c>
      <c r="E653">
        <v>15</v>
      </c>
      <c r="F653" s="2" t="s">
        <v>4460</v>
      </c>
      <c r="G653" s="2" t="s">
        <v>4461</v>
      </c>
      <c r="H653" s="2" t="s">
        <v>4462</v>
      </c>
      <c r="I653" s="2" t="s">
        <v>4463</v>
      </c>
      <c r="J653" t="s">
        <v>4464</v>
      </c>
      <c r="L653" s="1">
        <v>2</v>
      </c>
      <c r="M653" s="1"/>
      <c r="N653" s="1"/>
      <c r="O653" s="3"/>
    </row>
    <row r="654" spans="1:15" ht="409.6">
      <c r="A654" t="s">
        <v>4465</v>
      </c>
      <c r="B654" t="s">
        <v>4466</v>
      </c>
      <c r="C654" t="s">
        <v>4043</v>
      </c>
      <c r="D654" t="s">
        <v>23</v>
      </c>
      <c r="E654">
        <v>5</v>
      </c>
      <c r="F654" s="2" t="s">
        <v>4467</v>
      </c>
      <c r="G654" s="2" t="s">
        <v>4468</v>
      </c>
      <c r="H654" s="2" t="s">
        <v>4469</v>
      </c>
      <c r="I654" s="2" t="s">
        <v>4470</v>
      </c>
      <c r="J654" t="s">
        <v>4471</v>
      </c>
      <c r="L654" s="1">
        <v>2</v>
      </c>
      <c r="M654" s="1"/>
      <c r="N654" s="1"/>
      <c r="O654" s="3"/>
    </row>
    <row r="655" spans="1:15" ht="409.6">
      <c r="A655" t="s">
        <v>4472</v>
      </c>
      <c r="B655" t="s">
        <v>4473</v>
      </c>
      <c r="C655" t="s">
        <v>52</v>
      </c>
      <c r="D655" t="s">
        <v>23</v>
      </c>
      <c r="E655">
        <v>15</v>
      </c>
      <c r="F655" s="2" t="s">
        <v>4474</v>
      </c>
      <c r="G655" s="2" t="s">
        <v>4475</v>
      </c>
      <c r="H655" s="2" t="s">
        <v>4476</v>
      </c>
      <c r="I655" s="2" t="s">
        <v>4477</v>
      </c>
      <c r="J655" t="s">
        <v>4478</v>
      </c>
      <c r="L655" s="1">
        <v>2</v>
      </c>
      <c r="M655" s="1"/>
      <c r="N655" s="1"/>
      <c r="O655" s="3"/>
    </row>
    <row r="656" spans="1:15" ht="409.6">
      <c r="A656" t="s">
        <v>4479</v>
      </c>
      <c r="B656" t="s">
        <v>4480</v>
      </c>
      <c r="C656" t="s">
        <v>52</v>
      </c>
      <c r="D656" t="s">
        <v>23</v>
      </c>
      <c r="E656">
        <v>10</v>
      </c>
      <c r="F656" s="2" t="s">
        <v>4481</v>
      </c>
      <c r="G656" s="2" t="s">
        <v>4482</v>
      </c>
      <c r="H656" s="2" t="s">
        <v>4483</v>
      </c>
      <c r="I656" s="2" t="s">
        <v>4484</v>
      </c>
      <c r="J656" t="s">
        <v>4485</v>
      </c>
      <c r="L656" s="1">
        <v>2</v>
      </c>
      <c r="M656" s="1"/>
      <c r="N656" s="1"/>
      <c r="O656" s="3"/>
    </row>
    <row r="657" spans="1:15" ht="409.6">
      <c r="A657" t="s">
        <v>3758</v>
      </c>
      <c r="B657" t="s">
        <v>4486</v>
      </c>
      <c r="C657" t="s">
        <v>52</v>
      </c>
      <c r="D657" t="s">
        <v>23</v>
      </c>
      <c r="E657">
        <v>10</v>
      </c>
      <c r="F657" s="2" t="s">
        <v>4487</v>
      </c>
      <c r="G657" s="2" t="s">
        <v>4488</v>
      </c>
      <c r="H657" s="2" t="s">
        <v>4489</v>
      </c>
      <c r="I657" s="2" t="s">
        <v>4490</v>
      </c>
      <c r="J657" t="s">
        <v>4491</v>
      </c>
      <c r="L657" s="1">
        <v>2</v>
      </c>
      <c r="M657" s="1"/>
      <c r="N657" s="1"/>
      <c r="O657" s="3"/>
    </row>
    <row r="658" spans="1:15" ht="409.6">
      <c r="A658" t="s">
        <v>4492</v>
      </c>
      <c r="B658" t="s">
        <v>4493</v>
      </c>
      <c r="C658" t="s">
        <v>4052</v>
      </c>
      <c r="D658" t="s">
        <v>23</v>
      </c>
      <c r="E658">
        <v>10</v>
      </c>
      <c r="F658" s="2" t="s">
        <v>4494</v>
      </c>
      <c r="G658" s="2" t="s">
        <v>4495</v>
      </c>
      <c r="H658" s="2" t="s">
        <v>4496</v>
      </c>
      <c r="I658" s="2" t="s">
        <v>4497</v>
      </c>
      <c r="J658" t="s">
        <v>4498</v>
      </c>
      <c r="L658" s="1">
        <v>2</v>
      </c>
      <c r="M658" s="1"/>
      <c r="N658" s="1"/>
      <c r="O658" s="3"/>
    </row>
    <row r="659" spans="1:15" ht="409.6">
      <c r="A659" t="s">
        <v>4499</v>
      </c>
      <c r="B659" t="s">
        <v>4500</v>
      </c>
      <c r="C659" t="s">
        <v>4043</v>
      </c>
      <c r="D659" t="s">
        <v>23</v>
      </c>
      <c r="E659">
        <v>20</v>
      </c>
      <c r="F659" s="2" t="s">
        <v>4501</v>
      </c>
      <c r="G659" s="2" t="s">
        <v>4502</v>
      </c>
      <c r="H659" s="2" t="s">
        <v>4503</v>
      </c>
      <c r="I659" s="2" t="s">
        <v>4504</v>
      </c>
      <c r="J659" t="s">
        <v>4505</v>
      </c>
      <c r="L659" s="1">
        <v>2</v>
      </c>
      <c r="M659" s="1"/>
      <c r="N659" s="1"/>
      <c r="O659" s="3"/>
    </row>
    <row r="660" spans="1:15" ht="409.6">
      <c r="A660" t="s">
        <v>4506</v>
      </c>
      <c r="B660" t="s">
        <v>4507</v>
      </c>
      <c r="C660" t="s">
        <v>4154</v>
      </c>
      <c r="D660" t="s">
        <v>23</v>
      </c>
      <c r="E660">
        <v>20</v>
      </c>
      <c r="F660" s="2" t="s">
        <v>4508</v>
      </c>
      <c r="G660" s="2" t="s">
        <v>4509</v>
      </c>
      <c r="H660" s="2" t="s">
        <v>4510</v>
      </c>
      <c r="I660" s="2" t="s">
        <v>4511</v>
      </c>
      <c r="J660" t="s">
        <v>4512</v>
      </c>
      <c r="L660" s="1">
        <v>2</v>
      </c>
      <c r="M660" s="1"/>
      <c r="N660" s="1"/>
      <c r="O660" s="3"/>
    </row>
    <row r="661" spans="1:15" ht="409.6">
      <c r="A661" t="s">
        <v>4513</v>
      </c>
      <c r="B661" s="2" t="s">
        <v>4514</v>
      </c>
      <c r="C661" t="s">
        <v>4043</v>
      </c>
      <c r="D661" t="s">
        <v>14</v>
      </c>
      <c r="E661">
        <v>30</v>
      </c>
      <c r="F661" s="2" t="s">
        <v>4515</v>
      </c>
      <c r="G661" s="2" t="s">
        <v>4516</v>
      </c>
      <c r="H661" s="2" t="s">
        <v>4517</v>
      </c>
      <c r="I661" s="2" t="s">
        <v>4518</v>
      </c>
      <c r="J661" t="s">
        <v>4519</v>
      </c>
      <c r="L661" s="1">
        <v>2</v>
      </c>
      <c r="M661" s="1"/>
      <c r="N661" s="1"/>
      <c r="O661" s="3"/>
    </row>
    <row r="662" spans="1:15" ht="409.6">
      <c r="A662" t="s">
        <v>4520</v>
      </c>
      <c r="B662" t="s">
        <v>4521</v>
      </c>
      <c r="C662" t="s">
        <v>4043</v>
      </c>
      <c r="D662" t="s">
        <v>23</v>
      </c>
      <c r="E662">
        <v>10</v>
      </c>
      <c r="F662" s="2" t="s">
        <v>4522</v>
      </c>
      <c r="G662" s="2" t="s">
        <v>4523</v>
      </c>
      <c r="H662" s="2" t="s">
        <v>4524</v>
      </c>
      <c r="I662" s="2" t="s">
        <v>4525</v>
      </c>
      <c r="J662" t="s">
        <v>4526</v>
      </c>
      <c r="L662" s="1">
        <v>2</v>
      </c>
      <c r="M662" s="1"/>
      <c r="N662" s="1"/>
      <c r="O662" s="3"/>
    </row>
    <row r="663" spans="1:15" ht="409.6">
      <c r="A663" t="s">
        <v>4527</v>
      </c>
      <c r="B663" t="s">
        <v>4528</v>
      </c>
      <c r="C663" t="s">
        <v>4043</v>
      </c>
      <c r="D663" t="s">
        <v>23</v>
      </c>
      <c r="E663">
        <v>15</v>
      </c>
      <c r="F663" s="2" t="s">
        <v>4529</v>
      </c>
      <c r="G663" s="2" t="s">
        <v>4530</v>
      </c>
      <c r="H663" s="2" t="s">
        <v>4531</v>
      </c>
      <c r="I663" s="2" t="s">
        <v>4532</v>
      </c>
      <c r="J663" t="s">
        <v>4533</v>
      </c>
      <c r="L663" s="1">
        <v>2</v>
      </c>
      <c r="M663" s="1"/>
      <c r="N663" s="1"/>
      <c r="O663" s="3"/>
    </row>
    <row r="664" spans="1:15" ht="409.6">
      <c r="A664" t="s">
        <v>4534</v>
      </c>
      <c r="B664" t="s">
        <v>4535</v>
      </c>
      <c r="C664" t="s">
        <v>4043</v>
      </c>
      <c r="D664" t="s">
        <v>23</v>
      </c>
      <c r="E664">
        <v>10</v>
      </c>
      <c r="F664" s="2" t="s">
        <v>4536</v>
      </c>
      <c r="G664" s="2" t="s">
        <v>4537</v>
      </c>
      <c r="H664" s="2" t="s">
        <v>4538</v>
      </c>
      <c r="I664" s="2" t="s">
        <v>4539</v>
      </c>
      <c r="J664" t="s">
        <v>4540</v>
      </c>
      <c r="L664" s="1">
        <v>2</v>
      </c>
      <c r="M664" s="1"/>
      <c r="N664" s="1"/>
      <c r="O664" s="3"/>
    </row>
    <row r="665" spans="1:15" ht="409.6">
      <c r="A665" t="s">
        <v>4541</v>
      </c>
      <c r="B665" t="s">
        <v>4542</v>
      </c>
      <c r="C665" t="s">
        <v>4181</v>
      </c>
      <c r="D665" t="s">
        <v>23</v>
      </c>
      <c r="E665">
        <v>10</v>
      </c>
      <c r="F665" s="2" t="s">
        <v>4543</v>
      </c>
      <c r="G665" s="2" t="s">
        <v>4544</v>
      </c>
      <c r="H665" s="2" t="s">
        <v>4545</v>
      </c>
      <c r="I665" s="2" t="s">
        <v>4546</v>
      </c>
      <c r="J665" t="s">
        <v>4547</v>
      </c>
      <c r="L665" s="1">
        <v>2</v>
      </c>
      <c r="M665" s="1"/>
      <c r="N665" s="1"/>
      <c r="O665" s="3"/>
    </row>
    <row r="666" spans="1:15" ht="409.6">
      <c r="A666" t="s">
        <v>4548</v>
      </c>
      <c r="B666" t="s">
        <v>4549</v>
      </c>
      <c r="C666" t="s">
        <v>4043</v>
      </c>
      <c r="D666" t="s">
        <v>23</v>
      </c>
      <c r="E666">
        <v>10</v>
      </c>
      <c r="F666" s="2" t="s">
        <v>4550</v>
      </c>
      <c r="G666" s="2" t="s">
        <v>4551</v>
      </c>
      <c r="H666" s="2" t="s">
        <v>4552</v>
      </c>
      <c r="I666" s="2" t="s">
        <v>4553</v>
      </c>
      <c r="J666" t="s">
        <v>4554</v>
      </c>
      <c r="L666" s="1">
        <v>2</v>
      </c>
      <c r="M666" s="1"/>
      <c r="N666" s="1"/>
      <c r="O666" s="3"/>
    </row>
    <row r="667" spans="1:15" ht="409.6">
      <c r="A667" t="s">
        <v>4555</v>
      </c>
      <c r="B667" t="s">
        <v>4556</v>
      </c>
      <c r="C667" t="s">
        <v>4043</v>
      </c>
      <c r="D667" t="s">
        <v>23</v>
      </c>
      <c r="E667">
        <v>10</v>
      </c>
      <c r="F667" s="2" t="s">
        <v>4557</v>
      </c>
      <c r="G667" s="2" t="s">
        <v>4558</v>
      </c>
      <c r="H667" s="2" t="s">
        <v>4559</v>
      </c>
      <c r="I667" s="2" t="s">
        <v>4560</v>
      </c>
      <c r="J667" t="s">
        <v>4561</v>
      </c>
      <c r="L667" s="1">
        <v>2</v>
      </c>
      <c r="M667" s="1"/>
      <c r="N667" s="1"/>
      <c r="O667" s="3"/>
    </row>
    <row r="668" spans="1:15" ht="409.6">
      <c r="A668" t="s">
        <v>4562</v>
      </c>
      <c r="B668" t="s">
        <v>4563</v>
      </c>
      <c r="C668" t="s">
        <v>4052</v>
      </c>
      <c r="D668" t="s">
        <v>23</v>
      </c>
      <c r="E668">
        <v>40</v>
      </c>
      <c r="F668" s="2" t="s">
        <v>4564</v>
      </c>
      <c r="G668" s="2" t="s">
        <v>4565</v>
      </c>
      <c r="H668" s="2" t="s">
        <v>4566</v>
      </c>
      <c r="I668" s="2" t="s">
        <v>4567</v>
      </c>
      <c r="J668" t="s">
        <v>4568</v>
      </c>
      <c r="L668" s="1">
        <v>2</v>
      </c>
      <c r="M668" s="1"/>
      <c r="N668" s="1"/>
      <c r="O668" s="3"/>
    </row>
    <row r="669" spans="1:15" ht="409.6">
      <c r="A669" t="s">
        <v>4569</v>
      </c>
      <c r="B669" t="s">
        <v>4570</v>
      </c>
      <c r="C669" t="s">
        <v>4043</v>
      </c>
      <c r="D669" t="s">
        <v>23</v>
      </c>
      <c r="E669">
        <v>15</v>
      </c>
      <c r="F669" s="2" t="s">
        <v>4571</v>
      </c>
      <c r="G669" s="2" t="s">
        <v>4572</v>
      </c>
      <c r="H669" s="2" t="s">
        <v>4573</v>
      </c>
      <c r="I669" s="2" t="s">
        <v>4574</v>
      </c>
      <c r="J669" t="s">
        <v>4575</v>
      </c>
      <c r="L669" s="1">
        <v>2</v>
      </c>
      <c r="M669" s="1"/>
      <c r="N669" s="1"/>
      <c r="O669" s="3"/>
    </row>
    <row r="670" spans="1:15" ht="409.6">
      <c r="A670" t="s">
        <v>4576</v>
      </c>
      <c r="B670" s="2" t="s">
        <v>4577</v>
      </c>
      <c r="C670" t="s">
        <v>52</v>
      </c>
      <c r="D670" t="s">
        <v>23</v>
      </c>
      <c r="E670">
        <v>20</v>
      </c>
      <c r="F670" s="2" t="s">
        <v>4578</v>
      </c>
      <c r="G670" s="2" t="s">
        <v>4579</v>
      </c>
      <c r="H670" s="2" t="s">
        <v>4580</v>
      </c>
      <c r="I670" s="2" t="s">
        <v>4581</v>
      </c>
      <c r="J670" t="s">
        <v>4582</v>
      </c>
      <c r="L670" s="1">
        <v>2</v>
      </c>
      <c r="M670" s="1"/>
      <c r="N670" s="1"/>
      <c r="O670" s="3"/>
    </row>
    <row r="671" spans="1:15" ht="409.6">
      <c r="A671" t="s">
        <v>4583</v>
      </c>
      <c r="B671" t="s">
        <v>4584</v>
      </c>
      <c r="C671" t="s">
        <v>97</v>
      </c>
      <c r="D671" t="s">
        <v>23</v>
      </c>
      <c r="E671">
        <v>25</v>
      </c>
      <c r="F671" s="2" t="s">
        <v>4585</v>
      </c>
      <c r="G671" s="2" t="s">
        <v>4586</v>
      </c>
      <c r="H671" s="2" t="s">
        <v>4587</v>
      </c>
      <c r="I671" s="2" t="s">
        <v>4588</v>
      </c>
      <c r="J671" t="s">
        <v>4589</v>
      </c>
      <c r="L671" s="1">
        <v>2</v>
      </c>
      <c r="M671" s="1"/>
      <c r="N671" s="1"/>
      <c r="O671" s="3"/>
    </row>
    <row r="672" spans="1:15" ht="409.6">
      <c r="A672" t="s">
        <v>4590</v>
      </c>
      <c r="B672" s="2" t="s">
        <v>4591</v>
      </c>
      <c r="C672" t="s">
        <v>4043</v>
      </c>
      <c r="D672" t="s">
        <v>23</v>
      </c>
      <c r="E672">
        <v>15</v>
      </c>
      <c r="F672" s="2" t="s">
        <v>4592</v>
      </c>
      <c r="G672" s="2" t="s">
        <v>4593</v>
      </c>
      <c r="H672" s="2" t="s">
        <v>4594</v>
      </c>
      <c r="I672" s="2" t="s">
        <v>4595</v>
      </c>
      <c r="J672" t="s">
        <v>4596</v>
      </c>
      <c r="L672" s="1">
        <v>2</v>
      </c>
      <c r="M672" s="1"/>
      <c r="N672" s="1"/>
      <c r="O672" s="3"/>
    </row>
    <row r="673" spans="1:15" ht="409.6">
      <c r="A673" t="s">
        <v>4597</v>
      </c>
      <c r="B673" t="s">
        <v>4598</v>
      </c>
      <c r="C673" t="s">
        <v>4043</v>
      </c>
      <c r="D673" t="s">
        <v>23</v>
      </c>
      <c r="E673">
        <v>15</v>
      </c>
      <c r="F673" s="2" t="s">
        <v>4599</v>
      </c>
      <c r="G673" s="2" t="s">
        <v>4600</v>
      </c>
      <c r="H673" s="2" t="s">
        <v>4601</v>
      </c>
      <c r="I673" s="2" t="s">
        <v>4602</v>
      </c>
      <c r="J673" t="s">
        <v>4603</v>
      </c>
      <c r="L673" s="1">
        <v>2</v>
      </c>
      <c r="M673" s="1"/>
      <c r="N673" s="1"/>
      <c r="O673" s="3"/>
    </row>
    <row r="674" spans="1:15" ht="409.6">
      <c r="A674" t="s">
        <v>4604</v>
      </c>
      <c r="B674" t="s">
        <v>4605</v>
      </c>
      <c r="C674" t="s">
        <v>4043</v>
      </c>
      <c r="D674" t="s">
        <v>23</v>
      </c>
      <c r="E674">
        <v>20</v>
      </c>
      <c r="F674" s="2" t="s">
        <v>4606</v>
      </c>
      <c r="G674" s="2" t="s">
        <v>4607</v>
      </c>
      <c r="H674" s="2" t="s">
        <v>4608</v>
      </c>
      <c r="I674" s="2" t="s">
        <v>4609</v>
      </c>
      <c r="J674" t="s">
        <v>4610</v>
      </c>
      <c r="L674" s="1">
        <v>2</v>
      </c>
      <c r="M674" s="1"/>
      <c r="N674" s="1"/>
      <c r="O674" s="3"/>
    </row>
    <row r="675" spans="1:15" ht="409.6">
      <c r="A675" t="s">
        <v>4611</v>
      </c>
      <c r="B675" t="s">
        <v>4612</v>
      </c>
      <c r="C675" t="s">
        <v>4043</v>
      </c>
      <c r="D675" t="s">
        <v>23</v>
      </c>
      <c r="E675">
        <v>20</v>
      </c>
      <c r="F675" s="2" t="s">
        <v>4613</v>
      </c>
      <c r="G675" s="2" t="s">
        <v>4614</v>
      </c>
      <c r="H675" s="2" t="s">
        <v>4615</v>
      </c>
      <c r="I675" s="2" t="s">
        <v>4616</v>
      </c>
      <c r="J675" t="s">
        <v>4617</v>
      </c>
      <c r="L675" s="1">
        <v>2</v>
      </c>
      <c r="M675" s="1"/>
      <c r="N675" s="1"/>
      <c r="O675" s="3"/>
    </row>
    <row r="676" spans="1:15" ht="409.6">
      <c r="A676" t="s">
        <v>4618</v>
      </c>
      <c r="B676" t="s">
        <v>4619</v>
      </c>
      <c r="C676" t="s">
        <v>4043</v>
      </c>
      <c r="D676" t="s">
        <v>23</v>
      </c>
      <c r="E676">
        <v>20</v>
      </c>
      <c r="F676" s="2" t="s">
        <v>4620</v>
      </c>
      <c r="G676" s="2" t="s">
        <v>4621</v>
      </c>
      <c r="H676" s="2" t="s">
        <v>4622</v>
      </c>
      <c r="I676" s="2" t="s">
        <v>4623</v>
      </c>
      <c r="J676" t="s">
        <v>4624</v>
      </c>
      <c r="L676" s="1">
        <v>2</v>
      </c>
      <c r="M676" s="1"/>
      <c r="N676" s="1"/>
      <c r="O676" s="3"/>
    </row>
    <row r="677" spans="1:15" ht="409.6">
      <c r="A677" t="s">
        <v>4625</v>
      </c>
      <c r="B677" t="s">
        <v>4626</v>
      </c>
      <c r="C677" t="s">
        <v>4154</v>
      </c>
      <c r="D677" t="s">
        <v>23</v>
      </c>
      <c r="E677">
        <v>20</v>
      </c>
      <c r="F677" s="2" t="s">
        <v>4627</v>
      </c>
      <c r="G677" s="2" t="s">
        <v>4628</v>
      </c>
      <c r="H677" s="2" t="s">
        <v>4629</v>
      </c>
      <c r="I677" s="2" t="s">
        <v>4630</v>
      </c>
      <c r="J677" t="s">
        <v>4631</v>
      </c>
      <c r="L677" s="1">
        <v>2</v>
      </c>
      <c r="M677" s="1"/>
      <c r="N677" s="1"/>
      <c r="O677" s="3"/>
    </row>
    <row r="678" spans="1:15" ht="409.6">
      <c r="A678" t="s">
        <v>4632</v>
      </c>
      <c r="B678" t="s">
        <v>4633</v>
      </c>
      <c r="C678" t="s">
        <v>4043</v>
      </c>
      <c r="D678" t="s">
        <v>23</v>
      </c>
      <c r="E678">
        <v>20</v>
      </c>
      <c r="F678" s="2" t="s">
        <v>4634</v>
      </c>
      <c r="G678" s="2" t="s">
        <v>4635</v>
      </c>
      <c r="H678" s="2" t="s">
        <v>4636</v>
      </c>
      <c r="I678" s="2" t="s">
        <v>4637</v>
      </c>
      <c r="J678" t="s">
        <v>4638</v>
      </c>
      <c r="L678" s="1">
        <v>2</v>
      </c>
      <c r="M678" s="1"/>
      <c r="N678" s="1"/>
      <c r="O678" s="3"/>
    </row>
    <row r="679" spans="1:15" ht="409.6">
      <c r="A679" t="s">
        <v>4639</v>
      </c>
      <c r="B679" t="s">
        <v>4640</v>
      </c>
      <c r="C679" t="s">
        <v>4043</v>
      </c>
      <c r="D679" t="s">
        <v>23</v>
      </c>
      <c r="E679">
        <v>15</v>
      </c>
      <c r="F679" s="2" t="s">
        <v>4641</v>
      </c>
      <c r="G679" s="2" t="s">
        <v>4642</v>
      </c>
      <c r="H679" s="2" t="s">
        <v>4643</v>
      </c>
      <c r="I679" s="2" t="s">
        <v>4644</v>
      </c>
      <c r="J679" t="s">
        <v>4645</v>
      </c>
      <c r="L679" s="1">
        <v>2</v>
      </c>
      <c r="M679" s="1"/>
      <c r="N679" s="1"/>
      <c r="O679" s="3"/>
    </row>
    <row r="680" spans="1:15" ht="409.6">
      <c r="A680" t="s">
        <v>4646</v>
      </c>
      <c r="B680" t="s">
        <v>4647</v>
      </c>
      <c r="C680" t="s">
        <v>4043</v>
      </c>
      <c r="D680" t="s">
        <v>23</v>
      </c>
      <c r="E680">
        <v>30</v>
      </c>
      <c r="F680" s="2" t="s">
        <v>4648</v>
      </c>
      <c r="G680" s="2" t="s">
        <v>4649</v>
      </c>
      <c r="H680" s="2" t="s">
        <v>4650</v>
      </c>
      <c r="I680" s="2" t="s">
        <v>4651</v>
      </c>
      <c r="J680" t="s">
        <v>4652</v>
      </c>
      <c r="L680" s="1">
        <v>2</v>
      </c>
      <c r="M680" s="1"/>
      <c r="N680" s="1"/>
      <c r="O680" s="3"/>
    </row>
    <row r="681" spans="1:15" ht="409.6">
      <c r="A681" t="s">
        <v>4653</v>
      </c>
      <c r="B681" t="s">
        <v>4654</v>
      </c>
      <c r="C681" t="s">
        <v>4043</v>
      </c>
      <c r="D681" t="s">
        <v>14</v>
      </c>
      <c r="E681">
        <v>10</v>
      </c>
      <c r="F681" s="2" t="s">
        <v>4655</v>
      </c>
      <c r="G681" s="2" t="s">
        <v>4656</v>
      </c>
      <c r="H681" s="2" t="s">
        <v>4657</v>
      </c>
      <c r="I681" s="2" t="s">
        <v>4658</v>
      </c>
      <c r="J681" t="s">
        <v>4659</v>
      </c>
      <c r="L681" s="1">
        <v>2</v>
      </c>
      <c r="M681" s="1"/>
      <c r="N681" s="1"/>
      <c r="O681" s="3"/>
    </row>
    <row r="682" spans="1:15" ht="409.6">
      <c r="A682" t="s">
        <v>4660</v>
      </c>
      <c r="B682" t="s">
        <v>4661</v>
      </c>
      <c r="C682" t="s">
        <v>4043</v>
      </c>
      <c r="D682" t="s">
        <v>23</v>
      </c>
      <c r="E682">
        <v>25</v>
      </c>
      <c r="F682" s="2" t="s">
        <v>4662</v>
      </c>
      <c r="G682" s="2" t="s">
        <v>4663</v>
      </c>
      <c r="H682" s="2" t="s">
        <v>4664</v>
      </c>
      <c r="I682" s="2" t="s">
        <v>4665</v>
      </c>
      <c r="J682" t="s">
        <v>4666</v>
      </c>
      <c r="L682" s="1">
        <v>2</v>
      </c>
      <c r="M682" s="1"/>
      <c r="N682" s="1"/>
      <c r="O682" s="3"/>
    </row>
    <row r="683" spans="1:15" ht="409.6">
      <c r="A683" t="s">
        <v>4667</v>
      </c>
      <c r="B683" t="s">
        <v>4668</v>
      </c>
      <c r="C683" t="s">
        <v>4043</v>
      </c>
      <c r="D683" t="s">
        <v>23</v>
      </c>
      <c r="E683">
        <v>20</v>
      </c>
      <c r="F683" s="2" t="s">
        <v>4669</v>
      </c>
      <c r="G683" s="2" t="s">
        <v>4670</v>
      </c>
      <c r="H683" s="2" t="s">
        <v>4671</v>
      </c>
      <c r="I683" s="2" t="s">
        <v>4672</v>
      </c>
      <c r="J683" t="s">
        <v>4673</v>
      </c>
      <c r="L683" s="1">
        <v>2</v>
      </c>
      <c r="M683" s="1"/>
      <c r="N683" s="1"/>
      <c r="O683" s="3"/>
    </row>
    <row r="684" spans="1:15" ht="409.6">
      <c r="A684" t="s">
        <v>4674</v>
      </c>
      <c r="B684" t="s">
        <v>4675</v>
      </c>
      <c r="C684" t="s">
        <v>4181</v>
      </c>
      <c r="D684" t="s">
        <v>23</v>
      </c>
      <c r="E684">
        <v>15</v>
      </c>
      <c r="F684" s="2" t="s">
        <v>4676</v>
      </c>
      <c r="G684" s="2" t="s">
        <v>4677</v>
      </c>
      <c r="H684" s="2" t="s">
        <v>4678</v>
      </c>
      <c r="I684" s="2" t="s">
        <v>4679</v>
      </c>
      <c r="J684" t="s">
        <v>4680</v>
      </c>
      <c r="L684" s="1">
        <v>2</v>
      </c>
      <c r="M684" s="1"/>
      <c r="N684" s="1"/>
      <c r="O684" s="3"/>
    </row>
    <row r="685" spans="1:15" ht="409.6">
      <c r="A685" t="s">
        <v>4681</v>
      </c>
      <c r="B685" t="s">
        <v>4682</v>
      </c>
      <c r="C685" t="s">
        <v>4052</v>
      </c>
      <c r="D685" t="s">
        <v>23</v>
      </c>
      <c r="E685">
        <v>15</v>
      </c>
      <c r="F685" s="2" t="s">
        <v>4683</v>
      </c>
      <c r="G685" s="2" t="s">
        <v>4684</v>
      </c>
      <c r="H685" s="2" t="s">
        <v>4685</v>
      </c>
      <c r="I685" s="2" t="s">
        <v>4686</v>
      </c>
      <c r="J685" t="s">
        <v>4687</v>
      </c>
      <c r="L685" s="1">
        <v>2</v>
      </c>
      <c r="M685" s="1"/>
      <c r="N685" s="1"/>
      <c r="O685" s="3"/>
    </row>
    <row r="686" spans="1:15" ht="409.6">
      <c r="A686" t="s">
        <v>4688</v>
      </c>
      <c r="B686" t="s">
        <v>4689</v>
      </c>
      <c r="C686" t="s">
        <v>4043</v>
      </c>
      <c r="D686" t="s">
        <v>23</v>
      </c>
      <c r="E686">
        <v>20</v>
      </c>
      <c r="F686" s="2" t="s">
        <v>4690</v>
      </c>
      <c r="G686" s="2" t="s">
        <v>4691</v>
      </c>
      <c r="H686" s="2" t="s">
        <v>4692</v>
      </c>
      <c r="I686" s="2" t="s">
        <v>4693</v>
      </c>
      <c r="J686" t="s">
        <v>4694</v>
      </c>
      <c r="L686" s="1">
        <v>2</v>
      </c>
      <c r="M686" s="1"/>
      <c r="N686" s="1"/>
      <c r="O686" s="3"/>
    </row>
    <row r="687" spans="1:15" ht="409.6">
      <c r="A687" t="s">
        <v>4695</v>
      </c>
      <c r="B687" t="s">
        <v>4696</v>
      </c>
      <c r="C687" t="s">
        <v>4043</v>
      </c>
      <c r="D687" t="s">
        <v>23</v>
      </c>
      <c r="E687">
        <v>10</v>
      </c>
      <c r="F687" s="2" t="s">
        <v>4697</v>
      </c>
      <c r="G687" s="2" t="s">
        <v>4698</v>
      </c>
      <c r="H687" s="2" t="s">
        <v>4699</v>
      </c>
      <c r="I687" s="2" t="s">
        <v>4700</v>
      </c>
      <c r="J687" t="s">
        <v>4701</v>
      </c>
      <c r="L687" s="1">
        <v>2</v>
      </c>
      <c r="M687" s="1"/>
      <c r="N687" s="1"/>
      <c r="O687" s="3"/>
    </row>
    <row r="688" spans="1:15" ht="409.6">
      <c r="A688" t="s">
        <v>4702</v>
      </c>
      <c r="B688" t="s">
        <v>4703</v>
      </c>
      <c r="C688" t="s">
        <v>4043</v>
      </c>
      <c r="D688" t="s">
        <v>23</v>
      </c>
      <c r="E688">
        <v>20</v>
      </c>
      <c r="F688" s="2" t="s">
        <v>4704</v>
      </c>
      <c r="G688" s="2" t="s">
        <v>4705</v>
      </c>
      <c r="H688" s="2" t="s">
        <v>4706</v>
      </c>
      <c r="I688" s="2" t="s">
        <v>4707</v>
      </c>
      <c r="J688" t="s">
        <v>4708</v>
      </c>
      <c r="L688" s="1">
        <v>2</v>
      </c>
      <c r="M688" s="1"/>
      <c r="N688" s="1"/>
      <c r="O688" s="3"/>
    </row>
    <row r="689" spans="1:15" ht="316.8">
      <c r="A689" t="s">
        <v>4709</v>
      </c>
      <c r="B689" t="s">
        <v>4710</v>
      </c>
      <c r="C689" t="s">
        <v>4043</v>
      </c>
      <c r="D689" t="s">
        <v>23</v>
      </c>
      <c r="E689">
        <v>5</v>
      </c>
      <c r="F689" s="2" t="s">
        <v>4711</v>
      </c>
      <c r="G689" s="2" t="s">
        <v>4712</v>
      </c>
      <c r="H689" s="2" t="s">
        <v>4713</v>
      </c>
      <c r="I689" t="s">
        <v>4714</v>
      </c>
      <c r="J689" t="s">
        <v>4715</v>
      </c>
      <c r="L689" s="1">
        <v>2</v>
      </c>
      <c r="M689" s="1"/>
      <c r="N689" s="1"/>
      <c r="O689" s="3"/>
    </row>
    <row r="690" spans="1:15" ht="409.6">
      <c r="A690" t="s">
        <v>1942</v>
      </c>
      <c r="B690" t="s">
        <v>4716</v>
      </c>
      <c r="C690" t="s">
        <v>4043</v>
      </c>
      <c r="D690" t="s">
        <v>23</v>
      </c>
      <c r="E690">
        <v>5</v>
      </c>
      <c r="F690" s="2" t="s">
        <v>4717</v>
      </c>
      <c r="G690" s="2" t="s">
        <v>4718</v>
      </c>
      <c r="H690" s="2" t="s">
        <v>4719</v>
      </c>
      <c r="I690" s="2" t="s">
        <v>4720</v>
      </c>
      <c r="J690" t="s">
        <v>4721</v>
      </c>
      <c r="L690" s="1">
        <v>2</v>
      </c>
      <c r="M690" s="1"/>
      <c r="N690" s="1"/>
      <c r="O690" s="3"/>
    </row>
    <row r="691" spans="1:15" ht="409.6">
      <c r="A691" t="s">
        <v>4722</v>
      </c>
      <c r="B691" t="s">
        <v>4723</v>
      </c>
      <c r="C691" t="s">
        <v>4043</v>
      </c>
      <c r="D691" t="s">
        <v>23</v>
      </c>
      <c r="E691">
        <v>20</v>
      </c>
      <c r="F691" s="2" t="s">
        <v>4724</v>
      </c>
      <c r="G691" s="2" t="s">
        <v>4725</v>
      </c>
      <c r="H691" s="2" t="s">
        <v>4726</v>
      </c>
      <c r="I691" s="2" t="s">
        <v>4727</v>
      </c>
      <c r="J691" t="s">
        <v>4728</v>
      </c>
      <c r="L691" s="1">
        <v>2</v>
      </c>
      <c r="M691" s="1"/>
      <c r="N691" s="1"/>
      <c r="O691" s="3"/>
    </row>
    <row r="692" spans="1:15" ht="409.6">
      <c r="A692" t="s">
        <v>4729</v>
      </c>
      <c r="B692" t="s">
        <v>4730</v>
      </c>
      <c r="C692" t="s">
        <v>4043</v>
      </c>
      <c r="D692" t="s">
        <v>14</v>
      </c>
      <c r="E692">
        <v>20</v>
      </c>
      <c r="F692" s="2" t="s">
        <v>4731</v>
      </c>
      <c r="G692" s="2" t="s">
        <v>4732</v>
      </c>
      <c r="H692" s="2" t="s">
        <v>4733</v>
      </c>
      <c r="I692" s="2" t="s">
        <v>4734</v>
      </c>
      <c r="J692" t="s">
        <v>4735</v>
      </c>
      <c r="L692" s="1">
        <v>2</v>
      </c>
      <c r="M692" s="1"/>
      <c r="N692" s="1"/>
      <c r="O692" s="3"/>
    </row>
    <row r="693" spans="1:15" ht="409.6">
      <c r="A693" t="s">
        <v>4736</v>
      </c>
      <c r="B693" t="s">
        <v>4737</v>
      </c>
      <c r="C693" t="s">
        <v>4052</v>
      </c>
      <c r="D693" t="s">
        <v>14</v>
      </c>
      <c r="E693">
        <v>10</v>
      </c>
      <c r="F693" s="2" t="s">
        <v>4738</v>
      </c>
      <c r="G693" s="2" t="s">
        <v>4739</v>
      </c>
      <c r="H693" s="2" t="s">
        <v>4740</v>
      </c>
      <c r="I693" s="2" t="s">
        <v>4741</v>
      </c>
      <c r="J693" t="s">
        <v>4742</v>
      </c>
      <c r="L693" s="1">
        <v>2</v>
      </c>
      <c r="M693" s="1"/>
      <c r="N693" s="1"/>
      <c r="O693" s="3"/>
    </row>
    <row r="694" spans="1:15" ht="409.6">
      <c r="A694" t="s">
        <v>4743</v>
      </c>
      <c r="B694" t="s">
        <v>4744</v>
      </c>
      <c r="C694" t="s">
        <v>4043</v>
      </c>
      <c r="D694" t="s">
        <v>23</v>
      </c>
      <c r="E694">
        <v>10</v>
      </c>
      <c r="F694" s="2" t="s">
        <v>4745</v>
      </c>
      <c r="G694" s="2" t="s">
        <v>4746</v>
      </c>
      <c r="H694" s="2" t="s">
        <v>4747</v>
      </c>
      <c r="I694" s="2" t="s">
        <v>4748</v>
      </c>
      <c r="J694" t="s">
        <v>4749</v>
      </c>
      <c r="L694" s="1">
        <v>2</v>
      </c>
      <c r="M694" s="1"/>
      <c r="N694" s="1"/>
      <c r="O694" s="3"/>
    </row>
    <row r="695" spans="1:15" ht="409.6">
      <c r="A695" t="s">
        <v>4750</v>
      </c>
      <c r="B695" t="s">
        <v>4751</v>
      </c>
      <c r="C695" t="s">
        <v>4154</v>
      </c>
      <c r="D695" t="s">
        <v>23</v>
      </c>
      <c r="E695">
        <v>20</v>
      </c>
      <c r="F695" s="2" t="s">
        <v>4752</v>
      </c>
      <c r="G695" s="2" t="s">
        <v>4753</v>
      </c>
      <c r="H695" s="2" t="s">
        <v>4754</v>
      </c>
      <c r="I695" s="2" t="s">
        <v>4755</v>
      </c>
      <c r="J695" t="s">
        <v>4756</v>
      </c>
      <c r="L695" s="1">
        <v>2</v>
      </c>
      <c r="M695" s="1"/>
      <c r="N695" s="1"/>
      <c r="O695" s="3"/>
    </row>
    <row r="696" spans="1:15" ht="409.6">
      <c r="A696" t="s">
        <v>4757</v>
      </c>
      <c r="B696" t="s">
        <v>4758</v>
      </c>
      <c r="C696" t="s">
        <v>4043</v>
      </c>
      <c r="D696" t="s">
        <v>23</v>
      </c>
      <c r="E696">
        <v>10</v>
      </c>
      <c r="F696" s="2" t="s">
        <v>4759</v>
      </c>
      <c r="G696" s="2" t="s">
        <v>4760</v>
      </c>
      <c r="H696" s="2" t="s">
        <v>4761</v>
      </c>
      <c r="I696" s="2" t="s">
        <v>4762</v>
      </c>
      <c r="J696" t="s">
        <v>4763</v>
      </c>
      <c r="L696" s="1">
        <v>2</v>
      </c>
      <c r="M696" s="1"/>
      <c r="N696" s="1"/>
      <c r="O696" s="3"/>
    </row>
    <row r="697" spans="1:15" ht="409.6">
      <c r="A697" t="s">
        <v>4764</v>
      </c>
      <c r="B697" t="s">
        <v>4765</v>
      </c>
      <c r="C697" t="s">
        <v>4181</v>
      </c>
      <c r="D697" t="s">
        <v>23</v>
      </c>
      <c r="E697">
        <v>20</v>
      </c>
      <c r="F697" s="2" t="s">
        <v>4766</v>
      </c>
      <c r="G697" s="2" t="s">
        <v>4767</v>
      </c>
      <c r="H697" s="2" t="s">
        <v>4768</v>
      </c>
      <c r="I697" s="2" t="s">
        <v>4769</v>
      </c>
      <c r="J697" t="s">
        <v>4770</v>
      </c>
      <c r="L697" s="1">
        <v>2</v>
      </c>
      <c r="M697" s="1"/>
      <c r="N697" s="1"/>
      <c r="O697" s="3"/>
    </row>
    <row r="698" spans="1:15" ht="409.6">
      <c r="A698" t="s">
        <v>4771</v>
      </c>
      <c r="B698" t="s">
        <v>4772</v>
      </c>
      <c r="C698" t="s">
        <v>4043</v>
      </c>
      <c r="D698" t="s">
        <v>23</v>
      </c>
      <c r="E698">
        <v>10</v>
      </c>
      <c r="F698" s="2" t="s">
        <v>4773</v>
      </c>
      <c r="G698" s="2" t="s">
        <v>4774</v>
      </c>
      <c r="H698" s="2" t="s">
        <v>4775</v>
      </c>
      <c r="I698" s="2" t="s">
        <v>4776</v>
      </c>
      <c r="J698" t="s">
        <v>4777</v>
      </c>
      <c r="L698" s="1">
        <v>2</v>
      </c>
      <c r="M698" s="1"/>
      <c r="N698" s="1"/>
      <c r="O698" s="3"/>
    </row>
    <row r="699" spans="1:15" ht="409.6">
      <c r="A699" t="s">
        <v>4778</v>
      </c>
      <c r="B699" t="s">
        <v>4779</v>
      </c>
      <c r="C699" t="s">
        <v>4181</v>
      </c>
      <c r="D699" t="s">
        <v>23</v>
      </c>
      <c r="E699">
        <v>10</v>
      </c>
      <c r="F699" s="2" t="s">
        <v>4780</v>
      </c>
      <c r="G699" s="2" t="s">
        <v>4781</v>
      </c>
      <c r="H699" s="2" t="s">
        <v>4782</v>
      </c>
      <c r="I699" s="2" t="s">
        <v>4783</v>
      </c>
      <c r="J699" t="s">
        <v>4784</v>
      </c>
      <c r="L699" s="1">
        <v>2</v>
      </c>
      <c r="M699" s="1"/>
      <c r="N699" s="1"/>
      <c r="O699" s="3"/>
    </row>
    <row r="700" spans="1:15" ht="409.6">
      <c r="A700" t="s">
        <v>3765</v>
      </c>
      <c r="B700" t="s">
        <v>3766</v>
      </c>
      <c r="C700" t="s">
        <v>4154</v>
      </c>
      <c r="D700" t="s">
        <v>23</v>
      </c>
      <c r="E700">
        <v>10</v>
      </c>
      <c r="F700" s="2" t="s">
        <v>4785</v>
      </c>
      <c r="G700" s="2" t="s">
        <v>4786</v>
      </c>
      <c r="H700" s="2" t="s">
        <v>4787</v>
      </c>
      <c r="I700" s="2" t="s">
        <v>4788</v>
      </c>
      <c r="J700" t="s">
        <v>4789</v>
      </c>
      <c r="L700" s="1">
        <v>2</v>
      </c>
      <c r="M700" s="1"/>
      <c r="N700" s="1"/>
      <c r="O700" s="3"/>
    </row>
    <row r="701" spans="1:15" ht="409.6">
      <c r="A701" t="s">
        <v>4790</v>
      </c>
      <c r="B701" t="s">
        <v>4791</v>
      </c>
      <c r="C701" t="s">
        <v>4043</v>
      </c>
      <c r="D701" t="s">
        <v>23</v>
      </c>
      <c r="E701">
        <v>10</v>
      </c>
      <c r="F701" s="2" t="s">
        <v>4792</v>
      </c>
      <c r="G701" s="2" t="s">
        <v>4793</v>
      </c>
      <c r="H701" s="2" t="s">
        <v>4794</v>
      </c>
      <c r="I701" s="2" t="s">
        <v>4795</v>
      </c>
      <c r="J701" t="s">
        <v>4796</v>
      </c>
      <c r="L701" s="1">
        <v>2</v>
      </c>
      <c r="M701" s="1"/>
      <c r="N701" s="1"/>
      <c r="O701" s="3"/>
    </row>
    <row r="702" spans="1:15" ht="409.6">
      <c r="A702" t="s">
        <v>4797</v>
      </c>
      <c r="B702" t="s">
        <v>4798</v>
      </c>
      <c r="C702" t="s">
        <v>4043</v>
      </c>
      <c r="D702" t="s">
        <v>23</v>
      </c>
      <c r="E702">
        <v>10</v>
      </c>
      <c r="F702" s="2" t="s">
        <v>4799</v>
      </c>
      <c r="G702" s="2" t="s">
        <v>4800</v>
      </c>
      <c r="H702" s="2" t="s">
        <v>4801</v>
      </c>
      <c r="I702" s="2" t="s">
        <v>4802</v>
      </c>
      <c r="J702" t="s">
        <v>4803</v>
      </c>
      <c r="L702" s="1">
        <v>2</v>
      </c>
      <c r="M702" s="1"/>
      <c r="N702" s="1"/>
      <c r="O702" s="3"/>
    </row>
    <row r="703" spans="1:15" ht="409.6">
      <c r="A703" t="s">
        <v>4804</v>
      </c>
      <c r="B703" t="s">
        <v>4805</v>
      </c>
      <c r="C703" t="s">
        <v>4043</v>
      </c>
      <c r="D703" t="s">
        <v>23</v>
      </c>
      <c r="E703">
        <v>10</v>
      </c>
      <c r="F703" s="2" t="s">
        <v>4806</v>
      </c>
      <c r="G703" s="2" t="s">
        <v>4807</v>
      </c>
      <c r="H703" s="2" t="s">
        <v>4808</v>
      </c>
      <c r="I703" s="2" t="s">
        <v>4809</v>
      </c>
      <c r="J703" t="s">
        <v>4810</v>
      </c>
      <c r="L703" s="1">
        <v>2</v>
      </c>
      <c r="M703" s="1"/>
      <c r="N703" s="1"/>
      <c r="O703" s="3"/>
    </row>
    <row r="704" spans="1:15" ht="409.6">
      <c r="A704" t="s">
        <v>4811</v>
      </c>
      <c r="B704" t="s">
        <v>4812</v>
      </c>
      <c r="C704" t="s">
        <v>4043</v>
      </c>
      <c r="D704" t="s">
        <v>23</v>
      </c>
      <c r="E704">
        <v>20</v>
      </c>
      <c r="F704" s="2" t="s">
        <v>4813</v>
      </c>
      <c r="G704" s="2" t="s">
        <v>4814</v>
      </c>
      <c r="H704" s="2" t="s">
        <v>4815</v>
      </c>
      <c r="I704" s="2" t="s">
        <v>4816</v>
      </c>
      <c r="J704" t="s">
        <v>4817</v>
      </c>
      <c r="L704" s="1">
        <v>2</v>
      </c>
      <c r="M704" s="1"/>
      <c r="N704" s="1"/>
      <c r="O704" s="3"/>
    </row>
    <row r="705" spans="1:15" ht="409.6">
      <c r="A705" t="s">
        <v>4818</v>
      </c>
      <c r="B705" t="s">
        <v>4819</v>
      </c>
      <c r="C705" t="s">
        <v>4154</v>
      </c>
      <c r="D705" t="s">
        <v>23</v>
      </c>
      <c r="E705">
        <v>20</v>
      </c>
      <c r="F705" s="2" t="s">
        <v>4820</v>
      </c>
      <c r="G705" s="2" t="s">
        <v>4821</v>
      </c>
      <c r="H705" s="2" t="s">
        <v>4822</v>
      </c>
      <c r="I705" s="2" t="s">
        <v>4823</v>
      </c>
      <c r="J705" t="s">
        <v>4824</v>
      </c>
      <c r="L705" s="1">
        <v>2</v>
      </c>
      <c r="M705" s="1"/>
      <c r="N705" s="1"/>
      <c r="O705" s="3"/>
    </row>
    <row r="706" spans="1:15" ht="409.6">
      <c r="A706" t="s">
        <v>4825</v>
      </c>
      <c r="B706" t="s">
        <v>4826</v>
      </c>
      <c r="C706" t="s">
        <v>4181</v>
      </c>
      <c r="D706" t="s">
        <v>23</v>
      </c>
      <c r="E706">
        <v>10</v>
      </c>
      <c r="F706" s="2" t="s">
        <v>4827</v>
      </c>
      <c r="G706" s="2" t="s">
        <v>4828</v>
      </c>
      <c r="H706" s="2" t="s">
        <v>4829</v>
      </c>
      <c r="I706" s="2" t="s">
        <v>4830</v>
      </c>
      <c r="J706" t="s">
        <v>4831</v>
      </c>
      <c r="L706" s="1">
        <v>2</v>
      </c>
      <c r="M706" s="1"/>
      <c r="N706" s="1"/>
      <c r="O706" s="3"/>
    </row>
    <row r="707" spans="1:15" ht="409.6">
      <c r="A707" t="s">
        <v>4832</v>
      </c>
      <c r="B707" t="s">
        <v>4833</v>
      </c>
      <c r="C707" t="s">
        <v>4043</v>
      </c>
      <c r="D707" t="s">
        <v>23</v>
      </c>
      <c r="E707">
        <v>20</v>
      </c>
      <c r="F707" s="2" t="s">
        <v>4834</v>
      </c>
      <c r="G707" s="2" t="s">
        <v>4835</v>
      </c>
      <c r="H707" s="2" t="s">
        <v>4836</v>
      </c>
      <c r="I707" s="2" t="s">
        <v>4837</v>
      </c>
      <c r="J707" t="s">
        <v>4838</v>
      </c>
      <c r="L707" s="1">
        <v>2</v>
      </c>
      <c r="M707" s="1"/>
      <c r="N707" s="1"/>
      <c r="O707" s="3"/>
    </row>
    <row r="708" spans="1:15" ht="409.6">
      <c r="A708" t="s">
        <v>4839</v>
      </c>
      <c r="B708" t="s">
        <v>4840</v>
      </c>
      <c r="C708" t="s">
        <v>4154</v>
      </c>
      <c r="D708" t="s">
        <v>23</v>
      </c>
      <c r="E708">
        <v>10</v>
      </c>
      <c r="F708" s="2" t="s">
        <v>4841</v>
      </c>
      <c r="G708" s="2" t="s">
        <v>4842</v>
      </c>
      <c r="H708" s="2" t="s">
        <v>4843</v>
      </c>
      <c r="I708" s="2" t="s">
        <v>4844</v>
      </c>
      <c r="J708" t="s">
        <v>4845</v>
      </c>
      <c r="K708" t="s">
        <v>4846</v>
      </c>
      <c r="L708" s="1">
        <v>2</v>
      </c>
      <c r="M708" s="1"/>
      <c r="N708" s="1"/>
      <c r="O708" s="3"/>
    </row>
    <row r="709" spans="1:15" ht="184.8">
      <c r="A709" t="s">
        <v>4847</v>
      </c>
      <c r="B709" t="s">
        <v>4848</v>
      </c>
      <c r="C709" t="s">
        <v>4043</v>
      </c>
      <c r="D709" t="s">
        <v>23</v>
      </c>
      <c r="E709">
        <v>10</v>
      </c>
      <c r="F709" s="2" t="s">
        <v>4849</v>
      </c>
      <c r="G709" s="2" t="s">
        <v>4850</v>
      </c>
      <c r="H709" t="s">
        <v>4851</v>
      </c>
      <c r="I709" t="s">
        <v>4852</v>
      </c>
      <c r="J709" t="s">
        <v>4853</v>
      </c>
      <c r="L709" s="1">
        <v>2</v>
      </c>
      <c r="M709" s="1"/>
      <c r="N709" s="1"/>
      <c r="O709" s="3"/>
    </row>
    <row r="710" spans="1:15" ht="409.6">
      <c r="A710" t="s">
        <v>4854</v>
      </c>
      <c r="B710" s="2" t="s">
        <v>4855</v>
      </c>
      <c r="C710" t="s">
        <v>4043</v>
      </c>
      <c r="D710" t="s">
        <v>23</v>
      </c>
      <c r="E710">
        <v>10</v>
      </c>
      <c r="F710" s="2" t="s">
        <v>4856</v>
      </c>
      <c r="G710" s="2" t="s">
        <v>4857</v>
      </c>
      <c r="H710" s="2" t="s">
        <v>4858</v>
      </c>
      <c r="I710" s="2" t="s">
        <v>4859</v>
      </c>
      <c r="J710" t="s">
        <v>4860</v>
      </c>
      <c r="L710" s="1">
        <v>2</v>
      </c>
      <c r="M710" s="1"/>
      <c r="N710" s="1"/>
      <c r="O710" s="3"/>
    </row>
    <row r="711" spans="1:15" ht="409.6">
      <c r="A711" t="s">
        <v>4861</v>
      </c>
      <c r="B711" t="s">
        <v>4862</v>
      </c>
      <c r="C711" t="s">
        <v>4043</v>
      </c>
      <c r="D711" t="s">
        <v>23</v>
      </c>
      <c r="E711">
        <v>20</v>
      </c>
      <c r="F711" s="2" t="s">
        <v>4863</v>
      </c>
      <c r="G711" s="2" t="s">
        <v>4864</v>
      </c>
      <c r="H711" s="2" t="s">
        <v>4865</v>
      </c>
      <c r="I711" s="2" t="s">
        <v>4866</v>
      </c>
      <c r="J711" t="s">
        <v>4867</v>
      </c>
      <c r="L711" s="1">
        <v>2</v>
      </c>
      <c r="M711" s="1"/>
      <c r="N711" s="1"/>
      <c r="O711" s="3"/>
    </row>
    <row r="712" spans="1:15" ht="409.6">
      <c r="A712" t="s">
        <v>4868</v>
      </c>
      <c r="B712" t="s">
        <v>4869</v>
      </c>
      <c r="C712" t="s">
        <v>4043</v>
      </c>
      <c r="D712" t="s">
        <v>23</v>
      </c>
      <c r="E712">
        <v>10</v>
      </c>
      <c r="F712" s="2" t="s">
        <v>4870</v>
      </c>
      <c r="G712" s="2" t="s">
        <v>4871</v>
      </c>
      <c r="H712" s="2" t="s">
        <v>4872</v>
      </c>
      <c r="I712" s="2" t="s">
        <v>4871</v>
      </c>
      <c r="J712" t="s">
        <v>4873</v>
      </c>
      <c r="L712" s="1">
        <v>2</v>
      </c>
      <c r="M712" s="1"/>
      <c r="N712" s="1"/>
      <c r="O712" s="3"/>
    </row>
    <row r="713" spans="1:15" ht="409.6">
      <c r="A713" t="s">
        <v>4874</v>
      </c>
      <c r="B713" t="s">
        <v>4875</v>
      </c>
      <c r="C713" t="s">
        <v>4043</v>
      </c>
      <c r="D713" t="s">
        <v>23</v>
      </c>
      <c r="E713">
        <v>5</v>
      </c>
      <c r="F713" s="2" t="s">
        <v>4876</v>
      </c>
      <c r="G713" s="2" t="s">
        <v>4877</v>
      </c>
      <c r="H713" s="2" t="s">
        <v>4878</v>
      </c>
      <c r="I713" s="2" t="s">
        <v>4879</v>
      </c>
      <c r="J713" t="s">
        <v>4880</v>
      </c>
      <c r="L713" s="1">
        <v>2</v>
      </c>
      <c r="M713" s="1"/>
      <c r="N713" s="1"/>
      <c r="O713" s="3"/>
    </row>
    <row r="714" spans="1:15" ht="409.6">
      <c r="A714" t="s">
        <v>4881</v>
      </c>
      <c r="B714" t="s">
        <v>4882</v>
      </c>
      <c r="C714" t="s">
        <v>4043</v>
      </c>
      <c r="D714" t="s">
        <v>23</v>
      </c>
      <c r="E714">
        <v>20</v>
      </c>
      <c r="F714" s="2" t="s">
        <v>4883</v>
      </c>
      <c r="G714" s="2" t="s">
        <v>4884</v>
      </c>
      <c r="H714" s="2" t="s">
        <v>4885</v>
      </c>
      <c r="I714" s="2" t="s">
        <v>4886</v>
      </c>
      <c r="J714" t="s">
        <v>4887</v>
      </c>
      <c r="L714" s="1">
        <v>2</v>
      </c>
      <c r="M714" s="1"/>
      <c r="N714" s="1"/>
      <c r="O714" s="3"/>
    </row>
    <row r="715" spans="1:15" ht="409.6">
      <c r="A715" t="s">
        <v>4888</v>
      </c>
      <c r="B715" t="s">
        <v>4889</v>
      </c>
      <c r="C715" t="s">
        <v>4043</v>
      </c>
      <c r="D715" t="s">
        <v>23</v>
      </c>
      <c r="E715">
        <v>20</v>
      </c>
      <c r="F715" s="2" t="s">
        <v>4890</v>
      </c>
      <c r="G715" s="2" t="s">
        <v>4891</v>
      </c>
      <c r="H715" s="2" t="s">
        <v>4892</v>
      </c>
      <c r="I715" s="2" t="s">
        <v>4893</v>
      </c>
      <c r="J715" t="s">
        <v>4894</v>
      </c>
      <c r="L715" s="1">
        <v>2</v>
      </c>
      <c r="M715" s="1"/>
      <c r="N715" s="1"/>
      <c r="O715" s="3"/>
    </row>
    <row r="716" spans="1:15" ht="409.6">
      <c r="A716" t="s">
        <v>4895</v>
      </c>
      <c r="B716" t="s">
        <v>4896</v>
      </c>
      <c r="C716" t="s">
        <v>4043</v>
      </c>
      <c r="D716" t="s">
        <v>23</v>
      </c>
      <c r="E716">
        <v>20</v>
      </c>
      <c r="F716" s="2" t="s">
        <v>4897</v>
      </c>
      <c r="G716" s="2" t="s">
        <v>4898</v>
      </c>
      <c r="H716" s="2" t="s">
        <v>4899</v>
      </c>
      <c r="I716" s="2" t="s">
        <v>4900</v>
      </c>
      <c r="J716" t="s">
        <v>4901</v>
      </c>
      <c r="L716" s="1">
        <v>2</v>
      </c>
      <c r="M716" s="1"/>
      <c r="N716" s="1"/>
      <c r="O716" s="3"/>
    </row>
    <row r="717" spans="1:15" ht="409.6">
      <c r="A717" t="s">
        <v>4902</v>
      </c>
      <c r="B717" t="s">
        <v>4903</v>
      </c>
      <c r="C717" t="s">
        <v>4043</v>
      </c>
      <c r="D717" t="s">
        <v>23</v>
      </c>
      <c r="E717">
        <v>15</v>
      </c>
      <c r="F717" s="2" t="s">
        <v>4904</v>
      </c>
      <c r="G717" s="2" t="s">
        <v>4905</v>
      </c>
      <c r="H717" s="2" t="s">
        <v>4906</v>
      </c>
      <c r="I717" s="2" t="s">
        <v>4907</v>
      </c>
      <c r="J717" t="s">
        <v>4908</v>
      </c>
      <c r="L717" s="1">
        <v>2</v>
      </c>
      <c r="M717" s="1"/>
      <c r="N717" s="1"/>
      <c r="O717" s="3"/>
    </row>
    <row r="718" spans="1:15" ht="409.6">
      <c r="A718" t="s">
        <v>4909</v>
      </c>
      <c r="B718" t="s">
        <v>4910</v>
      </c>
      <c r="C718" t="s">
        <v>4043</v>
      </c>
      <c r="D718" t="s">
        <v>23</v>
      </c>
      <c r="E718">
        <v>5</v>
      </c>
      <c r="F718" s="2" t="s">
        <v>4911</v>
      </c>
      <c r="G718" s="2" t="s">
        <v>4912</v>
      </c>
      <c r="H718" s="2" t="s">
        <v>4913</v>
      </c>
      <c r="I718" s="2" t="s">
        <v>4914</v>
      </c>
      <c r="J718" t="s">
        <v>4915</v>
      </c>
      <c r="L718" s="1">
        <v>2</v>
      </c>
      <c r="M718" s="1"/>
      <c r="N718" s="1"/>
      <c r="O718" s="3"/>
    </row>
    <row r="719" spans="1:15" ht="409.6">
      <c r="A719" t="s">
        <v>4916</v>
      </c>
      <c r="B719" t="s">
        <v>4917</v>
      </c>
      <c r="C719" t="s">
        <v>4043</v>
      </c>
      <c r="D719" t="s">
        <v>23</v>
      </c>
      <c r="E719">
        <v>25</v>
      </c>
      <c r="F719" s="2" t="s">
        <v>4918</v>
      </c>
      <c r="G719" s="2" t="s">
        <v>4919</v>
      </c>
      <c r="H719" s="2" t="s">
        <v>4920</v>
      </c>
      <c r="I719" s="2" t="s">
        <v>4921</v>
      </c>
      <c r="J719" t="s">
        <v>4922</v>
      </c>
      <c r="L719" s="1">
        <v>2</v>
      </c>
      <c r="M719" s="1"/>
      <c r="N719" s="1"/>
      <c r="O719" s="3"/>
    </row>
    <row r="720" spans="1:15" ht="409.6">
      <c r="A720" t="s">
        <v>4923</v>
      </c>
      <c r="B720" t="s">
        <v>4924</v>
      </c>
      <c r="C720" t="s">
        <v>4043</v>
      </c>
      <c r="D720" t="s">
        <v>23</v>
      </c>
      <c r="E720">
        <v>10</v>
      </c>
      <c r="F720" s="2" t="s">
        <v>4925</v>
      </c>
      <c r="G720" s="2" t="s">
        <v>4926</v>
      </c>
      <c r="H720" s="2" t="s">
        <v>4927</v>
      </c>
      <c r="I720" s="2" t="s">
        <v>4928</v>
      </c>
      <c r="J720" t="s">
        <v>4929</v>
      </c>
      <c r="L720" s="1">
        <v>2</v>
      </c>
      <c r="M720" s="1"/>
      <c r="N720" s="1"/>
      <c r="O720" s="3"/>
    </row>
    <row r="721" spans="1:15" ht="409.6">
      <c r="A721" t="s">
        <v>4930</v>
      </c>
      <c r="B721" t="s">
        <v>4931</v>
      </c>
      <c r="C721" t="s">
        <v>4061</v>
      </c>
      <c r="D721" t="s">
        <v>23</v>
      </c>
      <c r="E721">
        <v>10</v>
      </c>
      <c r="F721" s="2" t="s">
        <v>4932</v>
      </c>
      <c r="G721" s="2" t="s">
        <v>4933</v>
      </c>
      <c r="H721" s="2" t="s">
        <v>4934</v>
      </c>
      <c r="I721" s="2" t="s">
        <v>4935</v>
      </c>
      <c r="J721" t="s">
        <v>4936</v>
      </c>
      <c r="L721" s="1">
        <v>2</v>
      </c>
      <c r="M721" s="1"/>
      <c r="N721" s="1"/>
      <c r="O721" s="3"/>
    </row>
    <row r="722" spans="1:15" ht="409.6">
      <c r="A722" t="s">
        <v>4937</v>
      </c>
      <c r="B722" s="2" t="s">
        <v>4938</v>
      </c>
      <c r="C722" t="s">
        <v>4043</v>
      </c>
      <c r="D722" t="s">
        <v>23</v>
      </c>
      <c r="E722">
        <v>40</v>
      </c>
      <c r="F722" s="2" t="s">
        <v>4939</v>
      </c>
      <c r="G722" s="2" t="s">
        <v>4940</v>
      </c>
      <c r="H722" s="2" t="s">
        <v>4941</v>
      </c>
      <c r="I722" s="2" t="s">
        <v>4942</v>
      </c>
      <c r="J722" t="s">
        <v>4943</v>
      </c>
      <c r="L722" s="1">
        <v>2</v>
      </c>
      <c r="M722" s="1"/>
      <c r="N722" s="1"/>
      <c r="O722" s="3"/>
    </row>
    <row r="723" spans="1:15" ht="409.6">
      <c r="A723" t="s">
        <v>4944</v>
      </c>
      <c r="B723" s="2" t="s">
        <v>4945</v>
      </c>
      <c r="C723" t="s">
        <v>4043</v>
      </c>
      <c r="D723" t="s">
        <v>23</v>
      </c>
      <c r="E723">
        <v>10</v>
      </c>
      <c r="F723" s="2" t="s">
        <v>4946</v>
      </c>
      <c r="G723" s="2" t="s">
        <v>4947</v>
      </c>
      <c r="H723" s="2" t="s">
        <v>4948</v>
      </c>
      <c r="I723" s="2" t="s">
        <v>4947</v>
      </c>
      <c r="J723" t="s">
        <v>4949</v>
      </c>
      <c r="L723" s="1">
        <v>2</v>
      </c>
      <c r="M723" s="1"/>
      <c r="N723" s="1"/>
      <c r="O723" s="3"/>
    </row>
    <row r="724" spans="1:15" ht="409.6">
      <c r="A724" t="s">
        <v>4950</v>
      </c>
      <c r="B724" t="s">
        <v>4951</v>
      </c>
      <c r="C724" t="s">
        <v>4043</v>
      </c>
      <c r="D724" t="s">
        <v>23</v>
      </c>
      <c r="E724">
        <v>15</v>
      </c>
      <c r="F724" s="2" t="s">
        <v>4952</v>
      </c>
      <c r="G724" s="2" t="s">
        <v>4953</v>
      </c>
      <c r="H724" s="2" t="s">
        <v>4954</v>
      </c>
      <c r="I724" s="2" t="s">
        <v>4955</v>
      </c>
      <c r="J724" t="s">
        <v>4956</v>
      </c>
      <c r="L724" s="1">
        <v>2</v>
      </c>
      <c r="M724" s="1"/>
      <c r="N724" s="1"/>
      <c r="O724" s="3"/>
    </row>
    <row r="725" spans="1:15" ht="409.6">
      <c r="A725" t="s">
        <v>4957</v>
      </c>
      <c r="B725" t="s">
        <v>4958</v>
      </c>
      <c r="C725" t="s">
        <v>4043</v>
      </c>
      <c r="D725" t="s">
        <v>23</v>
      </c>
      <c r="E725">
        <v>20</v>
      </c>
      <c r="F725" s="2" t="s">
        <v>4959</v>
      </c>
      <c r="G725" s="2" t="s">
        <v>4960</v>
      </c>
      <c r="H725" s="2" t="s">
        <v>4961</v>
      </c>
      <c r="I725" s="2" t="s">
        <v>4962</v>
      </c>
      <c r="J725" t="s">
        <v>4963</v>
      </c>
      <c r="K725" t="s">
        <v>4964</v>
      </c>
      <c r="L725" s="1">
        <v>2</v>
      </c>
      <c r="M725" s="1"/>
      <c r="N725" s="1"/>
      <c r="O725" s="3"/>
    </row>
    <row r="726" spans="1:15" ht="409.6">
      <c r="A726" t="s">
        <v>4965</v>
      </c>
      <c r="B726" t="s">
        <v>4966</v>
      </c>
      <c r="C726" t="s">
        <v>2628</v>
      </c>
      <c r="D726" t="s">
        <v>23</v>
      </c>
      <c r="E726">
        <v>10</v>
      </c>
      <c r="F726" s="2" t="s">
        <v>4967</v>
      </c>
      <c r="G726" s="2" t="s">
        <v>4968</v>
      </c>
      <c r="H726" s="2" t="s">
        <v>4969</v>
      </c>
      <c r="I726" s="2" t="s">
        <v>4970</v>
      </c>
      <c r="J726" t="s">
        <v>4971</v>
      </c>
      <c r="L726" s="1">
        <v>2</v>
      </c>
      <c r="M726" s="1"/>
      <c r="N726" s="1"/>
      <c r="O726" s="3"/>
    </row>
    <row r="727" spans="1:15" ht="409.6">
      <c r="A727" t="s">
        <v>4972</v>
      </c>
      <c r="B727" t="s">
        <v>4973</v>
      </c>
      <c r="C727" t="s">
        <v>4043</v>
      </c>
      <c r="D727" t="s">
        <v>23</v>
      </c>
      <c r="E727">
        <v>10</v>
      </c>
      <c r="F727" s="2" t="s">
        <v>4974</v>
      </c>
      <c r="G727" s="2" t="s">
        <v>4975</v>
      </c>
      <c r="H727" s="2" t="s">
        <v>4976</v>
      </c>
      <c r="I727" s="2" t="s">
        <v>4977</v>
      </c>
      <c r="J727" t="s">
        <v>4978</v>
      </c>
      <c r="L727" s="1">
        <v>2</v>
      </c>
      <c r="M727" s="1"/>
      <c r="N727" s="1"/>
      <c r="O727" s="3"/>
    </row>
    <row r="728" spans="1:15" ht="409.6">
      <c r="A728" t="s">
        <v>4979</v>
      </c>
      <c r="B728" t="s">
        <v>4980</v>
      </c>
      <c r="C728" t="s">
        <v>4181</v>
      </c>
      <c r="D728" t="s">
        <v>23</v>
      </c>
      <c r="E728">
        <v>10</v>
      </c>
      <c r="F728" s="2" t="s">
        <v>4981</v>
      </c>
      <c r="G728" s="2" t="s">
        <v>4982</v>
      </c>
      <c r="H728" s="2" t="s">
        <v>4983</v>
      </c>
      <c r="I728" s="2" t="s">
        <v>4984</v>
      </c>
      <c r="J728" t="s">
        <v>4985</v>
      </c>
      <c r="L728" s="1">
        <v>2</v>
      </c>
      <c r="M728" s="1"/>
      <c r="N728" s="1"/>
      <c r="O728" s="3"/>
    </row>
    <row r="729" spans="1:15" ht="409.6">
      <c r="A729" t="s">
        <v>4986</v>
      </c>
      <c r="B729" t="s">
        <v>4987</v>
      </c>
      <c r="C729" t="s">
        <v>4043</v>
      </c>
      <c r="D729" t="s">
        <v>23</v>
      </c>
      <c r="E729">
        <v>20</v>
      </c>
      <c r="F729" s="2" t="s">
        <v>4988</v>
      </c>
      <c r="G729" s="2" t="s">
        <v>4989</v>
      </c>
      <c r="H729" s="2" t="s">
        <v>4990</v>
      </c>
      <c r="I729" s="2" t="s">
        <v>4991</v>
      </c>
      <c r="J729" t="s">
        <v>4992</v>
      </c>
      <c r="L729" s="1">
        <v>2</v>
      </c>
      <c r="M729" s="1"/>
      <c r="N729" s="1"/>
      <c r="O729" s="3"/>
    </row>
    <row r="730" spans="1:15" ht="409.6">
      <c r="A730" t="s">
        <v>4993</v>
      </c>
      <c r="B730" t="s">
        <v>4994</v>
      </c>
      <c r="C730" t="s">
        <v>4043</v>
      </c>
      <c r="D730" t="s">
        <v>14</v>
      </c>
      <c r="E730">
        <v>10</v>
      </c>
      <c r="F730" s="2" t="s">
        <v>4995</v>
      </c>
      <c r="G730" s="2" t="s">
        <v>4996</v>
      </c>
      <c r="H730" s="2" t="s">
        <v>4997</v>
      </c>
      <c r="I730" s="2" t="s">
        <v>4998</v>
      </c>
      <c r="J730" t="s">
        <v>4999</v>
      </c>
      <c r="L730" s="1">
        <v>2</v>
      </c>
      <c r="M730" s="1"/>
      <c r="N730" s="1"/>
      <c r="O730" s="3"/>
    </row>
    <row r="731" spans="1:15" ht="409.6">
      <c r="A731" t="s">
        <v>5000</v>
      </c>
      <c r="B731" t="s">
        <v>5001</v>
      </c>
      <c r="C731" t="s">
        <v>4043</v>
      </c>
      <c r="D731" t="s">
        <v>23</v>
      </c>
      <c r="E731">
        <v>10</v>
      </c>
      <c r="F731" s="2" t="s">
        <v>5002</v>
      </c>
      <c r="G731" s="2" t="s">
        <v>5003</v>
      </c>
      <c r="H731" s="2" t="s">
        <v>5004</v>
      </c>
      <c r="I731" s="2" t="s">
        <v>5005</v>
      </c>
      <c r="J731" t="s">
        <v>5006</v>
      </c>
      <c r="L731" s="1">
        <v>2</v>
      </c>
      <c r="M731" s="1"/>
      <c r="N731" s="1"/>
      <c r="O731" s="3"/>
    </row>
    <row r="732" spans="1:15" ht="409.6">
      <c r="A732" t="s">
        <v>5007</v>
      </c>
      <c r="B732" t="s">
        <v>5008</v>
      </c>
      <c r="C732" t="s">
        <v>4061</v>
      </c>
      <c r="D732" t="s">
        <v>14</v>
      </c>
      <c r="E732">
        <v>10</v>
      </c>
      <c r="F732" s="2" t="s">
        <v>5009</v>
      </c>
      <c r="G732" s="2" t="s">
        <v>5010</v>
      </c>
      <c r="H732" s="2" t="s">
        <v>5011</v>
      </c>
      <c r="I732" s="2" t="s">
        <v>5012</v>
      </c>
      <c r="J732" t="s">
        <v>5013</v>
      </c>
      <c r="L732" s="1">
        <v>2</v>
      </c>
      <c r="M732" s="1"/>
      <c r="N732" s="1"/>
      <c r="O732" s="3"/>
    </row>
    <row r="733" spans="1:15" ht="409.6">
      <c r="A733" t="s">
        <v>5014</v>
      </c>
      <c r="B733" t="s">
        <v>5015</v>
      </c>
      <c r="C733" t="s">
        <v>644</v>
      </c>
      <c r="D733" t="s">
        <v>23</v>
      </c>
      <c r="E733">
        <v>20</v>
      </c>
      <c r="F733" s="2" t="s">
        <v>5016</v>
      </c>
      <c r="G733" s="2" t="s">
        <v>5017</v>
      </c>
      <c r="H733" s="2" t="s">
        <v>5018</v>
      </c>
      <c r="I733" s="2" t="s">
        <v>5019</v>
      </c>
      <c r="J733" t="s">
        <v>5020</v>
      </c>
      <c r="L733" s="1">
        <v>2</v>
      </c>
      <c r="M733" s="1"/>
      <c r="N733" s="1"/>
      <c r="O733" s="3"/>
    </row>
    <row r="734" spans="1:15" ht="409.6">
      <c r="A734" t="s">
        <v>5021</v>
      </c>
      <c r="B734" t="s">
        <v>5022</v>
      </c>
      <c r="C734" t="s">
        <v>4154</v>
      </c>
      <c r="D734" t="s">
        <v>23</v>
      </c>
      <c r="E734">
        <v>20</v>
      </c>
      <c r="F734" s="2" t="s">
        <v>5023</v>
      </c>
      <c r="G734" s="2" t="s">
        <v>5024</v>
      </c>
      <c r="H734" s="2" t="s">
        <v>5025</v>
      </c>
      <c r="I734" s="2" t="s">
        <v>5026</v>
      </c>
      <c r="J734" t="s">
        <v>5027</v>
      </c>
      <c r="L734" s="1">
        <v>2</v>
      </c>
      <c r="M734" s="1"/>
      <c r="N734" s="1"/>
      <c r="O734" s="3"/>
    </row>
    <row r="735" spans="1:15" ht="409.6">
      <c r="A735" t="s">
        <v>5028</v>
      </c>
      <c r="B735" t="s">
        <v>5029</v>
      </c>
      <c r="C735" t="s">
        <v>4043</v>
      </c>
      <c r="D735" t="s">
        <v>23</v>
      </c>
      <c r="E735">
        <v>25</v>
      </c>
      <c r="F735" s="2" t="s">
        <v>5030</v>
      </c>
      <c r="G735" s="2" t="s">
        <v>5031</v>
      </c>
      <c r="H735" s="2" t="s">
        <v>5032</v>
      </c>
      <c r="I735" s="2" t="s">
        <v>5033</v>
      </c>
      <c r="J735" t="s">
        <v>5034</v>
      </c>
      <c r="K735" t="s">
        <v>5035</v>
      </c>
      <c r="L735" s="1">
        <v>2</v>
      </c>
      <c r="M735" s="1"/>
      <c r="N735" s="1"/>
      <c r="O735" s="3"/>
    </row>
    <row r="736" spans="1:15" ht="409.6">
      <c r="A736" t="s">
        <v>5036</v>
      </c>
      <c r="B736" t="s">
        <v>5037</v>
      </c>
      <c r="C736" t="s">
        <v>4043</v>
      </c>
      <c r="D736" t="s">
        <v>23</v>
      </c>
      <c r="E736">
        <v>15</v>
      </c>
      <c r="F736" s="2" t="s">
        <v>5038</v>
      </c>
      <c r="G736" s="2" t="s">
        <v>5039</v>
      </c>
      <c r="H736" s="2" t="s">
        <v>5040</v>
      </c>
      <c r="I736" s="2" t="s">
        <v>5041</v>
      </c>
      <c r="J736" t="s">
        <v>5042</v>
      </c>
      <c r="L736" s="1">
        <v>2</v>
      </c>
      <c r="M736" s="1"/>
      <c r="N736" s="1"/>
      <c r="O736" s="3"/>
    </row>
    <row r="737" spans="1:15" ht="409.6">
      <c r="A737" t="s">
        <v>5043</v>
      </c>
      <c r="B737" s="2" t="s">
        <v>5044</v>
      </c>
      <c r="C737" t="s">
        <v>4061</v>
      </c>
      <c r="D737" t="s">
        <v>23</v>
      </c>
      <c r="E737">
        <v>20</v>
      </c>
      <c r="F737" s="2" t="s">
        <v>5045</v>
      </c>
      <c r="G737" s="2" t="s">
        <v>5046</v>
      </c>
      <c r="H737" s="2" t="s">
        <v>5047</v>
      </c>
      <c r="I737" s="2" t="s">
        <v>5048</v>
      </c>
      <c r="J737" t="s">
        <v>5049</v>
      </c>
      <c r="L737" s="1">
        <v>2</v>
      </c>
      <c r="M737" s="1"/>
      <c r="N737" s="1"/>
      <c r="O737" s="3"/>
    </row>
    <row r="738" spans="1:15" ht="409.6">
      <c r="A738" t="s">
        <v>5050</v>
      </c>
      <c r="B738" t="s">
        <v>5051</v>
      </c>
      <c r="C738" t="s">
        <v>4043</v>
      </c>
      <c r="D738" t="s">
        <v>23</v>
      </c>
      <c r="E738">
        <v>10</v>
      </c>
      <c r="F738" s="2" t="s">
        <v>5052</v>
      </c>
      <c r="G738" s="2" t="s">
        <v>5053</v>
      </c>
      <c r="H738" s="2" t="s">
        <v>5054</v>
      </c>
      <c r="I738" s="2" t="s">
        <v>5055</v>
      </c>
      <c r="J738" t="s">
        <v>5056</v>
      </c>
      <c r="L738" s="1">
        <v>2</v>
      </c>
      <c r="M738" s="1"/>
      <c r="N738" s="1"/>
      <c r="O738" s="3"/>
    </row>
    <row r="739" spans="1:15" ht="409.6">
      <c r="A739" t="s">
        <v>5057</v>
      </c>
      <c r="B739" t="s">
        <v>5058</v>
      </c>
      <c r="C739" t="s">
        <v>4043</v>
      </c>
      <c r="D739" t="s">
        <v>23</v>
      </c>
      <c r="E739">
        <v>15</v>
      </c>
      <c r="F739" s="2" t="s">
        <v>5059</v>
      </c>
      <c r="G739" s="2" t="s">
        <v>5060</v>
      </c>
      <c r="H739" s="2" t="s">
        <v>5061</v>
      </c>
      <c r="I739" s="2" t="s">
        <v>5062</v>
      </c>
      <c r="J739" t="s">
        <v>5063</v>
      </c>
      <c r="L739" s="1">
        <v>2</v>
      </c>
      <c r="M739" s="1"/>
      <c r="N739" s="1"/>
      <c r="O739" s="3"/>
    </row>
    <row r="740" spans="1:15" ht="409.6">
      <c r="A740" t="s">
        <v>5064</v>
      </c>
      <c r="B740" t="s">
        <v>5065</v>
      </c>
      <c r="C740" t="s">
        <v>4043</v>
      </c>
      <c r="D740" t="s">
        <v>14</v>
      </c>
      <c r="E740">
        <v>10</v>
      </c>
      <c r="F740" s="2" t="s">
        <v>5066</v>
      </c>
      <c r="G740" s="2" t="s">
        <v>5067</v>
      </c>
      <c r="H740" s="2" t="s">
        <v>5068</v>
      </c>
      <c r="I740" s="2" t="s">
        <v>5069</v>
      </c>
      <c r="J740" t="s">
        <v>5070</v>
      </c>
      <c r="L740" s="1">
        <v>2</v>
      </c>
      <c r="M740" s="1"/>
      <c r="N740" s="1"/>
      <c r="O740" s="3"/>
    </row>
    <row r="741" spans="1:15" ht="409.6">
      <c r="A741" t="s">
        <v>5071</v>
      </c>
      <c r="B741" t="s">
        <v>5072</v>
      </c>
      <c r="C741" t="s">
        <v>4043</v>
      </c>
      <c r="D741" t="s">
        <v>23</v>
      </c>
      <c r="E741">
        <v>15</v>
      </c>
      <c r="F741" s="2" t="s">
        <v>5073</v>
      </c>
      <c r="G741" s="2" t="s">
        <v>5074</v>
      </c>
      <c r="H741" s="2" t="s">
        <v>5075</v>
      </c>
      <c r="I741" s="2" t="s">
        <v>5076</v>
      </c>
      <c r="J741" t="s">
        <v>5077</v>
      </c>
      <c r="L741" s="1">
        <v>2</v>
      </c>
      <c r="M741" s="1"/>
      <c r="N741" s="1"/>
      <c r="O741" s="3"/>
    </row>
    <row r="742" spans="1:15" ht="409.6">
      <c r="A742" t="s">
        <v>5078</v>
      </c>
      <c r="B742" t="s">
        <v>5079</v>
      </c>
      <c r="C742" t="s">
        <v>4043</v>
      </c>
      <c r="D742" t="s">
        <v>23</v>
      </c>
      <c r="E742">
        <v>10</v>
      </c>
      <c r="F742" s="2" t="s">
        <v>5080</v>
      </c>
      <c r="G742" s="2" t="s">
        <v>5081</v>
      </c>
      <c r="H742" s="2" t="s">
        <v>5082</v>
      </c>
      <c r="I742" s="2" t="s">
        <v>5083</v>
      </c>
      <c r="J742" t="s">
        <v>5084</v>
      </c>
      <c r="L742" s="1">
        <v>2</v>
      </c>
      <c r="M742" s="1"/>
      <c r="N742" s="1"/>
      <c r="O742" s="3"/>
    </row>
    <row r="743" spans="1:15" ht="409.6">
      <c r="A743" t="s">
        <v>5085</v>
      </c>
      <c r="B743" t="s">
        <v>5086</v>
      </c>
      <c r="C743" t="s">
        <v>4043</v>
      </c>
      <c r="D743" t="s">
        <v>23</v>
      </c>
      <c r="E743">
        <v>15</v>
      </c>
      <c r="F743" s="2" t="s">
        <v>5087</v>
      </c>
      <c r="G743" s="2" t="s">
        <v>5088</v>
      </c>
      <c r="H743" s="2" t="s">
        <v>5089</v>
      </c>
      <c r="I743" s="2" t="s">
        <v>5090</v>
      </c>
      <c r="J743" t="s">
        <v>5091</v>
      </c>
      <c r="L743" s="1">
        <v>2</v>
      </c>
      <c r="M743" s="1"/>
      <c r="N743" s="1"/>
      <c r="O743" s="3"/>
    </row>
    <row r="744" spans="1:15" ht="409.6">
      <c r="A744" t="s">
        <v>5092</v>
      </c>
      <c r="B744" t="s">
        <v>5093</v>
      </c>
      <c r="C744" t="s">
        <v>4043</v>
      </c>
      <c r="D744" t="s">
        <v>23</v>
      </c>
      <c r="E744">
        <v>20</v>
      </c>
      <c r="F744" s="2" t="s">
        <v>5094</v>
      </c>
      <c r="G744" s="2" t="s">
        <v>5095</v>
      </c>
      <c r="H744" s="2" t="s">
        <v>5096</v>
      </c>
      <c r="I744" s="2" t="s">
        <v>5097</v>
      </c>
      <c r="J744" t="s">
        <v>5098</v>
      </c>
      <c r="L744" s="1">
        <v>2</v>
      </c>
      <c r="M744" s="1"/>
      <c r="N744" s="1"/>
      <c r="O744" s="3"/>
    </row>
    <row r="745" spans="1:15" ht="409.6">
      <c r="A745" t="s">
        <v>5099</v>
      </c>
      <c r="B745" t="s">
        <v>5100</v>
      </c>
      <c r="C745" t="s">
        <v>4181</v>
      </c>
      <c r="D745" t="s">
        <v>23</v>
      </c>
      <c r="E745">
        <v>20</v>
      </c>
      <c r="F745" s="2" t="s">
        <v>5101</v>
      </c>
      <c r="G745" s="2" t="s">
        <v>5102</v>
      </c>
      <c r="H745" s="2" t="s">
        <v>5103</v>
      </c>
      <c r="I745" s="2" t="s">
        <v>5104</v>
      </c>
      <c r="J745" t="s">
        <v>5105</v>
      </c>
      <c r="L745" s="1">
        <v>2</v>
      </c>
      <c r="M745" s="1"/>
      <c r="N745" s="1"/>
      <c r="O745" s="3"/>
    </row>
    <row r="746" spans="1:15" ht="409.6">
      <c r="A746" t="s">
        <v>5106</v>
      </c>
      <c r="B746" t="s">
        <v>5107</v>
      </c>
      <c r="C746" t="s">
        <v>4043</v>
      </c>
      <c r="D746" t="s">
        <v>23</v>
      </c>
      <c r="E746">
        <v>20</v>
      </c>
      <c r="F746" s="2" t="s">
        <v>5108</v>
      </c>
      <c r="G746" s="2" t="s">
        <v>5109</v>
      </c>
      <c r="H746" s="2" t="s">
        <v>5110</v>
      </c>
      <c r="I746" s="2" t="s">
        <v>5111</v>
      </c>
      <c r="J746" t="s">
        <v>5112</v>
      </c>
      <c r="L746" s="1">
        <v>2</v>
      </c>
      <c r="M746" s="1"/>
      <c r="N746" s="1"/>
      <c r="O746" s="3"/>
    </row>
    <row r="747" spans="1:15" ht="409.6">
      <c r="A747" t="s">
        <v>5113</v>
      </c>
      <c r="B747" t="s">
        <v>5114</v>
      </c>
      <c r="C747" t="s">
        <v>4181</v>
      </c>
      <c r="D747" t="s">
        <v>23</v>
      </c>
      <c r="E747">
        <v>15</v>
      </c>
      <c r="F747" s="2" t="s">
        <v>5115</v>
      </c>
      <c r="G747" s="2" t="s">
        <v>5116</v>
      </c>
      <c r="H747" s="2" t="s">
        <v>5117</v>
      </c>
      <c r="I747" s="2" t="s">
        <v>5118</v>
      </c>
      <c r="J747" t="s">
        <v>5119</v>
      </c>
      <c r="L747" s="1">
        <v>2</v>
      </c>
      <c r="M747" s="1"/>
      <c r="N747" s="1"/>
      <c r="O747" s="3"/>
    </row>
    <row r="748" spans="1:15" ht="409.6">
      <c r="A748" t="s">
        <v>5120</v>
      </c>
      <c r="B748" s="2" t="s">
        <v>5121</v>
      </c>
      <c r="C748" t="s">
        <v>4043</v>
      </c>
      <c r="D748" t="s">
        <v>14</v>
      </c>
      <c r="E748">
        <v>20</v>
      </c>
      <c r="F748" s="2" t="s">
        <v>5122</v>
      </c>
      <c r="G748" s="2" t="s">
        <v>5123</v>
      </c>
      <c r="H748" s="2" t="s">
        <v>5124</v>
      </c>
      <c r="I748" s="2" t="s">
        <v>5125</v>
      </c>
      <c r="J748" t="s">
        <v>5126</v>
      </c>
      <c r="L748" s="1">
        <v>2</v>
      </c>
      <c r="M748" s="1"/>
      <c r="N748" s="1"/>
      <c r="O748" s="3"/>
    </row>
    <row r="749" spans="1:15" ht="409.6">
      <c r="A749" t="s">
        <v>5127</v>
      </c>
      <c r="B749" t="s">
        <v>5128</v>
      </c>
      <c r="C749" t="s">
        <v>4043</v>
      </c>
      <c r="D749" t="s">
        <v>23</v>
      </c>
      <c r="E749">
        <v>15</v>
      </c>
      <c r="F749" s="2" t="s">
        <v>5129</v>
      </c>
      <c r="G749" s="2" t="s">
        <v>5130</v>
      </c>
      <c r="H749" s="2" t="s">
        <v>5131</v>
      </c>
      <c r="I749" s="2" t="s">
        <v>5132</v>
      </c>
      <c r="J749" t="s">
        <v>5133</v>
      </c>
      <c r="L749" s="1">
        <v>2</v>
      </c>
      <c r="M749" s="1"/>
      <c r="N749" s="1"/>
      <c r="O749" s="3"/>
    </row>
    <row r="750" spans="1:15" ht="409.6">
      <c r="A750" t="s">
        <v>5134</v>
      </c>
      <c r="B750" t="s">
        <v>5135</v>
      </c>
      <c r="C750" t="s">
        <v>4043</v>
      </c>
      <c r="D750" t="s">
        <v>23</v>
      </c>
      <c r="E750">
        <v>15</v>
      </c>
      <c r="F750" s="2" t="s">
        <v>5136</v>
      </c>
      <c r="G750" s="2" t="s">
        <v>5137</v>
      </c>
      <c r="H750" s="2" t="s">
        <v>5138</v>
      </c>
      <c r="I750" s="2" t="s">
        <v>5139</v>
      </c>
      <c r="J750" t="s">
        <v>5140</v>
      </c>
      <c r="L750" s="1">
        <v>2</v>
      </c>
      <c r="M750" s="1"/>
      <c r="N750" s="1"/>
      <c r="O750" s="3"/>
    </row>
    <row r="751" spans="1:15" ht="409.6">
      <c r="A751" t="s">
        <v>5141</v>
      </c>
      <c r="B751" t="s">
        <v>5142</v>
      </c>
      <c r="C751" t="s">
        <v>4043</v>
      </c>
      <c r="D751" t="s">
        <v>23</v>
      </c>
      <c r="E751">
        <v>15</v>
      </c>
      <c r="F751" s="2" t="s">
        <v>5143</v>
      </c>
      <c r="G751" s="2" t="s">
        <v>5144</v>
      </c>
      <c r="H751" s="2" t="s">
        <v>5145</v>
      </c>
      <c r="I751" s="2" t="s">
        <v>5146</v>
      </c>
      <c r="J751" t="s">
        <v>5147</v>
      </c>
      <c r="L751" s="1">
        <v>2</v>
      </c>
      <c r="M751" s="1"/>
      <c r="N751" s="1"/>
      <c r="O751" s="3"/>
    </row>
    <row r="752" spans="1:15" ht="409.6">
      <c r="A752" s="2" t="s">
        <v>5148</v>
      </c>
      <c r="B752" s="2" t="s">
        <v>5149</v>
      </c>
      <c r="C752" t="s">
        <v>4043</v>
      </c>
      <c r="D752" t="s">
        <v>23</v>
      </c>
      <c r="E752">
        <v>10</v>
      </c>
      <c r="F752" s="2" t="s">
        <v>5150</v>
      </c>
      <c r="G752" s="2" t="s">
        <v>5151</v>
      </c>
      <c r="H752" s="2" t="s">
        <v>5152</v>
      </c>
      <c r="I752" s="2" t="s">
        <v>5153</v>
      </c>
      <c r="J752" t="s">
        <v>5154</v>
      </c>
      <c r="L752" s="1">
        <v>2</v>
      </c>
      <c r="M752" s="1"/>
      <c r="N752" s="1"/>
      <c r="O752" s="3"/>
    </row>
    <row r="753" spans="1:15" ht="409.6">
      <c r="A753" t="s">
        <v>5155</v>
      </c>
      <c r="B753" t="s">
        <v>5156</v>
      </c>
      <c r="C753" t="s">
        <v>4043</v>
      </c>
      <c r="D753" t="s">
        <v>23</v>
      </c>
      <c r="E753">
        <v>10</v>
      </c>
      <c r="F753" s="2" t="s">
        <v>5157</v>
      </c>
      <c r="G753" s="2" t="s">
        <v>5158</v>
      </c>
      <c r="H753" s="2" t="s">
        <v>5159</v>
      </c>
      <c r="I753" s="2" t="s">
        <v>5160</v>
      </c>
      <c r="J753" t="s">
        <v>5161</v>
      </c>
      <c r="L753" s="1">
        <v>2</v>
      </c>
      <c r="M753" s="1"/>
      <c r="N753" s="1"/>
      <c r="O753" s="3"/>
    </row>
    <row r="754" spans="1:15" ht="409.6">
      <c r="A754" t="s">
        <v>5162</v>
      </c>
      <c r="B754" t="s">
        <v>5163</v>
      </c>
      <c r="C754" t="s">
        <v>4043</v>
      </c>
      <c r="D754" t="s">
        <v>23</v>
      </c>
      <c r="E754">
        <v>6</v>
      </c>
      <c r="F754" s="2" t="s">
        <v>5164</v>
      </c>
      <c r="G754" s="2" t="s">
        <v>5165</v>
      </c>
      <c r="H754" s="2" t="s">
        <v>5166</v>
      </c>
      <c r="I754" s="2" t="s">
        <v>5167</v>
      </c>
      <c r="J754" t="s">
        <v>5168</v>
      </c>
      <c r="L754" s="1">
        <v>2</v>
      </c>
      <c r="M754" s="1"/>
      <c r="N754" s="1"/>
      <c r="O754" s="3"/>
    </row>
    <row r="755" spans="1:15" ht="409.6">
      <c r="A755" t="s">
        <v>5169</v>
      </c>
      <c r="B755" t="s">
        <v>5170</v>
      </c>
      <c r="C755" t="s">
        <v>4181</v>
      </c>
      <c r="D755" t="s">
        <v>23</v>
      </c>
      <c r="E755">
        <v>20</v>
      </c>
      <c r="F755" s="2" t="s">
        <v>5171</v>
      </c>
      <c r="G755" s="2" t="s">
        <v>5172</v>
      </c>
      <c r="H755" s="2" t="s">
        <v>5173</v>
      </c>
      <c r="I755" s="2" t="s">
        <v>5174</v>
      </c>
      <c r="J755" t="s">
        <v>5175</v>
      </c>
      <c r="L755" s="1">
        <v>2</v>
      </c>
      <c r="M755" s="1"/>
      <c r="N755" s="1"/>
      <c r="O755" s="3"/>
    </row>
    <row r="756" spans="1:15" ht="409.6">
      <c r="A756" t="s">
        <v>5176</v>
      </c>
      <c r="B756" s="2" t="s">
        <v>5177</v>
      </c>
      <c r="C756" t="s">
        <v>4043</v>
      </c>
      <c r="D756" t="s">
        <v>23</v>
      </c>
      <c r="E756">
        <v>30</v>
      </c>
      <c r="F756" s="2" t="s">
        <v>5178</v>
      </c>
      <c r="G756" s="2" t="s">
        <v>5179</v>
      </c>
      <c r="H756" s="2" t="s">
        <v>5180</v>
      </c>
      <c r="I756" s="2" t="s">
        <v>5181</v>
      </c>
      <c r="J756" t="s">
        <v>5182</v>
      </c>
      <c r="L756" s="1">
        <v>2</v>
      </c>
      <c r="M756" s="1"/>
      <c r="N756" s="1"/>
      <c r="O756" s="3"/>
    </row>
    <row r="757" spans="1:15" ht="409.6">
      <c r="A757" t="s">
        <v>5183</v>
      </c>
      <c r="B757" t="s">
        <v>5184</v>
      </c>
      <c r="C757" t="s">
        <v>4043</v>
      </c>
      <c r="D757" t="s">
        <v>23</v>
      </c>
      <c r="E757">
        <v>10</v>
      </c>
      <c r="F757" s="2" t="s">
        <v>5185</v>
      </c>
      <c r="G757" s="2" t="s">
        <v>5186</v>
      </c>
      <c r="H757" s="2" t="s">
        <v>5187</v>
      </c>
      <c r="I757" s="2" t="s">
        <v>5188</v>
      </c>
      <c r="J757" t="s">
        <v>5189</v>
      </c>
      <c r="L757" s="1">
        <v>2</v>
      </c>
      <c r="M757" s="1"/>
      <c r="N757" s="1"/>
      <c r="O757" s="3"/>
    </row>
    <row r="758" spans="1:15" ht="409.6">
      <c r="A758" t="s">
        <v>5190</v>
      </c>
      <c r="B758" t="s">
        <v>5191</v>
      </c>
      <c r="C758" t="s">
        <v>4043</v>
      </c>
      <c r="D758" t="s">
        <v>23</v>
      </c>
      <c r="E758">
        <v>10</v>
      </c>
      <c r="F758" s="2" t="s">
        <v>5192</v>
      </c>
      <c r="G758" s="2" t="s">
        <v>5193</v>
      </c>
      <c r="H758" s="2" t="s">
        <v>5194</v>
      </c>
      <c r="I758" s="2" t="s">
        <v>5195</v>
      </c>
      <c r="J758" t="s">
        <v>5196</v>
      </c>
      <c r="L758" s="1">
        <v>2</v>
      </c>
      <c r="M758" s="1"/>
      <c r="N758" s="1"/>
      <c r="O758" s="3"/>
    </row>
    <row r="759" spans="1:15" ht="409.6">
      <c r="A759" t="s">
        <v>2906</v>
      </c>
      <c r="B759" t="s">
        <v>2907</v>
      </c>
      <c r="C759" t="s">
        <v>4043</v>
      </c>
      <c r="D759" t="s">
        <v>14</v>
      </c>
      <c r="E759">
        <v>10</v>
      </c>
      <c r="F759" s="2" t="s">
        <v>5197</v>
      </c>
      <c r="G759" s="2" t="s">
        <v>5198</v>
      </c>
      <c r="H759" s="2" t="s">
        <v>5199</v>
      </c>
      <c r="I759" s="2" t="s">
        <v>5198</v>
      </c>
      <c r="J759" t="s">
        <v>5200</v>
      </c>
      <c r="L759" s="1">
        <v>2</v>
      </c>
      <c r="M759" s="1"/>
      <c r="N759" s="1"/>
      <c r="O759" s="3"/>
    </row>
    <row r="760" spans="1:15" ht="409.6">
      <c r="A760" t="s">
        <v>5201</v>
      </c>
      <c r="B760" s="2" t="s">
        <v>5202</v>
      </c>
      <c r="C760" t="s">
        <v>4043</v>
      </c>
      <c r="D760" t="s">
        <v>23</v>
      </c>
      <c r="E760">
        <v>15</v>
      </c>
      <c r="F760" s="2" t="s">
        <v>5203</v>
      </c>
      <c r="G760" s="2" t="s">
        <v>5204</v>
      </c>
      <c r="H760" s="2" t="s">
        <v>5205</v>
      </c>
      <c r="I760" s="2" t="s">
        <v>5206</v>
      </c>
      <c r="J760" t="s">
        <v>5207</v>
      </c>
      <c r="L760" s="1">
        <v>2</v>
      </c>
      <c r="M760" s="1"/>
      <c r="N760" s="1"/>
      <c r="O760" s="3"/>
    </row>
    <row r="761" spans="1:15" ht="409.6">
      <c r="A761" t="s">
        <v>5208</v>
      </c>
      <c r="B761" s="2" t="s">
        <v>5209</v>
      </c>
      <c r="C761" t="s">
        <v>644</v>
      </c>
      <c r="D761" t="s">
        <v>23</v>
      </c>
      <c r="E761">
        <v>20</v>
      </c>
      <c r="F761" s="2" t="s">
        <v>5210</v>
      </c>
      <c r="G761" s="2" t="s">
        <v>5211</v>
      </c>
      <c r="H761" s="2" t="s">
        <v>5212</v>
      </c>
      <c r="I761" s="2" t="s">
        <v>5213</v>
      </c>
      <c r="J761" t="s">
        <v>5214</v>
      </c>
      <c r="L761" s="1">
        <v>2</v>
      </c>
      <c r="M761" s="1"/>
      <c r="N761" s="1"/>
      <c r="O761" s="3"/>
    </row>
    <row r="762" spans="1:15" ht="409.6">
      <c r="A762" t="s">
        <v>5215</v>
      </c>
      <c r="B762" t="s">
        <v>5216</v>
      </c>
      <c r="C762" t="s">
        <v>4043</v>
      </c>
      <c r="D762" t="s">
        <v>23</v>
      </c>
      <c r="E762">
        <v>20</v>
      </c>
      <c r="F762" s="2" t="s">
        <v>5217</v>
      </c>
      <c r="G762" s="2" t="s">
        <v>5218</v>
      </c>
      <c r="H762" s="2" t="s">
        <v>5219</v>
      </c>
      <c r="I762" s="2" t="s">
        <v>5220</v>
      </c>
      <c r="J762" t="s">
        <v>5221</v>
      </c>
      <c r="L762" s="1">
        <v>2</v>
      </c>
      <c r="M762" s="1"/>
      <c r="N762" s="1"/>
      <c r="O762" s="3"/>
    </row>
    <row r="763" spans="1:15" ht="409.6">
      <c r="A763" t="s">
        <v>5222</v>
      </c>
      <c r="B763" t="s">
        <v>5223</v>
      </c>
      <c r="C763" t="s">
        <v>644</v>
      </c>
      <c r="D763" t="s">
        <v>23</v>
      </c>
      <c r="E763">
        <v>15</v>
      </c>
      <c r="F763" s="2" t="s">
        <v>5224</v>
      </c>
      <c r="G763" s="2" t="s">
        <v>5225</v>
      </c>
      <c r="H763" s="2" t="s">
        <v>5226</v>
      </c>
      <c r="I763" s="2" t="s">
        <v>5227</v>
      </c>
      <c r="J763" t="s">
        <v>5228</v>
      </c>
      <c r="L763" s="1">
        <v>2</v>
      </c>
      <c r="M763" s="1"/>
      <c r="N763" s="1"/>
      <c r="O763" s="3"/>
    </row>
    <row r="764" spans="1:15" ht="409.6">
      <c r="A764" t="s">
        <v>906</v>
      </c>
      <c r="B764" s="2" t="s">
        <v>5229</v>
      </c>
      <c r="C764" t="s">
        <v>4181</v>
      </c>
      <c r="D764" t="s">
        <v>23</v>
      </c>
      <c r="E764">
        <v>20</v>
      </c>
      <c r="F764" s="2" t="s">
        <v>5230</v>
      </c>
      <c r="G764" s="2" t="s">
        <v>5231</v>
      </c>
      <c r="H764" s="2" t="s">
        <v>5232</v>
      </c>
      <c r="I764" s="2" t="s">
        <v>5233</v>
      </c>
      <c r="J764" t="s">
        <v>5234</v>
      </c>
      <c r="L764" s="1">
        <v>2</v>
      </c>
      <c r="M764" s="1"/>
      <c r="N764" s="1"/>
      <c r="O764" s="3"/>
    </row>
    <row r="765" spans="1:15" ht="409.6">
      <c r="A765" t="s">
        <v>5235</v>
      </c>
      <c r="B765" t="s">
        <v>5236</v>
      </c>
      <c r="C765" t="s">
        <v>4043</v>
      </c>
      <c r="D765" t="s">
        <v>23</v>
      </c>
      <c r="E765">
        <v>25</v>
      </c>
      <c r="F765" s="2" t="s">
        <v>5237</v>
      </c>
      <c r="G765" s="2" t="s">
        <v>5238</v>
      </c>
      <c r="H765" s="2" t="s">
        <v>5239</v>
      </c>
      <c r="I765" s="2" t="s">
        <v>5240</v>
      </c>
      <c r="J765" t="s">
        <v>5241</v>
      </c>
      <c r="L765" s="1">
        <v>2</v>
      </c>
      <c r="M765" s="1"/>
      <c r="N765" s="1"/>
      <c r="O765" s="3"/>
    </row>
    <row r="766" spans="1:15" ht="409.6">
      <c r="A766" t="s">
        <v>5242</v>
      </c>
      <c r="B766" t="s">
        <v>5243</v>
      </c>
      <c r="C766" t="s">
        <v>644</v>
      </c>
      <c r="D766" t="s">
        <v>23</v>
      </c>
      <c r="E766">
        <v>15</v>
      </c>
      <c r="F766" s="2" t="s">
        <v>5244</v>
      </c>
      <c r="G766" s="2" t="s">
        <v>5245</v>
      </c>
      <c r="H766" s="2" t="s">
        <v>5246</v>
      </c>
      <c r="I766" s="2" t="s">
        <v>5247</v>
      </c>
      <c r="J766" t="s">
        <v>5248</v>
      </c>
      <c r="L766" s="1">
        <v>2</v>
      </c>
      <c r="M766" s="1"/>
      <c r="N766" s="1"/>
      <c r="O766" s="3"/>
    </row>
    <row r="767" spans="1:15" ht="409.6">
      <c r="A767" t="s">
        <v>5249</v>
      </c>
      <c r="B767" t="s">
        <v>5250</v>
      </c>
      <c r="C767" t="s">
        <v>4181</v>
      </c>
      <c r="D767" t="s">
        <v>23</v>
      </c>
      <c r="E767">
        <v>15</v>
      </c>
      <c r="F767" s="2" t="s">
        <v>5251</v>
      </c>
      <c r="G767" s="2" t="s">
        <v>5252</v>
      </c>
      <c r="H767" s="2" t="s">
        <v>5253</v>
      </c>
      <c r="I767" s="2" t="s">
        <v>5254</v>
      </c>
      <c r="J767" t="s">
        <v>5255</v>
      </c>
      <c r="L767" s="1">
        <v>2</v>
      </c>
      <c r="M767" s="1"/>
      <c r="N767" s="1"/>
      <c r="O767" s="3"/>
    </row>
    <row r="768" spans="1:15" ht="409.6">
      <c r="A768" t="s">
        <v>1999</v>
      </c>
      <c r="B768" t="s">
        <v>2000</v>
      </c>
      <c r="C768" t="s">
        <v>4043</v>
      </c>
      <c r="D768" t="s">
        <v>23</v>
      </c>
      <c r="E768">
        <v>20</v>
      </c>
      <c r="F768" s="2" t="s">
        <v>5256</v>
      </c>
      <c r="G768" s="2" t="s">
        <v>5257</v>
      </c>
      <c r="H768" s="2" t="s">
        <v>5258</v>
      </c>
      <c r="I768" s="2" t="s">
        <v>5259</v>
      </c>
      <c r="J768" t="s">
        <v>5260</v>
      </c>
      <c r="L768" s="1">
        <v>2</v>
      </c>
      <c r="M768" s="1"/>
      <c r="N768" s="1"/>
      <c r="O768" s="3"/>
    </row>
    <row r="769" spans="1:15" ht="409.6">
      <c r="A769" t="s">
        <v>5261</v>
      </c>
      <c r="B769" t="s">
        <v>5262</v>
      </c>
      <c r="C769" t="s">
        <v>4043</v>
      </c>
      <c r="D769" t="s">
        <v>23</v>
      </c>
      <c r="E769">
        <v>30</v>
      </c>
      <c r="F769" s="2" t="s">
        <v>5263</v>
      </c>
      <c r="G769" s="2" t="s">
        <v>5264</v>
      </c>
      <c r="H769" s="2" t="s">
        <v>5265</v>
      </c>
      <c r="I769" s="2" t="s">
        <v>5266</v>
      </c>
      <c r="J769" t="s">
        <v>5267</v>
      </c>
      <c r="L769" s="1">
        <v>2</v>
      </c>
      <c r="M769" s="1"/>
      <c r="N769" s="1"/>
      <c r="O769" s="3"/>
    </row>
    <row r="770" spans="1:15" ht="409.6">
      <c r="A770" t="s">
        <v>5268</v>
      </c>
      <c r="B770" t="s">
        <v>5269</v>
      </c>
      <c r="C770" t="s">
        <v>644</v>
      </c>
      <c r="D770" t="s">
        <v>23</v>
      </c>
      <c r="E770">
        <v>20</v>
      </c>
      <c r="F770" s="2" t="s">
        <v>5270</v>
      </c>
      <c r="G770" s="2" t="s">
        <v>5271</v>
      </c>
      <c r="H770" s="2" t="s">
        <v>5272</v>
      </c>
      <c r="I770" s="2" t="s">
        <v>5273</v>
      </c>
      <c r="J770" t="s">
        <v>5274</v>
      </c>
      <c r="L770" s="1">
        <v>2</v>
      </c>
      <c r="M770" s="1"/>
      <c r="N770" s="1"/>
      <c r="O770" s="3"/>
    </row>
    <row r="771" spans="1:15" ht="409.6">
      <c r="A771" t="s">
        <v>5275</v>
      </c>
      <c r="B771" t="s">
        <v>5276</v>
      </c>
      <c r="C771" t="s">
        <v>4061</v>
      </c>
      <c r="D771" t="s">
        <v>23</v>
      </c>
      <c r="E771">
        <v>15</v>
      </c>
      <c r="F771" s="2" t="s">
        <v>5277</v>
      </c>
      <c r="G771" s="2" t="s">
        <v>5278</v>
      </c>
      <c r="H771" s="2" t="s">
        <v>5279</v>
      </c>
      <c r="I771" s="2" t="s">
        <v>5280</v>
      </c>
      <c r="J771" t="s">
        <v>5281</v>
      </c>
      <c r="L771" s="1">
        <v>2</v>
      </c>
      <c r="M771" s="1"/>
      <c r="N771" s="1"/>
      <c r="O771" s="3"/>
    </row>
    <row r="772" spans="1:15" ht="409.6">
      <c r="A772" t="s">
        <v>5282</v>
      </c>
      <c r="B772" s="2" t="s">
        <v>5283</v>
      </c>
      <c r="C772" t="s">
        <v>4043</v>
      </c>
      <c r="D772" t="s">
        <v>23</v>
      </c>
      <c r="E772">
        <v>25</v>
      </c>
      <c r="F772" s="2" t="s">
        <v>5284</v>
      </c>
      <c r="G772" s="2" t="s">
        <v>5285</v>
      </c>
      <c r="H772" s="2" t="s">
        <v>5286</v>
      </c>
      <c r="I772" s="2" t="s">
        <v>5287</v>
      </c>
      <c r="J772" t="s">
        <v>5288</v>
      </c>
      <c r="L772" s="1">
        <v>2</v>
      </c>
      <c r="M772" s="1"/>
      <c r="N772" s="1"/>
      <c r="O772" s="3"/>
    </row>
    <row r="773" spans="1:15" ht="409.6">
      <c r="A773" t="s">
        <v>5289</v>
      </c>
      <c r="B773" t="s">
        <v>5290</v>
      </c>
      <c r="C773" t="s">
        <v>4043</v>
      </c>
      <c r="D773" t="s">
        <v>23</v>
      </c>
      <c r="E773">
        <v>15</v>
      </c>
      <c r="F773" s="2" t="s">
        <v>5291</v>
      </c>
      <c r="G773" s="2" t="s">
        <v>5292</v>
      </c>
      <c r="H773" s="2" t="s">
        <v>5293</v>
      </c>
      <c r="I773" s="2" t="s">
        <v>5294</v>
      </c>
      <c r="J773" t="s">
        <v>5295</v>
      </c>
      <c r="L773" s="1">
        <v>2</v>
      </c>
      <c r="M773" s="1"/>
      <c r="N773" s="1"/>
      <c r="O773" s="3"/>
    </row>
    <row r="774" spans="1:15" ht="409.6">
      <c r="A774" t="s">
        <v>5296</v>
      </c>
      <c r="B774" t="s">
        <v>5297</v>
      </c>
      <c r="C774" t="s">
        <v>4154</v>
      </c>
      <c r="D774" t="s">
        <v>23</v>
      </c>
      <c r="E774">
        <v>10</v>
      </c>
      <c r="F774" s="2" t="s">
        <v>5298</v>
      </c>
      <c r="G774" s="2" t="s">
        <v>5299</v>
      </c>
      <c r="H774" s="2" t="s">
        <v>5300</v>
      </c>
      <c r="I774" s="2" t="s">
        <v>5301</v>
      </c>
      <c r="J774" t="s">
        <v>5302</v>
      </c>
      <c r="L774" s="1">
        <v>2</v>
      </c>
      <c r="M774" s="1"/>
      <c r="N774" s="1"/>
      <c r="O774" s="3"/>
    </row>
    <row r="775" spans="1:15" ht="409.6">
      <c r="A775" t="s">
        <v>5303</v>
      </c>
      <c r="B775" t="s">
        <v>5304</v>
      </c>
      <c r="C775" t="s">
        <v>4043</v>
      </c>
      <c r="D775" t="s">
        <v>23</v>
      </c>
      <c r="E775">
        <v>10</v>
      </c>
      <c r="F775" s="2" t="s">
        <v>5305</v>
      </c>
      <c r="G775" s="2" t="s">
        <v>5306</v>
      </c>
      <c r="H775" s="2" t="s">
        <v>5307</v>
      </c>
      <c r="I775" s="2" t="s">
        <v>5308</v>
      </c>
      <c r="J775" t="s">
        <v>5309</v>
      </c>
      <c r="L775" s="1">
        <v>2</v>
      </c>
      <c r="M775" s="1"/>
      <c r="N775" s="1"/>
      <c r="O775" s="3"/>
    </row>
    <row r="776" spans="1:15" ht="409.6">
      <c r="A776" t="s">
        <v>5310</v>
      </c>
      <c r="B776" t="s">
        <v>5311</v>
      </c>
      <c r="C776" t="s">
        <v>4043</v>
      </c>
      <c r="D776" t="s">
        <v>23</v>
      </c>
      <c r="E776">
        <v>10</v>
      </c>
      <c r="F776" s="2" t="s">
        <v>5312</v>
      </c>
      <c r="G776" s="2" t="s">
        <v>5313</v>
      </c>
      <c r="H776" s="2" t="s">
        <v>5314</v>
      </c>
      <c r="I776" s="2" t="s">
        <v>5315</v>
      </c>
      <c r="J776" t="s">
        <v>5316</v>
      </c>
      <c r="L776" s="1">
        <v>2</v>
      </c>
      <c r="M776" s="1"/>
      <c r="N776" s="1"/>
      <c r="O776" s="3"/>
    </row>
    <row r="777" spans="1:15" ht="409.6">
      <c r="A777" t="s">
        <v>5317</v>
      </c>
      <c r="B777" t="s">
        <v>5318</v>
      </c>
      <c r="C777" t="s">
        <v>4043</v>
      </c>
      <c r="D777" t="s">
        <v>23</v>
      </c>
      <c r="E777">
        <v>5</v>
      </c>
      <c r="F777" s="2" t="s">
        <v>5319</v>
      </c>
      <c r="G777" s="2" t="s">
        <v>5320</v>
      </c>
      <c r="H777" s="2" t="s">
        <v>5321</v>
      </c>
      <c r="I777" s="2" t="s">
        <v>5322</v>
      </c>
      <c r="J777" t="s">
        <v>5323</v>
      </c>
      <c r="L777" s="1">
        <v>2</v>
      </c>
      <c r="M777" s="1"/>
      <c r="N777" s="1"/>
      <c r="O777" s="3"/>
    </row>
    <row r="778" spans="1:15" ht="409.6">
      <c r="A778" t="s">
        <v>5324</v>
      </c>
      <c r="B778" t="s">
        <v>5325</v>
      </c>
      <c r="C778" t="s">
        <v>4043</v>
      </c>
      <c r="D778" t="s">
        <v>23</v>
      </c>
      <c r="E778">
        <v>25</v>
      </c>
      <c r="F778" s="2" t="s">
        <v>5326</v>
      </c>
      <c r="G778" s="2" t="s">
        <v>5327</v>
      </c>
      <c r="H778" s="2" t="s">
        <v>5328</v>
      </c>
      <c r="I778" s="2" t="s">
        <v>5329</v>
      </c>
      <c r="J778" t="s">
        <v>5330</v>
      </c>
      <c r="L778" s="1">
        <v>2</v>
      </c>
      <c r="M778" s="1"/>
      <c r="N778" s="1"/>
      <c r="O778" s="3"/>
    </row>
    <row r="779" spans="1:15" ht="409.6">
      <c r="A779" t="s">
        <v>5331</v>
      </c>
      <c r="B779" t="s">
        <v>5332</v>
      </c>
      <c r="C779" t="s">
        <v>4181</v>
      </c>
      <c r="D779" t="s">
        <v>23</v>
      </c>
      <c r="E779">
        <v>10</v>
      </c>
      <c r="F779" s="2" t="s">
        <v>5333</v>
      </c>
      <c r="G779" s="2" t="s">
        <v>5334</v>
      </c>
      <c r="H779" s="2" t="s">
        <v>5335</v>
      </c>
      <c r="I779" s="2" t="s">
        <v>5336</v>
      </c>
      <c r="J779" t="s">
        <v>5337</v>
      </c>
      <c r="L779" s="1">
        <v>2</v>
      </c>
      <c r="M779" s="1"/>
      <c r="N779" s="1"/>
      <c r="O779" s="3"/>
    </row>
    <row r="780" spans="1:15" ht="409.6">
      <c r="A780" t="s">
        <v>3820</v>
      </c>
      <c r="B780" t="s">
        <v>3821</v>
      </c>
      <c r="C780" t="s">
        <v>52</v>
      </c>
      <c r="D780" t="s">
        <v>23</v>
      </c>
      <c r="E780">
        <v>5</v>
      </c>
      <c r="F780" s="2" t="s">
        <v>5338</v>
      </c>
      <c r="G780" s="2" t="s">
        <v>5339</v>
      </c>
      <c r="H780" s="2" t="s">
        <v>3824</v>
      </c>
      <c r="I780" s="2" t="s">
        <v>5340</v>
      </c>
      <c r="J780" t="s">
        <v>5341</v>
      </c>
      <c r="L780" s="1">
        <v>2</v>
      </c>
      <c r="M780" s="1"/>
      <c r="N780" s="1"/>
      <c r="O780" s="3"/>
    </row>
    <row r="781" spans="1:15" ht="409.6">
      <c r="A781" t="s">
        <v>5342</v>
      </c>
      <c r="B781" t="s">
        <v>5343</v>
      </c>
      <c r="C781" t="s">
        <v>52</v>
      </c>
      <c r="D781" t="s">
        <v>23</v>
      </c>
      <c r="E781">
        <v>10</v>
      </c>
      <c r="F781" s="2" t="s">
        <v>5344</v>
      </c>
      <c r="G781" s="2" t="s">
        <v>5345</v>
      </c>
      <c r="H781" s="2" t="s">
        <v>5346</v>
      </c>
      <c r="I781" s="2" t="s">
        <v>5347</v>
      </c>
      <c r="J781" t="s">
        <v>5348</v>
      </c>
      <c r="L781" s="1">
        <v>2</v>
      </c>
      <c r="M781" s="1"/>
      <c r="N781" s="1"/>
      <c r="O781" s="3"/>
    </row>
    <row r="782" spans="1:15" ht="409.6">
      <c r="A782" t="s">
        <v>5349</v>
      </c>
      <c r="B782" t="s">
        <v>5350</v>
      </c>
      <c r="C782" t="s">
        <v>4043</v>
      </c>
      <c r="D782" t="s">
        <v>23</v>
      </c>
      <c r="E782">
        <v>30</v>
      </c>
      <c r="F782" s="2" t="s">
        <v>5351</v>
      </c>
      <c r="G782" s="2" t="s">
        <v>5352</v>
      </c>
      <c r="H782" s="2" t="s">
        <v>5353</v>
      </c>
      <c r="I782" s="2" t="s">
        <v>5354</v>
      </c>
      <c r="J782" t="s">
        <v>5355</v>
      </c>
      <c r="L782" s="1">
        <v>2</v>
      </c>
      <c r="M782" s="1"/>
      <c r="N782" s="1"/>
      <c r="O782" s="3"/>
    </row>
    <row r="783" spans="1:15" ht="409.6">
      <c r="A783" t="s">
        <v>5356</v>
      </c>
      <c r="B783" t="s">
        <v>5357</v>
      </c>
      <c r="C783" t="s">
        <v>4043</v>
      </c>
      <c r="D783" t="s">
        <v>23</v>
      </c>
      <c r="E783">
        <v>5</v>
      </c>
      <c r="F783" s="2" t="s">
        <v>5358</v>
      </c>
      <c r="G783" s="2" t="s">
        <v>5359</v>
      </c>
      <c r="H783" s="2" t="s">
        <v>5360</v>
      </c>
      <c r="I783" s="2" t="s">
        <v>5361</v>
      </c>
      <c r="J783" t="s">
        <v>5362</v>
      </c>
      <c r="L783" s="1">
        <v>2</v>
      </c>
      <c r="M783" s="1"/>
      <c r="N783" s="1"/>
      <c r="O783" s="3"/>
    </row>
    <row r="784" spans="1:15" ht="409.6">
      <c r="A784" t="s">
        <v>5363</v>
      </c>
      <c r="B784" t="s">
        <v>5364</v>
      </c>
      <c r="C784" t="s">
        <v>2628</v>
      </c>
      <c r="D784" t="s">
        <v>23</v>
      </c>
      <c r="E784">
        <v>25</v>
      </c>
      <c r="F784" s="2" t="s">
        <v>5365</v>
      </c>
      <c r="G784" s="2" t="s">
        <v>5366</v>
      </c>
      <c r="H784" s="2" t="s">
        <v>5367</v>
      </c>
      <c r="I784" s="2" t="s">
        <v>5368</v>
      </c>
      <c r="J784" t="s">
        <v>5369</v>
      </c>
      <c r="L784" s="1">
        <v>2</v>
      </c>
      <c r="M784" s="1"/>
      <c r="N784" s="1"/>
      <c r="O784" s="3"/>
    </row>
    <row r="785" spans="1:15" ht="409.6">
      <c r="A785" t="s">
        <v>5370</v>
      </c>
      <c r="B785" t="s">
        <v>5371</v>
      </c>
      <c r="C785" t="s">
        <v>4154</v>
      </c>
      <c r="D785" t="s">
        <v>23</v>
      </c>
      <c r="E785">
        <v>40</v>
      </c>
      <c r="F785" s="2" t="s">
        <v>5372</v>
      </c>
      <c r="G785" s="2" t="s">
        <v>5373</v>
      </c>
      <c r="H785" s="2" t="s">
        <v>5374</v>
      </c>
      <c r="I785" s="2" t="s">
        <v>5375</v>
      </c>
      <c r="J785" t="s">
        <v>5376</v>
      </c>
      <c r="L785" s="1">
        <v>2</v>
      </c>
      <c r="M785" s="1"/>
      <c r="N785" s="1"/>
      <c r="O785" s="3"/>
    </row>
    <row r="786" spans="1:15" ht="409.6">
      <c r="A786" t="s">
        <v>5377</v>
      </c>
      <c r="B786" t="s">
        <v>5378</v>
      </c>
      <c r="C786" t="s">
        <v>4043</v>
      </c>
      <c r="D786" t="s">
        <v>14</v>
      </c>
      <c r="E786">
        <v>30</v>
      </c>
      <c r="F786" s="2" t="s">
        <v>5379</v>
      </c>
      <c r="G786" s="2" t="s">
        <v>5380</v>
      </c>
      <c r="H786" s="2" t="s">
        <v>5381</v>
      </c>
      <c r="I786" s="2" t="s">
        <v>5382</v>
      </c>
      <c r="J786" t="s">
        <v>5383</v>
      </c>
      <c r="L786" s="1">
        <v>2</v>
      </c>
      <c r="M786" s="1"/>
      <c r="N786" s="1"/>
      <c r="O786" s="3"/>
    </row>
    <row r="787" spans="1:15" ht="409.6">
      <c r="A787" t="s">
        <v>5384</v>
      </c>
      <c r="B787" t="s">
        <v>5385</v>
      </c>
      <c r="C787" t="s">
        <v>4181</v>
      </c>
      <c r="D787" t="s">
        <v>23</v>
      </c>
      <c r="E787">
        <v>15</v>
      </c>
      <c r="F787" s="2" t="s">
        <v>5386</v>
      </c>
      <c r="G787" s="2" t="s">
        <v>5387</v>
      </c>
      <c r="H787" s="2" t="s">
        <v>5388</v>
      </c>
      <c r="I787" s="2" t="s">
        <v>5389</v>
      </c>
      <c r="J787" t="s">
        <v>5390</v>
      </c>
      <c r="L787" s="1">
        <v>2</v>
      </c>
      <c r="M787" s="1"/>
      <c r="N787" s="1"/>
      <c r="O787" s="3"/>
    </row>
    <row r="788" spans="1:15" ht="409.6">
      <c r="A788" t="s">
        <v>5391</v>
      </c>
      <c r="B788" t="s">
        <v>5392</v>
      </c>
      <c r="C788" t="s">
        <v>4043</v>
      </c>
      <c r="D788" t="s">
        <v>23</v>
      </c>
      <c r="E788">
        <v>15</v>
      </c>
      <c r="F788" s="2" t="s">
        <v>5393</v>
      </c>
      <c r="G788" s="2" t="s">
        <v>5394</v>
      </c>
      <c r="H788" s="2" t="s">
        <v>5395</v>
      </c>
      <c r="I788" s="2" t="s">
        <v>5396</v>
      </c>
      <c r="J788" t="s">
        <v>5397</v>
      </c>
      <c r="L788" s="1">
        <v>2</v>
      </c>
      <c r="M788" s="1"/>
      <c r="N788" s="1"/>
      <c r="O788" s="3"/>
    </row>
    <row r="789" spans="1:15" ht="409.6">
      <c r="A789" t="s">
        <v>5398</v>
      </c>
      <c r="B789" t="s">
        <v>5399</v>
      </c>
      <c r="C789" t="s">
        <v>4052</v>
      </c>
      <c r="D789" t="s">
        <v>23</v>
      </c>
      <c r="E789">
        <v>15</v>
      </c>
      <c r="F789" s="2" t="s">
        <v>5400</v>
      </c>
      <c r="G789" s="2" t="s">
        <v>5401</v>
      </c>
      <c r="H789" s="2" t="s">
        <v>5402</v>
      </c>
      <c r="I789" s="2" t="s">
        <v>5403</v>
      </c>
      <c r="J789" t="s">
        <v>5404</v>
      </c>
      <c r="L789" s="1">
        <v>2</v>
      </c>
      <c r="M789" s="1"/>
      <c r="N789" s="1"/>
      <c r="O789" s="3"/>
    </row>
    <row r="790" spans="1:15" ht="409.6">
      <c r="A790" t="s">
        <v>5405</v>
      </c>
      <c r="B790" t="s">
        <v>5406</v>
      </c>
      <c r="C790" t="s">
        <v>4181</v>
      </c>
      <c r="D790" t="s">
        <v>23</v>
      </c>
      <c r="E790">
        <v>10</v>
      </c>
      <c r="F790" s="2" t="s">
        <v>5407</v>
      </c>
      <c r="G790" s="2" t="s">
        <v>5408</v>
      </c>
      <c r="H790" s="2" t="s">
        <v>5409</v>
      </c>
      <c r="I790" s="2" t="s">
        <v>5410</v>
      </c>
      <c r="J790" t="s">
        <v>5411</v>
      </c>
      <c r="L790" s="1">
        <v>2</v>
      </c>
      <c r="M790" s="1"/>
      <c r="N790" s="1"/>
      <c r="O790" s="3"/>
    </row>
    <row r="791" spans="1:15" ht="409.6">
      <c r="A791" t="s">
        <v>5412</v>
      </c>
      <c r="B791" t="s">
        <v>5413</v>
      </c>
      <c r="C791" t="s">
        <v>4043</v>
      </c>
      <c r="D791" t="s">
        <v>23</v>
      </c>
      <c r="E791">
        <v>15</v>
      </c>
      <c r="F791" s="2" t="s">
        <v>5414</v>
      </c>
      <c r="G791" s="2" t="s">
        <v>5415</v>
      </c>
      <c r="H791" s="2" t="s">
        <v>5416</v>
      </c>
      <c r="I791" s="2" t="s">
        <v>5417</v>
      </c>
      <c r="J791" t="s">
        <v>5418</v>
      </c>
      <c r="L791" s="1">
        <v>2</v>
      </c>
      <c r="M791" s="1"/>
      <c r="N791" s="1"/>
      <c r="O791" s="3"/>
    </row>
    <row r="792" spans="1:15" ht="409.6">
      <c r="A792" t="s">
        <v>5419</v>
      </c>
      <c r="B792" t="s">
        <v>5420</v>
      </c>
      <c r="C792" t="s">
        <v>4052</v>
      </c>
      <c r="D792" t="s">
        <v>23</v>
      </c>
      <c r="E792">
        <v>15</v>
      </c>
      <c r="F792" s="2" t="s">
        <v>5421</v>
      </c>
      <c r="G792" s="2" t="s">
        <v>5422</v>
      </c>
      <c r="H792" s="2" t="s">
        <v>5423</v>
      </c>
      <c r="I792" s="2" t="s">
        <v>5424</v>
      </c>
      <c r="J792" t="s">
        <v>5425</v>
      </c>
      <c r="L792" s="1">
        <v>2</v>
      </c>
      <c r="M792" s="1"/>
      <c r="N792" s="1"/>
      <c r="O792" s="3"/>
    </row>
    <row r="793" spans="1:15" ht="409.6">
      <c r="A793" t="s">
        <v>5426</v>
      </c>
      <c r="B793" s="2" t="s">
        <v>5427</v>
      </c>
      <c r="C793" t="s">
        <v>4043</v>
      </c>
      <c r="D793" t="s">
        <v>23</v>
      </c>
      <c r="E793">
        <v>15</v>
      </c>
      <c r="F793" s="2" t="s">
        <v>5428</v>
      </c>
      <c r="G793" s="2" t="s">
        <v>5429</v>
      </c>
      <c r="H793" s="2" t="s">
        <v>5430</v>
      </c>
      <c r="I793" s="2" t="s">
        <v>5431</v>
      </c>
      <c r="J793" t="s">
        <v>5432</v>
      </c>
      <c r="L793" s="1">
        <v>2</v>
      </c>
      <c r="M793" s="1"/>
      <c r="N793" s="1"/>
      <c r="O793" s="3"/>
    </row>
    <row r="794" spans="1:15" ht="409.6">
      <c r="A794" t="s">
        <v>5433</v>
      </c>
      <c r="B794" t="s">
        <v>5434</v>
      </c>
      <c r="C794" t="s">
        <v>4043</v>
      </c>
      <c r="D794" t="s">
        <v>23</v>
      </c>
      <c r="E794">
        <v>15</v>
      </c>
      <c r="F794" s="2" t="s">
        <v>5435</v>
      </c>
      <c r="G794" s="2" t="s">
        <v>5436</v>
      </c>
      <c r="H794" s="2" t="s">
        <v>5437</v>
      </c>
      <c r="I794" s="2" t="s">
        <v>5438</v>
      </c>
      <c r="J794" t="s">
        <v>5439</v>
      </c>
      <c r="L794" s="1">
        <v>2</v>
      </c>
      <c r="M794" s="1"/>
      <c r="N794" s="1"/>
      <c r="O794" s="3"/>
    </row>
    <row r="795" spans="1:15" ht="409.6">
      <c r="A795" t="s">
        <v>5440</v>
      </c>
      <c r="B795" t="s">
        <v>5441</v>
      </c>
      <c r="C795" t="s">
        <v>4181</v>
      </c>
      <c r="D795" t="s">
        <v>23</v>
      </c>
      <c r="E795">
        <v>20</v>
      </c>
      <c r="F795" s="2" t="s">
        <v>5442</v>
      </c>
      <c r="G795" s="2" t="s">
        <v>5443</v>
      </c>
      <c r="H795" s="2" t="s">
        <v>5444</v>
      </c>
      <c r="I795" s="2" t="s">
        <v>5445</v>
      </c>
      <c r="J795" t="s">
        <v>5446</v>
      </c>
      <c r="L795" s="1">
        <v>2</v>
      </c>
      <c r="M795" s="1"/>
      <c r="N795" s="1"/>
      <c r="O795" s="3"/>
    </row>
    <row r="796" spans="1:15" ht="409.6">
      <c r="A796" t="s">
        <v>3853</v>
      </c>
      <c r="B796" t="s">
        <v>3854</v>
      </c>
      <c r="C796" t="s">
        <v>4043</v>
      </c>
      <c r="D796" t="s">
        <v>23</v>
      </c>
      <c r="E796">
        <v>5</v>
      </c>
      <c r="F796" s="2" t="s">
        <v>5447</v>
      </c>
      <c r="G796" s="2" t="s">
        <v>5448</v>
      </c>
      <c r="H796" s="2" t="s">
        <v>3857</v>
      </c>
      <c r="I796" s="2" t="s">
        <v>5449</v>
      </c>
      <c r="J796" t="s">
        <v>3859</v>
      </c>
      <c r="L796" s="1">
        <v>2</v>
      </c>
      <c r="M796" s="1"/>
      <c r="N796" s="1"/>
      <c r="O796" s="3"/>
    </row>
    <row r="797" spans="1:15" ht="409.6">
      <c r="A797" t="s">
        <v>5450</v>
      </c>
      <c r="B797" t="s">
        <v>5451</v>
      </c>
      <c r="C797" t="s">
        <v>4154</v>
      </c>
      <c r="D797" t="s">
        <v>23</v>
      </c>
      <c r="E797">
        <v>15</v>
      </c>
      <c r="F797" s="2" t="s">
        <v>5452</v>
      </c>
      <c r="G797" s="2" t="s">
        <v>5453</v>
      </c>
      <c r="H797" s="2" t="s">
        <v>5454</v>
      </c>
      <c r="I797" s="2" t="s">
        <v>5455</v>
      </c>
      <c r="J797" t="s">
        <v>5456</v>
      </c>
      <c r="L797" s="1">
        <v>2</v>
      </c>
      <c r="M797" s="1"/>
      <c r="N797" s="1"/>
      <c r="O797" s="3"/>
    </row>
    <row r="798" spans="1:15" ht="409.6">
      <c r="A798" t="s">
        <v>2828</v>
      </c>
      <c r="B798" t="s">
        <v>2829</v>
      </c>
      <c r="C798" t="s">
        <v>4043</v>
      </c>
      <c r="D798" t="s">
        <v>23</v>
      </c>
      <c r="E798">
        <v>14</v>
      </c>
      <c r="F798" s="2" t="s">
        <v>5457</v>
      </c>
      <c r="G798" s="2" t="s">
        <v>5458</v>
      </c>
      <c r="H798" s="2" t="s">
        <v>5459</v>
      </c>
      <c r="I798" s="2" t="s">
        <v>5460</v>
      </c>
      <c r="J798" t="s">
        <v>2834</v>
      </c>
      <c r="L798" s="1">
        <v>2</v>
      </c>
      <c r="M798" s="1"/>
      <c r="N798" s="1"/>
      <c r="O798" s="3"/>
    </row>
    <row r="799" spans="1:15" ht="409.6">
      <c r="A799" t="s">
        <v>5461</v>
      </c>
      <c r="B799" t="s">
        <v>5462</v>
      </c>
      <c r="C799" t="s">
        <v>4043</v>
      </c>
      <c r="D799" t="s">
        <v>23</v>
      </c>
      <c r="E799">
        <v>30</v>
      </c>
      <c r="F799" s="2" t="s">
        <v>5463</v>
      </c>
      <c r="G799" s="2" t="s">
        <v>5464</v>
      </c>
      <c r="H799" s="2" t="s">
        <v>5465</v>
      </c>
      <c r="I799" s="2" t="s">
        <v>5466</v>
      </c>
      <c r="J799" t="s">
        <v>5467</v>
      </c>
      <c r="L799" s="1">
        <v>2</v>
      </c>
      <c r="M799" s="1"/>
      <c r="N799" s="1"/>
      <c r="O799" s="3"/>
    </row>
    <row r="800" spans="1:15" ht="409.6">
      <c r="A800" t="s">
        <v>5468</v>
      </c>
      <c r="B800" t="s">
        <v>5469</v>
      </c>
      <c r="C800" t="s">
        <v>4181</v>
      </c>
      <c r="D800" t="s">
        <v>23</v>
      </c>
      <c r="E800">
        <v>5</v>
      </c>
      <c r="F800" s="2" t="s">
        <v>5470</v>
      </c>
      <c r="G800" s="2" t="s">
        <v>5471</v>
      </c>
      <c r="H800" s="2" t="s">
        <v>5472</v>
      </c>
      <c r="I800" s="2" t="s">
        <v>5473</v>
      </c>
      <c r="J800" t="s">
        <v>5474</v>
      </c>
      <c r="L800" s="1">
        <v>2</v>
      </c>
      <c r="M800" s="1"/>
      <c r="N800" s="1"/>
      <c r="O800" s="3"/>
    </row>
    <row r="801" spans="1:15" ht="409.6">
      <c r="A801" t="s">
        <v>5475</v>
      </c>
      <c r="B801" t="s">
        <v>5476</v>
      </c>
      <c r="C801" t="s">
        <v>4043</v>
      </c>
      <c r="D801" t="s">
        <v>23</v>
      </c>
      <c r="E801">
        <v>15</v>
      </c>
      <c r="F801" s="2" t="s">
        <v>5477</v>
      </c>
      <c r="G801" s="2" t="s">
        <v>5478</v>
      </c>
      <c r="H801" s="2" t="s">
        <v>5479</v>
      </c>
      <c r="I801" s="2" t="s">
        <v>5480</v>
      </c>
      <c r="J801" t="s">
        <v>5481</v>
      </c>
      <c r="L801" s="1">
        <v>2</v>
      </c>
      <c r="M801" s="1"/>
      <c r="N801" s="1"/>
      <c r="O801" s="3"/>
    </row>
    <row r="802" spans="1:15" ht="409.6">
      <c r="A802" t="s">
        <v>1788</v>
      </c>
      <c r="B802" t="s">
        <v>1789</v>
      </c>
      <c r="C802" t="s">
        <v>4061</v>
      </c>
      <c r="D802" t="s">
        <v>23</v>
      </c>
      <c r="E802">
        <v>15</v>
      </c>
      <c r="F802" s="2" t="s">
        <v>5482</v>
      </c>
      <c r="G802" s="2" t="s">
        <v>5483</v>
      </c>
      <c r="H802" s="2" t="s">
        <v>5484</v>
      </c>
      <c r="I802" s="2" t="s">
        <v>5485</v>
      </c>
      <c r="J802" t="s">
        <v>5486</v>
      </c>
      <c r="L802" s="1">
        <v>2</v>
      </c>
      <c r="M802" s="1"/>
      <c r="N802" s="1"/>
      <c r="O802" s="3"/>
    </row>
    <row r="803" spans="1:15" ht="409.6">
      <c r="A803" t="s">
        <v>2582</v>
      </c>
      <c r="B803" t="s">
        <v>2583</v>
      </c>
      <c r="C803" t="s">
        <v>4052</v>
      </c>
      <c r="D803" t="s">
        <v>23</v>
      </c>
      <c r="E803">
        <v>20</v>
      </c>
      <c r="F803" s="2" t="s">
        <v>5487</v>
      </c>
      <c r="G803" s="2" t="s">
        <v>5488</v>
      </c>
      <c r="H803" s="2" t="s">
        <v>5489</v>
      </c>
      <c r="I803" s="2" t="s">
        <v>5490</v>
      </c>
      <c r="J803" t="s">
        <v>5491</v>
      </c>
      <c r="L803" s="1">
        <v>2</v>
      </c>
      <c r="M803" s="1"/>
      <c r="N803" s="1"/>
      <c r="O803" s="3"/>
    </row>
    <row r="804" spans="1:15" ht="409.6">
      <c r="A804" t="s">
        <v>5492</v>
      </c>
      <c r="B804" t="s">
        <v>5493</v>
      </c>
      <c r="C804" t="s">
        <v>4043</v>
      </c>
      <c r="D804" t="s">
        <v>23</v>
      </c>
      <c r="E804">
        <v>20</v>
      </c>
      <c r="F804" s="2" t="s">
        <v>5494</v>
      </c>
      <c r="G804" s="2" t="s">
        <v>5495</v>
      </c>
      <c r="H804" s="2" t="s">
        <v>5496</v>
      </c>
      <c r="I804" s="2" t="s">
        <v>5497</v>
      </c>
      <c r="J804" t="s">
        <v>5498</v>
      </c>
      <c r="L804" s="1">
        <v>2</v>
      </c>
      <c r="M804" s="1"/>
      <c r="N804" s="1"/>
      <c r="O804" s="3"/>
    </row>
    <row r="805" spans="1:15" ht="409.6">
      <c r="A805" t="s">
        <v>5499</v>
      </c>
      <c r="B805" t="s">
        <v>5500</v>
      </c>
      <c r="C805" t="s">
        <v>4043</v>
      </c>
      <c r="D805" t="s">
        <v>23</v>
      </c>
      <c r="E805">
        <v>20</v>
      </c>
      <c r="F805" s="2" t="s">
        <v>5501</v>
      </c>
      <c r="G805" s="2" t="s">
        <v>5502</v>
      </c>
      <c r="H805" s="2" t="s">
        <v>5503</v>
      </c>
      <c r="I805" s="2" t="s">
        <v>5504</v>
      </c>
      <c r="J805" t="s">
        <v>5505</v>
      </c>
      <c r="L805" s="1">
        <v>2</v>
      </c>
      <c r="M805" s="1"/>
      <c r="N805" s="1"/>
      <c r="O805" s="3"/>
    </row>
    <row r="806" spans="1:15" ht="409.6">
      <c r="A806" t="s">
        <v>5506</v>
      </c>
      <c r="B806" t="s">
        <v>5507</v>
      </c>
      <c r="C806" t="s">
        <v>4043</v>
      </c>
      <c r="D806" t="s">
        <v>23</v>
      </c>
      <c r="E806">
        <v>15</v>
      </c>
      <c r="F806" s="2" t="s">
        <v>5508</v>
      </c>
      <c r="G806" s="2" t="s">
        <v>5509</v>
      </c>
      <c r="H806" s="2" t="s">
        <v>5510</v>
      </c>
      <c r="I806" s="2" t="s">
        <v>5511</v>
      </c>
      <c r="J806" t="s">
        <v>5512</v>
      </c>
      <c r="L806" s="1">
        <v>2</v>
      </c>
      <c r="M806" s="1"/>
      <c r="N806" s="1"/>
      <c r="O806" s="3"/>
    </row>
    <row r="807" spans="1:15" ht="409.6">
      <c r="A807" t="s">
        <v>1935</v>
      </c>
      <c r="B807" t="s">
        <v>5513</v>
      </c>
      <c r="C807" t="s">
        <v>4043</v>
      </c>
      <c r="D807" t="s">
        <v>23</v>
      </c>
      <c r="E807">
        <v>15</v>
      </c>
      <c r="F807" s="2" t="s">
        <v>5514</v>
      </c>
      <c r="G807" s="2" t="s">
        <v>5515</v>
      </c>
      <c r="H807" s="2" t="s">
        <v>5516</v>
      </c>
      <c r="I807" s="2" t="s">
        <v>5517</v>
      </c>
      <c r="J807" t="s">
        <v>5518</v>
      </c>
      <c r="L807" s="1">
        <v>2</v>
      </c>
      <c r="M807" s="1"/>
      <c r="N807" s="1"/>
      <c r="O807" s="3"/>
    </row>
    <row r="808" spans="1:15" ht="409.6">
      <c r="A808" t="s">
        <v>5519</v>
      </c>
      <c r="B808" t="s">
        <v>5520</v>
      </c>
      <c r="C808" t="s">
        <v>4043</v>
      </c>
      <c r="D808" t="s">
        <v>23</v>
      </c>
      <c r="E808">
        <v>15</v>
      </c>
      <c r="F808" s="2" t="s">
        <v>5521</v>
      </c>
      <c r="G808" s="2" t="s">
        <v>5522</v>
      </c>
      <c r="H808" s="2" t="s">
        <v>5523</v>
      </c>
      <c r="I808" s="2" t="s">
        <v>5524</v>
      </c>
      <c r="J808" t="s">
        <v>5525</v>
      </c>
      <c r="L808" s="1">
        <v>2</v>
      </c>
      <c r="M808" s="1"/>
      <c r="N808" s="1"/>
      <c r="O808" s="3"/>
    </row>
    <row r="809" spans="1:15" ht="409.6">
      <c r="A809" t="s">
        <v>5526</v>
      </c>
      <c r="B809" t="s">
        <v>5527</v>
      </c>
      <c r="C809" t="s">
        <v>4043</v>
      </c>
      <c r="D809" t="s">
        <v>23</v>
      </c>
      <c r="E809">
        <v>15</v>
      </c>
      <c r="F809" s="2" t="s">
        <v>5528</v>
      </c>
      <c r="G809" s="2" t="s">
        <v>5529</v>
      </c>
      <c r="H809" s="2" t="s">
        <v>5530</v>
      </c>
      <c r="I809" s="2" t="s">
        <v>5531</v>
      </c>
      <c r="J809" t="s">
        <v>5532</v>
      </c>
      <c r="L809" s="1">
        <v>2</v>
      </c>
      <c r="M809" s="1"/>
      <c r="N809" s="1"/>
      <c r="O809" s="3"/>
    </row>
    <row r="810" spans="1:15" ht="409.6">
      <c r="A810" t="s">
        <v>5533</v>
      </c>
      <c r="B810" t="s">
        <v>5534</v>
      </c>
      <c r="C810" t="s">
        <v>4154</v>
      </c>
      <c r="D810" t="s">
        <v>23</v>
      </c>
      <c r="E810">
        <v>15</v>
      </c>
      <c r="F810" s="2" t="s">
        <v>5535</v>
      </c>
      <c r="G810" s="2" t="s">
        <v>5536</v>
      </c>
      <c r="H810" s="2" t="s">
        <v>5537</v>
      </c>
      <c r="I810" s="2" t="s">
        <v>5538</v>
      </c>
      <c r="J810" t="s">
        <v>5539</v>
      </c>
      <c r="L810" s="1">
        <v>2</v>
      </c>
      <c r="M810" s="1"/>
      <c r="N810" s="1"/>
      <c r="O810" s="3"/>
    </row>
    <row r="811" spans="1:15" ht="409.6">
      <c r="A811" t="s">
        <v>5540</v>
      </c>
      <c r="B811" t="s">
        <v>5541</v>
      </c>
      <c r="C811" t="s">
        <v>4043</v>
      </c>
      <c r="D811" t="s">
        <v>23</v>
      </c>
      <c r="E811">
        <v>15</v>
      </c>
      <c r="F811" s="2" t="s">
        <v>5542</v>
      </c>
      <c r="G811" s="2" t="s">
        <v>5543</v>
      </c>
      <c r="H811" s="2" t="s">
        <v>5544</v>
      </c>
      <c r="I811" s="2" t="s">
        <v>5545</v>
      </c>
      <c r="J811" t="s">
        <v>5546</v>
      </c>
      <c r="L811" s="1">
        <v>2</v>
      </c>
      <c r="M811" s="1"/>
      <c r="N811" s="1"/>
      <c r="O811" s="3"/>
    </row>
    <row r="812" spans="1:15" ht="409.6">
      <c r="A812" t="s">
        <v>5547</v>
      </c>
      <c r="B812" t="s">
        <v>5548</v>
      </c>
      <c r="C812" t="s">
        <v>4043</v>
      </c>
      <c r="D812" t="s">
        <v>23</v>
      </c>
      <c r="E812">
        <v>30</v>
      </c>
      <c r="F812" s="2" t="s">
        <v>5549</v>
      </c>
      <c r="G812" s="2" t="s">
        <v>5550</v>
      </c>
      <c r="H812" s="2" t="s">
        <v>5551</v>
      </c>
      <c r="I812" s="2" t="s">
        <v>5552</v>
      </c>
      <c r="J812" t="s">
        <v>5553</v>
      </c>
      <c r="L812" s="1">
        <v>2</v>
      </c>
      <c r="M812" s="1"/>
      <c r="N812" s="1"/>
      <c r="O812" s="3"/>
    </row>
    <row r="813" spans="1:15" ht="409.6">
      <c r="A813" t="s">
        <v>5554</v>
      </c>
      <c r="B813" s="2" t="s">
        <v>5555</v>
      </c>
      <c r="C813" t="s">
        <v>4043</v>
      </c>
      <c r="D813" t="s">
        <v>23</v>
      </c>
      <c r="E813">
        <v>30</v>
      </c>
      <c r="F813" s="2" t="s">
        <v>5556</v>
      </c>
      <c r="G813" s="2" t="s">
        <v>5557</v>
      </c>
      <c r="H813" s="2" t="s">
        <v>5558</v>
      </c>
      <c r="I813" s="2" t="s">
        <v>5559</v>
      </c>
      <c r="J813" t="s">
        <v>5560</v>
      </c>
      <c r="L813" s="1">
        <v>2</v>
      </c>
      <c r="M813" s="1"/>
      <c r="N813" s="1"/>
      <c r="O813" s="3"/>
    </row>
    <row r="814" spans="1:15" ht="409.6">
      <c r="A814" t="s">
        <v>5561</v>
      </c>
      <c r="B814" t="s">
        <v>5562</v>
      </c>
      <c r="C814" t="s">
        <v>4043</v>
      </c>
      <c r="D814" t="s">
        <v>23</v>
      </c>
      <c r="E814">
        <v>15</v>
      </c>
      <c r="F814" s="2" t="s">
        <v>5563</v>
      </c>
      <c r="G814" s="2" t="s">
        <v>5564</v>
      </c>
      <c r="H814" s="2" t="s">
        <v>5565</v>
      </c>
      <c r="I814" s="2" t="s">
        <v>5566</v>
      </c>
      <c r="J814" t="s">
        <v>5567</v>
      </c>
      <c r="L814" s="1">
        <v>2</v>
      </c>
      <c r="M814" s="1"/>
      <c r="N814" s="1"/>
      <c r="O814" s="3"/>
    </row>
    <row r="815" spans="1:15" ht="409.6">
      <c r="A815" t="s">
        <v>5568</v>
      </c>
      <c r="B815" t="s">
        <v>5569</v>
      </c>
      <c r="C815" t="s">
        <v>4043</v>
      </c>
      <c r="D815" t="s">
        <v>23</v>
      </c>
      <c r="E815">
        <v>15</v>
      </c>
      <c r="F815" s="2" t="s">
        <v>5570</v>
      </c>
      <c r="G815" s="2" t="s">
        <v>5571</v>
      </c>
      <c r="H815" s="2" t="s">
        <v>5572</v>
      </c>
      <c r="I815" s="2" t="s">
        <v>5573</v>
      </c>
      <c r="J815" t="s">
        <v>5574</v>
      </c>
      <c r="L815" s="1">
        <v>2</v>
      </c>
      <c r="M815" s="1"/>
      <c r="N815" s="1"/>
      <c r="O815" s="3"/>
    </row>
    <row r="816" spans="1:15" ht="303.60000000000002">
      <c r="A816" t="s">
        <v>3867</v>
      </c>
      <c r="B816" s="2" t="s">
        <v>5575</v>
      </c>
      <c r="C816" t="s">
        <v>52</v>
      </c>
      <c r="D816" t="s">
        <v>23</v>
      </c>
      <c r="E816">
        <v>5</v>
      </c>
      <c r="F816" s="2" t="s">
        <v>5576</v>
      </c>
      <c r="G816" s="2" t="s">
        <v>5577</v>
      </c>
      <c r="H816" s="2" t="s">
        <v>3871</v>
      </c>
      <c r="I816" s="2" t="s">
        <v>5578</v>
      </c>
      <c r="J816" t="s">
        <v>3873</v>
      </c>
      <c r="L816" s="1">
        <v>2</v>
      </c>
      <c r="M816" s="1"/>
      <c r="N816" s="1"/>
      <c r="O816" s="3"/>
    </row>
    <row r="817" spans="1:15" ht="409.6">
      <c r="A817" t="s">
        <v>5579</v>
      </c>
      <c r="B817" t="s">
        <v>5580</v>
      </c>
      <c r="C817" t="s">
        <v>4043</v>
      </c>
      <c r="D817" t="s">
        <v>23</v>
      </c>
      <c r="E817">
        <v>10</v>
      </c>
      <c r="F817" s="2" t="s">
        <v>5581</v>
      </c>
      <c r="G817" s="2" t="s">
        <v>5582</v>
      </c>
      <c r="H817" s="2" t="s">
        <v>5583</v>
      </c>
      <c r="I817" s="2" t="s">
        <v>5584</v>
      </c>
      <c r="J817" t="s">
        <v>5585</v>
      </c>
      <c r="K817" t="s">
        <v>5586</v>
      </c>
      <c r="L817" s="1">
        <v>2</v>
      </c>
      <c r="M817" s="1"/>
      <c r="N817" s="1"/>
      <c r="O817" s="3"/>
    </row>
    <row r="818" spans="1:15" ht="409.6">
      <c r="A818" t="s">
        <v>5587</v>
      </c>
      <c r="B818" t="s">
        <v>5588</v>
      </c>
      <c r="C818" t="s">
        <v>4043</v>
      </c>
      <c r="D818" t="s">
        <v>23</v>
      </c>
      <c r="E818">
        <v>5</v>
      </c>
      <c r="F818" s="2" t="s">
        <v>5589</v>
      </c>
      <c r="G818" s="2" t="s">
        <v>5590</v>
      </c>
      <c r="H818" s="2" t="s">
        <v>5591</v>
      </c>
      <c r="I818" s="2" t="s">
        <v>5592</v>
      </c>
      <c r="J818" t="s">
        <v>5593</v>
      </c>
      <c r="L818" s="1">
        <v>2</v>
      </c>
      <c r="M818" s="1"/>
      <c r="N818" s="1"/>
      <c r="O818" s="3"/>
    </row>
    <row r="819" spans="1:15" ht="409.6">
      <c r="A819" t="s">
        <v>3888</v>
      </c>
      <c r="B819" t="s">
        <v>3889</v>
      </c>
      <c r="C819" t="s">
        <v>52</v>
      </c>
      <c r="D819" t="s">
        <v>23</v>
      </c>
      <c r="E819">
        <v>5</v>
      </c>
      <c r="F819" s="2" t="s">
        <v>3890</v>
      </c>
      <c r="G819" s="2" t="s">
        <v>3891</v>
      </c>
      <c r="H819" s="2" t="s">
        <v>5594</v>
      </c>
      <c r="I819" s="2" t="s">
        <v>5595</v>
      </c>
      <c r="J819" t="s">
        <v>5596</v>
      </c>
      <c r="L819" s="1">
        <v>2</v>
      </c>
      <c r="M819" s="1"/>
      <c r="N819" s="1"/>
      <c r="O819" s="3"/>
    </row>
    <row r="820" spans="1:15" ht="409.6">
      <c r="A820" t="s">
        <v>3902</v>
      </c>
      <c r="B820" t="s">
        <v>3903</v>
      </c>
      <c r="C820" t="s">
        <v>52</v>
      </c>
      <c r="D820" t="s">
        <v>23</v>
      </c>
      <c r="E820">
        <v>5</v>
      </c>
      <c r="F820" s="2" t="s">
        <v>5597</v>
      </c>
      <c r="G820" s="2" t="s">
        <v>5598</v>
      </c>
      <c r="H820" s="2" t="s">
        <v>3906</v>
      </c>
      <c r="I820" s="2" t="s">
        <v>3907</v>
      </c>
      <c r="J820" t="s">
        <v>3908</v>
      </c>
      <c r="L820" s="1">
        <v>2</v>
      </c>
      <c r="M820" s="1"/>
      <c r="N820" s="1"/>
      <c r="O820" s="3"/>
    </row>
    <row r="821" spans="1:15" ht="409.6">
      <c r="A821" t="s">
        <v>5599</v>
      </c>
      <c r="B821" t="s">
        <v>5600</v>
      </c>
      <c r="C821" t="s">
        <v>4043</v>
      </c>
      <c r="D821" t="s">
        <v>23</v>
      </c>
      <c r="E821">
        <v>15</v>
      </c>
      <c r="F821" s="2" t="s">
        <v>5601</v>
      </c>
      <c r="G821" s="2" t="s">
        <v>5602</v>
      </c>
      <c r="H821" s="2" t="s">
        <v>5603</v>
      </c>
      <c r="I821" s="2" t="s">
        <v>5604</v>
      </c>
      <c r="J821" t="s">
        <v>5605</v>
      </c>
      <c r="L821" s="1">
        <v>2</v>
      </c>
      <c r="M821" s="1"/>
      <c r="N821" s="1"/>
      <c r="O821" s="3"/>
    </row>
    <row r="822" spans="1:15" ht="409.6">
      <c r="A822" t="s">
        <v>5606</v>
      </c>
      <c r="B822" t="s">
        <v>5607</v>
      </c>
      <c r="C822" t="s">
        <v>4043</v>
      </c>
      <c r="D822" t="s">
        <v>23</v>
      </c>
      <c r="E822">
        <v>15</v>
      </c>
      <c r="F822" s="2" t="s">
        <v>5608</v>
      </c>
      <c r="G822" s="2" t="s">
        <v>5609</v>
      </c>
      <c r="H822" s="2" t="s">
        <v>5610</v>
      </c>
      <c r="I822" s="2" t="s">
        <v>5611</v>
      </c>
      <c r="J822" t="s">
        <v>5612</v>
      </c>
      <c r="L822" s="1">
        <v>2</v>
      </c>
      <c r="M822" s="1"/>
      <c r="N822" s="1"/>
      <c r="O822" s="3"/>
    </row>
    <row r="823" spans="1:15" ht="409.6">
      <c r="A823" t="s">
        <v>5613</v>
      </c>
      <c r="B823" t="s">
        <v>5614</v>
      </c>
      <c r="C823" t="s">
        <v>4052</v>
      </c>
      <c r="D823" t="s">
        <v>23</v>
      </c>
      <c r="E823">
        <v>15</v>
      </c>
      <c r="F823" s="2" t="s">
        <v>5615</v>
      </c>
      <c r="G823" s="2" t="s">
        <v>5616</v>
      </c>
      <c r="H823" s="2" t="s">
        <v>5617</v>
      </c>
      <c r="I823" s="2" t="s">
        <v>5618</v>
      </c>
      <c r="J823" t="s">
        <v>5619</v>
      </c>
      <c r="L823" s="1">
        <v>2</v>
      </c>
      <c r="M823" s="1"/>
      <c r="N823" s="1"/>
      <c r="O823" s="3"/>
    </row>
    <row r="824" spans="1:15" ht="409.6">
      <c r="A824" t="s">
        <v>5620</v>
      </c>
      <c r="B824" t="s">
        <v>5621</v>
      </c>
      <c r="C824" t="s">
        <v>4061</v>
      </c>
      <c r="D824" t="s">
        <v>23</v>
      </c>
      <c r="E824">
        <v>30</v>
      </c>
      <c r="F824" s="2" t="s">
        <v>5622</v>
      </c>
      <c r="G824" s="2" t="s">
        <v>5623</v>
      </c>
      <c r="H824" s="2" t="s">
        <v>5624</v>
      </c>
      <c r="I824" s="2" t="s">
        <v>5625</v>
      </c>
      <c r="J824" t="s">
        <v>5626</v>
      </c>
      <c r="L824" s="1">
        <v>2</v>
      </c>
      <c r="M824" s="1"/>
      <c r="N824" s="1"/>
      <c r="O824" s="3"/>
    </row>
    <row r="825" spans="1:15" ht="409.6">
      <c r="A825" t="s">
        <v>5627</v>
      </c>
      <c r="B825" s="2" t="s">
        <v>5628</v>
      </c>
      <c r="C825" t="s">
        <v>4043</v>
      </c>
      <c r="D825" t="s">
        <v>23</v>
      </c>
      <c r="E825">
        <v>10</v>
      </c>
      <c r="F825" s="2" t="s">
        <v>5629</v>
      </c>
      <c r="G825" s="2" t="s">
        <v>5630</v>
      </c>
      <c r="H825" s="2" t="s">
        <v>5631</v>
      </c>
      <c r="I825" s="2" t="s">
        <v>5632</v>
      </c>
      <c r="J825" t="s">
        <v>5633</v>
      </c>
      <c r="L825" s="1">
        <v>2</v>
      </c>
      <c r="M825" s="1"/>
      <c r="N825" s="1"/>
      <c r="O825" s="3"/>
    </row>
    <row r="826" spans="1:15" ht="409.6">
      <c r="A826" t="s">
        <v>5634</v>
      </c>
      <c r="B826" t="s">
        <v>5635</v>
      </c>
      <c r="C826" t="s">
        <v>4043</v>
      </c>
      <c r="D826" t="s">
        <v>23</v>
      </c>
      <c r="E826">
        <v>30</v>
      </c>
      <c r="F826" s="2" t="s">
        <v>5636</v>
      </c>
      <c r="G826" s="2" t="s">
        <v>5637</v>
      </c>
      <c r="H826" s="2" t="s">
        <v>5638</v>
      </c>
      <c r="I826" s="2" t="s">
        <v>5639</v>
      </c>
      <c r="J826" t="s">
        <v>5640</v>
      </c>
      <c r="L826" s="1">
        <v>2</v>
      </c>
      <c r="M826" s="1"/>
      <c r="N826" s="1"/>
      <c r="O826" s="3"/>
    </row>
    <row r="827" spans="1:15" ht="409.6">
      <c r="A827" t="s">
        <v>5641</v>
      </c>
      <c r="B827" t="s">
        <v>5642</v>
      </c>
      <c r="C827" t="s">
        <v>4052</v>
      </c>
      <c r="D827" t="s">
        <v>23</v>
      </c>
      <c r="E827">
        <v>15</v>
      </c>
      <c r="F827" s="2" t="s">
        <v>5643</v>
      </c>
      <c r="G827" s="2" t="s">
        <v>5644</v>
      </c>
      <c r="H827" s="2" t="s">
        <v>5645</v>
      </c>
      <c r="I827" s="2" t="s">
        <v>5646</v>
      </c>
      <c r="J827" t="s">
        <v>5647</v>
      </c>
      <c r="L827" s="1">
        <v>2</v>
      </c>
      <c r="M827" s="1"/>
      <c r="N827" s="1"/>
      <c r="O827" s="3"/>
    </row>
    <row r="828" spans="1:15" ht="409.6">
      <c r="A828" t="s">
        <v>5648</v>
      </c>
      <c r="B828" t="s">
        <v>5649</v>
      </c>
      <c r="C828" t="s">
        <v>4043</v>
      </c>
      <c r="D828" t="s">
        <v>23</v>
      </c>
      <c r="E828">
        <v>15</v>
      </c>
      <c r="F828" s="2" t="s">
        <v>5650</v>
      </c>
      <c r="G828" s="2" t="s">
        <v>5651</v>
      </c>
      <c r="H828" s="2" t="s">
        <v>5652</v>
      </c>
      <c r="I828" s="2" t="s">
        <v>5653</v>
      </c>
      <c r="J828" t="s">
        <v>5654</v>
      </c>
      <c r="L828" s="1">
        <v>2</v>
      </c>
      <c r="M828" s="1"/>
      <c r="N828" s="1"/>
      <c r="O828" s="3"/>
    </row>
    <row r="829" spans="1:15" ht="409.6">
      <c r="A829" t="s">
        <v>5655</v>
      </c>
      <c r="B829" t="s">
        <v>5656</v>
      </c>
      <c r="C829" t="s">
        <v>4043</v>
      </c>
      <c r="D829" t="s">
        <v>23</v>
      </c>
      <c r="E829">
        <v>30</v>
      </c>
      <c r="F829" s="2" t="s">
        <v>5657</v>
      </c>
      <c r="G829" s="2" t="s">
        <v>5658</v>
      </c>
      <c r="H829" s="2" t="s">
        <v>5659</v>
      </c>
      <c r="I829" s="2" t="s">
        <v>5660</v>
      </c>
      <c r="J829" t="s">
        <v>5661</v>
      </c>
      <c r="L829" s="1">
        <v>2</v>
      </c>
      <c r="M829" s="1"/>
      <c r="N829" s="1"/>
      <c r="O829" s="3"/>
    </row>
    <row r="830" spans="1:15" ht="409.6">
      <c r="A830" t="s">
        <v>5662</v>
      </c>
      <c r="B830" t="s">
        <v>5663</v>
      </c>
      <c r="C830" t="s">
        <v>4043</v>
      </c>
      <c r="D830" t="s">
        <v>23</v>
      </c>
      <c r="E830">
        <v>15</v>
      </c>
      <c r="F830" s="2" t="s">
        <v>5664</v>
      </c>
      <c r="G830" s="2" t="s">
        <v>5665</v>
      </c>
      <c r="H830" s="2" t="s">
        <v>5666</v>
      </c>
      <c r="I830" s="2" t="s">
        <v>5667</v>
      </c>
      <c r="J830" t="s">
        <v>5668</v>
      </c>
      <c r="K830" t="s">
        <v>5669</v>
      </c>
      <c r="L830" s="1">
        <v>2</v>
      </c>
      <c r="M830" s="1"/>
      <c r="N830" s="1"/>
      <c r="O830" s="3"/>
    </row>
    <row r="831" spans="1:15" ht="409.6">
      <c r="A831" t="s">
        <v>5670</v>
      </c>
      <c r="B831" t="s">
        <v>5671</v>
      </c>
      <c r="C831" t="s">
        <v>4043</v>
      </c>
      <c r="D831" t="s">
        <v>23</v>
      </c>
      <c r="E831">
        <v>30</v>
      </c>
      <c r="F831" s="2" t="s">
        <v>5672</v>
      </c>
      <c r="G831" s="2" t="s">
        <v>5673</v>
      </c>
      <c r="H831" s="2" t="s">
        <v>5674</v>
      </c>
      <c r="I831" s="2" t="s">
        <v>5675</v>
      </c>
      <c r="J831" t="s">
        <v>5676</v>
      </c>
      <c r="L831" s="1">
        <v>2</v>
      </c>
      <c r="M831" s="1"/>
      <c r="N831" s="1"/>
      <c r="O831" s="3"/>
    </row>
    <row r="832" spans="1:15" ht="409.6">
      <c r="A832" t="s">
        <v>5677</v>
      </c>
      <c r="B832" t="s">
        <v>5678</v>
      </c>
      <c r="C832" t="s">
        <v>4043</v>
      </c>
      <c r="D832" t="s">
        <v>23</v>
      </c>
      <c r="E832">
        <v>20</v>
      </c>
      <c r="F832" s="2" t="s">
        <v>5679</v>
      </c>
      <c r="G832" s="2" t="s">
        <v>5680</v>
      </c>
      <c r="H832" s="2" t="s">
        <v>5681</v>
      </c>
      <c r="I832" s="2" t="s">
        <v>5682</v>
      </c>
      <c r="J832" t="s">
        <v>5683</v>
      </c>
      <c r="L832" s="1">
        <v>2</v>
      </c>
      <c r="M832" s="1"/>
      <c r="N832" s="1"/>
      <c r="O832" s="3"/>
    </row>
    <row r="833" spans="1:15" ht="409.6">
      <c r="A833" t="s">
        <v>5684</v>
      </c>
      <c r="B833" t="s">
        <v>5685</v>
      </c>
      <c r="C833" t="s">
        <v>4154</v>
      </c>
      <c r="D833" t="s">
        <v>23</v>
      </c>
      <c r="E833">
        <v>30</v>
      </c>
      <c r="F833" s="2" t="s">
        <v>5686</v>
      </c>
      <c r="G833" s="2" t="s">
        <v>5687</v>
      </c>
      <c r="H833" s="2" t="s">
        <v>5688</v>
      </c>
      <c r="I833" s="2" t="s">
        <v>5689</v>
      </c>
      <c r="J833" t="s">
        <v>5690</v>
      </c>
      <c r="L833" s="1">
        <v>2</v>
      </c>
      <c r="M833" s="1"/>
      <c r="N833" s="1"/>
      <c r="O833" s="3"/>
    </row>
    <row r="834" spans="1:15" ht="409.6">
      <c r="A834" t="s">
        <v>5691</v>
      </c>
      <c r="B834" t="s">
        <v>5692</v>
      </c>
      <c r="C834" t="s">
        <v>4061</v>
      </c>
      <c r="D834" t="s">
        <v>23</v>
      </c>
      <c r="E834">
        <v>20</v>
      </c>
      <c r="F834" s="2" t="s">
        <v>5693</v>
      </c>
      <c r="G834" s="2" t="s">
        <v>5694</v>
      </c>
      <c r="H834" s="2" t="s">
        <v>5695</v>
      </c>
      <c r="I834" s="2" t="s">
        <v>5696</v>
      </c>
      <c r="J834" t="s">
        <v>5697</v>
      </c>
      <c r="L834" s="1">
        <v>2</v>
      </c>
      <c r="M834" s="1"/>
      <c r="N834" s="1"/>
      <c r="O834" s="3"/>
    </row>
    <row r="835" spans="1:15" ht="409.6">
      <c r="A835" t="s">
        <v>2567</v>
      </c>
      <c r="B835" t="s">
        <v>2568</v>
      </c>
      <c r="C835" t="s">
        <v>4043</v>
      </c>
      <c r="D835" t="s">
        <v>14</v>
      </c>
      <c r="E835">
        <v>15</v>
      </c>
      <c r="F835" s="2" t="s">
        <v>5698</v>
      </c>
      <c r="G835" s="2" t="s">
        <v>5699</v>
      </c>
      <c r="H835" s="2" t="s">
        <v>5700</v>
      </c>
      <c r="I835" s="2" t="s">
        <v>5701</v>
      </c>
      <c r="J835" t="s">
        <v>5702</v>
      </c>
      <c r="L835" s="1">
        <v>2</v>
      </c>
      <c r="M835" s="1"/>
      <c r="N835" s="1"/>
      <c r="O835" s="3"/>
    </row>
    <row r="836" spans="1:15" ht="409.6">
      <c r="A836" t="s">
        <v>1060</v>
      </c>
      <c r="B836" t="s">
        <v>5703</v>
      </c>
      <c r="C836" t="s">
        <v>4181</v>
      </c>
      <c r="D836" t="s">
        <v>23</v>
      </c>
      <c r="E836">
        <v>15</v>
      </c>
      <c r="F836" s="2" t="s">
        <v>5704</v>
      </c>
      <c r="G836" s="2" t="s">
        <v>5705</v>
      </c>
      <c r="H836" s="2" t="s">
        <v>5706</v>
      </c>
      <c r="I836" s="2" t="s">
        <v>5707</v>
      </c>
      <c r="J836" t="s">
        <v>5708</v>
      </c>
      <c r="L836" s="1">
        <v>2</v>
      </c>
      <c r="M836" s="1"/>
      <c r="N836" s="1"/>
      <c r="O836" s="3"/>
    </row>
    <row r="837" spans="1:15" ht="409.6">
      <c r="A837" t="s">
        <v>5709</v>
      </c>
      <c r="B837" s="2" t="s">
        <v>5710</v>
      </c>
      <c r="C837" t="s">
        <v>4043</v>
      </c>
      <c r="D837" t="s">
        <v>23</v>
      </c>
      <c r="E837">
        <v>30</v>
      </c>
      <c r="F837" s="2" t="s">
        <v>5711</v>
      </c>
      <c r="G837" s="2" t="s">
        <v>5712</v>
      </c>
      <c r="H837" s="2" t="s">
        <v>5713</v>
      </c>
      <c r="I837" s="2" t="s">
        <v>5714</v>
      </c>
      <c r="J837" t="s">
        <v>5715</v>
      </c>
      <c r="L837" s="1">
        <v>2</v>
      </c>
      <c r="M837" s="1"/>
      <c r="N837" s="1"/>
      <c r="O837" s="3"/>
    </row>
    <row r="838" spans="1:15" ht="409.6">
      <c r="A838" t="s">
        <v>5716</v>
      </c>
      <c r="B838" t="s">
        <v>5717</v>
      </c>
      <c r="C838" t="s">
        <v>4043</v>
      </c>
      <c r="D838" t="s">
        <v>23</v>
      </c>
      <c r="E838">
        <v>20</v>
      </c>
      <c r="F838" s="2" t="s">
        <v>5718</v>
      </c>
      <c r="G838" s="2" t="s">
        <v>5719</v>
      </c>
      <c r="H838" s="2" t="s">
        <v>5720</v>
      </c>
      <c r="I838" s="2" t="s">
        <v>5721</v>
      </c>
      <c r="J838" t="s">
        <v>5722</v>
      </c>
      <c r="L838" s="1">
        <v>2</v>
      </c>
      <c r="M838" s="1"/>
      <c r="N838" s="1"/>
      <c r="O838" s="3"/>
    </row>
    <row r="839" spans="1:15" ht="409.6">
      <c r="A839" t="s">
        <v>3923</v>
      </c>
      <c r="B839" t="s">
        <v>3924</v>
      </c>
      <c r="C839" t="s">
        <v>4052</v>
      </c>
      <c r="D839" t="s">
        <v>23</v>
      </c>
      <c r="E839">
        <v>5</v>
      </c>
      <c r="F839" s="2" t="s">
        <v>5723</v>
      </c>
      <c r="G839" s="2" t="s">
        <v>5724</v>
      </c>
      <c r="H839" s="2" t="s">
        <v>3927</v>
      </c>
      <c r="I839" s="2" t="s">
        <v>3928</v>
      </c>
      <c r="J839" t="s">
        <v>5725</v>
      </c>
      <c r="L839" s="1">
        <v>2</v>
      </c>
      <c r="M839" s="1"/>
      <c r="N839" s="1"/>
      <c r="O839" s="3"/>
    </row>
    <row r="840" spans="1:15" ht="409.6">
      <c r="A840" t="s">
        <v>5726</v>
      </c>
      <c r="B840" t="s">
        <v>5727</v>
      </c>
      <c r="C840" t="s">
        <v>4043</v>
      </c>
      <c r="D840" t="s">
        <v>23</v>
      </c>
      <c r="E840">
        <v>10</v>
      </c>
      <c r="F840" s="2" t="s">
        <v>5728</v>
      </c>
      <c r="G840" s="2" t="s">
        <v>5729</v>
      </c>
      <c r="H840" s="2" t="s">
        <v>5730</v>
      </c>
      <c r="I840" s="2" t="s">
        <v>5731</v>
      </c>
      <c r="J840" t="s">
        <v>5732</v>
      </c>
      <c r="L840" s="1">
        <v>2</v>
      </c>
      <c r="M840" s="1"/>
      <c r="N840" s="1"/>
      <c r="O840" s="3"/>
    </row>
    <row r="841" spans="1:15" ht="409.6">
      <c r="A841" t="s">
        <v>5733</v>
      </c>
      <c r="B841" t="s">
        <v>5734</v>
      </c>
      <c r="C841" t="s">
        <v>4154</v>
      </c>
      <c r="D841" t="s">
        <v>23</v>
      </c>
      <c r="E841">
        <v>10</v>
      </c>
      <c r="F841" s="2" t="s">
        <v>5735</v>
      </c>
      <c r="G841" s="2" t="s">
        <v>5736</v>
      </c>
      <c r="H841" s="2" t="s">
        <v>5737</v>
      </c>
      <c r="I841" s="2" t="s">
        <v>5738</v>
      </c>
      <c r="J841" t="s">
        <v>5739</v>
      </c>
      <c r="L841" s="1">
        <v>2</v>
      </c>
      <c r="M841" s="1"/>
      <c r="N841" s="1"/>
      <c r="O841" s="3"/>
    </row>
    <row r="842" spans="1:15" ht="409.6">
      <c r="A842" t="s">
        <v>3937</v>
      </c>
      <c r="B842" s="2" t="s">
        <v>5740</v>
      </c>
      <c r="C842" t="s">
        <v>52</v>
      </c>
      <c r="D842" t="s">
        <v>23</v>
      </c>
      <c r="E842">
        <v>5</v>
      </c>
      <c r="F842" s="2" t="s">
        <v>5741</v>
      </c>
      <c r="G842" s="2" t="s">
        <v>5742</v>
      </c>
      <c r="H842" s="2" t="s">
        <v>5743</v>
      </c>
      <c r="I842" s="2" t="s">
        <v>5744</v>
      </c>
      <c r="J842" t="s">
        <v>5745</v>
      </c>
      <c r="L842" s="1">
        <v>2</v>
      </c>
      <c r="M842" s="1"/>
      <c r="N842" s="1"/>
      <c r="O842" s="3"/>
    </row>
    <row r="843" spans="1:15" ht="409.6">
      <c r="A843" t="s">
        <v>3944</v>
      </c>
      <c r="B843" t="s">
        <v>3945</v>
      </c>
      <c r="C843" t="s">
        <v>4154</v>
      </c>
      <c r="D843" t="s">
        <v>23</v>
      </c>
      <c r="E843">
        <v>5</v>
      </c>
      <c r="F843" s="2" t="s">
        <v>5746</v>
      </c>
      <c r="G843" s="2" t="s">
        <v>5747</v>
      </c>
      <c r="H843" s="2" t="s">
        <v>5748</v>
      </c>
      <c r="I843" s="2" t="s">
        <v>5749</v>
      </c>
      <c r="J843" t="s">
        <v>5750</v>
      </c>
      <c r="L843" s="1">
        <v>2</v>
      </c>
      <c r="M843" s="1"/>
      <c r="N843" s="1"/>
      <c r="O843" s="3"/>
    </row>
    <row r="844" spans="1:15" ht="409.6">
      <c r="A844" t="s">
        <v>5751</v>
      </c>
      <c r="B844" t="s">
        <v>5752</v>
      </c>
      <c r="C844" t="s">
        <v>4043</v>
      </c>
      <c r="D844" t="s">
        <v>23</v>
      </c>
      <c r="E844">
        <v>20</v>
      </c>
      <c r="F844" s="2" t="s">
        <v>5753</v>
      </c>
      <c r="G844" s="2" t="s">
        <v>5754</v>
      </c>
      <c r="H844" s="2" t="s">
        <v>5755</v>
      </c>
      <c r="I844" s="2" t="s">
        <v>5756</v>
      </c>
      <c r="J844" t="s">
        <v>5757</v>
      </c>
      <c r="L844" s="1">
        <v>2</v>
      </c>
      <c r="M844" s="1"/>
      <c r="N844" s="1"/>
      <c r="O844" s="3"/>
    </row>
    <row r="845" spans="1:15" ht="409.6">
      <c r="A845" t="s">
        <v>3951</v>
      </c>
      <c r="B845" t="s">
        <v>3952</v>
      </c>
      <c r="C845" t="s">
        <v>52</v>
      </c>
      <c r="D845" t="s">
        <v>23</v>
      </c>
      <c r="E845">
        <v>5</v>
      </c>
      <c r="F845" s="2" t="s">
        <v>5758</v>
      </c>
      <c r="G845" s="2" t="s">
        <v>5759</v>
      </c>
      <c r="H845" s="2" t="s">
        <v>3955</v>
      </c>
      <c r="I845" s="2" t="s">
        <v>3956</v>
      </c>
      <c r="J845" t="s">
        <v>5760</v>
      </c>
      <c r="L845" s="1">
        <v>2</v>
      </c>
      <c r="M845" s="1"/>
      <c r="N845" s="1"/>
      <c r="O845" s="3"/>
    </row>
    <row r="846" spans="1:15" ht="409.6">
      <c r="A846" t="s">
        <v>5606</v>
      </c>
      <c r="B846" s="2" t="s">
        <v>5761</v>
      </c>
      <c r="C846" t="s">
        <v>4043</v>
      </c>
      <c r="D846" t="s">
        <v>23</v>
      </c>
      <c r="E846">
        <v>30</v>
      </c>
      <c r="F846" s="2" t="s">
        <v>5762</v>
      </c>
      <c r="G846" s="2" t="s">
        <v>5763</v>
      </c>
      <c r="H846" s="2" t="s">
        <v>5764</v>
      </c>
      <c r="I846" s="2" t="s">
        <v>5765</v>
      </c>
      <c r="J846" t="s">
        <v>5612</v>
      </c>
      <c r="L846" s="1">
        <v>2</v>
      </c>
      <c r="M846" s="1"/>
      <c r="N846" s="1"/>
      <c r="O846" s="3"/>
    </row>
    <row r="847" spans="1:15" ht="409.6">
      <c r="A847" t="s">
        <v>5766</v>
      </c>
      <c r="B847" t="s">
        <v>5767</v>
      </c>
      <c r="C847" t="s">
        <v>4043</v>
      </c>
      <c r="D847" t="s">
        <v>23</v>
      </c>
      <c r="E847">
        <v>10</v>
      </c>
      <c r="F847" s="2" t="s">
        <v>5768</v>
      </c>
      <c r="G847" s="2" t="s">
        <v>5769</v>
      </c>
      <c r="H847" s="2" t="s">
        <v>5770</v>
      </c>
      <c r="I847" s="2" t="s">
        <v>5771</v>
      </c>
      <c r="J847" t="s">
        <v>5772</v>
      </c>
      <c r="L847" s="1">
        <v>2</v>
      </c>
      <c r="M847" s="1"/>
      <c r="N847" s="1"/>
      <c r="O847" s="3"/>
    </row>
    <row r="848" spans="1:15" ht="409.6">
      <c r="A848" t="s">
        <v>5773</v>
      </c>
      <c r="B848" t="s">
        <v>5774</v>
      </c>
      <c r="C848" t="s">
        <v>4043</v>
      </c>
      <c r="D848" t="s">
        <v>23</v>
      </c>
      <c r="E848">
        <v>35</v>
      </c>
      <c r="F848" s="2" t="s">
        <v>5775</v>
      </c>
      <c r="G848" s="2" t="s">
        <v>5776</v>
      </c>
      <c r="H848" s="2" t="s">
        <v>5777</v>
      </c>
      <c r="I848" s="2" t="s">
        <v>5778</v>
      </c>
      <c r="J848" t="s">
        <v>5779</v>
      </c>
      <c r="L848" s="1">
        <v>2</v>
      </c>
      <c r="M848" s="1"/>
      <c r="N848" s="1"/>
      <c r="O848" s="3"/>
    </row>
    <row r="849" spans="1:15" ht="409.6">
      <c r="A849" t="s">
        <v>5780</v>
      </c>
      <c r="B849" t="s">
        <v>5781</v>
      </c>
      <c r="C849" t="s">
        <v>4061</v>
      </c>
      <c r="D849" t="s">
        <v>23</v>
      </c>
      <c r="E849">
        <v>20</v>
      </c>
      <c r="F849" s="2" t="s">
        <v>5782</v>
      </c>
      <c r="G849" s="2" t="s">
        <v>5783</v>
      </c>
      <c r="H849" s="2" t="s">
        <v>5784</v>
      </c>
      <c r="I849" s="2" t="s">
        <v>5785</v>
      </c>
      <c r="J849" t="s">
        <v>5786</v>
      </c>
      <c r="K849" t="s">
        <v>5787</v>
      </c>
      <c r="L849" s="1">
        <v>2</v>
      </c>
      <c r="M849" s="1"/>
      <c r="N849" s="1"/>
      <c r="O849" s="3"/>
    </row>
    <row r="850" spans="1:15" ht="409.6">
      <c r="A850" t="s">
        <v>5788</v>
      </c>
      <c r="B850" t="s">
        <v>2412</v>
      </c>
      <c r="C850" t="s">
        <v>4043</v>
      </c>
      <c r="D850" t="s">
        <v>23</v>
      </c>
      <c r="E850">
        <v>20</v>
      </c>
      <c r="F850" s="2" t="s">
        <v>5789</v>
      </c>
      <c r="G850" s="2" t="s">
        <v>5790</v>
      </c>
      <c r="H850" s="2" t="s">
        <v>5791</v>
      </c>
      <c r="I850" s="2" t="s">
        <v>5792</v>
      </c>
      <c r="J850" t="s">
        <v>5793</v>
      </c>
      <c r="L850" s="1">
        <v>2</v>
      </c>
      <c r="M850" s="1"/>
      <c r="N850" s="1"/>
      <c r="O850" s="3"/>
    </row>
    <row r="851" spans="1:15" ht="409.6">
      <c r="A851" t="s">
        <v>5794</v>
      </c>
      <c r="B851" t="s">
        <v>5795</v>
      </c>
      <c r="C851" t="s">
        <v>4043</v>
      </c>
      <c r="D851" t="s">
        <v>23</v>
      </c>
      <c r="E851">
        <v>20</v>
      </c>
      <c r="F851" s="2" t="s">
        <v>5796</v>
      </c>
      <c r="G851" s="2" t="s">
        <v>5797</v>
      </c>
      <c r="H851" s="2" t="s">
        <v>5798</v>
      </c>
      <c r="I851" s="2" t="s">
        <v>5799</v>
      </c>
      <c r="J851" t="s">
        <v>5800</v>
      </c>
      <c r="L851" s="1">
        <v>2</v>
      </c>
      <c r="M851" s="1"/>
      <c r="N851" s="1"/>
      <c r="O851" s="3"/>
    </row>
    <row r="852" spans="1:15" ht="409.6">
      <c r="A852" t="s">
        <v>5801</v>
      </c>
      <c r="B852" s="2" t="s">
        <v>5802</v>
      </c>
      <c r="C852" t="s">
        <v>4043</v>
      </c>
      <c r="D852" t="s">
        <v>23</v>
      </c>
      <c r="E852">
        <v>20</v>
      </c>
      <c r="F852" s="2" t="s">
        <v>5803</v>
      </c>
      <c r="G852" s="2" t="s">
        <v>5804</v>
      </c>
      <c r="H852" s="2" t="s">
        <v>5805</v>
      </c>
      <c r="I852" s="2" t="s">
        <v>5806</v>
      </c>
      <c r="J852" t="s">
        <v>5807</v>
      </c>
      <c r="L852" s="1">
        <v>2</v>
      </c>
      <c r="M852" s="1"/>
      <c r="N852" s="1"/>
      <c r="O852" s="3"/>
    </row>
    <row r="853" spans="1:15" ht="409.6">
      <c r="A853" t="s">
        <v>5808</v>
      </c>
      <c r="B853" t="s">
        <v>5809</v>
      </c>
      <c r="C853" t="s">
        <v>4181</v>
      </c>
      <c r="D853" t="s">
        <v>23</v>
      </c>
      <c r="E853">
        <v>10</v>
      </c>
      <c r="F853" s="2" t="s">
        <v>5810</v>
      </c>
      <c r="G853" s="2" t="s">
        <v>5811</v>
      </c>
      <c r="H853" s="2" t="s">
        <v>5812</v>
      </c>
      <c r="I853" s="2" t="s">
        <v>5813</v>
      </c>
      <c r="J853" t="s">
        <v>5814</v>
      </c>
      <c r="L853" s="1">
        <v>2</v>
      </c>
      <c r="M853" s="1"/>
      <c r="N853" s="1"/>
      <c r="O853" s="3"/>
    </row>
    <row r="854" spans="1:15" ht="409.6">
      <c r="A854" t="s">
        <v>5815</v>
      </c>
      <c r="B854" t="s">
        <v>5816</v>
      </c>
      <c r="C854" t="s">
        <v>4052</v>
      </c>
      <c r="D854" t="s">
        <v>23</v>
      </c>
      <c r="E854">
        <v>20</v>
      </c>
      <c r="F854" s="2" t="s">
        <v>5817</v>
      </c>
      <c r="G854" s="2" t="s">
        <v>5818</v>
      </c>
      <c r="H854" s="2" t="s">
        <v>5819</v>
      </c>
      <c r="I854" s="2" t="s">
        <v>5820</v>
      </c>
      <c r="J854" t="s">
        <v>5821</v>
      </c>
      <c r="L854" s="1">
        <v>2</v>
      </c>
      <c r="M854" s="1"/>
      <c r="N854" s="1"/>
      <c r="O854" s="3"/>
    </row>
    <row r="855" spans="1:15" ht="409.6">
      <c r="A855" t="s">
        <v>5822</v>
      </c>
      <c r="B855" t="s">
        <v>5823</v>
      </c>
      <c r="C855" t="s">
        <v>4043</v>
      </c>
      <c r="D855" t="s">
        <v>23</v>
      </c>
      <c r="E855">
        <v>30</v>
      </c>
      <c r="F855" s="2" t="s">
        <v>5824</v>
      </c>
      <c r="G855" s="2" t="s">
        <v>5825</v>
      </c>
      <c r="H855" s="2" t="s">
        <v>5826</v>
      </c>
      <c r="I855" s="2" t="s">
        <v>5827</v>
      </c>
      <c r="J855" t="s">
        <v>5828</v>
      </c>
      <c r="L855" s="1">
        <v>2</v>
      </c>
      <c r="M855" s="1"/>
      <c r="N855" s="1"/>
      <c r="O855" s="3"/>
    </row>
    <row r="856" spans="1:15" ht="409.6">
      <c r="A856" t="s">
        <v>3958</v>
      </c>
      <c r="B856" t="s">
        <v>3959</v>
      </c>
      <c r="C856" t="s">
        <v>52</v>
      </c>
      <c r="D856" t="s">
        <v>23</v>
      </c>
      <c r="E856">
        <v>10</v>
      </c>
      <c r="F856" s="2" t="s">
        <v>5829</v>
      </c>
      <c r="G856" s="2" t="s">
        <v>5830</v>
      </c>
      <c r="H856" s="2" t="s">
        <v>3962</v>
      </c>
      <c r="I856" s="2" t="s">
        <v>3963</v>
      </c>
      <c r="J856" t="s">
        <v>5831</v>
      </c>
      <c r="L856" s="1">
        <v>2</v>
      </c>
      <c r="M856" s="1"/>
      <c r="N856" s="1"/>
      <c r="O856" s="3"/>
    </row>
    <row r="857" spans="1:15" ht="409.6">
      <c r="A857" t="s">
        <v>5832</v>
      </c>
      <c r="B857" t="s">
        <v>5833</v>
      </c>
      <c r="C857" t="s">
        <v>4052</v>
      </c>
      <c r="D857" t="s">
        <v>23</v>
      </c>
      <c r="E857">
        <v>30</v>
      </c>
      <c r="F857" s="2" t="s">
        <v>5834</v>
      </c>
      <c r="G857" s="2" t="s">
        <v>5835</v>
      </c>
      <c r="H857" s="2" t="s">
        <v>5836</v>
      </c>
      <c r="I857" s="2" t="s">
        <v>5837</v>
      </c>
      <c r="J857" t="s">
        <v>5838</v>
      </c>
      <c r="L857" s="1">
        <v>2</v>
      </c>
      <c r="M857" s="1"/>
      <c r="N857" s="1"/>
      <c r="O857" s="3"/>
    </row>
    <row r="858" spans="1:15" ht="409.6">
      <c r="A858" t="s">
        <v>5839</v>
      </c>
      <c r="B858" t="s">
        <v>5840</v>
      </c>
      <c r="C858" t="s">
        <v>4043</v>
      </c>
      <c r="D858" t="s">
        <v>23</v>
      </c>
      <c r="E858">
        <v>10</v>
      </c>
      <c r="F858" s="2" t="s">
        <v>5841</v>
      </c>
      <c r="G858" s="2" t="s">
        <v>5842</v>
      </c>
      <c r="H858" s="2" t="s">
        <v>5843</v>
      </c>
      <c r="I858" s="2" t="s">
        <v>5844</v>
      </c>
      <c r="J858" t="s">
        <v>5845</v>
      </c>
      <c r="L858" s="1">
        <v>2</v>
      </c>
      <c r="M858" s="1"/>
      <c r="N858" s="1"/>
      <c r="O858" s="3"/>
    </row>
    <row r="859" spans="1:15" ht="409.6">
      <c r="A859" t="s">
        <v>5846</v>
      </c>
      <c r="B859" t="s">
        <v>5847</v>
      </c>
      <c r="C859" t="s">
        <v>4043</v>
      </c>
      <c r="D859" t="s">
        <v>23</v>
      </c>
      <c r="E859">
        <v>10</v>
      </c>
      <c r="F859" s="2" t="s">
        <v>5848</v>
      </c>
      <c r="G859" s="2" t="s">
        <v>5849</v>
      </c>
      <c r="H859" s="2" t="s">
        <v>5850</v>
      </c>
      <c r="I859" s="2" t="s">
        <v>5851</v>
      </c>
      <c r="J859" t="s">
        <v>5852</v>
      </c>
      <c r="L859" s="1">
        <v>2</v>
      </c>
      <c r="M859" s="1"/>
      <c r="N859" s="1"/>
      <c r="O859" s="3"/>
    </row>
    <row r="860" spans="1:15" ht="409.6">
      <c r="A860" t="s">
        <v>5853</v>
      </c>
      <c r="B860" t="s">
        <v>5854</v>
      </c>
      <c r="C860" t="s">
        <v>4043</v>
      </c>
      <c r="D860" t="s">
        <v>23</v>
      </c>
      <c r="E860">
        <v>10</v>
      </c>
      <c r="F860" s="2" t="s">
        <v>5855</v>
      </c>
      <c r="G860" s="2" t="s">
        <v>5856</v>
      </c>
      <c r="H860" s="2" t="s">
        <v>5857</v>
      </c>
      <c r="I860" s="2" t="s">
        <v>5858</v>
      </c>
      <c r="J860" t="s">
        <v>5859</v>
      </c>
      <c r="L860" s="1">
        <v>2</v>
      </c>
      <c r="M860" s="1"/>
      <c r="N860" s="1"/>
      <c r="O860" s="3"/>
    </row>
    <row r="861" spans="1:15" ht="409.6">
      <c r="A861" t="s">
        <v>5860</v>
      </c>
      <c r="B861" s="2" t="s">
        <v>5861</v>
      </c>
      <c r="C861" t="s">
        <v>4043</v>
      </c>
      <c r="D861" t="s">
        <v>23</v>
      </c>
      <c r="E861">
        <v>10</v>
      </c>
      <c r="F861" s="2" t="s">
        <v>5862</v>
      </c>
      <c r="G861" s="2" t="s">
        <v>5863</v>
      </c>
      <c r="H861" s="2" t="s">
        <v>5864</v>
      </c>
      <c r="I861" s="2" t="s">
        <v>5865</v>
      </c>
      <c r="J861" t="s">
        <v>5866</v>
      </c>
      <c r="L861" s="1">
        <v>2</v>
      </c>
      <c r="M861" s="1"/>
      <c r="N861" s="1"/>
      <c r="O861" s="3"/>
    </row>
    <row r="862" spans="1:15" ht="409.6">
      <c r="A862" t="s">
        <v>5867</v>
      </c>
      <c r="B862" t="s">
        <v>5868</v>
      </c>
      <c r="C862" t="s">
        <v>4043</v>
      </c>
      <c r="D862" t="s">
        <v>23</v>
      </c>
      <c r="E862">
        <v>10</v>
      </c>
      <c r="F862" s="2" t="s">
        <v>5869</v>
      </c>
      <c r="G862" s="2" t="s">
        <v>5870</v>
      </c>
      <c r="H862" s="2" t="s">
        <v>5871</v>
      </c>
      <c r="I862" s="2" t="s">
        <v>5872</v>
      </c>
      <c r="J862" t="s">
        <v>5873</v>
      </c>
      <c r="L862" s="1">
        <v>2</v>
      </c>
      <c r="M862" s="1"/>
      <c r="N862" s="1"/>
      <c r="O862" s="3"/>
    </row>
    <row r="863" spans="1:15" ht="409.6">
      <c r="A863" t="s">
        <v>5874</v>
      </c>
      <c r="B863" t="s">
        <v>5875</v>
      </c>
      <c r="C863" t="s">
        <v>4043</v>
      </c>
      <c r="D863" t="s">
        <v>23</v>
      </c>
      <c r="E863">
        <v>10</v>
      </c>
      <c r="F863" s="2" t="s">
        <v>5876</v>
      </c>
      <c r="G863" s="2" t="s">
        <v>5877</v>
      </c>
      <c r="H863" s="2" t="s">
        <v>5878</v>
      </c>
      <c r="I863" s="2" t="s">
        <v>5879</v>
      </c>
      <c r="J863" t="s">
        <v>5880</v>
      </c>
      <c r="L863" s="1">
        <v>2</v>
      </c>
      <c r="M863" s="1"/>
      <c r="N863" s="1"/>
      <c r="O863" s="3"/>
    </row>
    <row r="864" spans="1:15" ht="409.6">
      <c r="A864" t="s">
        <v>5881</v>
      </c>
      <c r="B864" t="s">
        <v>5882</v>
      </c>
      <c r="C864" t="s">
        <v>4043</v>
      </c>
      <c r="D864" t="s">
        <v>23</v>
      </c>
      <c r="E864">
        <v>10</v>
      </c>
      <c r="F864" s="2" t="s">
        <v>5883</v>
      </c>
      <c r="G864" s="2" t="s">
        <v>5884</v>
      </c>
      <c r="H864" s="2" t="s">
        <v>5885</v>
      </c>
      <c r="I864" s="2" t="s">
        <v>5886</v>
      </c>
      <c r="J864" t="s">
        <v>5887</v>
      </c>
      <c r="L864" s="1">
        <v>2</v>
      </c>
      <c r="M864" s="1"/>
      <c r="N864" s="1"/>
      <c r="O864" s="3"/>
    </row>
    <row r="865" spans="1:15" ht="409.6">
      <c r="A865" t="s">
        <v>5888</v>
      </c>
      <c r="B865" s="2" t="s">
        <v>5889</v>
      </c>
      <c r="C865" t="s">
        <v>4043</v>
      </c>
      <c r="D865" t="s">
        <v>23</v>
      </c>
      <c r="E865">
        <v>10</v>
      </c>
      <c r="F865" s="2" t="s">
        <v>5890</v>
      </c>
      <c r="G865" s="2" t="s">
        <v>5891</v>
      </c>
      <c r="H865" s="2" t="s">
        <v>5892</v>
      </c>
      <c r="I865" s="2" t="s">
        <v>5893</v>
      </c>
      <c r="J865" t="s">
        <v>5894</v>
      </c>
      <c r="L865" s="1">
        <v>2</v>
      </c>
      <c r="M865" s="1"/>
      <c r="N865" s="1"/>
      <c r="O865" s="3"/>
    </row>
    <row r="866" spans="1:15" ht="409.6">
      <c r="A866" t="s">
        <v>2189</v>
      </c>
      <c r="B866" t="s">
        <v>3965</v>
      </c>
      <c r="C866" t="s">
        <v>52</v>
      </c>
      <c r="D866" t="s">
        <v>23</v>
      </c>
      <c r="E866">
        <v>10</v>
      </c>
      <c r="F866" s="2" t="s">
        <v>5895</v>
      </c>
      <c r="G866" s="2" t="s">
        <v>5896</v>
      </c>
      <c r="H866" s="2" t="s">
        <v>3968</v>
      </c>
      <c r="I866" s="2" t="s">
        <v>5897</v>
      </c>
      <c r="J866" t="s">
        <v>5898</v>
      </c>
      <c r="L866" s="1">
        <v>2</v>
      </c>
      <c r="M866" s="1"/>
      <c r="N866" s="1"/>
      <c r="O866" s="3"/>
    </row>
    <row r="867" spans="1:15" ht="409.6">
      <c r="A867" t="s">
        <v>5899</v>
      </c>
      <c r="B867" t="s">
        <v>5900</v>
      </c>
      <c r="C867" t="s">
        <v>4043</v>
      </c>
      <c r="D867" t="s">
        <v>23</v>
      </c>
      <c r="E867">
        <v>20</v>
      </c>
      <c r="F867" s="2" t="s">
        <v>5901</v>
      </c>
      <c r="G867" s="2" t="s">
        <v>5902</v>
      </c>
      <c r="H867" s="2" t="s">
        <v>5903</v>
      </c>
      <c r="I867" s="2" t="s">
        <v>5904</v>
      </c>
      <c r="J867" t="s">
        <v>5905</v>
      </c>
      <c r="L867" s="1">
        <v>2</v>
      </c>
      <c r="M867" s="1"/>
      <c r="N867" s="1"/>
      <c r="O867" s="3"/>
    </row>
    <row r="868" spans="1:15" ht="409.6">
      <c r="A868" t="s">
        <v>5906</v>
      </c>
      <c r="B868" t="s">
        <v>5907</v>
      </c>
      <c r="C868" t="s">
        <v>4043</v>
      </c>
      <c r="D868" t="s">
        <v>23</v>
      </c>
      <c r="E868">
        <v>20</v>
      </c>
      <c r="F868" s="2" t="s">
        <v>5908</v>
      </c>
      <c r="G868" s="2" t="s">
        <v>5909</v>
      </c>
      <c r="H868" s="2" t="s">
        <v>5910</v>
      </c>
      <c r="I868" s="2" t="s">
        <v>5911</v>
      </c>
      <c r="J868" t="s">
        <v>5912</v>
      </c>
      <c r="L868" s="1">
        <v>2</v>
      </c>
      <c r="M868" s="1"/>
      <c r="N868" s="1"/>
      <c r="O868" s="3"/>
    </row>
    <row r="869" spans="1:15" ht="409.6">
      <c r="A869" t="s">
        <v>5913</v>
      </c>
      <c r="B869" t="s">
        <v>5914</v>
      </c>
      <c r="C869" t="s">
        <v>4043</v>
      </c>
      <c r="D869" t="s">
        <v>23</v>
      </c>
      <c r="E869">
        <v>20</v>
      </c>
      <c r="F869" s="2" t="s">
        <v>5915</v>
      </c>
      <c r="G869" s="2" t="s">
        <v>5916</v>
      </c>
      <c r="H869" s="2" t="s">
        <v>5917</v>
      </c>
      <c r="I869" s="2" t="s">
        <v>5918</v>
      </c>
      <c r="J869" t="s">
        <v>5919</v>
      </c>
      <c r="L869" s="1">
        <v>2</v>
      </c>
      <c r="M869" s="1"/>
      <c r="N869" s="1"/>
      <c r="O869" s="3"/>
    </row>
    <row r="870" spans="1:15" ht="409.6">
      <c r="A870" t="s">
        <v>5920</v>
      </c>
      <c r="B870" t="s">
        <v>5921</v>
      </c>
      <c r="C870" t="s">
        <v>4043</v>
      </c>
      <c r="D870" t="s">
        <v>23</v>
      </c>
      <c r="E870">
        <v>15</v>
      </c>
      <c r="F870" s="2" t="s">
        <v>5922</v>
      </c>
      <c r="G870" s="2" t="s">
        <v>5923</v>
      </c>
      <c r="H870" s="2" t="s">
        <v>5924</v>
      </c>
      <c r="I870" s="2" t="s">
        <v>5925</v>
      </c>
      <c r="J870" t="s">
        <v>5926</v>
      </c>
      <c r="L870" s="1">
        <v>2</v>
      </c>
      <c r="M870" s="1"/>
      <c r="N870" s="1"/>
      <c r="O870" s="3"/>
    </row>
    <row r="871" spans="1:15" ht="409.6">
      <c r="A871" t="s">
        <v>5927</v>
      </c>
      <c r="B871" t="s">
        <v>5928</v>
      </c>
      <c r="C871" t="s">
        <v>4043</v>
      </c>
      <c r="D871" t="s">
        <v>23</v>
      </c>
      <c r="E871">
        <v>10</v>
      </c>
      <c r="F871" s="2" t="s">
        <v>5929</v>
      </c>
      <c r="G871" s="2" t="s">
        <v>5930</v>
      </c>
      <c r="H871" s="2" t="s">
        <v>5931</v>
      </c>
      <c r="I871" s="2" t="s">
        <v>5932</v>
      </c>
      <c r="J871" t="s">
        <v>5933</v>
      </c>
      <c r="L871" s="1">
        <v>2</v>
      </c>
      <c r="M871" s="1"/>
      <c r="N871" s="1"/>
      <c r="O871" s="3"/>
    </row>
    <row r="872" spans="1:15" ht="409.6">
      <c r="A872" t="s">
        <v>5934</v>
      </c>
      <c r="B872" t="s">
        <v>5935</v>
      </c>
      <c r="C872" t="s">
        <v>4043</v>
      </c>
      <c r="D872" t="s">
        <v>23</v>
      </c>
      <c r="E872">
        <v>20</v>
      </c>
      <c r="F872" s="2" t="s">
        <v>5936</v>
      </c>
      <c r="G872" s="2" t="s">
        <v>5937</v>
      </c>
      <c r="H872" s="2" t="s">
        <v>5938</v>
      </c>
      <c r="I872" s="2" t="s">
        <v>5939</v>
      </c>
      <c r="J872" t="s">
        <v>5940</v>
      </c>
      <c r="L872" s="1">
        <v>2</v>
      </c>
      <c r="M872" s="1"/>
      <c r="N872" s="1"/>
      <c r="O872" s="3"/>
    </row>
    <row r="873" spans="1:15" ht="409.6">
      <c r="A873" t="s">
        <v>5941</v>
      </c>
      <c r="B873" t="s">
        <v>5942</v>
      </c>
      <c r="C873" t="s">
        <v>4052</v>
      </c>
      <c r="D873" t="s">
        <v>23</v>
      </c>
      <c r="E873">
        <v>15</v>
      </c>
      <c r="F873" s="2" t="s">
        <v>5943</v>
      </c>
      <c r="G873" s="2" t="s">
        <v>5944</v>
      </c>
      <c r="H873" s="2" t="s">
        <v>5945</v>
      </c>
      <c r="I873" s="2" t="s">
        <v>5946</v>
      </c>
      <c r="J873" t="s">
        <v>5947</v>
      </c>
      <c r="L873" s="1">
        <v>2</v>
      </c>
      <c r="M873" s="1"/>
      <c r="N873" s="1"/>
      <c r="O873" s="3"/>
    </row>
    <row r="874" spans="1:15" ht="409.6">
      <c r="A874" t="s">
        <v>5948</v>
      </c>
      <c r="B874" t="s">
        <v>5949</v>
      </c>
      <c r="C874" t="s">
        <v>4043</v>
      </c>
      <c r="D874" t="s">
        <v>23</v>
      </c>
      <c r="E874">
        <v>10</v>
      </c>
      <c r="F874" s="2" t="s">
        <v>5950</v>
      </c>
      <c r="G874" s="2" t="s">
        <v>5951</v>
      </c>
      <c r="H874" s="2" t="s">
        <v>5952</v>
      </c>
      <c r="I874" s="2" t="s">
        <v>5953</v>
      </c>
      <c r="J874" t="s">
        <v>5954</v>
      </c>
      <c r="L874" s="1">
        <v>2</v>
      </c>
      <c r="M874" s="1"/>
      <c r="N874" s="1"/>
      <c r="O874" s="3"/>
    </row>
    <row r="875" spans="1:15" ht="409.6">
      <c r="A875" t="s">
        <v>5955</v>
      </c>
      <c r="B875" t="s">
        <v>5956</v>
      </c>
      <c r="C875" t="s">
        <v>4043</v>
      </c>
      <c r="D875" t="s">
        <v>23</v>
      </c>
      <c r="E875">
        <v>10</v>
      </c>
      <c r="F875" s="2" t="s">
        <v>5957</v>
      </c>
      <c r="G875" s="2" t="s">
        <v>5958</v>
      </c>
      <c r="H875" s="2" t="s">
        <v>5959</v>
      </c>
      <c r="I875" s="2" t="s">
        <v>5960</v>
      </c>
      <c r="J875" t="s">
        <v>5961</v>
      </c>
      <c r="L875" s="1">
        <v>2</v>
      </c>
      <c r="M875" s="1"/>
      <c r="N875" s="1"/>
      <c r="O875" s="3"/>
    </row>
    <row r="876" spans="1:15" ht="409.6">
      <c r="A876" t="s">
        <v>5962</v>
      </c>
      <c r="B876" t="s">
        <v>5963</v>
      </c>
      <c r="C876" t="s">
        <v>4043</v>
      </c>
      <c r="D876" t="s">
        <v>23</v>
      </c>
      <c r="E876">
        <v>10</v>
      </c>
      <c r="F876" s="2" t="s">
        <v>5964</v>
      </c>
      <c r="G876" s="2" t="s">
        <v>5965</v>
      </c>
      <c r="H876" s="2" t="s">
        <v>5966</v>
      </c>
      <c r="I876" s="2" t="s">
        <v>5967</v>
      </c>
      <c r="J876" t="s">
        <v>5968</v>
      </c>
      <c r="L876" s="1">
        <v>2</v>
      </c>
      <c r="M876" s="1"/>
      <c r="N876" s="1"/>
      <c r="O876" s="3"/>
    </row>
    <row r="877" spans="1:15" ht="409.6">
      <c r="A877" t="s">
        <v>2922</v>
      </c>
      <c r="B877" t="s">
        <v>2923</v>
      </c>
      <c r="C877" t="s">
        <v>4043</v>
      </c>
      <c r="D877" t="s">
        <v>23</v>
      </c>
      <c r="E877">
        <v>25</v>
      </c>
      <c r="F877" s="2" t="s">
        <v>5969</v>
      </c>
      <c r="G877" s="2" t="s">
        <v>5970</v>
      </c>
      <c r="H877" s="2" t="s">
        <v>5971</v>
      </c>
      <c r="I877" s="2" t="s">
        <v>5972</v>
      </c>
      <c r="J877" t="s">
        <v>5973</v>
      </c>
      <c r="L877" s="1">
        <v>2</v>
      </c>
      <c r="M877" s="1"/>
      <c r="N877" s="1"/>
      <c r="O877" s="3"/>
    </row>
    <row r="878" spans="1:15" ht="409.6">
      <c r="A878" t="s">
        <v>5974</v>
      </c>
      <c r="B878" t="s">
        <v>5975</v>
      </c>
      <c r="C878" t="s">
        <v>4043</v>
      </c>
      <c r="D878" t="s">
        <v>23</v>
      </c>
      <c r="E878">
        <v>20</v>
      </c>
      <c r="F878" s="2" t="s">
        <v>5976</v>
      </c>
      <c r="G878" s="2" t="s">
        <v>5977</v>
      </c>
      <c r="H878" s="2" t="s">
        <v>5978</v>
      </c>
      <c r="I878" s="2" t="s">
        <v>5979</v>
      </c>
      <c r="J878" t="s">
        <v>5980</v>
      </c>
      <c r="L878" s="1">
        <v>2</v>
      </c>
      <c r="M878" s="1"/>
      <c r="N878" s="1"/>
      <c r="O878" s="3"/>
    </row>
    <row r="879" spans="1:15" ht="409.6">
      <c r="A879" t="s">
        <v>5981</v>
      </c>
      <c r="B879" t="s">
        <v>5982</v>
      </c>
      <c r="C879" t="s">
        <v>4043</v>
      </c>
      <c r="D879" t="s">
        <v>23</v>
      </c>
      <c r="E879">
        <v>15</v>
      </c>
      <c r="F879" s="2" t="s">
        <v>5983</v>
      </c>
      <c r="G879" s="2" t="s">
        <v>5984</v>
      </c>
      <c r="H879" s="2" t="s">
        <v>5985</v>
      </c>
      <c r="I879" s="2" t="s">
        <v>5986</v>
      </c>
      <c r="J879" t="s">
        <v>5987</v>
      </c>
      <c r="L879" s="1">
        <v>2</v>
      </c>
      <c r="M879" s="1"/>
      <c r="N879" s="1"/>
      <c r="O879" s="3"/>
    </row>
    <row r="880" spans="1:15" ht="409.6">
      <c r="A880" t="s">
        <v>5988</v>
      </c>
      <c r="B880" t="s">
        <v>5989</v>
      </c>
      <c r="C880" t="s">
        <v>4061</v>
      </c>
      <c r="D880" t="s">
        <v>23</v>
      </c>
      <c r="E880">
        <v>10</v>
      </c>
      <c r="F880" s="2" t="s">
        <v>5990</v>
      </c>
      <c r="G880" s="2" t="s">
        <v>5991</v>
      </c>
      <c r="H880" s="2" t="s">
        <v>5992</v>
      </c>
      <c r="I880" s="2" t="s">
        <v>5993</v>
      </c>
      <c r="J880" t="s">
        <v>5994</v>
      </c>
      <c r="L880" s="1">
        <v>2</v>
      </c>
      <c r="M880" s="1"/>
      <c r="N880" s="1"/>
      <c r="O880" s="3"/>
    </row>
    <row r="881" spans="1:15" ht="409.6">
      <c r="A881" t="s">
        <v>5995</v>
      </c>
      <c r="B881" t="s">
        <v>5996</v>
      </c>
      <c r="C881" t="s">
        <v>4043</v>
      </c>
      <c r="D881" t="s">
        <v>23</v>
      </c>
      <c r="E881">
        <v>10</v>
      </c>
      <c r="F881" s="2" t="s">
        <v>5997</v>
      </c>
      <c r="G881" s="2" t="s">
        <v>5998</v>
      </c>
      <c r="H881" s="2" t="s">
        <v>5999</v>
      </c>
      <c r="I881" s="2" t="s">
        <v>6000</v>
      </c>
      <c r="J881" t="s">
        <v>6001</v>
      </c>
      <c r="L881" s="1">
        <v>2</v>
      </c>
      <c r="M881" s="1"/>
      <c r="N881" s="1"/>
      <c r="O881" s="3"/>
    </row>
    <row r="882" spans="1:15" ht="409.6">
      <c r="A882" t="s">
        <v>6002</v>
      </c>
      <c r="B882" t="s">
        <v>6003</v>
      </c>
      <c r="C882" t="s">
        <v>4043</v>
      </c>
      <c r="D882" t="s">
        <v>23</v>
      </c>
      <c r="E882">
        <v>10</v>
      </c>
      <c r="F882" s="2" t="s">
        <v>6004</v>
      </c>
      <c r="G882" s="2" t="s">
        <v>6005</v>
      </c>
      <c r="H882" s="2" t="s">
        <v>6006</v>
      </c>
      <c r="I882" s="2" t="s">
        <v>6007</v>
      </c>
      <c r="J882" t="s">
        <v>6008</v>
      </c>
      <c r="L882" s="1">
        <v>2</v>
      </c>
      <c r="M882" s="1"/>
      <c r="N882" s="1"/>
      <c r="O882" s="3"/>
    </row>
    <row r="883" spans="1:15" ht="409.6">
      <c r="A883" t="s">
        <v>6009</v>
      </c>
      <c r="B883" t="s">
        <v>6010</v>
      </c>
      <c r="C883" t="s">
        <v>4181</v>
      </c>
      <c r="D883" t="s">
        <v>23</v>
      </c>
      <c r="E883">
        <v>10</v>
      </c>
      <c r="F883" s="2" t="s">
        <v>6011</v>
      </c>
      <c r="G883" s="2" t="s">
        <v>6012</v>
      </c>
      <c r="H883" s="2" t="s">
        <v>6013</v>
      </c>
      <c r="I883" s="2" t="s">
        <v>6014</v>
      </c>
      <c r="J883" t="s">
        <v>6015</v>
      </c>
      <c r="L883" s="1">
        <v>2</v>
      </c>
      <c r="M883" s="1"/>
      <c r="N883" s="1"/>
      <c r="O883" s="3"/>
    </row>
    <row r="884" spans="1:15" ht="409.6">
      <c r="A884" t="s">
        <v>6016</v>
      </c>
      <c r="B884" t="s">
        <v>6017</v>
      </c>
      <c r="C884" t="s">
        <v>4061</v>
      </c>
      <c r="D884" t="s">
        <v>23</v>
      </c>
      <c r="E884">
        <v>15</v>
      </c>
      <c r="F884" s="2" t="s">
        <v>6018</v>
      </c>
      <c r="G884" s="2" t="s">
        <v>6019</v>
      </c>
      <c r="H884" s="2" t="s">
        <v>6020</v>
      </c>
      <c r="I884" s="2" t="s">
        <v>6021</v>
      </c>
      <c r="J884" t="s">
        <v>6022</v>
      </c>
      <c r="L884" s="1">
        <v>2</v>
      </c>
      <c r="M884" s="1"/>
      <c r="N884" s="1"/>
      <c r="O884" s="3"/>
    </row>
    <row r="885" spans="1:15" ht="409.6">
      <c r="A885" t="s">
        <v>946</v>
      </c>
      <c r="B885" t="s">
        <v>947</v>
      </c>
      <c r="C885" t="s">
        <v>4043</v>
      </c>
      <c r="D885" t="s">
        <v>23</v>
      </c>
      <c r="E885">
        <v>30</v>
      </c>
      <c r="F885" s="2" t="s">
        <v>6023</v>
      </c>
      <c r="G885" s="2" t="s">
        <v>6024</v>
      </c>
      <c r="H885" s="2" t="s">
        <v>6025</v>
      </c>
      <c r="I885" s="2" t="s">
        <v>6026</v>
      </c>
      <c r="J885" t="s">
        <v>6027</v>
      </c>
      <c r="L885" s="1">
        <v>2</v>
      </c>
      <c r="M885" s="1"/>
      <c r="N885" s="1"/>
      <c r="O885" s="3"/>
    </row>
    <row r="886" spans="1:15" ht="409.6">
      <c r="A886" t="s">
        <v>6028</v>
      </c>
      <c r="B886" t="s">
        <v>6029</v>
      </c>
      <c r="C886" t="s">
        <v>4181</v>
      </c>
      <c r="D886" t="s">
        <v>23</v>
      </c>
      <c r="E886">
        <v>10</v>
      </c>
      <c r="F886" s="2" t="s">
        <v>6030</v>
      </c>
      <c r="G886" s="2" t="s">
        <v>6031</v>
      </c>
      <c r="H886" s="2" t="s">
        <v>6032</v>
      </c>
      <c r="I886" s="2" t="s">
        <v>6033</v>
      </c>
      <c r="J886" t="s">
        <v>6034</v>
      </c>
      <c r="L886" s="1">
        <v>2</v>
      </c>
      <c r="M886" s="1"/>
      <c r="N886" s="1"/>
      <c r="O886" s="3"/>
    </row>
    <row r="887" spans="1:15" ht="409.6">
      <c r="A887" t="s">
        <v>6035</v>
      </c>
      <c r="B887" t="s">
        <v>6036</v>
      </c>
      <c r="C887" t="s">
        <v>4043</v>
      </c>
      <c r="D887" t="s">
        <v>23</v>
      </c>
      <c r="E887">
        <v>15</v>
      </c>
      <c r="F887" s="2" t="s">
        <v>6037</v>
      </c>
      <c r="G887" s="2" t="s">
        <v>6038</v>
      </c>
      <c r="H887" s="2" t="s">
        <v>6039</v>
      </c>
      <c r="I887" s="2" t="s">
        <v>6040</v>
      </c>
      <c r="J887" t="s">
        <v>6041</v>
      </c>
      <c r="L887" s="1">
        <v>2</v>
      </c>
      <c r="M887" s="1"/>
      <c r="N887" s="1"/>
      <c r="O887" s="3"/>
    </row>
    <row r="888" spans="1:15" ht="409.6">
      <c r="A888" t="s">
        <v>6042</v>
      </c>
      <c r="B888" t="s">
        <v>6043</v>
      </c>
      <c r="C888" t="s">
        <v>4043</v>
      </c>
      <c r="D888" t="s">
        <v>23</v>
      </c>
      <c r="E888">
        <v>15</v>
      </c>
      <c r="F888" s="2" t="s">
        <v>6044</v>
      </c>
      <c r="G888" s="2" t="s">
        <v>6045</v>
      </c>
      <c r="H888" s="2" t="s">
        <v>6046</v>
      </c>
      <c r="I888" s="2" t="s">
        <v>6047</v>
      </c>
      <c r="J888" t="s">
        <v>6048</v>
      </c>
      <c r="L888" s="1">
        <v>2</v>
      </c>
      <c r="M888" s="1"/>
      <c r="N888" s="1"/>
      <c r="O888" s="3"/>
    </row>
    <row r="889" spans="1:15" ht="409.6">
      <c r="A889" t="s">
        <v>2539</v>
      </c>
      <c r="B889" t="s">
        <v>2540</v>
      </c>
      <c r="C889" t="s">
        <v>4043</v>
      </c>
      <c r="D889" t="s">
        <v>23</v>
      </c>
      <c r="E889">
        <v>15</v>
      </c>
      <c r="F889" s="2" t="s">
        <v>6049</v>
      </c>
      <c r="G889" s="2" t="s">
        <v>6050</v>
      </c>
      <c r="H889" s="2" t="s">
        <v>6051</v>
      </c>
      <c r="I889" s="2" t="s">
        <v>6052</v>
      </c>
      <c r="J889" t="s">
        <v>6053</v>
      </c>
      <c r="K889" t="s">
        <v>6054</v>
      </c>
      <c r="L889" s="1">
        <v>2</v>
      </c>
      <c r="M889" s="1"/>
      <c r="N889" s="1"/>
      <c r="O889" s="3"/>
    </row>
    <row r="890" spans="1:15" ht="409.6">
      <c r="A890" t="s">
        <v>6055</v>
      </c>
      <c r="B890" t="s">
        <v>6056</v>
      </c>
      <c r="C890" t="s">
        <v>4043</v>
      </c>
      <c r="D890" t="s">
        <v>23</v>
      </c>
      <c r="E890">
        <v>20</v>
      </c>
      <c r="F890" s="2" t="s">
        <v>6057</v>
      </c>
      <c r="G890" s="2" t="s">
        <v>6058</v>
      </c>
      <c r="H890" s="2" t="s">
        <v>6059</v>
      </c>
      <c r="I890" s="2" t="s">
        <v>6060</v>
      </c>
      <c r="J890" t="s">
        <v>6061</v>
      </c>
      <c r="L890" s="1">
        <v>2</v>
      </c>
      <c r="M890" s="1"/>
      <c r="N890" s="1"/>
      <c r="O890" s="3"/>
    </row>
    <row r="891" spans="1:15" ht="409.6">
      <c r="A891" t="s">
        <v>6062</v>
      </c>
      <c r="B891" t="s">
        <v>6063</v>
      </c>
      <c r="C891" t="s">
        <v>4043</v>
      </c>
      <c r="D891" t="s">
        <v>23</v>
      </c>
      <c r="E891">
        <v>25</v>
      </c>
      <c r="F891" s="2" t="s">
        <v>6064</v>
      </c>
      <c r="G891" s="2" t="s">
        <v>6065</v>
      </c>
      <c r="H891" s="2" t="s">
        <v>6066</v>
      </c>
      <c r="I891" s="2" t="s">
        <v>6067</v>
      </c>
      <c r="J891" t="s">
        <v>6068</v>
      </c>
      <c r="L891" s="1">
        <v>2</v>
      </c>
      <c r="M891" s="1"/>
      <c r="N891" s="1"/>
      <c r="O891" s="3"/>
    </row>
    <row r="892" spans="1:15" ht="409.6">
      <c r="A892" t="s">
        <v>6069</v>
      </c>
      <c r="B892" t="s">
        <v>6070</v>
      </c>
      <c r="C892" t="s">
        <v>4043</v>
      </c>
      <c r="D892" t="s">
        <v>23</v>
      </c>
      <c r="E892">
        <v>30</v>
      </c>
      <c r="F892" s="2" t="s">
        <v>6071</v>
      </c>
      <c r="G892" s="2" t="s">
        <v>6072</v>
      </c>
      <c r="H892" s="2" t="s">
        <v>6073</v>
      </c>
      <c r="I892" s="2" t="s">
        <v>6074</v>
      </c>
      <c r="J892" t="s">
        <v>6075</v>
      </c>
      <c r="L892" s="1">
        <v>2</v>
      </c>
      <c r="M892" s="1"/>
      <c r="N892" s="1"/>
      <c r="O892" s="3"/>
    </row>
    <row r="893" spans="1:15" ht="409.6">
      <c r="A893" t="s">
        <v>6076</v>
      </c>
      <c r="B893" t="s">
        <v>6077</v>
      </c>
      <c r="C893" t="s">
        <v>4043</v>
      </c>
      <c r="D893" t="s">
        <v>23</v>
      </c>
      <c r="E893">
        <v>5</v>
      </c>
      <c r="F893" s="2" t="s">
        <v>6078</v>
      </c>
      <c r="G893" s="2" t="s">
        <v>6079</v>
      </c>
      <c r="H893" s="2" t="s">
        <v>6080</v>
      </c>
      <c r="I893" s="2" t="s">
        <v>6081</v>
      </c>
      <c r="J893" t="s">
        <v>6082</v>
      </c>
      <c r="L893" s="1">
        <v>2</v>
      </c>
      <c r="M893" s="1"/>
      <c r="N893" s="1"/>
      <c r="O893" s="3"/>
    </row>
    <row r="894" spans="1:15" ht="409.6">
      <c r="A894" t="s">
        <v>6083</v>
      </c>
      <c r="B894" t="s">
        <v>6084</v>
      </c>
      <c r="C894" t="s">
        <v>4052</v>
      </c>
      <c r="D894" t="s">
        <v>23</v>
      </c>
      <c r="E894">
        <v>20</v>
      </c>
      <c r="F894" s="2" t="s">
        <v>6085</v>
      </c>
      <c r="G894" s="2" t="s">
        <v>6086</v>
      </c>
      <c r="H894" s="2" t="s">
        <v>6087</v>
      </c>
      <c r="I894" s="2" t="s">
        <v>6088</v>
      </c>
      <c r="J894" t="s">
        <v>6089</v>
      </c>
      <c r="L894" s="1">
        <v>2</v>
      </c>
      <c r="M894" s="1"/>
      <c r="N894" s="1"/>
      <c r="O894" s="3"/>
    </row>
    <row r="895" spans="1:15" ht="409.6">
      <c r="A895" t="s">
        <v>6090</v>
      </c>
      <c r="B895" t="s">
        <v>6091</v>
      </c>
      <c r="C895" t="s">
        <v>4061</v>
      </c>
      <c r="D895" t="s">
        <v>23</v>
      </c>
      <c r="E895">
        <v>20</v>
      </c>
      <c r="F895" s="2" t="s">
        <v>6092</v>
      </c>
      <c r="G895" s="2" t="s">
        <v>6093</v>
      </c>
      <c r="H895" s="2" t="s">
        <v>6094</v>
      </c>
      <c r="I895" s="2" t="s">
        <v>6095</v>
      </c>
      <c r="J895" t="s">
        <v>6096</v>
      </c>
      <c r="L895" s="1">
        <v>2</v>
      </c>
      <c r="M895" s="1"/>
      <c r="N895" s="1"/>
      <c r="O895" s="3"/>
    </row>
    <row r="896" spans="1:15" ht="409.6">
      <c r="A896" t="s">
        <v>6097</v>
      </c>
      <c r="B896" t="s">
        <v>6098</v>
      </c>
      <c r="C896" t="s">
        <v>4043</v>
      </c>
      <c r="D896" t="s">
        <v>23</v>
      </c>
      <c r="E896">
        <v>20</v>
      </c>
      <c r="F896" s="2" t="s">
        <v>6099</v>
      </c>
      <c r="G896" s="2" t="s">
        <v>6100</v>
      </c>
      <c r="H896" s="2" t="s">
        <v>6101</v>
      </c>
      <c r="I896" s="2" t="s">
        <v>6102</v>
      </c>
      <c r="J896" t="s">
        <v>6103</v>
      </c>
      <c r="K896" t="s">
        <v>6104</v>
      </c>
      <c r="L896" s="1">
        <v>2</v>
      </c>
      <c r="M896" s="1"/>
      <c r="N896" s="1"/>
      <c r="O896" s="3"/>
    </row>
    <row r="897" spans="1:15" ht="409.6">
      <c r="A897" t="s">
        <v>6105</v>
      </c>
      <c r="B897" t="s">
        <v>6106</v>
      </c>
      <c r="C897" t="s">
        <v>4181</v>
      </c>
      <c r="D897" t="s">
        <v>23</v>
      </c>
      <c r="E897">
        <v>15</v>
      </c>
      <c r="F897" s="2" t="s">
        <v>6107</v>
      </c>
      <c r="G897" s="2" t="s">
        <v>6108</v>
      </c>
      <c r="H897" s="2" t="s">
        <v>6109</v>
      </c>
      <c r="I897" s="2" t="s">
        <v>6110</v>
      </c>
      <c r="J897" t="s">
        <v>6111</v>
      </c>
      <c r="L897" s="1">
        <v>2</v>
      </c>
      <c r="M897" s="1"/>
      <c r="N897" s="1"/>
      <c r="O897" s="3"/>
    </row>
    <row r="898" spans="1:15" ht="409.6">
      <c r="A898" t="s">
        <v>6112</v>
      </c>
      <c r="B898" t="s">
        <v>6113</v>
      </c>
      <c r="C898" t="s">
        <v>4043</v>
      </c>
      <c r="D898" t="s">
        <v>23</v>
      </c>
      <c r="E898">
        <v>5</v>
      </c>
      <c r="F898" s="2" t="s">
        <v>6114</v>
      </c>
      <c r="G898" s="2" t="s">
        <v>6115</v>
      </c>
      <c r="H898" s="2" t="s">
        <v>6116</v>
      </c>
      <c r="I898" s="2" t="s">
        <v>6117</v>
      </c>
      <c r="J898" t="s">
        <v>6118</v>
      </c>
      <c r="L898" s="1">
        <v>2</v>
      </c>
      <c r="M898" s="1"/>
      <c r="N898" s="1"/>
      <c r="O898" s="3"/>
    </row>
    <row r="899" spans="1:15" ht="409.6">
      <c r="A899" t="s">
        <v>6119</v>
      </c>
      <c r="B899" t="s">
        <v>6120</v>
      </c>
      <c r="C899" t="s">
        <v>4043</v>
      </c>
      <c r="D899" t="s">
        <v>23</v>
      </c>
      <c r="E899">
        <v>10</v>
      </c>
      <c r="F899" s="2" t="s">
        <v>6121</v>
      </c>
      <c r="G899" s="2" t="s">
        <v>6122</v>
      </c>
      <c r="H899" s="2" t="s">
        <v>6123</v>
      </c>
      <c r="I899" s="2" t="s">
        <v>6124</v>
      </c>
      <c r="J899" t="s">
        <v>6125</v>
      </c>
      <c r="L899" s="1">
        <v>2</v>
      </c>
      <c r="M899" s="1"/>
      <c r="N899" s="1"/>
      <c r="O899" s="3"/>
    </row>
    <row r="900" spans="1:15" ht="409.6">
      <c r="A900" t="s">
        <v>6126</v>
      </c>
      <c r="B900" t="s">
        <v>2511</v>
      </c>
      <c r="C900" t="s">
        <v>4061</v>
      </c>
      <c r="D900" t="s">
        <v>23</v>
      </c>
      <c r="E900">
        <v>15</v>
      </c>
      <c r="F900" s="2" t="s">
        <v>6127</v>
      </c>
      <c r="G900" s="2" t="s">
        <v>6128</v>
      </c>
      <c r="H900" s="2" t="s">
        <v>6129</v>
      </c>
      <c r="I900" s="2" t="s">
        <v>6130</v>
      </c>
      <c r="J900" t="s">
        <v>6131</v>
      </c>
      <c r="L900" s="1">
        <v>2</v>
      </c>
      <c r="M900" s="1"/>
      <c r="N900" s="1"/>
      <c r="O900" s="3"/>
    </row>
    <row r="901" spans="1:15" ht="409.6">
      <c r="A901" t="s">
        <v>6132</v>
      </c>
      <c r="B901" t="s">
        <v>6133</v>
      </c>
      <c r="C901" t="s">
        <v>4181</v>
      </c>
      <c r="D901" t="s">
        <v>23</v>
      </c>
      <c r="E901">
        <v>15</v>
      </c>
      <c r="F901" s="2" t="s">
        <v>6134</v>
      </c>
      <c r="G901" s="2" t="s">
        <v>6135</v>
      </c>
      <c r="H901" s="2" t="s">
        <v>6136</v>
      </c>
      <c r="I901" s="2" t="s">
        <v>6137</v>
      </c>
      <c r="J901" t="s">
        <v>6138</v>
      </c>
      <c r="L901" s="1">
        <v>2</v>
      </c>
      <c r="M901" s="1"/>
      <c r="N901" s="1"/>
      <c r="O901" s="3"/>
    </row>
    <row r="902" spans="1:15" ht="409.6">
      <c r="A902" t="s">
        <v>2792</v>
      </c>
      <c r="B902" t="s">
        <v>2793</v>
      </c>
      <c r="C902" t="s">
        <v>4061</v>
      </c>
      <c r="D902" t="s">
        <v>23</v>
      </c>
      <c r="E902">
        <v>25</v>
      </c>
      <c r="F902" s="2" t="s">
        <v>6139</v>
      </c>
      <c r="G902" s="2" t="s">
        <v>6140</v>
      </c>
      <c r="H902" s="2" t="s">
        <v>6141</v>
      </c>
      <c r="I902" s="2" t="s">
        <v>6142</v>
      </c>
      <c r="J902" t="s">
        <v>6143</v>
      </c>
      <c r="K902" t="s">
        <v>6144</v>
      </c>
      <c r="L902" s="1">
        <v>2</v>
      </c>
      <c r="M902" s="1"/>
      <c r="N902" s="1"/>
      <c r="O902" s="3"/>
    </row>
    <row r="903" spans="1:15" ht="409.6">
      <c r="A903" t="s">
        <v>6145</v>
      </c>
      <c r="B903" t="s">
        <v>6146</v>
      </c>
      <c r="C903" t="s">
        <v>4043</v>
      </c>
      <c r="D903" t="s">
        <v>23</v>
      </c>
      <c r="E903">
        <v>20</v>
      </c>
      <c r="F903" s="2" t="s">
        <v>6147</v>
      </c>
      <c r="G903" s="2" t="s">
        <v>6148</v>
      </c>
      <c r="H903" s="2" t="s">
        <v>6149</v>
      </c>
      <c r="I903" s="2" t="s">
        <v>6150</v>
      </c>
      <c r="J903" t="s">
        <v>6151</v>
      </c>
      <c r="L903" s="1">
        <v>2</v>
      </c>
      <c r="M903" s="1"/>
      <c r="N903" s="1"/>
      <c r="O903" s="3"/>
    </row>
    <row r="904" spans="1:15" ht="409.6">
      <c r="A904" t="s">
        <v>442</v>
      </c>
      <c r="B904" t="s">
        <v>1908</v>
      </c>
      <c r="C904" t="s">
        <v>4043</v>
      </c>
      <c r="D904" t="s">
        <v>23</v>
      </c>
      <c r="E904">
        <v>25</v>
      </c>
      <c r="F904" s="2" t="s">
        <v>6152</v>
      </c>
      <c r="G904" s="2" t="s">
        <v>6153</v>
      </c>
      <c r="H904" s="2" t="s">
        <v>6154</v>
      </c>
      <c r="I904" s="2" t="s">
        <v>6155</v>
      </c>
      <c r="J904" t="s">
        <v>6156</v>
      </c>
      <c r="L904" s="1">
        <v>2</v>
      </c>
      <c r="M904" s="1"/>
      <c r="N904" s="1"/>
      <c r="O904" s="3"/>
    </row>
    <row r="905" spans="1:15" ht="409.6">
      <c r="A905" t="s">
        <v>6157</v>
      </c>
      <c r="B905" t="s">
        <v>6158</v>
      </c>
      <c r="C905" t="s">
        <v>4043</v>
      </c>
      <c r="D905" t="s">
        <v>23</v>
      </c>
      <c r="E905">
        <v>20</v>
      </c>
      <c r="F905" s="2" t="s">
        <v>6159</v>
      </c>
      <c r="G905" s="2" t="s">
        <v>6160</v>
      </c>
      <c r="H905" s="2" t="s">
        <v>6161</v>
      </c>
      <c r="I905" s="2" t="s">
        <v>6162</v>
      </c>
      <c r="J905" t="s">
        <v>6163</v>
      </c>
      <c r="L905" s="1">
        <v>2</v>
      </c>
      <c r="M905" s="1"/>
      <c r="N905" s="1"/>
      <c r="O905" s="3"/>
    </row>
    <row r="906" spans="1:15" ht="409.6">
      <c r="A906" t="s">
        <v>6164</v>
      </c>
      <c r="B906" t="s">
        <v>6165</v>
      </c>
      <c r="C906" t="s">
        <v>644</v>
      </c>
      <c r="D906" t="s">
        <v>23</v>
      </c>
      <c r="E906">
        <v>30</v>
      </c>
      <c r="F906" s="2" t="s">
        <v>6166</v>
      </c>
      <c r="G906" s="2" t="s">
        <v>6167</v>
      </c>
      <c r="H906" s="2" t="s">
        <v>6168</v>
      </c>
      <c r="I906" s="2" t="s">
        <v>6169</v>
      </c>
      <c r="J906" t="s">
        <v>6170</v>
      </c>
      <c r="L906" s="1">
        <v>2</v>
      </c>
      <c r="M906" s="1"/>
      <c r="N906" s="1"/>
      <c r="O906" s="3"/>
    </row>
    <row r="907" spans="1:15" ht="409.6">
      <c r="A907" t="s">
        <v>20</v>
      </c>
      <c r="B907" t="s">
        <v>21</v>
      </c>
      <c r="C907" t="s">
        <v>4043</v>
      </c>
      <c r="D907" t="s">
        <v>23</v>
      </c>
      <c r="E907">
        <v>30</v>
      </c>
      <c r="F907" s="2" t="s">
        <v>6171</v>
      </c>
      <c r="G907" s="2" t="s">
        <v>6172</v>
      </c>
      <c r="H907" s="2" t="s">
        <v>6173</v>
      </c>
      <c r="I907" s="2" t="s">
        <v>6174</v>
      </c>
      <c r="J907" t="s">
        <v>6175</v>
      </c>
      <c r="L907" s="1">
        <v>2</v>
      </c>
      <c r="M907" s="1"/>
      <c r="N907" s="1"/>
      <c r="O907" s="3"/>
    </row>
    <row r="908" spans="1:15" ht="409.6">
      <c r="A908" t="s">
        <v>6176</v>
      </c>
      <c r="B908" t="s">
        <v>6177</v>
      </c>
      <c r="C908" t="s">
        <v>4052</v>
      </c>
      <c r="D908" t="s">
        <v>23</v>
      </c>
      <c r="E908">
        <v>10</v>
      </c>
      <c r="F908" s="2" t="s">
        <v>6178</v>
      </c>
      <c r="G908" s="2" t="s">
        <v>6179</v>
      </c>
      <c r="H908" s="2" t="s">
        <v>6180</v>
      </c>
      <c r="I908" s="2" t="s">
        <v>6181</v>
      </c>
      <c r="J908" t="s">
        <v>6182</v>
      </c>
      <c r="L908" s="1">
        <v>2</v>
      </c>
      <c r="M908" s="1"/>
      <c r="N908" s="1"/>
      <c r="O908" s="3"/>
    </row>
    <row r="909" spans="1:15" ht="409.6">
      <c r="A909" t="s">
        <v>6183</v>
      </c>
      <c r="B909" t="s">
        <v>6184</v>
      </c>
      <c r="C909" t="s">
        <v>4061</v>
      </c>
      <c r="D909" t="s">
        <v>23</v>
      </c>
      <c r="E909">
        <v>20</v>
      </c>
      <c r="F909" s="2" t="s">
        <v>6185</v>
      </c>
      <c r="G909" s="2" t="s">
        <v>6186</v>
      </c>
      <c r="H909" s="2" t="s">
        <v>6187</v>
      </c>
      <c r="I909" s="2" t="s">
        <v>6188</v>
      </c>
      <c r="J909" t="s">
        <v>6189</v>
      </c>
      <c r="L909" s="1">
        <v>2</v>
      </c>
      <c r="M909" s="1"/>
      <c r="N909" s="1"/>
      <c r="O909" s="3"/>
    </row>
    <row r="910" spans="1:15" ht="409.6">
      <c r="A910" t="s">
        <v>6190</v>
      </c>
      <c r="B910" t="s">
        <v>6191</v>
      </c>
      <c r="C910" t="s">
        <v>4043</v>
      </c>
      <c r="D910" t="s">
        <v>23</v>
      </c>
      <c r="E910">
        <v>20</v>
      </c>
      <c r="F910" s="2" t="s">
        <v>6192</v>
      </c>
      <c r="G910" s="2" t="s">
        <v>6193</v>
      </c>
      <c r="H910" s="2" t="s">
        <v>6194</v>
      </c>
      <c r="I910" s="2" t="s">
        <v>6195</v>
      </c>
      <c r="J910" t="s">
        <v>6196</v>
      </c>
      <c r="L910" s="1">
        <v>2</v>
      </c>
      <c r="M910" s="1"/>
      <c r="N910" s="1"/>
      <c r="O910" s="3"/>
    </row>
    <row r="911" spans="1:15" ht="409.6">
      <c r="A911" t="s">
        <v>6197</v>
      </c>
      <c r="B911" t="s">
        <v>6198</v>
      </c>
      <c r="C911" t="s">
        <v>4043</v>
      </c>
      <c r="D911" t="s">
        <v>23</v>
      </c>
      <c r="E911">
        <v>25</v>
      </c>
      <c r="F911" s="2" t="s">
        <v>6199</v>
      </c>
      <c r="G911" s="2" t="s">
        <v>6200</v>
      </c>
      <c r="H911" s="2" t="s">
        <v>6201</v>
      </c>
      <c r="I911" s="2" t="s">
        <v>6202</v>
      </c>
      <c r="J911" t="s">
        <v>6203</v>
      </c>
      <c r="L911" s="1">
        <v>2</v>
      </c>
      <c r="M911" s="1"/>
      <c r="N911" s="1"/>
      <c r="O911" s="3"/>
    </row>
    <row r="912" spans="1:15" ht="409.6">
      <c r="A912" t="s">
        <v>6204</v>
      </c>
      <c r="B912" t="s">
        <v>6205</v>
      </c>
      <c r="C912" t="s">
        <v>4043</v>
      </c>
      <c r="D912" t="s">
        <v>23</v>
      </c>
      <c r="E912">
        <v>20</v>
      </c>
      <c r="F912" s="2" t="s">
        <v>6206</v>
      </c>
      <c r="G912" s="2" t="s">
        <v>6207</v>
      </c>
      <c r="H912" s="2" t="s">
        <v>6208</v>
      </c>
      <c r="I912" s="2" t="s">
        <v>6209</v>
      </c>
      <c r="J912" t="s">
        <v>6210</v>
      </c>
      <c r="L912" s="1">
        <v>2</v>
      </c>
      <c r="M912" s="1"/>
      <c r="N912" s="1"/>
      <c r="O912" s="3"/>
    </row>
    <row r="913" spans="1:15" ht="409.6">
      <c r="A913" t="s">
        <v>6211</v>
      </c>
      <c r="B913" t="s">
        <v>6212</v>
      </c>
      <c r="C913" t="s">
        <v>4043</v>
      </c>
      <c r="D913" t="s">
        <v>23</v>
      </c>
      <c r="E913">
        <v>15</v>
      </c>
      <c r="F913" s="2" t="s">
        <v>6213</v>
      </c>
      <c r="G913" s="2" t="s">
        <v>6214</v>
      </c>
      <c r="H913" s="2" t="s">
        <v>6215</v>
      </c>
      <c r="I913" s="2" t="s">
        <v>6216</v>
      </c>
      <c r="J913" t="s">
        <v>6217</v>
      </c>
      <c r="L913" s="1">
        <v>2</v>
      </c>
      <c r="M913" s="1"/>
      <c r="N913" s="1"/>
      <c r="O913" s="3"/>
    </row>
    <row r="914" spans="1:15" ht="409.6">
      <c r="A914" t="s">
        <v>6218</v>
      </c>
      <c r="B914" t="s">
        <v>6219</v>
      </c>
      <c r="C914" t="s">
        <v>4043</v>
      </c>
      <c r="D914" t="s">
        <v>23</v>
      </c>
      <c r="E914">
        <v>20</v>
      </c>
      <c r="F914" s="2" t="s">
        <v>6220</v>
      </c>
      <c r="G914" s="2" t="s">
        <v>6221</v>
      </c>
      <c r="H914" s="2" t="s">
        <v>6222</v>
      </c>
      <c r="I914" s="2" t="s">
        <v>6223</v>
      </c>
      <c r="J914" t="s">
        <v>6224</v>
      </c>
      <c r="L914" s="1">
        <v>2</v>
      </c>
      <c r="M914" s="1"/>
      <c r="N914" s="1"/>
      <c r="O914" s="3"/>
    </row>
    <row r="915" spans="1:15" ht="409.6">
      <c r="A915" t="s">
        <v>6225</v>
      </c>
      <c r="B915" t="s">
        <v>6226</v>
      </c>
      <c r="C915" t="s">
        <v>4061</v>
      </c>
      <c r="D915" t="s">
        <v>23</v>
      </c>
      <c r="E915">
        <v>15</v>
      </c>
      <c r="F915" s="2" t="s">
        <v>6227</v>
      </c>
      <c r="G915" s="2" t="s">
        <v>6228</v>
      </c>
      <c r="H915" s="2" t="s">
        <v>6229</v>
      </c>
      <c r="I915" s="2" t="s">
        <v>6230</v>
      </c>
      <c r="J915" t="s">
        <v>6231</v>
      </c>
      <c r="L915" s="1">
        <v>2</v>
      </c>
      <c r="M915" s="1"/>
      <c r="N915" s="1"/>
      <c r="O915" s="3"/>
    </row>
    <row r="916" spans="1:15" ht="409.6">
      <c r="A916" t="s">
        <v>6232</v>
      </c>
      <c r="B916" t="s">
        <v>5671</v>
      </c>
      <c r="C916" t="s">
        <v>4043</v>
      </c>
      <c r="D916" t="s">
        <v>23</v>
      </c>
      <c r="E916">
        <v>20</v>
      </c>
      <c r="F916" s="2" t="s">
        <v>6233</v>
      </c>
      <c r="G916" s="2" t="s">
        <v>6234</v>
      </c>
      <c r="H916" s="2" t="s">
        <v>6235</v>
      </c>
      <c r="I916" s="2" t="s">
        <v>6236</v>
      </c>
      <c r="J916" t="s">
        <v>6237</v>
      </c>
      <c r="L916" s="1">
        <v>2</v>
      </c>
      <c r="M916" s="1"/>
      <c r="N916" s="1"/>
      <c r="O916" s="3"/>
    </row>
    <row r="917" spans="1:15" ht="409.6">
      <c r="A917" t="s">
        <v>2856</v>
      </c>
      <c r="B917" t="s">
        <v>2857</v>
      </c>
      <c r="C917" t="s">
        <v>4061</v>
      </c>
      <c r="D917" t="s">
        <v>23</v>
      </c>
      <c r="E917">
        <v>15</v>
      </c>
      <c r="F917" s="2" t="s">
        <v>6238</v>
      </c>
      <c r="G917" s="2" t="s">
        <v>6239</v>
      </c>
      <c r="H917" s="2" t="s">
        <v>6240</v>
      </c>
      <c r="I917" s="2" t="s">
        <v>6241</v>
      </c>
      <c r="J917" t="s">
        <v>6242</v>
      </c>
      <c r="L917" s="1">
        <v>2</v>
      </c>
      <c r="M917" s="1"/>
      <c r="N917" s="1"/>
      <c r="O917" s="3"/>
    </row>
    <row r="918" spans="1:15" ht="409.6">
      <c r="A918" t="s">
        <v>6243</v>
      </c>
      <c r="B918" t="s">
        <v>2931</v>
      </c>
      <c r="C918" t="s">
        <v>4043</v>
      </c>
      <c r="D918" t="s">
        <v>23</v>
      </c>
      <c r="E918">
        <v>15</v>
      </c>
      <c r="F918" s="2" t="s">
        <v>6244</v>
      </c>
      <c r="G918" s="2" t="s">
        <v>6245</v>
      </c>
      <c r="H918" s="2" t="s">
        <v>6246</v>
      </c>
      <c r="I918" s="2" t="s">
        <v>6247</v>
      </c>
      <c r="J918" t="s">
        <v>6248</v>
      </c>
      <c r="K918" t="s">
        <v>6249</v>
      </c>
      <c r="L918" s="1">
        <v>2</v>
      </c>
      <c r="M918" s="1"/>
      <c r="N918" s="1"/>
      <c r="O918" s="3"/>
    </row>
    <row r="919" spans="1:15" ht="409.6">
      <c r="A919" t="s">
        <v>6250</v>
      </c>
      <c r="B919" t="s">
        <v>6251</v>
      </c>
      <c r="C919" t="s">
        <v>4043</v>
      </c>
      <c r="D919" t="s">
        <v>23</v>
      </c>
      <c r="E919">
        <v>20</v>
      </c>
      <c r="F919" s="2" t="s">
        <v>6252</v>
      </c>
      <c r="G919" s="2" t="s">
        <v>6253</v>
      </c>
      <c r="H919" s="2" t="s">
        <v>6254</v>
      </c>
      <c r="I919" s="2" t="s">
        <v>6255</v>
      </c>
      <c r="J919" t="s">
        <v>6256</v>
      </c>
      <c r="K919" t="s">
        <v>6257</v>
      </c>
      <c r="L919" s="1">
        <v>2</v>
      </c>
      <c r="M919" s="1"/>
      <c r="N919" s="1"/>
      <c r="O919" s="3"/>
    </row>
    <row r="920" spans="1:15" ht="409.6">
      <c r="A920" s="2" t="s">
        <v>6258</v>
      </c>
      <c r="B920" t="s">
        <v>6259</v>
      </c>
      <c r="C920" t="s">
        <v>6260</v>
      </c>
      <c r="D920" t="s">
        <v>23</v>
      </c>
      <c r="E920">
        <v>30</v>
      </c>
      <c r="F920" s="2" t="s">
        <v>6261</v>
      </c>
      <c r="G920" s="2" t="s">
        <v>6262</v>
      </c>
      <c r="H920" s="2" t="s">
        <v>6263</v>
      </c>
      <c r="I920" s="2" t="s">
        <v>6264</v>
      </c>
      <c r="J920" t="s">
        <v>6265</v>
      </c>
      <c r="L920" s="1">
        <v>2</v>
      </c>
      <c r="M920" s="1"/>
      <c r="N920" s="1"/>
      <c r="O920" s="3"/>
    </row>
    <row r="921" spans="1:15" ht="409.6">
      <c r="A921" s="2" t="s">
        <v>6266</v>
      </c>
      <c r="B921" t="s">
        <v>6267</v>
      </c>
      <c r="C921" t="s">
        <v>6260</v>
      </c>
      <c r="D921" t="s">
        <v>23</v>
      </c>
      <c r="E921">
        <v>45</v>
      </c>
      <c r="F921" s="2" t="s">
        <v>6268</v>
      </c>
      <c r="G921" s="2" t="s">
        <v>6269</v>
      </c>
      <c r="H921" s="2" t="s">
        <v>6270</v>
      </c>
      <c r="I921" s="2" t="s">
        <v>6271</v>
      </c>
      <c r="J921" t="s">
        <v>6272</v>
      </c>
      <c r="L921" s="1">
        <v>2</v>
      </c>
      <c r="M921" s="1"/>
      <c r="N921" s="1"/>
      <c r="O921" s="3"/>
    </row>
    <row r="922" spans="1:15" ht="409.6">
      <c r="A922" t="s">
        <v>6273</v>
      </c>
      <c r="B922" s="2" t="s">
        <v>6274</v>
      </c>
      <c r="C922" t="s">
        <v>6260</v>
      </c>
      <c r="D922" t="s">
        <v>23</v>
      </c>
      <c r="E922">
        <v>20</v>
      </c>
      <c r="F922" s="2" t="s">
        <v>6275</v>
      </c>
      <c r="G922" s="2" t="s">
        <v>6276</v>
      </c>
      <c r="H922" s="2" t="s">
        <v>6277</v>
      </c>
      <c r="I922" s="2" t="s">
        <v>6278</v>
      </c>
      <c r="J922" t="s">
        <v>6279</v>
      </c>
      <c r="L922" s="1">
        <v>2</v>
      </c>
      <c r="M922" s="1"/>
      <c r="N922" s="1"/>
      <c r="O922" s="3"/>
    </row>
    <row r="923" spans="1:15" ht="409.6">
      <c r="A923" t="s">
        <v>6280</v>
      </c>
      <c r="B923" t="s">
        <v>6281</v>
      </c>
      <c r="C923" t="s">
        <v>6260</v>
      </c>
      <c r="D923" t="s">
        <v>23</v>
      </c>
      <c r="E923">
        <v>30</v>
      </c>
      <c r="F923" s="2" t="s">
        <v>6282</v>
      </c>
      <c r="G923" s="2" t="s">
        <v>6283</v>
      </c>
      <c r="H923" s="2" t="s">
        <v>6284</v>
      </c>
      <c r="I923" s="2" t="s">
        <v>6285</v>
      </c>
      <c r="J923" t="s">
        <v>6286</v>
      </c>
      <c r="L923" s="1">
        <v>2</v>
      </c>
      <c r="M923" s="1"/>
      <c r="N923" s="1"/>
      <c r="O923" s="3"/>
    </row>
    <row r="924" spans="1:15" ht="409.6">
      <c r="A924" s="2" t="s">
        <v>6287</v>
      </c>
      <c r="B924" t="s">
        <v>6288</v>
      </c>
      <c r="C924" t="s">
        <v>6260</v>
      </c>
      <c r="D924" t="s">
        <v>23</v>
      </c>
      <c r="E924">
        <v>15</v>
      </c>
      <c r="F924" s="2" t="s">
        <v>6289</v>
      </c>
      <c r="G924" s="2" t="s">
        <v>6290</v>
      </c>
      <c r="H924" s="2" t="s">
        <v>6291</v>
      </c>
      <c r="I924" s="2" t="s">
        <v>6292</v>
      </c>
      <c r="J924" t="s">
        <v>6293</v>
      </c>
      <c r="L924" s="1">
        <v>2</v>
      </c>
      <c r="M924" s="1"/>
      <c r="N924" s="1"/>
      <c r="O924" s="3"/>
    </row>
    <row r="925" spans="1:15" ht="409.6">
      <c r="A925" s="2" t="s">
        <v>6294</v>
      </c>
      <c r="B925" t="s">
        <v>6295</v>
      </c>
      <c r="C925" t="s">
        <v>6260</v>
      </c>
      <c r="D925" t="s">
        <v>23</v>
      </c>
      <c r="E925">
        <v>30</v>
      </c>
      <c r="F925" s="2" t="s">
        <v>6296</v>
      </c>
      <c r="G925" s="2" t="s">
        <v>6297</v>
      </c>
      <c r="H925" s="2" t="s">
        <v>6298</v>
      </c>
      <c r="I925" s="2" t="s">
        <v>6299</v>
      </c>
      <c r="J925" t="s">
        <v>6300</v>
      </c>
      <c r="L925" s="1">
        <v>2</v>
      </c>
      <c r="M925" s="1"/>
      <c r="N925" s="1"/>
      <c r="O925" s="3"/>
    </row>
    <row r="926" spans="1:15" ht="409.6">
      <c r="A926" t="s">
        <v>6301</v>
      </c>
      <c r="B926" t="s">
        <v>6302</v>
      </c>
      <c r="C926" t="s">
        <v>6260</v>
      </c>
      <c r="D926" t="s">
        <v>14</v>
      </c>
      <c r="E926">
        <v>30</v>
      </c>
      <c r="F926" s="2" t="s">
        <v>6303</v>
      </c>
      <c r="G926" s="2" t="s">
        <v>6304</v>
      </c>
      <c r="H926" s="2" t="s">
        <v>6305</v>
      </c>
      <c r="I926" s="2" t="s">
        <v>6306</v>
      </c>
      <c r="J926" t="s">
        <v>6307</v>
      </c>
      <c r="L926" s="1">
        <v>2</v>
      </c>
      <c r="M926" s="1"/>
      <c r="N926" s="1"/>
      <c r="O926" s="3"/>
    </row>
    <row r="927" spans="1:15" ht="409.6">
      <c r="A927" s="2" t="s">
        <v>6308</v>
      </c>
      <c r="B927" t="s">
        <v>6309</v>
      </c>
      <c r="C927" t="s">
        <v>6260</v>
      </c>
      <c r="D927" t="s">
        <v>14</v>
      </c>
      <c r="E927">
        <v>40</v>
      </c>
      <c r="F927" s="2" t="s">
        <v>6310</v>
      </c>
      <c r="G927" s="2" t="s">
        <v>6311</v>
      </c>
      <c r="H927" s="2" t="s">
        <v>6312</v>
      </c>
      <c r="I927" s="2" t="s">
        <v>6313</v>
      </c>
      <c r="J927" t="s">
        <v>6314</v>
      </c>
      <c r="L927" s="1">
        <v>2</v>
      </c>
      <c r="M927" s="1"/>
      <c r="N927" s="1"/>
      <c r="O927" s="3"/>
    </row>
    <row r="928" spans="1:15" ht="409.6">
      <c r="A928" t="s">
        <v>6315</v>
      </c>
      <c r="B928" t="s">
        <v>6316</v>
      </c>
      <c r="C928" t="s">
        <v>6260</v>
      </c>
      <c r="D928" t="s">
        <v>23</v>
      </c>
      <c r="E928">
        <v>20</v>
      </c>
      <c r="F928" s="2" t="s">
        <v>6317</v>
      </c>
      <c r="G928" s="2" t="s">
        <v>6318</v>
      </c>
      <c r="H928" s="2" t="s">
        <v>6319</v>
      </c>
      <c r="I928" s="2" t="s">
        <v>6320</v>
      </c>
      <c r="J928" t="s">
        <v>6321</v>
      </c>
      <c r="L928" s="1">
        <v>2</v>
      </c>
      <c r="M928" s="1"/>
      <c r="N928" s="1"/>
      <c r="O928" s="3"/>
    </row>
    <row r="929" spans="1:15" ht="409.6">
      <c r="A929" t="s">
        <v>6322</v>
      </c>
      <c r="B929" t="s">
        <v>6323</v>
      </c>
      <c r="C929" t="s">
        <v>6260</v>
      </c>
      <c r="D929" t="s">
        <v>23</v>
      </c>
      <c r="E929">
        <v>10</v>
      </c>
      <c r="F929" s="2" t="s">
        <v>6324</v>
      </c>
      <c r="G929" s="2" t="s">
        <v>6325</v>
      </c>
      <c r="H929" s="2" t="s">
        <v>6326</v>
      </c>
      <c r="I929" s="2" t="s">
        <v>6327</v>
      </c>
      <c r="J929" t="s">
        <v>6328</v>
      </c>
      <c r="L929" s="1">
        <v>2</v>
      </c>
      <c r="M929" s="1"/>
      <c r="N929" s="1"/>
      <c r="O929" s="3"/>
    </row>
    <row r="930" spans="1:15" ht="409.6">
      <c r="A930" s="2" t="s">
        <v>6329</v>
      </c>
      <c r="B930" t="s">
        <v>6330</v>
      </c>
      <c r="C930" t="s">
        <v>6260</v>
      </c>
      <c r="D930" t="s">
        <v>23</v>
      </c>
      <c r="E930">
        <v>25</v>
      </c>
      <c r="F930" s="2" t="s">
        <v>6331</v>
      </c>
      <c r="G930" s="2" t="s">
        <v>6332</v>
      </c>
      <c r="H930" s="2" t="s">
        <v>6333</v>
      </c>
      <c r="I930" s="2" t="s">
        <v>6334</v>
      </c>
      <c r="J930" t="s">
        <v>6335</v>
      </c>
      <c r="L930" s="1">
        <v>2</v>
      </c>
      <c r="M930" s="1"/>
      <c r="N930" s="1"/>
      <c r="O930" s="3"/>
    </row>
    <row r="931" spans="1:15" ht="409.6">
      <c r="A931" t="s">
        <v>6336</v>
      </c>
      <c r="B931" t="s">
        <v>6337</v>
      </c>
      <c r="C931" t="s">
        <v>6260</v>
      </c>
      <c r="D931" t="s">
        <v>23</v>
      </c>
      <c r="E931">
        <v>30</v>
      </c>
      <c r="F931" s="2" t="s">
        <v>6338</v>
      </c>
      <c r="G931" s="2" t="s">
        <v>6339</v>
      </c>
      <c r="H931" s="2" t="s">
        <v>6340</v>
      </c>
      <c r="I931" s="2" t="s">
        <v>6341</v>
      </c>
      <c r="J931" t="s">
        <v>6342</v>
      </c>
      <c r="L931" s="1">
        <v>2</v>
      </c>
      <c r="M931" s="1"/>
      <c r="N931" s="1"/>
      <c r="O931" s="3"/>
    </row>
    <row r="932" spans="1:15" ht="409.6">
      <c r="A932" t="s">
        <v>6343</v>
      </c>
      <c r="B932" t="s">
        <v>2793</v>
      </c>
      <c r="C932" t="s">
        <v>6260</v>
      </c>
      <c r="D932" t="s">
        <v>23</v>
      </c>
      <c r="E932">
        <v>30</v>
      </c>
      <c r="F932" s="2" t="s">
        <v>6344</v>
      </c>
      <c r="G932" s="2" t="s">
        <v>6345</v>
      </c>
      <c r="H932" s="2" t="s">
        <v>6346</v>
      </c>
      <c r="I932" s="2" t="s">
        <v>6347</v>
      </c>
      <c r="J932" t="s">
        <v>6348</v>
      </c>
      <c r="L932" s="1">
        <v>2</v>
      </c>
      <c r="M932" s="1"/>
      <c r="N932" s="1"/>
      <c r="O932" s="3"/>
    </row>
    <row r="933" spans="1:15" ht="409.6">
      <c r="A933" t="s">
        <v>6349</v>
      </c>
      <c r="B933" t="s">
        <v>2678</v>
      </c>
      <c r="C933" t="s">
        <v>6260</v>
      </c>
      <c r="D933" t="s">
        <v>23</v>
      </c>
      <c r="E933">
        <v>20</v>
      </c>
      <c r="F933" s="2" t="s">
        <v>6350</v>
      </c>
      <c r="G933" s="2" t="s">
        <v>6351</v>
      </c>
      <c r="H933" s="2" t="s">
        <v>6352</v>
      </c>
      <c r="I933" s="2" t="s">
        <v>6353</v>
      </c>
      <c r="J933" t="s">
        <v>6354</v>
      </c>
      <c r="L933" s="1">
        <v>2</v>
      </c>
      <c r="M933" s="1"/>
      <c r="N933" s="1"/>
      <c r="O933" s="3"/>
    </row>
    <row r="934" spans="1:15" ht="409.6">
      <c r="A934" s="2" t="s">
        <v>6355</v>
      </c>
      <c r="B934" s="2" t="s">
        <v>6356</v>
      </c>
      <c r="C934" t="s">
        <v>6260</v>
      </c>
      <c r="D934" t="s">
        <v>23</v>
      </c>
      <c r="E934">
        <v>30</v>
      </c>
      <c r="F934" s="2" t="s">
        <v>6357</v>
      </c>
      <c r="G934" s="2" t="s">
        <v>6358</v>
      </c>
      <c r="H934" s="2" t="s">
        <v>6359</v>
      </c>
      <c r="I934" s="2" t="s">
        <v>6360</v>
      </c>
      <c r="J934" t="s">
        <v>6361</v>
      </c>
      <c r="L934" s="1">
        <v>2</v>
      </c>
      <c r="M934" s="1"/>
      <c r="N934" s="1"/>
      <c r="O934" s="3"/>
    </row>
    <row r="935" spans="1:15" ht="409.6">
      <c r="A935" s="2" t="s">
        <v>6362</v>
      </c>
      <c r="B935" t="s">
        <v>6363</v>
      </c>
      <c r="C935" t="s">
        <v>6260</v>
      </c>
      <c r="D935" t="s">
        <v>23</v>
      </c>
      <c r="E935">
        <v>20</v>
      </c>
      <c r="F935" s="2" t="s">
        <v>6364</v>
      </c>
      <c r="G935" s="2" t="s">
        <v>6365</v>
      </c>
      <c r="H935" s="2" t="s">
        <v>6366</v>
      </c>
      <c r="I935" s="2" t="s">
        <v>6367</v>
      </c>
      <c r="J935" t="s">
        <v>6368</v>
      </c>
      <c r="L935" s="1">
        <v>2</v>
      </c>
      <c r="M935" s="1"/>
      <c r="N935" s="1"/>
      <c r="O935" s="3"/>
    </row>
    <row r="936" spans="1:15" ht="409.6">
      <c r="A936" s="2" t="s">
        <v>6369</v>
      </c>
      <c r="B936" t="s">
        <v>6370</v>
      </c>
      <c r="C936" t="s">
        <v>6260</v>
      </c>
      <c r="D936" t="s">
        <v>23</v>
      </c>
      <c r="E936">
        <v>10</v>
      </c>
      <c r="F936" s="2" t="s">
        <v>6371</v>
      </c>
      <c r="G936" s="2" t="s">
        <v>6372</v>
      </c>
      <c r="H936" s="2" t="s">
        <v>6373</v>
      </c>
      <c r="I936" s="2" t="s">
        <v>6374</v>
      </c>
      <c r="J936" t="s">
        <v>6375</v>
      </c>
      <c r="L936" s="1">
        <v>2</v>
      </c>
      <c r="M936" s="1"/>
      <c r="N936" s="1"/>
      <c r="O936" s="3"/>
    </row>
    <row r="937" spans="1:15" ht="409.6">
      <c r="A937" s="2" t="s">
        <v>6376</v>
      </c>
      <c r="B937" s="2" t="s">
        <v>6377</v>
      </c>
      <c r="C937" t="s">
        <v>6260</v>
      </c>
      <c r="D937" t="s">
        <v>23</v>
      </c>
      <c r="E937">
        <v>30</v>
      </c>
      <c r="F937" s="2" t="s">
        <v>6378</v>
      </c>
      <c r="G937" s="2" t="s">
        <v>6379</v>
      </c>
      <c r="H937" s="2" t="s">
        <v>6380</v>
      </c>
      <c r="I937" s="2" t="s">
        <v>6381</v>
      </c>
      <c r="J937" t="s">
        <v>6382</v>
      </c>
      <c r="L937" s="1">
        <v>2</v>
      </c>
      <c r="M937" s="1"/>
      <c r="N937" s="1"/>
      <c r="O937" s="3"/>
    </row>
    <row r="938" spans="1:15" ht="409.6">
      <c r="A938" t="s">
        <v>6383</v>
      </c>
      <c r="B938" t="s">
        <v>6384</v>
      </c>
      <c r="C938" t="s">
        <v>6260</v>
      </c>
      <c r="D938" t="s">
        <v>23</v>
      </c>
      <c r="E938">
        <v>25</v>
      </c>
      <c r="F938" s="2" t="s">
        <v>6385</v>
      </c>
      <c r="G938" s="2" t="s">
        <v>6386</v>
      </c>
      <c r="H938" s="2" t="s">
        <v>6387</v>
      </c>
      <c r="I938" s="2" t="s">
        <v>6388</v>
      </c>
      <c r="J938" t="s">
        <v>6389</v>
      </c>
      <c r="L938" s="1">
        <v>2</v>
      </c>
      <c r="M938" s="1"/>
      <c r="N938" s="1"/>
      <c r="O938" s="3"/>
    </row>
    <row r="939" spans="1:15" ht="409.6">
      <c r="A939" s="2" t="s">
        <v>6390</v>
      </c>
      <c r="B939" t="s">
        <v>6391</v>
      </c>
      <c r="C939" t="s">
        <v>6260</v>
      </c>
      <c r="D939" t="s">
        <v>23</v>
      </c>
      <c r="E939">
        <v>30</v>
      </c>
      <c r="F939" s="2" t="s">
        <v>6392</v>
      </c>
      <c r="G939" s="2" t="s">
        <v>6393</v>
      </c>
      <c r="H939" s="2" t="s">
        <v>6394</v>
      </c>
      <c r="I939" s="2" t="s">
        <v>6395</v>
      </c>
      <c r="J939" t="s">
        <v>6396</v>
      </c>
      <c r="L939" s="1">
        <v>2</v>
      </c>
      <c r="M939" s="1"/>
      <c r="N939" s="1"/>
      <c r="O939" s="3"/>
    </row>
    <row r="940" spans="1:15" ht="409.6">
      <c r="A940" t="s">
        <v>6397</v>
      </c>
      <c r="B940" t="s">
        <v>6398</v>
      </c>
      <c r="C940" t="s">
        <v>6260</v>
      </c>
      <c r="D940" t="s">
        <v>23</v>
      </c>
      <c r="E940">
        <v>5</v>
      </c>
      <c r="F940" s="2" t="s">
        <v>6399</v>
      </c>
      <c r="G940" s="2" t="s">
        <v>6400</v>
      </c>
      <c r="H940" s="2" t="s">
        <v>6401</v>
      </c>
      <c r="I940" s="2" t="s">
        <v>6402</v>
      </c>
      <c r="J940" t="s">
        <v>6403</v>
      </c>
      <c r="L940" s="1">
        <v>2</v>
      </c>
      <c r="M940" s="1"/>
      <c r="N940" s="1"/>
      <c r="O940" s="3"/>
    </row>
    <row r="941" spans="1:15" ht="382.8">
      <c r="A941" t="s">
        <v>6404</v>
      </c>
      <c r="B941" t="s">
        <v>6405</v>
      </c>
      <c r="C941" t="s">
        <v>6260</v>
      </c>
      <c r="D941" t="s">
        <v>23</v>
      </c>
      <c r="E941">
        <v>10</v>
      </c>
      <c r="F941" s="2" t="s">
        <v>6406</v>
      </c>
      <c r="G941" s="2" t="s">
        <v>6407</v>
      </c>
      <c r="H941" s="2" t="s">
        <v>6408</v>
      </c>
      <c r="I941" s="2" t="s">
        <v>6409</v>
      </c>
      <c r="J941" t="s">
        <v>6410</v>
      </c>
      <c r="L941" s="1">
        <v>2</v>
      </c>
      <c r="M941" s="1"/>
      <c r="N941" s="1"/>
      <c r="O941" s="3"/>
    </row>
    <row r="942" spans="1:15" ht="409.6">
      <c r="A942" t="s">
        <v>6411</v>
      </c>
      <c r="B942" s="2" t="s">
        <v>6412</v>
      </c>
      <c r="C942" t="s">
        <v>6260</v>
      </c>
      <c r="D942" t="s">
        <v>23</v>
      </c>
      <c r="E942">
        <v>15</v>
      </c>
      <c r="F942" s="2" t="s">
        <v>6413</v>
      </c>
      <c r="G942" s="2" t="s">
        <v>6414</v>
      </c>
      <c r="H942" s="2" t="s">
        <v>6415</v>
      </c>
      <c r="I942" s="2" t="s">
        <v>6416</v>
      </c>
      <c r="J942" t="s">
        <v>6417</v>
      </c>
      <c r="L942" s="1">
        <v>2</v>
      </c>
      <c r="M942" s="1"/>
      <c r="N942" s="1"/>
      <c r="O942" s="3"/>
    </row>
    <row r="943" spans="1:15" ht="409.6">
      <c r="A943" s="2" t="s">
        <v>6418</v>
      </c>
      <c r="B943" t="s">
        <v>6419</v>
      </c>
      <c r="C943" t="s">
        <v>6260</v>
      </c>
      <c r="D943" t="s">
        <v>23</v>
      </c>
      <c r="E943">
        <v>30</v>
      </c>
      <c r="F943" s="2" t="s">
        <v>6420</v>
      </c>
      <c r="G943" s="2" t="s">
        <v>6421</v>
      </c>
      <c r="H943" s="2" t="s">
        <v>6422</v>
      </c>
      <c r="I943" s="2" t="s">
        <v>6423</v>
      </c>
      <c r="J943" t="s">
        <v>6424</v>
      </c>
      <c r="L943" s="1">
        <v>2</v>
      </c>
      <c r="M943" s="1"/>
      <c r="N943" s="1"/>
      <c r="O943" s="3"/>
    </row>
    <row r="944" spans="1:15" ht="382.8">
      <c r="A944" t="s">
        <v>6425</v>
      </c>
      <c r="B944" t="s">
        <v>6426</v>
      </c>
      <c r="C944" t="s">
        <v>6260</v>
      </c>
      <c r="D944" t="s">
        <v>23</v>
      </c>
      <c r="E944">
        <v>15</v>
      </c>
      <c r="F944" s="2" t="s">
        <v>6427</v>
      </c>
      <c r="G944" s="2" t="s">
        <v>6428</v>
      </c>
      <c r="H944" s="2" t="s">
        <v>6429</v>
      </c>
      <c r="I944" s="2" t="s">
        <v>6430</v>
      </c>
      <c r="J944" t="s">
        <v>6431</v>
      </c>
      <c r="L944" s="1">
        <v>2</v>
      </c>
      <c r="M944" s="1"/>
      <c r="N944" s="1"/>
      <c r="O944" s="3"/>
    </row>
    <row r="945" spans="1:15" ht="409.6">
      <c r="A945" s="2" t="s">
        <v>6432</v>
      </c>
      <c r="B945" s="2" t="s">
        <v>6433</v>
      </c>
      <c r="C945" t="s">
        <v>6260</v>
      </c>
      <c r="D945" t="s">
        <v>23</v>
      </c>
      <c r="E945">
        <v>10</v>
      </c>
      <c r="F945" s="2" t="s">
        <v>6434</v>
      </c>
      <c r="G945" s="2" t="s">
        <v>6435</v>
      </c>
      <c r="H945" s="2" t="s">
        <v>6436</v>
      </c>
      <c r="I945" s="2" t="s">
        <v>6437</v>
      </c>
      <c r="J945" t="s">
        <v>6438</v>
      </c>
      <c r="L945" s="1">
        <v>2</v>
      </c>
      <c r="M945" s="1"/>
      <c r="N945" s="1"/>
      <c r="O945" s="3"/>
    </row>
    <row r="946" spans="1:15" ht="409.6">
      <c r="A946" t="s">
        <v>6439</v>
      </c>
      <c r="B946" t="s">
        <v>6440</v>
      </c>
      <c r="C946" s="2" t="s">
        <v>6441</v>
      </c>
      <c r="D946" t="s">
        <v>23</v>
      </c>
      <c r="E946">
        <v>30</v>
      </c>
      <c r="F946" s="2" t="s">
        <v>6442</v>
      </c>
      <c r="G946" s="2" t="s">
        <v>6443</v>
      </c>
      <c r="H946" s="2" t="s">
        <v>6444</v>
      </c>
      <c r="I946" s="2" t="s">
        <v>6445</v>
      </c>
      <c r="J946" t="s">
        <v>6446</v>
      </c>
      <c r="K946" t="s">
        <v>6447</v>
      </c>
      <c r="L946" s="1">
        <v>2</v>
      </c>
      <c r="M946" s="1"/>
      <c r="N946" s="1"/>
      <c r="O946" s="3"/>
    </row>
    <row r="947" spans="1:15" ht="409.6">
      <c r="A947" t="s">
        <v>6448</v>
      </c>
      <c r="B947" t="s">
        <v>6449</v>
      </c>
      <c r="C947" s="2" t="s">
        <v>6441</v>
      </c>
      <c r="D947" t="s">
        <v>23</v>
      </c>
      <c r="E947">
        <v>30</v>
      </c>
      <c r="F947" s="2" t="s">
        <v>6450</v>
      </c>
      <c r="G947" s="2" t="s">
        <v>6451</v>
      </c>
      <c r="H947" s="2" t="s">
        <v>6452</v>
      </c>
      <c r="I947" s="2" t="s">
        <v>6453</v>
      </c>
      <c r="J947" t="s">
        <v>6454</v>
      </c>
      <c r="K947" t="s">
        <v>6455</v>
      </c>
      <c r="L947" s="1">
        <v>2</v>
      </c>
      <c r="M947" s="1"/>
      <c r="N947" s="1"/>
      <c r="O947" s="3"/>
    </row>
    <row r="948" spans="1:15" ht="409.6">
      <c r="A948" t="s">
        <v>6456</v>
      </c>
      <c r="B948" t="s">
        <v>6457</v>
      </c>
      <c r="C948" s="2" t="s">
        <v>6441</v>
      </c>
      <c r="D948" t="s">
        <v>23</v>
      </c>
      <c r="E948">
        <v>30</v>
      </c>
      <c r="F948" s="2" t="s">
        <v>6458</v>
      </c>
      <c r="G948" s="2" t="s">
        <v>6459</v>
      </c>
      <c r="H948" s="2" t="s">
        <v>6460</v>
      </c>
      <c r="I948" s="2" t="s">
        <v>6461</v>
      </c>
      <c r="J948" t="s">
        <v>6462</v>
      </c>
      <c r="L948" s="1">
        <v>2</v>
      </c>
      <c r="M948" s="1"/>
      <c r="N948" s="1"/>
      <c r="O948" s="3"/>
    </row>
    <row r="949" spans="1:15" ht="409.6">
      <c r="A949" t="s">
        <v>4322</v>
      </c>
      <c r="B949" t="s">
        <v>4323</v>
      </c>
      <c r="C949" s="2" t="s">
        <v>6441</v>
      </c>
      <c r="D949" t="s">
        <v>23</v>
      </c>
      <c r="E949">
        <v>30</v>
      </c>
      <c r="F949" s="2" t="s">
        <v>6463</v>
      </c>
      <c r="G949" s="2" t="s">
        <v>4325</v>
      </c>
      <c r="H949" s="2" t="s">
        <v>6464</v>
      </c>
      <c r="I949" s="2" t="s">
        <v>6465</v>
      </c>
      <c r="J949" t="s">
        <v>6466</v>
      </c>
      <c r="L949" s="1">
        <v>2</v>
      </c>
      <c r="M949" s="1"/>
      <c r="N949" s="1"/>
      <c r="O949" s="3"/>
    </row>
    <row r="950" spans="1:15" ht="409.6">
      <c r="A950" t="s">
        <v>6467</v>
      </c>
      <c r="B950" t="s">
        <v>6468</v>
      </c>
      <c r="C950" s="2" t="s">
        <v>6441</v>
      </c>
      <c r="D950" t="s">
        <v>14</v>
      </c>
      <c r="E950">
        <v>20</v>
      </c>
      <c r="F950" s="2" t="s">
        <v>6469</v>
      </c>
      <c r="G950" s="2" t="s">
        <v>6470</v>
      </c>
      <c r="H950" s="2" t="s">
        <v>6471</v>
      </c>
      <c r="I950" s="2" t="s">
        <v>6472</v>
      </c>
      <c r="J950" t="s">
        <v>6473</v>
      </c>
      <c r="L950" s="1">
        <v>2</v>
      </c>
      <c r="M950" s="1"/>
      <c r="N950" s="1"/>
      <c r="O950" s="3"/>
    </row>
    <row r="951" spans="1:15" ht="409.6">
      <c r="A951" t="s">
        <v>6474</v>
      </c>
      <c r="B951" t="s">
        <v>6475</v>
      </c>
      <c r="C951" s="2" t="s">
        <v>6441</v>
      </c>
      <c r="D951" t="s">
        <v>14</v>
      </c>
      <c r="E951">
        <v>40</v>
      </c>
      <c r="F951" s="2" t="s">
        <v>6476</v>
      </c>
      <c r="G951" s="2" t="s">
        <v>6477</v>
      </c>
      <c r="H951" s="2" t="s">
        <v>6478</v>
      </c>
      <c r="I951" s="2" t="s">
        <v>6479</v>
      </c>
      <c r="J951" t="s">
        <v>6480</v>
      </c>
      <c r="L951" s="1">
        <v>2</v>
      </c>
      <c r="M951" s="1"/>
      <c r="N951" s="1"/>
      <c r="O951" s="3"/>
    </row>
    <row r="952" spans="1:15" ht="409.6">
      <c r="A952" t="s">
        <v>6481</v>
      </c>
      <c r="B952" t="s">
        <v>6482</v>
      </c>
      <c r="C952" s="2" t="s">
        <v>6441</v>
      </c>
      <c r="D952" t="s">
        <v>23</v>
      </c>
      <c r="E952">
        <v>15</v>
      </c>
      <c r="F952" s="2" t="s">
        <v>6483</v>
      </c>
      <c r="G952" s="2" t="s">
        <v>6484</v>
      </c>
      <c r="H952" s="2" t="s">
        <v>6485</v>
      </c>
      <c r="I952" s="2" t="s">
        <v>6486</v>
      </c>
      <c r="J952" t="s">
        <v>6487</v>
      </c>
      <c r="L952" s="1">
        <v>2</v>
      </c>
      <c r="M952" s="1"/>
      <c r="N952" s="1"/>
      <c r="O952" s="3"/>
    </row>
    <row r="953" spans="1:15" ht="409.6">
      <c r="A953" t="s">
        <v>6488</v>
      </c>
      <c r="B953" t="s">
        <v>6489</v>
      </c>
      <c r="C953" s="2" t="s">
        <v>6441</v>
      </c>
      <c r="D953" t="s">
        <v>23</v>
      </c>
      <c r="E953">
        <v>20</v>
      </c>
      <c r="F953" s="2" t="s">
        <v>6490</v>
      </c>
      <c r="G953" s="2" t="s">
        <v>6491</v>
      </c>
      <c r="H953" s="2" t="s">
        <v>6492</v>
      </c>
      <c r="I953" s="2" t="s">
        <v>6493</v>
      </c>
      <c r="J953" t="s">
        <v>6494</v>
      </c>
      <c r="L953" s="1">
        <v>2</v>
      </c>
      <c r="M953" s="1"/>
      <c r="N953" s="1"/>
      <c r="O953" s="3"/>
    </row>
    <row r="954" spans="1:15" ht="409.6">
      <c r="A954" t="s">
        <v>6495</v>
      </c>
      <c r="B954" t="s">
        <v>6496</v>
      </c>
      <c r="C954" s="2" t="s">
        <v>6441</v>
      </c>
      <c r="D954" t="s">
        <v>14</v>
      </c>
      <c r="E954">
        <v>25</v>
      </c>
      <c r="F954" s="2" t="s">
        <v>6497</v>
      </c>
      <c r="G954" s="2" t="s">
        <v>6498</v>
      </c>
      <c r="H954" s="2" t="s">
        <v>6499</v>
      </c>
      <c r="I954" s="2" t="s">
        <v>6500</v>
      </c>
      <c r="J954" t="s">
        <v>6501</v>
      </c>
      <c r="L954" s="1">
        <v>2</v>
      </c>
      <c r="M954" s="1"/>
      <c r="N954" s="1"/>
      <c r="O954" s="3"/>
    </row>
    <row r="955" spans="1:15" ht="409.6">
      <c r="A955" t="s">
        <v>4513</v>
      </c>
      <c r="B955" t="s">
        <v>6502</v>
      </c>
      <c r="C955" s="2" t="s">
        <v>6441</v>
      </c>
      <c r="D955" t="s">
        <v>23</v>
      </c>
      <c r="E955">
        <v>30</v>
      </c>
      <c r="F955" s="2" t="s">
        <v>6503</v>
      </c>
      <c r="G955" s="2" t="s">
        <v>6504</v>
      </c>
      <c r="H955" s="2" t="s">
        <v>6505</v>
      </c>
      <c r="I955" s="2" t="s">
        <v>6506</v>
      </c>
      <c r="J955" t="s">
        <v>6507</v>
      </c>
      <c r="L955" s="1">
        <v>2</v>
      </c>
      <c r="M955" s="1"/>
      <c r="N955" s="1"/>
      <c r="O955" s="3"/>
    </row>
    <row r="956" spans="1:15" ht="409.6">
      <c r="A956" t="s">
        <v>6508</v>
      </c>
      <c r="B956" t="s">
        <v>6509</v>
      </c>
      <c r="C956" s="2" t="s">
        <v>6441</v>
      </c>
      <c r="D956" t="s">
        <v>14</v>
      </c>
      <c r="E956">
        <v>25</v>
      </c>
      <c r="F956" s="2" t="s">
        <v>6510</v>
      </c>
      <c r="G956" s="2" t="s">
        <v>6511</v>
      </c>
      <c r="H956" s="2" t="s">
        <v>6512</v>
      </c>
      <c r="I956" s="2" t="s">
        <v>6513</v>
      </c>
      <c r="J956" t="s">
        <v>6514</v>
      </c>
      <c r="L956" s="1">
        <v>2</v>
      </c>
      <c r="M956" s="1"/>
      <c r="N956" s="1"/>
      <c r="O956" s="3"/>
    </row>
    <row r="957" spans="1:15" ht="409.6">
      <c r="A957" t="s">
        <v>4604</v>
      </c>
      <c r="B957" t="s">
        <v>4605</v>
      </c>
      <c r="C957" s="2" t="s">
        <v>6441</v>
      </c>
      <c r="D957" t="s">
        <v>14</v>
      </c>
      <c r="E957">
        <v>20</v>
      </c>
      <c r="F957" s="2" t="s">
        <v>6515</v>
      </c>
      <c r="G957" s="2" t="s">
        <v>6516</v>
      </c>
      <c r="H957" s="2" t="s">
        <v>6517</v>
      </c>
      <c r="I957" s="2" t="s">
        <v>6518</v>
      </c>
      <c r="J957" t="s">
        <v>4610</v>
      </c>
      <c r="L957" s="1">
        <v>2</v>
      </c>
      <c r="M957" s="1"/>
      <c r="N957" s="1"/>
      <c r="O957" s="3"/>
    </row>
    <row r="958" spans="1:15" ht="409.6">
      <c r="A958" t="s">
        <v>2113</v>
      </c>
      <c r="B958" t="s">
        <v>2114</v>
      </c>
      <c r="C958" s="2" t="s">
        <v>6441</v>
      </c>
      <c r="D958" t="s">
        <v>14</v>
      </c>
      <c r="E958">
        <v>60</v>
      </c>
      <c r="F958" s="2" t="s">
        <v>6519</v>
      </c>
      <c r="G958" s="2" t="s">
        <v>6520</v>
      </c>
      <c r="H958" s="2" t="s">
        <v>6521</v>
      </c>
      <c r="I958" s="2" t="s">
        <v>6522</v>
      </c>
      <c r="J958" t="s">
        <v>6523</v>
      </c>
      <c r="L958" s="1">
        <v>2</v>
      </c>
      <c r="M958" s="1"/>
      <c r="N958" s="1"/>
      <c r="O958" s="3"/>
    </row>
    <row r="959" spans="1:15" ht="409.6">
      <c r="A959" t="s">
        <v>6524</v>
      </c>
      <c r="B959" t="s">
        <v>6525</v>
      </c>
      <c r="C959" s="2" t="s">
        <v>6441</v>
      </c>
      <c r="D959" t="s">
        <v>14</v>
      </c>
      <c r="E959">
        <v>30</v>
      </c>
      <c r="F959" s="2" t="s">
        <v>6526</v>
      </c>
      <c r="G959" s="2" t="s">
        <v>6527</v>
      </c>
      <c r="H959" s="2" t="s">
        <v>6528</v>
      </c>
      <c r="I959" s="2" t="s">
        <v>6529</v>
      </c>
      <c r="J959" t="s">
        <v>6530</v>
      </c>
      <c r="L959" s="1">
        <v>2</v>
      </c>
      <c r="M959" s="1"/>
      <c r="N959" s="1"/>
      <c r="O959" s="3"/>
    </row>
    <row r="960" spans="1:15" ht="409.6">
      <c r="A960" t="s">
        <v>570</v>
      </c>
      <c r="B960" t="s">
        <v>571</v>
      </c>
      <c r="C960" s="2" t="s">
        <v>6441</v>
      </c>
      <c r="D960" t="s">
        <v>14</v>
      </c>
      <c r="E960">
        <v>25</v>
      </c>
      <c r="F960" s="2" t="s">
        <v>6531</v>
      </c>
      <c r="G960" s="2" t="s">
        <v>6532</v>
      </c>
      <c r="H960" s="2" t="s">
        <v>6533</v>
      </c>
      <c r="I960" s="2" t="s">
        <v>6534</v>
      </c>
      <c r="J960" t="s">
        <v>6535</v>
      </c>
      <c r="L960" s="1">
        <v>2</v>
      </c>
      <c r="M960" s="1"/>
      <c r="N960" s="1"/>
      <c r="O960" s="3"/>
    </row>
    <row r="961" spans="1:15" ht="409.6">
      <c r="A961" t="s">
        <v>6536</v>
      </c>
      <c r="B961" t="s">
        <v>6537</v>
      </c>
      <c r="C961" s="2" t="s">
        <v>6441</v>
      </c>
      <c r="D961" t="s">
        <v>14</v>
      </c>
      <c r="E961">
        <v>90</v>
      </c>
      <c r="F961" s="2" t="s">
        <v>6538</v>
      </c>
      <c r="G961" s="2" t="s">
        <v>6539</v>
      </c>
      <c r="H961" s="2" t="s">
        <v>6540</v>
      </c>
      <c r="I961" s="2" t="s">
        <v>6541</v>
      </c>
      <c r="J961" t="s">
        <v>6542</v>
      </c>
      <c r="L961" s="1">
        <v>2</v>
      </c>
      <c r="M961" s="1"/>
      <c r="N961" s="1"/>
      <c r="O961" s="3"/>
    </row>
    <row r="962" spans="1:15" ht="409.6">
      <c r="A962" t="s">
        <v>6543</v>
      </c>
      <c r="B962" t="s">
        <v>6544</v>
      </c>
      <c r="C962" s="2" t="s">
        <v>6441</v>
      </c>
      <c r="D962" t="s">
        <v>14</v>
      </c>
      <c r="E962">
        <v>20</v>
      </c>
      <c r="F962" s="2" t="s">
        <v>6545</v>
      </c>
      <c r="G962" s="2" t="s">
        <v>6546</v>
      </c>
      <c r="H962" s="2" t="s">
        <v>6547</v>
      </c>
      <c r="I962" s="2" t="s">
        <v>6548</v>
      </c>
      <c r="J962" t="s">
        <v>6549</v>
      </c>
      <c r="L962" s="1">
        <v>2</v>
      </c>
      <c r="M962" s="1"/>
      <c r="N962" s="1"/>
      <c r="O962" s="3"/>
    </row>
    <row r="963" spans="1:15" ht="409.6">
      <c r="A963" t="s">
        <v>6550</v>
      </c>
      <c r="B963" t="s">
        <v>6551</v>
      </c>
      <c r="C963" s="2" t="s">
        <v>6441</v>
      </c>
      <c r="D963" t="s">
        <v>14</v>
      </c>
      <c r="E963">
        <v>20</v>
      </c>
      <c r="F963" s="2" t="s">
        <v>6552</v>
      </c>
      <c r="G963" s="2" t="s">
        <v>6553</v>
      </c>
      <c r="H963" s="2" t="s">
        <v>6554</v>
      </c>
      <c r="I963" s="2" t="s">
        <v>6555</v>
      </c>
      <c r="J963" t="s">
        <v>6556</v>
      </c>
      <c r="L963" s="1">
        <v>2</v>
      </c>
      <c r="M963" s="1"/>
      <c r="N963" s="1"/>
      <c r="O963" s="3"/>
    </row>
    <row r="964" spans="1:15" ht="409.6">
      <c r="A964" t="s">
        <v>6557</v>
      </c>
      <c r="B964" t="s">
        <v>6558</v>
      </c>
      <c r="C964" s="2" t="s">
        <v>6441</v>
      </c>
      <c r="D964" t="s">
        <v>23</v>
      </c>
      <c r="E964">
        <v>20</v>
      </c>
      <c r="F964" s="2" t="s">
        <v>6559</v>
      </c>
      <c r="G964" s="2" t="s">
        <v>6560</v>
      </c>
      <c r="H964" s="2" t="s">
        <v>6561</v>
      </c>
      <c r="I964" s="2" t="s">
        <v>6562</v>
      </c>
      <c r="J964" t="s">
        <v>6563</v>
      </c>
      <c r="L964" s="1">
        <v>2</v>
      </c>
      <c r="M964" s="1"/>
      <c r="N964" s="1"/>
      <c r="O964" s="3"/>
    </row>
    <row r="965" spans="1:15" ht="409.6">
      <c r="A965" t="s">
        <v>6564</v>
      </c>
      <c r="B965" t="s">
        <v>6565</v>
      </c>
      <c r="C965" s="2" t="s">
        <v>6441</v>
      </c>
      <c r="D965" t="s">
        <v>23</v>
      </c>
      <c r="E965">
        <v>10</v>
      </c>
      <c r="F965" s="2" t="s">
        <v>6566</v>
      </c>
      <c r="G965" s="2" t="s">
        <v>6567</v>
      </c>
      <c r="H965" s="2" t="s">
        <v>6568</v>
      </c>
      <c r="I965" s="2" t="s">
        <v>6569</v>
      </c>
      <c r="J965" t="s">
        <v>6570</v>
      </c>
      <c r="L965" s="1">
        <v>2</v>
      </c>
      <c r="M965" s="1"/>
      <c r="N965" s="1"/>
      <c r="O965" s="3"/>
    </row>
    <row r="966" spans="1:15" ht="409.6">
      <c r="A966" t="s">
        <v>6571</v>
      </c>
      <c r="B966" t="s">
        <v>6572</v>
      </c>
      <c r="C966" s="2" t="s">
        <v>6441</v>
      </c>
      <c r="D966" t="s">
        <v>23</v>
      </c>
      <c r="E966">
        <v>40</v>
      </c>
      <c r="F966" s="2" t="s">
        <v>6573</v>
      </c>
      <c r="G966" s="2" t="s">
        <v>6574</v>
      </c>
      <c r="H966" s="2" t="s">
        <v>6575</v>
      </c>
      <c r="I966" s="2" t="s">
        <v>6576</v>
      </c>
      <c r="J966" t="s">
        <v>6577</v>
      </c>
      <c r="L966" s="1">
        <v>2</v>
      </c>
      <c r="M966" s="1"/>
      <c r="N966" s="1"/>
      <c r="O966" s="3"/>
    </row>
    <row r="967" spans="1:15" ht="409.6">
      <c r="A967" t="s">
        <v>6578</v>
      </c>
      <c r="B967" t="s">
        <v>6579</v>
      </c>
      <c r="C967" s="2" t="s">
        <v>6441</v>
      </c>
      <c r="D967" t="s">
        <v>23</v>
      </c>
      <c r="E967">
        <v>10</v>
      </c>
      <c r="F967" s="2" t="s">
        <v>6580</v>
      </c>
      <c r="G967" s="2" t="s">
        <v>6581</v>
      </c>
      <c r="H967" s="2" t="s">
        <v>6582</v>
      </c>
      <c r="I967" s="2" t="s">
        <v>6583</v>
      </c>
      <c r="J967" t="s">
        <v>6584</v>
      </c>
      <c r="L967" s="1">
        <v>2</v>
      </c>
      <c r="M967" s="1"/>
      <c r="N967" s="1"/>
      <c r="O967" s="3"/>
    </row>
    <row r="968" spans="1:15" ht="409.6">
      <c r="A968" t="s">
        <v>6585</v>
      </c>
      <c r="B968" t="s">
        <v>6586</v>
      </c>
      <c r="C968" s="2" t="s">
        <v>6441</v>
      </c>
      <c r="D968" t="s">
        <v>23</v>
      </c>
      <c r="E968">
        <v>20</v>
      </c>
      <c r="F968" s="2" t="s">
        <v>6587</v>
      </c>
      <c r="G968" s="2" t="s">
        <v>6588</v>
      </c>
      <c r="H968" s="2" t="s">
        <v>6589</v>
      </c>
      <c r="I968" s="2" t="s">
        <v>6590</v>
      </c>
      <c r="J968" t="s">
        <v>6591</v>
      </c>
      <c r="L968" s="1">
        <v>2</v>
      </c>
      <c r="M968" s="1"/>
      <c r="N968" s="1"/>
      <c r="O968" s="3"/>
    </row>
    <row r="969" spans="1:15" ht="409.6">
      <c r="A969" t="s">
        <v>4937</v>
      </c>
      <c r="B969" t="s">
        <v>6592</v>
      </c>
      <c r="C969" s="2" t="s">
        <v>6441</v>
      </c>
      <c r="D969" t="s">
        <v>23</v>
      </c>
      <c r="E969">
        <v>40</v>
      </c>
      <c r="F969" s="2" t="s">
        <v>6593</v>
      </c>
      <c r="G969" s="2" t="s">
        <v>6594</v>
      </c>
      <c r="H969" s="2" t="s">
        <v>6595</v>
      </c>
      <c r="I969" s="2" t="s">
        <v>6596</v>
      </c>
      <c r="J969" t="s">
        <v>6597</v>
      </c>
      <c r="L969" s="1">
        <v>2</v>
      </c>
      <c r="M969" s="1"/>
      <c r="N969" s="1"/>
      <c r="O969" s="3"/>
    </row>
    <row r="970" spans="1:15" ht="409.6">
      <c r="A970" t="s">
        <v>4957</v>
      </c>
      <c r="B970" t="s">
        <v>4958</v>
      </c>
      <c r="C970" s="2" t="s">
        <v>6441</v>
      </c>
      <c r="D970" t="s">
        <v>23</v>
      </c>
      <c r="E970">
        <v>20</v>
      </c>
      <c r="F970" s="2" t="s">
        <v>6598</v>
      </c>
      <c r="G970" s="2" t="s">
        <v>6599</v>
      </c>
      <c r="H970" s="2" t="s">
        <v>6600</v>
      </c>
      <c r="I970" s="2" t="s">
        <v>6601</v>
      </c>
      <c r="J970" t="s">
        <v>6602</v>
      </c>
      <c r="L970" s="1">
        <v>2</v>
      </c>
      <c r="M970" s="1"/>
      <c r="N970" s="1"/>
      <c r="O970" s="3"/>
    </row>
    <row r="971" spans="1:15" ht="409.6">
      <c r="A971" t="s">
        <v>6603</v>
      </c>
      <c r="B971" t="s">
        <v>6604</v>
      </c>
      <c r="C971" s="2" t="s">
        <v>6441</v>
      </c>
      <c r="D971" t="s">
        <v>23</v>
      </c>
      <c r="E971">
        <v>20</v>
      </c>
      <c r="F971" s="2" t="s">
        <v>6605</v>
      </c>
      <c r="G971" s="2" t="s">
        <v>6606</v>
      </c>
      <c r="H971" s="2" t="s">
        <v>6607</v>
      </c>
      <c r="I971" s="2" t="s">
        <v>6608</v>
      </c>
      <c r="J971" t="s">
        <v>6609</v>
      </c>
      <c r="L971" s="1">
        <v>2</v>
      </c>
      <c r="M971" s="1"/>
      <c r="N971" s="1"/>
      <c r="O971" s="3"/>
    </row>
    <row r="972" spans="1:15" ht="409.6">
      <c r="A972" t="s">
        <v>6610</v>
      </c>
      <c r="B972" t="s">
        <v>6611</v>
      </c>
      <c r="C972" s="2" t="s">
        <v>6441</v>
      </c>
      <c r="D972" t="s">
        <v>14</v>
      </c>
      <c r="E972">
        <v>20</v>
      </c>
      <c r="F972" s="2" t="s">
        <v>6612</v>
      </c>
      <c r="G972" s="2" t="s">
        <v>6613</v>
      </c>
      <c r="H972" s="2" t="s">
        <v>6614</v>
      </c>
      <c r="I972" s="2" t="s">
        <v>6615</v>
      </c>
      <c r="J972" t="s">
        <v>6616</v>
      </c>
      <c r="L972" s="1">
        <v>2</v>
      </c>
      <c r="M972" s="1"/>
      <c r="N972" s="1"/>
      <c r="O972" s="3"/>
    </row>
    <row r="973" spans="1:15" ht="409.6">
      <c r="A973" t="s">
        <v>6617</v>
      </c>
      <c r="B973" t="s">
        <v>6618</v>
      </c>
      <c r="C973" s="2" t="s">
        <v>6441</v>
      </c>
      <c r="D973" t="s">
        <v>23</v>
      </c>
      <c r="E973">
        <v>40</v>
      </c>
      <c r="F973" s="2" t="s">
        <v>6619</v>
      </c>
      <c r="G973" s="2" t="s">
        <v>6620</v>
      </c>
      <c r="H973" s="2" t="s">
        <v>6621</v>
      </c>
      <c r="I973" s="2" t="s">
        <v>6622</v>
      </c>
      <c r="J973" t="s">
        <v>6623</v>
      </c>
      <c r="L973" s="1">
        <v>2</v>
      </c>
      <c r="M973" s="1"/>
      <c r="N973" s="1"/>
      <c r="O973" s="3"/>
    </row>
    <row r="974" spans="1:15" ht="409.6">
      <c r="A974" t="s">
        <v>6624</v>
      </c>
      <c r="B974" t="s">
        <v>6625</v>
      </c>
      <c r="C974" s="2" t="s">
        <v>6441</v>
      </c>
      <c r="D974" t="s">
        <v>23</v>
      </c>
      <c r="E974">
        <v>30</v>
      </c>
      <c r="F974" s="2" t="s">
        <v>6626</v>
      </c>
      <c r="G974" s="2" t="s">
        <v>6627</v>
      </c>
      <c r="H974" s="2" t="s">
        <v>6628</v>
      </c>
      <c r="I974" s="2" t="s">
        <v>6629</v>
      </c>
      <c r="J974" t="s">
        <v>6630</v>
      </c>
      <c r="L974" s="1">
        <v>2</v>
      </c>
      <c r="M974" s="1"/>
      <c r="N974" s="1"/>
      <c r="O974" s="3"/>
    </row>
    <row r="975" spans="1:15" ht="409.6">
      <c r="A975" t="s">
        <v>6631</v>
      </c>
      <c r="B975" t="s">
        <v>6632</v>
      </c>
      <c r="C975" s="2" t="s">
        <v>6441</v>
      </c>
      <c r="D975" t="s">
        <v>14</v>
      </c>
      <c r="E975">
        <v>15</v>
      </c>
      <c r="F975" s="2" t="s">
        <v>6633</v>
      </c>
      <c r="G975" s="2" t="s">
        <v>6634</v>
      </c>
      <c r="H975" s="2" t="s">
        <v>6635</v>
      </c>
      <c r="I975" s="2" t="s">
        <v>6636</v>
      </c>
      <c r="J975" t="s">
        <v>6637</v>
      </c>
      <c r="L975" s="1">
        <v>2</v>
      </c>
      <c r="M975" s="1"/>
      <c r="N975" s="1"/>
      <c r="O975" s="3"/>
    </row>
    <row r="976" spans="1:15" ht="409.6">
      <c r="A976" t="s">
        <v>6638</v>
      </c>
      <c r="B976" t="s">
        <v>6639</v>
      </c>
      <c r="C976" s="2" t="s">
        <v>6441</v>
      </c>
      <c r="D976" t="s">
        <v>23</v>
      </c>
      <c r="E976">
        <v>40</v>
      </c>
      <c r="F976" s="2" t="s">
        <v>6640</v>
      </c>
      <c r="G976" s="2" t="s">
        <v>6641</v>
      </c>
      <c r="H976" s="2" t="s">
        <v>6642</v>
      </c>
      <c r="I976" s="2" t="s">
        <v>6643</v>
      </c>
      <c r="J976" t="s">
        <v>6644</v>
      </c>
      <c r="L976" s="1">
        <v>2</v>
      </c>
      <c r="M976" s="1"/>
      <c r="N976" s="1"/>
      <c r="O976" s="3"/>
    </row>
    <row r="977" spans="1:15" ht="409.6">
      <c r="A977" t="s">
        <v>6645</v>
      </c>
      <c r="B977" t="s">
        <v>6646</v>
      </c>
      <c r="C977" s="2" t="s">
        <v>6441</v>
      </c>
      <c r="D977" t="s">
        <v>14</v>
      </c>
      <c r="E977">
        <v>30</v>
      </c>
      <c r="F977" s="2" t="s">
        <v>6647</v>
      </c>
      <c r="G977" s="2" t="s">
        <v>6648</v>
      </c>
      <c r="H977" s="2" t="s">
        <v>6649</v>
      </c>
      <c r="I977" s="2" t="s">
        <v>6650</v>
      </c>
      <c r="J977" t="s">
        <v>6651</v>
      </c>
      <c r="L977" s="1">
        <v>2</v>
      </c>
      <c r="M977" s="1"/>
      <c r="N977" s="1"/>
      <c r="O977" s="3"/>
    </row>
    <row r="978" spans="1:15" ht="409.6">
      <c r="A978" t="s">
        <v>6652</v>
      </c>
      <c r="B978" t="s">
        <v>6653</v>
      </c>
      <c r="C978" s="2" t="s">
        <v>6441</v>
      </c>
      <c r="D978" t="s">
        <v>23</v>
      </c>
      <c r="E978">
        <v>20</v>
      </c>
      <c r="F978" s="2" t="s">
        <v>6654</v>
      </c>
      <c r="G978" s="2" t="s">
        <v>6655</v>
      </c>
      <c r="H978" s="2" t="s">
        <v>6656</v>
      </c>
      <c r="I978" s="2" t="s">
        <v>6657</v>
      </c>
      <c r="J978" t="s">
        <v>6658</v>
      </c>
      <c r="L978" s="1">
        <v>2</v>
      </c>
      <c r="M978" s="1"/>
      <c r="N978" s="1"/>
      <c r="O978" s="3"/>
    </row>
    <row r="979" spans="1:15" ht="409.6">
      <c r="A979" t="s">
        <v>6659</v>
      </c>
      <c r="B979" t="s">
        <v>6660</v>
      </c>
      <c r="C979" s="2" t="s">
        <v>6441</v>
      </c>
      <c r="D979" t="s">
        <v>23</v>
      </c>
      <c r="E979">
        <v>20</v>
      </c>
      <c r="F979" s="2" t="s">
        <v>6661</v>
      </c>
      <c r="G979" s="2" t="s">
        <v>6662</v>
      </c>
      <c r="H979" s="2" t="s">
        <v>6663</v>
      </c>
      <c r="I979" s="2" t="s">
        <v>6664</v>
      </c>
      <c r="J979" t="s">
        <v>6665</v>
      </c>
      <c r="L979" s="1">
        <v>2</v>
      </c>
      <c r="M979" s="1"/>
      <c r="N979" s="1"/>
      <c r="O979" s="3"/>
    </row>
    <row r="980" spans="1:15" ht="409.6">
      <c r="A980" t="s">
        <v>6666</v>
      </c>
      <c r="B980" t="s">
        <v>6667</v>
      </c>
      <c r="C980" s="2" t="s">
        <v>6441</v>
      </c>
      <c r="D980" t="s">
        <v>23</v>
      </c>
      <c r="E980">
        <v>40</v>
      </c>
      <c r="F980" s="2" t="s">
        <v>6668</v>
      </c>
      <c r="G980" s="2" t="s">
        <v>6669</v>
      </c>
      <c r="H980" s="2" t="s">
        <v>6670</v>
      </c>
      <c r="I980" s="2" t="s">
        <v>6671</v>
      </c>
      <c r="J980" t="s">
        <v>6672</v>
      </c>
      <c r="L980" s="1">
        <v>2</v>
      </c>
      <c r="M980" s="1"/>
      <c r="N980" s="1"/>
      <c r="O980" s="3"/>
    </row>
    <row r="981" spans="1:15" ht="409.6">
      <c r="A981" t="s">
        <v>6673</v>
      </c>
      <c r="B981" t="s">
        <v>6674</v>
      </c>
      <c r="C981" s="2" t="s">
        <v>6441</v>
      </c>
      <c r="D981" t="s">
        <v>14</v>
      </c>
      <c r="E981">
        <v>30</v>
      </c>
      <c r="F981" s="2" t="s">
        <v>5379</v>
      </c>
      <c r="G981" s="2" t="s">
        <v>5380</v>
      </c>
      <c r="H981" s="2" t="s">
        <v>6675</v>
      </c>
      <c r="I981" s="2" t="s">
        <v>6676</v>
      </c>
      <c r="J981" t="s">
        <v>6677</v>
      </c>
      <c r="L981" s="1">
        <v>2</v>
      </c>
      <c r="M981" s="1"/>
      <c r="N981" s="1"/>
      <c r="O981" s="3"/>
    </row>
    <row r="982" spans="1:15" ht="409.6">
      <c r="A982" t="s">
        <v>6678</v>
      </c>
      <c r="B982" t="s">
        <v>6679</v>
      </c>
      <c r="C982" s="2" t="s">
        <v>6441</v>
      </c>
      <c r="D982" t="s">
        <v>14</v>
      </c>
      <c r="E982">
        <v>60</v>
      </c>
      <c r="F982" s="2" t="s">
        <v>6680</v>
      </c>
      <c r="G982" s="2" t="s">
        <v>6681</v>
      </c>
      <c r="H982" s="2" t="s">
        <v>6682</v>
      </c>
      <c r="I982" s="2" t="s">
        <v>6683</v>
      </c>
      <c r="J982" t="s">
        <v>6684</v>
      </c>
      <c r="L982" s="1">
        <v>2</v>
      </c>
      <c r="M982" s="1"/>
      <c r="N982" s="1"/>
      <c r="O982" s="3"/>
    </row>
    <row r="983" spans="1:15" ht="409.6">
      <c r="A983" t="s">
        <v>6685</v>
      </c>
      <c r="B983" t="s">
        <v>6686</v>
      </c>
      <c r="C983" s="2" t="s">
        <v>6441</v>
      </c>
      <c r="D983" t="s">
        <v>14</v>
      </c>
      <c r="E983">
        <v>20</v>
      </c>
      <c r="F983" s="2" t="s">
        <v>6687</v>
      </c>
      <c r="G983" s="2" t="s">
        <v>6688</v>
      </c>
      <c r="H983" s="2" t="s">
        <v>6689</v>
      </c>
      <c r="I983" s="2" t="s">
        <v>6690</v>
      </c>
      <c r="J983" t="s">
        <v>6691</v>
      </c>
      <c r="L983" s="1">
        <v>2</v>
      </c>
      <c r="M983" s="1"/>
      <c r="N983" s="1"/>
      <c r="O983" s="3"/>
    </row>
    <row r="984" spans="1:15" ht="409.6">
      <c r="A984" t="s">
        <v>6692</v>
      </c>
      <c r="B984" t="s">
        <v>6693</v>
      </c>
      <c r="C984" s="2" t="s">
        <v>6441</v>
      </c>
      <c r="D984" t="s">
        <v>23</v>
      </c>
      <c r="E984">
        <v>20</v>
      </c>
      <c r="F984" s="2" t="s">
        <v>6694</v>
      </c>
      <c r="G984" s="2" t="s">
        <v>6695</v>
      </c>
      <c r="H984" s="2" t="s">
        <v>6696</v>
      </c>
      <c r="I984" s="2" t="s">
        <v>6697</v>
      </c>
      <c r="J984" t="s">
        <v>6698</v>
      </c>
      <c r="L984" s="1">
        <v>2</v>
      </c>
      <c r="M984" s="1"/>
      <c r="N984" s="1"/>
      <c r="O984" s="3"/>
    </row>
    <row r="985" spans="1:15" ht="409.6">
      <c r="A985" t="s">
        <v>6699</v>
      </c>
      <c r="B985" t="s">
        <v>6700</v>
      </c>
      <c r="C985" s="2" t="s">
        <v>6441</v>
      </c>
      <c r="D985" t="s">
        <v>14</v>
      </c>
      <c r="E985">
        <v>40</v>
      </c>
      <c r="F985" s="2" t="s">
        <v>6701</v>
      </c>
      <c r="G985" s="2" t="s">
        <v>6702</v>
      </c>
      <c r="H985" s="2" t="s">
        <v>6703</v>
      </c>
      <c r="I985" s="2" t="s">
        <v>6704</v>
      </c>
      <c r="J985" t="s">
        <v>6705</v>
      </c>
      <c r="L985" s="1">
        <v>2</v>
      </c>
      <c r="M985" s="1"/>
      <c r="N985" s="1"/>
      <c r="O985" s="3"/>
    </row>
    <row r="986" spans="1:15" ht="409.6">
      <c r="A986" t="s">
        <v>6706</v>
      </c>
      <c r="B986" t="s">
        <v>6707</v>
      </c>
      <c r="C986" s="2" t="s">
        <v>6441</v>
      </c>
      <c r="D986" t="s">
        <v>23</v>
      </c>
      <c r="E986">
        <v>30</v>
      </c>
      <c r="F986" s="2" t="s">
        <v>6708</v>
      </c>
      <c r="G986" s="2" t="s">
        <v>6709</v>
      </c>
      <c r="H986" s="2" t="s">
        <v>6710</v>
      </c>
      <c r="I986" s="2" t="s">
        <v>6711</v>
      </c>
      <c r="J986" t="s">
        <v>6712</v>
      </c>
      <c r="L986" s="1">
        <v>2</v>
      </c>
      <c r="M986" s="1"/>
      <c r="N986" s="1"/>
      <c r="O986" s="3"/>
    </row>
    <row r="987" spans="1:15" ht="409.6">
      <c r="A987" t="s">
        <v>6713</v>
      </c>
      <c r="B987" t="s">
        <v>6714</v>
      </c>
      <c r="C987" s="2" t="s">
        <v>6441</v>
      </c>
      <c r="D987" t="s">
        <v>14</v>
      </c>
      <c r="E987">
        <v>30</v>
      </c>
      <c r="F987" s="2" t="s">
        <v>6715</v>
      </c>
      <c r="G987" s="2" t="s">
        <v>6716</v>
      </c>
      <c r="H987" s="2" t="s">
        <v>6717</v>
      </c>
      <c r="I987" s="2" t="s">
        <v>6718</v>
      </c>
      <c r="J987" t="s">
        <v>6719</v>
      </c>
      <c r="L987" s="1">
        <v>2</v>
      </c>
      <c r="M987" s="1"/>
      <c r="N987" s="1"/>
      <c r="O987" s="3"/>
    </row>
    <row r="988" spans="1:15" ht="409.6">
      <c r="A988" t="s">
        <v>6720</v>
      </c>
      <c r="B988" t="s">
        <v>6721</v>
      </c>
      <c r="C988" s="2" t="s">
        <v>6441</v>
      </c>
      <c r="D988" t="s">
        <v>23</v>
      </c>
      <c r="E988">
        <v>5</v>
      </c>
      <c r="F988" s="2" t="s">
        <v>6722</v>
      </c>
      <c r="G988" s="2" t="s">
        <v>6723</v>
      </c>
      <c r="H988" s="2" t="s">
        <v>6724</v>
      </c>
      <c r="I988" s="2" t="s">
        <v>6725</v>
      </c>
      <c r="J988" t="s">
        <v>6726</v>
      </c>
      <c r="L988" s="1">
        <v>2</v>
      </c>
      <c r="M988" s="1"/>
      <c r="N988" s="1"/>
      <c r="O988" s="3"/>
    </row>
    <row r="989" spans="1:15" ht="409.6">
      <c r="A989" t="s">
        <v>6727</v>
      </c>
      <c r="B989" t="s">
        <v>6728</v>
      </c>
      <c r="C989" s="2" t="s">
        <v>6441</v>
      </c>
      <c r="D989" t="s">
        <v>14</v>
      </c>
      <c r="E989">
        <v>25</v>
      </c>
      <c r="F989" s="2" t="s">
        <v>6729</v>
      </c>
      <c r="G989" s="2" t="s">
        <v>6730</v>
      </c>
      <c r="H989" s="2" t="s">
        <v>6731</v>
      </c>
      <c r="I989" s="2" t="s">
        <v>6732</v>
      </c>
      <c r="J989" t="s">
        <v>6733</v>
      </c>
      <c r="L989" s="1">
        <v>2</v>
      </c>
      <c r="M989" s="1"/>
      <c r="N989" s="1"/>
      <c r="O989" s="3"/>
    </row>
    <row r="990" spans="1:15" ht="409.6">
      <c r="A990" t="s">
        <v>6734</v>
      </c>
      <c r="B990" t="s">
        <v>6735</v>
      </c>
      <c r="C990" s="2" t="s">
        <v>6441</v>
      </c>
      <c r="D990" t="s">
        <v>14</v>
      </c>
      <c r="E990">
        <v>30</v>
      </c>
      <c r="F990" s="2" t="s">
        <v>6736</v>
      </c>
      <c r="G990" s="2" t="s">
        <v>6737</v>
      </c>
      <c r="H990" s="2" t="s">
        <v>6738</v>
      </c>
      <c r="I990" s="2" t="s">
        <v>6739</v>
      </c>
      <c r="J990" t="s">
        <v>6740</v>
      </c>
      <c r="L990" s="1">
        <v>2</v>
      </c>
      <c r="M990" s="1"/>
      <c r="N990" s="1"/>
      <c r="O990" s="3"/>
    </row>
    <row r="991" spans="1:15" ht="409.6">
      <c r="A991" t="s">
        <v>6741</v>
      </c>
      <c r="B991" t="s">
        <v>6742</v>
      </c>
      <c r="C991" s="2" t="s">
        <v>6441</v>
      </c>
      <c r="D991" t="s">
        <v>14</v>
      </c>
      <c r="E991">
        <v>20</v>
      </c>
      <c r="F991" s="2" t="s">
        <v>6743</v>
      </c>
      <c r="G991" s="2" t="s">
        <v>6744</v>
      </c>
      <c r="H991" s="2" t="s">
        <v>6745</v>
      </c>
      <c r="I991" s="2" t="s">
        <v>6746</v>
      </c>
      <c r="J991" t="s">
        <v>6747</v>
      </c>
      <c r="L991" s="1">
        <v>2</v>
      </c>
      <c r="M991" s="1"/>
      <c r="N991" s="1"/>
      <c r="O991" s="3"/>
    </row>
    <row r="992" spans="1:15" ht="409.6">
      <c r="A992" t="s">
        <v>6748</v>
      </c>
      <c r="B992" t="s">
        <v>6749</v>
      </c>
      <c r="C992" s="2" t="s">
        <v>6441</v>
      </c>
      <c r="D992" t="s">
        <v>23</v>
      </c>
      <c r="E992">
        <v>30</v>
      </c>
      <c r="F992" s="2" t="s">
        <v>6750</v>
      </c>
      <c r="G992" s="2" t="s">
        <v>6751</v>
      </c>
      <c r="H992" s="2" t="s">
        <v>6752</v>
      </c>
      <c r="I992" s="2" t="s">
        <v>6753</v>
      </c>
      <c r="J992" t="s">
        <v>6754</v>
      </c>
      <c r="L992" s="1">
        <v>2</v>
      </c>
      <c r="M992" s="1"/>
      <c r="N992" s="1"/>
      <c r="O992" s="3"/>
    </row>
    <row r="993" spans="1:15" ht="409.6">
      <c r="A993" t="s">
        <v>6755</v>
      </c>
      <c r="B993" t="s">
        <v>6756</v>
      </c>
      <c r="C993" s="2" t="s">
        <v>6441</v>
      </c>
      <c r="D993" t="s">
        <v>23</v>
      </c>
      <c r="E993">
        <v>30</v>
      </c>
      <c r="F993" s="2" t="s">
        <v>6757</v>
      </c>
      <c r="G993" s="2" t="s">
        <v>6758</v>
      </c>
      <c r="H993" s="2" t="s">
        <v>6759</v>
      </c>
      <c r="I993" s="2" t="s">
        <v>6760</v>
      </c>
      <c r="J993" t="s">
        <v>6761</v>
      </c>
      <c r="L993" s="1">
        <v>2</v>
      </c>
      <c r="M993" s="1"/>
      <c r="N993" s="1"/>
      <c r="O993" s="3"/>
    </row>
    <row r="994" spans="1:15" ht="409.6">
      <c r="A994" t="s">
        <v>6762</v>
      </c>
      <c r="B994" t="s">
        <v>6763</v>
      </c>
      <c r="C994" s="2" t="s">
        <v>6441</v>
      </c>
      <c r="D994" t="s">
        <v>14</v>
      </c>
      <c r="E994">
        <v>40</v>
      </c>
      <c r="F994" s="2" t="s">
        <v>6764</v>
      </c>
      <c r="G994" s="2" t="s">
        <v>6765</v>
      </c>
      <c r="H994" s="2" t="s">
        <v>6766</v>
      </c>
      <c r="I994" s="2" t="s">
        <v>6767</v>
      </c>
      <c r="J994" t="s">
        <v>6768</v>
      </c>
      <c r="L994" s="1">
        <v>2</v>
      </c>
      <c r="M994" s="1"/>
      <c r="N994" s="1"/>
      <c r="O994" s="3"/>
    </row>
    <row r="995" spans="1:15" ht="409.6">
      <c r="A995" t="s">
        <v>6769</v>
      </c>
      <c r="B995" t="s">
        <v>6770</v>
      </c>
      <c r="C995" s="2" t="s">
        <v>6441</v>
      </c>
      <c r="D995" t="s">
        <v>23</v>
      </c>
      <c r="E995">
        <v>30</v>
      </c>
      <c r="F995" s="2" t="s">
        <v>6771</v>
      </c>
      <c r="G995" s="2" t="s">
        <v>6772</v>
      </c>
      <c r="H995" s="2" t="s">
        <v>6773</v>
      </c>
      <c r="I995" s="2" t="s">
        <v>6774</v>
      </c>
      <c r="J995" t="s">
        <v>6775</v>
      </c>
      <c r="L995" s="1">
        <v>2</v>
      </c>
      <c r="M995" s="1"/>
      <c r="N995" s="1"/>
      <c r="O995" s="3"/>
    </row>
    <row r="996" spans="1:15" ht="409.6">
      <c r="A996" t="s">
        <v>2120</v>
      </c>
      <c r="B996" t="s">
        <v>2121</v>
      </c>
      <c r="C996" s="2" t="s">
        <v>6441</v>
      </c>
      <c r="D996" t="s">
        <v>14</v>
      </c>
      <c r="E996">
        <v>40</v>
      </c>
      <c r="F996" s="2" t="s">
        <v>6776</v>
      </c>
      <c r="G996" s="2" t="s">
        <v>6777</v>
      </c>
      <c r="H996" s="2" t="s">
        <v>6778</v>
      </c>
      <c r="I996" s="2" t="s">
        <v>6779</v>
      </c>
      <c r="J996" t="s">
        <v>6780</v>
      </c>
      <c r="L996" s="1">
        <v>2</v>
      </c>
      <c r="M996" s="1"/>
      <c r="N996" s="1"/>
      <c r="O996" s="3"/>
    </row>
    <row r="997" spans="1:15" ht="409.6">
      <c r="A997" t="s">
        <v>6781</v>
      </c>
      <c r="B997" t="s">
        <v>6782</v>
      </c>
      <c r="C997" s="2" t="s">
        <v>6441</v>
      </c>
      <c r="D997" t="s">
        <v>14</v>
      </c>
      <c r="E997">
        <v>20</v>
      </c>
      <c r="F997" s="2" t="s">
        <v>6783</v>
      </c>
      <c r="G997" s="2" t="s">
        <v>6784</v>
      </c>
      <c r="H997" s="2" t="s">
        <v>6785</v>
      </c>
      <c r="I997" s="2" t="s">
        <v>6786</v>
      </c>
      <c r="J997" t="s">
        <v>6787</v>
      </c>
      <c r="L997" s="1">
        <v>2</v>
      </c>
      <c r="M997" s="1"/>
      <c r="N997" s="1"/>
      <c r="O997" s="3"/>
    </row>
    <row r="998" spans="1:15" ht="409.6">
      <c r="A998" t="s">
        <v>6788</v>
      </c>
      <c r="B998" t="s">
        <v>6789</v>
      </c>
      <c r="C998" s="2" t="s">
        <v>6441</v>
      </c>
      <c r="D998" t="s">
        <v>23</v>
      </c>
      <c r="E998">
        <v>30</v>
      </c>
      <c r="F998" s="2" t="s">
        <v>6790</v>
      </c>
      <c r="G998" s="2" t="s">
        <v>6791</v>
      </c>
      <c r="H998" s="2" t="s">
        <v>6792</v>
      </c>
      <c r="I998" s="2" t="s">
        <v>6793</v>
      </c>
      <c r="J998" t="s">
        <v>6794</v>
      </c>
      <c r="L998" s="1">
        <v>2</v>
      </c>
      <c r="M998" s="1"/>
      <c r="N998" s="1"/>
      <c r="O998" s="3"/>
    </row>
    <row r="999" spans="1:15" ht="409.6">
      <c r="A999" t="s">
        <v>6795</v>
      </c>
      <c r="B999" t="s">
        <v>6796</v>
      </c>
      <c r="C999" s="2" t="s">
        <v>6441</v>
      </c>
      <c r="D999" t="s">
        <v>14</v>
      </c>
      <c r="E999">
        <v>30</v>
      </c>
      <c r="F999" s="2" t="s">
        <v>6797</v>
      </c>
      <c r="G999" s="2" t="s">
        <v>6798</v>
      </c>
      <c r="H999" s="2" t="s">
        <v>6799</v>
      </c>
      <c r="I999" s="2" t="s">
        <v>6800</v>
      </c>
      <c r="J999" t="s">
        <v>6801</v>
      </c>
      <c r="L999" s="1">
        <v>2</v>
      </c>
      <c r="M999" s="1"/>
      <c r="N999" s="1"/>
      <c r="O999" s="3"/>
    </row>
    <row r="1000" spans="1:15" ht="409.6">
      <c r="A1000" t="s">
        <v>6802</v>
      </c>
      <c r="B1000" t="s">
        <v>6803</v>
      </c>
      <c r="C1000" s="2" t="s">
        <v>6441</v>
      </c>
      <c r="D1000" t="s">
        <v>23</v>
      </c>
      <c r="E1000">
        <v>20</v>
      </c>
      <c r="F1000" s="2" t="s">
        <v>6804</v>
      </c>
      <c r="G1000" s="2" t="s">
        <v>6805</v>
      </c>
      <c r="H1000" s="2" t="s">
        <v>6806</v>
      </c>
      <c r="I1000" s="2" t="s">
        <v>6807</v>
      </c>
      <c r="J1000" t="s">
        <v>6808</v>
      </c>
      <c r="L1000" s="1">
        <v>2</v>
      </c>
      <c r="M1000" s="1"/>
      <c r="N1000" s="1"/>
      <c r="O1000" s="3"/>
    </row>
    <row r="1001" spans="1:15" ht="409.6">
      <c r="A1001" t="s">
        <v>6809</v>
      </c>
      <c r="B1001" t="s">
        <v>6810</v>
      </c>
      <c r="C1001" s="2" t="s">
        <v>6441</v>
      </c>
      <c r="D1001" t="s">
        <v>14</v>
      </c>
      <c r="E1001">
        <v>30</v>
      </c>
      <c r="F1001" s="2" t="s">
        <v>6811</v>
      </c>
      <c r="G1001" s="2" t="s">
        <v>6812</v>
      </c>
      <c r="H1001" s="2" t="s">
        <v>6813</v>
      </c>
      <c r="I1001" s="2" t="s">
        <v>6814</v>
      </c>
      <c r="J1001" t="s">
        <v>6815</v>
      </c>
      <c r="L1001" s="1">
        <v>2</v>
      </c>
      <c r="M1001" s="1"/>
      <c r="N1001" s="1"/>
      <c r="O1001" s="3"/>
    </row>
    <row r="1002" spans="1:15" ht="409.6">
      <c r="A1002" t="s">
        <v>6816</v>
      </c>
      <c r="B1002" t="s">
        <v>6817</v>
      </c>
      <c r="C1002" s="2" t="s">
        <v>6441</v>
      </c>
      <c r="D1002" t="s">
        <v>23</v>
      </c>
      <c r="E1002">
        <v>30</v>
      </c>
      <c r="F1002" s="2" t="s">
        <v>6818</v>
      </c>
      <c r="G1002" s="2" t="s">
        <v>6819</v>
      </c>
      <c r="H1002" s="2" t="s">
        <v>6820</v>
      </c>
      <c r="I1002" s="2" t="s">
        <v>6821</v>
      </c>
      <c r="J1002" t="s">
        <v>6822</v>
      </c>
      <c r="L1002" s="1">
        <v>2</v>
      </c>
      <c r="M1002" s="1"/>
      <c r="N1002" s="1"/>
      <c r="O1002" s="3"/>
    </row>
    <row r="1003" spans="1:15" ht="409.6">
      <c r="A1003" t="s">
        <v>6823</v>
      </c>
      <c r="B1003" t="s">
        <v>6824</v>
      </c>
      <c r="C1003" s="2" t="s">
        <v>6441</v>
      </c>
      <c r="D1003" t="s">
        <v>23</v>
      </c>
      <c r="E1003">
        <v>20</v>
      </c>
      <c r="F1003" s="2" t="s">
        <v>6825</v>
      </c>
      <c r="G1003" s="2" t="s">
        <v>6826</v>
      </c>
      <c r="H1003" s="2" t="s">
        <v>6827</v>
      </c>
      <c r="I1003" s="2" t="s">
        <v>6828</v>
      </c>
      <c r="J1003" t="s">
        <v>6829</v>
      </c>
      <c r="L1003" s="1">
        <v>2</v>
      </c>
      <c r="M1003" s="1"/>
      <c r="N1003" s="1"/>
      <c r="O1003" s="3"/>
    </row>
    <row r="1004" spans="1:15" ht="409.6">
      <c r="A1004" t="s">
        <v>6830</v>
      </c>
      <c r="B1004" t="s">
        <v>6831</v>
      </c>
      <c r="C1004" s="2" t="s">
        <v>6441</v>
      </c>
      <c r="D1004" t="s">
        <v>23</v>
      </c>
      <c r="E1004">
        <v>30</v>
      </c>
      <c r="F1004" s="2" t="s">
        <v>6832</v>
      </c>
      <c r="G1004" s="2" t="s">
        <v>6833</v>
      </c>
      <c r="H1004" s="2" t="s">
        <v>6834</v>
      </c>
      <c r="I1004" s="2" t="s">
        <v>6835</v>
      </c>
      <c r="J1004" t="s">
        <v>6836</v>
      </c>
      <c r="L1004" s="1">
        <v>2</v>
      </c>
      <c r="M1004" s="1"/>
      <c r="N1004" s="1"/>
      <c r="O1004" s="3"/>
    </row>
    <row r="1005" spans="1:15" ht="409.6">
      <c r="A1005" t="s">
        <v>2369</v>
      </c>
      <c r="B1005" t="s">
        <v>2370</v>
      </c>
      <c r="C1005" s="2" t="s">
        <v>6441</v>
      </c>
      <c r="D1005" t="s">
        <v>14</v>
      </c>
      <c r="E1005">
        <v>40</v>
      </c>
      <c r="F1005" s="2" t="s">
        <v>6837</v>
      </c>
      <c r="G1005" s="2" t="s">
        <v>6838</v>
      </c>
      <c r="H1005" s="2" t="s">
        <v>6839</v>
      </c>
      <c r="I1005" s="2" t="s">
        <v>6840</v>
      </c>
      <c r="J1005" t="s">
        <v>6841</v>
      </c>
      <c r="L1005" s="1">
        <v>2</v>
      </c>
      <c r="M1005" s="1"/>
      <c r="N1005" s="1"/>
      <c r="O1005" s="3"/>
    </row>
    <row r="1006" spans="1:15" ht="409.6">
      <c r="A1006" t="s">
        <v>6842</v>
      </c>
      <c r="B1006" t="s">
        <v>6843</v>
      </c>
      <c r="C1006" s="2" t="s">
        <v>6441</v>
      </c>
      <c r="D1006" t="s">
        <v>14</v>
      </c>
      <c r="E1006">
        <v>60</v>
      </c>
      <c r="F1006" s="2" t="s">
        <v>6844</v>
      </c>
      <c r="G1006" s="2" t="s">
        <v>6845</v>
      </c>
      <c r="H1006" s="2" t="s">
        <v>6846</v>
      </c>
      <c r="I1006" s="2" t="s">
        <v>6847</v>
      </c>
      <c r="J1006" t="s">
        <v>6848</v>
      </c>
      <c r="L1006" s="1">
        <v>2</v>
      </c>
      <c r="M1006" s="1"/>
      <c r="N1006" s="1"/>
      <c r="O1006" s="3"/>
    </row>
    <row r="1007" spans="1:15" ht="409.6">
      <c r="A1007" t="s">
        <v>6849</v>
      </c>
      <c r="B1007" t="s">
        <v>6850</v>
      </c>
      <c r="C1007" s="2" t="s">
        <v>6441</v>
      </c>
      <c r="D1007" t="s">
        <v>14</v>
      </c>
      <c r="E1007">
        <v>40</v>
      </c>
      <c r="F1007" s="2" t="s">
        <v>6851</v>
      </c>
      <c r="G1007" s="2" t="s">
        <v>6852</v>
      </c>
      <c r="H1007" s="2" t="s">
        <v>6853</v>
      </c>
      <c r="I1007" s="2" t="s">
        <v>6854</v>
      </c>
      <c r="J1007" t="s">
        <v>6855</v>
      </c>
      <c r="L1007" s="1">
        <v>2</v>
      </c>
      <c r="M1007" s="1"/>
      <c r="N1007" s="1"/>
      <c r="O1007" s="3"/>
    </row>
    <row r="1008" spans="1:15" ht="409.6">
      <c r="A1008" t="s">
        <v>6856</v>
      </c>
      <c r="B1008" t="s">
        <v>6857</v>
      </c>
      <c r="C1008" s="2" t="s">
        <v>6441</v>
      </c>
      <c r="D1008" t="s">
        <v>14</v>
      </c>
      <c r="E1008">
        <v>30</v>
      </c>
      <c r="F1008" s="2" t="s">
        <v>6858</v>
      </c>
      <c r="G1008" s="2" t="s">
        <v>6859</v>
      </c>
      <c r="H1008" s="2" t="s">
        <v>6860</v>
      </c>
      <c r="I1008" s="2" t="s">
        <v>6861</v>
      </c>
      <c r="J1008" t="s">
        <v>6862</v>
      </c>
      <c r="L1008" s="1">
        <v>2</v>
      </c>
      <c r="M1008" s="1"/>
      <c r="N1008" s="1"/>
      <c r="O1008" s="3"/>
    </row>
    <row r="1009" spans="1:15" ht="409.6">
      <c r="A1009" t="s">
        <v>6863</v>
      </c>
      <c r="B1009" t="s">
        <v>6864</v>
      </c>
      <c r="C1009" s="2" t="s">
        <v>6441</v>
      </c>
      <c r="D1009" t="s">
        <v>14</v>
      </c>
      <c r="E1009">
        <v>30</v>
      </c>
      <c r="F1009" s="2" t="s">
        <v>6865</v>
      </c>
      <c r="G1009" s="2" t="s">
        <v>6866</v>
      </c>
      <c r="H1009" s="2" t="s">
        <v>6867</v>
      </c>
      <c r="I1009" s="2" t="s">
        <v>6868</v>
      </c>
      <c r="J1009" t="s">
        <v>6869</v>
      </c>
      <c r="L1009" s="1">
        <v>2</v>
      </c>
      <c r="M1009" s="1"/>
      <c r="N1009" s="1"/>
      <c r="O1009" s="3"/>
    </row>
    <row r="1010" spans="1:15" ht="409.6">
      <c r="A1010" t="s">
        <v>4076</v>
      </c>
      <c r="B1010" t="s">
        <v>4077</v>
      </c>
      <c r="C1010" t="s">
        <v>620</v>
      </c>
      <c r="D1010" t="s">
        <v>23</v>
      </c>
      <c r="E1010">
        <v>10</v>
      </c>
      <c r="F1010" s="2" t="s">
        <v>6870</v>
      </c>
      <c r="G1010" s="2" t="s">
        <v>6871</v>
      </c>
      <c r="H1010" s="2" t="s">
        <v>6872</v>
      </c>
      <c r="I1010" s="2" t="s">
        <v>6873</v>
      </c>
      <c r="J1010" t="s">
        <v>6874</v>
      </c>
      <c r="K1010" t="s">
        <v>4083</v>
      </c>
      <c r="L1010" s="1">
        <v>2</v>
      </c>
      <c r="M1010" s="1"/>
      <c r="N1010" s="1"/>
      <c r="O1010" s="3"/>
    </row>
    <row r="1011" spans="1:15" ht="409.6">
      <c r="A1011" t="s">
        <v>6875</v>
      </c>
      <c r="B1011" t="s">
        <v>6876</v>
      </c>
      <c r="C1011" t="s">
        <v>620</v>
      </c>
      <c r="D1011" t="s">
        <v>23</v>
      </c>
      <c r="E1011">
        <v>15</v>
      </c>
      <c r="F1011" s="2" t="s">
        <v>6877</v>
      </c>
      <c r="G1011" s="2" t="s">
        <v>6878</v>
      </c>
      <c r="H1011" s="2" t="s">
        <v>6879</v>
      </c>
      <c r="I1011" s="2" t="s">
        <v>6880</v>
      </c>
      <c r="J1011" t="s">
        <v>6881</v>
      </c>
      <c r="K1011" t="s">
        <v>6882</v>
      </c>
      <c r="L1011" s="1">
        <v>2</v>
      </c>
      <c r="M1011" s="1"/>
      <c r="N1011" s="1"/>
      <c r="O1011" s="3"/>
    </row>
    <row r="1012" spans="1:15" ht="409.6">
      <c r="A1012" t="s">
        <v>6883</v>
      </c>
      <c r="B1012" t="s">
        <v>6884</v>
      </c>
      <c r="C1012" t="s">
        <v>620</v>
      </c>
      <c r="D1012" t="s">
        <v>23</v>
      </c>
      <c r="E1012">
        <v>20</v>
      </c>
      <c r="F1012" s="2" t="s">
        <v>6885</v>
      </c>
      <c r="G1012" s="2" t="s">
        <v>6886</v>
      </c>
      <c r="H1012" s="2" t="s">
        <v>6887</v>
      </c>
      <c r="I1012" s="2" t="s">
        <v>6888</v>
      </c>
      <c r="J1012" t="s">
        <v>6889</v>
      </c>
      <c r="K1012" t="s">
        <v>6890</v>
      </c>
      <c r="L1012" s="1">
        <v>2</v>
      </c>
      <c r="M1012" s="1"/>
      <c r="N1012" s="1"/>
      <c r="O1012" s="3"/>
    </row>
    <row r="1013" spans="1:15" ht="409.6">
      <c r="A1013" t="s">
        <v>6891</v>
      </c>
      <c r="B1013" t="s">
        <v>6892</v>
      </c>
      <c r="C1013" t="s">
        <v>620</v>
      </c>
      <c r="D1013" t="s">
        <v>23</v>
      </c>
      <c r="E1013">
        <v>15</v>
      </c>
      <c r="F1013" s="2" t="s">
        <v>6893</v>
      </c>
      <c r="G1013" s="2" t="s">
        <v>6894</v>
      </c>
      <c r="H1013" s="2" t="s">
        <v>6895</v>
      </c>
      <c r="I1013" s="2" t="s">
        <v>6896</v>
      </c>
      <c r="J1013" t="s">
        <v>6897</v>
      </c>
      <c r="L1013" s="1">
        <v>2</v>
      </c>
      <c r="M1013" s="1"/>
      <c r="N1013" s="1"/>
      <c r="O1013" s="3"/>
    </row>
    <row r="1014" spans="1:15" ht="409.6">
      <c r="A1014" t="s">
        <v>6898</v>
      </c>
      <c r="B1014" t="s">
        <v>6899</v>
      </c>
      <c r="C1014" t="s">
        <v>620</v>
      </c>
      <c r="D1014" t="s">
        <v>23</v>
      </c>
      <c r="E1014">
        <v>5</v>
      </c>
      <c r="F1014" s="2" t="s">
        <v>6900</v>
      </c>
      <c r="G1014" s="2" t="s">
        <v>6901</v>
      </c>
      <c r="H1014" s="2" t="s">
        <v>6902</v>
      </c>
      <c r="I1014" s="2" t="s">
        <v>6903</v>
      </c>
      <c r="J1014" t="s">
        <v>6904</v>
      </c>
      <c r="L1014" s="1">
        <v>2</v>
      </c>
      <c r="M1014" s="1"/>
      <c r="N1014" s="1"/>
      <c r="O1014" s="3"/>
    </row>
    <row r="1015" spans="1:15" ht="409.6">
      <c r="A1015" t="s">
        <v>4404</v>
      </c>
      <c r="B1015" t="s">
        <v>4405</v>
      </c>
      <c r="C1015" t="s">
        <v>620</v>
      </c>
      <c r="D1015" t="s">
        <v>23</v>
      </c>
      <c r="E1015">
        <v>15</v>
      </c>
      <c r="F1015" s="2" t="s">
        <v>6905</v>
      </c>
      <c r="G1015" s="2" t="s">
        <v>6906</v>
      </c>
      <c r="H1015" s="2" t="s">
        <v>6907</v>
      </c>
      <c r="I1015" s="2" t="s">
        <v>6908</v>
      </c>
      <c r="J1015" t="s">
        <v>4410</v>
      </c>
      <c r="K1015" t="s">
        <v>6909</v>
      </c>
      <c r="L1015" s="1">
        <v>2</v>
      </c>
      <c r="M1015" s="1"/>
      <c r="N1015" s="1"/>
      <c r="O1015" s="3"/>
    </row>
    <row r="1016" spans="1:15" ht="409.6">
      <c r="A1016" t="s">
        <v>6910</v>
      </c>
      <c r="B1016" t="s">
        <v>6911</v>
      </c>
      <c r="C1016" t="s">
        <v>620</v>
      </c>
      <c r="D1016" t="s">
        <v>23</v>
      </c>
      <c r="E1016">
        <v>10</v>
      </c>
      <c r="F1016" s="2" t="s">
        <v>6912</v>
      </c>
      <c r="G1016" s="2" t="s">
        <v>6913</v>
      </c>
      <c r="H1016" s="2" t="s">
        <v>6914</v>
      </c>
      <c r="I1016" s="2" t="s">
        <v>6915</v>
      </c>
      <c r="J1016" t="s">
        <v>6916</v>
      </c>
      <c r="K1016" t="s">
        <v>6917</v>
      </c>
      <c r="L1016" s="1">
        <v>2</v>
      </c>
      <c r="M1016" s="1"/>
      <c r="N1016" s="1"/>
      <c r="O1016" s="3"/>
    </row>
    <row r="1017" spans="1:15" ht="409.6">
      <c r="A1017" t="s">
        <v>6918</v>
      </c>
      <c r="B1017" t="s">
        <v>6919</v>
      </c>
      <c r="C1017" t="s">
        <v>620</v>
      </c>
      <c r="D1017" t="s">
        <v>23</v>
      </c>
      <c r="E1017">
        <v>10</v>
      </c>
      <c r="F1017" s="2" t="s">
        <v>6920</v>
      </c>
      <c r="G1017" s="2" t="s">
        <v>6921</v>
      </c>
      <c r="H1017" s="2" t="s">
        <v>6922</v>
      </c>
      <c r="I1017" s="2" t="s">
        <v>6923</v>
      </c>
      <c r="J1017" t="s">
        <v>6924</v>
      </c>
      <c r="L1017" s="1">
        <v>2</v>
      </c>
      <c r="M1017" s="1"/>
      <c r="N1017" s="1"/>
      <c r="O1017" s="3"/>
    </row>
    <row r="1018" spans="1:15" ht="409.6">
      <c r="A1018" t="s">
        <v>6925</v>
      </c>
      <c r="B1018" s="2" t="s">
        <v>6926</v>
      </c>
      <c r="C1018" t="s">
        <v>620</v>
      </c>
      <c r="D1018" t="s">
        <v>23</v>
      </c>
      <c r="E1018">
        <v>10</v>
      </c>
      <c r="F1018" s="2" t="s">
        <v>6927</v>
      </c>
      <c r="G1018" s="2" t="s">
        <v>6928</v>
      </c>
      <c r="H1018" s="2" t="s">
        <v>6929</v>
      </c>
      <c r="I1018" s="2" t="s">
        <v>6930</v>
      </c>
      <c r="J1018" t="s">
        <v>6931</v>
      </c>
      <c r="L1018" s="1">
        <v>2</v>
      </c>
      <c r="M1018" s="1"/>
      <c r="N1018" s="1"/>
      <c r="O1018" s="3"/>
    </row>
    <row r="1019" spans="1:15" ht="409.6">
      <c r="A1019" t="s">
        <v>6932</v>
      </c>
      <c r="B1019" t="s">
        <v>6933</v>
      </c>
      <c r="C1019" t="s">
        <v>620</v>
      </c>
      <c r="D1019" t="s">
        <v>23</v>
      </c>
      <c r="E1019">
        <v>15</v>
      </c>
      <c r="F1019" s="2" t="s">
        <v>6934</v>
      </c>
      <c r="G1019" s="2" t="s">
        <v>6935</v>
      </c>
      <c r="H1019" s="2" t="s">
        <v>6936</v>
      </c>
      <c r="I1019" s="2" t="s">
        <v>6937</v>
      </c>
      <c r="J1019" t="s">
        <v>6938</v>
      </c>
      <c r="K1019" t="s">
        <v>6939</v>
      </c>
      <c r="L1019" s="1">
        <v>2</v>
      </c>
      <c r="M1019" s="1"/>
      <c r="N1019" s="1"/>
      <c r="O1019" s="3"/>
    </row>
    <row r="1020" spans="1:15" ht="409.6">
      <c r="A1020" t="s">
        <v>6940</v>
      </c>
      <c r="B1020" t="s">
        <v>6941</v>
      </c>
      <c r="C1020" t="s">
        <v>620</v>
      </c>
      <c r="D1020" t="s">
        <v>23</v>
      </c>
      <c r="E1020">
        <v>10</v>
      </c>
      <c r="F1020" s="2" t="s">
        <v>6942</v>
      </c>
      <c r="G1020" s="2" t="s">
        <v>6943</v>
      </c>
      <c r="H1020" s="2" t="s">
        <v>6944</v>
      </c>
      <c r="I1020" s="2" t="s">
        <v>6945</v>
      </c>
      <c r="J1020" t="s">
        <v>6946</v>
      </c>
      <c r="L1020" s="1">
        <v>2</v>
      </c>
      <c r="M1020" s="1"/>
      <c r="N1020" s="1"/>
      <c r="O1020" s="3"/>
    </row>
    <row r="1021" spans="1:15" ht="409.6">
      <c r="A1021" t="s">
        <v>6947</v>
      </c>
      <c r="B1021" t="s">
        <v>6948</v>
      </c>
      <c r="C1021" t="s">
        <v>620</v>
      </c>
      <c r="D1021" t="s">
        <v>23</v>
      </c>
      <c r="E1021">
        <v>10</v>
      </c>
      <c r="F1021" s="2" t="s">
        <v>6949</v>
      </c>
      <c r="G1021" s="2" t="s">
        <v>6950</v>
      </c>
      <c r="H1021" s="2" t="s">
        <v>6951</v>
      </c>
      <c r="I1021" s="2" t="s">
        <v>6952</v>
      </c>
      <c r="J1021" t="s">
        <v>6953</v>
      </c>
      <c r="K1021" t="s">
        <v>6954</v>
      </c>
      <c r="L1021" s="1">
        <v>2</v>
      </c>
      <c r="M1021" s="1"/>
      <c r="N1021" s="1"/>
      <c r="O1021" s="3"/>
    </row>
    <row r="1022" spans="1:15" ht="409.6">
      <c r="A1022" t="s">
        <v>6955</v>
      </c>
      <c r="B1022" t="s">
        <v>6956</v>
      </c>
      <c r="C1022" t="s">
        <v>620</v>
      </c>
      <c r="D1022" t="s">
        <v>23</v>
      </c>
      <c r="E1022">
        <v>15</v>
      </c>
      <c r="F1022" s="2" t="s">
        <v>6957</v>
      </c>
      <c r="G1022" s="2" t="s">
        <v>6958</v>
      </c>
      <c r="H1022" s="2" t="s">
        <v>6959</v>
      </c>
      <c r="I1022" s="2" t="s">
        <v>6960</v>
      </c>
      <c r="J1022" t="s">
        <v>6961</v>
      </c>
      <c r="L1022" s="1">
        <v>2</v>
      </c>
      <c r="M1022" s="1"/>
      <c r="N1022" s="1"/>
      <c r="O1022" s="3"/>
    </row>
    <row r="1023" spans="1:15" ht="409.6">
      <c r="A1023" t="s">
        <v>6962</v>
      </c>
      <c r="B1023" t="s">
        <v>6963</v>
      </c>
      <c r="C1023" t="s">
        <v>620</v>
      </c>
      <c r="D1023" t="s">
        <v>23</v>
      </c>
      <c r="E1023">
        <v>15</v>
      </c>
      <c r="F1023" s="2" t="s">
        <v>6964</v>
      </c>
      <c r="G1023" s="2" t="s">
        <v>6965</v>
      </c>
      <c r="H1023" s="2" t="s">
        <v>6966</v>
      </c>
      <c r="I1023" s="2" t="s">
        <v>6967</v>
      </c>
      <c r="J1023" t="s">
        <v>6968</v>
      </c>
      <c r="L1023" s="1">
        <v>2</v>
      </c>
      <c r="M1023" s="1"/>
      <c r="N1023" s="1"/>
      <c r="O1023" s="3"/>
    </row>
    <row r="1024" spans="1:15" ht="409.6">
      <c r="A1024" t="s">
        <v>6969</v>
      </c>
      <c r="B1024" t="s">
        <v>6970</v>
      </c>
      <c r="C1024" t="s">
        <v>620</v>
      </c>
      <c r="D1024" t="s">
        <v>23</v>
      </c>
      <c r="E1024">
        <v>10</v>
      </c>
      <c r="F1024" s="2" t="s">
        <v>6971</v>
      </c>
      <c r="G1024" s="2" t="s">
        <v>6972</v>
      </c>
      <c r="H1024" s="2" t="s">
        <v>6973</v>
      </c>
      <c r="I1024" s="2" t="s">
        <v>6974</v>
      </c>
      <c r="J1024" t="s">
        <v>6975</v>
      </c>
      <c r="K1024" t="s">
        <v>6976</v>
      </c>
      <c r="L1024" s="1">
        <v>2</v>
      </c>
      <c r="M1024" s="1"/>
      <c r="N1024" s="1"/>
      <c r="O1024" s="3"/>
    </row>
    <row r="1025" spans="1:15" ht="409.6">
      <c r="A1025" t="s">
        <v>6977</v>
      </c>
      <c r="B1025" t="s">
        <v>6978</v>
      </c>
      <c r="C1025" t="s">
        <v>620</v>
      </c>
      <c r="D1025" t="s">
        <v>23</v>
      </c>
      <c r="E1025">
        <v>10</v>
      </c>
      <c r="F1025" s="2" t="s">
        <v>6979</v>
      </c>
      <c r="G1025" s="2" t="s">
        <v>6980</v>
      </c>
      <c r="H1025" s="2" t="s">
        <v>6981</v>
      </c>
      <c r="I1025" s="2" t="s">
        <v>6982</v>
      </c>
      <c r="J1025" t="s">
        <v>6983</v>
      </c>
      <c r="L1025" s="1">
        <v>2</v>
      </c>
      <c r="M1025" s="1"/>
      <c r="N1025" s="1"/>
      <c r="O1025" s="3"/>
    </row>
    <row r="1026" spans="1:15" ht="409.6">
      <c r="A1026" t="s">
        <v>6984</v>
      </c>
      <c r="B1026" t="s">
        <v>6985</v>
      </c>
      <c r="C1026" t="s">
        <v>620</v>
      </c>
      <c r="D1026" t="s">
        <v>23</v>
      </c>
      <c r="E1026">
        <v>5</v>
      </c>
      <c r="F1026" s="2" t="s">
        <v>6986</v>
      </c>
      <c r="G1026" s="2" t="s">
        <v>6987</v>
      </c>
      <c r="H1026" s="2" t="s">
        <v>6988</v>
      </c>
      <c r="I1026" s="2" t="s">
        <v>6989</v>
      </c>
      <c r="J1026" t="s">
        <v>6990</v>
      </c>
      <c r="L1026" s="1">
        <v>2</v>
      </c>
      <c r="M1026" s="1"/>
      <c r="N1026" s="1"/>
      <c r="O1026" s="3"/>
    </row>
    <row r="1027" spans="1:15" ht="409.6">
      <c r="A1027" t="s">
        <v>6991</v>
      </c>
      <c r="B1027" t="s">
        <v>6992</v>
      </c>
      <c r="C1027" t="s">
        <v>620</v>
      </c>
      <c r="D1027" t="s">
        <v>23</v>
      </c>
      <c r="E1027">
        <v>15</v>
      </c>
      <c r="F1027" s="2" t="s">
        <v>6993</v>
      </c>
      <c r="G1027" s="2" t="s">
        <v>6994</v>
      </c>
      <c r="H1027" s="2" t="s">
        <v>6995</v>
      </c>
      <c r="I1027" s="2" t="s">
        <v>6996</v>
      </c>
      <c r="J1027" t="s">
        <v>6997</v>
      </c>
      <c r="L1027" s="1">
        <v>2</v>
      </c>
      <c r="M1027" s="1"/>
      <c r="N1027" s="1"/>
      <c r="O1027" s="3"/>
    </row>
    <row r="1028" spans="1:15" ht="409.6">
      <c r="A1028" t="s">
        <v>6998</v>
      </c>
      <c r="B1028" t="s">
        <v>6999</v>
      </c>
      <c r="C1028" t="s">
        <v>620</v>
      </c>
      <c r="D1028" t="s">
        <v>23</v>
      </c>
      <c r="E1028">
        <v>15</v>
      </c>
      <c r="F1028" s="2" t="s">
        <v>7000</v>
      </c>
      <c r="G1028" s="2" t="s">
        <v>7001</v>
      </c>
      <c r="H1028" s="2" t="s">
        <v>7002</v>
      </c>
      <c r="I1028" s="2" t="s">
        <v>7003</v>
      </c>
      <c r="J1028" t="s">
        <v>7004</v>
      </c>
      <c r="K1028" t="s">
        <v>7005</v>
      </c>
      <c r="L1028" s="1">
        <v>2</v>
      </c>
      <c r="M1028" s="1"/>
      <c r="N1028" s="1"/>
      <c r="O1028" s="3"/>
    </row>
    <row r="1029" spans="1:15" ht="409.6">
      <c r="A1029" t="s">
        <v>7006</v>
      </c>
      <c r="B1029" t="s">
        <v>7007</v>
      </c>
      <c r="C1029" t="s">
        <v>620</v>
      </c>
      <c r="D1029" t="s">
        <v>23</v>
      </c>
      <c r="E1029">
        <v>10</v>
      </c>
      <c r="F1029" s="2" t="s">
        <v>7008</v>
      </c>
      <c r="G1029" s="2" t="s">
        <v>7009</v>
      </c>
      <c r="H1029" s="2" t="s">
        <v>7010</v>
      </c>
      <c r="I1029" s="2" t="s">
        <v>7011</v>
      </c>
      <c r="J1029" t="s">
        <v>7012</v>
      </c>
      <c r="L1029" s="1">
        <v>2</v>
      </c>
      <c r="M1029" s="1"/>
      <c r="N1029" s="1"/>
      <c r="O1029" s="3"/>
    </row>
    <row r="1030" spans="1:15" ht="409.6">
      <c r="A1030" t="s">
        <v>1788</v>
      </c>
      <c r="B1030" t="s">
        <v>1789</v>
      </c>
      <c r="C1030" t="s">
        <v>620</v>
      </c>
      <c r="D1030" t="s">
        <v>23</v>
      </c>
      <c r="E1030">
        <v>10</v>
      </c>
      <c r="F1030" s="2" t="s">
        <v>7013</v>
      </c>
      <c r="G1030" s="2" t="s">
        <v>7014</v>
      </c>
      <c r="H1030" s="2" t="s">
        <v>7015</v>
      </c>
      <c r="I1030" s="2" t="s">
        <v>7016</v>
      </c>
      <c r="J1030" t="s">
        <v>5486</v>
      </c>
      <c r="L1030" s="1">
        <v>2</v>
      </c>
      <c r="M1030" s="1"/>
      <c r="N1030" s="1"/>
      <c r="O1030" s="3"/>
    </row>
    <row r="1031" spans="1:15" ht="409.6">
      <c r="A1031" t="s">
        <v>7017</v>
      </c>
      <c r="B1031" t="s">
        <v>7018</v>
      </c>
      <c r="C1031" t="s">
        <v>620</v>
      </c>
      <c r="D1031" t="s">
        <v>23</v>
      </c>
      <c r="E1031">
        <v>10</v>
      </c>
      <c r="F1031" s="2" t="s">
        <v>7019</v>
      </c>
      <c r="G1031" s="2" t="s">
        <v>7020</v>
      </c>
      <c r="H1031" s="2" t="s">
        <v>7021</v>
      </c>
      <c r="I1031" s="2" t="s">
        <v>7022</v>
      </c>
      <c r="J1031" t="s">
        <v>7023</v>
      </c>
      <c r="L1031" s="1">
        <v>2</v>
      </c>
      <c r="M1031" s="1"/>
      <c r="N1031" s="1"/>
      <c r="O1031" s="3"/>
    </row>
    <row r="1032" spans="1:15" ht="409.6">
      <c r="A1032" t="s">
        <v>2747</v>
      </c>
      <c r="B1032" t="s">
        <v>2748</v>
      </c>
      <c r="C1032" t="s">
        <v>620</v>
      </c>
      <c r="D1032" t="s">
        <v>23</v>
      </c>
      <c r="E1032">
        <v>10</v>
      </c>
      <c r="F1032" s="2" t="s">
        <v>7024</v>
      </c>
      <c r="G1032" s="2" t="s">
        <v>7025</v>
      </c>
      <c r="H1032" s="2" t="s">
        <v>7026</v>
      </c>
      <c r="I1032" s="2" t="s">
        <v>7027</v>
      </c>
      <c r="J1032" t="s">
        <v>7028</v>
      </c>
      <c r="L1032" s="1">
        <v>2</v>
      </c>
      <c r="M1032" s="1"/>
      <c r="N1032" s="1"/>
      <c r="O1032" s="3"/>
    </row>
    <row r="1033" spans="1:15" ht="409.6">
      <c r="A1033" t="s">
        <v>7029</v>
      </c>
      <c r="B1033" t="s">
        <v>619</v>
      </c>
      <c r="C1033" t="s">
        <v>620</v>
      </c>
      <c r="D1033" t="s">
        <v>23</v>
      </c>
      <c r="E1033">
        <v>15</v>
      </c>
      <c r="F1033" s="2" t="s">
        <v>7030</v>
      </c>
      <c r="G1033" s="2" t="s">
        <v>7031</v>
      </c>
      <c r="H1033" s="2" t="s">
        <v>7032</v>
      </c>
      <c r="I1033" s="2" t="s">
        <v>7033</v>
      </c>
      <c r="J1033" t="s">
        <v>7034</v>
      </c>
      <c r="L1033" s="1">
        <v>2</v>
      </c>
      <c r="M1033" s="1"/>
      <c r="N1033" s="1"/>
      <c r="O1033" s="3"/>
    </row>
    <row r="1034" spans="1:15" ht="409.6">
      <c r="A1034" t="s">
        <v>7035</v>
      </c>
      <c r="B1034" t="s">
        <v>7036</v>
      </c>
      <c r="C1034" t="s">
        <v>620</v>
      </c>
      <c r="D1034" t="s">
        <v>23</v>
      </c>
      <c r="E1034">
        <v>15</v>
      </c>
      <c r="F1034" s="2" t="s">
        <v>7037</v>
      </c>
      <c r="G1034" s="2" t="s">
        <v>7038</v>
      </c>
      <c r="H1034" s="2" t="s">
        <v>7039</v>
      </c>
      <c r="I1034" s="2" t="s">
        <v>7040</v>
      </c>
      <c r="J1034" t="s">
        <v>7041</v>
      </c>
      <c r="L1034" s="1">
        <v>2</v>
      </c>
      <c r="M1034" s="1"/>
      <c r="N1034" s="1"/>
      <c r="O1034" s="3"/>
    </row>
    <row r="1035" spans="1:15" ht="409.6">
      <c r="A1035" t="s">
        <v>7042</v>
      </c>
      <c r="B1035" t="s">
        <v>7043</v>
      </c>
      <c r="C1035" t="s">
        <v>620</v>
      </c>
      <c r="D1035" t="s">
        <v>23</v>
      </c>
      <c r="E1035">
        <v>15</v>
      </c>
      <c r="F1035" s="2" t="s">
        <v>5508</v>
      </c>
      <c r="G1035" s="2" t="s">
        <v>7044</v>
      </c>
      <c r="H1035" s="2" t="s">
        <v>7045</v>
      </c>
      <c r="I1035" s="2" t="s">
        <v>7046</v>
      </c>
      <c r="J1035" t="s">
        <v>7047</v>
      </c>
      <c r="L1035" s="1">
        <v>2</v>
      </c>
      <c r="M1035" s="1"/>
      <c r="N1035" s="1"/>
      <c r="O1035" s="3"/>
    </row>
    <row r="1036" spans="1:15" ht="409.6">
      <c r="A1036" t="s">
        <v>7048</v>
      </c>
      <c r="B1036" s="2" t="s">
        <v>7049</v>
      </c>
      <c r="C1036" t="s">
        <v>620</v>
      </c>
      <c r="D1036" t="s">
        <v>23</v>
      </c>
      <c r="E1036">
        <v>15</v>
      </c>
      <c r="F1036" s="2" t="s">
        <v>7050</v>
      </c>
      <c r="G1036" s="2" t="s">
        <v>7051</v>
      </c>
      <c r="H1036" s="2" t="s">
        <v>7052</v>
      </c>
      <c r="I1036" s="2" t="s">
        <v>7053</v>
      </c>
      <c r="J1036" t="s">
        <v>7054</v>
      </c>
      <c r="K1036" t="s">
        <v>7055</v>
      </c>
      <c r="L1036" s="1">
        <v>2</v>
      </c>
      <c r="M1036" s="1"/>
      <c r="N1036" s="1"/>
      <c r="O1036" s="3"/>
    </row>
    <row r="1037" spans="1:15" ht="409.6">
      <c r="A1037" t="s">
        <v>7056</v>
      </c>
      <c r="B1037" t="s">
        <v>7057</v>
      </c>
      <c r="C1037" t="s">
        <v>620</v>
      </c>
      <c r="D1037" t="s">
        <v>23</v>
      </c>
      <c r="E1037">
        <v>15</v>
      </c>
      <c r="F1037" s="2" t="s">
        <v>7058</v>
      </c>
      <c r="G1037" s="2" t="s">
        <v>7059</v>
      </c>
      <c r="H1037" s="2" t="s">
        <v>7060</v>
      </c>
      <c r="I1037" s="2" t="s">
        <v>7061</v>
      </c>
      <c r="J1037" t="s">
        <v>7062</v>
      </c>
      <c r="L1037" s="1">
        <v>2</v>
      </c>
      <c r="M1037" s="1"/>
      <c r="N1037" s="1"/>
      <c r="O1037" s="3"/>
    </row>
    <row r="1038" spans="1:15" ht="409.6">
      <c r="A1038" t="s">
        <v>7063</v>
      </c>
      <c r="B1038" t="s">
        <v>7064</v>
      </c>
      <c r="C1038" t="s">
        <v>620</v>
      </c>
      <c r="D1038" t="s">
        <v>23</v>
      </c>
      <c r="E1038">
        <v>15</v>
      </c>
      <c r="F1038" s="2" t="s">
        <v>7065</v>
      </c>
      <c r="G1038" s="2" t="s">
        <v>7066</v>
      </c>
      <c r="H1038" s="2" t="s">
        <v>7067</v>
      </c>
      <c r="I1038" s="2" t="s">
        <v>7068</v>
      </c>
      <c r="J1038" t="s">
        <v>7069</v>
      </c>
      <c r="L1038" s="1">
        <v>2</v>
      </c>
      <c r="M1038" s="1"/>
      <c r="N1038" s="1"/>
      <c r="O1038" s="3"/>
    </row>
    <row r="1039" spans="1:15" ht="409.6">
      <c r="A1039" t="s">
        <v>7070</v>
      </c>
      <c r="B1039" t="s">
        <v>7071</v>
      </c>
      <c r="C1039" t="s">
        <v>620</v>
      </c>
      <c r="D1039" t="s">
        <v>23</v>
      </c>
      <c r="E1039">
        <v>15</v>
      </c>
      <c r="F1039" s="2" t="s">
        <v>7072</v>
      </c>
      <c r="G1039" s="2" t="s">
        <v>7073</v>
      </c>
      <c r="H1039" s="2" t="s">
        <v>7074</v>
      </c>
      <c r="I1039" s="2" t="s">
        <v>7075</v>
      </c>
      <c r="J1039" t="s">
        <v>7076</v>
      </c>
      <c r="K1039" t="s">
        <v>7077</v>
      </c>
      <c r="L1039" s="1">
        <v>2</v>
      </c>
      <c r="M1039" s="1"/>
      <c r="N1039" s="1"/>
      <c r="O1039" s="3"/>
    </row>
    <row r="1040" spans="1:15" ht="409.6">
      <c r="A1040" t="s">
        <v>7078</v>
      </c>
      <c r="B1040" t="s">
        <v>7079</v>
      </c>
      <c r="C1040" t="s">
        <v>620</v>
      </c>
      <c r="D1040" t="s">
        <v>23</v>
      </c>
      <c r="E1040">
        <v>15</v>
      </c>
      <c r="F1040" s="2" t="s">
        <v>7080</v>
      </c>
      <c r="G1040" s="2" t="s">
        <v>7081</v>
      </c>
      <c r="H1040" s="2" t="s">
        <v>7082</v>
      </c>
      <c r="I1040" s="2" t="s">
        <v>7083</v>
      </c>
      <c r="J1040" t="s">
        <v>7084</v>
      </c>
      <c r="L1040" s="1">
        <v>2</v>
      </c>
      <c r="M1040" s="1"/>
      <c r="N1040" s="1"/>
      <c r="O1040" s="3"/>
    </row>
    <row r="1041" spans="1:15" ht="409.6">
      <c r="A1041" t="s">
        <v>5874</v>
      </c>
      <c r="B1041" t="s">
        <v>5875</v>
      </c>
      <c r="C1041" t="s">
        <v>620</v>
      </c>
      <c r="D1041" t="s">
        <v>23</v>
      </c>
      <c r="E1041">
        <v>10</v>
      </c>
      <c r="F1041" s="2" t="s">
        <v>7085</v>
      </c>
      <c r="G1041" s="2" t="s">
        <v>7086</v>
      </c>
      <c r="H1041" s="2" t="s">
        <v>5878</v>
      </c>
      <c r="I1041" s="2" t="s">
        <v>7087</v>
      </c>
      <c r="J1041" t="s">
        <v>5880</v>
      </c>
      <c r="L1041" s="1">
        <v>2</v>
      </c>
      <c r="M1041" s="1"/>
      <c r="N1041" s="1"/>
      <c r="O1041" s="3"/>
    </row>
    <row r="1042" spans="1:15" ht="409.6">
      <c r="A1042" t="s">
        <v>7088</v>
      </c>
      <c r="B1042" t="s">
        <v>7089</v>
      </c>
      <c r="C1042" t="s">
        <v>620</v>
      </c>
      <c r="D1042" t="s">
        <v>23</v>
      </c>
      <c r="E1042">
        <v>10</v>
      </c>
      <c r="F1042" s="2" t="s">
        <v>7090</v>
      </c>
      <c r="G1042" s="2" t="s">
        <v>7091</v>
      </c>
      <c r="H1042" s="2" t="s">
        <v>7092</v>
      </c>
      <c r="I1042" s="2" t="s">
        <v>7093</v>
      </c>
      <c r="J1042" t="s">
        <v>7094</v>
      </c>
      <c r="K1042" t="s">
        <v>7077</v>
      </c>
      <c r="L1042" s="1">
        <v>2</v>
      </c>
      <c r="M1042" s="1"/>
      <c r="N1042" s="1"/>
      <c r="O1042" s="3"/>
    </row>
    <row r="1043" spans="1:15" ht="409.6">
      <c r="A1043" t="s">
        <v>7095</v>
      </c>
      <c r="B1043" t="s">
        <v>7096</v>
      </c>
      <c r="C1043" t="s">
        <v>620</v>
      </c>
      <c r="D1043" t="s">
        <v>23</v>
      </c>
      <c r="E1043">
        <v>10</v>
      </c>
      <c r="F1043" s="2" t="s">
        <v>7097</v>
      </c>
      <c r="G1043" s="2" t="s">
        <v>7098</v>
      </c>
      <c r="H1043" s="2" t="s">
        <v>7099</v>
      </c>
      <c r="I1043" s="2" t="s">
        <v>7100</v>
      </c>
      <c r="J1043" t="s">
        <v>7101</v>
      </c>
      <c r="L1043" s="1">
        <v>2</v>
      </c>
      <c r="M1043" s="1"/>
      <c r="N1043" s="1"/>
      <c r="O1043" s="3"/>
    </row>
    <row r="1044" spans="1:15" ht="409.6">
      <c r="A1044" t="s">
        <v>7102</v>
      </c>
      <c r="B1044" t="s">
        <v>7103</v>
      </c>
      <c r="C1044" t="s">
        <v>620</v>
      </c>
      <c r="D1044" t="s">
        <v>23</v>
      </c>
      <c r="E1044">
        <v>10</v>
      </c>
      <c r="F1044" s="2" t="s">
        <v>7104</v>
      </c>
      <c r="G1044" s="2" t="s">
        <v>7105</v>
      </c>
      <c r="H1044" s="2" t="s">
        <v>7106</v>
      </c>
      <c r="I1044" s="2" t="s">
        <v>7107</v>
      </c>
      <c r="J1044" t="s">
        <v>7108</v>
      </c>
      <c r="L1044" s="1">
        <v>2</v>
      </c>
      <c r="M1044" s="1"/>
      <c r="N1044" s="1"/>
      <c r="O1044" s="3"/>
    </row>
    <row r="1045" spans="1:15" ht="409.6">
      <c r="A1045" t="s">
        <v>5920</v>
      </c>
      <c r="B1045" t="s">
        <v>5921</v>
      </c>
      <c r="C1045" t="s">
        <v>620</v>
      </c>
      <c r="D1045" t="s">
        <v>23</v>
      </c>
      <c r="E1045">
        <v>10</v>
      </c>
      <c r="F1045" s="2" t="s">
        <v>7109</v>
      </c>
      <c r="G1045" s="2" t="s">
        <v>7110</v>
      </c>
      <c r="H1045" s="2" t="s">
        <v>5924</v>
      </c>
      <c r="I1045" s="2" t="s">
        <v>5925</v>
      </c>
      <c r="J1045" t="s">
        <v>7111</v>
      </c>
      <c r="L1045" s="1">
        <v>2</v>
      </c>
      <c r="M1045" s="1"/>
      <c r="N1045" s="1"/>
      <c r="O1045" s="3"/>
    </row>
    <row r="1046" spans="1:15" ht="409.6">
      <c r="A1046" t="s">
        <v>5948</v>
      </c>
      <c r="B1046" t="s">
        <v>5949</v>
      </c>
      <c r="C1046" t="s">
        <v>620</v>
      </c>
      <c r="D1046" t="s">
        <v>23</v>
      </c>
      <c r="E1046">
        <v>10</v>
      </c>
      <c r="F1046" s="2" t="s">
        <v>7112</v>
      </c>
      <c r="G1046" s="2" t="s">
        <v>7113</v>
      </c>
      <c r="H1046" s="2" t="s">
        <v>7114</v>
      </c>
      <c r="I1046" s="2" t="s">
        <v>7115</v>
      </c>
      <c r="J1046" t="s">
        <v>7116</v>
      </c>
      <c r="L1046" s="1">
        <v>2</v>
      </c>
      <c r="M1046" s="1"/>
      <c r="N1046" s="1"/>
      <c r="O1046" s="3"/>
    </row>
    <row r="1047" spans="1:15" ht="409.6">
      <c r="A1047" t="s">
        <v>7117</v>
      </c>
      <c r="B1047" t="s">
        <v>7118</v>
      </c>
      <c r="C1047" t="s">
        <v>620</v>
      </c>
      <c r="D1047" t="s">
        <v>23</v>
      </c>
      <c r="E1047">
        <v>10</v>
      </c>
      <c r="F1047" s="2" t="s">
        <v>7119</v>
      </c>
      <c r="G1047" s="2" t="s">
        <v>7120</v>
      </c>
      <c r="H1047" s="2" t="s">
        <v>7121</v>
      </c>
      <c r="I1047" s="2" t="s">
        <v>7122</v>
      </c>
      <c r="J1047" t="s">
        <v>7123</v>
      </c>
      <c r="K1047" t="s">
        <v>7124</v>
      </c>
      <c r="L1047" s="1">
        <v>2</v>
      </c>
      <c r="M1047" s="1"/>
      <c r="N1047" s="1"/>
      <c r="O1047" s="3"/>
    </row>
    <row r="1048" spans="1:15" ht="409.6">
      <c r="A1048" t="s">
        <v>7125</v>
      </c>
      <c r="B1048" t="s">
        <v>7126</v>
      </c>
      <c r="C1048" t="s">
        <v>620</v>
      </c>
      <c r="D1048" t="s">
        <v>23</v>
      </c>
      <c r="E1048">
        <v>10</v>
      </c>
      <c r="F1048" s="2" t="s">
        <v>7127</v>
      </c>
      <c r="G1048" s="2" t="s">
        <v>7128</v>
      </c>
      <c r="H1048" s="2" t="s">
        <v>7129</v>
      </c>
      <c r="I1048" s="2" t="s">
        <v>7130</v>
      </c>
      <c r="J1048" t="s">
        <v>7131</v>
      </c>
      <c r="L1048" s="1">
        <v>2</v>
      </c>
      <c r="M1048" s="1"/>
      <c r="N1048" s="1"/>
      <c r="O1048" s="3"/>
    </row>
    <row r="1049" spans="1:15" ht="409.6">
      <c r="A1049" t="s">
        <v>7132</v>
      </c>
      <c r="B1049" t="s">
        <v>7133</v>
      </c>
      <c r="C1049" t="s">
        <v>620</v>
      </c>
      <c r="D1049" t="s">
        <v>23</v>
      </c>
      <c r="E1049">
        <v>5</v>
      </c>
      <c r="F1049" s="2" t="s">
        <v>7134</v>
      </c>
      <c r="G1049" s="2" t="s">
        <v>7135</v>
      </c>
      <c r="H1049" s="2" t="s">
        <v>7136</v>
      </c>
      <c r="I1049" s="2" t="s">
        <v>7137</v>
      </c>
      <c r="J1049" t="s">
        <v>7138</v>
      </c>
      <c r="L1049" s="1">
        <v>2</v>
      </c>
      <c r="M1049" s="1"/>
      <c r="N1049" s="1"/>
      <c r="O1049" s="3"/>
    </row>
    <row r="1050" spans="1:15" ht="409.6">
      <c r="A1050" t="s">
        <v>7139</v>
      </c>
      <c r="B1050" t="s">
        <v>7140</v>
      </c>
      <c r="C1050" t="s">
        <v>620</v>
      </c>
      <c r="D1050" t="s">
        <v>23</v>
      </c>
      <c r="E1050">
        <v>30</v>
      </c>
      <c r="F1050" s="2" t="s">
        <v>7141</v>
      </c>
      <c r="G1050" s="2" t="s">
        <v>7142</v>
      </c>
      <c r="H1050" s="2" t="s">
        <v>7143</v>
      </c>
      <c r="I1050" s="2" t="s">
        <v>7144</v>
      </c>
      <c r="J1050" t="s">
        <v>7145</v>
      </c>
      <c r="L1050" s="1">
        <v>2</v>
      </c>
      <c r="M1050" s="1"/>
      <c r="N1050" s="1"/>
      <c r="O1050" s="3"/>
    </row>
    <row r="1051" spans="1:15" ht="409.6">
      <c r="A1051" t="s">
        <v>7146</v>
      </c>
      <c r="B1051" t="s">
        <v>7147</v>
      </c>
      <c r="C1051" t="s">
        <v>620</v>
      </c>
      <c r="D1051" t="s">
        <v>23</v>
      </c>
      <c r="E1051">
        <v>15</v>
      </c>
      <c r="F1051" s="2" t="s">
        <v>7148</v>
      </c>
      <c r="G1051" s="2" t="s">
        <v>7149</v>
      </c>
      <c r="H1051" s="2" t="s">
        <v>7150</v>
      </c>
      <c r="I1051" s="2" t="s">
        <v>7151</v>
      </c>
      <c r="J1051" t="s">
        <v>7152</v>
      </c>
      <c r="L1051" s="1">
        <v>2</v>
      </c>
      <c r="M1051" s="1"/>
      <c r="N1051" s="1"/>
      <c r="O1051" s="3"/>
    </row>
    <row r="1052" spans="1:15" ht="409.6">
      <c r="A1052" t="s">
        <v>7153</v>
      </c>
      <c r="B1052" t="s">
        <v>7154</v>
      </c>
      <c r="C1052" t="s">
        <v>867</v>
      </c>
      <c r="D1052" t="s">
        <v>23</v>
      </c>
      <c r="E1052">
        <v>25</v>
      </c>
      <c r="F1052" s="2" t="s">
        <v>7155</v>
      </c>
      <c r="G1052" s="2" t="s">
        <v>7156</v>
      </c>
      <c r="H1052" s="2" t="s">
        <v>7157</v>
      </c>
      <c r="I1052" s="2" t="s">
        <v>7158</v>
      </c>
      <c r="J1052" t="s">
        <v>7159</v>
      </c>
      <c r="K1052" t="s">
        <v>7160</v>
      </c>
      <c r="L1052" s="1">
        <v>2</v>
      </c>
      <c r="M1052" s="1"/>
      <c r="N1052" s="1"/>
      <c r="O1052" s="3"/>
    </row>
    <row r="1053" spans="1:15" ht="409.6">
      <c r="A1053" t="s">
        <v>7161</v>
      </c>
      <c r="B1053" t="s">
        <v>7162</v>
      </c>
      <c r="C1053" t="s">
        <v>867</v>
      </c>
      <c r="D1053" t="s">
        <v>23</v>
      </c>
      <c r="E1053">
        <v>20</v>
      </c>
      <c r="F1053" s="2" t="s">
        <v>7163</v>
      </c>
      <c r="G1053" s="2" t="s">
        <v>7164</v>
      </c>
      <c r="H1053" s="2" t="s">
        <v>7165</v>
      </c>
      <c r="I1053" s="2" t="s">
        <v>7166</v>
      </c>
      <c r="J1053" t="s">
        <v>7167</v>
      </c>
      <c r="K1053" t="s">
        <v>7168</v>
      </c>
      <c r="L1053" s="1">
        <v>2</v>
      </c>
      <c r="M1053" s="1"/>
      <c r="N1053" s="1"/>
      <c r="O1053" s="3"/>
    </row>
    <row r="1054" spans="1:15" ht="409.6">
      <c r="A1054" t="s">
        <v>7169</v>
      </c>
      <c r="B1054" t="s">
        <v>7170</v>
      </c>
      <c r="C1054" t="s">
        <v>867</v>
      </c>
      <c r="D1054" t="s">
        <v>23</v>
      </c>
      <c r="E1054">
        <v>25</v>
      </c>
      <c r="F1054" s="2" t="s">
        <v>7171</v>
      </c>
      <c r="G1054" s="2" t="s">
        <v>7172</v>
      </c>
      <c r="H1054" s="2" t="s">
        <v>7173</v>
      </c>
      <c r="I1054" s="2" t="s">
        <v>7174</v>
      </c>
      <c r="J1054" t="s">
        <v>7175</v>
      </c>
      <c r="L1054" s="1">
        <v>2</v>
      </c>
      <c r="M1054" s="1"/>
      <c r="N1054" s="1"/>
      <c r="O1054" s="3"/>
    </row>
    <row r="1055" spans="1:15" ht="409.6">
      <c r="A1055" t="s">
        <v>7176</v>
      </c>
      <c r="B1055" t="s">
        <v>7177</v>
      </c>
      <c r="C1055" t="s">
        <v>867</v>
      </c>
      <c r="D1055" t="s">
        <v>23</v>
      </c>
      <c r="E1055">
        <v>30</v>
      </c>
      <c r="F1055" s="2" t="s">
        <v>7178</v>
      </c>
      <c r="G1055" s="2" t="s">
        <v>7179</v>
      </c>
      <c r="H1055" s="2" t="s">
        <v>7180</v>
      </c>
      <c r="I1055" s="2" t="s">
        <v>7181</v>
      </c>
      <c r="J1055" t="s">
        <v>7182</v>
      </c>
      <c r="K1055" t="s">
        <v>7183</v>
      </c>
      <c r="L1055" s="1">
        <v>2</v>
      </c>
      <c r="M1055" s="1"/>
      <c r="N1055" s="1"/>
      <c r="O1055" s="3"/>
    </row>
    <row r="1056" spans="1:15" ht="409.6">
      <c r="A1056" t="s">
        <v>7184</v>
      </c>
      <c r="B1056" t="s">
        <v>7185</v>
      </c>
      <c r="C1056" t="s">
        <v>867</v>
      </c>
      <c r="D1056" t="s">
        <v>23</v>
      </c>
      <c r="E1056">
        <v>25</v>
      </c>
      <c r="F1056" s="2" t="s">
        <v>7186</v>
      </c>
      <c r="G1056" s="2" t="s">
        <v>7187</v>
      </c>
      <c r="H1056" s="2" t="s">
        <v>7188</v>
      </c>
      <c r="I1056" s="2" t="s">
        <v>7189</v>
      </c>
      <c r="J1056" t="s">
        <v>7190</v>
      </c>
      <c r="L1056" s="1">
        <v>2</v>
      </c>
      <c r="M1056" s="1"/>
      <c r="N1056" s="1"/>
      <c r="O1056" s="3"/>
    </row>
    <row r="1057" spans="1:15" ht="409.6">
      <c r="A1057" t="s">
        <v>7191</v>
      </c>
      <c r="B1057" t="s">
        <v>7192</v>
      </c>
      <c r="C1057" t="s">
        <v>867</v>
      </c>
      <c r="D1057" t="s">
        <v>23</v>
      </c>
      <c r="E1057">
        <v>25</v>
      </c>
      <c r="F1057" s="2" t="s">
        <v>7193</v>
      </c>
      <c r="G1057" s="2" t="s">
        <v>7194</v>
      </c>
      <c r="H1057" s="2" t="s">
        <v>7195</v>
      </c>
      <c r="I1057" s="2" t="s">
        <v>7196</v>
      </c>
      <c r="J1057" t="s">
        <v>7197</v>
      </c>
      <c r="L1057" s="1">
        <v>2</v>
      </c>
      <c r="M1057" s="1"/>
      <c r="N1057" s="1"/>
      <c r="O1057" s="3"/>
    </row>
    <row r="1058" spans="1:15" ht="409.6">
      <c r="A1058" t="s">
        <v>7198</v>
      </c>
      <c r="B1058" t="s">
        <v>7199</v>
      </c>
      <c r="C1058" t="s">
        <v>867</v>
      </c>
      <c r="D1058" t="s">
        <v>23</v>
      </c>
      <c r="E1058">
        <v>25</v>
      </c>
      <c r="F1058" s="2" t="s">
        <v>7200</v>
      </c>
      <c r="G1058" s="2" t="s">
        <v>7201</v>
      </c>
      <c r="H1058" s="2" t="s">
        <v>7202</v>
      </c>
      <c r="I1058" s="2" t="s">
        <v>7203</v>
      </c>
      <c r="J1058" t="s">
        <v>7204</v>
      </c>
      <c r="L1058" s="1">
        <v>2</v>
      </c>
      <c r="M1058" s="1"/>
      <c r="N1058" s="1"/>
      <c r="O1058" s="3"/>
    </row>
    <row r="1059" spans="1:15" ht="409.6">
      <c r="A1059" t="s">
        <v>5726</v>
      </c>
      <c r="B1059" t="s">
        <v>7205</v>
      </c>
      <c r="C1059" t="s">
        <v>867</v>
      </c>
      <c r="D1059" t="s">
        <v>23</v>
      </c>
      <c r="E1059">
        <v>15</v>
      </c>
      <c r="F1059" s="2" t="s">
        <v>7206</v>
      </c>
      <c r="G1059" s="2" t="s">
        <v>7207</v>
      </c>
      <c r="H1059" s="2" t="s">
        <v>7208</v>
      </c>
      <c r="I1059" s="2" t="s">
        <v>7209</v>
      </c>
      <c r="J1059" t="s">
        <v>7210</v>
      </c>
      <c r="L1059" s="1">
        <v>2</v>
      </c>
      <c r="M1059" s="1"/>
      <c r="N1059" s="1"/>
      <c r="O1059" s="3"/>
    </row>
    <row r="1060" spans="1:15" ht="409.6">
      <c r="A1060" t="s">
        <v>5780</v>
      </c>
      <c r="B1060" t="s">
        <v>5781</v>
      </c>
      <c r="C1060" t="s">
        <v>867</v>
      </c>
      <c r="D1060" t="s">
        <v>23</v>
      </c>
      <c r="E1060">
        <v>25</v>
      </c>
      <c r="F1060" s="2" t="s">
        <v>7211</v>
      </c>
      <c r="G1060" s="2" t="s">
        <v>7212</v>
      </c>
      <c r="H1060" s="2" t="s">
        <v>7213</v>
      </c>
      <c r="I1060" s="2" t="s">
        <v>7214</v>
      </c>
      <c r="J1060" t="s">
        <v>7215</v>
      </c>
      <c r="K1060" t="s">
        <v>7216</v>
      </c>
      <c r="L1060" s="1">
        <v>2</v>
      </c>
      <c r="M1060" s="1"/>
      <c r="N1060" s="1"/>
      <c r="O1060" s="3"/>
    </row>
    <row r="1061" spans="1:15" ht="409.6">
      <c r="A1061" t="s">
        <v>7217</v>
      </c>
      <c r="B1061" t="s">
        <v>7218</v>
      </c>
      <c r="C1061" t="s">
        <v>867</v>
      </c>
      <c r="D1061" t="s">
        <v>23</v>
      </c>
      <c r="E1061">
        <v>25</v>
      </c>
      <c r="F1061" s="2" t="s">
        <v>7219</v>
      </c>
      <c r="G1061" s="2" t="s">
        <v>7220</v>
      </c>
      <c r="H1061" s="2" t="s">
        <v>7221</v>
      </c>
      <c r="I1061" s="2" t="s">
        <v>7222</v>
      </c>
      <c r="J1061" t="s">
        <v>7223</v>
      </c>
      <c r="L1061" s="1">
        <v>2</v>
      </c>
      <c r="M1061" s="1"/>
      <c r="N1061" s="1"/>
      <c r="O1061" s="3"/>
    </row>
    <row r="1062" spans="1:15" ht="409.6">
      <c r="A1062" t="s">
        <v>7224</v>
      </c>
      <c r="B1062" t="s">
        <v>7225</v>
      </c>
      <c r="C1062" t="s">
        <v>867</v>
      </c>
      <c r="D1062" t="s">
        <v>23</v>
      </c>
      <c r="E1062">
        <v>25</v>
      </c>
      <c r="F1062" s="2" t="s">
        <v>7226</v>
      </c>
      <c r="G1062" s="2" t="s">
        <v>7227</v>
      </c>
      <c r="H1062" s="2" t="s">
        <v>7228</v>
      </c>
      <c r="I1062" s="2" t="s">
        <v>7229</v>
      </c>
      <c r="J1062" t="s">
        <v>7230</v>
      </c>
      <c r="L1062" s="1">
        <v>2</v>
      </c>
      <c r="M1062" s="1"/>
      <c r="N1062" s="1"/>
      <c r="O1062" s="3"/>
    </row>
    <row r="1063" spans="1:15" ht="409.6">
      <c r="A1063" t="s">
        <v>7231</v>
      </c>
      <c r="B1063" t="s">
        <v>7232</v>
      </c>
      <c r="C1063" t="s">
        <v>867</v>
      </c>
      <c r="D1063" t="s">
        <v>23</v>
      </c>
      <c r="E1063">
        <v>25</v>
      </c>
      <c r="F1063" s="2" t="s">
        <v>7233</v>
      </c>
      <c r="G1063" s="2" t="s">
        <v>7234</v>
      </c>
      <c r="H1063" s="2" t="s">
        <v>7235</v>
      </c>
      <c r="I1063" s="2" t="s">
        <v>7236</v>
      </c>
      <c r="J1063" t="s">
        <v>7237</v>
      </c>
      <c r="K1063" t="s">
        <v>7238</v>
      </c>
      <c r="L1063" s="1">
        <v>2</v>
      </c>
      <c r="M1063" s="1"/>
      <c r="N1063" s="1"/>
      <c r="O1063" s="3"/>
    </row>
    <row r="1064" spans="1:15" ht="409.6">
      <c r="A1064" t="s">
        <v>7239</v>
      </c>
      <c r="B1064" t="s">
        <v>7240</v>
      </c>
      <c r="C1064" t="s">
        <v>867</v>
      </c>
      <c r="D1064" t="s">
        <v>23</v>
      </c>
      <c r="E1064">
        <v>30</v>
      </c>
      <c r="F1064" s="2" t="s">
        <v>7241</v>
      </c>
      <c r="G1064" s="2" t="s">
        <v>7242</v>
      </c>
      <c r="H1064" s="2" t="s">
        <v>7243</v>
      </c>
      <c r="I1064" s="2" t="s">
        <v>7244</v>
      </c>
      <c r="J1064" t="s">
        <v>7245</v>
      </c>
      <c r="K1064" t="s">
        <v>7246</v>
      </c>
      <c r="L1064" s="1">
        <v>2</v>
      </c>
      <c r="M1064" s="1"/>
      <c r="N1064" s="1"/>
      <c r="O1064" s="3"/>
    </row>
    <row r="1065" spans="1:15" ht="409.6">
      <c r="A1065" t="s">
        <v>7247</v>
      </c>
      <c r="B1065" t="s">
        <v>7248</v>
      </c>
      <c r="C1065" t="s">
        <v>867</v>
      </c>
      <c r="D1065" t="s">
        <v>23</v>
      </c>
      <c r="E1065">
        <v>25</v>
      </c>
      <c r="F1065" s="2" t="s">
        <v>7249</v>
      </c>
      <c r="G1065" s="2" t="s">
        <v>7250</v>
      </c>
      <c r="H1065" s="2" t="s">
        <v>7251</v>
      </c>
      <c r="I1065" s="2" t="s">
        <v>7252</v>
      </c>
      <c r="J1065" t="s">
        <v>7253</v>
      </c>
      <c r="L1065" s="1">
        <v>2</v>
      </c>
      <c r="M1065" s="1"/>
      <c r="N1065" s="1"/>
      <c r="O1065" s="3"/>
    </row>
    <row r="1066" spans="1:15" ht="409.6">
      <c r="A1066" t="s">
        <v>7254</v>
      </c>
      <c r="B1066" t="s">
        <v>7255</v>
      </c>
      <c r="C1066" t="s">
        <v>867</v>
      </c>
      <c r="D1066" t="s">
        <v>23</v>
      </c>
      <c r="E1066">
        <v>17</v>
      </c>
      <c r="F1066" s="2" t="s">
        <v>7256</v>
      </c>
      <c r="G1066" s="2" t="s">
        <v>7257</v>
      </c>
      <c r="H1066" s="2" t="s">
        <v>7258</v>
      </c>
      <c r="I1066" s="2" t="s">
        <v>7259</v>
      </c>
      <c r="J1066" t="s">
        <v>7260</v>
      </c>
      <c r="L1066" s="1">
        <v>2</v>
      </c>
      <c r="M1066" s="1"/>
      <c r="N1066" s="1"/>
      <c r="O1066" s="3"/>
    </row>
    <row r="1067" spans="1:15" ht="409.6">
      <c r="A1067" t="s">
        <v>7261</v>
      </c>
      <c r="B1067" t="s">
        <v>7262</v>
      </c>
      <c r="C1067" t="s">
        <v>7263</v>
      </c>
      <c r="D1067" t="s">
        <v>23</v>
      </c>
      <c r="E1067">
        <v>15</v>
      </c>
      <c r="F1067" s="2" t="s">
        <v>7264</v>
      </c>
      <c r="G1067" s="2" t="s">
        <v>7265</v>
      </c>
      <c r="H1067" s="2" t="s">
        <v>7266</v>
      </c>
      <c r="I1067" s="2" t="s">
        <v>7267</v>
      </c>
      <c r="J1067" t="s">
        <v>7268</v>
      </c>
      <c r="K1067" t="s">
        <v>7269</v>
      </c>
      <c r="L1067" s="1">
        <v>2</v>
      </c>
      <c r="M1067" s="1"/>
      <c r="N1067" s="1"/>
      <c r="O1067" s="3"/>
    </row>
    <row r="1068" spans="1:15" ht="409.6">
      <c r="A1068" t="s">
        <v>4041</v>
      </c>
      <c r="B1068" t="s">
        <v>4042</v>
      </c>
      <c r="C1068" t="s">
        <v>7263</v>
      </c>
      <c r="D1068" t="s">
        <v>23</v>
      </c>
      <c r="E1068">
        <v>20</v>
      </c>
      <c r="F1068" s="2" t="s">
        <v>7270</v>
      </c>
      <c r="G1068" s="2" t="s">
        <v>7271</v>
      </c>
      <c r="H1068" s="2" t="s">
        <v>4046</v>
      </c>
      <c r="I1068" s="2" t="s">
        <v>7272</v>
      </c>
      <c r="J1068" t="s">
        <v>7273</v>
      </c>
      <c r="K1068" t="s">
        <v>4049</v>
      </c>
      <c r="L1068" s="1">
        <v>2</v>
      </c>
      <c r="M1068" s="1"/>
      <c r="N1068" s="1"/>
      <c r="O1068" s="3"/>
    </row>
    <row r="1069" spans="1:15" ht="409.6">
      <c r="A1069" t="s">
        <v>7274</v>
      </c>
      <c r="B1069" t="s">
        <v>7275</v>
      </c>
      <c r="C1069" t="s">
        <v>7263</v>
      </c>
      <c r="D1069" t="s">
        <v>23</v>
      </c>
      <c r="E1069">
        <v>15</v>
      </c>
      <c r="F1069" s="2" t="s">
        <v>7276</v>
      </c>
      <c r="G1069" s="2" t="s">
        <v>7277</v>
      </c>
      <c r="H1069" s="2" t="s">
        <v>7278</v>
      </c>
      <c r="I1069" s="2" t="s">
        <v>7279</v>
      </c>
      <c r="J1069" t="s">
        <v>7280</v>
      </c>
      <c r="K1069" t="s">
        <v>7281</v>
      </c>
      <c r="L1069" s="1">
        <v>2</v>
      </c>
      <c r="M1069" s="1"/>
      <c r="N1069" s="1"/>
      <c r="O1069" s="3"/>
    </row>
    <row r="1070" spans="1:15" ht="409.6">
      <c r="A1070" t="s">
        <v>4050</v>
      </c>
      <c r="B1070" t="s">
        <v>4051</v>
      </c>
      <c r="C1070" t="s">
        <v>7263</v>
      </c>
      <c r="D1070" t="s">
        <v>23</v>
      </c>
      <c r="E1070">
        <v>15</v>
      </c>
      <c r="F1070" s="2" t="s">
        <v>7282</v>
      </c>
      <c r="G1070" s="2" t="s">
        <v>7283</v>
      </c>
      <c r="H1070" s="2" t="s">
        <v>7284</v>
      </c>
      <c r="I1070" s="2" t="s">
        <v>7285</v>
      </c>
      <c r="J1070" t="s">
        <v>7286</v>
      </c>
      <c r="K1070" t="s">
        <v>4058</v>
      </c>
      <c r="L1070" s="1">
        <v>2</v>
      </c>
      <c r="M1070" s="1"/>
      <c r="N1070" s="1"/>
      <c r="O1070" s="3"/>
    </row>
    <row r="1071" spans="1:15" ht="409.6">
      <c r="A1071" t="s">
        <v>4068</v>
      </c>
      <c r="B1071" t="s">
        <v>4069</v>
      </c>
      <c r="C1071" t="s">
        <v>7263</v>
      </c>
      <c r="D1071" t="s">
        <v>23</v>
      </c>
      <c r="E1071">
        <v>15</v>
      </c>
      <c r="F1071" s="2" t="s">
        <v>7287</v>
      </c>
      <c r="G1071" s="2" t="s">
        <v>7288</v>
      </c>
      <c r="H1071" s="2" t="s">
        <v>7289</v>
      </c>
      <c r="I1071" s="2" t="s">
        <v>7290</v>
      </c>
      <c r="J1071" t="s">
        <v>7291</v>
      </c>
      <c r="K1071" t="s">
        <v>4075</v>
      </c>
      <c r="L1071" s="1">
        <v>2</v>
      </c>
      <c r="M1071" s="1"/>
      <c r="N1071" s="1"/>
      <c r="O1071" s="3"/>
    </row>
    <row r="1072" spans="1:15" ht="409.6">
      <c r="A1072" t="s">
        <v>4084</v>
      </c>
      <c r="B1072" t="s">
        <v>4085</v>
      </c>
      <c r="C1072" t="s">
        <v>7263</v>
      </c>
      <c r="D1072" t="s">
        <v>23</v>
      </c>
      <c r="E1072">
        <v>10</v>
      </c>
      <c r="F1072" s="2" t="s">
        <v>7292</v>
      </c>
      <c r="G1072" s="2" t="s">
        <v>4087</v>
      </c>
      <c r="H1072" s="2" t="s">
        <v>4088</v>
      </c>
      <c r="I1072" s="2" t="s">
        <v>7293</v>
      </c>
      <c r="J1072" t="s">
        <v>7294</v>
      </c>
      <c r="K1072" t="s">
        <v>4091</v>
      </c>
      <c r="L1072" s="1">
        <v>2</v>
      </c>
      <c r="M1072" s="1"/>
      <c r="N1072" s="1"/>
      <c r="O1072" s="3"/>
    </row>
    <row r="1073" spans="1:15" ht="409.6">
      <c r="A1073" t="s">
        <v>7295</v>
      </c>
      <c r="B1073" t="s">
        <v>7296</v>
      </c>
      <c r="C1073" t="s">
        <v>7263</v>
      </c>
      <c r="D1073" t="s">
        <v>23</v>
      </c>
      <c r="E1073">
        <v>20</v>
      </c>
      <c r="F1073" s="2" t="s">
        <v>7297</v>
      </c>
      <c r="G1073" s="2" t="s">
        <v>7298</v>
      </c>
      <c r="H1073" s="2" t="s">
        <v>7299</v>
      </c>
      <c r="I1073" s="2" t="s">
        <v>7300</v>
      </c>
      <c r="J1073" t="s">
        <v>7301</v>
      </c>
      <c r="K1073" t="s">
        <v>7302</v>
      </c>
      <c r="L1073" s="1">
        <v>2</v>
      </c>
      <c r="M1073" s="1"/>
      <c r="N1073" s="1"/>
      <c r="O1073" s="3"/>
    </row>
    <row r="1074" spans="1:15" ht="409.6">
      <c r="A1074" t="s">
        <v>7303</v>
      </c>
      <c r="B1074" s="2" t="s">
        <v>7304</v>
      </c>
      <c r="C1074" t="s">
        <v>7263</v>
      </c>
      <c r="D1074" t="s">
        <v>23</v>
      </c>
      <c r="E1074">
        <v>20</v>
      </c>
      <c r="F1074" s="2" t="s">
        <v>7305</v>
      </c>
      <c r="G1074" s="2" t="s">
        <v>7306</v>
      </c>
      <c r="H1074" s="2" t="s">
        <v>7307</v>
      </c>
      <c r="I1074" s="2" t="s">
        <v>7308</v>
      </c>
      <c r="J1074" t="s">
        <v>7309</v>
      </c>
      <c r="K1074" t="s">
        <v>7310</v>
      </c>
      <c r="L1074" s="1">
        <v>2</v>
      </c>
      <c r="M1074" s="1"/>
      <c r="N1074" s="1"/>
      <c r="O1074" s="3"/>
    </row>
    <row r="1075" spans="1:15" ht="409.6">
      <c r="A1075" t="s">
        <v>4115</v>
      </c>
      <c r="B1075" t="s">
        <v>4116</v>
      </c>
      <c r="C1075" t="s">
        <v>7263</v>
      </c>
      <c r="D1075" t="s">
        <v>23</v>
      </c>
      <c r="E1075">
        <v>20</v>
      </c>
      <c r="F1075" s="2" t="s">
        <v>7311</v>
      </c>
      <c r="G1075" s="2" t="s">
        <v>7312</v>
      </c>
      <c r="H1075" s="2" t="s">
        <v>7313</v>
      </c>
      <c r="I1075" s="2" t="s">
        <v>7314</v>
      </c>
      <c r="J1075" t="s">
        <v>4121</v>
      </c>
      <c r="K1075" t="s">
        <v>4122</v>
      </c>
      <c r="L1075" s="1">
        <v>2</v>
      </c>
      <c r="M1075" s="1"/>
      <c r="N1075" s="1"/>
      <c r="O1075" s="3"/>
    </row>
    <row r="1076" spans="1:15" ht="409.6">
      <c r="A1076" t="s">
        <v>7315</v>
      </c>
      <c r="B1076" t="s">
        <v>7316</v>
      </c>
      <c r="C1076" t="s">
        <v>7263</v>
      </c>
      <c r="D1076" t="s">
        <v>23</v>
      </c>
      <c r="E1076">
        <v>4</v>
      </c>
      <c r="F1076" s="2" t="s">
        <v>7317</v>
      </c>
      <c r="G1076" s="2" t="s">
        <v>7318</v>
      </c>
      <c r="H1076" s="2" t="s">
        <v>7319</v>
      </c>
      <c r="I1076" s="2" t="s">
        <v>7320</v>
      </c>
      <c r="J1076" t="s">
        <v>7321</v>
      </c>
      <c r="K1076" t="s">
        <v>7322</v>
      </c>
      <c r="L1076" s="1">
        <v>2</v>
      </c>
      <c r="M1076" s="1"/>
      <c r="N1076" s="1"/>
      <c r="O1076" s="3"/>
    </row>
    <row r="1077" spans="1:15" ht="409.6">
      <c r="A1077" t="s">
        <v>7323</v>
      </c>
      <c r="B1077" s="2" t="s">
        <v>7324</v>
      </c>
      <c r="C1077" t="s">
        <v>7263</v>
      </c>
      <c r="D1077" t="s">
        <v>23</v>
      </c>
      <c r="E1077">
        <v>20</v>
      </c>
      <c r="F1077" s="2" t="s">
        <v>7325</v>
      </c>
      <c r="G1077" s="2" t="s">
        <v>7326</v>
      </c>
      <c r="H1077" s="2" t="s">
        <v>7327</v>
      </c>
      <c r="I1077" s="2" t="s">
        <v>7328</v>
      </c>
      <c r="J1077" t="s">
        <v>7329</v>
      </c>
      <c r="L1077" s="1">
        <v>2</v>
      </c>
      <c r="M1077" s="1"/>
      <c r="N1077" s="1"/>
      <c r="O1077" s="3"/>
    </row>
    <row r="1078" spans="1:15" ht="409.6">
      <c r="A1078" t="s">
        <v>7330</v>
      </c>
      <c r="B1078" t="s">
        <v>7331</v>
      </c>
      <c r="C1078" t="s">
        <v>7263</v>
      </c>
      <c r="D1078" t="s">
        <v>23</v>
      </c>
      <c r="E1078">
        <v>15</v>
      </c>
      <c r="F1078" s="2" t="s">
        <v>7332</v>
      </c>
      <c r="G1078" s="2" t="s">
        <v>7333</v>
      </c>
      <c r="H1078" s="2" t="s">
        <v>7334</v>
      </c>
      <c r="I1078" s="2" t="s">
        <v>7335</v>
      </c>
      <c r="J1078" t="s">
        <v>7336</v>
      </c>
      <c r="L1078" s="1">
        <v>2</v>
      </c>
      <c r="M1078" s="1"/>
      <c r="N1078" s="1"/>
      <c r="O1078" s="3"/>
    </row>
    <row r="1079" spans="1:15" ht="409.6">
      <c r="A1079" t="s">
        <v>7337</v>
      </c>
      <c r="B1079" t="s">
        <v>7338</v>
      </c>
      <c r="C1079" t="s">
        <v>7263</v>
      </c>
      <c r="D1079" t="s">
        <v>23</v>
      </c>
      <c r="E1079">
        <v>15</v>
      </c>
      <c r="F1079" s="2" t="s">
        <v>7339</v>
      </c>
      <c r="G1079" s="2" t="s">
        <v>7340</v>
      </c>
      <c r="H1079" s="2" t="s">
        <v>7341</v>
      </c>
      <c r="I1079" s="2" t="s">
        <v>7342</v>
      </c>
      <c r="J1079" t="s">
        <v>7343</v>
      </c>
      <c r="L1079" s="1">
        <v>2</v>
      </c>
      <c r="M1079" s="1"/>
      <c r="N1079" s="1"/>
      <c r="O1079" s="3"/>
    </row>
    <row r="1080" spans="1:15" ht="409.6">
      <c r="A1080" t="s">
        <v>7344</v>
      </c>
      <c r="B1080" t="s">
        <v>7345</v>
      </c>
      <c r="C1080" t="s">
        <v>7263</v>
      </c>
      <c r="D1080" t="s">
        <v>23</v>
      </c>
      <c r="E1080">
        <v>15</v>
      </c>
      <c r="F1080" s="2" t="s">
        <v>7346</v>
      </c>
      <c r="G1080" s="2" t="s">
        <v>7347</v>
      </c>
      <c r="H1080" s="2" t="s">
        <v>7348</v>
      </c>
      <c r="I1080" s="2" t="s">
        <v>7349</v>
      </c>
      <c r="J1080" t="s">
        <v>7350</v>
      </c>
      <c r="L1080" s="1">
        <v>2</v>
      </c>
      <c r="M1080" s="1"/>
      <c r="N1080" s="1"/>
      <c r="O1080" s="3"/>
    </row>
    <row r="1081" spans="1:15" ht="409.6">
      <c r="A1081" t="s">
        <v>7351</v>
      </c>
      <c r="B1081" t="s">
        <v>7352</v>
      </c>
      <c r="C1081" t="s">
        <v>7263</v>
      </c>
      <c r="D1081" t="s">
        <v>23</v>
      </c>
      <c r="E1081">
        <v>5</v>
      </c>
      <c r="F1081" s="2" t="s">
        <v>7353</v>
      </c>
      <c r="G1081" s="2" t="s">
        <v>7354</v>
      </c>
      <c r="H1081" s="2" t="s">
        <v>7355</v>
      </c>
      <c r="I1081" s="2" t="s">
        <v>7356</v>
      </c>
      <c r="J1081" t="s">
        <v>7357</v>
      </c>
      <c r="K1081" t="s">
        <v>7358</v>
      </c>
      <c r="L1081" s="1">
        <v>2</v>
      </c>
      <c r="M1081" s="1"/>
      <c r="N1081" s="1"/>
      <c r="O1081" s="3"/>
    </row>
    <row r="1082" spans="1:15" ht="409.6">
      <c r="A1082" t="s">
        <v>6456</v>
      </c>
      <c r="B1082" t="s">
        <v>6457</v>
      </c>
      <c r="C1082" t="s">
        <v>7263</v>
      </c>
      <c r="D1082" t="s">
        <v>23</v>
      </c>
      <c r="E1082">
        <v>30</v>
      </c>
      <c r="F1082" s="2" t="s">
        <v>7359</v>
      </c>
      <c r="G1082" s="2" t="s">
        <v>6459</v>
      </c>
      <c r="H1082" s="2" t="s">
        <v>7360</v>
      </c>
      <c r="I1082" s="2" t="s">
        <v>7361</v>
      </c>
      <c r="J1082" t="s">
        <v>7362</v>
      </c>
      <c r="L1082" s="1">
        <v>2</v>
      </c>
      <c r="M1082" s="1"/>
      <c r="N1082" s="1"/>
      <c r="O1082" s="3"/>
    </row>
    <row r="1083" spans="1:15" ht="409.6">
      <c r="A1083" t="s">
        <v>7363</v>
      </c>
      <c r="B1083" t="s">
        <v>7364</v>
      </c>
      <c r="C1083" t="s">
        <v>7263</v>
      </c>
      <c r="D1083" t="s">
        <v>23</v>
      </c>
      <c r="E1083">
        <v>5</v>
      </c>
      <c r="F1083" s="2" t="s">
        <v>7365</v>
      </c>
      <c r="G1083" s="2" t="s">
        <v>7366</v>
      </c>
      <c r="H1083" s="2" t="s">
        <v>7367</v>
      </c>
      <c r="I1083" s="2" t="s">
        <v>7368</v>
      </c>
      <c r="J1083" t="s">
        <v>7369</v>
      </c>
      <c r="L1083" s="1">
        <v>2</v>
      </c>
      <c r="M1083" s="1"/>
      <c r="N1083" s="1"/>
      <c r="O1083" s="3"/>
    </row>
    <row r="1084" spans="1:15" ht="409.6">
      <c r="A1084" t="s">
        <v>7370</v>
      </c>
      <c r="B1084" t="s">
        <v>7371</v>
      </c>
      <c r="C1084" t="s">
        <v>7263</v>
      </c>
      <c r="D1084" t="s">
        <v>23</v>
      </c>
      <c r="E1084">
        <v>5</v>
      </c>
      <c r="F1084" s="2" t="s">
        <v>7372</v>
      </c>
      <c r="G1084" s="2" t="s">
        <v>7373</v>
      </c>
      <c r="H1084" s="2" t="s">
        <v>7374</v>
      </c>
      <c r="I1084" s="2" t="s">
        <v>7375</v>
      </c>
      <c r="J1084" t="s">
        <v>7376</v>
      </c>
      <c r="L1084" s="1">
        <v>2</v>
      </c>
      <c r="M1084" s="1"/>
      <c r="N1084" s="1"/>
      <c r="O1084" s="3"/>
    </row>
    <row r="1085" spans="1:15" ht="409.6">
      <c r="A1085" t="s">
        <v>4259</v>
      </c>
      <c r="B1085" t="s">
        <v>4260</v>
      </c>
      <c r="C1085" t="s">
        <v>7263</v>
      </c>
      <c r="D1085" t="s">
        <v>23</v>
      </c>
      <c r="E1085">
        <v>15</v>
      </c>
      <c r="F1085" s="2" t="s">
        <v>7377</v>
      </c>
      <c r="G1085" s="2" t="s">
        <v>7378</v>
      </c>
      <c r="H1085" s="2" t="s">
        <v>7379</v>
      </c>
      <c r="I1085" s="2" t="s">
        <v>7380</v>
      </c>
      <c r="J1085" t="s">
        <v>7381</v>
      </c>
      <c r="L1085" s="1">
        <v>2</v>
      </c>
      <c r="M1085" s="1"/>
      <c r="N1085" s="1"/>
      <c r="O1085" s="3"/>
    </row>
    <row r="1086" spans="1:15" ht="409.6">
      <c r="A1086" t="s">
        <v>4266</v>
      </c>
      <c r="B1086" t="s">
        <v>4267</v>
      </c>
      <c r="C1086" t="s">
        <v>7263</v>
      </c>
      <c r="D1086" t="s">
        <v>23</v>
      </c>
      <c r="E1086">
        <v>20</v>
      </c>
      <c r="F1086" s="2" t="s">
        <v>7382</v>
      </c>
      <c r="G1086" s="2" t="s">
        <v>7383</v>
      </c>
      <c r="H1086" s="2" t="s">
        <v>7384</v>
      </c>
      <c r="I1086" s="2" t="s">
        <v>7385</v>
      </c>
      <c r="J1086" t="s">
        <v>7386</v>
      </c>
      <c r="L1086" s="1">
        <v>2</v>
      </c>
      <c r="M1086" s="1"/>
      <c r="N1086" s="1"/>
      <c r="O1086" s="3"/>
    </row>
    <row r="1087" spans="1:15" ht="409.6">
      <c r="A1087" t="s">
        <v>4273</v>
      </c>
      <c r="B1087" t="s">
        <v>4274</v>
      </c>
      <c r="C1087" t="s">
        <v>7263</v>
      </c>
      <c r="D1087" t="s">
        <v>23</v>
      </c>
      <c r="E1087">
        <v>25</v>
      </c>
      <c r="F1087" s="2" t="s">
        <v>7387</v>
      </c>
      <c r="G1087" s="2" t="s">
        <v>7388</v>
      </c>
      <c r="H1087" s="2" t="s">
        <v>7389</v>
      </c>
      <c r="I1087" s="2" t="s">
        <v>7390</v>
      </c>
      <c r="J1087" t="s">
        <v>4279</v>
      </c>
      <c r="L1087" s="1">
        <v>2</v>
      </c>
      <c r="M1087" s="1"/>
      <c r="N1087" s="1"/>
      <c r="O1087" s="3"/>
    </row>
    <row r="1088" spans="1:15" ht="409.6">
      <c r="A1088" t="s">
        <v>7391</v>
      </c>
      <c r="B1088" t="s">
        <v>7392</v>
      </c>
      <c r="C1088" t="s">
        <v>7263</v>
      </c>
      <c r="D1088" t="s">
        <v>23</v>
      </c>
      <c r="E1088">
        <v>15</v>
      </c>
      <c r="F1088" s="2" t="s">
        <v>7393</v>
      </c>
      <c r="G1088" s="2" t="s">
        <v>7394</v>
      </c>
      <c r="H1088" s="2" t="s">
        <v>7395</v>
      </c>
      <c r="I1088" s="2" t="s">
        <v>7396</v>
      </c>
      <c r="J1088" t="s">
        <v>7397</v>
      </c>
      <c r="L1088" s="1">
        <v>2</v>
      </c>
      <c r="M1088" s="1"/>
      <c r="N1088" s="1"/>
      <c r="O1088" s="3"/>
    </row>
    <row r="1089" spans="1:15" ht="409.6">
      <c r="A1089" t="s">
        <v>7398</v>
      </c>
      <c r="B1089" t="s">
        <v>7399</v>
      </c>
      <c r="C1089" t="s">
        <v>7263</v>
      </c>
      <c r="D1089" t="s">
        <v>23</v>
      </c>
      <c r="E1089">
        <v>15</v>
      </c>
      <c r="F1089" s="2" t="s">
        <v>7400</v>
      </c>
      <c r="G1089" s="2" t="s">
        <v>7401</v>
      </c>
      <c r="H1089" s="2" t="s">
        <v>7402</v>
      </c>
      <c r="I1089" s="2" t="s">
        <v>7403</v>
      </c>
      <c r="J1089" t="s">
        <v>7404</v>
      </c>
      <c r="L1089" s="1">
        <v>2</v>
      </c>
      <c r="M1089" s="1"/>
      <c r="N1089" s="1"/>
      <c r="O1089" s="3"/>
    </row>
    <row r="1090" spans="1:15" ht="409.6">
      <c r="A1090" t="s">
        <v>7405</v>
      </c>
      <c r="B1090" t="s">
        <v>7406</v>
      </c>
      <c r="C1090" t="s">
        <v>7263</v>
      </c>
      <c r="D1090" t="s">
        <v>23</v>
      </c>
      <c r="E1090">
        <v>15</v>
      </c>
      <c r="F1090" s="2" t="s">
        <v>7407</v>
      </c>
      <c r="G1090" s="2" t="s">
        <v>7408</v>
      </c>
      <c r="H1090" s="2" t="s">
        <v>7409</v>
      </c>
      <c r="I1090" s="2" t="s">
        <v>7410</v>
      </c>
      <c r="J1090" t="s">
        <v>7411</v>
      </c>
      <c r="L1090" s="1">
        <v>2</v>
      </c>
      <c r="M1090" s="1"/>
      <c r="N1090" s="1"/>
      <c r="O1090" s="3"/>
    </row>
    <row r="1091" spans="1:15" ht="409.6">
      <c r="A1091" t="s">
        <v>7412</v>
      </c>
      <c r="B1091" t="s">
        <v>7413</v>
      </c>
      <c r="C1091" t="s">
        <v>7263</v>
      </c>
      <c r="D1091" t="s">
        <v>23</v>
      </c>
      <c r="E1091">
        <v>20</v>
      </c>
      <c r="F1091" s="2" t="s">
        <v>7414</v>
      </c>
      <c r="G1091" s="2" t="s">
        <v>7415</v>
      </c>
      <c r="H1091" s="2" t="s">
        <v>7416</v>
      </c>
      <c r="I1091" s="2" t="s">
        <v>7417</v>
      </c>
      <c r="J1091" t="s">
        <v>7418</v>
      </c>
      <c r="L1091" s="1">
        <v>2</v>
      </c>
      <c r="M1091" s="1"/>
      <c r="N1091" s="1"/>
      <c r="O1091" s="3"/>
    </row>
    <row r="1092" spans="1:15" ht="409.6">
      <c r="A1092" t="s">
        <v>7419</v>
      </c>
      <c r="B1092" t="s">
        <v>7420</v>
      </c>
      <c r="C1092" t="s">
        <v>7263</v>
      </c>
      <c r="D1092" t="s">
        <v>23</v>
      </c>
      <c r="E1092">
        <v>20</v>
      </c>
      <c r="F1092" s="2" t="s">
        <v>7421</v>
      </c>
      <c r="G1092" s="2" t="s">
        <v>7422</v>
      </c>
      <c r="H1092" s="2" t="s">
        <v>7423</v>
      </c>
      <c r="I1092" s="2" t="s">
        <v>7424</v>
      </c>
      <c r="J1092" t="s">
        <v>7425</v>
      </c>
      <c r="L1092" s="1">
        <v>2</v>
      </c>
      <c r="M1092" s="1"/>
      <c r="N1092" s="1"/>
      <c r="O1092" s="3"/>
    </row>
    <row r="1093" spans="1:15" ht="409.6">
      <c r="A1093" t="s">
        <v>7426</v>
      </c>
      <c r="B1093" t="s">
        <v>7427</v>
      </c>
      <c r="C1093" t="s">
        <v>7263</v>
      </c>
      <c r="D1093" t="s">
        <v>23</v>
      </c>
      <c r="E1093">
        <v>30</v>
      </c>
      <c r="F1093" s="2" t="s">
        <v>7428</v>
      </c>
      <c r="G1093" s="2" t="s">
        <v>7429</v>
      </c>
      <c r="H1093" s="2" t="s">
        <v>7430</v>
      </c>
      <c r="I1093" s="2" t="s">
        <v>7431</v>
      </c>
      <c r="J1093" t="s">
        <v>7432</v>
      </c>
      <c r="L1093" s="1">
        <v>2</v>
      </c>
      <c r="M1093" s="1"/>
      <c r="N1093" s="1"/>
      <c r="O1093" s="3"/>
    </row>
    <row r="1094" spans="1:15" ht="409.6">
      <c r="A1094" t="s">
        <v>7433</v>
      </c>
      <c r="B1094" t="s">
        <v>7434</v>
      </c>
      <c r="C1094" t="s">
        <v>7263</v>
      </c>
      <c r="D1094" t="s">
        <v>23</v>
      </c>
      <c r="E1094">
        <v>20</v>
      </c>
      <c r="F1094" s="2" t="s">
        <v>7435</v>
      </c>
      <c r="G1094" s="2" t="s">
        <v>7436</v>
      </c>
      <c r="H1094" s="2" t="s">
        <v>7437</v>
      </c>
      <c r="I1094" s="2" t="s">
        <v>7438</v>
      </c>
      <c r="J1094" t="s">
        <v>7439</v>
      </c>
      <c r="L1094" s="1">
        <v>2</v>
      </c>
      <c r="M1094" s="1"/>
      <c r="N1094" s="1"/>
      <c r="O1094" s="3"/>
    </row>
    <row r="1095" spans="1:15" ht="409.6">
      <c r="A1095" t="s">
        <v>4308</v>
      </c>
      <c r="B1095" t="s">
        <v>4309</v>
      </c>
      <c r="C1095" t="s">
        <v>7263</v>
      </c>
      <c r="D1095" t="s">
        <v>23</v>
      </c>
      <c r="E1095">
        <v>20</v>
      </c>
      <c r="F1095" s="2" t="s">
        <v>7440</v>
      </c>
      <c r="G1095" s="2" t="s">
        <v>7441</v>
      </c>
      <c r="H1095" s="2" t="s">
        <v>7442</v>
      </c>
      <c r="I1095" s="2" t="s">
        <v>7443</v>
      </c>
      <c r="J1095" t="s">
        <v>7444</v>
      </c>
      <c r="L1095" s="1">
        <v>2</v>
      </c>
      <c r="M1095" s="1"/>
      <c r="N1095" s="1"/>
      <c r="O1095" s="3"/>
    </row>
    <row r="1096" spans="1:15" ht="409.6">
      <c r="A1096" t="s">
        <v>2937</v>
      </c>
      <c r="B1096" t="s">
        <v>2938</v>
      </c>
      <c r="C1096" t="s">
        <v>7263</v>
      </c>
      <c r="D1096" t="s">
        <v>14</v>
      </c>
      <c r="E1096">
        <v>10</v>
      </c>
      <c r="F1096" s="2" t="s">
        <v>7445</v>
      </c>
      <c r="G1096" s="2" t="s">
        <v>7446</v>
      </c>
      <c r="H1096" s="2" t="s">
        <v>7447</v>
      </c>
      <c r="I1096" s="2" t="s">
        <v>7448</v>
      </c>
      <c r="J1096" t="s">
        <v>7449</v>
      </c>
      <c r="L1096" s="1">
        <v>2</v>
      </c>
      <c r="M1096" s="1"/>
      <c r="N1096" s="1"/>
      <c r="O1096" s="3"/>
    </row>
    <row r="1097" spans="1:15" ht="409.6">
      <c r="A1097" t="s">
        <v>7450</v>
      </c>
      <c r="B1097" t="s">
        <v>7451</v>
      </c>
      <c r="C1097" t="s">
        <v>7263</v>
      </c>
      <c r="D1097" t="s">
        <v>14</v>
      </c>
      <c r="E1097">
        <v>5</v>
      </c>
      <c r="F1097" s="2" t="s">
        <v>4336</v>
      </c>
      <c r="G1097" s="2" t="s">
        <v>7452</v>
      </c>
      <c r="H1097" s="2" t="s">
        <v>7453</v>
      </c>
      <c r="I1097" s="2" t="s">
        <v>7454</v>
      </c>
      <c r="J1097" t="s">
        <v>7455</v>
      </c>
      <c r="L1097" s="1">
        <v>2</v>
      </c>
      <c r="M1097" s="1"/>
      <c r="N1097" s="1"/>
      <c r="O1097" s="3"/>
    </row>
    <row r="1098" spans="1:15" ht="409.6">
      <c r="A1098" t="s">
        <v>7456</v>
      </c>
      <c r="B1098" t="s">
        <v>7457</v>
      </c>
      <c r="C1098" t="s">
        <v>7263</v>
      </c>
      <c r="D1098" t="s">
        <v>23</v>
      </c>
      <c r="E1098">
        <v>20</v>
      </c>
      <c r="F1098" s="2" t="s">
        <v>7458</v>
      </c>
      <c r="G1098" s="2" t="s">
        <v>7459</v>
      </c>
      <c r="H1098" s="2" t="s">
        <v>7460</v>
      </c>
      <c r="I1098" s="2" t="s">
        <v>7461</v>
      </c>
      <c r="J1098" t="s">
        <v>7462</v>
      </c>
      <c r="L1098" s="1">
        <v>2</v>
      </c>
      <c r="M1098" s="1"/>
      <c r="N1098" s="1"/>
      <c r="O1098" s="3"/>
    </row>
    <row r="1099" spans="1:15" ht="409.6">
      <c r="A1099" t="s">
        <v>7463</v>
      </c>
      <c r="B1099" t="s">
        <v>7464</v>
      </c>
      <c r="C1099" t="s">
        <v>7263</v>
      </c>
      <c r="D1099" t="s">
        <v>23</v>
      </c>
      <c r="E1099">
        <v>5</v>
      </c>
      <c r="F1099" s="2" t="s">
        <v>7465</v>
      </c>
      <c r="G1099" s="2" t="s">
        <v>7466</v>
      </c>
      <c r="H1099" s="2" t="s">
        <v>7467</v>
      </c>
      <c r="I1099" s="2" t="s">
        <v>7468</v>
      </c>
      <c r="J1099" t="s">
        <v>7469</v>
      </c>
      <c r="L1099" s="1">
        <v>2</v>
      </c>
      <c r="M1099" s="1"/>
      <c r="N1099" s="1"/>
      <c r="O1099" s="3"/>
    </row>
    <row r="1100" spans="1:15" ht="409.6">
      <c r="A1100" t="s">
        <v>4369</v>
      </c>
      <c r="B1100" t="s">
        <v>4370</v>
      </c>
      <c r="C1100" t="s">
        <v>7263</v>
      </c>
      <c r="D1100" t="s">
        <v>14</v>
      </c>
      <c r="E1100">
        <v>5</v>
      </c>
      <c r="F1100" s="2" t="s">
        <v>7470</v>
      </c>
      <c r="G1100" s="2" t="s">
        <v>7471</v>
      </c>
      <c r="H1100" s="2" t="s">
        <v>7472</v>
      </c>
      <c r="I1100" s="2" t="s">
        <v>7473</v>
      </c>
      <c r="J1100" t="s">
        <v>7474</v>
      </c>
      <c r="L1100" s="1">
        <v>2</v>
      </c>
      <c r="M1100" s="1"/>
      <c r="N1100" s="1"/>
      <c r="O1100" s="3"/>
    </row>
    <row r="1101" spans="1:15" ht="409.6">
      <c r="A1101" t="s">
        <v>7475</v>
      </c>
      <c r="B1101" t="s">
        <v>7476</v>
      </c>
      <c r="C1101" t="s">
        <v>7263</v>
      </c>
      <c r="D1101" t="s">
        <v>23</v>
      </c>
      <c r="E1101">
        <v>5</v>
      </c>
      <c r="F1101" s="2" t="s">
        <v>7477</v>
      </c>
      <c r="G1101" s="2" t="s">
        <v>7478</v>
      </c>
      <c r="H1101" s="2" t="s">
        <v>7479</v>
      </c>
      <c r="I1101" s="2" t="s">
        <v>7480</v>
      </c>
      <c r="J1101" t="s">
        <v>7481</v>
      </c>
      <c r="L1101" s="1">
        <v>2</v>
      </c>
      <c r="M1101" s="1"/>
      <c r="N1101" s="1"/>
      <c r="O1101" s="3"/>
    </row>
    <row r="1102" spans="1:15" ht="409.6">
      <c r="A1102" t="s">
        <v>4383</v>
      </c>
      <c r="B1102" t="s">
        <v>7482</v>
      </c>
      <c r="C1102" t="s">
        <v>7263</v>
      </c>
      <c r="D1102" t="s">
        <v>23</v>
      </c>
      <c r="E1102">
        <v>5</v>
      </c>
      <c r="F1102" s="2" t="s">
        <v>7483</v>
      </c>
      <c r="G1102" s="2" t="s">
        <v>7484</v>
      </c>
      <c r="H1102" s="2" t="s">
        <v>7485</v>
      </c>
      <c r="I1102" s="2" t="s">
        <v>7486</v>
      </c>
      <c r="J1102" t="s">
        <v>7487</v>
      </c>
      <c r="L1102" s="1">
        <v>2</v>
      </c>
      <c r="M1102" s="1"/>
      <c r="N1102" s="1"/>
      <c r="O1102" s="3"/>
    </row>
    <row r="1103" spans="1:15" ht="409.6">
      <c r="A1103" t="s">
        <v>7488</v>
      </c>
      <c r="B1103" t="s">
        <v>7489</v>
      </c>
      <c r="C1103" t="s">
        <v>7263</v>
      </c>
      <c r="D1103" t="s">
        <v>23</v>
      </c>
      <c r="E1103">
        <v>20</v>
      </c>
      <c r="F1103" s="2" t="s">
        <v>7490</v>
      </c>
      <c r="G1103" s="2" t="s">
        <v>7491</v>
      </c>
      <c r="H1103" s="2" t="s">
        <v>7492</v>
      </c>
      <c r="I1103" s="2" t="s">
        <v>7493</v>
      </c>
      <c r="J1103" t="s">
        <v>7494</v>
      </c>
      <c r="L1103" s="1">
        <v>2</v>
      </c>
      <c r="M1103" s="1"/>
      <c r="N1103" s="1"/>
      <c r="O1103" s="3"/>
    </row>
    <row r="1104" spans="1:15" ht="409.6">
      <c r="A1104" t="s">
        <v>4444</v>
      </c>
      <c r="B1104" s="2" t="s">
        <v>7495</v>
      </c>
      <c r="C1104" t="s">
        <v>7263</v>
      </c>
      <c r="D1104" t="s">
        <v>23</v>
      </c>
      <c r="E1104">
        <v>10</v>
      </c>
      <c r="F1104" s="2" t="s">
        <v>4446</v>
      </c>
      <c r="G1104" s="2" t="s">
        <v>4447</v>
      </c>
      <c r="H1104" s="2" t="s">
        <v>4448</v>
      </c>
      <c r="I1104" s="2" t="s">
        <v>7496</v>
      </c>
      <c r="J1104" t="s">
        <v>7497</v>
      </c>
      <c r="L1104" s="1">
        <v>2</v>
      </c>
      <c r="M1104" s="1"/>
      <c r="N1104" s="1"/>
      <c r="O1104" s="3"/>
    </row>
    <row r="1105" spans="1:15" ht="409.6">
      <c r="A1105" t="s">
        <v>7498</v>
      </c>
      <c r="B1105" t="s">
        <v>7499</v>
      </c>
      <c r="C1105" t="s">
        <v>7263</v>
      </c>
      <c r="D1105" t="s">
        <v>23</v>
      </c>
      <c r="E1105">
        <v>10</v>
      </c>
      <c r="F1105" s="2" t="s">
        <v>7500</v>
      </c>
      <c r="G1105" s="2" t="s">
        <v>7501</v>
      </c>
      <c r="H1105" s="2" t="s">
        <v>7502</v>
      </c>
      <c r="I1105" s="2" t="s">
        <v>7503</v>
      </c>
      <c r="J1105" t="s">
        <v>7504</v>
      </c>
      <c r="L1105" s="1">
        <v>2</v>
      </c>
      <c r="M1105" s="1"/>
      <c r="N1105" s="1"/>
      <c r="O1105" s="3"/>
    </row>
    <row r="1106" spans="1:15" ht="409.6">
      <c r="A1106" t="s">
        <v>4492</v>
      </c>
      <c r="B1106" t="s">
        <v>4493</v>
      </c>
      <c r="C1106" t="s">
        <v>7263</v>
      </c>
      <c r="D1106" t="s">
        <v>23</v>
      </c>
      <c r="E1106">
        <v>20</v>
      </c>
      <c r="F1106" s="2" t="s">
        <v>7505</v>
      </c>
      <c r="G1106" s="2" t="s">
        <v>7506</v>
      </c>
      <c r="H1106" s="2" t="s">
        <v>7507</v>
      </c>
      <c r="I1106" s="2" t="s">
        <v>7508</v>
      </c>
      <c r="J1106" t="s">
        <v>7509</v>
      </c>
      <c r="L1106" s="1">
        <v>2</v>
      </c>
      <c r="M1106" s="1"/>
      <c r="N1106" s="1"/>
      <c r="O1106" s="3"/>
    </row>
    <row r="1107" spans="1:15" ht="409.6">
      <c r="A1107" t="s">
        <v>4499</v>
      </c>
      <c r="B1107" t="s">
        <v>4500</v>
      </c>
      <c r="C1107" t="s">
        <v>7263</v>
      </c>
      <c r="D1107" t="s">
        <v>23</v>
      </c>
      <c r="E1107">
        <v>20</v>
      </c>
      <c r="F1107" s="2" t="s">
        <v>7510</v>
      </c>
      <c r="G1107" s="2" t="s">
        <v>7511</v>
      </c>
      <c r="H1107" s="2" t="s">
        <v>7512</v>
      </c>
      <c r="I1107" s="2" t="s">
        <v>7513</v>
      </c>
      <c r="J1107" t="s">
        <v>7514</v>
      </c>
      <c r="K1107" t="s">
        <v>7515</v>
      </c>
      <c r="L1107" s="1">
        <v>2</v>
      </c>
      <c r="M1107" s="1"/>
      <c r="N1107" s="1"/>
      <c r="O1107" s="3"/>
    </row>
    <row r="1108" spans="1:15" ht="409.6">
      <c r="A1108" t="s">
        <v>7516</v>
      </c>
      <c r="B1108" s="2" t="s">
        <v>7517</v>
      </c>
      <c r="C1108" t="s">
        <v>7263</v>
      </c>
      <c r="D1108" t="s">
        <v>23</v>
      </c>
      <c r="E1108">
        <v>20</v>
      </c>
      <c r="F1108" s="2" t="s">
        <v>7518</v>
      </c>
      <c r="G1108" s="2" t="s">
        <v>7519</v>
      </c>
      <c r="H1108" s="2" t="s">
        <v>7520</v>
      </c>
      <c r="I1108" s="2" t="s">
        <v>7521</v>
      </c>
      <c r="J1108" t="s">
        <v>7522</v>
      </c>
      <c r="L1108" s="1">
        <v>2</v>
      </c>
      <c r="M1108" s="1"/>
      <c r="N1108" s="1"/>
      <c r="O1108" s="3"/>
    </row>
    <row r="1109" spans="1:15" ht="409.6">
      <c r="A1109" t="s">
        <v>7523</v>
      </c>
      <c r="B1109" t="s">
        <v>7524</v>
      </c>
      <c r="C1109" t="s">
        <v>7263</v>
      </c>
      <c r="D1109" t="s">
        <v>14</v>
      </c>
      <c r="E1109">
        <v>10</v>
      </c>
      <c r="F1109" s="2" t="s">
        <v>7525</v>
      </c>
      <c r="G1109" s="2" t="s">
        <v>7526</v>
      </c>
      <c r="H1109" s="2" t="s">
        <v>7527</v>
      </c>
      <c r="I1109" s="2" t="s">
        <v>7528</v>
      </c>
      <c r="J1109" t="s">
        <v>7529</v>
      </c>
      <c r="L1109" s="1">
        <v>2</v>
      </c>
      <c r="M1109" s="1"/>
      <c r="N1109" s="1"/>
      <c r="O1109" s="3"/>
    </row>
    <row r="1110" spans="1:15" ht="409.6">
      <c r="A1110" t="s">
        <v>4548</v>
      </c>
      <c r="B1110" t="s">
        <v>4549</v>
      </c>
      <c r="C1110" t="s">
        <v>7263</v>
      </c>
      <c r="D1110" t="s">
        <v>23</v>
      </c>
      <c r="E1110">
        <v>20</v>
      </c>
      <c r="F1110" s="2" t="s">
        <v>7530</v>
      </c>
      <c r="G1110" s="2" t="s">
        <v>7531</v>
      </c>
      <c r="H1110" s="2" t="s">
        <v>7532</v>
      </c>
      <c r="I1110" s="2" t="s">
        <v>7533</v>
      </c>
      <c r="J1110" t="s">
        <v>7534</v>
      </c>
      <c r="L1110" s="1">
        <v>2</v>
      </c>
      <c r="M1110" s="1"/>
      <c r="N1110" s="1"/>
      <c r="O1110" s="3"/>
    </row>
    <row r="1111" spans="1:15" ht="409.6">
      <c r="A1111" t="s">
        <v>4555</v>
      </c>
      <c r="B1111" t="s">
        <v>4556</v>
      </c>
      <c r="C1111" t="s">
        <v>7263</v>
      </c>
      <c r="D1111" t="s">
        <v>23</v>
      </c>
      <c r="E1111">
        <v>20</v>
      </c>
      <c r="F1111" s="2" t="s">
        <v>7535</v>
      </c>
      <c r="G1111" s="2" t="s">
        <v>7536</v>
      </c>
      <c r="H1111" s="2" t="s">
        <v>7537</v>
      </c>
      <c r="I1111" s="2" t="s">
        <v>7538</v>
      </c>
      <c r="J1111" t="s">
        <v>7539</v>
      </c>
      <c r="L1111" s="1">
        <v>2</v>
      </c>
      <c r="M1111" s="1"/>
      <c r="N1111" s="1"/>
      <c r="O1111" s="3"/>
    </row>
    <row r="1112" spans="1:15" ht="409.6">
      <c r="A1112" t="s">
        <v>7540</v>
      </c>
      <c r="B1112" t="s">
        <v>7541</v>
      </c>
      <c r="C1112" t="s">
        <v>7263</v>
      </c>
      <c r="D1112" t="s">
        <v>23</v>
      </c>
      <c r="E1112">
        <v>40</v>
      </c>
      <c r="F1112" s="2" t="s">
        <v>7542</v>
      </c>
      <c r="G1112" s="2" t="s">
        <v>7543</v>
      </c>
      <c r="H1112" s="2" t="s">
        <v>7544</v>
      </c>
      <c r="I1112" s="2" t="s">
        <v>7545</v>
      </c>
      <c r="J1112" t="s">
        <v>7546</v>
      </c>
      <c r="L1112" s="1">
        <v>2</v>
      </c>
      <c r="M1112" s="1"/>
      <c r="N1112" s="1"/>
      <c r="O1112" s="3"/>
    </row>
    <row r="1113" spans="1:15" ht="409.6">
      <c r="A1113" t="s">
        <v>4569</v>
      </c>
      <c r="B1113" t="s">
        <v>4570</v>
      </c>
      <c r="C1113" t="s">
        <v>7263</v>
      </c>
      <c r="D1113" t="s">
        <v>14</v>
      </c>
      <c r="E1113">
        <v>15</v>
      </c>
      <c r="F1113" s="2" t="s">
        <v>7547</v>
      </c>
      <c r="G1113" s="2" t="s">
        <v>4572</v>
      </c>
      <c r="H1113" s="2" t="s">
        <v>7548</v>
      </c>
      <c r="I1113" s="2" t="s">
        <v>7549</v>
      </c>
      <c r="J1113" t="s">
        <v>7550</v>
      </c>
      <c r="L1113" s="1">
        <v>2</v>
      </c>
      <c r="M1113" s="1"/>
      <c r="N1113" s="1"/>
      <c r="O1113" s="3"/>
    </row>
    <row r="1114" spans="1:15" ht="409.6">
      <c r="A1114" t="s">
        <v>4597</v>
      </c>
      <c r="B1114" t="s">
        <v>4598</v>
      </c>
      <c r="C1114" t="s">
        <v>7263</v>
      </c>
      <c r="D1114" t="s">
        <v>23</v>
      </c>
      <c r="E1114">
        <v>15</v>
      </c>
      <c r="F1114" s="2" t="s">
        <v>7551</v>
      </c>
      <c r="G1114" s="2" t="s">
        <v>7552</v>
      </c>
      <c r="H1114" s="2" t="s">
        <v>7553</v>
      </c>
      <c r="I1114" s="2" t="s">
        <v>7554</v>
      </c>
      <c r="J1114" t="s">
        <v>7555</v>
      </c>
      <c r="L1114" s="1">
        <v>2</v>
      </c>
      <c r="M1114" s="1"/>
      <c r="N1114" s="1"/>
      <c r="O1114" s="3"/>
    </row>
    <row r="1115" spans="1:15" ht="409.6">
      <c r="A1115" t="s">
        <v>4604</v>
      </c>
      <c r="B1115" s="2" t="s">
        <v>7556</v>
      </c>
      <c r="C1115" t="s">
        <v>7263</v>
      </c>
      <c r="D1115" t="s">
        <v>14</v>
      </c>
      <c r="E1115">
        <v>15</v>
      </c>
      <c r="F1115" s="2" t="s">
        <v>7557</v>
      </c>
      <c r="G1115" s="2" t="s">
        <v>7558</v>
      </c>
      <c r="H1115" s="2" t="s">
        <v>7559</v>
      </c>
      <c r="I1115" s="2" t="s">
        <v>7560</v>
      </c>
      <c r="J1115" t="s">
        <v>7561</v>
      </c>
      <c r="L1115" s="1">
        <v>2</v>
      </c>
      <c r="M1115" s="1"/>
      <c r="N1115" s="1"/>
      <c r="O1115" s="3"/>
    </row>
    <row r="1116" spans="1:15" ht="409.6">
      <c r="A1116" t="s">
        <v>4625</v>
      </c>
      <c r="B1116" t="s">
        <v>4626</v>
      </c>
      <c r="C1116" t="s">
        <v>7263</v>
      </c>
      <c r="D1116" t="s">
        <v>23</v>
      </c>
      <c r="E1116">
        <v>20</v>
      </c>
      <c r="F1116" s="2" t="s">
        <v>7562</v>
      </c>
      <c r="G1116" s="2" t="s">
        <v>7563</v>
      </c>
      <c r="H1116" s="2" t="s">
        <v>7564</v>
      </c>
      <c r="I1116" s="2" t="s">
        <v>7565</v>
      </c>
      <c r="J1116" t="s">
        <v>4631</v>
      </c>
      <c r="L1116" s="1">
        <v>2</v>
      </c>
      <c r="M1116" s="1"/>
      <c r="N1116" s="1"/>
      <c r="O1116" s="3"/>
    </row>
    <row r="1117" spans="1:15" ht="409.6">
      <c r="A1117" t="s">
        <v>4653</v>
      </c>
      <c r="B1117" t="s">
        <v>4654</v>
      </c>
      <c r="C1117" t="s">
        <v>7263</v>
      </c>
      <c r="D1117" t="s">
        <v>14</v>
      </c>
      <c r="E1117">
        <v>10</v>
      </c>
      <c r="F1117" s="2" t="s">
        <v>7566</v>
      </c>
      <c r="G1117" s="2" t="s">
        <v>7567</v>
      </c>
      <c r="H1117" s="2" t="s">
        <v>7568</v>
      </c>
      <c r="I1117" s="2" t="s">
        <v>7569</v>
      </c>
      <c r="J1117" t="s">
        <v>4659</v>
      </c>
      <c r="L1117" s="1">
        <v>2</v>
      </c>
      <c r="M1117" s="1"/>
      <c r="N1117" s="1"/>
      <c r="O1117" s="3"/>
    </row>
    <row r="1118" spans="1:15" ht="409.6">
      <c r="A1118" t="s">
        <v>4681</v>
      </c>
      <c r="B1118" t="s">
        <v>4682</v>
      </c>
      <c r="C1118" t="s">
        <v>7263</v>
      </c>
      <c r="D1118" t="s">
        <v>23</v>
      </c>
      <c r="E1118">
        <v>15</v>
      </c>
      <c r="F1118" s="2" t="s">
        <v>7570</v>
      </c>
      <c r="G1118" s="2" t="s">
        <v>7571</v>
      </c>
      <c r="H1118" s="2" t="s">
        <v>7572</v>
      </c>
      <c r="I1118" s="2" t="s">
        <v>7573</v>
      </c>
      <c r="J1118" t="s">
        <v>7574</v>
      </c>
      <c r="L1118" s="1">
        <v>2</v>
      </c>
      <c r="M1118" s="1"/>
      <c r="N1118" s="1"/>
      <c r="O1118" s="3"/>
    </row>
    <row r="1119" spans="1:15" ht="409.6">
      <c r="A1119" t="s">
        <v>7575</v>
      </c>
      <c r="B1119" t="s">
        <v>7576</v>
      </c>
      <c r="C1119" t="s">
        <v>7263</v>
      </c>
      <c r="D1119" t="s">
        <v>23</v>
      </c>
      <c r="E1119">
        <v>20</v>
      </c>
      <c r="F1119" s="2" t="s">
        <v>7577</v>
      </c>
      <c r="G1119" s="2" t="s">
        <v>7578</v>
      </c>
      <c r="H1119" s="2" t="s">
        <v>7579</v>
      </c>
      <c r="I1119" s="2" t="s">
        <v>7580</v>
      </c>
      <c r="J1119" t="s">
        <v>7581</v>
      </c>
      <c r="L1119" s="1">
        <v>2</v>
      </c>
      <c r="M1119" s="1"/>
      <c r="N1119" s="1"/>
      <c r="O1119" s="3"/>
    </row>
    <row r="1120" spans="1:15" ht="409.6">
      <c r="A1120" t="s">
        <v>7582</v>
      </c>
      <c r="B1120" t="s">
        <v>7583</v>
      </c>
      <c r="C1120" t="s">
        <v>7263</v>
      </c>
      <c r="D1120" t="s">
        <v>23</v>
      </c>
      <c r="E1120">
        <v>15</v>
      </c>
      <c r="F1120" s="2" t="s">
        <v>7584</v>
      </c>
      <c r="G1120" s="2" t="s">
        <v>7585</v>
      </c>
      <c r="H1120" s="2" t="s">
        <v>7586</v>
      </c>
      <c r="I1120" s="2" t="s">
        <v>7587</v>
      </c>
      <c r="J1120" t="s">
        <v>7588</v>
      </c>
      <c r="L1120" s="1">
        <v>2</v>
      </c>
      <c r="M1120" s="1"/>
      <c r="N1120" s="1"/>
      <c r="O1120" s="3"/>
    </row>
    <row r="1121" spans="1:15" ht="409.6">
      <c r="A1121" t="s">
        <v>1942</v>
      </c>
      <c r="B1121" t="s">
        <v>4716</v>
      </c>
      <c r="C1121" t="s">
        <v>7263</v>
      </c>
      <c r="D1121" t="s">
        <v>23</v>
      </c>
      <c r="E1121">
        <v>5</v>
      </c>
      <c r="F1121" s="2" t="s">
        <v>7589</v>
      </c>
      <c r="G1121" s="2" t="s">
        <v>7590</v>
      </c>
      <c r="H1121" s="2" t="s">
        <v>7591</v>
      </c>
      <c r="I1121" s="2" t="s">
        <v>7592</v>
      </c>
      <c r="J1121" t="s">
        <v>4721</v>
      </c>
      <c r="L1121" s="1">
        <v>2</v>
      </c>
      <c r="M1121" s="1"/>
      <c r="N1121" s="1"/>
      <c r="O1121" s="3"/>
    </row>
    <row r="1122" spans="1:15" ht="409.6">
      <c r="A1122" t="s">
        <v>4722</v>
      </c>
      <c r="B1122" t="s">
        <v>4723</v>
      </c>
      <c r="C1122" t="s">
        <v>7263</v>
      </c>
      <c r="D1122" t="s">
        <v>23</v>
      </c>
      <c r="E1122">
        <v>20</v>
      </c>
      <c r="F1122" s="2" t="s">
        <v>7593</v>
      </c>
      <c r="G1122" s="2" t="s">
        <v>7594</v>
      </c>
      <c r="H1122" s="2" t="s">
        <v>7595</v>
      </c>
      <c r="I1122" s="2" t="s">
        <v>7596</v>
      </c>
      <c r="J1122" t="s">
        <v>4728</v>
      </c>
      <c r="L1122" s="1">
        <v>2</v>
      </c>
      <c r="M1122" s="1"/>
      <c r="N1122" s="1"/>
      <c r="O1122" s="3"/>
    </row>
    <row r="1123" spans="1:15" ht="409.6">
      <c r="A1123" t="s">
        <v>4729</v>
      </c>
      <c r="B1123" t="s">
        <v>4730</v>
      </c>
      <c r="C1123" t="s">
        <v>7263</v>
      </c>
      <c r="D1123" t="s">
        <v>14</v>
      </c>
      <c r="E1123">
        <v>20</v>
      </c>
      <c r="F1123" s="2" t="s">
        <v>7597</v>
      </c>
      <c r="G1123" s="2" t="s">
        <v>7598</v>
      </c>
      <c r="H1123" s="2" t="s">
        <v>7599</v>
      </c>
      <c r="I1123" s="2" t="s">
        <v>7600</v>
      </c>
      <c r="J1123" t="s">
        <v>4735</v>
      </c>
      <c r="L1123" s="1">
        <v>2</v>
      </c>
      <c r="M1123" s="1"/>
      <c r="N1123" s="1"/>
      <c r="O1123" s="3"/>
    </row>
    <row r="1124" spans="1:15" ht="409.6">
      <c r="A1124" t="s">
        <v>4736</v>
      </c>
      <c r="B1124" t="s">
        <v>4737</v>
      </c>
      <c r="C1124" t="s">
        <v>7263</v>
      </c>
      <c r="D1124" t="s">
        <v>14</v>
      </c>
      <c r="E1124">
        <v>10</v>
      </c>
      <c r="F1124" s="2" t="s">
        <v>7601</v>
      </c>
      <c r="G1124" s="2" t="s">
        <v>4739</v>
      </c>
      <c r="H1124" s="2" t="s">
        <v>7602</v>
      </c>
      <c r="I1124" s="2" t="s">
        <v>7603</v>
      </c>
      <c r="J1124" t="s">
        <v>7604</v>
      </c>
      <c r="K1124" t="s">
        <v>7605</v>
      </c>
      <c r="L1124" s="1">
        <v>2</v>
      </c>
      <c r="M1124" s="1"/>
      <c r="N1124" s="1"/>
      <c r="O1124" s="3"/>
    </row>
    <row r="1125" spans="1:15" ht="409.6">
      <c r="A1125" t="s">
        <v>4750</v>
      </c>
      <c r="B1125" t="s">
        <v>4751</v>
      </c>
      <c r="C1125" t="s">
        <v>7263</v>
      </c>
      <c r="D1125" t="s">
        <v>23</v>
      </c>
      <c r="E1125">
        <v>20</v>
      </c>
      <c r="F1125" s="2" t="s">
        <v>7606</v>
      </c>
      <c r="G1125" s="2" t="s">
        <v>7607</v>
      </c>
      <c r="H1125" s="2" t="s">
        <v>7608</v>
      </c>
      <c r="I1125" s="2" t="s">
        <v>7609</v>
      </c>
      <c r="J1125" t="s">
        <v>7610</v>
      </c>
      <c r="L1125" s="1">
        <v>2</v>
      </c>
      <c r="M1125" s="1"/>
      <c r="N1125" s="1"/>
      <c r="O1125" s="3"/>
    </row>
    <row r="1126" spans="1:15" ht="409.6">
      <c r="A1126" t="s">
        <v>7611</v>
      </c>
      <c r="B1126" t="s">
        <v>7612</v>
      </c>
      <c r="C1126" t="s">
        <v>7263</v>
      </c>
      <c r="D1126" t="s">
        <v>23</v>
      </c>
      <c r="E1126">
        <v>30</v>
      </c>
      <c r="F1126" s="2" t="s">
        <v>7613</v>
      </c>
      <c r="G1126" s="2" t="s">
        <v>7614</v>
      </c>
      <c r="H1126" s="2" t="s">
        <v>7615</v>
      </c>
      <c r="I1126" s="2" t="s">
        <v>7616</v>
      </c>
      <c r="J1126" t="s">
        <v>7617</v>
      </c>
      <c r="L1126" s="1">
        <v>2</v>
      </c>
      <c r="M1126" s="1"/>
      <c r="N1126" s="1"/>
      <c r="O1126" s="3"/>
    </row>
    <row r="1127" spans="1:15" ht="409.6">
      <c r="A1127" t="s">
        <v>7618</v>
      </c>
      <c r="B1127" t="s">
        <v>7619</v>
      </c>
      <c r="C1127" t="s">
        <v>7263</v>
      </c>
      <c r="D1127" t="s">
        <v>23</v>
      </c>
      <c r="E1127">
        <v>20</v>
      </c>
      <c r="F1127" s="2" t="s">
        <v>7620</v>
      </c>
      <c r="G1127" s="2" t="s">
        <v>7621</v>
      </c>
      <c r="H1127" s="2" t="s">
        <v>7622</v>
      </c>
      <c r="I1127" s="2" t="s">
        <v>7623</v>
      </c>
      <c r="J1127" t="s">
        <v>7624</v>
      </c>
      <c r="L1127" s="1">
        <v>2</v>
      </c>
      <c r="M1127" s="1"/>
      <c r="N1127" s="1"/>
      <c r="O1127" s="3"/>
    </row>
    <row r="1128" spans="1:15" ht="409.6">
      <c r="A1128" t="s">
        <v>4839</v>
      </c>
      <c r="B1128" t="s">
        <v>4840</v>
      </c>
      <c r="C1128" t="s">
        <v>7263</v>
      </c>
      <c r="D1128" t="s">
        <v>23</v>
      </c>
      <c r="E1128">
        <v>20</v>
      </c>
      <c r="F1128" s="2" t="s">
        <v>7625</v>
      </c>
      <c r="G1128" s="2" t="s">
        <v>7626</v>
      </c>
      <c r="H1128" s="2" t="s">
        <v>7627</v>
      </c>
      <c r="I1128" s="2" t="s">
        <v>7628</v>
      </c>
      <c r="J1128" t="s">
        <v>4845</v>
      </c>
      <c r="L1128" s="1">
        <v>2</v>
      </c>
      <c r="M1128" s="1"/>
      <c r="N1128" s="1"/>
      <c r="O1128" s="3"/>
    </row>
    <row r="1129" spans="1:15" ht="409.6">
      <c r="A1129" t="s">
        <v>7629</v>
      </c>
      <c r="B1129" t="s">
        <v>7630</v>
      </c>
      <c r="C1129" t="s">
        <v>7263</v>
      </c>
      <c r="D1129" t="s">
        <v>23</v>
      </c>
      <c r="E1129">
        <v>20</v>
      </c>
      <c r="F1129" s="2" t="s">
        <v>7631</v>
      </c>
      <c r="G1129" s="2" t="s">
        <v>7632</v>
      </c>
      <c r="H1129" s="2" t="s">
        <v>7633</v>
      </c>
      <c r="I1129" s="2" t="s">
        <v>7634</v>
      </c>
      <c r="J1129" t="s">
        <v>7635</v>
      </c>
      <c r="L1129" s="1">
        <v>2</v>
      </c>
      <c r="M1129" s="1"/>
      <c r="N1129" s="1"/>
      <c r="O1129" s="3"/>
    </row>
    <row r="1130" spans="1:15" ht="409.6">
      <c r="A1130" t="s">
        <v>7636</v>
      </c>
      <c r="B1130" t="s">
        <v>7637</v>
      </c>
      <c r="C1130" t="s">
        <v>7263</v>
      </c>
      <c r="D1130" t="s">
        <v>23</v>
      </c>
      <c r="E1130">
        <v>20</v>
      </c>
      <c r="F1130" s="2" t="s">
        <v>7638</v>
      </c>
      <c r="G1130" s="2" t="s">
        <v>7639</v>
      </c>
      <c r="H1130" s="2" t="s">
        <v>7640</v>
      </c>
      <c r="I1130" s="2" t="s">
        <v>7641</v>
      </c>
      <c r="J1130" t="s">
        <v>7642</v>
      </c>
      <c r="L1130" s="1">
        <v>2</v>
      </c>
      <c r="M1130" s="1"/>
      <c r="N1130" s="1"/>
      <c r="O1130" s="3"/>
    </row>
    <row r="1131" spans="1:15" ht="409.6">
      <c r="A1131" t="s">
        <v>4868</v>
      </c>
      <c r="B1131" t="s">
        <v>4869</v>
      </c>
      <c r="C1131" t="s">
        <v>7263</v>
      </c>
      <c r="D1131" t="s">
        <v>23</v>
      </c>
      <c r="E1131">
        <v>10</v>
      </c>
      <c r="F1131" s="2" t="s">
        <v>4870</v>
      </c>
      <c r="G1131" s="2" t="s">
        <v>4871</v>
      </c>
      <c r="H1131" s="2" t="s">
        <v>4872</v>
      </c>
      <c r="I1131" s="2" t="s">
        <v>7643</v>
      </c>
      <c r="J1131" t="s">
        <v>7644</v>
      </c>
      <c r="L1131" s="1">
        <v>2</v>
      </c>
      <c r="M1131" s="1"/>
      <c r="N1131" s="1"/>
      <c r="O1131" s="3"/>
    </row>
    <row r="1132" spans="1:15" ht="409.6">
      <c r="A1132" t="s">
        <v>4874</v>
      </c>
      <c r="B1132" t="s">
        <v>4875</v>
      </c>
      <c r="C1132" t="s">
        <v>7263</v>
      </c>
      <c r="D1132" t="s">
        <v>23</v>
      </c>
      <c r="E1132">
        <v>10</v>
      </c>
      <c r="F1132" s="2" t="s">
        <v>7645</v>
      </c>
      <c r="G1132" s="2" t="s">
        <v>7646</v>
      </c>
      <c r="H1132" s="2" t="s">
        <v>4878</v>
      </c>
      <c r="I1132" s="2" t="s">
        <v>7647</v>
      </c>
      <c r="J1132" t="s">
        <v>7648</v>
      </c>
      <c r="L1132" s="1">
        <v>2</v>
      </c>
      <c r="M1132" s="1"/>
      <c r="N1132" s="1"/>
      <c r="O1132" s="3"/>
    </row>
    <row r="1133" spans="1:15" ht="409.6">
      <c r="A1133" t="s">
        <v>4895</v>
      </c>
      <c r="B1133" s="2" t="s">
        <v>7649</v>
      </c>
      <c r="C1133" t="s">
        <v>7263</v>
      </c>
      <c r="D1133" t="s">
        <v>23</v>
      </c>
      <c r="E1133">
        <v>10</v>
      </c>
      <c r="F1133" s="2" t="s">
        <v>7650</v>
      </c>
      <c r="G1133" s="2" t="s">
        <v>7651</v>
      </c>
      <c r="H1133" s="2" t="s">
        <v>7652</v>
      </c>
      <c r="I1133" s="2" t="s">
        <v>7653</v>
      </c>
      <c r="J1133" t="s">
        <v>4901</v>
      </c>
      <c r="L1133" s="1">
        <v>2</v>
      </c>
      <c r="M1133" s="1"/>
      <c r="N1133" s="1"/>
      <c r="O1133" s="3"/>
    </row>
    <row r="1134" spans="1:15" ht="409.6">
      <c r="A1134" t="s">
        <v>7654</v>
      </c>
      <c r="B1134" t="s">
        <v>7655</v>
      </c>
      <c r="C1134" t="s">
        <v>7263</v>
      </c>
      <c r="D1134" t="s">
        <v>23</v>
      </c>
      <c r="E1134">
        <v>30</v>
      </c>
      <c r="F1134" s="2" t="s">
        <v>7656</v>
      </c>
      <c r="G1134" s="2" t="s">
        <v>7657</v>
      </c>
      <c r="H1134" s="2" t="s">
        <v>7658</v>
      </c>
      <c r="I1134" s="2" t="s">
        <v>7659</v>
      </c>
      <c r="J1134" t="s">
        <v>7660</v>
      </c>
      <c r="L1134" s="1">
        <v>2</v>
      </c>
      <c r="M1134" s="1"/>
      <c r="N1134" s="1"/>
      <c r="O1134" s="3"/>
    </row>
    <row r="1135" spans="1:15" ht="409.6">
      <c r="A1135" t="s">
        <v>7661</v>
      </c>
      <c r="B1135" t="s">
        <v>7662</v>
      </c>
      <c r="C1135" t="s">
        <v>7263</v>
      </c>
      <c r="D1135" t="s">
        <v>23</v>
      </c>
      <c r="E1135">
        <v>20</v>
      </c>
      <c r="F1135" s="2" t="s">
        <v>7663</v>
      </c>
      <c r="G1135" s="2" t="s">
        <v>7664</v>
      </c>
      <c r="H1135" s="2" t="s">
        <v>7665</v>
      </c>
      <c r="I1135" s="2" t="s">
        <v>7666</v>
      </c>
      <c r="J1135" t="s">
        <v>7667</v>
      </c>
      <c r="L1135" s="1">
        <v>2</v>
      </c>
      <c r="M1135" s="1"/>
      <c r="N1135" s="1"/>
      <c r="O1135" s="3"/>
    </row>
    <row r="1136" spans="1:15" ht="409.6">
      <c r="A1136" t="s">
        <v>7668</v>
      </c>
      <c r="B1136" t="s">
        <v>7669</v>
      </c>
      <c r="C1136" t="s">
        <v>7263</v>
      </c>
      <c r="D1136" t="s">
        <v>23</v>
      </c>
      <c r="E1136">
        <v>20</v>
      </c>
      <c r="F1136" s="2" t="s">
        <v>7670</v>
      </c>
      <c r="G1136" s="2" t="s">
        <v>7671</v>
      </c>
      <c r="H1136" s="2" t="s">
        <v>7672</v>
      </c>
      <c r="I1136" s="2" t="s">
        <v>7673</v>
      </c>
      <c r="J1136" t="s">
        <v>7674</v>
      </c>
      <c r="L1136" s="1">
        <v>2</v>
      </c>
      <c r="M1136" s="1"/>
      <c r="N1136" s="1"/>
      <c r="O1136" s="3"/>
    </row>
    <row r="1137" spans="1:15" ht="409.6">
      <c r="A1137" t="s">
        <v>7675</v>
      </c>
      <c r="B1137" t="s">
        <v>7676</v>
      </c>
      <c r="C1137" t="s">
        <v>7263</v>
      </c>
      <c r="D1137" t="s">
        <v>23</v>
      </c>
      <c r="E1137">
        <v>20</v>
      </c>
      <c r="F1137" s="2" t="s">
        <v>7677</v>
      </c>
      <c r="G1137" s="2" t="s">
        <v>7678</v>
      </c>
      <c r="H1137" s="2" t="s">
        <v>7679</v>
      </c>
      <c r="I1137" s="2" t="s">
        <v>7680</v>
      </c>
      <c r="J1137" t="s">
        <v>7681</v>
      </c>
      <c r="L1137" s="1">
        <v>2</v>
      </c>
      <c r="M1137" s="1"/>
      <c r="N1137" s="1"/>
      <c r="O1137" s="3"/>
    </row>
    <row r="1138" spans="1:15" ht="409.6">
      <c r="A1138" t="s">
        <v>4916</v>
      </c>
      <c r="B1138" t="s">
        <v>4917</v>
      </c>
      <c r="C1138" t="s">
        <v>7263</v>
      </c>
      <c r="D1138" t="s">
        <v>23</v>
      </c>
      <c r="E1138">
        <v>25</v>
      </c>
      <c r="F1138" s="2" t="s">
        <v>7682</v>
      </c>
      <c r="G1138" s="2" t="s">
        <v>7683</v>
      </c>
      <c r="H1138" s="2" t="s">
        <v>4920</v>
      </c>
      <c r="I1138" s="2" t="s">
        <v>7684</v>
      </c>
      <c r="J1138" t="s">
        <v>7685</v>
      </c>
      <c r="L1138" s="1">
        <v>2</v>
      </c>
      <c r="M1138" s="1"/>
      <c r="N1138" s="1"/>
      <c r="O1138" s="3"/>
    </row>
    <row r="1139" spans="1:15" ht="409.6">
      <c r="A1139" t="s">
        <v>4937</v>
      </c>
      <c r="B1139" t="s">
        <v>6592</v>
      </c>
      <c r="C1139" t="s">
        <v>7263</v>
      </c>
      <c r="D1139" t="s">
        <v>23</v>
      </c>
      <c r="E1139">
        <v>40</v>
      </c>
      <c r="F1139" s="2" t="s">
        <v>7686</v>
      </c>
      <c r="G1139" s="2" t="s">
        <v>7687</v>
      </c>
      <c r="H1139" s="2" t="s">
        <v>7688</v>
      </c>
      <c r="I1139" s="2" t="s">
        <v>7689</v>
      </c>
      <c r="J1139" t="s">
        <v>6597</v>
      </c>
      <c r="L1139" s="1">
        <v>2</v>
      </c>
      <c r="M1139" s="1"/>
      <c r="N1139" s="1"/>
      <c r="O1139" s="3"/>
    </row>
    <row r="1140" spans="1:15" ht="409.6">
      <c r="A1140" t="s">
        <v>4972</v>
      </c>
      <c r="B1140" t="s">
        <v>4973</v>
      </c>
      <c r="C1140" t="s">
        <v>7263</v>
      </c>
      <c r="D1140" t="s">
        <v>23</v>
      </c>
      <c r="E1140">
        <v>25</v>
      </c>
      <c r="F1140" s="2" t="s">
        <v>7690</v>
      </c>
      <c r="G1140" s="2" t="s">
        <v>7691</v>
      </c>
      <c r="H1140" s="2" t="s">
        <v>7692</v>
      </c>
      <c r="I1140" s="2" t="s">
        <v>7693</v>
      </c>
      <c r="J1140" t="s">
        <v>7694</v>
      </c>
      <c r="L1140" s="1">
        <v>2</v>
      </c>
      <c r="M1140" s="1"/>
      <c r="N1140" s="1"/>
      <c r="O1140" s="3"/>
    </row>
    <row r="1141" spans="1:15" ht="409.6">
      <c r="A1141" t="s">
        <v>4979</v>
      </c>
      <c r="B1141" t="s">
        <v>7695</v>
      </c>
      <c r="C1141" t="s">
        <v>7263</v>
      </c>
      <c r="D1141" t="s">
        <v>23</v>
      </c>
      <c r="E1141">
        <v>10</v>
      </c>
      <c r="F1141" s="2" t="s">
        <v>7696</v>
      </c>
      <c r="G1141" s="2" t="s">
        <v>7697</v>
      </c>
      <c r="H1141" s="2" t="s">
        <v>7698</v>
      </c>
      <c r="I1141" s="2" t="s">
        <v>7699</v>
      </c>
      <c r="J1141" t="s">
        <v>4985</v>
      </c>
      <c r="L1141" s="1">
        <v>2</v>
      </c>
      <c r="M1141" s="1"/>
      <c r="N1141" s="1"/>
      <c r="O1141" s="3"/>
    </row>
    <row r="1142" spans="1:15" ht="409.6">
      <c r="A1142" t="s">
        <v>7700</v>
      </c>
      <c r="B1142" t="s">
        <v>7701</v>
      </c>
      <c r="C1142" t="s">
        <v>7263</v>
      </c>
      <c r="D1142" t="s">
        <v>23</v>
      </c>
      <c r="E1142">
        <v>10</v>
      </c>
      <c r="F1142" s="2" t="s">
        <v>7702</v>
      </c>
      <c r="G1142" s="2" t="s">
        <v>7703</v>
      </c>
      <c r="H1142" s="2" t="s">
        <v>7704</v>
      </c>
      <c r="I1142" s="2" t="s">
        <v>7705</v>
      </c>
      <c r="J1142" t="s">
        <v>7706</v>
      </c>
      <c r="L1142" s="1">
        <v>2</v>
      </c>
      <c r="M1142" s="1"/>
      <c r="N1142" s="1"/>
      <c r="O1142" s="3"/>
    </row>
    <row r="1143" spans="1:15" ht="409.6">
      <c r="A1143" t="s">
        <v>7707</v>
      </c>
      <c r="B1143" t="s">
        <v>7708</v>
      </c>
      <c r="C1143" t="s">
        <v>7263</v>
      </c>
      <c r="D1143" t="s">
        <v>23</v>
      </c>
      <c r="E1143">
        <v>10</v>
      </c>
      <c r="F1143" s="2" t="s">
        <v>7709</v>
      </c>
      <c r="G1143" s="2" t="s">
        <v>7710</v>
      </c>
      <c r="H1143" s="2" t="s">
        <v>7711</v>
      </c>
      <c r="I1143" s="2" t="s">
        <v>7712</v>
      </c>
      <c r="J1143" t="s">
        <v>7713</v>
      </c>
      <c r="L1143" s="1">
        <v>2</v>
      </c>
      <c r="M1143" s="1"/>
      <c r="N1143" s="1"/>
      <c r="O1143" s="3"/>
    </row>
    <row r="1144" spans="1:15" ht="409.6">
      <c r="A1144" t="s">
        <v>4993</v>
      </c>
      <c r="B1144" t="s">
        <v>4994</v>
      </c>
      <c r="C1144" t="s">
        <v>7263</v>
      </c>
      <c r="D1144" t="s">
        <v>14</v>
      </c>
      <c r="E1144">
        <v>10</v>
      </c>
      <c r="F1144" s="2" t="s">
        <v>7714</v>
      </c>
      <c r="G1144" s="2" t="s">
        <v>7715</v>
      </c>
      <c r="H1144" s="2" t="s">
        <v>7716</v>
      </c>
      <c r="I1144" s="2" t="s">
        <v>7717</v>
      </c>
      <c r="J1144" t="s">
        <v>7718</v>
      </c>
      <c r="L1144" s="1">
        <v>2</v>
      </c>
      <c r="M1144" s="1"/>
      <c r="N1144" s="1"/>
      <c r="O1144" s="3"/>
    </row>
    <row r="1145" spans="1:15" ht="409.6">
      <c r="A1145" t="s">
        <v>7719</v>
      </c>
      <c r="B1145" t="s">
        <v>7720</v>
      </c>
      <c r="C1145" t="s">
        <v>7263</v>
      </c>
      <c r="D1145" t="s">
        <v>23</v>
      </c>
      <c r="E1145">
        <v>10</v>
      </c>
      <c r="F1145" s="2" t="s">
        <v>7721</v>
      </c>
      <c r="G1145" s="2" t="s">
        <v>7722</v>
      </c>
      <c r="H1145" s="2" t="s">
        <v>7723</v>
      </c>
      <c r="I1145" s="2" t="s">
        <v>7724</v>
      </c>
      <c r="J1145" t="s">
        <v>7725</v>
      </c>
      <c r="K1145" t="s">
        <v>7726</v>
      </c>
      <c r="L1145" s="1">
        <v>2</v>
      </c>
      <c r="M1145" s="1"/>
      <c r="N1145" s="1"/>
      <c r="O1145" s="3"/>
    </row>
    <row r="1146" spans="1:15" ht="409.6">
      <c r="A1146" t="s">
        <v>5007</v>
      </c>
      <c r="B1146" t="s">
        <v>5008</v>
      </c>
      <c r="C1146" t="s">
        <v>7263</v>
      </c>
      <c r="D1146" t="s">
        <v>14</v>
      </c>
      <c r="E1146">
        <v>10</v>
      </c>
      <c r="F1146" s="2" t="s">
        <v>5009</v>
      </c>
      <c r="G1146" s="2" t="s">
        <v>5010</v>
      </c>
      <c r="H1146" s="2" t="s">
        <v>5011</v>
      </c>
      <c r="I1146" s="2" t="s">
        <v>5012</v>
      </c>
      <c r="J1146" t="s">
        <v>7727</v>
      </c>
      <c r="L1146" s="1">
        <v>2</v>
      </c>
      <c r="M1146" s="1"/>
      <c r="N1146" s="1"/>
      <c r="O1146" s="3"/>
    </row>
    <row r="1147" spans="1:15" ht="409.6">
      <c r="A1147" t="s">
        <v>5021</v>
      </c>
      <c r="B1147" t="s">
        <v>5022</v>
      </c>
      <c r="C1147" t="s">
        <v>7263</v>
      </c>
      <c r="D1147" t="s">
        <v>23</v>
      </c>
      <c r="E1147">
        <v>15</v>
      </c>
      <c r="F1147" s="2" t="s">
        <v>7728</v>
      </c>
      <c r="G1147" s="2" t="s">
        <v>7729</v>
      </c>
      <c r="H1147" s="2" t="s">
        <v>7730</v>
      </c>
      <c r="I1147" s="2" t="s">
        <v>7731</v>
      </c>
      <c r="J1147" t="s">
        <v>7732</v>
      </c>
      <c r="L1147" s="1">
        <v>2</v>
      </c>
      <c r="M1147" s="1"/>
      <c r="N1147" s="1"/>
      <c r="O1147" s="3"/>
    </row>
    <row r="1148" spans="1:15" ht="409.6">
      <c r="A1148" t="s">
        <v>5028</v>
      </c>
      <c r="B1148" t="s">
        <v>5029</v>
      </c>
      <c r="C1148" t="s">
        <v>7263</v>
      </c>
      <c r="D1148" t="s">
        <v>23</v>
      </c>
      <c r="E1148">
        <v>20</v>
      </c>
      <c r="F1148" s="2" t="s">
        <v>7733</v>
      </c>
      <c r="G1148" s="2" t="s">
        <v>7734</v>
      </c>
      <c r="H1148" s="2" t="s">
        <v>5032</v>
      </c>
      <c r="I1148" s="2" t="s">
        <v>7735</v>
      </c>
      <c r="J1148" t="s">
        <v>7736</v>
      </c>
      <c r="K1148" t="s">
        <v>5035</v>
      </c>
      <c r="L1148" s="1">
        <v>2</v>
      </c>
      <c r="M1148" s="1"/>
      <c r="N1148" s="1"/>
      <c r="O1148" s="3"/>
    </row>
    <row r="1149" spans="1:15" ht="409.6">
      <c r="A1149" t="s">
        <v>7737</v>
      </c>
      <c r="B1149" t="s">
        <v>7738</v>
      </c>
      <c r="C1149" t="s">
        <v>4052</v>
      </c>
      <c r="D1149" t="s">
        <v>23</v>
      </c>
      <c r="E1149">
        <v>10</v>
      </c>
      <c r="F1149" s="2" t="s">
        <v>7739</v>
      </c>
      <c r="G1149" s="2" t="s">
        <v>7740</v>
      </c>
      <c r="H1149" s="2" t="s">
        <v>7741</v>
      </c>
      <c r="I1149" s="2" t="s">
        <v>7742</v>
      </c>
      <c r="J1149" t="s">
        <v>7743</v>
      </c>
      <c r="L1149" s="1">
        <v>2</v>
      </c>
      <c r="M1149" s="1"/>
      <c r="N1149" s="1"/>
      <c r="O1149" s="3"/>
    </row>
    <row r="1150" spans="1:15" ht="409.6">
      <c r="A1150" t="s">
        <v>7744</v>
      </c>
      <c r="B1150" t="s">
        <v>7745</v>
      </c>
      <c r="C1150" t="s">
        <v>7263</v>
      </c>
      <c r="D1150" t="s">
        <v>23</v>
      </c>
      <c r="E1150">
        <v>10</v>
      </c>
      <c r="F1150" s="2" t="s">
        <v>7746</v>
      </c>
      <c r="G1150" s="2" t="s">
        <v>7747</v>
      </c>
      <c r="H1150" s="2" t="s">
        <v>7748</v>
      </c>
      <c r="I1150" s="2" t="s">
        <v>7749</v>
      </c>
      <c r="J1150" t="s">
        <v>7750</v>
      </c>
      <c r="L1150" s="1">
        <v>2</v>
      </c>
      <c r="M1150" s="1"/>
      <c r="N1150" s="1"/>
      <c r="O1150" s="3"/>
    </row>
    <row r="1151" spans="1:15" ht="409.6">
      <c r="A1151" t="s">
        <v>7751</v>
      </c>
      <c r="B1151" t="s">
        <v>7752</v>
      </c>
      <c r="C1151" t="s">
        <v>7263</v>
      </c>
      <c r="D1151" t="s">
        <v>23</v>
      </c>
      <c r="E1151">
        <v>20</v>
      </c>
      <c r="F1151" s="2" t="s">
        <v>7753</v>
      </c>
      <c r="G1151" s="2" t="s">
        <v>7754</v>
      </c>
      <c r="H1151" s="2" t="s">
        <v>7755</v>
      </c>
      <c r="I1151" s="2" t="s">
        <v>7756</v>
      </c>
      <c r="J1151" t="s">
        <v>7757</v>
      </c>
      <c r="L1151" s="1">
        <v>2</v>
      </c>
      <c r="M1151" s="1"/>
      <c r="N1151" s="1"/>
      <c r="O1151" s="3"/>
    </row>
    <row r="1152" spans="1:15" ht="409.6">
      <c r="A1152" t="s">
        <v>7758</v>
      </c>
      <c r="B1152" t="s">
        <v>7759</v>
      </c>
      <c r="C1152" t="s">
        <v>7263</v>
      </c>
      <c r="D1152" t="s">
        <v>23</v>
      </c>
      <c r="E1152">
        <v>20</v>
      </c>
      <c r="F1152" s="2" t="s">
        <v>7760</v>
      </c>
      <c r="G1152" s="2" t="s">
        <v>7761</v>
      </c>
      <c r="H1152" s="2" t="s">
        <v>7762</v>
      </c>
      <c r="I1152" s="2" t="s">
        <v>7763</v>
      </c>
      <c r="J1152" t="s">
        <v>7764</v>
      </c>
      <c r="L1152" s="1">
        <v>2</v>
      </c>
      <c r="M1152" s="1"/>
      <c r="N1152" s="1"/>
      <c r="O1152" s="3"/>
    </row>
    <row r="1153" spans="1:15" ht="409.6">
      <c r="A1153" t="s">
        <v>5078</v>
      </c>
      <c r="B1153" t="s">
        <v>5079</v>
      </c>
      <c r="C1153" t="s">
        <v>7263</v>
      </c>
      <c r="D1153" t="s">
        <v>23</v>
      </c>
      <c r="E1153">
        <v>15</v>
      </c>
      <c r="F1153" s="2" t="s">
        <v>7765</v>
      </c>
      <c r="G1153" s="2" t="s">
        <v>7766</v>
      </c>
      <c r="H1153" s="2" t="s">
        <v>5082</v>
      </c>
      <c r="I1153" s="2" t="s">
        <v>7767</v>
      </c>
      <c r="J1153" t="s">
        <v>7768</v>
      </c>
      <c r="L1153" s="1">
        <v>2</v>
      </c>
      <c r="M1153" s="1"/>
      <c r="N1153" s="1"/>
      <c r="O1153" s="3"/>
    </row>
    <row r="1154" spans="1:15" ht="409.6">
      <c r="A1154" t="s">
        <v>5085</v>
      </c>
      <c r="B1154" t="s">
        <v>5086</v>
      </c>
      <c r="C1154" t="s">
        <v>7263</v>
      </c>
      <c r="D1154" t="s">
        <v>23</v>
      </c>
      <c r="E1154">
        <v>15</v>
      </c>
      <c r="F1154" s="2" t="s">
        <v>7769</v>
      </c>
      <c r="G1154" s="2" t="s">
        <v>7770</v>
      </c>
      <c r="H1154" s="2" t="s">
        <v>7771</v>
      </c>
      <c r="I1154" s="2" t="s">
        <v>7772</v>
      </c>
      <c r="J1154" t="s">
        <v>7773</v>
      </c>
      <c r="L1154" s="1">
        <v>2</v>
      </c>
      <c r="M1154" s="1"/>
      <c r="N1154" s="1"/>
      <c r="O1154" s="3"/>
    </row>
    <row r="1155" spans="1:15" ht="409.6">
      <c r="A1155" t="s">
        <v>7774</v>
      </c>
      <c r="B1155" t="s">
        <v>7775</v>
      </c>
      <c r="C1155" t="s">
        <v>7263</v>
      </c>
      <c r="D1155" t="s">
        <v>23</v>
      </c>
      <c r="E1155">
        <v>5</v>
      </c>
      <c r="F1155" s="2" t="s">
        <v>7776</v>
      </c>
      <c r="G1155" s="2" t="s">
        <v>7777</v>
      </c>
      <c r="H1155" s="2" t="s">
        <v>7778</v>
      </c>
      <c r="I1155" s="2" t="s">
        <v>7779</v>
      </c>
      <c r="J1155" t="s">
        <v>7780</v>
      </c>
      <c r="L1155" s="1">
        <v>2</v>
      </c>
      <c r="M1155" s="1"/>
      <c r="N1155" s="1"/>
      <c r="O1155" s="3"/>
    </row>
    <row r="1156" spans="1:15" ht="409.6">
      <c r="A1156" t="s">
        <v>7781</v>
      </c>
      <c r="B1156" t="s">
        <v>7782</v>
      </c>
      <c r="C1156" t="s">
        <v>7263</v>
      </c>
      <c r="D1156" t="s">
        <v>23</v>
      </c>
      <c r="E1156">
        <v>20</v>
      </c>
      <c r="F1156" s="2" t="s">
        <v>7783</v>
      </c>
      <c r="G1156" s="2" t="s">
        <v>7784</v>
      </c>
      <c r="H1156" s="2" t="s">
        <v>7785</v>
      </c>
      <c r="I1156" s="2" t="s">
        <v>7786</v>
      </c>
      <c r="J1156" t="s">
        <v>7787</v>
      </c>
      <c r="L1156" s="1">
        <v>2</v>
      </c>
      <c r="M1156" s="1"/>
      <c r="N1156" s="1"/>
      <c r="O1156" s="3"/>
    </row>
    <row r="1157" spans="1:15" ht="409.6">
      <c r="A1157" t="s">
        <v>7788</v>
      </c>
      <c r="B1157" t="s">
        <v>7789</v>
      </c>
      <c r="C1157" t="s">
        <v>7263</v>
      </c>
      <c r="D1157" t="s">
        <v>23</v>
      </c>
      <c r="E1157">
        <v>20</v>
      </c>
      <c r="F1157" s="2" t="s">
        <v>7790</v>
      </c>
      <c r="G1157" s="2" t="s">
        <v>7791</v>
      </c>
      <c r="H1157" s="2" t="s">
        <v>7792</v>
      </c>
      <c r="I1157" s="2" t="s">
        <v>7793</v>
      </c>
      <c r="J1157" t="s">
        <v>7794</v>
      </c>
      <c r="K1157" t="s">
        <v>7795</v>
      </c>
      <c r="L1157" s="1">
        <v>2</v>
      </c>
      <c r="M1157" s="1"/>
      <c r="N1157" s="1"/>
      <c r="O1157" s="3"/>
    </row>
    <row r="1158" spans="1:15" ht="409.6">
      <c r="A1158" t="s">
        <v>7796</v>
      </c>
      <c r="B1158" t="s">
        <v>7797</v>
      </c>
      <c r="C1158" t="s">
        <v>7263</v>
      </c>
      <c r="D1158" t="s">
        <v>23</v>
      </c>
      <c r="E1158">
        <v>10</v>
      </c>
      <c r="F1158" s="2" t="s">
        <v>7798</v>
      </c>
      <c r="G1158" s="2" t="s">
        <v>7799</v>
      </c>
      <c r="H1158" s="2" t="s">
        <v>7800</v>
      </c>
      <c r="I1158" s="2" t="s">
        <v>7801</v>
      </c>
      <c r="J1158" t="s">
        <v>7802</v>
      </c>
      <c r="L1158" s="1">
        <v>2</v>
      </c>
      <c r="M1158" s="1"/>
      <c r="N1158" s="1"/>
      <c r="O1158" s="3"/>
    </row>
    <row r="1159" spans="1:15" ht="409.6">
      <c r="A1159" t="s">
        <v>7803</v>
      </c>
      <c r="B1159" t="s">
        <v>7804</v>
      </c>
      <c r="C1159" t="s">
        <v>7263</v>
      </c>
      <c r="D1159" t="s">
        <v>23</v>
      </c>
      <c r="E1159">
        <v>10</v>
      </c>
      <c r="F1159" s="2" t="s">
        <v>7805</v>
      </c>
      <c r="G1159" s="2" t="s">
        <v>7806</v>
      </c>
      <c r="H1159" s="2" t="s">
        <v>7807</v>
      </c>
      <c r="I1159" s="2" t="s">
        <v>7808</v>
      </c>
      <c r="J1159" t="s">
        <v>5154</v>
      </c>
      <c r="L1159" s="1">
        <v>2</v>
      </c>
      <c r="M1159" s="1"/>
      <c r="N1159" s="1"/>
      <c r="O1159" s="3"/>
    </row>
    <row r="1160" spans="1:15" ht="409.6">
      <c r="A1160" t="s">
        <v>6610</v>
      </c>
      <c r="B1160" t="s">
        <v>6611</v>
      </c>
      <c r="C1160" t="s">
        <v>7263</v>
      </c>
      <c r="D1160" t="s">
        <v>14</v>
      </c>
      <c r="E1160">
        <v>20</v>
      </c>
      <c r="F1160" s="2" t="s">
        <v>7809</v>
      </c>
      <c r="G1160" s="2" t="s">
        <v>7810</v>
      </c>
      <c r="H1160" s="2" t="s">
        <v>7811</v>
      </c>
      <c r="I1160" s="2" t="s">
        <v>7812</v>
      </c>
      <c r="J1160" t="s">
        <v>7813</v>
      </c>
      <c r="L1160" s="1">
        <v>2</v>
      </c>
      <c r="M1160" s="1"/>
      <c r="N1160" s="1"/>
      <c r="O1160" s="3"/>
    </row>
    <row r="1161" spans="1:15" ht="409.6">
      <c r="A1161" t="s">
        <v>5155</v>
      </c>
      <c r="B1161" t="s">
        <v>5156</v>
      </c>
      <c r="C1161" t="s">
        <v>7263</v>
      </c>
      <c r="D1161" t="s">
        <v>23</v>
      </c>
      <c r="E1161">
        <v>20</v>
      </c>
      <c r="F1161" s="2" t="s">
        <v>7814</v>
      </c>
      <c r="G1161" s="2" t="s">
        <v>7815</v>
      </c>
      <c r="H1161" s="2" t="s">
        <v>7816</v>
      </c>
      <c r="I1161" s="2" t="s">
        <v>7817</v>
      </c>
      <c r="J1161" t="s">
        <v>7818</v>
      </c>
      <c r="K1161" t="s">
        <v>7819</v>
      </c>
      <c r="L1161" s="1">
        <v>2</v>
      </c>
      <c r="M1161" s="1"/>
      <c r="N1161" s="1"/>
      <c r="O1161" s="3"/>
    </row>
    <row r="1162" spans="1:15" ht="409.6">
      <c r="A1162" t="s">
        <v>7820</v>
      </c>
      <c r="B1162" t="s">
        <v>7821</v>
      </c>
      <c r="C1162" t="s">
        <v>4052</v>
      </c>
      <c r="D1162" t="s">
        <v>23</v>
      </c>
      <c r="E1162">
        <v>20</v>
      </c>
      <c r="F1162" s="2" t="s">
        <v>7822</v>
      </c>
      <c r="G1162" s="2" t="s">
        <v>7823</v>
      </c>
      <c r="H1162" s="2" t="s">
        <v>7824</v>
      </c>
      <c r="I1162" s="2" t="s">
        <v>7825</v>
      </c>
      <c r="J1162" t="s">
        <v>7826</v>
      </c>
      <c r="K1162" t="s">
        <v>7827</v>
      </c>
      <c r="L1162" s="1">
        <v>2</v>
      </c>
      <c r="M1162" s="1"/>
      <c r="N1162" s="1"/>
      <c r="O1162" s="3"/>
    </row>
    <row r="1163" spans="1:15" ht="409.6">
      <c r="A1163" t="s">
        <v>5190</v>
      </c>
      <c r="B1163" t="s">
        <v>5191</v>
      </c>
      <c r="C1163" t="s">
        <v>7263</v>
      </c>
      <c r="D1163" t="s">
        <v>23</v>
      </c>
      <c r="E1163">
        <v>30</v>
      </c>
      <c r="F1163" s="2" t="s">
        <v>7828</v>
      </c>
      <c r="G1163" s="2" t="s">
        <v>7829</v>
      </c>
      <c r="H1163" s="2" t="s">
        <v>7830</v>
      </c>
      <c r="I1163" s="2" t="s">
        <v>7831</v>
      </c>
      <c r="J1163" t="s">
        <v>7832</v>
      </c>
      <c r="L1163" s="1">
        <v>2</v>
      </c>
      <c r="M1163" s="1"/>
      <c r="N1163" s="1"/>
      <c r="O1163" s="3"/>
    </row>
    <row r="1164" spans="1:15" ht="409.6">
      <c r="A1164" t="s">
        <v>7833</v>
      </c>
      <c r="B1164" t="s">
        <v>7834</v>
      </c>
      <c r="C1164" t="s">
        <v>7263</v>
      </c>
      <c r="D1164" t="s">
        <v>23</v>
      </c>
      <c r="E1164">
        <v>15</v>
      </c>
      <c r="F1164" s="2" t="s">
        <v>7835</v>
      </c>
      <c r="G1164" s="2" t="s">
        <v>7836</v>
      </c>
      <c r="H1164" s="2" t="s">
        <v>7837</v>
      </c>
      <c r="I1164" s="2" t="s">
        <v>7838</v>
      </c>
      <c r="J1164" t="s">
        <v>7839</v>
      </c>
      <c r="L1164" s="1">
        <v>2</v>
      </c>
      <c r="M1164" s="1"/>
      <c r="N1164" s="1"/>
      <c r="O1164" s="3"/>
    </row>
    <row r="1165" spans="1:15" ht="409.6">
      <c r="A1165" t="s">
        <v>2906</v>
      </c>
      <c r="B1165" t="s">
        <v>2907</v>
      </c>
      <c r="C1165" t="s">
        <v>7263</v>
      </c>
      <c r="D1165" t="s">
        <v>14</v>
      </c>
      <c r="E1165">
        <v>10</v>
      </c>
      <c r="F1165" s="2" t="s">
        <v>7840</v>
      </c>
      <c r="G1165" s="2" t="s">
        <v>7841</v>
      </c>
      <c r="H1165" s="2" t="s">
        <v>5199</v>
      </c>
      <c r="I1165" s="2" t="s">
        <v>7842</v>
      </c>
      <c r="J1165" t="s">
        <v>5200</v>
      </c>
      <c r="L1165" s="1">
        <v>2</v>
      </c>
      <c r="M1165" s="1"/>
      <c r="N1165" s="1"/>
      <c r="O1165" s="3"/>
    </row>
    <row r="1166" spans="1:15" ht="409.6">
      <c r="A1166" t="s">
        <v>7843</v>
      </c>
      <c r="B1166" t="s">
        <v>7844</v>
      </c>
      <c r="C1166" t="s">
        <v>7263</v>
      </c>
      <c r="D1166" t="s">
        <v>23</v>
      </c>
      <c r="E1166">
        <v>60</v>
      </c>
      <c r="F1166" s="2" t="s">
        <v>7845</v>
      </c>
      <c r="G1166" s="2" t="s">
        <v>7846</v>
      </c>
      <c r="H1166" s="2" t="s">
        <v>7847</v>
      </c>
      <c r="I1166" s="2" t="s">
        <v>7848</v>
      </c>
      <c r="J1166" t="s">
        <v>7849</v>
      </c>
      <c r="L1166" s="1">
        <v>2</v>
      </c>
      <c r="M1166" s="1"/>
      <c r="N1166" s="1"/>
      <c r="O1166" s="3"/>
    </row>
    <row r="1167" spans="1:15" ht="409.6">
      <c r="A1167" t="s">
        <v>7850</v>
      </c>
      <c r="B1167" t="s">
        <v>7851</v>
      </c>
      <c r="C1167" t="s">
        <v>7263</v>
      </c>
      <c r="D1167" t="s">
        <v>23</v>
      </c>
      <c r="E1167">
        <v>30</v>
      </c>
      <c r="F1167" s="2" t="s">
        <v>7852</v>
      </c>
      <c r="G1167" s="2" t="s">
        <v>7853</v>
      </c>
      <c r="H1167" s="2" t="s">
        <v>7854</v>
      </c>
      <c r="I1167" s="2" t="s">
        <v>7855</v>
      </c>
      <c r="J1167" t="s">
        <v>7856</v>
      </c>
      <c r="L1167" s="1">
        <v>2</v>
      </c>
      <c r="M1167" s="1"/>
      <c r="N1167" s="1"/>
      <c r="O1167" s="3"/>
    </row>
    <row r="1168" spans="1:15" ht="409.6">
      <c r="A1168" t="s">
        <v>7857</v>
      </c>
      <c r="B1168" t="s">
        <v>7858</v>
      </c>
      <c r="C1168" t="s">
        <v>7263</v>
      </c>
      <c r="D1168" t="s">
        <v>23</v>
      </c>
      <c r="E1168">
        <v>5</v>
      </c>
      <c r="F1168" s="2" t="s">
        <v>7859</v>
      </c>
      <c r="G1168" s="2" t="s">
        <v>7860</v>
      </c>
      <c r="H1168" s="2" t="s">
        <v>7861</v>
      </c>
      <c r="I1168" s="2" t="s">
        <v>7862</v>
      </c>
      <c r="J1168" t="s">
        <v>7863</v>
      </c>
      <c r="L1168" s="1">
        <v>2</v>
      </c>
      <c r="M1168" s="1"/>
      <c r="N1168" s="1"/>
      <c r="O1168" s="3"/>
    </row>
    <row r="1169" spans="1:15" ht="409.6">
      <c r="A1169" t="s">
        <v>1999</v>
      </c>
      <c r="B1169" t="s">
        <v>2000</v>
      </c>
      <c r="C1169" t="s">
        <v>4052</v>
      </c>
      <c r="D1169" t="s">
        <v>23</v>
      </c>
      <c r="E1169">
        <v>20</v>
      </c>
      <c r="F1169" s="2" t="s">
        <v>7864</v>
      </c>
      <c r="G1169" s="2" t="s">
        <v>7865</v>
      </c>
      <c r="H1169" s="2" t="s">
        <v>5258</v>
      </c>
      <c r="I1169" s="2" t="s">
        <v>7866</v>
      </c>
      <c r="J1169" t="s">
        <v>7867</v>
      </c>
      <c r="L1169" s="1">
        <v>2</v>
      </c>
      <c r="M1169" s="1"/>
      <c r="N1169" s="1"/>
      <c r="O1169" s="3"/>
    </row>
    <row r="1170" spans="1:15" ht="409.6">
      <c r="A1170" t="s">
        <v>5261</v>
      </c>
      <c r="B1170" t="s">
        <v>5262</v>
      </c>
      <c r="C1170" t="s">
        <v>7263</v>
      </c>
      <c r="D1170" t="s">
        <v>23</v>
      </c>
      <c r="E1170">
        <v>30</v>
      </c>
      <c r="F1170" s="2" t="s">
        <v>7868</v>
      </c>
      <c r="G1170" s="2" t="s">
        <v>7869</v>
      </c>
      <c r="H1170" s="2" t="s">
        <v>5265</v>
      </c>
      <c r="I1170" s="2" t="s">
        <v>7870</v>
      </c>
      <c r="J1170" t="s">
        <v>7871</v>
      </c>
      <c r="L1170" s="1">
        <v>2</v>
      </c>
      <c r="M1170" s="1"/>
      <c r="N1170" s="1"/>
      <c r="O1170" s="3"/>
    </row>
    <row r="1171" spans="1:15" ht="409.6">
      <c r="A1171" t="s">
        <v>5282</v>
      </c>
      <c r="B1171" t="s">
        <v>7872</v>
      </c>
      <c r="C1171" t="s">
        <v>7263</v>
      </c>
      <c r="D1171" t="s">
        <v>23</v>
      </c>
      <c r="E1171">
        <v>25</v>
      </c>
      <c r="F1171" s="2" t="s">
        <v>7873</v>
      </c>
      <c r="G1171" s="2" t="s">
        <v>7874</v>
      </c>
      <c r="H1171" s="2" t="s">
        <v>5286</v>
      </c>
      <c r="I1171" s="2" t="s">
        <v>5287</v>
      </c>
      <c r="J1171" t="s">
        <v>5288</v>
      </c>
      <c r="L1171" s="1">
        <v>2</v>
      </c>
      <c r="M1171" s="1"/>
      <c r="N1171" s="1"/>
      <c r="O1171" s="3"/>
    </row>
    <row r="1172" spans="1:15" ht="409.6">
      <c r="A1172" t="s">
        <v>7875</v>
      </c>
      <c r="B1172" t="s">
        <v>7876</v>
      </c>
      <c r="C1172" t="s">
        <v>7263</v>
      </c>
      <c r="D1172" t="s">
        <v>23</v>
      </c>
      <c r="E1172">
        <v>10</v>
      </c>
      <c r="F1172" s="2" t="s">
        <v>7877</v>
      </c>
      <c r="G1172" s="2" t="s">
        <v>7878</v>
      </c>
      <c r="H1172" s="2" t="s">
        <v>7879</v>
      </c>
      <c r="I1172" s="2" t="s">
        <v>7880</v>
      </c>
      <c r="J1172" t="s">
        <v>7881</v>
      </c>
      <c r="L1172" s="1">
        <v>2</v>
      </c>
      <c r="M1172" s="1"/>
      <c r="N1172" s="1"/>
      <c r="O1172" s="3"/>
    </row>
    <row r="1173" spans="1:15" ht="409.6">
      <c r="A1173" t="s">
        <v>7882</v>
      </c>
      <c r="B1173" t="s">
        <v>7883</v>
      </c>
      <c r="C1173" t="s">
        <v>7263</v>
      </c>
      <c r="D1173" t="s">
        <v>23</v>
      </c>
      <c r="E1173">
        <v>20</v>
      </c>
      <c r="F1173" s="2" t="s">
        <v>7884</v>
      </c>
      <c r="G1173" s="2" t="s">
        <v>7885</v>
      </c>
      <c r="H1173" s="2" t="s">
        <v>7886</v>
      </c>
      <c r="I1173" s="2" t="s">
        <v>7887</v>
      </c>
      <c r="J1173" t="s">
        <v>7888</v>
      </c>
      <c r="L1173" s="1">
        <v>2</v>
      </c>
      <c r="M1173" s="1"/>
      <c r="N1173" s="1"/>
      <c r="O1173" s="3"/>
    </row>
    <row r="1174" spans="1:15" ht="409.6">
      <c r="A1174" t="s">
        <v>7889</v>
      </c>
      <c r="B1174" t="s">
        <v>7890</v>
      </c>
      <c r="C1174" t="s">
        <v>7263</v>
      </c>
      <c r="D1174" t="s">
        <v>23</v>
      </c>
      <c r="E1174">
        <v>15</v>
      </c>
      <c r="F1174" s="2" t="s">
        <v>7891</v>
      </c>
      <c r="G1174" s="2" t="s">
        <v>7892</v>
      </c>
      <c r="H1174" s="2" t="s">
        <v>7893</v>
      </c>
      <c r="I1174" s="2" t="s">
        <v>7894</v>
      </c>
      <c r="J1174" t="s">
        <v>7895</v>
      </c>
      <c r="L1174" s="1">
        <v>2</v>
      </c>
      <c r="M1174" s="1"/>
      <c r="N1174" s="1"/>
      <c r="O1174" s="3"/>
    </row>
    <row r="1175" spans="1:15" ht="409.6">
      <c r="A1175" t="s">
        <v>7896</v>
      </c>
      <c r="B1175" t="s">
        <v>7897</v>
      </c>
      <c r="C1175" t="s">
        <v>7263</v>
      </c>
      <c r="D1175" t="s">
        <v>23</v>
      </c>
      <c r="E1175">
        <v>5</v>
      </c>
      <c r="F1175" s="2" t="s">
        <v>7898</v>
      </c>
      <c r="G1175" s="2" t="s">
        <v>7899</v>
      </c>
      <c r="H1175" s="2" t="s">
        <v>7900</v>
      </c>
      <c r="I1175" s="2" t="s">
        <v>7901</v>
      </c>
      <c r="J1175" t="s">
        <v>7902</v>
      </c>
      <c r="L1175" s="1">
        <v>2</v>
      </c>
      <c r="M1175" s="1"/>
      <c r="N1175" s="1"/>
      <c r="O1175" s="3"/>
    </row>
    <row r="1176" spans="1:15" ht="409.6">
      <c r="A1176" t="s">
        <v>7903</v>
      </c>
      <c r="B1176" t="s">
        <v>7904</v>
      </c>
      <c r="C1176" t="s">
        <v>7263</v>
      </c>
      <c r="D1176" t="s">
        <v>23</v>
      </c>
      <c r="E1176">
        <v>20</v>
      </c>
      <c r="F1176" s="2" t="s">
        <v>7905</v>
      </c>
      <c r="G1176" s="2" t="s">
        <v>7906</v>
      </c>
      <c r="H1176" s="2" t="s">
        <v>7907</v>
      </c>
      <c r="I1176" s="2" t="s">
        <v>7908</v>
      </c>
      <c r="J1176" t="s">
        <v>7909</v>
      </c>
      <c r="K1176" t="s">
        <v>7910</v>
      </c>
      <c r="L1176" s="1">
        <v>2</v>
      </c>
      <c r="M1176" s="1"/>
      <c r="N1176" s="1"/>
      <c r="O1176" s="3"/>
    </row>
    <row r="1177" spans="1:15" ht="409.6">
      <c r="A1177" t="s">
        <v>7911</v>
      </c>
      <c r="B1177" t="s">
        <v>7912</v>
      </c>
      <c r="C1177" t="s">
        <v>7263</v>
      </c>
      <c r="D1177" t="s">
        <v>23</v>
      </c>
      <c r="E1177">
        <v>25</v>
      </c>
      <c r="F1177" s="2" t="s">
        <v>7913</v>
      </c>
      <c r="G1177" s="2" t="s">
        <v>7914</v>
      </c>
      <c r="H1177" s="2" t="s">
        <v>7915</v>
      </c>
      <c r="I1177" s="2" t="s">
        <v>7916</v>
      </c>
      <c r="J1177" t="s">
        <v>7917</v>
      </c>
      <c r="L1177" s="1">
        <v>2</v>
      </c>
      <c r="M1177" s="1"/>
      <c r="N1177" s="1"/>
      <c r="O1177" s="3"/>
    </row>
    <row r="1178" spans="1:15" ht="409.6">
      <c r="A1178" t="s">
        <v>5303</v>
      </c>
      <c r="B1178" t="s">
        <v>5304</v>
      </c>
      <c r="C1178" t="s">
        <v>7263</v>
      </c>
      <c r="D1178" t="s">
        <v>23</v>
      </c>
      <c r="E1178">
        <v>15</v>
      </c>
      <c r="F1178" s="2" t="s">
        <v>7918</v>
      </c>
      <c r="G1178" s="2" t="s">
        <v>7919</v>
      </c>
      <c r="H1178" s="2" t="s">
        <v>7920</v>
      </c>
      <c r="I1178" s="2" t="s">
        <v>7921</v>
      </c>
      <c r="J1178" t="s">
        <v>5309</v>
      </c>
      <c r="L1178" s="1">
        <v>2</v>
      </c>
      <c r="M1178" s="1"/>
      <c r="N1178" s="1"/>
      <c r="O1178" s="3"/>
    </row>
    <row r="1179" spans="1:15" ht="409.6">
      <c r="A1179" t="s">
        <v>7922</v>
      </c>
      <c r="B1179" t="s">
        <v>7923</v>
      </c>
      <c r="C1179" t="s">
        <v>7263</v>
      </c>
      <c r="D1179" t="s">
        <v>23</v>
      </c>
      <c r="E1179">
        <v>5</v>
      </c>
      <c r="F1179" s="2" t="s">
        <v>7924</v>
      </c>
      <c r="G1179" s="2" t="s">
        <v>7925</v>
      </c>
      <c r="H1179" s="2" t="s">
        <v>7926</v>
      </c>
      <c r="I1179" s="2" t="s">
        <v>7927</v>
      </c>
      <c r="J1179" t="s">
        <v>7928</v>
      </c>
      <c r="L1179" s="1">
        <v>2</v>
      </c>
      <c r="M1179" s="1"/>
      <c r="N1179" s="1"/>
      <c r="O1179" s="3"/>
    </row>
    <row r="1180" spans="1:15" ht="409.6">
      <c r="A1180" t="s">
        <v>5317</v>
      </c>
      <c r="B1180" t="s">
        <v>5318</v>
      </c>
      <c r="C1180" t="s">
        <v>7263</v>
      </c>
      <c r="D1180" t="s">
        <v>23</v>
      </c>
      <c r="E1180">
        <v>10</v>
      </c>
      <c r="F1180" s="2" t="s">
        <v>7929</v>
      </c>
      <c r="G1180" s="2" t="s">
        <v>7930</v>
      </c>
      <c r="H1180" s="2" t="s">
        <v>7931</v>
      </c>
      <c r="I1180" s="2" t="s">
        <v>7932</v>
      </c>
      <c r="J1180" t="s">
        <v>7933</v>
      </c>
      <c r="L1180" s="1">
        <v>2</v>
      </c>
      <c r="M1180" s="1"/>
      <c r="N1180" s="1"/>
      <c r="O1180" s="3"/>
    </row>
    <row r="1181" spans="1:15" ht="409.6">
      <c r="A1181" t="s">
        <v>7934</v>
      </c>
      <c r="B1181" t="s">
        <v>6288</v>
      </c>
      <c r="C1181" t="s">
        <v>7263</v>
      </c>
      <c r="D1181" t="s">
        <v>23</v>
      </c>
      <c r="E1181">
        <v>15</v>
      </c>
      <c r="F1181" s="2" t="s">
        <v>7935</v>
      </c>
      <c r="G1181" s="2" t="s">
        <v>7936</v>
      </c>
      <c r="H1181" s="2" t="s">
        <v>7937</v>
      </c>
      <c r="I1181" s="2" t="s">
        <v>7938</v>
      </c>
      <c r="J1181" t="s">
        <v>7939</v>
      </c>
      <c r="L1181" s="1">
        <v>2</v>
      </c>
      <c r="M1181" s="1"/>
      <c r="N1181" s="1"/>
      <c r="O1181" s="3"/>
    </row>
    <row r="1182" spans="1:15" ht="409.6">
      <c r="A1182" t="s">
        <v>7940</v>
      </c>
      <c r="B1182" t="s">
        <v>7941</v>
      </c>
      <c r="C1182" t="s">
        <v>7263</v>
      </c>
      <c r="D1182" t="s">
        <v>23</v>
      </c>
      <c r="E1182">
        <v>15</v>
      </c>
      <c r="F1182" s="2" t="s">
        <v>7942</v>
      </c>
      <c r="G1182" s="2" t="s">
        <v>7943</v>
      </c>
      <c r="H1182" s="2" t="s">
        <v>7944</v>
      </c>
      <c r="I1182" s="2" t="s">
        <v>7945</v>
      </c>
      <c r="J1182" t="s">
        <v>7946</v>
      </c>
      <c r="L1182" s="1">
        <v>2</v>
      </c>
      <c r="M1182" s="1"/>
      <c r="N1182" s="1"/>
      <c r="O1182" s="3"/>
    </row>
    <row r="1183" spans="1:15" ht="409.6">
      <c r="A1183" t="s">
        <v>5331</v>
      </c>
      <c r="B1183" t="s">
        <v>5332</v>
      </c>
      <c r="C1183" t="s">
        <v>7263</v>
      </c>
      <c r="D1183" t="s">
        <v>23</v>
      </c>
      <c r="E1183">
        <v>15</v>
      </c>
      <c r="F1183" s="2" t="s">
        <v>7947</v>
      </c>
      <c r="G1183" s="2" t="s">
        <v>7948</v>
      </c>
      <c r="H1183" s="2" t="s">
        <v>5335</v>
      </c>
      <c r="I1183" s="2" t="s">
        <v>7949</v>
      </c>
      <c r="J1183" t="s">
        <v>5337</v>
      </c>
      <c r="L1183" s="1">
        <v>2</v>
      </c>
      <c r="M1183" s="1"/>
      <c r="N1183" s="1"/>
      <c r="O1183" s="3"/>
    </row>
    <row r="1184" spans="1:15" ht="409.6">
      <c r="A1184" t="s">
        <v>2733</v>
      </c>
      <c r="B1184" t="s">
        <v>2734</v>
      </c>
      <c r="C1184" t="s">
        <v>7263</v>
      </c>
      <c r="D1184" t="s">
        <v>23</v>
      </c>
      <c r="E1184">
        <v>20</v>
      </c>
      <c r="F1184" s="2" t="s">
        <v>7950</v>
      </c>
      <c r="G1184" s="2" t="s">
        <v>7951</v>
      </c>
      <c r="H1184" s="2" t="s">
        <v>7952</v>
      </c>
      <c r="I1184" s="2" t="s">
        <v>7953</v>
      </c>
      <c r="J1184" t="s">
        <v>7954</v>
      </c>
      <c r="L1184" s="1">
        <v>2</v>
      </c>
      <c r="M1184" s="1"/>
      <c r="N1184" s="1"/>
      <c r="O1184" s="3"/>
    </row>
    <row r="1185" spans="1:15" ht="409.6">
      <c r="A1185" t="s">
        <v>7955</v>
      </c>
      <c r="B1185" t="s">
        <v>7956</v>
      </c>
      <c r="C1185" t="s">
        <v>7263</v>
      </c>
      <c r="D1185" t="s">
        <v>23</v>
      </c>
      <c r="E1185">
        <v>5</v>
      </c>
      <c r="F1185" s="2" t="s">
        <v>7957</v>
      </c>
      <c r="G1185" s="2" t="s">
        <v>7958</v>
      </c>
      <c r="H1185" s="2" t="s">
        <v>7959</v>
      </c>
      <c r="I1185" s="2" t="s">
        <v>7960</v>
      </c>
      <c r="J1185" t="s">
        <v>7961</v>
      </c>
      <c r="L1185" s="1">
        <v>2</v>
      </c>
      <c r="M1185" s="1"/>
      <c r="N1185" s="1"/>
      <c r="O1185" s="3"/>
    </row>
    <row r="1186" spans="1:15" ht="409.6">
      <c r="A1186" t="s">
        <v>1711</v>
      </c>
      <c r="B1186" t="s">
        <v>7962</v>
      </c>
      <c r="C1186" t="s">
        <v>7263</v>
      </c>
      <c r="D1186" t="s">
        <v>23</v>
      </c>
      <c r="E1186">
        <v>5</v>
      </c>
      <c r="F1186" s="2" t="s">
        <v>7963</v>
      </c>
      <c r="G1186" s="2" t="s">
        <v>7964</v>
      </c>
      <c r="H1186" s="2" t="s">
        <v>7965</v>
      </c>
      <c r="I1186" s="2" t="s">
        <v>7966</v>
      </c>
      <c r="J1186" t="s">
        <v>7967</v>
      </c>
      <c r="L1186" s="1">
        <v>2</v>
      </c>
      <c r="M1186" s="1"/>
      <c r="N1186" s="1"/>
      <c r="O1186" s="3"/>
    </row>
    <row r="1187" spans="1:15" ht="409.6">
      <c r="A1187" t="s">
        <v>7968</v>
      </c>
      <c r="B1187" t="s">
        <v>7969</v>
      </c>
      <c r="C1187" t="s">
        <v>7263</v>
      </c>
      <c r="D1187" t="s">
        <v>23</v>
      </c>
      <c r="E1187">
        <v>30</v>
      </c>
      <c r="F1187" s="2" t="s">
        <v>7970</v>
      </c>
      <c r="G1187" s="2" t="s">
        <v>7971</v>
      </c>
      <c r="H1187" s="2" t="s">
        <v>7972</v>
      </c>
      <c r="I1187" s="2" t="s">
        <v>7973</v>
      </c>
      <c r="J1187" t="s">
        <v>7974</v>
      </c>
      <c r="L1187" s="1">
        <v>2</v>
      </c>
      <c r="M1187" s="1"/>
      <c r="N1187" s="1"/>
      <c r="O1187" s="3"/>
    </row>
    <row r="1188" spans="1:15" ht="409.6">
      <c r="A1188" t="s">
        <v>7975</v>
      </c>
      <c r="B1188" t="s">
        <v>7976</v>
      </c>
      <c r="C1188" t="s">
        <v>7263</v>
      </c>
      <c r="D1188" t="s">
        <v>23</v>
      </c>
      <c r="E1188">
        <v>45</v>
      </c>
      <c r="F1188" s="2" t="s">
        <v>7977</v>
      </c>
      <c r="G1188" s="2" t="s">
        <v>7978</v>
      </c>
      <c r="H1188" s="2" t="s">
        <v>7979</v>
      </c>
      <c r="I1188" s="2" t="s">
        <v>7980</v>
      </c>
      <c r="J1188" t="s">
        <v>7981</v>
      </c>
      <c r="L1188" s="1">
        <v>2</v>
      </c>
      <c r="M1188" s="1"/>
      <c r="N1188" s="1"/>
      <c r="O1188" s="3"/>
    </row>
    <row r="1189" spans="1:15" ht="409.6">
      <c r="A1189" t="s">
        <v>7982</v>
      </c>
      <c r="B1189" t="s">
        <v>7983</v>
      </c>
      <c r="C1189" t="s">
        <v>4052</v>
      </c>
      <c r="D1189" t="s">
        <v>23</v>
      </c>
      <c r="E1189">
        <v>5</v>
      </c>
      <c r="F1189" s="2" t="s">
        <v>7984</v>
      </c>
      <c r="G1189" s="2" t="s">
        <v>7985</v>
      </c>
      <c r="H1189" s="2" t="s">
        <v>7986</v>
      </c>
      <c r="I1189" s="2" t="s">
        <v>7987</v>
      </c>
      <c r="J1189" t="s">
        <v>7988</v>
      </c>
      <c r="L1189" s="1">
        <v>2</v>
      </c>
      <c r="M1189" s="1"/>
      <c r="N1189" s="1"/>
      <c r="O1189" s="3"/>
    </row>
    <row r="1190" spans="1:15" ht="409.6">
      <c r="A1190" t="s">
        <v>5384</v>
      </c>
      <c r="B1190" t="s">
        <v>5385</v>
      </c>
      <c r="C1190" t="s">
        <v>7263</v>
      </c>
      <c r="D1190" t="s">
        <v>23</v>
      </c>
      <c r="E1190">
        <v>15</v>
      </c>
      <c r="F1190" s="2" t="s">
        <v>7989</v>
      </c>
      <c r="G1190" s="2" t="s">
        <v>7990</v>
      </c>
      <c r="H1190" s="2" t="s">
        <v>5388</v>
      </c>
      <c r="I1190" s="2" t="s">
        <v>7991</v>
      </c>
      <c r="J1190" t="s">
        <v>7992</v>
      </c>
      <c r="L1190" s="1">
        <v>2</v>
      </c>
      <c r="M1190" s="1"/>
      <c r="N1190" s="1"/>
      <c r="O1190" s="3"/>
    </row>
    <row r="1191" spans="1:15" ht="409.6">
      <c r="A1191" t="s">
        <v>7993</v>
      </c>
      <c r="B1191" t="s">
        <v>7994</v>
      </c>
      <c r="C1191" t="s">
        <v>7263</v>
      </c>
      <c r="D1191" t="s">
        <v>23</v>
      </c>
      <c r="E1191">
        <v>15</v>
      </c>
      <c r="F1191" s="2" t="s">
        <v>7995</v>
      </c>
      <c r="G1191" s="2" t="s">
        <v>7996</v>
      </c>
      <c r="H1191" s="2" t="s">
        <v>7997</v>
      </c>
      <c r="I1191" s="2" t="s">
        <v>7998</v>
      </c>
      <c r="J1191" t="s">
        <v>7999</v>
      </c>
      <c r="L1191" s="1">
        <v>2</v>
      </c>
      <c r="M1191" s="1"/>
      <c r="N1191" s="1"/>
      <c r="O1191" s="3"/>
    </row>
    <row r="1192" spans="1:15" ht="409.6">
      <c r="A1192" t="s">
        <v>8000</v>
      </c>
      <c r="B1192" t="s">
        <v>8001</v>
      </c>
      <c r="C1192" t="s">
        <v>7263</v>
      </c>
      <c r="D1192" t="s">
        <v>23</v>
      </c>
      <c r="E1192">
        <v>30</v>
      </c>
      <c r="F1192" s="2" t="s">
        <v>8002</v>
      </c>
      <c r="G1192" s="2" t="s">
        <v>8003</v>
      </c>
      <c r="H1192" s="2" t="s">
        <v>8004</v>
      </c>
      <c r="I1192" s="2" t="s">
        <v>8005</v>
      </c>
      <c r="J1192" t="s">
        <v>8006</v>
      </c>
      <c r="L1192" s="1">
        <v>2</v>
      </c>
      <c r="M1192" s="1"/>
      <c r="N1192" s="1"/>
      <c r="O1192" s="3"/>
    </row>
    <row r="1193" spans="1:15" ht="409.6">
      <c r="A1193" t="s">
        <v>8007</v>
      </c>
      <c r="B1193" t="s">
        <v>8008</v>
      </c>
      <c r="C1193" t="s">
        <v>4052</v>
      </c>
      <c r="D1193" t="s">
        <v>23</v>
      </c>
      <c r="E1193">
        <v>30</v>
      </c>
      <c r="F1193" s="2" t="s">
        <v>8009</v>
      </c>
      <c r="G1193" s="2" t="s">
        <v>8010</v>
      </c>
      <c r="H1193" s="2" t="s">
        <v>8011</v>
      </c>
      <c r="I1193" s="2" t="s">
        <v>8012</v>
      </c>
      <c r="J1193" t="s">
        <v>8013</v>
      </c>
      <c r="L1193" s="1">
        <v>2</v>
      </c>
      <c r="M1193" s="1"/>
      <c r="N1193" s="1"/>
      <c r="O1193" s="3"/>
    </row>
    <row r="1194" spans="1:15" ht="409.6">
      <c r="A1194" t="s">
        <v>8014</v>
      </c>
      <c r="B1194" t="s">
        <v>8015</v>
      </c>
      <c r="C1194" t="s">
        <v>7263</v>
      </c>
      <c r="D1194" t="s">
        <v>23</v>
      </c>
      <c r="E1194">
        <v>20</v>
      </c>
      <c r="F1194" s="2" t="s">
        <v>8016</v>
      </c>
      <c r="G1194" s="2" t="s">
        <v>8017</v>
      </c>
      <c r="H1194" s="2" t="s">
        <v>8018</v>
      </c>
      <c r="I1194" s="2" t="s">
        <v>8019</v>
      </c>
      <c r="J1194" t="s">
        <v>8020</v>
      </c>
      <c r="L1194" s="1">
        <v>2</v>
      </c>
      <c r="M1194" s="1"/>
      <c r="N1194" s="1"/>
      <c r="O1194" s="3"/>
    </row>
    <row r="1195" spans="1:15" ht="409.6">
      <c r="A1195" t="s">
        <v>8021</v>
      </c>
      <c r="B1195" t="s">
        <v>8022</v>
      </c>
      <c r="C1195" t="s">
        <v>7263</v>
      </c>
      <c r="D1195" t="s">
        <v>23</v>
      </c>
      <c r="E1195">
        <v>15</v>
      </c>
      <c r="F1195" s="2" t="s">
        <v>8023</v>
      </c>
      <c r="G1195" s="2" t="s">
        <v>8024</v>
      </c>
      <c r="H1195" s="2" t="s">
        <v>8025</v>
      </c>
      <c r="I1195" s="2" t="s">
        <v>8026</v>
      </c>
      <c r="J1195" t="s">
        <v>8027</v>
      </c>
      <c r="L1195" s="1">
        <v>2</v>
      </c>
      <c r="M1195" s="1"/>
      <c r="N1195" s="1"/>
      <c r="O1195" s="3"/>
    </row>
    <row r="1196" spans="1:15" ht="409.6">
      <c r="A1196" t="s">
        <v>5405</v>
      </c>
      <c r="B1196" s="2" t="s">
        <v>8028</v>
      </c>
      <c r="C1196" t="s">
        <v>7263</v>
      </c>
      <c r="D1196" t="s">
        <v>23</v>
      </c>
      <c r="E1196">
        <v>10</v>
      </c>
      <c r="F1196" s="2" t="s">
        <v>8029</v>
      </c>
      <c r="G1196" s="2" t="s">
        <v>8030</v>
      </c>
      <c r="H1196" s="2" t="s">
        <v>5409</v>
      </c>
      <c r="I1196" s="2" t="s">
        <v>5410</v>
      </c>
      <c r="J1196" t="s">
        <v>8031</v>
      </c>
      <c r="L1196" s="1">
        <v>2</v>
      </c>
      <c r="M1196" s="1"/>
      <c r="N1196" s="1"/>
      <c r="O1196" s="3"/>
    </row>
    <row r="1197" spans="1:15" ht="409.6">
      <c r="A1197" t="s">
        <v>5412</v>
      </c>
      <c r="B1197" t="s">
        <v>5413</v>
      </c>
      <c r="C1197" t="s">
        <v>7263</v>
      </c>
      <c r="D1197" t="s">
        <v>23</v>
      </c>
      <c r="E1197">
        <v>15</v>
      </c>
      <c r="F1197" s="2" t="s">
        <v>8032</v>
      </c>
      <c r="G1197" s="2" t="s">
        <v>8033</v>
      </c>
      <c r="H1197" s="2" t="s">
        <v>5416</v>
      </c>
      <c r="I1197" s="2" t="s">
        <v>8034</v>
      </c>
      <c r="J1197" t="s">
        <v>8035</v>
      </c>
      <c r="L1197" s="1">
        <v>2</v>
      </c>
      <c r="M1197" s="1"/>
      <c r="N1197" s="1"/>
      <c r="O1197" s="3"/>
    </row>
    <row r="1198" spans="1:15" ht="409.6">
      <c r="A1198" t="s">
        <v>8036</v>
      </c>
      <c r="B1198" t="s">
        <v>8037</v>
      </c>
      <c r="C1198" t="s">
        <v>7263</v>
      </c>
      <c r="D1198" t="s">
        <v>23</v>
      </c>
      <c r="E1198">
        <v>20</v>
      </c>
      <c r="F1198" s="2" t="s">
        <v>8038</v>
      </c>
      <c r="G1198" s="2" t="s">
        <v>8039</v>
      </c>
      <c r="H1198" s="2" t="s">
        <v>8040</v>
      </c>
      <c r="I1198" s="2" t="s">
        <v>8041</v>
      </c>
      <c r="J1198" t="s">
        <v>8042</v>
      </c>
      <c r="L1198" s="1">
        <v>2</v>
      </c>
      <c r="M1198" s="1"/>
      <c r="N1198" s="1"/>
      <c r="O1198" s="3"/>
    </row>
    <row r="1199" spans="1:15" ht="409.6">
      <c r="A1199" t="s">
        <v>8043</v>
      </c>
      <c r="B1199" t="s">
        <v>8044</v>
      </c>
      <c r="C1199" t="s">
        <v>7263</v>
      </c>
      <c r="D1199" t="s">
        <v>23</v>
      </c>
      <c r="E1199">
        <v>15</v>
      </c>
      <c r="F1199" s="2" t="s">
        <v>8045</v>
      </c>
      <c r="G1199" s="2" t="s">
        <v>8046</v>
      </c>
      <c r="H1199" s="2" t="s">
        <v>8047</v>
      </c>
      <c r="I1199" s="2" t="s">
        <v>8048</v>
      </c>
      <c r="J1199" t="s">
        <v>8049</v>
      </c>
      <c r="L1199" s="1">
        <v>2</v>
      </c>
      <c r="M1199" s="1"/>
      <c r="N1199" s="1"/>
      <c r="O1199" s="3"/>
    </row>
    <row r="1200" spans="1:15" ht="409.6">
      <c r="A1200" t="s">
        <v>3846</v>
      </c>
      <c r="B1200" t="s">
        <v>3847</v>
      </c>
      <c r="C1200" t="s">
        <v>7263</v>
      </c>
      <c r="D1200" t="s">
        <v>23</v>
      </c>
      <c r="E1200">
        <v>50</v>
      </c>
      <c r="F1200" s="2" t="s">
        <v>8050</v>
      </c>
      <c r="G1200" s="2" t="s">
        <v>8051</v>
      </c>
      <c r="H1200" s="2" t="s">
        <v>8052</v>
      </c>
      <c r="I1200" s="2" t="s">
        <v>8053</v>
      </c>
      <c r="J1200" t="s">
        <v>8054</v>
      </c>
      <c r="L1200" s="1">
        <v>2</v>
      </c>
      <c r="M1200" s="1"/>
      <c r="N1200" s="1"/>
      <c r="O1200" s="3"/>
    </row>
    <row r="1201" spans="1:15" ht="409.6">
      <c r="A1201" t="s">
        <v>8055</v>
      </c>
      <c r="B1201" t="s">
        <v>8056</v>
      </c>
      <c r="C1201" t="s">
        <v>7263</v>
      </c>
      <c r="D1201" t="s">
        <v>23</v>
      </c>
      <c r="E1201">
        <v>5</v>
      </c>
      <c r="F1201" s="2" t="s">
        <v>8057</v>
      </c>
      <c r="G1201" s="2" t="s">
        <v>8058</v>
      </c>
      <c r="H1201" s="2" t="s">
        <v>8059</v>
      </c>
      <c r="I1201" s="2" t="s">
        <v>8060</v>
      </c>
      <c r="J1201" t="s">
        <v>8061</v>
      </c>
      <c r="L1201" s="1">
        <v>2</v>
      </c>
      <c r="M1201" s="1"/>
      <c r="N1201" s="1"/>
      <c r="O1201" s="3"/>
    </row>
    <row r="1202" spans="1:15" ht="409.6">
      <c r="A1202" t="s">
        <v>5419</v>
      </c>
      <c r="B1202" t="s">
        <v>5420</v>
      </c>
      <c r="C1202" t="s">
        <v>7263</v>
      </c>
      <c r="D1202" t="s">
        <v>23</v>
      </c>
      <c r="E1202">
        <v>15</v>
      </c>
      <c r="F1202" s="2" t="s">
        <v>8062</v>
      </c>
      <c r="G1202" s="2" t="s">
        <v>8063</v>
      </c>
      <c r="H1202" s="2" t="s">
        <v>8064</v>
      </c>
      <c r="I1202" s="2" t="s">
        <v>8065</v>
      </c>
      <c r="J1202" t="s">
        <v>8066</v>
      </c>
      <c r="L1202" s="1">
        <v>2</v>
      </c>
      <c r="M1202" s="1"/>
      <c r="N1202" s="1"/>
      <c r="O1202" s="3"/>
    </row>
    <row r="1203" spans="1:15" ht="409.6">
      <c r="A1203" t="s">
        <v>5426</v>
      </c>
      <c r="B1203" t="s">
        <v>8067</v>
      </c>
      <c r="C1203" t="s">
        <v>7263</v>
      </c>
      <c r="D1203" t="s">
        <v>23</v>
      </c>
      <c r="E1203">
        <v>15</v>
      </c>
      <c r="F1203" s="2" t="s">
        <v>8068</v>
      </c>
      <c r="G1203" s="2" t="s">
        <v>8069</v>
      </c>
      <c r="H1203" s="2" t="s">
        <v>8070</v>
      </c>
      <c r="I1203" s="2" t="s">
        <v>8071</v>
      </c>
      <c r="J1203" t="s">
        <v>5432</v>
      </c>
      <c r="L1203" s="1">
        <v>2</v>
      </c>
      <c r="M1203" s="1"/>
      <c r="N1203" s="1"/>
      <c r="O1203" s="3"/>
    </row>
    <row r="1204" spans="1:15" ht="409.6">
      <c r="A1204" t="s">
        <v>5433</v>
      </c>
      <c r="B1204" t="s">
        <v>5434</v>
      </c>
      <c r="C1204" t="s">
        <v>7263</v>
      </c>
      <c r="D1204" t="s">
        <v>23</v>
      </c>
      <c r="E1204">
        <v>15</v>
      </c>
      <c r="F1204" s="2" t="s">
        <v>8072</v>
      </c>
      <c r="G1204" s="2" t="s">
        <v>8073</v>
      </c>
      <c r="H1204" s="2" t="s">
        <v>5437</v>
      </c>
      <c r="I1204" s="2" t="s">
        <v>8074</v>
      </c>
      <c r="J1204" t="s">
        <v>8075</v>
      </c>
      <c r="L1204" s="1">
        <v>2</v>
      </c>
      <c r="M1204" s="1"/>
      <c r="N1204" s="1"/>
      <c r="O1204" s="3"/>
    </row>
    <row r="1205" spans="1:15" ht="409.6">
      <c r="A1205" t="s">
        <v>8076</v>
      </c>
      <c r="B1205" t="s">
        <v>8077</v>
      </c>
      <c r="C1205" t="s">
        <v>7263</v>
      </c>
      <c r="D1205" t="s">
        <v>23</v>
      </c>
      <c r="E1205">
        <v>10</v>
      </c>
      <c r="F1205" s="2" t="s">
        <v>8078</v>
      </c>
      <c r="G1205" s="2" t="s">
        <v>8079</v>
      </c>
      <c r="H1205" s="2" t="s">
        <v>8080</v>
      </c>
      <c r="I1205" s="2" t="s">
        <v>8081</v>
      </c>
      <c r="J1205" t="s">
        <v>8082</v>
      </c>
      <c r="L1205" s="1">
        <v>2</v>
      </c>
      <c r="M1205" s="1"/>
      <c r="N1205" s="1"/>
      <c r="O1205" s="3"/>
    </row>
    <row r="1206" spans="1:15" ht="409.6">
      <c r="A1206" t="s">
        <v>8083</v>
      </c>
      <c r="B1206" t="s">
        <v>8084</v>
      </c>
      <c r="C1206" t="s">
        <v>7263</v>
      </c>
      <c r="D1206" t="s">
        <v>23</v>
      </c>
      <c r="E1206">
        <v>15</v>
      </c>
      <c r="F1206" s="2" t="s">
        <v>8085</v>
      </c>
      <c r="G1206" s="2" t="s">
        <v>8086</v>
      </c>
      <c r="H1206" s="2" t="s">
        <v>8087</v>
      </c>
      <c r="I1206" s="2" t="s">
        <v>8088</v>
      </c>
      <c r="J1206" t="s">
        <v>8089</v>
      </c>
      <c r="L1206" s="1">
        <v>2</v>
      </c>
      <c r="M1206" s="1"/>
      <c r="N1206" s="1"/>
      <c r="O1206" s="3"/>
    </row>
    <row r="1207" spans="1:15" ht="409.6">
      <c r="A1207" t="s">
        <v>8090</v>
      </c>
      <c r="B1207" t="s">
        <v>8091</v>
      </c>
      <c r="C1207" t="s">
        <v>7263</v>
      </c>
      <c r="D1207" t="s">
        <v>23</v>
      </c>
      <c r="E1207">
        <v>15</v>
      </c>
      <c r="F1207" s="2" t="s">
        <v>8092</v>
      </c>
      <c r="G1207" s="2" t="s">
        <v>8093</v>
      </c>
      <c r="H1207" s="2" t="s">
        <v>8094</v>
      </c>
      <c r="I1207" s="2" t="s">
        <v>8095</v>
      </c>
      <c r="J1207" t="s">
        <v>8096</v>
      </c>
      <c r="L1207" s="1">
        <v>2</v>
      </c>
      <c r="M1207" s="1"/>
      <c r="N1207" s="1"/>
      <c r="O1207" s="3"/>
    </row>
    <row r="1208" spans="1:15" ht="409.6">
      <c r="A1208" t="s">
        <v>8097</v>
      </c>
      <c r="B1208" t="s">
        <v>8098</v>
      </c>
      <c r="C1208" t="s">
        <v>7263</v>
      </c>
      <c r="D1208" t="s">
        <v>23</v>
      </c>
      <c r="E1208">
        <v>30</v>
      </c>
      <c r="F1208" s="2" t="s">
        <v>8099</v>
      </c>
      <c r="G1208" s="2" t="s">
        <v>8100</v>
      </c>
      <c r="H1208" s="2" t="s">
        <v>8101</v>
      </c>
      <c r="I1208" s="2" t="s">
        <v>8102</v>
      </c>
      <c r="J1208" t="s">
        <v>8103</v>
      </c>
      <c r="L1208" s="1">
        <v>2</v>
      </c>
      <c r="M1208" s="1"/>
      <c r="N1208" s="1"/>
      <c r="O1208" s="3"/>
    </row>
    <row r="1209" spans="1:15" ht="409.6">
      <c r="A1209" t="s">
        <v>8104</v>
      </c>
      <c r="B1209" t="s">
        <v>8105</v>
      </c>
      <c r="C1209" t="s">
        <v>7263</v>
      </c>
      <c r="D1209" t="s">
        <v>23</v>
      </c>
      <c r="E1209">
        <v>10</v>
      </c>
      <c r="F1209" s="2" t="s">
        <v>8106</v>
      </c>
      <c r="G1209" s="2" t="s">
        <v>8107</v>
      </c>
      <c r="H1209" s="2" t="s">
        <v>8108</v>
      </c>
      <c r="I1209" s="2" t="s">
        <v>8109</v>
      </c>
      <c r="J1209" t="s">
        <v>8110</v>
      </c>
      <c r="L1209" s="1">
        <v>2</v>
      </c>
      <c r="M1209" s="1"/>
      <c r="N1209" s="1"/>
      <c r="O1209" s="3"/>
    </row>
    <row r="1210" spans="1:15" ht="409.6">
      <c r="A1210" t="s">
        <v>5468</v>
      </c>
      <c r="B1210" t="s">
        <v>5469</v>
      </c>
      <c r="C1210" t="s">
        <v>7263</v>
      </c>
      <c r="D1210" t="s">
        <v>23</v>
      </c>
      <c r="E1210">
        <v>5</v>
      </c>
      <c r="F1210" s="2" t="s">
        <v>8111</v>
      </c>
      <c r="G1210" s="2" t="s">
        <v>8112</v>
      </c>
      <c r="H1210" s="2" t="s">
        <v>8113</v>
      </c>
      <c r="I1210" s="2" t="s">
        <v>8114</v>
      </c>
      <c r="J1210" t="s">
        <v>8115</v>
      </c>
      <c r="L1210" s="1">
        <v>2</v>
      </c>
      <c r="M1210" s="1"/>
      <c r="N1210" s="1"/>
      <c r="O1210" s="3"/>
    </row>
    <row r="1211" spans="1:15" ht="409.6">
      <c r="A1211" t="s">
        <v>8116</v>
      </c>
      <c r="B1211" t="s">
        <v>8117</v>
      </c>
      <c r="C1211" t="s">
        <v>7263</v>
      </c>
      <c r="D1211" t="s">
        <v>23</v>
      </c>
      <c r="E1211">
        <v>25</v>
      </c>
      <c r="F1211" s="2" t="s">
        <v>8118</v>
      </c>
      <c r="G1211" s="2" t="s">
        <v>8119</v>
      </c>
      <c r="H1211" s="2" t="s">
        <v>8120</v>
      </c>
      <c r="I1211" s="2" t="s">
        <v>8121</v>
      </c>
      <c r="J1211" t="s">
        <v>8122</v>
      </c>
      <c r="L1211" s="1">
        <v>2</v>
      </c>
      <c r="M1211" s="1"/>
      <c r="N1211" s="1"/>
      <c r="O1211" s="3"/>
    </row>
    <row r="1212" spans="1:15" ht="409.6">
      <c r="A1212" t="s">
        <v>8123</v>
      </c>
      <c r="B1212" t="s">
        <v>8124</v>
      </c>
      <c r="C1212" t="s">
        <v>7263</v>
      </c>
      <c r="D1212" t="s">
        <v>23</v>
      </c>
      <c r="E1212">
        <v>15</v>
      </c>
      <c r="F1212" s="2" t="s">
        <v>8125</v>
      </c>
      <c r="G1212" s="2" t="s">
        <v>8126</v>
      </c>
      <c r="H1212" s="2" t="s">
        <v>8127</v>
      </c>
      <c r="I1212" s="2" t="s">
        <v>8128</v>
      </c>
      <c r="J1212" t="s">
        <v>8129</v>
      </c>
      <c r="L1212" s="1">
        <v>2</v>
      </c>
      <c r="M1212" s="1"/>
      <c r="N1212" s="1"/>
      <c r="O1212" s="3"/>
    </row>
    <row r="1213" spans="1:15" ht="409.6">
      <c r="A1213" t="s">
        <v>8130</v>
      </c>
      <c r="B1213" t="s">
        <v>8131</v>
      </c>
      <c r="C1213" t="s">
        <v>7263</v>
      </c>
      <c r="D1213" t="s">
        <v>23</v>
      </c>
      <c r="E1213">
        <v>5</v>
      </c>
      <c r="F1213" s="2" t="s">
        <v>8132</v>
      </c>
      <c r="G1213" s="2" t="s">
        <v>8133</v>
      </c>
      <c r="H1213" s="2" t="s">
        <v>8134</v>
      </c>
      <c r="I1213" s="2" t="s">
        <v>8135</v>
      </c>
      <c r="J1213" t="s">
        <v>8136</v>
      </c>
      <c r="L1213" s="1">
        <v>2</v>
      </c>
      <c r="M1213" s="1"/>
      <c r="N1213" s="1"/>
      <c r="O1213" s="3"/>
    </row>
    <row r="1214" spans="1:15" ht="409.6">
      <c r="A1214" t="s">
        <v>8137</v>
      </c>
      <c r="B1214" t="s">
        <v>8138</v>
      </c>
      <c r="C1214" t="s">
        <v>7263</v>
      </c>
      <c r="D1214" t="s">
        <v>23</v>
      </c>
      <c r="E1214">
        <v>5</v>
      </c>
      <c r="F1214" s="2" t="s">
        <v>8139</v>
      </c>
      <c r="G1214" s="2" t="s">
        <v>8140</v>
      </c>
      <c r="H1214" s="2" t="s">
        <v>8141</v>
      </c>
      <c r="I1214" s="2" t="s">
        <v>8142</v>
      </c>
      <c r="J1214" t="s">
        <v>8143</v>
      </c>
      <c r="L1214" s="1">
        <v>2</v>
      </c>
      <c r="M1214" s="1"/>
      <c r="N1214" s="1"/>
      <c r="O1214" s="3"/>
    </row>
    <row r="1215" spans="1:15" ht="409.6">
      <c r="A1215" t="s">
        <v>2582</v>
      </c>
      <c r="B1215" t="s">
        <v>2583</v>
      </c>
      <c r="C1215" t="s">
        <v>7263</v>
      </c>
      <c r="D1215" t="s">
        <v>23</v>
      </c>
      <c r="E1215">
        <v>10</v>
      </c>
      <c r="F1215" s="2" t="s">
        <v>8144</v>
      </c>
      <c r="G1215" s="2" t="s">
        <v>8145</v>
      </c>
      <c r="H1215" s="2" t="s">
        <v>5489</v>
      </c>
      <c r="I1215" s="2" t="s">
        <v>8146</v>
      </c>
      <c r="J1215" t="s">
        <v>5491</v>
      </c>
      <c r="L1215" s="1">
        <v>2</v>
      </c>
      <c r="M1215" s="1"/>
      <c r="N1215" s="1"/>
      <c r="O1215" s="3"/>
    </row>
    <row r="1216" spans="1:15" ht="409.6">
      <c r="A1216" t="s">
        <v>5499</v>
      </c>
      <c r="B1216" t="s">
        <v>5500</v>
      </c>
      <c r="C1216" t="s">
        <v>7263</v>
      </c>
      <c r="D1216" t="s">
        <v>23</v>
      </c>
      <c r="E1216">
        <v>20</v>
      </c>
      <c r="F1216" s="2" t="s">
        <v>8147</v>
      </c>
      <c r="G1216" s="2" t="s">
        <v>8148</v>
      </c>
      <c r="H1216" s="2" t="s">
        <v>5503</v>
      </c>
      <c r="I1216" s="2" t="s">
        <v>8149</v>
      </c>
      <c r="J1216" t="s">
        <v>5505</v>
      </c>
      <c r="L1216" s="1">
        <v>2</v>
      </c>
      <c r="M1216" s="1"/>
      <c r="N1216" s="1"/>
      <c r="O1216" s="3"/>
    </row>
    <row r="1217" spans="1:15" ht="409.6">
      <c r="A1217" t="s">
        <v>8150</v>
      </c>
      <c r="B1217" t="s">
        <v>8151</v>
      </c>
      <c r="C1217" t="s">
        <v>7263</v>
      </c>
      <c r="D1217" t="s">
        <v>23</v>
      </c>
      <c r="E1217">
        <v>25</v>
      </c>
      <c r="F1217" s="2" t="s">
        <v>8152</v>
      </c>
      <c r="G1217" s="2" t="s">
        <v>8153</v>
      </c>
      <c r="H1217" s="2" t="s">
        <v>8154</v>
      </c>
      <c r="I1217" s="2" t="s">
        <v>8155</v>
      </c>
      <c r="J1217" t="s">
        <v>8156</v>
      </c>
      <c r="L1217" s="1">
        <v>2</v>
      </c>
      <c r="M1217" s="1"/>
      <c r="N1217" s="1"/>
      <c r="O1217" s="3"/>
    </row>
    <row r="1218" spans="1:15" ht="409.6">
      <c r="A1218" t="s">
        <v>5587</v>
      </c>
      <c r="B1218" t="s">
        <v>5588</v>
      </c>
      <c r="C1218" t="s">
        <v>7263</v>
      </c>
      <c r="D1218" t="s">
        <v>23</v>
      </c>
      <c r="E1218">
        <v>5</v>
      </c>
      <c r="F1218" s="2" t="s">
        <v>8157</v>
      </c>
      <c r="G1218" s="2" t="s">
        <v>8158</v>
      </c>
      <c r="H1218" s="2" t="s">
        <v>8159</v>
      </c>
      <c r="I1218" s="2" t="s">
        <v>8160</v>
      </c>
      <c r="J1218" t="s">
        <v>8161</v>
      </c>
      <c r="L1218" s="1">
        <v>2</v>
      </c>
      <c r="M1218" s="1"/>
      <c r="N1218" s="1"/>
      <c r="O1218" s="3"/>
    </row>
    <row r="1219" spans="1:15" ht="409.6">
      <c r="A1219" t="s">
        <v>8162</v>
      </c>
      <c r="B1219" t="s">
        <v>8163</v>
      </c>
      <c r="C1219" t="s">
        <v>7263</v>
      </c>
      <c r="D1219" t="s">
        <v>23</v>
      </c>
      <c r="E1219">
        <v>5</v>
      </c>
      <c r="F1219" s="2" t="s">
        <v>8164</v>
      </c>
      <c r="G1219" s="2" t="s">
        <v>8165</v>
      </c>
      <c r="H1219" s="2" t="s">
        <v>8166</v>
      </c>
      <c r="I1219" s="2" t="s">
        <v>8167</v>
      </c>
      <c r="J1219" t="s">
        <v>8168</v>
      </c>
      <c r="L1219" s="1">
        <v>2</v>
      </c>
      <c r="M1219" s="1"/>
      <c r="N1219" s="1"/>
      <c r="O1219" s="3"/>
    </row>
    <row r="1220" spans="1:15" ht="409.6">
      <c r="A1220" t="s">
        <v>8169</v>
      </c>
      <c r="B1220" t="s">
        <v>8170</v>
      </c>
      <c r="C1220" t="s">
        <v>7263</v>
      </c>
      <c r="D1220" t="s">
        <v>23</v>
      </c>
      <c r="E1220">
        <v>5</v>
      </c>
      <c r="F1220" s="2" t="s">
        <v>8171</v>
      </c>
      <c r="G1220" s="2" t="s">
        <v>8172</v>
      </c>
      <c r="H1220" s="2" t="s">
        <v>8173</v>
      </c>
      <c r="I1220" s="2" t="s">
        <v>8174</v>
      </c>
      <c r="J1220" t="s">
        <v>8175</v>
      </c>
      <c r="L1220" s="1">
        <v>2</v>
      </c>
      <c r="M1220" s="1"/>
      <c r="N1220" s="1"/>
      <c r="O1220" s="3"/>
    </row>
    <row r="1221" spans="1:15" ht="409.6">
      <c r="A1221" t="s">
        <v>8176</v>
      </c>
      <c r="B1221" t="s">
        <v>8177</v>
      </c>
      <c r="C1221" t="s">
        <v>7263</v>
      </c>
      <c r="D1221" t="s">
        <v>23</v>
      </c>
      <c r="E1221">
        <v>15</v>
      </c>
      <c r="F1221" s="2" t="s">
        <v>8178</v>
      </c>
      <c r="G1221" s="2" t="s">
        <v>8179</v>
      </c>
      <c r="H1221" s="2" t="s">
        <v>8180</v>
      </c>
      <c r="I1221" s="2" t="s">
        <v>8181</v>
      </c>
      <c r="J1221" t="s">
        <v>8182</v>
      </c>
      <c r="L1221" s="1">
        <v>2</v>
      </c>
      <c r="M1221" s="1"/>
      <c r="N1221" s="1"/>
      <c r="O1221" s="3"/>
    </row>
    <row r="1222" spans="1:15" ht="409.6">
      <c r="A1222" t="s">
        <v>8183</v>
      </c>
      <c r="B1222" t="s">
        <v>8184</v>
      </c>
      <c r="C1222" t="s">
        <v>7263</v>
      </c>
      <c r="D1222" t="s">
        <v>23</v>
      </c>
      <c r="E1222">
        <v>10</v>
      </c>
      <c r="F1222" s="2" t="s">
        <v>8185</v>
      </c>
      <c r="G1222" s="2" t="s">
        <v>8186</v>
      </c>
      <c r="H1222" s="2" t="s">
        <v>8187</v>
      </c>
      <c r="I1222" s="2" t="s">
        <v>8188</v>
      </c>
      <c r="J1222" t="s">
        <v>8189</v>
      </c>
      <c r="L1222" s="1">
        <v>2</v>
      </c>
      <c r="M1222" s="1"/>
      <c r="N1222" s="1"/>
      <c r="O1222" s="3"/>
    </row>
    <row r="1223" spans="1:15" ht="409.6">
      <c r="A1223" t="s">
        <v>8190</v>
      </c>
      <c r="B1223" t="s">
        <v>8191</v>
      </c>
      <c r="C1223" t="s">
        <v>7263</v>
      </c>
      <c r="D1223" t="s">
        <v>23</v>
      </c>
      <c r="E1223">
        <v>15</v>
      </c>
      <c r="F1223" s="2" t="s">
        <v>8192</v>
      </c>
      <c r="G1223" s="2" t="s">
        <v>8193</v>
      </c>
      <c r="H1223" s="2" t="s">
        <v>8194</v>
      </c>
      <c r="I1223" s="2" t="s">
        <v>8195</v>
      </c>
      <c r="J1223" t="s">
        <v>8196</v>
      </c>
      <c r="L1223" s="1">
        <v>2</v>
      </c>
      <c r="M1223" s="1"/>
      <c r="N1223" s="1"/>
      <c r="O1223" s="3"/>
    </row>
    <row r="1224" spans="1:15" ht="409.6">
      <c r="A1224" t="s">
        <v>5613</v>
      </c>
      <c r="B1224" t="s">
        <v>5614</v>
      </c>
      <c r="C1224" t="s">
        <v>7263</v>
      </c>
      <c r="D1224" t="s">
        <v>23</v>
      </c>
      <c r="E1224">
        <v>20</v>
      </c>
      <c r="F1224" s="2" t="s">
        <v>8197</v>
      </c>
      <c r="G1224" s="2" t="s">
        <v>8198</v>
      </c>
      <c r="H1224" s="2" t="s">
        <v>8199</v>
      </c>
      <c r="I1224" s="2" t="s">
        <v>8200</v>
      </c>
      <c r="J1224" t="s">
        <v>8201</v>
      </c>
      <c r="L1224" s="1">
        <v>2</v>
      </c>
      <c r="M1224" s="1"/>
      <c r="N1224" s="1"/>
      <c r="O1224" s="3"/>
    </row>
    <row r="1225" spans="1:15" ht="409.6">
      <c r="A1225" t="s">
        <v>8202</v>
      </c>
      <c r="B1225" t="s">
        <v>8203</v>
      </c>
      <c r="C1225" t="s">
        <v>7263</v>
      </c>
      <c r="D1225" t="s">
        <v>23</v>
      </c>
      <c r="E1225">
        <v>5</v>
      </c>
      <c r="F1225" s="2" t="s">
        <v>8204</v>
      </c>
      <c r="G1225" s="2" t="s">
        <v>8205</v>
      </c>
      <c r="H1225" s="2" t="s">
        <v>8206</v>
      </c>
      <c r="I1225" s="2" t="s">
        <v>8207</v>
      </c>
      <c r="J1225" t="s">
        <v>8208</v>
      </c>
      <c r="L1225" s="1">
        <v>2</v>
      </c>
      <c r="M1225" s="1"/>
      <c r="N1225" s="1"/>
      <c r="O1225" s="3"/>
    </row>
    <row r="1226" spans="1:15" ht="409.6">
      <c r="A1226" t="s">
        <v>8209</v>
      </c>
      <c r="B1226" t="s">
        <v>8210</v>
      </c>
      <c r="C1226" t="s">
        <v>7263</v>
      </c>
      <c r="D1226" t="s">
        <v>23</v>
      </c>
      <c r="E1226">
        <v>5</v>
      </c>
      <c r="F1226" s="2" t="s">
        <v>8211</v>
      </c>
      <c r="G1226" s="2" t="s">
        <v>8212</v>
      </c>
      <c r="H1226" s="2" t="s">
        <v>8213</v>
      </c>
      <c r="I1226" s="2" t="s">
        <v>8214</v>
      </c>
      <c r="J1226" t="s">
        <v>8215</v>
      </c>
      <c r="L1226" s="1">
        <v>2</v>
      </c>
      <c r="M1226" s="1"/>
      <c r="N1226" s="1"/>
      <c r="O1226" s="3"/>
    </row>
    <row r="1227" spans="1:15" ht="409.6">
      <c r="A1227" t="s">
        <v>8216</v>
      </c>
      <c r="B1227" t="s">
        <v>8217</v>
      </c>
      <c r="C1227" t="s">
        <v>7263</v>
      </c>
      <c r="D1227" t="s">
        <v>23</v>
      </c>
      <c r="E1227">
        <v>5</v>
      </c>
      <c r="F1227" s="2" t="s">
        <v>8218</v>
      </c>
      <c r="G1227" s="2" t="s">
        <v>8219</v>
      </c>
      <c r="H1227" s="2" t="s">
        <v>8220</v>
      </c>
      <c r="I1227" s="2" t="s">
        <v>8221</v>
      </c>
      <c r="J1227" t="s">
        <v>8222</v>
      </c>
      <c r="L1227" s="1">
        <v>2</v>
      </c>
      <c r="M1227" s="1"/>
      <c r="N1227" s="1"/>
      <c r="O1227" s="3"/>
    </row>
    <row r="1228" spans="1:15" ht="409.6">
      <c r="A1228" t="s">
        <v>8223</v>
      </c>
      <c r="B1228" t="s">
        <v>8224</v>
      </c>
      <c r="C1228" t="s">
        <v>7263</v>
      </c>
      <c r="D1228" t="s">
        <v>23</v>
      </c>
      <c r="E1228">
        <v>10</v>
      </c>
      <c r="F1228" s="2" t="s">
        <v>8225</v>
      </c>
      <c r="G1228" s="2" t="s">
        <v>8226</v>
      </c>
      <c r="H1228" s="2" t="s">
        <v>8227</v>
      </c>
      <c r="I1228" s="2" t="s">
        <v>8228</v>
      </c>
      <c r="J1228" t="s">
        <v>8229</v>
      </c>
      <c r="L1228" s="1">
        <v>2</v>
      </c>
      <c r="M1228" s="1"/>
      <c r="N1228" s="1"/>
      <c r="O1228" s="3"/>
    </row>
    <row r="1229" spans="1:15" ht="409.6">
      <c r="A1229" t="s">
        <v>5662</v>
      </c>
      <c r="B1229" t="s">
        <v>5663</v>
      </c>
      <c r="C1229" t="s">
        <v>7263</v>
      </c>
      <c r="D1229" t="s">
        <v>23</v>
      </c>
      <c r="E1229">
        <v>20</v>
      </c>
      <c r="F1229" s="2" t="s">
        <v>8230</v>
      </c>
      <c r="G1229" s="2" t="s">
        <v>8231</v>
      </c>
      <c r="H1229" s="2" t="s">
        <v>5666</v>
      </c>
      <c r="I1229" s="2" t="s">
        <v>8232</v>
      </c>
      <c r="J1229" t="s">
        <v>8233</v>
      </c>
      <c r="K1229" t="s">
        <v>5669</v>
      </c>
      <c r="L1229" s="1">
        <v>2</v>
      </c>
      <c r="M1229" s="1"/>
      <c r="N1229" s="1"/>
      <c r="O1229" s="3"/>
    </row>
    <row r="1230" spans="1:15" ht="409.6">
      <c r="A1230" t="s">
        <v>8234</v>
      </c>
      <c r="B1230" t="s">
        <v>8235</v>
      </c>
      <c r="C1230" t="s">
        <v>7263</v>
      </c>
      <c r="D1230" t="s">
        <v>23</v>
      </c>
      <c r="E1230">
        <v>5</v>
      </c>
      <c r="F1230" s="2" t="s">
        <v>8236</v>
      </c>
      <c r="G1230" s="2" t="s">
        <v>8237</v>
      </c>
      <c r="H1230" s="2" t="s">
        <v>8238</v>
      </c>
      <c r="I1230" s="2" t="s">
        <v>8239</v>
      </c>
      <c r="J1230" t="s">
        <v>8240</v>
      </c>
      <c r="L1230" s="1">
        <v>2</v>
      </c>
      <c r="M1230" s="1"/>
      <c r="N1230" s="1"/>
      <c r="O1230" s="3"/>
    </row>
    <row r="1231" spans="1:15" ht="409.6">
      <c r="A1231" t="s">
        <v>8241</v>
      </c>
      <c r="B1231" t="s">
        <v>8242</v>
      </c>
      <c r="C1231" t="s">
        <v>7263</v>
      </c>
      <c r="D1231" t="s">
        <v>23</v>
      </c>
      <c r="E1231">
        <v>20</v>
      </c>
      <c r="F1231" s="2" t="s">
        <v>8243</v>
      </c>
      <c r="G1231" s="2" t="s">
        <v>8244</v>
      </c>
      <c r="H1231" s="2" t="s">
        <v>8245</v>
      </c>
      <c r="I1231" s="2" t="s">
        <v>8246</v>
      </c>
      <c r="J1231" t="s">
        <v>8247</v>
      </c>
      <c r="L1231" s="1">
        <v>2</v>
      </c>
      <c r="M1231" s="1"/>
      <c r="N1231" s="1"/>
      <c r="O1231" s="3"/>
    </row>
    <row r="1232" spans="1:15" ht="409.6">
      <c r="A1232" t="s">
        <v>8248</v>
      </c>
      <c r="B1232" t="s">
        <v>8249</v>
      </c>
      <c r="C1232" t="s">
        <v>7263</v>
      </c>
      <c r="D1232" t="s">
        <v>23</v>
      </c>
      <c r="E1232">
        <v>20</v>
      </c>
      <c r="F1232" s="2" t="s">
        <v>8250</v>
      </c>
      <c r="G1232" s="2" t="s">
        <v>8251</v>
      </c>
      <c r="H1232" s="2" t="s">
        <v>8252</v>
      </c>
      <c r="I1232" s="2" t="s">
        <v>8253</v>
      </c>
      <c r="J1232" t="s">
        <v>8254</v>
      </c>
      <c r="L1232" s="1">
        <v>2</v>
      </c>
      <c r="M1232" s="1"/>
      <c r="N1232" s="1"/>
      <c r="O1232" s="3"/>
    </row>
    <row r="1233" spans="1:15" ht="409.6">
      <c r="A1233" t="s">
        <v>5709</v>
      </c>
      <c r="B1233" t="s">
        <v>8255</v>
      </c>
      <c r="C1233" t="s">
        <v>7263</v>
      </c>
      <c r="D1233" t="s">
        <v>23</v>
      </c>
      <c r="E1233">
        <v>30</v>
      </c>
      <c r="F1233" s="2" t="s">
        <v>8256</v>
      </c>
      <c r="G1233" s="2" t="s">
        <v>8257</v>
      </c>
      <c r="H1233" s="2" t="s">
        <v>8258</v>
      </c>
      <c r="I1233" s="2" t="s">
        <v>8259</v>
      </c>
      <c r="J1233" t="s">
        <v>5715</v>
      </c>
      <c r="L1233" s="1">
        <v>2</v>
      </c>
      <c r="M1233" s="1"/>
      <c r="N1233" s="1"/>
      <c r="O1233" s="3"/>
    </row>
    <row r="1234" spans="1:15" ht="409.6">
      <c r="A1234" t="s">
        <v>8260</v>
      </c>
      <c r="B1234" t="s">
        <v>1447</v>
      </c>
      <c r="C1234" t="s">
        <v>7263</v>
      </c>
      <c r="D1234" t="s">
        <v>23</v>
      </c>
      <c r="E1234">
        <v>15</v>
      </c>
      <c r="F1234" s="2" t="s">
        <v>8261</v>
      </c>
      <c r="G1234" s="2" t="s">
        <v>8262</v>
      </c>
      <c r="H1234" s="2" t="s">
        <v>8263</v>
      </c>
      <c r="I1234" s="2" t="s">
        <v>8264</v>
      </c>
      <c r="J1234" t="s">
        <v>8265</v>
      </c>
      <c r="L1234" s="1">
        <v>2</v>
      </c>
      <c r="M1234" s="1"/>
      <c r="N1234" s="1"/>
      <c r="O1234" s="3"/>
    </row>
    <row r="1235" spans="1:15" ht="409.6">
      <c r="A1235" t="s">
        <v>8266</v>
      </c>
      <c r="B1235" t="s">
        <v>8267</v>
      </c>
      <c r="C1235" t="s">
        <v>7263</v>
      </c>
      <c r="D1235" t="s">
        <v>23</v>
      </c>
      <c r="E1235">
        <v>5</v>
      </c>
      <c r="F1235" s="2" t="s">
        <v>8268</v>
      </c>
      <c r="G1235" s="2" t="s">
        <v>8269</v>
      </c>
      <c r="H1235" s="2" t="s">
        <v>8270</v>
      </c>
      <c r="I1235" s="2" t="s">
        <v>8271</v>
      </c>
      <c r="J1235" t="s">
        <v>8272</v>
      </c>
      <c r="L1235" s="1">
        <v>2</v>
      </c>
      <c r="M1235" s="1"/>
      <c r="N1235" s="1"/>
      <c r="O1235" s="3"/>
    </row>
    <row r="1236" spans="1:15" ht="409.6">
      <c r="A1236" t="s">
        <v>3937</v>
      </c>
      <c r="B1236" t="s">
        <v>3938</v>
      </c>
      <c r="C1236" t="s">
        <v>7263</v>
      </c>
      <c r="D1236" t="s">
        <v>23</v>
      </c>
      <c r="E1236">
        <v>5</v>
      </c>
      <c r="F1236" s="2" t="s">
        <v>3939</v>
      </c>
      <c r="G1236" s="2" t="s">
        <v>3940</v>
      </c>
      <c r="H1236" s="2" t="s">
        <v>5743</v>
      </c>
      <c r="I1236" s="2" t="s">
        <v>8273</v>
      </c>
      <c r="J1236" t="s">
        <v>5745</v>
      </c>
      <c r="L1236" s="1">
        <v>2</v>
      </c>
      <c r="M1236" s="1"/>
      <c r="N1236" s="1"/>
      <c r="O1236" s="3"/>
    </row>
    <row r="1237" spans="1:15" ht="409.6">
      <c r="A1237" t="s">
        <v>5808</v>
      </c>
      <c r="B1237" t="s">
        <v>5809</v>
      </c>
      <c r="C1237" t="s">
        <v>7263</v>
      </c>
      <c r="D1237" t="s">
        <v>23</v>
      </c>
      <c r="E1237">
        <v>5</v>
      </c>
      <c r="F1237" s="2" t="s">
        <v>8274</v>
      </c>
      <c r="G1237" s="2" t="s">
        <v>5811</v>
      </c>
      <c r="H1237" s="2" t="s">
        <v>8275</v>
      </c>
      <c r="I1237" s="2" t="s">
        <v>8276</v>
      </c>
      <c r="J1237" t="s">
        <v>5980</v>
      </c>
      <c r="L1237" s="1">
        <v>2</v>
      </c>
      <c r="M1237" s="1"/>
      <c r="N1237" s="1"/>
      <c r="O1237" s="3"/>
    </row>
    <row r="1238" spans="1:15" ht="409.6">
      <c r="A1238" t="s">
        <v>8277</v>
      </c>
      <c r="B1238" t="s">
        <v>8278</v>
      </c>
      <c r="C1238" t="s">
        <v>7263</v>
      </c>
      <c r="D1238" t="s">
        <v>23</v>
      </c>
      <c r="E1238">
        <v>10</v>
      </c>
      <c r="F1238" s="2" t="s">
        <v>8279</v>
      </c>
      <c r="G1238" s="2" t="s">
        <v>8280</v>
      </c>
      <c r="H1238" s="2" t="s">
        <v>8281</v>
      </c>
      <c r="I1238" s="2" t="s">
        <v>8282</v>
      </c>
      <c r="J1238" t="s">
        <v>8283</v>
      </c>
      <c r="L1238" s="1">
        <v>2</v>
      </c>
      <c r="M1238" s="1"/>
      <c r="N1238" s="1"/>
      <c r="O1238" s="3"/>
    </row>
    <row r="1239" spans="1:15" ht="409.6">
      <c r="A1239" t="s">
        <v>5815</v>
      </c>
      <c r="B1239" t="s">
        <v>5816</v>
      </c>
      <c r="C1239" t="s">
        <v>7263</v>
      </c>
      <c r="D1239" t="s">
        <v>23</v>
      </c>
      <c r="E1239">
        <v>20</v>
      </c>
      <c r="F1239" s="2" t="s">
        <v>8284</v>
      </c>
      <c r="G1239" s="2" t="s">
        <v>8285</v>
      </c>
      <c r="H1239" s="2" t="s">
        <v>5819</v>
      </c>
      <c r="I1239" s="2" t="s">
        <v>5820</v>
      </c>
      <c r="J1239" t="s">
        <v>8286</v>
      </c>
      <c r="L1239" s="1">
        <v>2</v>
      </c>
      <c r="M1239" s="1"/>
      <c r="N1239" s="1"/>
      <c r="O1239" s="3"/>
    </row>
    <row r="1240" spans="1:15" ht="409.6">
      <c r="A1240" t="s">
        <v>8287</v>
      </c>
      <c r="B1240" t="s">
        <v>8288</v>
      </c>
      <c r="C1240" t="s">
        <v>7263</v>
      </c>
      <c r="D1240" t="s">
        <v>23</v>
      </c>
      <c r="E1240">
        <v>20</v>
      </c>
      <c r="F1240" s="2" t="s">
        <v>8289</v>
      </c>
      <c r="G1240" s="2" t="s">
        <v>8290</v>
      </c>
      <c r="H1240" s="2" t="s">
        <v>8291</v>
      </c>
      <c r="I1240" s="2" t="s">
        <v>8292</v>
      </c>
      <c r="J1240" t="s">
        <v>8293</v>
      </c>
      <c r="L1240" s="1">
        <v>2</v>
      </c>
      <c r="M1240" s="1"/>
      <c r="N1240" s="1"/>
      <c r="O1240" s="3"/>
    </row>
    <row r="1241" spans="1:15" ht="409.6">
      <c r="A1241" t="s">
        <v>5822</v>
      </c>
      <c r="B1241" t="s">
        <v>5823</v>
      </c>
      <c r="C1241" t="s">
        <v>7263</v>
      </c>
      <c r="D1241" t="s">
        <v>23</v>
      </c>
      <c r="E1241">
        <v>20</v>
      </c>
      <c r="F1241" s="2" t="s">
        <v>8294</v>
      </c>
      <c r="G1241" s="2" t="s">
        <v>8295</v>
      </c>
      <c r="H1241" s="2" t="s">
        <v>8296</v>
      </c>
      <c r="I1241" s="2" t="s">
        <v>5827</v>
      </c>
      <c r="J1241" t="s">
        <v>5828</v>
      </c>
      <c r="L1241" s="1">
        <v>2</v>
      </c>
      <c r="M1241" s="1"/>
      <c r="N1241" s="1"/>
      <c r="O1241" s="3"/>
    </row>
    <row r="1242" spans="1:15" ht="409.6">
      <c r="A1242" t="s">
        <v>5839</v>
      </c>
      <c r="B1242" t="s">
        <v>5840</v>
      </c>
      <c r="C1242" t="s">
        <v>7263</v>
      </c>
      <c r="D1242" t="s">
        <v>23</v>
      </c>
      <c r="E1242">
        <v>10</v>
      </c>
      <c r="F1242" s="2" t="s">
        <v>8297</v>
      </c>
      <c r="G1242" s="2" t="s">
        <v>8298</v>
      </c>
      <c r="H1242" s="2" t="s">
        <v>5843</v>
      </c>
      <c r="I1242" s="2" t="s">
        <v>5844</v>
      </c>
      <c r="J1242" t="s">
        <v>5845</v>
      </c>
      <c r="L1242" s="1">
        <v>2</v>
      </c>
      <c r="M1242" s="1"/>
      <c r="N1242" s="1"/>
      <c r="O1242" s="3"/>
    </row>
    <row r="1243" spans="1:15" ht="409.6">
      <c r="A1243" t="s">
        <v>5846</v>
      </c>
      <c r="B1243" t="s">
        <v>5847</v>
      </c>
      <c r="C1243" t="s">
        <v>7263</v>
      </c>
      <c r="D1243" t="s">
        <v>23</v>
      </c>
      <c r="E1243">
        <v>10</v>
      </c>
      <c r="F1243" s="2" t="s">
        <v>8299</v>
      </c>
      <c r="G1243" s="2" t="s">
        <v>5849</v>
      </c>
      <c r="H1243" s="2" t="s">
        <v>5850</v>
      </c>
      <c r="I1243" s="2" t="s">
        <v>8300</v>
      </c>
      <c r="J1243" t="s">
        <v>8301</v>
      </c>
      <c r="K1243" t="s">
        <v>8302</v>
      </c>
      <c r="L1243" s="1">
        <v>2</v>
      </c>
      <c r="M1243" s="1"/>
      <c r="N1243" s="1"/>
      <c r="O1243" s="3"/>
    </row>
    <row r="1244" spans="1:15" ht="409.6">
      <c r="A1244" t="s">
        <v>5853</v>
      </c>
      <c r="B1244" t="s">
        <v>5854</v>
      </c>
      <c r="C1244" t="s">
        <v>7263</v>
      </c>
      <c r="D1244" t="s">
        <v>23</v>
      </c>
      <c r="E1244">
        <v>10</v>
      </c>
      <c r="F1244" s="2" t="s">
        <v>8303</v>
      </c>
      <c r="G1244" s="2" t="s">
        <v>8304</v>
      </c>
      <c r="H1244" s="2" t="s">
        <v>5857</v>
      </c>
      <c r="I1244" s="2" t="s">
        <v>8305</v>
      </c>
      <c r="J1244" t="s">
        <v>8306</v>
      </c>
      <c r="L1244" s="1">
        <v>2</v>
      </c>
      <c r="M1244" s="1"/>
      <c r="N1244" s="1"/>
      <c r="O1244" s="3"/>
    </row>
    <row r="1245" spans="1:15" ht="409.6">
      <c r="A1245" t="s">
        <v>5860</v>
      </c>
      <c r="B1245" t="s">
        <v>8307</v>
      </c>
      <c r="C1245" t="s">
        <v>7263</v>
      </c>
      <c r="D1245" t="s">
        <v>23</v>
      </c>
      <c r="E1245">
        <v>10</v>
      </c>
      <c r="F1245" s="2" t="s">
        <v>8308</v>
      </c>
      <c r="G1245" s="2" t="s">
        <v>8309</v>
      </c>
      <c r="H1245" s="2" t="s">
        <v>8310</v>
      </c>
      <c r="I1245" s="2" t="s">
        <v>8311</v>
      </c>
      <c r="J1245" t="s">
        <v>8312</v>
      </c>
      <c r="L1245" s="1">
        <v>2</v>
      </c>
      <c r="M1245" s="1"/>
      <c r="N1245" s="1"/>
      <c r="O1245" s="3"/>
    </row>
    <row r="1246" spans="1:15" ht="409.6">
      <c r="A1246" t="s">
        <v>8313</v>
      </c>
      <c r="B1246" t="s">
        <v>8314</v>
      </c>
      <c r="C1246" t="s">
        <v>7263</v>
      </c>
      <c r="D1246" t="s">
        <v>23</v>
      </c>
      <c r="E1246">
        <v>20</v>
      </c>
      <c r="F1246" s="2" t="s">
        <v>8315</v>
      </c>
      <c r="G1246" s="2" t="s">
        <v>8316</v>
      </c>
      <c r="H1246" s="2" t="s">
        <v>8317</v>
      </c>
      <c r="I1246" s="2" t="s">
        <v>8318</v>
      </c>
      <c r="J1246" t="s">
        <v>8319</v>
      </c>
      <c r="L1246" s="1">
        <v>2</v>
      </c>
      <c r="M1246" s="1"/>
      <c r="N1246" s="1"/>
      <c r="O1246" s="3"/>
    </row>
    <row r="1247" spans="1:15" ht="409.6">
      <c r="A1247" t="s">
        <v>5867</v>
      </c>
      <c r="B1247" t="s">
        <v>5868</v>
      </c>
      <c r="C1247" t="s">
        <v>7263</v>
      </c>
      <c r="D1247" t="s">
        <v>23</v>
      </c>
      <c r="E1247">
        <v>10</v>
      </c>
      <c r="F1247" s="2" t="s">
        <v>8320</v>
      </c>
      <c r="G1247" s="2" t="s">
        <v>8321</v>
      </c>
      <c r="H1247" s="2" t="s">
        <v>5871</v>
      </c>
      <c r="I1247" s="2" t="s">
        <v>5872</v>
      </c>
      <c r="J1247" t="s">
        <v>8322</v>
      </c>
      <c r="L1247" s="1">
        <v>2</v>
      </c>
      <c r="M1247" s="1"/>
      <c r="N1247" s="1"/>
      <c r="O1247" s="3"/>
    </row>
    <row r="1248" spans="1:15" ht="409.6">
      <c r="A1248" t="s">
        <v>5881</v>
      </c>
      <c r="B1248" t="s">
        <v>5882</v>
      </c>
      <c r="C1248" t="s">
        <v>7263</v>
      </c>
      <c r="D1248" t="s">
        <v>23</v>
      </c>
      <c r="E1248">
        <v>10</v>
      </c>
      <c r="F1248" s="2" t="s">
        <v>8323</v>
      </c>
      <c r="G1248" s="2" t="s">
        <v>5884</v>
      </c>
      <c r="H1248" s="2" t="s">
        <v>8324</v>
      </c>
      <c r="I1248" s="2" t="s">
        <v>8325</v>
      </c>
      <c r="J1248" t="s">
        <v>5887</v>
      </c>
      <c r="L1248" s="1">
        <v>2</v>
      </c>
      <c r="M1248" s="1"/>
      <c r="N1248" s="1"/>
      <c r="O1248" s="3"/>
    </row>
    <row r="1249" spans="1:15" ht="409.6">
      <c r="A1249" t="s">
        <v>5906</v>
      </c>
      <c r="B1249" t="s">
        <v>5907</v>
      </c>
      <c r="C1249" t="s">
        <v>7263</v>
      </c>
      <c r="D1249" t="s">
        <v>23</v>
      </c>
      <c r="E1249">
        <v>20</v>
      </c>
      <c r="F1249" s="2" t="s">
        <v>5908</v>
      </c>
      <c r="G1249" s="2" t="s">
        <v>5909</v>
      </c>
      <c r="H1249" s="2" t="s">
        <v>5910</v>
      </c>
      <c r="I1249" s="2" t="s">
        <v>5911</v>
      </c>
      <c r="J1249" t="s">
        <v>8326</v>
      </c>
      <c r="L1249" s="1">
        <v>2</v>
      </c>
      <c r="M1249" s="1"/>
      <c r="N1249" s="1"/>
      <c r="O1249" s="3"/>
    </row>
    <row r="1250" spans="1:15" ht="409.6">
      <c r="A1250" t="s">
        <v>5941</v>
      </c>
      <c r="B1250" t="s">
        <v>8327</v>
      </c>
      <c r="C1250" t="s">
        <v>7263</v>
      </c>
      <c r="D1250" t="s">
        <v>23</v>
      </c>
      <c r="E1250">
        <v>15</v>
      </c>
      <c r="F1250" s="2" t="s">
        <v>8328</v>
      </c>
      <c r="G1250" s="2" t="s">
        <v>8329</v>
      </c>
      <c r="H1250" s="2" t="s">
        <v>8330</v>
      </c>
      <c r="I1250" s="2" t="s">
        <v>8331</v>
      </c>
      <c r="J1250" t="s">
        <v>5947</v>
      </c>
      <c r="L1250" s="1">
        <v>2</v>
      </c>
      <c r="M1250" s="1"/>
      <c r="N1250" s="1"/>
      <c r="O1250" s="3"/>
    </row>
    <row r="1251" spans="1:15" ht="409.6">
      <c r="A1251" t="s">
        <v>8332</v>
      </c>
      <c r="B1251" t="s">
        <v>8333</v>
      </c>
      <c r="C1251" t="s">
        <v>7263</v>
      </c>
      <c r="D1251" t="s">
        <v>23</v>
      </c>
      <c r="E1251">
        <v>10</v>
      </c>
      <c r="F1251" s="2" t="s">
        <v>8334</v>
      </c>
      <c r="G1251" s="2" t="s">
        <v>8335</v>
      </c>
      <c r="H1251" s="2" t="s">
        <v>8336</v>
      </c>
      <c r="I1251" s="2" t="s">
        <v>8337</v>
      </c>
      <c r="J1251" t="s">
        <v>8338</v>
      </c>
      <c r="L1251" s="1">
        <v>2</v>
      </c>
      <c r="M1251" s="1"/>
      <c r="N1251" s="1"/>
      <c r="O1251" s="3"/>
    </row>
    <row r="1252" spans="1:15" ht="409.6">
      <c r="A1252" t="s">
        <v>5974</v>
      </c>
      <c r="B1252" t="s">
        <v>5975</v>
      </c>
      <c r="C1252" t="s">
        <v>7263</v>
      </c>
      <c r="D1252" t="s">
        <v>23</v>
      </c>
      <c r="E1252">
        <v>10</v>
      </c>
      <c r="F1252" s="2" t="s">
        <v>8339</v>
      </c>
      <c r="G1252" s="2" t="s">
        <v>8340</v>
      </c>
      <c r="H1252" s="2" t="s">
        <v>8341</v>
      </c>
      <c r="I1252" s="2" t="s">
        <v>8342</v>
      </c>
      <c r="J1252" t="s">
        <v>8343</v>
      </c>
      <c r="L1252" s="1">
        <v>2</v>
      </c>
      <c r="M1252" s="1"/>
      <c r="N1252" s="1"/>
      <c r="O1252" s="3"/>
    </row>
    <row r="1253" spans="1:15" ht="409.6">
      <c r="A1253" t="s">
        <v>8344</v>
      </c>
      <c r="B1253" t="s">
        <v>8345</v>
      </c>
      <c r="C1253" t="s">
        <v>7263</v>
      </c>
      <c r="D1253" t="s">
        <v>23</v>
      </c>
      <c r="E1253">
        <v>5</v>
      </c>
      <c r="F1253" s="2" t="s">
        <v>8346</v>
      </c>
      <c r="G1253" s="2" t="s">
        <v>8347</v>
      </c>
      <c r="H1253" s="2" t="s">
        <v>8348</v>
      </c>
      <c r="I1253" s="2" t="s">
        <v>8349</v>
      </c>
      <c r="J1253" t="s">
        <v>8350</v>
      </c>
      <c r="L1253" s="1">
        <v>2</v>
      </c>
      <c r="M1253" s="1"/>
      <c r="N1253" s="1"/>
      <c r="O1253" s="3"/>
    </row>
    <row r="1254" spans="1:15" ht="409.6">
      <c r="A1254" t="s">
        <v>6002</v>
      </c>
      <c r="B1254" t="s">
        <v>6003</v>
      </c>
      <c r="C1254" t="s">
        <v>7263</v>
      </c>
      <c r="D1254" t="s">
        <v>23</v>
      </c>
      <c r="E1254">
        <v>10</v>
      </c>
      <c r="F1254" s="2" t="s">
        <v>8351</v>
      </c>
      <c r="G1254" s="2" t="s">
        <v>8352</v>
      </c>
      <c r="H1254" s="2" t="s">
        <v>8353</v>
      </c>
      <c r="I1254" s="2" t="s">
        <v>8354</v>
      </c>
      <c r="J1254" t="s">
        <v>8355</v>
      </c>
      <c r="L1254" s="1">
        <v>2</v>
      </c>
      <c r="M1254" s="1"/>
      <c r="N1254" s="1"/>
      <c r="O1254" s="3"/>
    </row>
    <row r="1255" spans="1:15" ht="409.6">
      <c r="A1255" t="s">
        <v>6009</v>
      </c>
      <c r="B1255" t="s">
        <v>6010</v>
      </c>
      <c r="C1255" t="s">
        <v>7263</v>
      </c>
      <c r="D1255" t="s">
        <v>23</v>
      </c>
      <c r="E1255">
        <v>10</v>
      </c>
      <c r="F1255" s="2" t="s">
        <v>8356</v>
      </c>
      <c r="G1255" s="2" t="s">
        <v>8357</v>
      </c>
      <c r="H1255" s="2" t="s">
        <v>6013</v>
      </c>
      <c r="I1255" s="2" t="s">
        <v>8358</v>
      </c>
      <c r="J1255" t="s">
        <v>8359</v>
      </c>
      <c r="L1255" s="1">
        <v>2</v>
      </c>
      <c r="M1255" s="1"/>
      <c r="N1255" s="1"/>
      <c r="O1255" s="3"/>
    </row>
    <row r="1256" spans="1:15" ht="409.6">
      <c r="A1256" t="s">
        <v>6028</v>
      </c>
      <c r="B1256" t="s">
        <v>6029</v>
      </c>
      <c r="C1256" t="s">
        <v>7263</v>
      </c>
      <c r="D1256" t="s">
        <v>23</v>
      </c>
      <c r="E1256">
        <v>10</v>
      </c>
      <c r="F1256" s="2" t="s">
        <v>8360</v>
      </c>
      <c r="G1256" s="2" t="s">
        <v>8361</v>
      </c>
      <c r="H1256" s="2" t="s">
        <v>8362</v>
      </c>
      <c r="I1256" s="2" t="s">
        <v>8363</v>
      </c>
      <c r="J1256" t="s">
        <v>8364</v>
      </c>
      <c r="L1256" s="1">
        <v>2</v>
      </c>
      <c r="M1256" s="1"/>
      <c r="N1256" s="1"/>
      <c r="O1256" s="3"/>
    </row>
    <row r="1257" spans="1:15" ht="409.6">
      <c r="A1257" t="s">
        <v>2539</v>
      </c>
      <c r="B1257" t="s">
        <v>2540</v>
      </c>
      <c r="C1257" t="s">
        <v>7263</v>
      </c>
      <c r="D1257" t="s">
        <v>23</v>
      </c>
      <c r="E1257">
        <v>10</v>
      </c>
      <c r="F1257" s="2" t="s">
        <v>8365</v>
      </c>
      <c r="G1257" s="2" t="s">
        <v>8366</v>
      </c>
      <c r="H1257" s="2" t="s">
        <v>6051</v>
      </c>
      <c r="I1257" s="2" t="s">
        <v>8367</v>
      </c>
      <c r="J1257" t="s">
        <v>6053</v>
      </c>
      <c r="K1257" t="s">
        <v>6054</v>
      </c>
      <c r="L1257" s="1">
        <v>2</v>
      </c>
      <c r="M1257" s="1"/>
      <c r="N1257" s="1"/>
      <c r="O1257" s="3"/>
    </row>
    <row r="1258" spans="1:15" ht="409.6">
      <c r="A1258" t="s">
        <v>6062</v>
      </c>
      <c r="B1258" t="s">
        <v>6063</v>
      </c>
      <c r="C1258" t="s">
        <v>7263</v>
      </c>
      <c r="D1258" t="s">
        <v>23</v>
      </c>
      <c r="E1258">
        <v>20</v>
      </c>
      <c r="F1258" s="2" t="s">
        <v>6064</v>
      </c>
      <c r="G1258" s="2" t="s">
        <v>6065</v>
      </c>
      <c r="H1258" s="2" t="s">
        <v>8368</v>
      </c>
      <c r="I1258" s="2" t="s">
        <v>6067</v>
      </c>
      <c r="J1258" t="s">
        <v>8369</v>
      </c>
      <c r="L1258" s="1">
        <v>2</v>
      </c>
      <c r="M1258" s="1"/>
      <c r="N1258" s="1"/>
      <c r="O1258" s="3"/>
    </row>
    <row r="1259" spans="1:15" ht="409.6">
      <c r="A1259" t="s">
        <v>6083</v>
      </c>
      <c r="B1259" t="s">
        <v>6084</v>
      </c>
      <c r="C1259" t="s">
        <v>7263</v>
      </c>
      <c r="D1259" t="s">
        <v>23</v>
      </c>
      <c r="E1259">
        <v>20</v>
      </c>
      <c r="F1259" s="2" t="s">
        <v>8370</v>
      </c>
      <c r="G1259" s="2" t="s">
        <v>8371</v>
      </c>
      <c r="H1259" s="2" t="s">
        <v>6087</v>
      </c>
      <c r="I1259" s="2" t="s">
        <v>6088</v>
      </c>
      <c r="J1259" t="s">
        <v>8372</v>
      </c>
      <c r="L1259" s="1">
        <v>2</v>
      </c>
      <c r="M1259" s="1"/>
      <c r="N1259" s="1"/>
      <c r="O1259" s="3"/>
    </row>
    <row r="1260" spans="1:15" ht="409.6">
      <c r="A1260" t="s">
        <v>8373</v>
      </c>
      <c r="B1260" t="s">
        <v>8374</v>
      </c>
      <c r="C1260" t="s">
        <v>7263</v>
      </c>
      <c r="D1260" t="s">
        <v>23</v>
      </c>
      <c r="E1260">
        <v>20</v>
      </c>
      <c r="F1260" s="2" t="s">
        <v>8375</v>
      </c>
      <c r="G1260" s="2" t="s">
        <v>8376</v>
      </c>
      <c r="H1260" s="2" t="s">
        <v>8377</v>
      </c>
      <c r="I1260" s="2" t="s">
        <v>8378</v>
      </c>
      <c r="J1260" t="s">
        <v>8379</v>
      </c>
      <c r="L1260" s="1">
        <v>2</v>
      </c>
      <c r="M1260" s="1"/>
      <c r="N1260" s="1"/>
      <c r="O1260" s="3"/>
    </row>
    <row r="1261" spans="1:15" ht="409.6">
      <c r="A1261" t="s">
        <v>2238</v>
      </c>
      <c r="B1261" t="s">
        <v>2239</v>
      </c>
      <c r="C1261" t="s">
        <v>7263</v>
      </c>
      <c r="D1261" t="s">
        <v>23</v>
      </c>
      <c r="E1261">
        <v>20</v>
      </c>
      <c r="F1261" s="2" t="s">
        <v>8380</v>
      </c>
      <c r="G1261" s="2" t="s">
        <v>8381</v>
      </c>
      <c r="H1261" s="2" t="s">
        <v>8382</v>
      </c>
      <c r="I1261" s="2" t="s">
        <v>8383</v>
      </c>
      <c r="J1261" t="s">
        <v>8384</v>
      </c>
      <c r="L1261" s="1">
        <v>2</v>
      </c>
      <c r="M1261" s="1"/>
      <c r="N1261" s="1"/>
      <c r="O1261" s="3"/>
    </row>
    <row r="1262" spans="1:15" ht="409.6">
      <c r="A1262" t="s">
        <v>8385</v>
      </c>
      <c r="B1262" t="s">
        <v>8386</v>
      </c>
      <c r="C1262" t="s">
        <v>7263</v>
      </c>
      <c r="D1262" t="s">
        <v>23</v>
      </c>
      <c r="E1262">
        <v>10</v>
      </c>
      <c r="F1262" s="2" t="s">
        <v>8387</v>
      </c>
      <c r="G1262" s="2" t="s">
        <v>8388</v>
      </c>
      <c r="H1262" s="2" t="s">
        <v>8389</v>
      </c>
      <c r="I1262" s="2" t="s">
        <v>8390</v>
      </c>
      <c r="J1262" t="s">
        <v>8391</v>
      </c>
      <c r="L1262" s="1">
        <v>2</v>
      </c>
      <c r="M1262" s="1"/>
      <c r="N1262" s="1"/>
      <c r="O1262" s="3"/>
    </row>
    <row r="1263" spans="1:15" ht="409.6">
      <c r="A1263" t="s">
        <v>8392</v>
      </c>
      <c r="B1263" t="s">
        <v>8393</v>
      </c>
      <c r="C1263" t="s">
        <v>7263</v>
      </c>
      <c r="D1263" t="s">
        <v>23</v>
      </c>
      <c r="E1263">
        <v>5</v>
      </c>
      <c r="F1263" s="2" t="s">
        <v>8394</v>
      </c>
      <c r="G1263" s="2" t="s">
        <v>8395</v>
      </c>
      <c r="H1263" s="2" t="s">
        <v>8396</v>
      </c>
      <c r="I1263" s="2" t="s">
        <v>8397</v>
      </c>
      <c r="J1263" t="s">
        <v>8398</v>
      </c>
      <c r="L1263" s="1">
        <v>2</v>
      </c>
      <c r="M1263" s="1"/>
      <c r="N1263" s="1"/>
      <c r="O1263" s="3"/>
    </row>
    <row r="1264" spans="1:15" ht="409.6">
      <c r="A1264" t="s">
        <v>8399</v>
      </c>
      <c r="B1264" t="s">
        <v>8400</v>
      </c>
      <c r="C1264" t="s">
        <v>7263</v>
      </c>
      <c r="D1264" t="s">
        <v>23</v>
      </c>
      <c r="E1264">
        <v>10</v>
      </c>
      <c r="F1264" s="2" t="s">
        <v>8401</v>
      </c>
      <c r="G1264" s="2" t="s">
        <v>8402</v>
      </c>
      <c r="H1264" s="2" t="s">
        <v>8403</v>
      </c>
      <c r="I1264" s="2" t="s">
        <v>8404</v>
      </c>
      <c r="J1264" t="s">
        <v>8405</v>
      </c>
      <c r="L1264" s="1">
        <v>2</v>
      </c>
      <c r="M1264" s="1"/>
      <c r="N1264" s="1"/>
      <c r="O1264" s="3"/>
    </row>
    <row r="1265" spans="1:15" ht="409.6">
      <c r="A1265" t="s">
        <v>8406</v>
      </c>
      <c r="B1265" t="s">
        <v>2713</v>
      </c>
      <c r="C1265" t="s">
        <v>7263</v>
      </c>
      <c r="D1265" t="s">
        <v>23</v>
      </c>
      <c r="E1265">
        <v>10</v>
      </c>
      <c r="F1265" s="2" t="s">
        <v>8407</v>
      </c>
      <c r="G1265" s="2" t="s">
        <v>8408</v>
      </c>
      <c r="H1265" s="2" t="s">
        <v>8409</v>
      </c>
      <c r="I1265" s="2" t="s">
        <v>8410</v>
      </c>
      <c r="J1265" t="s">
        <v>8411</v>
      </c>
      <c r="K1265" t="s">
        <v>8412</v>
      </c>
      <c r="L1265" s="1">
        <v>2</v>
      </c>
      <c r="M1265" s="1"/>
      <c r="N1265" s="1"/>
      <c r="O1265" s="3"/>
    </row>
    <row r="1266" spans="1:15" ht="409.6">
      <c r="A1266" t="s">
        <v>6183</v>
      </c>
      <c r="B1266" t="s">
        <v>6184</v>
      </c>
      <c r="C1266" t="s">
        <v>7263</v>
      </c>
      <c r="D1266" t="s">
        <v>23</v>
      </c>
      <c r="E1266">
        <v>10</v>
      </c>
      <c r="F1266" s="2" t="s">
        <v>8413</v>
      </c>
      <c r="G1266" s="2" t="s">
        <v>8414</v>
      </c>
      <c r="H1266" s="2" t="s">
        <v>8415</v>
      </c>
      <c r="I1266" s="2" t="s">
        <v>8416</v>
      </c>
      <c r="J1266" t="s">
        <v>6189</v>
      </c>
      <c r="L1266" s="1">
        <v>2</v>
      </c>
      <c r="M1266" s="1"/>
      <c r="N1266" s="1"/>
      <c r="O1266" s="3"/>
    </row>
    <row r="1267" spans="1:15" ht="409.6">
      <c r="A1267" t="s">
        <v>6439</v>
      </c>
      <c r="B1267" t="s">
        <v>6440</v>
      </c>
      <c r="C1267" t="s">
        <v>8417</v>
      </c>
      <c r="D1267" t="s">
        <v>23</v>
      </c>
      <c r="E1267">
        <v>30</v>
      </c>
      <c r="F1267" s="2" t="s">
        <v>8418</v>
      </c>
      <c r="G1267" s="2" t="s">
        <v>6443</v>
      </c>
      <c r="H1267" s="2" t="s">
        <v>6444</v>
      </c>
      <c r="I1267" s="2" t="s">
        <v>6445</v>
      </c>
      <c r="J1267" t="s">
        <v>6446</v>
      </c>
      <c r="K1267" t="s">
        <v>6447</v>
      </c>
      <c r="L1267" s="1">
        <v>2</v>
      </c>
      <c r="M1267" s="1"/>
      <c r="N1267" s="1"/>
      <c r="O1267" s="3"/>
    </row>
    <row r="1268" spans="1:15" ht="409.6">
      <c r="A1268" t="s">
        <v>6448</v>
      </c>
      <c r="B1268" t="s">
        <v>6449</v>
      </c>
      <c r="C1268" t="s">
        <v>8417</v>
      </c>
      <c r="D1268" t="s">
        <v>23</v>
      </c>
      <c r="E1268">
        <v>30</v>
      </c>
      <c r="F1268" s="2" t="s">
        <v>6450</v>
      </c>
      <c r="G1268" s="2" t="s">
        <v>6451</v>
      </c>
      <c r="H1268" s="2" t="s">
        <v>6452</v>
      </c>
      <c r="I1268" s="2" t="s">
        <v>6453</v>
      </c>
      <c r="J1268" t="s">
        <v>8419</v>
      </c>
      <c r="K1268" t="s">
        <v>6455</v>
      </c>
      <c r="L1268" s="1">
        <v>2</v>
      </c>
      <c r="M1268" s="1"/>
      <c r="N1268" s="1"/>
      <c r="O1268" s="3"/>
    </row>
    <row r="1269" spans="1:15" ht="409.6">
      <c r="A1269" t="s">
        <v>8420</v>
      </c>
      <c r="B1269" t="s">
        <v>8421</v>
      </c>
      <c r="C1269" t="s">
        <v>8417</v>
      </c>
      <c r="D1269" t="s">
        <v>23</v>
      </c>
      <c r="E1269">
        <v>10</v>
      </c>
      <c r="F1269" s="2" t="s">
        <v>8422</v>
      </c>
      <c r="G1269" s="2" t="s">
        <v>8423</v>
      </c>
      <c r="H1269" s="2" t="s">
        <v>8424</v>
      </c>
      <c r="I1269" s="2" t="s">
        <v>8425</v>
      </c>
      <c r="J1269" t="s">
        <v>8426</v>
      </c>
      <c r="K1269" t="s">
        <v>8427</v>
      </c>
      <c r="L1269" s="1">
        <v>2</v>
      </c>
      <c r="M1269" s="1"/>
      <c r="N1269" s="1"/>
      <c r="O1269" s="3"/>
    </row>
    <row r="1270" spans="1:15" ht="409.6">
      <c r="A1270" t="s">
        <v>8428</v>
      </c>
      <c r="B1270" t="s">
        <v>8429</v>
      </c>
      <c r="C1270" t="s">
        <v>8417</v>
      </c>
      <c r="D1270" t="s">
        <v>23</v>
      </c>
      <c r="E1270">
        <v>10</v>
      </c>
      <c r="F1270" s="2" t="s">
        <v>8430</v>
      </c>
      <c r="G1270" s="2" t="s">
        <v>8431</v>
      </c>
      <c r="H1270" s="2" t="s">
        <v>8432</v>
      </c>
      <c r="I1270" s="2" t="s">
        <v>8433</v>
      </c>
      <c r="J1270" t="s">
        <v>8434</v>
      </c>
      <c r="L1270" s="1">
        <v>2</v>
      </c>
      <c r="M1270" s="1"/>
      <c r="N1270" s="1"/>
      <c r="O1270" s="3"/>
    </row>
    <row r="1271" spans="1:15" ht="409.6">
      <c r="A1271" t="s">
        <v>4229</v>
      </c>
      <c r="B1271" t="s">
        <v>4230</v>
      </c>
      <c r="C1271" t="s">
        <v>8417</v>
      </c>
      <c r="D1271" t="s">
        <v>23</v>
      </c>
      <c r="E1271">
        <v>10</v>
      </c>
      <c r="F1271" s="2" t="s">
        <v>8435</v>
      </c>
      <c r="G1271" s="2" t="s">
        <v>8436</v>
      </c>
      <c r="H1271" s="2" t="s">
        <v>8437</v>
      </c>
      <c r="I1271" s="2" t="s">
        <v>8438</v>
      </c>
      <c r="J1271" t="s">
        <v>8439</v>
      </c>
      <c r="L1271" s="1">
        <v>2</v>
      </c>
      <c r="M1271" s="1"/>
      <c r="N1271" s="1"/>
      <c r="O1271" s="3"/>
    </row>
    <row r="1272" spans="1:15" ht="409.6">
      <c r="A1272" t="s">
        <v>697</v>
      </c>
      <c r="B1272" t="s">
        <v>698</v>
      </c>
      <c r="C1272" t="s">
        <v>8417</v>
      </c>
      <c r="D1272" t="s">
        <v>23</v>
      </c>
      <c r="E1272">
        <v>45</v>
      </c>
      <c r="F1272" s="2" t="s">
        <v>8440</v>
      </c>
      <c r="G1272" s="2" t="s">
        <v>8441</v>
      </c>
      <c r="H1272" s="2" t="s">
        <v>8442</v>
      </c>
      <c r="I1272" s="2" t="s">
        <v>8443</v>
      </c>
      <c r="J1272" t="s">
        <v>8444</v>
      </c>
      <c r="L1272" s="1">
        <v>2</v>
      </c>
      <c r="M1272" s="1"/>
      <c r="N1272" s="1"/>
      <c r="O1272" s="3"/>
    </row>
    <row r="1273" spans="1:15" ht="409.6">
      <c r="A1273" t="s">
        <v>4244</v>
      </c>
      <c r="B1273" t="s">
        <v>4245</v>
      </c>
      <c r="C1273" t="s">
        <v>8417</v>
      </c>
      <c r="D1273" t="s">
        <v>23</v>
      </c>
      <c r="E1273">
        <v>25</v>
      </c>
      <c r="F1273" s="2" t="s">
        <v>8445</v>
      </c>
      <c r="G1273" s="2" t="s">
        <v>8446</v>
      </c>
      <c r="H1273" s="2" t="s">
        <v>8447</v>
      </c>
      <c r="I1273" s="2" t="s">
        <v>8448</v>
      </c>
      <c r="J1273" t="s">
        <v>8449</v>
      </c>
      <c r="L1273" s="1">
        <v>2</v>
      </c>
      <c r="M1273" s="1"/>
      <c r="N1273" s="1"/>
      <c r="O1273" s="3"/>
    </row>
    <row r="1274" spans="1:15" ht="409.6">
      <c r="A1274" t="s">
        <v>8450</v>
      </c>
      <c r="B1274" t="s">
        <v>8451</v>
      </c>
      <c r="C1274" t="s">
        <v>8417</v>
      </c>
      <c r="D1274" t="s">
        <v>23</v>
      </c>
      <c r="E1274">
        <v>20</v>
      </c>
      <c r="F1274" s="2" t="s">
        <v>8452</v>
      </c>
      <c r="G1274" s="2" t="s">
        <v>8453</v>
      </c>
      <c r="H1274" s="2" t="s">
        <v>8454</v>
      </c>
      <c r="I1274" s="2" t="s">
        <v>8455</v>
      </c>
      <c r="J1274" t="s">
        <v>8456</v>
      </c>
      <c r="L1274" s="1">
        <v>2</v>
      </c>
      <c r="M1274" s="1"/>
      <c r="N1274" s="1"/>
      <c r="O1274" s="3"/>
    </row>
    <row r="1275" spans="1:15" ht="409.6">
      <c r="A1275" t="s">
        <v>4251</v>
      </c>
      <c r="B1275" t="s">
        <v>8457</v>
      </c>
      <c r="C1275" t="s">
        <v>8417</v>
      </c>
      <c r="D1275" t="s">
        <v>23</v>
      </c>
      <c r="E1275">
        <v>30</v>
      </c>
      <c r="F1275" s="2" t="s">
        <v>8458</v>
      </c>
      <c r="G1275" s="2" t="s">
        <v>8459</v>
      </c>
      <c r="H1275" s="2" t="s">
        <v>8460</v>
      </c>
      <c r="I1275" s="2" t="s">
        <v>8461</v>
      </c>
      <c r="J1275" t="s">
        <v>8462</v>
      </c>
      <c r="K1275" t="s">
        <v>4258</v>
      </c>
      <c r="L1275" s="1">
        <v>2</v>
      </c>
      <c r="M1275" s="1"/>
      <c r="N1275" s="1"/>
      <c r="O1275" s="3"/>
    </row>
    <row r="1276" spans="1:15" ht="409.6">
      <c r="A1276" t="s">
        <v>8463</v>
      </c>
      <c r="B1276" t="s">
        <v>8464</v>
      </c>
      <c r="C1276" t="s">
        <v>8417</v>
      </c>
      <c r="D1276" t="s">
        <v>23</v>
      </c>
      <c r="E1276">
        <v>10</v>
      </c>
      <c r="F1276" s="2" t="s">
        <v>8465</v>
      </c>
      <c r="G1276" s="2" t="s">
        <v>8466</v>
      </c>
      <c r="H1276" s="2" t="s">
        <v>8467</v>
      </c>
      <c r="I1276" s="2" t="s">
        <v>8468</v>
      </c>
      <c r="J1276" t="s">
        <v>8469</v>
      </c>
      <c r="L1276" s="1">
        <v>2</v>
      </c>
      <c r="M1276" s="1"/>
      <c r="N1276" s="1"/>
      <c r="O1276" s="3"/>
    </row>
    <row r="1277" spans="1:15" ht="409.6">
      <c r="A1277" t="s">
        <v>8470</v>
      </c>
      <c r="B1277" t="s">
        <v>8471</v>
      </c>
      <c r="C1277" t="s">
        <v>8417</v>
      </c>
      <c r="D1277" t="s">
        <v>23</v>
      </c>
      <c r="E1277">
        <v>25</v>
      </c>
      <c r="F1277" s="2" t="s">
        <v>8472</v>
      </c>
      <c r="G1277" s="2" t="s">
        <v>8473</v>
      </c>
      <c r="H1277" s="2" t="s">
        <v>8474</v>
      </c>
      <c r="I1277" s="2" t="s">
        <v>8475</v>
      </c>
      <c r="J1277" t="s">
        <v>8476</v>
      </c>
      <c r="L1277" s="1">
        <v>2</v>
      </c>
      <c r="M1277" s="1"/>
      <c r="N1277" s="1"/>
      <c r="O1277" s="3"/>
    </row>
    <row r="1278" spans="1:15" ht="409.6">
      <c r="A1278" t="s">
        <v>8477</v>
      </c>
      <c r="B1278" t="s">
        <v>8478</v>
      </c>
      <c r="C1278" t="s">
        <v>8417</v>
      </c>
      <c r="D1278" t="s">
        <v>23</v>
      </c>
      <c r="E1278">
        <v>25</v>
      </c>
      <c r="F1278" s="2" t="s">
        <v>8479</v>
      </c>
      <c r="G1278" s="2" t="s">
        <v>8480</v>
      </c>
      <c r="H1278" s="2" t="s">
        <v>8481</v>
      </c>
      <c r="I1278" s="2" t="s">
        <v>8482</v>
      </c>
      <c r="J1278" t="s">
        <v>8483</v>
      </c>
      <c r="L1278" s="1">
        <v>2</v>
      </c>
      <c r="M1278" s="1"/>
      <c r="N1278" s="1"/>
      <c r="O1278" s="3"/>
    </row>
    <row r="1279" spans="1:15" ht="409.6">
      <c r="A1279" t="s">
        <v>2245</v>
      </c>
      <c r="B1279" t="s">
        <v>1376</v>
      </c>
      <c r="C1279" t="s">
        <v>8417</v>
      </c>
      <c r="D1279" t="s">
        <v>23</v>
      </c>
      <c r="E1279">
        <v>25</v>
      </c>
      <c r="F1279" s="2" t="s">
        <v>8484</v>
      </c>
      <c r="G1279" s="2" t="s">
        <v>8485</v>
      </c>
      <c r="H1279" s="2" t="s">
        <v>8486</v>
      </c>
      <c r="I1279" s="2" t="s">
        <v>8487</v>
      </c>
      <c r="J1279" t="s">
        <v>8488</v>
      </c>
      <c r="L1279" s="1">
        <v>2</v>
      </c>
      <c r="M1279" s="1"/>
      <c r="N1279" s="1"/>
      <c r="O1279" s="3"/>
    </row>
    <row r="1280" spans="1:15" ht="409.6">
      <c r="A1280" t="s">
        <v>8489</v>
      </c>
      <c r="B1280" t="s">
        <v>8490</v>
      </c>
      <c r="C1280" t="s">
        <v>8417</v>
      </c>
      <c r="D1280" t="s">
        <v>23</v>
      </c>
      <c r="E1280">
        <v>25</v>
      </c>
      <c r="F1280" s="2" t="s">
        <v>8491</v>
      </c>
      <c r="G1280" s="2" t="s">
        <v>8492</v>
      </c>
      <c r="H1280" s="2" t="s">
        <v>8493</v>
      </c>
      <c r="I1280" s="2" t="s">
        <v>8494</v>
      </c>
      <c r="J1280" t="s">
        <v>8495</v>
      </c>
      <c r="L1280" s="1">
        <v>2</v>
      </c>
      <c r="M1280" s="1"/>
      <c r="N1280" s="1"/>
      <c r="O1280" s="3"/>
    </row>
    <row r="1281" spans="1:15" ht="409.6">
      <c r="A1281" t="s">
        <v>8496</v>
      </c>
      <c r="B1281" t="s">
        <v>8497</v>
      </c>
      <c r="C1281" t="s">
        <v>8417</v>
      </c>
      <c r="D1281" t="s">
        <v>23</v>
      </c>
      <c r="E1281">
        <v>20</v>
      </c>
      <c r="F1281" s="2" t="s">
        <v>8498</v>
      </c>
      <c r="G1281" s="2" t="s">
        <v>8499</v>
      </c>
      <c r="H1281" s="2" t="s">
        <v>8500</v>
      </c>
      <c r="I1281" s="2" t="s">
        <v>8501</v>
      </c>
      <c r="J1281" t="s">
        <v>8502</v>
      </c>
      <c r="L1281" s="1">
        <v>2</v>
      </c>
      <c r="M1281" s="1"/>
      <c r="N1281" s="1"/>
      <c r="O1281" s="3"/>
    </row>
    <row r="1282" spans="1:15" ht="409.6">
      <c r="A1282" t="s">
        <v>8503</v>
      </c>
      <c r="B1282" t="s">
        <v>8504</v>
      </c>
      <c r="C1282" t="s">
        <v>8417</v>
      </c>
      <c r="D1282" t="s">
        <v>23</v>
      </c>
      <c r="E1282">
        <v>15</v>
      </c>
      <c r="F1282" s="2" t="s">
        <v>8505</v>
      </c>
      <c r="G1282" s="2" t="s">
        <v>8506</v>
      </c>
      <c r="H1282" s="2" t="s">
        <v>8507</v>
      </c>
      <c r="I1282" s="2" t="s">
        <v>8508</v>
      </c>
      <c r="J1282" t="s">
        <v>8509</v>
      </c>
      <c r="L1282" s="1">
        <v>2</v>
      </c>
      <c r="M1282" s="1"/>
      <c r="N1282" s="1"/>
      <c r="O1282" s="3"/>
    </row>
    <row r="1283" spans="1:15" ht="409.6">
      <c r="A1283" t="s">
        <v>8510</v>
      </c>
      <c r="B1283" t="s">
        <v>8511</v>
      </c>
      <c r="C1283" t="s">
        <v>8417</v>
      </c>
      <c r="D1283" t="s">
        <v>23</v>
      </c>
      <c r="E1283">
        <v>20</v>
      </c>
      <c r="F1283" s="2" t="s">
        <v>8512</v>
      </c>
      <c r="G1283" s="2" t="s">
        <v>8513</v>
      </c>
      <c r="H1283" s="2" t="s">
        <v>8514</v>
      </c>
      <c r="I1283" s="2" t="s">
        <v>8515</v>
      </c>
      <c r="J1283" t="s">
        <v>8516</v>
      </c>
      <c r="K1283" t="s">
        <v>8517</v>
      </c>
      <c r="L1283" s="1">
        <v>2</v>
      </c>
      <c r="M1283" s="1"/>
      <c r="N1283" s="1"/>
      <c r="O1283" s="3"/>
    </row>
    <row r="1284" spans="1:15" ht="409.6">
      <c r="A1284" t="s">
        <v>1418</v>
      </c>
      <c r="B1284" t="s">
        <v>1419</v>
      </c>
      <c r="C1284" t="s">
        <v>8417</v>
      </c>
      <c r="D1284" t="s">
        <v>23</v>
      </c>
      <c r="E1284">
        <v>15</v>
      </c>
      <c r="F1284" s="2" t="s">
        <v>8518</v>
      </c>
      <c r="G1284" s="2" t="s">
        <v>8519</v>
      </c>
      <c r="H1284" s="2" t="s">
        <v>8520</v>
      </c>
      <c r="I1284" s="2" t="s">
        <v>8521</v>
      </c>
      <c r="J1284" t="s">
        <v>8522</v>
      </c>
      <c r="L1284" s="1">
        <v>2</v>
      </c>
      <c r="M1284" s="1"/>
      <c r="N1284" s="1"/>
      <c r="O1284" s="3"/>
    </row>
    <row r="1285" spans="1:15" ht="409.6">
      <c r="A1285" t="s">
        <v>4458</v>
      </c>
      <c r="B1285" t="s">
        <v>8523</v>
      </c>
      <c r="C1285" t="s">
        <v>8417</v>
      </c>
      <c r="D1285" t="s">
        <v>23</v>
      </c>
      <c r="E1285">
        <v>15</v>
      </c>
      <c r="F1285" s="2" t="s">
        <v>8524</v>
      </c>
      <c r="G1285" s="2" t="s">
        <v>8525</v>
      </c>
      <c r="H1285" s="2" t="s">
        <v>8526</v>
      </c>
      <c r="I1285" s="2" t="s">
        <v>8527</v>
      </c>
      <c r="J1285" t="s">
        <v>4464</v>
      </c>
      <c r="L1285" s="1">
        <v>2</v>
      </c>
      <c r="M1285" s="1"/>
      <c r="N1285" s="1"/>
      <c r="O1285" s="3"/>
    </row>
    <row r="1286" spans="1:15" ht="409.6">
      <c r="A1286" t="s">
        <v>4472</v>
      </c>
      <c r="B1286" t="s">
        <v>4473</v>
      </c>
      <c r="C1286" t="s">
        <v>8417</v>
      </c>
      <c r="D1286" t="s">
        <v>23</v>
      </c>
      <c r="E1286">
        <v>15</v>
      </c>
      <c r="F1286" s="2" t="s">
        <v>8528</v>
      </c>
      <c r="G1286" s="2" t="s">
        <v>8529</v>
      </c>
      <c r="H1286" s="2" t="s">
        <v>8530</v>
      </c>
      <c r="I1286" s="2" t="s">
        <v>8531</v>
      </c>
      <c r="J1286" t="s">
        <v>4478</v>
      </c>
      <c r="L1286" s="1">
        <v>2</v>
      </c>
      <c r="M1286" s="1"/>
      <c r="N1286" s="1"/>
      <c r="O1286" s="3"/>
    </row>
    <row r="1287" spans="1:15" ht="409.6">
      <c r="A1287" t="s">
        <v>4479</v>
      </c>
      <c r="B1287" t="s">
        <v>4480</v>
      </c>
      <c r="C1287" t="s">
        <v>8417</v>
      </c>
      <c r="D1287" t="s">
        <v>23</v>
      </c>
      <c r="E1287">
        <v>10</v>
      </c>
      <c r="F1287" s="2" t="s">
        <v>8532</v>
      </c>
      <c r="G1287" s="2" t="s">
        <v>4482</v>
      </c>
      <c r="H1287" s="2" t="s">
        <v>8533</v>
      </c>
      <c r="I1287" s="2" t="s">
        <v>8534</v>
      </c>
      <c r="J1287" t="s">
        <v>8535</v>
      </c>
      <c r="L1287" s="1">
        <v>2</v>
      </c>
      <c r="M1287" s="1"/>
      <c r="N1287" s="1"/>
      <c r="O1287" s="3"/>
    </row>
    <row r="1288" spans="1:15" ht="409.6">
      <c r="A1288" t="s">
        <v>4576</v>
      </c>
      <c r="B1288" t="s">
        <v>8536</v>
      </c>
      <c r="C1288" t="s">
        <v>8417</v>
      </c>
      <c r="D1288" t="s">
        <v>23</v>
      </c>
      <c r="E1288">
        <v>20</v>
      </c>
      <c r="F1288" s="2" t="s">
        <v>8537</v>
      </c>
      <c r="G1288" s="2" t="s">
        <v>8538</v>
      </c>
      <c r="H1288" s="2" t="s">
        <v>8539</v>
      </c>
      <c r="I1288" s="2" t="s">
        <v>8540</v>
      </c>
      <c r="J1288" t="s">
        <v>8541</v>
      </c>
      <c r="L1288" s="1">
        <v>2</v>
      </c>
      <c r="M1288" s="1"/>
      <c r="N1288" s="1"/>
      <c r="O1288" s="3"/>
    </row>
    <row r="1289" spans="1:15" ht="409.6">
      <c r="A1289" t="s">
        <v>8542</v>
      </c>
      <c r="B1289" t="s">
        <v>8543</v>
      </c>
      <c r="C1289" t="s">
        <v>8417</v>
      </c>
      <c r="D1289" t="s">
        <v>23</v>
      </c>
      <c r="E1289">
        <v>20</v>
      </c>
      <c r="F1289" s="2" t="s">
        <v>8544</v>
      </c>
      <c r="G1289" s="2" t="s">
        <v>8545</v>
      </c>
      <c r="H1289" s="2" t="s">
        <v>8546</v>
      </c>
      <c r="I1289" s="2" t="s">
        <v>8547</v>
      </c>
      <c r="J1289" t="s">
        <v>8548</v>
      </c>
      <c r="L1289" s="1">
        <v>2</v>
      </c>
      <c r="M1289" s="1"/>
      <c r="N1289" s="1"/>
      <c r="O1289" s="3"/>
    </row>
    <row r="1290" spans="1:15" ht="409.6">
      <c r="A1290" t="s">
        <v>8549</v>
      </c>
      <c r="B1290" t="s">
        <v>8550</v>
      </c>
      <c r="C1290" t="s">
        <v>8417</v>
      </c>
      <c r="D1290" t="s">
        <v>23</v>
      </c>
      <c r="E1290">
        <v>15</v>
      </c>
      <c r="F1290" s="2" t="s">
        <v>8551</v>
      </c>
      <c r="G1290" s="2" t="s">
        <v>8552</v>
      </c>
      <c r="H1290" s="2" t="s">
        <v>8553</v>
      </c>
      <c r="I1290" s="2" t="s">
        <v>8554</v>
      </c>
      <c r="J1290" t="s">
        <v>8555</v>
      </c>
      <c r="L1290" s="1">
        <v>2</v>
      </c>
      <c r="M1290" s="1"/>
      <c r="N1290" s="1"/>
      <c r="O1290" s="3"/>
    </row>
    <row r="1291" spans="1:15" ht="409.6">
      <c r="A1291" t="s">
        <v>8556</v>
      </c>
      <c r="B1291" s="2" t="s">
        <v>8557</v>
      </c>
      <c r="C1291" t="s">
        <v>8417</v>
      </c>
      <c r="D1291" t="s">
        <v>14</v>
      </c>
      <c r="E1291">
        <v>60</v>
      </c>
      <c r="F1291" s="2" t="s">
        <v>8558</v>
      </c>
      <c r="G1291" s="2" t="s">
        <v>8559</v>
      </c>
      <c r="H1291" s="2" t="s">
        <v>8560</v>
      </c>
      <c r="I1291" s="2" t="s">
        <v>8561</v>
      </c>
      <c r="J1291" t="s">
        <v>8562</v>
      </c>
      <c r="L1291" s="1">
        <v>2</v>
      </c>
      <c r="M1291" s="1"/>
      <c r="N1291" s="1"/>
      <c r="O1291" s="3"/>
    </row>
    <row r="1292" spans="1:15" ht="409.6">
      <c r="A1292" t="s">
        <v>8563</v>
      </c>
      <c r="B1292" t="s">
        <v>8564</v>
      </c>
      <c r="C1292" t="s">
        <v>8417</v>
      </c>
      <c r="D1292" t="s">
        <v>23</v>
      </c>
      <c r="F1292" s="2" t="s">
        <v>8565</v>
      </c>
      <c r="G1292" s="2" t="s">
        <v>8566</v>
      </c>
      <c r="H1292" s="2" t="s">
        <v>8567</v>
      </c>
      <c r="I1292" s="2" t="s">
        <v>8568</v>
      </c>
      <c r="J1292" t="s">
        <v>8569</v>
      </c>
      <c r="L1292" s="1">
        <v>2</v>
      </c>
      <c r="M1292" s="1"/>
      <c r="N1292" s="1"/>
      <c r="O1292" s="3"/>
    </row>
    <row r="1293" spans="1:15" ht="409.6">
      <c r="A1293" t="s">
        <v>6536</v>
      </c>
      <c r="B1293" t="s">
        <v>6537</v>
      </c>
      <c r="C1293" t="s">
        <v>8417</v>
      </c>
      <c r="D1293" t="s">
        <v>14</v>
      </c>
      <c r="E1293">
        <v>90</v>
      </c>
      <c r="F1293" s="2" t="s">
        <v>8570</v>
      </c>
      <c r="G1293" s="2" t="s">
        <v>8571</v>
      </c>
      <c r="H1293" s="2" t="s">
        <v>8572</v>
      </c>
      <c r="I1293" s="2" t="s">
        <v>8573</v>
      </c>
      <c r="J1293" t="s">
        <v>8574</v>
      </c>
      <c r="L1293" s="1">
        <v>2</v>
      </c>
      <c r="M1293" s="1"/>
      <c r="N1293" s="1"/>
      <c r="O1293" s="3"/>
    </row>
    <row r="1294" spans="1:15" ht="409.6">
      <c r="A1294" t="s">
        <v>6543</v>
      </c>
      <c r="B1294" t="s">
        <v>6544</v>
      </c>
      <c r="C1294" t="s">
        <v>8417</v>
      </c>
      <c r="D1294" t="s">
        <v>14</v>
      </c>
      <c r="E1294">
        <v>20</v>
      </c>
      <c r="F1294" s="2" t="s">
        <v>8575</v>
      </c>
      <c r="G1294" s="2" t="s">
        <v>8576</v>
      </c>
      <c r="H1294" s="2" t="s">
        <v>6547</v>
      </c>
      <c r="I1294" s="2" t="s">
        <v>6548</v>
      </c>
      <c r="J1294" t="s">
        <v>6549</v>
      </c>
      <c r="L1294" s="1">
        <v>2</v>
      </c>
      <c r="M1294" s="1"/>
      <c r="N1294" s="1"/>
      <c r="O1294" s="3"/>
    </row>
    <row r="1295" spans="1:15" ht="409.6">
      <c r="A1295" t="s">
        <v>6550</v>
      </c>
      <c r="B1295" t="s">
        <v>6551</v>
      </c>
      <c r="C1295" t="s">
        <v>8417</v>
      </c>
      <c r="D1295" t="s">
        <v>14</v>
      </c>
      <c r="E1295">
        <v>20</v>
      </c>
      <c r="F1295" s="2" t="s">
        <v>8577</v>
      </c>
      <c r="G1295" s="2" t="s">
        <v>6553</v>
      </c>
      <c r="H1295" s="2" t="s">
        <v>8578</v>
      </c>
      <c r="I1295" s="2" t="s">
        <v>8579</v>
      </c>
      <c r="J1295" t="s">
        <v>8580</v>
      </c>
      <c r="L1295" s="1">
        <v>2</v>
      </c>
      <c r="M1295" s="1"/>
      <c r="N1295" s="1"/>
      <c r="O1295" s="3"/>
    </row>
    <row r="1296" spans="1:15" ht="409.6">
      <c r="A1296" t="s">
        <v>8581</v>
      </c>
      <c r="B1296" t="s">
        <v>8582</v>
      </c>
      <c r="C1296" t="s">
        <v>8417</v>
      </c>
      <c r="D1296" t="s">
        <v>23</v>
      </c>
      <c r="E1296">
        <v>20</v>
      </c>
      <c r="F1296" s="2" t="s">
        <v>8583</v>
      </c>
      <c r="G1296" s="2" t="s">
        <v>8584</v>
      </c>
      <c r="H1296" s="2" t="s">
        <v>8585</v>
      </c>
      <c r="I1296" s="2" t="s">
        <v>8586</v>
      </c>
      <c r="J1296" t="s">
        <v>8587</v>
      </c>
      <c r="L1296" s="1">
        <v>2</v>
      </c>
      <c r="M1296" s="1"/>
      <c r="N1296" s="1"/>
      <c r="O1296" s="3"/>
    </row>
    <row r="1297" spans="1:15" ht="409.6">
      <c r="A1297" t="s">
        <v>8588</v>
      </c>
      <c r="B1297" t="s">
        <v>8589</v>
      </c>
      <c r="C1297" t="s">
        <v>8417</v>
      </c>
      <c r="D1297" t="s">
        <v>23</v>
      </c>
      <c r="E1297">
        <v>20</v>
      </c>
      <c r="F1297" s="2" t="s">
        <v>8590</v>
      </c>
      <c r="G1297" s="2" t="s">
        <v>8591</v>
      </c>
      <c r="H1297" s="2" t="s">
        <v>8592</v>
      </c>
      <c r="I1297" s="2" t="s">
        <v>8593</v>
      </c>
      <c r="J1297" t="s">
        <v>8594</v>
      </c>
      <c r="L1297" s="1">
        <v>2</v>
      </c>
      <c r="M1297" s="1"/>
      <c r="N1297" s="1"/>
      <c r="O1297" s="3"/>
    </row>
    <row r="1298" spans="1:15" ht="409.6">
      <c r="A1298" t="s">
        <v>8595</v>
      </c>
      <c r="B1298" t="s">
        <v>8596</v>
      </c>
      <c r="C1298" t="s">
        <v>8417</v>
      </c>
      <c r="D1298" t="s">
        <v>23</v>
      </c>
      <c r="E1298">
        <v>20</v>
      </c>
      <c r="F1298" s="2" t="s">
        <v>8597</v>
      </c>
      <c r="G1298" s="2" t="s">
        <v>8598</v>
      </c>
      <c r="H1298" s="2" t="s">
        <v>8599</v>
      </c>
      <c r="I1298" s="2" t="s">
        <v>8600</v>
      </c>
      <c r="J1298" t="s">
        <v>8601</v>
      </c>
      <c r="L1298" s="1">
        <v>2</v>
      </c>
      <c r="M1298" s="1"/>
      <c r="N1298" s="1"/>
      <c r="O1298" s="3"/>
    </row>
    <row r="1299" spans="1:15" ht="409.6">
      <c r="A1299" t="s">
        <v>4804</v>
      </c>
      <c r="B1299" t="s">
        <v>4805</v>
      </c>
      <c r="C1299" t="s">
        <v>8417</v>
      </c>
      <c r="D1299" t="s">
        <v>23</v>
      </c>
      <c r="E1299">
        <v>20</v>
      </c>
      <c r="F1299" s="2" t="s">
        <v>8602</v>
      </c>
      <c r="G1299" s="2" t="s">
        <v>8603</v>
      </c>
      <c r="H1299" s="2" t="s">
        <v>8604</v>
      </c>
      <c r="I1299" s="2" t="s">
        <v>4809</v>
      </c>
      <c r="J1299" t="s">
        <v>8605</v>
      </c>
      <c r="L1299" s="1">
        <v>2</v>
      </c>
      <c r="M1299" s="1"/>
      <c r="N1299" s="1"/>
      <c r="O1299" s="3"/>
    </row>
    <row r="1300" spans="1:15" ht="409.6">
      <c r="A1300" t="s">
        <v>4818</v>
      </c>
      <c r="B1300" t="s">
        <v>4819</v>
      </c>
      <c r="C1300" t="s">
        <v>8417</v>
      </c>
      <c r="D1300" t="s">
        <v>23</v>
      </c>
      <c r="E1300">
        <v>20</v>
      </c>
      <c r="F1300" s="2" t="s">
        <v>8606</v>
      </c>
      <c r="G1300" s="2" t="s">
        <v>4821</v>
      </c>
      <c r="H1300" s="2" t="s">
        <v>8607</v>
      </c>
      <c r="I1300" s="2" t="s">
        <v>8608</v>
      </c>
      <c r="J1300" t="s">
        <v>8609</v>
      </c>
      <c r="L1300" s="1">
        <v>2</v>
      </c>
      <c r="M1300" s="1"/>
      <c r="N1300" s="1"/>
      <c r="O1300" s="3"/>
    </row>
    <row r="1301" spans="1:15" ht="409.6">
      <c r="A1301" t="s">
        <v>8610</v>
      </c>
      <c r="B1301" t="s">
        <v>8611</v>
      </c>
      <c r="C1301" t="s">
        <v>8417</v>
      </c>
      <c r="D1301" t="s">
        <v>23</v>
      </c>
      <c r="E1301">
        <v>15</v>
      </c>
      <c r="F1301" s="2" t="s">
        <v>8612</v>
      </c>
      <c r="G1301" s="2" t="s">
        <v>8613</v>
      </c>
      <c r="H1301" s="2" t="s">
        <v>8614</v>
      </c>
      <c r="I1301" s="2" t="s">
        <v>8615</v>
      </c>
      <c r="J1301" t="s">
        <v>8616</v>
      </c>
      <c r="L1301" s="1">
        <v>2</v>
      </c>
      <c r="M1301" s="1"/>
      <c r="N1301" s="1"/>
      <c r="O1301" s="3"/>
    </row>
    <row r="1302" spans="1:15" ht="409.6">
      <c r="A1302" t="s">
        <v>8617</v>
      </c>
      <c r="B1302" t="s">
        <v>8618</v>
      </c>
      <c r="C1302" t="s">
        <v>8417</v>
      </c>
      <c r="D1302" t="s">
        <v>23</v>
      </c>
      <c r="E1302">
        <v>15</v>
      </c>
      <c r="F1302" s="2" t="s">
        <v>8619</v>
      </c>
      <c r="G1302" s="2" t="s">
        <v>8620</v>
      </c>
      <c r="H1302" s="2" t="s">
        <v>8621</v>
      </c>
      <c r="I1302" s="2" t="s">
        <v>8622</v>
      </c>
      <c r="J1302" t="s">
        <v>8623</v>
      </c>
      <c r="L1302" s="1">
        <v>2</v>
      </c>
      <c r="M1302" s="1"/>
      <c r="N1302" s="1"/>
      <c r="O1302" s="3"/>
    </row>
    <row r="1303" spans="1:15" ht="409.6">
      <c r="A1303" t="s">
        <v>4909</v>
      </c>
      <c r="B1303" t="s">
        <v>4910</v>
      </c>
      <c r="C1303" t="s">
        <v>8417</v>
      </c>
      <c r="D1303" t="s">
        <v>23</v>
      </c>
      <c r="E1303">
        <v>15</v>
      </c>
      <c r="F1303" s="2" t="s">
        <v>4911</v>
      </c>
      <c r="G1303" s="2" t="s">
        <v>4912</v>
      </c>
      <c r="H1303" s="2" t="s">
        <v>4913</v>
      </c>
      <c r="I1303" s="2" t="s">
        <v>8624</v>
      </c>
      <c r="J1303" t="s">
        <v>8625</v>
      </c>
      <c r="L1303" s="1">
        <v>2</v>
      </c>
      <c r="M1303" s="1"/>
      <c r="N1303" s="1"/>
      <c r="O1303" s="3"/>
    </row>
    <row r="1304" spans="1:15" ht="409.6">
      <c r="A1304" t="s">
        <v>8626</v>
      </c>
      <c r="B1304" t="s">
        <v>8627</v>
      </c>
      <c r="C1304" t="s">
        <v>8417</v>
      </c>
      <c r="D1304" t="s">
        <v>23</v>
      </c>
      <c r="E1304">
        <v>15</v>
      </c>
      <c r="F1304" s="2" t="s">
        <v>8628</v>
      </c>
      <c r="G1304" s="2" t="s">
        <v>8629</v>
      </c>
      <c r="H1304" s="2" t="s">
        <v>8630</v>
      </c>
      <c r="I1304" s="2" t="s">
        <v>8631</v>
      </c>
      <c r="J1304" t="s">
        <v>8632</v>
      </c>
      <c r="L1304" s="1">
        <v>2</v>
      </c>
      <c r="M1304" s="1"/>
      <c r="N1304" s="1"/>
      <c r="O1304" s="3"/>
    </row>
    <row r="1305" spans="1:15" ht="409.6">
      <c r="A1305" t="s">
        <v>7744</v>
      </c>
      <c r="B1305" t="s">
        <v>7745</v>
      </c>
      <c r="C1305" t="s">
        <v>8417</v>
      </c>
      <c r="D1305" t="s">
        <v>23</v>
      </c>
      <c r="E1305">
        <v>10</v>
      </c>
      <c r="F1305" s="2" t="s">
        <v>7746</v>
      </c>
      <c r="G1305" s="2" t="s">
        <v>7747</v>
      </c>
      <c r="H1305" s="2" t="s">
        <v>8633</v>
      </c>
      <c r="I1305" s="2" t="s">
        <v>8634</v>
      </c>
      <c r="J1305" t="s">
        <v>8635</v>
      </c>
      <c r="L1305" s="1">
        <v>2</v>
      </c>
      <c r="M1305" s="1"/>
      <c r="N1305" s="1"/>
      <c r="O1305" s="3"/>
    </row>
    <row r="1306" spans="1:15" ht="409.6">
      <c r="A1306" t="s">
        <v>5183</v>
      </c>
      <c r="B1306" t="s">
        <v>5184</v>
      </c>
      <c r="C1306" t="s">
        <v>8417</v>
      </c>
      <c r="D1306" t="s">
        <v>23</v>
      </c>
      <c r="E1306">
        <v>10</v>
      </c>
      <c r="F1306" s="2" t="s">
        <v>8636</v>
      </c>
      <c r="G1306" s="2" t="s">
        <v>8637</v>
      </c>
      <c r="H1306" s="2" t="s">
        <v>8638</v>
      </c>
      <c r="I1306" s="2" t="s">
        <v>8639</v>
      </c>
      <c r="J1306" t="s">
        <v>8640</v>
      </c>
      <c r="L1306" s="1">
        <v>2</v>
      </c>
      <c r="M1306" s="1"/>
      <c r="N1306" s="1"/>
      <c r="O1306" s="3"/>
    </row>
    <row r="1307" spans="1:15" ht="409.6">
      <c r="A1307" t="s">
        <v>6645</v>
      </c>
      <c r="B1307" t="s">
        <v>6646</v>
      </c>
      <c r="C1307" t="s">
        <v>8417</v>
      </c>
      <c r="D1307" t="s">
        <v>23</v>
      </c>
      <c r="E1307">
        <v>30</v>
      </c>
      <c r="F1307" s="2" t="s">
        <v>8641</v>
      </c>
      <c r="G1307" s="2" t="s">
        <v>8642</v>
      </c>
      <c r="H1307" s="2" t="s">
        <v>8643</v>
      </c>
      <c r="I1307" s="2" t="s">
        <v>8644</v>
      </c>
      <c r="J1307" t="s">
        <v>8645</v>
      </c>
      <c r="L1307" s="1">
        <v>2</v>
      </c>
      <c r="M1307" s="1"/>
      <c r="N1307" s="1"/>
      <c r="O1307" s="3"/>
    </row>
    <row r="1308" spans="1:15" ht="409.6">
      <c r="A1308" t="s">
        <v>8646</v>
      </c>
      <c r="B1308" t="s">
        <v>8647</v>
      </c>
      <c r="C1308" t="s">
        <v>8417</v>
      </c>
      <c r="D1308" t="s">
        <v>23</v>
      </c>
      <c r="E1308">
        <v>20</v>
      </c>
      <c r="F1308" s="2" t="s">
        <v>8648</v>
      </c>
      <c r="G1308" s="2" t="s">
        <v>8649</v>
      </c>
      <c r="H1308" s="2" t="s">
        <v>8650</v>
      </c>
      <c r="I1308" s="2" t="s">
        <v>8651</v>
      </c>
      <c r="J1308" t="s">
        <v>8652</v>
      </c>
      <c r="L1308" s="1">
        <v>2</v>
      </c>
      <c r="M1308" s="1"/>
      <c r="N1308" s="1"/>
      <c r="O1308" s="3"/>
    </row>
    <row r="1309" spans="1:15" ht="409.6">
      <c r="A1309" t="s">
        <v>8653</v>
      </c>
      <c r="B1309" t="s">
        <v>8654</v>
      </c>
      <c r="C1309" t="s">
        <v>8417</v>
      </c>
      <c r="D1309" t="s">
        <v>23</v>
      </c>
      <c r="E1309">
        <v>20</v>
      </c>
      <c r="F1309" s="2" t="s">
        <v>8655</v>
      </c>
      <c r="G1309" s="2" t="s">
        <v>8656</v>
      </c>
      <c r="H1309" s="2" t="s">
        <v>8657</v>
      </c>
      <c r="I1309" s="2" t="s">
        <v>8658</v>
      </c>
      <c r="J1309" t="s">
        <v>8659</v>
      </c>
      <c r="L1309" s="1">
        <v>2</v>
      </c>
      <c r="M1309" s="1"/>
      <c r="N1309" s="1"/>
      <c r="O1309" s="3"/>
    </row>
    <row r="1310" spans="1:15" ht="409.6">
      <c r="A1310" t="s">
        <v>906</v>
      </c>
      <c r="B1310" t="s">
        <v>907</v>
      </c>
      <c r="C1310" t="s">
        <v>8417</v>
      </c>
      <c r="D1310" t="s">
        <v>23</v>
      </c>
      <c r="E1310">
        <v>20</v>
      </c>
      <c r="F1310" s="2" t="s">
        <v>8660</v>
      </c>
      <c r="G1310" s="2" t="s">
        <v>8661</v>
      </c>
      <c r="H1310" s="2" t="s">
        <v>8662</v>
      </c>
      <c r="I1310" s="2" t="s">
        <v>8663</v>
      </c>
      <c r="J1310" t="s">
        <v>5234</v>
      </c>
      <c r="L1310" s="1">
        <v>2</v>
      </c>
      <c r="M1310" s="1"/>
      <c r="N1310" s="1"/>
      <c r="O1310" s="3"/>
    </row>
    <row r="1311" spans="1:15" ht="409.6">
      <c r="A1311" t="s">
        <v>5235</v>
      </c>
      <c r="B1311" t="s">
        <v>5236</v>
      </c>
      <c r="C1311" t="s">
        <v>8417</v>
      </c>
      <c r="D1311" t="s">
        <v>23</v>
      </c>
      <c r="E1311">
        <v>25</v>
      </c>
      <c r="F1311" s="2" t="s">
        <v>8664</v>
      </c>
      <c r="G1311" s="2" t="s">
        <v>8665</v>
      </c>
      <c r="H1311" s="2" t="s">
        <v>8666</v>
      </c>
      <c r="I1311" s="2" t="s">
        <v>8667</v>
      </c>
      <c r="J1311" t="s">
        <v>8668</v>
      </c>
      <c r="L1311" s="1">
        <v>2</v>
      </c>
      <c r="M1311" s="1"/>
      <c r="N1311" s="1"/>
      <c r="O1311" s="3"/>
    </row>
    <row r="1312" spans="1:15" ht="409.6">
      <c r="A1312" t="s">
        <v>8669</v>
      </c>
      <c r="B1312" t="s">
        <v>8670</v>
      </c>
      <c r="C1312" t="s">
        <v>8417</v>
      </c>
      <c r="D1312" t="s">
        <v>23</v>
      </c>
      <c r="E1312">
        <v>20</v>
      </c>
      <c r="F1312" s="2" t="s">
        <v>8671</v>
      </c>
      <c r="G1312" s="2" t="s">
        <v>8672</v>
      </c>
      <c r="H1312" s="2" t="s">
        <v>8673</v>
      </c>
      <c r="I1312" s="2" t="s">
        <v>8674</v>
      </c>
      <c r="J1312" t="s">
        <v>8675</v>
      </c>
      <c r="L1312" s="1">
        <v>2</v>
      </c>
      <c r="M1312" s="1"/>
      <c r="N1312" s="1"/>
      <c r="O1312" s="3"/>
    </row>
    <row r="1313" spans="1:15" ht="409.6">
      <c r="A1313" t="s">
        <v>8676</v>
      </c>
      <c r="B1313" t="s">
        <v>8677</v>
      </c>
      <c r="C1313" t="s">
        <v>8417</v>
      </c>
      <c r="D1313" t="s">
        <v>23</v>
      </c>
      <c r="E1313">
        <v>15</v>
      </c>
      <c r="F1313" s="2" t="s">
        <v>8678</v>
      </c>
      <c r="G1313" s="2" t="s">
        <v>8679</v>
      </c>
      <c r="H1313" s="2" t="s">
        <v>8680</v>
      </c>
      <c r="I1313" s="2" t="s">
        <v>8681</v>
      </c>
      <c r="J1313" t="s">
        <v>8682</v>
      </c>
      <c r="L1313" s="1">
        <v>2</v>
      </c>
      <c r="M1313" s="1"/>
      <c r="N1313" s="1"/>
      <c r="O1313" s="3"/>
    </row>
    <row r="1314" spans="1:15" ht="409.6">
      <c r="A1314" t="s">
        <v>5296</v>
      </c>
      <c r="B1314" t="s">
        <v>5297</v>
      </c>
      <c r="C1314" t="s">
        <v>8417</v>
      </c>
      <c r="D1314" t="s">
        <v>23</v>
      </c>
      <c r="E1314">
        <v>15</v>
      </c>
      <c r="F1314" s="2" t="s">
        <v>8683</v>
      </c>
      <c r="G1314" s="2" t="s">
        <v>8684</v>
      </c>
      <c r="H1314" s="2" t="s">
        <v>5300</v>
      </c>
      <c r="I1314" s="2" t="s">
        <v>8685</v>
      </c>
      <c r="J1314" t="s">
        <v>8686</v>
      </c>
      <c r="L1314" s="1">
        <v>2</v>
      </c>
      <c r="M1314" s="1"/>
      <c r="N1314" s="1"/>
      <c r="O1314" s="3"/>
    </row>
    <row r="1315" spans="1:15" ht="409.6">
      <c r="A1315" t="s">
        <v>7896</v>
      </c>
      <c r="B1315" t="s">
        <v>7897</v>
      </c>
      <c r="C1315" t="s">
        <v>8417</v>
      </c>
      <c r="D1315" t="s">
        <v>23</v>
      </c>
      <c r="E1315">
        <v>5</v>
      </c>
      <c r="F1315" s="2" t="s">
        <v>8687</v>
      </c>
      <c r="G1315" s="2" t="s">
        <v>8688</v>
      </c>
      <c r="H1315" s="2" t="s">
        <v>7900</v>
      </c>
      <c r="I1315" s="2" t="s">
        <v>7901</v>
      </c>
      <c r="J1315" t="s">
        <v>7902</v>
      </c>
      <c r="L1315" s="1">
        <v>2</v>
      </c>
      <c r="M1315" s="1"/>
      <c r="N1315" s="1"/>
      <c r="O1315" s="3"/>
    </row>
    <row r="1316" spans="1:15" ht="409.6">
      <c r="A1316" t="s">
        <v>7903</v>
      </c>
      <c r="B1316" t="s">
        <v>7904</v>
      </c>
      <c r="C1316" t="s">
        <v>8417</v>
      </c>
      <c r="D1316" t="s">
        <v>23</v>
      </c>
      <c r="E1316">
        <v>20</v>
      </c>
      <c r="F1316" s="2" t="s">
        <v>8689</v>
      </c>
      <c r="G1316" s="2" t="s">
        <v>8690</v>
      </c>
      <c r="H1316" s="2" t="s">
        <v>8691</v>
      </c>
      <c r="I1316" s="2" t="s">
        <v>8692</v>
      </c>
      <c r="J1316" t="s">
        <v>7909</v>
      </c>
      <c r="L1316" s="1">
        <v>2</v>
      </c>
      <c r="M1316" s="1"/>
      <c r="N1316" s="1"/>
      <c r="O1316" s="3"/>
    </row>
    <row r="1317" spans="1:15" ht="409.6">
      <c r="A1317" t="s">
        <v>8693</v>
      </c>
      <c r="B1317" t="s">
        <v>8694</v>
      </c>
      <c r="C1317" t="s">
        <v>8417</v>
      </c>
      <c r="D1317" t="s">
        <v>23</v>
      </c>
      <c r="E1317">
        <v>20</v>
      </c>
      <c r="F1317" s="2" t="s">
        <v>8695</v>
      </c>
      <c r="G1317" s="2" t="s">
        <v>8696</v>
      </c>
      <c r="H1317" s="2" t="s">
        <v>8697</v>
      </c>
      <c r="I1317" s="2" t="s">
        <v>8698</v>
      </c>
      <c r="J1317" t="s">
        <v>8699</v>
      </c>
      <c r="L1317" s="1">
        <v>2</v>
      </c>
      <c r="M1317" s="1"/>
      <c r="N1317" s="1"/>
      <c r="O1317" s="3"/>
    </row>
    <row r="1318" spans="1:15" ht="409.6">
      <c r="A1318" t="s">
        <v>8700</v>
      </c>
      <c r="B1318" t="s">
        <v>8701</v>
      </c>
      <c r="C1318" t="s">
        <v>8417</v>
      </c>
      <c r="D1318" t="s">
        <v>23</v>
      </c>
      <c r="E1318">
        <v>30</v>
      </c>
      <c r="F1318" s="2" t="s">
        <v>8702</v>
      </c>
      <c r="G1318" s="2" t="s">
        <v>8703</v>
      </c>
      <c r="H1318" s="2" t="s">
        <v>8704</v>
      </c>
      <c r="I1318" s="2" t="s">
        <v>8705</v>
      </c>
      <c r="J1318" t="s">
        <v>8706</v>
      </c>
      <c r="L1318" s="1">
        <v>2</v>
      </c>
      <c r="M1318" s="1"/>
      <c r="N1318" s="1"/>
      <c r="O1318" s="3"/>
    </row>
    <row r="1319" spans="1:15" ht="409.6">
      <c r="A1319" t="s">
        <v>8707</v>
      </c>
      <c r="B1319" t="s">
        <v>8708</v>
      </c>
      <c r="C1319" t="s">
        <v>8417</v>
      </c>
      <c r="D1319" t="s">
        <v>23</v>
      </c>
      <c r="E1319">
        <v>25</v>
      </c>
      <c r="F1319" s="2" t="s">
        <v>8709</v>
      </c>
      <c r="G1319" s="2" t="s">
        <v>8710</v>
      </c>
      <c r="H1319" s="2" t="s">
        <v>8711</v>
      </c>
      <c r="I1319" s="2" t="s">
        <v>8712</v>
      </c>
      <c r="J1319" t="s">
        <v>8713</v>
      </c>
      <c r="L1319" s="1">
        <v>2</v>
      </c>
      <c r="M1319" s="1"/>
      <c r="N1319" s="1"/>
      <c r="O1319" s="3"/>
    </row>
    <row r="1320" spans="1:15" ht="409.6">
      <c r="A1320" t="s">
        <v>8714</v>
      </c>
      <c r="B1320" t="s">
        <v>8715</v>
      </c>
      <c r="C1320" t="s">
        <v>8417</v>
      </c>
      <c r="D1320" t="s">
        <v>23</v>
      </c>
      <c r="E1320">
        <v>30</v>
      </c>
      <c r="F1320" s="2" t="s">
        <v>8716</v>
      </c>
      <c r="G1320" s="2" t="s">
        <v>8717</v>
      </c>
      <c r="H1320" s="2" t="s">
        <v>8718</v>
      </c>
      <c r="I1320" s="2" t="s">
        <v>8719</v>
      </c>
      <c r="J1320" t="s">
        <v>8720</v>
      </c>
      <c r="L1320" s="1">
        <v>2</v>
      </c>
      <c r="M1320" s="1"/>
      <c r="N1320" s="1"/>
      <c r="O1320" s="3"/>
    </row>
    <row r="1321" spans="1:15" ht="409.6">
      <c r="A1321" t="s">
        <v>1354</v>
      </c>
      <c r="B1321" t="s">
        <v>1355</v>
      </c>
      <c r="C1321" t="s">
        <v>8417</v>
      </c>
      <c r="D1321" t="s">
        <v>23</v>
      </c>
      <c r="E1321">
        <v>15</v>
      </c>
      <c r="F1321" s="2" t="s">
        <v>8721</v>
      </c>
      <c r="G1321" s="2" t="s">
        <v>8722</v>
      </c>
      <c r="H1321" s="2" t="s">
        <v>8723</v>
      </c>
      <c r="I1321" s="2" t="s">
        <v>8724</v>
      </c>
      <c r="J1321" t="s">
        <v>8725</v>
      </c>
      <c r="L1321" s="1">
        <v>2</v>
      </c>
      <c r="M1321" s="1"/>
      <c r="N1321" s="1"/>
      <c r="O1321" s="3"/>
    </row>
    <row r="1322" spans="1:15" ht="409.6">
      <c r="A1322" t="s">
        <v>8726</v>
      </c>
      <c r="B1322" t="s">
        <v>8727</v>
      </c>
      <c r="C1322" t="s">
        <v>8417</v>
      </c>
      <c r="D1322" t="s">
        <v>23</v>
      </c>
      <c r="E1322">
        <v>15</v>
      </c>
      <c r="F1322" s="2" t="s">
        <v>8728</v>
      </c>
      <c r="G1322" s="2" t="s">
        <v>8729</v>
      </c>
      <c r="H1322" s="2" t="s">
        <v>8730</v>
      </c>
      <c r="I1322" s="2" t="s">
        <v>8731</v>
      </c>
      <c r="J1322" t="s">
        <v>8732</v>
      </c>
      <c r="L1322" s="1">
        <v>2</v>
      </c>
      <c r="M1322" s="1"/>
      <c r="N1322" s="1"/>
      <c r="O1322" s="3"/>
    </row>
    <row r="1323" spans="1:15" ht="409.6">
      <c r="A1323" t="s">
        <v>2777</v>
      </c>
      <c r="B1323" t="s">
        <v>2778</v>
      </c>
      <c r="C1323" t="s">
        <v>8417</v>
      </c>
      <c r="D1323" t="s">
        <v>23</v>
      </c>
      <c r="E1323">
        <v>15</v>
      </c>
      <c r="F1323" s="2" t="s">
        <v>8733</v>
      </c>
      <c r="G1323" s="2" t="s">
        <v>8734</v>
      </c>
      <c r="H1323" s="2" t="s">
        <v>8735</v>
      </c>
      <c r="I1323" s="2" t="s">
        <v>8736</v>
      </c>
      <c r="J1323" t="s">
        <v>8737</v>
      </c>
      <c r="L1323" s="1">
        <v>2</v>
      </c>
      <c r="M1323" s="1"/>
      <c r="N1323" s="1"/>
      <c r="O1323" s="3"/>
    </row>
    <row r="1324" spans="1:15" ht="409.6">
      <c r="A1324" t="s">
        <v>8738</v>
      </c>
      <c r="B1324" t="s">
        <v>8739</v>
      </c>
      <c r="C1324" t="s">
        <v>8417</v>
      </c>
      <c r="D1324" t="s">
        <v>23</v>
      </c>
      <c r="E1324">
        <v>30</v>
      </c>
      <c r="F1324" s="2" t="s">
        <v>8740</v>
      </c>
      <c r="G1324" s="2" t="s">
        <v>8741</v>
      </c>
      <c r="H1324" s="2" t="s">
        <v>8742</v>
      </c>
      <c r="I1324" s="2" t="s">
        <v>8743</v>
      </c>
      <c r="J1324" t="s">
        <v>8744</v>
      </c>
      <c r="L1324" s="1">
        <v>2</v>
      </c>
      <c r="M1324" s="1"/>
      <c r="N1324" s="1"/>
      <c r="O1324" s="3"/>
    </row>
    <row r="1325" spans="1:15" ht="409.6">
      <c r="A1325" t="s">
        <v>8745</v>
      </c>
      <c r="B1325" t="s">
        <v>8746</v>
      </c>
      <c r="C1325" t="s">
        <v>8417</v>
      </c>
      <c r="D1325" t="s">
        <v>23</v>
      </c>
      <c r="E1325">
        <v>15</v>
      </c>
      <c r="F1325" s="2" t="s">
        <v>8747</v>
      </c>
      <c r="G1325" s="2" t="s">
        <v>8748</v>
      </c>
      <c r="H1325" s="2" t="s">
        <v>8749</v>
      </c>
      <c r="I1325" s="2" t="s">
        <v>8750</v>
      </c>
      <c r="J1325" t="s">
        <v>8751</v>
      </c>
      <c r="L1325" s="1">
        <v>2</v>
      </c>
      <c r="M1325" s="1"/>
      <c r="N1325" s="1"/>
      <c r="O1325" s="3"/>
    </row>
    <row r="1326" spans="1:15" ht="409.6">
      <c r="A1326" t="s">
        <v>1197</v>
      </c>
      <c r="B1326" t="s">
        <v>1198</v>
      </c>
      <c r="C1326" t="s">
        <v>8417</v>
      </c>
      <c r="D1326" t="s">
        <v>23</v>
      </c>
      <c r="E1326">
        <v>30</v>
      </c>
      <c r="F1326" s="2" t="s">
        <v>8752</v>
      </c>
      <c r="G1326" s="2" t="s">
        <v>8753</v>
      </c>
      <c r="H1326" s="2" t="s">
        <v>8754</v>
      </c>
      <c r="I1326" s="2" t="s">
        <v>8755</v>
      </c>
      <c r="J1326" t="s">
        <v>8756</v>
      </c>
      <c r="L1326" s="1">
        <v>2</v>
      </c>
      <c r="M1326" s="1"/>
      <c r="N1326" s="1"/>
      <c r="O1326" s="3"/>
    </row>
    <row r="1327" spans="1:15" ht="409.6">
      <c r="A1327" t="s">
        <v>8757</v>
      </c>
      <c r="B1327" t="s">
        <v>8758</v>
      </c>
      <c r="C1327" t="s">
        <v>8417</v>
      </c>
      <c r="D1327" t="s">
        <v>23</v>
      </c>
      <c r="E1327">
        <v>60</v>
      </c>
      <c r="F1327" s="2" t="s">
        <v>8759</v>
      </c>
      <c r="G1327" s="2" t="s">
        <v>8760</v>
      </c>
      <c r="H1327" s="2" t="s">
        <v>8761</v>
      </c>
      <c r="I1327" s="2" t="s">
        <v>8762</v>
      </c>
      <c r="J1327" t="s">
        <v>8763</v>
      </c>
      <c r="L1327" s="1">
        <v>2</v>
      </c>
      <c r="M1327" s="1"/>
      <c r="N1327" s="1"/>
      <c r="O1327" s="3"/>
    </row>
    <row r="1328" spans="1:15" ht="409.6">
      <c r="A1328" t="s">
        <v>8764</v>
      </c>
      <c r="B1328" t="s">
        <v>8765</v>
      </c>
      <c r="C1328" t="s">
        <v>8417</v>
      </c>
      <c r="D1328" t="s">
        <v>23</v>
      </c>
      <c r="E1328">
        <v>40</v>
      </c>
      <c r="F1328" s="2" t="s">
        <v>8766</v>
      </c>
      <c r="G1328" s="2" t="s">
        <v>8767</v>
      </c>
      <c r="H1328" s="2" t="s">
        <v>8768</v>
      </c>
      <c r="I1328" s="2" t="s">
        <v>8769</v>
      </c>
      <c r="J1328" t="s">
        <v>8770</v>
      </c>
      <c r="L1328" s="1">
        <v>2</v>
      </c>
      <c r="M1328" s="1"/>
      <c r="N1328" s="1"/>
      <c r="O1328" s="3"/>
    </row>
    <row r="1329" spans="1:15" ht="409.6">
      <c r="A1329" t="s">
        <v>8771</v>
      </c>
      <c r="B1329" t="s">
        <v>8772</v>
      </c>
      <c r="C1329" t="s">
        <v>8417</v>
      </c>
      <c r="D1329" t="s">
        <v>23</v>
      </c>
      <c r="E1329">
        <v>40</v>
      </c>
      <c r="F1329" s="2" t="s">
        <v>8773</v>
      </c>
      <c r="G1329" s="2" t="s">
        <v>8774</v>
      </c>
      <c r="H1329" s="2" t="s">
        <v>8775</v>
      </c>
      <c r="I1329" s="2" t="s">
        <v>8776</v>
      </c>
      <c r="J1329" t="s">
        <v>8777</v>
      </c>
      <c r="L1329" s="1">
        <v>2</v>
      </c>
      <c r="M1329" s="1"/>
      <c r="N1329" s="1"/>
      <c r="O1329" s="3"/>
    </row>
    <row r="1330" spans="1:15" ht="409.6">
      <c r="A1330" t="s">
        <v>8778</v>
      </c>
      <c r="B1330" t="s">
        <v>2678</v>
      </c>
      <c r="C1330" t="s">
        <v>8417</v>
      </c>
      <c r="D1330" t="s">
        <v>23</v>
      </c>
      <c r="E1330">
        <v>30</v>
      </c>
      <c r="F1330" s="2" t="s">
        <v>8779</v>
      </c>
      <c r="G1330" s="2" t="s">
        <v>8780</v>
      </c>
      <c r="H1330" s="2" t="s">
        <v>8781</v>
      </c>
      <c r="I1330" s="2" t="s">
        <v>8782</v>
      </c>
      <c r="J1330" t="s">
        <v>8783</v>
      </c>
      <c r="L1330" s="1">
        <v>2</v>
      </c>
      <c r="M1330" s="1"/>
      <c r="N1330" s="1"/>
      <c r="O1330" s="3"/>
    </row>
    <row r="1331" spans="1:15" ht="409.6">
      <c r="A1331" t="s">
        <v>8784</v>
      </c>
      <c r="B1331" t="s">
        <v>8785</v>
      </c>
      <c r="C1331" t="s">
        <v>8417</v>
      </c>
      <c r="D1331" t="s">
        <v>23</v>
      </c>
      <c r="E1331">
        <v>15</v>
      </c>
      <c r="F1331" s="2" t="s">
        <v>8786</v>
      </c>
      <c r="G1331" s="2" t="s">
        <v>8787</v>
      </c>
      <c r="H1331" s="2" t="s">
        <v>8788</v>
      </c>
      <c r="I1331" s="2" t="s">
        <v>8789</v>
      </c>
      <c r="J1331" t="s">
        <v>8790</v>
      </c>
      <c r="L1331" s="1">
        <v>2</v>
      </c>
      <c r="M1331" s="1"/>
      <c r="N1331" s="1"/>
      <c r="O1331" s="3"/>
    </row>
    <row r="1332" spans="1:15" ht="409.6">
      <c r="A1332" t="s">
        <v>8791</v>
      </c>
      <c r="B1332" t="s">
        <v>8792</v>
      </c>
      <c r="C1332" t="s">
        <v>8417</v>
      </c>
      <c r="D1332" t="s">
        <v>23</v>
      </c>
      <c r="E1332">
        <v>40</v>
      </c>
      <c r="F1332" s="2" t="s">
        <v>8793</v>
      </c>
      <c r="G1332" s="2" t="s">
        <v>8794</v>
      </c>
      <c r="H1332" s="2" t="s">
        <v>8795</v>
      </c>
      <c r="I1332" s="2" t="s">
        <v>8796</v>
      </c>
      <c r="J1332" t="s">
        <v>8797</v>
      </c>
      <c r="L1332" s="1">
        <v>2</v>
      </c>
      <c r="M1332" s="1"/>
      <c r="N1332" s="1"/>
      <c r="O1332" s="3"/>
    </row>
    <row r="1333" spans="1:15" ht="409.6">
      <c r="A1333" t="s">
        <v>8798</v>
      </c>
      <c r="B1333" t="s">
        <v>8799</v>
      </c>
      <c r="C1333" t="s">
        <v>8417</v>
      </c>
      <c r="D1333" t="s">
        <v>23</v>
      </c>
      <c r="E1333">
        <v>60</v>
      </c>
      <c r="F1333" s="2" t="s">
        <v>8800</v>
      </c>
      <c r="G1333" s="2" t="s">
        <v>8801</v>
      </c>
      <c r="H1333" s="2" t="s">
        <v>8802</v>
      </c>
      <c r="I1333" s="2" t="s">
        <v>8803</v>
      </c>
      <c r="J1333" t="s">
        <v>8804</v>
      </c>
      <c r="L1333" s="1">
        <v>2</v>
      </c>
      <c r="M1333" s="1"/>
      <c r="N1333" s="1"/>
      <c r="O1333" s="3"/>
    </row>
    <row r="1334" spans="1:15" ht="409.6">
      <c r="A1334" t="s">
        <v>8805</v>
      </c>
      <c r="B1334" t="s">
        <v>8806</v>
      </c>
      <c r="C1334" t="s">
        <v>8417</v>
      </c>
      <c r="D1334" t="s">
        <v>23</v>
      </c>
      <c r="E1334">
        <v>15</v>
      </c>
      <c r="F1334" s="2" t="s">
        <v>8807</v>
      </c>
      <c r="G1334" s="2" t="s">
        <v>8808</v>
      </c>
      <c r="H1334" s="2" t="s">
        <v>8809</v>
      </c>
      <c r="I1334" s="2" t="s">
        <v>8810</v>
      </c>
      <c r="L1334" s="1">
        <v>2</v>
      </c>
      <c r="M1334" s="1"/>
      <c r="N1334" s="1"/>
      <c r="O1334" s="3"/>
    </row>
    <row r="1335" spans="1:15" ht="409.6">
      <c r="A1335" t="s">
        <v>8811</v>
      </c>
      <c r="B1335" t="s">
        <v>8812</v>
      </c>
      <c r="C1335" t="s">
        <v>8417</v>
      </c>
      <c r="D1335" t="s">
        <v>23</v>
      </c>
      <c r="E1335">
        <v>10</v>
      </c>
      <c r="F1335" s="2" t="s">
        <v>8813</v>
      </c>
      <c r="G1335" s="2" t="s">
        <v>8814</v>
      </c>
      <c r="H1335" s="2" t="s">
        <v>8815</v>
      </c>
      <c r="I1335" s="2" t="s">
        <v>8816</v>
      </c>
      <c r="J1335" t="s">
        <v>8817</v>
      </c>
      <c r="L1335" s="1">
        <v>2</v>
      </c>
      <c r="M1335" s="1"/>
      <c r="N1335" s="1"/>
      <c r="O1335" s="3"/>
    </row>
    <row r="1336" spans="1:15" ht="409.6">
      <c r="A1336" t="s">
        <v>8818</v>
      </c>
      <c r="B1336" t="s">
        <v>8819</v>
      </c>
      <c r="C1336" t="s">
        <v>8417</v>
      </c>
      <c r="D1336" t="s">
        <v>23</v>
      </c>
      <c r="E1336">
        <v>20</v>
      </c>
      <c r="F1336" s="2" t="s">
        <v>8820</v>
      </c>
      <c r="G1336" s="2" t="s">
        <v>8821</v>
      </c>
      <c r="H1336" s="2" t="s">
        <v>8822</v>
      </c>
      <c r="I1336" s="2" t="s">
        <v>8823</v>
      </c>
      <c r="J1336" t="s">
        <v>8824</v>
      </c>
      <c r="L1336" s="1">
        <v>2</v>
      </c>
      <c r="M1336" s="1"/>
      <c r="N1336" s="1"/>
      <c r="O1336" s="3"/>
    </row>
    <row r="1337" spans="1:15" ht="409.6">
      <c r="A1337" t="s">
        <v>8825</v>
      </c>
      <c r="B1337" t="s">
        <v>8826</v>
      </c>
      <c r="C1337" t="s">
        <v>8417</v>
      </c>
      <c r="D1337" t="s">
        <v>23</v>
      </c>
      <c r="E1337">
        <v>25</v>
      </c>
      <c r="F1337" s="2" t="s">
        <v>8827</v>
      </c>
      <c r="G1337" s="2" t="s">
        <v>8828</v>
      </c>
      <c r="H1337" s="2" t="s">
        <v>8829</v>
      </c>
      <c r="I1337" s="2" t="s">
        <v>8830</v>
      </c>
      <c r="J1337" t="s">
        <v>8831</v>
      </c>
      <c r="L1337" s="1">
        <v>2</v>
      </c>
      <c r="M1337" s="1"/>
      <c r="N1337" s="1"/>
      <c r="O1337" s="3"/>
    </row>
    <row r="1338" spans="1:15" ht="409.6">
      <c r="A1338" t="s">
        <v>8176</v>
      </c>
      <c r="B1338" t="s">
        <v>8177</v>
      </c>
      <c r="C1338" t="s">
        <v>8417</v>
      </c>
      <c r="D1338" t="s">
        <v>23</v>
      </c>
      <c r="E1338">
        <v>15</v>
      </c>
      <c r="F1338" s="2" t="s">
        <v>8832</v>
      </c>
      <c r="G1338" s="2" t="s">
        <v>8833</v>
      </c>
      <c r="H1338" s="2" t="s">
        <v>8180</v>
      </c>
      <c r="I1338" s="2" t="s">
        <v>8834</v>
      </c>
      <c r="J1338" t="s">
        <v>8835</v>
      </c>
      <c r="L1338" s="1">
        <v>2</v>
      </c>
      <c r="M1338" s="1"/>
      <c r="N1338" s="1"/>
      <c r="O1338" s="3"/>
    </row>
    <row r="1339" spans="1:15" ht="409.6">
      <c r="A1339" t="s">
        <v>8836</v>
      </c>
      <c r="B1339" t="s">
        <v>8837</v>
      </c>
      <c r="C1339" t="s">
        <v>8417</v>
      </c>
      <c r="D1339" t="s">
        <v>23</v>
      </c>
      <c r="E1339">
        <v>15</v>
      </c>
      <c r="F1339" s="2" t="s">
        <v>8838</v>
      </c>
      <c r="G1339" s="2" t="s">
        <v>8839</v>
      </c>
      <c r="H1339" s="2" t="s">
        <v>8840</v>
      </c>
      <c r="I1339" s="2" t="s">
        <v>8841</v>
      </c>
      <c r="J1339" t="s">
        <v>8842</v>
      </c>
      <c r="L1339" s="1">
        <v>2</v>
      </c>
      <c r="M1339" s="1"/>
      <c r="N1339" s="1"/>
      <c r="O1339" s="3"/>
    </row>
    <row r="1340" spans="1:15" ht="409.6">
      <c r="A1340" t="s">
        <v>8843</v>
      </c>
      <c r="B1340" t="s">
        <v>2475</v>
      </c>
      <c r="C1340" t="s">
        <v>8417</v>
      </c>
      <c r="D1340" t="s">
        <v>23</v>
      </c>
      <c r="E1340">
        <v>20</v>
      </c>
      <c r="F1340" s="2" t="s">
        <v>8844</v>
      </c>
      <c r="G1340" s="2" t="s">
        <v>8845</v>
      </c>
      <c r="H1340" s="2" t="s">
        <v>8846</v>
      </c>
      <c r="I1340" s="2" t="s">
        <v>8847</v>
      </c>
      <c r="J1340" t="s">
        <v>8848</v>
      </c>
      <c r="L1340" s="1">
        <v>2</v>
      </c>
      <c r="M1340" s="1"/>
      <c r="N1340" s="1"/>
      <c r="O1340" s="3"/>
    </row>
    <row r="1341" spans="1:15" ht="409.6">
      <c r="A1341" t="s">
        <v>8849</v>
      </c>
      <c r="B1341" t="s">
        <v>8850</v>
      </c>
      <c r="C1341" t="s">
        <v>8417</v>
      </c>
      <c r="D1341" t="s">
        <v>23</v>
      </c>
      <c r="E1341">
        <v>20</v>
      </c>
      <c r="F1341" s="2" t="s">
        <v>8851</v>
      </c>
      <c r="G1341" s="2" t="s">
        <v>8852</v>
      </c>
      <c r="H1341" s="2" t="s">
        <v>8853</v>
      </c>
      <c r="I1341" s="2" t="s">
        <v>8854</v>
      </c>
      <c r="J1341" t="s">
        <v>8855</v>
      </c>
      <c r="L1341" s="1">
        <v>2</v>
      </c>
      <c r="M1341" s="1"/>
      <c r="N1341" s="1"/>
      <c r="O1341" s="3"/>
    </row>
    <row r="1342" spans="1:15" ht="409.6">
      <c r="A1342" t="s">
        <v>986</v>
      </c>
      <c r="B1342" t="s">
        <v>987</v>
      </c>
      <c r="C1342" t="s">
        <v>8417</v>
      </c>
      <c r="D1342" t="s">
        <v>23</v>
      </c>
      <c r="E1342">
        <v>20</v>
      </c>
      <c r="F1342" s="2" t="s">
        <v>8856</v>
      </c>
      <c r="G1342" s="2" t="s">
        <v>8857</v>
      </c>
      <c r="H1342" s="2" t="s">
        <v>8858</v>
      </c>
      <c r="I1342" s="2" t="s">
        <v>8859</v>
      </c>
      <c r="J1342" t="s">
        <v>8860</v>
      </c>
      <c r="K1342" t="s">
        <v>8861</v>
      </c>
      <c r="L1342" s="1">
        <v>2</v>
      </c>
      <c r="M1342" s="1"/>
      <c r="N1342" s="1"/>
      <c r="O1342" s="3"/>
    </row>
    <row r="1343" spans="1:15" ht="409.6">
      <c r="A1343" t="s">
        <v>8862</v>
      </c>
      <c r="B1343" t="s">
        <v>8863</v>
      </c>
      <c r="C1343" t="s">
        <v>8417</v>
      </c>
      <c r="D1343" t="s">
        <v>23</v>
      </c>
      <c r="E1343">
        <v>20</v>
      </c>
      <c r="F1343" s="2" t="s">
        <v>8864</v>
      </c>
      <c r="G1343" s="2" t="s">
        <v>8865</v>
      </c>
      <c r="H1343" s="2" t="s">
        <v>8866</v>
      </c>
      <c r="I1343" s="2" t="s">
        <v>8867</v>
      </c>
      <c r="J1343" t="s">
        <v>8868</v>
      </c>
      <c r="L1343" s="1">
        <v>2</v>
      </c>
      <c r="M1343" s="1"/>
      <c r="N1343" s="1"/>
      <c r="O1343" s="3"/>
    </row>
    <row r="1344" spans="1:15" ht="409.6">
      <c r="A1344" t="s">
        <v>8869</v>
      </c>
      <c r="B1344" t="s">
        <v>8870</v>
      </c>
      <c r="C1344" t="s">
        <v>8417</v>
      </c>
      <c r="D1344" t="s">
        <v>23</v>
      </c>
      <c r="E1344">
        <v>20</v>
      </c>
      <c r="F1344" s="2" t="s">
        <v>8871</v>
      </c>
      <c r="G1344" s="2" t="s">
        <v>8872</v>
      </c>
      <c r="H1344" s="2" t="s">
        <v>8873</v>
      </c>
      <c r="I1344" s="2" t="s">
        <v>8874</v>
      </c>
      <c r="J1344" t="s">
        <v>8875</v>
      </c>
      <c r="L1344" s="1">
        <v>2</v>
      </c>
      <c r="M1344" s="1"/>
      <c r="N1344" s="1"/>
      <c r="O1344" s="3"/>
    </row>
    <row r="1345" spans="1:15" ht="409.6">
      <c r="A1345" t="s">
        <v>2134</v>
      </c>
      <c r="B1345" t="s">
        <v>2135</v>
      </c>
      <c r="C1345" t="s">
        <v>8417</v>
      </c>
      <c r="D1345" t="s">
        <v>23</v>
      </c>
      <c r="E1345">
        <v>30</v>
      </c>
      <c r="F1345" s="2" t="s">
        <v>8876</v>
      </c>
      <c r="G1345" s="2" t="s">
        <v>8877</v>
      </c>
      <c r="H1345" s="2" t="s">
        <v>8878</v>
      </c>
      <c r="I1345" s="2" t="s">
        <v>8879</v>
      </c>
      <c r="J1345" t="s">
        <v>8880</v>
      </c>
      <c r="L1345" s="1">
        <v>2</v>
      </c>
      <c r="M1345" s="1"/>
      <c r="N1345" s="1"/>
      <c r="O1345" s="3"/>
    </row>
    <row r="1346" spans="1:15" ht="409.6">
      <c r="A1346" t="s">
        <v>6781</v>
      </c>
      <c r="B1346" t="s">
        <v>6782</v>
      </c>
      <c r="C1346" t="s">
        <v>8417</v>
      </c>
      <c r="D1346" t="s">
        <v>23</v>
      </c>
      <c r="E1346">
        <v>20</v>
      </c>
      <c r="F1346" s="2" t="s">
        <v>8881</v>
      </c>
      <c r="G1346" s="2" t="s">
        <v>8882</v>
      </c>
      <c r="H1346" s="2" t="s">
        <v>8883</v>
      </c>
      <c r="I1346" s="2" t="s">
        <v>8884</v>
      </c>
      <c r="J1346" t="s">
        <v>8885</v>
      </c>
      <c r="L1346" s="1">
        <v>2</v>
      </c>
      <c r="M1346" s="1"/>
      <c r="N1346" s="1"/>
      <c r="O1346" s="3"/>
    </row>
    <row r="1347" spans="1:15" ht="409.6">
      <c r="A1347" t="s">
        <v>8886</v>
      </c>
      <c r="B1347" t="s">
        <v>8887</v>
      </c>
      <c r="C1347" t="s">
        <v>8417</v>
      </c>
      <c r="D1347" t="s">
        <v>23</v>
      </c>
      <c r="E1347">
        <v>25</v>
      </c>
      <c r="F1347" s="2" t="s">
        <v>8888</v>
      </c>
      <c r="G1347" s="2" t="s">
        <v>8889</v>
      </c>
      <c r="H1347" s="2" t="s">
        <v>8890</v>
      </c>
      <c r="I1347" s="2" t="s">
        <v>8891</v>
      </c>
      <c r="J1347" t="s">
        <v>8892</v>
      </c>
      <c r="L1347" s="1">
        <v>2</v>
      </c>
      <c r="M1347" s="1"/>
      <c r="N1347" s="1"/>
      <c r="O1347" s="3"/>
    </row>
    <row r="1348" spans="1:15" ht="409.6">
      <c r="A1348" t="s">
        <v>8893</v>
      </c>
      <c r="B1348" t="s">
        <v>8894</v>
      </c>
      <c r="C1348" t="s">
        <v>8417</v>
      </c>
      <c r="D1348" t="s">
        <v>23</v>
      </c>
      <c r="E1348">
        <v>30</v>
      </c>
      <c r="F1348" s="2" t="s">
        <v>8895</v>
      </c>
      <c r="G1348" s="2" t="s">
        <v>8896</v>
      </c>
      <c r="H1348" s="2" t="s">
        <v>8897</v>
      </c>
      <c r="I1348" s="2" t="s">
        <v>8898</v>
      </c>
      <c r="J1348" t="s">
        <v>8899</v>
      </c>
      <c r="L1348" s="1">
        <v>2</v>
      </c>
      <c r="M1348" s="1"/>
      <c r="N1348" s="1"/>
      <c r="O1348" s="3"/>
    </row>
    <row r="1349" spans="1:15" ht="409.6">
      <c r="A1349" t="s">
        <v>2553</v>
      </c>
      <c r="B1349" t="s">
        <v>2554</v>
      </c>
      <c r="C1349" t="s">
        <v>8417</v>
      </c>
      <c r="D1349" t="s">
        <v>23</v>
      </c>
      <c r="E1349">
        <v>20</v>
      </c>
      <c r="F1349" s="2" t="s">
        <v>8900</v>
      </c>
      <c r="G1349" s="2" t="s">
        <v>8901</v>
      </c>
      <c r="H1349" s="2" t="s">
        <v>8902</v>
      </c>
      <c r="I1349" s="2" t="s">
        <v>8903</v>
      </c>
      <c r="J1349" t="s">
        <v>8904</v>
      </c>
      <c r="L1349" s="1">
        <v>2</v>
      </c>
      <c r="M1349" s="1"/>
      <c r="N1349" s="1"/>
      <c r="O1349" s="3"/>
    </row>
    <row r="1350" spans="1:15" ht="409.6">
      <c r="A1350" t="s">
        <v>8905</v>
      </c>
      <c r="B1350" t="s">
        <v>8906</v>
      </c>
      <c r="C1350" t="s">
        <v>8417</v>
      </c>
      <c r="D1350" t="s">
        <v>23</v>
      </c>
      <c r="E1350">
        <v>25</v>
      </c>
      <c r="F1350" s="2" t="s">
        <v>8907</v>
      </c>
      <c r="G1350" s="2" t="s">
        <v>8908</v>
      </c>
      <c r="H1350" s="2" t="s">
        <v>8909</v>
      </c>
      <c r="I1350" s="2" t="s">
        <v>8910</v>
      </c>
      <c r="J1350" t="s">
        <v>8911</v>
      </c>
      <c r="L1350" s="1">
        <v>2</v>
      </c>
      <c r="M1350" s="1"/>
      <c r="N1350" s="1"/>
      <c r="O1350" s="3"/>
    </row>
    <row r="1351" spans="1:15" ht="409.6">
      <c r="A1351" t="s">
        <v>2777</v>
      </c>
      <c r="B1351" t="s">
        <v>2778</v>
      </c>
      <c r="C1351" t="s">
        <v>8417</v>
      </c>
      <c r="D1351" t="s">
        <v>23</v>
      </c>
      <c r="E1351">
        <v>20</v>
      </c>
      <c r="F1351" s="2" t="s">
        <v>8912</v>
      </c>
      <c r="G1351" s="2" t="s">
        <v>8913</v>
      </c>
      <c r="H1351" s="2" t="s">
        <v>8914</v>
      </c>
      <c r="I1351" s="2" t="s">
        <v>8915</v>
      </c>
      <c r="J1351" t="s">
        <v>8737</v>
      </c>
      <c r="L1351" s="1">
        <v>2</v>
      </c>
      <c r="M1351" s="1"/>
      <c r="N1351" s="1"/>
      <c r="O1351" s="3"/>
    </row>
    <row r="1352" spans="1:15" ht="409.6">
      <c r="A1352" t="s">
        <v>6035</v>
      </c>
      <c r="B1352" t="s">
        <v>6036</v>
      </c>
      <c r="C1352" t="s">
        <v>8417</v>
      </c>
      <c r="D1352" t="s">
        <v>23</v>
      </c>
      <c r="E1352">
        <v>20</v>
      </c>
      <c r="F1352" s="2" t="s">
        <v>8916</v>
      </c>
      <c r="G1352" s="2" t="s">
        <v>8917</v>
      </c>
      <c r="H1352" s="2" t="s">
        <v>8918</v>
      </c>
      <c r="I1352" s="2" t="s">
        <v>8919</v>
      </c>
      <c r="J1352" t="s">
        <v>8920</v>
      </c>
      <c r="L1352" s="1">
        <v>2</v>
      </c>
      <c r="M1352" s="1"/>
      <c r="N1352" s="1"/>
      <c r="O1352" s="3"/>
    </row>
    <row r="1353" spans="1:15" ht="409.6">
      <c r="A1353" t="s">
        <v>8921</v>
      </c>
      <c r="B1353" t="s">
        <v>8922</v>
      </c>
      <c r="C1353" t="s">
        <v>8417</v>
      </c>
      <c r="D1353" t="s">
        <v>23</v>
      </c>
      <c r="E1353">
        <v>30</v>
      </c>
      <c r="F1353" s="2" t="s">
        <v>8923</v>
      </c>
      <c r="G1353" s="2" t="s">
        <v>8924</v>
      </c>
      <c r="H1353" s="2" t="s">
        <v>8925</v>
      </c>
      <c r="I1353" s="2" t="s">
        <v>8926</v>
      </c>
      <c r="J1353" t="s">
        <v>8927</v>
      </c>
      <c r="L1353" s="1">
        <v>2</v>
      </c>
      <c r="M1353" s="1"/>
      <c r="N1353" s="1"/>
      <c r="O1353" s="3"/>
    </row>
    <row r="1354" spans="1:15" ht="409.6">
      <c r="A1354" t="s">
        <v>8928</v>
      </c>
      <c r="B1354" t="s">
        <v>8929</v>
      </c>
      <c r="C1354" t="s">
        <v>8417</v>
      </c>
      <c r="D1354" t="s">
        <v>23</v>
      </c>
      <c r="E1354">
        <v>40</v>
      </c>
      <c r="F1354" s="2" t="s">
        <v>8930</v>
      </c>
      <c r="G1354" s="2" t="s">
        <v>8931</v>
      </c>
      <c r="H1354" s="2" t="s">
        <v>8932</v>
      </c>
      <c r="I1354" s="2" t="s">
        <v>8933</v>
      </c>
      <c r="J1354" t="s">
        <v>8934</v>
      </c>
      <c r="L1354" s="1">
        <v>2</v>
      </c>
      <c r="M1354" s="1"/>
      <c r="N1354" s="1"/>
      <c r="O1354" s="3"/>
    </row>
    <row r="1355" spans="1:15" ht="409.6">
      <c r="A1355" t="s">
        <v>8935</v>
      </c>
      <c r="B1355" t="s">
        <v>8936</v>
      </c>
      <c r="C1355" t="s">
        <v>8417</v>
      </c>
      <c r="D1355" t="s">
        <v>23</v>
      </c>
      <c r="E1355">
        <v>30</v>
      </c>
      <c r="F1355" s="2" t="s">
        <v>8937</v>
      </c>
      <c r="G1355" s="2" t="s">
        <v>8938</v>
      </c>
      <c r="H1355" s="2" t="s">
        <v>8939</v>
      </c>
      <c r="I1355" s="2" t="s">
        <v>8940</v>
      </c>
      <c r="J1355" t="s">
        <v>8941</v>
      </c>
      <c r="L1355" s="1">
        <v>2</v>
      </c>
      <c r="M1355" s="1"/>
      <c r="N1355" s="1"/>
      <c r="O1355" s="3"/>
    </row>
    <row r="1356" spans="1:15" ht="409.6">
      <c r="A1356" t="s">
        <v>8942</v>
      </c>
      <c r="B1356" t="s">
        <v>8943</v>
      </c>
      <c r="C1356" t="s">
        <v>8417</v>
      </c>
      <c r="D1356" t="s">
        <v>23</v>
      </c>
      <c r="E1356">
        <v>15</v>
      </c>
      <c r="F1356" s="2" t="s">
        <v>8944</v>
      </c>
      <c r="G1356" s="2" t="s">
        <v>8945</v>
      </c>
      <c r="H1356" s="2" t="s">
        <v>8946</v>
      </c>
      <c r="I1356" s="2" t="s">
        <v>8947</v>
      </c>
      <c r="J1356" t="s">
        <v>8948</v>
      </c>
      <c r="L1356" s="1">
        <v>2</v>
      </c>
      <c r="M1356" s="1"/>
      <c r="N1356" s="1"/>
      <c r="O1356" s="3"/>
    </row>
    <row r="1357" spans="1:15" ht="409.6">
      <c r="A1357" t="s">
        <v>8949</v>
      </c>
      <c r="B1357" t="s">
        <v>2619</v>
      </c>
      <c r="C1357" t="s">
        <v>8417</v>
      </c>
      <c r="D1357" t="s">
        <v>23</v>
      </c>
      <c r="E1357">
        <v>15</v>
      </c>
      <c r="F1357" s="2" t="s">
        <v>8950</v>
      </c>
      <c r="G1357" s="2" t="s">
        <v>8951</v>
      </c>
      <c r="H1357" s="2" t="s">
        <v>8952</v>
      </c>
      <c r="I1357" s="2" t="s">
        <v>8953</v>
      </c>
      <c r="J1357" t="s">
        <v>8954</v>
      </c>
      <c r="L1357" s="1">
        <v>2</v>
      </c>
      <c r="M1357" s="1"/>
      <c r="N1357" s="1"/>
      <c r="O1357" s="3"/>
    </row>
    <row r="1358" spans="1:15" ht="409.6">
      <c r="A1358" t="s">
        <v>2327</v>
      </c>
      <c r="B1358" t="s">
        <v>2328</v>
      </c>
      <c r="C1358" t="s">
        <v>8417</v>
      </c>
      <c r="D1358" t="s">
        <v>23</v>
      </c>
      <c r="E1358">
        <v>20</v>
      </c>
      <c r="F1358" s="2" t="s">
        <v>8955</v>
      </c>
      <c r="G1358" s="2" t="s">
        <v>8956</v>
      </c>
      <c r="H1358" s="2" t="s">
        <v>8957</v>
      </c>
      <c r="I1358" s="2" t="s">
        <v>8958</v>
      </c>
      <c r="J1358" t="s">
        <v>8959</v>
      </c>
      <c r="K1358" t="s">
        <v>8960</v>
      </c>
      <c r="L1358" s="1">
        <v>2</v>
      </c>
      <c r="M1358" s="1"/>
      <c r="N1358" s="1"/>
      <c r="O1358" s="3"/>
    </row>
    <row r="1359" spans="1:15" ht="409.6">
      <c r="A1359" t="s">
        <v>1859</v>
      </c>
      <c r="B1359" t="s">
        <v>1860</v>
      </c>
      <c r="C1359" t="s">
        <v>8417</v>
      </c>
      <c r="D1359" t="s">
        <v>23</v>
      </c>
      <c r="E1359">
        <v>30</v>
      </c>
      <c r="F1359" s="2" t="s">
        <v>8961</v>
      </c>
      <c r="G1359" s="2" t="s">
        <v>8962</v>
      </c>
      <c r="H1359" s="2" t="s">
        <v>8963</v>
      </c>
      <c r="I1359" s="2" t="s">
        <v>8964</v>
      </c>
      <c r="J1359" t="s">
        <v>8965</v>
      </c>
      <c r="L1359" s="1">
        <v>2</v>
      </c>
      <c r="M1359" s="1"/>
      <c r="N1359" s="1"/>
      <c r="O1359" s="3"/>
    </row>
    <row r="1360" spans="1:15" ht="409.6">
      <c r="A1360" t="s">
        <v>8966</v>
      </c>
      <c r="B1360" t="s">
        <v>8967</v>
      </c>
      <c r="C1360" t="s">
        <v>8417</v>
      </c>
      <c r="D1360" t="s">
        <v>23</v>
      </c>
      <c r="E1360">
        <v>20</v>
      </c>
      <c r="F1360" s="2" t="s">
        <v>8968</v>
      </c>
      <c r="G1360" s="2" t="s">
        <v>8969</v>
      </c>
      <c r="H1360" s="2" t="s">
        <v>8970</v>
      </c>
      <c r="I1360" s="2" t="s">
        <v>8971</v>
      </c>
      <c r="J1360" t="s">
        <v>8972</v>
      </c>
      <c r="L1360" s="1">
        <v>2</v>
      </c>
      <c r="M1360" s="1"/>
      <c r="N1360" s="1"/>
      <c r="O1360" s="3"/>
    </row>
    <row r="1361" spans="1:15" ht="409.6">
      <c r="A1361" t="s">
        <v>8973</v>
      </c>
      <c r="B1361" t="s">
        <v>8974</v>
      </c>
      <c r="C1361" t="s">
        <v>8417</v>
      </c>
      <c r="D1361" t="s">
        <v>23</v>
      </c>
      <c r="E1361">
        <v>20</v>
      </c>
      <c r="F1361" s="2" t="s">
        <v>8975</v>
      </c>
      <c r="G1361" s="2" t="s">
        <v>8976</v>
      </c>
      <c r="H1361" s="2" t="s">
        <v>8977</v>
      </c>
      <c r="I1361" s="2" t="s">
        <v>8978</v>
      </c>
      <c r="J1361" t="s">
        <v>8979</v>
      </c>
      <c r="L1361" s="1">
        <v>2</v>
      </c>
      <c r="M1361" s="1"/>
      <c r="N1361" s="1"/>
      <c r="O1361" s="3"/>
    </row>
    <row r="1362" spans="1:15" ht="409.6">
      <c r="A1362" t="s">
        <v>6322</v>
      </c>
      <c r="B1362" t="s">
        <v>6323</v>
      </c>
      <c r="C1362" t="s">
        <v>8417</v>
      </c>
      <c r="D1362" t="s">
        <v>23</v>
      </c>
      <c r="E1362">
        <v>20</v>
      </c>
      <c r="F1362" s="2" t="s">
        <v>8980</v>
      </c>
      <c r="G1362" s="2" t="s">
        <v>8981</v>
      </c>
      <c r="H1362" s="2" t="s">
        <v>8982</v>
      </c>
      <c r="I1362" s="2" t="s">
        <v>8983</v>
      </c>
      <c r="J1362" t="s">
        <v>8984</v>
      </c>
      <c r="L1362" s="1">
        <v>2</v>
      </c>
      <c r="M1362" s="1"/>
      <c r="N1362" s="1"/>
      <c r="O1362" s="3"/>
    </row>
    <row r="1363" spans="1:15" ht="409.6">
      <c r="A1363" t="s">
        <v>8985</v>
      </c>
      <c r="B1363" t="s">
        <v>8986</v>
      </c>
      <c r="C1363" t="s">
        <v>8417</v>
      </c>
      <c r="D1363" t="s">
        <v>23</v>
      </c>
      <c r="E1363">
        <v>30</v>
      </c>
      <c r="F1363" s="2" t="s">
        <v>8987</v>
      </c>
      <c r="G1363" s="2" t="s">
        <v>8988</v>
      </c>
      <c r="H1363" s="2" t="s">
        <v>8989</v>
      </c>
      <c r="I1363" s="2" t="s">
        <v>8990</v>
      </c>
      <c r="J1363" t="s">
        <v>8991</v>
      </c>
      <c r="L1363" s="1">
        <v>2</v>
      </c>
      <c r="M1363" s="1"/>
      <c r="N1363" s="1"/>
      <c r="O1363" s="3"/>
    </row>
    <row r="1364" spans="1:15" ht="409.6">
      <c r="A1364" t="s">
        <v>8992</v>
      </c>
      <c r="B1364" t="s">
        <v>8993</v>
      </c>
      <c r="C1364" t="s">
        <v>8417</v>
      </c>
      <c r="D1364" t="s">
        <v>23</v>
      </c>
      <c r="E1364">
        <v>20</v>
      </c>
      <c r="F1364" s="2" t="s">
        <v>8994</v>
      </c>
      <c r="G1364" s="2" t="s">
        <v>8995</v>
      </c>
      <c r="H1364" s="2" t="s">
        <v>8996</v>
      </c>
      <c r="I1364" s="2" t="s">
        <v>8997</v>
      </c>
      <c r="J1364" t="s">
        <v>8998</v>
      </c>
      <c r="L1364" s="1">
        <v>2</v>
      </c>
      <c r="M1364" s="1"/>
      <c r="N1364" s="1"/>
      <c r="O1364" s="3"/>
    </row>
    <row r="1365" spans="1:15" ht="409.6">
      <c r="A1365" t="s">
        <v>2763</v>
      </c>
      <c r="B1365" t="s">
        <v>2764</v>
      </c>
      <c r="C1365" t="s">
        <v>8417</v>
      </c>
      <c r="D1365" t="s">
        <v>23</v>
      </c>
      <c r="E1365">
        <v>30</v>
      </c>
      <c r="F1365" s="2" t="s">
        <v>8999</v>
      </c>
      <c r="G1365" s="2" t="s">
        <v>9000</v>
      </c>
      <c r="H1365" s="2" t="s">
        <v>9001</v>
      </c>
      <c r="I1365" s="2" t="s">
        <v>9002</v>
      </c>
      <c r="J1365" t="s">
        <v>9003</v>
      </c>
      <c r="K1365" t="s">
        <v>9004</v>
      </c>
      <c r="L1365" s="1">
        <v>2</v>
      </c>
      <c r="M1365" s="1"/>
      <c r="N1365" s="1"/>
      <c r="O1365" s="3"/>
    </row>
    <row r="1366" spans="1:15" ht="409.6">
      <c r="A1366" t="s">
        <v>9005</v>
      </c>
      <c r="B1366" t="s">
        <v>9006</v>
      </c>
      <c r="C1366" t="s">
        <v>8417</v>
      </c>
      <c r="D1366" t="s">
        <v>23</v>
      </c>
      <c r="E1366">
        <v>30</v>
      </c>
      <c r="F1366" s="2" t="s">
        <v>9007</v>
      </c>
      <c r="G1366" s="2" t="s">
        <v>9008</v>
      </c>
      <c r="H1366" s="2" t="s">
        <v>9009</v>
      </c>
      <c r="I1366" s="2" t="s">
        <v>9010</v>
      </c>
      <c r="J1366" t="s">
        <v>9011</v>
      </c>
      <c r="L1366" s="1">
        <v>2</v>
      </c>
      <c r="M1366" s="1"/>
      <c r="N1366" s="1"/>
      <c r="O1366" s="3"/>
    </row>
    <row r="1367" spans="1:15" ht="409.6">
      <c r="A1367" t="s">
        <v>6856</v>
      </c>
      <c r="B1367" t="s">
        <v>6857</v>
      </c>
      <c r="C1367" t="s">
        <v>8417</v>
      </c>
      <c r="D1367" t="s">
        <v>14</v>
      </c>
      <c r="E1367">
        <v>25</v>
      </c>
      <c r="F1367" s="2" t="s">
        <v>6858</v>
      </c>
      <c r="G1367" s="2" t="s">
        <v>6859</v>
      </c>
      <c r="H1367" s="2" t="s">
        <v>9012</v>
      </c>
      <c r="I1367" s="2" t="s">
        <v>9013</v>
      </c>
      <c r="J1367" t="s">
        <v>9014</v>
      </c>
      <c r="L1367" s="1">
        <v>2</v>
      </c>
      <c r="M1367" s="1"/>
      <c r="N1367" s="1"/>
      <c r="O1367" s="3"/>
    </row>
    <row r="1368" spans="1:15" ht="409.6">
      <c r="A1368" t="s">
        <v>9015</v>
      </c>
      <c r="B1368" t="s">
        <v>9016</v>
      </c>
      <c r="C1368" t="s">
        <v>8417</v>
      </c>
      <c r="D1368" t="s">
        <v>23</v>
      </c>
      <c r="E1368">
        <v>20</v>
      </c>
      <c r="F1368" s="2" t="s">
        <v>9017</v>
      </c>
      <c r="G1368" s="2" t="s">
        <v>9018</v>
      </c>
      <c r="H1368" s="2" t="s">
        <v>9019</v>
      </c>
      <c r="I1368" s="2" t="s">
        <v>9020</v>
      </c>
      <c r="J1368" t="s">
        <v>9021</v>
      </c>
      <c r="K1368" t="s">
        <v>9022</v>
      </c>
      <c r="L1368" s="1">
        <v>2</v>
      </c>
      <c r="M1368" s="1"/>
      <c r="N1368" s="1"/>
      <c r="O1368" s="3"/>
    </row>
    <row r="1369" spans="1:15" ht="409.6">
      <c r="A1369" t="s">
        <v>2726</v>
      </c>
      <c r="B1369" t="s">
        <v>9023</v>
      </c>
      <c r="C1369" t="s">
        <v>8417</v>
      </c>
      <c r="D1369" t="s">
        <v>23</v>
      </c>
      <c r="E1369">
        <v>20</v>
      </c>
      <c r="F1369" s="2" t="s">
        <v>9024</v>
      </c>
      <c r="G1369" s="2" t="s">
        <v>9025</v>
      </c>
      <c r="H1369" s="2" t="s">
        <v>9026</v>
      </c>
      <c r="I1369" s="2" t="s">
        <v>9027</v>
      </c>
      <c r="J1369" t="s">
        <v>9028</v>
      </c>
      <c r="L1369" s="1">
        <v>2</v>
      </c>
      <c r="M1369" s="1"/>
      <c r="N1369" s="1"/>
      <c r="O1369" s="3"/>
    </row>
    <row r="1370" spans="1:15" ht="409.6">
      <c r="A1370" t="s">
        <v>9029</v>
      </c>
      <c r="B1370" t="s">
        <v>9030</v>
      </c>
      <c r="C1370" t="s">
        <v>8417</v>
      </c>
      <c r="D1370" t="s">
        <v>23</v>
      </c>
      <c r="E1370">
        <v>30</v>
      </c>
      <c r="F1370" s="2" t="s">
        <v>9031</v>
      </c>
      <c r="G1370" s="2" t="s">
        <v>9032</v>
      </c>
      <c r="H1370" s="2" t="s">
        <v>9033</v>
      </c>
      <c r="I1370" s="2" t="s">
        <v>9034</v>
      </c>
      <c r="J1370" t="s">
        <v>9035</v>
      </c>
      <c r="L1370" s="1">
        <v>2</v>
      </c>
      <c r="M1370" s="1"/>
      <c r="N1370" s="1"/>
      <c r="O1370" s="3"/>
    </row>
    <row r="1371" spans="1:15" ht="409.6">
      <c r="A1371" t="s">
        <v>6863</v>
      </c>
      <c r="B1371" t="s">
        <v>6864</v>
      </c>
      <c r="C1371" t="s">
        <v>8417</v>
      </c>
      <c r="D1371" t="s">
        <v>14</v>
      </c>
      <c r="E1371">
        <v>25</v>
      </c>
      <c r="F1371" s="2" t="s">
        <v>6865</v>
      </c>
      <c r="G1371" s="2" t="s">
        <v>6866</v>
      </c>
      <c r="H1371" s="2" t="s">
        <v>6867</v>
      </c>
      <c r="I1371" s="2" t="s">
        <v>6868</v>
      </c>
      <c r="J1371" t="s">
        <v>9036</v>
      </c>
      <c r="L1371" s="1">
        <v>2</v>
      </c>
      <c r="M1371" s="1"/>
      <c r="N1371" s="1"/>
      <c r="O1371" s="3"/>
    </row>
    <row r="1372" spans="1:15" ht="409.6">
      <c r="A1372" t="s">
        <v>9037</v>
      </c>
      <c r="B1372" t="s">
        <v>9038</v>
      </c>
      <c r="C1372" t="s">
        <v>8417</v>
      </c>
      <c r="D1372" t="s">
        <v>23</v>
      </c>
      <c r="E1372">
        <v>15</v>
      </c>
      <c r="F1372" s="2" t="s">
        <v>9039</v>
      </c>
      <c r="G1372" s="2" t="s">
        <v>9040</v>
      </c>
      <c r="H1372" s="2" t="s">
        <v>9041</v>
      </c>
      <c r="I1372" s="2" t="s">
        <v>9042</v>
      </c>
      <c r="J1372" t="s">
        <v>9043</v>
      </c>
      <c r="L1372" s="1">
        <v>2</v>
      </c>
      <c r="M1372" s="1"/>
      <c r="N1372" s="1"/>
      <c r="O1372" s="3"/>
    </row>
    <row r="1373" spans="1:15" ht="409.6">
      <c r="A1373" t="s">
        <v>9044</v>
      </c>
      <c r="B1373" t="s">
        <v>9045</v>
      </c>
      <c r="C1373" t="s">
        <v>988</v>
      </c>
      <c r="D1373" t="s">
        <v>23</v>
      </c>
      <c r="E1373">
        <v>20</v>
      </c>
      <c r="F1373" s="2" t="s">
        <v>9046</v>
      </c>
      <c r="G1373" s="2" t="s">
        <v>9047</v>
      </c>
      <c r="H1373" s="2" t="s">
        <v>9048</v>
      </c>
      <c r="I1373" s="2" t="s">
        <v>9049</v>
      </c>
      <c r="J1373" t="s">
        <v>9050</v>
      </c>
      <c r="L1373" s="1">
        <v>2</v>
      </c>
      <c r="M1373" s="1"/>
      <c r="N1373" s="1"/>
      <c r="O1373" s="3"/>
    </row>
    <row r="1374" spans="1:15" ht="409.6">
      <c r="A1374" t="s">
        <v>9051</v>
      </c>
      <c r="B1374" t="s">
        <v>9052</v>
      </c>
      <c r="C1374" t="s">
        <v>988</v>
      </c>
      <c r="D1374" t="s">
        <v>23</v>
      </c>
      <c r="E1374">
        <v>50</v>
      </c>
      <c r="F1374" s="2" t="s">
        <v>9053</v>
      </c>
      <c r="G1374" s="2" t="s">
        <v>9054</v>
      </c>
      <c r="H1374" s="2" t="s">
        <v>9055</v>
      </c>
      <c r="I1374" s="2" t="s">
        <v>9056</v>
      </c>
      <c r="J1374" t="s">
        <v>9057</v>
      </c>
      <c r="L1374" s="1">
        <v>2</v>
      </c>
      <c r="M1374" s="1"/>
      <c r="N1374" s="1"/>
      <c r="O1374" s="3"/>
    </row>
    <row r="1375" spans="1:15" ht="409.6">
      <c r="A1375" t="s">
        <v>4236</v>
      </c>
      <c r="B1375" t="s">
        <v>9058</v>
      </c>
      <c r="C1375" t="s">
        <v>988</v>
      </c>
      <c r="D1375" t="s">
        <v>23</v>
      </c>
      <c r="E1375">
        <v>20</v>
      </c>
      <c r="F1375" s="2" t="s">
        <v>9059</v>
      </c>
      <c r="G1375" s="2" t="s">
        <v>9060</v>
      </c>
      <c r="H1375" s="2" t="s">
        <v>9061</v>
      </c>
      <c r="I1375" s="2" t="s">
        <v>9062</v>
      </c>
      <c r="J1375" t="s">
        <v>9063</v>
      </c>
      <c r="K1375" t="s">
        <v>4243</v>
      </c>
      <c r="L1375" s="1">
        <v>2</v>
      </c>
      <c r="M1375" s="1"/>
      <c r="N1375" s="1"/>
      <c r="O1375" s="3"/>
    </row>
    <row r="1376" spans="1:15" ht="409.6">
      <c r="A1376" t="s">
        <v>4376</v>
      </c>
      <c r="B1376" t="s">
        <v>4377</v>
      </c>
      <c r="C1376" t="s">
        <v>988</v>
      </c>
      <c r="D1376" t="s">
        <v>23</v>
      </c>
      <c r="E1376">
        <v>30</v>
      </c>
      <c r="F1376" s="2" t="s">
        <v>9064</v>
      </c>
      <c r="G1376" s="2" t="s">
        <v>9065</v>
      </c>
      <c r="H1376" s="2" t="s">
        <v>9066</v>
      </c>
      <c r="I1376" s="2" t="s">
        <v>9067</v>
      </c>
      <c r="J1376" t="s">
        <v>9068</v>
      </c>
      <c r="L1376" s="1">
        <v>2</v>
      </c>
      <c r="M1376" s="1"/>
      <c r="N1376" s="1"/>
      <c r="O1376" s="3"/>
    </row>
    <row r="1377" spans="1:15" ht="409.6">
      <c r="A1377" t="s">
        <v>9069</v>
      </c>
      <c r="B1377" t="s">
        <v>9070</v>
      </c>
      <c r="C1377" t="s">
        <v>988</v>
      </c>
      <c r="D1377" t="s">
        <v>23</v>
      </c>
      <c r="E1377">
        <v>30</v>
      </c>
      <c r="F1377" s="2" t="s">
        <v>9071</v>
      </c>
      <c r="G1377" s="2" t="s">
        <v>9072</v>
      </c>
      <c r="H1377" s="2" t="s">
        <v>9073</v>
      </c>
      <c r="I1377" s="2" t="s">
        <v>9074</v>
      </c>
      <c r="J1377" t="s">
        <v>9075</v>
      </c>
      <c r="L1377" s="1">
        <v>2</v>
      </c>
      <c r="M1377" s="1"/>
      <c r="N1377" s="1"/>
      <c r="O1377" s="3"/>
    </row>
    <row r="1378" spans="1:15" ht="409.6">
      <c r="A1378" t="s">
        <v>9076</v>
      </c>
      <c r="B1378" t="s">
        <v>9077</v>
      </c>
      <c r="C1378" t="s">
        <v>988</v>
      </c>
      <c r="D1378" t="s">
        <v>23</v>
      </c>
      <c r="E1378">
        <v>45</v>
      </c>
      <c r="F1378" s="2" t="s">
        <v>9078</v>
      </c>
      <c r="G1378" s="2" t="s">
        <v>9079</v>
      </c>
      <c r="H1378" s="2" t="s">
        <v>9080</v>
      </c>
      <c r="I1378" s="2" t="s">
        <v>9081</v>
      </c>
      <c r="J1378" t="s">
        <v>9082</v>
      </c>
      <c r="L1378" s="1">
        <v>2</v>
      </c>
      <c r="M1378" s="1"/>
      <c r="N1378" s="1"/>
      <c r="O1378" s="3"/>
    </row>
    <row r="1379" spans="1:15" ht="409.6">
      <c r="A1379" t="s">
        <v>9083</v>
      </c>
      <c r="B1379" t="s">
        <v>9084</v>
      </c>
      <c r="C1379" t="s">
        <v>988</v>
      </c>
      <c r="D1379" t="s">
        <v>23</v>
      </c>
      <c r="E1379">
        <v>15</v>
      </c>
      <c r="F1379" s="2" t="s">
        <v>9085</v>
      </c>
      <c r="G1379" s="2" t="s">
        <v>9086</v>
      </c>
      <c r="H1379" s="2" t="s">
        <v>9087</v>
      </c>
      <c r="I1379" s="2" t="s">
        <v>9088</v>
      </c>
      <c r="J1379" t="s">
        <v>9089</v>
      </c>
      <c r="L1379" s="1">
        <v>2</v>
      </c>
      <c r="M1379" s="1"/>
      <c r="N1379" s="1"/>
      <c r="O1379" s="3"/>
    </row>
    <row r="1380" spans="1:15" ht="409.6">
      <c r="A1380" t="s">
        <v>1746</v>
      </c>
      <c r="B1380" t="s">
        <v>9090</v>
      </c>
      <c r="C1380" t="s">
        <v>988</v>
      </c>
      <c r="D1380" t="s">
        <v>23</v>
      </c>
      <c r="E1380">
        <v>20</v>
      </c>
      <c r="F1380" s="2" t="s">
        <v>9091</v>
      </c>
      <c r="G1380" s="2" t="s">
        <v>9092</v>
      </c>
      <c r="H1380" s="2" t="s">
        <v>9093</v>
      </c>
      <c r="I1380" s="2" t="s">
        <v>9094</v>
      </c>
      <c r="J1380" t="s">
        <v>9095</v>
      </c>
      <c r="L1380" s="1">
        <v>2</v>
      </c>
      <c r="M1380" s="1"/>
      <c r="N1380" s="1"/>
      <c r="O1380" s="3"/>
    </row>
    <row r="1381" spans="1:15" ht="409.6">
      <c r="A1381" t="s">
        <v>9096</v>
      </c>
      <c r="B1381" t="s">
        <v>9097</v>
      </c>
      <c r="C1381" t="s">
        <v>988</v>
      </c>
      <c r="D1381" t="s">
        <v>23</v>
      </c>
      <c r="E1381">
        <v>10</v>
      </c>
      <c r="F1381" s="2" t="s">
        <v>9098</v>
      </c>
      <c r="G1381" s="2" t="s">
        <v>9099</v>
      </c>
      <c r="H1381" s="2" t="s">
        <v>9100</v>
      </c>
      <c r="I1381" s="2" t="s">
        <v>9101</v>
      </c>
      <c r="J1381" t="s">
        <v>9102</v>
      </c>
      <c r="L1381" s="1">
        <v>2</v>
      </c>
      <c r="M1381" s="1"/>
      <c r="N1381" s="1"/>
      <c r="O1381" s="3"/>
    </row>
    <row r="1382" spans="1:15" ht="409.6">
      <c r="A1382" t="s">
        <v>9103</v>
      </c>
      <c r="B1382" t="s">
        <v>9104</v>
      </c>
      <c r="C1382" t="s">
        <v>988</v>
      </c>
      <c r="D1382" t="s">
        <v>23</v>
      </c>
      <c r="E1382">
        <v>5</v>
      </c>
      <c r="F1382" s="2" t="s">
        <v>9105</v>
      </c>
      <c r="G1382" s="2" t="s">
        <v>9106</v>
      </c>
      <c r="H1382" s="2" t="s">
        <v>9107</v>
      </c>
      <c r="I1382" s="2" t="s">
        <v>9108</v>
      </c>
      <c r="J1382" t="s">
        <v>9109</v>
      </c>
      <c r="L1382" s="1">
        <v>2</v>
      </c>
      <c r="M1382" s="1"/>
      <c r="N1382" s="1"/>
      <c r="O1382" s="3"/>
    </row>
    <row r="1383" spans="1:15" ht="409.6">
      <c r="A1383" t="s">
        <v>9110</v>
      </c>
      <c r="B1383" t="s">
        <v>9111</v>
      </c>
      <c r="C1383" t="s">
        <v>988</v>
      </c>
      <c r="D1383" t="s">
        <v>23</v>
      </c>
      <c r="E1383">
        <v>20</v>
      </c>
      <c r="F1383" s="2" t="s">
        <v>9112</v>
      </c>
      <c r="G1383" s="2" t="s">
        <v>9113</v>
      </c>
      <c r="H1383" s="2" t="s">
        <v>9114</v>
      </c>
      <c r="I1383" s="2" t="s">
        <v>9115</v>
      </c>
      <c r="J1383" t="s">
        <v>9116</v>
      </c>
      <c r="L1383" s="1">
        <v>2</v>
      </c>
      <c r="M1383" s="1"/>
      <c r="N1383" s="1"/>
      <c r="O1383" s="3"/>
    </row>
    <row r="1384" spans="1:15" ht="409.6">
      <c r="A1384" t="s">
        <v>9117</v>
      </c>
      <c r="B1384" t="s">
        <v>9118</v>
      </c>
      <c r="C1384" t="s">
        <v>988</v>
      </c>
      <c r="D1384" t="s">
        <v>23</v>
      </c>
      <c r="E1384">
        <v>30</v>
      </c>
      <c r="F1384" s="2" t="s">
        <v>9119</v>
      </c>
      <c r="G1384" s="2" t="s">
        <v>9120</v>
      </c>
      <c r="H1384" s="2" t="s">
        <v>9121</v>
      </c>
      <c r="I1384" s="2" t="s">
        <v>9122</v>
      </c>
      <c r="J1384" t="s">
        <v>9123</v>
      </c>
      <c r="L1384" s="1">
        <v>2</v>
      </c>
      <c r="M1384" s="1"/>
      <c r="N1384" s="1"/>
      <c r="O1384" s="3"/>
    </row>
    <row r="1385" spans="1:15" ht="409.6">
      <c r="A1385" t="s">
        <v>9124</v>
      </c>
      <c r="B1385" t="s">
        <v>9125</v>
      </c>
      <c r="C1385" t="s">
        <v>988</v>
      </c>
      <c r="D1385" t="s">
        <v>23</v>
      </c>
      <c r="E1385">
        <v>30</v>
      </c>
      <c r="F1385" s="2" t="s">
        <v>9126</v>
      </c>
      <c r="G1385" s="2" t="s">
        <v>9127</v>
      </c>
      <c r="H1385" s="2" t="s">
        <v>9128</v>
      </c>
      <c r="I1385" s="2" t="s">
        <v>9129</v>
      </c>
      <c r="J1385" t="s">
        <v>9130</v>
      </c>
      <c r="L1385" s="1">
        <v>2</v>
      </c>
      <c r="M1385" s="1"/>
      <c r="N1385" s="1"/>
      <c r="O1385" s="3"/>
    </row>
    <row r="1386" spans="1:15" ht="409.6">
      <c r="A1386" t="s">
        <v>9131</v>
      </c>
      <c r="B1386" t="s">
        <v>9132</v>
      </c>
      <c r="C1386" t="s">
        <v>988</v>
      </c>
      <c r="D1386" t="s">
        <v>23</v>
      </c>
      <c r="E1386">
        <v>20</v>
      </c>
      <c r="F1386" s="2" t="s">
        <v>9133</v>
      </c>
      <c r="G1386" s="2" t="s">
        <v>9134</v>
      </c>
      <c r="H1386" s="2" t="s">
        <v>9135</v>
      </c>
      <c r="I1386" s="2" t="s">
        <v>9136</v>
      </c>
      <c r="J1386" t="s">
        <v>9137</v>
      </c>
      <c r="L1386" s="1">
        <v>2</v>
      </c>
      <c r="M1386" s="1"/>
      <c r="N1386" s="1"/>
      <c r="O1386" s="3"/>
    </row>
    <row r="1387" spans="1:15" ht="409.6">
      <c r="A1387" t="s">
        <v>9138</v>
      </c>
      <c r="B1387" t="s">
        <v>9139</v>
      </c>
      <c r="C1387" t="s">
        <v>988</v>
      </c>
      <c r="D1387" t="s">
        <v>23</v>
      </c>
      <c r="E1387">
        <v>25</v>
      </c>
      <c r="F1387" s="2" t="s">
        <v>9140</v>
      </c>
      <c r="G1387" s="2" t="s">
        <v>9141</v>
      </c>
      <c r="H1387" s="2" t="s">
        <v>9142</v>
      </c>
      <c r="I1387" s="2" t="s">
        <v>9143</v>
      </c>
      <c r="J1387" t="s">
        <v>9144</v>
      </c>
      <c r="L1387" s="1">
        <v>2</v>
      </c>
      <c r="M1387" s="1"/>
      <c r="N1387" s="1"/>
      <c r="O1387" s="3"/>
    </row>
    <row r="1388" spans="1:15" ht="409.6">
      <c r="A1388" t="s">
        <v>9145</v>
      </c>
      <c r="B1388" t="s">
        <v>9146</v>
      </c>
      <c r="C1388" t="s">
        <v>988</v>
      </c>
      <c r="D1388" t="s">
        <v>23</v>
      </c>
      <c r="E1388">
        <v>20</v>
      </c>
      <c r="F1388" s="2" t="s">
        <v>9147</v>
      </c>
      <c r="G1388" s="2" t="s">
        <v>9148</v>
      </c>
      <c r="H1388" s="2" t="s">
        <v>9149</v>
      </c>
      <c r="I1388" s="2" t="s">
        <v>9150</v>
      </c>
      <c r="J1388" t="s">
        <v>9151</v>
      </c>
      <c r="L1388" s="1">
        <v>2</v>
      </c>
      <c r="M1388" s="1"/>
      <c r="N1388" s="1"/>
      <c r="O1388" s="3"/>
    </row>
    <row r="1389" spans="1:15" ht="409.6">
      <c r="A1389" t="s">
        <v>5349</v>
      </c>
      <c r="B1389" t="s">
        <v>9152</v>
      </c>
      <c r="C1389" t="s">
        <v>988</v>
      </c>
      <c r="D1389" t="s">
        <v>23</v>
      </c>
      <c r="E1389">
        <v>25</v>
      </c>
      <c r="F1389" s="2" t="s">
        <v>9153</v>
      </c>
      <c r="G1389" s="2" t="s">
        <v>9154</v>
      </c>
      <c r="H1389" s="2" t="s">
        <v>9155</v>
      </c>
      <c r="I1389" s="2" t="s">
        <v>9156</v>
      </c>
      <c r="J1389" t="s">
        <v>9157</v>
      </c>
      <c r="L1389" s="1">
        <v>2</v>
      </c>
      <c r="M1389" s="1"/>
      <c r="N1389" s="1"/>
      <c r="O1389" s="3"/>
    </row>
    <row r="1390" spans="1:15" ht="409.6">
      <c r="A1390" t="s">
        <v>8726</v>
      </c>
      <c r="B1390" t="s">
        <v>8727</v>
      </c>
      <c r="C1390" t="s">
        <v>988</v>
      </c>
      <c r="D1390" t="s">
        <v>23</v>
      </c>
      <c r="E1390">
        <v>5</v>
      </c>
      <c r="F1390" s="2" t="s">
        <v>9158</v>
      </c>
      <c r="G1390" s="2" t="s">
        <v>9159</v>
      </c>
      <c r="H1390" s="2" t="s">
        <v>9160</v>
      </c>
      <c r="I1390" s="2" t="s">
        <v>9161</v>
      </c>
      <c r="J1390" t="s">
        <v>8732</v>
      </c>
      <c r="L1390" s="1">
        <v>2</v>
      </c>
      <c r="M1390" s="1"/>
      <c r="N1390" s="1"/>
      <c r="O1390" s="3"/>
    </row>
    <row r="1391" spans="1:15" ht="409.6">
      <c r="A1391" t="s">
        <v>9162</v>
      </c>
      <c r="B1391" t="s">
        <v>9163</v>
      </c>
      <c r="C1391" t="s">
        <v>988</v>
      </c>
      <c r="D1391" t="s">
        <v>23</v>
      </c>
      <c r="E1391">
        <v>10</v>
      </c>
      <c r="F1391" s="2" t="s">
        <v>9164</v>
      </c>
      <c r="G1391" s="2" t="s">
        <v>9165</v>
      </c>
      <c r="H1391" s="2" t="s">
        <v>9166</v>
      </c>
      <c r="I1391" s="2" t="s">
        <v>9167</v>
      </c>
      <c r="J1391" t="s">
        <v>9168</v>
      </c>
      <c r="L1391" s="1">
        <v>2</v>
      </c>
      <c r="M1391" s="1"/>
      <c r="N1391" s="1"/>
      <c r="O1391" s="3"/>
    </row>
    <row r="1392" spans="1:15" ht="409.6">
      <c r="A1392" t="s">
        <v>9169</v>
      </c>
      <c r="B1392" t="s">
        <v>9170</v>
      </c>
      <c r="C1392" t="s">
        <v>988</v>
      </c>
      <c r="D1392" t="s">
        <v>23</v>
      </c>
      <c r="E1392">
        <v>20</v>
      </c>
      <c r="F1392" s="2" t="s">
        <v>9171</v>
      </c>
      <c r="G1392" s="2" t="s">
        <v>9172</v>
      </c>
      <c r="H1392" s="2" t="s">
        <v>9173</v>
      </c>
      <c r="I1392" s="2" t="s">
        <v>9174</v>
      </c>
      <c r="J1392" t="s">
        <v>9175</v>
      </c>
      <c r="L1392" s="1">
        <v>2</v>
      </c>
      <c r="M1392" s="1"/>
      <c r="N1392" s="1"/>
      <c r="O1392" s="3"/>
    </row>
    <row r="1393" spans="1:15" ht="409.6">
      <c r="A1393" t="s">
        <v>9176</v>
      </c>
      <c r="B1393" t="s">
        <v>9177</v>
      </c>
      <c r="C1393" t="s">
        <v>988</v>
      </c>
      <c r="D1393" t="s">
        <v>23</v>
      </c>
      <c r="E1393">
        <v>15</v>
      </c>
      <c r="F1393" s="2" t="s">
        <v>9178</v>
      </c>
      <c r="G1393" s="2" t="s">
        <v>9179</v>
      </c>
      <c r="H1393" s="2" t="s">
        <v>9180</v>
      </c>
      <c r="I1393" s="2" t="s">
        <v>9181</v>
      </c>
      <c r="J1393" t="s">
        <v>9182</v>
      </c>
      <c r="L1393" s="1">
        <v>2</v>
      </c>
      <c r="M1393" s="1"/>
      <c r="N1393" s="1"/>
      <c r="O1393" s="3"/>
    </row>
    <row r="1394" spans="1:15" ht="409.6">
      <c r="A1394" t="s">
        <v>9183</v>
      </c>
      <c r="B1394" t="s">
        <v>9184</v>
      </c>
      <c r="C1394" t="s">
        <v>988</v>
      </c>
      <c r="D1394" t="s">
        <v>23</v>
      </c>
      <c r="E1394">
        <v>10</v>
      </c>
      <c r="F1394" s="2" t="s">
        <v>9185</v>
      </c>
      <c r="G1394" s="2" t="s">
        <v>9186</v>
      </c>
      <c r="H1394" s="2" t="s">
        <v>9187</v>
      </c>
      <c r="I1394" s="2" t="s">
        <v>9188</v>
      </c>
      <c r="J1394" t="s">
        <v>9189</v>
      </c>
      <c r="L1394" s="1">
        <v>2</v>
      </c>
      <c r="M1394" s="1"/>
      <c r="N1394" s="1"/>
      <c r="O1394" s="3"/>
    </row>
    <row r="1395" spans="1:15" ht="409.6">
      <c r="A1395" t="s">
        <v>837</v>
      </c>
      <c r="B1395" t="s">
        <v>838</v>
      </c>
      <c r="C1395" t="s">
        <v>988</v>
      </c>
      <c r="D1395" t="s">
        <v>23</v>
      </c>
      <c r="E1395">
        <v>15</v>
      </c>
      <c r="F1395" s="2" t="s">
        <v>9190</v>
      </c>
      <c r="G1395" s="2" t="s">
        <v>9191</v>
      </c>
      <c r="H1395" s="2" t="s">
        <v>9192</v>
      </c>
      <c r="I1395" s="2" t="s">
        <v>9193</v>
      </c>
      <c r="J1395" t="s">
        <v>9194</v>
      </c>
      <c r="L1395" s="1">
        <v>2</v>
      </c>
      <c r="M1395" s="1"/>
      <c r="N1395" s="1"/>
      <c r="O1395" s="3"/>
    </row>
    <row r="1396" spans="1:15" ht="409.6">
      <c r="A1396" t="s">
        <v>8805</v>
      </c>
      <c r="B1396" t="s">
        <v>8806</v>
      </c>
      <c r="C1396" t="s">
        <v>988</v>
      </c>
      <c r="D1396" t="s">
        <v>23</v>
      </c>
      <c r="E1396">
        <v>15</v>
      </c>
      <c r="F1396" s="2" t="s">
        <v>8807</v>
      </c>
      <c r="G1396" s="2" t="s">
        <v>9195</v>
      </c>
      <c r="H1396" s="2" t="s">
        <v>9196</v>
      </c>
      <c r="I1396" s="2" t="s">
        <v>9197</v>
      </c>
      <c r="J1396" t="s">
        <v>9198</v>
      </c>
      <c r="L1396" s="1">
        <v>2</v>
      </c>
      <c r="M1396" s="1"/>
      <c r="N1396" s="1"/>
      <c r="O1396" s="3"/>
    </row>
    <row r="1397" spans="1:15" ht="409.6">
      <c r="A1397" t="s">
        <v>1205</v>
      </c>
      <c r="B1397" t="s">
        <v>1206</v>
      </c>
      <c r="C1397" t="s">
        <v>988</v>
      </c>
      <c r="D1397" t="s">
        <v>23</v>
      </c>
      <c r="E1397">
        <v>15</v>
      </c>
      <c r="F1397" s="2" t="s">
        <v>9199</v>
      </c>
      <c r="G1397" s="2" t="s">
        <v>9200</v>
      </c>
      <c r="H1397" s="2" t="s">
        <v>9201</v>
      </c>
      <c r="I1397" s="2" t="s">
        <v>9201</v>
      </c>
      <c r="J1397" t="s">
        <v>9202</v>
      </c>
      <c r="L1397" s="1">
        <v>2</v>
      </c>
      <c r="M1397" s="1"/>
      <c r="N1397" s="1"/>
      <c r="O1397" s="3"/>
    </row>
    <row r="1398" spans="1:15" ht="409.6">
      <c r="A1398" t="s">
        <v>2524</v>
      </c>
      <c r="B1398" t="s">
        <v>2525</v>
      </c>
      <c r="C1398" t="s">
        <v>988</v>
      </c>
      <c r="D1398" t="s">
        <v>23</v>
      </c>
      <c r="E1398">
        <v>15</v>
      </c>
      <c r="F1398" s="2" t="s">
        <v>9203</v>
      </c>
      <c r="G1398" s="2" t="s">
        <v>9204</v>
      </c>
      <c r="H1398" s="2" t="s">
        <v>9205</v>
      </c>
      <c r="I1398" s="2" t="s">
        <v>9206</v>
      </c>
      <c r="J1398" t="s">
        <v>9207</v>
      </c>
      <c r="L1398" s="1">
        <v>2</v>
      </c>
      <c r="M1398" s="1"/>
      <c r="N1398" s="1"/>
      <c r="O1398" s="3"/>
    </row>
    <row r="1399" spans="1:15" ht="409.6">
      <c r="A1399" t="s">
        <v>9208</v>
      </c>
      <c r="B1399" t="s">
        <v>9209</v>
      </c>
      <c r="C1399" t="s">
        <v>988</v>
      </c>
      <c r="D1399" t="s">
        <v>23</v>
      </c>
      <c r="E1399">
        <v>30</v>
      </c>
      <c r="F1399" s="2" t="s">
        <v>9210</v>
      </c>
      <c r="G1399" s="2" t="s">
        <v>9211</v>
      </c>
      <c r="H1399" s="2" t="s">
        <v>9212</v>
      </c>
      <c r="I1399" s="2" t="s">
        <v>9213</v>
      </c>
      <c r="J1399" t="s">
        <v>9214</v>
      </c>
      <c r="L1399" s="1">
        <v>2</v>
      </c>
      <c r="M1399" s="1"/>
      <c r="N1399" s="1"/>
      <c r="O1399" s="3"/>
    </row>
    <row r="1400" spans="1:15" ht="409.6">
      <c r="A1400" t="s">
        <v>5788</v>
      </c>
      <c r="B1400" t="s">
        <v>2412</v>
      </c>
      <c r="C1400" t="s">
        <v>988</v>
      </c>
      <c r="D1400" t="s">
        <v>23</v>
      </c>
      <c r="E1400">
        <v>15</v>
      </c>
      <c r="F1400" s="2" t="s">
        <v>9215</v>
      </c>
      <c r="G1400" s="2" t="s">
        <v>9216</v>
      </c>
      <c r="H1400" s="2" t="s">
        <v>5791</v>
      </c>
      <c r="I1400" s="2" t="s">
        <v>9217</v>
      </c>
      <c r="J1400" t="s">
        <v>5793</v>
      </c>
      <c r="L1400" s="1">
        <v>2</v>
      </c>
      <c r="M1400" s="1"/>
      <c r="N1400" s="1"/>
      <c r="O1400" s="3"/>
    </row>
    <row r="1401" spans="1:15" ht="409.6">
      <c r="A1401" t="s">
        <v>9218</v>
      </c>
      <c r="B1401" t="s">
        <v>2771</v>
      </c>
      <c r="C1401" t="s">
        <v>988</v>
      </c>
      <c r="D1401" t="s">
        <v>23</v>
      </c>
      <c r="E1401">
        <v>15</v>
      </c>
      <c r="F1401" s="2" t="s">
        <v>9219</v>
      </c>
      <c r="G1401" s="2" t="s">
        <v>9220</v>
      </c>
      <c r="H1401" s="2" t="s">
        <v>9221</v>
      </c>
      <c r="I1401" s="2" t="s">
        <v>9222</v>
      </c>
      <c r="J1401" t="s">
        <v>9223</v>
      </c>
      <c r="L1401" s="1">
        <v>2</v>
      </c>
      <c r="M1401" s="1"/>
      <c r="N1401" s="1"/>
      <c r="O1401" s="3"/>
    </row>
    <row r="1402" spans="1:15" ht="409.6">
      <c r="A1402" t="s">
        <v>9224</v>
      </c>
      <c r="B1402" t="s">
        <v>1047</v>
      </c>
      <c r="C1402" t="s">
        <v>988</v>
      </c>
      <c r="D1402" t="s">
        <v>23</v>
      </c>
      <c r="E1402">
        <v>20</v>
      </c>
      <c r="F1402" s="2" t="s">
        <v>9225</v>
      </c>
      <c r="G1402" s="2" t="s">
        <v>9226</v>
      </c>
      <c r="H1402" s="2" t="s">
        <v>9227</v>
      </c>
      <c r="I1402" s="2" t="s">
        <v>9228</v>
      </c>
      <c r="J1402" t="s">
        <v>9229</v>
      </c>
      <c r="K1402" t="s">
        <v>9230</v>
      </c>
      <c r="L1402" s="1">
        <v>2</v>
      </c>
      <c r="M1402" s="1"/>
      <c r="N1402" s="1"/>
      <c r="O1402" s="3"/>
    </row>
    <row r="1403" spans="1:15" ht="409.6">
      <c r="A1403" t="s">
        <v>9231</v>
      </c>
      <c r="B1403" t="s">
        <v>9232</v>
      </c>
      <c r="C1403" t="s">
        <v>988</v>
      </c>
      <c r="D1403" t="s">
        <v>23</v>
      </c>
      <c r="E1403">
        <v>50</v>
      </c>
      <c r="F1403" s="2" t="s">
        <v>9233</v>
      </c>
      <c r="G1403" s="2" t="s">
        <v>9234</v>
      </c>
      <c r="H1403" s="2" t="s">
        <v>9235</v>
      </c>
      <c r="I1403" s="2" t="s">
        <v>9236</v>
      </c>
      <c r="J1403" t="s">
        <v>9237</v>
      </c>
      <c r="K1403" t="s">
        <v>9238</v>
      </c>
      <c r="L1403" s="1">
        <v>2</v>
      </c>
      <c r="M1403" s="1"/>
      <c r="N1403" s="1"/>
      <c r="O1403" s="3"/>
    </row>
    <row r="1404" spans="1:15" ht="409.6">
      <c r="A1404" t="s">
        <v>9239</v>
      </c>
      <c r="B1404" t="s">
        <v>9240</v>
      </c>
      <c r="C1404" t="s">
        <v>988</v>
      </c>
      <c r="D1404" t="s">
        <v>23</v>
      </c>
      <c r="E1404">
        <v>25</v>
      </c>
      <c r="F1404" s="2" t="s">
        <v>9241</v>
      </c>
      <c r="G1404" s="2" t="s">
        <v>9242</v>
      </c>
      <c r="H1404" s="2" t="s">
        <v>9243</v>
      </c>
      <c r="I1404" s="2" t="s">
        <v>9244</v>
      </c>
      <c r="J1404" t="s">
        <v>9245</v>
      </c>
      <c r="L1404" s="1">
        <v>2</v>
      </c>
      <c r="M1404" s="1"/>
      <c r="N1404" s="1"/>
      <c r="O1404" s="3"/>
    </row>
    <row r="1405" spans="1:15" ht="409.6">
      <c r="A1405" t="s">
        <v>9246</v>
      </c>
      <c r="B1405" t="s">
        <v>9247</v>
      </c>
      <c r="C1405" t="s">
        <v>988</v>
      </c>
      <c r="D1405" t="s">
        <v>23</v>
      </c>
      <c r="E1405">
        <v>15</v>
      </c>
      <c r="F1405" s="2" t="s">
        <v>9248</v>
      </c>
      <c r="G1405" s="2" t="s">
        <v>9249</v>
      </c>
      <c r="H1405" s="2" t="s">
        <v>9250</v>
      </c>
      <c r="I1405" s="2" t="s">
        <v>9251</v>
      </c>
      <c r="J1405" t="s">
        <v>9252</v>
      </c>
      <c r="L1405" s="1">
        <v>2</v>
      </c>
      <c r="M1405" s="1"/>
      <c r="N1405" s="1"/>
      <c r="O1405" s="3"/>
    </row>
    <row r="1406" spans="1:15" ht="409.6">
      <c r="A1406" t="s">
        <v>1760</v>
      </c>
      <c r="B1406" t="s">
        <v>1761</v>
      </c>
      <c r="C1406" t="s">
        <v>988</v>
      </c>
      <c r="D1406" t="s">
        <v>23</v>
      </c>
      <c r="E1406">
        <v>20</v>
      </c>
      <c r="F1406" s="2" t="s">
        <v>9253</v>
      </c>
      <c r="G1406" s="2" t="s">
        <v>9254</v>
      </c>
      <c r="H1406" s="2" t="s">
        <v>9255</v>
      </c>
      <c r="I1406" s="2" t="s">
        <v>9256</v>
      </c>
      <c r="J1406" t="s">
        <v>9257</v>
      </c>
      <c r="L1406" s="1">
        <v>2</v>
      </c>
      <c r="M1406" s="1"/>
      <c r="N1406" s="1"/>
      <c r="O1406" s="3"/>
    </row>
    <row r="1407" spans="1:15" ht="409.6">
      <c r="A1407" t="s">
        <v>9258</v>
      </c>
      <c r="B1407" t="s">
        <v>9259</v>
      </c>
      <c r="C1407" t="s">
        <v>988</v>
      </c>
      <c r="D1407" t="s">
        <v>23</v>
      </c>
      <c r="E1407">
        <v>40</v>
      </c>
      <c r="F1407" s="2" t="s">
        <v>9260</v>
      </c>
      <c r="G1407" s="2" t="s">
        <v>9261</v>
      </c>
      <c r="H1407" s="2" t="s">
        <v>9262</v>
      </c>
      <c r="I1407" s="2" t="s">
        <v>9263</v>
      </c>
      <c r="J1407" t="s">
        <v>9264</v>
      </c>
      <c r="L1407" s="1">
        <v>2</v>
      </c>
      <c r="M1407" s="1"/>
      <c r="N1407" s="1"/>
      <c r="O1407" s="3"/>
    </row>
    <row r="1408" spans="1:15" ht="409.6">
      <c r="A1408" t="s">
        <v>9265</v>
      </c>
      <c r="B1408" t="s">
        <v>9266</v>
      </c>
      <c r="C1408" t="s">
        <v>988</v>
      </c>
      <c r="D1408" t="s">
        <v>23</v>
      </c>
      <c r="E1408">
        <v>15</v>
      </c>
      <c r="F1408" s="2" t="s">
        <v>9267</v>
      </c>
      <c r="G1408" s="2" t="s">
        <v>9268</v>
      </c>
      <c r="H1408" s="2" t="s">
        <v>8409</v>
      </c>
      <c r="I1408" s="2" t="s">
        <v>9269</v>
      </c>
      <c r="J1408" t="s">
        <v>9270</v>
      </c>
      <c r="K1408" t="s">
        <v>8412</v>
      </c>
      <c r="L1408" s="1">
        <v>2</v>
      </c>
      <c r="M1408" s="1"/>
      <c r="N1408" s="1"/>
      <c r="O1408" s="3"/>
    </row>
    <row r="1409" spans="1:15" ht="409.6">
      <c r="A1409" t="s">
        <v>4059</v>
      </c>
      <c r="B1409" t="s">
        <v>4060</v>
      </c>
      <c r="C1409" t="s">
        <v>9271</v>
      </c>
      <c r="D1409" t="s">
        <v>23</v>
      </c>
      <c r="E1409">
        <v>5</v>
      </c>
      <c r="F1409" s="2" t="s">
        <v>9272</v>
      </c>
      <c r="G1409" s="2" t="s">
        <v>9273</v>
      </c>
      <c r="H1409" s="2" t="s">
        <v>9274</v>
      </c>
      <c r="I1409" s="2" t="s">
        <v>9275</v>
      </c>
      <c r="J1409" t="s">
        <v>9276</v>
      </c>
      <c r="K1409" t="s">
        <v>4067</v>
      </c>
      <c r="L1409" s="1">
        <v>2</v>
      </c>
      <c r="M1409" s="1"/>
      <c r="N1409" s="1"/>
      <c r="O1409" s="3"/>
    </row>
    <row r="1410" spans="1:15" ht="409.6">
      <c r="A1410" t="s">
        <v>8563</v>
      </c>
      <c r="B1410" t="s">
        <v>8564</v>
      </c>
      <c r="C1410" t="s">
        <v>9271</v>
      </c>
      <c r="D1410" t="s">
        <v>23</v>
      </c>
      <c r="E1410">
        <v>30</v>
      </c>
      <c r="F1410" s="2" t="s">
        <v>9277</v>
      </c>
      <c r="G1410" s="2" t="s">
        <v>9278</v>
      </c>
      <c r="H1410" s="2" t="s">
        <v>9279</v>
      </c>
      <c r="I1410" s="2" t="s">
        <v>9280</v>
      </c>
      <c r="J1410" t="s">
        <v>9281</v>
      </c>
      <c r="L1410" s="1">
        <v>2</v>
      </c>
      <c r="M1410" s="1"/>
      <c r="N1410" s="1"/>
      <c r="O1410" s="3"/>
    </row>
    <row r="1411" spans="1:15" ht="409.6">
      <c r="A1411" t="s">
        <v>9282</v>
      </c>
      <c r="B1411" t="s">
        <v>9282</v>
      </c>
      <c r="C1411" t="s">
        <v>9271</v>
      </c>
      <c r="D1411" t="s">
        <v>23</v>
      </c>
      <c r="E1411">
        <v>25</v>
      </c>
      <c r="F1411" s="2" t="s">
        <v>9283</v>
      </c>
      <c r="G1411" s="2" t="s">
        <v>9284</v>
      </c>
      <c r="H1411" s="2" t="s">
        <v>9285</v>
      </c>
      <c r="I1411" s="2" t="s">
        <v>9286</v>
      </c>
      <c r="J1411" t="s">
        <v>9287</v>
      </c>
      <c r="K1411" t="s">
        <v>9288</v>
      </c>
      <c r="L1411" s="1">
        <v>2</v>
      </c>
      <c r="M1411" s="1"/>
      <c r="N1411" s="1"/>
      <c r="O1411" s="3"/>
    </row>
    <row r="1412" spans="1:15" ht="409.6">
      <c r="A1412" t="s">
        <v>9138</v>
      </c>
      <c r="B1412" t="s">
        <v>9139</v>
      </c>
      <c r="C1412" t="s">
        <v>9271</v>
      </c>
      <c r="D1412" t="s">
        <v>23</v>
      </c>
      <c r="E1412">
        <v>25</v>
      </c>
      <c r="F1412" s="2" t="s">
        <v>9289</v>
      </c>
      <c r="G1412" s="2" t="s">
        <v>9290</v>
      </c>
      <c r="H1412" s="2" t="s">
        <v>9291</v>
      </c>
      <c r="I1412" s="2" t="s">
        <v>9292</v>
      </c>
      <c r="J1412" t="s">
        <v>9293</v>
      </c>
      <c r="L1412" s="1">
        <v>2</v>
      </c>
      <c r="M1412" s="1"/>
      <c r="N1412" s="1"/>
      <c r="O1412" s="3"/>
    </row>
    <row r="1413" spans="1:15" ht="409.6">
      <c r="A1413" t="s">
        <v>5349</v>
      </c>
      <c r="B1413" t="s">
        <v>5350</v>
      </c>
      <c r="C1413" t="s">
        <v>9271</v>
      </c>
      <c r="D1413" t="s">
        <v>23</v>
      </c>
      <c r="E1413">
        <v>20</v>
      </c>
      <c r="F1413" s="2" t="s">
        <v>9294</v>
      </c>
      <c r="G1413" s="2" t="s">
        <v>9295</v>
      </c>
      <c r="H1413" s="2" t="s">
        <v>9296</v>
      </c>
      <c r="I1413" s="2" t="s">
        <v>9297</v>
      </c>
      <c r="J1413" t="s">
        <v>9298</v>
      </c>
      <c r="L1413" s="1">
        <v>2</v>
      </c>
      <c r="M1413" s="1"/>
      <c r="N1413" s="1"/>
      <c r="O1413" s="3"/>
    </row>
    <row r="1414" spans="1:15" ht="409.6">
      <c r="A1414" t="s">
        <v>9183</v>
      </c>
      <c r="B1414" t="s">
        <v>9184</v>
      </c>
      <c r="C1414" t="s">
        <v>9271</v>
      </c>
      <c r="D1414" t="s">
        <v>23</v>
      </c>
      <c r="E1414">
        <v>25</v>
      </c>
      <c r="F1414" s="2" t="s">
        <v>9299</v>
      </c>
      <c r="G1414" s="2" t="s">
        <v>9300</v>
      </c>
      <c r="H1414" s="2" t="s">
        <v>9301</v>
      </c>
      <c r="I1414" s="2" t="s">
        <v>9302</v>
      </c>
      <c r="J1414" t="s">
        <v>9303</v>
      </c>
      <c r="L1414" s="1">
        <v>2</v>
      </c>
      <c r="M1414" s="1"/>
      <c r="N1414" s="1"/>
      <c r="O1414" s="3"/>
    </row>
    <row r="1415" spans="1:15" ht="409.6">
      <c r="A1415" t="s">
        <v>8843</v>
      </c>
      <c r="B1415" t="s">
        <v>2475</v>
      </c>
      <c r="C1415" t="s">
        <v>9271</v>
      </c>
      <c r="D1415" t="s">
        <v>23</v>
      </c>
      <c r="E1415">
        <v>20</v>
      </c>
      <c r="F1415" s="2" t="s">
        <v>9304</v>
      </c>
      <c r="G1415" s="2" t="s">
        <v>9305</v>
      </c>
      <c r="H1415" s="2" t="s">
        <v>9306</v>
      </c>
      <c r="I1415" s="2" t="s">
        <v>9307</v>
      </c>
      <c r="J1415" t="s">
        <v>9308</v>
      </c>
      <c r="L1415" s="1">
        <v>2</v>
      </c>
      <c r="M1415" s="1"/>
      <c r="N1415" s="1"/>
      <c r="O1415" s="3"/>
    </row>
    <row r="1416" spans="1:15" ht="409.6">
      <c r="A1416" t="s">
        <v>9309</v>
      </c>
      <c r="B1416" t="s">
        <v>9310</v>
      </c>
      <c r="C1416" t="s">
        <v>9271</v>
      </c>
      <c r="D1416" t="s">
        <v>23</v>
      </c>
      <c r="E1416">
        <v>15</v>
      </c>
      <c r="F1416" s="2" t="s">
        <v>9311</v>
      </c>
      <c r="G1416" s="2" t="s">
        <v>9312</v>
      </c>
      <c r="H1416" s="2" t="s">
        <v>9313</v>
      </c>
      <c r="I1416" s="2" t="s">
        <v>9314</v>
      </c>
      <c r="J1416" t="s">
        <v>9315</v>
      </c>
      <c r="L1416" s="1">
        <v>2</v>
      </c>
      <c r="M1416" s="1"/>
      <c r="N1416" s="1"/>
      <c r="O1416" s="3"/>
    </row>
    <row r="1417" spans="1:15" ht="409.6">
      <c r="A1417" t="s">
        <v>8886</v>
      </c>
      <c r="B1417" t="s">
        <v>9316</v>
      </c>
      <c r="C1417" t="s">
        <v>9271</v>
      </c>
      <c r="D1417" t="s">
        <v>23</v>
      </c>
      <c r="E1417">
        <v>25</v>
      </c>
      <c r="F1417" s="2" t="s">
        <v>9317</v>
      </c>
      <c r="G1417" s="2" t="s">
        <v>9318</v>
      </c>
      <c r="H1417" s="2" t="s">
        <v>9319</v>
      </c>
      <c r="I1417" s="2" t="s">
        <v>9320</v>
      </c>
      <c r="J1417" t="s">
        <v>9321</v>
      </c>
      <c r="L1417" s="1">
        <v>2</v>
      </c>
      <c r="M1417" s="1"/>
      <c r="N1417" s="1"/>
      <c r="O1417" s="3"/>
    </row>
    <row r="1418" spans="1:15" ht="409.6">
      <c r="A1418" t="s">
        <v>2327</v>
      </c>
      <c r="B1418" t="s">
        <v>2328</v>
      </c>
      <c r="C1418" t="s">
        <v>9271</v>
      </c>
      <c r="D1418" t="s">
        <v>23</v>
      </c>
      <c r="E1418">
        <v>20</v>
      </c>
      <c r="F1418" s="2" t="s">
        <v>9322</v>
      </c>
      <c r="G1418" s="2" t="s">
        <v>9323</v>
      </c>
      <c r="H1418" s="2" t="s">
        <v>9324</v>
      </c>
      <c r="I1418" s="2" t="s">
        <v>9325</v>
      </c>
      <c r="J1418" t="s">
        <v>9326</v>
      </c>
      <c r="L1418" s="1">
        <v>2</v>
      </c>
      <c r="M1418" s="1"/>
      <c r="N1418" s="1"/>
      <c r="O1418" s="3"/>
    </row>
    <row r="1419" spans="1:15" ht="409.6">
      <c r="A1419" t="s">
        <v>8406</v>
      </c>
      <c r="B1419" t="s">
        <v>2713</v>
      </c>
      <c r="C1419" t="s">
        <v>9271</v>
      </c>
      <c r="D1419" t="s">
        <v>23</v>
      </c>
      <c r="E1419">
        <v>30</v>
      </c>
      <c r="F1419" s="2" t="s">
        <v>9327</v>
      </c>
      <c r="G1419" s="2" t="s">
        <v>9328</v>
      </c>
      <c r="H1419" s="2" t="s">
        <v>9329</v>
      </c>
      <c r="I1419" s="2" t="s">
        <v>9330</v>
      </c>
      <c r="J1419" t="s">
        <v>9331</v>
      </c>
      <c r="K1419" t="s">
        <v>8412</v>
      </c>
      <c r="L1419" s="1">
        <v>2</v>
      </c>
      <c r="M1419" s="1"/>
      <c r="N1419" s="1"/>
      <c r="O1419" s="3"/>
    </row>
    <row r="1420" spans="1:15" ht="409.6">
      <c r="A1420" t="s">
        <v>9332</v>
      </c>
      <c r="B1420" t="s">
        <v>9333</v>
      </c>
      <c r="C1420" t="s">
        <v>9271</v>
      </c>
      <c r="D1420" t="s">
        <v>23</v>
      </c>
      <c r="E1420">
        <v>15</v>
      </c>
      <c r="F1420" s="2" t="s">
        <v>9334</v>
      </c>
      <c r="G1420" s="2" t="s">
        <v>9335</v>
      </c>
      <c r="H1420" s="2" t="s">
        <v>9336</v>
      </c>
      <c r="I1420" s="2" t="s">
        <v>9337</v>
      </c>
      <c r="J1420" t="s">
        <v>9338</v>
      </c>
      <c r="K1420" t="s">
        <v>9339</v>
      </c>
      <c r="L1420" s="1">
        <v>2</v>
      </c>
      <c r="M1420" s="1"/>
      <c r="N1420" s="1"/>
      <c r="O1420" s="3"/>
    </row>
    <row r="1421" spans="1:15" ht="409.6">
      <c r="A1421" t="s">
        <v>2856</v>
      </c>
      <c r="B1421" t="s">
        <v>2857</v>
      </c>
      <c r="C1421" t="s">
        <v>9271</v>
      </c>
      <c r="D1421" t="s">
        <v>23</v>
      </c>
      <c r="E1421">
        <v>15</v>
      </c>
      <c r="F1421" s="2" t="s">
        <v>9340</v>
      </c>
      <c r="G1421" s="2" t="s">
        <v>9341</v>
      </c>
      <c r="H1421" s="2" t="s">
        <v>9342</v>
      </c>
      <c r="I1421" s="2" t="s">
        <v>9343</v>
      </c>
      <c r="J1421" t="s">
        <v>9344</v>
      </c>
      <c r="L1421" s="1">
        <v>2</v>
      </c>
      <c r="M1421" s="1"/>
      <c r="N1421" s="1"/>
      <c r="O1421" s="3"/>
    </row>
    <row r="1422" spans="1:15" ht="409.6">
      <c r="A1422" t="s">
        <v>806</v>
      </c>
      <c r="B1422" t="s">
        <v>807</v>
      </c>
      <c r="C1422" t="s">
        <v>9271</v>
      </c>
      <c r="D1422" t="s">
        <v>23</v>
      </c>
      <c r="E1422">
        <v>15</v>
      </c>
      <c r="F1422" s="2" t="s">
        <v>9345</v>
      </c>
      <c r="G1422" s="2" t="s">
        <v>9346</v>
      </c>
      <c r="H1422" s="2" t="s">
        <v>9347</v>
      </c>
      <c r="I1422" s="2" t="s">
        <v>9348</v>
      </c>
      <c r="J1422" t="s">
        <v>9349</v>
      </c>
      <c r="L1422" s="1">
        <v>2</v>
      </c>
      <c r="M1422" s="1"/>
      <c r="N1422" s="1"/>
      <c r="O1422" s="3"/>
    </row>
    <row r="1423" spans="1:15" ht="409.6">
      <c r="A1423" t="s">
        <v>7889</v>
      </c>
      <c r="B1423" t="s">
        <v>7890</v>
      </c>
      <c r="C1423" t="s">
        <v>9350</v>
      </c>
      <c r="D1423" t="s">
        <v>23</v>
      </c>
      <c r="E1423">
        <v>15</v>
      </c>
      <c r="F1423" s="2" t="s">
        <v>9351</v>
      </c>
      <c r="G1423" s="2" t="s">
        <v>9352</v>
      </c>
      <c r="H1423" s="2" t="s">
        <v>7893</v>
      </c>
      <c r="I1423" s="2" t="s">
        <v>9353</v>
      </c>
      <c r="J1423" t="s">
        <v>9354</v>
      </c>
      <c r="L1423" s="1">
        <v>2</v>
      </c>
      <c r="M1423" s="1"/>
      <c r="N1423" s="1"/>
      <c r="O1423" s="3"/>
    </row>
    <row r="1424" spans="1:15" ht="409.6">
      <c r="A1424" t="s">
        <v>9138</v>
      </c>
      <c r="B1424" t="s">
        <v>9139</v>
      </c>
      <c r="C1424" t="s">
        <v>9350</v>
      </c>
      <c r="D1424" t="s">
        <v>23</v>
      </c>
      <c r="E1424">
        <v>25</v>
      </c>
      <c r="F1424" s="2" t="s">
        <v>9355</v>
      </c>
      <c r="G1424" s="2" t="s">
        <v>9356</v>
      </c>
      <c r="H1424" s="2" t="s">
        <v>9357</v>
      </c>
      <c r="I1424" s="2" t="s">
        <v>9358</v>
      </c>
      <c r="J1424" t="s">
        <v>9359</v>
      </c>
      <c r="L1424" s="1">
        <v>2</v>
      </c>
      <c r="M1424" s="1"/>
      <c r="N1424" s="1"/>
      <c r="O1424" s="3"/>
    </row>
    <row r="1425" spans="1:15" ht="409.6">
      <c r="A1425" t="s">
        <v>5349</v>
      </c>
      <c r="B1425" t="s">
        <v>5350</v>
      </c>
      <c r="C1425" t="s">
        <v>9350</v>
      </c>
      <c r="D1425" t="s">
        <v>23</v>
      </c>
      <c r="E1425">
        <v>30</v>
      </c>
      <c r="F1425" s="2" t="s">
        <v>9360</v>
      </c>
      <c r="G1425" s="2" t="s">
        <v>9295</v>
      </c>
      <c r="H1425" s="2" t="s">
        <v>9155</v>
      </c>
      <c r="I1425" s="2" t="s">
        <v>9297</v>
      </c>
      <c r="J1425" t="s">
        <v>9361</v>
      </c>
      <c r="L1425" s="1">
        <v>2</v>
      </c>
      <c r="M1425" s="1"/>
      <c r="N1425" s="1"/>
      <c r="O1425" s="3"/>
    </row>
    <row r="1426" spans="1:15" ht="409.6">
      <c r="A1426" t="s">
        <v>9183</v>
      </c>
      <c r="B1426" t="s">
        <v>9184</v>
      </c>
      <c r="C1426" t="s">
        <v>9350</v>
      </c>
      <c r="D1426" t="s">
        <v>23</v>
      </c>
      <c r="E1426">
        <v>20</v>
      </c>
      <c r="F1426" s="2" t="s">
        <v>9362</v>
      </c>
      <c r="G1426" s="2" t="s">
        <v>9363</v>
      </c>
      <c r="H1426" s="2" t="s">
        <v>9187</v>
      </c>
      <c r="I1426" s="2" t="s">
        <v>9188</v>
      </c>
      <c r="J1426" t="s">
        <v>9364</v>
      </c>
      <c r="L1426" s="1">
        <v>2</v>
      </c>
      <c r="M1426" s="1"/>
      <c r="N1426" s="1"/>
      <c r="O1426" s="3"/>
    </row>
    <row r="1427" spans="1:15" ht="409.6">
      <c r="A1427" t="s">
        <v>8843</v>
      </c>
      <c r="B1427" t="s">
        <v>2475</v>
      </c>
      <c r="C1427" t="s">
        <v>9350</v>
      </c>
      <c r="D1427" t="s">
        <v>23</v>
      </c>
      <c r="E1427">
        <v>40</v>
      </c>
      <c r="F1427" s="2" t="s">
        <v>9365</v>
      </c>
      <c r="G1427" s="2" t="s">
        <v>9305</v>
      </c>
      <c r="H1427" s="2" t="s">
        <v>9366</v>
      </c>
      <c r="I1427" s="2" t="s">
        <v>9367</v>
      </c>
      <c r="J1427" t="s">
        <v>9308</v>
      </c>
      <c r="L1427" s="1">
        <v>2</v>
      </c>
      <c r="M1427" s="1"/>
      <c r="N1427" s="1"/>
      <c r="O1427" s="3"/>
    </row>
    <row r="1428" spans="1:15" ht="409.6">
      <c r="A1428" t="s">
        <v>9265</v>
      </c>
      <c r="B1428" t="s">
        <v>9266</v>
      </c>
      <c r="C1428" t="s">
        <v>9350</v>
      </c>
      <c r="D1428" t="s">
        <v>23</v>
      </c>
      <c r="E1428">
        <v>20</v>
      </c>
      <c r="F1428" s="2" t="s">
        <v>9368</v>
      </c>
      <c r="G1428" s="2" t="s">
        <v>9369</v>
      </c>
      <c r="H1428" s="2" t="s">
        <v>8409</v>
      </c>
      <c r="I1428" s="2" t="s">
        <v>9370</v>
      </c>
      <c r="J1428" t="s">
        <v>9371</v>
      </c>
      <c r="L1428" s="1">
        <v>2</v>
      </c>
      <c r="M1428" s="1"/>
      <c r="N1428" s="1"/>
      <c r="O1428" s="3"/>
    </row>
    <row r="1429" spans="1:15" ht="409.6">
      <c r="A1429" t="s">
        <v>4229</v>
      </c>
      <c r="B1429" t="s">
        <v>4230</v>
      </c>
      <c r="C1429" t="s">
        <v>9372</v>
      </c>
      <c r="D1429" t="s">
        <v>23</v>
      </c>
      <c r="E1429">
        <v>10</v>
      </c>
      <c r="F1429" s="2" t="s">
        <v>9373</v>
      </c>
      <c r="G1429" s="2" t="s">
        <v>9374</v>
      </c>
      <c r="H1429" s="2" t="s">
        <v>9375</v>
      </c>
      <c r="I1429" s="2" t="s">
        <v>9376</v>
      </c>
      <c r="J1429" t="s">
        <v>9377</v>
      </c>
      <c r="L1429" s="1">
        <v>2</v>
      </c>
      <c r="M1429" s="1"/>
      <c r="N1429" s="1"/>
      <c r="O1429" s="3"/>
    </row>
    <row r="1430" spans="1:15" ht="409.6">
      <c r="A1430" t="s">
        <v>697</v>
      </c>
      <c r="B1430" s="2" t="s">
        <v>9378</v>
      </c>
      <c r="C1430" t="s">
        <v>9372</v>
      </c>
      <c r="D1430" t="s">
        <v>23</v>
      </c>
      <c r="E1430">
        <v>20</v>
      </c>
      <c r="F1430" s="2" t="s">
        <v>8440</v>
      </c>
      <c r="G1430" s="2" t="s">
        <v>8441</v>
      </c>
      <c r="H1430" s="2" t="s">
        <v>9379</v>
      </c>
      <c r="I1430" s="2" t="s">
        <v>9380</v>
      </c>
      <c r="J1430" t="s">
        <v>9381</v>
      </c>
      <c r="L1430" s="1">
        <v>2</v>
      </c>
      <c r="M1430" s="1"/>
      <c r="N1430" s="1"/>
      <c r="O1430" s="3"/>
    </row>
    <row r="1431" spans="1:15" ht="409.6">
      <c r="A1431" t="s">
        <v>4244</v>
      </c>
      <c r="B1431" t="s">
        <v>4245</v>
      </c>
      <c r="C1431" t="s">
        <v>9372</v>
      </c>
      <c r="D1431" t="s">
        <v>23</v>
      </c>
      <c r="E1431">
        <v>25</v>
      </c>
      <c r="F1431" s="2" t="s">
        <v>9382</v>
      </c>
      <c r="G1431" s="2" t="s">
        <v>4247</v>
      </c>
      <c r="H1431" s="2" t="s">
        <v>9383</v>
      </c>
      <c r="I1431" s="2" t="s">
        <v>9384</v>
      </c>
      <c r="J1431" t="s">
        <v>8449</v>
      </c>
      <c r="L1431" s="1">
        <v>2</v>
      </c>
      <c r="M1431" s="1"/>
      <c r="N1431" s="1"/>
      <c r="O1431" s="3"/>
    </row>
    <row r="1432" spans="1:15" ht="409.6">
      <c r="A1432" t="s">
        <v>8450</v>
      </c>
      <c r="B1432" t="s">
        <v>8451</v>
      </c>
      <c r="C1432" t="s">
        <v>9372</v>
      </c>
      <c r="D1432" t="s">
        <v>23</v>
      </c>
      <c r="E1432">
        <v>20</v>
      </c>
      <c r="F1432" s="2" t="s">
        <v>9385</v>
      </c>
      <c r="G1432" s="2" t="s">
        <v>8453</v>
      </c>
      <c r="H1432" s="2" t="s">
        <v>9386</v>
      </c>
      <c r="I1432" s="2" t="s">
        <v>9387</v>
      </c>
      <c r="J1432" t="s">
        <v>9388</v>
      </c>
      <c r="L1432" s="1">
        <v>2</v>
      </c>
      <c r="M1432" s="1"/>
      <c r="N1432" s="1"/>
      <c r="O1432" s="3"/>
    </row>
    <row r="1433" spans="1:15" ht="409.6">
      <c r="A1433" t="s">
        <v>4251</v>
      </c>
      <c r="B1433" t="s">
        <v>8457</v>
      </c>
      <c r="C1433" t="s">
        <v>9372</v>
      </c>
      <c r="D1433" t="s">
        <v>23</v>
      </c>
      <c r="E1433">
        <v>10</v>
      </c>
      <c r="F1433" s="2" t="s">
        <v>8458</v>
      </c>
      <c r="G1433" s="2" t="s">
        <v>8459</v>
      </c>
      <c r="H1433" s="2" t="s">
        <v>9389</v>
      </c>
      <c r="I1433" s="2" t="s">
        <v>9390</v>
      </c>
      <c r="J1433" t="s">
        <v>4257</v>
      </c>
      <c r="L1433" s="1">
        <v>2</v>
      </c>
      <c r="M1433" s="1"/>
      <c r="N1433" s="1"/>
      <c r="O1433" s="3"/>
    </row>
    <row r="1434" spans="1:15" ht="409.6">
      <c r="A1434" t="s">
        <v>8477</v>
      </c>
      <c r="B1434" t="s">
        <v>8478</v>
      </c>
      <c r="C1434" t="s">
        <v>9372</v>
      </c>
      <c r="D1434" t="s">
        <v>23</v>
      </c>
      <c r="E1434">
        <v>20</v>
      </c>
      <c r="F1434" s="2" t="s">
        <v>9391</v>
      </c>
      <c r="G1434" s="2" t="s">
        <v>9392</v>
      </c>
      <c r="H1434" s="2" t="s">
        <v>8481</v>
      </c>
      <c r="I1434" s="2" t="s">
        <v>9393</v>
      </c>
      <c r="J1434" t="s">
        <v>9394</v>
      </c>
      <c r="L1434" s="1">
        <v>2</v>
      </c>
      <c r="M1434" s="1"/>
      <c r="N1434" s="1"/>
      <c r="O1434" s="3"/>
    </row>
    <row r="1435" spans="1:15" ht="409.6">
      <c r="A1435" t="s">
        <v>2245</v>
      </c>
      <c r="B1435" t="s">
        <v>1376</v>
      </c>
      <c r="C1435" t="s">
        <v>9372</v>
      </c>
      <c r="D1435" t="s">
        <v>23</v>
      </c>
      <c r="E1435">
        <v>25</v>
      </c>
      <c r="F1435" s="2" t="s">
        <v>9395</v>
      </c>
      <c r="G1435" s="2" t="s">
        <v>9396</v>
      </c>
      <c r="H1435" s="2" t="s">
        <v>9397</v>
      </c>
      <c r="I1435" s="2" t="s">
        <v>9398</v>
      </c>
      <c r="J1435" t="s">
        <v>9399</v>
      </c>
      <c r="L1435" s="1">
        <v>2</v>
      </c>
      <c r="M1435" s="1"/>
      <c r="N1435" s="1"/>
      <c r="O1435" s="3"/>
    </row>
    <row r="1436" spans="1:15" ht="409.6">
      <c r="A1436" t="s">
        <v>6481</v>
      </c>
      <c r="B1436" t="s">
        <v>9400</v>
      </c>
      <c r="C1436" t="s">
        <v>9372</v>
      </c>
      <c r="D1436" t="s">
        <v>23</v>
      </c>
      <c r="E1436">
        <v>20</v>
      </c>
      <c r="F1436" s="2" t="s">
        <v>9401</v>
      </c>
      <c r="G1436" s="2" t="s">
        <v>9402</v>
      </c>
      <c r="H1436" s="2" t="s">
        <v>9403</v>
      </c>
      <c r="I1436" s="2" t="s">
        <v>9404</v>
      </c>
      <c r="J1436" t="s">
        <v>9405</v>
      </c>
      <c r="L1436" s="1">
        <v>2</v>
      </c>
      <c r="M1436" s="1"/>
      <c r="N1436" s="1"/>
      <c r="O1436" s="3"/>
    </row>
    <row r="1437" spans="1:15" ht="409.6">
      <c r="A1437" t="s">
        <v>8489</v>
      </c>
      <c r="B1437" t="s">
        <v>8490</v>
      </c>
      <c r="C1437" t="s">
        <v>9372</v>
      </c>
      <c r="D1437" t="s">
        <v>23</v>
      </c>
      <c r="E1437">
        <v>40</v>
      </c>
      <c r="F1437" s="2" t="s">
        <v>9406</v>
      </c>
      <c r="G1437" s="2" t="s">
        <v>9407</v>
      </c>
      <c r="H1437" s="2" t="s">
        <v>9408</v>
      </c>
      <c r="I1437" s="2" t="s">
        <v>9409</v>
      </c>
      <c r="J1437" t="s">
        <v>9410</v>
      </c>
      <c r="L1437" s="1">
        <v>2</v>
      </c>
      <c r="M1437" s="1"/>
      <c r="N1437" s="1"/>
      <c r="O1437" s="3"/>
    </row>
    <row r="1438" spans="1:15" ht="409.6">
      <c r="A1438" t="s">
        <v>9411</v>
      </c>
      <c r="B1438" t="s">
        <v>9412</v>
      </c>
      <c r="C1438" t="s">
        <v>9372</v>
      </c>
      <c r="D1438" t="s">
        <v>23</v>
      </c>
      <c r="E1438">
        <v>20</v>
      </c>
      <c r="F1438" s="2" t="s">
        <v>9413</v>
      </c>
      <c r="G1438" s="2" t="s">
        <v>9414</v>
      </c>
      <c r="H1438" s="2" t="s">
        <v>9415</v>
      </c>
      <c r="I1438" s="2" t="s">
        <v>9416</v>
      </c>
      <c r="J1438" t="s">
        <v>9417</v>
      </c>
      <c r="L1438" s="1">
        <v>2</v>
      </c>
      <c r="M1438" s="1"/>
      <c r="N1438" s="1"/>
      <c r="O1438" s="3"/>
    </row>
    <row r="1439" spans="1:15" ht="409.6">
      <c r="A1439" t="s">
        <v>8510</v>
      </c>
      <c r="B1439" t="s">
        <v>8511</v>
      </c>
      <c r="C1439" t="s">
        <v>9372</v>
      </c>
      <c r="D1439" t="s">
        <v>23</v>
      </c>
      <c r="E1439">
        <v>15</v>
      </c>
      <c r="F1439" s="2" t="s">
        <v>9418</v>
      </c>
      <c r="G1439" s="2" t="s">
        <v>9419</v>
      </c>
      <c r="H1439" s="2" t="s">
        <v>8514</v>
      </c>
      <c r="I1439" s="2" t="s">
        <v>9420</v>
      </c>
      <c r="J1439" t="s">
        <v>9421</v>
      </c>
      <c r="K1439" t="s">
        <v>8517</v>
      </c>
      <c r="L1439" s="1">
        <v>2</v>
      </c>
      <c r="M1439" s="1"/>
      <c r="N1439" s="1"/>
      <c r="O1439" s="3"/>
    </row>
    <row r="1440" spans="1:15" ht="409.6">
      <c r="A1440" t="s">
        <v>1418</v>
      </c>
      <c r="B1440" t="s">
        <v>1419</v>
      </c>
      <c r="C1440" t="s">
        <v>9372</v>
      </c>
      <c r="D1440" t="s">
        <v>23</v>
      </c>
      <c r="E1440">
        <v>15</v>
      </c>
      <c r="F1440" s="2" t="s">
        <v>9422</v>
      </c>
      <c r="G1440" s="2" t="s">
        <v>8519</v>
      </c>
      <c r="H1440" s="2" t="s">
        <v>9423</v>
      </c>
      <c r="I1440" s="2" t="s">
        <v>9424</v>
      </c>
      <c r="J1440" t="s">
        <v>9425</v>
      </c>
      <c r="L1440" s="1">
        <v>2</v>
      </c>
      <c r="M1440" s="1"/>
      <c r="N1440" s="1"/>
      <c r="O1440" s="3"/>
    </row>
    <row r="1441" spans="1:15" ht="409.6">
      <c r="A1441" t="s">
        <v>8581</v>
      </c>
      <c r="B1441" t="s">
        <v>8582</v>
      </c>
      <c r="C1441" t="s">
        <v>9372</v>
      </c>
      <c r="D1441" t="s">
        <v>23</v>
      </c>
      <c r="E1441">
        <v>20</v>
      </c>
      <c r="F1441" s="2" t="s">
        <v>9426</v>
      </c>
      <c r="G1441" s="2" t="s">
        <v>9427</v>
      </c>
      <c r="H1441" s="2" t="s">
        <v>9428</v>
      </c>
      <c r="I1441" s="2" t="s">
        <v>9429</v>
      </c>
      <c r="J1441" t="s">
        <v>8587</v>
      </c>
      <c r="L1441" s="1">
        <v>2</v>
      </c>
      <c r="M1441" s="1"/>
      <c r="N1441" s="1"/>
      <c r="O1441" s="3"/>
    </row>
    <row r="1442" spans="1:15" ht="409.6">
      <c r="A1442" t="s">
        <v>9430</v>
      </c>
      <c r="B1442" t="s">
        <v>9431</v>
      </c>
      <c r="C1442" t="s">
        <v>9372</v>
      </c>
      <c r="D1442" t="s">
        <v>23</v>
      </c>
      <c r="E1442">
        <v>15</v>
      </c>
      <c r="F1442" s="2" t="s">
        <v>9432</v>
      </c>
      <c r="G1442" s="2" t="s">
        <v>9433</v>
      </c>
      <c r="H1442" s="2" t="s">
        <v>9434</v>
      </c>
      <c r="I1442" s="2" t="s">
        <v>9435</v>
      </c>
      <c r="J1442" t="s">
        <v>9436</v>
      </c>
      <c r="L1442" s="1">
        <v>2</v>
      </c>
      <c r="M1442" s="1"/>
      <c r="N1442" s="1"/>
      <c r="O1442" s="3"/>
    </row>
    <row r="1443" spans="1:15" ht="409.6">
      <c r="A1443" t="s">
        <v>9437</v>
      </c>
      <c r="B1443" t="s">
        <v>9438</v>
      </c>
      <c r="C1443" t="s">
        <v>9372</v>
      </c>
      <c r="D1443" t="s">
        <v>23</v>
      </c>
      <c r="E1443">
        <v>15</v>
      </c>
      <c r="F1443" s="2" t="s">
        <v>9439</v>
      </c>
      <c r="G1443" s="2" t="s">
        <v>9440</v>
      </c>
      <c r="H1443" s="2" t="s">
        <v>9441</v>
      </c>
      <c r="I1443" s="2" t="s">
        <v>9442</v>
      </c>
      <c r="J1443" t="s">
        <v>9443</v>
      </c>
      <c r="L1443" s="1">
        <v>2</v>
      </c>
      <c r="M1443" s="1"/>
      <c r="N1443" s="1"/>
      <c r="O1443" s="3"/>
    </row>
    <row r="1444" spans="1:15" ht="409.6">
      <c r="A1444" t="s">
        <v>8595</v>
      </c>
      <c r="B1444" t="s">
        <v>8596</v>
      </c>
      <c r="C1444" t="s">
        <v>9372</v>
      </c>
      <c r="D1444" t="s">
        <v>23</v>
      </c>
      <c r="E1444">
        <v>20</v>
      </c>
      <c r="F1444" s="2" t="s">
        <v>8597</v>
      </c>
      <c r="G1444" s="2" t="s">
        <v>8598</v>
      </c>
      <c r="H1444" s="2" t="s">
        <v>9444</v>
      </c>
      <c r="I1444" s="2" t="s">
        <v>9445</v>
      </c>
      <c r="J1444" t="s">
        <v>9446</v>
      </c>
      <c r="L1444" s="1">
        <v>2</v>
      </c>
      <c r="M1444" s="1"/>
      <c r="N1444" s="1"/>
      <c r="O1444" s="3"/>
    </row>
    <row r="1445" spans="1:15" ht="409.6">
      <c r="A1445" t="s">
        <v>4804</v>
      </c>
      <c r="B1445" t="s">
        <v>4805</v>
      </c>
      <c r="C1445" t="s">
        <v>9372</v>
      </c>
      <c r="D1445" t="s">
        <v>23</v>
      </c>
      <c r="E1445">
        <v>20</v>
      </c>
      <c r="F1445" s="2" t="s">
        <v>9447</v>
      </c>
      <c r="G1445" s="2" t="s">
        <v>9448</v>
      </c>
      <c r="H1445" s="2" t="s">
        <v>9449</v>
      </c>
      <c r="I1445" s="2" t="s">
        <v>9450</v>
      </c>
      <c r="J1445" t="s">
        <v>9451</v>
      </c>
      <c r="L1445" s="1">
        <v>2</v>
      </c>
      <c r="M1445" s="1"/>
      <c r="N1445" s="1"/>
      <c r="O1445" s="3"/>
    </row>
    <row r="1446" spans="1:15" ht="409.6">
      <c r="A1446" t="s">
        <v>4811</v>
      </c>
      <c r="B1446" t="s">
        <v>4812</v>
      </c>
      <c r="C1446" t="s">
        <v>9372</v>
      </c>
      <c r="D1446" t="s">
        <v>23</v>
      </c>
      <c r="E1446">
        <v>20</v>
      </c>
      <c r="F1446" s="2" t="s">
        <v>9452</v>
      </c>
      <c r="G1446" s="2" t="s">
        <v>9453</v>
      </c>
      <c r="H1446" s="2" t="s">
        <v>9454</v>
      </c>
      <c r="I1446" s="2" t="s">
        <v>9455</v>
      </c>
      <c r="J1446" t="s">
        <v>9456</v>
      </c>
      <c r="L1446" s="1">
        <v>2</v>
      </c>
      <c r="M1446" s="1"/>
      <c r="N1446" s="1"/>
      <c r="O1446" s="3"/>
    </row>
    <row r="1447" spans="1:15" ht="409.6">
      <c r="A1447" t="s">
        <v>9457</v>
      </c>
      <c r="B1447" t="s">
        <v>9458</v>
      </c>
      <c r="C1447" t="s">
        <v>9372</v>
      </c>
      <c r="D1447" t="s">
        <v>23</v>
      </c>
      <c r="E1447">
        <v>20</v>
      </c>
      <c r="F1447" s="2" t="s">
        <v>9459</v>
      </c>
      <c r="G1447" s="2" t="s">
        <v>9460</v>
      </c>
      <c r="H1447" s="2" t="s">
        <v>9461</v>
      </c>
      <c r="I1447" s="2" t="s">
        <v>9462</v>
      </c>
      <c r="J1447" t="s">
        <v>9463</v>
      </c>
      <c r="L1447" s="1">
        <v>2</v>
      </c>
      <c r="M1447" s="1"/>
      <c r="N1447" s="1"/>
      <c r="O1447" s="3"/>
    </row>
    <row r="1448" spans="1:15" ht="409.6">
      <c r="A1448" t="s">
        <v>9464</v>
      </c>
      <c r="B1448" t="s">
        <v>9465</v>
      </c>
      <c r="C1448" t="s">
        <v>9372</v>
      </c>
      <c r="D1448" t="s">
        <v>23</v>
      </c>
      <c r="E1448">
        <v>15</v>
      </c>
      <c r="F1448" s="2" t="s">
        <v>9466</v>
      </c>
      <c r="G1448" s="2" t="s">
        <v>9467</v>
      </c>
      <c r="H1448" s="2" t="s">
        <v>9468</v>
      </c>
      <c r="I1448" s="2" t="s">
        <v>9469</v>
      </c>
      <c r="J1448" t="s">
        <v>9470</v>
      </c>
      <c r="L1448" s="1">
        <v>2</v>
      </c>
      <c r="M1448" s="1"/>
      <c r="N1448" s="1"/>
      <c r="O1448" s="3"/>
    </row>
    <row r="1449" spans="1:15" ht="409.6">
      <c r="A1449" t="s">
        <v>9096</v>
      </c>
      <c r="B1449" t="s">
        <v>9097</v>
      </c>
      <c r="C1449" t="s">
        <v>9372</v>
      </c>
      <c r="D1449" t="s">
        <v>23</v>
      </c>
      <c r="E1449">
        <v>5</v>
      </c>
      <c r="F1449" s="2" t="s">
        <v>9471</v>
      </c>
      <c r="G1449" s="2" t="s">
        <v>9472</v>
      </c>
      <c r="H1449" s="2" t="s">
        <v>9473</v>
      </c>
      <c r="I1449" s="2" t="s">
        <v>9474</v>
      </c>
      <c r="J1449" t="s">
        <v>9475</v>
      </c>
      <c r="L1449" s="1">
        <v>2</v>
      </c>
      <c r="M1449" s="1"/>
      <c r="N1449" s="1"/>
      <c r="O1449" s="3"/>
    </row>
    <row r="1450" spans="1:15" ht="409.6">
      <c r="A1450" t="s">
        <v>9103</v>
      </c>
      <c r="B1450" t="s">
        <v>9104</v>
      </c>
      <c r="C1450" t="s">
        <v>9372</v>
      </c>
      <c r="D1450" t="s">
        <v>23</v>
      </c>
      <c r="E1450">
        <v>5</v>
      </c>
      <c r="F1450" s="2" t="s">
        <v>9476</v>
      </c>
      <c r="G1450" s="2" t="s">
        <v>9477</v>
      </c>
      <c r="H1450" s="2" t="s">
        <v>9107</v>
      </c>
      <c r="I1450" s="2" t="s">
        <v>9478</v>
      </c>
      <c r="J1450" t="s">
        <v>9479</v>
      </c>
      <c r="L1450" s="1">
        <v>2</v>
      </c>
      <c r="M1450" s="1"/>
      <c r="N1450" s="1"/>
      <c r="O1450" s="3"/>
    </row>
    <row r="1451" spans="1:15" ht="409.6">
      <c r="A1451" t="s">
        <v>9110</v>
      </c>
      <c r="B1451" t="s">
        <v>9480</v>
      </c>
      <c r="C1451" t="s">
        <v>9372</v>
      </c>
      <c r="D1451" t="s">
        <v>23</v>
      </c>
      <c r="E1451">
        <v>15</v>
      </c>
      <c r="F1451" s="2" t="s">
        <v>9481</v>
      </c>
      <c r="G1451" s="2" t="s">
        <v>9482</v>
      </c>
      <c r="H1451" s="2" t="s">
        <v>9114</v>
      </c>
      <c r="I1451" s="2" t="s">
        <v>9483</v>
      </c>
      <c r="J1451" t="s">
        <v>9484</v>
      </c>
      <c r="L1451" s="1">
        <v>2</v>
      </c>
      <c r="M1451" s="1"/>
      <c r="N1451" s="1"/>
      <c r="O1451" s="3"/>
    </row>
    <row r="1452" spans="1:15" ht="409.6">
      <c r="A1452" t="s">
        <v>8646</v>
      </c>
      <c r="B1452" t="s">
        <v>8647</v>
      </c>
      <c r="C1452" t="s">
        <v>9372</v>
      </c>
      <c r="D1452" t="s">
        <v>23</v>
      </c>
      <c r="E1452">
        <v>20</v>
      </c>
      <c r="F1452" s="2" t="s">
        <v>9485</v>
      </c>
      <c r="G1452" s="2" t="s">
        <v>9486</v>
      </c>
      <c r="H1452" s="2" t="s">
        <v>9487</v>
      </c>
      <c r="I1452" s="2" t="s">
        <v>9488</v>
      </c>
      <c r="J1452" t="s">
        <v>9489</v>
      </c>
      <c r="L1452" s="1">
        <v>2</v>
      </c>
      <c r="M1452" s="1"/>
      <c r="N1452" s="1"/>
      <c r="O1452" s="3"/>
    </row>
    <row r="1453" spans="1:15" ht="409.6">
      <c r="A1453" t="s">
        <v>8653</v>
      </c>
      <c r="B1453" t="s">
        <v>8654</v>
      </c>
      <c r="C1453" t="s">
        <v>9372</v>
      </c>
      <c r="D1453" t="s">
        <v>23</v>
      </c>
      <c r="E1453">
        <v>10</v>
      </c>
      <c r="F1453" s="2" t="s">
        <v>9490</v>
      </c>
      <c r="G1453" s="2" t="s">
        <v>9491</v>
      </c>
      <c r="H1453" s="2" t="s">
        <v>9492</v>
      </c>
      <c r="I1453" s="2" t="s">
        <v>9493</v>
      </c>
      <c r="J1453" t="s">
        <v>8659</v>
      </c>
      <c r="L1453" s="1">
        <v>2</v>
      </c>
      <c r="M1453" s="1"/>
      <c r="N1453" s="1"/>
      <c r="O1453" s="3"/>
    </row>
    <row r="1454" spans="1:15" ht="409.6">
      <c r="A1454" t="s">
        <v>9117</v>
      </c>
      <c r="B1454" t="s">
        <v>9118</v>
      </c>
      <c r="C1454" t="s">
        <v>9372</v>
      </c>
      <c r="D1454" t="s">
        <v>23</v>
      </c>
      <c r="E1454">
        <v>30</v>
      </c>
      <c r="F1454" s="2" t="s">
        <v>9494</v>
      </c>
      <c r="G1454" s="2" t="s">
        <v>9120</v>
      </c>
      <c r="H1454" s="2" t="s">
        <v>9495</v>
      </c>
      <c r="I1454" s="2" t="s">
        <v>9496</v>
      </c>
      <c r="J1454" t="s">
        <v>9497</v>
      </c>
      <c r="L1454" s="1">
        <v>2</v>
      </c>
      <c r="M1454" s="1"/>
      <c r="N1454" s="1"/>
      <c r="O1454" s="3"/>
    </row>
    <row r="1455" spans="1:15" ht="409.6">
      <c r="A1455" t="s">
        <v>906</v>
      </c>
      <c r="B1455" t="s">
        <v>907</v>
      </c>
      <c r="C1455" t="s">
        <v>9372</v>
      </c>
      <c r="D1455" t="s">
        <v>23</v>
      </c>
      <c r="E1455">
        <v>20</v>
      </c>
      <c r="F1455" s="2" t="s">
        <v>9498</v>
      </c>
      <c r="G1455" s="2" t="s">
        <v>9499</v>
      </c>
      <c r="H1455" s="2" t="s">
        <v>9500</v>
      </c>
      <c r="I1455" s="2" t="s">
        <v>9501</v>
      </c>
      <c r="J1455" t="s">
        <v>9502</v>
      </c>
      <c r="L1455" s="1">
        <v>2</v>
      </c>
      <c r="M1455" s="1"/>
      <c r="N1455" s="1"/>
      <c r="O1455" s="3"/>
    </row>
    <row r="1456" spans="1:15" ht="409.6">
      <c r="A1456" t="s">
        <v>2726</v>
      </c>
      <c r="B1456" t="s">
        <v>2727</v>
      </c>
      <c r="C1456" t="s">
        <v>9372</v>
      </c>
      <c r="D1456" t="s">
        <v>23</v>
      </c>
      <c r="E1456">
        <v>25</v>
      </c>
      <c r="F1456" s="2" t="s">
        <v>9503</v>
      </c>
      <c r="G1456" s="2" t="s">
        <v>9504</v>
      </c>
      <c r="H1456" s="2" t="s">
        <v>9505</v>
      </c>
      <c r="I1456" s="2" t="s">
        <v>9506</v>
      </c>
      <c r="J1456" t="s">
        <v>9507</v>
      </c>
      <c r="L1456" s="1">
        <v>2</v>
      </c>
      <c r="M1456" s="1"/>
      <c r="N1456" s="1"/>
      <c r="O1456" s="3"/>
    </row>
    <row r="1457" spans="1:15" ht="409.6">
      <c r="A1457" t="s">
        <v>8726</v>
      </c>
      <c r="B1457" t="s">
        <v>8727</v>
      </c>
      <c r="C1457" t="s">
        <v>9372</v>
      </c>
      <c r="D1457" t="s">
        <v>23</v>
      </c>
      <c r="E1457">
        <v>10</v>
      </c>
      <c r="F1457" s="2" t="s">
        <v>8728</v>
      </c>
      <c r="G1457" s="2" t="s">
        <v>8729</v>
      </c>
      <c r="H1457" s="2" t="s">
        <v>9160</v>
      </c>
      <c r="I1457" s="2" t="s">
        <v>9508</v>
      </c>
      <c r="J1457" t="s">
        <v>8732</v>
      </c>
      <c r="L1457" s="1">
        <v>2</v>
      </c>
      <c r="M1457" s="1"/>
      <c r="N1457" s="1"/>
      <c r="O1457" s="3"/>
    </row>
    <row r="1458" spans="1:15" ht="409.6">
      <c r="A1458" t="s">
        <v>2777</v>
      </c>
      <c r="B1458" t="s">
        <v>2778</v>
      </c>
      <c r="C1458" t="s">
        <v>9372</v>
      </c>
      <c r="D1458" t="s">
        <v>23</v>
      </c>
      <c r="E1458">
        <v>20</v>
      </c>
      <c r="F1458" s="2" t="s">
        <v>9509</v>
      </c>
      <c r="G1458" s="2" t="s">
        <v>8734</v>
      </c>
      <c r="H1458" s="2" t="s">
        <v>9510</v>
      </c>
      <c r="I1458" s="2" t="s">
        <v>9511</v>
      </c>
      <c r="J1458" t="s">
        <v>9512</v>
      </c>
      <c r="L1458" s="1">
        <v>2</v>
      </c>
      <c r="M1458" s="1"/>
      <c r="N1458" s="1"/>
      <c r="O1458" s="3"/>
    </row>
    <row r="1459" spans="1:15" ht="409.6">
      <c r="A1459" t="s">
        <v>8738</v>
      </c>
      <c r="B1459" t="s">
        <v>8739</v>
      </c>
      <c r="C1459" t="s">
        <v>9372</v>
      </c>
      <c r="D1459" t="s">
        <v>23</v>
      </c>
      <c r="E1459">
        <v>20</v>
      </c>
      <c r="F1459" s="2" t="s">
        <v>9513</v>
      </c>
      <c r="G1459" s="2" t="s">
        <v>9514</v>
      </c>
      <c r="H1459" s="2" t="s">
        <v>8742</v>
      </c>
      <c r="I1459" s="2" t="s">
        <v>9515</v>
      </c>
      <c r="J1459" t="s">
        <v>9516</v>
      </c>
      <c r="L1459" s="1">
        <v>2</v>
      </c>
      <c r="M1459" s="1"/>
      <c r="N1459" s="1"/>
      <c r="O1459" s="3"/>
    </row>
    <row r="1460" spans="1:15" ht="409.6">
      <c r="A1460" t="s">
        <v>8745</v>
      </c>
      <c r="B1460" t="s">
        <v>8746</v>
      </c>
      <c r="C1460" t="s">
        <v>9372</v>
      </c>
      <c r="D1460" t="s">
        <v>23</v>
      </c>
      <c r="E1460">
        <v>15</v>
      </c>
      <c r="F1460" s="2" t="s">
        <v>9517</v>
      </c>
      <c r="G1460" s="2" t="s">
        <v>8748</v>
      </c>
      <c r="H1460" s="2" t="s">
        <v>9518</v>
      </c>
      <c r="I1460" s="2" t="s">
        <v>8750</v>
      </c>
      <c r="J1460" t="s">
        <v>8751</v>
      </c>
      <c r="L1460" s="1">
        <v>2</v>
      </c>
      <c r="M1460" s="1"/>
      <c r="N1460" s="1"/>
      <c r="O1460" s="3"/>
    </row>
    <row r="1461" spans="1:15" ht="409.6">
      <c r="A1461" t="s">
        <v>1197</v>
      </c>
      <c r="B1461" t="s">
        <v>1198</v>
      </c>
      <c r="C1461" t="s">
        <v>9372</v>
      </c>
      <c r="D1461" t="s">
        <v>23</v>
      </c>
      <c r="E1461">
        <v>40</v>
      </c>
      <c r="F1461" s="2" t="s">
        <v>9519</v>
      </c>
      <c r="G1461" s="2" t="s">
        <v>9520</v>
      </c>
      <c r="H1461" s="2" t="s">
        <v>9521</v>
      </c>
      <c r="I1461" s="2" t="s">
        <v>9522</v>
      </c>
      <c r="J1461" t="s">
        <v>9523</v>
      </c>
      <c r="L1461" s="1">
        <v>2</v>
      </c>
      <c r="M1461" s="1"/>
      <c r="N1461" s="1"/>
      <c r="O1461" s="3"/>
    </row>
    <row r="1462" spans="1:15" ht="409.6">
      <c r="A1462" t="s">
        <v>8757</v>
      </c>
      <c r="B1462" t="s">
        <v>8758</v>
      </c>
      <c r="C1462" t="s">
        <v>9372</v>
      </c>
      <c r="D1462" t="s">
        <v>23</v>
      </c>
      <c r="E1462">
        <v>60</v>
      </c>
      <c r="F1462" s="2" t="s">
        <v>8759</v>
      </c>
      <c r="G1462" s="2" t="s">
        <v>8760</v>
      </c>
      <c r="H1462" s="2" t="s">
        <v>9524</v>
      </c>
      <c r="I1462" s="2" t="s">
        <v>9525</v>
      </c>
      <c r="J1462" t="s">
        <v>9526</v>
      </c>
      <c r="L1462" s="1">
        <v>2</v>
      </c>
      <c r="M1462" s="1"/>
      <c r="N1462" s="1"/>
      <c r="O1462" s="3"/>
    </row>
    <row r="1463" spans="1:15" ht="409.6">
      <c r="A1463" t="s">
        <v>8791</v>
      </c>
      <c r="B1463" t="s">
        <v>8792</v>
      </c>
      <c r="C1463" t="s">
        <v>9372</v>
      </c>
      <c r="D1463" t="s">
        <v>23</v>
      </c>
      <c r="E1463">
        <v>30</v>
      </c>
      <c r="F1463" s="2" t="s">
        <v>9527</v>
      </c>
      <c r="G1463" s="2" t="s">
        <v>9528</v>
      </c>
      <c r="H1463" s="2" t="s">
        <v>9529</v>
      </c>
      <c r="I1463" s="2" t="s">
        <v>9530</v>
      </c>
      <c r="J1463" t="s">
        <v>9531</v>
      </c>
      <c r="L1463" s="1">
        <v>2</v>
      </c>
      <c r="M1463" s="1"/>
      <c r="N1463" s="1"/>
      <c r="O1463" s="3"/>
    </row>
    <row r="1464" spans="1:15" ht="409.6">
      <c r="A1464" t="s">
        <v>8849</v>
      </c>
      <c r="B1464" t="s">
        <v>8850</v>
      </c>
      <c r="C1464" t="s">
        <v>9372</v>
      </c>
      <c r="D1464" t="s">
        <v>23</v>
      </c>
      <c r="E1464">
        <v>40</v>
      </c>
      <c r="F1464" s="2" t="s">
        <v>9532</v>
      </c>
      <c r="G1464" s="2" t="s">
        <v>9533</v>
      </c>
      <c r="H1464" s="2" t="s">
        <v>9534</v>
      </c>
      <c r="I1464" s="2" t="s">
        <v>9535</v>
      </c>
      <c r="J1464" t="s">
        <v>8855</v>
      </c>
      <c r="L1464" s="1">
        <v>2</v>
      </c>
      <c r="M1464" s="1"/>
      <c r="N1464" s="1"/>
      <c r="O1464" s="3"/>
    </row>
    <row r="1465" spans="1:15" ht="409.6">
      <c r="A1465" t="s">
        <v>9536</v>
      </c>
      <c r="B1465" t="s">
        <v>2490</v>
      </c>
      <c r="C1465" t="s">
        <v>9372</v>
      </c>
      <c r="D1465" t="s">
        <v>23</v>
      </c>
      <c r="E1465">
        <v>30</v>
      </c>
      <c r="F1465" s="2" t="s">
        <v>9537</v>
      </c>
      <c r="G1465" s="2" t="s">
        <v>9538</v>
      </c>
      <c r="H1465" s="2" t="s">
        <v>9539</v>
      </c>
      <c r="I1465" s="2" t="s">
        <v>9540</v>
      </c>
      <c r="J1465" t="s">
        <v>9541</v>
      </c>
      <c r="L1465" s="1">
        <v>2</v>
      </c>
      <c r="M1465" s="1"/>
      <c r="N1465" s="1"/>
      <c r="O1465" s="3"/>
    </row>
    <row r="1466" spans="1:15" ht="409.6">
      <c r="A1466" t="s">
        <v>9542</v>
      </c>
      <c r="B1466" t="s">
        <v>9543</v>
      </c>
      <c r="C1466" t="s">
        <v>9372</v>
      </c>
      <c r="D1466" t="s">
        <v>23</v>
      </c>
      <c r="E1466">
        <v>25</v>
      </c>
      <c r="F1466" s="2" t="s">
        <v>9544</v>
      </c>
      <c r="G1466" s="2" t="s">
        <v>9545</v>
      </c>
      <c r="H1466" s="2" t="s">
        <v>9546</v>
      </c>
      <c r="I1466" s="2" t="s">
        <v>9547</v>
      </c>
      <c r="J1466" t="s">
        <v>9548</v>
      </c>
      <c r="L1466" s="1">
        <v>2</v>
      </c>
      <c r="M1466" s="1"/>
      <c r="N1466" s="1"/>
      <c r="O1466" s="3"/>
    </row>
    <row r="1467" spans="1:15" ht="409.6">
      <c r="A1467" t="s">
        <v>9549</v>
      </c>
      <c r="B1467" t="s">
        <v>2398</v>
      </c>
      <c r="C1467" t="s">
        <v>9372</v>
      </c>
      <c r="D1467" t="s">
        <v>23</v>
      </c>
      <c r="E1467">
        <v>30</v>
      </c>
      <c r="F1467" s="2" t="s">
        <v>9550</v>
      </c>
      <c r="G1467" s="2" t="s">
        <v>9551</v>
      </c>
      <c r="H1467" s="2" t="s">
        <v>9552</v>
      </c>
      <c r="I1467" s="2" t="s">
        <v>9553</v>
      </c>
      <c r="J1467" t="s">
        <v>9554</v>
      </c>
      <c r="L1467" s="1">
        <v>2</v>
      </c>
      <c r="M1467" s="1"/>
      <c r="N1467" s="1"/>
      <c r="O1467" s="3"/>
    </row>
    <row r="1468" spans="1:15" ht="409.6">
      <c r="A1468" t="s">
        <v>9555</v>
      </c>
      <c r="B1468" t="s">
        <v>9556</v>
      </c>
      <c r="C1468" t="s">
        <v>9372</v>
      </c>
      <c r="D1468" t="s">
        <v>23</v>
      </c>
      <c r="E1468">
        <v>20</v>
      </c>
      <c r="F1468" s="2" t="s">
        <v>9557</v>
      </c>
      <c r="G1468" s="2" t="s">
        <v>9558</v>
      </c>
      <c r="H1468" s="2" t="s">
        <v>9559</v>
      </c>
      <c r="I1468" s="2" t="s">
        <v>9560</v>
      </c>
      <c r="J1468" t="s">
        <v>9561</v>
      </c>
      <c r="L1468" s="1">
        <v>2</v>
      </c>
      <c r="M1468" s="1"/>
      <c r="N1468" s="1"/>
      <c r="O1468" s="3"/>
    </row>
    <row r="1469" spans="1:15" ht="409.6">
      <c r="A1469" t="s">
        <v>9562</v>
      </c>
      <c r="B1469" t="s">
        <v>9563</v>
      </c>
      <c r="C1469" t="s">
        <v>9372</v>
      </c>
      <c r="D1469" t="s">
        <v>23</v>
      </c>
      <c r="E1469">
        <v>30</v>
      </c>
      <c r="F1469" s="2" t="s">
        <v>9564</v>
      </c>
      <c r="G1469" s="2" t="s">
        <v>9565</v>
      </c>
      <c r="H1469" s="2" t="s">
        <v>9566</v>
      </c>
      <c r="I1469" s="2" t="s">
        <v>9567</v>
      </c>
      <c r="J1469" t="s">
        <v>9568</v>
      </c>
      <c r="L1469" s="1">
        <v>2</v>
      </c>
      <c r="M1469" s="1"/>
      <c r="N1469" s="1"/>
      <c r="O1469" s="3"/>
    </row>
    <row r="1470" spans="1:15" ht="409.6">
      <c r="A1470" t="s">
        <v>874</v>
      </c>
      <c r="B1470" t="s">
        <v>9569</v>
      </c>
      <c r="C1470" t="s">
        <v>9372</v>
      </c>
      <c r="D1470" t="s">
        <v>23</v>
      </c>
      <c r="E1470">
        <v>30</v>
      </c>
      <c r="F1470" s="2" t="s">
        <v>9570</v>
      </c>
      <c r="G1470" s="2" t="s">
        <v>9571</v>
      </c>
      <c r="H1470" s="2" t="s">
        <v>9572</v>
      </c>
      <c r="I1470" s="2" t="s">
        <v>9573</v>
      </c>
      <c r="J1470" t="s">
        <v>9574</v>
      </c>
      <c r="L1470" s="1">
        <v>2</v>
      </c>
      <c r="M1470" s="1"/>
      <c r="N1470" s="1"/>
      <c r="O1470" s="3"/>
    </row>
    <row r="1471" spans="1:15" ht="409.6">
      <c r="A1471" t="s">
        <v>986</v>
      </c>
      <c r="B1471" t="s">
        <v>987</v>
      </c>
      <c r="C1471" t="s">
        <v>9372</v>
      </c>
      <c r="D1471" t="s">
        <v>23</v>
      </c>
      <c r="E1471">
        <v>20</v>
      </c>
      <c r="F1471" s="2" t="s">
        <v>9575</v>
      </c>
      <c r="G1471" s="2" t="s">
        <v>9576</v>
      </c>
      <c r="H1471" s="2" t="s">
        <v>8858</v>
      </c>
      <c r="I1471" s="2" t="s">
        <v>8859</v>
      </c>
      <c r="J1471" t="s">
        <v>9577</v>
      </c>
      <c r="K1471" t="s">
        <v>8861</v>
      </c>
      <c r="L1471" s="1">
        <v>2</v>
      </c>
      <c r="M1471" s="1"/>
      <c r="N1471" s="1"/>
      <c r="O1471" s="3"/>
    </row>
    <row r="1472" spans="1:15" ht="409.6">
      <c r="A1472" t="s">
        <v>8510</v>
      </c>
      <c r="B1472" t="s">
        <v>8511</v>
      </c>
      <c r="C1472" t="s">
        <v>9372</v>
      </c>
      <c r="D1472" t="s">
        <v>23</v>
      </c>
      <c r="E1472">
        <v>25</v>
      </c>
      <c r="F1472" s="2" t="s">
        <v>9578</v>
      </c>
      <c r="G1472" s="2" t="s">
        <v>9579</v>
      </c>
      <c r="H1472" s="2" t="s">
        <v>9580</v>
      </c>
      <c r="I1472" s="2" t="s">
        <v>9581</v>
      </c>
      <c r="J1472" t="s">
        <v>9421</v>
      </c>
      <c r="L1472" s="1">
        <v>2</v>
      </c>
      <c r="M1472" s="1"/>
      <c r="N1472" s="1"/>
      <c r="O1472" s="3"/>
    </row>
    <row r="1473" spans="1:15" ht="409.6">
      <c r="A1473" t="s">
        <v>2134</v>
      </c>
      <c r="B1473" t="s">
        <v>2135</v>
      </c>
      <c r="C1473" t="s">
        <v>9372</v>
      </c>
      <c r="D1473" t="s">
        <v>23</v>
      </c>
      <c r="E1473">
        <v>30</v>
      </c>
      <c r="F1473" s="2" t="s">
        <v>8876</v>
      </c>
      <c r="G1473" s="2" t="s">
        <v>8877</v>
      </c>
      <c r="H1473" s="2" t="s">
        <v>8878</v>
      </c>
      <c r="I1473" s="2" t="s">
        <v>8879</v>
      </c>
      <c r="J1473" t="s">
        <v>9582</v>
      </c>
      <c r="L1473" s="1">
        <v>2</v>
      </c>
      <c r="M1473" s="1"/>
      <c r="N1473" s="1"/>
      <c r="O1473" s="3"/>
    </row>
    <row r="1474" spans="1:15" ht="409.6">
      <c r="A1474" t="s">
        <v>2806</v>
      </c>
      <c r="B1474" t="s">
        <v>2807</v>
      </c>
      <c r="C1474" t="s">
        <v>9372</v>
      </c>
      <c r="D1474" t="s">
        <v>23</v>
      </c>
      <c r="E1474">
        <v>25</v>
      </c>
      <c r="F1474" s="2" t="s">
        <v>9583</v>
      </c>
      <c r="G1474" s="2" t="s">
        <v>9584</v>
      </c>
      <c r="H1474" s="2" t="s">
        <v>9585</v>
      </c>
      <c r="I1474" s="2" t="s">
        <v>9586</v>
      </c>
      <c r="J1474" t="s">
        <v>9587</v>
      </c>
      <c r="L1474" s="1">
        <v>2</v>
      </c>
      <c r="M1474" s="1"/>
      <c r="N1474" s="1"/>
      <c r="O1474" s="3"/>
    </row>
    <row r="1475" spans="1:15" ht="409.6">
      <c r="A1475" t="s">
        <v>9588</v>
      </c>
      <c r="B1475" t="s">
        <v>1302</v>
      </c>
      <c r="C1475" t="s">
        <v>9372</v>
      </c>
      <c r="D1475" t="s">
        <v>23</v>
      </c>
      <c r="E1475">
        <v>30</v>
      </c>
      <c r="F1475" s="2" t="s">
        <v>9589</v>
      </c>
      <c r="G1475" s="2" t="s">
        <v>9590</v>
      </c>
      <c r="H1475" s="2" t="s">
        <v>9591</v>
      </c>
      <c r="I1475" s="2" t="s">
        <v>9592</v>
      </c>
      <c r="J1475" t="s">
        <v>9593</v>
      </c>
      <c r="L1475" s="1">
        <v>2</v>
      </c>
      <c r="M1475" s="1"/>
      <c r="N1475" s="1"/>
      <c r="O1475" s="3"/>
    </row>
    <row r="1476" spans="1:15" ht="409.6">
      <c r="A1476" t="s">
        <v>1120</v>
      </c>
      <c r="B1476" t="s">
        <v>1121</v>
      </c>
      <c r="C1476" t="s">
        <v>9372</v>
      </c>
      <c r="D1476" t="s">
        <v>23</v>
      </c>
      <c r="E1476">
        <v>20</v>
      </c>
      <c r="F1476" s="2" t="s">
        <v>9594</v>
      </c>
      <c r="G1476" s="2" t="s">
        <v>9595</v>
      </c>
      <c r="H1476" s="2" t="s">
        <v>9596</v>
      </c>
      <c r="I1476" s="2" t="s">
        <v>9597</v>
      </c>
      <c r="J1476" t="s">
        <v>9598</v>
      </c>
      <c r="L1476" s="1">
        <v>2</v>
      </c>
      <c r="M1476" s="1"/>
      <c r="N1476" s="1"/>
      <c r="O1476" s="3"/>
    </row>
    <row r="1477" spans="1:15" ht="409.6">
      <c r="A1477" t="s">
        <v>8893</v>
      </c>
      <c r="B1477" t="s">
        <v>8894</v>
      </c>
      <c r="C1477" t="s">
        <v>9372</v>
      </c>
      <c r="D1477" t="s">
        <v>23</v>
      </c>
      <c r="E1477">
        <v>30</v>
      </c>
      <c r="F1477" s="2" t="s">
        <v>9599</v>
      </c>
      <c r="G1477" s="2" t="s">
        <v>8896</v>
      </c>
      <c r="H1477" s="2" t="s">
        <v>8897</v>
      </c>
      <c r="I1477" s="2" t="s">
        <v>8898</v>
      </c>
      <c r="J1477" t="s">
        <v>9600</v>
      </c>
      <c r="L1477" s="1">
        <v>2</v>
      </c>
      <c r="M1477" s="1"/>
      <c r="N1477" s="1"/>
      <c r="O1477" s="3"/>
    </row>
    <row r="1478" spans="1:15" ht="409.6">
      <c r="A1478" t="s">
        <v>2553</v>
      </c>
      <c r="B1478" t="s">
        <v>2554</v>
      </c>
      <c r="C1478" t="s">
        <v>9372</v>
      </c>
      <c r="D1478" t="s">
        <v>23</v>
      </c>
      <c r="E1478">
        <v>20</v>
      </c>
      <c r="F1478" s="2" t="s">
        <v>9601</v>
      </c>
      <c r="G1478" s="2" t="s">
        <v>9602</v>
      </c>
      <c r="H1478" s="2" t="s">
        <v>9603</v>
      </c>
      <c r="I1478" s="2" t="s">
        <v>9604</v>
      </c>
      <c r="J1478" t="s">
        <v>9605</v>
      </c>
      <c r="L1478" s="1">
        <v>2</v>
      </c>
      <c r="M1478" s="1"/>
      <c r="N1478" s="1"/>
      <c r="O1478" s="3"/>
    </row>
    <row r="1479" spans="1:15" ht="409.6">
      <c r="A1479" t="s">
        <v>8921</v>
      </c>
      <c r="B1479" t="s">
        <v>8922</v>
      </c>
      <c r="C1479" t="s">
        <v>9372</v>
      </c>
      <c r="D1479" t="s">
        <v>23</v>
      </c>
      <c r="E1479">
        <v>20</v>
      </c>
      <c r="F1479" s="2" t="s">
        <v>9606</v>
      </c>
      <c r="G1479" s="2" t="s">
        <v>9607</v>
      </c>
      <c r="H1479" s="2" t="s">
        <v>9608</v>
      </c>
      <c r="I1479" s="2" t="s">
        <v>9609</v>
      </c>
      <c r="J1479" t="s">
        <v>9610</v>
      </c>
      <c r="L1479" s="1">
        <v>2</v>
      </c>
      <c r="M1479" s="1"/>
      <c r="N1479" s="1"/>
      <c r="O1479" s="3"/>
    </row>
    <row r="1480" spans="1:15" ht="409.6">
      <c r="A1480" t="s">
        <v>9138</v>
      </c>
      <c r="B1480" t="s">
        <v>9139</v>
      </c>
      <c r="C1480" t="s">
        <v>9611</v>
      </c>
      <c r="D1480" t="s">
        <v>23</v>
      </c>
      <c r="E1480">
        <v>25</v>
      </c>
      <c r="F1480" s="2" t="s">
        <v>9355</v>
      </c>
      <c r="G1480" s="2" t="s">
        <v>9356</v>
      </c>
      <c r="H1480" s="2" t="s">
        <v>9612</v>
      </c>
      <c r="I1480" s="2" t="s">
        <v>9613</v>
      </c>
      <c r="J1480" t="s">
        <v>9614</v>
      </c>
      <c r="L1480" s="1">
        <v>2</v>
      </c>
      <c r="M1480" s="1"/>
      <c r="N1480" s="1"/>
      <c r="O1480" s="3"/>
    </row>
    <row r="1481" spans="1:15" ht="409.6">
      <c r="A1481" t="s">
        <v>5349</v>
      </c>
      <c r="B1481" t="s">
        <v>5350</v>
      </c>
      <c r="C1481" t="s">
        <v>9611</v>
      </c>
      <c r="D1481" t="s">
        <v>23</v>
      </c>
      <c r="E1481">
        <v>30</v>
      </c>
      <c r="F1481" s="2" t="s">
        <v>9294</v>
      </c>
      <c r="G1481" s="2" t="s">
        <v>9295</v>
      </c>
      <c r="H1481" s="2" t="s">
        <v>9296</v>
      </c>
      <c r="I1481" s="2" t="s">
        <v>9297</v>
      </c>
      <c r="J1481" t="s">
        <v>9615</v>
      </c>
      <c r="L1481" s="1">
        <v>2</v>
      </c>
      <c r="M1481" s="1"/>
      <c r="N1481" s="1"/>
      <c r="O1481" s="3"/>
    </row>
    <row r="1482" spans="1:15" ht="409.6">
      <c r="A1482" t="s">
        <v>9183</v>
      </c>
      <c r="B1482" t="s">
        <v>9184</v>
      </c>
      <c r="C1482" t="s">
        <v>9611</v>
      </c>
      <c r="D1482" t="s">
        <v>23</v>
      </c>
      <c r="E1482">
        <v>10</v>
      </c>
      <c r="F1482" s="2" t="s">
        <v>9616</v>
      </c>
      <c r="G1482" s="2" t="s">
        <v>9617</v>
      </c>
      <c r="H1482" s="2" t="s">
        <v>9187</v>
      </c>
      <c r="I1482" s="2" t="s">
        <v>9618</v>
      </c>
      <c r="J1482" t="s">
        <v>9189</v>
      </c>
      <c r="L1482" s="1">
        <v>2</v>
      </c>
      <c r="M1482" s="1"/>
      <c r="N1482" s="1"/>
      <c r="O1482" s="3"/>
    </row>
    <row r="1483" spans="1:15" ht="409.6">
      <c r="A1483" t="s">
        <v>9138</v>
      </c>
      <c r="B1483" t="s">
        <v>9139</v>
      </c>
      <c r="C1483" t="s">
        <v>9619</v>
      </c>
      <c r="D1483" t="s">
        <v>23</v>
      </c>
      <c r="E1483">
        <v>25</v>
      </c>
      <c r="F1483" s="2" t="s">
        <v>9355</v>
      </c>
      <c r="G1483" s="2" t="s">
        <v>9356</v>
      </c>
      <c r="H1483" s="2" t="s">
        <v>9612</v>
      </c>
      <c r="I1483" s="2" t="s">
        <v>9613</v>
      </c>
      <c r="J1483" t="s">
        <v>9614</v>
      </c>
      <c r="L1483" s="1">
        <v>2</v>
      </c>
      <c r="M1483" s="1"/>
      <c r="N1483" s="1"/>
      <c r="O1483" s="3"/>
    </row>
    <row r="1484" spans="1:15" ht="409.6">
      <c r="A1484" t="s">
        <v>5349</v>
      </c>
      <c r="B1484" t="s">
        <v>5350</v>
      </c>
      <c r="C1484" t="s">
        <v>9619</v>
      </c>
      <c r="D1484" t="s">
        <v>23</v>
      </c>
      <c r="E1484">
        <v>30</v>
      </c>
      <c r="F1484" s="2" t="s">
        <v>9294</v>
      </c>
      <c r="G1484" s="2" t="s">
        <v>9295</v>
      </c>
      <c r="H1484" s="2" t="s">
        <v>9296</v>
      </c>
      <c r="I1484" s="2" t="s">
        <v>9297</v>
      </c>
      <c r="J1484" t="s">
        <v>9615</v>
      </c>
      <c r="L1484" s="1">
        <v>2</v>
      </c>
      <c r="M1484" s="1"/>
      <c r="N1484" s="1"/>
      <c r="O1484" s="3"/>
    </row>
    <row r="1485" spans="1:15" ht="409.6">
      <c r="A1485" t="s">
        <v>9183</v>
      </c>
      <c r="B1485" t="s">
        <v>9184</v>
      </c>
      <c r="C1485" t="s">
        <v>9619</v>
      </c>
      <c r="D1485" t="s">
        <v>23</v>
      </c>
      <c r="E1485">
        <v>10</v>
      </c>
      <c r="F1485" s="2" t="s">
        <v>9616</v>
      </c>
      <c r="G1485" s="2" t="s">
        <v>9617</v>
      </c>
      <c r="H1485" s="2" t="s">
        <v>9187</v>
      </c>
      <c r="I1485" s="2" t="s">
        <v>9618</v>
      </c>
      <c r="J1485" t="s">
        <v>9189</v>
      </c>
      <c r="L1485" s="1">
        <v>2</v>
      </c>
      <c r="M1485" s="1"/>
      <c r="N1485" s="1"/>
      <c r="O1485" s="3"/>
    </row>
    <row r="1486" spans="1:15" ht="409.6">
      <c r="A1486" t="s">
        <v>8406</v>
      </c>
      <c r="B1486" t="s">
        <v>2713</v>
      </c>
      <c r="C1486" t="s">
        <v>9619</v>
      </c>
      <c r="D1486" t="s">
        <v>23</v>
      </c>
      <c r="E1486">
        <v>20</v>
      </c>
      <c r="F1486" s="2" t="s">
        <v>9620</v>
      </c>
      <c r="G1486" s="2" t="s">
        <v>9621</v>
      </c>
      <c r="H1486" s="2" t="s">
        <v>8409</v>
      </c>
      <c r="I1486" s="2" t="s">
        <v>9622</v>
      </c>
      <c r="J1486" t="s">
        <v>9623</v>
      </c>
      <c r="K1486" t="s">
        <v>8412</v>
      </c>
      <c r="L1486" s="1">
        <v>2</v>
      </c>
      <c r="M1486" s="1"/>
      <c r="N1486" s="1"/>
      <c r="O1486" s="3"/>
    </row>
    <row r="1487" spans="1:15" ht="409.6">
      <c r="A1487" t="s">
        <v>9138</v>
      </c>
      <c r="B1487" t="s">
        <v>9139</v>
      </c>
      <c r="C1487" t="s">
        <v>9624</v>
      </c>
      <c r="D1487" t="s">
        <v>23</v>
      </c>
      <c r="E1487">
        <v>25</v>
      </c>
      <c r="F1487" s="2" t="s">
        <v>9355</v>
      </c>
      <c r="G1487" s="2" t="s">
        <v>9356</v>
      </c>
      <c r="H1487" s="2" t="s">
        <v>9612</v>
      </c>
      <c r="I1487" s="2" t="s">
        <v>9613</v>
      </c>
      <c r="J1487" t="s">
        <v>9614</v>
      </c>
      <c r="L1487" s="1">
        <v>2</v>
      </c>
      <c r="M1487" s="1"/>
      <c r="N1487" s="1"/>
      <c r="O1487" s="3"/>
    </row>
    <row r="1488" spans="1:15" ht="409.6">
      <c r="A1488" t="s">
        <v>5349</v>
      </c>
      <c r="B1488" t="s">
        <v>5350</v>
      </c>
      <c r="C1488" t="s">
        <v>9624</v>
      </c>
      <c r="D1488" t="s">
        <v>23</v>
      </c>
      <c r="E1488">
        <v>30</v>
      </c>
      <c r="F1488" s="2" t="s">
        <v>9294</v>
      </c>
      <c r="G1488" s="2" t="s">
        <v>9295</v>
      </c>
      <c r="H1488" s="2" t="s">
        <v>9296</v>
      </c>
      <c r="I1488" s="2" t="s">
        <v>9297</v>
      </c>
      <c r="J1488" t="s">
        <v>9615</v>
      </c>
      <c r="L1488" s="1">
        <v>2</v>
      </c>
      <c r="M1488" s="1"/>
      <c r="N1488" s="1"/>
      <c r="O1488" s="3"/>
    </row>
    <row r="1489" spans="1:15" ht="409.6">
      <c r="A1489" t="s">
        <v>9183</v>
      </c>
      <c r="B1489" t="s">
        <v>9184</v>
      </c>
      <c r="C1489" t="s">
        <v>9624</v>
      </c>
      <c r="D1489" t="s">
        <v>23</v>
      </c>
      <c r="E1489">
        <v>10</v>
      </c>
      <c r="F1489" s="2" t="s">
        <v>9616</v>
      </c>
      <c r="G1489" s="2" t="s">
        <v>9617</v>
      </c>
      <c r="H1489" s="2" t="s">
        <v>9187</v>
      </c>
      <c r="I1489" s="2" t="s">
        <v>9618</v>
      </c>
      <c r="J1489" t="s">
        <v>9189</v>
      </c>
      <c r="L1489" s="1">
        <v>2</v>
      </c>
      <c r="M1489" s="1"/>
      <c r="N1489" s="1"/>
      <c r="O1489" s="3"/>
    </row>
    <row r="1490" spans="1:15" ht="409.6">
      <c r="A1490" t="s">
        <v>8406</v>
      </c>
      <c r="B1490" t="s">
        <v>2713</v>
      </c>
      <c r="C1490" t="s">
        <v>9624</v>
      </c>
      <c r="D1490" t="s">
        <v>23</v>
      </c>
      <c r="E1490">
        <v>20</v>
      </c>
      <c r="F1490" s="2" t="s">
        <v>9620</v>
      </c>
      <c r="G1490" s="2" t="s">
        <v>9621</v>
      </c>
      <c r="H1490" s="2" t="s">
        <v>8409</v>
      </c>
      <c r="I1490" s="2" t="s">
        <v>9622</v>
      </c>
      <c r="J1490" t="s">
        <v>9623</v>
      </c>
      <c r="K1490" t="s">
        <v>8412</v>
      </c>
      <c r="L1490" s="1">
        <v>2</v>
      </c>
      <c r="M1490" s="1"/>
      <c r="N1490" s="1"/>
      <c r="O1490" s="3"/>
    </row>
    <row r="1491" spans="1:15" ht="409.6">
      <c r="A1491" t="s">
        <v>9138</v>
      </c>
      <c r="B1491" t="s">
        <v>9139</v>
      </c>
      <c r="C1491" t="s">
        <v>9625</v>
      </c>
      <c r="D1491" t="s">
        <v>23</v>
      </c>
      <c r="E1491">
        <v>25</v>
      </c>
      <c r="F1491" s="2" t="s">
        <v>9355</v>
      </c>
      <c r="G1491" s="2" t="s">
        <v>9356</v>
      </c>
      <c r="H1491" s="2" t="s">
        <v>9612</v>
      </c>
      <c r="I1491" s="2" t="s">
        <v>9613</v>
      </c>
      <c r="J1491" t="s">
        <v>9614</v>
      </c>
      <c r="L1491" s="1">
        <v>2</v>
      </c>
      <c r="M1491" s="1"/>
      <c r="N1491" s="1"/>
      <c r="O1491" s="3"/>
    </row>
    <row r="1492" spans="1:15" ht="409.6">
      <c r="A1492" t="s">
        <v>5349</v>
      </c>
      <c r="B1492" t="s">
        <v>5350</v>
      </c>
      <c r="C1492" t="s">
        <v>9625</v>
      </c>
      <c r="D1492" t="s">
        <v>23</v>
      </c>
      <c r="E1492">
        <v>30</v>
      </c>
      <c r="F1492" s="2" t="s">
        <v>9294</v>
      </c>
      <c r="G1492" s="2" t="s">
        <v>9295</v>
      </c>
      <c r="H1492" s="2" t="s">
        <v>9296</v>
      </c>
      <c r="I1492" s="2" t="s">
        <v>9297</v>
      </c>
      <c r="J1492" t="s">
        <v>9615</v>
      </c>
      <c r="L1492" s="1">
        <v>2</v>
      </c>
      <c r="M1492" s="1"/>
      <c r="N1492" s="1"/>
      <c r="O1492" s="3"/>
    </row>
    <row r="1493" spans="1:15" ht="409.6">
      <c r="A1493" t="s">
        <v>9183</v>
      </c>
      <c r="B1493" t="s">
        <v>9184</v>
      </c>
      <c r="C1493" t="s">
        <v>9625</v>
      </c>
      <c r="D1493" t="s">
        <v>23</v>
      </c>
      <c r="E1493">
        <v>10</v>
      </c>
      <c r="F1493" s="2" t="s">
        <v>9616</v>
      </c>
      <c r="G1493" s="2" t="s">
        <v>9617</v>
      </c>
      <c r="H1493" s="2" t="s">
        <v>9187</v>
      </c>
      <c r="I1493" s="2" t="s">
        <v>9618</v>
      </c>
      <c r="J1493" t="s">
        <v>9189</v>
      </c>
      <c r="L1493" s="1">
        <v>2</v>
      </c>
      <c r="M1493" s="1"/>
      <c r="N1493" s="1"/>
      <c r="O1493" s="3"/>
    </row>
    <row r="1494" spans="1:15" ht="409.6">
      <c r="A1494" t="s">
        <v>8406</v>
      </c>
      <c r="B1494" t="s">
        <v>2713</v>
      </c>
      <c r="C1494" t="s">
        <v>9625</v>
      </c>
      <c r="D1494" t="s">
        <v>23</v>
      </c>
      <c r="E1494">
        <v>20</v>
      </c>
      <c r="F1494" s="2" t="s">
        <v>9620</v>
      </c>
      <c r="G1494" s="2" t="s">
        <v>9621</v>
      </c>
      <c r="H1494" s="2" t="s">
        <v>8409</v>
      </c>
      <c r="I1494" s="2" t="s">
        <v>9622</v>
      </c>
      <c r="J1494" t="s">
        <v>9623</v>
      </c>
      <c r="K1494" t="s">
        <v>8412</v>
      </c>
      <c r="L1494" s="1">
        <v>2</v>
      </c>
      <c r="M1494" s="1"/>
      <c r="N1494" s="1"/>
      <c r="O1494" s="3"/>
    </row>
    <row r="1495" spans="1:15" ht="409.6">
      <c r="A1495" t="s">
        <v>8843</v>
      </c>
      <c r="B1495" t="s">
        <v>2475</v>
      </c>
      <c r="C1495" t="s">
        <v>9625</v>
      </c>
      <c r="D1495" t="s">
        <v>23</v>
      </c>
      <c r="E1495">
        <v>40</v>
      </c>
      <c r="F1495" s="2" t="s">
        <v>9626</v>
      </c>
      <c r="G1495" s="2" t="s">
        <v>9305</v>
      </c>
      <c r="H1495" s="2" t="s">
        <v>9627</v>
      </c>
      <c r="I1495" s="2" t="s">
        <v>9628</v>
      </c>
      <c r="J1495" t="s">
        <v>9629</v>
      </c>
      <c r="L1495" s="1">
        <v>2</v>
      </c>
      <c r="M1495" s="1"/>
      <c r="N1495" s="1"/>
      <c r="O1495" s="3"/>
    </row>
    <row r="1496" spans="1:15" ht="409.6">
      <c r="A1496" t="s">
        <v>9138</v>
      </c>
      <c r="B1496" t="s">
        <v>9139</v>
      </c>
      <c r="C1496" t="s">
        <v>9630</v>
      </c>
      <c r="D1496" t="s">
        <v>23</v>
      </c>
      <c r="E1496">
        <v>25</v>
      </c>
      <c r="F1496" s="2" t="s">
        <v>9355</v>
      </c>
      <c r="G1496" s="2" t="s">
        <v>9356</v>
      </c>
      <c r="H1496" s="2" t="s">
        <v>9612</v>
      </c>
      <c r="I1496" s="2" t="s">
        <v>9613</v>
      </c>
      <c r="J1496" t="s">
        <v>9614</v>
      </c>
      <c r="L1496" s="1">
        <v>2</v>
      </c>
      <c r="M1496" s="1"/>
      <c r="N1496" s="1"/>
      <c r="O1496" s="3"/>
    </row>
    <row r="1497" spans="1:15" ht="409.6">
      <c r="A1497" t="s">
        <v>5349</v>
      </c>
      <c r="B1497" t="s">
        <v>5350</v>
      </c>
      <c r="C1497" t="s">
        <v>9630</v>
      </c>
      <c r="D1497" t="s">
        <v>23</v>
      </c>
      <c r="E1497">
        <v>30</v>
      </c>
      <c r="F1497" s="2" t="s">
        <v>9294</v>
      </c>
      <c r="G1497" s="2" t="s">
        <v>9295</v>
      </c>
      <c r="H1497" s="2" t="s">
        <v>9296</v>
      </c>
      <c r="I1497" s="2" t="s">
        <v>9297</v>
      </c>
      <c r="J1497" t="s">
        <v>9615</v>
      </c>
      <c r="L1497" s="1">
        <v>2</v>
      </c>
      <c r="M1497" s="1"/>
      <c r="N1497" s="1"/>
      <c r="O1497" s="3"/>
    </row>
    <row r="1498" spans="1:15" ht="409.6">
      <c r="A1498" t="s">
        <v>9183</v>
      </c>
      <c r="B1498" t="s">
        <v>9184</v>
      </c>
      <c r="C1498" t="s">
        <v>9630</v>
      </c>
      <c r="D1498" t="s">
        <v>23</v>
      </c>
      <c r="E1498">
        <v>10</v>
      </c>
      <c r="F1498" s="2" t="s">
        <v>9616</v>
      </c>
      <c r="G1498" s="2" t="s">
        <v>9617</v>
      </c>
      <c r="H1498" s="2" t="s">
        <v>9187</v>
      </c>
      <c r="I1498" s="2" t="s">
        <v>9618</v>
      </c>
      <c r="J1498" t="s">
        <v>9189</v>
      </c>
      <c r="L1498" s="1">
        <v>2</v>
      </c>
      <c r="M1498" s="1"/>
      <c r="N1498" s="1"/>
      <c r="O1498" s="3"/>
    </row>
    <row r="1499" spans="1:15" ht="409.6">
      <c r="A1499" t="s">
        <v>8406</v>
      </c>
      <c r="B1499" t="s">
        <v>2713</v>
      </c>
      <c r="C1499" t="s">
        <v>9630</v>
      </c>
      <c r="D1499" t="s">
        <v>23</v>
      </c>
      <c r="E1499">
        <v>20</v>
      </c>
      <c r="F1499" s="2" t="s">
        <v>9620</v>
      </c>
      <c r="G1499" s="2" t="s">
        <v>9621</v>
      </c>
      <c r="H1499" s="2" t="s">
        <v>8409</v>
      </c>
      <c r="I1499" s="2" t="s">
        <v>9622</v>
      </c>
      <c r="J1499" t="s">
        <v>9623</v>
      </c>
      <c r="K1499" t="s">
        <v>8412</v>
      </c>
      <c r="L1499" s="1">
        <v>2</v>
      </c>
      <c r="M1499" s="1"/>
      <c r="N1499" s="1"/>
      <c r="O1499" s="3"/>
    </row>
    <row r="1500" spans="1:15" ht="409.6">
      <c r="A1500" t="s">
        <v>8843</v>
      </c>
      <c r="B1500" t="s">
        <v>2475</v>
      </c>
      <c r="C1500" t="s">
        <v>9630</v>
      </c>
      <c r="D1500" t="s">
        <v>23</v>
      </c>
      <c r="E1500">
        <v>40</v>
      </c>
      <c r="F1500" s="2" t="s">
        <v>9626</v>
      </c>
      <c r="G1500" s="2" t="s">
        <v>9305</v>
      </c>
      <c r="H1500" s="2" t="s">
        <v>9627</v>
      </c>
      <c r="I1500" s="2" t="s">
        <v>9628</v>
      </c>
      <c r="J1500" t="s">
        <v>9629</v>
      </c>
      <c r="L1500" s="1">
        <v>2</v>
      </c>
      <c r="M1500" s="1"/>
      <c r="N1500" s="1"/>
      <c r="O1500" s="3"/>
    </row>
    <row r="1501" spans="1:15" ht="409.6">
      <c r="A1501" t="s">
        <v>9138</v>
      </c>
      <c r="B1501" t="s">
        <v>9139</v>
      </c>
      <c r="C1501" t="s">
        <v>9631</v>
      </c>
      <c r="D1501" t="s">
        <v>23</v>
      </c>
      <c r="E1501">
        <v>25</v>
      </c>
      <c r="F1501" s="2" t="s">
        <v>9355</v>
      </c>
      <c r="G1501" s="2" t="s">
        <v>9356</v>
      </c>
      <c r="H1501" s="2" t="s">
        <v>9612</v>
      </c>
      <c r="I1501" s="2" t="s">
        <v>9613</v>
      </c>
      <c r="J1501" t="s">
        <v>9614</v>
      </c>
      <c r="L1501" s="1">
        <v>2</v>
      </c>
      <c r="M1501" s="1"/>
      <c r="N1501" s="1"/>
      <c r="O1501" s="3"/>
    </row>
    <row r="1502" spans="1:15" ht="409.6">
      <c r="A1502" t="s">
        <v>5349</v>
      </c>
      <c r="B1502" t="s">
        <v>5350</v>
      </c>
      <c r="C1502" t="s">
        <v>9631</v>
      </c>
      <c r="D1502" t="s">
        <v>23</v>
      </c>
      <c r="E1502">
        <v>30</v>
      </c>
      <c r="F1502" s="2" t="s">
        <v>9294</v>
      </c>
      <c r="G1502" s="2" t="s">
        <v>9295</v>
      </c>
      <c r="H1502" s="2" t="s">
        <v>9296</v>
      </c>
      <c r="I1502" s="2" t="s">
        <v>9297</v>
      </c>
      <c r="J1502" t="s">
        <v>9615</v>
      </c>
      <c r="L1502" s="1">
        <v>2</v>
      </c>
      <c r="M1502" s="1"/>
      <c r="N1502" s="1"/>
      <c r="O1502" s="3"/>
    </row>
    <row r="1503" spans="1:15" ht="409.6">
      <c r="A1503" t="s">
        <v>9183</v>
      </c>
      <c r="B1503" t="s">
        <v>9184</v>
      </c>
      <c r="C1503" t="s">
        <v>9631</v>
      </c>
      <c r="D1503" t="s">
        <v>23</v>
      </c>
      <c r="E1503">
        <v>10</v>
      </c>
      <c r="F1503" s="2" t="s">
        <v>9616</v>
      </c>
      <c r="G1503" s="2" t="s">
        <v>9617</v>
      </c>
      <c r="H1503" s="2" t="s">
        <v>9187</v>
      </c>
      <c r="I1503" s="2" t="s">
        <v>9618</v>
      </c>
      <c r="J1503" t="s">
        <v>9189</v>
      </c>
      <c r="L1503" s="1">
        <v>2</v>
      </c>
      <c r="M1503" s="1"/>
      <c r="N1503" s="1"/>
      <c r="O1503" s="3"/>
    </row>
    <row r="1504" spans="1:15" ht="409.6">
      <c r="A1504" t="s">
        <v>8406</v>
      </c>
      <c r="B1504" t="s">
        <v>2713</v>
      </c>
      <c r="C1504" t="s">
        <v>9631</v>
      </c>
      <c r="D1504" t="s">
        <v>23</v>
      </c>
      <c r="E1504">
        <v>20</v>
      </c>
      <c r="F1504" s="2" t="s">
        <v>9620</v>
      </c>
      <c r="G1504" s="2" t="s">
        <v>9621</v>
      </c>
      <c r="H1504" s="2" t="s">
        <v>8409</v>
      </c>
      <c r="I1504" s="2" t="s">
        <v>9622</v>
      </c>
      <c r="J1504" t="s">
        <v>9623</v>
      </c>
      <c r="K1504" t="s">
        <v>8412</v>
      </c>
      <c r="L1504" s="1">
        <v>2</v>
      </c>
      <c r="M1504" s="1"/>
      <c r="N1504" s="1"/>
      <c r="O1504" s="3"/>
    </row>
    <row r="1505" spans="1:15" ht="409.6">
      <c r="A1505" t="s">
        <v>8843</v>
      </c>
      <c r="B1505" t="s">
        <v>2475</v>
      </c>
      <c r="C1505" t="s">
        <v>9631</v>
      </c>
      <c r="D1505" t="s">
        <v>23</v>
      </c>
      <c r="E1505">
        <v>40</v>
      </c>
      <c r="F1505" s="2" t="s">
        <v>9626</v>
      </c>
      <c r="G1505" s="2" t="s">
        <v>9305</v>
      </c>
      <c r="H1505" s="2" t="s">
        <v>9627</v>
      </c>
      <c r="I1505" s="2" t="s">
        <v>9628</v>
      </c>
      <c r="J1505" t="s">
        <v>9629</v>
      </c>
      <c r="L1505" s="1">
        <v>2</v>
      </c>
      <c r="M1505" s="1"/>
      <c r="N1505" s="1"/>
      <c r="O1505" s="3"/>
    </row>
    <row r="1506" spans="1:15" ht="409.6">
      <c r="A1506" t="s">
        <v>9138</v>
      </c>
      <c r="B1506" t="s">
        <v>9139</v>
      </c>
      <c r="C1506" t="s">
        <v>9632</v>
      </c>
      <c r="D1506" t="s">
        <v>23</v>
      </c>
      <c r="E1506">
        <v>25</v>
      </c>
      <c r="F1506" s="2" t="s">
        <v>9355</v>
      </c>
      <c r="G1506" s="2" t="s">
        <v>9356</v>
      </c>
      <c r="H1506" s="2" t="s">
        <v>9612</v>
      </c>
      <c r="I1506" s="2" t="s">
        <v>9613</v>
      </c>
      <c r="J1506" t="s">
        <v>9614</v>
      </c>
      <c r="L1506" s="1">
        <v>2</v>
      </c>
      <c r="M1506" s="1"/>
      <c r="N1506" s="1"/>
      <c r="O1506" s="3"/>
    </row>
    <row r="1507" spans="1:15" ht="409.6">
      <c r="A1507" t="s">
        <v>5349</v>
      </c>
      <c r="B1507" t="s">
        <v>5350</v>
      </c>
      <c r="C1507" t="s">
        <v>9632</v>
      </c>
      <c r="D1507" t="s">
        <v>23</v>
      </c>
      <c r="E1507">
        <v>30</v>
      </c>
      <c r="F1507" s="2" t="s">
        <v>9294</v>
      </c>
      <c r="G1507" s="2" t="s">
        <v>9295</v>
      </c>
      <c r="H1507" s="2" t="s">
        <v>9296</v>
      </c>
      <c r="I1507" s="2" t="s">
        <v>9297</v>
      </c>
      <c r="J1507" t="s">
        <v>9615</v>
      </c>
      <c r="L1507" s="1">
        <v>2</v>
      </c>
      <c r="M1507" s="1"/>
      <c r="N1507" s="1"/>
      <c r="O1507" s="3"/>
    </row>
    <row r="1508" spans="1:15" ht="409.6">
      <c r="A1508" t="s">
        <v>9183</v>
      </c>
      <c r="B1508" t="s">
        <v>9184</v>
      </c>
      <c r="C1508" t="s">
        <v>9632</v>
      </c>
      <c r="D1508" t="s">
        <v>23</v>
      </c>
      <c r="E1508">
        <v>10</v>
      </c>
      <c r="F1508" s="2" t="s">
        <v>9616</v>
      </c>
      <c r="G1508" s="2" t="s">
        <v>9617</v>
      </c>
      <c r="H1508" s="2" t="s">
        <v>9187</v>
      </c>
      <c r="I1508" s="2" t="s">
        <v>9618</v>
      </c>
      <c r="J1508" t="s">
        <v>9189</v>
      </c>
      <c r="L1508" s="1">
        <v>2</v>
      </c>
      <c r="M1508" s="1"/>
      <c r="N1508" s="1"/>
      <c r="O1508" s="3"/>
    </row>
    <row r="1509" spans="1:15" ht="409.6">
      <c r="A1509" t="s">
        <v>8406</v>
      </c>
      <c r="B1509" t="s">
        <v>2713</v>
      </c>
      <c r="C1509" t="s">
        <v>9632</v>
      </c>
      <c r="D1509" t="s">
        <v>23</v>
      </c>
      <c r="E1509">
        <v>20</v>
      </c>
      <c r="F1509" s="2" t="s">
        <v>9620</v>
      </c>
      <c r="G1509" s="2" t="s">
        <v>9621</v>
      </c>
      <c r="H1509" s="2" t="s">
        <v>8409</v>
      </c>
      <c r="I1509" s="2" t="s">
        <v>9622</v>
      </c>
      <c r="J1509" t="s">
        <v>9623</v>
      </c>
      <c r="K1509" t="s">
        <v>8412</v>
      </c>
      <c r="L1509" s="1">
        <v>2</v>
      </c>
      <c r="M1509" s="1"/>
      <c r="N1509" s="1"/>
      <c r="O1509" s="3"/>
    </row>
    <row r="1510" spans="1:15" ht="409.6">
      <c r="A1510" t="s">
        <v>9138</v>
      </c>
      <c r="B1510" t="s">
        <v>9139</v>
      </c>
      <c r="C1510" t="s">
        <v>9633</v>
      </c>
      <c r="D1510" t="s">
        <v>23</v>
      </c>
      <c r="E1510">
        <v>25</v>
      </c>
      <c r="F1510" s="2" t="s">
        <v>9355</v>
      </c>
      <c r="G1510" s="2" t="s">
        <v>9356</v>
      </c>
      <c r="H1510" s="2" t="s">
        <v>9612</v>
      </c>
      <c r="I1510" s="2" t="s">
        <v>9613</v>
      </c>
      <c r="J1510" t="s">
        <v>9614</v>
      </c>
      <c r="L1510" s="1">
        <v>2</v>
      </c>
      <c r="M1510" s="1"/>
      <c r="N1510" s="1"/>
      <c r="O1510" s="3"/>
    </row>
    <row r="1511" spans="1:15" ht="409.6">
      <c r="A1511" t="s">
        <v>8406</v>
      </c>
      <c r="B1511" t="s">
        <v>2713</v>
      </c>
      <c r="C1511" t="s">
        <v>9633</v>
      </c>
      <c r="D1511" t="s">
        <v>23</v>
      </c>
      <c r="E1511">
        <v>20</v>
      </c>
      <c r="F1511" s="2" t="s">
        <v>9620</v>
      </c>
      <c r="G1511" s="2" t="s">
        <v>9621</v>
      </c>
      <c r="H1511" s="2" t="s">
        <v>8409</v>
      </c>
      <c r="I1511" s="2" t="s">
        <v>9622</v>
      </c>
      <c r="J1511" t="s">
        <v>9623</v>
      </c>
      <c r="K1511" t="s">
        <v>8412</v>
      </c>
      <c r="L1511" s="1">
        <v>2</v>
      </c>
      <c r="M1511" s="1"/>
      <c r="N1511" s="1"/>
      <c r="O1511" s="3"/>
    </row>
    <row r="1512" spans="1:15" ht="409.6">
      <c r="A1512" t="s">
        <v>8843</v>
      </c>
      <c r="B1512" t="s">
        <v>2475</v>
      </c>
      <c r="C1512" t="s">
        <v>9633</v>
      </c>
      <c r="D1512" t="s">
        <v>23</v>
      </c>
      <c r="E1512">
        <v>40</v>
      </c>
      <c r="F1512" s="2" t="s">
        <v>9634</v>
      </c>
      <c r="G1512" s="2" t="s">
        <v>9305</v>
      </c>
      <c r="H1512" s="2" t="s">
        <v>9306</v>
      </c>
      <c r="I1512" s="2" t="s">
        <v>9307</v>
      </c>
      <c r="J1512" t="s">
        <v>9635</v>
      </c>
      <c r="L1512" s="1">
        <v>2</v>
      </c>
      <c r="M1512" s="1"/>
      <c r="N1512" s="1"/>
      <c r="O1512" s="3"/>
    </row>
    <row r="1513" spans="1:15" ht="409.6">
      <c r="A1513" t="s">
        <v>9138</v>
      </c>
      <c r="B1513" t="s">
        <v>9139</v>
      </c>
      <c r="C1513" t="s">
        <v>9636</v>
      </c>
      <c r="D1513" t="s">
        <v>23</v>
      </c>
      <c r="E1513">
        <v>25</v>
      </c>
      <c r="F1513" s="2" t="s">
        <v>9355</v>
      </c>
      <c r="G1513" s="2" t="s">
        <v>9356</v>
      </c>
      <c r="H1513" s="2" t="s">
        <v>9612</v>
      </c>
      <c r="I1513" s="2" t="s">
        <v>9613</v>
      </c>
      <c r="J1513" t="s">
        <v>9614</v>
      </c>
      <c r="L1513" s="1">
        <v>2</v>
      </c>
      <c r="M1513" s="1"/>
      <c r="N1513" s="1"/>
      <c r="O1513" s="3"/>
    </row>
    <row r="1514" spans="1:15" ht="409.6">
      <c r="A1514" t="s">
        <v>8406</v>
      </c>
      <c r="B1514" t="s">
        <v>2713</v>
      </c>
      <c r="C1514" t="s">
        <v>9636</v>
      </c>
      <c r="D1514" t="s">
        <v>23</v>
      </c>
      <c r="E1514">
        <v>20</v>
      </c>
      <c r="F1514" s="2" t="s">
        <v>9620</v>
      </c>
      <c r="G1514" s="2" t="s">
        <v>9621</v>
      </c>
      <c r="H1514" s="2" t="s">
        <v>8409</v>
      </c>
      <c r="I1514" s="2" t="s">
        <v>9622</v>
      </c>
      <c r="J1514" t="s">
        <v>9623</v>
      </c>
      <c r="K1514" t="s">
        <v>8412</v>
      </c>
      <c r="L1514" s="1">
        <v>2</v>
      </c>
      <c r="M1514" s="1"/>
      <c r="N1514" s="1"/>
      <c r="O1514" s="3"/>
    </row>
    <row r="1515" spans="1:15" ht="409.6">
      <c r="A1515" t="s">
        <v>9637</v>
      </c>
      <c r="B1515" t="s">
        <v>9638</v>
      </c>
      <c r="C1515" t="s">
        <v>9636</v>
      </c>
      <c r="D1515" t="s">
        <v>23</v>
      </c>
      <c r="E1515">
        <v>30</v>
      </c>
      <c r="F1515" s="2" t="s">
        <v>9639</v>
      </c>
      <c r="G1515" s="2" t="s">
        <v>9640</v>
      </c>
      <c r="H1515" s="2" t="s">
        <v>9641</v>
      </c>
      <c r="I1515" s="2" t="s">
        <v>9642</v>
      </c>
      <c r="J1515" t="s">
        <v>9643</v>
      </c>
      <c r="L1515" s="1">
        <v>2</v>
      </c>
      <c r="M1515" s="1"/>
      <c r="N1515" s="1"/>
      <c r="O1515" s="3"/>
    </row>
    <row r="1516" spans="1:15" ht="409.6">
      <c r="A1516" t="s">
        <v>4059</v>
      </c>
      <c r="B1516" t="s">
        <v>4060</v>
      </c>
      <c r="C1516" t="s">
        <v>9644</v>
      </c>
      <c r="D1516" t="s">
        <v>23</v>
      </c>
      <c r="E1516">
        <v>5</v>
      </c>
      <c r="F1516" s="2" t="s">
        <v>9645</v>
      </c>
      <c r="G1516" s="2" t="s">
        <v>9646</v>
      </c>
      <c r="H1516" s="2" t="s">
        <v>9274</v>
      </c>
      <c r="I1516" s="2" t="s">
        <v>9647</v>
      </c>
      <c r="J1516" t="s">
        <v>9648</v>
      </c>
      <c r="K1516" t="s">
        <v>4067</v>
      </c>
      <c r="L1516" s="1">
        <v>2</v>
      </c>
      <c r="M1516" s="1"/>
      <c r="N1516" s="1"/>
      <c r="O1516" s="3"/>
    </row>
    <row r="1517" spans="1:15" ht="409.6">
      <c r="A1517" t="s">
        <v>9649</v>
      </c>
      <c r="B1517" t="s">
        <v>9650</v>
      </c>
      <c r="C1517" t="s">
        <v>9644</v>
      </c>
      <c r="D1517" t="s">
        <v>23</v>
      </c>
      <c r="E1517">
        <v>20</v>
      </c>
      <c r="F1517" s="2" t="s">
        <v>9651</v>
      </c>
      <c r="G1517" s="2" t="s">
        <v>9652</v>
      </c>
      <c r="H1517" s="2" t="s">
        <v>9653</v>
      </c>
      <c r="I1517" s="2" t="s">
        <v>9654</v>
      </c>
      <c r="J1517" t="s">
        <v>9655</v>
      </c>
      <c r="L1517" s="1">
        <v>2</v>
      </c>
      <c r="M1517" s="1"/>
      <c r="N1517" s="1"/>
      <c r="O1517" s="3"/>
    </row>
    <row r="1518" spans="1:15" ht="409.6">
      <c r="A1518" t="s">
        <v>4266</v>
      </c>
      <c r="B1518" t="s">
        <v>4267</v>
      </c>
      <c r="C1518" t="s">
        <v>9644</v>
      </c>
      <c r="D1518" t="s">
        <v>23</v>
      </c>
      <c r="E1518">
        <v>20</v>
      </c>
      <c r="F1518" s="2" t="s">
        <v>9656</v>
      </c>
      <c r="G1518" s="2" t="s">
        <v>9657</v>
      </c>
      <c r="H1518" s="2" t="s">
        <v>9658</v>
      </c>
      <c r="I1518" s="2" t="s">
        <v>9659</v>
      </c>
      <c r="J1518" t="s">
        <v>9660</v>
      </c>
      <c r="L1518" s="1">
        <v>2</v>
      </c>
      <c r="M1518" s="1"/>
      <c r="N1518" s="1"/>
      <c r="O1518" s="3"/>
    </row>
    <row r="1519" spans="1:15" ht="409.6">
      <c r="A1519" t="s">
        <v>8563</v>
      </c>
      <c r="B1519" t="s">
        <v>8564</v>
      </c>
      <c r="C1519" t="s">
        <v>9644</v>
      </c>
      <c r="D1519" t="s">
        <v>23</v>
      </c>
      <c r="E1519">
        <v>20</v>
      </c>
      <c r="F1519" s="2" t="s">
        <v>9277</v>
      </c>
      <c r="G1519" s="2" t="s">
        <v>9661</v>
      </c>
      <c r="H1519" s="2" t="s">
        <v>8567</v>
      </c>
      <c r="I1519" s="2" t="s">
        <v>9662</v>
      </c>
      <c r="J1519" t="s">
        <v>9663</v>
      </c>
      <c r="L1519" s="1">
        <v>2</v>
      </c>
      <c r="M1519" s="1"/>
      <c r="N1519" s="1"/>
      <c r="O1519" s="3"/>
    </row>
    <row r="1520" spans="1:15" ht="409.6">
      <c r="A1520" t="s">
        <v>5099</v>
      </c>
      <c r="B1520" t="s">
        <v>5100</v>
      </c>
      <c r="C1520" t="s">
        <v>9644</v>
      </c>
      <c r="D1520" t="s">
        <v>23</v>
      </c>
      <c r="E1520">
        <v>20</v>
      </c>
      <c r="F1520" s="2" t="s">
        <v>9664</v>
      </c>
      <c r="G1520" s="2" t="s">
        <v>9665</v>
      </c>
      <c r="H1520" s="2" t="s">
        <v>9666</v>
      </c>
      <c r="I1520" s="2" t="s">
        <v>9667</v>
      </c>
      <c r="J1520" t="s">
        <v>9668</v>
      </c>
      <c r="L1520" s="1">
        <v>2</v>
      </c>
      <c r="M1520" s="1"/>
      <c r="N1520" s="1"/>
      <c r="O1520" s="3"/>
    </row>
    <row r="1521" spans="1:15" ht="409.6">
      <c r="A1521" t="s">
        <v>5183</v>
      </c>
      <c r="B1521" t="s">
        <v>9669</v>
      </c>
      <c r="C1521" t="s">
        <v>9644</v>
      </c>
      <c r="D1521" t="s">
        <v>23</v>
      </c>
      <c r="E1521">
        <v>10</v>
      </c>
      <c r="F1521" s="2" t="s">
        <v>9670</v>
      </c>
      <c r="G1521" s="2" t="s">
        <v>9671</v>
      </c>
      <c r="H1521" s="2" t="s">
        <v>9672</v>
      </c>
      <c r="I1521" s="2" t="s">
        <v>9673</v>
      </c>
      <c r="J1521" t="s">
        <v>9674</v>
      </c>
      <c r="L1521" s="1">
        <v>2</v>
      </c>
      <c r="M1521" s="1"/>
      <c r="N1521" s="1"/>
      <c r="O1521" s="3"/>
    </row>
    <row r="1522" spans="1:15" ht="409.6">
      <c r="A1522" t="s">
        <v>5190</v>
      </c>
      <c r="B1522" t="s">
        <v>5191</v>
      </c>
      <c r="C1522" t="s">
        <v>9644</v>
      </c>
      <c r="D1522" t="s">
        <v>23</v>
      </c>
      <c r="E1522">
        <v>10</v>
      </c>
      <c r="F1522" s="2" t="s">
        <v>9675</v>
      </c>
      <c r="G1522" s="2" t="s">
        <v>9676</v>
      </c>
      <c r="H1522" s="2" t="s">
        <v>7830</v>
      </c>
      <c r="I1522" s="2" t="s">
        <v>9677</v>
      </c>
      <c r="J1522" t="s">
        <v>9678</v>
      </c>
      <c r="L1522" s="1">
        <v>2</v>
      </c>
      <c r="M1522" s="1"/>
      <c r="N1522" s="1"/>
      <c r="O1522" s="3"/>
    </row>
    <row r="1523" spans="1:15" ht="409.6">
      <c r="A1523" t="s">
        <v>2741</v>
      </c>
      <c r="B1523" t="s">
        <v>9282</v>
      </c>
      <c r="C1523" t="s">
        <v>9644</v>
      </c>
      <c r="D1523" t="s">
        <v>23</v>
      </c>
      <c r="E1523">
        <v>25</v>
      </c>
      <c r="F1523" s="2" t="s">
        <v>9679</v>
      </c>
      <c r="G1523" s="2" t="s">
        <v>9680</v>
      </c>
      <c r="H1523" s="2" t="s">
        <v>9285</v>
      </c>
      <c r="I1523" s="2" t="s">
        <v>9286</v>
      </c>
      <c r="J1523" t="s">
        <v>9681</v>
      </c>
      <c r="L1523" s="1">
        <v>2</v>
      </c>
      <c r="M1523" s="1"/>
      <c r="N1523" s="1"/>
      <c r="O1523" s="3"/>
    </row>
    <row r="1524" spans="1:15" ht="409.6">
      <c r="A1524" t="s">
        <v>9138</v>
      </c>
      <c r="B1524" t="s">
        <v>9139</v>
      </c>
      <c r="C1524" t="s">
        <v>9644</v>
      </c>
      <c r="D1524" t="s">
        <v>23</v>
      </c>
      <c r="E1524">
        <v>25</v>
      </c>
      <c r="F1524" s="2" t="s">
        <v>9355</v>
      </c>
      <c r="G1524" s="2" t="s">
        <v>9356</v>
      </c>
      <c r="H1524" s="2" t="s">
        <v>9612</v>
      </c>
      <c r="I1524" s="2" t="s">
        <v>9613</v>
      </c>
      <c r="J1524" t="s">
        <v>9614</v>
      </c>
      <c r="L1524" s="1">
        <v>2</v>
      </c>
      <c r="M1524" s="1"/>
      <c r="N1524" s="1"/>
      <c r="O1524" s="3"/>
    </row>
    <row r="1525" spans="1:15" ht="409.6">
      <c r="A1525" t="s">
        <v>5349</v>
      </c>
      <c r="B1525" t="s">
        <v>5350</v>
      </c>
      <c r="C1525" t="s">
        <v>9644</v>
      </c>
      <c r="D1525" t="s">
        <v>23</v>
      </c>
      <c r="E1525">
        <v>30</v>
      </c>
      <c r="F1525" s="2" t="s">
        <v>9294</v>
      </c>
      <c r="G1525" s="2" t="s">
        <v>9295</v>
      </c>
      <c r="H1525" s="2" t="s">
        <v>9296</v>
      </c>
      <c r="I1525" s="2" t="s">
        <v>9297</v>
      </c>
      <c r="J1525" t="s">
        <v>9615</v>
      </c>
      <c r="L1525" s="1">
        <v>2</v>
      </c>
      <c r="M1525" s="1"/>
      <c r="N1525" s="1"/>
      <c r="O1525" s="3"/>
    </row>
    <row r="1526" spans="1:15" ht="409.6">
      <c r="A1526" t="s">
        <v>9682</v>
      </c>
      <c r="B1526" t="s">
        <v>9683</v>
      </c>
      <c r="C1526" t="s">
        <v>9644</v>
      </c>
      <c r="D1526" t="s">
        <v>23</v>
      </c>
      <c r="E1526">
        <v>20</v>
      </c>
      <c r="F1526" s="2" t="s">
        <v>9684</v>
      </c>
      <c r="G1526" s="2" t="s">
        <v>9685</v>
      </c>
      <c r="H1526" s="2" t="s">
        <v>9686</v>
      </c>
      <c r="I1526" s="2" t="s">
        <v>9687</v>
      </c>
      <c r="J1526" t="s">
        <v>9688</v>
      </c>
      <c r="L1526" s="1">
        <v>2</v>
      </c>
      <c r="M1526" s="1"/>
      <c r="N1526" s="1"/>
      <c r="O1526" s="3"/>
    </row>
    <row r="1527" spans="1:15" ht="409.6">
      <c r="A1527" t="s">
        <v>8014</v>
      </c>
      <c r="B1527" t="s">
        <v>8015</v>
      </c>
      <c r="C1527" t="s">
        <v>9644</v>
      </c>
      <c r="D1527" t="s">
        <v>23</v>
      </c>
      <c r="E1527">
        <v>15</v>
      </c>
      <c r="F1527" s="2" t="s">
        <v>9689</v>
      </c>
      <c r="G1527" s="2" t="s">
        <v>9690</v>
      </c>
      <c r="H1527" s="2" t="s">
        <v>8018</v>
      </c>
      <c r="I1527" s="2" t="s">
        <v>9691</v>
      </c>
      <c r="J1527" t="s">
        <v>9692</v>
      </c>
      <c r="L1527" s="1">
        <v>2</v>
      </c>
      <c r="M1527" s="1"/>
      <c r="N1527" s="1"/>
      <c r="O1527" s="3"/>
    </row>
    <row r="1528" spans="1:15" ht="409.6">
      <c r="A1528" t="s">
        <v>8714</v>
      </c>
      <c r="B1528" t="s">
        <v>9693</v>
      </c>
      <c r="C1528" t="s">
        <v>9644</v>
      </c>
      <c r="D1528" t="s">
        <v>23</v>
      </c>
      <c r="E1528">
        <v>20</v>
      </c>
      <c r="F1528" s="2" t="s">
        <v>9694</v>
      </c>
      <c r="G1528" s="2" t="s">
        <v>9695</v>
      </c>
      <c r="H1528" s="2" t="s">
        <v>8718</v>
      </c>
      <c r="I1528" s="2" t="s">
        <v>9696</v>
      </c>
      <c r="J1528" t="s">
        <v>8720</v>
      </c>
      <c r="L1528" s="1">
        <v>2</v>
      </c>
      <c r="M1528" s="1"/>
      <c r="N1528" s="1"/>
      <c r="O1528" s="3"/>
    </row>
    <row r="1529" spans="1:15" ht="409.6">
      <c r="A1529" t="s">
        <v>9183</v>
      </c>
      <c r="B1529" t="s">
        <v>9184</v>
      </c>
      <c r="C1529" t="s">
        <v>9644</v>
      </c>
      <c r="D1529" t="s">
        <v>23</v>
      </c>
      <c r="E1529">
        <v>10</v>
      </c>
      <c r="F1529" s="2" t="s">
        <v>9616</v>
      </c>
      <c r="G1529" s="2" t="s">
        <v>9617</v>
      </c>
      <c r="H1529" s="2" t="s">
        <v>9187</v>
      </c>
      <c r="I1529" s="2" t="s">
        <v>9618</v>
      </c>
      <c r="J1529" t="s">
        <v>9189</v>
      </c>
      <c r="L1529" s="1">
        <v>2</v>
      </c>
      <c r="M1529" s="1"/>
      <c r="N1529" s="1"/>
      <c r="O1529" s="3"/>
    </row>
    <row r="1530" spans="1:15" ht="409.6">
      <c r="A1530" t="s">
        <v>5691</v>
      </c>
      <c r="B1530" t="s">
        <v>5692</v>
      </c>
      <c r="C1530" t="s">
        <v>9644</v>
      </c>
      <c r="D1530" t="s">
        <v>23</v>
      </c>
      <c r="E1530">
        <v>15</v>
      </c>
      <c r="F1530" s="2" t="s">
        <v>9697</v>
      </c>
      <c r="G1530" s="2" t="s">
        <v>9698</v>
      </c>
      <c r="H1530" s="2" t="s">
        <v>9313</v>
      </c>
      <c r="I1530" s="2" t="s">
        <v>9699</v>
      </c>
      <c r="J1530" t="s">
        <v>6231</v>
      </c>
      <c r="L1530" s="1">
        <v>2</v>
      </c>
      <c r="M1530" s="1"/>
      <c r="N1530" s="1"/>
      <c r="O1530" s="3"/>
    </row>
    <row r="1531" spans="1:15" ht="409.6">
      <c r="A1531" t="s">
        <v>8886</v>
      </c>
      <c r="B1531" t="s">
        <v>8887</v>
      </c>
      <c r="C1531" t="s">
        <v>9644</v>
      </c>
      <c r="D1531" t="s">
        <v>23</v>
      </c>
      <c r="E1531">
        <v>25</v>
      </c>
      <c r="F1531" s="2" t="s">
        <v>9700</v>
      </c>
      <c r="G1531" s="2" t="s">
        <v>9701</v>
      </c>
      <c r="H1531" s="2" t="s">
        <v>9702</v>
      </c>
      <c r="I1531" s="2" t="s">
        <v>9703</v>
      </c>
      <c r="J1531" t="s">
        <v>9321</v>
      </c>
      <c r="L1531" s="1">
        <v>2</v>
      </c>
      <c r="M1531" s="1"/>
      <c r="N1531" s="1"/>
      <c r="O1531" s="3"/>
    </row>
    <row r="1532" spans="1:15" ht="409.6">
      <c r="A1532" t="s">
        <v>6062</v>
      </c>
      <c r="B1532" t="s">
        <v>6063</v>
      </c>
      <c r="C1532" t="s">
        <v>9644</v>
      </c>
      <c r="D1532" t="s">
        <v>23</v>
      </c>
      <c r="E1532">
        <v>20</v>
      </c>
      <c r="F1532" s="2" t="s">
        <v>9704</v>
      </c>
      <c r="G1532" s="2" t="s">
        <v>6065</v>
      </c>
      <c r="H1532" s="2" t="s">
        <v>8368</v>
      </c>
      <c r="I1532" s="2" t="s">
        <v>6067</v>
      </c>
      <c r="J1532" t="s">
        <v>9705</v>
      </c>
      <c r="L1532" s="1">
        <v>2</v>
      </c>
      <c r="M1532" s="1"/>
      <c r="N1532" s="1"/>
      <c r="O1532" s="3"/>
    </row>
    <row r="1533" spans="1:15" ht="409.6">
      <c r="A1533" t="s">
        <v>2691</v>
      </c>
      <c r="B1533" t="s">
        <v>2692</v>
      </c>
      <c r="C1533" t="s">
        <v>9644</v>
      </c>
      <c r="D1533" t="s">
        <v>23</v>
      </c>
      <c r="E1533">
        <v>20</v>
      </c>
      <c r="F1533" s="2" t="s">
        <v>9706</v>
      </c>
      <c r="G1533" s="2" t="s">
        <v>9707</v>
      </c>
      <c r="H1533" s="2" t="s">
        <v>9708</v>
      </c>
      <c r="I1533" s="2" t="s">
        <v>9709</v>
      </c>
      <c r="J1533" t="s">
        <v>9710</v>
      </c>
      <c r="L1533" s="1">
        <v>2</v>
      </c>
      <c r="M1533" s="1"/>
      <c r="N1533" s="1"/>
      <c r="O1533" s="3"/>
    </row>
    <row r="1534" spans="1:15" ht="409.6">
      <c r="A1534" t="s">
        <v>2327</v>
      </c>
      <c r="B1534" t="s">
        <v>2328</v>
      </c>
      <c r="C1534" t="s">
        <v>9644</v>
      </c>
      <c r="D1534" t="s">
        <v>23</v>
      </c>
      <c r="E1534">
        <v>20</v>
      </c>
      <c r="F1534" s="2" t="s">
        <v>9711</v>
      </c>
      <c r="G1534" s="2" t="s">
        <v>9712</v>
      </c>
      <c r="H1534" s="2" t="s">
        <v>9713</v>
      </c>
      <c r="I1534" s="2" t="s">
        <v>9714</v>
      </c>
      <c r="J1534" t="s">
        <v>9715</v>
      </c>
      <c r="L1534" s="1">
        <v>2</v>
      </c>
      <c r="M1534" s="1"/>
      <c r="N1534" s="1"/>
      <c r="O1534" s="3"/>
    </row>
    <row r="1535" spans="1:15" ht="409.6">
      <c r="A1535" t="s">
        <v>8406</v>
      </c>
      <c r="B1535" t="s">
        <v>2713</v>
      </c>
      <c r="C1535" t="s">
        <v>9644</v>
      </c>
      <c r="D1535" t="s">
        <v>23</v>
      </c>
      <c r="E1535">
        <v>20</v>
      </c>
      <c r="F1535" s="2" t="s">
        <v>9620</v>
      </c>
      <c r="G1535" s="2" t="s">
        <v>9621</v>
      </c>
      <c r="H1535" s="2" t="s">
        <v>8409</v>
      </c>
      <c r="I1535" s="2" t="s">
        <v>9622</v>
      </c>
      <c r="J1535" t="s">
        <v>9623</v>
      </c>
      <c r="K1535" t="s">
        <v>8412</v>
      </c>
      <c r="L1535" s="1">
        <v>2</v>
      </c>
      <c r="M1535" s="1"/>
      <c r="N1535" s="1"/>
      <c r="O1535" s="3"/>
    </row>
    <row r="1536" spans="1:15" ht="409.6">
      <c r="A1536" t="s">
        <v>9716</v>
      </c>
      <c r="B1536" t="s">
        <v>6419</v>
      </c>
      <c r="C1536" t="s">
        <v>9644</v>
      </c>
      <c r="D1536" t="s">
        <v>23</v>
      </c>
      <c r="E1536">
        <v>10</v>
      </c>
      <c r="F1536" s="2" t="s">
        <v>9717</v>
      </c>
      <c r="G1536" s="2" t="s">
        <v>9718</v>
      </c>
      <c r="H1536" s="2" t="s">
        <v>9719</v>
      </c>
      <c r="I1536" s="2" t="s">
        <v>9720</v>
      </c>
      <c r="J1536" t="s">
        <v>9721</v>
      </c>
      <c r="L1536" s="1">
        <v>2</v>
      </c>
      <c r="M1536" s="1"/>
      <c r="N1536" s="1"/>
      <c r="O1536" s="3"/>
    </row>
    <row r="1537" spans="1:15" ht="409.6">
      <c r="A1537" t="s">
        <v>6448</v>
      </c>
      <c r="B1537" t="s">
        <v>6449</v>
      </c>
      <c r="C1537" t="s">
        <v>9722</v>
      </c>
      <c r="D1537" t="s">
        <v>23</v>
      </c>
      <c r="E1537">
        <v>30</v>
      </c>
      <c r="F1537" s="2" t="s">
        <v>9723</v>
      </c>
      <c r="G1537" s="2" t="s">
        <v>9724</v>
      </c>
      <c r="H1537" s="2" t="s">
        <v>6452</v>
      </c>
      <c r="I1537" s="2" t="s">
        <v>9725</v>
      </c>
      <c r="J1537" t="s">
        <v>6454</v>
      </c>
      <c r="L1537" s="1">
        <v>2</v>
      </c>
      <c r="M1537" s="1"/>
      <c r="N1537" s="1"/>
      <c r="O1537" s="3"/>
    </row>
    <row r="1538" spans="1:15" ht="409.6">
      <c r="A1538" t="s">
        <v>3751</v>
      </c>
      <c r="B1538" t="s">
        <v>3752</v>
      </c>
      <c r="C1538" t="s">
        <v>9722</v>
      </c>
      <c r="D1538" t="s">
        <v>23</v>
      </c>
      <c r="E1538">
        <v>15</v>
      </c>
      <c r="F1538" s="2" t="s">
        <v>9726</v>
      </c>
      <c r="G1538" s="2" t="s">
        <v>9727</v>
      </c>
      <c r="H1538" s="2" t="s">
        <v>9728</v>
      </c>
      <c r="I1538" s="2" t="s">
        <v>9729</v>
      </c>
      <c r="J1538" t="s">
        <v>9730</v>
      </c>
      <c r="L1538" s="1">
        <v>2</v>
      </c>
      <c r="M1538" s="1"/>
      <c r="N1538" s="1"/>
      <c r="O1538" s="3"/>
    </row>
    <row r="1539" spans="1:15" ht="409.6">
      <c r="A1539" t="s">
        <v>4458</v>
      </c>
      <c r="B1539" t="s">
        <v>4459</v>
      </c>
      <c r="C1539" t="s">
        <v>9722</v>
      </c>
      <c r="D1539" t="s">
        <v>23</v>
      </c>
      <c r="E1539">
        <v>15</v>
      </c>
      <c r="F1539" s="2" t="s">
        <v>4460</v>
      </c>
      <c r="G1539" s="2" t="s">
        <v>4461</v>
      </c>
      <c r="H1539" s="2" t="s">
        <v>4462</v>
      </c>
      <c r="I1539" s="2" t="s">
        <v>4463</v>
      </c>
      <c r="J1539" t="s">
        <v>9731</v>
      </c>
      <c r="L1539" s="1">
        <v>2</v>
      </c>
      <c r="M1539" s="1"/>
      <c r="N1539" s="1"/>
      <c r="O1539" s="3"/>
    </row>
    <row r="1540" spans="1:15" ht="409.6">
      <c r="A1540" t="s">
        <v>4472</v>
      </c>
      <c r="B1540" t="s">
        <v>4473</v>
      </c>
      <c r="C1540" t="s">
        <v>9722</v>
      </c>
      <c r="D1540" t="s">
        <v>23</v>
      </c>
      <c r="E1540">
        <v>15</v>
      </c>
      <c r="F1540" s="2" t="s">
        <v>8528</v>
      </c>
      <c r="G1540" s="2" t="s">
        <v>9732</v>
      </c>
      <c r="H1540" s="2" t="s">
        <v>9733</v>
      </c>
      <c r="I1540" s="2" t="s">
        <v>9734</v>
      </c>
      <c r="J1540" t="s">
        <v>9735</v>
      </c>
      <c r="L1540" s="1">
        <v>2</v>
      </c>
      <c r="M1540" s="1"/>
      <c r="N1540" s="1"/>
      <c r="O1540" s="3"/>
    </row>
    <row r="1541" spans="1:15" ht="409.6">
      <c r="A1541" t="s">
        <v>9736</v>
      </c>
      <c r="B1541" t="s">
        <v>9737</v>
      </c>
      <c r="C1541" t="s">
        <v>9722</v>
      </c>
      <c r="D1541" t="s">
        <v>23</v>
      </c>
      <c r="E1541">
        <v>10</v>
      </c>
      <c r="F1541" s="2" t="s">
        <v>9738</v>
      </c>
      <c r="G1541" s="2" t="s">
        <v>9739</v>
      </c>
      <c r="H1541" s="2" t="s">
        <v>9740</v>
      </c>
      <c r="I1541" s="2" t="s">
        <v>9741</v>
      </c>
      <c r="J1541" t="s">
        <v>9742</v>
      </c>
      <c r="L1541" s="1">
        <v>2</v>
      </c>
      <c r="M1541" s="1"/>
      <c r="N1541" s="1"/>
      <c r="O1541" s="3"/>
    </row>
    <row r="1542" spans="1:15" ht="409.6">
      <c r="A1542" t="s">
        <v>4479</v>
      </c>
      <c r="B1542" t="s">
        <v>4480</v>
      </c>
      <c r="C1542" t="s">
        <v>9722</v>
      </c>
      <c r="D1542" t="s">
        <v>23</v>
      </c>
      <c r="E1542">
        <v>10</v>
      </c>
      <c r="F1542" s="2" t="s">
        <v>8532</v>
      </c>
      <c r="G1542" s="2" t="s">
        <v>9743</v>
      </c>
      <c r="H1542" s="2" t="s">
        <v>9744</v>
      </c>
      <c r="I1542" s="2" t="s">
        <v>9745</v>
      </c>
      <c r="J1542" t="s">
        <v>9746</v>
      </c>
      <c r="L1542" s="1">
        <v>2</v>
      </c>
      <c r="M1542" s="1"/>
      <c r="N1542" s="1"/>
      <c r="O1542" s="3"/>
    </row>
    <row r="1543" spans="1:15" ht="409.6">
      <c r="A1543" t="s">
        <v>4506</v>
      </c>
      <c r="B1543" t="s">
        <v>4507</v>
      </c>
      <c r="C1543" t="s">
        <v>9722</v>
      </c>
      <c r="D1543" t="s">
        <v>23</v>
      </c>
      <c r="E1543">
        <v>10</v>
      </c>
      <c r="F1543" s="2" t="s">
        <v>9747</v>
      </c>
      <c r="G1543" s="2" t="s">
        <v>4509</v>
      </c>
      <c r="H1543" s="2" t="s">
        <v>9748</v>
      </c>
      <c r="I1543" s="2" t="s">
        <v>9749</v>
      </c>
      <c r="J1543" t="s">
        <v>4512</v>
      </c>
      <c r="L1543" s="1">
        <v>2</v>
      </c>
      <c r="M1543" s="1"/>
      <c r="N1543" s="1"/>
      <c r="O1543" s="3"/>
    </row>
    <row r="1544" spans="1:15" ht="409.6">
      <c r="A1544" t="s">
        <v>2224</v>
      </c>
      <c r="B1544" t="s">
        <v>2225</v>
      </c>
      <c r="C1544" t="s">
        <v>9722</v>
      </c>
      <c r="D1544" t="s">
        <v>23</v>
      </c>
      <c r="E1544">
        <v>40</v>
      </c>
      <c r="F1544" s="2" t="s">
        <v>9750</v>
      </c>
      <c r="G1544" s="2" t="s">
        <v>9751</v>
      </c>
      <c r="H1544" s="2" t="s">
        <v>9752</v>
      </c>
      <c r="I1544" s="2" t="s">
        <v>9753</v>
      </c>
      <c r="J1544" t="s">
        <v>9754</v>
      </c>
      <c r="L1544" s="1">
        <v>2</v>
      </c>
      <c r="M1544" s="1"/>
      <c r="N1544" s="1"/>
      <c r="O1544" s="3"/>
    </row>
    <row r="1545" spans="1:15" ht="409.6">
      <c r="A1545" t="s">
        <v>9755</v>
      </c>
      <c r="B1545" t="s">
        <v>9756</v>
      </c>
      <c r="C1545" t="s">
        <v>9722</v>
      </c>
      <c r="D1545" t="s">
        <v>23</v>
      </c>
      <c r="E1545">
        <v>10</v>
      </c>
      <c r="F1545" s="2" t="s">
        <v>9757</v>
      </c>
      <c r="G1545" s="2" t="s">
        <v>9758</v>
      </c>
      <c r="H1545" s="2" t="s">
        <v>9759</v>
      </c>
      <c r="I1545" s="2" t="s">
        <v>9760</v>
      </c>
      <c r="J1545" t="s">
        <v>9761</v>
      </c>
      <c r="L1545" s="1">
        <v>2</v>
      </c>
      <c r="M1545" s="1"/>
      <c r="N1545" s="1"/>
      <c r="O1545" s="3"/>
    </row>
    <row r="1546" spans="1:15" ht="409.6">
      <c r="A1546" t="s">
        <v>5342</v>
      </c>
      <c r="B1546" t="s">
        <v>5343</v>
      </c>
      <c r="C1546" t="s">
        <v>9722</v>
      </c>
      <c r="D1546" t="s">
        <v>23</v>
      </c>
      <c r="E1546">
        <v>120</v>
      </c>
      <c r="F1546" s="2" t="s">
        <v>9762</v>
      </c>
      <c r="G1546" s="2" t="s">
        <v>9763</v>
      </c>
      <c r="H1546" s="2" t="s">
        <v>5346</v>
      </c>
      <c r="I1546" s="2" t="s">
        <v>9764</v>
      </c>
      <c r="J1546" t="s">
        <v>9765</v>
      </c>
      <c r="L1546" s="1">
        <v>2</v>
      </c>
      <c r="M1546" s="1"/>
      <c r="N1546" s="1"/>
      <c r="O1546" s="3"/>
    </row>
    <row r="1547" spans="1:15" ht="409.6">
      <c r="A1547" t="s">
        <v>9766</v>
      </c>
      <c r="B1547" t="s">
        <v>9767</v>
      </c>
      <c r="C1547" t="s">
        <v>9722</v>
      </c>
      <c r="D1547" t="s">
        <v>23</v>
      </c>
      <c r="E1547">
        <v>60</v>
      </c>
      <c r="F1547" s="2" t="s">
        <v>9768</v>
      </c>
      <c r="G1547" s="2" t="s">
        <v>9769</v>
      </c>
      <c r="H1547" s="2" t="s">
        <v>9770</v>
      </c>
      <c r="I1547" s="2" t="s">
        <v>9771</v>
      </c>
      <c r="J1547" t="s">
        <v>9772</v>
      </c>
      <c r="L1547" s="1">
        <v>2</v>
      </c>
      <c r="M1547" s="1"/>
      <c r="N1547" s="1"/>
      <c r="O1547" s="3"/>
    </row>
    <row r="1548" spans="1:15" ht="409.6">
      <c r="A1548" t="s">
        <v>8798</v>
      </c>
      <c r="B1548" t="s">
        <v>8799</v>
      </c>
      <c r="C1548" t="s">
        <v>9722</v>
      </c>
      <c r="D1548" t="s">
        <v>23</v>
      </c>
      <c r="E1548">
        <v>60</v>
      </c>
      <c r="F1548" s="2" t="s">
        <v>8800</v>
      </c>
      <c r="G1548" s="2" t="s">
        <v>8801</v>
      </c>
      <c r="H1548" s="2" t="s">
        <v>9773</v>
      </c>
      <c r="I1548" s="2" t="s">
        <v>9774</v>
      </c>
      <c r="J1548" t="s">
        <v>8804</v>
      </c>
      <c r="L1548" s="1">
        <v>2</v>
      </c>
      <c r="M1548" s="1"/>
      <c r="N1548" s="1"/>
      <c r="O1548" s="3"/>
    </row>
    <row r="1549" spans="1:15" ht="409.6">
      <c r="A1549" t="s">
        <v>2432</v>
      </c>
      <c r="B1549" t="s">
        <v>2433</v>
      </c>
      <c r="C1549" t="s">
        <v>9722</v>
      </c>
      <c r="D1549" t="s">
        <v>23</v>
      </c>
      <c r="E1549">
        <v>20</v>
      </c>
      <c r="F1549" s="2" t="s">
        <v>9775</v>
      </c>
      <c r="G1549" s="2" t="s">
        <v>9776</v>
      </c>
      <c r="H1549" s="2" t="s">
        <v>9777</v>
      </c>
      <c r="I1549" s="2" t="s">
        <v>9778</v>
      </c>
      <c r="J1549" t="s">
        <v>9779</v>
      </c>
      <c r="L1549" s="1">
        <v>2</v>
      </c>
      <c r="M1549" s="1"/>
      <c r="N1549" s="1"/>
      <c r="O1549" s="3"/>
    </row>
    <row r="1550" spans="1:15" ht="409.6">
      <c r="A1550" t="s">
        <v>8928</v>
      </c>
      <c r="B1550" t="s">
        <v>8929</v>
      </c>
      <c r="C1550" t="s">
        <v>9722</v>
      </c>
      <c r="D1550" t="s">
        <v>23</v>
      </c>
      <c r="E1550">
        <v>30</v>
      </c>
      <c r="F1550" s="2" t="s">
        <v>9780</v>
      </c>
      <c r="G1550" s="2" t="s">
        <v>8931</v>
      </c>
      <c r="H1550" s="2" t="s">
        <v>9781</v>
      </c>
      <c r="I1550" s="2" t="s">
        <v>9782</v>
      </c>
      <c r="J1550" t="s">
        <v>8934</v>
      </c>
      <c r="L1550" s="1">
        <v>2</v>
      </c>
      <c r="M1550" s="1"/>
      <c r="N1550" s="1"/>
      <c r="O1550" s="3"/>
    </row>
    <row r="1551" spans="1:15" ht="409.6">
      <c r="A1551" t="s">
        <v>9783</v>
      </c>
      <c r="B1551" t="s">
        <v>9784</v>
      </c>
      <c r="C1551" t="s">
        <v>2612</v>
      </c>
      <c r="D1551" t="s">
        <v>23</v>
      </c>
      <c r="E1551">
        <v>15</v>
      </c>
      <c r="F1551" s="2" t="s">
        <v>9785</v>
      </c>
      <c r="G1551" s="2" t="s">
        <v>9786</v>
      </c>
      <c r="H1551" s="2" t="s">
        <v>9787</v>
      </c>
      <c r="I1551" s="2" t="s">
        <v>9788</v>
      </c>
      <c r="J1551" t="s">
        <v>9789</v>
      </c>
      <c r="L1551" s="1">
        <v>2</v>
      </c>
      <c r="M1551" s="1"/>
      <c r="N1551" s="1"/>
      <c r="O1551" s="3"/>
    </row>
    <row r="1552" spans="1:15" ht="409.6">
      <c r="A1552" t="s">
        <v>9790</v>
      </c>
      <c r="B1552" t="s">
        <v>9791</v>
      </c>
      <c r="C1552" t="s">
        <v>2612</v>
      </c>
      <c r="D1552" t="s">
        <v>23</v>
      </c>
      <c r="E1552">
        <v>10</v>
      </c>
      <c r="F1552" s="2" t="s">
        <v>9792</v>
      </c>
      <c r="G1552" s="2" t="s">
        <v>9793</v>
      </c>
      <c r="H1552" s="2" t="s">
        <v>9794</v>
      </c>
      <c r="I1552" s="2" t="s">
        <v>9795</v>
      </c>
      <c r="J1552" t="s">
        <v>9796</v>
      </c>
      <c r="L1552" s="1">
        <v>2</v>
      </c>
      <c r="M1552" s="1"/>
      <c r="N1552" s="1"/>
      <c r="O1552" s="3"/>
    </row>
    <row r="1553" spans="1:15" ht="409.6">
      <c r="A1553" t="s">
        <v>9797</v>
      </c>
      <c r="B1553" t="s">
        <v>9798</v>
      </c>
      <c r="C1553" t="s">
        <v>2612</v>
      </c>
      <c r="D1553" t="s">
        <v>23</v>
      </c>
      <c r="E1553">
        <v>10</v>
      </c>
      <c r="F1553" s="2" t="s">
        <v>9799</v>
      </c>
      <c r="G1553" s="2" t="s">
        <v>9800</v>
      </c>
      <c r="H1553" s="2" t="s">
        <v>9801</v>
      </c>
      <c r="I1553" s="2" t="s">
        <v>9802</v>
      </c>
      <c r="J1553" t="s">
        <v>9803</v>
      </c>
      <c r="L1553" s="1">
        <v>2</v>
      </c>
      <c r="M1553" s="1"/>
      <c r="N1553" s="1"/>
      <c r="O1553" s="3"/>
    </row>
    <row r="1554" spans="1:15" ht="409.6">
      <c r="A1554" t="s">
        <v>9804</v>
      </c>
      <c r="B1554" t="s">
        <v>9805</v>
      </c>
      <c r="C1554" t="s">
        <v>2612</v>
      </c>
      <c r="D1554" t="s">
        <v>23</v>
      </c>
      <c r="E1554">
        <v>10</v>
      </c>
      <c r="F1554" s="2" t="s">
        <v>9806</v>
      </c>
      <c r="G1554" s="2" t="s">
        <v>9807</v>
      </c>
      <c r="H1554" s="2" t="s">
        <v>9808</v>
      </c>
      <c r="I1554" s="2" t="s">
        <v>9809</v>
      </c>
      <c r="J1554" t="s">
        <v>9810</v>
      </c>
      <c r="L1554" s="1">
        <v>2</v>
      </c>
      <c r="M1554" s="1"/>
      <c r="N1554" s="1"/>
      <c r="O1554" s="3"/>
    </row>
    <row r="1555" spans="1:15" ht="409.6">
      <c r="A1555" t="s">
        <v>9811</v>
      </c>
      <c r="B1555" t="s">
        <v>9812</v>
      </c>
      <c r="C1555" t="s">
        <v>2612</v>
      </c>
      <c r="D1555" t="s">
        <v>23</v>
      </c>
      <c r="E1555">
        <v>10</v>
      </c>
      <c r="F1555" s="2" t="s">
        <v>9813</v>
      </c>
      <c r="G1555" s="2" t="s">
        <v>9814</v>
      </c>
      <c r="H1555" s="2" t="s">
        <v>9815</v>
      </c>
      <c r="I1555" s="2" t="s">
        <v>9816</v>
      </c>
      <c r="J1555" t="s">
        <v>9817</v>
      </c>
      <c r="L1555" s="1">
        <v>2</v>
      </c>
      <c r="M1555" s="1"/>
      <c r="N1555" s="1"/>
      <c r="O1555" s="3"/>
    </row>
    <row r="1556" spans="1:15" ht="409.6">
      <c r="A1556" t="s">
        <v>9818</v>
      </c>
      <c r="B1556" t="s">
        <v>9819</v>
      </c>
      <c r="C1556" t="s">
        <v>2612</v>
      </c>
      <c r="D1556" t="s">
        <v>23</v>
      </c>
      <c r="E1556">
        <v>20</v>
      </c>
      <c r="F1556" s="2" t="s">
        <v>9820</v>
      </c>
      <c r="G1556" s="2" t="s">
        <v>9821</v>
      </c>
      <c r="H1556" s="2" t="s">
        <v>9822</v>
      </c>
      <c r="I1556" s="2" t="s">
        <v>9823</v>
      </c>
      <c r="J1556" t="s">
        <v>9824</v>
      </c>
      <c r="L1556" s="1">
        <v>2</v>
      </c>
      <c r="M1556" s="1"/>
      <c r="N1556" s="1"/>
      <c r="O1556" s="3"/>
    </row>
    <row r="1557" spans="1:15" ht="409.6">
      <c r="A1557" t="s">
        <v>9825</v>
      </c>
      <c r="B1557" t="s">
        <v>9826</v>
      </c>
      <c r="C1557" t="s">
        <v>2612</v>
      </c>
      <c r="D1557" t="s">
        <v>23</v>
      </c>
      <c r="E1557">
        <v>60</v>
      </c>
      <c r="F1557" s="2" t="s">
        <v>9827</v>
      </c>
      <c r="G1557" s="2" t="s">
        <v>9828</v>
      </c>
      <c r="H1557" s="2" t="s">
        <v>9829</v>
      </c>
      <c r="I1557" s="2" t="s">
        <v>9830</v>
      </c>
      <c r="J1557" t="s">
        <v>9831</v>
      </c>
      <c r="K1557" t="s">
        <v>9832</v>
      </c>
      <c r="L1557" s="1">
        <v>2</v>
      </c>
      <c r="M1557" s="1"/>
      <c r="N1557" s="1"/>
      <c r="O1557" s="3"/>
    </row>
    <row r="1558" spans="1:15" ht="409.6">
      <c r="A1558" t="s">
        <v>3723</v>
      </c>
      <c r="B1558" t="s">
        <v>3724</v>
      </c>
      <c r="C1558" t="s">
        <v>2612</v>
      </c>
      <c r="D1558" t="s">
        <v>23</v>
      </c>
      <c r="E1558">
        <v>10</v>
      </c>
      <c r="F1558" s="2" t="s">
        <v>9833</v>
      </c>
      <c r="G1558" s="2" t="s">
        <v>3726</v>
      </c>
      <c r="H1558" s="2" t="s">
        <v>9834</v>
      </c>
      <c r="I1558" s="2" t="s">
        <v>9835</v>
      </c>
      <c r="J1558" t="s">
        <v>9836</v>
      </c>
      <c r="L1558" s="1">
        <v>2</v>
      </c>
      <c r="M1558" s="1"/>
      <c r="N1558" s="1"/>
      <c r="O1558" s="3"/>
    </row>
    <row r="1559" spans="1:15" ht="409.6">
      <c r="A1559" t="s">
        <v>9837</v>
      </c>
      <c r="B1559" s="2" t="s">
        <v>9838</v>
      </c>
      <c r="C1559" t="s">
        <v>2612</v>
      </c>
      <c r="D1559" t="s">
        <v>23</v>
      </c>
      <c r="E1559">
        <v>20</v>
      </c>
      <c r="F1559" s="2" t="s">
        <v>9839</v>
      </c>
      <c r="G1559" s="2" t="s">
        <v>9840</v>
      </c>
      <c r="H1559" s="2" t="s">
        <v>6492</v>
      </c>
      <c r="I1559" s="2" t="s">
        <v>6493</v>
      </c>
      <c r="J1559" t="s">
        <v>6494</v>
      </c>
      <c r="L1559" s="1">
        <v>2</v>
      </c>
      <c r="M1559" s="1"/>
      <c r="N1559" s="1"/>
      <c r="O1559" s="3"/>
    </row>
    <row r="1560" spans="1:15" ht="409.6">
      <c r="A1560" t="s">
        <v>9841</v>
      </c>
      <c r="B1560" t="s">
        <v>9842</v>
      </c>
      <c r="C1560" t="s">
        <v>2612</v>
      </c>
      <c r="D1560" t="s">
        <v>23</v>
      </c>
      <c r="E1560">
        <v>20</v>
      </c>
      <c r="F1560" s="2" t="s">
        <v>7490</v>
      </c>
      <c r="G1560" s="2" t="s">
        <v>9843</v>
      </c>
      <c r="H1560" s="2" t="s">
        <v>9844</v>
      </c>
      <c r="I1560" s="2" t="s">
        <v>9845</v>
      </c>
      <c r="J1560" t="s">
        <v>9846</v>
      </c>
      <c r="L1560" s="1">
        <v>2</v>
      </c>
      <c r="M1560" s="1"/>
      <c r="N1560" s="1"/>
      <c r="O1560" s="3"/>
    </row>
    <row r="1561" spans="1:15" ht="409.6">
      <c r="A1561" t="s">
        <v>9736</v>
      </c>
      <c r="B1561" t="s">
        <v>9737</v>
      </c>
      <c r="C1561" t="s">
        <v>2612</v>
      </c>
      <c r="D1561" t="s">
        <v>23</v>
      </c>
      <c r="E1561">
        <v>10</v>
      </c>
      <c r="F1561" s="2" t="s">
        <v>9738</v>
      </c>
      <c r="G1561" s="2" t="s">
        <v>9739</v>
      </c>
      <c r="H1561" s="2" t="s">
        <v>9847</v>
      </c>
      <c r="I1561" s="2" t="s">
        <v>9848</v>
      </c>
      <c r="J1561" t="s">
        <v>9849</v>
      </c>
      <c r="L1561" s="1">
        <v>2</v>
      </c>
      <c r="M1561" s="1"/>
      <c r="N1561" s="1"/>
      <c r="O1561" s="3"/>
    </row>
    <row r="1562" spans="1:15" ht="409.6">
      <c r="A1562" t="s">
        <v>9850</v>
      </c>
      <c r="B1562" t="s">
        <v>9851</v>
      </c>
      <c r="C1562" t="s">
        <v>2612</v>
      </c>
      <c r="D1562" t="s">
        <v>23</v>
      </c>
      <c r="E1562">
        <v>5</v>
      </c>
      <c r="F1562" s="2" t="s">
        <v>9852</v>
      </c>
      <c r="G1562" s="2" t="s">
        <v>9853</v>
      </c>
      <c r="H1562" s="2" t="s">
        <v>9854</v>
      </c>
      <c r="I1562" s="2" t="s">
        <v>9855</v>
      </c>
      <c r="J1562" t="s">
        <v>9856</v>
      </c>
      <c r="L1562" s="1">
        <v>2</v>
      </c>
      <c r="M1562" s="1"/>
      <c r="N1562" s="1"/>
      <c r="O1562" s="3"/>
    </row>
    <row r="1563" spans="1:15" ht="409.6">
      <c r="A1563" t="s">
        <v>3772</v>
      </c>
      <c r="B1563" t="s">
        <v>3773</v>
      </c>
      <c r="C1563" t="s">
        <v>2612</v>
      </c>
      <c r="D1563" t="s">
        <v>23</v>
      </c>
      <c r="E1563">
        <v>10</v>
      </c>
      <c r="F1563" s="2" t="s">
        <v>9857</v>
      </c>
      <c r="G1563" s="2" t="s">
        <v>9858</v>
      </c>
      <c r="H1563" s="2" t="s">
        <v>3776</v>
      </c>
      <c r="I1563" s="2" t="s">
        <v>3777</v>
      </c>
      <c r="J1563" t="s">
        <v>9859</v>
      </c>
      <c r="L1563" s="1">
        <v>2</v>
      </c>
      <c r="M1563" s="1"/>
      <c r="N1563" s="1"/>
      <c r="O1563" s="3"/>
    </row>
    <row r="1564" spans="1:15" ht="409.6">
      <c r="A1564" t="s">
        <v>9860</v>
      </c>
      <c r="B1564" t="s">
        <v>9861</v>
      </c>
      <c r="C1564" t="s">
        <v>2612</v>
      </c>
      <c r="D1564" t="s">
        <v>23</v>
      </c>
      <c r="E1564">
        <v>5</v>
      </c>
      <c r="F1564" s="2" t="s">
        <v>9862</v>
      </c>
      <c r="G1564" s="2" t="s">
        <v>9863</v>
      </c>
      <c r="H1564" s="2" t="s">
        <v>9864</v>
      </c>
      <c r="I1564" s="2" t="s">
        <v>9865</v>
      </c>
      <c r="J1564" t="s">
        <v>9866</v>
      </c>
      <c r="L1564" s="1">
        <v>2</v>
      </c>
      <c r="M1564" s="1"/>
      <c r="N1564" s="1"/>
      <c r="O1564" s="3"/>
    </row>
    <row r="1565" spans="1:15" ht="409.6">
      <c r="A1565" t="s">
        <v>9867</v>
      </c>
      <c r="B1565" t="s">
        <v>9868</v>
      </c>
      <c r="C1565" t="s">
        <v>2612</v>
      </c>
      <c r="D1565" t="s">
        <v>23</v>
      </c>
      <c r="E1565">
        <v>10</v>
      </c>
      <c r="F1565" s="2" t="s">
        <v>9869</v>
      </c>
      <c r="G1565" s="2" t="s">
        <v>9870</v>
      </c>
      <c r="H1565" s="2" t="s">
        <v>9871</v>
      </c>
      <c r="I1565" s="2" t="s">
        <v>9872</v>
      </c>
      <c r="J1565" t="s">
        <v>9873</v>
      </c>
      <c r="L1565" s="1">
        <v>2</v>
      </c>
      <c r="M1565" s="1"/>
      <c r="N1565" s="1"/>
      <c r="O1565" s="3"/>
    </row>
    <row r="1566" spans="1:15" ht="409.6">
      <c r="A1566" t="s">
        <v>9874</v>
      </c>
      <c r="B1566" t="s">
        <v>9875</v>
      </c>
      <c r="C1566" t="s">
        <v>2612</v>
      </c>
      <c r="D1566" t="s">
        <v>23</v>
      </c>
      <c r="E1566">
        <v>10</v>
      </c>
      <c r="F1566" t="s">
        <v>9876</v>
      </c>
      <c r="G1566" t="s">
        <v>9877</v>
      </c>
      <c r="H1566" s="2" t="s">
        <v>9878</v>
      </c>
      <c r="I1566" s="2" t="s">
        <v>9879</v>
      </c>
      <c r="J1566" t="s">
        <v>9880</v>
      </c>
      <c r="L1566" s="1">
        <v>2</v>
      </c>
      <c r="M1566" s="1"/>
      <c r="N1566" s="1"/>
      <c r="O1566" s="3"/>
    </row>
    <row r="1567" spans="1:15" ht="409.6">
      <c r="A1567" t="s">
        <v>9881</v>
      </c>
      <c r="B1567" t="s">
        <v>9882</v>
      </c>
      <c r="C1567" t="s">
        <v>2612</v>
      </c>
      <c r="D1567" t="s">
        <v>23</v>
      </c>
      <c r="E1567">
        <v>15</v>
      </c>
      <c r="F1567" s="2" t="s">
        <v>9883</v>
      </c>
      <c r="G1567" s="2" t="s">
        <v>9884</v>
      </c>
      <c r="H1567" s="2" t="s">
        <v>9885</v>
      </c>
      <c r="I1567" s="2" t="s">
        <v>9886</v>
      </c>
      <c r="J1567" t="s">
        <v>9887</v>
      </c>
      <c r="L1567" s="1">
        <v>2</v>
      </c>
      <c r="M1567" s="1"/>
      <c r="N1567" s="1"/>
      <c r="O1567" s="3"/>
    </row>
    <row r="1568" spans="1:15" ht="409.6">
      <c r="A1568" t="s">
        <v>9888</v>
      </c>
      <c r="B1568" t="s">
        <v>9889</v>
      </c>
      <c r="C1568" t="s">
        <v>2612</v>
      </c>
      <c r="D1568" t="s">
        <v>23</v>
      </c>
      <c r="E1568">
        <v>15</v>
      </c>
      <c r="F1568" s="2" t="s">
        <v>9890</v>
      </c>
      <c r="G1568" s="2" t="s">
        <v>9891</v>
      </c>
      <c r="H1568" s="2" t="s">
        <v>9892</v>
      </c>
      <c r="I1568" s="2" t="s">
        <v>9893</v>
      </c>
      <c r="J1568" t="s">
        <v>9894</v>
      </c>
      <c r="L1568" s="1">
        <v>2</v>
      </c>
      <c r="M1568" s="1"/>
      <c r="N1568" s="1"/>
      <c r="O1568" s="3"/>
    </row>
    <row r="1569" spans="1:15" ht="409.6">
      <c r="A1569" t="s">
        <v>5162</v>
      </c>
      <c r="B1569" t="s">
        <v>5163</v>
      </c>
      <c r="C1569" t="s">
        <v>2612</v>
      </c>
      <c r="D1569" t="s">
        <v>23</v>
      </c>
      <c r="E1569">
        <v>15</v>
      </c>
      <c r="F1569" s="2" t="s">
        <v>9895</v>
      </c>
      <c r="G1569" s="2" t="s">
        <v>9896</v>
      </c>
      <c r="H1569" s="2" t="s">
        <v>9897</v>
      </c>
      <c r="I1569" s="2" t="s">
        <v>9898</v>
      </c>
      <c r="J1569" t="s">
        <v>9899</v>
      </c>
      <c r="L1569" s="1">
        <v>2</v>
      </c>
      <c r="M1569" s="1"/>
      <c r="N1569" s="1"/>
      <c r="O1569" s="3"/>
    </row>
    <row r="1570" spans="1:15" ht="409.6">
      <c r="A1570" t="s">
        <v>5176</v>
      </c>
      <c r="B1570" t="s">
        <v>9900</v>
      </c>
      <c r="C1570" t="s">
        <v>2612</v>
      </c>
      <c r="D1570" t="s">
        <v>23</v>
      </c>
      <c r="E1570">
        <v>30</v>
      </c>
      <c r="F1570" s="2" t="s">
        <v>9901</v>
      </c>
      <c r="G1570" s="2" t="s">
        <v>9902</v>
      </c>
      <c r="H1570" s="2" t="s">
        <v>9903</v>
      </c>
      <c r="I1570" s="2" t="s">
        <v>9904</v>
      </c>
      <c r="J1570" t="s">
        <v>9905</v>
      </c>
      <c r="L1570" s="1">
        <v>2</v>
      </c>
      <c r="M1570" s="1"/>
      <c r="N1570" s="1"/>
      <c r="O1570" s="3"/>
    </row>
    <row r="1571" spans="1:15" ht="409.6">
      <c r="A1571" t="s">
        <v>9906</v>
      </c>
      <c r="B1571" t="s">
        <v>9907</v>
      </c>
      <c r="C1571" t="s">
        <v>2612</v>
      </c>
      <c r="D1571" t="s">
        <v>23</v>
      </c>
      <c r="E1571">
        <v>60</v>
      </c>
      <c r="F1571" s="2" t="s">
        <v>9908</v>
      </c>
      <c r="G1571" s="2" t="s">
        <v>9909</v>
      </c>
      <c r="H1571" s="2" t="s">
        <v>9910</v>
      </c>
      <c r="I1571" s="2" t="s">
        <v>9911</v>
      </c>
      <c r="J1571" t="s">
        <v>9912</v>
      </c>
      <c r="L1571" s="1">
        <v>2</v>
      </c>
      <c r="M1571" s="1"/>
      <c r="N1571" s="1"/>
      <c r="O1571" s="3"/>
    </row>
    <row r="1572" spans="1:15" ht="409.6">
      <c r="A1572" t="s">
        <v>9913</v>
      </c>
      <c r="B1572" t="s">
        <v>9914</v>
      </c>
      <c r="C1572" t="s">
        <v>2612</v>
      </c>
      <c r="D1572" t="s">
        <v>23</v>
      </c>
      <c r="E1572">
        <v>15</v>
      </c>
      <c r="F1572" s="2" t="s">
        <v>9915</v>
      </c>
      <c r="G1572" s="2" t="s">
        <v>9916</v>
      </c>
      <c r="H1572" s="2" t="s">
        <v>9917</v>
      </c>
      <c r="I1572" s="2" t="s">
        <v>9918</v>
      </c>
      <c r="J1572" t="s">
        <v>9919</v>
      </c>
      <c r="K1572" t="s">
        <v>9920</v>
      </c>
      <c r="L1572" s="1">
        <v>2</v>
      </c>
      <c r="M1572" s="1"/>
      <c r="N1572" s="1"/>
      <c r="O1572" s="3"/>
    </row>
    <row r="1573" spans="1:15" ht="409.6">
      <c r="A1573" t="s">
        <v>9921</v>
      </c>
      <c r="B1573" t="s">
        <v>9922</v>
      </c>
      <c r="C1573" t="s">
        <v>2612</v>
      </c>
      <c r="D1573" t="s">
        <v>23</v>
      </c>
      <c r="E1573">
        <v>15</v>
      </c>
      <c r="F1573" s="2" t="s">
        <v>9923</v>
      </c>
      <c r="G1573" s="2" t="s">
        <v>9924</v>
      </c>
      <c r="H1573" s="2" t="s">
        <v>9925</v>
      </c>
      <c r="I1573" s="2" t="s">
        <v>9926</v>
      </c>
      <c r="J1573" t="s">
        <v>9927</v>
      </c>
      <c r="K1573" t="s">
        <v>9928</v>
      </c>
      <c r="L1573" s="1">
        <v>2</v>
      </c>
      <c r="M1573" s="1"/>
      <c r="N1573" s="1"/>
      <c r="O1573" s="3"/>
    </row>
    <row r="1574" spans="1:15" ht="409.6">
      <c r="A1574" t="s">
        <v>9929</v>
      </c>
      <c r="B1574" t="s">
        <v>9930</v>
      </c>
      <c r="C1574" t="s">
        <v>2612</v>
      </c>
      <c r="D1574" t="s">
        <v>23</v>
      </c>
      <c r="E1574">
        <v>15</v>
      </c>
      <c r="F1574" s="2" t="s">
        <v>9931</v>
      </c>
      <c r="G1574" s="2" t="s">
        <v>9932</v>
      </c>
      <c r="H1574" s="2" t="s">
        <v>9933</v>
      </c>
      <c r="I1574" s="2" t="s">
        <v>9934</v>
      </c>
      <c r="J1574" t="s">
        <v>9935</v>
      </c>
      <c r="L1574" s="1">
        <v>2</v>
      </c>
      <c r="M1574" s="1"/>
      <c r="N1574" s="1"/>
      <c r="O1574" s="3"/>
    </row>
    <row r="1575" spans="1:15" ht="409.6">
      <c r="A1575" t="s">
        <v>9936</v>
      </c>
      <c r="B1575" t="s">
        <v>9937</v>
      </c>
      <c r="C1575" t="s">
        <v>2612</v>
      </c>
      <c r="D1575" t="s">
        <v>23</v>
      </c>
      <c r="E1575">
        <v>10</v>
      </c>
      <c r="F1575" s="2" t="s">
        <v>9938</v>
      </c>
      <c r="G1575" s="2" t="s">
        <v>9939</v>
      </c>
      <c r="H1575" s="2" t="s">
        <v>9940</v>
      </c>
      <c r="I1575" s="2" t="s">
        <v>9941</v>
      </c>
      <c r="J1575" t="s">
        <v>9942</v>
      </c>
      <c r="L1575" s="1">
        <v>2</v>
      </c>
      <c r="M1575" s="1"/>
      <c r="N1575" s="1"/>
      <c r="O1575" s="3"/>
    </row>
    <row r="1576" spans="1:15" ht="409.6">
      <c r="A1576" t="s">
        <v>9943</v>
      </c>
      <c r="B1576" t="s">
        <v>9944</v>
      </c>
      <c r="C1576" t="s">
        <v>2612</v>
      </c>
      <c r="D1576" t="s">
        <v>23</v>
      </c>
      <c r="E1576">
        <v>5</v>
      </c>
      <c r="F1576" s="2" t="s">
        <v>8132</v>
      </c>
      <c r="G1576" s="2" t="s">
        <v>9945</v>
      </c>
      <c r="H1576" s="2" t="s">
        <v>9946</v>
      </c>
      <c r="I1576" s="2" t="s">
        <v>9947</v>
      </c>
      <c r="J1576" t="s">
        <v>9948</v>
      </c>
      <c r="L1576" s="1">
        <v>2</v>
      </c>
      <c r="M1576" s="1"/>
      <c r="N1576" s="1"/>
      <c r="O1576" s="3"/>
    </row>
    <row r="1577" spans="1:15" ht="409.6">
      <c r="A1577" t="s">
        <v>9949</v>
      </c>
      <c r="B1577" t="s">
        <v>9950</v>
      </c>
      <c r="C1577" t="s">
        <v>2612</v>
      </c>
      <c r="D1577" t="s">
        <v>23</v>
      </c>
      <c r="E1577">
        <v>10</v>
      </c>
      <c r="F1577" s="2" t="s">
        <v>9951</v>
      </c>
      <c r="G1577" s="2" t="s">
        <v>9952</v>
      </c>
      <c r="H1577" s="2" t="s">
        <v>9953</v>
      </c>
      <c r="I1577" s="2" t="s">
        <v>9954</v>
      </c>
      <c r="J1577" t="s">
        <v>9955</v>
      </c>
      <c r="L1577" s="1">
        <v>2</v>
      </c>
      <c r="M1577" s="1"/>
      <c r="N1577" s="1"/>
      <c r="O1577" s="3"/>
    </row>
    <row r="1578" spans="1:15" ht="409.6">
      <c r="A1578" t="s">
        <v>2189</v>
      </c>
      <c r="B1578" t="s">
        <v>3965</v>
      </c>
      <c r="C1578" t="s">
        <v>2612</v>
      </c>
      <c r="D1578" t="s">
        <v>23</v>
      </c>
      <c r="E1578">
        <v>15</v>
      </c>
      <c r="F1578" s="2" t="s">
        <v>3966</v>
      </c>
      <c r="G1578" s="2" t="s">
        <v>3967</v>
      </c>
      <c r="H1578" s="2" t="s">
        <v>3968</v>
      </c>
      <c r="I1578" s="2" t="s">
        <v>3969</v>
      </c>
      <c r="J1578" t="s">
        <v>9956</v>
      </c>
      <c r="L1578" s="1">
        <v>2</v>
      </c>
      <c r="M1578" s="1"/>
      <c r="N1578" s="1"/>
      <c r="O1578" s="3"/>
    </row>
    <row r="1579" spans="1:15" ht="409.6">
      <c r="A1579" t="s">
        <v>9957</v>
      </c>
      <c r="B1579" t="s">
        <v>9958</v>
      </c>
      <c r="C1579" t="s">
        <v>2612</v>
      </c>
      <c r="D1579" t="s">
        <v>23</v>
      </c>
      <c r="E1579">
        <v>20</v>
      </c>
      <c r="F1579" s="2" t="s">
        <v>9959</v>
      </c>
      <c r="G1579" s="2" t="s">
        <v>9960</v>
      </c>
      <c r="H1579" s="2" t="s">
        <v>9961</v>
      </c>
      <c r="I1579" s="2" t="s">
        <v>9962</v>
      </c>
      <c r="J1579" t="s">
        <v>9963</v>
      </c>
      <c r="L1579" s="1">
        <v>2</v>
      </c>
      <c r="M1579" s="1"/>
      <c r="N1579" s="1"/>
      <c r="O1579" s="3"/>
    </row>
    <row r="1580" spans="1:15" ht="409.6">
      <c r="A1580" t="s">
        <v>9964</v>
      </c>
      <c r="B1580" t="s">
        <v>9965</v>
      </c>
      <c r="C1580" t="s">
        <v>2612</v>
      </c>
      <c r="D1580" t="s">
        <v>23</v>
      </c>
      <c r="E1580">
        <v>15</v>
      </c>
      <c r="F1580" s="2" t="s">
        <v>5915</v>
      </c>
      <c r="G1580" s="2" t="s">
        <v>9966</v>
      </c>
      <c r="H1580" s="2" t="s">
        <v>9967</v>
      </c>
      <c r="I1580" s="2" t="s">
        <v>9968</v>
      </c>
      <c r="J1580" t="s">
        <v>9969</v>
      </c>
      <c r="L1580" s="1">
        <v>2</v>
      </c>
      <c r="M1580" s="1"/>
      <c r="N1580" s="1"/>
      <c r="O1580" s="3"/>
    </row>
    <row r="1581" spans="1:15" ht="409.6">
      <c r="A1581" t="s">
        <v>9970</v>
      </c>
      <c r="B1581" t="s">
        <v>9971</v>
      </c>
      <c r="C1581" t="s">
        <v>2612</v>
      </c>
      <c r="D1581" t="s">
        <v>14</v>
      </c>
      <c r="E1581">
        <v>30</v>
      </c>
      <c r="F1581" s="2" t="s">
        <v>9972</v>
      </c>
      <c r="G1581" s="2" t="s">
        <v>9973</v>
      </c>
      <c r="H1581" s="2" t="s">
        <v>6799</v>
      </c>
      <c r="I1581" s="2" t="s">
        <v>6800</v>
      </c>
      <c r="J1581" t="s">
        <v>9974</v>
      </c>
      <c r="L1581" s="1">
        <v>2</v>
      </c>
      <c r="M1581" s="1"/>
      <c r="N1581" s="1"/>
      <c r="O1581" s="3"/>
    </row>
    <row r="1582" spans="1:15" ht="409.6">
      <c r="A1582" t="s">
        <v>7217</v>
      </c>
      <c r="B1582" s="2" t="s">
        <v>9975</v>
      </c>
      <c r="C1582" t="s">
        <v>2612</v>
      </c>
      <c r="D1582" t="s">
        <v>23</v>
      </c>
      <c r="E1582">
        <v>15</v>
      </c>
      <c r="F1582" s="2" t="s">
        <v>9976</v>
      </c>
      <c r="G1582" s="2" t="s">
        <v>9977</v>
      </c>
      <c r="H1582" s="2" t="s">
        <v>9978</v>
      </c>
      <c r="I1582" s="2" t="s">
        <v>9979</v>
      </c>
      <c r="J1582" t="s">
        <v>9980</v>
      </c>
      <c r="L1582" s="1">
        <v>2</v>
      </c>
      <c r="M1582" s="1"/>
      <c r="N1582" s="1"/>
      <c r="O1582" s="3"/>
    </row>
    <row r="1583" spans="1:15" ht="409.6">
      <c r="A1583" t="s">
        <v>9981</v>
      </c>
      <c r="B1583" t="s">
        <v>9982</v>
      </c>
      <c r="C1583" t="s">
        <v>2612</v>
      </c>
      <c r="D1583" t="s">
        <v>23</v>
      </c>
      <c r="E1583">
        <v>20</v>
      </c>
      <c r="F1583" s="2" t="s">
        <v>9983</v>
      </c>
      <c r="G1583" s="2" t="s">
        <v>9984</v>
      </c>
      <c r="H1583" s="2" t="s">
        <v>9985</v>
      </c>
      <c r="I1583" s="2" t="s">
        <v>9986</v>
      </c>
      <c r="J1583" t="s">
        <v>9987</v>
      </c>
      <c r="K1583" t="s">
        <v>9988</v>
      </c>
      <c r="L1583" s="1">
        <v>2</v>
      </c>
      <c r="M1583" s="1"/>
      <c r="N1583" s="1"/>
      <c r="O1583" s="3"/>
    </row>
    <row r="1584" spans="1:15" ht="409.6">
      <c r="A1584" t="s">
        <v>2706</v>
      </c>
      <c r="B1584" t="s">
        <v>1238</v>
      </c>
      <c r="C1584" t="s">
        <v>2612</v>
      </c>
      <c r="D1584" t="s">
        <v>23</v>
      </c>
      <c r="E1584">
        <v>20</v>
      </c>
      <c r="F1584" s="2" t="s">
        <v>9989</v>
      </c>
      <c r="G1584" s="2" t="s">
        <v>9990</v>
      </c>
      <c r="H1584" s="2" t="s">
        <v>9991</v>
      </c>
      <c r="I1584" s="2" t="s">
        <v>9992</v>
      </c>
      <c r="J1584" t="s">
        <v>9993</v>
      </c>
      <c r="L1584" s="1">
        <v>2</v>
      </c>
      <c r="M1584" s="1"/>
      <c r="N1584" s="1"/>
      <c r="O1584" s="3"/>
    </row>
    <row r="1585" spans="1:15" ht="409.6">
      <c r="A1585" t="s">
        <v>8949</v>
      </c>
      <c r="B1585" t="s">
        <v>2619</v>
      </c>
      <c r="C1585" t="s">
        <v>2612</v>
      </c>
      <c r="D1585" t="s">
        <v>23</v>
      </c>
      <c r="E1585">
        <v>10</v>
      </c>
      <c r="F1585" s="2" t="s">
        <v>9994</v>
      </c>
      <c r="G1585" s="2" t="s">
        <v>9995</v>
      </c>
      <c r="H1585" s="2" t="s">
        <v>8952</v>
      </c>
      <c r="I1585" s="2" t="s">
        <v>9996</v>
      </c>
      <c r="J1585" t="s">
        <v>9997</v>
      </c>
      <c r="L1585" s="1">
        <v>2</v>
      </c>
      <c r="M1585" s="1"/>
      <c r="N1585" s="1"/>
      <c r="O1585" s="3"/>
    </row>
    <row r="1586" spans="1:15" ht="409.6">
      <c r="A1586" t="s">
        <v>9998</v>
      </c>
      <c r="B1586" t="s">
        <v>9999</v>
      </c>
      <c r="C1586" t="s">
        <v>2612</v>
      </c>
      <c r="D1586" t="s">
        <v>23</v>
      </c>
      <c r="E1586">
        <v>20</v>
      </c>
      <c r="F1586" s="2" t="s">
        <v>10000</v>
      </c>
      <c r="G1586" s="2" t="s">
        <v>10001</v>
      </c>
      <c r="H1586" s="2" t="s">
        <v>10002</v>
      </c>
      <c r="I1586" s="2" t="s">
        <v>10003</v>
      </c>
      <c r="J1586" t="s">
        <v>10004</v>
      </c>
      <c r="L1586" s="1">
        <v>2</v>
      </c>
      <c r="M1586" s="1"/>
      <c r="N1586" s="1"/>
      <c r="O1586" s="3"/>
    </row>
    <row r="1587" spans="1:15" ht="409.6">
      <c r="A1587" t="s">
        <v>10005</v>
      </c>
      <c r="B1587" t="s">
        <v>10006</v>
      </c>
      <c r="C1587" t="s">
        <v>2612</v>
      </c>
      <c r="D1587" t="s">
        <v>23</v>
      </c>
      <c r="E1587">
        <v>30</v>
      </c>
      <c r="F1587" s="2" t="s">
        <v>10007</v>
      </c>
      <c r="G1587" s="2" t="s">
        <v>10008</v>
      </c>
      <c r="H1587" s="2" t="s">
        <v>10009</v>
      </c>
      <c r="I1587" s="2" t="s">
        <v>10010</v>
      </c>
      <c r="J1587" t="s">
        <v>10011</v>
      </c>
      <c r="L1587" s="1">
        <v>2</v>
      </c>
      <c r="M1587" s="1"/>
      <c r="N1587" s="1"/>
      <c r="O1587" s="3"/>
    </row>
    <row r="1588" spans="1:15" ht="409.6">
      <c r="A1588" t="s">
        <v>2596</v>
      </c>
      <c r="B1588" t="s">
        <v>2597</v>
      </c>
      <c r="C1588" t="s">
        <v>2612</v>
      </c>
      <c r="D1588" t="s">
        <v>23</v>
      </c>
      <c r="E1588">
        <v>15</v>
      </c>
      <c r="F1588" s="2" t="s">
        <v>10012</v>
      </c>
      <c r="G1588" s="2" t="s">
        <v>10013</v>
      </c>
      <c r="H1588" s="2" t="s">
        <v>10014</v>
      </c>
      <c r="I1588" s="2" t="s">
        <v>10015</v>
      </c>
      <c r="J1588" t="s">
        <v>10016</v>
      </c>
      <c r="K1588" t="s">
        <v>10017</v>
      </c>
      <c r="L1588" s="1">
        <v>2</v>
      </c>
      <c r="M1588" s="1"/>
      <c r="N1588" s="1"/>
      <c r="O1588" s="3"/>
    </row>
    <row r="1589" spans="1:15" ht="409.6">
      <c r="A1589" t="s">
        <v>10018</v>
      </c>
      <c r="B1589" t="s">
        <v>10019</v>
      </c>
      <c r="C1589" t="s">
        <v>2612</v>
      </c>
      <c r="D1589" t="s">
        <v>23</v>
      </c>
      <c r="E1589">
        <v>10</v>
      </c>
      <c r="F1589" s="2" t="s">
        <v>10020</v>
      </c>
      <c r="G1589" s="2" t="s">
        <v>10021</v>
      </c>
      <c r="H1589" s="2" t="s">
        <v>10022</v>
      </c>
      <c r="I1589" s="2" t="s">
        <v>10023</v>
      </c>
      <c r="J1589" t="s">
        <v>10024</v>
      </c>
      <c r="L1589" s="1">
        <v>2</v>
      </c>
      <c r="M1589" s="1"/>
      <c r="N1589" s="1"/>
      <c r="O1589" s="3"/>
    </row>
    <row r="1590" spans="1:15" ht="409.6">
      <c r="A1590" t="s">
        <v>10025</v>
      </c>
      <c r="B1590" t="s">
        <v>10026</v>
      </c>
      <c r="C1590" t="s">
        <v>2612</v>
      </c>
      <c r="D1590" t="s">
        <v>23</v>
      </c>
      <c r="E1590">
        <v>20</v>
      </c>
      <c r="F1590" s="2" t="s">
        <v>10027</v>
      </c>
      <c r="G1590" s="2" t="s">
        <v>10028</v>
      </c>
      <c r="H1590" s="2" t="s">
        <v>10029</v>
      </c>
      <c r="I1590" s="2" t="s">
        <v>10030</v>
      </c>
      <c r="J1590" t="s">
        <v>10031</v>
      </c>
      <c r="L1590" s="1">
        <v>2</v>
      </c>
      <c r="M1590" s="1"/>
      <c r="N1590" s="1"/>
      <c r="O1590" s="3"/>
    </row>
    <row r="1591" spans="1:15" ht="409.6">
      <c r="A1591" t="s">
        <v>10032</v>
      </c>
      <c r="B1591" t="s">
        <v>10033</v>
      </c>
      <c r="C1591" t="s">
        <v>2612</v>
      </c>
      <c r="D1591" t="s">
        <v>23</v>
      </c>
      <c r="E1591">
        <v>30</v>
      </c>
      <c r="F1591" t="s">
        <v>10034</v>
      </c>
      <c r="G1591" t="s">
        <v>10035</v>
      </c>
      <c r="H1591" s="2" t="s">
        <v>10036</v>
      </c>
      <c r="I1591" s="2" t="s">
        <v>10037</v>
      </c>
      <c r="J1591" t="s">
        <v>10038</v>
      </c>
      <c r="L1591" s="1">
        <v>2</v>
      </c>
      <c r="M1591" s="1"/>
      <c r="N1591" s="1"/>
      <c r="O1591" s="3"/>
    </row>
    <row r="1592" spans="1:15" ht="409.6">
      <c r="A1592" t="s">
        <v>10039</v>
      </c>
      <c r="B1592" t="s">
        <v>10040</v>
      </c>
      <c r="C1592" t="s">
        <v>2612</v>
      </c>
      <c r="D1592" t="s">
        <v>23</v>
      </c>
      <c r="E1592">
        <v>30</v>
      </c>
      <c r="F1592" s="2" t="s">
        <v>10041</v>
      </c>
      <c r="G1592" s="2" t="s">
        <v>10042</v>
      </c>
      <c r="H1592" s="2" t="s">
        <v>10043</v>
      </c>
      <c r="I1592" s="2" t="s">
        <v>10044</v>
      </c>
      <c r="J1592" t="s">
        <v>10045</v>
      </c>
      <c r="L1592" s="1">
        <v>2</v>
      </c>
      <c r="M1592" s="1"/>
      <c r="N1592" s="1"/>
      <c r="O1592" s="3"/>
    </row>
    <row r="1593" spans="1:15" ht="409.6">
      <c r="A1593" t="s">
        <v>10046</v>
      </c>
      <c r="B1593" t="s">
        <v>10047</v>
      </c>
      <c r="C1593" t="s">
        <v>2612</v>
      </c>
      <c r="D1593" t="s">
        <v>23</v>
      </c>
      <c r="E1593">
        <v>20</v>
      </c>
      <c r="F1593" s="2" t="s">
        <v>10048</v>
      </c>
      <c r="G1593" s="2" t="s">
        <v>10049</v>
      </c>
      <c r="H1593" s="2" t="s">
        <v>10050</v>
      </c>
      <c r="I1593" s="2" t="s">
        <v>10051</v>
      </c>
      <c r="J1593" t="s">
        <v>10052</v>
      </c>
      <c r="L1593" s="1">
        <v>2</v>
      </c>
      <c r="M1593" s="1"/>
      <c r="N1593" s="1"/>
      <c r="O1593" s="3"/>
    </row>
    <row r="1594" spans="1:15" ht="409.6">
      <c r="A1594" t="s">
        <v>10053</v>
      </c>
      <c r="B1594" t="s">
        <v>10054</v>
      </c>
      <c r="C1594" t="s">
        <v>2612</v>
      </c>
      <c r="D1594" t="s">
        <v>23</v>
      </c>
      <c r="E1594">
        <v>5</v>
      </c>
      <c r="F1594" t="s">
        <v>10055</v>
      </c>
      <c r="G1594" t="s">
        <v>10056</v>
      </c>
      <c r="H1594" s="2" t="s">
        <v>10057</v>
      </c>
      <c r="I1594" s="2" t="s">
        <v>10058</v>
      </c>
      <c r="J1594" t="s">
        <v>10059</v>
      </c>
      <c r="L1594" s="1">
        <v>2</v>
      </c>
      <c r="M1594" s="1"/>
      <c r="N1594" s="1"/>
      <c r="O1594" s="3"/>
    </row>
    <row r="1595" spans="1:15" ht="409.6">
      <c r="A1595" t="s">
        <v>10060</v>
      </c>
      <c r="B1595" t="s">
        <v>10061</v>
      </c>
      <c r="C1595" t="s">
        <v>2612</v>
      </c>
      <c r="D1595" t="s">
        <v>23</v>
      </c>
      <c r="E1595">
        <v>30</v>
      </c>
      <c r="F1595" s="2" t="s">
        <v>10062</v>
      </c>
      <c r="G1595" s="2" t="s">
        <v>10063</v>
      </c>
      <c r="H1595" s="2" t="s">
        <v>10064</v>
      </c>
      <c r="I1595" s="2" t="s">
        <v>10065</v>
      </c>
      <c r="J1595" t="s">
        <v>10066</v>
      </c>
      <c r="L1595" s="1">
        <v>2</v>
      </c>
      <c r="M1595" s="1"/>
      <c r="N1595" s="1"/>
      <c r="O1595" s="3"/>
    </row>
    <row r="1596" spans="1:15" ht="409.6">
      <c r="A1596" t="s">
        <v>10067</v>
      </c>
      <c r="B1596" t="s">
        <v>10068</v>
      </c>
      <c r="C1596" t="s">
        <v>2612</v>
      </c>
      <c r="D1596" t="s">
        <v>23</v>
      </c>
      <c r="E1596">
        <v>10</v>
      </c>
      <c r="F1596" s="2" t="s">
        <v>10069</v>
      </c>
      <c r="G1596" s="2" t="s">
        <v>10070</v>
      </c>
      <c r="H1596" s="2" t="s">
        <v>10071</v>
      </c>
      <c r="I1596" s="2" t="s">
        <v>10072</v>
      </c>
      <c r="J1596" t="s">
        <v>10073</v>
      </c>
      <c r="L1596" s="1">
        <v>2</v>
      </c>
      <c r="M1596" s="1"/>
      <c r="N1596" s="1"/>
      <c r="O1596" s="3"/>
    </row>
    <row r="1597" spans="1:15" ht="409.6">
      <c r="A1597" t="s">
        <v>10074</v>
      </c>
      <c r="B1597" t="s">
        <v>10075</v>
      </c>
      <c r="C1597" t="s">
        <v>2612</v>
      </c>
      <c r="D1597" t="s">
        <v>23</v>
      </c>
      <c r="E1597">
        <v>15</v>
      </c>
      <c r="F1597" s="2" t="s">
        <v>10076</v>
      </c>
      <c r="G1597" s="2" t="s">
        <v>10077</v>
      </c>
      <c r="H1597" s="2" t="s">
        <v>10078</v>
      </c>
      <c r="I1597" s="2" t="s">
        <v>10079</v>
      </c>
      <c r="J1597" t="s">
        <v>10080</v>
      </c>
      <c r="L1597" s="1">
        <v>2</v>
      </c>
      <c r="M1597" s="1"/>
      <c r="N1597" s="1"/>
      <c r="O1597" s="3"/>
    </row>
    <row r="1598" spans="1:15" ht="409.6">
      <c r="A1598" t="s">
        <v>10081</v>
      </c>
      <c r="B1598" t="s">
        <v>10082</v>
      </c>
      <c r="C1598" t="s">
        <v>97</v>
      </c>
      <c r="D1598" t="s">
        <v>23</v>
      </c>
      <c r="E1598">
        <v>30</v>
      </c>
      <c r="F1598" s="2" t="s">
        <v>10083</v>
      </c>
      <c r="G1598" s="2" t="s">
        <v>10084</v>
      </c>
      <c r="H1598" s="2" t="s">
        <v>10085</v>
      </c>
      <c r="I1598" s="2" t="s">
        <v>10086</v>
      </c>
      <c r="J1598" t="s">
        <v>10087</v>
      </c>
      <c r="L1598" s="1">
        <v>2</v>
      </c>
      <c r="M1598" s="1"/>
      <c r="N1598" s="1"/>
      <c r="O1598" s="3"/>
    </row>
    <row r="1599" spans="1:15" ht="409.6">
      <c r="A1599" t="s">
        <v>10088</v>
      </c>
      <c r="B1599" t="s">
        <v>10089</v>
      </c>
      <c r="C1599" t="s">
        <v>97</v>
      </c>
      <c r="D1599" t="s">
        <v>23</v>
      </c>
      <c r="E1599">
        <v>20</v>
      </c>
      <c r="F1599" s="2" t="s">
        <v>10090</v>
      </c>
      <c r="G1599" s="2" t="s">
        <v>10091</v>
      </c>
      <c r="H1599" s="2" t="s">
        <v>10092</v>
      </c>
      <c r="I1599" s="2" t="s">
        <v>10093</v>
      </c>
      <c r="J1599" t="s">
        <v>10094</v>
      </c>
      <c r="L1599" s="1">
        <v>2</v>
      </c>
      <c r="M1599" s="1"/>
      <c r="N1599" s="1"/>
      <c r="O1599" s="3"/>
    </row>
    <row r="1600" spans="1:15" ht="409.6">
      <c r="A1600" t="s">
        <v>962</v>
      </c>
      <c r="B1600" t="s">
        <v>963</v>
      </c>
      <c r="C1600" t="s">
        <v>97</v>
      </c>
      <c r="D1600" t="s">
        <v>23</v>
      </c>
      <c r="E1600">
        <v>20</v>
      </c>
      <c r="F1600" s="2" t="s">
        <v>10095</v>
      </c>
      <c r="G1600" s="2" t="s">
        <v>10096</v>
      </c>
      <c r="H1600" s="2" t="s">
        <v>10097</v>
      </c>
      <c r="I1600" s="2" t="s">
        <v>10098</v>
      </c>
      <c r="J1600" t="s">
        <v>10099</v>
      </c>
      <c r="L1600" s="1">
        <v>2</v>
      </c>
      <c r="M1600" s="1"/>
      <c r="N1600" s="1"/>
      <c r="O1600" s="3"/>
    </row>
    <row r="1601" spans="1:15" ht="409.6">
      <c r="A1601" t="s">
        <v>4280</v>
      </c>
      <c r="B1601" t="s">
        <v>10100</v>
      </c>
      <c r="C1601" t="s">
        <v>97</v>
      </c>
      <c r="D1601" t="s">
        <v>23</v>
      </c>
      <c r="E1601">
        <v>25</v>
      </c>
      <c r="F1601" s="2" t="s">
        <v>10101</v>
      </c>
      <c r="G1601" s="2" t="s">
        <v>10102</v>
      </c>
      <c r="H1601" s="2" t="s">
        <v>10103</v>
      </c>
      <c r="I1601" s="2" t="s">
        <v>10104</v>
      </c>
      <c r="J1601" t="s">
        <v>10105</v>
      </c>
      <c r="L1601" s="1">
        <v>2</v>
      </c>
      <c r="M1601" s="1"/>
      <c r="N1601" s="1"/>
      <c r="O1601" s="3"/>
    </row>
    <row r="1602" spans="1:15" ht="409.6">
      <c r="A1602" t="s">
        <v>10106</v>
      </c>
      <c r="B1602" t="s">
        <v>10107</v>
      </c>
      <c r="C1602" t="s">
        <v>97</v>
      </c>
      <c r="D1602" t="s">
        <v>23</v>
      </c>
      <c r="E1602">
        <v>25</v>
      </c>
      <c r="F1602" s="2" t="s">
        <v>10108</v>
      </c>
      <c r="G1602" s="2" t="s">
        <v>10109</v>
      </c>
      <c r="H1602" s="2" t="s">
        <v>10110</v>
      </c>
      <c r="I1602" s="2" t="s">
        <v>10111</v>
      </c>
      <c r="J1602" t="s">
        <v>10112</v>
      </c>
      <c r="L1602" s="1">
        <v>2</v>
      </c>
      <c r="M1602" s="1"/>
      <c r="N1602" s="1"/>
      <c r="O1602" s="3"/>
    </row>
    <row r="1603" spans="1:15" ht="409.6">
      <c r="A1603" t="s">
        <v>4583</v>
      </c>
      <c r="B1603" t="s">
        <v>4584</v>
      </c>
      <c r="C1603" t="s">
        <v>97</v>
      </c>
      <c r="D1603" t="s">
        <v>23</v>
      </c>
      <c r="E1603">
        <v>25</v>
      </c>
      <c r="F1603" s="2" t="s">
        <v>10113</v>
      </c>
      <c r="G1603" s="2" t="s">
        <v>10114</v>
      </c>
      <c r="H1603" s="2" t="s">
        <v>10115</v>
      </c>
      <c r="I1603" s="2" t="s">
        <v>10116</v>
      </c>
      <c r="J1603" t="s">
        <v>10117</v>
      </c>
      <c r="L1603" s="1">
        <v>2</v>
      </c>
      <c r="M1603" s="1"/>
      <c r="N1603" s="1"/>
      <c r="O1603" s="3"/>
    </row>
    <row r="1604" spans="1:15" ht="409.6">
      <c r="A1604" t="s">
        <v>10118</v>
      </c>
      <c r="B1604" t="s">
        <v>10119</v>
      </c>
      <c r="C1604" t="s">
        <v>97</v>
      </c>
      <c r="D1604" t="s">
        <v>23</v>
      </c>
      <c r="E1604">
        <v>20</v>
      </c>
      <c r="F1604" s="2" t="s">
        <v>10120</v>
      </c>
      <c r="G1604" s="2" t="s">
        <v>10121</v>
      </c>
      <c r="H1604" s="2" t="s">
        <v>10122</v>
      </c>
      <c r="I1604" s="2" t="s">
        <v>10123</v>
      </c>
      <c r="J1604" t="s">
        <v>10124</v>
      </c>
      <c r="L1604" s="1">
        <v>2</v>
      </c>
      <c r="M1604" s="1"/>
      <c r="N1604" s="1"/>
      <c r="O1604" s="3"/>
    </row>
    <row r="1605" spans="1:15" ht="409.6">
      <c r="A1605" t="s">
        <v>10125</v>
      </c>
      <c r="B1605" t="s">
        <v>10126</v>
      </c>
      <c r="C1605" t="s">
        <v>97</v>
      </c>
      <c r="D1605" t="s">
        <v>23</v>
      </c>
      <c r="E1605">
        <v>20</v>
      </c>
      <c r="F1605" s="2" t="s">
        <v>10127</v>
      </c>
      <c r="G1605" s="2" t="s">
        <v>10128</v>
      </c>
      <c r="H1605" s="2" t="s">
        <v>10129</v>
      </c>
      <c r="I1605" s="2" t="s">
        <v>10129</v>
      </c>
      <c r="J1605" t="s">
        <v>10130</v>
      </c>
      <c r="L1605" s="1">
        <v>2</v>
      </c>
      <c r="M1605" s="1"/>
      <c r="N1605" s="1"/>
      <c r="O1605" s="3"/>
    </row>
    <row r="1606" spans="1:15" ht="409.6">
      <c r="A1606" t="s">
        <v>10131</v>
      </c>
      <c r="B1606" t="s">
        <v>10132</v>
      </c>
      <c r="C1606" t="s">
        <v>97</v>
      </c>
      <c r="D1606" t="s">
        <v>23</v>
      </c>
      <c r="E1606">
        <v>10</v>
      </c>
      <c r="F1606" s="2" t="s">
        <v>10133</v>
      </c>
      <c r="G1606" s="2" t="s">
        <v>10134</v>
      </c>
      <c r="H1606" s="2" t="s">
        <v>10135</v>
      </c>
      <c r="I1606" s="2" t="s">
        <v>10136</v>
      </c>
      <c r="J1606" t="s">
        <v>10137</v>
      </c>
      <c r="L1606" s="1">
        <v>2</v>
      </c>
      <c r="M1606" s="1"/>
      <c r="N1606" s="1"/>
      <c r="O1606" s="3"/>
    </row>
    <row r="1607" spans="1:15" ht="409.6">
      <c r="A1607" t="s">
        <v>10138</v>
      </c>
      <c r="B1607" t="s">
        <v>10139</v>
      </c>
      <c r="C1607" t="s">
        <v>97</v>
      </c>
      <c r="D1607" t="s">
        <v>23</v>
      </c>
      <c r="E1607">
        <v>20</v>
      </c>
      <c r="F1607" s="2" t="s">
        <v>10140</v>
      </c>
      <c r="G1607" s="2" t="s">
        <v>10141</v>
      </c>
      <c r="H1607" s="2" t="s">
        <v>10142</v>
      </c>
      <c r="I1607" s="2" t="s">
        <v>10143</v>
      </c>
      <c r="J1607" t="s">
        <v>10144</v>
      </c>
      <c r="L1607" s="1">
        <v>2</v>
      </c>
      <c r="M1607" s="1"/>
      <c r="N1607" s="1"/>
      <c r="O1607" s="3"/>
    </row>
    <row r="1608" spans="1:15" ht="409.6">
      <c r="A1608" t="s">
        <v>10145</v>
      </c>
      <c r="B1608" t="s">
        <v>10146</v>
      </c>
      <c r="C1608" t="s">
        <v>97</v>
      </c>
      <c r="D1608" t="s">
        <v>23</v>
      </c>
      <c r="E1608">
        <v>30</v>
      </c>
      <c r="F1608" s="2" t="s">
        <v>10147</v>
      </c>
      <c r="G1608" s="2" t="s">
        <v>10148</v>
      </c>
      <c r="H1608" s="2" t="s">
        <v>10149</v>
      </c>
      <c r="I1608" s="2" t="s">
        <v>10150</v>
      </c>
      <c r="J1608" t="s">
        <v>10151</v>
      </c>
      <c r="L1608" s="1">
        <v>2</v>
      </c>
      <c r="M1608" s="1"/>
      <c r="N1608" s="1"/>
      <c r="O1608" s="3"/>
    </row>
    <row r="1609" spans="1:15" ht="409.6">
      <c r="A1609" t="s">
        <v>10152</v>
      </c>
      <c r="B1609" t="s">
        <v>10153</v>
      </c>
      <c r="C1609" t="s">
        <v>97</v>
      </c>
      <c r="D1609" t="s">
        <v>23</v>
      </c>
      <c r="E1609">
        <v>15</v>
      </c>
      <c r="F1609" s="2" t="s">
        <v>10154</v>
      </c>
      <c r="G1609" s="2" t="s">
        <v>10155</v>
      </c>
      <c r="H1609" s="2" t="s">
        <v>10156</v>
      </c>
      <c r="I1609" s="2" t="s">
        <v>10157</v>
      </c>
      <c r="J1609" t="s">
        <v>10158</v>
      </c>
      <c r="L1609" s="1">
        <v>2</v>
      </c>
      <c r="M1609" s="1"/>
      <c r="N1609" s="1"/>
      <c r="O1609" s="3"/>
    </row>
    <row r="1610" spans="1:15" ht="409.6">
      <c r="A1610" t="s">
        <v>10159</v>
      </c>
      <c r="B1610" t="s">
        <v>10160</v>
      </c>
      <c r="C1610" t="s">
        <v>97</v>
      </c>
      <c r="D1610" t="s">
        <v>23</v>
      </c>
      <c r="E1610">
        <v>30</v>
      </c>
      <c r="F1610" s="2" t="s">
        <v>10161</v>
      </c>
      <c r="G1610" s="2" t="s">
        <v>10162</v>
      </c>
      <c r="H1610" s="2" t="s">
        <v>10163</v>
      </c>
      <c r="I1610" s="2" t="s">
        <v>10164</v>
      </c>
      <c r="J1610" t="s">
        <v>10165</v>
      </c>
      <c r="L1610" s="1">
        <v>2</v>
      </c>
      <c r="M1610" s="1"/>
      <c r="N1610" s="1"/>
      <c r="O1610" s="3"/>
    </row>
    <row r="1611" spans="1:15" ht="409.6">
      <c r="A1611" t="s">
        <v>10166</v>
      </c>
      <c r="B1611" t="s">
        <v>10167</v>
      </c>
      <c r="C1611" t="s">
        <v>97</v>
      </c>
      <c r="D1611" t="s">
        <v>23</v>
      </c>
      <c r="E1611">
        <v>20</v>
      </c>
      <c r="F1611" s="2" t="s">
        <v>10168</v>
      </c>
      <c r="G1611" s="2" t="s">
        <v>10169</v>
      </c>
      <c r="H1611" s="2" t="s">
        <v>10170</v>
      </c>
      <c r="I1611" s="2" t="s">
        <v>10171</v>
      </c>
      <c r="J1611" t="s">
        <v>10172</v>
      </c>
      <c r="L1611" s="1">
        <v>2</v>
      </c>
      <c r="M1611" s="1"/>
      <c r="N1611" s="1"/>
      <c r="O1611" s="3"/>
    </row>
    <row r="1612" spans="1:15" ht="409.6">
      <c r="A1612" t="s">
        <v>10173</v>
      </c>
      <c r="B1612" t="s">
        <v>10174</v>
      </c>
      <c r="C1612" t="s">
        <v>97</v>
      </c>
      <c r="D1612" t="s">
        <v>23</v>
      </c>
      <c r="E1612">
        <v>30</v>
      </c>
      <c r="F1612" s="2" t="s">
        <v>10175</v>
      </c>
      <c r="G1612" s="2" t="s">
        <v>10176</v>
      </c>
      <c r="H1612" s="2" t="s">
        <v>10177</v>
      </c>
      <c r="I1612" s="2" t="s">
        <v>10178</v>
      </c>
      <c r="J1612" t="s">
        <v>10179</v>
      </c>
      <c r="L1612" s="1">
        <v>2</v>
      </c>
      <c r="M1612" s="1"/>
      <c r="N1612" s="1"/>
      <c r="O1612" s="3"/>
    </row>
    <row r="1613" spans="1:15" ht="409.6">
      <c r="A1613" t="s">
        <v>5579</v>
      </c>
      <c r="B1613" t="s">
        <v>5580</v>
      </c>
      <c r="C1613" t="s">
        <v>97</v>
      </c>
      <c r="D1613" t="s">
        <v>23</v>
      </c>
      <c r="E1613">
        <v>15</v>
      </c>
      <c r="F1613" s="2" t="s">
        <v>10180</v>
      </c>
      <c r="G1613" s="2" t="s">
        <v>10181</v>
      </c>
      <c r="H1613" s="2" t="s">
        <v>10182</v>
      </c>
      <c r="I1613" s="2" t="s">
        <v>10183</v>
      </c>
      <c r="J1613" t="s">
        <v>10184</v>
      </c>
      <c r="L1613" s="1">
        <v>2</v>
      </c>
      <c r="M1613" s="1"/>
      <c r="N1613" s="1"/>
      <c r="O1613" s="3"/>
    </row>
    <row r="1614" spans="1:15" ht="409.6">
      <c r="A1614" t="s">
        <v>10185</v>
      </c>
      <c r="B1614" t="s">
        <v>10186</v>
      </c>
      <c r="C1614" t="s">
        <v>97</v>
      </c>
      <c r="D1614" t="s">
        <v>23</v>
      </c>
      <c r="E1614">
        <v>25</v>
      </c>
      <c r="F1614" s="2" t="s">
        <v>10187</v>
      </c>
      <c r="G1614" s="2" t="s">
        <v>10188</v>
      </c>
      <c r="H1614" s="2" t="s">
        <v>10189</v>
      </c>
      <c r="I1614" s="2" t="s">
        <v>10190</v>
      </c>
      <c r="J1614" t="s">
        <v>10191</v>
      </c>
      <c r="K1614" t="s">
        <v>10192</v>
      </c>
      <c r="L1614" s="1">
        <v>2</v>
      </c>
      <c r="M1614" s="1"/>
      <c r="N1614" s="1"/>
      <c r="O1614" s="3"/>
    </row>
    <row r="1615" spans="1:15" ht="409.6">
      <c r="A1615" t="s">
        <v>10193</v>
      </c>
      <c r="B1615" t="s">
        <v>10194</v>
      </c>
      <c r="C1615" t="s">
        <v>97</v>
      </c>
      <c r="D1615" t="s">
        <v>23</v>
      </c>
      <c r="E1615">
        <v>25</v>
      </c>
      <c r="F1615" s="2" t="s">
        <v>10195</v>
      </c>
      <c r="G1615" s="2" t="s">
        <v>10196</v>
      </c>
      <c r="H1615" s="2" t="s">
        <v>10197</v>
      </c>
      <c r="I1615" s="2" t="s">
        <v>10198</v>
      </c>
      <c r="J1615" t="s">
        <v>10199</v>
      </c>
      <c r="L1615" s="1">
        <v>2</v>
      </c>
      <c r="M1615" s="1"/>
      <c r="N1615" s="1"/>
      <c r="O1615" s="3"/>
    </row>
    <row r="1616" spans="1:15" ht="409.6">
      <c r="A1616" t="s">
        <v>10200</v>
      </c>
      <c r="B1616" t="s">
        <v>10201</v>
      </c>
      <c r="C1616" t="s">
        <v>97</v>
      </c>
      <c r="D1616" t="s">
        <v>23</v>
      </c>
      <c r="E1616">
        <v>30</v>
      </c>
      <c r="F1616" s="2" t="s">
        <v>10202</v>
      </c>
      <c r="G1616" s="2" t="s">
        <v>10203</v>
      </c>
      <c r="H1616" s="2" t="s">
        <v>10204</v>
      </c>
      <c r="I1616" s="2" t="s">
        <v>10205</v>
      </c>
      <c r="J1616" t="s">
        <v>10206</v>
      </c>
      <c r="L1616" s="1">
        <v>2</v>
      </c>
      <c r="M1616" s="1"/>
      <c r="N1616" s="1"/>
      <c r="O1616" s="3"/>
    </row>
    <row r="1617" spans="1:15" ht="409.6">
      <c r="A1617" t="s">
        <v>10207</v>
      </c>
      <c r="B1617" t="s">
        <v>1091</v>
      </c>
      <c r="C1617" t="s">
        <v>97</v>
      </c>
      <c r="D1617" t="s">
        <v>23</v>
      </c>
      <c r="E1617">
        <v>20</v>
      </c>
      <c r="F1617" s="2" t="s">
        <v>10208</v>
      </c>
      <c r="G1617" s="2" t="s">
        <v>10209</v>
      </c>
      <c r="H1617" s="2" t="s">
        <v>10210</v>
      </c>
      <c r="I1617" s="2" t="s">
        <v>10211</v>
      </c>
      <c r="J1617" t="s">
        <v>10212</v>
      </c>
      <c r="L1617" s="1">
        <v>2</v>
      </c>
      <c r="M1617" s="1"/>
      <c r="N1617" s="1"/>
      <c r="O1617" s="3"/>
    </row>
    <row r="1618" spans="1:15" ht="409.6">
      <c r="A1618" t="s">
        <v>10213</v>
      </c>
      <c r="B1618" t="s">
        <v>10214</v>
      </c>
      <c r="C1618" t="s">
        <v>97</v>
      </c>
      <c r="D1618" t="s">
        <v>23</v>
      </c>
      <c r="E1618">
        <v>20</v>
      </c>
      <c r="F1618" s="2" t="s">
        <v>10215</v>
      </c>
      <c r="G1618" s="2" t="s">
        <v>10216</v>
      </c>
      <c r="H1618" s="2" t="s">
        <v>10217</v>
      </c>
      <c r="I1618" s="2" t="s">
        <v>10218</v>
      </c>
      <c r="J1618" t="s">
        <v>10219</v>
      </c>
      <c r="L1618" s="1">
        <v>2</v>
      </c>
      <c r="M1618" s="1"/>
      <c r="N1618" s="1"/>
      <c r="O1618" s="3"/>
    </row>
    <row r="1619" spans="1:15" ht="409.6">
      <c r="A1619" t="s">
        <v>2842</v>
      </c>
      <c r="B1619" t="s">
        <v>2843</v>
      </c>
      <c r="C1619" t="s">
        <v>97</v>
      </c>
      <c r="D1619" t="s">
        <v>23</v>
      </c>
      <c r="E1619">
        <v>25</v>
      </c>
      <c r="F1619" s="2" t="s">
        <v>10220</v>
      </c>
      <c r="G1619" s="2" t="s">
        <v>10221</v>
      </c>
      <c r="H1619" s="2" t="s">
        <v>10222</v>
      </c>
      <c r="I1619" s="2" t="s">
        <v>10223</v>
      </c>
      <c r="J1619" t="s">
        <v>10224</v>
      </c>
      <c r="L1619" s="1">
        <v>2</v>
      </c>
      <c r="M1619" s="1"/>
      <c r="N1619" s="1"/>
      <c r="O1619" s="3"/>
    </row>
    <row r="1620" spans="1:15" ht="409.6">
      <c r="A1620" t="s">
        <v>10225</v>
      </c>
      <c r="B1620" t="s">
        <v>2900</v>
      </c>
      <c r="C1620" t="s">
        <v>97</v>
      </c>
      <c r="D1620" t="s">
        <v>23</v>
      </c>
      <c r="E1620">
        <v>25</v>
      </c>
      <c r="F1620" s="2" t="s">
        <v>10226</v>
      </c>
      <c r="G1620" s="2" t="s">
        <v>10227</v>
      </c>
      <c r="H1620" s="2" t="s">
        <v>10228</v>
      </c>
      <c r="I1620" s="2" t="s">
        <v>10229</v>
      </c>
      <c r="J1620" t="s">
        <v>10230</v>
      </c>
      <c r="L1620" s="1">
        <v>2</v>
      </c>
      <c r="M1620" s="1"/>
      <c r="N1620" s="1"/>
      <c r="O1620" s="3"/>
    </row>
    <row r="1621" spans="1:15" ht="409.6">
      <c r="A1621" t="s">
        <v>10231</v>
      </c>
      <c r="B1621" t="s">
        <v>557</v>
      </c>
      <c r="C1621" t="s">
        <v>97</v>
      </c>
      <c r="D1621" t="s">
        <v>23</v>
      </c>
      <c r="E1621">
        <v>10</v>
      </c>
      <c r="F1621" s="2" t="s">
        <v>10232</v>
      </c>
      <c r="G1621" s="2" t="s">
        <v>10233</v>
      </c>
      <c r="H1621" s="2" t="s">
        <v>10234</v>
      </c>
      <c r="I1621" s="2" t="s">
        <v>10235</v>
      </c>
      <c r="J1621" t="s">
        <v>10236</v>
      </c>
      <c r="K1621" t="s">
        <v>10237</v>
      </c>
      <c r="L1621" s="1">
        <v>2</v>
      </c>
      <c r="M1621" s="1"/>
      <c r="N1621" s="1"/>
      <c r="O1621" s="3"/>
    </row>
    <row r="1622" spans="1:15" ht="409.6">
      <c r="A1622" t="s">
        <v>10238</v>
      </c>
      <c r="B1622" t="s">
        <v>10239</v>
      </c>
      <c r="C1622" t="s">
        <v>97</v>
      </c>
      <c r="D1622" t="s">
        <v>23</v>
      </c>
      <c r="E1622">
        <v>15</v>
      </c>
      <c r="F1622" s="2" t="s">
        <v>10240</v>
      </c>
      <c r="G1622" s="2" t="s">
        <v>10241</v>
      </c>
      <c r="H1622" s="2" t="s">
        <v>10242</v>
      </c>
      <c r="I1622" s="2" t="s">
        <v>10243</v>
      </c>
      <c r="J1622" t="s">
        <v>10244</v>
      </c>
      <c r="K1622" t="s">
        <v>10245</v>
      </c>
      <c r="L1622" s="1">
        <v>2</v>
      </c>
      <c r="M1622" s="1"/>
      <c r="N1622" s="1"/>
      <c r="O1622" s="3"/>
    </row>
    <row r="1623" spans="1:15" ht="409.6">
      <c r="A1623" t="s">
        <v>10246</v>
      </c>
      <c r="B1623" t="s">
        <v>10247</v>
      </c>
      <c r="C1623" t="s">
        <v>97</v>
      </c>
      <c r="D1623" t="s">
        <v>23</v>
      </c>
      <c r="E1623">
        <v>30</v>
      </c>
      <c r="F1623" s="2" t="s">
        <v>10248</v>
      </c>
      <c r="G1623" s="2" t="s">
        <v>10249</v>
      </c>
      <c r="H1623" s="2" t="s">
        <v>10250</v>
      </c>
      <c r="I1623" s="2" t="s">
        <v>10251</v>
      </c>
      <c r="J1623" t="s">
        <v>10252</v>
      </c>
      <c r="L1623" s="1">
        <v>2</v>
      </c>
      <c r="M1623" s="1"/>
      <c r="N1623" s="1"/>
      <c r="O1623" s="3"/>
    </row>
    <row r="1624" spans="1:15" ht="409.6">
      <c r="A1624" t="s">
        <v>10253</v>
      </c>
      <c r="B1624" t="s">
        <v>10254</v>
      </c>
      <c r="C1624" t="s">
        <v>10255</v>
      </c>
      <c r="D1624" t="s">
        <v>23</v>
      </c>
      <c r="E1624">
        <v>25</v>
      </c>
      <c r="F1624" s="2" t="s">
        <v>10256</v>
      </c>
      <c r="G1624" s="2" t="s">
        <v>10257</v>
      </c>
      <c r="H1624" s="2" t="s">
        <v>10258</v>
      </c>
      <c r="I1624" s="2" t="s">
        <v>10259</v>
      </c>
      <c r="J1624" t="s">
        <v>10260</v>
      </c>
      <c r="L1624" s="1">
        <v>2</v>
      </c>
      <c r="M1624" s="1"/>
      <c r="N1624" s="1"/>
      <c r="O1624" s="3"/>
    </row>
    <row r="1625" spans="1:15" ht="409.6">
      <c r="A1625" t="s">
        <v>10261</v>
      </c>
      <c r="B1625" t="s">
        <v>10262</v>
      </c>
      <c r="C1625" t="s">
        <v>10255</v>
      </c>
      <c r="D1625" t="s">
        <v>23</v>
      </c>
      <c r="E1625">
        <v>15</v>
      </c>
      <c r="F1625" s="2" t="s">
        <v>10263</v>
      </c>
      <c r="G1625" s="2" t="s">
        <v>10264</v>
      </c>
      <c r="H1625" s="2" t="s">
        <v>10265</v>
      </c>
      <c r="I1625" s="2" t="s">
        <v>10266</v>
      </c>
      <c r="J1625" t="s">
        <v>10267</v>
      </c>
      <c r="L1625" s="1">
        <v>2</v>
      </c>
      <c r="M1625" s="1"/>
      <c r="N1625" s="1"/>
      <c r="O1625" s="3"/>
    </row>
    <row r="1626" spans="1:15" ht="409.6">
      <c r="A1626" t="s">
        <v>10268</v>
      </c>
      <c r="B1626" t="s">
        <v>10269</v>
      </c>
      <c r="C1626" t="s">
        <v>10255</v>
      </c>
      <c r="D1626" t="s">
        <v>23</v>
      </c>
      <c r="E1626">
        <v>35</v>
      </c>
      <c r="F1626" s="2" t="s">
        <v>10270</v>
      </c>
      <c r="G1626" s="2" t="s">
        <v>10271</v>
      </c>
      <c r="H1626" s="2" t="s">
        <v>10272</v>
      </c>
      <c r="I1626" s="2" t="s">
        <v>10273</v>
      </c>
      <c r="J1626" t="s">
        <v>10274</v>
      </c>
      <c r="L1626" s="1">
        <v>2</v>
      </c>
      <c r="M1626" s="1"/>
      <c r="N1626" s="1"/>
      <c r="O1626" s="3"/>
    </row>
    <row r="1627" spans="1:15" ht="409.6">
      <c r="A1627" t="s">
        <v>10275</v>
      </c>
      <c r="B1627" t="s">
        <v>10276</v>
      </c>
      <c r="C1627" t="s">
        <v>10255</v>
      </c>
      <c r="D1627" t="s">
        <v>23</v>
      </c>
      <c r="E1627">
        <v>30</v>
      </c>
      <c r="F1627" s="2" t="s">
        <v>10277</v>
      </c>
      <c r="G1627" s="2" t="s">
        <v>10278</v>
      </c>
      <c r="H1627" s="2" t="s">
        <v>10279</v>
      </c>
      <c r="I1627" s="2" t="s">
        <v>10280</v>
      </c>
      <c r="J1627" t="s">
        <v>10281</v>
      </c>
      <c r="L1627" s="1">
        <v>2</v>
      </c>
      <c r="M1627" s="1"/>
      <c r="N1627" s="1"/>
      <c r="O1627" s="3"/>
    </row>
    <row r="1628" spans="1:15" ht="409.6">
      <c r="A1628" t="s">
        <v>10282</v>
      </c>
      <c r="B1628" t="s">
        <v>10283</v>
      </c>
      <c r="C1628" t="s">
        <v>10255</v>
      </c>
      <c r="D1628" t="s">
        <v>23</v>
      </c>
      <c r="E1628">
        <v>35</v>
      </c>
      <c r="F1628" s="2" t="s">
        <v>10284</v>
      </c>
      <c r="G1628" s="2" t="s">
        <v>10285</v>
      </c>
      <c r="H1628" s="2" t="s">
        <v>10286</v>
      </c>
      <c r="I1628" s="2" t="s">
        <v>10287</v>
      </c>
      <c r="J1628" t="s">
        <v>10288</v>
      </c>
      <c r="L1628" s="1">
        <v>2</v>
      </c>
      <c r="M1628" s="1"/>
      <c r="N1628" s="1"/>
      <c r="O1628" s="3"/>
    </row>
    <row r="1629" spans="1:15" ht="409.6">
      <c r="A1629" t="s">
        <v>10289</v>
      </c>
      <c r="B1629" t="s">
        <v>10290</v>
      </c>
      <c r="C1629" t="s">
        <v>10255</v>
      </c>
      <c r="D1629" t="s">
        <v>23</v>
      </c>
      <c r="E1629">
        <v>25</v>
      </c>
      <c r="F1629" s="2" t="s">
        <v>10291</v>
      </c>
      <c r="G1629" s="2" t="s">
        <v>10292</v>
      </c>
      <c r="H1629" s="2" t="s">
        <v>10293</v>
      </c>
      <c r="I1629" s="2" t="s">
        <v>10294</v>
      </c>
      <c r="J1629" t="s">
        <v>10295</v>
      </c>
      <c r="L1629" s="1">
        <v>2</v>
      </c>
      <c r="M1629" s="1"/>
      <c r="N1629" s="1"/>
      <c r="O1629" s="3"/>
    </row>
    <row r="1630" spans="1:15" ht="409.6">
      <c r="A1630" t="s">
        <v>10296</v>
      </c>
      <c r="B1630" t="s">
        <v>10297</v>
      </c>
      <c r="C1630" t="s">
        <v>10255</v>
      </c>
      <c r="D1630" t="s">
        <v>23</v>
      </c>
      <c r="E1630">
        <v>30</v>
      </c>
      <c r="F1630" s="2" t="s">
        <v>10298</v>
      </c>
      <c r="G1630" s="2" t="s">
        <v>10299</v>
      </c>
      <c r="H1630" s="2" t="s">
        <v>10300</v>
      </c>
      <c r="I1630" s="2" t="s">
        <v>10301</v>
      </c>
      <c r="J1630" t="s">
        <v>10302</v>
      </c>
      <c r="L1630" s="1">
        <v>2</v>
      </c>
      <c r="M1630" s="1"/>
      <c r="N1630" s="1"/>
      <c r="O1630" s="3"/>
    </row>
    <row r="1631" spans="1:15" ht="409.6">
      <c r="A1631" t="s">
        <v>10303</v>
      </c>
      <c r="B1631" t="s">
        <v>10304</v>
      </c>
      <c r="C1631" t="s">
        <v>10255</v>
      </c>
      <c r="D1631" t="s">
        <v>23</v>
      </c>
      <c r="E1631">
        <v>35</v>
      </c>
      <c r="F1631" s="2" t="s">
        <v>10305</v>
      </c>
      <c r="G1631" s="2" t="s">
        <v>10306</v>
      </c>
      <c r="H1631" s="2" t="s">
        <v>10307</v>
      </c>
      <c r="I1631" s="2" t="s">
        <v>10308</v>
      </c>
      <c r="J1631" t="s">
        <v>10309</v>
      </c>
      <c r="L1631" s="1">
        <v>2</v>
      </c>
      <c r="M1631" s="1"/>
      <c r="N1631" s="1"/>
      <c r="O1631" s="3"/>
    </row>
    <row r="1632" spans="1:15" ht="409.6">
      <c r="A1632" t="s">
        <v>10310</v>
      </c>
      <c r="B1632" t="s">
        <v>10311</v>
      </c>
      <c r="C1632" t="s">
        <v>10255</v>
      </c>
      <c r="D1632" t="s">
        <v>23</v>
      </c>
      <c r="E1632">
        <v>20</v>
      </c>
      <c r="F1632" s="2" t="s">
        <v>10312</v>
      </c>
      <c r="G1632" s="2" t="s">
        <v>10313</v>
      </c>
      <c r="H1632" s="2" t="s">
        <v>10314</v>
      </c>
      <c r="I1632" s="2" t="s">
        <v>10315</v>
      </c>
      <c r="J1632" t="s">
        <v>10316</v>
      </c>
      <c r="L1632" s="1">
        <v>2</v>
      </c>
      <c r="M1632" s="1"/>
      <c r="N1632" s="1"/>
      <c r="O1632" s="3"/>
    </row>
    <row r="1633" spans="1:15" ht="409.6">
      <c r="A1633" t="s">
        <v>10317</v>
      </c>
      <c r="B1633" t="s">
        <v>10318</v>
      </c>
      <c r="C1633" t="s">
        <v>10255</v>
      </c>
      <c r="D1633" t="s">
        <v>23</v>
      </c>
      <c r="E1633">
        <v>30</v>
      </c>
      <c r="F1633" s="2" t="s">
        <v>10319</v>
      </c>
      <c r="G1633" s="2" t="s">
        <v>10320</v>
      </c>
      <c r="H1633" s="2" t="s">
        <v>10321</v>
      </c>
      <c r="I1633" s="2" t="s">
        <v>10322</v>
      </c>
      <c r="J1633" t="s">
        <v>10323</v>
      </c>
      <c r="L1633" s="1">
        <v>2</v>
      </c>
      <c r="M1633" s="1"/>
      <c r="N1633" s="1"/>
      <c r="O1633" s="3"/>
    </row>
    <row r="1634" spans="1:15" ht="409.6">
      <c r="A1634" t="s">
        <v>10324</v>
      </c>
      <c r="B1634" t="s">
        <v>10325</v>
      </c>
      <c r="C1634" t="s">
        <v>10255</v>
      </c>
      <c r="D1634" t="s">
        <v>23</v>
      </c>
      <c r="E1634">
        <v>30</v>
      </c>
      <c r="F1634" s="2" t="s">
        <v>10326</v>
      </c>
      <c r="G1634" s="2" t="s">
        <v>10327</v>
      </c>
      <c r="H1634" s="2" t="s">
        <v>10328</v>
      </c>
      <c r="I1634" s="2" t="s">
        <v>10329</v>
      </c>
      <c r="J1634" t="s">
        <v>10330</v>
      </c>
      <c r="L1634" s="1">
        <v>2</v>
      </c>
      <c r="M1634" s="1"/>
      <c r="N1634" s="1"/>
      <c r="O1634" s="3"/>
    </row>
    <row r="1635" spans="1:15" ht="409.6">
      <c r="A1635" t="s">
        <v>10331</v>
      </c>
      <c r="B1635" t="s">
        <v>10332</v>
      </c>
      <c r="C1635" t="s">
        <v>10255</v>
      </c>
      <c r="D1635" t="s">
        <v>23</v>
      </c>
      <c r="E1635">
        <v>25</v>
      </c>
      <c r="F1635" s="2" t="s">
        <v>10333</v>
      </c>
      <c r="G1635" s="2" t="s">
        <v>10334</v>
      </c>
      <c r="H1635" s="2" t="s">
        <v>10335</v>
      </c>
      <c r="I1635" s="2" t="s">
        <v>10336</v>
      </c>
      <c r="J1635" t="s">
        <v>10337</v>
      </c>
      <c r="L1635" s="1">
        <v>2</v>
      </c>
      <c r="M1635" s="1"/>
      <c r="N1635" s="1"/>
      <c r="O1635" s="3"/>
    </row>
    <row r="1636" spans="1:15" ht="409.6">
      <c r="A1636" t="s">
        <v>10338</v>
      </c>
      <c r="B1636" t="s">
        <v>10339</v>
      </c>
      <c r="C1636" t="s">
        <v>10255</v>
      </c>
      <c r="D1636" t="s">
        <v>23</v>
      </c>
      <c r="E1636">
        <v>35</v>
      </c>
      <c r="F1636" s="2" t="s">
        <v>10340</v>
      </c>
      <c r="G1636" s="2" t="s">
        <v>10341</v>
      </c>
      <c r="H1636" s="2" t="s">
        <v>10342</v>
      </c>
      <c r="I1636" s="2" t="s">
        <v>10343</v>
      </c>
      <c r="J1636" t="s">
        <v>10344</v>
      </c>
      <c r="L1636" s="1">
        <v>2</v>
      </c>
      <c r="M1636" s="1"/>
      <c r="N1636" s="1"/>
      <c r="O1636" s="3"/>
    </row>
    <row r="1637" spans="1:15" ht="409.6">
      <c r="A1637" t="s">
        <v>10345</v>
      </c>
      <c r="B1637" t="s">
        <v>10346</v>
      </c>
      <c r="C1637" t="s">
        <v>10255</v>
      </c>
      <c r="D1637" t="s">
        <v>23</v>
      </c>
      <c r="E1637">
        <v>45</v>
      </c>
      <c r="F1637" s="2" t="s">
        <v>10347</v>
      </c>
      <c r="G1637" s="2" t="s">
        <v>10348</v>
      </c>
      <c r="H1637" s="2" t="s">
        <v>10349</v>
      </c>
      <c r="I1637" s="2" t="s">
        <v>10350</v>
      </c>
      <c r="J1637" t="s">
        <v>10351</v>
      </c>
      <c r="L1637" s="1">
        <v>2</v>
      </c>
      <c r="M1637" s="1"/>
      <c r="N1637" s="1"/>
      <c r="O1637" s="3"/>
    </row>
    <row r="1638" spans="1:15" ht="409.6">
      <c r="A1638" t="s">
        <v>10352</v>
      </c>
      <c r="B1638" t="s">
        <v>10353</v>
      </c>
      <c r="C1638" t="s">
        <v>10255</v>
      </c>
      <c r="D1638" t="s">
        <v>23</v>
      </c>
      <c r="E1638">
        <v>30</v>
      </c>
      <c r="F1638" s="2" t="s">
        <v>10354</v>
      </c>
      <c r="G1638" s="2" t="s">
        <v>10355</v>
      </c>
      <c r="H1638" s="2" t="s">
        <v>10356</v>
      </c>
      <c r="I1638" s="2" t="s">
        <v>10357</v>
      </c>
      <c r="J1638" t="s">
        <v>10358</v>
      </c>
      <c r="L1638" s="1">
        <v>2</v>
      </c>
      <c r="M1638" s="1"/>
      <c r="N1638" s="1"/>
      <c r="O1638" s="3"/>
    </row>
    <row r="1639" spans="1:15" ht="409.6">
      <c r="A1639" t="s">
        <v>10359</v>
      </c>
      <c r="B1639" t="s">
        <v>10360</v>
      </c>
      <c r="C1639" t="s">
        <v>10255</v>
      </c>
      <c r="D1639" t="s">
        <v>23</v>
      </c>
      <c r="E1639">
        <v>20</v>
      </c>
      <c r="F1639" s="2" t="s">
        <v>10361</v>
      </c>
      <c r="G1639" s="2" t="s">
        <v>10362</v>
      </c>
      <c r="H1639" s="2" t="s">
        <v>10363</v>
      </c>
      <c r="I1639" s="2" t="s">
        <v>10364</v>
      </c>
      <c r="J1639" t="s">
        <v>10365</v>
      </c>
      <c r="L1639" s="1">
        <v>2</v>
      </c>
      <c r="M1639" s="1"/>
      <c r="N1639" s="1"/>
      <c r="O1639" s="3"/>
    </row>
    <row r="1640" spans="1:15" ht="409.6">
      <c r="A1640" t="s">
        <v>10366</v>
      </c>
      <c r="B1640" t="s">
        <v>10367</v>
      </c>
      <c r="C1640" t="s">
        <v>10255</v>
      </c>
      <c r="D1640" t="s">
        <v>23</v>
      </c>
      <c r="E1640">
        <v>25</v>
      </c>
      <c r="F1640" s="2" t="s">
        <v>10368</v>
      </c>
      <c r="G1640" s="2" t="s">
        <v>10369</v>
      </c>
      <c r="H1640" s="2" t="s">
        <v>10370</v>
      </c>
      <c r="I1640" s="2" t="s">
        <v>10371</v>
      </c>
      <c r="J1640" t="s">
        <v>10372</v>
      </c>
      <c r="L1640" s="1">
        <v>2</v>
      </c>
      <c r="M1640" s="1"/>
      <c r="N1640" s="1"/>
      <c r="O1640" s="3"/>
    </row>
    <row r="1641" spans="1:15" ht="409.6">
      <c r="A1641" t="s">
        <v>10373</v>
      </c>
      <c r="B1641" t="s">
        <v>10374</v>
      </c>
      <c r="C1641" t="s">
        <v>10255</v>
      </c>
      <c r="D1641" t="s">
        <v>23</v>
      </c>
      <c r="E1641">
        <v>30</v>
      </c>
      <c r="F1641" s="2" t="s">
        <v>10375</v>
      </c>
      <c r="G1641" s="2" t="s">
        <v>10376</v>
      </c>
      <c r="H1641" s="2" t="s">
        <v>10377</v>
      </c>
      <c r="I1641" s="2" t="s">
        <v>10378</v>
      </c>
      <c r="J1641" t="s">
        <v>10379</v>
      </c>
      <c r="L1641" s="1">
        <v>2</v>
      </c>
      <c r="M1641" s="1"/>
      <c r="N1641" s="1"/>
      <c r="O1641" s="3"/>
    </row>
    <row r="1642" spans="1:15" ht="409.6">
      <c r="A1642" t="s">
        <v>10380</v>
      </c>
      <c r="B1642" t="s">
        <v>10381</v>
      </c>
      <c r="C1642" t="s">
        <v>10255</v>
      </c>
      <c r="D1642" t="s">
        <v>23</v>
      </c>
      <c r="E1642">
        <v>35</v>
      </c>
      <c r="F1642" s="2" t="s">
        <v>10382</v>
      </c>
      <c r="G1642" s="2" t="s">
        <v>10383</v>
      </c>
      <c r="H1642" s="2" t="s">
        <v>10384</v>
      </c>
      <c r="I1642" s="2" t="s">
        <v>10385</v>
      </c>
      <c r="J1642" t="s">
        <v>10386</v>
      </c>
      <c r="L1642" s="1">
        <v>2</v>
      </c>
      <c r="M1642" s="1"/>
      <c r="N1642" s="1"/>
      <c r="O1642" s="3"/>
    </row>
    <row r="1643" spans="1:15" ht="409.6">
      <c r="A1643" t="s">
        <v>10387</v>
      </c>
      <c r="B1643" t="s">
        <v>10388</v>
      </c>
      <c r="C1643" t="s">
        <v>10255</v>
      </c>
      <c r="D1643" t="s">
        <v>23</v>
      </c>
      <c r="E1643">
        <v>30</v>
      </c>
      <c r="F1643" s="2" t="s">
        <v>10389</v>
      </c>
      <c r="G1643" s="2" t="s">
        <v>10390</v>
      </c>
      <c r="H1643" s="2" t="s">
        <v>10391</v>
      </c>
      <c r="I1643" s="2" t="s">
        <v>10392</v>
      </c>
      <c r="J1643" t="s">
        <v>10393</v>
      </c>
      <c r="L1643" s="1">
        <v>2</v>
      </c>
      <c r="M1643" s="1"/>
      <c r="N1643" s="1"/>
      <c r="O1643" s="3"/>
    </row>
    <row r="1644" spans="1:15" ht="409.6">
      <c r="A1644" t="s">
        <v>10394</v>
      </c>
      <c r="B1644" t="s">
        <v>10395</v>
      </c>
      <c r="C1644" t="s">
        <v>10255</v>
      </c>
      <c r="D1644" t="s">
        <v>23</v>
      </c>
      <c r="E1644">
        <v>25</v>
      </c>
      <c r="F1644" s="2" t="s">
        <v>10396</v>
      </c>
      <c r="G1644" s="2" t="s">
        <v>10397</v>
      </c>
      <c r="H1644" s="2" t="s">
        <v>10398</v>
      </c>
      <c r="I1644" s="2" t="s">
        <v>10399</v>
      </c>
      <c r="J1644" t="s">
        <v>10400</v>
      </c>
      <c r="L1644" s="1">
        <v>2</v>
      </c>
      <c r="M1644" s="1"/>
      <c r="N1644" s="1"/>
      <c r="O1644" s="3"/>
    </row>
    <row r="1645" spans="1:15" ht="343.2">
      <c r="A1645" t="s">
        <v>10401</v>
      </c>
      <c r="B1645" t="s">
        <v>10402</v>
      </c>
      <c r="C1645" t="s">
        <v>10255</v>
      </c>
      <c r="D1645" t="s">
        <v>23</v>
      </c>
      <c r="E1645">
        <v>20</v>
      </c>
      <c r="F1645" s="2" t="s">
        <v>10403</v>
      </c>
      <c r="G1645" s="2" t="s">
        <v>10404</v>
      </c>
      <c r="H1645" s="2" t="s">
        <v>10405</v>
      </c>
      <c r="I1645" s="2" t="s">
        <v>10406</v>
      </c>
      <c r="J1645" t="s">
        <v>10407</v>
      </c>
      <c r="L1645" s="1">
        <v>2</v>
      </c>
      <c r="M1645" s="1"/>
      <c r="N1645" s="1"/>
      <c r="O1645" s="3"/>
    </row>
    <row r="1646" spans="1:15" ht="409.6">
      <c r="A1646" t="s">
        <v>1788</v>
      </c>
      <c r="B1646" t="s">
        <v>1789</v>
      </c>
      <c r="C1646" t="s">
        <v>10255</v>
      </c>
      <c r="D1646" t="s">
        <v>23</v>
      </c>
      <c r="E1646">
        <v>15</v>
      </c>
      <c r="F1646" s="2" t="s">
        <v>10408</v>
      </c>
      <c r="G1646" s="2" t="s">
        <v>10409</v>
      </c>
      <c r="H1646" s="2" t="s">
        <v>10410</v>
      </c>
      <c r="I1646" s="2" t="s">
        <v>10411</v>
      </c>
      <c r="J1646" t="s">
        <v>10412</v>
      </c>
      <c r="L1646" s="1">
        <v>2</v>
      </c>
      <c r="M1646" s="1"/>
      <c r="N1646" s="1"/>
      <c r="O1646" s="3"/>
    </row>
    <row r="1647" spans="1:15" ht="356.4">
      <c r="A1647" t="s">
        <v>10413</v>
      </c>
      <c r="B1647" t="s">
        <v>10414</v>
      </c>
      <c r="C1647" t="s">
        <v>10255</v>
      </c>
      <c r="D1647" t="s">
        <v>23</v>
      </c>
      <c r="E1647">
        <v>10</v>
      </c>
      <c r="F1647" s="2" t="s">
        <v>10415</v>
      </c>
      <c r="G1647" s="2" t="s">
        <v>10416</v>
      </c>
      <c r="H1647" t="s">
        <v>10417</v>
      </c>
      <c r="I1647" t="s">
        <v>10418</v>
      </c>
      <c r="J1647" t="s">
        <v>10419</v>
      </c>
      <c r="L1647" s="1">
        <v>2</v>
      </c>
      <c r="M1647" s="1"/>
      <c r="N1647" s="1"/>
      <c r="O1647" s="3"/>
    </row>
    <row r="1648" spans="1:15" ht="409.6">
      <c r="A1648" t="s">
        <v>10420</v>
      </c>
      <c r="B1648" t="s">
        <v>10421</v>
      </c>
      <c r="C1648" t="s">
        <v>10255</v>
      </c>
      <c r="D1648" t="s">
        <v>23</v>
      </c>
      <c r="E1648">
        <v>25</v>
      </c>
      <c r="F1648" s="2" t="s">
        <v>10422</v>
      </c>
      <c r="G1648" s="2" t="s">
        <v>10423</v>
      </c>
      <c r="H1648" s="2" t="s">
        <v>10424</v>
      </c>
      <c r="I1648" s="2" t="s">
        <v>10425</v>
      </c>
      <c r="J1648" t="s">
        <v>10426</v>
      </c>
      <c r="L1648" s="1">
        <v>2</v>
      </c>
      <c r="M1648" s="1"/>
      <c r="N1648" s="1"/>
      <c r="O1648" s="3"/>
    </row>
    <row r="1649" spans="1:15" ht="290.39999999999998">
      <c r="A1649" t="s">
        <v>10427</v>
      </c>
      <c r="B1649" t="s">
        <v>10428</v>
      </c>
      <c r="C1649" t="s">
        <v>10255</v>
      </c>
      <c r="D1649" t="s">
        <v>23</v>
      </c>
      <c r="E1649">
        <v>20</v>
      </c>
      <c r="F1649" s="2" t="s">
        <v>10429</v>
      </c>
      <c r="G1649" s="2" t="s">
        <v>10430</v>
      </c>
      <c r="H1649" t="s">
        <v>10431</v>
      </c>
      <c r="I1649" t="s">
        <v>10432</v>
      </c>
      <c r="J1649" t="s">
        <v>10433</v>
      </c>
      <c r="L1649" s="1">
        <v>2</v>
      </c>
      <c r="M1649" s="1"/>
      <c r="N1649" s="1"/>
      <c r="O1649" s="3"/>
    </row>
    <row r="1650" spans="1:15" ht="316.8">
      <c r="A1650" t="s">
        <v>10434</v>
      </c>
      <c r="B1650" t="s">
        <v>10435</v>
      </c>
      <c r="C1650" t="s">
        <v>10255</v>
      </c>
      <c r="D1650" t="s">
        <v>23</v>
      </c>
      <c r="E1650">
        <v>20</v>
      </c>
      <c r="F1650" s="2" t="s">
        <v>10436</v>
      </c>
      <c r="G1650" s="2" t="s">
        <v>10437</v>
      </c>
      <c r="H1650" s="2" t="s">
        <v>10438</v>
      </c>
      <c r="I1650" s="2" t="s">
        <v>10439</v>
      </c>
      <c r="J1650" t="s">
        <v>10440</v>
      </c>
      <c r="L1650" s="1">
        <v>2</v>
      </c>
      <c r="M1650" s="1"/>
      <c r="N1650" s="1"/>
      <c r="O1650" s="3"/>
    </row>
    <row r="1651" spans="1:15" ht="369.6">
      <c r="A1651" t="s">
        <v>10441</v>
      </c>
      <c r="B1651" t="s">
        <v>10442</v>
      </c>
      <c r="C1651" t="s">
        <v>10255</v>
      </c>
      <c r="D1651" t="s">
        <v>23</v>
      </c>
      <c r="E1651">
        <v>20</v>
      </c>
      <c r="F1651" s="2" t="s">
        <v>10443</v>
      </c>
      <c r="G1651" s="2" t="s">
        <v>10444</v>
      </c>
      <c r="H1651" s="2" t="s">
        <v>10445</v>
      </c>
      <c r="I1651" s="2" t="s">
        <v>10446</v>
      </c>
      <c r="J1651" t="s">
        <v>10447</v>
      </c>
      <c r="L1651" s="1">
        <v>2</v>
      </c>
      <c r="M1651" s="1"/>
      <c r="N1651" s="1"/>
      <c r="O1651" s="3"/>
    </row>
    <row r="1652" spans="1:15" ht="369.6">
      <c r="A1652" t="s">
        <v>7035</v>
      </c>
      <c r="B1652" t="s">
        <v>7036</v>
      </c>
      <c r="C1652" t="s">
        <v>10255</v>
      </c>
      <c r="D1652" t="s">
        <v>23</v>
      </c>
      <c r="E1652">
        <v>20</v>
      </c>
      <c r="F1652" s="2" t="s">
        <v>10448</v>
      </c>
      <c r="G1652" s="2" t="s">
        <v>10449</v>
      </c>
      <c r="H1652" s="2" t="s">
        <v>10450</v>
      </c>
      <c r="I1652" s="2" t="s">
        <v>10451</v>
      </c>
      <c r="J1652" t="s">
        <v>10452</v>
      </c>
      <c r="L1652" s="1">
        <v>2</v>
      </c>
      <c r="M1652" s="1"/>
      <c r="N1652" s="1"/>
      <c r="O1652" s="3"/>
    </row>
    <row r="1653" spans="1:15" ht="330">
      <c r="A1653" t="s">
        <v>2747</v>
      </c>
      <c r="B1653" t="s">
        <v>2748</v>
      </c>
      <c r="C1653" t="s">
        <v>10255</v>
      </c>
      <c r="D1653" t="s">
        <v>23</v>
      </c>
      <c r="E1653">
        <v>10</v>
      </c>
      <c r="F1653" s="2" t="s">
        <v>10453</v>
      </c>
      <c r="G1653" s="2" t="s">
        <v>10454</v>
      </c>
      <c r="H1653" s="2" t="s">
        <v>10455</v>
      </c>
      <c r="I1653" s="2" t="s">
        <v>10456</v>
      </c>
      <c r="J1653" t="s">
        <v>10457</v>
      </c>
      <c r="L1653" s="1">
        <v>2</v>
      </c>
      <c r="M1653" s="1"/>
      <c r="N1653" s="1"/>
      <c r="O1653" s="3"/>
    </row>
    <row r="1654" spans="1:15" ht="303.60000000000002">
      <c r="A1654" t="s">
        <v>10458</v>
      </c>
      <c r="B1654" t="s">
        <v>10459</v>
      </c>
      <c r="C1654" t="s">
        <v>10255</v>
      </c>
      <c r="D1654" t="s">
        <v>23</v>
      </c>
      <c r="E1654">
        <v>5</v>
      </c>
      <c r="F1654" s="2" t="s">
        <v>10460</v>
      </c>
      <c r="G1654" s="2" t="s">
        <v>10461</v>
      </c>
      <c r="H1654" s="2" t="s">
        <v>10462</v>
      </c>
      <c r="I1654" s="2" t="s">
        <v>10463</v>
      </c>
      <c r="J1654" t="s">
        <v>10464</v>
      </c>
      <c r="L1654" s="1">
        <v>2</v>
      </c>
      <c r="M1654" s="1"/>
      <c r="N1654" s="1"/>
      <c r="O1654" s="3"/>
    </row>
    <row r="1655" spans="1:15" ht="290.39999999999998">
      <c r="A1655" t="s">
        <v>7017</v>
      </c>
      <c r="B1655" t="s">
        <v>10465</v>
      </c>
      <c r="C1655" t="s">
        <v>10255</v>
      </c>
      <c r="D1655" t="s">
        <v>23</v>
      </c>
      <c r="E1655">
        <v>10</v>
      </c>
      <c r="F1655" s="2" t="s">
        <v>10466</v>
      </c>
      <c r="G1655" s="2" t="s">
        <v>10467</v>
      </c>
      <c r="H1655" s="2" t="s">
        <v>10468</v>
      </c>
      <c r="I1655" s="2" t="s">
        <v>10456</v>
      </c>
      <c r="J1655" t="s">
        <v>10469</v>
      </c>
      <c r="L1655" s="1">
        <v>2</v>
      </c>
      <c r="M1655" s="1"/>
      <c r="N1655" s="1"/>
      <c r="O1655" s="3"/>
    </row>
    <row r="1656" spans="1:15" ht="237.6">
      <c r="A1656" t="s">
        <v>10470</v>
      </c>
      <c r="B1656" t="s">
        <v>10471</v>
      </c>
      <c r="C1656" t="s">
        <v>10255</v>
      </c>
      <c r="D1656" t="s">
        <v>23</v>
      </c>
      <c r="E1656">
        <v>10</v>
      </c>
      <c r="F1656" s="2" t="s">
        <v>10472</v>
      </c>
      <c r="G1656" s="2" t="s">
        <v>10473</v>
      </c>
      <c r="H1656" s="2" t="s">
        <v>10474</v>
      </c>
      <c r="I1656" s="2" t="s">
        <v>10475</v>
      </c>
      <c r="J1656" t="s">
        <v>10419</v>
      </c>
      <c r="L1656" s="1">
        <v>2</v>
      </c>
      <c r="M1656" s="1"/>
      <c r="N1656" s="1"/>
      <c r="O1656" s="3"/>
    </row>
    <row r="1657" spans="1:15" ht="409.6">
      <c r="A1657" t="s">
        <v>10476</v>
      </c>
      <c r="B1657" t="s">
        <v>10477</v>
      </c>
      <c r="C1657" t="s">
        <v>10255</v>
      </c>
      <c r="D1657" t="s">
        <v>23</v>
      </c>
      <c r="E1657">
        <v>20</v>
      </c>
      <c r="F1657" s="2" t="s">
        <v>10478</v>
      </c>
      <c r="G1657" s="2" t="s">
        <v>10479</v>
      </c>
      <c r="H1657" s="2" t="s">
        <v>10480</v>
      </c>
      <c r="I1657" s="2" t="s">
        <v>10481</v>
      </c>
      <c r="J1657" t="s">
        <v>10482</v>
      </c>
      <c r="L1657" s="1">
        <v>2</v>
      </c>
      <c r="M1657" s="1"/>
      <c r="N1657" s="1"/>
      <c r="O1657" s="3"/>
    </row>
    <row r="1658" spans="1:15" ht="409.6">
      <c r="A1658" t="s">
        <v>10483</v>
      </c>
      <c r="B1658" t="s">
        <v>10484</v>
      </c>
      <c r="C1658" t="s">
        <v>10255</v>
      </c>
      <c r="D1658" t="s">
        <v>23</v>
      </c>
      <c r="E1658">
        <v>20</v>
      </c>
      <c r="F1658" s="2" t="s">
        <v>10485</v>
      </c>
      <c r="G1658" s="2" t="s">
        <v>10486</v>
      </c>
      <c r="H1658" s="2" t="s">
        <v>10487</v>
      </c>
      <c r="I1658" s="2" t="s">
        <v>10488</v>
      </c>
      <c r="J1658" t="s">
        <v>10489</v>
      </c>
      <c r="L1658" s="1">
        <v>2</v>
      </c>
      <c r="M1658" s="1"/>
      <c r="N1658" s="1"/>
      <c r="O1658" s="3"/>
    </row>
    <row r="1659" spans="1:15" ht="409.6">
      <c r="A1659" t="s">
        <v>10490</v>
      </c>
      <c r="B1659" t="s">
        <v>5325</v>
      </c>
      <c r="C1659" t="s">
        <v>10255</v>
      </c>
      <c r="D1659" t="s">
        <v>23</v>
      </c>
      <c r="E1659">
        <v>20</v>
      </c>
      <c r="F1659" s="2" t="s">
        <v>10491</v>
      </c>
      <c r="G1659" s="2" t="s">
        <v>10492</v>
      </c>
      <c r="H1659" s="2" t="s">
        <v>10493</v>
      </c>
      <c r="I1659" s="2" t="s">
        <v>10494</v>
      </c>
      <c r="J1659" t="s">
        <v>10495</v>
      </c>
      <c r="L1659" s="1">
        <v>2</v>
      </c>
      <c r="M1659" s="1"/>
      <c r="N1659" s="1"/>
      <c r="O1659" s="3"/>
    </row>
    <row r="1660" spans="1:15" ht="409.6">
      <c r="A1660" t="s">
        <v>10496</v>
      </c>
      <c r="B1660" t="s">
        <v>10497</v>
      </c>
      <c r="C1660" t="s">
        <v>10255</v>
      </c>
      <c r="D1660" t="s">
        <v>23</v>
      </c>
      <c r="E1660">
        <v>25</v>
      </c>
      <c r="F1660" s="2" t="s">
        <v>10498</v>
      </c>
      <c r="G1660" s="2" t="s">
        <v>10499</v>
      </c>
      <c r="H1660" s="2" t="s">
        <v>10500</v>
      </c>
      <c r="I1660" s="2" t="s">
        <v>10501</v>
      </c>
      <c r="J1660" t="s">
        <v>10502</v>
      </c>
      <c r="L1660" s="1">
        <v>2</v>
      </c>
      <c r="M1660" s="1"/>
      <c r="N1660" s="1"/>
      <c r="O1660" s="3"/>
    </row>
    <row r="1661" spans="1:15" ht="409.6">
      <c r="A1661" t="s">
        <v>10503</v>
      </c>
      <c r="B1661" t="s">
        <v>10504</v>
      </c>
      <c r="C1661" t="s">
        <v>10255</v>
      </c>
      <c r="D1661" t="s">
        <v>23</v>
      </c>
      <c r="E1661">
        <v>30</v>
      </c>
      <c r="F1661" s="2" t="s">
        <v>10505</v>
      </c>
      <c r="G1661" s="2" t="s">
        <v>10506</v>
      </c>
      <c r="H1661" s="2" t="s">
        <v>10507</v>
      </c>
      <c r="I1661" s="2" t="s">
        <v>10508</v>
      </c>
      <c r="J1661" t="s">
        <v>10509</v>
      </c>
      <c r="L1661" s="1">
        <v>2</v>
      </c>
      <c r="M1661" s="1"/>
      <c r="N1661" s="1"/>
      <c r="O1661" s="3"/>
    </row>
    <row r="1662" spans="1:15" ht="409.6">
      <c r="A1662" t="s">
        <v>10510</v>
      </c>
      <c r="B1662" t="s">
        <v>10511</v>
      </c>
      <c r="C1662" t="s">
        <v>10255</v>
      </c>
      <c r="D1662" t="s">
        <v>23</v>
      </c>
      <c r="E1662">
        <v>30</v>
      </c>
      <c r="F1662" s="2" t="s">
        <v>10512</v>
      </c>
      <c r="G1662" s="2" t="s">
        <v>10513</v>
      </c>
      <c r="H1662" s="2" t="s">
        <v>10514</v>
      </c>
      <c r="I1662" s="2" t="s">
        <v>10515</v>
      </c>
      <c r="J1662" t="s">
        <v>10516</v>
      </c>
      <c r="L1662" s="1">
        <v>2</v>
      </c>
      <c r="M1662" s="1"/>
      <c r="N1662" s="1"/>
      <c r="O1662" s="3"/>
    </row>
    <row r="1663" spans="1:15" ht="409.6">
      <c r="A1663" t="s">
        <v>10517</v>
      </c>
      <c r="B1663" t="s">
        <v>10518</v>
      </c>
      <c r="C1663" t="s">
        <v>10255</v>
      </c>
      <c r="D1663" t="s">
        <v>23</v>
      </c>
      <c r="E1663">
        <v>30</v>
      </c>
      <c r="F1663" s="2" t="s">
        <v>10519</v>
      </c>
      <c r="G1663" s="2" t="s">
        <v>10520</v>
      </c>
      <c r="H1663" s="2" t="s">
        <v>10521</v>
      </c>
      <c r="I1663" s="2" t="s">
        <v>10522</v>
      </c>
      <c r="J1663" t="s">
        <v>10523</v>
      </c>
      <c r="L1663" s="1">
        <v>2</v>
      </c>
      <c r="M1663" s="1"/>
      <c r="N1663" s="1"/>
      <c r="O1663" s="3"/>
    </row>
    <row r="1664" spans="1:15" ht="409.6">
      <c r="A1664" t="s">
        <v>10524</v>
      </c>
      <c r="B1664" t="s">
        <v>10525</v>
      </c>
      <c r="C1664" t="s">
        <v>10255</v>
      </c>
      <c r="D1664" t="s">
        <v>23</v>
      </c>
      <c r="E1664">
        <v>25</v>
      </c>
      <c r="F1664" s="2" t="s">
        <v>10526</v>
      </c>
      <c r="G1664" s="2" t="s">
        <v>10527</v>
      </c>
      <c r="H1664" s="2" t="s">
        <v>10528</v>
      </c>
      <c r="I1664" s="2" t="s">
        <v>10529</v>
      </c>
      <c r="J1664" t="s">
        <v>10530</v>
      </c>
      <c r="L1664" s="1">
        <v>2</v>
      </c>
      <c r="M1664" s="1"/>
      <c r="N1664" s="1"/>
      <c r="O1664" s="3"/>
    </row>
    <row r="1665" spans="1:15" ht="409.6">
      <c r="A1665" t="s">
        <v>10531</v>
      </c>
      <c r="B1665" t="s">
        <v>10532</v>
      </c>
      <c r="C1665" t="s">
        <v>10255</v>
      </c>
      <c r="D1665" t="s">
        <v>23</v>
      </c>
      <c r="E1665">
        <v>30</v>
      </c>
      <c r="F1665" s="2" t="s">
        <v>10533</v>
      </c>
      <c r="G1665" s="2" t="s">
        <v>10534</v>
      </c>
      <c r="H1665" s="2" t="s">
        <v>10535</v>
      </c>
      <c r="I1665" s="2" t="s">
        <v>10536</v>
      </c>
      <c r="J1665" t="s">
        <v>10537</v>
      </c>
      <c r="L1665" s="1">
        <v>2</v>
      </c>
      <c r="M1665" s="1"/>
      <c r="N1665" s="1"/>
      <c r="O1665" s="3"/>
    </row>
    <row r="1666" spans="1:15" ht="409.6">
      <c r="A1666" t="s">
        <v>10538</v>
      </c>
      <c r="B1666" t="s">
        <v>10539</v>
      </c>
      <c r="C1666" t="s">
        <v>10255</v>
      </c>
      <c r="D1666" t="s">
        <v>23</v>
      </c>
      <c r="E1666">
        <v>25</v>
      </c>
      <c r="F1666" s="2" t="s">
        <v>10540</v>
      </c>
      <c r="G1666" s="2" t="s">
        <v>10541</v>
      </c>
      <c r="H1666" s="2" t="s">
        <v>10542</v>
      </c>
      <c r="I1666" s="2" t="s">
        <v>10543</v>
      </c>
      <c r="J1666" t="s">
        <v>10544</v>
      </c>
      <c r="L1666" s="1">
        <v>2</v>
      </c>
      <c r="M1666" s="1"/>
      <c r="N1666" s="1"/>
      <c r="O1666" s="3"/>
    </row>
    <row r="1667" spans="1:15" ht="409.6">
      <c r="A1667" t="s">
        <v>10545</v>
      </c>
      <c r="B1667" t="s">
        <v>10546</v>
      </c>
      <c r="C1667" t="s">
        <v>10255</v>
      </c>
      <c r="D1667" t="s">
        <v>23</v>
      </c>
      <c r="E1667">
        <v>30</v>
      </c>
      <c r="F1667" s="2" t="s">
        <v>10547</v>
      </c>
      <c r="G1667" s="2" t="s">
        <v>10548</v>
      </c>
      <c r="H1667" s="2" t="s">
        <v>10549</v>
      </c>
      <c r="I1667" s="2" t="s">
        <v>10550</v>
      </c>
      <c r="J1667" t="s">
        <v>10551</v>
      </c>
      <c r="L1667" s="1">
        <v>2</v>
      </c>
      <c r="M1667" s="1"/>
      <c r="N1667" s="1"/>
      <c r="O1667" s="3"/>
    </row>
    <row r="1668" spans="1:15" ht="409.6">
      <c r="A1668" t="s">
        <v>10552</v>
      </c>
      <c r="B1668" t="s">
        <v>10553</v>
      </c>
      <c r="C1668" t="s">
        <v>10255</v>
      </c>
      <c r="D1668" t="s">
        <v>23</v>
      </c>
      <c r="E1668">
        <v>30</v>
      </c>
      <c r="F1668" s="2" t="s">
        <v>10554</v>
      </c>
      <c r="G1668" s="2" t="s">
        <v>10555</v>
      </c>
      <c r="H1668" s="2" t="s">
        <v>10556</v>
      </c>
      <c r="I1668" s="2" t="s">
        <v>10557</v>
      </c>
      <c r="J1668" t="s">
        <v>10558</v>
      </c>
      <c r="L1668" s="1">
        <v>2</v>
      </c>
      <c r="M1668" s="1"/>
      <c r="N1668" s="1"/>
      <c r="O1668" s="3"/>
    </row>
    <row r="1669" spans="1:15" ht="409.6">
      <c r="A1669" t="s">
        <v>10559</v>
      </c>
      <c r="B1669" t="s">
        <v>10560</v>
      </c>
      <c r="C1669" t="s">
        <v>10255</v>
      </c>
      <c r="D1669" t="s">
        <v>23</v>
      </c>
      <c r="E1669">
        <v>25</v>
      </c>
      <c r="F1669" s="2" t="s">
        <v>10561</v>
      </c>
      <c r="G1669" s="2" t="s">
        <v>10562</v>
      </c>
      <c r="H1669" s="2" t="s">
        <v>10563</v>
      </c>
      <c r="I1669" s="2" t="s">
        <v>10564</v>
      </c>
      <c r="J1669" t="s">
        <v>10565</v>
      </c>
      <c r="L1669" s="1">
        <v>2</v>
      </c>
      <c r="M1669" s="1"/>
      <c r="N1669" s="1"/>
      <c r="O1669" s="3"/>
    </row>
    <row r="1670" spans="1:15" ht="409.6">
      <c r="A1670" t="s">
        <v>10566</v>
      </c>
      <c r="B1670" t="s">
        <v>10567</v>
      </c>
      <c r="C1670" t="s">
        <v>10255</v>
      </c>
      <c r="D1670" t="s">
        <v>23</v>
      </c>
      <c r="E1670">
        <v>25</v>
      </c>
      <c r="F1670" s="2" t="s">
        <v>10568</v>
      </c>
      <c r="G1670" s="2" t="s">
        <v>10569</v>
      </c>
      <c r="H1670" s="2" t="s">
        <v>10570</v>
      </c>
      <c r="I1670" s="2" t="s">
        <v>10571</v>
      </c>
      <c r="J1670" t="s">
        <v>10572</v>
      </c>
      <c r="L1670" s="1">
        <v>2</v>
      </c>
      <c r="M1670" s="1"/>
      <c r="N1670" s="1"/>
      <c r="O1670" s="3"/>
    </row>
    <row r="1671" spans="1:15" ht="409.6">
      <c r="A1671" t="s">
        <v>10573</v>
      </c>
      <c r="B1671" t="s">
        <v>10574</v>
      </c>
      <c r="C1671" t="s">
        <v>10255</v>
      </c>
      <c r="D1671" t="s">
        <v>23</v>
      </c>
      <c r="E1671">
        <v>20</v>
      </c>
      <c r="F1671" s="2" t="s">
        <v>10575</v>
      </c>
      <c r="G1671" s="2" t="s">
        <v>10576</v>
      </c>
      <c r="H1671" s="2" t="s">
        <v>10577</v>
      </c>
      <c r="I1671" s="2" t="s">
        <v>10578</v>
      </c>
      <c r="J1671" t="s">
        <v>10579</v>
      </c>
      <c r="L1671" s="1">
        <v>2</v>
      </c>
      <c r="M1671" s="1"/>
      <c r="N1671" s="1"/>
      <c r="O1671" s="3"/>
    </row>
    <row r="1672" spans="1:15" ht="409.6">
      <c r="A1672" t="s">
        <v>10580</v>
      </c>
      <c r="B1672" t="s">
        <v>10581</v>
      </c>
      <c r="C1672" t="s">
        <v>10255</v>
      </c>
      <c r="D1672" t="s">
        <v>23</v>
      </c>
      <c r="E1672">
        <v>30</v>
      </c>
      <c r="F1672" s="2" t="s">
        <v>10582</v>
      </c>
      <c r="G1672" s="2" t="s">
        <v>10583</v>
      </c>
      <c r="H1672" s="2" t="s">
        <v>10584</v>
      </c>
      <c r="I1672" s="2" t="s">
        <v>10585</v>
      </c>
      <c r="J1672" t="s">
        <v>10586</v>
      </c>
      <c r="L1672" s="1">
        <v>2</v>
      </c>
      <c r="M1672" s="1"/>
      <c r="N1672" s="1"/>
      <c r="O1672" s="3"/>
    </row>
    <row r="1673" spans="1:15" ht="409.6">
      <c r="A1673" t="s">
        <v>10587</v>
      </c>
      <c r="B1673" t="s">
        <v>10588</v>
      </c>
      <c r="C1673" t="s">
        <v>10255</v>
      </c>
      <c r="D1673" t="s">
        <v>23</v>
      </c>
      <c r="E1673">
        <v>25</v>
      </c>
      <c r="F1673" s="2" t="s">
        <v>10589</v>
      </c>
      <c r="G1673" s="2" t="s">
        <v>10590</v>
      </c>
      <c r="H1673" s="2" t="s">
        <v>10591</v>
      </c>
      <c r="I1673" s="2" t="s">
        <v>10592</v>
      </c>
      <c r="J1673" t="s">
        <v>10593</v>
      </c>
      <c r="L1673" s="1">
        <v>2</v>
      </c>
      <c r="M1673" s="1"/>
      <c r="N1673" s="1"/>
      <c r="O1673" s="3"/>
    </row>
    <row r="1674" spans="1:15" ht="409.6">
      <c r="A1674" t="s">
        <v>10594</v>
      </c>
      <c r="B1674" t="s">
        <v>10595</v>
      </c>
      <c r="C1674" t="s">
        <v>10255</v>
      </c>
      <c r="D1674" t="s">
        <v>23</v>
      </c>
      <c r="E1674">
        <v>25</v>
      </c>
      <c r="F1674" s="2" t="s">
        <v>10596</v>
      </c>
      <c r="G1674" s="2" t="s">
        <v>10597</v>
      </c>
      <c r="H1674" s="2" t="s">
        <v>10598</v>
      </c>
      <c r="I1674" s="2" t="s">
        <v>10599</v>
      </c>
      <c r="J1674" t="s">
        <v>10600</v>
      </c>
      <c r="L1674" s="1">
        <v>2</v>
      </c>
      <c r="M1674" s="1"/>
      <c r="N1674" s="1"/>
      <c r="O1674" s="3"/>
    </row>
    <row r="1675" spans="1:15" ht="409.6">
      <c r="A1675" t="s">
        <v>10601</v>
      </c>
      <c r="B1675" t="s">
        <v>10602</v>
      </c>
      <c r="C1675" t="s">
        <v>10255</v>
      </c>
      <c r="D1675" t="s">
        <v>23</v>
      </c>
      <c r="E1675">
        <v>30</v>
      </c>
      <c r="F1675" s="2" t="s">
        <v>10603</v>
      </c>
      <c r="G1675" s="2" t="s">
        <v>10604</v>
      </c>
      <c r="H1675" s="2" t="s">
        <v>10605</v>
      </c>
      <c r="I1675" s="2" t="s">
        <v>10606</v>
      </c>
      <c r="J1675" t="s">
        <v>10607</v>
      </c>
      <c r="L1675" s="1">
        <v>2</v>
      </c>
      <c r="M1675" s="1"/>
      <c r="N1675" s="1"/>
      <c r="O1675" s="3"/>
    </row>
    <row r="1676" spans="1:15" ht="409.6">
      <c r="A1676" t="s">
        <v>10608</v>
      </c>
      <c r="B1676" t="s">
        <v>10609</v>
      </c>
      <c r="C1676" t="s">
        <v>10255</v>
      </c>
      <c r="D1676" t="s">
        <v>23</v>
      </c>
      <c r="E1676">
        <v>35</v>
      </c>
      <c r="F1676" s="2" t="s">
        <v>10610</v>
      </c>
      <c r="G1676" s="2" t="s">
        <v>10611</v>
      </c>
      <c r="H1676" s="2" t="s">
        <v>10612</v>
      </c>
      <c r="I1676" s="2" t="s">
        <v>10613</v>
      </c>
      <c r="J1676" t="s">
        <v>10614</v>
      </c>
      <c r="L1676" s="1">
        <v>2</v>
      </c>
      <c r="M1676" s="1"/>
      <c r="N1676" s="1"/>
      <c r="O1676" s="3"/>
    </row>
    <row r="1677" spans="1:15" ht="409.6">
      <c r="A1677" t="s">
        <v>10615</v>
      </c>
      <c r="B1677" t="s">
        <v>10616</v>
      </c>
      <c r="C1677" t="s">
        <v>10255</v>
      </c>
      <c r="D1677" t="s">
        <v>23</v>
      </c>
      <c r="E1677">
        <v>30</v>
      </c>
      <c r="F1677" s="2" t="s">
        <v>10617</v>
      </c>
      <c r="G1677" s="2" t="s">
        <v>10618</v>
      </c>
      <c r="H1677" s="2" t="s">
        <v>10619</v>
      </c>
      <c r="I1677" s="2" t="s">
        <v>10620</v>
      </c>
      <c r="J1677" t="s">
        <v>10621</v>
      </c>
      <c r="L1677" s="1">
        <v>2</v>
      </c>
      <c r="M1677" s="1"/>
      <c r="N1677" s="1"/>
      <c r="O1677" s="3"/>
    </row>
    <row r="1678" spans="1:15" ht="409.6">
      <c r="A1678" t="s">
        <v>10622</v>
      </c>
      <c r="B1678" t="s">
        <v>10623</v>
      </c>
      <c r="C1678" t="s">
        <v>10255</v>
      </c>
      <c r="D1678" t="s">
        <v>23</v>
      </c>
      <c r="E1678">
        <v>30</v>
      </c>
      <c r="F1678" s="2" t="s">
        <v>10624</v>
      </c>
      <c r="G1678" s="2" t="s">
        <v>10625</v>
      </c>
      <c r="H1678" s="2" t="s">
        <v>10626</v>
      </c>
      <c r="I1678" s="2" t="s">
        <v>10627</v>
      </c>
      <c r="J1678" t="s">
        <v>10628</v>
      </c>
      <c r="L1678" s="1">
        <v>2</v>
      </c>
      <c r="M1678" s="1"/>
      <c r="N1678" s="1"/>
      <c r="O1678" s="3"/>
    </row>
    <row r="1679" spans="1:15" ht="409.6">
      <c r="A1679" t="s">
        <v>10629</v>
      </c>
      <c r="B1679" t="s">
        <v>10630</v>
      </c>
      <c r="C1679" t="s">
        <v>10255</v>
      </c>
      <c r="D1679" t="s">
        <v>23</v>
      </c>
      <c r="E1679">
        <v>35</v>
      </c>
      <c r="F1679" s="2" t="s">
        <v>10631</v>
      </c>
      <c r="G1679" s="2" t="s">
        <v>10632</v>
      </c>
      <c r="H1679" s="2" t="s">
        <v>10633</v>
      </c>
      <c r="I1679" s="2" t="s">
        <v>10634</v>
      </c>
      <c r="J1679" t="s">
        <v>10635</v>
      </c>
      <c r="L1679" s="1">
        <v>2</v>
      </c>
      <c r="M1679" s="1"/>
      <c r="N1679" s="1"/>
      <c r="O1679" s="3"/>
    </row>
    <row r="1680" spans="1:15" ht="409.6">
      <c r="A1680" t="s">
        <v>10636</v>
      </c>
      <c r="B1680" t="s">
        <v>10637</v>
      </c>
      <c r="C1680" t="s">
        <v>10255</v>
      </c>
      <c r="D1680" t="s">
        <v>23</v>
      </c>
      <c r="E1680">
        <v>20</v>
      </c>
      <c r="F1680" s="2" t="s">
        <v>10638</v>
      </c>
      <c r="G1680" s="2" t="s">
        <v>10639</v>
      </c>
      <c r="H1680" s="2" t="s">
        <v>10640</v>
      </c>
      <c r="I1680" s="2" t="s">
        <v>10641</v>
      </c>
      <c r="J1680" t="s">
        <v>10642</v>
      </c>
      <c r="L1680" s="1">
        <v>2</v>
      </c>
      <c r="M1680" s="1"/>
      <c r="N1680" s="1"/>
      <c r="O1680" s="3"/>
    </row>
    <row r="1681" spans="1:15" ht="409.6">
      <c r="A1681" t="s">
        <v>10643</v>
      </c>
      <c r="B1681" t="s">
        <v>10644</v>
      </c>
      <c r="C1681" t="s">
        <v>10255</v>
      </c>
      <c r="D1681" t="s">
        <v>23</v>
      </c>
      <c r="E1681">
        <v>25</v>
      </c>
      <c r="F1681" s="2" t="s">
        <v>10645</v>
      </c>
      <c r="G1681" s="2" t="s">
        <v>10646</v>
      </c>
      <c r="H1681" s="2" t="s">
        <v>10647</v>
      </c>
      <c r="I1681" s="2" t="s">
        <v>10648</v>
      </c>
      <c r="J1681" t="s">
        <v>10649</v>
      </c>
      <c r="L1681" s="1">
        <v>2</v>
      </c>
      <c r="M1681" s="1"/>
      <c r="N1681" s="1"/>
      <c r="O1681" s="3"/>
    </row>
    <row r="1682" spans="1:15" ht="409.6">
      <c r="A1682" t="s">
        <v>10650</v>
      </c>
      <c r="B1682" t="s">
        <v>10651</v>
      </c>
      <c r="C1682" t="s">
        <v>10255</v>
      </c>
      <c r="D1682" t="s">
        <v>23</v>
      </c>
      <c r="E1682">
        <v>25</v>
      </c>
      <c r="F1682" s="2" t="s">
        <v>10652</v>
      </c>
      <c r="G1682" s="2" t="s">
        <v>10653</v>
      </c>
      <c r="H1682" s="2" t="s">
        <v>10654</v>
      </c>
      <c r="I1682" s="2" t="s">
        <v>10655</v>
      </c>
      <c r="J1682" t="s">
        <v>10656</v>
      </c>
      <c r="L1682" s="1">
        <v>2</v>
      </c>
      <c r="M1682" s="1"/>
      <c r="N1682" s="1"/>
      <c r="O1682" s="3"/>
    </row>
    <row r="1683" spans="1:15" ht="409.6">
      <c r="A1683" t="s">
        <v>10657</v>
      </c>
      <c r="B1683" t="s">
        <v>10658</v>
      </c>
      <c r="C1683" t="s">
        <v>10255</v>
      </c>
      <c r="D1683" t="s">
        <v>23</v>
      </c>
      <c r="E1683">
        <v>30</v>
      </c>
      <c r="F1683" s="2" t="s">
        <v>10659</v>
      </c>
      <c r="G1683" s="2" t="s">
        <v>10660</v>
      </c>
      <c r="H1683" s="2" t="s">
        <v>10661</v>
      </c>
      <c r="I1683" s="2" t="s">
        <v>10662</v>
      </c>
      <c r="J1683" t="s">
        <v>10663</v>
      </c>
      <c r="L1683" s="1">
        <v>2</v>
      </c>
      <c r="M1683" s="1"/>
      <c r="N1683" s="1"/>
      <c r="O1683" s="3"/>
    </row>
    <row r="1684" spans="1:15" ht="409.6">
      <c r="A1684" t="s">
        <v>10664</v>
      </c>
      <c r="B1684" t="s">
        <v>10665</v>
      </c>
      <c r="C1684" t="s">
        <v>10255</v>
      </c>
      <c r="D1684" t="s">
        <v>23</v>
      </c>
      <c r="E1684">
        <v>30</v>
      </c>
      <c r="F1684" s="2" t="s">
        <v>10666</v>
      </c>
      <c r="G1684" s="2" t="s">
        <v>10667</v>
      </c>
      <c r="H1684" t="s">
        <v>10668</v>
      </c>
      <c r="I1684" t="s">
        <v>10669</v>
      </c>
      <c r="J1684" t="s">
        <v>10670</v>
      </c>
      <c r="L1684" s="1">
        <v>2</v>
      </c>
      <c r="M1684" s="1"/>
      <c r="N1684" s="1"/>
      <c r="O1684" s="3"/>
    </row>
    <row r="1685" spans="1:15" ht="409.6">
      <c r="A1685" t="s">
        <v>10671</v>
      </c>
      <c r="B1685" t="s">
        <v>10672</v>
      </c>
      <c r="C1685" t="s">
        <v>10255</v>
      </c>
      <c r="D1685" t="s">
        <v>23</v>
      </c>
      <c r="E1685">
        <v>30</v>
      </c>
      <c r="F1685" s="2" t="s">
        <v>10673</v>
      </c>
      <c r="G1685" s="2" t="s">
        <v>10674</v>
      </c>
      <c r="H1685" s="2" t="s">
        <v>10675</v>
      </c>
      <c r="I1685" s="2" t="s">
        <v>10676</v>
      </c>
      <c r="J1685" t="s">
        <v>10677</v>
      </c>
      <c r="L1685" s="1">
        <v>2</v>
      </c>
      <c r="M1685" s="1"/>
      <c r="N1685" s="1"/>
      <c r="O1685" s="3"/>
    </row>
    <row r="1686" spans="1:15" ht="409.6">
      <c r="A1686" t="s">
        <v>10678</v>
      </c>
      <c r="B1686" t="s">
        <v>10679</v>
      </c>
      <c r="C1686" t="s">
        <v>10255</v>
      </c>
      <c r="D1686" t="s">
        <v>23</v>
      </c>
      <c r="E1686">
        <v>30</v>
      </c>
      <c r="F1686" s="2" t="s">
        <v>10680</v>
      </c>
      <c r="G1686" s="2" t="s">
        <v>10681</v>
      </c>
      <c r="H1686" s="2" t="s">
        <v>10682</v>
      </c>
      <c r="I1686" s="2" t="s">
        <v>10683</v>
      </c>
      <c r="J1686" t="s">
        <v>10684</v>
      </c>
      <c r="L1686" s="1">
        <v>2</v>
      </c>
      <c r="M1686" s="1"/>
      <c r="N1686" s="1"/>
      <c r="O1686" s="3"/>
    </row>
    <row r="1687" spans="1:15" ht="409.6">
      <c r="A1687" t="s">
        <v>10685</v>
      </c>
      <c r="B1687" t="s">
        <v>10686</v>
      </c>
      <c r="C1687" t="s">
        <v>10255</v>
      </c>
      <c r="D1687" t="s">
        <v>23</v>
      </c>
      <c r="E1687">
        <v>25</v>
      </c>
      <c r="F1687" s="2" t="s">
        <v>10687</v>
      </c>
      <c r="G1687" s="2" t="s">
        <v>10688</v>
      </c>
      <c r="H1687" s="2" t="s">
        <v>10689</v>
      </c>
      <c r="I1687" s="2" t="s">
        <v>10690</v>
      </c>
      <c r="J1687" t="s">
        <v>10691</v>
      </c>
      <c r="L1687" s="1">
        <v>2</v>
      </c>
      <c r="M1687" s="1"/>
      <c r="N1687" s="1"/>
      <c r="O1687" s="3"/>
    </row>
    <row r="1688" spans="1:15" ht="409.6">
      <c r="A1688" t="s">
        <v>10692</v>
      </c>
      <c r="B1688" t="s">
        <v>10693</v>
      </c>
      <c r="C1688" t="s">
        <v>10255</v>
      </c>
      <c r="D1688" t="s">
        <v>23</v>
      </c>
      <c r="E1688">
        <v>20</v>
      </c>
      <c r="F1688" s="2" t="s">
        <v>10694</v>
      </c>
      <c r="G1688" s="2" t="s">
        <v>10695</v>
      </c>
      <c r="H1688" s="2" t="s">
        <v>10696</v>
      </c>
      <c r="I1688" s="2" t="s">
        <v>10697</v>
      </c>
      <c r="J1688" t="s">
        <v>10698</v>
      </c>
      <c r="L1688" s="1">
        <v>2</v>
      </c>
      <c r="M1688" s="1"/>
      <c r="N1688" s="1"/>
      <c r="O1688" s="3"/>
    </row>
    <row r="1689" spans="1:15" ht="409.6">
      <c r="A1689" t="s">
        <v>10699</v>
      </c>
      <c r="B1689" t="s">
        <v>10700</v>
      </c>
      <c r="C1689" t="s">
        <v>10255</v>
      </c>
      <c r="D1689" t="s">
        <v>23</v>
      </c>
      <c r="E1689">
        <v>25</v>
      </c>
      <c r="F1689" s="2" t="s">
        <v>10701</v>
      </c>
      <c r="G1689" s="2" t="s">
        <v>10702</v>
      </c>
      <c r="H1689" s="2" t="s">
        <v>10703</v>
      </c>
      <c r="I1689" s="2" t="s">
        <v>10704</v>
      </c>
      <c r="J1689" t="s">
        <v>10705</v>
      </c>
      <c r="L1689" s="1">
        <v>2</v>
      </c>
      <c r="M1689" s="1"/>
      <c r="N1689" s="1"/>
      <c r="O1689" s="3"/>
    </row>
    <row r="1690" spans="1:15" ht="409.6">
      <c r="A1690" t="s">
        <v>10706</v>
      </c>
      <c r="B1690" t="s">
        <v>10707</v>
      </c>
      <c r="C1690" t="s">
        <v>10255</v>
      </c>
      <c r="D1690" t="s">
        <v>23</v>
      </c>
      <c r="E1690">
        <v>30</v>
      </c>
      <c r="F1690" s="2" t="s">
        <v>10708</v>
      </c>
      <c r="G1690" s="2" t="s">
        <v>10709</v>
      </c>
      <c r="H1690" s="2" t="s">
        <v>10710</v>
      </c>
      <c r="I1690" s="2" t="s">
        <v>10711</v>
      </c>
      <c r="J1690" t="s">
        <v>10712</v>
      </c>
      <c r="L1690" s="1">
        <v>2</v>
      </c>
      <c r="M1690" s="1"/>
      <c r="N1690" s="1"/>
      <c r="O1690" s="3"/>
    </row>
    <row r="1691" spans="1:15" ht="409.6">
      <c r="A1691" t="s">
        <v>10713</v>
      </c>
      <c r="B1691" t="s">
        <v>10714</v>
      </c>
      <c r="C1691" t="s">
        <v>10255</v>
      </c>
      <c r="D1691" t="s">
        <v>23</v>
      </c>
      <c r="E1691">
        <v>25</v>
      </c>
      <c r="F1691" s="2" t="s">
        <v>10715</v>
      </c>
      <c r="G1691" s="2" t="s">
        <v>10716</v>
      </c>
      <c r="H1691" s="2" t="s">
        <v>10717</v>
      </c>
      <c r="I1691" s="2" t="s">
        <v>10718</v>
      </c>
      <c r="J1691" t="s">
        <v>10719</v>
      </c>
      <c r="L1691" s="1">
        <v>2</v>
      </c>
      <c r="M1691" s="1"/>
      <c r="N1691" s="1"/>
      <c r="O1691" s="3"/>
    </row>
    <row r="1692" spans="1:15" ht="409.6">
      <c r="A1692" t="s">
        <v>10720</v>
      </c>
      <c r="B1692" t="s">
        <v>10721</v>
      </c>
      <c r="C1692" t="s">
        <v>10255</v>
      </c>
      <c r="D1692" t="s">
        <v>23</v>
      </c>
      <c r="E1692">
        <v>25</v>
      </c>
      <c r="F1692" s="2" t="s">
        <v>10722</v>
      </c>
      <c r="G1692" s="2" t="s">
        <v>10723</v>
      </c>
      <c r="H1692" s="2" t="s">
        <v>10724</v>
      </c>
      <c r="I1692" s="2" t="s">
        <v>10725</v>
      </c>
      <c r="J1692" t="s">
        <v>10726</v>
      </c>
      <c r="L1692" s="1">
        <v>2</v>
      </c>
      <c r="M1692" s="1"/>
      <c r="N1692" s="1"/>
      <c r="O1692" s="3"/>
    </row>
    <row r="1693" spans="1:15" ht="409.6">
      <c r="A1693" t="s">
        <v>7176</v>
      </c>
      <c r="B1693" t="s">
        <v>10727</v>
      </c>
      <c r="C1693" t="s">
        <v>10255</v>
      </c>
      <c r="D1693" t="s">
        <v>23</v>
      </c>
      <c r="E1693">
        <v>60</v>
      </c>
      <c r="F1693" s="2" t="s">
        <v>10728</v>
      </c>
      <c r="G1693" s="2" t="s">
        <v>10729</v>
      </c>
      <c r="H1693" s="2" t="s">
        <v>10730</v>
      </c>
      <c r="I1693" s="2" t="s">
        <v>10731</v>
      </c>
      <c r="J1693" t="s">
        <v>10732</v>
      </c>
      <c r="L1693" s="1">
        <v>2</v>
      </c>
      <c r="M1693" s="1"/>
      <c r="N1693" s="1"/>
      <c r="O1693" s="3"/>
    </row>
    <row r="1694" spans="1:15" ht="409.6">
      <c r="A1694" t="s">
        <v>10733</v>
      </c>
      <c r="B1694" t="s">
        <v>10734</v>
      </c>
      <c r="C1694" t="s">
        <v>10255</v>
      </c>
      <c r="D1694" t="s">
        <v>23</v>
      </c>
      <c r="E1694">
        <v>20</v>
      </c>
      <c r="F1694" s="2" t="s">
        <v>10735</v>
      </c>
      <c r="G1694" s="2" t="s">
        <v>10736</v>
      </c>
      <c r="H1694" s="2" t="s">
        <v>10737</v>
      </c>
      <c r="I1694" s="2" t="s">
        <v>10738</v>
      </c>
      <c r="J1694" t="s">
        <v>10739</v>
      </c>
      <c r="L1694" s="1">
        <v>2</v>
      </c>
      <c r="M1694" s="1"/>
      <c r="N1694" s="1"/>
      <c r="O1694" s="3"/>
    </row>
    <row r="1695" spans="1:15" ht="409.6">
      <c r="A1695" t="s">
        <v>10740</v>
      </c>
      <c r="B1695" t="s">
        <v>10741</v>
      </c>
      <c r="C1695" t="s">
        <v>10255</v>
      </c>
      <c r="D1695" t="s">
        <v>23</v>
      </c>
      <c r="E1695">
        <v>35</v>
      </c>
      <c r="F1695" s="2" t="s">
        <v>10742</v>
      </c>
      <c r="G1695" s="2" t="s">
        <v>10743</v>
      </c>
      <c r="H1695" s="2" t="s">
        <v>10744</v>
      </c>
      <c r="I1695" s="2" t="s">
        <v>10745</v>
      </c>
      <c r="J1695" t="s">
        <v>10746</v>
      </c>
      <c r="L1695" s="1">
        <v>2</v>
      </c>
      <c r="M1695" s="1"/>
      <c r="N1695" s="1"/>
      <c r="O1695" s="3"/>
    </row>
    <row r="1696" spans="1:15" ht="409.6">
      <c r="A1696" t="s">
        <v>10747</v>
      </c>
      <c r="B1696" t="s">
        <v>10748</v>
      </c>
      <c r="C1696" t="s">
        <v>10255</v>
      </c>
      <c r="D1696" t="s">
        <v>23</v>
      </c>
      <c r="E1696">
        <v>30</v>
      </c>
      <c r="F1696" s="2" t="s">
        <v>10749</v>
      </c>
      <c r="G1696" s="2" t="s">
        <v>10750</v>
      </c>
      <c r="H1696" s="2" t="s">
        <v>10751</v>
      </c>
      <c r="I1696" s="2" t="s">
        <v>10752</v>
      </c>
      <c r="J1696" t="s">
        <v>10753</v>
      </c>
      <c r="L1696" s="1">
        <v>2</v>
      </c>
      <c r="M1696" s="1"/>
      <c r="N1696" s="1"/>
      <c r="O1696" s="3"/>
    </row>
    <row r="1697" spans="1:15" ht="409.6">
      <c r="A1697" t="s">
        <v>10754</v>
      </c>
      <c r="B1697" t="s">
        <v>10755</v>
      </c>
      <c r="C1697" t="s">
        <v>10255</v>
      </c>
      <c r="D1697" t="s">
        <v>23</v>
      </c>
      <c r="E1697">
        <v>40</v>
      </c>
      <c r="F1697" s="2" t="s">
        <v>10756</v>
      </c>
      <c r="G1697" s="2" t="s">
        <v>10757</v>
      </c>
      <c r="H1697" s="2" t="s">
        <v>10758</v>
      </c>
      <c r="I1697" s="2" t="s">
        <v>10759</v>
      </c>
      <c r="J1697" t="s">
        <v>10760</v>
      </c>
      <c r="L1697" s="1">
        <v>2</v>
      </c>
      <c r="M1697" s="1"/>
      <c r="N1697" s="1"/>
      <c r="O1697" s="3"/>
    </row>
    <row r="1698" spans="1:15" ht="409.6">
      <c r="A1698" t="s">
        <v>10761</v>
      </c>
      <c r="B1698" t="s">
        <v>10762</v>
      </c>
      <c r="C1698" t="s">
        <v>10255</v>
      </c>
      <c r="D1698" t="s">
        <v>23</v>
      </c>
      <c r="E1698">
        <v>40</v>
      </c>
      <c r="F1698" s="2" t="s">
        <v>10763</v>
      </c>
      <c r="G1698" s="2" t="s">
        <v>10764</v>
      </c>
      <c r="H1698" s="2" t="s">
        <v>10765</v>
      </c>
      <c r="I1698" s="2" t="s">
        <v>10766</v>
      </c>
      <c r="J1698" t="s">
        <v>10767</v>
      </c>
      <c r="L1698" s="1">
        <v>2</v>
      </c>
      <c r="M1698" s="1"/>
      <c r="N1698" s="1"/>
      <c r="O1698" s="3"/>
    </row>
    <row r="1699" spans="1:15" ht="409.6">
      <c r="A1699" t="s">
        <v>10768</v>
      </c>
      <c r="B1699" t="s">
        <v>10769</v>
      </c>
      <c r="C1699" t="s">
        <v>10255</v>
      </c>
      <c r="D1699" t="s">
        <v>23</v>
      </c>
      <c r="E1699">
        <v>35</v>
      </c>
      <c r="F1699" s="2" t="s">
        <v>10770</v>
      </c>
      <c r="G1699" s="2" t="s">
        <v>10771</v>
      </c>
      <c r="H1699" s="2" t="s">
        <v>10772</v>
      </c>
      <c r="I1699" s="2" t="s">
        <v>10773</v>
      </c>
      <c r="J1699" t="s">
        <v>10774</v>
      </c>
      <c r="L1699" s="1">
        <v>2</v>
      </c>
      <c r="M1699" s="1"/>
      <c r="N1699" s="1"/>
      <c r="O1699" s="3"/>
    </row>
    <row r="1700" spans="1:15" ht="409.6">
      <c r="A1700" t="s">
        <v>10775</v>
      </c>
      <c r="B1700" t="s">
        <v>10776</v>
      </c>
      <c r="C1700" t="s">
        <v>10255</v>
      </c>
      <c r="D1700" t="s">
        <v>23</v>
      </c>
      <c r="E1700">
        <v>15</v>
      </c>
      <c r="F1700" s="2" t="s">
        <v>10777</v>
      </c>
      <c r="G1700" s="2" t="s">
        <v>10778</v>
      </c>
      <c r="H1700" s="2" t="s">
        <v>10779</v>
      </c>
      <c r="I1700" s="2" t="s">
        <v>10780</v>
      </c>
      <c r="J1700" t="s">
        <v>10781</v>
      </c>
      <c r="L1700" s="1">
        <v>2</v>
      </c>
      <c r="M1700" s="1"/>
      <c r="N1700" s="1"/>
      <c r="O1700" s="3"/>
    </row>
    <row r="1701" spans="1:15" ht="409.6">
      <c r="A1701" t="s">
        <v>10782</v>
      </c>
      <c r="B1701" t="s">
        <v>10783</v>
      </c>
      <c r="C1701" t="s">
        <v>10255</v>
      </c>
      <c r="D1701" t="s">
        <v>23</v>
      </c>
      <c r="E1701">
        <v>15</v>
      </c>
      <c r="F1701" s="2" t="s">
        <v>10784</v>
      </c>
      <c r="G1701" s="2" t="s">
        <v>10785</v>
      </c>
      <c r="H1701" s="2" t="s">
        <v>10786</v>
      </c>
      <c r="I1701" s="2" t="s">
        <v>10787</v>
      </c>
      <c r="J1701" t="s">
        <v>10788</v>
      </c>
      <c r="L1701" s="1">
        <v>2</v>
      </c>
      <c r="M1701" s="1"/>
      <c r="N1701" s="1"/>
      <c r="O1701" s="3"/>
    </row>
    <row r="1702" spans="1:15" ht="409.6">
      <c r="A1702" t="s">
        <v>10789</v>
      </c>
      <c r="B1702" t="s">
        <v>10790</v>
      </c>
      <c r="C1702" t="s">
        <v>10255</v>
      </c>
      <c r="D1702" t="s">
        <v>23</v>
      </c>
      <c r="E1702">
        <v>15</v>
      </c>
      <c r="F1702" s="2" t="s">
        <v>10791</v>
      </c>
      <c r="G1702" s="2" t="s">
        <v>10792</v>
      </c>
      <c r="H1702" s="2" t="s">
        <v>10793</v>
      </c>
      <c r="I1702" s="2" t="s">
        <v>10794</v>
      </c>
      <c r="J1702" t="s">
        <v>10795</v>
      </c>
      <c r="L1702" s="1">
        <v>2</v>
      </c>
      <c r="M1702" s="1"/>
      <c r="N1702" s="1"/>
      <c r="O1702" s="3"/>
    </row>
    <row r="1703" spans="1:15" ht="409.6">
      <c r="A1703" t="s">
        <v>10796</v>
      </c>
      <c r="B1703" t="s">
        <v>10797</v>
      </c>
      <c r="C1703" t="s">
        <v>10255</v>
      </c>
      <c r="D1703" t="s">
        <v>23</v>
      </c>
      <c r="E1703">
        <v>20</v>
      </c>
      <c r="F1703" s="2" t="s">
        <v>10798</v>
      </c>
      <c r="G1703" s="2" t="s">
        <v>10799</v>
      </c>
      <c r="H1703" s="2" t="s">
        <v>10800</v>
      </c>
      <c r="I1703" s="2" t="s">
        <v>10801</v>
      </c>
      <c r="J1703" t="s">
        <v>10802</v>
      </c>
      <c r="L1703" s="1">
        <v>2</v>
      </c>
      <c r="M1703" s="1"/>
      <c r="N1703" s="1"/>
      <c r="O1703" s="3"/>
    </row>
    <row r="1704" spans="1:15" ht="409.6">
      <c r="A1704" t="s">
        <v>10803</v>
      </c>
      <c r="B1704" t="s">
        <v>10804</v>
      </c>
      <c r="C1704" t="s">
        <v>10255</v>
      </c>
      <c r="D1704" t="s">
        <v>23</v>
      </c>
      <c r="E1704">
        <v>30</v>
      </c>
      <c r="F1704" s="2" t="s">
        <v>10805</v>
      </c>
      <c r="G1704" s="2" t="s">
        <v>10806</v>
      </c>
      <c r="H1704" s="2" t="s">
        <v>10807</v>
      </c>
      <c r="I1704" s="2" t="s">
        <v>10808</v>
      </c>
      <c r="J1704" t="s">
        <v>10809</v>
      </c>
      <c r="L1704" s="1">
        <v>2</v>
      </c>
      <c r="M1704" s="1"/>
      <c r="N1704" s="1"/>
      <c r="O1704" s="3"/>
    </row>
    <row r="1705" spans="1:15" ht="409.6">
      <c r="A1705" t="s">
        <v>10810</v>
      </c>
      <c r="B1705" t="s">
        <v>10811</v>
      </c>
      <c r="C1705" t="s">
        <v>10255</v>
      </c>
      <c r="D1705" t="s">
        <v>23</v>
      </c>
      <c r="E1705">
        <v>30</v>
      </c>
      <c r="F1705" s="2" t="s">
        <v>10812</v>
      </c>
      <c r="G1705" s="2" t="s">
        <v>10813</v>
      </c>
      <c r="H1705" s="2" t="s">
        <v>10814</v>
      </c>
      <c r="I1705" s="2" t="s">
        <v>10815</v>
      </c>
      <c r="J1705" t="s">
        <v>10816</v>
      </c>
      <c r="L1705" s="1">
        <v>2</v>
      </c>
      <c r="M1705" s="1"/>
      <c r="N1705" s="1"/>
      <c r="O1705" s="3"/>
    </row>
    <row r="1706" spans="1:15" ht="409.6">
      <c r="A1706" t="s">
        <v>10817</v>
      </c>
      <c r="B1706" t="s">
        <v>10818</v>
      </c>
      <c r="C1706" t="s">
        <v>10255</v>
      </c>
      <c r="D1706" t="s">
        <v>23</v>
      </c>
      <c r="E1706">
        <v>30</v>
      </c>
      <c r="F1706" s="2" t="s">
        <v>10819</v>
      </c>
      <c r="G1706" s="2" t="s">
        <v>10820</v>
      </c>
      <c r="H1706" s="2" t="s">
        <v>10821</v>
      </c>
      <c r="I1706" s="2" t="s">
        <v>10822</v>
      </c>
      <c r="J1706" t="s">
        <v>10823</v>
      </c>
      <c r="L1706" s="1">
        <v>2</v>
      </c>
      <c r="M1706" s="1"/>
      <c r="N1706" s="1"/>
      <c r="O1706" s="3"/>
    </row>
    <row r="1707" spans="1:15" ht="409.6">
      <c r="A1707" t="s">
        <v>10824</v>
      </c>
      <c r="B1707" t="s">
        <v>10825</v>
      </c>
      <c r="C1707" t="s">
        <v>10255</v>
      </c>
      <c r="D1707" t="s">
        <v>23</v>
      </c>
      <c r="E1707">
        <v>30</v>
      </c>
      <c r="F1707" s="2" t="s">
        <v>10826</v>
      </c>
      <c r="G1707" s="2" t="s">
        <v>10827</v>
      </c>
      <c r="H1707" s="2" t="s">
        <v>10828</v>
      </c>
      <c r="I1707" s="2" t="s">
        <v>10829</v>
      </c>
      <c r="J1707" t="s">
        <v>10830</v>
      </c>
      <c r="L1707" s="1">
        <v>2</v>
      </c>
      <c r="M1707" s="1"/>
      <c r="N1707" s="1"/>
      <c r="O1707" s="3"/>
    </row>
    <row r="1708" spans="1:15" ht="409.6">
      <c r="A1708" t="s">
        <v>10831</v>
      </c>
      <c r="B1708" t="s">
        <v>10832</v>
      </c>
      <c r="C1708" t="s">
        <v>10255</v>
      </c>
      <c r="D1708" t="s">
        <v>23</v>
      </c>
      <c r="E1708">
        <v>30</v>
      </c>
      <c r="F1708" s="2" t="s">
        <v>10833</v>
      </c>
      <c r="G1708" s="2" t="s">
        <v>10834</v>
      </c>
      <c r="H1708" s="2" t="s">
        <v>10835</v>
      </c>
      <c r="I1708" s="2" t="s">
        <v>10836</v>
      </c>
      <c r="J1708" t="s">
        <v>10837</v>
      </c>
      <c r="L1708" s="1">
        <v>2</v>
      </c>
      <c r="M1708" s="1"/>
      <c r="N1708" s="1"/>
      <c r="O1708" s="3"/>
    </row>
    <row r="1709" spans="1:15" ht="409.6">
      <c r="A1709" t="s">
        <v>10838</v>
      </c>
      <c r="B1709" t="s">
        <v>10839</v>
      </c>
      <c r="C1709" t="s">
        <v>10255</v>
      </c>
      <c r="D1709" t="s">
        <v>23</v>
      </c>
      <c r="E1709">
        <v>30</v>
      </c>
      <c r="F1709" s="2" t="s">
        <v>10840</v>
      </c>
      <c r="G1709" s="2" t="s">
        <v>10841</v>
      </c>
      <c r="H1709" s="2" t="s">
        <v>10842</v>
      </c>
      <c r="I1709" s="2" t="s">
        <v>10843</v>
      </c>
      <c r="J1709" t="s">
        <v>10844</v>
      </c>
      <c r="L1709" s="1">
        <v>2</v>
      </c>
      <c r="M1709" s="1"/>
      <c r="N1709" s="1"/>
      <c r="O1709" s="3"/>
    </row>
    <row r="1710" spans="1:15" ht="409.6">
      <c r="A1710" t="s">
        <v>10845</v>
      </c>
      <c r="B1710" t="s">
        <v>10846</v>
      </c>
      <c r="C1710" t="s">
        <v>10255</v>
      </c>
      <c r="D1710" t="s">
        <v>23</v>
      </c>
      <c r="E1710">
        <v>30</v>
      </c>
      <c r="F1710" s="2" t="s">
        <v>10847</v>
      </c>
      <c r="G1710" s="2" t="s">
        <v>10848</v>
      </c>
      <c r="H1710" s="2" t="s">
        <v>10849</v>
      </c>
      <c r="I1710" s="2" t="s">
        <v>10850</v>
      </c>
      <c r="J1710" t="s">
        <v>10851</v>
      </c>
      <c r="L1710" s="1">
        <v>2</v>
      </c>
      <c r="M1710" s="1"/>
      <c r="N1710" s="1"/>
      <c r="O1710" s="3"/>
    </row>
    <row r="1711" spans="1:15" ht="409.6">
      <c r="A1711" t="s">
        <v>10852</v>
      </c>
      <c r="B1711" t="s">
        <v>10853</v>
      </c>
      <c r="C1711" t="s">
        <v>10255</v>
      </c>
      <c r="D1711" t="s">
        <v>23</v>
      </c>
      <c r="E1711">
        <v>30</v>
      </c>
      <c r="F1711" s="2" t="s">
        <v>10854</v>
      </c>
      <c r="G1711" s="2" t="s">
        <v>10855</v>
      </c>
      <c r="H1711" s="2" t="s">
        <v>10856</v>
      </c>
      <c r="I1711" s="2" t="s">
        <v>10857</v>
      </c>
      <c r="J1711" t="s">
        <v>10858</v>
      </c>
      <c r="L1711" s="1">
        <v>2</v>
      </c>
      <c r="M1711" s="1"/>
      <c r="N1711" s="1"/>
      <c r="O1711" s="3"/>
    </row>
    <row r="1712" spans="1:15" ht="409.6">
      <c r="A1712" t="s">
        <v>10859</v>
      </c>
      <c r="B1712" t="s">
        <v>10860</v>
      </c>
      <c r="C1712" t="s">
        <v>10255</v>
      </c>
      <c r="D1712" t="s">
        <v>23</v>
      </c>
      <c r="E1712">
        <v>30</v>
      </c>
      <c r="F1712" s="2" t="s">
        <v>10861</v>
      </c>
      <c r="G1712" s="2" t="s">
        <v>10862</v>
      </c>
      <c r="H1712" s="2" t="s">
        <v>10863</v>
      </c>
      <c r="I1712" s="2" t="s">
        <v>10864</v>
      </c>
      <c r="J1712" t="s">
        <v>10865</v>
      </c>
      <c r="L1712" s="1">
        <v>2</v>
      </c>
      <c r="M1712" s="1"/>
      <c r="N1712" s="1"/>
      <c r="O1712" s="3"/>
    </row>
    <row r="1713" spans="1:15" ht="409.6">
      <c r="A1713" t="s">
        <v>10866</v>
      </c>
      <c r="B1713" t="s">
        <v>10867</v>
      </c>
      <c r="C1713" t="s">
        <v>10255</v>
      </c>
      <c r="D1713" t="s">
        <v>23</v>
      </c>
      <c r="E1713">
        <v>25</v>
      </c>
      <c r="F1713" s="2" t="s">
        <v>10868</v>
      </c>
      <c r="G1713" s="2" t="s">
        <v>10869</v>
      </c>
      <c r="H1713" s="2" t="s">
        <v>10870</v>
      </c>
      <c r="I1713" s="2" t="s">
        <v>10871</v>
      </c>
      <c r="J1713" t="s">
        <v>10872</v>
      </c>
      <c r="L1713" s="1">
        <v>2</v>
      </c>
      <c r="M1713" s="1"/>
      <c r="N1713" s="1"/>
      <c r="O1713" s="3"/>
    </row>
    <row r="1714" spans="1:15" ht="409.6">
      <c r="A1714" t="s">
        <v>10873</v>
      </c>
      <c r="B1714" t="s">
        <v>10874</v>
      </c>
      <c r="C1714" t="s">
        <v>10255</v>
      </c>
      <c r="D1714" t="s">
        <v>23</v>
      </c>
      <c r="E1714">
        <v>25</v>
      </c>
      <c r="F1714" s="2" t="s">
        <v>10875</v>
      </c>
      <c r="G1714" s="2" t="s">
        <v>10876</v>
      </c>
      <c r="H1714" s="2" t="s">
        <v>10877</v>
      </c>
      <c r="I1714" s="2" t="s">
        <v>10878</v>
      </c>
      <c r="J1714" t="s">
        <v>10879</v>
      </c>
      <c r="L1714" s="1">
        <v>2</v>
      </c>
      <c r="M1714" s="1"/>
      <c r="N1714" s="1"/>
      <c r="O1714" s="3"/>
    </row>
    <row r="1715" spans="1:15" ht="409.6">
      <c r="A1715" t="s">
        <v>10880</v>
      </c>
      <c r="B1715" t="s">
        <v>10881</v>
      </c>
      <c r="C1715" t="s">
        <v>10255</v>
      </c>
      <c r="D1715" t="s">
        <v>23</v>
      </c>
      <c r="E1715">
        <v>30</v>
      </c>
      <c r="F1715" s="2" t="s">
        <v>10882</v>
      </c>
      <c r="G1715" s="2" t="s">
        <v>10883</v>
      </c>
      <c r="H1715" s="2" t="s">
        <v>10884</v>
      </c>
      <c r="I1715" s="2" t="s">
        <v>10885</v>
      </c>
      <c r="J1715" t="s">
        <v>10886</v>
      </c>
      <c r="L1715" s="1">
        <v>2</v>
      </c>
      <c r="M1715" s="1"/>
      <c r="N1715" s="1"/>
      <c r="O1715" s="3"/>
    </row>
    <row r="1716" spans="1:15" ht="409.6">
      <c r="A1716" t="s">
        <v>10887</v>
      </c>
      <c r="B1716" t="s">
        <v>10888</v>
      </c>
      <c r="C1716" t="s">
        <v>10255</v>
      </c>
      <c r="D1716" t="s">
        <v>23</v>
      </c>
      <c r="E1716">
        <v>30</v>
      </c>
      <c r="F1716" s="2" t="s">
        <v>10889</v>
      </c>
      <c r="G1716" s="2" t="s">
        <v>10890</v>
      </c>
      <c r="H1716" s="2" t="s">
        <v>10891</v>
      </c>
      <c r="I1716" s="2" t="s">
        <v>10892</v>
      </c>
      <c r="J1716" t="s">
        <v>10893</v>
      </c>
      <c r="L1716" s="1">
        <v>2</v>
      </c>
      <c r="M1716" s="1"/>
      <c r="N1716" s="1"/>
      <c r="O1716" s="3"/>
    </row>
    <row r="1717" spans="1:15" ht="409.6">
      <c r="A1717" t="s">
        <v>10894</v>
      </c>
      <c r="B1717" t="s">
        <v>10895</v>
      </c>
      <c r="C1717" t="s">
        <v>10255</v>
      </c>
      <c r="D1717" t="s">
        <v>23</v>
      </c>
      <c r="E1717">
        <v>25</v>
      </c>
      <c r="F1717" s="2" t="s">
        <v>10896</v>
      </c>
      <c r="G1717" s="2" t="s">
        <v>10897</v>
      </c>
      <c r="H1717" s="2" t="s">
        <v>10898</v>
      </c>
      <c r="I1717" s="2" t="s">
        <v>10899</v>
      </c>
      <c r="J1717" t="s">
        <v>10900</v>
      </c>
      <c r="L1717" s="1">
        <v>2</v>
      </c>
      <c r="M1717" s="1"/>
      <c r="N1717" s="1"/>
      <c r="O1717" s="3"/>
    </row>
    <row r="1718" spans="1:15" ht="409.6">
      <c r="A1718" t="s">
        <v>10901</v>
      </c>
      <c r="B1718" t="s">
        <v>10686</v>
      </c>
      <c r="C1718" t="s">
        <v>10255</v>
      </c>
      <c r="D1718" t="s">
        <v>23</v>
      </c>
      <c r="E1718">
        <v>25</v>
      </c>
      <c r="F1718" s="2" t="s">
        <v>10902</v>
      </c>
      <c r="G1718" s="2" t="s">
        <v>10903</v>
      </c>
      <c r="H1718" s="2" t="s">
        <v>10904</v>
      </c>
      <c r="I1718" s="2" t="s">
        <v>10905</v>
      </c>
      <c r="J1718" t="s">
        <v>10906</v>
      </c>
      <c r="L1718" s="1">
        <v>2</v>
      </c>
      <c r="M1718" s="1"/>
      <c r="N1718" s="1"/>
      <c r="O1718" s="3"/>
    </row>
    <row r="1719" spans="1:15" ht="409.6">
      <c r="A1719" t="s">
        <v>10907</v>
      </c>
      <c r="B1719" t="s">
        <v>10908</v>
      </c>
      <c r="C1719" t="s">
        <v>10255</v>
      </c>
      <c r="D1719" t="s">
        <v>23</v>
      </c>
      <c r="E1719">
        <v>30</v>
      </c>
      <c r="F1719" s="2" t="s">
        <v>10909</v>
      </c>
      <c r="G1719" s="2" t="s">
        <v>10910</v>
      </c>
      <c r="H1719" s="2" t="s">
        <v>10911</v>
      </c>
      <c r="I1719" s="2" t="s">
        <v>10912</v>
      </c>
      <c r="J1719" t="s">
        <v>10913</v>
      </c>
      <c r="L1719" s="1">
        <v>2</v>
      </c>
      <c r="M1719" s="1"/>
      <c r="N1719" s="1"/>
      <c r="O1719" s="3"/>
    </row>
    <row r="1720" spans="1:15" ht="409.6">
      <c r="A1720" t="s">
        <v>10914</v>
      </c>
      <c r="B1720" t="s">
        <v>10915</v>
      </c>
      <c r="C1720" t="s">
        <v>10255</v>
      </c>
      <c r="D1720" t="s">
        <v>23</v>
      </c>
      <c r="E1720">
        <v>25</v>
      </c>
      <c r="F1720" s="2" t="s">
        <v>10916</v>
      </c>
      <c r="G1720" s="2" t="s">
        <v>10917</v>
      </c>
      <c r="H1720" s="2" t="s">
        <v>10918</v>
      </c>
      <c r="I1720" s="2" t="s">
        <v>10919</v>
      </c>
      <c r="J1720" t="s">
        <v>10920</v>
      </c>
      <c r="L1720" s="1">
        <v>2</v>
      </c>
      <c r="M1720" s="1"/>
      <c r="N1720" s="1"/>
      <c r="O1720" s="3"/>
    </row>
    <row r="1721" spans="1:15" ht="409.6">
      <c r="A1721" t="s">
        <v>10921</v>
      </c>
      <c r="B1721" t="s">
        <v>10922</v>
      </c>
      <c r="C1721" t="s">
        <v>10255</v>
      </c>
      <c r="D1721" t="s">
        <v>23</v>
      </c>
      <c r="E1721">
        <v>20</v>
      </c>
      <c r="F1721" s="2" t="s">
        <v>10923</v>
      </c>
      <c r="G1721" s="2" t="s">
        <v>10924</v>
      </c>
      <c r="H1721" s="2" t="s">
        <v>10925</v>
      </c>
      <c r="I1721" s="2" t="s">
        <v>10926</v>
      </c>
      <c r="J1721" t="s">
        <v>10927</v>
      </c>
      <c r="L1721" s="1">
        <v>2</v>
      </c>
      <c r="M1721" s="1"/>
      <c r="N1721" s="1"/>
      <c r="O1721" s="3"/>
    </row>
    <row r="1722" spans="1:15" ht="409.6">
      <c r="A1722" t="s">
        <v>10928</v>
      </c>
      <c r="B1722" t="s">
        <v>10929</v>
      </c>
      <c r="C1722" t="s">
        <v>10255</v>
      </c>
      <c r="D1722" t="s">
        <v>23</v>
      </c>
      <c r="E1722">
        <v>10</v>
      </c>
      <c r="F1722" s="2" t="s">
        <v>10930</v>
      </c>
      <c r="G1722" s="2" t="s">
        <v>10931</v>
      </c>
      <c r="H1722" s="2" t="s">
        <v>10932</v>
      </c>
      <c r="I1722" s="2" t="s">
        <v>10933</v>
      </c>
      <c r="J1722" t="s">
        <v>10934</v>
      </c>
      <c r="L1722" s="1">
        <v>2</v>
      </c>
      <c r="M1722" s="1"/>
      <c r="N1722" s="1"/>
      <c r="O1722" s="3"/>
    </row>
    <row r="1723" spans="1:15" ht="409.6">
      <c r="A1723" t="s">
        <v>10935</v>
      </c>
      <c r="B1723" t="s">
        <v>10936</v>
      </c>
      <c r="C1723" t="s">
        <v>10255</v>
      </c>
      <c r="D1723" t="s">
        <v>23</v>
      </c>
      <c r="E1723">
        <v>15</v>
      </c>
      <c r="F1723" s="2" t="s">
        <v>10937</v>
      </c>
      <c r="G1723" s="2" t="s">
        <v>10938</v>
      </c>
      <c r="H1723" s="2" t="s">
        <v>10939</v>
      </c>
      <c r="I1723" s="2" t="s">
        <v>10940</v>
      </c>
      <c r="J1723" t="s">
        <v>10941</v>
      </c>
      <c r="L1723" s="1">
        <v>2</v>
      </c>
      <c r="M1723" s="1"/>
      <c r="N1723" s="1"/>
      <c r="O1723" s="3"/>
    </row>
    <row r="1724" spans="1:15" ht="409.6">
      <c r="A1724" t="s">
        <v>10942</v>
      </c>
      <c r="B1724" t="s">
        <v>10943</v>
      </c>
      <c r="C1724" t="s">
        <v>10255</v>
      </c>
      <c r="D1724" t="s">
        <v>23</v>
      </c>
      <c r="E1724">
        <v>25</v>
      </c>
      <c r="F1724" s="2" t="s">
        <v>10944</v>
      </c>
      <c r="G1724" s="2" t="s">
        <v>10945</v>
      </c>
      <c r="H1724" s="2" t="s">
        <v>10946</v>
      </c>
      <c r="I1724" s="2" t="s">
        <v>10947</v>
      </c>
      <c r="J1724" t="s">
        <v>10948</v>
      </c>
      <c r="L1724" s="1">
        <v>2</v>
      </c>
      <c r="M1724" s="1"/>
      <c r="N1724" s="1"/>
      <c r="O1724" s="3"/>
    </row>
    <row r="1725" spans="1:15" ht="409.6">
      <c r="A1725" t="s">
        <v>10949</v>
      </c>
      <c r="B1725" s="2" t="s">
        <v>10950</v>
      </c>
      <c r="C1725" t="s">
        <v>10951</v>
      </c>
      <c r="D1725" t="s">
        <v>23</v>
      </c>
      <c r="E1725">
        <v>10</v>
      </c>
      <c r="F1725" s="2" t="s">
        <v>10952</v>
      </c>
      <c r="G1725" s="2" t="s">
        <v>10953</v>
      </c>
      <c r="H1725" s="2" t="s">
        <v>10954</v>
      </c>
      <c r="I1725" s="2" t="s">
        <v>10955</v>
      </c>
      <c r="J1725" t="s">
        <v>10956</v>
      </c>
      <c r="K1725" t="s">
        <v>10957</v>
      </c>
      <c r="L1725" s="1">
        <v>2</v>
      </c>
      <c r="M1725" s="1"/>
      <c r="N1725" s="1"/>
      <c r="O1725" s="3"/>
    </row>
    <row r="1726" spans="1:15" ht="409.6">
      <c r="A1726" t="s">
        <v>10958</v>
      </c>
      <c r="B1726" t="s">
        <v>10959</v>
      </c>
      <c r="C1726" t="s">
        <v>10951</v>
      </c>
      <c r="D1726" t="s">
        <v>23</v>
      </c>
      <c r="E1726">
        <v>20</v>
      </c>
      <c r="F1726" s="2" t="s">
        <v>10960</v>
      </c>
      <c r="G1726" s="2" t="s">
        <v>10961</v>
      </c>
      <c r="H1726" s="2" t="s">
        <v>10962</v>
      </c>
      <c r="I1726" s="2" t="s">
        <v>10963</v>
      </c>
      <c r="J1726" t="s">
        <v>10964</v>
      </c>
      <c r="K1726" t="s">
        <v>10965</v>
      </c>
      <c r="L1726" s="1">
        <v>2</v>
      </c>
      <c r="M1726" s="1"/>
      <c r="N1726" s="1"/>
      <c r="O1726" s="3"/>
    </row>
    <row r="1727" spans="1:15" ht="409.6">
      <c r="A1727" t="s">
        <v>10966</v>
      </c>
      <c r="B1727" t="s">
        <v>10967</v>
      </c>
      <c r="C1727" t="s">
        <v>10951</v>
      </c>
      <c r="D1727" t="s">
        <v>23</v>
      </c>
      <c r="E1727">
        <v>20</v>
      </c>
      <c r="F1727" s="2" t="s">
        <v>10968</v>
      </c>
      <c r="G1727" s="2" t="s">
        <v>10969</v>
      </c>
      <c r="H1727" s="2" t="s">
        <v>10970</v>
      </c>
      <c r="I1727" s="2" t="s">
        <v>10971</v>
      </c>
      <c r="J1727" t="s">
        <v>10972</v>
      </c>
      <c r="K1727" t="s">
        <v>10973</v>
      </c>
      <c r="L1727" s="1">
        <v>2</v>
      </c>
      <c r="M1727" s="1"/>
      <c r="N1727" s="1"/>
      <c r="O1727" s="3"/>
    </row>
    <row r="1728" spans="1:15" ht="409.6">
      <c r="A1728" t="s">
        <v>4059</v>
      </c>
      <c r="B1728" t="s">
        <v>4060</v>
      </c>
      <c r="C1728" t="s">
        <v>10951</v>
      </c>
      <c r="D1728" t="s">
        <v>23</v>
      </c>
      <c r="E1728">
        <v>10</v>
      </c>
      <c r="F1728" s="2" t="s">
        <v>10974</v>
      </c>
      <c r="G1728" s="2" t="s">
        <v>10975</v>
      </c>
      <c r="H1728" s="2" t="s">
        <v>9274</v>
      </c>
      <c r="I1728" s="2" t="s">
        <v>10976</v>
      </c>
      <c r="J1728" t="s">
        <v>10977</v>
      </c>
      <c r="K1728" t="s">
        <v>4067</v>
      </c>
      <c r="L1728" s="1">
        <v>2</v>
      </c>
      <c r="M1728" s="1"/>
      <c r="N1728" s="1"/>
      <c r="O1728" s="3"/>
    </row>
    <row r="1729" spans="1:15" ht="409.6">
      <c r="A1729" t="s">
        <v>4100</v>
      </c>
      <c r="B1729" t="s">
        <v>4101</v>
      </c>
      <c r="C1729" t="s">
        <v>10951</v>
      </c>
      <c r="D1729" t="s">
        <v>23</v>
      </c>
      <c r="E1729">
        <v>25</v>
      </c>
      <c r="F1729" s="2" t="s">
        <v>10978</v>
      </c>
      <c r="G1729" s="2" t="s">
        <v>10979</v>
      </c>
      <c r="H1729" s="2" t="s">
        <v>10980</v>
      </c>
      <c r="I1729" s="2" t="s">
        <v>10981</v>
      </c>
      <c r="J1729" t="s">
        <v>10982</v>
      </c>
      <c r="K1729" t="s">
        <v>4107</v>
      </c>
      <c r="L1729" s="1">
        <v>2</v>
      </c>
      <c r="M1729" s="1"/>
      <c r="N1729" s="1"/>
      <c r="O1729" s="3"/>
    </row>
    <row r="1730" spans="1:15" ht="409.6">
      <c r="A1730" t="s">
        <v>4152</v>
      </c>
      <c r="B1730" t="s">
        <v>4153</v>
      </c>
      <c r="C1730" t="s">
        <v>10951</v>
      </c>
      <c r="D1730" t="s">
        <v>23</v>
      </c>
      <c r="E1730">
        <v>25</v>
      </c>
      <c r="F1730" s="2" t="s">
        <v>10983</v>
      </c>
      <c r="G1730" s="2" t="s">
        <v>10984</v>
      </c>
      <c r="H1730" s="2" t="s">
        <v>10985</v>
      </c>
      <c r="I1730" s="2" t="s">
        <v>10986</v>
      </c>
      <c r="J1730" t="s">
        <v>10987</v>
      </c>
      <c r="L1730" s="1">
        <v>2</v>
      </c>
      <c r="M1730" s="1"/>
      <c r="N1730" s="1"/>
      <c r="O1730" s="3"/>
    </row>
    <row r="1731" spans="1:15" ht="409.6">
      <c r="A1731" t="s">
        <v>4172</v>
      </c>
      <c r="B1731" t="s">
        <v>4173</v>
      </c>
      <c r="C1731" t="s">
        <v>10951</v>
      </c>
      <c r="D1731" t="s">
        <v>23</v>
      </c>
      <c r="E1731">
        <v>15</v>
      </c>
      <c r="F1731" s="2" t="s">
        <v>10988</v>
      </c>
      <c r="G1731" s="2" t="s">
        <v>10989</v>
      </c>
      <c r="H1731" s="2" t="s">
        <v>10990</v>
      </c>
      <c r="I1731" s="2" t="s">
        <v>10991</v>
      </c>
      <c r="J1731" t="s">
        <v>10992</v>
      </c>
      <c r="L1731" s="1">
        <v>2</v>
      </c>
      <c r="M1731" s="1"/>
      <c r="N1731" s="1"/>
      <c r="O1731" s="3"/>
    </row>
    <row r="1732" spans="1:15" ht="409.6">
      <c r="A1732" t="s">
        <v>10993</v>
      </c>
      <c r="B1732" t="s">
        <v>10994</v>
      </c>
      <c r="C1732" t="s">
        <v>10951</v>
      </c>
      <c r="D1732" t="s">
        <v>23</v>
      </c>
      <c r="E1732">
        <v>20</v>
      </c>
      <c r="F1732" s="2" t="s">
        <v>10995</v>
      </c>
      <c r="G1732" s="2" t="s">
        <v>10996</v>
      </c>
      <c r="H1732" s="2" t="s">
        <v>10997</v>
      </c>
      <c r="I1732" s="2" t="s">
        <v>10998</v>
      </c>
      <c r="J1732" t="s">
        <v>10999</v>
      </c>
      <c r="L1732" s="1">
        <v>2</v>
      </c>
      <c r="M1732" s="1"/>
      <c r="N1732" s="1"/>
      <c r="O1732" s="3"/>
    </row>
    <row r="1733" spans="1:15" ht="409.6">
      <c r="A1733" t="s">
        <v>11000</v>
      </c>
      <c r="B1733" t="s">
        <v>11001</v>
      </c>
      <c r="C1733" t="s">
        <v>10951</v>
      </c>
      <c r="D1733" t="s">
        <v>23</v>
      </c>
      <c r="E1733">
        <v>20</v>
      </c>
      <c r="F1733" s="2" t="s">
        <v>11002</v>
      </c>
      <c r="G1733" s="2" t="s">
        <v>11003</v>
      </c>
      <c r="H1733" s="2" t="s">
        <v>11004</v>
      </c>
      <c r="I1733" s="2" t="s">
        <v>11005</v>
      </c>
      <c r="J1733" t="s">
        <v>11006</v>
      </c>
      <c r="L1733" s="1">
        <v>2</v>
      </c>
      <c r="M1733" s="1"/>
      <c r="N1733" s="1"/>
      <c r="O1733" s="3"/>
    </row>
    <row r="1734" spans="1:15" ht="409.6">
      <c r="A1734" t="s">
        <v>11007</v>
      </c>
      <c r="B1734" t="s">
        <v>11008</v>
      </c>
      <c r="C1734" t="s">
        <v>10951</v>
      </c>
      <c r="D1734" t="s">
        <v>23</v>
      </c>
      <c r="E1734">
        <v>15</v>
      </c>
      <c r="F1734" s="2" t="s">
        <v>11009</v>
      </c>
      <c r="G1734" s="2" t="s">
        <v>11010</v>
      </c>
      <c r="H1734" s="2" t="s">
        <v>11011</v>
      </c>
      <c r="I1734" s="2" t="s">
        <v>11012</v>
      </c>
      <c r="J1734" t="s">
        <v>11013</v>
      </c>
      <c r="L1734" s="1">
        <v>2</v>
      </c>
      <c r="M1734" s="1"/>
      <c r="N1734" s="1"/>
      <c r="O1734" s="3"/>
    </row>
    <row r="1735" spans="1:15" ht="409.6">
      <c r="A1735" t="s">
        <v>11014</v>
      </c>
      <c r="B1735" t="s">
        <v>11015</v>
      </c>
      <c r="C1735" t="s">
        <v>10951</v>
      </c>
      <c r="D1735" t="s">
        <v>23</v>
      </c>
      <c r="E1735">
        <v>10</v>
      </c>
      <c r="F1735" s="2" t="s">
        <v>11016</v>
      </c>
      <c r="G1735" s="2" t="s">
        <v>11017</v>
      </c>
      <c r="H1735" s="2" t="s">
        <v>11018</v>
      </c>
      <c r="I1735" s="2" t="s">
        <v>11019</v>
      </c>
      <c r="J1735" t="s">
        <v>11020</v>
      </c>
      <c r="L1735" s="1">
        <v>2</v>
      </c>
      <c r="M1735" s="1"/>
      <c r="N1735" s="1"/>
      <c r="O1735" s="3"/>
    </row>
    <row r="1736" spans="1:15" ht="409.6">
      <c r="A1736" t="s">
        <v>4294</v>
      </c>
      <c r="B1736" t="s">
        <v>4295</v>
      </c>
      <c r="C1736" t="s">
        <v>10951</v>
      </c>
      <c r="D1736" t="s">
        <v>23</v>
      </c>
      <c r="E1736">
        <v>10</v>
      </c>
      <c r="F1736" s="2" t="s">
        <v>11021</v>
      </c>
      <c r="G1736" s="2" t="s">
        <v>11022</v>
      </c>
      <c r="H1736" s="2" t="s">
        <v>11023</v>
      </c>
      <c r="I1736" s="2" t="s">
        <v>11024</v>
      </c>
      <c r="J1736" t="s">
        <v>11025</v>
      </c>
      <c r="L1736" s="1">
        <v>2</v>
      </c>
      <c r="M1736" s="1"/>
      <c r="N1736" s="1"/>
      <c r="O1736" s="3"/>
    </row>
    <row r="1737" spans="1:15" ht="409.6">
      <c r="A1737" t="s">
        <v>11026</v>
      </c>
      <c r="B1737" t="s">
        <v>11027</v>
      </c>
      <c r="C1737" t="s">
        <v>10951</v>
      </c>
      <c r="D1737" t="s">
        <v>23</v>
      </c>
      <c r="E1737">
        <v>10</v>
      </c>
      <c r="F1737" s="2" t="s">
        <v>11028</v>
      </c>
      <c r="G1737" s="2" t="s">
        <v>11029</v>
      </c>
      <c r="H1737" s="2" t="s">
        <v>11030</v>
      </c>
      <c r="I1737" s="2" t="s">
        <v>11031</v>
      </c>
      <c r="J1737" t="s">
        <v>11032</v>
      </c>
      <c r="L1737" s="1">
        <v>2</v>
      </c>
      <c r="M1737" s="1"/>
      <c r="N1737" s="1"/>
      <c r="O1737" s="3"/>
    </row>
    <row r="1738" spans="1:15" ht="409.6">
      <c r="A1738" t="s">
        <v>4362</v>
      </c>
      <c r="B1738" t="s">
        <v>4363</v>
      </c>
      <c r="C1738" t="s">
        <v>10951</v>
      </c>
      <c r="D1738" t="s">
        <v>23</v>
      </c>
      <c r="E1738">
        <v>10</v>
      </c>
      <c r="F1738" s="2" t="s">
        <v>11033</v>
      </c>
      <c r="G1738" s="2" t="s">
        <v>11034</v>
      </c>
      <c r="H1738" s="2" t="s">
        <v>11035</v>
      </c>
      <c r="I1738" s="2" t="s">
        <v>11036</v>
      </c>
      <c r="J1738" t="s">
        <v>11037</v>
      </c>
      <c r="L1738" s="1">
        <v>2</v>
      </c>
      <c r="M1738" s="1"/>
      <c r="N1738" s="1"/>
      <c r="O1738" s="3"/>
    </row>
    <row r="1739" spans="1:15" ht="409.6">
      <c r="A1739" t="s">
        <v>11038</v>
      </c>
      <c r="B1739" t="s">
        <v>11039</v>
      </c>
      <c r="C1739" t="s">
        <v>10951</v>
      </c>
      <c r="D1739" t="s">
        <v>23</v>
      </c>
      <c r="E1739">
        <v>10</v>
      </c>
      <c r="F1739" s="2" t="s">
        <v>11040</v>
      </c>
      <c r="G1739" s="2" t="s">
        <v>11041</v>
      </c>
      <c r="H1739" s="2" t="s">
        <v>11042</v>
      </c>
      <c r="I1739" s="2" t="s">
        <v>11043</v>
      </c>
      <c r="J1739" t="s">
        <v>11044</v>
      </c>
      <c r="L1739" s="1">
        <v>2</v>
      </c>
      <c r="M1739" s="1"/>
      <c r="N1739" s="1"/>
      <c r="O1739" s="3"/>
    </row>
    <row r="1740" spans="1:15" ht="409.6">
      <c r="A1740" t="s">
        <v>4390</v>
      </c>
      <c r="B1740" t="s">
        <v>4391</v>
      </c>
      <c r="C1740" t="s">
        <v>10951</v>
      </c>
      <c r="D1740" t="s">
        <v>23</v>
      </c>
      <c r="E1740">
        <v>30</v>
      </c>
      <c r="F1740" s="2" t="s">
        <v>11045</v>
      </c>
      <c r="G1740" s="2" t="s">
        <v>11046</v>
      </c>
      <c r="H1740" s="2" t="s">
        <v>11047</v>
      </c>
      <c r="I1740" s="2" t="s">
        <v>11048</v>
      </c>
      <c r="J1740" t="s">
        <v>11049</v>
      </c>
      <c r="L1740" s="1">
        <v>2</v>
      </c>
      <c r="M1740" s="1"/>
      <c r="N1740" s="1"/>
      <c r="O1740" s="3"/>
    </row>
    <row r="1741" spans="1:15" ht="409.6">
      <c r="A1741" t="s">
        <v>11050</v>
      </c>
      <c r="B1741" t="s">
        <v>11051</v>
      </c>
      <c r="C1741" t="s">
        <v>10951</v>
      </c>
      <c r="D1741" t="s">
        <v>23</v>
      </c>
      <c r="E1741">
        <v>15</v>
      </c>
      <c r="F1741" s="2" t="s">
        <v>11052</v>
      </c>
      <c r="G1741" s="2" t="s">
        <v>11053</v>
      </c>
      <c r="H1741" s="2" t="s">
        <v>11054</v>
      </c>
      <c r="I1741" s="2" t="s">
        <v>11055</v>
      </c>
      <c r="J1741" t="s">
        <v>11056</v>
      </c>
      <c r="L1741" s="1">
        <v>2</v>
      </c>
      <c r="M1741" s="1"/>
      <c r="N1741" s="1"/>
      <c r="O1741" s="3"/>
    </row>
    <row r="1742" spans="1:15" ht="409.6">
      <c r="A1742" t="s">
        <v>11057</v>
      </c>
      <c r="B1742" t="s">
        <v>11058</v>
      </c>
      <c r="C1742" t="s">
        <v>10951</v>
      </c>
      <c r="D1742" t="s">
        <v>23</v>
      </c>
      <c r="E1742">
        <v>10</v>
      </c>
      <c r="F1742" s="2" t="s">
        <v>11059</v>
      </c>
      <c r="G1742" s="2" t="s">
        <v>11060</v>
      </c>
      <c r="H1742" s="2" t="s">
        <v>11061</v>
      </c>
      <c r="I1742" s="2" t="s">
        <v>11062</v>
      </c>
      <c r="J1742" t="s">
        <v>11063</v>
      </c>
      <c r="L1742" s="1">
        <v>2</v>
      </c>
      <c r="M1742" s="1"/>
      <c r="N1742" s="1"/>
      <c r="O1742" s="3"/>
    </row>
    <row r="1743" spans="1:15" ht="409.6">
      <c r="A1743" t="s">
        <v>4527</v>
      </c>
      <c r="B1743" t="s">
        <v>4528</v>
      </c>
      <c r="C1743" t="s">
        <v>10951</v>
      </c>
      <c r="D1743" t="s">
        <v>23</v>
      </c>
      <c r="E1743">
        <v>15</v>
      </c>
      <c r="F1743" s="2" t="s">
        <v>11064</v>
      </c>
      <c r="G1743" s="2" t="s">
        <v>11065</v>
      </c>
      <c r="H1743" s="2" t="s">
        <v>11066</v>
      </c>
      <c r="I1743" s="2" t="s">
        <v>11067</v>
      </c>
      <c r="J1743" t="s">
        <v>4533</v>
      </c>
      <c r="L1743" s="1">
        <v>2</v>
      </c>
      <c r="M1743" s="1"/>
      <c r="N1743" s="1"/>
      <c r="O1743" s="3"/>
    </row>
    <row r="1744" spans="1:15" ht="409.6">
      <c r="A1744" t="s">
        <v>4555</v>
      </c>
      <c r="B1744" t="s">
        <v>4556</v>
      </c>
      <c r="C1744" t="s">
        <v>10951</v>
      </c>
      <c r="D1744" t="s">
        <v>23</v>
      </c>
      <c r="E1744">
        <v>15</v>
      </c>
      <c r="F1744" s="2" t="s">
        <v>11068</v>
      </c>
      <c r="G1744" s="2" t="s">
        <v>11069</v>
      </c>
      <c r="H1744" s="2" t="s">
        <v>11070</v>
      </c>
      <c r="I1744" s="2" t="s">
        <v>11071</v>
      </c>
      <c r="J1744" t="s">
        <v>11072</v>
      </c>
      <c r="L1744" s="1">
        <v>2</v>
      </c>
      <c r="M1744" s="1"/>
      <c r="N1744" s="1"/>
      <c r="O1744" s="3"/>
    </row>
    <row r="1745" spans="1:15" ht="409.6">
      <c r="A1745" t="s">
        <v>11073</v>
      </c>
      <c r="B1745" t="s">
        <v>11074</v>
      </c>
      <c r="C1745" t="s">
        <v>10951</v>
      </c>
      <c r="D1745" t="s">
        <v>23</v>
      </c>
      <c r="E1745">
        <v>20</v>
      </c>
      <c r="F1745" s="2" t="s">
        <v>11075</v>
      </c>
      <c r="G1745" s="2" t="s">
        <v>11076</v>
      </c>
      <c r="H1745" s="2" t="s">
        <v>11077</v>
      </c>
      <c r="I1745" s="2" t="s">
        <v>11078</v>
      </c>
      <c r="J1745" t="s">
        <v>11079</v>
      </c>
      <c r="L1745" s="1">
        <v>2</v>
      </c>
      <c r="M1745" s="1"/>
      <c r="N1745" s="1"/>
      <c r="O1745" s="3"/>
    </row>
    <row r="1746" spans="1:15" ht="409.6">
      <c r="A1746" t="s">
        <v>4674</v>
      </c>
      <c r="B1746" t="s">
        <v>4675</v>
      </c>
      <c r="C1746" t="s">
        <v>10951</v>
      </c>
      <c r="D1746" t="s">
        <v>23</v>
      </c>
      <c r="E1746">
        <v>15</v>
      </c>
      <c r="F1746" s="2" t="s">
        <v>11080</v>
      </c>
      <c r="G1746" s="2" t="s">
        <v>11081</v>
      </c>
      <c r="H1746" s="2" t="s">
        <v>11082</v>
      </c>
      <c r="I1746" s="2" t="s">
        <v>11083</v>
      </c>
      <c r="J1746" t="s">
        <v>11084</v>
      </c>
      <c r="L1746" s="1">
        <v>2</v>
      </c>
      <c r="M1746" s="1"/>
      <c r="N1746" s="1"/>
      <c r="O1746" s="3"/>
    </row>
    <row r="1747" spans="1:15" ht="409.6">
      <c r="A1747" t="s">
        <v>4688</v>
      </c>
      <c r="B1747" t="s">
        <v>4689</v>
      </c>
      <c r="C1747" t="s">
        <v>10951</v>
      </c>
      <c r="D1747" t="s">
        <v>23</v>
      </c>
      <c r="E1747">
        <v>20</v>
      </c>
      <c r="F1747" s="2" t="s">
        <v>11085</v>
      </c>
      <c r="G1747" s="2" t="s">
        <v>11086</v>
      </c>
      <c r="H1747" s="2" t="s">
        <v>4692</v>
      </c>
      <c r="I1747" s="2" t="s">
        <v>11087</v>
      </c>
      <c r="J1747" t="s">
        <v>11088</v>
      </c>
      <c r="K1747" t="s">
        <v>11089</v>
      </c>
      <c r="L1747" s="1">
        <v>2</v>
      </c>
      <c r="M1747" s="1"/>
      <c r="N1747" s="1"/>
      <c r="O1747" s="3"/>
    </row>
    <row r="1748" spans="1:15" ht="409.6">
      <c r="A1748" t="s">
        <v>11090</v>
      </c>
      <c r="B1748" t="s">
        <v>11091</v>
      </c>
      <c r="C1748" t="s">
        <v>10951</v>
      </c>
      <c r="D1748" t="s">
        <v>23</v>
      </c>
      <c r="E1748">
        <v>20</v>
      </c>
      <c r="F1748" s="2" t="s">
        <v>11092</v>
      </c>
      <c r="G1748" s="2" t="s">
        <v>11093</v>
      </c>
      <c r="H1748" s="2" t="s">
        <v>11094</v>
      </c>
      <c r="I1748" s="2" t="s">
        <v>11095</v>
      </c>
      <c r="J1748" t="s">
        <v>11096</v>
      </c>
      <c r="L1748" s="1">
        <v>2</v>
      </c>
      <c r="M1748" s="1"/>
      <c r="N1748" s="1"/>
      <c r="O1748" s="3"/>
    </row>
    <row r="1749" spans="1:15" ht="409.6">
      <c r="A1749" t="s">
        <v>4702</v>
      </c>
      <c r="B1749" t="s">
        <v>4703</v>
      </c>
      <c r="C1749" t="s">
        <v>10951</v>
      </c>
      <c r="D1749" t="s">
        <v>23</v>
      </c>
      <c r="E1749">
        <v>20</v>
      </c>
      <c r="F1749" s="2" t="s">
        <v>11097</v>
      </c>
      <c r="G1749" s="2" t="s">
        <v>4705</v>
      </c>
      <c r="H1749" s="2" t="s">
        <v>11098</v>
      </c>
      <c r="I1749" s="2" t="s">
        <v>11099</v>
      </c>
      <c r="J1749" t="s">
        <v>11100</v>
      </c>
      <c r="L1749" s="1">
        <v>2</v>
      </c>
      <c r="M1749" s="1"/>
      <c r="N1749" s="1"/>
      <c r="O1749" s="3"/>
    </row>
    <row r="1750" spans="1:15" ht="409.6">
      <c r="A1750" t="s">
        <v>4771</v>
      </c>
      <c r="B1750" t="s">
        <v>11101</v>
      </c>
      <c r="C1750" t="s">
        <v>145</v>
      </c>
      <c r="D1750" t="s">
        <v>23</v>
      </c>
      <c r="E1750">
        <v>20</v>
      </c>
      <c r="F1750" s="2" t="s">
        <v>11102</v>
      </c>
      <c r="G1750" s="2" t="s">
        <v>11103</v>
      </c>
      <c r="H1750" s="2" t="s">
        <v>11104</v>
      </c>
      <c r="I1750" s="2" t="s">
        <v>11105</v>
      </c>
      <c r="J1750" t="s">
        <v>11106</v>
      </c>
      <c r="L1750" s="1">
        <v>2</v>
      </c>
      <c r="M1750" s="1"/>
      <c r="N1750" s="1"/>
      <c r="O1750" s="3"/>
    </row>
    <row r="1751" spans="1:15" ht="409.6">
      <c r="A1751" t="s">
        <v>11107</v>
      </c>
      <c r="B1751" t="s">
        <v>11108</v>
      </c>
      <c r="C1751" t="s">
        <v>145</v>
      </c>
      <c r="D1751" t="s">
        <v>23</v>
      </c>
      <c r="E1751">
        <v>5</v>
      </c>
      <c r="F1751" s="2" t="s">
        <v>11109</v>
      </c>
      <c r="G1751" s="2" t="s">
        <v>11110</v>
      </c>
      <c r="H1751" s="2" t="s">
        <v>4878</v>
      </c>
      <c r="I1751" s="2" t="s">
        <v>4879</v>
      </c>
      <c r="J1751" t="s">
        <v>11111</v>
      </c>
      <c r="L1751" s="1">
        <v>2</v>
      </c>
      <c r="M1751" s="1"/>
      <c r="N1751" s="1"/>
      <c r="O1751" s="3"/>
    </row>
    <row r="1752" spans="1:15" ht="409.6">
      <c r="A1752" t="s">
        <v>4881</v>
      </c>
      <c r="B1752" t="s">
        <v>4882</v>
      </c>
      <c r="C1752" t="s">
        <v>145</v>
      </c>
      <c r="D1752" t="s">
        <v>23</v>
      </c>
      <c r="E1752">
        <v>20</v>
      </c>
      <c r="F1752" s="2" t="s">
        <v>11112</v>
      </c>
      <c r="G1752" s="2" t="s">
        <v>11113</v>
      </c>
      <c r="H1752" s="2" t="s">
        <v>11114</v>
      </c>
      <c r="I1752" s="2" t="s">
        <v>11115</v>
      </c>
      <c r="J1752" t="s">
        <v>4887</v>
      </c>
      <c r="L1752" s="1">
        <v>2</v>
      </c>
      <c r="M1752" s="1"/>
      <c r="N1752" s="1"/>
      <c r="O1752" s="3"/>
    </row>
    <row r="1753" spans="1:15" ht="409.6">
      <c r="A1753" t="s">
        <v>4902</v>
      </c>
      <c r="B1753" t="s">
        <v>4903</v>
      </c>
      <c r="C1753" t="s">
        <v>145</v>
      </c>
      <c r="D1753" t="s">
        <v>23</v>
      </c>
      <c r="E1753">
        <v>15</v>
      </c>
      <c r="F1753" s="2" t="s">
        <v>11116</v>
      </c>
      <c r="G1753" s="2" t="s">
        <v>11117</v>
      </c>
      <c r="H1753" s="2" t="s">
        <v>11118</v>
      </c>
      <c r="I1753" s="2" t="s">
        <v>11119</v>
      </c>
      <c r="J1753" t="s">
        <v>11120</v>
      </c>
      <c r="L1753" s="1">
        <v>2</v>
      </c>
      <c r="M1753" s="1"/>
      <c r="N1753" s="1"/>
      <c r="O1753" s="3"/>
    </row>
    <row r="1754" spans="1:15" ht="409.6">
      <c r="A1754" t="s">
        <v>4923</v>
      </c>
      <c r="B1754" t="s">
        <v>4924</v>
      </c>
      <c r="C1754" t="s">
        <v>145</v>
      </c>
      <c r="D1754" t="s">
        <v>23</v>
      </c>
      <c r="E1754">
        <v>10</v>
      </c>
      <c r="F1754" s="2" t="s">
        <v>11121</v>
      </c>
      <c r="G1754" s="2" t="s">
        <v>11122</v>
      </c>
      <c r="H1754" s="2" t="s">
        <v>11123</v>
      </c>
      <c r="I1754" s="2" t="s">
        <v>11124</v>
      </c>
      <c r="J1754" t="s">
        <v>11125</v>
      </c>
      <c r="L1754" s="1">
        <v>2</v>
      </c>
      <c r="M1754" s="1"/>
      <c r="N1754" s="1"/>
      <c r="O1754" s="3"/>
    </row>
    <row r="1755" spans="1:15" ht="409.6">
      <c r="A1755" t="s">
        <v>4930</v>
      </c>
      <c r="B1755" t="s">
        <v>4931</v>
      </c>
      <c r="C1755" t="s">
        <v>145</v>
      </c>
      <c r="D1755" t="s">
        <v>23</v>
      </c>
      <c r="E1755">
        <v>10</v>
      </c>
      <c r="F1755" s="2" t="s">
        <v>11126</v>
      </c>
      <c r="G1755" s="2" t="s">
        <v>11127</v>
      </c>
      <c r="H1755" s="2" t="s">
        <v>11128</v>
      </c>
      <c r="I1755" s="2" t="s">
        <v>11129</v>
      </c>
      <c r="J1755" t="s">
        <v>11130</v>
      </c>
      <c r="L1755" s="1">
        <v>2</v>
      </c>
      <c r="M1755" s="1"/>
      <c r="N1755" s="1"/>
      <c r="O1755" s="3"/>
    </row>
    <row r="1756" spans="1:15" ht="409.6">
      <c r="A1756" t="s">
        <v>11131</v>
      </c>
      <c r="B1756" t="s">
        <v>11132</v>
      </c>
      <c r="C1756" t="s">
        <v>145</v>
      </c>
      <c r="D1756" t="s">
        <v>23</v>
      </c>
      <c r="E1756">
        <v>20</v>
      </c>
      <c r="F1756" s="2" t="s">
        <v>11133</v>
      </c>
      <c r="G1756" s="2" t="s">
        <v>11134</v>
      </c>
      <c r="H1756" s="2" t="s">
        <v>11135</v>
      </c>
      <c r="I1756" s="2" t="s">
        <v>11136</v>
      </c>
      <c r="J1756" t="s">
        <v>11137</v>
      </c>
      <c r="L1756" s="1">
        <v>2</v>
      </c>
      <c r="M1756" s="1"/>
      <c r="N1756" s="1"/>
      <c r="O1756" s="3"/>
    </row>
    <row r="1757" spans="1:15" ht="409.6">
      <c r="A1757" t="s">
        <v>11138</v>
      </c>
      <c r="B1757" t="s">
        <v>11139</v>
      </c>
      <c r="C1757" t="s">
        <v>145</v>
      </c>
      <c r="D1757" t="s">
        <v>23</v>
      </c>
      <c r="E1757">
        <v>20</v>
      </c>
      <c r="F1757" s="2" t="s">
        <v>11140</v>
      </c>
      <c r="G1757" s="2" t="s">
        <v>11141</v>
      </c>
      <c r="H1757" s="2" t="s">
        <v>11142</v>
      </c>
      <c r="I1757" s="2" t="s">
        <v>11143</v>
      </c>
      <c r="J1757" t="s">
        <v>11144</v>
      </c>
      <c r="L1757" s="1">
        <v>2</v>
      </c>
      <c r="M1757" s="1"/>
      <c r="N1757" s="1"/>
      <c r="O1757" s="3"/>
    </row>
    <row r="1758" spans="1:15" ht="409.6">
      <c r="A1758" t="s">
        <v>5050</v>
      </c>
      <c r="B1758" t="s">
        <v>5051</v>
      </c>
      <c r="C1758" t="s">
        <v>145</v>
      </c>
      <c r="D1758" t="s">
        <v>23</v>
      </c>
      <c r="E1758">
        <v>20</v>
      </c>
      <c r="F1758" s="2" t="s">
        <v>11145</v>
      </c>
      <c r="G1758" s="2" t="s">
        <v>11146</v>
      </c>
      <c r="H1758" s="2" t="s">
        <v>5054</v>
      </c>
      <c r="I1758" s="2" t="s">
        <v>5055</v>
      </c>
      <c r="J1758" t="s">
        <v>5056</v>
      </c>
      <c r="L1758" s="1">
        <v>2</v>
      </c>
      <c r="M1758" s="1"/>
      <c r="N1758" s="1"/>
      <c r="O1758" s="3"/>
    </row>
    <row r="1759" spans="1:15" ht="409.6">
      <c r="A1759" t="s">
        <v>11147</v>
      </c>
      <c r="B1759" t="s">
        <v>11148</v>
      </c>
      <c r="C1759" t="s">
        <v>145</v>
      </c>
      <c r="D1759" t="s">
        <v>23</v>
      </c>
      <c r="E1759">
        <v>20</v>
      </c>
      <c r="F1759" s="2" t="s">
        <v>11149</v>
      </c>
      <c r="G1759" s="2" t="s">
        <v>11150</v>
      </c>
      <c r="H1759" s="2" t="s">
        <v>11151</v>
      </c>
      <c r="I1759" s="2" t="s">
        <v>11152</v>
      </c>
      <c r="J1759" t="s">
        <v>11153</v>
      </c>
      <c r="L1759" s="1">
        <v>2</v>
      </c>
      <c r="M1759" s="1"/>
      <c r="N1759" s="1"/>
      <c r="O1759" s="3"/>
    </row>
    <row r="1760" spans="1:15" ht="409.6">
      <c r="A1760" t="s">
        <v>5071</v>
      </c>
      <c r="B1760" t="s">
        <v>5072</v>
      </c>
      <c r="C1760" t="s">
        <v>145</v>
      </c>
      <c r="D1760" t="s">
        <v>23</v>
      </c>
      <c r="E1760">
        <v>15</v>
      </c>
      <c r="F1760" s="2" t="s">
        <v>11154</v>
      </c>
      <c r="G1760" s="2" t="s">
        <v>11155</v>
      </c>
      <c r="H1760" s="2" t="s">
        <v>11156</v>
      </c>
      <c r="I1760" s="2" t="s">
        <v>11157</v>
      </c>
      <c r="J1760" t="s">
        <v>5077</v>
      </c>
      <c r="L1760" s="1">
        <v>2</v>
      </c>
      <c r="M1760" s="1"/>
      <c r="N1760" s="1"/>
      <c r="O1760" s="3"/>
    </row>
    <row r="1761" spans="1:15" ht="409.6">
      <c r="A1761" t="s">
        <v>11158</v>
      </c>
      <c r="B1761" t="s">
        <v>11159</v>
      </c>
      <c r="C1761" t="s">
        <v>145</v>
      </c>
      <c r="D1761" t="s">
        <v>23</v>
      </c>
      <c r="E1761">
        <v>20</v>
      </c>
      <c r="F1761" s="2" t="s">
        <v>11160</v>
      </c>
      <c r="G1761" s="2" t="s">
        <v>11161</v>
      </c>
      <c r="H1761" s="2" t="s">
        <v>11162</v>
      </c>
      <c r="I1761" s="2" t="s">
        <v>11163</v>
      </c>
      <c r="J1761" t="s">
        <v>11164</v>
      </c>
      <c r="L1761" s="1">
        <v>2</v>
      </c>
      <c r="M1761" s="1"/>
      <c r="N1761" s="1"/>
      <c r="O1761" s="3"/>
    </row>
    <row r="1762" spans="1:15" ht="409.6">
      <c r="A1762" t="s">
        <v>5092</v>
      </c>
      <c r="B1762" t="s">
        <v>5093</v>
      </c>
      <c r="C1762" t="s">
        <v>145</v>
      </c>
      <c r="D1762" t="s">
        <v>23</v>
      </c>
      <c r="E1762">
        <v>20</v>
      </c>
      <c r="F1762" s="2" t="s">
        <v>11165</v>
      </c>
      <c r="G1762" s="2" t="s">
        <v>11166</v>
      </c>
      <c r="H1762" s="2" t="s">
        <v>11167</v>
      </c>
      <c r="I1762" s="2" t="s">
        <v>11168</v>
      </c>
      <c r="J1762" t="s">
        <v>5098</v>
      </c>
      <c r="L1762" s="1">
        <v>2</v>
      </c>
      <c r="M1762" s="1"/>
      <c r="N1762" s="1"/>
      <c r="O1762" s="3"/>
    </row>
    <row r="1763" spans="1:15" ht="409.6">
      <c r="A1763" t="s">
        <v>5120</v>
      </c>
      <c r="B1763" t="s">
        <v>11169</v>
      </c>
      <c r="C1763" t="s">
        <v>145</v>
      </c>
      <c r="D1763" t="s">
        <v>23</v>
      </c>
      <c r="E1763">
        <v>20</v>
      </c>
      <c r="F1763" s="2" t="s">
        <v>11170</v>
      </c>
      <c r="G1763" s="2" t="s">
        <v>11171</v>
      </c>
      <c r="H1763" s="2" t="s">
        <v>11172</v>
      </c>
      <c r="I1763" s="2" t="s">
        <v>11173</v>
      </c>
      <c r="J1763" t="s">
        <v>11174</v>
      </c>
      <c r="L1763" s="1">
        <v>2</v>
      </c>
      <c r="M1763" s="1"/>
      <c r="N1763" s="1"/>
      <c r="O1763" s="3"/>
    </row>
    <row r="1764" spans="1:15" ht="409.6">
      <c r="A1764" t="s">
        <v>5127</v>
      </c>
      <c r="B1764" t="s">
        <v>5128</v>
      </c>
      <c r="C1764" t="s">
        <v>145</v>
      </c>
      <c r="D1764" t="s">
        <v>23</v>
      </c>
      <c r="E1764">
        <v>15</v>
      </c>
      <c r="F1764" s="2" t="s">
        <v>11175</v>
      </c>
      <c r="G1764" s="2" t="s">
        <v>11176</v>
      </c>
      <c r="H1764" s="2" t="s">
        <v>11177</v>
      </c>
      <c r="I1764" s="2" t="s">
        <v>5132</v>
      </c>
      <c r="J1764" t="s">
        <v>5133</v>
      </c>
      <c r="L1764" s="1">
        <v>2</v>
      </c>
      <c r="M1764" s="1"/>
      <c r="N1764" s="1"/>
      <c r="O1764" s="3"/>
    </row>
    <row r="1765" spans="1:15" ht="409.6">
      <c r="A1765" t="s">
        <v>5134</v>
      </c>
      <c r="B1765" t="s">
        <v>5135</v>
      </c>
      <c r="C1765" t="s">
        <v>145</v>
      </c>
      <c r="D1765" t="s">
        <v>23</v>
      </c>
      <c r="E1765">
        <v>15</v>
      </c>
      <c r="F1765" s="2" t="s">
        <v>11178</v>
      </c>
      <c r="G1765" s="2" t="s">
        <v>11179</v>
      </c>
      <c r="H1765" s="2" t="s">
        <v>11180</v>
      </c>
      <c r="I1765" s="2" t="s">
        <v>11181</v>
      </c>
      <c r="J1765" t="s">
        <v>11182</v>
      </c>
      <c r="L1765" s="1">
        <v>2</v>
      </c>
      <c r="M1765" s="1"/>
      <c r="N1765" s="1"/>
      <c r="O1765" s="3"/>
    </row>
    <row r="1766" spans="1:15" ht="409.6">
      <c r="A1766" t="s">
        <v>5141</v>
      </c>
      <c r="B1766" t="s">
        <v>5142</v>
      </c>
      <c r="C1766" t="s">
        <v>145</v>
      </c>
      <c r="D1766" t="s">
        <v>23</v>
      </c>
      <c r="E1766">
        <v>15</v>
      </c>
      <c r="F1766" s="2" t="s">
        <v>11183</v>
      </c>
      <c r="G1766" s="2" t="s">
        <v>11184</v>
      </c>
      <c r="H1766" s="2" t="s">
        <v>5145</v>
      </c>
      <c r="I1766" s="2" t="s">
        <v>5146</v>
      </c>
      <c r="J1766" t="s">
        <v>11185</v>
      </c>
      <c r="L1766" s="1">
        <v>2</v>
      </c>
      <c r="M1766" s="1"/>
      <c r="N1766" s="1"/>
      <c r="O1766" s="3"/>
    </row>
    <row r="1767" spans="1:15" ht="409.6">
      <c r="A1767" t="s">
        <v>5169</v>
      </c>
      <c r="B1767" t="s">
        <v>5170</v>
      </c>
      <c r="C1767" t="s">
        <v>145</v>
      </c>
      <c r="D1767" t="s">
        <v>23</v>
      </c>
      <c r="E1767">
        <v>20</v>
      </c>
      <c r="F1767" s="2" t="s">
        <v>11186</v>
      </c>
      <c r="G1767" s="2" t="s">
        <v>11187</v>
      </c>
      <c r="H1767" s="2" t="s">
        <v>5173</v>
      </c>
      <c r="I1767" s="2" t="s">
        <v>5174</v>
      </c>
      <c r="J1767" t="s">
        <v>11188</v>
      </c>
      <c r="L1767" s="1">
        <v>2</v>
      </c>
      <c r="M1767" s="1"/>
      <c r="N1767" s="1"/>
      <c r="O1767" s="3"/>
    </row>
    <row r="1768" spans="1:15" ht="409.6">
      <c r="A1768" t="s">
        <v>11189</v>
      </c>
      <c r="B1768" t="s">
        <v>11190</v>
      </c>
      <c r="C1768" t="s">
        <v>145</v>
      </c>
      <c r="D1768" t="s">
        <v>23</v>
      </c>
      <c r="E1768">
        <v>20</v>
      </c>
      <c r="F1768" s="2" t="s">
        <v>11191</v>
      </c>
      <c r="G1768" s="2" t="s">
        <v>11192</v>
      </c>
      <c r="H1768" s="2" t="s">
        <v>11193</v>
      </c>
      <c r="I1768" s="2" t="s">
        <v>11194</v>
      </c>
      <c r="J1768" t="s">
        <v>11195</v>
      </c>
      <c r="L1768" s="1">
        <v>2</v>
      </c>
      <c r="M1768" s="1"/>
      <c r="N1768" s="1"/>
      <c r="O1768" s="3"/>
    </row>
    <row r="1769" spans="1:15" ht="409.6">
      <c r="A1769" t="s">
        <v>11196</v>
      </c>
      <c r="B1769" t="s">
        <v>11197</v>
      </c>
      <c r="C1769" t="s">
        <v>145</v>
      </c>
      <c r="D1769" t="s">
        <v>23</v>
      </c>
      <c r="E1769">
        <v>15</v>
      </c>
      <c r="F1769" s="2" t="s">
        <v>11198</v>
      </c>
      <c r="G1769" s="2" t="s">
        <v>11199</v>
      </c>
      <c r="H1769" s="2" t="s">
        <v>11200</v>
      </c>
      <c r="I1769" s="2" t="s">
        <v>11201</v>
      </c>
      <c r="J1769" t="s">
        <v>11202</v>
      </c>
      <c r="L1769" s="1">
        <v>2</v>
      </c>
      <c r="M1769" s="1"/>
      <c r="N1769" s="1"/>
      <c r="O1769" s="3"/>
    </row>
    <row r="1770" spans="1:15" ht="409.6">
      <c r="A1770" t="s">
        <v>2741</v>
      </c>
      <c r="B1770" t="s">
        <v>9282</v>
      </c>
      <c r="C1770" t="s">
        <v>145</v>
      </c>
      <c r="D1770" t="s">
        <v>23</v>
      </c>
      <c r="E1770">
        <v>25</v>
      </c>
      <c r="F1770" s="2" t="s">
        <v>11203</v>
      </c>
      <c r="G1770" s="2" t="s">
        <v>9284</v>
      </c>
      <c r="H1770" s="2" t="s">
        <v>9285</v>
      </c>
      <c r="I1770" s="2" t="s">
        <v>9286</v>
      </c>
      <c r="J1770" t="s">
        <v>11204</v>
      </c>
      <c r="L1770" s="1">
        <v>2</v>
      </c>
      <c r="M1770" s="1"/>
      <c r="N1770" s="1"/>
      <c r="O1770" s="3"/>
    </row>
    <row r="1771" spans="1:15" ht="409.6">
      <c r="A1771" t="s">
        <v>11205</v>
      </c>
      <c r="B1771" t="s">
        <v>11206</v>
      </c>
      <c r="C1771" t="s">
        <v>145</v>
      </c>
      <c r="D1771" t="s">
        <v>23</v>
      </c>
      <c r="E1771">
        <v>15</v>
      </c>
      <c r="F1771" s="2" t="s">
        <v>11207</v>
      </c>
      <c r="G1771" s="2" t="s">
        <v>11208</v>
      </c>
      <c r="H1771" s="2" t="s">
        <v>11209</v>
      </c>
      <c r="I1771" s="2" t="s">
        <v>11210</v>
      </c>
      <c r="J1771" t="s">
        <v>11211</v>
      </c>
      <c r="L1771" s="1">
        <v>2</v>
      </c>
      <c r="M1771" s="1"/>
      <c r="N1771" s="1"/>
      <c r="O1771" s="3"/>
    </row>
    <row r="1772" spans="1:15" ht="409.6">
      <c r="A1772" t="s">
        <v>11212</v>
      </c>
      <c r="B1772" t="s">
        <v>11213</v>
      </c>
      <c r="C1772" t="s">
        <v>145</v>
      </c>
      <c r="D1772" t="s">
        <v>23</v>
      </c>
      <c r="E1772">
        <v>15</v>
      </c>
      <c r="F1772" s="2" t="s">
        <v>11214</v>
      </c>
      <c r="G1772" s="2" t="s">
        <v>11215</v>
      </c>
      <c r="H1772" s="2" t="s">
        <v>11216</v>
      </c>
      <c r="I1772" s="2" t="s">
        <v>11217</v>
      </c>
      <c r="J1772" t="s">
        <v>11218</v>
      </c>
      <c r="L1772" s="1">
        <v>2</v>
      </c>
      <c r="M1772" s="1"/>
      <c r="N1772" s="1"/>
      <c r="O1772" s="3"/>
    </row>
    <row r="1773" spans="1:15" ht="409.6">
      <c r="A1773" t="s">
        <v>5324</v>
      </c>
      <c r="B1773" t="s">
        <v>5325</v>
      </c>
      <c r="C1773" t="s">
        <v>145</v>
      </c>
      <c r="D1773" t="s">
        <v>23</v>
      </c>
      <c r="E1773">
        <v>25</v>
      </c>
      <c r="F1773" s="2" t="s">
        <v>11219</v>
      </c>
      <c r="G1773" s="2" t="s">
        <v>11220</v>
      </c>
      <c r="H1773" s="2" t="s">
        <v>5328</v>
      </c>
      <c r="I1773" s="2" t="s">
        <v>11221</v>
      </c>
      <c r="J1773" t="s">
        <v>11222</v>
      </c>
      <c r="L1773" s="1">
        <v>2</v>
      </c>
      <c r="M1773" s="1"/>
      <c r="N1773" s="1"/>
      <c r="O1773" s="3"/>
    </row>
    <row r="1774" spans="1:15" ht="409.6">
      <c r="A1774" t="s">
        <v>11223</v>
      </c>
      <c r="B1774" t="s">
        <v>11224</v>
      </c>
      <c r="C1774" t="s">
        <v>145</v>
      </c>
      <c r="D1774" t="s">
        <v>23</v>
      </c>
      <c r="E1774">
        <v>30</v>
      </c>
      <c r="F1774" s="2" t="s">
        <v>11225</v>
      </c>
      <c r="G1774" s="2" t="s">
        <v>11226</v>
      </c>
      <c r="H1774" s="2" t="s">
        <v>11227</v>
      </c>
      <c r="I1774" s="2" t="s">
        <v>11228</v>
      </c>
      <c r="J1774" t="s">
        <v>11229</v>
      </c>
      <c r="K1774" t="s">
        <v>11230</v>
      </c>
      <c r="L1774" s="1">
        <v>2</v>
      </c>
      <c r="M1774" s="1"/>
      <c r="N1774" s="1"/>
      <c r="O1774" s="3"/>
    </row>
    <row r="1775" spans="1:15" ht="409.6">
      <c r="A1775" t="s">
        <v>11231</v>
      </c>
      <c r="B1775" t="s">
        <v>11232</v>
      </c>
      <c r="C1775" t="s">
        <v>145</v>
      </c>
      <c r="D1775" t="s">
        <v>23</v>
      </c>
      <c r="E1775">
        <v>25</v>
      </c>
      <c r="F1775" s="2" t="s">
        <v>11233</v>
      </c>
      <c r="G1775" s="2" t="s">
        <v>11234</v>
      </c>
      <c r="H1775" s="2" t="s">
        <v>11235</v>
      </c>
      <c r="I1775" s="2" t="s">
        <v>11236</v>
      </c>
      <c r="J1775" t="s">
        <v>11237</v>
      </c>
      <c r="L1775" s="1">
        <v>2</v>
      </c>
      <c r="M1775" s="1"/>
      <c r="N1775" s="1"/>
      <c r="O1775" s="3"/>
    </row>
    <row r="1776" spans="1:15" ht="409.6">
      <c r="A1776" t="s">
        <v>11238</v>
      </c>
      <c r="B1776" t="s">
        <v>11239</v>
      </c>
      <c r="C1776" t="s">
        <v>145</v>
      </c>
      <c r="D1776" t="s">
        <v>23</v>
      </c>
      <c r="E1776">
        <v>30</v>
      </c>
      <c r="F1776" s="2" t="s">
        <v>11240</v>
      </c>
      <c r="G1776" s="2" t="s">
        <v>11241</v>
      </c>
      <c r="H1776" s="2" t="s">
        <v>11242</v>
      </c>
      <c r="I1776" s="2" t="s">
        <v>11243</v>
      </c>
      <c r="J1776" t="s">
        <v>11244</v>
      </c>
      <c r="L1776" s="1">
        <v>2</v>
      </c>
      <c r="M1776" s="1"/>
      <c r="N1776" s="1"/>
      <c r="O1776" s="3"/>
    </row>
    <row r="1777" spans="1:15" ht="409.6">
      <c r="A1777" t="s">
        <v>11245</v>
      </c>
      <c r="B1777" t="s">
        <v>11246</v>
      </c>
      <c r="C1777" t="s">
        <v>145</v>
      </c>
      <c r="D1777" t="s">
        <v>23</v>
      </c>
      <c r="E1777">
        <v>30</v>
      </c>
      <c r="F1777" s="2" t="s">
        <v>11247</v>
      </c>
      <c r="G1777" s="2" t="s">
        <v>11248</v>
      </c>
      <c r="H1777" s="2" t="s">
        <v>11249</v>
      </c>
      <c r="I1777" s="2" t="s">
        <v>11250</v>
      </c>
      <c r="J1777" t="s">
        <v>11251</v>
      </c>
      <c r="L1777" s="1">
        <v>2</v>
      </c>
      <c r="M1777" s="1"/>
      <c r="N1777" s="1"/>
      <c r="O1777" s="3"/>
    </row>
    <row r="1778" spans="1:15" ht="409.6">
      <c r="A1778" t="s">
        <v>11252</v>
      </c>
      <c r="B1778" t="s">
        <v>11253</v>
      </c>
      <c r="C1778" t="s">
        <v>145</v>
      </c>
      <c r="D1778" t="s">
        <v>23</v>
      </c>
      <c r="E1778">
        <v>30</v>
      </c>
      <c r="F1778" s="2" t="s">
        <v>11254</v>
      </c>
      <c r="G1778" s="2" t="s">
        <v>11255</v>
      </c>
      <c r="H1778" s="2" t="s">
        <v>11256</v>
      </c>
      <c r="I1778" s="2" t="s">
        <v>11257</v>
      </c>
      <c r="J1778" t="s">
        <v>11258</v>
      </c>
      <c r="L1778" s="1">
        <v>2</v>
      </c>
      <c r="M1778" s="1"/>
      <c r="N1778" s="1"/>
      <c r="O1778" s="3"/>
    </row>
    <row r="1779" spans="1:15" ht="409.6">
      <c r="A1779" t="s">
        <v>5391</v>
      </c>
      <c r="B1779" s="2" t="s">
        <v>11259</v>
      </c>
      <c r="C1779" t="s">
        <v>145</v>
      </c>
      <c r="D1779" t="s">
        <v>23</v>
      </c>
      <c r="E1779">
        <v>15</v>
      </c>
      <c r="F1779" s="2" t="s">
        <v>11260</v>
      </c>
      <c r="G1779" s="2" t="s">
        <v>11261</v>
      </c>
      <c r="H1779" s="2" t="s">
        <v>5395</v>
      </c>
      <c r="I1779" s="2" t="s">
        <v>5396</v>
      </c>
      <c r="J1779" t="s">
        <v>11262</v>
      </c>
      <c r="L1779" s="1">
        <v>2</v>
      </c>
      <c r="M1779" s="1"/>
      <c r="N1779" s="1"/>
      <c r="O1779" s="3"/>
    </row>
    <row r="1780" spans="1:15" ht="409.6">
      <c r="A1780" t="s">
        <v>5398</v>
      </c>
      <c r="B1780" t="s">
        <v>5399</v>
      </c>
      <c r="C1780" t="s">
        <v>145</v>
      </c>
      <c r="D1780" t="s">
        <v>23</v>
      </c>
      <c r="E1780">
        <v>15</v>
      </c>
      <c r="F1780" s="2" t="s">
        <v>11263</v>
      </c>
      <c r="G1780" s="2" t="s">
        <v>11264</v>
      </c>
      <c r="H1780" s="2" t="s">
        <v>5402</v>
      </c>
      <c r="I1780" s="2" t="s">
        <v>11265</v>
      </c>
      <c r="J1780" t="s">
        <v>11266</v>
      </c>
      <c r="L1780" s="1">
        <v>2</v>
      </c>
      <c r="M1780" s="1"/>
      <c r="N1780" s="1"/>
      <c r="O1780" s="3"/>
    </row>
    <row r="1781" spans="1:15" ht="409.6">
      <c r="A1781" t="s">
        <v>11267</v>
      </c>
      <c r="B1781" t="s">
        <v>11268</v>
      </c>
      <c r="C1781" t="s">
        <v>145</v>
      </c>
      <c r="D1781" t="s">
        <v>23</v>
      </c>
      <c r="E1781">
        <v>15</v>
      </c>
      <c r="F1781" s="2" t="s">
        <v>11269</v>
      </c>
      <c r="G1781" s="2" t="s">
        <v>11270</v>
      </c>
      <c r="H1781" s="2" t="s">
        <v>11271</v>
      </c>
      <c r="I1781" s="2" t="s">
        <v>11272</v>
      </c>
      <c r="J1781" t="s">
        <v>11273</v>
      </c>
      <c r="L1781" s="1">
        <v>2</v>
      </c>
      <c r="M1781" s="1"/>
      <c r="N1781" s="1"/>
      <c r="O1781" s="3"/>
    </row>
    <row r="1782" spans="1:15" ht="409.6">
      <c r="A1782" t="s">
        <v>11274</v>
      </c>
      <c r="B1782" t="s">
        <v>11275</v>
      </c>
      <c r="C1782" t="s">
        <v>145</v>
      </c>
      <c r="D1782" t="s">
        <v>23</v>
      </c>
      <c r="E1782">
        <v>10</v>
      </c>
      <c r="F1782" s="2" t="s">
        <v>11276</v>
      </c>
      <c r="G1782" s="2" t="s">
        <v>11277</v>
      </c>
      <c r="H1782" s="2" t="s">
        <v>11278</v>
      </c>
      <c r="I1782" s="2" t="s">
        <v>11279</v>
      </c>
      <c r="J1782" t="s">
        <v>11280</v>
      </c>
      <c r="L1782" s="1">
        <v>2</v>
      </c>
      <c r="M1782" s="1"/>
      <c r="N1782" s="1"/>
      <c r="O1782" s="3"/>
    </row>
    <row r="1783" spans="1:15" ht="409.6">
      <c r="A1783" t="s">
        <v>5450</v>
      </c>
      <c r="B1783" t="s">
        <v>5451</v>
      </c>
      <c r="C1783" t="s">
        <v>145</v>
      </c>
      <c r="D1783" t="s">
        <v>23</v>
      </c>
      <c r="E1783">
        <v>15</v>
      </c>
      <c r="F1783" s="2" t="s">
        <v>11281</v>
      </c>
      <c r="G1783" s="2" t="s">
        <v>11282</v>
      </c>
      <c r="H1783" s="2" t="s">
        <v>11283</v>
      </c>
      <c r="I1783" s="2" t="s">
        <v>11284</v>
      </c>
      <c r="J1783" t="s">
        <v>5456</v>
      </c>
      <c r="L1783" s="1">
        <v>2</v>
      </c>
      <c r="M1783" s="1"/>
      <c r="N1783" s="1"/>
      <c r="O1783" s="3"/>
    </row>
    <row r="1784" spans="1:15" ht="409.6">
      <c r="A1784" t="s">
        <v>9998</v>
      </c>
      <c r="B1784" t="s">
        <v>9999</v>
      </c>
      <c r="C1784" t="s">
        <v>145</v>
      </c>
      <c r="D1784" t="s">
        <v>23</v>
      </c>
      <c r="E1784">
        <v>15</v>
      </c>
      <c r="F1784" s="2" t="s">
        <v>11285</v>
      </c>
      <c r="G1784" s="2" t="s">
        <v>11286</v>
      </c>
      <c r="H1784" s="2" t="s">
        <v>11287</v>
      </c>
      <c r="I1784" s="2" t="s">
        <v>11288</v>
      </c>
      <c r="J1784" t="s">
        <v>10004</v>
      </c>
      <c r="L1784" s="1">
        <v>2</v>
      </c>
      <c r="M1784" s="1"/>
      <c r="N1784" s="1"/>
      <c r="O1784" s="3"/>
    </row>
    <row r="1785" spans="1:15" ht="409.6">
      <c r="A1785" t="s">
        <v>5519</v>
      </c>
      <c r="B1785" t="s">
        <v>5520</v>
      </c>
      <c r="C1785" t="s">
        <v>145</v>
      </c>
      <c r="D1785" t="s">
        <v>23</v>
      </c>
      <c r="E1785">
        <v>15</v>
      </c>
      <c r="F1785" s="2" t="s">
        <v>11289</v>
      </c>
      <c r="G1785" s="2" t="s">
        <v>11290</v>
      </c>
      <c r="H1785" s="2" t="s">
        <v>11291</v>
      </c>
      <c r="I1785" s="2" t="s">
        <v>11292</v>
      </c>
      <c r="J1785" t="s">
        <v>5525</v>
      </c>
      <c r="L1785" s="1">
        <v>2</v>
      </c>
      <c r="M1785" s="1"/>
      <c r="N1785" s="1"/>
      <c r="O1785" s="3"/>
    </row>
    <row r="1786" spans="1:15" ht="409.6">
      <c r="A1786" t="s">
        <v>5526</v>
      </c>
      <c r="B1786" t="s">
        <v>5527</v>
      </c>
      <c r="C1786" t="s">
        <v>145</v>
      </c>
      <c r="D1786" t="s">
        <v>23</v>
      </c>
      <c r="E1786">
        <v>15</v>
      </c>
      <c r="F1786" s="2" t="s">
        <v>11293</v>
      </c>
      <c r="G1786" s="2" t="s">
        <v>11294</v>
      </c>
      <c r="H1786" s="2" t="s">
        <v>11295</v>
      </c>
      <c r="I1786" s="2" t="s">
        <v>11296</v>
      </c>
      <c r="J1786" t="s">
        <v>11297</v>
      </c>
      <c r="L1786" s="1">
        <v>2</v>
      </c>
      <c r="M1786" s="1"/>
      <c r="N1786" s="1"/>
      <c r="O1786" s="3"/>
    </row>
    <row r="1787" spans="1:15" ht="409.6">
      <c r="A1787" t="s">
        <v>11298</v>
      </c>
      <c r="B1787" t="s">
        <v>11299</v>
      </c>
      <c r="C1787" t="s">
        <v>145</v>
      </c>
      <c r="D1787" t="s">
        <v>23</v>
      </c>
      <c r="E1787">
        <v>15</v>
      </c>
      <c r="F1787" s="2" t="s">
        <v>11300</v>
      </c>
      <c r="G1787" s="2" t="s">
        <v>11301</v>
      </c>
      <c r="H1787" s="2" t="s">
        <v>11302</v>
      </c>
      <c r="I1787" s="2" t="s">
        <v>11303</v>
      </c>
      <c r="J1787" t="s">
        <v>11304</v>
      </c>
      <c r="K1787" t="s">
        <v>11305</v>
      </c>
      <c r="L1787" s="1">
        <v>2</v>
      </c>
      <c r="M1787" s="1"/>
      <c r="N1787" s="1"/>
      <c r="O1787" s="3"/>
    </row>
    <row r="1788" spans="1:15" ht="409.6">
      <c r="A1788" t="s">
        <v>5606</v>
      </c>
      <c r="B1788" t="s">
        <v>5607</v>
      </c>
      <c r="C1788" t="s">
        <v>145</v>
      </c>
      <c r="D1788" t="s">
        <v>23</v>
      </c>
      <c r="E1788">
        <v>20</v>
      </c>
      <c r="F1788" s="2" t="s">
        <v>11306</v>
      </c>
      <c r="G1788" s="2" t="s">
        <v>11307</v>
      </c>
      <c r="H1788" s="2" t="s">
        <v>11308</v>
      </c>
      <c r="I1788" s="2" t="s">
        <v>11309</v>
      </c>
      <c r="J1788" t="s">
        <v>11310</v>
      </c>
      <c r="L1788" s="1">
        <v>2</v>
      </c>
      <c r="M1788" s="1"/>
      <c r="N1788" s="1"/>
      <c r="O1788" s="3"/>
    </row>
    <row r="1789" spans="1:15" ht="409.6">
      <c r="A1789" t="s">
        <v>5620</v>
      </c>
      <c r="B1789" t="s">
        <v>5621</v>
      </c>
      <c r="C1789" t="s">
        <v>145</v>
      </c>
      <c r="D1789" t="s">
        <v>23</v>
      </c>
      <c r="E1789">
        <v>30</v>
      </c>
      <c r="F1789" s="2" t="s">
        <v>11311</v>
      </c>
      <c r="G1789" s="2" t="s">
        <v>11312</v>
      </c>
      <c r="H1789" s="2" t="s">
        <v>11313</v>
      </c>
      <c r="I1789" s="2" t="s">
        <v>11314</v>
      </c>
      <c r="J1789" t="s">
        <v>11315</v>
      </c>
      <c r="L1789" s="1">
        <v>2</v>
      </c>
      <c r="M1789" s="1"/>
      <c r="N1789" s="1"/>
      <c r="O1789" s="3"/>
    </row>
    <row r="1790" spans="1:15" ht="409.6">
      <c r="A1790" t="s">
        <v>5634</v>
      </c>
      <c r="B1790" t="s">
        <v>5635</v>
      </c>
      <c r="C1790" t="s">
        <v>145</v>
      </c>
      <c r="D1790" t="s">
        <v>23</v>
      </c>
      <c r="E1790">
        <v>30</v>
      </c>
      <c r="F1790" s="2" t="s">
        <v>11316</v>
      </c>
      <c r="G1790" s="2" t="s">
        <v>11317</v>
      </c>
      <c r="H1790" s="2" t="s">
        <v>11318</v>
      </c>
      <c r="I1790" s="2" t="s">
        <v>11319</v>
      </c>
      <c r="J1790" t="s">
        <v>11320</v>
      </c>
      <c r="L1790" s="1">
        <v>2</v>
      </c>
      <c r="M1790" s="1"/>
      <c r="N1790" s="1"/>
      <c r="O1790" s="3"/>
    </row>
    <row r="1791" spans="1:15" ht="409.6">
      <c r="A1791" t="s">
        <v>5641</v>
      </c>
      <c r="B1791" t="s">
        <v>5642</v>
      </c>
      <c r="C1791" t="s">
        <v>145</v>
      </c>
      <c r="D1791" t="s">
        <v>23</v>
      </c>
      <c r="E1791">
        <v>25</v>
      </c>
      <c r="F1791" s="2" t="s">
        <v>11321</v>
      </c>
      <c r="G1791" s="2" t="s">
        <v>11322</v>
      </c>
      <c r="H1791" s="2" t="s">
        <v>11323</v>
      </c>
      <c r="I1791" s="2" t="s">
        <v>11324</v>
      </c>
      <c r="J1791" t="s">
        <v>11325</v>
      </c>
      <c r="L1791" s="1">
        <v>2</v>
      </c>
      <c r="M1791" s="1"/>
      <c r="N1791" s="1"/>
      <c r="O1791" s="3"/>
    </row>
    <row r="1792" spans="1:15" ht="409.6">
      <c r="A1792" t="s">
        <v>11326</v>
      </c>
      <c r="B1792" t="s">
        <v>11327</v>
      </c>
      <c r="C1792" t="s">
        <v>145</v>
      </c>
      <c r="D1792" t="s">
        <v>23</v>
      </c>
      <c r="E1792">
        <v>20</v>
      </c>
      <c r="F1792" s="2" t="s">
        <v>11328</v>
      </c>
      <c r="G1792" s="2" t="s">
        <v>11329</v>
      </c>
      <c r="H1792" s="2" t="s">
        <v>11330</v>
      </c>
      <c r="I1792" s="2" t="s">
        <v>11331</v>
      </c>
      <c r="J1792" t="s">
        <v>11332</v>
      </c>
      <c r="L1792" s="1">
        <v>2</v>
      </c>
      <c r="M1792" s="1"/>
      <c r="N1792" s="1"/>
      <c r="O1792" s="3"/>
    </row>
    <row r="1793" spans="1:15" ht="409.6">
      <c r="A1793" t="s">
        <v>11333</v>
      </c>
      <c r="B1793" t="s">
        <v>11334</v>
      </c>
      <c r="C1793" t="s">
        <v>10951</v>
      </c>
      <c r="D1793" t="s">
        <v>23</v>
      </c>
      <c r="E1793">
        <v>20</v>
      </c>
      <c r="F1793" s="2" t="s">
        <v>11335</v>
      </c>
      <c r="G1793" s="2" t="s">
        <v>11336</v>
      </c>
      <c r="H1793" s="2" t="s">
        <v>11337</v>
      </c>
      <c r="I1793" s="2" t="s">
        <v>11338</v>
      </c>
      <c r="J1793" t="s">
        <v>11339</v>
      </c>
      <c r="L1793" s="1">
        <v>2</v>
      </c>
      <c r="M1793" s="1"/>
      <c r="N1793" s="1"/>
      <c r="O1793" s="3"/>
    </row>
    <row r="1794" spans="1:15" ht="409.6">
      <c r="A1794" t="s">
        <v>5670</v>
      </c>
      <c r="B1794" t="s">
        <v>5671</v>
      </c>
      <c r="C1794" t="s">
        <v>10951</v>
      </c>
      <c r="D1794" t="s">
        <v>23</v>
      </c>
      <c r="E1794">
        <v>30</v>
      </c>
      <c r="F1794" s="2" t="s">
        <v>5672</v>
      </c>
      <c r="G1794" s="2" t="s">
        <v>5673</v>
      </c>
      <c r="H1794" s="2" t="s">
        <v>11340</v>
      </c>
      <c r="I1794" s="2" t="s">
        <v>11341</v>
      </c>
      <c r="J1794" t="s">
        <v>11342</v>
      </c>
      <c r="L1794" s="1">
        <v>2</v>
      </c>
      <c r="M1794" s="1"/>
      <c r="N1794" s="1"/>
      <c r="O1794" s="3"/>
    </row>
    <row r="1795" spans="1:15" ht="409.6">
      <c r="A1795" t="s">
        <v>5677</v>
      </c>
      <c r="B1795" t="s">
        <v>5678</v>
      </c>
      <c r="C1795" t="s">
        <v>10951</v>
      </c>
      <c r="D1795" t="s">
        <v>23</v>
      </c>
      <c r="E1795">
        <v>20</v>
      </c>
      <c r="F1795" s="2" t="s">
        <v>11343</v>
      </c>
      <c r="G1795" s="2" t="s">
        <v>11344</v>
      </c>
      <c r="H1795" s="2" t="s">
        <v>11345</v>
      </c>
      <c r="I1795" s="2" t="s">
        <v>11346</v>
      </c>
      <c r="J1795" t="s">
        <v>11347</v>
      </c>
      <c r="L1795" s="1">
        <v>2</v>
      </c>
      <c r="M1795" s="1"/>
      <c r="N1795" s="1"/>
      <c r="O1795" s="3"/>
    </row>
    <row r="1796" spans="1:15" ht="409.6">
      <c r="A1796" t="s">
        <v>5684</v>
      </c>
      <c r="B1796" t="s">
        <v>5685</v>
      </c>
      <c r="C1796" t="s">
        <v>10951</v>
      </c>
      <c r="D1796" t="s">
        <v>23</v>
      </c>
      <c r="E1796">
        <v>30</v>
      </c>
      <c r="F1796" s="2" t="s">
        <v>11348</v>
      </c>
      <c r="G1796" s="2" t="s">
        <v>11349</v>
      </c>
      <c r="H1796" s="2" t="s">
        <v>11350</v>
      </c>
      <c r="I1796" s="2" t="s">
        <v>11351</v>
      </c>
      <c r="J1796" t="s">
        <v>5690</v>
      </c>
      <c r="L1796" s="1">
        <v>2</v>
      </c>
      <c r="M1796" s="1"/>
      <c r="N1796" s="1"/>
      <c r="O1796" s="3"/>
    </row>
    <row r="1797" spans="1:15" ht="409.6">
      <c r="A1797" t="s">
        <v>9309</v>
      </c>
      <c r="B1797" t="s">
        <v>9310</v>
      </c>
      <c r="C1797" t="s">
        <v>10951</v>
      </c>
      <c r="D1797" t="s">
        <v>23</v>
      </c>
      <c r="E1797">
        <v>20</v>
      </c>
      <c r="F1797" s="2" t="s">
        <v>11352</v>
      </c>
      <c r="G1797" s="2" t="s">
        <v>11353</v>
      </c>
      <c r="H1797" s="2" t="s">
        <v>9313</v>
      </c>
      <c r="I1797" s="2" t="s">
        <v>11354</v>
      </c>
      <c r="J1797" t="s">
        <v>11355</v>
      </c>
      <c r="L1797" s="1">
        <v>2</v>
      </c>
      <c r="M1797" s="1"/>
      <c r="N1797" s="1"/>
      <c r="O1797" s="3"/>
    </row>
    <row r="1798" spans="1:15" ht="409.6">
      <c r="A1798" t="s">
        <v>2567</v>
      </c>
      <c r="B1798" t="s">
        <v>2568</v>
      </c>
      <c r="C1798" t="s">
        <v>10951</v>
      </c>
      <c r="D1798" t="s">
        <v>14</v>
      </c>
      <c r="E1798">
        <v>15</v>
      </c>
      <c r="F1798" s="2" t="s">
        <v>11356</v>
      </c>
      <c r="G1798" s="2" t="s">
        <v>11357</v>
      </c>
      <c r="H1798" s="2" t="s">
        <v>5700</v>
      </c>
      <c r="I1798" s="2" t="s">
        <v>11358</v>
      </c>
      <c r="J1798" t="s">
        <v>11359</v>
      </c>
      <c r="L1798" s="1">
        <v>2</v>
      </c>
      <c r="M1798" s="1"/>
      <c r="N1798" s="1"/>
      <c r="O1798" s="3"/>
    </row>
    <row r="1799" spans="1:15" ht="409.6">
      <c r="A1799" t="s">
        <v>1060</v>
      </c>
      <c r="B1799" t="s">
        <v>5703</v>
      </c>
      <c r="C1799" t="s">
        <v>10951</v>
      </c>
      <c r="D1799" t="s">
        <v>23</v>
      </c>
      <c r="E1799">
        <v>20</v>
      </c>
      <c r="F1799" s="2" t="s">
        <v>11360</v>
      </c>
      <c r="G1799" s="2" t="s">
        <v>11361</v>
      </c>
      <c r="H1799" s="2" t="s">
        <v>11362</v>
      </c>
      <c r="I1799" s="2" t="s">
        <v>11363</v>
      </c>
      <c r="J1799" t="s">
        <v>11364</v>
      </c>
      <c r="L1799" s="1">
        <v>2</v>
      </c>
      <c r="M1799" s="1"/>
      <c r="N1799" s="1"/>
      <c r="O1799" s="3"/>
    </row>
    <row r="1800" spans="1:15" ht="409.6">
      <c r="A1800" t="s">
        <v>11365</v>
      </c>
      <c r="B1800" t="s">
        <v>11366</v>
      </c>
      <c r="C1800" t="s">
        <v>10951</v>
      </c>
      <c r="D1800" t="s">
        <v>23</v>
      </c>
      <c r="E1800">
        <v>25</v>
      </c>
      <c r="F1800" s="2" t="s">
        <v>11367</v>
      </c>
      <c r="G1800" s="2" t="s">
        <v>11368</v>
      </c>
      <c r="H1800" s="2" t="s">
        <v>11369</v>
      </c>
      <c r="I1800" s="2" t="s">
        <v>11370</v>
      </c>
      <c r="J1800" t="s">
        <v>11371</v>
      </c>
      <c r="L1800" s="1">
        <v>2</v>
      </c>
      <c r="M1800" s="1"/>
      <c r="N1800" s="1"/>
      <c r="O1800" s="3"/>
    </row>
    <row r="1801" spans="1:15" ht="409.6">
      <c r="A1801" t="s">
        <v>5606</v>
      </c>
      <c r="B1801" t="s">
        <v>11372</v>
      </c>
      <c r="C1801" t="s">
        <v>10951</v>
      </c>
      <c r="D1801" t="s">
        <v>23</v>
      </c>
      <c r="E1801">
        <v>30</v>
      </c>
      <c r="F1801" s="2" t="s">
        <v>11373</v>
      </c>
      <c r="G1801" s="2" t="s">
        <v>11374</v>
      </c>
      <c r="H1801" s="2" t="s">
        <v>5764</v>
      </c>
      <c r="I1801" s="2" t="s">
        <v>5765</v>
      </c>
      <c r="J1801" t="s">
        <v>5973</v>
      </c>
      <c r="L1801" s="1">
        <v>2</v>
      </c>
      <c r="M1801" s="1"/>
      <c r="N1801" s="1"/>
      <c r="O1801" s="3"/>
    </row>
    <row r="1802" spans="1:15" ht="409.6">
      <c r="A1802" t="s">
        <v>11375</v>
      </c>
      <c r="B1802" t="s">
        <v>11376</v>
      </c>
      <c r="C1802" t="s">
        <v>10951</v>
      </c>
      <c r="D1802" t="s">
        <v>23</v>
      </c>
      <c r="E1802">
        <v>10</v>
      </c>
      <c r="F1802" s="2" t="s">
        <v>11377</v>
      </c>
      <c r="G1802" s="2" t="s">
        <v>11378</v>
      </c>
      <c r="H1802" s="2" t="s">
        <v>5892</v>
      </c>
      <c r="I1802" s="2" t="s">
        <v>11379</v>
      </c>
      <c r="J1802" t="s">
        <v>11297</v>
      </c>
      <c r="L1802" s="1">
        <v>2</v>
      </c>
      <c r="M1802" s="1"/>
      <c r="N1802" s="1"/>
      <c r="O1802" s="3"/>
    </row>
    <row r="1803" spans="1:15" ht="409.6">
      <c r="A1803" t="s">
        <v>2922</v>
      </c>
      <c r="B1803" t="s">
        <v>2923</v>
      </c>
      <c r="C1803" t="s">
        <v>10951</v>
      </c>
      <c r="D1803" t="s">
        <v>23</v>
      </c>
      <c r="E1803">
        <v>25</v>
      </c>
      <c r="F1803" s="2" t="s">
        <v>11380</v>
      </c>
      <c r="G1803" s="2" t="s">
        <v>11381</v>
      </c>
      <c r="H1803" s="2" t="s">
        <v>5971</v>
      </c>
      <c r="I1803" s="2" t="s">
        <v>5972</v>
      </c>
      <c r="J1803" t="s">
        <v>5973</v>
      </c>
      <c r="L1803" s="1">
        <v>2</v>
      </c>
      <c r="M1803" s="1"/>
      <c r="N1803" s="1"/>
      <c r="O1803" s="3"/>
    </row>
    <row r="1804" spans="1:15" ht="409.6">
      <c r="A1804" t="s">
        <v>5981</v>
      </c>
      <c r="B1804" t="s">
        <v>5982</v>
      </c>
      <c r="C1804" t="s">
        <v>10951</v>
      </c>
      <c r="D1804" t="s">
        <v>23</v>
      </c>
      <c r="E1804">
        <v>15</v>
      </c>
      <c r="F1804" s="2" t="s">
        <v>11382</v>
      </c>
      <c r="G1804" s="2" t="s">
        <v>5984</v>
      </c>
      <c r="H1804" s="2" t="s">
        <v>11383</v>
      </c>
      <c r="I1804" s="2" t="s">
        <v>11384</v>
      </c>
      <c r="J1804" t="s">
        <v>11385</v>
      </c>
      <c r="L1804" s="1">
        <v>2</v>
      </c>
      <c r="M1804" s="1"/>
      <c r="N1804" s="1"/>
      <c r="O1804" s="3"/>
    </row>
    <row r="1805" spans="1:15" ht="409.6">
      <c r="A1805" t="s">
        <v>6002</v>
      </c>
      <c r="B1805" t="s">
        <v>6003</v>
      </c>
      <c r="C1805" t="s">
        <v>10951</v>
      </c>
      <c r="D1805" t="s">
        <v>23</v>
      </c>
      <c r="E1805">
        <v>15</v>
      </c>
      <c r="F1805" s="2" t="s">
        <v>11386</v>
      </c>
      <c r="G1805" s="2" t="s">
        <v>11387</v>
      </c>
      <c r="H1805" s="2" t="s">
        <v>11388</v>
      </c>
      <c r="I1805" s="2" t="s">
        <v>11389</v>
      </c>
      <c r="J1805" t="s">
        <v>11390</v>
      </c>
      <c r="L1805" s="1">
        <v>2</v>
      </c>
      <c r="M1805" s="1"/>
      <c r="N1805" s="1"/>
      <c r="O1805" s="3"/>
    </row>
    <row r="1806" spans="1:15" ht="409.6">
      <c r="A1806" t="s">
        <v>6042</v>
      </c>
      <c r="B1806" t="s">
        <v>6043</v>
      </c>
      <c r="C1806" t="s">
        <v>10951</v>
      </c>
      <c r="D1806" t="s">
        <v>23</v>
      </c>
      <c r="E1806">
        <v>15</v>
      </c>
      <c r="F1806" s="2" t="s">
        <v>6044</v>
      </c>
      <c r="G1806" s="2" t="s">
        <v>6045</v>
      </c>
      <c r="H1806" s="2" t="s">
        <v>6046</v>
      </c>
      <c r="I1806" s="2" t="s">
        <v>6047</v>
      </c>
      <c r="J1806" t="s">
        <v>11391</v>
      </c>
      <c r="L1806" s="1">
        <v>2</v>
      </c>
      <c r="M1806" s="1"/>
      <c r="N1806" s="1"/>
      <c r="O1806" s="3"/>
    </row>
    <row r="1807" spans="1:15" ht="409.6">
      <c r="A1807" t="s">
        <v>6069</v>
      </c>
      <c r="B1807" t="s">
        <v>6070</v>
      </c>
      <c r="C1807" t="s">
        <v>10951</v>
      </c>
      <c r="D1807" t="s">
        <v>23</v>
      </c>
      <c r="E1807">
        <v>15</v>
      </c>
      <c r="F1807" s="2" t="s">
        <v>11392</v>
      </c>
      <c r="G1807" s="2" t="s">
        <v>11393</v>
      </c>
      <c r="H1807" s="2" t="s">
        <v>11394</v>
      </c>
      <c r="I1807" s="2" t="s">
        <v>11395</v>
      </c>
      <c r="J1807" t="s">
        <v>6075</v>
      </c>
      <c r="L1807" s="1">
        <v>2</v>
      </c>
      <c r="M1807" s="1"/>
      <c r="N1807" s="1"/>
      <c r="O1807" s="3"/>
    </row>
    <row r="1808" spans="1:15" ht="409.6">
      <c r="A1808" t="s">
        <v>6090</v>
      </c>
      <c r="B1808" t="s">
        <v>6091</v>
      </c>
      <c r="C1808" t="s">
        <v>10951</v>
      </c>
      <c r="D1808" t="s">
        <v>23</v>
      </c>
      <c r="E1808">
        <v>20</v>
      </c>
      <c r="F1808" s="2" t="s">
        <v>11396</v>
      </c>
      <c r="G1808" s="2" t="s">
        <v>11397</v>
      </c>
      <c r="H1808" s="2" t="s">
        <v>11398</v>
      </c>
      <c r="I1808" s="2" t="s">
        <v>11399</v>
      </c>
      <c r="J1808" t="s">
        <v>11400</v>
      </c>
      <c r="L1808" s="1">
        <v>2</v>
      </c>
      <c r="M1808" s="1"/>
      <c r="N1808" s="1"/>
      <c r="O1808" s="3"/>
    </row>
    <row r="1809" spans="1:15" ht="409.6">
      <c r="A1809" t="s">
        <v>6097</v>
      </c>
      <c r="B1809" t="s">
        <v>6098</v>
      </c>
      <c r="C1809" t="s">
        <v>10951</v>
      </c>
      <c r="D1809" t="s">
        <v>23</v>
      </c>
      <c r="E1809">
        <v>20</v>
      </c>
      <c r="F1809" s="2" t="s">
        <v>11401</v>
      </c>
      <c r="G1809" s="2" t="s">
        <v>11402</v>
      </c>
      <c r="H1809" s="2" t="s">
        <v>11403</v>
      </c>
      <c r="I1809" s="2" t="s">
        <v>11404</v>
      </c>
      <c r="J1809" t="s">
        <v>11405</v>
      </c>
      <c r="L1809" s="1">
        <v>2</v>
      </c>
      <c r="M1809" s="1"/>
      <c r="N1809" s="1"/>
      <c r="O1809" s="3"/>
    </row>
    <row r="1810" spans="1:15" ht="409.6">
      <c r="A1810" t="s">
        <v>978</v>
      </c>
      <c r="B1810" t="s">
        <v>11406</v>
      </c>
      <c r="C1810" t="s">
        <v>10951</v>
      </c>
      <c r="D1810" t="s">
        <v>23</v>
      </c>
      <c r="E1810">
        <v>30</v>
      </c>
      <c r="F1810" s="2" t="s">
        <v>11407</v>
      </c>
      <c r="G1810" s="2" t="s">
        <v>11408</v>
      </c>
      <c r="H1810" s="2" t="s">
        <v>11409</v>
      </c>
      <c r="I1810" s="2" t="s">
        <v>11410</v>
      </c>
      <c r="J1810" t="s">
        <v>11411</v>
      </c>
      <c r="L1810" s="1">
        <v>2</v>
      </c>
      <c r="M1810" s="1"/>
      <c r="N1810" s="1"/>
      <c r="O1810" s="3"/>
    </row>
    <row r="1811" spans="1:15" ht="409.6">
      <c r="A1811" t="s">
        <v>6126</v>
      </c>
      <c r="B1811" t="s">
        <v>2511</v>
      </c>
      <c r="C1811" t="s">
        <v>10951</v>
      </c>
      <c r="D1811" t="s">
        <v>23</v>
      </c>
      <c r="E1811">
        <v>15</v>
      </c>
      <c r="F1811" s="2" t="s">
        <v>11412</v>
      </c>
      <c r="G1811" s="2" t="s">
        <v>11413</v>
      </c>
      <c r="H1811" s="2" t="s">
        <v>6129</v>
      </c>
      <c r="I1811" s="2" t="s">
        <v>11414</v>
      </c>
      <c r="J1811" t="s">
        <v>11415</v>
      </c>
      <c r="L1811" s="1">
        <v>2</v>
      </c>
      <c r="M1811" s="1"/>
      <c r="N1811" s="1"/>
      <c r="O1811" s="3"/>
    </row>
    <row r="1812" spans="1:15" ht="409.6">
      <c r="A1812" t="s">
        <v>6250</v>
      </c>
      <c r="B1812" t="s">
        <v>11416</v>
      </c>
      <c r="C1812" t="s">
        <v>10951</v>
      </c>
      <c r="D1812" t="s">
        <v>23</v>
      </c>
      <c r="E1812">
        <v>15</v>
      </c>
      <c r="F1812" s="2" t="s">
        <v>11417</v>
      </c>
      <c r="G1812" s="2" t="s">
        <v>11418</v>
      </c>
      <c r="H1812" s="2" t="s">
        <v>6254</v>
      </c>
      <c r="I1812" s="2" t="s">
        <v>11419</v>
      </c>
      <c r="J1812" t="s">
        <v>11420</v>
      </c>
      <c r="K1812" t="s">
        <v>6257</v>
      </c>
      <c r="L1812" s="1">
        <v>2</v>
      </c>
      <c r="M1812" s="1"/>
      <c r="N1812" s="1"/>
      <c r="O1812" s="3"/>
    </row>
    <row r="1813" spans="1:15" ht="409.6">
      <c r="A1813" t="s">
        <v>6243</v>
      </c>
      <c r="B1813" t="s">
        <v>2931</v>
      </c>
      <c r="C1813" t="s">
        <v>10951</v>
      </c>
      <c r="D1813" t="s">
        <v>23</v>
      </c>
      <c r="E1813">
        <v>15</v>
      </c>
      <c r="F1813" s="2" t="s">
        <v>11421</v>
      </c>
      <c r="G1813" s="2" t="s">
        <v>11422</v>
      </c>
      <c r="H1813" s="2" t="s">
        <v>11423</v>
      </c>
      <c r="I1813" s="2" t="s">
        <v>11424</v>
      </c>
      <c r="J1813" t="s">
        <v>11425</v>
      </c>
      <c r="K1813" t="s">
        <v>6249</v>
      </c>
      <c r="L1813" s="1">
        <v>2</v>
      </c>
      <c r="M1813" s="1"/>
      <c r="N1813" s="1"/>
      <c r="O1813" s="3"/>
    </row>
    <row r="1814" spans="1:15" ht="409.6">
      <c r="A1814" t="s">
        <v>2856</v>
      </c>
      <c r="B1814" t="s">
        <v>2857</v>
      </c>
      <c r="C1814" t="s">
        <v>10951</v>
      </c>
      <c r="D1814" t="s">
        <v>23</v>
      </c>
      <c r="E1814">
        <v>15</v>
      </c>
      <c r="F1814" s="2" t="s">
        <v>11426</v>
      </c>
      <c r="G1814" s="2" t="s">
        <v>11427</v>
      </c>
      <c r="H1814" s="2" t="s">
        <v>11428</v>
      </c>
      <c r="I1814" s="2" t="s">
        <v>11429</v>
      </c>
      <c r="J1814" t="s">
        <v>9344</v>
      </c>
      <c r="K1814" t="s">
        <v>11430</v>
      </c>
      <c r="L1814" s="1">
        <v>2</v>
      </c>
      <c r="M1814" s="1"/>
      <c r="N1814" s="1"/>
      <c r="O1814" s="3"/>
    </row>
    <row r="1815" spans="1:15" ht="409.6">
      <c r="A1815" t="s">
        <v>11431</v>
      </c>
      <c r="B1815" t="s">
        <v>11432</v>
      </c>
      <c r="C1815" t="s">
        <v>10951</v>
      </c>
      <c r="D1815" t="s">
        <v>23</v>
      </c>
      <c r="E1815">
        <v>25</v>
      </c>
      <c r="F1815" s="2" t="s">
        <v>11433</v>
      </c>
      <c r="G1815" s="2" t="s">
        <v>11434</v>
      </c>
      <c r="H1815" s="2" t="s">
        <v>11435</v>
      </c>
      <c r="I1815" s="2" t="s">
        <v>11436</v>
      </c>
      <c r="J1815" t="s">
        <v>11437</v>
      </c>
      <c r="L1815" s="1">
        <v>2</v>
      </c>
      <c r="M1815" s="1"/>
      <c r="N1815" s="1"/>
      <c r="O1815" s="3"/>
    </row>
    <row r="1816" spans="1:15" ht="409.6">
      <c r="A1816" t="s">
        <v>11438</v>
      </c>
      <c r="B1816" t="s">
        <v>11439</v>
      </c>
      <c r="C1816" t="s">
        <v>10951</v>
      </c>
      <c r="D1816" t="s">
        <v>23</v>
      </c>
      <c r="E1816">
        <v>25</v>
      </c>
      <c r="F1816" s="2" t="s">
        <v>11440</v>
      </c>
      <c r="G1816" s="2" t="s">
        <v>11441</v>
      </c>
      <c r="H1816" s="2" t="s">
        <v>11442</v>
      </c>
      <c r="I1816" s="2" t="s">
        <v>11443</v>
      </c>
      <c r="J1816" t="s">
        <v>11444</v>
      </c>
      <c r="L1816" s="1">
        <v>2</v>
      </c>
      <c r="M1816" s="1"/>
      <c r="N1816" s="1"/>
      <c r="O1816" s="3"/>
    </row>
    <row r="1817" spans="1:15" ht="409.6">
      <c r="A1817" t="s">
        <v>11445</v>
      </c>
      <c r="B1817" t="s">
        <v>11446</v>
      </c>
      <c r="C1817" t="s">
        <v>10951</v>
      </c>
      <c r="D1817" t="s">
        <v>23</v>
      </c>
      <c r="E1817">
        <v>30</v>
      </c>
      <c r="F1817" s="2" t="s">
        <v>11447</v>
      </c>
      <c r="G1817" s="2" t="s">
        <v>11448</v>
      </c>
      <c r="H1817" s="2" t="s">
        <v>11449</v>
      </c>
      <c r="I1817" s="2" t="s">
        <v>11450</v>
      </c>
      <c r="J1817" t="s">
        <v>11451</v>
      </c>
      <c r="L1817" s="1">
        <v>2</v>
      </c>
      <c r="M1817" s="1"/>
      <c r="N1817" s="1"/>
      <c r="O1817" s="3"/>
    </row>
    <row r="1818" spans="1:15" ht="409.6">
      <c r="A1818" t="s">
        <v>2792</v>
      </c>
      <c r="B1818" t="s">
        <v>2793</v>
      </c>
      <c r="C1818" t="s">
        <v>10951</v>
      </c>
      <c r="D1818" t="s">
        <v>23</v>
      </c>
      <c r="E1818">
        <v>20</v>
      </c>
      <c r="F1818" s="2" t="s">
        <v>11452</v>
      </c>
      <c r="G1818" s="2" t="s">
        <v>11453</v>
      </c>
      <c r="H1818" s="2" t="s">
        <v>6141</v>
      </c>
      <c r="I1818" s="2" t="s">
        <v>11454</v>
      </c>
      <c r="J1818" t="s">
        <v>11455</v>
      </c>
      <c r="K1818" t="s">
        <v>6144</v>
      </c>
      <c r="L1818" s="1">
        <v>2</v>
      </c>
      <c r="M1818" s="1"/>
      <c r="N1818" s="1"/>
      <c r="O1818" s="3"/>
    </row>
    <row r="1819" spans="1:15" ht="409.6">
      <c r="A1819" t="s">
        <v>6145</v>
      </c>
      <c r="B1819" t="s">
        <v>6146</v>
      </c>
      <c r="C1819" t="s">
        <v>10951</v>
      </c>
      <c r="D1819" t="s">
        <v>23</v>
      </c>
      <c r="E1819">
        <v>20</v>
      </c>
      <c r="F1819" s="2" t="s">
        <v>11456</v>
      </c>
      <c r="G1819" s="2" t="s">
        <v>11457</v>
      </c>
      <c r="H1819" s="2" t="s">
        <v>6149</v>
      </c>
      <c r="I1819" s="2" t="s">
        <v>6150</v>
      </c>
      <c r="J1819" t="s">
        <v>11458</v>
      </c>
      <c r="L1819" s="1">
        <v>2</v>
      </c>
      <c r="M1819" s="1"/>
      <c r="N1819" s="1"/>
      <c r="O1819" s="3"/>
    </row>
    <row r="1820" spans="1:15" ht="409.6">
      <c r="A1820" t="s">
        <v>11459</v>
      </c>
      <c r="B1820" t="s">
        <v>11460</v>
      </c>
      <c r="C1820" t="s">
        <v>10951</v>
      </c>
      <c r="D1820" t="s">
        <v>23</v>
      </c>
      <c r="E1820">
        <v>20</v>
      </c>
      <c r="F1820" s="2" t="s">
        <v>11461</v>
      </c>
      <c r="G1820" s="2" t="s">
        <v>11462</v>
      </c>
      <c r="H1820" s="2" t="s">
        <v>11463</v>
      </c>
      <c r="I1820" s="2" t="s">
        <v>11464</v>
      </c>
      <c r="J1820" t="s">
        <v>11465</v>
      </c>
      <c r="L1820" s="1">
        <v>2</v>
      </c>
      <c r="M1820" s="1"/>
      <c r="N1820" s="1"/>
      <c r="O1820" s="3"/>
    </row>
    <row r="1821" spans="1:15" ht="409.6">
      <c r="A1821" t="s">
        <v>6157</v>
      </c>
      <c r="B1821" t="s">
        <v>11466</v>
      </c>
      <c r="C1821" t="s">
        <v>10951</v>
      </c>
      <c r="D1821" t="s">
        <v>23</v>
      </c>
      <c r="E1821">
        <v>20</v>
      </c>
      <c r="F1821" s="2" t="s">
        <v>11467</v>
      </c>
      <c r="G1821" s="2" t="s">
        <v>11468</v>
      </c>
      <c r="H1821" s="2" t="s">
        <v>11469</v>
      </c>
      <c r="I1821" s="2" t="s">
        <v>6162</v>
      </c>
      <c r="J1821" t="s">
        <v>11470</v>
      </c>
      <c r="L1821" s="1">
        <v>2</v>
      </c>
      <c r="M1821" s="1"/>
      <c r="N1821" s="1"/>
      <c r="O1821" s="3"/>
    </row>
    <row r="1822" spans="1:15" ht="409.6">
      <c r="A1822" t="s">
        <v>20</v>
      </c>
      <c r="B1822" t="s">
        <v>21</v>
      </c>
      <c r="C1822" t="s">
        <v>10951</v>
      </c>
      <c r="D1822" t="s">
        <v>23</v>
      </c>
      <c r="E1822">
        <v>30</v>
      </c>
      <c r="F1822" s="2" t="s">
        <v>11471</v>
      </c>
      <c r="G1822" s="2" t="s">
        <v>11472</v>
      </c>
      <c r="H1822" s="2" t="s">
        <v>11473</v>
      </c>
      <c r="I1822" s="2" t="s">
        <v>11474</v>
      </c>
      <c r="J1822" t="s">
        <v>4694</v>
      </c>
      <c r="L1822" s="1">
        <v>2</v>
      </c>
      <c r="M1822" s="1"/>
      <c r="N1822" s="1"/>
      <c r="O1822" s="3"/>
    </row>
    <row r="1823" spans="1:15" ht="409.6">
      <c r="A1823" t="s">
        <v>11475</v>
      </c>
      <c r="B1823" t="s">
        <v>11476</v>
      </c>
      <c r="C1823" t="s">
        <v>10951</v>
      </c>
      <c r="D1823" t="s">
        <v>23</v>
      </c>
      <c r="E1823">
        <v>20</v>
      </c>
      <c r="F1823" s="2" t="s">
        <v>11477</v>
      </c>
      <c r="G1823" s="2" t="s">
        <v>11478</v>
      </c>
      <c r="H1823" s="2" t="s">
        <v>11479</v>
      </c>
      <c r="I1823" s="2" t="s">
        <v>11480</v>
      </c>
      <c r="J1823" t="s">
        <v>11481</v>
      </c>
      <c r="K1823" t="s">
        <v>11482</v>
      </c>
      <c r="L1823" s="1">
        <v>2</v>
      </c>
      <c r="M1823" s="1"/>
      <c r="N1823" s="1"/>
      <c r="O1823" s="3"/>
    </row>
    <row r="1824" spans="1:15" ht="409.6">
      <c r="A1824" t="s">
        <v>6197</v>
      </c>
      <c r="B1824" t="s">
        <v>6198</v>
      </c>
      <c r="C1824" t="s">
        <v>10951</v>
      </c>
      <c r="D1824" t="s">
        <v>23</v>
      </c>
      <c r="E1824">
        <v>20</v>
      </c>
      <c r="F1824" s="2" t="s">
        <v>11483</v>
      </c>
      <c r="G1824" s="2" t="s">
        <v>11484</v>
      </c>
      <c r="H1824" s="2" t="s">
        <v>6201</v>
      </c>
      <c r="I1824" s="2" t="s">
        <v>6202</v>
      </c>
      <c r="J1824" t="s">
        <v>6203</v>
      </c>
      <c r="L1824" s="1">
        <v>2</v>
      </c>
      <c r="M1824" s="1"/>
      <c r="N1824" s="1"/>
      <c r="O1824" s="3"/>
    </row>
    <row r="1825" spans="1:15" ht="409.6">
      <c r="A1825" t="s">
        <v>6204</v>
      </c>
      <c r="B1825" t="s">
        <v>6205</v>
      </c>
      <c r="C1825" t="s">
        <v>10951</v>
      </c>
      <c r="D1825" t="s">
        <v>23</v>
      </c>
      <c r="E1825">
        <v>20</v>
      </c>
      <c r="F1825" s="2" t="s">
        <v>6206</v>
      </c>
      <c r="G1825" s="2" t="s">
        <v>6207</v>
      </c>
      <c r="H1825" s="2" t="s">
        <v>11485</v>
      </c>
      <c r="I1825" s="2" t="s">
        <v>11486</v>
      </c>
      <c r="J1825" t="s">
        <v>11487</v>
      </c>
      <c r="L1825" s="1">
        <v>2</v>
      </c>
      <c r="M1825" s="1"/>
      <c r="N1825" s="1"/>
      <c r="O1825" s="3"/>
    </row>
    <row r="1826" spans="1:15" ht="409.6">
      <c r="A1826" t="s">
        <v>6211</v>
      </c>
      <c r="B1826" t="s">
        <v>6212</v>
      </c>
      <c r="C1826" t="s">
        <v>10951</v>
      </c>
      <c r="D1826" t="s">
        <v>23</v>
      </c>
      <c r="E1826">
        <v>20</v>
      </c>
      <c r="F1826" s="2" t="s">
        <v>11488</v>
      </c>
      <c r="G1826" s="2" t="s">
        <v>11489</v>
      </c>
      <c r="H1826" s="2" t="s">
        <v>11490</v>
      </c>
      <c r="I1826" s="2" t="s">
        <v>6216</v>
      </c>
      <c r="J1826" t="s">
        <v>6217</v>
      </c>
      <c r="L1826" s="1">
        <v>2</v>
      </c>
      <c r="M1826" s="1"/>
      <c r="N1826" s="1"/>
      <c r="O1826" s="3"/>
    </row>
    <row r="1827" spans="1:15" ht="409.6">
      <c r="A1827" t="s">
        <v>9716</v>
      </c>
      <c r="B1827" t="s">
        <v>6419</v>
      </c>
      <c r="C1827" t="s">
        <v>10951</v>
      </c>
      <c r="D1827" t="s">
        <v>23</v>
      </c>
      <c r="E1827">
        <v>10</v>
      </c>
      <c r="F1827" s="2" t="s">
        <v>11491</v>
      </c>
      <c r="G1827" s="2" t="s">
        <v>11492</v>
      </c>
      <c r="H1827" s="2" t="s">
        <v>11493</v>
      </c>
      <c r="I1827" s="2" t="s">
        <v>11494</v>
      </c>
      <c r="J1827" t="s">
        <v>11495</v>
      </c>
      <c r="K1827" t="s">
        <v>9339</v>
      </c>
      <c r="L1827" s="1">
        <v>2</v>
      </c>
      <c r="M1827" s="1"/>
      <c r="N1827" s="1"/>
      <c r="O1827" s="3"/>
    </row>
    <row r="1828" spans="1:15" ht="409.6">
      <c r="A1828" t="s">
        <v>6218</v>
      </c>
      <c r="B1828" t="s">
        <v>6219</v>
      </c>
      <c r="C1828" t="s">
        <v>10951</v>
      </c>
      <c r="D1828" t="s">
        <v>23</v>
      </c>
      <c r="E1828">
        <v>25</v>
      </c>
      <c r="F1828" s="2" t="s">
        <v>11496</v>
      </c>
      <c r="G1828" s="2" t="s">
        <v>11497</v>
      </c>
      <c r="H1828" s="2" t="s">
        <v>11498</v>
      </c>
      <c r="I1828" s="2" t="s">
        <v>11499</v>
      </c>
      <c r="J1828" t="s">
        <v>11500</v>
      </c>
      <c r="L1828" s="1">
        <v>2</v>
      </c>
      <c r="M1828" s="1"/>
      <c r="N1828" s="1"/>
      <c r="O1828" s="3"/>
    </row>
    <row r="1829" spans="1:15" ht="409.6">
      <c r="A1829" t="s">
        <v>6225</v>
      </c>
      <c r="B1829" t="s">
        <v>6226</v>
      </c>
      <c r="C1829" t="s">
        <v>10951</v>
      </c>
      <c r="D1829" t="s">
        <v>23</v>
      </c>
      <c r="E1829">
        <v>15</v>
      </c>
      <c r="F1829" s="2" t="s">
        <v>11501</v>
      </c>
      <c r="G1829" s="2" t="s">
        <v>11502</v>
      </c>
      <c r="H1829" s="2" t="s">
        <v>6229</v>
      </c>
      <c r="I1829" s="2" t="s">
        <v>11503</v>
      </c>
      <c r="J1829" t="s">
        <v>11504</v>
      </c>
      <c r="L1829" s="1">
        <v>2</v>
      </c>
      <c r="M1829" s="1"/>
      <c r="N1829" s="1"/>
      <c r="O1829" s="3"/>
    </row>
    <row r="1830" spans="1:15" ht="409.6">
      <c r="A1830" t="s">
        <v>6232</v>
      </c>
      <c r="B1830" t="s">
        <v>5671</v>
      </c>
      <c r="C1830" t="s">
        <v>10951</v>
      </c>
      <c r="D1830" t="s">
        <v>23</v>
      </c>
      <c r="E1830">
        <v>20</v>
      </c>
      <c r="F1830" s="2" t="s">
        <v>11505</v>
      </c>
      <c r="G1830" s="2" t="s">
        <v>11506</v>
      </c>
      <c r="H1830" s="2" t="s">
        <v>11507</v>
      </c>
      <c r="I1830" s="2" t="s">
        <v>11508</v>
      </c>
      <c r="J1830" t="s">
        <v>11509</v>
      </c>
      <c r="L1830" s="1">
        <v>2</v>
      </c>
      <c r="M1830" s="1"/>
      <c r="N1830" s="1"/>
      <c r="O1830" s="3"/>
    </row>
    <row r="1831" spans="1:15" ht="409.6">
      <c r="A1831" t="s">
        <v>11510</v>
      </c>
      <c r="B1831" t="s">
        <v>11511</v>
      </c>
      <c r="C1831" t="s">
        <v>11512</v>
      </c>
      <c r="D1831" t="s">
        <v>23</v>
      </c>
      <c r="E1831">
        <v>25</v>
      </c>
      <c r="F1831" s="2" t="s">
        <v>11513</v>
      </c>
      <c r="G1831" s="2" t="s">
        <v>11514</v>
      </c>
      <c r="H1831" s="2" t="s">
        <v>11515</v>
      </c>
      <c r="I1831" s="2" t="s">
        <v>11516</v>
      </c>
      <c r="J1831" t="s">
        <v>11517</v>
      </c>
      <c r="K1831" t="s">
        <v>11518</v>
      </c>
      <c r="L1831" s="1">
        <v>2</v>
      </c>
      <c r="M1831" s="1"/>
      <c r="N1831" s="1"/>
      <c r="O1831" s="3"/>
    </row>
    <row r="1832" spans="1:15" ht="409.6">
      <c r="A1832" t="s">
        <v>11519</v>
      </c>
      <c r="B1832" t="s">
        <v>11520</v>
      </c>
      <c r="C1832" t="s">
        <v>11512</v>
      </c>
      <c r="D1832" t="s">
        <v>23</v>
      </c>
      <c r="E1832">
        <v>30</v>
      </c>
      <c r="F1832" s="2" t="s">
        <v>11521</v>
      </c>
      <c r="G1832" s="2" t="s">
        <v>11522</v>
      </c>
      <c r="H1832" s="2" t="s">
        <v>11523</v>
      </c>
      <c r="I1832" s="2" t="s">
        <v>11524</v>
      </c>
      <c r="J1832" t="s">
        <v>11525</v>
      </c>
      <c r="K1832" t="s">
        <v>11526</v>
      </c>
      <c r="L1832" s="1">
        <v>2</v>
      </c>
      <c r="M1832" s="1"/>
      <c r="N1832" s="1"/>
      <c r="O1832" s="3"/>
    </row>
    <row r="1833" spans="1:15" ht="409.6">
      <c r="A1833" t="s">
        <v>11527</v>
      </c>
      <c r="B1833" t="s">
        <v>11528</v>
      </c>
      <c r="C1833" t="s">
        <v>11512</v>
      </c>
      <c r="D1833" t="s">
        <v>23</v>
      </c>
      <c r="E1833">
        <v>25</v>
      </c>
      <c r="F1833" s="2" t="s">
        <v>11529</v>
      </c>
      <c r="G1833" s="2" t="s">
        <v>11530</v>
      </c>
      <c r="H1833" s="2" t="s">
        <v>11531</v>
      </c>
      <c r="I1833" s="2" t="s">
        <v>11532</v>
      </c>
      <c r="J1833" t="s">
        <v>11533</v>
      </c>
      <c r="K1833" t="s">
        <v>11534</v>
      </c>
      <c r="L1833" s="1">
        <v>2</v>
      </c>
      <c r="M1833" s="1"/>
      <c r="N1833" s="1"/>
      <c r="O1833" s="3"/>
    </row>
    <row r="1834" spans="1:15" ht="409.6">
      <c r="A1834" t="s">
        <v>11535</v>
      </c>
      <c r="B1834" t="s">
        <v>11536</v>
      </c>
      <c r="C1834" t="s">
        <v>11512</v>
      </c>
      <c r="D1834" t="s">
        <v>14</v>
      </c>
      <c r="E1834">
        <v>30</v>
      </c>
      <c r="F1834" s="2" t="s">
        <v>11537</v>
      </c>
      <c r="G1834" s="2" t="s">
        <v>11538</v>
      </c>
      <c r="H1834" s="2" t="s">
        <v>11539</v>
      </c>
      <c r="I1834" s="2" t="s">
        <v>11540</v>
      </c>
      <c r="J1834" t="s">
        <v>11541</v>
      </c>
      <c r="K1834" t="s">
        <v>11542</v>
      </c>
      <c r="L1834" s="1">
        <v>2</v>
      </c>
      <c r="M1834" s="1"/>
      <c r="N1834" s="1"/>
      <c r="O1834" s="3"/>
    </row>
    <row r="1835" spans="1:15" ht="409.6">
      <c r="A1835" t="s">
        <v>11543</v>
      </c>
      <c r="B1835" t="s">
        <v>11544</v>
      </c>
      <c r="C1835" t="s">
        <v>11512</v>
      </c>
      <c r="D1835" t="s">
        <v>23</v>
      </c>
      <c r="E1835">
        <v>20</v>
      </c>
      <c r="F1835" s="2" t="s">
        <v>11545</v>
      </c>
      <c r="G1835" s="2" t="s">
        <v>11546</v>
      </c>
      <c r="H1835" s="2" t="s">
        <v>11547</v>
      </c>
      <c r="I1835" s="2" t="s">
        <v>11548</v>
      </c>
      <c r="J1835" t="s">
        <v>11549</v>
      </c>
      <c r="K1835" t="s">
        <v>11550</v>
      </c>
      <c r="L1835" s="1">
        <v>2</v>
      </c>
      <c r="M1835" s="1"/>
      <c r="N1835" s="1"/>
      <c r="O1835" s="3"/>
    </row>
    <row r="1836" spans="1:15" ht="409.6">
      <c r="A1836" t="s">
        <v>11551</v>
      </c>
      <c r="B1836" t="s">
        <v>11552</v>
      </c>
      <c r="C1836" t="s">
        <v>11512</v>
      </c>
      <c r="D1836" t="s">
        <v>23</v>
      </c>
      <c r="E1836">
        <v>30</v>
      </c>
      <c r="F1836" s="2" t="s">
        <v>11553</v>
      </c>
      <c r="G1836" s="2" t="s">
        <v>11554</v>
      </c>
      <c r="H1836" s="2" t="s">
        <v>11555</v>
      </c>
      <c r="I1836" s="2" t="s">
        <v>11556</v>
      </c>
      <c r="J1836" t="s">
        <v>11557</v>
      </c>
      <c r="K1836" t="s">
        <v>11558</v>
      </c>
      <c r="L1836" s="1">
        <v>2</v>
      </c>
      <c r="M1836" s="1"/>
      <c r="N1836" s="1"/>
      <c r="O1836" s="3"/>
    </row>
    <row r="1837" spans="1:15" ht="409.6">
      <c r="A1837" t="s">
        <v>11559</v>
      </c>
      <c r="B1837" t="s">
        <v>11560</v>
      </c>
      <c r="C1837" t="s">
        <v>11512</v>
      </c>
      <c r="D1837" t="s">
        <v>23</v>
      </c>
      <c r="E1837">
        <v>25</v>
      </c>
      <c r="F1837" s="2" t="s">
        <v>11561</v>
      </c>
      <c r="G1837" s="2" t="s">
        <v>11562</v>
      </c>
      <c r="H1837" s="2" t="s">
        <v>11563</v>
      </c>
      <c r="I1837" s="2" t="s">
        <v>11564</v>
      </c>
      <c r="J1837" t="s">
        <v>11565</v>
      </c>
      <c r="K1837" t="s">
        <v>11566</v>
      </c>
      <c r="L1837" s="1">
        <v>2</v>
      </c>
      <c r="M1837" s="1"/>
      <c r="N1837" s="1"/>
      <c r="O1837" s="3"/>
    </row>
    <row r="1838" spans="1:15" ht="409.6">
      <c r="A1838" t="s">
        <v>11567</v>
      </c>
      <c r="B1838" t="s">
        <v>11568</v>
      </c>
      <c r="C1838" t="s">
        <v>597</v>
      </c>
      <c r="D1838" t="s">
        <v>23</v>
      </c>
      <c r="E1838">
        <v>45</v>
      </c>
      <c r="F1838" s="2" t="s">
        <v>11569</v>
      </c>
      <c r="G1838" s="2" t="s">
        <v>11570</v>
      </c>
      <c r="H1838" s="2" t="s">
        <v>11571</v>
      </c>
      <c r="I1838" s="2" t="s">
        <v>11572</v>
      </c>
      <c r="J1838" t="s">
        <v>11573</v>
      </c>
      <c r="K1838" t="s">
        <v>11574</v>
      </c>
      <c r="L1838" s="1">
        <v>2</v>
      </c>
      <c r="M1838" s="1"/>
      <c r="N1838" s="1"/>
      <c r="O1838" s="3"/>
    </row>
    <row r="1839" spans="1:15" ht="409.6">
      <c r="A1839" t="s">
        <v>4404</v>
      </c>
      <c r="B1839" t="s">
        <v>4405</v>
      </c>
      <c r="C1839" t="s">
        <v>597</v>
      </c>
      <c r="D1839" t="s">
        <v>23</v>
      </c>
      <c r="E1839">
        <v>15</v>
      </c>
      <c r="F1839" s="2" t="s">
        <v>11575</v>
      </c>
      <c r="G1839" s="2" t="s">
        <v>11576</v>
      </c>
      <c r="H1839" s="2" t="s">
        <v>11577</v>
      </c>
      <c r="I1839" s="2" t="s">
        <v>11578</v>
      </c>
      <c r="J1839" t="s">
        <v>11579</v>
      </c>
      <c r="L1839" s="1">
        <v>2</v>
      </c>
      <c r="M1839" s="1"/>
      <c r="N1839" s="1"/>
      <c r="O1839" s="3"/>
    </row>
    <row r="1840" spans="1:15" ht="409.6">
      <c r="A1840" t="s">
        <v>11580</v>
      </c>
      <c r="B1840" t="s">
        <v>11581</v>
      </c>
      <c r="C1840" t="s">
        <v>597</v>
      </c>
      <c r="D1840" t="s">
        <v>23</v>
      </c>
      <c r="E1840">
        <v>30</v>
      </c>
      <c r="F1840" s="2" t="s">
        <v>11582</v>
      </c>
      <c r="G1840" s="2" t="s">
        <v>11583</v>
      </c>
      <c r="H1840" s="2" t="s">
        <v>11584</v>
      </c>
      <c r="I1840" s="2" t="s">
        <v>11585</v>
      </c>
      <c r="J1840" t="s">
        <v>11586</v>
      </c>
      <c r="L1840" s="1">
        <v>2</v>
      </c>
      <c r="M1840" s="1"/>
      <c r="N1840" s="1"/>
      <c r="O1840" s="3"/>
    </row>
    <row r="1841" spans="1:15" ht="409.6">
      <c r="A1841" t="s">
        <v>11587</v>
      </c>
      <c r="B1841" t="s">
        <v>11588</v>
      </c>
      <c r="C1841" t="s">
        <v>597</v>
      </c>
      <c r="D1841" t="s">
        <v>23</v>
      </c>
      <c r="E1841">
        <v>45</v>
      </c>
      <c r="F1841" s="2" t="s">
        <v>11589</v>
      </c>
      <c r="G1841" s="2" t="s">
        <v>11590</v>
      </c>
      <c r="H1841" s="2" t="s">
        <v>11591</v>
      </c>
      <c r="I1841" s="2" t="s">
        <v>11592</v>
      </c>
      <c r="J1841" t="s">
        <v>11593</v>
      </c>
      <c r="K1841" t="s">
        <v>11594</v>
      </c>
      <c r="L1841" s="1">
        <v>2</v>
      </c>
      <c r="M1841" s="1"/>
      <c r="N1841" s="1"/>
      <c r="O1841" s="3"/>
    </row>
    <row r="1842" spans="1:15" ht="409.6">
      <c r="A1842" t="s">
        <v>11595</v>
      </c>
      <c r="B1842" t="s">
        <v>11596</v>
      </c>
      <c r="C1842" t="s">
        <v>597</v>
      </c>
      <c r="D1842" t="s">
        <v>23</v>
      </c>
      <c r="E1842">
        <v>20</v>
      </c>
      <c r="F1842" s="2" t="s">
        <v>11597</v>
      </c>
      <c r="G1842" s="2" t="s">
        <v>11598</v>
      </c>
      <c r="H1842" s="2" t="s">
        <v>11599</v>
      </c>
      <c r="I1842" s="2" t="s">
        <v>11600</v>
      </c>
      <c r="J1842" t="s">
        <v>11601</v>
      </c>
      <c r="L1842" s="1">
        <v>2</v>
      </c>
      <c r="M1842" s="1"/>
      <c r="N1842" s="1"/>
      <c r="O1842" s="3"/>
    </row>
    <row r="1843" spans="1:15" ht="409.6">
      <c r="A1843" t="s">
        <v>11602</v>
      </c>
      <c r="B1843" t="s">
        <v>11603</v>
      </c>
      <c r="C1843" t="s">
        <v>597</v>
      </c>
      <c r="D1843" t="s">
        <v>23</v>
      </c>
      <c r="E1843">
        <v>5</v>
      </c>
      <c r="F1843" s="2" t="s">
        <v>11604</v>
      </c>
      <c r="G1843" s="2" t="s">
        <v>11605</v>
      </c>
      <c r="H1843" s="2" t="s">
        <v>11606</v>
      </c>
      <c r="I1843" s="2" t="s">
        <v>11607</v>
      </c>
      <c r="J1843" t="s">
        <v>6118</v>
      </c>
      <c r="L1843" s="1">
        <v>2</v>
      </c>
      <c r="M1843" s="1"/>
      <c r="N1843" s="1"/>
      <c r="O1843" s="3"/>
    </row>
    <row r="1844" spans="1:15" ht="409.6">
      <c r="A1844" t="s">
        <v>11608</v>
      </c>
      <c r="B1844" t="s">
        <v>11609</v>
      </c>
      <c r="C1844" t="s">
        <v>597</v>
      </c>
      <c r="D1844" t="s">
        <v>23</v>
      </c>
      <c r="E1844">
        <v>15</v>
      </c>
      <c r="F1844" s="2" t="s">
        <v>11610</v>
      </c>
      <c r="G1844" s="2" t="s">
        <v>11611</v>
      </c>
      <c r="H1844" s="2" t="s">
        <v>11612</v>
      </c>
      <c r="I1844" s="2" t="s">
        <v>11613</v>
      </c>
      <c r="J1844" t="s">
        <v>11614</v>
      </c>
      <c r="L1844" s="1">
        <v>2</v>
      </c>
      <c r="M1844" s="1"/>
      <c r="N1844" s="1"/>
      <c r="O1844" s="3"/>
    </row>
    <row r="1845" spans="1:15" ht="409.6">
      <c r="A1845" t="s">
        <v>6955</v>
      </c>
      <c r="B1845" t="s">
        <v>6956</v>
      </c>
      <c r="C1845" t="s">
        <v>597</v>
      </c>
      <c r="D1845" t="s">
        <v>23</v>
      </c>
      <c r="E1845">
        <v>15</v>
      </c>
      <c r="F1845" s="2" t="s">
        <v>6957</v>
      </c>
      <c r="G1845" s="2" t="s">
        <v>11615</v>
      </c>
      <c r="H1845" s="2" t="s">
        <v>11616</v>
      </c>
      <c r="I1845" s="2" t="s">
        <v>11617</v>
      </c>
      <c r="J1845" t="s">
        <v>11618</v>
      </c>
      <c r="L1845" s="1">
        <v>2</v>
      </c>
      <c r="M1845" s="1"/>
      <c r="N1845" s="1"/>
      <c r="O1845" s="3"/>
    </row>
    <row r="1846" spans="1:15" ht="409.6">
      <c r="A1846" t="s">
        <v>11619</v>
      </c>
      <c r="B1846" t="s">
        <v>11620</v>
      </c>
      <c r="C1846" t="s">
        <v>597</v>
      </c>
      <c r="D1846" t="s">
        <v>23</v>
      </c>
      <c r="E1846">
        <v>30</v>
      </c>
      <c r="F1846" s="2" t="s">
        <v>11621</v>
      </c>
      <c r="G1846" s="2" t="s">
        <v>11622</v>
      </c>
      <c r="H1846" s="2" t="s">
        <v>11623</v>
      </c>
      <c r="I1846" s="2" t="s">
        <v>11624</v>
      </c>
      <c r="J1846" t="s">
        <v>11625</v>
      </c>
      <c r="L1846" s="1">
        <v>2</v>
      </c>
      <c r="M1846" s="1"/>
      <c r="N1846" s="1"/>
      <c r="O1846" s="3"/>
    </row>
    <row r="1847" spans="1:15" ht="409.6">
      <c r="A1847" t="s">
        <v>11626</v>
      </c>
      <c r="B1847" t="s">
        <v>11627</v>
      </c>
      <c r="C1847" t="s">
        <v>597</v>
      </c>
      <c r="D1847" t="s">
        <v>23</v>
      </c>
      <c r="E1847">
        <v>30</v>
      </c>
      <c r="F1847" s="2" t="s">
        <v>11628</v>
      </c>
      <c r="G1847" s="2" t="s">
        <v>11629</v>
      </c>
      <c r="H1847" s="2" t="s">
        <v>11630</v>
      </c>
      <c r="I1847" s="2" t="s">
        <v>11631</v>
      </c>
      <c r="J1847" t="s">
        <v>11632</v>
      </c>
      <c r="L1847" s="1">
        <v>2</v>
      </c>
      <c r="M1847" s="1"/>
      <c r="N1847" s="1"/>
      <c r="O1847" s="3"/>
    </row>
    <row r="1848" spans="1:15" ht="409.6">
      <c r="A1848" t="s">
        <v>11633</v>
      </c>
      <c r="B1848" t="s">
        <v>11634</v>
      </c>
      <c r="C1848" t="s">
        <v>597</v>
      </c>
      <c r="D1848" t="s">
        <v>23</v>
      </c>
      <c r="E1848">
        <v>30</v>
      </c>
      <c r="F1848" s="2" t="s">
        <v>11635</v>
      </c>
      <c r="G1848" s="2" t="s">
        <v>11636</v>
      </c>
      <c r="H1848" s="2" t="s">
        <v>11637</v>
      </c>
      <c r="I1848" s="2" t="s">
        <v>11638</v>
      </c>
      <c r="J1848" t="s">
        <v>11639</v>
      </c>
      <c r="L1848" s="1">
        <v>2</v>
      </c>
      <c r="M1848" s="1"/>
      <c r="N1848" s="1"/>
      <c r="O1848" s="3"/>
    </row>
    <row r="1849" spans="1:15" ht="409.6">
      <c r="A1849" t="s">
        <v>11640</v>
      </c>
      <c r="B1849" t="s">
        <v>11641</v>
      </c>
      <c r="C1849" t="s">
        <v>597</v>
      </c>
      <c r="D1849" t="s">
        <v>23</v>
      </c>
      <c r="E1849">
        <v>40</v>
      </c>
      <c r="F1849" s="2" t="s">
        <v>11642</v>
      </c>
      <c r="G1849" s="2" t="s">
        <v>11643</v>
      </c>
      <c r="H1849" s="2" t="s">
        <v>11644</v>
      </c>
      <c r="I1849" s="2" t="s">
        <v>11645</v>
      </c>
      <c r="J1849" t="s">
        <v>11646</v>
      </c>
      <c r="L1849" s="1">
        <v>2</v>
      </c>
      <c r="M1849" s="1"/>
      <c r="N1849" s="1"/>
      <c r="O1849" s="3"/>
    </row>
    <row r="1850" spans="1:15" ht="409.6">
      <c r="A1850" t="s">
        <v>11647</v>
      </c>
      <c r="B1850" t="s">
        <v>11648</v>
      </c>
      <c r="C1850" t="s">
        <v>597</v>
      </c>
      <c r="D1850" t="s">
        <v>23</v>
      </c>
      <c r="E1850">
        <v>30</v>
      </c>
      <c r="F1850" s="2" t="s">
        <v>11649</v>
      </c>
      <c r="G1850" s="2" t="s">
        <v>11650</v>
      </c>
      <c r="H1850" s="2" t="s">
        <v>11651</v>
      </c>
      <c r="I1850" s="2" t="s">
        <v>11652</v>
      </c>
      <c r="J1850" t="s">
        <v>11653</v>
      </c>
      <c r="L1850" s="1">
        <v>2</v>
      </c>
      <c r="M1850" s="1"/>
      <c r="N1850" s="1"/>
      <c r="O1850" s="3"/>
    </row>
    <row r="1851" spans="1:15" ht="409.6">
      <c r="A1851" t="s">
        <v>11654</v>
      </c>
      <c r="B1851" t="s">
        <v>11655</v>
      </c>
      <c r="C1851" t="s">
        <v>597</v>
      </c>
      <c r="D1851" t="s">
        <v>23</v>
      </c>
      <c r="E1851">
        <v>25</v>
      </c>
      <c r="F1851" s="2" t="s">
        <v>11656</v>
      </c>
      <c r="G1851" s="2" t="s">
        <v>11657</v>
      </c>
      <c r="H1851" s="2" t="s">
        <v>11658</v>
      </c>
      <c r="I1851" s="2" t="s">
        <v>11659</v>
      </c>
      <c r="J1851" t="s">
        <v>11660</v>
      </c>
      <c r="L1851" s="1">
        <v>2</v>
      </c>
      <c r="M1851" s="1"/>
      <c r="N1851" s="1"/>
      <c r="O1851" s="3"/>
    </row>
    <row r="1852" spans="1:15" ht="409.6">
      <c r="A1852" t="s">
        <v>6105</v>
      </c>
      <c r="B1852" t="s">
        <v>6106</v>
      </c>
      <c r="C1852" t="s">
        <v>597</v>
      </c>
      <c r="D1852" t="s">
        <v>23</v>
      </c>
      <c r="E1852">
        <v>15</v>
      </c>
      <c r="F1852" s="2" t="s">
        <v>11661</v>
      </c>
      <c r="G1852" s="2" t="s">
        <v>11662</v>
      </c>
      <c r="H1852" s="2" t="s">
        <v>11663</v>
      </c>
      <c r="I1852" s="2" t="s">
        <v>11664</v>
      </c>
      <c r="J1852" t="s">
        <v>6111</v>
      </c>
      <c r="L1852" s="1">
        <v>2</v>
      </c>
      <c r="M1852" s="1"/>
      <c r="N1852" s="1"/>
      <c r="O1852" s="3"/>
    </row>
    <row r="1853" spans="1:15" ht="409.6">
      <c r="A1853" t="s">
        <v>6112</v>
      </c>
      <c r="B1853" t="s">
        <v>6113</v>
      </c>
      <c r="C1853" t="s">
        <v>597</v>
      </c>
      <c r="D1853" t="s">
        <v>23</v>
      </c>
      <c r="E1853">
        <v>5</v>
      </c>
      <c r="F1853" s="2" t="s">
        <v>6114</v>
      </c>
      <c r="G1853" s="2" t="s">
        <v>6115</v>
      </c>
      <c r="H1853" s="2" t="s">
        <v>6116</v>
      </c>
      <c r="I1853" s="2" t="s">
        <v>6117</v>
      </c>
      <c r="J1853" t="s">
        <v>11665</v>
      </c>
      <c r="L1853" s="1">
        <v>2</v>
      </c>
      <c r="M1853" s="1"/>
      <c r="N1853" s="1"/>
      <c r="O1853" s="3"/>
    </row>
    <row r="1854" spans="1:15" ht="409.6">
      <c r="A1854" t="s">
        <v>11666</v>
      </c>
      <c r="B1854" t="s">
        <v>11667</v>
      </c>
      <c r="C1854" t="s">
        <v>597</v>
      </c>
      <c r="D1854" t="s">
        <v>23</v>
      </c>
      <c r="E1854">
        <v>10</v>
      </c>
      <c r="F1854" s="2" t="s">
        <v>11668</v>
      </c>
      <c r="G1854" s="2" t="s">
        <v>11669</v>
      </c>
      <c r="H1854" s="2" t="s">
        <v>11670</v>
      </c>
      <c r="I1854" s="2" t="s">
        <v>11671</v>
      </c>
      <c r="J1854" t="s">
        <v>11672</v>
      </c>
      <c r="L1854" s="1">
        <v>2</v>
      </c>
      <c r="M1854" s="1"/>
      <c r="N1854" s="1"/>
      <c r="O1854" s="3"/>
    </row>
    <row r="1855" spans="1:15" ht="409.6">
      <c r="A1855" t="s">
        <v>11673</v>
      </c>
      <c r="B1855" t="s">
        <v>596</v>
      </c>
      <c r="C1855" t="s">
        <v>597</v>
      </c>
      <c r="D1855" t="s">
        <v>23</v>
      </c>
      <c r="E1855">
        <v>10</v>
      </c>
      <c r="F1855" s="2" t="s">
        <v>11674</v>
      </c>
      <c r="G1855" s="2" t="s">
        <v>11675</v>
      </c>
      <c r="H1855" s="2" t="s">
        <v>11676</v>
      </c>
      <c r="I1855" s="2" t="s">
        <v>11677</v>
      </c>
      <c r="J1855" t="s">
        <v>11678</v>
      </c>
      <c r="L1855" s="1">
        <v>2</v>
      </c>
      <c r="M1855" s="1"/>
      <c r="N1855" s="1"/>
      <c r="O1855" s="3"/>
    </row>
    <row r="1856" spans="1:15" ht="409.6">
      <c r="A1856" t="s">
        <v>11679</v>
      </c>
      <c r="B1856" t="s">
        <v>11680</v>
      </c>
      <c r="C1856" t="s">
        <v>597</v>
      </c>
      <c r="D1856" t="s">
        <v>23</v>
      </c>
      <c r="E1856">
        <v>30</v>
      </c>
      <c r="F1856" s="2" t="s">
        <v>11681</v>
      </c>
      <c r="G1856" s="2" t="s">
        <v>11682</v>
      </c>
      <c r="H1856" s="2" t="s">
        <v>11683</v>
      </c>
      <c r="I1856" s="2" t="s">
        <v>11684</v>
      </c>
      <c r="J1856" t="s">
        <v>11685</v>
      </c>
      <c r="L1856" s="1">
        <v>2</v>
      </c>
      <c r="M1856" s="1"/>
      <c r="N1856" s="1"/>
      <c r="O1856" s="3"/>
    </row>
    <row r="1857" spans="1:15" ht="409.6">
      <c r="A1857" t="s">
        <v>11686</v>
      </c>
      <c r="B1857" t="s">
        <v>11687</v>
      </c>
      <c r="C1857" t="s">
        <v>597</v>
      </c>
      <c r="D1857" t="s">
        <v>23</v>
      </c>
      <c r="E1857">
        <v>15</v>
      </c>
      <c r="F1857" s="2" t="s">
        <v>11688</v>
      </c>
      <c r="G1857" s="2" t="s">
        <v>11689</v>
      </c>
      <c r="H1857" s="2" t="s">
        <v>11690</v>
      </c>
      <c r="I1857" s="2" t="s">
        <v>11691</v>
      </c>
      <c r="J1857" t="s">
        <v>11692</v>
      </c>
      <c r="L1857" s="1">
        <v>2</v>
      </c>
      <c r="M1857" s="1"/>
      <c r="N1857" s="1"/>
      <c r="O1857" s="3"/>
    </row>
    <row r="1858" spans="1:15" ht="409.6">
      <c r="A1858" t="s">
        <v>11693</v>
      </c>
      <c r="B1858" t="s">
        <v>11694</v>
      </c>
      <c r="C1858" t="s">
        <v>597</v>
      </c>
      <c r="D1858" t="s">
        <v>23</v>
      </c>
      <c r="E1858">
        <v>45</v>
      </c>
      <c r="F1858" s="2" t="s">
        <v>11695</v>
      </c>
      <c r="G1858" s="2" t="s">
        <v>11696</v>
      </c>
      <c r="H1858" s="2" t="s">
        <v>11697</v>
      </c>
      <c r="I1858" s="2" t="s">
        <v>11698</v>
      </c>
      <c r="J1858" t="s">
        <v>11699</v>
      </c>
      <c r="L1858" s="1">
        <v>2</v>
      </c>
      <c r="M1858" s="1"/>
      <c r="N1858" s="1"/>
      <c r="O1858" s="3"/>
    </row>
    <row r="1859" spans="1:15" ht="409.6">
      <c r="A1859" t="s">
        <v>11700</v>
      </c>
      <c r="B1859" t="s">
        <v>11701</v>
      </c>
      <c r="C1859" t="s">
        <v>597</v>
      </c>
      <c r="D1859" t="s">
        <v>23</v>
      </c>
      <c r="E1859">
        <v>15</v>
      </c>
      <c r="F1859" s="2" t="s">
        <v>11702</v>
      </c>
      <c r="G1859" s="2" t="s">
        <v>11703</v>
      </c>
      <c r="H1859" s="2" t="s">
        <v>11704</v>
      </c>
      <c r="I1859" s="2" t="s">
        <v>11705</v>
      </c>
      <c r="J1859" t="s">
        <v>11706</v>
      </c>
      <c r="L1859" s="1">
        <v>2</v>
      </c>
      <c r="M1859" s="1"/>
      <c r="N1859" s="1"/>
      <c r="O1859" s="3"/>
    </row>
    <row r="1860" spans="1:15" ht="409.6">
      <c r="A1860" t="s">
        <v>11707</v>
      </c>
      <c r="B1860" t="s">
        <v>11708</v>
      </c>
      <c r="C1860" t="s">
        <v>597</v>
      </c>
      <c r="D1860" t="s">
        <v>23</v>
      </c>
      <c r="E1860">
        <v>30</v>
      </c>
      <c r="F1860" s="2" t="s">
        <v>11709</v>
      </c>
      <c r="G1860" s="2" t="s">
        <v>11710</v>
      </c>
      <c r="H1860" s="2" t="s">
        <v>11711</v>
      </c>
      <c r="I1860" s="2" t="s">
        <v>11712</v>
      </c>
      <c r="J1860" t="s">
        <v>11713</v>
      </c>
      <c r="L1860" s="1">
        <v>2</v>
      </c>
      <c r="M1860" s="1"/>
      <c r="N1860" s="1"/>
      <c r="O1860" s="3"/>
    </row>
    <row r="1861" spans="1:15" ht="409.6">
      <c r="A1861" t="s">
        <v>11714</v>
      </c>
      <c r="B1861" t="s">
        <v>11715</v>
      </c>
      <c r="C1861" t="s">
        <v>597</v>
      </c>
      <c r="D1861" t="s">
        <v>23</v>
      </c>
      <c r="E1861">
        <v>15</v>
      </c>
      <c r="F1861" s="2" t="s">
        <v>11716</v>
      </c>
      <c r="G1861" s="2" t="s">
        <v>11717</v>
      </c>
      <c r="H1861" s="2" t="s">
        <v>11718</v>
      </c>
      <c r="I1861" s="2" t="s">
        <v>11719</v>
      </c>
      <c r="J1861" t="s">
        <v>11720</v>
      </c>
      <c r="L1861" s="1">
        <v>2</v>
      </c>
      <c r="M1861" s="1"/>
      <c r="N1861" s="1"/>
      <c r="O1861" s="3"/>
    </row>
    <row r="1862" spans="1:15" ht="409.6">
      <c r="A1862" t="s">
        <v>7139</v>
      </c>
      <c r="B1862" t="s">
        <v>7140</v>
      </c>
      <c r="C1862" t="s">
        <v>597</v>
      </c>
      <c r="D1862" t="s">
        <v>23</v>
      </c>
      <c r="E1862">
        <v>30</v>
      </c>
      <c r="F1862" s="2" t="s">
        <v>11721</v>
      </c>
      <c r="G1862" s="2" t="s">
        <v>11722</v>
      </c>
      <c r="H1862" s="2" t="s">
        <v>11723</v>
      </c>
      <c r="I1862" s="2" t="s">
        <v>11724</v>
      </c>
      <c r="J1862" t="s">
        <v>7145</v>
      </c>
      <c r="L1862" s="1">
        <v>2</v>
      </c>
      <c r="M1862" s="1"/>
      <c r="N1862" s="1"/>
      <c r="O1862" s="3"/>
    </row>
    <row r="1863" spans="1:15" ht="409.6">
      <c r="A1863" t="s">
        <v>11725</v>
      </c>
      <c r="B1863" t="s">
        <v>11726</v>
      </c>
      <c r="C1863" t="s">
        <v>2628</v>
      </c>
      <c r="D1863" t="s">
        <v>23</v>
      </c>
      <c r="E1863">
        <v>15</v>
      </c>
      <c r="F1863" s="2" t="s">
        <v>11727</v>
      </c>
      <c r="G1863" s="2" t="s">
        <v>11728</v>
      </c>
      <c r="H1863" s="2" t="s">
        <v>11729</v>
      </c>
      <c r="I1863" s="2" t="s">
        <v>11730</v>
      </c>
      <c r="J1863" t="s">
        <v>11731</v>
      </c>
      <c r="K1863" t="s">
        <v>11732</v>
      </c>
      <c r="L1863" s="1">
        <v>2</v>
      </c>
      <c r="M1863" s="1"/>
      <c r="N1863" s="1"/>
      <c r="O1863" s="3"/>
    </row>
    <row r="1864" spans="1:15" ht="409.6">
      <c r="A1864" t="s">
        <v>4108</v>
      </c>
      <c r="B1864" t="s">
        <v>4109</v>
      </c>
      <c r="C1864" t="s">
        <v>2628</v>
      </c>
      <c r="D1864" t="s">
        <v>23</v>
      </c>
      <c r="E1864">
        <v>10</v>
      </c>
      <c r="F1864" s="2" t="s">
        <v>11733</v>
      </c>
      <c r="G1864" s="2" t="s">
        <v>11734</v>
      </c>
      <c r="H1864" s="2" t="s">
        <v>11735</v>
      </c>
      <c r="I1864" s="2" t="s">
        <v>11736</v>
      </c>
      <c r="J1864" t="s">
        <v>11737</v>
      </c>
      <c r="L1864" s="1">
        <v>2</v>
      </c>
      <c r="M1864" s="1"/>
      <c r="N1864" s="1"/>
      <c r="O1864" s="3"/>
    </row>
    <row r="1865" spans="1:15" ht="409.6">
      <c r="A1865" t="s">
        <v>3707</v>
      </c>
      <c r="B1865" t="s">
        <v>3708</v>
      </c>
      <c r="C1865" t="s">
        <v>2628</v>
      </c>
      <c r="D1865" t="s">
        <v>23</v>
      </c>
      <c r="E1865">
        <v>5</v>
      </c>
      <c r="F1865" s="2" t="s">
        <v>11738</v>
      </c>
      <c r="G1865" s="2" t="s">
        <v>11739</v>
      </c>
      <c r="H1865" s="2" t="s">
        <v>11740</v>
      </c>
      <c r="I1865" s="2" t="s">
        <v>11741</v>
      </c>
      <c r="J1865" t="s">
        <v>11742</v>
      </c>
      <c r="K1865" t="s">
        <v>3715</v>
      </c>
      <c r="L1865" s="1">
        <v>2</v>
      </c>
      <c r="M1865" s="1"/>
      <c r="N1865" s="1"/>
      <c r="O1865" s="3"/>
    </row>
    <row r="1866" spans="1:15" ht="409.6">
      <c r="A1866" t="s">
        <v>11743</v>
      </c>
      <c r="B1866" t="s">
        <v>11744</v>
      </c>
      <c r="C1866" t="s">
        <v>2628</v>
      </c>
      <c r="D1866" t="s">
        <v>23</v>
      </c>
      <c r="E1866">
        <v>15</v>
      </c>
      <c r="F1866" s="2" t="s">
        <v>11745</v>
      </c>
      <c r="G1866" s="2" t="s">
        <v>11746</v>
      </c>
      <c r="H1866" s="2" t="s">
        <v>11747</v>
      </c>
      <c r="I1866" s="2" t="s">
        <v>11748</v>
      </c>
      <c r="J1866" t="s">
        <v>11749</v>
      </c>
      <c r="L1866" s="1">
        <v>2</v>
      </c>
      <c r="M1866" s="1"/>
      <c r="N1866" s="1"/>
      <c r="O1866" s="3"/>
    </row>
    <row r="1867" spans="1:15" ht="409.6">
      <c r="A1867" t="s">
        <v>4208</v>
      </c>
      <c r="B1867" t="s">
        <v>4209</v>
      </c>
      <c r="C1867" t="s">
        <v>2628</v>
      </c>
      <c r="D1867" t="s">
        <v>23</v>
      </c>
      <c r="E1867">
        <v>15</v>
      </c>
      <c r="F1867" s="2" t="s">
        <v>11750</v>
      </c>
      <c r="G1867" s="2" t="s">
        <v>11751</v>
      </c>
      <c r="H1867" s="2" t="s">
        <v>11752</v>
      </c>
      <c r="I1867" s="2" t="s">
        <v>11753</v>
      </c>
      <c r="J1867" t="s">
        <v>11754</v>
      </c>
      <c r="L1867" s="1">
        <v>2</v>
      </c>
      <c r="M1867" s="1"/>
      <c r="N1867" s="1"/>
      <c r="O1867" s="3"/>
    </row>
    <row r="1868" spans="1:15" ht="409.6">
      <c r="A1868" t="s">
        <v>4222</v>
      </c>
      <c r="B1868" t="s">
        <v>4223</v>
      </c>
      <c r="C1868" t="s">
        <v>2628</v>
      </c>
      <c r="D1868" t="s">
        <v>23</v>
      </c>
      <c r="E1868">
        <v>15</v>
      </c>
      <c r="F1868" s="2" t="s">
        <v>11755</v>
      </c>
      <c r="G1868" s="2" t="s">
        <v>11756</v>
      </c>
      <c r="H1868" s="2" t="s">
        <v>11757</v>
      </c>
      <c r="I1868" s="2" t="s">
        <v>11758</v>
      </c>
      <c r="J1868" t="s">
        <v>11759</v>
      </c>
      <c r="L1868" s="1">
        <v>2</v>
      </c>
      <c r="M1868" s="1"/>
      <c r="N1868" s="1"/>
      <c r="O1868" s="3"/>
    </row>
    <row r="1869" spans="1:15" ht="409.6">
      <c r="A1869" t="s">
        <v>11760</v>
      </c>
      <c r="B1869" t="s">
        <v>11761</v>
      </c>
      <c r="C1869" t="s">
        <v>2628</v>
      </c>
      <c r="D1869" t="s">
        <v>23</v>
      </c>
      <c r="E1869">
        <v>15</v>
      </c>
      <c r="F1869" s="2" t="s">
        <v>11762</v>
      </c>
      <c r="G1869" s="2" t="s">
        <v>11763</v>
      </c>
      <c r="H1869" s="2" t="s">
        <v>11764</v>
      </c>
      <c r="I1869" s="2" t="s">
        <v>11765</v>
      </c>
      <c r="J1869" t="s">
        <v>11766</v>
      </c>
      <c r="L1869" s="1">
        <v>2</v>
      </c>
      <c r="M1869" s="1"/>
      <c r="N1869" s="1"/>
      <c r="O1869" s="3"/>
    </row>
    <row r="1870" spans="1:15" ht="409.6">
      <c r="A1870" t="s">
        <v>4965</v>
      </c>
      <c r="B1870" t="s">
        <v>4966</v>
      </c>
      <c r="C1870" t="s">
        <v>2628</v>
      </c>
      <c r="D1870" t="s">
        <v>23</v>
      </c>
      <c r="E1870">
        <v>10</v>
      </c>
      <c r="F1870" s="2" t="s">
        <v>4967</v>
      </c>
      <c r="G1870" s="2" t="s">
        <v>4968</v>
      </c>
      <c r="H1870" s="2" t="s">
        <v>11767</v>
      </c>
      <c r="I1870" s="2" t="s">
        <v>11768</v>
      </c>
      <c r="J1870" t="s">
        <v>11769</v>
      </c>
      <c r="L1870" s="1">
        <v>2</v>
      </c>
      <c r="M1870" s="1"/>
      <c r="N1870" s="1"/>
      <c r="O1870" s="3"/>
    </row>
    <row r="1871" spans="1:15" ht="409.6">
      <c r="A1871" t="s">
        <v>11770</v>
      </c>
      <c r="B1871" t="s">
        <v>11771</v>
      </c>
      <c r="C1871" t="s">
        <v>2628</v>
      </c>
      <c r="D1871" t="s">
        <v>23</v>
      </c>
      <c r="E1871">
        <v>15</v>
      </c>
      <c r="F1871" s="2" t="s">
        <v>11772</v>
      </c>
      <c r="G1871" s="2" t="s">
        <v>11773</v>
      </c>
      <c r="H1871" s="2" t="s">
        <v>11774</v>
      </c>
      <c r="I1871" s="2" t="s">
        <v>11774</v>
      </c>
      <c r="J1871" t="s">
        <v>11775</v>
      </c>
      <c r="L1871" s="1">
        <v>2</v>
      </c>
      <c r="M1871" s="1"/>
      <c r="N1871" s="1"/>
      <c r="O1871" s="3"/>
    </row>
    <row r="1872" spans="1:15" ht="409.6">
      <c r="A1872" t="s">
        <v>9906</v>
      </c>
      <c r="B1872" t="s">
        <v>9907</v>
      </c>
      <c r="C1872" t="s">
        <v>2628</v>
      </c>
      <c r="D1872" t="s">
        <v>23</v>
      </c>
      <c r="E1872">
        <v>60</v>
      </c>
      <c r="F1872" s="2" t="s">
        <v>11776</v>
      </c>
      <c r="G1872" s="2" t="s">
        <v>11777</v>
      </c>
      <c r="H1872" s="2" t="s">
        <v>11778</v>
      </c>
      <c r="I1872" s="2" t="s">
        <v>11779</v>
      </c>
      <c r="J1872" t="s">
        <v>11780</v>
      </c>
      <c r="L1872" s="1">
        <v>2</v>
      </c>
      <c r="M1872" s="1"/>
      <c r="N1872" s="1"/>
      <c r="O1872" s="3"/>
    </row>
    <row r="1873" spans="1:15" ht="409.6">
      <c r="A1873" t="s">
        <v>5363</v>
      </c>
      <c r="B1873" t="s">
        <v>5364</v>
      </c>
      <c r="C1873" t="s">
        <v>2628</v>
      </c>
      <c r="D1873" t="s">
        <v>23</v>
      </c>
      <c r="E1873">
        <v>25</v>
      </c>
      <c r="F1873" s="2" t="s">
        <v>11781</v>
      </c>
      <c r="G1873" s="2" t="s">
        <v>5366</v>
      </c>
      <c r="H1873" s="2" t="s">
        <v>5367</v>
      </c>
      <c r="I1873" s="2" t="s">
        <v>11782</v>
      </c>
      <c r="J1873" t="s">
        <v>11783</v>
      </c>
      <c r="L1873" s="1">
        <v>2</v>
      </c>
      <c r="M1873" s="1"/>
      <c r="N1873" s="1"/>
      <c r="O1873" s="3"/>
    </row>
    <row r="1874" spans="1:15" ht="409.6">
      <c r="A1874" t="s">
        <v>2626</v>
      </c>
      <c r="B1874" t="s">
        <v>2627</v>
      </c>
      <c r="C1874" t="s">
        <v>2628</v>
      </c>
      <c r="D1874" t="s">
        <v>23</v>
      </c>
      <c r="E1874">
        <v>10</v>
      </c>
      <c r="F1874" s="2" t="s">
        <v>11784</v>
      </c>
      <c r="G1874" s="2" t="s">
        <v>11785</v>
      </c>
      <c r="H1874" s="2" t="s">
        <v>11786</v>
      </c>
      <c r="I1874" s="2" t="s">
        <v>11787</v>
      </c>
      <c r="J1874" t="s">
        <v>11788</v>
      </c>
      <c r="L1874" s="1">
        <v>2</v>
      </c>
      <c r="M1874" s="1"/>
      <c r="N1874" s="1"/>
      <c r="O1874" s="3"/>
    </row>
    <row r="1875" spans="1:15" ht="409.6">
      <c r="A1875" t="s">
        <v>11789</v>
      </c>
      <c r="B1875" t="s">
        <v>11790</v>
      </c>
      <c r="C1875" t="s">
        <v>2628</v>
      </c>
      <c r="D1875" t="s">
        <v>23</v>
      </c>
      <c r="E1875">
        <v>15</v>
      </c>
      <c r="F1875" s="2" t="s">
        <v>11791</v>
      </c>
      <c r="G1875" s="2" t="s">
        <v>11792</v>
      </c>
      <c r="H1875" s="2" t="s">
        <v>11793</v>
      </c>
      <c r="I1875" s="2" t="s">
        <v>11794</v>
      </c>
      <c r="J1875" t="s">
        <v>11795</v>
      </c>
      <c r="L1875" s="1">
        <v>2</v>
      </c>
      <c r="M1875" s="1"/>
      <c r="N1875" s="1"/>
      <c r="O1875" s="3"/>
    </row>
    <row r="1876" spans="1:15" ht="409.6">
      <c r="A1876" t="s">
        <v>3846</v>
      </c>
      <c r="B1876" t="s">
        <v>3847</v>
      </c>
      <c r="C1876" t="s">
        <v>2628</v>
      </c>
      <c r="D1876" t="s">
        <v>23</v>
      </c>
      <c r="E1876">
        <v>50</v>
      </c>
      <c r="F1876" s="2" t="s">
        <v>11796</v>
      </c>
      <c r="G1876" s="2" t="s">
        <v>3849</v>
      </c>
      <c r="H1876" s="2" t="s">
        <v>11797</v>
      </c>
      <c r="I1876" s="2" t="s">
        <v>3851</v>
      </c>
      <c r="J1876" t="s">
        <v>11798</v>
      </c>
      <c r="L1876" s="1">
        <v>2</v>
      </c>
      <c r="M1876" s="1"/>
      <c r="N1876" s="1"/>
      <c r="O1876" s="3"/>
    </row>
    <row r="1877" spans="1:15" ht="409.6">
      <c r="A1877" t="s">
        <v>11799</v>
      </c>
      <c r="B1877" t="s">
        <v>11800</v>
      </c>
      <c r="C1877" t="s">
        <v>2628</v>
      </c>
      <c r="D1877" t="s">
        <v>23</v>
      </c>
      <c r="E1877">
        <v>30</v>
      </c>
      <c r="F1877" s="2" t="s">
        <v>11801</v>
      </c>
      <c r="G1877" s="2" t="s">
        <v>11802</v>
      </c>
      <c r="H1877" s="2" t="s">
        <v>11803</v>
      </c>
      <c r="I1877" s="2" t="s">
        <v>11804</v>
      </c>
      <c r="J1877" t="s">
        <v>11805</v>
      </c>
      <c r="L1877" s="1">
        <v>2</v>
      </c>
      <c r="M1877" s="1"/>
      <c r="N1877" s="1"/>
      <c r="O1877" s="3"/>
    </row>
    <row r="1878" spans="1:15" ht="409.6">
      <c r="A1878" t="s">
        <v>11806</v>
      </c>
      <c r="B1878" t="s">
        <v>11807</v>
      </c>
      <c r="C1878" t="s">
        <v>2628</v>
      </c>
      <c r="D1878" t="s">
        <v>23</v>
      </c>
      <c r="E1878">
        <v>20</v>
      </c>
      <c r="F1878" s="2" t="s">
        <v>11808</v>
      </c>
      <c r="G1878" s="2" t="s">
        <v>11809</v>
      </c>
      <c r="H1878" s="2" t="s">
        <v>11810</v>
      </c>
      <c r="I1878" s="2" t="s">
        <v>11811</v>
      </c>
      <c r="J1878" t="s">
        <v>11812</v>
      </c>
      <c r="L1878" s="1">
        <v>2</v>
      </c>
      <c r="M1878" s="1"/>
      <c r="N1878" s="1"/>
      <c r="O1878" s="3"/>
    </row>
    <row r="1879" spans="1:15" ht="409.6">
      <c r="A1879" t="s">
        <v>11813</v>
      </c>
      <c r="B1879" t="s">
        <v>11814</v>
      </c>
      <c r="C1879" t="s">
        <v>2628</v>
      </c>
      <c r="D1879" t="s">
        <v>23</v>
      </c>
      <c r="E1879">
        <v>10</v>
      </c>
      <c r="F1879" s="2" t="s">
        <v>11815</v>
      </c>
      <c r="G1879" s="2" t="s">
        <v>11816</v>
      </c>
      <c r="H1879" s="2" t="s">
        <v>11817</v>
      </c>
      <c r="I1879" s="2" t="s">
        <v>11818</v>
      </c>
      <c r="J1879" t="s">
        <v>11819</v>
      </c>
      <c r="L1879" s="1">
        <v>2</v>
      </c>
      <c r="M1879" s="1"/>
      <c r="N1879" s="1"/>
      <c r="O1879" s="3"/>
    </row>
    <row r="1880" spans="1:15" ht="409.6">
      <c r="A1880" t="s">
        <v>11820</v>
      </c>
      <c r="B1880" t="s">
        <v>11821</v>
      </c>
      <c r="C1880" t="s">
        <v>2628</v>
      </c>
      <c r="D1880" t="s">
        <v>23</v>
      </c>
      <c r="E1880">
        <v>10</v>
      </c>
      <c r="F1880" s="2" t="s">
        <v>11822</v>
      </c>
      <c r="G1880" s="2" t="s">
        <v>11489</v>
      </c>
      <c r="H1880" s="2" t="s">
        <v>11823</v>
      </c>
      <c r="I1880" s="2" t="s">
        <v>11824</v>
      </c>
      <c r="J1880" t="s">
        <v>11825</v>
      </c>
      <c r="L1880" s="1">
        <v>2</v>
      </c>
      <c r="M1880" s="1"/>
      <c r="N1880" s="1"/>
      <c r="O1880" s="3"/>
    </row>
    <row r="1881" spans="1:15" ht="409.6">
      <c r="A1881" t="s">
        <v>11826</v>
      </c>
      <c r="B1881" t="s">
        <v>11827</v>
      </c>
      <c r="C1881" t="s">
        <v>2628</v>
      </c>
      <c r="D1881" t="s">
        <v>23</v>
      </c>
      <c r="E1881">
        <v>25</v>
      </c>
      <c r="F1881" s="2" t="s">
        <v>11828</v>
      </c>
      <c r="G1881" s="2" t="s">
        <v>11829</v>
      </c>
      <c r="H1881" s="2" t="s">
        <v>11830</v>
      </c>
      <c r="I1881" s="2" t="s">
        <v>11831</v>
      </c>
      <c r="J1881" t="s">
        <v>11832</v>
      </c>
      <c r="K1881" t="s">
        <v>11833</v>
      </c>
      <c r="L1881" s="1">
        <v>2</v>
      </c>
      <c r="M1881" s="1"/>
      <c r="N1881" s="1"/>
      <c r="O1881" s="3"/>
    </row>
    <row r="1882" spans="1:15" ht="409.6">
      <c r="A1882" t="s">
        <v>11834</v>
      </c>
      <c r="B1882" t="s">
        <v>11835</v>
      </c>
      <c r="C1882" t="s">
        <v>2628</v>
      </c>
      <c r="D1882" t="s">
        <v>23</v>
      </c>
      <c r="E1882">
        <v>20</v>
      </c>
      <c r="F1882" s="2" t="s">
        <v>11836</v>
      </c>
      <c r="G1882" s="2" t="s">
        <v>11837</v>
      </c>
      <c r="H1882" s="2" t="s">
        <v>11838</v>
      </c>
      <c r="I1882" s="2" t="s">
        <v>11839</v>
      </c>
      <c r="J1882" t="s">
        <v>11840</v>
      </c>
      <c r="L1882" s="1">
        <v>2</v>
      </c>
      <c r="M1882" s="1"/>
      <c r="N1882" s="1"/>
      <c r="O1882" s="3"/>
    </row>
    <row r="1883" spans="1:15" ht="264">
      <c r="A1883" t="s">
        <v>2885</v>
      </c>
      <c r="B1883" t="s">
        <v>2886</v>
      </c>
      <c r="C1883" t="s">
        <v>2628</v>
      </c>
      <c r="D1883" t="s">
        <v>23</v>
      </c>
      <c r="E1883">
        <v>20</v>
      </c>
      <c r="F1883" s="2" t="s">
        <v>11841</v>
      </c>
      <c r="G1883" s="2" t="s">
        <v>11842</v>
      </c>
      <c r="H1883" t="s">
        <v>11843</v>
      </c>
      <c r="I1883" t="s">
        <v>11844</v>
      </c>
      <c r="J1883" t="s">
        <v>11845</v>
      </c>
      <c r="L1883" s="1">
        <v>2</v>
      </c>
      <c r="M1883" s="1"/>
      <c r="N1883" s="1"/>
      <c r="O1883" s="3"/>
    </row>
    <row r="1884" spans="1:15" ht="409.6">
      <c r="A1884" t="s">
        <v>11846</v>
      </c>
      <c r="B1884" t="s">
        <v>11847</v>
      </c>
      <c r="C1884" t="s">
        <v>2628</v>
      </c>
      <c r="D1884" t="s">
        <v>23</v>
      </c>
      <c r="E1884">
        <v>15</v>
      </c>
      <c r="F1884" s="2" t="s">
        <v>11848</v>
      </c>
      <c r="G1884" s="2" t="s">
        <v>11849</v>
      </c>
      <c r="H1884" s="2" t="s">
        <v>11850</v>
      </c>
      <c r="I1884" s="2" t="s">
        <v>11851</v>
      </c>
      <c r="J1884" t="s">
        <v>11852</v>
      </c>
      <c r="K1884" t="s">
        <v>11853</v>
      </c>
      <c r="L1884" s="1">
        <v>2</v>
      </c>
      <c r="M1884" s="1"/>
      <c r="N1884" s="1"/>
      <c r="O1884" s="3"/>
    </row>
    <row r="1885" spans="1:15" ht="409.6">
      <c r="A1885" t="s">
        <v>10074</v>
      </c>
      <c r="B1885" t="s">
        <v>10075</v>
      </c>
      <c r="C1885" t="s">
        <v>2628</v>
      </c>
      <c r="D1885" t="s">
        <v>23</v>
      </c>
      <c r="E1885">
        <v>10</v>
      </c>
      <c r="F1885" s="2" t="s">
        <v>11854</v>
      </c>
      <c r="G1885" s="2" t="s">
        <v>11855</v>
      </c>
      <c r="H1885" s="2" t="s">
        <v>10078</v>
      </c>
      <c r="I1885" s="2" t="s">
        <v>11856</v>
      </c>
      <c r="J1885" t="s">
        <v>11857</v>
      </c>
      <c r="L1885" s="1">
        <v>2</v>
      </c>
      <c r="M1885" s="1"/>
      <c r="N1885" s="1"/>
      <c r="O1885" s="3"/>
    </row>
    <row r="1886" spans="1:15" ht="409.6">
      <c r="A1886" t="s">
        <v>11858</v>
      </c>
      <c r="B1886" t="s">
        <v>11859</v>
      </c>
      <c r="C1886" t="s">
        <v>11860</v>
      </c>
      <c r="D1886" t="s">
        <v>23</v>
      </c>
      <c r="E1886">
        <v>30</v>
      </c>
      <c r="F1886" s="2" t="s">
        <v>11861</v>
      </c>
      <c r="G1886" s="2" t="s">
        <v>11862</v>
      </c>
      <c r="H1886" s="2" t="s">
        <v>11863</v>
      </c>
      <c r="I1886" s="2" t="s">
        <v>11864</v>
      </c>
      <c r="J1886" t="s">
        <v>11865</v>
      </c>
      <c r="K1886" t="s">
        <v>11866</v>
      </c>
      <c r="L1886" s="1">
        <v>2</v>
      </c>
      <c r="M1886" s="1"/>
      <c r="N1886" s="1"/>
      <c r="O1886" s="3"/>
    </row>
    <row r="1887" spans="1:15" ht="409.6">
      <c r="A1887" t="s">
        <v>7217</v>
      </c>
      <c r="B1887" t="s">
        <v>7218</v>
      </c>
      <c r="C1887" t="s">
        <v>11860</v>
      </c>
      <c r="D1887" t="s">
        <v>23</v>
      </c>
      <c r="E1887">
        <v>15</v>
      </c>
      <c r="F1887" s="2" t="s">
        <v>11867</v>
      </c>
      <c r="G1887" s="2" t="s">
        <v>11868</v>
      </c>
      <c r="H1887" s="2" t="s">
        <v>11869</v>
      </c>
      <c r="I1887" s="2" t="s">
        <v>11870</v>
      </c>
      <c r="J1887" t="s">
        <v>11871</v>
      </c>
      <c r="K1887" t="s">
        <v>11872</v>
      </c>
      <c r="L1887" s="1">
        <v>2</v>
      </c>
      <c r="M1887" s="1"/>
      <c r="N1887" s="1"/>
      <c r="O1887" s="3"/>
    </row>
    <row r="1888" spans="1:15" ht="409.6">
      <c r="A1888" t="s">
        <v>11873</v>
      </c>
      <c r="B1888" t="s">
        <v>11874</v>
      </c>
      <c r="C1888" t="s">
        <v>11860</v>
      </c>
      <c r="D1888" t="s">
        <v>23</v>
      </c>
      <c r="E1888">
        <v>30</v>
      </c>
      <c r="F1888" s="2" t="s">
        <v>11875</v>
      </c>
      <c r="G1888" s="2" t="s">
        <v>11876</v>
      </c>
      <c r="H1888" s="2" t="s">
        <v>11877</v>
      </c>
      <c r="I1888" s="2" t="s">
        <v>11878</v>
      </c>
      <c r="J1888" t="s">
        <v>11879</v>
      </c>
      <c r="K1888" t="s">
        <v>11880</v>
      </c>
      <c r="L1888" s="1">
        <v>2</v>
      </c>
      <c r="M1888" s="1"/>
      <c r="N1888" s="1"/>
      <c r="O1888" s="3"/>
    </row>
    <row r="1889" spans="1:15" ht="409.6">
      <c r="A1889" t="s">
        <v>11881</v>
      </c>
      <c r="B1889" t="s">
        <v>11882</v>
      </c>
      <c r="C1889" t="s">
        <v>11860</v>
      </c>
      <c r="D1889" t="s">
        <v>23</v>
      </c>
      <c r="E1889">
        <v>40</v>
      </c>
      <c r="F1889" s="2" t="s">
        <v>11883</v>
      </c>
      <c r="G1889" s="2" t="s">
        <v>11884</v>
      </c>
      <c r="H1889" s="2" t="s">
        <v>11885</v>
      </c>
      <c r="I1889" s="2" t="s">
        <v>11886</v>
      </c>
      <c r="J1889" t="s">
        <v>11887</v>
      </c>
      <c r="K1889" t="s">
        <v>11888</v>
      </c>
      <c r="L1889" s="1">
        <v>2</v>
      </c>
      <c r="M1889" s="1"/>
      <c r="N1889" s="1"/>
      <c r="O1889" s="3"/>
    </row>
    <row r="1890" spans="1:15" ht="409.6">
      <c r="A1890" t="s">
        <v>2856</v>
      </c>
      <c r="B1890" t="s">
        <v>2857</v>
      </c>
      <c r="C1890" t="s">
        <v>11860</v>
      </c>
      <c r="D1890" t="s">
        <v>23</v>
      </c>
      <c r="E1890">
        <v>15</v>
      </c>
      <c r="F1890" s="2" t="s">
        <v>11889</v>
      </c>
      <c r="G1890" s="2" t="s">
        <v>11890</v>
      </c>
      <c r="H1890" s="2" t="s">
        <v>11891</v>
      </c>
      <c r="I1890" s="2" t="s">
        <v>11892</v>
      </c>
      <c r="J1890" t="s">
        <v>11893</v>
      </c>
      <c r="K1890" t="s">
        <v>11894</v>
      </c>
      <c r="L1890" s="1">
        <v>2</v>
      </c>
      <c r="M1890" s="1"/>
      <c r="N1890" s="1"/>
      <c r="O1890" s="3"/>
    </row>
    <row r="1891" spans="1:15" ht="409.6">
      <c r="A1891" t="s">
        <v>11895</v>
      </c>
      <c r="B1891" t="s">
        <v>11896</v>
      </c>
      <c r="C1891" t="s">
        <v>11860</v>
      </c>
      <c r="D1891" t="s">
        <v>14</v>
      </c>
      <c r="E1891">
        <v>30</v>
      </c>
      <c r="F1891" s="2" t="s">
        <v>11897</v>
      </c>
      <c r="G1891" s="2" t="s">
        <v>11898</v>
      </c>
      <c r="H1891" s="2" t="s">
        <v>11899</v>
      </c>
      <c r="I1891" s="2" t="s">
        <v>11900</v>
      </c>
      <c r="J1891" t="s">
        <v>11901</v>
      </c>
      <c r="K1891" t="s">
        <v>11902</v>
      </c>
      <c r="L1891" s="1">
        <v>2</v>
      </c>
      <c r="M1891" s="1"/>
      <c r="N1891" s="1"/>
      <c r="O1891" s="3"/>
    </row>
    <row r="1892" spans="1:15" ht="409.6">
      <c r="A1892" t="s">
        <v>11903</v>
      </c>
      <c r="B1892" t="s">
        <v>11904</v>
      </c>
      <c r="C1892" t="s">
        <v>11860</v>
      </c>
      <c r="D1892" t="s">
        <v>23</v>
      </c>
      <c r="E1892">
        <v>25</v>
      </c>
      <c r="F1892" s="2" t="s">
        <v>11905</v>
      </c>
      <c r="G1892" s="2" t="s">
        <v>11906</v>
      </c>
      <c r="H1892" s="2" t="s">
        <v>11907</v>
      </c>
      <c r="I1892" s="2" t="s">
        <v>11908</v>
      </c>
      <c r="J1892" t="s">
        <v>11909</v>
      </c>
      <c r="K1892" t="s">
        <v>11910</v>
      </c>
      <c r="L1892" s="1">
        <v>2</v>
      </c>
      <c r="M1892" s="1"/>
      <c r="N1892" s="1"/>
      <c r="O1892" s="3"/>
    </row>
    <row r="1893" spans="1:15" ht="409.6">
      <c r="A1893" t="s">
        <v>9716</v>
      </c>
      <c r="B1893" t="s">
        <v>6419</v>
      </c>
      <c r="C1893" t="s">
        <v>11860</v>
      </c>
      <c r="D1893" t="s">
        <v>23</v>
      </c>
      <c r="E1893">
        <v>20</v>
      </c>
      <c r="F1893" s="2" t="s">
        <v>11911</v>
      </c>
      <c r="G1893" s="2" t="s">
        <v>11912</v>
      </c>
      <c r="H1893" s="2" t="s">
        <v>11913</v>
      </c>
      <c r="I1893" s="2" t="s">
        <v>11914</v>
      </c>
      <c r="J1893" t="s">
        <v>11915</v>
      </c>
      <c r="K1893" t="s">
        <v>11916</v>
      </c>
      <c r="L1893" s="1">
        <v>2</v>
      </c>
      <c r="M1893" s="1"/>
      <c r="N1893" s="1"/>
      <c r="O1893" s="3"/>
    </row>
    <row r="1894" spans="1:15" ht="409.6">
      <c r="A1894" t="s">
        <v>11917</v>
      </c>
      <c r="B1894" t="s">
        <v>11918</v>
      </c>
      <c r="C1894" t="s">
        <v>11860</v>
      </c>
      <c r="D1894" t="s">
        <v>23</v>
      </c>
      <c r="E1894">
        <v>20</v>
      </c>
      <c r="F1894" s="2" t="s">
        <v>11919</v>
      </c>
      <c r="G1894" s="2" t="s">
        <v>11920</v>
      </c>
      <c r="H1894" s="2" t="s">
        <v>11921</v>
      </c>
      <c r="I1894" s="2" t="s">
        <v>11922</v>
      </c>
      <c r="J1894" t="s">
        <v>11923</v>
      </c>
      <c r="K1894" t="s">
        <v>11924</v>
      </c>
      <c r="L1894" s="1">
        <v>2</v>
      </c>
      <c r="M1894" s="1"/>
      <c r="N1894" s="1"/>
      <c r="O1894" s="3"/>
    </row>
    <row r="1895" spans="1:15" ht="409.6">
      <c r="A1895" t="s">
        <v>11925</v>
      </c>
      <c r="B1895" t="s">
        <v>11926</v>
      </c>
      <c r="C1895" t="s">
        <v>11860</v>
      </c>
      <c r="D1895" t="s">
        <v>23</v>
      </c>
      <c r="E1895">
        <v>20</v>
      </c>
      <c r="F1895" s="2" t="s">
        <v>11927</v>
      </c>
      <c r="G1895" s="2" t="s">
        <v>11928</v>
      </c>
      <c r="H1895" s="2" t="s">
        <v>11929</v>
      </c>
      <c r="I1895" s="2" t="s">
        <v>11930</v>
      </c>
      <c r="J1895" t="s">
        <v>11310</v>
      </c>
      <c r="K1895" t="s">
        <v>11931</v>
      </c>
      <c r="L1895" s="1">
        <v>2</v>
      </c>
      <c r="M1895" s="1"/>
      <c r="N1895" s="1"/>
      <c r="O1895" s="3"/>
    </row>
    <row r="1896" spans="1:15" ht="409.6">
      <c r="A1896" t="s">
        <v>11932</v>
      </c>
      <c r="B1896" t="s">
        <v>11933</v>
      </c>
      <c r="C1896" t="s">
        <v>11860</v>
      </c>
      <c r="D1896" t="s">
        <v>23</v>
      </c>
      <c r="E1896">
        <v>15</v>
      </c>
      <c r="F1896" s="2" t="s">
        <v>11934</v>
      </c>
      <c r="G1896" s="2" t="s">
        <v>11935</v>
      </c>
      <c r="H1896" s="2" t="s">
        <v>11936</v>
      </c>
      <c r="I1896" s="2" t="s">
        <v>11937</v>
      </c>
      <c r="J1896" t="s">
        <v>11938</v>
      </c>
      <c r="K1896" t="s">
        <v>11939</v>
      </c>
      <c r="L1896" s="1">
        <v>2</v>
      </c>
      <c r="M1896" s="1"/>
      <c r="N1896" s="1"/>
      <c r="O1896" s="3"/>
    </row>
    <row r="1897" spans="1:15" ht="382.8">
      <c r="A1897" t="s">
        <v>11940</v>
      </c>
      <c r="B1897" t="s">
        <v>11941</v>
      </c>
      <c r="C1897" t="s">
        <v>11860</v>
      </c>
      <c r="D1897" t="s">
        <v>23</v>
      </c>
      <c r="E1897">
        <v>15</v>
      </c>
      <c r="F1897" s="2" t="s">
        <v>11942</v>
      </c>
      <c r="G1897" s="2" t="s">
        <v>11943</v>
      </c>
      <c r="H1897" s="2" t="s">
        <v>11944</v>
      </c>
      <c r="I1897" s="2" t="s">
        <v>11945</v>
      </c>
      <c r="J1897" t="s">
        <v>11946</v>
      </c>
      <c r="K1897" t="s">
        <v>11947</v>
      </c>
      <c r="L1897" s="1">
        <v>2</v>
      </c>
      <c r="M1897" s="1"/>
      <c r="N1897" s="1"/>
      <c r="O1897" s="3"/>
    </row>
    <row r="1898" spans="1:15" ht="409.6">
      <c r="A1898" t="s">
        <v>11431</v>
      </c>
      <c r="B1898" t="s">
        <v>11948</v>
      </c>
      <c r="C1898" t="s">
        <v>11860</v>
      </c>
      <c r="D1898" t="s">
        <v>23</v>
      </c>
      <c r="E1898">
        <v>20</v>
      </c>
      <c r="F1898" s="2" t="s">
        <v>11949</v>
      </c>
      <c r="G1898" s="2" t="s">
        <v>11950</v>
      </c>
      <c r="H1898" s="2" t="s">
        <v>11951</v>
      </c>
      <c r="I1898" s="2" t="s">
        <v>11952</v>
      </c>
      <c r="J1898" t="s">
        <v>11953</v>
      </c>
      <c r="K1898" t="s">
        <v>11954</v>
      </c>
      <c r="L1898" s="1">
        <v>2</v>
      </c>
      <c r="M1898" s="1"/>
      <c r="N1898" s="1"/>
      <c r="O1898" s="3"/>
    </row>
    <row r="1899" spans="1:15" ht="409.6">
      <c r="A1899" t="s">
        <v>11955</v>
      </c>
      <c r="B1899" t="s">
        <v>11956</v>
      </c>
      <c r="C1899" t="s">
        <v>11860</v>
      </c>
      <c r="D1899" t="s">
        <v>23</v>
      </c>
      <c r="E1899">
        <v>30</v>
      </c>
      <c r="F1899" s="2" t="s">
        <v>11957</v>
      </c>
      <c r="G1899" s="2" t="s">
        <v>11958</v>
      </c>
      <c r="H1899" s="2" t="s">
        <v>11959</v>
      </c>
      <c r="I1899" s="2" t="s">
        <v>11960</v>
      </c>
      <c r="J1899" t="s">
        <v>11961</v>
      </c>
      <c r="K1899" t="s">
        <v>11962</v>
      </c>
      <c r="L1899" s="1">
        <v>2</v>
      </c>
      <c r="M1899" s="1"/>
      <c r="N1899" s="1"/>
      <c r="O1899" s="3"/>
    </row>
    <row r="1900" spans="1:15" ht="409.6">
      <c r="A1900" t="s">
        <v>11963</v>
      </c>
      <c r="B1900" t="s">
        <v>11964</v>
      </c>
      <c r="C1900" t="s">
        <v>11860</v>
      </c>
      <c r="D1900" t="s">
        <v>23</v>
      </c>
      <c r="E1900">
        <v>25</v>
      </c>
      <c r="F1900" s="2" t="s">
        <v>11965</v>
      </c>
      <c r="G1900" s="2" t="s">
        <v>11966</v>
      </c>
      <c r="H1900" s="2" t="s">
        <v>11967</v>
      </c>
      <c r="I1900" s="2" t="s">
        <v>11968</v>
      </c>
      <c r="J1900" t="s">
        <v>11969</v>
      </c>
      <c r="K1900" t="s">
        <v>11970</v>
      </c>
      <c r="L1900" s="1">
        <v>2</v>
      </c>
      <c r="M1900" s="1"/>
      <c r="N1900" s="1"/>
      <c r="O1900" s="3"/>
    </row>
    <row r="1901" spans="1:15" ht="409.6">
      <c r="A1901" t="s">
        <v>11971</v>
      </c>
      <c r="B1901" t="s">
        <v>11972</v>
      </c>
      <c r="C1901" t="s">
        <v>11860</v>
      </c>
      <c r="D1901" t="s">
        <v>23</v>
      </c>
      <c r="E1901">
        <v>30</v>
      </c>
      <c r="F1901" s="2" t="s">
        <v>11973</v>
      </c>
      <c r="G1901" s="2" t="s">
        <v>11974</v>
      </c>
      <c r="H1901" s="2" t="s">
        <v>11975</v>
      </c>
      <c r="I1901" s="2" t="s">
        <v>11976</v>
      </c>
      <c r="J1901" t="s">
        <v>11977</v>
      </c>
      <c r="K1901" t="s">
        <v>11978</v>
      </c>
      <c r="L1901" s="1">
        <v>2</v>
      </c>
      <c r="M1901" s="1"/>
      <c r="N1901" s="1"/>
      <c r="O1901" s="3"/>
    </row>
    <row r="1902" spans="1:15" ht="409.6">
      <c r="A1902" t="s">
        <v>11979</v>
      </c>
      <c r="B1902" t="s">
        <v>11980</v>
      </c>
      <c r="C1902" t="s">
        <v>11860</v>
      </c>
      <c r="D1902" t="s">
        <v>14</v>
      </c>
      <c r="E1902">
        <v>45</v>
      </c>
      <c r="F1902" s="2" t="s">
        <v>11981</v>
      </c>
      <c r="G1902" s="2" t="s">
        <v>11982</v>
      </c>
      <c r="H1902" s="2" t="s">
        <v>11983</v>
      </c>
      <c r="I1902" s="2" t="s">
        <v>11984</v>
      </c>
      <c r="J1902" t="s">
        <v>11985</v>
      </c>
      <c r="K1902" t="s">
        <v>11986</v>
      </c>
      <c r="L1902" s="1">
        <v>2</v>
      </c>
      <c r="M1902" s="1"/>
      <c r="N1902" s="1"/>
      <c r="O1902" s="3"/>
    </row>
    <row r="1903" spans="1:15" ht="409.6">
      <c r="A1903" t="s">
        <v>5691</v>
      </c>
      <c r="B1903" t="s">
        <v>5692</v>
      </c>
      <c r="C1903" t="s">
        <v>11860</v>
      </c>
      <c r="D1903" t="s">
        <v>23</v>
      </c>
      <c r="E1903">
        <v>15</v>
      </c>
      <c r="F1903" s="2" t="s">
        <v>11987</v>
      </c>
      <c r="G1903" s="2" t="s">
        <v>11988</v>
      </c>
      <c r="H1903" s="2" t="s">
        <v>11989</v>
      </c>
      <c r="I1903" s="2" t="s">
        <v>11990</v>
      </c>
      <c r="J1903" t="s">
        <v>11991</v>
      </c>
      <c r="K1903" t="s">
        <v>11992</v>
      </c>
      <c r="L1903" s="1">
        <v>2</v>
      </c>
      <c r="M1903" s="1"/>
      <c r="N1903" s="1"/>
      <c r="O1903" s="3"/>
    </row>
    <row r="1904" spans="1:15" ht="409.6">
      <c r="A1904" t="s">
        <v>11993</v>
      </c>
      <c r="B1904" t="s">
        <v>11994</v>
      </c>
      <c r="C1904" t="s">
        <v>11860</v>
      </c>
      <c r="D1904" t="s">
        <v>23</v>
      </c>
      <c r="E1904">
        <v>30</v>
      </c>
      <c r="F1904" s="2" t="s">
        <v>11995</v>
      </c>
      <c r="G1904" s="2" t="s">
        <v>11996</v>
      </c>
      <c r="H1904" s="2" t="s">
        <v>11997</v>
      </c>
      <c r="I1904" s="2" t="s">
        <v>11998</v>
      </c>
      <c r="J1904" t="s">
        <v>11999</v>
      </c>
      <c r="K1904" t="s">
        <v>12000</v>
      </c>
      <c r="L1904" s="1">
        <v>2</v>
      </c>
      <c r="M1904" s="1"/>
      <c r="N1904" s="1"/>
      <c r="O1904" s="3"/>
    </row>
    <row r="1905" spans="1:15" ht="409.6">
      <c r="A1905" t="s">
        <v>12001</v>
      </c>
      <c r="B1905" t="s">
        <v>12002</v>
      </c>
      <c r="C1905" t="s">
        <v>11860</v>
      </c>
      <c r="D1905" t="s">
        <v>23</v>
      </c>
      <c r="E1905">
        <v>25</v>
      </c>
      <c r="F1905" s="2" t="s">
        <v>12003</v>
      </c>
      <c r="G1905" s="2" t="s">
        <v>12004</v>
      </c>
      <c r="H1905" s="2" t="s">
        <v>12005</v>
      </c>
      <c r="I1905" s="2" t="s">
        <v>12006</v>
      </c>
      <c r="J1905" t="s">
        <v>12007</v>
      </c>
      <c r="K1905" t="s">
        <v>12008</v>
      </c>
      <c r="L1905" s="1">
        <v>2</v>
      </c>
      <c r="M1905" s="1"/>
      <c r="N1905" s="1"/>
      <c r="O1905" s="3"/>
    </row>
    <row r="1906" spans="1:15" ht="409.6">
      <c r="A1906" t="s">
        <v>851</v>
      </c>
      <c r="B1906" t="s">
        <v>852</v>
      </c>
      <c r="C1906" t="s">
        <v>11860</v>
      </c>
      <c r="D1906" t="s">
        <v>14</v>
      </c>
      <c r="E1906">
        <v>30</v>
      </c>
      <c r="F1906" s="2" t="s">
        <v>12009</v>
      </c>
      <c r="G1906" s="2" t="s">
        <v>12010</v>
      </c>
      <c r="H1906" s="2" t="s">
        <v>12011</v>
      </c>
      <c r="I1906" s="2" t="s">
        <v>12012</v>
      </c>
      <c r="J1906" t="s">
        <v>12013</v>
      </c>
      <c r="K1906" t="s">
        <v>12014</v>
      </c>
      <c r="L1906" s="1">
        <v>2</v>
      </c>
      <c r="M1906" s="1"/>
      <c r="N1906" s="1"/>
      <c r="O1906" s="3"/>
    </row>
    <row r="1907" spans="1:15" ht="409.6">
      <c r="A1907" t="s">
        <v>12015</v>
      </c>
      <c r="B1907" t="s">
        <v>12016</v>
      </c>
      <c r="C1907" t="s">
        <v>11860</v>
      </c>
      <c r="D1907" t="s">
        <v>14</v>
      </c>
      <c r="E1907">
        <v>30</v>
      </c>
      <c r="F1907" s="2" t="s">
        <v>12017</v>
      </c>
      <c r="G1907" s="2" t="s">
        <v>12018</v>
      </c>
      <c r="H1907" s="2" t="s">
        <v>12019</v>
      </c>
      <c r="I1907" s="2" t="s">
        <v>12020</v>
      </c>
      <c r="J1907" t="s">
        <v>12021</v>
      </c>
      <c r="K1907" t="s">
        <v>12022</v>
      </c>
      <c r="L1907" s="1">
        <v>2</v>
      </c>
      <c r="M1907" s="1"/>
      <c r="N1907" s="1"/>
      <c r="O1907" s="3"/>
    </row>
    <row r="1908" spans="1:15" ht="409.6">
      <c r="A1908" t="s">
        <v>2510</v>
      </c>
      <c r="B1908" t="s">
        <v>2511</v>
      </c>
      <c r="C1908" t="s">
        <v>11860</v>
      </c>
      <c r="D1908" t="s">
        <v>23</v>
      </c>
      <c r="E1908">
        <v>15</v>
      </c>
      <c r="F1908" s="2" t="s">
        <v>12023</v>
      </c>
      <c r="G1908" s="2" t="s">
        <v>12024</v>
      </c>
      <c r="H1908" s="2" t="s">
        <v>12025</v>
      </c>
      <c r="I1908" s="2" t="s">
        <v>12026</v>
      </c>
      <c r="J1908" t="s">
        <v>12027</v>
      </c>
      <c r="K1908" t="s">
        <v>12028</v>
      </c>
      <c r="L1908" s="1">
        <v>2</v>
      </c>
      <c r="M1908" s="1"/>
      <c r="N1908" s="1"/>
      <c r="O1908" s="3"/>
    </row>
    <row r="1909" spans="1:15" ht="409.6">
      <c r="A1909" t="s">
        <v>12029</v>
      </c>
      <c r="B1909" t="s">
        <v>12030</v>
      </c>
      <c r="C1909" t="s">
        <v>11860</v>
      </c>
      <c r="D1909" t="s">
        <v>14</v>
      </c>
      <c r="E1909">
        <v>30</v>
      </c>
      <c r="F1909" s="2" t="s">
        <v>12031</v>
      </c>
      <c r="G1909" s="2" t="s">
        <v>12032</v>
      </c>
      <c r="H1909" s="2" t="s">
        <v>12033</v>
      </c>
      <c r="I1909" s="2" t="s">
        <v>12034</v>
      </c>
      <c r="J1909" t="s">
        <v>12035</v>
      </c>
      <c r="K1909" t="s">
        <v>12036</v>
      </c>
      <c r="L1909" s="1">
        <v>2</v>
      </c>
      <c r="M1909" s="1"/>
      <c r="N1909" s="1"/>
      <c r="O1909" s="3"/>
    </row>
    <row r="1910" spans="1:15" ht="409.6">
      <c r="A1910" t="s">
        <v>12037</v>
      </c>
      <c r="B1910" t="s">
        <v>12038</v>
      </c>
      <c r="C1910" t="s">
        <v>11860</v>
      </c>
      <c r="D1910" t="s">
        <v>23</v>
      </c>
      <c r="E1910">
        <v>20</v>
      </c>
      <c r="F1910" s="2" t="s">
        <v>12039</v>
      </c>
      <c r="G1910" s="2" t="s">
        <v>12040</v>
      </c>
      <c r="H1910" s="2" t="s">
        <v>12041</v>
      </c>
      <c r="I1910" s="2" t="s">
        <v>12042</v>
      </c>
      <c r="J1910" t="s">
        <v>12043</v>
      </c>
      <c r="K1910" t="s">
        <v>12044</v>
      </c>
      <c r="L1910" s="1">
        <v>2</v>
      </c>
      <c r="M1910" s="1"/>
      <c r="N1910" s="1"/>
      <c r="O1910" s="3"/>
    </row>
    <row r="1911" spans="1:15" ht="409.6">
      <c r="A1911" t="s">
        <v>5888</v>
      </c>
      <c r="B1911" t="s">
        <v>12045</v>
      </c>
      <c r="C1911" t="s">
        <v>11860</v>
      </c>
      <c r="D1911" t="s">
        <v>23</v>
      </c>
      <c r="E1911">
        <v>15</v>
      </c>
      <c r="F1911" s="2" t="s">
        <v>12046</v>
      </c>
      <c r="G1911" s="2" t="s">
        <v>12047</v>
      </c>
      <c r="H1911" s="2" t="s">
        <v>12048</v>
      </c>
      <c r="I1911" s="2" t="s">
        <v>12049</v>
      </c>
      <c r="J1911" t="s">
        <v>12050</v>
      </c>
      <c r="K1911" t="s">
        <v>12051</v>
      </c>
      <c r="L1911" s="1">
        <v>2</v>
      </c>
      <c r="M1911" s="1"/>
      <c r="N1911" s="1"/>
      <c r="O1911" s="3"/>
    </row>
    <row r="1912" spans="1:15" ht="409.6">
      <c r="A1912" t="s">
        <v>12052</v>
      </c>
      <c r="B1912" t="s">
        <v>12053</v>
      </c>
      <c r="C1912" t="s">
        <v>11860</v>
      </c>
      <c r="D1912" t="s">
        <v>14</v>
      </c>
      <c r="E1912">
        <v>40</v>
      </c>
      <c r="F1912" s="2" t="s">
        <v>12054</v>
      </c>
      <c r="G1912" s="2" t="s">
        <v>12055</v>
      </c>
      <c r="H1912" s="2" t="s">
        <v>12056</v>
      </c>
      <c r="I1912" s="2" t="s">
        <v>12057</v>
      </c>
      <c r="J1912" t="s">
        <v>12058</v>
      </c>
      <c r="K1912" t="s">
        <v>12059</v>
      </c>
      <c r="L1912" s="1">
        <v>2</v>
      </c>
      <c r="M1912" s="1"/>
      <c r="N1912" s="1"/>
      <c r="O1912" s="3"/>
    </row>
    <row r="1913" spans="1:15" ht="409.6">
      <c r="A1913" t="s">
        <v>12060</v>
      </c>
      <c r="B1913" t="s">
        <v>5671</v>
      </c>
      <c r="C1913" t="s">
        <v>11860</v>
      </c>
      <c r="D1913" t="s">
        <v>23</v>
      </c>
      <c r="E1913">
        <v>25</v>
      </c>
      <c r="F1913" s="2" t="s">
        <v>12061</v>
      </c>
      <c r="G1913" s="2" t="s">
        <v>12062</v>
      </c>
      <c r="H1913" s="2" t="s">
        <v>12063</v>
      </c>
      <c r="I1913" s="2" t="s">
        <v>12064</v>
      </c>
      <c r="J1913" t="s">
        <v>12065</v>
      </c>
      <c r="K1913" t="s">
        <v>12066</v>
      </c>
      <c r="L1913" s="1">
        <v>2</v>
      </c>
      <c r="M1913" s="1"/>
      <c r="N1913" s="1"/>
      <c r="O1913" s="3"/>
    </row>
    <row r="1914" spans="1:15" ht="409.6">
      <c r="A1914" t="s">
        <v>12067</v>
      </c>
      <c r="B1914" t="s">
        <v>12068</v>
      </c>
      <c r="C1914" t="s">
        <v>11860</v>
      </c>
      <c r="D1914" t="s">
        <v>23</v>
      </c>
      <c r="E1914">
        <v>30</v>
      </c>
      <c r="F1914" s="2" t="s">
        <v>12069</v>
      </c>
      <c r="G1914" s="2" t="s">
        <v>12070</v>
      </c>
      <c r="H1914" s="2" t="s">
        <v>12071</v>
      </c>
      <c r="I1914" s="2" t="s">
        <v>12072</v>
      </c>
      <c r="J1914" t="s">
        <v>12073</v>
      </c>
      <c r="K1914" t="s">
        <v>12074</v>
      </c>
      <c r="L1914" s="1">
        <v>2</v>
      </c>
      <c r="M1914" s="1"/>
      <c r="N1914" s="1"/>
      <c r="O1914" s="3"/>
    </row>
    <row r="1915" spans="1:15" ht="409.6">
      <c r="A1915" t="s">
        <v>9716</v>
      </c>
      <c r="B1915" t="s">
        <v>6419</v>
      </c>
      <c r="C1915" t="s">
        <v>11860</v>
      </c>
      <c r="D1915" t="s">
        <v>23</v>
      </c>
      <c r="E1915">
        <v>20</v>
      </c>
      <c r="F1915" s="2" t="s">
        <v>11911</v>
      </c>
      <c r="G1915" s="2" t="s">
        <v>12075</v>
      </c>
      <c r="H1915" s="2" t="s">
        <v>12076</v>
      </c>
      <c r="I1915" s="2" t="s">
        <v>12077</v>
      </c>
      <c r="J1915" t="s">
        <v>12078</v>
      </c>
      <c r="K1915" t="s">
        <v>12079</v>
      </c>
      <c r="L1915" s="1">
        <v>2</v>
      </c>
      <c r="M1915" s="1"/>
      <c r="N1915" s="1"/>
      <c r="O1915" s="3"/>
    </row>
    <row r="1916" spans="1:15" ht="409.6">
      <c r="A1916" t="s">
        <v>946</v>
      </c>
      <c r="B1916" t="s">
        <v>947</v>
      </c>
      <c r="C1916" t="s">
        <v>11860</v>
      </c>
      <c r="D1916" t="s">
        <v>23</v>
      </c>
      <c r="E1916">
        <v>30</v>
      </c>
      <c r="F1916" s="2" t="s">
        <v>12080</v>
      </c>
      <c r="G1916" s="2" t="s">
        <v>12081</v>
      </c>
      <c r="H1916" s="2" t="s">
        <v>12082</v>
      </c>
      <c r="I1916" s="2" t="s">
        <v>12083</v>
      </c>
      <c r="J1916" t="s">
        <v>12084</v>
      </c>
      <c r="K1916" t="s">
        <v>12085</v>
      </c>
      <c r="L1916" s="1">
        <v>2</v>
      </c>
      <c r="M1916" s="1"/>
      <c r="N1916" s="1"/>
      <c r="O1916" s="3"/>
    </row>
    <row r="1917" spans="1:15" ht="409.6">
      <c r="A1917" t="s">
        <v>12086</v>
      </c>
      <c r="B1917" t="s">
        <v>12087</v>
      </c>
      <c r="C1917" t="s">
        <v>11860</v>
      </c>
      <c r="D1917" t="s">
        <v>23</v>
      </c>
      <c r="E1917">
        <v>25</v>
      </c>
      <c r="F1917" s="2" t="s">
        <v>12088</v>
      </c>
      <c r="G1917" s="2" t="s">
        <v>12089</v>
      </c>
      <c r="H1917" s="2" t="s">
        <v>12090</v>
      </c>
      <c r="I1917" s="2" t="s">
        <v>12091</v>
      </c>
      <c r="J1917" t="s">
        <v>12092</v>
      </c>
      <c r="K1917" t="s">
        <v>12093</v>
      </c>
      <c r="L1917" s="1">
        <v>2</v>
      </c>
      <c r="M1917" s="1"/>
      <c r="N1917" s="1"/>
      <c r="O1917" s="3"/>
    </row>
    <row r="1918" spans="1:15" ht="409.6">
      <c r="A1918" t="s">
        <v>12094</v>
      </c>
      <c r="B1918" t="s">
        <v>12095</v>
      </c>
      <c r="C1918" t="s">
        <v>11860</v>
      </c>
      <c r="D1918" t="s">
        <v>23</v>
      </c>
      <c r="E1918">
        <v>20</v>
      </c>
      <c r="F1918" s="2" t="s">
        <v>12096</v>
      </c>
      <c r="G1918" s="2" t="s">
        <v>12097</v>
      </c>
      <c r="H1918" s="2" t="s">
        <v>12098</v>
      </c>
      <c r="I1918" s="2" t="s">
        <v>12099</v>
      </c>
      <c r="J1918" t="s">
        <v>12100</v>
      </c>
      <c r="K1918" t="s">
        <v>12101</v>
      </c>
      <c r="L1918" s="1">
        <v>2</v>
      </c>
      <c r="M1918" s="1"/>
      <c r="N1918" s="1"/>
      <c r="O1918" s="3"/>
    </row>
    <row r="1919" spans="1:15" ht="409.6">
      <c r="A1919" t="s">
        <v>6243</v>
      </c>
      <c r="B1919" t="s">
        <v>2931</v>
      </c>
      <c r="C1919" t="s">
        <v>11860</v>
      </c>
      <c r="D1919" t="s">
        <v>23</v>
      </c>
      <c r="E1919">
        <v>20</v>
      </c>
      <c r="F1919" s="2" t="s">
        <v>12102</v>
      </c>
      <c r="G1919" s="2" t="s">
        <v>12103</v>
      </c>
      <c r="H1919" s="2" t="s">
        <v>12104</v>
      </c>
      <c r="I1919" s="2" t="s">
        <v>12105</v>
      </c>
      <c r="J1919" t="s">
        <v>12106</v>
      </c>
      <c r="K1919" t="s">
        <v>12107</v>
      </c>
      <c r="L1919" s="1">
        <v>2</v>
      </c>
      <c r="M1919" s="1"/>
      <c r="N1919" s="1"/>
      <c r="O1919" s="3"/>
    </row>
    <row r="1920" spans="1:15" ht="409.6">
      <c r="A1920" t="s">
        <v>6157</v>
      </c>
      <c r="B1920" t="s">
        <v>6158</v>
      </c>
      <c r="C1920" t="s">
        <v>11860</v>
      </c>
      <c r="D1920" t="s">
        <v>23</v>
      </c>
      <c r="E1920">
        <v>25</v>
      </c>
      <c r="F1920" s="2" t="s">
        <v>12108</v>
      </c>
      <c r="G1920" s="2" t="s">
        <v>12109</v>
      </c>
      <c r="H1920" s="2" t="s">
        <v>12110</v>
      </c>
      <c r="I1920" s="2" t="s">
        <v>12111</v>
      </c>
      <c r="J1920" t="s">
        <v>12112</v>
      </c>
      <c r="K1920" t="s">
        <v>12113</v>
      </c>
      <c r="L1920" s="1">
        <v>2</v>
      </c>
      <c r="M1920" s="1"/>
      <c r="N1920" s="1"/>
      <c r="O1920" s="3"/>
    </row>
    <row r="1921" spans="1:15" ht="409.6">
      <c r="A1921" t="s">
        <v>12114</v>
      </c>
      <c r="B1921" t="s">
        <v>12115</v>
      </c>
      <c r="C1921" t="s">
        <v>11860</v>
      </c>
      <c r="D1921" t="s">
        <v>14</v>
      </c>
      <c r="E1921">
        <v>40</v>
      </c>
      <c r="F1921" s="2" t="s">
        <v>12116</v>
      </c>
      <c r="G1921" s="2" t="s">
        <v>12117</v>
      </c>
      <c r="H1921" s="2" t="s">
        <v>12118</v>
      </c>
      <c r="I1921" s="2" t="s">
        <v>12119</v>
      </c>
      <c r="J1921" t="s">
        <v>12120</v>
      </c>
      <c r="K1921" t="s">
        <v>12121</v>
      </c>
      <c r="L1921" s="1">
        <v>2</v>
      </c>
      <c r="M1921" s="1"/>
      <c r="N1921" s="1"/>
      <c r="O1921" s="3"/>
    </row>
    <row r="1922" spans="1:15" ht="409.6">
      <c r="A1922" t="s">
        <v>12122</v>
      </c>
      <c r="B1922" t="s">
        <v>12123</v>
      </c>
      <c r="C1922" t="s">
        <v>11860</v>
      </c>
      <c r="D1922" t="s">
        <v>23</v>
      </c>
      <c r="E1922">
        <v>30</v>
      </c>
      <c r="F1922" s="2" t="s">
        <v>12124</v>
      </c>
      <c r="G1922" s="2" t="s">
        <v>12125</v>
      </c>
      <c r="H1922" s="2" t="s">
        <v>12126</v>
      </c>
      <c r="I1922" s="2" t="s">
        <v>12127</v>
      </c>
      <c r="J1922" t="s">
        <v>12128</v>
      </c>
      <c r="K1922" t="s">
        <v>12129</v>
      </c>
      <c r="L1922" s="1">
        <v>2</v>
      </c>
      <c r="M1922" s="1"/>
      <c r="N1922" s="1"/>
      <c r="O1922" s="3"/>
    </row>
    <row r="1923" spans="1:15" ht="409.6">
      <c r="A1923" t="s">
        <v>11475</v>
      </c>
      <c r="B1923" t="s">
        <v>11476</v>
      </c>
      <c r="C1923" t="s">
        <v>11860</v>
      </c>
      <c r="D1923" t="s">
        <v>23</v>
      </c>
      <c r="E1923">
        <v>15</v>
      </c>
      <c r="F1923" s="2" t="s">
        <v>12130</v>
      </c>
      <c r="G1923" s="2" t="s">
        <v>12131</v>
      </c>
      <c r="H1923" s="2" t="s">
        <v>12132</v>
      </c>
      <c r="I1923" s="2" t="s">
        <v>12133</v>
      </c>
      <c r="J1923" t="s">
        <v>12134</v>
      </c>
      <c r="K1923" t="s">
        <v>12135</v>
      </c>
      <c r="L1923" s="1">
        <v>2</v>
      </c>
      <c r="M1923" s="1"/>
      <c r="N1923" s="1"/>
      <c r="O1923" s="3"/>
    </row>
    <row r="1924" spans="1:15" ht="409.6">
      <c r="A1924" t="s">
        <v>2567</v>
      </c>
      <c r="B1924" t="s">
        <v>12136</v>
      </c>
      <c r="C1924" t="s">
        <v>11860</v>
      </c>
      <c r="D1924" t="s">
        <v>14</v>
      </c>
      <c r="E1924">
        <v>20</v>
      </c>
      <c r="F1924" s="2" t="s">
        <v>12137</v>
      </c>
      <c r="G1924" s="2" t="s">
        <v>12138</v>
      </c>
      <c r="H1924" s="2" t="s">
        <v>12139</v>
      </c>
      <c r="I1924" s="2" t="s">
        <v>12140</v>
      </c>
      <c r="J1924" t="s">
        <v>12141</v>
      </c>
      <c r="K1924" t="s">
        <v>12142</v>
      </c>
      <c r="L1924" s="1">
        <v>2</v>
      </c>
      <c r="M1924" s="1"/>
      <c r="N1924" s="1"/>
      <c r="O1924" s="3"/>
    </row>
    <row r="1925" spans="1:15" ht="409.6">
      <c r="A1925" t="s">
        <v>12143</v>
      </c>
      <c r="B1925" t="s">
        <v>12144</v>
      </c>
      <c r="C1925" t="s">
        <v>11860</v>
      </c>
      <c r="D1925" t="s">
        <v>14</v>
      </c>
      <c r="E1925">
        <v>20</v>
      </c>
      <c r="F1925" s="2" t="s">
        <v>12145</v>
      </c>
      <c r="G1925" s="2" t="s">
        <v>12146</v>
      </c>
      <c r="H1925" s="2" t="s">
        <v>12147</v>
      </c>
      <c r="I1925" s="2" t="s">
        <v>12148</v>
      </c>
      <c r="J1925" t="s">
        <v>12149</v>
      </c>
      <c r="K1925" t="s">
        <v>12150</v>
      </c>
      <c r="L1925" s="1">
        <v>2</v>
      </c>
      <c r="M1925" s="1"/>
      <c r="N1925" s="1"/>
      <c r="O1925" s="3"/>
    </row>
    <row r="1926" spans="1:15" ht="409.6">
      <c r="A1926" t="s">
        <v>12151</v>
      </c>
      <c r="B1926" t="s">
        <v>12152</v>
      </c>
      <c r="C1926" t="s">
        <v>11860</v>
      </c>
      <c r="D1926" t="s">
        <v>14</v>
      </c>
      <c r="E1926">
        <v>40</v>
      </c>
      <c r="F1926" s="2" t="s">
        <v>12153</v>
      </c>
      <c r="G1926" s="2" t="s">
        <v>12154</v>
      </c>
      <c r="H1926" s="2" t="s">
        <v>12155</v>
      </c>
      <c r="I1926" s="2" t="s">
        <v>12156</v>
      </c>
      <c r="J1926" t="s">
        <v>12157</v>
      </c>
      <c r="K1926" t="s">
        <v>12158</v>
      </c>
      <c r="L1926" s="1">
        <v>2</v>
      </c>
      <c r="M1926" s="1"/>
      <c r="N1926" s="1"/>
      <c r="O1926" s="3"/>
    </row>
    <row r="1927" spans="1:15" ht="409.6">
      <c r="A1927" t="s">
        <v>12159</v>
      </c>
      <c r="B1927" t="s">
        <v>12160</v>
      </c>
      <c r="C1927" t="s">
        <v>11860</v>
      </c>
      <c r="D1927" t="s">
        <v>14</v>
      </c>
      <c r="E1927">
        <v>30</v>
      </c>
      <c r="F1927" s="2" t="s">
        <v>12161</v>
      </c>
      <c r="G1927" s="2" t="s">
        <v>12162</v>
      </c>
      <c r="H1927" s="2" t="s">
        <v>12163</v>
      </c>
      <c r="I1927" s="2" t="s">
        <v>12164</v>
      </c>
      <c r="J1927" t="s">
        <v>12165</v>
      </c>
      <c r="K1927" t="s">
        <v>12166</v>
      </c>
      <c r="L1927" s="1">
        <v>2</v>
      </c>
      <c r="M1927" s="1"/>
      <c r="N1927" s="1"/>
      <c r="O1927" s="3"/>
    </row>
    <row r="1928" spans="1:15" ht="409.6">
      <c r="A1928" t="s">
        <v>12167</v>
      </c>
      <c r="B1928" t="s">
        <v>11544</v>
      </c>
      <c r="C1928" t="s">
        <v>11860</v>
      </c>
      <c r="D1928" t="s">
        <v>14</v>
      </c>
      <c r="E1928">
        <v>25</v>
      </c>
      <c r="F1928" s="2" t="s">
        <v>12168</v>
      </c>
      <c r="G1928" s="2" t="s">
        <v>12169</v>
      </c>
      <c r="H1928" s="2" t="s">
        <v>12170</v>
      </c>
      <c r="I1928" s="2" t="s">
        <v>12171</v>
      </c>
      <c r="J1928" t="s">
        <v>11549</v>
      </c>
      <c r="K1928" t="s">
        <v>12172</v>
      </c>
      <c r="L1928" s="1">
        <v>2</v>
      </c>
      <c r="M1928" s="1"/>
      <c r="N1928" s="1"/>
      <c r="O1928" s="3"/>
    </row>
    <row r="1929" spans="1:15" ht="409.6">
      <c r="A1929" t="s">
        <v>12173</v>
      </c>
      <c r="B1929" s="2" t="s">
        <v>12174</v>
      </c>
      <c r="C1929" t="s">
        <v>11860</v>
      </c>
      <c r="D1929" t="s">
        <v>14</v>
      </c>
      <c r="E1929">
        <v>30</v>
      </c>
      <c r="F1929" s="2" t="s">
        <v>12175</v>
      </c>
      <c r="G1929" s="2" t="s">
        <v>12176</v>
      </c>
      <c r="H1929" s="2" t="s">
        <v>12177</v>
      </c>
      <c r="I1929" s="2" t="s">
        <v>12178</v>
      </c>
      <c r="J1929" t="s">
        <v>12179</v>
      </c>
      <c r="K1929" t="s">
        <v>12180</v>
      </c>
      <c r="L1929" s="1">
        <v>2</v>
      </c>
      <c r="M1929" s="1"/>
      <c r="N1929" s="1"/>
      <c r="O1929" s="3"/>
    </row>
    <row r="1930" spans="1:15" ht="409.6">
      <c r="A1930" t="s">
        <v>12181</v>
      </c>
      <c r="B1930" t="s">
        <v>12182</v>
      </c>
      <c r="C1930" t="s">
        <v>11860</v>
      </c>
      <c r="D1930" t="s">
        <v>23</v>
      </c>
      <c r="E1930">
        <v>15</v>
      </c>
      <c r="F1930" s="2" t="s">
        <v>12183</v>
      </c>
      <c r="G1930" s="2" t="s">
        <v>12184</v>
      </c>
      <c r="H1930" s="2" t="s">
        <v>12185</v>
      </c>
      <c r="I1930" s="2" t="s">
        <v>12186</v>
      </c>
      <c r="J1930" t="s">
        <v>12187</v>
      </c>
      <c r="K1930" t="s">
        <v>12188</v>
      </c>
      <c r="L1930" s="1">
        <v>2</v>
      </c>
      <c r="M1930" s="1"/>
      <c r="N1930" s="1"/>
      <c r="O1930" s="3"/>
    </row>
    <row r="1931" spans="1:15" ht="409.6">
      <c r="A1931" t="s">
        <v>12189</v>
      </c>
      <c r="B1931" t="s">
        <v>12190</v>
      </c>
      <c r="C1931" t="s">
        <v>11860</v>
      </c>
      <c r="D1931" t="s">
        <v>23</v>
      </c>
      <c r="E1931">
        <v>15</v>
      </c>
      <c r="F1931" s="2" t="s">
        <v>12191</v>
      </c>
      <c r="G1931" s="2" t="s">
        <v>12192</v>
      </c>
      <c r="H1931" s="2" t="s">
        <v>12193</v>
      </c>
      <c r="I1931" s="2" t="s">
        <v>12194</v>
      </c>
      <c r="J1931" t="s">
        <v>12195</v>
      </c>
      <c r="K1931" t="s">
        <v>12196</v>
      </c>
      <c r="L1931" s="1">
        <v>2</v>
      </c>
      <c r="M1931" s="1"/>
      <c r="N1931" s="1"/>
      <c r="O1931" s="3"/>
    </row>
    <row r="1932" spans="1:15" ht="409.6">
      <c r="A1932" t="s">
        <v>12197</v>
      </c>
      <c r="B1932" t="s">
        <v>12198</v>
      </c>
      <c r="C1932" t="s">
        <v>11860</v>
      </c>
      <c r="D1932" t="s">
        <v>14</v>
      </c>
      <c r="E1932">
        <v>45</v>
      </c>
      <c r="F1932" s="2" t="s">
        <v>12199</v>
      </c>
      <c r="G1932" s="2" t="s">
        <v>12200</v>
      </c>
      <c r="H1932" s="2" t="s">
        <v>12201</v>
      </c>
      <c r="I1932" s="2" t="s">
        <v>12202</v>
      </c>
      <c r="J1932" t="s">
        <v>12203</v>
      </c>
      <c r="K1932" t="s">
        <v>12204</v>
      </c>
      <c r="L1932" s="1">
        <v>2</v>
      </c>
      <c r="M1932" s="1"/>
      <c r="N1932" s="1"/>
      <c r="O1932" s="3"/>
    </row>
    <row r="1933" spans="1:15" ht="409.6">
      <c r="A1933" t="s">
        <v>11873</v>
      </c>
      <c r="B1933" t="s">
        <v>11874</v>
      </c>
      <c r="C1933" t="s">
        <v>11860</v>
      </c>
      <c r="D1933" t="s">
        <v>23</v>
      </c>
      <c r="E1933">
        <v>30</v>
      </c>
      <c r="F1933" s="2" t="s">
        <v>12205</v>
      </c>
      <c r="G1933" s="2" t="s">
        <v>12206</v>
      </c>
      <c r="H1933" s="2" t="s">
        <v>12207</v>
      </c>
      <c r="I1933" s="2" t="s">
        <v>12208</v>
      </c>
      <c r="J1933" t="s">
        <v>12209</v>
      </c>
      <c r="K1933" t="s">
        <v>12210</v>
      </c>
      <c r="L1933" s="1">
        <v>2</v>
      </c>
      <c r="M1933" s="1"/>
      <c r="N1933" s="1"/>
      <c r="O1933" s="3"/>
    </row>
    <row r="1934" spans="1:15" ht="409.6">
      <c r="A1934" t="s">
        <v>11963</v>
      </c>
      <c r="B1934" t="s">
        <v>11964</v>
      </c>
      <c r="C1934" t="s">
        <v>11860</v>
      </c>
      <c r="D1934" t="s">
        <v>23</v>
      </c>
      <c r="E1934">
        <v>30</v>
      </c>
      <c r="F1934" s="2" t="s">
        <v>12211</v>
      </c>
      <c r="G1934" s="2" t="s">
        <v>12212</v>
      </c>
      <c r="H1934" s="2" t="s">
        <v>12213</v>
      </c>
      <c r="I1934" s="2" t="s">
        <v>12214</v>
      </c>
      <c r="J1934" t="s">
        <v>12215</v>
      </c>
      <c r="K1934" t="s">
        <v>12216</v>
      </c>
      <c r="L1934" s="1">
        <v>2</v>
      </c>
      <c r="M1934" s="1"/>
      <c r="N1934" s="1"/>
      <c r="O1934" s="3"/>
    </row>
    <row r="1935" spans="1:15" ht="409.6">
      <c r="A1935" t="s">
        <v>12217</v>
      </c>
      <c r="B1935" t="s">
        <v>12218</v>
      </c>
      <c r="C1935" t="s">
        <v>11860</v>
      </c>
      <c r="D1935" t="s">
        <v>14</v>
      </c>
      <c r="E1935">
        <v>30</v>
      </c>
      <c r="F1935" s="2" t="s">
        <v>12219</v>
      </c>
      <c r="G1935" s="2" t="s">
        <v>12220</v>
      </c>
      <c r="H1935" s="2" t="s">
        <v>12221</v>
      </c>
      <c r="I1935" s="2" t="s">
        <v>12222</v>
      </c>
      <c r="J1935" t="s">
        <v>12223</v>
      </c>
      <c r="K1935" t="s">
        <v>12224</v>
      </c>
      <c r="L1935" s="1">
        <v>2</v>
      </c>
      <c r="M1935" s="1"/>
      <c r="N1935" s="1"/>
      <c r="O1935" s="3"/>
    </row>
    <row r="1936" spans="1:15" ht="409.6">
      <c r="A1936" t="s">
        <v>12225</v>
      </c>
      <c r="B1936" t="s">
        <v>6070</v>
      </c>
      <c r="C1936" t="s">
        <v>11860</v>
      </c>
      <c r="D1936" t="s">
        <v>23</v>
      </c>
      <c r="E1936">
        <v>25</v>
      </c>
      <c r="F1936" s="2" t="s">
        <v>12226</v>
      </c>
      <c r="G1936" s="2" t="s">
        <v>12227</v>
      </c>
      <c r="H1936" s="2" t="s">
        <v>12228</v>
      </c>
      <c r="I1936" s="2" t="s">
        <v>12229</v>
      </c>
      <c r="J1936" t="s">
        <v>12230</v>
      </c>
      <c r="K1936" t="s">
        <v>12231</v>
      </c>
      <c r="L1936" s="1">
        <v>2</v>
      </c>
      <c r="M1936" s="1"/>
      <c r="N1936" s="1"/>
      <c r="O1936" s="3"/>
    </row>
    <row r="1937" spans="1:15" ht="409.6">
      <c r="A1937" t="s">
        <v>12232</v>
      </c>
      <c r="B1937" t="s">
        <v>12233</v>
      </c>
      <c r="C1937" t="s">
        <v>11860</v>
      </c>
      <c r="D1937" t="s">
        <v>23</v>
      </c>
      <c r="E1937">
        <v>15</v>
      </c>
      <c r="F1937" s="2" t="s">
        <v>12234</v>
      </c>
      <c r="G1937" s="2" t="s">
        <v>12235</v>
      </c>
      <c r="H1937" s="2" t="s">
        <v>12236</v>
      </c>
      <c r="I1937" s="2" t="s">
        <v>12237</v>
      </c>
      <c r="J1937" t="s">
        <v>12238</v>
      </c>
      <c r="K1937" t="s">
        <v>12239</v>
      </c>
      <c r="L1937" s="1">
        <v>2</v>
      </c>
      <c r="M1937" s="1"/>
      <c r="N1937" s="1"/>
      <c r="O1937" s="3"/>
    </row>
    <row r="1938" spans="1:15" ht="409.6">
      <c r="A1938" t="s">
        <v>12240</v>
      </c>
      <c r="B1938" t="s">
        <v>11268</v>
      </c>
      <c r="C1938" t="s">
        <v>11860</v>
      </c>
      <c r="D1938" t="s">
        <v>23</v>
      </c>
      <c r="E1938">
        <v>25</v>
      </c>
      <c r="F1938" s="2" t="s">
        <v>12241</v>
      </c>
      <c r="G1938" s="2" t="s">
        <v>12242</v>
      </c>
      <c r="H1938" s="2" t="s">
        <v>12243</v>
      </c>
      <c r="I1938" s="2" t="s">
        <v>12244</v>
      </c>
      <c r="J1938" t="s">
        <v>12245</v>
      </c>
      <c r="K1938" t="s">
        <v>12246</v>
      </c>
      <c r="L1938" s="1">
        <v>2</v>
      </c>
      <c r="M1938" s="1"/>
      <c r="N1938" s="1"/>
      <c r="O1938" s="3"/>
    </row>
    <row r="1939" spans="1:15" ht="409.6">
      <c r="A1939" t="s">
        <v>12247</v>
      </c>
      <c r="B1939" t="s">
        <v>8131</v>
      </c>
      <c r="C1939" t="s">
        <v>11860</v>
      </c>
      <c r="D1939" t="s">
        <v>23</v>
      </c>
      <c r="E1939">
        <v>25</v>
      </c>
      <c r="F1939" s="2" t="s">
        <v>12248</v>
      </c>
      <c r="G1939" s="2" t="s">
        <v>12249</v>
      </c>
      <c r="H1939" s="2" t="s">
        <v>12250</v>
      </c>
      <c r="I1939" s="2" t="s">
        <v>12251</v>
      </c>
      <c r="J1939" t="s">
        <v>12252</v>
      </c>
      <c r="K1939" t="s">
        <v>12253</v>
      </c>
      <c r="L1939" s="1">
        <v>2</v>
      </c>
      <c r="M1939" s="1"/>
      <c r="N1939" s="1"/>
      <c r="O1939" s="3"/>
    </row>
    <row r="1940" spans="1:15" ht="409.6">
      <c r="A1940" t="s">
        <v>12254</v>
      </c>
      <c r="B1940" t="s">
        <v>12255</v>
      </c>
      <c r="C1940" t="s">
        <v>11860</v>
      </c>
      <c r="D1940" t="s">
        <v>23</v>
      </c>
      <c r="E1940">
        <v>30</v>
      </c>
      <c r="F1940" s="2" t="s">
        <v>12256</v>
      </c>
      <c r="G1940" s="2" t="s">
        <v>12257</v>
      </c>
      <c r="H1940" s="2" t="s">
        <v>12258</v>
      </c>
      <c r="I1940" s="2" t="s">
        <v>12259</v>
      </c>
      <c r="J1940" t="s">
        <v>12260</v>
      </c>
      <c r="K1940" t="s">
        <v>12261</v>
      </c>
      <c r="L1940" s="1">
        <v>2</v>
      </c>
      <c r="M1940" s="1"/>
      <c r="N1940" s="1"/>
      <c r="O1940" s="3"/>
    </row>
    <row r="1941" spans="1:15" ht="409.6">
      <c r="A1941" t="s">
        <v>12262</v>
      </c>
      <c r="B1941" t="s">
        <v>12263</v>
      </c>
      <c r="C1941" t="s">
        <v>11860</v>
      </c>
      <c r="D1941" t="s">
        <v>23</v>
      </c>
      <c r="E1941">
        <v>30</v>
      </c>
      <c r="F1941" s="2" t="s">
        <v>12264</v>
      </c>
      <c r="G1941" s="2" t="s">
        <v>12265</v>
      </c>
      <c r="H1941" s="2" t="s">
        <v>12266</v>
      </c>
      <c r="I1941" s="2" t="s">
        <v>12267</v>
      </c>
      <c r="J1941" t="s">
        <v>12268</v>
      </c>
      <c r="K1941" t="s">
        <v>12269</v>
      </c>
      <c r="L1941" s="1">
        <v>2</v>
      </c>
      <c r="M1941" s="1"/>
      <c r="N1941" s="1"/>
      <c r="O1941" s="3"/>
    </row>
    <row r="1942" spans="1:15" ht="409.6">
      <c r="A1942" t="s">
        <v>12270</v>
      </c>
      <c r="B1942" t="s">
        <v>12271</v>
      </c>
      <c r="C1942" t="s">
        <v>11860</v>
      </c>
      <c r="D1942" t="s">
        <v>23</v>
      </c>
      <c r="E1942">
        <v>25</v>
      </c>
      <c r="F1942" s="2" t="s">
        <v>12272</v>
      </c>
      <c r="G1942" s="2" t="s">
        <v>12273</v>
      </c>
      <c r="H1942" s="2" t="s">
        <v>12274</v>
      </c>
      <c r="I1942" s="2" t="s">
        <v>12275</v>
      </c>
      <c r="J1942" t="s">
        <v>12276</v>
      </c>
      <c r="K1942" t="s">
        <v>12277</v>
      </c>
      <c r="L1942" s="1">
        <v>2</v>
      </c>
      <c r="M1942" s="1"/>
      <c r="N1942" s="1"/>
      <c r="O1942" s="3"/>
    </row>
    <row r="1943" spans="1:15" ht="409.6">
      <c r="A1943" t="s">
        <v>12173</v>
      </c>
      <c r="B1943" t="s">
        <v>12278</v>
      </c>
      <c r="C1943" t="s">
        <v>11860</v>
      </c>
      <c r="D1943" t="s">
        <v>23</v>
      </c>
      <c r="E1943">
        <v>30</v>
      </c>
      <c r="F1943" s="2" t="s">
        <v>12279</v>
      </c>
      <c r="G1943" s="2" t="s">
        <v>12280</v>
      </c>
      <c r="H1943" s="2" t="s">
        <v>12281</v>
      </c>
      <c r="I1943" s="2" t="s">
        <v>12282</v>
      </c>
      <c r="J1943" t="s">
        <v>12283</v>
      </c>
      <c r="K1943" t="s">
        <v>12284</v>
      </c>
      <c r="L1943" s="1">
        <v>2</v>
      </c>
      <c r="M1943" s="1"/>
      <c r="N1943" s="1"/>
      <c r="O1943" s="3"/>
    </row>
    <row r="1944" spans="1:15" ht="409.6">
      <c r="A1944" t="s">
        <v>7217</v>
      </c>
      <c r="B1944" t="s">
        <v>7218</v>
      </c>
      <c r="C1944" t="s">
        <v>11860</v>
      </c>
      <c r="D1944" t="s">
        <v>23</v>
      </c>
      <c r="E1944">
        <v>15</v>
      </c>
      <c r="F1944" s="2" t="s">
        <v>12285</v>
      </c>
      <c r="G1944" s="2" t="s">
        <v>12286</v>
      </c>
      <c r="H1944" s="2" t="s">
        <v>12287</v>
      </c>
      <c r="I1944" s="2" t="s">
        <v>12288</v>
      </c>
      <c r="J1944" t="s">
        <v>12289</v>
      </c>
      <c r="K1944" t="s">
        <v>12290</v>
      </c>
      <c r="L1944" s="1">
        <v>2</v>
      </c>
      <c r="M1944" s="1"/>
      <c r="N1944" s="1"/>
      <c r="O1944" s="3"/>
    </row>
    <row r="1945" spans="1:15" ht="409.6">
      <c r="A1945" t="s">
        <v>12291</v>
      </c>
      <c r="B1945" t="s">
        <v>12292</v>
      </c>
      <c r="C1945" t="s">
        <v>11860</v>
      </c>
      <c r="D1945" t="s">
        <v>23</v>
      </c>
      <c r="E1945">
        <v>30</v>
      </c>
      <c r="F1945" s="2" t="s">
        <v>12293</v>
      </c>
      <c r="G1945" s="2" t="s">
        <v>12294</v>
      </c>
      <c r="H1945" s="2" t="s">
        <v>12295</v>
      </c>
      <c r="I1945" s="2" t="s">
        <v>12296</v>
      </c>
      <c r="J1945" t="s">
        <v>12297</v>
      </c>
      <c r="K1945" t="s">
        <v>12298</v>
      </c>
      <c r="L1945" s="1">
        <v>2</v>
      </c>
      <c r="M1945" s="1"/>
      <c r="N1945" s="1"/>
      <c r="O1945" s="3"/>
    </row>
    <row r="1946" spans="1:15" ht="409.6">
      <c r="A1946" t="s">
        <v>12299</v>
      </c>
      <c r="B1946" t="s">
        <v>12300</v>
      </c>
      <c r="C1946" t="s">
        <v>11860</v>
      </c>
      <c r="D1946" t="s">
        <v>23</v>
      </c>
      <c r="E1946">
        <v>30</v>
      </c>
      <c r="F1946" s="2" t="s">
        <v>12301</v>
      </c>
      <c r="G1946" s="2" t="s">
        <v>12302</v>
      </c>
      <c r="H1946" s="2" t="s">
        <v>12303</v>
      </c>
      <c r="I1946" s="2" t="s">
        <v>12304</v>
      </c>
      <c r="J1946" t="s">
        <v>12305</v>
      </c>
      <c r="K1946" t="s">
        <v>12306</v>
      </c>
      <c r="L1946" s="1">
        <v>2</v>
      </c>
      <c r="M1946" s="1"/>
      <c r="N1946" s="1"/>
      <c r="O1946" s="3"/>
    </row>
    <row r="1947" spans="1:15" ht="409.6">
      <c r="A1947" t="s">
        <v>12307</v>
      </c>
      <c r="B1947" t="s">
        <v>12308</v>
      </c>
      <c r="C1947" t="s">
        <v>11860</v>
      </c>
      <c r="D1947" t="s">
        <v>23</v>
      </c>
      <c r="E1947">
        <v>15</v>
      </c>
      <c r="F1947" s="2" t="s">
        <v>12309</v>
      </c>
      <c r="G1947" s="2" t="s">
        <v>12310</v>
      </c>
      <c r="H1947" s="2" t="s">
        <v>12311</v>
      </c>
      <c r="I1947" s="2" t="s">
        <v>12312</v>
      </c>
      <c r="J1947" t="s">
        <v>12313</v>
      </c>
      <c r="K1947" t="s">
        <v>12314</v>
      </c>
      <c r="L1947" s="1">
        <v>2</v>
      </c>
      <c r="M1947" s="1"/>
      <c r="N1947" s="1"/>
      <c r="O1947" s="3"/>
    </row>
    <row r="1948" spans="1:15" ht="409.6">
      <c r="A1948" t="s">
        <v>12315</v>
      </c>
      <c r="B1948" t="s">
        <v>12316</v>
      </c>
      <c r="C1948" t="s">
        <v>11860</v>
      </c>
      <c r="D1948" t="s">
        <v>23</v>
      </c>
      <c r="E1948">
        <v>20</v>
      </c>
      <c r="F1948" s="2" t="s">
        <v>12317</v>
      </c>
      <c r="G1948" s="2" t="s">
        <v>12318</v>
      </c>
      <c r="H1948" s="2" t="s">
        <v>12319</v>
      </c>
      <c r="I1948" s="2" t="s">
        <v>12320</v>
      </c>
      <c r="J1948" t="s">
        <v>12321</v>
      </c>
      <c r="K1948" t="s">
        <v>12322</v>
      </c>
      <c r="L1948" s="1">
        <v>2</v>
      </c>
      <c r="M1948" s="1"/>
      <c r="N1948" s="1"/>
      <c r="O1948" s="3"/>
    </row>
    <row r="1949" spans="1:15" ht="409.6">
      <c r="A1949" t="s">
        <v>2141</v>
      </c>
      <c r="B1949" t="s">
        <v>2142</v>
      </c>
      <c r="C1949" t="s">
        <v>11860</v>
      </c>
      <c r="D1949" t="s">
        <v>23</v>
      </c>
      <c r="E1949">
        <v>25</v>
      </c>
      <c r="F1949" s="2" t="s">
        <v>12323</v>
      </c>
      <c r="G1949" s="2" t="s">
        <v>12324</v>
      </c>
      <c r="H1949" s="2" t="s">
        <v>12325</v>
      </c>
      <c r="I1949" s="2" t="s">
        <v>12326</v>
      </c>
      <c r="J1949" t="s">
        <v>12327</v>
      </c>
      <c r="K1949" t="s">
        <v>12328</v>
      </c>
      <c r="L1949" s="1">
        <v>2</v>
      </c>
      <c r="M1949" s="1"/>
      <c r="N1949" s="1"/>
      <c r="O1949" s="3"/>
    </row>
    <row r="1950" spans="1:15" ht="409.6">
      <c r="A1950" t="s">
        <v>6243</v>
      </c>
      <c r="B1950" t="s">
        <v>2931</v>
      </c>
      <c r="C1950" t="s">
        <v>11860</v>
      </c>
      <c r="D1950" t="s">
        <v>23</v>
      </c>
      <c r="E1950">
        <v>30</v>
      </c>
      <c r="F1950" s="2" t="s">
        <v>12102</v>
      </c>
      <c r="G1950" s="2" t="s">
        <v>12103</v>
      </c>
      <c r="H1950" s="2" t="s">
        <v>12104</v>
      </c>
      <c r="I1950" s="2" t="s">
        <v>12329</v>
      </c>
      <c r="J1950" t="s">
        <v>12330</v>
      </c>
      <c r="K1950" t="s">
        <v>12331</v>
      </c>
      <c r="L1950" s="1">
        <v>2</v>
      </c>
      <c r="M1950" s="1"/>
      <c r="N1950" s="1"/>
      <c r="O1950" s="3"/>
    </row>
    <row r="1951" spans="1:15" ht="409.6">
      <c r="A1951" t="s">
        <v>12332</v>
      </c>
      <c r="B1951" t="s">
        <v>12333</v>
      </c>
      <c r="C1951" t="s">
        <v>11860</v>
      </c>
      <c r="D1951" t="s">
        <v>23</v>
      </c>
      <c r="E1951">
        <v>20</v>
      </c>
      <c r="F1951" s="2" t="s">
        <v>12334</v>
      </c>
      <c r="G1951" s="2" t="s">
        <v>12335</v>
      </c>
      <c r="H1951" s="2" t="s">
        <v>12336</v>
      </c>
      <c r="I1951" s="2" t="s">
        <v>12337</v>
      </c>
      <c r="J1951" t="s">
        <v>12338</v>
      </c>
      <c r="K1951" t="s">
        <v>12339</v>
      </c>
      <c r="L1951" s="1">
        <v>2</v>
      </c>
      <c r="M1951" s="1"/>
      <c r="N1951" s="1"/>
      <c r="O1951" s="3"/>
    </row>
    <row r="1952" spans="1:15" ht="409.6">
      <c r="A1952" t="s">
        <v>12340</v>
      </c>
      <c r="B1952" t="s">
        <v>12341</v>
      </c>
      <c r="C1952" t="s">
        <v>11860</v>
      </c>
      <c r="D1952" t="s">
        <v>23</v>
      </c>
      <c r="E1952">
        <v>20</v>
      </c>
      <c r="F1952" s="2" t="s">
        <v>12342</v>
      </c>
      <c r="G1952" s="2" t="s">
        <v>12343</v>
      </c>
      <c r="H1952" s="2" t="s">
        <v>12344</v>
      </c>
      <c r="I1952" s="2" t="s">
        <v>12345</v>
      </c>
      <c r="J1952" t="s">
        <v>12346</v>
      </c>
      <c r="K1952" t="s">
        <v>12347</v>
      </c>
      <c r="L1952" s="1">
        <v>2</v>
      </c>
      <c r="M1952" s="1"/>
      <c r="N1952" s="1"/>
      <c r="O1952" s="3"/>
    </row>
    <row r="1953" spans="1:15" ht="409.6">
      <c r="A1953" t="s">
        <v>12254</v>
      </c>
      <c r="B1953" t="s">
        <v>12255</v>
      </c>
      <c r="C1953" t="s">
        <v>11860</v>
      </c>
      <c r="D1953" t="s">
        <v>23</v>
      </c>
      <c r="E1953">
        <v>30</v>
      </c>
      <c r="F1953" s="2" t="s">
        <v>12348</v>
      </c>
      <c r="G1953" s="2" t="s">
        <v>12349</v>
      </c>
      <c r="H1953" s="2" t="s">
        <v>12350</v>
      </c>
      <c r="I1953" s="2" t="s">
        <v>12351</v>
      </c>
      <c r="J1953" t="s">
        <v>12260</v>
      </c>
      <c r="K1953" t="s">
        <v>12352</v>
      </c>
      <c r="L1953" s="1">
        <v>2</v>
      </c>
      <c r="M1953" s="1"/>
      <c r="N1953" s="1"/>
      <c r="O1953" s="3"/>
    </row>
    <row r="1954" spans="1:15" ht="409.6">
      <c r="A1954" t="s">
        <v>12353</v>
      </c>
      <c r="B1954" t="s">
        <v>12354</v>
      </c>
      <c r="C1954" t="s">
        <v>11860</v>
      </c>
      <c r="D1954" t="s">
        <v>23</v>
      </c>
      <c r="E1954">
        <v>20</v>
      </c>
      <c r="F1954" s="2" t="s">
        <v>12355</v>
      </c>
      <c r="G1954" s="2" t="s">
        <v>12356</v>
      </c>
      <c r="H1954" s="2" t="s">
        <v>12357</v>
      </c>
      <c r="I1954" s="2" t="s">
        <v>12358</v>
      </c>
      <c r="J1954" t="s">
        <v>12359</v>
      </c>
      <c r="K1954" t="s">
        <v>12360</v>
      </c>
      <c r="L1954" s="1">
        <v>2</v>
      </c>
      <c r="M1954" s="1"/>
      <c r="N1954" s="1"/>
      <c r="O1954" s="3"/>
    </row>
    <row r="1955" spans="1:15" ht="409.6">
      <c r="A1955" t="s">
        <v>12361</v>
      </c>
      <c r="B1955" t="s">
        <v>12362</v>
      </c>
      <c r="C1955" t="s">
        <v>11860</v>
      </c>
      <c r="D1955" t="s">
        <v>14</v>
      </c>
      <c r="E1955">
        <v>30</v>
      </c>
      <c r="F1955" s="2" t="s">
        <v>12363</v>
      </c>
      <c r="G1955" s="2" t="s">
        <v>12364</v>
      </c>
      <c r="H1955" s="2" t="s">
        <v>12365</v>
      </c>
      <c r="I1955" s="2" t="s">
        <v>12366</v>
      </c>
      <c r="J1955" t="s">
        <v>12367</v>
      </c>
      <c r="K1955" t="s">
        <v>12368</v>
      </c>
      <c r="L1955" s="1">
        <v>2</v>
      </c>
      <c r="M1955" s="1"/>
      <c r="N1955" s="1"/>
      <c r="O1955" s="3"/>
    </row>
    <row r="1956" spans="1:15" ht="409.6">
      <c r="A1956" t="s">
        <v>12369</v>
      </c>
      <c r="B1956" t="s">
        <v>12370</v>
      </c>
      <c r="C1956" t="s">
        <v>11860</v>
      </c>
      <c r="D1956" t="s">
        <v>23</v>
      </c>
      <c r="E1956">
        <v>30</v>
      </c>
      <c r="F1956" s="2" t="s">
        <v>12371</v>
      </c>
      <c r="G1956" s="2" t="s">
        <v>12372</v>
      </c>
      <c r="H1956" s="2" t="s">
        <v>12373</v>
      </c>
      <c r="I1956" s="2" t="s">
        <v>12374</v>
      </c>
      <c r="J1956" t="s">
        <v>12375</v>
      </c>
      <c r="K1956" t="s">
        <v>12376</v>
      </c>
      <c r="L1956" s="1">
        <v>2</v>
      </c>
      <c r="M1956" s="1"/>
      <c r="N1956" s="1"/>
      <c r="O1956" s="3"/>
    </row>
    <row r="1957" spans="1:15" ht="409.6">
      <c r="A1957" t="s">
        <v>12377</v>
      </c>
      <c r="B1957" t="s">
        <v>12378</v>
      </c>
      <c r="C1957" t="s">
        <v>11860</v>
      </c>
      <c r="D1957" t="s">
        <v>23</v>
      </c>
      <c r="E1957">
        <v>20</v>
      </c>
      <c r="F1957" s="2" t="s">
        <v>12379</v>
      </c>
      <c r="G1957" s="2" t="s">
        <v>12380</v>
      </c>
      <c r="H1957" s="2" t="s">
        <v>12381</v>
      </c>
      <c r="I1957" s="2" t="s">
        <v>12382</v>
      </c>
      <c r="J1957" t="s">
        <v>12383</v>
      </c>
      <c r="K1957" t="s">
        <v>12384</v>
      </c>
      <c r="L1957" s="1">
        <v>2</v>
      </c>
      <c r="M1957" s="1"/>
      <c r="N1957" s="1"/>
      <c r="O1957" s="3"/>
    </row>
    <row r="1958" spans="1:15" ht="409.6">
      <c r="A1958" t="s">
        <v>12151</v>
      </c>
      <c r="B1958" t="s">
        <v>12152</v>
      </c>
      <c r="C1958" t="s">
        <v>11860</v>
      </c>
      <c r="D1958" t="s">
        <v>14</v>
      </c>
      <c r="E1958">
        <v>45</v>
      </c>
      <c r="F1958" s="2" t="s">
        <v>12385</v>
      </c>
      <c r="G1958" s="2" t="s">
        <v>12386</v>
      </c>
      <c r="H1958" s="2" t="s">
        <v>12387</v>
      </c>
      <c r="I1958" s="2" t="s">
        <v>12388</v>
      </c>
      <c r="J1958" t="s">
        <v>12389</v>
      </c>
      <c r="K1958" t="s">
        <v>12390</v>
      </c>
      <c r="L1958" s="1">
        <v>2</v>
      </c>
      <c r="M1958" s="1"/>
      <c r="N1958" s="1"/>
      <c r="O1958" s="3"/>
    </row>
    <row r="1959" spans="1:15" ht="409.6">
      <c r="A1959" t="s">
        <v>12391</v>
      </c>
      <c r="B1959" t="s">
        <v>12392</v>
      </c>
      <c r="C1959" t="s">
        <v>11860</v>
      </c>
      <c r="D1959" t="s">
        <v>23</v>
      </c>
      <c r="E1959">
        <v>30</v>
      </c>
      <c r="F1959" s="2" t="s">
        <v>12393</v>
      </c>
      <c r="G1959" s="2" t="s">
        <v>12394</v>
      </c>
      <c r="H1959" s="2" t="s">
        <v>12395</v>
      </c>
      <c r="I1959" s="2" t="s">
        <v>12396</v>
      </c>
      <c r="J1959" t="s">
        <v>12397</v>
      </c>
      <c r="K1959" t="s">
        <v>12398</v>
      </c>
      <c r="L1959" s="1">
        <v>2</v>
      </c>
      <c r="M1959" s="1"/>
      <c r="N1959" s="1"/>
      <c r="O1959" s="3"/>
    </row>
    <row r="1960" spans="1:15" ht="409.6">
      <c r="A1960" t="s">
        <v>12399</v>
      </c>
      <c r="B1960" t="s">
        <v>12400</v>
      </c>
      <c r="C1960" t="s">
        <v>11860</v>
      </c>
      <c r="D1960" t="s">
        <v>23</v>
      </c>
      <c r="E1960">
        <v>20</v>
      </c>
      <c r="F1960" s="2" t="s">
        <v>12401</v>
      </c>
      <c r="G1960" s="2" t="s">
        <v>12402</v>
      </c>
      <c r="H1960" s="2" t="s">
        <v>12403</v>
      </c>
      <c r="I1960" s="2" t="s">
        <v>12404</v>
      </c>
      <c r="J1960" t="s">
        <v>12405</v>
      </c>
      <c r="K1960" t="s">
        <v>12406</v>
      </c>
      <c r="L1960" s="1">
        <v>2</v>
      </c>
      <c r="M1960" s="1"/>
      <c r="N1960" s="1"/>
      <c r="O1960" s="3"/>
    </row>
    <row r="1961" spans="1:15" ht="409.6">
      <c r="A1961" t="s">
        <v>12407</v>
      </c>
      <c r="B1961" t="s">
        <v>12408</v>
      </c>
      <c r="C1961" t="s">
        <v>11860</v>
      </c>
      <c r="D1961" t="s">
        <v>23</v>
      </c>
      <c r="E1961">
        <v>30</v>
      </c>
      <c r="F1961" s="2" t="s">
        <v>12409</v>
      </c>
      <c r="G1961" s="2" t="s">
        <v>12410</v>
      </c>
      <c r="H1961" s="2" t="s">
        <v>12411</v>
      </c>
      <c r="I1961" s="2" t="s">
        <v>12412</v>
      </c>
      <c r="J1961" t="s">
        <v>12413</v>
      </c>
      <c r="K1961" t="s">
        <v>12414</v>
      </c>
      <c r="L1961" s="1">
        <v>2</v>
      </c>
      <c r="M1961" s="1"/>
      <c r="N1961" s="1"/>
      <c r="O1961" s="3"/>
    </row>
    <row r="1962" spans="1:15" ht="409.6">
      <c r="A1962" t="s">
        <v>12415</v>
      </c>
      <c r="B1962" t="s">
        <v>12416</v>
      </c>
      <c r="C1962" t="s">
        <v>11860</v>
      </c>
      <c r="D1962" t="s">
        <v>23</v>
      </c>
      <c r="E1962">
        <v>15</v>
      </c>
      <c r="F1962" s="2" t="s">
        <v>12417</v>
      </c>
      <c r="G1962" s="2" t="s">
        <v>12418</v>
      </c>
      <c r="H1962" s="2" t="s">
        <v>12419</v>
      </c>
      <c r="I1962" s="2" t="s">
        <v>12420</v>
      </c>
      <c r="J1962" t="s">
        <v>12421</v>
      </c>
      <c r="K1962" t="s">
        <v>12422</v>
      </c>
      <c r="L1962" s="1">
        <v>2</v>
      </c>
      <c r="M1962" s="1"/>
      <c r="N1962" s="1"/>
      <c r="O1962" s="3"/>
    </row>
    <row r="1963" spans="1:15" ht="409.6">
      <c r="A1963" t="s">
        <v>12423</v>
      </c>
      <c r="B1963" t="s">
        <v>5325</v>
      </c>
      <c r="C1963" t="s">
        <v>11860</v>
      </c>
      <c r="D1963" t="s">
        <v>23</v>
      </c>
      <c r="E1963">
        <v>25</v>
      </c>
      <c r="F1963" s="2" t="s">
        <v>12424</v>
      </c>
      <c r="G1963" s="2" t="s">
        <v>12425</v>
      </c>
      <c r="H1963" s="2" t="s">
        <v>12426</v>
      </c>
      <c r="I1963" s="2" t="s">
        <v>12427</v>
      </c>
      <c r="J1963" t="s">
        <v>12428</v>
      </c>
      <c r="K1963" t="s">
        <v>12429</v>
      </c>
      <c r="L1963" s="1">
        <v>2</v>
      </c>
      <c r="M1963" s="1"/>
      <c r="N1963" s="1"/>
      <c r="O1963" s="3"/>
    </row>
    <row r="1964" spans="1:15" ht="409.6">
      <c r="A1964" t="s">
        <v>12430</v>
      </c>
      <c r="B1964" t="s">
        <v>12431</v>
      </c>
      <c r="C1964" t="s">
        <v>11860</v>
      </c>
      <c r="D1964" t="s">
        <v>23</v>
      </c>
      <c r="E1964">
        <v>30</v>
      </c>
      <c r="F1964" s="2" t="s">
        <v>12432</v>
      </c>
      <c r="G1964" s="2" t="s">
        <v>12433</v>
      </c>
      <c r="H1964" s="2" t="s">
        <v>12434</v>
      </c>
      <c r="I1964" s="2" t="s">
        <v>12435</v>
      </c>
      <c r="J1964" t="s">
        <v>12436</v>
      </c>
      <c r="K1964" t="s">
        <v>12437</v>
      </c>
      <c r="L1964" s="1">
        <v>2</v>
      </c>
      <c r="M1964" s="1"/>
      <c r="N1964" s="1"/>
      <c r="O1964" s="3"/>
    </row>
    <row r="1965" spans="1:15" ht="409.6">
      <c r="A1965" t="s">
        <v>12438</v>
      </c>
      <c r="B1965" t="s">
        <v>12439</v>
      </c>
      <c r="C1965" t="s">
        <v>11860</v>
      </c>
      <c r="D1965" t="s">
        <v>23</v>
      </c>
      <c r="E1965">
        <v>40</v>
      </c>
      <c r="F1965" s="2" t="s">
        <v>12440</v>
      </c>
      <c r="G1965" s="2" t="s">
        <v>12441</v>
      </c>
      <c r="H1965" s="2" t="s">
        <v>12442</v>
      </c>
      <c r="I1965" s="2" t="s">
        <v>12443</v>
      </c>
      <c r="J1965" t="s">
        <v>12444</v>
      </c>
      <c r="K1965" t="s">
        <v>12445</v>
      </c>
      <c r="L1965" s="1">
        <v>2</v>
      </c>
      <c r="M1965" s="1"/>
      <c r="N1965" s="1"/>
      <c r="O1965" s="3"/>
    </row>
    <row r="1966" spans="1:15" ht="409.6">
      <c r="A1966" t="s">
        <v>12446</v>
      </c>
      <c r="B1966" s="2" t="s">
        <v>12447</v>
      </c>
      <c r="C1966" t="s">
        <v>11860</v>
      </c>
      <c r="D1966" t="s">
        <v>23</v>
      </c>
      <c r="E1966">
        <v>15</v>
      </c>
      <c r="F1966" s="2" t="s">
        <v>12448</v>
      </c>
      <c r="G1966" s="2" t="s">
        <v>12449</v>
      </c>
      <c r="H1966" s="2" t="s">
        <v>12450</v>
      </c>
      <c r="I1966" s="2" t="s">
        <v>12451</v>
      </c>
      <c r="J1966" t="s">
        <v>12452</v>
      </c>
      <c r="K1966" t="s">
        <v>12453</v>
      </c>
      <c r="L1966" s="1">
        <v>2</v>
      </c>
      <c r="M1966" s="1"/>
      <c r="N1966" s="1"/>
      <c r="O1966" s="3"/>
    </row>
    <row r="1967" spans="1:15" ht="409.6">
      <c r="A1967" t="s">
        <v>12037</v>
      </c>
      <c r="B1967" t="s">
        <v>12038</v>
      </c>
      <c r="C1967" t="s">
        <v>11860</v>
      </c>
      <c r="D1967" t="s">
        <v>23</v>
      </c>
      <c r="E1967">
        <v>20</v>
      </c>
      <c r="F1967" s="2" t="s">
        <v>12454</v>
      </c>
      <c r="G1967" s="2" t="s">
        <v>12455</v>
      </c>
      <c r="H1967" s="2" t="s">
        <v>12456</v>
      </c>
      <c r="I1967" s="2" t="s">
        <v>12457</v>
      </c>
      <c r="J1967" t="s">
        <v>12458</v>
      </c>
      <c r="K1967" t="s">
        <v>12459</v>
      </c>
      <c r="L1967" s="1">
        <v>2</v>
      </c>
      <c r="M1967" s="1"/>
      <c r="N1967" s="1"/>
      <c r="O1967" s="3"/>
    </row>
    <row r="1968" spans="1:15" ht="409.6">
      <c r="A1968" t="s">
        <v>12460</v>
      </c>
      <c r="B1968" t="s">
        <v>12461</v>
      </c>
      <c r="C1968" t="s">
        <v>11860</v>
      </c>
      <c r="D1968" t="s">
        <v>14</v>
      </c>
      <c r="E1968">
        <v>50</v>
      </c>
      <c r="F1968" s="2" t="s">
        <v>12462</v>
      </c>
      <c r="G1968" s="2" t="s">
        <v>12463</v>
      </c>
      <c r="H1968" s="2" t="s">
        <v>12464</v>
      </c>
      <c r="I1968" s="2" t="s">
        <v>12465</v>
      </c>
      <c r="J1968" t="s">
        <v>12466</v>
      </c>
      <c r="K1968" t="s">
        <v>12467</v>
      </c>
      <c r="L1968" s="1">
        <v>2</v>
      </c>
      <c r="M1968" s="1"/>
      <c r="N1968" s="1"/>
      <c r="O1968" s="3"/>
    </row>
    <row r="1969" spans="1:15" ht="409.6">
      <c r="A1969" t="s">
        <v>12468</v>
      </c>
      <c r="B1969" t="s">
        <v>12469</v>
      </c>
      <c r="C1969" t="s">
        <v>11860</v>
      </c>
      <c r="D1969" t="s">
        <v>23</v>
      </c>
      <c r="E1969">
        <v>30</v>
      </c>
      <c r="F1969" s="2" t="s">
        <v>12470</v>
      </c>
      <c r="G1969" s="2" t="s">
        <v>12471</v>
      </c>
      <c r="H1969" s="2" t="s">
        <v>12472</v>
      </c>
      <c r="I1969" s="2" t="s">
        <v>12473</v>
      </c>
      <c r="J1969" t="s">
        <v>12474</v>
      </c>
      <c r="K1969" t="s">
        <v>12475</v>
      </c>
      <c r="L1969" s="1">
        <v>2</v>
      </c>
      <c r="M1969" s="1"/>
      <c r="N1969" s="1"/>
      <c r="O1969" s="3"/>
    </row>
    <row r="1970" spans="1:15" ht="409.6">
      <c r="A1970" t="s">
        <v>12476</v>
      </c>
      <c r="B1970" t="s">
        <v>11334</v>
      </c>
      <c r="C1970" t="s">
        <v>11860</v>
      </c>
      <c r="D1970" t="s">
        <v>23</v>
      </c>
      <c r="E1970">
        <v>30</v>
      </c>
      <c r="F1970" s="2" t="s">
        <v>12477</v>
      </c>
      <c r="G1970" s="2" t="s">
        <v>12478</v>
      </c>
      <c r="H1970" s="2" t="s">
        <v>12479</v>
      </c>
      <c r="I1970" s="2" t="s">
        <v>12480</v>
      </c>
      <c r="J1970" t="s">
        <v>12481</v>
      </c>
      <c r="K1970" t="s">
        <v>12482</v>
      </c>
      <c r="L1970" s="1">
        <v>2</v>
      </c>
      <c r="M1970" s="1"/>
      <c r="N1970" s="1"/>
      <c r="O1970" s="3"/>
    </row>
    <row r="1971" spans="1:15" ht="409.6">
      <c r="A1971" t="s">
        <v>12483</v>
      </c>
      <c r="B1971" t="s">
        <v>12484</v>
      </c>
      <c r="C1971" t="s">
        <v>11860</v>
      </c>
      <c r="D1971" t="s">
        <v>23</v>
      </c>
      <c r="E1971">
        <v>25</v>
      </c>
      <c r="F1971" s="2" t="s">
        <v>12485</v>
      </c>
      <c r="G1971" s="2" t="s">
        <v>12486</v>
      </c>
      <c r="H1971" s="2" t="s">
        <v>12487</v>
      </c>
      <c r="I1971" s="2" t="s">
        <v>12488</v>
      </c>
      <c r="J1971" t="s">
        <v>12489</v>
      </c>
      <c r="K1971" t="s">
        <v>12490</v>
      </c>
      <c r="L1971" s="1">
        <v>2</v>
      </c>
      <c r="M1971" s="1"/>
      <c r="N1971" s="1"/>
      <c r="O1971" s="3"/>
    </row>
    <row r="1972" spans="1:15" ht="409.6">
      <c r="A1972" t="s">
        <v>12491</v>
      </c>
      <c r="B1972" t="s">
        <v>12492</v>
      </c>
      <c r="C1972" t="s">
        <v>11860</v>
      </c>
      <c r="D1972" t="s">
        <v>23</v>
      </c>
      <c r="E1972">
        <v>35</v>
      </c>
      <c r="F1972" s="2" t="s">
        <v>12493</v>
      </c>
      <c r="G1972" s="2" t="s">
        <v>12494</v>
      </c>
      <c r="H1972" s="2" t="s">
        <v>12495</v>
      </c>
      <c r="I1972" s="2" t="s">
        <v>12496</v>
      </c>
      <c r="J1972" t="s">
        <v>12497</v>
      </c>
      <c r="K1972" t="s">
        <v>12498</v>
      </c>
      <c r="L1972" s="1">
        <v>2</v>
      </c>
      <c r="M1972" s="1"/>
      <c r="N1972" s="1"/>
      <c r="O1972" s="3"/>
    </row>
    <row r="1973" spans="1:15" ht="409.6">
      <c r="A1973" t="s">
        <v>12499</v>
      </c>
      <c r="B1973" s="2" t="s">
        <v>12500</v>
      </c>
      <c r="C1973" t="s">
        <v>11860</v>
      </c>
      <c r="D1973" t="s">
        <v>23</v>
      </c>
      <c r="E1973">
        <v>25</v>
      </c>
      <c r="F1973" s="2" t="s">
        <v>12501</v>
      </c>
      <c r="G1973" s="2" t="s">
        <v>12502</v>
      </c>
      <c r="H1973" s="2" t="s">
        <v>12503</v>
      </c>
      <c r="I1973" s="2" t="s">
        <v>12504</v>
      </c>
      <c r="J1973" t="s">
        <v>12505</v>
      </c>
      <c r="K1973" t="s">
        <v>12506</v>
      </c>
      <c r="L1973" s="1">
        <v>2</v>
      </c>
      <c r="M1973" s="1"/>
      <c r="N1973" s="1"/>
      <c r="O1973" s="3"/>
    </row>
    <row r="1974" spans="1:15" ht="409.6">
      <c r="A1974" t="s">
        <v>11475</v>
      </c>
      <c r="B1974" t="s">
        <v>11476</v>
      </c>
      <c r="C1974" t="s">
        <v>11860</v>
      </c>
      <c r="D1974" t="s">
        <v>23</v>
      </c>
      <c r="E1974">
        <v>20</v>
      </c>
      <c r="F1974" s="2" t="s">
        <v>12507</v>
      </c>
      <c r="G1974" s="2" t="s">
        <v>12508</v>
      </c>
      <c r="H1974" s="2" t="s">
        <v>12509</v>
      </c>
      <c r="I1974" s="2" t="s">
        <v>12510</v>
      </c>
      <c r="J1974" t="s">
        <v>12511</v>
      </c>
      <c r="K1974" t="s">
        <v>12512</v>
      </c>
      <c r="L1974" s="1">
        <v>2</v>
      </c>
      <c r="M1974" s="1"/>
      <c r="N1974" s="1"/>
      <c r="O1974" s="3"/>
    </row>
    <row r="1975" spans="1:15" ht="409.6">
      <c r="A1975" t="s">
        <v>12513</v>
      </c>
      <c r="B1975" t="s">
        <v>12514</v>
      </c>
      <c r="C1975" t="s">
        <v>11860</v>
      </c>
      <c r="D1975" t="s">
        <v>23</v>
      </c>
      <c r="E1975">
        <v>20</v>
      </c>
      <c r="F1975" s="2" t="s">
        <v>12515</v>
      </c>
      <c r="G1975" s="2" t="s">
        <v>12516</v>
      </c>
      <c r="H1975" s="2" t="s">
        <v>12517</v>
      </c>
      <c r="I1975" s="2" t="s">
        <v>12518</v>
      </c>
      <c r="J1975" t="s">
        <v>12519</v>
      </c>
      <c r="K1975" t="s">
        <v>12520</v>
      </c>
      <c r="L1975" s="1">
        <v>2</v>
      </c>
      <c r="M1975" s="1"/>
      <c r="N1975" s="1"/>
      <c r="O1975" s="3"/>
    </row>
    <row r="1976" spans="1:15" ht="409.6">
      <c r="A1976" t="s">
        <v>12521</v>
      </c>
      <c r="B1976" s="2" t="s">
        <v>12522</v>
      </c>
      <c r="C1976" t="s">
        <v>11860</v>
      </c>
      <c r="D1976" t="s">
        <v>23</v>
      </c>
      <c r="E1976">
        <v>30</v>
      </c>
      <c r="F1976" s="2" t="s">
        <v>12523</v>
      </c>
      <c r="G1976" s="2" t="s">
        <v>12524</v>
      </c>
      <c r="H1976" s="2" t="s">
        <v>12525</v>
      </c>
      <c r="I1976" s="2" t="s">
        <v>12526</v>
      </c>
      <c r="J1976" t="s">
        <v>12527</v>
      </c>
      <c r="K1976" t="s">
        <v>12528</v>
      </c>
      <c r="L1976" s="1">
        <v>2</v>
      </c>
      <c r="M1976" s="1"/>
      <c r="N1976" s="1"/>
      <c r="O1976" s="3"/>
    </row>
    <row r="1977" spans="1:15" ht="409.6">
      <c r="A1977" t="s">
        <v>12529</v>
      </c>
      <c r="B1977" t="s">
        <v>12530</v>
      </c>
      <c r="C1977" t="s">
        <v>11860</v>
      </c>
      <c r="D1977" t="s">
        <v>23</v>
      </c>
      <c r="E1977">
        <v>30</v>
      </c>
      <c r="F1977" s="2" t="s">
        <v>12531</v>
      </c>
      <c r="G1977" s="2" t="s">
        <v>12532</v>
      </c>
      <c r="H1977" s="2" t="s">
        <v>12533</v>
      </c>
      <c r="I1977" s="2" t="s">
        <v>12534</v>
      </c>
      <c r="J1977" t="s">
        <v>12535</v>
      </c>
      <c r="K1977" t="s">
        <v>12536</v>
      </c>
      <c r="L1977" s="1">
        <v>2</v>
      </c>
      <c r="M1977" s="1"/>
      <c r="N1977" s="1"/>
      <c r="O1977" s="3"/>
    </row>
    <row r="1978" spans="1:15" ht="409.6">
      <c r="A1978" t="s">
        <v>12537</v>
      </c>
      <c r="B1978" s="2" t="s">
        <v>12538</v>
      </c>
      <c r="C1978" t="s">
        <v>11860</v>
      </c>
      <c r="D1978" t="s">
        <v>23</v>
      </c>
      <c r="E1978">
        <v>20</v>
      </c>
      <c r="F1978" s="2" t="s">
        <v>12539</v>
      </c>
      <c r="G1978" s="2" t="s">
        <v>12540</v>
      </c>
      <c r="H1978" s="2" t="s">
        <v>12541</v>
      </c>
      <c r="I1978" s="2" t="s">
        <v>12542</v>
      </c>
      <c r="J1978" t="s">
        <v>12543</v>
      </c>
      <c r="K1978" t="s">
        <v>12544</v>
      </c>
      <c r="L1978" s="1">
        <v>2</v>
      </c>
      <c r="M1978" s="1"/>
      <c r="N1978" s="1"/>
      <c r="O1978" s="3"/>
    </row>
    <row r="1979" spans="1:15" ht="409.6">
      <c r="A1979" t="s">
        <v>12545</v>
      </c>
      <c r="B1979" t="s">
        <v>12546</v>
      </c>
      <c r="C1979" t="s">
        <v>11860</v>
      </c>
      <c r="D1979" t="s">
        <v>23</v>
      </c>
      <c r="E1979">
        <v>20</v>
      </c>
      <c r="F1979" s="2" t="s">
        <v>12547</v>
      </c>
      <c r="G1979" s="2" t="s">
        <v>12548</v>
      </c>
      <c r="H1979" s="2" t="s">
        <v>12549</v>
      </c>
      <c r="I1979" s="2" t="s">
        <v>12550</v>
      </c>
      <c r="J1979" t="s">
        <v>12551</v>
      </c>
      <c r="K1979" t="s">
        <v>12552</v>
      </c>
      <c r="L1979" s="1">
        <v>2</v>
      </c>
      <c r="M1979" s="1"/>
      <c r="N1979" s="1"/>
      <c r="O1979" s="3"/>
    </row>
    <row r="1980" spans="1:15" ht="409.6">
      <c r="A1980" t="s">
        <v>12553</v>
      </c>
      <c r="B1980" s="2" t="s">
        <v>12554</v>
      </c>
      <c r="C1980" t="s">
        <v>11860</v>
      </c>
      <c r="D1980" t="s">
        <v>23</v>
      </c>
      <c r="E1980">
        <v>25</v>
      </c>
      <c r="F1980" s="2" t="s">
        <v>12555</v>
      </c>
      <c r="G1980" s="2" t="s">
        <v>12556</v>
      </c>
      <c r="H1980" s="2" t="s">
        <v>12557</v>
      </c>
      <c r="I1980" s="2" t="s">
        <v>12558</v>
      </c>
      <c r="J1980" t="s">
        <v>12559</v>
      </c>
      <c r="K1980" t="s">
        <v>12560</v>
      </c>
      <c r="L1980" s="1">
        <v>2</v>
      </c>
      <c r="M1980" s="1"/>
      <c r="N1980" s="1"/>
      <c r="O1980" s="3"/>
    </row>
    <row r="1981" spans="1:15" ht="409.6">
      <c r="A1981" t="s">
        <v>12561</v>
      </c>
      <c r="B1981" t="s">
        <v>12562</v>
      </c>
      <c r="C1981" t="s">
        <v>11860</v>
      </c>
      <c r="D1981" t="s">
        <v>23</v>
      </c>
      <c r="E1981">
        <v>20</v>
      </c>
      <c r="F1981" s="2" t="s">
        <v>12563</v>
      </c>
      <c r="G1981" s="2" t="s">
        <v>12564</v>
      </c>
      <c r="H1981" s="2" t="s">
        <v>12565</v>
      </c>
      <c r="I1981" s="2" t="s">
        <v>12566</v>
      </c>
      <c r="J1981" t="s">
        <v>12567</v>
      </c>
      <c r="K1981" t="s">
        <v>12568</v>
      </c>
      <c r="L1981" s="1">
        <v>2</v>
      </c>
      <c r="M1981" s="1"/>
      <c r="N1981" s="1"/>
      <c r="O1981" s="3"/>
    </row>
    <row r="1982" spans="1:15" ht="409.6">
      <c r="A1982" t="s">
        <v>12569</v>
      </c>
      <c r="B1982" t="s">
        <v>5692</v>
      </c>
      <c r="C1982" t="s">
        <v>11860</v>
      </c>
      <c r="D1982" t="s">
        <v>23</v>
      </c>
      <c r="E1982">
        <v>15</v>
      </c>
      <c r="F1982" s="2" t="s">
        <v>12570</v>
      </c>
      <c r="G1982" s="2" t="s">
        <v>12571</v>
      </c>
      <c r="H1982" s="2" t="s">
        <v>12572</v>
      </c>
      <c r="I1982" s="2" t="s">
        <v>12573</v>
      </c>
      <c r="J1982" t="s">
        <v>11991</v>
      </c>
      <c r="K1982" t="s">
        <v>12574</v>
      </c>
      <c r="L1982" s="1">
        <v>2</v>
      </c>
      <c r="M1982" s="1"/>
      <c r="N1982" s="1"/>
      <c r="O1982" s="3"/>
    </row>
    <row r="1983" spans="1:15" ht="409.6">
      <c r="A1983" t="s">
        <v>12575</v>
      </c>
      <c r="B1983" s="2" t="s">
        <v>12576</v>
      </c>
      <c r="C1983" t="s">
        <v>11860</v>
      </c>
      <c r="D1983" t="s">
        <v>23</v>
      </c>
      <c r="E1983">
        <v>40</v>
      </c>
      <c r="F1983" s="2" t="s">
        <v>12577</v>
      </c>
      <c r="G1983" s="2" t="s">
        <v>12578</v>
      </c>
      <c r="H1983" s="2" t="s">
        <v>12579</v>
      </c>
      <c r="I1983" s="2" t="s">
        <v>12580</v>
      </c>
      <c r="J1983" t="s">
        <v>12581</v>
      </c>
      <c r="K1983" t="s">
        <v>12582</v>
      </c>
      <c r="L1983" s="1">
        <v>2</v>
      </c>
      <c r="M1983" s="1"/>
      <c r="N1983" s="1"/>
      <c r="O1983" s="3"/>
    </row>
    <row r="1984" spans="1:15" ht="409.6">
      <c r="A1984" t="s">
        <v>12583</v>
      </c>
      <c r="B1984" t="s">
        <v>12584</v>
      </c>
      <c r="C1984" t="s">
        <v>11860</v>
      </c>
      <c r="D1984" t="s">
        <v>14</v>
      </c>
      <c r="E1984">
        <v>30</v>
      </c>
      <c r="F1984" s="2" t="s">
        <v>12585</v>
      </c>
      <c r="G1984" s="2" t="s">
        <v>12586</v>
      </c>
      <c r="H1984" s="2" t="s">
        <v>12587</v>
      </c>
      <c r="I1984" s="2" t="s">
        <v>12588</v>
      </c>
      <c r="J1984" t="s">
        <v>12589</v>
      </c>
      <c r="K1984" t="s">
        <v>12590</v>
      </c>
      <c r="L1984" s="1">
        <v>2</v>
      </c>
      <c r="M1984" s="1"/>
      <c r="N1984" s="1"/>
      <c r="O1984" s="3"/>
    </row>
    <row r="1985" spans="1:15" ht="409.6">
      <c r="A1985" t="s">
        <v>12591</v>
      </c>
      <c r="B1985" t="s">
        <v>12592</v>
      </c>
      <c r="C1985" t="s">
        <v>11860</v>
      </c>
      <c r="D1985" t="s">
        <v>23</v>
      </c>
      <c r="E1985">
        <v>25</v>
      </c>
      <c r="F1985" s="2" t="s">
        <v>12593</v>
      </c>
      <c r="G1985" s="2" t="s">
        <v>12594</v>
      </c>
      <c r="H1985" s="2" t="s">
        <v>12595</v>
      </c>
      <c r="I1985" s="2" t="s">
        <v>12596</v>
      </c>
      <c r="J1985" t="s">
        <v>12597</v>
      </c>
      <c r="K1985" t="s">
        <v>12598</v>
      </c>
      <c r="L1985" s="1">
        <v>2</v>
      </c>
      <c r="M1985" s="1"/>
      <c r="N1985" s="1"/>
      <c r="O1985" s="3"/>
    </row>
    <row r="1986" spans="1:15" ht="409.6">
      <c r="A1986" t="s">
        <v>11873</v>
      </c>
      <c r="B1986" t="s">
        <v>11874</v>
      </c>
      <c r="C1986" t="s">
        <v>11860</v>
      </c>
      <c r="D1986" t="s">
        <v>23</v>
      </c>
      <c r="E1986">
        <v>30</v>
      </c>
      <c r="F1986" s="2" t="s">
        <v>12599</v>
      </c>
      <c r="G1986" s="2" t="s">
        <v>12600</v>
      </c>
      <c r="H1986" s="2" t="s">
        <v>12601</v>
      </c>
      <c r="I1986" s="2" t="s">
        <v>12602</v>
      </c>
      <c r="J1986" t="s">
        <v>12603</v>
      </c>
      <c r="K1986" t="s">
        <v>12604</v>
      </c>
      <c r="L1986" s="1">
        <v>2</v>
      </c>
      <c r="M1986" s="1"/>
      <c r="N1986" s="1"/>
      <c r="O1986" s="3"/>
    </row>
    <row r="1987" spans="1:15" ht="409.6">
      <c r="A1987" t="s">
        <v>12605</v>
      </c>
      <c r="B1987" s="2" t="s">
        <v>12606</v>
      </c>
      <c r="C1987" t="s">
        <v>11860</v>
      </c>
      <c r="D1987" t="s">
        <v>23</v>
      </c>
      <c r="E1987">
        <v>15</v>
      </c>
      <c r="F1987" s="2" t="s">
        <v>12607</v>
      </c>
      <c r="G1987" s="2" t="s">
        <v>12608</v>
      </c>
      <c r="H1987" s="2" t="s">
        <v>12609</v>
      </c>
      <c r="I1987" s="2" t="s">
        <v>12610</v>
      </c>
      <c r="J1987" t="s">
        <v>12611</v>
      </c>
      <c r="K1987" t="s">
        <v>12612</v>
      </c>
      <c r="L1987" s="1">
        <v>2</v>
      </c>
      <c r="M1987" s="1"/>
      <c r="N1987" s="1"/>
      <c r="O1987" s="3"/>
    </row>
    <row r="1988" spans="1:15" ht="409.6">
      <c r="A1988" t="s">
        <v>12613</v>
      </c>
      <c r="B1988" s="2" t="s">
        <v>12614</v>
      </c>
      <c r="C1988" t="s">
        <v>11860</v>
      </c>
      <c r="D1988" t="s">
        <v>14</v>
      </c>
      <c r="E1988">
        <v>30</v>
      </c>
      <c r="F1988" s="2" t="s">
        <v>12615</v>
      </c>
      <c r="G1988" s="2" t="s">
        <v>12616</v>
      </c>
      <c r="H1988" s="2" t="s">
        <v>12617</v>
      </c>
      <c r="I1988" s="2" t="s">
        <v>12618</v>
      </c>
      <c r="J1988" t="s">
        <v>12619</v>
      </c>
      <c r="K1988" t="s">
        <v>12620</v>
      </c>
      <c r="L1988" s="1">
        <v>2</v>
      </c>
      <c r="M1988" s="1"/>
      <c r="N1988" s="1"/>
      <c r="O1988" s="3"/>
    </row>
    <row r="1989" spans="1:15" ht="409.6">
      <c r="A1989" t="s">
        <v>6243</v>
      </c>
      <c r="B1989" t="s">
        <v>2931</v>
      </c>
      <c r="C1989" t="s">
        <v>11860</v>
      </c>
      <c r="D1989" t="s">
        <v>23</v>
      </c>
      <c r="E1989">
        <v>20</v>
      </c>
      <c r="F1989" s="2" t="s">
        <v>12102</v>
      </c>
      <c r="G1989" s="2" t="s">
        <v>12103</v>
      </c>
      <c r="H1989" s="2" t="s">
        <v>12621</v>
      </c>
      <c r="I1989" s="2" t="s">
        <v>12622</v>
      </c>
      <c r="J1989" t="s">
        <v>12623</v>
      </c>
      <c r="K1989" t="s">
        <v>12624</v>
      </c>
      <c r="L1989" s="1">
        <v>2</v>
      </c>
      <c r="M1989" s="1"/>
      <c r="N1989" s="1"/>
      <c r="O1989" s="3"/>
    </row>
    <row r="1990" spans="1:15" ht="409.6">
      <c r="A1990" t="s">
        <v>12625</v>
      </c>
      <c r="B1990" t="s">
        <v>12626</v>
      </c>
      <c r="C1990" t="s">
        <v>11860</v>
      </c>
      <c r="D1990" t="s">
        <v>23</v>
      </c>
      <c r="E1990">
        <v>15</v>
      </c>
      <c r="F1990" s="2" t="s">
        <v>12627</v>
      </c>
      <c r="G1990" s="2" t="s">
        <v>12628</v>
      </c>
      <c r="H1990" s="2" t="s">
        <v>12629</v>
      </c>
      <c r="I1990" s="2" t="s">
        <v>12630</v>
      </c>
      <c r="J1990" t="s">
        <v>12631</v>
      </c>
      <c r="K1990" t="s">
        <v>12632</v>
      </c>
      <c r="L1990" s="1">
        <v>2</v>
      </c>
      <c r="M1990" s="1"/>
      <c r="N1990" s="1"/>
      <c r="O1990" s="3"/>
    </row>
    <row r="1991" spans="1:15" ht="409.6">
      <c r="A1991" t="s">
        <v>12633</v>
      </c>
      <c r="B1991" t="s">
        <v>12634</v>
      </c>
      <c r="C1991" t="s">
        <v>11860</v>
      </c>
      <c r="D1991" t="s">
        <v>23</v>
      </c>
      <c r="E1991">
        <v>20</v>
      </c>
      <c r="F1991" s="2" t="s">
        <v>12635</v>
      </c>
      <c r="G1991" s="2" t="s">
        <v>12636</v>
      </c>
      <c r="H1991" s="2" t="s">
        <v>12637</v>
      </c>
      <c r="I1991" s="2" t="s">
        <v>12638</v>
      </c>
      <c r="J1991" t="s">
        <v>12639</v>
      </c>
      <c r="K1991" t="s">
        <v>12640</v>
      </c>
      <c r="L1991" s="1">
        <v>2</v>
      </c>
      <c r="M1991" s="1"/>
      <c r="N1991" s="1"/>
      <c r="O1991" s="3"/>
    </row>
    <row r="1992" spans="1:15" ht="409.6">
      <c r="A1992" t="s">
        <v>12446</v>
      </c>
      <c r="B1992" s="2" t="s">
        <v>12447</v>
      </c>
      <c r="C1992" t="s">
        <v>11860</v>
      </c>
      <c r="D1992" t="s">
        <v>23</v>
      </c>
      <c r="E1992">
        <v>15</v>
      </c>
      <c r="F1992" s="2" t="s">
        <v>12641</v>
      </c>
      <c r="G1992" s="2" t="s">
        <v>12642</v>
      </c>
      <c r="H1992" s="2" t="s">
        <v>12450</v>
      </c>
      <c r="I1992" s="2" t="s">
        <v>12643</v>
      </c>
      <c r="J1992" t="s">
        <v>12644</v>
      </c>
      <c r="K1992" t="s">
        <v>12645</v>
      </c>
      <c r="L1992" s="1">
        <v>2</v>
      </c>
      <c r="M1992" s="1"/>
      <c r="N1992" s="1"/>
      <c r="O1992" s="3"/>
    </row>
    <row r="1993" spans="1:15" ht="409.6">
      <c r="A1993" t="s">
        <v>12646</v>
      </c>
      <c r="B1993" t="s">
        <v>12647</v>
      </c>
      <c r="C1993" t="s">
        <v>11860</v>
      </c>
      <c r="D1993" t="s">
        <v>23</v>
      </c>
      <c r="E1993">
        <v>25</v>
      </c>
      <c r="F1993" s="2" t="s">
        <v>12648</v>
      </c>
      <c r="G1993" s="2" t="s">
        <v>12649</v>
      </c>
      <c r="H1993" s="2" t="s">
        <v>12650</v>
      </c>
      <c r="I1993" s="2" t="s">
        <v>12651</v>
      </c>
      <c r="J1993" t="s">
        <v>12652</v>
      </c>
      <c r="K1993" t="s">
        <v>12653</v>
      </c>
      <c r="L1993" s="1">
        <v>2</v>
      </c>
      <c r="M1993" s="1"/>
      <c r="N1993" s="1"/>
      <c r="O1993" s="3"/>
    </row>
    <row r="1994" spans="1:15" ht="409.6">
      <c r="A1994" t="s">
        <v>11925</v>
      </c>
      <c r="B1994" t="s">
        <v>11926</v>
      </c>
      <c r="C1994" t="s">
        <v>11860</v>
      </c>
      <c r="D1994" t="s">
        <v>23</v>
      </c>
      <c r="E1994">
        <v>25</v>
      </c>
      <c r="F1994" s="2" t="s">
        <v>12654</v>
      </c>
      <c r="G1994" s="2" t="s">
        <v>12655</v>
      </c>
      <c r="H1994" s="2" t="s">
        <v>12656</v>
      </c>
      <c r="I1994" s="2" t="s">
        <v>12657</v>
      </c>
      <c r="J1994" t="s">
        <v>12658</v>
      </c>
      <c r="K1994" t="s">
        <v>12659</v>
      </c>
      <c r="L1994" s="1">
        <v>2</v>
      </c>
      <c r="M1994" s="1"/>
      <c r="N1994" s="1"/>
      <c r="O1994" s="3"/>
    </row>
    <row r="1995" spans="1:15" ht="409.6">
      <c r="A1995" t="s">
        <v>12052</v>
      </c>
      <c r="B1995" t="s">
        <v>12053</v>
      </c>
      <c r="C1995" t="s">
        <v>11860</v>
      </c>
      <c r="D1995" t="s">
        <v>14</v>
      </c>
      <c r="E1995">
        <v>45</v>
      </c>
      <c r="F1995" s="2" t="s">
        <v>12660</v>
      </c>
      <c r="G1995" s="2" t="s">
        <v>12661</v>
      </c>
      <c r="H1995" s="2" t="s">
        <v>12662</v>
      </c>
      <c r="I1995" s="2" t="s">
        <v>12663</v>
      </c>
      <c r="J1995" t="s">
        <v>12664</v>
      </c>
      <c r="K1995" t="s">
        <v>12665</v>
      </c>
      <c r="L1995" s="1">
        <v>2</v>
      </c>
      <c r="M1995" s="1"/>
      <c r="N1995" s="1"/>
      <c r="O1995" s="3"/>
    </row>
    <row r="1996" spans="1:15" ht="409.6">
      <c r="A1996" t="s">
        <v>12666</v>
      </c>
      <c r="B1996" t="s">
        <v>12667</v>
      </c>
      <c r="C1996" t="s">
        <v>11860</v>
      </c>
      <c r="D1996" t="s">
        <v>23</v>
      </c>
      <c r="E1996">
        <v>25</v>
      </c>
      <c r="F1996" s="2" t="s">
        <v>12668</v>
      </c>
      <c r="G1996" s="2" t="s">
        <v>12669</v>
      </c>
      <c r="H1996" s="2" t="s">
        <v>12670</v>
      </c>
      <c r="I1996" s="2" t="s">
        <v>12671</v>
      </c>
      <c r="J1996" t="s">
        <v>12672</v>
      </c>
      <c r="K1996" t="s">
        <v>12673</v>
      </c>
      <c r="L1996" s="1">
        <v>2</v>
      </c>
      <c r="M1996" s="1"/>
      <c r="N1996" s="1"/>
      <c r="O1996" s="3"/>
    </row>
    <row r="1997" spans="1:15" ht="409.6">
      <c r="A1997" t="s">
        <v>12415</v>
      </c>
      <c r="B1997" s="2" t="s">
        <v>12674</v>
      </c>
      <c r="C1997" t="s">
        <v>11860</v>
      </c>
      <c r="D1997" t="s">
        <v>23</v>
      </c>
      <c r="E1997">
        <v>20</v>
      </c>
      <c r="F1997" s="2" t="s">
        <v>12417</v>
      </c>
      <c r="G1997" s="2" t="s">
        <v>12418</v>
      </c>
      <c r="H1997" s="2" t="s">
        <v>12675</v>
      </c>
      <c r="I1997" s="2" t="s">
        <v>12676</v>
      </c>
      <c r="J1997" t="s">
        <v>12677</v>
      </c>
      <c r="K1997" t="s">
        <v>12678</v>
      </c>
      <c r="L1997" s="1">
        <v>2</v>
      </c>
      <c r="M1997" s="1"/>
      <c r="N1997" s="1"/>
      <c r="O1997" s="3"/>
    </row>
    <row r="1998" spans="1:15" ht="409.6">
      <c r="A1998" t="s">
        <v>12679</v>
      </c>
      <c r="B1998" t="s">
        <v>12680</v>
      </c>
      <c r="C1998" t="s">
        <v>11860</v>
      </c>
      <c r="D1998" t="s">
        <v>23</v>
      </c>
      <c r="E1998">
        <v>30</v>
      </c>
      <c r="F1998" s="2" t="s">
        <v>12681</v>
      </c>
      <c r="G1998" s="2" t="s">
        <v>12682</v>
      </c>
      <c r="H1998" s="2" t="s">
        <v>12683</v>
      </c>
      <c r="I1998" s="2" t="s">
        <v>12684</v>
      </c>
      <c r="J1998" t="s">
        <v>12685</v>
      </c>
      <c r="K1998" t="s">
        <v>12686</v>
      </c>
      <c r="L1998" s="1">
        <v>2</v>
      </c>
      <c r="M1998" s="1"/>
      <c r="N1998" s="1"/>
      <c r="O1998" s="3"/>
    </row>
    <row r="1999" spans="1:15" ht="409.6">
      <c r="A1999" t="s">
        <v>12687</v>
      </c>
      <c r="B1999" t="s">
        <v>12688</v>
      </c>
      <c r="C1999" t="s">
        <v>11860</v>
      </c>
      <c r="D1999" t="s">
        <v>23</v>
      </c>
      <c r="E1999">
        <v>20</v>
      </c>
      <c r="F1999" s="2" t="s">
        <v>12689</v>
      </c>
      <c r="G1999" s="2" t="s">
        <v>12690</v>
      </c>
      <c r="H1999" s="2" t="s">
        <v>12691</v>
      </c>
      <c r="I1999" s="2" t="s">
        <v>12692</v>
      </c>
      <c r="J1999" t="s">
        <v>12693</v>
      </c>
      <c r="K1999" t="s">
        <v>12694</v>
      </c>
      <c r="L1999" s="1">
        <v>2</v>
      </c>
      <c r="M1999" s="1"/>
      <c r="N1999" s="1"/>
      <c r="O1999" s="3"/>
    </row>
    <row r="2000" spans="1:15" ht="409.6">
      <c r="A2000" t="s">
        <v>12695</v>
      </c>
      <c r="B2000" t="s">
        <v>12696</v>
      </c>
      <c r="C2000" t="s">
        <v>11860</v>
      </c>
      <c r="D2000" t="s">
        <v>23</v>
      </c>
      <c r="E2000">
        <v>30</v>
      </c>
      <c r="F2000" s="2" t="s">
        <v>12697</v>
      </c>
      <c r="G2000" s="2" t="s">
        <v>12698</v>
      </c>
      <c r="H2000" s="2" t="s">
        <v>12699</v>
      </c>
      <c r="I2000" s="2" t="s">
        <v>12700</v>
      </c>
      <c r="J2000" t="s">
        <v>12701</v>
      </c>
      <c r="K2000" t="s">
        <v>12702</v>
      </c>
      <c r="L2000" s="1">
        <v>2</v>
      </c>
      <c r="M2000" s="1"/>
      <c r="N2000" s="1"/>
      <c r="O2000" s="3"/>
    </row>
    <row r="2001" spans="1:15" ht="409.6">
      <c r="A2001" t="s">
        <v>12583</v>
      </c>
      <c r="B2001" t="s">
        <v>12584</v>
      </c>
      <c r="C2001" t="s">
        <v>11860</v>
      </c>
      <c r="D2001" t="s">
        <v>14</v>
      </c>
      <c r="E2001">
        <v>30</v>
      </c>
      <c r="F2001" s="2" t="s">
        <v>12703</v>
      </c>
      <c r="G2001" s="2" t="s">
        <v>12704</v>
      </c>
      <c r="H2001" s="2" t="s">
        <v>12587</v>
      </c>
      <c r="I2001" s="2" t="s">
        <v>12705</v>
      </c>
      <c r="J2001" t="s">
        <v>12706</v>
      </c>
      <c r="K2001" t="s">
        <v>12707</v>
      </c>
      <c r="L2001" s="1">
        <v>2</v>
      </c>
      <c r="M2001" s="1"/>
      <c r="N2001" s="1"/>
      <c r="O2001" s="3"/>
    </row>
    <row r="2002" spans="1:15" ht="409.6">
      <c r="A2002" t="s">
        <v>12708</v>
      </c>
      <c r="B2002" t="s">
        <v>12709</v>
      </c>
      <c r="C2002" t="s">
        <v>11860</v>
      </c>
      <c r="D2002" t="s">
        <v>23</v>
      </c>
      <c r="E2002">
        <v>25</v>
      </c>
      <c r="F2002" s="2" t="s">
        <v>12710</v>
      </c>
      <c r="G2002" s="2" t="s">
        <v>12711</v>
      </c>
      <c r="H2002" s="2" t="s">
        <v>12712</v>
      </c>
      <c r="I2002" s="2" t="s">
        <v>12713</v>
      </c>
      <c r="J2002" t="s">
        <v>12714</v>
      </c>
      <c r="K2002" t="s">
        <v>12715</v>
      </c>
      <c r="L2002" s="1">
        <v>2</v>
      </c>
      <c r="M2002" s="1"/>
      <c r="N2002" s="1"/>
      <c r="O2002" s="3"/>
    </row>
    <row r="2003" spans="1:15" ht="409.6">
      <c r="A2003" t="s">
        <v>12460</v>
      </c>
      <c r="B2003" t="s">
        <v>12461</v>
      </c>
      <c r="C2003" t="s">
        <v>11860</v>
      </c>
      <c r="D2003" t="s">
        <v>23</v>
      </c>
      <c r="E2003">
        <v>45</v>
      </c>
      <c r="F2003" s="2" t="s">
        <v>12716</v>
      </c>
      <c r="G2003" s="2" t="s">
        <v>12717</v>
      </c>
      <c r="H2003" s="2" t="s">
        <v>12718</v>
      </c>
      <c r="I2003" s="2" t="s">
        <v>12719</v>
      </c>
      <c r="J2003" t="s">
        <v>12720</v>
      </c>
      <c r="K2003" t="s">
        <v>12721</v>
      </c>
      <c r="L2003" s="1">
        <v>2</v>
      </c>
      <c r="M2003" s="1"/>
      <c r="N2003" s="1"/>
      <c r="O2003" s="3"/>
    </row>
    <row r="2004" spans="1:15" ht="409.6">
      <c r="A2004" t="s">
        <v>12722</v>
      </c>
      <c r="B2004" t="s">
        <v>12723</v>
      </c>
      <c r="C2004" t="s">
        <v>11860</v>
      </c>
      <c r="D2004" t="s">
        <v>23</v>
      </c>
      <c r="E2004">
        <v>30</v>
      </c>
      <c r="F2004" s="2" t="s">
        <v>12724</v>
      </c>
      <c r="G2004" s="2" t="s">
        <v>12725</v>
      </c>
      <c r="H2004" s="2" t="s">
        <v>12726</v>
      </c>
      <c r="I2004" s="2" t="s">
        <v>12727</v>
      </c>
      <c r="J2004" t="s">
        <v>12728</v>
      </c>
      <c r="K2004" t="s">
        <v>12729</v>
      </c>
      <c r="L2004" s="1">
        <v>2</v>
      </c>
      <c r="M2004" s="1"/>
      <c r="N2004" s="1"/>
      <c r="O2004" s="3"/>
    </row>
    <row r="2005" spans="1:15" ht="409.6">
      <c r="A2005" t="s">
        <v>12730</v>
      </c>
      <c r="B2005" t="s">
        <v>2035</v>
      </c>
      <c r="C2005" t="s">
        <v>11860</v>
      </c>
      <c r="D2005" t="s">
        <v>23</v>
      </c>
      <c r="E2005">
        <v>25</v>
      </c>
      <c r="F2005" s="2" t="s">
        <v>12731</v>
      </c>
      <c r="G2005" s="2" t="s">
        <v>12732</v>
      </c>
      <c r="H2005" s="2" t="s">
        <v>12733</v>
      </c>
      <c r="I2005" s="2" t="s">
        <v>12734</v>
      </c>
      <c r="J2005" t="s">
        <v>12735</v>
      </c>
      <c r="K2005" t="s">
        <v>12736</v>
      </c>
      <c r="L2005" s="1">
        <v>2</v>
      </c>
      <c r="M2005" s="1"/>
      <c r="N2005" s="1"/>
      <c r="O2005" s="3"/>
    </row>
    <row r="2006" spans="1:15" ht="409.6">
      <c r="A2006" t="s">
        <v>12737</v>
      </c>
      <c r="B2006" t="s">
        <v>12738</v>
      </c>
      <c r="C2006" t="s">
        <v>11860</v>
      </c>
      <c r="D2006" t="s">
        <v>23</v>
      </c>
      <c r="E2006">
        <v>30</v>
      </c>
      <c r="F2006" s="2" t="s">
        <v>12739</v>
      </c>
      <c r="G2006" s="2" t="s">
        <v>12740</v>
      </c>
      <c r="H2006" s="2" t="s">
        <v>12741</v>
      </c>
      <c r="I2006" s="2" t="s">
        <v>12742</v>
      </c>
      <c r="J2006" t="s">
        <v>12743</v>
      </c>
      <c r="K2006" t="s">
        <v>12744</v>
      </c>
      <c r="L2006" s="1">
        <v>2</v>
      </c>
      <c r="M2006" s="1"/>
      <c r="N2006" s="1"/>
      <c r="O2006" s="3"/>
    </row>
    <row r="2007" spans="1:15" ht="409.6">
      <c r="A2007" t="s">
        <v>6090</v>
      </c>
      <c r="B2007" t="s">
        <v>6091</v>
      </c>
      <c r="C2007" t="s">
        <v>11860</v>
      </c>
      <c r="D2007" t="s">
        <v>23</v>
      </c>
      <c r="E2007">
        <v>25</v>
      </c>
      <c r="F2007" s="2" t="s">
        <v>12745</v>
      </c>
      <c r="G2007" s="2" t="s">
        <v>12746</v>
      </c>
      <c r="H2007" s="2" t="s">
        <v>12747</v>
      </c>
      <c r="I2007" s="2" t="s">
        <v>12748</v>
      </c>
      <c r="J2007" t="s">
        <v>12749</v>
      </c>
      <c r="K2007" t="s">
        <v>12750</v>
      </c>
      <c r="L2007" s="1">
        <v>2</v>
      </c>
      <c r="M2007" s="1"/>
      <c r="N2007" s="1"/>
      <c r="O2007" s="3"/>
    </row>
    <row r="2008" spans="1:15" ht="409.6">
      <c r="A2008" t="s">
        <v>12553</v>
      </c>
      <c r="B2008" t="s">
        <v>12751</v>
      </c>
      <c r="C2008" t="s">
        <v>11860</v>
      </c>
      <c r="D2008" t="s">
        <v>23</v>
      </c>
      <c r="E2008">
        <v>20</v>
      </c>
      <c r="F2008" s="2" t="s">
        <v>12752</v>
      </c>
      <c r="G2008" s="2" t="s">
        <v>12753</v>
      </c>
      <c r="H2008" s="2" t="s">
        <v>12754</v>
      </c>
      <c r="I2008" s="2" t="s">
        <v>12755</v>
      </c>
      <c r="J2008" t="s">
        <v>12559</v>
      </c>
      <c r="K2008" t="s">
        <v>12756</v>
      </c>
      <c r="L2008" s="1">
        <v>2</v>
      </c>
      <c r="M2008" s="1"/>
      <c r="N2008" s="1"/>
      <c r="O2008" s="3"/>
    </row>
    <row r="2009" spans="1:15" ht="409.6">
      <c r="A2009" t="s">
        <v>12757</v>
      </c>
      <c r="B2009" t="s">
        <v>10186</v>
      </c>
      <c r="C2009" t="s">
        <v>11860</v>
      </c>
      <c r="D2009" t="s">
        <v>23</v>
      </c>
      <c r="E2009">
        <v>30</v>
      </c>
      <c r="F2009" s="2" t="s">
        <v>12758</v>
      </c>
      <c r="G2009" s="2" t="s">
        <v>12759</v>
      </c>
      <c r="H2009" s="2" t="s">
        <v>12760</v>
      </c>
      <c r="I2009" s="2" t="s">
        <v>12761</v>
      </c>
      <c r="J2009" t="s">
        <v>12762</v>
      </c>
      <c r="K2009" t="s">
        <v>12763</v>
      </c>
      <c r="L2009" s="1">
        <v>2</v>
      </c>
      <c r="M2009" s="1"/>
      <c r="N2009" s="1"/>
      <c r="O2009" s="3"/>
    </row>
    <row r="2010" spans="1:15" ht="409.6">
      <c r="A2010" t="s">
        <v>12764</v>
      </c>
      <c r="B2010" t="s">
        <v>12765</v>
      </c>
      <c r="C2010" t="s">
        <v>11860</v>
      </c>
      <c r="D2010" t="s">
        <v>14</v>
      </c>
      <c r="E2010">
        <v>40</v>
      </c>
      <c r="F2010" s="2" t="s">
        <v>12766</v>
      </c>
      <c r="G2010" s="2" t="s">
        <v>12767</v>
      </c>
      <c r="H2010" s="2" t="s">
        <v>12768</v>
      </c>
      <c r="I2010" s="2" t="s">
        <v>12769</v>
      </c>
      <c r="J2010" t="s">
        <v>12770</v>
      </c>
      <c r="K2010" t="s">
        <v>12771</v>
      </c>
      <c r="L2010" s="1">
        <v>2</v>
      </c>
      <c r="M2010" s="1"/>
      <c r="N2010" s="1"/>
      <c r="O2010" s="3"/>
    </row>
    <row r="2011" spans="1:15" ht="409.6">
      <c r="A2011" t="s">
        <v>12772</v>
      </c>
      <c r="B2011" t="s">
        <v>12773</v>
      </c>
      <c r="C2011" t="s">
        <v>11860</v>
      </c>
      <c r="D2011" t="s">
        <v>14</v>
      </c>
      <c r="E2011">
        <v>40</v>
      </c>
      <c r="F2011" s="2" t="s">
        <v>12774</v>
      </c>
      <c r="G2011" s="2" t="s">
        <v>12775</v>
      </c>
      <c r="H2011" s="2" t="s">
        <v>12776</v>
      </c>
      <c r="I2011" s="2" t="s">
        <v>12777</v>
      </c>
      <c r="J2011" t="s">
        <v>12778</v>
      </c>
      <c r="K2011" t="s">
        <v>12779</v>
      </c>
      <c r="L2011" s="1">
        <v>2</v>
      </c>
      <c r="M2011" s="1"/>
      <c r="N2011" s="1"/>
      <c r="O2011" s="3"/>
    </row>
    <row r="2012" spans="1:15" ht="409.6">
      <c r="A2012" t="s">
        <v>12780</v>
      </c>
      <c r="B2012" t="s">
        <v>12781</v>
      </c>
      <c r="C2012" t="s">
        <v>11860</v>
      </c>
      <c r="D2012" t="s">
        <v>23</v>
      </c>
      <c r="E2012">
        <v>30</v>
      </c>
      <c r="F2012" s="2" t="s">
        <v>12782</v>
      </c>
      <c r="G2012" s="2" t="s">
        <v>12783</v>
      </c>
      <c r="H2012" s="2" t="s">
        <v>12784</v>
      </c>
      <c r="I2012" s="2" t="s">
        <v>12785</v>
      </c>
      <c r="J2012" t="s">
        <v>12786</v>
      </c>
      <c r="K2012" t="s">
        <v>12787</v>
      </c>
      <c r="L2012" s="1">
        <v>2</v>
      </c>
      <c r="M2012" s="1"/>
      <c r="N2012" s="1"/>
      <c r="O2012" s="3"/>
    </row>
    <row r="2013" spans="1:15" ht="409.6">
      <c r="A2013" t="s">
        <v>12788</v>
      </c>
      <c r="B2013" t="s">
        <v>12789</v>
      </c>
      <c r="C2013" t="s">
        <v>13</v>
      </c>
      <c r="D2013" t="s">
        <v>14</v>
      </c>
      <c r="E2013">
        <v>50</v>
      </c>
      <c r="F2013" s="2" t="s">
        <v>12790</v>
      </c>
      <c r="G2013" s="2" t="s">
        <v>12791</v>
      </c>
      <c r="H2013" s="2" t="s">
        <v>12792</v>
      </c>
      <c r="I2013" s="2" t="s">
        <v>12793</v>
      </c>
      <c r="J2013" t="s">
        <v>12794</v>
      </c>
      <c r="K2013" t="s">
        <v>12795</v>
      </c>
      <c r="L2013" s="1">
        <v>2</v>
      </c>
      <c r="M2013" s="1"/>
      <c r="N2013" s="1"/>
      <c r="O2013" s="3"/>
    </row>
    <row r="2014" spans="1:15" ht="409.6">
      <c r="A2014" t="s">
        <v>12796</v>
      </c>
      <c r="B2014" t="s">
        <v>12797</v>
      </c>
      <c r="C2014" t="s">
        <v>13</v>
      </c>
      <c r="D2014" t="s">
        <v>14</v>
      </c>
      <c r="E2014">
        <v>40</v>
      </c>
      <c r="F2014" s="2" t="s">
        <v>12798</v>
      </c>
      <c r="G2014" s="2" t="s">
        <v>12799</v>
      </c>
      <c r="H2014" s="2" t="s">
        <v>12800</v>
      </c>
      <c r="I2014" s="2" t="s">
        <v>12801</v>
      </c>
      <c r="J2014" t="s">
        <v>12802</v>
      </c>
      <c r="K2014" t="s">
        <v>12803</v>
      </c>
      <c r="L2014" s="1">
        <v>2</v>
      </c>
      <c r="M2014" s="1"/>
      <c r="N2014" s="1"/>
      <c r="O2014" s="3"/>
    </row>
    <row r="2015" spans="1:15" ht="409.6">
      <c r="A2015" t="s">
        <v>12804</v>
      </c>
      <c r="B2015" t="s">
        <v>12805</v>
      </c>
      <c r="C2015" t="s">
        <v>13</v>
      </c>
      <c r="D2015" t="s">
        <v>23</v>
      </c>
      <c r="E2015">
        <v>40</v>
      </c>
      <c r="F2015" s="2" t="s">
        <v>12806</v>
      </c>
      <c r="G2015" s="2" t="s">
        <v>12807</v>
      </c>
      <c r="H2015" s="2" t="s">
        <v>12808</v>
      </c>
      <c r="I2015" s="2" t="s">
        <v>12809</v>
      </c>
      <c r="J2015" t="s">
        <v>12810</v>
      </c>
      <c r="K2015" t="s">
        <v>12811</v>
      </c>
      <c r="L2015" s="1">
        <v>2</v>
      </c>
      <c r="M2015" s="1"/>
      <c r="N2015" s="1"/>
      <c r="O2015" s="3"/>
    </row>
    <row r="2016" spans="1:15" ht="409.6">
      <c r="A2016" t="s">
        <v>12812</v>
      </c>
      <c r="B2016" t="s">
        <v>12813</v>
      </c>
      <c r="C2016" t="s">
        <v>12814</v>
      </c>
      <c r="D2016" t="s">
        <v>23</v>
      </c>
      <c r="E2016">
        <v>15</v>
      </c>
      <c r="F2016" s="2" t="s">
        <v>12815</v>
      </c>
      <c r="G2016" s="2" t="s">
        <v>12816</v>
      </c>
      <c r="H2016" s="2" t="s">
        <v>12817</v>
      </c>
      <c r="I2016" s="2" t="s">
        <v>12818</v>
      </c>
      <c r="J2016" t="s">
        <v>12819</v>
      </c>
      <c r="K2016" t="s">
        <v>12820</v>
      </c>
      <c r="L2016" s="1">
        <v>2</v>
      </c>
      <c r="M2016" s="1"/>
      <c r="N2016" s="1"/>
      <c r="O2016" s="3"/>
    </row>
    <row r="2017" spans="1:15" ht="409.6">
      <c r="A2017" t="s">
        <v>12821</v>
      </c>
      <c r="B2017" t="s">
        <v>12822</v>
      </c>
      <c r="C2017" t="s">
        <v>12814</v>
      </c>
      <c r="D2017" t="s">
        <v>23</v>
      </c>
      <c r="E2017">
        <v>15</v>
      </c>
      <c r="F2017" s="2" t="s">
        <v>12823</v>
      </c>
      <c r="G2017" s="2" t="s">
        <v>12824</v>
      </c>
      <c r="H2017" s="2" t="s">
        <v>12825</v>
      </c>
      <c r="I2017" s="2" t="s">
        <v>12826</v>
      </c>
      <c r="J2017" t="s">
        <v>12827</v>
      </c>
      <c r="K2017" t="s">
        <v>12828</v>
      </c>
      <c r="L2017" s="1">
        <v>2</v>
      </c>
      <c r="M2017" s="1"/>
      <c r="N2017" s="1"/>
      <c r="O2017" s="3"/>
    </row>
    <row r="2018" spans="1:15" ht="409.6">
      <c r="A2018" t="s">
        <v>12829</v>
      </c>
      <c r="B2018" t="s">
        <v>12830</v>
      </c>
      <c r="C2018" t="s">
        <v>12814</v>
      </c>
      <c r="D2018" t="s">
        <v>23</v>
      </c>
      <c r="E2018">
        <v>15</v>
      </c>
      <c r="F2018" s="2" t="s">
        <v>12831</v>
      </c>
      <c r="G2018" s="2" t="s">
        <v>12832</v>
      </c>
      <c r="H2018" s="2" t="s">
        <v>12833</v>
      </c>
      <c r="I2018" s="2" t="s">
        <v>12834</v>
      </c>
      <c r="J2018" t="s">
        <v>12827</v>
      </c>
      <c r="K2018" t="s">
        <v>12835</v>
      </c>
      <c r="L2018" s="1">
        <v>2</v>
      </c>
      <c r="M2018" s="1"/>
      <c r="N2018" s="1"/>
      <c r="O2018" s="3"/>
    </row>
    <row r="2019" spans="1:15" ht="409.6">
      <c r="A2019" t="s">
        <v>12737</v>
      </c>
      <c r="B2019" t="s">
        <v>12738</v>
      </c>
      <c r="C2019" t="s">
        <v>12836</v>
      </c>
      <c r="D2019" t="s">
        <v>23</v>
      </c>
      <c r="E2019">
        <v>30</v>
      </c>
      <c r="F2019" s="2" t="s">
        <v>12739</v>
      </c>
      <c r="G2019" s="2" t="s">
        <v>12740</v>
      </c>
      <c r="H2019" s="2" t="s">
        <v>12741</v>
      </c>
      <c r="I2019" s="2" t="s">
        <v>12742</v>
      </c>
      <c r="J2019" t="s">
        <v>12743</v>
      </c>
      <c r="K2019" t="s">
        <v>12744</v>
      </c>
      <c r="L2019" s="1">
        <v>2</v>
      </c>
      <c r="M2019" s="1"/>
      <c r="N2019" s="1"/>
      <c r="O2019" s="3"/>
    </row>
    <row r="2020" spans="1:15" ht="409.6">
      <c r="A2020" t="s">
        <v>6090</v>
      </c>
      <c r="B2020" t="s">
        <v>6091</v>
      </c>
      <c r="C2020" t="s">
        <v>12837</v>
      </c>
      <c r="D2020" t="s">
        <v>23</v>
      </c>
      <c r="E2020">
        <v>25</v>
      </c>
      <c r="F2020" s="2" t="s">
        <v>12745</v>
      </c>
      <c r="G2020" s="2" t="s">
        <v>12746</v>
      </c>
      <c r="H2020" s="2" t="s">
        <v>12747</v>
      </c>
      <c r="I2020" s="2" t="s">
        <v>12748</v>
      </c>
      <c r="J2020" t="s">
        <v>12749</v>
      </c>
      <c r="K2020" t="s">
        <v>12750</v>
      </c>
      <c r="L2020" s="1">
        <v>2</v>
      </c>
      <c r="M2020" s="1"/>
      <c r="N2020" s="1"/>
      <c r="O2020" s="3"/>
    </row>
    <row r="2021" spans="1:15" ht="409.6">
      <c r="A2021" t="s">
        <v>12553</v>
      </c>
      <c r="B2021" t="s">
        <v>12751</v>
      </c>
      <c r="C2021" t="s">
        <v>12838</v>
      </c>
      <c r="D2021" t="s">
        <v>23</v>
      </c>
      <c r="E2021">
        <v>20</v>
      </c>
      <c r="F2021" s="2" t="s">
        <v>12752</v>
      </c>
      <c r="G2021" s="2" t="s">
        <v>12753</v>
      </c>
      <c r="H2021" s="2" t="s">
        <v>12754</v>
      </c>
      <c r="I2021" s="2" t="s">
        <v>12755</v>
      </c>
      <c r="J2021" t="s">
        <v>12559</v>
      </c>
      <c r="K2021" t="s">
        <v>12756</v>
      </c>
      <c r="L2021" s="1">
        <v>2</v>
      </c>
      <c r="M2021" s="1"/>
      <c r="N2021" s="1"/>
      <c r="O2021" s="3"/>
    </row>
    <row r="2022" spans="1:15" ht="409.6">
      <c r="A2022" t="s">
        <v>12764</v>
      </c>
      <c r="B2022" t="s">
        <v>12765</v>
      </c>
      <c r="C2022" t="s">
        <v>12839</v>
      </c>
      <c r="D2022" t="s">
        <v>14</v>
      </c>
      <c r="E2022">
        <v>40</v>
      </c>
      <c r="F2022" s="2" t="s">
        <v>12766</v>
      </c>
      <c r="G2022" s="2" t="s">
        <v>12767</v>
      </c>
      <c r="H2022" s="2" t="s">
        <v>12768</v>
      </c>
      <c r="I2022" s="2" t="s">
        <v>12769</v>
      </c>
      <c r="J2022" t="s">
        <v>12770</v>
      </c>
      <c r="K2022" t="s">
        <v>12771</v>
      </c>
      <c r="L2022" s="1">
        <v>2</v>
      </c>
      <c r="M2022" s="1"/>
      <c r="N2022" s="1"/>
      <c r="O2022" s="3"/>
    </row>
    <row r="2023" spans="1:15" ht="409.6">
      <c r="A2023" t="s">
        <v>12772</v>
      </c>
      <c r="B2023" t="s">
        <v>12773</v>
      </c>
      <c r="C2023" t="s">
        <v>12840</v>
      </c>
      <c r="D2023" t="s">
        <v>14</v>
      </c>
      <c r="E2023">
        <v>40</v>
      </c>
      <c r="F2023" s="2" t="s">
        <v>12774</v>
      </c>
      <c r="G2023" s="2" t="s">
        <v>12775</v>
      </c>
      <c r="H2023" s="2" t="s">
        <v>12776</v>
      </c>
      <c r="I2023" s="2" t="s">
        <v>12777</v>
      </c>
      <c r="J2023" t="s">
        <v>12778</v>
      </c>
      <c r="K2023" t="s">
        <v>12779</v>
      </c>
      <c r="L2023" s="1">
        <v>2</v>
      </c>
      <c r="M2023" s="1"/>
      <c r="N2023" s="1"/>
      <c r="O2023" s="3"/>
    </row>
    <row r="2024" spans="1:15" ht="409.6">
      <c r="A2024" t="s">
        <v>12780</v>
      </c>
      <c r="B2024" t="s">
        <v>12781</v>
      </c>
      <c r="C2024" t="s">
        <v>12841</v>
      </c>
      <c r="D2024" t="s">
        <v>23</v>
      </c>
      <c r="E2024">
        <v>30</v>
      </c>
      <c r="F2024" s="2" t="s">
        <v>12782</v>
      </c>
      <c r="G2024" s="2" t="s">
        <v>12783</v>
      </c>
      <c r="H2024" s="2" t="s">
        <v>12784</v>
      </c>
      <c r="I2024" s="2" t="s">
        <v>12785</v>
      </c>
      <c r="J2024" t="s">
        <v>12786</v>
      </c>
      <c r="K2024" t="s">
        <v>12787</v>
      </c>
      <c r="L2024" s="1">
        <v>2</v>
      </c>
      <c r="M2024" s="1"/>
      <c r="N2024" s="1"/>
      <c r="O2024" s="3"/>
    </row>
    <row r="2025" spans="1:15" ht="409.6">
      <c r="A2025" t="s">
        <v>12780</v>
      </c>
      <c r="B2025" t="s">
        <v>12781</v>
      </c>
      <c r="C2025" t="s">
        <v>12842</v>
      </c>
      <c r="D2025" t="s">
        <v>23</v>
      </c>
      <c r="E2025">
        <v>30</v>
      </c>
      <c r="F2025" s="2" t="s">
        <v>12782</v>
      </c>
      <c r="G2025" s="2" t="s">
        <v>12783</v>
      </c>
      <c r="H2025" s="2" t="s">
        <v>12784</v>
      </c>
      <c r="I2025" s="2" t="s">
        <v>12785</v>
      </c>
      <c r="J2025" t="s">
        <v>12786</v>
      </c>
      <c r="K2025" t="s">
        <v>12787</v>
      </c>
      <c r="L2025" s="1">
        <v>2</v>
      </c>
      <c r="M2025" s="1"/>
      <c r="N2025" s="1"/>
      <c r="O2025" s="3"/>
    </row>
    <row r="2026" spans="1:15" ht="409.6">
      <c r="A2026" t="s">
        <v>12764</v>
      </c>
      <c r="B2026" t="s">
        <v>12765</v>
      </c>
      <c r="C2026" t="s">
        <v>12839</v>
      </c>
      <c r="D2026" t="s">
        <v>14</v>
      </c>
      <c r="E2026">
        <v>40</v>
      </c>
      <c r="F2026" s="2" t="s">
        <v>12766</v>
      </c>
      <c r="G2026" s="2" t="s">
        <v>12767</v>
      </c>
      <c r="H2026" s="2" t="s">
        <v>12768</v>
      </c>
      <c r="I2026" s="2" t="s">
        <v>12769</v>
      </c>
      <c r="J2026" t="s">
        <v>12770</v>
      </c>
      <c r="K2026" t="s">
        <v>12771</v>
      </c>
      <c r="L2026" s="1">
        <v>2</v>
      </c>
      <c r="M2026" s="1"/>
      <c r="N2026" s="1"/>
      <c r="O2026" s="3"/>
    </row>
    <row r="2027" spans="1:15" ht="409.6">
      <c r="A2027" t="s">
        <v>12843</v>
      </c>
      <c r="B2027" t="s">
        <v>12844</v>
      </c>
      <c r="C2027" t="s">
        <v>12845</v>
      </c>
      <c r="D2027" t="s">
        <v>14</v>
      </c>
      <c r="E2027">
        <v>30</v>
      </c>
      <c r="F2027" s="2" t="s">
        <v>12846</v>
      </c>
      <c r="G2027" s="2" t="s">
        <v>12847</v>
      </c>
      <c r="H2027" s="2" t="s">
        <v>12848</v>
      </c>
      <c r="I2027" s="2" t="s">
        <v>12849</v>
      </c>
      <c r="J2027" t="s">
        <v>12850</v>
      </c>
      <c r="K2027" t="s">
        <v>12851</v>
      </c>
      <c r="L2027" s="1">
        <v>2</v>
      </c>
      <c r="M2027" s="1"/>
      <c r="N2027" s="1"/>
      <c r="O2027" s="3"/>
    </row>
    <row r="2028" spans="1:15" ht="409.6">
      <c r="A2028" t="s">
        <v>12015</v>
      </c>
      <c r="B2028" s="2" t="s">
        <v>12852</v>
      </c>
      <c r="C2028" t="s">
        <v>892</v>
      </c>
      <c r="D2028" t="s">
        <v>14</v>
      </c>
      <c r="E2028">
        <v>45</v>
      </c>
      <c r="F2028" s="2" t="s">
        <v>12853</v>
      </c>
      <c r="G2028" s="2" t="s">
        <v>12854</v>
      </c>
      <c r="H2028" s="2" t="s">
        <v>12855</v>
      </c>
      <c r="I2028" s="2" t="s">
        <v>12856</v>
      </c>
      <c r="J2028" t="s">
        <v>12857</v>
      </c>
      <c r="K2028" t="s">
        <v>12858</v>
      </c>
      <c r="L2028" s="1">
        <v>2</v>
      </c>
      <c r="M2028" s="1"/>
      <c r="N2028" s="1"/>
      <c r="O2028" s="3"/>
    </row>
    <row r="2029" spans="1:15" ht="409.6">
      <c r="A2029" t="s">
        <v>12859</v>
      </c>
      <c r="B2029" t="s">
        <v>12860</v>
      </c>
      <c r="C2029" t="s">
        <v>12845</v>
      </c>
      <c r="D2029" t="s">
        <v>23</v>
      </c>
      <c r="E2029">
        <v>30</v>
      </c>
      <c r="F2029" s="2" t="s">
        <v>12861</v>
      </c>
      <c r="G2029" s="2" t="s">
        <v>12862</v>
      </c>
      <c r="H2029" s="2" t="s">
        <v>12863</v>
      </c>
      <c r="I2029" s="2" t="s">
        <v>12864</v>
      </c>
      <c r="J2029" t="s">
        <v>12865</v>
      </c>
      <c r="K2029" t="s">
        <v>12866</v>
      </c>
      <c r="L2029" s="1">
        <v>2</v>
      </c>
      <c r="M2029" s="1"/>
      <c r="N2029" s="1"/>
      <c r="O2029" s="3"/>
    </row>
    <row r="2030" spans="1:15" ht="409.6">
      <c r="A2030" t="s">
        <v>12029</v>
      </c>
      <c r="B2030" t="s">
        <v>12867</v>
      </c>
      <c r="C2030" t="s">
        <v>12845</v>
      </c>
      <c r="D2030" t="s">
        <v>14</v>
      </c>
      <c r="E2030">
        <v>30</v>
      </c>
      <c r="F2030" s="2" t="s">
        <v>12868</v>
      </c>
      <c r="G2030" s="2" t="s">
        <v>12869</v>
      </c>
      <c r="H2030" s="2" t="s">
        <v>12870</v>
      </c>
      <c r="I2030" s="2" t="s">
        <v>12871</v>
      </c>
      <c r="J2030" t="s">
        <v>12872</v>
      </c>
      <c r="K2030" t="s">
        <v>12873</v>
      </c>
      <c r="L2030" s="1">
        <v>2</v>
      </c>
      <c r="M2030" s="1"/>
      <c r="N2030" s="1"/>
      <c r="O2030" s="3"/>
    </row>
    <row r="2031" spans="1:15" ht="409.6">
      <c r="A2031" t="s">
        <v>11873</v>
      </c>
      <c r="B2031" t="s">
        <v>11874</v>
      </c>
      <c r="C2031" t="s">
        <v>12845</v>
      </c>
      <c r="D2031" t="s">
        <v>23</v>
      </c>
      <c r="E2031">
        <v>45</v>
      </c>
      <c r="F2031" s="2" t="s">
        <v>12874</v>
      </c>
      <c r="G2031" s="2" t="s">
        <v>12875</v>
      </c>
      <c r="H2031" s="2" t="s">
        <v>12876</v>
      </c>
      <c r="I2031" s="2" t="s">
        <v>12877</v>
      </c>
      <c r="J2031" t="s">
        <v>12878</v>
      </c>
      <c r="K2031" t="s">
        <v>12879</v>
      </c>
      <c r="L2031" s="1">
        <v>2</v>
      </c>
      <c r="M2031" s="1"/>
      <c r="N2031" s="1"/>
      <c r="O2031" s="3"/>
    </row>
    <row r="2032" spans="1:15" ht="409.6">
      <c r="A2032" t="s">
        <v>12197</v>
      </c>
      <c r="B2032" t="s">
        <v>12198</v>
      </c>
      <c r="C2032" t="s">
        <v>12845</v>
      </c>
      <c r="D2032" t="s">
        <v>14</v>
      </c>
      <c r="E2032">
        <v>45</v>
      </c>
      <c r="F2032" s="2" t="s">
        <v>12880</v>
      </c>
      <c r="G2032" s="2" t="s">
        <v>12881</v>
      </c>
      <c r="H2032" s="2" t="s">
        <v>12882</v>
      </c>
      <c r="I2032" s="2" t="s">
        <v>12883</v>
      </c>
      <c r="J2032" t="s">
        <v>12884</v>
      </c>
      <c r="K2032" t="s">
        <v>12885</v>
      </c>
      <c r="L2032" s="1">
        <v>2</v>
      </c>
      <c r="M2032" s="1"/>
      <c r="N2032" s="1"/>
      <c r="O2032" s="3"/>
    </row>
    <row r="2033" spans="1:15" ht="409.6">
      <c r="A2033" t="s">
        <v>12886</v>
      </c>
      <c r="B2033" t="s">
        <v>12887</v>
      </c>
      <c r="C2033" t="s">
        <v>12845</v>
      </c>
      <c r="D2033" t="s">
        <v>23</v>
      </c>
      <c r="E2033">
        <v>30</v>
      </c>
      <c r="F2033" s="2" t="s">
        <v>12888</v>
      </c>
      <c r="G2033" s="2" t="s">
        <v>12889</v>
      </c>
      <c r="H2033" s="2" t="s">
        <v>12890</v>
      </c>
      <c r="I2033" s="2" t="s">
        <v>12891</v>
      </c>
      <c r="J2033" t="s">
        <v>12892</v>
      </c>
      <c r="K2033" t="s">
        <v>12893</v>
      </c>
      <c r="L2033" s="1">
        <v>2</v>
      </c>
      <c r="M2033" s="1"/>
      <c r="N2033" s="1"/>
      <c r="O2033" s="3"/>
    </row>
    <row r="2034" spans="1:15" ht="409.6">
      <c r="A2034" t="s">
        <v>946</v>
      </c>
      <c r="B2034" t="s">
        <v>947</v>
      </c>
      <c r="C2034" t="s">
        <v>12845</v>
      </c>
      <c r="D2034" t="s">
        <v>23</v>
      </c>
      <c r="E2034">
        <v>30</v>
      </c>
      <c r="F2034" s="2" t="s">
        <v>12894</v>
      </c>
      <c r="G2034" s="2" t="s">
        <v>12895</v>
      </c>
      <c r="H2034" s="2" t="s">
        <v>12896</v>
      </c>
      <c r="I2034" s="2" t="s">
        <v>12897</v>
      </c>
      <c r="J2034" t="s">
        <v>12898</v>
      </c>
      <c r="K2034" t="s">
        <v>12899</v>
      </c>
      <c r="L2034" s="1">
        <v>2</v>
      </c>
      <c r="M2034" s="1"/>
      <c r="N2034" s="1"/>
      <c r="O2034" s="3"/>
    </row>
    <row r="2035" spans="1:15" ht="409.6">
      <c r="A2035" t="s">
        <v>5899</v>
      </c>
      <c r="B2035" t="s">
        <v>5900</v>
      </c>
      <c r="C2035" t="s">
        <v>12845</v>
      </c>
      <c r="D2035" t="s">
        <v>23</v>
      </c>
      <c r="E2035">
        <v>30</v>
      </c>
      <c r="F2035" s="2" t="s">
        <v>12900</v>
      </c>
      <c r="G2035" s="2" t="s">
        <v>12901</v>
      </c>
      <c r="H2035" s="2" t="s">
        <v>12902</v>
      </c>
      <c r="I2035" s="2" t="s">
        <v>12903</v>
      </c>
      <c r="J2035" t="s">
        <v>12904</v>
      </c>
      <c r="K2035" t="s">
        <v>12905</v>
      </c>
      <c r="L2035" s="1">
        <v>2</v>
      </c>
      <c r="M2035" s="1"/>
      <c r="N2035" s="1"/>
      <c r="O2035" s="3"/>
    </row>
    <row r="2036" spans="1:15" ht="409.6">
      <c r="A2036" t="s">
        <v>12906</v>
      </c>
      <c r="B2036" t="s">
        <v>12907</v>
      </c>
      <c r="C2036" t="s">
        <v>12845</v>
      </c>
      <c r="D2036" t="s">
        <v>14</v>
      </c>
      <c r="E2036">
        <v>45</v>
      </c>
      <c r="F2036" s="2" t="s">
        <v>12908</v>
      </c>
      <c r="G2036" s="2" t="s">
        <v>12909</v>
      </c>
      <c r="H2036" s="2" t="s">
        <v>12910</v>
      </c>
      <c r="I2036" s="2" t="s">
        <v>12911</v>
      </c>
      <c r="J2036" t="s">
        <v>12912</v>
      </c>
      <c r="K2036" t="s">
        <v>12913</v>
      </c>
      <c r="L2036" s="1">
        <v>2</v>
      </c>
      <c r="M2036" s="1"/>
      <c r="N2036" s="1"/>
      <c r="O2036" s="3"/>
    </row>
    <row r="2037" spans="1:15" ht="409.6">
      <c r="A2037" t="s">
        <v>12914</v>
      </c>
      <c r="B2037" t="s">
        <v>12915</v>
      </c>
      <c r="C2037" t="s">
        <v>12845</v>
      </c>
      <c r="D2037" t="s">
        <v>14</v>
      </c>
      <c r="E2037">
        <v>30</v>
      </c>
      <c r="F2037" s="2" t="s">
        <v>12916</v>
      </c>
      <c r="G2037" s="2" t="s">
        <v>12917</v>
      </c>
      <c r="H2037" s="2" t="s">
        <v>12918</v>
      </c>
      <c r="I2037" s="2" t="s">
        <v>12919</v>
      </c>
      <c r="J2037" t="s">
        <v>12920</v>
      </c>
      <c r="K2037" t="s">
        <v>12921</v>
      </c>
      <c r="L2037" s="1">
        <v>2</v>
      </c>
      <c r="M2037" s="1"/>
      <c r="N2037" s="1"/>
      <c r="O2037" s="3"/>
    </row>
    <row r="2038" spans="1:15" ht="409.6">
      <c r="A2038" t="s">
        <v>12391</v>
      </c>
      <c r="B2038" t="s">
        <v>12392</v>
      </c>
      <c r="C2038" t="s">
        <v>12845</v>
      </c>
      <c r="D2038" t="s">
        <v>23</v>
      </c>
      <c r="E2038">
        <v>30</v>
      </c>
      <c r="F2038" s="2" t="s">
        <v>12922</v>
      </c>
      <c r="G2038" s="2" t="s">
        <v>12923</v>
      </c>
      <c r="H2038" s="2" t="s">
        <v>12924</v>
      </c>
      <c r="I2038" s="2" t="s">
        <v>12925</v>
      </c>
      <c r="J2038" t="s">
        <v>12926</v>
      </c>
      <c r="K2038" t="s">
        <v>12927</v>
      </c>
      <c r="L2038" s="1">
        <v>2</v>
      </c>
      <c r="M2038" s="1"/>
      <c r="N2038" s="1"/>
      <c r="O2038" s="3"/>
    </row>
    <row r="2039" spans="1:15" ht="409.6">
      <c r="A2039" t="s">
        <v>12928</v>
      </c>
      <c r="B2039" t="s">
        <v>12929</v>
      </c>
      <c r="C2039" t="s">
        <v>12845</v>
      </c>
      <c r="D2039" t="s">
        <v>23</v>
      </c>
      <c r="E2039">
        <v>30</v>
      </c>
      <c r="F2039" s="2" t="s">
        <v>12930</v>
      </c>
      <c r="G2039" s="2" t="s">
        <v>12931</v>
      </c>
      <c r="H2039" s="2" t="s">
        <v>12932</v>
      </c>
      <c r="I2039" s="2" t="s">
        <v>12933</v>
      </c>
      <c r="J2039" t="s">
        <v>12934</v>
      </c>
      <c r="K2039" t="s">
        <v>12935</v>
      </c>
      <c r="L2039" s="1">
        <v>2</v>
      </c>
      <c r="M2039" s="1"/>
      <c r="N2039" s="1"/>
      <c r="O2039" s="3"/>
    </row>
    <row r="2040" spans="1:15" ht="409.6">
      <c r="A2040" t="s">
        <v>12052</v>
      </c>
      <c r="B2040" t="s">
        <v>12053</v>
      </c>
      <c r="C2040" t="s">
        <v>12845</v>
      </c>
      <c r="D2040" t="s">
        <v>14</v>
      </c>
      <c r="E2040">
        <v>60</v>
      </c>
      <c r="F2040" s="2" t="s">
        <v>12936</v>
      </c>
      <c r="G2040" s="2" t="s">
        <v>12937</v>
      </c>
      <c r="H2040" s="2" t="s">
        <v>12938</v>
      </c>
      <c r="I2040" s="2" t="s">
        <v>12939</v>
      </c>
      <c r="J2040" t="s">
        <v>12664</v>
      </c>
      <c r="K2040" t="s">
        <v>12940</v>
      </c>
      <c r="L2040" s="1">
        <v>2</v>
      </c>
      <c r="M2040" s="1"/>
      <c r="N2040" s="1"/>
      <c r="O2040" s="3"/>
    </row>
    <row r="2041" spans="1:15" ht="409.6">
      <c r="A2041" t="s">
        <v>12941</v>
      </c>
      <c r="B2041" t="s">
        <v>12942</v>
      </c>
      <c r="C2041" t="s">
        <v>12845</v>
      </c>
      <c r="D2041" t="s">
        <v>14</v>
      </c>
      <c r="E2041">
        <v>40</v>
      </c>
      <c r="F2041" s="2" t="s">
        <v>12943</v>
      </c>
      <c r="G2041" s="2" t="s">
        <v>12944</v>
      </c>
      <c r="H2041" s="2" t="s">
        <v>12945</v>
      </c>
      <c r="I2041" s="2" t="s">
        <v>12946</v>
      </c>
      <c r="J2041" t="s">
        <v>12947</v>
      </c>
      <c r="K2041" t="s">
        <v>12948</v>
      </c>
      <c r="L2041" s="1">
        <v>2</v>
      </c>
      <c r="M2041" s="1"/>
      <c r="N2041" s="1"/>
      <c r="O2041" s="3"/>
    </row>
    <row r="2042" spans="1:15" ht="409.6">
      <c r="A2042" t="s">
        <v>1183</v>
      </c>
      <c r="B2042" t="s">
        <v>12949</v>
      </c>
      <c r="C2042" t="s">
        <v>12845</v>
      </c>
      <c r="D2042" t="s">
        <v>23</v>
      </c>
      <c r="E2042">
        <v>30</v>
      </c>
      <c r="F2042" s="2" t="s">
        <v>12950</v>
      </c>
      <c r="G2042" s="2" t="s">
        <v>12951</v>
      </c>
      <c r="H2042" s="2" t="s">
        <v>12952</v>
      </c>
      <c r="I2042" s="2" t="s">
        <v>12953</v>
      </c>
      <c r="J2042" t="s">
        <v>12954</v>
      </c>
      <c r="K2042" t="s">
        <v>12955</v>
      </c>
      <c r="L2042" s="1">
        <v>2</v>
      </c>
      <c r="M2042" s="1"/>
      <c r="N2042" s="1"/>
      <c r="O2042" s="3"/>
    </row>
    <row r="2043" spans="1:15" ht="409.6">
      <c r="A2043" t="s">
        <v>12956</v>
      </c>
      <c r="B2043" t="s">
        <v>12957</v>
      </c>
      <c r="C2043" t="s">
        <v>12845</v>
      </c>
      <c r="D2043" t="s">
        <v>14</v>
      </c>
      <c r="E2043">
        <v>45</v>
      </c>
      <c r="F2043" s="2" t="s">
        <v>12958</v>
      </c>
      <c r="G2043" s="2" t="s">
        <v>12959</v>
      </c>
      <c r="H2043" s="2" t="s">
        <v>12960</v>
      </c>
      <c r="I2043" s="2" t="s">
        <v>12961</v>
      </c>
      <c r="J2043" t="s">
        <v>12962</v>
      </c>
      <c r="K2043" t="s">
        <v>12963</v>
      </c>
      <c r="L2043" s="1">
        <v>2</v>
      </c>
      <c r="M2043" s="1"/>
      <c r="N2043" s="1"/>
      <c r="O2043" s="3"/>
    </row>
    <row r="2044" spans="1:15" ht="409.6">
      <c r="A2044" t="s">
        <v>12964</v>
      </c>
      <c r="B2044" t="s">
        <v>12965</v>
      </c>
      <c r="C2044" t="s">
        <v>12845</v>
      </c>
      <c r="D2044" t="s">
        <v>14</v>
      </c>
      <c r="E2044">
        <v>60</v>
      </c>
      <c r="F2044" s="2" t="s">
        <v>12966</v>
      </c>
      <c r="G2044" s="2" t="s">
        <v>12967</v>
      </c>
      <c r="H2044" s="2" t="s">
        <v>12968</v>
      </c>
      <c r="I2044" s="2" t="s">
        <v>12969</v>
      </c>
      <c r="J2044" t="s">
        <v>12970</v>
      </c>
      <c r="K2044" t="s">
        <v>12971</v>
      </c>
      <c r="L2044" s="1">
        <v>2</v>
      </c>
      <c r="M2044" s="1"/>
      <c r="N2044" s="1"/>
      <c r="O2044" s="3"/>
    </row>
    <row r="2045" spans="1:15" ht="409.6">
      <c r="A2045" t="s">
        <v>12972</v>
      </c>
      <c r="B2045" t="s">
        <v>12973</v>
      </c>
      <c r="C2045" t="s">
        <v>12845</v>
      </c>
      <c r="D2045" t="s">
        <v>23</v>
      </c>
      <c r="E2045">
        <v>20</v>
      </c>
      <c r="F2045" s="2" t="s">
        <v>12974</v>
      </c>
      <c r="G2045" s="2" t="s">
        <v>12975</v>
      </c>
      <c r="H2045" s="2" t="s">
        <v>12976</v>
      </c>
      <c r="I2045" s="2" t="s">
        <v>12977</v>
      </c>
      <c r="J2045" t="s">
        <v>12978</v>
      </c>
      <c r="K2045" t="s">
        <v>12979</v>
      </c>
      <c r="L2045" s="1">
        <v>2</v>
      </c>
      <c r="M2045" s="1"/>
      <c r="N2045" s="1"/>
      <c r="O2045" s="3"/>
    </row>
    <row r="2046" spans="1:15" ht="409.6">
      <c r="A2046" t="s">
        <v>12980</v>
      </c>
      <c r="B2046" t="s">
        <v>12981</v>
      </c>
      <c r="C2046" t="s">
        <v>12845</v>
      </c>
      <c r="D2046" t="s">
        <v>14</v>
      </c>
      <c r="E2046">
        <v>30</v>
      </c>
      <c r="F2046" s="2" t="s">
        <v>12982</v>
      </c>
      <c r="G2046" s="2" t="s">
        <v>12983</v>
      </c>
      <c r="H2046" s="2" t="s">
        <v>12984</v>
      </c>
      <c r="I2046" s="2" t="s">
        <v>12985</v>
      </c>
      <c r="J2046" t="s">
        <v>12986</v>
      </c>
      <c r="K2046" t="s">
        <v>12987</v>
      </c>
      <c r="L2046" s="1">
        <v>2</v>
      </c>
      <c r="M2046" s="1"/>
      <c r="N2046" s="1"/>
      <c r="O2046" s="3"/>
    </row>
    <row r="2047" spans="1:15" ht="409.6">
      <c r="A2047" t="s">
        <v>12988</v>
      </c>
      <c r="B2047" t="s">
        <v>830</v>
      </c>
      <c r="C2047" t="s">
        <v>12845</v>
      </c>
      <c r="D2047" t="s">
        <v>14</v>
      </c>
      <c r="E2047">
        <v>30</v>
      </c>
      <c r="F2047" s="2" t="s">
        <v>12989</v>
      </c>
      <c r="G2047" s="2" t="s">
        <v>12990</v>
      </c>
      <c r="H2047" s="2" t="s">
        <v>12991</v>
      </c>
      <c r="I2047" s="2" t="s">
        <v>12992</v>
      </c>
      <c r="J2047" t="s">
        <v>12993</v>
      </c>
      <c r="K2047" t="s">
        <v>12994</v>
      </c>
      <c r="L2047" s="1">
        <v>2</v>
      </c>
      <c r="M2047" s="1"/>
      <c r="N2047" s="1"/>
      <c r="O2047" s="3"/>
    </row>
    <row r="2048" spans="1:15" ht="409.6">
      <c r="A2048" t="s">
        <v>851</v>
      </c>
      <c r="B2048" t="s">
        <v>852</v>
      </c>
      <c r="C2048" t="s">
        <v>12845</v>
      </c>
      <c r="D2048" t="s">
        <v>14</v>
      </c>
      <c r="E2048">
        <v>30</v>
      </c>
      <c r="F2048" s="2" t="s">
        <v>12995</v>
      </c>
      <c r="G2048" s="2" t="s">
        <v>12996</v>
      </c>
      <c r="H2048" s="2" t="s">
        <v>12997</v>
      </c>
      <c r="I2048" s="2" t="s">
        <v>12998</v>
      </c>
      <c r="J2048" t="s">
        <v>12999</v>
      </c>
      <c r="K2048" t="s">
        <v>13000</v>
      </c>
      <c r="L2048" s="1">
        <v>2</v>
      </c>
      <c r="M2048" s="1"/>
      <c r="N2048" s="1"/>
      <c r="O2048" s="3"/>
    </row>
    <row r="2049" spans="1:15" ht="409.6">
      <c r="A2049" t="s">
        <v>12173</v>
      </c>
      <c r="B2049" t="s">
        <v>12278</v>
      </c>
      <c r="C2049" t="s">
        <v>12845</v>
      </c>
      <c r="D2049" t="s">
        <v>14</v>
      </c>
      <c r="E2049">
        <v>40</v>
      </c>
      <c r="F2049" s="2" t="s">
        <v>13001</v>
      </c>
      <c r="G2049" s="2" t="s">
        <v>13002</v>
      </c>
      <c r="H2049" s="2" t="s">
        <v>13003</v>
      </c>
      <c r="I2049" s="2" t="s">
        <v>13004</v>
      </c>
      <c r="J2049" t="s">
        <v>13005</v>
      </c>
      <c r="K2049" t="s">
        <v>13006</v>
      </c>
      <c r="L2049" s="1">
        <v>2</v>
      </c>
      <c r="M2049" s="1"/>
      <c r="N2049" s="1"/>
      <c r="O2049" s="3"/>
    </row>
    <row r="2050" spans="1:15" ht="409.6">
      <c r="A2050" t="s">
        <v>13007</v>
      </c>
      <c r="B2050" t="s">
        <v>13008</v>
      </c>
      <c r="C2050" t="s">
        <v>12845</v>
      </c>
      <c r="D2050" t="s">
        <v>23</v>
      </c>
      <c r="E2050">
        <v>30</v>
      </c>
      <c r="F2050" s="2" t="s">
        <v>13009</v>
      </c>
      <c r="G2050" s="2" t="s">
        <v>13010</v>
      </c>
      <c r="H2050" s="2" t="s">
        <v>13011</v>
      </c>
      <c r="I2050" s="2" t="s">
        <v>13012</v>
      </c>
      <c r="J2050" t="s">
        <v>13013</v>
      </c>
      <c r="K2050" t="s">
        <v>13014</v>
      </c>
      <c r="L2050" s="1">
        <v>2</v>
      </c>
      <c r="M2050" s="1"/>
      <c r="N2050" s="1"/>
      <c r="O2050" s="3"/>
    </row>
    <row r="2051" spans="1:15" ht="409.6">
      <c r="A2051" t="s">
        <v>946</v>
      </c>
      <c r="B2051" t="s">
        <v>947</v>
      </c>
      <c r="C2051" t="s">
        <v>12845</v>
      </c>
      <c r="D2051" t="s">
        <v>23</v>
      </c>
      <c r="E2051">
        <v>30</v>
      </c>
      <c r="F2051" s="2" t="s">
        <v>13015</v>
      </c>
      <c r="G2051" s="2" t="s">
        <v>13016</v>
      </c>
      <c r="H2051" s="2" t="s">
        <v>13017</v>
      </c>
      <c r="I2051" s="2" t="s">
        <v>13018</v>
      </c>
      <c r="J2051" t="s">
        <v>13019</v>
      </c>
      <c r="K2051" t="s">
        <v>13020</v>
      </c>
      <c r="L2051" s="1">
        <v>2</v>
      </c>
      <c r="M2051" s="1"/>
      <c r="N2051" s="1"/>
      <c r="O2051" s="3"/>
    </row>
    <row r="2052" spans="1:15" ht="409.6">
      <c r="A2052" t="s">
        <v>13021</v>
      </c>
      <c r="B2052" t="s">
        <v>13022</v>
      </c>
      <c r="C2052" t="s">
        <v>12845</v>
      </c>
      <c r="D2052" t="s">
        <v>14</v>
      </c>
      <c r="E2052">
        <v>45</v>
      </c>
      <c r="F2052" s="2" t="s">
        <v>13023</v>
      </c>
      <c r="G2052" s="2" t="s">
        <v>13024</v>
      </c>
      <c r="H2052" s="2" t="s">
        <v>13025</v>
      </c>
      <c r="I2052" s="2" t="s">
        <v>13026</v>
      </c>
      <c r="J2052" t="s">
        <v>13027</v>
      </c>
      <c r="K2052" t="s">
        <v>13028</v>
      </c>
      <c r="L2052" s="1">
        <v>2</v>
      </c>
      <c r="M2052" s="1"/>
      <c r="N2052" s="1"/>
      <c r="O2052" s="3"/>
    </row>
    <row r="2053" spans="1:15" ht="409.6">
      <c r="A2053" t="s">
        <v>12114</v>
      </c>
      <c r="B2053" t="s">
        <v>12115</v>
      </c>
      <c r="C2053" t="s">
        <v>12845</v>
      </c>
      <c r="D2053" t="s">
        <v>14</v>
      </c>
      <c r="E2053">
        <v>45</v>
      </c>
      <c r="F2053" s="2" t="s">
        <v>13029</v>
      </c>
      <c r="G2053" s="2" t="s">
        <v>13030</v>
      </c>
      <c r="H2053" s="2" t="s">
        <v>12118</v>
      </c>
      <c r="I2053" s="2" t="s">
        <v>13031</v>
      </c>
      <c r="J2053" t="s">
        <v>13032</v>
      </c>
      <c r="K2053" t="s">
        <v>13033</v>
      </c>
      <c r="L2053" s="1">
        <v>2</v>
      </c>
      <c r="M2053" s="1"/>
      <c r="N2053" s="1"/>
      <c r="O2053" s="3"/>
    </row>
    <row r="2054" spans="1:15" ht="409.6">
      <c r="A2054" t="s">
        <v>12151</v>
      </c>
      <c r="B2054" t="s">
        <v>12152</v>
      </c>
      <c r="C2054" t="s">
        <v>892</v>
      </c>
      <c r="D2054" t="s">
        <v>14</v>
      </c>
      <c r="E2054">
        <v>50</v>
      </c>
      <c r="F2054" s="2" t="s">
        <v>13034</v>
      </c>
      <c r="G2054" s="2" t="s">
        <v>13035</v>
      </c>
      <c r="H2054" s="2" t="s">
        <v>13036</v>
      </c>
      <c r="I2054" s="2" t="s">
        <v>13037</v>
      </c>
      <c r="J2054" t="s">
        <v>13038</v>
      </c>
      <c r="K2054" t="s">
        <v>13039</v>
      </c>
      <c r="L2054" s="1">
        <v>2</v>
      </c>
      <c r="M2054" s="1"/>
      <c r="N2054" s="1"/>
      <c r="O2054" s="3"/>
    </row>
    <row r="2055" spans="1:15" ht="409.6">
      <c r="A2055" t="s">
        <v>12159</v>
      </c>
      <c r="B2055" t="s">
        <v>12160</v>
      </c>
      <c r="C2055" t="s">
        <v>12845</v>
      </c>
      <c r="D2055" t="s">
        <v>14</v>
      </c>
      <c r="E2055">
        <v>30</v>
      </c>
      <c r="F2055" s="2" t="s">
        <v>13040</v>
      </c>
      <c r="G2055" s="2" t="s">
        <v>13041</v>
      </c>
      <c r="H2055" s="2" t="s">
        <v>13042</v>
      </c>
      <c r="I2055" s="2" t="s">
        <v>13043</v>
      </c>
      <c r="J2055" t="s">
        <v>13044</v>
      </c>
      <c r="K2055" t="s">
        <v>13045</v>
      </c>
      <c r="L2055" s="1">
        <v>2</v>
      </c>
      <c r="M2055" s="1"/>
      <c r="N2055" s="1"/>
      <c r="O2055" s="3"/>
    </row>
    <row r="2056" spans="1:15" ht="409.6">
      <c r="A2056" t="s">
        <v>12772</v>
      </c>
      <c r="B2056" t="s">
        <v>12773</v>
      </c>
      <c r="C2056" t="s">
        <v>12845</v>
      </c>
      <c r="D2056" t="s">
        <v>14</v>
      </c>
      <c r="E2056">
        <v>45</v>
      </c>
      <c r="F2056" s="2" t="s">
        <v>13046</v>
      </c>
      <c r="G2056" s="2" t="s">
        <v>13047</v>
      </c>
      <c r="H2056" s="2" t="s">
        <v>13048</v>
      </c>
      <c r="I2056" s="2" t="s">
        <v>13049</v>
      </c>
      <c r="J2056" t="s">
        <v>13050</v>
      </c>
      <c r="K2056" t="s">
        <v>13051</v>
      </c>
      <c r="L2056" s="1">
        <v>2</v>
      </c>
      <c r="M2056" s="1"/>
      <c r="N2056" s="1"/>
      <c r="O2056" s="3"/>
    </row>
    <row r="2057" spans="1:15" ht="409.6">
      <c r="A2057" t="s">
        <v>12217</v>
      </c>
      <c r="B2057" t="s">
        <v>12218</v>
      </c>
      <c r="C2057" t="s">
        <v>12845</v>
      </c>
      <c r="D2057" t="s">
        <v>14</v>
      </c>
      <c r="E2057">
        <v>30</v>
      </c>
      <c r="F2057" s="2" t="s">
        <v>13052</v>
      </c>
      <c r="G2057" s="2" t="s">
        <v>13053</v>
      </c>
      <c r="H2057" s="2" t="s">
        <v>13054</v>
      </c>
      <c r="I2057" s="2" t="s">
        <v>13055</v>
      </c>
      <c r="J2057" t="s">
        <v>13056</v>
      </c>
      <c r="K2057" t="s">
        <v>13057</v>
      </c>
      <c r="L2057" s="1">
        <v>2</v>
      </c>
      <c r="M2057" s="1"/>
      <c r="N2057" s="1"/>
      <c r="O2057" s="3"/>
    </row>
    <row r="2058" spans="1:15" ht="409.6">
      <c r="A2058" t="s">
        <v>12764</v>
      </c>
      <c r="B2058" t="s">
        <v>12765</v>
      </c>
      <c r="C2058" t="s">
        <v>12845</v>
      </c>
      <c r="D2058" t="s">
        <v>14</v>
      </c>
      <c r="E2058">
        <v>40</v>
      </c>
      <c r="F2058" s="2" t="s">
        <v>13058</v>
      </c>
      <c r="G2058" s="2" t="s">
        <v>13059</v>
      </c>
      <c r="H2058" s="2" t="s">
        <v>13060</v>
      </c>
      <c r="I2058" s="2" t="s">
        <v>13061</v>
      </c>
      <c r="J2058" t="s">
        <v>13062</v>
      </c>
      <c r="K2058" t="s">
        <v>13063</v>
      </c>
      <c r="L2058" s="1">
        <v>2</v>
      </c>
      <c r="M2058" s="1"/>
      <c r="N2058" s="1"/>
      <c r="O2058" s="3"/>
    </row>
    <row r="2059" spans="1:15" ht="409.6">
      <c r="A2059" t="s">
        <v>13064</v>
      </c>
      <c r="B2059" t="s">
        <v>13065</v>
      </c>
      <c r="C2059" t="s">
        <v>12845</v>
      </c>
      <c r="D2059" t="s">
        <v>23</v>
      </c>
      <c r="E2059">
        <v>30</v>
      </c>
      <c r="F2059" s="2" t="s">
        <v>13066</v>
      </c>
      <c r="G2059" s="2" t="s">
        <v>13067</v>
      </c>
      <c r="H2059" s="2" t="s">
        <v>13068</v>
      </c>
      <c r="I2059" s="2" t="s">
        <v>13069</v>
      </c>
      <c r="J2059" t="s">
        <v>13070</v>
      </c>
      <c r="K2059" t="s">
        <v>13071</v>
      </c>
      <c r="L2059" s="1">
        <v>2</v>
      </c>
      <c r="M2059" s="1"/>
      <c r="N2059" s="1"/>
      <c r="O2059" s="3"/>
    </row>
    <row r="2060" spans="1:15" ht="409.6">
      <c r="A2060" t="s">
        <v>12299</v>
      </c>
      <c r="B2060" t="s">
        <v>12300</v>
      </c>
      <c r="C2060" t="s">
        <v>12845</v>
      </c>
      <c r="D2060" t="s">
        <v>23</v>
      </c>
      <c r="E2060">
        <v>30</v>
      </c>
      <c r="F2060" s="2" t="s">
        <v>13072</v>
      </c>
      <c r="G2060" s="2" t="s">
        <v>13073</v>
      </c>
      <c r="H2060" s="2" t="s">
        <v>12303</v>
      </c>
      <c r="I2060" s="2" t="s">
        <v>13074</v>
      </c>
      <c r="J2060" t="s">
        <v>13075</v>
      </c>
      <c r="K2060" t="s">
        <v>13076</v>
      </c>
      <c r="L2060" s="1">
        <v>2</v>
      </c>
      <c r="M2060" s="1"/>
      <c r="N2060" s="1"/>
      <c r="O2060" s="3"/>
    </row>
    <row r="2061" spans="1:15" ht="409.6">
      <c r="A2061" t="s">
        <v>12438</v>
      </c>
      <c r="B2061" t="s">
        <v>12439</v>
      </c>
      <c r="C2061" t="s">
        <v>12845</v>
      </c>
      <c r="D2061" t="s">
        <v>23</v>
      </c>
      <c r="E2061">
        <v>30</v>
      </c>
      <c r="F2061" s="2" t="s">
        <v>13077</v>
      </c>
      <c r="G2061" s="2" t="s">
        <v>13078</v>
      </c>
      <c r="H2061" s="2" t="s">
        <v>13079</v>
      </c>
      <c r="I2061" s="2" t="s">
        <v>13080</v>
      </c>
      <c r="J2061" t="s">
        <v>13081</v>
      </c>
      <c r="K2061" t="s">
        <v>13082</v>
      </c>
      <c r="L2061" s="1">
        <v>2</v>
      </c>
      <c r="M2061" s="1"/>
      <c r="N2061" s="1"/>
      <c r="O2061" s="3"/>
    </row>
    <row r="2062" spans="1:15" ht="409.6">
      <c r="A2062" t="s">
        <v>13083</v>
      </c>
      <c r="B2062" t="s">
        <v>5956</v>
      </c>
      <c r="C2062" t="s">
        <v>12845</v>
      </c>
      <c r="D2062" t="s">
        <v>23</v>
      </c>
      <c r="E2062">
        <v>30</v>
      </c>
      <c r="F2062" s="2" t="s">
        <v>13084</v>
      </c>
      <c r="G2062" s="2" t="s">
        <v>13085</v>
      </c>
      <c r="H2062" s="2" t="s">
        <v>13086</v>
      </c>
      <c r="I2062" s="2" t="s">
        <v>13087</v>
      </c>
      <c r="J2062" t="s">
        <v>13088</v>
      </c>
      <c r="K2062" t="s">
        <v>13089</v>
      </c>
      <c r="L2062" s="1">
        <v>2</v>
      </c>
      <c r="M2062" s="1"/>
      <c r="N2062" s="1"/>
      <c r="O2062" s="3"/>
    </row>
    <row r="2063" spans="1:15" ht="409.6">
      <c r="A2063" t="s">
        <v>12460</v>
      </c>
      <c r="B2063" t="s">
        <v>12461</v>
      </c>
      <c r="C2063" t="s">
        <v>12845</v>
      </c>
      <c r="D2063" t="s">
        <v>14</v>
      </c>
      <c r="E2063">
        <v>60</v>
      </c>
      <c r="F2063" s="2" t="s">
        <v>13090</v>
      </c>
      <c r="G2063" s="2" t="s">
        <v>13091</v>
      </c>
      <c r="H2063" s="2" t="s">
        <v>13092</v>
      </c>
      <c r="I2063" s="2" t="s">
        <v>13093</v>
      </c>
      <c r="J2063" t="s">
        <v>13094</v>
      </c>
      <c r="K2063" t="s">
        <v>13095</v>
      </c>
      <c r="L2063" s="1">
        <v>2</v>
      </c>
      <c r="M2063" s="1"/>
      <c r="N2063" s="1"/>
      <c r="O2063" s="3"/>
    </row>
    <row r="2064" spans="1:15" ht="409.6">
      <c r="A2064" t="s">
        <v>12575</v>
      </c>
      <c r="B2064" t="s">
        <v>13096</v>
      </c>
      <c r="C2064" t="s">
        <v>12845</v>
      </c>
      <c r="D2064" t="s">
        <v>23</v>
      </c>
      <c r="E2064">
        <v>45</v>
      </c>
      <c r="F2064" s="2" t="s">
        <v>13097</v>
      </c>
      <c r="G2064" s="2" t="s">
        <v>13098</v>
      </c>
      <c r="H2064" s="2" t="s">
        <v>13099</v>
      </c>
      <c r="I2064" s="2" t="s">
        <v>13100</v>
      </c>
      <c r="J2064" t="s">
        <v>13101</v>
      </c>
      <c r="K2064" t="s">
        <v>13102</v>
      </c>
      <c r="L2064" s="1">
        <v>2</v>
      </c>
      <c r="M2064" s="1"/>
      <c r="N2064" s="1"/>
      <c r="O2064" s="3"/>
    </row>
    <row r="2065" spans="1:15" ht="409.6">
      <c r="A2065" t="s">
        <v>12583</v>
      </c>
      <c r="B2065" t="s">
        <v>12584</v>
      </c>
      <c r="C2065" t="s">
        <v>12845</v>
      </c>
      <c r="D2065" t="s">
        <v>14</v>
      </c>
      <c r="E2065">
        <v>30</v>
      </c>
      <c r="F2065" s="2" t="s">
        <v>13103</v>
      </c>
      <c r="G2065" s="2" t="s">
        <v>13104</v>
      </c>
      <c r="H2065" s="2" t="s">
        <v>13105</v>
      </c>
      <c r="I2065" s="2" t="s">
        <v>13106</v>
      </c>
      <c r="J2065" t="s">
        <v>13107</v>
      </c>
      <c r="K2065" t="s">
        <v>13108</v>
      </c>
      <c r="L2065" s="1">
        <v>2</v>
      </c>
      <c r="M2065" s="1"/>
      <c r="N2065" s="1"/>
      <c r="O2065" s="3"/>
    </row>
    <row r="2066" spans="1:15" ht="409.6">
      <c r="A2066" t="s">
        <v>13109</v>
      </c>
      <c r="B2066" t="s">
        <v>13110</v>
      </c>
      <c r="C2066" t="s">
        <v>12845</v>
      </c>
      <c r="D2066" t="s">
        <v>23</v>
      </c>
      <c r="E2066">
        <v>30</v>
      </c>
      <c r="F2066" s="2" t="s">
        <v>13111</v>
      </c>
      <c r="G2066" s="2" t="s">
        <v>13112</v>
      </c>
      <c r="H2066" s="2" t="s">
        <v>13113</v>
      </c>
      <c r="I2066" s="2" t="s">
        <v>13114</v>
      </c>
      <c r="J2066" t="s">
        <v>13115</v>
      </c>
      <c r="K2066" t="s">
        <v>13116</v>
      </c>
      <c r="L2066" s="1">
        <v>2</v>
      </c>
      <c r="M2066" s="1"/>
      <c r="N2066" s="1"/>
      <c r="O2066" s="3"/>
    </row>
    <row r="2067" spans="1:15" ht="409.6">
      <c r="A2067" t="s">
        <v>2892</v>
      </c>
      <c r="B2067" t="s">
        <v>13117</v>
      </c>
      <c r="C2067" t="s">
        <v>13118</v>
      </c>
      <c r="D2067" t="s">
        <v>14</v>
      </c>
      <c r="E2067">
        <v>30</v>
      </c>
      <c r="F2067" s="2" t="s">
        <v>13119</v>
      </c>
      <c r="G2067" s="2" t="s">
        <v>13120</v>
      </c>
      <c r="H2067" s="2" t="s">
        <v>13121</v>
      </c>
      <c r="I2067" s="2" t="s">
        <v>13122</v>
      </c>
      <c r="J2067" t="s">
        <v>13123</v>
      </c>
      <c r="K2067" t="s">
        <v>13124</v>
      </c>
      <c r="L2067" s="1">
        <v>2</v>
      </c>
      <c r="M2067" s="1"/>
      <c r="N2067" s="1"/>
      <c r="O2067" s="3"/>
    </row>
    <row r="2068" spans="1:15" ht="409.6">
      <c r="A2068" t="s">
        <v>13125</v>
      </c>
      <c r="B2068" t="s">
        <v>13126</v>
      </c>
      <c r="C2068" t="s">
        <v>1176</v>
      </c>
      <c r="D2068" t="s">
        <v>14</v>
      </c>
      <c r="E2068">
        <v>45</v>
      </c>
      <c r="F2068" s="2" t="s">
        <v>13127</v>
      </c>
      <c r="G2068" s="2" t="s">
        <v>13128</v>
      </c>
      <c r="H2068" s="2" t="s">
        <v>13129</v>
      </c>
      <c r="I2068" s="2" t="s">
        <v>13130</v>
      </c>
      <c r="J2068" t="s">
        <v>13131</v>
      </c>
      <c r="K2068" t="s">
        <v>13132</v>
      </c>
      <c r="L2068" s="1">
        <v>2</v>
      </c>
      <c r="M2068" s="1"/>
      <c r="N2068" s="1"/>
      <c r="O2068" s="3"/>
    </row>
    <row r="2069" spans="1:15" ht="409.6">
      <c r="A2069" t="s">
        <v>13133</v>
      </c>
      <c r="B2069" t="s">
        <v>13134</v>
      </c>
      <c r="C2069" t="s">
        <v>97</v>
      </c>
      <c r="D2069" t="s">
        <v>14</v>
      </c>
      <c r="E2069">
        <v>30</v>
      </c>
      <c r="F2069" s="2" t="s">
        <v>13135</v>
      </c>
      <c r="G2069" s="2" t="s">
        <v>13136</v>
      </c>
      <c r="H2069" s="2" t="s">
        <v>13137</v>
      </c>
      <c r="I2069" s="2" t="s">
        <v>13138</v>
      </c>
      <c r="J2069" t="s">
        <v>13139</v>
      </c>
      <c r="K2069" t="s">
        <v>13140</v>
      </c>
      <c r="L2069" s="1">
        <v>2</v>
      </c>
      <c r="M2069" s="1"/>
      <c r="N2069" s="1"/>
      <c r="O2069" s="3"/>
    </row>
    <row r="2070" spans="1:15" ht="409.6">
      <c r="A2070" t="s">
        <v>815</v>
      </c>
      <c r="B2070" t="s">
        <v>13141</v>
      </c>
      <c r="C2070" t="s">
        <v>13118</v>
      </c>
      <c r="D2070" t="s">
        <v>14</v>
      </c>
      <c r="E2070">
        <v>45</v>
      </c>
      <c r="F2070" s="2" t="s">
        <v>13142</v>
      </c>
      <c r="G2070" s="2" t="s">
        <v>13143</v>
      </c>
      <c r="H2070" s="2" t="s">
        <v>13144</v>
      </c>
      <c r="I2070" s="2" t="s">
        <v>13145</v>
      </c>
      <c r="J2070" t="s">
        <v>13146</v>
      </c>
      <c r="K2070" t="s">
        <v>13147</v>
      </c>
      <c r="L2070" s="1">
        <v>2</v>
      </c>
      <c r="M2070" s="1"/>
      <c r="N2070" s="1"/>
      <c r="O2070" s="3"/>
    </row>
    <row r="2071" spans="1:15" ht="409.6">
      <c r="A2071" t="s">
        <v>13148</v>
      </c>
      <c r="B2071" t="s">
        <v>13149</v>
      </c>
      <c r="C2071" t="s">
        <v>13118</v>
      </c>
      <c r="D2071" t="s">
        <v>14</v>
      </c>
      <c r="E2071">
        <v>35</v>
      </c>
      <c r="F2071" s="2" t="s">
        <v>13150</v>
      </c>
      <c r="G2071" s="2" t="s">
        <v>13151</v>
      </c>
      <c r="H2071" s="2" t="s">
        <v>13152</v>
      </c>
      <c r="I2071" s="2" t="s">
        <v>13153</v>
      </c>
      <c r="J2071" t="s">
        <v>13154</v>
      </c>
      <c r="K2071" t="s">
        <v>13155</v>
      </c>
      <c r="L2071" s="1">
        <v>2</v>
      </c>
      <c r="M2071" s="1"/>
      <c r="N2071" s="1"/>
      <c r="O2071" s="3"/>
    </row>
    <row r="2072" spans="1:15" ht="409.6">
      <c r="A2072" t="s">
        <v>13156</v>
      </c>
      <c r="B2072" t="s">
        <v>1034</v>
      </c>
      <c r="C2072" t="s">
        <v>44</v>
      </c>
      <c r="D2072" t="s">
        <v>14</v>
      </c>
      <c r="E2072">
        <v>45</v>
      </c>
      <c r="F2072" s="2" t="s">
        <v>13157</v>
      </c>
      <c r="G2072" s="2" t="s">
        <v>13158</v>
      </c>
      <c r="H2072" s="2" t="s">
        <v>13159</v>
      </c>
      <c r="I2072" s="2" t="s">
        <v>13160</v>
      </c>
      <c r="J2072" t="s">
        <v>13161</v>
      </c>
      <c r="K2072" t="s">
        <v>13162</v>
      </c>
      <c r="L2072" s="1">
        <v>2</v>
      </c>
      <c r="M2072" s="1"/>
      <c r="N2072" s="1"/>
      <c r="O2072" s="3"/>
    </row>
    <row r="2073" spans="1:15" ht="409.6">
      <c r="A2073" t="s">
        <v>81</v>
      </c>
      <c r="B2073" t="s">
        <v>13163</v>
      </c>
      <c r="C2073" t="s">
        <v>74</v>
      </c>
      <c r="D2073" t="s">
        <v>14</v>
      </c>
      <c r="E2073">
        <v>25</v>
      </c>
      <c r="F2073" s="2" t="s">
        <v>13164</v>
      </c>
      <c r="G2073" s="2" t="s">
        <v>13165</v>
      </c>
      <c r="H2073" s="2" t="s">
        <v>13166</v>
      </c>
      <c r="I2073" s="2" t="s">
        <v>13167</v>
      </c>
      <c r="J2073" t="s">
        <v>13168</v>
      </c>
      <c r="K2073" t="s">
        <v>13169</v>
      </c>
      <c r="L2073" s="1">
        <v>2</v>
      </c>
      <c r="M2073" s="1"/>
      <c r="N2073" s="1"/>
      <c r="O2073" s="3"/>
    </row>
    <row r="2074" spans="1:15" ht="409.6">
      <c r="A2074" t="s">
        <v>13170</v>
      </c>
      <c r="B2074" t="s">
        <v>13171</v>
      </c>
      <c r="C2074" t="s">
        <v>13118</v>
      </c>
      <c r="D2074" t="s">
        <v>14</v>
      </c>
      <c r="E2074">
        <v>35</v>
      </c>
      <c r="F2074" s="2" t="s">
        <v>13172</v>
      </c>
      <c r="G2074" s="2" t="s">
        <v>13173</v>
      </c>
      <c r="H2074" s="2" t="s">
        <v>13174</v>
      </c>
      <c r="I2074" s="2" t="s">
        <v>13175</v>
      </c>
      <c r="J2074" t="s">
        <v>13176</v>
      </c>
      <c r="K2074" t="s">
        <v>13177</v>
      </c>
      <c r="L2074" s="1">
        <v>2</v>
      </c>
      <c r="M2074" s="1"/>
      <c r="N2074" s="1"/>
      <c r="O2074" s="3"/>
    </row>
    <row r="2075" spans="1:15" ht="409.6">
      <c r="A2075" t="s">
        <v>13178</v>
      </c>
      <c r="B2075" t="s">
        <v>13179</v>
      </c>
      <c r="C2075" t="s">
        <v>1010</v>
      </c>
      <c r="D2075" t="s">
        <v>14</v>
      </c>
      <c r="E2075">
        <v>40</v>
      </c>
      <c r="F2075" s="2" t="s">
        <v>13180</v>
      </c>
      <c r="G2075" s="2" t="s">
        <v>13181</v>
      </c>
      <c r="H2075" s="2" t="s">
        <v>13182</v>
      </c>
      <c r="I2075" s="2" t="s">
        <v>13183</v>
      </c>
      <c r="J2075" t="s">
        <v>13184</v>
      </c>
      <c r="K2075" t="s">
        <v>13185</v>
      </c>
      <c r="L2075" s="1">
        <v>2</v>
      </c>
      <c r="M2075" s="1"/>
      <c r="N2075" s="1"/>
      <c r="O2075" s="3"/>
    </row>
    <row r="2076" spans="1:15" ht="409.6">
      <c r="A2076" t="s">
        <v>201</v>
      </c>
      <c r="B2076" t="s">
        <v>1286</v>
      </c>
      <c r="C2076" t="s">
        <v>160</v>
      </c>
      <c r="D2076" t="s">
        <v>14</v>
      </c>
      <c r="E2076">
        <v>40</v>
      </c>
      <c r="F2076" s="2" t="s">
        <v>13186</v>
      </c>
      <c r="G2076" s="2" t="s">
        <v>13187</v>
      </c>
      <c r="H2076" s="2" t="s">
        <v>13188</v>
      </c>
      <c r="I2076" s="2" t="s">
        <v>13189</v>
      </c>
      <c r="J2076" t="s">
        <v>13190</v>
      </c>
      <c r="K2076" t="s">
        <v>13191</v>
      </c>
      <c r="L2076" s="1">
        <v>2</v>
      </c>
      <c r="M2076" s="1"/>
      <c r="N2076" s="1"/>
      <c r="O2076" s="3"/>
    </row>
    <row r="2077" spans="1:15" ht="409.6">
      <c r="A2077" t="s">
        <v>13192</v>
      </c>
      <c r="B2077" t="s">
        <v>13193</v>
      </c>
      <c r="C2077" t="s">
        <v>13118</v>
      </c>
      <c r="D2077" t="s">
        <v>14</v>
      </c>
      <c r="E2077">
        <v>35</v>
      </c>
      <c r="F2077" s="2" t="s">
        <v>13194</v>
      </c>
      <c r="G2077" s="2" t="s">
        <v>13195</v>
      </c>
      <c r="H2077" s="2" t="s">
        <v>13196</v>
      </c>
      <c r="I2077" s="2" t="s">
        <v>13197</v>
      </c>
      <c r="J2077" t="s">
        <v>13198</v>
      </c>
      <c r="K2077" t="s">
        <v>13199</v>
      </c>
      <c r="L2077" s="1">
        <v>2</v>
      </c>
      <c r="M2077" s="1"/>
      <c r="N2077" s="1"/>
      <c r="O2077" s="3"/>
    </row>
    <row r="2078" spans="1:15" ht="409.6">
      <c r="A2078" t="s">
        <v>13200</v>
      </c>
      <c r="B2078" t="s">
        <v>13201</v>
      </c>
      <c r="C2078" t="s">
        <v>13118</v>
      </c>
      <c r="D2078" t="s">
        <v>14</v>
      </c>
      <c r="E2078">
        <v>30</v>
      </c>
      <c r="F2078" s="2" t="s">
        <v>13202</v>
      </c>
      <c r="G2078" s="2" t="s">
        <v>13203</v>
      </c>
      <c r="H2078" s="2" t="s">
        <v>13204</v>
      </c>
      <c r="I2078" s="2" t="s">
        <v>13205</v>
      </c>
      <c r="J2078" t="s">
        <v>13206</v>
      </c>
      <c r="K2078" t="s">
        <v>13207</v>
      </c>
      <c r="L2078" s="1">
        <v>2</v>
      </c>
      <c r="M2078" s="1"/>
      <c r="N2078" s="1"/>
      <c r="O2078" s="3"/>
    </row>
    <row r="2079" spans="1:15" ht="409.6">
      <c r="A2079" t="s">
        <v>1010</v>
      </c>
      <c r="B2079" t="s">
        <v>13208</v>
      </c>
      <c r="C2079" t="s">
        <v>892</v>
      </c>
      <c r="D2079" t="s">
        <v>14</v>
      </c>
      <c r="E2079">
        <v>45</v>
      </c>
      <c r="F2079" s="2" t="s">
        <v>13209</v>
      </c>
      <c r="G2079" s="2" t="s">
        <v>13210</v>
      </c>
      <c r="H2079" s="2" t="s">
        <v>13211</v>
      </c>
      <c r="I2079" s="2" t="s">
        <v>13212</v>
      </c>
      <c r="J2079" t="s">
        <v>13213</v>
      </c>
      <c r="K2079" t="s">
        <v>13214</v>
      </c>
      <c r="L2079" s="1">
        <v>2</v>
      </c>
      <c r="M2079" s="1"/>
      <c r="N2079" s="1"/>
      <c r="O2079" s="3"/>
    </row>
    <row r="2080" spans="1:15" ht="409.6">
      <c r="A2080" t="s">
        <v>13215</v>
      </c>
      <c r="B2080" t="s">
        <v>13216</v>
      </c>
      <c r="C2080" t="s">
        <v>13118</v>
      </c>
      <c r="D2080" t="s">
        <v>14</v>
      </c>
      <c r="E2080">
        <v>40</v>
      </c>
      <c r="F2080" s="2" t="s">
        <v>13217</v>
      </c>
      <c r="G2080" s="2" t="s">
        <v>13218</v>
      </c>
      <c r="H2080" s="2" t="s">
        <v>13219</v>
      </c>
      <c r="I2080" s="2" t="s">
        <v>13220</v>
      </c>
      <c r="J2080" t="s">
        <v>13221</v>
      </c>
      <c r="K2080" t="s">
        <v>13222</v>
      </c>
      <c r="L2080" s="1">
        <v>2</v>
      </c>
      <c r="M2080" s="1"/>
      <c r="N2080" s="1"/>
      <c r="O2080" s="3"/>
    </row>
    <row r="2081" spans="1:15" ht="409.6">
      <c r="A2081" t="s">
        <v>243</v>
      </c>
      <c r="B2081" t="s">
        <v>244</v>
      </c>
      <c r="C2081" t="s">
        <v>13118</v>
      </c>
      <c r="D2081" t="s">
        <v>14</v>
      </c>
      <c r="E2081">
        <v>45</v>
      </c>
      <c r="F2081" s="2" t="s">
        <v>13223</v>
      </c>
      <c r="G2081" s="2" t="s">
        <v>13224</v>
      </c>
      <c r="H2081" s="2" t="s">
        <v>13225</v>
      </c>
      <c r="I2081" s="2" t="s">
        <v>13226</v>
      </c>
      <c r="J2081" t="s">
        <v>13227</v>
      </c>
      <c r="K2081" t="s">
        <v>13228</v>
      </c>
      <c r="L2081" s="1">
        <v>2</v>
      </c>
      <c r="M2081" s="1"/>
      <c r="N2081" s="1"/>
      <c r="O2081" s="3"/>
    </row>
    <row r="2082" spans="1:15" ht="409.6">
      <c r="A2082" t="s">
        <v>13229</v>
      </c>
      <c r="B2082" t="s">
        <v>13230</v>
      </c>
      <c r="C2082" t="s">
        <v>74</v>
      </c>
      <c r="D2082" t="s">
        <v>14</v>
      </c>
      <c r="E2082">
        <v>30</v>
      </c>
      <c r="F2082" s="2" t="s">
        <v>13231</v>
      </c>
      <c r="G2082" s="2" t="s">
        <v>13232</v>
      </c>
      <c r="H2082" s="2" t="s">
        <v>13233</v>
      </c>
      <c r="I2082" s="2" t="s">
        <v>13234</v>
      </c>
      <c r="J2082" t="s">
        <v>13235</v>
      </c>
      <c r="K2082" t="s">
        <v>13236</v>
      </c>
      <c r="L2082" s="1">
        <v>2</v>
      </c>
      <c r="M2082" s="1"/>
      <c r="N2082" s="1"/>
      <c r="O2082" s="3"/>
    </row>
    <row r="2083" spans="1:15" ht="409.6">
      <c r="A2083" t="s">
        <v>2914</v>
      </c>
      <c r="B2083" t="s">
        <v>2915</v>
      </c>
      <c r="C2083" t="s">
        <v>13118</v>
      </c>
      <c r="D2083" t="s">
        <v>14</v>
      </c>
      <c r="E2083">
        <v>35</v>
      </c>
      <c r="F2083" s="2" t="s">
        <v>13237</v>
      </c>
      <c r="G2083" s="2" t="s">
        <v>13238</v>
      </c>
      <c r="H2083" s="2" t="s">
        <v>13239</v>
      </c>
      <c r="I2083" s="2" t="s">
        <v>13240</v>
      </c>
      <c r="J2083" t="s">
        <v>13241</v>
      </c>
      <c r="K2083" t="s">
        <v>13242</v>
      </c>
      <c r="L2083" s="1">
        <v>2</v>
      </c>
      <c r="M2083" s="1"/>
      <c r="N2083" s="1"/>
      <c r="O2083" s="3"/>
    </row>
    <row r="2084" spans="1:15" ht="409.6">
      <c r="A2084" t="s">
        <v>13243</v>
      </c>
      <c r="B2084" t="s">
        <v>13244</v>
      </c>
      <c r="C2084" t="s">
        <v>44</v>
      </c>
      <c r="D2084" t="s">
        <v>14</v>
      </c>
      <c r="E2084">
        <v>40</v>
      </c>
      <c r="F2084" s="2" t="s">
        <v>13245</v>
      </c>
      <c r="G2084" s="2" t="s">
        <v>13246</v>
      </c>
      <c r="H2084" s="2" t="s">
        <v>13247</v>
      </c>
      <c r="I2084" s="2" t="s">
        <v>13248</v>
      </c>
      <c r="J2084" t="s">
        <v>13249</v>
      </c>
      <c r="K2084" t="s">
        <v>13250</v>
      </c>
      <c r="L2084" s="1">
        <v>2</v>
      </c>
      <c r="M2084" s="1"/>
      <c r="N2084" s="1"/>
      <c r="O2084" s="3"/>
    </row>
    <row r="2085" spans="1:15" ht="409.6">
      <c r="A2085" t="s">
        <v>13251</v>
      </c>
      <c r="B2085" t="s">
        <v>13193</v>
      </c>
      <c r="C2085" t="s">
        <v>13118</v>
      </c>
      <c r="D2085" t="s">
        <v>14</v>
      </c>
      <c r="E2085">
        <v>35</v>
      </c>
      <c r="F2085" s="2" t="s">
        <v>13252</v>
      </c>
      <c r="G2085" s="2" t="s">
        <v>13253</v>
      </c>
      <c r="H2085" s="2" t="s">
        <v>13254</v>
      </c>
      <c r="I2085" s="2" t="s">
        <v>13255</v>
      </c>
      <c r="J2085" t="s">
        <v>13256</v>
      </c>
      <c r="K2085" t="s">
        <v>13257</v>
      </c>
      <c r="L2085" s="1">
        <v>2</v>
      </c>
      <c r="M2085" s="1"/>
      <c r="N2085" s="1"/>
      <c r="O2085" s="3"/>
    </row>
    <row r="2086" spans="1:15" ht="409.6">
      <c r="A2086" t="s">
        <v>13258</v>
      </c>
      <c r="B2086" t="s">
        <v>13259</v>
      </c>
      <c r="C2086" t="s">
        <v>612</v>
      </c>
      <c r="D2086" t="s">
        <v>14</v>
      </c>
      <c r="E2086">
        <v>25</v>
      </c>
      <c r="F2086" s="2" t="s">
        <v>13260</v>
      </c>
      <c r="G2086" s="2" t="s">
        <v>13261</v>
      </c>
      <c r="H2086" s="2" t="s">
        <v>13262</v>
      </c>
      <c r="I2086" s="2" t="s">
        <v>13263</v>
      </c>
      <c r="J2086" t="s">
        <v>13264</v>
      </c>
      <c r="K2086" t="s">
        <v>13265</v>
      </c>
      <c r="L2086" s="1">
        <v>2</v>
      </c>
      <c r="M2086" s="1"/>
      <c r="N2086" s="1"/>
      <c r="O2086" s="3"/>
    </row>
    <row r="2087" spans="1:15" ht="409.6">
      <c r="A2087" t="s">
        <v>650</v>
      </c>
      <c r="B2087" t="s">
        <v>651</v>
      </c>
      <c r="C2087" t="s">
        <v>652</v>
      </c>
      <c r="D2087" t="s">
        <v>14</v>
      </c>
      <c r="E2087">
        <v>40</v>
      </c>
      <c r="F2087" s="2" t="s">
        <v>13266</v>
      </c>
      <c r="G2087" s="2" t="s">
        <v>13267</v>
      </c>
      <c r="H2087" s="2" t="s">
        <v>13268</v>
      </c>
      <c r="I2087" s="2" t="s">
        <v>13269</v>
      </c>
      <c r="J2087" t="s">
        <v>13270</v>
      </c>
      <c r="K2087" t="s">
        <v>13271</v>
      </c>
      <c r="L2087" s="1">
        <v>2</v>
      </c>
      <c r="M2087" s="1"/>
      <c r="N2087" s="1"/>
      <c r="O2087" s="3"/>
    </row>
    <row r="2088" spans="1:15" ht="409.6">
      <c r="A2088" t="s">
        <v>81</v>
      </c>
      <c r="B2088" t="s">
        <v>13163</v>
      </c>
      <c r="C2088" t="s">
        <v>97</v>
      </c>
      <c r="D2088" t="s">
        <v>14</v>
      </c>
      <c r="E2088">
        <v>25</v>
      </c>
      <c r="F2088" s="2" t="s">
        <v>13272</v>
      </c>
      <c r="G2088" s="2" t="s">
        <v>13273</v>
      </c>
      <c r="H2088" s="2" t="s">
        <v>13274</v>
      </c>
      <c r="I2088" s="2" t="s">
        <v>13275</v>
      </c>
      <c r="J2088" t="s">
        <v>13276</v>
      </c>
      <c r="K2088" t="s">
        <v>13277</v>
      </c>
      <c r="L2088" s="1">
        <v>2</v>
      </c>
      <c r="M2088" s="1"/>
      <c r="N2088" s="1"/>
      <c r="O2088" s="3"/>
    </row>
    <row r="2089" spans="1:15" ht="409.6">
      <c r="A2089" t="s">
        <v>13278</v>
      </c>
      <c r="B2089" t="s">
        <v>13279</v>
      </c>
      <c r="C2089" t="s">
        <v>612</v>
      </c>
      <c r="D2089" t="s">
        <v>14</v>
      </c>
      <c r="E2089">
        <v>30</v>
      </c>
      <c r="F2089" s="2" t="s">
        <v>13280</v>
      </c>
      <c r="G2089" s="2" t="s">
        <v>13281</v>
      </c>
      <c r="H2089" s="2" t="s">
        <v>13282</v>
      </c>
      <c r="I2089" s="2" t="s">
        <v>13283</v>
      </c>
      <c r="J2089" t="s">
        <v>13284</v>
      </c>
      <c r="K2089" t="s">
        <v>13285</v>
      </c>
      <c r="L2089" s="1">
        <v>2</v>
      </c>
      <c r="M2089" s="1"/>
      <c r="N2089" s="1"/>
      <c r="O2089" s="3"/>
    </row>
    <row r="2090" spans="1:15" ht="409.6">
      <c r="A2090" t="s">
        <v>13286</v>
      </c>
      <c r="B2090" t="s">
        <v>13287</v>
      </c>
      <c r="C2090" t="s">
        <v>892</v>
      </c>
      <c r="D2090" t="s">
        <v>14</v>
      </c>
      <c r="E2090">
        <v>30</v>
      </c>
      <c r="F2090" s="2" t="s">
        <v>13288</v>
      </c>
      <c r="G2090" s="2" t="s">
        <v>13289</v>
      </c>
      <c r="H2090" s="2" t="s">
        <v>13290</v>
      </c>
      <c r="I2090" s="2" t="s">
        <v>13291</v>
      </c>
      <c r="J2090" t="s">
        <v>13292</v>
      </c>
      <c r="K2090" t="s">
        <v>13293</v>
      </c>
      <c r="L2090" s="1">
        <v>2</v>
      </c>
      <c r="M2090" s="1"/>
      <c r="N2090" s="1"/>
      <c r="O2090" s="3"/>
    </row>
    <row r="2091" spans="1:15" ht="409.6">
      <c r="A2091" t="s">
        <v>13294</v>
      </c>
      <c r="B2091" t="s">
        <v>13295</v>
      </c>
      <c r="C2091" t="s">
        <v>44</v>
      </c>
      <c r="D2091" t="s">
        <v>14</v>
      </c>
      <c r="E2091">
        <v>35</v>
      </c>
      <c r="F2091" s="2" t="s">
        <v>13296</v>
      </c>
      <c r="G2091" s="2" t="s">
        <v>13297</v>
      </c>
      <c r="H2091" s="2" t="s">
        <v>13298</v>
      </c>
      <c r="I2091" s="2" t="s">
        <v>13299</v>
      </c>
      <c r="J2091" t="s">
        <v>13300</v>
      </c>
      <c r="K2091" t="s">
        <v>13301</v>
      </c>
      <c r="L2091" s="1">
        <v>2</v>
      </c>
      <c r="M2091" s="1"/>
      <c r="N2091" s="1"/>
      <c r="O2091" s="3"/>
    </row>
    <row r="2092" spans="1:15" ht="409.6">
      <c r="A2092" t="s">
        <v>13302</v>
      </c>
      <c r="B2092" t="s">
        <v>13303</v>
      </c>
      <c r="C2092" t="s">
        <v>892</v>
      </c>
      <c r="D2092" t="s">
        <v>14</v>
      </c>
      <c r="E2092">
        <v>20</v>
      </c>
      <c r="F2092" s="2" t="s">
        <v>13304</v>
      </c>
      <c r="G2092" s="2" t="s">
        <v>13305</v>
      </c>
      <c r="H2092" s="2" t="s">
        <v>13306</v>
      </c>
      <c r="I2092" s="2" t="s">
        <v>13307</v>
      </c>
      <c r="J2092" t="s">
        <v>13308</v>
      </c>
      <c r="K2092" t="s">
        <v>13309</v>
      </c>
      <c r="L2092" s="1">
        <v>2</v>
      </c>
      <c r="M2092" s="1"/>
      <c r="N2092" s="1"/>
      <c r="O2092" s="3"/>
    </row>
    <row r="2093" spans="1:15" ht="409.6">
      <c r="A2093" t="s">
        <v>13310</v>
      </c>
      <c r="B2093" t="s">
        <v>13311</v>
      </c>
      <c r="C2093" t="s">
        <v>44</v>
      </c>
      <c r="D2093" t="s">
        <v>14</v>
      </c>
      <c r="E2093">
        <v>30</v>
      </c>
      <c r="F2093" s="2" t="s">
        <v>13312</v>
      </c>
      <c r="G2093" s="2" t="s">
        <v>13313</v>
      </c>
      <c r="H2093" s="2" t="s">
        <v>13314</v>
      </c>
      <c r="I2093" s="2" t="s">
        <v>13315</v>
      </c>
      <c r="J2093" t="s">
        <v>13316</v>
      </c>
      <c r="K2093" t="s">
        <v>13317</v>
      </c>
      <c r="L2093" s="1">
        <v>2</v>
      </c>
      <c r="M2093" s="1"/>
      <c r="N2093" s="1"/>
      <c r="O2093" s="3"/>
    </row>
    <row r="2094" spans="1:15" ht="409.6">
      <c r="A2094" t="s">
        <v>13318</v>
      </c>
      <c r="B2094" t="s">
        <v>13319</v>
      </c>
      <c r="C2094" t="s">
        <v>160</v>
      </c>
      <c r="D2094" t="s">
        <v>14</v>
      </c>
      <c r="E2094">
        <v>25</v>
      </c>
      <c r="F2094" s="2" t="s">
        <v>13320</v>
      </c>
      <c r="G2094" s="2" t="s">
        <v>13321</v>
      </c>
      <c r="H2094" s="2" t="s">
        <v>13322</v>
      </c>
      <c r="I2094" s="2" t="s">
        <v>13323</v>
      </c>
      <c r="J2094" t="s">
        <v>13324</v>
      </c>
      <c r="K2094" t="s">
        <v>13325</v>
      </c>
      <c r="L2094" s="1">
        <v>2</v>
      </c>
      <c r="M2094" s="1"/>
      <c r="N2094" s="1"/>
      <c r="O2094" s="3"/>
    </row>
    <row r="2095" spans="1:15" ht="409.6">
      <c r="A2095" t="s">
        <v>13326</v>
      </c>
      <c r="B2095" t="s">
        <v>13327</v>
      </c>
      <c r="C2095" t="s">
        <v>160</v>
      </c>
      <c r="D2095" t="s">
        <v>14</v>
      </c>
      <c r="E2095">
        <v>25</v>
      </c>
      <c r="F2095" s="2" t="s">
        <v>13328</v>
      </c>
      <c r="G2095" s="2" t="s">
        <v>13329</v>
      </c>
      <c r="H2095" s="2" t="s">
        <v>13330</v>
      </c>
      <c r="I2095" s="2" t="s">
        <v>13331</v>
      </c>
      <c r="J2095" t="s">
        <v>13332</v>
      </c>
      <c r="K2095" t="s">
        <v>13333</v>
      </c>
      <c r="L2095" s="1">
        <v>2</v>
      </c>
      <c r="M2095" s="1"/>
      <c r="N2095" s="1"/>
      <c r="O2095" s="3"/>
    </row>
    <row r="2096" spans="1:15" ht="409.6">
      <c r="A2096" t="s">
        <v>13334</v>
      </c>
      <c r="B2096" t="s">
        <v>13335</v>
      </c>
      <c r="C2096" t="s">
        <v>652</v>
      </c>
      <c r="D2096" t="s">
        <v>14</v>
      </c>
      <c r="E2096">
        <v>35</v>
      </c>
      <c r="F2096" s="2" t="s">
        <v>13336</v>
      </c>
      <c r="G2096" s="2" t="s">
        <v>13337</v>
      </c>
      <c r="H2096" s="2" t="s">
        <v>13338</v>
      </c>
      <c r="I2096" s="2" t="s">
        <v>13339</v>
      </c>
      <c r="J2096" t="s">
        <v>13340</v>
      </c>
      <c r="K2096" t="s">
        <v>13341</v>
      </c>
      <c r="L2096" s="1">
        <v>2</v>
      </c>
      <c r="M2096" s="1"/>
      <c r="N2096" s="1"/>
      <c r="O2096" s="3"/>
    </row>
    <row r="2097" spans="1:15" ht="409.6">
      <c r="A2097" t="s">
        <v>13342</v>
      </c>
      <c r="B2097" s="2" t="s">
        <v>13343</v>
      </c>
      <c r="C2097" t="s">
        <v>892</v>
      </c>
      <c r="D2097" t="s">
        <v>14</v>
      </c>
      <c r="E2097">
        <v>45</v>
      </c>
      <c r="F2097" s="2" t="s">
        <v>13344</v>
      </c>
      <c r="G2097" s="2" t="s">
        <v>13345</v>
      </c>
      <c r="H2097" s="2" t="s">
        <v>13346</v>
      </c>
      <c r="I2097" s="2" t="s">
        <v>13347</v>
      </c>
      <c r="J2097" t="s">
        <v>13348</v>
      </c>
      <c r="K2097" t="s">
        <v>13349</v>
      </c>
      <c r="L2097" s="1">
        <v>2</v>
      </c>
      <c r="M2097" s="1"/>
      <c r="N2097" s="1"/>
      <c r="O2097" s="3"/>
    </row>
    <row r="2098" spans="1:15" ht="409.6">
      <c r="A2098" t="s">
        <v>13350</v>
      </c>
      <c r="B2098" t="s">
        <v>13351</v>
      </c>
      <c r="C2098" t="s">
        <v>892</v>
      </c>
      <c r="D2098" t="s">
        <v>14</v>
      </c>
      <c r="E2098">
        <v>40</v>
      </c>
      <c r="F2098" s="2" t="s">
        <v>13352</v>
      </c>
      <c r="G2098" s="2" t="s">
        <v>13353</v>
      </c>
      <c r="H2098" s="2" t="s">
        <v>13354</v>
      </c>
      <c r="I2098" s="2" t="s">
        <v>13355</v>
      </c>
      <c r="J2098" t="s">
        <v>13356</v>
      </c>
      <c r="K2098" t="s">
        <v>13357</v>
      </c>
      <c r="L2098" s="1">
        <v>2</v>
      </c>
      <c r="M2098" s="1"/>
      <c r="N2098" s="1"/>
      <c r="O2098" s="3"/>
    </row>
    <row r="2099" spans="1:15" ht="409.6">
      <c r="A2099" t="s">
        <v>1017</v>
      </c>
      <c r="B2099" t="s">
        <v>13358</v>
      </c>
      <c r="C2099" t="s">
        <v>13118</v>
      </c>
      <c r="D2099" t="s">
        <v>14</v>
      </c>
      <c r="E2099">
        <v>30</v>
      </c>
      <c r="F2099" s="2" t="s">
        <v>13359</v>
      </c>
      <c r="G2099" s="2" t="s">
        <v>13360</v>
      </c>
      <c r="H2099" s="2" t="s">
        <v>13361</v>
      </c>
      <c r="I2099" s="2" t="s">
        <v>13362</v>
      </c>
      <c r="J2099" t="s">
        <v>13146</v>
      </c>
      <c r="K2099" t="s">
        <v>13363</v>
      </c>
      <c r="L2099" s="1">
        <v>2</v>
      </c>
      <c r="M2099" s="1"/>
      <c r="N2099" s="1"/>
      <c r="O2099" s="3"/>
    </row>
    <row r="2100" spans="1:15" ht="409.6">
      <c r="A2100" t="s">
        <v>13364</v>
      </c>
      <c r="B2100" t="s">
        <v>13365</v>
      </c>
      <c r="C2100" t="s">
        <v>13118</v>
      </c>
      <c r="D2100" t="s">
        <v>14</v>
      </c>
      <c r="E2100">
        <v>40</v>
      </c>
      <c r="F2100" s="2" t="s">
        <v>13366</v>
      </c>
      <c r="G2100" s="2" t="s">
        <v>13367</v>
      </c>
      <c r="H2100" s="2" t="s">
        <v>13368</v>
      </c>
      <c r="I2100" s="2" t="s">
        <v>13369</v>
      </c>
      <c r="J2100" t="s">
        <v>13370</v>
      </c>
      <c r="K2100" t="s">
        <v>13371</v>
      </c>
      <c r="L2100" s="1">
        <v>2</v>
      </c>
      <c r="M2100" s="1"/>
      <c r="N2100" s="1"/>
      <c r="O2100" s="3"/>
    </row>
    <row r="2101" spans="1:15" ht="409.6">
      <c r="A2101" t="s">
        <v>13372</v>
      </c>
      <c r="B2101" t="s">
        <v>13373</v>
      </c>
      <c r="C2101" t="s">
        <v>160</v>
      </c>
      <c r="D2101" t="s">
        <v>14</v>
      </c>
      <c r="E2101">
        <v>20</v>
      </c>
      <c r="F2101" s="2" t="s">
        <v>13374</v>
      </c>
      <c r="G2101" s="2" t="s">
        <v>13375</v>
      </c>
      <c r="H2101" s="2" t="s">
        <v>13376</v>
      </c>
      <c r="I2101" s="2" t="s">
        <v>13377</v>
      </c>
      <c r="J2101" t="s">
        <v>13378</v>
      </c>
      <c r="K2101" t="s">
        <v>13379</v>
      </c>
      <c r="L2101" s="1">
        <v>2</v>
      </c>
      <c r="M2101" s="1"/>
      <c r="N2101" s="1"/>
      <c r="O2101" s="3"/>
    </row>
    <row r="2102" spans="1:15" ht="409.6">
      <c r="A2102" t="s">
        <v>13380</v>
      </c>
      <c r="B2102" t="s">
        <v>13381</v>
      </c>
      <c r="C2102" t="s">
        <v>74</v>
      </c>
      <c r="D2102" t="s">
        <v>14</v>
      </c>
      <c r="E2102">
        <v>25</v>
      </c>
      <c r="F2102" s="2" t="s">
        <v>13382</v>
      </c>
      <c r="G2102" s="2" t="s">
        <v>13383</v>
      </c>
      <c r="H2102" s="2" t="s">
        <v>13384</v>
      </c>
      <c r="I2102" s="2" t="s">
        <v>13385</v>
      </c>
      <c r="J2102" t="s">
        <v>13386</v>
      </c>
      <c r="K2102" t="s">
        <v>13387</v>
      </c>
      <c r="L2102" s="1">
        <v>2</v>
      </c>
      <c r="M2102" s="1"/>
      <c r="N2102" s="1"/>
      <c r="O2102" s="3"/>
    </row>
    <row r="2103" spans="1:15" ht="409.6">
      <c r="A2103" t="s">
        <v>13388</v>
      </c>
      <c r="B2103" t="s">
        <v>13389</v>
      </c>
      <c r="C2103" t="s">
        <v>74</v>
      </c>
      <c r="D2103" t="s">
        <v>14</v>
      </c>
      <c r="E2103">
        <v>20</v>
      </c>
      <c r="F2103" s="2" t="s">
        <v>13390</v>
      </c>
      <c r="G2103" s="2" t="s">
        <v>13391</v>
      </c>
      <c r="H2103" s="2" t="s">
        <v>13392</v>
      </c>
      <c r="I2103" s="2" t="s">
        <v>13393</v>
      </c>
      <c r="J2103" t="s">
        <v>13394</v>
      </c>
      <c r="K2103" t="s">
        <v>13395</v>
      </c>
      <c r="L2103" s="1">
        <v>2</v>
      </c>
      <c r="M2103" s="1"/>
      <c r="N2103" s="1"/>
      <c r="O2103" s="3"/>
    </row>
    <row r="2104" spans="1:15" ht="409.6">
      <c r="A2104" t="s">
        <v>13396</v>
      </c>
      <c r="B2104" t="s">
        <v>13397</v>
      </c>
      <c r="C2104" t="s">
        <v>44</v>
      </c>
      <c r="D2104" t="s">
        <v>14</v>
      </c>
      <c r="E2104">
        <v>35</v>
      </c>
      <c r="F2104" s="2" t="s">
        <v>13398</v>
      </c>
      <c r="G2104" s="2" t="s">
        <v>13399</v>
      </c>
      <c r="H2104" s="2" t="s">
        <v>13400</v>
      </c>
      <c r="I2104" s="2" t="s">
        <v>13401</v>
      </c>
      <c r="J2104" t="s">
        <v>13402</v>
      </c>
      <c r="K2104" t="s">
        <v>13403</v>
      </c>
      <c r="L2104" s="1">
        <v>2</v>
      </c>
      <c r="M2104" s="1"/>
      <c r="N2104" s="1"/>
      <c r="O2104" s="3"/>
    </row>
    <row r="2105" spans="1:15" ht="409.6">
      <c r="A2105" t="s">
        <v>13404</v>
      </c>
      <c r="B2105" t="s">
        <v>13405</v>
      </c>
      <c r="C2105" t="s">
        <v>13406</v>
      </c>
      <c r="D2105" t="s">
        <v>14</v>
      </c>
      <c r="E2105">
        <v>30</v>
      </c>
      <c r="F2105" s="2" t="s">
        <v>13407</v>
      </c>
      <c r="G2105" s="2" t="s">
        <v>13408</v>
      </c>
      <c r="H2105" s="2" t="s">
        <v>13409</v>
      </c>
      <c r="I2105" s="2" t="s">
        <v>13410</v>
      </c>
      <c r="J2105" t="s">
        <v>13411</v>
      </c>
      <c r="K2105" t="s">
        <v>13412</v>
      </c>
      <c r="L2105" s="1">
        <v>2</v>
      </c>
      <c r="M2105" s="1"/>
      <c r="N2105" s="1"/>
      <c r="O2105" s="3"/>
    </row>
    <row r="2106" spans="1:15" ht="409.6">
      <c r="A2106" t="s">
        <v>1025</v>
      </c>
      <c r="B2106" t="s">
        <v>13413</v>
      </c>
      <c r="C2106" t="s">
        <v>13118</v>
      </c>
      <c r="D2106" t="s">
        <v>14</v>
      </c>
      <c r="E2106">
        <v>35</v>
      </c>
      <c r="F2106" s="2" t="s">
        <v>13414</v>
      </c>
      <c r="G2106" s="2" t="s">
        <v>13415</v>
      </c>
      <c r="H2106" s="2" t="s">
        <v>13416</v>
      </c>
      <c r="I2106" s="2" t="s">
        <v>13417</v>
      </c>
      <c r="J2106" t="s">
        <v>13418</v>
      </c>
      <c r="K2106" t="s">
        <v>13419</v>
      </c>
      <c r="L2106" s="1">
        <v>2</v>
      </c>
      <c r="M2106" s="1"/>
      <c r="N2106" s="1"/>
      <c r="O2106" s="3"/>
    </row>
    <row r="2107" spans="1:15" ht="409.6">
      <c r="A2107" t="s">
        <v>13420</v>
      </c>
      <c r="B2107" s="2" t="s">
        <v>13421</v>
      </c>
      <c r="C2107" t="s">
        <v>612</v>
      </c>
      <c r="D2107" t="s">
        <v>14</v>
      </c>
      <c r="E2107">
        <v>40</v>
      </c>
      <c r="F2107" s="2" t="s">
        <v>13422</v>
      </c>
      <c r="G2107" s="2" t="s">
        <v>13423</v>
      </c>
      <c r="H2107" s="2" t="s">
        <v>13424</v>
      </c>
      <c r="I2107" s="2" t="s">
        <v>13425</v>
      </c>
      <c r="J2107" t="s">
        <v>13426</v>
      </c>
      <c r="K2107" t="s">
        <v>13427</v>
      </c>
      <c r="L2107" s="1">
        <v>2</v>
      </c>
      <c r="M2107" s="1"/>
      <c r="N2107" s="1"/>
      <c r="O2107" s="3"/>
    </row>
    <row r="2108" spans="1:15" ht="409.6">
      <c r="A2108" t="s">
        <v>13428</v>
      </c>
      <c r="B2108" s="2" t="s">
        <v>13429</v>
      </c>
      <c r="C2108" t="s">
        <v>13118</v>
      </c>
      <c r="D2108" t="s">
        <v>14</v>
      </c>
      <c r="E2108">
        <v>20</v>
      </c>
      <c r="F2108" s="2" t="s">
        <v>13430</v>
      </c>
      <c r="G2108" s="2" t="s">
        <v>13431</v>
      </c>
      <c r="H2108" s="2" t="s">
        <v>13432</v>
      </c>
      <c r="I2108" s="2" t="s">
        <v>13433</v>
      </c>
      <c r="J2108" t="s">
        <v>13434</v>
      </c>
      <c r="K2108" t="s">
        <v>13435</v>
      </c>
      <c r="L2108" s="1">
        <v>2</v>
      </c>
      <c r="M2108" s="1"/>
      <c r="N2108" s="1"/>
      <c r="O2108" s="3"/>
    </row>
    <row r="2109" spans="1:15" ht="409.6">
      <c r="A2109" t="s">
        <v>13436</v>
      </c>
      <c r="B2109" t="s">
        <v>13437</v>
      </c>
      <c r="C2109" t="s">
        <v>13118</v>
      </c>
      <c r="D2109" t="s">
        <v>14</v>
      </c>
      <c r="E2109">
        <v>35</v>
      </c>
      <c r="F2109" s="2" t="s">
        <v>13438</v>
      </c>
      <c r="G2109" s="2" t="s">
        <v>13439</v>
      </c>
      <c r="H2109" s="2" t="s">
        <v>13440</v>
      </c>
      <c r="I2109" s="2" t="s">
        <v>13441</v>
      </c>
      <c r="J2109" t="s">
        <v>13442</v>
      </c>
      <c r="K2109" t="s">
        <v>13443</v>
      </c>
      <c r="L2109" s="1">
        <v>2</v>
      </c>
      <c r="M2109" s="1"/>
      <c r="N2109" s="1"/>
      <c r="O2109" s="3"/>
    </row>
    <row r="2110" spans="1:15" ht="409.6">
      <c r="A2110" t="s">
        <v>13444</v>
      </c>
      <c r="B2110" t="s">
        <v>13445</v>
      </c>
      <c r="C2110" t="s">
        <v>13118</v>
      </c>
      <c r="D2110" t="s">
        <v>14</v>
      </c>
      <c r="E2110">
        <v>25</v>
      </c>
      <c r="F2110" s="2" t="s">
        <v>13446</v>
      </c>
      <c r="G2110" s="2" t="s">
        <v>13447</v>
      </c>
      <c r="H2110" s="2" t="s">
        <v>13448</v>
      </c>
      <c r="I2110" s="2" t="s">
        <v>13449</v>
      </c>
      <c r="J2110" t="s">
        <v>13450</v>
      </c>
      <c r="K2110" t="s">
        <v>13451</v>
      </c>
      <c r="L2110" s="1">
        <v>2</v>
      </c>
      <c r="M2110" s="1"/>
      <c r="N2110" s="1"/>
      <c r="O2110" s="3"/>
    </row>
    <row r="2111" spans="1:15" ht="409.6">
      <c r="A2111" t="s">
        <v>13452</v>
      </c>
      <c r="B2111" s="2" t="s">
        <v>13453</v>
      </c>
      <c r="C2111" t="s">
        <v>13118</v>
      </c>
      <c r="D2111" t="s">
        <v>14</v>
      </c>
      <c r="E2111">
        <v>20</v>
      </c>
      <c r="F2111" s="2" t="s">
        <v>13454</v>
      </c>
      <c r="G2111" s="2" t="s">
        <v>13455</v>
      </c>
      <c r="H2111" s="2" t="s">
        <v>13456</v>
      </c>
      <c r="I2111" s="2" t="s">
        <v>13457</v>
      </c>
      <c r="J2111" t="s">
        <v>13458</v>
      </c>
      <c r="K2111" t="s">
        <v>13459</v>
      </c>
      <c r="L2111" s="1">
        <v>2</v>
      </c>
      <c r="M2111" s="1"/>
      <c r="N2111" s="1"/>
      <c r="O2111" s="3"/>
    </row>
    <row r="2112" spans="1:15" ht="409.6">
      <c r="A2112" t="s">
        <v>13460</v>
      </c>
      <c r="B2112" t="s">
        <v>13461</v>
      </c>
      <c r="C2112" t="s">
        <v>652</v>
      </c>
      <c r="D2112" t="s">
        <v>14</v>
      </c>
      <c r="E2112">
        <v>30</v>
      </c>
      <c r="F2112" s="2" t="s">
        <v>13462</v>
      </c>
      <c r="G2112" s="2" t="s">
        <v>13463</v>
      </c>
      <c r="H2112" s="2" t="s">
        <v>13464</v>
      </c>
      <c r="I2112" s="2" t="s">
        <v>13465</v>
      </c>
      <c r="J2112" t="s">
        <v>13466</v>
      </c>
      <c r="K2112" t="s">
        <v>13467</v>
      </c>
      <c r="L2112" s="1">
        <v>2</v>
      </c>
      <c r="M2112" s="1"/>
      <c r="N2112" s="1"/>
      <c r="O2112" s="3"/>
    </row>
    <row r="2113" spans="1:15" ht="409.6">
      <c r="A2113" t="s">
        <v>13468</v>
      </c>
      <c r="B2113" t="s">
        <v>13469</v>
      </c>
      <c r="C2113" t="s">
        <v>13118</v>
      </c>
      <c r="D2113" t="s">
        <v>14</v>
      </c>
      <c r="E2113">
        <v>30</v>
      </c>
      <c r="F2113" s="2" t="s">
        <v>13470</v>
      </c>
      <c r="G2113" s="2" t="s">
        <v>13471</v>
      </c>
      <c r="H2113" s="2" t="s">
        <v>13472</v>
      </c>
      <c r="I2113" s="2" t="s">
        <v>13473</v>
      </c>
      <c r="J2113" t="s">
        <v>13474</v>
      </c>
      <c r="K2113" t="s">
        <v>13475</v>
      </c>
      <c r="L2113" s="1">
        <v>2</v>
      </c>
      <c r="M2113" s="1"/>
      <c r="N2113" s="1"/>
      <c r="O2113" s="3"/>
    </row>
    <row r="2114" spans="1:15" ht="409.6">
      <c r="A2114" t="s">
        <v>2755</v>
      </c>
      <c r="B2114" t="s">
        <v>2756</v>
      </c>
      <c r="C2114" t="s">
        <v>892</v>
      </c>
      <c r="D2114" t="s">
        <v>14</v>
      </c>
      <c r="E2114">
        <v>40</v>
      </c>
      <c r="F2114" s="2" t="s">
        <v>13476</v>
      </c>
      <c r="G2114" s="2" t="s">
        <v>13477</v>
      </c>
      <c r="H2114" s="2" t="s">
        <v>13478</v>
      </c>
      <c r="I2114" s="2" t="s">
        <v>13479</v>
      </c>
      <c r="J2114" t="s">
        <v>13480</v>
      </c>
      <c r="K2114" t="s">
        <v>13481</v>
      </c>
      <c r="L2114" s="1">
        <v>2</v>
      </c>
      <c r="M2114" s="1"/>
      <c r="N2114" s="1"/>
      <c r="O2114" s="3"/>
    </row>
    <row r="2115" spans="1:15" ht="409.6">
      <c r="A2115" t="s">
        <v>13342</v>
      </c>
      <c r="B2115" t="s">
        <v>13482</v>
      </c>
      <c r="C2115" t="s">
        <v>892</v>
      </c>
      <c r="D2115" t="s">
        <v>14</v>
      </c>
      <c r="E2115">
        <v>45</v>
      </c>
      <c r="F2115" s="2" t="s">
        <v>13483</v>
      </c>
      <c r="G2115" s="2" t="s">
        <v>13484</v>
      </c>
      <c r="H2115" s="2" t="s">
        <v>13485</v>
      </c>
      <c r="I2115" s="2" t="s">
        <v>13486</v>
      </c>
      <c r="J2115" t="s">
        <v>13348</v>
      </c>
      <c r="K2115" t="s">
        <v>13487</v>
      </c>
      <c r="L2115" s="1">
        <v>2</v>
      </c>
      <c r="M2115" s="1"/>
      <c r="N2115" s="1"/>
      <c r="O2115" s="3"/>
    </row>
    <row r="2116" spans="1:15" ht="409.6">
      <c r="A2116" t="s">
        <v>13488</v>
      </c>
      <c r="B2116" t="s">
        <v>13489</v>
      </c>
      <c r="C2116" t="s">
        <v>13118</v>
      </c>
      <c r="D2116" t="s">
        <v>14</v>
      </c>
      <c r="E2116">
        <v>30</v>
      </c>
      <c r="F2116" s="2" t="s">
        <v>13490</v>
      </c>
      <c r="G2116" s="2" t="s">
        <v>13491</v>
      </c>
      <c r="H2116" s="2" t="s">
        <v>13492</v>
      </c>
      <c r="I2116" s="2" t="s">
        <v>13493</v>
      </c>
      <c r="J2116" t="s">
        <v>13494</v>
      </c>
      <c r="K2116" t="s">
        <v>13495</v>
      </c>
      <c r="L2116" s="1">
        <v>2</v>
      </c>
      <c r="M2116" s="1"/>
      <c r="N2116" s="1"/>
      <c r="O2116" s="3"/>
    </row>
    <row r="2117" spans="1:15" ht="409.6">
      <c r="A2117" t="s">
        <v>13496</v>
      </c>
      <c r="B2117" t="s">
        <v>13497</v>
      </c>
      <c r="C2117" t="s">
        <v>13118</v>
      </c>
      <c r="D2117" t="s">
        <v>14</v>
      </c>
      <c r="E2117">
        <v>40</v>
      </c>
      <c r="F2117" s="2" t="s">
        <v>13498</v>
      </c>
      <c r="G2117" s="2" t="s">
        <v>13499</v>
      </c>
      <c r="H2117" s="2" t="s">
        <v>13500</v>
      </c>
      <c r="I2117" s="2" t="s">
        <v>13501</v>
      </c>
      <c r="J2117" t="s">
        <v>13502</v>
      </c>
      <c r="K2117" t="s">
        <v>13503</v>
      </c>
      <c r="L2117" s="1">
        <v>2</v>
      </c>
      <c r="M2117" s="1"/>
      <c r="N2117" s="1"/>
      <c r="O2117" s="3"/>
    </row>
    <row r="2118" spans="1:15" ht="409.6">
      <c r="A2118" t="s">
        <v>815</v>
      </c>
      <c r="B2118" t="s">
        <v>13504</v>
      </c>
      <c r="C2118" t="s">
        <v>13118</v>
      </c>
      <c r="D2118" t="s">
        <v>14</v>
      </c>
      <c r="E2118">
        <v>25</v>
      </c>
      <c r="F2118" s="2" t="s">
        <v>13505</v>
      </c>
      <c r="G2118" s="2" t="s">
        <v>13506</v>
      </c>
      <c r="H2118" s="2" t="s">
        <v>13507</v>
      </c>
      <c r="I2118" s="2" t="s">
        <v>13508</v>
      </c>
      <c r="J2118" t="s">
        <v>13509</v>
      </c>
      <c r="K2118" t="s">
        <v>13510</v>
      </c>
      <c r="L2118" s="1">
        <v>2</v>
      </c>
      <c r="M2118" s="1"/>
      <c r="N2118" s="1"/>
      <c r="O2118" s="3"/>
    </row>
    <row r="2119" spans="1:15" ht="409.6">
      <c r="A2119" t="s">
        <v>13511</v>
      </c>
      <c r="B2119" t="s">
        <v>13512</v>
      </c>
      <c r="C2119" t="s">
        <v>13118</v>
      </c>
      <c r="D2119" t="s">
        <v>14</v>
      </c>
      <c r="E2119">
        <v>20</v>
      </c>
      <c r="F2119" s="2" t="s">
        <v>13513</v>
      </c>
      <c r="G2119" s="2" t="s">
        <v>13514</v>
      </c>
      <c r="H2119" s="2" t="s">
        <v>13515</v>
      </c>
      <c r="I2119" s="2" t="s">
        <v>13516</v>
      </c>
      <c r="J2119" t="s">
        <v>13517</v>
      </c>
      <c r="K2119" t="s">
        <v>13518</v>
      </c>
      <c r="L2119" s="1">
        <v>2</v>
      </c>
      <c r="M2119" s="1"/>
      <c r="N2119" s="1"/>
      <c r="O2119" s="3"/>
    </row>
    <row r="2120" spans="1:15" ht="409.6">
      <c r="A2120" t="s">
        <v>13519</v>
      </c>
      <c r="B2120" t="s">
        <v>13520</v>
      </c>
      <c r="C2120" t="s">
        <v>13118</v>
      </c>
      <c r="D2120" t="s">
        <v>14</v>
      </c>
      <c r="E2120">
        <v>35</v>
      </c>
      <c r="F2120" s="2" t="s">
        <v>13521</v>
      </c>
      <c r="G2120" s="2" t="s">
        <v>13522</v>
      </c>
      <c r="H2120" s="2" t="s">
        <v>13523</v>
      </c>
      <c r="I2120" s="2" t="s">
        <v>13524</v>
      </c>
      <c r="J2120" t="s">
        <v>13525</v>
      </c>
      <c r="K2120" t="s">
        <v>13526</v>
      </c>
      <c r="L2120" s="1">
        <v>2</v>
      </c>
      <c r="M2120" s="1"/>
      <c r="N2120" s="1"/>
      <c r="O2120" s="3"/>
    </row>
    <row r="2121" spans="1:15" ht="409.6">
      <c r="A2121" t="s">
        <v>13527</v>
      </c>
      <c r="B2121" t="s">
        <v>13528</v>
      </c>
      <c r="C2121" t="s">
        <v>13118</v>
      </c>
      <c r="D2121" t="s">
        <v>14</v>
      </c>
      <c r="E2121">
        <v>20</v>
      </c>
      <c r="F2121" s="2" t="s">
        <v>13529</v>
      </c>
      <c r="G2121" s="2" t="s">
        <v>13530</v>
      </c>
      <c r="H2121" s="2" t="s">
        <v>13531</v>
      </c>
      <c r="I2121" s="2" t="s">
        <v>13532</v>
      </c>
      <c r="J2121" t="s">
        <v>13533</v>
      </c>
      <c r="K2121" t="s">
        <v>13534</v>
      </c>
      <c r="L2121" s="1">
        <v>2</v>
      </c>
      <c r="M2121" s="1"/>
      <c r="N2121" s="1"/>
      <c r="O2121" s="3"/>
    </row>
    <row r="2122" spans="1:15" ht="409.6">
      <c r="A2122" t="s">
        <v>12361</v>
      </c>
      <c r="B2122" t="s">
        <v>12362</v>
      </c>
      <c r="C2122" t="s">
        <v>996</v>
      </c>
      <c r="D2122" t="s">
        <v>14</v>
      </c>
      <c r="E2122">
        <v>35</v>
      </c>
      <c r="F2122" s="2" t="s">
        <v>13535</v>
      </c>
      <c r="G2122" s="2" t="s">
        <v>13536</v>
      </c>
      <c r="H2122" s="2" t="s">
        <v>13537</v>
      </c>
      <c r="I2122" s="2" t="s">
        <v>13538</v>
      </c>
      <c r="J2122" t="s">
        <v>13539</v>
      </c>
      <c r="K2122" t="s">
        <v>13540</v>
      </c>
      <c r="L2122" s="1">
        <v>2</v>
      </c>
      <c r="M2122" s="1"/>
      <c r="N2122" s="1"/>
      <c r="O2122" s="3"/>
    </row>
    <row r="2123" spans="1:15" ht="409.6">
      <c r="A2123" t="s">
        <v>13541</v>
      </c>
      <c r="B2123" s="2" t="s">
        <v>13542</v>
      </c>
      <c r="C2123" t="s">
        <v>13118</v>
      </c>
      <c r="D2123" t="s">
        <v>14</v>
      </c>
      <c r="E2123">
        <v>30</v>
      </c>
      <c r="F2123" s="2" t="s">
        <v>13543</v>
      </c>
      <c r="G2123" s="2" t="s">
        <v>13544</v>
      </c>
      <c r="H2123" s="2" t="s">
        <v>13545</v>
      </c>
      <c r="I2123" s="2" t="s">
        <v>13546</v>
      </c>
      <c r="J2123" t="s">
        <v>13547</v>
      </c>
      <c r="K2123" t="s">
        <v>13548</v>
      </c>
      <c r="L2123" s="1">
        <v>2</v>
      </c>
      <c r="M2123" s="1"/>
      <c r="N2123" s="1"/>
      <c r="O2123" s="3"/>
    </row>
    <row r="2124" spans="1:15" ht="409.6">
      <c r="A2124" t="s">
        <v>813</v>
      </c>
      <c r="B2124" t="s">
        <v>13549</v>
      </c>
      <c r="C2124" t="s">
        <v>13118</v>
      </c>
      <c r="D2124" t="s">
        <v>14</v>
      </c>
      <c r="E2124">
        <v>30</v>
      </c>
      <c r="F2124" s="2" t="s">
        <v>13550</v>
      </c>
      <c r="G2124" s="2" t="s">
        <v>13551</v>
      </c>
      <c r="H2124" s="2" t="s">
        <v>13552</v>
      </c>
      <c r="I2124" s="2" t="s">
        <v>13553</v>
      </c>
      <c r="J2124" t="s">
        <v>13554</v>
      </c>
      <c r="K2124" t="s">
        <v>13555</v>
      </c>
      <c r="L2124" s="1">
        <v>2</v>
      </c>
      <c r="M2124" s="1"/>
      <c r="N2124" s="1"/>
      <c r="O2124" s="3"/>
    </row>
    <row r="2125" spans="1:15" ht="409.6">
      <c r="A2125" t="s">
        <v>1025</v>
      </c>
      <c r="B2125" t="s">
        <v>13413</v>
      </c>
      <c r="C2125" t="s">
        <v>13118</v>
      </c>
      <c r="D2125" t="s">
        <v>14</v>
      </c>
      <c r="E2125">
        <v>45</v>
      </c>
      <c r="F2125" s="2" t="s">
        <v>13414</v>
      </c>
      <c r="G2125" s="2" t="s">
        <v>13415</v>
      </c>
      <c r="H2125" s="2" t="s">
        <v>13416</v>
      </c>
      <c r="I2125" s="2" t="s">
        <v>13556</v>
      </c>
      <c r="J2125" t="s">
        <v>13557</v>
      </c>
      <c r="K2125" t="s">
        <v>13558</v>
      </c>
      <c r="L2125" s="1">
        <v>2</v>
      </c>
      <c r="M2125" s="1"/>
      <c r="N2125" s="1"/>
      <c r="O2125" s="3"/>
    </row>
    <row r="2126" spans="1:15" ht="409.6">
      <c r="A2126" t="s">
        <v>9649</v>
      </c>
      <c r="B2126" t="s">
        <v>9650</v>
      </c>
      <c r="C2126" t="s">
        <v>644</v>
      </c>
      <c r="D2126" t="s">
        <v>23</v>
      </c>
      <c r="E2126">
        <v>20</v>
      </c>
      <c r="F2126" s="2" t="s">
        <v>13559</v>
      </c>
      <c r="G2126" s="2" t="s">
        <v>13560</v>
      </c>
      <c r="H2126" s="2" t="s">
        <v>13561</v>
      </c>
      <c r="I2126" s="2" t="s">
        <v>13562</v>
      </c>
      <c r="J2126" t="s">
        <v>9655</v>
      </c>
      <c r="L2126" s="1">
        <v>2</v>
      </c>
      <c r="M2126" s="1"/>
      <c r="N2126" s="1"/>
      <c r="O2126" s="3"/>
    </row>
    <row r="2127" spans="1:15" ht="409.6">
      <c r="A2127" t="s">
        <v>13563</v>
      </c>
      <c r="B2127" t="s">
        <v>13564</v>
      </c>
      <c r="C2127" t="s">
        <v>13406</v>
      </c>
      <c r="D2127" t="s">
        <v>23</v>
      </c>
      <c r="E2127">
        <v>15</v>
      </c>
      <c r="F2127" s="2" t="s">
        <v>13565</v>
      </c>
      <c r="G2127" s="2" t="s">
        <v>13566</v>
      </c>
      <c r="H2127" s="2" t="s">
        <v>13567</v>
      </c>
      <c r="I2127" s="2" t="s">
        <v>13568</v>
      </c>
      <c r="J2127" t="s">
        <v>13569</v>
      </c>
      <c r="L2127" s="1">
        <v>2</v>
      </c>
      <c r="M2127" s="1"/>
      <c r="N2127" s="1"/>
      <c r="O2127" s="3"/>
    </row>
    <row r="2128" spans="1:15" ht="409.6">
      <c r="A2128" t="s">
        <v>13570</v>
      </c>
      <c r="B2128" t="s">
        <v>4180</v>
      </c>
      <c r="C2128" t="s">
        <v>644</v>
      </c>
      <c r="D2128" t="s">
        <v>23</v>
      </c>
      <c r="E2128">
        <v>15</v>
      </c>
      <c r="F2128" s="2" t="s">
        <v>13571</v>
      </c>
      <c r="G2128" s="2" t="s">
        <v>13572</v>
      </c>
      <c r="H2128" s="2" t="s">
        <v>13573</v>
      </c>
      <c r="I2128" s="2" t="s">
        <v>13574</v>
      </c>
      <c r="J2128" t="s">
        <v>13575</v>
      </c>
      <c r="L2128" s="1">
        <v>2</v>
      </c>
      <c r="M2128" s="1"/>
      <c r="N2128" s="1"/>
      <c r="O2128" s="3"/>
    </row>
    <row r="2129" spans="1:15" ht="409.6">
      <c r="A2129" t="s">
        <v>13576</v>
      </c>
      <c r="B2129" t="s">
        <v>13577</v>
      </c>
      <c r="C2129" t="s">
        <v>644</v>
      </c>
      <c r="D2129" t="s">
        <v>23</v>
      </c>
      <c r="E2129">
        <v>15</v>
      </c>
      <c r="F2129" s="2" t="s">
        <v>13578</v>
      </c>
      <c r="G2129" s="2" t="s">
        <v>13579</v>
      </c>
      <c r="H2129" s="2" t="s">
        <v>13580</v>
      </c>
      <c r="I2129" s="2" t="s">
        <v>13581</v>
      </c>
      <c r="J2129" t="s">
        <v>13582</v>
      </c>
      <c r="L2129" s="1">
        <v>2</v>
      </c>
      <c r="M2129" s="1"/>
      <c r="N2129" s="1"/>
      <c r="O2129" s="3"/>
    </row>
    <row r="2130" spans="1:15" ht="409.6">
      <c r="A2130" t="s">
        <v>13583</v>
      </c>
      <c r="B2130" t="s">
        <v>13584</v>
      </c>
      <c r="C2130" t="s">
        <v>644</v>
      </c>
      <c r="D2130" t="s">
        <v>23</v>
      </c>
      <c r="E2130">
        <v>15</v>
      </c>
      <c r="F2130" s="2" t="s">
        <v>13585</v>
      </c>
      <c r="G2130" s="2" t="s">
        <v>13586</v>
      </c>
      <c r="H2130" s="2" t="s">
        <v>13587</v>
      </c>
      <c r="I2130" s="2" t="s">
        <v>13588</v>
      </c>
      <c r="J2130" t="s">
        <v>13589</v>
      </c>
      <c r="L2130" s="1">
        <v>2</v>
      </c>
      <c r="M2130" s="1"/>
      <c r="N2130" s="1"/>
      <c r="O2130" s="3"/>
    </row>
    <row r="2131" spans="1:15" ht="409.6">
      <c r="A2131" t="s">
        <v>13590</v>
      </c>
      <c r="B2131" t="s">
        <v>13591</v>
      </c>
      <c r="C2131" t="s">
        <v>644</v>
      </c>
      <c r="D2131" t="s">
        <v>23</v>
      </c>
      <c r="E2131">
        <v>10</v>
      </c>
      <c r="F2131" s="2" t="s">
        <v>13592</v>
      </c>
      <c r="G2131" s="2" t="s">
        <v>13593</v>
      </c>
      <c r="H2131" s="2" t="s">
        <v>13594</v>
      </c>
      <c r="I2131" s="2" t="s">
        <v>13595</v>
      </c>
      <c r="J2131" t="s">
        <v>13596</v>
      </c>
      <c r="L2131" s="1">
        <v>2</v>
      </c>
      <c r="M2131" s="1"/>
      <c r="N2131" s="1"/>
      <c r="O2131" s="3"/>
    </row>
    <row r="2132" spans="1:15" ht="409.6">
      <c r="A2132" t="s">
        <v>13597</v>
      </c>
      <c r="B2132" t="s">
        <v>13598</v>
      </c>
      <c r="C2132" t="s">
        <v>644</v>
      </c>
      <c r="D2132" t="s">
        <v>23</v>
      </c>
      <c r="E2132">
        <v>20</v>
      </c>
      <c r="F2132" s="2" t="s">
        <v>13599</v>
      </c>
      <c r="G2132" s="2" t="s">
        <v>13600</v>
      </c>
      <c r="H2132" s="2" t="s">
        <v>13601</v>
      </c>
      <c r="I2132" s="2" t="s">
        <v>13602</v>
      </c>
      <c r="J2132" t="s">
        <v>13603</v>
      </c>
      <c r="L2132" s="1">
        <v>2</v>
      </c>
      <c r="M2132" s="1"/>
      <c r="N2132" s="1"/>
      <c r="O2132" s="3"/>
    </row>
    <row r="2133" spans="1:15" ht="409.6">
      <c r="A2133" t="s">
        <v>13604</v>
      </c>
      <c r="B2133" t="s">
        <v>13605</v>
      </c>
      <c r="C2133" t="s">
        <v>13406</v>
      </c>
      <c r="D2133" t="s">
        <v>23</v>
      </c>
      <c r="E2133">
        <v>15</v>
      </c>
      <c r="F2133" s="2" t="s">
        <v>13606</v>
      </c>
      <c r="G2133" s="2" t="s">
        <v>13607</v>
      </c>
      <c r="H2133" s="2" t="s">
        <v>13608</v>
      </c>
      <c r="I2133" s="2" t="s">
        <v>13609</v>
      </c>
      <c r="J2133" t="s">
        <v>13610</v>
      </c>
      <c r="L2133" s="1">
        <v>2</v>
      </c>
      <c r="M2133" s="1"/>
      <c r="N2133" s="1"/>
      <c r="O2133" s="3"/>
    </row>
    <row r="2134" spans="1:15" ht="409.6">
      <c r="A2134" t="s">
        <v>13611</v>
      </c>
      <c r="B2134" t="s">
        <v>13612</v>
      </c>
      <c r="C2134" t="s">
        <v>644</v>
      </c>
      <c r="D2134" t="s">
        <v>23</v>
      </c>
      <c r="E2134">
        <v>15</v>
      </c>
      <c r="F2134" s="2" t="s">
        <v>13613</v>
      </c>
      <c r="G2134" s="2" t="s">
        <v>13614</v>
      </c>
      <c r="H2134" s="2" t="s">
        <v>13615</v>
      </c>
      <c r="I2134" s="2" t="s">
        <v>13616</v>
      </c>
      <c r="J2134" t="s">
        <v>13617</v>
      </c>
      <c r="L2134" s="1">
        <v>2</v>
      </c>
      <c r="M2134" s="1"/>
      <c r="N2134" s="1"/>
      <c r="O2134" s="3"/>
    </row>
    <row r="2135" spans="1:15" ht="409.6">
      <c r="A2135" t="s">
        <v>13618</v>
      </c>
      <c r="B2135" t="s">
        <v>13619</v>
      </c>
      <c r="C2135" t="s">
        <v>644</v>
      </c>
      <c r="D2135" t="s">
        <v>23</v>
      </c>
      <c r="E2135">
        <v>15</v>
      </c>
      <c r="F2135" s="2" t="s">
        <v>13620</v>
      </c>
      <c r="G2135" s="2" t="s">
        <v>13621</v>
      </c>
      <c r="H2135" s="2" t="s">
        <v>13622</v>
      </c>
      <c r="I2135" s="2" t="s">
        <v>13623</v>
      </c>
      <c r="J2135" t="s">
        <v>13624</v>
      </c>
      <c r="L2135" s="1">
        <v>2</v>
      </c>
      <c r="M2135" s="1"/>
      <c r="N2135" s="1"/>
      <c r="O2135" s="3"/>
    </row>
    <row r="2136" spans="1:15" ht="409.6">
      <c r="A2136" t="s">
        <v>13625</v>
      </c>
      <c r="B2136" t="s">
        <v>13626</v>
      </c>
      <c r="C2136" t="s">
        <v>644</v>
      </c>
      <c r="D2136" t="s">
        <v>23</v>
      </c>
      <c r="E2136">
        <v>15</v>
      </c>
      <c r="F2136" s="2" t="s">
        <v>13627</v>
      </c>
      <c r="G2136" s="2" t="s">
        <v>13628</v>
      </c>
      <c r="H2136" s="2" t="s">
        <v>13629</v>
      </c>
      <c r="I2136" s="2" t="s">
        <v>13630</v>
      </c>
      <c r="J2136" t="s">
        <v>13631</v>
      </c>
      <c r="L2136" s="1">
        <v>2</v>
      </c>
      <c r="M2136" s="1"/>
      <c r="N2136" s="1"/>
      <c r="O2136" s="3"/>
    </row>
    <row r="2137" spans="1:15" ht="409.6">
      <c r="A2137" t="s">
        <v>13632</v>
      </c>
      <c r="B2137" t="s">
        <v>13633</v>
      </c>
      <c r="C2137" t="s">
        <v>13406</v>
      </c>
      <c r="D2137" t="s">
        <v>23</v>
      </c>
      <c r="E2137">
        <v>10</v>
      </c>
      <c r="F2137" s="2" t="s">
        <v>13634</v>
      </c>
      <c r="G2137" s="2" t="s">
        <v>13635</v>
      </c>
      <c r="H2137" s="2" t="s">
        <v>13636</v>
      </c>
      <c r="I2137" s="2" t="s">
        <v>13637</v>
      </c>
      <c r="J2137" t="s">
        <v>13638</v>
      </c>
      <c r="K2137" t="s">
        <v>13639</v>
      </c>
      <c r="L2137" s="1">
        <v>2</v>
      </c>
      <c r="M2137" s="1"/>
      <c r="N2137" s="1"/>
      <c r="O2137" s="3"/>
    </row>
    <row r="2138" spans="1:15" ht="409.6">
      <c r="A2138" t="s">
        <v>13640</v>
      </c>
      <c r="B2138" t="s">
        <v>13641</v>
      </c>
      <c r="C2138" t="s">
        <v>644</v>
      </c>
      <c r="D2138" t="s">
        <v>23</v>
      </c>
      <c r="E2138">
        <v>15</v>
      </c>
      <c r="F2138" s="2" t="s">
        <v>13642</v>
      </c>
      <c r="G2138" s="2" t="s">
        <v>13643</v>
      </c>
      <c r="H2138" s="2" t="s">
        <v>13644</v>
      </c>
      <c r="I2138" s="2" t="s">
        <v>13645</v>
      </c>
      <c r="J2138" t="s">
        <v>13646</v>
      </c>
      <c r="L2138" s="1">
        <v>2</v>
      </c>
      <c r="M2138" s="1"/>
      <c r="N2138" s="1"/>
      <c r="O2138" s="3"/>
    </row>
    <row r="2139" spans="1:15" ht="409.6">
      <c r="A2139" t="s">
        <v>13647</v>
      </c>
      <c r="B2139" t="s">
        <v>13648</v>
      </c>
      <c r="C2139" t="s">
        <v>644</v>
      </c>
      <c r="D2139" t="s">
        <v>23</v>
      </c>
      <c r="E2139">
        <v>15</v>
      </c>
      <c r="F2139" s="2" t="s">
        <v>13649</v>
      </c>
      <c r="G2139" s="2" t="s">
        <v>13650</v>
      </c>
      <c r="H2139" s="2" t="s">
        <v>13651</v>
      </c>
      <c r="I2139" s="2" t="s">
        <v>13652</v>
      </c>
      <c r="J2139" t="s">
        <v>13653</v>
      </c>
      <c r="L2139" s="1">
        <v>2</v>
      </c>
      <c r="M2139" s="1"/>
      <c r="N2139" s="1"/>
      <c r="O2139" s="3"/>
    </row>
    <row r="2140" spans="1:15" ht="409.6">
      <c r="A2140" t="s">
        <v>4432</v>
      </c>
      <c r="B2140" t="s">
        <v>4433</v>
      </c>
      <c r="C2140" t="s">
        <v>644</v>
      </c>
      <c r="D2140" t="s">
        <v>23</v>
      </c>
      <c r="E2140">
        <v>5</v>
      </c>
      <c r="F2140" s="2" t="s">
        <v>13654</v>
      </c>
      <c r="G2140" s="2" t="s">
        <v>13655</v>
      </c>
      <c r="H2140" s="2" t="s">
        <v>13656</v>
      </c>
      <c r="I2140" s="2" t="s">
        <v>13657</v>
      </c>
      <c r="J2140" t="s">
        <v>13658</v>
      </c>
      <c r="L2140" s="1">
        <v>2</v>
      </c>
      <c r="M2140" s="1"/>
      <c r="N2140" s="1"/>
      <c r="O2140" s="3"/>
    </row>
    <row r="2141" spans="1:15" ht="409.6">
      <c r="A2141" t="s">
        <v>13659</v>
      </c>
      <c r="B2141" t="s">
        <v>13660</v>
      </c>
      <c r="C2141" t="s">
        <v>13406</v>
      </c>
      <c r="D2141" t="s">
        <v>23</v>
      </c>
      <c r="E2141">
        <v>15</v>
      </c>
      <c r="F2141" s="2" t="s">
        <v>13661</v>
      </c>
      <c r="G2141" s="2" t="s">
        <v>13662</v>
      </c>
      <c r="H2141" s="2" t="s">
        <v>13663</v>
      </c>
      <c r="I2141" s="2" t="s">
        <v>13664</v>
      </c>
      <c r="J2141" t="s">
        <v>13665</v>
      </c>
      <c r="K2141" t="s">
        <v>13666</v>
      </c>
      <c r="L2141" s="1">
        <v>2</v>
      </c>
      <c r="M2141" s="1"/>
      <c r="N2141" s="1"/>
      <c r="O2141" s="3"/>
    </row>
    <row r="2142" spans="1:15" ht="409.6">
      <c r="A2142" t="s">
        <v>13667</v>
      </c>
      <c r="B2142" t="s">
        <v>13668</v>
      </c>
      <c r="C2142" t="s">
        <v>644</v>
      </c>
      <c r="D2142" t="s">
        <v>23</v>
      </c>
      <c r="E2142">
        <v>20</v>
      </c>
      <c r="F2142" s="2" t="s">
        <v>13669</v>
      </c>
      <c r="G2142" s="2" t="s">
        <v>13670</v>
      </c>
      <c r="H2142" s="2" t="s">
        <v>13671</v>
      </c>
      <c r="I2142" s="2" t="s">
        <v>13672</v>
      </c>
      <c r="J2142" t="s">
        <v>13673</v>
      </c>
      <c r="L2142" s="1">
        <v>2</v>
      </c>
      <c r="M2142" s="1"/>
      <c r="N2142" s="1"/>
      <c r="O2142" s="3"/>
    </row>
    <row r="2143" spans="1:15" ht="409.6">
      <c r="A2143" t="s">
        <v>4639</v>
      </c>
      <c r="B2143" t="s">
        <v>4640</v>
      </c>
      <c r="C2143" t="s">
        <v>644</v>
      </c>
      <c r="D2143" t="s">
        <v>23</v>
      </c>
      <c r="E2143">
        <v>15</v>
      </c>
      <c r="F2143" s="2" t="s">
        <v>13674</v>
      </c>
      <c r="G2143" s="2" t="s">
        <v>13675</v>
      </c>
      <c r="H2143" s="2" t="s">
        <v>13676</v>
      </c>
      <c r="I2143" s="2" t="s">
        <v>13677</v>
      </c>
      <c r="J2143" t="s">
        <v>13678</v>
      </c>
      <c r="L2143" s="1">
        <v>2</v>
      </c>
      <c r="M2143" s="1"/>
      <c r="N2143" s="1"/>
      <c r="O2143" s="3"/>
    </row>
    <row r="2144" spans="1:15" ht="409.6">
      <c r="A2144" t="s">
        <v>13679</v>
      </c>
      <c r="B2144" t="s">
        <v>13680</v>
      </c>
      <c r="C2144" t="s">
        <v>612</v>
      </c>
      <c r="D2144" t="s">
        <v>23</v>
      </c>
      <c r="E2144">
        <v>20</v>
      </c>
      <c r="F2144" s="2" t="s">
        <v>13681</v>
      </c>
      <c r="G2144" s="2" t="s">
        <v>13682</v>
      </c>
      <c r="H2144" s="2" t="s">
        <v>13683</v>
      </c>
      <c r="I2144" s="2" t="s">
        <v>13684</v>
      </c>
      <c r="J2144" t="s">
        <v>13685</v>
      </c>
      <c r="L2144" s="1">
        <v>2</v>
      </c>
      <c r="M2144" s="1"/>
      <c r="N2144" s="1"/>
      <c r="O2144" s="3"/>
    </row>
    <row r="2145" spans="1:15" ht="409.6">
      <c r="A2145" t="s">
        <v>13686</v>
      </c>
      <c r="B2145" t="s">
        <v>13687</v>
      </c>
      <c r="C2145" t="s">
        <v>644</v>
      </c>
      <c r="D2145" t="s">
        <v>23</v>
      </c>
      <c r="E2145">
        <v>15</v>
      </c>
      <c r="F2145" s="2" t="s">
        <v>13688</v>
      </c>
      <c r="G2145" s="2" t="s">
        <v>13689</v>
      </c>
      <c r="H2145" s="2" t="s">
        <v>13690</v>
      </c>
      <c r="I2145" s="2" t="s">
        <v>13691</v>
      </c>
      <c r="J2145" t="s">
        <v>13692</v>
      </c>
      <c r="L2145" s="1">
        <v>2</v>
      </c>
      <c r="M2145" s="1"/>
      <c r="N2145" s="1"/>
      <c r="O2145" s="3"/>
    </row>
    <row r="2146" spans="1:15" ht="409.6">
      <c r="A2146" t="s">
        <v>13693</v>
      </c>
      <c r="B2146" t="s">
        <v>13694</v>
      </c>
      <c r="C2146" t="s">
        <v>996</v>
      </c>
      <c r="D2146" t="s">
        <v>23</v>
      </c>
      <c r="E2146">
        <v>25</v>
      </c>
      <c r="F2146" s="2" t="s">
        <v>13695</v>
      </c>
      <c r="G2146" s="2" t="s">
        <v>13696</v>
      </c>
      <c r="H2146" s="2" t="s">
        <v>13697</v>
      </c>
      <c r="I2146" s="2" t="s">
        <v>13698</v>
      </c>
      <c r="J2146" t="s">
        <v>13699</v>
      </c>
      <c r="L2146" s="1">
        <v>2</v>
      </c>
      <c r="M2146" s="1"/>
      <c r="N2146" s="1"/>
      <c r="O2146" s="3"/>
    </row>
    <row r="2147" spans="1:15" ht="409.6">
      <c r="A2147" t="s">
        <v>13700</v>
      </c>
      <c r="B2147" t="s">
        <v>13701</v>
      </c>
      <c r="C2147" t="s">
        <v>644</v>
      </c>
      <c r="D2147" t="s">
        <v>23</v>
      </c>
      <c r="E2147">
        <v>10</v>
      </c>
      <c r="F2147" s="2" t="s">
        <v>13702</v>
      </c>
      <c r="G2147" s="2" t="s">
        <v>13703</v>
      </c>
      <c r="H2147" s="2" t="s">
        <v>13704</v>
      </c>
      <c r="I2147" s="2" t="s">
        <v>13705</v>
      </c>
      <c r="J2147" t="s">
        <v>13706</v>
      </c>
      <c r="L2147" s="1">
        <v>2</v>
      </c>
      <c r="M2147" s="1"/>
      <c r="N2147" s="1"/>
      <c r="O2147" s="3"/>
    </row>
    <row r="2148" spans="1:15" ht="409.6">
      <c r="A2148" t="s">
        <v>13707</v>
      </c>
      <c r="B2148" t="s">
        <v>13708</v>
      </c>
      <c r="C2148" t="s">
        <v>644</v>
      </c>
      <c r="D2148" t="s">
        <v>23</v>
      </c>
      <c r="E2148">
        <v>20</v>
      </c>
      <c r="F2148" s="2" t="s">
        <v>13709</v>
      </c>
      <c r="G2148" s="2" t="s">
        <v>13710</v>
      </c>
      <c r="H2148" s="2" t="s">
        <v>13711</v>
      </c>
      <c r="I2148" s="2" t="s">
        <v>13712</v>
      </c>
      <c r="J2148" t="s">
        <v>13713</v>
      </c>
      <c r="L2148" s="1">
        <v>2</v>
      </c>
      <c r="M2148" s="1"/>
      <c r="N2148" s="1"/>
      <c r="O2148" s="3"/>
    </row>
    <row r="2149" spans="1:15" ht="409.6">
      <c r="A2149" t="s">
        <v>13714</v>
      </c>
      <c r="B2149" t="s">
        <v>13715</v>
      </c>
      <c r="C2149" t="s">
        <v>644</v>
      </c>
      <c r="D2149" t="s">
        <v>23</v>
      </c>
      <c r="E2149">
        <v>10</v>
      </c>
      <c r="F2149" s="2" t="s">
        <v>13716</v>
      </c>
      <c r="G2149" s="2" t="s">
        <v>13717</v>
      </c>
      <c r="H2149" s="2" t="s">
        <v>13718</v>
      </c>
      <c r="I2149" s="2" t="s">
        <v>13719</v>
      </c>
      <c r="J2149" t="s">
        <v>13720</v>
      </c>
      <c r="L2149" s="1">
        <v>2</v>
      </c>
      <c r="M2149" s="1"/>
      <c r="N2149" s="1"/>
      <c r="O2149" s="3"/>
    </row>
    <row r="2150" spans="1:15" ht="409.6">
      <c r="A2150" t="s">
        <v>13721</v>
      </c>
      <c r="B2150" t="s">
        <v>13722</v>
      </c>
      <c r="C2150" t="s">
        <v>644</v>
      </c>
      <c r="D2150" t="s">
        <v>23</v>
      </c>
      <c r="E2150">
        <v>15</v>
      </c>
      <c r="F2150" s="2" t="s">
        <v>13723</v>
      </c>
      <c r="G2150" s="2" t="s">
        <v>13724</v>
      </c>
      <c r="H2150" s="2" t="s">
        <v>13725</v>
      </c>
      <c r="I2150" s="2" t="s">
        <v>13726</v>
      </c>
      <c r="J2150" t="s">
        <v>13727</v>
      </c>
      <c r="L2150" s="1">
        <v>2</v>
      </c>
      <c r="M2150" s="1"/>
      <c r="N2150" s="1"/>
      <c r="O2150" s="3"/>
    </row>
    <row r="2151" spans="1:15" ht="409.6">
      <c r="A2151" t="s">
        <v>13728</v>
      </c>
      <c r="B2151" t="s">
        <v>13729</v>
      </c>
      <c r="C2151" t="s">
        <v>644</v>
      </c>
      <c r="D2151" t="s">
        <v>23</v>
      </c>
      <c r="E2151">
        <v>10</v>
      </c>
      <c r="F2151" s="2" t="s">
        <v>13730</v>
      </c>
      <c r="G2151" s="2" t="s">
        <v>13731</v>
      </c>
      <c r="H2151" s="2" t="s">
        <v>13732</v>
      </c>
      <c r="I2151" s="2" t="s">
        <v>13733</v>
      </c>
      <c r="J2151" t="s">
        <v>13734</v>
      </c>
      <c r="L2151" s="1">
        <v>2</v>
      </c>
      <c r="M2151" s="1"/>
      <c r="N2151" s="1"/>
      <c r="O2151" s="3"/>
    </row>
    <row r="2152" spans="1:15" ht="409.6">
      <c r="A2152" t="s">
        <v>13735</v>
      </c>
      <c r="B2152" t="s">
        <v>13736</v>
      </c>
      <c r="C2152" t="s">
        <v>644</v>
      </c>
      <c r="D2152" t="s">
        <v>23</v>
      </c>
      <c r="E2152">
        <v>20</v>
      </c>
      <c r="F2152" s="2" t="s">
        <v>13737</v>
      </c>
      <c r="G2152" s="2" t="s">
        <v>13738</v>
      </c>
      <c r="H2152" s="2" t="s">
        <v>13739</v>
      </c>
      <c r="I2152" s="2" t="s">
        <v>13740</v>
      </c>
      <c r="J2152" t="s">
        <v>13741</v>
      </c>
      <c r="L2152" s="1">
        <v>2</v>
      </c>
      <c r="M2152" s="1"/>
      <c r="N2152" s="1"/>
      <c r="O2152" s="3"/>
    </row>
    <row r="2153" spans="1:15" ht="409.6">
      <c r="A2153" t="s">
        <v>13742</v>
      </c>
      <c r="B2153" t="s">
        <v>13743</v>
      </c>
      <c r="C2153" t="s">
        <v>644</v>
      </c>
      <c r="D2153" t="s">
        <v>23</v>
      </c>
      <c r="E2153">
        <v>20</v>
      </c>
      <c r="F2153" s="2" t="s">
        <v>13744</v>
      </c>
      <c r="G2153" s="2" t="s">
        <v>13745</v>
      </c>
      <c r="H2153" s="2" t="s">
        <v>13746</v>
      </c>
      <c r="I2153" s="2" t="s">
        <v>13747</v>
      </c>
      <c r="J2153" t="s">
        <v>13748</v>
      </c>
      <c r="L2153" s="1">
        <v>2</v>
      </c>
      <c r="M2153" s="1"/>
      <c r="N2153" s="1"/>
      <c r="O2153" s="3"/>
    </row>
    <row r="2154" spans="1:15" ht="409.6">
      <c r="A2154" t="s">
        <v>13749</v>
      </c>
      <c r="B2154" t="s">
        <v>13750</v>
      </c>
      <c r="C2154" t="s">
        <v>644</v>
      </c>
      <c r="D2154" t="s">
        <v>23</v>
      </c>
      <c r="E2154">
        <v>20</v>
      </c>
      <c r="F2154" s="2" t="s">
        <v>13751</v>
      </c>
      <c r="G2154" s="2" t="s">
        <v>13752</v>
      </c>
      <c r="H2154" s="2" t="s">
        <v>13753</v>
      </c>
      <c r="I2154" s="2" t="s">
        <v>13754</v>
      </c>
      <c r="J2154" t="s">
        <v>13755</v>
      </c>
      <c r="L2154" s="1">
        <v>2</v>
      </c>
      <c r="M2154" s="1"/>
      <c r="N2154" s="1"/>
      <c r="O2154" s="3"/>
    </row>
    <row r="2155" spans="1:15" ht="409.6">
      <c r="A2155" t="s">
        <v>13756</v>
      </c>
      <c r="B2155" t="s">
        <v>13757</v>
      </c>
      <c r="C2155" t="s">
        <v>644</v>
      </c>
      <c r="D2155" t="s">
        <v>23</v>
      </c>
      <c r="E2155">
        <v>30</v>
      </c>
      <c r="F2155" s="2" t="s">
        <v>13758</v>
      </c>
      <c r="G2155" s="2" t="s">
        <v>13759</v>
      </c>
      <c r="H2155" s="2" t="s">
        <v>13760</v>
      </c>
      <c r="I2155" s="2" t="s">
        <v>13761</v>
      </c>
      <c r="J2155" t="s">
        <v>13762</v>
      </c>
      <c r="L2155" s="1">
        <v>2</v>
      </c>
      <c r="M2155" s="1"/>
      <c r="N2155" s="1"/>
      <c r="O2155" s="3"/>
    </row>
    <row r="2156" spans="1:15" ht="409.6">
      <c r="A2156" t="s">
        <v>13763</v>
      </c>
      <c r="B2156" t="s">
        <v>13764</v>
      </c>
      <c r="C2156" t="s">
        <v>644</v>
      </c>
      <c r="D2156" t="s">
        <v>23</v>
      </c>
      <c r="E2156">
        <v>20</v>
      </c>
      <c r="F2156" s="2" t="s">
        <v>13765</v>
      </c>
      <c r="G2156" s="2" t="s">
        <v>13766</v>
      </c>
      <c r="H2156" s="2" t="s">
        <v>13767</v>
      </c>
      <c r="I2156" s="2" t="s">
        <v>13768</v>
      </c>
      <c r="J2156" t="s">
        <v>13769</v>
      </c>
      <c r="L2156" s="1">
        <v>2</v>
      </c>
      <c r="M2156" s="1"/>
      <c r="N2156" s="1"/>
      <c r="O2156" s="3"/>
    </row>
    <row r="2157" spans="1:15" ht="409.6">
      <c r="A2157" t="s">
        <v>13770</v>
      </c>
      <c r="B2157" t="s">
        <v>13771</v>
      </c>
      <c r="C2157" t="s">
        <v>644</v>
      </c>
      <c r="D2157" t="s">
        <v>23</v>
      </c>
      <c r="E2157">
        <v>15</v>
      </c>
      <c r="F2157" s="2" t="s">
        <v>13772</v>
      </c>
      <c r="G2157" s="2" t="s">
        <v>13773</v>
      </c>
      <c r="H2157" s="2" t="s">
        <v>5226</v>
      </c>
      <c r="I2157" s="2" t="s">
        <v>13774</v>
      </c>
      <c r="J2157" t="s">
        <v>13775</v>
      </c>
      <c r="L2157" s="1">
        <v>2</v>
      </c>
      <c r="M2157" s="1"/>
      <c r="N2157" s="1"/>
      <c r="O2157" s="3"/>
    </row>
    <row r="2158" spans="1:15" ht="409.6">
      <c r="A2158" t="s">
        <v>13776</v>
      </c>
      <c r="B2158" t="s">
        <v>13777</v>
      </c>
      <c r="C2158" t="s">
        <v>644</v>
      </c>
      <c r="D2158" t="s">
        <v>23</v>
      </c>
      <c r="E2158">
        <v>15</v>
      </c>
      <c r="F2158" s="2" t="s">
        <v>13778</v>
      </c>
      <c r="G2158" s="2" t="s">
        <v>13779</v>
      </c>
      <c r="H2158" s="2" t="s">
        <v>13780</v>
      </c>
      <c r="I2158" s="2" t="s">
        <v>13781</v>
      </c>
      <c r="J2158" t="s">
        <v>13782</v>
      </c>
      <c r="L2158" s="1">
        <v>2</v>
      </c>
      <c r="M2158" s="1"/>
      <c r="N2158" s="1"/>
      <c r="O2158" s="3"/>
    </row>
    <row r="2159" spans="1:15" ht="409.6">
      <c r="A2159" t="s">
        <v>13783</v>
      </c>
      <c r="B2159" t="s">
        <v>13784</v>
      </c>
      <c r="C2159" t="s">
        <v>644</v>
      </c>
      <c r="D2159" t="s">
        <v>23</v>
      </c>
      <c r="E2159">
        <v>15</v>
      </c>
      <c r="F2159" s="2" t="s">
        <v>13785</v>
      </c>
      <c r="G2159" s="2" t="s">
        <v>13786</v>
      </c>
      <c r="H2159" s="2" t="s">
        <v>13787</v>
      </c>
      <c r="I2159" s="2" t="s">
        <v>13788</v>
      </c>
      <c r="J2159" t="s">
        <v>13789</v>
      </c>
      <c r="L2159" s="1">
        <v>2</v>
      </c>
      <c r="M2159" s="1"/>
      <c r="N2159" s="1"/>
      <c r="O2159" s="3"/>
    </row>
    <row r="2160" spans="1:15" ht="409.6">
      <c r="A2160" t="s">
        <v>13790</v>
      </c>
      <c r="B2160" t="s">
        <v>13791</v>
      </c>
      <c r="C2160" t="s">
        <v>644</v>
      </c>
      <c r="D2160" t="s">
        <v>23</v>
      </c>
      <c r="E2160">
        <v>15</v>
      </c>
      <c r="F2160" s="2" t="s">
        <v>13792</v>
      </c>
      <c r="G2160" s="2" t="s">
        <v>13793</v>
      </c>
      <c r="H2160" s="2" t="s">
        <v>13794</v>
      </c>
      <c r="I2160" s="2" t="s">
        <v>13795</v>
      </c>
      <c r="J2160" t="s">
        <v>13796</v>
      </c>
      <c r="L2160" s="1">
        <v>2</v>
      </c>
      <c r="M2160" s="1"/>
      <c r="N2160" s="1"/>
      <c r="O2160" s="3"/>
    </row>
    <row r="2161" spans="1:15" ht="409.6">
      <c r="A2161" t="s">
        <v>13797</v>
      </c>
      <c r="B2161" t="s">
        <v>13798</v>
      </c>
      <c r="C2161" t="s">
        <v>644</v>
      </c>
      <c r="D2161" t="s">
        <v>23</v>
      </c>
      <c r="E2161">
        <v>10</v>
      </c>
      <c r="F2161" s="2" t="s">
        <v>13799</v>
      </c>
      <c r="G2161" s="2" t="s">
        <v>13800</v>
      </c>
      <c r="H2161" s="2" t="s">
        <v>5314</v>
      </c>
      <c r="I2161" s="2" t="s">
        <v>13801</v>
      </c>
      <c r="J2161" t="s">
        <v>13802</v>
      </c>
      <c r="L2161" s="1">
        <v>2</v>
      </c>
      <c r="M2161" s="1"/>
      <c r="N2161" s="1"/>
      <c r="O2161" s="3"/>
    </row>
    <row r="2162" spans="1:15" ht="409.6">
      <c r="A2162" t="s">
        <v>13803</v>
      </c>
      <c r="B2162" t="s">
        <v>13804</v>
      </c>
      <c r="C2162" t="s">
        <v>644</v>
      </c>
      <c r="D2162" t="s">
        <v>23</v>
      </c>
      <c r="E2162">
        <v>20</v>
      </c>
      <c r="F2162" s="2" t="s">
        <v>13805</v>
      </c>
      <c r="G2162" s="2" t="s">
        <v>13806</v>
      </c>
      <c r="H2162" s="2" t="s">
        <v>13807</v>
      </c>
      <c r="I2162" s="2" t="s">
        <v>13808</v>
      </c>
      <c r="J2162" t="s">
        <v>13809</v>
      </c>
      <c r="L2162" s="1">
        <v>2</v>
      </c>
      <c r="M2162" s="1"/>
      <c r="N2162" s="1"/>
      <c r="O2162" s="3"/>
    </row>
    <row r="2163" spans="1:15" ht="409.6">
      <c r="A2163" t="s">
        <v>13810</v>
      </c>
      <c r="B2163" t="s">
        <v>13811</v>
      </c>
      <c r="C2163" t="s">
        <v>644</v>
      </c>
      <c r="D2163" t="s">
        <v>23</v>
      </c>
      <c r="E2163">
        <v>15</v>
      </c>
      <c r="F2163" s="2" t="s">
        <v>13812</v>
      </c>
      <c r="G2163" s="2" t="s">
        <v>13813</v>
      </c>
      <c r="H2163" s="2" t="s">
        <v>13814</v>
      </c>
      <c r="I2163" s="2" t="s">
        <v>13815</v>
      </c>
      <c r="J2163" t="s">
        <v>13816</v>
      </c>
      <c r="L2163" s="1">
        <v>2</v>
      </c>
      <c r="M2163" s="1"/>
      <c r="N2163" s="1"/>
      <c r="O2163" s="3"/>
    </row>
    <row r="2164" spans="1:15" ht="409.6">
      <c r="A2164" t="s">
        <v>13817</v>
      </c>
      <c r="B2164" t="s">
        <v>13818</v>
      </c>
      <c r="C2164" t="s">
        <v>13406</v>
      </c>
      <c r="D2164" t="s">
        <v>23</v>
      </c>
      <c r="E2164">
        <v>20</v>
      </c>
      <c r="F2164" s="2" t="s">
        <v>13819</v>
      </c>
      <c r="G2164" s="2" t="s">
        <v>13820</v>
      </c>
      <c r="H2164" s="2" t="s">
        <v>13821</v>
      </c>
      <c r="I2164" s="2" t="s">
        <v>13822</v>
      </c>
      <c r="J2164" t="s">
        <v>13823</v>
      </c>
      <c r="K2164" t="s">
        <v>13824</v>
      </c>
      <c r="L2164" s="1">
        <v>2</v>
      </c>
      <c r="M2164" s="1"/>
      <c r="N2164" s="1"/>
      <c r="O2164" s="3"/>
    </row>
    <row r="2165" spans="1:15" ht="409.6">
      <c r="A2165" t="s">
        <v>13825</v>
      </c>
      <c r="B2165" t="s">
        <v>13826</v>
      </c>
      <c r="C2165" t="s">
        <v>13827</v>
      </c>
      <c r="D2165" t="s">
        <v>23</v>
      </c>
      <c r="E2165">
        <v>20</v>
      </c>
      <c r="F2165" s="2" t="s">
        <v>13828</v>
      </c>
      <c r="G2165" s="2" t="s">
        <v>13829</v>
      </c>
      <c r="H2165" s="2" t="s">
        <v>9686</v>
      </c>
      <c r="I2165" s="2" t="s">
        <v>13830</v>
      </c>
      <c r="J2165" t="s">
        <v>13831</v>
      </c>
      <c r="L2165" s="1">
        <v>2</v>
      </c>
      <c r="M2165" s="1"/>
      <c r="N2165" s="1"/>
      <c r="O2165" s="3"/>
    </row>
    <row r="2166" spans="1:15" ht="409.6">
      <c r="A2166" t="s">
        <v>13832</v>
      </c>
      <c r="B2166" t="s">
        <v>13833</v>
      </c>
      <c r="C2166" t="s">
        <v>13827</v>
      </c>
      <c r="D2166" t="s">
        <v>23</v>
      </c>
      <c r="E2166">
        <v>30</v>
      </c>
      <c r="F2166" s="2" t="s">
        <v>13834</v>
      </c>
      <c r="G2166" s="2" t="s">
        <v>13835</v>
      </c>
      <c r="H2166" s="2" t="s">
        <v>13836</v>
      </c>
      <c r="I2166" s="2" t="s">
        <v>13837</v>
      </c>
      <c r="J2166" t="s">
        <v>13838</v>
      </c>
      <c r="L2166" s="1">
        <v>2</v>
      </c>
      <c r="M2166" s="1"/>
      <c r="N2166" s="1"/>
      <c r="O2166" s="3"/>
    </row>
    <row r="2167" spans="1:15" ht="409.6">
      <c r="A2167" t="s">
        <v>13839</v>
      </c>
      <c r="B2167" t="s">
        <v>13840</v>
      </c>
      <c r="C2167" t="s">
        <v>644</v>
      </c>
      <c r="D2167" t="s">
        <v>23</v>
      </c>
      <c r="E2167">
        <v>30</v>
      </c>
      <c r="F2167" s="2" t="s">
        <v>13841</v>
      </c>
      <c r="G2167" s="2" t="s">
        <v>13842</v>
      </c>
      <c r="H2167" s="2" t="s">
        <v>13843</v>
      </c>
      <c r="I2167" s="2" t="s">
        <v>13844</v>
      </c>
      <c r="J2167" t="s">
        <v>13845</v>
      </c>
      <c r="L2167" s="1">
        <v>2</v>
      </c>
      <c r="M2167" s="1"/>
      <c r="N2167" s="1"/>
      <c r="O2167" s="3"/>
    </row>
    <row r="2168" spans="1:15" ht="409.6">
      <c r="A2168" t="s">
        <v>13846</v>
      </c>
      <c r="B2168" t="s">
        <v>13847</v>
      </c>
      <c r="C2168" t="s">
        <v>996</v>
      </c>
      <c r="D2168" t="s">
        <v>23</v>
      </c>
      <c r="E2168">
        <v>20</v>
      </c>
      <c r="F2168" s="2" t="s">
        <v>13848</v>
      </c>
      <c r="G2168" s="2" t="s">
        <v>13849</v>
      </c>
      <c r="H2168" s="2" t="s">
        <v>13850</v>
      </c>
      <c r="I2168" s="2" t="s">
        <v>13851</v>
      </c>
      <c r="J2168" t="s">
        <v>13852</v>
      </c>
      <c r="L2168" s="1">
        <v>2</v>
      </c>
      <c r="M2168" s="1"/>
      <c r="N2168" s="1"/>
      <c r="O2168" s="3"/>
    </row>
    <row r="2169" spans="1:15" ht="409.6">
      <c r="A2169" t="s">
        <v>13853</v>
      </c>
      <c r="B2169" t="s">
        <v>13854</v>
      </c>
      <c r="C2169" t="s">
        <v>644</v>
      </c>
      <c r="D2169" t="s">
        <v>23</v>
      </c>
      <c r="E2169">
        <v>20</v>
      </c>
      <c r="F2169" s="2" t="s">
        <v>13855</v>
      </c>
      <c r="G2169" s="2" t="s">
        <v>13856</v>
      </c>
      <c r="H2169" s="2" t="s">
        <v>13857</v>
      </c>
      <c r="I2169" s="2" t="s">
        <v>13858</v>
      </c>
      <c r="J2169" t="s">
        <v>13859</v>
      </c>
      <c r="L2169" s="1">
        <v>2</v>
      </c>
      <c r="M2169" s="1"/>
      <c r="N2169" s="1"/>
      <c r="O2169" s="3"/>
    </row>
    <row r="2170" spans="1:15" ht="409.6">
      <c r="A2170" t="s">
        <v>13860</v>
      </c>
      <c r="B2170" t="s">
        <v>13861</v>
      </c>
      <c r="C2170" t="s">
        <v>644</v>
      </c>
      <c r="D2170" t="s">
        <v>23</v>
      </c>
      <c r="E2170">
        <v>15</v>
      </c>
      <c r="F2170" s="2" t="s">
        <v>13862</v>
      </c>
      <c r="G2170" s="2" t="s">
        <v>13863</v>
      </c>
      <c r="H2170" s="2" t="s">
        <v>13864</v>
      </c>
      <c r="I2170" s="2" t="s">
        <v>13865</v>
      </c>
      <c r="J2170" t="s">
        <v>13866</v>
      </c>
      <c r="L2170" s="1">
        <v>2</v>
      </c>
      <c r="M2170" s="1"/>
      <c r="N2170" s="1"/>
      <c r="O2170" s="3"/>
    </row>
    <row r="2171" spans="1:15" ht="409.6">
      <c r="A2171" t="s">
        <v>13867</v>
      </c>
      <c r="B2171" t="s">
        <v>13868</v>
      </c>
      <c r="C2171" t="s">
        <v>13827</v>
      </c>
      <c r="D2171" t="s">
        <v>23</v>
      </c>
      <c r="E2171">
        <v>15</v>
      </c>
      <c r="F2171" s="2" t="s">
        <v>13869</v>
      </c>
      <c r="G2171" s="2" t="s">
        <v>13870</v>
      </c>
      <c r="H2171" s="2" t="s">
        <v>13871</v>
      </c>
      <c r="I2171" s="2" t="s">
        <v>13872</v>
      </c>
      <c r="J2171" t="s">
        <v>13873</v>
      </c>
      <c r="L2171" s="1">
        <v>2</v>
      </c>
      <c r="M2171" s="1"/>
      <c r="N2171" s="1"/>
      <c r="O2171" s="3"/>
    </row>
    <row r="2172" spans="1:15" ht="409.6">
      <c r="A2172" t="s">
        <v>13874</v>
      </c>
      <c r="B2172" t="s">
        <v>13875</v>
      </c>
      <c r="C2172" t="s">
        <v>996</v>
      </c>
      <c r="D2172" t="s">
        <v>23</v>
      </c>
      <c r="E2172">
        <v>15</v>
      </c>
      <c r="F2172" s="2" t="s">
        <v>13876</v>
      </c>
      <c r="G2172" s="2" t="s">
        <v>13877</v>
      </c>
      <c r="H2172" s="2" t="s">
        <v>13878</v>
      </c>
      <c r="I2172" s="2" t="s">
        <v>13879</v>
      </c>
      <c r="J2172" t="s">
        <v>13880</v>
      </c>
      <c r="L2172" s="1">
        <v>2</v>
      </c>
      <c r="M2172" s="1"/>
      <c r="N2172" s="1"/>
      <c r="O2172" s="3"/>
    </row>
    <row r="2173" spans="1:15" ht="409.6">
      <c r="A2173" t="s">
        <v>13881</v>
      </c>
      <c r="B2173" t="s">
        <v>13882</v>
      </c>
      <c r="C2173" t="s">
        <v>644</v>
      </c>
      <c r="D2173" t="s">
        <v>23</v>
      </c>
      <c r="E2173">
        <v>20</v>
      </c>
      <c r="F2173" s="2" t="s">
        <v>13883</v>
      </c>
      <c r="G2173" s="2" t="s">
        <v>13884</v>
      </c>
      <c r="H2173" s="2" t="s">
        <v>13885</v>
      </c>
      <c r="I2173" s="2" t="s">
        <v>13886</v>
      </c>
      <c r="J2173" t="s">
        <v>13887</v>
      </c>
      <c r="L2173" s="1">
        <v>2</v>
      </c>
      <c r="M2173" s="1"/>
      <c r="N2173" s="1"/>
      <c r="O2173" s="3"/>
    </row>
    <row r="2174" spans="1:15" ht="409.6">
      <c r="A2174" t="s">
        <v>13888</v>
      </c>
      <c r="B2174" t="s">
        <v>13889</v>
      </c>
      <c r="C2174" t="s">
        <v>13827</v>
      </c>
      <c r="D2174" t="s">
        <v>23</v>
      </c>
      <c r="E2174">
        <v>15</v>
      </c>
      <c r="F2174" s="2" t="s">
        <v>13890</v>
      </c>
      <c r="G2174" s="2" t="s">
        <v>13891</v>
      </c>
      <c r="H2174" s="2" t="s">
        <v>13892</v>
      </c>
      <c r="I2174" s="2" t="s">
        <v>13893</v>
      </c>
      <c r="J2174" t="s">
        <v>13894</v>
      </c>
      <c r="L2174" s="1">
        <v>2</v>
      </c>
      <c r="M2174" s="1"/>
      <c r="N2174" s="1"/>
      <c r="O2174" s="3"/>
    </row>
    <row r="2175" spans="1:15" ht="409.6">
      <c r="A2175" t="s">
        <v>13895</v>
      </c>
      <c r="B2175" t="s">
        <v>13896</v>
      </c>
      <c r="C2175" t="s">
        <v>644</v>
      </c>
      <c r="D2175" t="s">
        <v>23</v>
      </c>
      <c r="E2175">
        <v>15</v>
      </c>
      <c r="F2175" s="2" t="s">
        <v>13897</v>
      </c>
      <c r="G2175" s="2" t="s">
        <v>13898</v>
      </c>
      <c r="H2175" s="2" t="s">
        <v>13899</v>
      </c>
      <c r="I2175" s="2" t="s">
        <v>13900</v>
      </c>
      <c r="J2175" t="s">
        <v>13901</v>
      </c>
      <c r="L2175" s="1">
        <v>2</v>
      </c>
      <c r="M2175" s="1"/>
      <c r="N2175" s="1"/>
      <c r="O2175" s="3"/>
    </row>
    <row r="2176" spans="1:15" ht="409.6">
      <c r="A2176" t="s">
        <v>13902</v>
      </c>
      <c r="B2176" t="s">
        <v>13903</v>
      </c>
      <c r="C2176" t="s">
        <v>644</v>
      </c>
      <c r="D2176" t="s">
        <v>23</v>
      </c>
      <c r="E2176">
        <v>15</v>
      </c>
      <c r="F2176" s="2" t="s">
        <v>13904</v>
      </c>
      <c r="G2176" s="2" t="s">
        <v>13905</v>
      </c>
      <c r="H2176" s="2" t="s">
        <v>13906</v>
      </c>
      <c r="I2176" s="2" t="s">
        <v>13907</v>
      </c>
      <c r="J2176" t="s">
        <v>13908</v>
      </c>
      <c r="L2176" s="1">
        <v>2</v>
      </c>
      <c r="M2176" s="1"/>
      <c r="N2176" s="1"/>
      <c r="O2176" s="3"/>
    </row>
    <row r="2177" spans="1:15" ht="409.6">
      <c r="A2177" t="s">
        <v>13909</v>
      </c>
      <c r="B2177" t="s">
        <v>13910</v>
      </c>
      <c r="C2177" t="s">
        <v>13406</v>
      </c>
      <c r="D2177" t="s">
        <v>23</v>
      </c>
      <c r="E2177">
        <v>20</v>
      </c>
      <c r="F2177" s="2" t="s">
        <v>13911</v>
      </c>
      <c r="G2177" s="2" t="s">
        <v>13912</v>
      </c>
      <c r="H2177" s="2" t="s">
        <v>13913</v>
      </c>
      <c r="I2177" s="2" t="s">
        <v>13914</v>
      </c>
      <c r="J2177" t="s">
        <v>13915</v>
      </c>
      <c r="K2177" t="s">
        <v>13916</v>
      </c>
      <c r="L2177" s="1">
        <v>2</v>
      </c>
      <c r="M2177" s="1"/>
      <c r="N2177" s="1"/>
      <c r="O2177" s="3"/>
    </row>
    <row r="2178" spans="1:15" ht="409.6">
      <c r="A2178" t="s">
        <v>13917</v>
      </c>
      <c r="B2178" t="s">
        <v>13918</v>
      </c>
      <c r="C2178" t="s">
        <v>644</v>
      </c>
      <c r="D2178" t="s">
        <v>23</v>
      </c>
      <c r="E2178">
        <v>20</v>
      </c>
      <c r="F2178" s="2" t="s">
        <v>13919</v>
      </c>
      <c r="G2178" s="2" t="s">
        <v>13920</v>
      </c>
      <c r="H2178" s="2" t="s">
        <v>13921</v>
      </c>
      <c r="I2178" s="2" t="s">
        <v>13922</v>
      </c>
      <c r="J2178" t="s">
        <v>13923</v>
      </c>
      <c r="L2178" s="1">
        <v>2</v>
      </c>
      <c r="M2178" s="1"/>
      <c r="N2178" s="1"/>
      <c r="O2178" s="3"/>
    </row>
    <row r="2179" spans="1:15" ht="409.6">
      <c r="A2179" t="s">
        <v>13924</v>
      </c>
      <c r="B2179" t="s">
        <v>13925</v>
      </c>
      <c r="C2179" t="s">
        <v>644</v>
      </c>
      <c r="D2179" t="s">
        <v>23</v>
      </c>
      <c r="E2179">
        <v>20</v>
      </c>
      <c r="F2179" s="2" t="s">
        <v>13926</v>
      </c>
      <c r="G2179" s="2" t="s">
        <v>13927</v>
      </c>
      <c r="H2179" s="2" t="s">
        <v>13928</v>
      </c>
      <c r="I2179" s="2" t="s">
        <v>13929</v>
      </c>
      <c r="J2179" t="s">
        <v>13930</v>
      </c>
      <c r="L2179" s="1">
        <v>2</v>
      </c>
      <c r="M2179" s="1"/>
      <c r="N2179" s="1"/>
      <c r="O2179" s="3"/>
    </row>
    <row r="2180" spans="1:15" ht="409.6">
      <c r="A2180" t="s">
        <v>13931</v>
      </c>
      <c r="B2180" t="s">
        <v>13932</v>
      </c>
      <c r="C2180" t="s">
        <v>644</v>
      </c>
      <c r="D2180" t="s">
        <v>23</v>
      </c>
      <c r="E2180">
        <v>20</v>
      </c>
      <c r="F2180" s="2" t="s">
        <v>13933</v>
      </c>
      <c r="G2180" s="2" t="s">
        <v>13934</v>
      </c>
      <c r="H2180" s="2" t="s">
        <v>13935</v>
      </c>
      <c r="I2180" s="2" t="s">
        <v>13936</v>
      </c>
      <c r="J2180" t="s">
        <v>13937</v>
      </c>
      <c r="L2180" s="1">
        <v>2</v>
      </c>
      <c r="M2180" s="1"/>
      <c r="N2180" s="1"/>
      <c r="O2180" s="3"/>
    </row>
    <row r="2181" spans="1:15" ht="409.6">
      <c r="A2181" t="s">
        <v>13938</v>
      </c>
      <c r="B2181" t="s">
        <v>13939</v>
      </c>
      <c r="C2181" t="s">
        <v>644</v>
      </c>
      <c r="D2181" t="s">
        <v>23</v>
      </c>
      <c r="E2181">
        <v>10</v>
      </c>
      <c r="F2181" s="2" t="s">
        <v>13940</v>
      </c>
      <c r="G2181" s="2" t="s">
        <v>13941</v>
      </c>
      <c r="H2181" s="2" t="s">
        <v>13942</v>
      </c>
      <c r="I2181" s="2" t="s">
        <v>13943</v>
      </c>
      <c r="J2181" t="s">
        <v>13944</v>
      </c>
      <c r="L2181" s="1">
        <v>2</v>
      </c>
      <c r="M2181" s="1"/>
      <c r="N2181" s="1"/>
      <c r="O2181" s="3"/>
    </row>
    <row r="2182" spans="1:15" ht="409.6">
      <c r="A2182" t="s">
        <v>13945</v>
      </c>
      <c r="B2182" t="s">
        <v>13946</v>
      </c>
      <c r="C2182" t="s">
        <v>644</v>
      </c>
      <c r="D2182" t="s">
        <v>23</v>
      </c>
      <c r="E2182">
        <v>15</v>
      </c>
      <c r="F2182" s="2" t="s">
        <v>13947</v>
      </c>
      <c r="G2182" s="2" t="s">
        <v>13948</v>
      </c>
      <c r="H2182" s="2" t="s">
        <v>13949</v>
      </c>
      <c r="I2182" s="2" t="s">
        <v>13950</v>
      </c>
      <c r="J2182" t="s">
        <v>13951</v>
      </c>
      <c r="L2182" s="1">
        <v>2</v>
      </c>
      <c r="M2182" s="1"/>
      <c r="N2182" s="1"/>
      <c r="O2182" s="3"/>
    </row>
    <row r="2183" spans="1:15" ht="409.6">
      <c r="A2183" t="s">
        <v>13952</v>
      </c>
      <c r="B2183" t="s">
        <v>13953</v>
      </c>
      <c r="C2183" t="s">
        <v>644</v>
      </c>
      <c r="D2183" t="s">
        <v>23</v>
      </c>
      <c r="E2183">
        <v>15</v>
      </c>
      <c r="F2183" s="2" t="s">
        <v>13954</v>
      </c>
      <c r="G2183" s="2" t="s">
        <v>13955</v>
      </c>
      <c r="H2183" s="2" t="s">
        <v>13956</v>
      </c>
      <c r="I2183" s="2" t="s">
        <v>13957</v>
      </c>
      <c r="J2183" t="s">
        <v>13958</v>
      </c>
      <c r="L2183" s="1">
        <v>2</v>
      </c>
      <c r="M2183" s="1"/>
      <c r="N2183" s="1"/>
      <c r="O2183" s="3"/>
    </row>
    <row r="2184" spans="1:15" ht="409.6">
      <c r="A2184" t="s">
        <v>13959</v>
      </c>
      <c r="B2184" t="s">
        <v>13960</v>
      </c>
      <c r="C2184" t="s">
        <v>97</v>
      </c>
      <c r="D2184" t="s">
        <v>23</v>
      </c>
      <c r="E2184">
        <v>15</v>
      </c>
      <c r="F2184" s="2" t="s">
        <v>13961</v>
      </c>
      <c r="G2184" s="2" t="s">
        <v>13962</v>
      </c>
      <c r="H2184" s="2" t="s">
        <v>13963</v>
      </c>
      <c r="I2184" s="2" t="s">
        <v>13964</v>
      </c>
      <c r="J2184" t="s">
        <v>13965</v>
      </c>
      <c r="L2184" s="1">
        <v>2</v>
      </c>
      <c r="M2184" s="1"/>
      <c r="N2184" s="1"/>
      <c r="O2184" s="3"/>
    </row>
    <row r="2185" spans="1:15" ht="409.6">
      <c r="A2185" t="s">
        <v>13966</v>
      </c>
      <c r="B2185" t="s">
        <v>13967</v>
      </c>
      <c r="C2185" t="s">
        <v>612</v>
      </c>
      <c r="D2185" t="s">
        <v>23</v>
      </c>
      <c r="E2185">
        <v>20</v>
      </c>
      <c r="F2185" s="2" t="s">
        <v>13968</v>
      </c>
      <c r="G2185" s="2" t="s">
        <v>13969</v>
      </c>
      <c r="H2185" s="2" t="s">
        <v>13970</v>
      </c>
      <c r="I2185" s="2" t="s">
        <v>13971</v>
      </c>
      <c r="J2185" t="s">
        <v>13972</v>
      </c>
      <c r="L2185" s="1">
        <v>2</v>
      </c>
      <c r="M2185" s="1"/>
      <c r="N2185" s="1"/>
      <c r="O2185" s="3"/>
    </row>
    <row r="2186" spans="1:15" ht="409.6">
      <c r="A2186" t="s">
        <v>13973</v>
      </c>
      <c r="B2186" t="s">
        <v>13974</v>
      </c>
      <c r="C2186" t="s">
        <v>644</v>
      </c>
      <c r="D2186" t="s">
        <v>23</v>
      </c>
      <c r="E2186">
        <v>20</v>
      </c>
      <c r="F2186" s="2" t="s">
        <v>13975</v>
      </c>
      <c r="G2186" s="2" t="s">
        <v>13976</v>
      </c>
      <c r="H2186" s="2" t="s">
        <v>13977</v>
      </c>
      <c r="I2186" s="2" t="s">
        <v>13978</v>
      </c>
      <c r="J2186" t="s">
        <v>13979</v>
      </c>
      <c r="L2186" s="1">
        <v>2</v>
      </c>
      <c r="M2186" s="1"/>
      <c r="N2186" s="1"/>
      <c r="O2186" s="3"/>
    </row>
    <row r="2187" spans="1:15" ht="409.6">
      <c r="A2187" t="s">
        <v>13980</v>
      </c>
      <c r="B2187" t="s">
        <v>13981</v>
      </c>
      <c r="C2187" t="s">
        <v>612</v>
      </c>
      <c r="D2187" t="s">
        <v>23</v>
      </c>
      <c r="E2187">
        <v>20</v>
      </c>
      <c r="F2187" s="2" t="s">
        <v>13982</v>
      </c>
      <c r="G2187" s="2" t="s">
        <v>13983</v>
      </c>
      <c r="H2187" s="2" t="s">
        <v>13984</v>
      </c>
      <c r="I2187" s="2" t="s">
        <v>13985</v>
      </c>
      <c r="J2187" t="s">
        <v>13986</v>
      </c>
      <c r="L2187" s="1">
        <v>2</v>
      </c>
      <c r="M2187" s="1"/>
      <c r="N2187" s="1"/>
      <c r="O2187" s="3"/>
    </row>
    <row r="2188" spans="1:15" ht="409.6">
      <c r="A2188" t="s">
        <v>13987</v>
      </c>
      <c r="B2188" t="s">
        <v>13988</v>
      </c>
      <c r="C2188" t="s">
        <v>644</v>
      </c>
      <c r="D2188" t="s">
        <v>23</v>
      </c>
      <c r="E2188">
        <v>15</v>
      </c>
      <c r="F2188" s="2" t="s">
        <v>13989</v>
      </c>
      <c r="G2188" s="2" t="s">
        <v>13990</v>
      </c>
      <c r="H2188" s="2" t="s">
        <v>13991</v>
      </c>
      <c r="I2188" s="2" t="s">
        <v>13992</v>
      </c>
      <c r="J2188" t="s">
        <v>13993</v>
      </c>
      <c r="L2188" s="1">
        <v>2</v>
      </c>
      <c r="M2188" s="1"/>
      <c r="N2188" s="1"/>
      <c r="O2188" s="3"/>
    </row>
    <row r="2189" spans="1:15" ht="409.6">
      <c r="A2189" t="s">
        <v>13994</v>
      </c>
      <c r="B2189" t="s">
        <v>13995</v>
      </c>
      <c r="C2189" t="s">
        <v>644</v>
      </c>
      <c r="D2189" t="s">
        <v>23</v>
      </c>
      <c r="E2189">
        <v>20</v>
      </c>
      <c r="F2189" s="2" t="s">
        <v>13996</v>
      </c>
      <c r="G2189" s="2" t="s">
        <v>13997</v>
      </c>
      <c r="H2189" s="2" t="s">
        <v>13998</v>
      </c>
      <c r="I2189" s="2" t="s">
        <v>13999</v>
      </c>
      <c r="J2189" t="s">
        <v>14000</v>
      </c>
      <c r="L2189" s="1">
        <v>2</v>
      </c>
      <c r="M2189" s="1"/>
      <c r="N2189" s="1"/>
      <c r="O2189" s="3"/>
    </row>
    <row r="2190" spans="1:15" ht="409.6">
      <c r="A2190" t="s">
        <v>14001</v>
      </c>
      <c r="B2190" t="s">
        <v>14002</v>
      </c>
      <c r="C2190" t="s">
        <v>644</v>
      </c>
      <c r="D2190" t="s">
        <v>23</v>
      </c>
      <c r="E2190">
        <v>20</v>
      </c>
      <c r="F2190" s="2" t="s">
        <v>14003</v>
      </c>
      <c r="G2190" s="2" t="s">
        <v>14004</v>
      </c>
      <c r="H2190" s="2" t="s">
        <v>14005</v>
      </c>
      <c r="I2190" s="2" t="s">
        <v>14006</v>
      </c>
      <c r="J2190" t="s">
        <v>14007</v>
      </c>
      <c r="L2190" s="1">
        <v>2</v>
      </c>
      <c r="M2190" s="1"/>
      <c r="N2190" s="1"/>
      <c r="O2190" s="3"/>
    </row>
    <row r="2191" spans="1:15" ht="409.6">
      <c r="A2191" t="s">
        <v>14008</v>
      </c>
      <c r="B2191" t="s">
        <v>14009</v>
      </c>
      <c r="C2191" t="s">
        <v>97</v>
      </c>
      <c r="D2191" t="s">
        <v>23</v>
      </c>
      <c r="E2191">
        <v>25</v>
      </c>
      <c r="F2191" s="2" t="s">
        <v>14010</v>
      </c>
      <c r="G2191" s="2" t="s">
        <v>14011</v>
      </c>
      <c r="H2191" s="2" t="s">
        <v>14012</v>
      </c>
      <c r="I2191" s="2" t="s">
        <v>14013</v>
      </c>
      <c r="J2191" t="s">
        <v>14014</v>
      </c>
      <c r="L2191" s="1">
        <v>2</v>
      </c>
      <c r="M2191" s="1"/>
      <c r="N2191" s="1"/>
      <c r="O2191" s="3"/>
    </row>
    <row r="2192" spans="1:15" ht="409.6">
      <c r="A2192" t="s">
        <v>14015</v>
      </c>
      <c r="B2192" t="s">
        <v>14016</v>
      </c>
      <c r="C2192" t="s">
        <v>644</v>
      </c>
      <c r="D2192" t="s">
        <v>23</v>
      </c>
      <c r="E2192">
        <v>20</v>
      </c>
      <c r="F2192" s="2" t="s">
        <v>14017</v>
      </c>
      <c r="G2192" s="2" t="s">
        <v>14018</v>
      </c>
      <c r="H2192" s="2" t="s">
        <v>14019</v>
      </c>
      <c r="I2192" s="2" t="s">
        <v>14020</v>
      </c>
      <c r="J2192" t="s">
        <v>14021</v>
      </c>
      <c r="L2192" s="1">
        <v>2</v>
      </c>
      <c r="M2192" s="1"/>
      <c r="N2192" s="1"/>
      <c r="O2192" s="3"/>
    </row>
    <row r="2193" spans="1:15" ht="409.6">
      <c r="A2193" t="s">
        <v>14022</v>
      </c>
      <c r="B2193" t="s">
        <v>14023</v>
      </c>
      <c r="C2193" t="s">
        <v>13406</v>
      </c>
      <c r="D2193" t="s">
        <v>23</v>
      </c>
      <c r="E2193">
        <v>20</v>
      </c>
      <c r="F2193" s="2" t="s">
        <v>14024</v>
      </c>
      <c r="G2193" s="2" t="s">
        <v>14025</v>
      </c>
      <c r="H2193" s="2" t="s">
        <v>14026</v>
      </c>
      <c r="I2193" s="2" t="s">
        <v>14027</v>
      </c>
      <c r="J2193" t="s">
        <v>14028</v>
      </c>
      <c r="L2193" s="1">
        <v>2</v>
      </c>
      <c r="M2193" s="1"/>
      <c r="N2193" s="1"/>
      <c r="O2193" s="3"/>
    </row>
    <row r="2194" spans="1:15" ht="409.6">
      <c r="A2194" t="s">
        <v>14029</v>
      </c>
      <c r="B2194" t="s">
        <v>14030</v>
      </c>
      <c r="C2194" t="s">
        <v>644</v>
      </c>
      <c r="D2194" t="s">
        <v>23</v>
      </c>
      <c r="E2194">
        <v>15</v>
      </c>
      <c r="F2194" s="2" t="s">
        <v>14031</v>
      </c>
      <c r="G2194" s="2" t="s">
        <v>14032</v>
      </c>
      <c r="H2194" s="2" t="s">
        <v>14033</v>
      </c>
      <c r="I2194" s="2" t="s">
        <v>14034</v>
      </c>
      <c r="J2194" t="s">
        <v>14035</v>
      </c>
      <c r="L2194" s="1">
        <v>2</v>
      </c>
      <c r="M2194" s="1"/>
      <c r="N2194" s="1"/>
      <c r="O2194" s="3"/>
    </row>
    <row r="2195" spans="1:15" ht="409.6">
      <c r="A2195" t="s">
        <v>14036</v>
      </c>
      <c r="B2195" t="s">
        <v>14037</v>
      </c>
      <c r="C2195" t="s">
        <v>13827</v>
      </c>
      <c r="D2195" t="s">
        <v>23</v>
      </c>
      <c r="E2195">
        <v>20</v>
      </c>
      <c r="F2195" s="2" t="s">
        <v>14038</v>
      </c>
      <c r="G2195" s="2" t="s">
        <v>14039</v>
      </c>
      <c r="H2195" s="2" t="s">
        <v>14040</v>
      </c>
      <c r="I2195" s="2" t="s">
        <v>14041</v>
      </c>
      <c r="J2195" t="s">
        <v>14042</v>
      </c>
      <c r="L2195" s="1">
        <v>2</v>
      </c>
      <c r="M2195" s="1"/>
      <c r="N2195" s="1"/>
      <c r="O2195" s="3"/>
    </row>
    <row r="2196" spans="1:15" ht="409.6">
      <c r="A2196" t="s">
        <v>14043</v>
      </c>
      <c r="B2196" t="s">
        <v>14044</v>
      </c>
      <c r="C2196" t="s">
        <v>644</v>
      </c>
      <c r="D2196" t="s">
        <v>23</v>
      </c>
      <c r="E2196">
        <v>15</v>
      </c>
      <c r="F2196" s="2" t="s">
        <v>14045</v>
      </c>
      <c r="G2196" s="2" t="s">
        <v>14046</v>
      </c>
      <c r="H2196" s="2" t="s">
        <v>14047</v>
      </c>
      <c r="I2196" s="2" t="s">
        <v>13971</v>
      </c>
      <c r="J2196" t="s">
        <v>14048</v>
      </c>
      <c r="L2196" s="1">
        <v>2</v>
      </c>
      <c r="M2196" s="1"/>
      <c r="N2196" s="1"/>
      <c r="O2196" s="3"/>
    </row>
    <row r="2197" spans="1:15" ht="409.6">
      <c r="A2197" t="s">
        <v>14049</v>
      </c>
      <c r="B2197" t="s">
        <v>807</v>
      </c>
      <c r="C2197" t="s">
        <v>644</v>
      </c>
      <c r="D2197" t="s">
        <v>23</v>
      </c>
      <c r="E2197">
        <v>20</v>
      </c>
      <c r="F2197" s="2" t="s">
        <v>14050</v>
      </c>
      <c r="G2197" s="2" t="s">
        <v>14051</v>
      </c>
      <c r="H2197" s="2" t="s">
        <v>14052</v>
      </c>
      <c r="I2197" s="2" t="s">
        <v>14053</v>
      </c>
      <c r="J2197" t="s">
        <v>14054</v>
      </c>
      <c r="L2197" s="1">
        <v>2</v>
      </c>
      <c r="M2197" s="1"/>
      <c r="N2197" s="1"/>
      <c r="O2197" s="3"/>
    </row>
    <row r="2198" spans="1:15" ht="409.6">
      <c r="A2198" t="s">
        <v>14055</v>
      </c>
      <c r="B2198" t="s">
        <v>14056</v>
      </c>
      <c r="C2198" t="s">
        <v>644</v>
      </c>
      <c r="D2198" t="s">
        <v>23</v>
      </c>
      <c r="E2198">
        <v>20</v>
      </c>
      <c r="F2198" s="2" t="s">
        <v>14057</v>
      </c>
      <c r="G2198" s="2" t="s">
        <v>14058</v>
      </c>
      <c r="H2198" s="2" t="s">
        <v>14059</v>
      </c>
      <c r="I2198" s="2" t="s">
        <v>14060</v>
      </c>
      <c r="J2198" t="s">
        <v>14061</v>
      </c>
      <c r="L2198" s="1">
        <v>2</v>
      </c>
      <c r="M2198" s="1"/>
      <c r="N2198" s="1"/>
      <c r="O2198" s="3"/>
    </row>
    <row r="2199" spans="1:15" ht="409.6">
      <c r="A2199" t="s">
        <v>14062</v>
      </c>
      <c r="B2199" t="s">
        <v>14063</v>
      </c>
      <c r="C2199" t="s">
        <v>13406</v>
      </c>
      <c r="D2199" t="s">
        <v>23</v>
      </c>
      <c r="E2199">
        <v>15</v>
      </c>
      <c r="F2199" s="2" t="s">
        <v>14064</v>
      </c>
      <c r="G2199" s="2" t="s">
        <v>14065</v>
      </c>
      <c r="H2199" s="2" t="s">
        <v>14066</v>
      </c>
      <c r="I2199" s="2" t="s">
        <v>14067</v>
      </c>
      <c r="J2199" t="s">
        <v>14068</v>
      </c>
      <c r="K2199" t="s">
        <v>14069</v>
      </c>
      <c r="L2199" s="1">
        <v>2</v>
      </c>
      <c r="M2199" s="1"/>
      <c r="N2199" s="1"/>
      <c r="O2199" s="3"/>
    </row>
    <row r="2200" spans="1:15" ht="409.6">
      <c r="A2200" t="s">
        <v>14070</v>
      </c>
      <c r="B2200" t="s">
        <v>14071</v>
      </c>
      <c r="C2200" t="s">
        <v>14072</v>
      </c>
      <c r="D2200" t="s">
        <v>23</v>
      </c>
      <c r="E2200">
        <v>20</v>
      </c>
      <c r="F2200" s="2" t="s">
        <v>14073</v>
      </c>
      <c r="G2200" s="2" t="s">
        <v>14074</v>
      </c>
      <c r="H2200" s="2" t="s">
        <v>14075</v>
      </c>
      <c r="I2200" s="2" t="s">
        <v>14076</v>
      </c>
      <c r="J2200" t="s">
        <v>14077</v>
      </c>
      <c r="L2200" s="1">
        <v>2</v>
      </c>
      <c r="M2200" s="1"/>
      <c r="N2200" s="1"/>
      <c r="O2200" s="3"/>
    </row>
    <row r="2201" spans="1:15" ht="409.6">
      <c r="A2201" t="s">
        <v>14078</v>
      </c>
      <c r="B2201" t="s">
        <v>14079</v>
      </c>
      <c r="C2201" t="s">
        <v>14072</v>
      </c>
      <c r="D2201" t="s">
        <v>23</v>
      </c>
      <c r="E2201">
        <v>20</v>
      </c>
      <c r="F2201" s="2" t="s">
        <v>14080</v>
      </c>
      <c r="G2201" s="2" t="s">
        <v>14081</v>
      </c>
      <c r="H2201" s="2" t="s">
        <v>14082</v>
      </c>
      <c r="I2201" s="2" t="s">
        <v>14083</v>
      </c>
      <c r="J2201" t="s">
        <v>14084</v>
      </c>
      <c r="L2201" s="1">
        <v>2</v>
      </c>
      <c r="M2201" s="1"/>
      <c r="N2201" s="1"/>
      <c r="O2201" s="3"/>
    </row>
    <row r="2202" spans="1:15" ht="409.6">
      <c r="A2202" t="s">
        <v>14085</v>
      </c>
      <c r="B2202" t="s">
        <v>14086</v>
      </c>
      <c r="C2202" t="s">
        <v>14072</v>
      </c>
      <c r="D2202" t="s">
        <v>23</v>
      </c>
      <c r="E2202">
        <v>20</v>
      </c>
      <c r="F2202" s="2" t="s">
        <v>14087</v>
      </c>
      <c r="G2202" s="2" t="s">
        <v>14088</v>
      </c>
      <c r="H2202" s="2" t="s">
        <v>14089</v>
      </c>
      <c r="I2202" s="2" t="s">
        <v>14090</v>
      </c>
      <c r="J2202" t="s">
        <v>14091</v>
      </c>
      <c r="L2202" s="1">
        <v>2</v>
      </c>
      <c r="M2202" s="1"/>
      <c r="N2202" s="1"/>
      <c r="O2202" s="3"/>
    </row>
    <row r="2203" spans="1:15" ht="409.6">
      <c r="A2203" t="s">
        <v>14092</v>
      </c>
      <c r="B2203" t="s">
        <v>14093</v>
      </c>
      <c r="C2203" t="s">
        <v>14072</v>
      </c>
      <c r="D2203" t="s">
        <v>23</v>
      </c>
      <c r="E2203">
        <v>20</v>
      </c>
      <c r="F2203" s="2" t="s">
        <v>14094</v>
      </c>
      <c r="G2203" s="2" t="s">
        <v>14095</v>
      </c>
      <c r="H2203" s="2" t="s">
        <v>14096</v>
      </c>
      <c r="I2203" s="2" t="s">
        <v>14097</v>
      </c>
      <c r="J2203" t="s">
        <v>14098</v>
      </c>
      <c r="L2203" s="1">
        <v>2</v>
      </c>
      <c r="M2203" s="1"/>
      <c r="N2203" s="1"/>
      <c r="O2203" s="3"/>
    </row>
    <row r="2204" spans="1:15" ht="409.6">
      <c r="A2204" t="s">
        <v>2238</v>
      </c>
      <c r="B2204" t="s">
        <v>2239</v>
      </c>
      <c r="C2204" t="s">
        <v>14072</v>
      </c>
      <c r="D2204" t="s">
        <v>23</v>
      </c>
      <c r="E2204">
        <v>20</v>
      </c>
      <c r="F2204" s="2" t="s">
        <v>14099</v>
      </c>
      <c r="G2204" s="2" t="s">
        <v>14100</v>
      </c>
      <c r="H2204" s="2" t="s">
        <v>14101</v>
      </c>
      <c r="I2204" s="2" t="s">
        <v>14097</v>
      </c>
      <c r="J2204" t="s">
        <v>14102</v>
      </c>
      <c r="L2204" s="1">
        <v>2</v>
      </c>
      <c r="M2204" s="1"/>
      <c r="N2204" s="1"/>
      <c r="O2204" s="3"/>
    </row>
    <row r="2205" spans="1:15" ht="409.6">
      <c r="A2205" t="s">
        <v>899</v>
      </c>
      <c r="B2205" t="s">
        <v>900</v>
      </c>
      <c r="C2205" t="s">
        <v>14072</v>
      </c>
      <c r="D2205" t="s">
        <v>23</v>
      </c>
      <c r="E2205">
        <v>20</v>
      </c>
      <c r="F2205" s="2" t="s">
        <v>14103</v>
      </c>
      <c r="G2205" s="2" t="s">
        <v>14104</v>
      </c>
      <c r="H2205" s="2" t="s">
        <v>14105</v>
      </c>
      <c r="I2205" s="2" t="s">
        <v>14106</v>
      </c>
      <c r="J2205" t="s">
        <v>14107</v>
      </c>
      <c r="L2205" s="1">
        <v>2</v>
      </c>
      <c r="M2205" s="1"/>
      <c r="N2205" s="1"/>
      <c r="O2205" s="3"/>
    </row>
    <row r="2206" spans="1:15" ht="409.6">
      <c r="A2206" t="s">
        <v>14108</v>
      </c>
      <c r="B2206" t="s">
        <v>14109</v>
      </c>
      <c r="C2206" t="s">
        <v>14072</v>
      </c>
      <c r="F2206" s="2" t="s">
        <v>14110</v>
      </c>
      <c r="G2206" s="2" t="s">
        <v>14111</v>
      </c>
      <c r="H2206" s="2" t="s">
        <v>14112</v>
      </c>
      <c r="I2206" s="2" t="s">
        <v>14113</v>
      </c>
      <c r="J2206" t="s">
        <v>14114</v>
      </c>
      <c r="L2206" s="1">
        <v>2</v>
      </c>
      <c r="M2206" s="1"/>
      <c r="N2206" s="1"/>
      <c r="O2206" s="3"/>
    </row>
    <row r="2207" spans="1:15" ht="409.6">
      <c r="A2207" t="s">
        <v>14115</v>
      </c>
      <c r="B2207" t="s">
        <v>14116</v>
      </c>
      <c r="C2207" t="s">
        <v>14072</v>
      </c>
      <c r="D2207" t="s">
        <v>23</v>
      </c>
      <c r="E2207">
        <v>20</v>
      </c>
      <c r="F2207" s="2" t="s">
        <v>14117</v>
      </c>
      <c r="G2207" s="2" t="s">
        <v>14118</v>
      </c>
      <c r="H2207" s="2" t="s">
        <v>14105</v>
      </c>
      <c r="I2207" s="2" t="s">
        <v>14106</v>
      </c>
      <c r="J2207" t="s">
        <v>14119</v>
      </c>
      <c r="L2207" s="1">
        <v>2</v>
      </c>
      <c r="M2207" s="1"/>
      <c r="N2207" s="1"/>
      <c r="O2207" s="3"/>
    </row>
    <row r="2208" spans="1:15" ht="409.6">
      <c r="A2208" t="s">
        <v>14120</v>
      </c>
      <c r="B2208" t="s">
        <v>14121</v>
      </c>
      <c r="C2208" t="s">
        <v>12814</v>
      </c>
      <c r="D2208" t="s">
        <v>14122</v>
      </c>
      <c r="E2208">
        <v>3</v>
      </c>
      <c r="F2208" t="s">
        <v>14123</v>
      </c>
      <c r="G2208" s="2" t="s">
        <v>14124</v>
      </c>
      <c r="H2208" s="2" t="s">
        <v>14125</v>
      </c>
      <c r="I2208" s="2" t="s">
        <v>14126</v>
      </c>
      <c r="J2208" t="s">
        <v>14127</v>
      </c>
      <c r="L2208" s="1">
        <v>2</v>
      </c>
      <c r="M2208" s="1"/>
      <c r="N2208" s="1"/>
      <c r="O2208" s="3"/>
    </row>
    <row r="2209" spans="1:15" ht="409.6">
      <c r="A2209" t="s">
        <v>14128</v>
      </c>
      <c r="B2209" t="s">
        <v>14129</v>
      </c>
      <c r="C2209" t="s">
        <v>12814</v>
      </c>
      <c r="D2209" t="s">
        <v>14122</v>
      </c>
      <c r="E2209">
        <v>3</v>
      </c>
      <c r="F2209" t="s">
        <v>14130</v>
      </c>
      <c r="G2209" s="2" t="s">
        <v>14131</v>
      </c>
      <c r="H2209" s="2" t="s">
        <v>14132</v>
      </c>
      <c r="I2209" s="2" t="s">
        <v>14133</v>
      </c>
      <c r="J2209" t="s">
        <v>14134</v>
      </c>
      <c r="L2209" s="1">
        <v>2</v>
      </c>
      <c r="M2209" s="1"/>
      <c r="N2209" s="1"/>
      <c r="O2209" s="3"/>
    </row>
    <row r="2210" spans="1:15" ht="409.6">
      <c r="A2210" t="s">
        <v>14135</v>
      </c>
      <c r="B2210" t="s">
        <v>14136</v>
      </c>
      <c r="C2210" t="s">
        <v>12814</v>
      </c>
      <c r="D2210" t="s">
        <v>14122</v>
      </c>
      <c r="E2210">
        <v>15</v>
      </c>
      <c r="F2210" s="2" t="s">
        <v>14137</v>
      </c>
      <c r="G2210" s="2" t="s">
        <v>14138</v>
      </c>
      <c r="H2210" s="2" t="s">
        <v>14139</v>
      </c>
      <c r="I2210" s="2" t="s">
        <v>14140</v>
      </c>
      <c r="J2210" t="s">
        <v>14141</v>
      </c>
      <c r="L2210" s="1">
        <v>2</v>
      </c>
      <c r="M2210" s="1"/>
      <c r="N2210" s="1"/>
      <c r="O2210" s="3"/>
    </row>
    <row r="2211" spans="1:15" ht="409.6">
      <c r="A2211" s="2" t="s">
        <v>14142</v>
      </c>
      <c r="B2211" s="2" t="s">
        <v>14143</v>
      </c>
      <c r="C2211" t="s">
        <v>12814</v>
      </c>
      <c r="D2211" t="s">
        <v>14122</v>
      </c>
      <c r="E2211">
        <v>3</v>
      </c>
      <c r="F2211" t="s">
        <v>14144</v>
      </c>
      <c r="G2211" t="s">
        <v>14145</v>
      </c>
      <c r="H2211" s="2" t="s">
        <v>14146</v>
      </c>
      <c r="I2211" s="2" t="s">
        <v>14147</v>
      </c>
      <c r="J2211" t="s">
        <v>14148</v>
      </c>
      <c r="L2211" s="1">
        <v>2</v>
      </c>
      <c r="M2211" s="1"/>
      <c r="N2211" s="1"/>
      <c r="O2211" s="3"/>
    </row>
    <row r="2212" spans="1:15" ht="409.6">
      <c r="A2212" t="s">
        <v>14149</v>
      </c>
      <c r="B2212" t="s">
        <v>14150</v>
      </c>
      <c r="C2212" t="s">
        <v>12814</v>
      </c>
      <c r="D2212" t="s">
        <v>14122</v>
      </c>
      <c r="E2212">
        <v>15</v>
      </c>
      <c r="F2212" t="s">
        <v>14151</v>
      </c>
      <c r="G2212" t="s">
        <v>14152</v>
      </c>
      <c r="H2212" s="2" t="s">
        <v>14153</v>
      </c>
      <c r="I2212" s="2" t="s">
        <v>14154</v>
      </c>
      <c r="J2212" t="s">
        <v>14155</v>
      </c>
      <c r="L2212" s="1">
        <v>2</v>
      </c>
      <c r="M2212" s="1"/>
      <c r="N2212" s="1"/>
      <c r="O2212" s="3"/>
    </row>
    <row r="2213" spans="1:15" ht="290.39999999999998">
      <c r="A2213" t="s">
        <v>14156</v>
      </c>
      <c r="B2213" t="s">
        <v>14157</v>
      </c>
      <c r="C2213" t="s">
        <v>12814</v>
      </c>
      <c r="D2213" t="s">
        <v>14122</v>
      </c>
      <c r="E2213">
        <v>2</v>
      </c>
      <c r="F2213" s="2" t="s">
        <v>14158</v>
      </c>
      <c r="G2213" s="2" t="s">
        <v>14159</v>
      </c>
      <c r="H2213" s="2" t="s">
        <v>14160</v>
      </c>
      <c r="I2213" s="2" t="s">
        <v>14161</v>
      </c>
      <c r="J2213" t="s">
        <v>14162</v>
      </c>
      <c r="L2213" s="1">
        <v>2</v>
      </c>
      <c r="M2213" s="1"/>
      <c r="N2213" s="1"/>
      <c r="O2213" s="3"/>
    </row>
    <row r="2214" spans="1:15" ht="409.6">
      <c r="A2214" t="s">
        <v>14163</v>
      </c>
      <c r="B2214" t="s">
        <v>14164</v>
      </c>
      <c r="C2214" t="s">
        <v>12814</v>
      </c>
      <c r="D2214" t="s">
        <v>14122</v>
      </c>
      <c r="E2214">
        <v>100</v>
      </c>
      <c r="F2214" t="s">
        <v>14165</v>
      </c>
      <c r="G2214" t="s">
        <v>14166</v>
      </c>
      <c r="H2214" s="2" t="s">
        <v>14167</v>
      </c>
      <c r="I2214" s="2" t="s">
        <v>14168</v>
      </c>
      <c r="J2214" t="s">
        <v>14169</v>
      </c>
      <c r="L2214" s="1">
        <v>2</v>
      </c>
      <c r="M2214" s="1"/>
      <c r="N2214" s="1"/>
      <c r="O2214" s="3"/>
    </row>
    <row r="2215" spans="1:15" ht="409.6">
      <c r="A2215" t="s">
        <v>14170</v>
      </c>
      <c r="B2215" t="s">
        <v>14171</v>
      </c>
      <c r="C2215" t="s">
        <v>12814</v>
      </c>
      <c r="D2215" t="s">
        <v>14122</v>
      </c>
      <c r="E2215">
        <v>5</v>
      </c>
      <c r="F2215" s="2" t="s">
        <v>14172</v>
      </c>
      <c r="G2215" s="2" t="s">
        <v>14173</v>
      </c>
      <c r="H2215" s="2" t="s">
        <v>14174</v>
      </c>
      <c r="I2215" s="2" t="s">
        <v>14175</v>
      </c>
      <c r="J2215" t="s">
        <v>14176</v>
      </c>
      <c r="L2215" s="1">
        <v>2</v>
      </c>
      <c r="M2215" s="1"/>
      <c r="N2215" s="1"/>
      <c r="O2215" s="3"/>
    </row>
    <row r="2216" spans="1:15" ht="13.8">
      <c r="A2216" t="s">
        <v>14177</v>
      </c>
      <c r="B2216" t="s">
        <v>14178</v>
      </c>
      <c r="C2216" t="s">
        <v>12814</v>
      </c>
      <c r="D2216" t="s">
        <v>14122</v>
      </c>
      <c r="E2216">
        <v>30</v>
      </c>
      <c r="F2216" t="s">
        <v>14179</v>
      </c>
      <c r="G2216" t="s">
        <v>14179</v>
      </c>
      <c r="H2216" t="s">
        <v>14180</v>
      </c>
      <c r="I2216" t="s">
        <v>14181</v>
      </c>
      <c r="J2216" t="s">
        <v>14182</v>
      </c>
      <c r="L2216" s="1">
        <v>2</v>
      </c>
      <c r="M2216" s="1"/>
      <c r="N2216" s="1"/>
      <c r="O2216" s="3"/>
    </row>
    <row r="2217" spans="1:15" ht="13.8">
      <c r="A2217" s="1"/>
      <c r="B2217" s="1"/>
      <c r="C2217" s="1"/>
      <c r="D2217" s="1"/>
      <c r="E2217" s="1"/>
      <c r="F2217" s="1"/>
      <c r="G2217" s="1"/>
      <c r="H2217" s="1"/>
      <c r="I2217" s="1"/>
      <c r="J2217" s="1"/>
      <c r="K2217" s="1"/>
      <c r="L2217" s="1"/>
      <c r="M2217" s="1"/>
      <c r="N2217" s="1"/>
      <c r="O2217" s="3"/>
    </row>
    <row r="2218" spans="1:15" ht="13.8">
      <c r="A2218" s="1"/>
      <c r="B2218" s="1"/>
      <c r="C2218" s="1"/>
      <c r="D2218" s="1"/>
      <c r="E2218" s="1"/>
      <c r="F2218" s="1"/>
      <c r="G2218" s="1"/>
      <c r="H2218" s="1"/>
      <c r="I2218" s="1"/>
      <c r="J2218" s="1"/>
      <c r="K2218" s="1"/>
      <c r="L2218" s="1"/>
      <c r="M2218" s="1"/>
      <c r="N2218" s="1"/>
      <c r="O2218" s="3"/>
    </row>
    <row r="2219" spans="1:15" ht="13.8">
      <c r="A2219" s="1"/>
      <c r="B2219" s="1"/>
      <c r="C2219" s="1"/>
      <c r="D2219" s="1"/>
      <c r="E2219" s="1"/>
      <c r="F2219" s="1"/>
      <c r="G2219" s="1"/>
      <c r="H2219" s="1"/>
      <c r="I2219" s="1"/>
      <c r="J2219" s="1"/>
      <c r="K2219" s="1"/>
      <c r="L2219" s="1"/>
      <c r="M2219" s="1"/>
      <c r="N2219" s="1"/>
      <c r="O2219" s="3"/>
    </row>
    <row r="2220" spans="1:15" ht="13.8">
      <c r="A2220" s="1"/>
      <c r="B2220" s="1"/>
      <c r="C2220" s="1"/>
      <c r="D2220" s="1"/>
      <c r="E2220" s="1"/>
      <c r="F2220" s="1"/>
      <c r="G2220" s="1"/>
      <c r="H2220" s="1"/>
      <c r="I2220" s="1"/>
      <c r="J2220" s="1"/>
      <c r="K2220" s="1"/>
      <c r="L2220" s="1"/>
      <c r="M2220" s="1"/>
      <c r="N2220" s="1"/>
      <c r="O2220" s="3"/>
    </row>
    <row r="2221" spans="1:15" ht="13.8">
      <c r="A2221" s="1"/>
      <c r="B2221" s="1"/>
      <c r="C2221" s="1"/>
      <c r="D2221" s="1"/>
      <c r="E2221" s="1"/>
      <c r="F2221" s="1"/>
      <c r="G2221" s="1"/>
      <c r="H2221" s="1"/>
      <c r="I2221" s="1"/>
      <c r="J2221" s="1"/>
      <c r="K2221" s="1"/>
      <c r="L2221" s="1"/>
      <c r="M2221" s="1"/>
      <c r="N2221" s="1"/>
      <c r="O2221" s="3"/>
    </row>
    <row r="2222" spans="1:15" ht="13.8">
      <c r="A2222" s="1"/>
      <c r="B2222" s="1"/>
      <c r="C2222" s="1"/>
      <c r="D2222" s="1"/>
      <c r="E2222" s="1"/>
      <c r="F2222" s="1"/>
      <c r="G2222" s="1"/>
      <c r="H2222" s="1"/>
      <c r="I2222" s="1"/>
      <c r="J2222" s="1"/>
      <c r="K2222" s="1"/>
      <c r="L2222" s="1"/>
      <c r="M2222" s="1"/>
      <c r="N2222" s="1"/>
      <c r="O2222" s="3"/>
    </row>
    <row r="2223" spans="1:15" ht="13.8">
      <c r="A2223" s="1"/>
      <c r="B2223" s="1"/>
      <c r="C2223" s="1"/>
      <c r="D2223" s="1"/>
      <c r="E2223" s="1"/>
      <c r="F2223" s="1"/>
      <c r="G2223" s="1"/>
      <c r="H2223" s="1"/>
      <c r="I2223" s="1"/>
      <c r="J2223" s="1"/>
      <c r="K2223" s="1"/>
      <c r="L2223" s="1"/>
      <c r="M2223" s="1"/>
      <c r="N2223" s="1"/>
      <c r="O2223" s="3"/>
    </row>
    <row r="2224" spans="1:15" ht="13.8">
      <c r="A2224" s="1"/>
      <c r="B2224" s="1"/>
      <c r="C2224" s="1"/>
      <c r="D2224" s="1"/>
      <c r="E2224" s="1"/>
      <c r="F2224" s="1"/>
      <c r="G2224" s="1"/>
      <c r="H2224" s="1"/>
      <c r="I2224" s="1"/>
      <c r="J2224" s="1"/>
      <c r="K2224" s="1"/>
      <c r="L2224" s="1"/>
      <c r="M2224" s="1"/>
      <c r="N2224" s="1"/>
      <c r="O2224" s="3"/>
    </row>
    <row r="2225" spans="1:15" ht="13.8">
      <c r="A2225" s="1"/>
      <c r="B2225" s="1"/>
      <c r="C2225" s="1"/>
      <c r="D2225" s="1"/>
      <c r="E2225" s="1"/>
      <c r="F2225" s="1"/>
      <c r="G2225" s="1"/>
      <c r="H2225" s="1"/>
      <c r="I2225" s="1"/>
      <c r="J2225" s="1"/>
      <c r="K2225" s="1"/>
      <c r="L2225" s="1"/>
      <c r="M2225" s="1"/>
      <c r="N2225" s="1"/>
      <c r="O2225" s="3"/>
    </row>
    <row r="2226" spans="1:15" ht="13.8">
      <c r="A2226" s="1"/>
      <c r="B2226" s="1"/>
      <c r="C2226" s="1"/>
      <c r="D2226" s="1"/>
      <c r="E2226" s="1"/>
      <c r="F2226" s="1"/>
      <c r="G2226" s="1"/>
      <c r="H2226" s="1"/>
      <c r="I2226" s="1"/>
      <c r="J2226" s="1"/>
      <c r="K2226" s="1"/>
      <c r="L2226" s="1"/>
      <c r="M2226" s="1"/>
      <c r="N2226" s="1"/>
      <c r="O2226" s="3"/>
    </row>
    <row r="2227" spans="1:15" ht="13.8">
      <c r="A2227" s="1"/>
      <c r="B2227" s="1"/>
      <c r="C2227" s="1"/>
      <c r="D2227" s="1"/>
      <c r="E2227" s="1"/>
      <c r="F2227" s="1"/>
      <c r="G2227" s="1"/>
      <c r="H2227" s="1"/>
      <c r="I2227" s="1"/>
      <c r="J2227" s="1"/>
      <c r="K2227" s="1"/>
      <c r="L2227" s="1"/>
      <c r="M2227" s="1"/>
      <c r="N2227" s="1"/>
      <c r="O2227" s="3"/>
    </row>
    <row r="2228" spans="1:15" ht="13.8">
      <c r="A2228" s="1"/>
      <c r="B2228" s="1"/>
      <c r="C2228" s="1"/>
      <c r="D2228" s="1"/>
      <c r="E2228" s="1"/>
      <c r="F2228" s="1"/>
      <c r="G2228" s="1"/>
      <c r="H2228" s="1"/>
      <c r="I2228" s="1"/>
      <c r="J2228" s="1"/>
      <c r="K2228" s="1"/>
      <c r="L2228" s="1"/>
      <c r="M2228" s="1"/>
      <c r="N2228" s="1"/>
      <c r="O2228" s="3"/>
    </row>
    <row r="2229" spans="1:15" ht="13.8">
      <c r="A2229" s="1"/>
      <c r="B2229" s="1"/>
      <c r="C2229" s="1"/>
      <c r="D2229" s="1"/>
      <c r="E2229" s="1"/>
      <c r="F2229" s="1"/>
      <c r="G2229" s="1"/>
      <c r="H2229" s="1"/>
      <c r="I2229" s="1"/>
      <c r="J2229" s="1"/>
      <c r="K2229" s="1"/>
      <c r="L2229" s="1"/>
      <c r="M2229" s="1"/>
      <c r="N2229" s="1"/>
      <c r="O2229" s="3"/>
    </row>
    <row r="2230" spans="1:15" ht="13.8">
      <c r="A2230" s="1"/>
      <c r="B2230" s="1"/>
      <c r="C2230" s="1"/>
      <c r="D2230" s="1"/>
      <c r="E2230" s="1"/>
      <c r="F2230" s="1"/>
      <c r="G2230" s="1"/>
      <c r="H2230" s="1"/>
      <c r="I2230" s="1"/>
      <c r="J2230" s="1"/>
      <c r="K2230" s="1"/>
      <c r="L2230" s="1"/>
      <c r="M2230" s="1"/>
      <c r="N2230" s="1"/>
      <c r="O2230" s="3"/>
    </row>
    <row r="2231" spans="1:15" ht="13.8">
      <c r="A2231" s="1"/>
      <c r="B2231" s="1"/>
      <c r="C2231" s="1"/>
      <c r="D2231" s="1"/>
      <c r="E2231" s="1"/>
      <c r="F2231" s="1"/>
      <c r="G2231" s="1"/>
      <c r="H2231" s="1"/>
      <c r="I2231" s="1"/>
      <c r="J2231" s="1"/>
      <c r="K2231" s="1"/>
      <c r="L2231" s="1"/>
      <c r="M2231" s="1"/>
      <c r="N2231" s="1"/>
      <c r="O2231" s="3"/>
    </row>
    <row r="2232" spans="1:15" ht="13.8">
      <c r="A2232" s="1"/>
      <c r="B2232" s="1"/>
      <c r="C2232" s="1"/>
      <c r="D2232" s="1"/>
      <c r="E2232" s="1"/>
      <c r="F2232" s="1"/>
      <c r="G2232" s="1"/>
      <c r="H2232" s="1"/>
      <c r="I2232" s="1"/>
      <c r="J2232" s="1"/>
      <c r="K2232" s="1"/>
      <c r="L2232" s="1"/>
      <c r="M2232" s="1"/>
      <c r="N2232" s="1"/>
      <c r="O2232" s="3"/>
    </row>
    <row r="2233" spans="1:15" ht="13.8">
      <c r="A2233" s="1"/>
      <c r="B2233" s="1"/>
      <c r="C2233" s="1"/>
      <c r="D2233" s="1"/>
      <c r="E2233" s="1"/>
      <c r="F2233" s="1"/>
      <c r="G2233" s="1"/>
      <c r="H2233" s="1"/>
      <c r="I2233" s="1"/>
      <c r="J2233" s="1"/>
      <c r="K2233" s="1"/>
      <c r="L2233" s="1"/>
      <c r="M2233" s="1"/>
      <c r="N2233" s="1"/>
      <c r="O2233" s="3"/>
    </row>
    <row r="2234" spans="1:15" ht="13.8">
      <c r="A2234" s="1"/>
      <c r="B2234" s="1"/>
      <c r="C2234" s="1"/>
      <c r="D2234" s="1"/>
      <c r="E2234" s="1"/>
      <c r="F2234" s="1"/>
      <c r="G2234" s="1"/>
      <c r="H2234" s="1"/>
      <c r="I2234" s="1"/>
      <c r="J2234" s="1"/>
      <c r="K2234" s="1"/>
      <c r="L2234" s="1"/>
      <c r="M2234" s="1"/>
      <c r="N2234" s="1"/>
      <c r="O2234" s="3"/>
    </row>
    <row r="2235" spans="1:15" ht="13.8">
      <c r="A2235" s="1"/>
      <c r="B2235" s="1"/>
      <c r="C2235" s="1"/>
      <c r="D2235" s="1"/>
      <c r="E2235" s="1"/>
      <c r="F2235" s="1"/>
      <c r="G2235" s="1"/>
      <c r="H2235" s="1"/>
      <c r="I2235" s="1"/>
      <c r="J2235" s="1"/>
      <c r="K2235" s="1"/>
      <c r="L2235" s="1"/>
      <c r="M2235" s="1"/>
      <c r="N2235" s="1"/>
      <c r="O2235" s="3"/>
    </row>
    <row r="2236" spans="1:15" ht="13.8">
      <c r="A2236" s="1"/>
      <c r="B2236" s="1"/>
      <c r="C2236" s="1"/>
      <c r="D2236" s="1"/>
      <c r="E2236" s="1"/>
      <c r="F2236" s="1"/>
      <c r="G2236" s="1"/>
      <c r="H2236" s="1"/>
      <c r="I2236" s="1"/>
      <c r="J2236" s="1"/>
      <c r="K2236" s="1"/>
      <c r="L2236" s="1"/>
      <c r="M2236" s="1"/>
      <c r="N2236" s="1"/>
      <c r="O2236" s="3"/>
    </row>
    <row r="2237" spans="1:15" ht="13.8">
      <c r="A2237" s="1"/>
      <c r="B2237" s="1"/>
      <c r="C2237" s="1"/>
      <c r="D2237" s="1"/>
      <c r="E2237" s="1"/>
      <c r="F2237" s="1"/>
      <c r="G2237" s="1"/>
      <c r="H2237" s="1"/>
      <c r="I2237" s="1"/>
      <c r="J2237" s="1"/>
      <c r="K2237" s="1"/>
      <c r="L2237" s="1"/>
      <c r="M2237" s="1"/>
      <c r="N2237" s="1"/>
      <c r="O2237" s="3"/>
    </row>
    <row r="2238" spans="1:15" ht="13.8">
      <c r="A2238" s="1"/>
      <c r="B2238" s="1"/>
      <c r="C2238" s="1"/>
      <c r="D2238" s="1"/>
      <c r="E2238" s="1"/>
      <c r="F2238" s="1"/>
      <c r="G2238" s="1"/>
      <c r="H2238" s="1"/>
      <c r="I2238" s="1"/>
      <c r="J2238" s="1"/>
      <c r="K2238" s="1"/>
      <c r="L2238" s="1"/>
      <c r="M2238" s="1"/>
      <c r="N2238" s="1"/>
      <c r="O2238" s="3"/>
    </row>
    <row r="2239" spans="1:15" ht="13.8">
      <c r="A2239" s="1"/>
      <c r="B2239" s="1"/>
      <c r="C2239" s="1"/>
      <c r="D2239" s="1"/>
      <c r="E2239" s="1"/>
      <c r="F2239" s="1"/>
      <c r="G2239" s="1"/>
      <c r="H2239" s="1"/>
      <c r="I2239" s="1"/>
      <c r="J2239" s="1"/>
      <c r="K2239" s="1"/>
      <c r="L2239" s="1"/>
      <c r="M2239" s="1"/>
      <c r="N2239" s="1"/>
      <c r="O2239" s="3"/>
    </row>
    <row r="2240" spans="1:15" ht="13.8">
      <c r="A2240" s="1"/>
      <c r="B2240" s="1"/>
      <c r="C2240" s="1"/>
      <c r="D2240" s="1"/>
      <c r="E2240" s="1"/>
      <c r="F2240" s="1"/>
      <c r="G2240" s="1"/>
      <c r="H2240" s="1"/>
      <c r="I2240" s="1"/>
      <c r="J2240" s="1"/>
      <c r="K2240" s="1"/>
      <c r="L2240" s="1"/>
      <c r="M2240" s="1"/>
      <c r="N2240" s="1"/>
      <c r="O2240" s="3"/>
    </row>
    <row r="2241" spans="1:15" ht="13.8">
      <c r="A2241" s="1"/>
      <c r="B2241" s="1"/>
      <c r="C2241" s="1"/>
      <c r="D2241" s="1"/>
      <c r="E2241" s="1"/>
      <c r="F2241" s="1"/>
      <c r="G2241" s="1"/>
      <c r="H2241" s="1"/>
      <c r="I2241" s="1"/>
      <c r="J2241" s="1"/>
      <c r="K2241" s="1"/>
      <c r="L2241" s="1"/>
      <c r="M2241" s="1"/>
      <c r="N2241" s="1"/>
      <c r="O2241" s="3"/>
    </row>
    <row r="2242" spans="1:15" ht="13.8">
      <c r="A2242" s="1"/>
      <c r="B2242" s="1"/>
      <c r="C2242" s="1"/>
      <c r="D2242" s="1"/>
      <c r="E2242" s="1"/>
      <c r="F2242" s="1"/>
      <c r="G2242" s="1"/>
      <c r="H2242" s="1"/>
      <c r="I2242" s="1"/>
      <c r="J2242" s="1"/>
      <c r="K2242" s="1"/>
      <c r="L2242" s="1"/>
      <c r="M2242" s="1"/>
      <c r="N2242" s="1"/>
      <c r="O2242" s="3"/>
    </row>
    <row r="2243" spans="1:15" ht="13.8">
      <c r="A2243" s="1"/>
      <c r="B2243" s="1"/>
      <c r="C2243" s="1"/>
      <c r="D2243" s="1"/>
      <c r="E2243" s="1"/>
      <c r="F2243" s="1"/>
      <c r="G2243" s="1"/>
      <c r="H2243" s="1"/>
      <c r="I2243" s="1"/>
      <c r="J2243" s="1"/>
      <c r="K2243" s="1"/>
      <c r="L2243" s="1"/>
      <c r="M2243" s="1"/>
      <c r="N2243" s="1"/>
      <c r="O2243" s="3"/>
    </row>
    <row r="2244" spans="1:15" ht="13.8">
      <c r="A2244" s="1"/>
      <c r="B2244" s="1"/>
      <c r="C2244" s="1"/>
      <c r="D2244" s="1"/>
      <c r="E2244" s="1"/>
      <c r="F2244" s="1"/>
      <c r="G2244" s="1"/>
      <c r="H2244" s="1"/>
      <c r="I2244" s="1"/>
      <c r="J2244" s="1"/>
      <c r="K2244" s="1"/>
      <c r="L2244" s="1"/>
      <c r="M2244" s="1"/>
      <c r="N2244" s="1"/>
      <c r="O2244" s="3"/>
    </row>
    <row r="2245" spans="1:15" ht="13.8">
      <c r="A2245" s="1"/>
      <c r="B2245" s="1"/>
      <c r="C2245" s="1"/>
      <c r="D2245" s="1"/>
      <c r="E2245" s="1"/>
      <c r="F2245" s="1"/>
      <c r="G2245" s="1"/>
      <c r="H2245" s="1"/>
      <c r="I2245" s="1"/>
      <c r="J2245" s="1"/>
      <c r="K2245" s="1"/>
      <c r="L2245" s="1"/>
      <c r="M2245" s="1"/>
      <c r="N2245" s="1"/>
      <c r="O2245" s="3"/>
    </row>
    <row r="2246" spans="1:15" ht="13.8">
      <c r="A2246" s="1"/>
      <c r="B2246" s="1"/>
      <c r="C2246" s="1"/>
      <c r="D2246" s="1"/>
      <c r="E2246" s="1"/>
      <c r="F2246" s="1"/>
      <c r="G2246" s="1"/>
      <c r="H2246" s="1"/>
      <c r="I2246" s="1"/>
      <c r="J2246" s="1"/>
      <c r="K2246" s="1"/>
      <c r="L2246" s="1"/>
      <c r="M2246" s="1"/>
      <c r="N2246" s="1"/>
      <c r="O2246" s="3"/>
    </row>
    <row r="2247" spans="1:15" ht="13.8">
      <c r="A2247" s="1"/>
      <c r="B2247" s="1"/>
      <c r="C2247" s="1"/>
      <c r="D2247" s="1"/>
      <c r="E2247" s="1"/>
      <c r="F2247" s="1"/>
      <c r="G2247" s="1"/>
      <c r="H2247" s="1"/>
      <c r="I2247" s="1"/>
      <c r="J2247" s="1"/>
      <c r="K2247" s="1"/>
      <c r="L2247" s="1"/>
      <c r="M2247" s="1"/>
      <c r="N2247" s="1"/>
      <c r="O2247" s="3"/>
    </row>
    <row r="2248" spans="1:15" ht="13.8">
      <c r="A2248" s="1"/>
      <c r="B2248" s="1"/>
      <c r="C2248" s="1"/>
      <c r="D2248" s="1"/>
      <c r="E2248" s="1"/>
      <c r="F2248" s="1"/>
      <c r="G2248" s="1"/>
      <c r="H2248" s="1"/>
      <c r="I2248" s="1"/>
      <c r="J2248" s="1"/>
      <c r="K2248" s="1"/>
      <c r="L2248" s="1"/>
      <c r="M2248" s="1"/>
      <c r="N2248" s="1"/>
      <c r="O2248" s="3"/>
    </row>
    <row r="2249" spans="1:15" ht="13.8">
      <c r="A2249" s="1"/>
      <c r="B2249" s="1"/>
      <c r="C2249" s="1"/>
      <c r="D2249" s="1"/>
      <c r="E2249" s="1"/>
      <c r="F2249" s="1"/>
      <c r="G2249" s="1"/>
      <c r="H2249" s="1"/>
      <c r="I2249" s="1"/>
      <c r="J2249" s="1"/>
      <c r="K2249" s="1"/>
      <c r="L2249" s="1"/>
      <c r="M2249" s="1"/>
      <c r="N2249" s="1"/>
      <c r="O2249" s="3"/>
    </row>
    <row r="2250" spans="1:15" ht="13.8">
      <c r="A2250" s="1"/>
      <c r="B2250" s="1"/>
      <c r="C2250" s="1"/>
      <c r="D2250" s="1"/>
      <c r="E2250" s="1"/>
      <c r="F2250" s="1"/>
      <c r="G2250" s="1"/>
      <c r="H2250" s="1"/>
      <c r="I2250" s="1"/>
      <c r="J2250" s="1"/>
      <c r="K2250" s="1"/>
      <c r="L2250" s="1"/>
      <c r="M2250" s="1"/>
      <c r="N2250" s="1"/>
      <c r="O2250" s="3"/>
    </row>
    <row r="2251" spans="1:15" ht="13.8">
      <c r="A2251" s="1"/>
      <c r="B2251" s="1"/>
      <c r="C2251" s="1"/>
      <c r="D2251" s="1"/>
      <c r="E2251" s="1"/>
      <c r="F2251" s="1"/>
      <c r="G2251" s="1"/>
      <c r="H2251" s="1"/>
      <c r="I2251" s="1"/>
      <c r="J2251" s="1"/>
      <c r="K2251" s="1"/>
      <c r="L2251" s="1"/>
      <c r="M2251" s="1"/>
      <c r="N2251" s="1"/>
      <c r="O2251" s="3"/>
    </row>
    <row r="2252" spans="1:15" ht="13.8">
      <c r="A2252" s="1"/>
      <c r="B2252" s="1"/>
      <c r="C2252" s="1"/>
      <c r="D2252" s="1"/>
      <c r="E2252" s="1"/>
      <c r="F2252" s="1"/>
      <c r="G2252" s="1"/>
      <c r="H2252" s="1"/>
      <c r="I2252" s="1"/>
      <c r="J2252" s="1"/>
      <c r="K2252" s="1"/>
      <c r="L2252" s="1"/>
      <c r="M2252" s="1"/>
      <c r="N2252" s="1"/>
      <c r="O2252" s="3"/>
    </row>
    <row r="2253" spans="1:15" ht="13.8">
      <c r="A2253" s="1"/>
      <c r="B2253" s="1"/>
      <c r="C2253" s="1"/>
      <c r="D2253" s="1"/>
      <c r="E2253" s="1"/>
      <c r="F2253" s="1"/>
      <c r="G2253" s="1"/>
      <c r="H2253" s="1"/>
      <c r="I2253" s="1"/>
      <c r="J2253" s="1"/>
      <c r="K2253" s="1"/>
      <c r="L2253" s="1"/>
      <c r="M2253" s="1"/>
      <c r="N2253" s="1"/>
      <c r="O2253" s="3"/>
    </row>
    <row r="2254" spans="1:15" ht="13.8">
      <c r="A2254" s="1"/>
      <c r="B2254" s="1"/>
      <c r="C2254" s="1"/>
      <c r="D2254" s="1"/>
      <c r="E2254" s="1"/>
      <c r="F2254" s="1"/>
      <c r="G2254" s="1"/>
      <c r="H2254" s="1"/>
      <c r="I2254" s="1"/>
      <c r="J2254" s="1"/>
      <c r="K2254" s="1"/>
      <c r="L2254" s="1"/>
      <c r="M2254" s="1"/>
      <c r="N2254" s="1"/>
      <c r="O2254" s="3"/>
    </row>
    <row r="2255" spans="1:15" ht="13.8">
      <c r="A2255" s="1"/>
      <c r="B2255" s="1"/>
      <c r="C2255" s="1"/>
      <c r="D2255" s="1"/>
      <c r="E2255" s="1"/>
      <c r="F2255" s="1"/>
      <c r="G2255" s="1"/>
      <c r="H2255" s="1"/>
      <c r="I2255" s="1"/>
      <c r="J2255" s="1"/>
      <c r="K2255" s="1"/>
      <c r="L2255" s="1"/>
      <c r="M2255" s="1"/>
      <c r="N2255" s="1"/>
      <c r="O2255" s="3"/>
    </row>
    <row r="2256" spans="1:15" ht="13.8">
      <c r="A2256" s="1"/>
      <c r="B2256" s="1"/>
      <c r="C2256" s="1"/>
      <c r="D2256" s="1"/>
      <c r="E2256" s="1"/>
      <c r="F2256" s="1"/>
      <c r="G2256" s="1"/>
      <c r="H2256" s="1"/>
      <c r="I2256" s="1"/>
      <c r="J2256" s="1"/>
      <c r="K2256" s="1"/>
      <c r="L2256" s="1"/>
      <c r="M2256" s="1"/>
      <c r="N2256" s="1"/>
      <c r="O2256" s="3"/>
    </row>
    <row r="2257" spans="1:15" ht="13.8">
      <c r="A2257" s="1"/>
      <c r="B2257" s="1"/>
      <c r="C2257" s="1"/>
      <c r="D2257" s="1"/>
      <c r="E2257" s="1"/>
      <c r="F2257" s="1"/>
      <c r="G2257" s="1"/>
      <c r="H2257" s="1"/>
      <c r="I2257" s="1"/>
      <c r="J2257" s="1"/>
      <c r="K2257" s="1"/>
      <c r="L2257" s="1"/>
      <c r="M2257" s="1"/>
      <c r="N2257" s="1"/>
      <c r="O2257" s="3"/>
    </row>
    <row r="2258" spans="1:15" ht="13.8">
      <c r="A2258" s="1"/>
      <c r="B2258" s="1"/>
      <c r="C2258" s="1"/>
      <c r="D2258" s="1"/>
      <c r="E2258" s="1"/>
      <c r="F2258" s="1"/>
      <c r="G2258" s="1"/>
      <c r="H2258" s="1"/>
      <c r="I2258" s="1"/>
      <c r="J2258" s="1"/>
      <c r="K2258" s="1"/>
      <c r="L2258" s="1"/>
      <c r="M2258" s="1"/>
      <c r="N2258" s="1"/>
      <c r="O2258" s="3"/>
    </row>
    <row r="2259" spans="1:15" ht="13.8">
      <c r="A2259" s="1"/>
      <c r="B2259" s="1"/>
      <c r="C2259" s="1"/>
      <c r="D2259" s="1"/>
      <c r="E2259" s="1"/>
      <c r="F2259" s="1"/>
      <c r="G2259" s="1"/>
      <c r="H2259" s="1"/>
      <c r="I2259" s="1"/>
      <c r="J2259" s="1"/>
      <c r="K2259" s="1"/>
      <c r="L2259" s="1"/>
      <c r="M2259" s="1"/>
      <c r="N2259" s="1"/>
      <c r="O2259" s="3"/>
    </row>
    <row r="2260" spans="1:15" ht="13.8">
      <c r="A2260" s="1"/>
      <c r="B2260" s="1"/>
      <c r="C2260" s="1"/>
      <c r="D2260" s="1"/>
      <c r="E2260" s="1"/>
      <c r="F2260" s="1"/>
      <c r="G2260" s="1"/>
      <c r="H2260" s="1"/>
      <c r="I2260" s="1"/>
      <c r="J2260" s="1"/>
      <c r="K2260" s="1"/>
      <c r="L2260" s="1"/>
      <c r="M2260" s="1"/>
      <c r="N2260" s="1"/>
      <c r="O2260" s="3"/>
    </row>
    <row r="2261" spans="1:15" ht="13.8">
      <c r="A2261" s="1"/>
      <c r="B2261" s="1"/>
      <c r="C2261" s="1"/>
      <c r="D2261" s="1"/>
      <c r="E2261" s="1"/>
      <c r="F2261" s="1"/>
      <c r="G2261" s="1"/>
      <c r="H2261" s="1"/>
      <c r="I2261" s="1"/>
      <c r="J2261" s="1"/>
      <c r="K2261" s="1"/>
      <c r="L2261" s="1"/>
      <c r="M2261" s="1"/>
      <c r="N2261" s="1"/>
      <c r="O2261" s="3"/>
    </row>
    <row r="2262" spans="1:15" ht="13.8">
      <c r="A2262" s="1"/>
      <c r="B2262" s="1"/>
      <c r="C2262" s="1"/>
      <c r="D2262" s="1"/>
      <c r="E2262" s="1"/>
      <c r="F2262" s="1"/>
      <c r="G2262" s="1"/>
      <c r="H2262" s="1"/>
      <c r="I2262" s="1"/>
      <c r="J2262" s="1"/>
      <c r="K2262" s="1"/>
      <c r="L2262" s="1"/>
      <c r="M2262" s="1"/>
      <c r="N2262" s="1"/>
      <c r="O2262" s="3"/>
    </row>
    <row r="2263" spans="1:15" ht="13.8">
      <c r="A2263" s="1"/>
      <c r="B2263" s="1"/>
      <c r="C2263" s="1"/>
      <c r="D2263" s="1"/>
      <c r="E2263" s="1"/>
      <c r="F2263" s="1"/>
      <c r="G2263" s="1"/>
      <c r="H2263" s="1"/>
      <c r="I2263" s="1"/>
      <c r="J2263" s="1"/>
      <c r="K2263" s="1"/>
      <c r="L2263" s="1"/>
      <c r="M2263" s="1"/>
      <c r="N2263" s="1"/>
      <c r="O2263" s="3"/>
    </row>
    <row r="2264" spans="1:15" ht="13.8">
      <c r="A2264" s="1"/>
      <c r="B2264" s="1"/>
      <c r="C2264" s="1"/>
      <c r="D2264" s="1"/>
      <c r="E2264" s="1"/>
      <c r="F2264" s="1"/>
      <c r="G2264" s="1"/>
      <c r="H2264" s="1"/>
      <c r="I2264" s="1"/>
      <c r="J2264" s="1"/>
      <c r="K2264" s="1"/>
      <c r="L2264" s="1"/>
      <c r="M2264" s="1"/>
      <c r="N2264" s="1"/>
      <c r="O2264" s="3"/>
    </row>
    <row r="2265" spans="1:15" ht="13.8">
      <c r="A2265" s="1"/>
      <c r="B2265" s="1"/>
      <c r="C2265" s="1"/>
      <c r="D2265" s="1"/>
      <c r="E2265" s="1"/>
      <c r="F2265" s="1"/>
      <c r="G2265" s="1"/>
      <c r="H2265" s="1"/>
      <c r="I2265" s="1"/>
      <c r="J2265" s="1"/>
      <c r="K2265" s="1"/>
      <c r="L2265" s="1"/>
      <c r="M2265" s="1"/>
      <c r="N2265" s="1"/>
      <c r="O2265" s="3"/>
    </row>
    <row r="2266" spans="1:15" ht="13.8">
      <c r="A2266" s="1"/>
      <c r="B2266" s="1"/>
      <c r="C2266" s="1"/>
      <c r="D2266" s="1"/>
      <c r="E2266" s="1"/>
      <c r="F2266" s="1"/>
      <c r="G2266" s="1"/>
      <c r="H2266" s="1"/>
      <c r="I2266" s="1"/>
      <c r="J2266" s="1"/>
      <c r="K2266" s="1"/>
      <c r="L2266" s="1"/>
      <c r="M2266" s="1"/>
      <c r="N2266" s="1"/>
      <c r="O2266" s="3"/>
    </row>
    <row r="2267" spans="1:15" ht="13.8">
      <c r="A2267" s="1"/>
      <c r="B2267" s="1"/>
      <c r="C2267" s="1"/>
      <c r="D2267" s="1"/>
      <c r="E2267" s="1"/>
      <c r="F2267" s="1"/>
      <c r="G2267" s="1"/>
      <c r="H2267" s="1"/>
      <c r="I2267" s="1"/>
      <c r="J2267" s="1"/>
      <c r="K2267" s="1"/>
      <c r="L2267" s="1"/>
      <c r="M2267" s="1"/>
      <c r="N2267" s="1"/>
      <c r="O2267" s="3"/>
    </row>
    <row r="2268" spans="1:15" ht="13.8">
      <c r="A2268" s="1"/>
      <c r="B2268" s="1"/>
      <c r="C2268" s="1"/>
      <c r="D2268" s="1"/>
      <c r="E2268" s="1"/>
      <c r="F2268" s="1"/>
      <c r="G2268" s="1"/>
      <c r="H2268" s="1"/>
      <c r="I2268" s="1"/>
      <c r="J2268" s="1"/>
      <c r="K2268" s="1"/>
      <c r="L2268" s="1"/>
      <c r="M2268" s="1"/>
      <c r="N2268" s="1"/>
      <c r="O2268" s="3"/>
    </row>
    <row r="2269" spans="1:15" ht="13.8">
      <c r="A2269" s="1"/>
      <c r="B2269" s="1"/>
      <c r="C2269" s="1"/>
      <c r="D2269" s="1"/>
      <c r="E2269" s="1"/>
      <c r="F2269" s="1"/>
      <c r="G2269" s="1"/>
      <c r="H2269" s="1"/>
      <c r="I2269" s="1"/>
      <c r="J2269" s="1"/>
      <c r="K2269" s="1"/>
      <c r="L2269" s="1"/>
      <c r="M2269" s="1"/>
      <c r="N2269" s="1"/>
      <c r="O2269" s="3"/>
    </row>
    <row r="2270" spans="1:15" ht="13.8">
      <c r="A2270" s="1"/>
      <c r="B2270" s="1"/>
      <c r="C2270" s="1"/>
      <c r="D2270" s="1"/>
      <c r="E2270" s="1"/>
      <c r="F2270" s="1"/>
      <c r="G2270" s="1"/>
      <c r="H2270" s="1"/>
      <c r="I2270" s="1"/>
      <c r="J2270" s="1"/>
      <c r="K2270" s="1"/>
      <c r="L2270" s="1"/>
      <c r="M2270" s="1"/>
      <c r="N2270" s="1"/>
      <c r="O2270" s="3"/>
    </row>
    <row r="2271" spans="1:15" ht="13.8">
      <c r="A2271" s="1"/>
      <c r="B2271" s="1"/>
      <c r="C2271" s="1"/>
      <c r="D2271" s="1"/>
      <c r="E2271" s="1"/>
      <c r="F2271" s="1"/>
      <c r="G2271" s="1"/>
      <c r="H2271" s="1"/>
      <c r="I2271" s="1"/>
      <c r="J2271" s="1"/>
      <c r="K2271" s="1"/>
      <c r="L2271" s="1"/>
      <c r="M2271" s="1"/>
      <c r="N2271" s="1"/>
      <c r="O2271" s="3"/>
    </row>
    <row r="2272" spans="1:15" ht="13.8">
      <c r="A2272" s="1"/>
      <c r="B2272" s="1"/>
      <c r="C2272" s="1"/>
      <c r="D2272" s="1"/>
      <c r="E2272" s="1"/>
      <c r="F2272" s="1"/>
      <c r="G2272" s="1"/>
      <c r="H2272" s="1"/>
      <c r="I2272" s="1"/>
      <c r="J2272" s="1"/>
      <c r="K2272" s="1"/>
      <c r="L2272" s="1"/>
      <c r="M2272" s="1"/>
      <c r="N2272" s="1"/>
      <c r="O2272" s="3"/>
    </row>
    <row r="2273" spans="1:15" ht="13.8">
      <c r="A2273" s="1"/>
      <c r="B2273" s="1"/>
      <c r="C2273" s="1"/>
      <c r="D2273" s="1"/>
      <c r="E2273" s="1"/>
      <c r="F2273" s="1"/>
      <c r="G2273" s="1"/>
      <c r="H2273" s="1"/>
      <c r="I2273" s="1"/>
      <c r="J2273" s="1"/>
      <c r="K2273" s="1"/>
      <c r="L2273" s="1"/>
      <c r="M2273" s="1"/>
      <c r="N2273" s="1"/>
      <c r="O2273" s="3"/>
    </row>
    <row r="2274" spans="1:15" ht="13.8">
      <c r="A2274" s="1"/>
      <c r="B2274" s="1"/>
      <c r="C2274" s="1"/>
      <c r="D2274" s="1"/>
      <c r="E2274" s="1"/>
      <c r="F2274" s="1"/>
      <c r="G2274" s="1"/>
      <c r="H2274" s="1"/>
      <c r="I2274" s="1"/>
      <c r="J2274" s="1"/>
      <c r="K2274" s="1"/>
      <c r="L2274" s="1"/>
      <c r="M2274" s="1"/>
      <c r="N2274" s="1"/>
      <c r="O2274" s="3"/>
    </row>
    <row r="2275" spans="1:15" ht="13.8">
      <c r="A2275" s="1"/>
      <c r="B2275" s="1"/>
      <c r="C2275" s="1"/>
      <c r="D2275" s="1"/>
      <c r="E2275" s="1"/>
      <c r="F2275" s="1"/>
      <c r="G2275" s="1"/>
      <c r="H2275" s="1"/>
      <c r="I2275" s="1"/>
      <c r="J2275" s="1"/>
      <c r="K2275" s="1"/>
      <c r="L2275" s="1"/>
      <c r="M2275" s="1"/>
      <c r="N2275" s="1"/>
      <c r="O2275" s="3"/>
    </row>
    <row r="2276" spans="1:15" ht="13.8">
      <c r="A2276" s="1"/>
      <c r="B2276" s="1"/>
      <c r="C2276" s="1"/>
      <c r="D2276" s="1"/>
      <c r="E2276" s="1"/>
      <c r="F2276" s="1"/>
      <c r="G2276" s="1"/>
      <c r="H2276" s="1"/>
      <c r="I2276" s="1"/>
      <c r="J2276" s="1"/>
      <c r="K2276" s="1"/>
      <c r="L2276" s="1"/>
      <c r="M2276" s="1"/>
      <c r="N2276" s="1"/>
      <c r="O2276" s="3"/>
    </row>
    <row r="2277" spans="1:15" ht="13.8">
      <c r="A2277" s="1"/>
      <c r="B2277" s="1"/>
      <c r="C2277" s="1"/>
      <c r="D2277" s="1"/>
      <c r="E2277" s="1"/>
      <c r="F2277" s="1"/>
      <c r="G2277" s="1"/>
      <c r="H2277" s="1"/>
      <c r="I2277" s="1"/>
      <c r="J2277" s="1"/>
      <c r="K2277" s="1"/>
      <c r="L2277" s="1"/>
      <c r="M2277" s="1"/>
      <c r="N2277" s="1"/>
      <c r="O2277" s="3"/>
    </row>
    <row r="2278" spans="1:15" ht="13.8">
      <c r="A2278" s="1"/>
      <c r="B2278" s="1"/>
      <c r="C2278" s="1"/>
      <c r="D2278" s="1"/>
      <c r="E2278" s="1"/>
      <c r="F2278" s="1"/>
      <c r="G2278" s="1"/>
      <c r="H2278" s="1"/>
      <c r="I2278" s="1"/>
      <c r="J2278" s="1"/>
      <c r="K2278" s="1"/>
      <c r="L2278" s="1"/>
      <c r="M2278" s="1"/>
      <c r="N2278" s="1"/>
      <c r="O2278" s="3"/>
    </row>
    <row r="2279" spans="1:15" ht="13.8">
      <c r="A2279" s="1"/>
      <c r="B2279" s="1"/>
      <c r="C2279" s="1"/>
      <c r="D2279" s="1"/>
      <c r="E2279" s="1"/>
      <c r="F2279" s="1"/>
      <c r="G2279" s="1"/>
      <c r="H2279" s="1"/>
      <c r="I2279" s="1"/>
      <c r="J2279" s="1"/>
      <c r="K2279" s="1"/>
      <c r="L2279" s="1"/>
      <c r="M2279" s="1"/>
      <c r="N2279" s="1"/>
      <c r="O2279" s="3"/>
    </row>
    <row r="2280" spans="1:15" ht="13.8">
      <c r="A2280" s="1"/>
      <c r="B2280" s="1"/>
      <c r="C2280" s="1"/>
      <c r="D2280" s="1"/>
      <c r="E2280" s="1"/>
      <c r="F2280" s="1"/>
      <c r="G2280" s="1"/>
      <c r="H2280" s="1"/>
      <c r="I2280" s="1"/>
      <c r="J2280" s="1"/>
      <c r="K2280" s="1"/>
      <c r="L2280" s="1"/>
      <c r="M2280" s="1"/>
      <c r="N2280" s="1"/>
      <c r="O2280" s="3"/>
    </row>
    <row r="2281" spans="1:15" ht="13.8">
      <c r="A2281" s="1"/>
      <c r="B2281" s="1"/>
      <c r="C2281" s="1"/>
      <c r="D2281" s="1"/>
      <c r="E2281" s="1"/>
      <c r="F2281" s="1"/>
      <c r="G2281" s="1"/>
      <c r="H2281" s="1"/>
      <c r="I2281" s="1"/>
      <c r="J2281" s="1"/>
      <c r="K2281" s="1"/>
      <c r="L2281" s="1"/>
      <c r="M2281" s="1"/>
      <c r="N2281" s="1"/>
      <c r="O2281" s="3"/>
    </row>
    <row r="2282" spans="1:15" ht="13.8">
      <c r="A2282" s="1"/>
      <c r="B2282" s="1"/>
      <c r="C2282" s="1"/>
      <c r="D2282" s="1"/>
      <c r="E2282" s="1"/>
      <c r="F2282" s="1"/>
      <c r="G2282" s="1"/>
      <c r="H2282" s="1"/>
      <c r="I2282" s="1"/>
      <c r="J2282" s="1"/>
      <c r="K2282" s="1"/>
      <c r="L2282" s="1"/>
      <c r="M2282" s="1"/>
      <c r="N2282" s="1"/>
      <c r="O2282" s="3"/>
    </row>
    <row r="2283" spans="1:15" ht="13.8">
      <c r="A2283" s="1"/>
      <c r="B2283" s="1"/>
      <c r="C2283" s="1"/>
      <c r="D2283" s="1"/>
      <c r="E2283" s="1"/>
      <c r="F2283" s="1"/>
      <c r="G2283" s="1"/>
      <c r="H2283" s="1"/>
      <c r="I2283" s="1"/>
      <c r="J2283" s="1"/>
      <c r="K2283" s="1"/>
      <c r="L2283" s="1"/>
      <c r="M2283" s="1"/>
      <c r="N2283" s="1"/>
      <c r="O2283" s="3"/>
    </row>
    <row r="2284" spans="1:15" ht="13.8">
      <c r="A2284" s="1"/>
      <c r="B2284" s="1"/>
      <c r="C2284" s="1"/>
      <c r="D2284" s="1"/>
      <c r="E2284" s="1"/>
      <c r="F2284" s="1"/>
      <c r="G2284" s="1"/>
      <c r="H2284" s="1"/>
      <c r="I2284" s="1"/>
      <c r="J2284" s="1"/>
      <c r="K2284" s="1"/>
      <c r="L2284" s="1"/>
      <c r="M2284" s="1"/>
      <c r="N2284" s="1"/>
      <c r="O2284" s="3"/>
    </row>
    <row r="2285" spans="1:15" ht="13.8">
      <c r="A2285" s="1"/>
      <c r="B2285" s="1"/>
      <c r="C2285" s="1"/>
      <c r="D2285" s="1"/>
      <c r="E2285" s="1"/>
      <c r="F2285" s="1"/>
      <c r="G2285" s="1"/>
      <c r="H2285" s="1"/>
      <c r="I2285" s="1"/>
      <c r="J2285" s="1"/>
      <c r="K2285" s="1"/>
      <c r="L2285" s="1"/>
      <c r="M2285" s="1"/>
      <c r="N2285" s="1"/>
      <c r="O2285" s="3"/>
    </row>
    <row r="2286" spans="1:15" ht="13.8">
      <c r="A2286" s="1"/>
      <c r="B2286" s="1"/>
      <c r="C2286" s="1"/>
      <c r="D2286" s="1"/>
      <c r="E2286" s="1"/>
      <c r="F2286" s="1"/>
      <c r="G2286" s="1"/>
      <c r="H2286" s="1"/>
      <c r="I2286" s="1"/>
      <c r="J2286" s="1"/>
      <c r="K2286" s="1"/>
      <c r="L2286" s="1"/>
      <c r="M2286" s="1"/>
      <c r="N2286" s="1"/>
      <c r="O2286" s="3"/>
    </row>
    <row r="2287" spans="1:15" ht="13.8">
      <c r="A2287" s="1"/>
      <c r="B2287" s="1"/>
      <c r="C2287" s="1"/>
      <c r="D2287" s="1"/>
      <c r="E2287" s="1"/>
      <c r="F2287" s="1"/>
      <c r="G2287" s="1"/>
      <c r="H2287" s="1"/>
      <c r="I2287" s="1"/>
      <c r="J2287" s="1"/>
      <c r="K2287" s="1"/>
      <c r="L2287" s="1"/>
      <c r="M2287" s="1"/>
      <c r="N2287" s="1"/>
      <c r="O2287" s="3"/>
    </row>
    <row r="2288" spans="1:15" ht="13.8">
      <c r="A2288" s="1"/>
      <c r="B2288" s="1"/>
      <c r="C2288" s="1"/>
      <c r="D2288" s="1"/>
      <c r="E2288" s="1"/>
      <c r="F2288" s="1"/>
      <c r="G2288" s="1"/>
      <c r="H2288" s="1"/>
      <c r="I2288" s="1"/>
      <c r="J2288" s="1"/>
      <c r="K2288" s="1"/>
      <c r="L2288" s="1"/>
      <c r="M2288" s="1"/>
      <c r="N2288" s="1"/>
      <c r="O2288" s="3"/>
    </row>
    <row r="2289" spans="1:15" ht="13.8">
      <c r="A2289" s="1"/>
      <c r="B2289" s="1"/>
      <c r="C2289" s="1"/>
      <c r="D2289" s="1"/>
      <c r="E2289" s="1"/>
      <c r="F2289" s="1"/>
      <c r="G2289" s="1"/>
      <c r="H2289" s="1"/>
      <c r="I2289" s="1"/>
      <c r="J2289" s="1"/>
      <c r="K2289" s="1"/>
      <c r="L2289" s="1"/>
      <c r="M2289" s="1"/>
      <c r="N2289" s="1"/>
      <c r="O2289" s="3"/>
    </row>
    <row r="2290" spans="1:15" ht="13.8">
      <c r="A2290" s="1"/>
      <c r="B2290" s="1"/>
      <c r="C2290" s="1"/>
      <c r="D2290" s="1"/>
      <c r="E2290" s="1"/>
      <c r="F2290" s="1"/>
      <c r="G2290" s="1"/>
      <c r="H2290" s="1"/>
      <c r="I2290" s="1"/>
      <c r="J2290" s="1"/>
      <c r="K2290" s="1"/>
      <c r="L2290" s="1"/>
      <c r="M2290" s="1"/>
      <c r="N2290" s="1"/>
      <c r="O2290" s="3"/>
    </row>
    <row r="2291" spans="1:15" ht="13.8">
      <c r="A2291" s="1"/>
      <c r="B2291" s="1"/>
      <c r="C2291" s="1"/>
      <c r="D2291" s="1"/>
      <c r="E2291" s="1"/>
      <c r="F2291" s="1"/>
      <c r="G2291" s="1"/>
      <c r="H2291" s="1"/>
      <c r="I2291" s="1"/>
      <c r="J2291" s="1"/>
      <c r="K2291" s="1"/>
      <c r="L2291" s="1"/>
      <c r="M2291" s="1"/>
      <c r="N2291" s="1"/>
      <c r="O2291" s="3"/>
    </row>
    <row r="2292" spans="1:15" ht="13.8">
      <c r="A2292" s="1"/>
      <c r="B2292" s="1"/>
      <c r="C2292" s="1"/>
      <c r="D2292" s="1"/>
      <c r="E2292" s="1"/>
      <c r="F2292" s="1"/>
      <c r="G2292" s="1"/>
      <c r="H2292" s="1"/>
      <c r="I2292" s="1"/>
      <c r="J2292" s="1"/>
      <c r="K2292" s="1"/>
      <c r="L2292" s="1"/>
      <c r="M2292" s="1"/>
      <c r="N2292" s="1"/>
      <c r="O2292" s="3"/>
    </row>
    <row r="2293" spans="1:15" ht="13.8">
      <c r="A2293" s="1"/>
      <c r="B2293" s="1"/>
      <c r="C2293" s="1"/>
      <c r="D2293" s="1"/>
      <c r="E2293" s="1"/>
      <c r="F2293" s="1"/>
      <c r="G2293" s="1"/>
      <c r="H2293" s="1"/>
      <c r="I2293" s="1"/>
      <c r="J2293" s="1"/>
      <c r="K2293" s="1"/>
      <c r="L2293" s="1"/>
      <c r="M2293" s="1"/>
      <c r="N2293" s="1"/>
      <c r="O2293" s="3"/>
    </row>
    <row r="2294" spans="1:15" ht="13.8">
      <c r="A2294" s="1"/>
      <c r="B2294" s="1"/>
      <c r="C2294" s="1"/>
      <c r="D2294" s="1"/>
      <c r="E2294" s="1"/>
      <c r="F2294" s="1"/>
      <c r="G2294" s="1"/>
      <c r="H2294" s="1"/>
      <c r="I2294" s="1"/>
      <c r="J2294" s="1"/>
      <c r="K2294" s="1"/>
      <c r="L2294" s="1"/>
      <c r="M2294" s="1"/>
      <c r="N2294" s="1"/>
      <c r="O2294" s="3"/>
    </row>
    <row r="2295" spans="1:15" ht="13.8">
      <c r="A2295" s="1"/>
      <c r="B2295" s="1"/>
      <c r="C2295" s="1"/>
      <c r="D2295" s="1"/>
      <c r="E2295" s="1"/>
      <c r="F2295" s="1"/>
      <c r="G2295" s="1"/>
      <c r="H2295" s="1"/>
      <c r="I2295" s="1"/>
      <c r="J2295" s="1"/>
      <c r="K2295" s="1"/>
      <c r="L2295" s="1"/>
      <c r="M2295" s="1"/>
      <c r="N2295" s="1"/>
      <c r="O2295" s="3"/>
    </row>
    <row r="2296" spans="1:15" ht="13.8">
      <c r="A2296" s="1"/>
      <c r="B2296" s="1"/>
      <c r="C2296" s="1"/>
      <c r="D2296" s="1"/>
      <c r="E2296" s="1"/>
      <c r="F2296" s="1"/>
      <c r="G2296" s="1"/>
      <c r="H2296" s="1"/>
      <c r="I2296" s="1"/>
      <c r="J2296" s="1"/>
      <c r="K2296" s="1"/>
      <c r="L2296" s="1"/>
      <c r="M2296" s="1"/>
      <c r="N2296" s="1"/>
      <c r="O2296" s="3"/>
    </row>
    <row r="2297" spans="1:15" ht="13.8">
      <c r="A2297" s="1"/>
      <c r="B2297" s="1"/>
      <c r="C2297" s="1"/>
      <c r="D2297" s="1"/>
      <c r="E2297" s="1"/>
      <c r="F2297" s="1"/>
      <c r="G2297" s="1"/>
      <c r="H2297" s="1"/>
      <c r="I2297" s="1"/>
      <c r="J2297" s="1"/>
      <c r="K2297" s="1"/>
      <c r="L2297" s="1"/>
      <c r="M2297" s="1"/>
      <c r="N2297" s="1"/>
      <c r="O2297" s="3"/>
    </row>
    <row r="2298" spans="1:15" ht="13.8">
      <c r="A2298" s="1"/>
      <c r="B2298" s="1"/>
      <c r="C2298" s="1"/>
      <c r="D2298" s="1"/>
      <c r="E2298" s="1"/>
      <c r="F2298" s="1"/>
      <c r="G2298" s="1"/>
      <c r="H2298" s="1"/>
      <c r="I2298" s="1"/>
      <c r="J2298" s="1"/>
      <c r="K2298" s="1"/>
      <c r="L2298" s="1"/>
      <c r="M2298" s="1"/>
      <c r="N2298" s="1"/>
      <c r="O2298" s="3"/>
    </row>
    <row r="2299" spans="1:15" ht="13.8">
      <c r="A2299" s="1"/>
      <c r="B2299" s="1"/>
      <c r="C2299" s="1"/>
      <c r="D2299" s="1"/>
      <c r="E2299" s="1"/>
      <c r="F2299" s="1"/>
      <c r="G2299" s="1"/>
      <c r="H2299" s="1"/>
      <c r="I2299" s="1"/>
      <c r="J2299" s="1"/>
      <c r="K2299" s="1"/>
      <c r="L2299" s="1"/>
      <c r="M2299" s="1"/>
      <c r="N2299" s="1"/>
      <c r="O2299" s="3"/>
    </row>
    <row r="2300" spans="1:15" ht="13.8">
      <c r="A2300" s="1"/>
      <c r="B2300" s="1"/>
      <c r="C2300" s="1"/>
      <c r="D2300" s="1"/>
      <c r="E2300" s="1"/>
      <c r="F2300" s="1"/>
      <c r="G2300" s="1"/>
      <c r="H2300" s="1"/>
      <c r="I2300" s="1"/>
      <c r="J2300" s="1"/>
      <c r="K2300" s="1"/>
      <c r="L2300" s="1"/>
      <c r="M2300" s="1"/>
      <c r="N2300" s="1"/>
      <c r="O2300" s="3"/>
    </row>
    <row r="2301" spans="1:15" ht="13.8">
      <c r="A2301" s="1"/>
      <c r="B2301" s="1"/>
      <c r="C2301" s="1"/>
      <c r="D2301" s="1"/>
      <c r="E2301" s="1"/>
      <c r="F2301" s="1"/>
      <c r="G2301" s="1"/>
      <c r="H2301" s="1"/>
      <c r="I2301" s="1"/>
      <c r="J2301" s="1"/>
      <c r="K2301" s="1"/>
      <c r="L2301" s="1"/>
      <c r="M2301" s="1"/>
      <c r="N2301" s="1"/>
      <c r="O2301" s="3"/>
    </row>
    <row r="2302" spans="1:15" ht="13.8">
      <c r="A2302" s="1"/>
      <c r="B2302" s="1"/>
      <c r="C2302" s="1"/>
      <c r="D2302" s="1"/>
      <c r="E2302" s="1"/>
      <c r="F2302" s="1"/>
      <c r="G2302" s="1"/>
      <c r="H2302" s="1"/>
      <c r="I2302" s="1"/>
      <c r="J2302" s="1"/>
      <c r="K2302" s="1"/>
      <c r="L2302" s="1"/>
      <c r="M2302" s="1"/>
      <c r="N2302" s="1"/>
      <c r="O2302" s="3"/>
    </row>
    <row r="2303" spans="1:15" ht="13.8">
      <c r="A2303" s="1"/>
      <c r="B2303" s="1"/>
      <c r="C2303" s="1"/>
      <c r="D2303" s="1"/>
      <c r="E2303" s="1"/>
      <c r="F2303" s="1"/>
      <c r="G2303" s="1"/>
      <c r="H2303" s="1"/>
      <c r="I2303" s="1"/>
      <c r="J2303" s="1"/>
      <c r="K2303" s="1"/>
      <c r="L2303" s="1"/>
      <c r="M2303" s="1"/>
      <c r="N2303" s="1"/>
      <c r="O2303" s="3"/>
    </row>
    <row r="2304" spans="1:15" ht="13.8">
      <c r="A2304" s="1"/>
      <c r="B2304" s="1"/>
      <c r="C2304" s="1"/>
      <c r="D2304" s="1"/>
      <c r="E2304" s="1"/>
      <c r="F2304" s="1"/>
      <c r="G2304" s="1"/>
      <c r="H2304" s="1"/>
      <c r="I2304" s="1"/>
      <c r="J2304" s="1"/>
      <c r="K2304" s="1"/>
      <c r="L2304" s="1"/>
      <c r="M2304" s="1"/>
      <c r="N2304" s="1"/>
      <c r="O2304" s="3"/>
    </row>
    <row r="2305" spans="1:15" ht="13.8">
      <c r="A2305" s="1"/>
      <c r="B2305" s="1"/>
      <c r="C2305" s="1"/>
      <c r="D2305" s="1"/>
      <c r="E2305" s="1"/>
      <c r="F2305" s="1"/>
      <c r="G2305" s="1"/>
      <c r="H2305" s="1"/>
      <c r="I2305" s="1"/>
      <c r="J2305" s="1"/>
      <c r="K2305" s="1"/>
      <c r="L2305" s="1"/>
      <c r="M2305" s="1"/>
      <c r="N2305" s="1"/>
      <c r="O2305" s="3"/>
    </row>
    <row r="2306" spans="1:15" ht="13.8">
      <c r="A2306" s="1"/>
      <c r="B2306" s="1"/>
      <c r="C2306" s="1"/>
      <c r="D2306" s="1"/>
      <c r="E2306" s="1"/>
      <c r="F2306" s="1"/>
      <c r="G2306" s="1"/>
      <c r="H2306" s="1"/>
      <c r="I2306" s="1"/>
      <c r="J2306" s="1"/>
      <c r="K2306" s="1"/>
      <c r="L2306" s="1"/>
      <c r="M2306" s="1"/>
      <c r="N2306" s="1"/>
      <c r="O2306" s="3"/>
    </row>
    <row r="2307" spans="1:15" ht="13.8">
      <c r="A2307" s="1"/>
      <c r="B2307" s="1"/>
      <c r="C2307" s="1"/>
      <c r="D2307" s="1"/>
      <c r="E2307" s="1"/>
      <c r="F2307" s="1"/>
      <c r="G2307" s="1"/>
      <c r="H2307" s="1"/>
      <c r="I2307" s="1"/>
      <c r="J2307" s="1"/>
      <c r="K2307" s="1"/>
      <c r="L2307" s="1"/>
      <c r="M2307" s="1"/>
      <c r="N2307" s="1"/>
      <c r="O2307" s="3"/>
    </row>
    <row r="2308" spans="1:15" ht="13.8">
      <c r="A2308" s="1"/>
      <c r="B2308" s="1"/>
      <c r="C2308" s="1"/>
      <c r="D2308" s="1"/>
      <c r="E2308" s="1"/>
      <c r="F2308" s="1"/>
      <c r="G2308" s="1"/>
      <c r="H2308" s="1"/>
      <c r="I2308" s="1"/>
      <c r="J2308" s="1"/>
      <c r="K2308" s="1"/>
      <c r="L2308" s="1"/>
      <c r="M2308" s="1"/>
      <c r="N2308" s="1"/>
      <c r="O2308" s="3"/>
    </row>
    <row r="2309" spans="1:15" ht="13.8">
      <c r="A2309" s="1"/>
      <c r="B2309" s="1"/>
      <c r="C2309" s="1"/>
      <c r="D2309" s="1"/>
      <c r="E2309" s="1"/>
      <c r="F2309" s="1"/>
      <c r="G2309" s="1"/>
      <c r="H2309" s="1"/>
      <c r="I2309" s="1"/>
      <c r="J2309" s="1"/>
      <c r="K2309" s="1"/>
      <c r="L2309" s="1"/>
      <c r="M2309" s="1"/>
      <c r="N2309" s="1"/>
      <c r="O2309" s="3"/>
    </row>
    <row r="2310" spans="1:15" ht="13.8">
      <c r="A2310" s="1"/>
      <c r="B2310" s="1"/>
      <c r="C2310" s="1"/>
      <c r="D2310" s="1"/>
      <c r="E2310" s="1"/>
      <c r="F2310" s="1"/>
      <c r="G2310" s="1"/>
      <c r="H2310" s="1"/>
      <c r="I2310" s="1"/>
      <c r="J2310" s="1"/>
      <c r="K2310" s="1"/>
      <c r="L2310" s="1"/>
      <c r="M2310" s="1"/>
      <c r="N2310" s="1"/>
      <c r="O2310" s="3"/>
    </row>
    <row r="2311" spans="1:15" ht="13.8">
      <c r="A2311" s="1"/>
      <c r="B2311" s="1"/>
      <c r="C2311" s="1"/>
      <c r="D2311" s="1"/>
      <c r="E2311" s="1"/>
      <c r="F2311" s="1"/>
      <c r="G2311" s="1"/>
      <c r="H2311" s="1"/>
      <c r="I2311" s="1"/>
      <c r="J2311" s="1"/>
      <c r="K2311" s="1"/>
      <c r="L2311" s="1"/>
      <c r="M2311" s="1"/>
      <c r="N2311" s="1"/>
      <c r="O2311" s="3"/>
    </row>
    <row r="2312" spans="1:15" ht="13.8">
      <c r="A2312" s="1"/>
      <c r="B2312" s="1"/>
      <c r="C2312" s="1"/>
      <c r="D2312" s="1"/>
      <c r="E2312" s="1"/>
      <c r="F2312" s="1"/>
      <c r="G2312" s="1"/>
      <c r="H2312" s="1"/>
      <c r="I2312" s="1"/>
      <c r="J2312" s="1"/>
      <c r="K2312" s="1"/>
      <c r="L2312" s="1"/>
      <c r="M2312" s="1"/>
      <c r="N2312" s="1"/>
      <c r="O2312" s="3"/>
    </row>
    <row r="2313" spans="1:15" ht="13.8">
      <c r="A2313" s="1"/>
      <c r="B2313" s="1"/>
      <c r="C2313" s="1"/>
      <c r="D2313" s="1"/>
      <c r="E2313" s="1"/>
      <c r="F2313" s="1"/>
      <c r="G2313" s="1"/>
      <c r="H2313" s="1"/>
      <c r="I2313" s="1"/>
      <c r="J2313" s="1"/>
      <c r="K2313" s="1"/>
      <c r="L2313" s="1"/>
      <c r="M2313" s="1"/>
      <c r="N2313" s="1"/>
      <c r="O2313" s="3"/>
    </row>
    <row r="2314" spans="1:15" ht="13.8">
      <c r="A2314" s="1"/>
      <c r="B2314" s="1"/>
      <c r="C2314" s="1"/>
      <c r="D2314" s="1"/>
      <c r="E2314" s="1"/>
      <c r="F2314" s="1"/>
      <c r="G2314" s="1"/>
      <c r="H2314" s="1"/>
      <c r="I2314" s="1"/>
      <c r="J2314" s="1"/>
      <c r="K2314" s="1"/>
      <c r="L2314" s="1"/>
      <c r="M2314" s="1"/>
      <c r="N2314" s="1"/>
      <c r="O2314" s="3"/>
    </row>
    <row r="2315" spans="1:15" ht="13.8">
      <c r="A2315" s="1"/>
      <c r="B2315" s="1"/>
      <c r="C2315" s="1"/>
      <c r="D2315" s="1"/>
      <c r="E2315" s="1"/>
      <c r="F2315" s="1"/>
      <c r="G2315" s="1"/>
      <c r="H2315" s="1"/>
      <c r="I2315" s="1"/>
      <c r="J2315" s="1"/>
      <c r="K2315" s="1"/>
      <c r="L2315" s="1"/>
      <c r="M2315" s="1"/>
      <c r="N2315" s="1"/>
      <c r="O2315" s="3"/>
    </row>
    <row r="2316" spans="1:15" ht="13.8">
      <c r="A2316" s="1"/>
      <c r="B2316" s="1"/>
      <c r="C2316" s="1"/>
      <c r="D2316" s="1"/>
      <c r="E2316" s="1"/>
      <c r="F2316" s="1"/>
      <c r="G2316" s="1"/>
      <c r="H2316" s="1"/>
      <c r="I2316" s="1"/>
      <c r="J2316" s="1"/>
      <c r="K2316" s="1"/>
      <c r="L2316" s="1"/>
      <c r="M2316" s="1"/>
      <c r="N2316" s="1"/>
      <c r="O2316" s="3"/>
    </row>
    <row r="2317" spans="1:15" ht="13.8">
      <c r="A2317" s="1"/>
      <c r="B2317" s="1"/>
      <c r="C2317" s="1"/>
      <c r="D2317" s="1"/>
      <c r="E2317" s="1"/>
      <c r="F2317" s="1"/>
      <c r="G2317" s="1"/>
      <c r="H2317" s="1"/>
      <c r="I2317" s="1"/>
      <c r="J2317" s="1"/>
      <c r="K2317" s="1"/>
      <c r="L2317" s="1"/>
      <c r="M2317" s="1"/>
      <c r="N2317" s="1"/>
      <c r="O2317" s="3"/>
    </row>
    <row r="2318" spans="1:15" ht="13.8">
      <c r="A2318" s="1"/>
      <c r="B2318" s="1"/>
      <c r="C2318" s="1"/>
      <c r="D2318" s="1"/>
      <c r="E2318" s="1"/>
      <c r="F2318" s="1"/>
      <c r="G2318" s="1"/>
      <c r="H2318" s="1"/>
      <c r="I2318" s="1"/>
      <c r="J2318" s="1"/>
      <c r="K2318" s="1"/>
      <c r="L2318" s="1"/>
      <c r="M2318" s="1"/>
      <c r="N2318" s="1"/>
      <c r="O2318" s="3"/>
    </row>
    <row r="2319" spans="1:15" ht="13.8">
      <c r="A2319" s="1"/>
      <c r="B2319" s="1"/>
      <c r="C2319" s="1"/>
      <c r="D2319" s="1"/>
      <c r="E2319" s="1"/>
      <c r="F2319" s="1"/>
      <c r="G2319" s="1"/>
      <c r="H2319" s="1"/>
      <c r="I2319" s="1"/>
      <c r="J2319" s="1"/>
      <c r="K2319" s="1"/>
      <c r="L2319" s="1"/>
      <c r="M2319" s="1"/>
      <c r="N2319" s="1"/>
      <c r="O2319" s="3"/>
    </row>
    <row r="2320" spans="1:15" ht="13.8">
      <c r="A2320" s="1"/>
      <c r="B2320" s="1"/>
      <c r="C2320" s="1"/>
      <c r="D2320" s="1"/>
      <c r="E2320" s="1"/>
      <c r="F2320" s="1"/>
      <c r="G2320" s="1"/>
      <c r="H2320" s="1"/>
      <c r="I2320" s="1"/>
      <c r="J2320" s="1"/>
      <c r="K2320" s="1"/>
      <c r="L2320" s="1"/>
      <c r="M2320" s="1"/>
      <c r="N2320" s="1"/>
      <c r="O2320" s="3"/>
    </row>
    <row r="2321" spans="1:15" ht="13.8">
      <c r="A2321" s="1"/>
      <c r="B2321" s="1"/>
      <c r="C2321" s="1"/>
      <c r="D2321" s="1"/>
      <c r="E2321" s="1"/>
      <c r="F2321" s="1"/>
      <c r="G2321" s="1"/>
      <c r="H2321" s="1"/>
      <c r="I2321" s="1"/>
      <c r="J2321" s="1"/>
      <c r="K2321" s="1"/>
      <c r="L2321" s="1"/>
      <c r="M2321" s="1"/>
      <c r="N2321" s="1"/>
      <c r="O2321" s="3"/>
    </row>
    <row r="2322" spans="1:15" ht="13.8">
      <c r="A2322" s="1"/>
      <c r="B2322" s="1"/>
      <c r="C2322" s="1"/>
      <c r="D2322" s="1"/>
      <c r="E2322" s="1"/>
      <c r="F2322" s="1"/>
      <c r="G2322" s="1"/>
      <c r="H2322" s="1"/>
      <c r="I2322" s="1"/>
      <c r="J2322" s="1"/>
      <c r="K2322" s="1"/>
      <c r="L2322" s="1"/>
      <c r="M2322" s="1"/>
      <c r="N2322" s="1"/>
      <c r="O2322" s="3"/>
    </row>
    <row r="2323" spans="1:15" ht="13.8">
      <c r="A2323" s="1"/>
      <c r="B2323" s="1"/>
      <c r="C2323" s="1"/>
      <c r="D2323" s="1"/>
      <c r="E2323" s="1"/>
      <c r="F2323" s="1"/>
      <c r="G2323" s="1"/>
      <c r="H2323" s="1"/>
      <c r="I2323" s="1"/>
      <c r="J2323" s="1"/>
      <c r="K2323" s="1"/>
      <c r="L2323" s="1"/>
      <c r="M2323" s="1"/>
      <c r="N2323" s="1"/>
      <c r="O2323" s="3"/>
    </row>
    <row r="2324" spans="1:15" ht="13.8">
      <c r="A2324" s="1"/>
      <c r="B2324" s="1"/>
      <c r="C2324" s="1"/>
      <c r="D2324" s="1"/>
      <c r="E2324" s="1"/>
      <c r="F2324" s="1"/>
      <c r="G2324" s="1"/>
      <c r="H2324" s="1"/>
      <c r="I2324" s="1"/>
      <c r="J2324" s="1"/>
      <c r="K2324" s="1"/>
      <c r="L2324" s="1"/>
      <c r="M2324" s="1"/>
      <c r="N2324" s="1"/>
      <c r="O2324" s="3"/>
    </row>
    <row r="2325" spans="1:15" ht="13.8">
      <c r="A2325" s="1"/>
      <c r="B2325" s="1"/>
      <c r="C2325" s="1"/>
      <c r="D2325" s="1"/>
      <c r="E2325" s="1"/>
      <c r="F2325" s="1"/>
      <c r="G2325" s="1"/>
      <c r="H2325" s="1"/>
      <c r="I2325" s="1"/>
      <c r="J2325" s="1"/>
      <c r="K2325" s="1"/>
      <c r="L2325" s="1"/>
      <c r="M2325" s="1"/>
      <c r="N2325" s="1"/>
      <c r="O2325" s="3"/>
    </row>
    <row r="2326" spans="1:15" ht="13.8">
      <c r="A2326" s="1"/>
      <c r="B2326" s="1"/>
      <c r="C2326" s="1"/>
      <c r="D2326" s="1"/>
      <c r="E2326" s="1"/>
      <c r="F2326" s="1"/>
      <c r="G2326" s="1"/>
      <c r="H2326" s="1"/>
      <c r="I2326" s="1"/>
      <c r="J2326" s="1"/>
      <c r="K2326" s="1"/>
      <c r="L2326" s="1"/>
      <c r="M2326" s="1"/>
      <c r="N2326" s="1"/>
      <c r="O2326" s="3"/>
    </row>
    <row r="2327" spans="1:15" ht="13.8">
      <c r="A2327" s="1"/>
      <c r="B2327" s="1"/>
      <c r="C2327" s="1"/>
      <c r="D2327" s="1"/>
      <c r="E2327" s="1"/>
      <c r="F2327" s="1"/>
      <c r="G2327" s="1"/>
      <c r="H2327" s="1"/>
      <c r="I2327" s="1"/>
      <c r="J2327" s="1"/>
      <c r="K2327" s="1"/>
      <c r="L2327" s="1"/>
      <c r="M2327" s="1"/>
      <c r="N2327" s="1"/>
      <c r="O2327" s="3"/>
    </row>
    <row r="2328" spans="1:15" ht="13.8">
      <c r="A2328" s="1"/>
      <c r="B2328" s="1"/>
      <c r="C2328" s="1"/>
      <c r="D2328" s="1"/>
      <c r="E2328" s="1"/>
      <c r="F2328" s="1"/>
      <c r="G2328" s="1"/>
      <c r="H2328" s="1"/>
      <c r="I2328" s="1"/>
      <c r="J2328" s="1"/>
      <c r="K2328" s="1"/>
      <c r="L2328" s="1"/>
      <c r="M2328" s="1"/>
      <c r="N2328" s="1"/>
      <c r="O2328" s="3"/>
    </row>
    <row r="2329" spans="1:15" ht="13.8">
      <c r="A2329" s="1"/>
      <c r="B2329" s="1"/>
      <c r="C2329" s="1"/>
      <c r="D2329" s="1"/>
      <c r="E2329" s="1"/>
      <c r="F2329" s="1"/>
      <c r="G2329" s="1"/>
      <c r="H2329" s="1"/>
      <c r="I2329" s="1"/>
      <c r="J2329" s="1"/>
      <c r="K2329" s="1"/>
      <c r="L2329" s="1"/>
      <c r="M2329" s="1"/>
      <c r="N2329" s="1"/>
      <c r="O2329" s="3"/>
    </row>
    <row r="2330" spans="1:15" ht="13.8">
      <c r="A2330" s="1"/>
      <c r="B2330" s="1"/>
      <c r="C2330" s="1"/>
      <c r="D2330" s="1"/>
      <c r="E2330" s="1"/>
      <c r="F2330" s="1"/>
      <c r="G2330" s="1"/>
      <c r="H2330" s="1"/>
      <c r="I2330" s="1"/>
      <c r="J2330" s="1"/>
      <c r="K2330" s="1"/>
      <c r="L2330" s="1"/>
      <c r="M2330" s="1"/>
      <c r="N2330" s="1"/>
      <c r="O2330" s="3"/>
    </row>
    <row r="2331" spans="1:15" ht="13.8">
      <c r="A2331" s="1"/>
      <c r="B2331" s="1"/>
      <c r="C2331" s="1"/>
      <c r="D2331" s="1"/>
      <c r="E2331" s="1"/>
      <c r="F2331" s="1"/>
      <c r="G2331" s="1"/>
      <c r="H2331" s="1"/>
      <c r="I2331" s="1"/>
      <c r="J2331" s="1"/>
      <c r="K2331" s="1"/>
      <c r="L2331" s="1"/>
      <c r="M2331" s="1"/>
      <c r="N2331" s="1"/>
      <c r="O2331" s="3"/>
    </row>
    <row r="2332" spans="1:15" ht="13.8">
      <c r="A2332" s="1"/>
      <c r="B2332" s="1"/>
      <c r="C2332" s="1"/>
      <c r="D2332" s="1"/>
      <c r="E2332" s="1"/>
      <c r="F2332" s="1"/>
      <c r="G2332" s="1"/>
      <c r="H2332" s="1"/>
      <c r="I2332" s="1"/>
      <c r="J2332" s="1"/>
      <c r="K2332" s="1"/>
      <c r="L2332" s="1"/>
      <c r="M2332" s="1"/>
      <c r="N2332" s="1"/>
      <c r="O2332" s="3"/>
    </row>
    <row r="2333" spans="1:15" ht="13.8">
      <c r="A2333" s="1"/>
      <c r="B2333" s="1"/>
      <c r="C2333" s="1"/>
      <c r="D2333" s="1"/>
      <c r="E2333" s="1"/>
      <c r="F2333" s="1"/>
      <c r="G2333" s="1"/>
      <c r="H2333" s="1"/>
      <c r="I2333" s="1"/>
      <c r="J2333" s="1"/>
      <c r="K2333" s="1"/>
      <c r="L2333" s="1"/>
      <c r="M2333" s="1"/>
      <c r="N2333" s="1"/>
      <c r="O2333" s="3"/>
    </row>
    <row r="2334" spans="1:15" ht="13.8">
      <c r="A2334" s="1"/>
      <c r="B2334" s="1"/>
      <c r="C2334" s="1"/>
      <c r="D2334" s="1"/>
      <c r="E2334" s="1"/>
      <c r="F2334" s="1"/>
      <c r="G2334" s="1"/>
      <c r="H2334" s="1"/>
      <c r="I2334" s="1"/>
      <c r="J2334" s="1"/>
      <c r="K2334" s="1"/>
      <c r="L2334" s="1"/>
      <c r="M2334" s="1"/>
      <c r="N2334" s="1"/>
      <c r="O2334" s="3"/>
    </row>
    <row r="2335" spans="1:15" ht="13.8">
      <c r="A2335" s="1"/>
      <c r="B2335" s="1"/>
      <c r="C2335" s="1"/>
      <c r="D2335" s="1"/>
      <c r="E2335" s="1"/>
      <c r="F2335" s="1"/>
      <c r="G2335" s="1"/>
      <c r="H2335" s="1"/>
      <c r="I2335" s="1"/>
      <c r="J2335" s="1"/>
      <c r="K2335" s="1"/>
      <c r="L2335" s="1"/>
      <c r="M2335" s="1"/>
      <c r="N2335" s="1"/>
      <c r="O2335" s="3"/>
    </row>
    <row r="2336" spans="1:15" ht="13.8">
      <c r="A2336" s="1"/>
      <c r="B2336" s="1"/>
      <c r="C2336" s="1"/>
      <c r="D2336" s="1"/>
      <c r="E2336" s="1"/>
      <c r="F2336" s="1"/>
      <c r="G2336" s="1"/>
      <c r="H2336" s="1"/>
      <c r="I2336" s="1"/>
      <c r="J2336" s="1"/>
      <c r="K2336" s="1"/>
      <c r="L2336" s="1"/>
      <c r="M2336" s="1"/>
      <c r="N2336" s="1"/>
      <c r="O2336" s="3"/>
    </row>
    <row r="2337" spans="1:15" ht="13.8">
      <c r="A2337" s="1"/>
      <c r="B2337" s="1"/>
      <c r="C2337" s="1"/>
      <c r="D2337" s="1"/>
      <c r="E2337" s="1"/>
      <c r="F2337" s="1"/>
      <c r="G2337" s="1"/>
      <c r="H2337" s="1"/>
      <c r="I2337" s="1"/>
      <c r="J2337" s="1"/>
      <c r="K2337" s="1"/>
      <c r="L2337" s="1"/>
      <c r="M2337" s="1"/>
      <c r="N2337" s="1"/>
      <c r="O2337" s="3"/>
    </row>
    <row r="2338" spans="1:15" ht="13.8">
      <c r="A2338" s="1"/>
      <c r="B2338" s="1"/>
      <c r="C2338" s="1"/>
      <c r="D2338" s="1"/>
      <c r="E2338" s="1"/>
      <c r="F2338" s="1"/>
      <c r="G2338" s="1"/>
      <c r="H2338" s="1"/>
      <c r="I2338" s="1"/>
      <c r="J2338" s="1"/>
      <c r="K2338" s="1"/>
      <c r="L2338" s="1"/>
      <c r="M2338" s="1"/>
      <c r="N2338" s="1"/>
      <c r="O2338" s="3"/>
    </row>
    <row r="2339" spans="1:15" ht="13.8">
      <c r="A2339" s="1"/>
      <c r="B2339" s="1"/>
      <c r="C2339" s="1"/>
      <c r="D2339" s="1"/>
      <c r="E2339" s="1"/>
      <c r="F2339" s="1"/>
      <c r="G2339" s="1"/>
      <c r="H2339" s="1"/>
      <c r="I2339" s="1"/>
      <c r="J2339" s="1"/>
      <c r="K2339" s="1"/>
      <c r="L2339" s="1"/>
      <c r="M2339" s="1"/>
      <c r="N2339" s="1"/>
      <c r="O2339" s="3"/>
    </row>
    <row r="2340" spans="1:15" ht="13.8">
      <c r="A2340" s="1"/>
      <c r="B2340" s="1"/>
      <c r="C2340" s="1"/>
      <c r="D2340" s="1"/>
      <c r="E2340" s="1"/>
      <c r="F2340" s="1"/>
      <c r="G2340" s="1"/>
      <c r="H2340" s="1"/>
      <c r="I2340" s="1"/>
      <c r="J2340" s="1"/>
      <c r="K2340" s="1"/>
      <c r="L2340" s="1"/>
      <c r="M2340" s="1"/>
      <c r="N2340" s="1"/>
      <c r="O2340" s="3"/>
    </row>
    <row r="2341" spans="1:15" ht="13.8">
      <c r="A2341" s="1"/>
      <c r="B2341" s="1"/>
      <c r="C2341" s="1"/>
      <c r="D2341" s="1"/>
      <c r="E2341" s="1"/>
      <c r="F2341" s="1"/>
      <c r="G2341" s="1"/>
      <c r="H2341" s="1"/>
      <c r="I2341" s="1"/>
      <c r="J2341" s="1"/>
      <c r="K2341" s="1"/>
      <c r="L2341" s="1"/>
      <c r="M2341" s="1"/>
      <c r="N2341" s="1"/>
      <c r="O2341" s="3"/>
    </row>
    <row r="2342" spans="1:15" ht="13.8">
      <c r="A2342" s="1"/>
      <c r="B2342" s="1"/>
      <c r="C2342" s="1"/>
      <c r="D2342" s="1"/>
      <c r="E2342" s="1"/>
      <c r="F2342" s="1"/>
      <c r="G2342" s="1"/>
      <c r="H2342" s="1"/>
      <c r="I2342" s="1"/>
      <c r="J2342" s="1"/>
      <c r="K2342" s="1"/>
      <c r="L2342" s="1"/>
      <c r="M2342" s="1"/>
      <c r="N2342" s="1"/>
      <c r="O2342" s="3"/>
    </row>
    <row r="2343" spans="1:15" ht="13.8">
      <c r="A2343" s="1"/>
      <c r="B2343" s="1"/>
      <c r="C2343" s="1"/>
      <c r="D2343" s="1"/>
      <c r="E2343" s="1"/>
      <c r="F2343" s="1"/>
      <c r="G2343" s="1"/>
      <c r="H2343" s="1"/>
      <c r="I2343" s="1"/>
      <c r="J2343" s="1"/>
      <c r="K2343" s="1"/>
      <c r="L2343" s="1"/>
      <c r="M2343" s="1"/>
      <c r="N2343" s="1"/>
      <c r="O2343" s="3"/>
    </row>
    <row r="2344" spans="1:15" ht="13.8">
      <c r="A2344" s="1"/>
      <c r="B2344" s="1"/>
      <c r="C2344" s="1"/>
      <c r="D2344" s="1"/>
      <c r="E2344" s="1"/>
      <c r="F2344" s="1"/>
      <c r="G2344" s="1"/>
      <c r="H2344" s="1"/>
      <c r="I2344" s="1"/>
      <c r="J2344" s="1"/>
      <c r="K2344" s="1"/>
      <c r="L2344" s="1"/>
      <c r="M2344" s="1"/>
      <c r="N2344" s="1"/>
      <c r="O2344" s="3"/>
    </row>
    <row r="2345" spans="1:15" ht="13.8">
      <c r="A2345" s="1"/>
      <c r="B2345" s="1"/>
      <c r="C2345" s="1"/>
      <c r="D2345" s="1"/>
      <c r="E2345" s="1"/>
      <c r="F2345" s="1"/>
      <c r="G2345" s="1"/>
      <c r="H2345" s="1"/>
      <c r="I2345" s="1"/>
      <c r="J2345" s="1"/>
      <c r="K2345" s="1"/>
      <c r="L2345" s="1"/>
      <c r="M2345" s="1"/>
      <c r="N2345" s="1"/>
      <c r="O2345" s="3"/>
    </row>
    <row r="2346" spans="1:15" ht="13.8">
      <c r="A2346" s="1"/>
      <c r="B2346" s="1"/>
      <c r="C2346" s="1"/>
      <c r="D2346" s="1"/>
      <c r="E2346" s="1"/>
      <c r="F2346" s="1"/>
      <c r="G2346" s="1"/>
      <c r="H2346" s="1"/>
      <c r="I2346" s="1"/>
      <c r="J2346" s="1"/>
      <c r="K2346" s="1"/>
      <c r="L2346" s="1"/>
      <c r="M2346" s="1"/>
      <c r="N2346" s="1"/>
      <c r="O2346" s="3"/>
    </row>
    <row r="2347" spans="1:15" ht="13.8">
      <c r="A2347" s="1"/>
      <c r="B2347" s="1"/>
      <c r="C2347" s="1"/>
      <c r="D2347" s="1"/>
      <c r="E2347" s="1"/>
      <c r="F2347" s="1"/>
      <c r="G2347" s="1"/>
      <c r="H2347" s="1"/>
      <c r="I2347" s="1"/>
      <c r="J2347" s="1"/>
      <c r="K2347" s="1"/>
      <c r="L2347" s="1"/>
      <c r="M2347" s="1"/>
      <c r="N2347" s="1"/>
      <c r="O2347" s="3"/>
    </row>
    <row r="2348" spans="1:15" ht="13.8">
      <c r="A2348" s="1"/>
      <c r="B2348" s="1"/>
      <c r="C2348" s="1"/>
      <c r="D2348" s="1"/>
      <c r="E2348" s="1"/>
      <c r="F2348" s="1"/>
      <c r="G2348" s="1"/>
      <c r="H2348" s="1"/>
      <c r="I2348" s="1"/>
      <c r="J2348" s="1"/>
      <c r="K2348" s="1"/>
      <c r="L2348" s="1"/>
      <c r="M2348" s="1"/>
      <c r="N2348" s="1"/>
      <c r="O2348" s="3"/>
    </row>
    <row r="2349" spans="1:15" ht="13.8">
      <c r="A2349" s="1"/>
      <c r="B2349" s="1"/>
      <c r="C2349" s="1"/>
      <c r="D2349" s="1"/>
      <c r="E2349" s="1"/>
      <c r="F2349" s="1"/>
      <c r="G2349" s="1"/>
      <c r="H2349" s="1"/>
      <c r="I2349" s="1"/>
      <c r="J2349" s="1"/>
      <c r="K2349" s="1"/>
      <c r="L2349" s="1"/>
      <c r="M2349" s="1"/>
      <c r="N2349" s="1"/>
      <c r="O2349" s="3"/>
    </row>
    <row r="2350" spans="1:15" ht="13.8">
      <c r="A2350" s="1"/>
      <c r="B2350" s="1"/>
      <c r="C2350" s="1"/>
      <c r="D2350" s="1"/>
      <c r="E2350" s="1"/>
      <c r="F2350" s="1"/>
      <c r="G2350" s="1"/>
      <c r="H2350" s="1"/>
      <c r="I2350" s="1"/>
      <c r="J2350" s="1"/>
      <c r="K2350" s="1"/>
      <c r="L2350" s="1"/>
      <c r="M2350" s="1"/>
      <c r="N2350" s="1"/>
      <c r="O2350" s="3"/>
    </row>
    <row r="2351" spans="1:15" ht="13.8">
      <c r="A2351" s="1"/>
      <c r="B2351" s="1"/>
      <c r="C2351" s="1"/>
      <c r="D2351" s="1"/>
      <c r="E2351" s="1"/>
      <c r="F2351" s="1"/>
      <c r="G2351" s="1"/>
      <c r="H2351" s="1"/>
      <c r="I2351" s="1"/>
      <c r="J2351" s="1"/>
      <c r="K2351" s="1"/>
      <c r="L2351" s="1"/>
      <c r="M2351" s="1"/>
      <c r="N2351" s="1"/>
      <c r="O2351" s="3"/>
    </row>
    <row r="2352" spans="1:15" ht="13.8">
      <c r="A2352" s="1"/>
      <c r="B2352" s="1"/>
      <c r="C2352" s="1"/>
      <c r="D2352" s="1"/>
      <c r="E2352" s="1"/>
      <c r="F2352" s="1"/>
      <c r="G2352" s="1"/>
      <c r="H2352" s="1"/>
      <c r="I2352" s="1"/>
      <c r="J2352" s="1"/>
      <c r="K2352" s="1"/>
      <c r="L2352" s="1"/>
      <c r="M2352" s="1"/>
      <c r="N2352" s="1"/>
      <c r="O2352" s="3"/>
    </row>
    <row r="2353" spans="1:15" ht="13.8">
      <c r="A2353" s="1"/>
      <c r="B2353" s="1"/>
      <c r="C2353" s="1"/>
      <c r="D2353" s="1"/>
      <c r="E2353" s="1"/>
      <c r="F2353" s="1"/>
      <c r="G2353" s="1"/>
      <c r="H2353" s="1"/>
      <c r="I2353" s="1"/>
      <c r="J2353" s="1"/>
      <c r="K2353" s="1"/>
      <c r="L2353" s="1"/>
      <c r="M2353" s="1"/>
      <c r="N2353" s="1"/>
      <c r="O2353" s="3"/>
    </row>
    <row r="2354" spans="1:15" ht="13.8">
      <c r="A2354" s="1"/>
      <c r="B2354" s="1"/>
      <c r="C2354" s="1"/>
      <c r="D2354" s="1"/>
      <c r="E2354" s="1"/>
      <c r="F2354" s="1"/>
      <c r="G2354" s="1"/>
      <c r="H2354" s="1"/>
      <c r="I2354" s="1"/>
      <c r="J2354" s="1"/>
      <c r="K2354" s="1"/>
      <c r="L2354" s="1"/>
      <c r="M2354" s="1"/>
      <c r="N2354" s="1"/>
      <c r="O2354" s="3"/>
    </row>
    <row r="2355" spans="1:15" ht="13.8">
      <c r="A2355" s="1"/>
      <c r="B2355" s="1"/>
      <c r="C2355" s="1"/>
      <c r="D2355" s="1"/>
      <c r="E2355" s="1"/>
      <c r="F2355" s="1"/>
      <c r="G2355" s="1"/>
      <c r="H2355" s="1"/>
      <c r="I2355" s="1"/>
      <c r="J2355" s="1"/>
      <c r="K2355" s="1"/>
      <c r="L2355" s="1"/>
      <c r="M2355" s="1"/>
      <c r="N2355" s="1"/>
      <c r="O2355" s="3"/>
    </row>
    <row r="2356" spans="1:15" ht="13.8">
      <c r="A2356" s="1"/>
      <c r="B2356" s="1"/>
      <c r="C2356" s="1"/>
      <c r="D2356" s="1"/>
      <c r="E2356" s="1"/>
      <c r="F2356" s="1"/>
      <c r="G2356" s="1"/>
      <c r="H2356" s="1"/>
      <c r="I2356" s="1"/>
      <c r="J2356" s="1"/>
      <c r="K2356" s="1"/>
      <c r="L2356" s="1"/>
      <c r="M2356" s="1"/>
      <c r="N2356" s="1"/>
      <c r="O2356" s="3"/>
    </row>
    <row r="2357" spans="1:15" ht="13.8">
      <c r="A2357" s="1"/>
      <c r="B2357" s="1"/>
      <c r="C2357" s="1"/>
      <c r="D2357" s="1"/>
      <c r="E2357" s="1"/>
      <c r="F2357" s="1"/>
      <c r="G2357" s="1"/>
      <c r="H2357" s="1"/>
      <c r="I2357" s="1"/>
      <c r="J2357" s="1"/>
      <c r="K2357" s="1"/>
      <c r="L2357" s="1"/>
      <c r="M2357" s="1"/>
      <c r="N2357" s="1"/>
      <c r="O2357" s="3"/>
    </row>
    <row r="2358" spans="1:15" ht="13.8">
      <c r="A2358" s="1"/>
      <c r="B2358" s="1"/>
      <c r="C2358" s="1"/>
      <c r="D2358" s="1"/>
      <c r="E2358" s="1"/>
      <c r="F2358" s="1"/>
      <c r="G2358" s="1"/>
      <c r="H2358" s="1"/>
      <c r="I2358" s="1"/>
      <c r="J2358" s="1"/>
      <c r="K2358" s="1"/>
      <c r="L2358" s="1"/>
      <c r="M2358" s="1"/>
      <c r="N2358" s="1"/>
      <c r="O2358" s="3"/>
    </row>
    <row r="2359" spans="1:15" ht="13.8">
      <c r="A2359" s="1"/>
      <c r="B2359" s="1"/>
      <c r="C2359" s="1"/>
      <c r="D2359" s="1"/>
      <c r="E2359" s="1"/>
      <c r="F2359" s="1"/>
      <c r="G2359" s="1"/>
      <c r="H2359" s="1"/>
      <c r="I2359" s="1"/>
      <c r="J2359" s="1"/>
      <c r="K2359" s="1"/>
      <c r="L2359" s="1"/>
      <c r="M2359" s="1"/>
      <c r="N2359" s="1"/>
      <c r="O2359" s="3"/>
    </row>
    <row r="2360" spans="1:15" ht="13.8">
      <c r="A2360" s="1"/>
      <c r="B2360" s="1"/>
      <c r="C2360" s="1"/>
      <c r="D2360" s="1"/>
      <c r="E2360" s="1"/>
      <c r="F2360" s="1"/>
      <c r="G2360" s="1"/>
      <c r="H2360" s="1"/>
      <c r="I2360" s="1"/>
      <c r="J2360" s="1"/>
      <c r="K2360" s="1"/>
      <c r="L2360" s="1"/>
      <c r="M2360" s="1"/>
      <c r="N2360" s="1"/>
      <c r="O2360" s="3"/>
    </row>
    <row r="2361" spans="1:15" ht="13.8">
      <c r="A2361" s="1"/>
      <c r="B2361" s="1"/>
      <c r="C2361" s="1"/>
      <c r="D2361" s="1"/>
      <c r="E2361" s="1"/>
      <c r="F2361" s="1"/>
      <c r="G2361" s="1"/>
      <c r="H2361" s="1"/>
      <c r="I2361" s="1"/>
      <c r="J2361" s="1"/>
      <c r="K2361" s="1"/>
      <c r="L2361" s="1"/>
      <c r="M2361" s="1"/>
      <c r="N2361" s="1"/>
      <c r="O2361" s="3"/>
    </row>
    <row r="2362" spans="1:15" ht="13.8">
      <c r="A2362" s="1"/>
      <c r="B2362" s="1"/>
      <c r="C2362" s="1"/>
      <c r="D2362" s="1"/>
      <c r="E2362" s="1"/>
      <c r="F2362" s="1"/>
      <c r="G2362" s="1"/>
      <c r="H2362" s="1"/>
      <c r="I2362" s="1"/>
      <c r="J2362" s="1"/>
      <c r="K2362" s="1"/>
      <c r="L2362" s="1"/>
      <c r="M2362" s="1"/>
      <c r="N2362" s="1"/>
      <c r="O2362" s="3"/>
    </row>
    <row r="2363" spans="1:15" ht="13.8">
      <c r="A2363" s="1"/>
      <c r="B2363" s="1"/>
      <c r="C2363" s="1"/>
      <c r="D2363" s="1"/>
      <c r="E2363" s="1"/>
      <c r="F2363" s="1"/>
      <c r="G2363" s="1"/>
      <c r="H2363" s="1"/>
      <c r="I2363" s="1"/>
      <c r="J2363" s="1"/>
      <c r="K2363" s="1"/>
      <c r="L2363" s="1"/>
      <c r="M2363" s="1"/>
      <c r="N2363" s="1"/>
      <c r="O2363" s="3"/>
    </row>
    <row r="2364" spans="1:15" ht="13.8">
      <c r="A2364" s="1"/>
      <c r="B2364" s="1"/>
      <c r="C2364" s="1"/>
      <c r="D2364" s="1"/>
      <c r="E2364" s="1"/>
      <c r="F2364" s="1"/>
      <c r="G2364" s="1"/>
      <c r="H2364" s="1"/>
      <c r="I2364" s="1"/>
      <c r="J2364" s="1"/>
      <c r="K2364" s="1"/>
      <c r="L2364" s="1"/>
      <c r="M2364" s="1"/>
      <c r="N2364" s="1"/>
      <c r="O2364" s="3"/>
    </row>
    <row r="2365" spans="1:15" ht="13.8">
      <c r="A2365" s="1"/>
      <c r="B2365" s="1"/>
      <c r="C2365" s="1"/>
      <c r="D2365" s="1"/>
      <c r="E2365" s="1"/>
      <c r="F2365" s="1"/>
      <c r="G2365" s="1"/>
      <c r="H2365" s="1"/>
      <c r="I2365" s="1"/>
      <c r="J2365" s="1"/>
      <c r="K2365" s="1"/>
      <c r="L2365" s="1"/>
      <c r="M2365" s="1"/>
      <c r="N2365" s="1"/>
      <c r="O2365" s="3"/>
    </row>
    <row r="2366" spans="1:15" ht="13.8">
      <c r="A2366" s="1"/>
      <c r="B2366" s="1"/>
      <c r="C2366" s="1"/>
      <c r="D2366" s="1"/>
      <c r="E2366" s="1"/>
      <c r="F2366" s="1"/>
      <c r="G2366" s="1"/>
      <c r="H2366" s="1"/>
      <c r="I2366" s="1"/>
      <c r="J2366" s="1"/>
      <c r="K2366" s="1"/>
      <c r="L2366" s="1"/>
      <c r="M2366" s="1"/>
      <c r="N2366" s="1"/>
      <c r="O2366" s="3"/>
    </row>
    <row r="2367" spans="1:15" ht="13.8">
      <c r="A2367" s="1"/>
      <c r="B2367" s="1"/>
      <c r="C2367" s="1"/>
      <c r="D2367" s="1"/>
      <c r="E2367" s="1"/>
      <c r="F2367" s="1"/>
      <c r="G2367" s="1"/>
      <c r="H2367" s="1"/>
      <c r="I2367" s="1"/>
      <c r="J2367" s="1"/>
      <c r="K2367" s="1"/>
      <c r="L2367" s="1"/>
      <c r="M2367" s="1"/>
      <c r="N2367" s="1"/>
      <c r="O2367" s="3"/>
    </row>
    <row r="2368" spans="1:15" ht="13.8">
      <c r="A2368" s="1"/>
      <c r="B2368" s="1"/>
      <c r="C2368" s="1"/>
      <c r="D2368" s="1"/>
      <c r="E2368" s="1"/>
      <c r="F2368" s="1"/>
      <c r="G2368" s="1"/>
      <c r="H2368" s="1"/>
      <c r="I2368" s="1"/>
      <c r="J2368" s="1"/>
      <c r="K2368" s="1"/>
      <c r="L2368" s="1"/>
      <c r="M2368" s="1"/>
      <c r="N2368" s="1"/>
      <c r="O2368" s="3"/>
    </row>
    <row r="2369" spans="1:15" ht="13.8">
      <c r="A2369" s="1"/>
      <c r="B2369" s="1"/>
      <c r="C2369" s="1"/>
      <c r="D2369" s="1"/>
      <c r="E2369" s="1"/>
      <c r="F2369" s="1"/>
      <c r="G2369" s="1"/>
      <c r="H2369" s="1"/>
      <c r="I2369" s="1"/>
      <c r="J2369" s="1"/>
      <c r="K2369" s="1"/>
      <c r="L2369" s="1"/>
      <c r="M2369" s="1"/>
      <c r="N2369" s="1"/>
      <c r="O2369" s="3"/>
    </row>
    <row r="2370" spans="1:15" ht="13.8">
      <c r="A2370" s="1"/>
      <c r="B2370" s="1"/>
      <c r="C2370" s="1"/>
      <c r="D2370" s="1"/>
      <c r="E2370" s="1"/>
      <c r="F2370" s="1"/>
      <c r="G2370" s="1"/>
      <c r="H2370" s="1"/>
      <c r="I2370" s="1"/>
      <c r="J2370" s="1"/>
      <c r="K2370" s="1"/>
      <c r="L2370" s="1"/>
      <c r="M2370" s="1"/>
      <c r="N2370" s="1"/>
      <c r="O2370" s="3"/>
    </row>
    <row r="2371" spans="1:15" ht="13.8">
      <c r="A2371" s="1"/>
      <c r="B2371" s="1"/>
      <c r="C2371" s="1"/>
      <c r="D2371" s="1"/>
      <c r="E2371" s="1"/>
      <c r="F2371" s="1"/>
      <c r="G2371" s="1"/>
      <c r="H2371" s="1"/>
      <c r="I2371" s="1"/>
      <c r="J2371" s="1"/>
      <c r="K2371" s="1"/>
      <c r="L2371" s="1"/>
      <c r="M2371" s="1"/>
      <c r="N2371" s="1"/>
      <c r="O2371" s="3"/>
    </row>
    <row r="2372" spans="1:15" ht="13.8">
      <c r="A2372" s="1"/>
      <c r="B2372" s="1"/>
      <c r="C2372" s="1"/>
      <c r="D2372" s="1"/>
      <c r="E2372" s="1"/>
      <c r="F2372" s="1"/>
      <c r="G2372" s="1"/>
      <c r="H2372" s="1"/>
      <c r="I2372" s="1"/>
      <c r="J2372" s="1"/>
      <c r="K2372" s="1"/>
      <c r="L2372" s="1"/>
      <c r="M2372" s="1"/>
      <c r="N2372" s="1"/>
      <c r="O2372" s="3"/>
    </row>
    <row r="2373" spans="1:15" ht="13.8">
      <c r="A2373" s="1"/>
      <c r="B2373" s="1"/>
      <c r="C2373" s="1"/>
      <c r="D2373" s="1"/>
      <c r="E2373" s="1"/>
      <c r="F2373" s="1"/>
      <c r="G2373" s="1"/>
      <c r="H2373" s="1"/>
      <c r="I2373" s="1"/>
      <c r="J2373" s="1"/>
      <c r="K2373" s="1"/>
      <c r="L2373" s="1"/>
      <c r="M2373" s="1"/>
      <c r="N2373" s="1"/>
      <c r="O2373" s="3"/>
    </row>
    <row r="2374" spans="1:15" ht="13.8">
      <c r="A2374" s="1"/>
      <c r="B2374" s="1"/>
      <c r="C2374" s="1"/>
      <c r="D2374" s="1"/>
      <c r="E2374" s="1"/>
      <c r="F2374" s="1"/>
      <c r="G2374" s="1"/>
      <c r="H2374" s="1"/>
      <c r="I2374" s="1"/>
      <c r="J2374" s="1"/>
      <c r="K2374" s="1"/>
      <c r="L2374" s="1"/>
      <c r="M2374" s="1"/>
      <c r="N2374" s="1"/>
      <c r="O2374" s="3"/>
    </row>
    <row r="2375" spans="1:15" ht="13.8">
      <c r="A2375" s="1"/>
      <c r="B2375" s="1"/>
      <c r="C2375" s="1"/>
      <c r="D2375" s="1"/>
      <c r="E2375" s="1"/>
      <c r="F2375" s="1"/>
      <c r="G2375" s="1"/>
      <c r="H2375" s="1"/>
      <c r="I2375" s="1"/>
      <c r="J2375" s="1"/>
      <c r="K2375" s="1"/>
      <c r="L2375" s="1"/>
      <c r="M2375" s="1"/>
      <c r="N2375" s="1"/>
      <c r="O2375" s="3"/>
    </row>
    <row r="2376" spans="1:15" ht="13.8">
      <c r="A2376" s="1"/>
      <c r="B2376" s="1"/>
      <c r="C2376" s="1"/>
      <c r="D2376" s="1"/>
      <c r="E2376" s="1"/>
      <c r="F2376" s="1"/>
      <c r="G2376" s="1"/>
      <c r="H2376" s="1"/>
      <c r="I2376" s="1"/>
      <c r="J2376" s="1"/>
      <c r="K2376" s="1"/>
      <c r="L2376" s="1"/>
      <c r="M2376" s="1"/>
      <c r="N2376" s="1"/>
      <c r="O2376" s="3"/>
    </row>
    <row r="2377" spans="1:15" ht="13.8">
      <c r="A2377" s="1"/>
      <c r="B2377" s="1"/>
      <c r="C2377" s="1"/>
      <c r="D2377" s="1"/>
      <c r="E2377" s="1"/>
      <c r="F2377" s="1"/>
      <c r="G2377" s="1"/>
      <c r="H2377" s="1"/>
      <c r="I2377" s="1"/>
      <c r="J2377" s="1"/>
      <c r="K2377" s="1"/>
      <c r="L2377" s="1"/>
      <c r="M2377" s="1"/>
      <c r="N2377" s="1"/>
      <c r="O2377" s="3"/>
    </row>
    <row r="2378" spans="1:15" ht="13.8">
      <c r="A2378" s="1"/>
      <c r="B2378" s="1"/>
      <c r="C2378" s="1"/>
      <c r="D2378" s="1"/>
      <c r="E2378" s="1"/>
      <c r="F2378" s="1"/>
      <c r="G2378" s="1"/>
      <c r="H2378" s="1"/>
      <c r="I2378" s="1"/>
      <c r="J2378" s="1"/>
      <c r="K2378" s="1"/>
      <c r="L2378" s="1"/>
      <c r="M2378" s="1"/>
      <c r="N2378" s="1"/>
      <c r="O2378" s="3"/>
    </row>
    <row r="2379" spans="1:15" ht="13.8">
      <c r="A2379" s="1"/>
      <c r="B2379" s="1"/>
      <c r="C2379" s="1"/>
      <c r="D2379" s="1"/>
      <c r="E2379" s="1"/>
      <c r="F2379" s="1"/>
      <c r="G2379" s="1"/>
      <c r="H2379" s="1"/>
      <c r="I2379" s="1"/>
      <c r="J2379" s="1"/>
      <c r="K2379" s="1"/>
      <c r="L2379" s="1"/>
      <c r="M2379" s="1"/>
      <c r="N2379" s="1"/>
      <c r="O2379" s="3"/>
    </row>
    <row r="2380" spans="1:15" ht="13.8">
      <c r="A2380" s="1"/>
      <c r="B2380" s="1"/>
      <c r="C2380" s="1"/>
      <c r="D2380" s="1"/>
      <c r="E2380" s="1"/>
      <c r="F2380" s="1"/>
      <c r="G2380" s="1"/>
      <c r="H2380" s="1"/>
      <c r="I2380" s="1"/>
      <c r="J2380" s="1"/>
      <c r="K2380" s="1"/>
      <c r="L2380" s="1"/>
      <c r="M2380" s="1"/>
      <c r="N2380" s="1"/>
      <c r="O2380" s="3"/>
    </row>
    <row r="2381" spans="1:15" ht="13.8">
      <c r="A2381" s="1"/>
      <c r="B2381" s="1"/>
      <c r="C2381" s="1"/>
      <c r="D2381" s="1"/>
      <c r="E2381" s="1"/>
      <c r="F2381" s="1"/>
      <c r="G2381" s="1"/>
      <c r="H2381" s="1"/>
      <c r="I2381" s="1"/>
      <c r="J2381" s="1"/>
      <c r="K2381" s="1"/>
      <c r="L2381" s="1"/>
      <c r="M2381" s="1"/>
      <c r="N2381" s="1"/>
      <c r="O2381" s="3"/>
    </row>
    <row r="2382" spans="1:15" ht="13.8">
      <c r="A2382" s="1"/>
      <c r="B2382" s="1"/>
      <c r="C2382" s="1"/>
      <c r="D2382" s="1"/>
      <c r="E2382" s="1"/>
      <c r="F2382" s="1"/>
      <c r="G2382" s="1"/>
      <c r="H2382" s="1"/>
      <c r="I2382" s="1"/>
      <c r="J2382" s="1"/>
      <c r="K2382" s="1"/>
      <c r="L2382" s="1"/>
      <c r="M2382" s="1"/>
      <c r="N2382" s="1"/>
      <c r="O2382" s="3"/>
    </row>
    <row r="2383" spans="1:15" ht="13.8">
      <c r="A2383" s="1"/>
      <c r="B2383" s="1"/>
      <c r="C2383" s="1"/>
      <c r="D2383" s="1"/>
      <c r="E2383" s="1"/>
      <c r="F2383" s="1"/>
      <c r="G2383" s="1"/>
      <c r="H2383" s="1"/>
      <c r="I2383" s="1"/>
      <c r="J2383" s="1"/>
      <c r="K2383" s="1"/>
      <c r="L2383" s="1"/>
      <c r="M2383" s="1"/>
      <c r="N2383" s="1"/>
      <c r="O2383" s="3"/>
    </row>
    <row r="2384" spans="1:15" ht="13.8">
      <c r="A2384" s="1"/>
      <c r="B2384" s="1"/>
      <c r="C2384" s="1"/>
      <c r="D2384" s="1"/>
      <c r="E2384" s="1"/>
      <c r="F2384" s="1"/>
      <c r="G2384" s="1"/>
      <c r="H2384" s="1"/>
      <c r="I2384" s="1"/>
      <c r="J2384" s="1"/>
      <c r="K2384" s="1"/>
      <c r="L2384" s="1"/>
      <c r="M2384" s="1"/>
      <c r="N2384" s="1"/>
      <c r="O2384" s="3"/>
    </row>
    <row r="2385" spans="1:15" ht="13.8">
      <c r="A2385" s="1"/>
      <c r="B2385" s="1"/>
      <c r="C2385" s="1"/>
      <c r="D2385" s="1"/>
      <c r="E2385" s="1"/>
      <c r="F2385" s="1"/>
      <c r="G2385" s="1"/>
      <c r="H2385" s="1"/>
      <c r="I2385" s="1"/>
      <c r="J2385" s="1"/>
      <c r="K2385" s="1"/>
      <c r="L2385" s="1"/>
      <c r="M2385" s="1"/>
      <c r="N2385" s="1"/>
      <c r="O2385" s="3"/>
    </row>
    <row r="2386" spans="1:15" ht="13.8">
      <c r="A2386" s="1"/>
      <c r="B2386" s="1"/>
      <c r="C2386" s="1"/>
      <c r="D2386" s="1"/>
      <c r="E2386" s="1"/>
      <c r="F2386" s="1"/>
      <c r="G2386" s="1"/>
      <c r="H2386" s="1"/>
      <c r="I2386" s="1"/>
      <c r="J2386" s="1"/>
      <c r="K2386" s="1"/>
      <c r="L2386" s="1"/>
      <c r="M2386" s="1"/>
      <c r="N2386" s="1"/>
      <c r="O2386" s="3"/>
    </row>
    <row r="2387" spans="1:15" ht="13.8">
      <c r="A2387" s="1"/>
      <c r="B2387" s="1"/>
      <c r="C2387" s="1"/>
      <c r="D2387" s="1"/>
      <c r="E2387" s="1"/>
      <c r="F2387" s="1"/>
      <c r="G2387" s="1"/>
      <c r="H2387" s="1"/>
      <c r="I2387" s="1"/>
      <c r="J2387" s="1"/>
      <c r="K2387" s="1"/>
      <c r="L2387" s="1"/>
      <c r="M2387" s="1"/>
      <c r="N2387" s="1"/>
      <c r="O2387" s="3"/>
    </row>
    <row r="2388" spans="1:15" ht="13.8">
      <c r="A2388" s="1"/>
      <c r="B2388" s="1"/>
      <c r="C2388" s="1"/>
      <c r="D2388" s="1"/>
      <c r="E2388" s="1"/>
      <c r="F2388" s="1"/>
      <c r="G2388" s="1"/>
      <c r="H2388" s="1"/>
      <c r="I2388" s="1"/>
      <c r="J2388" s="1"/>
      <c r="K2388" s="1"/>
      <c r="L2388" s="1"/>
      <c r="M2388" s="1"/>
      <c r="N2388" s="1"/>
      <c r="O2388" s="3"/>
    </row>
    <row r="2389" spans="1:15" ht="13.8">
      <c r="A2389" s="1"/>
      <c r="B2389" s="1"/>
      <c r="C2389" s="1"/>
      <c r="D2389" s="1"/>
      <c r="E2389" s="1"/>
      <c r="F2389" s="1"/>
      <c r="G2389" s="1"/>
      <c r="H2389" s="1"/>
      <c r="I2389" s="1"/>
      <c r="J2389" s="1"/>
      <c r="K2389" s="1"/>
      <c r="L2389" s="1"/>
      <c r="M2389" s="1"/>
      <c r="N2389" s="1"/>
      <c r="O2389" s="3"/>
    </row>
    <row r="2390" spans="1:15" ht="13.8">
      <c r="A2390" s="1"/>
      <c r="B2390" s="1"/>
      <c r="C2390" s="1"/>
      <c r="D2390" s="1"/>
      <c r="E2390" s="1"/>
      <c r="F2390" s="1"/>
      <c r="G2390" s="1"/>
      <c r="H2390" s="1"/>
      <c r="I2390" s="1"/>
      <c r="J2390" s="1"/>
      <c r="K2390" s="1"/>
      <c r="L2390" s="1"/>
      <c r="M2390" s="1"/>
      <c r="N2390" s="1"/>
      <c r="O2390" s="3"/>
    </row>
    <row r="2391" spans="1:15" ht="13.8">
      <c r="A2391" s="1"/>
      <c r="B2391" s="1"/>
      <c r="C2391" s="1"/>
      <c r="D2391" s="1"/>
      <c r="E2391" s="1"/>
      <c r="F2391" s="1"/>
      <c r="G2391" s="1"/>
      <c r="H2391" s="1"/>
      <c r="I2391" s="1"/>
      <c r="J2391" s="1"/>
      <c r="K2391" s="1"/>
      <c r="L2391" s="1"/>
      <c r="M2391" s="1"/>
      <c r="N2391" s="1"/>
      <c r="O2391" s="3"/>
    </row>
    <row r="2392" spans="1:15" ht="13.8">
      <c r="A2392" s="1"/>
      <c r="B2392" s="1"/>
      <c r="C2392" s="1"/>
      <c r="D2392" s="1"/>
      <c r="E2392" s="1"/>
      <c r="F2392" s="1"/>
      <c r="G2392" s="1"/>
      <c r="H2392" s="1"/>
      <c r="I2392" s="1"/>
      <c r="J2392" s="1"/>
      <c r="K2392" s="1"/>
      <c r="L2392" s="1"/>
      <c r="M2392" s="1"/>
      <c r="N2392" s="1"/>
      <c r="O2392" s="3"/>
    </row>
    <row r="2393" spans="1:15" ht="13.8">
      <c r="A2393" s="1"/>
      <c r="B2393" s="1"/>
      <c r="C2393" s="1"/>
      <c r="D2393" s="1"/>
      <c r="E2393" s="1"/>
      <c r="F2393" s="1"/>
      <c r="G2393" s="1"/>
      <c r="H2393" s="1"/>
      <c r="I2393" s="1"/>
      <c r="J2393" s="1"/>
      <c r="K2393" s="1"/>
      <c r="L2393" s="1"/>
      <c r="M2393" s="1"/>
      <c r="N2393" s="1"/>
      <c r="O2393" s="3"/>
    </row>
    <row r="2394" spans="1:15" ht="13.8">
      <c r="A2394" s="1"/>
      <c r="B2394" s="1"/>
      <c r="C2394" s="1"/>
      <c r="D2394" s="1"/>
      <c r="E2394" s="1"/>
      <c r="F2394" s="1"/>
      <c r="G2394" s="1"/>
      <c r="H2394" s="1"/>
      <c r="I2394" s="1"/>
      <c r="J2394" s="1"/>
      <c r="K2394" s="1"/>
      <c r="L2394" s="1"/>
      <c r="M2394" s="1"/>
      <c r="N2394" s="1"/>
      <c r="O2394" s="3"/>
    </row>
    <row r="2395" spans="1:15" ht="13.8">
      <c r="A2395" s="1"/>
      <c r="B2395" s="1"/>
      <c r="C2395" s="1"/>
      <c r="D2395" s="1"/>
      <c r="E2395" s="1"/>
      <c r="F2395" s="1"/>
      <c r="G2395" s="1"/>
      <c r="H2395" s="1"/>
      <c r="I2395" s="1"/>
      <c r="J2395" s="1"/>
      <c r="K2395" s="1"/>
      <c r="L2395" s="1"/>
      <c r="M2395" s="1"/>
      <c r="N2395" s="1"/>
      <c r="O2395" s="3"/>
    </row>
    <row r="2396" spans="1:15" ht="13.8">
      <c r="A2396" s="1"/>
      <c r="B2396" s="1"/>
      <c r="C2396" s="1"/>
      <c r="D2396" s="1"/>
      <c r="E2396" s="1"/>
      <c r="F2396" s="1"/>
      <c r="G2396" s="1"/>
      <c r="H2396" s="1"/>
      <c r="I2396" s="1"/>
      <c r="J2396" s="1"/>
      <c r="K2396" s="1"/>
      <c r="L2396" s="1"/>
      <c r="M2396" s="1"/>
      <c r="N2396" s="1"/>
      <c r="O2396" s="3"/>
    </row>
    <row r="2397" spans="1:15" ht="13.8">
      <c r="A2397" s="1"/>
      <c r="B2397" s="1"/>
      <c r="C2397" s="1"/>
      <c r="D2397" s="1"/>
      <c r="E2397" s="1"/>
      <c r="F2397" s="1"/>
      <c r="G2397" s="1"/>
      <c r="H2397" s="1"/>
      <c r="I2397" s="1"/>
      <c r="J2397" s="1"/>
      <c r="K2397" s="1"/>
      <c r="L2397" s="1"/>
      <c r="M2397" s="1"/>
      <c r="N2397" s="1"/>
      <c r="O2397" s="3"/>
    </row>
    <row r="2398" spans="1:15" ht="13.8">
      <c r="A2398" s="1"/>
      <c r="B2398" s="1"/>
      <c r="C2398" s="1"/>
      <c r="D2398" s="1"/>
      <c r="E2398" s="1"/>
      <c r="F2398" s="1"/>
      <c r="G2398" s="1"/>
      <c r="H2398" s="1"/>
      <c r="I2398" s="1"/>
      <c r="J2398" s="1"/>
      <c r="K2398" s="1"/>
      <c r="L2398" s="1"/>
      <c r="M2398" s="1"/>
      <c r="N2398" s="1"/>
      <c r="O2398" s="3"/>
    </row>
    <row r="2399" spans="1:15" ht="13.8">
      <c r="A2399" s="1"/>
      <c r="B2399" s="1"/>
      <c r="C2399" s="1"/>
      <c r="D2399" s="1"/>
      <c r="E2399" s="1"/>
      <c r="F2399" s="1"/>
      <c r="G2399" s="1"/>
      <c r="H2399" s="1"/>
      <c r="I2399" s="1"/>
      <c r="J2399" s="1"/>
      <c r="K2399" s="1"/>
      <c r="L2399" s="1"/>
      <c r="M2399" s="1"/>
      <c r="N2399" s="1"/>
      <c r="O2399" s="3"/>
    </row>
    <row r="2400" spans="1:15" ht="13.8">
      <c r="A2400" s="1"/>
      <c r="B2400" s="1"/>
      <c r="C2400" s="1"/>
      <c r="D2400" s="1"/>
      <c r="E2400" s="1"/>
      <c r="F2400" s="1"/>
      <c r="G2400" s="1"/>
      <c r="H2400" s="1"/>
      <c r="I2400" s="1"/>
      <c r="J2400" s="1"/>
      <c r="K2400" s="1"/>
      <c r="L2400" s="1"/>
      <c r="M2400" s="1"/>
      <c r="N2400" s="1"/>
      <c r="O2400" s="3"/>
    </row>
    <row r="2401" spans="1:15" ht="13.8">
      <c r="A2401" s="1"/>
      <c r="B2401" s="1"/>
      <c r="C2401" s="1"/>
      <c r="D2401" s="1"/>
      <c r="E2401" s="1"/>
      <c r="F2401" s="1"/>
      <c r="G2401" s="1"/>
      <c r="H2401" s="1"/>
      <c r="I2401" s="1"/>
      <c r="J2401" s="1"/>
      <c r="K2401" s="1"/>
      <c r="L2401" s="1"/>
      <c r="M2401" s="1"/>
      <c r="N2401" s="1"/>
      <c r="O2401" s="3"/>
    </row>
    <row r="2402" spans="1:15" ht="13.8">
      <c r="A2402" s="1"/>
      <c r="B2402" s="1"/>
      <c r="C2402" s="1"/>
      <c r="D2402" s="1"/>
      <c r="E2402" s="1"/>
      <c r="F2402" s="1"/>
      <c r="G2402" s="1"/>
      <c r="H2402" s="1"/>
      <c r="I2402" s="1"/>
      <c r="J2402" s="1"/>
      <c r="K2402" s="1"/>
      <c r="L2402" s="1"/>
      <c r="M2402" s="1"/>
      <c r="N2402" s="1"/>
      <c r="O2402" s="3"/>
    </row>
    <row r="2403" spans="1:15" ht="13.8">
      <c r="A2403" s="1"/>
      <c r="B2403" s="1"/>
      <c r="C2403" s="1"/>
      <c r="D2403" s="1"/>
      <c r="E2403" s="1"/>
      <c r="F2403" s="1"/>
      <c r="G2403" s="1"/>
      <c r="H2403" s="1"/>
      <c r="I2403" s="1"/>
      <c r="J2403" s="1"/>
      <c r="K2403" s="1"/>
      <c r="L2403" s="1"/>
      <c r="M2403" s="1"/>
      <c r="N2403" s="1"/>
      <c r="O2403" s="3"/>
    </row>
    <row r="2404" spans="1:15" ht="13.8">
      <c r="A2404" s="1"/>
      <c r="B2404" s="1"/>
      <c r="C2404" s="1"/>
      <c r="D2404" s="1"/>
      <c r="E2404" s="1"/>
      <c r="F2404" s="1"/>
      <c r="G2404" s="1"/>
      <c r="H2404" s="1"/>
      <c r="I2404" s="1"/>
      <c r="J2404" s="1"/>
      <c r="K2404" s="1"/>
      <c r="L2404" s="1"/>
      <c r="M2404" s="1"/>
      <c r="N2404" s="1"/>
      <c r="O2404" s="3"/>
    </row>
    <row r="2405" spans="1:15" ht="13.8">
      <c r="A2405" s="1"/>
      <c r="B2405" s="1"/>
      <c r="C2405" s="1"/>
      <c r="D2405" s="1"/>
      <c r="E2405" s="1"/>
      <c r="F2405" s="1"/>
      <c r="G2405" s="1"/>
      <c r="H2405" s="1"/>
      <c r="I2405" s="1"/>
      <c r="J2405" s="1"/>
      <c r="K2405" s="1"/>
      <c r="L2405" s="1"/>
      <c r="M2405" s="1"/>
      <c r="N2405" s="1"/>
      <c r="O2405" s="3"/>
    </row>
    <row r="2406" spans="1:15" ht="13.8">
      <c r="A2406" s="1"/>
      <c r="B2406" s="1"/>
      <c r="C2406" s="1"/>
      <c r="D2406" s="1"/>
      <c r="E2406" s="1"/>
      <c r="F2406" s="1"/>
      <c r="G2406" s="1"/>
      <c r="H2406" s="1"/>
      <c r="I2406" s="1"/>
      <c r="J2406" s="1"/>
      <c r="K2406" s="1"/>
      <c r="L2406" s="1"/>
      <c r="M2406" s="1"/>
      <c r="N2406" s="1"/>
      <c r="O2406" s="3"/>
    </row>
    <row r="2407" spans="1:15" ht="13.8">
      <c r="A2407" s="1"/>
      <c r="B2407" s="1"/>
      <c r="C2407" s="1"/>
      <c r="D2407" s="1"/>
      <c r="E2407" s="1"/>
      <c r="F2407" s="1"/>
      <c r="G2407" s="1"/>
      <c r="H2407" s="1"/>
      <c r="I2407" s="1"/>
      <c r="J2407" s="1"/>
      <c r="K2407" s="1"/>
      <c r="L2407" s="1"/>
      <c r="M2407" s="1"/>
      <c r="N2407" s="1"/>
      <c r="O2407" s="3"/>
    </row>
    <row r="2408" spans="1:15" ht="13.8">
      <c r="A2408" s="1"/>
      <c r="B2408" s="1"/>
      <c r="C2408" s="1"/>
      <c r="D2408" s="1"/>
      <c r="E2408" s="1"/>
      <c r="F2408" s="1"/>
      <c r="G2408" s="1"/>
      <c r="H2408" s="1"/>
      <c r="I2408" s="1"/>
      <c r="J2408" s="1"/>
      <c r="K2408" s="1"/>
      <c r="L2408" s="1"/>
      <c r="M2408" s="1"/>
      <c r="N2408" s="1"/>
      <c r="O2408" s="3"/>
    </row>
    <row r="2409" spans="1:15" ht="13.8">
      <c r="A2409" s="1"/>
      <c r="B2409" s="1"/>
      <c r="C2409" s="1"/>
      <c r="D2409" s="1"/>
      <c r="E2409" s="1"/>
      <c r="F2409" s="1"/>
      <c r="G2409" s="1"/>
      <c r="H2409" s="1"/>
      <c r="I2409" s="1"/>
      <c r="J2409" s="1"/>
      <c r="K2409" s="1"/>
      <c r="L2409" s="1"/>
      <c r="M2409" s="1"/>
      <c r="N2409" s="1"/>
      <c r="O2409" s="3"/>
    </row>
    <row r="2410" spans="1:15" ht="13.8">
      <c r="A2410" s="1"/>
      <c r="B2410" s="1"/>
      <c r="C2410" s="1"/>
      <c r="D2410" s="1"/>
      <c r="E2410" s="1"/>
      <c r="F2410" s="1"/>
      <c r="G2410" s="1"/>
      <c r="H2410" s="1"/>
      <c r="I2410" s="1"/>
      <c r="J2410" s="1"/>
      <c r="K2410" s="1"/>
      <c r="L2410" s="1"/>
      <c r="M2410" s="1"/>
      <c r="N2410" s="1"/>
      <c r="O2410" s="3"/>
    </row>
    <row r="2411" spans="1:15" ht="13.8">
      <c r="A2411" s="1"/>
      <c r="B2411" s="1"/>
      <c r="C2411" s="1"/>
      <c r="D2411" s="1"/>
      <c r="E2411" s="1"/>
      <c r="F2411" s="1"/>
      <c r="G2411" s="1"/>
      <c r="H2411" s="1"/>
      <c r="I2411" s="1"/>
      <c r="J2411" s="1"/>
      <c r="K2411" s="1"/>
      <c r="L2411" s="1"/>
      <c r="M2411" s="1"/>
      <c r="N2411" s="1"/>
      <c r="O2411" s="3"/>
    </row>
    <row r="2412" spans="1:15" ht="13.8">
      <c r="A2412" s="1"/>
      <c r="B2412" s="1"/>
      <c r="C2412" s="1"/>
      <c r="D2412" s="1"/>
      <c r="E2412" s="1"/>
      <c r="F2412" s="1"/>
      <c r="G2412" s="1"/>
      <c r="H2412" s="1"/>
      <c r="I2412" s="1"/>
      <c r="J2412" s="1"/>
      <c r="K2412" s="1"/>
      <c r="L2412" s="1"/>
      <c r="M2412" s="1"/>
      <c r="N2412" s="1"/>
      <c r="O2412" s="3"/>
    </row>
    <row r="2413" spans="1:15" ht="13.8">
      <c r="A2413" s="1"/>
      <c r="B2413" s="1"/>
      <c r="C2413" s="1"/>
      <c r="D2413" s="1"/>
      <c r="E2413" s="1"/>
      <c r="F2413" s="1"/>
      <c r="G2413" s="1"/>
      <c r="H2413" s="1"/>
      <c r="I2413" s="1"/>
      <c r="J2413" s="1"/>
      <c r="K2413" s="1"/>
      <c r="L2413" s="1"/>
      <c r="M2413" s="1"/>
      <c r="N2413" s="1"/>
      <c r="O2413" s="3"/>
    </row>
    <row r="2414" spans="1:15" ht="13.8">
      <c r="A2414" s="1"/>
      <c r="B2414" s="1"/>
      <c r="C2414" s="1"/>
      <c r="D2414" s="1"/>
      <c r="E2414" s="1"/>
      <c r="F2414" s="1"/>
      <c r="G2414" s="1"/>
      <c r="H2414" s="1"/>
      <c r="I2414" s="1"/>
      <c r="J2414" s="1"/>
      <c r="K2414" s="1"/>
      <c r="L2414" s="1"/>
      <c r="M2414" s="1"/>
      <c r="N2414" s="1"/>
      <c r="O2414" s="3"/>
    </row>
    <row r="2415" spans="1:15" ht="13.8">
      <c r="A2415" s="1"/>
      <c r="B2415" s="1"/>
      <c r="C2415" s="1"/>
      <c r="D2415" s="1"/>
      <c r="E2415" s="1"/>
      <c r="F2415" s="1"/>
      <c r="G2415" s="1"/>
      <c r="H2415" s="1"/>
      <c r="I2415" s="1"/>
      <c r="J2415" s="1"/>
      <c r="K2415" s="1"/>
      <c r="L2415" s="1"/>
      <c r="M2415" s="1"/>
      <c r="N2415" s="1"/>
      <c r="O2415" s="3"/>
    </row>
    <row r="2416" spans="1:15" ht="13.8">
      <c r="A2416" s="1"/>
      <c r="B2416" s="1"/>
      <c r="C2416" s="1"/>
      <c r="D2416" s="1"/>
      <c r="E2416" s="1"/>
      <c r="F2416" s="1"/>
      <c r="G2416" s="1"/>
      <c r="H2416" s="1"/>
      <c r="I2416" s="1"/>
      <c r="J2416" s="1"/>
      <c r="K2416" s="1"/>
      <c r="L2416" s="1"/>
      <c r="M2416" s="1"/>
      <c r="N2416" s="1"/>
      <c r="O2416" s="3"/>
    </row>
    <row r="2417" spans="1:15" ht="13.8">
      <c r="A2417" s="1"/>
      <c r="B2417" s="1"/>
      <c r="C2417" s="1"/>
      <c r="D2417" s="1"/>
      <c r="E2417" s="1"/>
      <c r="F2417" s="1"/>
      <c r="G2417" s="1"/>
      <c r="H2417" s="1"/>
      <c r="I2417" s="1"/>
      <c r="J2417" s="1"/>
      <c r="K2417" s="1"/>
      <c r="L2417" s="1"/>
      <c r="M2417" s="1"/>
      <c r="N2417" s="1"/>
      <c r="O2417" s="3"/>
    </row>
    <row r="2418" spans="1:15" ht="13.8">
      <c r="A2418" s="1"/>
      <c r="B2418" s="1"/>
      <c r="C2418" s="1"/>
      <c r="D2418" s="1"/>
      <c r="E2418" s="1"/>
      <c r="F2418" s="1"/>
      <c r="G2418" s="1"/>
      <c r="H2418" s="1"/>
      <c r="I2418" s="1"/>
      <c r="J2418" s="1"/>
      <c r="K2418" s="1"/>
      <c r="L2418" s="1"/>
      <c r="M2418" s="1"/>
      <c r="N2418" s="1"/>
      <c r="O2418" s="3"/>
    </row>
    <row r="2419" spans="1:15" ht="13.8">
      <c r="A2419" s="1"/>
      <c r="B2419" s="1"/>
      <c r="C2419" s="1"/>
      <c r="D2419" s="1"/>
      <c r="E2419" s="1"/>
      <c r="F2419" s="1"/>
      <c r="G2419" s="1"/>
      <c r="H2419" s="1"/>
      <c r="I2419" s="1"/>
      <c r="J2419" s="1"/>
      <c r="K2419" s="1"/>
      <c r="L2419" s="1"/>
      <c r="M2419" s="1"/>
      <c r="N2419" s="1"/>
      <c r="O2419" s="3"/>
    </row>
    <row r="2420" spans="1:15" ht="13.8">
      <c r="A2420" s="1"/>
      <c r="B2420" s="1"/>
      <c r="C2420" s="1"/>
      <c r="D2420" s="1"/>
      <c r="E2420" s="1"/>
      <c r="F2420" s="1"/>
      <c r="G2420" s="1"/>
      <c r="H2420" s="1"/>
      <c r="I2420" s="1"/>
      <c r="J2420" s="1"/>
      <c r="K2420" s="1"/>
      <c r="L2420" s="1"/>
      <c r="M2420" s="1"/>
      <c r="N2420" s="1"/>
      <c r="O2420" s="3"/>
    </row>
    <row r="2421" spans="1:15" ht="13.8">
      <c r="A2421" s="1"/>
      <c r="B2421" s="1"/>
      <c r="C2421" s="1"/>
      <c r="D2421" s="1"/>
      <c r="E2421" s="1"/>
      <c r="F2421" s="1"/>
      <c r="G2421" s="1"/>
      <c r="H2421" s="1"/>
      <c r="I2421" s="1"/>
      <c r="J2421" s="1"/>
      <c r="K2421" s="1"/>
      <c r="L2421" s="1"/>
      <c r="M2421" s="1"/>
      <c r="N2421" s="1"/>
      <c r="O2421" s="3"/>
    </row>
    <row r="2422" spans="1:15" ht="13.8">
      <c r="A2422" s="1"/>
      <c r="B2422" s="1"/>
      <c r="C2422" s="1"/>
      <c r="D2422" s="1"/>
      <c r="E2422" s="1"/>
      <c r="F2422" s="1"/>
      <c r="G2422" s="1"/>
      <c r="H2422" s="1"/>
      <c r="I2422" s="1"/>
      <c r="J2422" s="1"/>
      <c r="K2422" s="1"/>
      <c r="L2422" s="1"/>
      <c r="M2422" s="1"/>
      <c r="N2422" s="1"/>
      <c r="O2422" s="3"/>
    </row>
    <row r="2423" spans="1:15" ht="13.8">
      <c r="A2423" s="1"/>
      <c r="B2423" s="1"/>
      <c r="C2423" s="1"/>
      <c r="D2423" s="1"/>
      <c r="E2423" s="1"/>
      <c r="F2423" s="1"/>
      <c r="G2423" s="1"/>
      <c r="H2423" s="1"/>
      <c r="I2423" s="1"/>
      <c r="J2423" s="1"/>
      <c r="K2423" s="1"/>
      <c r="L2423" s="1"/>
      <c r="M2423" s="1"/>
      <c r="N2423" s="1"/>
      <c r="O2423" s="3"/>
    </row>
    <row r="2424" spans="1:15" ht="13.8">
      <c r="A2424" s="1"/>
      <c r="B2424" s="1"/>
      <c r="C2424" s="1"/>
      <c r="D2424" s="1"/>
      <c r="E2424" s="1"/>
      <c r="F2424" s="1"/>
      <c r="G2424" s="1"/>
      <c r="H2424" s="1"/>
      <c r="I2424" s="1"/>
      <c r="J2424" s="1"/>
      <c r="K2424" s="1"/>
      <c r="L2424" s="1"/>
      <c r="M2424" s="1"/>
      <c r="N2424" s="1"/>
      <c r="O2424" s="3"/>
    </row>
    <row r="2425" spans="1:15" ht="13.8">
      <c r="A2425" s="1"/>
      <c r="B2425" s="1"/>
      <c r="C2425" s="1"/>
      <c r="D2425" s="1"/>
      <c r="E2425" s="1"/>
      <c r="F2425" s="1"/>
      <c r="G2425" s="1"/>
      <c r="H2425" s="1"/>
      <c r="I2425" s="1"/>
      <c r="J2425" s="1"/>
      <c r="K2425" s="1"/>
      <c r="L2425" s="1"/>
      <c r="M2425" s="1"/>
      <c r="N2425" s="1"/>
      <c r="O2425" s="3"/>
    </row>
    <row r="2426" spans="1:15" ht="13.8">
      <c r="A2426" s="1"/>
      <c r="B2426" s="1"/>
      <c r="C2426" s="1"/>
      <c r="D2426" s="1"/>
      <c r="E2426" s="1"/>
      <c r="F2426" s="1"/>
      <c r="G2426" s="1"/>
      <c r="H2426" s="1"/>
      <c r="I2426" s="1"/>
      <c r="J2426" s="1"/>
      <c r="K2426" s="1"/>
      <c r="L2426" s="1"/>
      <c r="M2426" s="1"/>
      <c r="N2426" s="1"/>
      <c r="O2426" s="3"/>
    </row>
    <row r="2427" spans="1:15" ht="13.8">
      <c r="A2427" s="1"/>
      <c r="B2427" s="1"/>
      <c r="C2427" s="1"/>
      <c r="D2427" s="1"/>
      <c r="E2427" s="1"/>
      <c r="F2427" s="1"/>
      <c r="G2427" s="1"/>
      <c r="H2427" s="1"/>
      <c r="I2427" s="1"/>
      <c r="J2427" s="1"/>
      <c r="K2427" s="1"/>
      <c r="L2427" s="1"/>
      <c r="M2427" s="1"/>
      <c r="N2427" s="1"/>
      <c r="O2427" s="3"/>
    </row>
    <row r="2428" spans="1:15" ht="13.8">
      <c r="A2428" s="1"/>
      <c r="B2428" s="1"/>
      <c r="C2428" s="1"/>
      <c r="D2428" s="1"/>
      <c r="E2428" s="1"/>
      <c r="F2428" s="1"/>
      <c r="G2428" s="1"/>
      <c r="H2428" s="1"/>
      <c r="I2428" s="1"/>
      <c r="J2428" s="1"/>
      <c r="K2428" s="1"/>
      <c r="L2428" s="1"/>
      <c r="M2428" s="1"/>
      <c r="N2428" s="1"/>
      <c r="O2428" s="3"/>
    </row>
    <row r="2429" spans="1:15" ht="13.8">
      <c r="A2429" s="1"/>
      <c r="B2429" s="1"/>
      <c r="C2429" s="1"/>
      <c r="D2429" s="1"/>
      <c r="E2429" s="1"/>
      <c r="F2429" s="1"/>
      <c r="G2429" s="1"/>
      <c r="H2429" s="1"/>
      <c r="I2429" s="1"/>
      <c r="J2429" s="1"/>
      <c r="K2429" s="1"/>
      <c r="L2429" s="1"/>
      <c r="M2429" s="1"/>
      <c r="N2429" s="1"/>
      <c r="O2429" s="3"/>
    </row>
    <row r="2430" spans="1:15" ht="13.8">
      <c r="A2430" s="1"/>
      <c r="B2430" s="1"/>
      <c r="C2430" s="1"/>
      <c r="D2430" s="1"/>
      <c r="E2430" s="1"/>
      <c r="F2430" s="1"/>
      <c r="G2430" s="1"/>
      <c r="H2430" s="1"/>
      <c r="I2430" s="1"/>
      <c r="J2430" s="1"/>
      <c r="K2430" s="1"/>
      <c r="L2430" s="1"/>
      <c r="M2430" s="1"/>
      <c r="N2430" s="1"/>
      <c r="O2430" s="3"/>
    </row>
    <row r="2431" spans="1:15" ht="13.8">
      <c r="A2431" s="1"/>
      <c r="B2431" s="1"/>
      <c r="C2431" s="1"/>
      <c r="D2431" s="1"/>
      <c r="E2431" s="1"/>
      <c r="F2431" s="1"/>
      <c r="G2431" s="1"/>
      <c r="H2431" s="1"/>
      <c r="I2431" s="1"/>
      <c r="J2431" s="1"/>
      <c r="K2431" s="1"/>
      <c r="L2431" s="1"/>
      <c r="M2431" s="1"/>
      <c r="N2431" s="1"/>
      <c r="O2431" s="3"/>
    </row>
    <row r="2432" spans="1:15" ht="13.8">
      <c r="A2432" s="1"/>
      <c r="B2432" s="1"/>
      <c r="C2432" s="1"/>
      <c r="D2432" s="1"/>
      <c r="E2432" s="1"/>
      <c r="F2432" s="1"/>
      <c r="G2432" s="1"/>
      <c r="H2432" s="1"/>
      <c r="I2432" s="1"/>
      <c r="J2432" s="1"/>
      <c r="K2432" s="1"/>
      <c r="L2432" s="1"/>
      <c r="M2432" s="1"/>
      <c r="N2432" s="1"/>
      <c r="O2432" s="3"/>
    </row>
    <row r="2433" spans="1:15" ht="13.8">
      <c r="A2433" s="1"/>
      <c r="B2433" s="1"/>
      <c r="C2433" s="1"/>
      <c r="D2433" s="1"/>
      <c r="E2433" s="1"/>
      <c r="F2433" s="1"/>
      <c r="G2433" s="1"/>
      <c r="H2433" s="1"/>
      <c r="I2433" s="1"/>
      <c r="J2433" s="1"/>
      <c r="K2433" s="1"/>
      <c r="L2433" s="1"/>
      <c r="M2433" s="1"/>
      <c r="N2433" s="1"/>
      <c r="O2433" s="3"/>
    </row>
    <row r="2434" spans="1:15" ht="13.8">
      <c r="A2434" s="1"/>
      <c r="B2434" s="1"/>
      <c r="C2434" s="1"/>
      <c r="D2434" s="1"/>
      <c r="E2434" s="1"/>
      <c r="F2434" s="1"/>
      <c r="G2434" s="1"/>
      <c r="H2434" s="1"/>
      <c r="I2434" s="1"/>
      <c r="J2434" s="1"/>
      <c r="K2434" s="1"/>
      <c r="L2434" s="1"/>
      <c r="M2434" s="1"/>
      <c r="N2434" s="1"/>
      <c r="O2434" s="3"/>
    </row>
    <row r="2435" spans="1:15" ht="13.8">
      <c r="A2435" s="1"/>
      <c r="B2435" s="1"/>
      <c r="C2435" s="1"/>
      <c r="D2435" s="1"/>
      <c r="E2435" s="1"/>
      <c r="F2435" s="1"/>
      <c r="G2435" s="1"/>
      <c r="H2435" s="1"/>
      <c r="I2435" s="1"/>
      <c r="J2435" s="1"/>
      <c r="K2435" s="1"/>
      <c r="L2435" s="1"/>
      <c r="M2435" s="1"/>
      <c r="N2435" s="1"/>
      <c r="O2435" s="3"/>
    </row>
    <row r="2436" spans="1:15" ht="13.8">
      <c r="A2436" s="1"/>
      <c r="B2436" s="1"/>
      <c r="C2436" s="1"/>
      <c r="D2436" s="1"/>
      <c r="E2436" s="1"/>
      <c r="F2436" s="1"/>
      <c r="G2436" s="1"/>
      <c r="H2436" s="1"/>
      <c r="I2436" s="1"/>
      <c r="J2436" s="1"/>
      <c r="K2436" s="1"/>
      <c r="L2436" s="1"/>
      <c r="M2436" s="1"/>
      <c r="N2436" s="1"/>
      <c r="O2436" s="3"/>
    </row>
    <row r="2437" spans="1:15" ht="13.8">
      <c r="A2437" s="1"/>
      <c r="B2437" s="1"/>
      <c r="C2437" s="1"/>
      <c r="D2437" s="1"/>
      <c r="E2437" s="1"/>
      <c r="F2437" s="1"/>
      <c r="G2437" s="1"/>
      <c r="H2437" s="1"/>
      <c r="I2437" s="1"/>
      <c r="J2437" s="1"/>
      <c r="K2437" s="1"/>
      <c r="L2437" s="1"/>
      <c r="M2437" s="1"/>
      <c r="N2437" s="1"/>
      <c r="O2437" s="3"/>
    </row>
    <row r="2438" spans="1:15" ht="13.8">
      <c r="A2438" s="1"/>
      <c r="B2438" s="1"/>
      <c r="C2438" s="1"/>
      <c r="D2438" s="1"/>
      <c r="E2438" s="1"/>
      <c r="F2438" s="1"/>
      <c r="G2438" s="1"/>
      <c r="H2438" s="1"/>
      <c r="I2438" s="1"/>
      <c r="J2438" s="1"/>
      <c r="K2438" s="1"/>
      <c r="L2438" s="1"/>
      <c r="M2438" s="1"/>
      <c r="N2438" s="1"/>
      <c r="O2438" s="3"/>
    </row>
    <row r="2439" spans="1:15" ht="13.8">
      <c r="A2439" s="1"/>
      <c r="B2439" s="1"/>
      <c r="C2439" s="1"/>
      <c r="D2439" s="1"/>
      <c r="E2439" s="1"/>
      <c r="F2439" s="1"/>
      <c r="G2439" s="1"/>
      <c r="H2439" s="1"/>
      <c r="I2439" s="1"/>
      <c r="J2439" s="1"/>
      <c r="K2439" s="1"/>
      <c r="L2439" s="1"/>
      <c r="M2439" s="1"/>
      <c r="N2439" s="1"/>
      <c r="O2439" s="3"/>
    </row>
    <row r="2440" spans="1:15" ht="13.8">
      <c r="A2440" s="1"/>
      <c r="B2440" s="1"/>
      <c r="C2440" s="1"/>
      <c r="D2440" s="1"/>
      <c r="E2440" s="1"/>
      <c r="F2440" s="1"/>
      <c r="G2440" s="1"/>
      <c r="H2440" s="1"/>
      <c r="I2440" s="1"/>
      <c r="J2440" s="1"/>
      <c r="K2440" s="1"/>
      <c r="L2440" s="1"/>
      <c r="M2440" s="1"/>
      <c r="N2440" s="1"/>
      <c r="O2440" s="3"/>
    </row>
    <row r="2441" spans="1:15" ht="13.8">
      <c r="A2441" s="1"/>
      <c r="B2441" s="1"/>
      <c r="C2441" s="1"/>
      <c r="D2441" s="1"/>
      <c r="E2441" s="1"/>
      <c r="F2441" s="1"/>
      <c r="G2441" s="1"/>
      <c r="H2441" s="1"/>
      <c r="I2441" s="1"/>
      <c r="J2441" s="1"/>
      <c r="K2441" s="1"/>
      <c r="L2441" s="1"/>
      <c r="M2441" s="1"/>
      <c r="N2441" s="1"/>
      <c r="O2441" s="3"/>
    </row>
    <row r="2442" spans="1:15" ht="13.8">
      <c r="A2442" s="1"/>
      <c r="B2442" s="1"/>
      <c r="C2442" s="1"/>
      <c r="D2442" s="1"/>
      <c r="E2442" s="1"/>
      <c r="F2442" s="1"/>
      <c r="G2442" s="1"/>
      <c r="H2442" s="1"/>
      <c r="I2442" s="1"/>
      <c r="J2442" s="1"/>
      <c r="K2442" s="1"/>
      <c r="L2442" s="1"/>
      <c r="M2442" s="1"/>
      <c r="N2442" s="1"/>
      <c r="O2442" s="3"/>
    </row>
    <row r="2443" spans="1:15" ht="13.8">
      <c r="A2443" s="1"/>
      <c r="B2443" s="1"/>
      <c r="C2443" s="1"/>
      <c r="D2443" s="1"/>
      <c r="E2443" s="1"/>
      <c r="F2443" s="1"/>
      <c r="G2443" s="1"/>
      <c r="H2443" s="1"/>
      <c r="I2443" s="1"/>
      <c r="J2443" s="1"/>
      <c r="K2443" s="1"/>
      <c r="L2443" s="1"/>
      <c r="M2443" s="1"/>
      <c r="N2443" s="1"/>
      <c r="O2443" s="3"/>
    </row>
    <row r="2444" spans="1:15" ht="13.8">
      <c r="A2444" s="1"/>
      <c r="B2444" s="1"/>
      <c r="C2444" s="1"/>
      <c r="D2444" s="1"/>
      <c r="E2444" s="1"/>
      <c r="F2444" s="1"/>
      <c r="G2444" s="1"/>
      <c r="H2444" s="1"/>
      <c r="I2444" s="1"/>
      <c r="J2444" s="1"/>
      <c r="K2444" s="1"/>
      <c r="L2444" s="1"/>
      <c r="M2444" s="1"/>
      <c r="N2444" s="1"/>
      <c r="O2444" s="3"/>
    </row>
    <row r="2445" spans="1:15" ht="13.8">
      <c r="A2445" s="1"/>
      <c r="B2445" s="1"/>
      <c r="C2445" s="1"/>
      <c r="D2445" s="1"/>
      <c r="E2445" s="1"/>
      <c r="F2445" s="1"/>
      <c r="G2445" s="1"/>
      <c r="H2445" s="1"/>
      <c r="I2445" s="1"/>
      <c r="J2445" s="1"/>
      <c r="K2445" s="1"/>
      <c r="L2445" s="1"/>
      <c r="M2445" s="1"/>
      <c r="N2445" s="1"/>
      <c r="O2445" s="3"/>
    </row>
    <row r="2446" spans="1:15" ht="13.8">
      <c r="A2446" s="1"/>
      <c r="B2446" s="1"/>
      <c r="C2446" s="1"/>
      <c r="D2446" s="1"/>
      <c r="E2446" s="1"/>
      <c r="F2446" s="1"/>
      <c r="G2446" s="1"/>
      <c r="H2446" s="1"/>
      <c r="I2446" s="1"/>
      <c r="J2446" s="1"/>
      <c r="K2446" s="1"/>
      <c r="L2446" s="1"/>
      <c r="M2446" s="1"/>
      <c r="N2446" s="1"/>
      <c r="O2446" s="3"/>
    </row>
    <row r="2447" spans="1:15" ht="13.8">
      <c r="A2447" s="1"/>
      <c r="B2447" s="1"/>
      <c r="C2447" s="1"/>
      <c r="D2447" s="1"/>
      <c r="E2447" s="1"/>
      <c r="F2447" s="1"/>
      <c r="G2447" s="1"/>
      <c r="H2447" s="1"/>
      <c r="I2447" s="1"/>
      <c r="J2447" s="1"/>
      <c r="K2447" s="1"/>
      <c r="L2447" s="1"/>
      <c r="M2447" s="1"/>
      <c r="N2447" s="1"/>
      <c r="O2447" s="3"/>
    </row>
    <row r="2448" spans="1:15" ht="13.8">
      <c r="A2448" s="1"/>
      <c r="B2448" s="1"/>
      <c r="C2448" s="1"/>
      <c r="D2448" s="1"/>
      <c r="E2448" s="1"/>
      <c r="F2448" s="1"/>
      <c r="G2448" s="1"/>
      <c r="H2448" s="1"/>
      <c r="I2448" s="1"/>
      <c r="J2448" s="1"/>
      <c r="K2448" s="1"/>
      <c r="L2448" s="1"/>
      <c r="M2448" s="1"/>
      <c r="N2448" s="1"/>
      <c r="O2448" s="3"/>
    </row>
    <row r="2449" spans="1:15" ht="13.8">
      <c r="A2449" s="1"/>
      <c r="B2449" s="1"/>
      <c r="C2449" s="1"/>
      <c r="D2449" s="1"/>
      <c r="E2449" s="1"/>
      <c r="F2449" s="1"/>
      <c r="G2449" s="1"/>
      <c r="H2449" s="1"/>
      <c r="I2449" s="1"/>
      <c r="J2449" s="1"/>
      <c r="K2449" s="1"/>
      <c r="L2449" s="1"/>
      <c r="M2449" s="1"/>
      <c r="N2449" s="1"/>
      <c r="O2449" s="3"/>
    </row>
    <row r="2450" spans="1:15" ht="13.8">
      <c r="A2450" s="1"/>
      <c r="B2450" s="1"/>
      <c r="C2450" s="1"/>
      <c r="D2450" s="1"/>
      <c r="E2450" s="1"/>
      <c r="F2450" s="1"/>
      <c r="G2450" s="1"/>
      <c r="H2450" s="1"/>
      <c r="I2450" s="1"/>
      <c r="J2450" s="1"/>
      <c r="K2450" s="1"/>
      <c r="L2450" s="1"/>
      <c r="M2450" s="1"/>
      <c r="N2450" s="1"/>
      <c r="O2450" s="3"/>
    </row>
    <row r="2451" spans="1:15" ht="13.8">
      <c r="A2451" s="1"/>
      <c r="B2451" s="1"/>
      <c r="C2451" s="1"/>
      <c r="D2451" s="1"/>
      <c r="E2451" s="1"/>
      <c r="F2451" s="1"/>
      <c r="G2451" s="1"/>
      <c r="H2451" s="1"/>
      <c r="I2451" s="1"/>
      <c r="J2451" s="1"/>
      <c r="K2451" s="1"/>
      <c r="L2451" s="1"/>
      <c r="M2451" s="1"/>
      <c r="N2451" s="1"/>
      <c r="O2451" s="3"/>
    </row>
    <row r="2452" spans="1:15" ht="13.8">
      <c r="A2452" s="1"/>
      <c r="B2452" s="1"/>
      <c r="C2452" s="1"/>
      <c r="D2452" s="1"/>
      <c r="E2452" s="1"/>
      <c r="F2452" s="1"/>
      <c r="G2452" s="1"/>
      <c r="H2452" s="1"/>
      <c r="I2452" s="1"/>
      <c r="J2452" s="1"/>
      <c r="K2452" s="1"/>
      <c r="L2452" s="1"/>
      <c r="M2452" s="1"/>
      <c r="N2452" s="1"/>
      <c r="O2452" s="3"/>
    </row>
    <row r="2453" spans="1:15" ht="13.8">
      <c r="A2453" s="1"/>
      <c r="B2453" s="1"/>
      <c r="C2453" s="1"/>
      <c r="D2453" s="1"/>
      <c r="E2453" s="1"/>
      <c r="F2453" s="1"/>
      <c r="G2453" s="1"/>
      <c r="H2453" s="1"/>
      <c r="I2453" s="1"/>
      <c r="J2453" s="1"/>
      <c r="K2453" s="1"/>
      <c r="L2453" s="1"/>
      <c r="M2453" s="1"/>
      <c r="N2453" s="1"/>
      <c r="O2453" s="3"/>
    </row>
    <row r="2454" spans="1:15" ht="13.8">
      <c r="A2454" s="1"/>
      <c r="B2454" s="1"/>
      <c r="C2454" s="1"/>
      <c r="D2454" s="1"/>
      <c r="E2454" s="1"/>
      <c r="F2454" s="1"/>
      <c r="G2454" s="1"/>
      <c r="H2454" s="1"/>
      <c r="I2454" s="1"/>
      <c r="J2454" s="1"/>
      <c r="K2454" s="1"/>
      <c r="L2454" s="1"/>
      <c r="M2454" s="1"/>
      <c r="N2454" s="1"/>
      <c r="O2454" s="3"/>
    </row>
    <row r="2455" spans="1:15" ht="13.8">
      <c r="A2455" s="1"/>
      <c r="B2455" s="1"/>
      <c r="C2455" s="1"/>
      <c r="D2455" s="1"/>
      <c r="E2455" s="1"/>
      <c r="F2455" s="1"/>
      <c r="G2455" s="1"/>
      <c r="H2455" s="1"/>
      <c r="I2455" s="1"/>
      <c r="J2455" s="1"/>
      <c r="K2455" s="1"/>
      <c r="L2455" s="1"/>
      <c r="M2455" s="1"/>
      <c r="N2455" s="1"/>
      <c r="O2455" s="3"/>
    </row>
    <row r="2456" spans="1:15" ht="13.8">
      <c r="A2456" s="1"/>
      <c r="B2456" s="1"/>
      <c r="C2456" s="1"/>
      <c r="D2456" s="1"/>
      <c r="E2456" s="1"/>
      <c r="F2456" s="1"/>
      <c r="G2456" s="1"/>
      <c r="H2456" s="1"/>
      <c r="I2456" s="1"/>
      <c r="J2456" s="1"/>
      <c r="K2456" s="1"/>
      <c r="L2456" s="1"/>
      <c r="M2456" s="1"/>
      <c r="N2456" s="1"/>
      <c r="O2456" s="3"/>
    </row>
    <row r="2457" spans="1:15" ht="13.8">
      <c r="A2457" s="1"/>
      <c r="B2457" s="1"/>
      <c r="C2457" s="1"/>
      <c r="D2457" s="1"/>
      <c r="E2457" s="1"/>
      <c r="F2457" s="1"/>
      <c r="G2457" s="1"/>
      <c r="H2457" s="1"/>
      <c r="I2457" s="1"/>
      <c r="J2457" s="1"/>
      <c r="K2457" s="1"/>
      <c r="L2457" s="1"/>
      <c r="M2457" s="1"/>
      <c r="N2457" s="1"/>
      <c r="O2457" s="3"/>
    </row>
    <row r="2458" spans="1:15" ht="13.8">
      <c r="A2458" s="1"/>
      <c r="B2458" s="1"/>
      <c r="C2458" s="1"/>
      <c r="D2458" s="1"/>
      <c r="E2458" s="1"/>
      <c r="F2458" s="1"/>
      <c r="G2458" s="1"/>
      <c r="H2458" s="1"/>
      <c r="I2458" s="1"/>
      <c r="J2458" s="1"/>
      <c r="K2458" s="1"/>
      <c r="L2458" s="1"/>
      <c r="M2458" s="1"/>
      <c r="N2458" s="1"/>
      <c r="O2458" s="3"/>
    </row>
    <row r="2459" spans="1:15" ht="13.8">
      <c r="A2459" s="1"/>
      <c r="B2459" s="1"/>
      <c r="C2459" s="1"/>
      <c r="D2459" s="1"/>
      <c r="E2459" s="1"/>
      <c r="F2459" s="1"/>
      <c r="G2459" s="1"/>
      <c r="H2459" s="1"/>
      <c r="I2459" s="1"/>
      <c r="J2459" s="1"/>
      <c r="K2459" s="1"/>
      <c r="L2459" s="1"/>
      <c r="M2459" s="1"/>
      <c r="N2459" s="1"/>
      <c r="O2459" s="3"/>
    </row>
    <row r="2460" spans="1:15" ht="13.8">
      <c r="A2460" s="1"/>
      <c r="B2460" s="1"/>
      <c r="C2460" s="1"/>
      <c r="D2460" s="1"/>
      <c r="E2460" s="1"/>
      <c r="F2460" s="1"/>
      <c r="G2460" s="1"/>
      <c r="H2460" s="1"/>
      <c r="I2460" s="1"/>
      <c r="J2460" s="1"/>
      <c r="K2460" s="1"/>
      <c r="L2460" s="1"/>
      <c r="M2460" s="1"/>
      <c r="N2460" s="1"/>
      <c r="O2460" s="3"/>
    </row>
    <row r="2461" spans="1:15" ht="13.8">
      <c r="A2461" s="1"/>
      <c r="B2461" s="1"/>
      <c r="C2461" s="1"/>
      <c r="D2461" s="1"/>
      <c r="E2461" s="1"/>
      <c r="F2461" s="1"/>
      <c r="G2461" s="1"/>
      <c r="H2461" s="1"/>
      <c r="I2461" s="1"/>
      <c r="J2461" s="1"/>
      <c r="K2461" s="1"/>
      <c r="L2461" s="1"/>
      <c r="M2461" s="1"/>
      <c r="N2461" s="1"/>
      <c r="O2461" s="3"/>
    </row>
    <row r="2462" spans="1:15" ht="13.8">
      <c r="A2462" s="1"/>
      <c r="B2462" s="1"/>
      <c r="C2462" s="1"/>
      <c r="D2462" s="1"/>
      <c r="E2462" s="1"/>
      <c r="F2462" s="1"/>
      <c r="G2462" s="1"/>
      <c r="H2462" s="1"/>
      <c r="I2462" s="1"/>
      <c r="J2462" s="1"/>
      <c r="K2462" s="1"/>
      <c r="L2462" s="1"/>
      <c r="M2462" s="1"/>
      <c r="N2462" s="1"/>
      <c r="O2462" s="3"/>
    </row>
    <row r="2463" spans="1:15" ht="13.8">
      <c r="A2463" s="1"/>
      <c r="B2463" s="1"/>
      <c r="C2463" s="1"/>
      <c r="D2463" s="1"/>
      <c r="E2463" s="1"/>
      <c r="F2463" s="1"/>
      <c r="G2463" s="1"/>
      <c r="H2463" s="1"/>
      <c r="I2463" s="1"/>
      <c r="J2463" s="1"/>
      <c r="K2463" s="1"/>
      <c r="L2463" s="1"/>
      <c r="M2463" s="1"/>
      <c r="N2463" s="1"/>
      <c r="O2463" s="3"/>
    </row>
    <row r="2464" spans="1:15" ht="13.8">
      <c r="A2464" s="1"/>
      <c r="B2464" s="1"/>
      <c r="C2464" s="1"/>
      <c r="D2464" s="1"/>
      <c r="E2464" s="1"/>
      <c r="F2464" s="1"/>
      <c r="G2464" s="1"/>
      <c r="H2464" s="1"/>
      <c r="I2464" s="1"/>
      <c r="J2464" s="1"/>
      <c r="K2464" s="1"/>
      <c r="L2464" s="1"/>
      <c r="M2464" s="1"/>
      <c r="N2464" s="1"/>
      <c r="O2464" s="3"/>
    </row>
    <row r="2465" spans="1:15" ht="13.8">
      <c r="A2465" s="1"/>
      <c r="B2465" s="1"/>
      <c r="C2465" s="1"/>
      <c r="D2465" s="1"/>
      <c r="E2465" s="1"/>
      <c r="F2465" s="1"/>
      <c r="G2465" s="1"/>
      <c r="H2465" s="1"/>
      <c r="I2465" s="1"/>
      <c r="J2465" s="1"/>
      <c r="K2465" s="1"/>
      <c r="L2465" s="1"/>
      <c r="M2465" s="1"/>
      <c r="N2465" s="1"/>
      <c r="O2465" s="3"/>
    </row>
    <row r="2466" spans="1:15" ht="13.8">
      <c r="A2466" s="1"/>
      <c r="B2466" s="1"/>
      <c r="C2466" s="1"/>
      <c r="D2466" s="1"/>
      <c r="E2466" s="1"/>
      <c r="F2466" s="1"/>
      <c r="G2466" s="1"/>
      <c r="H2466" s="1"/>
      <c r="I2466" s="1"/>
      <c r="J2466" s="1"/>
      <c r="K2466" s="1"/>
      <c r="L2466" s="1"/>
      <c r="M2466" s="1"/>
      <c r="N2466" s="1"/>
      <c r="O2466" s="3"/>
    </row>
    <row r="2467" spans="1:15" ht="13.8">
      <c r="A2467" s="1"/>
      <c r="B2467" s="1"/>
      <c r="C2467" s="1"/>
      <c r="D2467" s="1"/>
      <c r="E2467" s="1"/>
      <c r="F2467" s="1"/>
      <c r="G2467" s="1"/>
      <c r="H2467" s="1"/>
      <c r="I2467" s="1"/>
      <c r="J2467" s="1"/>
      <c r="K2467" s="1"/>
      <c r="L2467" s="1"/>
      <c r="M2467" s="1"/>
      <c r="N2467" s="1"/>
      <c r="O2467" s="3"/>
    </row>
    <row r="2468" spans="1:15" ht="13.8">
      <c r="A2468" s="1"/>
      <c r="B2468" s="1"/>
      <c r="C2468" s="1"/>
      <c r="D2468" s="1"/>
      <c r="E2468" s="1"/>
      <c r="F2468" s="1"/>
      <c r="G2468" s="1"/>
      <c r="H2468" s="1"/>
      <c r="I2468" s="1"/>
      <c r="J2468" s="1"/>
      <c r="K2468" s="1"/>
      <c r="L2468" s="1"/>
      <c r="M2468" s="1"/>
      <c r="N2468" s="1"/>
      <c r="O2468" s="3"/>
    </row>
    <row r="2469" spans="1:15" ht="13.8">
      <c r="A2469" s="1"/>
      <c r="B2469" s="1"/>
      <c r="C2469" s="1"/>
      <c r="D2469" s="1"/>
      <c r="E2469" s="1"/>
      <c r="F2469" s="1"/>
      <c r="G2469" s="1"/>
      <c r="H2469" s="1"/>
      <c r="I2469" s="1"/>
      <c r="J2469" s="1"/>
      <c r="K2469" s="1"/>
      <c r="L2469" s="1"/>
      <c r="M2469" s="1"/>
      <c r="N2469" s="1"/>
      <c r="O2469" s="3"/>
    </row>
    <row r="2470" spans="1:15" ht="13.8">
      <c r="A2470" s="1"/>
      <c r="B2470" s="1"/>
      <c r="C2470" s="1"/>
      <c r="D2470" s="1"/>
      <c r="E2470" s="1"/>
      <c r="F2470" s="1"/>
      <c r="G2470" s="1"/>
      <c r="H2470" s="1"/>
      <c r="I2470" s="1"/>
      <c r="J2470" s="1"/>
      <c r="K2470" s="1"/>
      <c r="L2470" s="1"/>
      <c r="M2470" s="1"/>
      <c r="N2470" s="1"/>
      <c r="O2470" s="3"/>
    </row>
    <row r="2471" spans="1:15" ht="13.8">
      <c r="A2471" s="1"/>
      <c r="B2471" s="1"/>
      <c r="C2471" s="1"/>
      <c r="D2471" s="1"/>
      <c r="E2471" s="1"/>
      <c r="F2471" s="1"/>
      <c r="G2471" s="1"/>
      <c r="H2471" s="1"/>
      <c r="I2471" s="1"/>
      <c r="J2471" s="1"/>
      <c r="K2471" s="1"/>
      <c r="L2471" s="1"/>
      <c r="M2471" s="1"/>
      <c r="N2471" s="1"/>
      <c r="O2471" s="3"/>
    </row>
    <row r="2472" spans="1:15" ht="13.8">
      <c r="A2472" s="1"/>
      <c r="B2472" s="1"/>
      <c r="C2472" s="1"/>
      <c r="D2472" s="1"/>
      <c r="E2472" s="1"/>
      <c r="F2472" s="1"/>
      <c r="G2472" s="1"/>
      <c r="H2472" s="1"/>
      <c r="I2472" s="1"/>
      <c r="J2472" s="1"/>
      <c r="K2472" s="1"/>
      <c r="L2472" s="1"/>
      <c r="M2472" s="1"/>
      <c r="N2472" s="1"/>
      <c r="O2472" s="3"/>
    </row>
    <row r="2473" spans="1:15" ht="13.8">
      <c r="A2473" s="1"/>
      <c r="B2473" s="1"/>
      <c r="C2473" s="1"/>
      <c r="D2473" s="1"/>
      <c r="E2473" s="1"/>
      <c r="F2473" s="1"/>
      <c r="G2473" s="1"/>
      <c r="H2473" s="1"/>
      <c r="I2473" s="1"/>
      <c r="J2473" s="1"/>
      <c r="K2473" s="1"/>
      <c r="L2473" s="1"/>
      <c r="M2473" s="1"/>
      <c r="N2473" s="1"/>
      <c r="O2473" s="3"/>
    </row>
    <row r="2474" spans="1:15" ht="13.8">
      <c r="A2474" s="1"/>
      <c r="B2474" s="1"/>
      <c r="C2474" s="1"/>
      <c r="D2474" s="1"/>
      <c r="E2474" s="1"/>
      <c r="F2474" s="1"/>
      <c r="G2474" s="1"/>
      <c r="H2474" s="1"/>
      <c r="I2474" s="1"/>
      <c r="J2474" s="1"/>
      <c r="K2474" s="1"/>
      <c r="L2474" s="1"/>
      <c r="M2474" s="1"/>
      <c r="N2474" s="1"/>
      <c r="O2474" s="3"/>
    </row>
    <row r="2475" spans="1:15" ht="13.8">
      <c r="A2475" s="1"/>
      <c r="B2475" s="1"/>
      <c r="C2475" s="1"/>
      <c r="D2475" s="1"/>
      <c r="E2475" s="1"/>
      <c r="F2475" s="1"/>
      <c r="G2475" s="1"/>
      <c r="H2475" s="1"/>
      <c r="I2475" s="1"/>
      <c r="J2475" s="1"/>
      <c r="K2475" s="1"/>
      <c r="L2475" s="1"/>
      <c r="M2475" s="1"/>
      <c r="N2475" s="1"/>
      <c r="O2475" s="3"/>
    </row>
    <row r="2476" spans="1:15" ht="13.8">
      <c r="A2476" s="1"/>
      <c r="B2476" s="1"/>
      <c r="C2476" s="1"/>
      <c r="D2476" s="1"/>
      <c r="E2476" s="1"/>
      <c r="F2476" s="1"/>
      <c r="G2476" s="1"/>
      <c r="H2476" s="1"/>
      <c r="I2476" s="1"/>
      <c r="J2476" s="1"/>
      <c r="K2476" s="1"/>
      <c r="L2476" s="1"/>
      <c r="M2476" s="1"/>
      <c r="N2476" s="1"/>
      <c r="O2476" s="3"/>
    </row>
    <row r="2477" spans="1:15" ht="13.8">
      <c r="A2477" s="1"/>
      <c r="B2477" s="1"/>
      <c r="C2477" s="1"/>
      <c r="D2477" s="1"/>
      <c r="E2477" s="1"/>
      <c r="F2477" s="1"/>
      <c r="G2477" s="1"/>
      <c r="H2477" s="1"/>
      <c r="I2477" s="1"/>
      <c r="J2477" s="1"/>
      <c r="K2477" s="1"/>
      <c r="L2477" s="1"/>
      <c r="M2477" s="1"/>
      <c r="N2477" s="1"/>
      <c r="O2477" s="3"/>
    </row>
    <row r="2478" spans="1:15" ht="13.8">
      <c r="A2478" s="1"/>
      <c r="B2478" s="1"/>
      <c r="C2478" s="1"/>
      <c r="D2478" s="1"/>
      <c r="E2478" s="1"/>
      <c r="F2478" s="1"/>
      <c r="G2478" s="1"/>
      <c r="H2478" s="1"/>
      <c r="I2478" s="1"/>
      <c r="J2478" s="1"/>
      <c r="K2478" s="1"/>
      <c r="L2478" s="1"/>
      <c r="M2478" s="1"/>
      <c r="N2478" s="1"/>
      <c r="O2478" s="3"/>
    </row>
    <row r="2479" spans="1:15" ht="13.8">
      <c r="A2479" s="1"/>
      <c r="B2479" s="1"/>
      <c r="C2479" s="1"/>
      <c r="D2479" s="1"/>
      <c r="E2479" s="1"/>
      <c r="F2479" s="1"/>
      <c r="G2479" s="1"/>
      <c r="H2479" s="1"/>
      <c r="I2479" s="1"/>
      <c r="J2479" s="1"/>
      <c r="K2479" s="1"/>
      <c r="L2479" s="1"/>
      <c r="M2479" s="1"/>
      <c r="N2479" s="1"/>
      <c r="O2479" s="3"/>
    </row>
    <row r="2480" spans="1:15" ht="13.8">
      <c r="A2480" s="1"/>
      <c r="B2480" s="1"/>
      <c r="C2480" s="1"/>
      <c r="D2480" s="1"/>
      <c r="E2480" s="1"/>
      <c r="F2480" s="1"/>
      <c r="G2480" s="1"/>
      <c r="H2480" s="1"/>
      <c r="I2480" s="1"/>
      <c r="J2480" s="1"/>
      <c r="K2480" s="1"/>
      <c r="L2480" s="1"/>
      <c r="M2480" s="1"/>
      <c r="N2480" s="1"/>
      <c r="O2480" s="3"/>
    </row>
    <row r="2481" spans="1:15" ht="13.8">
      <c r="A2481" s="1"/>
      <c r="B2481" s="1"/>
      <c r="C2481" s="1"/>
      <c r="D2481" s="1"/>
      <c r="E2481" s="1"/>
      <c r="F2481" s="1"/>
      <c r="G2481" s="1"/>
      <c r="H2481" s="1"/>
      <c r="I2481" s="1"/>
      <c r="J2481" s="1"/>
      <c r="K2481" s="1"/>
      <c r="L2481" s="1"/>
      <c r="M2481" s="1"/>
      <c r="N2481" s="1"/>
      <c r="O2481" s="3"/>
    </row>
    <row r="2482" spans="1:15" ht="13.8">
      <c r="A2482" s="1"/>
      <c r="B2482" s="1"/>
      <c r="C2482" s="1"/>
      <c r="D2482" s="1"/>
      <c r="E2482" s="1"/>
      <c r="F2482" s="1"/>
      <c r="G2482" s="1"/>
      <c r="H2482" s="1"/>
      <c r="I2482" s="1"/>
      <c r="J2482" s="1"/>
      <c r="K2482" s="1"/>
      <c r="L2482" s="1"/>
      <c r="M2482" s="1"/>
      <c r="N2482" s="1"/>
      <c r="O2482" s="3"/>
    </row>
    <row r="2483" spans="1:15" ht="13.8">
      <c r="A2483" s="1"/>
      <c r="B2483" s="1"/>
      <c r="C2483" s="1"/>
      <c r="D2483" s="1"/>
      <c r="E2483" s="1"/>
      <c r="F2483" s="1"/>
      <c r="G2483" s="1"/>
      <c r="H2483" s="1"/>
      <c r="I2483" s="1"/>
      <c r="J2483" s="1"/>
      <c r="K2483" s="1"/>
      <c r="L2483" s="1"/>
      <c r="M2483" s="1"/>
      <c r="N2483" s="1"/>
      <c r="O2483" s="3"/>
    </row>
    <row r="2484" spans="1:15" ht="13.8">
      <c r="A2484" s="1"/>
      <c r="B2484" s="1"/>
      <c r="C2484" s="1"/>
      <c r="D2484" s="1"/>
      <c r="E2484" s="1"/>
      <c r="F2484" s="1"/>
      <c r="G2484" s="1"/>
      <c r="H2484" s="1"/>
      <c r="I2484" s="1"/>
      <c r="J2484" s="1"/>
      <c r="K2484" s="1"/>
      <c r="L2484" s="1"/>
      <c r="M2484" s="1"/>
      <c r="N2484" s="1"/>
      <c r="O2484" s="3"/>
    </row>
    <row r="2485" spans="1:15" ht="13.8">
      <c r="A2485" s="1"/>
      <c r="B2485" s="1"/>
      <c r="C2485" s="1"/>
      <c r="D2485" s="1"/>
      <c r="E2485" s="1"/>
      <c r="F2485" s="1"/>
      <c r="G2485" s="1"/>
      <c r="H2485" s="1"/>
      <c r="I2485" s="1"/>
      <c r="J2485" s="1"/>
      <c r="K2485" s="1"/>
      <c r="L2485" s="1"/>
      <c r="M2485" s="1"/>
      <c r="N2485" s="1"/>
      <c r="O2485" s="3"/>
    </row>
    <row r="2486" spans="1:15" ht="13.8">
      <c r="A2486" s="1"/>
      <c r="B2486" s="1"/>
      <c r="C2486" s="1"/>
      <c r="D2486" s="1"/>
      <c r="E2486" s="1"/>
      <c r="F2486" s="1"/>
      <c r="G2486" s="1"/>
      <c r="H2486" s="1"/>
      <c r="I2486" s="1"/>
      <c r="J2486" s="1"/>
      <c r="K2486" s="1"/>
      <c r="L2486" s="1"/>
      <c r="M2486" s="1"/>
      <c r="N2486" s="1"/>
      <c r="O2486" s="3"/>
    </row>
    <row r="2487" spans="1:15" ht="13.8">
      <c r="A2487" s="1"/>
      <c r="B2487" s="1"/>
      <c r="C2487" s="1"/>
      <c r="D2487" s="1"/>
      <c r="E2487" s="1"/>
      <c r="F2487" s="1"/>
      <c r="G2487" s="1"/>
      <c r="H2487" s="1"/>
      <c r="I2487" s="1"/>
      <c r="J2487" s="1"/>
      <c r="K2487" s="1"/>
      <c r="L2487" s="1"/>
      <c r="M2487" s="1"/>
      <c r="N2487" s="1"/>
      <c r="O2487" s="3"/>
    </row>
    <row r="2488" spans="1:15" ht="13.8">
      <c r="A2488" s="1"/>
      <c r="B2488" s="1"/>
      <c r="C2488" s="1"/>
      <c r="D2488" s="1"/>
      <c r="E2488" s="1"/>
      <c r="F2488" s="1"/>
      <c r="G2488" s="1"/>
      <c r="H2488" s="1"/>
      <c r="I2488" s="1"/>
      <c r="J2488" s="1"/>
      <c r="K2488" s="1"/>
      <c r="L2488" s="1"/>
      <c r="M2488" s="1"/>
      <c r="N2488" s="1"/>
      <c r="O2488" s="3"/>
    </row>
    <row r="2489" spans="1:15" ht="13.8">
      <c r="A2489" s="1"/>
      <c r="B2489" s="1"/>
      <c r="C2489" s="1"/>
      <c r="D2489" s="1"/>
      <c r="E2489" s="1"/>
      <c r="F2489" s="1"/>
      <c r="G2489" s="1"/>
      <c r="H2489" s="1"/>
      <c r="I2489" s="1"/>
      <c r="J2489" s="1"/>
      <c r="K2489" s="1"/>
      <c r="L2489" s="1"/>
      <c r="M2489" s="1"/>
      <c r="N2489" s="1"/>
      <c r="O2489" s="3"/>
    </row>
    <row r="2490" spans="1:15" ht="13.8">
      <c r="A2490" s="1"/>
      <c r="B2490" s="1"/>
      <c r="C2490" s="1"/>
      <c r="D2490" s="1"/>
      <c r="E2490" s="1"/>
      <c r="F2490" s="1"/>
      <c r="G2490" s="1"/>
      <c r="H2490" s="1"/>
      <c r="I2490" s="1"/>
      <c r="J2490" s="1"/>
      <c r="K2490" s="1"/>
      <c r="L2490" s="1"/>
      <c r="M2490" s="1"/>
      <c r="N2490" s="1"/>
      <c r="O2490" s="3"/>
    </row>
    <row r="2491" spans="1:15" ht="13.8">
      <c r="A2491" s="1"/>
      <c r="B2491" s="1"/>
      <c r="C2491" s="1"/>
      <c r="D2491" s="1"/>
      <c r="E2491" s="1"/>
      <c r="F2491" s="1"/>
      <c r="G2491" s="1"/>
      <c r="H2491" s="1"/>
      <c r="I2491" s="1"/>
      <c r="J2491" s="1"/>
      <c r="K2491" s="1"/>
      <c r="L2491" s="1"/>
      <c r="M2491" s="1"/>
      <c r="N2491" s="1"/>
      <c r="O2491" s="3"/>
    </row>
    <row r="2492" spans="1:15" ht="13.8">
      <c r="A2492" s="1"/>
      <c r="B2492" s="1"/>
      <c r="C2492" s="1"/>
      <c r="D2492" s="1"/>
      <c r="E2492" s="1"/>
      <c r="F2492" s="1"/>
      <c r="G2492" s="1"/>
      <c r="H2492" s="1"/>
      <c r="I2492" s="1"/>
      <c r="J2492" s="1"/>
      <c r="K2492" s="1"/>
      <c r="L2492" s="1"/>
      <c r="M2492" s="1"/>
      <c r="N2492" s="1"/>
      <c r="O2492" s="3"/>
    </row>
    <row r="2493" spans="1:15" ht="13.8">
      <c r="A2493" s="1"/>
      <c r="B2493" s="1"/>
      <c r="C2493" s="1"/>
      <c r="D2493" s="1"/>
      <c r="E2493" s="1"/>
      <c r="F2493" s="1"/>
      <c r="G2493" s="1"/>
      <c r="H2493" s="1"/>
      <c r="I2493" s="1"/>
      <c r="J2493" s="1"/>
      <c r="K2493" s="1"/>
      <c r="L2493" s="1"/>
      <c r="M2493" s="1"/>
      <c r="N2493" s="1"/>
      <c r="O2493" s="3"/>
    </row>
    <row r="2494" spans="1:15" ht="13.8">
      <c r="A2494" s="1"/>
      <c r="B2494" s="1"/>
      <c r="C2494" s="1"/>
      <c r="D2494" s="1"/>
      <c r="E2494" s="1"/>
      <c r="F2494" s="1"/>
      <c r="G2494" s="1"/>
      <c r="H2494" s="1"/>
      <c r="I2494" s="1"/>
      <c r="J2494" s="1"/>
      <c r="K2494" s="1"/>
      <c r="L2494" s="1"/>
      <c r="M2494" s="1"/>
      <c r="N2494" s="1"/>
      <c r="O2494" s="3"/>
    </row>
    <row r="2495" spans="1:15" ht="13.8">
      <c r="A2495" s="1"/>
      <c r="B2495" s="1"/>
      <c r="C2495" s="1"/>
      <c r="D2495" s="1"/>
      <c r="E2495" s="1"/>
      <c r="F2495" s="1"/>
      <c r="G2495" s="1"/>
      <c r="H2495" s="1"/>
      <c r="I2495" s="1"/>
      <c r="J2495" s="1"/>
      <c r="K2495" s="1"/>
      <c r="L2495" s="1"/>
      <c r="M2495" s="1"/>
      <c r="N2495" s="1"/>
      <c r="O2495" s="3"/>
    </row>
    <row r="2496" spans="1:15" ht="13.8">
      <c r="A2496" s="1"/>
      <c r="B2496" s="1"/>
      <c r="C2496" s="1"/>
      <c r="D2496" s="1"/>
      <c r="E2496" s="1"/>
      <c r="F2496" s="1"/>
      <c r="G2496" s="1"/>
      <c r="H2496" s="1"/>
      <c r="I2496" s="1"/>
      <c r="J2496" s="1"/>
      <c r="K2496" s="1"/>
      <c r="L2496" s="1"/>
      <c r="M2496" s="1"/>
      <c r="N2496" s="1"/>
      <c r="O2496" s="3"/>
    </row>
    <row r="2497" spans="1:15" ht="13.8">
      <c r="A2497" s="1"/>
      <c r="B2497" s="1"/>
      <c r="C2497" s="1"/>
      <c r="D2497" s="1"/>
      <c r="E2497" s="1"/>
      <c r="F2497" s="1"/>
      <c r="G2497" s="1"/>
      <c r="H2497" s="1"/>
      <c r="I2497" s="1"/>
      <c r="J2497" s="1"/>
      <c r="K2497" s="1"/>
      <c r="L2497" s="1"/>
      <c r="M2497" s="1"/>
      <c r="N2497" s="1"/>
      <c r="O2497" s="3"/>
    </row>
    <row r="2498" spans="1:15" ht="13.8">
      <c r="A2498" s="1"/>
      <c r="B2498" s="1"/>
      <c r="C2498" s="1"/>
      <c r="D2498" s="1"/>
      <c r="E2498" s="1"/>
      <c r="F2498" s="1"/>
      <c r="G2498" s="1"/>
      <c r="H2498" s="1"/>
      <c r="I2498" s="1"/>
      <c r="J2498" s="1"/>
      <c r="K2498" s="1"/>
      <c r="L2498" s="1"/>
      <c r="M2498" s="1"/>
      <c r="N2498" s="1"/>
      <c r="O2498" s="3"/>
    </row>
    <row r="2499" spans="1:15" ht="13.8">
      <c r="A2499" s="1"/>
      <c r="B2499" s="1"/>
      <c r="C2499" s="1"/>
      <c r="D2499" s="1"/>
      <c r="E2499" s="1"/>
      <c r="F2499" s="1"/>
      <c r="G2499" s="1"/>
      <c r="H2499" s="1"/>
      <c r="I2499" s="1"/>
      <c r="J2499" s="1"/>
      <c r="K2499" s="1"/>
      <c r="L2499" s="1"/>
      <c r="M2499" s="1"/>
      <c r="N2499" s="1"/>
      <c r="O2499" s="3"/>
    </row>
    <row r="2500" spans="1:15" ht="13.8">
      <c r="A2500" s="1"/>
      <c r="B2500" s="1"/>
      <c r="C2500" s="1"/>
      <c r="D2500" s="1"/>
      <c r="E2500" s="1"/>
      <c r="F2500" s="1"/>
      <c r="G2500" s="1"/>
      <c r="H2500" s="1"/>
      <c r="I2500" s="1"/>
      <c r="J2500" s="1"/>
      <c r="K2500" s="1"/>
      <c r="L2500" s="1"/>
      <c r="M2500" s="1"/>
      <c r="N2500" s="1"/>
      <c r="O2500" s="3"/>
    </row>
    <row r="2501" spans="1:15" ht="13.8">
      <c r="A2501" s="1"/>
      <c r="B2501" s="1"/>
      <c r="C2501" s="1"/>
      <c r="D2501" s="1"/>
      <c r="E2501" s="1"/>
      <c r="F2501" s="1"/>
      <c r="G2501" s="1"/>
      <c r="H2501" s="1"/>
      <c r="I2501" s="1"/>
      <c r="J2501" s="1"/>
      <c r="K2501" s="1"/>
      <c r="L2501" s="1"/>
      <c r="M2501" s="1"/>
      <c r="N2501" s="1"/>
      <c r="O2501" s="3"/>
    </row>
    <row r="2502" spans="1:15" ht="13.8">
      <c r="A2502" s="1"/>
      <c r="B2502" s="1"/>
      <c r="C2502" s="1"/>
      <c r="D2502" s="1"/>
      <c r="E2502" s="1"/>
      <c r="F2502" s="1"/>
      <c r="G2502" s="1"/>
      <c r="H2502" s="1"/>
      <c r="I2502" s="1"/>
      <c r="J2502" s="1"/>
      <c r="K2502" s="1"/>
      <c r="L2502" s="1"/>
      <c r="M2502" s="1"/>
      <c r="N2502" s="1"/>
      <c r="O2502" s="3"/>
    </row>
    <row r="2503" spans="1:15" ht="13.8">
      <c r="A2503" s="1"/>
      <c r="B2503" s="1"/>
      <c r="C2503" s="1"/>
      <c r="D2503" s="1"/>
      <c r="E2503" s="1"/>
      <c r="F2503" s="1"/>
      <c r="G2503" s="1"/>
      <c r="H2503" s="1"/>
      <c r="I2503" s="1"/>
      <c r="J2503" s="1"/>
      <c r="K2503" s="1"/>
      <c r="L2503" s="1"/>
      <c r="M2503" s="1"/>
      <c r="N2503" s="1"/>
      <c r="O2503" s="3"/>
    </row>
    <row r="2504" spans="1:15" ht="13.8">
      <c r="A2504" s="1"/>
      <c r="B2504" s="1"/>
      <c r="C2504" s="1"/>
      <c r="D2504" s="1"/>
      <c r="E2504" s="1"/>
      <c r="F2504" s="1"/>
      <c r="G2504" s="1"/>
      <c r="H2504" s="1"/>
      <c r="I2504" s="1"/>
      <c r="J2504" s="1"/>
      <c r="K2504" s="1"/>
      <c r="L2504" s="1"/>
      <c r="M2504" s="1"/>
      <c r="N2504" s="1"/>
      <c r="O2504" s="3"/>
    </row>
    <row r="2505" spans="1:15" ht="13.8">
      <c r="A2505" s="1"/>
      <c r="B2505" s="1"/>
      <c r="C2505" s="1"/>
      <c r="D2505" s="1"/>
      <c r="E2505" s="1"/>
      <c r="F2505" s="1"/>
      <c r="G2505" s="1"/>
      <c r="H2505" s="1"/>
      <c r="I2505" s="1"/>
      <c r="J2505" s="1"/>
      <c r="K2505" s="1"/>
      <c r="L2505" s="1"/>
      <c r="M2505" s="1"/>
      <c r="N2505" s="1"/>
      <c r="O2505" s="3"/>
    </row>
    <row r="2506" spans="1:15" ht="13.8">
      <c r="A2506" s="1"/>
      <c r="B2506" s="1"/>
      <c r="C2506" s="1"/>
      <c r="D2506" s="1"/>
      <c r="E2506" s="1"/>
      <c r="F2506" s="1"/>
      <c r="G2506" s="1"/>
      <c r="H2506" s="1"/>
      <c r="I2506" s="1"/>
      <c r="J2506" s="1"/>
      <c r="K2506" s="1"/>
      <c r="L2506" s="1"/>
      <c r="M2506" s="1"/>
      <c r="N2506" s="1"/>
      <c r="O2506" s="3"/>
    </row>
    <row r="2507" spans="1:15" ht="13.8">
      <c r="A2507" s="1"/>
      <c r="B2507" s="1"/>
      <c r="C2507" s="1"/>
      <c r="D2507" s="1"/>
      <c r="E2507" s="1"/>
      <c r="F2507" s="1"/>
      <c r="G2507" s="1"/>
      <c r="H2507" s="1"/>
      <c r="I2507" s="1"/>
      <c r="J2507" s="1"/>
      <c r="K2507" s="1"/>
      <c r="L2507" s="1"/>
      <c r="M2507" s="1"/>
      <c r="N2507" s="1"/>
      <c r="O2507" s="3"/>
    </row>
    <row r="2508" spans="1:15" ht="13.8">
      <c r="A2508" s="1"/>
      <c r="B2508" s="1"/>
      <c r="C2508" s="1"/>
      <c r="D2508" s="1"/>
      <c r="E2508" s="1"/>
      <c r="F2508" s="1"/>
      <c r="G2508" s="1"/>
      <c r="H2508" s="1"/>
      <c r="I2508" s="1"/>
      <c r="J2508" s="1"/>
      <c r="K2508" s="1"/>
      <c r="L2508" s="1"/>
      <c r="M2508" s="1"/>
      <c r="N2508" s="1"/>
      <c r="O2508" s="3"/>
    </row>
    <row r="2509" spans="1:15" ht="13.8">
      <c r="A2509" s="1"/>
      <c r="B2509" s="1"/>
      <c r="C2509" s="1"/>
      <c r="D2509" s="1"/>
      <c r="E2509" s="1"/>
      <c r="F2509" s="1"/>
      <c r="G2509" s="1"/>
      <c r="H2509" s="1"/>
      <c r="I2509" s="1"/>
      <c r="J2509" s="1"/>
      <c r="K2509" s="1"/>
      <c r="L2509" s="1"/>
      <c r="M2509" s="1"/>
      <c r="N2509" s="1"/>
      <c r="O2509" s="3"/>
    </row>
    <row r="2510" spans="1:15" ht="13.8">
      <c r="A2510" s="1"/>
      <c r="B2510" s="1"/>
      <c r="C2510" s="1"/>
      <c r="D2510" s="1"/>
      <c r="E2510" s="1"/>
      <c r="F2510" s="1"/>
      <c r="G2510" s="1"/>
      <c r="H2510" s="1"/>
      <c r="I2510" s="1"/>
      <c r="J2510" s="1"/>
      <c r="K2510" s="1"/>
      <c r="L2510" s="1"/>
      <c r="M2510" s="1"/>
      <c r="N2510" s="1"/>
      <c r="O2510" s="3"/>
    </row>
    <row r="2511" spans="1:15" ht="13.8">
      <c r="A2511" s="1"/>
      <c r="B2511" s="1"/>
      <c r="C2511" s="1"/>
      <c r="D2511" s="1"/>
      <c r="E2511" s="1"/>
      <c r="F2511" s="1"/>
      <c r="G2511" s="1"/>
      <c r="H2511" s="1"/>
      <c r="I2511" s="1"/>
      <c r="J2511" s="1"/>
      <c r="K2511" s="1"/>
      <c r="L2511" s="1"/>
      <c r="M2511" s="1"/>
      <c r="N2511" s="1"/>
      <c r="O2511" s="3"/>
    </row>
    <row r="2512" spans="1:15" ht="13.8">
      <c r="A2512" s="1"/>
      <c r="B2512" s="1"/>
      <c r="C2512" s="1"/>
      <c r="D2512" s="1"/>
      <c r="E2512" s="1"/>
      <c r="F2512" s="1"/>
      <c r="G2512" s="1"/>
      <c r="H2512" s="1"/>
      <c r="I2512" s="1"/>
      <c r="J2512" s="1"/>
      <c r="K2512" s="1"/>
      <c r="L2512" s="1"/>
      <c r="M2512" s="1"/>
      <c r="N2512" s="1"/>
      <c r="O2512" s="3"/>
    </row>
    <row r="2513" spans="1:15" ht="13.8">
      <c r="A2513" s="1"/>
      <c r="B2513" s="1"/>
      <c r="C2513" s="1"/>
      <c r="D2513" s="1"/>
      <c r="E2513" s="1"/>
      <c r="F2513" s="1"/>
      <c r="G2513" s="1"/>
      <c r="H2513" s="1"/>
      <c r="I2513" s="1"/>
      <c r="J2513" s="1"/>
      <c r="K2513" s="1"/>
      <c r="L2513" s="1"/>
      <c r="M2513" s="1"/>
      <c r="N2513" s="1"/>
      <c r="O2513" s="3"/>
    </row>
    <row r="2514" spans="1:15" ht="13.8">
      <c r="A2514" s="1"/>
      <c r="B2514" s="1"/>
      <c r="C2514" s="1"/>
      <c r="D2514" s="1"/>
      <c r="E2514" s="1"/>
      <c r="F2514" s="1"/>
      <c r="G2514" s="1"/>
      <c r="H2514" s="1"/>
      <c r="I2514" s="1"/>
      <c r="J2514" s="1"/>
      <c r="K2514" s="1"/>
      <c r="L2514" s="1"/>
      <c r="M2514" s="1"/>
      <c r="N2514" s="1"/>
      <c r="O2514" s="3"/>
    </row>
    <row r="2515" spans="1:15" ht="13.8">
      <c r="A2515" s="1"/>
      <c r="B2515" s="1"/>
      <c r="C2515" s="1"/>
      <c r="D2515" s="1"/>
      <c r="E2515" s="1"/>
      <c r="F2515" s="1"/>
      <c r="G2515" s="1"/>
      <c r="H2515" s="1"/>
      <c r="I2515" s="1"/>
      <c r="J2515" s="1"/>
      <c r="K2515" s="1"/>
      <c r="L2515" s="1"/>
      <c r="M2515" s="1"/>
      <c r="N2515" s="1"/>
      <c r="O2515" s="3"/>
    </row>
    <row r="2516" spans="1:15" ht="13.8">
      <c r="A2516" s="1"/>
      <c r="B2516" s="1"/>
      <c r="C2516" s="1"/>
      <c r="D2516" s="1"/>
      <c r="E2516" s="1"/>
      <c r="F2516" s="1"/>
      <c r="G2516" s="1"/>
      <c r="H2516" s="1"/>
      <c r="I2516" s="1"/>
      <c r="J2516" s="1"/>
      <c r="K2516" s="1"/>
      <c r="L2516" s="1"/>
      <c r="M2516" s="1"/>
      <c r="N2516" s="1"/>
      <c r="O2516" s="3"/>
    </row>
    <row r="2517" spans="1:15" ht="13.8">
      <c r="A2517" s="1"/>
      <c r="B2517" s="1"/>
      <c r="C2517" s="1"/>
      <c r="D2517" s="1"/>
      <c r="E2517" s="1"/>
      <c r="F2517" s="1"/>
      <c r="G2517" s="1"/>
      <c r="H2517" s="1"/>
      <c r="I2517" s="1"/>
      <c r="J2517" s="1"/>
      <c r="K2517" s="1"/>
      <c r="L2517" s="1"/>
      <c r="M2517" s="1"/>
      <c r="N2517" s="1"/>
      <c r="O2517" s="3"/>
    </row>
    <row r="2518" spans="1:15" ht="13.8">
      <c r="A2518" s="1"/>
      <c r="B2518" s="1"/>
      <c r="C2518" s="1"/>
      <c r="D2518" s="1"/>
      <c r="E2518" s="1"/>
      <c r="F2518" s="1"/>
      <c r="G2518" s="1"/>
      <c r="H2518" s="1"/>
      <c r="I2518" s="1"/>
      <c r="J2518" s="1"/>
      <c r="K2518" s="1"/>
      <c r="L2518" s="1"/>
      <c r="M2518" s="1"/>
      <c r="N2518" s="1"/>
      <c r="O2518" s="3"/>
    </row>
    <row r="2519" spans="1:15" ht="13.8">
      <c r="A2519" s="1"/>
      <c r="B2519" s="1"/>
      <c r="C2519" s="1"/>
      <c r="D2519" s="1"/>
      <c r="E2519" s="1"/>
      <c r="F2519" s="1"/>
      <c r="G2519" s="1"/>
      <c r="H2519" s="1"/>
      <c r="I2519" s="1"/>
      <c r="J2519" s="1"/>
      <c r="K2519" s="1"/>
      <c r="L2519" s="1"/>
      <c r="M2519" s="1"/>
      <c r="N2519" s="1"/>
      <c r="O2519" s="3"/>
    </row>
    <row r="2520" spans="1:15" ht="13.8">
      <c r="A2520" s="1"/>
      <c r="B2520" s="1"/>
      <c r="C2520" s="1"/>
      <c r="D2520" s="1"/>
      <c r="E2520" s="1"/>
      <c r="F2520" s="1"/>
      <c r="G2520" s="1"/>
      <c r="H2520" s="1"/>
      <c r="I2520" s="1"/>
      <c r="J2520" s="1"/>
      <c r="K2520" s="1"/>
      <c r="L2520" s="1"/>
      <c r="M2520" s="1"/>
      <c r="N2520" s="1"/>
      <c r="O2520" s="3"/>
    </row>
    <row r="2521" spans="1:15" ht="13.8">
      <c r="A2521" s="1"/>
      <c r="B2521" s="1"/>
      <c r="C2521" s="1"/>
      <c r="D2521" s="1"/>
      <c r="E2521" s="1"/>
      <c r="F2521" s="1"/>
      <c r="G2521" s="1"/>
      <c r="H2521" s="1"/>
      <c r="I2521" s="1"/>
      <c r="J2521" s="1"/>
      <c r="K2521" s="1"/>
      <c r="L2521" s="1"/>
      <c r="M2521" s="1"/>
      <c r="N2521" s="1"/>
      <c r="O2521" s="3"/>
    </row>
    <row r="2522" spans="1:15" ht="13.8">
      <c r="A2522" s="1"/>
      <c r="B2522" s="1"/>
      <c r="C2522" s="1"/>
      <c r="D2522" s="1"/>
      <c r="E2522" s="1"/>
      <c r="F2522" s="1"/>
      <c r="G2522" s="1"/>
      <c r="H2522" s="1"/>
      <c r="I2522" s="1"/>
      <c r="J2522" s="1"/>
      <c r="K2522" s="1"/>
      <c r="L2522" s="1"/>
      <c r="M2522" s="1"/>
      <c r="N2522" s="1"/>
      <c r="O2522" s="3"/>
    </row>
    <row r="2523" spans="1:15" ht="13.8">
      <c r="A2523" s="1"/>
      <c r="B2523" s="1"/>
      <c r="C2523" s="1"/>
      <c r="D2523" s="1"/>
      <c r="E2523" s="1"/>
      <c r="F2523" s="1"/>
      <c r="G2523" s="1"/>
      <c r="H2523" s="1"/>
      <c r="I2523" s="1"/>
      <c r="J2523" s="1"/>
      <c r="K2523" s="1"/>
      <c r="L2523" s="1"/>
      <c r="M2523" s="1"/>
      <c r="N2523" s="1"/>
      <c r="O2523" s="3"/>
    </row>
    <row r="2524" spans="1:15" ht="13.8">
      <c r="A2524" s="1"/>
      <c r="B2524" s="1"/>
      <c r="C2524" s="1"/>
      <c r="D2524" s="1"/>
      <c r="E2524" s="1"/>
      <c r="F2524" s="1"/>
      <c r="G2524" s="1"/>
      <c r="H2524" s="1"/>
      <c r="I2524" s="1"/>
      <c r="J2524" s="1"/>
      <c r="K2524" s="1"/>
      <c r="L2524" s="1"/>
      <c r="M2524" s="1"/>
      <c r="N2524" s="1"/>
      <c r="O2524" s="3"/>
    </row>
    <row r="2525" spans="1:15" ht="13.8">
      <c r="A2525" s="1"/>
      <c r="B2525" s="1"/>
      <c r="C2525" s="1"/>
      <c r="D2525" s="1"/>
      <c r="E2525" s="1"/>
      <c r="F2525" s="1"/>
      <c r="G2525" s="1"/>
      <c r="H2525" s="1"/>
      <c r="I2525" s="1"/>
      <c r="J2525" s="1"/>
      <c r="K2525" s="1"/>
      <c r="L2525" s="1"/>
      <c r="M2525" s="1"/>
      <c r="N2525" s="1"/>
      <c r="O2525" s="3"/>
    </row>
    <row r="2526" spans="1:15" ht="13.8">
      <c r="A2526" s="1"/>
      <c r="B2526" s="1"/>
      <c r="C2526" s="1"/>
      <c r="D2526" s="1"/>
      <c r="E2526" s="1"/>
      <c r="F2526" s="1"/>
      <c r="G2526" s="1"/>
      <c r="H2526" s="1"/>
      <c r="I2526" s="1"/>
      <c r="J2526" s="1"/>
      <c r="K2526" s="1"/>
      <c r="L2526" s="1"/>
      <c r="M2526" s="1"/>
      <c r="N2526" s="1"/>
      <c r="O2526" s="3"/>
    </row>
    <row r="2527" spans="1:15" ht="13.8">
      <c r="A2527" s="1"/>
      <c r="B2527" s="1"/>
      <c r="C2527" s="1"/>
      <c r="D2527" s="1"/>
      <c r="E2527" s="1"/>
      <c r="F2527" s="1"/>
      <c r="G2527" s="1"/>
      <c r="H2527" s="1"/>
      <c r="I2527" s="1"/>
      <c r="J2527" s="1"/>
      <c r="K2527" s="1"/>
      <c r="L2527" s="1"/>
      <c r="M2527" s="1"/>
      <c r="N2527" s="1"/>
      <c r="O2527" s="3"/>
    </row>
    <row r="2528" spans="1:15" ht="13.8">
      <c r="A2528" s="1"/>
      <c r="B2528" s="1"/>
      <c r="C2528" s="1"/>
      <c r="D2528" s="1"/>
      <c r="E2528" s="1"/>
      <c r="F2528" s="1"/>
      <c r="G2528" s="1"/>
      <c r="H2528" s="1"/>
      <c r="I2528" s="1"/>
      <c r="J2528" s="1"/>
      <c r="K2528" s="1"/>
      <c r="L2528" s="1"/>
      <c r="M2528" s="1"/>
      <c r="N2528" s="1"/>
      <c r="O2528" s="3"/>
    </row>
    <row r="2529" spans="1:15" ht="13.8">
      <c r="A2529" s="1"/>
      <c r="B2529" s="1"/>
      <c r="C2529" s="1"/>
      <c r="D2529" s="1"/>
      <c r="E2529" s="1"/>
      <c r="F2529" s="1"/>
      <c r="G2529" s="1"/>
      <c r="H2529" s="1"/>
      <c r="I2529" s="1"/>
      <c r="J2529" s="1"/>
      <c r="K2529" s="1"/>
      <c r="L2529" s="1"/>
      <c r="M2529" s="1"/>
      <c r="N2529" s="1"/>
      <c r="O2529" s="3"/>
    </row>
    <row r="2530" spans="1:15" ht="13.8">
      <c r="A2530" s="1"/>
      <c r="B2530" s="1"/>
      <c r="C2530" s="1"/>
      <c r="D2530" s="1"/>
      <c r="E2530" s="1"/>
      <c r="F2530" s="1"/>
      <c r="G2530" s="1"/>
      <c r="H2530" s="1"/>
      <c r="I2530" s="1"/>
      <c r="J2530" s="1"/>
      <c r="K2530" s="1"/>
      <c r="L2530" s="1"/>
      <c r="M2530" s="1"/>
      <c r="N2530" s="1"/>
      <c r="O2530" s="3"/>
    </row>
    <row r="2531" spans="1:15" ht="13.8">
      <c r="A2531" s="1"/>
      <c r="B2531" s="1"/>
      <c r="C2531" s="1"/>
      <c r="D2531" s="1"/>
      <c r="E2531" s="1"/>
      <c r="F2531" s="1"/>
      <c r="G2531" s="1"/>
      <c r="H2531" s="1"/>
      <c r="I2531" s="1"/>
      <c r="J2531" s="1"/>
      <c r="K2531" s="1"/>
      <c r="L2531" s="1"/>
      <c r="M2531" s="1"/>
      <c r="N2531" s="1"/>
      <c r="O2531" s="3"/>
    </row>
    <row r="2532" spans="1:15" ht="13.8">
      <c r="A2532" s="1"/>
      <c r="B2532" s="1"/>
      <c r="C2532" s="1"/>
      <c r="D2532" s="1"/>
      <c r="E2532" s="1"/>
      <c r="F2532" s="1"/>
      <c r="G2532" s="1"/>
      <c r="H2532" s="1"/>
      <c r="I2532" s="1"/>
      <c r="J2532" s="1"/>
      <c r="K2532" s="1"/>
      <c r="L2532" s="1"/>
      <c r="M2532" s="1"/>
      <c r="N2532" s="1"/>
      <c r="O2532" s="3"/>
    </row>
    <row r="2533" spans="1:15" ht="13.8">
      <c r="A2533" s="1"/>
      <c r="B2533" s="1"/>
      <c r="C2533" s="1"/>
      <c r="D2533" s="1"/>
      <c r="E2533" s="1"/>
      <c r="F2533" s="1"/>
      <c r="G2533" s="1"/>
      <c r="H2533" s="1"/>
      <c r="I2533" s="1"/>
      <c r="J2533" s="1"/>
      <c r="K2533" s="1"/>
      <c r="L2533" s="1"/>
      <c r="M2533" s="1"/>
      <c r="N2533" s="1"/>
      <c r="O2533" s="3"/>
    </row>
    <row r="2534" spans="1:15" ht="13.8">
      <c r="A2534" s="1"/>
      <c r="B2534" s="1"/>
      <c r="C2534" s="1"/>
      <c r="D2534" s="1"/>
      <c r="E2534" s="1"/>
      <c r="F2534" s="1"/>
      <c r="G2534" s="1"/>
      <c r="H2534" s="1"/>
      <c r="I2534" s="1"/>
      <c r="J2534" s="1"/>
      <c r="K2534" s="1"/>
      <c r="L2534" s="1"/>
      <c r="M2534" s="1"/>
      <c r="N2534" s="1"/>
      <c r="O2534" s="3"/>
    </row>
    <row r="2535" spans="1:15" ht="13.8">
      <c r="A2535" s="1"/>
      <c r="B2535" s="1"/>
      <c r="C2535" s="1"/>
      <c r="D2535" s="1"/>
      <c r="E2535" s="1"/>
      <c r="F2535" s="1"/>
      <c r="G2535" s="1"/>
      <c r="H2535" s="1"/>
      <c r="I2535" s="1"/>
      <c r="J2535" s="1"/>
      <c r="K2535" s="1"/>
      <c r="L2535" s="1"/>
      <c r="M2535" s="1"/>
      <c r="N2535" s="1"/>
      <c r="O2535" s="3"/>
    </row>
    <row r="2536" spans="1:15" ht="13.8">
      <c r="A2536" s="1"/>
      <c r="B2536" s="1"/>
      <c r="C2536" s="1"/>
      <c r="D2536" s="1"/>
      <c r="E2536" s="1"/>
      <c r="F2536" s="1"/>
      <c r="G2536" s="1"/>
      <c r="H2536" s="1"/>
      <c r="I2536" s="1"/>
      <c r="J2536" s="1"/>
      <c r="K2536" s="1"/>
      <c r="L2536" s="1"/>
      <c r="M2536" s="1"/>
      <c r="N2536" s="1"/>
      <c r="O2536" s="3"/>
    </row>
    <row r="2537" spans="1:15" ht="13.8">
      <c r="A2537" s="1"/>
      <c r="B2537" s="1"/>
      <c r="C2537" s="1"/>
      <c r="D2537" s="1"/>
      <c r="E2537" s="1"/>
      <c r="F2537" s="1"/>
      <c r="G2537" s="1"/>
      <c r="H2537" s="1"/>
      <c r="I2537" s="1"/>
      <c r="J2537" s="1"/>
      <c r="K2537" s="1"/>
      <c r="L2537" s="1"/>
      <c r="M2537" s="1"/>
      <c r="N2537" s="1"/>
      <c r="O2537" s="3"/>
    </row>
    <row r="2538" spans="1:15" ht="13.8">
      <c r="A2538" s="1"/>
      <c r="B2538" s="1"/>
      <c r="C2538" s="1"/>
      <c r="D2538" s="1"/>
      <c r="E2538" s="1"/>
      <c r="F2538" s="1"/>
      <c r="G2538" s="1"/>
      <c r="H2538" s="1"/>
      <c r="I2538" s="1"/>
      <c r="J2538" s="1"/>
      <c r="K2538" s="1"/>
      <c r="L2538" s="1"/>
      <c r="M2538" s="1"/>
      <c r="N2538" s="1"/>
      <c r="O2538" s="3"/>
    </row>
    <row r="2539" spans="1:15" ht="13.8">
      <c r="A2539" s="1"/>
      <c r="B2539" s="1"/>
      <c r="C2539" s="1"/>
      <c r="D2539" s="1"/>
      <c r="E2539" s="1"/>
      <c r="F2539" s="1"/>
      <c r="G2539" s="1"/>
      <c r="H2539" s="1"/>
      <c r="I2539" s="1"/>
      <c r="J2539" s="1"/>
      <c r="K2539" s="1"/>
      <c r="L2539" s="1"/>
      <c r="M2539" s="1"/>
      <c r="N2539" s="1"/>
      <c r="O2539" s="3"/>
    </row>
    <row r="2540" spans="1:15" ht="13.8">
      <c r="A2540" s="1"/>
      <c r="B2540" s="1"/>
      <c r="C2540" s="1"/>
      <c r="D2540" s="1"/>
      <c r="E2540" s="1"/>
      <c r="F2540" s="1"/>
      <c r="G2540" s="1"/>
      <c r="H2540" s="1"/>
      <c r="I2540" s="1"/>
      <c r="J2540" s="1"/>
      <c r="K2540" s="1"/>
      <c r="L2540" s="1"/>
      <c r="M2540" s="1"/>
      <c r="N2540" s="1"/>
      <c r="O2540" s="3"/>
    </row>
    <row r="2541" spans="1:15" ht="13.8">
      <c r="A2541" s="1"/>
      <c r="B2541" s="1"/>
      <c r="C2541" s="1"/>
      <c r="D2541" s="1"/>
      <c r="E2541" s="1"/>
      <c r="F2541" s="1"/>
      <c r="G2541" s="1"/>
      <c r="H2541" s="1"/>
      <c r="I2541" s="1"/>
      <c r="J2541" s="1"/>
      <c r="K2541" s="1"/>
      <c r="L2541" s="1"/>
      <c r="M2541" s="1"/>
      <c r="N2541" s="1"/>
      <c r="O2541" s="3"/>
    </row>
    <row r="2542" spans="1:15" ht="13.8">
      <c r="A2542" s="1"/>
      <c r="B2542" s="1"/>
      <c r="C2542" s="1"/>
      <c r="D2542" s="1"/>
      <c r="E2542" s="1"/>
      <c r="F2542" s="1"/>
      <c r="G2542" s="1"/>
      <c r="H2542" s="1"/>
      <c r="I2542" s="1"/>
      <c r="J2542" s="1"/>
      <c r="K2542" s="1"/>
      <c r="L2542" s="1"/>
      <c r="M2542" s="1"/>
      <c r="N2542" s="1"/>
      <c r="O2542" s="3"/>
    </row>
    <row r="2543" spans="1:15" ht="13.8">
      <c r="A2543" s="1"/>
      <c r="B2543" s="1"/>
      <c r="C2543" s="1"/>
      <c r="D2543" s="1"/>
      <c r="E2543" s="1"/>
      <c r="F2543" s="1"/>
      <c r="G2543" s="1"/>
      <c r="H2543" s="1"/>
      <c r="I2543" s="1"/>
      <c r="J2543" s="1"/>
      <c r="K2543" s="1"/>
      <c r="L2543" s="1"/>
      <c r="M2543" s="1"/>
      <c r="N2543" s="1"/>
      <c r="O2543" s="3"/>
    </row>
    <row r="2544" spans="1:15" ht="13.8">
      <c r="A2544" s="1"/>
      <c r="B2544" s="1"/>
      <c r="C2544" s="1"/>
      <c r="D2544" s="1"/>
      <c r="E2544" s="1"/>
      <c r="F2544" s="1"/>
      <c r="G2544" s="1"/>
      <c r="H2544" s="1"/>
      <c r="I2544" s="1"/>
      <c r="J2544" s="1"/>
      <c r="K2544" s="1"/>
      <c r="L2544" s="1"/>
      <c r="M2544" s="1"/>
      <c r="N2544" s="1"/>
      <c r="O2544" s="3"/>
    </row>
    <row r="2545" spans="1:15" ht="13.8">
      <c r="A2545" s="1"/>
      <c r="B2545" s="1"/>
      <c r="C2545" s="1"/>
      <c r="D2545" s="1"/>
      <c r="E2545" s="1"/>
      <c r="F2545" s="1"/>
      <c r="G2545" s="1"/>
      <c r="H2545" s="1"/>
      <c r="I2545" s="1"/>
      <c r="J2545" s="1"/>
      <c r="K2545" s="1"/>
      <c r="L2545" s="1"/>
      <c r="M2545" s="1"/>
      <c r="N2545" s="1"/>
      <c r="O2545" s="3"/>
    </row>
    <row r="2546" spans="1:15" ht="13.8">
      <c r="A2546" s="1"/>
      <c r="B2546" s="1"/>
      <c r="C2546" s="1"/>
      <c r="D2546" s="1"/>
      <c r="E2546" s="1"/>
      <c r="F2546" s="1"/>
      <c r="G2546" s="1"/>
      <c r="H2546" s="1"/>
      <c r="I2546" s="1"/>
      <c r="J2546" s="1"/>
      <c r="K2546" s="1"/>
      <c r="L2546" s="1"/>
      <c r="M2546" s="1"/>
      <c r="N2546" s="1"/>
      <c r="O2546" s="3"/>
    </row>
    <row r="2547" spans="1:15" ht="13.8">
      <c r="A2547" s="1"/>
      <c r="B2547" s="1"/>
      <c r="C2547" s="1"/>
      <c r="D2547" s="1"/>
      <c r="E2547" s="1"/>
      <c r="F2547" s="1"/>
      <c r="G2547" s="1"/>
      <c r="H2547" s="1"/>
      <c r="I2547" s="1"/>
      <c r="J2547" s="1"/>
      <c r="K2547" s="1"/>
      <c r="L2547" s="1"/>
      <c r="M2547" s="1"/>
      <c r="N2547" s="1"/>
      <c r="O2547" s="3"/>
    </row>
    <row r="2548" spans="1:15" ht="13.8">
      <c r="A2548" s="1"/>
      <c r="B2548" s="1"/>
      <c r="C2548" s="1"/>
      <c r="D2548" s="1"/>
      <c r="E2548" s="1"/>
      <c r="F2548" s="1"/>
      <c r="G2548" s="1"/>
      <c r="H2548" s="1"/>
      <c r="I2548" s="1"/>
      <c r="J2548" s="1"/>
      <c r="K2548" s="1"/>
      <c r="L2548" s="1"/>
      <c r="M2548" s="1"/>
      <c r="N2548" s="1"/>
      <c r="O2548" s="3"/>
    </row>
    <row r="2549" spans="1:15" ht="13.8">
      <c r="A2549" s="1"/>
      <c r="B2549" s="1"/>
      <c r="C2549" s="1"/>
      <c r="D2549" s="1"/>
      <c r="E2549" s="1"/>
      <c r="F2549" s="1"/>
      <c r="G2549" s="1"/>
      <c r="H2549" s="1"/>
      <c r="I2549" s="1"/>
      <c r="J2549" s="1"/>
      <c r="K2549" s="1"/>
      <c r="L2549" s="1"/>
      <c r="M2549" s="1"/>
      <c r="N2549" s="1"/>
      <c r="O2549" s="3"/>
    </row>
    <row r="2550" spans="1:15" ht="13.8">
      <c r="A2550" s="1"/>
      <c r="B2550" s="1"/>
      <c r="C2550" s="1"/>
      <c r="D2550" s="1"/>
      <c r="E2550" s="1"/>
      <c r="F2550" s="1"/>
      <c r="G2550" s="1"/>
      <c r="H2550" s="1"/>
      <c r="I2550" s="1"/>
      <c r="J2550" s="1"/>
      <c r="K2550" s="1"/>
      <c r="L2550" s="1"/>
      <c r="M2550" s="1"/>
      <c r="N2550" s="1"/>
      <c r="O2550" s="3"/>
    </row>
    <row r="2551" spans="1:15" ht="13.8">
      <c r="A2551" s="1"/>
      <c r="B2551" s="1"/>
      <c r="C2551" s="1"/>
      <c r="D2551" s="1"/>
      <c r="E2551" s="1"/>
      <c r="F2551" s="1"/>
      <c r="G2551" s="1"/>
      <c r="H2551" s="1"/>
      <c r="I2551" s="1"/>
      <c r="J2551" s="1"/>
      <c r="K2551" s="1"/>
      <c r="L2551" s="1"/>
      <c r="M2551" s="1"/>
      <c r="N2551" s="1"/>
      <c r="O2551" s="3"/>
    </row>
    <row r="2552" spans="1:15" ht="13.8">
      <c r="A2552" s="1"/>
      <c r="B2552" s="1"/>
      <c r="C2552" s="1"/>
      <c r="D2552" s="1"/>
      <c r="E2552" s="1"/>
      <c r="F2552" s="1"/>
      <c r="G2552" s="1"/>
      <c r="H2552" s="1"/>
      <c r="I2552" s="1"/>
      <c r="J2552" s="1"/>
      <c r="K2552" s="1"/>
      <c r="L2552" s="1"/>
      <c r="M2552" s="1"/>
      <c r="N2552" s="1"/>
      <c r="O2552" s="3"/>
    </row>
    <row r="2553" spans="1:15" ht="13.8">
      <c r="A2553" s="1"/>
      <c r="B2553" s="1"/>
      <c r="C2553" s="1"/>
      <c r="D2553" s="1"/>
      <c r="E2553" s="1"/>
      <c r="F2553" s="1"/>
      <c r="G2553" s="1"/>
      <c r="H2553" s="1"/>
      <c r="I2553" s="1"/>
      <c r="J2553" s="1"/>
      <c r="K2553" s="1"/>
      <c r="L2553" s="1"/>
      <c r="M2553" s="1"/>
      <c r="N2553" s="1"/>
      <c r="O2553" s="3"/>
    </row>
    <row r="2554" spans="1:15" ht="13.8">
      <c r="A2554" s="1"/>
      <c r="B2554" s="1"/>
      <c r="C2554" s="1"/>
      <c r="D2554" s="1"/>
      <c r="E2554" s="1"/>
      <c r="F2554" s="1"/>
      <c r="G2554" s="1"/>
      <c r="H2554" s="1"/>
      <c r="I2554" s="1"/>
      <c r="J2554" s="1"/>
      <c r="K2554" s="1"/>
      <c r="L2554" s="1"/>
      <c r="M2554" s="1"/>
      <c r="N2554" s="1"/>
      <c r="O2554" s="3"/>
    </row>
    <row r="2555" spans="1:15" ht="13.8">
      <c r="A2555" s="1"/>
      <c r="B2555" s="1"/>
      <c r="C2555" s="1"/>
      <c r="D2555" s="1"/>
      <c r="E2555" s="1"/>
      <c r="F2555" s="1"/>
      <c r="G2555" s="1"/>
      <c r="H2555" s="1"/>
      <c r="I2555" s="1"/>
      <c r="J2555" s="1"/>
      <c r="K2555" s="1"/>
      <c r="L2555" s="1"/>
      <c r="M2555" s="1"/>
      <c r="N2555" s="1"/>
      <c r="O2555" s="3"/>
    </row>
    <row r="2556" spans="1:15" ht="13.8">
      <c r="A2556" s="1"/>
      <c r="B2556" s="1"/>
      <c r="C2556" s="1"/>
      <c r="D2556" s="1"/>
      <c r="E2556" s="1"/>
      <c r="F2556" s="1"/>
      <c r="G2556" s="1"/>
      <c r="H2556" s="1"/>
      <c r="I2556" s="1"/>
      <c r="J2556" s="1"/>
      <c r="K2556" s="1"/>
      <c r="L2556" s="1"/>
      <c r="M2556" s="1"/>
      <c r="N2556" s="1"/>
      <c r="O2556" s="3"/>
    </row>
    <row r="2557" spans="1:15" ht="13.8">
      <c r="A2557" s="1"/>
      <c r="B2557" s="1"/>
      <c r="C2557" s="1"/>
      <c r="D2557" s="1"/>
      <c r="E2557" s="1"/>
      <c r="F2557" s="1"/>
      <c r="G2557" s="1"/>
      <c r="H2557" s="1"/>
      <c r="I2557" s="1"/>
      <c r="J2557" s="1"/>
      <c r="K2557" s="1"/>
      <c r="L2557" s="1"/>
      <c r="M2557" s="1"/>
      <c r="N2557" s="1"/>
      <c r="O2557" s="3"/>
    </row>
    <row r="2558" spans="1:15" ht="13.8">
      <c r="A2558" s="1"/>
      <c r="B2558" s="1"/>
      <c r="C2558" s="1"/>
      <c r="D2558" s="1"/>
      <c r="E2558" s="1"/>
      <c r="F2558" s="1"/>
      <c r="G2558" s="1"/>
      <c r="H2558" s="1"/>
      <c r="I2558" s="1"/>
      <c r="J2558" s="1"/>
      <c r="K2558" s="1"/>
      <c r="L2558" s="1"/>
      <c r="M2558" s="1"/>
      <c r="N2558" s="1"/>
      <c r="O2558" s="3"/>
    </row>
    <row r="2559" spans="1:15" ht="13.8">
      <c r="A2559" s="1"/>
      <c r="B2559" s="1"/>
      <c r="C2559" s="1"/>
      <c r="D2559" s="1"/>
      <c r="E2559" s="1"/>
      <c r="F2559" s="1"/>
      <c r="G2559" s="1"/>
      <c r="H2559" s="1"/>
      <c r="I2559" s="1"/>
      <c r="J2559" s="1"/>
      <c r="K2559" s="1"/>
      <c r="L2559" s="1"/>
      <c r="M2559" s="1"/>
      <c r="N2559" s="1"/>
      <c r="O2559" s="3"/>
    </row>
    <row r="2560" spans="1:15" ht="13.8">
      <c r="A2560" s="1"/>
      <c r="B2560" s="1"/>
      <c r="C2560" s="1"/>
      <c r="D2560" s="1"/>
      <c r="E2560" s="1"/>
      <c r="F2560" s="1"/>
      <c r="G2560" s="1"/>
      <c r="H2560" s="1"/>
      <c r="I2560" s="1"/>
      <c r="J2560" s="1"/>
      <c r="K2560" s="1"/>
      <c r="L2560" s="1"/>
      <c r="M2560" s="1"/>
      <c r="N2560" s="1"/>
      <c r="O2560" s="3"/>
    </row>
    <row r="2561" spans="1:15" ht="13.8">
      <c r="A2561" s="1"/>
      <c r="B2561" s="1"/>
      <c r="C2561" s="1"/>
      <c r="D2561" s="1"/>
      <c r="E2561" s="1"/>
      <c r="F2561" s="1"/>
      <c r="G2561" s="1"/>
      <c r="H2561" s="1"/>
      <c r="I2561" s="1"/>
      <c r="J2561" s="1"/>
      <c r="K2561" s="1"/>
      <c r="L2561" s="1"/>
      <c r="M2561" s="1"/>
      <c r="N2561" s="1"/>
      <c r="O2561" s="3"/>
    </row>
    <row r="2562" spans="1:15" ht="13.8">
      <c r="A2562" s="1"/>
      <c r="B2562" s="1"/>
      <c r="C2562" s="1"/>
      <c r="D2562" s="1"/>
      <c r="E2562" s="1"/>
      <c r="F2562" s="1"/>
      <c r="G2562" s="1"/>
      <c r="H2562" s="1"/>
      <c r="I2562" s="1"/>
      <c r="J2562" s="1"/>
      <c r="K2562" s="1"/>
      <c r="L2562" s="1"/>
      <c r="M2562" s="1"/>
      <c r="N2562" s="1"/>
      <c r="O2562" s="3"/>
    </row>
    <row r="2563" spans="1:15" ht="13.8">
      <c r="A2563" s="1"/>
      <c r="B2563" s="1"/>
      <c r="C2563" s="1"/>
      <c r="D2563" s="1"/>
      <c r="E2563" s="1"/>
      <c r="F2563" s="1"/>
      <c r="G2563" s="1"/>
      <c r="H2563" s="1"/>
      <c r="I2563" s="1"/>
      <c r="J2563" s="1"/>
      <c r="K2563" s="1"/>
      <c r="L2563" s="1"/>
      <c r="M2563" s="1"/>
      <c r="N2563" s="1"/>
      <c r="O2563" s="3"/>
    </row>
    <row r="2564" spans="1:15" ht="13.8">
      <c r="A2564" s="1"/>
      <c r="B2564" s="1"/>
      <c r="C2564" s="1"/>
      <c r="D2564" s="1"/>
      <c r="E2564" s="1"/>
      <c r="F2564" s="1"/>
      <c r="G2564" s="1"/>
      <c r="H2564" s="1"/>
      <c r="I2564" s="1"/>
      <c r="J2564" s="1"/>
      <c r="K2564" s="1"/>
      <c r="L2564" s="1"/>
      <c r="M2564" s="1"/>
      <c r="N2564" s="1"/>
      <c r="O2564" s="3"/>
    </row>
    <row r="2565" spans="1:15" ht="13.8">
      <c r="A2565" s="1"/>
      <c r="B2565" s="1"/>
      <c r="C2565" s="1"/>
      <c r="D2565" s="1"/>
      <c r="E2565" s="1"/>
      <c r="F2565" s="1"/>
      <c r="G2565" s="1"/>
      <c r="H2565" s="1"/>
      <c r="I2565" s="1"/>
      <c r="J2565" s="1"/>
      <c r="K2565" s="1"/>
      <c r="L2565" s="1"/>
      <c r="M2565" s="1"/>
      <c r="N2565" s="1"/>
      <c r="O2565" s="3"/>
    </row>
    <row r="2566" spans="1:15" ht="13.8">
      <c r="A2566" s="1"/>
      <c r="B2566" s="1"/>
      <c r="C2566" s="1"/>
      <c r="D2566" s="1"/>
      <c r="E2566" s="1"/>
      <c r="F2566" s="1"/>
      <c r="G2566" s="1"/>
      <c r="H2566" s="1"/>
      <c r="I2566" s="1"/>
      <c r="J2566" s="1"/>
      <c r="K2566" s="1"/>
      <c r="L2566" s="1"/>
      <c r="M2566" s="1"/>
      <c r="N2566" s="1"/>
      <c r="O2566" s="3"/>
    </row>
    <row r="2567" spans="1:15" ht="13.8">
      <c r="A2567" s="1"/>
      <c r="B2567" s="1"/>
      <c r="C2567" s="1"/>
      <c r="D2567" s="1"/>
      <c r="E2567" s="1"/>
      <c r="F2567" s="1"/>
      <c r="G2567" s="1"/>
      <c r="H2567" s="1"/>
      <c r="I2567" s="1"/>
      <c r="J2567" s="1"/>
      <c r="K2567" s="1"/>
      <c r="L2567" s="1"/>
      <c r="M2567" s="1"/>
      <c r="N2567" s="1"/>
      <c r="O2567" s="3"/>
    </row>
    <row r="2568" spans="1:15" ht="13.8">
      <c r="A2568" s="1"/>
      <c r="B2568" s="1"/>
      <c r="C2568" s="1"/>
      <c r="D2568" s="1"/>
      <c r="E2568" s="1"/>
      <c r="F2568" s="1"/>
      <c r="G2568" s="1"/>
      <c r="H2568" s="1"/>
      <c r="I2568" s="1"/>
      <c r="J2568" s="1"/>
      <c r="K2568" s="1"/>
      <c r="L2568" s="1"/>
      <c r="M2568" s="1"/>
      <c r="N2568" s="1"/>
      <c r="O2568" s="3"/>
    </row>
    <row r="2569" spans="1:15" ht="13.8">
      <c r="A2569" s="1"/>
      <c r="B2569" s="1"/>
      <c r="C2569" s="1"/>
      <c r="D2569" s="1"/>
      <c r="E2569" s="1"/>
      <c r="F2569" s="1"/>
      <c r="G2569" s="1"/>
      <c r="H2569" s="1"/>
      <c r="I2569" s="1"/>
      <c r="J2569" s="1"/>
      <c r="K2569" s="1"/>
      <c r="L2569" s="1"/>
      <c r="M2569" s="1"/>
      <c r="N2569" s="1"/>
      <c r="O2569" s="3"/>
    </row>
    <row r="2570" spans="1:15" ht="13.8">
      <c r="A2570" s="1"/>
      <c r="B2570" s="1"/>
      <c r="C2570" s="1"/>
      <c r="D2570" s="1"/>
      <c r="E2570" s="1"/>
      <c r="F2570" s="1"/>
      <c r="G2570" s="1"/>
      <c r="H2570" s="1"/>
      <c r="I2570" s="1"/>
      <c r="J2570" s="1"/>
      <c r="K2570" s="1"/>
      <c r="L2570" s="1"/>
      <c r="M2570" s="1"/>
      <c r="N2570" s="1"/>
      <c r="O2570" s="3"/>
    </row>
    <row r="2571" spans="1:15" ht="13.8">
      <c r="A2571" s="1"/>
      <c r="B2571" s="1"/>
      <c r="C2571" s="1"/>
      <c r="D2571" s="1"/>
      <c r="E2571" s="1"/>
      <c r="F2571" s="1"/>
      <c r="G2571" s="1"/>
      <c r="H2571" s="1"/>
      <c r="I2571" s="1"/>
      <c r="J2571" s="1"/>
      <c r="K2571" s="1"/>
      <c r="L2571" s="1"/>
      <c r="M2571" s="1"/>
      <c r="N2571" s="1"/>
      <c r="O2571" s="3"/>
    </row>
    <row r="2572" spans="1:15" ht="13.8">
      <c r="A2572" s="1"/>
      <c r="B2572" s="1"/>
      <c r="C2572" s="1"/>
      <c r="D2572" s="1"/>
      <c r="E2572" s="1"/>
      <c r="F2572" s="1"/>
      <c r="G2572" s="1"/>
      <c r="H2572" s="1"/>
      <c r="I2572" s="1"/>
      <c r="J2572" s="1"/>
      <c r="K2572" s="1"/>
      <c r="L2572" s="1"/>
      <c r="M2572" s="1"/>
      <c r="N2572" s="1"/>
      <c r="O2572" s="3"/>
    </row>
    <row r="2573" spans="1:15" ht="13.8">
      <c r="A2573" s="1"/>
      <c r="B2573" s="1"/>
      <c r="C2573" s="1"/>
      <c r="D2573" s="1"/>
      <c r="E2573" s="1"/>
      <c r="F2573" s="1"/>
      <c r="G2573" s="1"/>
      <c r="H2573" s="1"/>
      <c r="I2573" s="1"/>
      <c r="J2573" s="1"/>
      <c r="K2573" s="1"/>
      <c r="L2573" s="1"/>
      <c r="M2573" s="1"/>
      <c r="N2573" s="1"/>
      <c r="O2573" s="3"/>
    </row>
    <row r="2574" spans="1:15" ht="13.8">
      <c r="A2574" s="1"/>
      <c r="B2574" s="1"/>
      <c r="C2574" s="1"/>
      <c r="D2574" s="1"/>
      <c r="E2574" s="1"/>
      <c r="F2574" s="1"/>
      <c r="G2574" s="1"/>
      <c r="H2574" s="1"/>
      <c r="I2574" s="1"/>
      <c r="J2574" s="1"/>
      <c r="K2574" s="1"/>
      <c r="L2574" s="1"/>
      <c r="M2574" s="1"/>
      <c r="N2574" s="1"/>
      <c r="O2574" s="3"/>
    </row>
    <row r="2575" spans="1:15" ht="13.8">
      <c r="A2575" s="1"/>
      <c r="B2575" s="1"/>
      <c r="C2575" s="1"/>
      <c r="D2575" s="1"/>
      <c r="E2575" s="1"/>
      <c r="F2575" s="1"/>
      <c r="G2575" s="1"/>
      <c r="H2575" s="1"/>
      <c r="I2575" s="1"/>
      <c r="J2575" s="1"/>
      <c r="K2575" s="1"/>
      <c r="L2575" s="1"/>
      <c r="M2575" s="1"/>
      <c r="N2575" s="1"/>
      <c r="O2575" s="3"/>
    </row>
    <row r="2576" spans="1:15" ht="13.8">
      <c r="A2576" s="1"/>
      <c r="B2576" s="1"/>
      <c r="C2576" s="1"/>
      <c r="D2576" s="1"/>
      <c r="E2576" s="1"/>
      <c r="F2576" s="1"/>
      <c r="G2576" s="1"/>
      <c r="H2576" s="1"/>
      <c r="I2576" s="1"/>
      <c r="J2576" s="1"/>
      <c r="K2576" s="1"/>
      <c r="L2576" s="1"/>
      <c r="M2576" s="1"/>
      <c r="N2576" s="1"/>
      <c r="O2576" s="3"/>
    </row>
    <row r="2577" spans="1:15" ht="13.8">
      <c r="A2577" s="1"/>
      <c r="B2577" s="1"/>
      <c r="C2577" s="1"/>
      <c r="D2577" s="1"/>
      <c r="E2577" s="1"/>
      <c r="F2577" s="1"/>
      <c r="G2577" s="1"/>
      <c r="H2577" s="1"/>
      <c r="I2577" s="1"/>
      <c r="J2577" s="1"/>
      <c r="K2577" s="1"/>
      <c r="L2577" s="1"/>
      <c r="M2577" s="1"/>
      <c r="N2577" s="1"/>
      <c r="O2577" s="3"/>
    </row>
    <row r="2578" spans="1:15" ht="13.8">
      <c r="A2578" s="1"/>
      <c r="B2578" s="1"/>
      <c r="C2578" s="1"/>
      <c r="D2578" s="1"/>
      <c r="E2578" s="1"/>
      <c r="F2578" s="1"/>
      <c r="G2578" s="1"/>
      <c r="H2578" s="1"/>
      <c r="I2578" s="1"/>
      <c r="J2578" s="1"/>
      <c r="K2578" s="1"/>
      <c r="L2578" s="1"/>
      <c r="M2578" s="1"/>
      <c r="N2578" s="1"/>
      <c r="O2578" s="3"/>
    </row>
    <row r="2579" spans="1:15" ht="13.8">
      <c r="A2579" s="1"/>
      <c r="B2579" s="1"/>
      <c r="C2579" s="1"/>
      <c r="D2579" s="1"/>
      <c r="E2579" s="1"/>
      <c r="F2579" s="1"/>
      <c r="G2579" s="1"/>
      <c r="H2579" s="1"/>
      <c r="I2579" s="1"/>
      <c r="J2579" s="1"/>
      <c r="K2579" s="1"/>
      <c r="L2579" s="1"/>
      <c r="M2579" s="1"/>
      <c r="N2579" s="1"/>
      <c r="O2579" s="3"/>
    </row>
    <row r="2580" spans="1:15" ht="13.8">
      <c r="A2580" s="1"/>
      <c r="B2580" s="1"/>
      <c r="C2580" s="1"/>
      <c r="D2580" s="1"/>
      <c r="E2580" s="1"/>
      <c r="F2580" s="1"/>
      <c r="G2580" s="1"/>
      <c r="H2580" s="1"/>
      <c r="I2580" s="1"/>
      <c r="J2580" s="1"/>
      <c r="K2580" s="1"/>
      <c r="L2580" s="1"/>
      <c r="M2580" s="1"/>
      <c r="N2580" s="1"/>
      <c r="O2580" s="3"/>
    </row>
    <row r="2581" spans="1:15" ht="13.8">
      <c r="A2581" s="1"/>
      <c r="B2581" s="1"/>
      <c r="C2581" s="1"/>
      <c r="D2581" s="1"/>
      <c r="E2581" s="1"/>
      <c r="F2581" s="1"/>
      <c r="G2581" s="1"/>
      <c r="H2581" s="1"/>
      <c r="I2581" s="1"/>
      <c r="J2581" s="1"/>
      <c r="K2581" s="1"/>
      <c r="L2581" s="1"/>
      <c r="M2581" s="1"/>
      <c r="N2581" s="1"/>
      <c r="O2581" s="3"/>
    </row>
    <row r="2582" spans="1:15" ht="13.8">
      <c r="A2582" s="1"/>
      <c r="B2582" s="1"/>
      <c r="C2582" s="1"/>
      <c r="D2582" s="1"/>
      <c r="E2582" s="1"/>
      <c r="F2582" s="1"/>
      <c r="G2582" s="1"/>
      <c r="H2582" s="1"/>
      <c r="I2582" s="1"/>
      <c r="J2582" s="1"/>
      <c r="K2582" s="1"/>
      <c r="L2582" s="1"/>
      <c r="M2582" s="1"/>
      <c r="N2582" s="1"/>
      <c r="O2582" s="3"/>
    </row>
    <row r="2583" spans="1:15" ht="13.8">
      <c r="A2583" s="1"/>
      <c r="B2583" s="1"/>
      <c r="C2583" s="1"/>
      <c r="D2583" s="1"/>
      <c r="E2583" s="1"/>
      <c r="F2583" s="1"/>
      <c r="G2583" s="1"/>
      <c r="H2583" s="1"/>
      <c r="I2583" s="1"/>
      <c r="J2583" s="1"/>
      <c r="K2583" s="1"/>
      <c r="L2583" s="1"/>
      <c r="M2583" s="1"/>
      <c r="N2583" s="1"/>
      <c r="O2583" s="3"/>
    </row>
    <row r="2584" spans="1:15" ht="13.8">
      <c r="A2584" s="1"/>
      <c r="B2584" s="1"/>
      <c r="C2584" s="1"/>
      <c r="D2584" s="1"/>
      <c r="E2584" s="1"/>
      <c r="F2584" s="1"/>
      <c r="G2584" s="1"/>
      <c r="H2584" s="1"/>
      <c r="I2584" s="1"/>
      <c r="J2584" s="1"/>
      <c r="K2584" s="1"/>
      <c r="L2584" s="1"/>
      <c r="M2584" s="1"/>
      <c r="N2584" s="1"/>
      <c r="O2584" s="3"/>
    </row>
    <row r="2585" spans="1:15" ht="13.8">
      <c r="A2585" s="1"/>
      <c r="B2585" s="1"/>
      <c r="C2585" s="1"/>
      <c r="D2585" s="1"/>
      <c r="E2585" s="1"/>
      <c r="F2585" s="1"/>
      <c r="G2585" s="1"/>
      <c r="H2585" s="1"/>
      <c r="I2585" s="1"/>
      <c r="J2585" s="1"/>
      <c r="K2585" s="1"/>
      <c r="L2585" s="1"/>
      <c r="M2585" s="1"/>
      <c r="N2585" s="1"/>
      <c r="O2585" s="3"/>
    </row>
    <row r="2586" spans="1:15" ht="13.8">
      <c r="A2586" s="1"/>
      <c r="B2586" s="1"/>
      <c r="C2586" s="1"/>
      <c r="D2586" s="1"/>
      <c r="E2586" s="1"/>
      <c r="F2586" s="1"/>
      <c r="G2586" s="1"/>
      <c r="H2586" s="1"/>
      <c r="I2586" s="1"/>
      <c r="J2586" s="1"/>
      <c r="K2586" s="1"/>
      <c r="L2586" s="1"/>
      <c r="M2586" s="1"/>
      <c r="N2586" s="1"/>
      <c r="O2586" s="3"/>
    </row>
    <row r="2587" spans="1:15" ht="13.8">
      <c r="A2587" s="1"/>
      <c r="B2587" s="1"/>
      <c r="C2587" s="1"/>
      <c r="D2587" s="1"/>
      <c r="E2587" s="1"/>
      <c r="F2587" s="1"/>
      <c r="G2587" s="1"/>
      <c r="H2587" s="1"/>
      <c r="I2587" s="1"/>
      <c r="J2587" s="1"/>
      <c r="K2587" s="1"/>
      <c r="L2587" s="1"/>
      <c r="M2587" s="1"/>
      <c r="N2587" s="1"/>
      <c r="O2587" s="3"/>
    </row>
    <row r="2588" spans="1:15" ht="13.8">
      <c r="A2588" s="1"/>
      <c r="B2588" s="1"/>
      <c r="C2588" s="1"/>
      <c r="D2588" s="1"/>
      <c r="E2588" s="1"/>
      <c r="F2588" s="1"/>
      <c r="G2588" s="1"/>
      <c r="H2588" s="1"/>
      <c r="I2588" s="1"/>
      <c r="J2588" s="1"/>
      <c r="K2588" s="1"/>
      <c r="L2588" s="1"/>
      <c r="M2588" s="1"/>
      <c r="N2588" s="1"/>
      <c r="O2588" s="3"/>
    </row>
    <row r="2589" spans="1:15" ht="13.8">
      <c r="A2589" s="1"/>
      <c r="B2589" s="1"/>
      <c r="C2589" s="1"/>
      <c r="D2589" s="1"/>
      <c r="E2589" s="1"/>
      <c r="F2589" s="1"/>
      <c r="G2589" s="1"/>
      <c r="H2589" s="1"/>
      <c r="I2589" s="1"/>
      <c r="J2589" s="1"/>
      <c r="K2589" s="1"/>
      <c r="L2589" s="1"/>
      <c r="M2589" s="1"/>
      <c r="N2589" s="1"/>
      <c r="O2589" s="3"/>
    </row>
    <row r="2590" spans="1:15" ht="13.8">
      <c r="A2590" s="1"/>
      <c r="B2590" s="1"/>
      <c r="C2590" s="1"/>
      <c r="D2590" s="1"/>
      <c r="E2590" s="1"/>
      <c r="F2590" s="1"/>
      <c r="G2590" s="1"/>
      <c r="H2590" s="1"/>
      <c r="I2590" s="1"/>
      <c r="J2590" s="1"/>
      <c r="K2590" s="1"/>
      <c r="L2590" s="1"/>
      <c r="M2590" s="1"/>
      <c r="N2590" s="1"/>
      <c r="O2590" s="3"/>
    </row>
    <row r="2591" spans="1:15" ht="13.8">
      <c r="A2591" s="1"/>
      <c r="B2591" s="1"/>
      <c r="C2591" s="1"/>
      <c r="D2591" s="1"/>
      <c r="E2591" s="1"/>
      <c r="F2591" s="1"/>
      <c r="G2591" s="1"/>
      <c r="H2591" s="1"/>
      <c r="I2591" s="1"/>
      <c r="J2591" s="1"/>
      <c r="K2591" s="1"/>
      <c r="L2591" s="1"/>
      <c r="M2591" s="1"/>
      <c r="N2591" s="1"/>
      <c r="O2591" s="3"/>
    </row>
    <row r="2592" spans="1:15" ht="13.8">
      <c r="A2592" s="1"/>
      <c r="B2592" s="1"/>
      <c r="C2592" s="1"/>
      <c r="D2592" s="1"/>
      <c r="E2592" s="1"/>
      <c r="F2592" s="1"/>
      <c r="G2592" s="1"/>
      <c r="H2592" s="1"/>
      <c r="I2592" s="1"/>
      <c r="J2592" s="1"/>
      <c r="K2592" s="1"/>
      <c r="L2592" s="1"/>
      <c r="M2592" s="1"/>
      <c r="N2592" s="1"/>
      <c r="O2592" s="3"/>
    </row>
    <row r="2593" spans="1:15" ht="13.8">
      <c r="A2593" s="1"/>
      <c r="B2593" s="1"/>
      <c r="C2593" s="1"/>
      <c r="D2593" s="1"/>
      <c r="E2593" s="1"/>
      <c r="F2593" s="1"/>
      <c r="G2593" s="1"/>
      <c r="H2593" s="1"/>
      <c r="I2593" s="1"/>
      <c r="J2593" s="1"/>
      <c r="K2593" s="1"/>
      <c r="L2593" s="1"/>
      <c r="M2593" s="1"/>
      <c r="N2593" s="1"/>
      <c r="O2593" s="3"/>
    </row>
    <row r="2594" spans="1:15" ht="13.8">
      <c r="A2594" s="1"/>
      <c r="B2594" s="1"/>
      <c r="C2594" s="1"/>
      <c r="D2594" s="1"/>
      <c r="E2594" s="1"/>
      <c r="F2594" s="1"/>
      <c r="G2594" s="1"/>
      <c r="H2594" s="1"/>
      <c r="I2594" s="1"/>
      <c r="J2594" s="1"/>
      <c r="K2594" s="1"/>
      <c r="L2594" s="1"/>
      <c r="M2594" s="1"/>
      <c r="N2594" s="1"/>
      <c r="O2594" s="3"/>
    </row>
    <row r="2595" spans="1:15" ht="13.8">
      <c r="A2595" s="1"/>
      <c r="B2595" s="1"/>
      <c r="C2595" s="1"/>
      <c r="D2595" s="1"/>
      <c r="E2595" s="1"/>
      <c r="F2595" s="1"/>
      <c r="G2595" s="1"/>
      <c r="H2595" s="1"/>
      <c r="I2595" s="1"/>
      <c r="J2595" s="1"/>
      <c r="K2595" s="1"/>
      <c r="L2595" s="1"/>
      <c r="M2595" s="1"/>
      <c r="N2595" s="1"/>
      <c r="O2595" s="3"/>
    </row>
    <row r="2596" spans="1:15" ht="13.8">
      <c r="A2596" s="1"/>
      <c r="B2596" s="1"/>
      <c r="C2596" s="1"/>
      <c r="D2596" s="1"/>
      <c r="E2596" s="1"/>
      <c r="F2596" s="1"/>
      <c r="G2596" s="1"/>
      <c r="H2596" s="1"/>
      <c r="I2596" s="1"/>
      <c r="J2596" s="1"/>
      <c r="K2596" s="1"/>
      <c r="L2596" s="1"/>
      <c r="M2596" s="1"/>
      <c r="N2596" s="1"/>
      <c r="O2596" s="3"/>
    </row>
    <row r="2597" spans="1:15" ht="13.8">
      <c r="A2597" s="1"/>
      <c r="B2597" s="1"/>
      <c r="C2597" s="1"/>
      <c r="D2597" s="1"/>
      <c r="E2597" s="1"/>
      <c r="F2597" s="1"/>
      <c r="G2597" s="1"/>
      <c r="H2597" s="1"/>
      <c r="I2597" s="1"/>
      <c r="J2597" s="1"/>
      <c r="K2597" s="1"/>
      <c r="L2597" s="1"/>
      <c r="M2597" s="1"/>
      <c r="N2597" s="1"/>
      <c r="O2597" s="3"/>
    </row>
    <row r="2598" spans="1:15" ht="13.8">
      <c r="A2598" s="1"/>
      <c r="B2598" s="1"/>
      <c r="C2598" s="1"/>
      <c r="D2598" s="1"/>
      <c r="E2598" s="1"/>
      <c r="F2598" s="1"/>
      <c r="G2598" s="1"/>
      <c r="H2598" s="1"/>
      <c r="I2598" s="1"/>
      <c r="J2598" s="1"/>
      <c r="K2598" s="1"/>
      <c r="L2598" s="1"/>
      <c r="M2598" s="1"/>
      <c r="N2598" s="1"/>
      <c r="O2598" s="3"/>
    </row>
    <row r="2599" spans="1:15" ht="13.8">
      <c r="A2599" s="1"/>
      <c r="B2599" s="1"/>
      <c r="C2599" s="1"/>
      <c r="D2599" s="1"/>
      <c r="E2599" s="1"/>
      <c r="F2599" s="1"/>
      <c r="G2599" s="1"/>
      <c r="H2599" s="1"/>
      <c r="I2599" s="1"/>
      <c r="J2599" s="1"/>
      <c r="K2599" s="1"/>
      <c r="L2599" s="1"/>
      <c r="M2599" s="1"/>
      <c r="N2599" s="1"/>
      <c r="O2599" s="3"/>
    </row>
    <row r="2600" spans="1:15" ht="13.8">
      <c r="A2600" s="1"/>
      <c r="B2600" s="1"/>
      <c r="C2600" s="1"/>
      <c r="D2600" s="1"/>
      <c r="E2600" s="1"/>
      <c r="F2600" s="1"/>
      <c r="G2600" s="1"/>
      <c r="H2600" s="1"/>
      <c r="I2600" s="1"/>
      <c r="J2600" s="1"/>
      <c r="K2600" s="1"/>
      <c r="L2600" s="1"/>
      <c r="M2600" s="1"/>
      <c r="N2600" s="1"/>
      <c r="O2600" s="3"/>
    </row>
    <row r="2601" spans="1:15" ht="13.8">
      <c r="A2601" s="1"/>
      <c r="B2601" s="1"/>
      <c r="C2601" s="1"/>
      <c r="D2601" s="1"/>
      <c r="E2601" s="1"/>
      <c r="F2601" s="1"/>
      <c r="G2601" s="1"/>
      <c r="H2601" s="1"/>
      <c r="I2601" s="1"/>
      <c r="J2601" s="1"/>
      <c r="K2601" s="1"/>
      <c r="L2601" s="1"/>
      <c r="M2601" s="1"/>
      <c r="N2601" s="1"/>
      <c r="O2601" s="3"/>
    </row>
    <row r="2602" spans="1:15" ht="13.8">
      <c r="A2602" s="1"/>
      <c r="B2602" s="1"/>
      <c r="C2602" s="1"/>
      <c r="D2602" s="1"/>
      <c r="E2602" s="1"/>
      <c r="F2602" s="1"/>
      <c r="G2602" s="1"/>
      <c r="H2602" s="1"/>
      <c r="I2602" s="1"/>
      <c r="J2602" s="1"/>
      <c r="K2602" s="1"/>
      <c r="L2602" s="1"/>
      <c r="M2602" s="1"/>
      <c r="N2602" s="1"/>
      <c r="O2602" s="3"/>
    </row>
    <row r="2603" spans="1:15" ht="13.8">
      <c r="A2603" s="1"/>
      <c r="B2603" s="1"/>
      <c r="C2603" s="1"/>
      <c r="D2603" s="1"/>
      <c r="E2603" s="1"/>
      <c r="F2603" s="1"/>
      <c r="G2603" s="1"/>
      <c r="H2603" s="1"/>
      <c r="I2603" s="1"/>
      <c r="J2603" s="1"/>
      <c r="K2603" s="1"/>
      <c r="L2603" s="1"/>
      <c r="M2603" s="1"/>
      <c r="N2603" s="1"/>
      <c r="O2603" s="3"/>
    </row>
    <row r="2604" spans="1:15" ht="13.8">
      <c r="A2604" s="1"/>
      <c r="B2604" s="1"/>
      <c r="C2604" s="1"/>
      <c r="D2604" s="1"/>
      <c r="E2604" s="1"/>
      <c r="F2604" s="1"/>
      <c r="G2604" s="1"/>
      <c r="H2604" s="1"/>
      <c r="I2604" s="1"/>
      <c r="J2604" s="1"/>
      <c r="K2604" s="1"/>
      <c r="L2604" s="1"/>
      <c r="M2604" s="1"/>
      <c r="N2604" s="1"/>
      <c r="O2604" s="3"/>
    </row>
    <row r="2605" spans="1:15" ht="13.8">
      <c r="A2605" s="1"/>
      <c r="B2605" s="1"/>
      <c r="C2605" s="1"/>
      <c r="D2605" s="1"/>
      <c r="E2605" s="1"/>
      <c r="F2605" s="1"/>
      <c r="G2605" s="1"/>
      <c r="H2605" s="1"/>
      <c r="I2605" s="1"/>
      <c r="J2605" s="1"/>
      <c r="K2605" s="1"/>
      <c r="L2605" s="1"/>
      <c r="M2605" s="1"/>
      <c r="N2605" s="1"/>
      <c r="O2605" s="3"/>
    </row>
    <row r="2606" spans="1:15" ht="13.8">
      <c r="A2606" s="1"/>
      <c r="B2606" s="1"/>
      <c r="C2606" s="1"/>
      <c r="D2606" s="1"/>
      <c r="E2606" s="1"/>
      <c r="F2606" s="1"/>
      <c r="G2606" s="1"/>
      <c r="H2606" s="1"/>
      <c r="I2606" s="1"/>
      <c r="J2606" s="1"/>
      <c r="K2606" s="1"/>
      <c r="L2606" s="1"/>
      <c r="M2606" s="1"/>
      <c r="N2606" s="1"/>
      <c r="O2606" s="3"/>
    </row>
    <row r="2607" spans="1:15" ht="13.8">
      <c r="A2607" s="1"/>
      <c r="B2607" s="1"/>
      <c r="C2607" s="1"/>
      <c r="D2607" s="1"/>
      <c r="E2607" s="1"/>
      <c r="F2607" s="1"/>
      <c r="G2607" s="1"/>
      <c r="H2607" s="1"/>
      <c r="I2607" s="1"/>
      <c r="J2607" s="1"/>
      <c r="K2607" s="1"/>
      <c r="L2607" s="1"/>
      <c r="M2607" s="1"/>
      <c r="N2607" s="1"/>
      <c r="O2607" s="3"/>
    </row>
    <row r="2608" spans="1:15" ht="13.8">
      <c r="A2608" s="1"/>
      <c r="B2608" s="1"/>
      <c r="C2608" s="1"/>
      <c r="D2608" s="1"/>
      <c r="E2608" s="1"/>
      <c r="F2608" s="1"/>
      <c r="G2608" s="1"/>
      <c r="H2608" s="1"/>
      <c r="I2608" s="1"/>
      <c r="J2608" s="1"/>
      <c r="K2608" s="1"/>
      <c r="L2608" s="1"/>
      <c r="M2608" s="1"/>
      <c r="N2608" s="1"/>
      <c r="O2608" s="3"/>
    </row>
    <row r="2609" spans="1:15" ht="13.8">
      <c r="A2609" s="1"/>
      <c r="B2609" s="1"/>
      <c r="C2609" s="1"/>
      <c r="D2609" s="1"/>
      <c r="E2609" s="1"/>
      <c r="F2609" s="1"/>
      <c r="G2609" s="1"/>
      <c r="H2609" s="1"/>
      <c r="I2609" s="1"/>
      <c r="J2609" s="1"/>
      <c r="K2609" s="1"/>
      <c r="L2609" s="1"/>
      <c r="M2609" s="1"/>
      <c r="N2609" s="1"/>
      <c r="O2609" s="3"/>
    </row>
    <row r="2610" spans="1:15" ht="13.8">
      <c r="A2610" s="1"/>
      <c r="B2610" s="1"/>
      <c r="C2610" s="1"/>
      <c r="D2610" s="1"/>
      <c r="E2610" s="1"/>
      <c r="F2610" s="1"/>
      <c r="G2610" s="1"/>
      <c r="H2610" s="1"/>
      <c r="I2610" s="1"/>
      <c r="J2610" s="1"/>
      <c r="K2610" s="1"/>
      <c r="L2610" s="1"/>
      <c r="M2610" s="1"/>
      <c r="N2610" s="1"/>
      <c r="O2610" s="3"/>
    </row>
    <row r="2611" spans="1:15" ht="13.8">
      <c r="A2611" s="1"/>
      <c r="B2611" s="1"/>
      <c r="C2611" s="1"/>
      <c r="D2611" s="1"/>
      <c r="E2611" s="1"/>
      <c r="F2611" s="1"/>
      <c r="G2611" s="1"/>
      <c r="H2611" s="1"/>
      <c r="I2611" s="1"/>
      <c r="J2611" s="1"/>
      <c r="K2611" s="1"/>
      <c r="L2611" s="1"/>
      <c r="M2611" s="1"/>
      <c r="N2611" s="1"/>
      <c r="O2611" s="3"/>
    </row>
    <row r="2612" spans="1:15" ht="13.8">
      <c r="A2612" s="1"/>
      <c r="B2612" s="1"/>
      <c r="C2612" s="1"/>
      <c r="D2612" s="1"/>
      <c r="E2612" s="1"/>
      <c r="F2612" s="1"/>
      <c r="G2612" s="1"/>
      <c r="H2612" s="1"/>
      <c r="I2612" s="1"/>
      <c r="J2612" s="1"/>
      <c r="K2612" s="1"/>
      <c r="L2612" s="1"/>
      <c r="M2612" s="1"/>
      <c r="N2612" s="1"/>
      <c r="O2612" s="3"/>
    </row>
    <row r="2613" spans="1:15" ht="13.8">
      <c r="A2613" s="1"/>
      <c r="B2613" s="1"/>
      <c r="C2613" s="1"/>
      <c r="D2613" s="1"/>
      <c r="E2613" s="1"/>
      <c r="F2613" s="1"/>
      <c r="G2613" s="1"/>
      <c r="H2613" s="1"/>
      <c r="I2613" s="1"/>
      <c r="J2613" s="1"/>
      <c r="K2613" s="1"/>
      <c r="L2613" s="1"/>
      <c r="M2613" s="1"/>
      <c r="N2613" s="1"/>
      <c r="O2613" s="3"/>
    </row>
    <row r="2614" spans="1:15" ht="13.8">
      <c r="A2614" s="1"/>
      <c r="B2614" s="1"/>
      <c r="C2614" s="1"/>
      <c r="D2614" s="1"/>
      <c r="E2614" s="1"/>
      <c r="F2614" s="1"/>
      <c r="G2614" s="1"/>
      <c r="H2614" s="1"/>
      <c r="I2614" s="1"/>
      <c r="J2614" s="1"/>
      <c r="K2614" s="1"/>
      <c r="L2614" s="1"/>
      <c r="M2614" s="1"/>
      <c r="N2614" s="1"/>
      <c r="O2614" s="3"/>
    </row>
    <row r="2615" spans="1:15" ht="13.8">
      <c r="A2615" s="1"/>
      <c r="B2615" s="1"/>
      <c r="C2615" s="1"/>
      <c r="D2615" s="1"/>
      <c r="E2615" s="1"/>
      <c r="F2615" s="1"/>
      <c r="G2615" s="1"/>
      <c r="H2615" s="1"/>
      <c r="I2615" s="1"/>
      <c r="J2615" s="1"/>
      <c r="K2615" s="1"/>
      <c r="L2615" s="1"/>
      <c r="M2615" s="1"/>
      <c r="N2615" s="1"/>
      <c r="O2615" s="3"/>
    </row>
    <row r="2616" spans="1:15" ht="13.8">
      <c r="A2616" s="1"/>
      <c r="B2616" s="1"/>
      <c r="C2616" s="1"/>
      <c r="D2616" s="1"/>
      <c r="E2616" s="1"/>
      <c r="F2616" s="1"/>
      <c r="G2616" s="1"/>
      <c r="H2616" s="1"/>
      <c r="I2616" s="1"/>
      <c r="J2616" s="1"/>
      <c r="K2616" s="1"/>
      <c r="L2616" s="1"/>
      <c r="M2616" s="1"/>
      <c r="N2616" s="1"/>
      <c r="O2616" s="3"/>
    </row>
    <row r="2617" spans="1:15" ht="13.8">
      <c r="A2617" s="1"/>
      <c r="B2617" s="1"/>
      <c r="C2617" s="1"/>
      <c r="D2617" s="1"/>
      <c r="E2617" s="1"/>
      <c r="F2617" s="1"/>
      <c r="G2617" s="1"/>
      <c r="H2617" s="1"/>
      <c r="I2617" s="1"/>
      <c r="J2617" s="1"/>
      <c r="K2617" s="1"/>
      <c r="L2617" s="1"/>
      <c r="M2617" s="1"/>
      <c r="N2617" s="1"/>
      <c r="O2617" s="3"/>
    </row>
    <row r="2618" spans="1:15" ht="13.8">
      <c r="A2618" s="1"/>
      <c r="B2618" s="1"/>
      <c r="C2618" s="1"/>
      <c r="D2618" s="1"/>
      <c r="E2618" s="1"/>
      <c r="F2618" s="1"/>
      <c r="G2618" s="1"/>
      <c r="H2618" s="1"/>
      <c r="I2618" s="1"/>
      <c r="J2618" s="1"/>
      <c r="K2618" s="1"/>
      <c r="L2618" s="1"/>
      <c r="M2618" s="1"/>
      <c r="N2618" s="1"/>
      <c r="O2618" s="3"/>
    </row>
    <row r="2619" spans="1:15" ht="13.8">
      <c r="A2619" s="1"/>
      <c r="B2619" s="1"/>
      <c r="C2619" s="1"/>
      <c r="D2619" s="1"/>
      <c r="E2619" s="1"/>
      <c r="F2619" s="1"/>
      <c r="G2619" s="1"/>
      <c r="H2619" s="1"/>
      <c r="I2619" s="1"/>
      <c r="J2619" s="1"/>
      <c r="K2619" s="1"/>
      <c r="L2619" s="1"/>
      <c r="M2619" s="1"/>
      <c r="N2619" s="1"/>
      <c r="O2619" s="3"/>
    </row>
    <row r="2620" spans="1:15" ht="13.8">
      <c r="A2620" s="1"/>
      <c r="B2620" s="1"/>
      <c r="C2620" s="1"/>
      <c r="D2620" s="1"/>
      <c r="E2620" s="1"/>
      <c r="F2620" s="1"/>
      <c r="G2620" s="1"/>
      <c r="H2620" s="1"/>
      <c r="I2620" s="1"/>
      <c r="J2620" s="1"/>
      <c r="K2620" s="1"/>
      <c r="L2620" s="1"/>
      <c r="M2620" s="1"/>
      <c r="N2620" s="1"/>
      <c r="O2620" s="3"/>
    </row>
    <row r="2621" spans="1:15" ht="13.8">
      <c r="A2621" s="1"/>
      <c r="B2621" s="1"/>
      <c r="C2621" s="1"/>
      <c r="D2621" s="1"/>
      <c r="E2621" s="1"/>
      <c r="F2621" s="1"/>
      <c r="G2621" s="1"/>
      <c r="H2621" s="1"/>
      <c r="I2621" s="1"/>
      <c r="J2621" s="1"/>
      <c r="K2621" s="1"/>
      <c r="L2621" s="1"/>
      <c r="M2621" s="1"/>
      <c r="N2621" s="1"/>
      <c r="O2621" s="3"/>
    </row>
    <row r="2622" spans="1:15" ht="13.8">
      <c r="A2622" s="1"/>
      <c r="B2622" s="1"/>
      <c r="C2622" s="1"/>
      <c r="D2622" s="1"/>
      <c r="E2622" s="1"/>
      <c r="F2622" s="1"/>
      <c r="G2622" s="1"/>
      <c r="H2622" s="1"/>
      <c r="I2622" s="1"/>
      <c r="J2622" s="1"/>
      <c r="K2622" s="1"/>
      <c r="L2622" s="1"/>
      <c r="M2622" s="1"/>
      <c r="N2622" s="1"/>
      <c r="O2622" s="3"/>
    </row>
    <row r="2623" spans="1:15" ht="13.8">
      <c r="A2623" s="1"/>
      <c r="B2623" s="1"/>
      <c r="C2623" s="1"/>
      <c r="D2623" s="1"/>
      <c r="E2623" s="1"/>
      <c r="F2623" s="1"/>
      <c r="G2623" s="1"/>
      <c r="H2623" s="1"/>
      <c r="I2623" s="1"/>
      <c r="J2623" s="1"/>
      <c r="K2623" s="1"/>
      <c r="L2623" s="1"/>
      <c r="M2623" s="1"/>
      <c r="N2623" s="1"/>
      <c r="O2623" s="3"/>
    </row>
    <row r="2624" spans="1:15" ht="13.8">
      <c r="A2624" s="1"/>
      <c r="B2624" s="1"/>
      <c r="C2624" s="1"/>
      <c r="D2624" s="1"/>
      <c r="E2624" s="1"/>
      <c r="F2624" s="1"/>
      <c r="G2624" s="1"/>
      <c r="H2624" s="1"/>
      <c r="I2624" s="1"/>
      <c r="J2624" s="1"/>
      <c r="K2624" s="1"/>
      <c r="L2624" s="1"/>
      <c r="M2624" s="1"/>
      <c r="N2624" s="1"/>
      <c r="O2624" s="3"/>
    </row>
    <row r="2625" spans="1:15" ht="13.8">
      <c r="A2625" s="1"/>
      <c r="B2625" s="1"/>
      <c r="C2625" s="1"/>
      <c r="D2625" s="1"/>
      <c r="E2625" s="1"/>
      <c r="F2625" s="1"/>
      <c r="G2625" s="1"/>
      <c r="H2625" s="1"/>
      <c r="I2625" s="1"/>
      <c r="J2625" s="1"/>
      <c r="K2625" s="1"/>
      <c r="L2625" s="1"/>
      <c r="M2625" s="1"/>
      <c r="N2625" s="1"/>
      <c r="O2625" s="3"/>
    </row>
    <row r="2626" spans="1:15" ht="13.8">
      <c r="A2626" s="1"/>
      <c r="B2626" s="1"/>
      <c r="C2626" s="1"/>
      <c r="D2626" s="1"/>
      <c r="E2626" s="1"/>
      <c r="F2626" s="1"/>
      <c r="G2626" s="1"/>
      <c r="H2626" s="1"/>
      <c r="I2626" s="1"/>
      <c r="J2626" s="1"/>
      <c r="K2626" s="1"/>
      <c r="L2626" s="1"/>
      <c r="M2626" s="1"/>
      <c r="N2626" s="1"/>
      <c r="O2626" s="3"/>
    </row>
    <row r="2627" spans="1:15" ht="13.8">
      <c r="A2627" s="1"/>
      <c r="B2627" s="1"/>
      <c r="C2627" s="1"/>
      <c r="D2627" s="1"/>
      <c r="E2627" s="1"/>
      <c r="F2627" s="1"/>
      <c r="G2627" s="1"/>
      <c r="H2627" s="1"/>
      <c r="I2627" s="1"/>
      <c r="J2627" s="1"/>
      <c r="K2627" s="1"/>
      <c r="L2627" s="1"/>
      <c r="M2627" s="1"/>
      <c r="N2627" s="1"/>
      <c r="O2627" s="3"/>
    </row>
    <row r="2628" spans="1:15" ht="13.8">
      <c r="A2628" s="1"/>
      <c r="B2628" s="1"/>
      <c r="C2628" s="1"/>
      <c r="D2628" s="1"/>
      <c r="E2628" s="1"/>
      <c r="F2628" s="1"/>
      <c r="G2628" s="1"/>
      <c r="H2628" s="1"/>
      <c r="I2628" s="1"/>
      <c r="J2628" s="1"/>
      <c r="K2628" s="1"/>
      <c r="L2628" s="1"/>
      <c r="M2628" s="1"/>
      <c r="N2628" s="1"/>
      <c r="O2628" s="3"/>
    </row>
    <row r="2629" spans="1:15" ht="13.8">
      <c r="A2629" s="1"/>
      <c r="B2629" s="1"/>
      <c r="C2629" s="1"/>
      <c r="D2629" s="1"/>
      <c r="E2629" s="1"/>
      <c r="F2629" s="1"/>
      <c r="G2629" s="1"/>
      <c r="H2629" s="1"/>
      <c r="I2629" s="1"/>
      <c r="J2629" s="1"/>
      <c r="K2629" s="1"/>
      <c r="L2629" s="1"/>
      <c r="M2629" s="1"/>
      <c r="N2629" s="1"/>
      <c r="O2629" s="3"/>
    </row>
    <row r="2630" spans="1:15" ht="13.8">
      <c r="A2630" s="1"/>
      <c r="B2630" s="1"/>
      <c r="C2630" s="1"/>
      <c r="D2630" s="1"/>
      <c r="E2630" s="1"/>
      <c r="F2630" s="1"/>
      <c r="G2630" s="1"/>
      <c r="H2630" s="1"/>
      <c r="I2630" s="1"/>
      <c r="J2630" s="1"/>
      <c r="K2630" s="1"/>
      <c r="L2630" s="1"/>
      <c r="M2630" s="1"/>
      <c r="N2630" s="1"/>
      <c r="O2630" s="3"/>
    </row>
    <row r="2631" spans="1:15" ht="13.8">
      <c r="A2631" s="1"/>
      <c r="B2631" s="1"/>
      <c r="C2631" s="1"/>
      <c r="D2631" s="1"/>
      <c r="E2631" s="1"/>
      <c r="F2631" s="1"/>
      <c r="G2631" s="1"/>
      <c r="H2631" s="1"/>
      <c r="I2631" s="1"/>
      <c r="J2631" s="1"/>
      <c r="K2631" s="1"/>
      <c r="L2631" s="1"/>
      <c r="M2631" s="1"/>
      <c r="N2631" s="1"/>
      <c r="O2631" s="3"/>
    </row>
    <row r="2632" spans="1:15" ht="13.8">
      <c r="A2632" s="1"/>
      <c r="B2632" s="1"/>
      <c r="C2632" s="1"/>
      <c r="D2632" s="1"/>
      <c r="E2632" s="1"/>
      <c r="F2632" s="1"/>
      <c r="G2632" s="1"/>
      <c r="H2632" s="1"/>
      <c r="I2632" s="1"/>
      <c r="J2632" s="1"/>
      <c r="K2632" s="1"/>
      <c r="L2632" s="1"/>
      <c r="M2632" s="1"/>
      <c r="N2632" s="1"/>
      <c r="O2632" s="3"/>
    </row>
    <row r="2633" spans="1:15" ht="13.8">
      <c r="A2633" s="1"/>
      <c r="B2633" s="1"/>
      <c r="C2633" s="1"/>
      <c r="D2633" s="1"/>
      <c r="E2633" s="1"/>
      <c r="F2633" s="1"/>
      <c r="G2633" s="1"/>
      <c r="H2633" s="1"/>
      <c r="I2633" s="1"/>
      <c r="J2633" s="1"/>
      <c r="K2633" s="1"/>
      <c r="L2633" s="1"/>
      <c r="M2633" s="1"/>
      <c r="N2633" s="1"/>
      <c r="O2633" s="3"/>
    </row>
    <row r="2634" spans="1:15" ht="13.8">
      <c r="A2634" s="1"/>
      <c r="B2634" s="1"/>
      <c r="C2634" s="1"/>
      <c r="D2634" s="1"/>
      <c r="E2634" s="1"/>
      <c r="F2634" s="1"/>
      <c r="G2634" s="1"/>
      <c r="H2634" s="1"/>
      <c r="I2634" s="1"/>
      <c r="J2634" s="1"/>
      <c r="K2634" s="1"/>
      <c r="L2634" s="1"/>
      <c r="M2634" s="1"/>
      <c r="N2634" s="1"/>
      <c r="O2634" s="3"/>
    </row>
    <row r="2635" spans="1:15" ht="13.8">
      <c r="A2635" s="1"/>
      <c r="B2635" s="1"/>
      <c r="C2635" s="1"/>
      <c r="D2635" s="1"/>
      <c r="E2635" s="1"/>
      <c r="F2635" s="1"/>
      <c r="G2635" s="1"/>
      <c r="H2635" s="1"/>
      <c r="I2635" s="1"/>
      <c r="J2635" s="1"/>
      <c r="K2635" s="1"/>
      <c r="L2635" s="1"/>
      <c r="M2635" s="1"/>
      <c r="N2635" s="1"/>
      <c r="O2635" s="3"/>
    </row>
    <row r="2636" spans="1:15" ht="13.8">
      <c r="A2636" s="1"/>
      <c r="B2636" s="1"/>
      <c r="C2636" s="1"/>
      <c r="D2636" s="1"/>
      <c r="E2636" s="1"/>
      <c r="F2636" s="1"/>
      <c r="G2636" s="1"/>
      <c r="H2636" s="1"/>
      <c r="I2636" s="1"/>
      <c r="J2636" s="1"/>
      <c r="K2636" s="1"/>
      <c r="L2636" s="1"/>
      <c r="M2636" s="1"/>
      <c r="N2636" s="1"/>
      <c r="O2636" s="3"/>
    </row>
    <row r="2637" spans="1:15" ht="13.8">
      <c r="A2637" s="1"/>
      <c r="B2637" s="1"/>
      <c r="C2637" s="1"/>
      <c r="D2637" s="1"/>
      <c r="E2637" s="1"/>
      <c r="F2637" s="1"/>
      <c r="G2637" s="1"/>
      <c r="H2637" s="1"/>
      <c r="I2637" s="1"/>
      <c r="J2637" s="1"/>
      <c r="K2637" s="1"/>
      <c r="L2637" s="1"/>
      <c r="M2637" s="1"/>
      <c r="N2637" s="1"/>
      <c r="O2637" s="3"/>
    </row>
    <row r="2638" spans="1:15" ht="13.8">
      <c r="A2638" s="1"/>
      <c r="B2638" s="1"/>
      <c r="C2638" s="1"/>
      <c r="D2638" s="1"/>
      <c r="E2638" s="1"/>
      <c r="F2638" s="1"/>
      <c r="G2638" s="1"/>
      <c r="H2638" s="1"/>
      <c r="I2638" s="1"/>
      <c r="J2638" s="1"/>
      <c r="K2638" s="1"/>
      <c r="L2638" s="1"/>
      <c r="M2638" s="1"/>
      <c r="N2638" s="1"/>
      <c r="O2638" s="3"/>
    </row>
    <row r="2639" spans="1:15" ht="13.8">
      <c r="A2639" s="1"/>
      <c r="B2639" s="1"/>
      <c r="C2639" s="1"/>
      <c r="D2639" s="1"/>
      <c r="E2639" s="1"/>
      <c r="F2639" s="1"/>
      <c r="G2639" s="1"/>
      <c r="H2639" s="1"/>
      <c r="I2639" s="1"/>
      <c r="J2639" s="1"/>
      <c r="K2639" s="1"/>
      <c r="L2639" s="1"/>
      <c r="M2639" s="1"/>
      <c r="N2639" s="1"/>
      <c r="O2639" s="3"/>
    </row>
    <row r="2640" spans="1:15" ht="13.8">
      <c r="A2640" s="1"/>
      <c r="B2640" s="1"/>
      <c r="C2640" s="1"/>
      <c r="D2640" s="1"/>
      <c r="E2640" s="1"/>
      <c r="F2640" s="1"/>
      <c r="G2640" s="1"/>
      <c r="H2640" s="1"/>
      <c r="I2640" s="1"/>
      <c r="J2640" s="1"/>
      <c r="K2640" s="1"/>
      <c r="L2640" s="1"/>
      <c r="M2640" s="1"/>
      <c r="N2640" s="1"/>
      <c r="O2640" s="3"/>
    </row>
    <row r="2641" spans="1:15" ht="13.8">
      <c r="A2641" s="1"/>
      <c r="B2641" s="1"/>
      <c r="C2641" s="1"/>
      <c r="D2641" s="1"/>
      <c r="E2641" s="1"/>
      <c r="F2641" s="1"/>
      <c r="G2641" s="1"/>
      <c r="H2641" s="1"/>
      <c r="I2641" s="1"/>
      <c r="J2641" s="1"/>
      <c r="K2641" s="1"/>
      <c r="L2641" s="1"/>
      <c r="M2641" s="1"/>
      <c r="N2641" s="1"/>
      <c r="O2641" s="3"/>
    </row>
    <row r="2642" spans="1:15" ht="13.8">
      <c r="A2642" s="1"/>
      <c r="B2642" s="1"/>
      <c r="C2642" s="1"/>
      <c r="D2642" s="1"/>
      <c r="E2642" s="1"/>
      <c r="F2642" s="1"/>
      <c r="G2642" s="1"/>
      <c r="H2642" s="1"/>
      <c r="I2642" s="1"/>
      <c r="J2642" s="1"/>
      <c r="K2642" s="1"/>
      <c r="L2642" s="1"/>
      <c r="M2642" s="1"/>
      <c r="N2642" s="1"/>
      <c r="O2642" s="3"/>
    </row>
    <row r="2643" spans="1:15" ht="13.8">
      <c r="A2643" s="1"/>
      <c r="B2643" s="1"/>
      <c r="C2643" s="1"/>
      <c r="D2643" s="1"/>
      <c r="E2643" s="1"/>
      <c r="F2643" s="1"/>
      <c r="G2643" s="1"/>
      <c r="H2643" s="1"/>
      <c r="I2643" s="1"/>
      <c r="J2643" s="1"/>
      <c r="K2643" s="1"/>
      <c r="L2643" s="1"/>
      <c r="M2643" s="1"/>
      <c r="N2643" s="1"/>
      <c r="O2643" s="3"/>
    </row>
    <row r="2644" spans="1:15" ht="13.8">
      <c r="A2644" s="1"/>
      <c r="B2644" s="1"/>
      <c r="C2644" s="1"/>
      <c r="D2644" s="1"/>
      <c r="E2644" s="1"/>
      <c r="F2644" s="1"/>
      <c r="G2644" s="1"/>
      <c r="H2644" s="1"/>
      <c r="I2644" s="1"/>
      <c r="J2644" s="1"/>
      <c r="K2644" s="1"/>
      <c r="L2644" s="1"/>
      <c r="M2644" s="1"/>
      <c r="N2644" s="1"/>
      <c r="O2644" s="3"/>
    </row>
    <row r="2645" spans="1:15" ht="13.8">
      <c r="A2645" s="1"/>
      <c r="B2645" s="1"/>
      <c r="C2645" s="1"/>
      <c r="D2645" s="1"/>
      <c r="E2645" s="1"/>
      <c r="F2645" s="1"/>
      <c r="G2645" s="1"/>
      <c r="H2645" s="1"/>
      <c r="I2645" s="1"/>
      <c r="J2645" s="1"/>
      <c r="K2645" s="1"/>
      <c r="L2645" s="1"/>
      <c r="M2645" s="1"/>
      <c r="N2645" s="1"/>
      <c r="O2645" s="3"/>
    </row>
    <row r="2646" spans="1:15" ht="13.8">
      <c r="A2646" s="1"/>
      <c r="B2646" s="1"/>
      <c r="C2646" s="1"/>
      <c r="D2646" s="1"/>
      <c r="E2646" s="1"/>
      <c r="F2646" s="1"/>
      <c r="G2646" s="1"/>
      <c r="H2646" s="1"/>
      <c r="I2646" s="1"/>
      <c r="J2646" s="1"/>
      <c r="K2646" s="1"/>
      <c r="L2646" s="1"/>
      <c r="M2646" s="1"/>
      <c r="N2646" s="1"/>
      <c r="O2646" s="3"/>
    </row>
    <row r="2647" spans="1:15" ht="13.8">
      <c r="A2647" s="1"/>
      <c r="B2647" s="1"/>
      <c r="C2647" s="1"/>
      <c r="D2647" s="1"/>
      <c r="E2647" s="1"/>
      <c r="F2647" s="1"/>
      <c r="G2647" s="1"/>
      <c r="H2647" s="1"/>
      <c r="I2647" s="1"/>
      <c r="J2647" s="1"/>
      <c r="K2647" s="1"/>
      <c r="L2647" s="1"/>
      <c r="M2647" s="1"/>
      <c r="N2647" s="1"/>
      <c r="O2647" s="3"/>
    </row>
    <row r="2648" spans="1:15" ht="13.8">
      <c r="A2648" s="1"/>
      <c r="B2648" s="1"/>
      <c r="C2648" s="1"/>
      <c r="D2648" s="1"/>
      <c r="E2648" s="1"/>
      <c r="F2648" s="1"/>
      <c r="G2648" s="1"/>
      <c r="H2648" s="1"/>
      <c r="I2648" s="1"/>
      <c r="J2648" s="1"/>
      <c r="K2648" s="1"/>
      <c r="L2648" s="1"/>
      <c r="M2648" s="1"/>
      <c r="N2648" s="1"/>
      <c r="O2648" s="3"/>
    </row>
    <row r="2649" spans="1:15" ht="13.8">
      <c r="A2649" s="1"/>
      <c r="B2649" s="1"/>
      <c r="C2649" s="1"/>
      <c r="D2649" s="1"/>
      <c r="E2649" s="1"/>
      <c r="F2649" s="1"/>
      <c r="G2649" s="1"/>
      <c r="H2649" s="1"/>
      <c r="I2649" s="1"/>
      <c r="J2649" s="1"/>
      <c r="K2649" s="1"/>
      <c r="L2649" s="1"/>
      <c r="M2649" s="1"/>
      <c r="N2649" s="1"/>
      <c r="O2649" s="3"/>
    </row>
    <row r="2650" spans="1:15" ht="13.8">
      <c r="A2650" s="1"/>
      <c r="B2650" s="1"/>
      <c r="C2650" s="1"/>
      <c r="D2650" s="1"/>
      <c r="E2650" s="1"/>
      <c r="F2650" s="1"/>
      <c r="G2650" s="1"/>
      <c r="H2650" s="1"/>
      <c r="I2650" s="1"/>
      <c r="J2650" s="1"/>
      <c r="K2650" s="1"/>
      <c r="L2650" s="1"/>
      <c r="M2650" s="1"/>
      <c r="N2650" s="1"/>
      <c r="O2650" s="3"/>
    </row>
    <row r="2651" spans="1:15" ht="13.8">
      <c r="A2651" s="1"/>
      <c r="B2651" s="1"/>
      <c r="C2651" s="1"/>
      <c r="D2651" s="1"/>
      <c r="E2651" s="1"/>
      <c r="F2651" s="1"/>
      <c r="G2651" s="1"/>
      <c r="H2651" s="1"/>
      <c r="I2651" s="1"/>
      <c r="J2651" s="1"/>
      <c r="K2651" s="1"/>
      <c r="L2651" s="1"/>
      <c r="M2651" s="1"/>
      <c r="N2651" s="1"/>
      <c r="O2651" s="3"/>
    </row>
    <row r="2652" spans="1:15" ht="13.8">
      <c r="A2652" s="1"/>
      <c r="B2652" s="1"/>
      <c r="C2652" s="1"/>
      <c r="D2652" s="1"/>
      <c r="E2652" s="1"/>
      <c r="F2652" s="1"/>
      <c r="G2652" s="1"/>
      <c r="H2652" s="1"/>
      <c r="I2652" s="1"/>
      <c r="J2652" s="1"/>
      <c r="K2652" s="1"/>
      <c r="L2652" s="1"/>
      <c r="M2652" s="1"/>
      <c r="N2652" s="1"/>
      <c r="O2652" s="3"/>
    </row>
    <row r="2653" spans="1:15" ht="13.8">
      <c r="A2653" s="1"/>
      <c r="B2653" s="1"/>
      <c r="C2653" s="1"/>
      <c r="D2653" s="1"/>
      <c r="E2653" s="1"/>
      <c r="F2653" s="1"/>
      <c r="G2653" s="1"/>
      <c r="H2653" s="1"/>
      <c r="I2653" s="1"/>
      <c r="J2653" s="1"/>
      <c r="K2653" s="1"/>
      <c r="L2653" s="1"/>
      <c r="M2653" s="1"/>
      <c r="N2653" s="1"/>
      <c r="O2653" s="3"/>
    </row>
    <row r="2654" spans="1:15" ht="13.8">
      <c r="A2654" s="1"/>
      <c r="B2654" s="1"/>
      <c r="C2654" s="1"/>
      <c r="D2654" s="1"/>
      <c r="E2654" s="1"/>
      <c r="F2654" s="1"/>
      <c r="G2654" s="1"/>
      <c r="H2654" s="1"/>
      <c r="I2654" s="1"/>
      <c r="J2654" s="1"/>
      <c r="K2654" s="1"/>
      <c r="L2654" s="1"/>
      <c r="M2654" s="1"/>
      <c r="N2654" s="1"/>
      <c r="O2654" s="3"/>
    </row>
    <row r="2655" spans="1:15" ht="13.8">
      <c r="A2655" s="1"/>
      <c r="B2655" s="1"/>
      <c r="C2655" s="1"/>
      <c r="D2655" s="1"/>
      <c r="E2655" s="1"/>
      <c r="F2655" s="1"/>
      <c r="G2655" s="1"/>
      <c r="H2655" s="1"/>
      <c r="I2655" s="1"/>
      <c r="J2655" s="1"/>
      <c r="K2655" s="1"/>
      <c r="L2655" s="1"/>
      <c r="M2655" s="1"/>
      <c r="N2655" s="1"/>
      <c r="O2655" s="3"/>
    </row>
    <row r="2656" spans="1:15" ht="13.8">
      <c r="A2656" s="1"/>
      <c r="B2656" s="1"/>
      <c r="C2656" s="1"/>
      <c r="D2656" s="1"/>
      <c r="E2656" s="1"/>
      <c r="F2656" s="1"/>
      <c r="G2656" s="1"/>
      <c r="H2656" s="1"/>
      <c r="I2656" s="1"/>
      <c r="J2656" s="1"/>
      <c r="K2656" s="1"/>
      <c r="L2656" s="1"/>
      <c r="M2656" s="1"/>
      <c r="N2656" s="1"/>
      <c r="O2656" s="3"/>
    </row>
    <row r="2657" spans="1:15" ht="13.8">
      <c r="A2657" s="1"/>
      <c r="B2657" s="1"/>
      <c r="C2657" s="1"/>
      <c r="D2657" s="1"/>
      <c r="E2657" s="1"/>
      <c r="F2657" s="1"/>
      <c r="G2657" s="1"/>
      <c r="H2657" s="1"/>
      <c r="I2657" s="1"/>
      <c r="J2657" s="1"/>
      <c r="K2657" s="1"/>
      <c r="L2657" s="1"/>
      <c r="M2657" s="1"/>
      <c r="N2657" s="1"/>
      <c r="O2657" s="3"/>
    </row>
    <row r="2658" spans="1:15" ht="13.8">
      <c r="A2658" s="1"/>
      <c r="B2658" s="1"/>
      <c r="C2658" s="1"/>
      <c r="D2658" s="1"/>
      <c r="E2658" s="1"/>
      <c r="F2658" s="1"/>
      <c r="G2658" s="1"/>
      <c r="H2658" s="1"/>
      <c r="I2658" s="1"/>
      <c r="J2658" s="1"/>
      <c r="K2658" s="1"/>
      <c r="L2658" s="1"/>
      <c r="M2658" s="1"/>
      <c r="N2658" s="1"/>
      <c r="O2658" s="3"/>
    </row>
    <row r="2659" spans="1:15" ht="13.8">
      <c r="A2659" s="1"/>
      <c r="B2659" s="1"/>
      <c r="C2659" s="1"/>
      <c r="D2659" s="1"/>
      <c r="E2659" s="1"/>
      <c r="F2659" s="1"/>
      <c r="G2659" s="1"/>
      <c r="H2659" s="1"/>
      <c r="I2659" s="1"/>
      <c r="J2659" s="1"/>
      <c r="K2659" s="1"/>
      <c r="L2659" s="1"/>
      <c r="M2659" s="1"/>
      <c r="N2659" s="1"/>
      <c r="O2659" s="3"/>
    </row>
    <row r="2660" spans="1:15" ht="13.8">
      <c r="A2660" s="1"/>
      <c r="B2660" s="1"/>
      <c r="C2660" s="1"/>
      <c r="D2660" s="1"/>
      <c r="E2660" s="1"/>
      <c r="F2660" s="1"/>
      <c r="G2660" s="1"/>
      <c r="H2660" s="1"/>
      <c r="I2660" s="1"/>
      <c r="J2660" s="1"/>
      <c r="K2660" s="1"/>
      <c r="L2660" s="1"/>
      <c r="M2660" s="1"/>
      <c r="N2660" s="1"/>
      <c r="O2660" s="3"/>
    </row>
    <row r="2661" spans="1:15" ht="13.8">
      <c r="A2661" s="1"/>
      <c r="B2661" s="1"/>
      <c r="C2661" s="1"/>
      <c r="D2661" s="1"/>
      <c r="E2661" s="1"/>
      <c r="F2661" s="1"/>
      <c r="G2661" s="1"/>
      <c r="H2661" s="1"/>
      <c r="I2661" s="1"/>
      <c r="J2661" s="1"/>
      <c r="K2661" s="1"/>
      <c r="L2661" s="1"/>
      <c r="M2661" s="1"/>
      <c r="N2661" s="1"/>
      <c r="O2661" s="3"/>
    </row>
    <row r="2662" spans="1:15" ht="13.8">
      <c r="A2662" s="1"/>
      <c r="B2662" s="1"/>
      <c r="C2662" s="1"/>
      <c r="D2662" s="1"/>
      <c r="E2662" s="1"/>
      <c r="F2662" s="1"/>
      <c r="G2662" s="1"/>
      <c r="H2662" s="1"/>
      <c r="I2662" s="1"/>
      <c r="J2662" s="1"/>
      <c r="K2662" s="1"/>
      <c r="L2662" s="1"/>
      <c r="M2662" s="1"/>
      <c r="N2662" s="1"/>
      <c r="O2662" s="3"/>
    </row>
    <row r="2663" spans="1:15" ht="13.8">
      <c r="A2663" s="1"/>
      <c r="B2663" s="1"/>
      <c r="C2663" s="1"/>
      <c r="D2663" s="1"/>
      <c r="E2663" s="1"/>
      <c r="F2663" s="1"/>
      <c r="G2663" s="1"/>
      <c r="H2663" s="1"/>
      <c r="I2663" s="1"/>
      <c r="J2663" s="1"/>
      <c r="K2663" s="1"/>
      <c r="L2663" s="1"/>
      <c r="M2663" s="1"/>
      <c r="N2663" s="1"/>
      <c r="O2663" s="3"/>
    </row>
    <row r="2664" spans="1:15" ht="13.8">
      <c r="A2664" s="1"/>
      <c r="B2664" s="1"/>
      <c r="C2664" s="1"/>
      <c r="D2664" s="1"/>
      <c r="E2664" s="1"/>
      <c r="F2664" s="1"/>
      <c r="G2664" s="1"/>
      <c r="H2664" s="1"/>
      <c r="I2664" s="1"/>
      <c r="J2664" s="1"/>
      <c r="K2664" s="1"/>
      <c r="L2664" s="1"/>
      <c r="M2664" s="1"/>
      <c r="N2664" s="1"/>
      <c r="O2664" s="3"/>
    </row>
    <row r="2665" spans="1:15" ht="13.8">
      <c r="A2665" s="1"/>
      <c r="B2665" s="1"/>
      <c r="C2665" s="1"/>
      <c r="D2665" s="1"/>
      <c r="E2665" s="1"/>
      <c r="F2665" s="1"/>
      <c r="G2665" s="1"/>
      <c r="H2665" s="1"/>
      <c r="I2665" s="1"/>
      <c r="J2665" s="1"/>
      <c r="K2665" s="1"/>
      <c r="L2665" s="1"/>
      <c r="M2665" s="1"/>
      <c r="N2665" s="1"/>
      <c r="O2665" s="3"/>
    </row>
    <row r="2666" spans="1:15" ht="13.8">
      <c r="A2666" s="1"/>
      <c r="B2666" s="1"/>
      <c r="C2666" s="1"/>
      <c r="D2666" s="1"/>
      <c r="E2666" s="1"/>
      <c r="F2666" s="1"/>
      <c r="G2666" s="1"/>
      <c r="H2666" s="1"/>
      <c r="I2666" s="1"/>
      <c r="J2666" s="1"/>
      <c r="K2666" s="1"/>
      <c r="L2666" s="1"/>
      <c r="M2666" s="1"/>
      <c r="N2666" s="1"/>
      <c r="O2666" s="3"/>
    </row>
    <row r="2667" spans="1:15" ht="13.8">
      <c r="A2667" s="1"/>
      <c r="B2667" s="1"/>
      <c r="C2667" s="1"/>
      <c r="D2667" s="1"/>
      <c r="E2667" s="1"/>
      <c r="F2667" s="1"/>
      <c r="G2667" s="1"/>
      <c r="H2667" s="1"/>
      <c r="I2667" s="1"/>
      <c r="J2667" s="1"/>
      <c r="K2667" s="1"/>
      <c r="L2667" s="1"/>
      <c r="M2667" s="1"/>
      <c r="N2667" s="1"/>
      <c r="O2667" s="3"/>
    </row>
    <row r="2668" spans="1:15" ht="13.8">
      <c r="A2668" s="1"/>
      <c r="B2668" s="1"/>
      <c r="C2668" s="1"/>
      <c r="D2668" s="1"/>
      <c r="E2668" s="1"/>
      <c r="F2668" s="1"/>
      <c r="G2668" s="1"/>
      <c r="H2668" s="1"/>
      <c r="I2668" s="1"/>
      <c r="J2668" s="1"/>
      <c r="K2668" s="1"/>
      <c r="L2668" s="1"/>
      <c r="M2668" s="1"/>
      <c r="N2668" s="1"/>
      <c r="O2668" s="3"/>
    </row>
    <row r="2669" spans="1:15" ht="13.8">
      <c r="A2669" s="1"/>
      <c r="B2669" s="1"/>
      <c r="C2669" s="1"/>
      <c r="D2669" s="1"/>
      <c r="E2669" s="1"/>
      <c r="F2669" s="1"/>
      <c r="G2669" s="1"/>
      <c r="H2669" s="1"/>
      <c r="I2669" s="1"/>
      <c r="J2669" s="1"/>
      <c r="K2669" s="1"/>
      <c r="L2669" s="1"/>
      <c r="M2669" s="1"/>
      <c r="N2669" s="1"/>
      <c r="O2669" s="3"/>
    </row>
    <row r="2670" spans="1:15" ht="13.8">
      <c r="A2670" s="1"/>
      <c r="B2670" s="1"/>
      <c r="C2670" s="1"/>
      <c r="D2670" s="1"/>
      <c r="E2670" s="1"/>
      <c r="F2670" s="1"/>
      <c r="G2670" s="1"/>
      <c r="H2670" s="1"/>
      <c r="I2670" s="1"/>
      <c r="J2670" s="1"/>
      <c r="K2670" s="1"/>
      <c r="L2670" s="1"/>
      <c r="M2670" s="1"/>
      <c r="N2670" s="1"/>
      <c r="O2670" s="3"/>
    </row>
    <row r="2671" spans="1:15" ht="13.8">
      <c r="A2671" s="1"/>
      <c r="B2671" s="1"/>
      <c r="C2671" s="1"/>
      <c r="D2671" s="1"/>
      <c r="E2671" s="1"/>
      <c r="F2671" s="1"/>
      <c r="G2671" s="1"/>
      <c r="H2671" s="1"/>
      <c r="I2671" s="1"/>
      <c r="J2671" s="1"/>
      <c r="K2671" s="1"/>
      <c r="L2671" s="1"/>
      <c r="M2671" s="1"/>
      <c r="N2671" s="1"/>
      <c r="O2671" s="3"/>
    </row>
    <row r="2672" spans="1:15" ht="13.8">
      <c r="A2672" s="1"/>
      <c r="B2672" s="1"/>
      <c r="C2672" s="1"/>
      <c r="D2672" s="1"/>
      <c r="E2672" s="1"/>
      <c r="F2672" s="1"/>
      <c r="G2672" s="1"/>
      <c r="H2672" s="1"/>
      <c r="I2672" s="1"/>
      <c r="J2672" s="1"/>
      <c r="K2672" s="1"/>
      <c r="L2672" s="1"/>
      <c r="M2672" s="1"/>
      <c r="N2672" s="1"/>
      <c r="O2672" s="3"/>
    </row>
    <row r="2673" spans="1:15" ht="13.8">
      <c r="A2673" s="1"/>
      <c r="B2673" s="1"/>
      <c r="C2673" s="1"/>
      <c r="D2673" s="1"/>
      <c r="E2673" s="1"/>
      <c r="F2673" s="1"/>
      <c r="G2673" s="1"/>
      <c r="H2673" s="1"/>
      <c r="I2673" s="1"/>
      <c r="J2673" s="1"/>
      <c r="K2673" s="1"/>
      <c r="L2673" s="1"/>
      <c r="M2673" s="1"/>
      <c r="N2673" s="1"/>
      <c r="O2673" s="3"/>
    </row>
    <row r="2674" spans="1:15" ht="13.8">
      <c r="A2674" s="1"/>
      <c r="B2674" s="1"/>
      <c r="C2674" s="1"/>
      <c r="D2674" s="1"/>
      <c r="E2674" s="1"/>
      <c r="F2674" s="1"/>
      <c r="G2674" s="1"/>
      <c r="H2674" s="1"/>
      <c r="I2674" s="1"/>
      <c r="J2674" s="1"/>
      <c r="K2674" s="1"/>
      <c r="L2674" s="1"/>
      <c r="M2674" s="1"/>
      <c r="N2674" s="1"/>
      <c r="O2674" s="3"/>
    </row>
    <row r="2675" spans="1:15" ht="13.8">
      <c r="A2675" s="1"/>
      <c r="B2675" s="1"/>
      <c r="C2675" s="1"/>
      <c r="D2675" s="1"/>
      <c r="E2675" s="1"/>
      <c r="F2675" s="1"/>
      <c r="G2675" s="1"/>
      <c r="H2675" s="1"/>
      <c r="I2675" s="1"/>
      <c r="J2675" s="1"/>
      <c r="K2675" s="1"/>
      <c r="L2675" s="1"/>
      <c r="M2675" s="1"/>
      <c r="N2675" s="1"/>
      <c r="O2675" s="3"/>
    </row>
    <row r="2676" spans="1:15" ht="13.8">
      <c r="A2676" s="1"/>
      <c r="B2676" s="1"/>
      <c r="C2676" s="1"/>
      <c r="D2676" s="1"/>
      <c r="E2676" s="1"/>
      <c r="F2676" s="1"/>
      <c r="G2676" s="1"/>
      <c r="H2676" s="1"/>
      <c r="I2676" s="1"/>
      <c r="J2676" s="1"/>
      <c r="K2676" s="1"/>
      <c r="L2676" s="1"/>
      <c r="M2676" s="1"/>
      <c r="N2676" s="1"/>
      <c r="O2676" s="3"/>
    </row>
    <row r="2677" spans="1:15" ht="13.8">
      <c r="A2677" s="1"/>
      <c r="B2677" s="1"/>
      <c r="C2677" s="1"/>
      <c r="D2677" s="1"/>
      <c r="E2677" s="1"/>
      <c r="F2677" s="1"/>
      <c r="G2677" s="1"/>
      <c r="H2677" s="1"/>
      <c r="I2677" s="1"/>
      <c r="J2677" s="1"/>
      <c r="K2677" s="1"/>
      <c r="L2677" s="1"/>
      <c r="M2677" s="1"/>
      <c r="N2677" s="1"/>
      <c r="O2677" s="3"/>
    </row>
    <row r="2678" spans="1:15" ht="13.8">
      <c r="A2678" s="1"/>
      <c r="B2678" s="1"/>
      <c r="C2678" s="1"/>
      <c r="D2678" s="1"/>
      <c r="E2678" s="1"/>
      <c r="F2678" s="1"/>
      <c r="G2678" s="1"/>
      <c r="H2678" s="1"/>
      <c r="I2678" s="1"/>
      <c r="J2678" s="1"/>
      <c r="K2678" s="1"/>
      <c r="L2678" s="1"/>
      <c r="M2678" s="1"/>
      <c r="N2678" s="1"/>
      <c r="O2678" s="3"/>
    </row>
    <row r="2679" spans="1:15" ht="13.8">
      <c r="A2679" s="1"/>
      <c r="B2679" s="1"/>
      <c r="C2679" s="1"/>
      <c r="D2679" s="1"/>
      <c r="E2679" s="1"/>
      <c r="F2679" s="1"/>
      <c r="G2679" s="1"/>
      <c r="H2679" s="1"/>
      <c r="I2679" s="1"/>
      <c r="J2679" s="1"/>
      <c r="K2679" s="1"/>
      <c r="L2679" s="1"/>
      <c r="M2679" s="1"/>
      <c r="N2679" s="1"/>
      <c r="O2679" s="3"/>
    </row>
    <row r="2680" spans="1:15" ht="13.8">
      <c r="A2680" s="1"/>
      <c r="B2680" s="1"/>
      <c r="C2680" s="1"/>
      <c r="D2680" s="1"/>
      <c r="E2680" s="1"/>
      <c r="F2680" s="1"/>
      <c r="G2680" s="1"/>
      <c r="H2680" s="1"/>
      <c r="I2680" s="1"/>
      <c r="J2680" s="1"/>
      <c r="K2680" s="1"/>
      <c r="L2680" s="1"/>
      <c r="M2680" s="1"/>
      <c r="N2680" s="1"/>
      <c r="O2680" s="3"/>
    </row>
    <row r="2681" spans="1:15" ht="13.8">
      <c r="A2681" s="1"/>
      <c r="B2681" s="1"/>
      <c r="C2681" s="1"/>
      <c r="D2681" s="1"/>
      <c r="E2681" s="1"/>
      <c r="F2681" s="1"/>
      <c r="G2681" s="1"/>
      <c r="H2681" s="1"/>
      <c r="I2681" s="1"/>
      <c r="J2681" s="1"/>
      <c r="K2681" s="1"/>
      <c r="L2681" s="1"/>
      <c r="M2681" s="1"/>
      <c r="N2681" s="1"/>
      <c r="O2681" s="3"/>
    </row>
    <row r="2682" spans="1:15" ht="13.8">
      <c r="A2682" s="1"/>
      <c r="B2682" s="1"/>
      <c r="C2682" s="1"/>
      <c r="D2682" s="1"/>
      <c r="E2682" s="1"/>
      <c r="F2682" s="1"/>
      <c r="G2682" s="1"/>
      <c r="H2682" s="1"/>
      <c r="I2682" s="1"/>
      <c r="J2682" s="1"/>
      <c r="K2682" s="1"/>
      <c r="L2682" s="1"/>
      <c r="M2682" s="1"/>
      <c r="N2682" s="1"/>
      <c r="O2682" s="3"/>
    </row>
    <row r="2683" spans="1:15" ht="13.8">
      <c r="A2683" s="1"/>
      <c r="B2683" s="1"/>
      <c r="C2683" s="1"/>
      <c r="D2683" s="1"/>
      <c r="E2683" s="1"/>
      <c r="F2683" s="1"/>
      <c r="G2683" s="1"/>
      <c r="H2683" s="1"/>
      <c r="I2683" s="1"/>
      <c r="J2683" s="1"/>
      <c r="K2683" s="1"/>
      <c r="L2683" s="1"/>
      <c r="M2683" s="1"/>
      <c r="N2683" s="1"/>
      <c r="O2683" s="3"/>
    </row>
    <row r="2684" spans="1:15" ht="13.8">
      <c r="A2684" s="1"/>
      <c r="B2684" s="1"/>
      <c r="C2684" s="1"/>
      <c r="D2684" s="1"/>
      <c r="E2684" s="1"/>
      <c r="F2684" s="1"/>
      <c r="G2684" s="1"/>
      <c r="H2684" s="1"/>
      <c r="I2684" s="1"/>
      <c r="J2684" s="1"/>
      <c r="K2684" s="1"/>
      <c r="L2684" s="1"/>
      <c r="M2684" s="1"/>
      <c r="N2684" s="1"/>
      <c r="O2684" s="3"/>
    </row>
    <row r="2685" spans="1:15" ht="13.8">
      <c r="A2685" s="1"/>
      <c r="B2685" s="1"/>
      <c r="C2685" s="1"/>
      <c r="D2685" s="1"/>
      <c r="E2685" s="1"/>
      <c r="F2685" s="1"/>
      <c r="G2685" s="1"/>
      <c r="H2685" s="1"/>
      <c r="I2685" s="1"/>
      <c r="J2685" s="1"/>
      <c r="K2685" s="1"/>
      <c r="L2685" s="1"/>
      <c r="M2685" s="1"/>
      <c r="N2685" s="1"/>
      <c r="O2685" s="3"/>
    </row>
    <row r="2686" spans="1:15" ht="13.8">
      <c r="A2686" s="1"/>
      <c r="B2686" s="1"/>
      <c r="C2686" s="1"/>
      <c r="D2686" s="1"/>
      <c r="E2686" s="1"/>
      <c r="F2686" s="1"/>
      <c r="G2686" s="1"/>
      <c r="H2686" s="1"/>
      <c r="I2686" s="1"/>
      <c r="J2686" s="1"/>
      <c r="K2686" s="1"/>
      <c r="L2686" s="1"/>
      <c r="M2686" s="1"/>
      <c r="N2686" s="1"/>
      <c r="O2686" s="3"/>
    </row>
    <row r="2687" spans="1:15" ht="13.8">
      <c r="A2687" s="1"/>
      <c r="B2687" s="1"/>
      <c r="C2687" s="1"/>
      <c r="D2687" s="1"/>
      <c r="E2687" s="1"/>
      <c r="F2687" s="1"/>
      <c r="G2687" s="1"/>
      <c r="H2687" s="1"/>
      <c r="I2687" s="1"/>
      <c r="J2687" s="1"/>
      <c r="K2687" s="1"/>
      <c r="L2687" s="1"/>
      <c r="M2687" s="1"/>
      <c r="N2687" s="1"/>
      <c r="O2687" s="3"/>
    </row>
    <row r="2688" spans="1:15" ht="13.8">
      <c r="A2688" s="1"/>
      <c r="B2688" s="1"/>
      <c r="C2688" s="1"/>
      <c r="D2688" s="1"/>
      <c r="E2688" s="1"/>
      <c r="F2688" s="1"/>
      <c r="G2688" s="1"/>
      <c r="H2688" s="1"/>
      <c r="I2688" s="1"/>
      <c r="J2688" s="1"/>
      <c r="K2688" s="1"/>
      <c r="L2688" s="1"/>
      <c r="M2688" s="1"/>
      <c r="N2688" s="1"/>
      <c r="O2688" s="3"/>
    </row>
    <row r="2689" spans="1:15" ht="13.8">
      <c r="A2689" s="1"/>
      <c r="B2689" s="1"/>
      <c r="C2689" s="1"/>
      <c r="D2689" s="1"/>
      <c r="E2689" s="1"/>
      <c r="F2689" s="1"/>
      <c r="G2689" s="1"/>
      <c r="H2689" s="1"/>
      <c r="I2689" s="1"/>
      <c r="J2689" s="1"/>
      <c r="K2689" s="1"/>
      <c r="L2689" s="1"/>
      <c r="M2689" s="1"/>
      <c r="N2689" s="1"/>
      <c r="O2689" s="3"/>
    </row>
    <row r="2690" spans="1:15" ht="13.8">
      <c r="A2690" s="1"/>
      <c r="B2690" s="1"/>
      <c r="C2690" s="1"/>
      <c r="D2690" s="1"/>
      <c r="E2690" s="1"/>
      <c r="F2690" s="1"/>
      <c r="G2690" s="1"/>
      <c r="H2690" s="1"/>
      <c r="I2690" s="1"/>
      <c r="J2690" s="1"/>
      <c r="K2690" s="1"/>
      <c r="L2690" s="1"/>
      <c r="M2690" s="1"/>
      <c r="N2690" s="1"/>
      <c r="O2690" s="3"/>
    </row>
    <row r="2691" spans="1:15" ht="13.8">
      <c r="A2691" s="1"/>
      <c r="B2691" s="1"/>
      <c r="C2691" s="1"/>
      <c r="D2691" s="1"/>
      <c r="E2691" s="1"/>
      <c r="F2691" s="1"/>
      <c r="G2691" s="1"/>
      <c r="H2691" s="1"/>
      <c r="I2691" s="1"/>
      <c r="J2691" s="1"/>
      <c r="K2691" s="1"/>
      <c r="L2691" s="1"/>
      <c r="M2691" s="1"/>
      <c r="N2691" s="1"/>
      <c r="O2691" s="3"/>
    </row>
    <row r="2692" spans="1:15" ht="13.8">
      <c r="A2692" s="1"/>
      <c r="B2692" s="1"/>
      <c r="C2692" s="1"/>
      <c r="D2692" s="1"/>
      <c r="E2692" s="1"/>
      <c r="F2692" s="1"/>
      <c r="G2692" s="1"/>
      <c r="H2692" s="1"/>
      <c r="I2692" s="1"/>
      <c r="J2692" s="1"/>
      <c r="K2692" s="1"/>
      <c r="L2692" s="1"/>
      <c r="M2692" s="1"/>
      <c r="N2692" s="1"/>
      <c r="O2692" s="3"/>
    </row>
    <row r="2693" spans="1:15" ht="13.8">
      <c r="A2693" s="1"/>
      <c r="B2693" s="1"/>
      <c r="C2693" s="1"/>
      <c r="D2693" s="1"/>
      <c r="E2693" s="1"/>
      <c r="F2693" s="1"/>
      <c r="G2693" s="1"/>
      <c r="H2693" s="1"/>
      <c r="I2693" s="1"/>
      <c r="J2693" s="1"/>
      <c r="K2693" s="1"/>
      <c r="L2693" s="1"/>
      <c r="M2693" s="1"/>
      <c r="N2693" s="1"/>
      <c r="O2693" s="3"/>
    </row>
    <row r="2694" spans="1:15" ht="13.8">
      <c r="A2694" s="1"/>
      <c r="B2694" s="1"/>
      <c r="C2694" s="1"/>
      <c r="D2694" s="1"/>
      <c r="E2694" s="1"/>
      <c r="F2694" s="1"/>
      <c r="G2694" s="1"/>
      <c r="H2694" s="1"/>
      <c r="I2694" s="1"/>
      <c r="J2694" s="1"/>
      <c r="K2694" s="1"/>
      <c r="L2694" s="1"/>
      <c r="M2694" s="1"/>
      <c r="N2694" s="1"/>
      <c r="O2694" s="3"/>
    </row>
    <row r="2695" spans="1:15" ht="13.8">
      <c r="A2695" s="1"/>
      <c r="B2695" s="1"/>
      <c r="C2695" s="1"/>
      <c r="D2695" s="1"/>
      <c r="E2695" s="1"/>
      <c r="F2695" s="1"/>
      <c r="G2695" s="1"/>
      <c r="H2695" s="1"/>
      <c r="I2695" s="1"/>
      <c r="J2695" s="1"/>
      <c r="K2695" s="1"/>
      <c r="L2695" s="1"/>
      <c r="M2695" s="1"/>
      <c r="N2695" s="1"/>
      <c r="O2695" s="3"/>
    </row>
    <row r="2696" spans="1:15" ht="13.8">
      <c r="A2696" s="1"/>
      <c r="B2696" s="1"/>
      <c r="C2696" s="1"/>
      <c r="D2696" s="1"/>
      <c r="E2696" s="1"/>
      <c r="F2696" s="1"/>
      <c r="G2696" s="1"/>
      <c r="H2696" s="1"/>
      <c r="I2696" s="1"/>
      <c r="J2696" s="1"/>
      <c r="K2696" s="1"/>
      <c r="L2696" s="1"/>
      <c r="M2696" s="1"/>
      <c r="N2696" s="1"/>
      <c r="O2696" s="3"/>
    </row>
    <row r="2697" spans="1:15" ht="13.8">
      <c r="A2697" s="1"/>
      <c r="B2697" s="1"/>
      <c r="C2697" s="1"/>
      <c r="D2697" s="1"/>
      <c r="E2697" s="1"/>
      <c r="F2697" s="1"/>
      <c r="G2697" s="1"/>
      <c r="H2697" s="1"/>
      <c r="I2697" s="1"/>
      <c r="J2697" s="1"/>
      <c r="K2697" s="1"/>
      <c r="L2697" s="1"/>
      <c r="M2697" s="1"/>
      <c r="N2697" s="1"/>
      <c r="O2697" s="3"/>
    </row>
    <row r="2698" spans="1:15" ht="13.8">
      <c r="A2698" s="1"/>
      <c r="B2698" s="1"/>
      <c r="C2698" s="1"/>
      <c r="D2698" s="1"/>
      <c r="E2698" s="1"/>
      <c r="F2698" s="1"/>
      <c r="G2698" s="1"/>
      <c r="H2698" s="1"/>
      <c r="I2698" s="1"/>
      <c r="J2698" s="1"/>
      <c r="K2698" s="1"/>
      <c r="L2698" s="1"/>
      <c r="M2698" s="1"/>
      <c r="N2698" s="1"/>
      <c r="O2698" s="3"/>
    </row>
    <row r="2699" spans="1:15" ht="13.8">
      <c r="A2699" s="1"/>
      <c r="B2699" s="1"/>
      <c r="C2699" s="1"/>
      <c r="D2699" s="1"/>
      <c r="E2699" s="1"/>
      <c r="F2699" s="1"/>
      <c r="G2699" s="1"/>
      <c r="H2699" s="1"/>
      <c r="I2699" s="1"/>
      <c r="J2699" s="1"/>
      <c r="K2699" s="1"/>
      <c r="L2699" s="1"/>
      <c r="M2699" s="1"/>
      <c r="N2699" s="1"/>
      <c r="O2699" s="3"/>
    </row>
    <row r="2700" spans="1:15" ht="13.8">
      <c r="A2700" s="1"/>
      <c r="B2700" s="1"/>
      <c r="C2700" s="1"/>
      <c r="D2700" s="1"/>
      <c r="E2700" s="1"/>
      <c r="F2700" s="1"/>
      <c r="G2700" s="1"/>
      <c r="H2700" s="1"/>
      <c r="I2700" s="1"/>
      <c r="J2700" s="1"/>
      <c r="K2700" s="1"/>
      <c r="L2700" s="1"/>
      <c r="M2700" s="1"/>
      <c r="N2700" s="1"/>
      <c r="O2700" s="3"/>
    </row>
    <row r="2701" spans="1:15" ht="13.8">
      <c r="A2701" s="1"/>
      <c r="B2701" s="1"/>
      <c r="C2701" s="1"/>
      <c r="D2701" s="1"/>
      <c r="E2701" s="1"/>
      <c r="F2701" s="1"/>
      <c r="G2701" s="1"/>
      <c r="H2701" s="1"/>
      <c r="I2701" s="1"/>
      <c r="J2701" s="1"/>
      <c r="K2701" s="1"/>
      <c r="L2701" s="1"/>
      <c r="M2701" s="1"/>
      <c r="N2701" s="1"/>
      <c r="O2701" s="3"/>
    </row>
    <row r="2702" spans="1:15" ht="13.8">
      <c r="A2702" s="1"/>
      <c r="B2702" s="1"/>
      <c r="C2702" s="1"/>
      <c r="D2702" s="1"/>
      <c r="E2702" s="1"/>
      <c r="F2702" s="1"/>
      <c r="G2702" s="1"/>
      <c r="H2702" s="1"/>
      <c r="I2702" s="1"/>
      <c r="J2702" s="1"/>
      <c r="K2702" s="1"/>
      <c r="L2702" s="1"/>
      <c r="M2702" s="1"/>
      <c r="N2702" s="1"/>
      <c r="O2702" s="3"/>
    </row>
    <row r="2703" spans="1:15" ht="13.8">
      <c r="A2703" s="1"/>
      <c r="B2703" s="1"/>
      <c r="C2703" s="1"/>
      <c r="D2703" s="1"/>
      <c r="E2703" s="1"/>
      <c r="F2703" s="1"/>
      <c r="G2703" s="1"/>
      <c r="H2703" s="1"/>
      <c r="I2703" s="1"/>
      <c r="J2703" s="1"/>
      <c r="K2703" s="1"/>
      <c r="L2703" s="1"/>
      <c r="M2703" s="1"/>
      <c r="N2703" s="1"/>
      <c r="O2703" s="3"/>
    </row>
    <row r="2704" spans="1:15" ht="13.8">
      <c r="A2704" s="1"/>
      <c r="B2704" s="1"/>
      <c r="C2704" s="1"/>
      <c r="D2704" s="1"/>
      <c r="E2704" s="1"/>
      <c r="F2704" s="1"/>
      <c r="G2704" s="1"/>
      <c r="H2704" s="1"/>
      <c r="I2704" s="1"/>
      <c r="J2704" s="1"/>
      <c r="K2704" s="1"/>
      <c r="L2704" s="1"/>
      <c r="M2704" s="1"/>
      <c r="N2704" s="1"/>
      <c r="O2704" s="3"/>
    </row>
    <row r="2705" spans="1:15" ht="13.8">
      <c r="A2705" s="1"/>
      <c r="B2705" s="1"/>
      <c r="C2705" s="1"/>
      <c r="D2705" s="1"/>
      <c r="E2705" s="1"/>
      <c r="F2705" s="1"/>
      <c r="G2705" s="1"/>
      <c r="H2705" s="1"/>
      <c r="I2705" s="1"/>
      <c r="J2705" s="1"/>
      <c r="K2705" s="1"/>
      <c r="L2705" s="1"/>
      <c r="M2705" s="1"/>
      <c r="N2705" s="1"/>
      <c r="O2705" s="3"/>
    </row>
    <row r="2706" spans="1:15" ht="13.8">
      <c r="A2706" s="1"/>
      <c r="B2706" s="1"/>
      <c r="C2706" s="1"/>
      <c r="D2706" s="1"/>
      <c r="E2706" s="1"/>
      <c r="F2706" s="1"/>
      <c r="G2706" s="1"/>
      <c r="H2706" s="1"/>
      <c r="I2706" s="1"/>
      <c r="J2706" s="1"/>
      <c r="K2706" s="1"/>
      <c r="L2706" s="1"/>
      <c r="M2706" s="1"/>
      <c r="N2706" s="1"/>
      <c r="O2706" s="3"/>
    </row>
    <row r="2707" spans="1:15" ht="13.8">
      <c r="A2707" s="1"/>
      <c r="B2707" s="1"/>
      <c r="C2707" s="1"/>
      <c r="D2707" s="1"/>
      <c r="E2707" s="1"/>
      <c r="F2707" s="1"/>
      <c r="G2707" s="1"/>
      <c r="H2707" s="1"/>
      <c r="I2707" s="1"/>
      <c r="J2707" s="1"/>
      <c r="K2707" s="1"/>
      <c r="L2707" s="1"/>
      <c r="M2707" s="1"/>
      <c r="N2707" s="1"/>
      <c r="O2707" s="3"/>
    </row>
    <row r="2708" spans="1:15" ht="13.8">
      <c r="A2708" s="1"/>
      <c r="B2708" s="1"/>
      <c r="C2708" s="1"/>
      <c r="D2708" s="1"/>
      <c r="E2708" s="1"/>
      <c r="F2708" s="1"/>
      <c r="G2708" s="1"/>
      <c r="H2708" s="1"/>
      <c r="I2708" s="1"/>
      <c r="J2708" s="1"/>
      <c r="K2708" s="1"/>
      <c r="L2708" s="1"/>
      <c r="M2708" s="1"/>
      <c r="N2708" s="1"/>
      <c r="O2708" s="3"/>
    </row>
    <row r="2709" spans="1:15" ht="13.8">
      <c r="A2709" s="1"/>
      <c r="B2709" s="1"/>
      <c r="C2709" s="1"/>
      <c r="D2709" s="1"/>
      <c r="E2709" s="1"/>
      <c r="F2709" s="1"/>
      <c r="G2709" s="1"/>
      <c r="H2709" s="1"/>
      <c r="I2709" s="1"/>
      <c r="J2709" s="1"/>
      <c r="K2709" s="1"/>
      <c r="L2709" s="1"/>
      <c r="M2709" s="1"/>
      <c r="N2709" s="1"/>
      <c r="O2709" s="3"/>
    </row>
    <row r="2710" spans="1:15" ht="13.8">
      <c r="A2710" s="1"/>
      <c r="B2710" s="1"/>
      <c r="C2710" s="1"/>
      <c r="D2710" s="1"/>
      <c r="E2710" s="1"/>
      <c r="F2710" s="1"/>
      <c r="G2710" s="1"/>
      <c r="H2710" s="1"/>
      <c r="I2710" s="1"/>
      <c r="J2710" s="1"/>
      <c r="K2710" s="1"/>
      <c r="L2710" s="1"/>
      <c r="M2710" s="1"/>
      <c r="N2710" s="1"/>
      <c r="O2710" s="3"/>
    </row>
    <row r="2711" spans="1:15" ht="13.8">
      <c r="A2711" s="1"/>
      <c r="B2711" s="1"/>
      <c r="C2711" s="1"/>
      <c r="D2711" s="1"/>
      <c r="E2711" s="1"/>
      <c r="F2711" s="1"/>
      <c r="G2711" s="1"/>
      <c r="H2711" s="1"/>
      <c r="I2711" s="1"/>
      <c r="J2711" s="1"/>
      <c r="K2711" s="1"/>
      <c r="L2711" s="1"/>
      <c r="M2711" s="1"/>
      <c r="N2711" s="1"/>
      <c r="O2711" s="3"/>
    </row>
    <row r="2712" spans="1:15" ht="13.8">
      <c r="A2712" s="1"/>
      <c r="B2712" s="1"/>
      <c r="C2712" s="1"/>
      <c r="D2712" s="1"/>
      <c r="E2712" s="1"/>
      <c r="F2712" s="1"/>
      <c r="G2712" s="1"/>
      <c r="H2712" s="1"/>
      <c r="I2712" s="1"/>
      <c r="J2712" s="1"/>
      <c r="K2712" s="1"/>
      <c r="L2712" s="1"/>
      <c r="M2712" s="1"/>
      <c r="N2712" s="1"/>
      <c r="O2712" s="3"/>
    </row>
    <row r="2713" spans="1:15" ht="13.8">
      <c r="A2713" s="1"/>
      <c r="B2713" s="1"/>
      <c r="C2713" s="1"/>
      <c r="D2713" s="1"/>
      <c r="E2713" s="1"/>
      <c r="F2713" s="1"/>
      <c r="G2713" s="1"/>
      <c r="H2713" s="1"/>
      <c r="I2713" s="1"/>
      <c r="J2713" s="1"/>
      <c r="K2713" s="1"/>
      <c r="L2713" s="1"/>
      <c r="M2713" s="1"/>
      <c r="N2713" s="1"/>
      <c r="O2713" s="3"/>
    </row>
    <row r="2714" spans="1:15" ht="13.8">
      <c r="A2714" s="1"/>
      <c r="B2714" s="1"/>
      <c r="C2714" s="1"/>
      <c r="D2714" s="1"/>
      <c r="E2714" s="1"/>
      <c r="F2714" s="1"/>
      <c r="G2714" s="1"/>
      <c r="H2714" s="1"/>
      <c r="I2714" s="1"/>
      <c r="J2714" s="1"/>
      <c r="K2714" s="1"/>
      <c r="L2714" s="1"/>
      <c r="M2714" s="1"/>
      <c r="N2714" s="1"/>
      <c r="O2714" s="3"/>
    </row>
    <row r="2715" spans="1:15" ht="13.8">
      <c r="A2715" s="1"/>
      <c r="B2715" s="1"/>
      <c r="C2715" s="1"/>
      <c r="D2715" s="1"/>
      <c r="E2715" s="1"/>
      <c r="F2715" s="1"/>
      <c r="G2715" s="1"/>
      <c r="H2715" s="1"/>
      <c r="I2715" s="1"/>
      <c r="J2715" s="1"/>
      <c r="K2715" s="1"/>
      <c r="L2715" s="1"/>
      <c r="M2715" s="1"/>
      <c r="N2715" s="1"/>
      <c r="O2715" s="3"/>
    </row>
    <row r="2716" spans="1:15" ht="13.8">
      <c r="A2716" s="1"/>
      <c r="B2716" s="1"/>
      <c r="C2716" s="1"/>
      <c r="D2716" s="1"/>
      <c r="E2716" s="1"/>
      <c r="F2716" s="1"/>
      <c r="G2716" s="1"/>
      <c r="H2716" s="1"/>
      <c r="I2716" s="1"/>
      <c r="J2716" s="1"/>
      <c r="K2716" s="1"/>
      <c r="L2716" s="1"/>
      <c r="M2716" s="1"/>
      <c r="N2716" s="1"/>
      <c r="O2716" s="3"/>
    </row>
    <row r="2717" spans="1:15" ht="13.8">
      <c r="A2717" s="1"/>
      <c r="B2717" s="1"/>
      <c r="C2717" s="1"/>
      <c r="D2717" s="1"/>
      <c r="E2717" s="1"/>
      <c r="F2717" s="1"/>
      <c r="G2717" s="1"/>
      <c r="H2717" s="1"/>
      <c r="I2717" s="1"/>
      <c r="J2717" s="1"/>
      <c r="K2717" s="1"/>
      <c r="L2717" s="1"/>
      <c r="M2717" s="1"/>
      <c r="N2717" s="1"/>
      <c r="O2717" s="3"/>
    </row>
    <row r="2718" spans="1:15" ht="13.8">
      <c r="A2718" s="1"/>
      <c r="B2718" s="1"/>
      <c r="C2718" s="1"/>
      <c r="D2718" s="1"/>
      <c r="E2718" s="1"/>
      <c r="F2718" s="1"/>
      <c r="G2718" s="1"/>
      <c r="H2718" s="1"/>
      <c r="I2718" s="1"/>
      <c r="J2718" s="1"/>
      <c r="K2718" s="1"/>
      <c r="L2718" s="1"/>
      <c r="M2718" s="1"/>
      <c r="N2718" s="1"/>
      <c r="O2718" s="3"/>
    </row>
    <row r="2719" spans="1:15" ht="13.8">
      <c r="A2719" s="1"/>
      <c r="B2719" s="1"/>
      <c r="C2719" s="1"/>
      <c r="D2719" s="1"/>
      <c r="E2719" s="1"/>
      <c r="F2719" s="1"/>
      <c r="G2719" s="1"/>
      <c r="H2719" s="1"/>
      <c r="I2719" s="1"/>
      <c r="J2719" s="1"/>
      <c r="K2719" s="1"/>
      <c r="L2719" s="1"/>
      <c r="M2719" s="1"/>
      <c r="N2719" s="1"/>
      <c r="O2719" s="3"/>
    </row>
    <row r="2720" spans="1:15" ht="13.8">
      <c r="A2720" s="1"/>
      <c r="B2720" s="1"/>
      <c r="C2720" s="1"/>
      <c r="D2720" s="1"/>
      <c r="E2720" s="1"/>
      <c r="F2720" s="1"/>
      <c r="G2720" s="1"/>
      <c r="H2720" s="1"/>
      <c r="I2720" s="1"/>
      <c r="J2720" s="1"/>
      <c r="K2720" s="1"/>
      <c r="L2720" s="1"/>
      <c r="M2720" s="1"/>
      <c r="N2720" s="1"/>
      <c r="O2720" s="3"/>
    </row>
    <row r="2721" spans="1:15" ht="13.8">
      <c r="A2721" s="1"/>
      <c r="B2721" s="1"/>
      <c r="C2721" s="1"/>
      <c r="D2721" s="1"/>
      <c r="E2721" s="1"/>
      <c r="F2721" s="1"/>
      <c r="G2721" s="1"/>
      <c r="H2721" s="1"/>
      <c r="I2721" s="1"/>
      <c r="J2721" s="1"/>
      <c r="K2721" s="1"/>
      <c r="L2721" s="1"/>
      <c r="M2721" s="1"/>
      <c r="N2721" s="1"/>
      <c r="O2721" s="3"/>
    </row>
    <row r="2722" spans="1:15" ht="13.8">
      <c r="A2722" s="1"/>
      <c r="B2722" s="1"/>
      <c r="C2722" s="1"/>
      <c r="D2722" s="1"/>
      <c r="E2722" s="1"/>
      <c r="F2722" s="1"/>
      <c r="G2722" s="1"/>
      <c r="H2722" s="1"/>
      <c r="I2722" s="1"/>
      <c r="J2722" s="1"/>
      <c r="K2722" s="1"/>
      <c r="L2722" s="1"/>
      <c r="M2722" s="1"/>
      <c r="N2722" s="1"/>
      <c r="O2722" s="3"/>
    </row>
    <row r="2723" spans="1:15" ht="13.8">
      <c r="A2723" s="1"/>
      <c r="B2723" s="1"/>
      <c r="C2723" s="1"/>
      <c r="D2723" s="1"/>
      <c r="E2723" s="1"/>
      <c r="F2723" s="1"/>
      <c r="G2723" s="1"/>
      <c r="H2723" s="1"/>
      <c r="I2723" s="1"/>
      <c r="J2723" s="1"/>
      <c r="K2723" s="1"/>
      <c r="L2723" s="1"/>
      <c r="M2723" s="1"/>
      <c r="N2723" s="1"/>
      <c r="O2723" s="3"/>
    </row>
    <row r="2724" spans="1:15" ht="13.8">
      <c r="A2724" s="1"/>
      <c r="B2724" s="1"/>
      <c r="C2724" s="1"/>
      <c r="D2724" s="1"/>
      <c r="E2724" s="1"/>
      <c r="F2724" s="1"/>
      <c r="G2724" s="1"/>
      <c r="H2724" s="1"/>
      <c r="I2724" s="1"/>
      <c r="J2724" s="1"/>
      <c r="K2724" s="1"/>
      <c r="L2724" s="1"/>
      <c r="M2724" s="1"/>
      <c r="N2724" s="1"/>
      <c r="O2724" s="3"/>
    </row>
    <row r="2725" spans="1:15" ht="13.8">
      <c r="A2725" s="1"/>
      <c r="B2725" s="1"/>
      <c r="C2725" s="1"/>
      <c r="D2725" s="1"/>
      <c r="E2725" s="1"/>
      <c r="F2725" s="1"/>
      <c r="G2725" s="1"/>
      <c r="H2725" s="1"/>
      <c r="I2725" s="1"/>
      <c r="J2725" s="1"/>
      <c r="K2725" s="1"/>
      <c r="L2725" s="1"/>
      <c r="M2725" s="1"/>
      <c r="N2725" s="1"/>
      <c r="O2725" s="3"/>
    </row>
    <row r="2726" spans="1:15" ht="13.8">
      <c r="A2726" s="1"/>
      <c r="B2726" s="1"/>
      <c r="C2726" s="1"/>
      <c r="D2726" s="1"/>
      <c r="E2726" s="1"/>
      <c r="F2726" s="1"/>
      <c r="G2726" s="1"/>
      <c r="H2726" s="1"/>
      <c r="I2726" s="1"/>
      <c r="J2726" s="1"/>
      <c r="K2726" s="1"/>
      <c r="L2726" s="1"/>
      <c r="M2726" s="1"/>
      <c r="N2726" s="1"/>
      <c r="O2726" s="3"/>
    </row>
    <row r="2727" spans="1:15" ht="13.8">
      <c r="A2727" s="1"/>
      <c r="B2727" s="1"/>
      <c r="C2727" s="1"/>
      <c r="D2727" s="1"/>
      <c r="E2727" s="1"/>
      <c r="F2727" s="1"/>
      <c r="G2727" s="1"/>
      <c r="H2727" s="1"/>
      <c r="I2727" s="1"/>
      <c r="J2727" s="1"/>
      <c r="K2727" s="1"/>
      <c r="L2727" s="1"/>
      <c r="M2727" s="1"/>
      <c r="N2727" s="1"/>
      <c r="O2727" s="3"/>
    </row>
    <row r="2728" spans="1:15" ht="13.8">
      <c r="A2728" s="1"/>
      <c r="B2728" s="1"/>
      <c r="C2728" s="1"/>
      <c r="D2728" s="1"/>
      <c r="E2728" s="1"/>
      <c r="F2728" s="1"/>
      <c r="G2728" s="1"/>
      <c r="H2728" s="1"/>
      <c r="I2728" s="1"/>
      <c r="J2728" s="1"/>
      <c r="K2728" s="1"/>
      <c r="L2728" s="1"/>
      <c r="M2728" s="1"/>
      <c r="N2728" s="1"/>
      <c r="O2728" s="3"/>
    </row>
    <row r="2729" spans="1:15" ht="13.8">
      <c r="A2729" s="1"/>
      <c r="B2729" s="1"/>
      <c r="C2729" s="1"/>
      <c r="D2729" s="1"/>
      <c r="E2729" s="1"/>
      <c r="F2729" s="1"/>
      <c r="G2729" s="1"/>
      <c r="H2729" s="1"/>
      <c r="I2729" s="1"/>
      <c r="J2729" s="1"/>
      <c r="K2729" s="1"/>
      <c r="L2729" s="1"/>
      <c r="M2729" s="1"/>
      <c r="N2729" s="1"/>
      <c r="O2729" s="3"/>
    </row>
    <row r="2730" spans="1:15" ht="13.8">
      <c r="A2730" s="1"/>
      <c r="B2730" s="1"/>
      <c r="C2730" s="1"/>
      <c r="D2730" s="1"/>
      <c r="E2730" s="1"/>
      <c r="F2730" s="1"/>
      <c r="G2730" s="1"/>
      <c r="H2730" s="1"/>
      <c r="I2730" s="1"/>
      <c r="J2730" s="1"/>
      <c r="K2730" s="1"/>
      <c r="L2730" s="1"/>
      <c r="M2730" s="1"/>
      <c r="N2730" s="1"/>
      <c r="O2730" s="3"/>
    </row>
    <row r="2731" spans="1:15" ht="13.8">
      <c r="A2731" s="1"/>
      <c r="B2731" s="1"/>
      <c r="C2731" s="1"/>
      <c r="D2731" s="1"/>
      <c r="E2731" s="1"/>
      <c r="F2731" s="1"/>
      <c r="G2731" s="1"/>
      <c r="H2731" s="1"/>
      <c r="I2731" s="1"/>
      <c r="J2731" s="1"/>
      <c r="K2731" s="1"/>
      <c r="L2731" s="1"/>
      <c r="M2731" s="1"/>
      <c r="N2731" s="1"/>
      <c r="O2731" s="3"/>
    </row>
    <row r="2732" spans="1:15" ht="13.8">
      <c r="A2732" s="1"/>
      <c r="B2732" s="1"/>
      <c r="C2732" s="1"/>
      <c r="D2732" s="1"/>
      <c r="E2732" s="1"/>
      <c r="F2732" s="1"/>
      <c r="G2732" s="1"/>
      <c r="H2732" s="1"/>
      <c r="I2732" s="1"/>
      <c r="J2732" s="1"/>
      <c r="K2732" s="1"/>
      <c r="L2732" s="1"/>
      <c r="M2732" s="1"/>
      <c r="N2732" s="1"/>
      <c r="O2732" s="3"/>
    </row>
    <row r="2733" spans="1:15" ht="13.8">
      <c r="A2733" s="1"/>
      <c r="B2733" s="1"/>
      <c r="C2733" s="1"/>
      <c r="D2733" s="1"/>
      <c r="E2733" s="1"/>
      <c r="F2733" s="1"/>
      <c r="G2733" s="1"/>
      <c r="H2733" s="1"/>
      <c r="I2733" s="1"/>
      <c r="J2733" s="1"/>
      <c r="K2733" s="1"/>
      <c r="L2733" s="1"/>
      <c r="M2733" s="1"/>
      <c r="N2733" s="1"/>
      <c r="O2733" s="3"/>
    </row>
    <row r="2734" spans="1:15" ht="13.8">
      <c r="A2734" s="1"/>
      <c r="B2734" s="1"/>
      <c r="C2734" s="1"/>
      <c r="D2734" s="1"/>
      <c r="E2734" s="1"/>
      <c r="F2734" s="1"/>
      <c r="G2734" s="1"/>
      <c r="H2734" s="1"/>
      <c r="I2734" s="1"/>
      <c r="J2734" s="1"/>
      <c r="K2734" s="1"/>
      <c r="L2734" s="1"/>
      <c r="M2734" s="1"/>
      <c r="N2734" s="1"/>
      <c r="O2734" s="3"/>
    </row>
    <row r="2735" spans="1:15" ht="13.8">
      <c r="A2735" s="1"/>
      <c r="B2735" s="1"/>
      <c r="C2735" s="1"/>
      <c r="D2735" s="1"/>
      <c r="E2735" s="1"/>
      <c r="F2735" s="1"/>
      <c r="G2735" s="1"/>
      <c r="H2735" s="1"/>
      <c r="I2735" s="1"/>
      <c r="J2735" s="1"/>
      <c r="K2735" s="1"/>
      <c r="L2735" s="1"/>
      <c r="M2735" s="1"/>
      <c r="N2735" s="1"/>
      <c r="O2735" s="3"/>
    </row>
    <row r="2736" spans="1:15" ht="13.8">
      <c r="A2736" s="1"/>
      <c r="B2736" s="1"/>
      <c r="C2736" s="1"/>
      <c r="D2736" s="1"/>
      <c r="E2736" s="1"/>
      <c r="F2736" s="1"/>
      <c r="G2736" s="1"/>
      <c r="H2736" s="1"/>
      <c r="I2736" s="1"/>
      <c r="J2736" s="1"/>
      <c r="K2736" s="1"/>
      <c r="L2736" s="1"/>
      <c r="M2736" s="1"/>
      <c r="N2736" s="1"/>
      <c r="O2736" s="3"/>
    </row>
    <row r="2737" spans="1:15" ht="13.8">
      <c r="A2737" s="1"/>
      <c r="B2737" s="1"/>
      <c r="C2737" s="1"/>
      <c r="D2737" s="1"/>
      <c r="E2737" s="1"/>
      <c r="F2737" s="1"/>
      <c r="G2737" s="1"/>
      <c r="H2737" s="1"/>
      <c r="I2737" s="1"/>
      <c r="J2737" s="1"/>
      <c r="K2737" s="1"/>
      <c r="L2737" s="1"/>
      <c r="M2737" s="1"/>
      <c r="N2737" s="1"/>
      <c r="O2737" s="3"/>
    </row>
    <row r="2738" spans="1:15" ht="13.8">
      <c r="A2738" s="1"/>
      <c r="B2738" s="1"/>
      <c r="C2738" s="1"/>
      <c r="D2738" s="1"/>
      <c r="E2738" s="1"/>
      <c r="F2738" s="1"/>
      <c r="G2738" s="1"/>
      <c r="H2738" s="1"/>
      <c r="I2738" s="1"/>
      <c r="J2738" s="1"/>
      <c r="K2738" s="1"/>
      <c r="L2738" s="1"/>
      <c r="M2738" s="1"/>
      <c r="N2738" s="1"/>
      <c r="O2738" s="3"/>
    </row>
    <row r="2739" spans="1:15" ht="13.8">
      <c r="A2739" s="1"/>
      <c r="B2739" s="1"/>
      <c r="C2739" s="1"/>
      <c r="D2739" s="1"/>
      <c r="E2739" s="1"/>
      <c r="F2739" s="1"/>
      <c r="G2739" s="1"/>
      <c r="H2739" s="1"/>
      <c r="I2739" s="1"/>
      <c r="J2739" s="1"/>
      <c r="K2739" s="1"/>
      <c r="L2739" s="1"/>
      <c r="M2739" s="1"/>
      <c r="N2739" s="1"/>
      <c r="O2739" s="3"/>
    </row>
    <row r="2740" spans="1:15" ht="13.8">
      <c r="A2740" s="1"/>
      <c r="B2740" s="1"/>
      <c r="C2740" s="1"/>
      <c r="D2740" s="1"/>
      <c r="E2740" s="1"/>
      <c r="F2740" s="1"/>
      <c r="G2740" s="1"/>
      <c r="H2740" s="1"/>
      <c r="I2740" s="1"/>
      <c r="J2740" s="1"/>
      <c r="K2740" s="1"/>
      <c r="L2740" s="1"/>
      <c r="M2740" s="1"/>
      <c r="N2740" s="1"/>
      <c r="O2740" s="3"/>
    </row>
    <row r="2741" spans="1:15" ht="13.8">
      <c r="A2741" s="1"/>
      <c r="B2741" s="1"/>
      <c r="C2741" s="1"/>
      <c r="D2741" s="1"/>
      <c r="E2741" s="1"/>
      <c r="F2741" s="1"/>
      <c r="G2741" s="1"/>
      <c r="H2741" s="1"/>
      <c r="I2741" s="1"/>
      <c r="J2741" s="1"/>
      <c r="K2741" s="1"/>
      <c r="L2741" s="1"/>
      <c r="M2741" s="1"/>
      <c r="N2741" s="1"/>
      <c r="O2741" s="3"/>
    </row>
    <row r="2742" spans="1:15" ht="13.8">
      <c r="A2742" s="1"/>
      <c r="B2742" s="1"/>
      <c r="C2742" s="1"/>
      <c r="D2742" s="1"/>
      <c r="E2742" s="1"/>
      <c r="F2742" s="1"/>
      <c r="G2742" s="1"/>
      <c r="H2742" s="1"/>
      <c r="I2742" s="1"/>
      <c r="J2742" s="1"/>
      <c r="K2742" s="1"/>
      <c r="L2742" s="1"/>
      <c r="M2742" s="1"/>
      <c r="N2742" s="1"/>
      <c r="O2742" s="3"/>
    </row>
    <row r="2743" spans="1:15" ht="13.8">
      <c r="A2743" s="1"/>
      <c r="B2743" s="1"/>
      <c r="C2743" s="1"/>
      <c r="D2743" s="1"/>
      <c r="E2743" s="1"/>
      <c r="F2743" s="1"/>
      <c r="G2743" s="1"/>
      <c r="H2743" s="1"/>
      <c r="I2743" s="1"/>
      <c r="J2743" s="1"/>
      <c r="K2743" s="1"/>
      <c r="L2743" s="1"/>
      <c r="M2743" s="1"/>
      <c r="N2743" s="1"/>
      <c r="O2743" s="3"/>
    </row>
    <row r="2744" spans="1:15" ht="13.8">
      <c r="A2744" s="1"/>
      <c r="B2744" s="1"/>
      <c r="C2744" s="1"/>
      <c r="D2744" s="1"/>
      <c r="E2744" s="1"/>
      <c r="F2744" s="1"/>
      <c r="G2744" s="1"/>
      <c r="H2744" s="1"/>
      <c r="I2744" s="1"/>
      <c r="J2744" s="1"/>
      <c r="K2744" s="1"/>
      <c r="L2744" s="1"/>
      <c r="M2744" s="1"/>
      <c r="N2744" s="1"/>
      <c r="O2744" s="3"/>
    </row>
    <row r="2745" spans="1:15" ht="13.8">
      <c r="A2745" s="1"/>
      <c r="B2745" s="1"/>
      <c r="C2745" s="1"/>
      <c r="D2745" s="1"/>
      <c r="E2745" s="1"/>
      <c r="F2745" s="1"/>
      <c r="G2745" s="1"/>
      <c r="H2745" s="1"/>
      <c r="I2745" s="1"/>
      <c r="J2745" s="1"/>
      <c r="K2745" s="1"/>
      <c r="L2745" s="1"/>
      <c r="M2745" s="1"/>
      <c r="N2745" s="1"/>
      <c r="O2745" s="3"/>
    </row>
    <row r="2746" spans="1:15" ht="13.8">
      <c r="A2746" s="1"/>
      <c r="B2746" s="1"/>
      <c r="C2746" s="1"/>
      <c r="D2746" s="1"/>
      <c r="E2746" s="1"/>
      <c r="F2746" s="1"/>
      <c r="G2746" s="1"/>
      <c r="H2746" s="1"/>
      <c r="I2746" s="1"/>
      <c r="J2746" s="1"/>
      <c r="K2746" s="1"/>
      <c r="L2746" s="1"/>
      <c r="M2746" s="1"/>
      <c r="N2746" s="1"/>
      <c r="O2746" s="3"/>
    </row>
    <row r="2747" spans="1:15" ht="13.8">
      <c r="A2747" s="1"/>
      <c r="B2747" s="1"/>
      <c r="C2747" s="1"/>
      <c r="D2747" s="1"/>
      <c r="E2747" s="1"/>
      <c r="F2747" s="1"/>
      <c r="G2747" s="1"/>
      <c r="H2747" s="1"/>
      <c r="I2747" s="1"/>
      <c r="J2747" s="1"/>
      <c r="K2747" s="1"/>
      <c r="L2747" s="1"/>
      <c r="M2747" s="1"/>
      <c r="N2747" s="1"/>
      <c r="O2747" s="3"/>
    </row>
    <row r="2748" spans="1:15" ht="13.8">
      <c r="A2748" s="1"/>
      <c r="B2748" s="1"/>
      <c r="C2748" s="1"/>
      <c r="D2748" s="1"/>
      <c r="E2748" s="1"/>
      <c r="F2748" s="1"/>
      <c r="G2748" s="1"/>
      <c r="H2748" s="1"/>
      <c r="I2748" s="1"/>
      <c r="J2748" s="1"/>
      <c r="K2748" s="1"/>
      <c r="L2748" s="1"/>
      <c r="M2748" s="1"/>
      <c r="N2748" s="1"/>
      <c r="O2748" s="3"/>
    </row>
    <row r="2749" spans="1:15" ht="13.8">
      <c r="A2749" s="1"/>
      <c r="B2749" s="1"/>
      <c r="C2749" s="1"/>
      <c r="D2749" s="1"/>
      <c r="E2749" s="1"/>
      <c r="F2749" s="1"/>
      <c r="G2749" s="1"/>
      <c r="H2749" s="1"/>
      <c r="I2749" s="1"/>
      <c r="J2749" s="1"/>
      <c r="K2749" s="1"/>
      <c r="L2749" s="1"/>
      <c r="M2749" s="1"/>
      <c r="N2749" s="1"/>
      <c r="O2749" s="3"/>
    </row>
    <row r="2750" spans="1:15" ht="13.8">
      <c r="A2750" s="1"/>
      <c r="B2750" s="1"/>
      <c r="C2750" s="1"/>
      <c r="D2750" s="1"/>
      <c r="E2750" s="1"/>
      <c r="F2750" s="1"/>
      <c r="G2750" s="1"/>
      <c r="H2750" s="1"/>
      <c r="I2750" s="1"/>
      <c r="J2750" s="1"/>
      <c r="K2750" s="1"/>
      <c r="L2750" s="1"/>
      <c r="M2750" s="1"/>
      <c r="N2750" s="1"/>
      <c r="O2750" s="3"/>
    </row>
    <row r="2751" spans="1:15" ht="13.8">
      <c r="A2751" s="1"/>
      <c r="B2751" s="1"/>
      <c r="C2751" s="1"/>
      <c r="D2751" s="1"/>
      <c r="E2751" s="1"/>
      <c r="F2751" s="1"/>
      <c r="G2751" s="1"/>
      <c r="H2751" s="1"/>
      <c r="I2751" s="1"/>
      <c r="J2751" s="1"/>
      <c r="K2751" s="1"/>
      <c r="L2751" s="1"/>
      <c r="M2751" s="1"/>
      <c r="N2751" s="1"/>
      <c r="O2751" s="3"/>
    </row>
    <row r="2752" spans="1:15" ht="13.8">
      <c r="A2752" s="1"/>
      <c r="B2752" s="1"/>
      <c r="C2752" s="1"/>
      <c r="D2752" s="1"/>
      <c r="E2752" s="1"/>
      <c r="F2752" s="1"/>
      <c r="G2752" s="1"/>
      <c r="H2752" s="1"/>
      <c r="I2752" s="1"/>
      <c r="J2752" s="1"/>
      <c r="K2752" s="1"/>
      <c r="L2752" s="1"/>
      <c r="M2752" s="1"/>
      <c r="N2752" s="1"/>
      <c r="O2752" s="3"/>
    </row>
    <row r="2753" spans="1:15" ht="13.8">
      <c r="A2753" s="1"/>
      <c r="B2753" s="1"/>
      <c r="C2753" s="1"/>
      <c r="D2753" s="1"/>
      <c r="E2753" s="1"/>
      <c r="F2753" s="1"/>
      <c r="G2753" s="1"/>
      <c r="H2753" s="1"/>
      <c r="I2753" s="1"/>
      <c r="J2753" s="1"/>
      <c r="K2753" s="1"/>
      <c r="L2753" s="1"/>
      <c r="M2753" s="1"/>
      <c r="N2753" s="1"/>
      <c r="O2753" s="3"/>
    </row>
    <row r="2754" spans="1:15" ht="13.8">
      <c r="A2754" s="1"/>
      <c r="B2754" s="1"/>
      <c r="C2754" s="1"/>
      <c r="D2754" s="1"/>
      <c r="E2754" s="1"/>
      <c r="F2754" s="1"/>
      <c r="G2754" s="1"/>
      <c r="H2754" s="1"/>
      <c r="I2754" s="1"/>
      <c r="J2754" s="1"/>
      <c r="K2754" s="1"/>
      <c r="L2754" s="1"/>
      <c r="M2754" s="1"/>
      <c r="N2754" s="1"/>
      <c r="O2754" s="3"/>
    </row>
    <row r="2755" spans="1:15" ht="13.8">
      <c r="A2755" s="1"/>
      <c r="B2755" s="1"/>
      <c r="C2755" s="1"/>
      <c r="D2755" s="1"/>
      <c r="E2755" s="1"/>
      <c r="F2755" s="1"/>
      <c r="G2755" s="1"/>
      <c r="H2755" s="1"/>
      <c r="I2755" s="1"/>
      <c r="J2755" s="1"/>
      <c r="K2755" s="1"/>
      <c r="L2755" s="1"/>
      <c r="M2755" s="1"/>
      <c r="N2755" s="1"/>
      <c r="O2755" s="3"/>
    </row>
    <row r="2756" spans="1:15" ht="13.8">
      <c r="A2756" s="1"/>
      <c r="B2756" s="1"/>
      <c r="C2756" s="1"/>
      <c r="D2756" s="1"/>
      <c r="E2756" s="1"/>
      <c r="F2756" s="1"/>
      <c r="G2756" s="1"/>
      <c r="H2756" s="1"/>
      <c r="I2756" s="1"/>
      <c r="J2756" s="1"/>
      <c r="K2756" s="1"/>
      <c r="L2756" s="1"/>
      <c r="M2756" s="1"/>
      <c r="N2756" s="1"/>
      <c r="O2756" s="3"/>
    </row>
    <row r="2757" spans="1:15" ht="13.8">
      <c r="A2757" s="1"/>
      <c r="B2757" s="1"/>
      <c r="C2757" s="1"/>
      <c r="D2757" s="1"/>
      <c r="E2757" s="1"/>
      <c r="F2757" s="1"/>
      <c r="G2757" s="1"/>
      <c r="H2757" s="1"/>
      <c r="I2757" s="1"/>
      <c r="J2757" s="1"/>
      <c r="K2757" s="1"/>
      <c r="L2757" s="1"/>
      <c r="M2757" s="1"/>
      <c r="N2757" s="1"/>
      <c r="O2757" s="3"/>
    </row>
    <row r="2758" spans="1:15" ht="13.8">
      <c r="A2758" s="1"/>
      <c r="B2758" s="1"/>
      <c r="C2758" s="1"/>
      <c r="D2758" s="1"/>
      <c r="E2758" s="1"/>
      <c r="F2758" s="1"/>
      <c r="G2758" s="1"/>
      <c r="H2758" s="1"/>
      <c r="I2758" s="1"/>
      <c r="J2758" s="1"/>
      <c r="K2758" s="1"/>
      <c r="L2758" s="1"/>
      <c r="M2758" s="1"/>
      <c r="N2758" s="1"/>
      <c r="O2758" s="3"/>
    </row>
    <row r="2759" spans="1:15" ht="13.8">
      <c r="A2759" s="1"/>
      <c r="B2759" s="1"/>
      <c r="C2759" s="1"/>
      <c r="D2759" s="1"/>
      <c r="E2759" s="1"/>
      <c r="F2759" s="1"/>
      <c r="G2759" s="1"/>
      <c r="H2759" s="1"/>
      <c r="I2759" s="1"/>
      <c r="J2759" s="1"/>
      <c r="K2759" s="1"/>
      <c r="L2759" s="1"/>
      <c r="M2759" s="1"/>
      <c r="N2759" s="1"/>
      <c r="O2759" s="3"/>
    </row>
    <row r="2760" spans="1:15" ht="13.8">
      <c r="A2760" s="1"/>
      <c r="B2760" s="1"/>
      <c r="C2760" s="1"/>
      <c r="D2760" s="1"/>
      <c r="E2760" s="1"/>
      <c r="F2760" s="1"/>
      <c r="G2760" s="1"/>
      <c r="H2760" s="1"/>
      <c r="I2760" s="1"/>
      <c r="J2760" s="1"/>
      <c r="K2760" s="1"/>
      <c r="L2760" s="1"/>
      <c r="M2760" s="1"/>
      <c r="N2760" s="1"/>
      <c r="O2760" s="3"/>
    </row>
    <row r="2761" spans="1:15" ht="13.8">
      <c r="A2761" s="1"/>
      <c r="B2761" s="1"/>
      <c r="C2761" s="1"/>
      <c r="D2761" s="1"/>
      <c r="E2761" s="1"/>
      <c r="F2761" s="1"/>
      <c r="G2761" s="1"/>
      <c r="H2761" s="1"/>
      <c r="I2761" s="1"/>
      <c r="J2761" s="1"/>
      <c r="K2761" s="1"/>
      <c r="L2761" s="1"/>
      <c r="M2761" s="1"/>
      <c r="N2761" s="1"/>
      <c r="O2761" s="3"/>
    </row>
    <row r="2762" spans="1:15" ht="13.8">
      <c r="A2762" s="1"/>
      <c r="B2762" s="1"/>
      <c r="C2762" s="1"/>
      <c r="D2762" s="1"/>
      <c r="E2762" s="1"/>
      <c r="F2762" s="1"/>
      <c r="G2762" s="1"/>
      <c r="H2762" s="1"/>
      <c r="I2762" s="1"/>
      <c r="J2762" s="1"/>
      <c r="K2762" s="1"/>
      <c r="L2762" s="1"/>
      <c r="M2762" s="1"/>
      <c r="N2762" s="1"/>
      <c r="O2762" s="3"/>
    </row>
    <row r="2763" spans="1:15" ht="13.8">
      <c r="A2763" s="1"/>
      <c r="B2763" s="1"/>
      <c r="C2763" s="1"/>
      <c r="D2763" s="1"/>
      <c r="E2763" s="1"/>
      <c r="F2763" s="1"/>
      <c r="G2763" s="1"/>
      <c r="H2763" s="1"/>
      <c r="I2763" s="1"/>
      <c r="J2763" s="1"/>
      <c r="K2763" s="1"/>
      <c r="L2763" s="1"/>
      <c r="M2763" s="1"/>
      <c r="N2763" s="1"/>
      <c r="O2763" s="3"/>
    </row>
    <row r="2764" spans="1:15" ht="13.8">
      <c r="A2764" s="1"/>
      <c r="B2764" s="1"/>
      <c r="C2764" s="1"/>
      <c r="D2764" s="1"/>
      <c r="E2764" s="1"/>
      <c r="F2764" s="1"/>
      <c r="G2764" s="1"/>
      <c r="H2764" s="1"/>
      <c r="I2764" s="1"/>
      <c r="J2764" s="1"/>
      <c r="K2764" s="1"/>
      <c r="L2764" s="1"/>
      <c r="M2764" s="1"/>
      <c r="N2764" s="1"/>
      <c r="O2764" s="3"/>
    </row>
    <row r="2765" spans="1:15" ht="13.8">
      <c r="A2765" s="1"/>
      <c r="B2765" s="1"/>
      <c r="C2765" s="1"/>
      <c r="D2765" s="1"/>
      <c r="E2765" s="1"/>
      <c r="F2765" s="1"/>
      <c r="G2765" s="1"/>
      <c r="H2765" s="1"/>
      <c r="I2765" s="1"/>
      <c r="J2765" s="1"/>
      <c r="K2765" s="1"/>
      <c r="L2765" s="1"/>
      <c r="M2765" s="1"/>
      <c r="N2765" s="1"/>
      <c r="O2765" s="3"/>
    </row>
    <row r="2766" spans="1:15" ht="13.8">
      <c r="A2766" s="1"/>
      <c r="B2766" s="1"/>
      <c r="C2766" s="1"/>
      <c r="D2766" s="1"/>
      <c r="E2766" s="1"/>
      <c r="F2766" s="1"/>
      <c r="G2766" s="1"/>
      <c r="H2766" s="1"/>
      <c r="I2766" s="1"/>
      <c r="J2766" s="1"/>
      <c r="K2766" s="1"/>
      <c r="L2766" s="1"/>
      <c r="M2766" s="1"/>
      <c r="N2766" s="1"/>
      <c r="O2766" s="3"/>
    </row>
    <row r="2767" spans="1:15" ht="13.8">
      <c r="A2767" s="1"/>
      <c r="B2767" s="1"/>
      <c r="C2767" s="1"/>
      <c r="D2767" s="1"/>
      <c r="E2767" s="1"/>
      <c r="F2767" s="1"/>
      <c r="G2767" s="1"/>
      <c r="H2767" s="1"/>
      <c r="I2767" s="1"/>
      <c r="J2767" s="1"/>
      <c r="K2767" s="1"/>
      <c r="L2767" s="1"/>
      <c r="M2767" s="1"/>
      <c r="N2767" s="1"/>
      <c r="O2767" s="3"/>
    </row>
    <row r="2768" spans="1:15" ht="13.8">
      <c r="A2768" s="1"/>
      <c r="B2768" s="1"/>
      <c r="C2768" s="1"/>
      <c r="D2768" s="1"/>
      <c r="E2768" s="1"/>
      <c r="F2768" s="1"/>
      <c r="G2768" s="1"/>
      <c r="H2768" s="1"/>
      <c r="I2768" s="1"/>
      <c r="J2768" s="1"/>
      <c r="K2768" s="1"/>
      <c r="L2768" s="1"/>
      <c r="M2768" s="1"/>
      <c r="N2768" s="1"/>
      <c r="O2768" s="3"/>
    </row>
    <row r="2769" spans="1:15" ht="13.8">
      <c r="A2769" s="1"/>
      <c r="B2769" s="1"/>
      <c r="C2769" s="1"/>
      <c r="D2769" s="1"/>
      <c r="E2769" s="1"/>
      <c r="F2769" s="1"/>
      <c r="G2769" s="1"/>
      <c r="H2769" s="1"/>
      <c r="I2769" s="1"/>
      <c r="J2769" s="1"/>
      <c r="K2769" s="1"/>
      <c r="L2769" s="1"/>
      <c r="M2769" s="1"/>
      <c r="N2769" s="1"/>
      <c r="O2769" s="3"/>
    </row>
    <row r="2770" spans="1:15" ht="13.8">
      <c r="A2770" s="1"/>
      <c r="B2770" s="1"/>
      <c r="C2770" s="1"/>
      <c r="D2770" s="1"/>
      <c r="E2770" s="1"/>
      <c r="F2770" s="1"/>
      <c r="G2770" s="1"/>
      <c r="H2770" s="1"/>
      <c r="I2770" s="1"/>
      <c r="J2770" s="1"/>
      <c r="K2770" s="1"/>
      <c r="L2770" s="1"/>
      <c r="M2770" s="1"/>
      <c r="N2770" s="1"/>
      <c r="O2770" s="3"/>
    </row>
    <row r="2771" spans="1:15" ht="13.8">
      <c r="A2771" s="1"/>
      <c r="B2771" s="1"/>
      <c r="C2771" s="1"/>
      <c r="D2771" s="1"/>
      <c r="E2771" s="1"/>
      <c r="F2771" s="1"/>
      <c r="G2771" s="1"/>
      <c r="H2771" s="1"/>
      <c r="I2771" s="1"/>
      <c r="J2771" s="1"/>
      <c r="K2771" s="1"/>
      <c r="L2771" s="1"/>
      <c r="M2771" s="1"/>
      <c r="N2771" s="1"/>
      <c r="O2771" s="3"/>
    </row>
    <row r="2772" spans="1:15" ht="13.8">
      <c r="A2772" s="1"/>
      <c r="B2772" s="1"/>
      <c r="C2772" s="1"/>
      <c r="D2772" s="1"/>
      <c r="E2772" s="1"/>
      <c r="F2772" s="1"/>
      <c r="G2772" s="1"/>
      <c r="H2772" s="1"/>
      <c r="I2772" s="1"/>
      <c r="J2772" s="1"/>
      <c r="K2772" s="1"/>
      <c r="L2772" s="1"/>
      <c r="M2772" s="1"/>
      <c r="N2772" s="1"/>
      <c r="O2772" s="3"/>
    </row>
    <row r="2773" spans="1:15" ht="13.8">
      <c r="A2773" s="1"/>
      <c r="B2773" s="1"/>
      <c r="C2773" s="1"/>
      <c r="D2773" s="1"/>
      <c r="E2773" s="1"/>
      <c r="F2773" s="1"/>
      <c r="G2773" s="1"/>
      <c r="H2773" s="1"/>
      <c r="I2773" s="1"/>
      <c r="J2773" s="1"/>
      <c r="K2773" s="1"/>
      <c r="L2773" s="1"/>
      <c r="M2773" s="1"/>
      <c r="N2773" s="1"/>
      <c r="O2773" s="3"/>
    </row>
    <row r="2774" spans="1:15" ht="13.8">
      <c r="A2774" s="1"/>
      <c r="B2774" s="1"/>
      <c r="C2774" s="1"/>
      <c r="D2774" s="1"/>
      <c r="E2774" s="1"/>
      <c r="F2774" s="1"/>
      <c r="G2774" s="1"/>
      <c r="H2774" s="1"/>
      <c r="I2774" s="1"/>
      <c r="J2774" s="1"/>
      <c r="K2774" s="1"/>
      <c r="L2774" s="1"/>
      <c r="M2774" s="1"/>
      <c r="N2774" s="1"/>
      <c r="O2774" s="3"/>
    </row>
    <row r="2775" spans="1:15" ht="13.8">
      <c r="A2775" s="1"/>
      <c r="B2775" s="1"/>
      <c r="C2775" s="1"/>
      <c r="D2775" s="1"/>
      <c r="E2775" s="1"/>
      <c r="F2775" s="1"/>
      <c r="G2775" s="1"/>
      <c r="H2775" s="1"/>
      <c r="I2775" s="1"/>
      <c r="J2775" s="1"/>
      <c r="K2775" s="1"/>
      <c r="L2775" s="1"/>
      <c r="M2775" s="1"/>
      <c r="N2775" s="1"/>
      <c r="O2775" s="3"/>
    </row>
    <row r="2776" spans="1:15" ht="13.8">
      <c r="A2776" s="1"/>
      <c r="B2776" s="1"/>
      <c r="C2776" s="1"/>
      <c r="D2776" s="1"/>
      <c r="E2776" s="1"/>
      <c r="F2776" s="1"/>
      <c r="G2776" s="1"/>
      <c r="H2776" s="1"/>
      <c r="I2776" s="1"/>
      <c r="J2776" s="1"/>
      <c r="K2776" s="1"/>
      <c r="L2776" s="1"/>
      <c r="M2776" s="1"/>
      <c r="N2776" s="1"/>
      <c r="O2776" s="3"/>
    </row>
    <row r="2777" spans="1:15" ht="13.8">
      <c r="A2777" s="1"/>
      <c r="B2777" s="1"/>
      <c r="C2777" s="1"/>
      <c r="D2777" s="1"/>
      <c r="E2777" s="1"/>
      <c r="F2777" s="1"/>
      <c r="G2777" s="1"/>
      <c r="H2777" s="1"/>
      <c r="I2777" s="1"/>
      <c r="J2777" s="1"/>
      <c r="K2777" s="1"/>
      <c r="L2777" s="1"/>
      <c r="M2777" s="1"/>
      <c r="N2777" s="1"/>
      <c r="O2777" s="3"/>
    </row>
    <row r="2778" spans="1:15" ht="13.8">
      <c r="A2778" s="1"/>
      <c r="B2778" s="1"/>
      <c r="C2778" s="1"/>
      <c r="D2778" s="1"/>
      <c r="E2778" s="1"/>
      <c r="F2778" s="1"/>
      <c r="G2778" s="1"/>
      <c r="H2778" s="1"/>
      <c r="I2778" s="1"/>
      <c r="J2778" s="1"/>
      <c r="K2778" s="1"/>
      <c r="L2778" s="1"/>
      <c r="M2778" s="1"/>
      <c r="N2778" s="1"/>
      <c r="O2778" s="3"/>
    </row>
    <row r="2779" spans="1:15" ht="13.8">
      <c r="A2779" s="1"/>
      <c r="B2779" s="1"/>
      <c r="C2779" s="1"/>
      <c r="D2779" s="1"/>
      <c r="E2779" s="1"/>
      <c r="F2779" s="1"/>
      <c r="G2779" s="1"/>
      <c r="H2779" s="1"/>
      <c r="I2779" s="1"/>
      <c r="J2779" s="1"/>
      <c r="K2779" s="1"/>
      <c r="L2779" s="1"/>
      <c r="M2779" s="1"/>
      <c r="N2779" s="1"/>
      <c r="O2779" s="3"/>
    </row>
    <row r="2780" spans="1:15" ht="13.8">
      <c r="A2780" s="1"/>
      <c r="B2780" s="1"/>
      <c r="C2780" s="1"/>
      <c r="D2780" s="1"/>
      <c r="E2780" s="1"/>
      <c r="F2780" s="1"/>
      <c r="G2780" s="1"/>
      <c r="H2780" s="1"/>
      <c r="I2780" s="1"/>
      <c r="J2780" s="1"/>
      <c r="K2780" s="1"/>
      <c r="L2780" s="1"/>
      <c r="M2780" s="1"/>
      <c r="N2780" s="1"/>
      <c r="O2780" s="3"/>
    </row>
    <row r="2781" spans="1:15" ht="13.8">
      <c r="A2781" s="1"/>
      <c r="B2781" s="1"/>
      <c r="C2781" s="1"/>
      <c r="D2781" s="1"/>
      <c r="E2781" s="1"/>
      <c r="F2781" s="1"/>
      <c r="G2781" s="1"/>
      <c r="H2781" s="1"/>
      <c r="I2781" s="1"/>
      <c r="J2781" s="1"/>
      <c r="K2781" s="1"/>
      <c r="L2781" s="1"/>
      <c r="M2781" s="1"/>
      <c r="N2781" s="1"/>
      <c r="O2781" s="3"/>
    </row>
    <row r="2782" spans="1:15" ht="13.8">
      <c r="A2782" s="1"/>
      <c r="B2782" s="1"/>
      <c r="C2782" s="1"/>
      <c r="D2782" s="1"/>
      <c r="E2782" s="1"/>
      <c r="F2782" s="1"/>
      <c r="G2782" s="1"/>
      <c r="H2782" s="1"/>
      <c r="I2782" s="1"/>
      <c r="J2782" s="1"/>
      <c r="K2782" s="1"/>
      <c r="L2782" s="1"/>
      <c r="M2782" s="1"/>
      <c r="N2782" s="1"/>
      <c r="O2782" s="3"/>
    </row>
    <row r="2783" spans="1:15" ht="13.8">
      <c r="A2783" s="1"/>
      <c r="B2783" s="1"/>
      <c r="C2783" s="1"/>
      <c r="D2783" s="1"/>
      <c r="E2783" s="1"/>
      <c r="F2783" s="1"/>
      <c r="G2783" s="1"/>
      <c r="H2783" s="1"/>
      <c r="I2783" s="1"/>
      <c r="J2783" s="1"/>
      <c r="K2783" s="1"/>
      <c r="L2783" s="1"/>
      <c r="M2783" s="1"/>
      <c r="N2783" s="1"/>
      <c r="O2783" s="3"/>
    </row>
    <row r="2784" spans="1:15" ht="13.8">
      <c r="A2784" s="1"/>
      <c r="B2784" s="1"/>
      <c r="C2784" s="1"/>
      <c r="D2784" s="1"/>
      <c r="E2784" s="1"/>
      <c r="F2784" s="1"/>
      <c r="G2784" s="1"/>
      <c r="H2784" s="1"/>
      <c r="I2784" s="1"/>
      <c r="J2784" s="1"/>
      <c r="K2784" s="1"/>
      <c r="L2784" s="1"/>
      <c r="M2784" s="1"/>
      <c r="N2784" s="1"/>
      <c r="O2784" s="3"/>
    </row>
    <row r="2785" spans="1:15" ht="13.8">
      <c r="A2785" s="1"/>
      <c r="B2785" s="1"/>
      <c r="C2785" s="1"/>
      <c r="D2785" s="1"/>
      <c r="E2785" s="1"/>
      <c r="F2785" s="1"/>
      <c r="G2785" s="1"/>
      <c r="H2785" s="1"/>
      <c r="I2785" s="1"/>
      <c r="J2785" s="1"/>
      <c r="K2785" s="1"/>
      <c r="L2785" s="1"/>
      <c r="M2785" s="1"/>
      <c r="N2785" s="1"/>
      <c r="O2785" s="3"/>
    </row>
    <row r="2786" spans="1:15" ht="13.8">
      <c r="A2786" s="1"/>
      <c r="B2786" s="1"/>
      <c r="C2786" s="1"/>
      <c r="D2786" s="1"/>
      <c r="E2786" s="1"/>
      <c r="F2786" s="1"/>
      <c r="G2786" s="1"/>
      <c r="H2786" s="1"/>
      <c r="I2786" s="1"/>
      <c r="J2786" s="1"/>
      <c r="K2786" s="1"/>
      <c r="L2786" s="1"/>
      <c r="M2786" s="1"/>
      <c r="N2786" s="1"/>
      <c r="O2786" s="3"/>
    </row>
    <row r="2787" spans="1:15" ht="13.8">
      <c r="A2787" s="1"/>
      <c r="B2787" s="1"/>
      <c r="C2787" s="1"/>
      <c r="D2787" s="1"/>
      <c r="E2787" s="1"/>
      <c r="F2787" s="1"/>
      <c r="G2787" s="1"/>
      <c r="H2787" s="1"/>
      <c r="I2787" s="1"/>
      <c r="J2787" s="1"/>
      <c r="K2787" s="1"/>
      <c r="L2787" s="1"/>
      <c r="M2787" s="1"/>
      <c r="N2787" s="1"/>
      <c r="O2787" s="3"/>
    </row>
    <row r="2788" spans="1:15" ht="13.8">
      <c r="A2788" s="1"/>
      <c r="B2788" s="1"/>
      <c r="C2788" s="1"/>
      <c r="D2788" s="1"/>
      <c r="E2788" s="1"/>
      <c r="F2788" s="1"/>
      <c r="G2788" s="1"/>
      <c r="H2788" s="1"/>
      <c r="I2788" s="1"/>
      <c r="J2788" s="1"/>
      <c r="K2788" s="1"/>
      <c r="L2788" s="1"/>
      <c r="M2788" s="1"/>
      <c r="N2788" s="1"/>
      <c r="O2788" s="3"/>
    </row>
    <row r="2789" spans="1:15" ht="13.8">
      <c r="A2789" s="1"/>
      <c r="B2789" s="1"/>
      <c r="C2789" s="1"/>
      <c r="D2789" s="1"/>
      <c r="E2789" s="1"/>
      <c r="F2789" s="1"/>
      <c r="G2789" s="1"/>
      <c r="H2789" s="1"/>
      <c r="I2789" s="1"/>
      <c r="J2789" s="1"/>
      <c r="K2789" s="1"/>
      <c r="L2789" s="1"/>
      <c r="M2789" s="1"/>
      <c r="N2789" s="1"/>
      <c r="O2789" s="3"/>
    </row>
    <row r="2790" spans="1:15" ht="13.8">
      <c r="A2790" s="1"/>
      <c r="B2790" s="1"/>
      <c r="C2790" s="1"/>
      <c r="D2790" s="1"/>
      <c r="E2790" s="1"/>
      <c r="F2790" s="1"/>
      <c r="G2790" s="1"/>
      <c r="H2790" s="1"/>
      <c r="I2790" s="1"/>
      <c r="J2790" s="1"/>
      <c r="K2790" s="1"/>
      <c r="L2790" s="1"/>
      <c r="M2790" s="1"/>
      <c r="N2790" s="1"/>
      <c r="O2790" s="3"/>
    </row>
    <row r="2791" spans="1:15" ht="13.8">
      <c r="A2791" s="1"/>
      <c r="B2791" s="1"/>
      <c r="C2791" s="1"/>
      <c r="D2791" s="1"/>
      <c r="E2791" s="1"/>
      <c r="F2791" s="1"/>
      <c r="G2791" s="1"/>
      <c r="H2791" s="1"/>
      <c r="I2791" s="1"/>
      <c r="J2791" s="1"/>
      <c r="K2791" s="1"/>
      <c r="L2791" s="1"/>
      <c r="M2791" s="1"/>
      <c r="N2791" s="1"/>
      <c r="O2791" s="3"/>
    </row>
    <row r="2792" spans="1:15" ht="13.8">
      <c r="A2792" s="1"/>
      <c r="B2792" s="1"/>
      <c r="C2792" s="1"/>
      <c r="D2792" s="1"/>
      <c r="E2792" s="1"/>
      <c r="F2792" s="1"/>
      <c r="G2792" s="1"/>
      <c r="H2792" s="1"/>
      <c r="I2792" s="1"/>
      <c r="J2792" s="1"/>
      <c r="K2792" s="1"/>
      <c r="L2792" s="1"/>
      <c r="M2792" s="1"/>
      <c r="N2792" s="1"/>
      <c r="O2792" s="3"/>
    </row>
    <row r="2793" spans="1:15" ht="13.8">
      <c r="A2793" s="1"/>
      <c r="B2793" s="1"/>
      <c r="C2793" s="1"/>
      <c r="D2793" s="1"/>
      <c r="E2793" s="1"/>
      <c r="F2793" s="1"/>
      <c r="G2793" s="1"/>
      <c r="H2793" s="1"/>
      <c r="I2793" s="1"/>
      <c r="J2793" s="1"/>
      <c r="K2793" s="1"/>
      <c r="L2793" s="1"/>
      <c r="M2793" s="1"/>
      <c r="N2793" s="1"/>
      <c r="O2793" s="3"/>
    </row>
    <row r="2794" spans="1:15" ht="13.8">
      <c r="A2794" s="1"/>
      <c r="B2794" s="1"/>
      <c r="C2794" s="1"/>
      <c r="D2794" s="1"/>
      <c r="E2794" s="1"/>
      <c r="F2794" s="1"/>
      <c r="G2794" s="1"/>
      <c r="H2794" s="1"/>
      <c r="I2794" s="1"/>
      <c r="J2794" s="1"/>
      <c r="K2794" s="1"/>
      <c r="L2794" s="1"/>
      <c r="M2794" s="1"/>
      <c r="N2794" s="1"/>
      <c r="O2794" s="3"/>
    </row>
    <row r="2795" spans="1:15" ht="13.8">
      <c r="A2795" s="1"/>
      <c r="B2795" s="1"/>
      <c r="C2795" s="1"/>
      <c r="D2795" s="1"/>
      <c r="E2795" s="1"/>
      <c r="F2795" s="1"/>
      <c r="G2795" s="1"/>
      <c r="H2795" s="1"/>
      <c r="I2795" s="1"/>
      <c r="J2795" s="1"/>
      <c r="K2795" s="1"/>
      <c r="L2795" s="1"/>
      <c r="M2795" s="1"/>
      <c r="N2795" s="1"/>
      <c r="O2795" s="3"/>
    </row>
    <row r="2796" spans="1:15" ht="13.8">
      <c r="A2796" s="1"/>
      <c r="B2796" s="1"/>
      <c r="C2796" s="1"/>
      <c r="D2796" s="1"/>
      <c r="E2796" s="1"/>
      <c r="F2796" s="1"/>
      <c r="G2796" s="1"/>
      <c r="H2796" s="1"/>
      <c r="I2796" s="1"/>
      <c r="J2796" s="1"/>
      <c r="K2796" s="1"/>
      <c r="L2796" s="1"/>
      <c r="M2796" s="1"/>
      <c r="N2796" s="1"/>
      <c r="O2796" s="3"/>
    </row>
    <row r="2797" spans="1:15" ht="13.8">
      <c r="A2797" s="1"/>
      <c r="B2797" s="1"/>
      <c r="C2797" s="1"/>
      <c r="D2797" s="1"/>
      <c r="E2797" s="1"/>
      <c r="F2797" s="1"/>
      <c r="G2797" s="1"/>
      <c r="H2797" s="1"/>
      <c r="I2797" s="1"/>
      <c r="J2797" s="1"/>
      <c r="K2797" s="1"/>
      <c r="L2797" s="1"/>
      <c r="M2797" s="1"/>
      <c r="N2797" s="1"/>
      <c r="O2797" s="3"/>
    </row>
    <row r="2798" spans="1:15" ht="13.8">
      <c r="A2798" s="1"/>
      <c r="B2798" s="1"/>
      <c r="C2798" s="1"/>
      <c r="D2798" s="1"/>
      <c r="E2798" s="1"/>
      <c r="F2798" s="1"/>
      <c r="G2798" s="1"/>
      <c r="H2798" s="1"/>
      <c r="I2798" s="1"/>
      <c r="J2798" s="1"/>
      <c r="K2798" s="1"/>
      <c r="L2798" s="1"/>
      <c r="M2798" s="1"/>
      <c r="N2798" s="1"/>
      <c r="O2798" s="3"/>
    </row>
    <row r="2799" spans="1:15" ht="13.8">
      <c r="A2799" s="1"/>
      <c r="B2799" s="1"/>
      <c r="C2799" s="1"/>
      <c r="D2799" s="1"/>
      <c r="E2799" s="1"/>
      <c r="F2799" s="1"/>
      <c r="G2799" s="1"/>
      <c r="H2799" s="1"/>
      <c r="I2799" s="1"/>
      <c r="J2799" s="1"/>
      <c r="K2799" s="1"/>
      <c r="L2799" s="1"/>
      <c r="M2799" s="1"/>
      <c r="N2799" s="1"/>
      <c r="O2799" s="3"/>
    </row>
    <row r="2800" spans="1:15" ht="13.8">
      <c r="A2800" s="1"/>
      <c r="B2800" s="1"/>
      <c r="C2800" s="1"/>
      <c r="D2800" s="1"/>
      <c r="E2800" s="1"/>
      <c r="F2800" s="1"/>
      <c r="G2800" s="1"/>
      <c r="H2800" s="1"/>
      <c r="I2800" s="1"/>
      <c r="J2800" s="1"/>
      <c r="K2800" s="1"/>
      <c r="L2800" s="1"/>
      <c r="M2800" s="1"/>
      <c r="N2800" s="1"/>
      <c r="O2800" s="3"/>
    </row>
    <row r="2801" spans="1:15" ht="13.8">
      <c r="A2801" s="1"/>
      <c r="B2801" s="1"/>
      <c r="C2801" s="1"/>
      <c r="D2801" s="1"/>
      <c r="E2801" s="1"/>
      <c r="F2801" s="1"/>
      <c r="G2801" s="1"/>
      <c r="H2801" s="1"/>
      <c r="I2801" s="1"/>
      <c r="J2801" s="1"/>
      <c r="K2801" s="1"/>
      <c r="L2801" s="1"/>
      <c r="M2801" s="1"/>
      <c r="N2801" s="1"/>
      <c r="O2801" s="3"/>
    </row>
    <row r="2802" spans="1:15" ht="13.8">
      <c r="A2802" s="1"/>
      <c r="B2802" s="1"/>
      <c r="C2802" s="1"/>
      <c r="D2802" s="1"/>
      <c r="E2802" s="1"/>
      <c r="F2802" s="1"/>
      <c r="G2802" s="1"/>
      <c r="H2802" s="1"/>
      <c r="I2802" s="1"/>
      <c r="J2802" s="1"/>
      <c r="K2802" s="1"/>
      <c r="L2802" s="1"/>
      <c r="M2802" s="1"/>
      <c r="N2802" s="1"/>
      <c r="O2802" s="3"/>
    </row>
    <row r="2803" spans="1:15" ht="13.8">
      <c r="A2803" s="1"/>
      <c r="B2803" s="1"/>
      <c r="C2803" s="1"/>
      <c r="D2803" s="1"/>
      <c r="E2803" s="1"/>
      <c r="F2803" s="1"/>
      <c r="G2803" s="1"/>
      <c r="H2803" s="1"/>
      <c r="I2803" s="1"/>
      <c r="J2803" s="1"/>
      <c r="K2803" s="1"/>
      <c r="L2803" s="1"/>
      <c r="M2803" s="1"/>
      <c r="N2803" s="1"/>
      <c r="O2803" s="3"/>
    </row>
    <row r="2804" spans="1:15" ht="13.8">
      <c r="A2804" s="1"/>
      <c r="B2804" s="1"/>
      <c r="C2804" s="1"/>
      <c r="D2804" s="1"/>
      <c r="E2804" s="1"/>
      <c r="F2804" s="1"/>
      <c r="G2804" s="1"/>
      <c r="H2804" s="1"/>
      <c r="I2804" s="1"/>
      <c r="J2804" s="1"/>
      <c r="K2804" s="1"/>
      <c r="L2804" s="1"/>
      <c r="M2804" s="1"/>
      <c r="N2804" s="1"/>
      <c r="O2804" s="3"/>
    </row>
    <row r="2805" spans="1:15" ht="13.8">
      <c r="A2805" s="1"/>
      <c r="B2805" s="1"/>
      <c r="C2805" s="1"/>
      <c r="D2805" s="1"/>
      <c r="E2805" s="1"/>
      <c r="F2805" s="1"/>
      <c r="G2805" s="1"/>
      <c r="H2805" s="1"/>
      <c r="I2805" s="1"/>
      <c r="J2805" s="1"/>
      <c r="K2805" s="1"/>
      <c r="L2805" s="1"/>
      <c r="M2805" s="1"/>
      <c r="N2805" s="1"/>
      <c r="O2805" s="3"/>
    </row>
    <row r="2806" spans="1:15" ht="13.8">
      <c r="A2806" s="1"/>
      <c r="B2806" s="1"/>
      <c r="C2806" s="1"/>
      <c r="D2806" s="1"/>
      <c r="E2806" s="1"/>
      <c r="F2806" s="1"/>
      <c r="G2806" s="1"/>
      <c r="H2806" s="1"/>
      <c r="I2806" s="1"/>
      <c r="J2806" s="1"/>
      <c r="K2806" s="1"/>
      <c r="L2806" s="1"/>
      <c r="M2806" s="1"/>
      <c r="N2806" s="1"/>
      <c r="O2806" s="3"/>
    </row>
    <row r="2807" spans="1:15" ht="13.8">
      <c r="A2807" s="1"/>
      <c r="B2807" s="1"/>
      <c r="C2807" s="1"/>
      <c r="D2807" s="1"/>
      <c r="E2807" s="1"/>
      <c r="F2807" s="1"/>
      <c r="G2807" s="1"/>
      <c r="H2807" s="1"/>
      <c r="I2807" s="1"/>
      <c r="J2807" s="1"/>
      <c r="K2807" s="1"/>
      <c r="L2807" s="1"/>
      <c r="M2807" s="1"/>
      <c r="N2807" s="1"/>
      <c r="O2807" s="3"/>
    </row>
    <row r="2808" spans="1:15" ht="13.8">
      <c r="A2808" s="1"/>
      <c r="B2808" s="1"/>
      <c r="C2808" s="1"/>
      <c r="D2808" s="1"/>
      <c r="E2808" s="1"/>
      <c r="F2808" s="1"/>
      <c r="G2808" s="1"/>
      <c r="H2808" s="1"/>
      <c r="I2808" s="1"/>
      <c r="J2808" s="1"/>
      <c r="K2808" s="1"/>
      <c r="L2808" s="1"/>
      <c r="M2808" s="1"/>
      <c r="N2808" s="1"/>
      <c r="O2808" s="3"/>
    </row>
    <row r="2809" spans="1:15" ht="13.8">
      <c r="A2809" s="1"/>
      <c r="B2809" s="1"/>
      <c r="C2809" s="1"/>
      <c r="D2809" s="1"/>
      <c r="E2809" s="1"/>
      <c r="F2809" s="1"/>
      <c r="G2809" s="1"/>
      <c r="H2809" s="1"/>
      <c r="I2809" s="1"/>
      <c r="J2809" s="1"/>
      <c r="K2809" s="1"/>
      <c r="L2809" s="1"/>
      <c r="M2809" s="1"/>
      <c r="N2809" s="1"/>
      <c r="O2809" s="3"/>
    </row>
    <row r="2810" spans="1:15" ht="13.8">
      <c r="A2810" s="1"/>
      <c r="B2810" s="1"/>
      <c r="C2810" s="1"/>
      <c r="D2810" s="1"/>
      <c r="E2810" s="1"/>
      <c r="F2810" s="1"/>
      <c r="G2810" s="1"/>
      <c r="H2810" s="1"/>
      <c r="I2810" s="1"/>
      <c r="J2810" s="1"/>
      <c r="K2810" s="1"/>
      <c r="L2810" s="1"/>
      <c r="M2810" s="1"/>
      <c r="N2810" s="1"/>
      <c r="O2810" s="3"/>
    </row>
    <row r="2811" spans="1:15" ht="13.8">
      <c r="A2811" s="1"/>
      <c r="B2811" s="1"/>
      <c r="C2811" s="1"/>
      <c r="D2811" s="1"/>
      <c r="E2811" s="1"/>
      <c r="F2811" s="1"/>
      <c r="G2811" s="1"/>
      <c r="H2811" s="1"/>
      <c r="I2811" s="1"/>
      <c r="J2811" s="1"/>
      <c r="K2811" s="1"/>
      <c r="L2811" s="1"/>
      <c r="M2811" s="1"/>
      <c r="N2811" s="1"/>
      <c r="O2811" s="3"/>
    </row>
    <row r="2812" spans="1:15" ht="13.8">
      <c r="A2812" s="1"/>
      <c r="B2812" s="1"/>
      <c r="C2812" s="1"/>
      <c r="D2812" s="1"/>
      <c r="E2812" s="1"/>
      <c r="F2812" s="1"/>
      <c r="G2812" s="1"/>
      <c r="H2812" s="1"/>
      <c r="I2812" s="1"/>
      <c r="J2812" s="1"/>
      <c r="K2812" s="1"/>
      <c r="L2812" s="1"/>
      <c r="M2812" s="1"/>
      <c r="N2812" s="1"/>
      <c r="O2812" s="3"/>
    </row>
    <row r="2813" spans="1:15" ht="13.8">
      <c r="A2813" s="1"/>
      <c r="B2813" s="1"/>
      <c r="C2813" s="1"/>
      <c r="D2813" s="1"/>
      <c r="E2813" s="1"/>
      <c r="F2813" s="1"/>
      <c r="G2813" s="1"/>
      <c r="H2813" s="1"/>
      <c r="I2813" s="1"/>
      <c r="J2813" s="1"/>
      <c r="K2813" s="1"/>
      <c r="L2813" s="1"/>
      <c r="M2813" s="1"/>
      <c r="N2813" s="1"/>
      <c r="O2813" s="3"/>
    </row>
    <row r="2814" spans="1:15" ht="13.8">
      <c r="A2814" s="1"/>
      <c r="B2814" s="1"/>
      <c r="C2814" s="1"/>
      <c r="D2814" s="1"/>
      <c r="E2814" s="1"/>
      <c r="F2814" s="1"/>
      <c r="G2814" s="1"/>
      <c r="H2814" s="1"/>
      <c r="I2814" s="1"/>
      <c r="J2814" s="1"/>
      <c r="K2814" s="1"/>
      <c r="L2814" s="1"/>
      <c r="M2814" s="1"/>
      <c r="N2814" s="1"/>
      <c r="O2814" s="3"/>
    </row>
    <row r="2815" spans="1:15" ht="13.8">
      <c r="A2815" s="1"/>
      <c r="B2815" s="1"/>
      <c r="C2815" s="1"/>
      <c r="D2815" s="1"/>
      <c r="E2815" s="1"/>
      <c r="F2815" s="1"/>
      <c r="G2815" s="1"/>
      <c r="H2815" s="1"/>
      <c r="I2815" s="1"/>
      <c r="J2815" s="1"/>
      <c r="K2815" s="1"/>
      <c r="L2815" s="1"/>
      <c r="M2815" s="1"/>
      <c r="N2815" s="1"/>
      <c r="O2815" s="3"/>
    </row>
    <row r="2816" spans="1:15" ht="13.8">
      <c r="A2816" s="1"/>
      <c r="B2816" s="1"/>
      <c r="C2816" s="1"/>
      <c r="D2816" s="1"/>
      <c r="E2816" s="1"/>
      <c r="F2816" s="1"/>
      <c r="G2816" s="1"/>
      <c r="H2816" s="1"/>
      <c r="I2816" s="1"/>
      <c r="J2816" s="1"/>
      <c r="K2816" s="1"/>
      <c r="L2816" s="1"/>
      <c r="M2816" s="1"/>
      <c r="N2816" s="1"/>
      <c r="O2816" s="3"/>
    </row>
    <row r="2817" spans="1:15" ht="13.8">
      <c r="A2817" s="1"/>
      <c r="B2817" s="1"/>
      <c r="C2817" s="1"/>
      <c r="D2817" s="1"/>
      <c r="E2817" s="1"/>
      <c r="F2817" s="1"/>
      <c r="G2817" s="1"/>
      <c r="H2817" s="1"/>
      <c r="I2817" s="1"/>
      <c r="J2817" s="1"/>
      <c r="K2817" s="1"/>
      <c r="L2817" s="1"/>
      <c r="M2817" s="1"/>
      <c r="N2817" s="1"/>
      <c r="O2817" s="3"/>
    </row>
    <row r="2818" spans="1:15" ht="13.8">
      <c r="A2818" s="1"/>
      <c r="B2818" s="1"/>
      <c r="C2818" s="1"/>
      <c r="D2818" s="1"/>
      <c r="E2818" s="1"/>
      <c r="F2818" s="1"/>
      <c r="G2818" s="1"/>
      <c r="H2818" s="1"/>
      <c r="I2818" s="1"/>
      <c r="J2818" s="1"/>
      <c r="K2818" s="1"/>
      <c r="L2818" s="1"/>
      <c r="M2818" s="1"/>
      <c r="N2818" s="1"/>
      <c r="O2818" s="3"/>
    </row>
    <row r="2819" spans="1:15" ht="13.8">
      <c r="A2819" s="1"/>
      <c r="B2819" s="1"/>
      <c r="C2819" s="1"/>
      <c r="D2819" s="1"/>
      <c r="E2819" s="1"/>
      <c r="F2819" s="1"/>
      <c r="G2819" s="1"/>
      <c r="H2819" s="1"/>
      <c r="I2819" s="1"/>
      <c r="J2819" s="1"/>
      <c r="K2819" s="1"/>
      <c r="L2819" s="1"/>
      <c r="M2819" s="1"/>
      <c r="N2819" s="1"/>
      <c r="O2819" s="3"/>
    </row>
    <row r="2820" spans="1:15" ht="13.8">
      <c r="A2820" s="1"/>
      <c r="B2820" s="1"/>
      <c r="C2820" s="1"/>
      <c r="D2820" s="1"/>
      <c r="E2820" s="1"/>
      <c r="F2820" s="1"/>
      <c r="G2820" s="1"/>
      <c r="H2820" s="1"/>
      <c r="I2820" s="1"/>
      <c r="J2820" s="1"/>
      <c r="K2820" s="1"/>
      <c r="L2820" s="1"/>
      <c r="M2820" s="1"/>
      <c r="N2820" s="1"/>
      <c r="O2820" s="3"/>
    </row>
    <row r="2821" spans="1:15" ht="13.8">
      <c r="A2821" s="1"/>
      <c r="B2821" s="1"/>
      <c r="C2821" s="1"/>
      <c r="D2821" s="1"/>
      <c r="E2821" s="1"/>
      <c r="F2821" s="1"/>
      <c r="G2821" s="1"/>
      <c r="H2821" s="1"/>
      <c r="I2821" s="1"/>
      <c r="J2821" s="1"/>
      <c r="K2821" s="1"/>
      <c r="L2821" s="1"/>
      <c r="M2821" s="1"/>
      <c r="N2821" s="1"/>
      <c r="O2821" s="3"/>
    </row>
    <row r="2822" spans="1:15" ht="13.8">
      <c r="A2822" s="1"/>
      <c r="B2822" s="1"/>
      <c r="C2822" s="1"/>
      <c r="D2822" s="1"/>
      <c r="E2822" s="1"/>
      <c r="F2822" s="1"/>
      <c r="G2822" s="1"/>
      <c r="H2822" s="1"/>
      <c r="I2822" s="1"/>
      <c r="J2822" s="1"/>
      <c r="K2822" s="1"/>
      <c r="L2822" s="1"/>
      <c r="M2822" s="1"/>
      <c r="N2822" s="1"/>
      <c r="O2822" s="3"/>
    </row>
    <row r="2823" spans="1:15" ht="13.8">
      <c r="A2823" s="1"/>
      <c r="B2823" s="1"/>
      <c r="C2823" s="1"/>
      <c r="D2823" s="1"/>
      <c r="E2823" s="1"/>
      <c r="F2823" s="1"/>
      <c r="G2823" s="1"/>
      <c r="H2823" s="1"/>
      <c r="I2823" s="1"/>
      <c r="J2823" s="1"/>
      <c r="K2823" s="1"/>
      <c r="L2823" s="1"/>
      <c r="M2823" s="1"/>
      <c r="N2823" s="1"/>
      <c r="O2823" s="3"/>
    </row>
    <row r="2824" spans="1:15" ht="13.8">
      <c r="A2824" s="1"/>
      <c r="B2824" s="1"/>
      <c r="C2824" s="1"/>
      <c r="D2824" s="1"/>
      <c r="E2824" s="1"/>
      <c r="F2824" s="1"/>
      <c r="G2824" s="1"/>
      <c r="H2824" s="1"/>
      <c r="I2824" s="1"/>
      <c r="J2824" s="1"/>
      <c r="K2824" s="1"/>
      <c r="L2824" s="1"/>
      <c r="M2824" s="1"/>
      <c r="N2824" s="1"/>
      <c r="O2824" s="3"/>
    </row>
    <row r="2825" spans="1:15" ht="13.8">
      <c r="A2825" s="1"/>
      <c r="B2825" s="1"/>
      <c r="C2825" s="1"/>
      <c r="D2825" s="1"/>
      <c r="E2825" s="1"/>
      <c r="F2825" s="1"/>
      <c r="G2825" s="1"/>
      <c r="H2825" s="1"/>
      <c r="I2825" s="1"/>
      <c r="J2825" s="1"/>
      <c r="K2825" s="1"/>
      <c r="L2825" s="1"/>
      <c r="M2825" s="1"/>
      <c r="N2825" s="1"/>
      <c r="O2825" s="3"/>
    </row>
    <row r="2826" spans="1:15" ht="13.8">
      <c r="A2826" s="1"/>
      <c r="B2826" s="1"/>
      <c r="C2826" s="1"/>
      <c r="D2826" s="1"/>
      <c r="E2826" s="1"/>
      <c r="F2826" s="1"/>
      <c r="G2826" s="1"/>
      <c r="H2826" s="1"/>
      <c r="I2826" s="1"/>
      <c r="J2826" s="1"/>
      <c r="K2826" s="1"/>
      <c r="L2826" s="1"/>
      <c r="M2826" s="1"/>
      <c r="N2826" s="1"/>
      <c r="O2826" s="3"/>
    </row>
    <row r="2827" spans="1:15" ht="13.8">
      <c r="A2827" s="1"/>
      <c r="B2827" s="1"/>
      <c r="C2827" s="1"/>
      <c r="D2827" s="1"/>
      <c r="E2827" s="1"/>
      <c r="F2827" s="1"/>
      <c r="G2827" s="1"/>
      <c r="H2827" s="1"/>
      <c r="I2827" s="1"/>
      <c r="J2827" s="1"/>
      <c r="K2827" s="1"/>
      <c r="L2827" s="1"/>
      <c r="M2827" s="1"/>
      <c r="N2827" s="1"/>
      <c r="O2827" s="3"/>
    </row>
    <row r="2828" spans="1:15" ht="13.8">
      <c r="A2828" s="1"/>
      <c r="B2828" s="1"/>
      <c r="C2828" s="1"/>
      <c r="D2828" s="1"/>
      <c r="E2828" s="1"/>
      <c r="F2828" s="1"/>
      <c r="G2828" s="1"/>
      <c r="H2828" s="1"/>
      <c r="I2828" s="1"/>
      <c r="J2828" s="1"/>
      <c r="K2828" s="1"/>
      <c r="L2828" s="1"/>
      <c r="M2828" s="1"/>
      <c r="N2828" s="1"/>
      <c r="O2828" s="3"/>
    </row>
    <row r="2829" spans="1:15" ht="13.8">
      <c r="A2829" s="1"/>
      <c r="B2829" s="1"/>
      <c r="C2829" s="1"/>
      <c r="D2829" s="1"/>
      <c r="E2829" s="1"/>
      <c r="F2829" s="1"/>
      <c r="G2829" s="1"/>
      <c r="H2829" s="1"/>
      <c r="I2829" s="1"/>
      <c r="J2829" s="1"/>
      <c r="K2829" s="1"/>
      <c r="L2829" s="1"/>
      <c r="M2829" s="1"/>
      <c r="N2829" s="1"/>
      <c r="O2829" s="3"/>
    </row>
    <row r="2830" spans="1:15" ht="13.8">
      <c r="A2830" s="1"/>
      <c r="B2830" s="1"/>
      <c r="C2830" s="1"/>
      <c r="D2830" s="1"/>
      <c r="E2830" s="1"/>
      <c r="F2830" s="1"/>
      <c r="G2830" s="1"/>
      <c r="H2830" s="1"/>
      <c r="I2830" s="1"/>
      <c r="J2830" s="1"/>
      <c r="K2830" s="1"/>
      <c r="L2830" s="1"/>
      <c r="M2830" s="1"/>
      <c r="N2830" s="1"/>
      <c r="O2830" s="3"/>
    </row>
    <row r="2831" spans="1:15" ht="13.8">
      <c r="A2831" s="1"/>
      <c r="B2831" s="1"/>
      <c r="C2831" s="1"/>
      <c r="D2831" s="1"/>
      <c r="E2831" s="1"/>
      <c r="F2831" s="1"/>
      <c r="G2831" s="1"/>
      <c r="H2831" s="1"/>
      <c r="I2831" s="1"/>
      <c r="J2831" s="1"/>
      <c r="K2831" s="1"/>
      <c r="L2831" s="1"/>
      <c r="M2831" s="1"/>
      <c r="N2831" s="1"/>
      <c r="O2831" s="3"/>
    </row>
    <row r="2832" spans="1:15" ht="13.8">
      <c r="A2832" s="1"/>
      <c r="B2832" s="1"/>
      <c r="C2832" s="1"/>
      <c r="D2832" s="1"/>
      <c r="E2832" s="1"/>
      <c r="F2832" s="1"/>
      <c r="G2832" s="1"/>
      <c r="H2832" s="1"/>
      <c r="I2832" s="1"/>
      <c r="J2832" s="1"/>
      <c r="K2832" s="1"/>
      <c r="L2832" s="1"/>
      <c r="M2832" s="1"/>
      <c r="N2832" s="1"/>
      <c r="O2832" s="3"/>
    </row>
    <row r="2833" spans="1:15" ht="13.8">
      <c r="A2833" s="1"/>
      <c r="B2833" s="1"/>
      <c r="C2833" s="1"/>
      <c r="D2833" s="1"/>
      <c r="E2833" s="1"/>
      <c r="F2833" s="1"/>
      <c r="G2833" s="1"/>
      <c r="H2833" s="1"/>
      <c r="I2833" s="1"/>
      <c r="J2833" s="1"/>
      <c r="K2833" s="1"/>
      <c r="L2833" s="1"/>
      <c r="M2833" s="1"/>
      <c r="N2833" s="1"/>
      <c r="O2833" s="3"/>
    </row>
    <row r="2834" spans="1:15" ht="13.8">
      <c r="A2834" s="1"/>
      <c r="B2834" s="1"/>
      <c r="C2834" s="1"/>
      <c r="D2834" s="1"/>
      <c r="E2834" s="1"/>
      <c r="F2834" s="1"/>
      <c r="G2834" s="1"/>
      <c r="H2834" s="1"/>
      <c r="I2834" s="1"/>
      <c r="J2834" s="1"/>
      <c r="K2834" s="1"/>
      <c r="L2834" s="1"/>
      <c r="M2834" s="1"/>
      <c r="N2834" s="1"/>
      <c r="O2834" s="3"/>
    </row>
    <row r="2835" spans="1:15" ht="13.8">
      <c r="A2835" s="1"/>
      <c r="B2835" s="1"/>
      <c r="C2835" s="1"/>
      <c r="D2835" s="1"/>
      <c r="E2835" s="1"/>
      <c r="F2835" s="1"/>
      <c r="G2835" s="1"/>
      <c r="H2835" s="1"/>
      <c r="I2835" s="1"/>
      <c r="J2835" s="1"/>
      <c r="K2835" s="1"/>
      <c r="L2835" s="1"/>
      <c r="M2835" s="1"/>
      <c r="N2835" s="1"/>
      <c r="O2835" s="3"/>
    </row>
    <row r="2836" spans="1:15" ht="13.8">
      <c r="A2836" s="1"/>
      <c r="B2836" s="1"/>
      <c r="C2836" s="1"/>
      <c r="D2836" s="1"/>
      <c r="E2836" s="1"/>
      <c r="F2836" s="1"/>
      <c r="G2836" s="1"/>
      <c r="H2836" s="1"/>
      <c r="I2836" s="1"/>
      <c r="J2836" s="1"/>
      <c r="K2836" s="1"/>
      <c r="L2836" s="1"/>
      <c r="M2836" s="1"/>
      <c r="N2836" s="1"/>
      <c r="O2836" s="3"/>
    </row>
    <row r="2837" spans="1:15" ht="13.8">
      <c r="A2837" s="1"/>
      <c r="B2837" s="1"/>
      <c r="C2837" s="1"/>
      <c r="D2837" s="1"/>
      <c r="E2837" s="1"/>
      <c r="F2837" s="1"/>
      <c r="G2837" s="1"/>
      <c r="H2837" s="1"/>
      <c r="I2837" s="1"/>
      <c r="J2837" s="1"/>
      <c r="K2837" s="1"/>
      <c r="L2837" s="1"/>
      <c r="M2837" s="1"/>
      <c r="N2837" s="1"/>
      <c r="O2837" s="3"/>
    </row>
    <row r="2838" spans="1:15" ht="13.8">
      <c r="A2838" s="1"/>
      <c r="B2838" s="1"/>
      <c r="C2838" s="1"/>
      <c r="D2838" s="1"/>
      <c r="E2838" s="1"/>
      <c r="F2838" s="1"/>
      <c r="G2838" s="1"/>
      <c r="H2838" s="1"/>
      <c r="I2838" s="1"/>
      <c r="J2838" s="1"/>
      <c r="K2838" s="1"/>
      <c r="L2838" s="1"/>
      <c r="M2838" s="1"/>
      <c r="N2838" s="1"/>
      <c r="O2838" s="3"/>
    </row>
    <row r="2839" spans="1:15" ht="13.8">
      <c r="A2839" s="1"/>
      <c r="B2839" s="1"/>
      <c r="C2839" s="1"/>
      <c r="D2839" s="1"/>
      <c r="E2839" s="1"/>
      <c r="F2839" s="1"/>
      <c r="G2839" s="1"/>
      <c r="H2839" s="1"/>
      <c r="I2839" s="1"/>
      <c r="J2839" s="1"/>
      <c r="K2839" s="1"/>
      <c r="L2839" s="1"/>
      <c r="M2839" s="1"/>
      <c r="N2839" s="1"/>
      <c r="O2839" s="3"/>
    </row>
    <row r="2840" spans="1:15" ht="13.8">
      <c r="A2840" s="1"/>
      <c r="B2840" s="1"/>
      <c r="C2840" s="1"/>
      <c r="D2840" s="1"/>
      <c r="E2840" s="1"/>
      <c r="F2840" s="1"/>
      <c r="G2840" s="1"/>
      <c r="H2840" s="1"/>
      <c r="I2840" s="1"/>
      <c r="J2840" s="1"/>
      <c r="K2840" s="1"/>
      <c r="L2840" s="1"/>
      <c r="M2840" s="1"/>
      <c r="N2840" s="1"/>
      <c r="O2840" s="3"/>
    </row>
    <row r="2841" spans="1:15" ht="13.8">
      <c r="A2841" s="1"/>
      <c r="B2841" s="1"/>
      <c r="C2841" s="1"/>
      <c r="D2841" s="1"/>
      <c r="E2841" s="1"/>
      <c r="F2841" s="1"/>
      <c r="G2841" s="1"/>
      <c r="H2841" s="1"/>
      <c r="I2841" s="1"/>
      <c r="J2841" s="1"/>
      <c r="K2841" s="1"/>
      <c r="L2841" s="1"/>
      <c r="M2841" s="1"/>
      <c r="N2841" s="1"/>
      <c r="O2841" s="3"/>
    </row>
    <row r="2842" spans="1:15" ht="13.8">
      <c r="A2842" s="1"/>
      <c r="B2842" s="1"/>
      <c r="C2842" s="1"/>
      <c r="D2842" s="1"/>
      <c r="E2842" s="1"/>
      <c r="F2842" s="1"/>
      <c r="G2842" s="1"/>
      <c r="H2842" s="1"/>
      <c r="I2842" s="1"/>
      <c r="J2842" s="1"/>
      <c r="K2842" s="1"/>
      <c r="L2842" s="1"/>
      <c r="M2842" s="1"/>
      <c r="N2842" s="1"/>
      <c r="O2842" s="3"/>
    </row>
    <row r="2843" spans="1:15" ht="13.8">
      <c r="A2843" s="1"/>
      <c r="B2843" s="1"/>
      <c r="C2843" s="1"/>
      <c r="D2843" s="1"/>
      <c r="E2843" s="1"/>
      <c r="F2843" s="1"/>
      <c r="G2843" s="1"/>
      <c r="H2843" s="1"/>
      <c r="I2843" s="1"/>
      <c r="J2843" s="1"/>
      <c r="K2843" s="1"/>
      <c r="L2843" s="1"/>
      <c r="M2843" s="1"/>
      <c r="N2843" s="1"/>
      <c r="O2843" s="3"/>
    </row>
    <row r="2844" spans="1:15" ht="13.8">
      <c r="A2844" s="1"/>
      <c r="B2844" s="1"/>
      <c r="C2844" s="1"/>
      <c r="D2844" s="1"/>
      <c r="E2844" s="1"/>
      <c r="F2844" s="1"/>
      <c r="G2844" s="1"/>
      <c r="H2844" s="1"/>
      <c r="I2844" s="1"/>
      <c r="J2844" s="1"/>
      <c r="K2844" s="1"/>
      <c r="L2844" s="1"/>
      <c r="M2844" s="1"/>
      <c r="N2844" s="1"/>
      <c r="O2844" s="3"/>
    </row>
    <row r="2845" spans="1:15" ht="13.8">
      <c r="A2845" s="1"/>
      <c r="B2845" s="1"/>
      <c r="C2845" s="1"/>
      <c r="D2845" s="1"/>
      <c r="E2845" s="1"/>
      <c r="F2845" s="1"/>
      <c r="G2845" s="1"/>
      <c r="H2845" s="1"/>
      <c r="I2845" s="1"/>
      <c r="J2845" s="1"/>
      <c r="K2845" s="1"/>
      <c r="L2845" s="1"/>
      <c r="M2845" s="1"/>
      <c r="N2845" s="1"/>
      <c r="O2845" s="3"/>
    </row>
    <row r="2846" spans="1:15" ht="13.8">
      <c r="A2846" s="1"/>
      <c r="B2846" s="1"/>
      <c r="C2846" s="1"/>
      <c r="D2846" s="1"/>
      <c r="E2846" s="1"/>
      <c r="F2846" s="1"/>
      <c r="G2846" s="1"/>
      <c r="H2846" s="1"/>
      <c r="I2846" s="1"/>
      <c r="J2846" s="1"/>
      <c r="K2846" s="1"/>
      <c r="L2846" s="1"/>
      <c r="M2846" s="1"/>
      <c r="N2846" s="1"/>
      <c r="O2846" s="3"/>
    </row>
    <row r="2847" spans="1:15" ht="13.8">
      <c r="A2847" s="1"/>
      <c r="B2847" s="1"/>
      <c r="C2847" s="1"/>
      <c r="D2847" s="1"/>
      <c r="E2847" s="1"/>
      <c r="F2847" s="1"/>
      <c r="G2847" s="1"/>
      <c r="H2847" s="1"/>
      <c r="I2847" s="1"/>
      <c r="J2847" s="1"/>
      <c r="K2847" s="1"/>
      <c r="L2847" s="1"/>
      <c r="M2847" s="1"/>
      <c r="N2847" s="1"/>
      <c r="O2847" s="3"/>
    </row>
    <row r="2848" spans="1:15" ht="13.8">
      <c r="A2848" s="1"/>
      <c r="B2848" s="1"/>
      <c r="C2848" s="1"/>
      <c r="D2848" s="1"/>
      <c r="E2848" s="1"/>
      <c r="F2848" s="1"/>
      <c r="G2848" s="1"/>
      <c r="H2848" s="1"/>
      <c r="I2848" s="1"/>
      <c r="J2848" s="1"/>
      <c r="K2848" s="1"/>
      <c r="L2848" s="1"/>
      <c r="M2848" s="1"/>
      <c r="N2848" s="1"/>
      <c r="O2848" s="3"/>
    </row>
    <row r="2849" spans="1:15" ht="13.8">
      <c r="A2849" s="1"/>
      <c r="B2849" s="1"/>
      <c r="C2849" s="1"/>
      <c r="D2849" s="1"/>
      <c r="E2849" s="1"/>
      <c r="F2849" s="1"/>
      <c r="G2849" s="1"/>
      <c r="H2849" s="1"/>
      <c r="I2849" s="1"/>
      <c r="J2849" s="1"/>
      <c r="K2849" s="1"/>
      <c r="L2849" s="1"/>
      <c r="M2849" s="1"/>
      <c r="N2849" s="1"/>
      <c r="O2849" s="3"/>
    </row>
    <row r="2850" spans="1:15" ht="13.8">
      <c r="A2850" s="1"/>
      <c r="B2850" s="1"/>
      <c r="C2850" s="1"/>
      <c r="D2850" s="1"/>
      <c r="E2850" s="1"/>
      <c r="F2850" s="1"/>
      <c r="G2850" s="1"/>
      <c r="H2850" s="1"/>
      <c r="I2850" s="1"/>
      <c r="J2850" s="1"/>
      <c r="K2850" s="1"/>
      <c r="L2850" s="1"/>
      <c r="M2850" s="1"/>
      <c r="N2850" s="1"/>
      <c r="O2850" s="3"/>
    </row>
    <row r="2851" spans="1:15" ht="13.8">
      <c r="A2851" s="1"/>
      <c r="B2851" s="1"/>
      <c r="C2851" s="1"/>
      <c r="D2851" s="1"/>
      <c r="E2851" s="1"/>
      <c r="F2851" s="1"/>
      <c r="G2851" s="1"/>
      <c r="H2851" s="1"/>
      <c r="I2851" s="1"/>
      <c r="J2851" s="1"/>
      <c r="K2851" s="1"/>
      <c r="L2851" s="1"/>
      <c r="M2851" s="1"/>
      <c r="N2851" s="1"/>
      <c r="O2851" s="3"/>
    </row>
    <row r="2852" spans="1:15" ht="13.8">
      <c r="A2852" s="1"/>
      <c r="B2852" s="1"/>
      <c r="C2852" s="1"/>
      <c r="D2852" s="1"/>
      <c r="E2852" s="1"/>
      <c r="F2852" s="1"/>
      <c r="G2852" s="1"/>
      <c r="H2852" s="1"/>
      <c r="I2852" s="1"/>
      <c r="J2852" s="1"/>
      <c r="K2852" s="1"/>
      <c r="L2852" s="1"/>
      <c r="M2852" s="1"/>
      <c r="N2852" s="1"/>
      <c r="O2852" s="3"/>
    </row>
    <row r="2853" spans="1:15" ht="13.8">
      <c r="A2853" s="1"/>
      <c r="B2853" s="1"/>
      <c r="C2853" s="1"/>
      <c r="D2853" s="1"/>
      <c r="E2853" s="1"/>
      <c r="F2853" s="1"/>
      <c r="G2853" s="1"/>
      <c r="H2853" s="1"/>
      <c r="I2853" s="1"/>
      <c r="J2853" s="1"/>
      <c r="K2853" s="1"/>
      <c r="L2853" s="1"/>
      <c r="M2853" s="1"/>
      <c r="N2853" s="1"/>
      <c r="O2853" s="3"/>
    </row>
    <row r="2854" spans="1:15" ht="13.8">
      <c r="A2854" s="1"/>
      <c r="B2854" s="1"/>
      <c r="C2854" s="1"/>
      <c r="D2854" s="1"/>
      <c r="E2854" s="1"/>
      <c r="F2854" s="1"/>
      <c r="G2854" s="1"/>
      <c r="H2854" s="1"/>
      <c r="I2854" s="1"/>
      <c r="J2854" s="1"/>
      <c r="K2854" s="1"/>
      <c r="L2854" s="1"/>
      <c r="M2854" s="1"/>
      <c r="N2854" s="1"/>
      <c r="O2854" s="3"/>
    </row>
    <row r="2855" spans="1:15" ht="13.8">
      <c r="A2855" s="1"/>
      <c r="B2855" s="1"/>
      <c r="C2855" s="1"/>
      <c r="D2855" s="1"/>
      <c r="E2855" s="1"/>
      <c r="F2855" s="1"/>
      <c r="G2855" s="1"/>
      <c r="H2855" s="1"/>
      <c r="I2855" s="1"/>
      <c r="J2855" s="1"/>
      <c r="K2855" s="1"/>
      <c r="L2855" s="1"/>
      <c r="M2855" s="1"/>
      <c r="N2855" s="1"/>
      <c r="O2855" s="3"/>
    </row>
    <row r="2856" spans="1:15" ht="13.8">
      <c r="A2856" s="1"/>
      <c r="B2856" s="1"/>
      <c r="C2856" s="1"/>
      <c r="D2856" s="1"/>
      <c r="E2856" s="1"/>
      <c r="F2856" s="1"/>
      <c r="G2856" s="1"/>
      <c r="H2856" s="1"/>
      <c r="I2856" s="1"/>
      <c r="J2856" s="1"/>
      <c r="K2856" s="1"/>
      <c r="L2856" s="1"/>
      <c r="M2856" s="1"/>
      <c r="N2856" s="1"/>
      <c r="O2856" s="3"/>
    </row>
    <row r="2857" spans="1:15" ht="13.8">
      <c r="A2857" s="1"/>
      <c r="B2857" s="1"/>
      <c r="C2857" s="1"/>
      <c r="D2857" s="1"/>
      <c r="E2857" s="1"/>
      <c r="F2857" s="1"/>
      <c r="G2857" s="1"/>
      <c r="H2857" s="1"/>
      <c r="I2857" s="1"/>
      <c r="J2857" s="1"/>
      <c r="K2857" s="1"/>
      <c r="L2857" s="1"/>
      <c r="M2857" s="1"/>
      <c r="N2857" s="1"/>
      <c r="O2857" s="3"/>
    </row>
    <row r="2858" spans="1:15" ht="13.8">
      <c r="A2858" s="1"/>
      <c r="B2858" s="1"/>
      <c r="C2858" s="1"/>
      <c r="D2858" s="1"/>
      <c r="E2858" s="1"/>
      <c r="F2858" s="1"/>
      <c r="G2858" s="1"/>
      <c r="H2858" s="1"/>
      <c r="I2858" s="1"/>
      <c r="J2858" s="1"/>
      <c r="K2858" s="1"/>
      <c r="L2858" s="1"/>
      <c r="M2858" s="1"/>
      <c r="N2858" s="1"/>
      <c r="O2858" s="3"/>
    </row>
    <row r="2859" spans="1:15" ht="13.8">
      <c r="A2859" s="1"/>
      <c r="B2859" s="1"/>
      <c r="C2859" s="1"/>
      <c r="D2859" s="1"/>
      <c r="E2859" s="1"/>
      <c r="F2859" s="1"/>
      <c r="G2859" s="1"/>
      <c r="H2859" s="1"/>
      <c r="I2859" s="1"/>
      <c r="J2859" s="1"/>
      <c r="K2859" s="1"/>
      <c r="L2859" s="1"/>
      <c r="M2859" s="1"/>
      <c r="N2859" s="1"/>
      <c r="O2859" s="3"/>
    </row>
    <row r="2860" spans="1:15" ht="13.8">
      <c r="A2860" s="1"/>
      <c r="B2860" s="1"/>
      <c r="C2860" s="1"/>
      <c r="D2860" s="1"/>
      <c r="E2860" s="1"/>
      <c r="F2860" s="1"/>
      <c r="G2860" s="1"/>
      <c r="H2860" s="1"/>
      <c r="I2860" s="1"/>
      <c r="J2860" s="1"/>
      <c r="K2860" s="1"/>
      <c r="L2860" s="1"/>
      <c r="M2860" s="1"/>
      <c r="N2860" s="1"/>
      <c r="O2860" s="3"/>
    </row>
    <row r="2861" spans="1:15" ht="13.8">
      <c r="A2861" s="1"/>
      <c r="B2861" s="1"/>
      <c r="C2861" s="1"/>
      <c r="D2861" s="1"/>
      <c r="E2861" s="1"/>
      <c r="F2861" s="1"/>
      <c r="G2861" s="1"/>
      <c r="H2861" s="1"/>
      <c r="I2861" s="1"/>
      <c r="J2861" s="1"/>
      <c r="K2861" s="1"/>
      <c r="L2861" s="1"/>
      <c r="M2861" s="1"/>
      <c r="N2861" s="1"/>
      <c r="O2861" s="3"/>
    </row>
    <row r="2862" spans="1:15" ht="13.8">
      <c r="A2862" s="1"/>
      <c r="B2862" s="1"/>
      <c r="C2862" s="1"/>
      <c r="D2862" s="1"/>
      <c r="E2862" s="1"/>
      <c r="F2862" s="1"/>
      <c r="G2862" s="1"/>
      <c r="H2862" s="1"/>
      <c r="I2862" s="1"/>
      <c r="J2862" s="1"/>
      <c r="K2862" s="1"/>
      <c r="L2862" s="1"/>
      <c r="M2862" s="1"/>
      <c r="N2862" s="1"/>
      <c r="O2862" s="3"/>
    </row>
    <row r="2863" spans="1:15" ht="13.8">
      <c r="A2863" s="1"/>
      <c r="B2863" s="1"/>
      <c r="C2863" s="1"/>
      <c r="D2863" s="1"/>
      <c r="E2863" s="1"/>
      <c r="F2863" s="1"/>
      <c r="G2863" s="1"/>
      <c r="H2863" s="1"/>
      <c r="I2863" s="1"/>
      <c r="J2863" s="1"/>
      <c r="K2863" s="1"/>
      <c r="L2863" s="1"/>
      <c r="M2863" s="1"/>
      <c r="N2863" s="1"/>
      <c r="O2863" s="3"/>
    </row>
    <row r="2864" spans="1:15" ht="13.8">
      <c r="A2864" s="1"/>
      <c r="B2864" s="1"/>
      <c r="C2864" s="1"/>
      <c r="D2864" s="1"/>
      <c r="E2864" s="1"/>
      <c r="F2864" s="1"/>
      <c r="G2864" s="1"/>
      <c r="H2864" s="1"/>
      <c r="I2864" s="1"/>
      <c r="J2864" s="1"/>
      <c r="K2864" s="1"/>
      <c r="L2864" s="1"/>
      <c r="M2864" s="1"/>
      <c r="N2864" s="1"/>
      <c r="O2864" s="3"/>
    </row>
    <row r="2865" spans="1:15" ht="13.8">
      <c r="A2865" s="1"/>
      <c r="B2865" s="1"/>
      <c r="C2865" s="1"/>
      <c r="D2865" s="1"/>
      <c r="E2865" s="1"/>
      <c r="F2865" s="1"/>
      <c r="G2865" s="1"/>
      <c r="H2865" s="1"/>
      <c r="I2865" s="1"/>
      <c r="J2865" s="1"/>
      <c r="K2865" s="1"/>
      <c r="L2865" s="1"/>
      <c r="M2865" s="1"/>
      <c r="N2865" s="1"/>
      <c r="O2865" s="3"/>
    </row>
    <row r="2866" spans="1:15" ht="13.8">
      <c r="A2866" s="1"/>
      <c r="B2866" s="1"/>
      <c r="C2866" s="1"/>
      <c r="D2866" s="1"/>
      <c r="E2866" s="1"/>
      <c r="F2866" s="1"/>
      <c r="G2866" s="1"/>
      <c r="H2866" s="1"/>
      <c r="I2866" s="1"/>
      <c r="J2866" s="1"/>
      <c r="K2866" s="1"/>
      <c r="L2866" s="1"/>
      <c r="M2866" s="1"/>
      <c r="N2866" s="1"/>
      <c r="O2866" s="3"/>
    </row>
    <row r="2867" spans="1:15" ht="13.8">
      <c r="A2867" s="1"/>
      <c r="B2867" s="1"/>
      <c r="C2867" s="1"/>
      <c r="D2867" s="1"/>
      <c r="E2867" s="1"/>
      <c r="F2867" s="1"/>
      <c r="G2867" s="1"/>
      <c r="H2867" s="1"/>
      <c r="I2867" s="1"/>
      <c r="J2867" s="1"/>
      <c r="K2867" s="1"/>
      <c r="L2867" s="1"/>
      <c r="M2867" s="1"/>
      <c r="N2867" s="1"/>
      <c r="O2867" s="3"/>
    </row>
    <row r="2868" spans="1:15" ht="13.8">
      <c r="A2868" s="1"/>
      <c r="B2868" s="1"/>
      <c r="C2868" s="1"/>
      <c r="D2868" s="1"/>
      <c r="E2868" s="1"/>
      <c r="F2868" s="1"/>
      <c r="G2868" s="1"/>
      <c r="H2868" s="1"/>
      <c r="I2868" s="1"/>
      <c r="J2868" s="1"/>
      <c r="K2868" s="1"/>
      <c r="L2868" s="1"/>
      <c r="M2868" s="1"/>
      <c r="N2868" s="1"/>
      <c r="O2868" s="3"/>
    </row>
    <row r="2869" spans="1:15" ht="13.8">
      <c r="A2869" s="1"/>
      <c r="B2869" s="1"/>
      <c r="C2869" s="1"/>
      <c r="D2869" s="1"/>
      <c r="E2869" s="1"/>
      <c r="F2869" s="1"/>
      <c r="G2869" s="1"/>
      <c r="H2869" s="1"/>
      <c r="I2869" s="1"/>
      <c r="J2869" s="1"/>
      <c r="K2869" s="1"/>
      <c r="L2869" s="1"/>
      <c r="M2869" s="1"/>
      <c r="N2869" s="1"/>
      <c r="O2869" s="3"/>
    </row>
    <row r="2870" spans="1:15" ht="13.8">
      <c r="A2870" s="1"/>
      <c r="B2870" s="1"/>
      <c r="C2870" s="1"/>
      <c r="D2870" s="1"/>
      <c r="E2870" s="1"/>
      <c r="F2870" s="1"/>
      <c r="G2870" s="1"/>
      <c r="H2870" s="1"/>
      <c r="I2870" s="1"/>
      <c r="J2870" s="1"/>
      <c r="K2870" s="1"/>
      <c r="L2870" s="1"/>
      <c r="M2870" s="1"/>
      <c r="N2870" s="1"/>
      <c r="O2870" s="3"/>
    </row>
    <row r="2871" spans="1:15" ht="13.8">
      <c r="A2871" s="1"/>
      <c r="B2871" s="1"/>
      <c r="C2871" s="1"/>
      <c r="D2871" s="1"/>
      <c r="E2871" s="1"/>
      <c r="F2871" s="1"/>
      <c r="G2871" s="1"/>
      <c r="H2871" s="1"/>
      <c r="I2871" s="1"/>
      <c r="J2871" s="1"/>
      <c r="K2871" s="1"/>
      <c r="L2871" s="1"/>
      <c r="M2871" s="1"/>
      <c r="N2871" s="1"/>
      <c r="O2871" s="3"/>
    </row>
    <row r="2872" spans="1:15" ht="13.8">
      <c r="A2872" s="1"/>
      <c r="B2872" s="1"/>
      <c r="C2872" s="1"/>
      <c r="D2872" s="1"/>
      <c r="E2872" s="1"/>
      <c r="F2872" s="1"/>
      <c r="G2872" s="1"/>
      <c r="H2872" s="1"/>
      <c r="I2872" s="1"/>
      <c r="J2872" s="1"/>
      <c r="K2872" s="1"/>
      <c r="L2872" s="1"/>
      <c r="M2872" s="1"/>
      <c r="N2872" s="1"/>
      <c r="O2872" s="3"/>
    </row>
    <row r="2873" spans="1:15" ht="13.8">
      <c r="A2873" s="1"/>
      <c r="B2873" s="1"/>
      <c r="C2873" s="1"/>
      <c r="D2873" s="1"/>
      <c r="E2873" s="1"/>
      <c r="F2873" s="1"/>
      <c r="G2873" s="1"/>
      <c r="H2873" s="1"/>
      <c r="I2873" s="1"/>
      <c r="J2873" s="1"/>
      <c r="K2873" s="1"/>
      <c r="L2873" s="1"/>
      <c r="M2873" s="1"/>
      <c r="N2873" s="1"/>
      <c r="O2873" s="3"/>
    </row>
    <row r="2874" spans="1:15" ht="13.8">
      <c r="A2874" s="1"/>
      <c r="B2874" s="1"/>
      <c r="C2874" s="1"/>
      <c r="D2874" s="1"/>
      <c r="E2874" s="1"/>
      <c r="F2874" s="1"/>
      <c r="G2874" s="1"/>
      <c r="H2874" s="1"/>
      <c r="I2874" s="1"/>
      <c r="J2874" s="1"/>
      <c r="K2874" s="1"/>
      <c r="L2874" s="1"/>
      <c r="M2874" s="1"/>
      <c r="N2874" s="1"/>
      <c r="O2874" s="3"/>
    </row>
    <row r="2875" spans="1:15" ht="13.8">
      <c r="A2875" s="1"/>
      <c r="B2875" s="1"/>
      <c r="C2875" s="1"/>
      <c r="D2875" s="1"/>
      <c r="E2875" s="1"/>
      <c r="F2875" s="1"/>
      <c r="G2875" s="1"/>
      <c r="H2875" s="1"/>
      <c r="I2875" s="1"/>
      <c r="J2875" s="1"/>
      <c r="K2875" s="1"/>
      <c r="L2875" s="1"/>
      <c r="M2875" s="1"/>
      <c r="N2875" s="1"/>
      <c r="O2875" s="3"/>
    </row>
    <row r="2876" spans="1:15" ht="13.8">
      <c r="A2876" s="1"/>
      <c r="B2876" s="1"/>
      <c r="C2876" s="1"/>
      <c r="D2876" s="1"/>
      <c r="E2876" s="1"/>
      <c r="F2876" s="1"/>
      <c r="G2876" s="1"/>
      <c r="H2876" s="1"/>
      <c r="I2876" s="1"/>
      <c r="J2876" s="1"/>
      <c r="K2876" s="1"/>
      <c r="L2876" s="1"/>
      <c r="M2876" s="1"/>
      <c r="N2876" s="1"/>
      <c r="O2876" s="3"/>
    </row>
    <row r="2877" spans="1:15" ht="13.8">
      <c r="A2877" s="1"/>
      <c r="B2877" s="1"/>
      <c r="C2877" s="1"/>
      <c r="D2877" s="1"/>
      <c r="E2877" s="1"/>
      <c r="F2877" s="1"/>
      <c r="G2877" s="1"/>
      <c r="H2877" s="1"/>
      <c r="I2877" s="1"/>
      <c r="J2877" s="1"/>
      <c r="K2877" s="1"/>
      <c r="L2877" s="1"/>
      <c r="M2877" s="1"/>
      <c r="N2877" s="1"/>
      <c r="O2877" s="3"/>
    </row>
    <row r="2878" spans="1:15" ht="13.8">
      <c r="A2878" s="1"/>
      <c r="B2878" s="1"/>
      <c r="C2878" s="1"/>
      <c r="D2878" s="1"/>
      <c r="E2878" s="1"/>
      <c r="F2878" s="1"/>
      <c r="G2878" s="1"/>
      <c r="H2878" s="1"/>
      <c r="I2878" s="1"/>
      <c r="J2878" s="1"/>
      <c r="K2878" s="1"/>
      <c r="L2878" s="1"/>
      <c r="M2878" s="1"/>
      <c r="N2878" s="1"/>
      <c r="O2878" s="3"/>
    </row>
    <row r="2879" spans="1:15" ht="13.8">
      <c r="A2879" s="1"/>
      <c r="B2879" s="1"/>
      <c r="C2879" s="1"/>
      <c r="D2879" s="1"/>
      <c r="E2879" s="1"/>
      <c r="F2879" s="1"/>
      <c r="G2879" s="1"/>
      <c r="H2879" s="1"/>
      <c r="I2879" s="1"/>
      <c r="J2879" s="1"/>
      <c r="K2879" s="1"/>
      <c r="L2879" s="1"/>
      <c r="M2879" s="1"/>
      <c r="N2879" s="1"/>
      <c r="O2879" s="3"/>
    </row>
    <row r="2880" spans="1:15" ht="13.8">
      <c r="A2880" s="1"/>
      <c r="B2880" s="1"/>
      <c r="C2880" s="1"/>
      <c r="D2880" s="1"/>
      <c r="E2880" s="1"/>
      <c r="F2880" s="1"/>
      <c r="G2880" s="1"/>
      <c r="H2880" s="1"/>
      <c r="I2880" s="1"/>
      <c r="J2880" s="1"/>
      <c r="K2880" s="1"/>
      <c r="L2880" s="1"/>
      <c r="M2880" s="1"/>
      <c r="N2880" s="1"/>
      <c r="O2880" s="3"/>
    </row>
    <row r="2881" spans="1:15" ht="13.8">
      <c r="A2881" s="1"/>
      <c r="B2881" s="1"/>
      <c r="C2881" s="1"/>
      <c r="D2881" s="1"/>
      <c r="E2881" s="1"/>
      <c r="F2881" s="1"/>
      <c r="G2881" s="1"/>
      <c r="H2881" s="1"/>
      <c r="I2881" s="1"/>
      <c r="J2881" s="1"/>
      <c r="K2881" s="1"/>
      <c r="L2881" s="1"/>
      <c r="M2881" s="1"/>
      <c r="N2881" s="1"/>
      <c r="O2881" s="3"/>
    </row>
    <row r="2882" spans="1:15" ht="13.8">
      <c r="A2882" s="1"/>
      <c r="B2882" s="1"/>
      <c r="C2882" s="1"/>
      <c r="D2882" s="1"/>
      <c r="E2882" s="1"/>
      <c r="F2882" s="1"/>
      <c r="G2882" s="1"/>
      <c r="H2882" s="1"/>
      <c r="I2882" s="1"/>
      <c r="J2882" s="1"/>
      <c r="K2882" s="1"/>
      <c r="L2882" s="1"/>
      <c r="M2882" s="1"/>
      <c r="N2882" s="1"/>
      <c r="O2882" s="3"/>
    </row>
    <row r="2883" spans="1:15" ht="13.8">
      <c r="A2883" s="1"/>
      <c r="B2883" s="1"/>
      <c r="C2883" s="1"/>
      <c r="D2883" s="1"/>
      <c r="E2883" s="1"/>
      <c r="F2883" s="1"/>
      <c r="G2883" s="1"/>
      <c r="H2883" s="1"/>
      <c r="I2883" s="1"/>
      <c r="J2883" s="1"/>
      <c r="K2883" s="1"/>
      <c r="L2883" s="1"/>
      <c r="M2883" s="1"/>
      <c r="N2883" s="1"/>
      <c r="O2883" s="3"/>
    </row>
    <row r="2884" spans="1:15" ht="13.8">
      <c r="A2884" s="1"/>
      <c r="B2884" s="1"/>
      <c r="C2884" s="1"/>
      <c r="D2884" s="1"/>
      <c r="E2884" s="1"/>
      <c r="F2884" s="1"/>
      <c r="G2884" s="1"/>
      <c r="H2884" s="1"/>
      <c r="I2884" s="1"/>
      <c r="J2884" s="1"/>
      <c r="K2884" s="1"/>
      <c r="L2884" s="1"/>
      <c r="M2884" s="1"/>
      <c r="N2884" s="1"/>
      <c r="O2884" s="3"/>
    </row>
    <row r="2885" spans="1:15" ht="13.8">
      <c r="A2885" s="1"/>
      <c r="B2885" s="1"/>
      <c r="C2885" s="1"/>
      <c r="D2885" s="1"/>
      <c r="E2885" s="1"/>
      <c r="F2885" s="1"/>
      <c r="G2885" s="1"/>
      <c r="H2885" s="1"/>
      <c r="I2885" s="1"/>
      <c r="J2885" s="1"/>
      <c r="K2885" s="1"/>
      <c r="L2885" s="1"/>
      <c r="M2885" s="1"/>
      <c r="N2885" s="1"/>
      <c r="O2885" s="3"/>
    </row>
    <row r="2886" spans="1:15" ht="13.8">
      <c r="A2886" s="1"/>
      <c r="B2886" s="1"/>
      <c r="C2886" s="1"/>
      <c r="D2886" s="1"/>
      <c r="E2886" s="1"/>
      <c r="F2886" s="1"/>
      <c r="G2886" s="1"/>
      <c r="H2886" s="1"/>
      <c r="I2886" s="1"/>
      <c r="J2886" s="1"/>
      <c r="K2886" s="1"/>
      <c r="L2886" s="1"/>
      <c r="M2886" s="1"/>
      <c r="N2886" s="1"/>
      <c r="O2886" s="3"/>
    </row>
    <row r="2887" spans="1:15" ht="13.8">
      <c r="A2887" s="1"/>
      <c r="B2887" s="1"/>
      <c r="C2887" s="1"/>
      <c r="D2887" s="1"/>
      <c r="E2887" s="1"/>
      <c r="F2887" s="1"/>
      <c r="G2887" s="1"/>
      <c r="H2887" s="1"/>
      <c r="I2887" s="1"/>
      <c r="J2887" s="1"/>
      <c r="K2887" s="1"/>
      <c r="L2887" s="1"/>
      <c r="M2887" s="1"/>
      <c r="N2887" s="1"/>
      <c r="O2887" s="3"/>
    </row>
    <row r="2888" spans="1:15" ht="13.8">
      <c r="A2888" s="1"/>
      <c r="B2888" s="1"/>
      <c r="C2888" s="1"/>
      <c r="D2888" s="1"/>
      <c r="E2888" s="1"/>
      <c r="F2888" s="1"/>
      <c r="G2888" s="1"/>
      <c r="H2888" s="1"/>
      <c r="I2888" s="1"/>
      <c r="J2888" s="1"/>
      <c r="K2888" s="1"/>
      <c r="L2888" s="1"/>
      <c r="M2888" s="1"/>
      <c r="N2888" s="1"/>
      <c r="O2888" s="3"/>
    </row>
    <row r="2889" spans="1:15" ht="13.8">
      <c r="A2889" s="1"/>
      <c r="B2889" s="1"/>
      <c r="C2889" s="1"/>
      <c r="D2889" s="1"/>
      <c r="E2889" s="1"/>
      <c r="F2889" s="1"/>
      <c r="G2889" s="1"/>
      <c r="H2889" s="1"/>
      <c r="I2889" s="1"/>
      <c r="J2889" s="1"/>
      <c r="K2889" s="1"/>
      <c r="L2889" s="1"/>
      <c r="M2889" s="1"/>
      <c r="N2889" s="1"/>
      <c r="O2889" s="3"/>
    </row>
    <row r="2890" spans="1:15" ht="13.8">
      <c r="A2890" s="1"/>
      <c r="B2890" s="1"/>
      <c r="C2890" s="1"/>
      <c r="D2890" s="1"/>
      <c r="E2890" s="1"/>
      <c r="F2890" s="1"/>
      <c r="G2890" s="1"/>
      <c r="H2890" s="1"/>
      <c r="I2890" s="1"/>
      <c r="J2890" s="1"/>
      <c r="K2890" s="1"/>
      <c r="L2890" s="1"/>
      <c r="M2890" s="1"/>
      <c r="N2890" s="1"/>
      <c r="O2890" s="3"/>
    </row>
    <row r="2891" spans="1:15" ht="13.8">
      <c r="A2891" s="1"/>
      <c r="B2891" s="1"/>
      <c r="C2891" s="1"/>
      <c r="D2891" s="1"/>
      <c r="E2891" s="1"/>
      <c r="F2891" s="1"/>
      <c r="G2891" s="1"/>
      <c r="H2891" s="1"/>
      <c r="I2891" s="1"/>
      <c r="J2891" s="1"/>
      <c r="K2891" s="1"/>
      <c r="L2891" s="1"/>
      <c r="M2891" s="1"/>
      <c r="N2891" s="1"/>
      <c r="O2891" s="3"/>
    </row>
    <row r="2892" spans="1:15" ht="13.8">
      <c r="A2892" s="1"/>
      <c r="B2892" s="1"/>
      <c r="C2892" s="1"/>
      <c r="D2892" s="1"/>
      <c r="E2892" s="1"/>
      <c r="F2892" s="1"/>
      <c r="G2892" s="1"/>
      <c r="H2892" s="1"/>
      <c r="I2892" s="1"/>
      <c r="J2892" s="1"/>
      <c r="K2892" s="1"/>
      <c r="L2892" s="1"/>
      <c r="M2892" s="1"/>
      <c r="N2892" s="1"/>
      <c r="O2892" s="3"/>
    </row>
    <row r="2893" spans="1:15" ht="13.8">
      <c r="A2893" s="1"/>
      <c r="B2893" s="1"/>
      <c r="C2893" s="1"/>
      <c r="D2893" s="1"/>
      <c r="E2893" s="1"/>
      <c r="F2893" s="1"/>
      <c r="G2893" s="1"/>
      <c r="H2893" s="1"/>
      <c r="I2893" s="1"/>
      <c r="J2893" s="1"/>
      <c r="K2893" s="1"/>
      <c r="L2893" s="1"/>
      <c r="M2893" s="1"/>
      <c r="N2893" s="1"/>
      <c r="O2893" s="3"/>
    </row>
    <row r="2894" spans="1:15" ht="13.8">
      <c r="A2894" s="1"/>
      <c r="B2894" s="1"/>
      <c r="C2894" s="1"/>
      <c r="D2894" s="1"/>
      <c r="E2894" s="1"/>
      <c r="F2894" s="1"/>
      <c r="G2894" s="1"/>
      <c r="H2894" s="1"/>
      <c r="I2894" s="1"/>
      <c r="J2894" s="1"/>
      <c r="K2894" s="1"/>
      <c r="L2894" s="1"/>
      <c r="M2894" s="1"/>
      <c r="N2894" s="1"/>
      <c r="O2894" s="3"/>
    </row>
    <row r="2895" spans="1:15" ht="13.8">
      <c r="A2895" s="1"/>
      <c r="B2895" s="1"/>
      <c r="C2895" s="1"/>
      <c r="D2895" s="1"/>
      <c r="E2895" s="1"/>
      <c r="F2895" s="1"/>
      <c r="G2895" s="1"/>
      <c r="H2895" s="1"/>
      <c r="I2895" s="1"/>
      <c r="J2895" s="1"/>
      <c r="K2895" s="1"/>
      <c r="L2895" s="1"/>
      <c r="M2895" s="1"/>
      <c r="N2895" s="1"/>
      <c r="O2895" s="3"/>
    </row>
    <row r="2896" spans="1:15" ht="13.8">
      <c r="A2896" s="1"/>
      <c r="B2896" s="1"/>
      <c r="C2896" s="1"/>
      <c r="D2896" s="1"/>
      <c r="E2896" s="1"/>
      <c r="F2896" s="1"/>
      <c r="G2896" s="1"/>
      <c r="H2896" s="1"/>
      <c r="I2896" s="1"/>
      <c r="J2896" s="1"/>
      <c r="K2896" s="1"/>
      <c r="L2896" s="1"/>
      <c r="M2896" s="1"/>
      <c r="N2896" s="1"/>
      <c r="O2896" s="3"/>
    </row>
    <row r="2897" spans="1:15" ht="13.8">
      <c r="A2897" s="1"/>
      <c r="B2897" s="1"/>
      <c r="C2897" s="1"/>
      <c r="D2897" s="1"/>
      <c r="E2897" s="1"/>
      <c r="F2897" s="1"/>
      <c r="G2897" s="1"/>
      <c r="H2897" s="1"/>
      <c r="I2897" s="1"/>
      <c r="J2897" s="1"/>
      <c r="K2897" s="1"/>
      <c r="L2897" s="1"/>
      <c r="M2897" s="1"/>
      <c r="N2897" s="1"/>
      <c r="O2897" s="3"/>
    </row>
    <row r="2898" spans="1:15" ht="13.8">
      <c r="A2898" s="1"/>
      <c r="B2898" s="1"/>
      <c r="C2898" s="1"/>
      <c r="D2898" s="1"/>
      <c r="E2898" s="1"/>
      <c r="F2898" s="1"/>
      <c r="G2898" s="1"/>
      <c r="H2898" s="1"/>
      <c r="I2898" s="1"/>
      <c r="J2898" s="1"/>
      <c r="K2898" s="1"/>
      <c r="L2898" s="1"/>
      <c r="M2898" s="1"/>
      <c r="N2898" s="1"/>
      <c r="O2898" s="3"/>
    </row>
    <row r="2899" spans="1:15" ht="13.8">
      <c r="A2899" s="1"/>
      <c r="B2899" s="1"/>
      <c r="C2899" s="1"/>
      <c r="D2899" s="1"/>
      <c r="E2899" s="1"/>
      <c r="F2899" s="1"/>
      <c r="G2899" s="1"/>
      <c r="H2899" s="1"/>
      <c r="I2899" s="1"/>
      <c r="J2899" s="1"/>
      <c r="K2899" s="1"/>
      <c r="L2899" s="1"/>
      <c r="M2899" s="1"/>
      <c r="N2899" s="1"/>
      <c r="O2899" s="3"/>
    </row>
    <row r="2900" spans="1:15" ht="13.8">
      <c r="A2900" s="1"/>
      <c r="B2900" s="1"/>
      <c r="C2900" s="1"/>
      <c r="D2900" s="1"/>
      <c r="E2900" s="1"/>
      <c r="F2900" s="1"/>
      <c r="G2900" s="1"/>
      <c r="H2900" s="1"/>
      <c r="I2900" s="1"/>
      <c r="J2900" s="1"/>
      <c r="K2900" s="1"/>
      <c r="L2900" s="1"/>
      <c r="M2900" s="1"/>
      <c r="N2900" s="1"/>
      <c r="O2900" s="3"/>
    </row>
    <row r="2901" spans="1:15" ht="13.8">
      <c r="A2901" s="1"/>
      <c r="B2901" s="1"/>
      <c r="C2901" s="1"/>
      <c r="D2901" s="1"/>
      <c r="E2901" s="1"/>
      <c r="F2901" s="1"/>
      <c r="G2901" s="1"/>
      <c r="H2901" s="1"/>
      <c r="I2901" s="1"/>
      <c r="J2901" s="1"/>
      <c r="K2901" s="1"/>
      <c r="L2901" s="1"/>
      <c r="M2901" s="1"/>
      <c r="N2901" s="1"/>
      <c r="O2901" s="3"/>
    </row>
    <row r="2902" spans="1:15" ht="13.8">
      <c r="A2902" s="1"/>
      <c r="B2902" s="1"/>
      <c r="C2902" s="1"/>
      <c r="D2902" s="1"/>
      <c r="E2902" s="1"/>
      <c r="F2902" s="1"/>
      <c r="G2902" s="1"/>
      <c r="H2902" s="1"/>
      <c r="I2902" s="1"/>
      <c r="J2902" s="1"/>
      <c r="K2902" s="1"/>
      <c r="L2902" s="1"/>
      <c r="M2902" s="1"/>
      <c r="N2902" s="1"/>
      <c r="O2902" s="3"/>
    </row>
    <row r="2903" spans="1:15" ht="13.8">
      <c r="A2903" s="1"/>
      <c r="B2903" s="1"/>
      <c r="C2903" s="1"/>
      <c r="D2903" s="1"/>
      <c r="E2903" s="1"/>
      <c r="F2903" s="1"/>
      <c r="G2903" s="1"/>
      <c r="H2903" s="1"/>
      <c r="I2903" s="1"/>
      <c r="J2903" s="1"/>
      <c r="K2903" s="1"/>
      <c r="L2903" s="1"/>
      <c r="M2903" s="1"/>
      <c r="N2903" s="1"/>
      <c r="O2903" s="3"/>
    </row>
    <row r="2904" spans="1:15" ht="13.8">
      <c r="A2904" s="1"/>
      <c r="B2904" s="1"/>
      <c r="C2904" s="1"/>
      <c r="D2904" s="1"/>
      <c r="E2904" s="1"/>
      <c r="F2904" s="1"/>
      <c r="G2904" s="1"/>
      <c r="H2904" s="1"/>
      <c r="I2904" s="1"/>
      <c r="J2904" s="1"/>
      <c r="K2904" s="1"/>
      <c r="L2904" s="1"/>
      <c r="M2904" s="1"/>
      <c r="N2904" s="1"/>
      <c r="O2904" s="3"/>
    </row>
    <row r="2905" spans="1:15" ht="13.8">
      <c r="A2905" s="1"/>
      <c r="B2905" s="1"/>
      <c r="C2905" s="1"/>
      <c r="D2905" s="1"/>
      <c r="E2905" s="1"/>
      <c r="F2905" s="1"/>
      <c r="G2905" s="1"/>
      <c r="H2905" s="1"/>
      <c r="I2905" s="1"/>
      <c r="J2905" s="1"/>
      <c r="K2905" s="1"/>
      <c r="L2905" s="1"/>
      <c r="M2905" s="1"/>
      <c r="N2905" s="1"/>
      <c r="O2905" s="3"/>
    </row>
    <row r="2906" spans="1:15" ht="13.8">
      <c r="A2906" s="1"/>
      <c r="B2906" s="1"/>
      <c r="C2906" s="1"/>
      <c r="D2906" s="1"/>
      <c r="E2906" s="1"/>
      <c r="F2906" s="1"/>
      <c r="G2906" s="1"/>
      <c r="H2906" s="1"/>
      <c r="I2906" s="1"/>
      <c r="J2906" s="1"/>
      <c r="K2906" s="1"/>
      <c r="L2906" s="1"/>
      <c r="M2906" s="1"/>
      <c r="N2906" s="1"/>
      <c r="O2906" s="3"/>
    </row>
    <row r="2907" spans="1:15" ht="13.8">
      <c r="A2907" s="1"/>
      <c r="B2907" s="1"/>
      <c r="C2907" s="1"/>
      <c r="D2907" s="1"/>
      <c r="E2907" s="1"/>
      <c r="F2907" s="1"/>
      <c r="G2907" s="1"/>
      <c r="H2907" s="1"/>
      <c r="I2907" s="1"/>
      <c r="J2907" s="1"/>
      <c r="K2907" s="1"/>
      <c r="L2907" s="1"/>
      <c r="M2907" s="1"/>
      <c r="N2907" s="1"/>
      <c r="O2907" s="3"/>
    </row>
    <row r="2908" spans="1:15" ht="13.8">
      <c r="A2908" s="1"/>
      <c r="B2908" s="1"/>
      <c r="C2908" s="1"/>
      <c r="D2908" s="1"/>
      <c r="E2908" s="1"/>
      <c r="F2908" s="1"/>
      <c r="G2908" s="1"/>
      <c r="H2908" s="1"/>
      <c r="I2908" s="1"/>
      <c r="J2908" s="1"/>
      <c r="K2908" s="1"/>
      <c r="L2908" s="1"/>
      <c r="M2908" s="1"/>
      <c r="N2908" s="1"/>
      <c r="O2908" s="3"/>
    </row>
    <row r="2909" spans="1:15" ht="13.8">
      <c r="A2909" s="1"/>
      <c r="B2909" s="1"/>
      <c r="C2909" s="1"/>
      <c r="D2909" s="1"/>
      <c r="E2909" s="1"/>
      <c r="F2909" s="1"/>
      <c r="G2909" s="1"/>
      <c r="H2909" s="1"/>
      <c r="I2909" s="1"/>
      <c r="J2909" s="1"/>
      <c r="K2909" s="1"/>
      <c r="L2909" s="1"/>
      <c r="M2909" s="1"/>
      <c r="N2909" s="1"/>
      <c r="O2909" s="3"/>
    </row>
    <row r="2910" spans="1:15" ht="13.8">
      <c r="A2910" s="1"/>
      <c r="B2910" s="1"/>
      <c r="C2910" s="1"/>
      <c r="D2910" s="1"/>
      <c r="E2910" s="1"/>
      <c r="F2910" s="1"/>
      <c r="G2910" s="1"/>
      <c r="H2910" s="1"/>
      <c r="I2910" s="1"/>
      <c r="J2910" s="1"/>
      <c r="K2910" s="1"/>
      <c r="L2910" s="1"/>
      <c r="M2910" s="1"/>
      <c r="N2910" s="1"/>
      <c r="O2910" s="3"/>
    </row>
    <row r="2911" spans="1:15" ht="13.8">
      <c r="A2911" s="1"/>
      <c r="B2911" s="1"/>
      <c r="C2911" s="1"/>
      <c r="D2911" s="1"/>
      <c r="E2911" s="1"/>
      <c r="F2911" s="1"/>
      <c r="G2911" s="1"/>
      <c r="H2911" s="1"/>
      <c r="I2911" s="1"/>
      <c r="J2911" s="1"/>
      <c r="K2911" s="1"/>
      <c r="L2911" s="1"/>
      <c r="M2911" s="1"/>
      <c r="N2911" s="1"/>
      <c r="O2911" s="3"/>
    </row>
    <row r="2912" spans="1:15" ht="13.8">
      <c r="A2912" s="1"/>
      <c r="B2912" s="1"/>
      <c r="C2912" s="1"/>
      <c r="D2912" s="1"/>
      <c r="E2912" s="1"/>
      <c r="F2912" s="1"/>
      <c r="G2912" s="1"/>
      <c r="H2912" s="1"/>
      <c r="I2912" s="1"/>
      <c r="J2912" s="1"/>
      <c r="K2912" s="1"/>
      <c r="L2912" s="1"/>
      <c r="M2912" s="1"/>
      <c r="N2912" s="1"/>
      <c r="O2912" s="3"/>
    </row>
    <row r="2913" spans="1:15" ht="13.8">
      <c r="A2913" s="1"/>
      <c r="B2913" s="1"/>
      <c r="C2913" s="1"/>
      <c r="D2913" s="1"/>
      <c r="E2913" s="1"/>
      <c r="F2913" s="1"/>
      <c r="G2913" s="1"/>
      <c r="H2913" s="1"/>
      <c r="I2913" s="1"/>
      <c r="J2913" s="1"/>
      <c r="K2913" s="1"/>
      <c r="L2913" s="1"/>
      <c r="M2913" s="1"/>
      <c r="N2913" s="1"/>
      <c r="O2913" s="3"/>
    </row>
    <row r="2914" spans="1:15" ht="13.8">
      <c r="A2914" s="1"/>
      <c r="B2914" s="1"/>
      <c r="C2914" s="1"/>
      <c r="D2914" s="1"/>
      <c r="E2914" s="1"/>
      <c r="F2914" s="1"/>
      <c r="G2914" s="1"/>
      <c r="H2914" s="1"/>
      <c r="I2914" s="1"/>
      <c r="J2914" s="1"/>
      <c r="K2914" s="1"/>
      <c r="L2914" s="1"/>
      <c r="M2914" s="1"/>
      <c r="N2914" s="1"/>
      <c r="O2914" s="3"/>
    </row>
    <row r="2915" spans="1:15" ht="13.8">
      <c r="A2915" s="1"/>
      <c r="B2915" s="1"/>
      <c r="C2915" s="1"/>
      <c r="D2915" s="1"/>
      <c r="E2915" s="1"/>
      <c r="F2915" s="1"/>
      <c r="G2915" s="1"/>
      <c r="H2915" s="1"/>
      <c r="I2915" s="1"/>
      <c r="J2915" s="1"/>
      <c r="K2915" s="1"/>
      <c r="L2915" s="1"/>
      <c r="M2915" s="1"/>
      <c r="N2915" s="1"/>
      <c r="O2915" s="3"/>
    </row>
    <row r="2916" spans="1:15" ht="13.8">
      <c r="A2916" s="1"/>
      <c r="B2916" s="1"/>
      <c r="C2916" s="1"/>
      <c r="D2916" s="1"/>
      <c r="E2916" s="1"/>
      <c r="F2916" s="1"/>
      <c r="G2916" s="1"/>
      <c r="H2916" s="1"/>
      <c r="I2916" s="1"/>
      <c r="J2916" s="1"/>
      <c r="K2916" s="1"/>
      <c r="L2916" s="1"/>
      <c r="M2916" s="1"/>
      <c r="N2916" s="1"/>
      <c r="O2916" s="3"/>
    </row>
    <row r="2917" spans="1:15" ht="13.8">
      <c r="A2917" s="1"/>
      <c r="B2917" s="1"/>
      <c r="C2917" s="1"/>
      <c r="D2917" s="1"/>
      <c r="E2917" s="1"/>
      <c r="F2917" s="1"/>
      <c r="G2917" s="1"/>
      <c r="H2917" s="1"/>
      <c r="I2917" s="1"/>
      <c r="J2917" s="1"/>
      <c r="K2917" s="1"/>
      <c r="L2917" s="1"/>
      <c r="M2917" s="1"/>
      <c r="N2917" s="1"/>
      <c r="O2917" s="3"/>
    </row>
    <row r="2918" spans="1:15" ht="13.8">
      <c r="A2918" s="1"/>
      <c r="B2918" s="1"/>
      <c r="C2918" s="1"/>
      <c r="D2918" s="1"/>
      <c r="E2918" s="1"/>
      <c r="F2918" s="1"/>
      <c r="G2918" s="1"/>
      <c r="H2918" s="1"/>
      <c r="I2918" s="1"/>
      <c r="J2918" s="1"/>
      <c r="K2918" s="1"/>
      <c r="L2918" s="1"/>
      <c r="M2918" s="1"/>
      <c r="N2918" s="1"/>
      <c r="O2918" s="3"/>
    </row>
    <row r="2919" spans="1:15" ht="13.8">
      <c r="A2919" s="1"/>
      <c r="B2919" s="1"/>
      <c r="C2919" s="1"/>
      <c r="D2919" s="1"/>
      <c r="E2919" s="1"/>
      <c r="F2919" s="1"/>
      <c r="G2919" s="1"/>
      <c r="H2919" s="1"/>
      <c r="I2919" s="1"/>
      <c r="J2919" s="1"/>
      <c r="K2919" s="1"/>
      <c r="L2919" s="1"/>
      <c r="M2919" s="1"/>
      <c r="N2919" s="1"/>
      <c r="O2919" s="3"/>
    </row>
    <row r="2920" spans="1:15" ht="13.8">
      <c r="A2920" s="1"/>
      <c r="B2920" s="1"/>
      <c r="C2920" s="1"/>
      <c r="D2920" s="1"/>
      <c r="E2920" s="1"/>
      <c r="F2920" s="1"/>
      <c r="G2920" s="1"/>
      <c r="H2920" s="1"/>
      <c r="I2920" s="1"/>
      <c r="J2920" s="1"/>
      <c r="K2920" s="1"/>
      <c r="L2920" s="1"/>
      <c r="M2920" s="1"/>
      <c r="N2920" s="1"/>
      <c r="O2920" s="3"/>
    </row>
    <row r="2921" spans="1:15" ht="13.8">
      <c r="A2921" s="1"/>
      <c r="B2921" s="1"/>
      <c r="C2921" s="1"/>
      <c r="D2921" s="1"/>
      <c r="E2921" s="1"/>
      <c r="F2921" s="1"/>
      <c r="G2921" s="1"/>
      <c r="H2921" s="1"/>
      <c r="I2921" s="1"/>
      <c r="J2921" s="1"/>
      <c r="K2921" s="1"/>
      <c r="L2921" s="1"/>
      <c r="M2921" s="1"/>
      <c r="N2921" s="1"/>
      <c r="O2921" s="3"/>
    </row>
    <row r="2922" spans="1:15" ht="13.8">
      <c r="A2922" s="1"/>
      <c r="B2922" s="1"/>
      <c r="C2922" s="1"/>
      <c r="D2922" s="1"/>
      <c r="E2922" s="1"/>
      <c r="F2922" s="1"/>
      <c r="G2922" s="1"/>
      <c r="H2922" s="1"/>
      <c r="I2922" s="1"/>
      <c r="J2922" s="1"/>
      <c r="K2922" s="1"/>
      <c r="L2922" s="1"/>
      <c r="M2922" s="1"/>
      <c r="N2922" s="1"/>
      <c r="O2922" s="3"/>
    </row>
    <row r="2923" spans="1:15" ht="13.8">
      <c r="A2923" s="1"/>
      <c r="B2923" s="1"/>
      <c r="C2923" s="1"/>
      <c r="D2923" s="1"/>
      <c r="E2923" s="1"/>
      <c r="F2923" s="1"/>
      <c r="G2923" s="1"/>
      <c r="H2923" s="1"/>
      <c r="I2923" s="1"/>
      <c r="J2923" s="1"/>
      <c r="K2923" s="1"/>
      <c r="L2923" s="1"/>
      <c r="M2923" s="1"/>
      <c r="N2923" s="1"/>
      <c r="O2923" s="3"/>
    </row>
    <row r="2924" spans="1:15" ht="13.8">
      <c r="A2924" s="1"/>
      <c r="B2924" s="1"/>
      <c r="C2924" s="1"/>
      <c r="D2924" s="1"/>
      <c r="E2924" s="1"/>
      <c r="F2924" s="1"/>
      <c r="G2924" s="1"/>
      <c r="H2924" s="1"/>
      <c r="I2924" s="1"/>
      <c r="J2924" s="1"/>
      <c r="K2924" s="1"/>
      <c r="L2924" s="1"/>
      <c r="M2924" s="1"/>
      <c r="N2924" s="1"/>
      <c r="O2924" s="3"/>
    </row>
    <row r="2925" spans="1:15" ht="13.8">
      <c r="A2925" s="1"/>
      <c r="B2925" s="1"/>
      <c r="C2925" s="1"/>
      <c r="D2925" s="1"/>
      <c r="E2925" s="1"/>
      <c r="F2925" s="1"/>
      <c r="G2925" s="1"/>
      <c r="H2925" s="1"/>
      <c r="I2925" s="1"/>
      <c r="J2925" s="1"/>
      <c r="K2925" s="1"/>
      <c r="L2925" s="1"/>
      <c r="M2925" s="1"/>
      <c r="N2925" s="1"/>
      <c r="O2925" s="3"/>
    </row>
    <row r="2926" spans="1:15" ht="13.8">
      <c r="A2926" s="1"/>
      <c r="B2926" s="1"/>
      <c r="C2926" s="1"/>
      <c r="D2926" s="1"/>
      <c r="E2926" s="1"/>
      <c r="F2926" s="1"/>
      <c r="G2926" s="1"/>
      <c r="H2926" s="1"/>
      <c r="I2926" s="1"/>
      <c r="J2926" s="1"/>
      <c r="K2926" s="1"/>
      <c r="L2926" s="1"/>
      <c r="M2926" s="1"/>
      <c r="N2926" s="1"/>
      <c r="O2926" s="3"/>
    </row>
    <row r="2927" spans="1:15" ht="13.8">
      <c r="A2927" s="1"/>
      <c r="B2927" s="1"/>
      <c r="C2927" s="1"/>
      <c r="D2927" s="1"/>
      <c r="E2927" s="1"/>
      <c r="F2927" s="1"/>
      <c r="G2927" s="1"/>
      <c r="H2927" s="1"/>
      <c r="I2927" s="1"/>
      <c r="J2927" s="1"/>
      <c r="K2927" s="1"/>
      <c r="L2927" s="1"/>
      <c r="M2927" s="1"/>
      <c r="N2927" s="1"/>
      <c r="O2927" s="3"/>
    </row>
    <row r="2928" spans="1:15" ht="13.8">
      <c r="A2928" s="1"/>
      <c r="B2928" s="1"/>
      <c r="C2928" s="1"/>
      <c r="D2928" s="1"/>
      <c r="E2928" s="1"/>
      <c r="F2928" s="1"/>
      <c r="G2928" s="1"/>
      <c r="H2928" s="1"/>
      <c r="I2928" s="1"/>
      <c r="J2928" s="1"/>
      <c r="K2928" s="1"/>
      <c r="L2928" s="1"/>
      <c r="M2928" s="1"/>
      <c r="N2928" s="1"/>
      <c r="O2928" s="3"/>
    </row>
    <row r="2929" spans="1:15" ht="13.8">
      <c r="A2929" s="1"/>
      <c r="B2929" s="1"/>
      <c r="C2929" s="1"/>
      <c r="D2929" s="1"/>
      <c r="E2929" s="1"/>
      <c r="F2929" s="1"/>
      <c r="G2929" s="1"/>
      <c r="H2929" s="1"/>
      <c r="I2929" s="1"/>
      <c r="J2929" s="1"/>
      <c r="K2929" s="1"/>
      <c r="L2929" s="1"/>
      <c r="M2929" s="1"/>
      <c r="N2929" s="1"/>
      <c r="O2929" s="3"/>
    </row>
    <row r="2930" spans="1:15" ht="13.8">
      <c r="A2930" s="1"/>
      <c r="B2930" s="1"/>
      <c r="C2930" s="1"/>
      <c r="D2930" s="1"/>
      <c r="E2930" s="1"/>
      <c r="F2930" s="1"/>
      <c r="G2930" s="1"/>
      <c r="H2930" s="1"/>
      <c r="I2930" s="1"/>
      <c r="J2930" s="1"/>
      <c r="K2930" s="1"/>
      <c r="L2930" s="1"/>
      <c r="M2930" s="1"/>
      <c r="N2930" s="1"/>
      <c r="O2930" s="3"/>
    </row>
    <row r="2931" spans="1:15" ht="13.8">
      <c r="A2931" s="1"/>
      <c r="B2931" s="1"/>
      <c r="C2931" s="1"/>
      <c r="D2931" s="1"/>
      <c r="E2931" s="1"/>
      <c r="F2931" s="1"/>
      <c r="G2931" s="1"/>
      <c r="H2931" s="1"/>
      <c r="I2931" s="1"/>
      <c r="J2931" s="1"/>
      <c r="K2931" s="1"/>
      <c r="L2931" s="1"/>
      <c r="M2931" s="1"/>
      <c r="N2931" s="1"/>
      <c r="O2931" s="3"/>
    </row>
    <row r="2932" spans="1:15" ht="13.8">
      <c r="A2932" s="1"/>
      <c r="B2932" s="1"/>
      <c r="C2932" s="1"/>
      <c r="D2932" s="1"/>
      <c r="E2932" s="1"/>
      <c r="F2932" s="1"/>
      <c r="G2932" s="1"/>
      <c r="H2932" s="1"/>
      <c r="I2932" s="1"/>
      <c r="J2932" s="1"/>
      <c r="K2932" s="1"/>
      <c r="L2932" s="1"/>
      <c r="M2932" s="1"/>
      <c r="N2932" s="1"/>
      <c r="O2932" s="3"/>
    </row>
    <row r="2933" spans="1:15" ht="13.8">
      <c r="A2933" s="1"/>
      <c r="B2933" s="1"/>
      <c r="C2933" s="1"/>
      <c r="D2933" s="1"/>
      <c r="E2933" s="1"/>
      <c r="F2933" s="1"/>
      <c r="G2933" s="1"/>
      <c r="H2933" s="1"/>
      <c r="I2933" s="1"/>
      <c r="J2933" s="1"/>
      <c r="K2933" s="1"/>
      <c r="L2933" s="1"/>
      <c r="M2933" s="1"/>
      <c r="N2933" s="1"/>
      <c r="O2933" s="3"/>
    </row>
    <row r="2934" spans="1:15" ht="13.8">
      <c r="A2934" s="1"/>
      <c r="B2934" s="1"/>
      <c r="C2934" s="1"/>
      <c r="D2934" s="1"/>
      <c r="E2934" s="1"/>
      <c r="F2934" s="1"/>
      <c r="G2934" s="1"/>
      <c r="H2934" s="1"/>
      <c r="I2934" s="1"/>
      <c r="J2934" s="1"/>
      <c r="K2934" s="1"/>
      <c r="L2934" s="1"/>
      <c r="M2934" s="1"/>
      <c r="N2934" s="1"/>
      <c r="O2934" s="3"/>
    </row>
    <row r="2935" spans="1:15" ht="13.8">
      <c r="A2935" s="1"/>
      <c r="B2935" s="1"/>
      <c r="C2935" s="1"/>
      <c r="D2935" s="1"/>
      <c r="E2935" s="1"/>
      <c r="F2935" s="1"/>
      <c r="G2935" s="1"/>
      <c r="H2935" s="1"/>
      <c r="I2935" s="1"/>
      <c r="J2935" s="1"/>
      <c r="K2935" s="1"/>
      <c r="L2935" s="1"/>
      <c r="M2935" s="1"/>
      <c r="N2935" s="1"/>
      <c r="O2935" s="3"/>
    </row>
    <row r="2936" spans="1:15" ht="13.8">
      <c r="A2936" s="1"/>
      <c r="B2936" s="1"/>
      <c r="C2936" s="1"/>
      <c r="D2936" s="1"/>
      <c r="E2936" s="1"/>
      <c r="F2936" s="1"/>
      <c r="G2936" s="1"/>
      <c r="H2936" s="1"/>
      <c r="I2936" s="1"/>
      <c r="J2936" s="1"/>
      <c r="K2936" s="1"/>
      <c r="L2936" s="1"/>
      <c r="M2936" s="1"/>
      <c r="N2936" s="1"/>
      <c r="O2936" s="3"/>
    </row>
    <row r="2937" spans="1:15" ht="13.8">
      <c r="A2937" s="1"/>
      <c r="B2937" s="1"/>
      <c r="C2937" s="1"/>
      <c r="D2937" s="1"/>
      <c r="E2937" s="1"/>
      <c r="F2937" s="1"/>
      <c r="G2937" s="1"/>
      <c r="H2937" s="1"/>
      <c r="I2937" s="1"/>
      <c r="J2937" s="1"/>
      <c r="K2937" s="1"/>
      <c r="L2937" s="1"/>
      <c r="M2937" s="1"/>
      <c r="N2937" s="1"/>
      <c r="O2937" s="3"/>
    </row>
    <row r="2938" spans="1:15" ht="13.8">
      <c r="A2938" s="1"/>
      <c r="B2938" s="1"/>
      <c r="C2938" s="1"/>
      <c r="D2938" s="1"/>
      <c r="E2938" s="1"/>
      <c r="F2938" s="1"/>
      <c r="G2938" s="1"/>
      <c r="H2938" s="1"/>
      <c r="I2938" s="1"/>
      <c r="J2938" s="1"/>
      <c r="K2938" s="1"/>
      <c r="L2938" s="1"/>
      <c r="M2938" s="1"/>
      <c r="N2938" s="1"/>
      <c r="O2938" s="3"/>
    </row>
    <row r="2939" spans="1:15" ht="13.8">
      <c r="A2939" s="1"/>
      <c r="B2939" s="1"/>
      <c r="C2939" s="1"/>
      <c r="D2939" s="1"/>
      <c r="E2939" s="1"/>
      <c r="F2939" s="1"/>
      <c r="G2939" s="1"/>
      <c r="H2939" s="1"/>
      <c r="I2939" s="1"/>
      <c r="J2939" s="1"/>
      <c r="K2939" s="1"/>
      <c r="L2939" s="1"/>
      <c r="M2939" s="1"/>
      <c r="N2939" s="1"/>
      <c r="O2939" s="3"/>
    </row>
    <row r="2940" spans="1:15" ht="13.8">
      <c r="A2940" s="1"/>
      <c r="B2940" s="1"/>
      <c r="C2940" s="1"/>
      <c r="D2940" s="1"/>
      <c r="E2940" s="1"/>
      <c r="F2940" s="1"/>
      <c r="G2940" s="1"/>
      <c r="H2940" s="1"/>
      <c r="I2940" s="1"/>
      <c r="J2940" s="1"/>
      <c r="K2940" s="1"/>
      <c r="L2940" s="1"/>
      <c r="M2940" s="1"/>
      <c r="N2940" s="1"/>
      <c r="O2940" s="3"/>
    </row>
    <row r="2941" spans="1:15" ht="13.8">
      <c r="A2941" s="1"/>
      <c r="B2941" s="1"/>
      <c r="C2941" s="1"/>
      <c r="D2941" s="1"/>
      <c r="E2941" s="1"/>
      <c r="F2941" s="1"/>
      <c r="G2941" s="1"/>
      <c r="H2941" s="1"/>
      <c r="I2941" s="1"/>
      <c r="J2941" s="1"/>
      <c r="K2941" s="1"/>
      <c r="L2941" s="1"/>
      <c r="M2941" s="1"/>
      <c r="N2941" s="1"/>
      <c r="O2941" s="3"/>
    </row>
    <row r="2942" spans="1:15" ht="13.8">
      <c r="A2942" s="1"/>
      <c r="B2942" s="1"/>
      <c r="C2942" s="1"/>
      <c r="D2942" s="1"/>
      <c r="E2942" s="1"/>
      <c r="F2942" s="1"/>
      <c r="G2942" s="1"/>
      <c r="H2942" s="1"/>
      <c r="I2942" s="1"/>
      <c r="J2942" s="1"/>
      <c r="K2942" s="1"/>
      <c r="L2942" s="1"/>
      <c r="M2942" s="1"/>
      <c r="N2942" s="1"/>
      <c r="O2942" s="3"/>
    </row>
    <row r="2943" spans="1:15" ht="13.8">
      <c r="A2943" s="1"/>
      <c r="B2943" s="1"/>
      <c r="C2943" s="1"/>
      <c r="D2943" s="1"/>
      <c r="E2943" s="1"/>
      <c r="F2943" s="1"/>
      <c r="G2943" s="1"/>
      <c r="H2943" s="1"/>
      <c r="I2943" s="1"/>
      <c r="J2943" s="1"/>
      <c r="K2943" s="1"/>
      <c r="L2943" s="1"/>
      <c r="M2943" s="1"/>
      <c r="N2943" s="1"/>
      <c r="O2943" s="3"/>
    </row>
    <row r="2944" spans="1:15" ht="13.8">
      <c r="A2944" s="1"/>
      <c r="B2944" s="1"/>
      <c r="C2944" s="1"/>
      <c r="D2944" s="1"/>
      <c r="E2944" s="1"/>
      <c r="F2944" s="1"/>
      <c r="G2944" s="1"/>
      <c r="H2944" s="1"/>
      <c r="I2944" s="1"/>
      <c r="J2944" s="1"/>
      <c r="K2944" s="1"/>
      <c r="L2944" s="1"/>
      <c r="M2944" s="1"/>
      <c r="N2944" s="1"/>
      <c r="O2944" s="3"/>
    </row>
    <row r="2945" spans="1:15" ht="13.8">
      <c r="A2945" s="1"/>
      <c r="B2945" s="1"/>
      <c r="C2945" s="1"/>
      <c r="D2945" s="1"/>
      <c r="E2945" s="1"/>
      <c r="F2945" s="1"/>
      <c r="G2945" s="1"/>
      <c r="H2945" s="1"/>
      <c r="I2945" s="1"/>
      <c r="J2945" s="1"/>
      <c r="K2945" s="1"/>
      <c r="L2945" s="1"/>
      <c r="M2945" s="1"/>
      <c r="N2945" s="1"/>
      <c r="O2945" s="3"/>
    </row>
    <row r="2946" spans="1:15" ht="13.8">
      <c r="A2946" s="1"/>
      <c r="B2946" s="1"/>
      <c r="C2946" s="1"/>
      <c r="D2946" s="1"/>
      <c r="E2946" s="1"/>
      <c r="F2946" s="1"/>
      <c r="G2946" s="1"/>
      <c r="H2946" s="1"/>
      <c r="I2946" s="1"/>
      <c r="J2946" s="1"/>
      <c r="K2946" s="1"/>
      <c r="L2946" s="1"/>
      <c r="M2946" s="1"/>
      <c r="N2946" s="1"/>
      <c r="O2946" s="3"/>
    </row>
    <row r="2947" spans="1:15" ht="13.8">
      <c r="A2947" s="1"/>
      <c r="B2947" s="1"/>
      <c r="C2947" s="1"/>
      <c r="D2947" s="1"/>
      <c r="E2947" s="1"/>
      <c r="F2947" s="1"/>
      <c r="G2947" s="1"/>
      <c r="H2947" s="1"/>
      <c r="I2947" s="1"/>
      <c r="J2947" s="1"/>
      <c r="K2947" s="1"/>
      <c r="L2947" s="1"/>
      <c r="M2947" s="1"/>
      <c r="N2947" s="1"/>
      <c r="O2947" s="3"/>
    </row>
    <row r="2948" spans="1:15" ht="13.8">
      <c r="A2948" s="1"/>
      <c r="B2948" s="1"/>
      <c r="C2948" s="1"/>
      <c r="D2948" s="1"/>
      <c r="E2948" s="1"/>
      <c r="F2948" s="1"/>
      <c r="G2948" s="1"/>
      <c r="H2948" s="1"/>
      <c r="I2948" s="1"/>
      <c r="J2948" s="1"/>
      <c r="K2948" s="1"/>
      <c r="L2948" s="1"/>
      <c r="M2948" s="1"/>
      <c r="N2948" s="1"/>
      <c r="O2948" s="3"/>
    </row>
    <row r="2949" spans="1:15" ht="13.8">
      <c r="A2949" s="1"/>
      <c r="B2949" s="1"/>
      <c r="C2949" s="1"/>
      <c r="D2949" s="1"/>
      <c r="E2949" s="1"/>
      <c r="F2949" s="1"/>
      <c r="G2949" s="1"/>
      <c r="H2949" s="1"/>
      <c r="I2949" s="1"/>
      <c r="J2949" s="1"/>
      <c r="K2949" s="1"/>
      <c r="L2949" s="1"/>
      <c r="M2949" s="1"/>
      <c r="N2949" s="1"/>
      <c r="O2949" s="3"/>
    </row>
    <row r="2950" spans="1:15" ht="13.8">
      <c r="A2950" s="1"/>
      <c r="B2950" s="1"/>
      <c r="C2950" s="1"/>
      <c r="D2950" s="1"/>
      <c r="E2950" s="1"/>
      <c r="F2950" s="1"/>
      <c r="G2950" s="1"/>
      <c r="H2950" s="1"/>
      <c r="I2950" s="1"/>
      <c r="J2950" s="1"/>
      <c r="K2950" s="1"/>
      <c r="L2950" s="1"/>
      <c r="M2950" s="1"/>
      <c r="N2950" s="1"/>
      <c r="O2950" s="3"/>
    </row>
    <row r="2951" spans="1:15" ht="13.8">
      <c r="A2951" s="1"/>
      <c r="B2951" s="1"/>
      <c r="C2951" s="1"/>
      <c r="D2951" s="1"/>
      <c r="E2951" s="1"/>
      <c r="F2951" s="1"/>
      <c r="G2951" s="1"/>
      <c r="H2951" s="1"/>
      <c r="I2951" s="1"/>
      <c r="J2951" s="1"/>
      <c r="K2951" s="1"/>
      <c r="L2951" s="1"/>
      <c r="M2951" s="1"/>
      <c r="N2951" s="1"/>
      <c r="O2951" s="3"/>
    </row>
    <row r="2952" spans="1:15" ht="13.8">
      <c r="A2952" s="1"/>
      <c r="B2952" s="1"/>
      <c r="C2952" s="1"/>
      <c r="D2952" s="1"/>
      <c r="E2952" s="1"/>
      <c r="F2952" s="1"/>
      <c r="G2952" s="1"/>
      <c r="H2952" s="1"/>
      <c r="I2952" s="1"/>
      <c r="J2952" s="1"/>
      <c r="K2952" s="1"/>
      <c r="L2952" s="1"/>
      <c r="M2952" s="1"/>
      <c r="N2952" s="1"/>
      <c r="O2952" s="3"/>
    </row>
    <row r="2953" spans="1:15" ht="13.8">
      <c r="A2953" s="1"/>
      <c r="B2953" s="1"/>
      <c r="C2953" s="1"/>
      <c r="D2953" s="1"/>
      <c r="E2953" s="1"/>
      <c r="F2953" s="1"/>
      <c r="G2953" s="1"/>
      <c r="H2953" s="1"/>
      <c r="I2953" s="1"/>
      <c r="J2953" s="1"/>
      <c r="K2953" s="1"/>
      <c r="L2953" s="1"/>
      <c r="M2953" s="1"/>
      <c r="N2953" s="1"/>
      <c r="O2953" s="3"/>
    </row>
    <row r="2954" spans="1:15" ht="13.8">
      <c r="A2954" s="1"/>
      <c r="B2954" s="1"/>
      <c r="C2954" s="1"/>
      <c r="D2954" s="1"/>
      <c r="E2954" s="1"/>
      <c r="F2954" s="1"/>
      <c r="G2954" s="1"/>
      <c r="H2954" s="1"/>
      <c r="I2954" s="1"/>
      <c r="J2954" s="1"/>
      <c r="K2954" s="1"/>
      <c r="L2954" s="1"/>
      <c r="M2954" s="1"/>
      <c r="N2954" s="1"/>
      <c r="O2954" s="3"/>
    </row>
    <row r="2955" spans="1:15" ht="13.8">
      <c r="A2955" s="1"/>
      <c r="B2955" s="1"/>
      <c r="C2955" s="1"/>
      <c r="D2955" s="1"/>
      <c r="E2955" s="1"/>
      <c r="F2955" s="1"/>
      <c r="G2955" s="1"/>
      <c r="H2955" s="1"/>
      <c r="I2955" s="1"/>
      <c r="J2955" s="1"/>
      <c r="K2955" s="1"/>
      <c r="L2955" s="1"/>
      <c r="M2955" s="1"/>
      <c r="N2955" s="1"/>
      <c r="O2955" s="3"/>
    </row>
    <row r="2956" spans="1:15" ht="13.8">
      <c r="A2956" s="1"/>
      <c r="B2956" s="1"/>
      <c r="C2956" s="1"/>
      <c r="D2956" s="1"/>
      <c r="E2956" s="1"/>
      <c r="F2956" s="1"/>
      <c r="G2956" s="1"/>
      <c r="H2956" s="1"/>
      <c r="I2956" s="1"/>
      <c r="J2956" s="1"/>
      <c r="K2956" s="1"/>
      <c r="L2956" s="1"/>
      <c r="M2956" s="1"/>
      <c r="N2956" s="1"/>
      <c r="O2956" s="3"/>
    </row>
    <row r="2957" spans="1:15" ht="13.8">
      <c r="A2957" s="1"/>
      <c r="B2957" s="1"/>
      <c r="C2957" s="1"/>
      <c r="D2957" s="1"/>
      <c r="E2957" s="1"/>
      <c r="F2957" s="1"/>
      <c r="G2957" s="1"/>
      <c r="H2957" s="1"/>
      <c r="I2957" s="1"/>
      <c r="J2957" s="1"/>
      <c r="K2957" s="1"/>
      <c r="L2957" s="1"/>
      <c r="M2957" s="1"/>
      <c r="N2957" s="1"/>
      <c r="O2957" s="3"/>
    </row>
    <row r="2958" spans="1:15" ht="13.8">
      <c r="A2958" s="1"/>
      <c r="B2958" s="1"/>
      <c r="C2958" s="1"/>
      <c r="D2958" s="1"/>
      <c r="E2958" s="1"/>
      <c r="F2958" s="1"/>
      <c r="G2958" s="1"/>
      <c r="H2958" s="1"/>
      <c r="I2958" s="1"/>
      <c r="J2958" s="1"/>
      <c r="K2958" s="1"/>
      <c r="L2958" s="1"/>
      <c r="M2958" s="1"/>
      <c r="N2958" s="1"/>
      <c r="O2958" s="3"/>
    </row>
    <row r="2959" spans="1:15" ht="13.8">
      <c r="A2959" s="1"/>
      <c r="B2959" s="1"/>
      <c r="C2959" s="1"/>
      <c r="D2959" s="1"/>
      <c r="E2959" s="1"/>
      <c r="F2959" s="1"/>
      <c r="G2959" s="1"/>
      <c r="H2959" s="1"/>
      <c r="I2959" s="1"/>
      <c r="J2959" s="1"/>
      <c r="K2959" s="1"/>
      <c r="L2959" s="1"/>
      <c r="M2959" s="1"/>
      <c r="N2959" s="1"/>
      <c r="O2959" s="3"/>
    </row>
    <row r="2960" spans="1:15" ht="13.8">
      <c r="A2960" s="1"/>
      <c r="B2960" s="1"/>
      <c r="C2960" s="1"/>
      <c r="D2960" s="1"/>
      <c r="E2960" s="1"/>
      <c r="F2960" s="1"/>
      <c r="G2960" s="1"/>
      <c r="H2960" s="1"/>
      <c r="I2960" s="1"/>
      <c r="J2960" s="1"/>
      <c r="K2960" s="1"/>
      <c r="L2960" s="1"/>
      <c r="M2960" s="1"/>
      <c r="N2960" s="1"/>
      <c r="O2960" s="3"/>
    </row>
    <row r="2961" spans="1:15" ht="13.8">
      <c r="A2961" s="1"/>
      <c r="B2961" s="1"/>
      <c r="C2961" s="1"/>
      <c r="D2961" s="1"/>
      <c r="E2961" s="1"/>
      <c r="F2961" s="1"/>
      <c r="G2961" s="1"/>
      <c r="H2961" s="1"/>
      <c r="I2961" s="1"/>
      <c r="J2961" s="1"/>
      <c r="K2961" s="1"/>
      <c r="L2961" s="1"/>
      <c r="M2961" s="1"/>
      <c r="N2961" s="1"/>
      <c r="O2961" s="3"/>
    </row>
    <row r="2962" spans="1:15" ht="13.8">
      <c r="A2962" s="1"/>
      <c r="B2962" s="1"/>
      <c r="C2962" s="1"/>
      <c r="D2962" s="1"/>
      <c r="E2962" s="1"/>
      <c r="F2962" s="1"/>
      <c r="G2962" s="1"/>
      <c r="H2962" s="1"/>
      <c r="I2962" s="1"/>
      <c r="J2962" s="1"/>
      <c r="K2962" s="1"/>
      <c r="L2962" s="1"/>
      <c r="M2962" s="1"/>
      <c r="N2962" s="1"/>
      <c r="O2962" s="3"/>
    </row>
    <row r="2963" spans="1:15" ht="13.8">
      <c r="A2963" s="1"/>
      <c r="B2963" s="1"/>
      <c r="C2963" s="1"/>
      <c r="D2963" s="1"/>
      <c r="E2963" s="1"/>
      <c r="F2963" s="1"/>
      <c r="G2963" s="1"/>
      <c r="H2963" s="1"/>
      <c r="I2963" s="1"/>
      <c r="J2963" s="1"/>
      <c r="K2963" s="1"/>
      <c r="L2963" s="1"/>
      <c r="M2963" s="1"/>
      <c r="N2963" s="1"/>
      <c r="O2963" s="3"/>
    </row>
    <row r="2964" spans="1:15" ht="13.8">
      <c r="A2964" s="1"/>
      <c r="B2964" s="1"/>
      <c r="C2964" s="1"/>
      <c r="D2964" s="1"/>
      <c r="E2964" s="1"/>
      <c r="F2964" s="1"/>
      <c r="G2964" s="1"/>
      <c r="H2964" s="1"/>
      <c r="I2964" s="1"/>
      <c r="J2964" s="1"/>
      <c r="K2964" s="1"/>
      <c r="L2964" s="1"/>
      <c r="M2964" s="1"/>
      <c r="N2964" s="1"/>
      <c r="O2964" s="3"/>
    </row>
    <row r="2965" spans="1:15" ht="13.8">
      <c r="A2965" s="1"/>
      <c r="B2965" s="1"/>
      <c r="C2965" s="1"/>
      <c r="D2965" s="1"/>
      <c r="E2965" s="1"/>
      <c r="F2965" s="1"/>
      <c r="G2965" s="1"/>
      <c r="H2965" s="1"/>
      <c r="I2965" s="1"/>
      <c r="J2965" s="1"/>
      <c r="K2965" s="1"/>
      <c r="L2965" s="1"/>
      <c r="M2965" s="1"/>
      <c r="N2965" s="1"/>
      <c r="O2965" s="3"/>
    </row>
    <row r="2966" spans="1:15" ht="13.8">
      <c r="A2966" s="1"/>
      <c r="B2966" s="1"/>
      <c r="C2966" s="1"/>
      <c r="D2966" s="1"/>
      <c r="E2966" s="1"/>
      <c r="F2966" s="1"/>
      <c r="G2966" s="1"/>
      <c r="H2966" s="1"/>
      <c r="I2966" s="1"/>
      <c r="J2966" s="1"/>
      <c r="K2966" s="1"/>
      <c r="L2966" s="1"/>
      <c r="M2966" s="1"/>
      <c r="N2966" s="1"/>
      <c r="O2966" s="3"/>
    </row>
    <row r="2967" spans="1:15" ht="13.8">
      <c r="A2967" s="1"/>
      <c r="B2967" s="1"/>
      <c r="C2967" s="1"/>
      <c r="D2967" s="1"/>
      <c r="E2967" s="1"/>
      <c r="F2967" s="1"/>
      <c r="G2967" s="1"/>
      <c r="H2967" s="1"/>
      <c r="I2967" s="1"/>
      <c r="J2967" s="1"/>
      <c r="K2967" s="1"/>
      <c r="L2967" s="1"/>
      <c r="M2967" s="1"/>
      <c r="N2967" s="1"/>
      <c r="O2967" s="3"/>
    </row>
    <row r="2968" spans="1:15" ht="13.8">
      <c r="A2968" s="1"/>
      <c r="B2968" s="1"/>
      <c r="C2968" s="1"/>
      <c r="D2968" s="1"/>
      <c r="E2968" s="1"/>
      <c r="F2968" s="1"/>
      <c r="G2968" s="1"/>
      <c r="H2968" s="1"/>
      <c r="I2968" s="1"/>
      <c r="J2968" s="1"/>
      <c r="K2968" s="1"/>
      <c r="L2968" s="1"/>
      <c r="M2968" s="1"/>
      <c r="N2968" s="1"/>
      <c r="O2968" s="3"/>
    </row>
    <row r="2969" spans="1:15" ht="13.8">
      <c r="A2969" s="1"/>
      <c r="B2969" s="1"/>
      <c r="C2969" s="1"/>
      <c r="D2969" s="1"/>
      <c r="E2969" s="1"/>
      <c r="F2969" s="1"/>
      <c r="G2969" s="1"/>
      <c r="H2969" s="1"/>
      <c r="I2969" s="1"/>
      <c r="J2969" s="1"/>
      <c r="K2969" s="1"/>
      <c r="L2969" s="1"/>
      <c r="M2969" s="1"/>
      <c r="N2969" s="1"/>
      <c r="O2969" s="3"/>
    </row>
    <row r="2970" spans="1:15" ht="13.8">
      <c r="A2970" s="1"/>
      <c r="B2970" s="1"/>
      <c r="C2970" s="1"/>
      <c r="D2970" s="1"/>
      <c r="E2970" s="1"/>
      <c r="F2970" s="1"/>
      <c r="G2970" s="1"/>
      <c r="H2970" s="1"/>
      <c r="I2970" s="1"/>
      <c r="J2970" s="1"/>
      <c r="K2970" s="1"/>
      <c r="L2970" s="1"/>
      <c r="M2970" s="1"/>
      <c r="N2970" s="1"/>
      <c r="O2970" s="3"/>
    </row>
    <row r="2971" spans="1:15" ht="13.8">
      <c r="A2971" s="1"/>
      <c r="B2971" s="1"/>
      <c r="C2971" s="1"/>
      <c r="D2971" s="1"/>
      <c r="E2971" s="1"/>
      <c r="F2971" s="1"/>
      <c r="G2971" s="1"/>
      <c r="H2971" s="1"/>
      <c r="I2971" s="1"/>
      <c r="J2971" s="1"/>
      <c r="K2971" s="1"/>
      <c r="L2971" s="1"/>
      <c r="M2971" s="1"/>
      <c r="N2971" s="1"/>
      <c r="O2971" s="3"/>
    </row>
    <row r="2972" spans="1:15" ht="13.8">
      <c r="A2972" s="1"/>
      <c r="B2972" s="1"/>
      <c r="C2972" s="1"/>
      <c r="D2972" s="1"/>
      <c r="E2972" s="1"/>
      <c r="F2972" s="1"/>
      <c r="G2972" s="1"/>
      <c r="H2972" s="1"/>
      <c r="I2972" s="1"/>
      <c r="J2972" s="1"/>
      <c r="K2972" s="1"/>
      <c r="L2972" s="1"/>
      <c r="M2972" s="1"/>
      <c r="N2972" s="1"/>
      <c r="O2972" s="3"/>
    </row>
    <row r="2973" spans="1:15" ht="13.8">
      <c r="A2973" s="1"/>
      <c r="B2973" s="1"/>
      <c r="C2973" s="1"/>
      <c r="D2973" s="1"/>
      <c r="E2973" s="1"/>
      <c r="F2973" s="1"/>
      <c r="G2973" s="1"/>
      <c r="H2973" s="1"/>
      <c r="I2973" s="1"/>
      <c r="J2973" s="1"/>
      <c r="K2973" s="1"/>
      <c r="L2973" s="1"/>
      <c r="M2973" s="1"/>
      <c r="N2973" s="1"/>
      <c r="O2973" s="3"/>
    </row>
    <row r="2974" spans="1:15" ht="13.8">
      <c r="A2974" s="1"/>
      <c r="B2974" s="1"/>
      <c r="C2974" s="1"/>
      <c r="D2974" s="1"/>
      <c r="E2974" s="1"/>
      <c r="F2974" s="1"/>
      <c r="G2974" s="1"/>
      <c r="H2974" s="1"/>
      <c r="I2974" s="1"/>
      <c r="J2974" s="1"/>
      <c r="K2974" s="1"/>
      <c r="L2974" s="1"/>
      <c r="M2974" s="1"/>
      <c r="N2974" s="1"/>
      <c r="O2974" s="3"/>
    </row>
    <row r="2975" spans="1:15" ht="13.8">
      <c r="A2975" s="1"/>
      <c r="B2975" s="1"/>
      <c r="C2975" s="1"/>
      <c r="D2975" s="1"/>
      <c r="E2975" s="1"/>
      <c r="F2975" s="1"/>
      <c r="G2975" s="1"/>
      <c r="H2975" s="1"/>
      <c r="I2975" s="1"/>
      <c r="J2975" s="1"/>
      <c r="K2975" s="1"/>
      <c r="L2975" s="1"/>
      <c r="M2975" s="1"/>
      <c r="N2975" s="1"/>
      <c r="O2975" s="3"/>
    </row>
    <row r="2976" spans="1:15" ht="13.8">
      <c r="A2976" s="1"/>
      <c r="B2976" s="1"/>
      <c r="C2976" s="1"/>
      <c r="D2976" s="1"/>
      <c r="E2976" s="1"/>
      <c r="F2976" s="1"/>
      <c r="G2976" s="1"/>
      <c r="H2976" s="1"/>
      <c r="I2976" s="1"/>
      <c r="J2976" s="1"/>
      <c r="K2976" s="1"/>
      <c r="L2976" s="1"/>
      <c r="M2976" s="1"/>
      <c r="N2976" s="1"/>
      <c r="O2976" s="3"/>
    </row>
    <row r="2977" spans="1:15" ht="13.8">
      <c r="A2977" s="1"/>
      <c r="B2977" s="1"/>
      <c r="C2977" s="1"/>
      <c r="D2977" s="1"/>
      <c r="E2977" s="1"/>
      <c r="F2977" s="1"/>
      <c r="G2977" s="1"/>
      <c r="H2977" s="1"/>
      <c r="I2977" s="1"/>
      <c r="J2977" s="1"/>
      <c r="K2977" s="1"/>
      <c r="L2977" s="1"/>
      <c r="M2977" s="1"/>
      <c r="N2977" s="1"/>
      <c r="O2977" s="3"/>
    </row>
    <row r="2978" spans="1:15" ht="13.8">
      <c r="A2978" s="1"/>
      <c r="B2978" s="1"/>
      <c r="C2978" s="1"/>
      <c r="D2978" s="1"/>
      <c r="E2978" s="1"/>
      <c r="F2978" s="1"/>
      <c r="G2978" s="1"/>
      <c r="H2978" s="1"/>
      <c r="I2978" s="1"/>
      <c r="J2978" s="1"/>
      <c r="K2978" s="1"/>
      <c r="L2978" s="1"/>
      <c r="M2978" s="1"/>
      <c r="N2978" s="1"/>
      <c r="O2978" s="3"/>
    </row>
    <row r="2979" spans="1:15" ht="13.8">
      <c r="A2979" s="1"/>
      <c r="B2979" s="1"/>
      <c r="C2979" s="1"/>
      <c r="D2979" s="1"/>
      <c r="E2979" s="1"/>
      <c r="F2979" s="1"/>
      <c r="G2979" s="1"/>
      <c r="H2979" s="1"/>
      <c r="I2979" s="1"/>
      <c r="J2979" s="1"/>
      <c r="K2979" s="1"/>
      <c r="L2979" s="1"/>
      <c r="M2979" s="1"/>
      <c r="N2979" s="1"/>
      <c r="O2979" s="3"/>
    </row>
    <row r="2980" spans="1:15" ht="13.8">
      <c r="A2980" s="1"/>
      <c r="B2980" s="1"/>
      <c r="C2980" s="1"/>
      <c r="D2980" s="1"/>
      <c r="E2980" s="1"/>
      <c r="F2980" s="1"/>
      <c r="G2980" s="1"/>
      <c r="H2980" s="1"/>
      <c r="I2980" s="1"/>
      <c r="J2980" s="1"/>
      <c r="K2980" s="1"/>
      <c r="L2980" s="1"/>
      <c r="M2980" s="1"/>
      <c r="N2980" s="1"/>
      <c r="O2980" s="3"/>
    </row>
    <row r="2981" spans="1:15" ht="13.8">
      <c r="A2981" s="1"/>
      <c r="B2981" s="1"/>
      <c r="C2981" s="1"/>
      <c r="D2981" s="1"/>
      <c r="E2981" s="1"/>
      <c r="F2981" s="1"/>
      <c r="G2981" s="1"/>
      <c r="H2981" s="1"/>
      <c r="I2981" s="1"/>
      <c r="J2981" s="1"/>
      <c r="K2981" s="1"/>
      <c r="L2981" s="1"/>
      <c r="M2981" s="1"/>
      <c r="N2981" s="1"/>
      <c r="O2981" s="3"/>
    </row>
    <row r="2982" spans="1:15" ht="13.8">
      <c r="A2982" s="1"/>
      <c r="B2982" s="1"/>
      <c r="C2982" s="1"/>
      <c r="D2982" s="1"/>
      <c r="E2982" s="1"/>
      <c r="F2982" s="1"/>
      <c r="G2982" s="1"/>
      <c r="H2982" s="1"/>
      <c r="I2982" s="1"/>
      <c r="J2982" s="1"/>
      <c r="K2982" s="1"/>
      <c r="L2982" s="1"/>
      <c r="M2982" s="1"/>
      <c r="N2982" s="1"/>
      <c r="O2982" s="3"/>
    </row>
    <row r="2983" spans="1:15" ht="13.8">
      <c r="A2983" s="1"/>
      <c r="B2983" s="1"/>
      <c r="C2983" s="1"/>
      <c r="D2983" s="1"/>
      <c r="E2983" s="1"/>
      <c r="F2983" s="1"/>
      <c r="G2983" s="1"/>
      <c r="H2983" s="1"/>
      <c r="I2983" s="1"/>
      <c r="J2983" s="1"/>
      <c r="K2983" s="1"/>
      <c r="L2983" s="1"/>
      <c r="M2983" s="1"/>
      <c r="N2983" s="1"/>
      <c r="O2983" s="3"/>
    </row>
    <row r="2984" spans="1:15" ht="13.8">
      <c r="A2984" s="1"/>
      <c r="B2984" s="1"/>
      <c r="C2984" s="1"/>
      <c r="D2984" s="1"/>
      <c r="E2984" s="1"/>
      <c r="F2984" s="1"/>
      <c r="G2984" s="1"/>
      <c r="H2984" s="1"/>
      <c r="I2984" s="1"/>
      <c r="J2984" s="1"/>
      <c r="K2984" s="1"/>
      <c r="L2984" s="1"/>
      <c r="M2984" s="1"/>
      <c r="N2984" s="1"/>
      <c r="O2984" s="3"/>
    </row>
    <row r="2985" spans="1:15" ht="13.8">
      <c r="A2985" s="1"/>
      <c r="B2985" s="1"/>
      <c r="C2985" s="1"/>
      <c r="D2985" s="1"/>
      <c r="E2985" s="1"/>
      <c r="F2985" s="1"/>
      <c r="G2985" s="1"/>
      <c r="H2985" s="1"/>
      <c r="I2985" s="1"/>
      <c r="J2985" s="1"/>
      <c r="K2985" s="1"/>
      <c r="L2985" s="1"/>
      <c r="M2985" s="1"/>
      <c r="N2985" s="1"/>
      <c r="O2985" s="3"/>
    </row>
    <row r="2986" spans="1:15" ht="13.8">
      <c r="A2986" s="1"/>
      <c r="B2986" s="1"/>
      <c r="C2986" s="1"/>
      <c r="D2986" s="1"/>
      <c r="E2986" s="1"/>
      <c r="F2986" s="1"/>
      <c r="G2986" s="1"/>
      <c r="H2986" s="1"/>
      <c r="I2986" s="1"/>
      <c r="J2986" s="1"/>
      <c r="K2986" s="1"/>
      <c r="L2986" s="1"/>
      <c r="M2986" s="1"/>
      <c r="N2986" s="1"/>
      <c r="O2986" s="3"/>
    </row>
    <row r="2987" spans="1:15" ht="13.8">
      <c r="A2987" s="1"/>
      <c r="B2987" s="1"/>
      <c r="C2987" s="1"/>
      <c r="D2987" s="1"/>
      <c r="E2987" s="1"/>
      <c r="F2987" s="1"/>
      <c r="G2987" s="1"/>
      <c r="H2987" s="1"/>
      <c r="I2987" s="1"/>
      <c r="J2987" s="1"/>
      <c r="K2987" s="1"/>
      <c r="L2987" s="1"/>
      <c r="M2987" s="1"/>
      <c r="N2987" s="1"/>
      <c r="O2987" s="3"/>
    </row>
    <row r="2988" spans="1:15" ht="13.8">
      <c r="A2988" s="1"/>
      <c r="B2988" s="1"/>
      <c r="C2988" s="1"/>
      <c r="D2988" s="1"/>
      <c r="E2988" s="1"/>
      <c r="F2988" s="1"/>
      <c r="G2988" s="1"/>
      <c r="H2988" s="1"/>
      <c r="I2988" s="1"/>
      <c r="J2988" s="1"/>
      <c r="K2988" s="1"/>
      <c r="L2988" s="1"/>
      <c r="M2988" s="1"/>
      <c r="N2988" s="1"/>
      <c r="O2988" s="3"/>
    </row>
    <row r="2989" spans="1:15" ht="13.8">
      <c r="A2989" s="1"/>
      <c r="B2989" s="1"/>
      <c r="C2989" s="1"/>
      <c r="D2989" s="1"/>
      <c r="E2989" s="1"/>
      <c r="F2989" s="1"/>
      <c r="G2989" s="1"/>
      <c r="H2989" s="1"/>
      <c r="I2989" s="1"/>
      <c r="J2989" s="1"/>
      <c r="K2989" s="1"/>
      <c r="L2989" s="1"/>
      <c r="M2989" s="1"/>
      <c r="N2989" s="1"/>
      <c r="O2989" s="3"/>
    </row>
    <row r="2990" spans="1:15" ht="13.8">
      <c r="A2990" s="1"/>
      <c r="B2990" s="1"/>
      <c r="C2990" s="1"/>
      <c r="D2990" s="1"/>
      <c r="E2990" s="1"/>
      <c r="F2990" s="1"/>
      <c r="G2990" s="1"/>
      <c r="H2990" s="1"/>
      <c r="I2990" s="1"/>
      <c r="J2990" s="1"/>
      <c r="K2990" s="1"/>
      <c r="L2990" s="1"/>
      <c r="M2990" s="1"/>
      <c r="N2990" s="1"/>
      <c r="O2990" s="3"/>
    </row>
    <row r="2991" spans="1:15" ht="13.8">
      <c r="A2991" s="1"/>
      <c r="B2991" s="1"/>
      <c r="C2991" s="1"/>
      <c r="D2991" s="1"/>
      <c r="E2991" s="1"/>
      <c r="F2991" s="1"/>
      <c r="G2991" s="1"/>
      <c r="H2991" s="1"/>
      <c r="I2991" s="1"/>
      <c r="J2991" s="1"/>
      <c r="K2991" s="1"/>
      <c r="L2991" s="1"/>
      <c r="M2991" s="1"/>
      <c r="N2991" s="1"/>
      <c r="O2991" s="3"/>
    </row>
    <row r="2992" spans="1:15" ht="13.8">
      <c r="A2992" s="1"/>
      <c r="B2992" s="1"/>
      <c r="C2992" s="1"/>
      <c r="D2992" s="1"/>
      <c r="E2992" s="1"/>
      <c r="F2992" s="1"/>
      <c r="G2992" s="1"/>
      <c r="H2992" s="1"/>
      <c r="I2992" s="1"/>
      <c r="J2992" s="1"/>
      <c r="K2992" s="1"/>
      <c r="L2992" s="1"/>
      <c r="M2992" s="1"/>
      <c r="N2992" s="1"/>
      <c r="O2992" s="3"/>
    </row>
    <row r="2993" spans="1:15" ht="13.8">
      <c r="A2993" s="1"/>
      <c r="B2993" s="1"/>
      <c r="C2993" s="1"/>
      <c r="D2993" s="1"/>
      <c r="E2993" s="1"/>
      <c r="F2993" s="1"/>
      <c r="G2993" s="1"/>
      <c r="H2993" s="1"/>
      <c r="I2993" s="1"/>
      <c r="J2993" s="1"/>
      <c r="K2993" s="1"/>
      <c r="L2993" s="1"/>
      <c r="M2993" s="1"/>
      <c r="N2993" s="1"/>
      <c r="O2993" s="3"/>
    </row>
    <row r="2994" spans="1:15" ht="13.8">
      <c r="A2994" s="1"/>
      <c r="B2994" s="1"/>
      <c r="C2994" s="1"/>
      <c r="D2994" s="1"/>
      <c r="E2994" s="1"/>
      <c r="F2994" s="1"/>
      <c r="G2994" s="1"/>
      <c r="H2994" s="1"/>
      <c r="I2994" s="1"/>
      <c r="J2994" s="1"/>
      <c r="K2994" s="1"/>
      <c r="L2994" s="1"/>
      <c r="M2994" s="1"/>
      <c r="N2994" s="1"/>
      <c r="O2994" s="3"/>
    </row>
    <row r="2995" spans="1:15" ht="13.8">
      <c r="A2995" s="1"/>
      <c r="B2995" s="1"/>
      <c r="C2995" s="1"/>
      <c r="D2995" s="1"/>
      <c r="E2995" s="1"/>
      <c r="F2995" s="1"/>
      <c r="G2995" s="1"/>
      <c r="H2995" s="1"/>
      <c r="I2995" s="1"/>
      <c r="J2995" s="1"/>
      <c r="K2995" s="1"/>
      <c r="L2995" s="1"/>
      <c r="M2995" s="1"/>
      <c r="N2995" s="1"/>
      <c r="O2995" s="3"/>
    </row>
    <row r="2996" spans="1:15" ht="13.8">
      <c r="A2996" s="1"/>
      <c r="B2996" s="1"/>
      <c r="C2996" s="1"/>
      <c r="D2996" s="1"/>
      <c r="E2996" s="1"/>
      <c r="F2996" s="1"/>
      <c r="G2996" s="1"/>
      <c r="H2996" s="1"/>
      <c r="I2996" s="1"/>
      <c r="J2996" s="1"/>
      <c r="K2996" s="1"/>
      <c r="L2996" s="1"/>
      <c r="M2996" s="1"/>
      <c r="N2996" s="1"/>
      <c r="O2996" s="3"/>
    </row>
    <row r="2997" spans="1:15" ht="13.8">
      <c r="A2997" s="1"/>
      <c r="B2997" s="1"/>
      <c r="C2997" s="1"/>
      <c r="D2997" s="1"/>
      <c r="E2997" s="1"/>
      <c r="F2997" s="1"/>
      <c r="G2997" s="1"/>
      <c r="H2997" s="1"/>
      <c r="I2997" s="1"/>
      <c r="J2997" s="1"/>
      <c r="K2997" s="1"/>
      <c r="L2997" s="1"/>
      <c r="M2997" s="1"/>
      <c r="N2997" s="1"/>
      <c r="O2997" s="3"/>
    </row>
    <row r="2998" spans="1:15" ht="13.8">
      <c r="A2998" s="1"/>
      <c r="B2998" s="1"/>
      <c r="C2998" s="1"/>
      <c r="D2998" s="1"/>
      <c r="E2998" s="1"/>
      <c r="F2998" s="1"/>
      <c r="G2998" s="1"/>
      <c r="H2998" s="1"/>
      <c r="I2998" s="1"/>
      <c r="J2998" s="1"/>
      <c r="K2998" s="1"/>
      <c r="L2998" s="1"/>
      <c r="M2998" s="1"/>
      <c r="N2998" s="1"/>
      <c r="O2998" s="3"/>
    </row>
    <row r="2999" spans="1:15" ht="13.8">
      <c r="A2999" s="1"/>
      <c r="B2999" s="1"/>
      <c r="C2999" s="1"/>
      <c r="D2999" s="1"/>
      <c r="E2999" s="1"/>
      <c r="F2999" s="1"/>
      <c r="G2999" s="1"/>
      <c r="H2999" s="1"/>
      <c r="I2999" s="1"/>
      <c r="J2999" s="1"/>
      <c r="K2999" s="1"/>
      <c r="L2999" s="1"/>
      <c r="M2999" s="1"/>
      <c r="N2999" s="1"/>
      <c r="O2999" s="3"/>
    </row>
    <row r="3000" spans="1:15" ht="13.8">
      <c r="A3000" s="1"/>
      <c r="B3000" s="1"/>
      <c r="C3000" s="1"/>
      <c r="D3000" s="1"/>
      <c r="E3000" s="1"/>
      <c r="F3000" s="1"/>
      <c r="G3000" s="1"/>
      <c r="H3000" s="1"/>
      <c r="I3000" s="1"/>
      <c r="J3000" s="1"/>
      <c r="K3000" s="1"/>
      <c r="L3000" s="1"/>
      <c r="M3000" s="1"/>
      <c r="N3000" s="1"/>
      <c r="O3000" s="3"/>
    </row>
    <row r="3001" spans="1:15" ht="13.8">
      <c r="A3001" s="1"/>
      <c r="B3001" s="1"/>
      <c r="C3001" s="1"/>
      <c r="D3001" s="1"/>
      <c r="E3001" s="1"/>
      <c r="F3001" s="1"/>
      <c r="G3001" s="1"/>
      <c r="H3001" s="1"/>
      <c r="I3001" s="1"/>
      <c r="J3001" s="1"/>
      <c r="K3001" s="1"/>
      <c r="L3001" s="1"/>
      <c r="M3001" s="1"/>
      <c r="N3001" s="1"/>
      <c r="O3001" s="3"/>
    </row>
    <row r="3002" spans="1:15" ht="13.8">
      <c r="A3002" s="1"/>
      <c r="B3002" s="1"/>
      <c r="C3002" s="1"/>
      <c r="D3002" s="1"/>
      <c r="E3002" s="1"/>
      <c r="F3002" s="1"/>
      <c r="G3002" s="1"/>
      <c r="H3002" s="1"/>
      <c r="I3002" s="1"/>
      <c r="J3002" s="1"/>
      <c r="K3002" s="1"/>
      <c r="L3002" s="1"/>
      <c r="M3002" s="1"/>
      <c r="N3002" s="1"/>
      <c r="O3002" s="3"/>
    </row>
    <row r="3003" spans="1:15" ht="13.8">
      <c r="A3003" s="1"/>
      <c r="B3003" s="1"/>
      <c r="C3003" s="1"/>
      <c r="D3003" s="1"/>
      <c r="E3003" s="1"/>
      <c r="F3003" s="1"/>
      <c r="G3003" s="1"/>
      <c r="H3003" s="1"/>
      <c r="I3003" s="1"/>
      <c r="J3003" s="1"/>
      <c r="K3003" s="1"/>
      <c r="L3003" s="1"/>
      <c r="M3003" s="1"/>
      <c r="N3003" s="1"/>
      <c r="O3003" s="3"/>
    </row>
    <row r="3004" spans="1:15" ht="13.8">
      <c r="A3004" s="1"/>
      <c r="B3004" s="1"/>
      <c r="C3004" s="1"/>
      <c r="D3004" s="1"/>
      <c r="E3004" s="1"/>
      <c r="F3004" s="1"/>
      <c r="G3004" s="1"/>
      <c r="H3004" s="1"/>
      <c r="I3004" s="1"/>
      <c r="J3004" s="1"/>
      <c r="K3004" s="1"/>
      <c r="L3004" s="1"/>
      <c r="M3004" s="1"/>
      <c r="N3004" s="1"/>
      <c r="O3004" s="3"/>
    </row>
    <row r="3005" spans="1:15" ht="13.8">
      <c r="A3005" s="1"/>
      <c r="B3005" s="1"/>
      <c r="C3005" s="1"/>
      <c r="D3005" s="1"/>
      <c r="E3005" s="1"/>
      <c r="F3005" s="1"/>
      <c r="G3005" s="1"/>
      <c r="H3005" s="1"/>
      <c r="I3005" s="1"/>
      <c r="J3005" s="1"/>
      <c r="K3005" s="1"/>
      <c r="L3005" s="1"/>
      <c r="M3005" s="1"/>
      <c r="N3005" s="1"/>
      <c r="O3005" s="3"/>
    </row>
    <row r="3006" spans="1:15" ht="13.8">
      <c r="A3006" s="1"/>
      <c r="B3006" s="1"/>
      <c r="C3006" s="1"/>
      <c r="D3006" s="1"/>
      <c r="E3006" s="1"/>
      <c r="F3006" s="1"/>
      <c r="G3006" s="1"/>
      <c r="H3006" s="1"/>
      <c r="I3006" s="1"/>
      <c r="J3006" s="1"/>
      <c r="K3006" s="1"/>
      <c r="L3006" s="1"/>
      <c r="M3006" s="1"/>
      <c r="N3006" s="1"/>
      <c r="O3006" s="3"/>
    </row>
    <row r="3007" spans="1:15" ht="13.8">
      <c r="A3007" s="1"/>
      <c r="B3007" s="1"/>
      <c r="C3007" s="1"/>
      <c r="D3007" s="1"/>
      <c r="E3007" s="1"/>
      <c r="F3007" s="1"/>
      <c r="G3007" s="1"/>
      <c r="H3007" s="1"/>
      <c r="I3007" s="1"/>
      <c r="J3007" s="1"/>
      <c r="K3007" s="1"/>
      <c r="L3007" s="1"/>
      <c r="M3007" s="1"/>
      <c r="N3007" s="1"/>
      <c r="O3007" s="3"/>
    </row>
    <row r="3008" spans="1:15" ht="13.8">
      <c r="A3008" s="1"/>
      <c r="B3008" s="1"/>
      <c r="C3008" s="1"/>
      <c r="D3008" s="1"/>
      <c r="E3008" s="1"/>
      <c r="F3008" s="1"/>
      <c r="G3008" s="1"/>
      <c r="H3008" s="1"/>
      <c r="I3008" s="1"/>
      <c r="J3008" s="1"/>
      <c r="K3008" s="1"/>
      <c r="L3008" s="1"/>
      <c r="M3008" s="1"/>
      <c r="N3008" s="1"/>
      <c r="O3008" s="3"/>
    </row>
    <row r="3009" spans="1:15" ht="13.8">
      <c r="A3009" s="1"/>
      <c r="B3009" s="1"/>
      <c r="C3009" s="1"/>
      <c r="D3009" s="1"/>
      <c r="E3009" s="1"/>
      <c r="F3009" s="1"/>
      <c r="G3009" s="1"/>
      <c r="H3009" s="1"/>
      <c r="I3009" s="1"/>
      <c r="J3009" s="1"/>
      <c r="K3009" s="1"/>
      <c r="L3009" s="1"/>
      <c r="M3009" s="1"/>
      <c r="N3009" s="1"/>
      <c r="O3009" s="3"/>
    </row>
    <row r="3010" spans="1:15" ht="13.8">
      <c r="A3010" s="1"/>
      <c r="B3010" s="1"/>
      <c r="C3010" s="1"/>
      <c r="D3010" s="1"/>
      <c r="E3010" s="1"/>
      <c r="F3010" s="1"/>
      <c r="G3010" s="1"/>
      <c r="H3010" s="1"/>
      <c r="I3010" s="1"/>
      <c r="J3010" s="1"/>
      <c r="K3010" s="1"/>
      <c r="L3010" s="1"/>
      <c r="M3010" s="1"/>
      <c r="N3010" s="1"/>
      <c r="O3010" s="3"/>
    </row>
    <row r="3011" spans="1:15" ht="13.8">
      <c r="A3011" s="1"/>
      <c r="B3011" s="1"/>
      <c r="C3011" s="1"/>
      <c r="D3011" s="1"/>
      <c r="E3011" s="1"/>
      <c r="F3011" s="1"/>
      <c r="G3011" s="1"/>
      <c r="H3011" s="1"/>
      <c r="I3011" s="1"/>
      <c r="J3011" s="1"/>
      <c r="K3011" s="1"/>
      <c r="L3011" s="1"/>
      <c r="M3011" s="1"/>
      <c r="N3011" s="1"/>
      <c r="O3011" s="3"/>
    </row>
    <row r="3012" spans="1:15" ht="13.8">
      <c r="A3012" s="1"/>
      <c r="B3012" s="1"/>
      <c r="C3012" s="1"/>
      <c r="D3012" s="1"/>
      <c r="E3012" s="1"/>
      <c r="F3012" s="1"/>
      <c r="G3012" s="1"/>
      <c r="H3012" s="1"/>
      <c r="I3012" s="1"/>
      <c r="J3012" s="1"/>
      <c r="K3012" s="1"/>
      <c r="L3012" s="1"/>
      <c r="M3012" s="1"/>
      <c r="N3012" s="1"/>
      <c r="O3012" s="3"/>
    </row>
    <row r="3013" spans="1:15" ht="13.8">
      <c r="A3013" s="1"/>
      <c r="B3013" s="1"/>
      <c r="C3013" s="1"/>
      <c r="D3013" s="1"/>
      <c r="E3013" s="1"/>
      <c r="F3013" s="1"/>
      <c r="G3013" s="1"/>
      <c r="H3013" s="1"/>
      <c r="I3013" s="1"/>
      <c r="J3013" s="1"/>
      <c r="K3013" s="1"/>
      <c r="L3013" s="1"/>
      <c r="M3013" s="1"/>
      <c r="N3013" s="1"/>
      <c r="O3013" s="3"/>
    </row>
    <row r="3014" spans="1:15" ht="13.8">
      <c r="A3014" s="1"/>
      <c r="B3014" s="1"/>
      <c r="C3014" s="1"/>
      <c r="D3014" s="1"/>
      <c r="E3014" s="1"/>
      <c r="F3014" s="1"/>
      <c r="G3014" s="1"/>
      <c r="H3014" s="1"/>
      <c r="I3014" s="1"/>
      <c r="J3014" s="1"/>
      <c r="K3014" s="1"/>
      <c r="L3014" s="1"/>
      <c r="M3014" s="1"/>
      <c r="N3014" s="1"/>
      <c r="O3014" s="3"/>
    </row>
    <row r="3015" spans="1:15" ht="13.8">
      <c r="A3015" s="1"/>
      <c r="B3015" s="1"/>
      <c r="C3015" s="1"/>
      <c r="D3015" s="1"/>
      <c r="E3015" s="1"/>
      <c r="F3015" s="1"/>
      <c r="G3015" s="1"/>
      <c r="H3015" s="1"/>
      <c r="I3015" s="1"/>
      <c r="J3015" s="1"/>
      <c r="K3015" s="1"/>
      <c r="L3015" s="1"/>
      <c r="M3015" s="1"/>
      <c r="N3015" s="1"/>
      <c r="O3015" s="3"/>
    </row>
    <row r="3016" spans="1:15" ht="13.8">
      <c r="A3016" s="1"/>
      <c r="B3016" s="1"/>
      <c r="C3016" s="1"/>
      <c r="D3016" s="1"/>
      <c r="E3016" s="1"/>
      <c r="F3016" s="1"/>
      <c r="G3016" s="1"/>
      <c r="H3016" s="1"/>
      <c r="I3016" s="1"/>
      <c r="J3016" s="1"/>
      <c r="K3016" s="1"/>
      <c r="L3016" s="1"/>
      <c r="M3016" s="1"/>
      <c r="N3016" s="1"/>
      <c r="O3016" s="3"/>
    </row>
    <row r="3017" spans="1:15" ht="13.8">
      <c r="A3017" s="1"/>
      <c r="B3017" s="1"/>
      <c r="C3017" s="1"/>
      <c r="D3017" s="1"/>
      <c r="E3017" s="1"/>
      <c r="F3017" s="1"/>
      <c r="G3017" s="1"/>
      <c r="H3017" s="1"/>
      <c r="I3017" s="1"/>
      <c r="J3017" s="1"/>
      <c r="K3017" s="1"/>
      <c r="L3017" s="1"/>
      <c r="M3017" s="1"/>
      <c r="N3017" s="1"/>
      <c r="O3017" s="3"/>
    </row>
    <row r="3018" spans="1:15" ht="13.8">
      <c r="A3018" s="1"/>
      <c r="B3018" s="1"/>
      <c r="C3018" s="1"/>
      <c r="D3018" s="1"/>
      <c r="E3018" s="1"/>
      <c r="F3018" s="1"/>
      <c r="G3018" s="1"/>
      <c r="H3018" s="1"/>
      <c r="I3018" s="1"/>
      <c r="J3018" s="1"/>
      <c r="K3018" s="1"/>
      <c r="L3018" s="1"/>
      <c r="M3018" s="1"/>
      <c r="N3018" s="1"/>
      <c r="O3018" s="3"/>
    </row>
    <row r="3019" spans="1:15" ht="13.8">
      <c r="A3019" s="1"/>
      <c r="B3019" s="1"/>
      <c r="C3019" s="1"/>
      <c r="D3019" s="1"/>
      <c r="E3019" s="1"/>
      <c r="F3019" s="1"/>
      <c r="G3019" s="1"/>
      <c r="H3019" s="1"/>
      <c r="I3019" s="1"/>
      <c r="J3019" s="1"/>
      <c r="K3019" s="1"/>
      <c r="L3019" s="1"/>
      <c r="M3019" s="1"/>
      <c r="N3019" s="1"/>
      <c r="O3019" s="3"/>
    </row>
    <row r="3020" spans="1:15" ht="13.8">
      <c r="A3020" s="1"/>
      <c r="B3020" s="1"/>
      <c r="C3020" s="1"/>
      <c r="D3020" s="1"/>
      <c r="E3020" s="1"/>
      <c r="F3020" s="1"/>
      <c r="G3020" s="1"/>
      <c r="H3020" s="1"/>
      <c r="I3020" s="1"/>
      <c r="J3020" s="1"/>
      <c r="K3020" s="1"/>
      <c r="L3020" s="1"/>
      <c r="M3020" s="1"/>
      <c r="N3020" s="1"/>
      <c r="O3020" s="3"/>
    </row>
    <row r="3021" spans="1:15" ht="13.8">
      <c r="A3021" s="1"/>
      <c r="B3021" s="1"/>
      <c r="C3021" s="1"/>
      <c r="D3021" s="1"/>
      <c r="E3021" s="1"/>
      <c r="F3021" s="1"/>
      <c r="G3021" s="1"/>
      <c r="H3021" s="1"/>
      <c r="I3021" s="1"/>
      <c r="J3021" s="1"/>
      <c r="K3021" s="1"/>
      <c r="L3021" s="1"/>
      <c r="M3021" s="1"/>
      <c r="N3021" s="1"/>
      <c r="O3021" s="3"/>
    </row>
    <row r="3022" spans="1:15" ht="13.8">
      <c r="A3022" s="1"/>
      <c r="B3022" s="1"/>
      <c r="C3022" s="1"/>
      <c r="D3022" s="1"/>
      <c r="E3022" s="1"/>
      <c r="F3022" s="1"/>
      <c r="G3022" s="1"/>
      <c r="H3022" s="1"/>
      <c r="I3022" s="1"/>
      <c r="J3022" s="1"/>
      <c r="K3022" s="1"/>
      <c r="L3022" s="1"/>
      <c r="M3022" s="1"/>
      <c r="N3022" s="1"/>
      <c r="O3022" s="3"/>
    </row>
    <row r="3023" spans="1:15" ht="13.8">
      <c r="A3023" s="1"/>
      <c r="B3023" s="1"/>
      <c r="C3023" s="1"/>
      <c r="D3023" s="1"/>
      <c r="E3023" s="1"/>
      <c r="F3023" s="1"/>
      <c r="G3023" s="1"/>
      <c r="H3023" s="1"/>
      <c r="I3023" s="1"/>
      <c r="J3023" s="1"/>
      <c r="K3023" s="1"/>
      <c r="L3023" s="1"/>
      <c r="M3023" s="1"/>
      <c r="N3023" s="1"/>
      <c r="O3023" s="3"/>
    </row>
    <row r="3024" spans="1:15" ht="13.8">
      <c r="A3024" s="1"/>
      <c r="B3024" s="1"/>
      <c r="C3024" s="1"/>
      <c r="D3024" s="1"/>
      <c r="E3024" s="1"/>
      <c r="F3024" s="1"/>
      <c r="G3024" s="1"/>
      <c r="H3024" s="1"/>
      <c r="I3024" s="1"/>
      <c r="J3024" s="1"/>
      <c r="K3024" s="1"/>
      <c r="L3024" s="1"/>
      <c r="M3024" s="1"/>
      <c r="N3024" s="1"/>
      <c r="O3024" s="3"/>
    </row>
    <row r="3025" spans="1:15" ht="13.8">
      <c r="A3025" s="1"/>
      <c r="B3025" s="1"/>
      <c r="C3025" s="1"/>
      <c r="D3025" s="1"/>
      <c r="E3025" s="1"/>
      <c r="F3025" s="1"/>
      <c r="G3025" s="1"/>
      <c r="H3025" s="1"/>
      <c r="I3025" s="1"/>
      <c r="J3025" s="1"/>
      <c r="K3025" s="1"/>
      <c r="L3025" s="1"/>
      <c r="M3025" s="1"/>
      <c r="N3025" s="1"/>
      <c r="O3025" s="3"/>
    </row>
    <row r="3026" spans="1:15" ht="13.8">
      <c r="A3026" s="1"/>
      <c r="B3026" s="1"/>
      <c r="C3026" s="1"/>
      <c r="D3026" s="1"/>
      <c r="E3026" s="1"/>
      <c r="F3026" s="1"/>
      <c r="G3026" s="1"/>
      <c r="H3026" s="1"/>
      <c r="I3026" s="1"/>
      <c r="J3026" s="1"/>
      <c r="K3026" s="1"/>
      <c r="L3026" s="1"/>
      <c r="M3026" s="1"/>
      <c r="N3026" s="1"/>
      <c r="O3026" s="3"/>
    </row>
    <row r="3027" spans="1:15" ht="13.8">
      <c r="A3027" s="1"/>
      <c r="B3027" s="1"/>
      <c r="C3027" s="1"/>
      <c r="D3027" s="1"/>
      <c r="E3027" s="1"/>
      <c r="F3027" s="1"/>
      <c r="G3027" s="1"/>
      <c r="H3027" s="1"/>
      <c r="I3027" s="1"/>
      <c r="J3027" s="1"/>
      <c r="K3027" s="1"/>
      <c r="L3027" s="1"/>
      <c r="M3027" s="1"/>
      <c r="N3027" s="1"/>
      <c r="O3027" s="3"/>
    </row>
    <row r="3028" spans="1:15" ht="13.8">
      <c r="A3028" s="1"/>
      <c r="B3028" s="1"/>
      <c r="C3028" s="1"/>
      <c r="D3028" s="1"/>
      <c r="E3028" s="1"/>
      <c r="F3028" s="1"/>
      <c r="G3028" s="1"/>
      <c r="H3028" s="1"/>
      <c r="I3028" s="1"/>
      <c r="J3028" s="1"/>
      <c r="K3028" s="1"/>
      <c r="L3028" s="1"/>
      <c r="M3028" s="1"/>
      <c r="N3028" s="1"/>
      <c r="O3028" s="3"/>
    </row>
    <row r="3029" spans="1:15" ht="13.8">
      <c r="A3029" s="1"/>
      <c r="B3029" s="1"/>
      <c r="C3029" s="1"/>
      <c r="D3029" s="1"/>
      <c r="E3029" s="1"/>
      <c r="F3029" s="1"/>
      <c r="G3029" s="1"/>
      <c r="H3029" s="1"/>
      <c r="I3029" s="1"/>
      <c r="J3029" s="1"/>
      <c r="K3029" s="1"/>
      <c r="L3029" s="1"/>
      <c r="M3029" s="1"/>
      <c r="N3029" s="1"/>
      <c r="O3029" s="3"/>
    </row>
    <row r="3030" spans="1:15" ht="13.8">
      <c r="A3030" s="1"/>
      <c r="B3030" s="1"/>
      <c r="C3030" s="1"/>
      <c r="D3030" s="1"/>
      <c r="E3030" s="1"/>
      <c r="F3030" s="1"/>
      <c r="G3030" s="1"/>
      <c r="H3030" s="1"/>
      <c r="I3030" s="1"/>
      <c r="J3030" s="1"/>
      <c r="K3030" s="1"/>
      <c r="L3030" s="1"/>
      <c r="M3030" s="1"/>
      <c r="N3030" s="1"/>
      <c r="O3030" s="3"/>
    </row>
    <row r="3031" spans="1:15" ht="13.8">
      <c r="A3031" s="1"/>
      <c r="B3031" s="1"/>
      <c r="C3031" s="1"/>
      <c r="D3031" s="1"/>
      <c r="E3031" s="1"/>
      <c r="F3031" s="1"/>
      <c r="G3031" s="1"/>
      <c r="H3031" s="1"/>
      <c r="I3031" s="1"/>
      <c r="J3031" s="1"/>
      <c r="K3031" s="1"/>
      <c r="L3031" s="1"/>
      <c r="M3031" s="1"/>
      <c r="N3031" s="1"/>
      <c r="O3031" s="3"/>
    </row>
    <row r="3032" spans="1:15" ht="13.8">
      <c r="A3032" s="1"/>
      <c r="B3032" s="1"/>
      <c r="C3032" s="1"/>
      <c r="D3032" s="1"/>
      <c r="E3032" s="1"/>
      <c r="F3032" s="1"/>
      <c r="G3032" s="1"/>
      <c r="H3032" s="1"/>
      <c r="I3032" s="1"/>
      <c r="J3032" s="1"/>
      <c r="K3032" s="1"/>
      <c r="L3032" s="1"/>
      <c r="M3032" s="1"/>
      <c r="N3032" s="1"/>
      <c r="O3032" s="3"/>
    </row>
    <row r="3033" spans="1:15" ht="13.8">
      <c r="A3033" s="1"/>
      <c r="B3033" s="1"/>
      <c r="C3033" s="1"/>
      <c r="D3033" s="1"/>
      <c r="E3033" s="1"/>
      <c r="F3033" s="1"/>
      <c r="G3033" s="1"/>
      <c r="H3033" s="1"/>
      <c r="I3033" s="1"/>
      <c r="J3033" s="1"/>
      <c r="K3033" s="1"/>
      <c r="L3033" s="1"/>
      <c r="M3033" s="1"/>
      <c r="N3033" s="1"/>
      <c r="O3033" s="3"/>
    </row>
    <row r="3034" spans="1:15" ht="13.8">
      <c r="A3034" s="1"/>
      <c r="B3034" s="1"/>
      <c r="C3034" s="1"/>
      <c r="D3034" s="1"/>
      <c r="E3034" s="1"/>
      <c r="F3034" s="1"/>
      <c r="G3034" s="1"/>
      <c r="H3034" s="1"/>
      <c r="I3034" s="1"/>
      <c r="J3034" s="1"/>
      <c r="K3034" s="1"/>
      <c r="L3034" s="1"/>
      <c r="M3034" s="1"/>
      <c r="N3034" s="1"/>
      <c r="O3034" s="3"/>
    </row>
    <row r="3035" spans="1:15" ht="13.8">
      <c r="A3035" s="1"/>
      <c r="B3035" s="1"/>
      <c r="C3035" s="1"/>
      <c r="D3035" s="1"/>
      <c r="E3035" s="1"/>
      <c r="F3035" s="1"/>
      <c r="G3035" s="1"/>
      <c r="H3035" s="1"/>
      <c r="I3035" s="1"/>
      <c r="J3035" s="1"/>
      <c r="K3035" s="1"/>
      <c r="L3035" s="1"/>
      <c r="M3035" s="1"/>
      <c r="N3035" s="1"/>
      <c r="O3035" s="3"/>
    </row>
    <row r="3036" spans="1:15" ht="13.8">
      <c r="A3036" s="1"/>
      <c r="B3036" s="1"/>
      <c r="C3036" s="1"/>
      <c r="D3036" s="1"/>
      <c r="E3036" s="1"/>
      <c r="F3036" s="1"/>
      <c r="G3036" s="1"/>
      <c r="H3036" s="1"/>
      <c r="I3036" s="1"/>
      <c r="J3036" s="1"/>
      <c r="K3036" s="1"/>
      <c r="L3036" s="1"/>
      <c r="M3036" s="1"/>
      <c r="N3036" s="1"/>
      <c r="O3036" s="3"/>
    </row>
    <row r="3037" spans="1:15" ht="13.8">
      <c r="A3037" s="1"/>
      <c r="B3037" s="1"/>
      <c r="C3037" s="1"/>
      <c r="D3037" s="1"/>
      <c r="E3037" s="1"/>
      <c r="F3037" s="1"/>
      <c r="G3037" s="1"/>
      <c r="H3037" s="1"/>
      <c r="I3037" s="1"/>
      <c r="J3037" s="1"/>
      <c r="K3037" s="1"/>
      <c r="L3037" s="1"/>
      <c r="M3037" s="1"/>
      <c r="N3037" s="1"/>
      <c r="O3037" s="3"/>
    </row>
    <row r="3038" spans="1:15" ht="13.8">
      <c r="A3038" s="1"/>
      <c r="B3038" s="1"/>
      <c r="C3038" s="1"/>
      <c r="D3038" s="1"/>
      <c r="E3038" s="1"/>
      <c r="F3038" s="1"/>
      <c r="G3038" s="1"/>
      <c r="H3038" s="1"/>
      <c r="I3038" s="1"/>
      <c r="J3038" s="1"/>
      <c r="K3038" s="1"/>
      <c r="L3038" s="1"/>
      <c r="M3038" s="1"/>
      <c r="N3038" s="1"/>
      <c r="O3038" s="3"/>
    </row>
    <row r="3039" spans="1:15" ht="13.8">
      <c r="A3039" s="1"/>
      <c r="B3039" s="1"/>
      <c r="C3039" s="1"/>
      <c r="D3039" s="1"/>
      <c r="E3039" s="1"/>
      <c r="F3039" s="1"/>
      <c r="G3039" s="1"/>
      <c r="H3039" s="1"/>
      <c r="I3039" s="1"/>
      <c r="J3039" s="1"/>
      <c r="K3039" s="1"/>
      <c r="L3039" s="1"/>
      <c r="M3039" s="1"/>
      <c r="N3039" s="1"/>
      <c r="O3039" s="3"/>
    </row>
    <row r="3040" spans="1:15" ht="13.8">
      <c r="A3040" s="1"/>
      <c r="B3040" s="1"/>
      <c r="C3040" s="1"/>
      <c r="D3040" s="1"/>
      <c r="E3040" s="1"/>
      <c r="F3040" s="1"/>
      <c r="G3040" s="1"/>
      <c r="H3040" s="1"/>
      <c r="I3040" s="1"/>
      <c r="J3040" s="1"/>
      <c r="K3040" s="1"/>
      <c r="L3040" s="1"/>
      <c r="M3040" s="1"/>
      <c r="N3040" s="1"/>
      <c r="O3040" s="3"/>
    </row>
    <row r="3041" spans="1:15" ht="13.8">
      <c r="A3041" s="1"/>
      <c r="B3041" s="1"/>
      <c r="C3041" s="1"/>
      <c r="D3041" s="1"/>
      <c r="E3041" s="1"/>
      <c r="F3041" s="1"/>
      <c r="G3041" s="1"/>
      <c r="H3041" s="1"/>
      <c r="I3041" s="1"/>
      <c r="J3041" s="1"/>
      <c r="K3041" s="1"/>
      <c r="L3041" s="1"/>
      <c r="M3041" s="1"/>
      <c r="N3041" s="1"/>
      <c r="O3041" s="3"/>
    </row>
    <row r="3042" spans="1:15" ht="13.8">
      <c r="A3042" s="1"/>
      <c r="B3042" s="1"/>
      <c r="C3042" s="1"/>
      <c r="D3042" s="1"/>
      <c r="E3042" s="1"/>
      <c r="F3042" s="1"/>
      <c r="G3042" s="1"/>
      <c r="H3042" s="1"/>
      <c r="I3042" s="1"/>
      <c r="J3042" s="1"/>
      <c r="K3042" s="1"/>
      <c r="L3042" s="1"/>
      <c r="M3042" s="1"/>
      <c r="N3042" s="1"/>
      <c r="O3042" s="3"/>
    </row>
    <row r="3043" spans="1:15" ht="13.8">
      <c r="A3043" s="1"/>
      <c r="B3043" s="1"/>
      <c r="C3043" s="1"/>
      <c r="D3043" s="1"/>
      <c r="E3043" s="1"/>
      <c r="F3043" s="1"/>
      <c r="G3043" s="1"/>
      <c r="H3043" s="1"/>
      <c r="I3043" s="1"/>
      <c r="J3043" s="1"/>
      <c r="K3043" s="1"/>
      <c r="L3043" s="1"/>
      <c r="M3043" s="1"/>
      <c r="N3043" s="1"/>
      <c r="O3043" s="3"/>
    </row>
    <row r="3044" spans="1:15" ht="13.8">
      <c r="A3044" s="1"/>
      <c r="B3044" s="1"/>
      <c r="C3044" s="1"/>
      <c r="D3044" s="1"/>
      <c r="E3044" s="1"/>
      <c r="F3044" s="1"/>
      <c r="G3044" s="1"/>
      <c r="H3044" s="1"/>
      <c r="I3044" s="1"/>
      <c r="J3044" s="1"/>
      <c r="K3044" s="1"/>
      <c r="L3044" s="1"/>
      <c r="M3044" s="1"/>
      <c r="N3044" s="1"/>
      <c r="O3044" s="3"/>
    </row>
    <row r="3045" spans="1:15" ht="13.8">
      <c r="A3045" s="1"/>
      <c r="B3045" s="1"/>
      <c r="C3045" s="1"/>
      <c r="D3045" s="1"/>
      <c r="E3045" s="1"/>
      <c r="F3045" s="1"/>
      <c r="G3045" s="1"/>
      <c r="H3045" s="1"/>
      <c r="I3045" s="1"/>
      <c r="J3045" s="1"/>
      <c r="K3045" s="1"/>
      <c r="L3045" s="1"/>
      <c r="M3045" s="1"/>
      <c r="N3045" s="1"/>
      <c r="O3045" s="3"/>
    </row>
    <row r="3046" spans="1:15" ht="13.8">
      <c r="A3046" s="1"/>
      <c r="B3046" s="1"/>
      <c r="C3046" s="1"/>
      <c r="D3046" s="1"/>
      <c r="E3046" s="1"/>
      <c r="F3046" s="1"/>
      <c r="G3046" s="1"/>
      <c r="H3046" s="1"/>
      <c r="I3046" s="1"/>
      <c r="J3046" s="1"/>
      <c r="K3046" s="1"/>
      <c r="L3046" s="1"/>
      <c r="M3046" s="1"/>
      <c r="N3046" s="1"/>
      <c r="O3046" s="3"/>
    </row>
    <row r="3047" spans="1:15" ht="13.8">
      <c r="A3047" s="1"/>
      <c r="B3047" s="1"/>
      <c r="C3047" s="1"/>
      <c r="D3047" s="1"/>
      <c r="E3047" s="1"/>
      <c r="F3047" s="1"/>
      <c r="G3047" s="1"/>
      <c r="H3047" s="1"/>
      <c r="I3047" s="1"/>
      <c r="J3047" s="1"/>
      <c r="K3047" s="1"/>
      <c r="L3047" s="1"/>
      <c r="M3047" s="1"/>
      <c r="N3047" s="1"/>
      <c r="O3047" s="3"/>
    </row>
    <row r="3048" spans="1:15" ht="13.8">
      <c r="A3048" s="1"/>
      <c r="B3048" s="1"/>
      <c r="C3048" s="1"/>
      <c r="D3048" s="1"/>
      <c r="E3048" s="1"/>
      <c r="F3048" s="1"/>
      <c r="G3048" s="1"/>
      <c r="H3048" s="1"/>
      <c r="I3048" s="1"/>
      <c r="J3048" s="1"/>
      <c r="K3048" s="1"/>
      <c r="L3048" s="1"/>
      <c r="M3048" s="1"/>
      <c r="N3048" s="1"/>
      <c r="O3048" s="3"/>
    </row>
    <row r="3049" spans="1:15" ht="13.8">
      <c r="A3049" s="1"/>
      <c r="B3049" s="1"/>
      <c r="C3049" s="1"/>
      <c r="D3049" s="1"/>
      <c r="E3049" s="1"/>
      <c r="F3049" s="1"/>
      <c r="G3049" s="1"/>
      <c r="H3049" s="1"/>
      <c r="I3049" s="1"/>
      <c r="J3049" s="1"/>
      <c r="K3049" s="1"/>
      <c r="L3049" s="1"/>
      <c r="M3049" s="1"/>
      <c r="N3049" s="1"/>
      <c r="O3049" s="3"/>
    </row>
    <row r="3050" spans="1:15" ht="13.8">
      <c r="A3050" s="1"/>
      <c r="B3050" s="1"/>
      <c r="C3050" s="1"/>
      <c r="D3050" s="1"/>
      <c r="E3050" s="1"/>
      <c r="F3050" s="1"/>
      <c r="G3050" s="1"/>
      <c r="H3050" s="1"/>
      <c r="I3050" s="1"/>
      <c r="J3050" s="1"/>
      <c r="K3050" s="1"/>
      <c r="L3050" s="1"/>
      <c r="M3050" s="1"/>
      <c r="N3050" s="1"/>
      <c r="O3050" s="3"/>
    </row>
    <row r="3051" spans="1:15" ht="13.8">
      <c r="A3051" s="1"/>
      <c r="B3051" s="1"/>
      <c r="C3051" s="1"/>
      <c r="D3051" s="1"/>
      <c r="E3051" s="1"/>
      <c r="F3051" s="1"/>
      <c r="G3051" s="1"/>
      <c r="H3051" s="1"/>
      <c r="I3051" s="1"/>
      <c r="J3051" s="1"/>
      <c r="K3051" s="1"/>
      <c r="L3051" s="1"/>
      <c r="M3051" s="1"/>
      <c r="N3051" s="1"/>
      <c r="O3051" s="3"/>
    </row>
    <row r="3052" spans="1:15" ht="13.8">
      <c r="A3052" s="1"/>
      <c r="B3052" s="1"/>
      <c r="C3052" s="1"/>
      <c r="D3052" s="1"/>
      <c r="E3052" s="1"/>
      <c r="F3052" s="1"/>
      <c r="G3052" s="1"/>
      <c r="H3052" s="1"/>
      <c r="I3052" s="1"/>
      <c r="J3052" s="1"/>
      <c r="K3052" s="1"/>
      <c r="L3052" s="1"/>
      <c r="M3052" s="1"/>
      <c r="N3052" s="1"/>
      <c r="O3052" s="3"/>
    </row>
    <row r="3053" spans="1:15" ht="13.8">
      <c r="A3053" s="1"/>
      <c r="B3053" s="1"/>
      <c r="C3053" s="1"/>
      <c r="D3053" s="1"/>
      <c r="E3053" s="1"/>
      <c r="F3053" s="1"/>
      <c r="G3053" s="1"/>
      <c r="H3053" s="1"/>
      <c r="I3053" s="1"/>
      <c r="J3053" s="1"/>
      <c r="K3053" s="1"/>
      <c r="L3053" s="1"/>
      <c r="M3053" s="1"/>
      <c r="N3053" s="1"/>
      <c r="O3053" s="3"/>
    </row>
    <row r="3054" spans="1:15" ht="13.8">
      <c r="A3054" s="1"/>
      <c r="B3054" s="1"/>
      <c r="C3054" s="1"/>
      <c r="D3054" s="1"/>
      <c r="E3054" s="1"/>
      <c r="F3054" s="1"/>
      <c r="G3054" s="1"/>
      <c r="H3054" s="1"/>
      <c r="I3054" s="1"/>
      <c r="J3054" s="1"/>
      <c r="K3054" s="1"/>
      <c r="L3054" s="1"/>
      <c r="M3054" s="1"/>
      <c r="N3054" s="1"/>
      <c r="O3054" s="3"/>
    </row>
    <row r="3055" spans="1:15" ht="13.8">
      <c r="A3055" s="1"/>
      <c r="B3055" s="1"/>
      <c r="C3055" s="1"/>
      <c r="D3055" s="1"/>
      <c r="E3055" s="1"/>
      <c r="F3055" s="1"/>
      <c r="G3055" s="1"/>
      <c r="H3055" s="1"/>
      <c r="I3055" s="1"/>
      <c r="J3055" s="1"/>
      <c r="K3055" s="1"/>
      <c r="L3055" s="1"/>
      <c r="M3055" s="1"/>
      <c r="N3055" s="1"/>
      <c r="O3055" s="3"/>
    </row>
    <row r="3056" spans="1:15" ht="13.8">
      <c r="A3056" s="1"/>
      <c r="B3056" s="1"/>
      <c r="C3056" s="1"/>
      <c r="D3056" s="1"/>
      <c r="E3056" s="1"/>
      <c r="F3056" s="1"/>
      <c r="G3056" s="1"/>
      <c r="H3056" s="1"/>
      <c r="I3056" s="1"/>
      <c r="J3056" s="1"/>
      <c r="K3056" s="1"/>
      <c r="L3056" s="1"/>
      <c r="M3056" s="1"/>
      <c r="N3056" s="1"/>
      <c r="O3056" s="3"/>
    </row>
    <row r="3057" spans="1:15" ht="13.8">
      <c r="A3057" s="1"/>
      <c r="B3057" s="1"/>
      <c r="C3057" s="1"/>
      <c r="D3057" s="1"/>
      <c r="E3057" s="1"/>
      <c r="F3057" s="1"/>
      <c r="G3057" s="1"/>
      <c r="H3057" s="1"/>
      <c r="I3057" s="1"/>
      <c r="J3057" s="1"/>
      <c r="K3057" s="1"/>
      <c r="L3057" s="1"/>
      <c r="M3057" s="1"/>
      <c r="N3057" s="1"/>
      <c r="O3057" s="3"/>
    </row>
    <row r="3058" spans="1:15" ht="13.8">
      <c r="A3058" s="1"/>
      <c r="B3058" s="1"/>
      <c r="C3058" s="1"/>
      <c r="D3058" s="1"/>
      <c r="E3058" s="1"/>
      <c r="F3058" s="1"/>
      <c r="G3058" s="1"/>
      <c r="H3058" s="1"/>
      <c r="I3058" s="1"/>
      <c r="J3058" s="1"/>
      <c r="K3058" s="1"/>
      <c r="L3058" s="1"/>
      <c r="M3058" s="1"/>
      <c r="N3058" s="1"/>
      <c r="O3058" s="3"/>
    </row>
    <row r="3059" spans="1:15" ht="13.8">
      <c r="A3059" s="1"/>
      <c r="B3059" s="1"/>
      <c r="C3059" s="1"/>
      <c r="D3059" s="1"/>
      <c r="E3059" s="1"/>
      <c r="F3059" s="1"/>
      <c r="G3059" s="1"/>
      <c r="H3059" s="1"/>
      <c r="I3059" s="1"/>
      <c r="J3059" s="1"/>
      <c r="K3059" s="1"/>
      <c r="L3059" s="1"/>
      <c r="M3059" s="1"/>
      <c r="N3059" s="1"/>
      <c r="O3059" s="3"/>
    </row>
    <row r="3060" spans="1:15" ht="13.8">
      <c r="A3060" s="1"/>
      <c r="B3060" s="1"/>
      <c r="C3060" s="1"/>
      <c r="D3060" s="1"/>
      <c r="E3060" s="1"/>
      <c r="F3060" s="1"/>
      <c r="G3060" s="1"/>
      <c r="H3060" s="1"/>
      <c r="I3060" s="1"/>
      <c r="J3060" s="1"/>
      <c r="K3060" s="1"/>
      <c r="L3060" s="1"/>
      <c r="M3060" s="1"/>
      <c r="N3060" s="1"/>
      <c r="O3060" s="3"/>
    </row>
    <row r="3061" spans="1:15" ht="13.8">
      <c r="A3061" s="1"/>
      <c r="B3061" s="1"/>
      <c r="C3061" s="1"/>
      <c r="D3061" s="1"/>
      <c r="E3061" s="1"/>
      <c r="F3061" s="1"/>
      <c r="G3061" s="1"/>
      <c r="H3061" s="1"/>
      <c r="I3061" s="1"/>
      <c r="J3061" s="1"/>
      <c r="K3061" s="1"/>
      <c r="L3061" s="1"/>
      <c r="M3061" s="1"/>
      <c r="N3061" s="1"/>
      <c r="O3061" s="3"/>
    </row>
    <row r="3062" spans="1:15" ht="13.8">
      <c r="A3062" s="1"/>
      <c r="B3062" s="1"/>
      <c r="C3062" s="1"/>
      <c r="D3062" s="1"/>
      <c r="E3062" s="1"/>
      <c r="F3062" s="1"/>
      <c r="G3062" s="1"/>
      <c r="H3062" s="1"/>
      <c r="I3062" s="1"/>
      <c r="J3062" s="1"/>
      <c r="K3062" s="1"/>
      <c r="L3062" s="1"/>
      <c r="M3062" s="1"/>
      <c r="N3062" s="1"/>
      <c r="O3062" s="3"/>
    </row>
    <row r="3063" spans="1:15" ht="13.8">
      <c r="A3063" s="1"/>
      <c r="B3063" s="1"/>
      <c r="C3063" s="1"/>
      <c r="D3063" s="1"/>
      <c r="E3063" s="1"/>
      <c r="F3063" s="1"/>
      <c r="G3063" s="1"/>
      <c r="H3063" s="1"/>
      <c r="I3063" s="1"/>
      <c r="J3063" s="1"/>
      <c r="K3063" s="1"/>
      <c r="L3063" s="1"/>
      <c r="M3063" s="1"/>
      <c r="N3063" s="1"/>
      <c r="O3063" s="3"/>
    </row>
    <row r="3064" spans="1:15" ht="13.8">
      <c r="A3064" s="1"/>
      <c r="B3064" s="1"/>
      <c r="C3064" s="1"/>
      <c r="D3064" s="1"/>
      <c r="E3064" s="1"/>
      <c r="F3064" s="1"/>
      <c r="G3064" s="1"/>
      <c r="H3064" s="1"/>
      <c r="I3064" s="1"/>
      <c r="J3064" s="1"/>
      <c r="K3064" s="1"/>
      <c r="L3064" s="1"/>
      <c r="M3064" s="1"/>
      <c r="N3064" s="1"/>
      <c r="O3064" s="3"/>
    </row>
    <row r="3065" spans="1:15" ht="13.8">
      <c r="A3065" s="1"/>
      <c r="B3065" s="1"/>
      <c r="C3065" s="1"/>
      <c r="D3065" s="1"/>
      <c r="E3065" s="1"/>
      <c r="F3065" s="1"/>
      <c r="G3065" s="1"/>
      <c r="H3065" s="1"/>
      <c r="I3065" s="1"/>
      <c r="J3065" s="1"/>
      <c r="K3065" s="1"/>
      <c r="L3065" s="1"/>
      <c r="M3065" s="1"/>
      <c r="N3065" s="1"/>
      <c r="O3065" s="3"/>
    </row>
    <row r="3066" spans="1:15" ht="13.8">
      <c r="A3066" s="1"/>
      <c r="B3066" s="1"/>
      <c r="C3066" s="1"/>
      <c r="D3066" s="1"/>
      <c r="E3066" s="1"/>
      <c r="F3066" s="1"/>
      <c r="G3066" s="1"/>
      <c r="H3066" s="1"/>
      <c r="I3066" s="1"/>
      <c r="J3066" s="1"/>
      <c r="K3066" s="1"/>
      <c r="L3066" s="1"/>
      <c r="M3066" s="1"/>
      <c r="N3066" s="1"/>
      <c r="O3066" s="3"/>
    </row>
    <row r="3067" spans="1:15" ht="13.8">
      <c r="A3067" s="1"/>
      <c r="B3067" s="1"/>
      <c r="C3067" s="1"/>
      <c r="D3067" s="1"/>
      <c r="E3067" s="1"/>
      <c r="F3067" s="1"/>
      <c r="G3067" s="1"/>
      <c r="H3067" s="1"/>
      <c r="I3067" s="1"/>
      <c r="J3067" s="1"/>
      <c r="K3067" s="1"/>
      <c r="L3067" s="1"/>
      <c r="M3067" s="1"/>
      <c r="N3067" s="1"/>
      <c r="O3067" s="3"/>
    </row>
    <row r="3068" spans="1:15" ht="13.8">
      <c r="A3068" s="1"/>
      <c r="B3068" s="1"/>
      <c r="C3068" s="1"/>
      <c r="D3068" s="1"/>
      <c r="E3068" s="1"/>
      <c r="F3068" s="1"/>
      <c r="G3068" s="1"/>
      <c r="H3068" s="1"/>
      <c r="I3068" s="1"/>
      <c r="J3068" s="1"/>
      <c r="K3068" s="1"/>
      <c r="L3068" s="1"/>
      <c r="M3068" s="1"/>
      <c r="N3068" s="1"/>
      <c r="O3068" s="3"/>
    </row>
    <row r="3069" spans="1:15" ht="13.8">
      <c r="A3069" s="1"/>
      <c r="B3069" s="1"/>
      <c r="C3069" s="1"/>
      <c r="D3069" s="1"/>
      <c r="E3069" s="1"/>
      <c r="F3069" s="1"/>
      <c r="G3069" s="1"/>
      <c r="H3069" s="1"/>
      <c r="I3069" s="1"/>
      <c r="J3069" s="1"/>
      <c r="K3069" s="1"/>
      <c r="L3069" s="1"/>
      <c r="M3069" s="1"/>
      <c r="N3069" s="1"/>
      <c r="O3069" s="3"/>
    </row>
    <row r="3070" spans="1:15" ht="13.8">
      <c r="A3070" s="1"/>
      <c r="B3070" s="1"/>
      <c r="C3070" s="1"/>
      <c r="D3070" s="1"/>
      <c r="E3070" s="1"/>
      <c r="F3070" s="1"/>
      <c r="G3070" s="1"/>
      <c r="H3070" s="1"/>
      <c r="I3070" s="1"/>
      <c r="J3070" s="1"/>
      <c r="K3070" s="1"/>
      <c r="L3070" s="1"/>
      <c r="M3070" s="1"/>
      <c r="N3070" s="1"/>
      <c r="O3070" s="3"/>
    </row>
    <row r="3071" spans="1:15" ht="13.8">
      <c r="A3071" s="1"/>
      <c r="B3071" s="1"/>
      <c r="C3071" s="1"/>
      <c r="D3071" s="1"/>
      <c r="E3071" s="1"/>
      <c r="F3071" s="1"/>
      <c r="G3071" s="1"/>
      <c r="H3071" s="1"/>
      <c r="I3071" s="1"/>
      <c r="J3071" s="1"/>
      <c r="K3071" s="1"/>
      <c r="L3071" s="1"/>
      <c r="M3071" s="1"/>
      <c r="N3071" s="1"/>
      <c r="O3071" s="3"/>
    </row>
    <row r="3072" spans="1:15" ht="13.8">
      <c r="A3072" s="1"/>
      <c r="B3072" s="1"/>
      <c r="C3072" s="1"/>
      <c r="D3072" s="1"/>
      <c r="E3072" s="1"/>
      <c r="F3072" s="1"/>
      <c r="G3072" s="1"/>
      <c r="H3072" s="1"/>
      <c r="I3072" s="1"/>
      <c r="J3072" s="1"/>
      <c r="K3072" s="1"/>
      <c r="L3072" s="1"/>
      <c r="M3072" s="1"/>
      <c r="N3072" s="1"/>
      <c r="O3072" s="3"/>
    </row>
    <row r="3073" spans="1:15" ht="13.8">
      <c r="A3073" s="1"/>
      <c r="B3073" s="1"/>
      <c r="C3073" s="1"/>
      <c r="D3073" s="1"/>
      <c r="E3073" s="1"/>
      <c r="F3073" s="1"/>
      <c r="G3073" s="1"/>
      <c r="H3073" s="1"/>
      <c r="I3073" s="1"/>
      <c r="J3073" s="1"/>
      <c r="K3073" s="1"/>
      <c r="L3073" s="1"/>
      <c r="M3073" s="1"/>
      <c r="N3073" s="1"/>
      <c r="O3073" s="3"/>
    </row>
    <row r="3074" spans="1:15" ht="13.8">
      <c r="A3074" s="1"/>
      <c r="B3074" s="1"/>
      <c r="C3074" s="1"/>
      <c r="D3074" s="1"/>
      <c r="E3074" s="1"/>
      <c r="F3074" s="1"/>
      <c r="G3074" s="1"/>
      <c r="H3074" s="1"/>
      <c r="I3074" s="1"/>
      <c r="J3074" s="1"/>
      <c r="K3074" s="1"/>
      <c r="L3074" s="1"/>
      <c r="M3074" s="1"/>
      <c r="N3074" s="1"/>
      <c r="O3074" s="3"/>
    </row>
    <row r="3075" spans="1:15" ht="13.8">
      <c r="A3075" s="1"/>
      <c r="B3075" s="1"/>
      <c r="C3075" s="1"/>
      <c r="D3075" s="1"/>
      <c r="E3075" s="1"/>
      <c r="F3075" s="1"/>
      <c r="G3075" s="1"/>
      <c r="H3075" s="1"/>
      <c r="I3075" s="1"/>
      <c r="J3075" s="1"/>
      <c r="K3075" s="1"/>
      <c r="L3075" s="1"/>
      <c r="M3075" s="1"/>
      <c r="N3075" s="1"/>
      <c r="O3075" s="3"/>
    </row>
    <row r="3076" spans="1:15" ht="13.8">
      <c r="A3076" s="1"/>
      <c r="B3076" s="1"/>
      <c r="C3076" s="1"/>
      <c r="D3076" s="1"/>
      <c r="E3076" s="1"/>
      <c r="F3076" s="1"/>
      <c r="G3076" s="1"/>
      <c r="H3076" s="1"/>
      <c r="I3076" s="1"/>
      <c r="J3076" s="1"/>
      <c r="K3076" s="1"/>
      <c r="L3076" s="1"/>
      <c r="M3076" s="1"/>
      <c r="N3076" s="1"/>
      <c r="O3076" s="3"/>
    </row>
    <row r="3077" spans="1:15" ht="13.8">
      <c r="A3077" s="1"/>
      <c r="B3077" s="1"/>
      <c r="C3077" s="1"/>
      <c r="D3077" s="1"/>
      <c r="E3077" s="1"/>
      <c r="F3077" s="1"/>
      <c r="G3077" s="1"/>
      <c r="H3077" s="1"/>
      <c r="I3077" s="1"/>
      <c r="J3077" s="1"/>
      <c r="K3077" s="1"/>
      <c r="L3077" s="1"/>
      <c r="M3077" s="1"/>
      <c r="N3077" s="1"/>
      <c r="O3077" s="3"/>
    </row>
    <row r="3078" spans="1:15" ht="13.8">
      <c r="A3078" s="1"/>
      <c r="B3078" s="1"/>
      <c r="C3078" s="1"/>
      <c r="D3078" s="1"/>
      <c r="E3078" s="1"/>
      <c r="F3078" s="1"/>
      <c r="G3078" s="1"/>
      <c r="H3078" s="1"/>
      <c r="I3078" s="1"/>
      <c r="J3078" s="1"/>
      <c r="K3078" s="1"/>
      <c r="L3078" s="1"/>
      <c r="M3078" s="1"/>
      <c r="N3078" s="1"/>
      <c r="O3078" s="3"/>
    </row>
    <row r="3079" spans="1:15" ht="13.8">
      <c r="A3079" s="1"/>
      <c r="B3079" s="1"/>
      <c r="C3079" s="1"/>
      <c r="D3079" s="1"/>
      <c r="E3079" s="1"/>
      <c r="F3079" s="1"/>
      <c r="G3079" s="1"/>
      <c r="H3079" s="1"/>
      <c r="I3079" s="1"/>
      <c r="J3079" s="1"/>
      <c r="K3079" s="1"/>
      <c r="L3079" s="1"/>
      <c r="M3079" s="1"/>
      <c r="N3079" s="1"/>
      <c r="O3079" s="3"/>
    </row>
    <row r="3080" spans="1:15" ht="13.8">
      <c r="A3080" s="1"/>
      <c r="B3080" s="1"/>
      <c r="C3080" s="1"/>
      <c r="D3080" s="1"/>
      <c r="E3080" s="1"/>
      <c r="F3080" s="1"/>
      <c r="G3080" s="1"/>
      <c r="H3080" s="1"/>
      <c r="I3080" s="1"/>
      <c r="J3080" s="1"/>
      <c r="K3080" s="1"/>
      <c r="L3080" s="1"/>
      <c r="M3080" s="1"/>
      <c r="N3080" s="1"/>
      <c r="O3080" s="3"/>
    </row>
    <row r="3081" spans="1:15" ht="13.8">
      <c r="A3081" s="1"/>
      <c r="B3081" s="1"/>
      <c r="C3081" s="1"/>
      <c r="D3081" s="1"/>
      <c r="E3081" s="1"/>
      <c r="F3081" s="1"/>
      <c r="G3081" s="1"/>
      <c r="H3081" s="1"/>
      <c r="I3081" s="1"/>
      <c r="J3081" s="1"/>
      <c r="K3081" s="1"/>
      <c r="L3081" s="1"/>
      <c r="M3081" s="1"/>
      <c r="N3081" s="1"/>
      <c r="O3081" s="3"/>
    </row>
    <row r="3082" spans="1:15" ht="13.8">
      <c r="A3082" s="1"/>
      <c r="B3082" s="1"/>
      <c r="C3082" s="1"/>
      <c r="D3082" s="1"/>
      <c r="E3082" s="1"/>
      <c r="F3082" s="1"/>
      <c r="G3082" s="1"/>
      <c r="H3082" s="1"/>
      <c r="I3082" s="1"/>
      <c r="J3082" s="1"/>
      <c r="K3082" s="1"/>
      <c r="L3082" s="1"/>
      <c r="M3082" s="1"/>
      <c r="N3082" s="1"/>
      <c r="O3082" s="3"/>
    </row>
    <row r="3083" spans="1:15" ht="13.8">
      <c r="A3083" s="1"/>
      <c r="B3083" s="1"/>
      <c r="C3083" s="1"/>
      <c r="D3083" s="1"/>
      <c r="E3083" s="1"/>
      <c r="F3083" s="1"/>
      <c r="G3083" s="1"/>
      <c r="H3083" s="1"/>
      <c r="I3083" s="1"/>
      <c r="J3083" s="1"/>
      <c r="K3083" s="1"/>
      <c r="L3083" s="1"/>
      <c r="M3083" s="1"/>
      <c r="N3083" s="1"/>
      <c r="O3083" s="3"/>
    </row>
    <row r="3084" spans="1:15" ht="13.8">
      <c r="A3084" s="1"/>
      <c r="B3084" s="1"/>
      <c r="C3084" s="1"/>
      <c r="D3084" s="1"/>
      <c r="E3084" s="1"/>
      <c r="F3084" s="1"/>
      <c r="G3084" s="1"/>
      <c r="H3084" s="1"/>
      <c r="I3084" s="1"/>
      <c r="J3084" s="1"/>
      <c r="K3084" s="1"/>
      <c r="L3084" s="1"/>
      <c r="M3084" s="1"/>
      <c r="N3084" s="1"/>
      <c r="O3084" s="3"/>
    </row>
    <row r="3085" spans="1:15" ht="13.8">
      <c r="A3085" s="1"/>
      <c r="B3085" s="1"/>
      <c r="C3085" s="1"/>
      <c r="D3085" s="1"/>
      <c r="E3085" s="1"/>
      <c r="F3085" s="1"/>
      <c r="G3085" s="1"/>
      <c r="H3085" s="1"/>
      <c r="I3085" s="1"/>
      <c r="J3085" s="1"/>
      <c r="K3085" s="1"/>
      <c r="L3085" s="1"/>
      <c r="M3085" s="1"/>
      <c r="N3085" s="1"/>
      <c r="O3085" s="3"/>
    </row>
    <row r="3086" spans="1:15" ht="13.8">
      <c r="A3086" s="1"/>
      <c r="B3086" s="1"/>
      <c r="C3086" s="1"/>
      <c r="D3086" s="1"/>
      <c r="E3086" s="1"/>
      <c r="F3086" s="1"/>
      <c r="G3086" s="1"/>
      <c r="H3086" s="1"/>
      <c r="I3086" s="1"/>
      <c r="J3086" s="1"/>
      <c r="K3086" s="1"/>
      <c r="L3086" s="1"/>
      <c r="M3086" s="1"/>
      <c r="N3086" s="1"/>
      <c r="O3086" s="3"/>
    </row>
    <row r="3087" spans="1:15" ht="13.8">
      <c r="A3087" s="1"/>
      <c r="B3087" s="1"/>
      <c r="C3087" s="1"/>
      <c r="D3087" s="1"/>
      <c r="E3087" s="1"/>
      <c r="F3087" s="1"/>
      <c r="G3087" s="1"/>
      <c r="H3087" s="1"/>
      <c r="I3087" s="1"/>
      <c r="J3087" s="1"/>
      <c r="K3087" s="1"/>
      <c r="L3087" s="1"/>
      <c r="M3087" s="1"/>
      <c r="N3087" s="1"/>
      <c r="O3087" s="3"/>
    </row>
    <row r="3088" spans="1:15" ht="13.8">
      <c r="A3088" s="1"/>
      <c r="B3088" s="1"/>
      <c r="C3088" s="1"/>
      <c r="D3088" s="1"/>
      <c r="E3088" s="1"/>
      <c r="F3088" s="1"/>
      <c r="G3088" s="1"/>
      <c r="H3088" s="1"/>
      <c r="I3088" s="1"/>
      <c r="J3088" s="1"/>
      <c r="K3088" s="1"/>
      <c r="L3088" s="1"/>
      <c r="M3088" s="1"/>
      <c r="N3088" s="1"/>
      <c r="O3088" s="3"/>
    </row>
    <row r="3089" spans="1:15" ht="13.8">
      <c r="A3089" s="1"/>
      <c r="B3089" s="1"/>
      <c r="C3089" s="1"/>
      <c r="D3089" s="1"/>
      <c r="E3089" s="1"/>
      <c r="F3089" s="1"/>
      <c r="G3089" s="1"/>
      <c r="H3089" s="1"/>
      <c r="I3089" s="1"/>
      <c r="J3089" s="1"/>
      <c r="K3089" s="1"/>
      <c r="L3089" s="1"/>
      <c r="M3089" s="1"/>
      <c r="N3089" s="1"/>
      <c r="O3089" s="3"/>
    </row>
    <row r="3090" spans="1:15" ht="13.8">
      <c r="A3090" s="1"/>
      <c r="B3090" s="1"/>
      <c r="C3090" s="1"/>
      <c r="D3090" s="1"/>
      <c r="E3090" s="1"/>
      <c r="F3090" s="1"/>
      <c r="G3090" s="1"/>
      <c r="H3090" s="1"/>
      <c r="I3090" s="1"/>
      <c r="J3090" s="1"/>
      <c r="K3090" s="1"/>
      <c r="L3090" s="1"/>
      <c r="M3090" s="1"/>
      <c r="N3090" s="1"/>
      <c r="O3090" s="3"/>
    </row>
    <row r="3091" spans="1:15" ht="13.8">
      <c r="A3091" s="1"/>
      <c r="B3091" s="1"/>
      <c r="C3091" s="1"/>
      <c r="D3091" s="1"/>
      <c r="E3091" s="1"/>
      <c r="F3091" s="1"/>
      <c r="G3091" s="1"/>
      <c r="H3091" s="1"/>
      <c r="I3091" s="1"/>
      <c r="J3091" s="1"/>
      <c r="K3091" s="1"/>
      <c r="L3091" s="1"/>
      <c r="M3091" s="1"/>
      <c r="N3091" s="1"/>
      <c r="O3091" s="3"/>
    </row>
    <row r="3092" spans="1:15" ht="13.8">
      <c r="A3092" s="1"/>
      <c r="B3092" s="1"/>
      <c r="C3092" s="1"/>
      <c r="D3092" s="1"/>
      <c r="E3092" s="1"/>
      <c r="F3092" s="1"/>
      <c r="G3092" s="1"/>
      <c r="H3092" s="1"/>
      <c r="I3092" s="1"/>
      <c r="J3092" s="1"/>
      <c r="K3092" s="1"/>
      <c r="L3092" s="1"/>
      <c r="M3092" s="1"/>
      <c r="N3092" s="1"/>
      <c r="O3092" s="3"/>
    </row>
    <row r="3093" spans="1:15" ht="13.8">
      <c r="A3093" s="1"/>
      <c r="B3093" s="1"/>
      <c r="C3093" s="1"/>
      <c r="D3093" s="1"/>
      <c r="E3093" s="1"/>
      <c r="F3093" s="1"/>
      <c r="G3093" s="1"/>
      <c r="H3093" s="1"/>
      <c r="I3093" s="1"/>
      <c r="J3093" s="1"/>
      <c r="K3093" s="1"/>
      <c r="L3093" s="1"/>
      <c r="M3093" s="1"/>
      <c r="N3093" s="1"/>
      <c r="O3093" s="3"/>
    </row>
    <row r="3094" spans="1:15" ht="13.8">
      <c r="A3094" s="1"/>
      <c r="B3094" s="1"/>
      <c r="C3094" s="1"/>
      <c r="D3094" s="1"/>
      <c r="E3094" s="1"/>
      <c r="F3094" s="1"/>
      <c r="G3094" s="1"/>
      <c r="H3094" s="1"/>
      <c r="I3094" s="1"/>
      <c r="J3094" s="1"/>
      <c r="K3094" s="1"/>
      <c r="L3094" s="1"/>
      <c r="M3094" s="1"/>
      <c r="N3094" s="1"/>
      <c r="O3094" s="3"/>
    </row>
    <row r="3095" spans="1:15" ht="13.8">
      <c r="A3095" s="1"/>
      <c r="B3095" s="1"/>
      <c r="C3095" s="1"/>
      <c r="D3095" s="1"/>
      <c r="E3095" s="1"/>
      <c r="F3095" s="1"/>
      <c r="G3095" s="1"/>
      <c r="H3095" s="1"/>
      <c r="I3095" s="1"/>
      <c r="J3095" s="1"/>
      <c r="K3095" s="1"/>
      <c r="L3095" s="1"/>
      <c r="M3095" s="1"/>
      <c r="N3095" s="1"/>
      <c r="O3095" s="3"/>
    </row>
    <row r="3096" spans="1:15" ht="13.8">
      <c r="A3096" s="1"/>
      <c r="B3096" s="1"/>
      <c r="C3096" s="1"/>
      <c r="D3096" s="1"/>
      <c r="E3096" s="1"/>
      <c r="F3096" s="1"/>
      <c r="G3096" s="1"/>
      <c r="H3096" s="1"/>
      <c r="I3096" s="1"/>
      <c r="J3096" s="1"/>
      <c r="K3096" s="1"/>
      <c r="L3096" s="1"/>
      <c r="M3096" s="1"/>
      <c r="N3096" s="1"/>
      <c r="O3096" s="3"/>
    </row>
    <row r="3097" spans="1:15" ht="13.8">
      <c r="A3097" s="1"/>
      <c r="B3097" s="1"/>
      <c r="C3097" s="1"/>
      <c r="D3097" s="1"/>
      <c r="E3097" s="1"/>
      <c r="F3097" s="1"/>
      <c r="G3097" s="1"/>
      <c r="H3097" s="1"/>
      <c r="I3097" s="1"/>
      <c r="J3097" s="1"/>
      <c r="K3097" s="1"/>
      <c r="L3097" s="1"/>
      <c r="M3097" s="1"/>
      <c r="N3097" s="1"/>
      <c r="O3097" s="3"/>
    </row>
    <row r="3098" spans="1:15" ht="13.8">
      <c r="A3098" s="1"/>
      <c r="B3098" s="1"/>
      <c r="C3098" s="1"/>
      <c r="D3098" s="1"/>
      <c r="E3098" s="1"/>
      <c r="F3098" s="1"/>
      <c r="G3098" s="1"/>
      <c r="H3098" s="1"/>
      <c r="I3098" s="1"/>
      <c r="J3098" s="1"/>
      <c r="K3098" s="1"/>
      <c r="L3098" s="1"/>
      <c r="M3098" s="1"/>
      <c r="N3098" s="1"/>
      <c r="O3098" s="3"/>
    </row>
    <row r="3099" spans="1:15" ht="13.8">
      <c r="A3099" s="1"/>
      <c r="B3099" s="1"/>
      <c r="C3099" s="1"/>
      <c r="D3099" s="1"/>
      <c r="E3099" s="1"/>
      <c r="F3099" s="1"/>
      <c r="G3099" s="1"/>
      <c r="H3099" s="1"/>
      <c r="I3099" s="1"/>
      <c r="J3099" s="1"/>
      <c r="K3099" s="1"/>
      <c r="L3099" s="1"/>
      <c r="M3099" s="1"/>
      <c r="N3099" s="1"/>
      <c r="O3099" s="3"/>
    </row>
    <row r="3100" spans="1:15" ht="13.8">
      <c r="A3100" s="1"/>
      <c r="B3100" s="1"/>
      <c r="C3100" s="1"/>
      <c r="D3100" s="1"/>
      <c r="E3100" s="1"/>
      <c r="F3100" s="1"/>
      <c r="G3100" s="1"/>
      <c r="H3100" s="1"/>
      <c r="I3100" s="1"/>
      <c r="J3100" s="1"/>
      <c r="K3100" s="1"/>
      <c r="L3100" s="1"/>
      <c r="M3100" s="1"/>
      <c r="N3100" s="1"/>
      <c r="O3100" s="3"/>
    </row>
    <row r="3101" spans="1:15" ht="13.8">
      <c r="A3101" s="1"/>
      <c r="B3101" s="1"/>
      <c r="C3101" s="1"/>
      <c r="D3101" s="1"/>
      <c r="E3101" s="1"/>
      <c r="F3101" s="1"/>
      <c r="G3101" s="1"/>
      <c r="H3101" s="1"/>
      <c r="I3101" s="1"/>
      <c r="J3101" s="1"/>
      <c r="K3101" s="1"/>
      <c r="L3101" s="1"/>
      <c r="M3101" s="1"/>
      <c r="N3101" s="1"/>
      <c r="O3101" s="3"/>
    </row>
    <row r="3102" spans="1:15" ht="13.8">
      <c r="A3102" s="1"/>
      <c r="B3102" s="1"/>
      <c r="C3102" s="1"/>
      <c r="D3102" s="1"/>
      <c r="E3102" s="1"/>
      <c r="F3102" s="1"/>
      <c r="G3102" s="1"/>
      <c r="H3102" s="1"/>
      <c r="I3102" s="1"/>
      <c r="J3102" s="1"/>
      <c r="K3102" s="1"/>
      <c r="L3102" s="1"/>
      <c r="M3102" s="1"/>
      <c r="N3102" s="1"/>
      <c r="O3102" s="3"/>
    </row>
    <row r="3103" spans="1:15" ht="13.8">
      <c r="A3103" s="1"/>
      <c r="B3103" s="1"/>
      <c r="C3103" s="1"/>
      <c r="D3103" s="1"/>
      <c r="E3103" s="1"/>
      <c r="F3103" s="1"/>
      <c r="G3103" s="1"/>
      <c r="H3103" s="1"/>
      <c r="I3103" s="1"/>
      <c r="J3103" s="1"/>
      <c r="K3103" s="1"/>
      <c r="L3103" s="1"/>
      <c r="M3103" s="1"/>
      <c r="N3103" s="1"/>
      <c r="O3103" s="3"/>
    </row>
    <row r="3104" spans="1:15" ht="13.8">
      <c r="A3104" s="1"/>
      <c r="B3104" s="1"/>
      <c r="C3104" s="1"/>
      <c r="D3104" s="1"/>
      <c r="E3104" s="1"/>
      <c r="F3104" s="1"/>
      <c r="G3104" s="1"/>
      <c r="H3104" s="1"/>
      <c r="I3104" s="1"/>
      <c r="J3104" s="1"/>
      <c r="K3104" s="1"/>
      <c r="L3104" s="1"/>
      <c r="M3104" s="1"/>
      <c r="N3104" s="1"/>
      <c r="O3104" s="3"/>
    </row>
    <row r="3105" spans="1:15" ht="13.8">
      <c r="A3105" s="1"/>
      <c r="B3105" s="1"/>
      <c r="C3105" s="1"/>
      <c r="D3105" s="1"/>
      <c r="E3105" s="1"/>
      <c r="F3105" s="1"/>
      <c r="G3105" s="1"/>
      <c r="H3105" s="1"/>
      <c r="I3105" s="1"/>
      <c r="J3105" s="1"/>
      <c r="K3105" s="1"/>
      <c r="L3105" s="1"/>
      <c r="M3105" s="1"/>
      <c r="N3105" s="1"/>
      <c r="O3105" s="3"/>
    </row>
    <row r="3106" spans="1:15" ht="13.8">
      <c r="A3106" s="1"/>
      <c r="B3106" s="1"/>
      <c r="C3106" s="1"/>
      <c r="D3106" s="1"/>
      <c r="E3106" s="1"/>
      <c r="F3106" s="1"/>
      <c r="G3106" s="1"/>
      <c r="H3106" s="1"/>
      <c r="I3106" s="1"/>
      <c r="J3106" s="1"/>
      <c r="K3106" s="1"/>
      <c r="L3106" s="1"/>
      <c r="M3106" s="1"/>
      <c r="N3106" s="1"/>
      <c r="O3106" s="3"/>
    </row>
    <row r="3107" spans="1:15" ht="13.8">
      <c r="A3107" s="1"/>
      <c r="B3107" s="1"/>
      <c r="C3107" s="1"/>
      <c r="D3107" s="1"/>
      <c r="E3107" s="1"/>
      <c r="F3107" s="1"/>
      <c r="G3107" s="1"/>
      <c r="H3107" s="1"/>
      <c r="I3107" s="1"/>
      <c r="J3107" s="1"/>
      <c r="K3107" s="1"/>
      <c r="L3107" s="1"/>
      <c r="M3107" s="1"/>
      <c r="N3107" s="1"/>
      <c r="O3107" s="3"/>
    </row>
    <row r="3108" spans="1:15" ht="13.8">
      <c r="A3108" s="1"/>
      <c r="B3108" s="1"/>
      <c r="C3108" s="1"/>
      <c r="D3108" s="1"/>
      <c r="E3108" s="1"/>
      <c r="F3108" s="1"/>
      <c r="G3108" s="1"/>
      <c r="H3108" s="1"/>
      <c r="I3108" s="1"/>
      <c r="J3108" s="1"/>
      <c r="K3108" s="1"/>
      <c r="L3108" s="1"/>
      <c r="M3108" s="1"/>
      <c r="N3108" s="1"/>
      <c r="O3108" s="3"/>
    </row>
    <row r="3109" spans="1:15" ht="13.8">
      <c r="A3109" s="1"/>
      <c r="B3109" s="1"/>
      <c r="C3109" s="1"/>
      <c r="D3109" s="1"/>
      <c r="E3109" s="1"/>
      <c r="F3109" s="1"/>
      <c r="G3109" s="1"/>
      <c r="H3109" s="1"/>
      <c r="I3109" s="1"/>
      <c r="J3109" s="1"/>
      <c r="K3109" s="1"/>
      <c r="L3109" s="1"/>
      <c r="M3109" s="1"/>
      <c r="N3109" s="1"/>
      <c r="O3109" s="3"/>
    </row>
    <row r="3110" spans="1:15" ht="13.8">
      <c r="A3110" s="1"/>
      <c r="B3110" s="1"/>
      <c r="C3110" s="1"/>
      <c r="D3110" s="1"/>
      <c r="E3110" s="1"/>
      <c r="F3110" s="1"/>
      <c r="G3110" s="1"/>
      <c r="H3110" s="1"/>
      <c r="I3110" s="1"/>
      <c r="J3110" s="1"/>
      <c r="K3110" s="1"/>
      <c r="L3110" s="1"/>
      <c r="M3110" s="1"/>
      <c r="N3110" s="1"/>
      <c r="O3110" s="3"/>
    </row>
    <row r="3111" spans="1:15" ht="13.8">
      <c r="A3111" s="1"/>
      <c r="B3111" s="1"/>
      <c r="C3111" s="1"/>
      <c r="D3111" s="1"/>
      <c r="E3111" s="1"/>
      <c r="F3111" s="1"/>
      <c r="G3111" s="1"/>
      <c r="H3111" s="1"/>
      <c r="I3111" s="1"/>
      <c r="J3111" s="1"/>
      <c r="K3111" s="1"/>
      <c r="L3111" s="1"/>
      <c r="M3111" s="1"/>
      <c r="N3111" s="1"/>
      <c r="O3111" s="3"/>
    </row>
    <row r="3112" spans="1:15" ht="13.8">
      <c r="A3112" s="1"/>
      <c r="B3112" s="1"/>
      <c r="C3112" s="1"/>
      <c r="D3112" s="1"/>
      <c r="E3112" s="1"/>
      <c r="F3112" s="1"/>
      <c r="G3112" s="1"/>
      <c r="H3112" s="1"/>
      <c r="I3112" s="1"/>
      <c r="J3112" s="1"/>
      <c r="K3112" s="1"/>
      <c r="L3112" s="1"/>
      <c r="M3112" s="1"/>
      <c r="N3112" s="1"/>
      <c r="O3112" s="3"/>
    </row>
    <row r="3113" spans="1:15" ht="13.8">
      <c r="A3113" s="1"/>
      <c r="B3113" s="1"/>
      <c r="C3113" s="1"/>
      <c r="D3113" s="1"/>
      <c r="E3113" s="1"/>
      <c r="F3113" s="1"/>
      <c r="G3113" s="1"/>
      <c r="H3113" s="1"/>
      <c r="I3113" s="1"/>
      <c r="J3113" s="1"/>
      <c r="K3113" s="1"/>
      <c r="L3113" s="1"/>
      <c r="M3113" s="1"/>
      <c r="N3113" s="1"/>
      <c r="O3113" s="3"/>
    </row>
    <row r="3114" spans="1:15" ht="13.8">
      <c r="A3114" s="1"/>
      <c r="B3114" s="1"/>
      <c r="C3114" s="1"/>
      <c r="D3114" s="1"/>
      <c r="E3114" s="1"/>
      <c r="F3114" s="1"/>
      <c r="G3114" s="1"/>
      <c r="H3114" s="1"/>
      <c r="I3114" s="1"/>
      <c r="J3114" s="1"/>
      <c r="K3114" s="1"/>
      <c r="L3114" s="1"/>
      <c r="M3114" s="1"/>
      <c r="N3114" s="1"/>
      <c r="O3114" s="3"/>
    </row>
    <row r="3115" spans="1:15" ht="13.8">
      <c r="A3115" s="1"/>
      <c r="B3115" s="1"/>
      <c r="C3115" s="1"/>
      <c r="D3115" s="1"/>
      <c r="E3115" s="1"/>
      <c r="F3115" s="1"/>
      <c r="G3115" s="1"/>
      <c r="H3115" s="1"/>
      <c r="I3115" s="1"/>
      <c r="J3115" s="1"/>
      <c r="K3115" s="1"/>
      <c r="L3115" s="1"/>
      <c r="M3115" s="1"/>
      <c r="N3115" s="1"/>
      <c r="O3115" s="3"/>
    </row>
    <row r="3116" spans="1:15" ht="13.8">
      <c r="A3116" s="1"/>
      <c r="B3116" s="1"/>
      <c r="C3116" s="1"/>
      <c r="D3116" s="1"/>
      <c r="E3116" s="1"/>
      <c r="F3116" s="1"/>
      <c r="G3116" s="1"/>
      <c r="H3116" s="1"/>
      <c r="I3116" s="1"/>
      <c r="J3116" s="1"/>
      <c r="K3116" s="1"/>
      <c r="L3116" s="1"/>
      <c r="M3116" s="1"/>
      <c r="N3116" s="1"/>
      <c r="O3116" s="3"/>
    </row>
    <row r="3117" spans="1:15" ht="13.8">
      <c r="A3117" s="1"/>
      <c r="B3117" s="1"/>
      <c r="C3117" s="1"/>
      <c r="D3117" s="1"/>
      <c r="E3117" s="1"/>
      <c r="F3117" s="1"/>
      <c r="G3117" s="1"/>
      <c r="H3117" s="1"/>
      <c r="I3117" s="1"/>
      <c r="J3117" s="1"/>
      <c r="K3117" s="1"/>
      <c r="L3117" s="1"/>
      <c r="M3117" s="1"/>
      <c r="N3117" s="1"/>
      <c r="O3117" s="3"/>
    </row>
    <row r="3118" spans="1:15" ht="13.8">
      <c r="A3118" s="1"/>
      <c r="B3118" s="1"/>
      <c r="C3118" s="1"/>
      <c r="D3118" s="1"/>
      <c r="E3118" s="1"/>
      <c r="F3118" s="1"/>
      <c r="G3118" s="1"/>
      <c r="H3118" s="1"/>
      <c r="I3118" s="1"/>
      <c r="J3118" s="1"/>
      <c r="K3118" s="1"/>
      <c r="L3118" s="1"/>
      <c r="M3118" s="1"/>
      <c r="N3118" s="1"/>
      <c r="O3118" s="3"/>
    </row>
    <row r="3119" spans="1:15" ht="13.8">
      <c r="A3119" s="1"/>
      <c r="B3119" s="1"/>
      <c r="C3119" s="1"/>
      <c r="D3119" s="1"/>
      <c r="E3119" s="1"/>
      <c r="F3119" s="1"/>
      <c r="G3119" s="1"/>
      <c r="H3119" s="1"/>
      <c r="I3119" s="1"/>
      <c r="J3119" s="1"/>
      <c r="K3119" s="1"/>
      <c r="L3119" s="1"/>
      <c r="M3119" s="1"/>
      <c r="N3119" s="1"/>
      <c r="O3119" s="3"/>
    </row>
    <row r="3120" spans="1:15" ht="13.8">
      <c r="A3120" s="1"/>
      <c r="B3120" s="1"/>
      <c r="C3120" s="1"/>
      <c r="D3120" s="1"/>
      <c r="E3120" s="1"/>
      <c r="F3120" s="1"/>
      <c r="G3120" s="1"/>
      <c r="H3120" s="1"/>
      <c r="I3120" s="1"/>
      <c r="J3120" s="1"/>
      <c r="K3120" s="1"/>
      <c r="L3120" s="1"/>
      <c r="M3120" s="1"/>
      <c r="N3120" s="1"/>
      <c r="O3120" s="3"/>
    </row>
    <row r="3121" spans="1:15" ht="13.8">
      <c r="A3121" s="1"/>
      <c r="B3121" s="1"/>
      <c r="C3121" s="1"/>
      <c r="D3121" s="1"/>
      <c r="E3121" s="1"/>
      <c r="F3121" s="1"/>
      <c r="G3121" s="1"/>
      <c r="H3121" s="1"/>
      <c r="I3121" s="1"/>
      <c r="J3121" s="1"/>
      <c r="K3121" s="1"/>
      <c r="L3121" s="1"/>
      <c r="M3121" s="1"/>
      <c r="N3121" s="1"/>
      <c r="O3121" s="3"/>
    </row>
    <row r="3122" spans="1:15" ht="13.8">
      <c r="A3122" s="1"/>
      <c r="B3122" s="1"/>
      <c r="C3122" s="1"/>
      <c r="D3122" s="1"/>
      <c r="E3122" s="1"/>
      <c r="F3122" s="1"/>
      <c r="G3122" s="1"/>
      <c r="H3122" s="1"/>
      <c r="I3122" s="1"/>
      <c r="J3122" s="1"/>
      <c r="K3122" s="1"/>
      <c r="L3122" s="1"/>
      <c r="M3122" s="1"/>
      <c r="N3122" s="1"/>
      <c r="O3122" s="3"/>
    </row>
    <row r="3123" spans="1:15" ht="13.8">
      <c r="A3123" s="1"/>
      <c r="B3123" s="1"/>
      <c r="C3123" s="1"/>
      <c r="D3123" s="1"/>
      <c r="E3123" s="1"/>
      <c r="F3123" s="1"/>
      <c r="G3123" s="1"/>
      <c r="H3123" s="1"/>
      <c r="I3123" s="1"/>
      <c r="J3123" s="1"/>
      <c r="K3123" s="1"/>
      <c r="L3123" s="1"/>
      <c r="M3123" s="1"/>
      <c r="N3123" s="1"/>
      <c r="O3123" s="3"/>
    </row>
    <row r="3124" spans="1:15" ht="13.8">
      <c r="A3124" s="1"/>
      <c r="B3124" s="1"/>
      <c r="C3124" s="1"/>
      <c r="D3124" s="1"/>
      <c r="E3124" s="1"/>
      <c r="F3124" s="1"/>
      <c r="G3124" s="1"/>
      <c r="H3124" s="1"/>
      <c r="I3124" s="1"/>
      <c r="J3124" s="1"/>
      <c r="K3124" s="1"/>
      <c r="L3124" s="1"/>
      <c r="M3124" s="1"/>
      <c r="N3124" s="1"/>
      <c r="O3124" s="3"/>
    </row>
    <row r="3125" spans="1:15" ht="13.8">
      <c r="A3125" s="1"/>
      <c r="B3125" s="1"/>
      <c r="C3125" s="1"/>
      <c r="D3125" s="1"/>
      <c r="E3125" s="1"/>
      <c r="F3125" s="1"/>
      <c r="G3125" s="1"/>
      <c r="H3125" s="1"/>
      <c r="I3125" s="1"/>
      <c r="J3125" s="1"/>
      <c r="K3125" s="1"/>
      <c r="L3125" s="1"/>
      <c r="M3125" s="1"/>
      <c r="N3125" s="1"/>
      <c r="O3125" s="3"/>
    </row>
    <row r="3126" spans="1:15" ht="13.8">
      <c r="A3126" s="1"/>
      <c r="B3126" s="1"/>
      <c r="C3126" s="1"/>
      <c r="D3126" s="1"/>
      <c r="E3126" s="1"/>
      <c r="F3126" s="1"/>
      <c r="G3126" s="1"/>
      <c r="H3126" s="1"/>
      <c r="I3126" s="1"/>
      <c r="J3126" s="1"/>
      <c r="K3126" s="1"/>
      <c r="L3126" s="1"/>
      <c r="M3126" s="1"/>
      <c r="N3126" s="1"/>
      <c r="O3126" s="3"/>
    </row>
    <row r="3127" spans="1:15" ht="13.8">
      <c r="A3127" s="1"/>
      <c r="B3127" s="1"/>
      <c r="C3127" s="1"/>
      <c r="D3127" s="1"/>
      <c r="E3127" s="1"/>
      <c r="F3127" s="1"/>
      <c r="G3127" s="1"/>
      <c r="H3127" s="1"/>
      <c r="I3127" s="1"/>
      <c r="J3127" s="1"/>
      <c r="K3127" s="1"/>
      <c r="L3127" s="1"/>
      <c r="M3127" s="1"/>
      <c r="N3127" s="1"/>
      <c r="O3127" s="3"/>
    </row>
    <row r="3128" spans="1:15" ht="13.8">
      <c r="A3128" s="1"/>
      <c r="B3128" s="1"/>
      <c r="C3128" s="1"/>
      <c r="D3128" s="1"/>
      <c r="E3128" s="1"/>
      <c r="F3128" s="1"/>
      <c r="G3128" s="1"/>
      <c r="H3128" s="1"/>
      <c r="I3128" s="1"/>
      <c r="J3128" s="1"/>
      <c r="K3128" s="1"/>
      <c r="L3128" s="1"/>
      <c r="M3128" s="1"/>
      <c r="N3128" s="1"/>
      <c r="O3128" s="3"/>
    </row>
    <row r="3129" spans="1:15" ht="13.8">
      <c r="A3129" s="1"/>
      <c r="B3129" s="1"/>
      <c r="C3129" s="1"/>
      <c r="D3129" s="1"/>
      <c r="E3129" s="1"/>
      <c r="F3129" s="1"/>
      <c r="G3129" s="1"/>
      <c r="H3129" s="1"/>
      <c r="I3129" s="1"/>
      <c r="J3129" s="1"/>
      <c r="K3129" s="1"/>
      <c r="L3129" s="1"/>
      <c r="M3129" s="1"/>
      <c r="N3129" s="1"/>
      <c r="O3129" s="3"/>
    </row>
    <row r="3130" spans="1:15" ht="13.8">
      <c r="A3130" s="1"/>
      <c r="B3130" s="1"/>
      <c r="C3130" s="1"/>
      <c r="D3130" s="1"/>
      <c r="E3130" s="1"/>
      <c r="F3130" s="1"/>
      <c r="G3130" s="1"/>
      <c r="H3130" s="1"/>
      <c r="I3130" s="1"/>
      <c r="J3130" s="1"/>
      <c r="K3130" s="1"/>
      <c r="L3130" s="1"/>
      <c r="M3130" s="1"/>
      <c r="N3130" s="1"/>
      <c r="O3130" s="3"/>
    </row>
    <row r="3131" spans="1:15" ht="13.8">
      <c r="A3131" s="1"/>
      <c r="B3131" s="1"/>
      <c r="C3131" s="1"/>
      <c r="D3131" s="1"/>
      <c r="E3131" s="1"/>
      <c r="F3131" s="1"/>
      <c r="G3131" s="1"/>
      <c r="H3131" s="1"/>
      <c r="I3131" s="1"/>
      <c r="J3131" s="1"/>
      <c r="K3131" s="1"/>
      <c r="L3131" s="1"/>
      <c r="M3131" s="1"/>
      <c r="N3131" s="1"/>
      <c r="O3131" s="3"/>
    </row>
    <row r="3132" spans="1:15" ht="13.8">
      <c r="A3132" s="1"/>
      <c r="B3132" s="1"/>
      <c r="C3132" s="1"/>
      <c r="D3132" s="1"/>
      <c r="E3132" s="1"/>
      <c r="F3132" s="1"/>
      <c r="G3132" s="1"/>
      <c r="H3132" s="1"/>
      <c r="I3132" s="1"/>
      <c r="J3132" s="1"/>
      <c r="K3132" s="1"/>
      <c r="L3132" s="1"/>
      <c r="M3132" s="1"/>
      <c r="N3132" s="1"/>
      <c r="O3132" s="3"/>
    </row>
    <row r="3133" spans="1:15" ht="13.8">
      <c r="A3133" s="1"/>
      <c r="B3133" s="1"/>
      <c r="C3133" s="1"/>
      <c r="D3133" s="1"/>
      <c r="E3133" s="1"/>
      <c r="F3133" s="1"/>
      <c r="G3133" s="1"/>
      <c r="H3133" s="1"/>
      <c r="I3133" s="1"/>
      <c r="J3133" s="1"/>
      <c r="K3133" s="1"/>
      <c r="L3133" s="1"/>
      <c r="M3133" s="1"/>
      <c r="N3133" s="1"/>
      <c r="O3133" s="3"/>
    </row>
    <row r="3134" spans="1:15" ht="13.8">
      <c r="A3134" s="1"/>
      <c r="B3134" s="1"/>
      <c r="C3134" s="1"/>
      <c r="D3134" s="1"/>
      <c r="E3134" s="1"/>
      <c r="F3134" s="1"/>
      <c r="G3134" s="1"/>
      <c r="H3134" s="1"/>
      <c r="I3134" s="1"/>
      <c r="J3134" s="1"/>
      <c r="K3134" s="1"/>
      <c r="L3134" s="1"/>
      <c r="M3134" s="1"/>
      <c r="N3134" s="1"/>
      <c r="O3134" s="3"/>
    </row>
    <row r="3135" spans="1:15" ht="13.8">
      <c r="A3135" s="1"/>
      <c r="B3135" s="1"/>
      <c r="C3135" s="1"/>
      <c r="D3135" s="1"/>
      <c r="E3135" s="1"/>
      <c r="F3135" s="1"/>
      <c r="G3135" s="1"/>
      <c r="H3135" s="1"/>
      <c r="I3135" s="1"/>
      <c r="J3135" s="1"/>
      <c r="K3135" s="1"/>
      <c r="L3135" s="1"/>
      <c r="M3135" s="1"/>
      <c r="N3135" s="1"/>
      <c r="O3135" s="3"/>
    </row>
    <row r="3136" spans="1:15" ht="13.8">
      <c r="A3136" s="1"/>
      <c r="B3136" s="1"/>
      <c r="C3136" s="1"/>
      <c r="D3136" s="1"/>
      <c r="E3136" s="1"/>
      <c r="F3136" s="1"/>
      <c r="G3136" s="1"/>
      <c r="H3136" s="1"/>
      <c r="I3136" s="1"/>
      <c r="J3136" s="1"/>
      <c r="K3136" s="1"/>
      <c r="L3136" s="1"/>
      <c r="M3136" s="1"/>
      <c r="N3136" s="1"/>
      <c r="O3136" s="3"/>
    </row>
    <row r="3137" spans="1:15" ht="13.8">
      <c r="A3137" s="1"/>
      <c r="B3137" s="1"/>
      <c r="C3137" s="1"/>
      <c r="D3137" s="1"/>
      <c r="E3137" s="1"/>
      <c r="F3137" s="1"/>
      <c r="G3137" s="1"/>
      <c r="H3137" s="1"/>
      <c r="I3137" s="1"/>
      <c r="J3137" s="1"/>
      <c r="K3137" s="1"/>
      <c r="L3137" s="1"/>
      <c r="M3137" s="1"/>
      <c r="N3137" s="1"/>
      <c r="O3137" s="3"/>
    </row>
    <row r="3138" spans="1:15" ht="13.8">
      <c r="A3138" s="1"/>
      <c r="B3138" s="1"/>
      <c r="C3138" s="1"/>
      <c r="D3138" s="1"/>
      <c r="E3138" s="1"/>
      <c r="F3138" s="1"/>
      <c r="G3138" s="1"/>
      <c r="H3138" s="1"/>
      <c r="I3138" s="1"/>
      <c r="J3138" s="1"/>
      <c r="K3138" s="1"/>
      <c r="L3138" s="1"/>
      <c r="M3138" s="1"/>
      <c r="N3138" s="1"/>
      <c r="O3138" s="3"/>
    </row>
    <row r="3139" spans="1:15" ht="13.8">
      <c r="A3139" s="1"/>
      <c r="B3139" s="1"/>
      <c r="C3139" s="1"/>
      <c r="D3139" s="1"/>
      <c r="E3139" s="1"/>
      <c r="F3139" s="1"/>
      <c r="G3139" s="1"/>
      <c r="H3139" s="1"/>
      <c r="I3139" s="1"/>
      <c r="J3139" s="1"/>
      <c r="K3139" s="1"/>
      <c r="L3139" s="1"/>
      <c r="M3139" s="1"/>
      <c r="N3139" s="1"/>
      <c r="O3139" s="3"/>
    </row>
    <row r="3140" spans="1:15" ht="13.8">
      <c r="A3140" s="1"/>
      <c r="B3140" s="1"/>
      <c r="C3140" s="1"/>
      <c r="D3140" s="1"/>
      <c r="E3140" s="1"/>
      <c r="F3140" s="1"/>
      <c r="G3140" s="1"/>
      <c r="H3140" s="1"/>
      <c r="I3140" s="1"/>
      <c r="J3140" s="1"/>
      <c r="K3140" s="1"/>
      <c r="L3140" s="1"/>
      <c r="M3140" s="1"/>
      <c r="N3140" s="1"/>
      <c r="O3140" s="3"/>
    </row>
    <row r="3141" spans="1:15" ht="13.8">
      <c r="A3141" s="1"/>
      <c r="B3141" s="1"/>
      <c r="C3141" s="1"/>
      <c r="D3141" s="1"/>
      <c r="E3141" s="1"/>
      <c r="F3141" s="1"/>
      <c r="G3141" s="1"/>
      <c r="H3141" s="1"/>
      <c r="I3141" s="1"/>
      <c r="J3141" s="1"/>
      <c r="K3141" s="1"/>
      <c r="L3141" s="1"/>
      <c r="M3141" s="1"/>
      <c r="N3141" s="1"/>
      <c r="O3141" s="3"/>
    </row>
    <row r="3142" spans="1:15" ht="13.8">
      <c r="A3142" s="1"/>
      <c r="B3142" s="1"/>
      <c r="C3142" s="1"/>
      <c r="D3142" s="1"/>
      <c r="E3142" s="1"/>
      <c r="F3142" s="1"/>
      <c r="G3142" s="1"/>
      <c r="H3142" s="1"/>
      <c r="I3142" s="1"/>
      <c r="J3142" s="1"/>
      <c r="K3142" s="1"/>
      <c r="L3142" s="1"/>
      <c r="M3142" s="1"/>
      <c r="N3142" s="1"/>
      <c r="O3142" s="3"/>
    </row>
    <row r="3143" spans="1:15" ht="13.8">
      <c r="A3143" s="1"/>
      <c r="B3143" s="1"/>
      <c r="C3143" s="1"/>
      <c r="D3143" s="1"/>
      <c r="E3143" s="1"/>
      <c r="F3143" s="1"/>
      <c r="G3143" s="1"/>
      <c r="H3143" s="1"/>
      <c r="I3143" s="1"/>
      <c r="J3143" s="1"/>
      <c r="K3143" s="1"/>
      <c r="L3143" s="1"/>
      <c r="M3143" s="1"/>
      <c r="N3143" s="1"/>
      <c r="O3143" s="3"/>
    </row>
    <row r="3144" spans="1:15" ht="13.8">
      <c r="A3144" s="1"/>
      <c r="B3144" s="1"/>
      <c r="C3144" s="1"/>
      <c r="D3144" s="1"/>
      <c r="E3144" s="1"/>
      <c r="F3144" s="1"/>
      <c r="G3144" s="1"/>
      <c r="H3144" s="1"/>
      <c r="I3144" s="1"/>
      <c r="J3144" s="1"/>
      <c r="K3144" s="1"/>
      <c r="L3144" s="1"/>
      <c r="M3144" s="1"/>
      <c r="N3144" s="1"/>
      <c r="O3144" s="3"/>
    </row>
    <row r="3145" spans="1:15" ht="13.8">
      <c r="A3145" s="1"/>
      <c r="B3145" s="1"/>
      <c r="C3145" s="1"/>
      <c r="D3145" s="1"/>
      <c r="E3145" s="1"/>
      <c r="F3145" s="1"/>
      <c r="G3145" s="1"/>
      <c r="H3145" s="1"/>
      <c r="I3145" s="1"/>
      <c r="J3145" s="1"/>
      <c r="K3145" s="1"/>
      <c r="L3145" s="1"/>
      <c r="M3145" s="1"/>
      <c r="N3145" s="1"/>
      <c r="O3145" s="3"/>
    </row>
    <row r="3146" spans="1:15" ht="13.8">
      <c r="A3146" s="1"/>
      <c r="B3146" s="1"/>
      <c r="C3146" s="1"/>
      <c r="D3146" s="1"/>
      <c r="E3146" s="1"/>
      <c r="F3146" s="1"/>
      <c r="G3146" s="1"/>
      <c r="H3146" s="1"/>
      <c r="I3146" s="1"/>
      <c r="J3146" s="1"/>
      <c r="K3146" s="1"/>
      <c r="L3146" s="1"/>
      <c r="M3146" s="1"/>
      <c r="N3146" s="1"/>
      <c r="O3146" s="3"/>
    </row>
    <row r="3147" spans="1:15" ht="13.8">
      <c r="A3147" s="1"/>
      <c r="B3147" s="1"/>
      <c r="C3147" s="1"/>
      <c r="D3147" s="1"/>
      <c r="E3147" s="1"/>
      <c r="F3147" s="1"/>
      <c r="G3147" s="1"/>
      <c r="H3147" s="1"/>
      <c r="I3147" s="1"/>
      <c r="J3147" s="1"/>
      <c r="K3147" s="1"/>
      <c r="L3147" s="1"/>
      <c r="M3147" s="1"/>
      <c r="N3147" s="1"/>
      <c r="O3147" s="3"/>
    </row>
    <row r="3148" spans="1:15" ht="13.8">
      <c r="A3148" s="1"/>
      <c r="B3148" s="1"/>
      <c r="C3148" s="1"/>
      <c r="D3148" s="1"/>
      <c r="E3148" s="1"/>
      <c r="F3148" s="1"/>
      <c r="G3148" s="1"/>
      <c r="H3148" s="1"/>
      <c r="I3148" s="1"/>
      <c r="J3148" s="1"/>
      <c r="K3148" s="1"/>
      <c r="L3148" s="1"/>
      <c r="M3148" s="1"/>
      <c r="N3148" s="1"/>
      <c r="O3148" s="3"/>
    </row>
    <row r="3149" spans="1:15" ht="13.8">
      <c r="A3149" s="1"/>
      <c r="B3149" s="1"/>
      <c r="C3149" s="1"/>
      <c r="D3149" s="1"/>
      <c r="E3149" s="1"/>
      <c r="F3149" s="1"/>
      <c r="G3149" s="1"/>
      <c r="H3149" s="1"/>
      <c r="I3149" s="1"/>
      <c r="J3149" s="1"/>
      <c r="K3149" s="1"/>
      <c r="L3149" s="1"/>
      <c r="M3149" s="1"/>
      <c r="N3149" s="1"/>
      <c r="O3149" s="3"/>
    </row>
    <row r="3150" spans="1:15" ht="13.8">
      <c r="A3150" s="1"/>
      <c r="B3150" s="1"/>
      <c r="C3150" s="1"/>
      <c r="D3150" s="1"/>
      <c r="E3150" s="1"/>
      <c r="F3150" s="1"/>
      <c r="G3150" s="1"/>
      <c r="H3150" s="1"/>
      <c r="I3150" s="1"/>
      <c r="J3150" s="1"/>
      <c r="K3150" s="1"/>
      <c r="L3150" s="1"/>
      <c r="M3150" s="1"/>
      <c r="N3150" s="1"/>
      <c r="O3150" s="3"/>
    </row>
    <row r="3151" spans="1:15" ht="13.8">
      <c r="A3151" s="1"/>
      <c r="B3151" s="1"/>
      <c r="C3151" s="1"/>
      <c r="D3151" s="1"/>
      <c r="E3151" s="1"/>
      <c r="F3151" s="1"/>
      <c r="G3151" s="1"/>
      <c r="H3151" s="1"/>
      <c r="I3151" s="1"/>
      <c r="J3151" s="1"/>
      <c r="K3151" s="1"/>
      <c r="L3151" s="1"/>
      <c r="M3151" s="1"/>
      <c r="N3151" s="1"/>
      <c r="O3151" s="3"/>
    </row>
    <row r="3152" spans="1:15" ht="13.8">
      <c r="A3152" s="1"/>
      <c r="B3152" s="1"/>
      <c r="C3152" s="1"/>
      <c r="D3152" s="1"/>
      <c r="E3152" s="1"/>
      <c r="F3152" s="1"/>
      <c r="G3152" s="1"/>
      <c r="H3152" s="1"/>
      <c r="I3152" s="1"/>
      <c r="J3152" s="1"/>
      <c r="K3152" s="1"/>
      <c r="L3152" s="1"/>
      <c r="M3152" s="1"/>
      <c r="N3152" s="1"/>
      <c r="O3152" s="3"/>
    </row>
    <row r="3153" spans="1:15" ht="13.8">
      <c r="A3153" s="1"/>
      <c r="B3153" s="1"/>
      <c r="C3153" s="1"/>
      <c r="D3153" s="1"/>
      <c r="E3153" s="1"/>
      <c r="F3153" s="1"/>
      <c r="G3153" s="1"/>
      <c r="H3153" s="1"/>
      <c r="I3153" s="1"/>
      <c r="J3153" s="1"/>
      <c r="K3153" s="1"/>
      <c r="L3153" s="1"/>
      <c r="M3153" s="1"/>
      <c r="N3153" s="1"/>
      <c r="O3153" s="3"/>
    </row>
    <row r="3154" spans="1:15" ht="13.8">
      <c r="A3154" s="1"/>
      <c r="B3154" s="1"/>
      <c r="C3154" s="1"/>
      <c r="D3154" s="1"/>
      <c r="E3154" s="1"/>
      <c r="F3154" s="1"/>
      <c r="G3154" s="1"/>
      <c r="H3154" s="1"/>
      <c r="I3154" s="1"/>
      <c r="J3154" s="1"/>
      <c r="K3154" s="1"/>
      <c r="L3154" s="1"/>
      <c r="M3154" s="1"/>
      <c r="N3154" s="1"/>
      <c r="O3154" s="3"/>
    </row>
    <row r="3155" spans="1:15" ht="13.8">
      <c r="A3155" s="1"/>
      <c r="B3155" s="1"/>
      <c r="C3155" s="1"/>
      <c r="D3155" s="1"/>
      <c r="E3155" s="1"/>
      <c r="F3155" s="1"/>
      <c r="G3155" s="1"/>
      <c r="H3155" s="1"/>
      <c r="I3155" s="1"/>
      <c r="J3155" s="1"/>
      <c r="K3155" s="1"/>
      <c r="L3155" s="1"/>
      <c r="M3155" s="1"/>
      <c r="N3155" s="1"/>
      <c r="O3155" s="3"/>
    </row>
    <row r="3156" spans="1:15" ht="13.8">
      <c r="A3156" s="1"/>
      <c r="B3156" s="1"/>
      <c r="C3156" s="1"/>
      <c r="D3156" s="1"/>
      <c r="E3156" s="1"/>
      <c r="F3156" s="1"/>
      <c r="G3156" s="1"/>
      <c r="H3156" s="1"/>
      <c r="I3156" s="1"/>
      <c r="J3156" s="1"/>
      <c r="K3156" s="1"/>
      <c r="L3156" s="1"/>
      <c r="M3156" s="1"/>
      <c r="N3156" s="1"/>
      <c r="O3156" s="3"/>
    </row>
    <row r="3157" spans="1:15" ht="13.8">
      <c r="A3157" s="1"/>
      <c r="B3157" s="1"/>
      <c r="C3157" s="1"/>
      <c r="D3157" s="1"/>
      <c r="E3157" s="1"/>
      <c r="F3157" s="1"/>
      <c r="G3157" s="1"/>
      <c r="H3157" s="1"/>
      <c r="I3157" s="1"/>
      <c r="J3157" s="1"/>
      <c r="K3157" s="1"/>
      <c r="L3157" s="1"/>
      <c r="M3157" s="1"/>
      <c r="N3157" s="1"/>
      <c r="O3157" s="3"/>
    </row>
    <row r="3158" spans="1:15" ht="13.8">
      <c r="A3158" s="1"/>
      <c r="B3158" s="1"/>
      <c r="C3158" s="1"/>
      <c r="D3158" s="1"/>
      <c r="E3158" s="1"/>
      <c r="F3158" s="1"/>
      <c r="G3158" s="1"/>
      <c r="H3158" s="1"/>
      <c r="I3158" s="1"/>
      <c r="J3158" s="1"/>
      <c r="K3158" s="1"/>
      <c r="L3158" s="1"/>
      <c r="M3158" s="1"/>
      <c r="N3158" s="1"/>
      <c r="O3158" s="3"/>
    </row>
    <row r="3159" spans="1:15" ht="13.8">
      <c r="A3159" s="1"/>
      <c r="B3159" s="1"/>
      <c r="C3159" s="1"/>
      <c r="D3159" s="1"/>
      <c r="E3159" s="1"/>
      <c r="F3159" s="1"/>
      <c r="G3159" s="1"/>
      <c r="H3159" s="1"/>
      <c r="I3159" s="1"/>
      <c r="J3159" s="1"/>
      <c r="K3159" s="1"/>
      <c r="L3159" s="1"/>
      <c r="M3159" s="1"/>
      <c r="N3159" s="1"/>
      <c r="O3159" s="3"/>
    </row>
    <row r="3160" spans="1:15" ht="13.8">
      <c r="A3160" s="1"/>
      <c r="B3160" s="1"/>
      <c r="C3160" s="1"/>
      <c r="D3160" s="1"/>
      <c r="E3160" s="1"/>
      <c r="F3160" s="1"/>
      <c r="G3160" s="1"/>
      <c r="H3160" s="1"/>
      <c r="I3160" s="1"/>
      <c r="J3160" s="1"/>
      <c r="K3160" s="1"/>
      <c r="L3160" s="1"/>
      <c r="M3160" s="1"/>
      <c r="N3160" s="1"/>
      <c r="O3160" s="3"/>
    </row>
    <row r="3161" spans="1:15" ht="13.8">
      <c r="A3161" s="1"/>
      <c r="B3161" s="1"/>
      <c r="C3161" s="1"/>
      <c r="D3161" s="1"/>
      <c r="E3161" s="1"/>
      <c r="F3161" s="1"/>
      <c r="G3161" s="1"/>
      <c r="H3161" s="1"/>
      <c r="I3161" s="1"/>
      <c r="J3161" s="1"/>
      <c r="K3161" s="1"/>
      <c r="L3161" s="1"/>
      <c r="M3161" s="1"/>
      <c r="N3161" s="1"/>
      <c r="O3161" s="3"/>
    </row>
    <row r="3162" spans="1:15" ht="13.8">
      <c r="A3162" s="1"/>
      <c r="B3162" s="1"/>
      <c r="C3162" s="1"/>
      <c r="D3162" s="1"/>
      <c r="E3162" s="1"/>
      <c r="F3162" s="1"/>
      <c r="G3162" s="1"/>
      <c r="H3162" s="1"/>
      <c r="I3162" s="1"/>
      <c r="J3162" s="1"/>
      <c r="K3162" s="1"/>
      <c r="L3162" s="1"/>
      <c r="M3162" s="1"/>
      <c r="N3162" s="1"/>
      <c r="O3162" s="3"/>
    </row>
    <row r="3163" spans="1:15" ht="13.8">
      <c r="A3163" s="1"/>
      <c r="B3163" s="1"/>
      <c r="C3163" s="1"/>
      <c r="D3163" s="1"/>
      <c r="E3163" s="1"/>
      <c r="F3163" s="1"/>
      <c r="G3163" s="1"/>
      <c r="H3163" s="1"/>
      <c r="I3163" s="1"/>
      <c r="J3163" s="1"/>
      <c r="K3163" s="1"/>
      <c r="L3163" s="1"/>
      <c r="M3163" s="1"/>
      <c r="N3163" s="1"/>
      <c r="O3163" s="3"/>
    </row>
    <row r="3164" spans="1:15" ht="13.8">
      <c r="A3164" s="1"/>
      <c r="B3164" s="1"/>
      <c r="C3164" s="1"/>
      <c r="D3164" s="1"/>
      <c r="E3164" s="1"/>
      <c r="F3164" s="1"/>
      <c r="G3164" s="1"/>
      <c r="H3164" s="1"/>
      <c r="I3164" s="1"/>
      <c r="J3164" s="1"/>
      <c r="K3164" s="1"/>
      <c r="L3164" s="1"/>
      <c r="M3164" s="1"/>
      <c r="N3164" s="1"/>
      <c r="O3164" s="3"/>
    </row>
    <row r="3165" spans="1:15" ht="13.8">
      <c r="A3165" s="1"/>
      <c r="B3165" s="1"/>
      <c r="C3165" s="1"/>
      <c r="D3165" s="1"/>
      <c r="E3165" s="1"/>
      <c r="F3165" s="1"/>
      <c r="G3165" s="1"/>
      <c r="H3165" s="1"/>
      <c r="I3165" s="1"/>
      <c r="J3165" s="1"/>
      <c r="K3165" s="1"/>
      <c r="L3165" s="1"/>
      <c r="M3165" s="1"/>
      <c r="N3165" s="1"/>
      <c r="O3165" s="3"/>
    </row>
    <row r="3166" spans="1:15" ht="13.8">
      <c r="A3166" s="1"/>
      <c r="B3166" s="1"/>
      <c r="C3166" s="1"/>
      <c r="D3166" s="1"/>
      <c r="E3166" s="1"/>
      <c r="F3166" s="1"/>
      <c r="G3166" s="1"/>
      <c r="H3166" s="1"/>
      <c r="I3166" s="1"/>
      <c r="J3166" s="1"/>
      <c r="K3166" s="1"/>
      <c r="L3166" s="1"/>
      <c r="M3166" s="1"/>
      <c r="N3166" s="1"/>
      <c r="O3166" s="3"/>
    </row>
    <row r="3167" spans="1:15" ht="13.8">
      <c r="A3167" s="1"/>
      <c r="B3167" s="1"/>
      <c r="C3167" s="1"/>
      <c r="D3167" s="1"/>
      <c r="E3167" s="1"/>
      <c r="F3167" s="1"/>
      <c r="G3167" s="1"/>
      <c r="H3167" s="1"/>
      <c r="I3167" s="1"/>
      <c r="J3167" s="1"/>
      <c r="K3167" s="1"/>
      <c r="L3167" s="1"/>
      <c r="M3167" s="1"/>
      <c r="N3167" s="1"/>
      <c r="O3167" s="3"/>
    </row>
    <row r="3168" spans="1:15" ht="13.8">
      <c r="A3168" s="1"/>
      <c r="B3168" s="1"/>
      <c r="C3168" s="1"/>
      <c r="D3168" s="1"/>
      <c r="E3168" s="1"/>
      <c r="F3168" s="1"/>
      <c r="G3168" s="1"/>
      <c r="H3168" s="1"/>
      <c r="I3168" s="1"/>
      <c r="J3168" s="1"/>
      <c r="K3168" s="1"/>
      <c r="L3168" s="1"/>
      <c r="M3168" s="1"/>
      <c r="N3168" s="1"/>
      <c r="O3168" s="3"/>
    </row>
    <row r="3169" spans="1:15" ht="13.8">
      <c r="A3169" s="1"/>
      <c r="B3169" s="1"/>
      <c r="C3169" s="1"/>
      <c r="D3169" s="1"/>
      <c r="E3169" s="1"/>
      <c r="F3169" s="1"/>
      <c r="G3169" s="1"/>
      <c r="H3169" s="1"/>
      <c r="I3169" s="1"/>
      <c r="J3169" s="1"/>
      <c r="K3169" s="1"/>
      <c r="L3169" s="1"/>
      <c r="M3169" s="1"/>
      <c r="N3169" s="1"/>
      <c r="O3169" s="3"/>
    </row>
    <row r="3170" spans="1:15" ht="13.8">
      <c r="A3170" s="1"/>
      <c r="B3170" s="1"/>
      <c r="C3170" s="1"/>
      <c r="D3170" s="1"/>
      <c r="E3170" s="1"/>
      <c r="F3170" s="1"/>
      <c r="G3170" s="1"/>
      <c r="H3170" s="1"/>
      <c r="I3170" s="1"/>
      <c r="J3170" s="1"/>
      <c r="K3170" s="1"/>
      <c r="L3170" s="1"/>
      <c r="M3170" s="1"/>
      <c r="N3170" s="1"/>
      <c r="O3170" s="3"/>
    </row>
    <row r="3171" spans="1:15" ht="13.8">
      <c r="A3171" s="1"/>
      <c r="B3171" s="1"/>
      <c r="C3171" s="1"/>
      <c r="D3171" s="1"/>
      <c r="E3171" s="1"/>
      <c r="F3171" s="1"/>
      <c r="G3171" s="1"/>
      <c r="H3171" s="1"/>
      <c r="I3171" s="1"/>
      <c r="J3171" s="1"/>
      <c r="K3171" s="1"/>
      <c r="L3171" s="1"/>
      <c r="M3171" s="1"/>
      <c r="N3171" s="1"/>
      <c r="O3171" s="3"/>
    </row>
    <row r="3172" spans="1:15" ht="13.8">
      <c r="A3172" s="1"/>
      <c r="B3172" s="1"/>
      <c r="C3172" s="1"/>
      <c r="D3172" s="1"/>
      <c r="E3172" s="1"/>
      <c r="F3172" s="1"/>
      <c r="G3172" s="1"/>
      <c r="H3172" s="1"/>
      <c r="I3172" s="1"/>
      <c r="J3172" s="1"/>
      <c r="K3172" s="1"/>
      <c r="L3172" s="1"/>
      <c r="M3172" s="1"/>
      <c r="N3172" s="1"/>
      <c r="O3172" s="3"/>
    </row>
    <row r="3173" spans="1:15" ht="13.8">
      <c r="A3173" s="1"/>
      <c r="B3173" s="1"/>
      <c r="C3173" s="1"/>
      <c r="D3173" s="1"/>
      <c r="E3173" s="1"/>
      <c r="F3173" s="1"/>
      <c r="G3173" s="1"/>
      <c r="H3173" s="1"/>
      <c r="I3173" s="1"/>
      <c r="J3173" s="1"/>
      <c r="K3173" s="1"/>
      <c r="L3173" s="1"/>
      <c r="M3173" s="1"/>
      <c r="N3173" s="1"/>
      <c r="O3173" s="3"/>
    </row>
    <row r="3174" spans="1:15" ht="13.8">
      <c r="A3174" s="1"/>
      <c r="B3174" s="1"/>
      <c r="C3174" s="1"/>
      <c r="D3174" s="1"/>
      <c r="E3174" s="1"/>
      <c r="F3174" s="1"/>
      <c r="G3174" s="1"/>
      <c r="H3174" s="1"/>
      <c r="I3174" s="1"/>
      <c r="J3174" s="1"/>
      <c r="K3174" s="1"/>
      <c r="L3174" s="1"/>
      <c r="M3174" s="1"/>
      <c r="N3174" s="1"/>
      <c r="O3174" s="3"/>
    </row>
    <row r="3175" spans="1:15" ht="13.8">
      <c r="A3175" s="1"/>
      <c r="B3175" s="1"/>
      <c r="C3175" s="1"/>
      <c r="D3175" s="1"/>
      <c r="E3175" s="1"/>
      <c r="F3175" s="1"/>
      <c r="G3175" s="1"/>
      <c r="H3175" s="1"/>
      <c r="I3175" s="1"/>
      <c r="J3175" s="1"/>
      <c r="K3175" s="1"/>
      <c r="L3175" s="1"/>
      <c r="M3175" s="1"/>
      <c r="N3175" s="1"/>
      <c r="O3175" s="3"/>
    </row>
    <row r="3176" spans="1:15" ht="13.8">
      <c r="A3176" s="1"/>
      <c r="B3176" s="1"/>
      <c r="C3176" s="1"/>
      <c r="D3176" s="1"/>
      <c r="E3176" s="1"/>
      <c r="F3176" s="1"/>
      <c r="G3176" s="1"/>
      <c r="H3176" s="1"/>
      <c r="I3176" s="1"/>
      <c r="J3176" s="1"/>
      <c r="K3176" s="1"/>
      <c r="L3176" s="1"/>
      <c r="M3176" s="1"/>
      <c r="N3176" s="1"/>
      <c r="O3176" s="3"/>
    </row>
    <row r="3177" spans="1:15" ht="13.8">
      <c r="A3177" s="1"/>
      <c r="B3177" s="1"/>
      <c r="C3177" s="1"/>
      <c r="D3177" s="1"/>
      <c r="E3177" s="1"/>
      <c r="F3177" s="1"/>
      <c r="G3177" s="1"/>
      <c r="H3177" s="1"/>
      <c r="I3177" s="1"/>
      <c r="J3177" s="1"/>
      <c r="K3177" s="1"/>
      <c r="L3177" s="1"/>
      <c r="M3177" s="1"/>
      <c r="N3177" s="1"/>
      <c r="O3177" s="3"/>
    </row>
    <row r="3178" spans="1:15" ht="13.8">
      <c r="A3178" s="1"/>
      <c r="B3178" s="1"/>
      <c r="C3178" s="1"/>
      <c r="D3178" s="1"/>
      <c r="E3178" s="1"/>
      <c r="F3178" s="1"/>
      <c r="G3178" s="1"/>
      <c r="H3178" s="1"/>
      <c r="I3178" s="1"/>
      <c r="J3178" s="1"/>
      <c r="K3178" s="1"/>
      <c r="L3178" s="1"/>
      <c r="M3178" s="1"/>
      <c r="N3178" s="1"/>
      <c r="O3178" s="3"/>
    </row>
    <row r="3179" spans="1:15" ht="13.8">
      <c r="A3179" s="1"/>
      <c r="B3179" s="1"/>
      <c r="C3179" s="1"/>
      <c r="D3179" s="1"/>
      <c r="E3179" s="1"/>
      <c r="F3179" s="1"/>
      <c r="G3179" s="1"/>
      <c r="H3179" s="1"/>
      <c r="I3179" s="1"/>
      <c r="J3179" s="1"/>
      <c r="K3179" s="1"/>
      <c r="L3179" s="1"/>
      <c r="M3179" s="1"/>
      <c r="N3179" s="1"/>
      <c r="O3179" s="3"/>
    </row>
    <row r="3180" spans="1:15" ht="13.8">
      <c r="A3180" s="1"/>
      <c r="B3180" s="1"/>
      <c r="C3180" s="1"/>
      <c r="D3180" s="1"/>
      <c r="E3180" s="1"/>
      <c r="F3180" s="1"/>
      <c r="G3180" s="1"/>
      <c r="H3180" s="1"/>
      <c r="I3180" s="1"/>
      <c r="J3180" s="1"/>
      <c r="K3180" s="1"/>
      <c r="L3180" s="1"/>
      <c r="M3180" s="1"/>
      <c r="N3180" s="1"/>
      <c r="O3180" s="3"/>
    </row>
    <row r="3181" spans="1:15" ht="13.8">
      <c r="A3181" s="1"/>
      <c r="B3181" s="1"/>
      <c r="C3181" s="1"/>
      <c r="D3181" s="1"/>
      <c r="E3181" s="1"/>
      <c r="F3181" s="1"/>
      <c r="G3181" s="1"/>
      <c r="H3181" s="1"/>
      <c r="I3181" s="1"/>
      <c r="J3181" s="1"/>
      <c r="K3181" s="1"/>
      <c r="L3181" s="1"/>
      <c r="M3181" s="1"/>
      <c r="N3181" s="1"/>
      <c r="O3181" s="3"/>
    </row>
    <row r="3182" spans="1:15" ht="13.8">
      <c r="A3182" s="1"/>
      <c r="B3182" s="1"/>
      <c r="C3182" s="1"/>
      <c r="D3182" s="1"/>
      <c r="E3182" s="1"/>
      <c r="F3182" s="1"/>
      <c r="G3182" s="1"/>
      <c r="H3182" s="1"/>
      <c r="I3182" s="1"/>
      <c r="J3182" s="1"/>
      <c r="K3182" s="1"/>
      <c r="L3182" s="1"/>
      <c r="M3182" s="1"/>
      <c r="N3182" s="1"/>
      <c r="O3182" s="3"/>
    </row>
    <row r="3183" spans="1:15" ht="13.8">
      <c r="A3183" s="1"/>
      <c r="B3183" s="1"/>
      <c r="C3183" s="1"/>
      <c r="D3183" s="1"/>
      <c r="E3183" s="1"/>
      <c r="F3183" s="1"/>
      <c r="G3183" s="1"/>
      <c r="H3183" s="1"/>
      <c r="I3183" s="1"/>
      <c r="J3183" s="1"/>
      <c r="K3183" s="1"/>
      <c r="L3183" s="1"/>
      <c r="M3183" s="1"/>
      <c r="N3183" s="1"/>
      <c r="O3183" s="3"/>
    </row>
    <row r="3184" spans="1:15" ht="13.8">
      <c r="A3184" s="1"/>
      <c r="B3184" s="1"/>
      <c r="C3184" s="1"/>
      <c r="D3184" s="1"/>
      <c r="E3184" s="1"/>
      <c r="F3184" s="1"/>
      <c r="G3184" s="1"/>
      <c r="H3184" s="1"/>
      <c r="I3184" s="1"/>
      <c r="J3184" s="1"/>
      <c r="K3184" s="1"/>
      <c r="L3184" s="1"/>
      <c r="M3184" s="1"/>
      <c r="N3184" s="1"/>
      <c r="O3184" s="3"/>
    </row>
    <row r="3185" spans="1:15" ht="13.8">
      <c r="A3185" s="1"/>
      <c r="B3185" s="1"/>
      <c r="C3185" s="1"/>
      <c r="D3185" s="1"/>
      <c r="E3185" s="1"/>
      <c r="F3185" s="1"/>
      <c r="G3185" s="1"/>
      <c r="H3185" s="1"/>
      <c r="I3185" s="1"/>
      <c r="J3185" s="1"/>
      <c r="K3185" s="1"/>
      <c r="L3185" s="1"/>
      <c r="M3185" s="1"/>
      <c r="N3185" s="1"/>
      <c r="O3185" s="3"/>
    </row>
    <row r="3186" spans="1:15" ht="13.8">
      <c r="A3186" s="1"/>
      <c r="B3186" s="1"/>
      <c r="C3186" s="1"/>
      <c r="D3186" s="1"/>
      <c r="E3186" s="1"/>
      <c r="F3186" s="1"/>
      <c r="G3186" s="1"/>
      <c r="H3186" s="1"/>
      <c r="I3186" s="1"/>
      <c r="J3186" s="1"/>
      <c r="K3186" s="1"/>
      <c r="L3186" s="1"/>
      <c r="M3186" s="1"/>
      <c r="N3186" s="1"/>
      <c r="O3186" s="3"/>
    </row>
    <row r="3187" spans="1:15" ht="13.8">
      <c r="A3187" s="1"/>
      <c r="B3187" s="1"/>
      <c r="C3187" s="1"/>
      <c r="D3187" s="1"/>
      <c r="E3187" s="1"/>
      <c r="F3187" s="1"/>
      <c r="G3187" s="1"/>
      <c r="H3187" s="1"/>
      <c r="I3187" s="1"/>
      <c r="J3187" s="1"/>
      <c r="K3187" s="1"/>
      <c r="L3187" s="1"/>
      <c r="M3187" s="1"/>
      <c r="N3187" s="1"/>
      <c r="O3187" s="3"/>
    </row>
    <row r="3188" spans="1:15" ht="13.8">
      <c r="A3188" s="1"/>
      <c r="B3188" s="1"/>
      <c r="C3188" s="1"/>
      <c r="D3188" s="1"/>
      <c r="E3188" s="1"/>
      <c r="F3188" s="1"/>
      <c r="G3188" s="1"/>
      <c r="H3188" s="1"/>
      <c r="I3188" s="1"/>
      <c r="J3188" s="1"/>
      <c r="K3188" s="1"/>
      <c r="L3188" s="1"/>
      <c r="M3188" s="1"/>
      <c r="N3188" s="1"/>
      <c r="O3188" s="3"/>
    </row>
    <row r="3189" spans="1:15" ht="13.8">
      <c r="A3189" s="1"/>
      <c r="B3189" s="1"/>
      <c r="C3189" s="1"/>
      <c r="D3189" s="1"/>
      <c r="E3189" s="1"/>
      <c r="F3189" s="1"/>
      <c r="G3189" s="1"/>
      <c r="H3189" s="1"/>
      <c r="I3189" s="1"/>
      <c r="J3189" s="1"/>
      <c r="K3189" s="1"/>
      <c r="L3189" s="1"/>
      <c r="M3189" s="1"/>
      <c r="N3189" s="1"/>
      <c r="O3189" s="3"/>
    </row>
    <row r="3190" spans="1:15" ht="13.8">
      <c r="A3190" s="1"/>
      <c r="B3190" s="1"/>
      <c r="C3190" s="1"/>
      <c r="D3190" s="1"/>
      <c r="E3190" s="1"/>
      <c r="F3190" s="1"/>
      <c r="G3190" s="1"/>
      <c r="H3190" s="1"/>
      <c r="I3190" s="1"/>
      <c r="J3190" s="1"/>
      <c r="K3190" s="1"/>
      <c r="L3190" s="1"/>
      <c r="M3190" s="1"/>
      <c r="N3190" s="1"/>
      <c r="O3190" s="3"/>
    </row>
    <row r="3191" spans="1:15" ht="13.8">
      <c r="A3191" s="1"/>
      <c r="B3191" s="1"/>
      <c r="C3191" s="1"/>
      <c r="D3191" s="1"/>
      <c r="E3191" s="1"/>
      <c r="F3191" s="1"/>
      <c r="G3191" s="1"/>
      <c r="H3191" s="1"/>
      <c r="I3191" s="1"/>
      <c r="J3191" s="1"/>
      <c r="K3191" s="1"/>
      <c r="L3191" s="1"/>
      <c r="M3191" s="1"/>
      <c r="N3191" s="1"/>
      <c r="O3191" s="3"/>
    </row>
    <row r="3192" spans="1:15" ht="13.8">
      <c r="A3192" s="1"/>
      <c r="B3192" s="1"/>
      <c r="C3192" s="1"/>
      <c r="D3192" s="1"/>
      <c r="E3192" s="1"/>
      <c r="F3192" s="1"/>
      <c r="G3192" s="1"/>
      <c r="H3192" s="1"/>
      <c r="I3192" s="1"/>
      <c r="J3192" s="1"/>
      <c r="K3192" s="1"/>
      <c r="L3192" s="1"/>
      <c r="M3192" s="1"/>
      <c r="N3192" s="1"/>
      <c r="O3192" s="3"/>
    </row>
    <row r="3193" spans="1:15" ht="13.8">
      <c r="A3193" s="1"/>
      <c r="B3193" s="1"/>
      <c r="C3193" s="1"/>
      <c r="D3193" s="1"/>
      <c r="E3193" s="1"/>
      <c r="F3193" s="1"/>
      <c r="G3193" s="1"/>
      <c r="H3193" s="1"/>
      <c r="I3193" s="1"/>
      <c r="J3193" s="1"/>
      <c r="K3193" s="1"/>
      <c r="L3193" s="1"/>
      <c r="M3193" s="1"/>
      <c r="N3193" s="1"/>
      <c r="O3193" s="3"/>
    </row>
    <row r="3194" spans="1:15" ht="13.8">
      <c r="A3194" s="1"/>
      <c r="B3194" s="1"/>
      <c r="C3194" s="1"/>
      <c r="D3194" s="1"/>
      <c r="E3194" s="1"/>
      <c r="F3194" s="1"/>
      <c r="G3194" s="1"/>
      <c r="H3194" s="1"/>
      <c r="I3194" s="1"/>
      <c r="J3194" s="1"/>
      <c r="K3194" s="1"/>
      <c r="L3194" s="1"/>
      <c r="M3194" s="1"/>
      <c r="N3194" s="1"/>
      <c r="O3194" s="3"/>
    </row>
    <row r="3195" spans="1:15" ht="13.8">
      <c r="A3195" s="1"/>
      <c r="B3195" s="1"/>
      <c r="C3195" s="1"/>
      <c r="D3195" s="1"/>
      <c r="E3195" s="1"/>
      <c r="F3195" s="1"/>
      <c r="G3195" s="1"/>
      <c r="H3195" s="1"/>
      <c r="I3195" s="1"/>
      <c r="J3195" s="1"/>
      <c r="K3195" s="1"/>
      <c r="L3195" s="1"/>
      <c r="M3195" s="1"/>
      <c r="N3195" s="1"/>
      <c r="O3195" s="3"/>
    </row>
    <row r="3196" spans="1:15" ht="13.8">
      <c r="A3196" s="1"/>
      <c r="B3196" s="1"/>
      <c r="C3196" s="1"/>
      <c r="D3196" s="1"/>
      <c r="E3196" s="1"/>
      <c r="F3196" s="1"/>
      <c r="G3196" s="1"/>
      <c r="H3196" s="1"/>
      <c r="I3196" s="1"/>
      <c r="J3196" s="1"/>
      <c r="K3196" s="1"/>
      <c r="L3196" s="1"/>
      <c r="M3196" s="1"/>
      <c r="N3196" s="1"/>
      <c r="O3196" s="3"/>
    </row>
    <row r="3197" spans="1:15" ht="13.8">
      <c r="A3197" s="1"/>
      <c r="B3197" s="1"/>
      <c r="C3197" s="1"/>
      <c r="D3197" s="1"/>
      <c r="E3197" s="1"/>
      <c r="F3197" s="1"/>
      <c r="G3197" s="1"/>
      <c r="H3197" s="1"/>
      <c r="I3197" s="1"/>
      <c r="J3197" s="1"/>
      <c r="K3197" s="1"/>
      <c r="L3197" s="1"/>
      <c r="M3197" s="1"/>
      <c r="N3197" s="1"/>
      <c r="O3197" s="3"/>
    </row>
    <row r="3198" spans="1:15" ht="13.8">
      <c r="A3198" s="1"/>
      <c r="B3198" s="1"/>
      <c r="C3198" s="1"/>
      <c r="D3198" s="1"/>
      <c r="E3198" s="1"/>
      <c r="F3198" s="1"/>
      <c r="G3198" s="1"/>
      <c r="H3198" s="1"/>
      <c r="I3198" s="1"/>
      <c r="J3198" s="1"/>
      <c r="K3198" s="1"/>
      <c r="L3198" s="1"/>
      <c r="M3198" s="1"/>
      <c r="N3198" s="1"/>
      <c r="O3198" s="3"/>
    </row>
    <row r="3199" spans="1:15" ht="13.8">
      <c r="A3199" s="1"/>
      <c r="B3199" s="1"/>
      <c r="C3199" s="1"/>
      <c r="D3199" s="1"/>
      <c r="E3199" s="1"/>
      <c r="F3199" s="1"/>
      <c r="G3199" s="1"/>
      <c r="H3199" s="1"/>
      <c r="I3199" s="1"/>
      <c r="J3199" s="1"/>
      <c r="K3199" s="1"/>
      <c r="L3199" s="1"/>
      <c r="M3199" s="1"/>
      <c r="N3199" s="1"/>
      <c r="O3199" s="3"/>
    </row>
    <row r="3200" spans="1:15" ht="13.8">
      <c r="A3200" s="1"/>
      <c r="B3200" s="1"/>
      <c r="C3200" s="1"/>
      <c r="D3200" s="1"/>
      <c r="E3200" s="1"/>
      <c r="F3200" s="1"/>
      <c r="G3200" s="1"/>
      <c r="H3200" s="1"/>
      <c r="I3200" s="1"/>
      <c r="J3200" s="1"/>
      <c r="K3200" s="1"/>
      <c r="L3200" s="1"/>
      <c r="M3200" s="1"/>
      <c r="N3200" s="1"/>
      <c r="O3200" s="3"/>
    </row>
    <row r="3201" spans="1:15" ht="13.8">
      <c r="A3201" s="1"/>
      <c r="B3201" s="1"/>
      <c r="C3201" s="1"/>
      <c r="D3201" s="1"/>
      <c r="E3201" s="1"/>
      <c r="F3201" s="1"/>
      <c r="G3201" s="1"/>
      <c r="H3201" s="1"/>
      <c r="I3201" s="1"/>
      <c r="J3201" s="1"/>
      <c r="K3201" s="1"/>
      <c r="L3201" s="1"/>
      <c r="M3201" s="1"/>
      <c r="N3201" s="1"/>
      <c r="O3201" s="3"/>
    </row>
    <row r="3202" spans="1:15" ht="13.8">
      <c r="A3202" s="1"/>
      <c r="B3202" s="1"/>
      <c r="C3202" s="1"/>
      <c r="D3202" s="1"/>
      <c r="E3202" s="1"/>
      <c r="F3202" s="1"/>
      <c r="G3202" s="1"/>
      <c r="H3202" s="1"/>
      <c r="I3202" s="1"/>
      <c r="J3202" s="1"/>
      <c r="K3202" s="1"/>
      <c r="L3202" s="1"/>
      <c r="M3202" s="1"/>
      <c r="N3202" s="1"/>
      <c r="O3202" s="3"/>
    </row>
    <row r="3203" spans="1:15" ht="13.8">
      <c r="A3203" s="1"/>
      <c r="B3203" s="1"/>
      <c r="C3203" s="1"/>
      <c r="D3203" s="1"/>
      <c r="E3203" s="1"/>
      <c r="F3203" s="1"/>
      <c r="G3203" s="1"/>
      <c r="H3203" s="1"/>
      <c r="I3203" s="1"/>
      <c r="J3203" s="1"/>
      <c r="K3203" s="1"/>
      <c r="L3203" s="1"/>
      <c r="M3203" s="1"/>
      <c r="N3203" s="1"/>
      <c r="O3203" s="3"/>
    </row>
    <row r="3204" spans="1:15" ht="13.8">
      <c r="A3204" s="1"/>
      <c r="B3204" s="1"/>
      <c r="C3204" s="1"/>
      <c r="D3204" s="1"/>
      <c r="E3204" s="1"/>
      <c r="F3204" s="1"/>
      <c r="G3204" s="1"/>
      <c r="H3204" s="1"/>
      <c r="I3204" s="1"/>
      <c r="J3204" s="1"/>
      <c r="K3204" s="1"/>
      <c r="L3204" s="1"/>
      <c r="M3204" s="1"/>
      <c r="N3204" s="1"/>
      <c r="O3204" s="3"/>
    </row>
    <row r="3205" spans="1:15" ht="13.8">
      <c r="A3205" s="1"/>
      <c r="B3205" s="1"/>
      <c r="C3205" s="1"/>
      <c r="D3205" s="1"/>
      <c r="E3205" s="1"/>
      <c r="F3205" s="1"/>
      <c r="G3205" s="1"/>
      <c r="H3205" s="1"/>
      <c r="I3205" s="1"/>
      <c r="J3205" s="1"/>
      <c r="K3205" s="1"/>
      <c r="L3205" s="1"/>
      <c r="M3205" s="1"/>
      <c r="N3205" s="1"/>
      <c r="O3205" s="3"/>
    </row>
    <row r="3206" spans="1:15" ht="13.8">
      <c r="A3206" s="1"/>
      <c r="B3206" s="1"/>
      <c r="C3206" s="1"/>
      <c r="D3206" s="1"/>
      <c r="E3206" s="1"/>
      <c r="F3206" s="1"/>
      <c r="G3206" s="1"/>
      <c r="H3206" s="1"/>
      <c r="I3206" s="1"/>
      <c r="J3206" s="1"/>
      <c r="K3206" s="1"/>
      <c r="L3206" s="1"/>
      <c r="M3206" s="1"/>
      <c r="N3206" s="1"/>
      <c r="O3206" s="3"/>
    </row>
    <row r="3207" spans="1:15" ht="13.8">
      <c r="A3207" s="1"/>
      <c r="B3207" s="1"/>
      <c r="C3207" s="1"/>
      <c r="D3207" s="1"/>
      <c r="E3207" s="1"/>
      <c r="F3207" s="1"/>
      <c r="G3207" s="1"/>
      <c r="H3207" s="1"/>
      <c r="I3207" s="1"/>
      <c r="J3207" s="1"/>
      <c r="K3207" s="1"/>
      <c r="L3207" s="1"/>
      <c r="M3207" s="1"/>
      <c r="N3207" s="1"/>
      <c r="O3207" s="3"/>
    </row>
    <row r="3208" spans="1:15" ht="13.8">
      <c r="A3208" s="1"/>
      <c r="B3208" s="1"/>
      <c r="C3208" s="1"/>
      <c r="D3208" s="1"/>
      <c r="E3208" s="1"/>
      <c r="F3208" s="1"/>
      <c r="G3208" s="1"/>
      <c r="H3208" s="1"/>
      <c r="I3208" s="1"/>
      <c r="J3208" s="1"/>
      <c r="K3208" s="1"/>
      <c r="L3208" s="1"/>
      <c r="M3208" s="1"/>
      <c r="N3208" s="1"/>
      <c r="O3208" s="3"/>
    </row>
    <row r="3209" spans="1:15" ht="13.8">
      <c r="A3209" s="1"/>
      <c r="B3209" s="1"/>
      <c r="C3209" s="1"/>
      <c r="D3209" s="1"/>
      <c r="E3209" s="1"/>
      <c r="F3209" s="1"/>
      <c r="G3209" s="1"/>
      <c r="H3209" s="1"/>
      <c r="I3209" s="1"/>
      <c r="J3209" s="1"/>
      <c r="K3209" s="1"/>
      <c r="L3209" s="1"/>
      <c r="M3209" s="1"/>
      <c r="N3209" s="1"/>
      <c r="O3209" s="3"/>
    </row>
    <row r="3210" spans="1:15" ht="13.8">
      <c r="A3210" s="1"/>
      <c r="B3210" s="1"/>
      <c r="C3210" s="1"/>
      <c r="D3210" s="1"/>
      <c r="E3210" s="1"/>
      <c r="F3210" s="1"/>
      <c r="G3210" s="1"/>
      <c r="H3210" s="1"/>
      <c r="I3210" s="1"/>
      <c r="J3210" s="1"/>
      <c r="K3210" s="1"/>
      <c r="L3210" s="1"/>
      <c r="M3210" s="1"/>
      <c r="N3210" s="1"/>
      <c r="O3210" s="3"/>
    </row>
    <row r="3211" spans="1:15" ht="13.8">
      <c r="A3211" s="1"/>
      <c r="B3211" s="1"/>
      <c r="C3211" s="1"/>
      <c r="D3211" s="1"/>
      <c r="E3211" s="1"/>
      <c r="F3211" s="1"/>
      <c r="G3211" s="1"/>
      <c r="H3211" s="1"/>
      <c r="I3211" s="1"/>
      <c r="J3211" s="1"/>
      <c r="K3211" s="1"/>
      <c r="L3211" s="1"/>
      <c r="M3211" s="1"/>
      <c r="N3211" s="1"/>
      <c r="O3211" s="3"/>
    </row>
    <row r="3212" spans="1:15" ht="13.8">
      <c r="A3212" s="1"/>
      <c r="B3212" s="1"/>
      <c r="C3212" s="1"/>
      <c r="D3212" s="1"/>
      <c r="E3212" s="1"/>
      <c r="F3212" s="1"/>
      <c r="G3212" s="1"/>
      <c r="H3212" s="1"/>
      <c r="I3212" s="1"/>
      <c r="J3212" s="1"/>
      <c r="K3212" s="1"/>
      <c r="L3212" s="1"/>
      <c r="M3212" s="1"/>
      <c r="N3212" s="1"/>
      <c r="O3212" s="3"/>
    </row>
    <row r="3213" spans="1:15" ht="13.8">
      <c r="A3213" s="1"/>
      <c r="B3213" s="1"/>
      <c r="C3213" s="1"/>
      <c r="D3213" s="1"/>
      <c r="E3213" s="1"/>
      <c r="F3213" s="1"/>
      <c r="G3213" s="1"/>
      <c r="H3213" s="1"/>
      <c r="I3213" s="1"/>
      <c r="J3213" s="1"/>
      <c r="K3213" s="1"/>
      <c r="L3213" s="1"/>
      <c r="M3213" s="1"/>
      <c r="N3213" s="1"/>
      <c r="O3213" s="3"/>
    </row>
    <row r="3214" spans="1:15" ht="13.8">
      <c r="A3214" s="1"/>
      <c r="B3214" s="1"/>
      <c r="C3214" s="1"/>
      <c r="D3214" s="1"/>
      <c r="E3214" s="1"/>
      <c r="F3214" s="1"/>
      <c r="G3214" s="1"/>
      <c r="H3214" s="1"/>
      <c r="I3214" s="1"/>
      <c r="J3214" s="1"/>
      <c r="K3214" s="1"/>
      <c r="L3214" s="1"/>
      <c r="M3214" s="1"/>
      <c r="N3214" s="1"/>
      <c r="O3214" s="3"/>
    </row>
    <row r="3215" spans="1:15" ht="13.8">
      <c r="A3215" s="1"/>
      <c r="B3215" s="1"/>
      <c r="C3215" s="1"/>
      <c r="D3215" s="1"/>
      <c r="E3215" s="1"/>
      <c r="F3215" s="1"/>
      <c r="G3215" s="1"/>
      <c r="H3215" s="1"/>
      <c r="I3215" s="1"/>
      <c r="J3215" s="1"/>
      <c r="K3215" s="1"/>
      <c r="L3215" s="1"/>
      <c r="M3215" s="1"/>
      <c r="N3215" s="1"/>
      <c r="O3215" s="3"/>
    </row>
    <row r="3216" spans="1:15" ht="13.8">
      <c r="A3216" s="1"/>
      <c r="B3216" s="1"/>
      <c r="C3216" s="1"/>
      <c r="D3216" s="1"/>
      <c r="E3216" s="1"/>
      <c r="F3216" s="1"/>
      <c r="G3216" s="1"/>
      <c r="H3216" s="1"/>
      <c r="I3216" s="1"/>
      <c r="J3216" s="1"/>
      <c r="K3216" s="1"/>
      <c r="L3216" s="1"/>
      <c r="M3216" s="1"/>
      <c r="N3216" s="1"/>
      <c r="O3216" s="3"/>
    </row>
  </sheetData>
  <autoFilter ref="A1:O6872" xr:uid="{00000000-0009-0000-0000-000000000000}"/>
  <pageMargins left="0.74791666666666701" right="0.74791666666666701" top="0.98402777777777795" bottom="0.98402777777777795" header="0.511811023622047" footer="0.511811023622047"/>
  <pageSetup paperSize="9"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heetPr>
  <dimension ref="A1:L1124"/>
  <sheetViews>
    <sheetView topLeftCell="A72" zoomScaleNormal="100" workbookViewId="0">
      <selection activeCell="D87" sqref="D87"/>
    </sheetView>
  </sheetViews>
  <sheetFormatPr defaultColWidth="12.6640625" defaultRowHeight="15.75" customHeight="1"/>
  <sheetData>
    <row r="1" spans="1:12" ht="13.8">
      <c r="A1" s="1" t="s">
        <v>14183</v>
      </c>
      <c r="B1" s="1" t="s">
        <v>14184</v>
      </c>
      <c r="C1" s="1" t="s">
        <v>14185</v>
      </c>
      <c r="D1" s="1" t="s">
        <v>14186</v>
      </c>
      <c r="E1" s="1" t="s">
        <v>14187</v>
      </c>
      <c r="F1" s="1" t="s">
        <v>14188</v>
      </c>
      <c r="G1" s="1" t="s">
        <v>14189</v>
      </c>
      <c r="H1" s="1" t="s">
        <v>14190</v>
      </c>
      <c r="I1" s="1" t="s">
        <v>14191</v>
      </c>
      <c r="J1" s="1" t="s">
        <v>14192</v>
      </c>
      <c r="K1" s="1" t="s">
        <v>14193</v>
      </c>
      <c r="L1" s="1"/>
    </row>
    <row r="2" spans="1:12" ht="13.8">
      <c r="A2" s="1" t="s">
        <v>14194</v>
      </c>
      <c r="B2" s="1" t="s">
        <v>14195</v>
      </c>
      <c r="C2" s="1" t="s">
        <v>14196</v>
      </c>
      <c r="D2" s="1" t="s">
        <v>14197</v>
      </c>
      <c r="E2" s="1">
        <v>45</v>
      </c>
      <c r="F2" s="1" t="s">
        <v>145</v>
      </c>
      <c r="G2" s="1" t="s">
        <v>14198</v>
      </c>
      <c r="H2" s="1" t="s">
        <v>14199</v>
      </c>
      <c r="I2" s="1" t="s">
        <v>14200</v>
      </c>
      <c r="J2" s="3" t="s">
        <v>14201</v>
      </c>
      <c r="K2" s="1" t="s">
        <v>14202</v>
      </c>
      <c r="L2" s="1"/>
    </row>
    <row r="3" spans="1:12" ht="13.8">
      <c r="A3" s="1" t="s">
        <v>14203</v>
      </c>
      <c r="B3" s="1" t="s">
        <v>14204</v>
      </c>
      <c r="C3" s="1" t="s">
        <v>14205</v>
      </c>
      <c r="D3" s="1" t="s">
        <v>14206</v>
      </c>
      <c r="E3" s="1">
        <v>40</v>
      </c>
      <c r="F3" s="1" t="s">
        <v>14207</v>
      </c>
      <c r="G3" s="1" t="s">
        <v>14208</v>
      </c>
      <c r="H3" s="1" t="s">
        <v>14209</v>
      </c>
      <c r="I3" s="1" t="s">
        <v>14210</v>
      </c>
      <c r="J3" s="3" t="s">
        <v>14211</v>
      </c>
      <c r="K3" s="1" t="s">
        <v>14202</v>
      </c>
      <c r="L3" s="1"/>
    </row>
    <row r="4" spans="1:12" ht="13.8">
      <c r="A4" s="1" t="s">
        <v>14212</v>
      </c>
      <c r="B4" s="1" t="s">
        <v>14213</v>
      </c>
      <c r="C4" s="1" t="s">
        <v>14214</v>
      </c>
      <c r="D4" s="1" t="s">
        <v>14215</v>
      </c>
      <c r="E4" s="1">
        <v>18</v>
      </c>
      <c r="F4" s="1" t="s">
        <v>14207</v>
      </c>
      <c r="G4" s="1" t="s">
        <v>14198</v>
      </c>
      <c r="H4" s="1" t="s">
        <v>14216</v>
      </c>
      <c r="I4" s="1" t="s">
        <v>14217</v>
      </c>
      <c r="J4" s="3" t="s">
        <v>14218</v>
      </c>
      <c r="K4" s="1" t="s">
        <v>14202</v>
      </c>
      <c r="L4" s="1"/>
    </row>
    <row r="5" spans="1:12" ht="13.8">
      <c r="A5" s="1" t="s">
        <v>14219</v>
      </c>
      <c r="B5" s="1" t="s">
        <v>14220</v>
      </c>
      <c r="C5" s="1" t="s">
        <v>14221</v>
      </c>
      <c r="D5" s="1" t="s">
        <v>14222</v>
      </c>
      <c r="E5" s="1">
        <v>30</v>
      </c>
      <c r="F5" s="1" t="s">
        <v>145</v>
      </c>
      <c r="G5" s="1" t="s">
        <v>14198</v>
      </c>
      <c r="H5" s="1" t="s">
        <v>14223</v>
      </c>
      <c r="I5" s="1" t="s">
        <v>14224</v>
      </c>
      <c r="J5" s="3" t="s">
        <v>14225</v>
      </c>
      <c r="K5" s="1" t="s">
        <v>14202</v>
      </c>
      <c r="L5" s="1"/>
    </row>
    <row r="6" spans="1:12" ht="13.8">
      <c r="A6" s="1" t="s">
        <v>14226</v>
      </c>
      <c r="B6" s="1" t="s">
        <v>14227</v>
      </c>
      <c r="C6" s="1" t="s">
        <v>14228</v>
      </c>
      <c r="D6" s="1" t="s">
        <v>14229</v>
      </c>
      <c r="E6" s="1">
        <v>50</v>
      </c>
      <c r="F6" s="1" t="s">
        <v>14207</v>
      </c>
      <c r="G6" s="1" t="s">
        <v>14198</v>
      </c>
      <c r="H6" s="1" t="s">
        <v>14230</v>
      </c>
      <c r="I6" s="1" t="s">
        <v>14231</v>
      </c>
      <c r="J6" s="3" t="s">
        <v>14232</v>
      </c>
      <c r="K6" s="1" t="s">
        <v>14202</v>
      </c>
      <c r="L6" s="1"/>
    </row>
    <row r="7" spans="1:12" ht="13.8">
      <c r="A7" s="1" t="s">
        <v>14233</v>
      </c>
      <c r="B7" s="1" t="s">
        <v>14234</v>
      </c>
      <c r="C7" s="1" t="s">
        <v>14235</v>
      </c>
      <c r="D7" s="1" t="s">
        <v>14236</v>
      </c>
      <c r="E7" s="1">
        <v>60</v>
      </c>
      <c r="F7" s="1" t="s">
        <v>429</v>
      </c>
      <c r="G7" s="1" t="s">
        <v>14237</v>
      </c>
      <c r="H7" s="1" t="s">
        <v>14238</v>
      </c>
      <c r="I7" s="1" t="s">
        <v>14239</v>
      </c>
      <c r="J7" s="3" t="s">
        <v>14240</v>
      </c>
      <c r="K7" s="1" t="s">
        <v>14202</v>
      </c>
      <c r="L7" s="1"/>
    </row>
    <row r="8" spans="1:12" ht="13.8">
      <c r="A8" s="1" t="s">
        <v>14241</v>
      </c>
      <c r="B8" s="1" t="s">
        <v>14242</v>
      </c>
      <c r="C8" s="1" t="s">
        <v>14243</v>
      </c>
      <c r="D8" s="1" t="s">
        <v>14244</v>
      </c>
      <c r="E8" s="1">
        <v>30</v>
      </c>
      <c r="F8" s="1" t="s">
        <v>145</v>
      </c>
      <c r="G8" s="1" t="s">
        <v>14198</v>
      </c>
      <c r="H8" s="1" t="s">
        <v>14245</v>
      </c>
      <c r="I8" s="1" t="s">
        <v>14246</v>
      </c>
      <c r="J8" s="3" t="s">
        <v>14247</v>
      </c>
      <c r="K8" s="1" t="s">
        <v>14202</v>
      </c>
      <c r="L8" s="1"/>
    </row>
    <row r="9" spans="1:12" ht="13.8">
      <c r="A9" s="1" t="s">
        <v>14248</v>
      </c>
      <c r="B9" s="1" t="s">
        <v>14249</v>
      </c>
      <c r="C9" s="1" t="s">
        <v>14250</v>
      </c>
      <c r="D9" s="1" t="s">
        <v>14251</v>
      </c>
      <c r="E9" s="1">
        <v>70</v>
      </c>
      <c r="F9" s="1" t="s">
        <v>145</v>
      </c>
      <c r="G9" s="1" t="s">
        <v>14198</v>
      </c>
      <c r="H9" s="1" t="s">
        <v>14252</v>
      </c>
      <c r="I9" s="1" t="s">
        <v>14253</v>
      </c>
      <c r="J9" s="3" t="s">
        <v>14254</v>
      </c>
      <c r="K9" s="1" t="s">
        <v>14202</v>
      </c>
      <c r="L9" s="1"/>
    </row>
    <row r="10" spans="1:12" ht="13.8">
      <c r="A10" s="1" t="s">
        <v>14255</v>
      </c>
      <c r="B10" s="1" t="s">
        <v>14256</v>
      </c>
      <c r="C10" s="1" t="s">
        <v>14257</v>
      </c>
      <c r="D10" s="1" t="s">
        <v>14258</v>
      </c>
      <c r="E10" s="1">
        <v>30</v>
      </c>
      <c r="F10" s="1" t="s">
        <v>14259</v>
      </c>
      <c r="G10" s="1" t="s">
        <v>14198</v>
      </c>
      <c r="H10" s="1" t="s">
        <v>14260</v>
      </c>
      <c r="I10" s="1" t="s">
        <v>14261</v>
      </c>
      <c r="J10" s="3" t="s">
        <v>14262</v>
      </c>
      <c r="K10" s="1" t="s">
        <v>14202</v>
      </c>
      <c r="L10" s="1"/>
    </row>
    <row r="11" spans="1:12" ht="13.8">
      <c r="A11" s="1" t="s">
        <v>14263</v>
      </c>
      <c r="B11" s="1" t="s">
        <v>14264</v>
      </c>
      <c r="C11" s="1" t="s">
        <v>14265</v>
      </c>
      <c r="D11" s="1" t="s">
        <v>14266</v>
      </c>
      <c r="E11" s="1">
        <v>15</v>
      </c>
      <c r="F11" s="1" t="s">
        <v>14207</v>
      </c>
      <c r="G11" s="1" t="s">
        <v>14198</v>
      </c>
      <c r="H11" s="1" t="s">
        <v>14267</v>
      </c>
      <c r="I11" s="1" t="s">
        <v>14268</v>
      </c>
      <c r="J11" s="3" t="s">
        <v>14269</v>
      </c>
      <c r="K11" s="1" t="s">
        <v>14202</v>
      </c>
      <c r="L11" s="1"/>
    </row>
    <row r="12" spans="1:12" ht="13.8">
      <c r="A12" s="1" t="s">
        <v>14270</v>
      </c>
      <c r="B12" s="1" t="s">
        <v>14271</v>
      </c>
      <c r="C12" s="1" t="s">
        <v>14272</v>
      </c>
      <c r="D12" s="1" t="s">
        <v>14273</v>
      </c>
      <c r="E12" s="1">
        <v>40</v>
      </c>
      <c r="F12" s="1" t="s">
        <v>145</v>
      </c>
      <c r="G12" s="1" t="s">
        <v>14198</v>
      </c>
      <c r="H12" s="1" t="s">
        <v>14274</v>
      </c>
      <c r="I12" s="1" t="s">
        <v>14275</v>
      </c>
      <c r="J12" s="3" t="s">
        <v>14276</v>
      </c>
      <c r="K12" s="1" t="s">
        <v>14202</v>
      </c>
      <c r="L12" s="1"/>
    </row>
    <row r="13" spans="1:12" ht="13.8">
      <c r="A13" s="1" t="s">
        <v>14277</v>
      </c>
      <c r="B13" s="1" t="s">
        <v>14278</v>
      </c>
      <c r="C13" s="1" t="s">
        <v>14279</v>
      </c>
      <c r="D13" s="1" t="s">
        <v>14280</v>
      </c>
      <c r="E13" s="1">
        <v>60</v>
      </c>
      <c r="F13" s="1" t="s">
        <v>14281</v>
      </c>
      <c r="G13" s="1" t="s">
        <v>14198</v>
      </c>
      <c r="H13" s="1" t="s">
        <v>14282</v>
      </c>
      <c r="I13" s="1" t="s">
        <v>14283</v>
      </c>
      <c r="J13" s="3" t="s">
        <v>14284</v>
      </c>
      <c r="K13" s="1" t="s">
        <v>14202</v>
      </c>
      <c r="L13" s="1"/>
    </row>
    <row r="14" spans="1:12" ht="409.6">
      <c r="A14" s="1" t="s">
        <v>14285</v>
      </c>
      <c r="B14" s="1" t="s">
        <v>14286</v>
      </c>
      <c r="C14" s="1" t="s">
        <v>14287</v>
      </c>
      <c r="D14" s="1" t="s">
        <v>14288</v>
      </c>
      <c r="E14" s="1">
        <v>55</v>
      </c>
      <c r="F14" s="1" t="s">
        <v>145</v>
      </c>
      <c r="G14" s="1" t="s">
        <v>14198</v>
      </c>
      <c r="H14" s="4" t="s">
        <v>14289</v>
      </c>
      <c r="I14" s="1" t="s">
        <v>14290</v>
      </c>
      <c r="J14" s="3" t="s">
        <v>14291</v>
      </c>
      <c r="K14" s="1" t="s">
        <v>14202</v>
      </c>
      <c r="L14" s="1"/>
    </row>
    <row r="15" spans="1:12" ht="409.6">
      <c r="A15" s="1" t="s">
        <v>14292</v>
      </c>
      <c r="B15" s="1" t="s">
        <v>14293</v>
      </c>
      <c r="C15" s="1" t="s">
        <v>14294</v>
      </c>
      <c r="D15" s="1" t="s">
        <v>14295</v>
      </c>
      <c r="E15" s="1">
        <v>45</v>
      </c>
      <c r="F15" s="1" t="s">
        <v>145</v>
      </c>
      <c r="G15" s="1" t="s">
        <v>14198</v>
      </c>
      <c r="H15" s="4" t="s">
        <v>14296</v>
      </c>
      <c r="I15" s="1" t="s">
        <v>14297</v>
      </c>
      <c r="J15" s="3" t="s">
        <v>14298</v>
      </c>
      <c r="K15" s="1" t="s">
        <v>14202</v>
      </c>
      <c r="L15" s="1"/>
    </row>
    <row r="16" spans="1:12" ht="13.8">
      <c r="A16" s="1" t="s">
        <v>14299</v>
      </c>
      <c r="B16" s="1" t="s">
        <v>14300</v>
      </c>
      <c r="C16" s="1" t="s">
        <v>14301</v>
      </c>
      <c r="D16" s="1" t="s">
        <v>14302</v>
      </c>
      <c r="E16" s="1">
        <v>50</v>
      </c>
      <c r="F16" s="1" t="s">
        <v>8417</v>
      </c>
      <c r="G16" s="1" t="s">
        <v>14198</v>
      </c>
      <c r="H16" s="1" t="s">
        <v>14303</v>
      </c>
      <c r="I16" s="1" t="s">
        <v>14304</v>
      </c>
      <c r="J16" s="3" t="s">
        <v>14305</v>
      </c>
      <c r="K16" s="1" t="s">
        <v>14202</v>
      </c>
      <c r="L16" s="1"/>
    </row>
    <row r="17" spans="1:12" ht="13.8">
      <c r="A17" s="1" t="s">
        <v>14306</v>
      </c>
      <c r="B17" s="1" t="s">
        <v>14307</v>
      </c>
      <c r="C17" s="1" t="s">
        <v>14308</v>
      </c>
      <c r="D17" s="1" t="s">
        <v>14309</v>
      </c>
      <c r="E17" s="1">
        <v>35</v>
      </c>
      <c r="F17" s="1" t="s">
        <v>8417</v>
      </c>
      <c r="G17" s="1" t="s">
        <v>14198</v>
      </c>
      <c r="H17" s="1" t="s">
        <v>14310</v>
      </c>
      <c r="I17" s="1" t="s">
        <v>14311</v>
      </c>
      <c r="J17" s="3" t="s">
        <v>14312</v>
      </c>
      <c r="K17" s="1" t="s">
        <v>14202</v>
      </c>
      <c r="L17" s="1"/>
    </row>
    <row r="18" spans="1:12" ht="13.8">
      <c r="A18" s="1" t="s">
        <v>14313</v>
      </c>
      <c r="B18" s="1" t="s">
        <v>14314</v>
      </c>
      <c r="C18" s="1" t="s">
        <v>14315</v>
      </c>
      <c r="D18" s="1" t="s">
        <v>14316</v>
      </c>
      <c r="E18" s="1">
        <v>30</v>
      </c>
      <c r="F18" s="1" t="s">
        <v>145</v>
      </c>
      <c r="G18" s="1" t="s">
        <v>14198</v>
      </c>
      <c r="H18" s="1" t="s">
        <v>14317</v>
      </c>
      <c r="I18" s="1" t="s">
        <v>14318</v>
      </c>
      <c r="J18" s="3" t="s">
        <v>14319</v>
      </c>
      <c r="K18" s="1" t="s">
        <v>14202</v>
      </c>
      <c r="L18" s="1"/>
    </row>
    <row r="19" spans="1:12" ht="409.6">
      <c r="A19" s="1" t="s">
        <v>14320</v>
      </c>
      <c r="B19" s="1" t="s">
        <v>14321</v>
      </c>
      <c r="C19" s="1" t="s">
        <v>14322</v>
      </c>
      <c r="D19" s="1" t="s">
        <v>14323</v>
      </c>
      <c r="E19" s="1">
        <v>55</v>
      </c>
      <c r="F19" s="1" t="s">
        <v>14207</v>
      </c>
      <c r="G19" s="1" t="s">
        <v>14198</v>
      </c>
      <c r="H19" s="1" t="s">
        <v>14324</v>
      </c>
      <c r="I19" s="4" t="s">
        <v>14325</v>
      </c>
      <c r="J19" s="3" t="s">
        <v>14326</v>
      </c>
      <c r="K19" s="1" t="s">
        <v>14202</v>
      </c>
      <c r="L19" s="1"/>
    </row>
    <row r="20" spans="1:12" ht="13.8">
      <c r="A20" s="1" t="s">
        <v>14327</v>
      </c>
      <c r="B20" s="1" t="s">
        <v>14328</v>
      </c>
      <c r="C20" s="1" t="s">
        <v>14329</v>
      </c>
      <c r="D20" s="1" t="s">
        <v>14330</v>
      </c>
      <c r="E20" s="1">
        <v>70</v>
      </c>
      <c r="F20" s="1" t="s">
        <v>145</v>
      </c>
      <c r="G20" s="1" t="s">
        <v>14198</v>
      </c>
      <c r="H20" s="1" t="s">
        <v>14331</v>
      </c>
      <c r="I20" s="1" t="s">
        <v>14332</v>
      </c>
      <c r="J20" s="3" t="s">
        <v>14333</v>
      </c>
      <c r="K20" s="1" t="s">
        <v>14202</v>
      </c>
      <c r="L20" s="1"/>
    </row>
    <row r="21" spans="1:12" ht="13.8">
      <c r="A21" s="1" t="s">
        <v>14334</v>
      </c>
      <c r="B21" s="1" t="s">
        <v>14335</v>
      </c>
      <c r="C21" s="1" t="s">
        <v>14336</v>
      </c>
      <c r="D21" s="1" t="s">
        <v>14337</v>
      </c>
      <c r="E21" s="1">
        <v>40</v>
      </c>
      <c r="F21" s="1" t="s">
        <v>14281</v>
      </c>
      <c r="G21" s="1" t="s">
        <v>14338</v>
      </c>
      <c r="H21" s="1" t="s">
        <v>14339</v>
      </c>
      <c r="I21" s="1" t="s">
        <v>14340</v>
      </c>
      <c r="J21" s="3" t="s">
        <v>14341</v>
      </c>
      <c r="K21" s="1" t="s">
        <v>14202</v>
      </c>
      <c r="L21" s="1"/>
    </row>
    <row r="22" spans="1:12" ht="13.8">
      <c r="A22" s="1" t="s">
        <v>14342</v>
      </c>
      <c r="B22" s="1" t="s">
        <v>14343</v>
      </c>
      <c r="C22" s="1" t="s">
        <v>14344</v>
      </c>
      <c r="D22" s="1" t="s">
        <v>14345</v>
      </c>
      <c r="E22" s="1">
        <v>40</v>
      </c>
      <c r="F22" s="1" t="s">
        <v>145</v>
      </c>
      <c r="G22" s="1" t="s">
        <v>14237</v>
      </c>
      <c r="H22" s="1" t="s">
        <v>14346</v>
      </c>
      <c r="I22" s="1" t="s">
        <v>14347</v>
      </c>
      <c r="J22" s="3" t="s">
        <v>14348</v>
      </c>
      <c r="K22" s="1" t="s">
        <v>14202</v>
      </c>
      <c r="L22" s="1"/>
    </row>
    <row r="23" spans="1:12" ht="13.8">
      <c r="A23" s="1" t="s">
        <v>14349</v>
      </c>
      <c r="B23" s="1" t="s">
        <v>14350</v>
      </c>
      <c r="C23" s="1" t="s">
        <v>14351</v>
      </c>
      <c r="D23" s="1" t="s">
        <v>14352</v>
      </c>
      <c r="E23" s="1">
        <v>50</v>
      </c>
      <c r="F23" s="1" t="s">
        <v>14207</v>
      </c>
      <c r="G23" s="1" t="s">
        <v>14198</v>
      </c>
      <c r="H23" s="1" t="s">
        <v>14353</v>
      </c>
      <c r="I23" s="1" t="s">
        <v>14354</v>
      </c>
      <c r="J23" s="3" t="s">
        <v>14355</v>
      </c>
      <c r="K23" s="1" t="s">
        <v>14202</v>
      </c>
      <c r="L23" s="1"/>
    </row>
    <row r="24" spans="1:12" ht="13.8">
      <c r="A24" s="1" t="s">
        <v>14356</v>
      </c>
      <c r="B24" s="1" t="s">
        <v>14357</v>
      </c>
      <c r="C24" s="1" t="s">
        <v>14358</v>
      </c>
      <c r="D24" s="1" t="s">
        <v>14359</v>
      </c>
      <c r="E24" s="1">
        <v>60</v>
      </c>
      <c r="F24" s="1" t="s">
        <v>14207</v>
      </c>
      <c r="G24" s="1" t="s">
        <v>14237</v>
      </c>
      <c r="H24" s="1" t="s">
        <v>14360</v>
      </c>
      <c r="I24" s="1" t="s">
        <v>14361</v>
      </c>
      <c r="J24" s="3" t="s">
        <v>14362</v>
      </c>
      <c r="K24" s="1" t="s">
        <v>14202</v>
      </c>
      <c r="L24" s="1"/>
    </row>
    <row r="25" spans="1:12" ht="13.8">
      <c r="A25" s="1" t="s">
        <v>14363</v>
      </c>
      <c r="B25" s="1" t="s">
        <v>14364</v>
      </c>
      <c r="C25" s="1" t="s">
        <v>14365</v>
      </c>
      <c r="D25" s="1" t="s">
        <v>14366</v>
      </c>
      <c r="E25" s="1">
        <v>100</v>
      </c>
      <c r="F25" s="1" t="s">
        <v>429</v>
      </c>
      <c r="G25" s="1" t="s">
        <v>14367</v>
      </c>
      <c r="H25" s="1" t="s">
        <v>14368</v>
      </c>
      <c r="I25" s="1" t="s">
        <v>14369</v>
      </c>
      <c r="J25" s="3" t="s">
        <v>14370</v>
      </c>
      <c r="K25" s="1" t="s">
        <v>14202</v>
      </c>
      <c r="L25" s="1"/>
    </row>
    <row r="26" spans="1:12" ht="13.8">
      <c r="A26" s="1" t="s">
        <v>14371</v>
      </c>
      <c r="B26" s="1" t="s">
        <v>14372</v>
      </c>
      <c r="C26" s="1" t="s">
        <v>14373</v>
      </c>
      <c r="D26" s="1" t="s">
        <v>14374</v>
      </c>
      <c r="E26" s="1">
        <v>30</v>
      </c>
      <c r="F26" s="1" t="s">
        <v>145</v>
      </c>
      <c r="G26" s="1" t="s">
        <v>14198</v>
      </c>
      <c r="H26" s="1" t="s">
        <v>14375</v>
      </c>
      <c r="I26" s="1" t="s">
        <v>14376</v>
      </c>
      <c r="J26" s="3" t="s">
        <v>14377</v>
      </c>
      <c r="K26" s="1" t="s">
        <v>14202</v>
      </c>
      <c r="L26" s="1"/>
    </row>
    <row r="27" spans="1:12" ht="13.8">
      <c r="A27" s="1" t="s">
        <v>14378</v>
      </c>
      <c r="B27" s="1" t="s">
        <v>14379</v>
      </c>
      <c r="C27" s="1" t="s">
        <v>14380</v>
      </c>
      <c r="D27" s="1" t="s">
        <v>14381</v>
      </c>
      <c r="E27" s="1">
        <v>50</v>
      </c>
      <c r="F27" s="1" t="s">
        <v>429</v>
      </c>
      <c r="G27" s="1" t="s">
        <v>14382</v>
      </c>
      <c r="H27" s="1" t="s">
        <v>14383</v>
      </c>
      <c r="I27" s="1" t="s">
        <v>14384</v>
      </c>
      <c r="J27" s="3" t="s">
        <v>14385</v>
      </c>
      <c r="K27" s="1" t="s">
        <v>14202</v>
      </c>
      <c r="L27" s="1"/>
    </row>
    <row r="28" spans="1:12" ht="13.8">
      <c r="A28" s="1" t="s">
        <v>14386</v>
      </c>
      <c r="B28" s="1" t="s">
        <v>14387</v>
      </c>
      <c r="C28" s="1" t="s">
        <v>14388</v>
      </c>
      <c r="D28" s="1" t="s">
        <v>14389</v>
      </c>
      <c r="E28" s="1">
        <v>55</v>
      </c>
      <c r="F28" s="1" t="s">
        <v>145</v>
      </c>
      <c r="G28" s="1" t="s">
        <v>14382</v>
      </c>
      <c r="H28" s="1" t="s">
        <v>14390</v>
      </c>
      <c r="I28" s="1" t="s">
        <v>14391</v>
      </c>
      <c r="J28" s="3" t="s">
        <v>14392</v>
      </c>
      <c r="K28" s="1" t="s">
        <v>14202</v>
      </c>
      <c r="L28" s="1"/>
    </row>
    <row r="29" spans="1:12" ht="13.8">
      <c r="A29" s="1" t="s">
        <v>14393</v>
      </c>
      <c r="B29" s="1" t="s">
        <v>14394</v>
      </c>
      <c r="C29" s="1" t="s">
        <v>14395</v>
      </c>
      <c r="D29" s="1" t="s">
        <v>14396</v>
      </c>
      <c r="E29" s="1">
        <v>45</v>
      </c>
      <c r="F29" s="1" t="s">
        <v>14281</v>
      </c>
      <c r="G29" s="1" t="s">
        <v>14198</v>
      </c>
      <c r="H29" s="1" t="s">
        <v>14397</v>
      </c>
      <c r="I29" s="1" t="s">
        <v>14398</v>
      </c>
      <c r="J29" s="3" t="s">
        <v>14399</v>
      </c>
      <c r="K29" s="1" t="s">
        <v>14202</v>
      </c>
      <c r="L29" s="1"/>
    </row>
    <row r="30" spans="1:12" ht="13.8">
      <c r="A30" s="1" t="s">
        <v>14400</v>
      </c>
      <c r="B30" s="1" t="s">
        <v>14401</v>
      </c>
      <c r="C30" s="1" t="s">
        <v>14402</v>
      </c>
      <c r="D30" s="1" t="s">
        <v>14403</v>
      </c>
      <c r="E30" s="1">
        <v>40</v>
      </c>
      <c r="F30" s="1" t="s">
        <v>145</v>
      </c>
      <c r="G30" s="1" t="s">
        <v>14198</v>
      </c>
      <c r="H30" s="1" t="s">
        <v>14404</v>
      </c>
      <c r="I30" s="1" t="s">
        <v>14405</v>
      </c>
      <c r="J30" s="3" t="s">
        <v>14406</v>
      </c>
      <c r="K30" s="1" t="s">
        <v>14202</v>
      </c>
      <c r="L30" s="1"/>
    </row>
    <row r="31" spans="1:12" ht="13.8">
      <c r="A31" s="1" t="s">
        <v>14407</v>
      </c>
      <c r="B31" s="1" t="s">
        <v>14408</v>
      </c>
      <c r="C31" s="1" t="s">
        <v>14409</v>
      </c>
      <c r="D31" s="1" t="s">
        <v>14410</v>
      </c>
      <c r="E31" s="1">
        <v>15</v>
      </c>
      <c r="F31" s="1" t="s">
        <v>14207</v>
      </c>
      <c r="G31" s="1" t="s">
        <v>14198</v>
      </c>
      <c r="H31" s="1" t="s">
        <v>14411</v>
      </c>
      <c r="I31" s="1" t="s">
        <v>14412</v>
      </c>
      <c r="J31" s="3" t="s">
        <v>14413</v>
      </c>
      <c r="K31" s="1" t="s">
        <v>14202</v>
      </c>
      <c r="L31" s="1"/>
    </row>
    <row r="32" spans="1:12" ht="13.8">
      <c r="A32" s="1" t="s">
        <v>14414</v>
      </c>
      <c r="B32" s="1" t="s">
        <v>14415</v>
      </c>
      <c r="C32" s="1" t="s">
        <v>14416</v>
      </c>
      <c r="D32" s="1" t="s">
        <v>14417</v>
      </c>
      <c r="E32" s="1">
        <v>20</v>
      </c>
      <c r="F32" s="1" t="s">
        <v>145</v>
      </c>
      <c r="G32" s="1" t="s">
        <v>14198</v>
      </c>
      <c r="H32" s="1" t="s">
        <v>14418</v>
      </c>
      <c r="I32" s="1" t="s">
        <v>14419</v>
      </c>
      <c r="J32" s="3" t="s">
        <v>14420</v>
      </c>
      <c r="K32" s="1" t="s">
        <v>14202</v>
      </c>
      <c r="L32" s="1"/>
    </row>
    <row r="33" spans="1:12" ht="13.8">
      <c r="A33" s="1" t="s">
        <v>14421</v>
      </c>
      <c r="B33" s="1" t="s">
        <v>14422</v>
      </c>
      <c r="C33" s="1" t="s">
        <v>14423</v>
      </c>
      <c r="D33" s="1" t="s">
        <v>14424</v>
      </c>
      <c r="E33" s="1">
        <v>40</v>
      </c>
      <c r="F33" s="1" t="s">
        <v>145</v>
      </c>
      <c r="G33" s="1" t="s">
        <v>14237</v>
      </c>
      <c r="H33" s="1" t="s">
        <v>14425</v>
      </c>
      <c r="I33" s="1" t="s">
        <v>14426</v>
      </c>
      <c r="J33" s="3" t="s">
        <v>14427</v>
      </c>
      <c r="K33" s="1" t="s">
        <v>14202</v>
      </c>
      <c r="L33" s="1"/>
    </row>
    <row r="34" spans="1:12" ht="13.8">
      <c r="A34" s="1" t="s">
        <v>14428</v>
      </c>
      <c r="B34" s="1" t="s">
        <v>14429</v>
      </c>
      <c r="C34" s="1" t="s">
        <v>14430</v>
      </c>
      <c r="D34" s="1" t="s">
        <v>14431</v>
      </c>
      <c r="E34" s="1">
        <v>50</v>
      </c>
      <c r="F34" s="1" t="s">
        <v>429</v>
      </c>
      <c r="G34" s="1" t="s">
        <v>14382</v>
      </c>
      <c r="H34" s="1" t="s">
        <v>14432</v>
      </c>
      <c r="I34" s="1" t="s">
        <v>14433</v>
      </c>
      <c r="J34" s="3" t="s">
        <v>14434</v>
      </c>
      <c r="K34" s="1" t="s">
        <v>14202</v>
      </c>
      <c r="L34" s="1"/>
    </row>
    <row r="35" spans="1:12" ht="409.6">
      <c r="A35" s="1" t="s">
        <v>14435</v>
      </c>
      <c r="B35" s="1" t="s">
        <v>14436</v>
      </c>
      <c r="C35" s="1" t="s">
        <v>14437</v>
      </c>
      <c r="D35" s="1" t="s">
        <v>14438</v>
      </c>
      <c r="E35" s="1">
        <v>30</v>
      </c>
      <c r="F35" s="1" t="s">
        <v>14281</v>
      </c>
      <c r="G35" s="1" t="s">
        <v>14198</v>
      </c>
      <c r="H35" s="4" t="s">
        <v>14439</v>
      </c>
      <c r="I35" s="1" t="s">
        <v>14440</v>
      </c>
      <c r="J35" s="3" t="s">
        <v>14441</v>
      </c>
      <c r="K35" s="1" t="s">
        <v>14202</v>
      </c>
      <c r="L35" s="1"/>
    </row>
    <row r="36" spans="1:12" ht="13.8">
      <c r="A36" s="1" t="s">
        <v>14442</v>
      </c>
      <c r="B36" s="1" t="s">
        <v>14443</v>
      </c>
      <c r="C36" s="1" t="s">
        <v>14444</v>
      </c>
      <c r="D36" s="1" t="s">
        <v>14445</v>
      </c>
      <c r="E36" s="1">
        <v>40</v>
      </c>
      <c r="F36" s="1" t="s">
        <v>145</v>
      </c>
      <c r="G36" s="1" t="s">
        <v>14198</v>
      </c>
      <c r="H36" s="1" t="s">
        <v>14446</v>
      </c>
      <c r="I36" s="1" t="s">
        <v>14447</v>
      </c>
      <c r="J36" s="3" t="s">
        <v>14448</v>
      </c>
      <c r="K36" s="1" t="s">
        <v>14202</v>
      </c>
      <c r="L36" s="1"/>
    </row>
    <row r="37" spans="1:12" ht="13.8">
      <c r="A37" s="1" t="s">
        <v>14449</v>
      </c>
      <c r="B37" s="1" t="s">
        <v>14450</v>
      </c>
      <c r="C37" s="1" t="s">
        <v>14451</v>
      </c>
      <c r="D37" s="1" t="s">
        <v>14452</v>
      </c>
      <c r="E37" s="1">
        <v>30</v>
      </c>
      <c r="F37" s="1" t="s">
        <v>145</v>
      </c>
      <c r="G37" s="1" t="s">
        <v>14198</v>
      </c>
      <c r="H37" s="1" t="s">
        <v>14453</v>
      </c>
      <c r="I37" s="1" t="s">
        <v>14454</v>
      </c>
      <c r="J37" s="3" t="s">
        <v>14455</v>
      </c>
      <c r="K37" s="1" t="s">
        <v>14202</v>
      </c>
      <c r="L37" s="1"/>
    </row>
    <row r="38" spans="1:12" ht="13.8">
      <c r="A38" s="1" t="s">
        <v>14456</v>
      </c>
      <c r="B38" s="1" t="s">
        <v>14457</v>
      </c>
      <c r="C38" s="1" t="s">
        <v>14458</v>
      </c>
      <c r="D38" s="1" t="s">
        <v>14459</v>
      </c>
      <c r="E38" s="1">
        <v>40</v>
      </c>
      <c r="F38" s="1" t="s">
        <v>145</v>
      </c>
      <c r="G38" s="1" t="s">
        <v>14198</v>
      </c>
      <c r="H38" s="1" t="s">
        <v>14460</v>
      </c>
      <c r="I38" s="1" t="s">
        <v>14461</v>
      </c>
      <c r="J38" s="3" t="s">
        <v>14462</v>
      </c>
      <c r="K38" s="1" t="s">
        <v>14202</v>
      </c>
      <c r="L38" s="1"/>
    </row>
    <row r="39" spans="1:12" ht="13.8">
      <c r="A39" s="1" t="s">
        <v>14463</v>
      </c>
      <c r="B39" s="1" t="s">
        <v>14464</v>
      </c>
      <c r="C39" s="1" t="s">
        <v>14465</v>
      </c>
      <c r="D39" s="1" t="s">
        <v>14466</v>
      </c>
      <c r="E39" s="1">
        <v>40</v>
      </c>
      <c r="F39" s="1" t="s">
        <v>14207</v>
      </c>
      <c r="G39" s="1" t="s">
        <v>14198</v>
      </c>
      <c r="H39" s="1" t="s">
        <v>14467</v>
      </c>
      <c r="I39" s="1" t="s">
        <v>14468</v>
      </c>
      <c r="J39" s="3" t="s">
        <v>14469</v>
      </c>
      <c r="K39" s="1" t="s">
        <v>14202</v>
      </c>
      <c r="L39" s="1"/>
    </row>
    <row r="40" spans="1:12" ht="13.8">
      <c r="A40" s="1" t="s">
        <v>14470</v>
      </c>
      <c r="B40" s="1" t="s">
        <v>14471</v>
      </c>
      <c r="C40" s="1" t="s">
        <v>14472</v>
      </c>
      <c r="D40" s="1" t="s">
        <v>14473</v>
      </c>
      <c r="E40" s="1">
        <v>90</v>
      </c>
      <c r="F40" s="1" t="s">
        <v>14259</v>
      </c>
      <c r="G40" s="1" t="s">
        <v>14382</v>
      </c>
      <c r="H40" s="1" t="s">
        <v>14474</v>
      </c>
      <c r="I40" s="1" t="s">
        <v>14475</v>
      </c>
      <c r="J40" s="3" t="s">
        <v>14476</v>
      </c>
      <c r="K40" s="1" t="s">
        <v>14202</v>
      </c>
      <c r="L40" s="1"/>
    </row>
    <row r="41" spans="1:12" ht="409.6">
      <c r="A41" s="1" t="s">
        <v>14477</v>
      </c>
      <c r="B41" s="1" t="s">
        <v>14478</v>
      </c>
      <c r="C41" s="1" t="s">
        <v>14479</v>
      </c>
      <c r="D41" s="1" t="s">
        <v>14480</v>
      </c>
      <c r="E41" s="1">
        <v>40</v>
      </c>
      <c r="F41" s="1" t="s">
        <v>145</v>
      </c>
      <c r="G41" s="1" t="s">
        <v>14198</v>
      </c>
      <c r="H41" s="4" t="s">
        <v>14481</v>
      </c>
      <c r="I41" s="1" t="s">
        <v>14482</v>
      </c>
      <c r="J41" s="3" t="s">
        <v>14483</v>
      </c>
      <c r="K41" s="1" t="s">
        <v>14202</v>
      </c>
      <c r="L41" s="1"/>
    </row>
    <row r="42" spans="1:12" ht="13.8">
      <c r="A42" s="1" t="s">
        <v>14484</v>
      </c>
      <c r="B42" s="1" t="s">
        <v>14485</v>
      </c>
      <c r="C42" s="1" t="s">
        <v>14486</v>
      </c>
      <c r="D42" s="1" t="s">
        <v>14487</v>
      </c>
      <c r="E42" s="1">
        <v>30</v>
      </c>
      <c r="F42" s="1" t="s">
        <v>145</v>
      </c>
      <c r="G42" s="1" t="s">
        <v>14198</v>
      </c>
      <c r="H42" s="1" t="s">
        <v>14488</v>
      </c>
      <c r="I42" s="1" t="s">
        <v>14489</v>
      </c>
      <c r="J42" s="3" t="s">
        <v>14490</v>
      </c>
      <c r="K42" s="1" t="s">
        <v>14202</v>
      </c>
      <c r="L42" s="1"/>
    </row>
    <row r="43" spans="1:12" ht="13.8">
      <c r="A43" s="1" t="s">
        <v>14491</v>
      </c>
      <c r="B43" s="1" t="s">
        <v>14492</v>
      </c>
      <c r="C43" s="1" t="s">
        <v>14493</v>
      </c>
      <c r="D43" s="1" t="s">
        <v>14494</v>
      </c>
      <c r="E43" s="1">
        <v>270</v>
      </c>
      <c r="F43" s="1" t="s">
        <v>145</v>
      </c>
      <c r="G43" s="1" t="s">
        <v>14237</v>
      </c>
      <c r="H43" s="1" t="s">
        <v>14495</v>
      </c>
      <c r="I43" s="1" t="s">
        <v>14496</v>
      </c>
      <c r="J43" s="3" t="s">
        <v>14497</v>
      </c>
      <c r="K43" s="1" t="s">
        <v>14202</v>
      </c>
      <c r="L43" s="1"/>
    </row>
    <row r="44" spans="1:12" ht="13.8">
      <c r="A44" s="1" t="s">
        <v>14498</v>
      </c>
      <c r="B44" s="1" t="s">
        <v>14499</v>
      </c>
      <c r="C44" s="1" t="s">
        <v>14500</v>
      </c>
      <c r="D44" s="1" t="s">
        <v>14501</v>
      </c>
      <c r="E44" s="1">
        <v>18</v>
      </c>
      <c r="F44" s="1" t="s">
        <v>14207</v>
      </c>
      <c r="G44" s="1" t="s">
        <v>14198</v>
      </c>
      <c r="H44" s="1" t="s">
        <v>14502</v>
      </c>
      <c r="I44" s="1" t="s">
        <v>14503</v>
      </c>
      <c r="J44" s="3" t="s">
        <v>14504</v>
      </c>
      <c r="K44" s="1" t="s">
        <v>14202</v>
      </c>
      <c r="L44" s="1"/>
    </row>
    <row r="45" spans="1:12" ht="13.8">
      <c r="A45" s="1" t="s">
        <v>14505</v>
      </c>
      <c r="B45" s="1" t="s">
        <v>14506</v>
      </c>
      <c r="C45" s="1" t="s">
        <v>14507</v>
      </c>
      <c r="D45" s="1" t="s">
        <v>14508</v>
      </c>
      <c r="E45" s="1">
        <v>52</v>
      </c>
      <c r="F45" s="1" t="s">
        <v>14281</v>
      </c>
      <c r="G45" s="1" t="s">
        <v>14198</v>
      </c>
      <c r="H45" s="1" t="s">
        <v>14509</v>
      </c>
      <c r="I45" s="1" t="s">
        <v>14510</v>
      </c>
      <c r="J45" s="3" t="s">
        <v>14511</v>
      </c>
      <c r="K45" s="1" t="s">
        <v>14202</v>
      </c>
      <c r="L45" s="1"/>
    </row>
    <row r="46" spans="1:12" ht="409.6">
      <c r="A46" s="1" t="s">
        <v>14512</v>
      </c>
      <c r="B46" s="1" t="s">
        <v>14513</v>
      </c>
      <c r="C46" s="1" t="s">
        <v>14514</v>
      </c>
      <c r="D46" s="1" t="s">
        <v>14515</v>
      </c>
      <c r="E46" s="1">
        <v>45</v>
      </c>
      <c r="F46" s="1" t="s">
        <v>145</v>
      </c>
      <c r="G46" s="1" t="s">
        <v>14382</v>
      </c>
      <c r="H46" s="4" t="s">
        <v>14516</v>
      </c>
      <c r="I46" s="1" t="s">
        <v>14517</v>
      </c>
      <c r="J46" s="3" t="s">
        <v>14518</v>
      </c>
      <c r="K46" s="1" t="s">
        <v>14202</v>
      </c>
      <c r="L46" s="1"/>
    </row>
    <row r="47" spans="1:12" ht="409.6">
      <c r="A47" s="1" t="s">
        <v>14519</v>
      </c>
      <c r="B47" s="1" t="s">
        <v>14520</v>
      </c>
      <c r="C47" s="1" t="s">
        <v>14521</v>
      </c>
      <c r="D47" s="1" t="s">
        <v>14522</v>
      </c>
      <c r="E47" s="1">
        <v>45</v>
      </c>
      <c r="F47" s="1" t="s">
        <v>429</v>
      </c>
      <c r="G47" s="1" t="s">
        <v>14198</v>
      </c>
      <c r="H47" s="4" t="s">
        <v>14523</v>
      </c>
      <c r="I47" s="1" t="s">
        <v>14524</v>
      </c>
      <c r="J47" s="3" t="s">
        <v>14525</v>
      </c>
      <c r="K47" s="1" t="s">
        <v>14202</v>
      </c>
      <c r="L47" s="1"/>
    </row>
    <row r="48" spans="1:12" ht="13.8">
      <c r="A48" s="1" t="s">
        <v>14526</v>
      </c>
      <c r="B48" s="1" t="s">
        <v>14527</v>
      </c>
      <c r="C48" s="1" t="s">
        <v>14528</v>
      </c>
      <c r="D48" s="1" t="s">
        <v>14529</v>
      </c>
      <c r="E48" s="1">
        <v>45</v>
      </c>
      <c r="F48" s="1" t="s">
        <v>14281</v>
      </c>
      <c r="G48" s="1" t="s">
        <v>14198</v>
      </c>
      <c r="H48" s="1" t="s">
        <v>14530</v>
      </c>
      <c r="I48" s="1" t="s">
        <v>14531</v>
      </c>
      <c r="J48" s="3" t="s">
        <v>14532</v>
      </c>
      <c r="K48" s="1" t="s">
        <v>14202</v>
      </c>
      <c r="L48" s="1"/>
    </row>
    <row r="49" spans="1:12" ht="409.6">
      <c r="A49" s="1" t="s">
        <v>14533</v>
      </c>
      <c r="B49" s="1" t="s">
        <v>14534</v>
      </c>
      <c r="C49" s="1" t="s">
        <v>14535</v>
      </c>
      <c r="D49" s="1" t="s">
        <v>14536</v>
      </c>
      <c r="E49" s="1">
        <v>30</v>
      </c>
      <c r="F49" s="1" t="s">
        <v>145</v>
      </c>
      <c r="G49" s="1" t="s">
        <v>14237</v>
      </c>
      <c r="H49" s="4" t="s">
        <v>14537</v>
      </c>
      <c r="I49" s="1" t="s">
        <v>14538</v>
      </c>
      <c r="J49" s="3" t="s">
        <v>14539</v>
      </c>
      <c r="K49" s="1" t="s">
        <v>14202</v>
      </c>
      <c r="L49" s="1"/>
    </row>
    <row r="50" spans="1:12" ht="13.8">
      <c r="A50" s="1" t="s">
        <v>14540</v>
      </c>
      <c r="B50" s="1" t="s">
        <v>14541</v>
      </c>
      <c r="C50" s="1" t="s">
        <v>14542</v>
      </c>
      <c r="D50" s="1" t="s">
        <v>14543</v>
      </c>
      <c r="E50" s="1">
        <v>30</v>
      </c>
      <c r="F50" s="1" t="s">
        <v>145</v>
      </c>
      <c r="G50" s="1" t="s">
        <v>14198</v>
      </c>
      <c r="H50" s="1" t="s">
        <v>14544</v>
      </c>
      <c r="I50" s="1" t="s">
        <v>14545</v>
      </c>
      <c r="J50" s="3" t="s">
        <v>14546</v>
      </c>
      <c r="K50" s="1" t="s">
        <v>14202</v>
      </c>
      <c r="L50" s="1"/>
    </row>
    <row r="51" spans="1:12" ht="13.8">
      <c r="A51" s="1" t="s">
        <v>14547</v>
      </c>
      <c r="B51" s="1" t="s">
        <v>14548</v>
      </c>
      <c r="C51" s="1" t="s">
        <v>14549</v>
      </c>
      <c r="D51" s="1" t="s">
        <v>14550</v>
      </c>
      <c r="E51" s="1">
        <v>45</v>
      </c>
      <c r="F51" s="1" t="s">
        <v>14281</v>
      </c>
      <c r="G51" s="1" t="s">
        <v>14198</v>
      </c>
      <c r="H51" s="1" t="s">
        <v>14551</v>
      </c>
      <c r="I51" s="1" t="s">
        <v>14552</v>
      </c>
      <c r="J51" s="3" t="s">
        <v>14553</v>
      </c>
      <c r="K51" s="1" t="s">
        <v>14202</v>
      </c>
      <c r="L51" s="1"/>
    </row>
    <row r="52" spans="1:12" ht="13.8">
      <c r="A52" s="1" t="s">
        <v>14554</v>
      </c>
      <c r="B52" s="1" t="s">
        <v>14555</v>
      </c>
      <c r="C52" s="1" t="s">
        <v>14556</v>
      </c>
      <c r="D52" s="1" t="s">
        <v>14557</v>
      </c>
      <c r="E52" s="1">
        <v>30</v>
      </c>
      <c r="F52" s="1" t="s">
        <v>145</v>
      </c>
      <c r="G52" s="1" t="s">
        <v>14198</v>
      </c>
      <c r="H52" s="1" t="s">
        <v>14558</v>
      </c>
      <c r="I52" s="1" t="s">
        <v>14559</v>
      </c>
      <c r="J52" s="3" t="s">
        <v>14560</v>
      </c>
      <c r="K52" s="1" t="s">
        <v>14202</v>
      </c>
      <c r="L52" s="1"/>
    </row>
    <row r="53" spans="1:12" ht="409.6">
      <c r="A53" s="1" t="s">
        <v>14561</v>
      </c>
      <c r="B53" s="1" t="s">
        <v>14562</v>
      </c>
      <c r="C53" s="1" t="s">
        <v>14563</v>
      </c>
      <c r="D53" s="1" t="s">
        <v>14564</v>
      </c>
      <c r="E53" s="1">
        <v>65</v>
      </c>
      <c r="F53" s="1" t="s">
        <v>145</v>
      </c>
      <c r="G53" s="1" t="s">
        <v>14198</v>
      </c>
      <c r="H53" s="4" t="s">
        <v>14565</v>
      </c>
      <c r="I53" s="1" t="s">
        <v>14566</v>
      </c>
      <c r="J53" s="3" t="s">
        <v>14567</v>
      </c>
      <c r="K53" s="1" t="s">
        <v>14202</v>
      </c>
      <c r="L53" s="1"/>
    </row>
    <row r="54" spans="1:12" ht="13.8">
      <c r="A54" s="1" t="s">
        <v>14568</v>
      </c>
      <c r="B54" s="1" t="s">
        <v>14569</v>
      </c>
      <c r="C54" s="1" t="s">
        <v>14570</v>
      </c>
      <c r="D54" s="1" t="s">
        <v>14571</v>
      </c>
      <c r="E54" s="1">
        <v>65</v>
      </c>
      <c r="F54" s="1" t="s">
        <v>14572</v>
      </c>
      <c r="G54" s="1" t="s">
        <v>14198</v>
      </c>
      <c r="H54" s="1" t="s">
        <v>14573</v>
      </c>
      <c r="I54" s="1" t="s">
        <v>14574</v>
      </c>
      <c r="J54" s="3" t="s">
        <v>14575</v>
      </c>
      <c r="K54" s="1" t="s">
        <v>14202</v>
      </c>
      <c r="L54" s="1"/>
    </row>
    <row r="55" spans="1:12" ht="13.8">
      <c r="A55" s="1" t="s">
        <v>14576</v>
      </c>
      <c r="B55" s="1" t="s">
        <v>14577</v>
      </c>
      <c r="C55" s="1" t="s">
        <v>14578</v>
      </c>
      <c r="D55" s="1" t="s">
        <v>14579</v>
      </c>
      <c r="E55" s="1">
        <v>30</v>
      </c>
      <c r="F55" s="1" t="s">
        <v>14207</v>
      </c>
      <c r="G55" s="1" t="s">
        <v>14198</v>
      </c>
      <c r="H55" s="1" t="s">
        <v>14580</v>
      </c>
      <c r="I55" s="1" t="s">
        <v>14581</v>
      </c>
      <c r="J55" s="3" t="s">
        <v>14582</v>
      </c>
      <c r="K55" s="1" t="s">
        <v>14202</v>
      </c>
      <c r="L55" s="1"/>
    </row>
    <row r="56" spans="1:12" ht="13.8">
      <c r="A56" s="1" t="s">
        <v>14583</v>
      </c>
      <c r="B56" s="1" t="s">
        <v>14584</v>
      </c>
      <c r="C56" s="1" t="s">
        <v>14585</v>
      </c>
      <c r="D56" s="1" t="s">
        <v>14586</v>
      </c>
      <c r="E56" s="1">
        <v>30</v>
      </c>
      <c r="F56" s="1" t="s">
        <v>14207</v>
      </c>
      <c r="G56" s="1" t="s">
        <v>14338</v>
      </c>
      <c r="H56" s="1" t="s">
        <v>14587</v>
      </c>
      <c r="I56" s="1" t="s">
        <v>14588</v>
      </c>
      <c r="J56" s="3" t="s">
        <v>14589</v>
      </c>
      <c r="K56" s="1" t="s">
        <v>14202</v>
      </c>
      <c r="L56" s="1"/>
    </row>
    <row r="57" spans="1:12" ht="13.8">
      <c r="A57" s="1" t="s">
        <v>14590</v>
      </c>
      <c r="B57" s="1" t="s">
        <v>14591</v>
      </c>
      <c r="C57" s="1" t="s">
        <v>14592</v>
      </c>
      <c r="D57" s="1" t="s">
        <v>14593</v>
      </c>
      <c r="E57" s="1">
        <v>70</v>
      </c>
      <c r="F57" s="1" t="s">
        <v>14281</v>
      </c>
      <c r="G57" s="1" t="s">
        <v>14198</v>
      </c>
      <c r="H57" s="1" t="s">
        <v>14594</v>
      </c>
      <c r="I57" s="1" t="s">
        <v>14595</v>
      </c>
      <c r="J57" s="3" t="s">
        <v>14596</v>
      </c>
      <c r="K57" s="1" t="s">
        <v>14202</v>
      </c>
      <c r="L57" s="1"/>
    </row>
    <row r="58" spans="1:12" ht="13.8">
      <c r="A58" s="1" t="s">
        <v>14597</v>
      </c>
      <c r="B58" s="1" t="s">
        <v>14598</v>
      </c>
      <c r="C58" s="1" t="s">
        <v>14599</v>
      </c>
      <c r="D58" s="1" t="s">
        <v>14600</v>
      </c>
      <c r="E58" s="1">
        <v>50</v>
      </c>
      <c r="F58" s="1" t="s">
        <v>8417</v>
      </c>
      <c r="G58" s="1" t="s">
        <v>14198</v>
      </c>
      <c r="H58" s="1" t="s">
        <v>14601</v>
      </c>
      <c r="I58" s="1" t="s">
        <v>14602</v>
      </c>
      <c r="J58" s="3" t="s">
        <v>14603</v>
      </c>
      <c r="K58" s="1" t="s">
        <v>14202</v>
      </c>
      <c r="L58" s="1"/>
    </row>
    <row r="59" spans="1:12" ht="13.8">
      <c r="A59" s="1" t="s">
        <v>14604</v>
      </c>
      <c r="B59" s="1" t="s">
        <v>14605</v>
      </c>
      <c r="C59" s="1" t="s">
        <v>14606</v>
      </c>
      <c r="D59" s="1" t="s">
        <v>14607</v>
      </c>
      <c r="E59" s="1">
        <v>70</v>
      </c>
      <c r="F59" s="1" t="s">
        <v>8417</v>
      </c>
      <c r="G59" s="1" t="s">
        <v>14237</v>
      </c>
      <c r="H59" s="1" t="s">
        <v>14608</v>
      </c>
      <c r="I59" s="1" t="s">
        <v>14609</v>
      </c>
      <c r="J59" s="3" t="s">
        <v>14610</v>
      </c>
      <c r="K59" s="1" t="s">
        <v>14202</v>
      </c>
      <c r="L59" s="1"/>
    </row>
    <row r="60" spans="1:12" ht="13.8">
      <c r="A60" s="1" t="s">
        <v>14611</v>
      </c>
      <c r="B60" s="1" t="s">
        <v>14612</v>
      </c>
      <c r="C60" s="1" t="s">
        <v>14613</v>
      </c>
      <c r="D60" s="1" t="s">
        <v>14614</v>
      </c>
      <c r="E60" s="1">
        <v>30</v>
      </c>
      <c r="F60" s="1" t="s">
        <v>145</v>
      </c>
      <c r="G60" s="1" t="s">
        <v>14198</v>
      </c>
      <c r="H60" s="1" t="s">
        <v>14615</v>
      </c>
      <c r="I60" s="1" t="s">
        <v>14616</v>
      </c>
      <c r="J60" s="3" t="s">
        <v>14617</v>
      </c>
      <c r="K60" s="1" t="s">
        <v>14202</v>
      </c>
      <c r="L60" s="1"/>
    </row>
    <row r="61" spans="1:12" ht="13.8">
      <c r="A61" s="1" t="s">
        <v>14618</v>
      </c>
      <c r="B61" s="1" t="s">
        <v>14619</v>
      </c>
      <c r="C61" s="1" t="s">
        <v>14620</v>
      </c>
      <c r="D61" s="1" t="s">
        <v>14621</v>
      </c>
      <c r="E61" s="1">
        <v>55</v>
      </c>
      <c r="F61" s="1" t="s">
        <v>145</v>
      </c>
      <c r="G61" s="1" t="s">
        <v>14198</v>
      </c>
      <c r="H61" s="1" t="s">
        <v>14622</v>
      </c>
      <c r="I61" s="1" t="s">
        <v>14623</v>
      </c>
      <c r="J61" s="3" t="s">
        <v>14624</v>
      </c>
      <c r="K61" s="1" t="s">
        <v>14202</v>
      </c>
      <c r="L61" s="1"/>
    </row>
    <row r="62" spans="1:12" ht="13.8">
      <c r="A62" s="1" t="s">
        <v>14625</v>
      </c>
      <c r="B62" s="1" t="s">
        <v>14626</v>
      </c>
      <c r="C62" s="1" t="s">
        <v>14627</v>
      </c>
      <c r="D62" s="1" t="s">
        <v>14628</v>
      </c>
      <c r="E62" s="1">
        <v>25</v>
      </c>
      <c r="F62" s="1" t="s">
        <v>145</v>
      </c>
      <c r="G62" s="1" t="s">
        <v>14338</v>
      </c>
      <c r="H62" s="1" t="s">
        <v>14629</v>
      </c>
      <c r="I62" s="1" t="s">
        <v>14630</v>
      </c>
      <c r="J62" s="3" t="s">
        <v>14631</v>
      </c>
      <c r="K62" s="1" t="s">
        <v>14202</v>
      </c>
      <c r="L62" s="1"/>
    </row>
    <row r="63" spans="1:12" ht="13.8">
      <c r="A63" s="1" t="s">
        <v>14632</v>
      </c>
      <c r="B63" s="1" t="s">
        <v>14633</v>
      </c>
      <c r="C63" s="1" t="s">
        <v>14634</v>
      </c>
      <c r="D63" s="1" t="s">
        <v>14635</v>
      </c>
      <c r="E63" s="1">
        <v>50</v>
      </c>
      <c r="F63" s="1" t="s">
        <v>145</v>
      </c>
      <c r="G63" s="1" t="s">
        <v>14198</v>
      </c>
      <c r="H63" s="1" t="s">
        <v>14636</v>
      </c>
      <c r="I63" s="1" t="s">
        <v>14637</v>
      </c>
      <c r="J63" s="3" t="s">
        <v>14638</v>
      </c>
      <c r="K63" s="1" t="s">
        <v>14202</v>
      </c>
      <c r="L63" s="1"/>
    </row>
    <row r="64" spans="1:12" ht="13.8">
      <c r="A64" s="1" t="s">
        <v>14639</v>
      </c>
      <c r="B64" s="1" t="s">
        <v>14640</v>
      </c>
      <c r="C64" s="1" t="s">
        <v>14641</v>
      </c>
      <c r="D64" s="1" t="s">
        <v>14642</v>
      </c>
      <c r="E64" s="1">
        <v>35</v>
      </c>
      <c r="F64" s="1" t="s">
        <v>8417</v>
      </c>
      <c r="G64" s="1" t="s">
        <v>14198</v>
      </c>
      <c r="H64" s="1" t="s">
        <v>14643</v>
      </c>
      <c r="I64" s="1" t="s">
        <v>14644</v>
      </c>
      <c r="J64" s="3" t="s">
        <v>14645</v>
      </c>
      <c r="K64" s="1" t="s">
        <v>14202</v>
      </c>
      <c r="L64" s="1"/>
    </row>
    <row r="65" spans="1:12" ht="409.6">
      <c r="A65" s="1" t="s">
        <v>14646</v>
      </c>
      <c r="B65" s="1" t="s">
        <v>14647</v>
      </c>
      <c r="C65" s="1" t="s">
        <v>14648</v>
      </c>
      <c r="D65" s="1" t="s">
        <v>14649</v>
      </c>
      <c r="E65" s="1">
        <v>30</v>
      </c>
      <c r="F65" s="1" t="s">
        <v>145</v>
      </c>
      <c r="G65" s="1" t="s">
        <v>14198</v>
      </c>
      <c r="H65" s="4" t="s">
        <v>14650</v>
      </c>
      <c r="I65" s="1" t="s">
        <v>14651</v>
      </c>
      <c r="J65" s="3" t="s">
        <v>14652</v>
      </c>
      <c r="K65" s="1" t="s">
        <v>14202</v>
      </c>
      <c r="L65" s="1"/>
    </row>
    <row r="66" spans="1:12" ht="13.8">
      <c r="A66" s="1" t="s">
        <v>14653</v>
      </c>
      <c r="B66" s="1" t="s">
        <v>14654</v>
      </c>
      <c r="C66" s="1" t="s">
        <v>14655</v>
      </c>
      <c r="D66" s="1" t="s">
        <v>14656</v>
      </c>
      <c r="E66" s="1">
        <v>100</v>
      </c>
      <c r="F66" s="1" t="s">
        <v>14281</v>
      </c>
      <c r="G66" s="1" t="s">
        <v>14198</v>
      </c>
      <c r="H66" s="1" t="s">
        <v>14657</v>
      </c>
      <c r="I66" s="1" t="s">
        <v>14658</v>
      </c>
      <c r="J66" s="3" t="s">
        <v>14659</v>
      </c>
      <c r="K66" s="1" t="s">
        <v>14202</v>
      </c>
      <c r="L66" s="1"/>
    </row>
    <row r="67" spans="1:12" ht="13.8">
      <c r="A67" s="1" t="s">
        <v>14660</v>
      </c>
      <c r="B67" s="1" t="s">
        <v>14661</v>
      </c>
      <c r="C67" s="1" t="s">
        <v>14662</v>
      </c>
      <c r="D67" s="1" t="s">
        <v>14663</v>
      </c>
      <c r="E67" s="1">
        <v>15</v>
      </c>
      <c r="F67" s="1" t="s">
        <v>14207</v>
      </c>
      <c r="G67" s="1" t="s">
        <v>14198</v>
      </c>
      <c r="H67" s="1" t="s">
        <v>14664</v>
      </c>
      <c r="I67" s="1" t="s">
        <v>14665</v>
      </c>
      <c r="J67" s="3" t="s">
        <v>14666</v>
      </c>
      <c r="K67" s="1" t="s">
        <v>14202</v>
      </c>
      <c r="L67" s="1"/>
    </row>
    <row r="68" spans="1:12" ht="13.8">
      <c r="A68" s="1" t="s">
        <v>14667</v>
      </c>
      <c r="B68" s="1" t="s">
        <v>14668</v>
      </c>
      <c r="C68" s="1" t="s">
        <v>14669</v>
      </c>
      <c r="D68" s="1" t="s">
        <v>14670</v>
      </c>
      <c r="E68" s="1">
        <v>20</v>
      </c>
      <c r="F68" s="1" t="s">
        <v>145</v>
      </c>
      <c r="G68" s="1" t="s">
        <v>14198</v>
      </c>
      <c r="H68" s="1" t="s">
        <v>14671</v>
      </c>
      <c r="I68" s="1" t="s">
        <v>14672</v>
      </c>
      <c r="J68" s="3" t="s">
        <v>14673</v>
      </c>
      <c r="K68" s="1" t="s">
        <v>14202</v>
      </c>
      <c r="L68" s="1"/>
    </row>
    <row r="69" spans="1:12" ht="13.8">
      <c r="A69" s="1" t="s">
        <v>14674</v>
      </c>
      <c r="B69" s="1" t="s">
        <v>14675</v>
      </c>
      <c r="C69" s="1" t="s">
        <v>14676</v>
      </c>
      <c r="D69" s="1" t="s">
        <v>14677</v>
      </c>
      <c r="E69" s="1">
        <v>40</v>
      </c>
      <c r="F69" s="1" t="s">
        <v>145</v>
      </c>
      <c r="G69" s="1" t="s">
        <v>14237</v>
      </c>
      <c r="H69" s="1" t="s">
        <v>14678</v>
      </c>
      <c r="I69" s="1" t="s">
        <v>14679</v>
      </c>
      <c r="J69" s="3" t="s">
        <v>14680</v>
      </c>
      <c r="K69" s="1" t="s">
        <v>14202</v>
      </c>
      <c r="L69" s="1"/>
    </row>
    <row r="70" spans="1:12" ht="13.8">
      <c r="A70" s="1" t="s">
        <v>14681</v>
      </c>
      <c r="B70" s="1" t="s">
        <v>14682</v>
      </c>
      <c r="C70" s="1" t="s">
        <v>14683</v>
      </c>
      <c r="D70" s="1" t="s">
        <v>14684</v>
      </c>
      <c r="E70" s="1">
        <v>55</v>
      </c>
      <c r="F70" s="1" t="s">
        <v>145</v>
      </c>
      <c r="G70" s="1" t="s">
        <v>14237</v>
      </c>
      <c r="H70" s="1" t="s">
        <v>14685</v>
      </c>
      <c r="I70" s="1" t="s">
        <v>14686</v>
      </c>
      <c r="J70" s="3" t="s">
        <v>14687</v>
      </c>
      <c r="K70" s="1" t="s">
        <v>14202</v>
      </c>
      <c r="L70" s="1"/>
    </row>
    <row r="71" spans="1:12" ht="13.8">
      <c r="A71" s="1" t="s">
        <v>14688</v>
      </c>
      <c r="B71" s="1" t="s">
        <v>14689</v>
      </c>
      <c r="C71" s="1" t="s">
        <v>14690</v>
      </c>
      <c r="D71" s="1" t="s">
        <v>14691</v>
      </c>
      <c r="E71" s="1">
        <v>55</v>
      </c>
      <c r="F71" s="1" t="s">
        <v>145</v>
      </c>
      <c r="G71" s="1" t="s">
        <v>14198</v>
      </c>
      <c r="H71" s="1" t="s">
        <v>14692</v>
      </c>
      <c r="I71" s="1" t="s">
        <v>14693</v>
      </c>
      <c r="J71" s="3" t="s">
        <v>14694</v>
      </c>
      <c r="K71" s="1" t="s">
        <v>14202</v>
      </c>
      <c r="L71" s="1"/>
    </row>
    <row r="72" spans="1:12" ht="13.8">
      <c r="A72" s="1" t="s">
        <v>14695</v>
      </c>
      <c r="B72" s="1" t="s">
        <v>14696</v>
      </c>
      <c r="C72" s="1" t="s">
        <v>14697</v>
      </c>
      <c r="D72" s="1" t="s">
        <v>14698</v>
      </c>
      <c r="E72" s="1">
        <v>75</v>
      </c>
      <c r="F72" s="1" t="s">
        <v>429</v>
      </c>
      <c r="G72" s="1" t="s">
        <v>14198</v>
      </c>
      <c r="H72" s="1" t="s">
        <v>14699</v>
      </c>
      <c r="I72" s="1" t="s">
        <v>14700</v>
      </c>
      <c r="J72" s="3" t="s">
        <v>14701</v>
      </c>
      <c r="K72" s="1" t="s">
        <v>14202</v>
      </c>
      <c r="L72" s="1"/>
    </row>
    <row r="73" spans="1:12" ht="13.8">
      <c r="A73" s="1" t="s">
        <v>14702</v>
      </c>
      <c r="B73" s="1" t="s">
        <v>14703</v>
      </c>
      <c r="C73" s="1" t="s">
        <v>14704</v>
      </c>
      <c r="D73" s="1" t="s">
        <v>14705</v>
      </c>
      <c r="E73" s="1">
        <v>30</v>
      </c>
      <c r="F73" s="1" t="s">
        <v>145</v>
      </c>
      <c r="G73" s="1" t="s">
        <v>14237</v>
      </c>
      <c r="H73" s="1" t="s">
        <v>14706</v>
      </c>
      <c r="I73" s="1" t="s">
        <v>14707</v>
      </c>
      <c r="J73" s="3" t="s">
        <v>14708</v>
      </c>
      <c r="K73" s="1" t="s">
        <v>14202</v>
      </c>
      <c r="L73" s="1"/>
    </row>
    <row r="74" spans="1:12" ht="13.8">
      <c r="A74" s="1" t="s">
        <v>14709</v>
      </c>
      <c r="B74" s="1" t="s">
        <v>14710</v>
      </c>
      <c r="C74" s="1" t="s">
        <v>14711</v>
      </c>
      <c r="D74" s="1" t="s">
        <v>14712</v>
      </c>
      <c r="E74" s="1">
        <v>45</v>
      </c>
      <c r="F74" s="1" t="s">
        <v>14572</v>
      </c>
      <c r="G74" s="1" t="s">
        <v>14198</v>
      </c>
      <c r="H74" s="1" t="s">
        <v>14713</v>
      </c>
      <c r="I74" s="1" t="s">
        <v>14714</v>
      </c>
      <c r="J74" s="3" t="s">
        <v>14715</v>
      </c>
      <c r="K74" s="1" t="s">
        <v>14202</v>
      </c>
      <c r="L74" s="1"/>
    </row>
    <row r="75" spans="1:12" ht="13.8">
      <c r="A75" s="1" t="s">
        <v>14716</v>
      </c>
      <c r="B75" s="1" t="s">
        <v>14717</v>
      </c>
      <c r="C75" s="1" t="s">
        <v>14718</v>
      </c>
      <c r="D75" s="1" t="s">
        <v>14719</v>
      </c>
      <c r="E75" s="1">
        <v>45</v>
      </c>
      <c r="F75" s="1" t="s">
        <v>145</v>
      </c>
      <c r="G75" s="1" t="s">
        <v>14198</v>
      </c>
      <c r="H75" s="1" t="s">
        <v>14720</v>
      </c>
      <c r="I75" s="1" t="s">
        <v>14721</v>
      </c>
      <c r="J75" s="3" t="s">
        <v>14722</v>
      </c>
      <c r="K75" s="1" t="s">
        <v>14202</v>
      </c>
      <c r="L75" s="1"/>
    </row>
    <row r="76" spans="1:12" ht="409.6">
      <c r="A76" s="1" t="s">
        <v>14723</v>
      </c>
      <c r="B76" s="1" t="s">
        <v>14724</v>
      </c>
      <c r="C76" s="1" t="s">
        <v>14725</v>
      </c>
      <c r="D76" s="1" t="s">
        <v>14726</v>
      </c>
      <c r="E76" s="1">
        <v>70</v>
      </c>
      <c r="F76" s="1" t="s">
        <v>14281</v>
      </c>
      <c r="G76" s="1" t="s">
        <v>14237</v>
      </c>
      <c r="H76" s="4" t="s">
        <v>14727</v>
      </c>
      <c r="I76" s="1" t="s">
        <v>14728</v>
      </c>
      <c r="J76" s="3" t="s">
        <v>14729</v>
      </c>
      <c r="K76" s="1" t="s">
        <v>14202</v>
      </c>
      <c r="L76" s="1"/>
    </row>
    <row r="77" spans="1:12" ht="13.8">
      <c r="A77" s="1" t="s">
        <v>14730</v>
      </c>
      <c r="B77" s="1" t="s">
        <v>14731</v>
      </c>
      <c r="C77" s="1" t="s">
        <v>14732</v>
      </c>
      <c r="D77" s="1" t="s">
        <v>14733</v>
      </c>
      <c r="E77" s="1">
        <v>55</v>
      </c>
      <c r="F77" s="1" t="s">
        <v>145</v>
      </c>
      <c r="G77" s="1" t="s">
        <v>14198</v>
      </c>
      <c r="H77" s="1" t="s">
        <v>14734</v>
      </c>
      <c r="I77" s="1" t="s">
        <v>14735</v>
      </c>
      <c r="J77" s="3" t="s">
        <v>14736</v>
      </c>
      <c r="K77" s="1" t="s">
        <v>14202</v>
      </c>
      <c r="L77" s="1"/>
    </row>
    <row r="78" spans="1:12" ht="13.8">
      <c r="A78" s="1" t="s">
        <v>14737</v>
      </c>
      <c r="B78" s="1" t="s">
        <v>14738</v>
      </c>
      <c r="C78" s="1" t="s">
        <v>14739</v>
      </c>
      <c r="D78" s="1" t="s">
        <v>14740</v>
      </c>
      <c r="E78" s="1">
        <v>70</v>
      </c>
      <c r="F78" s="1" t="s">
        <v>8417</v>
      </c>
      <c r="G78" s="1" t="s">
        <v>14198</v>
      </c>
      <c r="H78" s="1" t="s">
        <v>14741</v>
      </c>
      <c r="I78" s="1" t="s">
        <v>14742</v>
      </c>
      <c r="J78" s="3" t="s">
        <v>14743</v>
      </c>
      <c r="K78" s="1" t="s">
        <v>14202</v>
      </c>
      <c r="L78" s="1"/>
    </row>
    <row r="79" spans="1:12" ht="13.8">
      <c r="A79" s="1" t="s">
        <v>14744</v>
      </c>
      <c r="B79" s="1" t="s">
        <v>14745</v>
      </c>
      <c r="C79" s="1" t="s">
        <v>14746</v>
      </c>
      <c r="D79" s="1" t="s">
        <v>14747</v>
      </c>
      <c r="E79" s="1">
        <v>75</v>
      </c>
      <c r="F79" s="1" t="s">
        <v>429</v>
      </c>
      <c r="G79" s="1" t="s">
        <v>14198</v>
      </c>
      <c r="H79" s="1" t="s">
        <v>14748</v>
      </c>
      <c r="I79" s="1" t="s">
        <v>14749</v>
      </c>
      <c r="J79" s="3" t="s">
        <v>14750</v>
      </c>
      <c r="K79" s="1" t="s">
        <v>14202</v>
      </c>
      <c r="L79" s="1"/>
    </row>
    <row r="80" spans="1:12" ht="13.8">
      <c r="A80" s="1" t="s">
        <v>14751</v>
      </c>
      <c r="B80" s="1" t="s">
        <v>14752</v>
      </c>
      <c r="C80" s="1" t="s">
        <v>14753</v>
      </c>
      <c r="D80" s="1" t="s">
        <v>14754</v>
      </c>
      <c r="E80" s="1">
        <v>90</v>
      </c>
      <c r="F80" s="1" t="s">
        <v>14259</v>
      </c>
      <c r="G80" s="1" t="s">
        <v>14382</v>
      </c>
      <c r="H80" s="1" t="s">
        <v>14755</v>
      </c>
      <c r="I80" s="1" t="s">
        <v>14756</v>
      </c>
      <c r="J80" s="3" t="s">
        <v>14757</v>
      </c>
      <c r="K80" s="1" t="s">
        <v>14202</v>
      </c>
      <c r="L80" s="1"/>
    </row>
    <row r="81" spans="1:12" ht="13.8">
      <c r="A81" s="1" t="s">
        <v>14758</v>
      </c>
      <c r="B81" s="1" t="s">
        <v>14759</v>
      </c>
      <c r="C81" s="1" t="s">
        <v>14760</v>
      </c>
      <c r="D81" s="1" t="s">
        <v>14761</v>
      </c>
      <c r="E81" s="1">
        <v>100</v>
      </c>
      <c r="F81" s="1" t="s">
        <v>145</v>
      </c>
      <c r="G81" s="1" t="s">
        <v>14198</v>
      </c>
      <c r="H81" s="1" t="s">
        <v>14762</v>
      </c>
      <c r="I81" s="1" t="s">
        <v>14763</v>
      </c>
      <c r="J81" s="3" t="s">
        <v>14764</v>
      </c>
      <c r="K81" s="1" t="s">
        <v>14202</v>
      </c>
      <c r="L81" s="1"/>
    </row>
    <row r="82" spans="1:12" ht="13.8">
      <c r="A82" s="1" t="s">
        <v>14765</v>
      </c>
      <c r="B82" s="1" t="s">
        <v>14766</v>
      </c>
      <c r="C82" s="1" t="s">
        <v>14767</v>
      </c>
      <c r="D82" s="1" t="s">
        <v>14768</v>
      </c>
      <c r="E82" s="1">
        <v>90</v>
      </c>
      <c r="F82" s="1" t="s">
        <v>145</v>
      </c>
      <c r="G82" s="1" t="s">
        <v>14198</v>
      </c>
      <c r="H82" s="1" t="s">
        <v>14769</v>
      </c>
      <c r="I82" s="1" t="s">
        <v>14770</v>
      </c>
      <c r="J82" s="3" t="s">
        <v>14771</v>
      </c>
      <c r="K82" s="1" t="s">
        <v>14202</v>
      </c>
      <c r="L82" s="1"/>
    </row>
    <row r="83" spans="1:12" ht="409.6">
      <c r="A83" s="1" t="s">
        <v>14772</v>
      </c>
      <c r="B83" s="1" t="s">
        <v>14773</v>
      </c>
      <c r="C83" s="1" t="s">
        <v>14774</v>
      </c>
      <c r="D83" s="1" t="s">
        <v>14775</v>
      </c>
      <c r="E83" s="1">
        <v>30</v>
      </c>
      <c r="F83" s="1" t="s">
        <v>145</v>
      </c>
      <c r="G83" s="1" t="s">
        <v>14198</v>
      </c>
      <c r="H83" s="1" t="s">
        <v>14776</v>
      </c>
      <c r="I83" s="4" t="s">
        <v>14777</v>
      </c>
      <c r="J83" s="3" t="s">
        <v>14778</v>
      </c>
      <c r="K83" s="1" t="s">
        <v>14202</v>
      </c>
      <c r="L83" s="1"/>
    </row>
    <row r="84" spans="1:12" ht="13.8">
      <c r="A84" s="1" t="s">
        <v>14779</v>
      </c>
      <c r="B84" s="1" t="s">
        <v>14780</v>
      </c>
      <c r="C84" s="1" t="s">
        <v>14781</v>
      </c>
      <c r="D84" s="1" t="s">
        <v>14782</v>
      </c>
      <c r="E84" s="1">
        <v>50</v>
      </c>
      <c r="F84" s="1" t="s">
        <v>429</v>
      </c>
      <c r="G84" s="1" t="s">
        <v>14237</v>
      </c>
      <c r="H84" s="1" t="s">
        <v>14783</v>
      </c>
      <c r="I84" s="1" t="s">
        <v>14784</v>
      </c>
      <c r="J84" s="3" t="s">
        <v>14785</v>
      </c>
      <c r="K84" s="1" t="s">
        <v>14202</v>
      </c>
      <c r="L84" s="1"/>
    </row>
    <row r="85" spans="1:12" ht="409.6">
      <c r="A85" s="1" t="s">
        <v>14786</v>
      </c>
      <c r="B85" s="1" t="s">
        <v>14787</v>
      </c>
      <c r="C85" s="1" t="s">
        <v>14788</v>
      </c>
      <c r="D85" s="1" t="s">
        <v>14789</v>
      </c>
      <c r="E85" s="1">
        <v>60</v>
      </c>
      <c r="F85" s="1" t="s">
        <v>145</v>
      </c>
      <c r="G85" s="1" t="s">
        <v>14198</v>
      </c>
      <c r="H85" s="4" t="s">
        <v>14790</v>
      </c>
      <c r="I85" s="1" t="s">
        <v>14791</v>
      </c>
      <c r="J85" s="3" t="s">
        <v>14792</v>
      </c>
      <c r="K85" s="1" t="s">
        <v>14202</v>
      </c>
      <c r="L85" s="1"/>
    </row>
    <row r="86" spans="1:12" ht="409.6">
      <c r="A86" s="1" t="s">
        <v>14793</v>
      </c>
      <c r="B86" s="1" t="s">
        <v>14794</v>
      </c>
      <c r="C86" s="1" t="s">
        <v>14795</v>
      </c>
      <c r="D86" s="1" t="s">
        <v>14796</v>
      </c>
      <c r="E86" s="1">
        <v>80</v>
      </c>
      <c r="F86" s="1" t="s">
        <v>14207</v>
      </c>
      <c r="G86" s="1" t="s">
        <v>14198</v>
      </c>
      <c r="H86" s="4" t="s">
        <v>14797</v>
      </c>
      <c r="I86" s="1" t="s">
        <v>14798</v>
      </c>
      <c r="J86" s="3" t="s">
        <v>14799</v>
      </c>
      <c r="K86" s="1" t="s">
        <v>14202</v>
      </c>
      <c r="L86" s="1"/>
    </row>
    <row r="87" spans="1:12" ht="13.8">
      <c r="A87" s="1" t="s">
        <v>14800</v>
      </c>
      <c r="B87" s="1" t="s">
        <v>14801</v>
      </c>
      <c r="C87" s="1" t="s">
        <v>14802</v>
      </c>
      <c r="D87" s="1" t="s">
        <v>14803</v>
      </c>
      <c r="E87" s="1">
        <v>35</v>
      </c>
      <c r="F87" s="1" t="s">
        <v>145</v>
      </c>
      <c r="G87" s="1" t="s">
        <v>14198</v>
      </c>
      <c r="H87" s="1" t="s">
        <v>14804</v>
      </c>
      <c r="I87" s="1" t="s">
        <v>14805</v>
      </c>
      <c r="J87" s="3" t="s">
        <v>14806</v>
      </c>
      <c r="K87" s="1" t="s">
        <v>14202</v>
      </c>
      <c r="L87" s="1"/>
    </row>
    <row r="88" spans="1:12" ht="409.6">
      <c r="A88" s="1" t="s">
        <v>14807</v>
      </c>
      <c r="B88" s="1" t="s">
        <v>14808</v>
      </c>
      <c r="C88" s="1" t="s">
        <v>14809</v>
      </c>
      <c r="D88" s="1" t="s">
        <v>14810</v>
      </c>
      <c r="E88" s="1">
        <v>30</v>
      </c>
      <c r="F88" s="1" t="s">
        <v>14207</v>
      </c>
      <c r="G88" s="1" t="s">
        <v>14198</v>
      </c>
      <c r="H88" s="1" t="s">
        <v>14811</v>
      </c>
      <c r="I88" s="4" t="s">
        <v>14812</v>
      </c>
      <c r="J88" s="3" t="s">
        <v>14813</v>
      </c>
      <c r="K88" s="1" t="s">
        <v>14202</v>
      </c>
      <c r="L88" s="1"/>
    </row>
    <row r="89" spans="1:12" ht="13.8">
      <c r="A89" s="1" t="s">
        <v>14814</v>
      </c>
      <c r="B89" s="1" t="s">
        <v>14815</v>
      </c>
      <c r="C89" s="1" t="s">
        <v>14816</v>
      </c>
      <c r="D89" s="1" t="s">
        <v>14817</v>
      </c>
      <c r="E89" s="1">
        <v>55</v>
      </c>
      <c r="F89" s="1" t="s">
        <v>145</v>
      </c>
      <c r="G89" s="1" t="s">
        <v>14198</v>
      </c>
      <c r="H89" s="1" t="s">
        <v>14818</v>
      </c>
      <c r="I89" s="1" t="s">
        <v>14819</v>
      </c>
      <c r="J89" s="3" t="s">
        <v>14820</v>
      </c>
      <c r="K89" s="1" t="s">
        <v>14202</v>
      </c>
      <c r="L89" s="1"/>
    </row>
    <row r="90" spans="1:12" ht="13.8">
      <c r="A90" s="1" t="s">
        <v>14821</v>
      </c>
      <c r="B90" s="1" t="s">
        <v>14822</v>
      </c>
      <c r="C90" s="1" t="s">
        <v>14823</v>
      </c>
      <c r="D90" s="1" t="s">
        <v>14824</v>
      </c>
      <c r="E90" s="1">
        <v>25</v>
      </c>
      <c r="F90" s="1" t="s">
        <v>14207</v>
      </c>
      <c r="G90" s="1" t="s">
        <v>14237</v>
      </c>
      <c r="H90" s="1" t="s">
        <v>14825</v>
      </c>
      <c r="I90" s="1" t="s">
        <v>14826</v>
      </c>
      <c r="J90" s="3" t="s">
        <v>14827</v>
      </c>
      <c r="K90" s="1" t="s">
        <v>14202</v>
      </c>
      <c r="L90" s="1"/>
    </row>
    <row r="91" spans="1:12" ht="409.6">
      <c r="A91" s="1" t="s">
        <v>14828</v>
      </c>
      <c r="B91" s="1" t="s">
        <v>14829</v>
      </c>
      <c r="C91" s="1" t="s">
        <v>14830</v>
      </c>
      <c r="D91" s="1" t="s">
        <v>14831</v>
      </c>
      <c r="E91" s="1">
        <v>40</v>
      </c>
      <c r="F91" s="1" t="s">
        <v>429</v>
      </c>
      <c r="G91" s="1" t="s">
        <v>14198</v>
      </c>
      <c r="H91" s="4" t="s">
        <v>14832</v>
      </c>
      <c r="I91" s="1" t="s">
        <v>14833</v>
      </c>
      <c r="J91" s="3" t="s">
        <v>14834</v>
      </c>
      <c r="K91" s="1" t="s">
        <v>14202</v>
      </c>
      <c r="L91" s="1"/>
    </row>
    <row r="92" spans="1:12" ht="13.8">
      <c r="A92" s="1" t="s">
        <v>14835</v>
      </c>
      <c r="B92" s="1" t="s">
        <v>14836</v>
      </c>
      <c r="C92" s="1" t="s">
        <v>14837</v>
      </c>
      <c r="D92" s="1" t="s">
        <v>14838</v>
      </c>
      <c r="E92" s="1">
        <v>40</v>
      </c>
      <c r="F92" s="1" t="s">
        <v>145</v>
      </c>
      <c r="G92" s="1" t="s">
        <v>14198</v>
      </c>
      <c r="H92" s="1" t="s">
        <v>14839</v>
      </c>
      <c r="I92" s="1" t="s">
        <v>14840</v>
      </c>
      <c r="J92" s="3" t="s">
        <v>14841</v>
      </c>
      <c r="K92" s="1" t="s">
        <v>14202</v>
      </c>
      <c r="L92" s="1"/>
    </row>
    <row r="93" spans="1:12" ht="13.8">
      <c r="A93" s="1" t="s">
        <v>14842</v>
      </c>
      <c r="B93" s="1" t="s">
        <v>14843</v>
      </c>
      <c r="C93" s="1" t="s">
        <v>14844</v>
      </c>
      <c r="D93" s="1" t="s">
        <v>14845</v>
      </c>
      <c r="E93" s="1">
        <v>30</v>
      </c>
      <c r="F93" s="1" t="s">
        <v>145</v>
      </c>
      <c r="G93" s="1" t="s">
        <v>14198</v>
      </c>
      <c r="H93" s="1" t="s">
        <v>14846</v>
      </c>
      <c r="I93" s="1" t="s">
        <v>14847</v>
      </c>
      <c r="J93" s="3" t="s">
        <v>14848</v>
      </c>
      <c r="K93" s="1" t="s">
        <v>14202</v>
      </c>
      <c r="L93" s="1"/>
    </row>
    <row r="94" spans="1:12" ht="13.8">
      <c r="A94" s="1" t="s">
        <v>14849</v>
      </c>
      <c r="B94" s="1" t="s">
        <v>14850</v>
      </c>
      <c r="C94" s="1" t="s">
        <v>14851</v>
      </c>
      <c r="D94" s="1" t="s">
        <v>14852</v>
      </c>
      <c r="E94" s="1">
        <v>40</v>
      </c>
      <c r="F94" s="1" t="s">
        <v>145</v>
      </c>
      <c r="G94" s="1" t="s">
        <v>14237</v>
      </c>
      <c r="H94" s="1" t="s">
        <v>14853</v>
      </c>
      <c r="I94" s="1" t="s">
        <v>14854</v>
      </c>
      <c r="J94" s="3" t="s">
        <v>14855</v>
      </c>
      <c r="K94" s="1" t="s">
        <v>14202</v>
      </c>
      <c r="L94" s="1"/>
    </row>
    <row r="95" spans="1:12" ht="13.8">
      <c r="A95" s="1" t="s">
        <v>14856</v>
      </c>
      <c r="B95" s="1" t="s">
        <v>14857</v>
      </c>
      <c r="C95" s="1" t="s">
        <v>14858</v>
      </c>
      <c r="D95" s="1" t="s">
        <v>14859</v>
      </c>
      <c r="E95" s="1">
        <v>70</v>
      </c>
      <c r="F95" s="1" t="s">
        <v>145</v>
      </c>
      <c r="G95" s="1" t="s">
        <v>14198</v>
      </c>
      <c r="H95" s="1" t="s">
        <v>14860</v>
      </c>
      <c r="I95" s="1" t="s">
        <v>14861</v>
      </c>
      <c r="J95" s="3" t="s">
        <v>14862</v>
      </c>
      <c r="K95" s="1" t="s">
        <v>14202</v>
      </c>
      <c r="L95" s="1"/>
    </row>
    <row r="96" spans="1:12" ht="13.8">
      <c r="A96" s="1" t="s">
        <v>14863</v>
      </c>
      <c r="B96" s="1" t="s">
        <v>14864</v>
      </c>
      <c r="C96" s="1" t="s">
        <v>14865</v>
      </c>
      <c r="D96" s="1" t="s">
        <v>14866</v>
      </c>
      <c r="E96" s="1">
        <v>30</v>
      </c>
      <c r="F96" s="1" t="s">
        <v>14259</v>
      </c>
      <c r="G96" s="1" t="s">
        <v>14198</v>
      </c>
      <c r="H96" s="1" t="s">
        <v>14867</v>
      </c>
      <c r="I96" s="1" t="s">
        <v>14868</v>
      </c>
      <c r="J96" s="3" t="s">
        <v>14869</v>
      </c>
      <c r="K96" s="1" t="s">
        <v>14202</v>
      </c>
      <c r="L96" s="1"/>
    </row>
    <row r="97" spans="1:12" ht="409.6">
      <c r="A97" s="1" t="s">
        <v>14870</v>
      </c>
      <c r="B97" s="1" t="s">
        <v>14871</v>
      </c>
      <c r="C97" s="1" t="s">
        <v>14872</v>
      </c>
      <c r="D97" s="1" t="s">
        <v>14873</v>
      </c>
      <c r="E97" s="1">
        <v>18</v>
      </c>
      <c r="F97" s="1" t="s">
        <v>14207</v>
      </c>
      <c r="G97" s="1" t="s">
        <v>14198</v>
      </c>
      <c r="H97" s="4" t="s">
        <v>14874</v>
      </c>
      <c r="I97" s="1" t="s">
        <v>14875</v>
      </c>
      <c r="J97" s="3" t="s">
        <v>14876</v>
      </c>
      <c r="K97" s="1" t="s">
        <v>14202</v>
      </c>
      <c r="L97" s="1"/>
    </row>
    <row r="98" spans="1:12" ht="13.8">
      <c r="A98" s="1" t="s">
        <v>14877</v>
      </c>
      <c r="B98" s="1" t="s">
        <v>14878</v>
      </c>
      <c r="C98" s="1" t="s">
        <v>14879</v>
      </c>
      <c r="D98" s="1" t="s">
        <v>14880</v>
      </c>
      <c r="E98" s="1">
        <v>150</v>
      </c>
      <c r="F98" s="1" t="s">
        <v>14207</v>
      </c>
      <c r="G98" s="1" t="s">
        <v>14198</v>
      </c>
      <c r="H98" s="1" t="s">
        <v>14881</v>
      </c>
      <c r="I98" s="1" t="s">
        <v>14882</v>
      </c>
      <c r="J98" s="3" t="s">
        <v>14883</v>
      </c>
      <c r="K98" s="1" t="s">
        <v>14202</v>
      </c>
      <c r="L98" s="1"/>
    </row>
    <row r="99" spans="1:12" ht="13.8">
      <c r="A99" s="1" t="s">
        <v>14884</v>
      </c>
      <c r="B99" s="1" t="s">
        <v>14885</v>
      </c>
      <c r="C99" s="1" t="s">
        <v>14886</v>
      </c>
      <c r="D99" s="1" t="s">
        <v>14887</v>
      </c>
      <c r="E99" s="1">
        <v>30</v>
      </c>
      <c r="F99" s="1" t="s">
        <v>14207</v>
      </c>
      <c r="G99" s="1" t="s">
        <v>14338</v>
      </c>
      <c r="H99" s="1" t="s">
        <v>14888</v>
      </c>
      <c r="I99" s="1" t="s">
        <v>14889</v>
      </c>
      <c r="J99" s="3" t="s">
        <v>14890</v>
      </c>
      <c r="K99" s="1" t="s">
        <v>14202</v>
      </c>
      <c r="L99" s="1"/>
    </row>
    <row r="100" spans="1:12" ht="13.8">
      <c r="A100" s="1" t="s">
        <v>14891</v>
      </c>
      <c r="B100" s="1" t="s">
        <v>14892</v>
      </c>
      <c r="C100" s="1" t="s">
        <v>14893</v>
      </c>
      <c r="D100" s="1" t="s">
        <v>14894</v>
      </c>
      <c r="E100" s="1">
        <v>55</v>
      </c>
      <c r="F100" s="1" t="s">
        <v>145</v>
      </c>
      <c r="G100" s="1" t="s">
        <v>14198</v>
      </c>
      <c r="H100" s="1" t="s">
        <v>14895</v>
      </c>
      <c r="I100" s="1" t="s">
        <v>14896</v>
      </c>
      <c r="J100" s="3" t="s">
        <v>14897</v>
      </c>
      <c r="K100" s="1" t="s">
        <v>14202</v>
      </c>
      <c r="L100" s="1"/>
    </row>
    <row r="101" spans="1:12" ht="13.8">
      <c r="A101" s="1" t="s">
        <v>14898</v>
      </c>
      <c r="B101" s="1" t="s">
        <v>14899</v>
      </c>
      <c r="C101" s="1" t="s">
        <v>14900</v>
      </c>
      <c r="D101" s="1" t="s">
        <v>14901</v>
      </c>
      <c r="E101" s="1">
        <v>60</v>
      </c>
      <c r="F101" s="1" t="s">
        <v>145</v>
      </c>
      <c r="G101" s="1" t="s">
        <v>14198</v>
      </c>
      <c r="H101" s="1" t="s">
        <v>14902</v>
      </c>
      <c r="I101" s="1" t="s">
        <v>14903</v>
      </c>
      <c r="J101" s="3" t="s">
        <v>14904</v>
      </c>
      <c r="K101" s="1" t="s">
        <v>14202</v>
      </c>
      <c r="L101" s="1"/>
    </row>
    <row r="102" spans="1:12" ht="13.8">
      <c r="A102" s="1" t="s">
        <v>14905</v>
      </c>
      <c r="B102" s="1" t="s">
        <v>14906</v>
      </c>
      <c r="C102" s="1" t="s">
        <v>14907</v>
      </c>
      <c r="D102" s="1" t="s">
        <v>14908</v>
      </c>
      <c r="E102" s="1">
        <v>45</v>
      </c>
      <c r="F102" s="1" t="s">
        <v>145</v>
      </c>
      <c r="G102" s="1" t="s">
        <v>14198</v>
      </c>
      <c r="H102" s="1" t="s">
        <v>14909</v>
      </c>
      <c r="I102" s="1" t="s">
        <v>14910</v>
      </c>
      <c r="J102" s="3" t="s">
        <v>14911</v>
      </c>
      <c r="K102" s="1" t="s">
        <v>14202</v>
      </c>
      <c r="L102" s="1"/>
    </row>
    <row r="103" spans="1:12" ht="13.8">
      <c r="A103" s="1" t="s">
        <v>14912</v>
      </c>
      <c r="B103" s="1" t="s">
        <v>14913</v>
      </c>
      <c r="C103" s="1" t="s">
        <v>14914</v>
      </c>
      <c r="D103" s="1" t="s">
        <v>14915</v>
      </c>
      <c r="E103" s="1">
        <v>45</v>
      </c>
      <c r="F103" s="1" t="s">
        <v>429</v>
      </c>
      <c r="G103" s="1" t="s">
        <v>14198</v>
      </c>
      <c r="H103" s="1" t="s">
        <v>14916</v>
      </c>
      <c r="I103" s="1" t="s">
        <v>14917</v>
      </c>
      <c r="J103" s="3" t="s">
        <v>14918</v>
      </c>
      <c r="K103" s="1" t="s">
        <v>14202</v>
      </c>
      <c r="L103" s="1"/>
    </row>
    <row r="104" spans="1:12" ht="409.6">
      <c r="A104" s="1" t="s">
        <v>14919</v>
      </c>
      <c r="B104" s="1" t="s">
        <v>14920</v>
      </c>
      <c r="C104" s="1" t="s">
        <v>14921</v>
      </c>
      <c r="D104" s="1" t="s">
        <v>14922</v>
      </c>
      <c r="E104" s="1">
        <v>30</v>
      </c>
      <c r="F104" s="1" t="s">
        <v>145</v>
      </c>
      <c r="G104" s="1" t="s">
        <v>14198</v>
      </c>
      <c r="H104" s="1" t="s">
        <v>14923</v>
      </c>
      <c r="I104" s="4" t="s">
        <v>14924</v>
      </c>
      <c r="J104" s="3" t="s">
        <v>14925</v>
      </c>
      <c r="K104" s="1" t="s">
        <v>14202</v>
      </c>
      <c r="L104" s="1"/>
    </row>
    <row r="105" spans="1:12" ht="13.8">
      <c r="A105" s="1" t="s">
        <v>14926</v>
      </c>
      <c r="B105" s="1" t="s">
        <v>14927</v>
      </c>
      <c r="C105" s="1" t="s">
        <v>14928</v>
      </c>
      <c r="D105" s="1" t="s">
        <v>14929</v>
      </c>
      <c r="E105" s="1">
        <v>55</v>
      </c>
      <c r="F105" s="1" t="s">
        <v>145</v>
      </c>
      <c r="G105" s="1" t="s">
        <v>14198</v>
      </c>
      <c r="H105" s="1" t="s">
        <v>14930</v>
      </c>
      <c r="I105" s="1" t="s">
        <v>14931</v>
      </c>
      <c r="J105" s="3" t="s">
        <v>14932</v>
      </c>
      <c r="K105" s="1" t="s">
        <v>14202</v>
      </c>
      <c r="L105" s="1"/>
    </row>
    <row r="106" spans="1:12" ht="13.8">
      <c r="A106" s="1" t="s">
        <v>14933</v>
      </c>
      <c r="B106" s="1" t="s">
        <v>14934</v>
      </c>
      <c r="C106" s="1" t="s">
        <v>14935</v>
      </c>
      <c r="D106" s="1" t="s">
        <v>14936</v>
      </c>
      <c r="E106" s="1">
        <v>22</v>
      </c>
      <c r="F106" s="1" t="s">
        <v>14207</v>
      </c>
      <c r="G106" s="1" t="s">
        <v>14198</v>
      </c>
      <c r="H106" s="1" t="s">
        <v>14937</v>
      </c>
      <c r="I106" s="1" t="s">
        <v>14938</v>
      </c>
      <c r="J106" s="3" t="s">
        <v>14939</v>
      </c>
      <c r="K106" s="1" t="s">
        <v>14202</v>
      </c>
      <c r="L106" s="1"/>
    </row>
    <row r="107" spans="1:12" ht="409.6">
      <c r="A107" s="1" t="s">
        <v>14940</v>
      </c>
      <c r="B107" s="1" t="s">
        <v>14941</v>
      </c>
      <c r="C107" s="1" t="s">
        <v>14942</v>
      </c>
      <c r="D107" s="1" t="s">
        <v>14943</v>
      </c>
      <c r="E107" s="1">
        <v>80</v>
      </c>
      <c r="F107" s="1" t="s">
        <v>145</v>
      </c>
      <c r="G107" s="1" t="s">
        <v>14198</v>
      </c>
      <c r="H107" s="4" t="s">
        <v>14944</v>
      </c>
      <c r="I107" s="1" t="s">
        <v>14945</v>
      </c>
      <c r="J107" s="3" t="s">
        <v>14946</v>
      </c>
      <c r="K107" s="1" t="s">
        <v>14202</v>
      </c>
      <c r="L107" s="1"/>
    </row>
    <row r="108" spans="1:12" ht="409.6">
      <c r="A108" s="1" t="s">
        <v>14947</v>
      </c>
      <c r="B108" s="1" t="s">
        <v>14948</v>
      </c>
      <c r="C108" s="1" t="s">
        <v>14949</v>
      </c>
      <c r="D108" s="1" t="s">
        <v>14950</v>
      </c>
      <c r="E108" s="1">
        <v>25</v>
      </c>
      <c r="F108" s="1" t="s">
        <v>14207</v>
      </c>
      <c r="G108" s="1" t="s">
        <v>14198</v>
      </c>
      <c r="H108" s="4" t="s">
        <v>14951</v>
      </c>
      <c r="I108" s="1" t="s">
        <v>14952</v>
      </c>
      <c r="J108" s="3" t="s">
        <v>14953</v>
      </c>
      <c r="K108" s="1" t="s">
        <v>14202</v>
      </c>
      <c r="L108" s="1"/>
    </row>
    <row r="109" spans="1:12" ht="13.8">
      <c r="A109" s="1" t="s">
        <v>14954</v>
      </c>
      <c r="B109" s="1" t="s">
        <v>14955</v>
      </c>
      <c r="C109" s="1" t="s">
        <v>14956</v>
      </c>
      <c r="D109" s="1" t="s">
        <v>14957</v>
      </c>
      <c r="E109" s="1">
        <v>55</v>
      </c>
      <c r="F109" s="1" t="s">
        <v>145</v>
      </c>
      <c r="G109" s="1" t="s">
        <v>14198</v>
      </c>
      <c r="H109" s="1" t="s">
        <v>14958</v>
      </c>
      <c r="I109" s="1" t="s">
        <v>14959</v>
      </c>
      <c r="J109" s="3" t="s">
        <v>14960</v>
      </c>
      <c r="K109" s="1" t="s">
        <v>14202</v>
      </c>
      <c r="L109" s="1"/>
    </row>
    <row r="110" spans="1:12" ht="409.6">
      <c r="A110" s="1" t="s">
        <v>14961</v>
      </c>
      <c r="B110" s="1" t="s">
        <v>14962</v>
      </c>
      <c r="C110" s="1" t="s">
        <v>14963</v>
      </c>
      <c r="D110" s="1" t="s">
        <v>14964</v>
      </c>
      <c r="E110" s="1">
        <v>35</v>
      </c>
      <c r="F110" s="1" t="s">
        <v>145</v>
      </c>
      <c r="G110" s="1" t="s">
        <v>14338</v>
      </c>
      <c r="H110" s="4" t="s">
        <v>14965</v>
      </c>
      <c r="I110" s="1" t="s">
        <v>14966</v>
      </c>
      <c r="J110" s="3" t="s">
        <v>14967</v>
      </c>
      <c r="K110" s="1" t="s">
        <v>14202</v>
      </c>
      <c r="L110" s="1"/>
    </row>
    <row r="111" spans="1:12" ht="409.6">
      <c r="A111" s="1" t="s">
        <v>14968</v>
      </c>
      <c r="B111" s="1" t="s">
        <v>14969</v>
      </c>
      <c r="C111" s="1" t="s">
        <v>14970</v>
      </c>
      <c r="D111" s="1" t="s">
        <v>14971</v>
      </c>
      <c r="E111" s="1">
        <v>50</v>
      </c>
      <c r="F111" s="1" t="s">
        <v>145</v>
      </c>
      <c r="G111" s="1" t="s">
        <v>14198</v>
      </c>
      <c r="H111" s="4" t="s">
        <v>14972</v>
      </c>
      <c r="I111" s="1" t="s">
        <v>14973</v>
      </c>
      <c r="J111" s="3" t="s">
        <v>14974</v>
      </c>
      <c r="K111" s="1" t="s">
        <v>14202</v>
      </c>
      <c r="L111" s="1"/>
    </row>
    <row r="112" spans="1:12" ht="13.8">
      <c r="A112" s="1" t="s">
        <v>14975</v>
      </c>
      <c r="B112" s="1" t="s">
        <v>14976</v>
      </c>
      <c r="C112" s="1" t="s">
        <v>14977</v>
      </c>
      <c r="D112" s="1" t="s">
        <v>14978</v>
      </c>
      <c r="E112" s="1">
        <v>40</v>
      </c>
      <c r="F112" s="1" t="s">
        <v>14207</v>
      </c>
      <c r="G112" s="1" t="s">
        <v>14198</v>
      </c>
      <c r="H112" s="1" t="s">
        <v>14979</v>
      </c>
      <c r="I112" s="1" t="s">
        <v>14980</v>
      </c>
      <c r="J112" s="3" t="s">
        <v>14981</v>
      </c>
      <c r="K112" s="1" t="s">
        <v>14202</v>
      </c>
      <c r="L112" s="1"/>
    </row>
    <row r="113" spans="1:12" ht="13.8">
      <c r="A113" s="1" t="s">
        <v>14982</v>
      </c>
      <c r="B113" s="1" t="s">
        <v>14983</v>
      </c>
      <c r="C113" s="1" t="s">
        <v>14984</v>
      </c>
      <c r="D113" s="1" t="s">
        <v>14985</v>
      </c>
      <c r="E113" s="1">
        <v>25</v>
      </c>
      <c r="F113" s="1" t="s">
        <v>14207</v>
      </c>
      <c r="G113" s="1" t="s">
        <v>14237</v>
      </c>
      <c r="H113" s="1" t="s">
        <v>14986</v>
      </c>
      <c r="I113" s="1" t="s">
        <v>14987</v>
      </c>
      <c r="J113" s="3" t="s">
        <v>14988</v>
      </c>
      <c r="K113" s="1" t="s">
        <v>14202</v>
      </c>
      <c r="L113" s="1"/>
    </row>
    <row r="114" spans="1:12" ht="13.8">
      <c r="A114" s="1" t="s">
        <v>14989</v>
      </c>
      <c r="B114" s="1" t="s">
        <v>14990</v>
      </c>
      <c r="C114" s="1" t="s">
        <v>14991</v>
      </c>
      <c r="D114" s="1" t="s">
        <v>14992</v>
      </c>
      <c r="E114" s="1">
        <v>25</v>
      </c>
      <c r="F114" s="1" t="s">
        <v>14281</v>
      </c>
      <c r="G114" s="1" t="s">
        <v>14198</v>
      </c>
      <c r="H114" s="1" t="s">
        <v>14993</v>
      </c>
      <c r="I114" s="1" t="s">
        <v>14994</v>
      </c>
      <c r="J114" s="3" t="s">
        <v>14995</v>
      </c>
      <c r="K114" s="1" t="s">
        <v>14202</v>
      </c>
      <c r="L114" s="1"/>
    </row>
    <row r="115" spans="1:12" ht="409.6">
      <c r="A115" s="1" t="s">
        <v>14996</v>
      </c>
      <c r="B115" s="1" t="s">
        <v>14997</v>
      </c>
      <c r="C115" s="1" t="s">
        <v>14998</v>
      </c>
      <c r="D115" s="1" t="s">
        <v>14999</v>
      </c>
      <c r="E115" s="1">
        <v>30</v>
      </c>
      <c r="F115" s="1" t="s">
        <v>145</v>
      </c>
      <c r="G115" s="1" t="s">
        <v>14198</v>
      </c>
      <c r="H115" s="4" t="s">
        <v>15000</v>
      </c>
      <c r="I115" s="1" t="s">
        <v>15001</v>
      </c>
      <c r="J115" s="3" t="s">
        <v>15002</v>
      </c>
      <c r="K115" s="1" t="s">
        <v>14202</v>
      </c>
      <c r="L115" s="1"/>
    </row>
    <row r="116" spans="1:12" ht="409.6">
      <c r="A116" s="1" t="s">
        <v>15003</v>
      </c>
      <c r="B116" s="1" t="s">
        <v>15004</v>
      </c>
      <c r="C116" s="1" t="s">
        <v>15005</v>
      </c>
      <c r="D116" s="1" t="s">
        <v>15006</v>
      </c>
      <c r="E116" s="1">
        <v>55</v>
      </c>
      <c r="F116" s="1" t="s">
        <v>8417</v>
      </c>
      <c r="G116" s="1" t="s">
        <v>14198</v>
      </c>
      <c r="H116" s="4" t="s">
        <v>15007</v>
      </c>
      <c r="I116" s="1" t="s">
        <v>15008</v>
      </c>
      <c r="J116" s="3" t="s">
        <v>15009</v>
      </c>
      <c r="K116" s="1" t="s">
        <v>14202</v>
      </c>
      <c r="L116" s="1"/>
    </row>
    <row r="117" spans="1:12" ht="409.6">
      <c r="A117" s="1" t="s">
        <v>15010</v>
      </c>
      <c r="B117" s="1" t="s">
        <v>15011</v>
      </c>
      <c r="C117" s="1" t="s">
        <v>15012</v>
      </c>
      <c r="D117" s="1" t="s">
        <v>15013</v>
      </c>
      <c r="E117" s="1">
        <v>25</v>
      </c>
      <c r="F117" s="1" t="s">
        <v>14207</v>
      </c>
      <c r="G117" s="1" t="s">
        <v>14198</v>
      </c>
      <c r="H117" s="4" t="s">
        <v>15014</v>
      </c>
      <c r="I117" s="1" t="s">
        <v>15015</v>
      </c>
      <c r="J117" s="3" t="s">
        <v>15016</v>
      </c>
      <c r="K117" s="1" t="s">
        <v>14202</v>
      </c>
      <c r="L117" s="1"/>
    </row>
    <row r="118" spans="1:12" ht="409.6">
      <c r="A118" s="1" t="s">
        <v>15017</v>
      </c>
      <c r="B118" s="1" t="s">
        <v>15018</v>
      </c>
      <c r="C118" s="1" t="s">
        <v>15019</v>
      </c>
      <c r="D118" s="1" t="s">
        <v>15020</v>
      </c>
      <c r="E118" s="1">
        <v>55</v>
      </c>
      <c r="F118" s="1" t="s">
        <v>145</v>
      </c>
      <c r="G118" s="1" t="s">
        <v>14198</v>
      </c>
      <c r="H118" s="4" t="s">
        <v>15021</v>
      </c>
      <c r="I118" s="1" t="s">
        <v>15022</v>
      </c>
      <c r="J118" s="3" t="s">
        <v>15023</v>
      </c>
      <c r="K118" s="1" t="s">
        <v>14202</v>
      </c>
      <c r="L118" s="1"/>
    </row>
    <row r="119" spans="1:12" ht="409.6">
      <c r="A119" s="1" t="s">
        <v>15024</v>
      </c>
      <c r="B119" s="1" t="s">
        <v>15025</v>
      </c>
      <c r="C119" s="1" t="s">
        <v>15026</v>
      </c>
      <c r="D119" s="1" t="s">
        <v>15027</v>
      </c>
      <c r="E119" s="1">
        <v>55</v>
      </c>
      <c r="F119" s="1" t="s">
        <v>145</v>
      </c>
      <c r="G119" s="1" t="s">
        <v>14198</v>
      </c>
      <c r="H119" s="4" t="s">
        <v>15028</v>
      </c>
      <c r="I119" s="1" t="s">
        <v>15029</v>
      </c>
      <c r="J119" s="3" t="s">
        <v>15030</v>
      </c>
      <c r="K119" s="1" t="s">
        <v>14202</v>
      </c>
      <c r="L119" s="1"/>
    </row>
    <row r="120" spans="1:12" ht="13.8">
      <c r="A120" s="1" t="s">
        <v>15031</v>
      </c>
      <c r="B120" s="1" t="s">
        <v>15032</v>
      </c>
      <c r="C120" s="1" t="s">
        <v>15033</v>
      </c>
      <c r="D120" s="1" t="s">
        <v>15034</v>
      </c>
      <c r="E120" s="1">
        <v>0</v>
      </c>
      <c r="F120" s="1" t="s">
        <v>145</v>
      </c>
      <c r="G120" s="1" t="s">
        <v>14338</v>
      </c>
      <c r="H120" s="1" t="s">
        <v>15035</v>
      </c>
      <c r="I120" s="1" t="s">
        <v>15036</v>
      </c>
      <c r="J120" s="3" t="s">
        <v>15037</v>
      </c>
      <c r="K120" s="1" t="s">
        <v>14202</v>
      </c>
      <c r="L120" s="1"/>
    </row>
    <row r="121" spans="1:12" ht="409.6">
      <c r="A121" s="1" t="s">
        <v>15038</v>
      </c>
      <c r="B121" s="1" t="s">
        <v>15039</v>
      </c>
      <c r="C121" s="1" t="s">
        <v>15040</v>
      </c>
      <c r="D121" s="1" t="s">
        <v>15041</v>
      </c>
      <c r="E121" s="1">
        <v>90</v>
      </c>
      <c r="F121" s="1" t="s">
        <v>145</v>
      </c>
      <c r="G121" s="1" t="s">
        <v>14198</v>
      </c>
      <c r="H121" s="1" t="s">
        <v>15042</v>
      </c>
      <c r="I121" s="4" t="s">
        <v>15043</v>
      </c>
      <c r="J121" s="3" t="s">
        <v>15044</v>
      </c>
      <c r="K121" s="1" t="s">
        <v>14202</v>
      </c>
      <c r="L121" s="1"/>
    </row>
    <row r="122" spans="1:12" ht="13.8">
      <c r="A122" s="1" t="s">
        <v>15045</v>
      </c>
      <c r="B122" s="1" t="s">
        <v>15046</v>
      </c>
      <c r="C122" s="1" t="s">
        <v>15047</v>
      </c>
      <c r="D122" s="1" t="s">
        <v>15048</v>
      </c>
      <c r="E122" s="1">
        <v>40</v>
      </c>
      <c r="F122" s="1" t="s">
        <v>145</v>
      </c>
      <c r="G122" s="1" t="s">
        <v>14198</v>
      </c>
      <c r="H122" s="1" t="s">
        <v>15049</v>
      </c>
      <c r="I122" s="1" t="s">
        <v>15050</v>
      </c>
      <c r="J122" s="3" t="s">
        <v>15051</v>
      </c>
      <c r="K122" s="1" t="s">
        <v>14202</v>
      </c>
      <c r="L122" s="1"/>
    </row>
    <row r="123" spans="1:12" ht="409.6">
      <c r="A123" s="1" t="s">
        <v>15052</v>
      </c>
      <c r="B123" s="1" t="s">
        <v>15053</v>
      </c>
      <c r="C123" s="1" t="s">
        <v>15054</v>
      </c>
      <c r="D123" s="1" t="s">
        <v>15055</v>
      </c>
      <c r="E123" s="1">
        <v>25</v>
      </c>
      <c r="F123" s="1" t="s">
        <v>145</v>
      </c>
      <c r="G123" s="1" t="s">
        <v>14198</v>
      </c>
      <c r="H123" s="1" t="s">
        <v>15056</v>
      </c>
      <c r="I123" s="4" t="s">
        <v>15057</v>
      </c>
      <c r="J123" s="3" t="s">
        <v>15058</v>
      </c>
      <c r="K123" s="1" t="s">
        <v>14202</v>
      </c>
      <c r="L123" s="1"/>
    </row>
    <row r="124" spans="1:12" ht="13.8">
      <c r="A124" s="1" t="s">
        <v>15059</v>
      </c>
      <c r="B124" s="1" t="s">
        <v>15060</v>
      </c>
      <c r="C124" s="1" t="s">
        <v>15061</v>
      </c>
      <c r="D124" s="1" t="s">
        <v>15062</v>
      </c>
      <c r="E124" s="1">
        <v>40</v>
      </c>
      <c r="F124" s="1" t="s">
        <v>14207</v>
      </c>
      <c r="G124" s="1" t="s">
        <v>14198</v>
      </c>
      <c r="H124" s="1" t="s">
        <v>15063</v>
      </c>
      <c r="I124" s="1" t="s">
        <v>15064</v>
      </c>
      <c r="J124" s="3" t="s">
        <v>15065</v>
      </c>
      <c r="K124" s="1" t="s">
        <v>14202</v>
      </c>
      <c r="L124" s="1"/>
    </row>
    <row r="125" spans="1:12" ht="13.8">
      <c r="A125" s="1"/>
      <c r="D125" s="1"/>
      <c r="H125" s="1"/>
      <c r="L125" s="1"/>
    </row>
    <row r="126" spans="1:12" ht="13.8">
      <c r="A126" s="1"/>
      <c r="D126" s="1"/>
      <c r="H126" s="1"/>
      <c r="L126" s="1"/>
    </row>
    <row r="127" spans="1:12" ht="13.8">
      <c r="A127" s="1"/>
      <c r="D127" s="1"/>
      <c r="H127" s="1"/>
      <c r="L127" s="1"/>
    </row>
    <row r="128" spans="1:12" ht="13.8">
      <c r="A128" s="1"/>
      <c r="D128" s="1"/>
      <c r="H128" s="1"/>
      <c r="L128" s="1"/>
    </row>
    <row r="129" spans="1:12" ht="13.8">
      <c r="A129" s="1"/>
      <c r="D129" s="1"/>
      <c r="H129" s="1"/>
      <c r="L129" s="1"/>
    </row>
    <row r="130" spans="1:12" ht="13.8">
      <c r="A130" s="1"/>
      <c r="D130" s="1"/>
      <c r="H130" s="1"/>
      <c r="L130" s="1"/>
    </row>
    <row r="131" spans="1:12" ht="13.8">
      <c r="A131" s="1"/>
      <c r="D131" s="1"/>
      <c r="H131" s="1"/>
      <c r="L131" s="1"/>
    </row>
    <row r="132" spans="1:12" ht="13.8">
      <c r="A132" s="1"/>
      <c r="D132" s="1"/>
      <c r="H132" s="1"/>
      <c r="L132" s="1"/>
    </row>
    <row r="133" spans="1:12" ht="13.8">
      <c r="A133" s="1"/>
      <c r="D133" s="1"/>
      <c r="H133" s="1"/>
      <c r="L133" s="1"/>
    </row>
    <row r="134" spans="1:12" ht="13.8">
      <c r="A134" s="1"/>
      <c r="D134" s="1"/>
      <c r="H134" s="1"/>
      <c r="L134" s="1"/>
    </row>
    <row r="135" spans="1:12" ht="13.8">
      <c r="A135" s="1"/>
      <c r="D135" s="1"/>
      <c r="H135" s="1"/>
      <c r="L135" s="1"/>
    </row>
    <row r="136" spans="1:12" ht="13.8">
      <c r="A136" s="1"/>
      <c r="D136" s="1"/>
      <c r="H136" s="1"/>
      <c r="L136" s="1"/>
    </row>
    <row r="137" spans="1:12" ht="13.8">
      <c r="A137" s="1"/>
      <c r="D137" s="1"/>
      <c r="H137" s="1"/>
      <c r="L137" s="1"/>
    </row>
    <row r="138" spans="1:12" ht="13.8">
      <c r="A138" s="1"/>
      <c r="D138" s="1"/>
      <c r="H138" s="1"/>
      <c r="L138" s="1"/>
    </row>
    <row r="139" spans="1:12" ht="13.8">
      <c r="A139" s="1"/>
      <c r="D139" s="1"/>
      <c r="H139" s="1"/>
      <c r="L139" s="1"/>
    </row>
    <row r="140" spans="1:12" ht="13.8">
      <c r="A140" s="1"/>
      <c r="D140" s="1"/>
      <c r="H140" s="1"/>
      <c r="L140" s="1"/>
    </row>
    <row r="141" spans="1:12" ht="13.8">
      <c r="A141" s="1"/>
      <c r="D141" s="1"/>
      <c r="H141" s="1"/>
      <c r="L141" s="1"/>
    </row>
    <row r="142" spans="1:12" ht="13.8">
      <c r="A142" s="1"/>
      <c r="D142" s="1"/>
      <c r="H142" s="1"/>
      <c r="L142" s="1"/>
    </row>
    <row r="143" spans="1:12" ht="13.8">
      <c r="A143" s="1"/>
      <c r="D143" s="1"/>
      <c r="H143" s="1"/>
      <c r="L143" s="1"/>
    </row>
    <row r="144" spans="1:12" ht="13.8">
      <c r="A144" s="1"/>
      <c r="D144" s="1"/>
      <c r="H144" s="1"/>
      <c r="L144" s="1"/>
    </row>
    <row r="145" spans="1:12" ht="13.8">
      <c r="A145" s="1"/>
      <c r="D145" s="1"/>
      <c r="H145" s="1"/>
      <c r="L145" s="1"/>
    </row>
    <row r="146" spans="1:12" ht="13.8">
      <c r="A146" s="1"/>
      <c r="D146" s="1"/>
      <c r="H146" s="1"/>
      <c r="L146" s="1"/>
    </row>
    <row r="147" spans="1:12" ht="13.8">
      <c r="A147" s="1"/>
      <c r="D147" s="1"/>
      <c r="H147" s="1"/>
      <c r="L147" s="1"/>
    </row>
    <row r="148" spans="1:12" ht="13.8">
      <c r="A148" s="1"/>
      <c r="D148" s="1"/>
      <c r="H148" s="1"/>
      <c r="L148" s="1"/>
    </row>
    <row r="149" spans="1:12" ht="13.8">
      <c r="A149" s="1"/>
      <c r="D149" s="1"/>
      <c r="H149" s="1"/>
      <c r="L149" s="1"/>
    </row>
    <row r="150" spans="1:12" ht="13.8">
      <c r="A150" s="1"/>
      <c r="D150" s="1"/>
      <c r="H150" s="1"/>
      <c r="L150" s="1"/>
    </row>
    <row r="151" spans="1:12" ht="13.8">
      <c r="A151" s="1"/>
      <c r="D151" s="1"/>
      <c r="H151" s="1"/>
      <c r="L151" s="1"/>
    </row>
    <row r="152" spans="1:12" ht="13.8">
      <c r="A152" s="1"/>
      <c r="D152" s="1"/>
      <c r="H152" s="1"/>
      <c r="L152" s="1"/>
    </row>
    <row r="153" spans="1:12" ht="13.8">
      <c r="A153" s="1"/>
      <c r="D153" s="1"/>
      <c r="H153" s="1"/>
      <c r="L153" s="1"/>
    </row>
    <row r="154" spans="1:12" ht="13.8">
      <c r="A154" s="1"/>
      <c r="D154" s="1"/>
      <c r="H154" s="1"/>
      <c r="L154" s="1"/>
    </row>
    <row r="155" spans="1:12" ht="13.8">
      <c r="A155" s="1"/>
      <c r="D155" s="1"/>
      <c r="H155" s="1"/>
      <c r="L155" s="1"/>
    </row>
    <row r="156" spans="1:12" ht="13.8">
      <c r="A156" s="1"/>
      <c r="D156" s="1"/>
      <c r="H156" s="1"/>
      <c r="L156" s="1"/>
    </row>
    <row r="157" spans="1:12" ht="13.8">
      <c r="A157" s="1"/>
      <c r="D157" s="1"/>
      <c r="H157" s="1"/>
      <c r="L157" s="1"/>
    </row>
    <row r="158" spans="1:12" ht="13.8">
      <c r="A158" s="1"/>
      <c r="D158" s="1"/>
      <c r="H158" s="1"/>
      <c r="L158" s="1"/>
    </row>
    <row r="159" spans="1:12" ht="13.8">
      <c r="A159" s="1"/>
      <c r="D159" s="1"/>
      <c r="H159" s="1"/>
      <c r="L159" s="1"/>
    </row>
    <row r="160" spans="1:12" ht="13.8">
      <c r="A160" s="1"/>
      <c r="D160" s="1"/>
      <c r="H160" s="1"/>
      <c r="L160" s="1"/>
    </row>
    <row r="161" spans="1:12" ht="13.8">
      <c r="A161" s="1"/>
      <c r="D161" s="1"/>
      <c r="H161" s="1"/>
      <c r="L161" s="1"/>
    </row>
    <row r="162" spans="1:12" ht="13.8">
      <c r="A162" s="1"/>
      <c r="D162" s="1"/>
      <c r="H162" s="1"/>
      <c r="L162" s="1"/>
    </row>
    <row r="163" spans="1:12" ht="13.8">
      <c r="A163" s="1"/>
      <c r="D163" s="1"/>
      <c r="H163" s="1"/>
      <c r="L163" s="1"/>
    </row>
    <row r="164" spans="1:12" ht="13.8">
      <c r="A164" s="1"/>
      <c r="D164" s="1"/>
      <c r="H164" s="1"/>
      <c r="L164" s="1"/>
    </row>
    <row r="165" spans="1:12" ht="13.8">
      <c r="A165" s="1"/>
      <c r="D165" s="1"/>
      <c r="H165" s="1"/>
      <c r="L165" s="1"/>
    </row>
    <row r="166" spans="1:12" ht="13.8">
      <c r="A166" s="1"/>
      <c r="D166" s="1"/>
      <c r="H166" s="1"/>
      <c r="L166" s="1"/>
    </row>
    <row r="167" spans="1:12" ht="13.8">
      <c r="A167" s="1"/>
      <c r="D167" s="1"/>
      <c r="H167" s="1"/>
      <c r="L167" s="1"/>
    </row>
    <row r="168" spans="1:12" ht="13.8">
      <c r="A168" s="1"/>
      <c r="D168" s="1"/>
      <c r="H168" s="1"/>
      <c r="L168" s="1"/>
    </row>
    <row r="169" spans="1:12" ht="13.8">
      <c r="A169" s="1"/>
      <c r="D169" s="1"/>
      <c r="H169" s="1"/>
      <c r="L169" s="1"/>
    </row>
    <row r="170" spans="1:12" ht="13.8">
      <c r="A170" s="1"/>
      <c r="D170" s="1"/>
      <c r="H170" s="1"/>
      <c r="L170" s="1"/>
    </row>
    <row r="171" spans="1:12" ht="13.8">
      <c r="A171" s="1"/>
      <c r="D171" s="1"/>
      <c r="H171" s="1"/>
      <c r="L171" s="1"/>
    </row>
    <row r="172" spans="1:12" ht="13.8">
      <c r="A172" s="1"/>
      <c r="D172" s="1"/>
      <c r="H172" s="1"/>
      <c r="L172" s="1"/>
    </row>
    <row r="173" spans="1:12" ht="13.8">
      <c r="A173" s="1"/>
      <c r="D173" s="1"/>
      <c r="H173" s="1"/>
      <c r="L173" s="1"/>
    </row>
    <row r="174" spans="1:12" ht="13.8">
      <c r="A174" s="1"/>
      <c r="D174" s="1"/>
      <c r="H174" s="1"/>
      <c r="L174" s="1"/>
    </row>
    <row r="175" spans="1:12" ht="13.8">
      <c r="A175" s="1"/>
      <c r="D175" s="1"/>
      <c r="H175" s="1"/>
      <c r="L175" s="1"/>
    </row>
    <row r="176" spans="1:12" ht="13.8">
      <c r="A176" s="1"/>
      <c r="D176" s="1"/>
      <c r="H176" s="1"/>
      <c r="L176" s="1"/>
    </row>
    <row r="177" spans="1:12" ht="13.8">
      <c r="A177" s="1"/>
      <c r="D177" s="1"/>
      <c r="H177" s="1"/>
      <c r="L177" s="1"/>
    </row>
    <row r="178" spans="1:12" ht="13.8">
      <c r="A178" s="1"/>
      <c r="D178" s="1"/>
      <c r="H178" s="1"/>
      <c r="L178" s="1"/>
    </row>
    <row r="179" spans="1:12" ht="13.8">
      <c r="A179" s="1"/>
      <c r="D179" s="1"/>
      <c r="H179" s="1"/>
      <c r="L179" s="1"/>
    </row>
    <row r="180" spans="1:12" ht="13.8">
      <c r="A180" s="1"/>
      <c r="D180" s="1"/>
      <c r="H180" s="1"/>
      <c r="L180" s="1"/>
    </row>
    <row r="181" spans="1:12" ht="13.8">
      <c r="A181" s="1"/>
      <c r="D181" s="1"/>
      <c r="H181" s="1"/>
      <c r="L181" s="1"/>
    </row>
    <row r="182" spans="1:12" ht="13.8">
      <c r="A182" s="1"/>
      <c r="D182" s="1"/>
      <c r="H182" s="1"/>
      <c r="L182" s="1"/>
    </row>
    <row r="183" spans="1:12" ht="13.8">
      <c r="A183" s="1"/>
      <c r="D183" s="1"/>
      <c r="H183" s="1"/>
      <c r="L183" s="1"/>
    </row>
    <row r="184" spans="1:12" ht="13.8">
      <c r="A184" s="1"/>
      <c r="D184" s="1"/>
      <c r="H184" s="1"/>
      <c r="L184" s="1"/>
    </row>
    <row r="185" spans="1:12" ht="13.8">
      <c r="A185" s="1"/>
      <c r="D185" s="1"/>
      <c r="H185" s="1"/>
      <c r="L185" s="1"/>
    </row>
    <row r="186" spans="1:12" ht="13.8">
      <c r="A186" s="1"/>
      <c r="D186" s="1"/>
      <c r="H186" s="1"/>
      <c r="L186" s="1"/>
    </row>
    <row r="187" spans="1:12" ht="13.8">
      <c r="A187" s="1"/>
      <c r="D187" s="1"/>
      <c r="H187" s="1"/>
      <c r="L187" s="1"/>
    </row>
    <row r="188" spans="1:12" ht="13.8">
      <c r="A188" s="1"/>
      <c r="D188" s="1"/>
      <c r="H188" s="1"/>
      <c r="L188" s="1"/>
    </row>
    <row r="189" spans="1:12" ht="13.8">
      <c r="A189" s="1"/>
      <c r="D189" s="1"/>
      <c r="H189" s="1"/>
      <c r="L189" s="1"/>
    </row>
    <row r="190" spans="1:12" ht="13.8">
      <c r="A190" s="1"/>
      <c r="D190" s="1"/>
      <c r="H190" s="1"/>
      <c r="L190" s="1"/>
    </row>
    <row r="191" spans="1:12" ht="13.8">
      <c r="A191" s="1"/>
      <c r="D191" s="1"/>
      <c r="H191" s="1"/>
      <c r="L191" s="1"/>
    </row>
    <row r="192" spans="1:12" ht="13.8">
      <c r="A192" s="1"/>
      <c r="D192" s="1"/>
      <c r="H192" s="1"/>
      <c r="L192" s="1"/>
    </row>
    <row r="193" spans="1:12" ht="13.8">
      <c r="A193" s="1"/>
      <c r="D193" s="1"/>
      <c r="H193" s="1"/>
      <c r="L193" s="1"/>
    </row>
    <row r="194" spans="1:12" ht="13.8">
      <c r="A194" s="1"/>
      <c r="D194" s="1"/>
      <c r="H194" s="1"/>
      <c r="L194" s="1"/>
    </row>
    <row r="195" spans="1:12" ht="13.8">
      <c r="A195" s="1"/>
      <c r="D195" s="1"/>
      <c r="H195" s="1"/>
      <c r="L195" s="1"/>
    </row>
    <row r="196" spans="1:12" ht="13.8">
      <c r="A196" s="1"/>
      <c r="D196" s="1"/>
      <c r="H196" s="1"/>
      <c r="L196" s="1"/>
    </row>
    <row r="197" spans="1:12" ht="13.8">
      <c r="A197" s="1"/>
      <c r="D197" s="1"/>
      <c r="H197" s="1"/>
      <c r="L197" s="1"/>
    </row>
    <row r="198" spans="1:12" ht="13.8">
      <c r="A198" s="1"/>
      <c r="D198" s="1"/>
      <c r="H198" s="1"/>
      <c r="L198" s="1"/>
    </row>
    <row r="199" spans="1:12" ht="13.8">
      <c r="A199" s="1"/>
      <c r="D199" s="1"/>
      <c r="H199" s="1"/>
      <c r="L199" s="1"/>
    </row>
    <row r="200" spans="1:12" ht="13.8">
      <c r="A200" s="1"/>
      <c r="D200" s="1"/>
      <c r="H200" s="1"/>
      <c r="L200" s="1"/>
    </row>
    <row r="201" spans="1:12" ht="13.8">
      <c r="A201" s="1"/>
      <c r="D201" s="1"/>
      <c r="H201" s="1"/>
      <c r="L201" s="1"/>
    </row>
    <row r="202" spans="1:12" ht="13.8">
      <c r="A202" s="1"/>
      <c r="D202" s="1"/>
      <c r="H202" s="1"/>
      <c r="L202" s="1"/>
    </row>
    <row r="203" spans="1:12" ht="13.8">
      <c r="A203" s="1"/>
      <c r="D203" s="1"/>
      <c r="H203" s="1"/>
      <c r="L203" s="1"/>
    </row>
    <row r="204" spans="1:12" ht="13.8">
      <c r="A204" s="1"/>
      <c r="D204" s="1"/>
      <c r="H204" s="1"/>
      <c r="L204" s="1"/>
    </row>
    <row r="205" spans="1:12" ht="13.8">
      <c r="A205" s="1"/>
      <c r="D205" s="1"/>
      <c r="H205" s="1"/>
      <c r="L205" s="1"/>
    </row>
    <row r="206" spans="1:12" ht="13.8">
      <c r="A206" s="1"/>
      <c r="D206" s="1"/>
      <c r="H206" s="1"/>
      <c r="L206" s="1"/>
    </row>
    <row r="207" spans="1:12" ht="13.8">
      <c r="A207" s="1"/>
      <c r="D207" s="1"/>
      <c r="H207" s="1"/>
      <c r="L207" s="1"/>
    </row>
    <row r="208" spans="1:12" ht="13.8">
      <c r="A208" s="1"/>
      <c r="D208" s="1"/>
      <c r="H208" s="1"/>
      <c r="L208" s="1"/>
    </row>
    <row r="209" spans="1:12" ht="13.8">
      <c r="A209" s="1"/>
      <c r="D209" s="1"/>
      <c r="H209" s="1"/>
      <c r="L209" s="1"/>
    </row>
    <row r="210" spans="1:12" ht="13.8">
      <c r="A210" s="1"/>
      <c r="D210" s="1"/>
      <c r="H210" s="1"/>
      <c r="L210" s="1"/>
    </row>
    <row r="211" spans="1:12" ht="13.8">
      <c r="A211" s="1"/>
      <c r="D211" s="1"/>
      <c r="H211" s="1"/>
      <c r="L211" s="1"/>
    </row>
    <row r="212" spans="1:12" ht="13.8">
      <c r="A212" s="1"/>
      <c r="D212" s="1"/>
      <c r="H212" s="1"/>
      <c r="L212" s="1"/>
    </row>
    <row r="213" spans="1:12" ht="13.8">
      <c r="A213" s="1"/>
      <c r="D213" s="1"/>
      <c r="H213" s="1"/>
      <c r="L213" s="1"/>
    </row>
    <row r="214" spans="1:12" ht="13.8">
      <c r="A214" s="1"/>
      <c r="D214" s="1"/>
      <c r="H214" s="1"/>
      <c r="L214" s="1"/>
    </row>
    <row r="215" spans="1:12" ht="13.8">
      <c r="A215" s="1"/>
      <c r="D215" s="1"/>
      <c r="H215" s="1"/>
      <c r="L215" s="1"/>
    </row>
    <row r="216" spans="1:12" ht="13.8">
      <c r="A216" s="1"/>
      <c r="D216" s="1"/>
      <c r="H216" s="1"/>
      <c r="L216" s="1"/>
    </row>
    <row r="217" spans="1:12" ht="13.8">
      <c r="A217" s="1"/>
      <c r="D217" s="1"/>
      <c r="H217" s="1"/>
      <c r="L217" s="1"/>
    </row>
    <row r="218" spans="1:12" ht="13.8">
      <c r="A218" s="1"/>
      <c r="D218" s="1"/>
      <c r="H218" s="1"/>
      <c r="L218" s="1"/>
    </row>
    <row r="219" spans="1:12" ht="13.8">
      <c r="A219" s="1"/>
      <c r="D219" s="1"/>
      <c r="H219" s="1"/>
      <c r="L219" s="1"/>
    </row>
    <row r="220" spans="1:12" ht="13.8">
      <c r="A220" s="1"/>
      <c r="D220" s="1"/>
      <c r="H220" s="1"/>
      <c r="L220" s="1"/>
    </row>
    <row r="221" spans="1:12" ht="13.8">
      <c r="A221" s="1"/>
      <c r="D221" s="1"/>
      <c r="H221" s="1"/>
      <c r="L221" s="1"/>
    </row>
    <row r="222" spans="1:12" ht="13.8">
      <c r="A222" s="1"/>
      <c r="D222" s="1"/>
      <c r="H222" s="1"/>
      <c r="L222" s="1"/>
    </row>
    <row r="223" spans="1:12" ht="13.8">
      <c r="A223" s="1"/>
      <c r="D223" s="1"/>
      <c r="H223" s="1"/>
      <c r="L223" s="1"/>
    </row>
    <row r="224" spans="1:12" ht="13.8">
      <c r="A224" s="1"/>
      <c r="D224" s="1"/>
      <c r="H224" s="1"/>
      <c r="L224" s="1"/>
    </row>
    <row r="225" spans="1:12" ht="13.8">
      <c r="A225" s="1"/>
      <c r="D225" s="1"/>
      <c r="H225" s="1"/>
      <c r="L225" s="1"/>
    </row>
    <row r="226" spans="1:12" ht="13.8">
      <c r="A226" s="1"/>
      <c r="D226" s="1"/>
      <c r="H226" s="1"/>
      <c r="L226" s="1"/>
    </row>
    <row r="227" spans="1:12" ht="13.8">
      <c r="A227" s="1"/>
      <c r="D227" s="1"/>
      <c r="H227" s="1"/>
      <c r="L227" s="1"/>
    </row>
    <row r="228" spans="1:12" ht="13.8">
      <c r="A228" s="1"/>
      <c r="D228" s="1"/>
      <c r="H228" s="1"/>
      <c r="L228" s="1"/>
    </row>
    <row r="229" spans="1:12" ht="13.8">
      <c r="A229" s="1"/>
      <c r="D229" s="1"/>
      <c r="H229" s="1"/>
      <c r="L229" s="1"/>
    </row>
    <row r="230" spans="1:12" ht="13.8">
      <c r="A230" s="1"/>
      <c r="D230" s="1"/>
      <c r="H230" s="1"/>
      <c r="L230" s="1"/>
    </row>
    <row r="231" spans="1:12" ht="13.8">
      <c r="A231" s="1"/>
      <c r="D231" s="1"/>
      <c r="H231" s="1"/>
      <c r="L231" s="1"/>
    </row>
    <row r="232" spans="1:12" ht="13.8">
      <c r="A232" s="1"/>
      <c r="D232" s="1"/>
      <c r="H232" s="1"/>
      <c r="L232" s="1"/>
    </row>
    <row r="233" spans="1:12" ht="13.8">
      <c r="A233" s="1"/>
      <c r="D233" s="1"/>
      <c r="H233" s="1"/>
      <c r="L233" s="1"/>
    </row>
    <row r="234" spans="1:12" ht="13.8">
      <c r="A234" s="1"/>
      <c r="D234" s="1"/>
      <c r="H234" s="1"/>
      <c r="L234" s="1"/>
    </row>
    <row r="235" spans="1:12" ht="13.8">
      <c r="A235" s="1"/>
      <c r="D235" s="1"/>
      <c r="H235" s="1"/>
      <c r="L235" s="1"/>
    </row>
    <row r="236" spans="1:12" ht="13.8">
      <c r="A236" s="1"/>
      <c r="D236" s="1"/>
      <c r="H236" s="1"/>
      <c r="L236" s="1"/>
    </row>
    <row r="237" spans="1:12" ht="13.8">
      <c r="A237" s="1"/>
      <c r="D237" s="1"/>
      <c r="H237" s="1"/>
      <c r="L237" s="1"/>
    </row>
    <row r="238" spans="1:12" ht="13.8">
      <c r="A238" s="1"/>
      <c r="D238" s="1"/>
      <c r="H238" s="1"/>
      <c r="L238" s="1"/>
    </row>
    <row r="239" spans="1:12" ht="13.8">
      <c r="A239" s="1"/>
      <c r="D239" s="1"/>
      <c r="H239" s="1"/>
      <c r="L239" s="1"/>
    </row>
    <row r="240" spans="1:12" ht="13.8">
      <c r="A240" s="1"/>
      <c r="D240" s="1"/>
      <c r="H240" s="1"/>
      <c r="L240" s="1"/>
    </row>
    <row r="241" spans="1:12" ht="13.8">
      <c r="A241" s="1"/>
      <c r="D241" s="1"/>
      <c r="H241" s="1"/>
      <c r="L241" s="1"/>
    </row>
    <row r="242" spans="1:12" ht="13.8">
      <c r="A242" s="1"/>
      <c r="D242" s="1"/>
      <c r="H242" s="1"/>
      <c r="L242" s="1"/>
    </row>
    <row r="243" spans="1:12" ht="13.8">
      <c r="A243" s="1"/>
      <c r="D243" s="1"/>
      <c r="H243" s="1"/>
      <c r="L243" s="1"/>
    </row>
    <row r="244" spans="1:12" ht="13.8">
      <c r="A244" s="1"/>
      <c r="D244" s="1"/>
      <c r="H244" s="1"/>
      <c r="L244" s="1"/>
    </row>
    <row r="245" spans="1:12" ht="13.8">
      <c r="A245" s="1"/>
      <c r="D245" s="1"/>
      <c r="H245" s="1"/>
      <c r="L245" s="1"/>
    </row>
    <row r="246" spans="1:12" ht="13.8">
      <c r="A246" s="1"/>
      <c r="D246" s="1"/>
      <c r="H246" s="1"/>
      <c r="L246" s="1"/>
    </row>
    <row r="247" spans="1:12" ht="13.8">
      <c r="A247" s="1"/>
      <c r="D247" s="1"/>
      <c r="H247" s="1"/>
      <c r="L247" s="1"/>
    </row>
    <row r="248" spans="1:12" ht="13.8">
      <c r="A248" s="1"/>
      <c r="D248" s="1"/>
      <c r="H248" s="1"/>
      <c r="L248" s="1"/>
    </row>
    <row r="249" spans="1:12" ht="13.8">
      <c r="A249" s="1"/>
      <c r="D249" s="1"/>
      <c r="H249" s="1"/>
      <c r="L249" s="1"/>
    </row>
    <row r="250" spans="1:12" ht="13.8">
      <c r="A250" s="1"/>
      <c r="D250" s="1"/>
      <c r="H250" s="1"/>
      <c r="L250" s="1"/>
    </row>
    <row r="251" spans="1:12" ht="13.8">
      <c r="A251" s="1"/>
      <c r="D251" s="1"/>
      <c r="H251" s="1"/>
      <c r="L251" s="1"/>
    </row>
    <row r="252" spans="1:12" ht="13.8">
      <c r="A252" s="1"/>
      <c r="D252" s="1"/>
      <c r="H252" s="1"/>
      <c r="L252" s="1"/>
    </row>
    <row r="253" spans="1:12" ht="13.8">
      <c r="A253" s="1"/>
      <c r="D253" s="1"/>
      <c r="H253" s="1"/>
      <c r="L253" s="1"/>
    </row>
    <row r="254" spans="1:12" ht="13.8">
      <c r="A254" s="1"/>
      <c r="D254" s="1"/>
      <c r="H254" s="1"/>
      <c r="L254" s="1"/>
    </row>
    <row r="255" spans="1:12" ht="13.8">
      <c r="A255" s="1"/>
      <c r="D255" s="1"/>
      <c r="H255" s="1"/>
      <c r="L255" s="1"/>
    </row>
    <row r="256" spans="1:12" ht="13.8">
      <c r="A256" s="1"/>
      <c r="D256" s="1"/>
      <c r="H256" s="1"/>
      <c r="L256" s="1"/>
    </row>
    <row r="257" spans="1:12" ht="13.8">
      <c r="A257" s="1"/>
      <c r="D257" s="1"/>
      <c r="H257" s="1"/>
      <c r="L257" s="1"/>
    </row>
    <row r="258" spans="1:12" ht="13.8">
      <c r="A258" s="1"/>
      <c r="D258" s="1"/>
      <c r="H258" s="1"/>
      <c r="L258" s="1"/>
    </row>
    <row r="259" spans="1:12" ht="13.8">
      <c r="A259" s="1"/>
      <c r="D259" s="1"/>
      <c r="H259" s="1"/>
      <c r="L259" s="1"/>
    </row>
    <row r="260" spans="1:12" ht="13.8">
      <c r="A260" s="1"/>
      <c r="D260" s="1"/>
      <c r="H260" s="1"/>
      <c r="L260" s="1"/>
    </row>
    <row r="261" spans="1:12" ht="13.8">
      <c r="A261" s="1"/>
      <c r="D261" s="1"/>
      <c r="H261" s="1"/>
      <c r="L261" s="1"/>
    </row>
    <row r="262" spans="1:12" ht="13.8">
      <c r="A262" s="1"/>
      <c r="D262" s="1"/>
      <c r="H262" s="1"/>
      <c r="L262" s="1"/>
    </row>
    <row r="263" spans="1:12" ht="13.8">
      <c r="A263" s="1"/>
      <c r="D263" s="1"/>
      <c r="H263" s="1"/>
      <c r="L263" s="1"/>
    </row>
    <row r="264" spans="1:12" ht="13.8">
      <c r="A264" s="1"/>
      <c r="D264" s="1"/>
      <c r="H264" s="1"/>
      <c r="L264" s="1"/>
    </row>
    <row r="265" spans="1:12" ht="13.8">
      <c r="A265" s="1"/>
      <c r="D265" s="1"/>
      <c r="H265" s="1"/>
      <c r="L265" s="1"/>
    </row>
    <row r="266" spans="1:12" ht="13.8">
      <c r="A266" s="1"/>
      <c r="D266" s="1"/>
      <c r="H266" s="1"/>
      <c r="L266" s="1"/>
    </row>
    <row r="267" spans="1:12" ht="13.8">
      <c r="A267" s="1"/>
      <c r="D267" s="1"/>
      <c r="H267" s="1"/>
      <c r="L267" s="1"/>
    </row>
    <row r="268" spans="1:12" ht="13.8">
      <c r="A268" s="1"/>
      <c r="D268" s="1"/>
      <c r="H268" s="1"/>
      <c r="L268" s="1"/>
    </row>
    <row r="269" spans="1:12" ht="13.8">
      <c r="A269" s="1"/>
      <c r="D269" s="1"/>
      <c r="H269" s="1"/>
      <c r="L269" s="1"/>
    </row>
    <row r="270" spans="1:12" ht="13.8">
      <c r="A270" s="1"/>
      <c r="D270" s="1"/>
      <c r="H270" s="1"/>
      <c r="L270" s="1"/>
    </row>
    <row r="271" spans="1:12" ht="13.8">
      <c r="A271" s="1"/>
      <c r="D271" s="1"/>
      <c r="H271" s="1"/>
      <c r="L271" s="1"/>
    </row>
    <row r="272" spans="1:12" ht="13.8">
      <c r="A272" s="1"/>
      <c r="D272" s="1"/>
      <c r="H272" s="1"/>
      <c r="L272" s="1"/>
    </row>
    <row r="273" spans="1:12" ht="13.8">
      <c r="A273" s="1"/>
      <c r="D273" s="1"/>
      <c r="H273" s="1"/>
      <c r="L273" s="1"/>
    </row>
    <row r="274" spans="1:12" ht="13.8">
      <c r="A274" s="1"/>
      <c r="D274" s="1"/>
      <c r="H274" s="1"/>
      <c r="L274" s="1"/>
    </row>
    <row r="275" spans="1:12" ht="13.8">
      <c r="A275" s="1"/>
      <c r="D275" s="1"/>
      <c r="H275" s="1"/>
      <c r="L275" s="1"/>
    </row>
    <row r="276" spans="1:12" ht="13.8">
      <c r="A276" s="1"/>
      <c r="D276" s="1"/>
      <c r="H276" s="1"/>
      <c r="L276" s="1"/>
    </row>
    <row r="277" spans="1:12" ht="13.8">
      <c r="A277" s="1"/>
      <c r="D277" s="1"/>
      <c r="H277" s="1"/>
      <c r="L277" s="1"/>
    </row>
    <row r="278" spans="1:12" ht="13.8">
      <c r="A278" s="1"/>
      <c r="D278" s="1"/>
      <c r="H278" s="1"/>
      <c r="L278" s="1"/>
    </row>
    <row r="279" spans="1:12" ht="13.8">
      <c r="A279" s="1"/>
      <c r="D279" s="1"/>
      <c r="H279" s="1"/>
      <c r="L279" s="1"/>
    </row>
    <row r="280" spans="1:12" ht="13.8">
      <c r="A280" s="1"/>
      <c r="D280" s="1"/>
      <c r="H280" s="1"/>
      <c r="L280" s="1"/>
    </row>
    <row r="281" spans="1:12" ht="13.8">
      <c r="A281" s="1"/>
      <c r="D281" s="1"/>
      <c r="H281" s="1"/>
      <c r="L281" s="1"/>
    </row>
    <row r="282" spans="1:12" ht="13.8">
      <c r="A282" s="1"/>
      <c r="D282" s="1"/>
      <c r="H282" s="1"/>
      <c r="L282" s="1"/>
    </row>
    <row r="283" spans="1:12" ht="13.8">
      <c r="A283" s="1"/>
      <c r="D283" s="1"/>
      <c r="H283" s="1"/>
      <c r="L283" s="1"/>
    </row>
    <row r="284" spans="1:12" ht="13.8">
      <c r="A284" s="1"/>
      <c r="D284" s="1"/>
      <c r="H284" s="1"/>
      <c r="L284" s="1"/>
    </row>
    <row r="285" spans="1:12" ht="13.8">
      <c r="A285" s="1"/>
      <c r="D285" s="1"/>
      <c r="H285" s="1"/>
      <c r="L285" s="1"/>
    </row>
    <row r="286" spans="1:12" ht="13.8">
      <c r="A286" s="1"/>
      <c r="D286" s="1"/>
      <c r="H286" s="1"/>
      <c r="L286" s="1"/>
    </row>
    <row r="287" spans="1:12" ht="13.8">
      <c r="A287" s="1"/>
      <c r="D287" s="1"/>
      <c r="H287" s="1"/>
      <c r="L287" s="1"/>
    </row>
    <row r="288" spans="1:12" ht="13.8">
      <c r="A288" s="1"/>
      <c r="D288" s="1"/>
      <c r="H288" s="1"/>
      <c r="L288" s="1"/>
    </row>
    <row r="289" spans="1:12" ht="13.8">
      <c r="A289" s="1"/>
      <c r="D289" s="1"/>
      <c r="H289" s="1"/>
      <c r="L289" s="1"/>
    </row>
    <row r="290" spans="1:12" ht="13.8">
      <c r="A290" s="1"/>
      <c r="D290" s="1"/>
      <c r="H290" s="1"/>
      <c r="L290" s="1"/>
    </row>
    <row r="291" spans="1:12" ht="13.8">
      <c r="A291" s="1"/>
      <c r="D291" s="1"/>
      <c r="H291" s="1"/>
      <c r="L291" s="1"/>
    </row>
    <row r="292" spans="1:12" ht="13.8">
      <c r="A292" s="1"/>
      <c r="D292" s="1"/>
      <c r="H292" s="1"/>
      <c r="L292" s="1"/>
    </row>
    <row r="293" spans="1:12" ht="13.8">
      <c r="A293" s="1"/>
      <c r="D293" s="1"/>
      <c r="H293" s="1"/>
      <c r="L293" s="1"/>
    </row>
    <row r="294" spans="1:12" ht="13.8">
      <c r="A294" s="1"/>
      <c r="D294" s="1"/>
      <c r="H294" s="1"/>
      <c r="L294" s="1"/>
    </row>
    <row r="295" spans="1:12" ht="13.8">
      <c r="A295" s="1"/>
      <c r="D295" s="1"/>
      <c r="H295" s="1"/>
      <c r="L295" s="1"/>
    </row>
    <row r="296" spans="1:12" ht="13.8">
      <c r="A296" s="1"/>
      <c r="D296" s="1"/>
      <c r="H296" s="1"/>
      <c r="L296" s="1"/>
    </row>
    <row r="297" spans="1:12" ht="13.8">
      <c r="A297" s="1"/>
      <c r="D297" s="1"/>
      <c r="H297" s="1"/>
      <c r="L297" s="1"/>
    </row>
    <row r="298" spans="1:12" ht="13.8">
      <c r="A298" s="1"/>
      <c r="D298" s="1"/>
      <c r="H298" s="1"/>
      <c r="L298" s="1"/>
    </row>
    <row r="299" spans="1:12" ht="13.8">
      <c r="A299" s="1"/>
      <c r="D299" s="1"/>
      <c r="H299" s="1"/>
      <c r="L299" s="1"/>
    </row>
    <row r="300" spans="1:12" ht="13.8">
      <c r="A300" s="1"/>
      <c r="D300" s="1"/>
      <c r="H300" s="1"/>
      <c r="L300" s="1"/>
    </row>
    <row r="301" spans="1:12" ht="13.8">
      <c r="A301" s="1"/>
      <c r="D301" s="1"/>
      <c r="H301" s="1"/>
      <c r="L301" s="1"/>
    </row>
    <row r="302" spans="1:12" ht="13.8">
      <c r="A302" s="1"/>
      <c r="D302" s="1"/>
      <c r="H302" s="1"/>
      <c r="L302" s="1"/>
    </row>
    <row r="303" spans="1:12" ht="13.8">
      <c r="A303" s="1"/>
      <c r="D303" s="1"/>
      <c r="H303" s="1"/>
      <c r="L303" s="1"/>
    </row>
    <row r="304" spans="1:12" ht="13.8">
      <c r="A304" s="1"/>
      <c r="D304" s="1"/>
      <c r="H304" s="1"/>
      <c r="L304" s="1"/>
    </row>
    <row r="305" spans="1:12" ht="13.8">
      <c r="A305" s="1"/>
      <c r="D305" s="1"/>
      <c r="H305" s="1"/>
      <c r="L305" s="1"/>
    </row>
    <row r="306" spans="1:12" ht="13.8">
      <c r="A306" s="1"/>
      <c r="D306" s="1"/>
      <c r="H306" s="1"/>
      <c r="L306" s="1"/>
    </row>
    <row r="307" spans="1:12" ht="13.8">
      <c r="A307" s="1"/>
      <c r="D307" s="1"/>
      <c r="H307" s="1"/>
      <c r="L307" s="1"/>
    </row>
    <row r="308" spans="1:12" ht="13.8">
      <c r="A308" s="1"/>
      <c r="D308" s="1"/>
      <c r="H308" s="1"/>
      <c r="L308" s="1"/>
    </row>
    <row r="309" spans="1:12" ht="13.8">
      <c r="A309" s="1"/>
      <c r="D309" s="1"/>
      <c r="H309" s="1"/>
      <c r="L309" s="1"/>
    </row>
    <row r="310" spans="1:12" ht="13.8">
      <c r="A310" s="1"/>
      <c r="D310" s="1"/>
      <c r="H310" s="1"/>
      <c r="L310" s="1"/>
    </row>
    <row r="311" spans="1:12" ht="13.8">
      <c r="A311" s="1"/>
      <c r="D311" s="1"/>
      <c r="H311" s="1"/>
      <c r="L311" s="1"/>
    </row>
    <row r="312" spans="1:12" ht="13.8">
      <c r="A312" s="1"/>
      <c r="D312" s="1"/>
      <c r="H312" s="1"/>
      <c r="L312" s="1"/>
    </row>
    <row r="313" spans="1:12" ht="13.8">
      <c r="A313" s="1"/>
      <c r="D313" s="1"/>
      <c r="H313" s="1"/>
      <c r="L313" s="1"/>
    </row>
    <row r="314" spans="1:12" ht="13.8">
      <c r="A314" s="1"/>
      <c r="D314" s="1"/>
      <c r="H314" s="1"/>
      <c r="L314" s="1"/>
    </row>
    <row r="315" spans="1:12" ht="13.8">
      <c r="A315" s="1"/>
      <c r="D315" s="1"/>
      <c r="H315" s="1"/>
      <c r="L315" s="1"/>
    </row>
    <row r="316" spans="1:12" ht="13.8">
      <c r="A316" s="1"/>
      <c r="D316" s="1"/>
      <c r="H316" s="1"/>
      <c r="L316" s="1"/>
    </row>
    <row r="317" spans="1:12" ht="13.8">
      <c r="A317" s="1"/>
      <c r="D317" s="1"/>
      <c r="H317" s="1"/>
      <c r="L317" s="1"/>
    </row>
    <row r="318" spans="1:12" ht="13.8">
      <c r="A318" s="1"/>
      <c r="D318" s="1"/>
      <c r="H318" s="1"/>
      <c r="L318" s="1"/>
    </row>
    <row r="319" spans="1:12" ht="13.8">
      <c r="A319" s="1"/>
      <c r="D319" s="1"/>
      <c r="H319" s="1"/>
      <c r="L319" s="1"/>
    </row>
    <row r="320" spans="1:12" ht="13.8">
      <c r="A320" s="1"/>
      <c r="D320" s="1"/>
      <c r="H320" s="1"/>
      <c r="L320" s="1"/>
    </row>
    <row r="321" spans="1:12" ht="13.8">
      <c r="A321" s="1"/>
      <c r="D321" s="1"/>
      <c r="H321" s="1"/>
      <c r="L321" s="1"/>
    </row>
    <row r="322" spans="1:12" ht="13.8">
      <c r="A322" s="1"/>
      <c r="D322" s="1"/>
      <c r="H322" s="1"/>
      <c r="L322" s="1"/>
    </row>
    <row r="323" spans="1:12" ht="13.8">
      <c r="A323" s="1"/>
      <c r="D323" s="1"/>
      <c r="H323" s="1"/>
      <c r="L323" s="1"/>
    </row>
    <row r="324" spans="1:12" ht="13.8">
      <c r="A324" s="1"/>
      <c r="D324" s="1"/>
      <c r="H324" s="1"/>
      <c r="L324" s="1"/>
    </row>
    <row r="325" spans="1:12" ht="13.8">
      <c r="A325" s="1"/>
      <c r="D325" s="1"/>
      <c r="H325" s="1"/>
      <c r="L325" s="1"/>
    </row>
    <row r="326" spans="1:12" ht="13.8">
      <c r="A326" s="1"/>
      <c r="D326" s="1"/>
      <c r="H326" s="1"/>
      <c r="L326" s="1"/>
    </row>
    <row r="327" spans="1:12" ht="13.8">
      <c r="A327" s="1"/>
      <c r="D327" s="1"/>
      <c r="H327" s="1"/>
      <c r="L327" s="1"/>
    </row>
    <row r="328" spans="1:12" ht="13.8">
      <c r="A328" s="1"/>
      <c r="D328" s="1"/>
      <c r="H328" s="1"/>
      <c r="L328" s="1"/>
    </row>
    <row r="329" spans="1:12" ht="13.8">
      <c r="A329" s="1"/>
      <c r="D329" s="1"/>
      <c r="H329" s="1"/>
      <c r="L329" s="1"/>
    </row>
    <row r="330" spans="1:12" ht="13.8">
      <c r="A330" s="1"/>
      <c r="D330" s="1"/>
      <c r="H330" s="1"/>
      <c r="L330" s="1"/>
    </row>
    <row r="331" spans="1:12" ht="13.8">
      <c r="A331" s="1"/>
      <c r="D331" s="1"/>
      <c r="H331" s="1"/>
      <c r="L331" s="1"/>
    </row>
    <row r="332" spans="1:12" ht="13.8">
      <c r="A332" s="1"/>
      <c r="D332" s="1"/>
      <c r="H332" s="1"/>
      <c r="L332" s="1"/>
    </row>
    <row r="333" spans="1:12" ht="13.8">
      <c r="A333" s="1"/>
      <c r="D333" s="1"/>
      <c r="H333" s="1"/>
      <c r="L333" s="1"/>
    </row>
    <row r="334" spans="1:12" ht="13.8">
      <c r="A334" s="1"/>
      <c r="D334" s="1"/>
      <c r="H334" s="1"/>
      <c r="L334" s="1"/>
    </row>
    <row r="335" spans="1:12" ht="13.8">
      <c r="A335" s="1"/>
      <c r="D335" s="1"/>
      <c r="H335" s="1"/>
      <c r="L335" s="1"/>
    </row>
    <row r="336" spans="1:12" ht="13.8">
      <c r="A336" s="1"/>
      <c r="D336" s="1"/>
      <c r="H336" s="1"/>
      <c r="L336" s="1"/>
    </row>
    <row r="337" spans="1:12" ht="13.8">
      <c r="A337" s="1"/>
      <c r="D337" s="1"/>
      <c r="H337" s="1"/>
      <c r="L337" s="1"/>
    </row>
    <row r="338" spans="1:12" ht="13.8">
      <c r="A338" s="1"/>
      <c r="D338" s="1"/>
      <c r="H338" s="1"/>
      <c r="L338" s="1"/>
    </row>
    <row r="339" spans="1:12" ht="13.8">
      <c r="A339" s="1"/>
      <c r="D339" s="1"/>
      <c r="H339" s="1"/>
      <c r="L339" s="1"/>
    </row>
    <row r="340" spans="1:12" ht="13.8">
      <c r="A340" s="1"/>
      <c r="D340" s="1"/>
      <c r="H340" s="1"/>
      <c r="L340" s="1"/>
    </row>
    <row r="341" spans="1:12" ht="13.8">
      <c r="A341" s="1"/>
      <c r="D341" s="1"/>
      <c r="H341" s="1"/>
      <c r="L341" s="1"/>
    </row>
    <row r="342" spans="1:12" ht="13.8">
      <c r="A342" s="1"/>
      <c r="D342" s="1"/>
      <c r="H342" s="1"/>
      <c r="L342" s="1"/>
    </row>
    <row r="343" spans="1:12" ht="13.8">
      <c r="A343" s="1"/>
      <c r="D343" s="1"/>
      <c r="H343" s="1"/>
      <c r="L343" s="1"/>
    </row>
    <row r="344" spans="1:12" ht="13.8">
      <c r="A344" s="1"/>
      <c r="D344" s="1"/>
      <c r="H344" s="1"/>
      <c r="L344" s="1"/>
    </row>
    <row r="345" spans="1:12" ht="13.8">
      <c r="A345" s="1"/>
      <c r="D345" s="1"/>
      <c r="H345" s="1"/>
      <c r="L345" s="1"/>
    </row>
    <row r="346" spans="1:12" ht="13.8">
      <c r="A346" s="1"/>
      <c r="D346" s="1"/>
      <c r="H346" s="1"/>
      <c r="L346" s="1"/>
    </row>
    <row r="347" spans="1:12" ht="13.8">
      <c r="A347" s="1"/>
      <c r="D347" s="1"/>
      <c r="H347" s="1"/>
      <c r="L347" s="1"/>
    </row>
    <row r="348" spans="1:12" ht="13.8">
      <c r="A348" s="1"/>
      <c r="D348" s="1"/>
      <c r="H348" s="1"/>
      <c r="L348" s="1"/>
    </row>
    <row r="349" spans="1:12" ht="13.8">
      <c r="A349" s="1"/>
      <c r="D349" s="1"/>
      <c r="H349" s="1"/>
      <c r="L349" s="1"/>
    </row>
    <row r="350" spans="1:12" ht="13.8">
      <c r="A350" s="1"/>
      <c r="D350" s="1"/>
      <c r="H350" s="1"/>
      <c r="L350" s="1"/>
    </row>
    <row r="351" spans="1:12" ht="13.8">
      <c r="A351" s="1"/>
      <c r="D351" s="1"/>
      <c r="H351" s="1"/>
      <c r="L351" s="1"/>
    </row>
    <row r="352" spans="1:12" ht="13.8">
      <c r="A352" s="1"/>
      <c r="D352" s="1"/>
      <c r="H352" s="1"/>
      <c r="L352" s="1"/>
    </row>
    <row r="353" spans="1:12" ht="13.8">
      <c r="A353" s="1"/>
      <c r="D353" s="1"/>
      <c r="H353" s="1"/>
      <c r="L353" s="1"/>
    </row>
    <row r="354" spans="1:12" ht="13.8">
      <c r="A354" s="1"/>
      <c r="D354" s="1"/>
      <c r="H354" s="1"/>
      <c r="L354" s="1"/>
    </row>
    <row r="355" spans="1:12" ht="13.8">
      <c r="A355" s="1"/>
      <c r="D355" s="1"/>
      <c r="H355" s="1"/>
      <c r="L355" s="1"/>
    </row>
    <row r="356" spans="1:12" ht="13.8">
      <c r="A356" s="1"/>
      <c r="D356" s="1"/>
      <c r="H356" s="1"/>
      <c r="L356" s="1"/>
    </row>
    <row r="357" spans="1:12" ht="13.8">
      <c r="A357" s="1"/>
      <c r="D357" s="1"/>
      <c r="H357" s="1"/>
      <c r="L357" s="1"/>
    </row>
    <row r="358" spans="1:12" ht="13.8">
      <c r="A358" s="1"/>
      <c r="D358" s="1"/>
      <c r="H358" s="1"/>
      <c r="L358" s="1"/>
    </row>
    <row r="359" spans="1:12" ht="13.8">
      <c r="A359" s="1"/>
      <c r="D359" s="1"/>
      <c r="H359" s="1"/>
      <c r="L359" s="1"/>
    </row>
    <row r="360" spans="1:12" ht="13.8">
      <c r="A360" s="1"/>
      <c r="D360" s="1"/>
      <c r="H360" s="1"/>
      <c r="L360" s="1"/>
    </row>
    <row r="361" spans="1:12" ht="13.8">
      <c r="A361" s="1"/>
      <c r="D361" s="1"/>
      <c r="H361" s="1"/>
      <c r="L361" s="1"/>
    </row>
    <row r="362" spans="1:12" ht="13.8">
      <c r="A362" s="1"/>
      <c r="D362" s="1"/>
      <c r="H362" s="1"/>
      <c r="L362" s="1"/>
    </row>
    <row r="363" spans="1:12" ht="13.8">
      <c r="A363" s="1"/>
      <c r="D363" s="1"/>
      <c r="H363" s="1"/>
      <c r="L363" s="1"/>
    </row>
    <row r="364" spans="1:12" ht="13.8">
      <c r="A364" s="1"/>
      <c r="D364" s="1"/>
      <c r="H364" s="1"/>
      <c r="L364" s="1"/>
    </row>
    <row r="365" spans="1:12" ht="13.8">
      <c r="A365" s="1"/>
      <c r="D365" s="1"/>
      <c r="H365" s="1"/>
      <c r="L365" s="1"/>
    </row>
    <row r="366" spans="1:12" ht="13.8">
      <c r="A366" s="1"/>
      <c r="D366" s="1"/>
      <c r="H366" s="1"/>
      <c r="L366" s="1"/>
    </row>
    <row r="367" spans="1:12" ht="13.8">
      <c r="A367" s="1"/>
      <c r="D367" s="1"/>
      <c r="H367" s="1"/>
      <c r="L367" s="1"/>
    </row>
    <row r="368" spans="1:12" ht="13.8">
      <c r="A368" s="1"/>
      <c r="D368" s="1"/>
      <c r="H368" s="1"/>
      <c r="L368" s="1"/>
    </row>
    <row r="369" spans="1:12" ht="13.8">
      <c r="A369" s="1"/>
      <c r="D369" s="1"/>
      <c r="H369" s="1"/>
      <c r="L369" s="1"/>
    </row>
    <row r="370" spans="1:12" ht="13.8">
      <c r="A370" s="1"/>
      <c r="D370" s="1"/>
      <c r="H370" s="1"/>
      <c r="L370" s="1"/>
    </row>
    <row r="371" spans="1:12" ht="13.8">
      <c r="A371" s="1"/>
      <c r="D371" s="1"/>
      <c r="H371" s="1"/>
      <c r="L371" s="1"/>
    </row>
    <row r="372" spans="1:12" ht="13.8">
      <c r="A372" s="1"/>
      <c r="D372" s="1"/>
      <c r="H372" s="1"/>
      <c r="L372" s="1"/>
    </row>
    <row r="373" spans="1:12" ht="13.8">
      <c r="A373" s="1"/>
      <c r="D373" s="1"/>
      <c r="H373" s="1"/>
      <c r="L373" s="1"/>
    </row>
    <row r="374" spans="1:12" ht="13.8">
      <c r="A374" s="1"/>
      <c r="D374" s="1"/>
      <c r="H374" s="1"/>
      <c r="L374" s="1"/>
    </row>
    <row r="375" spans="1:12" ht="13.8">
      <c r="A375" s="1"/>
      <c r="D375" s="1"/>
      <c r="H375" s="1"/>
      <c r="L375" s="1"/>
    </row>
    <row r="376" spans="1:12" ht="13.8">
      <c r="A376" s="1"/>
      <c r="D376" s="1"/>
      <c r="H376" s="1"/>
      <c r="L376" s="1"/>
    </row>
    <row r="377" spans="1:12" ht="13.8">
      <c r="A377" s="1"/>
      <c r="D377" s="1"/>
      <c r="H377" s="1"/>
      <c r="L377" s="1"/>
    </row>
    <row r="378" spans="1:12" ht="13.8">
      <c r="A378" s="1"/>
      <c r="D378" s="1"/>
      <c r="H378" s="1"/>
      <c r="L378" s="1"/>
    </row>
    <row r="379" spans="1:12" ht="13.8">
      <c r="A379" s="1"/>
      <c r="D379" s="1"/>
      <c r="H379" s="1"/>
      <c r="L379" s="1"/>
    </row>
    <row r="380" spans="1:12" ht="13.8">
      <c r="A380" s="1"/>
      <c r="D380" s="1"/>
      <c r="H380" s="1"/>
      <c r="L380" s="1"/>
    </row>
    <row r="381" spans="1:12" ht="13.8">
      <c r="A381" s="1"/>
      <c r="D381" s="1"/>
      <c r="H381" s="1"/>
      <c r="L381" s="1"/>
    </row>
    <row r="382" spans="1:12" ht="13.8">
      <c r="A382" s="1"/>
      <c r="D382" s="1"/>
      <c r="H382" s="1"/>
      <c r="L382" s="1"/>
    </row>
    <row r="383" spans="1:12" ht="13.8">
      <c r="A383" s="1"/>
      <c r="D383" s="1"/>
      <c r="H383" s="1"/>
      <c r="L383" s="1"/>
    </row>
    <row r="384" spans="1:12" ht="13.8">
      <c r="A384" s="1"/>
      <c r="D384" s="1"/>
      <c r="H384" s="1"/>
      <c r="L384" s="1"/>
    </row>
    <row r="385" spans="1:12" ht="13.8">
      <c r="A385" s="1"/>
      <c r="D385" s="1"/>
      <c r="H385" s="1"/>
      <c r="L385" s="1"/>
    </row>
    <row r="386" spans="1:12" ht="13.8">
      <c r="A386" s="1"/>
      <c r="D386" s="1"/>
      <c r="H386" s="1"/>
      <c r="L386" s="1"/>
    </row>
    <row r="387" spans="1:12" ht="13.8">
      <c r="A387" s="1"/>
      <c r="D387" s="1"/>
      <c r="H387" s="1"/>
      <c r="L387" s="1"/>
    </row>
    <row r="388" spans="1:12" ht="13.8">
      <c r="A388" s="1"/>
      <c r="D388" s="1"/>
      <c r="H388" s="1"/>
      <c r="L388" s="1"/>
    </row>
    <row r="389" spans="1:12" ht="13.8">
      <c r="A389" s="1"/>
      <c r="D389" s="1"/>
      <c r="H389" s="1"/>
      <c r="L389" s="1"/>
    </row>
    <row r="390" spans="1:12" ht="13.8">
      <c r="A390" s="1"/>
      <c r="D390" s="1"/>
      <c r="H390" s="1"/>
      <c r="L390" s="1"/>
    </row>
    <row r="391" spans="1:12" ht="13.8">
      <c r="A391" s="1"/>
      <c r="D391" s="1"/>
      <c r="H391" s="1"/>
      <c r="L391" s="1"/>
    </row>
    <row r="392" spans="1:12" ht="13.8">
      <c r="A392" s="1"/>
      <c r="D392" s="1"/>
      <c r="H392" s="1"/>
      <c r="L392" s="1"/>
    </row>
    <row r="393" spans="1:12" ht="13.8">
      <c r="A393" s="1"/>
      <c r="D393" s="1"/>
      <c r="H393" s="1"/>
      <c r="L393" s="1"/>
    </row>
    <row r="394" spans="1:12" ht="13.8">
      <c r="A394" s="1"/>
      <c r="D394" s="1"/>
      <c r="H394" s="1"/>
      <c r="L394" s="1"/>
    </row>
    <row r="395" spans="1:12" ht="13.8">
      <c r="A395" s="1"/>
      <c r="D395" s="1"/>
      <c r="H395" s="1"/>
      <c r="L395" s="1"/>
    </row>
    <row r="396" spans="1:12" ht="13.8">
      <c r="A396" s="1"/>
      <c r="D396" s="1"/>
      <c r="H396" s="1"/>
      <c r="L396" s="1"/>
    </row>
    <row r="397" spans="1:12" ht="13.8">
      <c r="A397" s="1"/>
      <c r="D397" s="1"/>
      <c r="H397" s="1"/>
      <c r="L397" s="1"/>
    </row>
    <row r="398" spans="1:12" ht="13.8">
      <c r="A398" s="1"/>
      <c r="D398" s="1"/>
      <c r="H398" s="1"/>
      <c r="L398" s="1"/>
    </row>
    <row r="399" spans="1:12" ht="13.8">
      <c r="A399" s="1"/>
      <c r="D399" s="1"/>
      <c r="H399" s="1"/>
      <c r="L399" s="1"/>
    </row>
    <row r="400" spans="1:12" ht="13.8">
      <c r="A400" s="1"/>
      <c r="D400" s="1"/>
      <c r="H400" s="1"/>
      <c r="L400" s="1"/>
    </row>
    <row r="401" spans="1:12" ht="13.8">
      <c r="A401" s="1"/>
      <c r="D401" s="1"/>
      <c r="H401" s="1"/>
      <c r="L401" s="1"/>
    </row>
    <row r="402" spans="1:12" ht="13.8">
      <c r="A402" s="1"/>
      <c r="D402" s="1"/>
      <c r="H402" s="1"/>
      <c r="L402" s="1"/>
    </row>
    <row r="403" spans="1:12" ht="13.8">
      <c r="A403" s="1"/>
      <c r="D403" s="1"/>
      <c r="H403" s="1"/>
      <c r="L403" s="1"/>
    </row>
    <row r="404" spans="1:12" ht="13.8">
      <c r="A404" s="1"/>
      <c r="D404" s="1"/>
      <c r="H404" s="1"/>
      <c r="L404" s="1"/>
    </row>
    <row r="405" spans="1:12" ht="13.8">
      <c r="A405" s="1"/>
      <c r="D405" s="1"/>
      <c r="H405" s="1"/>
      <c r="L405" s="1"/>
    </row>
    <row r="406" spans="1:12" ht="13.8">
      <c r="A406" s="1"/>
      <c r="D406" s="1"/>
      <c r="H406" s="1"/>
      <c r="L406" s="1"/>
    </row>
    <row r="407" spans="1:12" ht="13.8">
      <c r="A407" s="1"/>
      <c r="D407" s="1"/>
      <c r="H407" s="1"/>
      <c r="L407" s="1"/>
    </row>
    <row r="408" spans="1:12" ht="13.8">
      <c r="A408" s="1"/>
      <c r="D408" s="1"/>
      <c r="H408" s="1"/>
      <c r="L408" s="1"/>
    </row>
    <row r="409" spans="1:12" ht="13.8">
      <c r="A409" s="1"/>
      <c r="D409" s="1"/>
      <c r="H409" s="1"/>
      <c r="L409" s="1"/>
    </row>
    <row r="410" spans="1:12" ht="13.8">
      <c r="A410" s="1"/>
      <c r="D410" s="1"/>
      <c r="H410" s="1"/>
      <c r="L410" s="1"/>
    </row>
    <row r="411" spans="1:12" ht="13.8">
      <c r="A411" s="1"/>
      <c r="D411" s="1"/>
      <c r="H411" s="1"/>
      <c r="L411" s="1"/>
    </row>
    <row r="412" spans="1:12" ht="13.8">
      <c r="A412" s="1"/>
      <c r="D412" s="1"/>
      <c r="H412" s="1"/>
      <c r="L412" s="1"/>
    </row>
    <row r="413" spans="1:12" ht="13.8">
      <c r="A413" s="1"/>
      <c r="D413" s="1"/>
      <c r="H413" s="1"/>
      <c r="L413" s="1"/>
    </row>
    <row r="414" spans="1:12" ht="13.8">
      <c r="A414" s="1"/>
      <c r="D414" s="1"/>
      <c r="H414" s="1"/>
      <c r="L414" s="1"/>
    </row>
    <row r="415" spans="1:12" ht="13.8">
      <c r="A415" s="1"/>
      <c r="D415" s="1"/>
      <c r="H415" s="1"/>
      <c r="L415" s="1"/>
    </row>
    <row r="416" spans="1:12" ht="13.8">
      <c r="A416" s="1"/>
      <c r="D416" s="1"/>
      <c r="H416" s="1"/>
      <c r="L416" s="1"/>
    </row>
    <row r="417" spans="1:12" ht="13.8">
      <c r="A417" s="1"/>
      <c r="D417" s="1"/>
      <c r="H417" s="1"/>
      <c r="L417" s="1"/>
    </row>
    <row r="418" spans="1:12" ht="13.8">
      <c r="A418" s="1"/>
      <c r="D418" s="1"/>
      <c r="H418" s="1"/>
      <c r="L418" s="1"/>
    </row>
    <row r="419" spans="1:12" ht="13.8">
      <c r="A419" s="1"/>
      <c r="D419" s="1"/>
      <c r="H419" s="1"/>
      <c r="L419" s="1"/>
    </row>
    <row r="420" spans="1:12" ht="13.8">
      <c r="A420" s="1"/>
      <c r="D420" s="1"/>
      <c r="H420" s="1"/>
      <c r="L420" s="1"/>
    </row>
    <row r="421" spans="1:12" ht="13.8">
      <c r="A421" s="1"/>
      <c r="D421" s="1"/>
      <c r="H421" s="1"/>
      <c r="L421" s="1"/>
    </row>
    <row r="422" spans="1:12" ht="13.8">
      <c r="A422" s="1"/>
      <c r="D422" s="1"/>
      <c r="H422" s="1"/>
      <c r="L422" s="1"/>
    </row>
    <row r="423" spans="1:12" ht="13.8">
      <c r="A423" s="1"/>
      <c r="D423" s="1"/>
      <c r="H423" s="1"/>
      <c r="L423" s="1"/>
    </row>
    <row r="424" spans="1:12" ht="13.8">
      <c r="A424" s="1"/>
      <c r="D424" s="1"/>
      <c r="H424" s="1"/>
      <c r="L424" s="1"/>
    </row>
    <row r="425" spans="1:12" ht="13.8">
      <c r="A425" s="1"/>
      <c r="D425" s="1"/>
      <c r="H425" s="1"/>
      <c r="L425" s="1"/>
    </row>
    <row r="426" spans="1:12" ht="13.8">
      <c r="A426" s="1"/>
      <c r="D426" s="1"/>
      <c r="H426" s="1"/>
      <c r="L426" s="1"/>
    </row>
    <row r="427" spans="1:12" ht="13.8">
      <c r="A427" s="1"/>
      <c r="D427" s="1"/>
      <c r="H427" s="1"/>
      <c r="L427" s="1"/>
    </row>
    <row r="428" spans="1:12" ht="13.8">
      <c r="A428" s="1"/>
      <c r="D428" s="1"/>
      <c r="H428" s="1"/>
      <c r="L428" s="1"/>
    </row>
    <row r="429" spans="1:12" ht="13.8">
      <c r="A429" s="1"/>
      <c r="D429" s="1"/>
      <c r="H429" s="1"/>
      <c r="L429" s="1"/>
    </row>
    <row r="430" spans="1:12" ht="13.8">
      <c r="A430" s="1"/>
      <c r="D430" s="1"/>
      <c r="H430" s="1"/>
      <c r="L430" s="1"/>
    </row>
    <row r="431" spans="1:12" ht="13.8">
      <c r="A431" s="1"/>
      <c r="D431" s="1"/>
      <c r="H431" s="1"/>
      <c r="L431" s="1"/>
    </row>
    <row r="432" spans="1:12" ht="13.8">
      <c r="A432" s="1"/>
      <c r="D432" s="1"/>
      <c r="H432" s="1"/>
      <c r="L432" s="1"/>
    </row>
    <row r="433" spans="1:12" ht="13.8">
      <c r="A433" s="1"/>
      <c r="D433" s="1"/>
      <c r="H433" s="1"/>
      <c r="L433" s="1"/>
    </row>
    <row r="434" spans="1:12" ht="13.8">
      <c r="A434" s="1"/>
      <c r="D434" s="1"/>
      <c r="H434" s="1"/>
      <c r="L434" s="1"/>
    </row>
    <row r="435" spans="1:12" ht="13.8">
      <c r="A435" s="1"/>
      <c r="D435" s="1"/>
      <c r="H435" s="1"/>
      <c r="L435" s="1"/>
    </row>
    <row r="436" spans="1:12" ht="13.8">
      <c r="A436" s="1"/>
      <c r="D436" s="1"/>
      <c r="H436" s="1"/>
      <c r="L436" s="1"/>
    </row>
    <row r="437" spans="1:12" ht="13.8">
      <c r="A437" s="1"/>
      <c r="D437" s="1"/>
      <c r="H437" s="1"/>
      <c r="L437" s="1"/>
    </row>
    <row r="438" spans="1:12" ht="13.8">
      <c r="A438" s="1"/>
      <c r="D438" s="1"/>
      <c r="H438" s="1"/>
      <c r="L438" s="1"/>
    </row>
    <row r="439" spans="1:12" ht="13.8">
      <c r="A439" s="1"/>
      <c r="D439" s="1"/>
      <c r="H439" s="1"/>
      <c r="L439" s="1"/>
    </row>
    <row r="440" spans="1:12" ht="13.8">
      <c r="A440" s="1"/>
      <c r="D440" s="1"/>
      <c r="H440" s="1"/>
      <c r="L440" s="1"/>
    </row>
    <row r="441" spans="1:12" ht="13.8">
      <c r="A441" s="1"/>
      <c r="D441" s="1"/>
      <c r="H441" s="1"/>
      <c r="L441" s="1"/>
    </row>
    <row r="442" spans="1:12" ht="13.8">
      <c r="A442" s="1"/>
      <c r="D442" s="1"/>
      <c r="H442" s="1"/>
      <c r="L442" s="1"/>
    </row>
    <row r="443" spans="1:12" ht="13.8">
      <c r="A443" s="1"/>
      <c r="D443" s="1"/>
      <c r="H443" s="1"/>
      <c r="L443" s="1"/>
    </row>
    <row r="444" spans="1:12" ht="13.8">
      <c r="A444" s="1"/>
      <c r="D444" s="1"/>
      <c r="H444" s="1"/>
      <c r="L444" s="1"/>
    </row>
    <row r="445" spans="1:12" ht="13.8">
      <c r="A445" s="1"/>
      <c r="D445" s="1"/>
      <c r="H445" s="1"/>
      <c r="L445" s="1"/>
    </row>
    <row r="446" spans="1:12" ht="13.8">
      <c r="A446" s="1"/>
      <c r="D446" s="1"/>
      <c r="H446" s="1"/>
      <c r="L446" s="1"/>
    </row>
    <row r="447" spans="1:12" ht="13.8">
      <c r="A447" s="1"/>
      <c r="D447" s="1"/>
      <c r="H447" s="1"/>
      <c r="L447" s="1"/>
    </row>
    <row r="448" spans="1:12" ht="13.8">
      <c r="A448" s="1"/>
      <c r="D448" s="1"/>
      <c r="H448" s="1"/>
      <c r="L448" s="1"/>
    </row>
    <row r="449" spans="1:12" ht="13.8">
      <c r="A449" s="1"/>
      <c r="D449" s="1"/>
      <c r="H449" s="1"/>
      <c r="L449" s="1"/>
    </row>
    <row r="450" spans="1:12" ht="13.8">
      <c r="A450" s="1"/>
      <c r="D450" s="1"/>
      <c r="H450" s="1"/>
      <c r="L450" s="1"/>
    </row>
    <row r="451" spans="1:12" ht="13.8">
      <c r="A451" s="1"/>
      <c r="D451" s="1"/>
      <c r="H451" s="1"/>
      <c r="L451" s="1"/>
    </row>
    <row r="452" spans="1:12" ht="13.8">
      <c r="A452" s="1"/>
      <c r="D452" s="1"/>
      <c r="H452" s="1"/>
      <c r="L452" s="1"/>
    </row>
    <row r="453" spans="1:12" ht="13.8">
      <c r="A453" s="1"/>
      <c r="D453" s="1"/>
      <c r="H453" s="1"/>
      <c r="L453" s="1"/>
    </row>
    <row r="454" spans="1:12" ht="13.8">
      <c r="A454" s="1"/>
      <c r="D454" s="1"/>
      <c r="H454" s="1"/>
      <c r="L454" s="1"/>
    </row>
    <row r="455" spans="1:12" ht="13.8">
      <c r="A455" s="1"/>
      <c r="D455" s="1"/>
      <c r="H455" s="1"/>
      <c r="L455" s="1"/>
    </row>
    <row r="456" spans="1:12" ht="13.8">
      <c r="A456" s="1"/>
      <c r="D456" s="1"/>
      <c r="H456" s="1"/>
      <c r="L456" s="1"/>
    </row>
    <row r="457" spans="1:12" ht="13.8">
      <c r="A457" s="1"/>
      <c r="D457" s="1"/>
      <c r="H457" s="1"/>
      <c r="L457" s="1"/>
    </row>
    <row r="458" spans="1:12" ht="13.8">
      <c r="A458" s="1"/>
      <c r="D458" s="1"/>
      <c r="H458" s="1"/>
      <c r="L458" s="1"/>
    </row>
    <row r="459" spans="1:12" ht="13.8">
      <c r="A459" s="1"/>
      <c r="D459" s="1"/>
      <c r="H459" s="1"/>
      <c r="L459" s="1"/>
    </row>
    <row r="460" spans="1:12" ht="13.8">
      <c r="A460" s="1"/>
      <c r="D460" s="1"/>
      <c r="H460" s="1"/>
      <c r="L460" s="1"/>
    </row>
    <row r="461" spans="1:12" ht="13.8">
      <c r="A461" s="1"/>
      <c r="D461" s="1"/>
      <c r="H461" s="1"/>
      <c r="L461" s="1"/>
    </row>
    <row r="462" spans="1:12" ht="13.8">
      <c r="A462" s="1"/>
      <c r="D462" s="1"/>
      <c r="H462" s="1"/>
      <c r="L462" s="1"/>
    </row>
    <row r="463" spans="1:12" ht="13.8">
      <c r="A463" s="1"/>
      <c r="D463" s="1"/>
      <c r="H463" s="1"/>
      <c r="L463" s="1"/>
    </row>
    <row r="464" spans="1:12" ht="13.8">
      <c r="A464" s="1"/>
      <c r="D464" s="1"/>
      <c r="H464" s="1"/>
      <c r="L464" s="1"/>
    </row>
    <row r="465" spans="1:12" ht="13.8">
      <c r="A465" s="1"/>
      <c r="D465" s="1"/>
      <c r="H465" s="1"/>
      <c r="L465" s="1"/>
    </row>
    <row r="466" spans="1:12" ht="13.8">
      <c r="A466" s="1"/>
      <c r="D466" s="1"/>
      <c r="H466" s="1"/>
      <c r="L466" s="1"/>
    </row>
    <row r="467" spans="1:12" ht="13.8">
      <c r="A467" s="1"/>
      <c r="D467" s="1"/>
      <c r="H467" s="1"/>
      <c r="L467" s="1"/>
    </row>
    <row r="468" spans="1:12" ht="13.8">
      <c r="A468" s="1"/>
      <c r="D468" s="1"/>
      <c r="H468" s="1"/>
      <c r="L468" s="1"/>
    </row>
    <row r="469" spans="1:12" ht="13.8">
      <c r="A469" s="1"/>
      <c r="D469" s="1"/>
      <c r="H469" s="1"/>
      <c r="L469" s="1"/>
    </row>
    <row r="470" spans="1:12" ht="13.8">
      <c r="A470" s="1"/>
      <c r="D470" s="1"/>
      <c r="H470" s="1"/>
      <c r="L470" s="1"/>
    </row>
    <row r="471" spans="1:12" ht="13.8">
      <c r="A471" s="1"/>
      <c r="D471" s="1"/>
      <c r="H471" s="1"/>
      <c r="L471" s="1"/>
    </row>
    <row r="472" spans="1:12" ht="13.8">
      <c r="A472" s="1"/>
      <c r="D472" s="1"/>
      <c r="H472" s="1"/>
      <c r="L472" s="1"/>
    </row>
    <row r="473" spans="1:12" ht="13.8">
      <c r="A473" s="1"/>
      <c r="D473" s="1"/>
      <c r="H473" s="1"/>
      <c r="L473" s="1"/>
    </row>
    <row r="474" spans="1:12" ht="13.8">
      <c r="A474" s="1"/>
      <c r="D474" s="1"/>
      <c r="H474" s="1"/>
      <c r="L474" s="1"/>
    </row>
    <row r="475" spans="1:12" ht="13.8">
      <c r="A475" s="1"/>
      <c r="D475" s="1"/>
      <c r="H475" s="1"/>
      <c r="L475" s="1"/>
    </row>
    <row r="476" spans="1:12" ht="13.8">
      <c r="A476" s="1"/>
      <c r="D476" s="1"/>
      <c r="H476" s="1"/>
      <c r="L476" s="1"/>
    </row>
    <row r="477" spans="1:12" ht="13.8">
      <c r="A477" s="1"/>
      <c r="D477" s="1"/>
      <c r="H477" s="1"/>
      <c r="L477" s="1"/>
    </row>
    <row r="478" spans="1:12" ht="13.8">
      <c r="A478" s="1"/>
      <c r="D478" s="1"/>
      <c r="H478" s="1"/>
      <c r="L478" s="1"/>
    </row>
    <row r="479" spans="1:12" ht="13.8">
      <c r="A479" s="1"/>
      <c r="D479" s="1"/>
      <c r="H479" s="1"/>
      <c r="L479" s="1"/>
    </row>
    <row r="480" spans="1:12" ht="13.8">
      <c r="A480" s="1"/>
      <c r="D480" s="1"/>
      <c r="H480" s="1"/>
      <c r="L480" s="1"/>
    </row>
    <row r="481" spans="1:12" ht="13.8">
      <c r="A481" s="1"/>
      <c r="D481" s="1"/>
      <c r="H481" s="1"/>
      <c r="L481" s="1"/>
    </row>
    <row r="482" spans="1:12" ht="13.8">
      <c r="A482" s="1"/>
      <c r="D482" s="1"/>
      <c r="H482" s="1"/>
      <c r="L482" s="1"/>
    </row>
    <row r="483" spans="1:12" ht="13.8">
      <c r="A483" s="1"/>
      <c r="D483" s="1"/>
      <c r="H483" s="1"/>
      <c r="L483" s="1"/>
    </row>
    <row r="484" spans="1:12" ht="13.8">
      <c r="A484" s="1"/>
      <c r="D484" s="1"/>
      <c r="H484" s="1"/>
      <c r="L484" s="1"/>
    </row>
    <row r="485" spans="1:12" ht="13.8">
      <c r="A485" s="1"/>
      <c r="D485" s="1"/>
      <c r="H485" s="1"/>
      <c r="L485" s="1"/>
    </row>
    <row r="486" spans="1:12" ht="13.8">
      <c r="A486" s="1"/>
      <c r="D486" s="1"/>
      <c r="H486" s="1"/>
      <c r="L486" s="1"/>
    </row>
    <row r="487" spans="1:12" ht="13.8">
      <c r="A487" s="1"/>
      <c r="D487" s="1"/>
      <c r="H487" s="1"/>
      <c r="L487" s="1"/>
    </row>
    <row r="488" spans="1:12" ht="13.8">
      <c r="A488" s="1"/>
      <c r="D488" s="1"/>
      <c r="H488" s="1"/>
      <c r="L488" s="1"/>
    </row>
    <row r="489" spans="1:12" ht="13.8">
      <c r="A489" s="1"/>
      <c r="D489" s="1"/>
      <c r="H489" s="1"/>
      <c r="L489" s="1"/>
    </row>
    <row r="490" spans="1:12" ht="13.8">
      <c r="A490" s="1"/>
      <c r="D490" s="1"/>
      <c r="H490" s="1"/>
      <c r="L490" s="1"/>
    </row>
    <row r="491" spans="1:12" ht="13.8">
      <c r="A491" s="1"/>
      <c r="D491" s="1"/>
      <c r="H491" s="1"/>
      <c r="L491" s="1"/>
    </row>
    <row r="492" spans="1:12" ht="13.8">
      <c r="A492" s="1"/>
      <c r="D492" s="1"/>
      <c r="H492" s="1"/>
      <c r="L492" s="1"/>
    </row>
    <row r="493" spans="1:12" ht="13.8">
      <c r="A493" s="1"/>
      <c r="D493" s="1"/>
      <c r="H493" s="1"/>
      <c r="L493" s="1"/>
    </row>
    <row r="494" spans="1:12" ht="13.8">
      <c r="A494" s="1"/>
      <c r="D494" s="1"/>
      <c r="H494" s="1"/>
      <c r="L494" s="1"/>
    </row>
    <row r="495" spans="1:12" ht="13.8">
      <c r="A495" s="1"/>
      <c r="D495" s="1"/>
      <c r="H495" s="1"/>
      <c r="L495" s="1"/>
    </row>
    <row r="496" spans="1:12" ht="13.8">
      <c r="A496" s="1"/>
      <c r="D496" s="1"/>
      <c r="H496" s="1"/>
      <c r="L496" s="1"/>
    </row>
    <row r="497" spans="1:12" ht="13.8">
      <c r="A497" s="1"/>
      <c r="D497" s="1"/>
      <c r="H497" s="1"/>
      <c r="L497" s="1"/>
    </row>
    <row r="498" spans="1:12" ht="13.8">
      <c r="A498" s="1"/>
      <c r="D498" s="1"/>
      <c r="H498" s="1"/>
      <c r="L498" s="1"/>
    </row>
    <row r="499" spans="1:12" ht="13.8">
      <c r="A499" s="1"/>
      <c r="D499" s="1"/>
      <c r="H499" s="1"/>
      <c r="L499" s="1"/>
    </row>
    <row r="500" spans="1:12" ht="13.8">
      <c r="A500" s="1"/>
      <c r="D500" s="1"/>
      <c r="H500" s="1"/>
      <c r="L500" s="1"/>
    </row>
    <row r="501" spans="1:12" ht="13.8">
      <c r="A501" s="1"/>
      <c r="D501" s="1"/>
      <c r="H501" s="1"/>
      <c r="L501" s="1"/>
    </row>
    <row r="502" spans="1:12" ht="13.8">
      <c r="A502" s="1"/>
      <c r="D502" s="1"/>
      <c r="H502" s="1"/>
      <c r="L502" s="1"/>
    </row>
    <row r="503" spans="1:12" ht="13.8">
      <c r="A503" s="1"/>
      <c r="D503" s="1"/>
      <c r="H503" s="1"/>
      <c r="L503" s="1"/>
    </row>
    <row r="504" spans="1:12" ht="13.8">
      <c r="A504" s="1"/>
      <c r="D504" s="1"/>
      <c r="H504" s="1"/>
      <c r="L504" s="1"/>
    </row>
    <row r="505" spans="1:12" ht="13.8">
      <c r="A505" s="1"/>
      <c r="D505" s="1"/>
      <c r="H505" s="1"/>
      <c r="L505" s="1"/>
    </row>
    <row r="506" spans="1:12" ht="13.8">
      <c r="A506" s="1"/>
      <c r="D506" s="1"/>
      <c r="H506" s="1"/>
      <c r="L506" s="1"/>
    </row>
    <row r="507" spans="1:12" ht="13.8">
      <c r="A507" s="1"/>
      <c r="D507" s="1"/>
      <c r="H507" s="1"/>
      <c r="L507" s="1"/>
    </row>
    <row r="508" spans="1:12" ht="13.8">
      <c r="A508" s="1"/>
      <c r="D508" s="1"/>
      <c r="H508" s="1"/>
      <c r="L508" s="1"/>
    </row>
    <row r="509" spans="1:12" ht="13.8">
      <c r="A509" s="1"/>
      <c r="D509" s="1"/>
      <c r="H509" s="1"/>
      <c r="L509" s="1"/>
    </row>
    <row r="510" spans="1:12" ht="13.8">
      <c r="A510" s="1"/>
      <c r="D510" s="1"/>
      <c r="H510" s="1"/>
      <c r="L510" s="1"/>
    </row>
    <row r="511" spans="1:12" ht="13.8">
      <c r="A511" s="1"/>
      <c r="D511" s="1"/>
      <c r="H511" s="1"/>
      <c r="L511" s="1"/>
    </row>
    <row r="512" spans="1:12" ht="13.8">
      <c r="A512" s="1"/>
      <c r="D512" s="1"/>
      <c r="H512" s="1"/>
      <c r="L512" s="1"/>
    </row>
    <row r="513" spans="1:12" ht="13.8">
      <c r="A513" s="1"/>
      <c r="D513" s="1"/>
      <c r="H513" s="1"/>
      <c r="L513" s="1"/>
    </row>
    <row r="514" spans="1:12" ht="13.8">
      <c r="A514" s="1"/>
      <c r="D514" s="1"/>
      <c r="H514" s="1"/>
      <c r="L514" s="1"/>
    </row>
    <row r="515" spans="1:12" ht="13.8">
      <c r="A515" s="1"/>
      <c r="D515" s="1"/>
      <c r="H515" s="1"/>
      <c r="L515" s="1"/>
    </row>
    <row r="516" spans="1:12" ht="13.8">
      <c r="A516" s="1"/>
      <c r="D516" s="1"/>
      <c r="H516" s="1"/>
      <c r="L516" s="1"/>
    </row>
    <row r="517" spans="1:12" ht="13.8">
      <c r="A517" s="1"/>
      <c r="D517" s="1"/>
      <c r="H517" s="1"/>
      <c r="L517" s="1"/>
    </row>
    <row r="518" spans="1:12" ht="13.8">
      <c r="A518" s="1"/>
      <c r="D518" s="1"/>
      <c r="H518" s="1"/>
      <c r="L518" s="1"/>
    </row>
    <row r="519" spans="1:12" ht="13.8">
      <c r="A519" s="1"/>
      <c r="D519" s="1"/>
      <c r="H519" s="1"/>
      <c r="L519" s="1"/>
    </row>
    <row r="520" spans="1:12" ht="13.8">
      <c r="A520" s="1"/>
      <c r="D520" s="1"/>
      <c r="H520" s="1"/>
      <c r="L520" s="1"/>
    </row>
    <row r="521" spans="1:12" ht="13.8">
      <c r="A521" s="1"/>
      <c r="D521" s="1"/>
      <c r="H521" s="1"/>
      <c r="L521" s="1"/>
    </row>
    <row r="522" spans="1:12" ht="13.8">
      <c r="A522" s="1"/>
      <c r="D522" s="1"/>
      <c r="H522" s="1"/>
      <c r="L522" s="1"/>
    </row>
    <row r="523" spans="1:12" ht="13.8">
      <c r="A523" s="1"/>
      <c r="D523" s="1"/>
      <c r="H523" s="1"/>
      <c r="L523" s="1"/>
    </row>
    <row r="524" spans="1:12" ht="13.8">
      <c r="A524" s="1"/>
      <c r="D524" s="1"/>
      <c r="H524" s="1"/>
      <c r="L524" s="1"/>
    </row>
    <row r="525" spans="1:12" ht="13.8">
      <c r="A525" s="1"/>
      <c r="D525" s="1"/>
      <c r="H525" s="1"/>
      <c r="L525" s="1"/>
    </row>
    <row r="526" spans="1:12" ht="13.8">
      <c r="A526" s="1"/>
      <c r="D526" s="1"/>
      <c r="H526" s="1"/>
      <c r="L526" s="1"/>
    </row>
    <row r="527" spans="1:12" ht="13.8">
      <c r="A527" s="1"/>
      <c r="D527" s="1"/>
      <c r="H527" s="1"/>
      <c r="L527" s="1"/>
    </row>
    <row r="528" spans="1:12" ht="13.8">
      <c r="A528" s="1"/>
      <c r="D528" s="1"/>
      <c r="H528" s="1"/>
      <c r="L528" s="1"/>
    </row>
    <row r="529" spans="1:12" ht="13.8">
      <c r="A529" s="1"/>
      <c r="D529" s="1"/>
      <c r="H529" s="1"/>
      <c r="L529" s="1"/>
    </row>
    <row r="530" spans="1:12" ht="13.8">
      <c r="A530" s="1"/>
      <c r="D530" s="1"/>
      <c r="H530" s="1"/>
      <c r="L530" s="1"/>
    </row>
    <row r="531" spans="1:12" ht="13.8">
      <c r="A531" s="1"/>
      <c r="D531" s="1"/>
      <c r="H531" s="1"/>
      <c r="L531" s="1"/>
    </row>
    <row r="532" spans="1:12" ht="13.8">
      <c r="A532" s="1"/>
      <c r="D532" s="1"/>
      <c r="H532" s="1"/>
      <c r="L532" s="1"/>
    </row>
    <row r="533" spans="1:12" ht="13.8">
      <c r="A533" s="1"/>
      <c r="D533" s="1"/>
      <c r="H533" s="1"/>
      <c r="L533" s="1"/>
    </row>
    <row r="534" spans="1:12" ht="13.8">
      <c r="A534" s="1"/>
      <c r="D534" s="1"/>
      <c r="H534" s="1"/>
      <c r="L534" s="1"/>
    </row>
    <row r="535" spans="1:12" ht="13.8">
      <c r="A535" s="1"/>
      <c r="D535" s="1"/>
      <c r="H535" s="1"/>
      <c r="L535" s="1"/>
    </row>
    <row r="536" spans="1:12" ht="13.8">
      <c r="A536" s="1"/>
      <c r="D536" s="1"/>
      <c r="H536" s="1"/>
      <c r="L536" s="1"/>
    </row>
    <row r="537" spans="1:12" ht="13.8">
      <c r="A537" s="1"/>
      <c r="D537" s="1"/>
      <c r="H537" s="1"/>
      <c r="L537" s="1"/>
    </row>
    <row r="538" spans="1:12" ht="13.8">
      <c r="A538" s="1"/>
      <c r="D538" s="1"/>
      <c r="H538" s="1"/>
      <c r="L538" s="1"/>
    </row>
    <row r="539" spans="1:12" ht="13.8">
      <c r="A539" s="1"/>
      <c r="D539" s="1"/>
      <c r="H539" s="1"/>
      <c r="L539" s="1"/>
    </row>
    <row r="540" spans="1:12" ht="13.8">
      <c r="A540" s="1"/>
      <c r="D540" s="1"/>
      <c r="H540" s="1"/>
      <c r="L540" s="1"/>
    </row>
    <row r="541" spans="1:12" ht="13.8">
      <c r="A541" s="1"/>
      <c r="D541" s="1"/>
      <c r="H541" s="1"/>
      <c r="L541" s="1"/>
    </row>
    <row r="542" spans="1:12" ht="13.8">
      <c r="A542" s="1"/>
      <c r="D542" s="1"/>
      <c r="H542" s="1"/>
      <c r="L542" s="1"/>
    </row>
    <row r="543" spans="1:12" ht="13.8">
      <c r="A543" s="1"/>
      <c r="D543" s="1"/>
      <c r="H543" s="1"/>
      <c r="L543" s="1"/>
    </row>
    <row r="544" spans="1:12" ht="13.8">
      <c r="A544" s="1"/>
      <c r="D544" s="1"/>
      <c r="H544" s="1"/>
      <c r="L544" s="1"/>
    </row>
    <row r="545" spans="1:12" ht="13.8">
      <c r="A545" s="1"/>
      <c r="D545" s="1"/>
      <c r="H545" s="1"/>
      <c r="L545" s="1"/>
    </row>
    <row r="546" spans="1:12" ht="13.8">
      <c r="A546" s="1"/>
      <c r="D546" s="1"/>
      <c r="H546" s="1"/>
      <c r="L546" s="1"/>
    </row>
    <row r="547" spans="1:12" ht="13.8">
      <c r="A547" s="1"/>
      <c r="D547" s="1"/>
      <c r="H547" s="1"/>
      <c r="L547" s="1"/>
    </row>
    <row r="548" spans="1:12" ht="13.8">
      <c r="A548" s="1"/>
      <c r="D548" s="1"/>
      <c r="H548" s="1"/>
      <c r="L548" s="1"/>
    </row>
    <row r="549" spans="1:12" ht="13.8">
      <c r="A549" s="1"/>
      <c r="D549" s="1"/>
      <c r="H549" s="1"/>
      <c r="L549" s="1"/>
    </row>
    <row r="550" spans="1:12" ht="13.8">
      <c r="A550" s="1"/>
      <c r="D550" s="1"/>
      <c r="H550" s="1"/>
      <c r="L550" s="1"/>
    </row>
    <row r="551" spans="1:12" ht="13.8">
      <c r="A551" s="1"/>
      <c r="D551" s="1"/>
      <c r="H551" s="1"/>
      <c r="L551" s="1"/>
    </row>
    <row r="552" spans="1:12" ht="13.8">
      <c r="A552" s="1"/>
      <c r="D552" s="1"/>
      <c r="H552" s="1"/>
      <c r="L552" s="1"/>
    </row>
    <row r="553" spans="1:12" ht="13.8">
      <c r="A553" s="1"/>
      <c r="D553" s="1"/>
      <c r="H553" s="1"/>
      <c r="L553" s="1"/>
    </row>
    <row r="554" spans="1:12" ht="13.8">
      <c r="A554" s="1"/>
      <c r="D554" s="1"/>
      <c r="H554" s="1"/>
      <c r="L554" s="1"/>
    </row>
    <row r="555" spans="1:12" ht="13.8">
      <c r="A555" s="1"/>
      <c r="D555" s="1"/>
      <c r="H555" s="1"/>
      <c r="L555" s="1"/>
    </row>
    <row r="556" spans="1:12" ht="13.8">
      <c r="A556" s="1"/>
      <c r="D556" s="1"/>
      <c r="H556" s="1"/>
      <c r="L556" s="1"/>
    </row>
    <row r="557" spans="1:12" ht="13.8">
      <c r="A557" s="1"/>
      <c r="D557" s="1"/>
      <c r="H557" s="1"/>
      <c r="L557" s="1"/>
    </row>
    <row r="558" spans="1:12" ht="13.8">
      <c r="A558" s="1"/>
      <c r="D558" s="1"/>
      <c r="H558" s="1"/>
      <c r="L558" s="1"/>
    </row>
    <row r="559" spans="1:12" ht="13.8">
      <c r="A559" s="1"/>
      <c r="D559" s="1"/>
      <c r="H559" s="1"/>
      <c r="L559" s="1"/>
    </row>
    <row r="560" spans="1:12" ht="13.8">
      <c r="A560" s="1"/>
      <c r="D560" s="1"/>
      <c r="H560" s="1"/>
      <c r="L560" s="1"/>
    </row>
    <row r="561" spans="1:12" ht="13.8">
      <c r="A561" s="1"/>
      <c r="D561" s="1"/>
      <c r="H561" s="1"/>
      <c r="L561" s="1"/>
    </row>
    <row r="562" spans="1:12" ht="13.8">
      <c r="A562" s="1"/>
      <c r="D562" s="1"/>
      <c r="H562" s="1"/>
      <c r="L562" s="1"/>
    </row>
    <row r="563" spans="1:12" ht="13.8">
      <c r="A563" s="1"/>
      <c r="D563" s="1"/>
      <c r="H563" s="1"/>
      <c r="L563" s="1"/>
    </row>
    <row r="564" spans="1:12" ht="13.8">
      <c r="A564" s="1"/>
      <c r="D564" s="1"/>
      <c r="H564" s="1"/>
      <c r="L564" s="1"/>
    </row>
    <row r="565" spans="1:12" ht="13.8">
      <c r="A565" s="1"/>
      <c r="D565" s="1"/>
      <c r="H565" s="1"/>
      <c r="L565" s="1"/>
    </row>
    <row r="566" spans="1:12" ht="13.8">
      <c r="A566" s="1"/>
      <c r="D566" s="1"/>
      <c r="H566" s="1"/>
      <c r="L566" s="1"/>
    </row>
    <row r="567" spans="1:12" ht="13.8">
      <c r="A567" s="1"/>
      <c r="D567" s="1"/>
      <c r="H567" s="1"/>
      <c r="L567" s="1"/>
    </row>
    <row r="568" spans="1:12" ht="13.8">
      <c r="A568" s="1"/>
      <c r="D568" s="1"/>
      <c r="H568" s="1"/>
      <c r="L568" s="1"/>
    </row>
    <row r="569" spans="1:12" ht="13.8">
      <c r="A569" s="1"/>
      <c r="D569" s="1"/>
      <c r="H569" s="1"/>
      <c r="L569" s="1"/>
    </row>
    <row r="570" spans="1:12" ht="13.8">
      <c r="A570" s="1"/>
      <c r="D570" s="1"/>
      <c r="H570" s="1"/>
      <c r="L570" s="1"/>
    </row>
    <row r="571" spans="1:12" ht="13.8">
      <c r="A571" s="1"/>
      <c r="D571" s="1"/>
      <c r="H571" s="1"/>
      <c r="L571" s="1"/>
    </row>
    <row r="572" spans="1:12" ht="13.8">
      <c r="A572" s="1"/>
      <c r="D572" s="1"/>
      <c r="H572" s="1"/>
      <c r="L572" s="1"/>
    </row>
    <row r="573" spans="1:12" ht="13.8">
      <c r="A573" s="1"/>
      <c r="D573" s="1"/>
      <c r="H573" s="1"/>
      <c r="L573" s="1"/>
    </row>
    <row r="574" spans="1:12" ht="13.8">
      <c r="A574" s="1"/>
      <c r="D574" s="1"/>
      <c r="H574" s="1"/>
      <c r="L574" s="1"/>
    </row>
    <row r="575" spans="1:12" ht="13.8">
      <c r="A575" s="1"/>
      <c r="D575" s="1"/>
      <c r="H575" s="1"/>
      <c r="L575" s="1"/>
    </row>
    <row r="576" spans="1:12" ht="13.8">
      <c r="A576" s="1"/>
      <c r="D576" s="1"/>
      <c r="H576" s="1"/>
      <c r="L576" s="1"/>
    </row>
    <row r="577" spans="1:12" ht="13.8">
      <c r="A577" s="1"/>
      <c r="D577" s="1"/>
      <c r="H577" s="1"/>
      <c r="L577" s="1"/>
    </row>
    <row r="578" spans="1:12" ht="13.8">
      <c r="A578" s="1"/>
      <c r="D578" s="1"/>
      <c r="H578" s="1"/>
      <c r="L578" s="1"/>
    </row>
    <row r="579" spans="1:12" ht="13.8">
      <c r="A579" s="1"/>
      <c r="D579" s="1"/>
      <c r="H579" s="1"/>
      <c r="L579" s="1"/>
    </row>
    <row r="580" spans="1:12" ht="13.8">
      <c r="A580" s="1"/>
      <c r="D580" s="1"/>
      <c r="H580" s="1"/>
      <c r="L580" s="1"/>
    </row>
    <row r="581" spans="1:12" ht="13.8">
      <c r="A581" s="1"/>
      <c r="D581" s="1"/>
      <c r="H581" s="1"/>
      <c r="L581" s="1"/>
    </row>
    <row r="582" spans="1:12" ht="13.8">
      <c r="A582" s="1"/>
      <c r="D582" s="1"/>
      <c r="H582" s="1"/>
      <c r="L582" s="1"/>
    </row>
    <row r="583" spans="1:12" ht="13.8">
      <c r="A583" s="1"/>
      <c r="D583" s="1"/>
      <c r="H583" s="1"/>
      <c r="L583" s="1"/>
    </row>
    <row r="584" spans="1:12" ht="13.8">
      <c r="A584" s="1"/>
      <c r="D584" s="1"/>
      <c r="H584" s="1"/>
      <c r="L584" s="1"/>
    </row>
    <row r="585" spans="1:12" ht="13.8">
      <c r="A585" s="1"/>
      <c r="D585" s="1"/>
      <c r="H585" s="1"/>
      <c r="L585" s="1"/>
    </row>
    <row r="586" spans="1:12" ht="13.8">
      <c r="A586" s="1"/>
      <c r="D586" s="1"/>
      <c r="H586" s="1"/>
      <c r="L586" s="1"/>
    </row>
    <row r="587" spans="1:12" ht="13.8">
      <c r="A587" s="1"/>
      <c r="D587" s="1"/>
      <c r="H587" s="1"/>
      <c r="L587" s="1"/>
    </row>
    <row r="588" spans="1:12" ht="13.8">
      <c r="A588" s="1"/>
      <c r="D588" s="1"/>
      <c r="H588" s="1"/>
      <c r="L588" s="1"/>
    </row>
    <row r="589" spans="1:12" ht="13.8">
      <c r="A589" s="1"/>
      <c r="D589" s="1"/>
      <c r="H589" s="1"/>
      <c r="L589" s="1"/>
    </row>
    <row r="590" spans="1:12" ht="13.8">
      <c r="A590" s="1"/>
      <c r="D590" s="1"/>
      <c r="H590" s="1"/>
      <c r="L590" s="1"/>
    </row>
    <row r="591" spans="1:12" ht="13.8">
      <c r="A591" s="1"/>
      <c r="D591" s="1"/>
      <c r="H591" s="1"/>
      <c r="L591" s="1"/>
    </row>
    <row r="592" spans="1:12" ht="13.8">
      <c r="A592" s="1"/>
      <c r="D592" s="1"/>
      <c r="H592" s="1"/>
      <c r="L592" s="1"/>
    </row>
    <row r="593" spans="1:12" ht="13.8">
      <c r="A593" s="1"/>
      <c r="D593" s="1"/>
      <c r="H593" s="1"/>
      <c r="L593" s="1"/>
    </row>
    <row r="594" spans="1:12" ht="13.8">
      <c r="A594" s="1"/>
      <c r="D594" s="1"/>
      <c r="H594" s="1"/>
      <c r="L594" s="1"/>
    </row>
    <row r="595" spans="1:12" ht="13.8">
      <c r="A595" s="1"/>
      <c r="D595" s="1"/>
      <c r="H595" s="1"/>
      <c r="L595" s="1"/>
    </row>
    <row r="596" spans="1:12" ht="13.8">
      <c r="A596" s="1"/>
      <c r="D596" s="1"/>
      <c r="H596" s="1"/>
      <c r="L596" s="1"/>
    </row>
    <row r="597" spans="1:12" ht="13.8">
      <c r="A597" s="1"/>
      <c r="D597" s="1"/>
      <c r="H597" s="1"/>
      <c r="L597" s="1"/>
    </row>
    <row r="598" spans="1:12" ht="13.8">
      <c r="A598" s="1"/>
      <c r="D598" s="1"/>
      <c r="H598" s="1"/>
      <c r="L598" s="1"/>
    </row>
    <row r="599" spans="1:12" ht="13.8">
      <c r="A599" s="1"/>
      <c r="D599" s="1"/>
      <c r="H599" s="1"/>
      <c r="L599" s="1"/>
    </row>
    <row r="600" spans="1:12" ht="13.8">
      <c r="A600" s="1"/>
      <c r="D600" s="1"/>
      <c r="H600" s="1"/>
      <c r="L600" s="1"/>
    </row>
    <row r="601" spans="1:12" ht="13.8">
      <c r="A601" s="1"/>
      <c r="D601" s="1"/>
      <c r="H601" s="1"/>
      <c r="L601" s="1"/>
    </row>
    <row r="602" spans="1:12" ht="13.8">
      <c r="A602" s="1"/>
      <c r="D602" s="1"/>
      <c r="H602" s="1"/>
      <c r="L602" s="1"/>
    </row>
    <row r="603" spans="1:12" ht="13.8">
      <c r="A603" s="1"/>
      <c r="D603" s="1"/>
      <c r="H603" s="1"/>
      <c r="L603" s="1"/>
    </row>
    <row r="604" spans="1:12" ht="13.8">
      <c r="A604" s="1"/>
      <c r="D604" s="1"/>
      <c r="H604" s="1"/>
      <c r="L604" s="1"/>
    </row>
    <row r="605" spans="1:12" ht="13.8">
      <c r="A605" s="1"/>
      <c r="D605" s="1"/>
      <c r="H605" s="1"/>
      <c r="L605" s="1"/>
    </row>
    <row r="606" spans="1:12" ht="13.8">
      <c r="A606" s="1"/>
      <c r="D606" s="1"/>
      <c r="H606" s="1"/>
      <c r="L606" s="1"/>
    </row>
    <row r="607" spans="1:12" ht="13.8">
      <c r="A607" s="1"/>
      <c r="D607" s="1"/>
      <c r="H607" s="1"/>
      <c r="L607" s="1"/>
    </row>
    <row r="608" spans="1:12" ht="13.8">
      <c r="A608" s="1"/>
      <c r="D608" s="1"/>
      <c r="H608" s="1"/>
      <c r="L608" s="1"/>
    </row>
    <row r="609" spans="1:12" ht="13.8">
      <c r="A609" s="1"/>
      <c r="D609" s="1"/>
      <c r="H609" s="1"/>
      <c r="L609" s="1"/>
    </row>
    <row r="610" spans="1:12" ht="13.8">
      <c r="A610" s="1"/>
      <c r="D610" s="1"/>
      <c r="H610" s="1"/>
      <c r="L610" s="1"/>
    </row>
    <row r="611" spans="1:12" ht="13.8">
      <c r="A611" s="1"/>
      <c r="D611" s="1"/>
      <c r="H611" s="1"/>
      <c r="L611" s="1"/>
    </row>
    <row r="612" spans="1:12" ht="13.8">
      <c r="A612" s="1"/>
      <c r="D612" s="1"/>
      <c r="H612" s="1"/>
      <c r="L612" s="1"/>
    </row>
    <row r="613" spans="1:12" ht="13.8">
      <c r="A613" s="1"/>
      <c r="D613" s="1"/>
      <c r="H613" s="1"/>
      <c r="L613" s="1"/>
    </row>
    <row r="614" spans="1:12" ht="13.8">
      <c r="A614" s="1"/>
      <c r="D614" s="1"/>
      <c r="H614" s="1"/>
      <c r="L614" s="1"/>
    </row>
    <row r="615" spans="1:12" ht="13.8">
      <c r="A615" s="1"/>
      <c r="D615" s="1"/>
      <c r="H615" s="1"/>
      <c r="L615" s="1"/>
    </row>
    <row r="616" spans="1:12" ht="13.8">
      <c r="A616" s="1"/>
      <c r="D616" s="1"/>
      <c r="H616" s="1"/>
      <c r="L616" s="1"/>
    </row>
    <row r="617" spans="1:12" ht="13.8">
      <c r="A617" s="1"/>
      <c r="D617" s="1"/>
      <c r="H617" s="1"/>
      <c r="L617" s="1"/>
    </row>
    <row r="618" spans="1:12" ht="13.8">
      <c r="A618" s="1"/>
      <c r="D618" s="1"/>
      <c r="H618" s="1"/>
      <c r="L618" s="1"/>
    </row>
    <row r="619" spans="1:12" ht="13.8">
      <c r="A619" s="1"/>
      <c r="D619" s="1"/>
      <c r="H619" s="1"/>
      <c r="L619" s="1"/>
    </row>
    <row r="620" spans="1:12" ht="13.8">
      <c r="A620" s="1"/>
      <c r="D620" s="1"/>
      <c r="H620" s="1"/>
      <c r="L620" s="1"/>
    </row>
    <row r="621" spans="1:12" ht="13.8">
      <c r="A621" s="1"/>
      <c r="D621" s="1"/>
      <c r="H621" s="1"/>
      <c r="L621" s="1"/>
    </row>
    <row r="622" spans="1:12" ht="13.8">
      <c r="A622" s="1"/>
      <c r="D622" s="1"/>
      <c r="H622" s="1"/>
      <c r="L622" s="1"/>
    </row>
    <row r="623" spans="1:12" ht="13.8">
      <c r="A623" s="1"/>
      <c r="D623" s="1"/>
      <c r="H623" s="1"/>
      <c r="L623" s="1"/>
    </row>
    <row r="624" spans="1:12" ht="13.8">
      <c r="A624" s="1"/>
      <c r="D624" s="1"/>
      <c r="H624" s="1"/>
      <c r="L624" s="1"/>
    </row>
    <row r="625" spans="1:12" ht="13.8">
      <c r="A625" s="1"/>
      <c r="D625" s="1"/>
      <c r="H625" s="1"/>
      <c r="L625" s="1"/>
    </row>
    <row r="626" spans="1:12" ht="13.8">
      <c r="A626" s="1"/>
      <c r="D626" s="1"/>
      <c r="H626" s="1"/>
      <c r="L626" s="1"/>
    </row>
    <row r="627" spans="1:12" ht="13.8">
      <c r="A627" s="1"/>
      <c r="D627" s="1"/>
      <c r="H627" s="1"/>
      <c r="L627" s="1"/>
    </row>
    <row r="628" spans="1:12" ht="13.8">
      <c r="A628" s="1"/>
      <c r="D628" s="1"/>
      <c r="H628" s="1"/>
      <c r="L628" s="1"/>
    </row>
    <row r="629" spans="1:12" ht="13.8">
      <c r="A629" s="1"/>
      <c r="D629" s="1"/>
      <c r="H629" s="1"/>
      <c r="L629" s="1"/>
    </row>
    <row r="630" spans="1:12" ht="13.8">
      <c r="A630" s="1"/>
      <c r="D630" s="1"/>
      <c r="H630" s="1"/>
      <c r="L630" s="1"/>
    </row>
    <row r="631" spans="1:12" ht="13.8">
      <c r="A631" s="1"/>
      <c r="D631" s="1"/>
      <c r="H631" s="1"/>
      <c r="L631" s="1"/>
    </row>
    <row r="632" spans="1:12" ht="13.8">
      <c r="A632" s="1"/>
      <c r="D632" s="1"/>
      <c r="H632" s="1"/>
      <c r="L632" s="1"/>
    </row>
    <row r="633" spans="1:12" ht="13.8">
      <c r="A633" s="1"/>
      <c r="D633" s="1"/>
      <c r="H633" s="1"/>
      <c r="L633" s="1"/>
    </row>
    <row r="634" spans="1:12" ht="13.8">
      <c r="A634" s="1"/>
      <c r="D634" s="1"/>
      <c r="H634" s="1"/>
      <c r="L634" s="1"/>
    </row>
    <row r="635" spans="1:12" ht="13.8">
      <c r="A635" s="1"/>
      <c r="D635" s="1"/>
      <c r="H635" s="1"/>
      <c r="L635" s="1"/>
    </row>
    <row r="636" spans="1:12" ht="13.8">
      <c r="A636" s="1"/>
      <c r="D636" s="1"/>
      <c r="H636" s="1"/>
      <c r="L636" s="1"/>
    </row>
    <row r="637" spans="1:12" ht="13.8">
      <c r="A637" s="1"/>
      <c r="D637" s="1"/>
      <c r="H637" s="1"/>
      <c r="L637" s="1"/>
    </row>
    <row r="638" spans="1:12" ht="13.8">
      <c r="A638" s="1"/>
      <c r="D638" s="1"/>
      <c r="H638" s="1"/>
      <c r="L638" s="1"/>
    </row>
    <row r="639" spans="1:12" ht="13.8">
      <c r="A639" s="1"/>
      <c r="D639" s="1"/>
      <c r="H639" s="1"/>
      <c r="L639" s="1"/>
    </row>
    <row r="640" spans="1:12" ht="13.8">
      <c r="A640" s="1"/>
      <c r="D640" s="1"/>
      <c r="H640" s="1"/>
      <c r="L640" s="1"/>
    </row>
    <row r="641" spans="1:12" ht="13.8">
      <c r="A641" s="1"/>
      <c r="D641" s="1"/>
      <c r="H641" s="1"/>
      <c r="L641" s="1"/>
    </row>
    <row r="642" spans="1:12" ht="13.8">
      <c r="A642" s="1"/>
      <c r="D642" s="1"/>
      <c r="H642" s="1"/>
      <c r="L642" s="1"/>
    </row>
    <row r="643" spans="1:12" ht="13.8">
      <c r="A643" s="1"/>
      <c r="D643" s="1"/>
      <c r="H643" s="1"/>
      <c r="L643" s="1"/>
    </row>
    <row r="644" spans="1:12" ht="13.8">
      <c r="A644" s="1"/>
      <c r="D644" s="1"/>
      <c r="H644" s="1"/>
      <c r="L644" s="1"/>
    </row>
    <row r="645" spans="1:12" ht="13.8">
      <c r="A645" s="1"/>
      <c r="D645" s="1"/>
      <c r="H645" s="1"/>
      <c r="L645" s="1"/>
    </row>
    <row r="646" spans="1:12" ht="13.8">
      <c r="A646" s="1"/>
      <c r="D646" s="1"/>
      <c r="H646" s="1"/>
      <c r="L646" s="1"/>
    </row>
    <row r="647" spans="1:12" ht="13.8">
      <c r="A647" s="1"/>
      <c r="D647" s="1"/>
      <c r="H647" s="1"/>
      <c r="L647" s="1"/>
    </row>
    <row r="648" spans="1:12" ht="13.8">
      <c r="A648" s="1"/>
      <c r="D648" s="1"/>
      <c r="H648" s="1"/>
      <c r="L648" s="1"/>
    </row>
    <row r="649" spans="1:12" ht="13.8">
      <c r="A649" s="1"/>
      <c r="D649" s="1"/>
      <c r="H649" s="1"/>
      <c r="L649" s="1"/>
    </row>
    <row r="650" spans="1:12" ht="13.8">
      <c r="A650" s="1"/>
      <c r="D650" s="1"/>
      <c r="H650" s="1"/>
      <c r="L650" s="1"/>
    </row>
    <row r="651" spans="1:12" ht="13.8">
      <c r="A651" s="1"/>
      <c r="D651" s="1"/>
      <c r="H651" s="1"/>
      <c r="L651" s="1"/>
    </row>
    <row r="652" spans="1:12" ht="13.8">
      <c r="A652" s="1"/>
      <c r="D652" s="1"/>
      <c r="H652" s="1"/>
      <c r="L652" s="1"/>
    </row>
    <row r="653" spans="1:12" ht="13.8">
      <c r="A653" s="1"/>
      <c r="D653" s="1"/>
      <c r="H653" s="1"/>
      <c r="L653" s="1"/>
    </row>
    <row r="654" spans="1:12" ht="13.8">
      <c r="A654" s="1"/>
      <c r="D654" s="1"/>
      <c r="H654" s="1"/>
      <c r="L654" s="1"/>
    </row>
    <row r="655" spans="1:12" ht="13.8">
      <c r="A655" s="1"/>
      <c r="D655" s="1"/>
      <c r="H655" s="1"/>
      <c r="L655" s="1"/>
    </row>
    <row r="656" spans="1:12" ht="13.8">
      <c r="A656" s="1"/>
      <c r="D656" s="1"/>
      <c r="H656" s="1"/>
      <c r="L656" s="1"/>
    </row>
    <row r="657" spans="1:12" ht="13.8">
      <c r="A657" s="1"/>
      <c r="D657" s="1"/>
      <c r="H657" s="1"/>
      <c r="L657" s="1"/>
    </row>
    <row r="658" spans="1:12" ht="13.8">
      <c r="A658" s="1"/>
      <c r="D658" s="1"/>
      <c r="H658" s="1"/>
      <c r="L658" s="1"/>
    </row>
    <row r="659" spans="1:12" ht="13.8">
      <c r="A659" s="1"/>
      <c r="D659" s="1"/>
      <c r="H659" s="1"/>
      <c r="L659" s="1"/>
    </row>
    <row r="660" spans="1:12" ht="13.8">
      <c r="A660" s="1"/>
      <c r="D660" s="1"/>
      <c r="H660" s="1"/>
      <c r="L660" s="1"/>
    </row>
    <row r="661" spans="1:12" ht="13.8">
      <c r="A661" s="1"/>
      <c r="D661" s="1"/>
      <c r="H661" s="1"/>
      <c r="L661" s="1"/>
    </row>
    <row r="662" spans="1:12" ht="13.8">
      <c r="A662" s="1"/>
      <c r="D662" s="1"/>
      <c r="H662" s="1"/>
      <c r="L662" s="1"/>
    </row>
    <row r="663" spans="1:12" ht="13.8">
      <c r="A663" s="1"/>
      <c r="D663" s="1"/>
      <c r="H663" s="1"/>
      <c r="L663" s="1"/>
    </row>
    <row r="664" spans="1:12" ht="13.8">
      <c r="A664" s="1"/>
      <c r="D664" s="1"/>
      <c r="H664" s="1"/>
      <c r="L664" s="1"/>
    </row>
    <row r="665" spans="1:12" ht="13.8">
      <c r="A665" s="1"/>
      <c r="D665" s="1"/>
      <c r="H665" s="1"/>
      <c r="L665" s="1"/>
    </row>
    <row r="666" spans="1:12" ht="13.8">
      <c r="A666" s="1"/>
      <c r="D666" s="1"/>
      <c r="H666" s="1"/>
      <c r="L666" s="1"/>
    </row>
    <row r="667" spans="1:12" ht="13.8">
      <c r="A667" s="1"/>
      <c r="D667" s="1"/>
      <c r="H667" s="1"/>
      <c r="L667" s="1"/>
    </row>
    <row r="668" spans="1:12" ht="13.8">
      <c r="A668" s="1"/>
      <c r="D668" s="1"/>
      <c r="H668" s="1"/>
      <c r="L668" s="1"/>
    </row>
    <row r="669" spans="1:12" ht="13.8">
      <c r="A669" s="1"/>
      <c r="D669" s="1"/>
      <c r="H669" s="1"/>
      <c r="L669" s="1"/>
    </row>
    <row r="670" spans="1:12" ht="13.8">
      <c r="A670" s="1"/>
      <c r="D670" s="1"/>
      <c r="H670" s="1"/>
      <c r="L670" s="1"/>
    </row>
    <row r="671" spans="1:12" ht="13.8">
      <c r="A671" s="1"/>
      <c r="D671" s="1"/>
      <c r="H671" s="1"/>
      <c r="L671" s="1"/>
    </row>
    <row r="672" spans="1:12" ht="13.8">
      <c r="A672" s="1"/>
      <c r="D672" s="1"/>
      <c r="H672" s="1"/>
      <c r="L672" s="1"/>
    </row>
    <row r="673" spans="1:12" ht="13.8">
      <c r="A673" s="1"/>
      <c r="D673" s="1"/>
      <c r="H673" s="1"/>
      <c r="L673" s="1"/>
    </row>
    <row r="674" spans="1:12" ht="13.8">
      <c r="A674" s="1"/>
      <c r="D674" s="1"/>
      <c r="H674" s="1"/>
      <c r="L674" s="1"/>
    </row>
    <row r="675" spans="1:12" ht="13.8">
      <c r="A675" s="1"/>
      <c r="D675" s="1"/>
      <c r="H675" s="1"/>
      <c r="L675" s="1"/>
    </row>
    <row r="676" spans="1:12" ht="13.8">
      <c r="A676" s="1"/>
      <c r="D676" s="1"/>
      <c r="H676" s="1"/>
      <c r="L676" s="1"/>
    </row>
    <row r="677" spans="1:12" ht="13.8">
      <c r="A677" s="1"/>
      <c r="D677" s="1"/>
      <c r="H677" s="1"/>
      <c r="L677" s="1"/>
    </row>
    <row r="678" spans="1:12" ht="13.8">
      <c r="A678" s="1"/>
      <c r="D678" s="1"/>
      <c r="H678" s="1"/>
      <c r="L678" s="1"/>
    </row>
    <row r="679" spans="1:12" ht="13.8">
      <c r="A679" s="1"/>
      <c r="D679" s="1"/>
      <c r="H679" s="1"/>
      <c r="L679" s="1"/>
    </row>
    <row r="680" spans="1:12" ht="13.8">
      <c r="A680" s="1"/>
      <c r="D680" s="1"/>
      <c r="H680" s="1"/>
      <c r="L680" s="1"/>
    </row>
    <row r="681" spans="1:12" ht="13.8">
      <c r="A681" s="1"/>
      <c r="D681" s="1"/>
      <c r="H681" s="1"/>
      <c r="L681" s="1"/>
    </row>
    <row r="682" spans="1:12" ht="13.8">
      <c r="A682" s="1"/>
      <c r="D682" s="1"/>
      <c r="H682" s="1"/>
      <c r="L682" s="1"/>
    </row>
    <row r="683" spans="1:12" ht="13.8">
      <c r="A683" s="1"/>
      <c r="D683" s="1"/>
      <c r="H683" s="1"/>
      <c r="L683" s="1"/>
    </row>
    <row r="684" spans="1:12" ht="13.8">
      <c r="A684" s="1"/>
      <c r="D684" s="1"/>
      <c r="H684" s="1"/>
      <c r="L684" s="1"/>
    </row>
    <row r="685" spans="1:12" ht="13.8">
      <c r="A685" s="1"/>
      <c r="D685" s="1"/>
      <c r="H685" s="1"/>
      <c r="L685" s="1"/>
    </row>
    <row r="686" spans="1:12" ht="13.8">
      <c r="A686" s="1"/>
      <c r="D686" s="1"/>
      <c r="H686" s="1"/>
      <c r="L686" s="1"/>
    </row>
    <row r="687" spans="1:12" ht="13.8">
      <c r="A687" s="1"/>
      <c r="D687" s="1"/>
      <c r="H687" s="1"/>
      <c r="L687" s="1"/>
    </row>
    <row r="688" spans="1:12" ht="13.8">
      <c r="A688" s="1"/>
      <c r="D688" s="1"/>
      <c r="H688" s="1"/>
      <c r="L688" s="1"/>
    </row>
    <row r="689" spans="1:12" ht="13.8">
      <c r="A689" s="1"/>
      <c r="D689" s="1"/>
      <c r="H689" s="1"/>
      <c r="L689" s="1"/>
    </row>
    <row r="690" spans="1:12" ht="13.8">
      <c r="A690" s="1"/>
      <c r="D690" s="1"/>
      <c r="H690" s="1"/>
      <c r="L690" s="1"/>
    </row>
    <row r="691" spans="1:12" ht="13.8">
      <c r="A691" s="1"/>
      <c r="D691" s="1"/>
      <c r="H691" s="1"/>
      <c r="L691" s="1"/>
    </row>
    <row r="692" spans="1:12" ht="13.8">
      <c r="A692" s="1"/>
      <c r="D692" s="1"/>
      <c r="H692" s="1"/>
      <c r="L692" s="1"/>
    </row>
    <row r="693" spans="1:12" ht="13.8">
      <c r="A693" s="1"/>
      <c r="D693" s="1"/>
      <c r="H693" s="1"/>
      <c r="L693" s="1"/>
    </row>
    <row r="694" spans="1:12" ht="13.8">
      <c r="A694" s="1"/>
      <c r="D694" s="1"/>
      <c r="H694" s="1"/>
      <c r="L694" s="1"/>
    </row>
    <row r="695" spans="1:12" ht="13.8">
      <c r="A695" s="1"/>
      <c r="D695" s="1"/>
      <c r="H695" s="1"/>
      <c r="L695" s="1"/>
    </row>
    <row r="696" spans="1:12" ht="13.8">
      <c r="A696" s="1"/>
      <c r="D696" s="1"/>
      <c r="H696" s="1"/>
      <c r="L696" s="1"/>
    </row>
    <row r="697" spans="1:12" ht="13.8">
      <c r="A697" s="1"/>
      <c r="D697" s="1"/>
      <c r="H697" s="1"/>
      <c r="L697" s="1"/>
    </row>
    <row r="698" spans="1:12" ht="13.8">
      <c r="A698" s="1"/>
      <c r="D698" s="1"/>
      <c r="H698" s="1"/>
      <c r="L698" s="1"/>
    </row>
    <row r="699" spans="1:12" ht="13.8">
      <c r="A699" s="1"/>
      <c r="D699" s="1"/>
      <c r="H699" s="1"/>
      <c r="L699" s="1"/>
    </row>
    <row r="700" spans="1:12" ht="13.8">
      <c r="A700" s="1"/>
      <c r="D700" s="1"/>
      <c r="H700" s="1"/>
      <c r="L700" s="1"/>
    </row>
    <row r="701" spans="1:12" ht="13.8">
      <c r="A701" s="1"/>
      <c r="D701" s="1"/>
      <c r="H701" s="1"/>
      <c r="L701" s="1"/>
    </row>
    <row r="702" spans="1:12" ht="13.8">
      <c r="A702" s="1"/>
      <c r="D702" s="1"/>
      <c r="H702" s="1"/>
      <c r="L702" s="1"/>
    </row>
    <row r="703" spans="1:12" ht="13.8">
      <c r="A703" s="1"/>
      <c r="D703" s="1"/>
      <c r="H703" s="1"/>
      <c r="L703" s="1"/>
    </row>
    <row r="704" spans="1:12" ht="13.8">
      <c r="A704" s="1"/>
      <c r="D704" s="1"/>
      <c r="H704" s="1"/>
      <c r="L704" s="1"/>
    </row>
    <row r="705" spans="1:12" ht="13.8">
      <c r="A705" s="1"/>
      <c r="D705" s="1"/>
      <c r="H705" s="1"/>
      <c r="L705" s="1"/>
    </row>
    <row r="706" spans="1:12" ht="13.8">
      <c r="A706" s="1"/>
      <c r="D706" s="1"/>
      <c r="H706" s="1"/>
      <c r="L706" s="1"/>
    </row>
    <row r="707" spans="1:12" ht="13.8">
      <c r="A707" s="1"/>
      <c r="D707" s="1"/>
      <c r="H707" s="1"/>
      <c r="L707" s="1"/>
    </row>
    <row r="708" spans="1:12" ht="13.8">
      <c r="A708" s="1"/>
      <c r="D708" s="1"/>
      <c r="H708" s="1"/>
      <c r="L708" s="1"/>
    </row>
    <row r="709" spans="1:12" ht="13.8">
      <c r="A709" s="1"/>
      <c r="D709" s="1"/>
      <c r="H709" s="1"/>
      <c r="L709" s="1"/>
    </row>
    <row r="710" spans="1:12" ht="13.8">
      <c r="A710" s="1"/>
      <c r="D710" s="1"/>
      <c r="H710" s="1"/>
      <c r="L710" s="1"/>
    </row>
    <row r="711" spans="1:12" ht="13.8">
      <c r="A711" s="1"/>
      <c r="D711" s="1"/>
      <c r="H711" s="1"/>
      <c r="L711" s="1"/>
    </row>
    <row r="712" spans="1:12" ht="13.8">
      <c r="A712" s="1"/>
      <c r="D712" s="1"/>
      <c r="H712" s="1"/>
      <c r="L712" s="1"/>
    </row>
    <row r="713" spans="1:12" ht="13.8">
      <c r="A713" s="1"/>
      <c r="D713" s="1"/>
      <c r="H713" s="1"/>
      <c r="L713" s="1"/>
    </row>
    <row r="714" spans="1:12" ht="13.8">
      <c r="A714" s="1"/>
      <c r="D714" s="1"/>
      <c r="H714" s="1"/>
      <c r="L714" s="1"/>
    </row>
    <row r="715" spans="1:12" ht="13.8">
      <c r="A715" s="1"/>
      <c r="D715" s="1"/>
      <c r="H715" s="1"/>
      <c r="L715" s="1"/>
    </row>
    <row r="716" spans="1:12" ht="13.8">
      <c r="A716" s="1"/>
      <c r="D716" s="1"/>
      <c r="H716" s="1"/>
      <c r="L716" s="1"/>
    </row>
    <row r="717" spans="1:12" ht="13.8">
      <c r="A717" s="1"/>
      <c r="D717" s="1"/>
      <c r="H717" s="1"/>
      <c r="L717" s="1"/>
    </row>
    <row r="718" spans="1:12" ht="13.8">
      <c r="A718" s="1"/>
      <c r="D718" s="1"/>
      <c r="H718" s="1"/>
      <c r="L718" s="1"/>
    </row>
    <row r="719" spans="1:12" ht="13.8">
      <c r="A719" s="1"/>
      <c r="D719" s="1"/>
      <c r="H719" s="1"/>
      <c r="L719" s="1"/>
    </row>
    <row r="720" spans="1:12" ht="13.8">
      <c r="A720" s="1"/>
      <c r="D720" s="1"/>
      <c r="H720" s="1"/>
      <c r="L720" s="1"/>
    </row>
    <row r="721" spans="1:12" ht="13.8">
      <c r="A721" s="1"/>
      <c r="D721" s="1"/>
      <c r="H721" s="1"/>
      <c r="L721" s="1"/>
    </row>
    <row r="722" spans="1:12" ht="13.8">
      <c r="A722" s="1"/>
      <c r="D722" s="1"/>
      <c r="H722" s="1"/>
      <c r="L722" s="1"/>
    </row>
    <row r="723" spans="1:12" ht="13.8">
      <c r="A723" s="1"/>
      <c r="D723" s="1"/>
      <c r="H723" s="1"/>
      <c r="L723" s="1"/>
    </row>
    <row r="724" spans="1:12" ht="13.8">
      <c r="A724" s="1"/>
      <c r="D724" s="1"/>
      <c r="H724" s="1"/>
      <c r="L724" s="1"/>
    </row>
    <row r="725" spans="1:12" ht="13.8">
      <c r="A725" s="1"/>
      <c r="D725" s="1"/>
      <c r="H725" s="1"/>
      <c r="L725" s="1"/>
    </row>
    <row r="726" spans="1:12" ht="13.8">
      <c r="A726" s="1"/>
      <c r="D726" s="1"/>
      <c r="H726" s="1"/>
      <c r="L726" s="1"/>
    </row>
    <row r="727" spans="1:12" ht="13.8">
      <c r="A727" s="1"/>
      <c r="D727" s="1"/>
      <c r="H727" s="1"/>
      <c r="L727" s="1"/>
    </row>
    <row r="728" spans="1:12" ht="13.8">
      <c r="A728" s="1"/>
      <c r="D728" s="1"/>
      <c r="H728" s="1"/>
      <c r="L728" s="1"/>
    </row>
    <row r="729" spans="1:12" ht="13.8">
      <c r="A729" s="1"/>
      <c r="D729" s="1"/>
      <c r="H729" s="1"/>
      <c r="L729" s="1"/>
    </row>
    <row r="730" spans="1:12" ht="13.8">
      <c r="A730" s="1"/>
      <c r="D730" s="1"/>
      <c r="H730" s="1"/>
      <c r="L730" s="1"/>
    </row>
    <row r="731" spans="1:12" ht="13.8">
      <c r="A731" s="1"/>
      <c r="D731" s="1"/>
      <c r="H731" s="1"/>
      <c r="L731" s="1"/>
    </row>
    <row r="732" spans="1:12" ht="13.8">
      <c r="A732" s="1"/>
      <c r="D732" s="1"/>
      <c r="H732" s="1"/>
      <c r="L732" s="1"/>
    </row>
    <row r="733" spans="1:12" ht="13.8">
      <c r="A733" s="1"/>
      <c r="D733" s="1"/>
      <c r="H733" s="1"/>
      <c r="L733" s="1"/>
    </row>
    <row r="734" spans="1:12" ht="13.8">
      <c r="A734" s="1"/>
      <c r="D734" s="1"/>
      <c r="H734" s="1"/>
      <c r="L734" s="1"/>
    </row>
    <row r="735" spans="1:12" ht="13.8">
      <c r="A735" s="1"/>
      <c r="D735" s="1"/>
      <c r="H735" s="1"/>
      <c r="L735" s="1"/>
    </row>
    <row r="736" spans="1:12" ht="13.8">
      <c r="A736" s="1"/>
      <c r="D736" s="1"/>
      <c r="H736" s="1"/>
      <c r="L736" s="1"/>
    </row>
    <row r="737" spans="1:12" ht="13.8">
      <c r="A737" s="1"/>
      <c r="D737" s="1"/>
      <c r="H737" s="1"/>
      <c r="L737" s="1"/>
    </row>
    <row r="738" spans="1:12" ht="13.8">
      <c r="A738" s="1"/>
      <c r="D738" s="1"/>
      <c r="H738" s="1"/>
      <c r="L738" s="1"/>
    </row>
    <row r="739" spans="1:12" ht="13.8">
      <c r="A739" s="1"/>
      <c r="D739" s="1"/>
      <c r="H739" s="1"/>
      <c r="L739" s="1"/>
    </row>
    <row r="740" spans="1:12" ht="13.8">
      <c r="A740" s="1"/>
      <c r="D740" s="1"/>
      <c r="H740" s="1"/>
      <c r="L740" s="1"/>
    </row>
    <row r="741" spans="1:12" ht="13.8">
      <c r="A741" s="1"/>
      <c r="D741" s="1"/>
      <c r="H741" s="1"/>
      <c r="L741" s="1"/>
    </row>
    <row r="742" spans="1:12" ht="13.8">
      <c r="A742" s="1"/>
      <c r="D742" s="1"/>
      <c r="H742" s="1"/>
      <c r="L742" s="1"/>
    </row>
    <row r="743" spans="1:12" ht="13.8">
      <c r="A743" s="1"/>
      <c r="D743" s="1"/>
      <c r="H743" s="1"/>
      <c r="L743" s="1"/>
    </row>
    <row r="744" spans="1:12" ht="13.8">
      <c r="A744" s="1"/>
      <c r="D744" s="1"/>
      <c r="H744" s="1"/>
      <c r="L744" s="1"/>
    </row>
    <row r="745" spans="1:12" ht="13.8">
      <c r="A745" s="1"/>
      <c r="D745" s="1"/>
      <c r="H745" s="1"/>
      <c r="L745" s="1"/>
    </row>
    <row r="746" spans="1:12" ht="13.8">
      <c r="A746" s="1"/>
      <c r="D746" s="1"/>
      <c r="H746" s="1"/>
      <c r="L746" s="1"/>
    </row>
    <row r="747" spans="1:12" ht="13.8">
      <c r="A747" s="1"/>
      <c r="D747" s="1"/>
      <c r="H747" s="1"/>
      <c r="L747" s="1"/>
    </row>
    <row r="748" spans="1:12" ht="13.8">
      <c r="A748" s="1"/>
      <c r="D748" s="1"/>
      <c r="H748" s="1"/>
      <c r="L748" s="1"/>
    </row>
    <row r="749" spans="1:12" ht="13.8">
      <c r="A749" s="1"/>
      <c r="D749" s="1"/>
      <c r="H749" s="1"/>
      <c r="L749" s="1"/>
    </row>
    <row r="750" spans="1:12" ht="13.8">
      <c r="A750" s="1"/>
      <c r="D750" s="1"/>
      <c r="H750" s="1"/>
      <c r="L750" s="1"/>
    </row>
    <row r="751" spans="1:12" ht="13.8">
      <c r="A751" s="1"/>
      <c r="D751" s="1"/>
      <c r="H751" s="1"/>
      <c r="L751" s="1"/>
    </row>
    <row r="752" spans="1:12" ht="13.8">
      <c r="A752" s="1"/>
      <c r="D752" s="1"/>
      <c r="H752" s="1"/>
      <c r="L752" s="1"/>
    </row>
    <row r="753" spans="1:12" ht="13.8">
      <c r="A753" s="1"/>
      <c r="D753" s="1"/>
      <c r="H753" s="1"/>
      <c r="L753" s="1"/>
    </row>
    <row r="754" spans="1:12" ht="13.8">
      <c r="A754" s="1"/>
      <c r="D754" s="1"/>
      <c r="H754" s="1"/>
      <c r="L754" s="1"/>
    </row>
    <row r="755" spans="1:12" ht="13.8">
      <c r="A755" s="1"/>
      <c r="D755" s="1"/>
      <c r="H755" s="1"/>
      <c r="L755" s="1"/>
    </row>
    <row r="756" spans="1:12" ht="13.8">
      <c r="A756" s="1"/>
      <c r="D756" s="1"/>
      <c r="H756" s="1"/>
      <c r="L756" s="1"/>
    </row>
    <row r="757" spans="1:12" ht="13.8">
      <c r="A757" s="1"/>
      <c r="D757" s="1"/>
      <c r="H757" s="1"/>
      <c r="L757" s="1"/>
    </row>
    <row r="758" spans="1:12" ht="13.8">
      <c r="A758" s="1"/>
      <c r="D758" s="1"/>
      <c r="H758" s="1"/>
      <c r="L758" s="1"/>
    </row>
    <row r="759" spans="1:12" ht="13.8">
      <c r="A759" s="1"/>
      <c r="D759" s="1"/>
      <c r="H759" s="1"/>
      <c r="L759" s="1"/>
    </row>
    <row r="760" spans="1:12" ht="13.8">
      <c r="A760" s="1"/>
      <c r="D760" s="1"/>
      <c r="H760" s="1"/>
      <c r="L760" s="1"/>
    </row>
    <row r="761" spans="1:12" ht="13.8">
      <c r="A761" s="1"/>
      <c r="D761" s="1"/>
      <c r="H761" s="1"/>
      <c r="L761" s="1"/>
    </row>
    <row r="762" spans="1:12" ht="13.8">
      <c r="A762" s="1"/>
      <c r="D762" s="1"/>
      <c r="H762" s="1"/>
      <c r="L762" s="1"/>
    </row>
    <row r="763" spans="1:12" ht="13.8">
      <c r="A763" s="1"/>
      <c r="D763" s="1"/>
      <c r="H763" s="1"/>
      <c r="L763" s="1"/>
    </row>
    <row r="764" spans="1:12" ht="13.8">
      <c r="A764" s="1"/>
      <c r="D764" s="1"/>
      <c r="H764" s="1"/>
      <c r="L764" s="1"/>
    </row>
    <row r="765" spans="1:12" ht="13.8">
      <c r="A765" s="1"/>
      <c r="D765" s="1"/>
      <c r="H765" s="1"/>
      <c r="L765" s="1"/>
    </row>
    <row r="766" spans="1:12" ht="13.8">
      <c r="A766" s="1"/>
      <c r="D766" s="1"/>
      <c r="H766" s="1"/>
      <c r="L766" s="1"/>
    </row>
    <row r="767" spans="1:12" ht="13.8">
      <c r="A767" s="1"/>
      <c r="D767" s="1"/>
      <c r="H767" s="1"/>
      <c r="L767" s="1"/>
    </row>
    <row r="768" spans="1:12" ht="13.8">
      <c r="A768" s="1"/>
      <c r="D768" s="1"/>
      <c r="H768" s="1"/>
      <c r="L768" s="1"/>
    </row>
    <row r="769" spans="1:12" ht="13.8">
      <c r="A769" s="1"/>
      <c r="D769" s="1"/>
      <c r="H769" s="1"/>
      <c r="L769" s="1"/>
    </row>
    <row r="770" spans="1:12" ht="13.8">
      <c r="A770" s="1"/>
      <c r="D770" s="1"/>
      <c r="H770" s="1"/>
      <c r="L770" s="1"/>
    </row>
    <row r="771" spans="1:12" ht="13.8">
      <c r="A771" s="1"/>
      <c r="D771" s="1"/>
      <c r="H771" s="1"/>
      <c r="L771" s="1"/>
    </row>
    <row r="772" spans="1:12" ht="13.8">
      <c r="A772" s="1"/>
      <c r="D772" s="1"/>
      <c r="H772" s="1"/>
      <c r="L772" s="1"/>
    </row>
    <row r="773" spans="1:12" ht="13.8">
      <c r="A773" s="1"/>
      <c r="D773" s="1"/>
      <c r="H773" s="1"/>
      <c r="L773" s="1"/>
    </row>
    <row r="774" spans="1:12" ht="13.8">
      <c r="A774" s="1"/>
      <c r="D774" s="1"/>
      <c r="H774" s="1"/>
      <c r="L774" s="1"/>
    </row>
    <row r="775" spans="1:12" ht="13.8">
      <c r="A775" s="1"/>
      <c r="D775" s="1"/>
      <c r="H775" s="1"/>
      <c r="L775" s="1"/>
    </row>
    <row r="776" spans="1:12" ht="13.8">
      <c r="A776" s="1"/>
      <c r="D776" s="1"/>
      <c r="H776" s="1"/>
      <c r="L776" s="1"/>
    </row>
    <row r="777" spans="1:12" ht="13.8">
      <c r="A777" s="1"/>
      <c r="D777" s="1"/>
      <c r="H777" s="1"/>
      <c r="L777" s="1"/>
    </row>
    <row r="778" spans="1:12" ht="13.8">
      <c r="A778" s="1"/>
      <c r="D778" s="1"/>
      <c r="H778" s="1"/>
      <c r="L778" s="1"/>
    </row>
    <row r="779" spans="1:12" ht="13.8">
      <c r="A779" s="1"/>
      <c r="D779" s="1"/>
      <c r="H779" s="1"/>
      <c r="L779" s="1"/>
    </row>
    <row r="780" spans="1:12" ht="13.8">
      <c r="A780" s="1"/>
      <c r="D780" s="1"/>
      <c r="H780" s="1"/>
      <c r="L780" s="1"/>
    </row>
    <row r="781" spans="1:12" ht="13.8">
      <c r="A781" s="1"/>
      <c r="D781" s="1"/>
      <c r="H781" s="1"/>
      <c r="L781" s="1"/>
    </row>
    <row r="782" spans="1:12" ht="13.8">
      <c r="A782" s="1"/>
      <c r="D782" s="1"/>
      <c r="H782" s="1"/>
      <c r="L782" s="1"/>
    </row>
    <row r="783" spans="1:12" ht="13.8">
      <c r="A783" s="1"/>
      <c r="D783" s="1"/>
      <c r="H783" s="1"/>
      <c r="L783" s="1"/>
    </row>
    <row r="784" spans="1:12" ht="13.8">
      <c r="A784" s="1"/>
      <c r="D784" s="1"/>
      <c r="H784" s="1"/>
      <c r="L784" s="1"/>
    </row>
    <row r="785" spans="1:12" ht="13.8">
      <c r="A785" s="1"/>
      <c r="D785" s="1"/>
      <c r="H785" s="1"/>
      <c r="L785" s="1"/>
    </row>
    <row r="786" spans="1:12" ht="13.8">
      <c r="A786" s="1"/>
      <c r="D786" s="1"/>
      <c r="H786" s="1"/>
      <c r="L786" s="1"/>
    </row>
    <row r="787" spans="1:12" ht="13.8">
      <c r="A787" s="1"/>
      <c r="D787" s="1"/>
      <c r="H787" s="1"/>
      <c r="L787" s="1"/>
    </row>
    <row r="788" spans="1:12" ht="13.8">
      <c r="A788" s="1"/>
      <c r="D788" s="1"/>
      <c r="H788" s="1"/>
      <c r="L788" s="1"/>
    </row>
    <row r="789" spans="1:12" ht="13.8">
      <c r="A789" s="1"/>
      <c r="D789" s="1"/>
      <c r="H789" s="1"/>
      <c r="L789" s="1"/>
    </row>
    <row r="790" spans="1:12" ht="13.8">
      <c r="A790" s="1"/>
      <c r="D790" s="1"/>
      <c r="H790" s="1"/>
      <c r="L790" s="1"/>
    </row>
    <row r="791" spans="1:12" ht="13.8">
      <c r="A791" s="1"/>
      <c r="D791" s="1"/>
      <c r="H791" s="1"/>
      <c r="L791" s="1"/>
    </row>
    <row r="792" spans="1:12" ht="13.8">
      <c r="A792" s="1"/>
      <c r="D792" s="1"/>
      <c r="H792" s="1"/>
      <c r="L792" s="1"/>
    </row>
    <row r="793" spans="1:12" ht="13.8">
      <c r="A793" s="1"/>
      <c r="D793" s="1"/>
      <c r="H793" s="1"/>
      <c r="L793" s="1"/>
    </row>
    <row r="794" spans="1:12" ht="13.8">
      <c r="A794" s="1"/>
      <c r="D794" s="1"/>
      <c r="H794" s="1"/>
      <c r="L794" s="1"/>
    </row>
    <row r="795" spans="1:12" ht="13.8">
      <c r="A795" s="1"/>
      <c r="D795" s="1"/>
      <c r="H795" s="1"/>
      <c r="L795" s="1"/>
    </row>
    <row r="796" spans="1:12" ht="13.8">
      <c r="A796" s="1"/>
      <c r="D796" s="1"/>
      <c r="H796" s="1"/>
      <c r="L796" s="1"/>
    </row>
    <row r="797" spans="1:12" ht="13.8">
      <c r="A797" s="1"/>
      <c r="D797" s="1"/>
      <c r="H797" s="1"/>
      <c r="L797" s="1"/>
    </row>
    <row r="798" spans="1:12" ht="13.8">
      <c r="A798" s="1"/>
      <c r="D798" s="1"/>
      <c r="H798" s="1"/>
      <c r="L798" s="1"/>
    </row>
    <row r="799" spans="1:12" ht="13.8">
      <c r="A799" s="1"/>
      <c r="D799" s="1"/>
      <c r="H799" s="1"/>
      <c r="L799" s="1"/>
    </row>
    <row r="800" spans="1:12" ht="13.8">
      <c r="A800" s="1"/>
      <c r="D800" s="1"/>
      <c r="H800" s="1"/>
      <c r="L800" s="1"/>
    </row>
    <row r="801" spans="1:12" ht="13.8">
      <c r="A801" s="1"/>
      <c r="D801" s="1"/>
      <c r="H801" s="1"/>
      <c r="L801" s="1"/>
    </row>
    <row r="802" spans="1:12" ht="13.8">
      <c r="A802" s="1"/>
      <c r="D802" s="1"/>
      <c r="H802" s="1"/>
      <c r="L802" s="1"/>
    </row>
    <row r="803" spans="1:12" ht="13.8">
      <c r="A803" s="1"/>
      <c r="D803" s="1"/>
      <c r="H803" s="1"/>
      <c r="L803" s="1"/>
    </row>
    <row r="804" spans="1:12" ht="13.8">
      <c r="A804" s="1"/>
      <c r="D804" s="1"/>
      <c r="H804" s="1"/>
      <c r="L804" s="1"/>
    </row>
    <row r="805" spans="1:12" ht="13.8">
      <c r="A805" s="1"/>
      <c r="D805" s="1"/>
      <c r="H805" s="1"/>
      <c r="L805" s="1"/>
    </row>
    <row r="806" spans="1:12" ht="13.8">
      <c r="A806" s="1"/>
      <c r="D806" s="1"/>
      <c r="H806" s="1"/>
      <c r="L806" s="1"/>
    </row>
    <row r="807" spans="1:12" ht="13.8">
      <c r="A807" s="1"/>
      <c r="D807" s="1"/>
      <c r="H807" s="1"/>
      <c r="L807" s="1"/>
    </row>
    <row r="808" spans="1:12" ht="13.8">
      <c r="A808" s="1"/>
      <c r="D808" s="1"/>
      <c r="H808" s="1"/>
      <c r="L808" s="1"/>
    </row>
    <row r="809" spans="1:12" ht="13.8">
      <c r="A809" s="1"/>
      <c r="D809" s="1"/>
      <c r="H809" s="1"/>
      <c r="L809" s="1"/>
    </row>
    <row r="810" spans="1:12" ht="13.8">
      <c r="A810" s="1"/>
      <c r="D810" s="1"/>
      <c r="H810" s="1"/>
      <c r="L810" s="1"/>
    </row>
    <row r="811" spans="1:12" ht="13.8">
      <c r="A811" s="1"/>
      <c r="D811" s="1"/>
      <c r="H811" s="1"/>
      <c r="L811" s="1"/>
    </row>
    <row r="812" spans="1:12" ht="13.8">
      <c r="A812" s="1"/>
      <c r="D812" s="1"/>
      <c r="H812" s="1"/>
      <c r="L812" s="1"/>
    </row>
    <row r="813" spans="1:12" ht="13.8">
      <c r="A813" s="1"/>
      <c r="D813" s="1"/>
      <c r="H813" s="1"/>
      <c r="L813" s="1"/>
    </row>
    <row r="814" spans="1:12" ht="13.8">
      <c r="A814" s="1"/>
      <c r="D814" s="1"/>
      <c r="H814" s="1"/>
      <c r="L814" s="1"/>
    </row>
    <row r="815" spans="1:12" ht="13.8">
      <c r="A815" s="1"/>
      <c r="D815" s="1"/>
      <c r="H815" s="1"/>
      <c r="L815" s="1"/>
    </row>
    <row r="816" spans="1:12" ht="13.8">
      <c r="A816" s="1"/>
      <c r="D816" s="1"/>
      <c r="H816" s="1"/>
      <c r="L816" s="1"/>
    </row>
    <row r="817" spans="1:12" ht="13.8">
      <c r="A817" s="1"/>
      <c r="D817" s="1"/>
      <c r="H817" s="1"/>
      <c r="L817" s="1"/>
    </row>
    <row r="818" spans="1:12" ht="13.8">
      <c r="A818" s="1"/>
      <c r="D818" s="1"/>
      <c r="H818" s="1"/>
      <c r="L818" s="1"/>
    </row>
    <row r="819" spans="1:12" ht="13.8">
      <c r="A819" s="1"/>
      <c r="D819" s="1"/>
      <c r="H819" s="1"/>
      <c r="L819" s="1"/>
    </row>
    <row r="820" spans="1:12" ht="13.8">
      <c r="A820" s="1"/>
      <c r="D820" s="1"/>
      <c r="H820" s="1"/>
      <c r="L820" s="1"/>
    </row>
    <row r="821" spans="1:12" ht="13.8">
      <c r="A821" s="1"/>
      <c r="D821" s="1"/>
      <c r="H821" s="1"/>
      <c r="L821" s="1"/>
    </row>
    <row r="822" spans="1:12" ht="13.8">
      <c r="A822" s="1"/>
      <c r="D822" s="1"/>
      <c r="H822" s="1"/>
      <c r="L822" s="1"/>
    </row>
    <row r="823" spans="1:12" ht="13.8">
      <c r="A823" s="1"/>
      <c r="D823" s="1"/>
      <c r="H823" s="1"/>
      <c r="L823" s="1"/>
    </row>
    <row r="824" spans="1:12" ht="13.8">
      <c r="A824" s="1"/>
      <c r="D824" s="1"/>
      <c r="H824" s="1"/>
      <c r="L824" s="1"/>
    </row>
    <row r="825" spans="1:12" ht="13.8">
      <c r="A825" s="1"/>
      <c r="D825" s="1"/>
      <c r="H825" s="1"/>
      <c r="L825" s="1"/>
    </row>
    <row r="826" spans="1:12" ht="13.8">
      <c r="A826" s="1"/>
      <c r="D826" s="1"/>
      <c r="H826" s="1"/>
      <c r="L826" s="1"/>
    </row>
    <row r="827" spans="1:12" ht="13.8">
      <c r="A827" s="1"/>
      <c r="D827" s="1"/>
      <c r="H827" s="1"/>
      <c r="L827" s="1"/>
    </row>
    <row r="828" spans="1:12" ht="13.8">
      <c r="A828" s="1"/>
      <c r="D828" s="1"/>
      <c r="H828" s="1"/>
      <c r="L828" s="1"/>
    </row>
    <row r="829" spans="1:12" ht="13.8">
      <c r="A829" s="1"/>
      <c r="D829" s="1"/>
      <c r="H829" s="1"/>
      <c r="L829" s="1"/>
    </row>
    <row r="830" spans="1:12" ht="13.8">
      <c r="A830" s="1"/>
      <c r="D830" s="1"/>
      <c r="H830" s="1"/>
      <c r="L830" s="1"/>
    </row>
    <row r="831" spans="1:12" ht="13.8">
      <c r="A831" s="1"/>
      <c r="D831" s="1"/>
      <c r="H831" s="1"/>
      <c r="L831" s="1"/>
    </row>
    <row r="832" spans="1:12" ht="13.8">
      <c r="A832" s="1"/>
      <c r="D832" s="1"/>
      <c r="H832" s="1"/>
      <c r="L832" s="1"/>
    </row>
    <row r="833" spans="1:12" ht="13.8">
      <c r="A833" s="1"/>
      <c r="D833" s="1"/>
      <c r="H833" s="1"/>
      <c r="L833" s="1"/>
    </row>
    <row r="834" spans="1:12" ht="13.8">
      <c r="A834" s="1"/>
      <c r="D834" s="1"/>
      <c r="H834" s="1"/>
      <c r="L834" s="1"/>
    </row>
    <row r="835" spans="1:12" ht="13.8">
      <c r="A835" s="1"/>
      <c r="D835" s="1"/>
      <c r="H835" s="1"/>
      <c r="L835" s="1"/>
    </row>
    <row r="836" spans="1:12" ht="13.8">
      <c r="A836" s="1"/>
      <c r="D836" s="1"/>
      <c r="H836" s="1"/>
      <c r="L836" s="1"/>
    </row>
    <row r="837" spans="1:12" ht="13.8">
      <c r="A837" s="1"/>
      <c r="D837" s="1"/>
      <c r="H837" s="1"/>
      <c r="L837" s="1"/>
    </row>
    <row r="838" spans="1:12" ht="13.8">
      <c r="A838" s="1"/>
      <c r="D838" s="1"/>
      <c r="H838" s="1"/>
      <c r="L838" s="1"/>
    </row>
    <row r="839" spans="1:12" ht="13.8">
      <c r="A839" s="1"/>
      <c r="D839" s="1"/>
      <c r="H839" s="1"/>
      <c r="L839" s="1"/>
    </row>
    <row r="840" spans="1:12" ht="13.8">
      <c r="A840" s="1"/>
      <c r="D840" s="1"/>
      <c r="H840" s="1"/>
      <c r="L840" s="1"/>
    </row>
    <row r="841" spans="1:12" ht="13.8">
      <c r="A841" s="1"/>
      <c r="D841" s="1"/>
      <c r="H841" s="1"/>
      <c r="L841" s="1"/>
    </row>
    <row r="842" spans="1:12" ht="13.8">
      <c r="A842" s="1"/>
      <c r="D842" s="1"/>
      <c r="H842" s="1"/>
      <c r="L842" s="1"/>
    </row>
    <row r="843" spans="1:12" ht="13.8">
      <c r="A843" s="1"/>
      <c r="D843" s="1"/>
      <c r="H843" s="1"/>
      <c r="L843" s="1"/>
    </row>
    <row r="844" spans="1:12" ht="13.8">
      <c r="A844" s="1"/>
      <c r="D844" s="1"/>
      <c r="H844" s="1"/>
      <c r="L844" s="1"/>
    </row>
    <row r="845" spans="1:12" ht="13.8">
      <c r="A845" s="1"/>
      <c r="D845" s="1"/>
      <c r="H845" s="1"/>
      <c r="L845" s="1"/>
    </row>
    <row r="846" spans="1:12" ht="13.8">
      <c r="A846" s="1"/>
      <c r="D846" s="1"/>
      <c r="H846" s="1"/>
      <c r="L846" s="1"/>
    </row>
    <row r="847" spans="1:12" ht="13.8">
      <c r="A847" s="1"/>
      <c r="D847" s="1"/>
      <c r="H847" s="1"/>
      <c r="L847" s="1"/>
    </row>
    <row r="848" spans="1:12" ht="13.8">
      <c r="A848" s="1"/>
      <c r="D848" s="1"/>
      <c r="H848" s="1"/>
      <c r="L848" s="1"/>
    </row>
    <row r="849" spans="1:12" ht="13.8">
      <c r="A849" s="1"/>
      <c r="D849" s="1"/>
      <c r="H849" s="1"/>
      <c r="L849" s="1"/>
    </row>
    <row r="850" spans="1:12" ht="13.8">
      <c r="A850" s="1"/>
      <c r="D850" s="1"/>
      <c r="H850" s="1"/>
      <c r="L850" s="1"/>
    </row>
    <row r="851" spans="1:12" ht="13.8">
      <c r="A851" s="1"/>
      <c r="D851" s="1"/>
      <c r="H851" s="1"/>
      <c r="L851" s="1"/>
    </row>
    <row r="852" spans="1:12" ht="13.8">
      <c r="A852" s="1"/>
      <c r="D852" s="1"/>
      <c r="H852" s="1"/>
      <c r="L852" s="1"/>
    </row>
    <row r="853" spans="1:12" ht="13.8">
      <c r="A853" s="1"/>
      <c r="D853" s="1"/>
      <c r="H853" s="1"/>
      <c r="L853" s="1"/>
    </row>
    <row r="854" spans="1:12" ht="13.8">
      <c r="A854" s="1"/>
      <c r="D854" s="1"/>
      <c r="H854" s="1"/>
      <c r="L854" s="1"/>
    </row>
    <row r="855" spans="1:12" ht="13.8">
      <c r="A855" s="1"/>
      <c r="D855" s="1"/>
      <c r="H855" s="1"/>
      <c r="L855" s="1"/>
    </row>
    <row r="856" spans="1:12" ht="13.8">
      <c r="A856" s="1"/>
      <c r="D856" s="1"/>
      <c r="H856" s="1"/>
      <c r="L856" s="1"/>
    </row>
    <row r="857" spans="1:12" ht="13.8">
      <c r="A857" s="1"/>
      <c r="D857" s="1"/>
      <c r="H857" s="1"/>
      <c r="L857" s="1"/>
    </row>
    <row r="858" spans="1:12" ht="13.8">
      <c r="A858" s="1"/>
      <c r="D858" s="1"/>
      <c r="H858" s="1"/>
      <c r="L858" s="1"/>
    </row>
    <row r="859" spans="1:12" ht="13.8">
      <c r="A859" s="1"/>
      <c r="D859" s="1"/>
      <c r="H859" s="1"/>
      <c r="L859" s="1"/>
    </row>
    <row r="860" spans="1:12" ht="13.8">
      <c r="A860" s="1"/>
      <c r="D860" s="1"/>
      <c r="H860" s="1"/>
      <c r="L860" s="1"/>
    </row>
    <row r="861" spans="1:12" ht="13.8">
      <c r="A861" s="1"/>
      <c r="D861" s="1"/>
      <c r="H861" s="1"/>
      <c r="L861" s="1"/>
    </row>
    <row r="862" spans="1:12" ht="13.8">
      <c r="A862" s="1"/>
      <c r="D862" s="1"/>
      <c r="H862" s="1"/>
      <c r="L862" s="1"/>
    </row>
    <row r="863" spans="1:12" ht="13.8">
      <c r="A863" s="1"/>
      <c r="D863" s="1"/>
      <c r="H863" s="1"/>
      <c r="L863" s="1"/>
    </row>
    <row r="864" spans="1:12" ht="13.8">
      <c r="A864" s="1"/>
      <c r="D864" s="1"/>
      <c r="H864" s="1"/>
      <c r="L864" s="1"/>
    </row>
    <row r="865" spans="1:12" ht="13.8">
      <c r="A865" s="1"/>
      <c r="D865" s="1"/>
      <c r="H865" s="1"/>
      <c r="L865" s="1"/>
    </row>
    <row r="866" spans="1:12" ht="13.8">
      <c r="A866" s="1"/>
      <c r="D866" s="1"/>
      <c r="H866" s="1"/>
      <c r="L866" s="1"/>
    </row>
    <row r="867" spans="1:12" ht="13.8">
      <c r="A867" s="1"/>
      <c r="D867" s="1"/>
      <c r="H867" s="1"/>
      <c r="L867" s="1"/>
    </row>
    <row r="868" spans="1:12" ht="13.8">
      <c r="A868" s="1"/>
      <c r="D868" s="1"/>
      <c r="H868" s="1"/>
      <c r="L868" s="1"/>
    </row>
    <row r="869" spans="1:12" ht="13.8">
      <c r="A869" s="1"/>
      <c r="D869" s="1"/>
      <c r="H869" s="1"/>
      <c r="L869" s="1"/>
    </row>
    <row r="870" spans="1:12" ht="13.8">
      <c r="A870" s="1"/>
      <c r="D870" s="1"/>
      <c r="H870" s="1"/>
      <c r="L870" s="1"/>
    </row>
    <row r="871" spans="1:12" ht="13.8">
      <c r="A871" s="1"/>
      <c r="D871" s="1"/>
      <c r="H871" s="1"/>
      <c r="L871" s="1"/>
    </row>
    <row r="872" spans="1:12" ht="13.8">
      <c r="A872" s="1"/>
      <c r="D872" s="1"/>
      <c r="H872" s="1"/>
      <c r="L872" s="1"/>
    </row>
    <row r="873" spans="1:12" ht="13.8">
      <c r="A873" s="1"/>
      <c r="D873" s="1"/>
      <c r="H873" s="1"/>
      <c r="L873" s="1"/>
    </row>
    <row r="874" spans="1:12" ht="13.8">
      <c r="A874" s="1"/>
      <c r="D874" s="1"/>
      <c r="H874" s="1"/>
      <c r="L874" s="1"/>
    </row>
    <row r="875" spans="1:12" ht="13.8">
      <c r="A875" s="1"/>
      <c r="D875" s="1"/>
      <c r="H875" s="1"/>
      <c r="L875" s="1"/>
    </row>
    <row r="876" spans="1:12" ht="13.8">
      <c r="A876" s="1"/>
      <c r="D876" s="1"/>
      <c r="H876" s="1"/>
      <c r="L876" s="1"/>
    </row>
    <row r="877" spans="1:12" ht="13.8">
      <c r="A877" s="1"/>
      <c r="D877" s="1"/>
      <c r="H877" s="1"/>
      <c r="L877" s="1"/>
    </row>
    <row r="878" spans="1:12" ht="13.8">
      <c r="A878" s="1"/>
      <c r="D878" s="1"/>
      <c r="H878" s="1"/>
      <c r="L878" s="1"/>
    </row>
    <row r="879" spans="1:12" ht="13.8">
      <c r="A879" s="1"/>
      <c r="D879" s="1"/>
      <c r="H879" s="1"/>
      <c r="L879" s="1"/>
    </row>
    <row r="880" spans="1:12" ht="13.8">
      <c r="A880" s="1"/>
      <c r="D880" s="1"/>
      <c r="H880" s="1"/>
      <c r="L880" s="1"/>
    </row>
    <row r="881" spans="1:12" ht="13.8">
      <c r="A881" s="1"/>
      <c r="D881" s="1"/>
      <c r="H881" s="1"/>
      <c r="L881" s="1"/>
    </row>
    <row r="882" spans="1:12" ht="13.8">
      <c r="A882" s="1"/>
      <c r="D882" s="1"/>
      <c r="H882" s="1"/>
      <c r="L882" s="1"/>
    </row>
    <row r="883" spans="1:12" ht="13.8">
      <c r="A883" s="1"/>
      <c r="D883" s="1"/>
      <c r="H883" s="1"/>
      <c r="L883" s="1"/>
    </row>
    <row r="884" spans="1:12" ht="13.8">
      <c r="A884" s="1"/>
      <c r="D884" s="1"/>
      <c r="H884" s="1"/>
      <c r="L884" s="1"/>
    </row>
    <row r="885" spans="1:12" ht="13.8">
      <c r="A885" s="1"/>
      <c r="D885" s="1"/>
      <c r="H885" s="1"/>
      <c r="L885" s="1"/>
    </row>
    <row r="886" spans="1:12" ht="13.8">
      <c r="A886" s="1"/>
      <c r="D886" s="1"/>
      <c r="H886" s="1"/>
      <c r="L886" s="1"/>
    </row>
    <row r="887" spans="1:12" ht="13.8">
      <c r="A887" s="1"/>
      <c r="D887" s="1"/>
      <c r="H887" s="1"/>
      <c r="L887" s="1"/>
    </row>
    <row r="888" spans="1:12" ht="13.8">
      <c r="A888" s="1"/>
      <c r="D888" s="1"/>
      <c r="H888" s="1"/>
      <c r="L888" s="1"/>
    </row>
    <row r="889" spans="1:12" ht="13.8">
      <c r="A889" s="1"/>
      <c r="D889" s="1"/>
      <c r="H889" s="1"/>
      <c r="L889" s="1"/>
    </row>
    <row r="890" spans="1:12" ht="13.8">
      <c r="A890" s="1"/>
      <c r="D890" s="1"/>
      <c r="H890" s="1"/>
      <c r="L890" s="1"/>
    </row>
    <row r="891" spans="1:12" ht="13.8">
      <c r="A891" s="1"/>
      <c r="D891" s="1"/>
      <c r="H891" s="1"/>
      <c r="L891" s="1"/>
    </row>
    <row r="892" spans="1:12" ht="13.8">
      <c r="A892" s="1"/>
      <c r="D892" s="1"/>
      <c r="H892" s="1"/>
      <c r="L892" s="1"/>
    </row>
    <row r="893" spans="1:12" ht="13.8">
      <c r="A893" s="1"/>
      <c r="D893" s="1"/>
      <c r="H893" s="1"/>
      <c r="L893" s="1"/>
    </row>
    <row r="894" spans="1:12" ht="13.8">
      <c r="A894" s="1"/>
      <c r="D894" s="1"/>
      <c r="H894" s="1"/>
      <c r="L894" s="1"/>
    </row>
    <row r="895" spans="1:12" ht="13.8">
      <c r="A895" s="1"/>
      <c r="D895" s="1"/>
      <c r="H895" s="1"/>
      <c r="L895" s="1"/>
    </row>
    <row r="896" spans="1:12" ht="13.8">
      <c r="A896" s="1"/>
      <c r="D896" s="1"/>
      <c r="H896" s="1"/>
      <c r="L896" s="1"/>
    </row>
    <row r="897" spans="1:12" ht="13.8">
      <c r="A897" s="1"/>
      <c r="D897" s="1"/>
      <c r="H897" s="1"/>
      <c r="L897" s="1"/>
    </row>
    <row r="898" spans="1:12" ht="13.8">
      <c r="A898" s="1"/>
      <c r="D898" s="1"/>
      <c r="H898" s="1"/>
      <c r="L898" s="1"/>
    </row>
    <row r="899" spans="1:12" ht="13.8">
      <c r="A899" s="1"/>
      <c r="D899" s="1"/>
      <c r="H899" s="1"/>
      <c r="L899" s="1"/>
    </row>
    <row r="900" spans="1:12" ht="13.8">
      <c r="A900" s="1"/>
      <c r="D900" s="1"/>
      <c r="H900" s="1"/>
      <c r="L900" s="1"/>
    </row>
    <row r="901" spans="1:12" ht="13.8">
      <c r="A901" s="1"/>
      <c r="D901" s="1"/>
      <c r="H901" s="1"/>
      <c r="L901" s="1"/>
    </row>
    <row r="902" spans="1:12" ht="13.8">
      <c r="A902" s="1"/>
      <c r="D902" s="1"/>
      <c r="H902" s="1"/>
      <c r="L902" s="1"/>
    </row>
    <row r="903" spans="1:12" ht="13.8">
      <c r="A903" s="1"/>
      <c r="D903" s="1"/>
      <c r="H903" s="1"/>
      <c r="L903" s="1"/>
    </row>
    <row r="904" spans="1:12" ht="13.8">
      <c r="A904" s="1"/>
      <c r="D904" s="1"/>
      <c r="H904" s="1"/>
      <c r="L904" s="1"/>
    </row>
    <row r="905" spans="1:12" ht="13.8">
      <c r="A905" s="1"/>
      <c r="D905" s="1"/>
      <c r="H905" s="1"/>
      <c r="L905" s="1"/>
    </row>
    <row r="906" spans="1:12" ht="13.8">
      <c r="A906" s="1"/>
      <c r="D906" s="1"/>
      <c r="H906" s="1"/>
      <c r="L906" s="1"/>
    </row>
    <row r="907" spans="1:12" ht="13.8">
      <c r="A907" s="1"/>
      <c r="D907" s="1"/>
      <c r="H907" s="1"/>
      <c r="L907" s="1"/>
    </row>
    <row r="908" spans="1:12" ht="13.8">
      <c r="A908" s="1"/>
      <c r="D908" s="1"/>
      <c r="H908" s="1"/>
      <c r="L908" s="1"/>
    </row>
    <row r="909" spans="1:12" ht="13.8">
      <c r="A909" s="1"/>
      <c r="D909" s="1"/>
      <c r="H909" s="1"/>
      <c r="L909" s="1"/>
    </row>
    <row r="910" spans="1:12" ht="13.8">
      <c r="A910" s="1"/>
      <c r="D910" s="1"/>
      <c r="H910" s="1"/>
      <c r="L910" s="1"/>
    </row>
    <row r="911" spans="1:12" ht="13.8">
      <c r="A911" s="1"/>
      <c r="D911" s="1"/>
      <c r="H911" s="1"/>
      <c r="L911" s="1"/>
    </row>
    <row r="912" spans="1:12" ht="13.8">
      <c r="A912" s="1"/>
      <c r="D912" s="1"/>
      <c r="H912" s="1"/>
      <c r="L912" s="1"/>
    </row>
    <row r="913" spans="1:12" ht="13.8">
      <c r="A913" s="1"/>
      <c r="D913" s="1"/>
      <c r="H913" s="1"/>
      <c r="L913" s="1"/>
    </row>
    <row r="914" spans="1:12" ht="13.8">
      <c r="A914" s="1"/>
      <c r="D914" s="1"/>
      <c r="H914" s="1"/>
      <c r="L914" s="1"/>
    </row>
    <row r="915" spans="1:12" ht="13.8">
      <c r="A915" s="1"/>
      <c r="D915" s="1"/>
      <c r="H915" s="1"/>
      <c r="L915" s="1"/>
    </row>
    <row r="916" spans="1:12" ht="13.8">
      <c r="A916" s="1"/>
      <c r="D916" s="1"/>
      <c r="H916" s="1"/>
      <c r="L916" s="1"/>
    </row>
    <row r="917" spans="1:12" ht="13.8">
      <c r="A917" s="1"/>
      <c r="D917" s="1"/>
      <c r="H917" s="1"/>
      <c r="L917" s="1"/>
    </row>
    <row r="918" spans="1:12" ht="13.8">
      <c r="A918" s="1"/>
      <c r="D918" s="1"/>
      <c r="H918" s="1"/>
      <c r="L918" s="1"/>
    </row>
    <row r="919" spans="1:12" ht="13.8">
      <c r="A919" s="1"/>
      <c r="D919" s="1"/>
      <c r="H919" s="1"/>
      <c r="L919" s="1"/>
    </row>
    <row r="920" spans="1:12" ht="13.8">
      <c r="A920" s="1"/>
      <c r="D920" s="1"/>
      <c r="H920" s="1"/>
      <c r="L920" s="1"/>
    </row>
    <row r="921" spans="1:12" ht="13.8">
      <c r="A921" s="1"/>
      <c r="D921" s="1"/>
      <c r="H921" s="1"/>
      <c r="L921" s="1"/>
    </row>
    <row r="922" spans="1:12" ht="13.8">
      <c r="A922" s="1"/>
      <c r="D922" s="1"/>
      <c r="H922" s="1"/>
      <c r="L922" s="1"/>
    </row>
    <row r="923" spans="1:12" ht="13.8">
      <c r="A923" s="1"/>
      <c r="D923" s="1"/>
      <c r="H923" s="1"/>
      <c r="L923" s="1"/>
    </row>
    <row r="924" spans="1:12" ht="13.8">
      <c r="A924" s="1"/>
      <c r="D924" s="1"/>
      <c r="H924" s="1"/>
      <c r="L924" s="1"/>
    </row>
    <row r="925" spans="1:12" ht="13.8">
      <c r="A925" s="1"/>
      <c r="D925" s="1"/>
      <c r="H925" s="1"/>
      <c r="L925" s="1"/>
    </row>
    <row r="926" spans="1:12" ht="13.8">
      <c r="A926" s="1"/>
      <c r="D926" s="1"/>
      <c r="H926" s="1"/>
      <c r="L926" s="1"/>
    </row>
    <row r="927" spans="1:12" ht="13.8">
      <c r="A927" s="1"/>
      <c r="D927" s="1"/>
      <c r="H927" s="1"/>
      <c r="L927" s="1"/>
    </row>
    <row r="928" spans="1:12" ht="13.8">
      <c r="A928" s="1"/>
      <c r="D928" s="1"/>
      <c r="H928" s="1"/>
      <c r="L928" s="1"/>
    </row>
    <row r="929" spans="1:12" ht="13.8">
      <c r="A929" s="1"/>
      <c r="D929" s="1"/>
      <c r="H929" s="1"/>
      <c r="L929" s="1"/>
    </row>
    <row r="930" spans="1:12" ht="13.8">
      <c r="A930" s="1"/>
      <c r="D930" s="1"/>
      <c r="H930" s="1"/>
      <c r="L930" s="1"/>
    </row>
    <row r="931" spans="1:12" ht="13.8">
      <c r="A931" s="1"/>
      <c r="D931" s="1"/>
      <c r="H931" s="1"/>
      <c r="L931" s="1"/>
    </row>
    <row r="932" spans="1:12" ht="13.8">
      <c r="A932" s="1"/>
      <c r="D932" s="1"/>
      <c r="H932" s="1"/>
      <c r="L932" s="1"/>
    </row>
    <row r="933" spans="1:12" ht="13.8">
      <c r="A933" s="1"/>
      <c r="D933" s="1"/>
      <c r="H933" s="1"/>
      <c r="L933" s="1"/>
    </row>
    <row r="934" spans="1:12" ht="13.8">
      <c r="A934" s="1"/>
      <c r="D934" s="1"/>
      <c r="H934" s="1"/>
      <c r="L934" s="1"/>
    </row>
    <row r="935" spans="1:12" ht="13.8">
      <c r="A935" s="1"/>
      <c r="D935" s="1"/>
      <c r="H935" s="1"/>
      <c r="L935" s="1"/>
    </row>
    <row r="936" spans="1:12" ht="13.8">
      <c r="A936" s="1"/>
      <c r="D936" s="1"/>
      <c r="H936" s="1"/>
      <c r="L936" s="1"/>
    </row>
    <row r="937" spans="1:12" ht="13.8">
      <c r="A937" s="1"/>
      <c r="D937" s="1"/>
      <c r="H937" s="1"/>
      <c r="L937" s="1"/>
    </row>
    <row r="938" spans="1:12" ht="13.8">
      <c r="A938" s="1"/>
      <c r="D938" s="1"/>
      <c r="H938" s="1"/>
      <c r="L938" s="1"/>
    </row>
    <row r="939" spans="1:12" ht="13.8">
      <c r="A939" s="1"/>
      <c r="D939" s="1"/>
      <c r="H939" s="1"/>
      <c r="L939" s="1"/>
    </row>
    <row r="940" spans="1:12" ht="13.8">
      <c r="A940" s="1"/>
      <c r="D940" s="1"/>
      <c r="H940" s="1"/>
      <c r="L940" s="1"/>
    </row>
    <row r="941" spans="1:12" ht="13.8">
      <c r="A941" s="1"/>
      <c r="D941" s="1"/>
      <c r="H941" s="1"/>
      <c r="L941" s="1"/>
    </row>
    <row r="942" spans="1:12" ht="13.8">
      <c r="A942" s="1"/>
      <c r="D942" s="1"/>
      <c r="H942" s="1"/>
      <c r="L942" s="1"/>
    </row>
    <row r="943" spans="1:12" ht="13.8">
      <c r="A943" s="1"/>
      <c r="D943" s="1"/>
      <c r="H943" s="1"/>
      <c r="L943" s="1"/>
    </row>
    <row r="944" spans="1:12" ht="13.8">
      <c r="A944" s="1"/>
      <c r="D944" s="1"/>
      <c r="H944" s="1"/>
      <c r="L944" s="1"/>
    </row>
    <row r="945" spans="1:12" ht="13.8">
      <c r="A945" s="1"/>
      <c r="D945" s="1"/>
      <c r="H945" s="1"/>
      <c r="L945" s="1"/>
    </row>
    <row r="946" spans="1:12" ht="13.8">
      <c r="A946" s="1"/>
      <c r="D946" s="1"/>
      <c r="H946" s="1"/>
      <c r="L946" s="1"/>
    </row>
    <row r="947" spans="1:12" ht="13.8">
      <c r="A947" s="1"/>
      <c r="D947" s="1"/>
      <c r="H947" s="1"/>
      <c r="L947" s="1"/>
    </row>
    <row r="948" spans="1:12" ht="13.8">
      <c r="A948" s="1"/>
      <c r="D948" s="1"/>
      <c r="H948" s="1"/>
      <c r="L948" s="1"/>
    </row>
    <row r="949" spans="1:12" ht="13.8">
      <c r="A949" s="1"/>
      <c r="D949" s="1"/>
      <c r="H949" s="1"/>
      <c r="L949" s="1"/>
    </row>
    <row r="950" spans="1:12" ht="13.8">
      <c r="A950" s="1"/>
      <c r="D950" s="1"/>
      <c r="H950" s="1"/>
      <c r="L950" s="1"/>
    </row>
    <row r="951" spans="1:12" ht="13.8">
      <c r="A951" s="1"/>
      <c r="D951" s="1"/>
      <c r="H951" s="1"/>
      <c r="L951" s="1"/>
    </row>
    <row r="952" spans="1:12" ht="13.8">
      <c r="A952" s="1"/>
      <c r="D952" s="1"/>
      <c r="H952" s="1"/>
      <c r="L952" s="1"/>
    </row>
    <row r="953" spans="1:12" ht="13.8">
      <c r="A953" s="1"/>
      <c r="D953" s="1"/>
      <c r="H953" s="1"/>
      <c r="L953" s="1"/>
    </row>
    <row r="954" spans="1:12" ht="13.8">
      <c r="A954" s="1"/>
      <c r="D954" s="1"/>
      <c r="H954" s="1"/>
      <c r="L954" s="1"/>
    </row>
    <row r="955" spans="1:12" ht="13.8">
      <c r="A955" s="1"/>
      <c r="D955" s="1"/>
      <c r="H955" s="1"/>
      <c r="L955" s="1"/>
    </row>
    <row r="956" spans="1:12" ht="13.8">
      <c r="A956" s="1"/>
      <c r="D956" s="1"/>
      <c r="H956" s="1"/>
      <c r="L956" s="1"/>
    </row>
    <row r="957" spans="1:12" ht="13.8">
      <c r="A957" s="1"/>
      <c r="D957" s="1"/>
      <c r="H957" s="1"/>
      <c r="L957" s="1"/>
    </row>
    <row r="958" spans="1:12" ht="13.8">
      <c r="A958" s="1"/>
      <c r="D958" s="1"/>
      <c r="H958" s="1"/>
      <c r="L958" s="1"/>
    </row>
    <row r="959" spans="1:12" ht="13.8">
      <c r="A959" s="1"/>
      <c r="D959" s="1"/>
      <c r="H959" s="1"/>
      <c r="L959" s="1"/>
    </row>
    <row r="960" spans="1:12" ht="13.8">
      <c r="A960" s="1"/>
      <c r="D960" s="1"/>
      <c r="H960" s="1"/>
      <c r="L960" s="1"/>
    </row>
    <row r="961" spans="1:12" ht="13.8">
      <c r="A961" s="1"/>
      <c r="D961" s="1"/>
      <c r="H961" s="1"/>
      <c r="L961" s="1"/>
    </row>
    <row r="962" spans="1:12" ht="13.8">
      <c r="A962" s="1"/>
      <c r="D962" s="1"/>
      <c r="H962" s="1"/>
      <c r="L962" s="1"/>
    </row>
    <row r="963" spans="1:12" ht="13.8">
      <c r="A963" s="1"/>
      <c r="D963" s="1"/>
      <c r="H963" s="1"/>
      <c r="L963" s="1"/>
    </row>
    <row r="964" spans="1:12" ht="13.8">
      <c r="A964" s="1"/>
      <c r="D964" s="1"/>
      <c r="H964" s="1"/>
      <c r="L964" s="1"/>
    </row>
    <row r="965" spans="1:12" ht="13.8">
      <c r="A965" s="1"/>
      <c r="D965" s="1"/>
      <c r="H965" s="1"/>
      <c r="L965" s="1"/>
    </row>
    <row r="966" spans="1:12" ht="13.8">
      <c r="A966" s="1"/>
      <c r="D966" s="1"/>
      <c r="H966" s="1"/>
      <c r="L966" s="1"/>
    </row>
    <row r="967" spans="1:12" ht="13.8">
      <c r="A967" s="1"/>
      <c r="D967" s="1"/>
      <c r="H967" s="1"/>
      <c r="L967" s="1"/>
    </row>
    <row r="968" spans="1:12" ht="13.8">
      <c r="A968" s="1"/>
      <c r="D968" s="1"/>
      <c r="H968" s="1"/>
      <c r="L968" s="1"/>
    </row>
    <row r="969" spans="1:12" ht="13.8">
      <c r="A969" s="1"/>
      <c r="D969" s="1"/>
      <c r="H969" s="1"/>
      <c r="L969" s="1"/>
    </row>
    <row r="970" spans="1:12" ht="13.8">
      <c r="A970" s="1"/>
      <c r="D970" s="1"/>
      <c r="H970" s="1"/>
      <c r="L970" s="1"/>
    </row>
    <row r="971" spans="1:12" ht="13.8">
      <c r="A971" s="1"/>
      <c r="D971" s="1"/>
      <c r="H971" s="1"/>
      <c r="L971" s="1"/>
    </row>
    <row r="972" spans="1:12" ht="13.8">
      <c r="A972" s="1"/>
      <c r="D972" s="1"/>
      <c r="H972" s="1"/>
      <c r="L972" s="1"/>
    </row>
    <row r="973" spans="1:12" ht="13.8">
      <c r="A973" s="1"/>
      <c r="D973" s="1"/>
      <c r="H973" s="1"/>
      <c r="L973" s="1"/>
    </row>
    <row r="974" spans="1:12" ht="13.8">
      <c r="A974" s="1"/>
      <c r="D974" s="1"/>
      <c r="H974" s="1"/>
      <c r="L974" s="1"/>
    </row>
    <row r="975" spans="1:12" ht="13.8">
      <c r="A975" s="1"/>
      <c r="D975" s="1"/>
      <c r="H975" s="1"/>
      <c r="L975" s="1"/>
    </row>
    <row r="976" spans="1:12" ht="13.8">
      <c r="A976" s="1"/>
      <c r="D976" s="1"/>
      <c r="H976" s="1"/>
      <c r="L976" s="1"/>
    </row>
    <row r="977" spans="1:12" ht="13.8">
      <c r="A977" s="1"/>
      <c r="D977" s="1"/>
      <c r="H977" s="1"/>
      <c r="L977" s="1"/>
    </row>
    <row r="978" spans="1:12" ht="13.8">
      <c r="A978" s="1"/>
      <c r="D978" s="1"/>
      <c r="H978" s="1"/>
      <c r="L978" s="1"/>
    </row>
    <row r="979" spans="1:12" ht="13.8">
      <c r="A979" s="1"/>
      <c r="D979" s="1"/>
      <c r="H979" s="1"/>
      <c r="L979" s="1"/>
    </row>
    <row r="980" spans="1:12" ht="13.8">
      <c r="A980" s="1"/>
      <c r="D980" s="1"/>
      <c r="H980" s="1"/>
      <c r="L980" s="1"/>
    </row>
    <row r="981" spans="1:12" ht="13.8">
      <c r="A981" s="1"/>
      <c r="D981" s="1"/>
      <c r="H981" s="1"/>
      <c r="L981" s="1"/>
    </row>
    <row r="982" spans="1:12" ht="13.8">
      <c r="A982" s="1"/>
      <c r="D982" s="1"/>
      <c r="H982" s="1"/>
      <c r="L982" s="1"/>
    </row>
    <row r="983" spans="1:12" ht="13.8">
      <c r="A983" s="1"/>
      <c r="D983" s="1"/>
      <c r="H983" s="1"/>
      <c r="L983" s="1"/>
    </row>
    <row r="984" spans="1:12" ht="13.8">
      <c r="A984" s="1"/>
      <c r="D984" s="1"/>
      <c r="H984" s="1"/>
      <c r="L984" s="1"/>
    </row>
    <row r="985" spans="1:12" ht="13.8">
      <c r="A985" s="1"/>
      <c r="D985" s="1"/>
      <c r="H985" s="1"/>
      <c r="L985" s="1"/>
    </row>
    <row r="986" spans="1:12" ht="13.8">
      <c r="A986" s="1"/>
      <c r="D986" s="1"/>
      <c r="H986" s="1"/>
      <c r="L986" s="1"/>
    </row>
    <row r="987" spans="1:12" ht="13.8">
      <c r="A987" s="1"/>
      <c r="D987" s="1"/>
      <c r="H987" s="1"/>
      <c r="L987" s="1"/>
    </row>
    <row r="988" spans="1:12" ht="13.8">
      <c r="A988" s="1"/>
      <c r="D988" s="1"/>
      <c r="H988" s="1"/>
      <c r="L988" s="1"/>
    </row>
    <row r="989" spans="1:12" ht="13.8">
      <c r="A989" s="1"/>
      <c r="D989" s="1"/>
      <c r="H989" s="1"/>
      <c r="L989" s="1"/>
    </row>
    <row r="990" spans="1:12" ht="13.8">
      <c r="A990" s="1"/>
      <c r="D990" s="1"/>
      <c r="H990" s="1"/>
      <c r="L990" s="1"/>
    </row>
    <row r="991" spans="1:12" ht="13.8">
      <c r="A991" s="1"/>
      <c r="D991" s="1"/>
      <c r="H991" s="1"/>
      <c r="L991" s="1"/>
    </row>
    <row r="992" spans="1:12" ht="13.8">
      <c r="A992" s="1"/>
      <c r="D992" s="1"/>
      <c r="H992" s="1"/>
      <c r="L992" s="1"/>
    </row>
    <row r="993" spans="1:12" ht="13.8">
      <c r="A993" s="1"/>
      <c r="D993" s="1"/>
      <c r="H993" s="1"/>
      <c r="L993" s="1"/>
    </row>
    <row r="994" spans="1:12" ht="13.8">
      <c r="A994" s="1"/>
      <c r="D994" s="1"/>
      <c r="H994" s="1"/>
      <c r="L994" s="1"/>
    </row>
    <row r="995" spans="1:12" ht="13.8">
      <c r="A995" s="1"/>
      <c r="D995" s="1"/>
      <c r="H995" s="1"/>
      <c r="L995" s="1"/>
    </row>
    <row r="996" spans="1:12" ht="13.8">
      <c r="A996" s="1"/>
      <c r="D996" s="1"/>
      <c r="H996" s="1"/>
      <c r="L996" s="1"/>
    </row>
    <row r="997" spans="1:12" ht="13.8">
      <c r="A997" s="1"/>
      <c r="D997" s="1"/>
      <c r="H997" s="1"/>
      <c r="L997" s="1"/>
    </row>
    <row r="998" spans="1:12" ht="13.8">
      <c r="A998" s="1"/>
      <c r="D998" s="1"/>
      <c r="H998" s="1"/>
      <c r="L998" s="1"/>
    </row>
    <row r="999" spans="1:12" ht="13.8">
      <c r="A999" s="1"/>
      <c r="D999" s="1"/>
      <c r="H999" s="1"/>
      <c r="L999" s="1"/>
    </row>
    <row r="1000" spans="1:12" ht="13.8">
      <c r="A1000" s="1"/>
      <c r="D1000" s="1"/>
      <c r="H1000" s="1"/>
      <c r="L1000" s="1"/>
    </row>
    <row r="1001" spans="1:12" ht="13.8">
      <c r="A1001" s="1"/>
      <c r="D1001" s="1"/>
      <c r="H1001" s="1"/>
      <c r="L1001" s="1"/>
    </row>
    <row r="1002" spans="1:12" ht="15.75" customHeight="1">
      <c r="L1002" s="1"/>
    </row>
    <row r="1003" spans="1:12" ht="15.75" customHeight="1">
      <c r="L1003" s="1"/>
    </row>
    <row r="1004" spans="1:12" ht="15.75" customHeight="1">
      <c r="L1004" s="1"/>
    </row>
    <row r="1005" spans="1:12" ht="15.75" customHeight="1">
      <c r="L1005" s="1"/>
    </row>
    <row r="1006" spans="1:12" ht="15.75" customHeight="1">
      <c r="L1006" s="1"/>
    </row>
    <row r="1007" spans="1:12" ht="15.75" customHeight="1">
      <c r="L1007" s="1"/>
    </row>
    <row r="1008" spans="1:12" ht="15.75" customHeight="1">
      <c r="L1008" s="1"/>
    </row>
    <row r="1009" spans="12:12" ht="15.75" customHeight="1">
      <c r="L1009" s="1"/>
    </row>
    <row r="1010" spans="12:12" ht="15.75" customHeight="1">
      <c r="L1010" s="1"/>
    </row>
    <row r="1011" spans="12:12" ht="15.75" customHeight="1">
      <c r="L1011" s="1"/>
    </row>
    <row r="1012" spans="12:12" ht="15.75" customHeight="1">
      <c r="L1012" s="1"/>
    </row>
    <row r="1013" spans="12:12" ht="15.75" customHeight="1">
      <c r="L1013" s="1"/>
    </row>
    <row r="1014" spans="12:12" ht="15.75" customHeight="1">
      <c r="L1014" s="1"/>
    </row>
    <row r="1015" spans="12:12" ht="15.75" customHeight="1">
      <c r="L1015" s="1"/>
    </row>
    <row r="1016" spans="12:12" ht="15.75" customHeight="1">
      <c r="L1016" s="1"/>
    </row>
    <row r="1017" spans="12:12" ht="15.75" customHeight="1">
      <c r="L1017" s="1"/>
    </row>
    <row r="1018" spans="12:12" ht="15.75" customHeight="1">
      <c r="L1018" s="1"/>
    </row>
    <row r="1019" spans="12:12" ht="15.75" customHeight="1">
      <c r="L1019" s="1"/>
    </row>
    <row r="1020" spans="12:12" ht="15.75" customHeight="1">
      <c r="L1020" s="1"/>
    </row>
    <row r="1021" spans="12:12" ht="15.75" customHeight="1">
      <c r="L1021" s="1"/>
    </row>
    <row r="1022" spans="12:12" ht="15.75" customHeight="1">
      <c r="L1022" s="1"/>
    </row>
    <row r="1023" spans="12:12" ht="15.75" customHeight="1">
      <c r="L1023" s="1"/>
    </row>
    <row r="1024" spans="12:12" ht="15.75" customHeight="1">
      <c r="L1024" s="1"/>
    </row>
    <row r="1025" spans="12:12" ht="15.75" customHeight="1">
      <c r="L1025" s="1"/>
    </row>
    <row r="1026" spans="12:12" ht="15.75" customHeight="1">
      <c r="L1026" s="1"/>
    </row>
    <row r="1027" spans="12:12" ht="15.75" customHeight="1">
      <c r="L1027" s="1"/>
    </row>
    <row r="1028" spans="12:12" ht="15.75" customHeight="1">
      <c r="L1028" s="1"/>
    </row>
    <row r="1029" spans="12:12" ht="15.75" customHeight="1">
      <c r="L1029" s="1"/>
    </row>
    <row r="1030" spans="12:12" ht="15.75" customHeight="1">
      <c r="L1030" s="1"/>
    </row>
    <row r="1031" spans="12:12" ht="15.75" customHeight="1">
      <c r="L1031" s="1"/>
    </row>
    <row r="1032" spans="12:12" ht="15.75" customHeight="1">
      <c r="L1032" s="1"/>
    </row>
    <row r="1033" spans="12:12" ht="15.75" customHeight="1">
      <c r="L1033" s="1"/>
    </row>
    <row r="1034" spans="12:12" ht="15.75" customHeight="1">
      <c r="L1034" s="1"/>
    </row>
    <row r="1035" spans="12:12" ht="15.75" customHeight="1">
      <c r="L1035" s="1"/>
    </row>
    <row r="1036" spans="12:12" ht="15.75" customHeight="1">
      <c r="L1036" s="1"/>
    </row>
    <row r="1037" spans="12:12" ht="15.75" customHeight="1">
      <c r="L1037" s="1"/>
    </row>
    <row r="1038" spans="12:12" ht="15.75" customHeight="1">
      <c r="L1038" s="1"/>
    </row>
    <row r="1039" spans="12:12" ht="15.75" customHeight="1">
      <c r="L1039" s="1"/>
    </row>
    <row r="1040" spans="12:12" ht="15.75" customHeight="1">
      <c r="L1040" s="1"/>
    </row>
    <row r="1041" spans="12:12" ht="15.75" customHeight="1">
      <c r="L1041" s="1"/>
    </row>
    <row r="1042" spans="12:12" ht="15.75" customHeight="1">
      <c r="L1042" s="1"/>
    </row>
    <row r="1043" spans="12:12" ht="15.75" customHeight="1">
      <c r="L1043" s="1"/>
    </row>
    <row r="1044" spans="12:12" ht="15.75" customHeight="1">
      <c r="L1044" s="1"/>
    </row>
    <row r="1045" spans="12:12" ht="15.75" customHeight="1">
      <c r="L1045" s="1"/>
    </row>
    <row r="1046" spans="12:12" ht="15.75" customHeight="1">
      <c r="L1046" s="1"/>
    </row>
    <row r="1047" spans="12:12" ht="15.75" customHeight="1">
      <c r="L1047" s="1"/>
    </row>
    <row r="1048" spans="12:12" ht="15.75" customHeight="1">
      <c r="L1048" s="1"/>
    </row>
    <row r="1049" spans="12:12" ht="15.75" customHeight="1">
      <c r="L1049" s="1"/>
    </row>
    <row r="1050" spans="12:12" ht="15.75" customHeight="1">
      <c r="L1050" s="1"/>
    </row>
    <row r="1051" spans="12:12" ht="15.75" customHeight="1">
      <c r="L1051" s="1"/>
    </row>
    <row r="1052" spans="12:12" ht="15.75" customHeight="1">
      <c r="L1052" s="1"/>
    </row>
    <row r="1053" spans="12:12" ht="15.75" customHeight="1">
      <c r="L1053" s="1"/>
    </row>
    <row r="1054" spans="12:12" ht="15.75" customHeight="1">
      <c r="L1054" s="1"/>
    </row>
    <row r="1055" spans="12:12" ht="15.75" customHeight="1">
      <c r="L1055" s="1"/>
    </row>
    <row r="1056" spans="12:12" ht="15.75" customHeight="1">
      <c r="L1056" s="1"/>
    </row>
    <row r="1057" spans="12:12" ht="15.75" customHeight="1">
      <c r="L1057" s="1"/>
    </row>
    <row r="1058" spans="12:12" ht="15.75" customHeight="1">
      <c r="L1058" s="1"/>
    </row>
    <row r="1059" spans="12:12" ht="15.75" customHeight="1">
      <c r="L1059" s="1"/>
    </row>
    <row r="1060" spans="12:12" ht="15.75" customHeight="1">
      <c r="L1060" s="1"/>
    </row>
    <row r="1061" spans="12:12" ht="15.75" customHeight="1">
      <c r="L1061" s="1"/>
    </row>
    <row r="1062" spans="12:12" ht="15.75" customHeight="1">
      <c r="L1062" s="1"/>
    </row>
    <row r="1063" spans="12:12" ht="15.75" customHeight="1">
      <c r="L1063" s="1"/>
    </row>
    <row r="1064" spans="12:12" ht="15.75" customHeight="1">
      <c r="L1064" s="1"/>
    </row>
    <row r="1065" spans="12:12" ht="15.75" customHeight="1">
      <c r="L1065" s="1"/>
    </row>
    <row r="1066" spans="12:12" ht="15.75" customHeight="1">
      <c r="L1066" s="1"/>
    </row>
    <row r="1067" spans="12:12" ht="15.75" customHeight="1">
      <c r="L1067" s="1"/>
    </row>
    <row r="1068" spans="12:12" ht="15.75" customHeight="1">
      <c r="L1068" s="1"/>
    </row>
    <row r="1069" spans="12:12" ht="15.75" customHeight="1">
      <c r="L1069" s="1"/>
    </row>
    <row r="1070" spans="12:12" ht="15.75" customHeight="1">
      <c r="L1070" s="1"/>
    </row>
    <row r="1071" spans="12:12" ht="15.75" customHeight="1">
      <c r="L1071" s="1"/>
    </row>
    <row r="1072" spans="12:12" ht="15.75" customHeight="1">
      <c r="L1072" s="1"/>
    </row>
    <row r="1073" spans="12:12" ht="15.75" customHeight="1">
      <c r="L1073" s="1"/>
    </row>
    <row r="1074" spans="12:12" ht="15.75" customHeight="1">
      <c r="L1074" s="1"/>
    </row>
    <row r="1075" spans="12:12" ht="15.75" customHeight="1">
      <c r="L1075" s="1"/>
    </row>
    <row r="1076" spans="12:12" ht="15.75" customHeight="1">
      <c r="L1076" s="1"/>
    </row>
    <row r="1077" spans="12:12" ht="15.75" customHeight="1">
      <c r="L1077" s="1"/>
    </row>
    <row r="1078" spans="12:12" ht="15.75" customHeight="1">
      <c r="L1078" s="1"/>
    </row>
    <row r="1079" spans="12:12" ht="15.75" customHeight="1">
      <c r="L1079" s="1"/>
    </row>
    <row r="1080" spans="12:12" ht="15.75" customHeight="1">
      <c r="L1080" s="1"/>
    </row>
    <row r="1081" spans="12:12" ht="15.75" customHeight="1">
      <c r="L1081" s="1"/>
    </row>
    <row r="1082" spans="12:12" ht="15.75" customHeight="1">
      <c r="L1082" s="1"/>
    </row>
    <row r="1083" spans="12:12" ht="15.75" customHeight="1">
      <c r="L1083" s="1"/>
    </row>
    <row r="1084" spans="12:12" ht="15.75" customHeight="1">
      <c r="L1084" s="1"/>
    </row>
    <row r="1085" spans="12:12" ht="15.75" customHeight="1">
      <c r="L1085" s="1"/>
    </row>
    <row r="1086" spans="12:12" ht="15.75" customHeight="1">
      <c r="L1086" s="1"/>
    </row>
    <row r="1087" spans="12:12" ht="15.75" customHeight="1">
      <c r="L1087" s="1"/>
    </row>
    <row r="1088" spans="12:12" ht="15.75" customHeight="1">
      <c r="L1088" s="1"/>
    </row>
    <row r="1089" spans="12:12" ht="15.75" customHeight="1">
      <c r="L1089" s="1"/>
    </row>
    <row r="1090" spans="12:12" ht="15.75" customHeight="1">
      <c r="L1090" s="1"/>
    </row>
    <row r="1091" spans="12:12" ht="15.75" customHeight="1">
      <c r="L1091" s="1"/>
    </row>
    <row r="1092" spans="12:12" ht="15.75" customHeight="1">
      <c r="L1092" s="1"/>
    </row>
    <row r="1093" spans="12:12" ht="15.75" customHeight="1">
      <c r="L1093" s="1"/>
    </row>
    <row r="1094" spans="12:12" ht="15.75" customHeight="1">
      <c r="L1094" s="1"/>
    </row>
    <row r="1095" spans="12:12" ht="15.75" customHeight="1">
      <c r="L1095" s="1"/>
    </row>
    <row r="1096" spans="12:12" ht="15.75" customHeight="1">
      <c r="L1096" s="1"/>
    </row>
    <row r="1097" spans="12:12" ht="15.75" customHeight="1">
      <c r="L1097" s="1"/>
    </row>
    <row r="1098" spans="12:12" ht="15.75" customHeight="1">
      <c r="L1098" s="1"/>
    </row>
    <row r="1099" spans="12:12" ht="15.75" customHeight="1">
      <c r="L1099" s="1"/>
    </row>
    <row r="1100" spans="12:12" ht="15.75" customHeight="1">
      <c r="L1100" s="1"/>
    </row>
    <row r="1101" spans="12:12" ht="15.75" customHeight="1">
      <c r="L1101" s="1"/>
    </row>
    <row r="1102" spans="12:12" ht="15.75" customHeight="1">
      <c r="L1102" s="1"/>
    </row>
    <row r="1103" spans="12:12" ht="15.75" customHeight="1">
      <c r="L1103" s="1"/>
    </row>
    <row r="1104" spans="12:12" ht="15.75" customHeight="1">
      <c r="L1104" s="1"/>
    </row>
    <row r="1105" spans="12:12" ht="15.75" customHeight="1">
      <c r="L1105" s="1"/>
    </row>
    <row r="1106" spans="12:12" ht="15.75" customHeight="1">
      <c r="L1106" s="1"/>
    </row>
    <row r="1107" spans="12:12" ht="15.75" customHeight="1">
      <c r="L1107" s="1"/>
    </row>
    <row r="1108" spans="12:12" ht="15.75" customHeight="1">
      <c r="L1108" s="1"/>
    </row>
    <row r="1109" spans="12:12" ht="15.75" customHeight="1">
      <c r="L1109" s="1"/>
    </row>
    <row r="1110" spans="12:12" ht="15.75" customHeight="1">
      <c r="L1110" s="1"/>
    </row>
    <row r="1111" spans="12:12" ht="15.75" customHeight="1">
      <c r="L1111" s="1"/>
    </row>
    <row r="1112" spans="12:12" ht="15.75" customHeight="1">
      <c r="L1112" s="1"/>
    </row>
    <row r="1113" spans="12:12" ht="15.75" customHeight="1">
      <c r="L1113" s="1"/>
    </row>
    <row r="1114" spans="12:12" ht="15.75" customHeight="1">
      <c r="L1114" s="1"/>
    </row>
    <row r="1115" spans="12:12" ht="15.75" customHeight="1">
      <c r="L1115" s="1"/>
    </row>
    <row r="1116" spans="12:12" ht="15.75" customHeight="1">
      <c r="L1116" s="1"/>
    </row>
    <row r="1117" spans="12:12" ht="15.75" customHeight="1">
      <c r="L1117" s="1"/>
    </row>
    <row r="1118" spans="12:12" ht="15.75" customHeight="1">
      <c r="L1118" s="1"/>
    </row>
    <row r="1119" spans="12:12" ht="15.75" customHeight="1">
      <c r="L1119" s="1"/>
    </row>
    <row r="1120" spans="12:12" ht="15.75" customHeight="1">
      <c r="L1120" s="1"/>
    </row>
    <row r="1121" spans="12:12" ht="15.75" customHeight="1">
      <c r="L1121" s="1"/>
    </row>
    <row r="1122" spans="12:12" ht="15.75" customHeight="1">
      <c r="L1122" s="1"/>
    </row>
    <row r="1123" spans="12:12" ht="15.75" customHeight="1">
      <c r="L1123" s="1"/>
    </row>
    <row r="1124" spans="12:12" ht="15.75" customHeight="1">
      <c r="L1124" s="1"/>
    </row>
  </sheetData>
  <hyperlinks>
    <hyperlink ref="J2" r:id="rId1" xr:uid="{00000000-0004-0000-0100-000000000000}"/>
    <hyperlink ref="J3" r:id="rId2" xr:uid="{00000000-0004-0000-0100-000001000000}"/>
    <hyperlink ref="J4" r:id="rId3" xr:uid="{00000000-0004-0000-0100-000002000000}"/>
    <hyperlink ref="J5" r:id="rId4" xr:uid="{00000000-0004-0000-0100-000003000000}"/>
    <hyperlink ref="J6" r:id="rId5" xr:uid="{00000000-0004-0000-0100-000004000000}"/>
    <hyperlink ref="J7" r:id="rId6" xr:uid="{00000000-0004-0000-0100-000005000000}"/>
    <hyperlink ref="J8" r:id="rId7" xr:uid="{00000000-0004-0000-0100-000006000000}"/>
    <hyperlink ref="J9" r:id="rId8" xr:uid="{00000000-0004-0000-0100-000007000000}"/>
    <hyperlink ref="J10" r:id="rId9" xr:uid="{00000000-0004-0000-0100-000008000000}"/>
    <hyperlink ref="J11" r:id="rId10" xr:uid="{00000000-0004-0000-0100-000009000000}"/>
    <hyperlink ref="J12" r:id="rId11" xr:uid="{00000000-0004-0000-0100-00000A000000}"/>
    <hyperlink ref="J13" r:id="rId12" xr:uid="{00000000-0004-0000-0100-00000B000000}"/>
    <hyperlink ref="J14" r:id="rId13" xr:uid="{00000000-0004-0000-0100-00000C000000}"/>
    <hyperlink ref="J15" r:id="rId14" xr:uid="{00000000-0004-0000-0100-00000D000000}"/>
    <hyperlink ref="J16" r:id="rId15" xr:uid="{00000000-0004-0000-0100-00000E000000}"/>
    <hyperlink ref="J17" r:id="rId16" xr:uid="{00000000-0004-0000-0100-00000F000000}"/>
    <hyperlink ref="J18" r:id="rId17" xr:uid="{00000000-0004-0000-0100-000010000000}"/>
    <hyperlink ref="J19" r:id="rId18" xr:uid="{00000000-0004-0000-0100-000011000000}"/>
    <hyperlink ref="J20" r:id="rId19" xr:uid="{00000000-0004-0000-0100-000012000000}"/>
    <hyperlink ref="J21" r:id="rId20" xr:uid="{00000000-0004-0000-0100-000013000000}"/>
    <hyperlink ref="J22" r:id="rId21" xr:uid="{00000000-0004-0000-0100-000014000000}"/>
    <hyperlink ref="J23" r:id="rId22" xr:uid="{00000000-0004-0000-0100-000015000000}"/>
    <hyperlink ref="J24" r:id="rId23" xr:uid="{00000000-0004-0000-0100-000016000000}"/>
    <hyperlink ref="J25" r:id="rId24" xr:uid="{00000000-0004-0000-0100-000017000000}"/>
    <hyperlink ref="J26" r:id="rId25" xr:uid="{00000000-0004-0000-0100-000018000000}"/>
    <hyperlink ref="J27" r:id="rId26" xr:uid="{00000000-0004-0000-0100-000019000000}"/>
    <hyperlink ref="J28" r:id="rId27" xr:uid="{00000000-0004-0000-0100-00001A000000}"/>
    <hyperlink ref="J29" r:id="rId28" xr:uid="{00000000-0004-0000-0100-00001B000000}"/>
    <hyperlink ref="J30" r:id="rId29" xr:uid="{00000000-0004-0000-0100-00001C000000}"/>
    <hyperlink ref="J31" r:id="rId30" xr:uid="{00000000-0004-0000-0100-00001D000000}"/>
    <hyperlink ref="J32" r:id="rId31" xr:uid="{00000000-0004-0000-0100-00001E000000}"/>
    <hyperlink ref="J33" r:id="rId32" xr:uid="{00000000-0004-0000-0100-00001F000000}"/>
    <hyperlink ref="J34" r:id="rId33" xr:uid="{00000000-0004-0000-0100-000020000000}"/>
    <hyperlink ref="J35" r:id="rId34" xr:uid="{00000000-0004-0000-0100-000021000000}"/>
    <hyperlink ref="J36" r:id="rId35" xr:uid="{00000000-0004-0000-0100-000022000000}"/>
    <hyperlink ref="J37" r:id="rId36" xr:uid="{00000000-0004-0000-0100-000023000000}"/>
    <hyperlink ref="J38" r:id="rId37" xr:uid="{00000000-0004-0000-0100-000024000000}"/>
    <hyperlink ref="J39" r:id="rId38" xr:uid="{00000000-0004-0000-0100-000025000000}"/>
    <hyperlink ref="J40" r:id="rId39" xr:uid="{00000000-0004-0000-0100-000026000000}"/>
    <hyperlink ref="J41" r:id="rId40" xr:uid="{00000000-0004-0000-0100-000027000000}"/>
    <hyperlink ref="J42" r:id="rId41" xr:uid="{00000000-0004-0000-0100-000028000000}"/>
    <hyperlink ref="J43" r:id="rId42" xr:uid="{00000000-0004-0000-0100-000029000000}"/>
    <hyperlink ref="J44" r:id="rId43" xr:uid="{00000000-0004-0000-0100-00002A000000}"/>
    <hyperlink ref="J45" r:id="rId44" xr:uid="{00000000-0004-0000-0100-00002B000000}"/>
    <hyperlink ref="J46" r:id="rId45" xr:uid="{00000000-0004-0000-0100-00002C000000}"/>
    <hyperlink ref="J47" r:id="rId46" xr:uid="{00000000-0004-0000-0100-00002D000000}"/>
    <hyperlink ref="J48" r:id="rId47" xr:uid="{00000000-0004-0000-0100-00002E000000}"/>
    <hyperlink ref="J49" r:id="rId48" xr:uid="{00000000-0004-0000-0100-00002F000000}"/>
    <hyperlink ref="J50" r:id="rId49" xr:uid="{00000000-0004-0000-0100-000030000000}"/>
    <hyperlink ref="J51" r:id="rId50" xr:uid="{00000000-0004-0000-0100-000031000000}"/>
    <hyperlink ref="J52" r:id="rId51" xr:uid="{00000000-0004-0000-0100-000032000000}"/>
    <hyperlink ref="J53" r:id="rId52" xr:uid="{00000000-0004-0000-0100-000033000000}"/>
    <hyperlink ref="J54" r:id="rId53" xr:uid="{00000000-0004-0000-0100-000034000000}"/>
    <hyperlink ref="J55" r:id="rId54" xr:uid="{00000000-0004-0000-0100-000035000000}"/>
    <hyperlink ref="J56" r:id="rId55" xr:uid="{00000000-0004-0000-0100-000036000000}"/>
    <hyperlink ref="J57" r:id="rId56" xr:uid="{00000000-0004-0000-0100-000037000000}"/>
    <hyperlink ref="J58" r:id="rId57" xr:uid="{00000000-0004-0000-0100-000038000000}"/>
    <hyperlink ref="J59" r:id="rId58" xr:uid="{00000000-0004-0000-0100-000039000000}"/>
    <hyperlink ref="J60" r:id="rId59" xr:uid="{00000000-0004-0000-0100-00003A000000}"/>
    <hyperlink ref="J61" r:id="rId60" xr:uid="{00000000-0004-0000-0100-00003B000000}"/>
    <hyperlink ref="J62" r:id="rId61" xr:uid="{00000000-0004-0000-0100-00003C000000}"/>
    <hyperlink ref="J63" r:id="rId62" xr:uid="{00000000-0004-0000-0100-00003D000000}"/>
    <hyperlink ref="J64" r:id="rId63" xr:uid="{00000000-0004-0000-0100-00003E000000}"/>
    <hyperlink ref="J65" r:id="rId64" xr:uid="{00000000-0004-0000-0100-00003F000000}"/>
    <hyperlink ref="J66" r:id="rId65" xr:uid="{00000000-0004-0000-0100-000040000000}"/>
    <hyperlink ref="J67" r:id="rId66" xr:uid="{00000000-0004-0000-0100-000041000000}"/>
    <hyperlink ref="J68" r:id="rId67" xr:uid="{00000000-0004-0000-0100-000042000000}"/>
    <hyperlink ref="J69" r:id="rId68" xr:uid="{00000000-0004-0000-0100-000043000000}"/>
    <hyperlink ref="J70" r:id="rId69" xr:uid="{00000000-0004-0000-0100-000044000000}"/>
    <hyperlink ref="J71" r:id="rId70" xr:uid="{00000000-0004-0000-0100-000045000000}"/>
    <hyperlink ref="J72" r:id="rId71" xr:uid="{00000000-0004-0000-0100-000046000000}"/>
    <hyperlink ref="J73" r:id="rId72" xr:uid="{00000000-0004-0000-0100-000047000000}"/>
    <hyperlink ref="J74" r:id="rId73" xr:uid="{00000000-0004-0000-0100-000048000000}"/>
    <hyperlink ref="J75" r:id="rId74" xr:uid="{00000000-0004-0000-0100-000049000000}"/>
    <hyperlink ref="J76" r:id="rId75" xr:uid="{00000000-0004-0000-0100-00004A000000}"/>
    <hyperlink ref="J77" r:id="rId76" xr:uid="{00000000-0004-0000-0100-00004B000000}"/>
    <hyperlink ref="J78" r:id="rId77" xr:uid="{00000000-0004-0000-0100-00004C000000}"/>
    <hyperlink ref="J79" r:id="rId78" xr:uid="{00000000-0004-0000-0100-00004D000000}"/>
    <hyperlink ref="J80" r:id="rId79" xr:uid="{00000000-0004-0000-0100-00004E000000}"/>
    <hyperlink ref="J81" r:id="rId80" xr:uid="{00000000-0004-0000-0100-00004F000000}"/>
    <hyperlink ref="J82" r:id="rId81" xr:uid="{00000000-0004-0000-0100-000050000000}"/>
    <hyperlink ref="J83" r:id="rId82" xr:uid="{00000000-0004-0000-0100-000051000000}"/>
    <hyperlink ref="J84" r:id="rId83" xr:uid="{00000000-0004-0000-0100-000052000000}"/>
    <hyperlink ref="J85" r:id="rId84" xr:uid="{00000000-0004-0000-0100-000053000000}"/>
    <hyperlink ref="J86" r:id="rId85" xr:uid="{00000000-0004-0000-0100-000054000000}"/>
    <hyperlink ref="J87" r:id="rId86" xr:uid="{00000000-0004-0000-0100-000055000000}"/>
    <hyperlink ref="J88" r:id="rId87" xr:uid="{00000000-0004-0000-0100-000056000000}"/>
    <hyperlink ref="J89" r:id="rId88" xr:uid="{00000000-0004-0000-0100-000057000000}"/>
    <hyperlink ref="J90" r:id="rId89" xr:uid="{00000000-0004-0000-0100-000058000000}"/>
    <hyperlink ref="J91" r:id="rId90" xr:uid="{00000000-0004-0000-0100-000059000000}"/>
    <hyperlink ref="J92" r:id="rId91" xr:uid="{00000000-0004-0000-0100-00005A000000}"/>
    <hyperlink ref="J93" r:id="rId92" xr:uid="{00000000-0004-0000-0100-00005B000000}"/>
    <hyperlink ref="J94" r:id="rId93" xr:uid="{00000000-0004-0000-0100-00005C000000}"/>
    <hyperlink ref="J95" r:id="rId94" xr:uid="{00000000-0004-0000-0100-00005D000000}"/>
    <hyperlink ref="J96" r:id="rId95" xr:uid="{00000000-0004-0000-0100-00005E000000}"/>
    <hyperlink ref="J97" r:id="rId96" xr:uid="{00000000-0004-0000-0100-00005F000000}"/>
    <hyperlink ref="J98" r:id="rId97" xr:uid="{00000000-0004-0000-0100-000060000000}"/>
    <hyperlink ref="J99" r:id="rId98" xr:uid="{00000000-0004-0000-0100-000061000000}"/>
    <hyperlink ref="J100" r:id="rId99" xr:uid="{00000000-0004-0000-0100-000062000000}"/>
    <hyperlink ref="J101" r:id="rId100" xr:uid="{00000000-0004-0000-0100-000063000000}"/>
    <hyperlink ref="J102" r:id="rId101" xr:uid="{00000000-0004-0000-0100-000064000000}"/>
    <hyperlink ref="J103" r:id="rId102" xr:uid="{00000000-0004-0000-0100-000065000000}"/>
    <hyperlink ref="J104" r:id="rId103" xr:uid="{00000000-0004-0000-0100-000066000000}"/>
    <hyperlink ref="J105" r:id="rId104" xr:uid="{00000000-0004-0000-0100-000067000000}"/>
    <hyperlink ref="J106" r:id="rId105" xr:uid="{00000000-0004-0000-0100-000068000000}"/>
    <hyperlink ref="J107" r:id="rId106" xr:uid="{00000000-0004-0000-0100-000069000000}"/>
    <hyperlink ref="J108" r:id="rId107" xr:uid="{00000000-0004-0000-0100-00006A000000}"/>
    <hyperlink ref="J109" r:id="rId108" xr:uid="{00000000-0004-0000-0100-00006B000000}"/>
    <hyperlink ref="J110" r:id="rId109" xr:uid="{00000000-0004-0000-0100-00006C000000}"/>
    <hyperlink ref="J111" r:id="rId110" xr:uid="{00000000-0004-0000-0100-00006D000000}"/>
    <hyperlink ref="J112" r:id="rId111" xr:uid="{00000000-0004-0000-0100-00006E000000}"/>
    <hyperlink ref="J113" r:id="rId112" xr:uid="{00000000-0004-0000-0100-00006F000000}"/>
    <hyperlink ref="J114" r:id="rId113" xr:uid="{00000000-0004-0000-0100-000070000000}"/>
    <hyperlink ref="J115" r:id="rId114" xr:uid="{00000000-0004-0000-0100-000071000000}"/>
    <hyperlink ref="J116" r:id="rId115" xr:uid="{00000000-0004-0000-0100-000072000000}"/>
    <hyperlink ref="J117" r:id="rId116" xr:uid="{00000000-0004-0000-0100-000073000000}"/>
    <hyperlink ref="J118" r:id="rId117" xr:uid="{00000000-0004-0000-0100-000074000000}"/>
    <hyperlink ref="J119" r:id="rId118" xr:uid="{00000000-0004-0000-0100-000075000000}"/>
    <hyperlink ref="J120" r:id="rId119" xr:uid="{00000000-0004-0000-0100-000076000000}"/>
    <hyperlink ref="J121" r:id="rId120" xr:uid="{00000000-0004-0000-0100-000077000000}"/>
    <hyperlink ref="J122" r:id="rId121" xr:uid="{00000000-0004-0000-0100-000078000000}"/>
    <hyperlink ref="J123" r:id="rId122" xr:uid="{00000000-0004-0000-0100-000079000000}"/>
    <hyperlink ref="J124" r:id="rId123" xr:uid="{00000000-0004-0000-0100-00007A000000}"/>
  </hyperlinks>
  <pageMargins left="0.74791666666666701" right="0.74791666666666701" top="0.98402777777777795" bottom="0.98402777777777795" header="0.511811023622047" footer="0.511811023622047"/>
  <pageSetup paperSize="9"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heetPr>
  <dimension ref="A1:K1001"/>
  <sheetViews>
    <sheetView topLeftCell="A73" zoomScaleNormal="100" workbookViewId="0">
      <selection activeCell="D75" sqref="D75"/>
    </sheetView>
  </sheetViews>
  <sheetFormatPr defaultColWidth="12.6640625" defaultRowHeight="15.75" customHeight="1"/>
  <sheetData>
    <row r="1" spans="1:11" ht="13.8">
      <c r="A1" s="1" t="s">
        <v>14183</v>
      </c>
      <c r="B1" s="1" t="s">
        <v>15066</v>
      </c>
      <c r="C1" s="1" t="s">
        <v>15067</v>
      </c>
      <c r="D1" s="1" t="s">
        <v>14186</v>
      </c>
      <c r="E1" s="1" t="s">
        <v>14187</v>
      </c>
      <c r="F1" s="1" t="s">
        <v>14188</v>
      </c>
      <c r="G1" s="1" t="s">
        <v>14189</v>
      </c>
      <c r="H1" s="1" t="s">
        <v>14190</v>
      </c>
      <c r="I1" s="1" t="s">
        <v>15068</v>
      </c>
      <c r="J1" s="1" t="s">
        <v>14192</v>
      </c>
      <c r="K1" s="1" t="s">
        <v>14193</v>
      </c>
    </row>
    <row r="2" spans="1:11" ht="13.8">
      <c r="A2" s="1" t="s">
        <v>15069</v>
      </c>
      <c r="B2" s="1" t="s">
        <v>15070</v>
      </c>
      <c r="C2" s="1" t="s">
        <v>15071</v>
      </c>
      <c r="D2" s="1" t="s">
        <v>15072</v>
      </c>
      <c r="E2" s="1">
        <v>90</v>
      </c>
      <c r="F2" s="1" t="s">
        <v>8417</v>
      </c>
      <c r="G2" s="1" t="s">
        <v>14198</v>
      </c>
      <c r="H2" s="1" t="s">
        <v>15073</v>
      </c>
      <c r="I2" s="1" t="s">
        <v>15074</v>
      </c>
      <c r="J2" s="3" t="s">
        <v>15075</v>
      </c>
      <c r="K2" s="1" t="s">
        <v>15076</v>
      </c>
    </row>
    <row r="3" spans="1:11" ht="13.8">
      <c r="A3" s="1" t="s">
        <v>15077</v>
      </c>
      <c r="B3" s="1" t="s">
        <v>15078</v>
      </c>
      <c r="C3" s="1" t="s">
        <v>15079</v>
      </c>
      <c r="D3" s="1" t="s">
        <v>15080</v>
      </c>
      <c r="E3" s="1">
        <v>35</v>
      </c>
      <c r="F3" s="1" t="s">
        <v>145</v>
      </c>
      <c r="G3" s="1" t="s">
        <v>14198</v>
      </c>
      <c r="H3" s="1" t="s">
        <v>15081</v>
      </c>
      <c r="I3" s="1" t="s">
        <v>15082</v>
      </c>
      <c r="J3" s="3" t="s">
        <v>15083</v>
      </c>
      <c r="K3" s="1" t="s">
        <v>15076</v>
      </c>
    </row>
    <row r="4" spans="1:11" ht="13.8">
      <c r="A4" s="1" t="s">
        <v>15084</v>
      </c>
      <c r="B4" s="1" t="s">
        <v>15085</v>
      </c>
      <c r="C4" s="1" t="s">
        <v>15086</v>
      </c>
      <c r="D4" s="1" t="s">
        <v>15087</v>
      </c>
      <c r="E4" s="1">
        <v>380</v>
      </c>
      <c r="F4" s="1" t="s">
        <v>429</v>
      </c>
      <c r="G4" s="1" t="s">
        <v>14198</v>
      </c>
      <c r="H4" s="1" t="s">
        <v>15088</v>
      </c>
      <c r="I4" s="1" t="s">
        <v>15089</v>
      </c>
      <c r="J4" s="3" t="s">
        <v>15090</v>
      </c>
      <c r="K4" s="1" t="s">
        <v>15076</v>
      </c>
    </row>
    <row r="5" spans="1:11" ht="13.8">
      <c r="A5" s="1" t="s">
        <v>15091</v>
      </c>
      <c r="B5" s="1" t="s">
        <v>15092</v>
      </c>
      <c r="C5" s="1" t="s">
        <v>15093</v>
      </c>
      <c r="D5" s="1" t="s">
        <v>15094</v>
      </c>
      <c r="E5" s="1">
        <v>20</v>
      </c>
      <c r="F5" s="1" t="s">
        <v>14207</v>
      </c>
      <c r="G5" s="1" t="s">
        <v>14198</v>
      </c>
      <c r="H5" s="1" t="s">
        <v>15095</v>
      </c>
      <c r="I5" s="1" t="s">
        <v>15096</v>
      </c>
      <c r="J5" s="3" t="s">
        <v>15097</v>
      </c>
      <c r="K5" s="1" t="s">
        <v>15076</v>
      </c>
    </row>
    <row r="6" spans="1:11" ht="13.8">
      <c r="A6" s="1" t="s">
        <v>15098</v>
      </c>
      <c r="B6" s="1" t="s">
        <v>15099</v>
      </c>
      <c r="C6" s="1" t="s">
        <v>15100</v>
      </c>
      <c r="D6" s="1" t="s">
        <v>15101</v>
      </c>
      <c r="E6" s="1">
        <v>90</v>
      </c>
      <c r="F6" s="1" t="s">
        <v>8417</v>
      </c>
      <c r="G6" s="1" t="s">
        <v>15102</v>
      </c>
      <c r="H6" s="1" t="s">
        <v>15103</v>
      </c>
      <c r="I6" s="1" t="s">
        <v>15104</v>
      </c>
      <c r="J6" s="3" t="s">
        <v>15105</v>
      </c>
      <c r="K6" s="1" t="s">
        <v>15076</v>
      </c>
    </row>
    <row r="7" spans="1:11" ht="13.8">
      <c r="A7" s="1" t="s">
        <v>15106</v>
      </c>
      <c r="B7" s="1" t="s">
        <v>15107</v>
      </c>
      <c r="C7" s="1" t="s">
        <v>15108</v>
      </c>
      <c r="D7" s="1" t="s">
        <v>15109</v>
      </c>
      <c r="E7" s="1">
        <v>30</v>
      </c>
      <c r="F7" s="1" t="s">
        <v>145</v>
      </c>
      <c r="G7" s="1" t="s">
        <v>14338</v>
      </c>
      <c r="H7" s="1" t="s">
        <v>15110</v>
      </c>
      <c r="I7" s="1" t="s">
        <v>15111</v>
      </c>
      <c r="J7" s="3" t="s">
        <v>15112</v>
      </c>
      <c r="K7" s="1" t="s">
        <v>15076</v>
      </c>
    </row>
    <row r="8" spans="1:11" ht="13.8">
      <c r="A8" s="1" t="s">
        <v>15113</v>
      </c>
      <c r="B8" s="1" t="s">
        <v>15114</v>
      </c>
      <c r="C8" s="1" t="s">
        <v>15115</v>
      </c>
      <c r="D8" s="1" t="s">
        <v>15116</v>
      </c>
      <c r="E8" s="1">
        <v>25</v>
      </c>
      <c r="F8" s="1" t="s">
        <v>429</v>
      </c>
      <c r="G8" s="1" t="s">
        <v>14198</v>
      </c>
      <c r="H8" s="1" t="s">
        <v>15117</v>
      </c>
      <c r="I8" s="1" t="s">
        <v>15118</v>
      </c>
      <c r="J8" s="3" t="s">
        <v>15119</v>
      </c>
      <c r="K8" s="1" t="s">
        <v>15076</v>
      </c>
    </row>
    <row r="9" spans="1:11" ht="13.8">
      <c r="A9" s="1" t="s">
        <v>15120</v>
      </c>
      <c r="B9" s="1" t="s">
        <v>15121</v>
      </c>
      <c r="C9" s="1" t="s">
        <v>15122</v>
      </c>
      <c r="D9" s="1" t="s">
        <v>15123</v>
      </c>
      <c r="E9" s="1">
        <v>40</v>
      </c>
      <c r="F9" s="1" t="s">
        <v>14207</v>
      </c>
      <c r="G9" s="1" t="s">
        <v>14198</v>
      </c>
      <c r="H9" s="1" t="s">
        <v>15124</v>
      </c>
      <c r="I9" s="1" t="s">
        <v>15125</v>
      </c>
      <c r="J9" s="3" t="s">
        <v>15126</v>
      </c>
      <c r="K9" s="1" t="s">
        <v>15076</v>
      </c>
    </row>
    <row r="10" spans="1:11" ht="13.8">
      <c r="A10" s="1" t="s">
        <v>15127</v>
      </c>
      <c r="B10" s="1" t="s">
        <v>15128</v>
      </c>
      <c r="C10" s="1" t="s">
        <v>15129</v>
      </c>
      <c r="D10" s="1" t="s">
        <v>15130</v>
      </c>
      <c r="E10" s="1">
        <v>40</v>
      </c>
      <c r="F10" s="1" t="s">
        <v>145</v>
      </c>
      <c r="G10" s="1" t="s">
        <v>14367</v>
      </c>
      <c r="H10" s="1" t="s">
        <v>15131</v>
      </c>
      <c r="I10" s="1" t="s">
        <v>15132</v>
      </c>
      <c r="J10" s="3" t="s">
        <v>15133</v>
      </c>
      <c r="K10" s="1" t="s">
        <v>15076</v>
      </c>
    </row>
    <row r="11" spans="1:11" ht="13.8">
      <c r="A11" s="1" t="s">
        <v>15134</v>
      </c>
      <c r="B11" s="1" t="s">
        <v>15135</v>
      </c>
      <c r="C11" s="1" t="s">
        <v>15136</v>
      </c>
      <c r="D11" s="1" t="s">
        <v>15137</v>
      </c>
      <c r="E11" s="1">
        <v>65</v>
      </c>
      <c r="F11" s="1" t="s">
        <v>15138</v>
      </c>
      <c r="G11" s="1" t="s">
        <v>14198</v>
      </c>
      <c r="H11" s="1" t="s">
        <v>15139</v>
      </c>
      <c r="I11" s="1" t="s">
        <v>15140</v>
      </c>
      <c r="J11" s="3" t="s">
        <v>15141</v>
      </c>
      <c r="K11" s="1" t="s">
        <v>15076</v>
      </c>
    </row>
    <row r="12" spans="1:11" ht="13.8">
      <c r="A12" s="1" t="s">
        <v>15142</v>
      </c>
      <c r="B12" s="1" t="s">
        <v>15143</v>
      </c>
      <c r="C12" s="1" t="s">
        <v>15144</v>
      </c>
      <c r="D12" s="1" t="s">
        <v>15145</v>
      </c>
      <c r="E12" s="1">
        <v>230</v>
      </c>
      <c r="F12" s="1" t="s">
        <v>14259</v>
      </c>
      <c r="G12" s="1" t="s">
        <v>14198</v>
      </c>
      <c r="H12" s="1" t="s">
        <v>15146</v>
      </c>
      <c r="I12" s="1" t="s">
        <v>15147</v>
      </c>
      <c r="J12" s="3" t="s">
        <v>15148</v>
      </c>
      <c r="K12" s="1" t="s">
        <v>15076</v>
      </c>
    </row>
    <row r="13" spans="1:11" ht="13.8">
      <c r="A13" s="1" t="s">
        <v>15149</v>
      </c>
      <c r="B13" s="1" t="s">
        <v>15150</v>
      </c>
      <c r="C13" s="1" t="s">
        <v>15151</v>
      </c>
      <c r="D13" s="1" t="s">
        <v>15152</v>
      </c>
      <c r="E13" s="1">
        <v>50</v>
      </c>
      <c r="F13" s="1" t="s">
        <v>8417</v>
      </c>
      <c r="G13" s="1" t="s">
        <v>14198</v>
      </c>
      <c r="H13" s="1" t="s">
        <v>15153</v>
      </c>
      <c r="I13" s="1" t="s">
        <v>15154</v>
      </c>
      <c r="J13" s="3" t="s">
        <v>15155</v>
      </c>
      <c r="K13" s="1" t="s">
        <v>15076</v>
      </c>
    </row>
    <row r="14" spans="1:11" ht="13.8">
      <c r="A14" s="1" t="s">
        <v>15156</v>
      </c>
      <c r="B14" s="1" t="s">
        <v>15157</v>
      </c>
      <c r="C14" s="1" t="s">
        <v>15158</v>
      </c>
      <c r="D14" s="1" t="s">
        <v>15159</v>
      </c>
      <c r="E14" s="1">
        <v>25</v>
      </c>
      <c r="F14" s="1" t="s">
        <v>145</v>
      </c>
      <c r="G14" s="1" t="s">
        <v>14198</v>
      </c>
      <c r="H14" s="1" t="s">
        <v>15160</v>
      </c>
      <c r="I14" s="1" t="s">
        <v>15161</v>
      </c>
      <c r="J14" s="3" t="s">
        <v>15162</v>
      </c>
      <c r="K14" s="1" t="s">
        <v>15076</v>
      </c>
    </row>
    <row r="15" spans="1:11" ht="13.8">
      <c r="A15" s="1" t="s">
        <v>15163</v>
      </c>
      <c r="B15" s="1" t="s">
        <v>15164</v>
      </c>
      <c r="C15" s="1" t="s">
        <v>15165</v>
      </c>
      <c r="D15" s="1" t="s">
        <v>15166</v>
      </c>
      <c r="E15" s="1">
        <v>55</v>
      </c>
      <c r="F15" s="1" t="s">
        <v>145</v>
      </c>
      <c r="G15" s="1" t="s">
        <v>14382</v>
      </c>
      <c r="H15" s="1" t="s">
        <v>15167</v>
      </c>
      <c r="I15" s="1" t="s">
        <v>15168</v>
      </c>
      <c r="J15" s="3" t="s">
        <v>15169</v>
      </c>
      <c r="K15" s="1" t="s">
        <v>15076</v>
      </c>
    </row>
    <row r="16" spans="1:11" ht="13.8">
      <c r="A16" s="1" t="s">
        <v>15170</v>
      </c>
      <c r="B16" s="1" t="s">
        <v>15171</v>
      </c>
      <c r="C16" s="1" t="s">
        <v>15172</v>
      </c>
      <c r="D16" s="1" t="s">
        <v>15173</v>
      </c>
      <c r="E16" s="1">
        <v>40</v>
      </c>
      <c r="F16" s="1" t="s">
        <v>145</v>
      </c>
      <c r="G16" s="1" t="s">
        <v>14198</v>
      </c>
      <c r="H16" s="1" t="s">
        <v>15174</v>
      </c>
      <c r="I16" s="1" t="s">
        <v>15175</v>
      </c>
      <c r="J16" s="3" t="s">
        <v>15176</v>
      </c>
      <c r="K16" s="1" t="s">
        <v>15076</v>
      </c>
    </row>
    <row r="17" spans="1:11" ht="13.8">
      <c r="A17" s="1" t="s">
        <v>15177</v>
      </c>
      <c r="B17" s="1" t="s">
        <v>15178</v>
      </c>
      <c r="C17" s="1" t="s">
        <v>15179</v>
      </c>
      <c r="D17" s="1" t="s">
        <v>15180</v>
      </c>
      <c r="E17" s="1">
        <v>40</v>
      </c>
      <c r="F17" s="1" t="s">
        <v>145</v>
      </c>
      <c r="G17" s="1" t="s">
        <v>14198</v>
      </c>
      <c r="H17" s="1" t="s">
        <v>15181</v>
      </c>
      <c r="I17" s="1" t="s">
        <v>15182</v>
      </c>
      <c r="J17" s="3" t="s">
        <v>15183</v>
      </c>
      <c r="K17" s="1" t="s">
        <v>15076</v>
      </c>
    </row>
    <row r="18" spans="1:11" ht="13.8">
      <c r="A18" s="1" t="s">
        <v>15184</v>
      </c>
      <c r="B18" s="1" t="s">
        <v>15185</v>
      </c>
      <c r="C18" s="1" t="s">
        <v>15186</v>
      </c>
      <c r="D18" s="1" t="s">
        <v>15187</v>
      </c>
      <c r="E18" s="1">
        <v>50</v>
      </c>
      <c r="F18" s="1" t="s">
        <v>14281</v>
      </c>
      <c r="G18" s="1" t="s">
        <v>14382</v>
      </c>
      <c r="H18" s="1" t="s">
        <v>15188</v>
      </c>
      <c r="I18" s="1" t="s">
        <v>15189</v>
      </c>
      <c r="J18" s="3" t="s">
        <v>15190</v>
      </c>
      <c r="K18" s="1" t="s">
        <v>15076</v>
      </c>
    </row>
    <row r="19" spans="1:11" ht="13.8">
      <c r="A19" s="1" t="s">
        <v>15191</v>
      </c>
      <c r="B19" s="1" t="s">
        <v>15192</v>
      </c>
      <c r="C19" s="1" t="s">
        <v>15193</v>
      </c>
      <c r="D19" s="1" t="s">
        <v>15194</v>
      </c>
      <c r="E19" s="1">
        <v>20</v>
      </c>
      <c r="F19" s="1" t="s">
        <v>14281</v>
      </c>
      <c r="G19" s="1" t="s">
        <v>14198</v>
      </c>
      <c r="H19" s="1" t="s">
        <v>15195</v>
      </c>
      <c r="I19" s="1" t="s">
        <v>15196</v>
      </c>
      <c r="J19" s="3" t="s">
        <v>15197</v>
      </c>
      <c r="K19" s="1" t="s">
        <v>15076</v>
      </c>
    </row>
    <row r="20" spans="1:11" ht="13.8">
      <c r="A20" s="1" t="s">
        <v>15198</v>
      </c>
      <c r="B20" s="1" t="s">
        <v>15198</v>
      </c>
      <c r="C20" s="1" t="s">
        <v>15199</v>
      </c>
      <c r="D20" s="1" t="s">
        <v>15200</v>
      </c>
      <c r="E20" s="1">
        <v>40</v>
      </c>
      <c r="F20" s="1" t="s">
        <v>145</v>
      </c>
      <c r="G20" s="1" t="s">
        <v>14367</v>
      </c>
      <c r="H20" s="1" t="s">
        <v>15201</v>
      </c>
      <c r="I20" s="1" t="s">
        <v>15202</v>
      </c>
      <c r="J20" s="3" t="s">
        <v>15203</v>
      </c>
      <c r="K20" s="1" t="s">
        <v>15076</v>
      </c>
    </row>
    <row r="21" spans="1:11" ht="13.8">
      <c r="A21" s="1" t="s">
        <v>15204</v>
      </c>
      <c r="B21" s="1" t="s">
        <v>15205</v>
      </c>
      <c r="C21" s="1" t="s">
        <v>15206</v>
      </c>
      <c r="D21" s="1" t="s">
        <v>15207</v>
      </c>
      <c r="E21" s="1">
        <v>50</v>
      </c>
      <c r="F21" s="1" t="s">
        <v>15208</v>
      </c>
      <c r="G21" s="1" t="s">
        <v>14198</v>
      </c>
      <c r="H21" s="1" t="s">
        <v>15209</v>
      </c>
      <c r="I21" s="1" t="s">
        <v>15210</v>
      </c>
      <c r="J21" s="3" t="s">
        <v>15211</v>
      </c>
      <c r="K21" s="1" t="s">
        <v>15076</v>
      </c>
    </row>
    <row r="22" spans="1:11" ht="13.8">
      <c r="A22" s="1" t="s">
        <v>15212</v>
      </c>
      <c r="B22" s="1" t="s">
        <v>15213</v>
      </c>
      <c r="C22" s="1" t="s">
        <v>15214</v>
      </c>
      <c r="D22" s="1" t="s">
        <v>15215</v>
      </c>
      <c r="E22" s="1">
        <v>90</v>
      </c>
      <c r="F22" s="1" t="s">
        <v>14281</v>
      </c>
      <c r="G22" s="1" t="s">
        <v>14198</v>
      </c>
      <c r="H22" s="1" t="s">
        <v>15216</v>
      </c>
      <c r="I22" s="1" t="s">
        <v>15217</v>
      </c>
      <c r="J22" s="3" t="s">
        <v>15218</v>
      </c>
      <c r="K22" s="1" t="s">
        <v>15076</v>
      </c>
    </row>
    <row r="23" spans="1:11" ht="13.8">
      <c r="A23" s="1" t="s">
        <v>15219</v>
      </c>
      <c r="B23" s="1" t="s">
        <v>15220</v>
      </c>
      <c r="C23" s="1" t="s">
        <v>15221</v>
      </c>
      <c r="D23" s="1" t="s">
        <v>15222</v>
      </c>
      <c r="E23" s="1">
        <v>35</v>
      </c>
      <c r="F23" s="1" t="s">
        <v>429</v>
      </c>
      <c r="G23" s="1" t="s">
        <v>14198</v>
      </c>
      <c r="H23" s="1" t="s">
        <v>15223</v>
      </c>
      <c r="I23" s="1" t="s">
        <v>15224</v>
      </c>
      <c r="J23" s="3" t="s">
        <v>15225</v>
      </c>
      <c r="K23" s="1" t="s">
        <v>15076</v>
      </c>
    </row>
    <row r="24" spans="1:11" ht="13.8">
      <c r="A24" s="1" t="s">
        <v>15226</v>
      </c>
      <c r="B24" s="1" t="s">
        <v>15227</v>
      </c>
      <c r="C24" s="1" t="s">
        <v>15228</v>
      </c>
      <c r="D24" s="1" t="s">
        <v>15229</v>
      </c>
      <c r="E24" s="1">
        <v>90</v>
      </c>
      <c r="F24" s="1" t="s">
        <v>145</v>
      </c>
      <c r="G24" s="1" t="s">
        <v>14237</v>
      </c>
      <c r="H24" s="1" t="s">
        <v>15230</v>
      </c>
      <c r="I24" s="1" t="s">
        <v>15231</v>
      </c>
      <c r="J24" s="3" t="s">
        <v>15232</v>
      </c>
      <c r="K24" s="1" t="s">
        <v>15076</v>
      </c>
    </row>
    <row r="25" spans="1:11" ht="13.8">
      <c r="A25" s="1" t="s">
        <v>15233</v>
      </c>
      <c r="B25" s="1" t="s">
        <v>15234</v>
      </c>
      <c r="C25" s="1" t="s">
        <v>15235</v>
      </c>
      <c r="D25" s="1" t="s">
        <v>15236</v>
      </c>
      <c r="E25" s="1">
        <v>220</v>
      </c>
      <c r="F25" s="1" t="s">
        <v>14281</v>
      </c>
      <c r="G25" s="1" t="s">
        <v>14198</v>
      </c>
      <c r="H25" s="1" t="s">
        <v>15237</v>
      </c>
      <c r="I25" s="1" t="s">
        <v>15238</v>
      </c>
      <c r="J25" s="3" t="s">
        <v>15239</v>
      </c>
      <c r="K25" s="1" t="s">
        <v>15076</v>
      </c>
    </row>
    <row r="26" spans="1:11" ht="13.8">
      <c r="A26" s="1" t="s">
        <v>15240</v>
      </c>
      <c r="B26" s="1" t="s">
        <v>15241</v>
      </c>
      <c r="C26" s="1" t="s">
        <v>15242</v>
      </c>
      <c r="D26" s="1" t="s">
        <v>15243</v>
      </c>
      <c r="E26" s="1">
        <v>25</v>
      </c>
      <c r="F26" s="1" t="s">
        <v>14207</v>
      </c>
      <c r="G26" s="1" t="s">
        <v>14198</v>
      </c>
      <c r="H26" s="1" t="s">
        <v>15244</v>
      </c>
      <c r="I26" s="1" t="s">
        <v>15245</v>
      </c>
      <c r="J26" s="3" t="s">
        <v>15246</v>
      </c>
      <c r="K26" s="1" t="s">
        <v>15076</v>
      </c>
    </row>
    <row r="27" spans="1:11" ht="13.8">
      <c r="A27" s="1" t="s">
        <v>15247</v>
      </c>
      <c r="B27" s="1" t="s">
        <v>15248</v>
      </c>
      <c r="C27" s="1" t="s">
        <v>15249</v>
      </c>
      <c r="D27" s="1" t="s">
        <v>15250</v>
      </c>
      <c r="E27" s="1">
        <v>35</v>
      </c>
      <c r="F27" s="1" t="s">
        <v>429</v>
      </c>
      <c r="G27" s="1" t="s">
        <v>14198</v>
      </c>
      <c r="H27" s="1" t="s">
        <v>15251</v>
      </c>
      <c r="I27" s="1" t="s">
        <v>15252</v>
      </c>
      <c r="J27" s="3" t="s">
        <v>15253</v>
      </c>
      <c r="K27" s="1" t="s">
        <v>15076</v>
      </c>
    </row>
    <row r="28" spans="1:11" ht="13.8">
      <c r="A28" s="1" t="s">
        <v>15254</v>
      </c>
      <c r="B28" s="1" t="s">
        <v>15255</v>
      </c>
      <c r="C28" s="1" t="s">
        <v>15256</v>
      </c>
      <c r="D28" s="1" t="s">
        <v>15257</v>
      </c>
      <c r="E28" s="1">
        <v>40</v>
      </c>
      <c r="F28" s="1" t="s">
        <v>145</v>
      </c>
      <c r="G28" s="1" t="s">
        <v>14198</v>
      </c>
      <c r="H28" s="1" t="s">
        <v>15258</v>
      </c>
      <c r="I28" s="1" t="s">
        <v>15259</v>
      </c>
      <c r="J28" s="3" t="s">
        <v>15260</v>
      </c>
      <c r="K28" s="1" t="s">
        <v>15076</v>
      </c>
    </row>
    <row r="29" spans="1:11" ht="13.8">
      <c r="A29" s="1" t="s">
        <v>15261</v>
      </c>
      <c r="B29" s="1" t="s">
        <v>15262</v>
      </c>
      <c r="C29" s="1" t="s">
        <v>15263</v>
      </c>
      <c r="D29" s="1" t="s">
        <v>15264</v>
      </c>
      <c r="E29" s="1">
        <v>90</v>
      </c>
      <c r="F29" s="1" t="s">
        <v>145</v>
      </c>
      <c r="G29" s="1" t="s">
        <v>14367</v>
      </c>
      <c r="H29" s="1" t="s">
        <v>15265</v>
      </c>
      <c r="I29" s="1" t="s">
        <v>15266</v>
      </c>
      <c r="J29" s="3" t="s">
        <v>15267</v>
      </c>
      <c r="K29" s="1" t="s">
        <v>15076</v>
      </c>
    </row>
    <row r="30" spans="1:11" ht="13.8">
      <c r="A30" s="1" t="s">
        <v>15268</v>
      </c>
      <c r="B30" s="1" t="s">
        <v>15269</v>
      </c>
      <c r="C30" s="1" t="s">
        <v>15270</v>
      </c>
      <c r="D30" s="1" t="s">
        <v>15271</v>
      </c>
      <c r="E30" s="1">
        <v>40</v>
      </c>
      <c r="F30" s="1" t="s">
        <v>145</v>
      </c>
      <c r="G30" s="1" t="s">
        <v>14198</v>
      </c>
      <c r="H30" s="1" t="s">
        <v>15272</v>
      </c>
      <c r="I30" s="1" t="s">
        <v>15273</v>
      </c>
      <c r="J30" s="3" t="s">
        <v>15274</v>
      </c>
      <c r="K30" s="1" t="s">
        <v>15076</v>
      </c>
    </row>
    <row r="31" spans="1:11" ht="13.8">
      <c r="A31" s="1" t="s">
        <v>15275</v>
      </c>
      <c r="B31" s="1" t="s">
        <v>15276</v>
      </c>
      <c r="C31" s="1" t="s">
        <v>15277</v>
      </c>
      <c r="D31" s="1" t="s">
        <v>15278</v>
      </c>
      <c r="E31" s="1">
        <v>25</v>
      </c>
      <c r="F31" s="1" t="s">
        <v>14207</v>
      </c>
      <c r="G31" s="1" t="s">
        <v>14198</v>
      </c>
      <c r="H31" s="1" t="s">
        <v>15279</v>
      </c>
      <c r="I31" s="1" t="s">
        <v>15280</v>
      </c>
      <c r="J31" s="3" t="s">
        <v>15281</v>
      </c>
      <c r="K31" s="1" t="s">
        <v>15076</v>
      </c>
    </row>
    <row r="32" spans="1:11" ht="13.8">
      <c r="A32" s="1" t="s">
        <v>15282</v>
      </c>
      <c r="B32" s="1" t="s">
        <v>15283</v>
      </c>
      <c r="C32" s="1" t="s">
        <v>15284</v>
      </c>
      <c r="D32" s="1" t="s">
        <v>15285</v>
      </c>
      <c r="E32" s="1">
        <v>25</v>
      </c>
      <c r="F32" s="1" t="s">
        <v>14207</v>
      </c>
      <c r="G32" s="1" t="s">
        <v>14198</v>
      </c>
      <c r="H32" s="1" t="s">
        <v>15286</v>
      </c>
      <c r="I32" s="1" t="s">
        <v>15287</v>
      </c>
      <c r="J32" s="3" t="s">
        <v>15288</v>
      </c>
      <c r="K32" s="1" t="s">
        <v>15076</v>
      </c>
    </row>
    <row r="33" spans="1:11" ht="13.8">
      <c r="A33" s="1" t="s">
        <v>15289</v>
      </c>
      <c r="B33" s="1" t="s">
        <v>15290</v>
      </c>
      <c r="C33" s="1" t="s">
        <v>15291</v>
      </c>
      <c r="D33" s="1" t="s">
        <v>15292</v>
      </c>
      <c r="E33" s="1">
        <v>30</v>
      </c>
      <c r="F33" s="1" t="s">
        <v>145</v>
      </c>
      <c r="G33" s="1" t="s">
        <v>14198</v>
      </c>
      <c r="H33" s="1" t="s">
        <v>15293</v>
      </c>
      <c r="I33" s="1" t="s">
        <v>15294</v>
      </c>
      <c r="J33" s="3" t="s">
        <v>15295</v>
      </c>
      <c r="K33" s="1" t="s">
        <v>15076</v>
      </c>
    </row>
    <row r="34" spans="1:11" ht="13.8">
      <c r="A34" s="1" t="s">
        <v>15296</v>
      </c>
      <c r="B34" s="1" t="s">
        <v>15297</v>
      </c>
      <c r="C34" s="1" t="s">
        <v>15298</v>
      </c>
      <c r="D34" s="1" t="s">
        <v>15299</v>
      </c>
      <c r="E34" s="1">
        <v>50</v>
      </c>
      <c r="F34" s="1" t="s">
        <v>145</v>
      </c>
      <c r="G34" s="1" t="s">
        <v>14198</v>
      </c>
      <c r="H34" s="1" t="s">
        <v>15300</v>
      </c>
      <c r="I34" s="1" t="s">
        <v>15301</v>
      </c>
      <c r="J34" s="3" t="s">
        <v>15302</v>
      </c>
      <c r="K34" s="1" t="s">
        <v>15076</v>
      </c>
    </row>
    <row r="35" spans="1:11" ht="13.8">
      <c r="A35" s="1" t="s">
        <v>15303</v>
      </c>
      <c r="B35" s="1" t="s">
        <v>15304</v>
      </c>
      <c r="C35" s="1" t="s">
        <v>15305</v>
      </c>
      <c r="D35" s="1" t="s">
        <v>15306</v>
      </c>
      <c r="E35" s="1">
        <v>65</v>
      </c>
      <c r="F35" s="1" t="s">
        <v>429</v>
      </c>
      <c r="G35" s="1" t="s">
        <v>14198</v>
      </c>
      <c r="H35" s="1" t="s">
        <v>15307</v>
      </c>
      <c r="I35" s="1" t="s">
        <v>15308</v>
      </c>
      <c r="J35" s="3" t="s">
        <v>15309</v>
      </c>
      <c r="K35" s="1" t="s">
        <v>15076</v>
      </c>
    </row>
    <row r="36" spans="1:11" ht="13.8">
      <c r="A36" s="1" t="s">
        <v>15310</v>
      </c>
      <c r="B36" s="1" t="s">
        <v>15311</v>
      </c>
      <c r="C36" s="1" t="s">
        <v>15312</v>
      </c>
      <c r="D36" s="1" t="s">
        <v>15313</v>
      </c>
      <c r="E36" s="1">
        <v>100</v>
      </c>
      <c r="F36" s="1" t="s">
        <v>14281</v>
      </c>
      <c r="G36" s="1" t="s">
        <v>15314</v>
      </c>
      <c r="H36" s="1" t="s">
        <v>15315</v>
      </c>
      <c r="I36" s="1" t="s">
        <v>15316</v>
      </c>
      <c r="J36" s="3" t="s">
        <v>15317</v>
      </c>
      <c r="K36" s="1" t="s">
        <v>15076</v>
      </c>
    </row>
    <row r="37" spans="1:11" ht="13.8">
      <c r="A37" s="1" t="s">
        <v>15318</v>
      </c>
      <c r="B37" s="1" t="s">
        <v>15319</v>
      </c>
      <c r="C37" s="1" t="s">
        <v>15320</v>
      </c>
      <c r="D37" s="1" t="s">
        <v>15321</v>
      </c>
      <c r="E37" s="1">
        <v>60</v>
      </c>
      <c r="F37" s="1" t="s">
        <v>145</v>
      </c>
      <c r="G37" s="1" t="s">
        <v>14198</v>
      </c>
      <c r="H37" s="1" t="s">
        <v>15322</v>
      </c>
      <c r="I37" s="1" t="s">
        <v>15323</v>
      </c>
      <c r="J37" s="3" t="s">
        <v>15324</v>
      </c>
      <c r="K37" s="1" t="s">
        <v>15076</v>
      </c>
    </row>
    <row r="38" spans="1:11" ht="13.8">
      <c r="A38" s="1" t="s">
        <v>15325</v>
      </c>
      <c r="B38" s="1" t="s">
        <v>15326</v>
      </c>
      <c r="C38" s="1" t="s">
        <v>15327</v>
      </c>
      <c r="D38" s="1" t="s">
        <v>15328</v>
      </c>
      <c r="E38" s="1">
        <v>45</v>
      </c>
      <c r="F38" s="1" t="s">
        <v>145</v>
      </c>
      <c r="G38" s="1" t="s">
        <v>14367</v>
      </c>
      <c r="H38" s="1" t="s">
        <v>15329</v>
      </c>
      <c r="I38" s="1" t="s">
        <v>15330</v>
      </c>
      <c r="J38" s="3" t="s">
        <v>15331</v>
      </c>
      <c r="K38" s="1" t="s">
        <v>15076</v>
      </c>
    </row>
    <row r="39" spans="1:11" ht="13.8">
      <c r="A39" s="1" t="s">
        <v>15332</v>
      </c>
      <c r="B39" s="1" t="s">
        <v>15333</v>
      </c>
      <c r="C39" s="1" t="s">
        <v>15334</v>
      </c>
      <c r="D39" s="1" t="s">
        <v>15335</v>
      </c>
      <c r="E39" s="1">
        <v>20</v>
      </c>
      <c r="F39" s="1" t="s">
        <v>8417</v>
      </c>
      <c r="G39" s="1" t="s">
        <v>14198</v>
      </c>
      <c r="H39" s="1" t="s">
        <v>15336</v>
      </c>
      <c r="I39" s="1" t="s">
        <v>15337</v>
      </c>
      <c r="J39" s="3" t="s">
        <v>15338</v>
      </c>
      <c r="K39" s="1" t="s">
        <v>15076</v>
      </c>
    </row>
    <row r="40" spans="1:11" ht="13.8">
      <c r="A40" s="1" t="s">
        <v>15339</v>
      </c>
      <c r="B40" s="1" t="s">
        <v>15340</v>
      </c>
      <c r="C40" s="1" t="s">
        <v>15341</v>
      </c>
      <c r="D40" s="1" t="s">
        <v>15342</v>
      </c>
      <c r="E40" s="1">
        <v>460</v>
      </c>
      <c r="F40" s="1" t="s">
        <v>14207</v>
      </c>
      <c r="G40" s="1" t="s">
        <v>14237</v>
      </c>
      <c r="H40" s="1" t="s">
        <v>15343</v>
      </c>
      <c r="I40" s="1" t="s">
        <v>15344</v>
      </c>
      <c r="J40" s="3" t="s">
        <v>15345</v>
      </c>
      <c r="K40" s="1" t="s">
        <v>15076</v>
      </c>
    </row>
    <row r="41" spans="1:11" ht="13.8">
      <c r="A41" s="1" t="s">
        <v>15346</v>
      </c>
      <c r="B41" s="1" t="s">
        <v>15347</v>
      </c>
      <c r="C41" s="1" t="s">
        <v>15348</v>
      </c>
      <c r="D41" s="1" t="s">
        <v>15349</v>
      </c>
      <c r="E41" s="1">
        <v>10</v>
      </c>
      <c r="F41" s="1" t="s">
        <v>14207</v>
      </c>
      <c r="G41" s="1" t="s">
        <v>14237</v>
      </c>
      <c r="H41" s="1" t="s">
        <v>15350</v>
      </c>
      <c r="I41" s="1" t="s">
        <v>15351</v>
      </c>
      <c r="J41" s="3" t="s">
        <v>15352</v>
      </c>
      <c r="K41" s="1" t="s">
        <v>15076</v>
      </c>
    </row>
    <row r="42" spans="1:11" ht="13.8">
      <c r="A42" s="1" t="s">
        <v>15353</v>
      </c>
      <c r="B42" s="1" t="s">
        <v>15354</v>
      </c>
      <c r="C42" s="1" t="s">
        <v>15355</v>
      </c>
      <c r="D42" s="1" t="s">
        <v>15356</v>
      </c>
      <c r="E42" s="1">
        <v>160</v>
      </c>
      <c r="F42" s="1" t="s">
        <v>8417</v>
      </c>
      <c r="G42" s="1" t="s">
        <v>15314</v>
      </c>
      <c r="H42" s="1" t="s">
        <v>15357</v>
      </c>
      <c r="I42" s="1" t="s">
        <v>15358</v>
      </c>
      <c r="J42" s="3" t="s">
        <v>15359</v>
      </c>
      <c r="K42" s="1" t="s">
        <v>15076</v>
      </c>
    </row>
    <row r="43" spans="1:11" ht="13.8">
      <c r="A43" s="1" t="s">
        <v>15360</v>
      </c>
      <c r="B43" s="1" t="s">
        <v>15361</v>
      </c>
      <c r="C43" s="1" t="s">
        <v>15362</v>
      </c>
      <c r="D43" s="1" t="s">
        <v>15363</v>
      </c>
      <c r="E43" s="1">
        <v>30</v>
      </c>
      <c r="F43" s="1" t="s">
        <v>15208</v>
      </c>
      <c r="G43" s="1" t="s">
        <v>14382</v>
      </c>
      <c r="H43" s="1" t="s">
        <v>15364</v>
      </c>
      <c r="I43" s="1" t="s">
        <v>15365</v>
      </c>
      <c r="J43" s="3" t="s">
        <v>15366</v>
      </c>
      <c r="K43" s="1" t="s">
        <v>15076</v>
      </c>
    </row>
    <row r="44" spans="1:11" ht="13.8">
      <c r="A44" s="1" t="s">
        <v>15367</v>
      </c>
      <c r="B44" s="1" t="s">
        <v>15368</v>
      </c>
      <c r="C44" s="1" t="s">
        <v>15369</v>
      </c>
      <c r="D44" s="1" t="s">
        <v>15370</v>
      </c>
      <c r="E44" s="1">
        <v>50</v>
      </c>
      <c r="F44" s="1" t="s">
        <v>145</v>
      </c>
      <c r="G44" s="1" t="s">
        <v>14198</v>
      </c>
      <c r="H44" s="1" t="s">
        <v>15371</v>
      </c>
      <c r="I44" s="1" t="s">
        <v>15372</v>
      </c>
      <c r="J44" s="3" t="s">
        <v>15373</v>
      </c>
      <c r="K44" s="1" t="s">
        <v>15076</v>
      </c>
    </row>
    <row r="45" spans="1:11" ht="13.8">
      <c r="A45" s="1" t="s">
        <v>15374</v>
      </c>
      <c r="B45" s="1" t="s">
        <v>15375</v>
      </c>
      <c r="C45" s="1" t="s">
        <v>15376</v>
      </c>
      <c r="D45" s="1" t="s">
        <v>15377</v>
      </c>
      <c r="E45" s="1">
        <v>55</v>
      </c>
      <c r="F45" s="1" t="s">
        <v>145</v>
      </c>
      <c r="G45" s="1" t="s">
        <v>14382</v>
      </c>
      <c r="H45" s="1" t="s">
        <v>15378</v>
      </c>
      <c r="I45" s="1" t="s">
        <v>15379</v>
      </c>
      <c r="J45" s="3" t="s">
        <v>15380</v>
      </c>
      <c r="K45" s="1" t="s">
        <v>15076</v>
      </c>
    </row>
    <row r="46" spans="1:11" ht="13.8">
      <c r="A46" s="1" t="s">
        <v>15381</v>
      </c>
      <c r="B46" s="1" t="s">
        <v>15382</v>
      </c>
      <c r="C46" s="1" t="s">
        <v>15383</v>
      </c>
      <c r="D46" s="1" t="s">
        <v>15384</v>
      </c>
      <c r="E46" s="1">
        <v>50</v>
      </c>
      <c r="F46" s="1" t="s">
        <v>145</v>
      </c>
      <c r="G46" s="1" t="s">
        <v>14198</v>
      </c>
      <c r="H46" s="1" t="s">
        <v>15385</v>
      </c>
      <c r="I46" s="1" t="s">
        <v>15386</v>
      </c>
      <c r="J46" s="3" t="s">
        <v>15387</v>
      </c>
      <c r="K46" s="1" t="s">
        <v>15076</v>
      </c>
    </row>
    <row r="47" spans="1:11" ht="13.8">
      <c r="A47" s="1" t="s">
        <v>15388</v>
      </c>
      <c r="B47" s="1" t="s">
        <v>15389</v>
      </c>
      <c r="C47" s="1" t="s">
        <v>15390</v>
      </c>
      <c r="D47" s="1" t="s">
        <v>15391</v>
      </c>
      <c r="E47" s="1">
        <v>50</v>
      </c>
      <c r="F47" s="1" t="s">
        <v>145</v>
      </c>
      <c r="G47" s="1" t="s">
        <v>14198</v>
      </c>
      <c r="H47" s="1" t="s">
        <v>15392</v>
      </c>
      <c r="I47" s="1" t="s">
        <v>15393</v>
      </c>
      <c r="J47" s="3" t="s">
        <v>15394</v>
      </c>
      <c r="K47" s="1" t="s">
        <v>15076</v>
      </c>
    </row>
    <row r="48" spans="1:11" ht="13.8">
      <c r="A48" s="1" t="s">
        <v>15395</v>
      </c>
      <c r="B48" s="1" t="s">
        <v>15396</v>
      </c>
      <c r="C48" s="1" t="s">
        <v>15397</v>
      </c>
      <c r="D48" s="1" t="s">
        <v>15398</v>
      </c>
      <c r="E48" s="1">
        <v>48</v>
      </c>
      <c r="F48" s="1" t="s">
        <v>14207</v>
      </c>
      <c r="G48" s="1" t="s">
        <v>14237</v>
      </c>
      <c r="H48" s="1" t="s">
        <v>15399</v>
      </c>
      <c r="I48" s="1" t="s">
        <v>15400</v>
      </c>
      <c r="J48" s="3" t="s">
        <v>15401</v>
      </c>
      <c r="K48" s="1" t="s">
        <v>15076</v>
      </c>
    </row>
    <row r="49" spans="1:11" ht="13.8">
      <c r="A49" s="1" t="s">
        <v>15402</v>
      </c>
      <c r="B49" s="1" t="s">
        <v>15403</v>
      </c>
      <c r="C49" s="1" t="s">
        <v>15404</v>
      </c>
      <c r="D49" s="1" t="s">
        <v>15405</v>
      </c>
      <c r="E49" s="1">
        <v>45</v>
      </c>
      <c r="F49" s="1" t="s">
        <v>145</v>
      </c>
      <c r="G49" s="1" t="s">
        <v>14198</v>
      </c>
      <c r="H49" s="1" t="s">
        <v>15406</v>
      </c>
      <c r="I49" s="1" t="s">
        <v>15407</v>
      </c>
      <c r="J49" s="3" t="s">
        <v>15408</v>
      </c>
      <c r="K49" s="1" t="s">
        <v>15076</v>
      </c>
    </row>
    <row r="50" spans="1:11" ht="13.8">
      <c r="A50" s="1" t="s">
        <v>15409</v>
      </c>
      <c r="B50" s="1" t="s">
        <v>15410</v>
      </c>
      <c r="C50" s="1" t="s">
        <v>15411</v>
      </c>
      <c r="D50" s="1" t="s">
        <v>15412</v>
      </c>
      <c r="E50" s="1">
        <v>50</v>
      </c>
      <c r="F50" s="1" t="s">
        <v>429</v>
      </c>
      <c r="G50" s="1" t="s">
        <v>14198</v>
      </c>
      <c r="H50" s="1" t="s">
        <v>15413</v>
      </c>
      <c r="I50" s="1" t="s">
        <v>15414</v>
      </c>
      <c r="J50" s="3" t="s">
        <v>15415</v>
      </c>
      <c r="K50" s="1" t="s">
        <v>15076</v>
      </c>
    </row>
    <row r="51" spans="1:11" ht="13.8">
      <c r="A51" s="1" t="s">
        <v>15416</v>
      </c>
      <c r="B51" s="1" t="s">
        <v>15417</v>
      </c>
      <c r="C51" s="1" t="s">
        <v>15418</v>
      </c>
      <c r="D51" s="1" t="s">
        <v>15419</v>
      </c>
      <c r="E51" s="1">
        <v>45</v>
      </c>
      <c r="F51" s="1" t="s">
        <v>14281</v>
      </c>
      <c r="G51" s="1" t="s">
        <v>14198</v>
      </c>
      <c r="H51" s="1" t="s">
        <v>15420</v>
      </c>
      <c r="I51" s="1" t="s">
        <v>15421</v>
      </c>
      <c r="J51" s="3" t="s">
        <v>15422</v>
      </c>
      <c r="K51" s="1" t="s">
        <v>15076</v>
      </c>
    </row>
    <row r="52" spans="1:11" ht="13.8">
      <c r="A52" s="1" t="s">
        <v>15423</v>
      </c>
      <c r="B52" s="1" t="s">
        <v>15424</v>
      </c>
      <c r="C52" s="1" t="s">
        <v>15425</v>
      </c>
      <c r="D52" s="1" t="s">
        <v>15426</v>
      </c>
      <c r="E52" s="1">
        <v>35</v>
      </c>
      <c r="F52" s="1" t="s">
        <v>14281</v>
      </c>
      <c r="G52" s="1" t="s">
        <v>14198</v>
      </c>
      <c r="H52" s="1" t="s">
        <v>15427</v>
      </c>
      <c r="I52" s="1" t="s">
        <v>15428</v>
      </c>
      <c r="J52" s="3" t="s">
        <v>15429</v>
      </c>
      <c r="K52" s="1" t="s">
        <v>15076</v>
      </c>
    </row>
    <row r="53" spans="1:11" ht="13.8">
      <c r="A53" s="1" t="s">
        <v>15430</v>
      </c>
      <c r="B53" s="1" t="s">
        <v>15431</v>
      </c>
      <c r="C53" s="1" t="s">
        <v>15432</v>
      </c>
      <c r="D53" s="1" t="s">
        <v>15433</v>
      </c>
      <c r="E53" s="1">
        <v>40</v>
      </c>
      <c r="F53" s="1" t="s">
        <v>145</v>
      </c>
      <c r="G53" s="1" t="s">
        <v>14382</v>
      </c>
      <c r="H53" s="1" t="s">
        <v>15434</v>
      </c>
      <c r="I53" s="1" t="s">
        <v>15435</v>
      </c>
      <c r="J53" s="3" t="s">
        <v>15436</v>
      </c>
      <c r="K53" s="1" t="s">
        <v>15076</v>
      </c>
    </row>
    <row r="54" spans="1:11" ht="13.8">
      <c r="A54" s="1" t="s">
        <v>15437</v>
      </c>
      <c r="B54" s="1" t="s">
        <v>15438</v>
      </c>
      <c r="C54" s="1" t="s">
        <v>15439</v>
      </c>
      <c r="D54" s="1" t="s">
        <v>15440</v>
      </c>
      <c r="E54" s="1">
        <v>70</v>
      </c>
      <c r="F54" s="1" t="s">
        <v>8417</v>
      </c>
      <c r="G54" s="1" t="s">
        <v>14198</v>
      </c>
      <c r="H54" s="1" t="s">
        <v>15441</v>
      </c>
      <c r="I54" s="1" t="s">
        <v>15442</v>
      </c>
      <c r="J54" s="3" t="s">
        <v>15443</v>
      </c>
      <c r="K54" s="1" t="s">
        <v>15076</v>
      </c>
    </row>
    <row r="55" spans="1:11" ht="13.8">
      <c r="A55" s="1" t="s">
        <v>15444</v>
      </c>
      <c r="B55" s="1" t="s">
        <v>15445</v>
      </c>
      <c r="C55" s="1" t="s">
        <v>15446</v>
      </c>
      <c r="D55" s="1" t="s">
        <v>15447</v>
      </c>
      <c r="E55" s="1">
        <v>40</v>
      </c>
      <c r="F55" s="1" t="s">
        <v>145</v>
      </c>
      <c r="G55" s="1" t="s">
        <v>14198</v>
      </c>
      <c r="H55" s="1" t="s">
        <v>15448</v>
      </c>
      <c r="I55" s="1" t="s">
        <v>15449</v>
      </c>
      <c r="J55" s="3" t="s">
        <v>15450</v>
      </c>
      <c r="K55" s="1" t="s">
        <v>15076</v>
      </c>
    </row>
    <row r="56" spans="1:11" ht="13.8">
      <c r="A56" s="1" t="s">
        <v>15451</v>
      </c>
      <c r="B56" s="1" t="s">
        <v>15452</v>
      </c>
      <c r="C56" s="1" t="s">
        <v>15453</v>
      </c>
      <c r="D56" s="1" t="s">
        <v>15454</v>
      </c>
      <c r="E56" s="1">
        <v>620</v>
      </c>
      <c r="F56" s="1" t="s">
        <v>15138</v>
      </c>
      <c r="G56" s="1" t="s">
        <v>15102</v>
      </c>
      <c r="H56" s="1" t="s">
        <v>15455</v>
      </c>
      <c r="I56" s="1" t="s">
        <v>15456</v>
      </c>
      <c r="J56" s="3" t="s">
        <v>15457</v>
      </c>
      <c r="K56" s="1" t="s">
        <v>15076</v>
      </c>
    </row>
    <row r="57" spans="1:11" ht="13.8">
      <c r="A57" s="1" t="s">
        <v>15458</v>
      </c>
      <c r="B57" s="1" t="s">
        <v>15459</v>
      </c>
      <c r="C57" s="1" t="s">
        <v>15460</v>
      </c>
      <c r="D57" s="1" t="s">
        <v>15461</v>
      </c>
      <c r="E57" s="1">
        <v>20</v>
      </c>
      <c r="F57" s="1" t="s">
        <v>14207</v>
      </c>
      <c r="G57" s="1" t="s">
        <v>14198</v>
      </c>
      <c r="H57" s="1" t="s">
        <v>15462</v>
      </c>
      <c r="I57" s="1" t="s">
        <v>15463</v>
      </c>
      <c r="J57" s="3" t="s">
        <v>15464</v>
      </c>
      <c r="K57" s="1" t="s">
        <v>15076</v>
      </c>
    </row>
    <row r="58" spans="1:11" ht="13.8">
      <c r="A58" s="1" t="s">
        <v>15465</v>
      </c>
      <c r="B58" s="1" t="s">
        <v>15465</v>
      </c>
      <c r="C58" s="1" t="s">
        <v>15466</v>
      </c>
      <c r="D58" s="1" t="s">
        <v>15467</v>
      </c>
      <c r="E58" s="1">
        <v>25</v>
      </c>
      <c r="F58" s="1" t="s">
        <v>145</v>
      </c>
      <c r="G58" s="1" t="s">
        <v>14198</v>
      </c>
      <c r="H58" s="1" t="s">
        <v>15468</v>
      </c>
      <c r="I58" s="1" t="s">
        <v>15469</v>
      </c>
      <c r="J58" s="3" t="s">
        <v>15470</v>
      </c>
      <c r="K58" s="1" t="s">
        <v>15076</v>
      </c>
    </row>
    <row r="59" spans="1:11" ht="13.8">
      <c r="A59" s="1" t="s">
        <v>15471</v>
      </c>
      <c r="B59" s="1" t="s">
        <v>15472</v>
      </c>
      <c r="C59" s="1" t="s">
        <v>15473</v>
      </c>
      <c r="D59" s="1" t="s">
        <v>15474</v>
      </c>
      <c r="E59" s="1">
        <v>5</v>
      </c>
      <c r="F59" s="1" t="s">
        <v>14207</v>
      </c>
      <c r="G59" s="1" t="s">
        <v>14198</v>
      </c>
      <c r="H59" s="1" t="s">
        <v>15475</v>
      </c>
      <c r="I59" s="1" t="s">
        <v>15476</v>
      </c>
      <c r="J59" s="3" t="s">
        <v>15477</v>
      </c>
      <c r="K59" s="1" t="s">
        <v>15076</v>
      </c>
    </row>
    <row r="60" spans="1:11" ht="13.8">
      <c r="A60" s="1" t="s">
        <v>15478</v>
      </c>
      <c r="B60" s="1" t="s">
        <v>15479</v>
      </c>
      <c r="C60" s="1" t="s">
        <v>15480</v>
      </c>
      <c r="D60" s="1" t="s">
        <v>15481</v>
      </c>
      <c r="E60" s="1">
        <v>525</v>
      </c>
      <c r="F60" s="1" t="s">
        <v>145</v>
      </c>
      <c r="G60" s="1" t="s">
        <v>14237</v>
      </c>
      <c r="H60" s="1" t="s">
        <v>15482</v>
      </c>
      <c r="I60" s="1" t="s">
        <v>15483</v>
      </c>
      <c r="J60" s="3" t="s">
        <v>15484</v>
      </c>
      <c r="K60" s="1" t="s">
        <v>15076</v>
      </c>
    </row>
    <row r="61" spans="1:11" ht="13.8">
      <c r="A61" s="1" t="s">
        <v>15485</v>
      </c>
      <c r="B61" s="1" t="s">
        <v>15485</v>
      </c>
      <c r="C61" s="1" t="s">
        <v>15486</v>
      </c>
      <c r="D61" s="1" t="s">
        <v>15487</v>
      </c>
      <c r="E61" s="1">
        <v>55</v>
      </c>
      <c r="F61" s="1" t="s">
        <v>145</v>
      </c>
      <c r="G61" s="1" t="s">
        <v>14198</v>
      </c>
      <c r="H61" s="1" t="s">
        <v>15488</v>
      </c>
      <c r="I61" s="1" t="s">
        <v>15489</v>
      </c>
      <c r="J61" s="3" t="s">
        <v>15490</v>
      </c>
      <c r="K61" s="1" t="s">
        <v>15076</v>
      </c>
    </row>
    <row r="62" spans="1:11" ht="13.8">
      <c r="A62" s="1" t="s">
        <v>15491</v>
      </c>
      <c r="B62" s="1" t="s">
        <v>15492</v>
      </c>
      <c r="C62" s="1" t="s">
        <v>15493</v>
      </c>
      <c r="D62" s="1" t="s">
        <v>15494</v>
      </c>
      <c r="E62" s="1">
        <v>30</v>
      </c>
      <c r="F62" s="1" t="s">
        <v>429</v>
      </c>
      <c r="G62" s="1" t="s">
        <v>14198</v>
      </c>
      <c r="H62" s="1" t="s">
        <v>15495</v>
      </c>
      <c r="I62" s="1" t="s">
        <v>15496</v>
      </c>
      <c r="J62" s="3" t="s">
        <v>15497</v>
      </c>
      <c r="K62" s="1" t="s">
        <v>15076</v>
      </c>
    </row>
    <row r="63" spans="1:11" ht="13.8">
      <c r="A63" s="1" t="s">
        <v>15498</v>
      </c>
      <c r="B63" s="1" t="s">
        <v>15499</v>
      </c>
      <c r="C63" s="1" t="s">
        <v>15500</v>
      </c>
      <c r="D63" s="1" t="s">
        <v>15501</v>
      </c>
      <c r="E63" s="1">
        <v>40</v>
      </c>
      <c r="F63" s="1" t="s">
        <v>14259</v>
      </c>
      <c r="G63" s="1" t="s">
        <v>14382</v>
      </c>
      <c r="H63" s="1" t="s">
        <v>15502</v>
      </c>
      <c r="I63" s="1" t="s">
        <v>15503</v>
      </c>
      <c r="J63" s="3" t="s">
        <v>15504</v>
      </c>
      <c r="K63" s="1" t="s">
        <v>15076</v>
      </c>
    </row>
    <row r="64" spans="1:11" ht="13.8">
      <c r="A64" s="1" t="s">
        <v>15505</v>
      </c>
      <c r="B64" s="1" t="s">
        <v>15505</v>
      </c>
      <c r="C64" s="1" t="s">
        <v>15506</v>
      </c>
      <c r="D64" s="1" t="s">
        <v>15507</v>
      </c>
      <c r="E64" s="1">
        <v>30</v>
      </c>
      <c r="F64" s="1" t="s">
        <v>145</v>
      </c>
      <c r="G64" s="1" t="s">
        <v>14198</v>
      </c>
      <c r="H64" s="1" t="s">
        <v>15508</v>
      </c>
      <c r="I64" s="1" t="s">
        <v>15509</v>
      </c>
      <c r="J64" s="3" t="s">
        <v>15510</v>
      </c>
      <c r="K64" s="1" t="s">
        <v>15076</v>
      </c>
    </row>
    <row r="65" spans="1:11" ht="13.8">
      <c r="A65" s="1" t="s">
        <v>15511</v>
      </c>
      <c r="B65" s="1" t="s">
        <v>15512</v>
      </c>
      <c r="C65" s="1" t="s">
        <v>15513</v>
      </c>
      <c r="D65" s="1" t="s">
        <v>15514</v>
      </c>
      <c r="E65" s="1">
        <v>545</v>
      </c>
      <c r="F65" s="1" t="s">
        <v>15138</v>
      </c>
      <c r="G65" s="1" t="s">
        <v>14198</v>
      </c>
      <c r="H65" s="1" t="s">
        <v>15515</v>
      </c>
      <c r="I65" s="1" t="s">
        <v>15516</v>
      </c>
      <c r="J65" s="3" t="s">
        <v>15517</v>
      </c>
      <c r="K65" s="1" t="s">
        <v>15076</v>
      </c>
    </row>
    <row r="66" spans="1:11" ht="13.8">
      <c r="A66" s="1" t="s">
        <v>15518</v>
      </c>
      <c r="B66" s="1" t="s">
        <v>15519</v>
      </c>
      <c r="C66" s="1" t="s">
        <v>15520</v>
      </c>
      <c r="D66" s="1" t="s">
        <v>15521</v>
      </c>
      <c r="E66" s="1">
        <v>45</v>
      </c>
      <c r="F66" s="1" t="s">
        <v>145</v>
      </c>
      <c r="G66" s="1" t="s">
        <v>14367</v>
      </c>
      <c r="H66" s="1" t="s">
        <v>15522</v>
      </c>
      <c r="I66" s="1" t="s">
        <v>15523</v>
      </c>
      <c r="J66" s="3" t="s">
        <v>15524</v>
      </c>
      <c r="K66" s="1" t="s">
        <v>15076</v>
      </c>
    </row>
    <row r="67" spans="1:11" ht="13.8">
      <c r="A67" s="1" t="s">
        <v>15525</v>
      </c>
      <c r="B67" s="1" t="s">
        <v>15526</v>
      </c>
      <c r="C67" s="1" t="s">
        <v>15527</v>
      </c>
      <c r="D67" s="1" t="s">
        <v>15528</v>
      </c>
      <c r="E67" s="1">
        <v>35</v>
      </c>
      <c r="F67" s="1" t="s">
        <v>145</v>
      </c>
      <c r="G67" s="1" t="s">
        <v>14198</v>
      </c>
      <c r="H67" s="1" t="s">
        <v>15529</v>
      </c>
      <c r="I67" s="1" t="s">
        <v>15530</v>
      </c>
      <c r="J67" s="3" t="s">
        <v>15531</v>
      </c>
      <c r="K67" s="1" t="s">
        <v>15076</v>
      </c>
    </row>
    <row r="68" spans="1:11" ht="409.6">
      <c r="A68" s="1" t="s">
        <v>15532</v>
      </c>
      <c r="B68" s="1" t="s">
        <v>15533</v>
      </c>
      <c r="C68" s="1" t="s">
        <v>15534</v>
      </c>
      <c r="D68" s="1" t="s">
        <v>15535</v>
      </c>
      <c r="E68" s="1">
        <v>60</v>
      </c>
      <c r="F68" s="1" t="s">
        <v>14207</v>
      </c>
      <c r="G68" s="1" t="s">
        <v>15314</v>
      </c>
      <c r="H68" s="1" t="s">
        <v>15536</v>
      </c>
      <c r="I68" s="4" t="s">
        <v>15537</v>
      </c>
      <c r="J68" s="3" t="s">
        <v>15538</v>
      </c>
      <c r="K68" s="1" t="s">
        <v>15076</v>
      </c>
    </row>
    <row r="69" spans="1:11" ht="409.6">
      <c r="A69" s="1" t="s">
        <v>15539</v>
      </c>
      <c r="B69" s="1" t="s">
        <v>15540</v>
      </c>
      <c r="C69" s="1" t="s">
        <v>15541</v>
      </c>
      <c r="D69" s="1" t="s">
        <v>15542</v>
      </c>
      <c r="E69" s="1">
        <v>80</v>
      </c>
      <c r="F69" s="1" t="s">
        <v>145</v>
      </c>
      <c r="G69" s="1" t="s">
        <v>14367</v>
      </c>
      <c r="H69" s="1" t="s">
        <v>15543</v>
      </c>
      <c r="I69" s="4" t="s">
        <v>15544</v>
      </c>
      <c r="J69" s="3" t="s">
        <v>15545</v>
      </c>
      <c r="K69" s="1" t="s">
        <v>15076</v>
      </c>
    </row>
    <row r="70" spans="1:11" ht="13.8">
      <c r="A70" s="1" t="s">
        <v>15546</v>
      </c>
      <c r="B70" s="1" t="s">
        <v>15547</v>
      </c>
      <c r="C70" s="1" t="s">
        <v>15548</v>
      </c>
      <c r="D70" s="1" t="s">
        <v>15549</v>
      </c>
      <c r="E70" s="1">
        <v>12</v>
      </c>
      <c r="F70" s="1" t="s">
        <v>14281</v>
      </c>
      <c r="G70" s="1" t="s">
        <v>14198</v>
      </c>
      <c r="H70" s="1" t="s">
        <v>15550</v>
      </c>
      <c r="I70" s="1" t="s">
        <v>15551</v>
      </c>
      <c r="J70" s="3" t="s">
        <v>15552</v>
      </c>
      <c r="K70" s="1" t="s">
        <v>15076</v>
      </c>
    </row>
    <row r="71" spans="1:11" ht="13.8">
      <c r="A71" s="1" t="s">
        <v>15553</v>
      </c>
      <c r="B71" s="1" t="s">
        <v>15553</v>
      </c>
      <c r="C71" s="1" t="s">
        <v>15554</v>
      </c>
      <c r="D71" s="1" t="s">
        <v>15555</v>
      </c>
      <c r="E71" s="1">
        <v>45</v>
      </c>
      <c r="F71" s="1" t="s">
        <v>145</v>
      </c>
      <c r="G71" s="1" t="s">
        <v>14198</v>
      </c>
      <c r="H71" s="1" t="s">
        <v>15556</v>
      </c>
      <c r="I71" s="1" t="s">
        <v>15557</v>
      </c>
      <c r="J71" s="3" t="s">
        <v>15558</v>
      </c>
      <c r="K71" s="1" t="s">
        <v>15076</v>
      </c>
    </row>
    <row r="72" spans="1:11" ht="13.8">
      <c r="A72" s="1" t="s">
        <v>15559</v>
      </c>
      <c r="B72" s="1" t="s">
        <v>15560</v>
      </c>
      <c r="C72" s="1" t="s">
        <v>15561</v>
      </c>
      <c r="D72" s="1" t="s">
        <v>15562</v>
      </c>
      <c r="E72" s="1">
        <v>70</v>
      </c>
      <c r="F72" s="1" t="s">
        <v>8417</v>
      </c>
      <c r="G72" s="1" t="s">
        <v>14198</v>
      </c>
      <c r="H72" s="1" t="s">
        <v>15563</v>
      </c>
      <c r="I72" s="1" t="s">
        <v>15564</v>
      </c>
      <c r="J72" s="3" t="s">
        <v>15565</v>
      </c>
      <c r="K72" s="1" t="s">
        <v>15076</v>
      </c>
    </row>
    <row r="73" spans="1:11" ht="13.8">
      <c r="A73" s="1" t="s">
        <v>15566</v>
      </c>
      <c r="B73" s="1" t="s">
        <v>15567</v>
      </c>
      <c r="C73" s="1" t="s">
        <v>15568</v>
      </c>
      <c r="D73" s="1" t="s">
        <v>15569</v>
      </c>
      <c r="E73" s="1">
        <v>230</v>
      </c>
      <c r="F73" s="1" t="s">
        <v>14259</v>
      </c>
      <c r="G73" s="1" t="s">
        <v>14198</v>
      </c>
      <c r="H73" s="1" t="s">
        <v>15570</v>
      </c>
      <c r="I73" s="1" t="s">
        <v>15571</v>
      </c>
      <c r="J73" s="3" t="s">
        <v>15572</v>
      </c>
      <c r="K73" s="1" t="s">
        <v>15076</v>
      </c>
    </row>
    <row r="74" spans="1:11" ht="13.8">
      <c r="A74" s="1" t="s">
        <v>15573</v>
      </c>
      <c r="B74" s="1" t="s">
        <v>15574</v>
      </c>
      <c r="C74" s="1" t="s">
        <v>15575</v>
      </c>
      <c r="D74" s="1" t="s">
        <v>15576</v>
      </c>
      <c r="E74" s="1">
        <v>45</v>
      </c>
      <c r="F74" s="1" t="s">
        <v>145</v>
      </c>
      <c r="G74" s="1" t="s">
        <v>14198</v>
      </c>
      <c r="H74" s="1" t="s">
        <v>15577</v>
      </c>
      <c r="I74" s="1" t="s">
        <v>15578</v>
      </c>
      <c r="J74" s="3" t="s">
        <v>15579</v>
      </c>
      <c r="K74" s="1" t="s">
        <v>15076</v>
      </c>
    </row>
    <row r="75" spans="1:11" ht="13.8">
      <c r="A75" s="1" t="s">
        <v>15580</v>
      </c>
      <c r="B75" s="1" t="s">
        <v>15581</v>
      </c>
      <c r="C75" s="1" t="s">
        <v>15582</v>
      </c>
      <c r="D75" s="1" t="s">
        <v>15583</v>
      </c>
      <c r="E75" s="1">
        <v>40</v>
      </c>
      <c r="F75" s="1" t="s">
        <v>8417</v>
      </c>
      <c r="G75" s="1" t="s">
        <v>14198</v>
      </c>
      <c r="H75" s="1" t="s">
        <v>15584</v>
      </c>
      <c r="I75" s="1" t="s">
        <v>15585</v>
      </c>
      <c r="J75" s="3" t="s">
        <v>15586</v>
      </c>
      <c r="K75" s="1" t="s">
        <v>15076</v>
      </c>
    </row>
    <row r="76" spans="1:11" ht="13.8">
      <c r="A76" s="1" t="s">
        <v>15587</v>
      </c>
      <c r="B76" s="1" t="s">
        <v>15587</v>
      </c>
      <c r="C76" s="1" t="s">
        <v>15588</v>
      </c>
      <c r="D76" s="1" t="s">
        <v>15589</v>
      </c>
      <c r="E76" s="1">
        <v>65</v>
      </c>
      <c r="F76" s="1" t="s">
        <v>14259</v>
      </c>
      <c r="G76" s="1" t="s">
        <v>14382</v>
      </c>
      <c r="H76" s="1" t="s">
        <v>15590</v>
      </c>
      <c r="I76" s="1" t="s">
        <v>15591</v>
      </c>
      <c r="J76" s="3" t="s">
        <v>15592</v>
      </c>
      <c r="K76" s="1" t="s">
        <v>15076</v>
      </c>
    </row>
    <row r="77" spans="1:11" ht="409.6">
      <c r="A77" s="1" t="s">
        <v>15593</v>
      </c>
      <c r="B77" s="1" t="s">
        <v>15594</v>
      </c>
      <c r="C77" s="1" t="s">
        <v>15595</v>
      </c>
      <c r="D77" s="1" t="s">
        <v>15596</v>
      </c>
      <c r="E77" s="1">
        <v>55</v>
      </c>
      <c r="F77" s="1" t="s">
        <v>145</v>
      </c>
      <c r="G77" s="1" t="s">
        <v>14382</v>
      </c>
      <c r="H77" s="1" t="s">
        <v>15597</v>
      </c>
      <c r="I77" s="4" t="s">
        <v>15598</v>
      </c>
      <c r="J77" s="3" t="s">
        <v>15599</v>
      </c>
      <c r="K77" s="1" t="s">
        <v>15076</v>
      </c>
    </row>
    <row r="78" spans="1:11" ht="13.8">
      <c r="A78" s="1" t="s">
        <v>15600</v>
      </c>
      <c r="B78" s="1" t="s">
        <v>15601</v>
      </c>
      <c r="C78" s="1" t="s">
        <v>15602</v>
      </c>
      <c r="D78" s="1" t="s">
        <v>15603</v>
      </c>
      <c r="E78" s="1">
        <v>30</v>
      </c>
      <c r="F78" s="1" t="s">
        <v>14207</v>
      </c>
      <c r="G78" s="1" t="s">
        <v>14198</v>
      </c>
      <c r="H78" s="1" t="s">
        <v>15604</v>
      </c>
      <c r="I78" s="1" t="s">
        <v>15605</v>
      </c>
      <c r="J78" s="3" t="s">
        <v>15606</v>
      </c>
      <c r="K78" s="1" t="s">
        <v>15076</v>
      </c>
    </row>
    <row r="79" spans="1:11" ht="13.8">
      <c r="A79" s="1" t="s">
        <v>15607</v>
      </c>
      <c r="B79" s="1" t="s">
        <v>15608</v>
      </c>
      <c r="C79" s="1" t="s">
        <v>15609</v>
      </c>
      <c r="D79" s="1" t="s">
        <v>15610</v>
      </c>
      <c r="E79" s="1">
        <v>30</v>
      </c>
      <c r="F79" s="1" t="s">
        <v>145</v>
      </c>
      <c r="G79" s="1" t="s">
        <v>14338</v>
      </c>
      <c r="H79" s="1" t="s">
        <v>15611</v>
      </c>
      <c r="I79" s="1" t="s">
        <v>15612</v>
      </c>
      <c r="J79" s="3" t="s">
        <v>15613</v>
      </c>
      <c r="K79" s="1" t="s">
        <v>15076</v>
      </c>
    </row>
    <row r="80" spans="1:11" ht="13.8">
      <c r="A80" s="1" t="s">
        <v>15614</v>
      </c>
      <c r="B80" s="1" t="s">
        <v>15615</v>
      </c>
      <c r="C80" s="1" t="s">
        <v>15616</v>
      </c>
      <c r="D80" s="1" t="s">
        <v>15617</v>
      </c>
      <c r="E80" s="1">
        <v>30</v>
      </c>
      <c r="F80" s="1" t="s">
        <v>429</v>
      </c>
      <c r="G80" s="1" t="s">
        <v>14198</v>
      </c>
      <c r="H80" s="1" t="s">
        <v>15618</v>
      </c>
      <c r="I80" s="1" t="s">
        <v>15619</v>
      </c>
      <c r="J80" s="3" t="s">
        <v>15620</v>
      </c>
      <c r="K80" s="1" t="s">
        <v>15076</v>
      </c>
    </row>
    <row r="81" spans="1:11" ht="13.8">
      <c r="A81" s="1" t="s">
        <v>15621</v>
      </c>
      <c r="B81" s="1" t="s">
        <v>15621</v>
      </c>
      <c r="C81" s="1" t="s">
        <v>15622</v>
      </c>
      <c r="D81" s="1" t="s">
        <v>15623</v>
      </c>
      <c r="E81" s="1">
        <v>45</v>
      </c>
      <c r="F81" s="1" t="s">
        <v>429</v>
      </c>
      <c r="G81" s="1" t="s">
        <v>15314</v>
      </c>
      <c r="H81" s="1" t="s">
        <v>15624</v>
      </c>
      <c r="I81" s="1" t="s">
        <v>15625</v>
      </c>
      <c r="J81" s="3" t="s">
        <v>15626</v>
      </c>
      <c r="K81" s="1" t="s">
        <v>15076</v>
      </c>
    </row>
    <row r="82" spans="1:11" ht="13.8">
      <c r="A82" s="1" t="s">
        <v>15627</v>
      </c>
      <c r="B82" s="1" t="s">
        <v>15628</v>
      </c>
      <c r="C82" s="1" t="s">
        <v>15629</v>
      </c>
      <c r="D82" s="1" t="s">
        <v>15630</v>
      </c>
      <c r="E82" s="1">
        <v>25</v>
      </c>
      <c r="F82" s="1" t="s">
        <v>145</v>
      </c>
      <c r="G82" s="1" t="s">
        <v>14198</v>
      </c>
      <c r="H82" s="1" t="s">
        <v>15631</v>
      </c>
      <c r="I82" s="1" t="s">
        <v>15632</v>
      </c>
      <c r="J82" s="3" t="s">
        <v>15633</v>
      </c>
      <c r="K82" s="1" t="s">
        <v>15076</v>
      </c>
    </row>
    <row r="83" spans="1:11" ht="13.8">
      <c r="A83" s="1" t="s">
        <v>15634</v>
      </c>
      <c r="B83" s="1" t="s">
        <v>15635</v>
      </c>
      <c r="C83" s="1" t="s">
        <v>15636</v>
      </c>
      <c r="D83" s="1" t="s">
        <v>15637</v>
      </c>
      <c r="E83" s="1">
        <v>50</v>
      </c>
      <c r="F83" s="1" t="s">
        <v>145</v>
      </c>
      <c r="G83" s="1" t="s">
        <v>14198</v>
      </c>
      <c r="H83" s="1" t="s">
        <v>15638</v>
      </c>
      <c r="I83" s="1" t="s">
        <v>15639</v>
      </c>
      <c r="J83" s="3" t="s">
        <v>15640</v>
      </c>
      <c r="K83" s="1" t="s">
        <v>15076</v>
      </c>
    </row>
    <row r="84" spans="1:11" ht="13.8">
      <c r="A84" s="1" t="s">
        <v>15641</v>
      </c>
      <c r="B84" s="1" t="s">
        <v>15642</v>
      </c>
      <c r="C84" s="1" t="s">
        <v>15643</v>
      </c>
      <c r="D84" s="1" t="s">
        <v>15644</v>
      </c>
      <c r="E84" s="1">
        <v>65</v>
      </c>
      <c r="F84" s="1" t="s">
        <v>14572</v>
      </c>
      <c r="G84" s="1" t="s">
        <v>14382</v>
      </c>
      <c r="H84" s="1" t="s">
        <v>15645</v>
      </c>
      <c r="I84" s="1" t="s">
        <v>15646</v>
      </c>
      <c r="J84" s="3" t="s">
        <v>15647</v>
      </c>
      <c r="K84" s="1" t="s">
        <v>15076</v>
      </c>
    </row>
    <row r="85" spans="1:11" ht="13.8">
      <c r="A85" s="1" t="s">
        <v>15648</v>
      </c>
      <c r="B85" s="1" t="s">
        <v>15649</v>
      </c>
      <c r="C85" s="1" t="s">
        <v>15650</v>
      </c>
      <c r="D85" s="1" t="s">
        <v>15651</v>
      </c>
      <c r="E85" s="1">
        <v>30</v>
      </c>
      <c r="F85" s="1" t="s">
        <v>145</v>
      </c>
      <c r="G85" s="1" t="s">
        <v>14198</v>
      </c>
      <c r="H85" s="1" t="s">
        <v>15652</v>
      </c>
      <c r="I85" s="1" t="s">
        <v>15653</v>
      </c>
      <c r="J85" s="3" t="s">
        <v>15654</v>
      </c>
      <c r="K85" s="1" t="s">
        <v>15076</v>
      </c>
    </row>
    <row r="86" spans="1:11" ht="13.8">
      <c r="A86" s="1" t="s">
        <v>15655</v>
      </c>
      <c r="B86" s="1" t="s">
        <v>15656</v>
      </c>
      <c r="C86" s="1" t="s">
        <v>15657</v>
      </c>
      <c r="D86" s="1" t="s">
        <v>15658</v>
      </c>
      <c r="E86" s="1">
        <v>55</v>
      </c>
      <c r="F86" s="1" t="s">
        <v>145</v>
      </c>
      <c r="G86" s="1" t="s">
        <v>14198</v>
      </c>
      <c r="H86" s="1" t="s">
        <v>15659</v>
      </c>
      <c r="I86" s="1" t="s">
        <v>15660</v>
      </c>
      <c r="J86" s="3" t="s">
        <v>15661</v>
      </c>
      <c r="K86" s="1" t="s">
        <v>15076</v>
      </c>
    </row>
    <row r="87" spans="1:11" ht="13.8">
      <c r="A87" s="1" t="s">
        <v>15662</v>
      </c>
      <c r="B87" s="1" t="s">
        <v>15663</v>
      </c>
      <c r="C87" s="1" t="s">
        <v>15664</v>
      </c>
      <c r="D87" s="1" t="s">
        <v>15665</v>
      </c>
      <c r="E87" s="1">
        <v>35</v>
      </c>
      <c r="F87" s="1" t="s">
        <v>14207</v>
      </c>
      <c r="G87" s="1" t="s">
        <v>14198</v>
      </c>
      <c r="H87" s="1" t="s">
        <v>15666</v>
      </c>
      <c r="I87" s="1" t="s">
        <v>15667</v>
      </c>
      <c r="J87" s="3" t="s">
        <v>15668</v>
      </c>
      <c r="K87" s="1" t="s">
        <v>15076</v>
      </c>
    </row>
    <row r="88" spans="1:11" ht="13.8">
      <c r="A88" s="1" t="s">
        <v>15669</v>
      </c>
      <c r="B88" s="1" t="s">
        <v>15670</v>
      </c>
      <c r="C88" s="1" t="s">
        <v>15671</v>
      </c>
      <c r="D88" s="1" t="s">
        <v>15672</v>
      </c>
      <c r="E88" s="1">
        <v>50</v>
      </c>
      <c r="F88" s="1" t="s">
        <v>429</v>
      </c>
      <c r="G88" s="1" t="s">
        <v>14367</v>
      </c>
      <c r="H88" s="1" t="s">
        <v>15673</v>
      </c>
      <c r="I88" s="1" t="s">
        <v>15674</v>
      </c>
      <c r="J88" s="3" t="s">
        <v>15675</v>
      </c>
      <c r="K88" s="1" t="s">
        <v>15076</v>
      </c>
    </row>
    <row r="89" spans="1:11" ht="13.8">
      <c r="A89" s="1" t="s">
        <v>15676</v>
      </c>
      <c r="B89" s="1" t="s">
        <v>15676</v>
      </c>
      <c r="C89" s="1" t="s">
        <v>15677</v>
      </c>
      <c r="D89" s="1" t="s">
        <v>15678</v>
      </c>
      <c r="E89" s="1">
        <v>70</v>
      </c>
      <c r="F89" s="1" t="s">
        <v>145</v>
      </c>
      <c r="G89" s="1" t="s">
        <v>14382</v>
      </c>
      <c r="H89" s="1" t="s">
        <v>15679</v>
      </c>
      <c r="I89" s="1" t="s">
        <v>15680</v>
      </c>
      <c r="J89" s="3" t="s">
        <v>15681</v>
      </c>
      <c r="K89" s="1" t="s">
        <v>15076</v>
      </c>
    </row>
    <row r="90" spans="1:11" ht="13.8">
      <c r="A90" s="1" t="s">
        <v>15682</v>
      </c>
      <c r="B90" s="1" t="s">
        <v>15683</v>
      </c>
      <c r="C90" s="1" t="s">
        <v>15684</v>
      </c>
      <c r="D90" s="1" t="s">
        <v>15685</v>
      </c>
      <c r="E90" s="1">
        <v>65</v>
      </c>
      <c r="F90" s="1" t="s">
        <v>145</v>
      </c>
      <c r="G90" s="1" t="s">
        <v>14198</v>
      </c>
      <c r="H90" s="1" t="s">
        <v>15686</v>
      </c>
      <c r="I90" s="1" t="s">
        <v>15687</v>
      </c>
      <c r="J90" s="3" t="s">
        <v>15688</v>
      </c>
      <c r="K90" s="1" t="s">
        <v>15076</v>
      </c>
    </row>
    <row r="91" spans="1:11" ht="13.8">
      <c r="A91" s="1" t="s">
        <v>15689</v>
      </c>
      <c r="B91" s="1" t="s">
        <v>15690</v>
      </c>
      <c r="C91" s="1" t="s">
        <v>15691</v>
      </c>
      <c r="D91" s="1" t="s">
        <v>15692</v>
      </c>
      <c r="E91" s="1">
        <v>40</v>
      </c>
      <c r="F91" s="1" t="s">
        <v>145</v>
      </c>
      <c r="G91" s="1" t="s">
        <v>14198</v>
      </c>
      <c r="H91" s="1" t="s">
        <v>15693</v>
      </c>
      <c r="I91" s="1" t="s">
        <v>15694</v>
      </c>
      <c r="J91" s="3" t="s">
        <v>15695</v>
      </c>
      <c r="K91" s="1" t="s">
        <v>15076</v>
      </c>
    </row>
    <row r="92" spans="1:11" ht="13.8">
      <c r="A92" s="1" t="s">
        <v>15416</v>
      </c>
      <c r="B92" s="1" t="s">
        <v>15696</v>
      </c>
      <c r="C92" s="1" t="s">
        <v>15697</v>
      </c>
      <c r="D92" s="1" t="s">
        <v>15698</v>
      </c>
      <c r="E92" s="1">
        <v>45</v>
      </c>
      <c r="F92" s="1" t="s">
        <v>14281</v>
      </c>
      <c r="G92" s="1" t="s">
        <v>14198</v>
      </c>
      <c r="H92" s="1" t="s">
        <v>15699</v>
      </c>
      <c r="I92" s="1" t="s">
        <v>15700</v>
      </c>
      <c r="J92" s="3" t="s">
        <v>15701</v>
      </c>
      <c r="K92" s="1" t="s">
        <v>15076</v>
      </c>
    </row>
    <row r="93" spans="1:11" ht="13.8">
      <c r="A93" s="1" t="s">
        <v>15702</v>
      </c>
      <c r="B93" s="1" t="s">
        <v>15703</v>
      </c>
      <c r="C93" s="1" t="s">
        <v>15704</v>
      </c>
      <c r="D93" s="1" t="s">
        <v>15705</v>
      </c>
      <c r="E93" s="1">
        <v>150</v>
      </c>
      <c r="F93" s="1" t="s">
        <v>14281</v>
      </c>
      <c r="G93" s="1" t="s">
        <v>14198</v>
      </c>
      <c r="H93" s="1" t="s">
        <v>15706</v>
      </c>
      <c r="I93" s="1" t="s">
        <v>15707</v>
      </c>
      <c r="J93" s="3" t="s">
        <v>15708</v>
      </c>
      <c r="K93" s="1" t="s">
        <v>15076</v>
      </c>
    </row>
    <row r="94" spans="1:11" ht="13.8">
      <c r="A94" s="1" t="s">
        <v>15709</v>
      </c>
      <c r="B94" s="1" t="s">
        <v>15709</v>
      </c>
      <c r="C94" s="1" t="s">
        <v>15710</v>
      </c>
      <c r="D94" s="1" t="s">
        <v>15711</v>
      </c>
      <c r="E94" s="1">
        <v>75</v>
      </c>
      <c r="F94" s="1" t="s">
        <v>145</v>
      </c>
      <c r="G94" s="1" t="s">
        <v>14198</v>
      </c>
      <c r="H94" s="1" t="s">
        <v>15712</v>
      </c>
      <c r="I94" s="1" t="s">
        <v>15713</v>
      </c>
      <c r="J94" s="3" t="s">
        <v>15714</v>
      </c>
      <c r="K94" s="1" t="s">
        <v>15076</v>
      </c>
    </row>
    <row r="95" spans="1:11" ht="13.8">
      <c r="A95" s="1" t="s">
        <v>15715</v>
      </c>
      <c r="B95" s="1" t="s">
        <v>15716</v>
      </c>
      <c r="C95" s="1" t="s">
        <v>15717</v>
      </c>
      <c r="D95" s="1" t="s">
        <v>15718</v>
      </c>
      <c r="E95" s="1">
        <v>30</v>
      </c>
      <c r="F95" s="1" t="s">
        <v>14207</v>
      </c>
      <c r="G95" s="1" t="s">
        <v>14198</v>
      </c>
      <c r="H95" s="1" t="s">
        <v>15719</v>
      </c>
      <c r="I95" s="1" t="s">
        <v>15720</v>
      </c>
      <c r="J95" s="3" t="s">
        <v>15721</v>
      </c>
      <c r="K95" s="1" t="s">
        <v>15076</v>
      </c>
    </row>
    <row r="96" spans="1:11" ht="13.8">
      <c r="A96" s="1" t="s">
        <v>15722</v>
      </c>
      <c r="B96" s="1" t="s">
        <v>15723</v>
      </c>
      <c r="C96" s="1" t="s">
        <v>15724</v>
      </c>
      <c r="D96" s="1" t="s">
        <v>15725</v>
      </c>
      <c r="E96" s="1">
        <v>70</v>
      </c>
      <c r="F96" s="1" t="s">
        <v>8417</v>
      </c>
      <c r="G96" s="1" t="s">
        <v>14198</v>
      </c>
      <c r="H96" s="1" t="s">
        <v>15726</v>
      </c>
      <c r="I96" s="1" t="s">
        <v>15727</v>
      </c>
      <c r="J96" s="3" t="s">
        <v>15728</v>
      </c>
      <c r="K96" s="1" t="s">
        <v>15076</v>
      </c>
    </row>
    <row r="97" spans="1:11" ht="13.8">
      <c r="A97" s="1" t="s">
        <v>15729</v>
      </c>
      <c r="B97" s="1" t="s">
        <v>15730</v>
      </c>
      <c r="C97" s="1" t="s">
        <v>15731</v>
      </c>
      <c r="D97" s="1" t="s">
        <v>15732</v>
      </c>
      <c r="E97" s="1">
        <v>40</v>
      </c>
      <c r="F97" s="1" t="s">
        <v>145</v>
      </c>
      <c r="G97" s="1" t="s">
        <v>14208</v>
      </c>
      <c r="H97" s="1" t="s">
        <v>15733</v>
      </c>
      <c r="I97" s="1" t="s">
        <v>15734</v>
      </c>
      <c r="J97" s="3" t="s">
        <v>15735</v>
      </c>
      <c r="K97" s="1" t="s">
        <v>15076</v>
      </c>
    </row>
    <row r="98" spans="1:11" ht="13.8">
      <c r="A98" s="1" t="s">
        <v>15736</v>
      </c>
      <c r="B98" s="1" t="s">
        <v>15737</v>
      </c>
      <c r="C98" s="1" t="s">
        <v>15738</v>
      </c>
      <c r="D98" s="1" t="s">
        <v>15739</v>
      </c>
      <c r="E98" s="1">
        <v>30</v>
      </c>
      <c r="F98" s="1" t="s">
        <v>145</v>
      </c>
      <c r="G98" s="1" t="s">
        <v>14198</v>
      </c>
      <c r="H98" s="1" t="s">
        <v>15740</v>
      </c>
      <c r="I98" s="1" t="s">
        <v>15741</v>
      </c>
      <c r="J98" s="3" t="s">
        <v>15742</v>
      </c>
      <c r="K98" s="1" t="s">
        <v>15076</v>
      </c>
    </row>
    <row r="99" spans="1:11" ht="13.8">
      <c r="A99" s="1" t="s">
        <v>15743</v>
      </c>
      <c r="B99" s="1" t="s">
        <v>15744</v>
      </c>
      <c r="C99" s="1" t="s">
        <v>15745</v>
      </c>
      <c r="D99" s="1" t="s">
        <v>15257</v>
      </c>
      <c r="E99" s="1">
        <v>40</v>
      </c>
      <c r="F99" s="1" t="s">
        <v>145</v>
      </c>
      <c r="G99" s="1" t="s">
        <v>14198</v>
      </c>
      <c r="H99" s="1" t="s">
        <v>15746</v>
      </c>
      <c r="I99" s="1" t="s">
        <v>15747</v>
      </c>
      <c r="J99" s="3" t="s">
        <v>15748</v>
      </c>
      <c r="K99" s="1" t="s">
        <v>15076</v>
      </c>
    </row>
    <row r="100" spans="1:11" ht="13.8">
      <c r="A100" s="1" t="s">
        <v>15749</v>
      </c>
      <c r="B100" s="1" t="s">
        <v>15750</v>
      </c>
      <c r="C100" s="1" t="s">
        <v>15751</v>
      </c>
      <c r="D100" s="1" t="s">
        <v>15752</v>
      </c>
      <c r="E100" s="1">
        <v>50</v>
      </c>
      <c r="F100" s="1" t="s">
        <v>429</v>
      </c>
      <c r="G100" s="1" t="s">
        <v>14198</v>
      </c>
      <c r="H100" s="1" t="s">
        <v>15753</v>
      </c>
      <c r="I100" s="1" t="s">
        <v>15754</v>
      </c>
      <c r="J100" s="3" t="s">
        <v>15755</v>
      </c>
      <c r="K100" s="1" t="s">
        <v>15076</v>
      </c>
    </row>
    <row r="101" spans="1:11" ht="13.8">
      <c r="A101" s="1" t="s">
        <v>15756</v>
      </c>
      <c r="B101" s="1" t="s">
        <v>15757</v>
      </c>
      <c r="C101" s="1" t="s">
        <v>15758</v>
      </c>
      <c r="D101" s="1" t="s">
        <v>15759</v>
      </c>
      <c r="E101" s="1">
        <v>35</v>
      </c>
      <c r="F101" s="1" t="s">
        <v>15760</v>
      </c>
      <c r="G101" s="1" t="s">
        <v>14198</v>
      </c>
      <c r="H101" s="1" t="s">
        <v>15761</v>
      </c>
      <c r="I101" s="1" t="s">
        <v>15762</v>
      </c>
      <c r="J101" s="3" t="s">
        <v>15763</v>
      </c>
      <c r="K101" s="1" t="s">
        <v>15076</v>
      </c>
    </row>
    <row r="102" spans="1:11" ht="13.8">
      <c r="A102" s="1" t="s">
        <v>15764</v>
      </c>
      <c r="B102" s="1" t="s">
        <v>15765</v>
      </c>
      <c r="C102" s="1" t="s">
        <v>15766</v>
      </c>
      <c r="D102" s="1" t="s">
        <v>15767</v>
      </c>
      <c r="E102" s="1">
        <v>40</v>
      </c>
      <c r="F102" s="1" t="s">
        <v>145</v>
      </c>
      <c r="G102" s="1" t="s">
        <v>14198</v>
      </c>
      <c r="H102" s="1" t="s">
        <v>15768</v>
      </c>
      <c r="I102" s="1" t="s">
        <v>15769</v>
      </c>
      <c r="J102" s="3" t="s">
        <v>15770</v>
      </c>
      <c r="K102" s="1" t="s">
        <v>15076</v>
      </c>
    </row>
    <row r="103" spans="1:11" ht="13.8">
      <c r="A103" s="1" t="s">
        <v>15771</v>
      </c>
      <c r="B103" s="1" t="s">
        <v>15771</v>
      </c>
      <c r="C103" s="1" t="s">
        <v>15772</v>
      </c>
      <c r="D103" s="1" t="s">
        <v>15773</v>
      </c>
      <c r="E103" s="1">
        <v>45</v>
      </c>
      <c r="F103" s="1" t="s">
        <v>14572</v>
      </c>
      <c r="G103" s="1" t="s">
        <v>14198</v>
      </c>
      <c r="H103" s="1" t="s">
        <v>15774</v>
      </c>
      <c r="I103" s="1" t="s">
        <v>15775</v>
      </c>
      <c r="J103" s="3" t="s">
        <v>15776</v>
      </c>
      <c r="K103" s="1" t="s">
        <v>15076</v>
      </c>
    </row>
    <row r="104" spans="1:11" ht="409.6">
      <c r="A104" s="1" t="s">
        <v>15777</v>
      </c>
      <c r="B104" s="1" t="s">
        <v>15778</v>
      </c>
      <c r="C104" s="1" t="s">
        <v>15779</v>
      </c>
      <c r="D104" s="1" t="s">
        <v>15780</v>
      </c>
      <c r="E104" s="1">
        <v>50</v>
      </c>
      <c r="F104" s="1" t="s">
        <v>429</v>
      </c>
      <c r="G104" s="1" t="s">
        <v>14198</v>
      </c>
      <c r="H104" s="4" t="s">
        <v>15781</v>
      </c>
      <c r="I104" s="1" t="s">
        <v>15782</v>
      </c>
      <c r="J104" s="3" t="s">
        <v>15783</v>
      </c>
      <c r="K104" s="1" t="s">
        <v>15076</v>
      </c>
    </row>
    <row r="105" spans="1:11" ht="409.6">
      <c r="A105" s="1" t="s">
        <v>15784</v>
      </c>
      <c r="B105" s="1" t="s">
        <v>15785</v>
      </c>
      <c r="C105" s="1" t="s">
        <v>15786</v>
      </c>
      <c r="D105" s="1" t="s">
        <v>15787</v>
      </c>
      <c r="E105" s="1">
        <v>60</v>
      </c>
      <c r="F105" s="1" t="s">
        <v>145</v>
      </c>
      <c r="G105" s="1" t="s">
        <v>14382</v>
      </c>
      <c r="H105" s="1" t="s">
        <v>15788</v>
      </c>
      <c r="I105" s="4" t="s">
        <v>15789</v>
      </c>
      <c r="J105" s="3" t="s">
        <v>15790</v>
      </c>
      <c r="K105" s="1" t="s">
        <v>15076</v>
      </c>
    </row>
    <row r="106" spans="1:11" ht="13.8">
      <c r="A106" s="1" t="s">
        <v>15791</v>
      </c>
      <c r="B106" s="1" t="s">
        <v>15792</v>
      </c>
      <c r="C106" s="1" t="s">
        <v>15793</v>
      </c>
      <c r="D106" s="1" t="s">
        <v>15794</v>
      </c>
      <c r="E106" s="1">
        <v>80</v>
      </c>
      <c r="F106" s="1" t="s">
        <v>15208</v>
      </c>
      <c r="G106" s="1" t="s">
        <v>14382</v>
      </c>
      <c r="H106" s="1" t="s">
        <v>15795</v>
      </c>
      <c r="I106" s="1" t="s">
        <v>15796</v>
      </c>
      <c r="J106" s="3" t="s">
        <v>15797</v>
      </c>
      <c r="K106" s="1" t="s">
        <v>15076</v>
      </c>
    </row>
    <row r="107" spans="1:11" ht="13.8">
      <c r="A107" s="1" t="s">
        <v>15798</v>
      </c>
      <c r="B107" s="1" t="s">
        <v>15799</v>
      </c>
      <c r="C107" s="1" t="s">
        <v>15800</v>
      </c>
      <c r="D107" s="1" t="s">
        <v>15801</v>
      </c>
      <c r="E107" s="1">
        <v>12</v>
      </c>
      <c r="F107" s="1" t="s">
        <v>14281</v>
      </c>
      <c r="G107" s="1" t="s">
        <v>14198</v>
      </c>
      <c r="H107" s="1" t="s">
        <v>15802</v>
      </c>
      <c r="I107" s="1" t="s">
        <v>15803</v>
      </c>
      <c r="J107" s="3" t="s">
        <v>15804</v>
      </c>
      <c r="K107" s="1" t="s">
        <v>15076</v>
      </c>
    </row>
    <row r="108" spans="1:11" ht="13.8">
      <c r="A108" s="1" t="s">
        <v>15805</v>
      </c>
      <c r="B108" s="1" t="s">
        <v>15806</v>
      </c>
      <c r="C108" s="1" t="s">
        <v>15807</v>
      </c>
      <c r="D108" s="1" t="s">
        <v>15808</v>
      </c>
      <c r="E108" s="1">
        <v>20</v>
      </c>
      <c r="F108" s="1" t="s">
        <v>145</v>
      </c>
      <c r="G108" s="1" t="s">
        <v>14198</v>
      </c>
      <c r="H108" s="1" t="s">
        <v>15809</v>
      </c>
      <c r="I108" s="1" t="s">
        <v>15810</v>
      </c>
      <c r="J108" s="3" t="s">
        <v>15811</v>
      </c>
      <c r="K108" s="1" t="s">
        <v>15076</v>
      </c>
    </row>
    <row r="109" spans="1:11" ht="13.8">
      <c r="A109" s="1" t="s">
        <v>15812</v>
      </c>
      <c r="B109" s="1" t="s">
        <v>15813</v>
      </c>
      <c r="C109" s="1" t="s">
        <v>15814</v>
      </c>
      <c r="D109" s="1" t="s">
        <v>15815</v>
      </c>
      <c r="E109" s="1">
        <v>65</v>
      </c>
      <c r="F109" s="1" t="s">
        <v>145</v>
      </c>
      <c r="G109" s="1" t="s">
        <v>14198</v>
      </c>
      <c r="H109" s="1" t="s">
        <v>15816</v>
      </c>
      <c r="I109" s="1" t="s">
        <v>15817</v>
      </c>
      <c r="J109" s="3" t="s">
        <v>15818</v>
      </c>
      <c r="K109" s="1" t="s">
        <v>15076</v>
      </c>
    </row>
    <row r="110" spans="1:11" ht="409.6">
      <c r="A110" s="1" t="s">
        <v>15819</v>
      </c>
      <c r="B110" s="1" t="s">
        <v>15820</v>
      </c>
      <c r="C110" s="1" t="s">
        <v>15821</v>
      </c>
      <c r="D110" s="1" t="s">
        <v>15822</v>
      </c>
      <c r="E110" s="1">
        <v>535</v>
      </c>
      <c r="F110" s="1" t="s">
        <v>15138</v>
      </c>
      <c r="G110" s="1" t="s">
        <v>14198</v>
      </c>
      <c r="H110" s="1" t="s">
        <v>15823</v>
      </c>
      <c r="I110" s="4" t="s">
        <v>15824</v>
      </c>
      <c r="J110" s="3" t="s">
        <v>15825</v>
      </c>
      <c r="K110" s="1" t="s">
        <v>15076</v>
      </c>
    </row>
    <row r="111" spans="1:11" ht="13.8">
      <c r="A111" s="1" t="s">
        <v>15826</v>
      </c>
      <c r="B111" s="1" t="s">
        <v>15827</v>
      </c>
      <c r="C111" s="1" t="s">
        <v>15828</v>
      </c>
      <c r="D111" s="1" t="s">
        <v>15829</v>
      </c>
      <c r="E111" s="1">
        <v>35</v>
      </c>
      <c r="F111" s="1" t="s">
        <v>145</v>
      </c>
      <c r="G111" s="1" t="s">
        <v>14367</v>
      </c>
      <c r="H111" s="1" t="s">
        <v>15830</v>
      </c>
      <c r="I111" s="1" t="s">
        <v>15831</v>
      </c>
      <c r="J111" s="3" t="s">
        <v>15832</v>
      </c>
      <c r="K111" s="1" t="s">
        <v>15076</v>
      </c>
    </row>
    <row r="112" spans="1:11" ht="13.8">
      <c r="A112" s="1" t="s">
        <v>15833</v>
      </c>
      <c r="B112" s="1" t="s">
        <v>15834</v>
      </c>
      <c r="C112" s="1" t="s">
        <v>15835</v>
      </c>
      <c r="D112" s="1" t="s">
        <v>15836</v>
      </c>
      <c r="E112" s="1">
        <v>55</v>
      </c>
      <c r="F112" s="1" t="s">
        <v>14207</v>
      </c>
      <c r="G112" s="1" t="s">
        <v>14198</v>
      </c>
      <c r="H112" s="1" t="s">
        <v>15837</v>
      </c>
      <c r="I112" s="1" t="s">
        <v>15838</v>
      </c>
      <c r="J112" s="3" t="s">
        <v>15839</v>
      </c>
      <c r="K112" s="1" t="s">
        <v>15076</v>
      </c>
    </row>
    <row r="113" spans="1:11" ht="13.8">
      <c r="A113" s="1" t="s">
        <v>15840</v>
      </c>
      <c r="B113" s="1" t="s">
        <v>15841</v>
      </c>
      <c r="C113" s="1" t="s">
        <v>15842</v>
      </c>
      <c r="D113" s="1" t="s">
        <v>15843</v>
      </c>
      <c r="E113" s="1">
        <v>30</v>
      </c>
      <c r="F113" s="1" t="s">
        <v>145</v>
      </c>
      <c r="G113" s="1" t="s">
        <v>14198</v>
      </c>
      <c r="H113" s="1" t="s">
        <v>15844</v>
      </c>
      <c r="I113" s="1" t="s">
        <v>15845</v>
      </c>
      <c r="J113" s="3" t="s">
        <v>15846</v>
      </c>
      <c r="K113" s="1" t="s">
        <v>15076</v>
      </c>
    </row>
    <row r="114" spans="1:11" ht="13.8">
      <c r="A114" s="1" t="s">
        <v>15847</v>
      </c>
      <c r="B114" s="1" t="s">
        <v>15848</v>
      </c>
      <c r="C114" s="1" t="s">
        <v>15849</v>
      </c>
      <c r="D114" s="1" t="s">
        <v>15850</v>
      </c>
      <c r="E114" s="1">
        <v>55</v>
      </c>
      <c r="F114" s="1" t="s">
        <v>14207</v>
      </c>
      <c r="G114" s="1" t="s">
        <v>14198</v>
      </c>
      <c r="H114" s="1" t="s">
        <v>15851</v>
      </c>
      <c r="I114" s="1" t="s">
        <v>15852</v>
      </c>
      <c r="J114" s="3" t="s">
        <v>15853</v>
      </c>
      <c r="K114" s="1" t="s">
        <v>15076</v>
      </c>
    </row>
    <row r="115" spans="1:11" ht="13.8">
      <c r="A115" s="1" t="s">
        <v>15854</v>
      </c>
      <c r="B115" s="1" t="s">
        <v>15855</v>
      </c>
      <c r="C115" s="1" t="s">
        <v>15856</v>
      </c>
      <c r="D115" s="1" t="s">
        <v>15857</v>
      </c>
      <c r="E115" s="1">
        <v>40</v>
      </c>
      <c r="F115" s="1" t="s">
        <v>14207</v>
      </c>
      <c r="G115" s="1" t="s">
        <v>14198</v>
      </c>
      <c r="H115" s="1" t="s">
        <v>15858</v>
      </c>
      <c r="I115" s="1" t="s">
        <v>15859</v>
      </c>
      <c r="J115" s="3" t="s">
        <v>15860</v>
      </c>
      <c r="K115" s="1" t="s">
        <v>15076</v>
      </c>
    </row>
    <row r="116" spans="1:11" ht="13.8">
      <c r="A116" s="1" t="s">
        <v>15861</v>
      </c>
      <c r="B116" s="1" t="s">
        <v>15862</v>
      </c>
      <c r="C116" s="1" t="s">
        <v>15863</v>
      </c>
      <c r="D116" s="1" t="s">
        <v>15864</v>
      </c>
      <c r="E116" s="1">
        <v>75</v>
      </c>
      <c r="F116" s="1" t="s">
        <v>145</v>
      </c>
      <c r="G116" s="1" t="s">
        <v>14198</v>
      </c>
      <c r="H116" s="1" t="s">
        <v>15865</v>
      </c>
      <c r="I116" s="1" t="s">
        <v>15866</v>
      </c>
      <c r="J116" s="3" t="s">
        <v>15867</v>
      </c>
      <c r="K116" s="1" t="s">
        <v>15076</v>
      </c>
    </row>
    <row r="117" spans="1:11" ht="13.8">
      <c r="A117" s="1" t="s">
        <v>15868</v>
      </c>
      <c r="B117" s="1" t="s">
        <v>15869</v>
      </c>
      <c r="C117" s="1" t="s">
        <v>15870</v>
      </c>
      <c r="D117" s="1" t="s">
        <v>15871</v>
      </c>
      <c r="E117" s="1">
        <v>35</v>
      </c>
      <c r="F117" s="1" t="s">
        <v>14207</v>
      </c>
      <c r="G117" s="1" t="s">
        <v>14198</v>
      </c>
      <c r="H117" s="1" t="s">
        <v>15872</v>
      </c>
      <c r="I117" s="1" t="s">
        <v>15873</v>
      </c>
      <c r="J117" s="3" t="s">
        <v>15874</v>
      </c>
      <c r="K117" s="1" t="s">
        <v>15076</v>
      </c>
    </row>
    <row r="118" spans="1:11" ht="13.8">
      <c r="A118" s="1" t="s">
        <v>15875</v>
      </c>
      <c r="B118" s="1" t="s">
        <v>15876</v>
      </c>
      <c r="C118" s="1" t="s">
        <v>15877</v>
      </c>
      <c r="D118" s="1" t="s">
        <v>15878</v>
      </c>
      <c r="E118" s="1">
        <v>70</v>
      </c>
      <c r="F118" s="1" t="s">
        <v>14572</v>
      </c>
      <c r="G118" s="1" t="s">
        <v>14382</v>
      </c>
      <c r="H118" s="1" t="s">
        <v>15879</v>
      </c>
      <c r="I118" s="1" t="s">
        <v>15880</v>
      </c>
      <c r="J118" s="3" t="s">
        <v>15881</v>
      </c>
      <c r="K118" s="1" t="s">
        <v>15076</v>
      </c>
    </row>
    <row r="119" spans="1:11" ht="13.8">
      <c r="A119" s="1" t="s">
        <v>15882</v>
      </c>
      <c r="B119" s="1" t="s">
        <v>15883</v>
      </c>
      <c r="C119" s="1" t="s">
        <v>15884</v>
      </c>
      <c r="D119" s="1" t="s">
        <v>15885</v>
      </c>
      <c r="E119" s="1">
        <v>65</v>
      </c>
      <c r="F119" s="1" t="s">
        <v>14572</v>
      </c>
      <c r="G119" s="1" t="s">
        <v>14382</v>
      </c>
      <c r="H119" s="1" t="s">
        <v>15886</v>
      </c>
      <c r="I119" s="1" t="s">
        <v>15887</v>
      </c>
      <c r="J119" s="3" t="s">
        <v>15888</v>
      </c>
      <c r="K119" s="1" t="s">
        <v>15076</v>
      </c>
    </row>
    <row r="120" spans="1:11" ht="13.8">
      <c r="A120" s="1" t="s">
        <v>15889</v>
      </c>
      <c r="B120" s="1" t="s">
        <v>15889</v>
      </c>
      <c r="C120" s="1" t="s">
        <v>15890</v>
      </c>
      <c r="D120" s="1" t="s">
        <v>15891</v>
      </c>
      <c r="E120" s="1">
        <v>40</v>
      </c>
      <c r="F120" s="1" t="s">
        <v>14281</v>
      </c>
      <c r="G120" s="1" t="s">
        <v>14198</v>
      </c>
      <c r="H120" s="1" t="s">
        <v>15892</v>
      </c>
      <c r="I120" s="1" t="s">
        <v>15893</v>
      </c>
      <c r="J120" s="3" t="s">
        <v>15894</v>
      </c>
      <c r="K120" s="1" t="s">
        <v>15076</v>
      </c>
    </row>
    <row r="121" spans="1:11" ht="13.8">
      <c r="A121" s="1" t="s">
        <v>15895</v>
      </c>
      <c r="B121" s="1" t="s">
        <v>15896</v>
      </c>
      <c r="C121" s="1" t="s">
        <v>15897</v>
      </c>
      <c r="D121" s="1" t="s">
        <v>15739</v>
      </c>
      <c r="E121" s="1">
        <v>30</v>
      </c>
      <c r="F121" s="1" t="s">
        <v>145</v>
      </c>
      <c r="G121" s="1" t="s">
        <v>14198</v>
      </c>
      <c r="H121" s="1" t="s">
        <v>15898</v>
      </c>
      <c r="I121" s="1" t="s">
        <v>15899</v>
      </c>
      <c r="J121" s="3" t="s">
        <v>15900</v>
      </c>
      <c r="K121" s="1" t="s">
        <v>15076</v>
      </c>
    </row>
    <row r="122" spans="1:11" ht="13.8">
      <c r="A122" s="1" t="s">
        <v>15901</v>
      </c>
      <c r="B122" s="1" t="s">
        <v>15902</v>
      </c>
      <c r="C122" s="1" t="s">
        <v>15903</v>
      </c>
      <c r="D122" s="1" t="s">
        <v>15904</v>
      </c>
      <c r="E122" s="1">
        <v>35</v>
      </c>
      <c r="F122" s="1" t="s">
        <v>14572</v>
      </c>
      <c r="G122" s="1" t="s">
        <v>14367</v>
      </c>
      <c r="H122" s="1" t="s">
        <v>15905</v>
      </c>
      <c r="I122" s="1" t="s">
        <v>15906</v>
      </c>
      <c r="J122" s="3" t="s">
        <v>15907</v>
      </c>
      <c r="K122" s="1" t="s">
        <v>15076</v>
      </c>
    </row>
    <row r="123" spans="1:11" ht="409.6">
      <c r="A123" s="1" t="s">
        <v>15908</v>
      </c>
      <c r="B123" s="1" t="s">
        <v>15909</v>
      </c>
      <c r="C123" s="1" t="s">
        <v>15910</v>
      </c>
      <c r="D123" s="1" t="s">
        <v>15911</v>
      </c>
      <c r="E123" s="1">
        <v>40</v>
      </c>
      <c r="F123" s="1" t="s">
        <v>145</v>
      </c>
      <c r="G123" s="1" t="s">
        <v>14198</v>
      </c>
      <c r="H123" s="1" t="s">
        <v>15912</v>
      </c>
      <c r="I123" s="4" t="s">
        <v>15913</v>
      </c>
      <c r="J123" s="3" t="s">
        <v>15914</v>
      </c>
      <c r="K123" s="1" t="s">
        <v>15076</v>
      </c>
    </row>
    <row r="124" spans="1:11" ht="13.8">
      <c r="A124" s="1" t="s">
        <v>15915</v>
      </c>
      <c r="B124" s="1" t="s">
        <v>15916</v>
      </c>
      <c r="C124" s="1" t="s">
        <v>15917</v>
      </c>
      <c r="D124" s="1" t="s">
        <v>15918</v>
      </c>
      <c r="E124" s="1">
        <v>70</v>
      </c>
      <c r="F124" s="1" t="s">
        <v>145</v>
      </c>
      <c r="G124" s="1" t="s">
        <v>14338</v>
      </c>
      <c r="H124" s="1" t="s">
        <v>15919</v>
      </c>
      <c r="I124" s="1" t="s">
        <v>15920</v>
      </c>
      <c r="J124" s="3" t="s">
        <v>15921</v>
      </c>
      <c r="K124" s="1" t="s">
        <v>15076</v>
      </c>
    </row>
    <row r="125" spans="1:11" ht="13.8">
      <c r="A125" s="1" t="s">
        <v>15922</v>
      </c>
      <c r="B125" s="1" t="s">
        <v>15923</v>
      </c>
      <c r="C125" s="1" t="s">
        <v>15924</v>
      </c>
      <c r="D125" s="1" t="s">
        <v>15925</v>
      </c>
      <c r="E125" s="1">
        <v>30</v>
      </c>
      <c r="F125" s="1" t="s">
        <v>145</v>
      </c>
      <c r="G125" s="1" t="s">
        <v>14198</v>
      </c>
      <c r="H125" s="1" t="s">
        <v>15926</v>
      </c>
      <c r="I125" s="1" t="s">
        <v>15927</v>
      </c>
      <c r="J125" s="3" t="s">
        <v>15928</v>
      </c>
      <c r="K125" s="1" t="s">
        <v>15076</v>
      </c>
    </row>
    <row r="126" spans="1:11" ht="13.8">
      <c r="A126" s="1" t="s">
        <v>15929</v>
      </c>
      <c r="B126" s="1" t="s">
        <v>15930</v>
      </c>
      <c r="C126" s="1" t="s">
        <v>15931</v>
      </c>
      <c r="D126" s="1" t="s">
        <v>15932</v>
      </c>
      <c r="E126" s="1">
        <v>20</v>
      </c>
      <c r="F126" s="1" t="s">
        <v>14281</v>
      </c>
      <c r="G126" s="1" t="s">
        <v>15314</v>
      </c>
      <c r="H126" s="1" t="s">
        <v>15933</v>
      </c>
      <c r="I126" s="1" t="s">
        <v>15934</v>
      </c>
      <c r="J126" s="3" t="s">
        <v>15935</v>
      </c>
      <c r="K126" s="1" t="s">
        <v>15076</v>
      </c>
    </row>
    <row r="127" spans="1:11" ht="13.8">
      <c r="A127" s="1" t="s">
        <v>15936</v>
      </c>
      <c r="B127" s="1" t="s">
        <v>15937</v>
      </c>
      <c r="C127" s="1" t="s">
        <v>15938</v>
      </c>
      <c r="D127" s="1" t="s">
        <v>15939</v>
      </c>
      <c r="E127" s="1">
        <v>25</v>
      </c>
      <c r="F127" s="1" t="s">
        <v>145</v>
      </c>
      <c r="G127" s="1" t="s">
        <v>14198</v>
      </c>
      <c r="H127" s="1" t="s">
        <v>15940</v>
      </c>
      <c r="I127" s="1" t="s">
        <v>15941</v>
      </c>
      <c r="J127" s="3" t="s">
        <v>15942</v>
      </c>
      <c r="K127" s="1" t="s">
        <v>15076</v>
      </c>
    </row>
    <row r="128" spans="1:11" ht="13.8">
      <c r="A128" s="1" t="s">
        <v>15943</v>
      </c>
      <c r="B128" s="1" t="s">
        <v>15944</v>
      </c>
      <c r="C128" s="1" t="s">
        <v>15945</v>
      </c>
      <c r="D128" s="1" t="s">
        <v>15946</v>
      </c>
      <c r="E128" s="1">
        <v>40</v>
      </c>
      <c r="F128" s="1" t="s">
        <v>145</v>
      </c>
      <c r="G128" s="1" t="s">
        <v>14198</v>
      </c>
      <c r="H128" s="1" t="s">
        <v>15947</v>
      </c>
      <c r="I128" s="1" t="s">
        <v>15948</v>
      </c>
      <c r="J128" s="3" t="s">
        <v>15949</v>
      </c>
      <c r="K128" s="1" t="s">
        <v>15076</v>
      </c>
    </row>
    <row r="129" spans="1:11" ht="409.6">
      <c r="A129" s="1" t="s">
        <v>15950</v>
      </c>
      <c r="B129" s="1" t="s">
        <v>15951</v>
      </c>
      <c r="C129" s="1" t="s">
        <v>15952</v>
      </c>
      <c r="D129" s="1" t="s">
        <v>15953</v>
      </c>
      <c r="E129" s="1">
        <v>40</v>
      </c>
      <c r="F129" s="1" t="s">
        <v>8417</v>
      </c>
      <c r="G129" s="1" t="s">
        <v>14198</v>
      </c>
      <c r="H129" s="4" t="s">
        <v>15954</v>
      </c>
      <c r="I129" s="1" t="s">
        <v>15955</v>
      </c>
      <c r="J129" s="3" t="s">
        <v>15956</v>
      </c>
      <c r="K129" s="1" t="s">
        <v>15076</v>
      </c>
    </row>
    <row r="130" spans="1:11" ht="13.8">
      <c r="A130" s="1" t="s">
        <v>15957</v>
      </c>
      <c r="B130" s="1" t="s">
        <v>15958</v>
      </c>
      <c r="C130" s="1" t="s">
        <v>15959</v>
      </c>
      <c r="D130" s="1" t="s">
        <v>15960</v>
      </c>
      <c r="E130" s="1">
        <v>40</v>
      </c>
      <c r="F130" s="1" t="s">
        <v>145</v>
      </c>
      <c r="G130" s="1" t="s">
        <v>14382</v>
      </c>
      <c r="H130" s="1" t="s">
        <v>15961</v>
      </c>
      <c r="I130" s="1" t="s">
        <v>15962</v>
      </c>
      <c r="J130" s="3" t="s">
        <v>15963</v>
      </c>
      <c r="K130" s="1" t="s">
        <v>15076</v>
      </c>
    </row>
    <row r="131" spans="1:11" ht="13.8">
      <c r="A131" s="1" t="s">
        <v>15964</v>
      </c>
      <c r="B131" s="1" t="s">
        <v>15965</v>
      </c>
      <c r="C131" s="1" t="s">
        <v>15966</v>
      </c>
      <c r="D131" s="1" t="s">
        <v>15967</v>
      </c>
      <c r="E131" s="1">
        <v>45</v>
      </c>
      <c r="F131" s="1" t="s">
        <v>145</v>
      </c>
      <c r="G131" s="1" t="s">
        <v>14198</v>
      </c>
      <c r="H131" s="1" t="s">
        <v>15968</v>
      </c>
      <c r="I131" s="1" t="s">
        <v>15969</v>
      </c>
      <c r="J131" s="3" t="s">
        <v>15970</v>
      </c>
      <c r="K131" s="1" t="s">
        <v>15076</v>
      </c>
    </row>
    <row r="132" spans="1:11" ht="13.8">
      <c r="A132" s="1" t="s">
        <v>15971</v>
      </c>
      <c r="B132" s="1" t="s">
        <v>15971</v>
      </c>
      <c r="C132" s="1" t="s">
        <v>15972</v>
      </c>
      <c r="D132" s="1" t="s">
        <v>15973</v>
      </c>
      <c r="E132" s="1">
        <v>45</v>
      </c>
      <c r="F132" s="1" t="s">
        <v>14207</v>
      </c>
      <c r="G132" s="1" t="s">
        <v>14382</v>
      </c>
      <c r="H132" s="1" t="s">
        <v>15974</v>
      </c>
      <c r="I132" s="1" t="s">
        <v>15975</v>
      </c>
      <c r="J132" s="3" t="s">
        <v>15976</v>
      </c>
      <c r="K132" s="1" t="s">
        <v>15076</v>
      </c>
    </row>
    <row r="133" spans="1:11" ht="13.8">
      <c r="A133" s="1" t="s">
        <v>15977</v>
      </c>
      <c r="B133" s="1" t="s">
        <v>15978</v>
      </c>
      <c r="C133" s="1" t="s">
        <v>15979</v>
      </c>
      <c r="D133" s="1" t="s">
        <v>15980</v>
      </c>
      <c r="E133" s="1">
        <v>35</v>
      </c>
      <c r="F133" s="1" t="s">
        <v>145</v>
      </c>
      <c r="G133" s="1" t="s">
        <v>14198</v>
      </c>
      <c r="H133" s="1" t="s">
        <v>15981</v>
      </c>
      <c r="I133" s="1" t="s">
        <v>15982</v>
      </c>
      <c r="J133" s="3" t="s">
        <v>15983</v>
      </c>
      <c r="K133" s="1" t="s">
        <v>15076</v>
      </c>
    </row>
    <row r="134" spans="1:11" ht="409.6">
      <c r="A134" s="1" t="s">
        <v>15984</v>
      </c>
      <c r="B134" s="1" t="s">
        <v>15985</v>
      </c>
      <c r="C134" s="1" t="s">
        <v>15986</v>
      </c>
      <c r="D134" s="1" t="s">
        <v>15987</v>
      </c>
      <c r="E134" s="1">
        <v>40</v>
      </c>
      <c r="F134" s="1" t="s">
        <v>429</v>
      </c>
      <c r="G134" s="1" t="s">
        <v>14367</v>
      </c>
      <c r="H134" s="1" t="s">
        <v>15988</v>
      </c>
      <c r="I134" s="4" t="s">
        <v>15989</v>
      </c>
      <c r="J134" s="3" t="s">
        <v>15990</v>
      </c>
      <c r="K134" s="1" t="s">
        <v>15076</v>
      </c>
    </row>
    <row r="135" spans="1:11" ht="13.8">
      <c r="A135" s="1" t="s">
        <v>15991</v>
      </c>
      <c r="B135" s="1" t="s">
        <v>15991</v>
      </c>
      <c r="C135" s="1" t="s">
        <v>15992</v>
      </c>
      <c r="D135" s="1" t="s">
        <v>15993</v>
      </c>
      <c r="E135" s="1">
        <v>30</v>
      </c>
      <c r="F135" s="1" t="s">
        <v>14207</v>
      </c>
      <c r="G135" s="1" t="s">
        <v>14198</v>
      </c>
      <c r="H135" s="1" t="s">
        <v>15994</v>
      </c>
      <c r="I135" s="1" t="s">
        <v>15995</v>
      </c>
      <c r="J135" s="3" t="s">
        <v>15996</v>
      </c>
      <c r="K135" s="1" t="s">
        <v>15076</v>
      </c>
    </row>
    <row r="136" spans="1:11" ht="13.8">
      <c r="A136" s="1" t="s">
        <v>15997</v>
      </c>
      <c r="B136" s="1" t="s">
        <v>15998</v>
      </c>
      <c r="C136" s="1" t="s">
        <v>15999</v>
      </c>
      <c r="D136" s="1" t="s">
        <v>16000</v>
      </c>
      <c r="E136" s="1">
        <v>40</v>
      </c>
      <c r="F136" s="1" t="s">
        <v>14207</v>
      </c>
      <c r="G136" s="1" t="s">
        <v>14198</v>
      </c>
      <c r="H136" s="1" t="s">
        <v>16001</v>
      </c>
      <c r="I136" s="1" t="s">
        <v>16002</v>
      </c>
      <c r="J136" s="3" t="s">
        <v>16003</v>
      </c>
      <c r="K136" s="1" t="s">
        <v>15076</v>
      </c>
    </row>
    <row r="137" spans="1:11" ht="13.8">
      <c r="A137" s="1" t="s">
        <v>16004</v>
      </c>
      <c r="B137" s="1" t="s">
        <v>16005</v>
      </c>
      <c r="C137" s="1" t="s">
        <v>16006</v>
      </c>
      <c r="D137" s="1" t="s">
        <v>16007</v>
      </c>
      <c r="E137" s="1">
        <v>30</v>
      </c>
      <c r="F137" s="1" t="s">
        <v>14207</v>
      </c>
      <c r="G137" s="1" t="s">
        <v>14198</v>
      </c>
      <c r="H137" s="1" t="s">
        <v>16008</v>
      </c>
      <c r="I137" s="1" t="s">
        <v>16009</v>
      </c>
      <c r="J137" s="3" t="s">
        <v>16010</v>
      </c>
      <c r="K137" s="1" t="s">
        <v>15076</v>
      </c>
    </row>
    <row r="138" spans="1:11" ht="13.8">
      <c r="A138" s="1" t="s">
        <v>16011</v>
      </c>
      <c r="B138" s="1" t="s">
        <v>16012</v>
      </c>
      <c r="C138" s="1" t="s">
        <v>16013</v>
      </c>
      <c r="D138" s="1" t="s">
        <v>16014</v>
      </c>
      <c r="E138" s="1">
        <v>45</v>
      </c>
      <c r="F138" s="1" t="s">
        <v>145</v>
      </c>
      <c r="G138" s="1" t="s">
        <v>14198</v>
      </c>
      <c r="H138" s="1" t="s">
        <v>16015</v>
      </c>
      <c r="I138" s="1" t="s">
        <v>16016</v>
      </c>
      <c r="J138" s="3" t="s">
        <v>16017</v>
      </c>
      <c r="K138" s="1" t="s">
        <v>15076</v>
      </c>
    </row>
    <row r="139" spans="1:11" ht="13.8">
      <c r="A139" s="1" t="s">
        <v>16018</v>
      </c>
      <c r="B139" s="1" t="s">
        <v>16019</v>
      </c>
      <c r="C139" s="1" t="s">
        <v>16020</v>
      </c>
      <c r="D139" s="1" t="s">
        <v>16021</v>
      </c>
      <c r="E139" s="1">
        <v>40</v>
      </c>
      <c r="F139" s="1" t="s">
        <v>14207</v>
      </c>
      <c r="G139" s="1" t="s">
        <v>15314</v>
      </c>
      <c r="H139" s="1" t="s">
        <v>16022</v>
      </c>
      <c r="I139" s="1" t="s">
        <v>16023</v>
      </c>
      <c r="J139" s="3" t="s">
        <v>16024</v>
      </c>
      <c r="K139" s="1" t="s">
        <v>15076</v>
      </c>
    </row>
    <row r="140" spans="1:11" ht="13.8">
      <c r="A140" s="1" t="s">
        <v>16025</v>
      </c>
      <c r="B140" s="1" t="s">
        <v>16026</v>
      </c>
      <c r="C140" s="1" t="s">
        <v>16027</v>
      </c>
      <c r="D140" s="1" t="s">
        <v>16028</v>
      </c>
      <c r="E140" s="1">
        <v>45</v>
      </c>
      <c r="F140" s="1" t="s">
        <v>145</v>
      </c>
      <c r="G140" s="1" t="s">
        <v>14198</v>
      </c>
      <c r="H140" s="1" t="s">
        <v>16029</v>
      </c>
      <c r="I140" s="1" t="s">
        <v>16030</v>
      </c>
      <c r="J140" s="3" t="s">
        <v>16031</v>
      </c>
      <c r="K140" s="1" t="s">
        <v>15076</v>
      </c>
    </row>
    <row r="141" spans="1:11" ht="409.6">
      <c r="A141" s="1" t="s">
        <v>16032</v>
      </c>
      <c r="B141" s="1" t="s">
        <v>16033</v>
      </c>
      <c r="C141" s="1" t="s">
        <v>16034</v>
      </c>
      <c r="D141" s="1" t="s">
        <v>16035</v>
      </c>
      <c r="E141" s="1">
        <v>45</v>
      </c>
      <c r="F141" s="1" t="s">
        <v>14207</v>
      </c>
      <c r="G141" s="1" t="s">
        <v>14382</v>
      </c>
      <c r="H141" s="4" t="s">
        <v>16036</v>
      </c>
      <c r="I141" s="1" t="s">
        <v>16037</v>
      </c>
      <c r="J141" s="3" t="s">
        <v>16038</v>
      </c>
      <c r="K141" s="1" t="s">
        <v>15076</v>
      </c>
    </row>
    <row r="142" spans="1:11" ht="13.8">
      <c r="A142" s="1" t="s">
        <v>16039</v>
      </c>
      <c r="B142" s="1" t="s">
        <v>16040</v>
      </c>
      <c r="C142" s="1" t="s">
        <v>16041</v>
      </c>
      <c r="D142" s="1" t="s">
        <v>16042</v>
      </c>
      <c r="E142" s="1">
        <v>50</v>
      </c>
      <c r="F142" s="1" t="s">
        <v>429</v>
      </c>
      <c r="G142" s="1" t="s">
        <v>14198</v>
      </c>
      <c r="H142" s="1" t="s">
        <v>16043</v>
      </c>
      <c r="I142" s="1" t="s">
        <v>16044</v>
      </c>
      <c r="J142" s="3" t="s">
        <v>16045</v>
      </c>
      <c r="K142" s="1" t="s">
        <v>15076</v>
      </c>
    </row>
    <row r="143" spans="1:11" ht="409.6">
      <c r="A143" s="1" t="s">
        <v>16046</v>
      </c>
      <c r="B143" s="1" t="s">
        <v>16047</v>
      </c>
      <c r="C143" s="1" t="s">
        <v>16048</v>
      </c>
      <c r="D143" s="1" t="s">
        <v>16049</v>
      </c>
      <c r="E143" s="1">
        <v>40</v>
      </c>
      <c r="F143" s="1" t="s">
        <v>145</v>
      </c>
      <c r="G143" s="1" t="s">
        <v>14382</v>
      </c>
      <c r="H143" s="1" t="s">
        <v>16050</v>
      </c>
      <c r="I143" s="4" t="s">
        <v>16051</v>
      </c>
      <c r="J143" s="3" t="s">
        <v>16052</v>
      </c>
      <c r="K143" s="1" t="s">
        <v>15076</v>
      </c>
    </row>
    <row r="144" spans="1:11" ht="409.6">
      <c r="A144" s="1" t="s">
        <v>16053</v>
      </c>
      <c r="B144" s="1" t="s">
        <v>16054</v>
      </c>
      <c r="C144" s="1" t="s">
        <v>16055</v>
      </c>
      <c r="D144" s="1" t="s">
        <v>16056</v>
      </c>
      <c r="E144" s="1">
        <v>35</v>
      </c>
      <c r="F144" s="1" t="s">
        <v>145</v>
      </c>
      <c r="G144" s="1" t="s">
        <v>14198</v>
      </c>
      <c r="H144" s="4" t="s">
        <v>16057</v>
      </c>
      <c r="I144" s="1" t="s">
        <v>16058</v>
      </c>
      <c r="J144" s="3" t="s">
        <v>16059</v>
      </c>
      <c r="K144" s="1" t="s">
        <v>15076</v>
      </c>
    </row>
    <row r="145" spans="1:11" ht="13.8">
      <c r="A145" s="1" t="s">
        <v>16060</v>
      </c>
      <c r="B145" s="1" t="s">
        <v>16061</v>
      </c>
      <c r="C145" s="1" t="s">
        <v>16062</v>
      </c>
      <c r="D145" s="1" t="s">
        <v>16063</v>
      </c>
      <c r="E145" s="1">
        <v>40</v>
      </c>
      <c r="F145" s="1" t="s">
        <v>145</v>
      </c>
      <c r="G145" s="1" t="s">
        <v>14198</v>
      </c>
      <c r="H145" s="1" t="s">
        <v>16064</v>
      </c>
      <c r="I145" s="1" t="s">
        <v>16065</v>
      </c>
      <c r="J145" s="3" t="s">
        <v>16066</v>
      </c>
      <c r="K145" s="1" t="s">
        <v>15076</v>
      </c>
    </row>
    <row r="146" spans="1:11" ht="13.8">
      <c r="A146" s="1" t="s">
        <v>16067</v>
      </c>
      <c r="B146" s="1" t="s">
        <v>16068</v>
      </c>
      <c r="C146" s="1" t="s">
        <v>16069</v>
      </c>
      <c r="D146" s="1" t="s">
        <v>16070</v>
      </c>
      <c r="E146" s="1">
        <v>20</v>
      </c>
      <c r="F146" s="1" t="s">
        <v>15138</v>
      </c>
      <c r="G146" s="1" t="s">
        <v>14198</v>
      </c>
      <c r="H146" s="1" t="s">
        <v>16071</v>
      </c>
      <c r="I146" s="1" t="s">
        <v>16072</v>
      </c>
      <c r="J146" s="3" t="s">
        <v>16073</v>
      </c>
      <c r="K146" s="1" t="s">
        <v>15076</v>
      </c>
    </row>
    <row r="147" spans="1:11" ht="13.8">
      <c r="A147" s="1" t="s">
        <v>16074</v>
      </c>
      <c r="B147" s="1" t="s">
        <v>16075</v>
      </c>
      <c r="C147" s="1" t="s">
        <v>16076</v>
      </c>
      <c r="D147" s="1" t="s">
        <v>16077</v>
      </c>
      <c r="E147" s="1">
        <v>40</v>
      </c>
      <c r="F147" s="1" t="s">
        <v>145</v>
      </c>
      <c r="G147" s="1" t="s">
        <v>14198</v>
      </c>
      <c r="H147" s="1" t="s">
        <v>16078</v>
      </c>
      <c r="I147" s="1" t="s">
        <v>16079</v>
      </c>
      <c r="J147" s="3" t="s">
        <v>16080</v>
      </c>
      <c r="K147" s="1" t="s">
        <v>15076</v>
      </c>
    </row>
    <row r="148" spans="1:11" ht="13.8">
      <c r="A148" s="1" t="s">
        <v>16081</v>
      </c>
      <c r="B148" s="1" t="s">
        <v>16082</v>
      </c>
      <c r="C148" s="1" t="s">
        <v>16083</v>
      </c>
      <c r="D148" s="1" t="s">
        <v>16084</v>
      </c>
      <c r="E148" s="1">
        <v>45</v>
      </c>
      <c r="F148" s="1" t="s">
        <v>145</v>
      </c>
      <c r="G148" s="1" t="s">
        <v>14198</v>
      </c>
      <c r="H148" s="1" t="s">
        <v>16085</v>
      </c>
      <c r="I148" s="1" t="s">
        <v>16086</v>
      </c>
      <c r="J148" s="3" t="s">
        <v>16087</v>
      </c>
      <c r="K148" s="1" t="s">
        <v>15076</v>
      </c>
    </row>
    <row r="149" spans="1:11" ht="13.8">
      <c r="A149" s="1" t="s">
        <v>16088</v>
      </c>
      <c r="B149" s="1" t="s">
        <v>16089</v>
      </c>
      <c r="C149" s="1" t="s">
        <v>16090</v>
      </c>
      <c r="D149" s="1" t="s">
        <v>16091</v>
      </c>
      <c r="E149" s="1">
        <v>40</v>
      </c>
      <c r="F149" s="1" t="s">
        <v>429</v>
      </c>
      <c r="G149" s="1" t="s">
        <v>14198</v>
      </c>
      <c r="H149" s="1" t="s">
        <v>16092</v>
      </c>
      <c r="I149" s="1" t="s">
        <v>16093</v>
      </c>
      <c r="J149" s="3" t="s">
        <v>16094</v>
      </c>
      <c r="K149" s="1" t="s">
        <v>15076</v>
      </c>
    </row>
    <row r="150" spans="1:11" ht="13.8">
      <c r="A150" s="1" t="s">
        <v>16095</v>
      </c>
      <c r="B150" s="1" t="s">
        <v>16096</v>
      </c>
      <c r="C150" s="1" t="s">
        <v>16097</v>
      </c>
      <c r="D150" s="1" t="s">
        <v>16098</v>
      </c>
      <c r="E150" s="1">
        <v>220</v>
      </c>
      <c r="F150" s="1" t="s">
        <v>145</v>
      </c>
      <c r="G150" s="1" t="s">
        <v>14382</v>
      </c>
      <c r="H150" s="1" t="s">
        <v>16099</v>
      </c>
      <c r="I150" s="1" t="s">
        <v>16100</v>
      </c>
      <c r="J150" s="3" t="s">
        <v>16101</v>
      </c>
      <c r="K150" s="1" t="s">
        <v>15076</v>
      </c>
    </row>
    <row r="151" spans="1:11" ht="13.8">
      <c r="A151" s="1" t="s">
        <v>16102</v>
      </c>
      <c r="B151" s="1" t="s">
        <v>16103</v>
      </c>
      <c r="C151" s="1" t="s">
        <v>16104</v>
      </c>
      <c r="D151" s="1" t="s">
        <v>16105</v>
      </c>
      <c r="E151" s="1">
        <v>65</v>
      </c>
      <c r="F151" s="1" t="s">
        <v>14281</v>
      </c>
      <c r="G151" s="1" t="s">
        <v>14198</v>
      </c>
      <c r="H151" s="1" t="s">
        <v>16106</v>
      </c>
      <c r="I151" s="1" t="s">
        <v>16107</v>
      </c>
      <c r="J151" s="3" t="s">
        <v>16108</v>
      </c>
      <c r="K151" s="1" t="s">
        <v>15076</v>
      </c>
    </row>
    <row r="152" spans="1:11" ht="409.6">
      <c r="A152" s="1" t="s">
        <v>16109</v>
      </c>
      <c r="B152" s="1" t="s">
        <v>16109</v>
      </c>
      <c r="C152" s="1" t="s">
        <v>16110</v>
      </c>
      <c r="D152" s="1" t="s">
        <v>16111</v>
      </c>
      <c r="E152" s="1">
        <v>40</v>
      </c>
      <c r="F152" s="1" t="s">
        <v>145</v>
      </c>
      <c r="G152" s="1" t="s">
        <v>14237</v>
      </c>
      <c r="H152" s="4" t="s">
        <v>16112</v>
      </c>
      <c r="I152" s="4" t="s">
        <v>16113</v>
      </c>
      <c r="J152" s="3" t="s">
        <v>16114</v>
      </c>
      <c r="K152" s="1" t="s">
        <v>15076</v>
      </c>
    </row>
    <row r="153" spans="1:11" ht="13.8">
      <c r="A153" s="1" t="s">
        <v>16115</v>
      </c>
      <c r="B153" s="1" t="s">
        <v>16116</v>
      </c>
      <c r="C153" s="1" t="s">
        <v>16117</v>
      </c>
      <c r="D153" s="1" t="s">
        <v>16118</v>
      </c>
      <c r="E153" s="1">
        <v>460</v>
      </c>
      <c r="F153" s="1" t="s">
        <v>15138</v>
      </c>
      <c r="G153" s="1" t="s">
        <v>14237</v>
      </c>
      <c r="H153" s="1" t="s">
        <v>16119</v>
      </c>
      <c r="I153" s="1" t="s">
        <v>16120</v>
      </c>
      <c r="J153" s="3" t="s">
        <v>16121</v>
      </c>
      <c r="K153" s="1" t="s">
        <v>15076</v>
      </c>
    </row>
    <row r="154" spans="1:11" ht="13.8">
      <c r="A154" s="1" t="s">
        <v>16122</v>
      </c>
      <c r="B154" s="1" t="s">
        <v>16123</v>
      </c>
      <c r="C154" s="1" t="s">
        <v>16124</v>
      </c>
      <c r="D154" s="1" t="s">
        <v>16125</v>
      </c>
      <c r="E154" s="1">
        <v>30</v>
      </c>
      <c r="F154" s="1" t="s">
        <v>145</v>
      </c>
      <c r="G154" s="1" t="s">
        <v>14198</v>
      </c>
      <c r="H154" s="1" t="s">
        <v>16126</v>
      </c>
      <c r="I154" s="1" t="s">
        <v>16127</v>
      </c>
      <c r="J154" s="3" t="s">
        <v>16128</v>
      </c>
      <c r="K154" s="1" t="s">
        <v>15076</v>
      </c>
    </row>
    <row r="155" spans="1:11" ht="13.8">
      <c r="A155" s="1" t="s">
        <v>16129</v>
      </c>
      <c r="B155" s="1" t="s">
        <v>16130</v>
      </c>
      <c r="C155" s="1" t="s">
        <v>16131</v>
      </c>
      <c r="D155" s="1" t="s">
        <v>16132</v>
      </c>
      <c r="E155" s="1">
        <v>40</v>
      </c>
      <c r="F155" s="1" t="s">
        <v>145</v>
      </c>
      <c r="G155" s="1" t="s">
        <v>14198</v>
      </c>
      <c r="H155" s="1" t="s">
        <v>16133</v>
      </c>
      <c r="I155" s="1" t="s">
        <v>16134</v>
      </c>
      <c r="J155" s="3" t="s">
        <v>16135</v>
      </c>
      <c r="K155" s="1" t="s">
        <v>15076</v>
      </c>
    </row>
    <row r="156" spans="1:11" ht="13.8">
      <c r="A156" s="1" t="s">
        <v>16136</v>
      </c>
      <c r="B156" s="1" t="s">
        <v>16137</v>
      </c>
      <c r="C156" s="1" t="s">
        <v>16138</v>
      </c>
      <c r="D156" s="1" t="s">
        <v>16139</v>
      </c>
      <c r="E156" s="1">
        <v>60</v>
      </c>
      <c r="F156" s="1" t="s">
        <v>145</v>
      </c>
      <c r="G156" s="1" t="s">
        <v>14198</v>
      </c>
      <c r="H156" s="1" t="s">
        <v>16140</v>
      </c>
      <c r="I156" s="1" t="s">
        <v>16141</v>
      </c>
      <c r="J156" s="3" t="s">
        <v>16142</v>
      </c>
      <c r="K156" s="1" t="s">
        <v>15076</v>
      </c>
    </row>
    <row r="157" spans="1:11" ht="13.8">
      <c r="A157" s="1" t="s">
        <v>16143</v>
      </c>
      <c r="B157" s="1" t="s">
        <v>16144</v>
      </c>
      <c r="C157" s="1" t="s">
        <v>16145</v>
      </c>
      <c r="D157" s="1" t="s">
        <v>16146</v>
      </c>
      <c r="E157" s="1">
        <v>40</v>
      </c>
      <c r="F157" s="1" t="s">
        <v>145</v>
      </c>
      <c r="G157" s="1" t="s">
        <v>14198</v>
      </c>
      <c r="H157" s="1" t="s">
        <v>16147</v>
      </c>
      <c r="I157" s="1" t="s">
        <v>16148</v>
      </c>
      <c r="J157" s="3" t="s">
        <v>16149</v>
      </c>
      <c r="K157" s="1" t="s">
        <v>15076</v>
      </c>
    </row>
    <row r="158" spans="1:11" ht="13.8">
      <c r="A158" s="1" t="s">
        <v>16150</v>
      </c>
      <c r="B158" s="1" t="s">
        <v>16151</v>
      </c>
      <c r="C158" s="1" t="s">
        <v>16152</v>
      </c>
      <c r="D158" s="1" t="s">
        <v>16153</v>
      </c>
      <c r="E158" s="1">
        <v>45</v>
      </c>
      <c r="F158" s="1" t="s">
        <v>429</v>
      </c>
      <c r="G158" s="1" t="s">
        <v>15314</v>
      </c>
      <c r="H158" s="1" t="s">
        <v>16154</v>
      </c>
      <c r="I158" s="1" t="s">
        <v>16155</v>
      </c>
      <c r="J158" s="3" t="s">
        <v>16156</v>
      </c>
      <c r="K158" s="1" t="s">
        <v>15076</v>
      </c>
    </row>
    <row r="159" spans="1:11" ht="13.8">
      <c r="A159" s="1" t="s">
        <v>16157</v>
      </c>
      <c r="B159" s="1" t="s">
        <v>16157</v>
      </c>
      <c r="C159" s="1" t="s">
        <v>16158</v>
      </c>
      <c r="D159" s="1" t="s">
        <v>16159</v>
      </c>
      <c r="E159" s="1">
        <v>35</v>
      </c>
      <c r="F159" s="1" t="s">
        <v>145</v>
      </c>
      <c r="G159" s="1" t="s">
        <v>14367</v>
      </c>
      <c r="H159" s="1" t="s">
        <v>16160</v>
      </c>
      <c r="I159" s="1" t="s">
        <v>16161</v>
      </c>
      <c r="J159" s="3" t="s">
        <v>16162</v>
      </c>
      <c r="K159" s="1" t="s">
        <v>15076</v>
      </c>
    </row>
    <row r="160" spans="1:11" ht="13.8">
      <c r="A160" s="1" t="s">
        <v>16163</v>
      </c>
      <c r="B160" s="1" t="s">
        <v>16164</v>
      </c>
      <c r="C160" s="1" t="s">
        <v>16165</v>
      </c>
      <c r="D160" s="1" t="s">
        <v>16166</v>
      </c>
      <c r="E160" s="1">
        <v>25</v>
      </c>
      <c r="F160" s="1" t="s">
        <v>145</v>
      </c>
      <c r="G160" s="1" t="s">
        <v>14198</v>
      </c>
      <c r="H160" s="1" t="s">
        <v>16167</v>
      </c>
      <c r="I160" s="1" t="s">
        <v>16168</v>
      </c>
      <c r="J160" s="3" t="s">
        <v>16169</v>
      </c>
      <c r="K160" s="1" t="s">
        <v>15076</v>
      </c>
    </row>
    <row r="161" spans="1:11" ht="13.8">
      <c r="A161" s="1" t="s">
        <v>16170</v>
      </c>
      <c r="B161" s="1" t="s">
        <v>16171</v>
      </c>
      <c r="C161" s="1" t="s">
        <v>16172</v>
      </c>
      <c r="D161" s="1" t="s">
        <v>16173</v>
      </c>
      <c r="E161" s="1">
        <v>50</v>
      </c>
      <c r="F161" s="1" t="s">
        <v>145</v>
      </c>
      <c r="G161" s="1" t="s">
        <v>14198</v>
      </c>
      <c r="H161" s="1" t="s">
        <v>16174</v>
      </c>
      <c r="I161" s="1" t="s">
        <v>16175</v>
      </c>
      <c r="J161" s="3" t="s">
        <v>16176</v>
      </c>
      <c r="K161" s="1" t="s">
        <v>15076</v>
      </c>
    </row>
    <row r="162" spans="1:11" ht="13.8">
      <c r="A162" s="1" t="s">
        <v>16177</v>
      </c>
      <c r="B162" s="1" t="s">
        <v>16178</v>
      </c>
      <c r="C162" s="1" t="s">
        <v>16179</v>
      </c>
      <c r="D162" s="1" t="s">
        <v>16180</v>
      </c>
      <c r="E162" s="1">
        <v>35</v>
      </c>
      <c r="F162" s="1" t="s">
        <v>14207</v>
      </c>
      <c r="G162" s="1" t="s">
        <v>14198</v>
      </c>
      <c r="H162" s="1" t="s">
        <v>16181</v>
      </c>
      <c r="I162" s="1" t="s">
        <v>16182</v>
      </c>
      <c r="J162" s="3" t="s">
        <v>16183</v>
      </c>
      <c r="K162" s="1" t="s">
        <v>15076</v>
      </c>
    </row>
    <row r="163" spans="1:11" ht="13.8">
      <c r="A163" s="1" t="s">
        <v>16184</v>
      </c>
      <c r="B163" s="1" t="s">
        <v>16185</v>
      </c>
      <c r="C163" s="1" t="s">
        <v>16186</v>
      </c>
      <c r="D163" s="1" t="s">
        <v>16187</v>
      </c>
      <c r="E163" s="1">
        <v>40</v>
      </c>
      <c r="F163" s="1" t="s">
        <v>145</v>
      </c>
      <c r="G163" s="1" t="s">
        <v>14198</v>
      </c>
      <c r="H163" s="1" t="s">
        <v>16188</v>
      </c>
      <c r="I163" s="1" t="s">
        <v>16189</v>
      </c>
      <c r="J163" s="3" t="s">
        <v>16190</v>
      </c>
      <c r="K163" s="1" t="s">
        <v>15076</v>
      </c>
    </row>
    <row r="164" spans="1:11" ht="13.8">
      <c r="A164" s="1" t="s">
        <v>16191</v>
      </c>
      <c r="B164" s="1" t="s">
        <v>16192</v>
      </c>
      <c r="C164" s="1" t="s">
        <v>16193</v>
      </c>
      <c r="D164" s="1" t="s">
        <v>16194</v>
      </c>
      <c r="E164" s="1">
        <v>25</v>
      </c>
      <c r="F164" s="1" t="s">
        <v>145</v>
      </c>
      <c r="G164" s="1" t="s">
        <v>14198</v>
      </c>
      <c r="H164" s="1" t="s">
        <v>16195</v>
      </c>
      <c r="I164" s="1" t="s">
        <v>16196</v>
      </c>
      <c r="J164" s="3" t="s">
        <v>16197</v>
      </c>
      <c r="K164" s="1" t="s">
        <v>15076</v>
      </c>
    </row>
    <row r="165" spans="1:11" ht="13.8">
      <c r="A165" s="1"/>
      <c r="D165" s="1"/>
      <c r="H165" s="1"/>
    </row>
    <row r="166" spans="1:11" ht="13.8">
      <c r="A166" s="1"/>
      <c r="D166" s="1"/>
      <c r="H166" s="1"/>
    </row>
    <row r="167" spans="1:11" ht="13.8">
      <c r="A167" s="1"/>
      <c r="D167" s="1"/>
      <c r="H167" s="1"/>
    </row>
    <row r="168" spans="1:11" ht="13.8">
      <c r="A168" s="1"/>
      <c r="D168" s="1"/>
      <c r="H168" s="1"/>
    </row>
    <row r="169" spans="1:11" ht="13.8">
      <c r="A169" s="1"/>
      <c r="D169" s="1"/>
      <c r="H169" s="1"/>
    </row>
    <row r="170" spans="1:11" ht="13.8">
      <c r="A170" s="1"/>
      <c r="D170" s="1"/>
      <c r="H170" s="1"/>
    </row>
    <row r="171" spans="1:11" ht="13.8">
      <c r="A171" s="1"/>
      <c r="D171" s="1"/>
      <c r="H171" s="1"/>
    </row>
    <row r="172" spans="1:11" ht="13.8">
      <c r="A172" s="1"/>
      <c r="D172" s="1"/>
      <c r="H172" s="1"/>
    </row>
    <row r="173" spans="1:11" ht="13.8">
      <c r="A173" s="1"/>
      <c r="D173" s="1"/>
      <c r="H173" s="1"/>
    </row>
    <row r="174" spans="1:11" ht="13.8">
      <c r="A174" s="1"/>
      <c r="D174" s="1"/>
      <c r="H174" s="1"/>
    </row>
    <row r="175" spans="1:11" ht="13.8">
      <c r="A175" s="1"/>
      <c r="D175" s="1"/>
      <c r="H175" s="1"/>
    </row>
    <row r="176" spans="1:11" ht="13.8">
      <c r="A176" s="1"/>
      <c r="D176" s="1"/>
      <c r="H176" s="1"/>
    </row>
    <row r="177" spans="1:8" ht="13.8">
      <c r="A177" s="1"/>
      <c r="D177" s="1"/>
      <c r="H177" s="1"/>
    </row>
    <row r="178" spans="1:8" ht="13.8">
      <c r="A178" s="1"/>
      <c r="D178" s="1"/>
      <c r="H178" s="1"/>
    </row>
    <row r="179" spans="1:8" ht="13.8">
      <c r="A179" s="1"/>
      <c r="D179" s="1"/>
      <c r="H179" s="1"/>
    </row>
    <row r="180" spans="1:8" ht="13.8">
      <c r="A180" s="1"/>
      <c r="D180" s="1"/>
      <c r="H180" s="1"/>
    </row>
    <row r="181" spans="1:8" ht="13.8">
      <c r="A181" s="1"/>
      <c r="D181" s="1"/>
      <c r="H181" s="1"/>
    </row>
    <row r="182" spans="1:8" ht="13.8">
      <c r="A182" s="1"/>
      <c r="D182" s="1"/>
      <c r="H182" s="1"/>
    </row>
    <row r="183" spans="1:8" ht="13.8">
      <c r="A183" s="1"/>
      <c r="D183" s="1"/>
      <c r="H183" s="1"/>
    </row>
    <row r="184" spans="1:8" ht="13.8">
      <c r="A184" s="1"/>
      <c r="D184" s="1"/>
      <c r="H184" s="1"/>
    </row>
    <row r="185" spans="1:8" ht="13.8">
      <c r="A185" s="1"/>
      <c r="D185" s="1"/>
      <c r="H185" s="1"/>
    </row>
    <row r="186" spans="1:8" ht="13.8">
      <c r="A186" s="1"/>
      <c r="D186" s="1"/>
      <c r="H186" s="1"/>
    </row>
    <row r="187" spans="1:8" ht="13.8">
      <c r="A187" s="1"/>
      <c r="D187" s="1"/>
      <c r="H187" s="1"/>
    </row>
    <row r="188" spans="1:8" ht="13.8">
      <c r="A188" s="1"/>
      <c r="D188" s="1"/>
      <c r="H188" s="1"/>
    </row>
    <row r="189" spans="1:8" ht="13.8">
      <c r="A189" s="1"/>
      <c r="D189" s="1"/>
      <c r="H189" s="1"/>
    </row>
    <row r="190" spans="1:8" ht="13.8">
      <c r="A190" s="1"/>
      <c r="D190" s="1"/>
      <c r="H190" s="1"/>
    </row>
    <row r="191" spans="1:8" ht="13.8">
      <c r="A191" s="1"/>
      <c r="D191" s="1"/>
      <c r="H191" s="1"/>
    </row>
    <row r="192" spans="1:8" ht="13.8">
      <c r="A192" s="1"/>
      <c r="D192" s="1"/>
      <c r="H192" s="1"/>
    </row>
    <row r="193" spans="1:8" ht="13.8">
      <c r="A193" s="1"/>
      <c r="D193" s="1"/>
      <c r="H193" s="1"/>
    </row>
    <row r="194" spans="1:8" ht="13.8">
      <c r="A194" s="1"/>
      <c r="D194" s="1"/>
      <c r="H194" s="1"/>
    </row>
    <row r="195" spans="1:8" ht="13.8">
      <c r="A195" s="1"/>
      <c r="D195" s="1"/>
      <c r="H195" s="1"/>
    </row>
    <row r="196" spans="1:8" ht="13.8">
      <c r="A196" s="1"/>
      <c r="D196" s="1"/>
      <c r="H196" s="1"/>
    </row>
    <row r="197" spans="1:8" ht="13.8">
      <c r="A197" s="1"/>
      <c r="D197" s="1"/>
      <c r="H197" s="1"/>
    </row>
    <row r="198" spans="1:8" ht="13.8">
      <c r="A198" s="1"/>
      <c r="D198" s="1"/>
      <c r="H198" s="1"/>
    </row>
    <row r="199" spans="1:8" ht="13.8">
      <c r="A199" s="1"/>
      <c r="D199" s="1"/>
      <c r="H199" s="1"/>
    </row>
    <row r="200" spans="1:8" ht="13.8">
      <c r="A200" s="1"/>
      <c r="D200" s="1"/>
      <c r="H200" s="1"/>
    </row>
    <row r="201" spans="1:8" ht="13.8">
      <c r="A201" s="1"/>
      <c r="D201" s="1"/>
      <c r="H201" s="1"/>
    </row>
    <row r="202" spans="1:8" ht="13.8">
      <c r="A202" s="1"/>
      <c r="D202" s="1"/>
      <c r="H202" s="1"/>
    </row>
    <row r="203" spans="1:8" ht="13.8">
      <c r="A203" s="1"/>
      <c r="D203" s="1"/>
      <c r="H203" s="1"/>
    </row>
    <row r="204" spans="1:8" ht="13.8">
      <c r="A204" s="1"/>
      <c r="D204" s="1"/>
      <c r="H204" s="1"/>
    </row>
    <row r="205" spans="1:8" ht="13.8">
      <c r="A205" s="1"/>
      <c r="D205" s="1"/>
      <c r="H205" s="1"/>
    </row>
    <row r="206" spans="1:8" ht="13.8">
      <c r="A206" s="1"/>
      <c r="D206" s="1"/>
      <c r="H206" s="1"/>
    </row>
    <row r="207" spans="1:8" ht="13.8">
      <c r="A207" s="1"/>
      <c r="D207" s="1"/>
      <c r="H207" s="1"/>
    </row>
    <row r="208" spans="1:8" ht="13.8">
      <c r="A208" s="1"/>
      <c r="D208" s="1"/>
      <c r="H208" s="1"/>
    </row>
    <row r="209" spans="1:8" ht="13.8">
      <c r="A209" s="1"/>
      <c r="D209" s="1"/>
      <c r="H209" s="1"/>
    </row>
    <row r="210" spans="1:8" ht="13.8">
      <c r="A210" s="1"/>
      <c r="D210" s="1"/>
      <c r="H210" s="1"/>
    </row>
    <row r="211" spans="1:8" ht="13.8">
      <c r="A211" s="1"/>
      <c r="D211" s="1"/>
      <c r="H211" s="1"/>
    </row>
    <row r="212" spans="1:8" ht="13.8">
      <c r="A212" s="1"/>
      <c r="D212" s="1"/>
      <c r="H212" s="1"/>
    </row>
    <row r="213" spans="1:8" ht="13.8">
      <c r="A213" s="1"/>
      <c r="D213" s="1"/>
      <c r="H213" s="1"/>
    </row>
    <row r="214" spans="1:8" ht="13.8">
      <c r="A214" s="1"/>
      <c r="D214" s="1"/>
      <c r="H214" s="1"/>
    </row>
    <row r="215" spans="1:8" ht="13.8">
      <c r="A215" s="1"/>
      <c r="D215" s="1"/>
      <c r="H215" s="1"/>
    </row>
    <row r="216" spans="1:8" ht="13.8">
      <c r="A216" s="1"/>
      <c r="D216" s="1"/>
      <c r="H216" s="1"/>
    </row>
    <row r="217" spans="1:8" ht="13.8">
      <c r="A217" s="1"/>
      <c r="D217" s="1"/>
      <c r="H217" s="1"/>
    </row>
    <row r="218" spans="1:8" ht="13.8">
      <c r="A218" s="1"/>
      <c r="D218" s="1"/>
      <c r="H218" s="1"/>
    </row>
    <row r="219" spans="1:8" ht="13.8">
      <c r="A219" s="1"/>
      <c r="D219" s="1"/>
      <c r="H219" s="1"/>
    </row>
    <row r="220" spans="1:8" ht="13.8">
      <c r="A220" s="1"/>
      <c r="D220" s="1"/>
      <c r="H220" s="1"/>
    </row>
    <row r="221" spans="1:8" ht="13.8">
      <c r="A221" s="1"/>
      <c r="D221" s="1"/>
      <c r="H221" s="1"/>
    </row>
    <row r="222" spans="1:8" ht="13.8">
      <c r="A222" s="1"/>
      <c r="D222" s="1"/>
      <c r="H222" s="1"/>
    </row>
    <row r="223" spans="1:8" ht="13.8">
      <c r="A223" s="1"/>
      <c r="D223" s="1"/>
      <c r="H223" s="1"/>
    </row>
    <row r="224" spans="1:8" ht="13.8">
      <c r="A224" s="1"/>
      <c r="D224" s="1"/>
      <c r="H224" s="1"/>
    </row>
    <row r="225" spans="1:8" ht="13.8">
      <c r="A225" s="1"/>
      <c r="D225" s="1"/>
      <c r="H225" s="1"/>
    </row>
    <row r="226" spans="1:8" ht="13.8">
      <c r="A226" s="1"/>
      <c r="D226" s="1"/>
      <c r="H226" s="1"/>
    </row>
    <row r="227" spans="1:8" ht="13.8">
      <c r="A227" s="1"/>
      <c r="D227" s="1"/>
      <c r="H227" s="1"/>
    </row>
    <row r="228" spans="1:8" ht="13.8">
      <c r="A228" s="1"/>
      <c r="D228" s="1"/>
      <c r="H228" s="1"/>
    </row>
    <row r="229" spans="1:8" ht="13.8">
      <c r="A229" s="1"/>
      <c r="D229" s="1"/>
      <c r="H229" s="1"/>
    </row>
    <row r="230" spans="1:8" ht="13.8">
      <c r="A230" s="1"/>
      <c r="D230" s="1"/>
      <c r="H230" s="1"/>
    </row>
    <row r="231" spans="1:8" ht="13.8">
      <c r="A231" s="1"/>
      <c r="D231" s="1"/>
      <c r="H231" s="1"/>
    </row>
    <row r="232" spans="1:8" ht="13.8">
      <c r="A232" s="1"/>
      <c r="D232" s="1"/>
      <c r="H232" s="1"/>
    </row>
    <row r="233" spans="1:8" ht="13.8">
      <c r="A233" s="1"/>
      <c r="D233" s="1"/>
      <c r="H233" s="1"/>
    </row>
    <row r="234" spans="1:8" ht="13.8">
      <c r="A234" s="1"/>
      <c r="D234" s="1"/>
      <c r="H234" s="1"/>
    </row>
    <row r="235" spans="1:8" ht="13.8">
      <c r="A235" s="1"/>
      <c r="D235" s="1"/>
      <c r="H235" s="1"/>
    </row>
    <row r="236" spans="1:8" ht="13.8">
      <c r="A236" s="1"/>
      <c r="D236" s="1"/>
      <c r="H236" s="1"/>
    </row>
    <row r="237" spans="1:8" ht="13.8">
      <c r="A237" s="1"/>
      <c r="D237" s="1"/>
      <c r="H237" s="1"/>
    </row>
    <row r="238" spans="1:8" ht="13.8">
      <c r="A238" s="1"/>
      <c r="D238" s="1"/>
      <c r="H238" s="1"/>
    </row>
    <row r="239" spans="1:8" ht="13.8">
      <c r="A239" s="1"/>
      <c r="D239" s="1"/>
      <c r="H239" s="1"/>
    </row>
    <row r="240" spans="1:8" ht="13.8">
      <c r="A240" s="1"/>
      <c r="D240" s="1"/>
      <c r="H240" s="1"/>
    </row>
    <row r="241" spans="1:8" ht="13.8">
      <c r="A241" s="1"/>
      <c r="D241" s="1"/>
      <c r="H241" s="1"/>
    </row>
    <row r="242" spans="1:8" ht="13.8">
      <c r="A242" s="1"/>
      <c r="D242" s="1"/>
      <c r="H242" s="1"/>
    </row>
    <row r="243" spans="1:8" ht="13.8">
      <c r="A243" s="1"/>
      <c r="D243" s="1"/>
      <c r="H243" s="1"/>
    </row>
    <row r="244" spans="1:8" ht="13.8">
      <c r="A244" s="1"/>
      <c r="D244" s="1"/>
      <c r="H244" s="1"/>
    </row>
    <row r="245" spans="1:8" ht="13.8">
      <c r="A245" s="1"/>
      <c r="D245" s="1"/>
      <c r="H245" s="1"/>
    </row>
    <row r="246" spans="1:8" ht="13.8">
      <c r="A246" s="1"/>
      <c r="D246" s="1"/>
      <c r="H246" s="1"/>
    </row>
    <row r="247" spans="1:8" ht="13.8">
      <c r="A247" s="1"/>
      <c r="D247" s="1"/>
      <c r="H247" s="1"/>
    </row>
    <row r="248" spans="1:8" ht="13.8">
      <c r="A248" s="1"/>
      <c r="D248" s="1"/>
      <c r="H248" s="1"/>
    </row>
    <row r="249" spans="1:8" ht="13.8">
      <c r="A249" s="1"/>
      <c r="D249" s="1"/>
      <c r="H249" s="1"/>
    </row>
    <row r="250" spans="1:8" ht="13.8">
      <c r="A250" s="1"/>
      <c r="D250" s="1"/>
      <c r="H250" s="1"/>
    </row>
    <row r="251" spans="1:8" ht="13.8">
      <c r="A251" s="1"/>
      <c r="D251" s="1"/>
      <c r="H251" s="1"/>
    </row>
    <row r="252" spans="1:8" ht="13.8">
      <c r="A252" s="1"/>
      <c r="D252" s="1"/>
      <c r="H252" s="1"/>
    </row>
    <row r="253" spans="1:8" ht="13.8">
      <c r="A253" s="1"/>
      <c r="D253" s="1"/>
      <c r="H253" s="1"/>
    </row>
    <row r="254" spans="1:8" ht="13.8">
      <c r="A254" s="1"/>
      <c r="D254" s="1"/>
      <c r="H254" s="1"/>
    </row>
    <row r="255" spans="1:8" ht="13.8">
      <c r="A255" s="1"/>
      <c r="D255" s="1"/>
      <c r="H255" s="1"/>
    </row>
    <row r="256" spans="1:8" ht="13.8">
      <c r="A256" s="1"/>
      <c r="D256" s="1"/>
      <c r="H256" s="1"/>
    </row>
    <row r="257" spans="1:8" ht="13.8">
      <c r="A257" s="1"/>
      <c r="D257" s="1"/>
      <c r="H257" s="1"/>
    </row>
    <row r="258" spans="1:8" ht="13.8">
      <c r="A258" s="1"/>
      <c r="D258" s="1"/>
      <c r="H258" s="1"/>
    </row>
    <row r="259" spans="1:8" ht="13.8">
      <c r="A259" s="1"/>
      <c r="D259" s="1"/>
      <c r="H259" s="1"/>
    </row>
    <row r="260" spans="1:8" ht="13.8">
      <c r="A260" s="1"/>
      <c r="D260" s="1"/>
      <c r="H260" s="1"/>
    </row>
    <row r="261" spans="1:8" ht="13.8">
      <c r="A261" s="1"/>
      <c r="D261" s="1"/>
      <c r="H261" s="1"/>
    </row>
    <row r="262" spans="1:8" ht="13.8">
      <c r="A262" s="1"/>
      <c r="D262" s="1"/>
      <c r="H262" s="1"/>
    </row>
    <row r="263" spans="1:8" ht="13.8">
      <c r="A263" s="1"/>
      <c r="D263" s="1"/>
      <c r="H263" s="1"/>
    </row>
    <row r="264" spans="1:8" ht="13.8">
      <c r="A264" s="1"/>
      <c r="D264" s="1"/>
      <c r="H264" s="1"/>
    </row>
    <row r="265" spans="1:8" ht="13.8">
      <c r="A265" s="1"/>
      <c r="D265" s="1"/>
      <c r="H265" s="1"/>
    </row>
    <row r="266" spans="1:8" ht="13.8">
      <c r="A266" s="1"/>
      <c r="D266" s="1"/>
      <c r="H266" s="1"/>
    </row>
    <row r="267" spans="1:8" ht="13.8">
      <c r="A267" s="1"/>
      <c r="D267" s="1"/>
      <c r="H267" s="1"/>
    </row>
    <row r="268" spans="1:8" ht="13.8">
      <c r="A268" s="1"/>
      <c r="D268" s="1"/>
      <c r="H268" s="1"/>
    </row>
    <row r="269" spans="1:8" ht="13.8">
      <c r="A269" s="1"/>
      <c r="D269" s="1"/>
      <c r="H269" s="1"/>
    </row>
    <row r="270" spans="1:8" ht="13.8">
      <c r="A270" s="1"/>
      <c r="D270" s="1"/>
      <c r="H270" s="1"/>
    </row>
    <row r="271" spans="1:8" ht="13.8">
      <c r="A271" s="1"/>
      <c r="D271" s="1"/>
      <c r="H271" s="1"/>
    </row>
    <row r="272" spans="1:8" ht="13.8">
      <c r="A272" s="1"/>
      <c r="D272" s="1"/>
      <c r="H272" s="1"/>
    </row>
    <row r="273" spans="1:8" ht="13.8">
      <c r="A273" s="1"/>
      <c r="D273" s="1"/>
      <c r="H273" s="1"/>
    </row>
    <row r="274" spans="1:8" ht="13.8">
      <c r="A274" s="1"/>
      <c r="D274" s="1"/>
      <c r="H274" s="1"/>
    </row>
    <row r="275" spans="1:8" ht="13.8">
      <c r="A275" s="1"/>
      <c r="D275" s="1"/>
      <c r="H275" s="1"/>
    </row>
    <row r="276" spans="1:8" ht="13.8">
      <c r="A276" s="1"/>
      <c r="D276" s="1"/>
      <c r="H276" s="1"/>
    </row>
    <row r="277" spans="1:8" ht="13.8">
      <c r="A277" s="1"/>
      <c r="D277" s="1"/>
      <c r="H277" s="1"/>
    </row>
    <row r="278" spans="1:8" ht="13.8">
      <c r="A278" s="1"/>
      <c r="D278" s="1"/>
      <c r="H278" s="1"/>
    </row>
    <row r="279" spans="1:8" ht="13.8">
      <c r="A279" s="1"/>
      <c r="D279" s="1"/>
      <c r="H279" s="1"/>
    </row>
    <row r="280" spans="1:8" ht="13.8">
      <c r="A280" s="1"/>
      <c r="D280" s="1"/>
      <c r="H280" s="1"/>
    </row>
    <row r="281" spans="1:8" ht="13.8">
      <c r="A281" s="1"/>
      <c r="D281" s="1"/>
      <c r="H281" s="1"/>
    </row>
    <row r="282" spans="1:8" ht="13.8">
      <c r="A282" s="1"/>
      <c r="D282" s="1"/>
      <c r="H282" s="1"/>
    </row>
    <row r="283" spans="1:8" ht="13.8">
      <c r="A283" s="1"/>
      <c r="D283" s="1"/>
      <c r="H283" s="1"/>
    </row>
    <row r="284" spans="1:8" ht="13.8">
      <c r="A284" s="1"/>
      <c r="D284" s="1"/>
      <c r="H284" s="1"/>
    </row>
    <row r="285" spans="1:8" ht="13.8">
      <c r="A285" s="1"/>
      <c r="D285" s="1"/>
      <c r="H285" s="1"/>
    </row>
    <row r="286" spans="1:8" ht="13.8">
      <c r="A286" s="1"/>
      <c r="D286" s="1"/>
      <c r="H286" s="1"/>
    </row>
    <row r="287" spans="1:8" ht="13.8">
      <c r="A287" s="1"/>
      <c r="D287" s="1"/>
      <c r="H287" s="1"/>
    </row>
    <row r="288" spans="1:8" ht="13.8">
      <c r="A288" s="1"/>
      <c r="D288" s="1"/>
      <c r="H288" s="1"/>
    </row>
    <row r="289" spans="1:8" ht="13.8">
      <c r="A289" s="1"/>
      <c r="D289" s="1"/>
      <c r="H289" s="1"/>
    </row>
    <row r="290" spans="1:8" ht="13.8">
      <c r="A290" s="1"/>
      <c r="D290" s="1"/>
      <c r="H290" s="1"/>
    </row>
    <row r="291" spans="1:8" ht="13.8">
      <c r="A291" s="1"/>
      <c r="D291" s="1"/>
      <c r="H291" s="1"/>
    </row>
    <row r="292" spans="1:8" ht="13.8">
      <c r="A292" s="1"/>
      <c r="D292" s="1"/>
      <c r="H292" s="1"/>
    </row>
    <row r="293" spans="1:8" ht="13.8">
      <c r="A293" s="1"/>
      <c r="D293" s="1"/>
      <c r="H293" s="1"/>
    </row>
    <row r="294" spans="1:8" ht="13.8">
      <c r="A294" s="1"/>
      <c r="D294" s="1"/>
      <c r="H294" s="1"/>
    </row>
    <row r="295" spans="1:8" ht="13.8">
      <c r="A295" s="1"/>
      <c r="D295" s="1"/>
      <c r="H295" s="1"/>
    </row>
    <row r="296" spans="1:8" ht="13.8">
      <c r="A296" s="1"/>
      <c r="D296" s="1"/>
      <c r="H296" s="1"/>
    </row>
    <row r="297" spans="1:8" ht="13.8">
      <c r="A297" s="1"/>
      <c r="D297" s="1"/>
      <c r="H297" s="1"/>
    </row>
    <row r="298" spans="1:8" ht="13.8">
      <c r="A298" s="1"/>
      <c r="D298" s="1"/>
      <c r="H298" s="1"/>
    </row>
    <row r="299" spans="1:8" ht="13.8">
      <c r="A299" s="1"/>
      <c r="D299" s="1"/>
      <c r="H299" s="1"/>
    </row>
    <row r="300" spans="1:8" ht="13.8">
      <c r="A300" s="1"/>
      <c r="D300" s="1"/>
      <c r="H300" s="1"/>
    </row>
    <row r="301" spans="1:8" ht="13.8">
      <c r="A301" s="1"/>
      <c r="D301" s="1"/>
      <c r="H301" s="1"/>
    </row>
    <row r="302" spans="1:8" ht="13.8">
      <c r="A302" s="1"/>
      <c r="D302" s="1"/>
      <c r="H302" s="1"/>
    </row>
    <row r="303" spans="1:8" ht="13.8">
      <c r="A303" s="1"/>
      <c r="D303" s="1"/>
      <c r="H303" s="1"/>
    </row>
    <row r="304" spans="1:8" ht="13.8">
      <c r="A304" s="1"/>
      <c r="D304" s="1"/>
      <c r="H304" s="1"/>
    </row>
    <row r="305" spans="1:8" ht="13.8">
      <c r="A305" s="1"/>
      <c r="D305" s="1"/>
      <c r="H305" s="1"/>
    </row>
    <row r="306" spans="1:8" ht="13.8">
      <c r="A306" s="1"/>
      <c r="D306" s="1"/>
      <c r="H306" s="1"/>
    </row>
    <row r="307" spans="1:8" ht="13.8">
      <c r="A307" s="1"/>
      <c r="D307" s="1"/>
      <c r="H307" s="1"/>
    </row>
    <row r="308" spans="1:8" ht="13.8">
      <c r="A308" s="1"/>
      <c r="D308" s="1"/>
      <c r="H308" s="1"/>
    </row>
    <row r="309" spans="1:8" ht="13.8">
      <c r="A309" s="1"/>
      <c r="D309" s="1"/>
      <c r="H309" s="1"/>
    </row>
    <row r="310" spans="1:8" ht="13.8">
      <c r="A310" s="1"/>
      <c r="D310" s="1"/>
      <c r="H310" s="1"/>
    </row>
    <row r="311" spans="1:8" ht="13.8">
      <c r="A311" s="1"/>
      <c r="D311" s="1"/>
      <c r="H311" s="1"/>
    </row>
    <row r="312" spans="1:8" ht="13.8">
      <c r="A312" s="1"/>
      <c r="D312" s="1"/>
      <c r="H312" s="1"/>
    </row>
    <row r="313" spans="1:8" ht="13.8">
      <c r="A313" s="1"/>
      <c r="D313" s="1"/>
      <c r="H313" s="1"/>
    </row>
    <row r="314" spans="1:8" ht="13.8">
      <c r="A314" s="1"/>
      <c r="D314" s="1"/>
      <c r="H314" s="1"/>
    </row>
    <row r="315" spans="1:8" ht="13.8">
      <c r="A315" s="1"/>
      <c r="D315" s="1"/>
      <c r="H315" s="1"/>
    </row>
    <row r="316" spans="1:8" ht="13.8">
      <c r="A316" s="1"/>
      <c r="D316" s="1"/>
      <c r="H316" s="1"/>
    </row>
    <row r="317" spans="1:8" ht="13.8">
      <c r="A317" s="1"/>
      <c r="D317" s="1"/>
      <c r="H317" s="1"/>
    </row>
    <row r="318" spans="1:8" ht="13.8">
      <c r="A318" s="1"/>
      <c r="D318" s="1"/>
      <c r="H318" s="1"/>
    </row>
    <row r="319" spans="1:8" ht="13.8">
      <c r="A319" s="1"/>
      <c r="D319" s="1"/>
      <c r="H319" s="1"/>
    </row>
    <row r="320" spans="1:8" ht="13.8">
      <c r="A320" s="1"/>
      <c r="D320" s="1"/>
      <c r="H320" s="1"/>
    </row>
    <row r="321" spans="1:8" ht="13.8">
      <c r="A321" s="1"/>
      <c r="D321" s="1"/>
      <c r="H321" s="1"/>
    </row>
    <row r="322" spans="1:8" ht="13.8">
      <c r="A322" s="1"/>
      <c r="D322" s="1"/>
      <c r="H322" s="1"/>
    </row>
    <row r="323" spans="1:8" ht="13.8">
      <c r="A323" s="1"/>
      <c r="D323" s="1"/>
      <c r="H323" s="1"/>
    </row>
    <row r="324" spans="1:8" ht="13.8">
      <c r="A324" s="1"/>
      <c r="D324" s="1"/>
      <c r="H324" s="1"/>
    </row>
    <row r="325" spans="1:8" ht="13.8">
      <c r="A325" s="1"/>
      <c r="D325" s="1"/>
      <c r="H325" s="1"/>
    </row>
    <row r="326" spans="1:8" ht="13.8">
      <c r="A326" s="1"/>
      <c r="D326" s="1"/>
      <c r="H326" s="1"/>
    </row>
    <row r="327" spans="1:8" ht="13.8">
      <c r="A327" s="1"/>
      <c r="D327" s="1"/>
      <c r="H327" s="1"/>
    </row>
    <row r="328" spans="1:8" ht="13.8">
      <c r="A328" s="1"/>
      <c r="D328" s="1"/>
      <c r="H328" s="1"/>
    </row>
    <row r="329" spans="1:8" ht="13.8">
      <c r="A329" s="1"/>
      <c r="D329" s="1"/>
      <c r="H329" s="1"/>
    </row>
    <row r="330" spans="1:8" ht="13.8">
      <c r="A330" s="1"/>
      <c r="D330" s="1"/>
      <c r="H330" s="1"/>
    </row>
    <row r="331" spans="1:8" ht="13.8">
      <c r="A331" s="1"/>
      <c r="D331" s="1"/>
      <c r="H331" s="1"/>
    </row>
    <row r="332" spans="1:8" ht="13.8">
      <c r="A332" s="1"/>
      <c r="D332" s="1"/>
      <c r="H332" s="1"/>
    </row>
    <row r="333" spans="1:8" ht="13.8">
      <c r="A333" s="1"/>
      <c r="D333" s="1"/>
      <c r="H333" s="1"/>
    </row>
    <row r="334" spans="1:8" ht="13.8">
      <c r="A334" s="1"/>
      <c r="D334" s="1"/>
      <c r="H334" s="1"/>
    </row>
    <row r="335" spans="1:8" ht="13.8">
      <c r="A335" s="1"/>
      <c r="D335" s="1"/>
      <c r="H335" s="1"/>
    </row>
    <row r="336" spans="1:8" ht="13.8">
      <c r="A336" s="1"/>
      <c r="D336" s="1"/>
      <c r="H336" s="1"/>
    </row>
    <row r="337" spans="1:8" ht="13.8">
      <c r="A337" s="1"/>
      <c r="D337" s="1"/>
      <c r="H337" s="1"/>
    </row>
    <row r="338" spans="1:8" ht="13.8">
      <c r="A338" s="1"/>
      <c r="D338" s="1"/>
      <c r="H338" s="1"/>
    </row>
    <row r="339" spans="1:8" ht="13.8">
      <c r="A339" s="1"/>
      <c r="D339" s="1"/>
      <c r="H339" s="1"/>
    </row>
    <row r="340" spans="1:8" ht="13.8">
      <c r="A340" s="1"/>
      <c r="D340" s="1"/>
      <c r="H340" s="1"/>
    </row>
    <row r="341" spans="1:8" ht="13.8">
      <c r="A341" s="1"/>
      <c r="D341" s="1"/>
      <c r="H341" s="1"/>
    </row>
    <row r="342" spans="1:8" ht="13.8">
      <c r="A342" s="1"/>
      <c r="D342" s="1"/>
      <c r="H342" s="1"/>
    </row>
    <row r="343" spans="1:8" ht="13.8">
      <c r="A343" s="1"/>
      <c r="D343" s="1"/>
      <c r="H343" s="1"/>
    </row>
    <row r="344" spans="1:8" ht="13.8">
      <c r="A344" s="1"/>
      <c r="D344" s="1"/>
      <c r="H344" s="1"/>
    </row>
    <row r="345" spans="1:8" ht="13.8">
      <c r="A345" s="1"/>
      <c r="D345" s="1"/>
      <c r="H345" s="1"/>
    </row>
    <row r="346" spans="1:8" ht="13.8">
      <c r="A346" s="1"/>
      <c r="D346" s="1"/>
      <c r="H346" s="1"/>
    </row>
    <row r="347" spans="1:8" ht="13.8">
      <c r="A347" s="1"/>
      <c r="D347" s="1"/>
      <c r="H347" s="1"/>
    </row>
    <row r="348" spans="1:8" ht="13.8">
      <c r="A348" s="1"/>
      <c r="D348" s="1"/>
      <c r="H348" s="1"/>
    </row>
    <row r="349" spans="1:8" ht="13.8">
      <c r="A349" s="1"/>
      <c r="D349" s="1"/>
      <c r="H349" s="1"/>
    </row>
    <row r="350" spans="1:8" ht="13.8">
      <c r="A350" s="1"/>
      <c r="D350" s="1"/>
      <c r="H350" s="1"/>
    </row>
    <row r="351" spans="1:8" ht="13.8">
      <c r="A351" s="1"/>
      <c r="D351" s="1"/>
      <c r="H351" s="1"/>
    </row>
    <row r="352" spans="1:8" ht="13.8">
      <c r="A352" s="1"/>
      <c r="D352" s="1"/>
      <c r="H352" s="1"/>
    </row>
    <row r="353" spans="1:8" ht="13.8">
      <c r="A353" s="1"/>
      <c r="D353" s="1"/>
      <c r="H353" s="1"/>
    </row>
    <row r="354" spans="1:8" ht="13.8">
      <c r="A354" s="1"/>
      <c r="D354" s="1"/>
      <c r="H354" s="1"/>
    </row>
    <row r="355" spans="1:8" ht="13.8">
      <c r="A355" s="1"/>
      <c r="D355" s="1"/>
      <c r="H355" s="1"/>
    </row>
    <row r="356" spans="1:8" ht="13.8">
      <c r="A356" s="1"/>
      <c r="D356" s="1"/>
      <c r="H356" s="1"/>
    </row>
    <row r="357" spans="1:8" ht="13.8">
      <c r="A357" s="1"/>
      <c r="D357" s="1"/>
      <c r="H357" s="1"/>
    </row>
    <row r="358" spans="1:8" ht="13.8">
      <c r="A358" s="1"/>
      <c r="D358" s="1"/>
      <c r="H358" s="1"/>
    </row>
    <row r="359" spans="1:8" ht="13.8">
      <c r="A359" s="1"/>
      <c r="D359" s="1"/>
      <c r="H359" s="1"/>
    </row>
    <row r="360" spans="1:8" ht="13.8">
      <c r="A360" s="1"/>
      <c r="D360" s="1"/>
      <c r="H360" s="1"/>
    </row>
    <row r="361" spans="1:8" ht="13.8">
      <c r="A361" s="1"/>
      <c r="D361" s="1"/>
      <c r="H361" s="1"/>
    </row>
    <row r="362" spans="1:8" ht="13.8">
      <c r="A362" s="1"/>
      <c r="D362" s="1"/>
      <c r="H362" s="1"/>
    </row>
    <row r="363" spans="1:8" ht="13.8">
      <c r="A363" s="1"/>
      <c r="D363" s="1"/>
      <c r="H363" s="1"/>
    </row>
    <row r="364" spans="1:8" ht="13.8">
      <c r="A364" s="1"/>
      <c r="D364" s="1"/>
      <c r="H364" s="1"/>
    </row>
    <row r="365" spans="1:8" ht="13.8">
      <c r="A365" s="1"/>
      <c r="D365" s="1"/>
      <c r="H365" s="1"/>
    </row>
    <row r="366" spans="1:8" ht="13.8">
      <c r="A366" s="1"/>
      <c r="D366" s="1"/>
      <c r="H366" s="1"/>
    </row>
    <row r="367" spans="1:8" ht="13.8">
      <c r="A367" s="1"/>
      <c r="D367" s="1"/>
      <c r="H367" s="1"/>
    </row>
    <row r="368" spans="1:8" ht="13.8">
      <c r="A368" s="1"/>
      <c r="D368" s="1"/>
      <c r="H368" s="1"/>
    </row>
    <row r="369" spans="1:8" ht="13.8">
      <c r="A369" s="1"/>
      <c r="D369" s="1"/>
      <c r="H369" s="1"/>
    </row>
    <row r="370" spans="1:8" ht="13.8">
      <c r="A370" s="1"/>
      <c r="D370" s="1"/>
      <c r="H370" s="1"/>
    </row>
    <row r="371" spans="1:8" ht="13.8">
      <c r="A371" s="1"/>
      <c r="D371" s="1"/>
      <c r="H371" s="1"/>
    </row>
    <row r="372" spans="1:8" ht="13.8">
      <c r="A372" s="1"/>
      <c r="D372" s="1"/>
      <c r="H372" s="1"/>
    </row>
    <row r="373" spans="1:8" ht="13.8">
      <c r="A373" s="1"/>
      <c r="D373" s="1"/>
      <c r="H373" s="1"/>
    </row>
    <row r="374" spans="1:8" ht="13.8">
      <c r="A374" s="1"/>
      <c r="D374" s="1"/>
      <c r="H374" s="1"/>
    </row>
    <row r="375" spans="1:8" ht="13.8">
      <c r="A375" s="1"/>
      <c r="D375" s="1"/>
      <c r="H375" s="1"/>
    </row>
    <row r="376" spans="1:8" ht="13.8">
      <c r="A376" s="1"/>
      <c r="D376" s="1"/>
      <c r="H376" s="1"/>
    </row>
    <row r="377" spans="1:8" ht="13.8">
      <c r="A377" s="1"/>
      <c r="D377" s="1"/>
      <c r="H377" s="1"/>
    </row>
    <row r="378" spans="1:8" ht="13.8">
      <c r="A378" s="1"/>
      <c r="D378" s="1"/>
      <c r="H378" s="1"/>
    </row>
    <row r="379" spans="1:8" ht="13.8">
      <c r="A379" s="1"/>
      <c r="D379" s="1"/>
      <c r="H379" s="1"/>
    </row>
    <row r="380" spans="1:8" ht="13.8">
      <c r="A380" s="1"/>
      <c r="D380" s="1"/>
      <c r="H380" s="1"/>
    </row>
    <row r="381" spans="1:8" ht="13.8">
      <c r="A381" s="1"/>
      <c r="D381" s="1"/>
      <c r="H381" s="1"/>
    </row>
    <row r="382" spans="1:8" ht="13.8">
      <c r="A382" s="1"/>
      <c r="D382" s="1"/>
      <c r="H382" s="1"/>
    </row>
    <row r="383" spans="1:8" ht="13.8">
      <c r="A383" s="1"/>
      <c r="D383" s="1"/>
      <c r="H383" s="1"/>
    </row>
    <row r="384" spans="1:8" ht="13.8">
      <c r="A384" s="1"/>
      <c r="D384" s="1"/>
      <c r="H384" s="1"/>
    </row>
    <row r="385" spans="1:8" ht="13.8">
      <c r="A385" s="1"/>
      <c r="D385" s="1"/>
      <c r="H385" s="1"/>
    </row>
    <row r="386" spans="1:8" ht="13.8">
      <c r="A386" s="1"/>
      <c r="D386" s="1"/>
      <c r="H386" s="1"/>
    </row>
    <row r="387" spans="1:8" ht="13.8">
      <c r="A387" s="1"/>
      <c r="D387" s="1"/>
      <c r="H387" s="1"/>
    </row>
    <row r="388" spans="1:8" ht="13.8">
      <c r="A388" s="1"/>
      <c r="D388" s="1"/>
      <c r="H388" s="1"/>
    </row>
    <row r="389" spans="1:8" ht="13.8">
      <c r="A389" s="1"/>
      <c r="D389" s="1"/>
      <c r="H389" s="1"/>
    </row>
    <row r="390" spans="1:8" ht="13.8">
      <c r="A390" s="1"/>
      <c r="D390" s="1"/>
      <c r="H390" s="1"/>
    </row>
    <row r="391" spans="1:8" ht="13.8">
      <c r="A391" s="1"/>
      <c r="D391" s="1"/>
      <c r="H391" s="1"/>
    </row>
    <row r="392" spans="1:8" ht="13.8">
      <c r="A392" s="1"/>
      <c r="D392" s="1"/>
      <c r="H392" s="1"/>
    </row>
    <row r="393" spans="1:8" ht="13.8">
      <c r="A393" s="1"/>
      <c r="D393" s="1"/>
      <c r="H393" s="1"/>
    </row>
    <row r="394" spans="1:8" ht="13.8">
      <c r="A394" s="1"/>
      <c r="D394" s="1"/>
      <c r="H394" s="1"/>
    </row>
    <row r="395" spans="1:8" ht="13.8">
      <c r="A395" s="1"/>
      <c r="D395" s="1"/>
      <c r="H395" s="1"/>
    </row>
    <row r="396" spans="1:8" ht="13.8">
      <c r="A396" s="1"/>
      <c r="D396" s="1"/>
      <c r="H396" s="1"/>
    </row>
    <row r="397" spans="1:8" ht="13.8">
      <c r="A397" s="1"/>
      <c r="D397" s="1"/>
      <c r="H397" s="1"/>
    </row>
    <row r="398" spans="1:8" ht="13.8">
      <c r="A398" s="1"/>
      <c r="D398" s="1"/>
      <c r="H398" s="1"/>
    </row>
    <row r="399" spans="1:8" ht="13.8">
      <c r="A399" s="1"/>
      <c r="D399" s="1"/>
      <c r="H399" s="1"/>
    </row>
    <row r="400" spans="1:8" ht="13.8">
      <c r="A400" s="1"/>
      <c r="D400" s="1"/>
      <c r="H400" s="1"/>
    </row>
    <row r="401" spans="1:8" ht="13.8">
      <c r="A401" s="1"/>
      <c r="D401" s="1"/>
      <c r="H401" s="1"/>
    </row>
    <row r="402" spans="1:8" ht="13.8">
      <c r="A402" s="1"/>
      <c r="D402" s="1"/>
      <c r="H402" s="1"/>
    </row>
    <row r="403" spans="1:8" ht="13.8">
      <c r="A403" s="1"/>
      <c r="D403" s="1"/>
      <c r="H403" s="1"/>
    </row>
    <row r="404" spans="1:8" ht="13.8">
      <c r="A404" s="1"/>
      <c r="D404" s="1"/>
      <c r="H404" s="1"/>
    </row>
    <row r="405" spans="1:8" ht="13.8">
      <c r="A405" s="1"/>
      <c r="D405" s="1"/>
      <c r="H405" s="1"/>
    </row>
    <row r="406" spans="1:8" ht="13.8">
      <c r="A406" s="1"/>
      <c r="D406" s="1"/>
      <c r="H406" s="1"/>
    </row>
    <row r="407" spans="1:8" ht="13.8">
      <c r="A407" s="1"/>
      <c r="D407" s="1"/>
      <c r="H407" s="1"/>
    </row>
    <row r="408" spans="1:8" ht="13.8">
      <c r="A408" s="1"/>
      <c r="D408" s="1"/>
      <c r="H408" s="1"/>
    </row>
    <row r="409" spans="1:8" ht="13.8">
      <c r="A409" s="1"/>
      <c r="D409" s="1"/>
      <c r="H409" s="1"/>
    </row>
    <row r="410" spans="1:8" ht="13.8">
      <c r="A410" s="1"/>
      <c r="D410" s="1"/>
      <c r="H410" s="1"/>
    </row>
    <row r="411" spans="1:8" ht="13.8">
      <c r="A411" s="1"/>
      <c r="D411" s="1"/>
      <c r="H411" s="1"/>
    </row>
    <row r="412" spans="1:8" ht="13.8">
      <c r="A412" s="1"/>
      <c r="D412" s="1"/>
      <c r="H412" s="1"/>
    </row>
    <row r="413" spans="1:8" ht="13.8">
      <c r="A413" s="1"/>
      <c r="D413" s="1"/>
      <c r="H413" s="1"/>
    </row>
    <row r="414" spans="1:8" ht="13.8">
      <c r="A414" s="1"/>
      <c r="D414" s="1"/>
      <c r="H414" s="1"/>
    </row>
    <row r="415" spans="1:8" ht="13.8">
      <c r="A415" s="1"/>
      <c r="D415" s="1"/>
      <c r="H415" s="1"/>
    </row>
    <row r="416" spans="1:8" ht="13.8">
      <c r="A416" s="1"/>
      <c r="D416" s="1"/>
      <c r="H416" s="1"/>
    </row>
    <row r="417" spans="1:8" ht="13.8">
      <c r="A417" s="1"/>
      <c r="D417" s="1"/>
      <c r="H417" s="1"/>
    </row>
    <row r="418" spans="1:8" ht="13.8">
      <c r="A418" s="1"/>
      <c r="D418" s="1"/>
      <c r="H418" s="1"/>
    </row>
    <row r="419" spans="1:8" ht="13.8">
      <c r="A419" s="1"/>
      <c r="D419" s="1"/>
      <c r="H419" s="1"/>
    </row>
    <row r="420" spans="1:8" ht="13.8">
      <c r="A420" s="1"/>
      <c r="D420" s="1"/>
      <c r="H420" s="1"/>
    </row>
    <row r="421" spans="1:8" ht="13.8">
      <c r="A421" s="1"/>
      <c r="D421" s="1"/>
      <c r="H421" s="1"/>
    </row>
    <row r="422" spans="1:8" ht="13.8">
      <c r="A422" s="1"/>
      <c r="D422" s="1"/>
      <c r="H422" s="1"/>
    </row>
    <row r="423" spans="1:8" ht="13.8">
      <c r="A423" s="1"/>
      <c r="D423" s="1"/>
      <c r="H423" s="1"/>
    </row>
    <row r="424" spans="1:8" ht="13.8">
      <c r="A424" s="1"/>
      <c r="D424" s="1"/>
      <c r="H424" s="1"/>
    </row>
    <row r="425" spans="1:8" ht="13.8">
      <c r="A425" s="1"/>
      <c r="D425" s="1"/>
      <c r="H425" s="1"/>
    </row>
    <row r="426" spans="1:8" ht="13.8">
      <c r="A426" s="1"/>
      <c r="D426" s="1"/>
      <c r="H426" s="1"/>
    </row>
    <row r="427" spans="1:8" ht="13.8">
      <c r="A427" s="1"/>
      <c r="D427" s="1"/>
      <c r="H427" s="1"/>
    </row>
    <row r="428" spans="1:8" ht="13.8">
      <c r="A428" s="1"/>
      <c r="D428" s="1"/>
      <c r="H428" s="1"/>
    </row>
    <row r="429" spans="1:8" ht="13.8">
      <c r="A429" s="1"/>
      <c r="D429" s="1"/>
      <c r="H429" s="1"/>
    </row>
    <row r="430" spans="1:8" ht="13.8">
      <c r="A430" s="1"/>
      <c r="D430" s="1"/>
      <c r="H430" s="1"/>
    </row>
    <row r="431" spans="1:8" ht="13.8">
      <c r="A431" s="1"/>
      <c r="D431" s="1"/>
      <c r="H431" s="1"/>
    </row>
    <row r="432" spans="1:8" ht="13.8">
      <c r="A432" s="1"/>
      <c r="D432" s="1"/>
      <c r="H432" s="1"/>
    </row>
    <row r="433" spans="1:8" ht="13.8">
      <c r="A433" s="1"/>
      <c r="D433" s="1"/>
      <c r="H433" s="1"/>
    </row>
    <row r="434" spans="1:8" ht="13.8">
      <c r="A434" s="1"/>
      <c r="D434" s="1"/>
      <c r="H434" s="1"/>
    </row>
    <row r="435" spans="1:8" ht="13.8">
      <c r="A435" s="1"/>
      <c r="D435" s="1"/>
      <c r="H435" s="1"/>
    </row>
    <row r="436" spans="1:8" ht="13.8">
      <c r="A436" s="1"/>
      <c r="D436" s="1"/>
      <c r="H436" s="1"/>
    </row>
    <row r="437" spans="1:8" ht="13.8">
      <c r="A437" s="1"/>
      <c r="D437" s="1"/>
      <c r="H437" s="1"/>
    </row>
    <row r="438" spans="1:8" ht="13.8">
      <c r="A438" s="1"/>
      <c r="D438" s="1"/>
      <c r="H438" s="1"/>
    </row>
    <row r="439" spans="1:8" ht="13.8">
      <c r="A439" s="1"/>
      <c r="D439" s="1"/>
      <c r="H439" s="1"/>
    </row>
    <row r="440" spans="1:8" ht="13.8">
      <c r="A440" s="1"/>
      <c r="D440" s="1"/>
      <c r="H440" s="1"/>
    </row>
    <row r="441" spans="1:8" ht="13.8">
      <c r="A441" s="1"/>
      <c r="D441" s="1"/>
      <c r="H441" s="1"/>
    </row>
    <row r="442" spans="1:8" ht="13.8">
      <c r="A442" s="1"/>
      <c r="D442" s="1"/>
      <c r="H442" s="1"/>
    </row>
    <row r="443" spans="1:8" ht="13.8">
      <c r="A443" s="1"/>
      <c r="D443" s="1"/>
      <c r="H443" s="1"/>
    </row>
    <row r="444" spans="1:8" ht="13.8">
      <c r="A444" s="1"/>
      <c r="D444" s="1"/>
      <c r="H444" s="1"/>
    </row>
    <row r="445" spans="1:8" ht="13.8">
      <c r="A445" s="1"/>
      <c r="D445" s="1"/>
      <c r="H445" s="1"/>
    </row>
    <row r="446" spans="1:8" ht="13.8">
      <c r="A446" s="1"/>
      <c r="D446" s="1"/>
      <c r="H446" s="1"/>
    </row>
    <row r="447" spans="1:8" ht="13.8">
      <c r="A447" s="1"/>
      <c r="D447" s="1"/>
      <c r="H447" s="1"/>
    </row>
    <row r="448" spans="1:8" ht="13.8">
      <c r="A448" s="1"/>
      <c r="D448" s="1"/>
      <c r="H448" s="1"/>
    </row>
    <row r="449" spans="1:8" ht="13.8">
      <c r="A449" s="1"/>
      <c r="D449" s="1"/>
      <c r="H449" s="1"/>
    </row>
    <row r="450" spans="1:8" ht="13.8">
      <c r="A450" s="1"/>
      <c r="D450" s="1"/>
      <c r="H450" s="1"/>
    </row>
    <row r="451" spans="1:8" ht="13.8">
      <c r="A451" s="1"/>
      <c r="D451" s="1"/>
      <c r="H451" s="1"/>
    </row>
    <row r="452" spans="1:8" ht="13.8">
      <c r="A452" s="1"/>
      <c r="D452" s="1"/>
      <c r="H452" s="1"/>
    </row>
    <row r="453" spans="1:8" ht="13.8">
      <c r="A453" s="1"/>
      <c r="D453" s="1"/>
      <c r="H453" s="1"/>
    </row>
    <row r="454" spans="1:8" ht="13.8">
      <c r="A454" s="1"/>
      <c r="D454" s="1"/>
      <c r="H454" s="1"/>
    </row>
    <row r="455" spans="1:8" ht="13.8">
      <c r="A455" s="1"/>
      <c r="D455" s="1"/>
      <c r="H455" s="1"/>
    </row>
    <row r="456" spans="1:8" ht="13.8">
      <c r="A456" s="1"/>
      <c r="D456" s="1"/>
      <c r="H456" s="1"/>
    </row>
    <row r="457" spans="1:8" ht="13.8">
      <c r="A457" s="1"/>
      <c r="D457" s="1"/>
      <c r="H457" s="1"/>
    </row>
    <row r="458" spans="1:8" ht="13.8">
      <c r="A458" s="1"/>
      <c r="D458" s="1"/>
      <c r="H458" s="1"/>
    </row>
    <row r="459" spans="1:8" ht="13.8">
      <c r="A459" s="1"/>
      <c r="D459" s="1"/>
      <c r="H459" s="1"/>
    </row>
    <row r="460" spans="1:8" ht="13.8">
      <c r="A460" s="1"/>
      <c r="D460" s="1"/>
      <c r="H460" s="1"/>
    </row>
    <row r="461" spans="1:8" ht="13.8">
      <c r="A461" s="1"/>
      <c r="D461" s="1"/>
      <c r="H461" s="1"/>
    </row>
    <row r="462" spans="1:8" ht="13.8">
      <c r="A462" s="1"/>
      <c r="D462" s="1"/>
      <c r="H462" s="1"/>
    </row>
    <row r="463" spans="1:8" ht="13.8">
      <c r="A463" s="1"/>
      <c r="D463" s="1"/>
      <c r="H463" s="1"/>
    </row>
    <row r="464" spans="1:8" ht="13.8">
      <c r="A464" s="1"/>
      <c r="D464" s="1"/>
      <c r="H464" s="1"/>
    </row>
    <row r="465" spans="1:8" ht="13.8">
      <c r="A465" s="1"/>
      <c r="D465" s="1"/>
      <c r="H465" s="1"/>
    </row>
    <row r="466" spans="1:8" ht="13.8">
      <c r="A466" s="1"/>
      <c r="D466" s="1"/>
      <c r="H466" s="1"/>
    </row>
    <row r="467" spans="1:8" ht="13.8">
      <c r="A467" s="1"/>
      <c r="D467" s="1"/>
      <c r="H467" s="1"/>
    </row>
    <row r="468" spans="1:8" ht="13.8">
      <c r="A468" s="1"/>
      <c r="D468" s="1"/>
      <c r="H468" s="1"/>
    </row>
    <row r="469" spans="1:8" ht="13.8">
      <c r="A469" s="1"/>
      <c r="D469" s="1"/>
      <c r="H469" s="1"/>
    </row>
    <row r="470" spans="1:8" ht="13.8">
      <c r="A470" s="1"/>
      <c r="D470" s="1"/>
      <c r="H470" s="1"/>
    </row>
    <row r="471" spans="1:8" ht="13.8">
      <c r="A471" s="1"/>
      <c r="D471" s="1"/>
      <c r="H471" s="1"/>
    </row>
    <row r="472" spans="1:8" ht="13.8">
      <c r="A472" s="1"/>
      <c r="D472" s="1"/>
      <c r="H472" s="1"/>
    </row>
    <row r="473" spans="1:8" ht="13.8">
      <c r="A473" s="1"/>
      <c r="D473" s="1"/>
      <c r="H473" s="1"/>
    </row>
    <row r="474" spans="1:8" ht="13.8">
      <c r="A474" s="1"/>
      <c r="D474" s="1"/>
      <c r="H474" s="1"/>
    </row>
    <row r="475" spans="1:8" ht="13.8">
      <c r="A475" s="1"/>
      <c r="D475" s="1"/>
      <c r="H475" s="1"/>
    </row>
    <row r="476" spans="1:8" ht="13.8">
      <c r="A476" s="1"/>
      <c r="D476" s="1"/>
      <c r="H476" s="1"/>
    </row>
    <row r="477" spans="1:8" ht="13.8">
      <c r="A477" s="1"/>
      <c r="D477" s="1"/>
      <c r="H477" s="1"/>
    </row>
    <row r="478" spans="1:8" ht="13.8">
      <c r="A478" s="1"/>
      <c r="D478" s="1"/>
      <c r="H478" s="1"/>
    </row>
    <row r="479" spans="1:8" ht="13.8">
      <c r="A479" s="1"/>
      <c r="D479" s="1"/>
      <c r="H479" s="1"/>
    </row>
    <row r="480" spans="1:8" ht="13.8">
      <c r="A480" s="1"/>
      <c r="D480" s="1"/>
      <c r="H480" s="1"/>
    </row>
    <row r="481" spans="1:8" ht="13.8">
      <c r="A481" s="1"/>
      <c r="D481" s="1"/>
      <c r="H481" s="1"/>
    </row>
    <row r="482" spans="1:8" ht="13.8">
      <c r="A482" s="1"/>
      <c r="D482" s="1"/>
      <c r="H482" s="1"/>
    </row>
    <row r="483" spans="1:8" ht="13.8">
      <c r="A483" s="1"/>
      <c r="D483" s="1"/>
      <c r="H483" s="1"/>
    </row>
    <row r="484" spans="1:8" ht="13.8">
      <c r="A484" s="1"/>
      <c r="D484" s="1"/>
      <c r="H484" s="1"/>
    </row>
    <row r="485" spans="1:8" ht="13.8">
      <c r="A485" s="1"/>
      <c r="D485" s="1"/>
      <c r="H485" s="1"/>
    </row>
    <row r="486" spans="1:8" ht="13.8">
      <c r="A486" s="1"/>
      <c r="D486" s="1"/>
      <c r="H486" s="1"/>
    </row>
    <row r="487" spans="1:8" ht="13.8">
      <c r="A487" s="1"/>
      <c r="D487" s="1"/>
      <c r="H487" s="1"/>
    </row>
    <row r="488" spans="1:8" ht="13.8">
      <c r="A488" s="1"/>
      <c r="D488" s="1"/>
      <c r="H488" s="1"/>
    </row>
    <row r="489" spans="1:8" ht="13.8">
      <c r="A489" s="1"/>
      <c r="D489" s="1"/>
      <c r="H489" s="1"/>
    </row>
    <row r="490" spans="1:8" ht="13.8">
      <c r="A490" s="1"/>
      <c r="D490" s="1"/>
      <c r="H490" s="1"/>
    </row>
    <row r="491" spans="1:8" ht="13.8">
      <c r="A491" s="1"/>
      <c r="D491" s="1"/>
      <c r="H491" s="1"/>
    </row>
    <row r="492" spans="1:8" ht="13.8">
      <c r="A492" s="1"/>
      <c r="D492" s="1"/>
      <c r="H492" s="1"/>
    </row>
    <row r="493" spans="1:8" ht="13.8">
      <c r="A493" s="1"/>
      <c r="D493" s="1"/>
      <c r="H493" s="1"/>
    </row>
    <row r="494" spans="1:8" ht="13.8">
      <c r="A494" s="1"/>
      <c r="D494" s="1"/>
      <c r="H494" s="1"/>
    </row>
    <row r="495" spans="1:8" ht="13.8">
      <c r="A495" s="1"/>
      <c r="D495" s="1"/>
      <c r="H495" s="1"/>
    </row>
    <row r="496" spans="1:8" ht="13.8">
      <c r="A496" s="1"/>
      <c r="D496" s="1"/>
      <c r="H496" s="1"/>
    </row>
    <row r="497" spans="1:8" ht="13.8">
      <c r="A497" s="1"/>
      <c r="D497" s="1"/>
      <c r="H497" s="1"/>
    </row>
    <row r="498" spans="1:8" ht="13.8">
      <c r="A498" s="1"/>
      <c r="D498" s="1"/>
      <c r="H498" s="1"/>
    </row>
    <row r="499" spans="1:8" ht="13.8">
      <c r="A499" s="1"/>
      <c r="D499" s="1"/>
      <c r="H499" s="1"/>
    </row>
    <row r="500" spans="1:8" ht="13.8">
      <c r="A500" s="1"/>
      <c r="D500" s="1"/>
      <c r="H500" s="1"/>
    </row>
    <row r="501" spans="1:8" ht="13.8">
      <c r="A501" s="1"/>
      <c r="D501" s="1"/>
      <c r="H501" s="1"/>
    </row>
    <row r="502" spans="1:8" ht="13.8">
      <c r="A502" s="1"/>
      <c r="D502" s="1"/>
      <c r="H502" s="1"/>
    </row>
    <row r="503" spans="1:8" ht="13.8">
      <c r="A503" s="1"/>
      <c r="D503" s="1"/>
      <c r="H503" s="1"/>
    </row>
    <row r="504" spans="1:8" ht="13.8">
      <c r="A504" s="1"/>
      <c r="D504" s="1"/>
      <c r="H504" s="1"/>
    </row>
    <row r="505" spans="1:8" ht="13.8">
      <c r="A505" s="1"/>
      <c r="D505" s="1"/>
      <c r="H505" s="1"/>
    </row>
    <row r="506" spans="1:8" ht="13.8">
      <c r="A506" s="1"/>
      <c r="D506" s="1"/>
      <c r="H506" s="1"/>
    </row>
    <row r="507" spans="1:8" ht="13.8">
      <c r="A507" s="1"/>
      <c r="D507" s="1"/>
      <c r="H507" s="1"/>
    </row>
    <row r="508" spans="1:8" ht="13.8">
      <c r="A508" s="1"/>
      <c r="D508" s="1"/>
      <c r="H508" s="1"/>
    </row>
    <row r="509" spans="1:8" ht="13.8">
      <c r="A509" s="1"/>
      <c r="D509" s="1"/>
      <c r="H509" s="1"/>
    </row>
    <row r="510" spans="1:8" ht="13.8">
      <c r="A510" s="1"/>
      <c r="D510" s="1"/>
      <c r="H510" s="1"/>
    </row>
    <row r="511" spans="1:8" ht="13.8">
      <c r="A511" s="1"/>
      <c r="D511" s="1"/>
      <c r="H511" s="1"/>
    </row>
    <row r="512" spans="1:8" ht="13.8">
      <c r="A512" s="1"/>
      <c r="D512" s="1"/>
      <c r="H512" s="1"/>
    </row>
    <row r="513" spans="1:8" ht="13.8">
      <c r="A513" s="1"/>
      <c r="D513" s="1"/>
      <c r="H513" s="1"/>
    </row>
    <row r="514" spans="1:8" ht="13.8">
      <c r="A514" s="1"/>
      <c r="D514" s="1"/>
      <c r="H514" s="1"/>
    </row>
    <row r="515" spans="1:8" ht="13.8">
      <c r="A515" s="1"/>
      <c r="D515" s="1"/>
      <c r="H515" s="1"/>
    </row>
    <row r="516" spans="1:8" ht="13.8">
      <c r="A516" s="1"/>
      <c r="D516" s="1"/>
      <c r="H516" s="1"/>
    </row>
    <row r="517" spans="1:8" ht="13.8">
      <c r="A517" s="1"/>
      <c r="D517" s="1"/>
      <c r="H517" s="1"/>
    </row>
    <row r="518" spans="1:8" ht="13.8">
      <c r="A518" s="1"/>
      <c r="D518" s="1"/>
      <c r="H518" s="1"/>
    </row>
    <row r="519" spans="1:8" ht="13.8">
      <c r="A519" s="1"/>
      <c r="D519" s="1"/>
      <c r="H519" s="1"/>
    </row>
    <row r="520" spans="1:8" ht="13.8">
      <c r="A520" s="1"/>
      <c r="D520" s="1"/>
      <c r="H520" s="1"/>
    </row>
    <row r="521" spans="1:8" ht="13.8">
      <c r="A521" s="1"/>
      <c r="D521" s="1"/>
      <c r="H521" s="1"/>
    </row>
    <row r="522" spans="1:8" ht="13.8">
      <c r="A522" s="1"/>
      <c r="D522" s="1"/>
      <c r="H522" s="1"/>
    </row>
    <row r="523" spans="1:8" ht="13.8">
      <c r="A523" s="1"/>
      <c r="D523" s="1"/>
      <c r="H523" s="1"/>
    </row>
    <row r="524" spans="1:8" ht="13.8">
      <c r="A524" s="1"/>
      <c r="D524" s="1"/>
      <c r="H524" s="1"/>
    </row>
    <row r="525" spans="1:8" ht="13.8">
      <c r="A525" s="1"/>
      <c r="D525" s="1"/>
      <c r="H525" s="1"/>
    </row>
    <row r="526" spans="1:8" ht="13.8">
      <c r="A526" s="1"/>
      <c r="D526" s="1"/>
      <c r="H526" s="1"/>
    </row>
    <row r="527" spans="1:8" ht="13.8">
      <c r="A527" s="1"/>
      <c r="D527" s="1"/>
      <c r="H527" s="1"/>
    </row>
    <row r="528" spans="1:8" ht="13.8">
      <c r="A528" s="1"/>
      <c r="D528" s="1"/>
      <c r="H528" s="1"/>
    </row>
    <row r="529" spans="1:8" ht="13.8">
      <c r="A529" s="1"/>
      <c r="D529" s="1"/>
      <c r="H529" s="1"/>
    </row>
    <row r="530" spans="1:8" ht="13.8">
      <c r="A530" s="1"/>
      <c r="D530" s="1"/>
      <c r="H530" s="1"/>
    </row>
    <row r="531" spans="1:8" ht="13.8">
      <c r="A531" s="1"/>
      <c r="D531" s="1"/>
      <c r="H531" s="1"/>
    </row>
    <row r="532" spans="1:8" ht="13.8">
      <c r="A532" s="1"/>
      <c r="D532" s="1"/>
      <c r="H532" s="1"/>
    </row>
    <row r="533" spans="1:8" ht="13.8">
      <c r="A533" s="1"/>
      <c r="D533" s="1"/>
      <c r="H533" s="1"/>
    </row>
    <row r="534" spans="1:8" ht="13.8">
      <c r="A534" s="1"/>
      <c r="D534" s="1"/>
      <c r="H534" s="1"/>
    </row>
    <row r="535" spans="1:8" ht="13.8">
      <c r="A535" s="1"/>
      <c r="D535" s="1"/>
      <c r="H535" s="1"/>
    </row>
    <row r="536" spans="1:8" ht="13.8">
      <c r="A536" s="1"/>
      <c r="D536" s="1"/>
      <c r="H536" s="1"/>
    </row>
    <row r="537" spans="1:8" ht="13.8">
      <c r="A537" s="1"/>
      <c r="D537" s="1"/>
      <c r="H537" s="1"/>
    </row>
    <row r="538" spans="1:8" ht="13.8">
      <c r="A538" s="1"/>
      <c r="D538" s="1"/>
      <c r="H538" s="1"/>
    </row>
    <row r="539" spans="1:8" ht="13.8">
      <c r="A539" s="1"/>
      <c r="D539" s="1"/>
      <c r="H539" s="1"/>
    </row>
    <row r="540" spans="1:8" ht="13.8">
      <c r="A540" s="1"/>
      <c r="D540" s="1"/>
      <c r="H540" s="1"/>
    </row>
    <row r="541" spans="1:8" ht="13.8">
      <c r="A541" s="1"/>
      <c r="D541" s="1"/>
      <c r="H541" s="1"/>
    </row>
    <row r="542" spans="1:8" ht="13.8">
      <c r="A542" s="1"/>
      <c r="D542" s="1"/>
      <c r="H542" s="1"/>
    </row>
    <row r="543" spans="1:8" ht="13.8">
      <c r="A543" s="1"/>
      <c r="D543" s="1"/>
      <c r="H543" s="1"/>
    </row>
    <row r="544" spans="1:8" ht="13.8">
      <c r="A544" s="1"/>
      <c r="D544" s="1"/>
      <c r="H544" s="1"/>
    </row>
    <row r="545" spans="1:8" ht="13.8">
      <c r="A545" s="1"/>
      <c r="D545" s="1"/>
      <c r="H545" s="1"/>
    </row>
    <row r="546" spans="1:8" ht="13.8">
      <c r="A546" s="1"/>
      <c r="D546" s="1"/>
      <c r="H546" s="1"/>
    </row>
    <row r="547" spans="1:8" ht="13.8">
      <c r="A547" s="1"/>
      <c r="D547" s="1"/>
      <c r="H547" s="1"/>
    </row>
    <row r="548" spans="1:8" ht="13.8">
      <c r="A548" s="1"/>
      <c r="D548" s="1"/>
      <c r="H548" s="1"/>
    </row>
    <row r="549" spans="1:8" ht="13.8">
      <c r="A549" s="1"/>
      <c r="D549" s="1"/>
      <c r="H549" s="1"/>
    </row>
    <row r="550" spans="1:8" ht="13.8">
      <c r="A550" s="1"/>
      <c r="D550" s="1"/>
      <c r="H550" s="1"/>
    </row>
    <row r="551" spans="1:8" ht="13.8">
      <c r="A551" s="1"/>
      <c r="D551" s="1"/>
      <c r="H551" s="1"/>
    </row>
    <row r="552" spans="1:8" ht="13.8">
      <c r="A552" s="1"/>
      <c r="D552" s="1"/>
      <c r="H552" s="1"/>
    </row>
    <row r="553" spans="1:8" ht="13.8">
      <c r="A553" s="1"/>
      <c r="D553" s="1"/>
      <c r="H553" s="1"/>
    </row>
    <row r="554" spans="1:8" ht="13.8">
      <c r="A554" s="1"/>
      <c r="D554" s="1"/>
      <c r="H554" s="1"/>
    </row>
    <row r="555" spans="1:8" ht="13.8">
      <c r="A555" s="1"/>
      <c r="D555" s="1"/>
      <c r="H555" s="1"/>
    </row>
    <row r="556" spans="1:8" ht="13.8">
      <c r="A556" s="1"/>
      <c r="D556" s="1"/>
      <c r="H556" s="1"/>
    </row>
    <row r="557" spans="1:8" ht="13.8">
      <c r="A557" s="1"/>
      <c r="D557" s="1"/>
      <c r="H557" s="1"/>
    </row>
    <row r="558" spans="1:8" ht="13.8">
      <c r="A558" s="1"/>
      <c r="D558" s="1"/>
      <c r="H558" s="1"/>
    </row>
    <row r="559" spans="1:8" ht="13.8">
      <c r="A559" s="1"/>
      <c r="D559" s="1"/>
      <c r="H559" s="1"/>
    </row>
    <row r="560" spans="1:8" ht="13.8">
      <c r="A560" s="1"/>
      <c r="D560" s="1"/>
      <c r="H560" s="1"/>
    </row>
    <row r="561" spans="1:8" ht="13.8">
      <c r="A561" s="1"/>
      <c r="D561" s="1"/>
      <c r="H561" s="1"/>
    </row>
    <row r="562" spans="1:8" ht="13.8">
      <c r="A562" s="1"/>
      <c r="D562" s="1"/>
      <c r="H562" s="1"/>
    </row>
    <row r="563" spans="1:8" ht="13.8">
      <c r="A563" s="1"/>
      <c r="D563" s="1"/>
      <c r="H563" s="1"/>
    </row>
    <row r="564" spans="1:8" ht="13.8">
      <c r="A564" s="1"/>
      <c r="D564" s="1"/>
      <c r="H564" s="1"/>
    </row>
    <row r="565" spans="1:8" ht="13.8">
      <c r="A565" s="1"/>
      <c r="D565" s="1"/>
      <c r="H565" s="1"/>
    </row>
    <row r="566" spans="1:8" ht="13.8">
      <c r="A566" s="1"/>
      <c r="D566" s="1"/>
      <c r="H566" s="1"/>
    </row>
    <row r="567" spans="1:8" ht="13.8">
      <c r="A567" s="1"/>
      <c r="D567" s="1"/>
      <c r="H567" s="1"/>
    </row>
    <row r="568" spans="1:8" ht="13.8">
      <c r="A568" s="1"/>
      <c r="D568" s="1"/>
      <c r="H568" s="1"/>
    </row>
    <row r="569" spans="1:8" ht="13.8">
      <c r="A569" s="1"/>
      <c r="D569" s="1"/>
      <c r="H569" s="1"/>
    </row>
    <row r="570" spans="1:8" ht="13.8">
      <c r="A570" s="1"/>
      <c r="D570" s="1"/>
      <c r="H570" s="1"/>
    </row>
    <row r="571" spans="1:8" ht="13.8">
      <c r="A571" s="1"/>
      <c r="D571" s="1"/>
      <c r="H571" s="1"/>
    </row>
    <row r="572" spans="1:8" ht="13.8">
      <c r="A572" s="1"/>
      <c r="D572" s="1"/>
      <c r="H572" s="1"/>
    </row>
    <row r="573" spans="1:8" ht="13.8">
      <c r="A573" s="1"/>
      <c r="D573" s="1"/>
      <c r="H573" s="1"/>
    </row>
    <row r="574" spans="1:8" ht="13.8">
      <c r="A574" s="1"/>
      <c r="D574" s="1"/>
      <c r="H574" s="1"/>
    </row>
    <row r="575" spans="1:8" ht="13.8">
      <c r="A575" s="1"/>
      <c r="D575" s="1"/>
      <c r="H575" s="1"/>
    </row>
    <row r="576" spans="1:8" ht="13.8">
      <c r="A576" s="1"/>
      <c r="D576" s="1"/>
      <c r="H576" s="1"/>
    </row>
    <row r="577" spans="1:8" ht="13.8">
      <c r="A577" s="1"/>
      <c r="D577" s="1"/>
      <c r="H577" s="1"/>
    </row>
    <row r="578" spans="1:8" ht="13.8">
      <c r="A578" s="1"/>
      <c r="D578" s="1"/>
      <c r="H578" s="1"/>
    </row>
    <row r="579" spans="1:8" ht="13.8">
      <c r="A579" s="1"/>
      <c r="D579" s="1"/>
      <c r="H579" s="1"/>
    </row>
    <row r="580" spans="1:8" ht="13.8">
      <c r="A580" s="1"/>
      <c r="D580" s="1"/>
      <c r="H580" s="1"/>
    </row>
    <row r="581" spans="1:8" ht="13.8">
      <c r="A581" s="1"/>
      <c r="D581" s="1"/>
      <c r="H581" s="1"/>
    </row>
    <row r="582" spans="1:8" ht="13.8">
      <c r="A582" s="1"/>
      <c r="D582" s="1"/>
      <c r="H582" s="1"/>
    </row>
    <row r="583" spans="1:8" ht="13.8">
      <c r="A583" s="1"/>
      <c r="D583" s="1"/>
      <c r="H583" s="1"/>
    </row>
    <row r="584" spans="1:8" ht="13.8">
      <c r="A584" s="1"/>
      <c r="D584" s="1"/>
      <c r="H584" s="1"/>
    </row>
    <row r="585" spans="1:8" ht="13.8">
      <c r="A585" s="1"/>
      <c r="D585" s="1"/>
      <c r="H585" s="1"/>
    </row>
    <row r="586" spans="1:8" ht="13.8">
      <c r="A586" s="1"/>
      <c r="D586" s="1"/>
      <c r="H586" s="1"/>
    </row>
    <row r="587" spans="1:8" ht="13.8">
      <c r="A587" s="1"/>
      <c r="D587" s="1"/>
      <c r="H587" s="1"/>
    </row>
    <row r="588" spans="1:8" ht="13.8">
      <c r="A588" s="1"/>
      <c r="D588" s="1"/>
      <c r="H588" s="1"/>
    </row>
    <row r="589" spans="1:8" ht="13.8">
      <c r="A589" s="1"/>
      <c r="D589" s="1"/>
      <c r="H589" s="1"/>
    </row>
    <row r="590" spans="1:8" ht="13.8">
      <c r="A590" s="1"/>
      <c r="D590" s="1"/>
      <c r="H590" s="1"/>
    </row>
    <row r="591" spans="1:8" ht="13.8">
      <c r="A591" s="1"/>
      <c r="D591" s="1"/>
      <c r="H591" s="1"/>
    </row>
    <row r="592" spans="1:8" ht="13.8">
      <c r="A592" s="1"/>
      <c r="D592" s="1"/>
      <c r="H592" s="1"/>
    </row>
    <row r="593" spans="1:8" ht="13.8">
      <c r="A593" s="1"/>
      <c r="D593" s="1"/>
      <c r="H593" s="1"/>
    </row>
    <row r="594" spans="1:8" ht="13.8">
      <c r="A594" s="1"/>
      <c r="D594" s="1"/>
      <c r="H594" s="1"/>
    </row>
    <row r="595" spans="1:8" ht="13.8">
      <c r="A595" s="1"/>
      <c r="D595" s="1"/>
      <c r="H595" s="1"/>
    </row>
    <row r="596" spans="1:8" ht="13.8">
      <c r="A596" s="1"/>
      <c r="D596" s="1"/>
      <c r="H596" s="1"/>
    </row>
    <row r="597" spans="1:8" ht="13.8">
      <c r="A597" s="1"/>
      <c r="D597" s="1"/>
      <c r="H597" s="1"/>
    </row>
    <row r="598" spans="1:8" ht="13.8">
      <c r="A598" s="1"/>
      <c r="D598" s="1"/>
      <c r="H598" s="1"/>
    </row>
    <row r="599" spans="1:8" ht="13.8">
      <c r="A599" s="1"/>
      <c r="D599" s="1"/>
      <c r="H599" s="1"/>
    </row>
    <row r="600" spans="1:8" ht="13.8">
      <c r="A600" s="1"/>
      <c r="D600" s="1"/>
      <c r="H600" s="1"/>
    </row>
    <row r="601" spans="1:8" ht="13.8">
      <c r="A601" s="1"/>
      <c r="D601" s="1"/>
      <c r="H601" s="1"/>
    </row>
    <row r="602" spans="1:8" ht="13.8">
      <c r="A602" s="1"/>
      <c r="D602" s="1"/>
      <c r="H602" s="1"/>
    </row>
    <row r="603" spans="1:8" ht="13.8">
      <c r="A603" s="1"/>
      <c r="D603" s="1"/>
      <c r="H603" s="1"/>
    </row>
    <row r="604" spans="1:8" ht="13.8">
      <c r="A604" s="1"/>
      <c r="D604" s="1"/>
      <c r="H604" s="1"/>
    </row>
    <row r="605" spans="1:8" ht="13.8">
      <c r="A605" s="1"/>
      <c r="D605" s="1"/>
      <c r="H605" s="1"/>
    </row>
    <row r="606" spans="1:8" ht="13.8">
      <c r="A606" s="1"/>
      <c r="D606" s="1"/>
      <c r="H606" s="1"/>
    </row>
    <row r="607" spans="1:8" ht="13.8">
      <c r="A607" s="1"/>
      <c r="D607" s="1"/>
      <c r="H607" s="1"/>
    </row>
    <row r="608" spans="1:8" ht="13.8">
      <c r="A608" s="1"/>
      <c r="D608" s="1"/>
      <c r="H608" s="1"/>
    </row>
    <row r="609" spans="1:8" ht="13.8">
      <c r="A609" s="1"/>
      <c r="D609" s="1"/>
      <c r="H609" s="1"/>
    </row>
    <row r="610" spans="1:8" ht="13.8">
      <c r="A610" s="1"/>
      <c r="D610" s="1"/>
      <c r="H610" s="1"/>
    </row>
    <row r="611" spans="1:8" ht="13.8">
      <c r="A611" s="1"/>
      <c r="D611" s="1"/>
      <c r="H611" s="1"/>
    </row>
    <row r="612" spans="1:8" ht="13.8">
      <c r="A612" s="1"/>
      <c r="D612" s="1"/>
      <c r="H612" s="1"/>
    </row>
    <row r="613" spans="1:8" ht="13.8">
      <c r="A613" s="1"/>
      <c r="D613" s="1"/>
      <c r="H613" s="1"/>
    </row>
    <row r="614" spans="1:8" ht="13.8">
      <c r="A614" s="1"/>
      <c r="D614" s="1"/>
      <c r="H614" s="1"/>
    </row>
    <row r="615" spans="1:8" ht="13.8">
      <c r="A615" s="1"/>
      <c r="D615" s="1"/>
      <c r="H615" s="1"/>
    </row>
    <row r="616" spans="1:8" ht="13.8">
      <c r="A616" s="1"/>
      <c r="D616" s="1"/>
      <c r="H616" s="1"/>
    </row>
    <row r="617" spans="1:8" ht="13.8">
      <c r="A617" s="1"/>
      <c r="D617" s="1"/>
      <c r="H617" s="1"/>
    </row>
    <row r="618" spans="1:8" ht="13.8">
      <c r="A618" s="1"/>
      <c r="D618" s="1"/>
      <c r="H618" s="1"/>
    </row>
    <row r="619" spans="1:8" ht="13.8">
      <c r="A619" s="1"/>
      <c r="D619" s="1"/>
      <c r="H619" s="1"/>
    </row>
    <row r="620" spans="1:8" ht="13.8">
      <c r="A620" s="1"/>
      <c r="D620" s="1"/>
      <c r="H620" s="1"/>
    </row>
    <row r="621" spans="1:8" ht="13.8">
      <c r="A621" s="1"/>
      <c r="D621" s="1"/>
      <c r="H621" s="1"/>
    </row>
    <row r="622" spans="1:8" ht="13.8">
      <c r="A622" s="1"/>
      <c r="D622" s="1"/>
      <c r="H622" s="1"/>
    </row>
    <row r="623" spans="1:8" ht="13.8">
      <c r="A623" s="1"/>
      <c r="D623" s="1"/>
      <c r="H623" s="1"/>
    </row>
    <row r="624" spans="1:8" ht="13.8">
      <c r="A624" s="1"/>
      <c r="D624" s="1"/>
      <c r="H624" s="1"/>
    </row>
    <row r="625" spans="1:8" ht="13.8">
      <c r="A625" s="1"/>
      <c r="D625" s="1"/>
      <c r="H625" s="1"/>
    </row>
    <row r="626" spans="1:8" ht="13.8">
      <c r="A626" s="1"/>
      <c r="D626" s="1"/>
      <c r="H626" s="1"/>
    </row>
    <row r="627" spans="1:8" ht="13.8">
      <c r="A627" s="1"/>
      <c r="D627" s="1"/>
      <c r="H627" s="1"/>
    </row>
    <row r="628" spans="1:8" ht="13.8">
      <c r="A628" s="1"/>
      <c r="D628" s="1"/>
      <c r="H628" s="1"/>
    </row>
    <row r="629" spans="1:8" ht="13.8">
      <c r="A629" s="1"/>
      <c r="D629" s="1"/>
      <c r="H629" s="1"/>
    </row>
    <row r="630" spans="1:8" ht="13.8">
      <c r="A630" s="1"/>
      <c r="D630" s="1"/>
      <c r="H630" s="1"/>
    </row>
    <row r="631" spans="1:8" ht="13.8">
      <c r="A631" s="1"/>
      <c r="D631" s="1"/>
      <c r="H631" s="1"/>
    </row>
    <row r="632" spans="1:8" ht="13.8">
      <c r="A632" s="1"/>
      <c r="D632" s="1"/>
      <c r="H632" s="1"/>
    </row>
    <row r="633" spans="1:8" ht="13.8">
      <c r="A633" s="1"/>
      <c r="D633" s="1"/>
      <c r="H633" s="1"/>
    </row>
    <row r="634" spans="1:8" ht="13.8">
      <c r="A634" s="1"/>
      <c r="D634" s="1"/>
      <c r="H634" s="1"/>
    </row>
    <row r="635" spans="1:8" ht="13.8">
      <c r="A635" s="1"/>
      <c r="D635" s="1"/>
      <c r="H635" s="1"/>
    </row>
    <row r="636" spans="1:8" ht="13.8">
      <c r="A636" s="1"/>
      <c r="D636" s="1"/>
      <c r="H636" s="1"/>
    </row>
    <row r="637" spans="1:8" ht="13.8">
      <c r="A637" s="1"/>
      <c r="D637" s="1"/>
      <c r="H637" s="1"/>
    </row>
    <row r="638" spans="1:8" ht="13.8">
      <c r="A638" s="1"/>
      <c r="D638" s="1"/>
      <c r="H638" s="1"/>
    </row>
    <row r="639" spans="1:8" ht="13.8">
      <c r="A639" s="1"/>
      <c r="D639" s="1"/>
      <c r="H639" s="1"/>
    </row>
    <row r="640" spans="1:8" ht="13.8">
      <c r="A640" s="1"/>
      <c r="D640" s="1"/>
      <c r="H640" s="1"/>
    </row>
    <row r="641" spans="1:8" ht="13.8">
      <c r="A641" s="1"/>
      <c r="D641" s="1"/>
      <c r="H641" s="1"/>
    </row>
    <row r="642" spans="1:8" ht="13.8">
      <c r="A642" s="1"/>
      <c r="D642" s="1"/>
      <c r="H642" s="1"/>
    </row>
    <row r="643" spans="1:8" ht="13.8">
      <c r="A643" s="1"/>
      <c r="D643" s="1"/>
      <c r="H643" s="1"/>
    </row>
    <row r="644" spans="1:8" ht="13.8">
      <c r="A644" s="1"/>
      <c r="D644" s="1"/>
      <c r="H644" s="1"/>
    </row>
    <row r="645" spans="1:8" ht="13.8">
      <c r="A645" s="1"/>
      <c r="D645" s="1"/>
      <c r="H645" s="1"/>
    </row>
    <row r="646" spans="1:8" ht="13.8">
      <c r="A646" s="1"/>
      <c r="D646" s="1"/>
      <c r="H646" s="1"/>
    </row>
    <row r="647" spans="1:8" ht="13.8">
      <c r="A647" s="1"/>
      <c r="D647" s="1"/>
      <c r="H647" s="1"/>
    </row>
    <row r="648" spans="1:8" ht="13.8">
      <c r="A648" s="1"/>
      <c r="D648" s="1"/>
      <c r="H648" s="1"/>
    </row>
    <row r="649" spans="1:8" ht="13.8">
      <c r="A649" s="1"/>
      <c r="D649" s="1"/>
      <c r="H649" s="1"/>
    </row>
    <row r="650" spans="1:8" ht="13.8">
      <c r="A650" s="1"/>
      <c r="D650" s="1"/>
      <c r="H650" s="1"/>
    </row>
    <row r="651" spans="1:8" ht="13.8">
      <c r="A651" s="1"/>
      <c r="D651" s="1"/>
      <c r="H651" s="1"/>
    </row>
    <row r="652" spans="1:8" ht="13.8">
      <c r="A652" s="1"/>
      <c r="D652" s="1"/>
      <c r="H652" s="1"/>
    </row>
    <row r="653" spans="1:8" ht="13.8">
      <c r="A653" s="1"/>
      <c r="D653" s="1"/>
      <c r="H653" s="1"/>
    </row>
    <row r="654" spans="1:8" ht="13.8">
      <c r="A654" s="1"/>
      <c r="D654" s="1"/>
      <c r="H654" s="1"/>
    </row>
    <row r="655" spans="1:8" ht="13.8">
      <c r="A655" s="1"/>
      <c r="D655" s="1"/>
      <c r="H655" s="1"/>
    </row>
    <row r="656" spans="1:8" ht="13.8">
      <c r="A656" s="1"/>
      <c r="D656" s="1"/>
      <c r="H656" s="1"/>
    </row>
    <row r="657" spans="1:8" ht="13.8">
      <c r="A657" s="1"/>
      <c r="D657" s="1"/>
      <c r="H657" s="1"/>
    </row>
    <row r="658" spans="1:8" ht="13.8">
      <c r="A658" s="1"/>
      <c r="D658" s="1"/>
      <c r="H658" s="1"/>
    </row>
    <row r="659" spans="1:8" ht="13.8">
      <c r="A659" s="1"/>
      <c r="D659" s="1"/>
      <c r="H659" s="1"/>
    </row>
    <row r="660" spans="1:8" ht="13.8">
      <c r="A660" s="1"/>
      <c r="D660" s="1"/>
      <c r="H660" s="1"/>
    </row>
    <row r="661" spans="1:8" ht="13.8">
      <c r="A661" s="1"/>
      <c r="D661" s="1"/>
      <c r="H661" s="1"/>
    </row>
    <row r="662" spans="1:8" ht="13.8">
      <c r="A662" s="1"/>
      <c r="D662" s="1"/>
      <c r="H662" s="1"/>
    </row>
    <row r="663" spans="1:8" ht="13.8">
      <c r="A663" s="1"/>
      <c r="D663" s="1"/>
      <c r="H663" s="1"/>
    </row>
    <row r="664" spans="1:8" ht="13.8">
      <c r="A664" s="1"/>
      <c r="D664" s="1"/>
      <c r="H664" s="1"/>
    </row>
    <row r="665" spans="1:8" ht="13.8">
      <c r="A665" s="1"/>
      <c r="D665" s="1"/>
      <c r="H665" s="1"/>
    </row>
    <row r="666" spans="1:8" ht="13.8">
      <c r="A666" s="1"/>
      <c r="D666" s="1"/>
      <c r="H666" s="1"/>
    </row>
    <row r="667" spans="1:8" ht="13.8">
      <c r="A667" s="1"/>
      <c r="D667" s="1"/>
      <c r="H667" s="1"/>
    </row>
    <row r="668" spans="1:8" ht="13.8">
      <c r="A668" s="1"/>
      <c r="D668" s="1"/>
      <c r="H668" s="1"/>
    </row>
    <row r="669" spans="1:8" ht="13.8">
      <c r="A669" s="1"/>
      <c r="D669" s="1"/>
      <c r="H669" s="1"/>
    </row>
    <row r="670" spans="1:8" ht="13.8">
      <c r="A670" s="1"/>
      <c r="D670" s="1"/>
      <c r="H670" s="1"/>
    </row>
    <row r="671" spans="1:8" ht="13.8">
      <c r="A671" s="1"/>
      <c r="D671" s="1"/>
      <c r="H671" s="1"/>
    </row>
    <row r="672" spans="1:8" ht="13.8">
      <c r="A672" s="1"/>
      <c r="D672" s="1"/>
      <c r="H672" s="1"/>
    </row>
    <row r="673" spans="1:8" ht="13.8">
      <c r="A673" s="1"/>
      <c r="D673" s="1"/>
      <c r="H673" s="1"/>
    </row>
    <row r="674" spans="1:8" ht="13.8">
      <c r="A674" s="1"/>
      <c r="D674" s="1"/>
      <c r="H674" s="1"/>
    </row>
    <row r="675" spans="1:8" ht="13.8">
      <c r="A675" s="1"/>
      <c r="D675" s="1"/>
      <c r="H675" s="1"/>
    </row>
    <row r="676" spans="1:8" ht="13.8">
      <c r="A676" s="1"/>
      <c r="D676" s="1"/>
      <c r="H676" s="1"/>
    </row>
    <row r="677" spans="1:8" ht="13.8">
      <c r="A677" s="1"/>
      <c r="D677" s="1"/>
      <c r="H677" s="1"/>
    </row>
    <row r="678" spans="1:8" ht="13.8">
      <c r="A678" s="1"/>
      <c r="D678" s="1"/>
      <c r="H678" s="1"/>
    </row>
    <row r="679" spans="1:8" ht="13.8">
      <c r="A679" s="1"/>
      <c r="D679" s="1"/>
      <c r="H679" s="1"/>
    </row>
    <row r="680" spans="1:8" ht="13.8">
      <c r="A680" s="1"/>
      <c r="D680" s="1"/>
      <c r="H680" s="1"/>
    </row>
    <row r="681" spans="1:8" ht="13.8">
      <c r="A681" s="1"/>
      <c r="D681" s="1"/>
      <c r="H681" s="1"/>
    </row>
    <row r="682" spans="1:8" ht="13.8">
      <c r="A682" s="1"/>
      <c r="D682" s="1"/>
      <c r="H682" s="1"/>
    </row>
    <row r="683" spans="1:8" ht="13.8">
      <c r="A683" s="1"/>
      <c r="D683" s="1"/>
      <c r="H683" s="1"/>
    </row>
    <row r="684" spans="1:8" ht="13.8">
      <c r="A684" s="1"/>
      <c r="D684" s="1"/>
      <c r="H684" s="1"/>
    </row>
    <row r="685" spans="1:8" ht="13.8">
      <c r="A685" s="1"/>
      <c r="D685" s="1"/>
      <c r="H685" s="1"/>
    </row>
    <row r="686" spans="1:8" ht="13.8">
      <c r="A686" s="1"/>
      <c r="D686" s="1"/>
      <c r="H686" s="1"/>
    </row>
    <row r="687" spans="1:8" ht="13.8">
      <c r="A687" s="1"/>
      <c r="D687" s="1"/>
      <c r="H687" s="1"/>
    </row>
    <row r="688" spans="1:8" ht="13.8">
      <c r="A688" s="1"/>
      <c r="D688" s="1"/>
      <c r="H688" s="1"/>
    </row>
    <row r="689" spans="1:8" ht="13.8">
      <c r="A689" s="1"/>
      <c r="D689" s="1"/>
      <c r="H689" s="1"/>
    </row>
    <row r="690" spans="1:8" ht="13.8">
      <c r="A690" s="1"/>
      <c r="D690" s="1"/>
      <c r="H690" s="1"/>
    </row>
    <row r="691" spans="1:8" ht="13.8">
      <c r="A691" s="1"/>
      <c r="D691" s="1"/>
      <c r="H691" s="1"/>
    </row>
    <row r="692" spans="1:8" ht="13.8">
      <c r="A692" s="1"/>
      <c r="D692" s="1"/>
      <c r="H692" s="1"/>
    </row>
    <row r="693" spans="1:8" ht="13.8">
      <c r="A693" s="1"/>
      <c r="D693" s="1"/>
      <c r="H693" s="1"/>
    </row>
    <row r="694" spans="1:8" ht="13.8">
      <c r="A694" s="1"/>
      <c r="D694" s="1"/>
      <c r="H694" s="1"/>
    </row>
    <row r="695" spans="1:8" ht="13.8">
      <c r="A695" s="1"/>
      <c r="D695" s="1"/>
      <c r="H695" s="1"/>
    </row>
    <row r="696" spans="1:8" ht="13.8">
      <c r="A696" s="1"/>
      <c r="D696" s="1"/>
      <c r="H696" s="1"/>
    </row>
    <row r="697" spans="1:8" ht="13.8">
      <c r="A697" s="1"/>
      <c r="D697" s="1"/>
      <c r="H697" s="1"/>
    </row>
    <row r="698" spans="1:8" ht="13.8">
      <c r="A698" s="1"/>
      <c r="D698" s="1"/>
      <c r="H698" s="1"/>
    </row>
    <row r="699" spans="1:8" ht="13.8">
      <c r="A699" s="1"/>
      <c r="D699" s="1"/>
      <c r="H699" s="1"/>
    </row>
    <row r="700" spans="1:8" ht="13.8">
      <c r="A700" s="1"/>
      <c r="D700" s="1"/>
      <c r="H700" s="1"/>
    </row>
    <row r="701" spans="1:8" ht="13.8">
      <c r="A701" s="1"/>
      <c r="D701" s="1"/>
      <c r="H701" s="1"/>
    </row>
    <row r="702" spans="1:8" ht="13.8">
      <c r="A702" s="1"/>
      <c r="D702" s="1"/>
      <c r="H702" s="1"/>
    </row>
    <row r="703" spans="1:8" ht="13.8">
      <c r="A703" s="1"/>
      <c r="D703" s="1"/>
      <c r="H703" s="1"/>
    </row>
    <row r="704" spans="1:8" ht="13.8">
      <c r="A704" s="1"/>
      <c r="D704" s="1"/>
      <c r="H704" s="1"/>
    </row>
    <row r="705" spans="1:8" ht="13.8">
      <c r="A705" s="1"/>
      <c r="D705" s="1"/>
      <c r="H705" s="1"/>
    </row>
    <row r="706" spans="1:8" ht="13.8">
      <c r="A706" s="1"/>
      <c r="D706" s="1"/>
      <c r="H706" s="1"/>
    </row>
    <row r="707" spans="1:8" ht="13.8">
      <c r="A707" s="1"/>
      <c r="D707" s="1"/>
      <c r="H707" s="1"/>
    </row>
    <row r="708" spans="1:8" ht="13.8">
      <c r="A708" s="1"/>
      <c r="D708" s="1"/>
      <c r="H708" s="1"/>
    </row>
    <row r="709" spans="1:8" ht="13.8">
      <c r="A709" s="1"/>
      <c r="D709" s="1"/>
      <c r="H709" s="1"/>
    </row>
    <row r="710" spans="1:8" ht="13.8">
      <c r="A710" s="1"/>
      <c r="D710" s="1"/>
      <c r="H710" s="1"/>
    </row>
    <row r="711" spans="1:8" ht="13.8">
      <c r="A711" s="1"/>
      <c r="D711" s="1"/>
      <c r="H711" s="1"/>
    </row>
    <row r="712" spans="1:8" ht="13.8">
      <c r="A712" s="1"/>
      <c r="D712" s="1"/>
      <c r="H712" s="1"/>
    </row>
    <row r="713" spans="1:8" ht="13.8">
      <c r="A713" s="1"/>
      <c r="D713" s="1"/>
      <c r="H713" s="1"/>
    </row>
    <row r="714" spans="1:8" ht="13.8">
      <c r="A714" s="1"/>
      <c r="D714" s="1"/>
      <c r="H714" s="1"/>
    </row>
    <row r="715" spans="1:8" ht="13.8">
      <c r="A715" s="1"/>
      <c r="D715" s="1"/>
      <c r="H715" s="1"/>
    </row>
    <row r="716" spans="1:8" ht="13.8">
      <c r="A716" s="1"/>
      <c r="D716" s="1"/>
      <c r="H716" s="1"/>
    </row>
    <row r="717" spans="1:8" ht="13.8">
      <c r="A717" s="1"/>
      <c r="D717" s="1"/>
      <c r="H717" s="1"/>
    </row>
    <row r="718" spans="1:8" ht="13.8">
      <c r="A718" s="1"/>
      <c r="D718" s="1"/>
      <c r="H718" s="1"/>
    </row>
    <row r="719" spans="1:8" ht="13.8">
      <c r="A719" s="1"/>
      <c r="D719" s="1"/>
      <c r="H719" s="1"/>
    </row>
    <row r="720" spans="1:8" ht="13.8">
      <c r="A720" s="1"/>
      <c r="D720" s="1"/>
      <c r="H720" s="1"/>
    </row>
    <row r="721" spans="1:8" ht="13.8">
      <c r="A721" s="1"/>
      <c r="D721" s="1"/>
      <c r="H721" s="1"/>
    </row>
    <row r="722" spans="1:8" ht="13.8">
      <c r="A722" s="1"/>
      <c r="D722" s="1"/>
      <c r="H722" s="1"/>
    </row>
    <row r="723" spans="1:8" ht="13.8">
      <c r="A723" s="1"/>
      <c r="D723" s="1"/>
      <c r="H723" s="1"/>
    </row>
    <row r="724" spans="1:8" ht="13.8">
      <c r="A724" s="1"/>
      <c r="D724" s="1"/>
      <c r="H724" s="1"/>
    </row>
    <row r="725" spans="1:8" ht="13.8">
      <c r="A725" s="1"/>
      <c r="D725" s="1"/>
      <c r="H725" s="1"/>
    </row>
    <row r="726" spans="1:8" ht="13.8">
      <c r="A726" s="1"/>
      <c r="D726" s="1"/>
      <c r="H726" s="1"/>
    </row>
    <row r="727" spans="1:8" ht="13.8">
      <c r="A727" s="1"/>
      <c r="D727" s="1"/>
      <c r="H727" s="1"/>
    </row>
    <row r="728" spans="1:8" ht="13.8">
      <c r="A728" s="1"/>
      <c r="D728" s="1"/>
      <c r="H728" s="1"/>
    </row>
    <row r="729" spans="1:8" ht="13.8">
      <c r="A729" s="1"/>
      <c r="D729" s="1"/>
      <c r="H729" s="1"/>
    </row>
    <row r="730" spans="1:8" ht="13.8">
      <c r="A730" s="1"/>
      <c r="D730" s="1"/>
      <c r="H730" s="1"/>
    </row>
    <row r="731" spans="1:8" ht="13.8">
      <c r="A731" s="1"/>
      <c r="D731" s="1"/>
      <c r="H731" s="1"/>
    </row>
    <row r="732" spans="1:8" ht="13.8">
      <c r="A732" s="1"/>
      <c r="D732" s="1"/>
      <c r="H732" s="1"/>
    </row>
    <row r="733" spans="1:8" ht="13.8">
      <c r="A733" s="1"/>
      <c r="D733" s="1"/>
      <c r="H733" s="1"/>
    </row>
    <row r="734" spans="1:8" ht="13.8">
      <c r="A734" s="1"/>
      <c r="D734" s="1"/>
      <c r="H734" s="1"/>
    </row>
    <row r="735" spans="1:8" ht="13.8">
      <c r="A735" s="1"/>
      <c r="D735" s="1"/>
      <c r="H735" s="1"/>
    </row>
    <row r="736" spans="1:8" ht="13.8">
      <c r="A736" s="1"/>
      <c r="D736" s="1"/>
      <c r="H736" s="1"/>
    </row>
    <row r="737" spans="1:8" ht="13.8">
      <c r="A737" s="1"/>
      <c r="D737" s="1"/>
      <c r="H737" s="1"/>
    </row>
    <row r="738" spans="1:8" ht="13.8">
      <c r="A738" s="1"/>
      <c r="D738" s="1"/>
      <c r="H738" s="1"/>
    </row>
    <row r="739" spans="1:8" ht="13.8">
      <c r="A739" s="1"/>
      <c r="D739" s="1"/>
      <c r="H739" s="1"/>
    </row>
    <row r="740" spans="1:8" ht="13.8">
      <c r="A740" s="1"/>
      <c r="D740" s="1"/>
      <c r="H740" s="1"/>
    </row>
    <row r="741" spans="1:8" ht="13.8">
      <c r="A741" s="1"/>
      <c r="D741" s="1"/>
      <c r="H741" s="1"/>
    </row>
    <row r="742" spans="1:8" ht="13.8">
      <c r="A742" s="1"/>
      <c r="D742" s="1"/>
      <c r="H742" s="1"/>
    </row>
    <row r="743" spans="1:8" ht="13.8">
      <c r="A743" s="1"/>
      <c r="D743" s="1"/>
      <c r="H743" s="1"/>
    </row>
    <row r="744" spans="1:8" ht="13.8">
      <c r="A744" s="1"/>
      <c r="D744" s="1"/>
      <c r="H744" s="1"/>
    </row>
    <row r="745" spans="1:8" ht="13.8">
      <c r="A745" s="1"/>
      <c r="D745" s="1"/>
      <c r="H745" s="1"/>
    </row>
    <row r="746" spans="1:8" ht="13.8">
      <c r="A746" s="1"/>
      <c r="D746" s="1"/>
      <c r="H746" s="1"/>
    </row>
    <row r="747" spans="1:8" ht="13.8">
      <c r="A747" s="1"/>
      <c r="D747" s="1"/>
      <c r="H747" s="1"/>
    </row>
    <row r="748" spans="1:8" ht="13.8">
      <c r="A748" s="1"/>
      <c r="D748" s="1"/>
      <c r="H748" s="1"/>
    </row>
    <row r="749" spans="1:8" ht="13.8">
      <c r="A749" s="1"/>
      <c r="D749" s="1"/>
      <c r="H749" s="1"/>
    </row>
    <row r="750" spans="1:8" ht="13.8">
      <c r="A750" s="1"/>
      <c r="D750" s="1"/>
      <c r="H750" s="1"/>
    </row>
    <row r="751" spans="1:8" ht="13.8">
      <c r="A751" s="1"/>
      <c r="D751" s="1"/>
      <c r="H751" s="1"/>
    </row>
    <row r="752" spans="1:8" ht="13.8">
      <c r="A752" s="1"/>
      <c r="D752" s="1"/>
      <c r="H752" s="1"/>
    </row>
    <row r="753" spans="1:8" ht="13.8">
      <c r="A753" s="1"/>
      <c r="D753" s="1"/>
      <c r="H753" s="1"/>
    </row>
    <row r="754" spans="1:8" ht="13.8">
      <c r="A754" s="1"/>
      <c r="D754" s="1"/>
      <c r="H754" s="1"/>
    </row>
    <row r="755" spans="1:8" ht="13.8">
      <c r="A755" s="1"/>
      <c r="D755" s="1"/>
      <c r="H755" s="1"/>
    </row>
    <row r="756" spans="1:8" ht="13.8">
      <c r="A756" s="1"/>
      <c r="D756" s="1"/>
      <c r="H756" s="1"/>
    </row>
    <row r="757" spans="1:8" ht="13.8">
      <c r="A757" s="1"/>
      <c r="D757" s="1"/>
      <c r="H757" s="1"/>
    </row>
    <row r="758" spans="1:8" ht="13.8">
      <c r="A758" s="1"/>
      <c r="D758" s="1"/>
      <c r="H758" s="1"/>
    </row>
    <row r="759" spans="1:8" ht="13.8">
      <c r="A759" s="1"/>
      <c r="D759" s="1"/>
      <c r="H759" s="1"/>
    </row>
    <row r="760" spans="1:8" ht="13.8">
      <c r="A760" s="1"/>
      <c r="D760" s="1"/>
      <c r="H760" s="1"/>
    </row>
    <row r="761" spans="1:8" ht="13.8">
      <c r="A761" s="1"/>
      <c r="D761" s="1"/>
      <c r="H761" s="1"/>
    </row>
    <row r="762" spans="1:8" ht="13.8">
      <c r="A762" s="1"/>
      <c r="D762" s="1"/>
      <c r="H762" s="1"/>
    </row>
    <row r="763" spans="1:8" ht="13.8">
      <c r="A763" s="1"/>
      <c r="D763" s="1"/>
      <c r="H763" s="1"/>
    </row>
    <row r="764" spans="1:8" ht="13.8">
      <c r="A764" s="1"/>
      <c r="D764" s="1"/>
      <c r="H764" s="1"/>
    </row>
    <row r="765" spans="1:8" ht="13.8">
      <c r="A765" s="1"/>
      <c r="D765" s="1"/>
      <c r="H765" s="1"/>
    </row>
    <row r="766" spans="1:8" ht="13.8">
      <c r="A766" s="1"/>
      <c r="D766" s="1"/>
      <c r="H766" s="1"/>
    </row>
    <row r="767" spans="1:8" ht="13.8">
      <c r="A767" s="1"/>
      <c r="D767" s="1"/>
      <c r="H767" s="1"/>
    </row>
    <row r="768" spans="1:8" ht="13.8">
      <c r="A768" s="1"/>
      <c r="D768" s="1"/>
      <c r="H768" s="1"/>
    </row>
    <row r="769" spans="1:8" ht="13.8">
      <c r="A769" s="1"/>
      <c r="D769" s="1"/>
      <c r="H769" s="1"/>
    </row>
    <row r="770" spans="1:8" ht="13.8">
      <c r="A770" s="1"/>
      <c r="D770" s="1"/>
      <c r="H770" s="1"/>
    </row>
    <row r="771" spans="1:8" ht="13.8">
      <c r="A771" s="1"/>
      <c r="D771" s="1"/>
      <c r="H771" s="1"/>
    </row>
    <row r="772" spans="1:8" ht="13.8">
      <c r="A772" s="1"/>
      <c r="D772" s="1"/>
      <c r="H772" s="1"/>
    </row>
    <row r="773" spans="1:8" ht="13.8">
      <c r="A773" s="1"/>
      <c r="D773" s="1"/>
      <c r="H773" s="1"/>
    </row>
    <row r="774" spans="1:8" ht="13.8">
      <c r="A774" s="1"/>
      <c r="D774" s="1"/>
      <c r="H774" s="1"/>
    </row>
    <row r="775" spans="1:8" ht="13.8">
      <c r="A775" s="1"/>
      <c r="D775" s="1"/>
      <c r="H775" s="1"/>
    </row>
    <row r="776" spans="1:8" ht="13.8">
      <c r="A776" s="1"/>
      <c r="D776" s="1"/>
      <c r="H776" s="1"/>
    </row>
    <row r="777" spans="1:8" ht="13.8">
      <c r="A777" s="1"/>
      <c r="D777" s="1"/>
      <c r="H777" s="1"/>
    </row>
    <row r="778" spans="1:8" ht="13.8">
      <c r="A778" s="1"/>
      <c r="D778" s="1"/>
      <c r="H778" s="1"/>
    </row>
    <row r="779" spans="1:8" ht="13.8">
      <c r="A779" s="1"/>
      <c r="D779" s="1"/>
      <c r="H779" s="1"/>
    </row>
    <row r="780" spans="1:8" ht="13.8">
      <c r="A780" s="1"/>
      <c r="D780" s="1"/>
      <c r="H780" s="1"/>
    </row>
    <row r="781" spans="1:8" ht="13.8">
      <c r="A781" s="1"/>
      <c r="D781" s="1"/>
      <c r="H781" s="1"/>
    </row>
    <row r="782" spans="1:8" ht="13.8">
      <c r="A782" s="1"/>
      <c r="D782" s="1"/>
      <c r="H782" s="1"/>
    </row>
    <row r="783" spans="1:8" ht="13.8">
      <c r="A783" s="1"/>
      <c r="D783" s="1"/>
      <c r="H783" s="1"/>
    </row>
    <row r="784" spans="1:8" ht="13.8">
      <c r="A784" s="1"/>
      <c r="D784" s="1"/>
      <c r="H784" s="1"/>
    </row>
    <row r="785" spans="1:8" ht="13.8">
      <c r="A785" s="1"/>
      <c r="D785" s="1"/>
      <c r="H785" s="1"/>
    </row>
    <row r="786" spans="1:8" ht="13.8">
      <c r="A786" s="1"/>
      <c r="D786" s="1"/>
      <c r="H786" s="1"/>
    </row>
    <row r="787" spans="1:8" ht="13.8">
      <c r="A787" s="1"/>
      <c r="D787" s="1"/>
      <c r="H787" s="1"/>
    </row>
    <row r="788" spans="1:8" ht="13.8">
      <c r="A788" s="1"/>
      <c r="D788" s="1"/>
      <c r="H788" s="1"/>
    </row>
    <row r="789" spans="1:8" ht="13.8">
      <c r="A789" s="1"/>
      <c r="D789" s="1"/>
      <c r="H789" s="1"/>
    </row>
    <row r="790" spans="1:8" ht="13.8">
      <c r="A790" s="1"/>
      <c r="D790" s="1"/>
      <c r="H790" s="1"/>
    </row>
    <row r="791" spans="1:8" ht="13.8">
      <c r="A791" s="1"/>
      <c r="D791" s="1"/>
      <c r="H791" s="1"/>
    </row>
    <row r="792" spans="1:8" ht="13.8">
      <c r="A792" s="1"/>
      <c r="D792" s="1"/>
      <c r="H792" s="1"/>
    </row>
    <row r="793" spans="1:8" ht="13.8">
      <c r="A793" s="1"/>
      <c r="D793" s="1"/>
      <c r="H793" s="1"/>
    </row>
    <row r="794" spans="1:8" ht="13.8">
      <c r="A794" s="1"/>
      <c r="D794" s="1"/>
      <c r="H794" s="1"/>
    </row>
    <row r="795" spans="1:8" ht="13.8">
      <c r="A795" s="1"/>
      <c r="D795" s="1"/>
      <c r="H795" s="1"/>
    </row>
    <row r="796" spans="1:8" ht="13.8">
      <c r="A796" s="1"/>
      <c r="D796" s="1"/>
      <c r="H796" s="1"/>
    </row>
    <row r="797" spans="1:8" ht="13.8">
      <c r="A797" s="1"/>
      <c r="D797" s="1"/>
      <c r="H797" s="1"/>
    </row>
    <row r="798" spans="1:8" ht="13.8">
      <c r="A798" s="1"/>
      <c r="D798" s="1"/>
      <c r="H798" s="1"/>
    </row>
    <row r="799" spans="1:8" ht="13.8">
      <c r="A799" s="1"/>
      <c r="D799" s="1"/>
      <c r="H799" s="1"/>
    </row>
    <row r="800" spans="1:8" ht="13.8">
      <c r="A800" s="1"/>
      <c r="D800" s="1"/>
      <c r="H800" s="1"/>
    </row>
    <row r="801" spans="1:8" ht="13.8">
      <c r="A801" s="1"/>
      <c r="D801" s="1"/>
      <c r="H801" s="1"/>
    </row>
    <row r="802" spans="1:8" ht="13.8">
      <c r="A802" s="1"/>
      <c r="D802" s="1"/>
      <c r="H802" s="1"/>
    </row>
    <row r="803" spans="1:8" ht="13.8">
      <c r="A803" s="1"/>
      <c r="D803" s="1"/>
      <c r="H803" s="1"/>
    </row>
    <row r="804" spans="1:8" ht="13.8">
      <c r="A804" s="1"/>
      <c r="D804" s="1"/>
      <c r="H804" s="1"/>
    </row>
    <row r="805" spans="1:8" ht="13.8">
      <c r="A805" s="1"/>
      <c r="D805" s="1"/>
      <c r="H805" s="1"/>
    </row>
    <row r="806" spans="1:8" ht="13.8">
      <c r="A806" s="1"/>
      <c r="D806" s="1"/>
      <c r="H806" s="1"/>
    </row>
    <row r="807" spans="1:8" ht="13.8">
      <c r="A807" s="1"/>
      <c r="D807" s="1"/>
      <c r="H807" s="1"/>
    </row>
    <row r="808" spans="1:8" ht="13.8">
      <c r="A808" s="1"/>
      <c r="D808" s="1"/>
      <c r="H808" s="1"/>
    </row>
    <row r="809" spans="1:8" ht="13.8">
      <c r="A809" s="1"/>
      <c r="D809" s="1"/>
      <c r="H809" s="1"/>
    </row>
    <row r="810" spans="1:8" ht="13.8">
      <c r="A810" s="1"/>
      <c r="D810" s="1"/>
      <c r="H810" s="1"/>
    </row>
    <row r="811" spans="1:8" ht="13.8">
      <c r="A811" s="1"/>
      <c r="D811" s="1"/>
      <c r="H811" s="1"/>
    </row>
    <row r="812" spans="1:8" ht="13.8">
      <c r="A812" s="1"/>
      <c r="D812" s="1"/>
      <c r="H812" s="1"/>
    </row>
    <row r="813" spans="1:8" ht="13.8">
      <c r="A813" s="1"/>
      <c r="D813" s="1"/>
      <c r="H813" s="1"/>
    </row>
    <row r="814" spans="1:8" ht="13.8">
      <c r="A814" s="1"/>
      <c r="D814" s="1"/>
      <c r="H814" s="1"/>
    </row>
    <row r="815" spans="1:8" ht="13.8">
      <c r="A815" s="1"/>
      <c r="D815" s="1"/>
      <c r="H815" s="1"/>
    </row>
    <row r="816" spans="1:8" ht="13.8">
      <c r="A816" s="1"/>
      <c r="D816" s="1"/>
      <c r="H816" s="1"/>
    </row>
    <row r="817" spans="1:8" ht="13.8">
      <c r="A817" s="1"/>
      <c r="D817" s="1"/>
      <c r="H817" s="1"/>
    </row>
    <row r="818" spans="1:8" ht="13.8">
      <c r="A818" s="1"/>
      <c r="D818" s="1"/>
      <c r="H818" s="1"/>
    </row>
    <row r="819" spans="1:8" ht="13.8">
      <c r="A819" s="1"/>
      <c r="D819" s="1"/>
      <c r="H819" s="1"/>
    </row>
    <row r="820" spans="1:8" ht="13.8">
      <c r="A820" s="1"/>
      <c r="D820" s="1"/>
      <c r="H820" s="1"/>
    </row>
    <row r="821" spans="1:8" ht="13.8">
      <c r="A821" s="1"/>
      <c r="D821" s="1"/>
      <c r="H821" s="1"/>
    </row>
    <row r="822" spans="1:8" ht="13.8">
      <c r="A822" s="1"/>
      <c r="D822" s="1"/>
      <c r="H822" s="1"/>
    </row>
    <row r="823" spans="1:8" ht="13.8">
      <c r="A823" s="1"/>
      <c r="D823" s="1"/>
      <c r="H823" s="1"/>
    </row>
    <row r="824" spans="1:8" ht="13.8">
      <c r="A824" s="1"/>
      <c r="D824" s="1"/>
      <c r="H824" s="1"/>
    </row>
    <row r="825" spans="1:8" ht="13.8">
      <c r="A825" s="1"/>
      <c r="D825" s="1"/>
      <c r="H825" s="1"/>
    </row>
    <row r="826" spans="1:8" ht="13.8">
      <c r="A826" s="1"/>
      <c r="D826" s="1"/>
      <c r="H826" s="1"/>
    </row>
    <row r="827" spans="1:8" ht="13.8">
      <c r="A827" s="1"/>
      <c r="D827" s="1"/>
      <c r="H827" s="1"/>
    </row>
    <row r="828" spans="1:8" ht="13.8">
      <c r="A828" s="1"/>
      <c r="D828" s="1"/>
      <c r="H828" s="1"/>
    </row>
    <row r="829" spans="1:8" ht="13.8">
      <c r="A829" s="1"/>
      <c r="D829" s="1"/>
      <c r="H829" s="1"/>
    </row>
    <row r="830" spans="1:8" ht="13.8">
      <c r="A830" s="1"/>
      <c r="D830" s="1"/>
      <c r="H830" s="1"/>
    </row>
    <row r="831" spans="1:8" ht="13.8">
      <c r="A831" s="1"/>
      <c r="D831" s="1"/>
      <c r="H831" s="1"/>
    </row>
    <row r="832" spans="1:8" ht="13.8">
      <c r="A832" s="1"/>
      <c r="D832" s="1"/>
      <c r="H832" s="1"/>
    </row>
    <row r="833" spans="1:8" ht="13.8">
      <c r="A833" s="1"/>
      <c r="D833" s="1"/>
      <c r="H833" s="1"/>
    </row>
    <row r="834" spans="1:8" ht="13.8">
      <c r="A834" s="1"/>
      <c r="D834" s="1"/>
      <c r="H834" s="1"/>
    </row>
    <row r="835" spans="1:8" ht="13.8">
      <c r="A835" s="1"/>
      <c r="D835" s="1"/>
      <c r="H835" s="1"/>
    </row>
    <row r="836" spans="1:8" ht="13.8">
      <c r="A836" s="1"/>
      <c r="D836" s="1"/>
      <c r="H836" s="1"/>
    </row>
    <row r="837" spans="1:8" ht="13.8">
      <c r="A837" s="1"/>
      <c r="D837" s="1"/>
      <c r="H837" s="1"/>
    </row>
    <row r="838" spans="1:8" ht="13.8">
      <c r="A838" s="1"/>
      <c r="D838" s="1"/>
      <c r="H838" s="1"/>
    </row>
    <row r="839" spans="1:8" ht="13.8">
      <c r="A839" s="1"/>
      <c r="D839" s="1"/>
      <c r="H839" s="1"/>
    </row>
    <row r="840" spans="1:8" ht="13.8">
      <c r="A840" s="1"/>
      <c r="D840" s="1"/>
      <c r="H840" s="1"/>
    </row>
    <row r="841" spans="1:8" ht="13.8">
      <c r="A841" s="1"/>
      <c r="D841" s="1"/>
      <c r="H841" s="1"/>
    </row>
    <row r="842" spans="1:8" ht="13.8">
      <c r="A842" s="1"/>
      <c r="D842" s="1"/>
      <c r="H842" s="1"/>
    </row>
    <row r="843" spans="1:8" ht="13.8">
      <c r="A843" s="1"/>
      <c r="D843" s="1"/>
      <c r="H843" s="1"/>
    </row>
    <row r="844" spans="1:8" ht="13.8">
      <c r="A844" s="1"/>
      <c r="D844" s="1"/>
      <c r="H844" s="1"/>
    </row>
    <row r="845" spans="1:8" ht="13.8">
      <c r="A845" s="1"/>
      <c r="D845" s="1"/>
      <c r="H845" s="1"/>
    </row>
    <row r="846" spans="1:8" ht="13.8">
      <c r="A846" s="1"/>
      <c r="D846" s="1"/>
      <c r="H846" s="1"/>
    </row>
    <row r="847" spans="1:8" ht="13.8">
      <c r="A847" s="1"/>
      <c r="D847" s="1"/>
      <c r="H847" s="1"/>
    </row>
    <row r="848" spans="1:8" ht="13.8">
      <c r="A848" s="1"/>
      <c r="D848" s="1"/>
      <c r="H848" s="1"/>
    </row>
    <row r="849" spans="1:8" ht="13.8">
      <c r="A849" s="1"/>
      <c r="D849" s="1"/>
      <c r="H849" s="1"/>
    </row>
    <row r="850" spans="1:8" ht="13.8">
      <c r="A850" s="1"/>
      <c r="D850" s="1"/>
      <c r="H850" s="1"/>
    </row>
    <row r="851" spans="1:8" ht="13.8">
      <c r="A851" s="1"/>
      <c r="D851" s="1"/>
      <c r="H851" s="1"/>
    </row>
    <row r="852" spans="1:8" ht="13.8">
      <c r="A852" s="1"/>
      <c r="D852" s="1"/>
      <c r="H852" s="1"/>
    </row>
    <row r="853" spans="1:8" ht="13.8">
      <c r="A853" s="1"/>
      <c r="D853" s="1"/>
      <c r="H853" s="1"/>
    </row>
    <row r="854" spans="1:8" ht="13.8">
      <c r="A854" s="1"/>
      <c r="D854" s="1"/>
      <c r="H854" s="1"/>
    </row>
    <row r="855" spans="1:8" ht="13.8">
      <c r="A855" s="1"/>
      <c r="D855" s="1"/>
      <c r="H855" s="1"/>
    </row>
    <row r="856" spans="1:8" ht="13.8">
      <c r="A856" s="1"/>
      <c r="D856" s="1"/>
      <c r="H856" s="1"/>
    </row>
    <row r="857" spans="1:8" ht="13.8">
      <c r="A857" s="1"/>
      <c r="D857" s="1"/>
      <c r="H857" s="1"/>
    </row>
    <row r="858" spans="1:8" ht="13.8">
      <c r="A858" s="1"/>
      <c r="D858" s="1"/>
      <c r="H858" s="1"/>
    </row>
    <row r="859" spans="1:8" ht="13.8">
      <c r="A859" s="1"/>
      <c r="D859" s="1"/>
      <c r="H859" s="1"/>
    </row>
    <row r="860" spans="1:8" ht="13.8">
      <c r="A860" s="1"/>
      <c r="D860" s="1"/>
      <c r="H860" s="1"/>
    </row>
    <row r="861" spans="1:8" ht="13.8">
      <c r="A861" s="1"/>
      <c r="D861" s="1"/>
      <c r="H861" s="1"/>
    </row>
    <row r="862" spans="1:8" ht="13.8">
      <c r="A862" s="1"/>
      <c r="D862" s="1"/>
      <c r="H862" s="1"/>
    </row>
    <row r="863" spans="1:8" ht="13.8">
      <c r="A863" s="1"/>
      <c r="D863" s="1"/>
      <c r="H863" s="1"/>
    </row>
    <row r="864" spans="1:8" ht="13.8">
      <c r="A864" s="1"/>
      <c r="D864" s="1"/>
      <c r="H864" s="1"/>
    </row>
    <row r="865" spans="1:8" ht="13.8">
      <c r="A865" s="1"/>
      <c r="D865" s="1"/>
      <c r="H865" s="1"/>
    </row>
    <row r="866" spans="1:8" ht="13.8">
      <c r="A866" s="1"/>
      <c r="D866" s="1"/>
      <c r="H866" s="1"/>
    </row>
    <row r="867" spans="1:8" ht="13.8">
      <c r="A867" s="1"/>
      <c r="D867" s="1"/>
      <c r="H867" s="1"/>
    </row>
    <row r="868" spans="1:8" ht="13.8">
      <c r="A868" s="1"/>
      <c r="D868" s="1"/>
      <c r="H868" s="1"/>
    </row>
    <row r="869" spans="1:8" ht="13.8">
      <c r="A869" s="1"/>
      <c r="D869" s="1"/>
      <c r="H869" s="1"/>
    </row>
    <row r="870" spans="1:8" ht="13.8">
      <c r="A870" s="1"/>
      <c r="D870" s="1"/>
      <c r="H870" s="1"/>
    </row>
    <row r="871" spans="1:8" ht="13.8">
      <c r="A871" s="1"/>
      <c r="D871" s="1"/>
      <c r="H871" s="1"/>
    </row>
    <row r="872" spans="1:8" ht="13.8">
      <c r="A872" s="1"/>
      <c r="D872" s="1"/>
      <c r="H872" s="1"/>
    </row>
    <row r="873" spans="1:8" ht="13.8">
      <c r="A873" s="1"/>
      <c r="D873" s="1"/>
      <c r="H873" s="1"/>
    </row>
    <row r="874" spans="1:8" ht="13.8">
      <c r="A874" s="1"/>
      <c r="D874" s="1"/>
      <c r="H874" s="1"/>
    </row>
    <row r="875" spans="1:8" ht="13.8">
      <c r="A875" s="1"/>
      <c r="D875" s="1"/>
      <c r="H875" s="1"/>
    </row>
    <row r="876" spans="1:8" ht="13.8">
      <c r="A876" s="1"/>
      <c r="D876" s="1"/>
      <c r="H876" s="1"/>
    </row>
    <row r="877" spans="1:8" ht="13.8">
      <c r="A877" s="1"/>
      <c r="D877" s="1"/>
      <c r="H877" s="1"/>
    </row>
    <row r="878" spans="1:8" ht="13.8">
      <c r="A878" s="1"/>
      <c r="D878" s="1"/>
      <c r="H878" s="1"/>
    </row>
    <row r="879" spans="1:8" ht="13.8">
      <c r="A879" s="1"/>
      <c r="D879" s="1"/>
      <c r="H879" s="1"/>
    </row>
    <row r="880" spans="1:8" ht="13.8">
      <c r="A880" s="1"/>
      <c r="D880" s="1"/>
      <c r="H880" s="1"/>
    </row>
    <row r="881" spans="1:8" ht="13.8">
      <c r="A881" s="1"/>
      <c r="D881" s="1"/>
      <c r="H881" s="1"/>
    </row>
    <row r="882" spans="1:8" ht="13.8">
      <c r="A882" s="1"/>
      <c r="D882" s="1"/>
      <c r="H882" s="1"/>
    </row>
    <row r="883" spans="1:8" ht="13.8">
      <c r="A883" s="1"/>
      <c r="D883" s="1"/>
      <c r="H883" s="1"/>
    </row>
    <row r="884" spans="1:8" ht="13.8">
      <c r="A884" s="1"/>
      <c r="D884" s="1"/>
      <c r="H884" s="1"/>
    </row>
    <row r="885" spans="1:8" ht="13.8">
      <c r="A885" s="1"/>
      <c r="D885" s="1"/>
      <c r="H885" s="1"/>
    </row>
    <row r="886" spans="1:8" ht="13.8">
      <c r="A886" s="1"/>
      <c r="D886" s="1"/>
      <c r="H886" s="1"/>
    </row>
    <row r="887" spans="1:8" ht="13.8">
      <c r="A887" s="1"/>
      <c r="D887" s="1"/>
      <c r="H887" s="1"/>
    </row>
    <row r="888" spans="1:8" ht="13.8">
      <c r="A888" s="1"/>
      <c r="D888" s="1"/>
      <c r="H888" s="1"/>
    </row>
    <row r="889" spans="1:8" ht="13.8">
      <c r="A889" s="1"/>
      <c r="D889" s="1"/>
      <c r="H889" s="1"/>
    </row>
    <row r="890" spans="1:8" ht="13.8">
      <c r="A890" s="1"/>
      <c r="D890" s="1"/>
      <c r="H890" s="1"/>
    </row>
    <row r="891" spans="1:8" ht="13.8">
      <c r="A891" s="1"/>
      <c r="D891" s="1"/>
      <c r="H891" s="1"/>
    </row>
    <row r="892" spans="1:8" ht="13.8">
      <c r="A892" s="1"/>
      <c r="D892" s="1"/>
      <c r="H892" s="1"/>
    </row>
    <row r="893" spans="1:8" ht="13.8">
      <c r="A893" s="1"/>
      <c r="D893" s="1"/>
      <c r="H893" s="1"/>
    </row>
    <row r="894" spans="1:8" ht="13.8">
      <c r="A894" s="1"/>
      <c r="D894" s="1"/>
      <c r="H894" s="1"/>
    </row>
    <row r="895" spans="1:8" ht="13.8">
      <c r="A895" s="1"/>
      <c r="D895" s="1"/>
      <c r="H895" s="1"/>
    </row>
    <row r="896" spans="1:8" ht="13.8">
      <c r="A896" s="1"/>
      <c r="D896" s="1"/>
      <c r="H896" s="1"/>
    </row>
    <row r="897" spans="1:8" ht="13.8">
      <c r="A897" s="1"/>
      <c r="D897" s="1"/>
      <c r="H897" s="1"/>
    </row>
    <row r="898" spans="1:8" ht="13.8">
      <c r="A898" s="1"/>
      <c r="D898" s="1"/>
      <c r="H898" s="1"/>
    </row>
    <row r="899" spans="1:8" ht="13.8">
      <c r="A899" s="1"/>
      <c r="D899" s="1"/>
      <c r="H899" s="1"/>
    </row>
    <row r="900" spans="1:8" ht="13.8">
      <c r="A900" s="1"/>
      <c r="D900" s="1"/>
      <c r="H900" s="1"/>
    </row>
    <row r="901" spans="1:8" ht="13.8">
      <c r="A901" s="1"/>
      <c r="D901" s="1"/>
      <c r="H901" s="1"/>
    </row>
    <row r="902" spans="1:8" ht="13.8">
      <c r="A902" s="1"/>
      <c r="D902" s="1"/>
      <c r="H902" s="1"/>
    </row>
    <row r="903" spans="1:8" ht="13.8">
      <c r="A903" s="1"/>
      <c r="D903" s="1"/>
      <c r="H903" s="1"/>
    </row>
    <row r="904" spans="1:8" ht="13.8">
      <c r="A904" s="1"/>
      <c r="D904" s="1"/>
      <c r="H904" s="1"/>
    </row>
    <row r="905" spans="1:8" ht="13.8">
      <c r="A905" s="1"/>
      <c r="D905" s="1"/>
      <c r="H905" s="1"/>
    </row>
    <row r="906" spans="1:8" ht="13.8">
      <c r="A906" s="1"/>
      <c r="D906" s="1"/>
      <c r="H906" s="1"/>
    </row>
    <row r="907" spans="1:8" ht="13.8">
      <c r="A907" s="1"/>
      <c r="D907" s="1"/>
      <c r="H907" s="1"/>
    </row>
    <row r="908" spans="1:8" ht="13.8">
      <c r="A908" s="1"/>
      <c r="D908" s="1"/>
      <c r="H908" s="1"/>
    </row>
    <row r="909" spans="1:8" ht="13.8">
      <c r="A909" s="1"/>
      <c r="D909" s="1"/>
      <c r="H909" s="1"/>
    </row>
    <row r="910" spans="1:8" ht="13.8">
      <c r="A910" s="1"/>
      <c r="D910" s="1"/>
      <c r="H910" s="1"/>
    </row>
    <row r="911" spans="1:8" ht="13.8">
      <c r="A911" s="1"/>
      <c r="D911" s="1"/>
      <c r="H911" s="1"/>
    </row>
    <row r="912" spans="1:8" ht="13.8">
      <c r="A912" s="1"/>
      <c r="D912" s="1"/>
      <c r="H912" s="1"/>
    </row>
    <row r="913" spans="1:8" ht="13.8">
      <c r="A913" s="1"/>
      <c r="D913" s="1"/>
      <c r="H913" s="1"/>
    </row>
    <row r="914" spans="1:8" ht="13.8">
      <c r="A914" s="1"/>
      <c r="D914" s="1"/>
      <c r="H914" s="1"/>
    </row>
    <row r="915" spans="1:8" ht="13.8">
      <c r="A915" s="1"/>
      <c r="D915" s="1"/>
      <c r="H915" s="1"/>
    </row>
    <row r="916" spans="1:8" ht="13.8">
      <c r="A916" s="1"/>
      <c r="D916" s="1"/>
      <c r="H916" s="1"/>
    </row>
    <row r="917" spans="1:8" ht="13.8">
      <c r="A917" s="1"/>
      <c r="D917" s="1"/>
      <c r="H917" s="1"/>
    </row>
    <row r="918" spans="1:8" ht="13.8">
      <c r="A918" s="1"/>
      <c r="D918" s="1"/>
      <c r="H918" s="1"/>
    </row>
    <row r="919" spans="1:8" ht="13.8">
      <c r="A919" s="1"/>
      <c r="D919" s="1"/>
      <c r="H919" s="1"/>
    </row>
    <row r="920" spans="1:8" ht="13.8">
      <c r="A920" s="1"/>
      <c r="D920" s="1"/>
      <c r="H920" s="1"/>
    </row>
    <row r="921" spans="1:8" ht="13.8">
      <c r="A921" s="1"/>
      <c r="D921" s="1"/>
      <c r="H921" s="1"/>
    </row>
    <row r="922" spans="1:8" ht="13.8">
      <c r="A922" s="1"/>
      <c r="D922" s="1"/>
      <c r="H922" s="1"/>
    </row>
    <row r="923" spans="1:8" ht="13.8">
      <c r="A923" s="1"/>
      <c r="D923" s="1"/>
      <c r="H923" s="1"/>
    </row>
    <row r="924" spans="1:8" ht="13.8">
      <c r="A924" s="1"/>
      <c r="D924" s="1"/>
      <c r="H924" s="1"/>
    </row>
    <row r="925" spans="1:8" ht="13.8">
      <c r="A925" s="1"/>
      <c r="D925" s="1"/>
      <c r="H925" s="1"/>
    </row>
    <row r="926" spans="1:8" ht="13.8">
      <c r="A926" s="1"/>
      <c r="D926" s="1"/>
      <c r="H926" s="1"/>
    </row>
    <row r="927" spans="1:8" ht="13.8">
      <c r="A927" s="1"/>
      <c r="D927" s="1"/>
      <c r="H927" s="1"/>
    </row>
    <row r="928" spans="1:8" ht="13.8">
      <c r="A928" s="1"/>
      <c r="D928" s="1"/>
      <c r="H928" s="1"/>
    </row>
    <row r="929" spans="1:8" ht="13.8">
      <c r="A929" s="1"/>
      <c r="D929" s="1"/>
      <c r="H929" s="1"/>
    </row>
    <row r="930" spans="1:8" ht="13.8">
      <c r="A930" s="1"/>
      <c r="D930" s="1"/>
      <c r="H930" s="1"/>
    </row>
    <row r="931" spans="1:8" ht="13.8">
      <c r="A931" s="1"/>
      <c r="D931" s="1"/>
      <c r="H931" s="1"/>
    </row>
    <row r="932" spans="1:8" ht="13.8">
      <c r="A932" s="1"/>
      <c r="D932" s="1"/>
      <c r="H932" s="1"/>
    </row>
    <row r="933" spans="1:8" ht="13.8">
      <c r="A933" s="1"/>
      <c r="D933" s="1"/>
      <c r="H933" s="1"/>
    </row>
    <row r="934" spans="1:8" ht="13.8">
      <c r="A934" s="1"/>
      <c r="D934" s="1"/>
      <c r="H934" s="1"/>
    </row>
    <row r="935" spans="1:8" ht="13.8">
      <c r="A935" s="1"/>
      <c r="D935" s="1"/>
      <c r="H935" s="1"/>
    </row>
    <row r="936" spans="1:8" ht="13.8">
      <c r="A936" s="1"/>
      <c r="D936" s="1"/>
      <c r="H936" s="1"/>
    </row>
    <row r="937" spans="1:8" ht="13.8">
      <c r="A937" s="1"/>
      <c r="D937" s="1"/>
      <c r="H937" s="1"/>
    </row>
    <row r="938" spans="1:8" ht="13.8">
      <c r="A938" s="1"/>
      <c r="D938" s="1"/>
      <c r="H938" s="1"/>
    </row>
    <row r="939" spans="1:8" ht="13.8">
      <c r="A939" s="1"/>
      <c r="D939" s="1"/>
      <c r="H939" s="1"/>
    </row>
    <row r="940" spans="1:8" ht="13.8">
      <c r="A940" s="1"/>
      <c r="D940" s="1"/>
      <c r="H940" s="1"/>
    </row>
    <row r="941" spans="1:8" ht="13.8">
      <c r="A941" s="1"/>
      <c r="D941" s="1"/>
      <c r="H941" s="1"/>
    </row>
    <row r="942" spans="1:8" ht="13.8">
      <c r="A942" s="1"/>
      <c r="D942" s="1"/>
      <c r="H942" s="1"/>
    </row>
    <row r="943" spans="1:8" ht="13.8">
      <c r="A943" s="1"/>
      <c r="D943" s="1"/>
      <c r="H943" s="1"/>
    </row>
    <row r="944" spans="1:8" ht="13.8">
      <c r="A944" s="1"/>
      <c r="D944" s="1"/>
      <c r="H944" s="1"/>
    </row>
    <row r="945" spans="1:8" ht="13.8">
      <c r="A945" s="1"/>
      <c r="D945" s="1"/>
      <c r="H945" s="1"/>
    </row>
    <row r="946" spans="1:8" ht="13.8">
      <c r="A946" s="1"/>
      <c r="D946" s="1"/>
      <c r="H946" s="1"/>
    </row>
    <row r="947" spans="1:8" ht="13.8">
      <c r="A947" s="1"/>
      <c r="D947" s="1"/>
      <c r="H947" s="1"/>
    </row>
    <row r="948" spans="1:8" ht="13.8">
      <c r="A948" s="1"/>
      <c r="D948" s="1"/>
      <c r="H948" s="1"/>
    </row>
    <row r="949" spans="1:8" ht="13.8">
      <c r="A949" s="1"/>
      <c r="D949" s="1"/>
      <c r="H949" s="1"/>
    </row>
    <row r="950" spans="1:8" ht="13.8">
      <c r="A950" s="1"/>
      <c r="D950" s="1"/>
      <c r="H950" s="1"/>
    </row>
    <row r="951" spans="1:8" ht="13.8">
      <c r="A951" s="1"/>
      <c r="D951" s="1"/>
      <c r="H951" s="1"/>
    </row>
    <row r="952" spans="1:8" ht="13.8">
      <c r="A952" s="1"/>
      <c r="D952" s="1"/>
      <c r="H952" s="1"/>
    </row>
    <row r="953" spans="1:8" ht="13.8">
      <c r="A953" s="1"/>
      <c r="D953" s="1"/>
      <c r="H953" s="1"/>
    </row>
    <row r="954" spans="1:8" ht="13.8">
      <c r="A954" s="1"/>
      <c r="D954" s="1"/>
      <c r="H954" s="1"/>
    </row>
    <row r="955" spans="1:8" ht="13.8">
      <c r="A955" s="1"/>
      <c r="D955" s="1"/>
      <c r="H955" s="1"/>
    </row>
    <row r="956" spans="1:8" ht="13.8">
      <c r="A956" s="1"/>
      <c r="D956" s="1"/>
      <c r="H956" s="1"/>
    </row>
    <row r="957" spans="1:8" ht="13.8">
      <c r="A957" s="1"/>
      <c r="D957" s="1"/>
      <c r="H957" s="1"/>
    </row>
    <row r="958" spans="1:8" ht="13.8">
      <c r="A958" s="1"/>
      <c r="D958" s="1"/>
      <c r="H958" s="1"/>
    </row>
    <row r="959" spans="1:8" ht="13.8">
      <c r="A959" s="1"/>
      <c r="D959" s="1"/>
      <c r="H959" s="1"/>
    </row>
    <row r="960" spans="1:8" ht="13.8">
      <c r="A960" s="1"/>
      <c r="D960" s="1"/>
      <c r="H960" s="1"/>
    </row>
    <row r="961" spans="1:8" ht="13.8">
      <c r="A961" s="1"/>
      <c r="D961" s="1"/>
      <c r="H961" s="1"/>
    </row>
    <row r="962" spans="1:8" ht="13.8">
      <c r="A962" s="1"/>
      <c r="D962" s="1"/>
      <c r="H962" s="1"/>
    </row>
    <row r="963" spans="1:8" ht="13.8">
      <c r="A963" s="1"/>
      <c r="D963" s="1"/>
      <c r="H963" s="1"/>
    </row>
    <row r="964" spans="1:8" ht="13.8">
      <c r="A964" s="1"/>
      <c r="D964" s="1"/>
      <c r="H964" s="1"/>
    </row>
    <row r="965" spans="1:8" ht="13.8">
      <c r="A965" s="1"/>
      <c r="D965" s="1"/>
      <c r="H965" s="1"/>
    </row>
    <row r="966" spans="1:8" ht="13.8">
      <c r="A966" s="1"/>
      <c r="D966" s="1"/>
      <c r="H966" s="1"/>
    </row>
    <row r="967" spans="1:8" ht="13.8">
      <c r="A967" s="1"/>
      <c r="D967" s="1"/>
      <c r="H967" s="1"/>
    </row>
    <row r="968" spans="1:8" ht="13.8">
      <c r="A968" s="1"/>
      <c r="D968" s="1"/>
      <c r="H968" s="1"/>
    </row>
    <row r="969" spans="1:8" ht="13.8">
      <c r="A969" s="1"/>
      <c r="D969" s="1"/>
      <c r="H969" s="1"/>
    </row>
    <row r="970" spans="1:8" ht="13.8">
      <c r="A970" s="1"/>
      <c r="D970" s="1"/>
      <c r="H970" s="1"/>
    </row>
    <row r="971" spans="1:8" ht="13.8">
      <c r="A971" s="1"/>
      <c r="D971" s="1"/>
      <c r="H971" s="1"/>
    </row>
    <row r="972" spans="1:8" ht="13.8">
      <c r="A972" s="1"/>
      <c r="D972" s="1"/>
      <c r="H972" s="1"/>
    </row>
    <row r="973" spans="1:8" ht="13.8">
      <c r="A973" s="1"/>
      <c r="D973" s="1"/>
      <c r="H973" s="1"/>
    </row>
    <row r="974" spans="1:8" ht="13.8">
      <c r="A974" s="1"/>
      <c r="D974" s="1"/>
      <c r="H974" s="1"/>
    </row>
    <row r="975" spans="1:8" ht="13.8">
      <c r="A975" s="1"/>
      <c r="D975" s="1"/>
      <c r="H975" s="1"/>
    </row>
    <row r="976" spans="1:8" ht="13.8">
      <c r="A976" s="1"/>
      <c r="D976" s="1"/>
      <c r="H976" s="1"/>
    </row>
    <row r="977" spans="1:8" ht="13.8">
      <c r="A977" s="1"/>
      <c r="D977" s="1"/>
      <c r="H977" s="1"/>
    </row>
    <row r="978" spans="1:8" ht="13.8">
      <c r="A978" s="1"/>
      <c r="D978" s="1"/>
      <c r="H978" s="1"/>
    </row>
    <row r="979" spans="1:8" ht="13.8">
      <c r="A979" s="1"/>
      <c r="D979" s="1"/>
      <c r="H979" s="1"/>
    </row>
    <row r="980" spans="1:8" ht="13.8">
      <c r="A980" s="1"/>
      <c r="D980" s="1"/>
      <c r="H980" s="1"/>
    </row>
    <row r="981" spans="1:8" ht="13.8">
      <c r="A981" s="1"/>
      <c r="D981" s="1"/>
      <c r="H981" s="1"/>
    </row>
    <row r="982" spans="1:8" ht="13.8">
      <c r="A982" s="1"/>
      <c r="D982" s="1"/>
      <c r="H982" s="1"/>
    </row>
    <row r="983" spans="1:8" ht="13.8">
      <c r="A983" s="1"/>
      <c r="D983" s="1"/>
      <c r="H983" s="1"/>
    </row>
    <row r="984" spans="1:8" ht="13.8">
      <c r="A984" s="1"/>
      <c r="D984" s="1"/>
      <c r="H984" s="1"/>
    </row>
    <row r="985" spans="1:8" ht="13.8">
      <c r="A985" s="1"/>
      <c r="D985" s="1"/>
      <c r="H985" s="1"/>
    </row>
    <row r="986" spans="1:8" ht="13.8">
      <c r="A986" s="1"/>
      <c r="D986" s="1"/>
      <c r="H986" s="1"/>
    </row>
    <row r="987" spans="1:8" ht="13.8">
      <c r="A987" s="1"/>
      <c r="D987" s="1"/>
      <c r="H987" s="1"/>
    </row>
    <row r="988" spans="1:8" ht="13.8">
      <c r="A988" s="1"/>
      <c r="D988" s="1"/>
      <c r="H988" s="1"/>
    </row>
    <row r="989" spans="1:8" ht="13.8">
      <c r="A989" s="1"/>
      <c r="D989" s="1"/>
      <c r="H989" s="1"/>
    </row>
    <row r="990" spans="1:8" ht="13.8">
      <c r="A990" s="1"/>
      <c r="D990" s="1"/>
      <c r="H990" s="1"/>
    </row>
    <row r="991" spans="1:8" ht="13.8">
      <c r="A991" s="1"/>
      <c r="D991" s="1"/>
      <c r="H991" s="1"/>
    </row>
    <row r="992" spans="1:8" ht="13.8">
      <c r="A992" s="1"/>
      <c r="D992" s="1"/>
      <c r="H992" s="1"/>
    </row>
    <row r="993" spans="1:8" ht="13.8">
      <c r="A993" s="1"/>
      <c r="D993" s="1"/>
      <c r="H993" s="1"/>
    </row>
    <row r="994" spans="1:8" ht="13.8">
      <c r="A994" s="1"/>
      <c r="D994" s="1"/>
      <c r="H994" s="1"/>
    </row>
    <row r="995" spans="1:8" ht="13.8">
      <c r="A995" s="1"/>
      <c r="D995" s="1"/>
      <c r="H995" s="1"/>
    </row>
    <row r="996" spans="1:8" ht="13.8">
      <c r="A996" s="1"/>
      <c r="D996" s="1"/>
      <c r="H996" s="1"/>
    </row>
    <row r="997" spans="1:8" ht="13.8">
      <c r="A997" s="1"/>
      <c r="D997" s="1"/>
      <c r="H997" s="1"/>
    </row>
    <row r="998" spans="1:8" ht="13.8">
      <c r="A998" s="1"/>
      <c r="D998" s="1"/>
      <c r="H998" s="1"/>
    </row>
    <row r="999" spans="1:8" ht="13.8">
      <c r="A999" s="1"/>
      <c r="D999" s="1"/>
      <c r="H999" s="1"/>
    </row>
    <row r="1000" spans="1:8" ht="13.8">
      <c r="A1000" s="1"/>
      <c r="D1000" s="1"/>
      <c r="H1000" s="1"/>
    </row>
    <row r="1001" spans="1:8" ht="13.8">
      <c r="A1001" s="1"/>
      <c r="D1001" s="1"/>
      <c r="H1001" s="1"/>
    </row>
  </sheetData>
  <hyperlinks>
    <hyperlink ref="J2" r:id="rId1" xr:uid="{00000000-0004-0000-0200-000000000000}"/>
    <hyperlink ref="J3" r:id="rId2" xr:uid="{00000000-0004-0000-0200-000001000000}"/>
    <hyperlink ref="J4" r:id="rId3" xr:uid="{00000000-0004-0000-0200-000002000000}"/>
    <hyperlink ref="J5" r:id="rId4" xr:uid="{00000000-0004-0000-0200-000003000000}"/>
    <hyperlink ref="J6" r:id="rId5" xr:uid="{00000000-0004-0000-0200-000004000000}"/>
    <hyperlink ref="J7" r:id="rId6" xr:uid="{00000000-0004-0000-0200-000005000000}"/>
    <hyperlink ref="J8" r:id="rId7" xr:uid="{00000000-0004-0000-0200-000006000000}"/>
    <hyperlink ref="J9" r:id="rId8" xr:uid="{00000000-0004-0000-0200-000007000000}"/>
    <hyperlink ref="J10" r:id="rId9" xr:uid="{00000000-0004-0000-0200-000008000000}"/>
    <hyperlink ref="J11" r:id="rId10" xr:uid="{00000000-0004-0000-0200-000009000000}"/>
    <hyperlink ref="J12" r:id="rId11" xr:uid="{00000000-0004-0000-0200-00000A000000}"/>
    <hyperlink ref="J13" r:id="rId12" xr:uid="{00000000-0004-0000-0200-00000B000000}"/>
    <hyperlink ref="J14" r:id="rId13" xr:uid="{00000000-0004-0000-0200-00000C000000}"/>
    <hyperlink ref="J15" r:id="rId14" xr:uid="{00000000-0004-0000-0200-00000D000000}"/>
    <hyperlink ref="J16" r:id="rId15" xr:uid="{00000000-0004-0000-0200-00000E000000}"/>
    <hyperlink ref="J17" r:id="rId16" xr:uid="{00000000-0004-0000-0200-00000F000000}"/>
    <hyperlink ref="J18" r:id="rId17" xr:uid="{00000000-0004-0000-0200-000010000000}"/>
    <hyperlink ref="J19" r:id="rId18" xr:uid="{00000000-0004-0000-0200-000011000000}"/>
    <hyperlink ref="J20" r:id="rId19" xr:uid="{00000000-0004-0000-0200-000012000000}"/>
    <hyperlink ref="J21" r:id="rId20" xr:uid="{00000000-0004-0000-0200-000013000000}"/>
    <hyperlink ref="J22" r:id="rId21" xr:uid="{00000000-0004-0000-0200-000014000000}"/>
    <hyperlink ref="J23" r:id="rId22" xr:uid="{00000000-0004-0000-0200-000015000000}"/>
    <hyperlink ref="J24" r:id="rId23" xr:uid="{00000000-0004-0000-0200-000016000000}"/>
    <hyperlink ref="J25" r:id="rId24" xr:uid="{00000000-0004-0000-0200-000017000000}"/>
    <hyperlink ref="J26" r:id="rId25" xr:uid="{00000000-0004-0000-0200-000018000000}"/>
    <hyperlink ref="J27" r:id="rId26" xr:uid="{00000000-0004-0000-0200-000019000000}"/>
    <hyperlink ref="J28" r:id="rId27" xr:uid="{00000000-0004-0000-0200-00001A000000}"/>
    <hyperlink ref="J29" r:id="rId28" xr:uid="{00000000-0004-0000-0200-00001B000000}"/>
    <hyperlink ref="J30" r:id="rId29" xr:uid="{00000000-0004-0000-0200-00001C000000}"/>
    <hyperlink ref="J31" r:id="rId30" xr:uid="{00000000-0004-0000-0200-00001D000000}"/>
    <hyperlink ref="J32" r:id="rId31" xr:uid="{00000000-0004-0000-0200-00001E000000}"/>
    <hyperlink ref="J33" r:id="rId32" xr:uid="{00000000-0004-0000-0200-00001F000000}"/>
    <hyperlink ref="J34" r:id="rId33" xr:uid="{00000000-0004-0000-0200-000020000000}"/>
    <hyperlink ref="J35" r:id="rId34" xr:uid="{00000000-0004-0000-0200-000021000000}"/>
    <hyperlink ref="J36" r:id="rId35" xr:uid="{00000000-0004-0000-0200-000022000000}"/>
    <hyperlink ref="J37" r:id="rId36" xr:uid="{00000000-0004-0000-0200-000023000000}"/>
    <hyperlink ref="J38" r:id="rId37" xr:uid="{00000000-0004-0000-0200-000024000000}"/>
    <hyperlink ref="J39" r:id="rId38" xr:uid="{00000000-0004-0000-0200-000025000000}"/>
    <hyperlink ref="J40" r:id="rId39" xr:uid="{00000000-0004-0000-0200-000026000000}"/>
    <hyperlink ref="J41" r:id="rId40" xr:uid="{00000000-0004-0000-0200-000027000000}"/>
    <hyperlink ref="J42" r:id="rId41" xr:uid="{00000000-0004-0000-0200-000028000000}"/>
    <hyperlink ref="J43" r:id="rId42" xr:uid="{00000000-0004-0000-0200-000029000000}"/>
    <hyperlink ref="J44" r:id="rId43" xr:uid="{00000000-0004-0000-0200-00002A000000}"/>
    <hyperlink ref="J45" r:id="rId44" xr:uid="{00000000-0004-0000-0200-00002B000000}"/>
    <hyperlink ref="J46" r:id="rId45" xr:uid="{00000000-0004-0000-0200-00002C000000}"/>
    <hyperlink ref="J47" r:id="rId46" xr:uid="{00000000-0004-0000-0200-00002D000000}"/>
    <hyperlink ref="J48" r:id="rId47" xr:uid="{00000000-0004-0000-0200-00002E000000}"/>
    <hyperlink ref="J49" r:id="rId48" xr:uid="{00000000-0004-0000-0200-00002F000000}"/>
    <hyperlink ref="J50" r:id="rId49" xr:uid="{00000000-0004-0000-0200-000030000000}"/>
    <hyperlink ref="J51" r:id="rId50" xr:uid="{00000000-0004-0000-0200-000031000000}"/>
    <hyperlink ref="J52" r:id="rId51" xr:uid="{00000000-0004-0000-0200-000032000000}"/>
    <hyperlink ref="J53" r:id="rId52" xr:uid="{00000000-0004-0000-0200-000033000000}"/>
    <hyperlink ref="J54" r:id="rId53" xr:uid="{00000000-0004-0000-0200-000034000000}"/>
    <hyperlink ref="J55" r:id="rId54" xr:uid="{00000000-0004-0000-0200-000035000000}"/>
    <hyperlink ref="J56" r:id="rId55" xr:uid="{00000000-0004-0000-0200-000036000000}"/>
    <hyperlink ref="J57" r:id="rId56" xr:uid="{00000000-0004-0000-0200-000037000000}"/>
    <hyperlink ref="J58" r:id="rId57" xr:uid="{00000000-0004-0000-0200-000038000000}"/>
    <hyperlink ref="J59" r:id="rId58" xr:uid="{00000000-0004-0000-0200-000039000000}"/>
    <hyperlink ref="J60" r:id="rId59" xr:uid="{00000000-0004-0000-0200-00003A000000}"/>
    <hyperlink ref="J61" r:id="rId60" xr:uid="{00000000-0004-0000-0200-00003B000000}"/>
    <hyperlink ref="J62" r:id="rId61" xr:uid="{00000000-0004-0000-0200-00003C000000}"/>
    <hyperlink ref="J63" r:id="rId62" xr:uid="{00000000-0004-0000-0200-00003D000000}"/>
    <hyperlink ref="J64" r:id="rId63" xr:uid="{00000000-0004-0000-0200-00003E000000}"/>
    <hyperlink ref="J65" r:id="rId64" xr:uid="{00000000-0004-0000-0200-00003F000000}"/>
    <hyperlink ref="J66" r:id="rId65" xr:uid="{00000000-0004-0000-0200-000040000000}"/>
    <hyperlink ref="J67" r:id="rId66" xr:uid="{00000000-0004-0000-0200-000041000000}"/>
    <hyperlink ref="J68" r:id="rId67" xr:uid="{00000000-0004-0000-0200-000042000000}"/>
    <hyperlink ref="J69" r:id="rId68" xr:uid="{00000000-0004-0000-0200-000043000000}"/>
    <hyperlink ref="J70" r:id="rId69" xr:uid="{00000000-0004-0000-0200-000044000000}"/>
    <hyperlink ref="J71" r:id="rId70" xr:uid="{00000000-0004-0000-0200-000045000000}"/>
    <hyperlink ref="J72" r:id="rId71" xr:uid="{00000000-0004-0000-0200-000046000000}"/>
    <hyperlink ref="J73" r:id="rId72" xr:uid="{00000000-0004-0000-0200-000047000000}"/>
    <hyperlink ref="J74" r:id="rId73" xr:uid="{00000000-0004-0000-0200-000048000000}"/>
    <hyperlink ref="J75" r:id="rId74" xr:uid="{00000000-0004-0000-0200-000049000000}"/>
    <hyperlink ref="J76" r:id="rId75" xr:uid="{00000000-0004-0000-0200-00004A000000}"/>
    <hyperlink ref="J77" r:id="rId76" xr:uid="{00000000-0004-0000-0200-00004B000000}"/>
    <hyperlink ref="J78" r:id="rId77" xr:uid="{00000000-0004-0000-0200-00004C000000}"/>
    <hyperlink ref="J79" r:id="rId78" xr:uid="{00000000-0004-0000-0200-00004D000000}"/>
    <hyperlink ref="J80" r:id="rId79" xr:uid="{00000000-0004-0000-0200-00004E000000}"/>
    <hyperlink ref="J81" r:id="rId80" xr:uid="{00000000-0004-0000-0200-00004F000000}"/>
    <hyperlink ref="J82" r:id="rId81" xr:uid="{00000000-0004-0000-0200-000050000000}"/>
    <hyperlink ref="J83" r:id="rId82" xr:uid="{00000000-0004-0000-0200-000051000000}"/>
    <hyperlink ref="J84" r:id="rId83" xr:uid="{00000000-0004-0000-0200-000052000000}"/>
    <hyperlink ref="J85" r:id="rId84" xr:uid="{00000000-0004-0000-0200-000053000000}"/>
    <hyperlink ref="J86" r:id="rId85" xr:uid="{00000000-0004-0000-0200-000054000000}"/>
    <hyperlink ref="J87" r:id="rId86" xr:uid="{00000000-0004-0000-0200-000055000000}"/>
    <hyperlink ref="J88" r:id="rId87" xr:uid="{00000000-0004-0000-0200-000056000000}"/>
    <hyperlink ref="J89" r:id="rId88" xr:uid="{00000000-0004-0000-0200-000057000000}"/>
    <hyperlink ref="J90" r:id="rId89" xr:uid="{00000000-0004-0000-0200-000058000000}"/>
    <hyperlink ref="J91" r:id="rId90" xr:uid="{00000000-0004-0000-0200-000059000000}"/>
    <hyperlink ref="J92" r:id="rId91" xr:uid="{00000000-0004-0000-0200-00005A000000}"/>
    <hyperlink ref="J93" r:id="rId92" xr:uid="{00000000-0004-0000-0200-00005B000000}"/>
    <hyperlink ref="J94" r:id="rId93" xr:uid="{00000000-0004-0000-0200-00005C000000}"/>
    <hyperlink ref="J95" r:id="rId94" xr:uid="{00000000-0004-0000-0200-00005D000000}"/>
    <hyperlink ref="J96" r:id="rId95" xr:uid="{00000000-0004-0000-0200-00005E000000}"/>
    <hyperlink ref="J97" r:id="rId96" xr:uid="{00000000-0004-0000-0200-00005F000000}"/>
    <hyperlink ref="J98" r:id="rId97" xr:uid="{00000000-0004-0000-0200-000060000000}"/>
    <hyperlink ref="J99" r:id="rId98" xr:uid="{00000000-0004-0000-0200-000061000000}"/>
    <hyperlink ref="J100" r:id="rId99" xr:uid="{00000000-0004-0000-0200-000062000000}"/>
    <hyperlink ref="J101" r:id="rId100" xr:uid="{00000000-0004-0000-0200-000063000000}"/>
    <hyperlink ref="J102" r:id="rId101" xr:uid="{00000000-0004-0000-0200-000064000000}"/>
    <hyperlink ref="J103" r:id="rId102" xr:uid="{00000000-0004-0000-0200-000065000000}"/>
    <hyperlink ref="J104" r:id="rId103" xr:uid="{00000000-0004-0000-0200-000066000000}"/>
    <hyperlink ref="J105" r:id="rId104" xr:uid="{00000000-0004-0000-0200-000067000000}"/>
    <hyperlink ref="J106" r:id="rId105" xr:uid="{00000000-0004-0000-0200-000068000000}"/>
    <hyperlink ref="J107" r:id="rId106" xr:uid="{00000000-0004-0000-0200-000069000000}"/>
    <hyperlink ref="J108" r:id="rId107" xr:uid="{00000000-0004-0000-0200-00006A000000}"/>
    <hyperlink ref="J109" r:id="rId108" xr:uid="{00000000-0004-0000-0200-00006B000000}"/>
    <hyperlink ref="J110" r:id="rId109" xr:uid="{00000000-0004-0000-0200-00006C000000}"/>
    <hyperlink ref="J111" r:id="rId110" xr:uid="{00000000-0004-0000-0200-00006D000000}"/>
    <hyperlink ref="J112" r:id="rId111" xr:uid="{00000000-0004-0000-0200-00006E000000}"/>
    <hyperlink ref="J113" r:id="rId112" xr:uid="{00000000-0004-0000-0200-00006F000000}"/>
    <hyperlink ref="J114" r:id="rId113" xr:uid="{00000000-0004-0000-0200-000070000000}"/>
    <hyperlink ref="J115" r:id="rId114" xr:uid="{00000000-0004-0000-0200-000071000000}"/>
    <hyperlink ref="J116" r:id="rId115" xr:uid="{00000000-0004-0000-0200-000072000000}"/>
    <hyperlink ref="J117" r:id="rId116" xr:uid="{00000000-0004-0000-0200-000073000000}"/>
    <hyperlink ref="J118" r:id="rId117" xr:uid="{00000000-0004-0000-0200-000074000000}"/>
    <hyperlink ref="J119" r:id="rId118" xr:uid="{00000000-0004-0000-0200-000075000000}"/>
    <hyperlink ref="J120" r:id="rId119" xr:uid="{00000000-0004-0000-0200-000076000000}"/>
    <hyperlink ref="J121" r:id="rId120" xr:uid="{00000000-0004-0000-0200-000077000000}"/>
    <hyperlink ref="J122" r:id="rId121" xr:uid="{00000000-0004-0000-0200-000078000000}"/>
    <hyperlink ref="J123" r:id="rId122" xr:uid="{00000000-0004-0000-0200-000079000000}"/>
    <hyperlink ref="J124" r:id="rId123" xr:uid="{00000000-0004-0000-0200-00007A000000}"/>
    <hyperlink ref="J125" r:id="rId124" xr:uid="{00000000-0004-0000-0200-00007B000000}"/>
    <hyperlink ref="J126" r:id="rId125" xr:uid="{00000000-0004-0000-0200-00007C000000}"/>
    <hyperlink ref="J127" r:id="rId126" xr:uid="{00000000-0004-0000-0200-00007D000000}"/>
    <hyperlink ref="J128" r:id="rId127" xr:uid="{00000000-0004-0000-0200-00007E000000}"/>
    <hyperlink ref="J129" r:id="rId128" xr:uid="{00000000-0004-0000-0200-00007F000000}"/>
    <hyperlink ref="J130" r:id="rId129" xr:uid="{00000000-0004-0000-0200-000080000000}"/>
    <hyperlink ref="J131" r:id="rId130" xr:uid="{00000000-0004-0000-0200-000081000000}"/>
    <hyperlink ref="J132" r:id="rId131" xr:uid="{00000000-0004-0000-0200-000082000000}"/>
    <hyperlink ref="J133" r:id="rId132" xr:uid="{00000000-0004-0000-0200-000083000000}"/>
    <hyperlink ref="J134" r:id="rId133" xr:uid="{00000000-0004-0000-0200-000084000000}"/>
    <hyperlink ref="J135" r:id="rId134" xr:uid="{00000000-0004-0000-0200-000085000000}"/>
    <hyperlink ref="J136" r:id="rId135" xr:uid="{00000000-0004-0000-0200-000086000000}"/>
    <hyperlink ref="J137" r:id="rId136" xr:uid="{00000000-0004-0000-0200-000087000000}"/>
    <hyperlink ref="J138" r:id="rId137" xr:uid="{00000000-0004-0000-0200-000088000000}"/>
    <hyperlink ref="J139" r:id="rId138" xr:uid="{00000000-0004-0000-0200-000089000000}"/>
    <hyperlink ref="J140" r:id="rId139" xr:uid="{00000000-0004-0000-0200-00008A000000}"/>
    <hyperlink ref="J141" r:id="rId140" xr:uid="{00000000-0004-0000-0200-00008B000000}"/>
    <hyperlink ref="J142" r:id="rId141" xr:uid="{00000000-0004-0000-0200-00008C000000}"/>
    <hyperlink ref="J143" r:id="rId142" xr:uid="{00000000-0004-0000-0200-00008D000000}"/>
    <hyperlink ref="J144" r:id="rId143" xr:uid="{00000000-0004-0000-0200-00008E000000}"/>
    <hyperlink ref="J145" r:id="rId144" xr:uid="{00000000-0004-0000-0200-00008F000000}"/>
    <hyperlink ref="J146" r:id="rId145" xr:uid="{00000000-0004-0000-0200-000090000000}"/>
    <hyperlink ref="J147" r:id="rId146" xr:uid="{00000000-0004-0000-0200-000091000000}"/>
    <hyperlink ref="J148" r:id="rId147" xr:uid="{00000000-0004-0000-0200-000092000000}"/>
    <hyperlink ref="J149" r:id="rId148" xr:uid="{00000000-0004-0000-0200-000093000000}"/>
    <hyperlink ref="J150" r:id="rId149" xr:uid="{00000000-0004-0000-0200-000094000000}"/>
    <hyperlink ref="J151" r:id="rId150" xr:uid="{00000000-0004-0000-0200-000095000000}"/>
    <hyperlink ref="J152" r:id="rId151" xr:uid="{00000000-0004-0000-0200-000096000000}"/>
    <hyperlink ref="J153" r:id="rId152" xr:uid="{00000000-0004-0000-0200-000097000000}"/>
    <hyperlink ref="J154" r:id="rId153" xr:uid="{00000000-0004-0000-0200-000098000000}"/>
    <hyperlink ref="J155" r:id="rId154" xr:uid="{00000000-0004-0000-0200-000099000000}"/>
    <hyperlink ref="J156" r:id="rId155" xr:uid="{00000000-0004-0000-0200-00009A000000}"/>
    <hyperlink ref="J157" r:id="rId156" xr:uid="{00000000-0004-0000-0200-00009B000000}"/>
    <hyperlink ref="J158" r:id="rId157" xr:uid="{00000000-0004-0000-0200-00009C000000}"/>
    <hyperlink ref="J159" r:id="rId158" xr:uid="{00000000-0004-0000-0200-00009D000000}"/>
    <hyperlink ref="J160" r:id="rId159" xr:uid="{00000000-0004-0000-0200-00009E000000}"/>
    <hyperlink ref="J161" r:id="rId160" xr:uid="{00000000-0004-0000-0200-00009F000000}"/>
    <hyperlink ref="J162" r:id="rId161" xr:uid="{00000000-0004-0000-0200-0000A0000000}"/>
    <hyperlink ref="J163" r:id="rId162" xr:uid="{00000000-0004-0000-0200-0000A1000000}"/>
    <hyperlink ref="J164" r:id="rId163" xr:uid="{00000000-0004-0000-0200-0000A2000000}"/>
  </hyperlinks>
  <pageMargins left="0.74791666666666701" right="0.74791666666666701" top="0.98402777777777795" bottom="0.98402777777777795" header="0.511811023622047" footer="0.511811023622047"/>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heetPr>
  <dimension ref="A1:K16"/>
  <sheetViews>
    <sheetView zoomScaleNormal="100" workbookViewId="0">
      <selection activeCell="B4" sqref="B4"/>
    </sheetView>
  </sheetViews>
  <sheetFormatPr defaultColWidth="12.6640625" defaultRowHeight="15.75" customHeight="1"/>
  <sheetData>
    <row r="1" spans="1:11" ht="13.8">
      <c r="A1" s="1" t="s">
        <v>14183</v>
      </c>
      <c r="B1" s="1" t="s">
        <v>16198</v>
      </c>
      <c r="C1" s="1" t="s">
        <v>16199</v>
      </c>
      <c r="D1" s="1" t="s">
        <v>14186</v>
      </c>
      <c r="E1" s="1" t="s">
        <v>14187</v>
      </c>
      <c r="F1" s="1" t="s">
        <v>14188</v>
      </c>
      <c r="G1" s="1" t="s">
        <v>14189</v>
      </c>
      <c r="H1" s="1" t="s">
        <v>14190</v>
      </c>
      <c r="I1" s="1" t="s">
        <v>16200</v>
      </c>
      <c r="J1" s="1" t="s">
        <v>14192</v>
      </c>
      <c r="K1" s="1" t="s">
        <v>14193</v>
      </c>
    </row>
    <row r="2" spans="1:11" ht="13.8">
      <c r="A2" s="1" t="s">
        <v>16201</v>
      </c>
      <c r="B2" s="1" t="s">
        <v>16202</v>
      </c>
      <c r="C2" s="1" t="s">
        <v>16203</v>
      </c>
      <c r="D2" s="1" t="s">
        <v>16204</v>
      </c>
      <c r="E2" s="1">
        <v>40</v>
      </c>
      <c r="F2" s="1" t="s">
        <v>145</v>
      </c>
      <c r="G2" s="1" t="s">
        <v>14198</v>
      </c>
      <c r="H2" s="1" t="s">
        <v>16205</v>
      </c>
      <c r="I2" s="1" t="s">
        <v>16206</v>
      </c>
      <c r="J2" s="3" t="s">
        <v>16207</v>
      </c>
      <c r="K2" s="1" t="s">
        <v>16208</v>
      </c>
    </row>
    <row r="3" spans="1:11" ht="409.6">
      <c r="A3" s="1" t="s">
        <v>16209</v>
      </c>
      <c r="B3" s="1" t="s">
        <v>16210</v>
      </c>
      <c r="C3" s="1" t="s">
        <v>16211</v>
      </c>
      <c r="D3" s="1" t="s">
        <v>16212</v>
      </c>
      <c r="E3" s="1">
        <v>40</v>
      </c>
      <c r="F3" s="1" t="s">
        <v>15138</v>
      </c>
      <c r="G3" s="1" t="s">
        <v>14198</v>
      </c>
      <c r="H3" s="4" t="s">
        <v>16213</v>
      </c>
      <c r="I3" s="1" t="s">
        <v>16214</v>
      </c>
      <c r="J3" s="3" t="s">
        <v>16215</v>
      </c>
      <c r="K3" s="1" t="s">
        <v>16208</v>
      </c>
    </row>
    <row r="4" spans="1:11" ht="13.8">
      <c r="A4" s="1" t="s">
        <v>16216</v>
      </c>
      <c r="B4" s="1" t="s">
        <v>16217</v>
      </c>
      <c r="C4" s="1" t="s">
        <v>16218</v>
      </c>
      <c r="D4" s="1" t="s">
        <v>16219</v>
      </c>
      <c r="E4" s="1">
        <v>35</v>
      </c>
      <c r="F4" s="1" t="s">
        <v>14207</v>
      </c>
      <c r="G4" s="1" t="s">
        <v>14198</v>
      </c>
      <c r="H4" s="1" t="s">
        <v>16220</v>
      </c>
      <c r="I4" s="1" t="s">
        <v>16221</v>
      </c>
      <c r="J4" s="3" t="s">
        <v>16222</v>
      </c>
      <c r="K4" s="1" t="s">
        <v>16208</v>
      </c>
    </row>
    <row r="5" spans="1:11" ht="13.8">
      <c r="A5" s="1" t="s">
        <v>16223</v>
      </c>
      <c r="B5" s="1" t="s">
        <v>16224</v>
      </c>
      <c r="C5" s="1" t="s">
        <v>16225</v>
      </c>
      <c r="D5" s="1" t="s">
        <v>16226</v>
      </c>
      <c r="E5" s="1">
        <v>120</v>
      </c>
      <c r="F5" s="1" t="s">
        <v>15138</v>
      </c>
      <c r="G5" s="1" t="s">
        <v>14198</v>
      </c>
      <c r="H5" s="1" t="s">
        <v>16227</v>
      </c>
      <c r="I5" s="1" t="s">
        <v>16228</v>
      </c>
      <c r="J5" s="3" t="s">
        <v>16229</v>
      </c>
      <c r="K5" s="1" t="s">
        <v>16208</v>
      </c>
    </row>
    <row r="6" spans="1:11" ht="13.8">
      <c r="A6" s="1" t="s">
        <v>16230</v>
      </c>
      <c r="B6" s="1" t="s">
        <v>16231</v>
      </c>
      <c r="C6" s="1" t="s">
        <v>16232</v>
      </c>
      <c r="D6" s="1" t="s">
        <v>16233</v>
      </c>
      <c r="E6" s="1">
        <v>15</v>
      </c>
      <c r="F6" s="1" t="s">
        <v>14207</v>
      </c>
      <c r="G6" s="1" t="s">
        <v>14198</v>
      </c>
      <c r="H6" s="1" t="s">
        <v>16234</v>
      </c>
      <c r="I6" s="1" t="s">
        <v>16235</v>
      </c>
      <c r="J6" s="3" t="s">
        <v>16236</v>
      </c>
      <c r="K6" s="1" t="s">
        <v>16208</v>
      </c>
    </row>
    <row r="7" spans="1:11" ht="13.8">
      <c r="A7" s="1" t="s">
        <v>16237</v>
      </c>
      <c r="B7" s="1" t="s">
        <v>16238</v>
      </c>
      <c r="C7" s="1" t="s">
        <v>16239</v>
      </c>
      <c r="D7" s="1" t="s">
        <v>16240</v>
      </c>
      <c r="E7" s="1">
        <v>100</v>
      </c>
      <c r="F7" s="1" t="s">
        <v>14281</v>
      </c>
      <c r="G7" s="1" t="s">
        <v>14198</v>
      </c>
      <c r="H7" s="1" t="s">
        <v>16241</v>
      </c>
      <c r="I7" s="1" t="s">
        <v>16242</v>
      </c>
      <c r="J7" s="3" t="s">
        <v>16243</v>
      </c>
      <c r="K7" s="1" t="s">
        <v>16208</v>
      </c>
    </row>
    <row r="8" spans="1:11" ht="13.8">
      <c r="A8" s="1" t="s">
        <v>16244</v>
      </c>
      <c r="B8" s="1" t="s">
        <v>16245</v>
      </c>
      <c r="C8" s="1" t="s">
        <v>16246</v>
      </c>
      <c r="D8" s="1" t="s">
        <v>16247</v>
      </c>
      <c r="E8" s="1">
        <v>50</v>
      </c>
      <c r="F8" s="1" t="s">
        <v>14207</v>
      </c>
      <c r="G8" s="1" t="s">
        <v>14198</v>
      </c>
      <c r="H8" s="1" t="s">
        <v>16248</v>
      </c>
      <c r="I8" s="1" t="s">
        <v>16249</v>
      </c>
      <c r="J8" s="3" t="s">
        <v>16250</v>
      </c>
      <c r="K8" s="1" t="s">
        <v>16208</v>
      </c>
    </row>
    <row r="9" spans="1:11" ht="13.8">
      <c r="A9" s="1" t="s">
        <v>16251</v>
      </c>
      <c r="B9" s="1" t="s">
        <v>16252</v>
      </c>
      <c r="C9" s="1" t="s">
        <v>16253</v>
      </c>
      <c r="D9" s="1" t="s">
        <v>16254</v>
      </c>
      <c r="E9" s="1">
        <v>20</v>
      </c>
      <c r="F9" s="1" t="s">
        <v>14207</v>
      </c>
      <c r="G9" s="1" t="s">
        <v>14338</v>
      </c>
      <c r="H9" s="1" t="s">
        <v>16255</v>
      </c>
      <c r="I9" s="1" t="s">
        <v>16256</v>
      </c>
      <c r="J9" s="3" t="s">
        <v>16257</v>
      </c>
      <c r="K9" s="1" t="s">
        <v>16208</v>
      </c>
    </row>
    <row r="10" spans="1:11" ht="409.6">
      <c r="A10" s="1" t="s">
        <v>16258</v>
      </c>
      <c r="B10" s="1" t="s">
        <v>16259</v>
      </c>
      <c r="C10" s="1" t="s">
        <v>16260</v>
      </c>
      <c r="D10" s="1" t="s">
        <v>16261</v>
      </c>
      <c r="E10" s="1">
        <v>50</v>
      </c>
      <c r="F10" s="1" t="s">
        <v>14281</v>
      </c>
      <c r="G10" s="1" t="s">
        <v>14198</v>
      </c>
      <c r="H10" s="1" t="s">
        <v>16262</v>
      </c>
      <c r="I10" s="4" t="s">
        <v>16263</v>
      </c>
      <c r="J10" s="3" t="s">
        <v>16264</v>
      </c>
      <c r="K10" s="1" t="s">
        <v>16208</v>
      </c>
    </row>
    <row r="11" spans="1:11" ht="409.6">
      <c r="A11" s="1" t="s">
        <v>16265</v>
      </c>
      <c r="B11" s="1" t="s">
        <v>16266</v>
      </c>
      <c r="C11" s="1" t="s">
        <v>16267</v>
      </c>
      <c r="D11" s="1" t="s">
        <v>16268</v>
      </c>
      <c r="E11" s="1">
        <v>15</v>
      </c>
      <c r="F11" s="1" t="s">
        <v>14281</v>
      </c>
      <c r="G11" s="1" t="s">
        <v>14198</v>
      </c>
      <c r="H11" s="4" t="s">
        <v>16269</v>
      </c>
      <c r="I11" s="1" t="s">
        <v>16270</v>
      </c>
      <c r="J11" s="3" t="s">
        <v>16271</v>
      </c>
      <c r="K11" s="1" t="s">
        <v>16208</v>
      </c>
    </row>
    <row r="12" spans="1:11" ht="13.8">
      <c r="A12" s="1" t="s">
        <v>16272</v>
      </c>
      <c r="B12" s="1" t="s">
        <v>16273</v>
      </c>
      <c r="C12" s="1" t="s">
        <v>16274</v>
      </c>
      <c r="D12" s="1" t="s">
        <v>16275</v>
      </c>
      <c r="E12" s="1">
        <v>40</v>
      </c>
      <c r="F12" s="1" t="s">
        <v>145</v>
      </c>
      <c r="G12" s="1" t="s">
        <v>14198</v>
      </c>
      <c r="H12" s="1" t="s">
        <v>16276</v>
      </c>
      <c r="I12" s="1" t="s">
        <v>16277</v>
      </c>
      <c r="J12" s="3" t="s">
        <v>16278</v>
      </c>
      <c r="K12" s="1" t="s">
        <v>16208</v>
      </c>
    </row>
    <row r="13" spans="1:11" ht="13.8">
      <c r="A13" s="1" t="s">
        <v>16279</v>
      </c>
      <c r="B13" s="1" t="s">
        <v>16280</v>
      </c>
      <c r="C13" s="1" t="s">
        <v>16281</v>
      </c>
      <c r="D13" s="1" t="s">
        <v>16282</v>
      </c>
      <c r="E13" s="1">
        <v>55</v>
      </c>
      <c r="F13" s="1" t="s">
        <v>14259</v>
      </c>
      <c r="G13" s="1" t="s">
        <v>14198</v>
      </c>
      <c r="H13" s="1" t="s">
        <v>16283</v>
      </c>
      <c r="I13" s="1" t="s">
        <v>16284</v>
      </c>
      <c r="J13" s="3" t="s">
        <v>16285</v>
      </c>
      <c r="K13" s="1" t="s">
        <v>16208</v>
      </c>
    </row>
    <row r="14" spans="1:11" ht="13.8">
      <c r="A14" s="1" t="s">
        <v>16286</v>
      </c>
      <c r="B14" s="1" t="s">
        <v>16287</v>
      </c>
      <c r="C14" s="1" t="s">
        <v>16288</v>
      </c>
      <c r="D14" s="1" t="s">
        <v>16289</v>
      </c>
      <c r="E14" s="1">
        <v>40</v>
      </c>
      <c r="F14" s="1" t="s">
        <v>14207</v>
      </c>
      <c r="G14" s="1" t="s">
        <v>14198</v>
      </c>
      <c r="H14" s="1" t="s">
        <v>16290</v>
      </c>
      <c r="I14" s="1" t="s">
        <v>16291</v>
      </c>
      <c r="J14" s="3" t="s">
        <v>16292</v>
      </c>
      <c r="K14" s="1" t="s">
        <v>16208</v>
      </c>
    </row>
    <row r="15" spans="1:11" ht="13.8">
      <c r="A15" s="1" t="s">
        <v>16293</v>
      </c>
      <c r="B15" s="1" t="s">
        <v>16294</v>
      </c>
      <c r="C15" s="1" t="s">
        <v>16295</v>
      </c>
      <c r="D15" s="1" t="s">
        <v>16296</v>
      </c>
      <c r="E15" s="1">
        <v>40</v>
      </c>
      <c r="F15" s="1" t="s">
        <v>145</v>
      </c>
      <c r="G15" s="1" t="s">
        <v>14198</v>
      </c>
      <c r="H15" s="1" t="s">
        <v>16297</v>
      </c>
      <c r="I15" s="1" t="s">
        <v>16298</v>
      </c>
      <c r="J15" s="3" t="s">
        <v>16299</v>
      </c>
      <c r="K15" s="1" t="s">
        <v>16208</v>
      </c>
    </row>
    <row r="16" spans="1:11" ht="13.8">
      <c r="A16" s="1" t="s">
        <v>16300</v>
      </c>
      <c r="B16" s="1" t="s">
        <v>16301</v>
      </c>
      <c r="C16" s="1" t="s">
        <v>16302</v>
      </c>
      <c r="D16" s="1" t="s">
        <v>16303</v>
      </c>
      <c r="E16" s="1">
        <v>45</v>
      </c>
      <c r="F16" s="1" t="s">
        <v>14207</v>
      </c>
      <c r="G16" s="1" t="s">
        <v>14198</v>
      </c>
      <c r="H16" s="1" t="s">
        <v>16304</v>
      </c>
      <c r="I16" s="1" t="s">
        <v>16305</v>
      </c>
      <c r="J16" s="3" t="s">
        <v>16306</v>
      </c>
      <c r="K16" s="1" t="s">
        <v>16208</v>
      </c>
    </row>
  </sheetData>
  <hyperlinks>
    <hyperlink ref="J2" r:id="rId1" xr:uid="{00000000-0004-0000-0300-000000000000}"/>
    <hyperlink ref="J3" r:id="rId2" xr:uid="{00000000-0004-0000-0300-000001000000}"/>
    <hyperlink ref="J4" r:id="rId3" xr:uid="{00000000-0004-0000-0300-000002000000}"/>
    <hyperlink ref="J5" r:id="rId4" xr:uid="{00000000-0004-0000-0300-000003000000}"/>
    <hyperlink ref="J6" r:id="rId5" xr:uid="{00000000-0004-0000-0300-000004000000}"/>
    <hyperlink ref="J7" r:id="rId6" xr:uid="{00000000-0004-0000-0300-000005000000}"/>
    <hyperlink ref="J8" r:id="rId7" xr:uid="{00000000-0004-0000-0300-000006000000}"/>
    <hyperlink ref="J9" r:id="rId8" xr:uid="{00000000-0004-0000-0300-000007000000}"/>
    <hyperlink ref="J10" r:id="rId9" xr:uid="{00000000-0004-0000-0300-000008000000}"/>
    <hyperlink ref="J11" r:id="rId10" xr:uid="{00000000-0004-0000-0300-000009000000}"/>
    <hyperlink ref="J12" r:id="rId11" xr:uid="{00000000-0004-0000-0300-00000A000000}"/>
    <hyperlink ref="J13" r:id="rId12" xr:uid="{00000000-0004-0000-0300-00000B000000}"/>
    <hyperlink ref="J14" r:id="rId13" xr:uid="{00000000-0004-0000-0300-00000C000000}"/>
    <hyperlink ref="J15" r:id="rId14" xr:uid="{00000000-0004-0000-0300-00000D000000}"/>
    <hyperlink ref="J16" r:id="rId15" xr:uid="{00000000-0004-0000-0300-00000E000000}"/>
  </hyperlinks>
  <pageMargins left="0.74791666666666701" right="0.74791666666666701" top="0.98402777777777795" bottom="0.98402777777777795" header="0.511811023622047" footer="0.511811023622047"/>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heetPr>
  <dimension ref="A1:K1001"/>
  <sheetViews>
    <sheetView zoomScaleNormal="100" workbookViewId="0">
      <selection activeCell="C5" sqref="C5"/>
    </sheetView>
  </sheetViews>
  <sheetFormatPr defaultColWidth="12.6640625" defaultRowHeight="15.75" customHeight="1"/>
  <sheetData>
    <row r="1" spans="1:11" ht="13.8">
      <c r="A1" s="1" t="s">
        <v>14183</v>
      </c>
      <c r="B1" s="1" t="s">
        <v>14184</v>
      </c>
      <c r="C1" s="1" t="s">
        <v>14185</v>
      </c>
      <c r="D1" s="1" t="s">
        <v>14186</v>
      </c>
      <c r="E1" s="1" t="s">
        <v>14187</v>
      </c>
      <c r="F1" s="1" t="s">
        <v>14188</v>
      </c>
      <c r="G1" s="1" t="s">
        <v>14189</v>
      </c>
      <c r="H1" s="1" t="s">
        <v>14190</v>
      </c>
      <c r="I1" s="1" t="s">
        <v>14191</v>
      </c>
      <c r="J1" s="1" t="s">
        <v>14192</v>
      </c>
      <c r="K1" s="1" t="s">
        <v>14193</v>
      </c>
    </row>
    <row r="2" spans="1:11" ht="13.8">
      <c r="A2" s="1" t="s">
        <v>16307</v>
      </c>
      <c r="B2" s="1" t="s">
        <v>16308</v>
      </c>
      <c r="C2" s="1" t="s">
        <v>16309</v>
      </c>
      <c r="D2" s="1" t="s">
        <v>16310</v>
      </c>
      <c r="E2" s="1">
        <v>35</v>
      </c>
      <c r="F2" s="1" t="s">
        <v>14207</v>
      </c>
      <c r="G2" s="1" t="s">
        <v>14198</v>
      </c>
      <c r="H2" s="1" t="s">
        <v>16311</v>
      </c>
      <c r="I2" s="1" t="s">
        <v>16312</v>
      </c>
      <c r="J2" s="3" t="s">
        <v>16313</v>
      </c>
      <c r="K2" s="1" t="s">
        <v>16314</v>
      </c>
    </row>
    <row r="3" spans="1:11" ht="13.8">
      <c r="A3" s="1" t="s">
        <v>16315</v>
      </c>
      <c r="B3" s="1" t="s">
        <v>16316</v>
      </c>
      <c r="C3" s="1" t="s">
        <v>16317</v>
      </c>
      <c r="D3" s="1" t="s">
        <v>16318</v>
      </c>
      <c r="E3" s="1">
        <v>30</v>
      </c>
      <c r="F3" s="1" t="s">
        <v>145</v>
      </c>
      <c r="G3" s="1" t="s">
        <v>14198</v>
      </c>
      <c r="H3" s="1" t="s">
        <v>16319</v>
      </c>
      <c r="I3" s="1" t="s">
        <v>16320</v>
      </c>
      <c r="J3" s="3" t="s">
        <v>16321</v>
      </c>
      <c r="K3" s="1" t="s">
        <v>16314</v>
      </c>
    </row>
    <row r="4" spans="1:11" ht="13.8">
      <c r="A4" s="1" t="s">
        <v>16322</v>
      </c>
      <c r="B4" s="1" t="s">
        <v>16323</v>
      </c>
      <c r="C4" s="1" t="s">
        <v>16324</v>
      </c>
      <c r="D4" s="1" t="s">
        <v>16325</v>
      </c>
      <c r="E4" s="1">
        <v>35</v>
      </c>
      <c r="F4" s="1" t="s">
        <v>14281</v>
      </c>
      <c r="G4" s="1" t="s">
        <v>14237</v>
      </c>
      <c r="H4" s="1" t="s">
        <v>16326</v>
      </c>
      <c r="I4" s="1" t="s">
        <v>16327</v>
      </c>
      <c r="J4" s="3" t="s">
        <v>16328</v>
      </c>
      <c r="K4" s="1" t="s">
        <v>16314</v>
      </c>
    </row>
    <row r="5" spans="1:11" ht="13.8">
      <c r="A5" s="1" t="s">
        <v>16329</v>
      </c>
      <c r="B5" s="1" t="s">
        <v>16330</v>
      </c>
      <c r="C5" s="1" t="s">
        <v>16331</v>
      </c>
      <c r="D5" s="1" t="s">
        <v>16332</v>
      </c>
      <c r="E5" s="1">
        <v>45</v>
      </c>
      <c r="F5" s="1" t="s">
        <v>14259</v>
      </c>
      <c r="G5" s="1" t="s">
        <v>14338</v>
      </c>
      <c r="H5" s="1" t="s">
        <v>16333</v>
      </c>
      <c r="I5" s="1" t="s">
        <v>16334</v>
      </c>
      <c r="J5" s="3" t="s">
        <v>16335</v>
      </c>
      <c r="K5" s="1" t="s">
        <v>16314</v>
      </c>
    </row>
    <row r="6" spans="1:11" ht="13.8">
      <c r="A6" s="1" t="s">
        <v>16336</v>
      </c>
      <c r="B6" s="1" t="s">
        <v>16337</v>
      </c>
      <c r="C6" s="1" t="s">
        <v>16338</v>
      </c>
      <c r="D6" s="1" t="s">
        <v>16339</v>
      </c>
      <c r="E6" s="1">
        <v>30</v>
      </c>
      <c r="F6" s="1" t="s">
        <v>14281</v>
      </c>
      <c r="G6" s="1" t="s">
        <v>14338</v>
      </c>
      <c r="H6" s="1" t="s">
        <v>16340</v>
      </c>
      <c r="I6" s="1" t="s">
        <v>16341</v>
      </c>
      <c r="J6" s="3" t="s">
        <v>16342</v>
      </c>
      <c r="K6" s="1" t="s">
        <v>16314</v>
      </c>
    </row>
    <row r="7" spans="1:11" ht="13.8">
      <c r="A7" s="1" t="s">
        <v>16343</v>
      </c>
      <c r="B7" s="1" t="s">
        <v>16344</v>
      </c>
      <c r="C7" s="1" t="s">
        <v>16345</v>
      </c>
      <c r="D7" s="1" t="s">
        <v>16346</v>
      </c>
      <c r="E7" s="1">
        <v>30</v>
      </c>
      <c r="F7" s="1" t="s">
        <v>429</v>
      </c>
      <c r="G7" s="1" t="s">
        <v>14198</v>
      </c>
      <c r="H7" s="1" t="s">
        <v>16347</v>
      </c>
      <c r="I7" s="1" t="s">
        <v>16348</v>
      </c>
      <c r="J7" s="3" t="s">
        <v>16349</v>
      </c>
      <c r="K7" s="1" t="s">
        <v>16314</v>
      </c>
    </row>
    <row r="8" spans="1:11" ht="13.8">
      <c r="A8" s="1" t="s">
        <v>16350</v>
      </c>
      <c r="B8" s="1" t="s">
        <v>16351</v>
      </c>
      <c r="C8" s="1" t="s">
        <v>16352</v>
      </c>
      <c r="D8" s="1" t="s">
        <v>16353</v>
      </c>
      <c r="E8" s="1">
        <v>30</v>
      </c>
      <c r="F8" s="1" t="s">
        <v>429</v>
      </c>
      <c r="G8" s="1" t="s">
        <v>14208</v>
      </c>
      <c r="H8" s="1" t="s">
        <v>16354</v>
      </c>
      <c r="I8" s="1" t="s">
        <v>16355</v>
      </c>
      <c r="J8" s="3" t="s">
        <v>16356</v>
      </c>
      <c r="K8" s="1" t="s">
        <v>16314</v>
      </c>
    </row>
    <row r="9" spans="1:11" ht="13.8">
      <c r="A9" s="1" t="s">
        <v>16357</v>
      </c>
      <c r="B9" s="1" t="s">
        <v>16358</v>
      </c>
      <c r="C9" s="1" t="s">
        <v>16359</v>
      </c>
      <c r="D9" s="1" t="s">
        <v>16360</v>
      </c>
      <c r="E9" s="1">
        <v>40</v>
      </c>
      <c r="F9" s="1" t="s">
        <v>14259</v>
      </c>
      <c r="G9" s="1" t="s">
        <v>14198</v>
      </c>
      <c r="H9" s="1" t="s">
        <v>16361</v>
      </c>
      <c r="I9" s="1" t="s">
        <v>16362</v>
      </c>
      <c r="J9" s="3" t="s">
        <v>16363</v>
      </c>
      <c r="K9" s="1" t="s">
        <v>16314</v>
      </c>
    </row>
    <row r="10" spans="1:11" ht="13.8">
      <c r="A10" s="1" t="s">
        <v>16364</v>
      </c>
      <c r="B10" s="1" t="s">
        <v>16365</v>
      </c>
      <c r="C10" s="1" t="s">
        <v>16366</v>
      </c>
      <c r="D10" s="1" t="s">
        <v>16367</v>
      </c>
      <c r="E10" s="1">
        <v>20</v>
      </c>
      <c r="F10" s="1" t="s">
        <v>429</v>
      </c>
      <c r="G10" s="1" t="s">
        <v>14198</v>
      </c>
      <c r="H10" s="1" t="s">
        <v>16368</v>
      </c>
      <c r="I10" s="1" t="s">
        <v>16369</v>
      </c>
      <c r="J10" s="3" t="s">
        <v>16370</v>
      </c>
      <c r="K10" s="1" t="s">
        <v>16314</v>
      </c>
    </row>
    <row r="11" spans="1:11" ht="13.8">
      <c r="A11" s="1" t="s">
        <v>16371</v>
      </c>
      <c r="B11" s="1" t="s">
        <v>16372</v>
      </c>
      <c r="C11" s="1" t="s">
        <v>16373</v>
      </c>
      <c r="D11" s="1" t="s">
        <v>16374</v>
      </c>
      <c r="E11" s="1">
        <v>60</v>
      </c>
      <c r="F11" s="1" t="s">
        <v>14281</v>
      </c>
      <c r="G11" s="1" t="s">
        <v>14208</v>
      </c>
      <c r="H11" s="1" t="s">
        <v>16375</v>
      </c>
      <c r="I11" s="1" t="s">
        <v>16376</v>
      </c>
      <c r="J11" s="3" t="s">
        <v>16377</v>
      </c>
      <c r="K11" s="1" t="s">
        <v>16314</v>
      </c>
    </row>
    <row r="12" spans="1:11" ht="13.8">
      <c r="A12" s="1" t="s">
        <v>16378</v>
      </c>
      <c r="B12" s="1" t="s">
        <v>16379</v>
      </c>
      <c r="C12" s="1" t="s">
        <v>16380</v>
      </c>
      <c r="D12" s="1" t="s">
        <v>16381</v>
      </c>
      <c r="E12" s="1">
        <v>25</v>
      </c>
      <c r="F12" s="1" t="s">
        <v>145</v>
      </c>
      <c r="G12" s="1" t="s">
        <v>14198</v>
      </c>
      <c r="H12" s="1" t="s">
        <v>16382</v>
      </c>
      <c r="I12" s="1" t="s">
        <v>16383</v>
      </c>
      <c r="J12" s="3" t="s">
        <v>16384</v>
      </c>
      <c r="K12" s="1" t="s">
        <v>16314</v>
      </c>
    </row>
    <row r="13" spans="1:11" ht="13.8">
      <c r="A13" s="1" t="s">
        <v>16385</v>
      </c>
      <c r="B13" s="1" t="s">
        <v>16386</v>
      </c>
      <c r="C13" s="1" t="s">
        <v>16387</v>
      </c>
      <c r="D13" s="1" t="s">
        <v>16388</v>
      </c>
      <c r="E13" s="1">
        <v>55</v>
      </c>
      <c r="F13" s="1" t="s">
        <v>145</v>
      </c>
      <c r="G13" s="1" t="s">
        <v>14198</v>
      </c>
      <c r="H13" s="1" t="s">
        <v>16389</v>
      </c>
      <c r="I13" s="1" t="s">
        <v>16390</v>
      </c>
      <c r="J13" s="3" t="s">
        <v>16391</v>
      </c>
      <c r="K13" s="1" t="s">
        <v>16314</v>
      </c>
    </row>
    <row r="14" spans="1:11" ht="13.8">
      <c r="A14" s="1" t="s">
        <v>16392</v>
      </c>
      <c r="B14" s="1" t="s">
        <v>16393</v>
      </c>
      <c r="C14" s="1" t="s">
        <v>16394</v>
      </c>
      <c r="D14" s="1" t="s">
        <v>16395</v>
      </c>
      <c r="E14" s="1">
        <v>60</v>
      </c>
      <c r="F14" s="1" t="s">
        <v>14207</v>
      </c>
      <c r="G14" s="1" t="s">
        <v>14208</v>
      </c>
      <c r="H14" s="1" t="s">
        <v>16396</v>
      </c>
      <c r="I14" s="1" t="s">
        <v>16397</v>
      </c>
      <c r="J14" s="3" t="s">
        <v>16398</v>
      </c>
      <c r="K14" s="1" t="s">
        <v>16314</v>
      </c>
    </row>
    <row r="15" spans="1:11" ht="13.8">
      <c r="A15" s="1" t="s">
        <v>16399</v>
      </c>
      <c r="B15" s="1" t="s">
        <v>16400</v>
      </c>
      <c r="C15" s="1" t="s">
        <v>16401</v>
      </c>
      <c r="D15" s="1" t="s">
        <v>16402</v>
      </c>
      <c r="E15" s="1">
        <v>30</v>
      </c>
      <c r="F15" s="1" t="s">
        <v>145</v>
      </c>
      <c r="G15" s="1" t="s">
        <v>14198</v>
      </c>
      <c r="H15" s="1" t="s">
        <v>16403</v>
      </c>
      <c r="I15" s="1" t="s">
        <v>16404</v>
      </c>
      <c r="J15" s="3" t="s">
        <v>16405</v>
      </c>
      <c r="K15" s="1" t="s">
        <v>16314</v>
      </c>
    </row>
    <row r="16" spans="1:11" ht="13.8">
      <c r="A16" s="1" t="s">
        <v>16406</v>
      </c>
      <c r="B16" s="1" t="s">
        <v>16407</v>
      </c>
      <c r="C16" s="1" t="s">
        <v>16408</v>
      </c>
      <c r="D16" s="1" t="s">
        <v>16409</v>
      </c>
      <c r="E16" s="1">
        <v>20</v>
      </c>
      <c r="F16" s="1" t="s">
        <v>14281</v>
      </c>
      <c r="G16" s="1" t="s">
        <v>14198</v>
      </c>
      <c r="H16" s="1" t="s">
        <v>16410</v>
      </c>
      <c r="I16" s="1" t="s">
        <v>16411</v>
      </c>
      <c r="J16" s="3" t="s">
        <v>16412</v>
      </c>
      <c r="K16" s="1" t="s">
        <v>16314</v>
      </c>
    </row>
    <row r="17" spans="1:11" ht="13.8">
      <c r="A17" s="1" t="s">
        <v>16413</v>
      </c>
      <c r="B17" s="1" t="s">
        <v>16414</v>
      </c>
      <c r="C17" s="1" t="s">
        <v>16415</v>
      </c>
      <c r="D17" s="1" t="s">
        <v>16416</v>
      </c>
      <c r="E17" s="1">
        <v>30</v>
      </c>
      <c r="F17" s="1" t="s">
        <v>8417</v>
      </c>
      <c r="G17" s="1" t="s">
        <v>14198</v>
      </c>
      <c r="H17" s="1" t="s">
        <v>16417</v>
      </c>
      <c r="I17" s="1" t="s">
        <v>16418</v>
      </c>
      <c r="J17" s="3" t="s">
        <v>16419</v>
      </c>
      <c r="K17" s="1" t="s">
        <v>16314</v>
      </c>
    </row>
    <row r="18" spans="1:11" ht="13.8">
      <c r="A18" s="1" t="s">
        <v>16420</v>
      </c>
      <c r="B18" s="1" t="s">
        <v>16421</v>
      </c>
      <c r="C18" s="1" t="s">
        <v>16422</v>
      </c>
      <c r="D18" s="1" t="s">
        <v>16423</v>
      </c>
      <c r="E18" s="1">
        <v>25</v>
      </c>
      <c r="F18" s="1" t="s">
        <v>16424</v>
      </c>
      <c r="G18" s="1" t="s">
        <v>14198</v>
      </c>
      <c r="H18" s="1" t="s">
        <v>16425</v>
      </c>
      <c r="I18" s="1" t="s">
        <v>16426</v>
      </c>
      <c r="J18" s="3" t="s">
        <v>16427</v>
      </c>
      <c r="K18" s="1" t="s">
        <v>16314</v>
      </c>
    </row>
    <row r="19" spans="1:11" ht="13.8">
      <c r="A19" s="1" t="s">
        <v>16428</v>
      </c>
      <c r="B19" s="1" t="s">
        <v>16429</v>
      </c>
      <c r="C19" s="1" t="s">
        <v>16430</v>
      </c>
      <c r="D19" s="1" t="s">
        <v>16431</v>
      </c>
      <c r="E19" s="1">
        <v>35</v>
      </c>
      <c r="F19" s="1" t="s">
        <v>14207</v>
      </c>
      <c r="G19" s="1" t="s">
        <v>14198</v>
      </c>
      <c r="H19" s="1" t="s">
        <v>16432</v>
      </c>
      <c r="I19" s="1" t="s">
        <v>16433</v>
      </c>
      <c r="J19" s="3" t="s">
        <v>16434</v>
      </c>
      <c r="K19" s="1" t="s">
        <v>16314</v>
      </c>
    </row>
    <row r="20" spans="1:11" ht="13.8">
      <c r="A20" s="1" t="s">
        <v>16435</v>
      </c>
      <c r="B20" s="1" t="s">
        <v>16436</v>
      </c>
      <c r="C20" s="1" t="s">
        <v>16437</v>
      </c>
      <c r="D20" s="1" t="s">
        <v>16438</v>
      </c>
      <c r="E20" s="1">
        <v>430</v>
      </c>
      <c r="F20" s="1" t="s">
        <v>145</v>
      </c>
      <c r="G20" s="1" t="s">
        <v>14237</v>
      </c>
      <c r="H20" s="1" t="s">
        <v>16439</v>
      </c>
      <c r="I20" s="1" t="s">
        <v>16440</v>
      </c>
      <c r="J20" s="3" t="s">
        <v>16441</v>
      </c>
      <c r="K20" s="1" t="s">
        <v>16314</v>
      </c>
    </row>
    <row r="21" spans="1:11" ht="13.8">
      <c r="A21" s="1" t="s">
        <v>16442</v>
      </c>
      <c r="B21" s="1" t="s">
        <v>16443</v>
      </c>
      <c r="C21" s="1" t="s">
        <v>16444</v>
      </c>
      <c r="D21" s="1" t="s">
        <v>16445</v>
      </c>
      <c r="E21" s="1">
        <v>45</v>
      </c>
      <c r="F21" s="1" t="s">
        <v>8417</v>
      </c>
      <c r="G21" s="1" t="s">
        <v>14198</v>
      </c>
      <c r="H21" s="1" t="s">
        <v>16446</v>
      </c>
      <c r="I21" s="1" t="s">
        <v>16447</v>
      </c>
      <c r="J21" s="3" t="s">
        <v>16448</v>
      </c>
      <c r="K21" s="1" t="s">
        <v>16314</v>
      </c>
    </row>
    <row r="22" spans="1:11" ht="13.8">
      <c r="A22" s="1" t="s">
        <v>16449</v>
      </c>
      <c r="B22" s="1" t="s">
        <v>16450</v>
      </c>
      <c r="C22" s="1" t="s">
        <v>16451</v>
      </c>
      <c r="D22" s="1" t="s">
        <v>16452</v>
      </c>
      <c r="E22" s="1">
        <v>390</v>
      </c>
      <c r="F22" s="1" t="s">
        <v>8417</v>
      </c>
      <c r="G22" s="1" t="s">
        <v>14198</v>
      </c>
      <c r="H22" s="1" t="s">
        <v>16453</v>
      </c>
      <c r="I22" s="1" t="s">
        <v>16454</v>
      </c>
      <c r="J22" s="3" t="s">
        <v>16455</v>
      </c>
      <c r="K22" s="1" t="s">
        <v>16314</v>
      </c>
    </row>
    <row r="23" spans="1:11" ht="13.8">
      <c r="A23" s="1" t="s">
        <v>16456</v>
      </c>
      <c r="B23" s="1" t="s">
        <v>16457</v>
      </c>
      <c r="C23" s="1" t="s">
        <v>16458</v>
      </c>
      <c r="D23" s="1" t="s">
        <v>16459</v>
      </c>
      <c r="E23" s="1">
        <v>30</v>
      </c>
      <c r="F23" s="1" t="s">
        <v>14281</v>
      </c>
      <c r="G23" s="1" t="s">
        <v>14198</v>
      </c>
      <c r="H23" s="1" t="s">
        <v>16460</v>
      </c>
      <c r="I23" s="1" t="s">
        <v>16461</v>
      </c>
      <c r="J23" s="3" t="s">
        <v>16462</v>
      </c>
      <c r="K23" s="1" t="s">
        <v>16314</v>
      </c>
    </row>
    <row r="24" spans="1:11" ht="13.8">
      <c r="A24" s="1" t="s">
        <v>16463</v>
      </c>
      <c r="B24" s="1" t="s">
        <v>16464</v>
      </c>
      <c r="C24" s="1" t="s">
        <v>16465</v>
      </c>
      <c r="D24" s="1" t="s">
        <v>16466</v>
      </c>
      <c r="E24" s="1">
        <v>60</v>
      </c>
      <c r="F24" s="1" t="s">
        <v>14207</v>
      </c>
      <c r="G24" s="1" t="s">
        <v>14338</v>
      </c>
      <c r="H24" s="1" t="s">
        <v>16467</v>
      </c>
      <c r="I24" s="1" t="s">
        <v>16468</v>
      </c>
      <c r="J24" s="3" t="s">
        <v>16469</v>
      </c>
      <c r="K24" s="1" t="s">
        <v>16314</v>
      </c>
    </row>
    <row r="25" spans="1:11" ht="13.8">
      <c r="A25" s="1" t="s">
        <v>16470</v>
      </c>
      <c r="B25" s="1" t="s">
        <v>16471</v>
      </c>
      <c r="C25" s="1" t="s">
        <v>16472</v>
      </c>
      <c r="D25" s="1" t="s">
        <v>16473</v>
      </c>
      <c r="E25" s="1">
        <v>30</v>
      </c>
      <c r="F25" s="1" t="s">
        <v>14572</v>
      </c>
      <c r="G25" s="1" t="s">
        <v>14382</v>
      </c>
      <c r="H25" s="1" t="s">
        <v>16474</v>
      </c>
      <c r="I25" s="1" t="s">
        <v>16475</v>
      </c>
      <c r="J25" s="3" t="s">
        <v>16476</v>
      </c>
      <c r="K25" s="1" t="s">
        <v>16314</v>
      </c>
    </row>
    <row r="26" spans="1:11" ht="409.6">
      <c r="A26" s="1" t="s">
        <v>16477</v>
      </c>
      <c r="B26" s="1" t="s">
        <v>16478</v>
      </c>
      <c r="C26" s="1" t="s">
        <v>16479</v>
      </c>
      <c r="D26" s="1" t="s">
        <v>16480</v>
      </c>
      <c r="E26" s="1">
        <v>22</v>
      </c>
      <c r="F26" s="1" t="s">
        <v>429</v>
      </c>
      <c r="G26" s="1" t="s">
        <v>14198</v>
      </c>
      <c r="H26" s="1" t="s">
        <v>16481</v>
      </c>
      <c r="I26" s="4" t="s">
        <v>16482</v>
      </c>
      <c r="J26" s="3" t="s">
        <v>16483</v>
      </c>
      <c r="K26" s="1" t="s">
        <v>16314</v>
      </c>
    </row>
    <row r="27" spans="1:11" ht="409.6">
      <c r="A27" s="1" t="s">
        <v>16484</v>
      </c>
      <c r="B27" s="1" t="s">
        <v>16485</v>
      </c>
      <c r="C27" s="1" t="s">
        <v>16486</v>
      </c>
      <c r="D27" s="1" t="s">
        <v>16487</v>
      </c>
      <c r="E27" s="1">
        <v>60</v>
      </c>
      <c r="F27" s="1" t="s">
        <v>14281</v>
      </c>
      <c r="G27" s="1" t="s">
        <v>14198</v>
      </c>
      <c r="H27" s="4" t="s">
        <v>16488</v>
      </c>
      <c r="I27" s="1" t="s">
        <v>16489</v>
      </c>
      <c r="J27" s="3" t="s">
        <v>16490</v>
      </c>
      <c r="K27" s="1" t="s">
        <v>16314</v>
      </c>
    </row>
    <row r="28" spans="1:11" ht="13.8">
      <c r="A28" s="1" t="s">
        <v>16491</v>
      </c>
      <c r="B28" s="1" t="s">
        <v>16492</v>
      </c>
      <c r="C28" s="1" t="s">
        <v>16493</v>
      </c>
      <c r="D28" s="1" t="s">
        <v>16494</v>
      </c>
      <c r="E28" s="1">
        <v>25</v>
      </c>
      <c r="F28" s="1" t="s">
        <v>145</v>
      </c>
      <c r="G28" s="1" t="s">
        <v>14198</v>
      </c>
      <c r="H28" s="1" t="s">
        <v>16495</v>
      </c>
      <c r="I28" s="1" t="s">
        <v>16496</v>
      </c>
      <c r="J28" s="3" t="s">
        <v>16497</v>
      </c>
      <c r="K28" s="1" t="s">
        <v>16314</v>
      </c>
    </row>
    <row r="29" spans="1:11" ht="13.8">
      <c r="A29" s="1" t="s">
        <v>16498</v>
      </c>
      <c r="B29" s="1" t="s">
        <v>16499</v>
      </c>
      <c r="C29" s="1" t="s">
        <v>16500</v>
      </c>
      <c r="D29" s="1" t="s">
        <v>16501</v>
      </c>
      <c r="E29" s="1">
        <v>65</v>
      </c>
      <c r="F29" s="1" t="s">
        <v>145</v>
      </c>
      <c r="G29" s="1" t="s">
        <v>14198</v>
      </c>
      <c r="H29" s="1" t="s">
        <v>16502</v>
      </c>
      <c r="I29" s="1" t="s">
        <v>16503</v>
      </c>
      <c r="J29" s="3" t="s">
        <v>16504</v>
      </c>
      <c r="K29" s="1" t="s">
        <v>16314</v>
      </c>
    </row>
    <row r="30" spans="1:11" ht="13.8">
      <c r="A30" s="1" t="s">
        <v>16505</v>
      </c>
      <c r="B30" s="1" t="s">
        <v>16506</v>
      </c>
      <c r="C30" s="1" t="s">
        <v>16507</v>
      </c>
      <c r="D30" s="1" t="s">
        <v>16508</v>
      </c>
      <c r="E30" s="1">
        <v>35</v>
      </c>
      <c r="F30" s="1" t="s">
        <v>8417</v>
      </c>
      <c r="G30" s="1" t="s">
        <v>14198</v>
      </c>
      <c r="H30" s="1" t="s">
        <v>16509</v>
      </c>
      <c r="I30" s="1" t="s">
        <v>16510</v>
      </c>
      <c r="J30" s="3" t="s">
        <v>16511</v>
      </c>
      <c r="K30" s="1" t="s">
        <v>16314</v>
      </c>
    </row>
    <row r="31" spans="1:11" ht="13.8">
      <c r="A31" s="1" t="s">
        <v>16512</v>
      </c>
      <c r="B31" s="1" t="s">
        <v>16513</v>
      </c>
      <c r="C31" s="1" t="s">
        <v>16514</v>
      </c>
      <c r="D31" s="1" t="s">
        <v>16515</v>
      </c>
      <c r="E31" s="1">
        <v>60</v>
      </c>
      <c r="F31" s="1" t="s">
        <v>14281</v>
      </c>
      <c r="G31" s="1" t="s">
        <v>14237</v>
      </c>
      <c r="H31" s="1" t="s">
        <v>16516</v>
      </c>
      <c r="I31" s="1" t="s">
        <v>16517</v>
      </c>
      <c r="J31" s="3" t="s">
        <v>16518</v>
      </c>
      <c r="K31" s="1" t="s">
        <v>16314</v>
      </c>
    </row>
    <row r="32" spans="1:11" ht="409.6">
      <c r="A32" s="1" t="s">
        <v>16519</v>
      </c>
      <c r="B32" s="1" t="s">
        <v>16520</v>
      </c>
      <c r="C32" s="1" t="s">
        <v>16521</v>
      </c>
      <c r="D32" s="1" t="s">
        <v>16522</v>
      </c>
      <c r="E32" s="1">
        <v>60</v>
      </c>
      <c r="F32" s="1" t="s">
        <v>14281</v>
      </c>
      <c r="G32" s="1" t="s">
        <v>14198</v>
      </c>
      <c r="H32" s="4" t="s">
        <v>16523</v>
      </c>
      <c r="I32" s="1" t="s">
        <v>16524</v>
      </c>
      <c r="J32" s="3" t="s">
        <v>16525</v>
      </c>
      <c r="K32" s="1" t="s">
        <v>16314</v>
      </c>
    </row>
    <row r="33" spans="1:11" ht="13.8">
      <c r="A33" s="1" t="s">
        <v>16526</v>
      </c>
      <c r="B33" s="1" t="s">
        <v>16527</v>
      </c>
      <c r="C33" s="1" t="s">
        <v>16528</v>
      </c>
      <c r="D33" s="1" t="s">
        <v>16529</v>
      </c>
      <c r="E33" s="1">
        <v>40</v>
      </c>
      <c r="F33" s="1" t="s">
        <v>8417</v>
      </c>
      <c r="G33" s="1" t="s">
        <v>14198</v>
      </c>
      <c r="H33" s="1" t="s">
        <v>16530</v>
      </c>
      <c r="I33" s="1" t="s">
        <v>16531</v>
      </c>
      <c r="J33" s="3" t="s">
        <v>16532</v>
      </c>
      <c r="K33" s="1" t="s">
        <v>16314</v>
      </c>
    </row>
    <row r="34" spans="1:11" ht="409.6">
      <c r="A34" s="1" t="s">
        <v>16533</v>
      </c>
      <c r="B34" s="1" t="s">
        <v>16534</v>
      </c>
      <c r="C34" s="1" t="s">
        <v>16535</v>
      </c>
      <c r="D34" s="1" t="s">
        <v>16536</v>
      </c>
      <c r="E34" s="1">
        <v>55</v>
      </c>
      <c r="F34" s="1" t="s">
        <v>145</v>
      </c>
      <c r="G34" s="1" t="s">
        <v>14198</v>
      </c>
      <c r="H34" s="1" t="s">
        <v>16537</v>
      </c>
      <c r="I34" s="4" t="s">
        <v>16538</v>
      </c>
      <c r="J34" s="3" t="s">
        <v>16539</v>
      </c>
      <c r="K34" s="1" t="s">
        <v>16314</v>
      </c>
    </row>
    <row r="35" spans="1:11" ht="13.8">
      <c r="A35" s="1" t="s">
        <v>16540</v>
      </c>
      <c r="B35" s="1" t="s">
        <v>16541</v>
      </c>
      <c r="C35" s="1" t="s">
        <v>16542</v>
      </c>
      <c r="D35" s="1" t="s">
        <v>16543</v>
      </c>
      <c r="E35" s="1">
        <v>35</v>
      </c>
      <c r="F35" s="1" t="s">
        <v>14281</v>
      </c>
      <c r="G35" s="1" t="s">
        <v>14198</v>
      </c>
      <c r="H35" s="1" t="s">
        <v>16544</v>
      </c>
      <c r="I35" s="1" t="s">
        <v>16545</v>
      </c>
      <c r="J35" s="3" t="s">
        <v>16546</v>
      </c>
      <c r="K35" s="1" t="s">
        <v>16314</v>
      </c>
    </row>
    <row r="36" spans="1:11" ht="13.8">
      <c r="A36" s="1" t="s">
        <v>16547</v>
      </c>
      <c r="B36" s="1" t="s">
        <v>16548</v>
      </c>
      <c r="C36" s="1" t="s">
        <v>16549</v>
      </c>
      <c r="D36" s="1" t="s">
        <v>16550</v>
      </c>
      <c r="E36" s="1">
        <v>50</v>
      </c>
      <c r="F36" s="1" t="s">
        <v>14281</v>
      </c>
      <c r="G36" s="1" t="s">
        <v>14198</v>
      </c>
      <c r="H36" s="1" t="s">
        <v>16551</v>
      </c>
      <c r="I36" s="1" t="s">
        <v>16552</v>
      </c>
      <c r="J36" s="3" t="s">
        <v>16553</v>
      </c>
      <c r="K36" s="1" t="s">
        <v>16314</v>
      </c>
    </row>
    <row r="37" spans="1:11" ht="13.8">
      <c r="A37" s="1" t="s">
        <v>16554</v>
      </c>
      <c r="B37" s="1" t="s">
        <v>16555</v>
      </c>
      <c r="C37" s="1" t="s">
        <v>16556</v>
      </c>
      <c r="D37" s="1" t="s">
        <v>16557</v>
      </c>
      <c r="E37" s="1">
        <v>40</v>
      </c>
      <c r="F37" s="1" t="s">
        <v>145</v>
      </c>
      <c r="G37" s="1" t="s">
        <v>14198</v>
      </c>
      <c r="H37" s="1" t="s">
        <v>16558</v>
      </c>
      <c r="I37" s="1" t="s">
        <v>16559</v>
      </c>
      <c r="J37" s="3" t="s">
        <v>16560</v>
      </c>
      <c r="K37" s="1" t="s">
        <v>16314</v>
      </c>
    </row>
    <row r="38" spans="1:11" ht="13.8">
      <c r="A38" s="1" t="s">
        <v>16561</v>
      </c>
      <c r="B38" s="1" t="s">
        <v>16562</v>
      </c>
      <c r="C38" s="1" t="s">
        <v>16563</v>
      </c>
      <c r="D38" s="1" t="s">
        <v>16564</v>
      </c>
      <c r="E38" s="1">
        <v>50</v>
      </c>
      <c r="F38" s="1" t="s">
        <v>8417</v>
      </c>
      <c r="G38" s="1" t="s">
        <v>14198</v>
      </c>
      <c r="H38" s="1" t="s">
        <v>16565</v>
      </c>
      <c r="I38" s="1" t="s">
        <v>16566</v>
      </c>
      <c r="J38" s="3" t="s">
        <v>16567</v>
      </c>
      <c r="K38" s="1" t="s">
        <v>16314</v>
      </c>
    </row>
    <row r="39" spans="1:11" ht="13.8">
      <c r="A39" s="1" t="s">
        <v>16568</v>
      </c>
      <c r="B39" s="1" t="s">
        <v>16569</v>
      </c>
      <c r="C39" s="1" t="s">
        <v>16570</v>
      </c>
      <c r="D39" s="1" t="s">
        <v>16571</v>
      </c>
      <c r="E39" s="1">
        <v>50</v>
      </c>
      <c r="F39" s="1" t="s">
        <v>145</v>
      </c>
      <c r="G39" s="1" t="s">
        <v>14198</v>
      </c>
      <c r="H39" s="1" t="s">
        <v>16572</v>
      </c>
      <c r="I39" s="1" t="s">
        <v>16573</v>
      </c>
      <c r="J39" s="3" t="s">
        <v>16574</v>
      </c>
      <c r="K39" s="1" t="s">
        <v>16314</v>
      </c>
    </row>
    <row r="40" spans="1:11" ht="409.6">
      <c r="A40" s="1" t="s">
        <v>16575</v>
      </c>
      <c r="B40" s="1" t="s">
        <v>16576</v>
      </c>
      <c r="C40" s="1" t="s">
        <v>16577</v>
      </c>
      <c r="D40" s="1" t="s">
        <v>16578</v>
      </c>
      <c r="E40" s="1">
        <v>45</v>
      </c>
      <c r="F40" s="1" t="s">
        <v>16424</v>
      </c>
      <c r="G40" s="1" t="s">
        <v>14198</v>
      </c>
      <c r="H40" s="4" t="s">
        <v>16579</v>
      </c>
      <c r="I40" s="1" t="s">
        <v>16580</v>
      </c>
      <c r="J40" s="3" t="s">
        <v>16581</v>
      </c>
      <c r="K40" s="1" t="s">
        <v>16314</v>
      </c>
    </row>
    <row r="41" spans="1:11" ht="409.6">
      <c r="A41" s="1" t="s">
        <v>16582</v>
      </c>
      <c r="B41" s="1" t="s">
        <v>16583</v>
      </c>
      <c r="C41" s="1" t="s">
        <v>16584</v>
      </c>
      <c r="D41" s="1" t="s">
        <v>16585</v>
      </c>
      <c r="E41" s="1">
        <v>50</v>
      </c>
      <c r="F41" s="1" t="s">
        <v>145</v>
      </c>
      <c r="G41" s="1" t="s">
        <v>14198</v>
      </c>
      <c r="H41" s="1" t="s">
        <v>16586</v>
      </c>
      <c r="I41" s="4" t="s">
        <v>16587</v>
      </c>
      <c r="J41" s="3" t="s">
        <v>16588</v>
      </c>
      <c r="K41" s="1" t="s">
        <v>16314</v>
      </c>
    </row>
    <row r="42" spans="1:11" ht="409.6">
      <c r="A42" s="1" t="s">
        <v>16589</v>
      </c>
      <c r="B42" s="1" t="s">
        <v>16590</v>
      </c>
      <c r="C42" s="1" t="s">
        <v>16591</v>
      </c>
      <c r="D42" s="1" t="s">
        <v>16592</v>
      </c>
      <c r="E42" s="1">
        <v>45</v>
      </c>
      <c r="F42" s="1" t="s">
        <v>14281</v>
      </c>
      <c r="G42" s="1" t="s">
        <v>14198</v>
      </c>
      <c r="H42" s="4" t="s">
        <v>16593</v>
      </c>
      <c r="I42" s="1" t="s">
        <v>16594</v>
      </c>
      <c r="J42" s="3" t="s">
        <v>16595</v>
      </c>
      <c r="K42" s="1" t="s">
        <v>16314</v>
      </c>
    </row>
    <row r="43" spans="1:11" ht="13.8">
      <c r="A43" s="1" t="s">
        <v>16596</v>
      </c>
      <c r="B43" s="1" t="s">
        <v>16597</v>
      </c>
      <c r="C43" s="1" t="s">
        <v>16598</v>
      </c>
      <c r="D43" s="1" t="s">
        <v>16599</v>
      </c>
      <c r="E43" s="1">
        <v>50</v>
      </c>
      <c r="F43" s="1" t="s">
        <v>145</v>
      </c>
      <c r="G43" s="1" t="s">
        <v>14198</v>
      </c>
      <c r="H43" s="1" t="s">
        <v>16600</v>
      </c>
      <c r="I43" s="1" t="s">
        <v>16601</v>
      </c>
      <c r="J43" s="3" t="s">
        <v>16602</v>
      </c>
      <c r="K43" s="1" t="s">
        <v>16314</v>
      </c>
    </row>
    <row r="44" spans="1:11" ht="409.6">
      <c r="A44" s="1" t="s">
        <v>16603</v>
      </c>
      <c r="B44" s="1" t="s">
        <v>16604</v>
      </c>
      <c r="C44" s="1" t="s">
        <v>16605</v>
      </c>
      <c r="D44" s="1" t="s">
        <v>16606</v>
      </c>
      <c r="E44" s="1">
        <v>60</v>
      </c>
      <c r="F44" s="1" t="s">
        <v>15760</v>
      </c>
      <c r="G44" s="1" t="s">
        <v>14198</v>
      </c>
      <c r="H44" s="4" t="s">
        <v>16607</v>
      </c>
      <c r="I44" s="1" t="s">
        <v>16608</v>
      </c>
      <c r="J44" s="3" t="s">
        <v>16609</v>
      </c>
      <c r="K44" s="1" t="s">
        <v>16314</v>
      </c>
    </row>
    <row r="45" spans="1:11" ht="13.8">
      <c r="A45" s="1" t="s">
        <v>16610</v>
      </c>
      <c r="B45" s="1" t="s">
        <v>16611</v>
      </c>
      <c r="C45" s="1" t="s">
        <v>16612</v>
      </c>
      <c r="D45" s="1" t="s">
        <v>16613</v>
      </c>
      <c r="E45" s="1">
        <v>45</v>
      </c>
      <c r="F45" s="1" t="s">
        <v>16424</v>
      </c>
      <c r="G45" s="1" t="s">
        <v>14198</v>
      </c>
      <c r="H45" s="1" t="s">
        <v>16614</v>
      </c>
      <c r="I45" s="1" t="s">
        <v>16615</v>
      </c>
      <c r="J45" s="3" t="s">
        <v>16616</v>
      </c>
      <c r="K45" s="1" t="s">
        <v>16314</v>
      </c>
    </row>
    <row r="46" spans="1:11" ht="13.8">
      <c r="A46" s="1" t="s">
        <v>16617</v>
      </c>
      <c r="B46" s="1" t="s">
        <v>16618</v>
      </c>
      <c r="C46" s="1" t="s">
        <v>16619</v>
      </c>
      <c r="D46" s="1" t="s">
        <v>16620</v>
      </c>
      <c r="E46" s="1">
        <v>50</v>
      </c>
      <c r="F46" s="1" t="s">
        <v>16424</v>
      </c>
      <c r="G46" s="1" t="s">
        <v>14237</v>
      </c>
      <c r="H46" s="1" t="s">
        <v>16621</v>
      </c>
      <c r="I46" s="1" t="s">
        <v>16622</v>
      </c>
      <c r="J46" s="3" t="s">
        <v>16623</v>
      </c>
      <c r="K46" s="1" t="s">
        <v>16314</v>
      </c>
    </row>
    <row r="47" spans="1:11" ht="409.6">
      <c r="A47" s="1" t="s">
        <v>16624</v>
      </c>
      <c r="B47" s="1" t="s">
        <v>16625</v>
      </c>
      <c r="C47" s="1" t="s">
        <v>16626</v>
      </c>
      <c r="D47" s="1" t="s">
        <v>16627</v>
      </c>
      <c r="E47" s="1">
        <v>35</v>
      </c>
      <c r="F47" s="1" t="s">
        <v>429</v>
      </c>
      <c r="G47" s="1" t="s">
        <v>14198</v>
      </c>
      <c r="H47" s="4" t="s">
        <v>16628</v>
      </c>
      <c r="I47" s="1" t="s">
        <v>16629</v>
      </c>
      <c r="J47" s="3" t="s">
        <v>16630</v>
      </c>
      <c r="K47" s="1" t="s">
        <v>16314</v>
      </c>
    </row>
    <row r="48" spans="1:11" ht="13.8">
      <c r="A48" s="1" t="s">
        <v>16631</v>
      </c>
      <c r="B48" s="1" t="s">
        <v>16632</v>
      </c>
      <c r="C48" s="1" t="s">
        <v>16633</v>
      </c>
      <c r="D48" s="1" t="s">
        <v>16634</v>
      </c>
      <c r="E48" s="1">
        <v>30</v>
      </c>
      <c r="F48" s="1" t="s">
        <v>429</v>
      </c>
      <c r="G48" s="1" t="s">
        <v>14198</v>
      </c>
      <c r="H48" s="1" t="s">
        <v>16635</v>
      </c>
      <c r="I48" s="1" t="s">
        <v>16636</v>
      </c>
      <c r="J48" s="3" t="s">
        <v>16637</v>
      </c>
      <c r="K48" s="1" t="s">
        <v>16314</v>
      </c>
    </row>
    <row r="49" spans="1:11" ht="409.6">
      <c r="A49" s="1" t="s">
        <v>16638</v>
      </c>
      <c r="B49" s="1" t="s">
        <v>16639</v>
      </c>
      <c r="C49" s="1" t="s">
        <v>16640</v>
      </c>
      <c r="D49" s="1" t="s">
        <v>16641</v>
      </c>
      <c r="E49" s="1">
        <v>35</v>
      </c>
      <c r="F49" s="1" t="s">
        <v>16424</v>
      </c>
      <c r="G49" s="1" t="s">
        <v>14198</v>
      </c>
      <c r="H49" s="4" t="s">
        <v>16642</v>
      </c>
      <c r="I49" s="1" t="s">
        <v>16643</v>
      </c>
      <c r="J49" s="3" t="s">
        <v>16644</v>
      </c>
      <c r="K49" s="1" t="s">
        <v>16314</v>
      </c>
    </row>
    <row r="50" spans="1:11" ht="13.8">
      <c r="A50" s="1" t="s">
        <v>16645</v>
      </c>
      <c r="B50" s="1" t="s">
        <v>16646</v>
      </c>
      <c r="C50" s="1" t="s">
        <v>16647</v>
      </c>
      <c r="D50" s="1" t="s">
        <v>16648</v>
      </c>
      <c r="E50" s="1">
        <v>35</v>
      </c>
      <c r="F50" s="1" t="s">
        <v>14207</v>
      </c>
      <c r="G50" s="1" t="s">
        <v>14198</v>
      </c>
      <c r="H50" s="1" t="s">
        <v>16649</v>
      </c>
      <c r="I50" s="1" t="s">
        <v>16650</v>
      </c>
      <c r="J50" s="3" t="s">
        <v>16651</v>
      </c>
      <c r="K50" s="1" t="s">
        <v>16314</v>
      </c>
    </row>
    <row r="51" spans="1:11" ht="13.8">
      <c r="A51" s="1" t="s">
        <v>16652</v>
      </c>
      <c r="B51" s="1" t="s">
        <v>16653</v>
      </c>
      <c r="C51" s="1" t="s">
        <v>16654</v>
      </c>
      <c r="D51" s="1" t="s">
        <v>16655</v>
      </c>
      <c r="E51" s="1">
        <v>50</v>
      </c>
      <c r="F51" s="1" t="s">
        <v>145</v>
      </c>
      <c r="G51" s="1" t="s">
        <v>14198</v>
      </c>
      <c r="H51" s="1" t="s">
        <v>16656</v>
      </c>
      <c r="I51" s="1" t="s">
        <v>16657</v>
      </c>
      <c r="J51" s="3" t="s">
        <v>16658</v>
      </c>
      <c r="K51" s="1" t="s">
        <v>16314</v>
      </c>
    </row>
    <row r="52" spans="1:11" ht="13.8">
      <c r="A52" s="1" t="s">
        <v>16659</v>
      </c>
      <c r="B52" s="1" t="s">
        <v>16660</v>
      </c>
      <c r="C52" s="1" t="s">
        <v>16661</v>
      </c>
      <c r="D52" s="1" t="s">
        <v>16662</v>
      </c>
      <c r="E52" s="1">
        <v>20</v>
      </c>
      <c r="F52" s="1" t="s">
        <v>14207</v>
      </c>
      <c r="G52" s="1" t="s">
        <v>14198</v>
      </c>
      <c r="H52" s="1" t="s">
        <v>16663</v>
      </c>
      <c r="I52" s="1" t="s">
        <v>16664</v>
      </c>
      <c r="J52" s="3" t="s">
        <v>16665</v>
      </c>
      <c r="K52" s="1" t="s">
        <v>16314</v>
      </c>
    </row>
    <row r="53" spans="1:11" ht="13.8">
      <c r="A53" s="1" t="s">
        <v>16666</v>
      </c>
      <c r="B53" s="1" t="s">
        <v>16667</v>
      </c>
      <c r="C53" s="1" t="s">
        <v>16668</v>
      </c>
      <c r="D53" s="1" t="s">
        <v>16669</v>
      </c>
      <c r="E53" s="1">
        <v>50</v>
      </c>
      <c r="F53" s="1" t="s">
        <v>16424</v>
      </c>
      <c r="G53" s="1" t="s">
        <v>14237</v>
      </c>
      <c r="H53" s="1" t="s">
        <v>16670</v>
      </c>
      <c r="I53" s="1" t="s">
        <v>16671</v>
      </c>
      <c r="J53" s="3" t="s">
        <v>16672</v>
      </c>
      <c r="K53" s="1" t="s">
        <v>16314</v>
      </c>
    </row>
    <row r="54" spans="1:11" ht="13.8">
      <c r="A54" s="1" t="s">
        <v>16673</v>
      </c>
      <c r="B54" s="1" t="s">
        <v>16674</v>
      </c>
      <c r="C54" s="1" t="s">
        <v>16675</v>
      </c>
      <c r="D54" s="1" t="s">
        <v>16676</v>
      </c>
      <c r="E54" s="1">
        <v>30</v>
      </c>
      <c r="F54" s="1" t="s">
        <v>429</v>
      </c>
      <c r="G54" s="1" t="s">
        <v>14198</v>
      </c>
      <c r="H54" s="1" t="s">
        <v>16677</v>
      </c>
      <c r="I54" s="1" t="s">
        <v>16678</v>
      </c>
      <c r="J54" s="3" t="s">
        <v>16679</v>
      </c>
      <c r="K54" s="1" t="s">
        <v>16314</v>
      </c>
    </row>
    <row r="55" spans="1:11" ht="13.8">
      <c r="A55" s="1" t="s">
        <v>16680</v>
      </c>
      <c r="B55" s="1" t="s">
        <v>16681</v>
      </c>
      <c r="C55" s="1" t="s">
        <v>16682</v>
      </c>
      <c r="D55" s="1" t="s">
        <v>16683</v>
      </c>
      <c r="E55" s="1">
        <v>50</v>
      </c>
      <c r="F55" s="1" t="s">
        <v>14281</v>
      </c>
      <c r="G55" s="1" t="s">
        <v>14198</v>
      </c>
      <c r="H55" s="1" t="s">
        <v>16684</v>
      </c>
      <c r="I55" s="1" t="s">
        <v>16685</v>
      </c>
      <c r="J55" s="3" t="s">
        <v>16686</v>
      </c>
      <c r="K55" s="1" t="s">
        <v>16314</v>
      </c>
    </row>
    <row r="56" spans="1:11" ht="13.8">
      <c r="A56" s="1" t="s">
        <v>16687</v>
      </c>
      <c r="B56" s="1" t="s">
        <v>16688</v>
      </c>
      <c r="C56" s="1" t="s">
        <v>16689</v>
      </c>
      <c r="D56" s="1" t="s">
        <v>16690</v>
      </c>
      <c r="E56" s="1">
        <v>80</v>
      </c>
      <c r="F56" s="1" t="s">
        <v>8417</v>
      </c>
      <c r="G56" s="1" t="s">
        <v>14198</v>
      </c>
      <c r="H56" s="1" t="s">
        <v>16691</v>
      </c>
      <c r="I56" s="1" t="s">
        <v>16692</v>
      </c>
      <c r="J56" s="3" t="s">
        <v>16693</v>
      </c>
      <c r="K56" s="1" t="s">
        <v>16314</v>
      </c>
    </row>
    <row r="57" spans="1:11" ht="13.8">
      <c r="A57" s="1" t="s">
        <v>16694</v>
      </c>
      <c r="B57" s="1" t="s">
        <v>16695</v>
      </c>
      <c r="C57" s="1" t="s">
        <v>16696</v>
      </c>
      <c r="D57" s="1" t="s">
        <v>16697</v>
      </c>
      <c r="E57" s="1">
        <v>35</v>
      </c>
      <c r="F57" s="1" t="s">
        <v>145</v>
      </c>
      <c r="G57" s="1" t="s">
        <v>14237</v>
      </c>
      <c r="H57" s="1" t="s">
        <v>16698</v>
      </c>
      <c r="I57" s="1" t="s">
        <v>16699</v>
      </c>
      <c r="J57" s="3" t="s">
        <v>16700</v>
      </c>
      <c r="K57" s="1" t="s">
        <v>16314</v>
      </c>
    </row>
    <row r="58" spans="1:11" ht="13.8">
      <c r="A58" s="1" t="s">
        <v>16701</v>
      </c>
      <c r="B58" s="1" t="s">
        <v>16702</v>
      </c>
      <c r="C58" s="1" t="s">
        <v>16703</v>
      </c>
      <c r="D58" s="1" t="s">
        <v>16704</v>
      </c>
      <c r="E58" s="1">
        <v>45</v>
      </c>
      <c r="F58" s="1" t="s">
        <v>145</v>
      </c>
      <c r="G58" s="1" t="s">
        <v>14198</v>
      </c>
      <c r="H58" s="1" t="s">
        <v>16705</v>
      </c>
      <c r="I58" s="1" t="s">
        <v>16706</v>
      </c>
      <c r="J58" s="3" t="s">
        <v>16707</v>
      </c>
      <c r="K58" s="1" t="s">
        <v>16314</v>
      </c>
    </row>
    <row r="59" spans="1:11" ht="13.8">
      <c r="A59" s="1" t="s">
        <v>16708</v>
      </c>
      <c r="B59" s="1" t="s">
        <v>16709</v>
      </c>
      <c r="C59" s="1" t="s">
        <v>16710</v>
      </c>
      <c r="D59" s="1" t="s">
        <v>16711</v>
      </c>
      <c r="E59" s="1">
        <v>65</v>
      </c>
      <c r="F59" s="1" t="s">
        <v>14281</v>
      </c>
      <c r="G59" s="1" t="s">
        <v>14237</v>
      </c>
      <c r="H59" s="1" t="s">
        <v>16712</v>
      </c>
      <c r="I59" s="1" t="s">
        <v>16713</v>
      </c>
      <c r="J59" s="3" t="s">
        <v>16714</v>
      </c>
      <c r="K59" s="1" t="s">
        <v>16314</v>
      </c>
    </row>
    <row r="60" spans="1:11" ht="13.8">
      <c r="A60" s="1" t="s">
        <v>16715</v>
      </c>
      <c r="B60" s="1" t="s">
        <v>16716</v>
      </c>
      <c r="C60" s="1" t="s">
        <v>16717</v>
      </c>
      <c r="D60" s="1" t="s">
        <v>16718</v>
      </c>
      <c r="E60" s="1">
        <v>50</v>
      </c>
      <c r="F60" s="1" t="s">
        <v>145</v>
      </c>
      <c r="G60" s="1" t="s">
        <v>14198</v>
      </c>
      <c r="H60" s="1" t="s">
        <v>16719</v>
      </c>
      <c r="I60" s="1" t="s">
        <v>16720</v>
      </c>
      <c r="J60" s="3" t="s">
        <v>16721</v>
      </c>
      <c r="K60" s="1" t="s">
        <v>16314</v>
      </c>
    </row>
    <row r="61" spans="1:11" ht="13.8">
      <c r="A61" s="1" t="s">
        <v>16722</v>
      </c>
      <c r="B61" s="1" t="s">
        <v>16723</v>
      </c>
      <c r="C61" s="1" t="s">
        <v>16724</v>
      </c>
      <c r="D61" s="1" t="s">
        <v>16725</v>
      </c>
      <c r="E61" s="1">
        <v>55</v>
      </c>
      <c r="F61" s="1" t="s">
        <v>14281</v>
      </c>
      <c r="G61" s="1" t="s">
        <v>14198</v>
      </c>
      <c r="H61" s="1" t="s">
        <v>16726</v>
      </c>
      <c r="I61" s="1" t="s">
        <v>16727</v>
      </c>
      <c r="J61" s="3" t="s">
        <v>16728</v>
      </c>
      <c r="K61" s="1" t="s">
        <v>16314</v>
      </c>
    </row>
    <row r="62" spans="1:11" ht="409.6">
      <c r="A62" s="1" t="s">
        <v>16729</v>
      </c>
      <c r="B62" s="1" t="s">
        <v>16730</v>
      </c>
      <c r="C62" s="1" t="s">
        <v>16731</v>
      </c>
      <c r="D62" s="1" t="s">
        <v>16732</v>
      </c>
      <c r="E62" s="1">
        <v>40</v>
      </c>
      <c r="F62" s="1" t="s">
        <v>14281</v>
      </c>
      <c r="G62" s="1" t="s">
        <v>14198</v>
      </c>
      <c r="H62" s="4" t="s">
        <v>16733</v>
      </c>
      <c r="I62" s="1" t="s">
        <v>16734</v>
      </c>
      <c r="J62" s="3" t="s">
        <v>16735</v>
      </c>
      <c r="K62" s="1" t="s">
        <v>16314</v>
      </c>
    </row>
    <row r="63" spans="1:11" ht="409.6">
      <c r="A63" s="1" t="s">
        <v>16736</v>
      </c>
      <c r="B63" s="1" t="s">
        <v>16737</v>
      </c>
      <c r="C63" s="1" t="s">
        <v>16738</v>
      </c>
      <c r="D63" s="1" t="s">
        <v>16739</v>
      </c>
      <c r="E63" s="1">
        <v>15</v>
      </c>
      <c r="F63" s="1" t="s">
        <v>16424</v>
      </c>
      <c r="G63" s="1" t="s">
        <v>14198</v>
      </c>
      <c r="H63" s="4" t="s">
        <v>16740</v>
      </c>
      <c r="I63" s="1" t="s">
        <v>16741</v>
      </c>
      <c r="J63" s="3" t="s">
        <v>16742</v>
      </c>
      <c r="K63" s="1" t="s">
        <v>16314</v>
      </c>
    </row>
    <row r="64" spans="1:11" ht="13.8">
      <c r="A64" s="1" t="s">
        <v>16743</v>
      </c>
      <c r="B64" s="1" t="s">
        <v>16744</v>
      </c>
      <c r="C64" s="1" t="s">
        <v>16745</v>
      </c>
      <c r="D64" s="1" t="s">
        <v>16746</v>
      </c>
      <c r="E64" s="1">
        <v>35</v>
      </c>
      <c r="F64" s="1" t="s">
        <v>14281</v>
      </c>
      <c r="G64" s="1" t="s">
        <v>14338</v>
      </c>
      <c r="H64" s="1" t="s">
        <v>16747</v>
      </c>
      <c r="I64" s="1" t="s">
        <v>16748</v>
      </c>
      <c r="J64" s="3" t="s">
        <v>16749</v>
      </c>
      <c r="K64" s="1" t="s">
        <v>16314</v>
      </c>
    </row>
    <row r="65" spans="1:11" ht="13.8">
      <c r="A65" s="1" t="s">
        <v>16750</v>
      </c>
      <c r="B65" s="1" t="s">
        <v>16751</v>
      </c>
      <c r="C65" s="1" t="s">
        <v>16752</v>
      </c>
      <c r="D65" s="1" t="s">
        <v>16753</v>
      </c>
      <c r="E65" s="1">
        <v>20</v>
      </c>
      <c r="F65" s="1" t="s">
        <v>145</v>
      </c>
      <c r="G65" s="1" t="s">
        <v>14198</v>
      </c>
      <c r="H65" s="1" t="s">
        <v>16754</v>
      </c>
      <c r="I65" s="1" t="s">
        <v>16755</v>
      </c>
      <c r="J65" s="3" t="s">
        <v>16756</v>
      </c>
      <c r="K65" s="1" t="s">
        <v>16314</v>
      </c>
    </row>
    <row r="66" spans="1:11" ht="13.8">
      <c r="A66" s="1" t="s">
        <v>16757</v>
      </c>
      <c r="B66" s="1" t="s">
        <v>16758</v>
      </c>
      <c r="C66" s="1" t="s">
        <v>16759</v>
      </c>
      <c r="D66" s="1" t="s">
        <v>16760</v>
      </c>
      <c r="E66" s="1">
        <v>45</v>
      </c>
      <c r="F66" s="1" t="s">
        <v>14207</v>
      </c>
      <c r="G66" s="1" t="s">
        <v>14198</v>
      </c>
      <c r="H66" s="1" t="s">
        <v>16761</v>
      </c>
      <c r="I66" s="1" t="s">
        <v>16762</v>
      </c>
      <c r="J66" s="3" t="s">
        <v>16763</v>
      </c>
      <c r="K66" s="1" t="s">
        <v>16314</v>
      </c>
    </row>
    <row r="67" spans="1:11" ht="13.8">
      <c r="A67" s="1" t="s">
        <v>16764</v>
      </c>
      <c r="B67" s="1" t="s">
        <v>16765</v>
      </c>
      <c r="C67" s="1" t="s">
        <v>16766</v>
      </c>
      <c r="D67" s="1" t="s">
        <v>16767</v>
      </c>
      <c r="E67" s="1">
        <v>40</v>
      </c>
      <c r="F67" s="1" t="s">
        <v>8417</v>
      </c>
      <c r="G67" s="1" t="s">
        <v>14198</v>
      </c>
      <c r="H67" s="1" t="s">
        <v>16768</v>
      </c>
      <c r="I67" s="1" t="s">
        <v>16769</v>
      </c>
      <c r="J67" s="3" t="s">
        <v>16770</v>
      </c>
      <c r="K67" s="1" t="s">
        <v>16314</v>
      </c>
    </row>
    <row r="68" spans="1:11" ht="13.8">
      <c r="A68" s="1" t="s">
        <v>16771</v>
      </c>
      <c r="B68" s="1" t="s">
        <v>16772</v>
      </c>
      <c r="C68" s="1" t="s">
        <v>16773</v>
      </c>
      <c r="D68" s="1" t="s">
        <v>16774</v>
      </c>
      <c r="E68" s="1">
        <v>60</v>
      </c>
      <c r="F68" s="1" t="s">
        <v>14207</v>
      </c>
      <c r="G68" s="1" t="s">
        <v>14237</v>
      </c>
      <c r="H68" s="1" t="s">
        <v>16775</v>
      </c>
      <c r="I68" s="1" t="s">
        <v>16776</v>
      </c>
      <c r="J68" s="3" t="s">
        <v>16777</v>
      </c>
      <c r="K68" s="1" t="s">
        <v>16314</v>
      </c>
    </row>
    <row r="69" spans="1:11" ht="13.8">
      <c r="A69" s="1" t="s">
        <v>16778</v>
      </c>
      <c r="B69" s="1" t="s">
        <v>16779</v>
      </c>
      <c r="C69" s="1" t="s">
        <v>16780</v>
      </c>
      <c r="D69" s="1" t="s">
        <v>16781</v>
      </c>
      <c r="E69" s="1">
        <v>55</v>
      </c>
      <c r="F69" s="1" t="s">
        <v>8417</v>
      </c>
      <c r="G69" s="1" t="s">
        <v>14198</v>
      </c>
      <c r="H69" s="1" t="s">
        <v>16782</v>
      </c>
      <c r="I69" s="1" t="s">
        <v>16783</v>
      </c>
      <c r="J69" s="3" t="s">
        <v>16784</v>
      </c>
      <c r="K69" s="1" t="s">
        <v>16314</v>
      </c>
    </row>
    <row r="70" spans="1:11" ht="409.6">
      <c r="A70" s="1" t="s">
        <v>16785</v>
      </c>
      <c r="B70" s="1" t="s">
        <v>16786</v>
      </c>
      <c r="C70" s="1" t="s">
        <v>16787</v>
      </c>
      <c r="D70" s="1" t="s">
        <v>16788</v>
      </c>
      <c r="E70" s="1">
        <v>45</v>
      </c>
      <c r="F70" s="1" t="s">
        <v>145</v>
      </c>
      <c r="G70" s="1" t="s">
        <v>14198</v>
      </c>
      <c r="H70" s="4" t="s">
        <v>16789</v>
      </c>
      <c r="I70" s="1" t="s">
        <v>16790</v>
      </c>
      <c r="J70" s="3" t="s">
        <v>16791</v>
      </c>
      <c r="K70" s="1" t="s">
        <v>16314</v>
      </c>
    </row>
    <row r="71" spans="1:11" ht="13.8">
      <c r="A71" s="1" t="s">
        <v>16792</v>
      </c>
      <c r="B71" s="1" t="s">
        <v>16793</v>
      </c>
      <c r="C71" s="1" t="s">
        <v>16794</v>
      </c>
      <c r="D71" s="1" t="s">
        <v>16795</v>
      </c>
      <c r="E71" s="1">
        <v>35</v>
      </c>
      <c r="F71" s="1" t="s">
        <v>14207</v>
      </c>
      <c r="G71" s="1" t="s">
        <v>14237</v>
      </c>
      <c r="H71" s="1" t="s">
        <v>16796</v>
      </c>
      <c r="I71" s="1" t="s">
        <v>16797</v>
      </c>
      <c r="J71" s="3" t="s">
        <v>16798</v>
      </c>
      <c r="K71" s="1" t="s">
        <v>16314</v>
      </c>
    </row>
    <row r="72" spans="1:11" ht="13.8">
      <c r="A72" s="1" t="s">
        <v>16799</v>
      </c>
      <c r="B72" s="1" t="s">
        <v>16800</v>
      </c>
      <c r="C72" s="1" t="s">
        <v>16801</v>
      </c>
      <c r="D72" s="1" t="s">
        <v>16802</v>
      </c>
      <c r="E72" s="1">
        <v>50</v>
      </c>
      <c r="F72" s="1" t="s">
        <v>14259</v>
      </c>
      <c r="G72" s="1" t="s">
        <v>14237</v>
      </c>
      <c r="H72" s="1" t="s">
        <v>16803</v>
      </c>
      <c r="I72" s="1" t="s">
        <v>16804</v>
      </c>
      <c r="J72" s="3" t="s">
        <v>16805</v>
      </c>
      <c r="K72" s="1" t="s">
        <v>16314</v>
      </c>
    </row>
    <row r="73" spans="1:11" ht="409.6">
      <c r="A73" s="1" t="s">
        <v>16806</v>
      </c>
      <c r="B73" s="1" t="s">
        <v>16807</v>
      </c>
      <c r="C73" s="1" t="s">
        <v>16808</v>
      </c>
      <c r="D73" s="1" t="s">
        <v>16809</v>
      </c>
      <c r="E73" s="1">
        <v>45</v>
      </c>
      <c r="F73" s="1" t="s">
        <v>14207</v>
      </c>
      <c r="G73" s="1" t="s">
        <v>14338</v>
      </c>
      <c r="H73" s="4" t="s">
        <v>16810</v>
      </c>
      <c r="I73" s="1" t="s">
        <v>16811</v>
      </c>
      <c r="J73" s="3" t="s">
        <v>16812</v>
      </c>
      <c r="K73" s="1" t="s">
        <v>16314</v>
      </c>
    </row>
    <row r="74" spans="1:11" ht="13.8">
      <c r="A74" s="1" t="s">
        <v>16813</v>
      </c>
      <c r="B74" s="1" t="s">
        <v>16814</v>
      </c>
      <c r="C74" s="1" t="s">
        <v>16815</v>
      </c>
      <c r="D74" s="1" t="s">
        <v>16816</v>
      </c>
      <c r="E74" s="1">
        <v>40</v>
      </c>
      <c r="F74" s="1" t="s">
        <v>14281</v>
      </c>
      <c r="G74" s="1" t="s">
        <v>14198</v>
      </c>
      <c r="H74" s="1" t="s">
        <v>16817</v>
      </c>
      <c r="I74" s="1" t="s">
        <v>16818</v>
      </c>
      <c r="J74" s="3" t="s">
        <v>16819</v>
      </c>
      <c r="K74" s="1" t="s">
        <v>16314</v>
      </c>
    </row>
    <row r="75" spans="1:11" ht="13.8">
      <c r="A75" s="1" t="s">
        <v>16820</v>
      </c>
      <c r="B75" s="1" t="s">
        <v>16821</v>
      </c>
      <c r="C75" s="1" t="s">
        <v>16822</v>
      </c>
      <c r="D75" s="1" t="s">
        <v>16823</v>
      </c>
      <c r="E75" s="1">
        <v>40</v>
      </c>
      <c r="F75" s="1" t="s">
        <v>14207</v>
      </c>
      <c r="G75" s="1" t="s">
        <v>14198</v>
      </c>
      <c r="H75" s="1" t="s">
        <v>16824</v>
      </c>
      <c r="I75" s="1" t="s">
        <v>16825</v>
      </c>
      <c r="J75" s="3" t="s">
        <v>16826</v>
      </c>
      <c r="K75" s="1" t="s">
        <v>16314</v>
      </c>
    </row>
    <row r="76" spans="1:11" ht="409.6">
      <c r="A76" s="1" t="s">
        <v>16827</v>
      </c>
      <c r="B76" s="1" t="s">
        <v>16828</v>
      </c>
      <c r="C76" s="1" t="s">
        <v>16829</v>
      </c>
      <c r="D76" s="1" t="s">
        <v>16830</v>
      </c>
      <c r="E76" s="1">
        <v>40</v>
      </c>
      <c r="F76" s="1" t="s">
        <v>16424</v>
      </c>
      <c r="G76" s="1" t="s">
        <v>15102</v>
      </c>
      <c r="H76" s="4" t="s">
        <v>16831</v>
      </c>
      <c r="I76" s="4" t="s">
        <v>16832</v>
      </c>
      <c r="J76" s="3" t="s">
        <v>16833</v>
      </c>
      <c r="K76" s="1" t="s">
        <v>16314</v>
      </c>
    </row>
    <row r="77" spans="1:11" ht="13.8">
      <c r="A77" s="1" t="s">
        <v>16834</v>
      </c>
      <c r="B77" s="1" t="s">
        <v>16835</v>
      </c>
      <c r="C77" s="1" t="s">
        <v>16836</v>
      </c>
      <c r="D77" s="1" t="s">
        <v>16837</v>
      </c>
      <c r="E77" s="1">
        <v>50</v>
      </c>
      <c r="F77" s="1" t="s">
        <v>429</v>
      </c>
      <c r="G77" s="1" t="s">
        <v>14338</v>
      </c>
      <c r="H77" s="1" t="s">
        <v>16838</v>
      </c>
      <c r="I77" s="1" t="s">
        <v>16839</v>
      </c>
      <c r="J77" s="3" t="s">
        <v>16840</v>
      </c>
      <c r="K77" s="1" t="s">
        <v>16314</v>
      </c>
    </row>
    <row r="78" spans="1:11" ht="13.8">
      <c r="A78" s="1" t="s">
        <v>16841</v>
      </c>
      <c r="B78" s="1" t="s">
        <v>16842</v>
      </c>
      <c r="C78" s="1" t="s">
        <v>16843</v>
      </c>
      <c r="D78" s="1" t="s">
        <v>16844</v>
      </c>
      <c r="E78" s="1">
        <v>15</v>
      </c>
      <c r="F78" s="1" t="s">
        <v>14207</v>
      </c>
      <c r="G78" s="1" t="s">
        <v>14208</v>
      </c>
      <c r="H78" s="1" t="s">
        <v>16845</v>
      </c>
      <c r="I78" s="1" t="s">
        <v>16846</v>
      </c>
      <c r="J78" s="3" t="s">
        <v>16847</v>
      </c>
      <c r="K78" s="1" t="s">
        <v>16314</v>
      </c>
    </row>
    <row r="79" spans="1:11" ht="13.8">
      <c r="A79" s="1" t="s">
        <v>16848</v>
      </c>
      <c r="B79" s="1" t="s">
        <v>16849</v>
      </c>
      <c r="C79" s="1" t="s">
        <v>16850</v>
      </c>
      <c r="D79" s="1" t="s">
        <v>16851</v>
      </c>
      <c r="E79" s="1">
        <v>35</v>
      </c>
      <c r="F79" s="1" t="s">
        <v>145</v>
      </c>
      <c r="G79" s="1" t="s">
        <v>14198</v>
      </c>
      <c r="H79" s="1" t="s">
        <v>16852</v>
      </c>
      <c r="I79" s="1" t="s">
        <v>16853</v>
      </c>
      <c r="J79" s="3" t="s">
        <v>16854</v>
      </c>
      <c r="K79" s="1" t="s">
        <v>16314</v>
      </c>
    </row>
    <row r="80" spans="1:11" ht="13.8">
      <c r="A80" s="1" t="s">
        <v>16855</v>
      </c>
      <c r="B80" s="1" t="s">
        <v>16856</v>
      </c>
      <c r="C80" s="1" t="s">
        <v>16857</v>
      </c>
      <c r="D80" s="1" t="s">
        <v>16858</v>
      </c>
      <c r="E80" s="1">
        <v>15</v>
      </c>
      <c r="F80" s="1" t="s">
        <v>16424</v>
      </c>
      <c r="G80" s="1" t="s">
        <v>14198</v>
      </c>
      <c r="H80" s="1" t="s">
        <v>16859</v>
      </c>
      <c r="I80" s="1" t="s">
        <v>16860</v>
      </c>
      <c r="J80" s="3" t="s">
        <v>16861</v>
      </c>
      <c r="K80" s="1" t="s">
        <v>16314</v>
      </c>
    </row>
    <row r="81" spans="1:11" ht="13.8">
      <c r="A81" s="1" t="s">
        <v>16862</v>
      </c>
      <c r="B81" s="1" t="s">
        <v>16863</v>
      </c>
      <c r="C81" s="1" t="s">
        <v>16864</v>
      </c>
      <c r="D81" s="1" t="s">
        <v>16865</v>
      </c>
      <c r="E81" s="1">
        <v>25</v>
      </c>
      <c r="F81" s="1" t="s">
        <v>14207</v>
      </c>
      <c r="G81" s="1" t="s">
        <v>14198</v>
      </c>
      <c r="H81" s="1" t="s">
        <v>16866</v>
      </c>
      <c r="I81" s="1" t="s">
        <v>16867</v>
      </c>
      <c r="J81" s="3" t="s">
        <v>16868</v>
      </c>
      <c r="K81" s="1" t="s">
        <v>16314</v>
      </c>
    </row>
    <row r="82" spans="1:11" ht="409.6">
      <c r="A82" s="1" t="s">
        <v>16869</v>
      </c>
      <c r="B82" s="1" t="s">
        <v>16870</v>
      </c>
      <c r="C82" s="1" t="s">
        <v>16871</v>
      </c>
      <c r="D82" s="1" t="s">
        <v>16872</v>
      </c>
      <c r="E82" s="1">
        <v>20</v>
      </c>
      <c r="F82" s="1" t="s">
        <v>14281</v>
      </c>
      <c r="G82" s="1" t="s">
        <v>14198</v>
      </c>
      <c r="H82" s="4" t="s">
        <v>16873</v>
      </c>
      <c r="I82" s="1" t="s">
        <v>16874</v>
      </c>
      <c r="J82" s="3" t="s">
        <v>16875</v>
      </c>
      <c r="K82" s="1" t="s">
        <v>16314</v>
      </c>
    </row>
    <row r="83" spans="1:11" ht="13.8">
      <c r="A83" s="1" t="s">
        <v>16876</v>
      </c>
      <c r="B83" s="1" t="s">
        <v>16877</v>
      </c>
      <c r="C83" s="1" t="s">
        <v>16878</v>
      </c>
      <c r="D83" s="1" t="s">
        <v>16879</v>
      </c>
      <c r="E83" s="1">
        <v>30</v>
      </c>
      <c r="F83" s="1" t="s">
        <v>14572</v>
      </c>
      <c r="G83" s="1" t="s">
        <v>14198</v>
      </c>
      <c r="H83" s="1" t="s">
        <v>16880</v>
      </c>
      <c r="I83" s="1" t="s">
        <v>16881</v>
      </c>
      <c r="J83" s="3" t="s">
        <v>16882</v>
      </c>
      <c r="K83" s="1" t="s">
        <v>16314</v>
      </c>
    </row>
    <row r="84" spans="1:11" ht="409.6">
      <c r="A84" s="1" t="s">
        <v>16883</v>
      </c>
      <c r="B84" s="1" t="s">
        <v>16884</v>
      </c>
      <c r="C84" s="1" t="s">
        <v>16885</v>
      </c>
      <c r="D84" s="1" t="s">
        <v>16886</v>
      </c>
      <c r="E84" s="1">
        <v>55</v>
      </c>
      <c r="F84" s="1" t="s">
        <v>8417</v>
      </c>
      <c r="G84" s="1" t="s">
        <v>14198</v>
      </c>
      <c r="H84" s="1" t="s">
        <v>16887</v>
      </c>
      <c r="I84" s="4" t="s">
        <v>16888</v>
      </c>
      <c r="J84" s="3" t="s">
        <v>16889</v>
      </c>
      <c r="K84" s="1" t="s">
        <v>16314</v>
      </c>
    </row>
    <row r="85" spans="1:11" ht="13.8">
      <c r="A85" s="1" t="s">
        <v>16890</v>
      </c>
      <c r="B85" s="1" t="s">
        <v>16891</v>
      </c>
      <c r="C85" s="1" t="s">
        <v>16892</v>
      </c>
      <c r="D85" s="1" t="s">
        <v>16893</v>
      </c>
      <c r="E85" s="1">
        <v>50</v>
      </c>
      <c r="F85" s="1" t="s">
        <v>145</v>
      </c>
      <c r="G85" s="1" t="s">
        <v>14198</v>
      </c>
      <c r="H85" s="1" t="s">
        <v>16894</v>
      </c>
      <c r="I85" s="1" t="s">
        <v>16895</v>
      </c>
      <c r="J85" s="3" t="s">
        <v>16896</v>
      </c>
      <c r="K85" s="1" t="s">
        <v>16314</v>
      </c>
    </row>
    <row r="86" spans="1:11" ht="13.8">
      <c r="A86" s="1" t="s">
        <v>16897</v>
      </c>
      <c r="B86" s="1" t="s">
        <v>16898</v>
      </c>
      <c r="C86" s="1" t="s">
        <v>16899</v>
      </c>
      <c r="D86" s="1" t="s">
        <v>16900</v>
      </c>
      <c r="E86" s="1">
        <v>40</v>
      </c>
      <c r="F86" s="1" t="s">
        <v>14281</v>
      </c>
      <c r="G86" s="1" t="s">
        <v>14198</v>
      </c>
      <c r="H86" s="1" t="s">
        <v>16901</v>
      </c>
      <c r="I86" s="1" t="s">
        <v>16902</v>
      </c>
      <c r="J86" s="3" t="s">
        <v>16903</v>
      </c>
      <c r="K86" s="1" t="s">
        <v>16314</v>
      </c>
    </row>
    <row r="87" spans="1:11" ht="13.8">
      <c r="A87" s="1" t="s">
        <v>16904</v>
      </c>
      <c r="B87" s="1" t="s">
        <v>16905</v>
      </c>
      <c r="C87" s="1" t="s">
        <v>16906</v>
      </c>
      <c r="D87" s="1" t="s">
        <v>16907</v>
      </c>
      <c r="E87" s="1">
        <v>50</v>
      </c>
      <c r="F87" s="1" t="s">
        <v>145</v>
      </c>
      <c r="G87" s="1" t="s">
        <v>14198</v>
      </c>
      <c r="H87" s="1" t="s">
        <v>16908</v>
      </c>
      <c r="I87" s="1" t="s">
        <v>16909</v>
      </c>
      <c r="J87" s="3" t="s">
        <v>16910</v>
      </c>
      <c r="K87" s="1" t="s">
        <v>16314</v>
      </c>
    </row>
    <row r="88" spans="1:11" ht="409.6">
      <c r="A88" s="1" t="s">
        <v>16911</v>
      </c>
      <c r="B88" s="1" t="s">
        <v>16912</v>
      </c>
      <c r="C88" s="1" t="s">
        <v>16913</v>
      </c>
      <c r="D88" s="1" t="s">
        <v>16914</v>
      </c>
      <c r="E88" s="1">
        <v>55</v>
      </c>
      <c r="F88" s="1" t="s">
        <v>8417</v>
      </c>
      <c r="G88" s="1" t="s">
        <v>14198</v>
      </c>
      <c r="H88" s="4" t="s">
        <v>16915</v>
      </c>
      <c r="I88" s="1" t="s">
        <v>16916</v>
      </c>
      <c r="J88" s="3" t="s">
        <v>16917</v>
      </c>
      <c r="K88" s="1" t="s">
        <v>16314</v>
      </c>
    </row>
    <row r="89" spans="1:11" ht="13.8">
      <c r="A89" s="1" t="s">
        <v>16918</v>
      </c>
      <c r="B89" s="1" t="s">
        <v>16919</v>
      </c>
      <c r="C89" s="1" t="s">
        <v>16920</v>
      </c>
      <c r="D89" s="1" t="s">
        <v>16921</v>
      </c>
      <c r="E89" s="1">
        <v>35</v>
      </c>
      <c r="F89" s="1" t="s">
        <v>14207</v>
      </c>
      <c r="G89" s="1" t="s">
        <v>14198</v>
      </c>
      <c r="H89" s="1" t="s">
        <v>16922</v>
      </c>
      <c r="I89" s="1" t="s">
        <v>16923</v>
      </c>
      <c r="J89" s="3" t="s">
        <v>16924</v>
      </c>
      <c r="K89" s="1" t="s">
        <v>16314</v>
      </c>
    </row>
    <row r="90" spans="1:11" ht="13.8">
      <c r="A90" s="1" t="s">
        <v>16925</v>
      </c>
      <c r="B90" s="1" t="s">
        <v>16926</v>
      </c>
      <c r="C90" s="1" t="s">
        <v>16927</v>
      </c>
      <c r="D90" s="1" t="s">
        <v>16928</v>
      </c>
      <c r="E90" s="1">
        <v>90</v>
      </c>
      <c r="F90" s="1" t="s">
        <v>429</v>
      </c>
      <c r="G90" s="1" t="s">
        <v>14198</v>
      </c>
      <c r="H90" s="1" t="s">
        <v>16929</v>
      </c>
      <c r="I90" s="1" t="s">
        <v>16930</v>
      </c>
      <c r="J90" s="3" t="s">
        <v>16931</v>
      </c>
      <c r="K90" s="1" t="s">
        <v>16314</v>
      </c>
    </row>
    <row r="91" spans="1:11" ht="13.8">
      <c r="A91" s="1" t="s">
        <v>16932</v>
      </c>
      <c r="B91" s="1" t="s">
        <v>16933</v>
      </c>
      <c r="C91" s="1" t="s">
        <v>16934</v>
      </c>
      <c r="D91" s="1" t="s">
        <v>16935</v>
      </c>
      <c r="E91" s="1">
        <v>50</v>
      </c>
      <c r="F91" s="1" t="s">
        <v>14281</v>
      </c>
      <c r="G91" s="1" t="s">
        <v>14198</v>
      </c>
      <c r="H91" s="1" t="s">
        <v>16936</v>
      </c>
      <c r="I91" s="1" t="s">
        <v>16937</v>
      </c>
      <c r="J91" s="3" t="s">
        <v>16938</v>
      </c>
      <c r="K91" s="1" t="s">
        <v>16314</v>
      </c>
    </row>
    <row r="92" spans="1:11" ht="13.8">
      <c r="A92" s="1" t="s">
        <v>16939</v>
      </c>
      <c r="B92" s="1" t="s">
        <v>16940</v>
      </c>
      <c r="C92" s="1" t="s">
        <v>16941</v>
      </c>
      <c r="D92" s="1" t="s">
        <v>16942</v>
      </c>
      <c r="E92" s="1">
        <v>25</v>
      </c>
      <c r="F92" s="1" t="s">
        <v>14259</v>
      </c>
      <c r="G92" s="1" t="s">
        <v>14208</v>
      </c>
      <c r="H92" s="1" t="s">
        <v>16943</v>
      </c>
      <c r="I92" s="1" t="s">
        <v>16944</v>
      </c>
      <c r="J92" s="3" t="s">
        <v>16945</v>
      </c>
      <c r="K92" s="1" t="s">
        <v>16314</v>
      </c>
    </row>
    <row r="93" spans="1:11" ht="13.8">
      <c r="A93" s="1" t="s">
        <v>16946</v>
      </c>
      <c r="B93" s="1" t="s">
        <v>16947</v>
      </c>
      <c r="C93" s="1" t="s">
        <v>16948</v>
      </c>
      <c r="D93" s="1" t="s">
        <v>16949</v>
      </c>
      <c r="E93" s="1">
        <v>20</v>
      </c>
      <c r="F93" s="1" t="s">
        <v>145</v>
      </c>
      <c r="G93" s="1" t="s">
        <v>14198</v>
      </c>
      <c r="H93" s="1" t="s">
        <v>16950</v>
      </c>
      <c r="I93" s="1" t="s">
        <v>16951</v>
      </c>
      <c r="J93" s="3" t="s">
        <v>16952</v>
      </c>
      <c r="K93" s="1" t="s">
        <v>16314</v>
      </c>
    </row>
    <row r="94" spans="1:11" ht="13.8">
      <c r="A94" s="1" t="s">
        <v>16953</v>
      </c>
      <c r="B94" s="1" t="s">
        <v>16954</v>
      </c>
      <c r="C94" s="1" t="s">
        <v>16955</v>
      </c>
      <c r="D94" s="1" t="s">
        <v>16956</v>
      </c>
      <c r="E94" s="1">
        <v>30</v>
      </c>
      <c r="F94" s="1" t="s">
        <v>16424</v>
      </c>
      <c r="G94" s="1" t="s">
        <v>14198</v>
      </c>
      <c r="H94" s="1" t="s">
        <v>16957</v>
      </c>
      <c r="I94" s="1" t="s">
        <v>16958</v>
      </c>
      <c r="J94" s="3" t="s">
        <v>16959</v>
      </c>
      <c r="K94" s="1" t="s">
        <v>16314</v>
      </c>
    </row>
    <row r="95" spans="1:11" ht="13.8">
      <c r="A95" s="1" t="s">
        <v>16960</v>
      </c>
      <c r="B95" s="1" t="s">
        <v>16961</v>
      </c>
      <c r="C95" s="1" t="s">
        <v>16962</v>
      </c>
      <c r="D95" s="1" t="s">
        <v>16963</v>
      </c>
      <c r="E95" s="1">
        <v>30</v>
      </c>
      <c r="F95" s="1" t="s">
        <v>16424</v>
      </c>
      <c r="G95" s="1" t="s">
        <v>14338</v>
      </c>
      <c r="H95" s="1" t="s">
        <v>16964</v>
      </c>
      <c r="I95" s="1" t="s">
        <v>16965</v>
      </c>
      <c r="J95" s="3" t="s">
        <v>16966</v>
      </c>
      <c r="K95" s="1" t="s">
        <v>16314</v>
      </c>
    </row>
    <row r="96" spans="1:11" ht="13.8">
      <c r="A96" s="1" t="s">
        <v>16967</v>
      </c>
      <c r="B96" s="1" t="s">
        <v>16968</v>
      </c>
      <c r="C96" s="1" t="s">
        <v>16969</v>
      </c>
      <c r="D96" s="1" t="s">
        <v>16970</v>
      </c>
      <c r="E96" s="1">
        <v>45</v>
      </c>
      <c r="F96" s="1" t="s">
        <v>14207</v>
      </c>
      <c r="G96" s="1" t="s">
        <v>14198</v>
      </c>
      <c r="H96" s="1" t="s">
        <v>16971</v>
      </c>
      <c r="I96" s="1" t="s">
        <v>16972</v>
      </c>
      <c r="J96" s="3" t="s">
        <v>16973</v>
      </c>
      <c r="K96" s="1" t="s">
        <v>16314</v>
      </c>
    </row>
    <row r="97" spans="1:11" ht="13.8">
      <c r="A97" s="1" t="s">
        <v>16974</v>
      </c>
      <c r="B97" s="1" t="s">
        <v>16975</v>
      </c>
      <c r="C97" s="1" t="s">
        <v>16976</v>
      </c>
      <c r="D97" s="1" t="s">
        <v>16977</v>
      </c>
      <c r="E97" s="1">
        <v>35</v>
      </c>
      <c r="F97" s="1" t="s">
        <v>14207</v>
      </c>
      <c r="G97" s="1" t="s">
        <v>14198</v>
      </c>
      <c r="H97" s="1" t="s">
        <v>16978</v>
      </c>
      <c r="I97" s="1" t="s">
        <v>16979</v>
      </c>
      <c r="J97" s="3" t="s">
        <v>16980</v>
      </c>
      <c r="K97" s="1" t="s">
        <v>16314</v>
      </c>
    </row>
    <row r="98" spans="1:11" ht="13.8">
      <c r="A98" s="1" t="s">
        <v>16981</v>
      </c>
      <c r="B98" s="1" t="s">
        <v>16982</v>
      </c>
      <c r="C98" s="1" t="s">
        <v>16983</v>
      </c>
      <c r="D98" s="1" t="s">
        <v>16984</v>
      </c>
      <c r="E98" s="1">
        <v>50</v>
      </c>
      <c r="F98" s="1" t="s">
        <v>15760</v>
      </c>
      <c r="G98" s="1" t="s">
        <v>14198</v>
      </c>
      <c r="H98" s="1" t="s">
        <v>16985</v>
      </c>
      <c r="I98" s="1" t="s">
        <v>16986</v>
      </c>
      <c r="J98" s="3" t="s">
        <v>16987</v>
      </c>
      <c r="K98" s="1" t="s">
        <v>16314</v>
      </c>
    </row>
    <row r="99" spans="1:11" ht="13.8">
      <c r="A99" s="1" t="s">
        <v>16988</v>
      </c>
      <c r="B99" s="1" t="s">
        <v>16989</v>
      </c>
      <c r="C99" s="1" t="s">
        <v>16990</v>
      </c>
      <c r="D99" s="1" t="s">
        <v>16991</v>
      </c>
      <c r="E99" s="1">
        <v>40</v>
      </c>
      <c r="F99" s="1" t="s">
        <v>429</v>
      </c>
      <c r="G99" s="1" t="s">
        <v>14198</v>
      </c>
      <c r="H99" s="1" t="s">
        <v>16992</v>
      </c>
      <c r="I99" s="1" t="s">
        <v>16993</v>
      </c>
      <c r="J99" s="3" t="s">
        <v>16994</v>
      </c>
      <c r="K99" s="1" t="s">
        <v>16314</v>
      </c>
    </row>
    <row r="100" spans="1:11" ht="13.8">
      <c r="A100" s="1" t="s">
        <v>16995</v>
      </c>
      <c r="B100" s="1" t="s">
        <v>16996</v>
      </c>
      <c r="C100" s="1" t="s">
        <v>16997</v>
      </c>
      <c r="D100" s="1" t="s">
        <v>16998</v>
      </c>
      <c r="E100" s="1">
        <v>55</v>
      </c>
      <c r="F100" s="1" t="s">
        <v>14207</v>
      </c>
      <c r="G100" s="1" t="s">
        <v>14208</v>
      </c>
      <c r="H100" s="1" t="s">
        <v>16999</v>
      </c>
      <c r="I100" s="1" t="s">
        <v>17000</v>
      </c>
      <c r="J100" s="3" t="s">
        <v>17001</v>
      </c>
      <c r="K100" s="1" t="s">
        <v>16314</v>
      </c>
    </row>
    <row r="101" spans="1:11" ht="13.8">
      <c r="A101" s="1" t="s">
        <v>17002</v>
      </c>
      <c r="B101" s="1" t="s">
        <v>17003</v>
      </c>
      <c r="C101" s="1" t="s">
        <v>17004</v>
      </c>
      <c r="D101" s="1" t="s">
        <v>17005</v>
      </c>
      <c r="E101" s="1">
        <v>40</v>
      </c>
      <c r="F101" s="1" t="s">
        <v>145</v>
      </c>
      <c r="G101" s="1" t="s">
        <v>14198</v>
      </c>
      <c r="H101" s="1" t="s">
        <v>17006</v>
      </c>
      <c r="I101" s="1" t="s">
        <v>17007</v>
      </c>
      <c r="J101" s="3" t="s">
        <v>17008</v>
      </c>
      <c r="K101" s="1" t="s">
        <v>16314</v>
      </c>
    </row>
    <row r="102" spans="1:11" ht="13.8">
      <c r="A102" s="1" t="s">
        <v>17009</v>
      </c>
      <c r="B102" s="1" t="s">
        <v>17010</v>
      </c>
      <c r="C102" s="1" t="s">
        <v>17011</v>
      </c>
      <c r="D102" s="1" t="s">
        <v>17012</v>
      </c>
      <c r="E102" s="1">
        <v>35</v>
      </c>
      <c r="F102" s="1" t="s">
        <v>8417</v>
      </c>
      <c r="G102" s="1" t="s">
        <v>14198</v>
      </c>
      <c r="H102" s="1" t="s">
        <v>17013</v>
      </c>
      <c r="I102" s="1" t="s">
        <v>17014</v>
      </c>
      <c r="J102" s="3" t="s">
        <v>17015</v>
      </c>
      <c r="K102" s="1" t="s">
        <v>16314</v>
      </c>
    </row>
    <row r="103" spans="1:11" ht="409.6">
      <c r="A103" s="1" t="s">
        <v>17016</v>
      </c>
      <c r="B103" s="1" t="s">
        <v>17017</v>
      </c>
      <c r="C103" s="1" t="s">
        <v>17018</v>
      </c>
      <c r="D103" s="1" t="s">
        <v>17019</v>
      </c>
      <c r="E103" s="1">
        <v>30</v>
      </c>
      <c r="F103" s="1" t="s">
        <v>14207</v>
      </c>
      <c r="G103" s="1" t="s">
        <v>14198</v>
      </c>
      <c r="H103" s="4" t="s">
        <v>17020</v>
      </c>
      <c r="I103" s="1" t="s">
        <v>17021</v>
      </c>
      <c r="J103" s="3" t="s">
        <v>17022</v>
      </c>
      <c r="K103" s="1" t="s">
        <v>16314</v>
      </c>
    </row>
    <row r="104" spans="1:11" ht="13.8">
      <c r="A104" s="1" t="s">
        <v>17023</v>
      </c>
      <c r="B104" s="1" t="s">
        <v>17024</v>
      </c>
      <c r="C104" s="1" t="s">
        <v>17025</v>
      </c>
      <c r="D104" s="1" t="s">
        <v>17026</v>
      </c>
      <c r="E104" s="1">
        <v>35</v>
      </c>
      <c r="F104" s="1" t="s">
        <v>14259</v>
      </c>
      <c r="G104" s="1" t="s">
        <v>14198</v>
      </c>
      <c r="H104" s="1" t="s">
        <v>17027</v>
      </c>
      <c r="I104" s="1" t="s">
        <v>17028</v>
      </c>
      <c r="J104" s="3" t="s">
        <v>17029</v>
      </c>
      <c r="K104" s="1" t="s">
        <v>16314</v>
      </c>
    </row>
    <row r="105" spans="1:11" ht="13.8">
      <c r="A105" s="1" t="s">
        <v>17030</v>
      </c>
      <c r="B105" s="1" t="s">
        <v>17031</v>
      </c>
      <c r="C105" s="1" t="s">
        <v>17032</v>
      </c>
      <c r="D105" s="1" t="s">
        <v>17033</v>
      </c>
      <c r="E105" s="1">
        <v>50</v>
      </c>
      <c r="F105" s="1" t="s">
        <v>429</v>
      </c>
      <c r="G105" s="1" t="s">
        <v>14338</v>
      </c>
      <c r="H105" s="1" t="s">
        <v>17034</v>
      </c>
      <c r="I105" s="1" t="s">
        <v>17035</v>
      </c>
      <c r="J105" s="3" t="s">
        <v>17036</v>
      </c>
      <c r="K105" s="1" t="s">
        <v>16314</v>
      </c>
    </row>
    <row r="106" spans="1:11" ht="409.6">
      <c r="A106" s="1" t="s">
        <v>17037</v>
      </c>
      <c r="B106" s="1" t="s">
        <v>17038</v>
      </c>
      <c r="C106" s="1" t="s">
        <v>17039</v>
      </c>
      <c r="D106" s="1" t="s">
        <v>17040</v>
      </c>
      <c r="E106" s="1">
        <v>40</v>
      </c>
      <c r="F106" s="1" t="s">
        <v>145</v>
      </c>
      <c r="G106" s="1" t="s">
        <v>14198</v>
      </c>
      <c r="H106" s="1" t="s">
        <v>17041</v>
      </c>
      <c r="I106" s="4" t="s">
        <v>17042</v>
      </c>
      <c r="J106" s="3" t="s">
        <v>17043</v>
      </c>
      <c r="K106" s="1" t="s">
        <v>16314</v>
      </c>
    </row>
    <row r="107" spans="1:11" ht="13.8">
      <c r="A107" s="1" t="s">
        <v>17044</v>
      </c>
      <c r="B107" s="1" t="s">
        <v>17045</v>
      </c>
      <c r="C107" s="1" t="s">
        <v>17046</v>
      </c>
      <c r="D107" s="1" t="s">
        <v>17047</v>
      </c>
      <c r="E107" s="1">
        <v>30</v>
      </c>
      <c r="F107" s="1" t="s">
        <v>14207</v>
      </c>
      <c r="G107" s="1" t="s">
        <v>14208</v>
      </c>
      <c r="H107" s="1" t="s">
        <v>17048</v>
      </c>
      <c r="I107" s="1" t="s">
        <v>17049</v>
      </c>
      <c r="J107" s="3" t="s">
        <v>17050</v>
      </c>
      <c r="K107" s="1" t="s">
        <v>16314</v>
      </c>
    </row>
    <row r="108" spans="1:11" ht="13.8">
      <c r="A108" s="1" t="s">
        <v>17051</v>
      </c>
      <c r="B108" s="1" t="s">
        <v>17052</v>
      </c>
      <c r="C108" s="1" t="s">
        <v>17053</v>
      </c>
      <c r="D108" s="1" t="s">
        <v>17054</v>
      </c>
      <c r="E108" s="1">
        <v>30</v>
      </c>
      <c r="F108" s="1" t="s">
        <v>14572</v>
      </c>
      <c r="G108" s="1" t="s">
        <v>14198</v>
      </c>
      <c r="H108" s="1" t="s">
        <v>17055</v>
      </c>
      <c r="I108" s="1" t="s">
        <v>17056</v>
      </c>
      <c r="J108" s="3" t="s">
        <v>17057</v>
      </c>
      <c r="K108" s="1" t="s">
        <v>16314</v>
      </c>
    </row>
    <row r="109" spans="1:11" ht="13.8">
      <c r="A109" s="1" t="s">
        <v>16477</v>
      </c>
      <c r="B109" s="1" t="s">
        <v>17058</v>
      </c>
      <c r="C109" s="1" t="s">
        <v>17059</v>
      </c>
      <c r="D109" s="1" t="s">
        <v>17060</v>
      </c>
      <c r="E109" s="1">
        <v>22</v>
      </c>
      <c r="F109" s="1" t="s">
        <v>429</v>
      </c>
      <c r="G109" s="1" t="s">
        <v>14198</v>
      </c>
      <c r="H109" s="1" t="s">
        <v>17061</v>
      </c>
      <c r="I109" s="1" t="s">
        <v>17062</v>
      </c>
      <c r="J109" s="3" t="s">
        <v>17063</v>
      </c>
      <c r="K109" s="1" t="s">
        <v>16314</v>
      </c>
    </row>
    <row r="110" spans="1:11" ht="13.8">
      <c r="A110" s="1" t="s">
        <v>17064</v>
      </c>
      <c r="B110" s="1" t="s">
        <v>17065</v>
      </c>
      <c r="C110" s="1" t="s">
        <v>17066</v>
      </c>
      <c r="D110" s="1" t="s">
        <v>17067</v>
      </c>
      <c r="E110" s="1">
        <v>50</v>
      </c>
      <c r="F110" s="1" t="s">
        <v>145</v>
      </c>
      <c r="G110" s="1" t="s">
        <v>14237</v>
      </c>
      <c r="H110" s="1" t="s">
        <v>17068</v>
      </c>
      <c r="I110" s="1" t="s">
        <v>17069</v>
      </c>
      <c r="J110" s="3" t="s">
        <v>17070</v>
      </c>
      <c r="K110" s="1" t="s">
        <v>16314</v>
      </c>
    </row>
    <row r="111" spans="1:11" ht="13.8">
      <c r="A111" s="1" t="s">
        <v>17071</v>
      </c>
      <c r="B111" s="1" t="s">
        <v>17072</v>
      </c>
      <c r="C111" s="1" t="s">
        <v>17073</v>
      </c>
      <c r="D111" s="1" t="s">
        <v>17074</v>
      </c>
      <c r="E111" s="1">
        <v>60</v>
      </c>
      <c r="F111" s="1" t="s">
        <v>14207</v>
      </c>
      <c r="G111" s="1" t="s">
        <v>14237</v>
      </c>
      <c r="H111" s="1" t="s">
        <v>17075</v>
      </c>
      <c r="I111" s="1" t="s">
        <v>17076</v>
      </c>
      <c r="J111" s="3" t="s">
        <v>17077</v>
      </c>
      <c r="K111" s="1" t="s">
        <v>16314</v>
      </c>
    </row>
    <row r="112" spans="1:11" ht="13.8">
      <c r="A112" s="1" t="s">
        <v>17078</v>
      </c>
      <c r="B112" s="1" t="s">
        <v>17079</v>
      </c>
      <c r="C112" s="1" t="s">
        <v>17080</v>
      </c>
      <c r="D112" s="1" t="s">
        <v>17081</v>
      </c>
      <c r="E112" s="1">
        <v>35</v>
      </c>
      <c r="F112" s="1" t="s">
        <v>14207</v>
      </c>
      <c r="G112" s="1" t="s">
        <v>14198</v>
      </c>
      <c r="H112" s="1" t="s">
        <v>17082</v>
      </c>
      <c r="I112" s="1" t="s">
        <v>17083</v>
      </c>
      <c r="J112" s="3" t="s">
        <v>17084</v>
      </c>
      <c r="K112" s="1" t="s">
        <v>16314</v>
      </c>
    </row>
    <row r="113" spans="1:11" ht="13.8">
      <c r="A113" s="1" t="s">
        <v>17085</v>
      </c>
      <c r="B113" s="1" t="s">
        <v>17086</v>
      </c>
      <c r="C113" s="1" t="s">
        <v>17087</v>
      </c>
      <c r="D113" s="1" t="s">
        <v>17088</v>
      </c>
      <c r="E113" s="1">
        <v>105</v>
      </c>
      <c r="F113" s="1" t="s">
        <v>16424</v>
      </c>
      <c r="G113" s="1" t="s">
        <v>14237</v>
      </c>
      <c r="H113" s="1" t="s">
        <v>17089</v>
      </c>
      <c r="I113" s="1" t="s">
        <v>17090</v>
      </c>
      <c r="J113" s="3" t="s">
        <v>17091</v>
      </c>
      <c r="K113" s="1" t="s">
        <v>16314</v>
      </c>
    </row>
    <row r="114" spans="1:11" ht="13.8">
      <c r="A114" s="1" t="s">
        <v>17092</v>
      </c>
      <c r="B114" s="1" t="s">
        <v>17093</v>
      </c>
      <c r="C114" s="1" t="s">
        <v>17094</v>
      </c>
      <c r="D114" s="1" t="s">
        <v>17095</v>
      </c>
      <c r="E114" s="1">
        <v>30</v>
      </c>
      <c r="F114" s="1" t="s">
        <v>14207</v>
      </c>
      <c r="G114" s="1" t="s">
        <v>14198</v>
      </c>
      <c r="H114" s="1" t="s">
        <v>17096</v>
      </c>
      <c r="I114" s="1" t="s">
        <v>17097</v>
      </c>
      <c r="J114" s="3" t="s">
        <v>17098</v>
      </c>
      <c r="K114" s="1" t="s">
        <v>16314</v>
      </c>
    </row>
    <row r="115" spans="1:11" ht="13.8">
      <c r="A115" s="1" t="s">
        <v>17099</v>
      </c>
      <c r="B115" s="1" t="s">
        <v>17100</v>
      </c>
      <c r="C115" s="1" t="s">
        <v>17101</v>
      </c>
      <c r="D115" s="1" t="s">
        <v>17102</v>
      </c>
      <c r="E115" s="1">
        <v>50</v>
      </c>
      <c r="F115" s="1" t="s">
        <v>16424</v>
      </c>
      <c r="G115" s="1" t="s">
        <v>14237</v>
      </c>
      <c r="H115" s="1" t="s">
        <v>17103</v>
      </c>
      <c r="I115" s="1" t="s">
        <v>17104</v>
      </c>
      <c r="J115" s="3" t="s">
        <v>17105</v>
      </c>
      <c r="K115" s="1" t="s">
        <v>16314</v>
      </c>
    </row>
    <row r="116" spans="1:11" ht="13.8">
      <c r="A116" s="1" t="s">
        <v>17106</v>
      </c>
      <c r="B116" s="1" t="s">
        <v>17107</v>
      </c>
      <c r="C116" s="1" t="s">
        <v>17108</v>
      </c>
      <c r="D116" s="1" t="s">
        <v>17109</v>
      </c>
      <c r="E116" s="1">
        <v>65</v>
      </c>
      <c r="F116" s="1" t="s">
        <v>8417</v>
      </c>
      <c r="G116" s="1" t="s">
        <v>14198</v>
      </c>
      <c r="H116" s="1" t="s">
        <v>17110</v>
      </c>
      <c r="I116" s="1" t="s">
        <v>17111</v>
      </c>
      <c r="J116" s="3" t="s">
        <v>17112</v>
      </c>
      <c r="K116" s="1" t="s">
        <v>16314</v>
      </c>
    </row>
    <row r="117" spans="1:11" ht="13.8">
      <c r="A117" s="1"/>
      <c r="D117" s="1"/>
      <c r="H117" s="1"/>
    </row>
    <row r="118" spans="1:11" ht="13.8">
      <c r="A118" s="1"/>
      <c r="D118" s="1"/>
      <c r="H118" s="1"/>
    </row>
    <row r="119" spans="1:11" ht="13.8">
      <c r="A119" s="1"/>
      <c r="D119" s="1"/>
      <c r="H119" s="1"/>
    </row>
    <row r="120" spans="1:11" ht="13.8">
      <c r="A120" s="1"/>
      <c r="D120" s="1"/>
      <c r="H120" s="1"/>
    </row>
    <row r="121" spans="1:11" ht="13.8">
      <c r="A121" s="1"/>
      <c r="D121" s="1"/>
      <c r="H121" s="1"/>
    </row>
    <row r="122" spans="1:11" ht="13.8">
      <c r="A122" s="1"/>
      <c r="D122" s="1"/>
      <c r="H122" s="1"/>
    </row>
    <row r="123" spans="1:11" ht="13.8">
      <c r="A123" s="1"/>
      <c r="D123" s="1"/>
      <c r="H123" s="1"/>
    </row>
    <row r="124" spans="1:11" ht="13.8">
      <c r="A124" s="1"/>
      <c r="D124" s="1"/>
      <c r="H124" s="1"/>
    </row>
    <row r="125" spans="1:11" ht="13.8">
      <c r="A125" s="1"/>
      <c r="D125" s="1"/>
      <c r="H125" s="1"/>
    </row>
    <row r="126" spans="1:11" ht="13.8">
      <c r="A126" s="1"/>
      <c r="D126" s="1"/>
      <c r="H126" s="1"/>
    </row>
    <row r="127" spans="1:11" ht="13.8">
      <c r="A127" s="1"/>
      <c r="D127" s="1"/>
      <c r="H127" s="1"/>
    </row>
    <row r="128" spans="1:11" ht="13.8">
      <c r="A128" s="1"/>
      <c r="D128" s="1"/>
      <c r="H128" s="1"/>
    </row>
    <row r="129" spans="1:8" ht="13.8">
      <c r="A129" s="1"/>
      <c r="D129" s="1"/>
      <c r="H129" s="1"/>
    </row>
    <row r="130" spans="1:8" ht="13.8">
      <c r="A130" s="1"/>
      <c r="D130" s="1"/>
      <c r="H130" s="1"/>
    </row>
    <row r="131" spans="1:8" ht="13.8">
      <c r="A131" s="1"/>
      <c r="D131" s="1"/>
      <c r="H131" s="1"/>
    </row>
    <row r="132" spans="1:8" ht="13.8">
      <c r="A132" s="1"/>
      <c r="D132" s="1"/>
      <c r="H132" s="1"/>
    </row>
    <row r="133" spans="1:8" ht="13.8">
      <c r="A133" s="1"/>
      <c r="D133" s="1"/>
      <c r="H133" s="1"/>
    </row>
    <row r="134" spans="1:8" ht="13.8">
      <c r="A134" s="1"/>
      <c r="D134" s="1"/>
      <c r="H134" s="1"/>
    </row>
    <row r="135" spans="1:8" ht="13.8">
      <c r="A135" s="1"/>
      <c r="D135" s="1"/>
      <c r="H135" s="1"/>
    </row>
    <row r="136" spans="1:8" ht="13.8">
      <c r="A136" s="1"/>
      <c r="D136" s="1"/>
      <c r="H136" s="1"/>
    </row>
    <row r="137" spans="1:8" ht="13.8">
      <c r="A137" s="1"/>
      <c r="D137" s="1"/>
      <c r="H137" s="1"/>
    </row>
    <row r="138" spans="1:8" ht="13.8">
      <c r="A138" s="1"/>
      <c r="D138" s="1"/>
      <c r="H138" s="1"/>
    </row>
    <row r="139" spans="1:8" ht="13.8">
      <c r="A139" s="1"/>
      <c r="D139" s="1"/>
      <c r="H139" s="1"/>
    </row>
    <row r="140" spans="1:8" ht="13.8">
      <c r="A140" s="1"/>
      <c r="D140" s="1"/>
      <c r="H140" s="1"/>
    </row>
    <row r="141" spans="1:8" ht="13.8">
      <c r="A141" s="1"/>
      <c r="D141" s="1"/>
      <c r="H141" s="1"/>
    </row>
    <row r="142" spans="1:8" ht="13.8">
      <c r="A142" s="1"/>
      <c r="D142" s="1"/>
      <c r="H142" s="1"/>
    </row>
    <row r="143" spans="1:8" ht="13.8">
      <c r="A143" s="1"/>
      <c r="D143" s="1"/>
      <c r="H143" s="1"/>
    </row>
    <row r="144" spans="1:8" ht="13.8">
      <c r="A144" s="1"/>
      <c r="D144" s="1"/>
      <c r="H144" s="1"/>
    </row>
    <row r="145" spans="1:8" ht="13.8">
      <c r="A145" s="1"/>
      <c r="D145" s="1"/>
      <c r="H145" s="1"/>
    </row>
    <row r="146" spans="1:8" ht="13.8">
      <c r="A146" s="1"/>
      <c r="D146" s="1"/>
      <c r="H146" s="1"/>
    </row>
    <row r="147" spans="1:8" ht="13.8">
      <c r="A147" s="1"/>
      <c r="D147" s="1"/>
      <c r="H147" s="1"/>
    </row>
    <row r="148" spans="1:8" ht="13.8">
      <c r="A148" s="1"/>
      <c r="D148" s="1"/>
      <c r="H148" s="1"/>
    </row>
    <row r="149" spans="1:8" ht="13.8">
      <c r="A149" s="1"/>
      <c r="D149" s="1"/>
      <c r="H149" s="1"/>
    </row>
    <row r="150" spans="1:8" ht="13.8">
      <c r="A150" s="1"/>
      <c r="D150" s="1"/>
      <c r="H150" s="1"/>
    </row>
    <row r="151" spans="1:8" ht="13.8">
      <c r="A151" s="1"/>
      <c r="D151" s="1"/>
      <c r="H151" s="1"/>
    </row>
    <row r="152" spans="1:8" ht="13.8">
      <c r="A152" s="1"/>
      <c r="D152" s="1"/>
      <c r="H152" s="1"/>
    </row>
    <row r="153" spans="1:8" ht="13.8">
      <c r="A153" s="1"/>
      <c r="D153" s="1"/>
      <c r="H153" s="1"/>
    </row>
    <row r="154" spans="1:8" ht="13.8">
      <c r="A154" s="1"/>
      <c r="D154" s="1"/>
      <c r="H154" s="1"/>
    </row>
    <row r="155" spans="1:8" ht="13.8">
      <c r="A155" s="1"/>
      <c r="D155" s="1"/>
      <c r="H155" s="1"/>
    </row>
    <row r="156" spans="1:8" ht="13.8">
      <c r="A156" s="1"/>
      <c r="D156" s="1"/>
      <c r="H156" s="1"/>
    </row>
    <row r="157" spans="1:8" ht="13.8">
      <c r="A157" s="1"/>
      <c r="D157" s="1"/>
      <c r="H157" s="1"/>
    </row>
    <row r="158" spans="1:8" ht="13.8">
      <c r="A158" s="1"/>
      <c r="D158" s="1"/>
      <c r="H158" s="1"/>
    </row>
    <row r="159" spans="1:8" ht="13.8">
      <c r="A159" s="1"/>
      <c r="D159" s="1"/>
      <c r="H159" s="1"/>
    </row>
    <row r="160" spans="1:8" ht="13.8">
      <c r="A160" s="1"/>
      <c r="D160" s="1"/>
      <c r="H160" s="1"/>
    </row>
    <row r="161" spans="1:8" ht="13.8">
      <c r="A161" s="1"/>
      <c r="D161" s="1"/>
      <c r="H161" s="1"/>
    </row>
    <row r="162" spans="1:8" ht="13.8">
      <c r="A162" s="1"/>
      <c r="D162" s="1"/>
      <c r="H162" s="1"/>
    </row>
    <row r="163" spans="1:8" ht="13.8">
      <c r="A163" s="1"/>
      <c r="D163" s="1"/>
      <c r="H163" s="1"/>
    </row>
    <row r="164" spans="1:8" ht="13.8">
      <c r="A164" s="1"/>
      <c r="D164" s="1"/>
      <c r="H164" s="1"/>
    </row>
    <row r="165" spans="1:8" ht="13.8">
      <c r="A165" s="1"/>
      <c r="D165" s="1"/>
      <c r="H165" s="1"/>
    </row>
    <row r="166" spans="1:8" ht="13.8">
      <c r="A166" s="1"/>
      <c r="D166" s="1"/>
      <c r="H166" s="1"/>
    </row>
    <row r="167" spans="1:8" ht="13.8">
      <c r="A167" s="1"/>
      <c r="D167" s="1"/>
      <c r="H167" s="1"/>
    </row>
    <row r="168" spans="1:8" ht="13.8">
      <c r="A168" s="1"/>
      <c r="D168" s="1"/>
      <c r="H168" s="1"/>
    </row>
    <row r="169" spans="1:8" ht="13.8">
      <c r="A169" s="1"/>
      <c r="D169" s="1"/>
      <c r="H169" s="1"/>
    </row>
    <row r="170" spans="1:8" ht="13.8">
      <c r="A170" s="1"/>
      <c r="D170" s="1"/>
      <c r="H170" s="1"/>
    </row>
    <row r="171" spans="1:8" ht="13.8">
      <c r="A171" s="1"/>
      <c r="D171" s="1"/>
      <c r="H171" s="1"/>
    </row>
    <row r="172" spans="1:8" ht="13.8">
      <c r="A172" s="1"/>
      <c r="D172" s="1"/>
      <c r="H172" s="1"/>
    </row>
    <row r="173" spans="1:8" ht="13.8">
      <c r="A173" s="1"/>
      <c r="D173" s="1"/>
      <c r="H173" s="1"/>
    </row>
    <row r="174" spans="1:8" ht="13.8">
      <c r="A174" s="1"/>
      <c r="D174" s="1"/>
      <c r="H174" s="1"/>
    </row>
    <row r="175" spans="1:8" ht="13.8">
      <c r="A175" s="1"/>
      <c r="D175" s="1"/>
      <c r="H175" s="1"/>
    </row>
    <row r="176" spans="1:8" ht="13.8">
      <c r="A176" s="1"/>
      <c r="D176" s="1"/>
      <c r="H176" s="1"/>
    </row>
    <row r="177" spans="1:8" ht="13.8">
      <c r="A177" s="1"/>
      <c r="D177" s="1"/>
      <c r="H177" s="1"/>
    </row>
    <row r="178" spans="1:8" ht="13.8">
      <c r="A178" s="1"/>
      <c r="D178" s="1"/>
      <c r="H178" s="1"/>
    </row>
    <row r="179" spans="1:8" ht="13.8">
      <c r="A179" s="1"/>
      <c r="D179" s="1"/>
      <c r="H179" s="1"/>
    </row>
    <row r="180" spans="1:8" ht="13.8">
      <c r="A180" s="1"/>
      <c r="D180" s="1"/>
      <c r="H180" s="1"/>
    </row>
    <row r="181" spans="1:8" ht="13.8">
      <c r="A181" s="1"/>
      <c r="D181" s="1"/>
      <c r="H181" s="1"/>
    </row>
    <row r="182" spans="1:8" ht="13.8">
      <c r="A182" s="1"/>
      <c r="D182" s="1"/>
      <c r="H182" s="1"/>
    </row>
    <row r="183" spans="1:8" ht="13.8">
      <c r="A183" s="1"/>
      <c r="D183" s="1"/>
      <c r="H183" s="1"/>
    </row>
    <row r="184" spans="1:8" ht="13.8">
      <c r="A184" s="1"/>
      <c r="D184" s="1"/>
      <c r="H184" s="1"/>
    </row>
    <row r="185" spans="1:8" ht="13.8">
      <c r="A185" s="1"/>
      <c r="D185" s="1"/>
      <c r="H185" s="1"/>
    </row>
    <row r="186" spans="1:8" ht="13.8">
      <c r="A186" s="1"/>
      <c r="D186" s="1"/>
      <c r="H186" s="1"/>
    </row>
    <row r="187" spans="1:8" ht="13.8">
      <c r="A187" s="1"/>
      <c r="D187" s="1"/>
      <c r="H187" s="1"/>
    </row>
    <row r="188" spans="1:8" ht="13.8">
      <c r="A188" s="1"/>
      <c r="D188" s="1"/>
      <c r="H188" s="1"/>
    </row>
    <row r="189" spans="1:8" ht="13.8">
      <c r="A189" s="1"/>
      <c r="D189" s="1"/>
      <c r="H189" s="1"/>
    </row>
    <row r="190" spans="1:8" ht="13.8">
      <c r="A190" s="1"/>
      <c r="D190" s="1"/>
      <c r="H190" s="1"/>
    </row>
    <row r="191" spans="1:8" ht="13.8">
      <c r="A191" s="1"/>
      <c r="D191" s="1"/>
      <c r="H191" s="1"/>
    </row>
    <row r="192" spans="1:8" ht="13.8">
      <c r="A192" s="1"/>
      <c r="D192" s="1"/>
      <c r="H192" s="1"/>
    </row>
    <row r="193" spans="1:8" ht="13.8">
      <c r="A193" s="1"/>
      <c r="D193" s="1"/>
      <c r="H193" s="1"/>
    </row>
    <row r="194" spans="1:8" ht="13.8">
      <c r="A194" s="1"/>
      <c r="D194" s="1"/>
      <c r="H194" s="1"/>
    </row>
    <row r="195" spans="1:8" ht="13.8">
      <c r="A195" s="1"/>
      <c r="D195" s="1"/>
      <c r="H195" s="1"/>
    </row>
    <row r="196" spans="1:8" ht="13.8">
      <c r="A196" s="1"/>
      <c r="D196" s="1"/>
      <c r="H196" s="1"/>
    </row>
    <row r="197" spans="1:8" ht="13.8">
      <c r="A197" s="1"/>
      <c r="D197" s="1"/>
      <c r="H197" s="1"/>
    </row>
    <row r="198" spans="1:8" ht="13.8">
      <c r="A198" s="1"/>
      <c r="D198" s="1"/>
      <c r="H198" s="1"/>
    </row>
    <row r="199" spans="1:8" ht="13.8">
      <c r="A199" s="1"/>
      <c r="D199" s="1"/>
      <c r="H199" s="1"/>
    </row>
    <row r="200" spans="1:8" ht="13.8">
      <c r="A200" s="1"/>
      <c r="D200" s="1"/>
      <c r="H200" s="1"/>
    </row>
    <row r="201" spans="1:8" ht="13.8">
      <c r="A201" s="1"/>
      <c r="D201" s="1"/>
      <c r="H201" s="1"/>
    </row>
    <row r="202" spans="1:8" ht="13.8">
      <c r="A202" s="1"/>
      <c r="D202" s="1"/>
      <c r="H202" s="1"/>
    </row>
    <row r="203" spans="1:8" ht="13.8">
      <c r="A203" s="1"/>
      <c r="D203" s="1"/>
      <c r="H203" s="1"/>
    </row>
    <row r="204" spans="1:8" ht="13.8">
      <c r="A204" s="1"/>
      <c r="D204" s="1"/>
      <c r="H204" s="1"/>
    </row>
    <row r="205" spans="1:8" ht="13.8">
      <c r="A205" s="1"/>
      <c r="D205" s="1"/>
      <c r="H205" s="1"/>
    </row>
    <row r="206" spans="1:8" ht="13.8">
      <c r="A206" s="1"/>
      <c r="D206" s="1"/>
      <c r="H206" s="1"/>
    </row>
    <row r="207" spans="1:8" ht="13.8">
      <c r="A207" s="1"/>
      <c r="D207" s="1"/>
      <c r="H207" s="1"/>
    </row>
    <row r="208" spans="1:8" ht="13.8">
      <c r="A208" s="1"/>
      <c r="D208" s="1"/>
      <c r="H208" s="1"/>
    </row>
    <row r="209" spans="1:8" ht="13.8">
      <c r="A209" s="1"/>
      <c r="D209" s="1"/>
      <c r="H209" s="1"/>
    </row>
    <row r="210" spans="1:8" ht="13.8">
      <c r="A210" s="1"/>
      <c r="D210" s="1"/>
      <c r="H210" s="1"/>
    </row>
    <row r="211" spans="1:8" ht="13.8">
      <c r="A211" s="1"/>
      <c r="D211" s="1"/>
      <c r="H211" s="1"/>
    </row>
    <row r="212" spans="1:8" ht="13.8">
      <c r="A212" s="1"/>
      <c r="D212" s="1"/>
      <c r="H212" s="1"/>
    </row>
    <row r="213" spans="1:8" ht="13.8">
      <c r="A213" s="1"/>
      <c r="D213" s="1"/>
      <c r="H213" s="1"/>
    </row>
    <row r="214" spans="1:8" ht="13.8">
      <c r="A214" s="1"/>
      <c r="D214" s="1"/>
      <c r="H214" s="1"/>
    </row>
    <row r="215" spans="1:8" ht="13.8">
      <c r="A215" s="1"/>
      <c r="D215" s="1"/>
      <c r="H215" s="1"/>
    </row>
    <row r="216" spans="1:8" ht="13.8">
      <c r="A216" s="1"/>
      <c r="D216" s="1"/>
      <c r="H216" s="1"/>
    </row>
    <row r="217" spans="1:8" ht="13.8">
      <c r="A217" s="1"/>
      <c r="D217" s="1"/>
      <c r="H217" s="1"/>
    </row>
    <row r="218" spans="1:8" ht="13.8">
      <c r="A218" s="1"/>
      <c r="D218" s="1"/>
      <c r="H218" s="1"/>
    </row>
    <row r="219" spans="1:8" ht="13.8">
      <c r="A219" s="1"/>
      <c r="D219" s="1"/>
      <c r="H219" s="1"/>
    </row>
    <row r="220" spans="1:8" ht="13.8">
      <c r="A220" s="1"/>
      <c r="D220" s="1"/>
      <c r="H220" s="1"/>
    </row>
    <row r="221" spans="1:8" ht="13.8">
      <c r="A221" s="1"/>
      <c r="D221" s="1"/>
      <c r="H221" s="1"/>
    </row>
    <row r="222" spans="1:8" ht="13.8">
      <c r="A222" s="1"/>
      <c r="D222" s="1"/>
      <c r="H222" s="1"/>
    </row>
    <row r="223" spans="1:8" ht="13.8">
      <c r="A223" s="1"/>
      <c r="D223" s="1"/>
      <c r="H223" s="1"/>
    </row>
    <row r="224" spans="1:8" ht="13.8">
      <c r="A224" s="1"/>
      <c r="D224" s="1"/>
      <c r="H224" s="1"/>
    </row>
    <row r="225" spans="1:8" ht="13.8">
      <c r="A225" s="1"/>
      <c r="D225" s="1"/>
      <c r="H225" s="1"/>
    </row>
    <row r="226" spans="1:8" ht="13.8">
      <c r="A226" s="1"/>
      <c r="D226" s="1"/>
      <c r="H226" s="1"/>
    </row>
    <row r="227" spans="1:8" ht="13.8">
      <c r="A227" s="1"/>
      <c r="D227" s="1"/>
      <c r="H227" s="1"/>
    </row>
    <row r="228" spans="1:8" ht="13.8">
      <c r="A228" s="1"/>
      <c r="D228" s="1"/>
      <c r="H228" s="1"/>
    </row>
    <row r="229" spans="1:8" ht="13.8">
      <c r="A229" s="1"/>
      <c r="D229" s="1"/>
      <c r="H229" s="1"/>
    </row>
    <row r="230" spans="1:8" ht="13.8">
      <c r="A230" s="1"/>
      <c r="D230" s="1"/>
      <c r="H230" s="1"/>
    </row>
    <row r="231" spans="1:8" ht="13.8">
      <c r="A231" s="1"/>
      <c r="D231" s="1"/>
      <c r="H231" s="1"/>
    </row>
    <row r="232" spans="1:8" ht="13.8">
      <c r="A232" s="1"/>
      <c r="D232" s="1"/>
      <c r="H232" s="1"/>
    </row>
    <row r="233" spans="1:8" ht="13.8">
      <c r="A233" s="1"/>
      <c r="D233" s="1"/>
      <c r="H233" s="1"/>
    </row>
    <row r="234" spans="1:8" ht="13.8">
      <c r="A234" s="1"/>
      <c r="D234" s="1"/>
      <c r="H234" s="1"/>
    </row>
    <row r="235" spans="1:8" ht="13.8">
      <c r="A235" s="1"/>
      <c r="D235" s="1"/>
      <c r="H235" s="1"/>
    </row>
    <row r="236" spans="1:8" ht="13.8">
      <c r="A236" s="1"/>
      <c r="D236" s="1"/>
      <c r="H236" s="1"/>
    </row>
    <row r="237" spans="1:8" ht="13.8">
      <c r="A237" s="1"/>
      <c r="D237" s="1"/>
      <c r="H237" s="1"/>
    </row>
    <row r="238" spans="1:8" ht="13.8">
      <c r="A238" s="1"/>
      <c r="D238" s="1"/>
      <c r="H238" s="1"/>
    </row>
    <row r="239" spans="1:8" ht="13.8">
      <c r="A239" s="1"/>
      <c r="D239" s="1"/>
      <c r="H239" s="1"/>
    </row>
    <row r="240" spans="1:8" ht="13.8">
      <c r="A240" s="1"/>
      <c r="D240" s="1"/>
      <c r="H240" s="1"/>
    </row>
    <row r="241" spans="1:8" ht="13.8">
      <c r="A241" s="1"/>
      <c r="D241" s="1"/>
      <c r="H241" s="1"/>
    </row>
    <row r="242" spans="1:8" ht="13.8">
      <c r="A242" s="1"/>
      <c r="D242" s="1"/>
      <c r="H242" s="1"/>
    </row>
    <row r="243" spans="1:8" ht="13.8">
      <c r="A243" s="1"/>
      <c r="D243" s="1"/>
      <c r="H243" s="1"/>
    </row>
    <row r="244" spans="1:8" ht="13.8">
      <c r="A244" s="1"/>
      <c r="D244" s="1"/>
      <c r="H244" s="1"/>
    </row>
    <row r="245" spans="1:8" ht="13.8">
      <c r="A245" s="1"/>
      <c r="D245" s="1"/>
      <c r="H245" s="1"/>
    </row>
    <row r="246" spans="1:8" ht="13.8">
      <c r="A246" s="1"/>
      <c r="D246" s="1"/>
      <c r="H246" s="1"/>
    </row>
    <row r="247" spans="1:8" ht="13.8">
      <c r="A247" s="1"/>
      <c r="D247" s="1"/>
      <c r="H247" s="1"/>
    </row>
    <row r="248" spans="1:8" ht="13.8">
      <c r="A248" s="1"/>
      <c r="D248" s="1"/>
      <c r="H248" s="1"/>
    </row>
    <row r="249" spans="1:8" ht="13.8">
      <c r="A249" s="1"/>
      <c r="D249" s="1"/>
      <c r="H249" s="1"/>
    </row>
    <row r="250" spans="1:8" ht="13.8">
      <c r="A250" s="1"/>
      <c r="D250" s="1"/>
      <c r="H250" s="1"/>
    </row>
    <row r="251" spans="1:8" ht="13.8">
      <c r="A251" s="1"/>
      <c r="D251" s="1"/>
      <c r="H251" s="1"/>
    </row>
    <row r="252" spans="1:8" ht="13.8">
      <c r="A252" s="1"/>
      <c r="D252" s="1"/>
      <c r="H252" s="1"/>
    </row>
    <row r="253" spans="1:8" ht="13.8">
      <c r="A253" s="1"/>
      <c r="D253" s="1"/>
      <c r="H253" s="1"/>
    </row>
    <row r="254" spans="1:8" ht="13.8">
      <c r="A254" s="1"/>
      <c r="D254" s="1"/>
      <c r="H254" s="1"/>
    </row>
    <row r="255" spans="1:8" ht="13.8">
      <c r="A255" s="1"/>
      <c r="D255" s="1"/>
      <c r="H255" s="1"/>
    </row>
    <row r="256" spans="1:8" ht="13.8">
      <c r="A256" s="1"/>
      <c r="D256" s="1"/>
      <c r="H256" s="1"/>
    </row>
    <row r="257" spans="1:8" ht="13.8">
      <c r="A257" s="1"/>
      <c r="D257" s="1"/>
      <c r="H257" s="1"/>
    </row>
    <row r="258" spans="1:8" ht="13.8">
      <c r="A258" s="1"/>
      <c r="D258" s="1"/>
      <c r="H258" s="1"/>
    </row>
    <row r="259" spans="1:8" ht="13.8">
      <c r="A259" s="1"/>
      <c r="D259" s="1"/>
      <c r="H259" s="1"/>
    </row>
    <row r="260" spans="1:8" ht="13.8">
      <c r="A260" s="1"/>
      <c r="D260" s="1"/>
      <c r="H260" s="1"/>
    </row>
    <row r="261" spans="1:8" ht="13.8">
      <c r="A261" s="1"/>
      <c r="D261" s="1"/>
      <c r="H261" s="1"/>
    </row>
    <row r="262" spans="1:8" ht="13.8">
      <c r="A262" s="1"/>
      <c r="D262" s="1"/>
      <c r="H262" s="1"/>
    </row>
    <row r="263" spans="1:8" ht="13.8">
      <c r="A263" s="1"/>
      <c r="D263" s="1"/>
      <c r="H263" s="1"/>
    </row>
    <row r="264" spans="1:8" ht="13.8">
      <c r="A264" s="1"/>
      <c r="D264" s="1"/>
      <c r="H264" s="1"/>
    </row>
    <row r="265" spans="1:8" ht="13.8">
      <c r="A265" s="1"/>
      <c r="D265" s="1"/>
      <c r="H265" s="1"/>
    </row>
    <row r="266" spans="1:8" ht="13.8">
      <c r="A266" s="1"/>
      <c r="D266" s="1"/>
      <c r="H266" s="1"/>
    </row>
    <row r="267" spans="1:8" ht="13.8">
      <c r="A267" s="1"/>
      <c r="D267" s="1"/>
      <c r="H267" s="1"/>
    </row>
    <row r="268" spans="1:8" ht="13.8">
      <c r="A268" s="1"/>
      <c r="D268" s="1"/>
      <c r="H268" s="1"/>
    </row>
    <row r="269" spans="1:8" ht="13.8">
      <c r="A269" s="1"/>
      <c r="D269" s="1"/>
      <c r="H269" s="1"/>
    </row>
    <row r="270" spans="1:8" ht="13.8">
      <c r="A270" s="1"/>
      <c r="D270" s="1"/>
      <c r="H270" s="1"/>
    </row>
    <row r="271" spans="1:8" ht="13.8">
      <c r="A271" s="1"/>
      <c r="D271" s="1"/>
      <c r="H271" s="1"/>
    </row>
    <row r="272" spans="1:8" ht="13.8">
      <c r="A272" s="1"/>
      <c r="D272" s="1"/>
      <c r="H272" s="1"/>
    </row>
    <row r="273" spans="1:8" ht="13.8">
      <c r="A273" s="1"/>
      <c r="D273" s="1"/>
      <c r="H273" s="1"/>
    </row>
    <row r="274" spans="1:8" ht="13.8">
      <c r="A274" s="1"/>
      <c r="D274" s="1"/>
      <c r="H274" s="1"/>
    </row>
    <row r="275" spans="1:8" ht="13.8">
      <c r="A275" s="1"/>
      <c r="D275" s="1"/>
      <c r="H275" s="1"/>
    </row>
    <row r="276" spans="1:8" ht="13.8">
      <c r="A276" s="1"/>
      <c r="D276" s="1"/>
      <c r="H276" s="1"/>
    </row>
    <row r="277" spans="1:8" ht="13.8">
      <c r="A277" s="1"/>
      <c r="D277" s="1"/>
      <c r="H277" s="1"/>
    </row>
    <row r="278" spans="1:8" ht="13.8">
      <c r="A278" s="1"/>
      <c r="D278" s="1"/>
      <c r="H278" s="1"/>
    </row>
    <row r="279" spans="1:8" ht="13.8">
      <c r="A279" s="1"/>
      <c r="D279" s="1"/>
      <c r="H279" s="1"/>
    </row>
    <row r="280" spans="1:8" ht="13.8">
      <c r="A280" s="1"/>
      <c r="D280" s="1"/>
      <c r="H280" s="1"/>
    </row>
    <row r="281" spans="1:8" ht="13.8">
      <c r="A281" s="1"/>
      <c r="D281" s="1"/>
      <c r="H281" s="1"/>
    </row>
    <row r="282" spans="1:8" ht="13.8">
      <c r="A282" s="1"/>
      <c r="D282" s="1"/>
      <c r="H282" s="1"/>
    </row>
    <row r="283" spans="1:8" ht="13.8">
      <c r="A283" s="1"/>
      <c r="D283" s="1"/>
      <c r="H283" s="1"/>
    </row>
    <row r="284" spans="1:8" ht="13.8">
      <c r="A284" s="1"/>
      <c r="D284" s="1"/>
      <c r="H284" s="1"/>
    </row>
    <row r="285" spans="1:8" ht="13.8">
      <c r="A285" s="1"/>
      <c r="D285" s="1"/>
      <c r="H285" s="1"/>
    </row>
    <row r="286" spans="1:8" ht="13.8">
      <c r="A286" s="1"/>
      <c r="D286" s="1"/>
      <c r="H286" s="1"/>
    </row>
    <row r="287" spans="1:8" ht="13.8">
      <c r="A287" s="1"/>
      <c r="D287" s="1"/>
      <c r="H287" s="1"/>
    </row>
    <row r="288" spans="1:8" ht="13.8">
      <c r="A288" s="1"/>
      <c r="D288" s="1"/>
      <c r="H288" s="1"/>
    </row>
    <row r="289" spans="1:8" ht="13.8">
      <c r="A289" s="1"/>
      <c r="D289" s="1"/>
      <c r="H289" s="1"/>
    </row>
    <row r="290" spans="1:8" ht="13.8">
      <c r="A290" s="1"/>
      <c r="D290" s="1"/>
      <c r="H290" s="1"/>
    </row>
    <row r="291" spans="1:8" ht="13.8">
      <c r="A291" s="1"/>
      <c r="D291" s="1"/>
      <c r="H291" s="1"/>
    </row>
    <row r="292" spans="1:8" ht="13.8">
      <c r="A292" s="1"/>
      <c r="D292" s="1"/>
      <c r="H292" s="1"/>
    </row>
    <row r="293" spans="1:8" ht="13.8">
      <c r="A293" s="1"/>
      <c r="D293" s="1"/>
      <c r="H293" s="1"/>
    </row>
    <row r="294" spans="1:8" ht="13.8">
      <c r="A294" s="1"/>
      <c r="D294" s="1"/>
      <c r="H294" s="1"/>
    </row>
    <row r="295" spans="1:8" ht="13.8">
      <c r="A295" s="1"/>
      <c r="D295" s="1"/>
      <c r="H295" s="1"/>
    </row>
    <row r="296" spans="1:8" ht="13.8">
      <c r="A296" s="1"/>
      <c r="D296" s="1"/>
      <c r="H296" s="1"/>
    </row>
    <row r="297" spans="1:8" ht="13.8">
      <c r="A297" s="1"/>
      <c r="D297" s="1"/>
      <c r="H297" s="1"/>
    </row>
    <row r="298" spans="1:8" ht="13.8">
      <c r="A298" s="1"/>
      <c r="D298" s="1"/>
      <c r="H298" s="1"/>
    </row>
    <row r="299" spans="1:8" ht="13.8">
      <c r="A299" s="1"/>
      <c r="D299" s="1"/>
      <c r="H299" s="1"/>
    </row>
    <row r="300" spans="1:8" ht="13.8">
      <c r="A300" s="1"/>
      <c r="D300" s="1"/>
      <c r="H300" s="1"/>
    </row>
    <row r="301" spans="1:8" ht="13.8">
      <c r="A301" s="1"/>
      <c r="D301" s="1"/>
      <c r="H301" s="1"/>
    </row>
    <row r="302" spans="1:8" ht="13.8">
      <c r="A302" s="1"/>
      <c r="D302" s="1"/>
      <c r="H302" s="1"/>
    </row>
    <row r="303" spans="1:8" ht="13.8">
      <c r="A303" s="1"/>
      <c r="D303" s="1"/>
      <c r="H303" s="1"/>
    </row>
    <row r="304" spans="1:8" ht="13.8">
      <c r="A304" s="1"/>
      <c r="D304" s="1"/>
      <c r="H304" s="1"/>
    </row>
    <row r="305" spans="1:8" ht="13.8">
      <c r="A305" s="1"/>
      <c r="D305" s="1"/>
      <c r="H305" s="1"/>
    </row>
    <row r="306" spans="1:8" ht="13.8">
      <c r="A306" s="1"/>
      <c r="D306" s="1"/>
      <c r="H306" s="1"/>
    </row>
    <row r="307" spans="1:8" ht="13.8">
      <c r="A307" s="1"/>
      <c r="D307" s="1"/>
      <c r="H307" s="1"/>
    </row>
    <row r="308" spans="1:8" ht="13.8">
      <c r="A308" s="1"/>
      <c r="D308" s="1"/>
      <c r="H308" s="1"/>
    </row>
    <row r="309" spans="1:8" ht="13.8">
      <c r="A309" s="1"/>
      <c r="D309" s="1"/>
      <c r="H309" s="1"/>
    </row>
    <row r="310" spans="1:8" ht="13.8">
      <c r="A310" s="1"/>
      <c r="D310" s="1"/>
      <c r="H310" s="1"/>
    </row>
    <row r="311" spans="1:8" ht="13.8">
      <c r="A311" s="1"/>
      <c r="D311" s="1"/>
      <c r="H311" s="1"/>
    </row>
    <row r="312" spans="1:8" ht="13.8">
      <c r="A312" s="1"/>
      <c r="D312" s="1"/>
      <c r="H312" s="1"/>
    </row>
    <row r="313" spans="1:8" ht="13.8">
      <c r="A313" s="1"/>
      <c r="D313" s="1"/>
      <c r="H313" s="1"/>
    </row>
    <row r="314" spans="1:8" ht="13.8">
      <c r="A314" s="1"/>
      <c r="D314" s="1"/>
      <c r="H314" s="1"/>
    </row>
    <row r="315" spans="1:8" ht="13.8">
      <c r="A315" s="1"/>
      <c r="D315" s="1"/>
      <c r="H315" s="1"/>
    </row>
    <row r="316" spans="1:8" ht="13.8">
      <c r="A316" s="1"/>
      <c r="D316" s="1"/>
      <c r="H316" s="1"/>
    </row>
    <row r="317" spans="1:8" ht="13.8">
      <c r="A317" s="1"/>
      <c r="D317" s="1"/>
      <c r="H317" s="1"/>
    </row>
    <row r="318" spans="1:8" ht="13.8">
      <c r="A318" s="1"/>
      <c r="D318" s="1"/>
      <c r="H318" s="1"/>
    </row>
    <row r="319" spans="1:8" ht="13.8">
      <c r="A319" s="1"/>
      <c r="D319" s="1"/>
      <c r="H319" s="1"/>
    </row>
    <row r="320" spans="1:8" ht="13.8">
      <c r="A320" s="1"/>
      <c r="D320" s="1"/>
      <c r="H320" s="1"/>
    </row>
    <row r="321" spans="1:8" ht="13.8">
      <c r="A321" s="1"/>
      <c r="D321" s="1"/>
      <c r="H321" s="1"/>
    </row>
    <row r="322" spans="1:8" ht="13.8">
      <c r="A322" s="1"/>
      <c r="D322" s="1"/>
      <c r="H322" s="1"/>
    </row>
    <row r="323" spans="1:8" ht="13.8">
      <c r="A323" s="1"/>
      <c r="D323" s="1"/>
      <c r="H323" s="1"/>
    </row>
    <row r="324" spans="1:8" ht="13.8">
      <c r="A324" s="1"/>
      <c r="D324" s="1"/>
      <c r="H324" s="1"/>
    </row>
    <row r="325" spans="1:8" ht="13.8">
      <c r="A325" s="1"/>
      <c r="D325" s="1"/>
      <c r="H325" s="1"/>
    </row>
    <row r="326" spans="1:8" ht="13.8">
      <c r="A326" s="1"/>
      <c r="D326" s="1"/>
      <c r="H326" s="1"/>
    </row>
    <row r="327" spans="1:8" ht="13.8">
      <c r="A327" s="1"/>
      <c r="D327" s="1"/>
      <c r="H327" s="1"/>
    </row>
    <row r="328" spans="1:8" ht="13.8">
      <c r="A328" s="1"/>
      <c r="D328" s="1"/>
      <c r="H328" s="1"/>
    </row>
    <row r="329" spans="1:8" ht="13.8">
      <c r="A329" s="1"/>
      <c r="D329" s="1"/>
      <c r="H329" s="1"/>
    </row>
    <row r="330" spans="1:8" ht="13.8">
      <c r="A330" s="1"/>
      <c r="D330" s="1"/>
      <c r="H330" s="1"/>
    </row>
    <row r="331" spans="1:8" ht="13.8">
      <c r="A331" s="1"/>
      <c r="D331" s="1"/>
      <c r="H331" s="1"/>
    </row>
    <row r="332" spans="1:8" ht="13.8">
      <c r="A332" s="1"/>
      <c r="D332" s="1"/>
      <c r="H332" s="1"/>
    </row>
    <row r="333" spans="1:8" ht="13.8">
      <c r="A333" s="1"/>
      <c r="D333" s="1"/>
      <c r="H333" s="1"/>
    </row>
    <row r="334" spans="1:8" ht="13.8">
      <c r="A334" s="1"/>
      <c r="D334" s="1"/>
      <c r="H334" s="1"/>
    </row>
    <row r="335" spans="1:8" ht="13.8">
      <c r="A335" s="1"/>
      <c r="D335" s="1"/>
      <c r="H335" s="1"/>
    </row>
    <row r="336" spans="1:8" ht="13.8">
      <c r="A336" s="1"/>
      <c r="D336" s="1"/>
      <c r="H336" s="1"/>
    </row>
    <row r="337" spans="1:8" ht="13.8">
      <c r="A337" s="1"/>
      <c r="D337" s="1"/>
      <c r="H337" s="1"/>
    </row>
    <row r="338" spans="1:8" ht="13.8">
      <c r="A338" s="1"/>
      <c r="D338" s="1"/>
      <c r="H338" s="1"/>
    </row>
    <row r="339" spans="1:8" ht="13.8">
      <c r="A339" s="1"/>
      <c r="D339" s="1"/>
      <c r="H339" s="1"/>
    </row>
    <row r="340" spans="1:8" ht="13.8">
      <c r="A340" s="1"/>
      <c r="D340" s="1"/>
      <c r="H340" s="1"/>
    </row>
    <row r="341" spans="1:8" ht="13.8">
      <c r="A341" s="1"/>
      <c r="D341" s="1"/>
      <c r="H341" s="1"/>
    </row>
    <row r="342" spans="1:8" ht="13.8">
      <c r="A342" s="1"/>
      <c r="D342" s="1"/>
      <c r="H342" s="1"/>
    </row>
    <row r="343" spans="1:8" ht="13.8">
      <c r="A343" s="1"/>
      <c r="D343" s="1"/>
      <c r="H343" s="1"/>
    </row>
    <row r="344" spans="1:8" ht="13.8">
      <c r="A344" s="1"/>
      <c r="D344" s="1"/>
      <c r="H344" s="1"/>
    </row>
    <row r="345" spans="1:8" ht="13.8">
      <c r="A345" s="1"/>
      <c r="D345" s="1"/>
      <c r="H345" s="1"/>
    </row>
    <row r="346" spans="1:8" ht="13.8">
      <c r="A346" s="1"/>
      <c r="D346" s="1"/>
      <c r="H346" s="1"/>
    </row>
    <row r="347" spans="1:8" ht="13.8">
      <c r="A347" s="1"/>
      <c r="D347" s="1"/>
      <c r="H347" s="1"/>
    </row>
    <row r="348" spans="1:8" ht="13.8">
      <c r="A348" s="1"/>
      <c r="D348" s="1"/>
      <c r="H348" s="1"/>
    </row>
    <row r="349" spans="1:8" ht="13.8">
      <c r="A349" s="1"/>
      <c r="D349" s="1"/>
      <c r="H349" s="1"/>
    </row>
    <row r="350" spans="1:8" ht="13.8">
      <c r="A350" s="1"/>
      <c r="D350" s="1"/>
      <c r="H350" s="1"/>
    </row>
    <row r="351" spans="1:8" ht="13.8">
      <c r="A351" s="1"/>
      <c r="D351" s="1"/>
      <c r="H351" s="1"/>
    </row>
    <row r="352" spans="1:8" ht="13.8">
      <c r="A352" s="1"/>
      <c r="D352" s="1"/>
      <c r="H352" s="1"/>
    </row>
    <row r="353" spans="1:8" ht="13.8">
      <c r="A353" s="1"/>
      <c r="D353" s="1"/>
      <c r="H353" s="1"/>
    </row>
    <row r="354" spans="1:8" ht="13.8">
      <c r="A354" s="1"/>
      <c r="D354" s="1"/>
      <c r="H354" s="1"/>
    </row>
    <row r="355" spans="1:8" ht="13.8">
      <c r="A355" s="1"/>
      <c r="D355" s="1"/>
      <c r="H355" s="1"/>
    </row>
    <row r="356" spans="1:8" ht="13.8">
      <c r="A356" s="1"/>
      <c r="D356" s="1"/>
      <c r="H356" s="1"/>
    </row>
    <row r="357" spans="1:8" ht="13.8">
      <c r="A357" s="1"/>
      <c r="D357" s="1"/>
      <c r="H357" s="1"/>
    </row>
    <row r="358" spans="1:8" ht="13.8">
      <c r="A358" s="1"/>
      <c r="D358" s="1"/>
      <c r="H358" s="1"/>
    </row>
    <row r="359" spans="1:8" ht="13.8">
      <c r="A359" s="1"/>
      <c r="D359" s="1"/>
      <c r="H359" s="1"/>
    </row>
    <row r="360" spans="1:8" ht="13.8">
      <c r="A360" s="1"/>
      <c r="D360" s="1"/>
      <c r="H360" s="1"/>
    </row>
    <row r="361" spans="1:8" ht="13.8">
      <c r="A361" s="1"/>
      <c r="D361" s="1"/>
      <c r="H361" s="1"/>
    </row>
    <row r="362" spans="1:8" ht="13.8">
      <c r="A362" s="1"/>
      <c r="D362" s="1"/>
      <c r="H362" s="1"/>
    </row>
    <row r="363" spans="1:8" ht="13.8">
      <c r="A363" s="1"/>
      <c r="D363" s="1"/>
      <c r="H363" s="1"/>
    </row>
    <row r="364" spans="1:8" ht="13.8">
      <c r="A364" s="1"/>
      <c r="D364" s="1"/>
      <c r="H364" s="1"/>
    </row>
    <row r="365" spans="1:8" ht="13.8">
      <c r="A365" s="1"/>
      <c r="D365" s="1"/>
      <c r="H365" s="1"/>
    </row>
    <row r="366" spans="1:8" ht="13.8">
      <c r="A366" s="1"/>
      <c r="D366" s="1"/>
      <c r="H366" s="1"/>
    </row>
    <row r="367" spans="1:8" ht="13.8">
      <c r="A367" s="1"/>
      <c r="D367" s="1"/>
      <c r="H367" s="1"/>
    </row>
    <row r="368" spans="1:8" ht="13.8">
      <c r="A368" s="1"/>
      <c r="D368" s="1"/>
      <c r="H368" s="1"/>
    </row>
    <row r="369" spans="1:8" ht="13.8">
      <c r="A369" s="1"/>
      <c r="D369" s="1"/>
      <c r="H369" s="1"/>
    </row>
    <row r="370" spans="1:8" ht="13.8">
      <c r="A370" s="1"/>
      <c r="D370" s="1"/>
      <c r="H370" s="1"/>
    </row>
    <row r="371" spans="1:8" ht="13.8">
      <c r="A371" s="1"/>
      <c r="D371" s="1"/>
      <c r="H371" s="1"/>
    </row>
    <row r="372" spans="1:8" ht="13.8">
      <c r="A372" s="1"/>
      <c r="D372" s="1"/>
      <c r="H372" s="1"/>
    </row>
    <row r="373" spans="1:8" ht="13.8">
      <c r="A373" s="1"/>
      <c r="D373" s="1"/>
      <c r="H373" s="1"/>
    </row>
    <row r="374" spans="1:8" ht="13.8">
      <c r="A374" s="1"/>
      <c r="D374" s="1"/>
      <c r="H374" s="1"/>
    </row>
    <row r="375" spans="1:8" ht="13.8">
      <c r="A375" s="1"/>
      <c r="D375" s="1"/>
      <c r="H375" s="1"/>
    </row>
    <row r="376" spans="1:8" ht="13.8">
      <c r="A376" s="1"/>
      <c r="D376" s="1"/>
      <c r="H376" s="1"/>
    </row>
    <row r="377" spans="1:8" ht="13.8">
      <c r="A377" s="1"/>
      <c r="D377" s="1"/>
      <c r="H377" s="1"/>
    </row>
    <row r="378" spans="1:8" ht="13.8">
      <c r="A378" s="1"/>
      <c r="D378" s="1"/>
      <c r="H378" s="1"/>
    </row>
    <row r="379" spans="1:8" ht="13.8">
      <c r="A379" s="1"/>
      <c r="D379" s="1"/>
      <c r="H379" s="1"/>
    </row>
    <row r="380" spans="1:8" ht="13.8">
      <c r="A380" s="1"/>
      <c r="D380" s="1"/>
      <c r="H380" s="1"/>
    </row>
    <row r="381" spans="1:8" ht="13.8">
      <c r="A381" s="1"/>
      <c r="D381" s="1"/>
      <c r="H381" s="1"/>
    </row>
    <row r="382" spans="1:8" ht="13.8">
      <c r="A382" s="1"/>
      <c r="D382" s="1"/>
      <c r="H382" s="1"/>
    </row>
    <row r="383" spans="1:8" ht="13.8">
      <c r="A383" s="1"/>
      <c r="D383" s="1"/>
      <c r="H383" s="1"/>
    </row>
    <row r="384" spans="1:8" ht="13.8">
      <c r="A384" s="1"/>
      <c r="D384" s="1"/>
      <c r="H384" s="1"/>
    </row>
    <row r="385" spans="1:8" ht="13.8">
      <c r="A385" s="1"/>
      <c r="D385" s="1"/>
      <c r="H385" s="1"/>
    </row>
    <row r="386" spans="1:8" ht="13.8">
      <c r="A386" s="1"/>
      <c r="D386" s="1"/>
      <c r="H386" s="1"/>
    </row>
    <row r="387" spans="1:8" ht="13.8">
      <c r="A387" s="1"/>
      <c r="D387" s="1"/>
      <c r="H387" s="1"/>
    </row>
    <row r="388" spans="1:8" ht="13.8">
      <c r="A388" s="1"/>
      <c r="D388" s="1"/>
      <c r="H388" s="1"/>
    </row>
    <row r="389" spans="1:8" ht="13.8">
      <c r="A389" s="1"/>
      <c r="D389" s="1"/>
      <c r="H389" s="1"/>
    </row>
    <row r="390" spans="1:8" ht="13.8">
      <c r="A390" s="1"/>
      <c r="D390" s="1"/>
      <c r="H390" s="1"/>
    </row>
    <row r="391" spans="1:8" ht="13.8">
      <c r="A391" s="1"/>
      <c r="D391" s="1"/>
      <c r="H391" s="1"/>
    </row>
    <row r="392" spans="1:8" ht="13.8">
      <c r="A392" s="1"/>
      <c r="D392" s="1"/>
      <c r="H392" s="1"/>
    </row>
    <row r="393" spans="1:8" ht="13.8">
      <c r="A393" s="1"/>
      <c r="D393" s="1"/>
      <c r="H393" s="1"/>
    </row>
    <row r="394" spans="1:8" ht="13.8">
      <c r="A394" s="1"/>
      <c r="D394" s="1"/>
      <c r="H394" s="1"/>
    </row>
    <row r="395" spans="1:8" ht="13.8">
      <c r="A395" s="1"/>
      <c r="D395" s="1"/>
      <c r="H395" s="1"/>
    </row>
    <row r="396" spans="1:8" ht="13.8">
      <c r="A396" s="1"/>
      <c r="D396" s="1"/>
      <c r="H396" s="1"/>
    </row>
    <row r="397" spans="1:8" ht="13.8">
      <c r="A397" s="1"/>
      <c r="D397" s="1"/>
      <c r="H397" s="1"/>
    </row>
    <row r="398" spans="1:8" ht="13.8">
      <c r="A398" s="1"/>
      <c r="D398" s="1"/>
      <c r="H398" s="1"/>
    </row>
    <row r="399" spans="1:8" ht="13.8">
      <c r="A399" s="1"/>
      <c r="D399" s="1"/>
      <c r="H399" s="1"/>
    </row>
    <row r="400" spans="1:8" ht="13.8">
      <c r="A400" s="1"/>
      <c r="D400" s="1"/>
      <c r="H400" s="1"/>
    </row>
    <row r="401" spans="1:8" ht="13.8">
      <c r="A401" s="1"/>
      <c r="D401" s="1"/>
      <c r="H401" s="1"/>
    </row>
    <row r="402" spans="1:8" ht="13.8">
      <c r="A402" s="1"/>
      <c r="D402" s="1"/>
      <c r="H402" s="1"/>
    </row>
    <row r="403" spans="1:8" ht="13.8">
      <c r="A403" s="1"/>
      <c r="D403" s="1"/>
      <c r="H403" s="1"/>
    </row>
    <row r="404" spans="1:8" ht="13.8">
      <c r="A404" s="1"/>
      <c r="D404" s="1"/>
      <c r="H404" s="1"/>
    </row>
    <row r="405" spans="1:8" ht="13.8">
      <c r="A405" s="1"/>
      <c r="D405" s="1"/>
      <c r="H405" s="1"/>
    </row>
    <row r="406" spans="1:8" ht="13.8">
      <c r="A406" s="1"/>
      <c r="D406" s="1"/>
      <c r="H406" s="1"/>
    </row>
    <row r="407" spans="1:8" ht="13.8">
      <c r="A407" s="1"/>
      <c r="D407" s="1"/>
      <c r="H407" s="1"/>
    </row>
    <row r="408" spans="1:8" ht="13.8">
      <c r="A408" s="1"/>
      <c r="D408" s="1"/>
      <c r="H408" s="1"/>
    </row>
    <row r="409" spans="1:8" ht="13.8">
      <c r="A409" s="1"/>
      <c r="D409" s="1"/>
      <c r="H409" s="1"/>
    </row>
    <row r="410" spans="1:8" ht="13.8">
      <c r="A410" s="1"/>
      <c r="D410" s="1"/>
      <c r="H410" s="1"/>
    </row>
    <row r="411" spans="1:8" ht="13.8">
      <c r="A411" s="1"/>
      <c r="D411" s="1"/>
      <c r="H411" s="1"/>
    </row>
    <row r="412" spans="1:8" ht="13.8">
      <c r="A412" s="1"/>
      <c r="D412" s="1"/>
      <c r="H412" s="1"/>
    </row>
    <row r="413" spans="1:8" ht="13.8">
      <c r="A413" s="1"/>
      <c r="D413" s="1"/>
      <c r="H413" s="1"/>
    </row>
    <row r="414" spans="1:8" ht="13.8">
      <c r="A414" s="1"/>
      <c r="D414" s="1"/>
      <c r="H414" s="1"/>
    </row>
    <row r="415" spans="1:8" ht="13.8">
      <c r="A415" s="1"/>
      <c r="D415" s="1"/>
      <c r="H415" s="1"/>
    </row>
    <row r="416" spans="1:8" ht="13.8">
      <c r="A416" s="1"/>
      <c r="D416" s="1"/>
      <c r="H416" s="1"/>
    </row>
    <row r="417" spans="1:8" ht="13.8">
      <c r="A417" s="1"/>
      <c r="D417" s="1"/>
      <c r="H417" s="1"/>
    </row>
    <row r="418" spans="1:8" ht="13.8">
      <c r="A418" s="1"/>
      <c r="D418" s="1"/>
      <c r="H418" s="1"/>
    </row>
    <row r="419" spans="1:8" ht="13.8">
      <c r="A419" s="1"/>
      <c r="D419" s="1"/>
      <c r="H419" s="1"/>
    </row>
    <row r="420" spans="1:8" ht="13.8">
      <c r="A420" s="1"/>
      <c r="D420" s="1"/>
      <c r="H420" s="1"/>
    </row>
    <row r="421" spans="1:8" ht="13.8">
      <c r="A421" s="1"/>
      <c r="D421" s="1"/>
      <c r="H421" s="1"/>
    </row>
    <row r="422" spans="1:8" ht="13.8">
      <c r="A422" s="1"/>
      <c r="D422" s="1"/>
      <c r="H422" s="1"/>
    </row>
    <row r="423" spans="1:8" ht="13.8">
      <c r="A423" s="1"/>
      <c r="D423" s="1"/>
      <c r="H423" s="1"/>
    </row>
    <row r="424" spans="1:8" ht="13.8">
      <c r="A424" s="1"/>
      <c r="D424" s="1"/>
      <c r="H424" s="1"/>
    </row>
    <row r="425" spans="1:8" ht="13.8">
      <c r="A425" s="1"/>
      <c r="D425" s="1"/>
      <c r="H425" s="1"/>
    </row>
    <row r="426" spans="1:8" ht="13.8">
      <c r="A426" s="1"/>
      <c r="D426" s="1"/>
      <c r="H426" s="1"/>
    </row>
    <row r="427" spans="1:8" ht="13.8">
      <c r="A427" s="1"/>
      <c r="D427" s="1"/>
      <c r="H427" s="1"/>
    </row>
    <row r="428" spans="1:8" ht="13.8">
      <c r="A428" s="1"/>
      <c r="D428" s="1"/>
      <c r="H428" s="1"/>
    </row>
    <row r="429" spans="1:8" ht="13.8">
      <c r="A429" s="1"/>
      <c r="D429" s="1"/>
      <c r="H429" s="1"/>
    </row>
    <row r="430" spans="1:8" ht="13.8">
      <c r="A430" s="1"/>
      <c r="D430" s="1"/>
      <c r="H430" s="1"/>
    </row>
    <row r="431" spans="1:8" ht="13.8">
      <c r="A431" s="1"/>
      <c r="D431" s="1"/>
      <c r="H431" s="1"/>
    </row>
    <row r="432" spans="1:8" ht="13.8">
      <c r="A432" s="1"/>
      <c r="D432" s="1"/>
      <c r="H432" s="1"/>
    </row>
    <row r="433" spans="1:8" ht="13.8">
      <c r="A433" s="1"/>
      <c r="D433" s="1"/>
      <c r="H433" s="1"/>
    </row>
    <row r="434" spans="1:8" ht="13.8">
      <c r="A434" s="1"/>
      <c r="D434" s="1"/>
      <c r="H434" s="1"/>
    </row>
    <row r="435" spans="1:8" ht="13.8">
      <c r="A435" s="1"/>
      <c r="D435" s="1"/>
      <c r="H435" s="1"/>
    </row>
    <row r="436" spans="1:8" ht="13.8">
      <c r="A436" s="1"/>
      <c r="D436" s="1"/>
      <c r="H436" s="1"/>
    </row>
    <row r="437" spans="1:8" ht="13.8">
      <c r="A437" s="1"/>
      <c r="D437" s="1"/>
      <c r="H437" s="1"/>
    </row>
    <row r="438" spans="1:8" ht="13.8">
      <c r="A438" s="1"/>
      <c r="D438" s="1"/>
      <c r="H438" s="1"/>
    </row>
    <row r="439" spans="1:8" ht="13.8">
      <c r="A439" s="1"/>
      <c r="D439" s="1"/>
      <c r="H439" s="1"/>
    </row>
    <row r="440" spans="1:8" ht="13.8">
      <c r="A440" s="1"/>
      <c r="D440" s="1"/>
      <c r="H440" s="1"/>
    </row>
    <row r="441" spans="1:8" ht="13.8">
      <c r="A441" s="1"/>
      <c r="D441" s="1"/>
      <c r="H441" s="1"/>
    </row>
    <row r="442" spans="1:8" ht="13.8">
      <c r="A442" s="1"/>
      <c r="D442" s="1"/>
      <c r="H442" s="1"/>
    </row>
    <row r="443" spans="1:8" ht="13.8">
      <c r="A443" s="1"/>
      <c r="D443" s="1"/>
      <c r="H443" s="1"/>
    </row>
    <row r="444" spans="1:8" ht="13.8">
      <c r="A444" s="1"/>
      <c r="D444" s="1"/>
      <c r="H444" s="1"/>
    </row>
    <row r="445" spans="1:8" ht="13.8">
      <c r="A445" s="1"/>
      <c r="D445" s="1"/>
      <c r="H445" s="1"/>
    </row>
    <row r="446" spans="1:8" ht="13.8">
      <c r="A446" s="1"/>
      <c r="D446" s="1"/>
      <c r="H446" s="1"/>
    </row>
    <row r="447" spans="1:8" ht="13.8">
      <c r="A447" s="1"/>
      <c r="D447" s="1"/>
      <c r="H447" s="1"/>
    </row>
    <row r="448" spans="1:8" ht="13.8">
      <c r="A448" s="1"/>
      <c r="D448" s="1"/>
      <c r="H448" s="1"/>
    </row>
    <row r="449" spans="1:8" ht="13.8">
      <c r="A449" s="1"/>
      <c r="D449" s="1"/>
      <c r="H449" s="1"/>
    </row>
    <row r="450" spans="1:8" ht="13.8">
      <c r="A450" s="1"/>
      <c r="D450" s="1"/>
      <c r="H450" s="1"/>
    </row>
    <row r="451" spans="1:8" ht="13.8">
      <c r="A451" s="1"/>
      <c r="D451" s="1"/>
      <c r="H451" s="1"/>
    </row>
    <row r="452" spans="1:8" ht="13.8">
      <c r="A452" s="1"/>
      <c r="D452" s="1"/>
      <c r="H452" s="1"/>
    </row>
    <row r="453" spans="1:8" ht="13.8">
      <c r="A453" s="1"/>
      <c r="D453" s="1"/>
      <c r="H453" s="1"/>
    </row>
    <row r="454" spans="1:8" ht="13.8">
      <c r="A454" s="1"/>
      <c r="D454" s="1"/>
      <c r="H454" s="1"/>
    </row>
    <row r="455" spans="1:8" ht="13.8">
      <c r="A455" s="1"/>
      <c r="D455" s="1"/>
      <c r="H455" s="1"/>
    </row>
    <row r="456" spans="1:8" ht="13.8">
      <c r="A456" s="1"/>
      <c r="D456" s="1"/>
      <c r="H456" s="1"/>
    </row>
    <row r="457" spans="1:8" ht="13.8">
      <c r="A457" s="1"/>
      <c r="D457" s="1"/>
      <c r="H457" s="1"/>
    </row>
    <row r="458" spans="1:8" ht="13.8">
      <c r="A458" s="1"/>
      <c r="D458" s="1"/>
      <c r="H458" s="1"/>
    </row>
    <row r="459" spans="1:8" ht="13.8">
      <c r="A459" s="1"/>
      <c r="D459" s="1"/>
      <c r="H459" s="1"/>
    </row>
    <row r="460" spans="1:8" ht="13.8">
      <c r="A460" s="1"/>
      <c r="D460" s="1"/>
      <c r="H460" s="1"/>
    </row>
    <row r="461" spans="1:8" ht="13.8">
      <c r="A461" s="1"/>
      <c r="D461" s="1"/>
      <c r="H461" s="1"/>
    </row>
    <row r="462" spans="1:8" ht="13.8">
      <c r="A462" s="1"/>
      <c r="D462" s="1"/>
      <c r="H462" s="1"/>
    </row>
    <row r="463" spans="1:8" ht="13.8">
      <c r="A463" s="1"/>
      <c r="D463" s="1"/>
      <c r="H463" s="1"/>
    </row>
    <row r="464" spans="1:8" ht="13.8">
      <c r="A464" s="1"/>
      <c r="D464" s="1"/>
      <c r="H464" s="1"/>
    </row>
    <row r="465" spans="1:8" ht="13.8">
      <c r="A465" s="1"/>
      <c r="D465" s="1"/>
      <c r="H465" s="1"/>
    </row>
    <row r="466" spans="1:8" ht="13.8">
      <c r="A466" s="1"/>
      <c r="D466" s="1"/>
      <c r="H466" s="1"/>
    </row>
    <row r="467" spans="1:8" ht="13.8">
      <c r="A467" s="1"/>
      <c r="D467" s="1"/>
      <c r="H467" s="1"/>
    </row>
    <row r="468" spans="1:8" ht="13.8">
      <c r="A468" s="1"/>
      <c r="D468" s="1"/>
      <c r="H468" s="1"/>
    </row>
    <row r="469" spans="1:8" ht="13.8">
      <c r="A469" s="1"/>
      <c r="D469" s="1"/>
      <c r="H469" s="1"/>
    </row>
    <row r="470" spans="1:8" ht="13.8">
      <c r="A470" s="1"/>
      <c r="D470" s="1"/>
      <c r="H470" s="1"/>
    </row>
    <row r="471" spans="1:8" ht="13.8">
      <c r="A471" s="1"/>
      <c r="D471" s="1"/>
      <c r="H471" s="1"/>
    </row>
    <row r="472" spans="1:8" ht="13.8">
      <c r="A472" s="1"/>
      <c r="D472" s="1"/>
      <c r="H472" s="1"/>
    </row>
    <row r="473" spans="1:8" ht="13.8">
      <c r="A473" s="1"/>
      <c r="D473" s="1"/>
      <c r="H473" s="1"/>
    </row>
    <row r="474" spans="1:8" ht="13.8">
      <c r="A474" s="1"/>
      <c r="D474" s="1"/>
      <c r="H474" s="1"/>
    </row>
    <row r="475" spans="1:8" ht="13.8">
      <c r="A475" s="1"/>
      <c r="D475" s="1"/>
      <c r="H475" s="1"/>
    </row>
    <row r="476" spans="1:8" ht="13.8">
      <c r="A476" s="1"/>
      <c r="D476" s="1"/>
      <c r="H476" s="1"/>
    </row>
    <row r="477" spans="1:8" ht="13.8">
      <c r="A477" s="1"/>
      <c r="D477" s="1"/>
      <c r="H477" s="1"/>
    </row>
    <row r="478" spans="1:8" ht="13.8">
      <c r="A478" s="1"/>
      <c r="D478" s="1"/>
      <c r="H478" s="1"/>
    </row>
    <row r="479" spans="1:8" ht="13.8">
      <c r="A479" s="1"/>
      <c r="D479" s="1"/>
      <c r="H479" s="1"/>
    </row>
    <row r="480" spans="1:8" ht="13.8">
      <c r="A480" s="1"/>
      <c r="D480" s="1"/>
      <c r="H480" s="1"/>
    </row>
    <row r="481" spans="1:8" ht="13.8">
      <c r="A481" s="1"/>
      <c r="D481" s="1"/>
      <c r="H481" s="1"/>
    </row>
    <row r="482" spans="1:8" ht="13.8">
      <c r="A482" s="1"/>
      <c r="D482" s="1"/>
      <c r="H482" s="1"/>
    </row>
    <row r="483" spans="1:8" ht="13.8">
      <c r="A483" s="1"/>
      <c r="D483" s="1"/>
      <c r="H483" s="1"/>
    </row>
    <row r="484" spans="1:8" ht="13.8">
      <c r="A484" s="1"/>
      <c r="D484" s="1"/>
      <c r="H484" s="1"/>
    </row>
    <row r="485" spans="1:8" ht="13.8">
      <c r="A485" s="1"/>
      <c r="D485" s="1"/>
      <c r="H485" s="1"/>
    </row>
    <row r="486" spans="1:8" ht="13.8">
      <c r="A486" s="1"/>
      <c r="D486" s="1"/>
      <c r="H486" s="1"/>
    </row>
    <row r="487" spans="1:8" ht="13.8">
      <c r="A487" s="1"/>
      <c r="D487" s="1"/>
      <c r="H487" s="1"/>
    </row>
    <row r="488" spans="1:8" ht="13.8">
      <c r="A488" s="1"/>
      <c r="D488" s="1"/>
      <c r="H488" s="1"/>
    </row>
    <row r="489" spans="1:8" ht="13.8">
      <c r="A489" s="1"/>
      <c r="D489" s="1"/>
      <c r="H489" s="1"/>
    </row>
    <row r="490" spans="1:8" ht="13.8">
      <c r="A490" s="1"/>
      <c r="D490" s="1"/>
      <c r="H490" s="1"/>
    </row>
    <row r="491" spans="1:8" ht="13.8">
      <c r="A491" s="1"/>
      <c r="D491" s="1"/>
      <c r="H491" s="1"/>
    </row>
    <row r="492" spans="1:8" ht="13.8">
      <c r="A492" s="1"/>
      <c r="D492" s="1"/>
      <c r="H492" s="1"/>
    </row>
    <row r="493" spans="1:8" ht="13.8">
      <c r="A493" s="1"/>
      <c r="D493" s="1"/>
      <c r="H493" s="1"/>
    </row>
    <row r="494" spans="1:8" ht="13.8">
      <c r="A494" s="1"/>
      <c r="D494" s="1"/>
      <c r="H494" s="1"/>
    </row>
    <row r="495" spans="1:8" ht="13.8">
      <c r="A495" s="1"/>
      <c r="D495" s="1"/>
      <c r="H495" s="1"/>
    </row>
    <row r="496" spans="1:8" ht="13.8">
      <c r="A496" s="1"/>
      <c r="D496" s="1"/>
      <c r="H496" s="1"/>
    </row>
    <row r="497" spans="1:8" ht="13.8">
      <c r="A497" s="1"/>
      <c r="D497" s="1"/>
      <c r="H497" s="1"/>
    </row>
    <row r="498" spans="1:8" ht="13.8">
      <c r="A498" s="1"/>
      <c r="D498" s="1"/>
      <c r="H498" s="1"/>
    </row>
    <row r="499" spans="1:8" ht="13.8">
      <c r="A499" s="1"/>
      <c r="D499" s="1"/>
      <c r="H499" s="1"/>
    </row>
    <row r="500" spans="1:8" ht="13.8">
      <c r="A500" s="1"/>
      <c r="D500" s="1"/>
      <c r="H500" s="1"/>
    </row>
    <row r="501" spans="1:8" ht="13.8">
      <c r="A501" s="1"/>
      <c r="D501" s="1"/>
      <c r="H501" s="1"/>
    </row>
    <row r="502" spans="1:8" ht="13.8">
      <c r="A502" s="1"/>
      <c r="D502" s="1"/>
      <c r="H502" s="1"/>
    </row>
    <row r="503" spans="1:8" ht="13.8">
      <c r="A503" s="1"/>
      <c r="D503" s="1"/>
      <c r="H503" s="1"/>
    </row>
    <row r="504" spans="1:8" ht="13.8">
      <c r="A504" s="1"/>
      <c r="D504" s="1"/>
      <c r="H504" s="1"/>
    </row>
    <row r="505" spans="1:8" ht="13.8">
      <c r="A505" s="1"/>
      <c r="D505" s="1"/>
      <c r="H505" s="1"/>
    </row>
    <row r="506" spans="1:8" ht="13.8">
      <c r="A506" s="1"/>
      <c r="D506" s="1"/>
      <c r="H506" s="1"/>
    </row>
    <row r="507" spans="1:8" ht="13.8">
      <c r="A507" s="1"/>
      <c r="D507" s="1"/>
      <c r="H507" s="1"/>
    </row>
    <row r="508" spans="1:8" ht="13.8">
      <c r="A508" s="1"/>
      <c r="D508" s="1"/>
      <c r="H508" s="1"/>
    </row>
    <row r="509" spans="1:8" ht="13.8">
      <c r="A509" s="1"/>
      <c r="D509" s="1"/>
      <c r="H509" s="1"/>
    </row>
    <row r="510" spans="1:8" ht="13.8">
      <c r="A510" s="1"/>
      <c r="D510" s="1"/>
      <c r="H510" s="1"/>
    </row>
    <row r="511" spans="1:8" ht="13.8">
      <c r="A511" s="1"/>
      <c r="D511" s="1"/>
      <c r="H511" s="1"/>
    </row>
    <row r="512" spans="1:8" ht="13.8">
      <c r="A512" s="1"/>
      <c r="D512" s="1"/>
      <c r="H512" s="1"/>
    </row>
    <row r="513" spans="1:8" ht="13.8">
      <c r="A513" s="1"/>
      <c r="D513" s="1"/>
      <c r="H513" s="1"/>
    </row>
    <row r="514" spans="1:8" ht="13.8">
      <c r="A514" s="1"/>
      <c r="D514" s="1"/>
      <c r="H514" s="1"/>
    </row>
    <row r="515" spans="1:8" ht="13.8">
      <c r="A515" s="1"/>
      <c r="D515" s="1"/>
      <c r="H515" s="1"/>
    </row>
    <row r="516" spans="1:8" ht="13.8">
      <c r="A516" s="1"/>
      <c r="D516" s="1"/>
      <c r="H516" s="1"/>
    </row>
    <row r="517" spans="1:8" ht="13.8">
      <c r="A517" s="1"/>
      <c r="D517" s="1"/>
      <c r="H517" s="1"/>
    </row>
    <row r="518" spans="1:8" ht="13.8">
      <c r="A518" s="1"/>
      <c r="D518" s="1"/>
      <c r="H518" s="1"/>
    </row>
    <row r="519" spans="1:8" ht="13.8">
      <c r="A519" s="1"/>
      <c r="D519" s="1"/>
      <c r="H519" s="1"/>
    </row>
    <row r="520" spans="1:8" ht="13.8">
      <c r="A520" s="1"/>
      <c r="D520" s="1"/>
      <c r="H520" s="1"/>
    </row>
    <row r="521" spans="1:8" ht="13.8">
      <c r="A521" s="1"/>
      <c r="D521" s="1"/>
      <c r="H521" s="1"/>
    </row>
    <row r="522" spans="1:8" ht="13.8">
      <c r="A522" s="1"/>
      <c r="D522" s="1"/>
      <c r="H522" s="1"/>
    </row>
    <row r="523" spans="1:8" ht="13.8">
      <c r="A523" s="1"/>
      <c r="D523" s="1"/>
      <c r="H523" s="1"/>
    </row>
    <row r="524" spans="1:8" ht="13.8">
      <c r="A524" s="1"/>
      <c r="D524" s="1"/>
      <c r="H524" s="1"/>
    </row>
    <row r="525" spans="1:8" ht="13.8">
      <c r="A525" s="1"/>
      <c r="D525" s="1"/>
      <c r="H525" s="1"/>
    </row>
    <row r="526" spans="1:8" ht="13.8">
      <c r="A526" s="1"/>
      <c r="D526" s="1"/>
      <c r="H526" s="1"/>
    </row>
    <row r="527" spans="1:8" ht="13.8">
      <c r="A527" s="1"/>
      <c r="D527" s="1"/>
      <c r="H527" s="1"/>
    </row>
    <row r="528" spans="1:8" ht="13.8">
      <c r="A528" s="1"/>
      <c r="D528" s="1"/>
      <c r="H528" s="1"/>
    </row>
    <row r="529" spans="1:8" ht="13.8">
      <c r="A529" s="1"/>
      <c r="D529" s="1"/>
      <c r="H529" s="1"/>
    </row>
    <row r="530" spans="1:8" ht="13.8">
      <c r="A530" s="1"/>
      <c r="D530" s="1"/>
      <c r="H530" s="1"/>
    </row>
    <row r="531" spans="1:8" ht="13.8">
      <c r="A531" s="1"/>
      <c r="D531" s="1"/>
      <c r="H531" s="1"/>
    </row>
    <row r="532" spans="1:8" ht="13.8">
      <c r="A532" s="1"/>
      <c r="D532" s="1"/>
      <c r="H532" s="1"/>
    </row>
    <row r="533" spans="1:8" ht="13.8">
      <c r="A533" s="1"/>
      <c r="D533" s="1"/>
      <c r="H533" s="1"/>
    </row>
    <row r="534" spans="1:8" ht="13.8">
      <c r="A534" s="1"/>
      <c r="D534" s="1"/>
      <c r="H534" s="1"/>
    </row>
    <row r="535" spans="1:8" ht="13.8">
      <c r="A535" s="1"/>
      <c r="D535" s="1"/>
      <c r="H535" s="1"/>
    </row>
    <row r="536" spans="1:8" ht="13.8">
      <c r="A536" s="1"/>
      <c r="D536" s="1"/>
      <c r="H536" s="1"/>
    </row>
    <row r="537" spans="1:8" ht="13.8">
      <c r="A537" s="1"/>
      <c r="D537" s="1"/>
      <c r="H537" s="1"/>
    </row>
    <row r="538" spans="1:8" ht="13.8">
      <c r="A538" s="1"/>
      <c r="D538" s="1"/>
      <c r="H538" s="1"/>
    </row>
    <row r="539" spans="1:8" ht="13.8">
      <c r="A539" s="1"/>
      <c r="D539" s="1"/>
      <c r="H539" s="1"/>
    </row>
    <row r="540" spans="1:8" ht="13.8">
      <c r="A540" s="1"/>
      <c r="D540" s="1"/>
      <c r="H540" s="1"/>
    </row>
    <row r="541" spans="1:8" ht="13.8">
      <c r="A541" s="1"/>
      <c r="D541" s="1"/>
      <c r="H541" s="1"/>
    </row>
    <row r="542" spans="1:8" ht="13.8">
      <c r="A542" s="1"/>
      <c r="D542" s="1"/>
      <c r="H542" s="1"/>
    </row>
    <row r="543" spans="1:8" ht="13.8">
      <c r="A543" s="1"/>
      <c r="D543" s="1"/>
      <c r="H543" s="1"/>
    </row>
    <row r="544" spans="1:8" ht="13.8">
      <c r="A544" s="1"/>
      <c r="D544" s="1"/>
      <c r="H544" s="1"/>
    </row>
    <row r="545" spans="1:8" ht="13.8">
      <c r="A545" s="1"/>
      <c r="D545" s="1"/>
      <c r="H545" s="1"/>
    </row>
    <row r="546" spans="1:8" ht="13.8">
      <c r="A546" s="1"/>
      <c r="D546" s="1"/>
      <c r="H546" s="1"/>
    </row>
    <row r="547" spans="1:8" ht="13.8">
      <c r="A547" s="1"/>
      <c r="D547" s="1"/>
      <c r="H547" s="1"/>
    </row>
    <row r="548" spans="1:8" ht="13.8">
      <c r="A548" s="1"/>
      <c r="D548" s="1"/>
      <c r="H548" s="1"/>
    </row>
    <row r="549" spans="1:8" ht="13.8">
      <c r="A549" s="1"/>
      <c r="D549" s="1"/>
      <c r="H549" s="1"/>
    </row>
    <row r="550" spans="1:8" ht="13.8">
      <c r="A550" s="1"/>
      <c r="D550" s="1"/>
      <c r="H550" s="1"/>
    </row>
    <row r="551" spans="1:8" ht="13.8">
      <c r="A551" s="1"/>
      <c r="D551" s="1"/>
      <c r="H551" s="1"/>
    </row>
    <row r="552" spans="1:8" ht="13.8">
      <c r="A552" s="1"/>
      <c r="D552" s="1"/>
      <c r="H552" s="1"/>
    </row>
    <row r="553" spans="1:8" ht="13.8">
      <c r="A553" s="1"/>
      <c r="D553" s="1"/>
      <c r="H553" s="1"/>
    </row>
    <row r="554" spans="1:8" ht="13.8">
      <c r="A554" s="1"/>
      <c r="D554" s="1"/>
      <c r="H554" s="1"/>
    </row>
    <row r="555" spans="1:8" ht="13.8">
      <c r="A555" s="1"/>
      <c r="D555" s="1"/>
      <c r="H555" s="1"/>
    </row>
    <row r="556" spans="1:8" ht="13.8">
      <c r="A556" s="1"/>
      <c r="D556" s="1"/>
      <c r="H556" s="1"/>
    </row>
    <row r="557" spans="1:8" ht="13.8">
      <c r="A557" s="1"/>
      <c r="D557" s="1"/>
      <c r="H557" s="1"/>
    </row>
    <row r="558" spans="1:8" ht="13.8">
      <c r="A558" s="1"/>
      <c r="D558" s="1"/>
      <c r="H558" s="1"/>
    </row>
    <row r="559" spans="1:8" ht="13.8">
      <c r="A559" s="1"/>
      <c r="D559" s="1"/>
      <c r="H559" s="1"/>
    </row>
    <row r="560" spans="1:8" ht="13.8">
      <c r="A560" s="1"/>
      <c r="D560" s="1"/>
      <c r="H560" s="1"/>
    </row>
    <row r="561" spans="1:8" ht="13.8">
      <c r="A561" s="1"/>
      <c r="D561" s="1"/>
      <c r="H561" s="1"/>
    </row>
    <row r="562" spans="1:8" ht="13.8">
      <c r="A562" s="1"/>
      <c r="D562" s="1"/>
      <c r="H562" s="1"/>
    </row>
    <row r="563" spans="1:8" ht="13.8">
      <c r="A563" s="1"/>
      <c r="D563" s="1"/>
      <c r="H563" s="1"/>
    </row>
    <row r="564" spans="1:8" ht="13.8">
      <c r="A564" s="1"/>
      <c r="D564" s="1"/>
      <c r="H564" s="1"/>
    </row>
    <row r="565" spans="1:8" ht="13.8">
      <c r="A565" s="1"/>
      <c r="D565" s="1"/>
      <c r="H565" s="1"/>
    </row>
    <row r="566" spans="1:8" ht="13.8">
      <c r="A566" s="1"/>
      <c r="D566" s="1"/>
      <c r="H566" s="1"/>
    </row>
    <row r="567" spans="1:8" ht="13.8">
      <c r="A567" s="1"/>
      <c r="D567" s="1"/>
      <c r="H567" s="1"/>
    </row>
    <row r="568" spans="1:8" ht="13.8">
      <c r="A568" s="1"/>
      <c r="D568" s="1"/>
      <c r="H568" s="1"/>
    </row>
    <row r="569" spans="1:8" ht="13.8">
      <c r="A569" s="1"/>
      <c r="D569" s="1"/>
      <c r="H569" s="1"/>
    </row>
    <row r="570" spans="1:8" ht="13.8">
      <c r="A570" s="1"/>
      <c r="D570" s="1"/>
      <c r="H570" s="1"/>
    </row>
    <row r="571" spans="1:8" ht="13.8">
      <c r="A571" s="1"/>
      <c r="D571" s="1"/>
      <c r="H571" s="1"/>
    </row>
    <row r="572" spans="1:8" ht="13.8">
      <c r="A572" s="1"/>
      <c r="D572" s="1"/>
      <c r="H572" s="1"/>
    </row>
    <row r="573" spans="1:8" ht="13.8">
      <c r="A573" s="1"/>
      <c r="D573" s="1"/>
      <c r="H573" s="1"/>
    </row>
    <row r="574" spans="1:8" ht="13.8">
      <c r="A574" s="1"/>
      <c r="D574" s="1"/>
      <c r="H574" s="1"/>
    </row>
    <row r="575" spans="1:8" ht="13.8">
      <c r="A575" s="1"/>
      <c r="D575" s="1"/>
      <c r="H575" s="1"/>
    </row>
    <row r="576" spans="1:8" ht="13.8">
      <c r="A576" s="1"/>
      <c r="D576" s="1"/>
      <c r="H576" s="1"/>
    </row>
    <row r="577" spans="1:8" ht="13.8">
      <c r="A577" s="1"/>
      <c r="D577" s="1"/>
      <c r="H577" s="1"/>
    </row>
    <row r="578" spans="1:8" ht="13.8">
      <c r="A578" s="1"/>
      <c r="D578" s="1"/>
      <c r="H578" s="1"/>
    </row>
    <row r="579" spans="1:8" ht="13.8">
      <c r="A579" s="1"/>
      <c r="D579" s="1"/>
      <c r="H579" s="1"/>
    </row>
    <row r="580" spans="1:8" ht="13.8">
      <c r="A580" s="1"/>
      <c r="D580" s="1"/>
      <c r="H580" s="1"/>
    </row>
    <row r="581" spans="1:8" ht="13.8">
      <c r="A581" s="1"/>
      <c r="D581" s="1"/>
      <c r="H581" s="1"/>
    </row>
    <row r="582" spans="1:8" ht="13.8">
      <c r="A582" s="1"/>
      <c r="D582" s="1"/>
      <c r="H582" s="1"/>
    </row>
    <row r="583" spans="1:8" ht="13.8">
      <c r="A583" s="1"/>
      <c r="D583" s="1"/>
      <c r="H583" s="1"/>
    </row>
    <row r="584" spans="1:8" ht="13.8">
      <c r="A584" s="1"/>
      <c r="D584" s="1"/>
      <c r="H584" s="1"/>
    </row>
    <row r="585" spans="1:8" ht="13.8">
      <c r="A585" s="1"/>
      <c r="D585" s="1"/>
      <c r="H585" s="1"/>
    </row>
    <row r="586" spans="1:8" ht="13.8">
      <c r="A586" s="1"/>
      <c r="D586" s="1"/>
      <c r="H586" s="1"/>
    </row>
    <row r="587" spans="1:8" ht="13.8">
      <c r="A587" s="1"/>
      <c r="D587" s="1"/>
      <c r="H587" s="1"/>
    </row>
    <row r="588" spans="1:8" ht="13.8">
      <c r="A588" s="1"/>
      <c r="D588" s="1"/>
      <c r="H588" s="1"/>
    </row>
    <row r="589" spans="1:8" ht="13.8">
      <c r="A589" s="1"/>
      <c r="D589" s="1"/>
      <c r="H589" s="1"/>
    </row>
    <row r="590" spans="1:8" ht="13.8">
      <c r="A590" s="1"/>
      <c r="D590" s="1"/>
      <c r="H590" s="1"/>
    </row>
    <row r="591" spans="1:8" ht="13.8">
      <c r="A591" s="1"/>
      <c r="D591" s="1"/>
      <c r="H591" s="1"/>
    </row>
    <row r="592" spans="1:8" ht="13.8">
      <c r="A592" s="1"/>
      <c r="D592" s="1"/>
      <c r="H592" s="1"/>
    </row>
    <row r="593" spans="1:8" ht="13.8">
      <c r="A593" s="1"/>
      <c r="D593" s="1"/>
      <c r="H593" s="1"/>
    </row>
    <row r="594" spans="1:8" ht="13.8">
      <c r="A594" s="1"/>
      <c r="D594" s="1"/>
      <c r="H594" s="1"/>
    </row>
    <row r="595" spans="1:8" ht="13.8">
      <c r="A595" s="1"/>
      <c r="D595" s="1"/>
      <c r="H595" s="1"/>
    </row>
    <row r="596" spans="1:8" ht="13.8">
      <c r="A596" s="1"/>
      <c r="D596" s="1"/>
      <c r="H596" s="1"/>
    </row>
    <row r="597" spans="1:8" ht="13.8">
      <c r="A597" s="1"/>
      <c r="D597" s="1"/>
      <c r="H597" s="1"/>
    </row>
    <row r="598" spans="1:8" ht="13.8">
      <c r="A598" s="1"/>
      <c r="D598" s="1"/>
      <c r="H598" s="1"/>
    </row>
    <row r="599" spans="1:8" ht="13.8">
      <c r="A599" s="1"/>
      <c r="D599" s="1"/>
      <c r="H599" s="1"/>
    </row>
    <row r="600" spans="1:8" ht="13.8">
      <c r="A600" s="1"/>
      <c r="D600" s="1"/>
      <c r="H600" s="1"/>
    </row>
    <row r="601" spans="1:8" ht="13.8">
      <c r="A601" s="1"/>
      <c r="D601" s="1"/>
      <c r="H601" s="1"/>
    </row>
    <row r="602" spans="1:8" ht="13.8">
      <c r="A602" s="1"/>
      <c r="D602" s="1"/>
      <c r="H602" s="1"/>
    </row>
    <row r="603" spans="1:8" ht="13.8">
      <c r="A603" s="1"/>
      <c r="D603" s="1"/>
      <c r="H603" s="1"/>
    </row>
    <row r="604" spans="1:8" ht="13.8">
      <c r="A604" s="1"/>
      <c r="D604" s="1"/>
      <c r="H604" s="1"/>
    </row>
    <row r="605" spans="1:8" ht="13.8">
      <c r="A605" s="1"/>
      <c r="D605" s="1"/>
      <c r="H605" s="1"/>
    </row>
    <row r="606" spans="1:8" ht="13.8">
      <c r="A606" s="1"/>
      <c r="D606" s="1"/>
      <c r="H606" s="1"/>
    </row>
    <row r="607" spans="1:8" ht="13.8">
      <c r="A607" s="1"/>
      <c r="D607" s="1"/>
      <c r="H607" s="1"/>
    </row>
    <row r="608" spans="1:8" ht="13.8">
      <c r="A608" s="1"/>
      <c r="D608" s="1"/>
      <c r="H608" s="1"/>
    </row>
    <row r="609" spans="1:8" ht="13.8">
      <c r="A609" s="1"/>
      <c r="D609" s="1"/>
      <c r="H609" s="1"/>
    </row>
    <row r="610" spans="1:8" ht="13.8">
      <c r="A610" s="1"/>
      <c r="D610" s="1"/>
      <c r="H610" s="1"/>
    </row>
    <row r="611" spans="1:8" ht="13.8">
      <c r="A611" s="1"/>
      <c r="D611" s="1"/>
      <c r="H611" s="1"/>
    </row>
    <row r="612" spans="1:8" ht="13.8">
      <c r="A612" s="1"/>
      <c r="D612" s="1"/>
      <c r="H612" s="1"/>
    </row>
    <row r="613" spans="1:8" ht="13.8">
      <c r="A613" s="1"/>
      <c r="D613" s="1"/>
      <c r="H613" s="1"/>
    </row>
    <row r="614" spans="1:8" ht="13.8">
      <c r="A614" s="1"/>
      <c r="D614" s="1"/>
      <c r="H614" s="1"/>
    </row>
    <row r="615" spans="1:8" ht="13.8">
      <c r="A615" s="1"/>
      <c r="D615" s="1"/>
      <c r="H615" s="1"/>
    </row>
    <row r="616" spans="1:8" ht="13.8">
      <c r="A616" s="1"/>
      <c r="D616" s="1"/>
      <c r="H616" s="1"/>
    </row>
    <row r="617" spans="1:8" ht="13.8">
      <c r="A617" s="1"/>
      <c r="D617" s="1"/>
      <c r="H617" s="1"/>
    </row>
    <row r="618" spans="1:8" ht="13.8">
      <c r="A618" s="1"/>
      <c r="D618" s="1"/>
      <c r="H618" s="1"/>
    </row>
    <row r="619" spans="1:8" ht="13.8">
      <c r="A619" s="1"/>
      <c r="D619" s="1"/>
      <c r="H619" s="1"/>
    </row>
    <row r="620" spans="1:8" ht="13.8">
      <c r="A620" s="1"/>
      <c r="D620" s="1"/>
      <c r="H620" s="1"/>
    </row>
    <row r="621" spans="1:8" ht="13.8">
      <c r="A621" s="1"/>
      <c r="D621" s="1"/>
      <c r="H621" s="1"/>
    </row>
    <row r="622" spans="1:8" ht="13.8">
      <c r="A622" s="1"/>
      <c r="D622" s="1"/>
      <c r="H622" s="1"/>
    </row>
    <row r="623" spans="1:8" ht="13.8">
      <c r="A623" s="1"/>
      <c r="D623" s="1"/>
      <c r="H623" s="1"/>
    </row>
    <row r="624" spans="1:8" ht="13.8">
      <c r="A624" s="1"/>
      <c r="D624" s="1"/>
      <c r="H624" s="1"/>
    </row>
    <row r="625" spans="1:8" ht="13.8">
      <c r="A625" s="1"/>
      <c r="D625" s="1"/>
      <c r="H625" s="1"/>
    </row>
    <row r="626" spans="1:8" ht="13.8">
      <c r="A626" s="1"/>
      <c r="D626" s="1"/>
      <c r="H626" s="1"/>
    </row>
    <row r="627" spans="1:8" ht="13.8">
      <c r="A627" s="1"/>
      <c r="D627" s="1"/>
      <c r="H627" s="1"/>
    </row>
    <row r="628" spans="1:8" ht="13.8">
      <c r="A628" s="1"/>
      <c r="D628" s="1"/>
      <c r="H628" s="1"/>
    </row>
    <row r="629" spans="1:8" ht="13.8">
      <c r="A629" s="1"/>
      <c r="D629" s="1"/>
      <c r="H629" s="1"/>
    </row>
    <row r="630" spans="1:8" ht="13.8">
      <c r="A630" s="1"/>
      <c r="D630" s="1"/>
      <c r="H630" s="1"/>
    </row>
    <row r="631" spans="1:8" ht="13.8">
      <c r="A631" s="1"/>
      <c r="D631" s="1"/>
      <c r="H631" s="1"/>
    </row>
    <row r="632" spans="1:8" ht="13.8">
      <c r="A632" s="1"/>
      <c r="D632" s="1"/>
      <c r="H632" s="1"/>
    </row>
    <row r="633" spans="1:8" ht="13.8">
      <c r="A633" s="1"/>
      <c r="D633" s="1"/>
      <c r="H633" s="1"/>
    </row>
    <row r="634" spans="1:8" ht="13.8">
      <c r="A634" s="1"/>
      <c r="D634" s="1"/>
      <c r="H634" s="1"/>
    </row>
    <row r="635" spans="1:8" ht="13.8">
      <c r="A635" s="1"/>
      <c r="D635" s="1"/>
      <c r="H635" s="1"/>
    </row>
    <row r="636" spans="1:8" ht="13.8">
      <c r="A636" s="1"/>
      <c r="D636" s="1"/>
      <c r="H636" s="1"/>
    </row>
    <row r="637" spans="1:8" ht="13.8">
      <c r="A637" s="1"/>
      <c r="D637" s="1"/>
      <c r="H637" s="1"/>
    </row>
    <row r="638" spans="1:8" ht="13.8">
      <c r="A638" s="1"/>
      <c r="D638" s="1"/>
      <c r="H638" s="1"/>
    </row>
    <row r="639" spans="1:8" ht="13.8">
      <c r="A639" s="1"/>
      <c r="D639" s="1"/>
      <c r="H639" s="1"/>
    </row>
    <row r="640" spans="1:8" ht="13.8">
      <c r="A640" s="1"/>
      <c r="D640" s="1"/>
      <c r="H640" s="1"/>
    </row>
    <row r="641" spans="1:8" ht="13.8">
      <c r="A641" s="1"/>
      <c r="D641" s="1"/>
      <c r="H641" s="1"/>
    </row>
    <row r="642" spans="1:8" ht="13.8">
      <c r="A642" s="1"/>
      <c r="D642" s="1"/>
      <c r="H642" s="1"/>
    </row>
    <row r="643" spans="1:8" ht="13.8">
      <c r="A643" s="1"/>
      <c r="D643" s="1"/>
      <c r="H643" s="1"/>
    </row>
    <row r="644" spans="1:8" ht="13.8">
      <c r="A644" s="1"/>
      <c r="D644" s="1"/>
      <c r="H644" s="1"/>
    </row>
    <row r="645" spans="1:8" ht="13.8">
      <c r="A645" s="1"/>
      <c r="D645" s="1"/>
      <c r="H645" s="1"/>
    </row>
    <row r="646" spans="1:8" ht="13.8">
      <c r="A646" s="1"/>
      <c r="D646" s="1"/>
      <c r="H646" s="1"/>
    </row>
    <row r="647" spans="1:8" ht="13.8">
      <c r="A647" s="1"/>
      <c r="D647" s="1"/>
      <c r="H647" s="1"/>
    </row>
    <row r="648" spans="1:8" ht="13.8">
      <c r="A648" s="1"/>
      <c r="D648" s="1"/>
      <c r="H648" s="1"/>
    </row>
    <row r="649" spans="1:8" ht="13.8">
      <c r="A649" s="1"/>
      <c r="D649" s="1"/>
      <c r="H649" s="1"/>
    </row>
    <row r="650" spans="1:8" ht="13.8">
      <c r="A650" s="1"/>
      <c r="D650" s="1"/>
      <c r="H650" s="1"/>
    </row>
    <row r="651" spans="1:8" ht="13.8">
      <c r="A651" s="1"/>
      <c r="D651" s="1"/>
      <c r="H651" s="1"/>
    </row>
    <row r="652" spans="1:8" ht="13.8">
      <c r="A652" s="1"/>
      <c r="D652" s="1"/>
      <c r="H652" s="1"/>
    </row>
    <row r="653" spans="1:8" ht="13.8">
      <c r="A653" s="1"/>
      <c r="D653" s="1"/>
      <c r="H653" s="1"/>
    </row>
    <row r="654" spans="1:8" ht="13.8">
      <c r="A654" s="1"/>
      <c r="D654" s="1"/>
      <c r="H654" s="1"/>
    </row>
    <row r="655" spans="1:8" ht="13.8">
      <c r="A655" s="1"/>
      <c r="D655" s="1"/>
      <c r="H655" s="1"/>
    </row>
    <row r="656" spans="1:8" ht="13.8">
      <c r="A656" s="1"/>
      <c r="D656" s="1"/>
      <c r="H656" s="1"/>
    </row>
    <row r="657" spans="1:8" ht="13.8">
      <c r="A657" s="1"/>
      <c r="D657" s="1"/>
      <c r="H657" s="1"/>
    </row>
    <row r="658" spans="1:8" ht="13.8">
      <c r="A658" s="1"/>
      <c r="D658" s="1"/>
      <c r="H658" s="1"/>
    </row>
    <row r="659" spans="1:8" ht="13.8">
      <c r="A659" s="1"/>
      <c r="D659" s="1"/>
      <c r="H659" s="1"/>
    </row>
    <row r="660" spans="1:8" ht="13.8">
      <c r="A660" s="1"/>
      <c r="D660" s="1"/>
      <c r="H660" s="1"/>
    </row>
    <row r="661" spans="1:8" ht="13.8">
      <c r="A661" s="1"/>
      <c r="D661" s="1"/>
      <c r="H661" s="1"/>
    </row>
    <row r="662" spans="1:8" ht="13.8">
      <c r="A662" s="1"/>
      <c r="D662" s="1"/>
      <c r="H662" s="1"/>
    </row>
    <row r="663" spans="1:8" ht="13.8">
      <c r="A663" s="1"/>
      <c r="D663" s="1"/>
      <c r="H663" s="1"/>
    </row>
    <row r="664" spans="1:8" ht="13.8">
      <c r="A664" s="1"/>
      <c r="D664" s="1"/>
      <c r="H664" s="1"/>
    </row>
    <row r="665" spans="1:8" ht="13.8">
      <c r="A665" s="1"/>
      <c r="D665" s="1"/>
      <c r="H665" s="1"/>
    </row>
    <row r="666" spans="1:8" ht="13.8">
      <c r="A666" s="1"/>
      <c r="D666" s="1"/>
      <c r="H666" s="1"/>
    </row>
    <row r="667" spans="1:8" ht="13.8">
      <c r="A667" s="1"/>
      <c r="D667" s="1"/>
      <c r="H667" s="1"/>
    </row>
    <row r="668" spans="1:8" ht="13.8">
      <c r="A668" s="1"/>
      <c r="D668" s="1"/>
      <c r="H668" s="1"/>
    </row>
    <row r="669" spans="1:8" ht="13.8">
      <c r="A669" s="1"/>
      <c r="D669" s="1"/>
      <c r="H669" s="1"/>
    </row>
    <row r="670" spans="1:8" ht="13.8">
      <c r="A670" s="1"/>
      <c r="D670" s="1"/>
      <c r="H670" s="1"/>
    </row>
    <row r="671" spans="1:8" ht="13.8">
      <c r="A671" s="1"/>
      <c r="D671" s="1"/>
      <c r="H671" s="1"/>
    </row>
    <row r="672" spans="1:8" ht="13.8">
      <c r="A672" s="1"/>
      <c r="D672" s="1"/>
      <c r="H672" s="1"/>
    </row>
    <row r="673" spans="1:8" ht="13.8">
      <c r="A673" s="1"/>
      <c r="D673" s="1"/>
      <c r="H673" s="1"/>
    </row>
    <row r="674" spans="1:8" ht="13.8">
      <c r="A674" s="1"/>
      <c r="D674" s="1"/>
      <c r="H674" s="1"/>
    </row>
    <row r="675" spans="1:8" ht="13.8">
      <c r="A675" s="1"/>
      <c r="D675" s="1"/>
      <c r="H675" s="1"/>
    </row>
    <row r="676" spans="1:8" ht="13.8">
      <c r="A676" s="1"/>
      <c r="D676" s="1"/>
      <c r="H676" s="1"/>
    </row>
    <row r="677" spans="1:8" ht="13.8">
      <c r="A677" s="1"/>
      <c r="D677" s="1"/>
      <c r="H677" s="1"/>
    </row>
    <row r="678" spans="1:8" ht="13.8">
      <c r="A678" s="1"/>
      <c r="D678" s="1"/>
      <c r="H678" s="1"/>
    </row>
    <row r="679" spans="1:8" ht="13.8">
      <c r="A679" s="1"/>
      <c r="D679" s="1"/>
      <c r="H679" s="1"/>
    </row>
    <row r="680" spans="1:8" ht="13.8">
      <c r="A680" s="1"/>
      <c r="D680" s="1"/>
      <c r="H680" s="1"/>
    </row>
    <row r="681" spans="1:8" ht="13.8">
      <c r="A681" s="1"/>
      <c r="D681" s="1"/>
      <c r="H681" s="1"/>
    </row>
    <row r="682" spans="1:8" ht="13.8">
      <c r="A682" s="1"/>
      <c r="D682" s="1"/>
      <c r="H682" s="1"/>
    </row>
    <row r="683" spans="1:8" ht="13.8">
      <c r="A683" s="1"/>
      <c r="D683" s="1"/>
      <c r="H683" s="1"/>
    </row>
    <row r="684" spans="1:8" ht="13.8">
      <c r="A684" s="1"/>
      <c r="D684" s="1"/>
      <c r="H684" s="1"/>
    </row>
    <row r="685" spans="1:8" ht="13.8">
      <c r="A685" s="1"/>
      <c r="D685" s="1"/>
      <c r="H685" s="1"/>
    </row>
    <row r="686" spans="1:8" ht="13.8">
      <c r="A686" s="1"/>
      <c r="D686" s="1"/>
      <c r="H686" s="1"/>
    </row>
    <row r="687" spans="1:8" ht="13.8">
      <c r="A687" s="1"/>
      <c r="D687" s="1"/>
      <c r="H687" s="1"/>
    </row>
    <row r="688" spans="1:8" ht="13.8">
      <c r="A688" s="1"/>
      <c r="D688" s="1"/>
      <c r="H688" s="1"/>
    </row>
    <row r="689" spans="1:8" ht="13.8">
      <c r="A689" s="1"/>
      <c r="D689" s="1"/>
      <c r="H689" s="1"/>
    </row>
    <row r="690" spans="1:8" ht="13.8">
      <c r="A690" s="1"/>
      <c r="D690" s="1"/>
      <c r="H690" s="1"/>
    </row>
    <row r="691" spans="1:8" ht="13.8">
      <c r="A691" s="1"/>
      <c r="D691" s="1"/>
      <c r="H691" s="1"/>
    </row>
    <row r="692" spans="1:8" ht="13.8">
      <c r="A692" s="1"/>
      <c r="D692" s="1"/>
      <c r="H692" s="1"/>
    </row>
    <row r="693" spans="1:8" ht="13.8">
      <c r="A693" s="1"/>
      <c r="D693" s="1"/>
      <c r="H693" s="1"/>
    </row>
    <row r="694" spans="1:8" ht="13.8">
      <c r="A694" s="1"/>
      <c r="D694" s="1"/>
      <c r="H694" s="1"/>
    </row>
    <row r="695" spans="1:8" ht="13.8">
      <c r="A695" s="1"/>
      <c r="D695" s="1"/>
      <c r="H695" s="1"/>
    </row>
    <row r="696" spans="1:8" ht="13.8">
      <c r="A696" s="1"/>
      <c r="D696" s="1"/>
      <c r="H696" s="1"/>
    </row>
    <row r="697" spans="1:8" ht="13.8">
      <c r="A697" s="1"/>
      <c r="D697" s="1"/>
      <c r="H697" s="1"/>
    </row>
    <row r="698" spans="1:8" ht="13.8">
      <c r="A698" s="1"/>
      <c r="D698" s="1"/>
      <c r="H698" s="1"/>
    </row>
    <row r="699" spans="1:8" ht="13.8">
      <c r="A699" s="1"/>
      <c r="D699" s="1"/>
      <c r="H699" s="1"/>
    </row>
    <row r="700" spans="1:8" ht="13.8">
      <c r="A700" s="1"/>
      <c r="D700" s="1"/>
      <c r="H700" s="1"/>
    </row>
    <row r="701" spans="1:8" ht="13.8">
      <c r="A701" s="1"/>
      <c r="D701" s="1"/>
      <c r="H701" s="1"/>
    </row>
    <row r="702" spans="1:8" ht="13.8">
      <c r="A702" s="1"/>
      <c r="D702" s="1"/>
      <c r="H702" s="1"/>
    </row>
    <row r="703" spans="1:8" ht="13.8">
      <c r="A703" s="1"/>
      <c r="D703" s="1"/>
      <c r="H703" s="1"/>
    </row>
    <row r="704" spans="1:8" ht="13.8">
      <c r="A704" s="1"/>
      <c r="D704" s="1"/>
      <c r="H704" s="1"/>
    </row>
    <row r="705" spans="1:8" ht="13.8">
      <c r="A705" s="1"/>
      <c r="D705" s="1"/>
      <c r="H705" s="1"/>
    </row>
    <row r="706" spans="1:8" ht="13.8">
      <c r="A706" s="1"/>
      <c r="D706" s="1"/>
      <c r="H706" s="1"/>
    </row>
    <row r="707" spans="1:8" ht="13.8">
      <c r="A707" s="1"/>
      <c r="D707" s="1"/>
      <c r="H707" s="1"/>
    </row>
    <row r="708" spans="1:8" ht="13.8">
      <c r="A708" s="1"/>
      <c r="D708" s="1"/>
      <c r="H708" s="1"/>
    </row>
    <row r="709" spans="1:8" ht="13.8">
      <c r="A709" s="1"/>
      <c r="D709" s="1"/>
      <c r="H709" s="1"/>
    </row>
    <row r="710" spans="1:8" ht="13.8">
      <c r="A710" s="1"/>
      <c r="D710" s="1"/>
      <c r="H710" s="1"/>
    </row>
    <row r="711" spans="1:8" ht="13.8">
      <c r="A711" s="1"/>
      <c r="D711" s="1"/>
      <c r="H711" s="1"/>
    </row>
    <row r="712" spans="1:8" ht="13.8">
      <c r="A712" s="1"/>
      <c r="D712" s="1"/>
      <c r="H712" s="1"/>
    </row>
    <row r="713" spans="1:8" ht="13.8">
      <c r="A713" s="1"/>
      <c r="D713" s="1"/>
      <c r="H713" s="1"/>
    </row>
    <row r="714" spans="1:8" ht="13.8">
      <c r="A714" s="1"/>
      <c r="D714" s="1"/>
      <c r="H714" s="1"/>
    </row>
    <row r="715" spans="1:8" ht="13.8">
      <c r="A715" s="1"/>
      <c r="D715" s="1"/>
      <c r="H715" s="1"/>
    </row>
    <row r="716" spans="1:8" ht="13.8">
      <c r="A716" s="1"/>
      <c r="D716" s="1"/>
      <c r="H716" s="1"/>
    </row>
    <row r="717" spans="1:8" ht="13.8">
      <c r="A717" s="1"/>
      <c r="D717" s="1"/>
      <c r="H717" s="1"/>
    </row>
    <row r="718" spans="1:8" ht="13.8">
      <c r="A718" s="1"/>
      <c r="D718" s="1"/>
      <c r="H718" s="1"/>
    </row>
    <row r="719" spans="1:8" ht="13.8">
      <c r="A719" s="1"/>
      <c r="D719" s="1"/>
      <c r="H719" s="1"/>
    </row>
    <row r="720" spans="1:8" ht="13.8">
      <c r="A720" s="1"/>
      <c r="D720" s="1"/>
      <c r="H720" s="1"/>
    </row>
    <row r="721" spans="1:8" ht="13.8">
      <c r="A721" s="1"/>
      <c r="D721" s="1"/>
      <c r="H721" s="1"/>
    </row>
    <row r="722" spans="1:8" ht="13.8">
      <c r="A722" s="1"/>
      <c r="D722" s="1"/>
      <c r="H722" s="1"/>
    </row>
    <row r="723" spans="1:8" ht="13.8">
      <c r="A723" s="1"/>
      <c r="D723" s="1"/>
      <c r="H723" s="1"/>
    </row>
    <row r="724" spans="1:8" ht="13.8">
      <c r="A724" s="1"/>
      <c r="D724" s="1"/>
      <c r="H724" s="1"/>
    </row>
    <row r="725" spans="1:8" ht="13.8">
      <c r="A725" s="1"/>
      <c r="D725" s="1"/>
      <c r="H725" s="1"/>
    </row>
    <row r="726" spans="1:8" ht="13.8">
      <c r="A726" s="1"/>
      <c r="D726" s="1"/>
      <c r="H726" s="1"/>
    </row>
    <row r="727" spans="1:8" ht="13.8">
      <c r="A727" s="1"/>
      <c r="D727" s="1"/>
      <c r="H727" s="1"/>
    </row>
    <row r="728" spans="1:8" ht="13.8">
      <c r="A728" s="1"/>
      <c r="D728" s="1"/>
      <c r="H728" s="1"/>
    </row>
    <row r="729" spans="1:8" ht="13.8">
      <c r="A729" s="1"/>
      <c r="D729" s="1"/>
      <c r="H729" s="1"/>
    </row>
    <row r="730" spans="1:8" ht="13.8">
      <c r="A730" s="1"/>
      <c r="D730" s="1"/>
      <c r="H730" s="1"/>
    </row>
    <row r="731" spans="1:8" ht="13.8">
      <c r="A731" s="1"/>
      <c r="D731" s="1"/>
      <c r="H731" s="1"/>
    </row>
    <row r="732" spans="1:8" ht="13.8">
      <c r="A732" s="1"/>
      <c r="D732" s="1"/>
      <c r="H732" s="1"/>
    </row>
    <row r="733" spans="1:8" ht="13.8">
      <c r="A733" s="1"/>
      <c r="D733" s="1"/>
      <c r="H733" s="1"/>
    </row>
    <row r="734" spans="1:8" ht="13.8">
      <c r="A734" s="1"/>
      <c r="D734" s="1"/>
      <c r="H734" s="1"/>
    </row>
    <row r="735" spans="1:8" ht="13.8">
      <c r="A735" s="1"/>
      <c r="D735" s="1"/>
      <c r="H735" s="1"/>
    </row>
    <row r="736" spans="1:8" ht="13.8">
      <c r="A736" s="1"/>
      <c r="D736" s="1"/>
      <c r="H736" s="1"/>
    </row>
    <row r="737" spans="1:8" ht="13.8">
      <c r="A737" s="1"/>
      <c r="D737" s="1"/>
      <c r="H737" s="1"/>
    </row>
    <row r="738" spans="1:8" ht="13.8">
      <c r="A738" s="1"/>
      <c r="D738" s="1"/>
      <c r="H738" s="1"/>
    </row>
    <row r="739" spans="1:8" ht="13.8">
      <c r="A739" s="1"/>
      <c r="D739" s="1"/>
      <c r="H739" s="1"/>
    </row>
    <row r="740" spans="1:8" ht="13.8">
      <c r="A740" s="1"/>
      <c r="D740" s="1"/>
      <c r="H740" s="1"/>
    </row>
    <row r="741" spans="1:8" ht="13.8">
      <c r="A741" s="1"/>
      <c r="D741" s="1"/>
      <c r="H741" s="1"/>
    </row>
    <row r="742" spans="1:8" ht="13.8">
      <c r="A742" s="1"/>
      <c r="D742" s="1"/>
      <c r="H742" s="1"/>
    </row>
    <row r="743" spans="1:8" ht="13.8">
      <c r="A743" s="1"/>
      <c r="D743" s="1"/>
      <c r="H743" s="1"/>
    </row>
    <row r="744" spans="1:8" ht="13.8">
      <c r="A744" s="1"/>
      <c r="D744" s="1"/>
      <c r="H744" s="1"/>
    </row>
    <row r="745" spans="1:8" ht="13.8">
      <c r="A745" s="1"/>
      <c r="D745" s="1"/>
      <c r="H745" s="1"/>
    </row>
    <row r="746" spans="1:8" ht="13.8">
      <c r="A746" s="1"/>
      <c r="D746" s="1"/>
      <c r="H746" s="1"/>
    </row>
    <row r="747" spans="1:8" ht="13.8">
      <c r="A747" s="1"/>
      <c r="D747" s="1"/>
      <c r="H747" s="1"/>
    </row>
    <row r="748" spans="1:8" ht="13.8">
      <c r="A748" s="1"/>
      <c r="D748" s="1"/>
      <c r="H748" s="1"/>
    </row>
    <row r="749" spans="1:8" ht="13.8">
      <c r="A749" s="1"/>
      <c r="D749" s="1"/>
      <c r="H749" s="1"/>
    </row>
    <row r="750" spans="1:8" ht="13.8">
      <c r="A750" s="1"/>
      <c r="D750" s="1"/>
      <c r="H750" s="1"/>
    </row>
    <row r="751" spans="1:8" ht="13.8">
      <c r="A751" s="1"/>
      <c r="D751" s="1"/>
      <c r="H751" s="1"/>
    </row>
    <row r="752" spans="1:8" ht="13.8">
      <c r="A752" s="1"/>
      <c r="D752" s="1"/>
      <c r="H752" s="1"/>
    </row>
    <row r="753" spans="1:8" ht="13.8">
      <c r="A753" s="1"/>
      <c r="D753" s="1"/>
      <c r="H753" s="1"/>
    </row>
    <row r="754" spans="1:8" ht="13.8">
      <c r="A754" s="1"/>
      <c r="D754" s="1"/>
      <c r="H754" s="1"/>
    </row>
    <row r="755" spans="1:8" ht="13.8">
      <c r="A755" s="1"/>
      <c r="D755" s="1"/>
      <c r="H755" s="1"/>
    </row>
    <row r="756" spans="1:8" ht="13.8">
      <c r="A756" s="1"/>
      <c r="D756" s="1"/>
      <c r="H756" s="1"/>
    </row>
    <row r="757" spans="1:8" ht="13.8">
      <c r="A757" s="1"/>
      <c r="D757" s="1"/>
      <c r="H757" s="1"/>
    </row>
    <row r="758" spans="1:8" ht="13.8">
      <c r="A758" s="1"/>
      <c r="D758" s="1"/>
      <c r="H758" s="1"/>
    </row>
    <row r="759" spans="1:8" ht="13.8">
      <c r="A759" s="1"/>
      <c r="D759" s="1"/>
      <c r="H759" s="1"/>
    </row>
    <row r="760" spans="1:8" ht="13.8">
      <c r="A760" s="1"/>
      <c r="D760" s="1"/>
      <c r="H760" s="1"/>
    </row>
    <row r="761" spans="1:8" ht="13.8">
      <c r="A761" s="1"/>
      <c r="D761" s="1"/>
      <c r="H761" s="1"/>
    </row>
    <row r="762" spans="1:8" ht="13.8">
      <c r="A762" s="1"/>
      <c r="D762" s="1"/>
      <c r="H762" s="1"/>
    </row>
    <row r="763" spans="1:8" ht="13.8">
      <c r="A763" s="1"/>
      <c r="D763" s="1"/>
      <c r="H763" s="1"/>
    </row>
    <row r="764" spans="1:8" ht="13.8">
      <c r="A764" s="1"/>
      <c r="D764" s="1"/>
      <c r="H764" s="1"/>
    </row>
    <row r="765" spans="1:8" ht="13.8">
      <c r="A765" s="1"/>
      <c r="D765" s="1"/>
      <c r="H765" s="1"/>
    </row>
    <row r="766" spans="1:8" ht="13.8">
      <c r="A766" s="1"/>
      <c r="D766" s="1"/>
      <c r="H766" s="1"/>
    </row>
    <row r="767" spans="1:8" ht="13.8">
      <c r="A767" s="1"/>
      <c r="D767" s="1"/>
      <c r="H767" s="1"/>
    </row>
    <row r="768" spans="1:8" ht="13.8">
      <c r="A768" s="1"/>
      <c r="D768" s="1"/>
      <c r="H768" s="1"/>
    </row>
    <row r="769" spans="1:8" ht="13.8">
      <c r="A769" s="1"/>
      <c r="D769" s="1"/>
      <c r="H769" s="1"/>
    </row>
    <row r="770" spans="1:8" ht="13.8">
      <c r="A770" s="1"/>
      <c r="D770" s="1"/>
      <c r="H770" s="1"/>
    </row>
    <row r="771" spans="1:8" ht="13.8">
      <c r="A771" s="1"/>
      <c r="D771" s="1"/>
      <c r="H771" s="1"/>
    </row>
    <row r="772" spans="1:8" ht="13.8">
      <c r="A772" s="1"/>
      <c r="D772" s="1"/>
      <c r="H772" s="1"/>
    </row>
    <row r="773" spans="1:8" ht="13.8">
      <c r="A773" s="1"/>
      <c r="D773" s="1"/>
      <c r="H773" s="1"/>
    </row>
    <row r="774" spans="1:8" ht="13.8">
      <c r="A774" s="1"/>
      <c r="D774" s="1"/>
      <c r="H774" s="1"/>
    </row>
    <row r="775" spans="1:8" ht="13.8">
      <c r="A775" s="1"/>
      <c r="D775" s="1"/>
      <c r="H775" s="1"/>
    </row>
    <row r="776" spans="1:8" ht="13.8">
      <c r="A776" s="1"/>
      <c r="D776" s="1"/>
      <c r="H776" s="1"/>
    </row>
    <row r="777" spans="1:8" ht="13.8">
      <c r="A777" s="1"/>
      <c r="D777" s="1"/>
      <c r="H777" s="1"/>
    </row>
    <row r="778" spans="1:8" ht="13.8">
      <c r="A778" s="1"/>
      <c r="D778" s="1"/>
      <c r="H778" s="1"/>
    </row>
    <row r="779" spans="1:8" ht="13.8">
      <c r="A779" s="1"/>
      <c r="D779" s="1"/>
      <c r="H779" s="1"/>
    </row>
    <row r="780" spans="1:8" ht="13.8">
      <c r="A780" s="1"/>
      <c r="D780" s="1"/>
      <c r="H780" s="1"/>
    </row>
    <row r="781" spans="1:8" ht="13.8">
      <c r="A781" s="1"/>
      <c r="D781" s="1"/>
      <c r="H781" s="1"/>
    </row>
    <row r="782" spans="1:8" ht="13.8">
      <c r="A782" s="1"/>
      <c r="D782" s="1"/>
      <c r="H782" s="1"/>
    </row>
    <row r="783" spans="1:8" ht="13.8">
      <c r="A783" s="1"/>
      <c r="D783" s="1"/>
      <c r="H783" s="1"/>
    </row>
    <row r="784" spans="1:8" ht="13.8">
      <c r="A784" s="1"/>
      <c r="D784" s="1"/>
      <c r="H784" s="1"/>
    </row>
    <row r="785" spans="1:8" ht="13.8">
      <c r="A785" s="1"/>
      <c r="D785" s="1"/>
      <c r="H785" s="1"/>
    </row>
    <row r="786" spans="1:8" ht="13.8">
      <c r="A786" s="1"/>
      <c r="D786" s="1"/>
      <c r="H786" s="1"/>
    </row>
    <row r="787" spans="1:8" ht="13.8">
      <c r="A787" s="1"/>
      <c r="D787" s="1"/>
      <c r="H787" s="1"/>
    </row>
    <row r="788" spans="1:8" ht="13.8">
      <c r="A788" s="1"/>
      <c r="D788" s="1"/>
      <c r="H788" s="1"/>
    </row>
    <row r="789" spans="1:8" ht="13.8">
      <c r="A789" s="1"/>
      <c r="D789" s="1"/>
      <c r="H789" s="1"/>
    </row>
    <row r="790" spans="1:8" ht="13.8">
      <c r="A790" s="1"/>
      <c r="D790" s="1"/>
      <c r="H790" s="1"/>
    </row>
    <row r="791" spans="1:8" ht="13.8">
      <c r="A791" s="1"/>
      <c r="D791" s="1"/>
      <c r="H791" s="1"/>
    </row>
    <row r="792" spans="1:8" ht="13.8">
      <c r="A792" s="1"/>
      <c r="D792" s="1"/>
      <c r="H792" s="1"/>
    </row>
    <row r="793" spans="1:8" ht="13.8">
      <c r="A793" s="1"/>
      <c r="D793" s="1"/>
      <c r="H793" s="1"/>
    </row>
    <row r="794" spans="1:8" ht="13.8">
      <c r="A794" s="1"/>
      <c r="D794" s="1"/>
      <c r="H794" s="1"/>
    </row>
    <row r="795" spans="1:8" ht="13.8">
      <c r="A795" s="1"/>
      <c r="D795" s="1"/>
      <c r="H795" s="1"/>
    </row>
    <row r="796" spans="1:8" ht="13.8">
      <c r="A796" s="1"/>
      <c r="D796" s="1"/>
      <c r="H796" s="1"/>
    </row>
    <row r="797" spans="1:8" ht="13.8">
      <c r="A797" s="1"/>
      <c r="D797" s="1"/>
      <c r="H797" s="1"/>
    </row>
    <row r="798" spans="1:8" ht="13.8">
      <c r="A798" s="1"/>
      <c r="D798" s="1"/>
      <c r="H798" s="1"/>
    </row>
    <row r="799" spans="1:8" ht="13.8">
      <c r="A799" s="1"/>
      <c r="D799" s="1"/>
      <c r="H799" s="1"/>
    </row>
    <row r="800" spans="1:8" ht="13.8">
      <c r="A800" s="1"/>
      <c r="D800" s="1"/>
      <c r="H800" s="1"/>
    </row>
    <row r="801" spans="1:8" ht="13.8">
      <c r="A801" s="1"/>
      <c r="D801" s="1"/>
      <c r="H801" s="1"/>
    </row>
    <row r="802" spans="1:8" ht="13.8">
      <c r="A802" s="1"/>
      <c r="D802" s="1"/>
      <c r="H802" s="1"/>
    </row>
    <row r="803" spans="1:8" ht="13.8">
      <c r="A803" s="1"/>
      <c r="D803" s="1"/>
      <c r="H803" s="1"/>
    </row>
    <row r="804" spans="1:8" ht="13.8">
      <c r="A804" s="1"/>
      <c r="D804" s="1"/>
      <c r="H804" s="1"/>
    </row>
    <row r="805" spans="1:8" ht="13.8">
      <c r="A805" s="1"/>
      <c r="D805" s="1"/>
      <c r="H805" s="1"/>
    </row>
    <row r="806" spans="1:8" ht="13.8">
      <c r="A806" s="1"/>
      <c r="D806" s="1"/>
      <c r="H806" s="1"/>
    </row>
    <row r="807" spans="1:8" ht="13.8">
      <c r="A807" s="1"/>
      <c r="D807" s="1"/>
      <c r="H807" s="1"/>
    </row>
    <row r="808" spans="1:8" ht="13.8">
      <c r="A808" s="1"/>
      <c r="D808" s="1"/>
      <c r="H808" s="1"/>
    </row>
    <row r="809" spans="1:8" ht="13.8">
      <c r="A809" s="1"/>
      <c r="D809" s="1"/>
      <c r="H809" s="1"/>
    </row>
    <row r="810" spans="1:8" ht="13.8">
      <c r="A810" s="1"/>
      <c r="D810" s="1"/>
      <c r="H810" s="1"/>
    </row>
    <row r="811" spans="1:8" ht="13.8">
      <c r="A811" s="1"/>
      <c r="D811" s="1"/>
      <c r="H811" s="1"/>
    </row>
    <row r="812" spans="1:8" ht="13.8">
      <c r="A812" s="1"/>
      <c r="D812" s="1"/>
      <c r="H812" s="1"/>
    </row>
    <row r="813" spans="1:8" ht="13.8">
      <c r="A813" s="1"/>
      <c r="D813" s="1"/>
      <c r="H813" s="1"/>
    </row>
    <row r="814" spans="1:8" ht="13.8">
      <c r="A814" s="1"/>
      <c r="D814" s="1"/>
      <c r="H814" s="1"/>
    </row>
    <row r="815" spans="1:8" ht="13.8">
      <c r="A815" s="1"/>
      <c r="D815" s="1"/>
      <c r="H815" s="1"/>
    </row>
    <row r="816" spans="1:8" ht="13.8">
      <c r="A816" s="1"/>
      <c r="D816" s="1"/>
      <c r="H816" s="1"/>
    </row>
    <row r="817" spans="1:8" ht="13.8">
      <c r="A817" s="1"/>
      <c r="D817" s="1"/>
      <c r="H817" s="1"/>
    </row>
    <row r="818" spans="1:8" ht="13.8">
      <c r="A818" s="1"/>
      <c r="D818" s="1"/>
      <c r="H818" s="1"/>
    </row>
    <row r="819" spans="1:8" ht="13.8">
      <c r="A819" s="1"/>
      <c r="D819" s="1"/>
      <c r="H819" s="1"/>
    </row>
    <row r="820" spans="1:8" ht="13.8">
      <c r="A820" s="1"/>
      <c r="D820" s="1"/>
      <c r="H820" s="1"/>
    </row>
    <row r="821" spans="1:8" ht="13.8">
      <c r="A821" s="1"/>
      <c r="D821" s="1"/>
      <c r="H821" s="1"/>
    </row>
    <row r="822" spans="1:8" ht="13.8">
      <c r="A822" s="1"/>
      <c r="D822" s="1"/>
      <c r="H822" s="1"/>
    </row>
    <row r="823" spans="1:8" ht="13.8">
      <c r="A823" s="1"/>
      <c r="D823" s="1"/>
      <c r="H823" s="1"/>
    </row>
    <row r="824" spans="1:8" ht="13.8">
      <c r="A824" s="1"/>
      <c r="D824" s="1"/>
      <c r="H824" s="1"/>
    </row>
    <row r="825" spans="1:8" ht="13.8">
      <c r="A825" s="1"/>
      <c r="D825" s="1"/>
      <c r="H825" s="1"/>
    </row>
    <row r="826" spans="1:8" ht="13.8">
      <c r="A826" s="1"/>
      <c r="D826" s="1"/>
      <c r="H826" s="1"/>
    </row>
    <row r="827" spans="1:8" ht="13.8">
      <c r="A827" s="1"/>
      <c r="D827" s="1"/>
      <c r="H827" s="1"/>
    </row>
    <row r="828" spans="1:8" ht="13.8">
      <c r="A828" s="1"/>
      <c r="D828" s="1"/>
      <c r="H828" s="1"/>
    </row>
    <row r="829" spans="1:8" ht="13.8">
      <c r="A829" s="1"/>
      <c r="D829" s="1"/>
      <c r="H829" s="1"/>
    </row>
    <row r="830" spans="1:8" ht="13.8">
      <c r="A830" s="1"/>
      <c r="D830" s="1"/>
      <c r="H830" s="1"/>
    </row>
    <row r="831" spans="1:8" ht="13.8">
      <c r="A831" s="1"/>
      <c r="D831" s="1"/>
      <c r="H831" s="1"/>
    </row>
    <row r="832" spans="1:8" ht="13.8">
      <c r="A832" s="1"/>
      <c r="D832" s="1"/>
      <c r="H832" s="1"/>
    </row>
    <row r="833" spans="1:8" ht="13.8">
      <c r="A833" s="1"/>
      <c r="D833" s="1"/>
      <c r="H833" s="1"/>
    </row>
    <row r="834" spans="1:8" ht="13.8">
      <c r="A834" s="1"/>
      <c r="D834" s="1"/>
      <c r="H834" s="1"/>
    </row>
    <row r="835" spans="1:8" ht="13.8">
      <c r="A835" s="1"/>
      <c r="D835" s="1"/>
      <c r="H835" s="1"/>
    </row>
    <row r="836" spans="1:8" ht="13.8">
      <c r="A836" s="1"/>
      <c r="D836" s="1"/>
      <c r="H836" s="1"/>
    </row>
    <row r="837" spans="1:8" ht="13.8">
      <c r="A837" s="1"/>
      <c r="D837" s="1"/>
      <c r="H837" s="1"/>
    </row>
    <row r="838" spans="1:8" ht="13.8">
      <c r="A838" s="1"/>
      <c r="D838" s="1"/>
      <c r="H838" s="1"/>
    </row>
    <row r="839" spans="1:8" ht="13.8">
      <c r="A839" s="1"/>
      <c r="D839" s="1"/>
      <c r="H839" s="1"/>
    </row>
    <row r="840" spans="1:8" ht="13.8">
      <c r="A840" s="1"/>
      <c r="D840" s="1"/>
      <c r="H840" s="1"/>
    </row>
    <row r="841" spans="1:8" ht="13.8">
      <c r="A841" s="1"/>
      <c r="D841" s="1"/>
      <c r="H841" s="1"/>
    </row>
    <row r="842" spans="1:8" ht="13.8">
      <c r="A842" s="1"/>
      <c r="D842" s="1"/>
      <c r="H842" s="1"/>
    </row>
    <row r="843" spans="1:8" ht="13.8">
      <c r="A843" s="1"/>
      <c r="D843" s="1"/>
      <c r="H843" s="1"/>
    </row>
    <row r="844" spans="1:8" ht="13.8">
      <c r="A844" s="1"/>
      <c r="D844" s="1"/>
      <c r="H844" s="1"/>
    </row>
    <row r="845" spans="1:8" ht="13.8">
      <c r="A845" s="1"/>
      <c r="D845" s="1"/>
      <c r="H845" s="1"/>
    </row>
    <row r="846" spans="1:8" ht="13.8">
      <c r="A846" s="1"/>
      <c r="D846" s="1"/>
      <c r="H846" s="1"/>
    </row>
    <row r="847" spans="1:8" ht="13.8">
      <c r="A847" s="1"/>
      <c r="D847" s="1"/>
      <c r="H847" s="1"/>
    </row>
    <row r="848" spans="1:8" ht="13.8">
      <c r="A848" s="1"/>
      <c r="D848" s="1"/>
      <c r="H848" s="1"/>
    </row>
    <row r="849" spans="1:8" ht="13.8">
      <c r="A849" s="1"/>
      <c r="D849" s="1"/>
      <c r="H849" s="1"/>
    </row>
    <row r="850" spans="1:8" ht="13.8">
      <c r="A850" s="1"/>
      <c r="D850" s="1"/>
      <c r="H850" s="1"/>
    </row>
    <row r="851" spans="1:8" ht="13.8">
      <c r="A851" s="1"/>
      <c r="D851" s="1"/>
      <c r="H851" s="1"/>
    </row>
    <row r="852" spans="1:8" ht="13.8">
      <c r="A852" s="1"/>
      <c r="D852" s="1"/>
      <c r="H852" s="1"/>
    </row>
    <row r="853" spans="1:8" ht="13.8">
      <c r="A853" s="1"/>
      <c r="D853" s="1"/>
      <c r="H853" s="1"/>
    </row>
    <row r="854" spans="1:8" ht="13.8">
      <c r="A854" s="1"/>
      <c r="D854" s="1"/>
      <c r="H854" s="1"/>
    </row>
    <row r="855" spans="1:8" ht="13.8">
      <c r="A855" s="1"/>
      <c r="D855" s="1"/>
      <c r="H855" s="1"/>
    </row>
    <row r="856" spans="1:8" ht="13.8">
      <c r="A856" s="1"/>
      <c r="D856" s="1"/>
      <c r="H856" s="1"/>
    </row>
    <row r="857" spans="1:8" ht="13.8">
      <c r="A857" s="1"/>
      <c r="D857" s="1"/>
      <c r="H857" s="1"/>
    </row>
    <row r="858" spans="1:8" ht="13.8">
      <c r="A858" s="1"/>
      <c r="D858" s="1"/>
      <c r="H858" s="1"/>
    </row>
    <row r="859" spans="1:8" ht="13.8">
      <c r="A859" s="1"/>
      <c r="D859" s="1"/>
      <c r="H859" s="1"/>
    </row>
    <row r="860" spans="1:8" ht="13.8">
      <c r="A860" s="1"/>
      <c r="D860" s="1"/>
      <c r="H860" s="1"/>
    </row>
    <row r="861" spans="1:8" ht="13.8">
      <c r="A861" s="1"/>
      <c r="D861" s="1"/>
      <c r="H861" s="1"/>
    </row>
    <row r="862" spans="1:8" ht="13.8">
      <c r="A862" s="1"/>
      <c r="D862" s="1"/>
      <c r="H862" s="1"/>
    </row>
    <row r="863" spans="1:8" ht="13.8">
      <c r="A863" s="1"/>
      <c r="D863" s="1"/>
      <c r="H863" s="1"/>
    </row>
    <row r="864" spans="1:8" ht="13.8">
      <c r="A864" s="1"/>
      <c r="D864" s="1"/>
      <c r="H864" s="1"/>
    </row>
    <row r="865" spans="1:8" ht="13.8">
      <c r="A865" s="1"/>
      <c r="D865" s="1"/>
      <c r="H865" s="1"/>
    </row>
    <row r="866" spans="1:8" ht="13.8">
      <c r="A866" s="1"/>
      <c r="D866" s="1"/>
      <c r="H866" s="1"/>
    </row>
    <row r="867" spans="1:8" ht="13.8">
      <c r="A867" s="1"/>
      <c r="D867" s="1"/>
      <c r="H867" s="1"/>
    </row>
    <row r="868" spans="1:8" ht="13.8">
      <c r="A868" s="1"/>
      <c r="D868" s="1"/>
      <c r="H868" s="1"/>
    </row>
    <row r="869" spans="1:8" ht="13.8">
      <c r="A869" s="1"/>
      <c r="D869" s="1"/>
      <c r="H869" s="1"/>
    </row>
    <row r="870" spans="1:8" ht="13.8">
      <c r="A870" s="1"/>
      <c r="D870" s="1"/>
      <c r="H870" s="1"/>
    </row>
    <row r="871" spans="1:8" ht="13.8">
      <c r="A871" s="1"/>
      <c r="D871" s="1"/>
      <c r="H871" s="1"/>
    </row>
    <row r="872" spans="1:8" ht="13.8">
      <c r="A872" s="1"/>
      <c r="D872" s="1"/>
      <c r="H872" s="1"/>
    </row>
    <row r="873" spans="1:8" ht="13.8">
      <c r="A873" s="1"/>
      <c r="D873" s="1"/>
      <c r="H873" s="1"/>
    </row>
    <row r="874" spans="1:8" ht="13.8">
      <c r="A874" s="1"/>
      <c r="D874" s="1"/>
      <c r="H874" s="1"/>
    </row>
    <row r="875" spans="1:8" ht="13.8">
      <c r="A875" s="1"/>
      <c r="D875" s="1"/>
      <c r="H875" s="1"/>
    </row>
    <row r="876" spans="1:8" ht="13.8">
      <c r="A876" s="1"/>
      <c r="D876" s="1"/>
      <c r="H876" s="1"/>
    </row>
    <row r="877" spans="1:8" ht="13.8">
      <c r="A877" s="1"/>
      <c r="D877" s="1"/>
      <c r="H877" s="1"/>
    </row>
    <row r="878" spans="1:8" ht="13.8">
      <c r="A878" s="1"/>
      <c r="D878" s="1"/>
      <c r="H878" s="1"/>
    </row>
    <row r="879" spans="1:8" ht="13.8">
      <c r="A879" s="1"/>
      <c r="D879" s="1"/>
      <c r="H879" s="1"/>
    </row>
    <row r="880" spans="1:8" ht="13.8">
      <c r="A880" s="1"/>
      <c r="D880" s="1"/>
      <c r="H880" s="1"/>
    </row>
    <row r="881" spans="1:8" ht="13.8">
      <c r="A881" s="1"/>
      <c r="D881" s="1"/>
      <c r="H881" s="1"/>
    </row>
    <row r="882" spans="1:8" ht="13.8">
      <c r="A882" s="1"/>
      <c r="D882" s="1"/>
      <c r="H882" s="1"/>
    </row>
    <row r="883" spans="1:8" ht="13.8">
      <c r="A883" s="1"/>
      <c r="D883" s="1"/>
      <c r="H883" s="1"/>
    </row>
    <row r="884" spans="1:8" ht="13.8">
      <c r="A884" s="1"/>
      <c r="D884" s="1"/>
      <c r="H884" s="1"/>
    </row>
    <row r="885" spans="1:8" ht="13.8">
      <c r="A885" s="1"/>
      <c r="D885" s="1"/>
      <c r="H885" s="1"/>
    </row>
    <row r="886" spans="1:8" ht="13.8">
      <c r="A886" s="1"/>
      <c r="D886" s="1"/>
      <c r="H886" s="1"/>
    </row>
    <row r="887" spans="1:8" ht="13.8">
      <c r="A887" s="1"/>
      <c r="D887" s="1"/>
      <c r="H887" s="1"/>
    </row>
    <row r="888" spans="1:8" ht="13.8">
      <c r="A888" s="1"/>
      <c r="D888" s="1"/>
      <c r="H888" s="1"/>
    </row>
    <row r="889" spans="1:8" ht="13.8">
      <c r="A889" s="1"/>
      <c r="D889" s="1"/>
      <c r="H889" s="1"/>
    </row>
    <row r="890" spans="1:8" ht="13.8">
      <c r="A890" s="1"/>
      <c r="D890" s="1"/>
      <c r="H890" s="1"/>
    </row>
    <row r="891" spans="1:8" ht="13.8">
      <c r="A891" s="1"/>
      <c r="D891" s="1"/>
      <c r="H891" s="1"/>
    </row>
    <row r="892" spans="1:8" ht="13.8">
      <c r="A892" s="1"/>
      <c r="D892" s="1"/>
      <c r="H892" s="1"/>
    </row>
    <row r="893" spans="1:8" ht="13.8">
      <c r="A893" s="1"/>
      <c r="D893" s="1"/>
      <c r="H893" s="1"/>
    </row>
    <row r="894" spans="1:8" ht="13.8">
      <c r="A894" s="1"/>
      <c r="D894" s="1"/>
      <c r="H894" s="1"/>
    </row>
    <row r="895" spans="1:8" ht="13.8">
      <c r="A895" s="1"/>
      <c r="D895" s="1"/>
      <c r="H895" s="1"/>
    </row>
    <row r="896" spans="1:8" ht="13.8">
      <c r="A896" s="1"/>
      <c r="D896" s="1"/>
      <c r="H896" s="1"/>
    </row>
    <row r="897" spans="1:8" ht="13.8">
      <c r="A897" s="1"/>
      <c r="D897" s="1"/>
      <c r="H897" s="1"/>
    </row>
    <row r="898" spans="1:8" ht="13.8">
      <c r="A898" s="1"/>
      <c r="D898" s="1"/>
      <c r="H898" s="1"/>
    </row>
    <row r="899" spans="1:8" ht="13.8">
      <c r="A899" s="1"/>
      <c r="D899" s="1"/>
      <c r="H899" s="1"/>
    </row>
    <row r="900" spans="1:8" ht="13.8">
      <c r="A900" s="1"/>
      <c r="D900" s="1"/>
      <c r="H900" s="1"/>
    </row>
    <row r="901" spans="1:8" ht="13.8">
      <c r="A901" s="1"/>
      <c r="D901" s="1"/>
      <c r="H901" s="1"/>
    </row>
    <row r="902" spans="1:8" ht="13.8">
      <c r="A902" s="1"/>
      <c r="D902" s="1"/>
      <c r="H902" s="1"/>
    </row>
    <row r="903" spans="1:8" ht="13.8">
      <c r="A903" s="1"/>
      <c r="D903" s="1"/>
      <c r="H903" s="1"/>
    </row>
    <row r="904" spans="1:8" ht="13.8">
      <c r="A904" s="1"/>
      <c r="D904" s="1"/>
      <c r="H904" s="1"/>
    </row>
    <row r="905" spans="1:8" ht="13.8">
      <c r="A905" s="1"/>
      <c r="D905" s="1"/>
      <c r="H905" s="1"/>
    </row>
    <row r="906" spans="1:8" ht="13.8">
      <c r="A906" s="1"/>
      <c r="D906" s="1"/>
      <c r="H906" s="1"/>
    </row>
    <row r="907" spans="1:8" ht="13.8">
      <c r="A907" s="1"/>
      <c r="D907" s="1"/>
      <c r="H907" s="1"/>
    </row>
    <row r="908" spans="1:8" ht="13.8">
      <c r="A908" s="1"/>
      <c r="D908" s="1"/>
      <c r="H908" s="1"/>
    </row>
    <row r="909" spans="1:8" ht="13.8">
      <c r="A909" s="1"/>
      <c r="D909" s="1"/>
      <c r="H909" s="1"/>
    </row>
    <row r="910" spans="1:8" ht="13.8">
      <c r="A910" s="1"/>
      <c r="D910" s="1"/>
      <c r="H910" s="1"/>
    </row>
    <row r="911" spans="1:8" ht="13.8">
      <c r="A911" s="1"/>
      <c r="D911" s="1"/>
      <c r="H911" s="1"/>
    </row>
    <row r="912" spans="1:8" ht="13.8">
      <c r="A912" s="1"/>
      <c r="D912" s="1"/>
      <c r="H912" s="1"/>
    </row>
    <row r="913" spans="1:8" ht="13.8">
      <c r="A913" s="1"/>
      <c r="D913" s="1"/>
      <c r="H913" s="1"/>
    </row>
    <row r="914" spans="1:8" ht="13.8">
      <c r="A914" s="1"/>
      <c r="D914" s="1"/>
      <c r="H914" s="1"/>
    </row>
    <row r="915" spans="1:8" ht="13.8">
      <c r="A915" s="1"/>
      <c r="D915" s="1"/>
      <c r="H915" s="1"/>
    </row>
    <row r="916" spans="1:8" ht="13.8">
      <c r="A916" s="1"/>
      <c r="D916" s="1"/>
      <c r="H916" s="1"/>
    </row>
    <row r="917" spans="1:8" ht="13.8">
      <c r="A917" s="1"/>
      <c r="D917" s="1"/>
      <c r="H917" s="1"/>
    </row>
    <row r="918" spans="1:8" ht="13.8">
      <c r="A918" s="1"/>
      <c r="D918" s="1"/>
      <c r="H918" s="1"/>
    </row>
    <row r="919" spans="1:8" ht="13.8">
      <c r="A919" s="1"/>
      <c r="D919" s="1"/>
      <c r="H919" s="1"/>
    </row>
    <row r="920" spans="1:8" ht="13.8">
      <c r="A920" s="1"/>
      <c r="D920" s="1"/>
      <c r="H920" s="1"/>
    </row>
    <row r="921" spans="1:8" ht="13.8">
      <c r="A921" s="1"/>
      <c r="D921" s="1"/>
      <c r="H921" s="1"/>
    </row>
    <row r="922" spans="1:8" ht="13.8">
      <c r="A922" s="1"/>
      <c r="D922" s="1"/>
      <c r="H922" s="1"/>
    </row>
    <row r="923" spans="1:8" ht="13.8">
      <c r="A923" s="1"/>
      <c r="D923" s="1"/>
      <c r="H923" s="1"/>
    </row>
    <row r="924" spans="1:8" ht="13.8">
      <c r="A924" s="1"/>
      <c r="D924" s="1"/>
      <c r="H924" s="1"/>
    </row>
    <row r="925" spans="1:8" ht="13.8">
      <c r="A925" s="1"/>
      <c r="D925" s="1"/>
      <c r="H925" s="1"/>
    </row>
    <row r="926" spans="1:8" ht="13.8">
      <c r="A926" s="1"/>
      <c r="D926" s="1"/>
      <c r="H926" s="1"/>
    </row>
    <row r="927" spans="1:8" ht="13.8">
      <c r="A927" s="1"/>
      <c r="D927" s="1"/>
      <c r="H927" s="1"/>
    </row>
    <row r="928" spans="1:8" ht="13.8">
      <c r="A928" s="1"/>
      <c r="D928" s="1"/>
      <c r="H928" s="1"/>
    </row>
    <row r="929" spans="1:8" ht="13.8">
      <c r="A929" s="1"/>
      <c r="D929" s="1"/>
      <c r="H929" s="1"/>
    </row>
    <row r="930" spans="1:8" ht="13.8">
      <c r="A930" s="1"/>
      <c r="D930" s="1"/>
      <c r="H930" s="1"/>
    </row>
    <row r="931" spans="1:8" ht="13.8">
      <c r="A931" s="1"/>
      <c r="D931" s="1"/>
      <c r="H931" s="1"/>
    </row>
    <row r="932" spans="1:8" ht="13.8">
      <c r="A932" s="1"/>
      <c r="D932" s="1"/>
      <c r="H932" s="1"/>
    </row>
    <row r="933" spans="1:8" ht="13.8">
      <c r="A933" s="1"/>
      <c r="D933" s="1"/>
      <c r="H933" s="1"/>
    </row>
    <row r="934" spans="1:8" ht="13.8">
      <c r="A934" s="1"/>
      <c r="D934" s="1"/>
      <c r="H934" s="1"/>
    </row>
    <row r="935" spans="1:8" ht="13.8">
      <c r="A935" s="1"/>
      <c r="D935" s="1"/>
      <c r="H935" s="1"/>
    </row>
    <row r="936" spans="1:8" ht="13.8">
      <c r="A936" s="1"/>
      <c r="D936" s="1"/>
      <c r="H936" s="1"/>
    </row>
    <row r="937" spans="1:8" ht="13.8">
      <c r="A937" s="1"/>
      <c r="D937" s="1"/>
      <c r="H937" s="1"/>
    </row>
    <row r="938" spans="1:8" ht="13.8">
      <c r="A938" s="1"/>
      <c r="D938" s="1"/>
      <c r="H938" s="1"/>
    </row>
    <row r="939" spans="1:8" ht="13.8">
      <c r="A939" s="1"/>
      <c r="D939" s="1"/>
      <c r="H939" s="1"/>
    </row>
    <row r="940" spans="1:8" ht="13.8">
      <c r="A940" s="1"/>
      <c r="D940" s="1"/>
      <c r="H940" s="1"/>
    </row>
    <row r="941" spans="1:8" ht="13.8">
      <c r="A941" s="1"/>
      <c r="D941" s="1"/>
      <c r="H941" s="1"/>
    </row>
    <row r="942" spans="1:8" ht="13.8">
      <c r="A942" s="1"/>
      <c r="D942" s="1"/>
      <c r="H942" s="1"/>
    </row>
    <row r="943" spans="1:8" ht="13.8">
      <c r="A943" s="1"/>
      <c r="D943" s="1"/>
      <c r="H943" s="1"/>
    </row>
    <row r="944" spans="1:8" ht="13.8">
      <c r="A944" s="1"/>
      <c r="D944" s="1"/>
      <c r="H944" s="1"/>
    </row>
    <row r="945" spans="1:8" ht="13.8">
      <c r="A945" s="1"/>
      <c r="D945" s="1"/>
      <c r="H945" s="1"/>
    </row>
    <row r="946" spans="1:8" ht="13.8">
      <c r="A946" s="1"/>
      <c r="D946" s="1"/>
      <c r="H946" s="1"/>
    </row>
    <row r="947" spans="1:8" ht="13.8">
      <c r="A947" s="1"/>
      <c r="D947" s="1"/>
      <c r="H947" s="1"/>
    </row>
    <row r="948" spans="1:8" ht="13.8">
      <c r="A948" s="1"/>
      <c r="D948" s="1"/>
      <c r="H948" s="1"/>
    </row>
    <row r="949" spans="1:8" ht="13.8">
      <c r="A949" s="1"/>
      <c r="D949" s="1"/>
      <c r="H949" s="1"/>
    </row>
    <row r="950" spans="1:8" ht="13.8">
      <c r="A950" s="1"/>
      <c r="D950" s="1"/>
      <c r="H950" s="1"/>
    </row>
    <row r="951" spans="1:8" ht="13.8">
      <c r="A951" s="1"/>
      <c r="D951" s="1"/>
      <c r="H951" s="1"/>
    </row>
    <row r="952" spans="1:8" ht="13.8">
      <c r="A952" s="1"/>
      <c r="D952" s="1"/>
      <c r="H952" s="1"/>
    </row>
    <row r="953" spans="1:8" ht="13.8">
      <c r="A953" s="1"/>
      <c r="D953" s="1"/>
      <c r="H953" s="1"/>
    </row>
    <row r="954" spans="1:8" ht="13.8">
      <c r="A954" s="1"/>
      <c r="D954" s="1"/>
      <c r="H954" s="1"/>
    </row>
    <row r="955" spans="1:8" ht="13.8">
      <c r="A955" s="1"/>
      <c r="D955" s="1"/>
      <c r="H955" s="1"/>
    </row>
    <row r="956" spans="1:8" ht="13.8">
      <c r="A956" s="1"/>
      <c r="D956" s="1"/>
      <c r="H956" s="1"/>
    </row>
    <row r="957" spans="1:8" ht="13.8">
      <c r="A957" s="1"/>
      <c r="D957" s="1"/>
      <c r="H957" s="1"/>
    </row>
    <row r="958" spans="1:8" ht="13.8">
      <c r="A958" s="1"/>
      <c r="D958" s="1"/>
      <c r="H958" s="1"/>
    </row>
    <row r="959" spans="1:8" ht="13.8">
      <c r="A959" s="1"/>
      <c r="D959" s="1"/>
      <c r="H959" s="1"/>
    </row>
    <row r="960" spans="1:8" ht="13.8">
      <c r="A960" s="1"/>
      <c r="D960" s="1"/>
      <c r="H960" s="1"/>
    </row>
    <row r="961" spans="1:8" ht="13.8">
      <c r="A961" s="1"/>
      <c r="D961" s="1"/>
      <c r="H961" s="1"/>
    </row>
    <row r="962" spans="1:8" ht="13.8">
      <c r="A962" s="1"/>
      <c r="D962" s="1"/>
      <c r="H962" s="1"/>
    </row>
    <row r="963" spans="1:8" ht="13.8">
      <c r="A963" s="1"/>
      <c r="D963" s="1"/>
      <c r="H963" s="1"/>
    </row>
    <row r="964" spans="1:8" ht="13.8">
      <c r="A964" s="1"/>
      <c r="D964" s="1"/>
      <c r="H964" s="1"/>
    </row>
    <row r="965" spans="1:8" ht="13.8">
      <c r="A965" s="1"/>
      <c r="D965" s="1"/>
      <c r="H965" s="1"/>
    </row>
    <row r="966" spans="1:8" ht="13.8">
      <c r="A966" s="1"/>
      <c r="D966" s="1"/>
      <c r="H966" s="1"/>
    </row>
    <row r="967" spans="1:8" ht="13.8">
      <c r="A967" s="1"/>
      <c r="D967" s="1"/>
      <c r="H967" s="1"/>
    </row>
    <row r="968" spans="1:8" ht="13.8">
      <c r="A968" s="1"/>
      <c r="D968" s="1"/>
      <c r="H968" s="1"/>
    </row>
    <row r="969" spans="1:8" ht="13.8">
      <c r="A969" s="1"/>
      <c r="D969" s="1"/>
      <c r="H969" s="1"/>
    </row>
    <row r="970" spans="1:8" ht="13.8">
      <c r="A970" s="1"/>
      <c r="D970" s="1"/>
      <c r="H970" s="1"/>
    </row>
    <row r="971" spans="1:8" ht="13.8">
      <c r="A971" s="1"/>
      <c r="D971" s="1"/>
      <c r="H971" s="1"/>
    </row>
    <row r="972" spans="1:8" ht="13.8">
      <c r="A972" s="1"/>
      <c r="D972" s="1"/>
      <c r="H972" s="1"/>
    </row>
    <row r="973" spans="1:8" ht="13.8">
      <c r="A973" s="1"/>
      <c r="D973" s="1"/>
      <c r="H973" s="1"/>
    </row>
    <row r="974" spans="1:8" ht="13.8">
      <c r="A974" s="1"/>
      <c r="D974" s="1"/>
      <c r="H974" s="1"/>
    </row>
    <row r="975" spans="1:8" ht="13.8">
      <c r="A975" s="1"/>
      <c r="D975" s="1"/>
      <c r="H975" s="1"/>
    </row>
    <row r="976" spans="1:8" ht="13.8">
      <c r="A976" s="1"/>
      <c r="D976" s="1"/>
      <c r="H976" s="1"/>
    </row>
    <row r="977" spans="1:8" ht="13.8">
      <c r="A977" s="1"/>
      <c r="D977" s="1"/>
      <c r="H977" s="1"/>
    </row>
    <row r="978" spans="1:8" ht="13.8">
      <c r="A978" s="1"/>
      <c r="D978" s="1"/>
      <c r="H978" s="1"/>
    </row>
    <row r="979" spans="1:8" ht="13.8">
      <c r="A979" s="1"/>
      <c r="D979" s="1"/>
      <c r="H979" s="1"/>
    </row>
    <row r="980" spans="1:8" ht="13.8">
      <c r="A980" s="1"/>
      <c r="D980" s="1"/>
      <c r="H980" s="1"/>
    </row>
    <row r="981" spans="1:8" ht="13.8">
      <c r="A981" s="1"/>
      <c r="D981" s="1"/>
      <c r="H981" s="1"/>
    </row>
    <row r="982" spans="1:8" ht="13.8">
      <c r="A982" s="1"/>
      <c r="D982" s="1"/>
      <c r="H982" s="1"/>
    </row>
    <row r="983" spans="1:8" ht="13.8">
      <c r="A983" s="1"/>
      <c r="D983" s="1"/>
      <c r="H983" s="1"/>
    </row>
    <row r="984" spans="1:8" ht="13.8">
      <c r="A984" s="1"/>
      <c r="D984" s="1"/>
      <c r="H984" s="1"/>
    </row>
    <row r="985" spans="1:8" ht="13.8">
      <c r="A985" s="1"/>
      <c r="D985" s="1"/>
      <c r="H985" s="1"/>
    </row>
    <row r="986" spans="1:8" ht="13.8">
      <c r="A986" s="1"/>
      <c r="D986" s="1"/>
      <c r="H986" s="1"/>
    </row>
    <row r="987" spans="1:8" ht="13.8">
      <c r="A987" s="1"/>
      <c r="D987" s="1"/>
      <c r="H987" s="1"/>
    </row>
    <row r="988" spans="1:8" ht="13.8">
      <c r="A988" s="1"/>
      <c r="D988" s="1"/>
      <c r="H988" s="1"/>
    </row>
    <row r="989" spans="1:8" ht="13.8">
      <c r="A989" s="1"/>
      <c r="D989" s="1"/>
      <c r="H989" s="1"/>
    </row>
    <row r="990" spans="1:8" ht="13.8">
      <c r="A990" s="1"/>
      <c r="D990" s="1"/>
      <c r="H990" s="1"/>
    </row>
    <row r="991" spans="1:8" ht="13.8">
      <c r="A991" s="1"/>
      <c r="D991" s="1"/>
      <c r="H991" s="1"/>
    </row>
    <row r="992" spans="1:8" ht="13.8">
      <c r="A992" s="1"/>
      <c r="D992" s="1"/>
      <c r="H992" s="1"/>
    </row>
    <row r="993" spans="1:8" ht="13.8">
      <c r="A993" s="1"/>
      <c r="D993" s="1"/>
      <c r="H993" s="1"/>
    </row>
    <row r="994" spans="1:8" ht="13.8">
      <c r="A994" s="1"/>
      <c r="D994" s="1"/>
      <c r="H994" s="1"/>
    </row>
    <row r="995" spans="1:8" ht="13.8">
      <c r="A995" s="1"/>
      <c r="D995" s="1"/>
      <c r="H995" s="1"/>
    </row>
    <row r="996" spans="1:8" ht="13.8">
      <c r="A996" s="1"/>
      <c r="D996" s="1"/>
      <c r="H996" s="1"/>
    </row>
    <row r="997" spans="1:8" ht="13.8">
      <c r="A997" s="1"/>
      <c r="D997" s="1"/>
      <c r="H997" s="1"/>
    </row>
    <row r="998" spans="1:8" ht="13.8">
      <c r="A998" s="1"/>
      <c r="D998" s="1"/>
      <c r="H998" s="1"/>
    </row>
    <row r="999" spans="1:8" ht="13.8">
      <c r="A999" s="1"/>
      <c r="D999" s="1"/>
      <c r="H999" s="1"/>
    </row>
    <row r="1000" spans="1:8" ht="13.8">
      <c r="A1000" s="1"/>
      <c r="D1000" s="1"/>
      <c r="H1000" s="1"/>
    </row>
    <row r="1001" spans="1:8" ht="13.8">
      <c r="A1001" s="1"/>
      <c r="D1001" s="1"/>
      <c r="H1001" s="1"/>
    </row>
  </sheetData>
  <hyperlinks>
    <hyperlink ref="J2" r:id="rId1" xr:uid="{00000000-0004-0000-0400-000000000000}"/>
    <hyperlink ref="J3" r:id="rId2" xr:uid="{00000000-0004-0000-0400-000001000000}"/>
    <hyperlink ref="J4" r:id="rId3" xr:uid="{00000000-0004-0000-0400-000002000000}"/>
    <hyperlink ref="J5" r:id="rId4" xr:uid="{00000000-0004-0000-0400-000003000000}"/>
    <hyperlink ref="J6" r:id="rId5" xr:uid="{00000000-0004-0000-0400-000004000000}"/>
    <hyperlink ref="J7" r:id="rId6" xr:uid="{00000000-0004-0000-0400-000005000000}"/>
    <hyperlink ref="J8" r:id="rId7" xr:uid="{00000000-0004-0000-0400-000006000000}"/>
    <hyperlink ref="J9" r:id="rId8" xr:uid="{00000000-0004-0000-0400-000007000000}"/>
    <hyperlink ref="J10" r:id="rId9" xr:uid="{00000000-0004-0000-0400-000008000000}"/>
    <hyperlink ref="J11" r:id="rId10" xr:uid="{00000000-0004-0000-0400-000009000000}"/>
    <hyperlink ref="J12" r:id="rId11" xr:uid="{00000000-0004-0000-0400-00000A000000}"/>
    <hyperlink ref="J13" r:id="rId12" xr:uid="{00000000-0004-0000-0400-00000B000000}"/>
    <hyperlink ref="J14" r:id="rId13" xr:uid="{00000000-0004-0000-0400-00000C000000}"/>
    <hyperlink ref="J15" r:id="rId14" xr:uid="{00000000-0004-0000-0400-00000D000000}"/>
    <hyperlink ref="J16" r:id="rId15" xr:uid="{00000000-0004-0000-0400-00000E000000}"/>
    <hyperlink ref="J17" r:id="rId16" xr:uid="{00000000-0004-0000-0400-00000F000000}"/>
    <hyperlink ref="J18" r:id="rId17" xr:uid="{00000000-0004-0000-0400-000010000000}"/>
    <hyperlink ref="J19" r:id="rId18" xr:uid="{00000000-0004-0000-0400-000011000000}"/>
    <hyperlink ref="J20" r:id="rId19" xr:uid="{00000000-0004-0000-0400-000012000000}"/>
    <hyperlink ref="J21" r:id="rId20" xr:uid="{00000000-0004-0000-0400-000013000000}"/>
    <hyperlink ref="J22" r:id="rId21" xr:uid="{00000000-0004-0000-0400-000014000000}"/>
    <hyperlink ref="J23" r:id="rId22" xr:uid="{00000000-0004-0000-0400-000015000000}"/>
    <hyperlink ref="J24" r:id="rId23" xr:uid="{00000000-0004-0000-0400-000016000000}"/>
    <hyperlink ref="J25" r:id="rId24" xr:uid="{00000000-0004-0000-0400-000017000000}"/>
    <hyperlink ref="J26" r:id="rId25" xr:uid="{00000000-0004-0000-0400-000018000000}"/>
    <hyperlink ref="J27" r:id="rId26" xr:uid="{00000000-0004-0000-0400-000019000000}"/>
    <hyperlink ref="J28" r:id="rId27" xr:uid="{00000000-0004-0000-0400-00001A000000}"/>
    <hyperlink ref="J29" r:id="rId28" xr:uid="{00000000-0004-0000-0400-00001B000000}"/>
    <hyperlink ref="J30" r:id="rId29" xr:uid="{00000000-0004-0000-0400-00001C000000}"/>
    <hyperlink ref="J31" r:id="rId30" xr:uid="{00000000-0004-0000-0400-00001D000000}"/>
    <hyperlink ref="J32" r:id="rId31" xr:uid="{00000000-0004-0000-0400-00001E000000}"/>
    <hyperlink ref="J33" r:id="rId32" xr:uid="{00000000-0004-0000-0400-00001F000000}"/>
    <hyperlink ref="J34" r:id="rId33" xr:uid="{00000000-0004-0000-0400-000020000000}"/>
    <hyperlink ref="J35" r:id="rId34" xr:uid="{00000000-0004-0000-0400-000021000000}"/>
    <hyperlink ref="J36" r:id="rId35" xr:uid="{00000000-0004-0000-0400-000022000000}"/>
    <hyperlink ref="J37" r:id="rId36" xr:uid="{00000000-0004-0000-0400-000023000000}"/>
    <hyperlink ref="J38" r:id="rId37" xr:uid="{00000000-0004-0000-0400-000024000000}"/>
    <hyperlink ref="J39" r:id="rId38" xr:uid="{00000000-0004-0000-0400-000025000000}"/>
    <hyperlink ref="J40" r:id="rId39" xr:uid="{00000000-0004-0000-0400-000026000000}"/>
    <hyperlink ref="J41" r:id="rId40" xr:uid="{00000000-0004-0000-0400-000027000000}"/>
    <hyperlink ref="J42" r:id="rId41" xr:uid="{00000000-0004-0000-0400-000028000000}"/>
    <hyperlink ref="J43" r:id="rId42" xr:uid="{00000000-0004-0000-0400-000029000000}"/>
    <hyperlink ref="J44" r:id="rId43" xr:uid="{00000000-0004-0000-0400-00002A000000}"/>
    <hyperlink ref="J45" r:id="rId44" xr:uid="{00000000-0004-0000-0400-00002B000000}"/>
    <hyperlink ref="J46" r:id="rId45" xr:uid="{00000000-0004-0000-0400-00002C000000}"/>
    <hyperlink ref="J47" r:id="rId46" xr:uid="{00000000-0004-0000-0400-00002D000000}"/>
    <hyperlink ref="J48" r:id="rId47" xr:uid="{00000000-0004-0000-0400-00002E000000}"/>
    <hyperlink ref="J49" r:id="rId48" xr:uid="{00000000-0004-0000-0400-00002F000000}"/>
    <hyperlink ref="J50" r:id="rId49" xr:uid="{00000000-0004-0000-0400-000030000000}"/>
    <hyperlink ref="J51" r:id="rId50" xr:uid="{00000000-0004-0000-0400-000031000000}"/>
    <hyperlink ref="J52" r:id="rId51" xr:uid="{00000000-0004-0000-0400-000032000000}"/>
    <hyperlink ref="J53" r:id="rId52" xr:uid="{00000000-0004-0000-0400-000033000000}"/>
    <hyperlink ref="J54" r:id="rId53" xr:uid="{00000000-0004-0000-0400-000034000000}"/>
    <hyperlink ref="J55" r:id="rId54" xr:uid="{00000000-0004-0000-0400-000035000000}"/>
    <hyperlink ref="J56" r:id="rId55" xr:uid="{00000000-0004-0000-0400-000036000000}"/>
    <hyperlink ref="J57" r:id="rId56" xr:uid="{00000000-0004-0000-0400-000037000000}"/>
    <hyperlink ref="J58" r:id="rId57" xr:uid="{00000000-0004-0000-0400-000038000000}"/>
    <hyperlink ref="J59" r:id="rId58" xr:uid="{00000000-0004-0000-0400-000039000000}"/>
    <hyperlink ref="J60" r:id="rId59" xr:uid="{00000000-0004-0000-0400-00003A000000}"/>
    <hyperlink ref="J61" r:id="rId60" xr:uid="{00000000-0004-0000-0400-00003B000000}"/>
    <hyperlink ref="J62" r:id="rId61" xr:uid="{00000000-0004-0000-0400-00003C000000}"/>
    <hyperlink ref="J63" r:id="rId62" xr:uid="{00000000-0004-0000-0400-00003D000000}"/>
    <hyperlink ref="J64" r:id="rId63" xr:uid="{00000000-0004-0000-0400-00003E000000}"/>
    <hyperlink ref="J65" r:id="rId64" xr:uid="{00000000-0004-0000-0400-00003F000000}"/>
    <hyperlink ref="J66" r:id="rId65" xr:uid="{00000000-0004-0000-0400-000040000000}"/>
    <hyperlink ref="J67" r:id="rId66" xr:uid="{00000000-0004-0000-0400-000041000000}"/>
    <hyperlink ref="J68" r:id="rId67" xr:uid="{00000000-0004-0000-0400-000042000000}"/>
    <hyperlink ref="J69" r:id="rId68" xr:uid="{00000000-0004-0000-0400-000043000000}"/>
    <hyperlink ref="J70" r:id="rId69" xr:uid="{00000000-0004-0000-0400-000044000000}"/>
    <hyperlink ref="J71" r:id="rId70" xr:uid="{00000000-0004-0000-0400-000045000000}"/>
    <hyperlink ref="J72" r:id="rId71" xr:uid="{00000000-0004-0000-0400-000046000000}"/>
    <hyperlink ref="J73" r:id="rId72" xr:uid="{00000000-0004-0000-0400-000047000000}"/>
    <hyperlink ref="J74" r:id="rId73" xr:uid="{00000000-0004-0000-0400-000048000000}"/>
    <hyperlink ref="J75" r:id="rId74" xr:uid="{00000000-0004-0000-0400-000049000000}"/>
    <hyperlink ref="J76" r:id="rId75" xr:uid="{00000000-0004-0000-0400-00004A000000}"/>
    <hyperlink ref="J77" r:id="rId76" xr:uid="{00000000-0004-0000-0400-00004B000000}"/>
    <hyperlink ref="J78" r:id="rId77" xr:uid="{00000000-0004-0000-0400-00004C000000}"/>
    <hyperlink ref="J79" r:id="rId78" xr:uid="{00000000-0004-0000-0400-00004D000000}"/>
    <hyperlink ref="J80" r:id="rId79" xr:uid="{00000000-0004-0000-0400-00004E000000}"/>
    <hyperlink ref="J81" r:id="rId80" xr:uid="{00000000-0004-0000-0400-00004F000000}"/>
    <hyperlink ref="J82" r:id="rId81" xr:uid="{00000000-0004-0000-0400-000050000000}"/>
    <hyperlink ref="J83" r:id="rId82" xr:uid="{00000000-0004-0000-0400-000051000000}"/>
    <hyperlink ref="J84" r:id="rId83" xr:uid="{00000000-0004-0000-0400-000052000000}"/>
    <hyperlink ref="J85" r:id="rId84" xr:uid="{00000000-0004-0000-0400-000053000000}"/>
    <hyperlink ref="J86" r:id="rId85" xr:uid="{00000000-0004-0000-0400-000054000000}"/>
    <hyperlink ref="J87" r:id="rId86" xr:uid="{00000000-0004-0000-0400-000055000000}"/>
    <hyperlink ref="J88" r:id="rId87" xr:uid="{00000000-0004-0000-0400-000056000000}"/>
    <hyperlink ref="J89" r:id="rId88" xr:uid="{00000000-0004-0000-0400-000057000000}"/>
    <hyperlink ref="J90" r:id="rId89" xr:uid="{00000000-0004-0000-0400-000058000000}"/>
    <hyperlink ref="J91" r:id="rId90" xr:uid="{00000000-0004-0000-0400-000059000000}"/>
    <hyperlink ref="J92" r:id="rId91" xr:uid="{00000000-0004-0000-0400-00005A000000}"/>
    <hyperlink ref="J93" r:id="rId92" xr:uid="{00000000-0004-0000-0400-00005B000000}"/>
    <hyperlink ref="J94" r:id="rId93" xr:uid="{00000000-0004-0000-0400-00005C000000}"/>
    <hyperlink ref="J95" r:id="rId94" xr:uid="{00000000-0004-0000-0400-00005D000000}"/>
    <hyperlink ref="J96" r:id="rId95" xr:uid="{00000000-0004-0000-0400-00005E000000}"/>
    <hyperlink ref="J97" r:id="rId96" xr:uid="{00000000-0004-0000-0400-00005F000000}"/>
    <hyperlink ref="J98" r:id="rId97" xr:uid="{00000000-0004-0000-0400-000060000000}"/>
    <hyperlink ref="J99" r:id="rId98" xr:uid="{00000000-0004-0000-0400-000061000000}"/>
    <hyperlink ref="J100" r:id="rId99" xr:uid="{00000000-0004-0000-0400-000062000000}"/>
    <hyperlink ref="J101" r:id="rId100" xr:uid="{00000000-0004-0000-0400-000063000000}"/>
    <hyperlink ref="J102" r:id="rId101" xr:uid="{00000000-0004-0000-0400-000064000000}"/>
    <hyperlink ref="J103" r:id="rId102" xr:uid="{00000000-0004-0000-0400-000065000000}"/>
    <hyperlink ref="J104" r:id="rId103" xr:uid="{00000000-0004-0000-0400-000066000000}"/>
    <hyperlink ref="J105" r:id="rId104" xr:uid="{00000000-0004-0000-0400-000067000000}"/>
    <hyperlink ref="J106" r:id="rId105" xr:uid="{00000000-0004-0000-0400-000068000000}"/>
    <hyperlink ref="J107" r:id="rId106" xr:uid="{00000000-0004-0000-0400-000069000000}"/>
    <hyperlink ref="J108" r:id="rId107" xr:uid="{00000000-0004-0000-0400-00006A000000}"/>
    <hyperlink ref="J109" r:id="rId108" xr:uid="{00000000-0004-0000-0400-00006B000000}"/>
    <hyperlink ref="J110" r:id="rId109" xr:uid="{00000000-0004-0000-0400-00006C000000}"/>
    <hyperlink ref="J111" r:id="rId110" xr:uid="{00000000-0004-0000-0400-00006D000000}"/>
    <hyperlink ref="J112" r:id="rId111" xr:uid="{00000000-0004-0000-0400-00006E000000}"/>
    <hyperlink ref="J113" r:id="rId112" xr:uid="{00000000-0004-0000-0400-00006F000000}"/>
    <hyperlink ref="J114" r:id="rId113" xr:uid="{00000000-0004-0000-0400-000070000000}"/>
    <hyperlink ref="J115" r:id="rId114" xr:uid="{00000000-0004-0000-0400-000071000000}"/>
    <hyperlink ref="J116" r:id="rId115" xr:uid="{00000000-0004-0000-0400-000072000000}"/>
  </hyperlinks>
  <pageMargins left="0.74791666666666701" right="0.74791666666666701" top="0.98402777777777795" bottom="0.98402777777777795" header="0.511811023622047" footer="0.511811023622047"/>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heetPr>
  <dimension ref="A1:K4"/>
  <sheetViews>
    <sheetView topLeftCell="A2" zoomScaleNormal="100" workbookViewId="0">
      <selection activeCell="B2" sqref="B2"/>
    </sheetView>
  </sheetViews>
  <sheetFormatPr defaultColWidth="12.6640625" defaultRowHeight="15.75" customHeight="1"/>
  <sheetData>
    <row r="1" spans="1:11" ht="13.8">
      <c r="A1" s="1" t="s">
        <v>14183</v>
      </c>
      <c r="B1" s="1" t="s">
        <v>17113</v>
      </c>
      <c r="C1" s="1" t="s">
        <v>17114</v>
      </c>
      <c r="D1" s="1" t="s">
        <v>14186</v>
      </c>
      <c r="E1" s="1" t="s">
        <v>14187</v>
      </c>
      <c r="F1" s="1" t="s">
        <v>14188</v>
      </c>
      <c r="G1" s="1" t="s">
        <v>14189</v>
      </c>
      <c r="H1" s="1" t="s">
        <v>14190</v>
      </c>
      <c r="I1" s="1" t="s">
        <v>17115</v>
      </c>
      <c r="J1" s="1" t="s">
        <v>14192</v>
      </c>
      <c r="K1" s="1" t="s">
        <v>14193</v>
      </c>
    </row>
    <row r="2" spans="1:11" ht="409.6">
      <c r="A2" s="1" t="s">
        <v>17116</v>
      </c>
      <c r="B2" s="1" t="s">
        <v>17117</v>
      </c>
      <c r="C2" s="1" t="s">
        <v>17118</v>
      </c>
      <c r="D2" s="1" t="s">
        <v>17119</v>
      </c>
      <c r="E2" s="1">
        <v>25</v>
      </c>
      <c r="F2" s="1" t="s">
        <v>145</v>
      </c>
      <c r="G2" s="1" t="s">
        <v>14198</v>
      </c>
      <c r="H2" s="4" t="s">
        <v>17120</v>
      </c>
      <c r="I2" s="4" t="s">
        <v>17121</v>
      </c>
      <c r="J2" s="3" t="s">
        <v>17122</v>
      </c>
      <c r="K2" s="1" t="s">
        <v>17123</v>
      </c>
    </row>
    <row r="3" spans="1:11" ht="409.6">
      <c r="A3" s="1" t="s">
        <v>17124</v>
      </c>
      <c r="B3" s="1" t="s">
        <v>17125</v>
      </c>
      <c r="C3" s="1" t="s">
        <v>17126</v>
      </c>
      <c r="D3" s="1" t="s">
        <v>17127</v>
      </c>
      <c r="E3" s="1">
        <v>105</v>
      </c>
      <c r="F3" s="1" t="s">
        <v>15208</v>
      </c>
      <c r="G3" s="1" t="s">
        <v>14198</v>
      </c>
      <c r="H3" s="4" t="s">
        <v>17128</v>
      </c>
      <c r="I3" s="1" t="s">
        <v>17129</v>
      </c>
      <c r="J3" s="3" t="s">
        <v>17130</v>
      </c>
      <c r="K3" s="1" t="s">
        <v>17123</v>
      </c>
    </row>
    <row r="4" spans="1:11" ht="409.6">
      <c r="A4" s="1" t="s">
        <v>17131</v>
      </c>
      <c r="B4" s="1" t="s">
        <v>17132</v>
      </c>
      <c r="C4" s="1" t="s">
        <v>17133</v>
      </c>
      <c r="D4" s="1" t="s">
        <v>17134</v>
      </c>
      <c r="E4" s="1">
        <v>40</v>
      </c>
      <c r="F4" s="1" t="s">
        <v>14207</v>
      </c>
      <c r="G4" s="1" t="s">
        <v>14198</v>
      </c>
      <c r="H4" s="1" t="s">
        <v>17135</v>
      </c>
      <c r="I4" s="4" t="s">
        <v>17136</v>
      </c>
      <c r="J4" s="3" t="s">
        <v>17137</v>
      </c>
      <c r="K4" s="1" t="s">
        <v>17123</v>
      </c>
    </row>
  </sheetData>
  <hyperlinks>
    <hyperlink ref="J2" r:id="rId1" xr:uid="{00000000-0004-0000-0500-000000000000}"/>
    <hyperlink ref="J3" r:id="rId2" xr:uid="{00000000-0004-0000-0500-000001000000}"/>
    <hyperlink ref="J4" r:id="rId3" xr:uid="{00000000-0004-0000-0500-000002000000}"/>
  </hyperlinks>
  <pageMargins left="0.74791666666666701" right="0.74791666666666701" top="0.98402777777777795" bottom="0.98402777777777795" header="0.511811023622047" footer="0.511811023622047"/>
  <pageSetup paperSize="9"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heetPr>
  <dimension ref="A1:O1522"/>
  <sheetViews>
    <sheetView zoomScaleNormal="100" workbookViewId="0">
      <selection activeCell="G13" sqref="G13"/>
    </sheetView>
  </sheetViews>
  <sheetFormatPr defaultColWidth="12.6640625" defaultRowHeight="15.75" customHeight="1"/>
  <sheetData>
    <row r="1" spans="1:15" ht="13.8">
      <c r="A1" s="1" t="s">
        <v>14183</v>
      </c>
      <c r="B1" s="1" t="s">
        <v>17138</v>
      </c>
      <c r="C1" s="1" t="s">
        <v>17139</v>
      </c>
      <c r="D1" s="1" t="s">
        <v>17140</v>
      </c>
      <c r="E1" s="1" t="s">
        <v>17141</v>
      </c>
      <c r="F1" s="1" t="s">
        <v>14186</v>
      </c>
      <c r="G1" s="1" t="s">
        <v>17142</v>
      </c>
      <c r="H1" s="1" t="s">
        <v>14187</v>
      </c>
      <c r="I1" s="1" t="s">
        <v>14188</v>
      </c>
      <c r="J1" s="1" t="s">
        <v>14189</v>
      </c>
      <c r="K1" s="1" t="s">
        <v>14190</v>
      </c>
      <c r="L1" s="1" t="s">
        <v>17143</v>
      </c>
      <c r="M1" s="1" t="s">
        <v>17144</v>
      </c>
      <c r="N1" s="1" t="s">
        <v>14192</v>
      </c>
      <c r="O1" s="1" t="s">
        <v>14193</v>
      </c>
    </row>
    <row r="2" spans="1:15" ht="13.8">
      <c r="A2" s="1" t="s">
        <v>17145</v>
      </c>
      <c r="B2" s="1" t="s">
        <v>17146</v>
      </c>
      <c r="C2" s="1" t="s">
        <v>17147</v>
      </c>
      <c r="D2" s="1" t="s">
        <v>17148</v>
      </c>
      <c r="E2" s="1" t="s">
        <v>17149</v>
      </c>
      <c r="F2" s="1" t="s">
        <v>17150</v>
      </c>
      <c r="G2" s="1" t="s">
        <v>17151</v>
      </c>
      <c r="H2" s="1">
        <v>60</v>
      </c>
      <c r="I2" s="1" t="s">
        <v>14572</v>
      </c>
      <c r="J2" s="1" t="s">
        <v>14198</v>
      </c>
      <c r="K2" s="1" t="s">
        <v>17152</v>
      </c>
      <c r="L2" s="1" t="s">
        <v>17153</v>
      </c>
      <c r="M2" s="1" t="s">
        <v>17154</v>
      </c>
      <c r="N2" s="3" t="s">
        <v>17155</v>
      </c>
      <c r="O2" s="5" t="s">
        <v>17156</v>
      </c>
    </row>
    <row r="3" spans="1:15" ht="13.8">
      <c r="A3" s="1" t="s">
        <v>17157</v>
      </c>
      <c r="B3" s="1" t="s">
        <v>17158</v>
      </c>
      <c r="C3" s="1" t="s">
        <v>17159</v>
      </c>
      <c r="D3" s="1" t="s">
        <v>17160</v>
      </c>
      <c r="E3" s="1" t="s">
        <v>17161</v>
      </c>
      <c r="F3" s="1" t="s">
        <v>17162</v>
      </c>
      <c r="G3" s="1" t="s">
        <v>17163</v>
      </c>
      <c r="H3" s="1">
        <v>15</v>
      </c>
      <c r="I3" s="1" t="s">
        <v>14572</v>
      </c>
      <c r="J3" s="1" t="s">
        <v>14198</v>
      </c>
      <c r="K3" s="1" t="s">
        <v>17164</v>
      </c>
      <c r="L3" s="1" t="s">
        <v>17165</v>
      </c>
      <c r="M3" s="1" t="s">
        <v>17166</v>
      </c>
      <c r="N3" s="3" t="s">
        <v>17167</v>
      </c>
      <c r="O3" s="5" t="s">
        <v>17156</v>
      </c>
    </row>
    <row r="4" spans="1:15" ht="13.8">
      <c r="A4" s="1" t="s">
        <v>17168</v>
      </c>
      <c r="B4" s="1" t="s">
        <v>17169</v>
      </c>
      <c r="C4" s="1" t="s">
        <v>17170</v>
      </c>
      <c r="D4" s="1" t="s">
        <v>17171</v>
      </c>
      <c r="E4" s="1" t="s">
        <v>17172</v>
      </c>
      <c r="F4" s="1" t="s">
        <v>17173</v>
      </c>
      <c r="G4" s="1" t="s">
        <v>17174</v>
      </c>
      <c r="H4" s="1">
        <v>40</v>
      </c>
      <c r="I4" s="1" t="s">
        <v>8417</v>
      </c>
      <c r="J4" s="1" t="s">
        <v>14198</v>
      </c>
      <c r="K4" s="1" t="s">
        <v>17175</v>
      </c>
      <c r="L4" s="1" t="s">
        <v>17176</v>
      </c>
      <c r="M4" s="1" t="s">
        <v>17177</v>
      </c>
      <c r="N4" s="3" t="s">
        <v>17178</v>
      </c>
      <c r="O4" s="5" t="s">
        <v>17156</v>
      </c>
    </row>
    <row r="5" spans="1:15" ht="13.8">
      <c r="A5" s="1" t="s">
        <v>17179</v>
      </c>
      <c r="B5" s="1" t="s">
        <v>17180</v>
      </c>
      <c r="C5" s="1" t="s">
        <v>17181</v>
      </c>
      <c r="D5" s="1" t="s">
        <v>17182</v>
      </c>
      <c r="E5" s="1" t="s">
        <v>17183</v>
      </c>
      <c r="F5" s="1" t="s">
        <v>17184</v>
      </c>
      <c r="G5" s="1" t="s">
        <v>17185</v>
      </c>
      <c r="H5" s="1">
        <v>70</v>
      </c>
      <c r="I5" s="1" t="s">
        <v>14259</v>
      </c>
      <c r="J5" s="1" t="s">
        <v>14198</v>
      </c>
      <c r="K5" s="1" t="s">
        <v>17186</v>
      </c>
      <c r="L5" s="1" t="s">
        <v>17187</v>
      </c>
      <c r="M5" s="1" t="s">
        <v>17188</v>
      </c>
      <c r="N5" s="3" t="s">
        <v>17189</v>
      </c>
      <c r="O5" s="5" t="s">
        <v>17156</v>
      </c>
    </row>
    <row r="6" spans="1:15" ht="13.8">
      <c r="A6" s="1" t="s">
        <v>17190</v>
      </c>
      <c r="B6" s="1" t="s">
        <v>17191</v>
      </c>
      <c r="C6" s="1" t="s">
        <v>17192</v>
      </c>
      <c r="D6" s="1" t="s">
        <v>17193</v>
      </c>
      <c r="E6" s="1" t="s">
        <v>17194</v>
      </c>
      <c r="F6" s="1" t="s">
        <v>17195</v>
      </c>
      <c r="G6" s="1" t="s">
        <v>17196</v>
      </c>
      <c r="H6" s="1">
        <v>30</v>
      </c>
      <c r="I6" s="1" t="s">
        <v>14207</v>
      </c>
      <c r="J6" s="1" t="s">
        <v>14198</v>
      </c>
      <c r="K6" s="1" t="s">
        <v>17197</v>
      </c>
      <c r="L6" s="1" t="s">
        <v>17198</v>
      </c>
      <c r="M6" s="1" t="s">
        <v>17199</v>
      </c>
      <c r="N6" s="3" t="s">
        <v>17200</v>
      </c>
      <c r="O6" s="5" t="s">
        <v>17156</v>
      </c>
    </row>
    <row r="7" spans="1:15" ht="409.6">
      <c r="A7" s="1" t="s">
        <v>17201</v>
      </c>
      <c r="B7" s="1" t="s">
        <v>17202</v>
      </c>
      <c r="C7" s="1" t="s">
        <v>17203</v>
      </c>
      <c r="D7" s="1" t="s">
        <v>17204</v>
      </c>
      <c r="E7" s="1" t="s">
        <v>17205</v>
      </c>
      <c r="F7" s="1" t="s">
        <v>17206</v>
      </c>
      <c r="G7" s="1" t="s">
        <v>17207</v>
      </c>
      <c r="H7" s="1">
        <v>65</v>
      </c>
      <c r="I7" s="1" t="s">
        <v>14572</v>
      </c>
      <c r="J7" s="1" t="s">
        <v>14198</v>
      </c>
      <c r="K7" s="4" t="s">
        <v>17208</v>
      </c>
      <c r="L7" s="1" t="s">
        <v>17209</v>
      </c>
      <c r="M7" s="1" t="s">
        <v>17210</v>
      </c>
      <c r="N7" s="3" t="s">
        <v>17211</v>
      </c>
      <c r="O7" s="5" t="s">
        <v>17156</v>
      </c>
    </row>
    <row r="8" spans="1:15" ht="13.8">
      <c r="A8" s="1" t="s">
        <v>17212</v>
      </c>
      <c r="B8" s="1" t="s">
        <v>17213</v>
      </c>
      <c r="C8" s="1" t="s">
        <v>17214</v>
      </c>
      <c r="D8" s="1" t="s">
        <v>17215</v>
      </c>
      <c r="E8" s="1" t="s">
        <v>17216</v>
      </c>
      <c r="F8" s="1" t="s">
        <v>17217</v>
      </c>
      <c r="G8" s="1" t="s">
        <v>17218</v>
      </c>
      <c r="H8" s="1">
        <v>30</v>
      </c>
      <c r="I8" s="1" t="s">
        <v>14207</v>
      </c>
      <c r="J8" s="1" t="s">
        <v>14198</v>
      </c>
      <c r="K8" s="1" t="s">
        <v>17219</v>
      </c>
      <c r="L8" s="1" t="s">
        <v>17220</v>
      </c>
      <c r="M8" s="1" t="s">
        <v>17221</v>
      </c>
      <c r="N8" s="3" t="s">
        <v>17222</v>
      </c>
      <c r="O8" s="5" t="s">
        <v>17156</v>
      </c>
    </row>
    <row r="9" spans="1:15" ht="13.8">
      <c r="A9" s="1" t="s">
        <v>17223</v>
      </c>
      <c r="B9" s="1" t="s">
        <v>17224</v>
      </c>
      <c r="C9" s="1" t="s">
        <v>17225</v>
      </c>
      <c r="D9" s="1" t="s">
        <v>17226</v>
      </c>
      <c r="E9" s="1" t="s">
        <v>17227</v>
      </c>
      <c r="F9" s="1" t="s">
        <v>17228</v>
      </c>
      <c r="G9" s="1" t="s">
        <v>17229</v>
      </c>
      <c r="H9" s="1">
        <v>51</v>
      </c>
      <c r="I9" s="1" t="s">
        <v>8417</v>
      </c>
      <c r="J9" s="1" t="s">
        <v>14198</v>
      </c>
      <c r="K9" s="1" t="s">
        <v>17230</v>
      </c>
      <c r="L9" s="1" t="s">
        <v>17231</v>
      </c>
      <c r="M9" s="1" t="s">
        <v>17232</v>
      </c>
      <c r="N9" s="3" t="s">
        <v>17233</v>
      </c>
      <c r="O9" s="5" t="s">
        <v>17156</v>
      </c>
    </row>
    <row r="10" spans="1:15" ht="13.8">
      <c r="A10" s="1" t="s">
        <v>17234</v>
      </c>
      <c r="B10" s="1" t="s">
        <v>17235</v>
      </c>
      <c r="C10" s="1" t="s">
        <v>17236</v>
      </c>
      <c r="D10" s="1" t="s">
        <v>17237</v>
      </c>
      <c r="E10" s="1" t="s">
        <v>17238</v>
      </c>
      <c r="F10" s="1" t="s">
        <v>17239</v>
      </c>
      <c r="G10" s="1" t="s">
        <v>17240</v>
      </c>
      <c r="H10" s="1">
        <v>65</v>
      </c>
      <c r="I10" s="1" t="s">
        <v>429</v>
      </c>
      <c r="J10" s="1" t="s">
        <v>14198</v>
      </c>
      <c r="K10" s="1" t="s">
        <v>17241</v>
      </c>
      <c r="L10" s="1" t="s">
        <v>17242</v>
      </c>
      <c r="M10" s="1" t="s">
        <v>17243</v>
      </c>
      <c r="N10" s="3" t="s">
        <v>17244</v>
      </c>
      <c r="O10" s="5" t="s">
        <v>17156</v>
      </c>
    </row>
    <row r="11" spans="1:15" ht="409.6">
      <c r="A11" s="1" t="s">
        <v>17245</v>
      </c>
      <c r="B11" s="1" t="s">
        <v>17246</v>
      </c>
      <c r="C11" s="1" t="s">
        <v>17247</v>
      </c>
      <c r="D11" s="1" t="s">
        <v>17248</v>
      </c>
      <c r="E11" s="1" t="s">
        <v>17249</v>
      </c>
      <c r="F11" s="1" t="s">
        <v>17250</v>
      </c>
      <c r="G11" s="1" t="s">
        <v>17251</v>
      </c>
      <c r="H11" s="1">
        <v>25</v>
      </c>
      <c r="I11" s="1" t="s">
        <v>17252</v>
      </c>
      <c r="J11" s="1" t="s">
        <v>14198</v>
      </c>
      <c r="K11" s="4" t="s">
        <v>17253</v>
      </c>
      <c r="L11" s="1" t="s">
        <v>17254</v>
      </c>
      <c r="M11" s="1" t="s">
        <v>17255</v>
      </c>
      <c r="N11" s="3" t="s">
        <v>17256</v>
      </c>
      <c r="O11" s="5" t="s">
        <v>17156</v>
      </c>
    </row>
    <row r="12" spans="1:15" ht="409.6">
      <c r="A12" s="1" t="s">
        <v>17257</v>
      </c>
      <c r="B12" s="1" t="s">
        <v>17258</v>
      </c>
      <c r="C12" s="1" t="s">
        <v>17259</v>
      </c>
      <c r="D12" s="1" t="s">
        <v>17260</v>
      </c>
      <c r="E12" s="1" t="s">
        <v>17261</v>
      </c>
      <c r="F12" s="1" t="s">
        <v>17262</v>
      </c>
      <c r="G12" s="1" t="s">
        <v>17263</v>
      </c>
      <c r="H12" s="1">
        <v>55</v>
      </c>
      <c r="I12" s="1" t="s">
        <v>17252</v>
      </c>
      <c r="J12" s="1" t="s">
        <v>14198</v>
      </c>
      <c r="K12" s="4" t="s">
        <v>17264</v>
      </c>
      <c r="L12" s="1" t="s">
        <v>17265</v>
      </c>
      <c r="M12" s="1" t="s">
        <v>17266</v>
      </c>
      <c r="N12" s="3" t="s">
        <v>17267</v>
      </c>
      <c r="O12" s="5" t="s">
        <v>17156</v>
      </c>
    </row>
    <row r="13" spans="1:15" ht="13.8">
      <c r="A13" s="1" t="s">
        <v>17268</v>
      </c>
      <c r="B13" s="1" t="s">
        <v>17269</v>
      </c>
      <c r="C13" s="1" t="s">
        <v>17270</v>
      </c>
      <c r="D13" s="1" t="s">
        <v>17271</v>
      </c>
      <c r="E13" s="1" t="s">
        <v>17272</v>
      </c>
      <c r="F13" s="1" t="s">
        <v>17273</v>
      </c>
      <c r="G13" s="1" t="s">
        <v>17274</v>
      </c>
      <c r="H13" s="1">
        <v>600</v>
      </c>
      <c r="I13" s="1" t="s">
        <v>14281</v>
      </c>
      <c r="J13" s="1" t="s">
        <v>14198</v>
      </c>
      <c r="K13" s="1" t="s">
        <v>17275</v>
      </c>
      <c r="L13" s="1" t="s">
        <v>17276</v>
      </c>
      <c r="M13" s="1" t="s">
        <v>17277</v>
      </c>
      <c r="N13" s="3" t="s">
        <v>17278</v>
      </c>
      <c r="O13" s="5" t="s">
        <v>17156</v>
      </c>
    </row>
    <row r="14" spans="1:15" ht="13.8">
      <c r="A14" s="1" t="s">
        <v>17279</v>
      </c>
      <c r="B14" s="1" t="s">
        <v>17280</v>
      </c>
      <c r="C14" s="1" t="s">
        <v>17281</v>
      </c>
      <c r="D14" s="1" t="s">
        <v>17282</v>
      </c>
      <c r="E14" s="1" t="s">
        <v>17283</v>
      </c>
      <c r="F14" s="1" t="s">
        <v>17284</v>
      </c>
      <c r="G14" s="1" t="s">
        <v>17285</v>
      </c>
      <c r="H14" s="1">
        <v>20</v>
      </c>
      <c r="I14" s="1" t="s">
        <v>17252</v>
      </c>
      <c r="J14" s="1" t="s">
        <v>14237</v>
      </c>
      <c r="K14" s="1" t="s">
        <v>17286</v>
      </c>
      <c r="L14" s="1" t="s">
        <v>17287</v>
      </c>
      <c r="M14" s="1" t="s">
        <v>17288</v>
      </c>
      <c r="N14" s="3" t="s">
        <v>17289</v>
      </c>
      <c r="O14" s="5" t="s">
        <v>17156</v>
      </c>
    </row>
    <row r="15" spans="1:15" ht="13.8">
      <c r="A15" s="1" t="s">
        <v>17290</v>
      </c>
      <c r="B15" s="1" t="s">
        <v>17291</v>
      </c>
      <c r="C15" s="1" t="s">
        <v>17292</v>
      </c>
      <c r="D15" s="1" t="s">
        <v>17293</v>
      </c>
      <c r="E15" s="1" t="s">
        <v>17294</v>
      </c>
      <c r="F15" s="1" t="s">
        <v>17295</v>
      </c>
      <c r="G15" s="1" t="s">
        <v>17296</v>
      </c>
      <c r="H15" s="1">
        <v>25</v>
      </c>
      <c r="I15" s="1" t="s">
        <v>14281</v>
      </c>
      <c r="J15" s="1" t="s">
        <v>14198</v>
      </c>
      <c r="K15" s="1" t="s">
        <v>17297</v>
      </c>
      <c r="L15" s="1" t="s">
        <v>17298</v>
      </c>
      <c r="M15" s="1" t="s">
        <v>17299</v>
      </c>
      <c r="N15" s="3" t="s">
        <v>17300</v>
      </c>
      <c r="O15" s="5" t="s">
        <v>17156</v>
      </c>
    </row>
    <row r="16" spans="1:15" ht="13.8">
      <c r="A16" s="1" t="s">
        <v>17301</v>
      </c>
      <c r="B16" s="1" t="s">
        <v>17302</v>
      </c>
      <c r="C16" s="1" t="s">
        <v>17303</v>
      </c>
      <c r="D16" s="1" t="s">
        <v>17304</v>
      </c>
      <c r="E16" s="1" t="s">
        <v>17305</v>
      </c>
      <c r="F16" s="1" t="s">
        <v>17306</v>
      </c>
      <c r="G16" s="1" t="s">
        <v>17307</v>
      </c>
      <c r="H16" s="1">
        <v>110</v>
      </c>
      <c r="I16" s="1" t="s">
        <v>8417</v>
      </c>
      <c r="J16" s="1" t="s">
        <v>14198</v>
      </c>
      <c r="K16" s="1" t="s">
        <v>17308</v>
      </c>
      <c r="L16" s="1" t="s">
        <v>17309</v>
      </c>
      <c r="M16" s="1" t="s">
        <v>17310</v>
      </c>
      <c r="N16" s="3" t="s">
        <v>17311</v>
      </c>
      <c r="O16" s="5" t="s">
        <v>17156</v>
      </c>
    </row>
    <row r="17" spans="1:15" ht="13.8">
      <c r="A17" s="1" t="s">
        <v>17312</v>
      </c>
      <c r="B17" s="1" t="s">
        <v>17313</v>
      </c>
      <c r="C17" s="1" t="s">
        <v>17314</v>
      </c>
      <c r="D17" s="1" t="s">
        <v>17315</v>
      </c>
      <c r="E17" s="1" t="s">
        <v>17316</v>
      </c>
      <c r="F17" s="1" t="s">
        <v>17317</v>
      </c>
      <c r="G17" s="1" t="s">
        <v>17318</v>
      </c>
      <c r="H17" s="1">
        <v>40</v>
      </c>
      <c r="I17" s="1" t="s">
        <v>17252</v>
      </c>
      <c r="J17" s="1" t="s">
        <v>14382</v>
      </c>
      <c r="K17" s="1" t="s">
        <v>17319</v>
      </c>
      <c r="L17" s="1" t="s">
        <v>17320</v>
      </c>
      <c r="M17" s="1" t="s">
        <v>17321</v>
      </c>
      <c r="N17" s="3" t="s">
        <v>17322</v>
      </c>
      <c r="O17" s="5" t="s">
        <v>17156</v>
      </c>
    </row>
    <row r="18" spans="1:15" ht="13.8">
      <c r="A18" s="1" t="s">
        <v>17323</v>
      </c>
      <c r="B18" s="1" t="s">
        <v>17324</v>
      </c>
      <c r="C18" s="1" t="s">
        <v>17325</v>
      </c>
      <c r="D18" s="1" t="s">
        <v>17326</v>
      </c>
      <c r="E18" s="1" t="s">
        <v>17327</v>
      </c>
      <c r="F18" s="1" t="s">
        <v>17328</v>
      </c>
      <c r="G18" s="1" t="s">
        <v>17329</v>
      </c>
      <c r="H18" s="1">
        <v>40</v>
      </c>
      <c r="I18" s="1" t="s">
        <v>17252</v>
      </c>
      <c r="J18" s="1" t="s">
        <v>14237</v>
      </c>
      <c r="K18" s="1" t="s">
        <v>17330</v>
      </c>
      <c r="L18" s="1" t="s">
        <v>17331</v>
      </c>
      <c r="M18" s="1" t="s">
        <v>17332</v>
      </c>
      <c r="N18" s="3" t="s">
        <v>17333</v>
      </c>
      <c r="O18" s="5" t="s">
        <v>17156</v>
      </c>
    </row>
    <row r="19" spans="1:15" ht="13.8">
      <c r="A19" s="1" t="s">
        <v>17334</v>
      </c>
      <c r="B19" s="1" t="s">
        <v>17335</v>
      </c>
      <c r="C19" s="1" t="s">
        <v>17336</v>
      </c>
      <c r="D19" s="1" t="s">
        <v>17337</v>
      </c>
      <c r="E19" s="1" t="s">
        <v>17338</v>
      </c>
      <c r="F19" s="1" t="s">
        <v>17339</v>
      </c>
      <c r="G19" s="1" t="s">
        <v>17340</v>
      </c>
      <c r="H19" s="1">
        <v>205</v>
      </c>
      <c r="I19" s="1" t="s">
        <v>14281</v>
      </c>
      <c r="J19" s="1" t="s">
        <v>14198</v>
      </c>
      <c r="K19" s="1" t="s">
        <v>17341</v>
      </c>
      <c r="L19" s="1" t="s">
        <v>17342</v>
      </c>
      <c r="M19" s="1" t="s">
        <v>17343</v>
      </c>
      <c r="N19" s="3" t="s">
        <v>17344</v>
      </c>
      <c r="O19" s="5" t="s">
        <v>17156</v>
      </c>
    </row>
    <row r="20" spans="1:15" ht="13.8">
      <c r="A20" s="1" t="s">
        <v>17345</v>
      </c>
      <c r="B20" s="1" t="s">
        <v>17346</v>
      </c>
      <c r="C20" s="1" t="s">
        <v>17347</v>
      </c>
      <c r="D20" s="1" t="s">
        <v>17348</v>
      </c>
      <c r="E20" s="1" t="s">
        <v>17349</v>
      </c>
      <c r="F20" s="1" t="s">
        <v>17350</v>
      </c>
      <c r="G20" s="1" t="s">
        <v>17351</v>
      </c>
      <c r="H20" s="1">
        <v>50</v>
      </c>
      <c r="I20" s="1" t="s">
        <v>17252</v>
      </c>
      <c r="J20" s="1" t="s">
        <v>14198</v>
      </c>
      <c r="K20" s="1" t="s">
        <v>17352</v>
      </c>
      <c r="L20" s="1" t="s">
        <v>17353</v>
      </c>
      <c r="M20" s="1" t="s">
        <v>17354</v>
      </c>
      <c r="N20" s="3" t="s">
        <v>17355</v>
      </c>
      <c r="O20" s="5" t="s">
        <v>17156</v>
      </c>
    </row>
    <row r="21" spans="1:15" ht="13.8">
      <c r="A21" s="1" t="s">
        <v>17356</v>
      </c>
      <c r="B21" s="1" t="s">
        <v>17357</v>
      </c>
      <c r="C21" s="1" t="s">
        <v>17358</v>
      </c>
      <c r="D21" s="1" t="s">
        <v>17359</v>
      </c>
      <c r="E21" s="1" t="s">
        <v>17360</v>
      </c>
      <c r="F21" s="1" t="s">
        <v>17361</v>
      </c>
      <c r="G21" s="1" t="s">
        <v>17362</v>
      </c>
      <c r="H21" s="1">
        <v>85</v>
      </c>
      <c r="I21" s="1" t="s">
        <v>8417</v>
      </c>
      <c r="J21" s="1" t="s">
        <v>14198</v>
      </c>
      <c r="K21" s="1" t="s">
        <v>17363</v>
      </c>
      <c r="L21" s="1" t="s">
        <v>17364</v>
      </c>
      <c r="M21" s="1" t="s">
        <v>17365</v>
      </c>
      <c r="N21" s="3" t="s">
        <v>17366</v>
      </c>
      <c r="O21" s="5" t="s">
        <v>17156</v>
      </c>
    </row>
    <row r="22" spans="1:15" ht="409.6">
      <c r="A22" s="1" t="s">
        <v>17367</v>
      </c>
      <c r="B22" s="1" t="s">
        <v>17368</v>
      </c>
      <c r="C22" s="1" t="s">
        <v>17369</v>
      </c>
      <c r="D22" s="1" t="s">
        <v>17370</v>
      </c>
      <c r="E22" s="1" t="s">
        <v>17371</v>
      </c>
      <c r="F22" s="1" t="s">
        <v>17372</v>
      </c>
      <c r="G22" s="1" t="s">
        <v>17373</v>
      </c>
      <c r="H22" s="1">
        <v>90</v>
      </c>
      <c r="I22" s="1" t="s">
        <v>8417</v>
      </c>
      <c r="J22" s="1" t="s">
        <v>14198</v>
      </c>
      <c r="K22" s="4" t="s">
        <v>17374</v>
      </c>
      <c r="L22" s="1" t="s">
        <v>17375</v>
      </c>
      <c r="M22" s="1" t="s">
        <v>17376</v>
      </c>
      <c r="N22" s="3" t="s">
        <v>17377</v>
      </c>
      <c r="O22" s="5" t="s">
        <v>17156</v>
      </c>
    </row>
    <row r="23" spans="1:15" ht="13.8">
      <c r="A23" s="1" t="s">
        <v>17378</v>
      </c>
      <c r="B23" s="1" t="s">
        <v>17379</v>
      </c>
      <c r="C23" s="1" t="s">
        <v>17380</v>
      </c>
      <c r="D23" s="1" t="s">
        <v>17381</v>
      </c>
      <c r="E23" s="1" t="s">
        <v>17382</v>
      </c>
      <c r="F23" s="1" t="s">
        <v>17383</v>
      </c>
      <c r="G23" s="1" t="s">
        <v>17384</v>
      </c>
      <c r="H23" s="1">
        <v>35</v>
      </c>
      <c r="I23" s="1" t="s">
        <v>17252</v>
      </c>
      <c r="J23" s="1" t="s">
        <v>15314</v>
      </c>
      <c r="K23" s="1" t="s">
        <v>17385</v>
      </c>
      <c r="L23" s="1" t="s">
        <v>17386</v>
      </c>
      <c r="M23" s="1" t="s">
        <v>17387</v>
      </c>
      <c r="N23" s="3" t="s">
        <v>17388</v>
      </c>
      <c r="O23" s="5" t="s">
        <v>17156</v>
      </c>
    </row>
    <row r="24" spans="1:15" ht="13.8">
      <c r="A24" s="1" t="s">
        <v>17389</v>
      </c>
      <c r="B24" s="1" t="s">
        <v>17390</v>
      </c>
      <c r="C24" s="1" t="s">
        <v>17391</v>
      </c>
      <c r="D24" s="1" t="s">
        <v>17392</v>
      </c>
      <c r="E24" s="1" t="s">
        <v>17393</v>
      </c>
      <c r="F24" s="1" t="s">
        <v>17394</v>
      </c>
      <c r="G24" s="1" t="s">
        <v>17395</v>
      </c>
      <c r="H24" s="1">
        <v>50</v>
      </c>
      <c r="I24" s="1" t="s">
        <v>14281</v>
      </c>
      <c r="J24" s="1" t="s">
        <v>14198</v>
      </c>
      <c r="K24" s="1" t="s">
        <v>17396</v>
      </c>
      <c r="L24" s="1" t="s">
        <v>17397</v>
      </c>
      <c r="M24" s="1" t="s">
        <v>17398</v>
      </c>
      <c r="N24" s="3" t="s">
        <v>17399</v>
      </c>
      <c r="O24" s="5" t="s">
        <v>17156</v>
      </c>
    </row>
    <row r="25" spans="1:15" ht="13.8">
      <c r="A25" s="1" t="s">
        <v>17400</v>
      </c>
      <c r="B25" s="1" t="s">
        <v>17401</v>
      </c>
      <c r="C25" s="1" t="s">
        <v>17402</v>
      </c>
      <c r="D25" s="1" t="s">
        <v>17403</v>
      </c>
      <c r="E25" s="1" t="s">
        <v>17404</v>
      </c>
      <c r="F25" s="1" t="s">
        <v>17405</v>
      </c>
      <c r="G25" s="1" t="s">
        <v>17406</v>
      </c>
      <c r="H25" s="1">
        <v>50</v>
      </c>
      <c r="I25" s="1" t="s">
        <v>8417</v>
      </c>
      <c r="J25" s="1" t="s">
        <v>15314</v>
      </c>
      <c r="K25" s="1" t="s">
        <v>17407</v>
      </c>
      <c r="L25" s="1" t="s">
        <v>17408</v>
      </c>
      <c r="M25" s="1" t="s">
        <v>17409</v>
      </c>
      <c r="N25" s="3" t="s">
        <v>17410</v>
      </c>
      <c r="O25" s="5" t="s">
        <v>17156</v>
      </c>
    </row>
    <row r="26" spans="1:15" ht="13.8">
      <c r="A26" s="1" t="s">
        <v>17411</v>
      </c>
      <c r="B26" s="1" t="s">
        <v>17412</v>
      </c>
      <c r="C26" s="1" t="s">
        <v>17413</v>
      </c>
      <c r="D26" s="1" t="s">
        <v>17414</v>
      </c>
      <c r="E26" s="1" t="s">
        <v>17415</v>
      </c>
      <c r="F26" s="1" t="s">
        <v>17416</v>
      </c>
      <c r="G26" s="1" t="s">
        <v>17417</v>
      </c>
      <c r="H26" s="1">
        <v>45</v>
      </c>
      <c r="I26" s="1" t="s">
        <v>429</v>
      </c>
      <c r="J26" s="1" t="s">
        <v>14198</v>
      </c>
      <c r="K26" s="1" t="s">
        <v>17418</v>
      </c>
      <c r="L26" s="1" t="s">
        <v>17419</v>
      </c>
      <c r="M26" s="1" t="s">
        <v>17420</v>
      </c>
      <c r="N26" s="3" t="s">
        <v>17421</v>
      </c>
      <c r="O26" s="5" t="s">
        <v>17156</v>
      </c>
    </row>
    <row r="27" spans="1:15" ht="13.8">
      <c r="A27" s="1" t="s">
        <v>17422</v>
      </c>
      <c r="B27" s="1" t="s">
        <v>17423</v>
      </c>
      <c r="C27" s="1" t="s">
        <v>17424</v>
      </c>
      <c r="D27" s="1" t="s">
        <v>17425</v>
      </c>
      <c r="E27" s="1" t="s">
        <v>17426</v>
      </c>
      <c r="F27" s="1" t="s">
        <v>17427</v>
      </c>
      <c r="G27" s="1" t="s">
        <v>17428</v>
      </c>
      <c r="H27" s="1">
        <v>55</v>
      </c>
      <c r="I27" s="1" t="s">
        <v>14572</v>
      </c>
      <c r="J27" s="1" t="s">
        <v>14382</v>
      </c>
      <c r="K27" s="1" t="s">
        <v>17429</v>
      </c>
      <c r="L27" s="1" t="s">
        <v>17430</v>
      </c>
      <c r="M27" s="1" t="s">
        <v>17431</v>
      </c>
      <c r="N27" s="3" t="s">
        <v>17432</v>
      </c>
      <c r="O27" s="5" t="s">
        <v>17156</v>
      </c>
    </row>
    <row r="28" spans="1:15" ht="13.8">
      <c r="A28" s="1" t="s">
        <v>17433</v>
      </c>
      <c r="B28" s="1" t="s">
        <v>17434</v>
      </c>
      <c r="C28" s="1" t="s">
        <v>17435</v>
      </c>
      <c r="D28" s="1" t="s">
        <v>17436</v>
      </c>
      <c r="E28" s="1" t="s">
        <v>17437</v>
      </c>
      <c r="F28" s="1" t="s">
        <v>17438</v>
      </c>
      <c r="G28" s="1" t="s">
        <v>17439</v>
      </c>
      <c r="H28" s="1">
        <v>20</v>
      </c>
      <c r="I28" s="1" t="s">
        <v>14198</v>
      </c>
      <c r="J28" s="1" t="s">
        <v>14198</v>
      </c>
      <c r="K28" s="1" t="s">
        <v>17440</v>
      </c>
      <c r="L28" s="1" t="s">
        <v>17441</v>
      </c>
      <c r="M28" s="1" t="s">
        <v>17442</v>
      </c>
      <c r="N28" s="3" t="s">
        <v>17443</v>
      </c>
      <c r="O28" s="5" t="s">
        <v>17156</v>
      </c>
    </row>
    <row r="29" spans="1:15" ht="13.8">
      <c r="A29" s="1" t="s">
        <v>17444</v>
      </c>
      <c r="B29" s="1" t="s">
        <v>17445</v>
      </c>
      <c r="C29" s="1" t="s">
        <v>17446</v>
      </c>
      <c r="D29" s="1" t="s">
        <v>17447</v>
      </c>
      <c r="E29" s="1" t="s">
        <v>17448</v>
      </c>
      <c r="F29" s="1" t="s">
        <v>17449</v>
      </c>
      <c r="G29" s="1" t="s">
        <v>17450</v>
      </c>
      <c r="H29" s="1">
        <v>90</v>
      </c>
      <c r="I29" s="1" t="s">
        <v>8417</v>
      </c>
      <c r="J29" s="1" t="s">
        <v>15314</v>
      </c>
      <c r="K29" s="1" t="s">
        <v>17451</v>
      </c>
      <c r="L29" s="1" t="s">
        <v>17452</v>
      </c>
      <c r="M29" s="1" t="s">
        <v>17453</v>
      </c>
      <c r="N29" s="3" t="s">
        <v>17454</v>
      </c>
      <c r="O29" s="5" t="s">
        <v>17156</v>
      </c>
    </row>
    <row r="30" spans="1:15" ht="409.6">
      <c r="A30" s="1" t="s">
        <v>17455</v>
      </c>
      <c r="B30" s="1" t="s">
        <v>17456</v>
      </c>
      <c r="C30" s="1" t="s">
        <v>17457</v>
      </c>
      <c r="D30" s="1" t="s">
        <v>17458</v>
      </c>
      <c r="E30" s="1" t="s">
        <v>17459</v>
      </c>
      <c r="F30" s="1" t="s">
        <v>17460</v>
      </c>
      <c r="G30" s="1" t="s">
        <v>17461</v>
      </c>
      <c r="H30" s="1">
        <v>50</v>
      </c>
      <c r="I30" s="1" t="s">
        <v>14259</v>
      </c>
      <c r="J30" s="1" t="s">
        <v>15314</v>
      </c>
      <c r="K30" s="4" t="s">
        <v>17462</v>
      </c>
      <c r="L30" s="1" t="s">
        <v>17463</v>
      </c>
      <c r="M30" s="1" t="s">
        <v>17464</v>
      </c>
      <c r="N30" s="3" t="s">
        <v>17465</v>
      </c>
      <c r="O30" s="5" t="s">
        <v>17156</v>
      </c>
    </row>
    <row r="31" spans="1:15" ht="13.8">
      <c r="A31" s="1" t="s">
        <v>17466</v>
      </c>
      <c r="B31" s="1" t="s">
        <v>17467</v>
      </c>
      <c r="C31" s="1" t="s">
        <v>17468</v>
      </c>
      <c r="D31" s="1" t="s">
        <v>17469</v>
      </c>
      <c r="E31" s="1" t="s">
        <v>17470</v>
      </c>
      <c r="F31" s="1" t="s">
        <v>17471</v>
      </c>
      <c r="G31" s="1" t="s">
        <v>17472</v>
      </c>
      <c r="H31" s="1">
        <v>25</v>
      </c>
      <c r="I31" s="1" t="s">
        <v>14572</v>
      </c>
      <c r="J31" s="1" t="s">
        <v>14198</v>
      </c>
      <c r="K31" s="1" t="s">
        <v>17473</v>
      </c>
      <c r="L31" s="1" t="s">
        <v>17474</v>
      </c>
      <c r="M31" s="1" t="s">
        <v>17475</v>
      </c>
      <c r="N31" s="3" t="s">
        <v>17476</v>
      </c>
      <c r="O31" s="5" t="s">
        <v>17156</v>
      </c>
    </row>
    <row r="32" spans="1:15" ht="13.8">
      <c r="A32" s="1" t="s">
        <v>17477</v>
      </c>
      <c r="B32" s="1" t="s">
        <v>17478</v>
      </c>
      <c r="C32" s="1" t="s">
        <v>17479</v>
      </c>
      <c r="D32" s="1" t="s">
        <v>17480</v>
      </c>
      <c r="E32" s="1" t="s">
        <v>17481</v>
      </c>
      <c r="F32" s="1" t="s">
        <v>17482</v>
      </c>
      <c r="G32" s="1" t="s">
        <v>17483</v>
      </c>
      <c r="H32" s="1">
        <v>40</v>
      </c>
      <c r="I32" s="1" t="s">
        <v>14572</v>
      </c>
      <c r="J32" s="1" t="s">
        <v>14198</v>
      </c>
      <c r="K32" s="1" t="s">
        <v>17484</v>
      </c>
      <c r="L32" s="1" t="s">
        <v>17485</v>
      </c>
      <c r="M32" s="1" t="s">
        <v>17486</v>
      </c>
      <c r="N32" s="3" t="s">
        <v>17487</v>
      </c>
      <c r="O32" s="5" t="s">
        <v>17156</v>
      </c>
    </row>
    <row r="33" spans="1:15" ht="13.8">
      <c r="A33" s="1" t="s">
        <v>17488</v>
      </c>
      <c r="B33" s="1" t="s">
        <v>17489</v>
      </c>
      <c r="C33" s="1" t="s">
        <v>17490</v>
      </c>
      <c r="D33" s="1" t="s">
        <v>17491</v>
      </c>
      <c r="E33" s="1"/>
      <c r="F33" s="1"/>
      <c r="G33" s="1"/>
      <c r="H33" s="1">
        <v>40</v>
      </c>
      <c r="I33" s="1" t="s">
        <v>14572</v>
      </c>
      <c r="J33" s="1" t="s">
        <v>14198</v>
      </c>
      <c r="K33" s="1" t="s">
        <v>17492</v>
      </c>
      <c r="L33" s="1" t="s">
        <v>17493</v>
      </c>
      <c r="M33" s="1" t="s">
        <v>17494</v>
      </c>
      <c r="N33" s="3" t="s">
        <v>17495</v>
      </c>
      <c r="O33" s="5" t="s">
        <v>17156</v>
      </c>
    </row>
    <row r="34" spans="1:15" ht="13.8">
      <c r="A34" s="1" t="s">
        <v>17496</v>
      </c>
      <c r="B34" s="1" t="s">
        <v>17497</v>
      </c>
      <c r="C34" s="1" t="s">
        <v>17498</v>
      </c>
      <c r="D34" s="1" t="s">
        <v>17499</v>
      </c>
      <c r="E34" s="1" t="s">
        <v>17500</v>
      </c>
      <c r="F34" s="1" t="s">
        <v>17501</v>
      </c>
      <c r="G34" s="1" t="s">
        <v>17502</v>
      </c>
      <c r="H34" s="1">
        <v>20</v>
      </c>
      <c r="I34" s="1" t="s">
        <v>14572</v>
      </c>
      <c r="J34" s="1" t="s">
        <v>14198</v>
      </c>
      <c r="K34" s="1" t="s">
        <v>17503</v>
      </c>
      <c r="L34" s="1" t="s">
        <v>17504</v>
      </c>
      <c r="M34" s="1" t="s">
        <v>17505</v>
      </c>
      <c r="N34" s="3" t="s">
        <v>17506</v>
      </c>
      <c r="O34" s="5" t="s">
        <v>17156</v>
      </c>
    </row>
    <row r="35" spans="1:15" ht="409.6">
      <c r="A35" s="1" t="s">
        <v>17507</v>
      </c>
      <c r="B35" s="1" t="s">
        <v>17508</v>
      </c>
      <c r="C35" s="1" t="s">
        <v>17509</v>
      </c>
      <c r="D35" s="1" t="s">
        <v>17510</v>
      </c>
      <c r="E35" s="1" t="s">
        <v>17511</v>
      </c>
      <c r="F35" s="1" t="s">
        <v>17512</v>
      </c>
      <c r="G35" s="1" t="s">
        <v>17513</v>
      </c>
      <c r="H35" s="1">
        <v>180</v>
      </c>
      <c r="I35" s="1" t="s">
        <v>8417</v>
      </c>
      <c r="J35" s="1" t="s">
        <v>15314</v>
      </c>
      <c r="K35" s="4" t="s">
        <v>17514</v>
      </c>
      <c r="L35" s="1" t="s">
        <v>17515</v>
      </c>
      <c r="M35" s="1" t="s">
        <v>17516</v>
      </c>
      <c r="N35" s="3" t="s">
        <v>17517</v>
      </c>
      <c r="O35" s="5" t="s">
        <v>17156</v>
      </c>
    </row>
    <row r="36" spans="1:15" ht="409.6">
      <c r="A36" s="1" t="s">
        <v>17518</v>
      </c>
      <c r="B36" s="1" t="s">
        <v>17519</v>
      </c>
      <c r="C36" s="1" t="s">
        <v>17520</v>
      </c>
      <c r="D36" s="1" t="s">
        <v>17521</v>
      </c>
      <c r="E36" s="1" t="s">
        <v>17522</v>
      </c>
      <c r="F36" s="1" t="s">
        <v>17523</v>
      </c>
      <c r="G36" s="1" t="s">
        <v>17524</v>
      </c>
      <c r="H36" s="1">
        <v>60</v>
      </c>
      <c r="I36" s="1" t="s">
        <v>14572</v>
      </c>
      <c r="J36" s="1" t="s">
        <v>14198</v>
      </c>
      <c r="K36" s="4" t="s">
        <v>17525</v>
      </c>
      <c r="L36" s="1" t="s">
        <v>17526</v>
      </c>
      <c r="M36" s="1" t="s">
        <v>17527</v>
      </c>
      <c r="N36" s="3" t="s">
        <v>17528</v>
      </c>
      <c r="O36" s="5" t="s">
        <v>17156</v>
      </c>
    </row>
    <row r="37" spans="1:15" ht="13.8">
      <c r="A37" s="1" t="s">
        <v>17529</v>
      </c>
      <c r="B37" s="1" t="s">
        <v>17530</v>
      </c>
      <c r="C37" s="1" t="s">
        <v>17531</v>
      </c>
      <c r="D37" s="1" t="s">
        <v>17532</v>
      </c>
      <c r="E37" s="1" t="s">
        <v>17522</v>
      </c>
      <c r="F37" s="1" t="s">
        <v>17523</v>
      </c>
      <c r="G37" s="1" t="s">
        <v>17524</v>
      </c>
      <c r="H37" s="1">
        <v>60</v>
      </c>
      <c r="I37" s="1" t="s">
        <v>14572</v>
      </c>
      <c r="J37" s="1" t="s">
        <v>14198</v>
      </c>
      <c r="K37" s="1" t="s">
        <v>17525</v>
      </c>
      <c r="L37" s="1" t="s">
        <v>17526</v>
      </c>
      <c r="M37" s="1" t="s">
        <v>17527</v>
      </c>
      <c r="N37" s="3" t="s">
        <v>17533</v>
      </c>
      <c r="O37" s="5" t="s">
        <v>17156</v>
      </c>
    </row>
    <row r="38" spans="1:15" ht="13.8">
      <c r="A38" s="1" t="s">
        <v>17534</v>
      </c>
      <c r="B38" s="1" t="s">
        <v>17535</v>
      </c>
      <c r="C38" s="1" t="s">
        <v>17536</v>
      </c>
      <c r="D38" s="1" t="s">
        <v>17537</v>
      </c>
      <c r="E38" s="1" t="s">
        <v>17538</v>
      </c>
      <c r="F38" s="1" t="s">
        <v>17539</v>
      </c>
      <c r="G38" s="1" t="s">
        <v>17540</v>
      </c>
      <c r="H38" s="1">
        <v>40</v>
      </c>
      <c r="I38" s="1" t="s">
        <v>17252</v>
      </c>
      <c r="J38" s="1" t="s">
        <v>14198</v>
      </c>
      <c r="K38" s="1" t="s">
        <v>17541</v>
      </c>
      <c r="L38" s="1" t="s">
        <v>17542</v>
      </c>
      <c r="M38" s="1" t="s">
        <v>17543</v>
      </c>
      <c r="N38" s="3" t="s">
        <v>17544</v>
      </c>
      <c r="O38" s="5" t="s">
        <v>17156</v>
      </c>
    </row>
    <row r="39" spans="1:15" ht="409.6">
      <c r="A39" s="1" t="s">
        <v>17545</v>
      </c>
      <c r="B39" s="1" t="s">
        <v>17546</v>
      </c>
      <c r="C39" s="1" t="s">
        <v>17547</v>
      </c>
      <c r="D39" s="1" t="s">
        <v>17548</v>
      </c>
      <c r="E39" s="1" t="s">
        <v>17549</v>
      </c>
      <c r="F39" s="1" t="s">
        <v>17550</v>
      </c>
      <c r="G39" s="1" t="s">
        <v>17551</v>
      </c>
      <c r="H39" s="1">
        <v>15</v>
      </c>
      <c r="I39" s="1" t="s">
        <v>14207</v>
      </c>
      <c r="J39" s="1" t="s">
        <v>14198</v>
      </c>
      <c r="K39" s="4" t="s">
        <v>17552</v>
      </c>
      <c r="L39" s="1" t="s">
        <v>17553</v>
      </c>
      <c r="M39" s="1" t="s">
        <v>17554</v>
      </c>
      <c r="N39" s="3" t="s">
        <v>17555</v>
      </c>
      <c r="O39" s="5" t="s">
        <v>17156</v>
      </c>
    </row>
    <row r="40" spans="1:15" ht="409.6">
      <c r="A40" s="1" t="s">
        <v>17556</v>
      </c>
      <c r="B40" s="1" t="s">
        <v>17557</v>
      </c>
      <c r="C40" s="1" t="s">
        <v>17558</v>
      </c>
      <c r="D40" s="1" t="s">
        <v>17559</v>
      </c>
      <c r="E40" s="1" t="s">
        <v>17560</v>
      </c>
      <c r="F40" s="1" t="s">
        <v>17561</v>
      </c>
      <c r="G40" s="1" t="s">
        <v>17562</v>
      </c>
      <c r="H40" s="1">
        <v>35</v>
      </c>
      <c r="I40" s="1" t="s">
        <v>14281</v>
      </c>
      <c r="J40" s="1" t="s">
        <v>14198</v>
      </c>
      <c r="K40" s="4" t="s">
        <v>17563</v>
      </c>
      <c r="L40" s="1" t="s">
        <v>17564</v>
      </c>
      <c r="M40" s="1" t="s">
        <v>17565</v>
      </c>
      <c r="N40" s="3" t="s">
        <v>17566</v>
      </c>
      <c r="O40" s="5" t="s">
        <v>17156</v>
      </c>
    </row>
    <row r="41" spans="1:15" ht="13.8">
      <c r="A41" s="1" t="s">
        <v>17567</v>
      </c>
      <c r="B41" s="1" t="s">
        <v>17568</v>
      </c>
      <c r="C41" s="1" t="s">
        <v>17569</v>
      </c>
      <c r="D41" s="1" t="s">
        <v>17570</v>
      </c>
      <c r="E41" s="1" t="s">
        <v>17571</v>
      </c>
      <c r="F41" s="1" t="s">
        <v>17572</v>
      </c>
      <c r="G41" s="1" t="s">
        <v>17573</v>
      </c>
      <c r="H41" s="1">
        <v>75</v>
      </c>
      <c r="I41" s="1" t="s">
        <v>8417</v>
      </c>
      <c r="J41" s="1" t="s">
        <v>14198</v>
      </c>
      <c r="K41" s="1" t="s">
        <v>17574</v>
      </c>
      <c r="L41" s="1" t="s">
        <v>17575</v>
      </c>
      <c r="M41" s="1" t="s">
        <v>17576</v>
      </c>
      <c r="N41" s="3" t="s">
        <v>17577</v>
      </c>
      <c r="O41" s="5" t="s">
        <v>17156</v>
      </c>
    </row>
    <row r="42" spans="1:15" ht="13.8">
      <c r="A42" s="1" t="s">
        <v>17578</v>
      </c>
      <c r="B42" s="1" t="s">
        <v>17579</v>
      </c>
      <c r="C42" s="1" t="s">
        <v>17580</v>
      </c>
      <c r="D42" s="1" t="s">
        <v>17581</v>
      </c>
      <c r="E42" s="1" t="s">
        <v>17582</v>
      </c>
      <c r="F42" s="1" t="s">
        <v>17583</v>
      </c>
      <c r="G42" s="1" t="s">
        <v>17584</v>
      </c>
      <c r="H42" s="1">
        <v>20</v>
      </c>
      <c r="I42" s="1" t="s">
        <v>17252</v>
      </c>
      <c r="J42" s="1" t="s">
        <v>15314</v>
      </c>
      <c r="K42" s="1" t="s">
        <v>17585</v>
      </c>
      <c r="L42" s="1" t="s">
        <v>17586</v>
      </c>
      <c r="M42" s="1" t="s">
        <v>17587</v>
      </c>
      <c r="N42" s="3" t="s">
        <v>17588</v>
      </c>
    </row>
    <row r="43" spans="1:15" ht="409.6">
      <c r="A43" s="1" t="s">
        <v>17589</v>
      </c>
      <c r="B43" s="1" t="s">
        <v>17590</v>
      </c>
      <c r="C43" s="1" t="s">
        <v>17591</v>
      </c>
      <c r="D43" s="1" t="s">
        <v>17592</v>
      </c>
      <c r="E43" s="1" t="s">
        <v>17593</v>
      </c>
      <c r="F43" s="1" t="s">
        <v>17594</v>
      </c>
      <c r="G43" s="1" t="s">
        <v>17595</v>
      </c>
      <c r="H43" s="1">
        <v>45</v>
      </c>
      <c r="I43" s="1" t="s">
        <v>14572</v>
      </c>
      <c r="J43" s="1" t="s">
        <v>14198</v>
      </c>
      <c r="K43" s="4" t="s">
        <v>17596</v>
      </c>
      <c r="L43" s="1" t="s">
        <v>17597</v>
      </c>
      <c r="M43" s="1" t="s">
        <v>17598</v>
      </c>
      <c r="N43" s="3" t="s">
        <v>17599</v>
      </c>
    </row>
    <row r="44" spans="1:15" ht="13.8">
      <c r="A44" s="1" t="s">
        <v>17600</v>
      </c>
      <c r="B44" s="1" t="s">
        <v>17601</v>
      </c>
      <c r="C44" s="1" t="s">
        <v>17602</v>
      </c>
      <c r="D44" s="1" t="s">
        <v>17603</v>
      </c>
      <c r="E44" s="1" t="s">
        <v>17604</v>
      </c>
      <c r="F44" s="1" t="s">
        <v>17605</v>
      </c>
      <c r="G44" s="1" t="s">
        <v>17606</v>
      </c>
      <c r="H44" s="1">
        <v>70</v>
      </c>
      <c r="I44" s="1" t="s">
        <v>8417</v>
      </c>
      <c r="J44" s="1" t="s">
        <v>14198</v>
      </c>
      <c r="K44" s="1" t="s">
        <v>17607</v>
      </c>
      <c r="L44" s="1" t="s">
        <v>17608</v>
      </c>
      <c r="M44" s="1" t="s">
        <v>17609</v>
      </c>
      <c r="N44" s="3" t="s">
        <v>17610</v>
      </c>
    </row>
    <row r="45" spans="1:15" ht="13.8">
      <c r="A45" s="1" t="s">
        <v>17611</v>
      </c>
      <c r="B45" s="1" t="s">
        <v>17612</v>
      </c>
      <c r="C45" s="1" t="s">
        <v>17613</v>
      </c>
      <c r="D45" s="1" t="s">
        <v>17614</v>
      </c>
      <c r="E45" s="1" t="s">
        <v>17615</v>
      </c>
      <c r="F45" s="1" t="s">
        <v>17616</v>
      </c>
      <c r="G45" s="1" t="s">
        <v>17617</v>
      </c>
      <c r="H45" s="1">
        <v>30</v>
      </c>
      <c r="I45" s="1" t="s">
        <v>14572</v>
      </c>
      <c r="J45" s="1" t="s">
        <v>14382</v>
      </c>
      <c r="K45" s="1" t="s">
        <v>17618</v>
      </c>
      <c r="L45" s="1" t="s">
        <v>17619</v>
      </c>
      <c r="M45" s="1" t="s">
        <v>17620</v>
      </c>
      <c r="N45" s="3" t="s">
        <v>17621</v>
      </c>
    </row>
    <row r="46" spans="1:15" ht="409.6">
      <c r="A46" s="1" t="s">
        <v>17622</v>
      </c>
      <c r="B46" s="1" t="s">
        <v>17623</v>
      </c>
      <c r="C46" s="1" t="s">
        <v>17624</v>
      </c>
      <c r="D46" s="1" t="s">
        <v>17625</v>
      </c>
      <c r="E46" s="1" t="s">
        <v>17626</v>
      </c>
      <c r="F46" s="1" t="s">
        <v>17627</v>
      </c>
      <c r="G46" s="1" t="s">
        <v>17628</v>
      </c>
      <c r="H46" s="1">
        <v>45</v>
      </c>
      <c r="I46" s="1" t="s">
        <v>14281</v>
      </c>
      <c r="J46" s="1" t="s">
        <v>15314</v>
      </c>
      <c r="K46" s="4" t="s">
        <v>17629</v>
      </c>
      <c r="L46" s="1" t="s">
        <v>17630</v>
      </c>
      <c r="M46" s="1" t="s">
        <v>17631</v>
      </c>
      <c r="N46" s="3" t="s">
        <v>17632</v>
      </c>
    </row>
    <row r="47" spans="1:15" ht="409.6">
      <c r="A47" s="1" t="s">
        <v>17633</v>
      </c>
      <c r="B47" s="1" t="s">
        <v>17634</v>
      </c>
      <c r="C47" s="1" t="s">
        <v>17635</v>
      </c>
      <c r="D47" s="1" t="s">
        <v>17636</v>
      </c>
      <c r="E47" s="1" t="s">
        <v>17637</v>
      </c>
      <c r="F47" s="1" t="s">
        <v>17638</v>
      </c>
      <c r="G47" s="1" t="s">
        <v>17639</v>
      </c>
      <c r="H47" s="1">
        <v>20</v>
      </c>
      <c r="I47" s="1" t="s">
        <v>14281</v>
      </c>
      <c r="J47" s="1" t="s">
        <v>14237</v>
      </c>
      <c r="K47" s="4" t="s">
        <v>17640</v>
      </c>
      <c r="L47" s="1" t="s">
        <v>17641</v>
      </c>
      <c r="M47" s="1" t="s">
        <v>17642</v>
      </c>
      <c r="N47" s="3" t="s">
        <v>17643</v>
      </c>
    </row>
    <row r="48" spans="1:15" ht="13.8">
      <c r="A48" s="1" t="s">
        <v>17644</v>
      </c>
      <c r="B48" s="1" t="s">
        <v>17645</v>
      </c>
      <c r="C48" s="1" t="s">
        <v>17646</v>
      </c>
      <c r="D48" s="1" t="s">
        <v>17647</v>
      </c>
      <c r="E48" s="1" t="s">
        <v>17648</v>
      </c>
      <c r="F48" s="1" t="s">
        <v>17649</v>
      </c>
      <c r="G48" s="1" t="s">
        <v>17650</v>
      </c>
      <c r="H48" s="1">
        <v>65</v>
      </c>
      <c r="I48" s="1" t="s">
        <v>145</v>
      </c>
      <c r="J48" s="1" t="s">
        <v>14382</v>
      </c>
      <c r="K48" s="1" t="s">
        <v>17651</v>
      </c>
      <c r="L48" s="1" t="s">
        <v>17652</v>
      </c>
      <c r="M48" s="1" t="s">
        <v>17653</v>
      </c>
      <c r="N48" s="3" t="s">
        <v>17654</v>
      </c>
    </row>
    <row r="49" spans="1:14" ht="409.6">
      <c r="A49" s="1" t="s">
        <v>17655</v>
      </c>
      <c r="B49" s="1" t="s">
        <v>17656</v>
      </c>
      <c r="C49" s="1" t="s">
        <v>17657</v>
      </c>
      <c r="D49" s="1" t="s">
        <v>17658</v>
      </c>
      <c r="E49" s="1" t="s">
        <v>17659</v>
      </c>
      <c r="F49" s="1" t="s">
        <v>17660</v>
      </c>
      <c r="G49" s="1" t="s">
        <v>17661</v>
      </c>
      <c r="H49" s="1">
        <v>45</v>
      </c>
      <c r="I49" s="1" t="s">
        <v>14259</v>
      </c>
      <c r="J49" s="1" t="s">
        <v>14198</v>
      </c>
      <c r="K49" s="4" t="s">
        <v>17662</v>
      </c>
      <c r="L49" s="1" t="s">
        <v>17663</v>
      </c>
      <c r="M49" s="1" t="s">
        <v>17664</v>
      </c>
      <c r="N49" s="3" t="s">
        <v>17665</v>
      </c>
    </row>
    <row r="50" spans="1:14" ht="409.6">
      <c r="A50" s="1" t="s">
        <v>17666</v>
      </c>
      <c r="B50" s="1" t="s">
        <v>17667</v>
      </c>
      <c r="C50" s="1" t="s">
        <v>17668</v>
      </c>
      <c r="D50" s="1" t="s">
        <v>17669</v>
      </c>
      <c r="E50" s="1" t="s">
        <v>17670</v>
      </c>
      <c r="F50" s="1" t="s">
        <v>17671</v>
      </c>
      <c r="G50" s="1" t="s">
        <v>17672</v>
      </c>
      <c r="H50" s="1">
        <v>75</v>
      </c>
      <c r="I50" s="1" t="s">
        <v>14281</v>
      </c>
      <c r="J50" s="1" t="s">
        <v>14198</v>
      </c>
      <c r="K50" s="4" t="s">
        <v>17673</v>
      </c>
      <c r="L50" s="1" t="s">
        <v>17674</v>
      </c>
      <c r="M50" s="1" t="s">
        <v>17675</v>
      </c>
      <c r="N50" s="3" t="s">
        <v>17676</v>
      </c>
    </row>
    <row r="51" spans="1:14" ht="409.6">
      <c r="A51" s="1" t="s">
        <v>17677</v>
      </c>
      <c r="B51" s="1" t="s">
        <v>17678</v>
      </c>
      <c r="C51" s="1" t="s">
        <v>17679</v>
      </c>
      <c r="D51" s="1" t="s">
        <v>17680</v>
      </c>
      <c r="E51" s="1" t="s">
        <v>17681</v>
      </c>
      <c r="F51" s="1" t="s">
        <v>17682</v>
      </c>
      <c r="G51" s="1" t="s">
        <v>17683</v>
      </c>
      <c r="H51" s="1">
        <v>25</v>
      </c>
      <c r="I51" s="1" t="s">
        <v>429</v>
      </c>
      <c r="J51" s="1" t="s">
        <v>14367</v>
      </c>
      <c r="K51" s="4" t="s">
        <v>17684</v>
      </c>
      <c r="L51" s="1" t="s">
        <v>17685</v>
      </c>
      <c r="M51" s="1" t="s">
        <v>17686</v>
      </c>
      <c r="N51" s="3" t="s">
        <v>17687</v>
      </c>
    </row>
    <row r="52" spans="1:14" ht="409.6">
      <c r="A52" s="1" t="s">
        <v>17688</v>
      </c>
      <c r="B52" s="1" t="s">
        <v>17689</v>
      </c>
      <c r="C52" s="1" t="s">
        <v>17690</v>
      </c>
      <c r="D52" s="1" t="s">
        <v>17691</v>
      </c>
      <c r="E52" s="1" t="s">
        <v>17692</v>
      </c>
      <c r="F52" s="1" t="s">
        <v>17693</v>
      </c>
      <c r="G52" s="1" t="s">
        <v>17694</v>
      </c>
      <c r="H52" s="1">
        <v>15</v>
      </c>
      <c r="I52" s="1" t="s">
        <v>17252</v>
      </c>
      <c r="J52" s="1" t="s">
        <v>15314</v>
      </c>
      <c r="K52" s="4" t="s">
        <v>17695</v>
      </c>
      <c r="L52" s="1" t="s">
        <v>17696</v>
      </c>
      <c r="M52" s="1" t="s">
        <v>17697</v>
      </c>
      <c r="N52" s="3" t="s">
        <v>17698</v>
      </c>
    </row>
    <row r="53" spans="1:14" ht="409.6">
      <c r="A53" s="1" t="s">
        <v>17699</v>
      </c>
      <c r="B53" s="1" t="s">
        <v>17700</v>
      </c>
      <c r="C53" s="1" t="s">
        <v>17701</v>
      </c>
      <c r="D53" s="1" t="s">
        <v>17702</v>
      </c>
      <c r="E53" s="1" t="s">
        <v>17703</v>
      </c>
      <c r="F53" s="1" t="s">
        <v>17704</v>
      </c>
      <c r="G53" s="1" t="s">
        <v>17705</v>
      </c>
      <c r="H53" s="1">
        <v>60</v>
      </c>
      <c r="I53" s="1" t="s">
        <v>14572</v>
      </c>
      <c r="J53" s="1" t="s">
        <v>14198</v>
      </c>
      <c r="K53" s="4" t="s">
        <v>17706</v>
      </c>
      <c r="L53" s="1" t="s">
        <v>17707</v>
      </c>
      <c r="M53" s="1" t="s">
        <v>17708</v>
      </c>
      <c r="N53" s="3" t="s">
        <v>17709</v>
      </c>
    </row>
    <row r="54" spans="1:14" ht="13.8">
      <c r="A54" s="1" t="s">
        <v>17710</v>
      </c>
      <c r="B54" s="1" t="s">
        <v>17711</v>
      </c>
      <c r="C54" s="1" t="s">
        <v>17712</v>
      </c>
      <c r="D54" s="1" t="s">
        <v>17713</v>
      </c>
      <c r="E54" s="1" t="s">
        <v>17714</v>
      </c>
      <c r="F54" s="1" t="s">
        <v>17715</v>
      </c>
      <c r="G54" s="1" t="s">
        <v>17716</v>
      </c>
      <c r="H54" s="1">
        <v>80</v>
      </c>
      <c r="I54" s="1" t="s">
        <v>429</v>
      </c>
      <c r="J54" s="1" t="s">
        <v>14367</v>
      </c>
      <c r="K54" s="1" t="s">
        <v>17717</v>
      </c>
      <c r="L54" s="1" t="s">
        <v>17718</v>
      </c>
      <c r="M54" s="1" t="s">
        <v>17719</v>
      </c>
      <c r="N54" s="3" t="s">
        <v>17720</v>
      </c>
    </row>
    <row r="55" spans="1:14" ht="409.6">
      <c r="A55" s="1" t="s">
        <v>17721</v>
      </c>
      <c r="B55" s="1" t="s">
        <v>17722</v>
      </c>
      <c r="C55" s="1" t="s">
        <v>17723</v>
      </c>
      <c r="D55" s="1" t="s">
        <v>17724</v>
      </c>
      <c r="E55" s="1" t="s">
        <v>17725</v>
      </c>
      <c r="F55" s="1" t="s">
        <v>17726</v>
      </c>
      <c r="G55" s="1" t="s">
        <v>17727</v>
      </c>
      <c r="H55" s="1">
        <v>45</v>
      </c>
      <c r="I55" s="1" t="s">
        <v>8417</v>
      </c>
      <c r="J55" s="1" t="s">
        <v>14198</v>
      </c>
      <c r="K55" s="4" t="s">
        <v>17728</v>
      </c>
      <c r="L55" s="1" t="s">
        <v>17729</v>
      </c>
      <c r="M55" s="1" t="s">
        <v>17730</v>
      </c>
      <c r="N55" s="3" t="s">
        <v>17731</v>
      </c>
    </row>
    <row r="56" spans="1:14" ht="409.6">
      <c r="A56" s="1" t="s">
        <v>17732</v>
      </c>
      <c r="B56" s="1" t="s">
        <v>17733</v>
      </c>
      <c r="C56" s="1" t="s">
        <v>17734</v>
      </c>
      <c r="D56" s="1" t="s">
        <v>17735</v>
      </c>
      <c r="E56" s="1" t="s">
        <v>17736</v>
      </c>
      <c r="F56" s="1" t="s">
        <v>17737</v>
      </c>
      <c r="G56" s="1" t="s">
        <v>17738</v>
      </c>
      <c r="H56" s="1">
        <v>25</v>
      </c>
      <c r="I56" s="1" t="s">
        <v>145</v>
      </c>
      <c r="J56" s="1" t="s">
        <v>14237</v>
      </c>
      <c r="K56" s="4" t="s">
        <v>17739</v>
      </c>
      <c r="L56" s="1" t="s">
        <v>17740</v>
      </c>
      <c r="M56" s="1" t="s">
        <v>17741</v>
      </c>
      <c r="N56" s="3" t="s">
        <v>17742</v>
      </c>
    </row>
    <row r="57" spans="1:14" ht="13.8">
      <c r="A57" s="1" t="s">
        <v>17743</v>
      </c>
      <c r="B57" s="1" t="s">
        <v>17744</v>
      </c>
      <c r="C57" s="1" t="s">
        <v>17745</v>
      </c>
      <c r="D57" s="1" t="s">
        <v>17746</v>
      </c>
      <c r="E57" s="1" t="s">
        <v>17747</v>
      </c>
      <c r="F57" s="1" t="s">
        <v>17748</v>
      </c>
      <c r="G57" s="1" t="s">
        <v>17749</v>
      </c>
      <c r="H57" s="1">
        <v>30</v>
      </c>
      <c r="I57" s="1" t="s">
        <v>14572</v>
      </c>
      <c r="J57" s="1" t="s">
        <v>14198</v>
      </c>
      <c r="K57" s="1" t="s">
        <v>17750</v>
      </c>
      <c r="L57" s="1" t="s">
        <v>17751</v>
      </c>
      <c r="M57" s="1" t="s">
        <v>17752</v>
      </c>
      <c r="N57" s="3" t="s">
        <v>17753</v>
      </c>
    </row>
    <row r="58" spans="1:14" ht="13.8">
      <c r="A58" s="1" t="s">
        <v>17754</v>
      </c>
      <c r="B58" s="1" t="s">
        <v>17755</v>
      </c>
      <c r="C58" s="1" t="s">
        <v>17756</v>
      </c>
      <c r="D58" s="1" t="s">
        <v>17757</v>
      </c>
      <c r="E58" s="1" t="s">
        <v>17758</v>
      </c>
      <c r="F58" s="1" t="s">
        <v>17759</v>
      </c>
      <c r="G58" s="1" t="s">
        <v>17760</v>
      </c>
      <c r="H58" s="1">
        <v>10</v>
      </c>
      <c r="I58" s="1" t="s">
        <v>15314</v>
      </c>
      <c r="J58" s="1" t="s">
        <v>14198</v>
      </c>
      <c r="K58" s="1" t="s">
        <v>17761</v>
      </c>
      <c r="L58" s="1" t="s">
        <v>17762</v>
      </c>
      <c r="M58" s="1" t="s">
        <v>17763</v>
      </c>
      <c r="N58" s="3" t="s">
        <v>17764</v>
      </c>
    </row>
    <row r="59" spans="1:14" ht="409.6">
      <c r="A59" s="1" t="s">
        <v>17765</v>
      </c>
      <c r="B59" s="1" t="s">
        <v>17766</v>
      </c>
      <c r="C59" s="1" t="s">
        <v>17767</v>
      </c>
      <c r="D59" s="1" t="s">
        <v>17768</v>
      </c>
      <c r="E59" s="1" t="s">
        <v>17769</v>
      </c>
      <c r="F59" s="1" t="s">
        <v>17770</v>
      </c>
      <c r="G59" s="1" t="s">
        <v>17771</v>
      </c>
      <c r="H59" s="1">
        <v>15</v>
      </c>
      <c r="I59" s="1" t="s">
        <v>17252</v>
      </c>
      <c r="J59" s="1" t="s">
        <v>15314</v>
      </c>
      <c r="K59" s="4" t="s">
        <v>17772</v>
      </c>
      <c r="L59" s="1" t="s">
        <v>17773</v>
      </c>
      <c r="M59" s="1" t="s">
        <v>17774</v>
      </c>
      <c r="N59" s="3" t="s">
        <v>17775</v>
      </c>
    </row>
    <row r="60" spans="1:14" ht="409.6">
      <c r="A60" s="1" t="s">
        <v>17776</v>
      </c>
      <c r="B60" s="1" t="s">
        <v>17777</v>
      </c>
      <c r="C60" s="1" t="s">
        <v>17778</v>
      </c>
      <c r="D60" s="1" t="s">
        <v>17779</v>
      </c>
      <c r="E60" s="1" t="s">
        <v>17780</v>
      </c>
      <c r="F60" s="1" t="s">
        <v>17781</v>
      </c>
      <c r="G60" s="1" t="s">
        <v>17782</v>
      </c>
      <c r="H60" s="1">
        <v>5</v>
      </c>
      <c r="I60" s="1" t="s">
        <v>17252</v>
      </c>
      <c r="J60" s="1" t="s">
        <v>14198</v>
      </c>
      <c r="K60" s="4" t="s">
        <v>17783</v>
      </c>
      <c r="L60" s="1" t="s">
        <v>17784</v>
      </c>
      <c r="M60" s="1" t="s">
        <v>17785</v>
      </c>
      <c r="N60" s="3" t="s">
        <v>17786</v>
      </c>
    </row>
    <row r="61" spans="1:14" ht="409.6">
      <c r="A61" s="1" t="s">
        <v>17787</v>
      </c>
      <c r="B61" s="1" t="s">
        <v>17788</v>
      </c>
      <c r="C61" s="1" t="s">
        <v>17789</v>
      </c>
      <c r="D61" s="1" t="s">
        <v>17790</v>
      </c>
      <c r="E61" s="1" t="s">
        <v>17791</v>
      </c>
      <c r="F61" s="1" t="s">
        <v>17792</v>
      </c>
      <c r="G61" s="1" t="s">
        <v>17793</v>
      </c>
      <c r="H61" s="1">
        <v>55</v>
      </c>
      <c r="I61" s="1" t="s">
        <v>145</v>
      </c>
      <c r="J61" s="1" t="s">
        <v>14198</v>
      </c>
      <c r="K61" s="4" t="s">
        <v>17794</v>
      </c>
      <c r="L61" s="1" t="s">
        <v>17795</v>
      </c>
      <c r="M61" s="1" t="s">
        <v>17796</v>
      </c>
      <c r="N61" s="3" t="s">
        <v>17797</v>
      </c>
    </row>
    <row r="62" spans="1:14" ht="409.6">
      <c r="A62" s="1" t="s">
        <v>17798</v>
      </c>
      <c r="B62" s="1" t="s">
        <v>17799</v>
      </c>
      <c r="C62" s="1" t="s">
        <v>17800</v>
      </c>
      <c r="D62" s="1" t="s">
        <v>17801</v>
      </c>
      <c r="E62" s="1" t="s">
        <v>17802</v>
      </c>
      <c r="F62" s="1" t="s">
        <v>17803</v>
      </c>
      <c r="G62" s="1" t="s">
        <v>17804</v>
      </c>
      <c r="H62" s="1">
        <v>25</v>
      </c>
      <c r="I62" s="1" t="s">
        <v>145</v>
      </c>
      <c r="J62" s="1" t="s">
        <v>14382</v>
      </c>
      <c r="K62" s="4" t="s">
        <v>17805</v>
      </c>
      <c r="L62" s="1" t="s">
        <v>17806</v>
      </c>
      <c r="M62" s="1" t="s">
        <v>17807</v>
      </c>
      <c r="N62" s="3" t="s">
        <v>17808</v>
      </c>
    </row>
    <row r="63" spans="1:14" ht="409.6">
      <c r="A63" s="1" t="s">
        <v>17809</v>
      </c>
      <c r="B63" s="1" t="s">
        <v>17810</v>
      </c>
      <c r="C63" s="1" t="s">
        <v>17811</v>
      </c>
      <c r="D63" s="1" t="s">
        <v>17812</v>
      </c>
      <c r="E63" s="1" t="s">
        <v>17813</v>
      </c>
      <c r="F63" s="1" t="s">
        <v>17814</v>
      </c>
      <c r="G63" s="1" t="s">
        <v>17815</v>
      </c>
      <c r="H63" s="1">
        <v>90</v>
      </c>
      <c r="I63" s="1" t="s">
        <v>14281</v>
      </c>
      <c r="J63" s="1" t="s">
        <v>14198</v>
      </c>
      <c r="K63" s="4" t="s">
        <v>17816</v>
      </c>
      <c r="L63" s="1" t="s">
        <v>17817</v>
      </c>
      <c r="M63" s="1" t="s">
        <v>17818</v>
      </c>
      <c r="N63" s="3" t="s">
        <v>17819</v>
      </c>
    </row>
    <row r="64" spans="1:14" ht="13.8">
      <c r="A64" s="1" t="s">
        <v>17820</v>
      </c>
      <c r="B64" s="1" t="s">
        <v>17821</v>
      </c>
      <c r="C64" s="1" t="s">
        <v>17822</v>
      </c>
      <c r="D64" s="1" t="s">
        <v>17823</v>
      </c>
      <c r="E64" s="1" t="s">
        <v>17824</v>
      </c>
      <c r="F64" s="1" t="s">
        <v>17825</v>
      </c>
      <c r="G64" s="1" t="s">
        <v>17826</v>
      </c>
      <c r="H64" s="1">
        <v>65</v>
      </c>
      <c r="I64" s="1" t="s">
        <v>17252</v>
      </c>
      <c r="J64" s="1" t="s">
        <v>15314</v>
      </c>
      <c r="K64" s="1" t="s">
        <v>17827</v>
      </c>
      <c r="L64" s="1" t="s">
        <v>17828</v>
      </c>
      <c r="M64" s="1" t="s">
        <v>17829</v>
      </c>
      <c r="N64" s="3" t="s">
        <v>17830</v>
      </c>
    </row>
    <row r="65" spans="1:14" ht="13.8">
      <c r="A65" s="1" t="s">
        <v>17831</v>
      </c>
      <c r="B65" s="1" t="s">
        <v>17832</v>
      </c>
      <c r="C65" s="1" t="s">
        <v>17833</v>
      </c>
      <c r="D65" s="1" t="s">
        <v>17834</v>
      </c>
      <c r="E65" s="1" t="s">
        <v>17835</v>
      </c>
      <c r="F65" s="1" t="s">
        <v>17836</v>
      </c>
      <c r="G65" s="1" t="s">
        <v>17837</v>
      </c>
      <c r="H65" s="1">
        <v>30</v>
      </c>
      <c r="I65" s="1" t="s">
        <v>14259</v>
      </c>
      <c r="J65" s="1" t="s">
        <v>14198</v>
      </c>
      <c r="K65" s="1" t="s">
        <v>17838</v>
      </c>
      <c r="L65" s="1" t="s">
        <v>17839</v>
      </c>
      <c r="M65" s="1" t="s">
        <v>17840</v>
      </c>
      <c r="N65" s="3" t="s">
        <v>17841</v>
      </c>
    </row>
    <row r="66" spans="1:14" ht="409.6">
      <c r="A66" s="1" t="s">
        <v>17842</v>
      </c>
      <c r="B66" s="1" t="s">
        <v>17843</v>
      </c>
      <c r="C66" s="1" t="s">
        <v>17844</v>
      </c>
      <c r="D66" s="1" t="s">
        <v>17845</v>
      </c>
      <c r="E66" s="1" t="s">
        <v>17846</v>
      </c>
      <c r="F66" s="1" t="s">
        <v>17847</v>
      </c>
      <c r="G66" s="1" t="s">
        <v>17848</v>
      </c>
      <c r="H66" s="1">
        <v>25</v>
      </c>
      <c r="I66" s="1" t="s">
        <v>14281</v>
      </c>
      <c r="J66" s="1" t="s">
        <v>14198</v>
      </c>
      <c r="K66" s="4" t="s">
        <v>17849</v>
      </c>
      <c r="L66" s="1" t="s">
        <v>17850</v>
      </c>
      <c r="M66" s="1" t="s">
        <v>17851</v>
      </c>
      <c r="N66" s="3" t="s">
        <v>17852</v>
      </c>
    </row>
    <row r="67" spans="1:14" ht="13.8">
      <c r="A67" s="1" t="s">
        <v>17853</v>
      </c>
      <c r="B67" s="1" t="s">
        <v>17854</v>
      </c>
      <c r="C67" s="1" t="s">
        <v>17855</v>
      </c>
      <c r="D67" s="1" t="s">
        <v>17856</v>
      </c>
      <c r="E67" s="1" t="s">
        <v>17857</v>
      </c>
      <c r="F67" s="1" t="s">
        <v>17858</v>
      </c>
      <c r="G67" s="1" t="s">
        <v>17859</v>
      </c>
      <c r="H67" s="1">
        <v>60</v>
      </c>
      <c r="I67" s="1" t="s">
        <v>8417</v>
      </c>
      <c r="J67" s="1" t="s">
        <v>15314</v>
      </c>
      <c r="K67" s="1" t="s">
        <v>17860</v>
      </c>
      <c r="L67" s="1" t="s">
        <v>17861</v>
      </c>
      <c r="M67" s="1" t="s">
        <v>17862</v>
      </c>
      <c r="N67" s="3" t="s">
        <v>17863</v>
      </c>
    </row>
    <row r="68" spans="1:14" ht="13.8">
      <c r="A68" s="1" t="s">
        <v>17864</v>
      </c>
      <c r="B68" s="1" t="s">
        <v>17865</v>
      </c>
      <c r="C68" s="1" t="s">
        <v>17866</v>
      </c>
      <c r="D68" s="1" t="s">
        <v>17867</v>
      </c>
      <c r="E68" s="1" t="s">
        <v>17868</v>
      </c>
      <c r="F68" s="1" t="s">
        <v>17869</v>
      </c>
      <c r="G68" s="1" t="s">
        <v>17870</v>
      </c>
      <c r="H68" s="1">
        <v>40</v>
      </c>
      <c r="I68" s="1" t="s">
        <v>14572</v>
      </c>
      <c r="J68" s="1" t="s">
        <v>14198</v>
      </c>
      <c r="K68" s="1" t="s">
        <v>17871</v>
      </c>
      <c r="L68" s="1" t="s">
        <v>17872</v>
      </c>
      <c r="M68" s="1" t="s">
        <v>17873</v>
      </c>
      <c r="N68" s="3" t="s">
        <v>17874</v>
      </c>
    </row>
    <row r="69" spans="1:14" ht="409.6">
      <c r="A69" s="1" t="s">
        <v>17875</v>
      </c>
      <c r="B69" s="1" t="s">
        <v>17876</v>
      </c>
      <c r="C69" s="1" t="s">
        <v>17877</v>
      </c>
      <c r="D69" s="1" t="s">
        <v>17878</v>
      </c>
      <c r="E69" s="1" t="s">
        <v>17879</v>
      </c>
      <c r="F69" s="1" t="s">
        <v>17880</v>
      </c>
      <c r="G69" s="1" t="s">
        <v>17881</v>
      </c>
      <c r="H69" s="1">
        <v>15</v>
      </c>
      <c r="I69" s="1" t="s">
        <v>8417</v>
      </c>
      <c r="J69" s="1" t="s">
        <v>14198</v>
      </c>
      <c r="K69" s="4" t="s">
        <v>17882</v>
      </c>
      <c r="L69" s="1" t="s">
        <v>17883</v>
      </c>
      <c r="M69" s="1" t="s">
        <v>17884</v>
      </c>
      <c r="N69" s="3" t="s">
        <v>17885</v>
      </c>
    </row>
    <row r="70" spans="1:14" ht="13.8">
      <c r="A70" s="1" t="s">
        <v>17886</v>
      </c>
      <c r="B70" s="1" t="s">
        <v>17887</v>
      </c>
      <c r="C70" s="1" t="s">
        <v>17888</v>
      </c>
      <c r="D70" s="1" t="s">
        <v>17889</v>
      </c>
      <c r="E70" s="1" t="s">
        <v>17890</v>
      </c>
      <c r="F70" s="1" t="s">
        <v>17891</v>
      </c>
      <c r="G70" s="1" t="s">
        <v>17892</v>
      </c>
      <c r="H70" s="1">
        <v>70</v>
      </c>
      <c r="I70" s="1" t="s">
        <v>8417</v>
      </c>
      <c r="J70" s="1" t="s">
        <v>15314</v>
      </c>
      <c r="K70" s="1" t="s">
        <v>17893</v>
      </c>
      <c r="L70" s="1" t="s">
        <v>17894</v>
      </c>
      <c r="M70" s="1" t="s">
        <v>17895</v>
      </c>
      <c r="N70" s="3" t="s">
        <v>17896</v>
      </c>
    </row>
    <row r="71" spans="1:14" ht="13.8">
      <c r="A71" s="1" t="s">
        <v>17897</v>
      </c>
      <c r="B71" s="1" t="s">
        <v>17898</v>
      </c>
      <c r="C71" s="1" t="s">
        <v>17899</v>
      </c>
      <c r="D71" s="1" t="s">
        <v>17900</v>
      </c>
      <c r="E71" s="1" t="s">
        <v>17901</v>
      </c>
      <c r="F71" s="1" t="s">
        <v>17902</v>
      </c>
      <c r="G71" s="1" t="s">
        <v>17903</v>
      </c>
      <c r="H71" s="1">
        <v>25</v>
      </c>
      <c r="I71" s="1" t="s">
        <v>14281</v>
      </c>
      <c r="J71" s="1" t="s">
        <v>14198</v>
      </c>
      <c r="K71" s="1" t="s">
        <v>17904</v>
      </c>
      <c r="L71" s="1" t="s">
        <v>17905</v>
      </c>
      <c r="M71" s="1" t="s">
        <v>17906</v>
      </c>
      <c r="N71" s="3" t="s">
        <v>17907</v>
      </c>
    </row>
    <row r="72" spans="1:14" ht="13.8">
      <c r="A72" s="1" t="s">
        <v>17908</v>
      </c>
      <c r="B72" s="1" t="s">
        <v>17909</v>
      </c>
      <c r="C72" s="1" t="s">
        <v>17910</v>
      </c>
      <c r="D72" s="1" t="s">
        <v>17911</v>
      </c>
      <c r="E72" s="1" t="s">
        <v>17912</v>
      </c>
      <c r="F72" s="1" t="s">
        <v>17913</v>
      </c>
      <c r="G72" s="1" t="s">
        <v>17914</v>
      </c>
      <c r="H72" s="1">
        <v>30</v>
      </c>
      <c r="I72" s="1" t="s">
        <v>14572</v>
      </c>
      <c r="J72" s="1" t="s">
        <v>14198</v>
      </c>
      <c r="K72" s="1" t="s">
        <v>17915</v>
      </c>
      <c r="L72" s="1" t="s">
        <v>17916</v>
      </c>
      <c r="M72" s="1" t="s">
        <v>17917</v>
      </c>
      <c r="N72" s="3" t="s">
        <v>17918</v>
      </c>
    </row>
    <row r="73" spans="1:14" ht="409.6">
      <c r="A73" s="1" t="s">
        <v>17919</v>
      </c>
      <c r="B73" s="1" t="s">
        <v>17920</v>
      </c>
      <c r="C73" s="1" t="s">
        <v>17921</v>
      </c>
      <c r="D73" s="1" t="s">
        <v>17922</v>
      </c>
      <c r="E73" s="1" t="s">
        <v>17923</v>
      </c>
      <c r="F73" s="1" t="s">
        <v>17924</v>
      </c>
      <c r="G73" s="1" t="s">
        <v>17925</v>
      </c>
      <c r="H73" s="1">
        <v>65</v>
      </c>
      <c r="I73" s="1" t="s">
        <v>17252</v>
      </c>
      <c r="J73" s="1" t="s">
        <v>15314</v>
      </c>
      <c r="K73" s="4" t="s">
        <v>17926</v>
      </c>
      <c r="L73" s="1" t="s">
        <v>17927</v>
      </c>
      <c r="M73" s="1" t="s">
        <v>17928</v>
      </c>
      <c r="N73" s="3" t="s">
        <v>17929</v>
      </c>
    </row>
    <row r="74" spans="1:14" ht="13.8">
      <c r="A74" s="1" t="s">
        <v>17930</v>
      </c>
      <c r="B74" s="1" t="s">
        <v>17931</v>
      </c>
      <c r="C74" s="1" t="s">
        <v>17932</v>
      </c>
      <c r="D74" s="1" t="s">
        <v>17933</v>
      </c>
      <c r="E74" s="1" t="s">
        <v>17934</v>
      </c>
      <c r="F74" s="1" t="s">
        <v>17935</v>
      </c>
      <c r="G74" s="1" t="s">
        <v>17936</v>
      </c>
      <c r="H74" s="1">
        <v>80</v>
      </c>
      <c r="I74" s="1" t="s">
        <v>145</v>
      </c>
      <c r="J74" s="1" t="s">
        <v>17937</v>
      </c>
      <c r="K74" s="1" t="s">
        <v>17938</v>
      </c>
      <c r="L74" s="1" t="s">
        <v>17939</v>
      </c>
      <c r="M74" s="1" t="s">
        <v>17940</v>
      </c>
      <c r="N74" s="3" t="s">
        <v>17941</v>
      </c>
    </row>
    <row r="75" spans="1:14" ht="409.6">
      <c r="A75" s="1" t="s">
        <v>17942</v>
      </c>
      <c r="B75" s="1" t="s">
        <v>17943</v>
      </c>
      <c r="C75" s="1" t="s">
        <v>17944</v>
      </c>
      <c r="D75" s="1" t="s">
        <v>17945</v>
      </c>
      <c r="E75" s="1" t="s">
        <v>17946</v>
      </c>
      <c r="F75" s="1" t="s">
        <v>17947</v>
      </c>
      <c r="G75" s="1" t="s">
        <v>17948</v>
      </c>
      <c r="H75" s="1">
        <v>60</v>
      </c>
      <c r="I75" s="1" t="s">
        <v>8417</v>
      </c>
      <c r="J75" s="1" t="s">
        <v>14198</v>
      </c>
      <c r="K75" s="4" t="s">
        <v>17949</v>
      </c>
      <c r="L75" s="1" t="s">
        <v>17950</v>
      </c>
      <c r="M75" s="1" t="s">
        <v>17951</v>
      </c>
      <c r="N75" s="3" t="s">
        <v>17952</v>
      </c>
    </row>
    <row r="76" spans="1:14" ht="13.8">
      <c r="A76" s="1" t="s">
        <v>17953</v>
      </c>
      <c r="B76" s="1" t="s">
        <v>17954</v>
      </c>
      <c r="C76" s="1" t="s">
        <v>17955</v>
      </c>
      <c r="D76" s="1" t="s">
        <v>17956</v>
      </c>
      <c r="E76" s="1" t="s">
        <v>17957</v>
      </c>
      <c r="F76" s="1" t="s">
        <v>17958</v>
      </c>
      <c r="G76" s="1" t="s">
        <v>17959</v>
      </c>
      <c r="H76" s="1">
        <v>10</v>
      </c>
      <c r="I76" s="1" t="s">
        <v>17252</v>
      </c>
      <c r="J76" s="1" t="s">
        <v>14237</v>
      </c>
      <c r="K76" s="1" t="s">
        <v>17960</v>
      </c>
      <c r="L76" s="1" t="s">
        <v>17961</v>
      </c>
      <c r="M76" s="1" t="s">
        <v>17962</v>
      </c>
      <c r="N76" s="3" t="s">
        <v>17963</v>
      </c>
    </row>
    <row r="77" spans="1:14" ht="13.8">
      <c r="A77" s="1" t="s">
        <v>17964</v>
      </c>
      <c r="B77" s="1" t="s">
        <v>17965</v>
      </c>
      <c r="C77" s="1" t="s">
        <v>17966</v>
      </c>
      <c r="D77" s="1" t="s">
        <v>17967</v>
      </c>
      <c r="E77" s="1" t="s">
        <v>17968</v>
      </c>
      <c r="F77" s="1" t="s">
        <v>17969</v>
      </c>
      <c r="G77" s="1" t="s">
        <v>17970</v>
      </c>
      <c r="H77" s="1">
        <v>25</v>
      </c>
      <c r="I77" s="1" t="s">
        <v>17252</v>
      </c>
      <c r="J77" s="1" t="s">
        <v>14237</v>
      </c>
      <c r="K77" s="1" t="s">
        <v>17971</v>
      </c>
      <c r="L77" s="1" t="s">
        <v>17972</v>
      </c>
      <c r="M77" s="1" t="s">
        <v>17973</v>
      </c>
      <c r="N77" s="3" t="s">
        <v>17974</v>
      </c>
    </row>
    <row r="78" spans="1:14" ht="13.8">
      <c r="A78" s="1" t="s">
        <v>17975</v>
      </c>
      <c r="B78" s="1" t="s">
        <v>17976</v>
      </c>
      <c r="C78" s="1" t="s">
        <v>17977</v>
      </c>
      <c r="D78" s="1" t="s">
        <v>17978</v>
      </c>
      <c r="E78" s="1" t="s">
        <v>17979</v>
      </c>
      <c r="F78" s="1" t="s">
        <v>17980</v>
      </c>
      <c r="G78" s="1" t="s">
        <v>17981</v>
      </c>
      <c r="H78" s="1">
        <v>180</v>
      </c>
      <c r="I78" s="1" t="s">
        <v>429</v>
      </c>
      <c r="J78" s="1" t="s">
        <v>14237</v>
      </c>
      <c r="K78" s="1" t="s">
        <v>17982</v>
      </c>
      <c r="L78" s="1" t="s">
        <v>17983</v>
      </c>
      <c r="M78" s="1" t="s">
        <v>17984</v>
      </c>
      <c r="N78" s="3" t="s">
        <v>17985</v>
      </c>
    </row>
    <row r="79" spans="1:14" ht="13.8">
      <c r="A79" s="1" t="s">
        <v>17986</v>
      </c>
      <c r="B79" s="1" t="s">
        <v>17987</v>
      </c>
      <c r="C79" s="1" t="s">
        <v>17988</v>
      </c>
      <c r="D79" s="1" t="s">
        <v>17989</v>
      </c>
      <c r="E79" s="1" t="s">
        <v>17990</v>
      </c>
      <c r="F79" s="1" t="s">
        <v>17991</v>
      </c>
      <c r="G79" s="1" t="s">
        <v>17992</v>
      </c>
      <c r="H79" s="1">
        <v>60</v>
      </c>
      <c r="I79" s="1" t="s">
        <v>14572</v>
      </c>
      <c r="J79" s="1" t="s">
        <v>14198</v>
      </c>
      <c r="K79" s="1" t="s">
        <v>17993</v>
      </c>
      <c r="L79" s="1" t="s">
        <v>17994</v>
      </c>
      <c r="M79" s="1" t="s">
        <v>17995</v>
      </c>
      <c r="N79" s="3" t="s">
        <v>17996</v>
      </c>
    </row>
    <row r="80" spans="1:14" ht="13.8">
      <c r="A80" s="1" t="s">
        <v>17997</v>
      </c>
      <c r="B80" s="1" t="s">
        <v>17998</v>
      </c>
      <c r="C80" s="1" t="s">
        <v>17999</v>
      </c>
      <c r="D80" s="1" t="s">
        <v>18000</v>
      </c>
      <c r="E80" s="1" t="s">
        <v>18001</v>
      </c>
      <c r="F80" s="1" t="s">
        <v>18002</v>
      </c>
      <c r="G80" s="1" t="s">
        <v>18003</v>
      </c>
      <c r="H80" s="1">
        <v>50</v>
      </c>
      <c r="I80" s="1" t="s">
        <v>8417</v>
      </c>
      <c r="J80" s="1" t="s">
        <v>14198</v>
      </c>
      <c r="K80" s="1" t="s">
        <v>18004</v>
      </c>
      <c r="L80" s="1" t="s">
        <v>18005</v>
      </c>
      <c r="M80" s="1" t="s">
        <v>18006</v>
      </c>
      <c r="N80" s="3" t="s">
        <v>18007</v>
      </c>
    </row>
    <row r="81" spans="1:14" ht="409.6">
      <c r="A81" s="1" t="s">
        <v>18008</v>
      </c>
      <c r="B81" s="1" t="s">
        <v>18009</v>
      </c>
      <c r="C81" s="1" t="s">
        <v>18010</v>
      </c>
      <c r="D81" s="1" t="s">
        <v>18011</v>
      </c>
      <c r="E81" s="1" t="s">
        <v>18012</v>
      </c>
      <c r="F81" s="1" t="s">
        <v>18013</v>
      </c>
      <c r="G81" s="1" t="s">
        <v>18014</v>
      </c>
      <c r="H81" s="1">
        <v>40</v>
      </c>
      <c r="I81" s="1" t="s">
        <v>14572</v>
      </c>
      <c r="J81" s="1" t="s">
        <v>14198</v>
      </c>
      <c r="K81" s="4" t="s">
        <v>18015</v>
      </c>
      <c r="L81" s="1" t="s">
        <v>18016</v>
      </c>
      <c r="M81" s="1" t="s">
        <v>18017</v>
      </c>
      <c r="N81" s="3" t="s">
        <v>18018</v>
      </c>
    </row>
    <row r="82" spans="1:14" ht="13.8">
      <c r="A82" s="1" t="s">
        <v>18019</v>
      </c>
      <c r="B82" s="1" t="s">
        <v>18020</v>
      </c>
      <c r="C82" s="1" t="s">
        <v>18021</v>
      </c>
      <c r="D82" s="1" t="s">
        <v>18022</v>
      </c>
      <c r="E82" s="1" t="s">
        <v>18023</v>
      </c>
      <c r="F82" s="1" t="s">
        <v>18024</v>
      </c>
      <c r="G82" s="1" t="s">
        <v>18025</v>
      </c>
      <c r="H82" s="1">
        <v>45</v>
      </c>
      <c r="I82" s="1" t="s">
        <v>14259</v>
      </c>
      <c r="J82" s="1" t="s">
        <v>14367</v>
      </c>
      <c r="K82" s="1" t="s">
        <v>18026</v>
      </c>
      <c r="L82" s="1" t="s">
        <v>18027</v>
      </c>
      <c r="M82" s="1" t="s">
        <v>18028</v>
      </c>
      <c r="N82" s="3" t="s">
        <v>18029</v>
      </c>
    </row>
    <row r="83" spans="1:14" ht="13.8">
      <c r="A83" s="1" t="s">
        <v>18030</v>
      </c>
      <c r="B83" s="1" t="s">
        <v>18031</v>
      </c>
      <c r="C83" s="1" t="s">
        <v>18032</v>
      </c>
      <c r="D83" s="1" t="s">
        <v>18033</v>
      </c>
      <c r="E83" s="1" t="s">
        <v>18034</v>
      </c>
      <c r="F83" s="1" t="s">
        <v>18035</v>
      </c>
      <c r="G83" s="1" t="s">
        <v>18036</v>
      </c>
      <c r="H83" s="1">
        <v>32</v>
      </c>
      <c r="I83" s="1" t="s">
        <v>14259</v>
      </c>
      <c r="J83" s="1" t="s">
        <v>14367</v>
      </c>
      <c r="K83" s="1" t="s">
        <v>18037</v>
      </c>
      <c r="L83" s="1" t="s">
        <v>18038</v>
      </c>
      <c r="M83" s="1" t="s">
        <v>18039</v>
      </c>
      <c r="N83" s="3" t="s">
        <v>18040</v>
      </c>
    </row>
    <row r="84" spans="1:14" ht="409.6">
      <c r="A84" s="1" t="s">
        <v>18041</v>
      </c>
      <c r="B84" s="1" t="s">
        <v>18042</v>
      </c>
      <c r="C84" s="1" t="s">
        <v>18043</v>
      </c>
      <c r="D84" s="1" t="s">
        <v>18044</v>
      </c>
      <c r="E84" s="1" t="s">
        <v>18045</v>
      </c>
      <c r="F84" s="1" t="s">
        <v>18046</v>
      </c>
      <c r="G84" s="1" t="s">
        <v>18047</v>
      </c>
      <c r="H84" s="1">
        <v>22</v>
      </c>
      <c r="I84" s="1" t="s">
        <v>14198</v>
      </c>
      <c r="J84" s="1" t="s">
        <v>14237</v>
      </c>
      <c r="K84" s="4" t="s">
        <v>18048</v>
      </c>
      <c r="L84" s="1" t="s">
        <v>18049</v>
      </c>
      <c r="M84" s="1" t="s">
        <v>18050</v>
      </c>
      <c r="N84" s="3" t="s">
        <v>18051</v>
      </c>
    </row>
    <row r="85" spans="1:14" ht="13.8">
      <c r="A85" s="1" t="s">
        <v>18052</v>
      </c>
      <c r="B85" s="1" t="s">
        <v>18053</v>
      </c>
      <c r="C85" s="1" t="s">
        <v>18054</v>
      </c>
      <c r="D85" s="1" t="s">
        <v>18055</v>
      </c>
      <c r="E85" s="1" t="s">
        <v>18056</v>
      </c>
      <c r="F85" s="1" t="s">
        <v>18057</v>
      </c>
      <c r="G85" s="1" t="s">
        <v>18058</v>
      </c>
      <c r="H85" s="1">
        <v>30</v>
      </c>
      <c r="I85" s="1" t="s">
        <v>14259</v>
      </c>
      <c r="J85" s="1" t="s">
        <v>14198</v>
      </c>
      <c r="K85" s="1" t="s">
        <v>18059</v>
      </c>
      <c r="L85" s="1" t="s">
        <v>18060</v>
      </c>
      <c r="M85" s="1" t="s">
        <v>18061</v>
      </c>
      <c r="N85" s="3" t="s">
        <v>18062</v>
      </c>
    </row>
    <row r="86" spans="1:14" ht="409.6">
      <c r="A86" s="1" t="s">
        <v>18063</v>
      </c>
      <c r="B86" s="1" t="s">
        <v>18064</v>
      </c>
      <c r="C86" s="1" t="s">
        <v>18065</v>
      </c>
      <c r="D86" s="1" t="s">
        <v>18066</v>
      </c>
      <c r="E86" s="1" t="s">
        <v>18067</v>
      </c>
      <c r="F86" s="1" t="s">
        <v>18068</v>
      </c>
      <c r="G86" s="1" t="s">
        <v>18069</v>
      </c>
      <c r="H86" s="1">
        <v>30</v>
      </c>
      <c r="I86" s="1" t="s">
        <v>17252</v>
      </c>
      <c r="J86" s="1" t="s">
        <v>15314</v>
      </c>
      <c r="K86" s="4" t="s">
        <v>18070</v>
      </c>
      <c r="L86" s="1" t="s">
        <v>18071</v>
      </c>
      <c r="M86" s="1" t="s">
        <v>18072</v>
      </c>
      <c r="N86" s="3" t="s">
        <v>18073</v>
      </c>
    </row>
    <row r="87" spans="1:14" ht="13.8">
      <c r="A87" s="1" t="s">
        <v>18074</v>
      </c>
      <c r="B87" s="1" t="s">
        <v>18075</v>
      </c>
      <c r="C87" s="1" t="s">
        <v>18076</v>
      </c>
      <c r="D87" s="1" t="s">
        <v>18077</v>
      </c>
      <c r="E87" s="1" t="s">
        <v>18078</v>
      </c>
      <c r="F87" s="1" t="s">
        <v>18079</v>
      </c>
      <c r="G87" s="1" t="s">
        <v>18080</v>
      </c>
      <c r="H87" s="1">
        <v>45</v>
      </c>
      <c r="I87" s="1" t="s">
        <v>8417</v>
      </c>
      <c r="J87" s="1" t="s">
        <v>15314</v>
      </c>
      <c r="K87" s="1" t="s">
        <v>18081</v>
      </c>
      <c r="L87" s="1" t="s">
        <v>18082</v>
      </c>
      <c r="M87" s="1" t="s">
        <v>18083</v>
      </c>
      <c r="N87" s="3" t="s">
        <v>18084</v>
      </c>
    </row>
    <row r="88" spans="1:14" ht="13.8">
      <c r="A88" s="1" t="s">
        <v>18085</v>
      </c>
      <c r="B88" s="1" t="s">
        <v>18086</v>
      </c>
      <c r="C88" s="1" t="s">
        <v>18087</v>
      </c>
      <c r="D88" s="1" t="s">
        <v>18088</v>
      </c>
      <c r="E88" s="1" t="s">
        <v>18089</v>
      </c>
      <c r="F88" s="1" t="s">
        <v>18090</v>
      </c>
      <c r="G88" s="1" t="s">
        <v>18091</v>
      </c>
      <c r="H88" s="1">
        <v>20</v>
      </c>
      <c r="I88" s="1" t="s">
        <v>17252</v>
      </c>
      <c r="J88" s="1" t="s">
        <v>14198</v>
      </c>
      <c r="K88" s="1" t="s">
        <v>18092</v>
      </c>
      <c r="L88" s="1" t="s">
        <v>18093</v>
      </c>
      <c r="M88" s="1" t="s">
        <v>18094</v>
      </c>
      <c r="N88" s="3" t="s">
        <v>18095</v>
      </c>
    </row>
    <row r="89" spans="1:14" ht="409.6">
      <c r="A89" s="1" t="s">
        <v>18096</v>
      </c>
      <c r="B89" s="1" t="s">
        <v>18097</v>
      </c>
      <c r="C89" s="1" t="s">
        <v>18098</v>
      </c>
      <c r="D89" s="1" t="s">
        <v>18099</v>
      </c>
      <c r="E89" s="1" t="s">
        <v>18100</v>
      </c>
      <c r="F89" s="1" t="s">
        <v>18101</v>
      </c>
      <c r="G89" s="1" t="s">
        <v>18102</v>
      </c>
      <c r="H89" s="1">
        <v>60</v>
      </c>
      <c r="I89" s="1" t="s">
        <v>14281</v>
      </c>
      <c r="J89" s="1" t="s">
        <v>14198</v>
      </c>
      <c r="K89" s="4" t="s">
        <v>18103</v>
      </c>
      <c r="L89" s="1" t="s">
        <v>18104</v>
      </c>
      <c r="M89" s="1" t="s">
        <v>18105</v>
      </c>
      <c r="N89" s="3" t="s">
        <v>18106</v>
      </c>
    </row>
    <row r="90" spans="1:14" ht="13.8">
      <c r="A90" s="1" t="s">
        <v>18107</v>
      </c>
      <c r="B90" s="1" t="s">
        <v>18108</v>
      </c>
      <c r="C90" s="1" t="s">
        <v>18109</v>
      </c>
      <c r="D90" s="1" t="s">
        <v>18110</v>
      </c>
      <c r="E90" s="1" t="s">
        <v>18111</v>
      </c>
      <c r="F90" s="1" t="s">
        <v>18112</v>
      </c>
      <c r="G90" s="1" t="s">
        <v>18113</v>
      </c>
      <c r="H90" s="1">
        <v>20</v>
      </c>
      <c r="I90" s="1" t="s">
        <v>17252</v>
      </c>
      <c r="J90" s="1" t="s">
        <v>18114</v>
      </c>
      <c r="K90" s="1" t="s">
        <v>18115</v>
      </c>
      <c r="L90" s="1" t="s">
        <v>18116</v>
      </c>
      <c r="M90" s="1" t="s">
        <v>18117</v>
      </c>
      <c r="N90" s="3" t="s">
        <v>18118</v>
      </c>
    </row>
    <row r="91" spans="1:14" ht="13.8">
      <c r="A91" s="1" t="s">
        <v>18119</v>
      </c>
      <c r="B91" s="1" t="s">
        <v>18120</v>
      </c>
      <c r="C91" s="1" t="s">
        <v>18121</v>
      </c>
      <c r="D91" s="1" t="s">
        <v>18122</v>
      </c>
      <c r="E91" s="1" t="s">
        <v>18123</v>
      </c>
      <c r="F91" s="1" t="s">
        <v>18124</v>
      </c>
      <c r="G91" s="1" t="s">
        <v>18125</v>
      </c>
      <c r="H91" s="1">
        <v>130</v>
      </c>
      <c r="I91" s="1" t="s">
        <v>17252</v>
      </c>
      <c r="J91" s="1" t="s">
        <v>15314</v>
      </c>
      <c r="K91" s="1" t="s">
        <v>18126</v>
      </c>
      <c r="L91" s="1" t="s">
        <v>18127</v>
      </c>
      <c r="M91" s="1" t="s">
        <v>18128</v>
      </c>
      <c r="N91" s="3" t="s">
        <v>18129</v>
      </c>
    </row>
    <row r="92" spans="1:14" ht="13.8">
      <c r="A92" s="1" t="s">
        <v>18130</v>
      </c>
      <c r="B92" s="1" t="s">
        <v>18131</v>
      </c>
      <c r="C92" s="1" t="s">
        <v>18132</v>
      </c>
      <c r="D92" s="1" t="s">
        <v>18133</v>
      </c>
      <c r="E92" s="1" t="s">
        <v>18134</v>
      </c>
      <c r="F92" s="1" t="s">
        <v>18135</v>
      </c>
      <c r="G92" s="1" t="s">
        <v>18136</v>
      </c>
      <c r="H92" s="1">
        <v>40</v>
      </c>
      <c r="I92" s="1" t="s">
        <v>8417</v>
      </c>
      <c r="J92" s="1" t="s">
        <v>14198</v>
      </c>
      <c r="K92" s="1" t="s">
        <v>18137</v>
      </c>
      <c r="L92" s="1" t="s">
        <v>18138</v>
      </c>
      <c r="M92" s="1" t="s">
        <v>18139</v>
      </c>
      <c r="N92" s="3" t="s">
        <v>18140</v>
      </c>
    </row>
    <row r="93" spans="1:14" ht="409.6">
      <c r="A93" s="1" t="s">
        <v>18141</v>
      </c>
      <c r="B93" s="1" t="s">
        <v>18142</v>
      </c>
      <c r="C93" s="1" t="s">
        <v>18143</v>
      </c>
      <c r="D93" s="1" t="s">
        <v>18144</v>
      </c>
      <c r="E93" s="1" t="s">
        <v>18145</v>
      </c>
      <c r="F93" s="1" t="s">
        <v>18146</v>
      </c>
      <c r="G93" s="1" t="s">
        <v>18147</v>
      </c>
      <c r="H93" s="1">
        <v>40</v>
      </c>
      <c r="I93" s="1" t="s">
        <v>14572</v>
      </c>
      <c r="J93" s="1" t="s">
        <v>14198</v>
      </c>
      <c r="K93" s="4" t="s">
        <v>18148</v>
      </c>
      <c r="L93" s="1" t="s">
        <v>18149</v>
      </c>
      <c r="M93" s="1" t="s">
        <v>18150</v>
      </c>
      <c r="N93" s="3" t="s">
        <v>18151</v>
      </c>
    </row>
    <row r="94" spans="1:14" ht="13.8">
      <c r="A94" s="1" t="s">
        <v>18152</v>
      </c>
      <c r="B94" s="1" t="s">
        <v>18153</v>
      </c>
      <c r="C94" s="1" t="s">
        <v>18154</v>
      </c>
      <c r="D94" s="1" t="s">
        <v>18155</v>
      </c>
      <c r="E94" s="1" t="s">
        <v>18156</v>
      </c>
      <c r="F94" s="1" t="s">
        <v>18157</v>
      </c>
      <c r="G94" s="1" t="s">
        <v>18158</v>
      </c>
      <c r="H94" s="1">
        <v>30</v>
      </c>
      <c r="I94" s="1" t="s">
        <v>8417</v>
      </c>
      <c r="J94" s="1" t="s">
        <v>14198</v>
      </c>
      <c r="K94" s="1" t="s">
        <v>18159</v>
      </c>
      <c r="L94" s="1" t="s">
        <v>18160</v>
      </c>
      <c r="M94" s="1" t="s">
        <v>18161</v>
      </c>
      <c r="N94" s="3" t="s">
        <v>18162</v>
      </c>
    </row>
    <row r="95" spans="1:14" ht="409.6">
      <c r="A95" s="1" t="s">
        <v>18163</v>
      </c>
      <c r="B95" s="1" t="s">
        <v>18164</v>
      </c>
      <c r="C95" s="1" t="s">
        <v>18165</v>
      </c>
      <c r="D95" s="1" t="s">
        <v>18166</v>
      </c>
      <c r="E95" s="1" t="s">
        <v>18167</v>
      </c>
      <c r="F95" s="1" t="s">
        <v>18168</v>
      </c>
      <c r="G95" s="1" t="s">
        <v>18169</v>
      </c>
      <c r="H95" s="1">
        <v>25</v>
      </c>
      <c r="I95" s="1" t="s">
        <v>14572</v>
      </c>
      <c r="J95" s="1" t="s">
        <v>14198</v>
      </c>
      <c r="K95" s="4" t="s">
        <v>18170</v>
      </c>
      <c r="L95" s="1" t="s">
        <v>18171</v>
      </c>
      <c r="M95" s="1" t="s">
        <v>18172</v>
      </c>
      <c r="N95" s="3" t="s">
        <v>18173</v>
      </c>
    </row>
    <row r="96" spans="1:14" ht="13.8">
      <c r="A96" s="1" t="s">
        <v>18174</v>
      </c>
      <c r="B96" s="1" t="s">
        <v>18175</v>
      </c>
      <c r="C96" s="1" t="s">
        <v>18176</v>
      </c>
      <c r="D96" s="1" t="s">
        <v>18177</v>
      </c>
      <c r="E96" s="1" t="s">
        <v>18178</v>
      </c>
      <c r="F96" s="1" t="s">
        <v>18179</v>
      </c>
      <c r="G96" s="1" t="s">
        <v>18180</v>
      </c>
      <c r="H96" s="1">
        <v>40</v>
      </c>
      <c r="I96" s="1" t="s">
        <v>17252</v>
      </c>
      <c r="J96" s="1" t="s">
        <v>14382</v>
      </c>
      <c r="K96" s="1" t="s">
        <v>18181</v>
      </c>
      <c r="L96" s="1" t="s">
        <v>18182</v>
      </c>
      <c r="M96" s="1" t="s">
        <v>18183</v>
      </c>
      <c r="N96" s="3" t="s">
        <v>18184</v>
      </c>
    </row>
    <row r="97" spans="1:14" ht="409.6">
      <c r="A97" s="1" t="s">
        <v>18185</v>
      </c>
      <c r="B97" s="1" t="s">
        <v>18186</v>
      </c>
      <c r="C97" s="1" t="s">
        <v>18187</v>
      </c>
      <c r="D97" s="1" t="s">
        <v>18188</v>
      </c>
      <c r="E97" s="1" t="s">
        <v>18189</v>
      </c>
      <c r="F97" s="1" t="s">
        <v>18190</v>
      </c>
      <c r="G97" s="1" t="s">
        <v>18191</v>
      </c>
      <c r="H97" s="1">
        <v>70</v>
      </c>
      <c r="I97" s="1" t="s">
        <v>14281</v>
      </c>
      <c r="J97" s="1" t="s">
        <v>14198</v>
      </c>
      <c r="K97" s="4" t="s">
        <v>18192</v>
      </c>
      <c r="L97" s="1" t="s">
        <v>18193</v>
      </c>
      <c r="M97" s="1" t="s">
        <v>18194</v>
      </c>
      <c r="N97" s="3" t="s">
        <v>18195</v>
      </c>
    </row>
    <row r="98" spans="1:14" ht="409.6">
      <c r="A98" s="1" t="s">
        <v>18196</v>
      </c>
      <c r="B98" s="1" t="s">
        <v>18197</v>
      </c>
      <c r="C98" s="1" t="s">
        <v>18198</v>
      </c>
      <c r="D98" s="1" t="s">
        <v>18199</v>
      </c>
      <c r="E98" s="1" t="s">
        <v>18200</v>
      </c>
      <c r="F98" s="1" t="s">
        <v>18201</v>
      </c>
      <c r="G98" s="1" t="s">
        <v>18202</v>
      </c>
      <c r="H98" s="1">
        <v>60</v>
      </c>
      <c r="I98" s="1" t="s">
        <v>8417</v>
      </c>
      <c r="J98" s="1" t="s">
        <v>14198</v>
      </c>
      <c r="K98" s="4" t="s">
        <v>18203</v>
      </c>
      <c r="L98" s="1" t="s">
        <v>18204</v>
      </c>
      <c r="M98" s="1" t="s">
        <v>18205</v>
      </c>
      <c r="N98" s="3" t="s">
        <v>18206</v>
      </c>
    </row>
    <row r="99" spans="1:14" ht="409.6">
      <c r="A99" s="1" t="s">
        <v>18207</v>
      </c>
      <c r="B99" s="1" t="s">
        <v>18208</v>
      </c>
      <c r="C99" s="1" t="s">
        <v>18209</v>
      </c>
      <c r="D99" s="1" t="s">
        <v>18210</v>
      </c>
      <c r="E99" s="1" t="s">
        <v>18211</v>
      </c>
      <c r="F99" s="1" t="s">
        <v>18212</v>
      </c>
      <c r="G99" s="1" t="s">
        <v>18213</v>
      </c>
      <c r="H99" s="1">
        <v>165</v>
      </c>
      <c r="I99" s="1" t="s">
        <v>14281</v>
      </c>
      <c r="J99" s="1" t="s">
        <v>14198</v>
      </c>
      <c r="K99" s="4" t="s">
        <v>18214</v>
      </c>
      <c r="L99" s="1" t="s">
        <v>18215</v>
      </c>
      <c r="M99" s="1" t="s">
        <v>18216</v>
      </c>
      <c r="N99" s="3" t="s">
        <v>18217</v>
      </c>
    </row>
    <row r="100" spans="1:14" ht="409.6">
      <c r="A100" s="1" t="s">
        <v>18218</v>
      </c>
      <c r="B100" s="1" t="s">
        <v>18219</v>
      </c>
      <c r="C100" s="1" t="s">
        <v>18220</v>
      </c>
      <c r="D100" s="1" t="s">
        <v>18221</v>
      </c>
      <c r="E100" s="1" t="s">
        <v>18222</v>
      </c>
      <c r="F100" s="1" t="s">
        <v>18223</v>
      </c>
      <c r="G100" s="1" t="s">
        <v>18224</v>
      </c>
      <c r="H100" s="1">
        <v>45</v>
      </c>
      <c r="I100" s="1" t="s">
        <v>8417</v>
      </c>
      <c r="J100" s="1" t="s">
        <v>14198</v>
      </c>
      <c r="K100" s="4" t="s">
        <v>18225</v>
      </c>
      <c r="L100" s="1" t="s">
        <v>18226</v>
      </c>
      <c r="M100" s="1" t="s">
        <v>18227</v>
      </c>
      <c r="N100" s="3" t="s">
        <v>18228</v>
      </c>
    </row>
    <row r="101" spans="1:14" ht="409.6">
      <c r="A101" s="1" t="s">
        <v>18229</v>
      </c>
      <c r="B101" s="1" t="s">
        <v>18230</v>
      </c>
      <c r="C101" s="1" t="s">
        <v>18231</v>
      </c>
      <c r="D101" s="1" t="s">
        <v>18232</v>
      </c>
      <c r="E101" s="1" t="s">
        <v>18233</v>
      </c>
      <c r="F101" s="1" t="s">
        <v>18234</v>
      </c>
      <c r="G101" s="1" t="s">
        <v>18235</v>
      </c>
      <c r="H101" s="1">
        <v>25</v>
      </c>
      <c r="I101" s="1" t="s">
        <v>14572</v>
      </c>
      <c r="J101" s="1" t="s">
        <v>14198</v>
      </c>
      <c r="K101" s="4" t="s">
        <v>18236</v>
      </c>
      <c r="L101" s="1" t="s">
        <v>18237</v>
      </c>
      <c r="M101" s="1" t="s">
        <v>18238</v>
      </c>
      <c r="N101" s="3" t="s">
        <v>18239</v>
      </c>
    </row>
    <row r="102" spans="1:14" ht="409.6">
      <c r="A102" s="1" t="s">
        <v>18240</v>
      </c>
      <c r="B102" s="1" t="s">
        <v>18241</v>
      </c>
      <c r="C102" s="1" t="s">
        <v>18242</v>
      </c>
      <c r="D102" s="1" t="s">
        <v>18243</v>
      </c>
      <c r="E102" s="1" t="s">
        <v>18244</v>
      </c>
      <c r="F102" s="1" t="s">
        <v>18245</v>
      </c>
      <c r="G102" s="1" t="s">
        <v>18246</v>
      </c>
      <c r="H102" s="1">
        <v>55</v>
      </c>
      <c r="I102" s="1" t="s">
        <v>8417</v>
      </c>
      <c r="J102" s="1" t="s">
        <v>15314</v>
      </c>
      <c r="K102" s="4" t="s">
        <v>18247</v>
      </c>
      <c r="L102" s="1" t="s">
        <v>18248</v>
      </c>
      <c r="M102" s="1" t="s">
        <v>18249</v>
      </c>
      <c r="N102" s="3" t="s">
        <v>18250</v>
      </c>
    </row>
    <row r="103" spans="1:14" ht="13.8">
      <c r="A103" s="1" t="s">
        <v>18251</v>
      </c>
      <c r="B103" s="1" t="s">
        <v>18252</v>
      </c>
      <c r="C103" s="1" t="s">
        <v>18253</v>
      </c>
      <c r="D103" s="1" t="s">
        <v>18254</v>
      </c>
      <c r="E103" s="1" t="s">
        <v>18255</v>
      </c>
      <c r="F103" s="1" t="s">
        <v>18256</v>
      </c>
      <c r="G103" s="1" t="s">
        <v>18257</v>
      </c>
      <c r="H103" s="1">
        <v>65</v>
      </c>
      <c r="I103" s="1" t="s">
        <v>8417</v>
      </c>
      <c r="J103" s="1" t="s">
        <v>15314</v>
      </c>
      <c r="K103" s="1" t="s">
        <v>18258</v>
      </c>
      <c r="L103" s="1" t="s">
        <v>18259</v>
      </c>
      <c r="M103" s="1" t="s">
        <v>18260</v>
      </c>
      <c r="N103" s="3" t="s">
        <v>18261</v>
      </c>
    </row>
    <row r="104" spans="1:14" ht="13.8">
      <c r="A104" s="1" t="s">
        <v>18262</v>
      </c>
      <c r="B104" s="1" t="s">
        <v>18263</v>
      </c>
      <c r="C104" s="1" t="s">
        <v>18264</v>
      </c>
      <c r="D104" s="1" t="s">
        <v>18265</v>
      </c>
      <c r="E104" s="1" t="s">
        <v>18266</v>
      </c>
      <c r="F104" s="1" t="s">
        <v>18267</v>
      </c>
      <c r="G104" s="1" t="s">
        <v>18268</v>
      </c>
      <c r="H104" s="1">
        <v>45</v>
      </c>
      <c r="I104" s="1" t="s">
        <v>14281</v>
      </c>
      <c r="J104" s="1" t="s">
        <v>14198</v>
      </c>
      <c r="K104" s="1" t="s">
        <v>18269</v>
      </c>
      <c r="L104" s="1" t="s">
        <v>18270</v>
      </c>
      <c r="M104" s="1" t="s">
        <v>18271</v>
      </c>
      <c r="N104" s="3" t="s">
        <v>18272</v>
      </c>
    </row>
    <row r="105" spans="1:14" ht="409.6">
      <c r="A105" s="1" t="s">
        <v>18273</v>
      </c>
      <c r="B105" s="1" t="s">
        <v>18274</v>
      </c>
      <c r="C105" s="1" t="s">
        <v>18275</v>
      </c>
      <c r="D105" s="1" t="s">
        <v>18276</v>
      </c>
      <c r="E105" s="1" t="s">
        <v>18277</v>
      </c>
      <c r="F105" s="1" t="s">
        <v>18278</v>
      </c>
      <c r="G105" s="1" t="s">
        <v>18279</v>
      </c>
      <c r="H105" s="1">
        <v>55</v>
      </c>
      <c r="I105" s="1" t="s">
        <v>14281</v>
      </c>
      <c r="J105" s="1" t="s">
        <v>14198</v>
      </c>
      <c r="K105" s="4" t="s">
        <v>18280</v>
      </c>
      <c r="L105" s="1" t="s">
        <v>18281</v>
      </c>
      <c r="M105" s="1" t="s">
        <v>18282</v>
      </c>
      <c r="N105" s="3" t="s">
        <v>18283</v>
      </c>
    </row>
    <row r="106" spans="1:14" ht="13.8">
      <c r="A106" s="1" t="s">
        <v>18284</v>
      </c>
      <c r="B106" s="1" t="s">
        <v>18285</v>
      </c>
      <c r="C106" s="1" t="s">
        <v>18286</v>
      </c>
      <c r="D106" s="1" t="s">
        <v>18287</v>
      </c>
      <c r="E106" s="1" t="s">
        <v>18288</v>
      </c>
      <c r="F106" s="1" t="s">
        <v>18289</v>
      </c>
      <c r="G106" s="1" t="s">
        <v>18290</v>
      </c>
      <c r="H106" s="1">
        <v>35</v>
      </c>
      <c r="I106" s="1" t="s">
        <v>8417</v>
      </c>
      <c r="J106" s="1" t="s">
        <v>17937</v>
      </c>
      <c r="K106" s="1" t="s">
        <v>18291</v>
      </c>
      <c r="L106" s="1" t="s">
        <v>18292</v>
      </c>
      <c r="M106" s="1" t="s">
        <v>18293</v>
      </c>
      <c r="N106" s="3" t="s">
        <v>18294</v>
      </c>
    </row>
    <row r="107" spans="1:14" ht="13.8">
      <c r="A107" s="1" t="s">
        <v>18295</v>
      </c>
      <c r="B107" s="1" t="s">
        <v>18296</v>
      </c>
      <c r="C107" s="1" t="s">
        <v>18297</v>
      </c>
      <c r="D107" s="1" t="s">
        <v>18298</v>
      </c>
      <c r="E107" s="1" t="s">
        <v>18299</v>
      </c>
      <c r="F107" s="1" t="s">
        <v>18300</v>
      </c>
      <c r="G107" s="1" t="s">
        <v>18301</v>
      </c>
      <c r="H107" s="1">
        <v>620</v>
      </c>
      <c r="I107" s="1" t="s">
        <v>8417</v>
      </c>
      <c r="J107" s="1" t="s">
        <v>17937</v>
      </c>
      <c r="K107" s="1" t="s">
        <v>18302</v>
      </c>
      <c r="L107" s="1" t="s">
        <v>18303</v>
      </c>
      <c r="M107" s="1" t="s">
        <v>18304</v>
      </c>
      <c r="N107" s="3" t="s">
        <v>18305</v>
      </c>
    </row>
    <row r="108" spans="1:14" ht="409.6">
      <c r="A108" s="1" t="s">
        <v>18306</v>
      </c>
      <c r="B108" s="1" t="s">
        <v>18307</v>
      </c>
      <c r="C108" s="1" t="s">
        <v>18308</v>
      </c>
      <c r="D108" s="1" t="s">
        <v>18309</v>
      </c>
      <c r="E108" s="1" t="s">
        <v>18310</v>
      </c>
      <c r="F108" s="1" t="s">
        <v>18311</v>
      </c>
      <c r="G108" s="1" t="s">
        <v>18312</v>
      </c>
      <c r="H108" s="1">
        <v>25</v>
      </c>
      <c r="I108" s="1" t="s">
        <v>14281</v>
      </c>
      <c r="J108" s="1" t="s">
        <v>14198</v>
      </c>
      <c r="K108" s="4" t="s">
        <v>18313</v>
      </c>
      <c r="L108" s="1" t="s">
        <v>18314</v>
      </c>
      <c r="M108" s="1" t="s">
        <v>18315</v>
      </c>
      <c r="N108" s="3" t="s">
        <v>18316</v>
      </c>
    </row>
    <row r="109" spans="1:14" ht="409.6">
      <c r="A109" s="1" t="s">
        <v>18317</v>
      </c>
      <c r="B109" s="1" t="s">
        <v>18318</v>
      </c>
      <c r="C109" s="1" t="s">
        <v>18319</v>
      </c>
      <c r="D109" s="1" t="s">
        <v>18320</v>
      </c>
      <c r="E109" s="1" t="s">
        <v>18321</v>
      </c>
      <c r="F109" s="1" t="s">
        <v>18322</v>
      </c>
      <c r="G109" s="1" t="s">
        <v>18323</v>
      </c>
      <c r="H109" s="1">
        <v>15</v>
      </c>
      <c r="I109" s="1" t="s">
        <v>14281</v>
      </c>
      <c r="J109" s="1" t="s">
        <v>14198</v>
      </c>
      <c r="K109" s="4" t="s">
        <v>18324</v>
      </c>
      <c r="L109" s="1" t="s">
        <v>18325</v>
      </c>
      <c r="M109" s="1" t="s">
        <v>18326</v>
      </c>
      <c r="N109" s="3" t="s">
        <v>18327</v>
      </c>
    </row>
    <row r="110" spans="1:14" ht="409.6">
      <c r="A110" s="1" t="s">
        <v>18328</v>
      </c>
      <c r="B110" s="1" t="s">
        <v>18329</v>
      </c>
      <c r="C110" s="1" t="s">
        <v>18330</v>
      </c>
      <c r="D110" s="1" t="s">
        <v>18331</v>
      </c>
      <c r="E110" s="1" t="s">
        <v>18332</v>
      </c>
      <c r="F110" s="1" t="s">
        <v>18333</v>
      </c>
      <c r="G110" s="1" t="s">
        <v>18334</v>
      </c>
      <c r="H110" s="1">
        <v>75</v>
      </c>
      <c r="I110" s="1" t="s">
        <v>14281</v>
      </c>
      <c r="J110" s="1" t="s">
        <v>14198</v>
      </c>
      <c r="K110" s="4" t="s">
        <v>18335</v>
      </c>
      <c r="L110" s="1" t="s">
        <v>18336</v>
      </c>
      <c r="M110" s="1" t="s">
        <v>18337</v>
      </c>
      <c r="N110" s="3" t="s">
        <v>18338</v>
      </c>
    </row>
    <row r="111" spans="1:14" ht="13.8">
      <c r="A111" s="1" t="s">
        <v>18339</v>
      </c>
      <c r="B111" s="1" t="s">
        <v>18340</v>
      </c>
      <c r="C111" s="1" t="s">
        <v>18341</v>
      </c>
      <c r="D111" s="1" t="s">
        <v>18342</v>
      </c>
      <c r="E111" s="1" t="s">
        <v>18343</v>
      </c>
      <c r="F111" s="1" t="s">
        <v>18344</v>
      </c>
      <c r="G111" s="1" t="s">
        <v>18345</v>
      </c>
      <c r="H111" s="1">
        <v>60</v>
      </c>
      <c r="I111" s="1" t="s">
        <v>14281</v>
      </c>
      <c r="J111" s="1" t="s">
        <v>14198</v>
      </c>
      <c r="K111" s="1" t="s">
        <v>18346</v>
      </c>
      <c r="L111" s="1" t="s">
        <v>18347</v>
      </c>
      <c r="M111" s="1" t="s">
        <v>18348</v>
      </c>
      <c r="N111" s="3" t="s">
        <v>18349</v>
      </c>
    </row>
    <row r="112" spans="1:14" ht="13.8">
      <c r="A112" s="1" t="s">
        <v>18350</v>
      </c>
      <c r="B112" s="1" t="s">
        <v>18351</v>
      </c>
      <c r="C112" s="1" t="s">
        <v>18352</v>
      </c>
      <c r="D112" s="1" t="s">
        <v>18353</v>
      </c>
      <c r="E112" s="1" t="s">
        <v>18354</v>
      </c>
      <c r="F112" s="1" t="s">
        <v>18355</v>
      </c>
      <c r="G112" s="1" t="s">
        <v>18356</v>
      </c>
      <c r="H112" s="1">
        <v>65</v>
      </c>
      <c r="I112" s="1" t="s">
        <v>8417</v>
      </c>
      <c r="J112" s="1" t="s">
        <v>14198</v>
      </c>
      <c r="K112" s="1" t="s">
        <v>18357</v>
      </c>
      <c r="L112" s="1" t="s">
        <v>18358</v>
      </c>
      <c r="M112" s="1" t="s">
        <v>18359</v>
      </c>
      <c r="N112" s="3" t="s">
        <v>18360</v>
      </c>
    </row>
    <row r="113" spans="1:14" ht="409.6">
      <c r="A113" s="1" t="s">
        <v>18361</v>
      </c>
      <c r="B113" s="1" t="s">
        <v>18362</v>
      </c>
      <c r="C113" s="1" t="s">
        <v>18363</v>
      </c>
      <c r="D113" s="1" t="s">
        <v>18364</v>
      </c>
      <c r="E113" s="1" t="s">
        <v>18365</v>
      </c>
      <c r="F113" s="1" t="s">
        <v>18366</v>
      </c>
      <c r="G113" s="1" t="s">
        <v>18367</v>
      </c>
      <c r="H113" s="1">
        <v>15</v>
      </c>
      <c r="I113" s="1" t="s">
        <v>14572</v>
      </c>
      <c r="J113" s="1" t="s">
        <v>14198</v>
      </c>
      <c r="K113" s="4" t="s">
        <v>18368</v>
      </c>
      <c r="L113" s="1" t="s">
        <v>18369</v>
      </c>
      <c r="M113" s="1" t="s">
        <v>18370</v>
      </c>
      <c r="N113" s="3" t="s">
        <v>18371</v>
      </c>
    </row>
    <row r="114" spans="1:14" ht="409.6">
      <c r="A114" s="1" t="s">
        <v>18372</v>
      </c>
      <c r="B114" s="1" t="s">
        <v>18373</v>
      </c>
      <c r="C114" s="1" t="s">
        <v>18374</v>
      </c>
      <c r="D114" s="1" t="s">
        <v>18375</v>
      </c>
      <c r="E114" s="1" t="s">
        <v>18376</v>
      </c>
      <c r="F114" s="1" t="s">
        <v>18377</v>
      </c>
      <c r="G114" s="1" t="s">
        <v>18378</v>
      </c>
      <c r="H114" s="1">
        <v>40</v>
      </c>
      <c r="I114" s="1" t="s">
        <v>8417</v>
      </c>
      <c r="J114" s="1" t="s">
        <v>14198</v>
      </c>
      <c r="K114" s="4" t="s">
        <v>18379</v>
      </c>
      <c r="L114" s="1" t="s">
        <v>18380</v>
      </c>
      <c r="M114" s="1" t="s">
        <v>18381</v>
      </c>
      <c r="N114" s="3" t="s">
        <v>18382</v>
      </c>
    </row>
    <row r="115" spans="1:14" ht="13.8">
      <c r="A115" s="1" t="s">
        <v>18383</v>
      </c>
      <c r="B115" s="1" t="s">
        <v>18384</v>
      </c>
      <c r="C115" s="1" t="s">
        <v>18385</v>
      </c>
      <c r="D115" s="1" t="s">
        <v>18386</v>
      </c>
      <c r="E115" s="1" t="s">
        <v>18387</v>
      </c>
      <c r="F115" s="1" t="s">
        <v>18388</v>
      </c>
      <c r="G115" s="1" t="s">
        <v>18389</v>
      </c>
      <c r="H115" s="1">
        <v>135</v>
      </c>
      <c r="I115" s="1" t="s">
        <v>14281</v>
      </c>
      <c r="J115" s="1" t="s">
        <v>15314</v>
      </c>
      <c r="K115" s="1" t="s">
        <v>18390</v>
      </c>
      <c r="L115" s="1" t="s">
        <v>18391</v>
      </c>
      <c r="M115" s="1" t="s">
        <v>18392</v>
      </c>
      <c r="N115" s="3" t="s">
        <v>18393</v>
      </c>
    </row>
    <row r="116" spans="1:14" ht="13.8">
      <c r="A116" s="1" t="s">
        <v>18394</v>
      </c>
      <c r="B116" s="1" t="s">
        <v>18395</v>
      </c>
      <c r="C116" s="1" t="s">
        <v>18396</v>
      </c>
      <c r="D116" s="1" t="s">
        <v>18397</v>
      </c>
      <c r="E116" s="1" t="s">
        <v>18398</v>
      </c>
      <c r="F116" s="1" t="s">
        <v>18399</v>
      </c>
      <c r="G116" s="1" t="s">
        <v>18400</v>
      </c>
      <c r="H116" s="1">
        <v>30</v>
      </c>
      <c r="I116" s="1" t="s">
        <v>14572</v>
      </c>
      <c r="J116" s="1" t="s">
        <v>14237</v>
      </c>
      <c r="K116" s="1" t="s">
        <v>18401</v>
      </c>
      <c r="L116" s="1" t="s">
        <v>18402</v>
      </c>
      <c r="M116" s="1" t="s">
        <v>18403</v>
      </c>
      <c r="N116" s="3" t="s">
        <v>18404</v>
      </c>
    </row>
    <row r="117" spans="1:14" ht="409.6">
      <c r="A117" s="1" t="s">
        <v>18405</v>
      </c>
      <c r="B117" s="1" t="s">
        <v>18406</v>
      </c>
      <c r="C117" s="1" t="s">
        <v>18407</v>
      </c>
      <c r="D117" s="1" t="s">
        <v>18408</v>
      </c>
      <c r="E117" s="1" t="s">
        <v>18409</v>
      </c>
      <c r="F117" s="1" t="s">
        <v>18410</v>
      </c>
      <c r="G117" s="1" t="s">
        <v>18411</v>
      </c>
      <c r="H117" s="1">
        <v>50</v>
      </c>
      <c r="I117" s="1" t="s">
        <v>14572</v>
      </c>
      <c r="J117" s="1" t="s">
        <v>15314</v>
      </c>
      <c r="K117" s="4" t="s">
        <v>18412</v>
      </c>
      <c r="L117" s="1" t="s">
        <v>18413</v>
      </c>
      <c r="M117" s="1" t="s">
        <v>18414</v>
      </c>
      <c r="N117" s="3" t="s">
        <v>18415</v>
      </c>
    </row>
    <row r="118" spans="1:14" ht="409.6">
      <c r="A118" s="1" t="s">
        <v>18416</v>
      </c>
      <c r="B118" s="1" t="s">
        <v>18417</v>
      </c>
      <c r="C118" s="1" t="s">
        <v>18418</v>
      </c>
      <c r="D118" s="1" t="s">
        <v>18419</v>
      </c>
      <c r="E118" s="1" t="s">
        <v>18420</v>
      </c>
      <c r="F118" s="1" t="s">
        <v>18421</v>
      </c>
      <c r="G118" s="1" t="s">
        <v>18422</v>
      </c>
      <c r="H118" s="1">
        <v>35</v>
      </c>
      <c r="I118" s="1" t="s">
        <v>14572</v>
      </c>
      <c r="J118" s="1" t="s">
        <v>14198</v>
      </c>
      <c r="K118" s="4" t="s">
        <v>18423</v>
      </c>
      <c r="L118" s="1" t="s">
        <v>18424</v>
      </c>
      <c r="M118" s="1" t="s">
        <v>18425</v>
      </c>
      <c r="N118" s="3" t="s">
        <v>18426</v>
      </c>
    </row>
    <row r="119" spans="1:14" ht="409.6">
      <c r="A119" s="1" t="s">
        <v>18427</v>
      </c>
      <c r="B119" s="1" t="s">
        <v>18428</v>
      </c>
      <c r="C119" s="1" t="s">
        <v>18429</v>
      </c>
      <c r="D119" s="1" t="s">
        <v>18430</v>
      </c>
      <c r="E119" s="1" t="s">
        <v>18431</v>
      </c>
      <c r="F119" s="1" t="s">
        <v>18432</v>
      </c>
      <c r="G119" s="1" t="s">
        <v>18433</v>
      </c>
      <c r="H119" s="1">
        <v>50</v>
      </c>
      <c r="I119" s="1" t="s">
        <v>14259</v>
      </c>
      <c r="J119" s="1" t="s">
        <v>14198</v>
      </c>
      <c r="K119" s="4" t="s">
        <v>18434</v>
      </c>
      <c r="L119" s="1" t="s">
        <v>18435</v>
      </c>
      <c r="M119" s="1" t="s">
        <v>18436</v>
      </c>
      <c r="N119" s="3" t="s">
        <v>18437</v>
      </c>
    </row>
    <row r="120" spans="1:14" ht="13.8">
      <c r="A120" s="1" t="s">
        <v>18438</v>
      </c>
      <c r="B120" s="1" t="s">
        <v>18439</v>
      </c>
      <c r="C120" s="1" t="s">
        <v>18440</v>
      </c>
      <c r="D120" s="1" t="s">
        <v>18441</v>
      </c>
      <c r="E120" s="1" t="s">
        <v>18442</v>
      </c>
      <c r="F120" s="1" t="s">
        <v>18443</v>
      </c>
      <c r="G120" s="1" t="s">
        <v>18444</v>
      </c>
      <c r="H120" s="1">
        <v>45</v>
      </c>
      <c r="I120" s="1" t="s">
        <v>17252</v>
      </c>
      <c r="J120" s="1" t="s">
        <v>15314</v>
      </c>
      <c r="K120" s="1" t="s">
        <v>18445</v>
      </c>
      <c r="L120" s="1" t="s">
        <v>18446</v>
      </c>
      <c r="M120" s="1" t="s">
        <v>18447</v>
      </c>
      <c r="N120" s="3" t="s">
        <v>18448</v>
      </c>
    </row>
    <row r="121" spans="1:14" ht="13.8">
      <c r="A121" s="1" t="s">
        <v>18449</v>
      </c>
      <c r="B121" s="1" t="s">
        <v>18450</v>
      </c>
      <c r="C121" s="1" t="s">
        <v>18451</v>
      </c>
      <c r="D121" s="1" t="s">
        <v>18452</v>
      </c>
      <c r="E121" s="1" t="s">
        <v>18453</v>
      </c>
      <c r="F121" s="1" t="s">
        <v>18454</v>
      </c>
      <c r="G121" s="1" t="s">
        <v>18455</v>
      </c>
      <c r="H121" s="1">
        <v>50</v>
      </c>
      <c r="I121" s="1" t="s">
        <v>14281</v>
      </c>
      <c r="J121" s="1" t="s">
        <v>14198</v>
      </c>
      <c r="K121" s="1" t="s">
        <v>18456</v>
      </c>
      <c r="L121" s="1" t="s">
        <v>18457</v>
      </c>
      <c r="M121" s="1" t="s">
        <v>18458</v>
      </c>
      <c r="N121" s="3" t="s">
        <v>18459</v>
      </c>
    </row>
    <row r="122" spans="1:14" ht="13.8">
      <c r="A122" s="1" t="s">
        <v>18460</v>
      </c>
      <c r="B122" s="1" t="s">
        <v>18461</v>
      </c>
      <c r="C122" s="1" t="s">
        <v>18462</v>
      </c>
      <c r="D122" s="1" t="s">
        <v>18463</v>
      </c>
      <c r="E122" s="1" t="s">
        <v>18464</v>
      </c>
      <c r="F122" s="1" t="s">
        <v>18465</v>
      </c>
      <c r="G122" s="1" t="s">
        <v>18466</v>
      </c>
      <c r="H122" s="1">
        <v>30</v>
      </c>
      <c r="I122" s="1" t="s">
        <v>14259</v>
      </c>
      <c r="J122" s="1" t="s">
        <v>14237</v>
      </c>
      <c r="K122" s="1" t="s">
        <v>18467</v>
      </c>
      <c r="L122" s="1" t="s">
        <v>18468</v>
      </c>
      <c r="M122" s="1" t="s">
        <v>18469</v>
      </c>
      <c r="N122" s="3" t="s">
        <v>18470</v>
      </c>
    </row>
    <row r="123" spans="1:14" ht="13.8">
      <c r="A123" s="1" t="s">
        <v>18471</v>
      </c>
      <c r="B123" s="1" t="s">
        <v>18472</v>
      </c>
      <c r="C123" s="1" t="s">
        <v>18473</v>
      </c>
      <c r="D123" s="1" t="s">
        <v>18474</v>
      </c>
      <c r="E123" s="1" t="s">
        <v>18475</v>
      </c>
      <c r="F123" s="1" t="s">
        <v>18476</v>
      </c>
      <c r="G123" s="1" t="s">
        <v>18477</v>
      </c>
      <c r="H123" s="1">
        <v>40</v>
      </c>
      <c r="I123" s="1" t="s">
        <v>17252</v>
      </c>
      <c r="J123" s="1" t="s">
        <v>15314</v>
      </c>
      <c r="K123" s="1" t="s">
        <v>18478</v>
      </c>
      <c r="L123" s="1" t="s">
        <v>18479</v>
      </c>
      <c r="M123" s="1" t="s">
        <v>18480</v>
      </c>
      <c r="N123" s="3" t="s">
        <v>18481</v>
      </c>
    </row>
    <row r="124" spans="1:14" ht="409.6">
      <c r="A124" s="1" t="s">
        <v>18482</v>
      </c>
      <c r="B124" s="1" t="s">
        <v>18483</v>
      </c>
      <c r="C124" s="1" t="s">
        <v>18484</v>
      </c>
      <c r="D124" s="1" t="s">
        <v>18485</v>
      </c>
      <c r="E124" s="1" t="s">
        <v>18486</v>
      </c>
      <c r="F124" s="1" t="s">
        <v>18487</v>
      </c>
      <c r="G124" s="1" t="s">
        <v>18488</v>
      </c>
      <c r="H124" s="1">
        <v>40</v>
      </c>
      <c r="I124" s="1" t="s">
        <v>14207</v>
      </c>
      <c r="J124" s="1" t="s">
        <v>14198</v>
      </c>
      <c r="K124" s="4" t="s">
        <v>18489</v>
      </c>
      <c r="L124" s="1" t="s">
        <v>18490</v>
      </c>
      <c r="M124" s="4" t="s">
        <v>18491</v>
      </c>
      <c r="N124" s="3" t="s">
        <v>18492</v>
      </c>
    </row>
    <row r="125" spans="1:14" ht="13.8">
      <c r="A125" s="1" t="s">
        <v>18493</v>
      </c>
      <c r="B125" s="1" t="s">
        <v>18494</v>
      </c>
      <c r="C125" s="1" t="s">
        <v>18495</v>
      </c>
      <c r="D125" s="1" t="s">
        <v>18496</v>
      </c>
      <c r="E125" s="1" t="s">
        <v>18497</v>
      </c>
      <c r="F125" s="1" t="s">
        <v>18498</v>
      </c>
      <c r="G125" s="1" t="s">
        <v>18499</v>
      </c>
      <c r="H125" s="1">
        <v>20</v>
      </c>
      <c r="I125" s="1" t="s">
        <v>14572</v>
      </c>
      <c r="J125" s="1" t="s">
        <v>14237</v>
      </c>
      <c r="K125" s="1" t="s">
        <v>18500</v>
      </c>
      <c r="L125" s="1" t="s">
        <v>18501</v>
      </c>
      <c r="M125" s="1" t="s">
        <v>18502</v>
      </c>
      <c r="N125" s="3" t="s">
        <v>18503</v>
      </c>
    </row>
    <row r="126" spans="1:14" ht="409.6">
      <c r="A126" s="1" t="s">
        <v>18504</v>
      </c>
      <c r="B126" s="1" t="s">
        <v>18505</v>
      </c>
      <c r="C126" s="1" t="s">
        <v>18506</v>
      </c>
      <c r="D126" s="1" t="s">
        <v>18507</v>
      </c>
      <c r="E126" s="1" t="s">
        <v>18508</v>
      </c>
      <c r="F126" s="1" t="s">
        <v>18509</v>
      </c>
      <c r="G126" s="1" t="s">
        <v>18510</v>
      </c>
      <c r="H126" s="1">
        <v>10</v>
      </c>
      <c r="I126" s="1" t="s">
        <v>14207</v>
      </c>
      <c r="J126" s="1" t="s">
        <v>14198</v>
      </c>
      <c r="K126" s="4" t="s">
        <v>18511</v>
      </c>
      <c r="L126" s="1" t="s">
        <v>18512</v>
      </c>
      <c r="M126" s="1" t="s">
        <v>18513</v>
      </c>
      <c r="N126" s="3" t="s">
        <v>18514</v>
      </c>
    </row>
    <row r="127" spans="1:14" ht="409.6">
      <c r="A127" s="1" t="s">
        <v>18515</v>
      </c>
      <c r="B127" s="1" t="s">
        <v>18516</v>
      </c>
      <c r="C127" s="1" t="s">
        <v>18517</v>
      </c>
      <c r="D127" s="1" t="s">
        <v>18518</v>
      </c>
      <c r="E127" s="1" t="s">
        <v>18519</v>
      </c>
      <c r="F127" s="1" t="s">
        <v>18520</v>
      </c>
      <c r="G127" s="1" t="s">
        <v>18521</v>
      </c>
      <c r="H127" s="1">
        <v>40</v>
      </c>
      <c r="I127" s="1" t="s">
        <v>17252</v>
      </c>
      <c r="J127" s="1" t="s">
        <v>15314</v>
      </c>
      <c r="K127" s="4" t="s">
        <v>18522</v>
      </c>
      <c r="L127" s="1" t="s">
        <v>18523</v>
      </c>
      <c r="M127" s="1" t="s">
        <v>18524</v>
      </c>
      <c r="N127" s="3" t="s">
        <v>18525</v>
      </c>
    </row>
    <row r="128" spans="1:14" ht="409.6">
      <c r="A128" s="1" t="s">
        <v>18526</v>
      </c>
      <c r="B128" s="1" t="s">
        <v>18527</v>
      </c>
      <c r="C128" s="1" t="s">
        <v>18528</v>
      </c>
      <c r="D128" s="1" t="s">
        <v>18529</v>
      </c>
      <c r="E128" s="1" t="s">
        <v>18530</v>
      </c>
      <c r="F128" s="1" t="s">
        <v>18531</v>
      </c>
      <c r="G128" s="1" t="s">
        <v>18532</v>
      </c>
      <c r="H128" s="1">
        <v>20</v>
      </c>
      <c r="I128" s="1" t="s">
        <v>14572</v>
      </c>
      <c r="J128" s="1" t="s">
        <v>14198</v>
      </c>
      <c r="K128" s="4" t="s">
        <v>18533</v>
      </c>
      <c r="L128" s="1" t="s">
        <v>18534</v>
      </c>
      <c r="M128" s="1" t="s">
        <v>18535</v>
      </c>
      <c r="N128" s="3" t="s">
        <v>18536</v>
      </c>
    </row>
    <row r="129" spans="1:14" ht="13.8">
      <c r="A129" s="1" t="s">
        <v>18537</v>
      </c>
      <c r="B129" s="1" t="s">
        <v>18538</v>
      </c>
      <c r="C129" s="1" t="s">
        <v>18539</v>
      </c>
      <c r="D129" s="1" t="s">
        <v>18540</v>
      </c>
      <c r="E129" s="1" t="s">
        <v>18541</v>
      </c>
      <c r="F129" s="1" t="s">
        <v>18542</v>
      </c>
      <c r="G129" s="1" t="s">
        <v>18543</v>
      </c>
      <c r="H129" s="1">
        <v>50</v>
      </c>
      <c r="I129" s="1" t="s">
        <v>8417</v>
      </c>
      <c r="J129" s="1" t="s">
        <v>14198</v>
      </c>
      <c r="K129" s="1" t="s">
        <v>18544</v>
      </c>
      <c r="L129" s="1" t="s">
        <v>18545</v>
      </c>
      <c r="M129" s="1" t="s">
        <v>18546</v>
      </c>
      <c r="N129" s="3" t="s">
        <v>18547</v>
      </c>
    </row>
    <row r="130" spans="1:14" ht="409.6">
      <c r="A130" s="1" t="s">
        <v>18548</v>
      </c>
      <c r="B130" s="1" t="s">
        <v>18549</v>
      </c>
      <c r="C130" s="1" t="s">
        <v>18550</v>
      </c>
      <c r="D130" s="1" t="s">
        <v>18551</v>
      </c>
      <c r="E130" s="1" t="s">
        <v>18552</v>
      </c>
      <c r="F130" s="1" t="s">
        <v>18553</v>
      </c>
      <c r="G130" s="1" t="s">
        <v>18554</v>
      </c>
      <c r="H130" s="1">
        <v>20</v>
      </c>
      <c r="I130" s="1" t="s">
        <v>17252</v>
      </c>
      <c r="J130" s="1" t="s">
        <v>14198</v>
      </c>
      <c r="K130" s="4" t="s">
        <v>18555</v>
      </c>
      <c r="L130" s="1" t="s">
        <v>18556</v>
      </c>
      <c r="M130" s="1" t="s">
        <v>18557</v>
      </c>
      <c r="N130" s="3" t="s">
        <v>18558</v>
      </c>
    </row>
    <row r="131" spans="1:14" ht="409.6">
      <c r="A131" s="1" t="s">
        <v>18559</v>
      </c>
      <c r="B131" s="1" t="s">
        <v>18560</v>
      </c>
      <c r="C131" s="1" t="s">
        <v>18561</v>
      </c>
      <c r="D131" s="1" t="s">
        <v>18562</v>
      </c>
      <c r="E131" s="1" t="s">
        <v>18563</v>
      </c>
      <c r="F131" s="1" t="s">
        <v>18564</v>
      </c>
      <c r="G131" s="1" t="s">
        <v>18565</v>
      </c>
      <c r="H131" s="1">
        <v>15</v>
      </c>
      <c r="I131" s="1" t="s">
        <v>14207</v>
      </c>
      <c r="J131" s="1" t="s">
        <v>14198</v>
      </c>
      <c r="K131" s="4" t="s">
        <v>18566</v>
      </c>
      <c r="L131" s="1" t="s">
        <v>18567</v>
      </c>
      <c r="M131" s="1" t="s">
        <v>18568</v>
      </c>
      <c r="N131" s="3" t="s">
        <v>18569</v>
      </c>
    </row>
    <row r="132" spans="1:14" ht="409.6">
      <c r="A132" s="1" t="s">
        <v>18570</v>
      </c>
      <c r="B132" s="1" t="s">
        <v>18571</v>
      </c>
      <c r="C132" s="1" t="s">
        <v>18572</v>
      </c>
      <c r="D132" s="1" t="s">
        <v>18573</v>
      </c>
      <c r="E132" s="1" t="s">
        <v>18574</v>
      </c>
      <c r="F132" s="1" t="s">
        <v>18575</v>
      </c>
      <c r="G132" s="1" t="s">
        <v>18576</v>
      </c>
      <c r="H132" s="1">
        <v>50</v>
      </c>
      <c r="I132" s="1" t="s">
        <v>14281</v>
      </c>
      <c r="J132" s="1" t="s">
        <v>14198</v>
      </c>
      <c r="K132" s="4" t="s">
        <v>18577</v>
      </c>
      <c r="L132" s="1" t="s">
        <v>18578</v>
      </c>
      <c r="M132" s="1" t="s">
        <v>18579</v>
      </c>
      <c r="N132" s="3" t="s">
        <v>18580</v>
      </c>
    </row>
    <row r="133" spans="1:14" ht="409.6">
      <c r="A133" s="1" t="s">
        <v>18581</v>
      </c>
      <c r="B133" s="1" t="s">
        <v>18582</v>
      </c>
      <c r="C133" s="1" t="s">
        <v>18583</v>
      </c>
      <c r="D133" s="1" t="s">
        <v>18584</v>
      </c>
      <c r="E133" s="1" t="s">
        <v>18585</v>
      </c>
      <c r="F133" s="1" t="s">
        <v>18586</v>
      </c>
      <c r="G133" s="1" t="s">
        <v>18587</v>
      </c>
      <c r="H133" s="1">
        <v>25</v>
      </c>
      <c r="I133" s="1" t="s">
        <v>14572</v>
      </c>
      <c r="J133" s="1" t="s">
        <v>14198</v>
      </c>
      <c r="K133" s="4" t="s">
        <v>18588</v>
      </c>
      <c r="L133" s="1" t="s">
        <v>18589</v>
      </c>
      <c r="M133" s="1" t="s">
        <v>18590</v>
      </c>
      <c r="N133" s="3" t="s">
        <v>18591</v>
      </c>
    </row>
    <row r="134" spans="1:14" ht="13.8">
      <c r="A134" s="1" t="s">
        <v>18592</v>
      </c>
      <c r="B134" s="1" t="s">
        <v>18593</v>
      </c>
      <c r="C134" s="1" t="s">
        <v>18594</v>
      </c>
      <c r="D134" s="1" t="s">
        <v>18595</v>
      </c>
      <c r="E134" s="1" t="s">
        <v>18596</v>
      </c>
      <c r="F134" s="1" t="s">
        <v>18597</v>
      </c>
      <c r="G134" s="1" t="s">
        <v>18598</v>
      </c>
      <c r="H134" s="1">
        <v>25</v>
      </c>
      <c r="I134" s="1" t="s">
        <v>429</v>
      </c>
      <c r="J134" s="1" t="s">
        <v>14237</v>
      </c>
      <c r="K134" s="1" t="s">
        <v>18599</v>
      </c>
      <c r="L134" s="1" t="s">
        <v>18600</v>
      </c>
      <c r="M134" s="1" t="s">
        <v>18601</v>
      </c>
      <c r="N134" s="3" t="s">
        <v>18602</v>
      </c>
    </row>
    <row r="135" spans="1:14" ht="409.6">
      <c r="A135" s="1" t="s">
        <v>18603</v>
      </c>
      <c r="B135" s="1" t="s">
        <v>18604</v>
      </c>
      <c r="C135" s="1" t="s">
        <v>18605</v>
      </c>
      <c r="D135" s="1" t="s">
        <v>18606</v>
      </c>
      <c r="E135" s="1" t="s">
        <v>18607</v>
      </c>
      <c r="F135" s="1" t="s">
        <v>18608</v>
      </c>
      <c r="G135" s="1" t="s">
        <v>18609</v>
      </c>
      <c r="H135" s="1">
        <v>110</v>
      </c>
      <c r="I135" s="1" t="s">
        <v>429</v>
      </c>
      <c r="J135" s="1" t="s">
        <v>14198</v>
      </c>
      <c r="K135" s="4" t="s">
        <v>18610</v>
      </c>
      <c r="L135" s="1" t="s">
        <v>18611</v>
      </c>
      <c r="M135" s="1" t="s">
        <v>18612</v>
      </c>
      <c r="N135" s="3" t="s">
        <v>18613</v>
      </c>
    </row>
    <row r="136" spans="1:14" ht="409.6">
      <c r="A136" s="1" t="s">
        <v>18614</v>
      </c>
      <c r="B136" s="1" t="s">
        <v>18615</v>
      </c>
      <c r="C136" s="1" t="s">
        <v>18616</v>
      </c>
      <c r="D136" s="1" t="s">
        <v>18617</v>
      </c>
      <c r="E136" s="1" t="s">
        <v>18618</v>
      </c>
      <c r="F136" s="1" t="s">
        <v>18619</v>
      </c>
      <c r="G136" s="1" t="s">
        <v>18620</v>
      </c>
      <c r="H136" s="1">
        <v>20</v>
      </c>
      <c r="I136" s="1" t="s">
        <v>14281</v>
      </c>
      <c r="J136" s="1" t="s">
        <v>14237</v>
      </c>
      <c r="K136" s="4" t="s">
        <v>18621</v>
      </c>
      <c r="L136" s="1" t="s">
        <v>18622</v>
      </c>
      <c r="M136" s="1" t="s">
        <v>18623</v>
      </c>
      <c r="N136" s="3" t="s">
        <v>18624</v>
      </c>
    </row>
    <row r="137" spans="1:14" ht="13.8">
      <c r="A137" s="1" t="s">
        <v>18625</v>
      </c>
      <c r="B137" s="1" t="s">
        <v>18626</v>
      </c>
      <c r="C137" s="1" t="s">
        <v>18627</v>
      </c>
      <c r="D137" s="1" t="s">
        <v>18628</v>
      </c>
      <c r="E137" s="1" t="s">
        <v>18629</v>
      </c>
      <c r="F137" s="1" t="s">
        <v>18630</v>
      </c>
      <c r="G137" s="1" t="s">
        <v>18631</v>
      </c>
      <c r="H137" s="1">
        <v>20</v>
      </c>
      <c r="I137" s="1" t="s">
        <v>429</v>
      </c>
      <c r="J137" s="1" t="s">
        <v>14367</v>
      </c>
      <c r="K137" s="1" t="s">
        <v>18632</v>
      </c>
      <c r="L137" s="1" t="s">
        <v>18633</v>
      </c>
      <c r="M137" s="1" t="s">
        <v>18634</v>
      </c>
      <c r="N137" s="3" t="s">
        <v>18635</v>
      </c>
    </row>
    <row r="138" spans="1:14" ht="13.8">
      <c r="A138" s="1" t="s">
        <v>18636</v>
      </c>
      <c r="B138" s="1" t="s">
        <v>18637</v>
      </c>
      <c r="C138" s="1" t="s">
        <v>18638</v>
      </c>
      <c r="D138" s="1" t="s">
        <v>18639</v>
      </c>
      <c r="E138" s="1" t="s">
        <v>18640</v>
      </c>
      <c r="F138" s="1" t="s">
        <v>18641</v>
      </c>
      <c r="G138" s="1" t="s">
        <v>18642</v>
      </c>
      <c r="H138" s="1">
        <v>50</v>
      </c>
      <c r="I138" s="1" t="s">
        <v>8417</v>
      </c>
      <c r="J138" s="1" t="s">
        <v>17937</v>
      </c>
      <c r="K138" s="1" t="s">
        <v>18643</v>
      </c>
      <c r="L138" s="1" t="s">
        <v>18644</v>
      </c>
      <c r="M138" s="1" t="s">
        <v>18645</v>
      </c>
      <c r="N138" s="3" t="s">
        <v>18646</v>
      </c>
    </row>
    <row r="139" spans="1:14" ht="13.8">
      <c r="A139" s="1" t="s">
        <v>18647</v>
      </c>
      <c r="B139" s="1" t="s">
        <v>18648</v>
      </c>
      <c r="C139" s="1" t="s">
        <v>18649</v>
      </c>
      <c r="D139" s="1" t="s">
        <v>18650</v>
      </c>
      <c r="E139" s="1" t="s">
        <v>18651</v>
      </c>
      <c r="F139" s="1" t="s">
        <v>18652</v>
      </c>
      <c r="G139" s="1" t="s">
        <v>18653</v>
      </c>
      <c r="H139" s="1">
        <v>15</v>
      </c>
      <c r="I139" s="1" t="s">
        <v>17252</v>
      </c>
      <c r="J139" s="1" t="s">
        <v>14198</v>
      </c>
      <c r="K139" s="1" t="s">
        <v>18654</v>
      </c>
      <c r="L139" s="1" t="s">
        <v>18655</v>
      </c>
      <c r="M139" s="1" t="s">
        <v>18656</v>
      </c>
      <c r="N139" s="3" t="s">
        <v>18657</v>
      </c>
    </row>
    <row r="140" spans="1:14" ht="13.8">
      <c r="A140" s="1" t="s">
        <v>18658</v>
      </c>
      <c r="B140" s="1" t="s">
        <v>18659</v>
      </c>
      <c r="C140" s="1" t="s">
        <v>18660</v>
      </c>
      <c r="D140" s="1" t="s">
        <v>18661</v>
      </c>
      <c r="E140" s="1" t="s">
        <v>18662</v>
      </c>
      <c r="F140" s="1" t="s">
        <v>18663</v>
      </c>
      <c r="G140" s="1" t="s">
        <v>18664</v>
      </c>
      <c r="H140" s="1">
        <v>30</v>
      </c>
      <c r="I140" s="1" t="s">
        <v>17252</v>
      </c>
      <c r="J140" s="1" t="s">
        <v>15314</v>
      </c>
      <c r="K140" s="1" t="s">
        <v>18665</v>
      </c>
      <c r="L140" s="1" t="s">
        <v>18666</v>
      </c>
      <c r="M140" s="1" t="s">
        <v>18667</v>
      </c>
      <c r="N140" s="3" t="s">
        <v>18668</v>
      </c>
    </row>
    <row r="141" spans="1:14" ht="409.6">
      <c r="A141" s="1" t="s">
        <v>18669</v>
      </c>
      <c r="B141" s="1" t="s">
        <v>18670</v>
      </c>
      <c r="C141" s="1" t="s">
        <v>18671</v>
      </c>
      <c r="D141" s="1" t="s">
        <v>18672</v>
      </c>
      <c r="E141" s="1" t="s">
        <v>18673</v>
      </c>
      <c r="F141" s="1" t="s">
        <v>18674</v>
      </c>
      <c r="G141" s="1" t="s">
        <v>18675</v>
      </c>
      <c r="H141" s="1">
        <v>120</v>
      </c>
      <c r="I141" s="1" t="s">
        <v>8417</v>
      </c>
      <c r="J141" s="1" t="s">
        <v>14198</v>
      </c>
      <c r="K141" s="4" t="s">
        <v>18676</v>
      </c>
      <c r="L141" s="1" t="s">
        <v>18677</v>
      </c>
      <c r="M141" s="1" t="s">
        <v>18678</v>
      </c>
      <c r="N141" s="3" t="s">
        <v>18679</v>
      </c>
    </row>
    <row r="142" spans="1:14" ht="13.8">
      <c r="A142" s="1" t="s">
        <v>18680</v>
      </c>
      <c r="B142" s="1" t="s">
        <v>18681</v>
      </c>
      <c r="C142" s="1" t="s">
        <v>18682</v>
      </c>
      <c r="D142" s="1" t="s">
        <v>18683</v>
      </c>
      <c r="E142" s="1" t="s">
        <v>18684</v>
      </c>
      <c r="F142" s="1" t="s">
        <v>18685</v>
      </c>
      <c r="G142" s="1" t="s">
        <v>18686</v>
      </c>
      <c r="H142" s="1">
        <v>45</v>
      </c>
      <c r="I142" s="1" t="s">
        <v>8417</v>
      </c>
      <c r="J142" s="1" t="s">
        <v>14198</v>
      </c>
      <c r="K142" s="1" t="s">
        <v>18687</v>
      </c>
      <c r="L142" s="1" t="s">
        <v>18688</v>
      </c>
      <c r="M142" s="1" t="s">
        <v>18689</v>
      </c>
      <c r="N142" s="3" t="s">
        <v>18690</v>
      </c>
    </row>
    <row r="143" spans="1:14" ht="13.8">
      <c r="A143" s="1" t="s">
        <v>18691</v>
      </c>
      <c r="B143" s="1" t="s">
        <v>18692</v>
      </c>
      <c r="C143" s="1" t="s">
        <v>18693</v>
      </c>
      <c r="D143" s="1" t="s">
        <v>18694</v>
      </c>
      <c r="E143" s="1" t="s">
        <v>18695</v>
      </c>
      <c r="F143" s="1" t="s">
        <v>18696</v>
      </c>
      <c r="G143" s="1" t="s">
        <v>18697</v>
      </c>
      <c r="H143" s="1">
        <v>25</v>
      </c>
      <c r="I143" s="1" t="s">
        <v>17252</v>
      </c>
      <c r="J143" s="1" t="s">
        <v>14198</v>
      </c>
      <c r="K143" s="1" t="s">
        <v>18698</v>
      </c>
      <c r="L143" s="1" t="s">
        <v>18699</v>
      </c>
      <c r="M143" s="1" t="s">
        <v>18700</v>
      </c>
      <c r="N143" s="3" t="s">
        <v>18701</v>
      </c>
    </row>
    <row r="144" spans="1:14" ht="409.6">
      <c r="A144" s="1" t="s">
        <v>18702</v>
      </c>
      <c r="B144" s="1" t="s">
        <v>18703</v>
      </c>
      <c r="C144" s="1" t="s">
        <v>18704</v>
      </c>
      <c r="D144" s="1" t="s">
        <v>18705</v>
      </c>
      <c r="E144" s="1" t="s">
        <v>18706</v>
      </c>
      <c r="F144" s="1" t="s">
        <v>18707</v>
      </c>
      <c r="G144" s="1" t="s">
        <v>18708</v>
      </c>
      <c r="H144" s="1">
        <v>50</v>
      </c>
      <c r="I144" s="1" t="s">
        <v>8417</v>
      </c>
      <c r="J144" s="1" t="s">
        <v>14198</v>
      </c>
      <c r="K144" s="4" t="s">
        <v>18709</v>
      </c>
      <c r="L144" s="1" t="s">
        <v>18710</v>
      </c>
      <c r="M144" s="1" t="s">
        <v>18711</v>
      </c>
      <c r="N144" s="3" t="s">
        <v>18712</v>
      </c>
    </row>
    <row r="145" spans="1:14" ht="409.6">
      <c r="A145" s="1" t="s">
        <v>18713</v>
      </c>
      <c r="B145" s="1" t="s">
        <v>18714</v>
      </c>
      <c r="C145" s="1" t="s">
        <v>18715</v>
      </c>
      <c r="D145" s="1" t="s">
        <v>18716</v>
      </c>
      <c r="E145" s="1" t="s">
        <v>18717</v>
      </c>
      <c r="F145" s="1" t="s">
        <v>18718</v>
      </c>
      <c r="G145" s="1" t="s">
        <v>18719</v>
      </c>
      <c r="H145" s="1">
        <v>15</v>
      </c>
      <c r="I145" s="1" t="s">
        <v>14572</v>
      </c>
      <c r="J145" s="1" t="s">
        <v>14198</v>
      </c>
      <c r="K145" s="4" t="s">
        <v>18720</v>
      </c>
      <c r="L145" s="1" t="s">
        <v>18721</v>
      </c>
      <c r="M145" s="1" t="s">
        <v>18722</v>
      </c>
      <c r="N145" s="3" t="s">
        <v>18723</v>
      </c>
    </row>
    <row r="146" spans="1:14" ht="13.8">
      <c r="A146" s="1" t="s">
        <v>18724</v>
      </c>
      <c r="B146" s="1" t="s">
        <v>18725</v>
      </c>
      <c r="C146" s="1" t="s">
        <v>18726</v>
      </c>
      <c r="D146" s="1" t="s">
        <v>18727</v>
      </c>
      <c r="E146" s="1" t="s">
        <v>18728</v>
      </c>
      <c r="F146" s="1" t="s">
        <v>18729</v>
      </c>
      <c r="G146" s="1" t="s">
        <v>18730</v>
      </c>
      <c r="H146" s="1">
        <v>25</v>
      </c>
      <c r="I146" s="1" t="s">
        <v>14207</v>
      </c>
      <c r="J146" s="1" t="s">
        <v>14198</v>
      </c>
      <c r="K146" s="1" t="s">
        <v>18731</v>
      </c>
      <c r="L146" s="1" t="s">
        <v>18732</v>
      </c>
      <c r="M146" s="1" t="s">
        <v>18733</v>
      </c>
      <c r="N146" s="3" t="s">
        <v>18734</v>
      </c>
    </row>
    <row r="147" spans="1:14" ht="13.8">
      <c r="A147" s="1" t="s">
        <v>18735</v>
      </c>
      <c r="B147" s="1" t="s">
        <v>18736</v>
      </c>
      <c r="C147" s="1" t="s">
        <v>18737</v>
      </c>
      <c r="D147" s="1" t="s">
        <v>18738</v>
      </c>
      <c r="E147" s="1" t="s">
        <v>18739</v>
      </c>
      <c r="F147" s="1" t="s">
        <v>18740</v>
      </c>
      <c r="G147" s="1" t="s">
        <v>18741</v>
      </c>
      <c r="H147" s="1">
        <v>180</v>
      </c>
      <c r="I147" s="1" t="s">
        <v>429</v>
      </c>
      <c r="J147" s="1" t="s">
        <v>14382</v>
      </c>
      <c r="K147" s="1" t="s">
        <v>18742</v>
      </c>
      <c r="L147" s="1" t="s">
        <v>18743</v>
      </c>
      <c r="M147" s="1" t="s">
        <v>18744</v>
      </c>
      <c r="N147" s="3" t="s">
        <v>18745</v>
      </c>
    </row>
    <row r="148" spans="1:14" ht="409.6">
      <c r="A148" s="1" t="s">
        <v>18746</v>
      </c>
      <c r="B148" s="1" t="s">
        <v>18747</v>
      </c>
      <c r="C148" s="1" t="s">
        <v>18748</v>
      </c>
      <c r="D148" s="1" t="s">
        <v>18749</v>
      </c>
      <c r="E148" s="1" t="s">
        <v>18750</v>
      </c>
      <c r="F148" s="1" t="s">
        <v>18751</v>
      </c>
      <c r="G148" s="1" t="s">
        <v>18752</v>
      </c>
      <c r="H148" s="1">
        <v>20</v>
      </c>
      <c r="I148" s="1" t="s">
        <v>14281</v>
      </c>
      <c r="J148" s="1" t="s">
        <v>14198</v>
      </c>
      <c r="K148" s="4" t="s">
        <v>18753</v>
      </c>
      <c r="L148" s="1" t="s">
        <v>18754</v>
      </c>
      <c r="M148" s="1" t="s">
        <v>18755</v>
      </c>
      <c r="N148" s="3" t="s">
        <v>18756</v>
      </c>
    </row>
    <row r="149" spans="1:14" ht="409.6">
      <c r="A149" s="1" t="s">
        <v>18757</v>
      </c>
      <c r="B149" s="1" t="s">
        <v>18758</v>
      </c>
      <c r="C149" s="1" t="s">
        <v>18759</v>
      </c>
      <c r="D149" s="1" t="s">
        <v>18760</v>
      </c>
      <c r="E149" s="1" t="s">
        <v>18761</v>
      </c>
      <c r="F149" s="1" t="s">
        <v>18762</v>
      </c>
      <c r="G149" s="1" t="s">
        <v>18763</v>
      </c>
      <c r="H149" s="1">
        <v>90</v>
      </c>
      <c r="I149" s="1" t="s">
        <v>14259</v>
      </c>
      <c r="J149" s="1" t="s">
        <v>14367</v>
      </c>
      <c r="K149" s="4" t="s">
        <v>18764</v>
      </c>
      <c r="L149" s="1" t="s">
        <v>18765</v>
      </c>
      <c r="M149" s="4" t="s">
        <v>18766</v>
      </c>
      <c r="N149" s="3" t="s">
        <v>18767</v>
      </c>
    </row>
    <row r="150" spans="1:14" ht="409.6">
      <c r="A150" s="1" t="s">
        <v>18768</v>
      </c>
      <c r="B150" s="1" t="s">
        <v>18769</v>
      </c>
      <c r="C150" s="1" t="s">
        <v>18770</v>
      </c>
      <c r="D150" s="1" t="s">
        <v>18771</v>
      </c>
      <c r="E150" s="1" t="s">
        <v>18772</v>
      </c>
      <c r="F150" s="1" t="s">
        <v>18773</v>
      </c>
      <c r="G150" s="1" t="s">
        <v>18774</v>
      </c>
      <c r="H150" s="1">
        <v>20</v>
      </c>
      <c r="I150" s="1" t="s">
        <v>17252</v>
      </c>
      <c r="J150" s="1" t="s">
        <v>18114</v>
      </c>
      <c r="K150" s="4" t="s">
        <v>18775</v>
      </c>
      <c r="L150" s="1" t="s">
        <v>18776</v>
      </c>
      <c r="M150" s="1" t="s">
        <v>18777</v>
      </c>
      <c r="N150" s="3" t="s">
        <v>18778</v>
      </c>
    </row>
    <row r="151" spans="1:14" ht="409.6">
      <c r="A151" s="1" t="s">
        <v>18779</v>
      </c>
      <c r="B151" s="1" t="s">
        <v>18780</v>
      </c>
      <c r="C151" s="1" t="s">
        <v>18781</v>
      </c>
      <c r="D151" s="1" t="s">
        <v>18782</v>
      </c>
      <c r="E151" s="1" t="s">
        <v>18783</v>
      </c>
      <c r="F151" s="1" t="s">
        <v>18784</v>
      </c>
      <c r="G151" s="1" t="s">
        <v>18785</v>
      </c>
      <c r="H151" s="1">
        <v>120</v>
      </c>
      <c r="I151" s="1" t="s">
        <v>8417</v>
      </c>
      <c r="J151" s="1" t="s">
        <v>15314</v>
      </c>
      <c r="K151" s="4" t="s">
        <v>18786</v>
      </c>
      <c r="L151" s="1" t="s">
        <v>18787</v>
      </c>
      <c r="M151" s="1" t="s">
        <v>18788</v>
      </c>
      <c r="N151" s="3" t="s">
        <v>18789</v>
      </c>
    </row>
    <row r="152" spans="1:14" ht="409.6">
      <c r="A152" s="1" t="s">
        <v>18790</v>
      </c>
      <c r="B152" s="1" t="s">
        <v>18791</v>
      </c>
      <c r="C152" s="1" t="s">
        <v>18792</v>
      </c>
      <c r="D152" s="1" t="s">
        <v>18793</v>
      </c>
      <c r="E152" s="1" t="s">
        <v>18794</v>
      </c>
      <c r="F152" s="1" t="s">
        <v>18795</v>
      </c>
      <c r="G152" s="1" t="s">
        <v>18796</v>
      </c>
      <c r="H152" s="1">
        <v>20</v>
      </c>
      <c r="I152" s="1" t="s">
        <v>17252</v>
      </c>
      <c r="J152" s="1" t="s">
        <v>15314</v>
      </c>
      <c r="K152" s="4" t="s">
        <v>18797</v>
      </c>
      <c r="L152" s="1" t="s">
        <v>18798</v>
      </c>
      <c r="M152" s="1" t="s">
        <v>18799</v>
      </c>
      <c r="N152" s="3" t="s">
        <v>18800</v>
      </c>
    </row>
    <row r="153" spans="1:14" ht="13.8">
      <c r="A153" s="1" t="s">
        <v>18801</v>
      </c>
      <c r="B153" s="1" t="s">
        <v>18802</v>
      </c>
      <c r="C153" s="1" t="s">
        <v>18803</v>
      </c>
      <c r="D153" s="1" t="s">
        <v>18804</v>
      </c>
      <c r="E153" s="1" t="s">
        <v>18805</v>
      </c>
      <c r="F153" s="1" t="s">
        <v>18806</v>
      </c>
      <c r="G153" s="1" t="s">
        <v>18807</v>
      </c>
      <c r="H153" s="1">
        <v>20</v>
      </c>
      <c r="I153" s="1" t="s">
        <v>14572</v>
      </c>
      <c r="J153" s="1" t="s">
        <v>14198</v>
      </c>
      <c r="K153" s="1" t="s">
        <v>18808</v>
      </c>
      <c r="L153" s="1" t="s">
        <v>18809</v>
      </c>
      <c r="M153" s="1" t="s">
        <v>18810</v>
      </c>
      <c r="N153" s="3" t="s">
        <v>18811</v>
      </c>
    </row>
    <row r="154" spans="1:14" ht="409.6">
      <c r="A154" s="1" t="s">
        <v>18812</v>
      </c>
      <c r="B154" s="1" t="s">
        <v>18813</v>
      </c>
      <c r="C154" s="1" t="s">
        <v>18814</v>
      </c>
      <c r="D154" s="1" t="s">
        <v>18815</v>
      </c>
      <c r="E154" s="1" t="s">
        <v>18816</v>
      </c>
      <c r="F154" s="1" t="s">
        <v>18817</v>
      </c>
      <c r="G154" s="1" t="s">
        <v>18818</v>
      </c>
      <c r="H154" s="1">
        <v>35</v>
      </c>
      <c r="I154" s="1" t="s">
        <v>17252</v>
      </c>
      <c r="J154" s="1" t="s">
        <v>14198</v>
      </c>
      <c r="K154" s="4" t="s">
        <v>18819</v>
      </c>
      <c r="L154" s="1" t="s">
        <v>18820</v>
      </c>
      <c r="M154" s="1" t="s">
        <v>18821</v>
      </c>
      <c r="N154" s="3" t="s">
        <v>18822</v>
      </c>
    </row>
    <row r="155" spans="1:14" ht="409.6">
      <c r="A155" s="1" t="s">
        <v>18823</v>
      </c>
      <c r="B155" s="1" t="s">
        <v>18824</v>
      </c>
      <c r="C155" s="1" t="s">
        <v>18825</v>
      </c>
      <c r="D155" s="1" t="s">
        <v>18826</v>
      </c>
      <c r="E155" s="1" t="s">
        <v>18827</v>
      </c>
      <c r="F155" s="1" t="s">
        <v>18828</v>
      </c>
      <c r="G155" s="1" t="s">
        <v>18829</v>
      </c>
      <c r="H155" s="1">
        <v>100</v>
      </c>
      <c r="I155" s="1" t="s">
        <v>14572</v>
      </c>
      <c r="J155" s="1" t="s">
        <v>14198</v>
      </c>
      <c r="K155" s="4" t="s">
        <v>18830</v>
      </c>
      <c r="L155" s="1" t="s">
        <v>18831</v>
      </c>
      <c r="M155" s="1" t="s">
        <v>18832</v>
      </c>
      <c r="N155" s="3" t="s">
        <v>18833</v>
      </c>
    </row>
    <row r="156" spans="1:14" ht="13.8">
      <c r="A156" s="1" t="s">
        <v>18834</v>
      </c>
      <c r="B156" s="1" t="s">
        <v>18835</v>
      </c>
      <c r="C156" s="1" t="s">
        <v>18836</v>
      </c>
      <c r="D156" s="1" t="s">
        <v>18837</v>
      </c>
      <c r="E156" s="1" t="s">
        <v>18838</v>
      </c>
      <c r="F156" s="1" t="s">
        <v>18839</v>
      </c>
      <c r="G156" s="1" t="s">
        <v>18840</v>
      </c>
      <c r="H156" s="1">
        <v>45</v>
      </c>
      <c r="I156" s="1" t="s">
        <v>429</v>
      </c>
      <c r="J156" s="1" t="s">
        <v>14198</v>
      </c>
      <c r="K156" s="1" t="s">
        <v>18841</v>
      </c>
      <c r="L156" s="1" t="s">
        <v>18842</v>
      </c>
      <c r="M156" s="1" t="s">
        <v>18843</v>
      </c>
      <c r="N156" s="3" t="s">
        <v>18844</v>
      </c>
    </row>
    <row r="157" spans="1:14" ht="409.6">
      <c r="A157" s="1" t="s">
        <v>18845</v>
      </c>
      <c r="B157" s="1" t="s">
        <v>18846</v>
      </c>
      <c r="C157" s="1" t="s">
        <v>18847</v>
      </c>
      <c r="D157" s="1" t="s">
        <v>18848</v>
      </c>
      <c r="E157" s="1" t="s">
        <v>18849</v>
      </c>
      <c r="F157" s="1" t="s">
        <v>18850</v>
      </c>
      <c r="G157" s="1" t="s">
        <v>18851</v>
      </c>
      <c r="H157" s="1">
        <v>50</v>
      </c>
      <c r="I157" s="1" t="s">
        <v>14572</v>
      </c>
      <c r="J157" s="1" t="s">
        <v>14198</v>
      </c>
      <c r="K157" s="4" t="s">
        <v>18852</v>
      </c>
      <c r="L157" s="1" t="s">
        <v>18853</v>
      </c>
      <c r="M157" s="1" t="s">
        <v>18854</v>
      </c>
      <c r="N157" s="3" t="s">
        <v>18855</v>
      </c>
    </row>
    <row r="158" spans="1:14" ht="13.8">
      <c r="A158" s="1" t="s">
        <v>18856</v>
      </c>
      <c r="B158" s="1" t="s">
        <v>18857</v>
      </c>
      <c r="C158" s="1" t="s">
        <v>18858</v>
      </c>
      <c r="D158" s="1" t="s">
        <v>18859</v>
      </c>
      <c r="E158" s="1" t="s">
        <v>18860</v>
      </c>
      <c r="F158" s="1" t="s">
        <v>18861</v>
      </c>
      <c r="G158" s="1" t="s">
        <v>18862</v>
      </c>
      <c r="H158" s="1">
        <v>205</v>
      </c>
      <c r="I158" s="1" t="s">
        <v>429</v>
      </c>
      <c r="J158" s="1" t="s">
        <v>14198</v>
      </c>
      <c r="K158" s="1" t="s">
        <v>18863</v>
      </c>
      <c r="L158" s="1" t="s">
        <v>18864</v>
      </c>
      <c r="M158" s="1" t="s">
        <v>18865</v>
      </c>
      <c r="N158" s="3" t="s">
        <v>18866</v>
      </c>
    </row>
    <row r="159" spans="1:14" ht="409.6">
      <c r="A159" s="1" t="s">
        <v>18867</v>
      </c>
      <c r="B159" s="1" t="s">
        <v>18868</v>
      </c>
      <c r="C159" s="1" t="s">
        <v>18869</v>
      </c>
      <c r="D159" s="1" t="s">
        <v>18870</v>
      </c>
      <c r="E159" s="1" t="s">
        <v>18871</v>
      </c>
      <c r="F159" s="1" t="s">
        <v>18872</v>
      </c>
      <c r="G159" s="1" t="s">
        <v>18873</v>
      </c>
      <c r="H159" s="1">
        <v>35</v>
      </c>
      <c r="I159" s="1" t="s">
        <v>14572</v>
      </c>
      <c r="J159" s="1" t="s">
        <v>14198</v>
      </c>
      <c r="K159" s="4" t="s">
        <v>18874</v>
      </c>
      <c r="L159" s="1" t="s">
        <v>18875</v>
      </c>
      <c r="M159" s="1" t="s">
        <v>18876</v>
      </c>
      <c r="N159" s="3" t="s">
        <v>18877</v>
      </c>
    </row>
    <row r="160" spans="1:14" ht="409.6">
      <c r="A160" s="1" t="s">
        <v>18878</v>
      </c>
      <c r="B160" s="1" t="s">
        <v>18879</v>
      </c>
      <c r="C160" s="1" t="s">
        <v>18880</v>
      </c>
      <c r="D160" s="1" t="s">
        <v>18881</v>
      </c>
      <c r="E160" s="1" t="s">
        <v>18882</v>
      </c>
      <c r="F160" s="1" t="s">
        <v>18883</v>
      </c>
      <c r="G160" s="1" t="s">
        <v>18884</v>
      </c>
      <c r="H160" s="1">
        <v>80</v>
      </c>
      <c r="I160" s="1" t="s">
        <v>145</v>
      </c>
      <c r="J160" s="1" t="s">
        <v>14198</v>
      </c>
      <c r="K160" s="4" t="s">
        <v>18885</v>
      </c>
      <c r="L160" s="1" t="s">
        <v>18886</v>
      </c>
      <c r="M160" s="1" t="s">
        <v>18887</v>
      </c>
      <c r="N160" s="3" t="s">
        <v>18888</v>
      </c>
    </row>
    <row r="161" spans="1:14" ht="409.6">
      <c r="A161" s="1" t="s">
        <v>18889</v>
      </c>
      <c r="B161" s="1" t="s">
        <v>18890</v>
      </c>
      <c r="C161" s="1" t="s">
        <v>18891</v>
      </c>
      <c r="D161" s="1" t="s">
        <v>18892</v>
      </c>
      <c r="E161" s="1" t="s">
        <v>18893</v>
      </c>
      <c r="F161" s="1" t="s">
        <v>18894</v>
      </c>
      <c r="G161" s="1" t="s">
        <v>18895</v>
      </c>
      <c r="H161" s="1">
        <v>70</v>
      </c>
      <c r="I161" s="1" t="s">
        <v>14207</v>
      </c>
      <c r="J161" s="1" t="s">
        <v>14198</v>
      </c>
      <c r="K161" s="4" t="s">
        <v>18896</v>
      </c>
      <c r="L161" s="1" t="s">
        <v>18897</v>
      </c>
      <c r="M161" s="1" t="s">
        <v>18898</v>
      </c>
      <c r="N161" s="3" t="s">
        <v>18899</v>
      </c>
    </row>
    <row r="162" spans="1:14" ht="409.6">
      <c r="A162" s="1" t="s">
        <v>18900</v>
      </c>
      <c r="B162" s="1" t="s">
        <v>18901</v>
      </c>
      <c r="C162" s="1" t="s">
        <v>18902</v>
      </c>
      <c r="D162" s="1" t="s">
        <v>18903</v>
      </c>
      <c r="E162" s="1" t="s">
        <v>18904</v>
      </c>
      <c r="F162" s="1" t="s">
        <v>18905</v>
      </c>
      <c r="G162" s="1" t="s">
        <v>18906</v>
      </c>
      <c r="H162" s="1">
        <v>65</v>
      </c>
      <c r="I162" s="1" t="s">
        <v>8417</v>
      </c>
      <c r="J162" s="1" t="s">
        <v>15314</v>
      </c>
      <c r="K162" s="4" t="s">
        <v>18907</v>
      </c>
      <c r="L162" s="1" t="s">
        <v>18908</v>
      </c>
      <c r="M162" s="1" t="s">
        <v>18909</v>
      </c>
      <c r="N162" s="3" t="s">
        <v>18910</v>
      </c>
    </row>
    <row r="163" spans="1:14" ht="13.8">
      <c r="A163" s="1" t="s">
        <v>18911</v>
      </c>
      <c r="B163" s="1" t="s">
        <v>18912</v>
      </c>
      <c r="C163" s="1" t="s">
        <v>18913</v>
      </c>
      <c r="D163" s="1" t="s">
        <v>18914</v>
      </c>
      <c r="E163" s="1" t="s">
        <v>18915</v>
      </c>
      <c r="F163" s="1" t="s">
        <v>18916</v>
      </c>
      <c r="G163" s="1" t="s">
        <v>18917</v>
      </c>
      <c r="H163" s="1">
        <v>20</v>
      </c>
      <c r="I163" s="1" t="s">
        <v>14281</v>
      </c>
      <c r="J163" s="1" t="s">
        <v>14198</v>
      </c>
      <c r="K163" s="1" t="s">
        <v>18918</v>
      </c>
      <c r="L163" s="1" t="s">
        <v>18919</v>
      </c>
      <c r="M163" s="1" t="s">
        <v>18920</v>
      </c>
      <c r="N163" s="3" t="s">
        <v>18921</v>
      </c>
    </row>
    <row r="164" spans="1:14" ht="409.6">
      <c r="A164" s="1" t="s">
        <v>18922</v>
      </c>
      <c r="B164" s="1" t="s">
        <v>18923</v>
      </c>
      <c r="C164" s="1" t="s">
        <v>18924</v>
      </c>
      <c r="D164" s="1" t="s">
        <v>18925</v>
      </c>
      <c r="E164" s="1" t="s">
        <v>18926</v>
      </c>
      <c r="F164" s="1" t="s">
        <v>18927</v>
      </c>
      <c r="G164" s="1" t="s">
        <v>18928</v>
      </c>
      <c r="H164" s="1">
        <v>95</v>
      </c>
      <c r="I164" s="1" t="s">
        <v>8417</v>
      </c>
      <c r="J164" s="1" t="s">
        <v>14198</v>
      </c>
      <c r="K164" s="4" t="s">
        <v>18929</v>
      </c>
      <c r="L164" s="1" t="s">
        <v>18930</v>
      </c>
      <c r="M164" s="1" t="s">
        <v>18931</v>
      </c>
      <c r="N164" s="3" t="s">
        <v>18932</v>
      </c>
    </row>
    <row r="165" spans="1:14" ht="409.6">
      <c r="A165" s="1" t="s">
        <v>18933</v>
      </c>
      <c r="B165" s="1" t="s">
        <v>18934</v>
      </c>
      <c r="C165" s="1" t="s">
        <v>18935</v>
      </c>
      <c r="D165" s="1" t="s">
        <v>18936</v>
      </c>
      <c r="E165" s="1" t="s">
        <v>18937</v>
      </c>
      <c r="F165" s="1" t="s">
        <v>18938</v>
      </c>
      <c r="G165" s="1" t="s">
        <v>18939</v>
      </c>
      <c r="H165" s="1">
        <v>15</v>
      </c>
      <c r="I165" s="1" t="s">
        <v>14207</v>
      </c>
      <c r="J165" s="1" t="s">
        <v>14198</v>
      </c>
      <c r="K165" s="4" t="s">
        <v>18940</v>
      </c>
      <c r="L165" s="1" t="s">
        <v>18941</v>
      </c>
      <c r="M165" s="1" t="s">
        <v>18942</v>
      </c>
      <c r="N165" s="3" t="s">
        <v>18943</v>
      </c>
    </row>
    <row r="166" spans="1:14" ht="409.6">
      <c r="A166" s="1" t="s">
        <v>18944</v>
      </c>
      <c r="B166" s="1" t="s">
        <v>18945</v>
      </c>
      <c r="C166" s="1" t="s">
        <v>18946</v>
      </c>
      <c r="D166" s="1" t="s">
        <v>18947</v>
      </c>
      <c r="E166" s="1" t="s">
        <v>18948</v>
      </c>
      <c r="F166" s="1" t="s">
        <v>18949</v>
      </c>
      <c r="G166" s="1" t="s">
        <v>18950</v>
      </c>
      <c r="H166" s="1">
        <v>35</v>
      </c>
      <c r="I166" s="1" t="s">
        <v>14281</v>
      </c>
      <c r="J166" s="1" t="s">
        <v>14198</v>
      </c>
      <c r="K166" s="4" t="s">
        <v>18951</v>
      </c>
      <c r="L166" s="1" t="s">
        <v>18952</v>
      </c>
      <c r="M166" s="1" t="s">
        <v>18953</v>
      </c>
      <c r="N166" s="3" t="s">
        <v>18954</v>
      </c>
    </row>
    <row r="167" spans="1:14" ht="409.6">
      <c r="A167" s="1" t="s">
        <v>18955</v>
      </c>
      <c r="B167" s="1" t="s">
        <v>18956</v>
      </c>
      <c r="C167" s="1" t="s">
        <v>18957</v>
      </c>
      <c r="D167" s="1" t="s">
        <v>18958</v>
      </c>
      <c r="E167" s="1" t="s">
        <v>18959</v>
      </c>
      <c r="F167" s="1" t="s">
        <v>18960</v>
      </c>
      <c r="G167" s="1" t="s">
        <v>18961</v>
      </c>
      <c r="H167" s="1">
        <v>30</v>
      </c>
      <c r="I167" s="1" t="s">
        <v>429</v>
      </c>
      <c r="J167" s="1" t="s">
        <v>14198</v>
      </c>
      <c r="K167" s="4" t="s">
        <v>18962</v>
      </c>
      <c r="L167" s="1" t="s">
        <v>18963</v>
      </c>
      <c r="M167" s="1" t="s">
        <v>18964</v>
      </c>
      <c r="N167" s="3" t="s">
        <v>18965</v>
      </c>
    </row>
    <row r="168" spans="1:14" ht="409.6">
      <c r="A168" s="1" t="s">
        <v>18966</v>
      </c>
      <c r="B168" s="1" t="s">
        <v>18967</v>
      </c>
      <c r="C168" s="1" t="s">
        <v>18968</v>
      </c>
      <c r="D168" s="1" t="s">
        <v>18969</v>
      </c>
      <c r="E168" s="1" t="s">
        <v>18970</v>
      </c>
      <c r="F168" s="1" t="s">
        <v>18971</v>
      </c>
      <c r="G168" s="1" t="s">
        <v>18972</v>
      </c>
      <c r="H168" s="1">
        <v>70</v>
      </c>
      <c r="I168" s="1" t="s">
        <v>14572</v>
      </c>
      <c r="J168" s="1" t="s">
        <v>14198</v>
      </c>
      <c r="K168" s="4" t="s">
        <v>18973</v>
      </c>
      <c r="L168" s="1" t="s">
        <v>18974</v>
      </c>
      <c r="M168" s="1" t="s">
        <v>18975</v>
      </c>
      <c r="N168" s="3" t="s">
        <v>18976</v>
      </c>
    </row>
    <row r="169" spans="1:14" ht="13.8">
      <c r="A169" s="1" t="s">
        <v>18977</v>
      </c>
      <c r="B169" s="1" t="s">
        <v>18978</v>
      </c>
      <c r="C169" s="1" t="s">
        <v>18979</v>
      </c>
      <c r="D169" s="1" t="s">
        <v>18980</v>
      </c>
      <c r="E169" s="1" t="s">
        <v>18981</v>
      </c>
      <c r="F169" s="1" t="s">
        <v>18982</v>
      </c>
      <c r="G169" s="1" t="s">
        <v>18983</v>
      </c>
      <c r="H169" s="1">
        <v>35</v>
      </c>
      <c r="I169" s="1" t="s">
        <v>14281</v>
      </c>
      <c r="J169" s="1" t="s">
        <v>15314</v>
      </c>
      <c r="K169" s="1" t="s">
        <v>18984</v>
      </c>
      <c r="L169" s="1" t="s">
        <v>18985</v>
      </c>
      <c r="M169" s="1" t="s">
        <v>18986</v>
      </c>
      <c r="N169" s="3" t="s">
        <v>18987</v>
      </c>
    </row>
    <row r="170" spans="1:14" ht="13.8">
      <c r="A170" s="1" t="s">
        <v>18988</v>
      </c>
      <c r="B170" s="1" t="s">
        <v>18989</v>
      </c>
      <c r="C170" s="1" t="s">
        <v>18990</v>
      </c>
      <c r="D170" s="1" t="s">
        <v>18991</v>
      </c>
      <c r="E170" s="1" t="s">
        <v>18992</v>
      </c>
      <c r="F170" s="1" t="s">
        <v>18993</v>
      </c>
      <c r="G170" s="1" t="s">
        <v>18994</v>
      </c>
      <c r="H170" s="1">
        <v>60</v>
      </c>
      <c r="I170" s="1" t="s">
        <v>14281</v>
      </c>
      <c r="J170" s="1" t="s">
        <v>14198</v>
      </c>
      <c r="K170" s="1" t="s">
        <v>18995</v>
      </c>
      <c r="L170" s="1" t="s">
        <v>18996</v>
      </c>
      <c r="M170" s="1" t="s">
        <v>18997</v>
      </c>
      <c r="N170" s="3" t="s">
        <v>18998</v>
      </c>
    </row>
    <row r="171" spans="1:14" ht="13.8">
      <c r="A171" s="1" t="s">
        <v>18999</v>
      </c>
      <c r="B171" s="1" t="s">
        <v>19000</v>
      </c>
      <c r="C171" s="1" t="s">
        <v>19001</v>
      </c>
      <c r="D171" s="1" t="s">
        <v>19002</v>
      </c>
      <c r="E171" s="1" t="s">
        <v>19003</v>
      </c>
      <c r="F171" s="1" t="s">
        <v>19004</v>
      </c>
      <c r="G171" s="1" t="s">
        <v>19005</v>
      </c>
      <c r="H171" s="1">
        <v>45</v>
      </c>
      <c r="I171" s="1" t="s">
        <v>14281</v>
      </c>
      <c r="J171" s="1" t="s">
        <v>14198</v>
      </c>
      <c r="K171" s="1" t="s">
        <v>19006</v>
      </c>
      <c r="L171" s="1" t="s">
        <v>19007</v>
      </c>
      <c r="M171" s="1" t="s">
        <v>19008</v>
      </c>
      <c r="N171" s="3" t="s">
        <v>19009</v>
      </c>
    </row>
    <row r="172" spans="1:14" ht="409.6">
      <c r="A172" s="1" t="s">
        <v>19010</v>
      </c>
      <c r="B172" s="1" t="s">
        <v>19011</v>
      </c>
      <c r="C172" s="1" t="s">
        <v>19012</v>
      </c>
      <c r="D172" s="1" t="s">
        <v>19013</v>
      </c>
      <c r="E172" s="1" t="s">
        <v>19014</v>
      </c>
      <c r="F172" s="1" t="s">
        <v>19015</v>
      </c>
      <c r="G172" s="1" t="s">
        <v>19016</v>
      </c>
      <c r="H172" s="1">
        <v>60</v>
      </c>
      <c r="I172" s="1" t="s">
        <v>8417</v>
      </c>
      <c r="J172" s="1" t="s">
        <v>15314</v>
      </c>
      <c r="K172" s="4" t="s">
        <v>19017</v>
      </c>
      <c r="L172" s="1" t="s">
        <v>19018</v>
      </c>
      <c r="M172" s="1" t="s">
        <v>19019</v>
      </c>
      <c r="N172" s="3" t="s">
        <v>19020</v>
      </c>
    </row>
    <row r="173" spans="1:14" ht="13.8">
      <c r="A173" s="1" t="s">
        <v>19021</v>
      </c>
      <c r="B173" s="1" t="s">
        <v>19022</v>
      </c>
      <c r="C173" s="1" t="s">
        <v>19023</v>
      </c>
      <c r="D173" s="1" t="s">
        <v>19024</v>
      </c>
      <c r="E173" s="1" t="s">
        <v>19025</v>
      </c>
      <c r="F173" s="1" t="s">
        <v>19026</v>
      </c>
      <c r="G173" s="1" t="s">
        <v>19027</v>
      </c>
      <c r="H173" s="1">
        <v>17</v>
      </c>
      <c r="I173" s="1" t="s">
        <v>14207</v>
      </c>
      <c r="J173" s="1" t="s">
        <v>14198</v>
      </c>
      <c r="K173" s="1" t="s">
        <v>19028</v>
      </c>
      <c r="L173" s="1" t="s">
        <v>19029</v>
      </c>
      <c r="M173" s="1" t="s">
        <v>19030</v>
      </c>
      <c r="N173" s="3" t="s">
        <v>19031</v>
      </c>
    </row>
    <row r="174" spans="1:14" ht="13.8">
      <c r="A174" s="1" t="s">
        <v>19032</v>
      </c>
      <c r="B174" s="1" t="s">
        <v>19033</v>
      </c>
      <c r="C174" s="1" t="s">
        <v>19034</v>
      </c>
      <c r="D174" s="1" t="s">
        <v>19035</v>
      </c>
      <c r="E174" s="1" t="s">
        <v>19036</v>
      </c>
      <c r="F174" s="1" t="s">
        <v>19037</v>
      </c>
      <c r="G174" s="1" t="s">
        <v>19038</v>
      </c>
      <c r="H174" s="1">
        <v>30</v>
      </c>
      <c r="I174" s="1" t="s">
        <v>17252</v>
      </c>
      <c r="J174" s="1" t="s">
        <v>14198</v>
      </c>
      <c r="K174" s="1" t="s">
        <v>19039</v>
      </c>
      <c r="L174" s="1" t="s">
        <v>19040</v>
      </c>
      <c r="M174" s="1" t="s">
        <v>19041</v>
      </c>
      <c r="N174" s="3" t="s">
        <v>19042</v>
      </c>
    </row>
    <row r="175" spans="1:14" ht="409.6">
      <c r="A175" s="1" t="s">
        <v>19043</v>
      </c>
      <c r="B175" s="1" t="s">
        <v>19044</v>
      </c>
      <c r="C175" s="1" t="s">
        <v>19045</v>
      </c>
      <c r="D175" s="1" t="s">
        <v>19046</v>
      </c>
      <c r="E175" s="1" t="s">
        <v>19047</v>
      </c>
      <c r="F175" s="1" t="s">
        <v>19048</v>
      </c>
      <c r="G175" s="1" t="s">
        <v>19049</v>
      </c>
      <c r="H175" s="1">
        <v>315</v>
      </c>
      <c r="I175" s="1" t="s">
        <v>8417</v>
      </c>
      <c r="J175" s="1" t="s">
        <v>15314</v>
      </c>
      <c r="K175" s="4" t="s">
        <v>19050</v>
      </c>
      <c r="L175" s="1" t="s">
        <v>19051</v>
      </c>
      <c r="M175" s="1" t="s">
        <v>19052</v>
      </c>
      <c r="N175" s="3" t="s">
        <v>19053</v>
      </c>
    </row>
    <row r="176" spans="1:14" ht="13.8">
      <c r="A176" s="1" t="s">
        <v>19054</v>
      </c>
      <c r="B176" s="1" t="s">
        <v>19055</v>
      </c>
      <c r="C176" s="1" t="s">
        <v>19056</v>
      </c>
      <c r="D176" s="1" t="s">
        <v>19057</v>
      </c>
      <c r="E176" s="1" t="s">
        <v>19058</v>
      </c>
      <c r="F176" s="1" t="s">
        <v>19059</v>
      </c>
      <c r="G176" s="1" t="s">
        <v>19060</v>
      </c>
      <c r="H176" s="1">
        <v>120</v>
      </c>
      <c r="I176" s="1" t="s">
        <v>14281</v>
      </c>
      <c r="J176" s="1" t="s">
        <v>14198</v>
      </c>
      <c r="K176" s="1" t="s">
        <v>19061</v>
      </c>
      <c r="L176" s="1" t="s">
        <v>19062</v>
      </c>
      <c r="M176" s="1" t="s">
        <v>19063</v>
      </c>
      <c r="N176" s="3" t="s">
        <v>19064</v>
      </c>
    </row>
    <row r="177" spans="1:14" ht="13.8">
      <c r="A177" s="1" t="s">
        <v>19065</v>
      </c>
      <c r="B177" s="1" t="s">
        <v>19066</v>
      </c>
      <c r="C177" s="1" t="s">
        <v>19067</v>
      </c>
      <c r="D177" s="1" t="s">
        <v>19068</v>
      </c>
      <c r="E177" s="1" t="s">
        <v>19069</v>
      </c>
      <c r="F177" s="1" t="s">
        <v>19070</v>
      </c>
      <c r="G177" s="1" t="s">
        <v>19071</v>
      </c>
      <c r="H177" s="1">
        <v>5</v>
      </c>
      <c r="I177" s="1" t="s">
        <v>14281</v>
      </c>
      <c r="J177" s="1" t="s">
        <v>14198</v>
      </c>
      <c r="K177" s="1" t="s">
        <v>19072</v>
      </c>
      <c r="L177" s="1" t="s">
        <v>19073</v>
      </c>
      <c r="M177" s="1" t="s">
        <v>19074</v>
      </c>
      <c r="N177" s="3" t="s">
        <v>19075</v>
      </c>
    </row>
    <row r="178" spans="1:14" ht="13.8">
      <c r="A178" s="1" t="s">
        <v>19076</v>
      </c>
      <c r="B178" s="1" t="s">
        <v>19077</v>
      </c>
      <c r="C178" s="1" t="s">
        <v>19078</v>
      </c>
      <c r="D178" s="1" t="s">
        <v>19079</v>
      </c>
      <c r="E178" s="1" t="s">
        <v>19080</v>
      </c>
      <c r="F178" s="1" t="s">
        <v>19081</v>
      </c>
      <c r="G178" s="1" t="s">
        <v>19082</v>
      </c>
      <c r="H178" s="1">
        <v>45</v>
      </c>
      <c r="I178" s="1" t="s">
        <v>429</v>
      </c>
      <c r="J178" s="1" t="s">
        <v>15314</v>
      </c>
      <c r="K178" s="1" t="s">
        <v>19083</v>
      </c>
      <c r="L178" s="1" t="s">
        <v>19084</v>
      </c>
      <c r="M178" s="1" t="s">
        <v>19085</v>
      </c>
      <c r="N178" s="3" t="s">
        <v>19086</v>
      </c>
    </row>
    <row r="179" spans="1:14" ht="409.6">
      <c r="A179" s="1" t="s">
        <v>19087</v>
      </c>
      <c r="B179" s="1" t="s">
        <v>19088</v>
      </c>
      <c r="C179" s="1" t="s">
        <v>19089</v>
      </c>
      <c r="D179" s="1" t="s">
        <v>19090</v>
      </c>
      <c r="E179" s="1" t="s">
        <v>19091</v>
      </c>
      <c r="F179" s="1" t="s">
        <v>19092</v>
      </c>
      <c r="G179" s="1" t="s">
        <v>19093</v>
      </c>
      <c r="H179" s="1">
        <v>20</v>
      </c>
      <c r="I179" s="1" t="s">
        <v>17252</v>
      </c>
      <c r="J179" s="1" t="s">
        <v>15314</v>
      </c>
      <c r="K179" s="4" t="s">
        <v>19094</v>
      </c>
      <c r="L179" s="1" t="s">
        <v>19095</v>
      </c>
      <c r="M179" s="1" t="s">
        <v>19096</v>
      </c>
      <c r="N179" s="3" t="s">
        <v>19097</v>
      </c>
    </row>
    <row r="180" spans="1:14" ht="409.6">
      <c r="A180" s="1" t="s">
        <v>19098</v>
      </c>
      <c r="B180" s="1" t="s">
        <v>19099</v>
      </c>
      <c r="C180" s="1" t="s">
        <v>19100</v>
      </c>
      <c r="D180" s="1" t="s">
        <v>19101</v>
      </c>
      <c r="E180" s="1" t="s">
        <v>19102</v>
      </c>
      <c r="F180" s="1" t="s">
        <v>19103</v>
      </c>
      <c r="G180" s="1" t="s">
        <v>19104</v>
      </c>
      <c r="H180" s="1">
        <v>40</v>
      </c>
      <c r="I180" s="1" t="s">
        <v>8417</v>
      </c>
      <c r="J180" s="1" t="s">
        <v>14198</v>
      </c>
      <c r="K180" s="4" t="s">
        <v>19105</v>
      </c>
      <c r="L180" s="1" t="s">
        <v>19106</v>
      </c>
      <c r="M180" s="1" t="s">
        <v>19107</v>
      </c>
      <c r="N180" s="3" t="s">
        <v>19108</v>
      </c>
    </row>
    <row r="181" spans="1:14" ht="409.6">
      <c r="A181" s="1" t="s">
        <v>19109</v>
      </c>
      <c r="B181" s="1" t="s">
        <v>19110</v>
      </c>
      <c r="C181" s="1" t="s">
        <v>19111</v>
      </c>
      <c r="D181" s="1" t="s">
        <v>19112</v>
      </c>
      <c r="E181" s="1" t="s">
        <v>19113</v>
      </c>
      <c r="F181" s="1" t="s">
        <v>19114</v>
      </c>
      <c r="G181" s="1" t="s">
        <v>19115</v>
      </c>
      <c r="H181" s="1">
        <v>50</v>
      </c>
      <c r="I181" s="1" t="s">
        <v>14281</v>
      </c>
      <c r="J181" s="1" t="s">
        <v>14198</v>
      </c>
      <c r="K181" s="4" t="s">
        <v>19116</v>
      </c>
      <c r="L181" s="1" t="s">
        <v>19117</v>
      </c>
      <c r="M181" s="1" t="s">
        <v>19118</v>
      </c>
      <c r="N181" s="3" t="s">
        <v>19119</v>
      </c>
    </row>
    <row r="182" spans="1:14" ht="13.8">
      <c r="A182" s="1" t="s">
        <v>19120</v>
      </c>
      <c r="B182" s="1" t="s">
        <v>19121</v>
      </c>
      <c r="C182" s="1" t="s">
        <v>19122</v>
      </c>
      <c r="D182" s="1" t="s">
        <v>19123</v>
      </c>
      <c r="E182" s="1" t="s">
        <v>19124</v>
      </c>
      <c r="F182" s="1" t="s">
        <v>19125</v>
      </c>
      <c r="G182" s="1" t="s">
        <v>19126</v>
      </c>
      <c r="H182" s="1">
        <v>30</v>
      </c>
      <c r="I182" s="1" t="s">
        <v>14572</v>
      </c>
      <c r="J182" s="1" t="s">
        <v>14198</v>
      </c>
      <c r="K182" s="1" t="s">
        <v>19127</v>
      </c>
      <c r="L182" s="1" t="s">
        <v>19128</v>
      </c>
      <c r="M182" s="1" t="s">
        <v>19129</v>
      </c>
      <c r="N182" s="3" t="s">
        <v>19130</v>
      </c>
    </row>
    <row r="183" spans="1:14" ht="409.6">
      <c r="A183" s="1" t="s">
        <v>19131</v>
      </c>
      <c r="B183" s="1" t="s">
        <v>19132</v>
      </c>
      <c r="C183" s="1" t="s">
        <v>19133</v>
      </c>
      <c r="D183" s="1" t="s">
        <v>19134</v>
      </c>
      <c r="E183" s="1" t="s">
        <v>19135</v>
      </c>
      <c r="F183" s="1" t="s">
        <v>19136</v>
      </c>
      <c r="G183" s="1" t="s">
        <v>19137</v>
      </c>
      <c r="H183" s="1">
        <v>10</v>
      </c>
      <c r="I183" s="1" t="s">
        <v>14207</v>
      </c>
      <c r="J183" s="1" t="s">
        <v>14198</v>
      </c>
      <c r="K183" s="4" t="s">
        <v>19138</v>
      </c>
      <c r="L183" s="1" t="s">
        <v>19139</v>
      </c>
      <c r="M183" s="1" t="s">
        <v>19140</v>
      </c>
      <c r="N183" s="3" t="s">
        <v>19141</v>
      </c>
    </row>
    <row r="184" spans="1:14" ht="13.8">
      <c r="A184" s="1" t="s">
        <v>19142</v>
      </c>
      <c r="B184" s="1" t="s">
        <v>19143</v>
      </c>
      <c r="C184" s="1" t="s">
        <v>19144</v>
      </c>
      <c r="D184" s="1" t="s">
        <v>19145</v>
      </c>
      <c r="E184" s="1" t="s">
        <v>19146</v>
      </c>
      <c r="F184" s="1" t="s">
        <v>19147</v>
      </c>
      <c r="G184" s="1" t="s">
        <v>19148</v>
      </c>
      <c r="H184" s="1">
        <v>90</v>
      </c>
      <c r="I184" s="1" t="s">
        <v>14207</v>
      </c>
      <c r="J184" s="1" t="s">
        <v>14198</v>
      </c>
      <c r="K184" s="1" t="s">
        <v>19149</v>
      </c>
      <c r="L184" s="1" t="s">
        <v>19150</v>
      </c>
      <c r="M184" s="1" t="s">
        <v>19151</v>
      </c>
      <c r="N184" s="3" t="s">
        <v>19152</v>
      </c>
    </row>
    <row r="185" spans="1:14" ht="409.6">
      <c r="A185" s="1" t="s">
        <v>19153</v>
      </c>
      <c r="B185" s="1" t="s">
        <v>19154</v>
      </c>
      <c r="C185" s="1" t="s">
        <v>19155</v>
      </c>
      <c r="D185" s="1" t="s">
        <v>19156</v>
      </c>
      <c r="E185" s="1" t="s">
        <v>19157</v>
      </c>
      <c r="F185" s="1" t="s">
        <v>19158</v>
      </c>
      <c r="G185" s="1" t="s">
        <v>19159</v>
      </c>
      <c r="H185" s="1">
        <v>47</v>
      </c>
      <c r="I185" s="1" t="s">
        <v>14281</v>
      </c>
      <c r="J185" s="1" t="s">
        <v>14198</v>
      </c>
      <c r="K185" s="4" t="s">
        <v>19160</v>
      </c>
      <c r="L185" s="1" t="s">
        <v>19161</v>
      </c>
      <c r="M185" s="1" t="s">
        <v>19162</v>
      </c>
      <c r="N185" s="3" t="s">
        <v>19163</v>
      </c>
    </row>
    <row r="186" spans="1:14" ht="13.8">
      <c r="A186" s="1" t="s">
        <v>19164</v>
      </c>
      <c r="B186" s="1" t="s">
        <v>19165</v>
      </c>
      <c r="C186" s="1" t="s">
        <v>19166</v>
      </c>
      <c r="D186" s="1" t="s">
        <v>19167</v>
      </c>
      <c r="E186" s="1" t="s">
        <v>19168</v>
      </c>
      <c r="F186" s="1" t="s">
        <v>19169</v>
      </c>
      <c r="G186" s="1" t="s">
        <v>19170</v>
      </c>
      <c r="H186" s="1">
        <v>25</v>
      </c>
      <c r="I186" s="1" t="s">
        <v>14207</v>
      </c>
      <c r="J186" s="1" t="s">
        <v>14198</v>
      </c>
      <c r="K186" s="1" t="s">
        <v>19171</v>
      </c>
      <c r="L186" s="1" t="s">
        <v>19172</v>
      </c>
      <c r="M186" s="1" t="s">
        <v>19173</v>
      </c>
      <c r="N186" s="3" t="s">
        <v>19174</v>
      </c>
    </row>
    <row r="187" spans="1:14" ht="13.8">
      <c r="A187" s="1" t="s">
        <v>19175</v>
      </c>
      <c r="B187" s="1" t="s">
        <v>19176</v>
      </c>
      <c r="C187" s="1" t="s">
        <v>19177</v>
      </c>
      <c r="D187" s="1" t="s">
        <v>19178</v>
      </c>
      <c r="E187" s="1" t="s">
        <v>19179</v>
      </c>
      <c r="F187" s="1" t="s">
        <v>19180</v>
      </c>
      <c r="G187" s="1" t="s">
        <v>19181</v>
      </c>
      <c r="H187" s="1">
        <v>40</v>
      </c>
      <c r="I187" s="1" t="s">
        <v>17252</v>
      </c>
      <c r="J187" s="1" t="s">
        <v>15314</v>
      </c>
      <c r="K187" s="1" t="s">
        <v>19182</v>
      </c>
      <c r="L187" s="1" t="s">
        <v>19183</v>
      </c>
      <c r="M187" s="1" t="s">
        <v>19184</v>
      </c>
      <c r="N187" s="3" t="s">
        <v>19185</v>
      </c>
    </row>
    <row r="188" spans="1:14" ht="13.8">
      <c r="A188" s="1" t="s">
        <v>19186</v>
      </c>
      <c r="B188" s="1" t="s">
        <v>19187</v>
      </c>
      <c r="C188" s="1" t="s">
        <v>19188</v>
      </c>
      <c r="D188" s="1" t="s">
        <v>19189</v>
      </c>
      <c r="E188" s="1" t="s">
        <v>19190</v>
      </c>
      <c r="F188" s="1" t="s">
        <v>19191</v>
      </c>
      <c r="G188" s="1" t="s">
        <v>19192</v>
      </c>
      <c r="H188" s="1">
        <v>40</v>
      </c>
      <c r="I188" s="1" t="s">
        <v>19193</v>
      </c>
      <c r="J188" s="1" t="s">
        <v>15314</v>
      </c>
      <c r="K188" s="1" t="s">
        <v>19194</v>
      </c>
      <c r="L188" s="1" t="s">
        <v>19195</v>
      </c>
      <c r="M188" s="1" t="s">
        <v>19196</v>
      </c>
      <c r="N188" s="3" t="s">
        <v>19197</v>
      </c>
    </row>
    <row r="189" spans="1:14" ht="409.6">
      <c r="A189" s="1" t="s">
        <v>19198</v>
      </c>
      <c r="B189" s="1" t="s">
        <v>19199</v>
      </c>
      <c r="C189" s="1" t="s">
        <v>19200</v>
      </c>
      <c r="D189" s="1" t="s">
        <v>19201</v>
      </c>
      <c r="E189" s="1" t="s">
        <v>19202</v>
      </c>
      <c r="F189" s="1" t="s">
        <v>19203</v>
      </c>
      <c r="G189" s="1" t="s">
        <v>19204</v>
      </c>
      <c r="H189" s="1">
        <v>60</v>
      </c>
      <c r="I189" s="1" t="s">
        <v>14281</v>
      </c>
      <c r="J189" s="1" t="s">
        <v>14198</v>
      </c>
      <c r="K189" s="4" t="s">
        <v>19205</v>
      </c>
      <c r="L189" s="1" t="s">
        <v>19206</v>
      </c>
      <c r="M189" s="1" t="s">
        <v>19207</v>
      </c>
      <c r="N189" s="3" t="s">
        <v>19208</v>
      </c>
    </row>
    <row r="190" spans="1:14" ht="409.6">
      <c r="A190" s="1" t="s">
        <v>19209</v>
      </c>
      <c r="B190" s="1" t="s">
        <v>19210</v>
      </c>
      <c r="C190" s="1" t="s">
        <v>19211</v>
      </c>
      <c r="D190" s="1" t="s">
        <v>19212</v>
      </c>
      <c r="E190" s="1" t="s">
        <v>19213</v>
      </c>
      <c r="F190" s="1" t="s">
        <v>19214</v>
      </c>
      <c r="G190" s="1" t="s">
        <v>19215</v>
      </c>
      <c r="H190" s="1">
        <v>30</v>
      </c>
      <c r="I190" s="1" t="s">
        <v>17252</v>
      </c>
      <c r="J190" s="1" t="s">
        <v>14338</v>
      </c>
      <c r="K190" s="4" t="s">
        <v>19216</v>
      </c>
      <c r="L190" s="1" t="s">
        <v>19217</v>
      </c>
      <c r="M190" s="1" t="s">
        <v>19218</v>
      </c>
      <c r="N190" s="3" t="s">
        <v>19219</v>
      </c>
    </row>
    <row r="191" spans="1:14" ht="13.8">
      <c r="A191" s="1" t="s">
        <v>19220</v>
      </c>
      <c r="B191" s="1" t="s">
        <v>19221</v>
      </c>
      <c r="C191" s="1" t="s">
        <v>19222</v>
      </c>
      <c r="D191" s="1" t="s">
        <v>19223</v>
      </c>
      <c r="E191" s="1" t="s">
        <v>19224</v>
      </c>
      <c r="F191" s="1" t="s">
        <v>19225</v>
      </c>
      <c r="G191" s="1" t="s">
        <v>19226</v>
      </c>
      <c r="H191" s="1">
        <v>15</v>
      </c>
      <c r="I191" s="1" t="s">
        <v>145</v>
      </c>
      <c r="J191" s="1" t="s">
        <v>14198</v>
      </c>
      <c r="K191" s="1" t="s">
        <v>19227</v>
      </c>
      <c r="L191" s="1" t="s">
        <v>19228</v>
      </c>
      <c r="M191" s="1" t="s">
        <v>19229</v>
      </c>
      <c r="N191" s="3" t="s">
        <v>19230</v>
      </c>
    </row>
    <row r="192" spans="1:14" ht="409.6">
      <c r="A192" s="1" t="s">
        <v>19231</v>
      </c>
      <c r="B192" s="1" t="s">
        <v>19232</v>
      </c>
      <c r="C192" s="1" t="s">
        <v>19233</v>
      </c>
      <c r="D192" s="1" t="s">
        <v>19234</v>
      </c>
      <c r="E192" s="1" t="s">
        <v>19235</v>
      </c>
      <c r="F192" s="1" t="s">
        <v>19236</v>
      </c>
      <c r="G192" s="1" t="s">
        <v>19237</v>
      </c>
      <c r="H192" s="1">
        <v>24</v>
      </c>
      <c r="I192" s="1" t="s">
        <v>14207</v>
      </c>
      <c r="J192" s="1" t="s">
        <v>14198</v>
      </c>
      <c r="K192" s="4" t="s">
        <v>19238</v>
      </c>
      <c r="L192" s="1" t="s">
        <v>19239</v>
      </c>
      <c r="M192" s="1" t="s">
        <v>19240</v>
      </c>
      <c r="N192" s="3" t="s">
        <v>19241</v>
      </c>
    </row>
    <row r="193" spans="1:14" ht="409.6">
      <c r="A193" s="1" t="s">
        <v>19242</v>
      </c>
      <c r="B193" s="1" t="s">
        <v>19243</v>
      </c>
      <c r="C193" s="1" t="s">
        <v>19244</v>
      </c>
      <c r="D193" s="1" t="s">
        <v>19245</v>
      </c>
      <c r="E193" s="1" t="s">
        <v>19246</v>
      </c>
      <c r="F193" s="1" t="s">
        <v>19247</v>
      </c>
      <c r="G193" s="1" t="s">
        <v>19248</v>
      </c>
      <c r="H193" s="1">
        <v>25</v>
      </c>
      <c r="I193" s="1" t="s">
        <v>14281</v>
      </c>
      <c r="J193" s="1" t="s">
        <v>14198</v>
      </c>
      <c r="K193" s="4" t="s">
        <v>19249</v>
      </c>
      <c r="L193" s="1" t="s">
        <v>19250</v>
      </c>
      <c r="M193" s="1" t="s">
        <v>19251</v>
      </c>
      <c r="N193" s="3" t="s">
        <v>19252</v>
      </c>
    </row>
    <row r="194" spans="1:14" ht="13.8">
      <c r="A194" s="1" t="s">
        <v>19253</v>
      </c>
      <c r="B194" s="1" t="s">
        <v>19254</v>
      </c>
      <c r="C194" s="1" t="s">
        <v>19255</v>
      </c>
      <c r="D194" s="1" t="s">
        <v>19256</v>
      </c>
      <c r="E194" s="1" t="s">
        <v>19257</v>
      </c>
      <c r="F194" s="1" t="s">
        <v>19258</v>
      </c>
      <c r="G194" s="1" t="s">
        <v>19259</v>
      </c>
      <c r="H194" s="1">
        <v>90</v>
      </c>
      <c r="I194" s="1" t="s">
        <v>14572</v>
      </c>
      <c r="J194" s="1" t="s">
        <v>14198</v>
      </c>
      <c r="K194" s="1" t="s">
        <v>19260</v>
      </c>
      <c r="L194" s="1" t="s">
        <v>19261</v>
      </c>
      <c r="M194" s="1" t="s">
        <v>19262</v>
      </c>
      <c r="N194" s="3" t="s">
        <v>19263</v>
      </c>
    </row>
    <row r="195" spans="1:14" ht="409.6">
      <c r="A195" s="1" t="s">
        <v>19264</v>
      </c>
      <c r="B195" s="1" t="s">
        <v>19265</v>
      </c>
      <c r="C195" s="1" t="s">
        <v>19266</v>
      </c>
      <c r="D195" s="1" t="s">
        <v>19267</v>
      </c>
      <c r="E195" s="1" t="s">
        <v>19268</v>
      </c>
      <c r="F195" s="1" t="s">
        <v>19269</v>
      </c>
      <c r="G195" s="1" t="s">
        <v>19270</v>
      </c>
      <c r="H195" s="1">
        <v>40</v>
      </c>
      <c r="I195" s="1" t="s">
        <v>17252</v>
      </c>
      <c r="J195" s="1" t="s">
        <v>15314</v>
      </c>
      <c r="K195" s="4" t="s">
        <v>19271</v>
      </c>
      <c r="L195" s="1" t="s">
        <v>19272</v>
      </c>
      <c r="M195" s="1" t="s">
        <v>19273</v>
      </c>
      <c r="N195" s="3" t="s">
        <v>19274</v>
      </c>
    </row>
    <row r="196" spans="1:14" ht="13.8">
      <c r="A196" s="1" t="s">
        <v>19275</v>
      </c>
      <c r="B196" s="1" t="s">
        <v>19276</v>
      </c>
      <c r="C196" s="1" t="s">
        <v>19277</v>
      </c>
      <c r="D196" s="1" t="s">
        <v>19278</v>
      </c>
      <c r="E196" s="1" t="s">
        <v>19279</v>
      </c>
      <c r="F196" s="1" t="s">
        <v>19280</v>
      </c>
      <c r="G196" s="1" t="s">
        <v>19281</v>
      </c>
      <c r="H196" s="1">
        <v>45</v>
      </c>
      <c r="I196" s="1" t="s">
        <v>14281</v>
      </c>
      <c r="J196" s="1" t="s">
        <v>14198</v>
      </c>
      <c r="K196" s="1" t="s">
        <v>19282</v>
      </c>
      <c r="L196" s="1" t="s">
        <v>19283</v>
      </c>
      <c r="M196" s="1" t="s">
        <v>19284</v>
      </c>
      <c r="N196" s="3" t="s">
        <v>19285</v>
      </c>
    </row>
    <row r="197" spans="1:14" ht="409.6">
      <c r="A197" s="1" t="s">
        <v>19286</v>
      </c>
      <c r="B197" s="1" t="s">
        <v>19287</v>
      </c>
      <c r="C197" s="1" t="s">
        <v>19288</v>
      </c>
      <c r="D197" s="1" t="s">
        <v>19289</v>
      </c>
      <c r="E197" s="1" t="s">
        <v>19290</v>
      </c>
      <c r="F197" s="1" t="s">
        <v>19291</v>
      </c>
      <c r="G197" s="1" t="s">
        <v>19292</v>
      </c>
      <c r="H197" s="1">
        <v>150</v>
      </c>
      <c r="I197" s="1" t="s">
        <v>17252</v>
      </c>
      <c r="J197" s="1" t="s">
        <v>14198</v>
      </c>
      <c r="K197" s="4" t="s">
        <v>19293</v>
      </c>
      <c r="L197" s="1" t="s">
        <v>19294</v>
      </c>
      <c r="M197" s="1" t="s">
        <v>19295</v>
      </c>
      <c r="N197" s="3" t="s">
        <v>19296</v>
      </c>
    </row>
    <row r="198" spans="1:14" ht="13.8">
      <c r="A198" s="1" t="s">
        <v>19297</v>
      </c>
      <c r="B198" s="1" t="s">
        <v>19298</v>
      </c>
      <c r="C198" s="1" t="s">
        <v>19299</v>
      </c>
      <c r="D198" s="1" t="s">
        <v>19300</v>
      </c>
      <c r="E198" s="1" t="s">
        <v>19301</v>
      </c>
      <c r="F198" s="1" t="s">
        <v>19302</v>
      </c>
      <c r="G198" s="1" t="s">
        <v>19303</v>
      </c>
      <c r="H198" s="1">
        <v>30</v>
      </c>
      <c r="I198" s="1" t="s">
        <v>17252</v>
      </c>
      <c r="J198" s="1" t="s">
        <v>14237</v>
      </c>
      <c r="K198" s="1" t="s">
        <v>19304</v>
      </c>
      <c r="L198" s="1" t="s">
        <v>19305</v>
      </c>
      <c r="M198" s="1" t="s">
        <v>19306</v>
      </c>
      <c r="N198" s="3" t="s">
        <v>19307</v>
      </c>
    </row>
    <row r="199" spans="1:14" ht="409.6">
      <c r="A199" s="1" t="s">
        <v>19308</v>
      </c>
      <c r="B199" s="1" t="s">
        <v>19309</v>
      </c>
      <c r="C199" s="1" t="s">
        <v>19310</v>
      </c>
      <c r="D199" s="1" t="s">
        <v>19311</v>
      </c>
      <c r="E199" s="1" t="s">
        <v>19312</v>
      </c>
      <c r="F199" s="1" t="s">
        <v>19313</v>
      </c>
      <c r="G199" s="1" t="s">
        <v>19314</v>
      </c>
      <c r="H199" s="1">
        <v>15</v>
      </c>
      <c r="I199" s="1" t="s">
        <v>14281</v>
      </c>
      <c r="J199" s="1" t="s">
        <v>14237</v>
      </c>
      <c r="K199" s="4" t="s">
        <v>19315</v>
      </c>
      <c r="L199" s="1" t="s">
        <v>19316</v>
      </c>
      <c r="M199" s="1" t="s">
        <v>19317</v>
      </c>
      <c r="N199" s="3" t="s">
        <v>19318</v>
      </c>
    </row>
    <row r="200" spans="1:14" ht="409.6">
      <c r="A200" s="1" t="s">
        <v>19319</v>
      </c>
      <c r="B200" s="1" t="s">
        <v>19320</v>
      </c>
      <c r="C200" s="1" t="s">
        <v>19321</v>
      </c>
      <c r="D200" s="1" t="s">
        <v>19322</v>
      </c>
      <c r="E200" s="1" t="s">
        <v>19323</v>
      </c>
      <c r="F200" s="1" t="s">
        <v>19324</v>
      </c>
      <c r="G200" s="1" t="s">
        <v>19325</v>
      </c>
      <c r="H200" s="1">
        <v>25</v>
      </c>
      <c r="I200" s="1" t="s">
        <v>17252</v>
      </c>
      <c r="J200" s="1" t="s">
        <v>14198</v>
      </c>
      <c r="K200" s="4" t="s">
        <v>19326</v>
      </c>
      <c r="L200" s="1" t="s">
        <v>19327</v>
      </c>
      <c r="M200" s="1" t="s">
        <v>19328</v>
      </c>
      <c r="N200" s="3" t="s">
        <v>19329</v>
      </c>
    </row>
    <row r="201" spans="1:14" ht="409.6">
      <c r="A201" s="1" t="s">
        <v>19330</v>
      </c>
      <c r="B201" s="1" t="s">
        <v>19331</v>
      </c>
      <c r="C201" s="1" t="s">
        <v>19332</v>
      </c>
      <c r="D201" s="1" t="s">
        <v>19333</v>
      </c>
      <c r="E201" s="1" t="s">
        <v>19334</v>
      </c>
      <c r="F201" s="1" t="s">
        <v>19335</v>
      </c>
      <c r="G201" s="1" t="s">
        <v>19336</v>
      </c>
      <c r="H201" s="1">
        <v>80</v>
      </c>
      <c r="I201" s="1" t="s">
        <v>14281</v>
      </c>
      <c r="J201" s="1" t="s">
        <v>14198</v>
      </c>
      <c r="K201" s="4" t="s">
        <v>19337</v>
      </c>
      <c r="L201" s="1" t="s">
        <v>19338</v>
      </c>
      <c r="M201" s="1" t="s">
        <v>19339</v>
      </c>
      <c r="N201" s="3" t="s">
        <v>19340</v>
      </c>
    </row>
    <row r="202" spans="1:14" ht="409.6">
      <c r="A202" s="1" t="s">
        <v>19341</v>
      </c>
      <c r="B202" s="1" t="s">
        <v>19342</v>
      </c>
      <c r="C202" s="1" t="s">
        <v>19343</v>
      </c>
      <c r="D202" s="1" t="s">
        <v>19344</v>
      </c>
      <c r="E202" s="1" t="s">
        <v>19345</v>
      </c>
      <c r="F202" s="1" t="s">
        <v>19346</v>
      </c>
      <c r="G202" s="1" t="s">
        <v>19347</v>
      </c>
      <c r="H202" s="1">
        <v>50</v>
      </c>
      <c r="I202" s="1" t="s">
        <v>8417</v>
      </c>
      <c r="J202" s="1" t="s">
        <v>14198</v>
      </c>
      <c r="K202" s="4" t="s">
        <v>19348</v>
      </c>
      <c r="L202" s="1" t="s">
        <v>19349</v>
      </c>
      <c r="M202" s="1" t="s">
        <v>19350</v>
      </c>
      <c r="N202" s="3" t="s">
        <v>19351</v>
      </c>
    </row>
    <row r="203" spans="1:14" ht="409.6">
      <c r="A203" s="1" t="s">
        <v>19352</v>
      </c>
      <c r="B203" s="1" t="s">
        <v>19353</v>
      </c>
      <c r="C203" s="1" t="s">
        <v>19354</v>
      </c>
      <c r="D203" s="1" t="s">
        <v>19355</v>
      </c>
      <c r="E203" s="1" t="s">
        <v>19356</v>
      </c>
      <c r="F203" s="1" t="s">
        <v>19357</v>
      </c>
      <c r="G203" s="1" t="s">
        <v>19358</v>
      </c>
      <c r="H203" s="1">
        <v>55</v>
      </c>
      <c r="I203" s="1" t="s">
        <v>14259</v>
      </c>
      <c r="J203" s="1" t="s">
        <v>14198</v>
      </c>
      <c r="K203" s="4" t="s">
        <v>19359</v>
      </c>
      <c r="L203" s="1" t="s">
        <v>19360</v>
      </c>
      <c r="M203" s="1" t="s">
        <v>19361</v>
      </c>
      <c r="N203" s="3" t="s">
        <v>19362</v>
      </c>
    </row>
    <row r="204" spans="1:14" ht="13.8">
      <c r="A204" s="1" t="s">
        <v>19363</v>
      </c>
      <c r="B204" s="1" t="s">
        <v>19364</v>
      </c>
      <c r="C204" s="1" t="s">
        <v>19365</v>
      </c>
      <c r="D204" s="1" t="s">
        <v>19366</v>
      </c>
      <c r="E204" s="1" t="s">
        <v>19367</v>
      </c>
      <c r="F204" s="1" t="s">
        <v>19368</v>
      </c>
      <c r="G204" s="1" t="s">
        <v>19369</v>
      </c>
      <c r="H204" s="1">
        <v>40</v>
      </c>
      <c r="I204" s="1" t="s">
        <v>14572</v>
      </c>
      <c r="J204" s="1" t="s">
        <v>14198</v>
      </c>
      <c r="K204" s="1" t="s">
        <v>19370</v>
      </c>
      <c r="L204" s="1" t="s">
        <v>19371</v>
      </c>
      <c r="M204" s="1" t="s">
        <v>19372</v>
      </c>
      <c r="N204" s="3" t="s">
        <v>19373</v>
      </c>
    </row>
    <row r="205" spans="1:14" ht="409.6">
      <c r="A205" s="1" t="s">
        <v>19374</v>
      </c>
      <c r="B205" s="1" t="s">
        <v>19375</v>
      </c>
      <c r="C205" s="1" t="s">
        <v>19376</v>
      </c>
      <c r="D205" s="1" t="s">
        <v>19377</v>
      </c>
      <c r="E205" s="1" t="s">
        <v>19378</v>
      </c>
      <c r="F205" s="1" t="s">
        <v>19379</v>
      </c>
      <c r="G205" s="1" t="s">
        <v>19380</v>
      </c>
      <c r="H205" s="1">
        <v>25</v>
      </c>
      <c r="I205" s="1" t="s">
        <v>14572</v>
      </c>
      <c r="J205" s="1" t="s">
        <v>14198</v>
      </c>
      <c r="K205" s="4" t="s">
        <v>19381</v>
      </c>
      <c r="L205" s="1" t="s">
        <v>19382</v>
      </c>
      <c r="M205" s="1" t="s">
        <v>19383</v>
      </c>
      <c r="N205" s="3" t="s">
        <v>19384</v>
      </c>
    </row>
    <row r="206" spans="1:14" ht="409.6">
      <c r="A206" s="1" t="s">
        <v>19385</v>
      </c>
      <c r="B206" s="1" t="s">
        <v>19386</v>
      </c>
      <c r="C206" s="1" t="s">
        <v>19387</v>
      </c>
      <c r="D206" s="1" t="s">
        <v>19388</v>
      </c>
      <c r="E206" s="1" t="s">
        <v>19389</v>
      </c>
      <c r="F206" s="1" t="s">
        <v>19390</v>
      </c>
      <c r="G206" s="1" t="s">
        <v>19391</v>
      </c>
      <c r="H206" s="1">
        <v>40</v>
      </c>
      <c r="I206" s="1" t="s">
        <v>14572</v>
      </c>
      <c r="J206" s="1" t="s">
        <v>14367</v>
      </c>
      <c r="K206" s="4" t="s">
        <v>19392</v>
      </c>
      <c r="L206" s="1" t="s">
        <v>19393</v>
      </c>
      <c r="M206" s="1" t="s">
        <v>19394</v>
      </c>
      <c r="N206" s="3" t="s">
        <v>19395</v>
      </c>
    </row>
    <row r="207" spans="1:14" ht="409.6">
      <c r="A207" s="1" t="s">
        <v>19396</v>
      </c>
      <c r="B207" s="1" t="s">
        <v>19397</v>
      </c>
      <c r="C207" s="1" t="s">
        <v>19398</v>
      </c>
      <c r="D207" s="1" t="s">
        <v>19399</v>
      </c>
      <c r="E207" s="1" t="s">
        <v>19400</v>
      </c>
      <c r="F207" s="1" t="s">
        <v>19401</v>
      </c>
      <c r="G207" s="1" t="s">
        <v>19402</v>
      </c>
      <c r="H207" s="1">
        <v>40</v>
      </c>
      <c r="I207" s="1" t="s">
        <v>14572</v>
      </c>
      <c r="J207" s="1" t="s">
        <v>14198</v>
      </c>
      <c r="K207" s="4" t="s">
        <v>19403</v>
      </c>
      <c r="L207" s="1" t="s">
        <v>19404</v>
      </c>
      <c r="M207" s="1" t="s">
        <v>19405</v>
      </c>
      <c r="N207" s="3" t="s">
        <v>19406</v>
      </c>
    </row>
    <row r="208" spans="1:14" ht="409.6">
      <c r="A208" s="1" t="s">
        <v>19407</v>
      </c>
      <c r="B208" s="1" t="s">
        <v>19408</v>
      </c>
      <c r="C208" s="1" t="s">
        <v>19409</v>
      </c>
      <c r="D208" s="1" t="s">
        <v>19410</v>
      </c>
      <c r="E208" s="1" t="s">
        <v>19411</v>
      </c>
      <c r="F208" s="1" t="s">
        <v>19412</v>
      </c>
      <c r="G208" s="1" t="s">
        <v>19413</v>
      </c>
      <c r="H208" s="1">
        <v>40</v>
      </c>
      <c r="I208" s="1" t="s">
        <v>429</v>
      </c>
      <c r="J208" s="1" t="s">
        <v>14367</v>
      </c>
      <c r="K208" s="4" t="s">
        <v>19414</v>
      </c>
      <c r="L208" s="1" t="s">
        <v>19415</v>
      </c>
      <c r="M208" s="1" t="s">
        <v>19416</v>
      </c>
      <c r="N208" s="3" t="s">
        <v>19417</v>
      </c>
    </row>
    <row r="209" spans="1:14" ht="13.8">
      <c r="A209" s="1" t="s">
        <v>19418</v>
      </c>
      <c r="B209" s="1" t="s">
        <v>19419</v>
      </c>
      <c r="C209" s="1" t="s">
        <v>19420</v>
      </c>
      <c r="D209" s="1" t="s">
        <v>19421</v>
      </c>
      <c r="E209" s="1" t="s">
        <v>19422</v>
      </c>
      <c r="F209" s="1" t="s">
        <v>19423</v>
      </c>
      <c r="G209" s="1" t="s">
        <v>19424</v>
      </c>
      <c r="H209" s="1">
        <v>50</v>
      </c>
      <c r="I209" s="1" t="s">
        <v>8417</v>
      </c>
      <c r="J209" s="1" t="s">
        <v>14198</v>
      </c>
      <c r="K209" s="1" t="s">
        <v>19425</v>
      </c>
      <c r="L209" s="1" t="s">
        <v>19426</v>
      </c>
      <c r="M209" s="1" t="s">
        <v>19427</v>
      </c>
      <c r="N209" s="3" t="s">
        <v>19428</v>
      </c>
    </row>
    <row r="210" spans="1:14" ht="409.6">
      <c r="A210" s="1" t="s">
        <v>19429</v>
      </c>
      <c r="B210" s="1" t="s">
        <v>19430</v>
      </c>
      <c r="C210" s="1" t="s">
        <v>19431</v>
      </c>
      <c r="D210" s="1" t="s">
        <v>19432</v>
      </c>
      <c r="E210" s="1" t="s">
        <v>19433</v>
      </c>
      <c r="F210" s="1" t="s">
        <v>19434</v>
      </c>
      <c r="G210" s="1" t="s">
        <v>19435</v>
      </c>
      <c r="H210" s="1">
        <v>45</v>
      </c>
      <c r="I210" s="1" t="s">
        <v>14281</v>
      </c>
      <c r="J210" s="1" t="s">
        <v>14198</v>
      </c>
      <c r="K210" s="4" t="s">
        <v>19436</v>
      </c>
      <c r="L210" s="1" t="s">
        <v>19437</v>
      </c>
      <c r="M210" s="1" t="s">
        <v>19438</v>
      </c>
      <c r="N210" s="3" t="s">
        <v>19439</v>
      </c>
    </row>
    <row r="211" spans="1:14" ht="409.6">
      <c r="A211" s="1" t="s">
        <v>19440</v>
      </c>
      <c r="B211" s="1" t="s">
        <v>19441</v>
      </c>
      <c r="C211" s="1" t="s">
        <v>19442</v>
      </c>
      <c r="D211" s="1" t="s">
        <v>19443</v>
      </c>
      <c r="E211" s="1" t="s">
        <v>19444</v>
      </c>
      <c r="F211" s="1" t="s">
        <v>19445</v>
      </c>
      <c r="G211" s="1" t="s">
        <v>19446</v>
      </c>
      <c r="H211" s="1">
        <v>20</v>
      </c>
      <c r="I211" s="1" t="s">
        <v>14281</v>
      </c>
      <c r="J211" s="1" t="s">
        <v>14198</v>
      </c>
      <c r="K211" s="4" t="s">
        <v>19447</v>
      </c>
      <c r="L211" s="1" t="s">
        <v>19448</v>
      </c>
      <c r="M211" s="1" t="s">
        <v>19449</v>
      </c>
      <c r="N211" s="3" t="s">
        <v>19450</v>
      </c>
    </row>
    <row r="212" spans="1:14" ht="13.8">
      <c r="A212" s="1" t="s">
        <v>19451</v>
      </c>
      <c r="B212" s="1" t="s">
        <v>19452</v>
      </c>
      <c r="C212" s="1" t="s">
        <v>19453</v>
      </c>
      <c r="D212" s="1" t="s">
        <v>19454</v>
      </c>
      <c r="E212" s="1" t="s">
        <v>19455</v>
      </c>
      <c r="F212" s="1" t="s">
        <v>19456</v>
      </c>
      <c r="G212" s="1" t="s">
        <v>19457</v>
      </c>
      <c r="H212" s="1">
        <v>40</v>
      </c>
      <c r="I212" s="1" t="s">
        <v>14572</v>
      </c>
      <c r="J212" s="1" t="s">
        <v>14237</v>
      </c>
      <c r="K212" s="1" t="s">
        <v>19458</v>
      </c>
      <c r="L212" s="1" t="s">
        <v>19459</v>
      </c>
      <c r="M212" s="1" t="s">
        <v>19460</v>
      </c>
      <c r="N212" s="3" t="s">
        <v>19461</v>
      </c>
    </row>
    <row r="213" spans="1:14" ht="409.6">
      <c r="A213" s="1" t="s">
        <v>19462</v>
      </c>
      <c r="B213" s="1" t="s">
        <v>19463</v>
      </c>
      <c r="C213" s="1" t="s">
        <v>19464</v>
      </c>
      <c r="D213" s="1" t="s">
        <v>19465</v>
      </c>
      <c r="E213" s="1" t="s">
        <v>19466</v>
      </c>
      <c r="F213" s="1" t="s">
        <v>19467</v>
      </c>
      <c r="G213" s="1" t="s">
        <v>19468</v>
      </c>
      <c r="H213" s="1">
        <v>50</v>
      </c>
      <c r="I213" s="1" t="s">
        <v>8417</v>
      </c>
      <c r="J213" s="1" t="s">
        <v>15102</v>
      </c>
      <c r="K213" s="4" t="s">
        <v>19469</v>
      </c>
      <c r="L213" s="1" t="s">
        <v>19470</v>
      </c>
      <c r="M213" s="1" t="s">
        <v>19471</v>
      </c>
      <c r="N213" s="3" t="s">
        <v>19472</v>
      </c>
    </row>
    <row r="214" spans="1:14" ht="409.6">
      <c r="A214" s="1" t="s">
        <v>19473</v>
      </c>
      <c r="B214" s="1" t="s">
        <v>19474</v>
      </c>
      <c r="C214" s="1" t="s">
        <v>19475</v>
      </c>
      <c r="D214" s="1" t="s">
        <v>19476</v>
      </c>
      <c r="E214" s="1" t="s">
        <v>19477</v>
      </c>
      <c r="F214" s="1" t="s">
        <v>19478</v>
      </c>
      <c r="G214" s="1" t="s">
        <v>19479</v>
      </c>
      <c r="H214" s="1">
        <v>50</v>
      </c>
      <c r="I214" s="1" t="s">
        <v>17252</v>
      </c>
      <c r="J214" s="1" t="s">
        <v>15314</v>
      </c>
      <c r="K214" s="4" t="s">
        <v>19480</v>
      </c>
      <c r="L214" s="1" t="s">
        <v>19481</v>
      </c>
      <c r="M214" s="1" t="s">
        <v>19482</v>
      </c>
      <c r="N214" s="3" t="s">
        <v>19483</v>
      </c>
    </row>
    <row r="215" spans="1:14" ht="409.6">
      <c r="A215" s="1" t="s">
        <v>19484</v>
      </c>
      <c r="B215" s="1" t="s">
        <v>19485</v>
      </c>
      <c r="C215" s="1" t="s">
        <v>19486</v>
      </c>
      <c r="D215" s="1" t="s">
        <v>19487</v>
      </c>
      <c r="E215" s="1" t="s">
        <v>19488</v>
      </c>
      <c r="F215" s="1" t="s">
        <v>19489</v>
      </c>
      <c r="G215" s="1" t="s">
        <v>19490</v>
      </c>
      <c r="H215" s="1">
        <v>35</v>
      </c>
      <c r="I215" s="1" t="s">
        <v>17252</v>
      </c>
      <c r="J215" s="1" t="s">
        <v>15314</v>
      </c>
      <c r="K215" s="4" t="s">
        <v>19491</v>
      </c>
      <c r="L215" s="1" t="s">
        <v>19492</v>
      </c>
      <c r="M215" s="1" t="s">
        <v>19493</v>
      </c>
      <c r="N215" s="3" t="s">
        <v>19494</v>
      </c>
    </row>
    <row r="216" spans="1:14" ht="13.8">
      <c r="A216" s="1" t="s">
        <v>19495</v>
      </c>
      <c r="B216" s="1" t="s">
        <v>19496</v>
      </c>
      <c r="C216" s="1" t="s">
        <v>19497</v>
      </c>
      <c r="D216" s="1" t="s">
        <v>19498</v>
      </c>
      <c r="E216" s="1" t="s">
        <v>19499</v>
      </c>
      <c r="F216" s="1" t="s">
        <v>19500</v>
      </c>
      <c r="G216" s="1" t="s">
        <v>19501</v>
      </c>
      <c r="H216" s="1">
        <v>25</v>
      </c>
      <c r="I216" s="1" t="s">
        <v>14572</v>
      </c>
      <c r="J216" s="1" t="s">
        <v>14198</v>
      </c>
      <c r="K216" s="1" t="s">
        <v>19502</v>
      </c>
      <c r="L216" s="1" t="s">
        <v>19503</v>
      </c>
      <c r="M216" s="1" t="s">
        <v>19504</v>
      </c>
      <c r="N216" s="3" t="s">
        <v>19505</v>
      </c>
    </row>
    <row r="217" spans="1:14" ht="409.6">
      <c r="A217" s="1" t="s">
        <v>19506</v>
      </c>
      <c r="B217" s="1" t="s">
        <v>19507</v>
      </c>
      <c r="C217" s="1" t="s">
        <v>19508</v>
      </c>
      <c r="D217" s="1" t="s">
        <v>19509</v>
      </c>
      <c r="E217" s="1" t="s">
        <v>19510</v>
      </c>
      <c r="F217" s="1" t="s">
        <v>19511</v>
      </c>
      <c r="G217" s="1" t="s">
        <v>19512</v>
      </c>
      <c r="H217" s="1">
        <v>30</v>
      </c>
      <c r="I217" s="1" t="s">
        <v>14281</v>
      </c>
      <c r="J217" s="1" t="s">
        <v>14198</v>
      </c>
      <c r="K217" s="4" t="s">
        <v>19513</v>
      </c>
      <c r="L217" s="1" t="s">
        <v>19514</v>
      </c>
      <c r="M217" s="1" t="s">
        <v>19515</v>
      </c>
      <c r="N217" s="3" t="s">
        <v>19516</v>
      </c>
    </row>
    <row r="218" spans="1:14" ht="409.6">
      <c r="A218" s="1" t="s">
        <v>19517</v>
      </c>
      <c r="B218" s="1" t="s">
        <v>19518</v>
      </c>
      <c r="C218" s="1" t="s">
        <v>19519</v>
      </c>
      <c r="D218" s="1" t="s">
        <v>19520</v>
      </c>
      <c r="E218" s="1" t="s">
        <v>19521</v>
      </c>
      <c r="F218" s="1" t="s">
        <v>19522</v>
      </c>
      <c r="G218" s="1" t="s">
        <v>19523</v>
      </c>
      <c r="H218" s="1">
        <v>65</v>
      </c>
      <c r="I218" s="1" t="s">
        <v>14281</v>
      </c>
      <c r="J218" s="1" t="s">
        <v>14198</v>
      </c>
      <c r="K218" s="4" t="s">
        <v>19524</v>
      </c>
      <c r="L218" s="1" t="s">
        <v>19525</v>
      </c>
      <c r="M218" s="1" t="s">
        <v>19526</v>
      </c>
      <c r="N218" s="3" t="s">
        <v>19527</v>
      </c>
    </row>
    <row r="219" spans="1:14" ht="409.6">
      <c r="A219" s="1" t="s">
        <v>19528</v>
      </c>
      <c r="B219" s="1" t="s">
        <v>19529</v>
      </c>
      <c r="C219" s="1" t="s">
        <v>19530</v>
      </c>
      <c r="D219" s="1" t="s">
        <v>19531</v>
      </c>
      <c r="E219" s="1" t="s">
        <v>19532</v>
      </c>
      <c r="F219" s="1" t="s">
        <v>19533</v>
      </c>
      <c r="G219" s="1" t="s">
        <v>19534</v>
      </c>
      <c r="H219" s="1">
        <v>30</v>
      </c>
      <c r="I219" s="1" t="s">
        <v>17252</v>
      </c>
      <c r="J219" s="1" t="s">
        <v>15314</v>
      </c>
      <c r="K219" s="4" t="s">
        <v>19535</v>
      </c>
      <c r="L219" s="1" t="s">
        <v>19536</v>
      </c>
      <c r="M219" s="1" t="s">
        <v>19537</v>
      </c>
      <c r="N219" s="3" t="s">
        <v>19538</v>
      </c>
    </row>
    <row r="220" spans="1:14" ht="409.6">
      <c r="A220" s="1" t="s">
        <v>19539</v>
      </c>
      <c r="B220" s="1" t="s">
        <v>19540</v>
      </c>
      <c r="C220" s="1" t="s">
        <v>19541</v>
      </c>
      <c r="D220" s="1" t="s">
        <v>19542</v>
      </c>
      <c r="E220" s="1" t="s">
        <v>19543</v>
      </c>
      <c r="F220" s="1" t="s">
        <v>19544</v>
      </c>
      <c r="G220" s="1" t="s">
        <v>19545</v>
      </c>
      <c r="H220" s="1">
        <v>55</v>
      </c>
      <c r="I220" s="1" t="s">
        <v>14572</v>
      </c>
      <c r="J220" s="1" t="s">
        <v>14198</v>
      </c>
      <c r="K220" s="4" t="s">
        <v>19546</v>
      </c>
      <c r="L220" s="1" t="s">
        <v>19547</v>
      </c>
      <c r="M220" s="1" t="s">
        <v>19548</v>
      </c>
      <c r="N220" s="3" t="s">
        <v>19549</v>
      </c>
    </row>
    <row r="221" spans="1:14" ht="13.8">
      <c r="A221" s="1" t="s">
        <v>19550</v>
      </c>
      <c r="B221" s="1" t="s">
        <v>19551</v>
      </c>
      <c r="C221" s="1" t="s">
        <v>19552</v>
      </c>
      <c r="D221" s="1" t="s">
        <v>19553</v>
      </c>
      <c r="E221" s="1" t="s">
        <v>19554</v>
      </c>
      <c r="F221" s="1" t="s">
        <v>19555</v>
      </c>
      <c r="G221" s="1" t="s">
        <v>19556</v>
      </c>
      <c r="H221" s="1">
        <v>85</v>
      </c>
      <c r="I221" s="1" t="s">
        <v>14281</v>
      </c>
      <c r="J221" s="1" t="s">
        <v>14198</v>
      </c>
      <c r="K221" s="1" t="s">
        <v>19557</v>
      </c>
      <c r="L221" s="1" t="s">
        <v>19558</v>
      </c>
      <c r="M221" s="1" t="s">
        <v>19559</v>
      </c>
      <c r="N221" s="3" t="s">
        <v>19560</v>
      </c>
    </row>
    <row r="222" spans="1:14" ht="13.8">
      <c r="A222" s="1" t="s">
        <v>19561</v>
      </c>
      <c r="B222" s="1" t="s">
        <v>19562</v>
      </c>
      <c r="C222" s="1" t="s">
        <v>19563</v>
      </c>
      <c r="D222" s="1" t="s">
        <v>19564</v>
      </c>
      <c r="E222" s="1" t="s">
        <v>19565</v>
      </c>
      <c r="F222" s="1" t="s">
        <v>19566</v>
      </c>
      <c r="G222" s="1" t="s">
        <v>19567</v>
      </c>
      <c r="H222" s="1">
        <v>60</v>
      </c>
      <c r="I222" s="1" t="s">
        <v>14281</v>
      </c>
      <c r="J222" s="1" t="s">
        <v>14198</v>
      </c>
      <c r="K222" s="1" t="s">
        <v>19568</v>
      </c>
      <c r="L222" s="1" t="s">
        <v>19569</v>
      </c>
      <c r="M222" s="1" t="s">
        <v>19570</v>
      </c>
      <c r="N222" s="3" t="s">
        <v>19571</v>
      </c>
    </row>
    <row r="223" spans="1:14" ht="13.8">
      <c r="A223" s="1" t="s">
        <v>19572</v>
      </c>
      <c r="B223" s="1" t="s">
        <v>19573</v>
      </c>
      <c r="C223" s="1" t="s">
        <v>19574</v>
      </c>
      <c r="D223" s="1" t="s">
        <v>19575</v>
      </c>
      <c r="E223" s="1" t="s">
        <v>19576</v>
      </c>
      <c r="F223" s="1" t="s">
        <v>19577</v>
      </c>
      <c r="G223" s="1" t="s">
        <v>19578</v>
      </c>
      <c r="H223" s="1">
        <v>35</v>
      </c>
      <c r="I223" s="1" t="s">
        <v>17252</v>
      </c>
      <c r="J223" s="1" t="s">
        <v>14198</v>
      </c>
      <c r="K223" s="1" t="s">
        <v>19579</v>
      </c>
      <c r="L223" s="1" t="s">
        <v>19580</v>
      </c>
      <c r="M223" s="1" t="s">
        <v>19581</v>
      </c>
      <c r="N223" s="3" t="s">
        <v>19582</v>
      </c>
    </row>
    <row r="224" spans="1:14" ht="13.8">
      <c r="A224" s="1" t="s">
        <v>19583</v>
      </c>
      <c r="B224" s="1" t="s">
        <v>19584</v>
      </c>
      <c r="C224" s="1" t="s">
        <v>19585</v>
      </c>
      <c r="D224" s="1" t="s">
        <v>19586</v>
      </c>
      <c r="E224" s="1" t="s">
        <v>19587</v>
      </c>
      <c r="F224" s="1" t="s">
        <v>19588</v>
      </c>
      <c r="G224" s="1" t="s">
        <v>19589</v>
      </c>
      <c r="H224" s="1">
        <v>60</v>
      </c>
      <c r="I224" s="1" t="s">
        <v>17252</v>
      </c>
      <c r="J224" s="1" t="s">
        <v>14237</v>
      </c>
      <c r="K224" s="1" t="s">
        <v>19590</v>
      </c>
      <c r="L224" s="1" t="s">
        <v>19591</v>
      </c>
      <c r="M224" s="1" t="s">
        <v>19592</v>
      </c>
      <c r="N224" s="3" t="s">
        <v>19593</v>
      </c>
    </row>
    <row r="225" spans="1:14" ht="13.8">
      <c r="A225" s="1" t="s">
        <v>19594</v>
      </c>
      <c r="B225" s="1" t="s">
        <v>19595</v>
      </c>
      <c r="C225" s="1" t="s">
        <v>19596</v>
      </c>
      <c r="D225" s="1" t="s">
        <v>19597</v>
      </c>
      <c r="E225" s="1" t="s">
        <v>19598</v>
      </c>
      <c r="F225" s="1" t="s">
        <v>19599</v>
      </c>
      <c r="G225" s="1" t="s">
        <v>19600</v>
      </c>
      <c r="H225" s="1">
        <v>40</v>
      </c>
      <c r="I225" s="1" t="s">
        <v>17252</v>
      </c>
      <c r="J225" s="1" t="s">
        <v>15314</v>
      </c>
      <c r="K225" s="1" t="s">
        <v>19601</v>
      </c>
      <c r="L225" s="1" t="s">
        <v>19602</v>
      </c>
      <c r="M225" s="1" t="s">
        <v>19603</v>
      </c>
      <c r="N225" s="3" t="s">
        <v>19604</v>
      </c>
    </row>
    <row r="226" spans="1:14" ht="13.8">
      <c r="A226" s="1" t="s">
        <v>19605</v>
      </c>
      <c r="B226" s="1" t="s">
        <v>19606</v>
      </c>
      <c r="C226" s="1" t="s">
        <v>19607</v>
      </c>
      <c r="D226" s="1" t="s">
        <v>19608</v>
      </c>
      <c r="E226" s="1" t="s">
        <v>19609</v>
      </c>
      <c r="F226" s="1" t="s">
        <v>19610</v>
      </c>
      <c r="G226" s="1" t="s">
        <v>19611</v>
      </c>
      <c r="H226" s="1">
        <v>40</v>
      </c>
      <c r="I226" s="1" t="s">
        <v>8417</v>
      </c>
      <c r="J226" s="1" t="s">
        <v>14198</v>
      </c>
      <c r="K226" s="1" t="s">
        <v>19612</v>
      </c>
      <c r="L226" s="1" t="s">
        <v>19613</v>
      </c>
      <c r="M226" s="1" t="s">
        <v>19614</v>
      </c>
      <c r="N226" s="3" t="s">
        <v>19615</v>
      </c>
    </row>
    <row r="227" spans="1:14" ht="13.8">
      <c r="A227" s="1" t="s">
        <v>19616</v>
      </c>
      <c r="B227" s="1" t="s">
        <v>19617</v>
      </c>
      <c r="C227" s="1" t="s">
        <v>19618</v>
      </c>
      <c r="D227" s="1" t="s">
        <v>19619</v>
      </c>
      <c r="E227" s="1" t="s">
        <v>19620</v>
      </c>
      <c r="F227" s="1" t="s">
        <v>19621</v>
      </c>
      <c r="G227" s="1" t="s">
        <v>19622</v>
      </c>
      <c r="H227" s="1">
        <v>25</v>
      </c>
      <c r="I227" s="1" t="s">
        <v>17252</v>
      </c>
      <c r="J227" s="1" t="s">
        <v>14198</v>
      </c>
      <c r="K227" s="1" t="s">
        <v>19623</v>
      </c>
      <c r="L227" s="1" t="s">
        <v>19624</v>
      </c>
      <c r="M227" s="1" t="s">
        <v>19625</v>
      </c>
      <c r="N227" s="3" t="s">
        <v>19626</v>
      </c>
    </row>
    <row r="228" spans="1:14" ht="13.8">
      <c r="A228" s="1" t="s">
        <v>19627</v>
      </c>
      <c r="B228" s="1" t="s">
        <v>19628</v>
      </c>
      <c r="C228" s="1" t="s">
        <v>19629</v>
      </c>
      <c r="D228" s="1" t="s">
        <v>19630</v>
      </c>
      <c r="E228" s="1" t="s">
        <v>19631</v>
      </c>
      <c r="F228" s="1" t="s">
        <v>19632</v>
      </c>
      <c r="G228" s="1" t="s">
        <v>19633</v>
      </c>
      <c r="H228" s="1">
        <v>65</v>
      </c>
      <c r="I228" s="1" t="s">
        <v>14259</v>
      </c>
      <c r="J228" s="1" t="s">
        <v>14198</v>
      </c>
      <c r="K228" s="1" t="s">
        <v>19634</v>
      </c>
      <c r="L228" s="1" t="s">
        <v>19635</v>
      </c>
      <c r="M228" s="1" t="s">
        <v>19636</v>
      </c>
      <c r="N228" s="3" t="s">
        <v>19637</v>
      </c>
    </row>
    <row r="229" spans="1:14" ht="13.8">
      <c r="A229" s="1" t="s">
        <v>19638</v>
      </c>
      <c r="B229" s="1" t="s">
        <v>19639</v>
      </c>
      <c r="C229" s="1" t="s">
        <v>19640</v>
      </c>
      <c r="D229" s="1" t="s">
        <v>19641</v>
      </c>
      <c r="E229" s="1" t="s">
        <v>19642</v>
      </c>
      <c r="F229" s="1" t="s">
        <v>19643</v>
      </c>
      <c r="G229" s="1" t="s">
        <v>19644</v>
      </c>
      <c r="H229" s="1">
        <v>800</v>
      </c>
      <c r="I229" s="1" t="s">
        <v>8417</v>
      </c>
      <c r="J229" s="1" t="s">
        <v>15314</v>
      </c>
      <c r="K229" s="1" t="s">
        <v>19645</v>
      </c>
      <c r="L229" s="1" t="s">
        <v>19646</v>
      </c>
      <c r="M229" s="1" t="s">
        <v>19647</v>
      </c>
      <c r="N229" s="3" t="s">
        <v>19648</v>
      </c>
    </row>
    <row r="230" spans="1:14" ht="13.8">
      <c r="A230" s="1" t="s">
        <v>19649</v>
      </c>
      <c r="B230" s="1" t="s">
        <v>19650</v>
      </c>
      <c r="C230" s="1" t="s">
        <v>19651</v>
      </c>
      <c r="D230" s="1" t="s">
        <v>19652</v>
      </c>
      <c r="E230" s="1" t="s">
        <v>19653</v>
      </c>
      <c r="F230" s="1" t="s">
        <v>19654</v>
      </c>
      <c r="G230" s="1" t="s">
        <v>19655</v>
      </c>
      <c r="H230" s="1">
        <v>40</v>
      </c>
      <c r="I230" s="1" t="s">
        <v>17252</v>
      </c>
      <c r="J230" s="1" t="s">
        <v>14198</v>
      </c>
      <c r="K230" s="1" t="s">
        <v>19656</v>
      </c>
      <c r="L230" s="1" t="s">
        <v>19657</v>
      </c>
      <c r="M230" s="1" t="s">
        <v>19658</v>
      </c>
      <c r="N230" s="3" t="s">
        <v>19659</v>
      </c>
    </row>
    <row r="231" spans="1:14" ht="409.6">
      <c r="A231" s="1" t="s">
        <v>19660</v>
      </c>
      <c r="B231" s="1" t="s">
        <v>19661</v>
      </c>
      <c r="C231" s="1" t="s">
        <v>19662</v>
      </c>
      <c r="D231" s="1" t="s">
        <v>19663</v>
      </c>
      <c r="E231" s="1" t="s">
        <v>19664</v>
      </c>
      <c r="F231" s="1" t="s">
        <v>19665</v>
      </c>
      <c r="G231" s="1" t="s">
        <v>19666</v>
      </c>
      <c r="H231" s="1">
        <v>75</v>
      </c>
      <c r="I231" s="1" t="s">
        <v>8417</v>
      </c>
      <c r="J231" s="1" t="s">
        <v>17937</v>
      </c>
      <c r="K231" s="4" t="s">
        <v>19667</v>
      </c>
      <c r="L231" s="1" t="s">
        <v>19668</v>
      </c>
      <c r="M231" s="1" t="s">
        <v>19669</v>
      </c>
      <c r="N231" s="3" t="s">
        <v>19670</v>
      </c>
    </row>
    <row r="232" spans="1:14" ht="409.6">
      <c r="A232" s="1" t="s">
        <v>19671</v>
      </c>
      <c r="B232" s="1" t="s">
        <v>19672</v>
      </c>
      <c r="C232" s="1" t="s">
        <v>19673</v>
      </c>
      <c r="D232" s="1" t="s">
        <v>19674</v>
      </c>
      <c r="E232" s="1" t="s">
        <v>19675</v>
      </c>
      <c r="F232" s="1" t="s">
        <v>19676</v>
      </c>
      <c r="G232" s="1" t="s">
        <v>19677</v>
      </c>
      <c r="H232" s="1">
        <v>90</v>
      </c>
      <c r="I232" s="1" t="s">
        <v>14281</v>
      </c>
      <c r="J232" s="1" t="s">
        <v>14198</v>
      </c>
      <c r="K232" s="4" t="s">
        <v>19678</v>
      </c>
      <c r="L232" s="1" t="s">
        <v>19679</v>
      </c>
      <c r="M232" s="1" t="s">
        <v>19680</v>
      </c>
      <c r="N232" s="3" t="s">
        <v>19681</v>
      </c>
    </row>
    <row r="233" spans="1:14" ht="409.6">
      <c r="A233" s="1" t="s">
        <v>19682</v>
      </c>
      <c r="B233" s="1" t="s">
        <v>19683</v>
      </c>
      <c r="C233" s="1" t="s">
        <v>19684</v>
      </c>
      <c r="D233" s="1" t="s">
        <v>19685</v>
      </c>
      <c r="E233" s="1" t="s">
        <v>19686</v>
      </c>
      <c r="F233" s="1" t="s">
        <v>19687</v>
      </c>
      <c r="G233" s="1" t="s">
        <v>19688</v>
      </c>
      <c r="H233" s="1">
        <v>65</v>
      </c>
      <c r="I233" s="1" t="s">
        <v>8417</v>
      </c>
      <c r="J233" s="1" t="s">
        <v>14198</v>
      </c>
      <c r="K233" s="4" t="s">
        <v>19689</v>
      </c>
      <c r="L233" s="1" t="s">
        <v>19690</v>
      </c>
      <c r="M233" s="1" t="s">
        <v>19691</v>
      </c>
      <c r="N233" s="3" t="s">
        <v>19692</v>
      </c>
    </row>
    <row r="234" spans="1:14" ht="409.6">
      <c r="A234" s="1" t="s">
        <v>19693</v>
      </c>
      <c r="B234" s="1" t="s">
        <v>19694</v>
      </c>
      <c r="C234" s="1" t="s">
        <v>19695</v>
      </c>
      <c r="D234" s="1" t="s">
        <v>19696</v>
      </c>
      <c r="E234" s="1" t="s">
        <v>19697</v>
      </c>
      <c r="F234" s="1" t="s">
        <v>19698</v>
      </c>
      <c r="G234" s="1" t="s">
        <v>19699</v>
      </c>
      <c r="H234" s="1">
        <v>30</v>
      </c>
      <c r="I234" s="1" t="s">
        <v>14281</v>
      </c>
      <c r="J234" s="1" t="s">
        <v>14198</v>
      </c>
      <c r="K234" s="4" t="s">
        <v>19700</v>
      </c>
      <c r="L234" s="1" t="s">
        <v>19701</v>
      </c>
      <c r="M234" s="1" t="s">
        <v>19702</v>
      </c>
      <c r="N234" s="3" t="s">
        <v>19703</v>
      </c>
    </row>
    <row r="235" spans="1:14" ht="409.6">
      <c r="A235" s="1" t="s">
        <v>19704</v>
      </c>
      <c r="B235" s="1" t="s">
        <v>19705</v>
      </c>
      <c r="C235" s="1" t="s">
        <v>19706</v>
      </c>
      <c r="D235" s="1" t="s">
        <v>19707</v>
      </c>
      <c r="E235" s="1" t="s">
        <v>19708</v>
      </c>
      <c r="F235" s="1" t="s">
        <v>19709</v>
      </c>
      <c r="G235" s="1" t="s">
        <v>19710</v>
      </c>
      <c r="H235" s="1">
        <v>80</v>
      </c>
      <c r="I235" s="1" t="s">
        <v>8417</v>
      </c>
      <c r="J235" s="1" t="s">
        <v>15314</v>
      </c>
      <c r="K235" s="4" t="s">
        <v>19711</v>
      </c>
      <c r="L235" s="1" t="s">
        <v>19712</v>
      </c>
      <c r="M235" s="1" t="s">
        <v>19713</v>
      </c>
      <c r="N235" s="3" t="s">
        <v>19714</v>
      </c>
    </row>
    <row r="236" spans="1:14" ht="13.8">
      <c r="A236" s="1" t="s">
        <v>19715</v>
      </c>
      <c r="B236" s="1" t="s">
        <v>19716</v>
      </c>
      <c r="C236" s="1" t="s">
        <v>19717</v>
      </c>
      <c r="D236" s="1" t="s">
        <v>19718</v>
      </c>
      <c r="E236" s="1" t="s">
        <v>19719</v>
      </c>
      <c r="F236" s="1" t="s">
        <v>19720</v>
      </c>
      <c r="G236" s="1" t="s">
        <v>19721</v>
      </c>
      <c r="H236" s="1">
        <v>10</v>
      </c>
      <c r="I236" s="1" t="s">
        <v>17252</v>
      </c>
      <c r="J236" s="1" t="s">
        <v>17937</v>
      </c>
      <c r="K236" s="1" t="s">
        <v>19722</v>
      </c>
      <c r="L236" s="1" t="s">
        <v>19723</v>
      </c>
      <c r="M236" s="1" t="s">
        <v>19724</v>
      </c>
      <c r="N236" s="3" t="s">
        <v>19725</v>
      </c>
    </row>
    <row r="237" spans="1:14" ht="409.6">
      <c r="A237" s="1" t="s">
        <v>19726</v>
      </c>
      <c r="B237" s="1" t="s">
        <v>19727</v>
      </c>
      <c r="C237" s="1" t="s">
        <v>19728</v>
      </c>
      <c r="D237" s="1" t="s">
        <v>19729</v>
      </c>
      <c r="E237" s="1" t="s">
        <v>19730</v>
      </c>
      <c r="F237" s="1" t="s">
        <v>19731</v>
      </c>
      <c r="G237" s="1" t="s">
        <v>19732</v>
      </c>
      <c r="H237" s="1">
        <v>60</v>
      </c>
      <c r="I237" s="1" t="s">
        <v>14281</v>
      </c>
      <c r="J237" s="1" t="s">
        <v>14198</v>
      </c>
      <c r="K237" s="4" t="s">
        <v>19733</v>
      </c>
      <c r="L237" s="1" t="s">
        <v>19734</v>
      </c>
      <c r="M237" s="1" t="s">
        <v>19735</v>
      </c>
      <c r="N237" s="3" t="s">
        <v>19736</v>
      </c>
    </row>
    <row r="238" spans="1:14" ht="409.6">
      <c r="A238" s="1" t="s">
        <v>19737</v>
      </c>
      <c r="B238" s="1" t="s">
        <v>19738</v>
      </c>
      <c r="C238" s="1" t="s">
        <v>19739</v>
      </c>
      <c r="D238" s="1" t="s">
        <v>19740</v>
      </c>
      <c r="E238" s="1" t="s">
        <v>19741</v>
      </c>
      <c r="F238" s="1" t="s">
        <v>19742</v>
      </c>
      <c r="G238" s="1" t="s">
        <v>19743</v>
      </c>
      <c r="H238" s="1">
        <v>10</v>
      </c>
      <c r="I238" s="1" t="s">
        <v>14572</v>
      </c>
      <c r="J238" s="1" t="s">
        <v>14198</v>
      </c>
      <c r="K238" s="4" t="s">
        <v>19744</v>
      </c>
      <c r="L238" s="1" t="s">
        <v>19745</v>
      </c>
      <c r="M238" s="1" t="s">
        <v>19746</v>
      </c>
      <c r="N238" s="3" t="s">
        <v>19747</v>
      </c>
    </row>
    <row r="239" spans="1:14" ht="409.6">
      <c r="A239" s="1" t="s">
        <v>19748</v>
      </c>
      <c r="B239" s="1" t="s">
        <v>19749</v>
      </c>
      <c r="C239" s="1" t="s">
        <v>19750</v>
      </c>
      <c r="D239" s="1" t="s">
        <v>19751</v>
      </c>
      <c r="E239" s="1" t="s">
        <v>19752</v>
      </c>
      <c r="F239" s="1" t="s">
        <v>19753</v>
      </c>
      <c r="G239" s="1" t="s">
        <v>19754</v>
      </c>
      <c r="H239" s="1">
        <v>30</v>
      </c>
      <c r="I239" s="1" t="s">
        <v>14198</v>
      </c>
      <c r="J239" s="1" t="s">
        <v>14382</v>
      </c>
      <c r="K239" s="4" t="s">
        <v>19755</v>
      </c>
      <c r="L239" s="1" t="s">
        <v>19756</v>
      </c>
      <c r="M239" s="1" t="s">
        <v>19757</v>
      </c>
      <c r="N239" s="3" t="s">
        <v>19758</v>
      </c>
    </row>
    <row r="240" spans="1:14" ht="409.6">
      <c r="A240" s="1" t="s">
        <v>19759</v>
      </c>
      <c r="B240" s="1" t="s">
        <v>19760</v>
      </c>
      <c r="C240" s="1" t="s">
        <v>19761</v>
      </c>
      <c r="D240" s="1" t="s">
        <v>19762</v>
      </c>
      <c r="E240" s="1" t="s">
        <v>19763</v>
      </c>
      <c r="F240" s="1" t="s">
        <v>19764</v>
      </c>
      <c r="G240" s="1" t="s">
        <v>19765</v>
      </c>
      <c r="H240" s="1">
        <v>20</v>
      </c>
      <c r="I240" s="1" t="s">
        <v>14281</v>
      </c>
      <c r="J240" s="1" t="s">
        <v>14198</v>
      </c>
      <c r="K240" s="4" t="s">
        <v>19766</v>
      </c>
      <c r="L240" s="1" t="s">
        <v>19767</v>
      </c>
      <c r="M240" s="1" t="s">
        <v>19768</v>
      </c>
      <c r="N240" s="3" t="s">
        <v>19769</v>
      </c>
    </row>
    <row r="241" spans="1:14" ht="13.8">
      <c r="A241" s="1" t="s">
        <v>19770</v>
      </c>
      <c r="B241" s="1" t="s">
        <v>19771</v>
      </c>
      <c r="C241" s="1" t="s">
        <v>19772</v>
      </c>
      <c r="D241" s="1" t="s">
        <v>19773</v>
      </c>
      <c r="E241" s="1" t="s">
        <v>19774</v>
      </c>
      <c r="F241" s="1" t="s">
        <v>19775</v>
      </c>
      <c r="G241" s="1" t="s">
        <v>19776</v>
      </c>
      <c r="H241" s="1">
        <v>60</v>
      </c>
      <c r="I241" s="1" t="s">
        <v>14259</v>
      </c>
      <c r="J241" s="1" t="s">
        <v>14198</v>
      </c>
      <c r="K241" s="1" t="s">
        <v>19777</v>
      </c>
      <c r="L241" s="1" t="s">
        <v>19778</v>
      </c>
      <c r="M241" s="1" t="s">
        <v>19779</v>
      </c>
      <c r="N241" s="3" t="s">
        <v>19780</v>
      </c>
    </row>
    <row r="242" spans="1:14" ht="13.8">
      <c r="A242" s="1" t="s">
        <v>19781</v>
      </c>
      <c r="B242" s="1" t="s">
        <v>19782</v>
      </c>
      <c r="C242" s="1" t="s">
        <v>19783</v>
      </c>
      <c r="D242" s="1" t="s">
        <v>19784</v>
      </c>
      <c r="E242" s="1" t="s">
        <v>19785</v>
      </c>
      <c r="F242" s="1" t="s">
        <v>19786</v>
      </c>
      <c r="G242" s="1" t="s">
        <v>19787</v>
      </c>
      <c r="H242" s="1">
        <v>15</v>
      </c>
      <c r="I242" s="1" t="s">
        <v>17252</v>
      </c>
      <c r="J242" s="1" t="s">
        <v>17937</v>
      </c>
      <c r="K242" s="1" t="s">
        <v>19788</v>
      </c>
      <c r="L242" s="1" t="s">
        <v>19789</v>
      </c>
      <c r="M242" s="1" t="s">
        <v>19790</v>
      </c>
      <c r="N242" s="3" t="s">
        <v>19791</v>
      </c>
    </row>
    <row r="243" spans="1:14" ht="13.8">
      <c r="A243" s="1" t="s">
        <v>19792</v>
      </c>
      <c r="B243" s="1" t="s">
        <v>19793</v>
      </c>
      <c r="C243" s="1" t="s">
        <v>19794</v>
      </c>
      <c r="D243" s="1" t="s">
        <v>19795</v>
      </c>
      <c r="E243" s="1" t="s">
        <v>19796</v>
      </c>
      <c r="F243" s="1" t="s">
        <v>19797</v>
      </c>
      <c r="G243" s="1" t="s">
        <v>19798</v>
      </c>
      <c r="H243" s="1">
        <v>80</v>
      </c>
      <c r="I243" s="1" t="s">
        <v>17252</v>
      </c>
      <c r="J243" s="1" t="s">
        <v>17937</v>
      </c>
      <c r="K243" s="1" t="s">
        <v>19799</v>
      </c>
      <c r="L243" s="1" t="s">
        <v>19800</v>
      </c>
      <c r="M243" s="1" t="s">
        <v>19801</v>
      </c>
      <c r="N243" s="3" t="s">
        <v>19802</v>
      </c>
    </row>
    <row r="244" spans="1:14" ht="13.8">
      <c r="A244" s="1" t="s">
        <v>19803</v>
      </c>
      <c r="B244" s="1" t="s">
        <v>19804</v>
      </c>
      <c r="C244" s="1" t="s">
        <v>19805</v>
      </c>
      <c r="D244" s="1" t="s">
        <v>19806</v>
      </c>
      <c r="E244" s="1" t="s">
        <v>19807</v>
      </c>
      <c r="F244" s="1" t="s">
        <v>19808</v>
      </c>
      <c r="G244" s="1" t="s">
        <v>19809</v>
      </c>
      <c r="H244" s="1">
        <v>30</v>
      </c>
      <c r="I244" s="1" t="s">
        <v>17252</v>
      </c>
      <c r="J244" s="1" t="s">
        <v>15314</v>
      </c>
      <c r="K244" s="1" t="s">
        <v>19810</v>
      </c>
      <c r="L244" s="1" t="s">
        <v>19811</v>
      </c>
      <c r="M244" s="1" t="s">
        <v>19812</v>
      </c>
      <c r="N244" s="3" t="s">
        <v>19813</v>
      </c>
    </row>
    <row r="245" spans="1:14" ht="13.8">
      <c r="A245" s="1" t="s">
        <v>19814</v>
      </c>
      <c r="B245" s="1" t="s">
        <v>19815</v>
      </c>
      <c r="C245" s="1" t="s">
        <v>19816</v>
      </c>
      <c r="D245" s="1" t="s">
        <v>19817</v>
      </c>
      <c r="E245" s="1" t="s">
        <v>19818</v>
      </c>
      <c r="F245" s="1" t="s">
        <v>19819</v>
      </c>
      <c r="G245" s="1" t="s">
        <v>19820</v>
      </c>
      <c r="H245" s="1">
        <v>40</v>
      </c>
      <c r="I245" s="1" t="s">
        <v>17252</v>
      </c>
      <c r="J245" s="1" t="s">
        <v>14198</v>
      </c>
      <c r="K245" s="1" t="s">
        <v>19821</v>
      </c>
      <c r="L245" s="1" t="s">
        <v>19822</v>
      </c>
      <c r="M245" s="1" t="s">
        <v>19823</v>
      </c>
      <c r="N245" s="3" t="s">
        <v>19824</v>
      </c>
    </row>
    <row r="246" spans="1:14" ht="409.6">
      <c r="A246" s="1" t="s">
        <v>19825</v>
      </c>
      <c r="B246" s="1" t="s">
        <v>19826</v>
      </c>
      <c r="C246" s="1" t="s">
        <v>19827</v>
      </c>
      <c r="D246" s="1" t="s">
        <v>19828</v>
      </c>
      <c r="E246" s="1" t="s">
        <v>19829</v>
      </c>
      <c r="F246" s="1" t="s">
        <v>19830</v>
      </c>
      <c r="G246" s="1" t="s">
        <v>19831</v>
      </c>
      <c r="H246" s="1">
        <v>50</v>
      </c>
      <c r="I246" s="1" t="s">
        <v>8417</v>
      </c>
      <c r="J246" s="1" t="s">
        <v>14198</v>
      </c>
      <c r="K246" s="1" t="s">
        <v>19832</v>
      </c>
      <c r="L246" s="4" t="s">
        <v>19833</v>
      </c>
      <c r="M246" s="1" t="s">
        <v>19834</v>
      </c>
      <c r="N246" s="3" t="s">
        <v>19835</v>
      </c>
    </row>
    <row r="247" spans="1:14" ht="13.8">
      <c r="A247" s="1" t="s">
        <v>19836</v>
      </c>
      <c r="B247" s="1" t="s">
        <v>19837</v>
      </c>
      <c r="C247" s="1" t="s">
        <v>19838</v>
      </c>
      <c r="D247" s="1" t="s">
        <v>19839</v>
      </c>
      <c r="E247" s="1" t="s">
        <v>19840</v>
      </c>
      <c r="F247" s="1" t="s">
        <v>19841</v>
      </c>
      <c r="G247" s="1" t="s">
        <v>19842</v>
      </c>
      <c r="H247" s="1">
        <v>15</v>
      </c>
      <c r="I247" s="1" t="s">
        <v>17252</v>
      </c>
      <c r="J247" s="1" t="s">
        <v>14198</v>
      </c>
      <c r="K247" s="1" t="s">
        <v>19843</v>
      </c>
      <c r="L247" s="1" t="s">
        <v>19844</v>
      </c>
      <c r="M247" s="1" t="s">
        <v>19845</v>
      </c>
      <c r="N247" s="3" t="s">
        <v>19846</v>
      </c>
    </row>
    <row r="248" spans="1:14" ht="409.6">
      <c r="A248" s="1" t="s">
        <v>19847</v>
      </c>
      <c r="B248" s="1" t="s">
        <v>19848</v>
      </c>
      <c r="C248" s="1" t="s">
        <v>19849</v>
      </c>
      <c r="D248" s="1" t="s">
        <v>19850</v>
      </c>
      <c r="E248" s="1" t="s">
        <v>19851</v>
      </c>
      <c r="F248" s="1" t="s">
        <v>19852</v>
      </c>
      <c r="G248" s="1" t="s">
        <v>19853</v>
      </c>
      <c r="H248" s="1">
        <v>50</v>
      </c>
      <c r="I248" s="1" t="s">
        <v>14572</v>
      </c>
      <c r="J248" s="1" t="s">
        <v>14198</v>
      </c>
      <c r="K248" s="4" t="s">
        <v>19854</v>
      </c>
      <c r="L248" s="1" t="s">
        <v>19855</v>
      </c>
      <c r="M248" s="1" t="s">
        <v>19856</v>
      </c>
      <c r="N248" s="3" t="s">
        <v>19857</v>
      </c>
    </row>
    <row r="249" spans="1:14" ht="409.6">
      <c r="A249" s="1" t="s">
        <v>19858</v>
      </c>
      <c r="B249" s="1" t="s">
        <v>19859</v>
      </c>
      <c r="C249" s="1" t="s">
        <v>19860</v>
      </c>
      <c r="D249" s="1" t="s">
        <v>19861</v>
      </c>
      <c r="E249" s="1" t="s">
        <v>19862</v>
      </c>
      <c r="F249" s="1" t="s">
        <v>19863</v>
      </c>
      <c r="G249" s="1" t="s">
        <v>19864</v>
      </c>
      <c r="H249" s="1">
        <v>40</v>
      </c>
      <c r="I249" s="1" t="s">
        <v>17252</v>
      </c>
      <c r="J249" s="1" t="s">
        <v>14367</v>
      </c>
      <c r="K249" s="4" t="s">
        <v>19865</v>
      </c>
      <c r="L249" s="1" t="s">
        <v>19866</v>
      </c>
      <c r="M249" s="1" t="s">
        <v>19867</v>
      </c>
      <c r="N249" s="3" t="s">
        <v>19868</v>
      </c>
    </row>
    <row r="250" spans="1:14" ht="13.8">
      <c r="A250" s="1" t="s">
        <v>19869</v>
      </c>
      <c r="B250" s="1" t="s">
        <v>19870</v>
      </c>
      <c r="C250" s="1" t="s">
        <v>19871</v>
      </c>
      <c r="D250" s="1" t="s">
        <v>19872</v>
      </c>
      <c r="E250" s="1" t="s">
        <v>19873</v>
      </c>
      <c r="F250" s="1" t="s">
        <v>19874</v>
      </c>
      <c r="G250" s="1" t="s">
        <v>19875</v>
      </c>
      <c r="H250" s="1">
        <v>15</v>
      </c>
      <c r="I250" s="1" t="s">
        <v>14572</v>
      </c>
      <c r="J250" s="1" t="s">
        <v>14198</v>
      </c>
      <c r="K250" s="1" t="s">
        <v>19876</v>
      </c>
      <c r="L250" s="1" t="s">
        <v>19877</v>
      </c>
      <c r="M250" s="1" t="s">
        <v>19878</v>
      </c>
      <c r="N250" s="3" t="s">
        <v>19879</v>
      </c>
    </row>
    <row r="251" spans="1:14" ht="409.6">
      <c r="A251" s="1" t="s">
        <v>19880</v>
      </c>
      <c r="B251" s="1" t="s">
        <v>19881</v>
      </c>
      <c r="C251" s="1" t="s">
        <v>19882</v>
      </c>
      <c r="D251" s="1" t="s">
        <v>19883</v>
      </c>
      <c r="E251" s="1" t="s">
        <v>19884</v>
      </c>
      <c r="F251" s="1" t="s">
        <v>19885</v>
      </c>
      <c r="G251" s="1" t="s">
        <v>19886</v>
      </c>
      <c r="H251" s="1">
        <v>40</v>
      </c>
      <c r="I251" s="1" t="s">
        <v>14572</v>
      </c>
      <c r="J251" s="1" t="s">
        <v>14198</v>
      </c>
      <c r="K251" s="4" t="s">
        <v>19887</v>
      </c>
      <c r="L251" s="1" t="s">
        <v>19888</v>
      </c>
      <c r="M251" s="1" t="s">
        <v>19889</v>
      </c>
      <c r="N251" s="3" t="s">
        <v>19890</v>
      </c>
    </row>
    <row r="252" spans="1:14" ht="13.8">
      <c r="A252" s="1" t="s">
        <v>19891</v>
      </c>
      <c r="B252" s="1" t="s">
        <v>19892</v>
      </c>
      <c r="C252" s="1" t="s">
        <v>19893</v>
      </c>
      <c r="D252" s="1" t="s">
        <v>19894</v>
      </c>
      <c r="E252" s="1" t="s">
        <v>19895</v>
      </c>
      <c r="F252" s="1" t="s">
        <v>19896</v>
      </c>
      <c r="G252" s="1" t="s">
        <v>19897</v>
      </c>
      <c r="H252" s="1">
        <v>55</v>
      </c>
      <c r="I252" s="1" t="s">
        <v>14572</v>
      </c>
      <c r="J252" s="1" t="s">
        <v>14198</v>
      </c>
      <c r="K252" s="1" t="s">
        <v>19898</v>
      </c>
      <c r="L252" s="1" t="s">
        <v>19899</v>
      </c>
      <c r="M252" s="1" t="s">
        <v>19900</v>
      </c>
      <c r="N252" s="3" t="s">
        <v>19901</v>
      </c>
    </row>
    <row r="253" spans="1:14" ht="409.6">
      <c r="A253" s="1" t="s">
        <v>19902</v>
      </c>
      <c r="B253" s="1" t="s">
        <v>19903</v>
      </c>
      <c r="C253" s="1" t="s">
        <v>19904</v>
      </c>
      <c r="D253" s="1" t="s">
        <v>19905</v>
      </c>
      <c r="E253" s="1" t="s">
        <v>19906</v>
      </c>
      <c r="F253" s="1" t="s">
        <v>19907</v>
      </c>
      <c r="G253" s="1" t="s">
        <v>19908</v>
      </c>
      <c r="H253" s="1">
        <v>40</v>
      </c>
      <c r="I253" s="1" t="s">
        <v>14572</v>
      </c>
      <c r="J253" s="1" t="s">
        <v>14198</v>
      </c>
      <c r="K253" s="4" t="s">
        <v>19909</v>
      </c>
      <c r="L253" s="1" t="s">
        <v>19910</v>
      </c>
      <c r="M253" s="1" t="s">
        <v>19911</v>
      </c>
      <c r="N253" s="3" t="s">
        <v>19912</v>
      </c>
    </row>
    <row r="254" spans="1:14" ht="409.6">
      <c r="A254" s="1" t="s">
        <v>19913</v>
      </c>
      <c r="B254" s="1" t="s">
        <v>19914</v>
      </c>
      <c r="C254" s="1" t="s">
        <v>19915</v>
      </c>
      <c r="D254" s="1" t="s">
        <v>19916</v>
      </c>
      <c r="E254" s="1" t="s">
        <v>19917</v>
      </c>
      <c r="F254" s="1" t="s">
        <v>19918</v>
      </c>
      <c r="G254" s="1" t="s">
        <v>19919</v>
      </c>
      <c r="H254" s="1">
        <v>60</v>
      </c>
      <c r="I254" s="1" t="s">
        <v>17252</v>
      </c>
      <c r="J254" s="1" t="s">
        <v>15314</v>
      </c>
      <c r="K254" s="4" t="s">
        <v>19920</v>
      </c>
      <c r="L254" s="1" t="s">
        <v>19921</v>
      </c>
      <c r="M254" s="1" t="s">
        <v>19922</v>
      </c>
      <c r="N254" s="3" t="s">
        <v>19923</v>
      </c>
    </row>
    <row r="255" spans="1:14" ht="13.8">
      <c r="A255" s="1" t="s">
        <v>19924</v>
      </c>
      <c r="B255" s="1" t="s">
        <v>19925</v>
      </c>
      <c r="C255" s="1" t="s">
        <v>19926</v>
      </c>
      <c r="D255" s="1" t="s">
        <v>19927</v>
      </c>
      <c r="E255" s="1" t="s">
        <v>19928</v>
      </c>
      <c r="F255" s="1" t="s">
        <v>19929</v>
      </c>
      <c r="G255" s="1" t="s">
        <v>19930</v>
      </c>
      <c r="H255" s="1">
        <v>75</v>
      </c>
      <c r="I255" s="1" t="s">
        <v>14281</v>
      </c>
      <c r="J255" s="1" t="s">
        <v>14198</v>
      </c>
      <c r="K255" s="1" t="s">
        <v>19931</v>
      </c>
      <c r="L255" s="1" t="s">
        <v>19932</v>
      </c>
      <c r="M255" s="1" t="s">
        <v>19933</v>
      </c>
      <c r="N255" s="3" t="s">
        <v>19934</v>
      </c>
    </row>
    <row r="256" spans="1:14" ht="13.8">
      <c r="A256" s="1" t="s">
        <v>19935</v>
      </c>
      <c r="B256" s="1" t="s">
        <v>19936</v>
      </c>
      <c r="C256" s="1" t="s">
        <v>19937</v>
      </c>
      <c r="D256" s="1" t="s">
        <v>19938</v>
      </c>
      <c r="E256" s="1" t="s">
        <v>19939</v>
      </c>
      <c r="F256" s="1" t="s">
        <v>19940</v>
      </c>
      <c r="G256" s="1" t="s">
        <v>19941</v>
      </c>
      <c r="H256" s="1">
        <v>435</v>
      </c>
      <c r="I256" s="1" t="s">
        <v>8417</v>
      </c>
      <c r="J256" s="1" t="s">
        <v>14198</v>
      </c>
      <c r="K256" s="1" t="s">
        <v>19942</v>
      </c>
      <c r="L256" s="1" t="s">
        <v>19943</v>
      </c>
      <c r="M256" s="1" t="s">
        <v>19944</v>
      </c>
      <c r="N256" s="3" t="s">
        <v>19945</v>
      </c>
    </row>
    <row r="257" spans="1:14" ht="13.8">
      <c r="A257" s="1" t="s">
        <v>19946</v>
      </c>
      <c r="B257" s="1" t="s">
        <v>19947</v>
      </c>
      <c r="C257" s="1" t="s">
        <v>19948</v>
      </c>
      <c r="D257" s="1" t="s">
        <v>19949</v>
      </c>
      <c r="E257" s="1" t="s">
        <v>19950</v>
      </c>
      <c r="F257" s="1" t="s">
        <v>19951</v>
      </c>
      <c r="G257" s="1" t="s">
        <v>19952</v>
      </c>
      <c r="H257" s="1">
        <v>35</v>
      </c>
      <c r="I257" s="1" t="s">
        <v>8417</v>
      </c>
      <c r="J257" s="1" t="s">
        <v>14198</v>
      </c>
      <c r="K257" s="1" t="s">
        <v>19953</v>
      </c>
      <c r="L257" s="1" t="s">
        <v>19954</v>
      </c>
      <c r="M257" s="1" t="s">
        <v>19955</v>
      </c>
      <c r="N257" s="3" t="s">
        <v>19956</v>
      </c>
    </row>
    <row r="258" spans="1:14" ht="13.8">
      <c r="A258" s="1" t="s">
        <v>19957</v>
      </c>
      <c r="B258" s="1" t="s">
        <v>19958</v>
      </c>
      <c r="C258" s="1" t="s">
        <v>19959</v>
      </c>
      <c r="D258" s="1" t="s">
        <v>19960</v>
      </c>
      <c r="E258" s="1" t="s">
        <v>19961</v>
      </c>
      <c r="F258" s="1" t="s">
        <v>19962</v>
      </c>
      <c r="G258" s="1" t="s">
        <v>19963</v>
      </c>
      <c r="H258" s="1">
        <v>55</v>
      </c>
      <c r="I258" s="1" t="s">
        <v>14281</v>
      </c>
      <c r="J258" s="1" t="s">
        <v>14198</v>
      </c>
      <c r="K258" s="1" t="s">
        <v>19964</v>
      </c>
      <c r="L258" s="1" t="s">
        <v>19965</v>
      </c>
      <c r="M258" s="1" t="s">
        <v>19966</v>
      </c>
      <c r="N258" s="3" t="s">
        <v>19967</v>
      </c>
    </row>
    <row r="259" spans="1:14" ht="409.6">
      <c r="A259" s="1" t="s">
        <v>19968</v>
      </c>
      <c r="B259" s="1" t="s">
        <v>19969</v>
      </c>
      <c r="C259" s="1" t="s">
        <v>19970</v>
      </c>
      <c r="D259" s="1" t="s">
        <v>19971</v>
      </c>
      <c r="E259" s="1" t="s">
        <v>19972</v>
      </c>
      <c r="F259" s="1" t="s">
        <v>19973</v>
      </c>
      <c r="G259" s="1" t="s">
        <v>19974</v>
      </c>
      <c r="H259" s="1">
        <v>375</v>
      </c>
      <c r="I259" s="1" t="s">
        <v>8417</v>
      </c>
      <c r="J259" s="1" t="s">
        <v>14198</v>
      </c>
      <c r="K259" s="4" t="s">
        <v>19975</v>
      </c>
      <c r="L259" s="1" t="s">
        <v>19976</v>
      </c>
      <c r="M259" s="4" t="s">
        <v>19977</v>
      </c>
      <c r="N259" s="3" t="s">
        <v>19978</v>
      </c>
    </row>
    <row r="260" spans="1:14" ht="13.8">
      <c r="A260" s="1" t="s">
        <v>19979</v>
      </c>
      <c r="B260" s="1" t="s">
        <v>19980</v>
      </c>
      <c r="C260" s="1" t="s">
        <v>19981</v>
      </c>
      <c r="D260" s="1" t="s">
        <v>19982</v>
      </c>
      <c r="E260" s="1" t="s">
        <v>19983</v>
      </c>
      <c r="F260" s="1" t="s">
        <v>19984</v>
      </c>
      <c r="G260" s="1" t="s">
        <v>19985</v>
      </c>
      <c r="H260" s="1">
        <v>55</v>
      </c>
      <c r="I260" s="1" t="s">
        <v>14281</v>
      </c>
      <c r="J260" s="1" t="s">
        <v>14198</v>
      </c>
      <c r="K260" s="1" t="s">
        <v>19986</v>
      </c>
      <c r="L260" s="1" t="s">
        <v>19987</v>
      </c>
      <c r="M260" s="1" t="s">
        <v>19988</v>
      </c>
      <c r="N260" s="3" t="s">
        <v>19989</v>
      </c>
    </row>
    <row r="261" spans="1:14" ht="409.6">
      <c r="A261" s="1" t="s">
        <v>19990</v>
      </c>
      <c r="B261" s="1" t="s">
        <v>19991</v>
      </c>
      <c r="C261" s="1" t="s">
        <v>19992</v>
      </c>
      <c r="D261" s="1" t="s">
        <v>19993</v>
      </c>
      <c r="E261" s="1" t="s">
        <v>19994</v>
      </c>
      <c r="F261" s="1" t="s">
        <v>19995</v>
      </c>
      <c r="G261" s="1" t="s">
        <v>19996</v>
      </c>
      <c r="H261" s="1">
        <v>45</v>
      </c>
      <c r="I261" s="1" t="s">
        <v>429</v>
      </c>
      <c r="J261" s="1" t="s">
        <v>15102</v>
      </c>
      <c r="K261" s="4" t="s">
        <v>19997</v>
      </c>
      <c r="L261" s="1" t="s">
        <v>19998</v>
      </c>
      <c r="M261" s="1" t="s">
        <v>19999</v>
      </c>
      <c r="N261" s="3" t="s">
        <v>20000</v>
      </c>
    </row>
    <row r="262" spans="1:14" ht="409.6">
      <c r="A262" s="1" t="s">
        <v>20001</v>
      </c>
      <c r="B262" s="1" t="s">
        <v>20002</v>
      </c>
      <c r="C262" s="1" t="s">
        <v>20003</v>
      </c>
      <c r="D262" s="1" t="s">
        <v>20004</v>
      </c>
      <c r="E262" s="1" t="s">
        <v>20005</v>
      </c>
      <c r="F262" s="1" t="s">
        <v>20006</v>
      </c>
      <c r="G262" s="1" t="s">
        <v>20007</v>
      </c>
      <c r="H262" s="1">
        <v>65</v>
      </c>
      <c r="I262" s="1" t="s">
        <v>14281</v>
      </c>
      <c r="J262" s="1" t="s">
        <v>14198</v>
      </c>
      <c r="K262" s="4" t="s">
        <v>20008</v>
      </c>
      <c r="L262" s="1" t="s">
        <v>20009</v>
      </c>
      <c r="M262" s="1" t="s">
        <v>20010</v>
      </c>
      <c r="N262" s="3" t="s">
        <v>20011</v>
      </c>
    </row>
    <row r="263" spans="1:14" ht="13.8">
      <c r="A263" s="1" t="s">
        <v>20012</v>
      </c>
      <c r="B263" s="1" t="s">
        <v>20013</v>
      </c>
      <c r="C263" s="1" t="s">
        <v>20014</v>
      </c>
      <c r="D263" s="1" t="s">
        <v>20015</v>
      </c>
      <c r="E263" s="1" t="s">
        <v>20016</v>
      </c>
      <c r="F263" s="1" t="s">
        <v>20017</v>
      </c>
      <c r="G263" s="1" t="s">
        <v>20018</v>
      </c>
      <c r="H263" s="1">
        <v>85</v>
      </c>
      <c r="I263" s="1" t="s">
        <v>14281</v>
      </c>
      <c r="J263" s="1" t="s">
        <v>15314</v>
      </c>
      <c r="K263" s="1" t="s">
        <v>20019</v>
      </c>
      <c r="L263" s="1" t="s">
        <v>20020</v>
      </c>
      <c r="M263" s="1" t="s">
        <v>20021</v>
      </c>
      <c r="N263" s="3" t="s">
        <v>20022</v>
      </c>
    </row>
    <row r="264" spans="1:14" ht="409.6">
      <c r="A264" s="1" t="s">
        <v>20023</v>
      </c>
      <c r="B264" s="1" t="s">
        <v>20024</v>
      </c>
      <c r="C264" s="1" t="s">
        <v>20025</v>
      </c>
      <c r="D264" s="1" t="s">
        <v>20026</v>
      </c>
      <c r="E264" s="1" t="s">
        <v>20027</v>
      </c>
      <c r="F264" s="1" t="s">
        <v>20028</v>
      </c>
      <c r="G264" s="1" t="s">
        <v>20029</v>
      </c>
      <c r="H264" s="1">
        <v>45</v>
      </c>
      <c r="I264" s="1" t="s">
        <v>14259</v>
      </c>
      <c r="J264" s="1" t="s">
        <v>14198</v>
      </c>
      <c r="K264" s="4" t="s">
        <v>20030</v>
      </c>
      <c r="L264" s="1" t="s">
        <v>20031</v>
      </c>
      <c r="M264" s="1" t="s">
        <v>20032</v>
      </c>
      <c r="N264" s="3" t="s">
        <v>20033</v>
      </c>
    </row>
    <row r="265" spans="1:14" ht="13.8">
      <c r="A265" s="1" t="s">
        <v>20034</v>
      </c>
      <c r="B265" s="1" t="s">
        <v>20035</v>
      </c>
      <c r="C265" s="1" t="s">
        <v>20036</v>
      </c>
      <c r="D265" s="1" t="s">
        <v>20037</v>
      </c>
      <c r="E265" s="1" t="s">
        <v>20038</v>
      </c>
      <c r="F265" s="1" t="s">
        <v>20039</v>
      </c>
      <c r="G265" s="1" t="s">
        <v>20040</v>
      </c>
      <c r="H265" s="1">
        <v>40</v>
      </c>
      <c r="I265" s="1" t="s">
        <v>17252</v>
      </c>
      <c r="J265" s="1" t="s">
        <v>17937</v>
      </c>
      <c r="K265" s="1" t="s">
        <v>20041</v>
      </c>
      <c r="L265" s="1" t="s">
        <v>20042</v>
      </c>
      <c r="M265" s="1" t="s">
        <v>20043</v>
      </c>
      <c r="N265" s="3" t="s">
        <v>20044</v>
      </c>
    </row>
    <row r="266" spans="1:14" ht="409.6">
      <c r="A266" s="1" t="s">
        <v>20045</v>
      </c>
      <c r="B266" s="1" t="s">
        <v>20046</v>
      </c>
      <c r="C266" s="1" t="s">
        <v>20047</v>
      </c>
      <c r="D266" s="1" t="s">
        <v>20048</v>
      </c>
      <c r="E266" s="1" t="s">
        <v>20049</v>
      </c>
      <c r="F266" s="1" t="s">
        <v>20050</v>
      </c>
      <c r="G266" s="1" t="s">
        <v>20051</v>
      </c>
      <c r="H266" s="1">
        <v>40</v>
      </c>
      <c r="I266" s="1" t="s">
        <v>14207</v>
      </c>
      <c r="J266" s="1" t="s">
        <v>14198</v>
      </c>
      <c r="K266" s="4" t="s">
        <v>20052</v>
      </c>
      <c r="L266" s="1" t="s">
        <v>20053</v>
      </c>
      <c r="M266" s="1" t="s">
        <v>20054</v>
      </c>
      <c r="N266" s="3" t="s">
        <v>20055</v>
      </c>
    </row>
    <row r="267" spans="1:14" ht="13.8">
      <c r="A267" s="1" t="s">
        <v>20056</v>
      </c>
      <c r="B267" s="1" t="s">
        <v>20057</v>
      </c>
      <c r="C267" s="1" t="s">
        <v>20058</v>
      </c>
      <c r="D267" s="1" t="s">
        <v>20059</v>
      </c>
      <c r="E267" s="1" t="s">
        <v>20060</v>
      </c>
      <c r="F267" s="1" t="s">
        <v>20061</v>
      </c>
      <c r="G267" s="1" t="s">
        <v>20062</v>
      </c>
      <c r="H267" s="1">
        <v>20</v>
      </c>
      <c r="I267" s="1" t="s">
        <v>17252</v>
      </c>
      <c r="J267" s="1" t="s">
        <v>14367</v>
      </c>
      <c r="K267" s="1" t="s">
        <v>20063</v>
      </c>
      <c r="L267" s="1" t="s">
        <v>20064</v>
      </c>
      <c r="M267" s="1" t="s">
        <v>20065</v>
      </c>
      <c r="N267" s="3" t="s">
        <v>20066</v>
      </c>
    </row>
    <row r="268" spans="1:14" ht="13.8">
      <c r="A268" s="1" t="s">
        <v>20067</v>
      </c>
      <c r="B268" s="1" t="s">
        <v>20068</v>
      </c>
      <c r="C268" s="1" t="s">
        <v>20069</v>
      </c>
      <c r="D268" s="1" t="s">
        <v>20070</v>
      </c>
      <c r="E268" s="1" t="s">
        <v>20071</v>
      </c>
      <c r="F268" s="1" t="s">
        <v>20072</v>
      </c>
      <c r="G268" s="1" t="s">
        <v>20073</v>
      </c>
      <c r="H268" s="1">
        <v>15</v>
      </c>
      <c r="I268" s="1" t="s">
        <v>14281</v>
      </c>
      <c r="J268" s="1" t="s">
        <v>14237</v>
      </c>
      <c r="K268" s="1" t="s">
        <v>20074</v>
      </c>
      <c r="L268" s="1" t="s">
        <v>20075</v>
      </c>
      <c r="M268" s="1" t="s">
        <v>20076</v>
      </c>
      <c r="N268" s="3" t="s">
        <v>20077</v>
      </c>
    </row>
    <row r="269" spans="1:14" ht="13.8">
      <c r="A269" s="1" t="s">
        <v>20078</v>
      </c>
      <c r="B269" s="1" t="s">
        <v>20079</v>
      </c>
      <c r="C269" s="1" t="s">
        <v>20080</v>
      </c>
      <c r="D269" s="1" t="s">
        <v>20081</v>
      </c>
      <c r="E269" s="1" t="s">
        <v>20082</v>
      </c>
      <c r="F269" s="1" t="s">
        <v>20083</v>
      </c>
      <c r="G269" s="1" t="s">
        <v>20084</v>
      </c>
      <c r="H269" s="1">
        <v>40</v>
      </c>
      <c r="I269" s="1" t="s">
        <v>17252</v>
      </c>
      <c r="J269" s="1" t="s">
        <v>14198</v>
      </c>
      <c r="K269" s="1" t="s">
        <v>20085</v>
      </c>
      <c r="L269" s="1" t="s">
        <v>20086</v>
      </c>
      <c r="M269" s="1" t="s">
        <v>20087</v>
      </c>
      <c r="N269" s="3" t="s">
        <v>20088</v>
      </c>
    </row>
    <row r="270" spans="1:14" ht="13.8">
      <c r="A270" s="1" t="s">
        <v>20089</v>
      </c>
      <c r="B270" s="1" t="s">
        <v>20090</v>
      </c>
      <c r="C270" s="1" t="s">
        <v>20091</v>
      </c>
      <c r="D270" s="1" t="s">
        <v>20092</v>
      </c>
      <c r="E270" s="1" t="s">
        <v>20093</v>
      </c>
      <c r="F270" s="1" t="s">
        <v>20094</v>
      </c>
      <c r="G270" s="1" t="s">
        <v>20095</v>
      </c>
      <c r="H270" s="1">
        <v>50</v>
      </c>
      <c r="I270" s="1" t="s">
        <v>8417</v>
      </c>
      <c r="J270" s="1" t="s">
        <v>14198</v>
      </c>
      <c r="K270" s="1" t="s">
        <v>20096</v>
      </c>
      <c r="L270" s="1" t="s">
        <v>20097</v>
      </c>
      <c r="M270" s="1" t="s">
        <v>20098</v>
      </c>
      <c r="N270" s="3" t="s">
        <v>20099</v>
      </c>
    </row>
    <row r="271" spans="1:14" ht="409.6">
      <c r="A271" s="1" t="s">
        <v>20100</v>
      </c>
      <c r="B271" s="1" t="s">
        <v>20101</v>
      </c>
      <c r="C271" s="1" t="s">
        <v>20102</v>
      </c>
      <c r="D271" s="1" t="s">
        <v>20103</v>
      </c>
      <c r="E271" s="1" t="s">
        <v>20104</v>
      </c>
      <c r="F271" s="1" t="s">
        <v>20105</v>
      </c>
      <c r="G271" s="1" t="s">
        <v>20106</v>
      </c>
      <c r="H271" s="1">
        <v>90</v>
      </c>
      <c r="I271" s="1" t="s">
        <v>14572</v>
      </c>
      <c r="J271" s="1" t="s">
        <v>14382</v>
      </c>
      <c r="K271" s="4" t="s">
        <v>20107</v>
      </c>
      <c r="L271" s="1" t="s">
        <v>20108</v>
      </c>
      <c r="M271" s="1" t="s">
        <v>20109</v>
      </c>
      <c r="N271" s="3" t="s">
        <v>20110</v>
      </c>
    </row>
    <row r="272" spans="1:14" ht="409.6">
      <c r="A272" s="1" t="s">
        <v>20111</v>
      </c>
      <c r="B272" s="1" t="s">
        <v>20112</v>
      </c>
      <c r="C272" s="1" t="s">
        <v>20113</v>
      </c>
      <c r="D272" s="1" t="s">
        <v>20114</v>
      </c>
      <c r="E272" s="1" t="s">
        <v>20115</v>
      </c>
      <c r="F272" s="1" t="s">
        <v>20116</v>
      </c>
      <c r="G272" s="1" t="s">
        <v>20117</v>
      </c>
      <c r="H272" s="1">
        <v>16</v>
      </c>
      <c r="I272" s="1" t="s">
        <v>14207</v>
      </c>
      <c r="J272" s="1" t="s">
        <v>15314</v>
      </c>
      <c r="K272" s="4" t="s">
        <v>20118</v>
      </c>
      <c r="L272" s="1" t="s">
        <v>20119</v>
      </c>
      <c r="M272" s="1" t="s">
        <v>20120</v>
      </c>
      <c r="N272" s="3" t="s">
        <v>20121</v>
      </c>
    </row>
    <row r="273" spans="1:14" ht="409.6">
      <c r="A273" s="1" t="s">
        <v>20122</v>
      </c>
      <c r="B273" s="1" t="s">
        <v>20123</v>
      </c>
      <c r="C273" s="1" t="s">
        <v>20124</v>
      </c>
      <c r="D273" s="1" t="s">
        <v>20125</v>
      </c>
      <c r="E273" s="1" t="s">
        <v>20126</v>
      </c>
      <c r="F273" s="1" t="s">
        <v>20127</v>
      </c>
      <c r="G273" s="1" t="s">
        <v>20128</v>
      </c>
      <c r="H273" s="1">
        <v>110</v>
      </c>
      <c r="I273" s="1" t="s">
        <v>8417</v>
      </c>
      <c r="J273" s="1" t="s">
        <v>14198</v>
      </c>
      <c r="K273" s="4" t="s">
        <v>20129</v>
      </c>
      <c r="L273" s="1" t="s">
        <v>20130</v>
      </c>
      <c r="M273" s="1" t="s">
        <v>20131</v>
      </c>
      <c r="N273" s="3" t="s">
        <v>20132</v>
      </c>
    </row>
    <row r="274" spans="1:14" ht="409.6">
      <c r="A274" s="1" t="s">
        <v>20133</v>
      </c>
      <c r="B274" s="1" t="s">
        <v>20134</v>
      </c>
      <c r="C274" s="1" t="s">
        <v>20135</v>
      </c>
      <c r="D274" s="1" t="s">
        <v>20136</v>
      </c>
      <c r="E274" s="1" t="s">
        <v>20137</v>
      </c>
      <c r="F274" s="1" t="s">
        <v>20138</v>
      </c>
      <c r="G274" s="1" t="s">
        <v>20139</v>
      </c>
      <c r="H274" s="1">
        <v>40</v>
      </c>
      <c r="I274" s="1" t="s">
        <v>8417</v>
      </c>
      <c r="J274" s="1" t="s">
        <v>14198</v>
      </c>
      <c r="K274" s="4" t="s">
        <v>20140</v>
      </c>
      <c r="L274" s="1" t="s">
        <v>20141</v>
      </c>
      <c r="M274" s="1" t="s">
        <v>20142</v>
      </c>
      <c r="N274" s="3" t="s">
        <v>20143</v>
      </c>
    </row>
    <row r="275" spans="1:14" ht="409.6">
      <c r="A275" s="1" t="s">
        <v>20144</v>
      </c>
      <c r="B275" s="1" t="s">
        <v>20145</v>
      </c>
      <c r="C275" s="1" t="s">
        <v>20146</v>
      </c>
      <c r="D275" s="1" t="s">
        <v>20147</v>
      </c>
      <c r="E275" s="1" t="s">
        <v>20148</v>
      </c>
      <c r="F275" s="1" t="s">
        <v>20149</v>
      </c>
      <c r="G275" s="1" t="s">
        <v>20150</v>
      </c>
      <c r="H275" s="1">
        <v>45</v>
      </c>
      <c r="I275" s="1" t="s">
        <v>14281</v>
      </c>
      <c r="J275" s="1" t="s">
        <v>14198</v>
      </c>
      <c r="K275" s="4" t="s">
        <v>20151</v>
      </c>
      <c r="L275" s="1" t="s">
        <v>20152</v>
      </c>
      <c r="M275" s="1" t="s">
        <v>20153</v>
      </c>
      <c r="N275" s="3" t="s">
        <v>20154</v>
      </c>
    </row>
    <row r="276" spans="1:14" ht="409.6">
      <c r="A276" s="1" t="s">
        <v>20155</v>
      </c>
      <c r="B276" s="1" t="s">
        <v>20156</v>
      </c>
      <c r="C276" s="1" t="s">
        <v>20157</v>
      </c>
      <c r="D276" s="1" t="s">
        <v>20158</v>
      </c>
      <c r="E276" s="1" t="s">
        <v>20159</v>
      </c>
      <c r="F276" s="1" t="s">
        <v>20160</v>
      </c>
      <c r="G276" s="1" t="s">
        <v>20161</v>
      </c>
      <c r="H276" s="1">
        <v>170</v>
      </c>
      <c r="I276" s="1" t="s">
        <v>14281</v>
      </c>
      <c r="J276" s="1" t="s">
        <v>14198</v>
      </c>
      <c r="K276" s="4" t="s">
        <v>20162</v>
      </c>
      <c r="L276" s="1" t="s">
        <v>20163</v>
      </c>
      <c r="M276" s="1" t="s">
        <v>20164</v>
      </c>
      <c r="N276" s="3" t="s">
        <v>20165</v>
      </c>
    </row>
    <row r="277" spans="1:14" ht="13.8">
      <c r="A277" s="1" t="s">
        <v>20166</v>
      </c>
      <c r="B277" s="1" t="s">
        <v>20167</v>
      </c>
      <c r="C277" s="1" t="s">
        <v>20168</v>
      </c>
      <c r="D277" s="1" t="s">
        <v>20169</v>
      </c>
      <c r="E277" s="1" t="s">
        <v>20170</v>
      </c>
      <c r="F277" s="1" t="s">
        <v>20171</v>
      </c>
      <c r="G277" s="1" t="s">
        <v>20172</v>
      </c>
      <c r="H277" s="1">
        <v>45</v>
      </c>
      <c r="I277" s="1" t="s">
        <v>429</v>
      </c>
      <c r="J277" s="1" t="s">
        <v>14198</v>
      </c>
      <c r="K277" s="1" t="s">
        <v>20173</v>
      </c>
      <c r="L277" s="1" t="s">
        <v>20174</v>
      </c>
      <c r="M277" s="1" t="s">
        <v>20175</v>
      </c>
      <c r="N277" s="3" t="s">
        <v>20176</v>
      </c>
    </row>
    <row r="278" spans="1:14" ht="409.6">
      <c r="A278" s="1" t="s">
        <v>20177</v>
      </c>
      <c r="B278" s="1" t="s">
        <v>20178</v>
      </c>
      <c r="C278" s="1" t="s">
        <v>20179</v>
      </c>
      <c r="D278" s="1" t="s">
        <v>20180</v>
      </c>
      <c r="E278" s="1" t="s">
        <v>20181</v>
      </c>
      <c r="F278" s="1" t="s">
        <v>20182</v>
      </c>
      <c r="G278" s="1" t="s">
        <v>20183</v>
      </c>
      <c r="H278" s="1">
        <v>130</v>
      </c>
      <c r="I278" s="1" t="s">
        <v>14572</v>
      </c>
      <c r="J278" s="1" t="s">
        <v>14382</v>
      </c>
      <c r="K278" s="4" t="s">
        <v>20184</v>
      </c>
      <c r="L278" s="1" t="s">
        <v>20185</v>
      </c>
      <c r="M278" s="1" t="s">
        <v>20186</v>
      </c>
      <c r="N278" s="3" t="s">
        <v>20187</v>
      </c>
    </row>
    <row r="279" spans="1:14" ht="13.8">
      <c r="A279" s="1" t="s">
        <v>20188</v>
      </c>
      <c r="B279" s="1" t="s">
        <v>20189</v>
      </c>
      <c r="C279" s="1" t="s">
        <v>20190</v>
      </c>
      <c r="D279" s="1" t="s">
        <v>20191</v>
      </c>
      <c r="E279" s="1" t="s">
        <v>20192</v>
      </c>
      <c r="F279" s="1" t="s">
        <v>20193</v>
      </c>
      <c r="G279" s="1" t="s">
        <v>20194</v>
      </c>
      <c r="H279" s="1">
        <v>15</v>
      </c>
      <c r="I279" s="1" t="s">
        <v>17252</v>
      </c>
      <c r="J279" s="1" t="s">
        <v>14198</v>
      </c>
      <c r="K279" s="1" t="s">
        <v>20195</v>
      </c>
      <c r="L279" s="1" t="s">
        <v>20196</v>
      </c>
      <c r="M279" s="1" t="s">
        <v>20197</v>
      </c>
      <c r="N279" s="3" t="s">
        <v>20198</v>
      </c>
    </row>
    <row r="280" spans="1:14" ht="13.8">
      <c r="A280" s="1" t="s">
        <v>20199</v>
      </c>
      <c r="B280" s="1" t="s">
        <v>20200</v>
      </c>
      <c r="C280" s="1" t="s">
        <v>20201</v>
      </c>
      <c r="D280" s="1" t="s">
        <v>20202</v>
      </c>
      <c r="E280" s="1" t="s">
        <v>20203</v>
      </c>
      <c r="F280" s="1" t="s">
        <v>20204</v>
      </c>
      <c r="G280" s="1" t="s">
        <v>20205</v>
      </c>
      <c r="H280" s="1">
        <v>15</v>
      </c>
      <c r="I280" s="1" t="s">
        <v>17252</v>
      </c>
      <c r="J280" s="1" t="s">
        <v>14198</v>
      </c>
      <c r="K280" s="1" t="s">
        <v>20206</v>
      </c>
      <c r="L280" s="1" t="s">
        <v>20207</v>
      </c>
      <c r="M280" s="1" t="s">
        <v>20208</v>
      </c>
      <c r="N280" s="3" t="s">
        <v>20209</v>
      </c>
    </row>
    <row r="281" spans="1:14" ht="409.6">
      <c r="A281" s="1" t="s">
        <v>20210</v>
      </c>
      <c r="B281" s="1" t="s">
        <v>20211</v>
      </c>
      <c r="C281" s="1" t="s">
        <v>20212</v>
      </c>
      <c r="D281" s="1" t="s">
        <v>20213</v>
      </c>
      <c r="E281" s="1" t="s">
        <v>20214</v>
      </c>
      <c r="F281" s="1" t="s">
        <v>20215</v>
      </c>
      <c r="G281" s="1" t="s">
        <v>20216</v>
      </c>
      <c r="H281" s="1">
        <v>27</v>
      </c>
      <c r="I281" s="1" t="s">
        <v>8417</v>
      </c>
      <c r="J281" s="1" t="s">
        <v>15314</v>
      </c>
      <c r="K281" s="4" t="s">
        <v>20217</v>
      </c>
      <c r="L281" s="1" t="s">
        <v>20218</v>
      </c>
      <c r="M281" s="1" t="s">
        <v>20219</v>
      </c>
      <c r="N281" s="3" t="s">
        <v>20220</v>
      </c>
    </row>
    <row r="282" spans="1:14" ht="409.6">
      <c r="A282" s="1" t="s">
        <v>20221</v>
      </c>
      <c r="B282" s="1" t="s">
        <v>20222</v>
      </c>
      <c r="C282" s="1" t="s">
        <v>20223</v>
      </c>
      <c r="D282" s="1" t="s">
        <v>20224</v>
      </c>
      <c r="E282" s="1" t="s">
        <v>20225</v>
      </c>
      <c r="F282" s="1" t="s">
        <v>20226</v>
      </c>
      <c r="G282" s="1" t="s">
        <v>20227</v>
      </c>
      <c r="H282" s="1">
        <v>75</v>
      </c>
      <c r="I282" s="1" t="s">
        <v>8417</v>
      </c>
      <c r="J282" s="1" t="s">
        <v>14198</v>
      </c>
      <c r="K282" s="4" t="s">
        <v>20228</v>
      </c>
      <c r="L282" s="1" t="s">
        <v>20229</v>
      </c>
      <c r="M282" s="1" t="s">
        <v>20230</v>
      </c>
      <c r="N282" s="3" t="s">
        <v>20231</v>
      </c>
    </row>
    <row r="283" spans="1:14" ht="13.8">
      <c r="A283" s="1" t="s">
        <v>20232</v>
      </c>
      <c r="B283" s="1" t="s">
        <v>20233</v>
      </c>
      <c r="C283" s="1" t="s">
        <v>20234</v>
      </c>
      <c r="D283" s="1" t="s">
        <v>20235</v>
      </c>
      <c r="E283" s="1" t="s">
        <v>20236</v>
      </c>
      <c r="F283" s="1" t="s">
        <v>20237</v>
      </c>
      <c r="G283" s="1" t="s">
        <v>20238</v>
      </c>
      <c r="H283" s="1">
        <v>30</v>
      </c>
      <c r="I283" s="1" t="s">
        <v>14259</v>
      </c>
      <c r="J283" s="1" t="s">
        <v>14367</v>
      </c>
      <c r="K283" s="1" t="s">
        <v>20239</v>
      </c>
      <c r="L283" s="1" t="s">
        <v>20240</v>
      </c>
      <c r="M283" s="1" t="s">
        <v>20241</v>
      </c>
      <c r="N283" s="3" t="s">
        <v>20242</v>
      </c>
    </row>
    <row r="284" spans="1:14" ht="409.6">
      <c r="A284" s="1" t="s">
        <v>20243</v>
      </c>
      <c r="B284" s="1" t="s">
        <v>20244</v>
      </c>
      <c r="C284" s="1" t="s">
        <v>20245</v>
      </c>
      <c r="D284" s="1" t="s">
        <v>20246</v>
      </c>
      <c r="E284" s="1" t="s">
        <v>20247</v>
      </c>
      <c r="F284" s="1" t="s">
        <v>20248</v>
      </c>
      <c r="G284" s="1" t="s">
        <v>20249</v>
      </c>
      <c r="H284" s="1">
        <v>30</v>
      </c>
      <c r="I284" s="1" t="s">
        <v>14572</v>
      </c>
      <c r="J284" s="1" t="s">
        <v>14198</v>
      </c>
      <c r="K284" s="4" t="s">
        <v>20250</v>
      </c>
      <c r="L284" s="1" t="s">
        <v>20251</v>
      </c>
      <c r="M284" s="1" t="s">
        <v>20252</v>
      </c>
      <c r="N284" s="3" t="s">
        <v>20253</v>
      </c>
    </row>
    <row r="285" spans="1:14" ht="13.8">
      <c r="A285" s="1" t="s">
        <v>20254</v>
      </c>
      <c r="B285" s="1" t="s">
        <v>20255</v>
      </c>
      <c r="C285" s="1" t="s">
        <v>20256</v>
      </c>
      <c r="D285" s="1" t="s">
        <v>20257</v>
      </c>
      <c r="E285" s="1" t="s">
        <v>20258</v>
      </c>
      <c r="F285" s="1" t="s">
        <v>20259</v>
      </c>
      <c r="G285" s="1" t="s">
        <v>20260</v>
      </c>
      <c r="H285" s="1">
        <v>80</v>
      </c>
      <c r="I285" s="1" t="s">
        <v>8417</v>
      </c>
      <c r="J285" s="1" t="s">
        <v>15314</v>
      </c>
      <c r="K285" s="1" t="s">
        <v>20261</v>
      </c>
      <c r="L285" s="1" t="s">
        <v>20262</v>
      </c>
      <c r="M285" s="1" t="s">
        <v>20263</v>
      </c>
      <c r="N285" s="3" t="s">
        <v>20264</v>
      </c>
    </row>
    <row r="286" spans="1:14" ht="409.6">
      <c r="A286" s="1" t="s">
        <v>20265</v>
      </c>
      <c r="B286" s="1" t="s">
        <v>20266</v>
      </c>
      <c r="C286" s="1" t="s">
        <v>20267</v>
      </c>
      <c r="D286" s="1" t="s">
        <v>20268</v>
      </c>
      <c r="E286" s="1" t="s">
        <v>20269</v>
      </c>
      <c r="F286" s="1" t="s">
        <v>20270</v>
      </c>
      <c r="G286" s="1" t="s">
        <v>20271</v>
      </c>
      <c r="H286" s="1">
        <v>30</v>
      </c>
      <c r="I286" s="1" t="s">
        <v>17252</v>
      </c>
      <c r="J286" s="1" t="s">
        <v>14198</v>
      </c>
      <c r="K286" s="4" t="s">
        <v>20272</v>
      </c>
      <c r="L286" s="1" t="s">
        <v>20273</v>
      </c>
      <c r="M286" s="1" t="s">
        <v>20274</v>
      </c>
      <c r="N286" s="3" t="s">
        <v>20275</v>
      </c>
    </row>
    <row r="287" spans="1:14" ht="13.8">
      <c r="A287" s="1" t="s">
        <v>20276</v>
      </c>
      <c r="B287" s="1" t="s">
        <v>20277</v>
      </c>
      <c r="C287" s="1" t="s">
        <v>20278</v>
      </c>
      <c r="D287" s="1" t="s">
        <v>20279</v>
      </c>
      <c r="E287" s="1" t="s">
        <v>20280</v>
      </c>
      <c r="F287" s="1" t="s">
        <v>20281</v>
      </c>
      <c r="G287" s="1" t="s">
        <v>20282</v>
      </c>
      <c r="H287" s="1">
        <v>10</v>
      </c>
      <c r="I287" s="1" t="s">
        <v>14207</v>
      </c>
      <c r="J287" s="1" t="s">
        <v>14198</v>
      </c>
      <c r="K287" s="1" t="s">
        <v>20283</v>
      </c>
      <c r="L287" s="1" t="s">
        <v>20284</v>
      </c>
      <c r="M287" s="1" t="s">
        <v>20285</v>
      </c>
      <c r="N287" s="3" t="s">
        <v>20286</v>
      </c>
    </row>
    <row r="288" spans="1:14" ht="409.6">
      <c r="A288" s="1" t="s">
        <v>19495</v>
      </c>
      <c r="B288" s="1" t="s">
        <v>20287</v>
      </c>
      <c r="C288" s="1" t="s">
        <v>20288</v>
      </c>
      <c r="D288" s="1" t="s">
        <v>20289</v>
      </c>
      <c r="E288" s="1" t="s">
        <v>20290</v>
      </c>
      <c r="F288" s="1" t="s">
        <v>20291</v>
      </c>
      <c r="G288" s="1" t="s">
        <v>20292</v>
      </c>
      <c r="H288" s="1">
        <v>25</v>
      </c>
      <c r="I288" s="1" t="s">
        <v>14572</v>
      </c>
      <c r="J288" s="1" t="s">
        <v>14198</v>
      </c>
      <c r="K288" s="4" t="s">
        <v>20293</v>
      </c>
      <c r="L288" s="1" t="s">
        <v>20294</v>
      </c>
      <c r="M288" s="1" t="s">
        <v>20295</v>
      </c>
      <c r="N288" s="3" t="s">
        <v>20296</v>
      </c>
    </row>
    <row r="289" spans="1:14" ht="13.8">
      <c r="A289" s="1" t="s">
        <v>20297</v>
      </c>
      <c r="B289" s="1" t="s">
        <v>20298</v>
      </c>
      <c r="C289" s="1" t="s">
        <v>20299</v>
      </c>
      <c r="D289" s="1" t="s">
        <v>20300</v>
      </c>
      <c r="E289" s="1" t="s">
        <v>20301</v>
      </c>
      <c r="F289" s="1" t="s">
        <v>20302</v>
      </c>
      <c r="G289" s="1" t="s">
        <v>20303</v>
      </c>
      <c r="H289" s="1">
        <v>35</v>
      </c>
      <c r="I289" s="1" t="s">
        <v>14572</v>
      </c>
      <c r="J289" s="1" t="s">
        <v>14338</v>
      </c>
      <c r="K289" s="1" t="s">
        <v>20304</v>
      </c>
      <c r="L289" s="1" t="s">
        <v>20305</v>
      </c>
      <c r="M289" s="1" t="s">
        <v>20306</v>
      </c>
      <c r="N289" s="3" t="s">
        <v>20307</v>
      </c>
    </row>
    <row r="290" spans="1:14" ht="13.8">
      <c r="A290" s="1" t="s">
        <v>20308</v>
      </c>
      <c r="B290" s="1" t="s">
        <v>20309</v>
      </c>
      <c r="C290" s="1" t="s">
        <v>20310</v>
      </c>
      <c r="D290" s="1" t="s">
        <v>20311</v>
      </c>
      <c r="E290" s="1" t="s">
        <v>20312</v>
      </c>
      <c r="F290" s="1" t="s">
        <v>20313</v>
      </c>
      <c r="G290" s="1" t="s">
        <v>20314</v>
      </c>
      <c r="H290" s="1">
        <v>70</v>
      </c>
      <c r="I290" s="1" t="s">
        <v>14281</v>
      </c>
      <c r="J290" s="1" t="s">
        <v>14198</v>
      </c>
      <c r="K290" s="1" t="s">
        <v>20315</v>
      </c>
      <c r="L290" s="1" t="s">
        <v>20316</v>
      </c>
      <c r="M290" s="1" t="s">
        <v>20317</v>
      </c>
      <c r="N290" s="3" t="s">
        <v>20318</v>
      </c>
    </row>
    <row r="291" spans="1:14" ht="13.8">
      <c r="A291" s="1" t="s">
        <v>20319</v>
      </c>
      <c r="B291" s="1" t="s">
        <v>20320</v>
      </c>
      <c r="C291" s="1" t="s">
        <v>20321</v>
      </c>
      <c r="D291" s="1" t="s">
        <v>20322</v>
      </c>
      <c r="E291" s="1" t="s">
        <v>20323</v>
      </c>
      <c r="F291" s="1" t="s">
        <v>20324</v>
      </c>
      <c r="G291" s="1" t="s">
        <v>20325</v>
      </c>
      <c r="H291" s="1">
        <v>35</v>
      </c>
      <c r="I291" s="1" t="s">
        <v>8417</v>
      </c>
      <c r="J291" s="1" t="s">
        <v>14198</v>
      </c>
      <c r="K291" s="1" t="s">
        <v>20326</v>
      </c>
      <c r="L291" s="1" t="s">
        <v>20327</v>
      </c>
      <c r="M291" s="1" t="s">
        <v>20328</v>
      </c>
      <c r="N291" s="3" t="s">
        <v>20329</v>
      </c>
    </row>
    <row r="292" spans="1:14" ht="13.8">
      <c r="A292" s="1" t="s">
        <v>20330</v>
      </c>
      <c r="B292" s="1" t="s">
        <v>20331</v>
      </c>
      <c r="C292" s="1" t="s">
        <v>20332</v>
      </c>
      <c r="D292" s="1" t="s">
        <v>20333</v>
      </c>
      <c r="E292" s="1" t="s">
        <v>20334</v>
      </c>
      <c r="F292" s="1" t="s">
        <v>20335</v>
      </c>
      <c r="G292" s="1" t="s">
        <v>20336</v>
      </c>
      <c r="H292" s="1">
        <v>15</v>
      </c>
      <c r="I292" s="1" t="s">
        <v>14207</v>
      </c>
      <c r="J292" s="1" t="s">
        <v>14198</v>
      </c>
      <c r="K292" s="1" t="s">
        <v>20337</v>
      </c>
      <c r="L292" s="1" t="s">
        <v>20338</v>
      </c>
      <c r="M292" s="1" t="s">
        <v>20339</v>
      </c>
      <c r="N292" s="3" t="s">
        <v>20340</v>
      </c>
    </row>
    <row r="293" spans="1:14" ht="409.6">
      <c r="A293" s="1" t="s">
        <v>20341</v>
      </c>
      <c r="B293" s="1" t="s">
        <v>20342</v>
      </c>
      <c r="C293" s="1" t="s">
        <v>20343</v>
      </c>
      <c r="D293" s="1" t="s">
        <v>20344</v>
      </c>
      <c r="E293" s="1" t="s">
        <v>20345</v>
      </c>
      <c r="F293" s="1" t="s">
        <v>20346</v>
      </c>
      <c r="G293" s="1" t="s">
        <v>20347</v>
      </c>
      <c r="H293" s="1">
        <v>60</v>
      </c>
      <c r="I293" s="1" t="s">
        <v>14281</v>
      </c>
      <c r="J293" s="1" t="s">
        <v>15314</v>
      </c>
      <c r="K293" s="4" t="s">
        <v>20348</v>
      </c>
      <c r="L293" s="1" t="s">
        <v>20349</v>
      </c>
      <c r="M293" s="1" t="s">
        <v>20350</v>
      </c>
      <c r="N293" s="3" t="s">
        <v>20351</v>
      </c>
    </row>
    <row r="294" spans="1:14" ht="13.8">
      <c r="A294" s="1" t="s">
        <v>20352</v>
      </c>
      <c r="B294" s="1" t="s">
        <v>20353</v>
      </c>
      <c r="C294" s="1" t="s">
        <v>20354</v>
      </c>
      <c r="D294" s="1" t="s">
        <v>20355</v>
      </c>
      <c r="E294" s="1" t="s">
        <v>20356</v>
      </c>
      <c r="F294" s="1" t="s">
        <v>20357</v>
      </c>
      <c r="G294" s="1" t="s">
        <v>20358</v>
      </c>
      <c r="H294" s="1">
        <v>15</v>
      </c>
      <c r="I294" s="1" t="s">
        <v>17252</v>
      </c>
      <c r="J294" s="1" t="s">
        <v>14198</v>
      </c>
      <c r="K294" s="1" t="s">
        <v>20359</v>
      </c>
      <c r="L294" s="1" t="s">
        <v>20360</v>
      </c>
      <c r="M294" s="1" t="s">
        <v>20361</v>
      </c>
      <c r="N294" s="3" t="s">
        <v>20362</v>
      </c>
    </row>
    <row r="295" spans="1:14" ht="409.6">
      <c r="A295" s="1" t="s">
        <v>20363</v>
      </c>
      <c r="B295" s="1" t="s">
        <v>20364</v>
      </c>
      <c r="C295" s="1" t="s">
        <v>20365</v>
      </c>
      <c r="D295" s="1" t="s">
        <v>20366</v>
      </c>
      <c r="E295" s="1" t="s">
        <v>20367</v>
      </c>
      <c r="F295" s="1" t="s">
        <v>20368</v>
      </c>
      <c r="G295" s="1" t="s">
        <v>20369</v>
      </c>
      <c r="H295" s="1">
        <v>500</v>
      </c>
      <c r="I295" s="1" t="s">
        <v>14572</v>
      </c>
      <c r="J295" s="1" t="s">
        <v>14198</v>
      </c>
      <c r="K295" s="4" t="s">
        <v>20370</v>
      </c>
      <c r="L295" s="1" t="s">
        <v>20371</v>
      </c>
      <c r="M295" s="1" t="s">
        <v>20372</v>
      </c>
      <c r="N295" s="3" t="s">
        <v>20373</v>
      </c>
    </row>
    <row r="296" spans="1:14" ht="13.8">
      <c r="A296" s="1" t="s">
        <v>20374</v>
      </c>
      <c r="B296" s="1" t="s">
        <v>20375</v>
      </c>
      <c r="C296" s="1" t="s">
        <v>20376</v>
      </c>
      <c r="D296" s="1" t="s">
        <v>20377</v>
      </c>
      <c r="E296" s="1" t="s">
        <v>20378</v>
      </c>
      <c r="F296" s="1" t="s">
        <v>20379</v>
      </c>
      <c r="G296" s="1" t="s">
        <v>20380</v>
      </c>
      <c r="H296" s="1">
        <v>20</v>
      </c>
      <c r="I296" s="1" t="s">
        <v>17252</v>
      </c>
      <c r="J296" s="1" t="s">
        <v>14198</v>
      </c>
      <c r="K296" s="1" t="s">
        <v>20381</v>
      </c>
      <c r="L296" s="1" t="s">
        <v>20382</v>
      </c>
      <c r="M296" s="1" t="s">
        <v>20383</v>
      </c>
      <c r="N296" s="3" t="s">
        <v>20384</v>
      </c>
    </row>
    <row r="297" spans="1:14" ht="409.6">
      <c r="A297" s="1" t="s">
        <v>20385</v>
      </c>
      <c r="B297" s="1" t="s">
        <v>20386</v>
      </c>
      <c r="C297" s="1" t="s">
        <v>20387</v>
      </c>
      <c r="D297" s="1" t="s">
        <v>20388</v>
      </c>
      <c r="E297" s="1" t="s">
        <v>20389</v>
      </c>
      <c r="F297" s="1" t="s">
        <v>20390</v>
      </c>
      <c r="G297" s="1" t="s">
        <v>20391</v>
      </c>
      <c r="H297" s="1">
        <v>40</v>
      </c>
      <c r="I297" s="1" t="s">
        <v>14281</v>
      </c>
      <c r="J297" s="1" t="s">
        <v>17937</v>
      </c>
      <c r="K297" s="4" t="s">
        <v>20392</v>
      </c>
      <c r="L297" s="1" t="s">
        <v>20393</v>
      </c>
      <c r="M297" s="1" t="s">
        <v>20394</v>
      </c>
      <c r="N297" s="3" t="s">
        <v>20395</v>
      </c>
    </row>
    <row r="298" spans="1:14" ht="13.8">
      <c r="A298" s="1" t="s">
        <v>20396</v>
      </c>
      <c r="B298" s="1" t="s">
        <v>20397</v>
      </c>
      <c r="C298" s="1" t="s">
        <v>20398</v>
      </c>
      <c r="D298" s="1" t="s">
        <v>20399</v>
      </c>
      <c r="E298" s="1" t="s">
        <v>20400</v>
      </c>
      <c r="F298" s="1" t="s">
        <v>20401</v>
      </c>
      <c r="G298" s="1" t="s">
        <v>20402</v>
      </c>
      <c r="H298" s="1">
        <v>35</v>
      </c>
      <c r="I298" s="1" t="s">
        <v>17252</v>
      </c>
      <c r="J298" s="1" t="s">
        <v>14198</v>
      </c>
      <c r="K298" s="1" t="s">
        <v>20403</v>
      </c>
      <c r="L298" s="1" t="s">
        <v>20404</v>
      </c>
      <c r="M298" s="1" t="s">
        <v>20405</v>
      </c>
      <c r="N298" s="3" t="s">
        <v>20406</v>
      </c>
    </row>
    <row r="299" spans="1:14" ht="13.8">
      <c r="A299" s="1" t="s">
        <v>20407</v>
      </c>
      <c r="B299" s="1" t="s">
        <v>20408</v>
      </c>
      <c r="C299" s="1" t="s">
        <v>20409</v>
      </c>
      <c r="D299" s="1" t="s">
        <v>20410</v>
      </c>
      <c r="E299" s="1" t="s">
        <v>20411</v>
      </c>
      <c r="F299" s="1" t="s">
        <v>20412</v>
      </c>
      <c r="G299" s="1" t="s">
        <v>20413</v>
      </c>
      <c r="H299" s="1">
        <v>85</v>
      </c>
      <c r="I299" s="1" t="s">
        <v>8417</v>
      </c>
      <c r="J299" s="1" t="s">
        <v>14198</v>
      </c>
      <c r="K299" s="1" t="s">
        <v>20414</v>
      </c>
      <c r="L299" s="1" t="s">
        <v>20415</v>
      </c>
      <c r="M299" s="1" t="s">
        <v>20416</v>
      </c>
      <c r="N299" s="3" t="s">
        <v>20417</v>
      </c>
    </row>
    <row r="300" spans="1:14" ht="409.6">
      <c r="A300" s="1" t="s">
        <v>20418</v>
      </c>
      <c r="B300" s="1" t="s">
        <v>20419</v>
      </c>
      <c r="C300" s="1" t="s">
        <v>20420</v>
      </c>
      <c r="D300" s="1" t="s">
        <v>20421</v>
      </c>
      <c r="E300" s="1" t="s">
        <v>20422</v>
      </c>
      <c r="F300" s="1" t="s">
        <v>20423</v>
      </c>
      <c r="G300" s="1" t="s">
        <v>20424</v>
      </c>
      <c r="H300" s="1">
        <v>85</v>
      </c>
      <c r="I300" s="1" t="s">
        <v>14572</v>
      </c>
      <c r="J300" s="1" t="s">
        <v>14198</v>
      </c>
      <c r="K300" s="4" t="s">
        <v>20425</v>
      </c>
      <c r="L300" s="1" t="s">
        <v>20426</v>
      </c>
      <c r="M300" s="1" t="s">
        <v>20427</v>
      </c>
      <c r="N300" s="3" t="s">
        <v>20428</v>
      </c>
    </row>
    <row r="301" spans="1:14" ht="13.8">
      <c r="A301" s="1" t="s">
        <v>20429</v>
      </c>
      <c r="B301" s="1" t="s">
        <v>20430</v>
      </c>
      <c r="C301" s="1" t="s">
        <v>20431</v>
      </c>
      <c r="D301" s="1" t="s">
        <v>20432</v>
      </c>
      <c r="E301" s="1" t="s">
        <v>20433</v>
      </c>
      <c r="F301" s="1" t="s">
        <v>20434</v>
      </c>
      <c r="G301" s="1" t="s">
        <v>20435</v>
      </c>
      <c r="H301" s="1">
        <v>105</v>
      </c>
      <c r="I301" s="1" t="s">
        <v>14572</v>
      </c>
      <c r="J301" s="1" t="s">
        <v>15314</v>
      </c>
      <c r="K301" s="1" t="s">
        <v>20436</v>
      </c>
      <c r="L301" s="1" t="s">
        <v>20437</v>
      </c>
      <c r="M301" s="1" t="s">
        <v>20438</v>
      </c>
      <c r="N301" s="3" t="s">
        <v>20439</v>
      </c>
    </row>
    <row r="302" spans="1:14" ht="13.8">
      <c r="A302" s="1" t="s">
        <v>20440</v>
      </c>
      <c r="B302" s="1" t="s">
        <v>20441</v>
      </c>
      <c r="C302" s="1" t="s">
        <v>20442</v>
      </c>
      <c r="D302" s="1" t="s">
        <v>20443</v>
      </c>
      <c r="E302" s="1" t="s">
        <v>20444</v>
      </c>
      <c r="F302" s="1" t="s">
        <v>20445</v>
      </c>
      <c r="G302" s="1" t="s">
        <v>20446</v>
      </c>
      <c r="H302" s="1">
        <v>50</v>
      </c>
      <c r="I302" s="1" t="s">
        <v>14572</v>
      </c>
      <c r="J302" s="1" t="s">
        <v>14198</v>
      </c>
      <c r="K302" s="1" t="s">
        <v>20447</v>
      </c>
      <c r="L302" s="1" t="s">
        <v>20448</v>
      </c>
      <c r="M302" s="1" t="s">
        <v>20449</v>
      </c>
      <c r="N302" s="3" t="s">
        <v>20450</v>
      </c>
    </row>
    <row r="303" spans="1:14" ht="409.6">
      <c r="A303" s="1" t="s">
        <v>20451</v>
      </c>
      <c r="B303" s="1" t="s">
        <v>20452</v>
      </c>
      <c r="C303" s="1" t="s">
        <v>20453</v>
      </c>
      <c r="D303" s="1" t="s">
        <v>20454</v>
      </c>
      <c r="E303" s="1" t="s">
        <v>20455</v>
      </c>
      <c r="F303" s="1" t="s">
        <v>20456</v>
      </c>
      <c r="G303" s="1" t="s">
        <v>20457</v>
      </c>
      <c r="H303" s="1">
        <v>65</v>
      </c>
      <c r="I303" s="1" t="s">
        <v>145</v>
      </c>
      <c r="J303" s="1" t="s">
        <v>14198</v>
      </c>
      <c r="K303" s="4" t="s">
        <v>20458</v>
      </c>
      <c r="L303" s="1" t="s">
        <v>20459</v>
      </c>
      <c r="M303" s="1" t="s">
        <v>20460</v>
      </c>
      <c r="N303" s="3" t="s">
        <v>20461</v>
      </c>
    </row>
    <row r="304" spans="1:14" ht="13.8">
      <c r="A304" s="1" t="s">
        <v>20462</v>
      </c>
      <c r="B304" s="1" t="s">
        <v>20463</v>
      </c>
      <c r="C304" s="1" t="s">
        <v>20464</v>
      </c>
      <c r="D304" s="1" t="s">
        <v>20465</v>
      </c>
      <c r="E304" s="1" t="s">
        <v>20466</v>
      </c>
      <c r="F304" s="1" t="s">
        <v>20467</v>
      </c>
      <c r="G304" s="1" t="s">
        <v>20468</v>
      </c>
      <c r="H304" s="1">
        <v>45</v>
      </c>
      <c r="I304" s="1" t="s">
        <v>14281</v>
      </c>
      <c r="J304" s="1" t="s">
        <v>14198</v>
      </c>
      <c r="K304" s="1" t="s">
        <v>20469</v>
      </c>
      <c r="L304" s="1" t="s">
        <v>20470</v>
      </c>
      <c r="M304" s="1" t="s">
        <v>20471</v>
      </c>
      <c r="N304" s="3" t="s">
        <v>20472</v>
      </c>
    </row>
    <row r="305" spans="1:14" ht="13.8">
      <c r="A305" s="1" t="s">
        <v>20473</v>
      </c>
      <c r="B305" s="1" t="s">
        <v>20474</v>
      </c>
      <c r="C305" s="1" t="s">
        <v>20475</v>
      </c>
      <c r="D305" s="1" t="s">
        <v>20476</v>
      </c>
      <c r="E305" s="1" t="s">
        <v>20477</v>
      </c>
      <c r="F305" s="1" t="s">
        <v>20478</v>
      </c>
      <c r="G305" s="1" t="s">
        <v>20479</v>
      </c>
      <c r="H305" s="1">
        <v>40</v>
      </c>
      <c r="I305" s="1" t="s">
        <v>14281</v>
      </c>
      <c r="J305" s="1" t="s">
        <v>14237</v>
      </c>
      <c r="K305" s="1" t="s">
        <v>20480</v>
      </c>
      <c r="L305" s="1" t="s">
        <v>20481</v>
      </c>
      <c r="M305" s="1" t="s">
        <v>20482</v>
      </c>
      <c r="N305" s="3" t="s">
        <v>20483</v>
      </c>
    </row>
    <row r="306" spans="1:14" ht="13.8">
      <c r="A306" s="1" t="s">
        <v>20484</v>
      </c>
      <c r="B306" s="1" t="s">
        <v>20485</v>
      </c>
      <c r="C306" s="1" t="s">
        <v>20486</v>
      </c>
      <c r="D306" s="1" t="s">
        <v>20487</v>
      </c>
      <c r="E306" s="1" t="s">
        <v>20488</v>
      </c>
      <c r="F306" s="1" t="s">
        <v>20489</v>
      </c>
      <c r="G306" s="1" t="s">
        <v>20490</v>
      </c>
      <c r="H306" s="1">
        <v>10</v>
      </c>
      <c r="I306" s="1" t="s">
        <v>14572</v>
      </c>
      <c r="J306" s="1" t="s">
        <v>14198</v>
      </c>
      <c r="K306" s="1" t="s">
        <v>20491</v>
      </c>
      <c r="L306" s="1" t="s">
        <v>20492</v>
      </c>
      <c r="M306" s="1" t="s">
        <v>20493</v>
      </c>
      <c r="N306" s="3" t="s">
        <v>20494</v>
      </c>
    </row>
    <row r="307" spans="1:14" ht="13.8">
      <c r="A307" s="1" t="s">
        <v>20495</v>
      </c>
      <c r="B307" s="1" t="s">
        <v>20496</v>
      </c>
      <c r="C307" s="1" t="s">
        <v>20497</v>
      </c>
      <c r="D307" s="1" t="s">
        <v>20498</v>
      </c>
      <c r="E307" s="1" t="s">
        <v>20499</v>
      </c>
      <c r="F307" s="1" t="s">
        <v>20500</v>
      </c>
      <c r="G307" s="1" t="s">
        <v>20501</v>
      </c>
      <c r="H307" s="1">
        <v>70</v>
      </c>
      <c r="I307" s="1" t="s">
        <v>8417</v>
      </c>
      <c r="J307" s="1" t="s">
        <v>14198</v>
      </c>
      <c r="K307" s="1" t="s">
        <v>20502</v>
      </c>
      <c r="L307" s="1" t="s">
        <v>20503</v>
      </c>
      <c r="M307" s="1" t="s">
        <v>20504</v>
      </c>
      <c r="N307" s="3" t="s">
        <v>20505</v>
      </c>
    </row>
    <row r="308" spans="1:14" ht="409.6">
      <c r="A308" s="1" t="s">
        <v>20506</v>
      </c>
      <c r="B308" s="1" t="s">
        <v>20507</v>
      </c>
      <c r="C308" s="1" t="s">
        <v>20508</v>
      </c>
      <c r="D308" s="1" t="s">
        <v>20509</v>
      </c>
      <c r="E308" s="1" t="s">
        <v>20510</v>
      </c>
      <c r="F308" s="1" t="s">
        <v>20511</v>
      </c>
      <c r="G308" s="1" t="s">
        <v>20512</v>
      </c>
      <c r="H308" s="1">
        <v>12</v>
      </c>
      <c r="I308" s="1" t="s">
        <v>14207</v>
      </c>
      <c r="J308" s="1" t="s">
        <v>14237</v>
      </c>
      <c r="K308" s="4" t="s">
        <v>20513</v>
      </c>
      <c r="L308" s="1" t="s">
        <v>20514</v>
      </c>
      <c r="M308" s="1" t="s">
        <v>20515</v>
      </c>
      <c r="N308" s="3" t="s">
        <v>20516</v>
      </c>
    </row>
    <row r="309" spans="1:14" ht="409.6">
      <c r="A309" s="1" t="s">
        <v>20517</v>
      </c>
      <c r="B309" s="1" t="s">
        <v>20518</v>
      </c>
      <c r="C309" s="1" t="s">
        <v>20519</v>
      </c>
      <c r="D309" s="1" t="s">
        <v>20520</v>
      </c>
      <c r="E309" s="1" t="s">
        <v>20521</v>
      </c>
      <c r="F309" s="1" t="s">
        <v>20522</v>
      </c>
      <c r="G309" s="1" t="s">
        <v>20523</v>
      </c>
      <c r="H309" s="1">
        <v>40</v>
      </c>
      <c r="I309" s="1" t="s">
        <v>17252</v>
      </c>
      <c r="J309" s="1" t="s">
        <v>15314</v>
      </c>
      <c r="K309" s="4" t="s">
        <v>20524</v>
      </c>
      <c r="L309" s="1" t="s">
        <v>20525</v>
      </c>
      <c r="M309" s="1" t="s">
        <v>20526</v>
      </c>
      <c r="N309" s="3" t="s">
        <v>20527</v>
      </c>
    </row>
    <row r="310" spans="1:14" ht="409.6">
      <c r="A310" s="1" t="s">
        <v>20528</v>
      </c>
      <c r="B310" s="1" t="s">
        <v>20529</v>
      </c>
      <c r="C310" s="1" t="s">
        <v>20530</v>
      </c>
      <c r="D310" s="1" t="s">
        <v>20531</v>
      </c>
      <c r="E310" s="1" t="s">
        <v>20532</v>
      </c>
      <c r="F310" s="1" t="s">
        <v>20533</v>
      </c>
      <c r="G310" s="1" t="s">
        <v>20534</v>
      </c>
      <c r="H310" s="1">
        <v>20</v>
      </c>
      <c r="I310" s="1" t="s">
        <v>14207</v>
      </c>
      <c r="J310" s="1" t="s">
        <v>14198</v>
      </c>
      <c r="K310" s="4" t="s">
        <v>20535</v>
      </c>
      <c r="L310" s="1" t="s">
        <v>20536</v>
      </c>
      <c r="M310" s="1" t="s">
        <v>20537</v>
      </c>
      <c r="N310" s="3" t="s">
        <v>20538</v>
      </c>
    </row>
    <row r="311" spans="1:14" ht="409.6">
      <c r="A311" s="1" t="s">
        <v>20539</v>
      </c>
      <c r="B311" s="1" t="s">
        <v>20540</v>
      </c>
      <c r="C311" s="1" t="s">
        <v>20541</v>
      </c>
      <c r="D311" s="1" t="s">
        <v>20542</v>
      </c>
      <c r="E311" s="1" t="s">
        <v>20543</v>
      </c>
      <c r="F311" s="1" t="s">
        <v>20544</v>
      </c>
      <c r="G311" s="1" t="s">
        <v>20545</v>
      </c>
      <c r="H311" s="1">
        <v>30</v>
      </c>
      <c r="I311" s="1" t="s">
        <v>14572</v>
      </c>
      <c r="J311" s="1" t="s">
        <v>14198</v>
      </c>
      <c r="K311" s="4" t="s">
        <v>20546</v>
      </c>
      <c r="L311" s="1" t="s">
        <v>20547</v>
      </c>
      <c r="M311" s="1" t="s">
        <v>20548</v>
      </c>
      <c r="N311" s="3" t="s">
        <v>20549</v>
      </c>
    </row>
    <row r="312" spans="1:14" ht="409.6">
      <c r="A312" s="1" t="s">
        <v>20550</v>
      </c>
      <c r="B312" s="1" t="s">
        <v>20551</v>
      </c>
      <c r="C312" s="1" t="s">
        <v>20552</v>
      </c>
      <c r="D312" s="1" t="s">
        <v>20553</v>
      </c>
      <c r="E312" s="1" t="s">
        <v>20554</v>
      </c>
      <c r="F312" s="1" t="s">
        <v>20555</v>
      </c>
      <c r="G312" s="1" t="s">
        <v>20556</v>
      </c>
      <c r="H312" s="1">
        <v>90</v>
      </c>
      <c r="I312" s="1" t="s">
        <v>14572</v>
      </c>
      <c r="J312" s="1" t="s">
        <v>14382</v>
      </c>
      <c r="K312" s="4" t="s">
        <v>20557</v>
      </c>
      <c r="L312" s="1" t="s">
        <v>20558</v>
      </c>
      <c r="M312" s="1" t="s">
        <v>20559</v>
      </c>
      <c r="N312" s="3" t="s">
        <v>20560</v>
      </c>
    </row>
    <row r="313" spans="1:14" ht="409.6">
      <c r="A313" s="1" t="s">
        <v>20561</v>
      </c>
      <c r="B313" s="1" t="s">
        <v>20562</v>
      </c>
      <c r="C313" s="1" t="s">
        <v>20563</v>
      </c>
      <c r="D313" s="1" t="s">
        <v>20564</v>
      </c>
      <c r="E313" s="1" t="s">
        <v>20565</v>
      </c>
      <c r="F313" s="1" t="s">
        <v>20566</v>
      </c>
      <c r="G313" s="1" t="s">
        <v>20567</v>
      </c>
      <c r="H313" s="1">
        <v>55</v>
      </c>
      <c r="I313" s="1" t="s">
        <v>17252</v>
      </c>
      <c r="J313" s="1" t="s">
        <v>14338</v>
      </c>
      <c r="K313" s="4" t="s">
        <v>20568</v>
      </c>
      <c r="L313" s="1" t="s">
        <v>20569</v>
      </c>
      <c r="M313" s="1" t="s">
        <v>20570</v>
      </c>
      <c r="N313" s="3" t="s">
        <v>20571</v>
      </c>
    </row>
    <row r="314" spans="1:14" ht="13.8">
      <c r="A314" s="1" t="s">
        <v>17953</v>
      </c>
      <c r="B314" s="1" t="s">
        <v>20572</v>
      </c>
      <c r="C314" s="1" t="s">
        <v>20573</v>
      </c>
      <c r="D314" s="1" t="s">
        <v>20574</v>
      </c>
      <c r="E314" s="1" t="s">
        <v>20575</v>
      </c>
      <c r="F314" s="1" t="s">
        <v>20576</v>
      </c>
      <c r="G314" s="1" t="s">
        <v>20577</v>
      </c>
      <c r="H314" s="1">
        <v>10</v>
      </c>
      <c r="I314" s="1" t="s">
        <v>17252</v>
      </c>
      <c r="J314" s="1" t="s">
        <v>14237</v>
      </c>
      <c r="K314" s="1" t="s">
        <v>20578</v>
      </c>
      <c r="L314" s="1" t="s">
        <v>20579</v>
      </c>
      <c r="M314" s="1" t="s">
        <v>20580</v>
      </c>
      <c r="N314" s="3" t="s">
        <v>20581</v>
      </c>
    </row>
    <row r="315" spans="1:14" ht="13.8">
      <c r="A315" s="1" t="s">
        <v>20582</v>
      </c>
      <c r="B315" s="1" t="s">
        <v>20583</v>
      </c>
      <c r="C315" s="1" t="s">
        <v>20584</v>
      </c>
      <c r="D315" s="1" t="s">
        <v>20585</v>
      </c>
      <c r="E315" s="1" t="s">
        <v>20586</v>
      </c>
      <c r="F315" s="1" t="s">
        <v>20587</v>
      </c>
      <c r="G315" s="1" t="s">
        <v>20588</v>
      </c>
      <c r="H315" s="1">
        <v>35</v>
      </c>
      <c r="I315" s="1" t="s">
        <v>8417</v>
      </c>
      <c r="J315" s="1" t="s">
        <v>15314</v>
      </c>
      <c r="K315" s="1" t="s">
        <v>20589</v>
      </c>
      <c r="L315" s="1" t="s">
        <v>20590</v>
      </c>
      <c r="M315" s="1" t="s">
        <v>20591</v>
      </c>
      <c r="N315" s="3" t="s">
        <v>20592</v>
      </c>
    </row>
    <row r="316" spans="1:14" ht="13.8">
      <c r="A316" s="1" t="s">
        <v>20593</v>
      </c>
      <c r="B316" s="1" t="s">
        <v>20594</v>
      </c>
      <c r="C316" s="1" t="s">
        <v>20595</v>
      </c>
      <c r="D316" s="1" t="s">
        <v>20596</v>
      </c>
      <c r="E316" s="1" t="s">
        <v>20597</v>
      </c>
      <c r="F316" s="1" t="s">
        <v>20598</v>
      </c>
      <c r="G316" s="1" t="s">
        <v>20599</v>
      </c>
      <c r="H316" s="1">
        <v>55</v>
      </c>
      <c r="I316" s="1" t="s">
        <v>8417</v>
      </c>
      <c r="J316" s="1" t="s">
        <v>14198</v>
      </c>
      <c r="K316" s="1" t="s">
        <v>20600</v>
      </c>
      <c r="L316" s="1" t="s">
        <v>20601</v>
      </c>
      <c r="M316" s="1" t="s">
        <v>20602</v>
      </c>
      <c r="N316" s="3" t="s">
        <v>20603</v>
      </c>
    </row>
    <row r="317" spans="1:14" ht="13.8">
      <c r="A317" s="1" t="s">
        <v>20604</v>
      </c>
      <c r="B317" s="1" t="s">
        <v>20605</v>
      </c>
      <c r="C317" s="1" t="s">
        <v>20606</v>
      </c>
      <c r="D317" s="1" t="s">
        <v>20607</v>
      </c>
      <c r="E317" s="1" t="s">
        <v>20608</v>
      </c>
      <c r="F317" s="1" t="s">
        <v>20609</v>
      </c>
      <c r="G317" s="1" t="s">
        <v>20610</v>
      </c>
      <c r="H317" s="1">
        <v>20</v>
      </c>
      <c r="I317" s="1" t="s">
        <v>14572</v>
      </c>
      <c r="J317" s="1" t="s">
        <v>17937</v>
      </c>
      <c r="K317" s="1" t="s">
        <v>20611</v>
      </c>
      <c r="L317" s="1" t="s">
        <v>20612</v>
      </c>
      <c r="M317" s="1" t="s">
        <v>20613</v>
      </c>
      <c r="N317" s="3" t="s">
        <v>20614</v>
      </c>
    </row>
    <row r="318" spans="1:14" ht="409.6">
      <c r="A318" s="1" t="s">
        <v>20615</v>
      </c>
      <c r="B318" s="1" t="s">
        <v>20616</v>
      </c>
      <c r="C318" s="1" t="s">
        <v>20617</v>
      </c>
      <c r="D318" s="1" t="s">
        <v>20618</v>
      </c>
      <c r="E318" s="1" t="s">
        <v>20619</v>
      </c>
      <c r="F318" s="1" t="s">
        <v>20620</v>
      </c>
      <c r="G318" s="1" t="s">
        <v>20621</v>
      </c>
      <c r="H318" s="1">
        <v>50</v>
      </c>
      <c r="I318" s="1" t="s">
        <v>14572</v>
      </c>
      <c r="J318" s="1" t="s">
        <v>14198</v>
      </c>
      <c r="K318" s="4" t="s">
        <v>20622</v>
      </c>
      <c r="L318" s="1" t="s">
        <v>20623</v>
      </c>
      <c r="M318" s="1" t="s">
        <v>20624</v>
      </c>
      <c r="N318" s="3" t="s">
        <v>20625</v>
      </c>
    </row>
    <row r="319" spans="1:14" ht="409.6">
      <c r="A319" s="1" t="s">
        <v>20626</v>
      </c>
      <c r="B319" s="1" t="s">
        <v>20627</v>
      </c>
      <c r="C319" s="1" t="s">
        <v>20628</v>
      </c>
      <c r="D319" s="1" t="s">
        <v>20629</v>
      </c>
      <c r="E319" s="1" t="s">
        <v>20630</v>
      </c>
      <c r="F319" s="1" t="s">
        <v>20631</v>
      </c>
      <c r="G319" s="1" t="s">
        <v>20632</v>
      </c>
      <c r="H319" s="1">
        <v>55</v>
      </c>
      <c r="I319" s="1" t="s">
        <v>14572</v>
      </c>
      <c r="J319" s="1" t="s">
        <v>14198</v>
      </c>
      <c r="K319" s="4" t="s">
        <v>20633</v>
      </c>
      <c r="L319" s="1" t="s">
        <v>20634</v>
      </c>
      <c r="M319" s="1" t="s">
        <v>20635</v>
      </c>
      <c r="N319" s="3" t="s">
        <v>20636</v>
      </c>
    </row>
    <row r="320" spans="1:14" ht="409.6">
      <c r="A320" s="1" t="s">
        <v>20637</v>
      </c>
      <c r="B320" s="1" t="s">
        <v>20638</v>
      </c>
      <c r="C320" s="1" t="s">
        <v>20639</v>
      </c>
      <c r="D320" s="1" t="s">
        <v>20640</v>
      </c>
      <c r="E320" s="1" t="s">
        <v>20641</v>
      </c>
      <c r="F320" s="1" t="s">
        <v>20642</v>
      </c>
      <c r="G320" s="1" t="s">
        <v>20643</v>
      </c>
      <c r="H320" s="1">
        <v>75</v>
      </c>
      <c r="I320" s="1" t="s">
        <v>429</v>
      </c>
      <c r="J320" s="1" t="s">
        <v>14198</v>
      </c>
      <c r="K320" s="4" t="s">
        <v>20644</v>
      </c>
      <c r="L320" s="1" t="s">
        <v>20645</v>
      </c>
      <c r="M320" s="1" t="s">
        <v>20646</v>
      </c>
      <c r="N320" s="3" t="s">
        <v>20647</v>
      </c>
    </row>
    <row r="321" spans="1:14" ht="409.6">
      <c r="A321" s="1" t="s">
        <v>20648</v>
      </c>
      <c r="B321" s="1" t="s">
        <v>20649</v>
      </c>
      <c r="C321" s="1" t="s">
        <v>20650</v>
      </c>
      <c r="D321" s="1" t="s">
        <v>20651</v>
      </c>
      <c r="E321" s="1" t="s">
        <v>20652</v>
      </c>
      <c r="F321" s="1" t="s">
        <v>20653</v>
      </c>
      <c r="G321" s="1" t="s">
        <v>20654</v>
      </c>
      <c r="H321" s="1">
        <v>40</v>
      </c>
      <c r="I321" s="1" t="s">
        <v>14281</v>
      </c>
      <c r="J321" s="1" t="s">
        <v>14198</v>
      </c>
      <c r="K321" s="4" t="s">
        <v>20655</v>
      </c>
      <c r="L321" s="1" t="s">
        <v>20656</v>
      </c>
      <c r="M321" s="1" t="s">
        <v>20657</v>
      </c>
      <c r="N321" s="3" t="s">
        <v>20658</v>
      </c>
    </row>
    <row r="322" spans="1:14" ht="13.8">
      <c r="A322" s="1" t="s">
        <v>20659</v>
      </c>
      <c r="B322" s="1" t="s">
        <v>20660</v>
      </c>
      <c r="C322" s="1" t="s">
        <v>20661</v>
      </c>
      <c r="D322" s="1" t="s">
        <v>20662</v>
      </c>
      <c r="E322" s="1" t="s">
        <v>20663</v>
      </c>
      <c r="F322" s="1" t="s">
        <v>20664</v>
      </c>
      <c r="G322" s="1" t="s">
        <v>20665</v>
      </c>
      <c r="H322" s="1">
        <v>80</v>
      </c>
      <c r="I322" s="1" t="s">
        <v>14281</v>
      </c>
      <c r="J322" s="1" t="s">
        <v>14198</v>
      </c>
      <c r="K322" s="1" t="s">
        <v>20666</v>
      </c>
      <c r="L322" s="1" t="s">
        <v>20667</v>
      </c>
      <c r="M322" s="1" t="s">
        <v>20668</v>
      </c>
      <c r="N322" s="3" t="s">
        <v>20669</v>
      </c>
    </row>
    <row r="323" spans="1:14" ht="13.8">
      <c r="A323" s="1" t="s">
        <v>20670</v>
      </c>
      <c r="B323" s="1" t="s">
        <v>20671</v>
      </c>
      <c r="C323" s="1" t="s">
        <v>20672</v>
      </c>
      <c r="D323" s="1" t="s">
        <v>20673</v>
      </c>
      <c r="E323" s="1" t="s">
        <v>20674</v>
      </c>
      <c r="F323" s="1" t="s">
        <v>20675</v>
      </c>
      <c r="G323" s="1" t="s">
        <v>20676</v>
      </c>
      <c r="H323" s="1">
        <v>10</v>
      </c>
      <c r="I323" s="1" t="s">
        <v>14281</v>
      </c>
      <c r="J323" s="1" t="s">
        <v>14237</v>
      </c>
      <c r="K323" s="1" t="s">
        <v>20677</v>
      </c>
      <c r="L323" s="1" t="s">
        <v>20678</v>
      </c>
      <c r="M323" s="1" t="s">
        <v>20679</v>
      </c>
      <c r="N323" s="3" t="s">
        <v>20680</v>
      </c>
    </row>
    <row r="324" spans="1:14" ht="13.8">
      <c r="A324" s="1" t="s">
        <v>20681</v>
      </c>
      <c r="B324" s="1" t="s">
        <v>20682</v>
      </c>
      <c r="C324" s="1" t="s">
        <v>20683</v>
      </c>
      <c r="D324" s="1" t="s">
        <v>20684</v>
      </c>
      <c r="E324" s="1" t="s">
        <v>20685</v>
      </c>
      <c r="F324" s="1" t="s">
        <v>20686</v>
      </c>
      <c r="G324" s="1" t="s">
        <v>20687</v>
      </c>
      <c r="H324" s="1">
        <v>35</v>
      </c>
      <c r="I324" s="1" t="s">
        <v>429</v>
      </c>
      <c r="J324" s="1" t="s">
        <v>14237</v>
      </c>
      <c r="K324" s="1" t="s">
        <v>20688</v>
      </c>
      <c r="L324" s="1" t="s">
        <v>20689</v>
      </c>
      <c r="M324" s="1" t="s">
        <v>20690</v>
      </c>
      <c r="N324" s="3" t="s">
        <v>20691</v>
      </c>
    </row>
    <row r="325" spans="1:14" ht="409.6">
      <c r="A325" s="1" t="s">
        <v>20692</v>
      </c>
      <c r="B325" s="1" t="s">
        <v>20693</v>
      </c>
      <c r="C325" s="1" t="s">
        <v>20694</v>
      </c>
      <c r="D325" s="1" t="s">
        <v>20695</v>
      </c>
      <c r="E325" s="1" t="s">
        <v>20696</v>
      </c>
      <c r="F325" s="1" t="s">
        <v>20697</v>
      </c>
      <c r="G325" s="1" t="s">
        <v>20698</v>
      </c>
      <c r="H325" s="1">
        <v>35</v>
      </c>
      <c r="I325" s="1" t="s">
        <v>17252</v>
      </c>
      <c r="J325" s="1" t="s">
        <v>15314</v>
      </c>
      <c r="K325" s="4" t="s">
        <v>20699</v>
      </c>
      <c r="L325" s="1" t="s">
        <v>20700</v>
      </c>
      <c r="M325" s="1" t="s">
        <v>20701</v>
      </c>
      <c r="N325" s="3" t="s">
        <v>20702</v>
      </c>
    </row>
    <row r="326" spans="1:14" ht="13.8">
      <c r="A326" s="1" t="s">
        <v>20703</v>
      </c>
      <c r="B326" s="1" t="s">
        <v>20704</v>
      </c>
      <c r="C326" s="1" t="s">
        <v>20705</v>
      </c>
      <c r="D326" s="1" t="s">
        <v>20706</v>
      </c>
      <c r="E326" s="1" t="s">
        <v>20707</v>
      </c>
      <c r="F326" s="1" t="s">
        <v>20708</v>
      </c>
      <c r="G326" s="1" t="s">
        <v>20709</v>
      </c>
      <c r="H326" s="1">
        <v>375</v>
      </c>
      <c r="I326" s="1" t="s">
        <v>17252</v>
      </c>
      <c r="J326" s="1" t="s">
        <v>15102</v>
      </c>
      <c r="K326" s="1" t="s">
        <v>20710</v>
      </c>
      <c r="L326" s="1" t="s">
        <v>20711</v>
      </c>
      <c r="M326" s="1" t="s">
        <v>20712</v>
      </c>
      <c r="N326" s="3" t="s">
        <v>20713</v>
      </c>
    </row>
    <row r="327" spans="1:14" ht="13.8">
      <c r="A327" s="1" t="s">
        <v>20714</v>
      </c>
      <c r="B327" s="1" t="s">
        <v>20715</v>
      </c>
      <c r="C327" s="1" t="s">
        <v>20716</v>
      </c>
      <c r="D327" s="1" t="s">
        <v>20717</v>
      </c>
      <c r="E327" s="1" t="s">
        <v>20718</v>
      </c>
      <c r="F327" s="1" t="s">
        <v>20719</v>
      </c>
      <c r="G327" s="1" t="s">
        <v>20720</v>
      </c>
      <c r="H327" s="1">
        <v>30</v>
      </c>
      <c r="I327" s="1" t="s">
        <v>17252</v>
      </c>
      <c r="J327" s="1" t="s">
        <v>15102</v>
      </c>
      <c r="K327" s="1" t="s">
        <v>20721</v>
      </c>
      <c r="L327" s="1" t="s">
        <v>20722</v>
      </c>
      <c r="M327" s="1" t="s">
        <v>20723</v>
      </c>
      <c r="N327" s="3" t="s">
        <v>20724</v>
      </c>
    </row>
    <row r="328" spans="1:14" ht="409.6">
      <c r="A328" s="1" t="s">
        <v>20725</v>
      </c>
      <c r="B328" s="1" t="s">
        <v>20726</v>
      </c>
      <c r="C328" s="1" t="s">
        <v>20727</v>
      </c>
      <c r="D328" s="1" t="s">
        <v>20728</v>
      </c>
      <c r="E328" s="1" t="s">
        <v>20729</v>
      </c>
      <c r="F328" s="1" t="s">
        <v>20730</v>
      </c>
      <c r="G328" s="1" t="s">
        <v>20731</v>
      </c>
      <c r="H328" s="1">
        <v>630</v>
      </c>
      <c r="I328" s="1" t="s">
        <v>8417</v>
      </c>
      <c r="J328" s="1" t="s">
        <v>14198</v>
      </c>
      <c r="K328" s="4" t="s">
        <v>20732</v>
      </c>
      <c r="L328" s="1" t="s">
        <v>20733</v>
      </c>
      <c r="M328" s="1" t="s">
        <v>20734</v>
      </c>
      <c r="N328" s="3" t="s">
        <v>20735</v>
      </c>
    </row>
    <row r="329" spans="1:14" ht="409.6">
      <c r="A329" s="1" t="s">
        <v>20736</v>
      </c>
      <c r="B329" s="1" t="s">
        <v>20737</v>
      </c>
      <c r="C329" s="1" t="s">
        <v>20738</v>
      </c>
      <c r="D329" s="1" t="s">
        <v>20739</v>
      </c>
      <c r="E329" s="1" t="s">
        <v>20740</v>
      </c>
      <c r="F329" s="1" t="s">
        <v>20741</v>
      </c>
      <c r="G329" s="1" t="s">
        <v>20742</v>
      </c>
      <c r="H329" s="1">
        <v>60</v>
      </c>
      <c r="I329" s="1" t="s">
        <v>8417</v>
      </c>
      <c r="J329" s="1" t="s">
        <v>14198</v>
      </c>
      <c r="K329" s="4" t="s">
        <v>20743</v>
      </c>
      <c r="L329" s="1" t="s">
        <v>20744</v>
      </c>
      <c r="M329" s="1" t="s">
        <v>20745</v>
      </c>
      <c r="N329" s="3" t="s">
        <v>20746</v>
      </c>
    </row>
    <row r="330" spans="1:14" ht="13.8">
      <c r="A330" s="1" t="s">
        <v>20747</v>
      </c>
      <c r="B330" s="1" t="s">
        <v>20748</v>
      </c>
      <c r="C330" s="1" t="s">
        <v>20749</v>
      </c>
      <c r="D330" s="1" t="s">
        <v>20750</v>
      </c>
      <c r="E330" s="1" t="s">
        <v>20751</v>
      </c>
      <c r="F330" s="1" t="s">
        <v>20752</v>
      </c>
      <c r="G330" s="1" t="s">
        <v>20753</v>
      </c>
      <c r="H330" s="1">
        <v>35</v>
      </c>
      <c r="I330" s="1" t="s">
        <v>14281</v>
      </c>
      <c r="J330" s="1" t="s">
        <v>14198</v>
      </c>
      <c r="K330" s="1" t="s">
        <v>20754</v>
      </c>
      <c r="L330" s="1" t="s">
        <v>20755</v>
      </c>
      <c r="M330" s="1" t="s">
        <v>20756</v>
      </c>
      <c r="N330" s="3" t="s">
        <v>20757</v>
      </c>
    </row>
    <row r="331" spans="1:14" ht="409.6">
      <c r="A331" s="1" t="s">
        <v>20758</v>
      </c>
      <c r="B331" s="1" t="s">
        <v>20759</v>
      </c>
      <c r="C331" s="1" t="s">
        <v>20760</v>
      </c>
      <c r="D331" s="1" t="s">
        <v>20761</v>
      </c>
      <c r="E331" s="1" t="s">
        <v>20762</v>
      </c>
      <c r="F331" s="1" t="s">
        <v>20763</v>
      </c>
      <c r="G331" s="1" t="s">
        <v>20764</v>
      </c>
      <c r="H331" s="1">
        <v>25</v>
      </c>
      <c r="I331" s="1" t="s">
        <v>8417</v>
      </c>
      <c r="J331" s="1" t="s">
        <v>14198</v>
      </c>
      <c r="K331" s="4" t="s">
        <v>20765</v>
      </c>
      <c r="L331" s="1" t="s">
        <v>20766</v>
      </c>
      <c r="M331" s="1" t="s">
        <v>20767</v>
      </c>
      <c r="N331" s="3" t="s">
        <v>20768</v>
      </c>
    </row>
    <row r="332" spans="1:14" ht="409.6">
      <c r="A332" s="1" t="s">
        <v>20769</v>
      </c>
      <c r="B332" s="1" t="s">
        <v>20770</v>
      </c>
      <c r="C332" s="1" t="s">
        <v>20771</v>
      </c>
      <c r="D332" s="1" t="s">
        <v>20772</v>
      </c>
      <c r="E332" s="1" t="s">
        <v>20773</v>
      </c>
      <c r="F332" s="1" t="s">
        <v>20774</v>
      </c>
      <c r="G332" s="1" t="s">
        <v>20775</v>
      </c>
      <c r="H332" s="1">
        <v>30</v>
      </c>
      <c r="I332" s="1" t="s">
        <v>14572</v>
      </c>
      <c r="J332" s="1" t="s">
        <v>14237</v>
      </c>
      <c r="K332" s="4" t="s">
        <v>20776</v>
      </c>
      <c r="L332" s="1" t="s">
        <v>20777</v>
      </c>
      <c r="M332" s="1" t="s">
        <v>20778</v>
      </c>
      <c r="N332" s="3" t="s">
        <v>20779</v>
      </c>
    </row>
    <row r="333" spans="1:14" ht="409.6">
      <c r="A333" s="1" t="s">
        <v>20780</v>
      </c>
      <c r="B333" s="1" t="s">
        <v>20781</v>
      </c>
      <c r="C333" s="1" t="s">
        <v>20782</v>
      </c>
      <c r="D333" s="1" t="s">
        <v>20783</v>
      </c>
      <c r="E333" s="1" t="s">
        <v>20784</v>
      </c>
      <c r="F333" s="1" t="s">
        <v>20785</v>
      </c>
      <c r="G333" s="1" t="s">
        <v>20786</v>
      </c>
      <c r="H333" s="1">
        <v>55</v>
      </c>
      <c r="I333" s="1" t="s">
        <v>8417</v>
      </c>
      <c r="J333" s="1" t="s">
        <v>17937</v>
      </c>
      <c r="K333" s="4" t="s">
        <v>20787</v>
      </c>
      <c r="L333" s="1" t="s">
        <v>20788</v>
      </c>
      <c r="M333" s="1" t="s">
        <v>20789</v>
      </c>
      <c r="N333" s="3" t="s">
        <v>20790</v>
      </c>
    </row>
    <row r="334" spans="1:14" ht="13.8">
      <c r="A334" s="1" t="s">
        <v>20791</v>
      </c>
      <c r="B334" s="1" t="s">
        <v>20792</v>
      </c>
      <c r="C334" s="1" t="s">
        <v>20793</v>
      </c>
      <c r="D334" s="1" t="s">
        <v>20794</v>
      </c>
      <c r="E334" s="1" t="s">
        <v>20795</v>
      </c>
      <c r="F334" s="1" t="s">
        <v>20796</v>
      </c>
      <c r="G334" s="1" t="s">
        <v>20797</v>
      </c>
      <c r="H334" s="1">
        <v>370</v>
      </c>
      <c r="I334" s="1" t="s">
        <v>8417</v>
      </c>
      <c r="J334" s="1" t="s">
        <v>14198</v>
      </c>
      <c r="K334" s="1" t="s">
        <v>20798</v>
      </c>
      <c r="L334" s="1" t="s">
        <v>20799</v>
      </c>
      <c r="M334" s="1" t="s">
        <v>20800</v>
      </c>
      <c r="N334" s="3" t="s">
        <v>20801</v>
      </c>
    </row>
    <row r="335" spans="1:14" ht="409.6">
      <c r="A335" s="1" t="s">
        <v>20802</v>
      </c>
      <c r="B335" s="1" t="s">
        <v>20803</v>
      </c>
      <c r="C335" s="1" t="s">
        <v>20804</v>
      </c>
      <c r="D335" s="1" t="s">
        <v>20805</v>
      </c>
      <c r="E335" s="1" t="s">
        <v>20806</v>
      </c>
      <c r="F335" s="1" t="s">
        <v>20807</v>
      </c>
      <c r="G335" s="1" t="s">
        <v>20808</v>
      </c>
      <c r="H335" s="1">
        <v>35</v>
      </c>
      <c r="I335" s="1" t="s">
        <v>14572</v>
      </c>
      <c r="J335" s="1" t="s">
        <v>14198</v>
      </c>
      <c r="K335" s="4" t="s">
        <v>20809</v>
      </c>
      <c r="L335" s="1" t="s">
        <v>20810</v>
      </c>
      <c r="M335" s="1" t="s">
        <v>20811</v>
      </c>
      <c r="N335" s="3" t="s">
        <v>20812</v>
      </c>
    </row>
    <row r="336" spans="1:14" ht="13.8">
      <c r="A336" s="1" t="s">
        <v>20813</v>
      </c>
      <c r="B336" s="1" t="s">
        <v>20814</v>
      </c>
      <c r="C336" s="1" t="s">
        <v>20815</v>
      </c>
      <c r="D336" s="1" t="s">
        <v>20816</v>
      </c>
      <c r="E336" s="1" t="s">
        <v>20817</v>
      </c>
      <c r="F336" s="1" t="s">
        <v>20818</v>
      </c>
      <c r="G336" s="1" t="s">
        <v>20819</v>
      </c>
      <c r="H336" s="1">
        <v>30</v>
      </c>
      <c r="I336" s="1" t="s">
        <v>8417</v>
      </c>
      <c r="J336" s="1" t="s">
        <v>15314</v>
      </c>
      <c r="K336" s="1" t="s">
        <v>20820</v>
      </c>
      <c r="L336" s="1" t="s">
        <v>20821</v>
      </c>
      <c r="M336" s="1" t="s">
        <v>20822</v>
      </c>
      <c r="N336" s="3" t="s">
        <v>20823</v>
      </c>
    </row>
    <row r="337" spans="1:14" ht="409.6">
      <c r="A337" s="1" t="s">
        <v>20824</v>
      </c>
      <c r="B337" s="1" t="s">
        <v>20825</v>
      </c>
      <c r="C337" s="1" t="s">
        <v>20826</v>
      </c>
      <c r="D337" s="1" t="s">
        <v>20827</v>
      </c>
      <c r="E337" s="1" t="s">
        <v>20828</v>
      </c>
      <c r="F337" s="1" t="s">
        <v>20829</v>
      </c>
      <c r="G337" s="1" t="s">
        <v>20830</v>
      </c>
      <c r="H337" s="1">
        <v>370</v>
      </c>
      <c r="I337" s="1" t="s">
        <v>14281</v>
      </c>
      <c r="J337" s="1" t="s">
        <v>14198</v>
      </c>
      <c r="K337" s="4" t="s">
        <v>20831</v>
      </c>
      <c r="L337" s="1" t="s">
        <v>20832</v>
      </c>
      <c r="M337" s="1" t="s">
        <v>20833</v>
      </c>
      <c r="N337" s="3" t="s">
        <v>20834</v>
      </c>
    </row>
    <row r="338" spans="1:14" ht="13.8">
      <c r="A338" s="1" t="s">
        <v>20835</v>
      </c>
      <c r="B338" s="1" t="s">
        <v>20836</v>
      </c>
      <c r="C338" s="1" t="s">
        <v>20837</v>
      </c>
      <c r="D338" s="1" t="s">
        <v>20838</v>
      </c>
      <c r="E338" s="1" t="s">
        <v>20839</v>
      </c>
      <c r="F338" s="1" t="s">
        <v>20840</v>
      </c>
      <c r="G338" s="1" t="s">
        <v>20841</v>
      </c>
      <c r="H338" s="1">
        <v>65</v>
      </c>
      <c r="I338" s="1" t="s">
        <v>14281</v>
      </c>
      <c r="J338" s="1" t="s">
        <v>14198</v>
      </c>
      <c r="K338" s="1" t="s">
        <v>20842</v>
      </c>
      <c r="L338" s="1" t="s">
        <v>20843</v>
      </c>
      <c r="M338" s="1" t="s">
        <v>20844</v>
      </c>
      <c r="N338" s="3" t="s">
        <v>20845</v>
      </c>
    </row>
    <row r="339" spans="1:14" ht="13.8">
      <c r="A339" s="1" t="s">
        <v>20846</v>
      </c>
      <c r="B339" s="1" t="s">
        <v>20847</v>
      </c>
      <c r="C339" s="1" t="s">
        <v>20848</v>
      </c>
      <c r="D339" s="1" t="s">
        <v>20849</v>
      </c>
      <c r="E339" s="1" t="s">
        <v>20850</v>
      </c>
      <c r="F339" s="1" t="s">
        <v>20851</v>
      </c>
      <c r="G339" s="1" t="s">
        <v>20852</v>
      </c>
      <c r="H339" s="1">
        <v>76</v>
      </c>
      <c r="I339" s="1" t="s">
        <v>14281</v>
      </c>
      <c r="J339" s="1" t="s">
        <v>15314</v>
      </c>
      <c r="K339" s="1" t="s">
        <v>20853</v>
      </c>
      <c r="L339" s="1" t="s">
        <v>20854</v>
      </c>
      <c r="M339" s="1" t="s">
        <v>20855</v>
      </c>
      <c r="N339" s="3" t="s">
        <v>20856</v>
      </c>
    </row>
    <row r="340" spans="1:14" ht="13.8">
      <c r="A340" s="1" t="s">
        <v>20857</v>
      </c>
      <c r="B340" s="1" t="s">
        <v>20858</v>
      </c>
      <c r="C340" s="1" t="s">
        <v>20859</v>
      </c>
      <c r="D340" s="1" t="s">
        <v>20860</v>
      </c>
      <c r="E340" s="1" t="s">
        <v>20861</v>
      </c>
      <c r="F340" s="1" t="s">
        <v>20862</v>
      </c>
      <c r="G340" s="1" t="s">
        <v>20863</v>
      </c>
      <c r="H340" s="1">
        <v>55</v>
      </c>
      <c r="I340" s="1" t="s">
        <v>14572</v>
      </c>
      <c r="J340" s="1" t="s">
        <v>14382</v>
      </c>
      <c r="K340" s="1" t="s">
        <v>20864</v>
      </c>
      <c r="L340" s="1" t="s">
        <v>20865</v>
      </c>
      <c r="M340" s="1" t="s">
        <v>20866</v>
      </c>
      <c r="N340" s="3" t="s">
        <v>20867</v>
      </c>
    </row>
    <row r="341" spans="1:14" ht="409.6">
      <c r="A341" s="1" t="s">
        <v>20868</v>
      </c>
      <c r="B341" s="1" t="s">
        <v>20869</v>
      </c>
      <c r="C341" s="1" t="s">
        <v>20870</v>
      </c>
      <c r="D341" s="1" t="s">
        <v>20871</v>
      </c>
      <c r="E341" s="1" t="s">
        <v>20872</v>
      </c>
      <c r="F341" s="1" t="s">
        <v>20873</v>
      </c>
      <c r="G341" s="1" t="s">
        <v>20874</v>
      </c>
      <c r="H341" s="1">
        <v>35</v>
      </c>
      <c r="I341" s="1" t="s">
        <v>14572</v>
      </c>
      <c r="J341" s="1" t="s">
        <v>14367</v>
      </c>
      <c r="K341" s="4" t="s">
        <v>20875</v>
      </c>
      <c r="L341" s="1" t="s">
        <v>20876</v>
      </c>
      <c r="M341" s="1" t="s">
        <v>20877</v>
      </c>
      <c r="N341" s="3" t="s">
        <v>20878</v>
      </c>
    </row>
    <row r="342" spans="1:14" ht="409.6">
      <c r="A342" s="1" t="s">
        <v>20879</v>
      </c>
      <c r="B342" s="1" t="s">
        <v>20880</v>
      </c>
      <c r="C342" s="1" t="s">
        <v>20881</v>
      </c>
      <c r="D342" s="1" t="s">
        <v>20882</v>
      </c>
      <c r="E342" s="1" t="s">
        <v>20883</v>
      </c>
      <c r="F342" s="1" t="s">
        <v>20884</v>
      </c>
      <c r="G342" s="1" t="s">
        <v>20885</v>
      </c>
      <c r="H342" s="1">
        <v>25</v>
      </c>
      <c r="I342" s="1" t="s">
        <v>8417</v>
      </c>
      <c r="J342" s="1" t="s">
        <v>14198</v>
      </c>
      <c r="K342" s="4" t="s">
        <v>20886</v>
      </c>
      <c r="L342" s="1" t="s">
        <v>20887</v>
      </c>
      <c r="M342" s="1" t="s">
        <v>20888</v>
      </c>
      <c r="N342" s="3" t="s">
        <v>20889</v>
      </c>
    </row>
    <row r="343" spans="1:14" ht="13.8">
      <c r="A343" s="1" t="s">
        <v>20890</v>
      </c>
      <c r="B343" s="1" t="s">
        <v>20891</v>
      </c>
      <c r="C343" s="1" t="s">
        <v>20892</v>
      </c>
      <c r="D343" s="1" t="s">
        <v>20893</v>
      </c>
      <c r="E343" s="1" t="s">
        <v>20894</v>
      </c>
      <c r="F343" s="1" t="s">
        <v>20895</v>
      </c>
      <c r="G343" s="1" t="s">
        <v>20896</v>
      </c>
      <c r="H343" s="1">
        <v>10</v>
      </c>
      <c r="I343" s="1" t="s">
        <v>14572</v>
      </c>
      <c r="J343" s="1" t="s">
        <v>17937</v>
      </c>
      <c r="K343" s="1" t="s">
        <v>20897</v>
      </c>
      <c r="L343" s="1" t="s">
        <v>20898</v>
      </c>
      <c r="M343" s="1" t="s">
        <v>20899</v>
      </c>
      <c r="N343" s="3" t="s">
        <v>20900</v>
      </c>
    </row>
    <row r="344" spans="1:14" ht="13.8">
      <c r="A344" s="1" t="s">
        <v>20901</v>
      </c>
      <c r="B344" s="1" t="s">
        <v>20902</v>
      </c>
      <c r="C344" s="1" t="s">
        <v>20903</v>
      </c>
      <c r="D344" s="1" t="s">
        <v>20904</v>
      </c>
      <c r="E344" s="1" t="s">
        <v>20905</v>
      </c>
      <c r="F344" s="1" t="s">
        <v>20906</v>
      </c>
      <c r="G344" s="1" t="s">
        <v>20907</v>
      </c>
      <c r="H344" s="1">
        <v>30</v>
      </c>
      <c r="I344" s="1" t="s">
        <v>14572</v>
      </c>
      <c r="J344" s="1" t="s">
        <v>14237</v>
      </c>
      <c r="K344" s="1" t="s">
        <v>20908</v>
      </c>
      <c r="L344" s="1" t="s">
        <v>20909</v>
      </c>
      <c r="M344" s="1" t="s">
        <v>20910</v>
      </c>
      <c r="N344" s="3" t="s">
        <v>20911</v>
      </c>
    </row>
    <row r="345" spans="1:14" ht="13.8">
      <c r="A345" s="1" t="s">
        <v>20912</v>
      </c>
      <c r="B345" s="1" t="s">
        <v>20913</v>
      </c>
      <c r="C345" s="1" t="s">
        <v>20914</v>
      </c>
      <c r="D345" s="1" t="s">
        <v>20915</v>
      </c>
      <c r="E345" s="1" t="s">
        <v>20916</v>
      </c>
      <c r="F345" s="1" t="s">
        <v>20917</v>
      </c>
      <c r="G345" s="1" t="s">
        <v>20918</v>
      </c>
      <c r="H345" s="1">
        <v>40</v>
      </c>
      <c r="I345" s="1" t="s">
        <v>14207</v>
      </c>
      <c r="J345" s="1" t="s">
        <v>14198</v>
      </c>
      <c r="K345" s="1" t="s">
        <v>20919</v>
      </c>
      <c r="L345" s="1" t="s">
        <v>20920</v>
      </c>
      <c r="M345" s="1" t="s">
        <v>20921</v>
      </c>
      <c r="N345" s="3" t="s">
        <v>20922</v>
      </c>
    </row>
    <row r="346" spans="1:14" ht="13.8">
      <c r="A346" s="1" t="s">
        <v>20923</v>
      </c>
      <c r="B346" s="1" t="s">
        <v>20924</v>
      </c>
      <c r="C346" s="1" t="s">
        <v>20925</v>
      </c>
      <c r="D346" s="1" t="s">
        <v>20926</v>
      </c>
      <c r="E346" s="1" t="s">
        <v>20927</v>
      </c>
      <c r="F346" s="1" t="s">
        <v>20928</v>
      </c>
      <c r="G346" s="1" t="s">
        <v>20929</v>
      </c>
      <c r="H346" s="1">
        <v>50</v>
      </c>
      <c r="I346" s="1" t="s">
        <v>14572</v>
      </c>
      <c r="J346" s="1" t="s">
        <v>14198</v>
      </c>
      <c r="K346" s="1" t="s">
        <v>20930</v>
      </c>
      <c r="L346" s="1" t="s">
        <v>20931</v>
      </c>
      <c r="M346" s="1" t="s">
        <v>20932</v>
      </c>
      <c r="N346" s="3" t="s">
        <v>20933</v>
      </c>
    </row>
    <row r="347" spans="1:14" ht="13.8">
      <c r="A347" s="1" t="s">
        <v>20934</v>
      </c>
      <c r="B347" s="1" t="s">
        <v>20935</v>
      </c>
      <c r="C347" s="1" t="s">
        <v>20936</v>
      </c>
      <c r="D347" s="1" t="s">
        <v>20937</v>
      </c>
      <c r="E347" s="1" t="s">
        <v>20938</v>
      </c>
      <c r="F347" s="1" t="s">
        <v>20939</v>
      </c>
      <c r="G347" s="1" t="s">
        <v>20940</v>
      </c>
      <c r="H347" s="1">
        <v>155</v>
      </c>
      <c r="I347" s="1" t="s">
        <v>8417</v>
      </c>
      <c r="J347" s="1" t="s">
        <v>14382</v>
      </c>
      <c r="K347" s="1" t="s">
        <v>20941</v>
      </c>
      <c r="L347" s="1" t="s">
        <v>20942</v>
      </c>
      <c r="M347" s="1" t="s">
        <v>20943</v>
      </c>
      <c r="N347" s="3" t="s">
        <v>20944</v>
      </c>
    </row>
    <row r="348" spans="1:14" ht="409.6">
      <c r="A348" s="1" t="s">
        <v>20945</v>
      </c>
      <c r="B348" s="1" t="s">
        <v>20946</v>
      </c>
      <c r="C348" s="1" t="s">
        <v>20947</v>
      </c>
      <c r="D348" s="1" t="s">
        <v>20948</v>
      </c>
      <c r="E348" s="1" t="s">
        <v>20949</v>
      </c>
      <c r="F348" s="1" t="s">
        <v>20950</v>
      </c>
      <c r="G348" s="1" t="s">
        <v>20951</v>
      </c>
      <c r="H348" s="1">
        <v>60</v>
      </c>
      <c r="I348" s="1" t="s">
        <v>8417</v>
      </c>
      <c r="J348" s="1" t="s">
        <v>14198</v>
      </c>
      <c r="K348" s="1" t="s">
        <v>20952</v>
      </c>
      <c r="L348" s="4" t="s">
        <v>20953</v>
      </c>
      <c r="M348" s="1" t="s">
        <v>20954</v>
      </c>
      <c r="N348" s="3" t="s">
        <v>20955</v>
      </c>
    </row>
    <row r="349" spans="1:14" ht="13.8">
      <c r="A349" s="1" t="s">
        <v>20956</v>
      </c>
      <c r="B349" s="1" t="s">
        <v>20957</v>
      </c>
      <c r="C349" s="1" t="s">
        <v>20958</v>
      </c>
      <c r="D349" s="1" t="s">
        <v>20959</v>
      </c>
      <c r="E349" s="1" t="s">
        <v>20960</v>
      </c>
      <c r="F349" s="1" t="s">
        <v>20961</v>
      </c>
      <c r="G349" s="1" t="s">
        <v>20962</v>
      </c>
      <c r="H349" s="1">
        <v>15</v>
      </c>
      <c r="I349" s="1" t="s">
        <v>14207</v>
      </c>
      <c r="J349" s="1" t="s">
        <v>14338</v>
      </c>
      <c r="K349" s="1" t="s">
        <v>20963</v>
      </c>
      <c r="L349" s="1" t="s">
        <v>20964</v>
      </c>
      <c r="M349" s="1" t="s">
        <v>20965</v>
      </c>
      <c r="N349" s="3" t="s">
        <v>20966</v>
      </c>
    </row>
    <row r="350" spans="1:14" ht="13.8">
      <c r="A350" s="1" t="s">
        <v>20967</v>
      </c>
      <c r="B350" s="1" t="s">
        <v>20968</v>
      </c>
      <c r="C350" s="1" t="s">
        <v>20969</v>
      </c>
      <c r="D350" s="1" t="s">
        <v>20970</v>
      </c>
      <c r="E350" s="1" t="s">
        <v>20971</v>
      </c>
      <c r="F350" s="1" t="s">
        <v>20972</v>
      </c>
      <c r="G350" s="1" t="s">
        <v>20973</v>
      </c>
      <c r="H350" s="1">
        <v>80</v>
      </c>
      <c r="I350" s="1" t="s">
        <v>8417</v>
      </c>
      <c r="J350" s="1" t="s">
        <v>15314</v>
      </c>
      <c r="K350" s="1" t="s">
        <v>20974</v>
      </c>
      <c r="L350" s="1" t="s">
        <v>20975</v>
      </c>
      <c r="M350" s="1" t="s">
        <v>20976</v>
      </c>
      <c r="N350" s="3" t="s">
        <v>20977</v>
      </c>
    </row>
    <row r="351" spans="1:14" ht="409.6">
      <c r="A351" s="1" t="s">
        <v>20978</v>
      </c>
      <c r="B351" s="1" t="s">
        <v>20979</v>
      </c>
      <c r="C351" s="1" t="s">
        <v>20980</v>
      </c>
      <c r="D351" s="1" t="s">
        <v>20981</v>
      </c>
      <c r="E351" s="1" t="s">
        <v>20982</v>
      </c>
      <c r="F351" s="1" t="s">
        <v>20983</v>
      </c>
      <c r="G351" s="1" t="s">
        <v>20984</v>
      </c>
      <c r="H351" s="1">
        <v>10</v>
      </c>
      <c r="I351" s="1" t="s">
        <v>14207</v>
      </c>
      <c r="J351" s="1" t="s">
        <v>14237</v>
      </c>
      <c r="K351" s="4" t="s">
        <v>20985</v>
      </c>
      <c r="L351" s="1" t="s">
        <v>20986</v>
      </c>
      <c r="M351" s="1" t="s">
        <v>20987</v>
      </c>
      <c r="N351" s="3" t="s">
        <v>20988</v>
      </c>
    </row>
    <row r="352" spans="1:14" ht="13.8">
      <c r="A352" s="1" t="s">
        <v>20989</v>
      </c>
      <c r="B352" s="1" t="s">
        <v>20990</v>
      </c>
      <c r="C352" s="1" t="s">
        <v>20991</v>
      </c>
      <c r="D352" s="1" t="s">
        <v>20992</v>
      </c>
      <c r="E352" s="1" t="s">
        <v>20993</v>
      </c>
      <c r="F352" s="1" t="s">
        <v>20994</v>
      </c>
      <c r="G352" s="1" t="s">
        <v>20995</v>
      </c>
      <c r="H352" s="1">
        <v>65</v>
      </c>
      <c r="I352" s="1" t="s">
        <v>14281</v>
      </c>
      <c r="J352" s="1" t="s">
        <v>14198</v>
      </c>
      <c r="K352" s="1" t="s">
        <v>20996</v>
      </c>
      <c r="L352" s="1" t="s">
        <v>20997</v>
      </c>
      <c r="M352" s="1" t="s">
        <v>20998</v>
      </c>
      <c r="N352" s="3" t="s">
        <v>20999</v>
      </c>
    </row>
    <row r="353" spans="1:14" ht="409.6">
      <c r="A353" s="1" t="s">
        <v>21000</v>
      </c>
      <c r="B353" s="1" t="s">
        <v>21001</v>
      </c>
      <c r="C353" s="1" t="s">
        <v>21002</v>
      </c>
      <c r="D353" s="1" t="s">
        <v>21003</v>
      </c>
      <c r="E353" s="1" t="s">
        <v>21004</v>
      </c>
      <c r="F353" s="1" t="s">
        <v>21005</v>
      </c>
      <c r="G353" s="1" t="s">
        <v>21006</v>
      </c>
      <c r="H353" s="1">
        <v>40</v>
      </c>
      <c r="I353" s="1" t="s">
        <v>8417</v>
      </c>
      <c r="J353" s="1" t="s">
        <v>14198</v>
      </c>
      <c r="K353" s="4" t="s">
        <v>21007</v>
      </c>
      <c r="L353" s="1" t="s">
        <v>21008</v>
      </c>
      <c r="M353" s="1" t="s">
        <v>21009</v>
      </c>
      <c r="N353" s="3" t="s">
        <v>21010</v>
      </c>
    </row>
    <row r="354" spans="1:14" ht="13.8">
      <c r="A354" s="1" t="s">
        <v>21011</v>
      </c>
      <c r="B354" s="1" t="s">
        <v>21012</v>
      </c>
      <c r="C354" s="1" t="s">
        <v>21013</v>
      </c>
      <c r="D354" s="1" t="s">
        <v>21014</v>
      </c>
      <c r="E354" s="1" t="s">
        <v>21015</v>
      </c>
      <c r="F354" s="1" t="s">
        <v>21016</v>
      </c>
      <c r="G354" s="1" t="s">
        <v>21017</v>
      </c>
      <c r="H354" s="1">
        <v>45</v>
      </c>
      <c r="I354" s="1" t="s">
        <v>14572</v>
      </c>
      <c r="J354" s="1" t="s">
        <v>14198</v>
      </c>
      <c r="K354" s="1" t="s">
        <v>21018</v>
      </c>
      <c r="L354" s="1" t="s">
        <v>21019</v>
      </c>
      <c r="M354" s="1" t="s">
        <v>21020</v>
      </c>
      <c r="N354" s="3" t="s">
        <v>21021</v>
      </c>
    </row>
    <row r="355" spans="1:14" ht="13.8">
      <c r="A355" s="1" t="s">
        <v>20868</v>
      </c>
      <c r="B355" s="1" t="s">
        <v>21022</v>
      </c>
      <c r="C355" s="1" t="s">
        <v>21023</v>
      </c>
      <c r="D355" s="1" t="s">
        <v>21024</v>
      </c>
      <c r="E355" s="1" t="s">
        <v>21025</v>
      </c>
      <c r="F355" s="1" t="s">
        <v>21026</v>
      </c>
      <c r="G355" s="1" t="s">
        <v>21027</v>
      </c>
      <c r="H355" s="1">
        <v>35</v>
      </c>
      <c r="I355" s="1" t="s">
        <v>14572</v>
      </c>
      <c r="J355" s="1" t="s">
        <v>14367</v>
      </c>
      <c r="K355" s="1" t="s">
        <v>21028</v>
      </c>
      <c r="L355" s="1" t="s">
        <v>21029</v>
      </c>
      <c r="M355" s="1" t="s">
        <v>21030</v>
      </c>
      <c r="N355" s="3" t="s">
        <v>21031</v>
      </c>
    </row>
    <row r="356" spans="1:14" ht="409.6">
      <c r="A356" s="1" t="s">
        <v>21032</v>
      </c>
      <c r="B356" s="1" t="s">
        <v>21033</v>
      </c>
      <c r="C356" s="1" t="s">
        <v>21034</v>
      </c>
      <c r="D356" s="1" t="s">
        <v>21035</v>
      </c>
      <c r="E356" s="1" t="s">
        <v>21036</v>
      </c>
      <c r="F356" s="1" t="s">
        <v>21037</v>
      </c>
      <c r="G356" s="1" t="s">
        <v>21038</v>
      </c>
      <c r="H356" s="1">
        <v>50</v>
      </c>
      <c r="I356" s="1" t="s">
        <v>14281</v>
      </c>
      <c r="J356" s="1" t="s">
        <v>15314</v>
      </c>
      <c r="K356" s="4" t="s">
        <v>21039</v>
      </c>
      <c r="L356" s="1" t="s">
        <v>21040</v>
      </c>
      <c r="M356" s="1" t="s">
        <v>21041</v>
      </c>
      <c r="N356" s="3" t="s">
        <v>21042</v>
      </c>
    </row>
    <row r="357" spans="1:14" ht="13.8">
      <c r="A357" s="1" t="s">
        <v>21043</v>
      </c>
      <c r="B357" s="1" t="s">
        <v>21044</v>
      </c>
      <c r="C357" s="1" t="s">
        <v>21045</v>
      </c>
      <c r="D357" s="1" t="s">
        <v>21046</v>
      </c>
      <c r="E357" s="1" t="s">
        <v>21047</v>
      </c>
      <c r="F357" s="1" t="s">
        <v>21048</v>
      </c>
      <c r="G357" s="1" t="s">
        <v>21049</v>
      </c>
      <c r="H357" s="1">
        <v>40</v>
      </c>
      <c r="I357" s="1" t="s">
        <v>17252</v>
      </c>
      <c r="J357" s="1" t="s">
        <v>15314</v>
      </c>
      <c r="K357" s="1" t="s">
        <v>21050</v>
      </c>
      <c r="L357" s="1" t="s">
        <v>21051</v>
      </c>
      <c r="M357" s="1" t="s">
        <v>21052</v>
      </c>
      <c r="N357" s="3" t="s">
        <v>21053</v>
      </c>
    </row>
    <row r="358" spans="1:14" ht="409.6">
      <c r="A358" s="1" t="s">
        <v>21054</v>
      </c>
      <c r="B358" s="1" t="s">
        <v>21055</v>
      </c>
      <c r="C358" s="1" t="s">
        <v>21056</v>
      </c>
      <c r="D358" s="1" t="s">
        <v>21057</v>
      </c>
      <c r="E358" s="1" t="s">
        <v>21058</v>
      </c>
      <c r="F358" s="1" t="s">
        <v>21059</v>
      </c>
      <c r="G358" s="1" t="s">
        <v>21060</v>
      </c>
      <c r="H358" s="1">
        <v>60</v>
      </c>
      <c r="I358" s="1" t="s">
        <v>14572</v>
      </c>
      <c r="J358" s="1" t="s">
        <v>14198</v>
      </c>
      <c r="K358" s="4" t="s">
        <v>21061</v>
      </c>
      <c r="L358" s="1" t="s">
        <v>21062</v>
      </c>
      <c r="M358" s="1" t="s">
        <v>21063</v>
      </c>
      <c r="N358" s="3" t="s">
        <v>21064</v>
      </c>
    </row>
    <row r="359" spans="1:14" ht="13.8">
      <c r="A359" s="1" t="s">
        <v>21065</v>
      </c>
      <c r="B359" s="1" t="s">
        <v>21066</v>
      </c>
      <c r="C359" s="1" t="s">
        <v>21067</v>
      </c>
      <c r="D359" s="1" t="s">
        <v>21068</v>
      </c>
      <c r="E359" s="1" t="s">
        <v>21069</v>
      </c>
      <c r="F359" s="1" t="s">
        <v>21070</v>
      </c>
      <c r="G359" s="1" t="s">
        <v>21071</v>
      </c>
      <c r="H359" s="1">
        <v>35</v>
      </c>
      <c r="I359" s="1" t="s">
        <v>14572</v>
      </c>
      <c r="J359" s="1" t="s">
        <v>14198</v>
      </c>
      <c r="K359" s="1" t="s">
        <v>21072</v>
      </c>
      <c r="L359" s="1" t="s">
        <v>21073</v>
      </c>
      <c r="M359" s="1" t="s">
        <v>21074</v>
      </c>
      <c r="N359" s="3" t="s">
        <v>21075</v>
      </c>
    </row>
    <row r="360" spans="1:14" ht="13.8">
      <c r="A360" s="1" t="s">
        <v>21076</v>
      </c>
      <c r="B360" s="1" t="s">
        <v>21077</v>
      </c>
      <c r="C360" s="1" t="s">
        <v>21078</v>
      </c>
      <c r="D360" s="1" t="s">
        <v>21079</v>
      </c>
      <c r="E360" s="1" t="s">
        <v>21080</v>
      </c>
      <c r="F360" s="1" t="s">
        <v>21081</v>
      </c>
      <c r="G360" s="1" t="s">
        <v>21082</v>
      </c>
      <c r="H360" s="1">
        <v>40</v>
      </c>
      <c r="I360" s="1" t="s">
        <v>17252</v>
      </c>
      <c r="J360" s="1" t="s">
        <v>14198</v>
      </c>
      <c r="K360" s="1" t="s">
        <v>21083</v>
      </c>
      <c r="L360" s="1" t="s">
        <v>21084</v>
      </c>
      <c r="M360" s="1" t="s">
        <v>21085</v>
      </c>
      <c r="N360" s="3" t="s">
        <v>21086</v>
      </c>
    </row>
    <row r="361" spans="1:14" ht="13.8">
      <c r="A361" s="1" t="s">
        <v>21087</v>
      </c>
      <c r="B361" s="1" t="s">
        <v>21088</v>
      </c>
      <c r="C361" s="1" t="s">
        <v>21089</v>
      </c>
      <c r="D361" s="1" t="s">
        <v>21090</v>
      </c>
      <c r="E361" s="1" t="s">
        <v>21091</v>
      </c>
      <c r="F361" s="1" t="s">
        <v>21092</v>
      </c>
      <c r="G361" s="1" t="s">
        <v>21093</v>
      </c>
      <c r="H361" s="1">
        <v>15</v>
      </c>
      <c r="I361" s="1" t="s">
        <v>14237</v>
      </c>
      <c r="J361" s="1" t="s">
        <v>14198</v>
      </c>
      <c r="K361" s="1" t="s">
        <v>21094</v>
      </c>
      <c r="L361" s="1" t="s">
        <v>21095</v>
      </c>
      <c r="M361" s="1" t="s">
        <v>21096</v>
      </c>
      <c r="N361" s="3" t="s">
        <v>21097</v>
      </c>
    </row>
    <row r="362" spans="1:14" ht="13.8">
      <c r="A362" s="1" t="s">
        <v>21098</v>
      </c>
      <c r="B362" s="1" t="s">
        <v>21099</v>
      </c>
      <c r="C362" s="1" t="s">
        <v>21100</v>
      </c>
      <c r="D362" s="1" t="s">
        <v>21101</v>
      </c>
      <c r="E362" s="1" t="s">
        <v>21102</v>
      </c>
      <c r="F362" s="1" t="s">
        <v>21103</v>
      </c>
      <c r="G362" s="1" t="s">
        <v>21104</v>
      </c>
      <c r="H362" s="1">
        <v>55</v>
      </c>
      <c r="I362" s="1" t="s">
        <v>14207</v>
      </c>
      <c r="J362" s="1" t="s">
        <v>14198</v>
      </c>
      <c r="K362" s="1" t="s">
        <v>21105</v>
      </c>
      <c r="L362" s="1" t="s">
        <v>21106</v>
      </c>
      <c r="M362" s="1" t="s">
        <v>21107</v>
      </c>
      <c r="N362" s="3" t="s">
        <v>21108</v>
      </c>
    </row>
    <row r="363" spans="1:14" ht="13.8">
      <c r="A363" s="1" t="s">
        <v>17466</v>
      </c>
      <c r="B363" s="1" t="s">
        <v>21109</v>
      </c>
      <c r="C363" s="1" t="s">
        <v>21110</v>
      </c>
      <c r="D363" s="1" t="s">
        <v>21111</v>
      </c>
      <c r="E363" s="1" t="s">
        <v>21112</v>
      </c>
      <c r="F363" s="1" t="s">
        <v>21113</v>
      </c>
      <c r="G363" s="1" t="s">
        <v>21114</v>
      </c>
      <c r="H363" s="1">
        <v>25</v>
      </c>
      <c r="I363" s="1" t="s">
        <v>14572</v>
      </c>
      <c r="J363" s="1" t="s">
        <v>14198</v>
      </c>
      <c r="K363" s="1" t="s">
        <v>21115</v>
      </c>
      <c r="L363" s="1" t="s">
        <v>21116</v>
      </c>
      <c r="M363" s="1" t="s">
        <v>21117</v>
      </c>
      <c r="N363" s="3" t="s">
        <v>21118</v>
      </c>
    </row>
    <row r="364" spans="1:14" ht="13.8">
      <c r="A364" s="1" t="s">
        <v>17190</v>
      </c>
      <c r="B364" s="1" t="s">
        <v>21119</v>
      </c>
      <c r="C364" s="1" t="s">
        <v>21120</v>
      </c>
      <c r="D364" s="1" t="s">
        <v>21121</v>
      </c>
      <c r="E364" s="1" t="s">
        <v>21122</v>
      </c>
      <c r="F364" s="1" t="s">
        <v>21123</v>
      </c>
      <c r="G364" s="1" t="s">
        <v>21124</v>
      </c>
      <c r="H364" s="1">
        <v>30</v>
      </c>
      <c r="I364" s="1" t="s">
        <v>14207</v>
      </c>
      <c r="J364" s="1" t="s">
        <v>14198</v>
      </c>
      <c r="K364" s="1" t="s">
        <v>21125</v>
      </c>
      <c r="L364" s="1" t="s">
        <v>21126</v>
      </c>
      <c r="M364" s="1" t="s">
        <v>21127</v>
      </c>
      <c r="N364" s="3" t="s">
        <v>21128</v>
      </c>
    </row>
    <row r="365" spans="1:14" ht="13.8">
      <c r="A365" s="1" t="s">
        <v>21129</v>
      </c>
      <c r="B365" s="1" t="s">
        <v>21130</v>
      </c>
      <c r="C365" s="1" t="s">
        <v>21131</v>
      </c>
      <c r="D365" s="1" t="s">
        <v>21132</v>
      </c>
      <c r="E365" s="1" t="s">
        <v>21133</v>
      </c>
      <c r="F365" s="1" t="s">
        <v>21134</v>
      </c>
      <c r="G365" s="1" t="s">
        <v>21135</v>
      </c>
      <c r="H365" s="1">
        <v>20</v>
      </c>
      <c r="I365" s="1" t="s">
        <v>14207</v>
      </c>
      <c r="J365" s="1" t="s">
        <v>14198</v>
      </c>
      <c r="K365" s="1" t="s">
        <v>21136</v>
      </c>
      <c r="L365" s="1" t="s">
        <v>21137</v>
      </c>
      <c r="M365" s="1" t="s">
        <v>21138</v>
      </c>
      <c r="N365" s="3" t="s">
        <v>21139</v>
      </c>
    </row>
    <row r="366" spans="1:14" ht="13.8">
      <c r="A366" s="1" t="s">
        <v>21140</v>
      </c>
      <c r="B366" s="1" t="s">
        <v>21141</v>
      </c>
      <c r="C366" s="1" t="s">
        <v>21142</v>
      </c>
      <c r="D366" s="1" t="s">
        <v>21143</v>
      </c>
      <c r="E366" s="1" t="s">
        <v>21144</v>
      </c>
      <c r="F366" s="1" t="s">
        <v>21145</v>
      </c>
      <c r="G366" s="1" t="s">
        <v>21146</v>
      </c>
      <c r="H366" s="1">
        <v>100</v>
      </c>
      <c r="I366" s="1" t="s">
        <v>8417</v>
      </c>
      <c r="J366" s="1" t="s">
        <v>14198</v>
      </c>
      <c r="K366" s="1" t="s">
        <v>21147</v>
      </c>
      <c r="L366" s="1" t="s">
        <v>21148</v>
      </c>
      <c r="M366" s="1" t="s">
        <v>21149</v>
      </c>
      <c r="N366" s="3" t="s">
        <v>21150</v>
      </c>
    </row>
    <row r="367" spans="1:14" ht="13.8">
      <c r="A367" s="1" t="s">
        <v>21151</v>
      </c>
      <c r="B367" s="1" t="s">
        <v>21152</v>
      </c>
      <c r="C367" s="1" t="s">
        <v>21153</v>
      </c>
      <c r="D367" s="1" t="s">
        <v>21154</v>
      </c>
      <c r="E367" s="1" t="s">
        <v>21155</v>
      </c>
      <c r="F367" s="1" t="s">
        <v>21156</v>
      </c>
      <c r="G367" s="1" t="s">
        <v>21157</v>
      </c>
      <c r="H367" s="1">
        <v>120</v>
      </c>
      <c r="I367" s="1" t="s">
        <v>14572</v>
      </c>
      <c r="J367" s="1" t="s">
        <v>14198</v>
      </c>
      <c r="K367" s="1" t="s">
        <v>21158</v>
      </c>
      <c r="L367" s="1" t="s">
        <v>21159</v>
      </c>
      <c r="M367" s="1" t="s">
        <v>21160</v>
      </c>
      <c r="N367" s="3" t="s">
        <v>21161</v>
      </c>
    </row>
    <row r="368" spans="1:14" ht="409.6">
      <c r="A368" s="1" t="s">
        <v>21162</v>
      </c>
      <c r="B368" s="1" t="s">
        <v>21163</v>
      </c>
      <c r="C368" s="1" t="s">
        <v>21164</v>
      </c>
      <c r="D368" s="1" t="s">
        <v>21165</v>
      </c>
      <c r="E368" s="1" t="s">
        <v>21166</v>
      </c>
      <c r="F368" s="1" t="s">
        <v>21167</v>
      </c>
      <c r="G368" s="1" t="s">
        <v>21168</v>
      </c>
      <c r="H368" s="1">
        <v>100</v>
      </c>
      <c r="I368" s="1" t="s">
        <v>8417</v>
      </c>
      <c r="J368" s="1" t="s">
        <v>15314</v>
      </c>
      <c r="K368" s="4" t="s">
        <v>21169</v>
      </c>
      <c r="L368" s="1" t="s">
        <v>21170</v>
      </c>
      <c r="M368" s="1" t="s">
        <v>21171</v>
      </c>
      <c r="N368" s="3" t="s">
        <v>21172</v>
      </c>
    </row>
    <row r="369" spans="1:14" ht="13.8">
      <c r="A369" s="1" t="s">
        <v>21173</v>
      </c>
      <c r="B369" s="1" t="s">
        <v>21174</v>
      </c>
      <c r="C369" s="1" t="s">
        <v>21175</v>
      </c>
      <c r="D369" s="1" t="s">
        <v>21176</v>
      </c>
      <c r="E369" s="1" t="s">
        <v>21177</v>
      </c>
      <c r="F369" s="1" t="s">
        <v>21178</v>
      </c>
      <c r="G369" s="1" t="s">
        <v>21179</v>
      </c>
      <c r="H369" s="1">
        <v>35</v>
      </c>
      <c r="I369" s="1" t="s">
        <v>14572</v>
      </c>
      <c r="J369" s="1" t="s">
        <v>14208</v>
      </c>
      <c r="K369" s="1" t="s">
        <v>21180</v>
      </c>
      <c r="L369" s="1" t="s">
        <v>21181</v>
      </c>
      <c r="M369" s="1" t="s">
        <v>21182</v>
      </c>
      <c r="N369" s="3" t="s">
        <v>21183</v>
      </c>
    </row>
    <row r="370" spans="1:14" ht="13.8">
      <c r="A370" s="1" t="s">
        <v>21184</v>
      </c>
      <c r="B370" s="1" t="s">
        <v>21185</v>
      </c>
      <c r="C370" s="1" t="s">
        <v>21186</v>
      </c>
      <c r="D370" s="1" t="s">
        <v>21187</v>
      </c>
      <c r="E370" s="1" t="s">
        <v>21188</v>
      </c>
      <c r="F370" s="1" t="s">
        <v>21189</v>
      </c>
      <c r="G370" s="1" t="s">
        <v>21190</v>
      </c>
      <c r="H370" s="1">
        <v>30</v>
      </c>
      <c r="I370" s="1" t="s">
        <v>14281</v>
      </c>
      <c r="J370" s="1" t="s">
        <v>14198</v>
      </c>
      <c r="K370" s="1" t="s">
        <v>21191</v>
      </c>
      <c r="L370" s="1" t="s">
        <v>21192</v>
      </c>
      <c r="M370" s="1" t="s">
        <v>21193</v>
      </c>
      <c r="N370" s="3" t="s">
        <v>21194</v>
      </c>
    </row>
    <row r="371" spans="1:14" ht="409.6">
      <c r="A371" s="1" t="s">
        <v>21195</v>
      </c>
      <c r="B371" s="1" t="s">
        <v>21196</v>
      </c>
      <c r="C371" s="1" t="s">
        <v>21197</v>
      </c>
      <c r="D371" s="1" t="s">
        <v>21198</v>
      </c>
      <c r="E371" s="1" t="s">
        <v>21199</v>
      </c>
      <c r="F371" s="1" t="s">
        <v>21200</v>
      </c>
      <c r="G371" s="1" t="s">
        <v>21201</v>
      </c>
      <c r="H371" s="1">
        <v>40</v>
      </c>
      <c r="I371" s="1" t="s">
        <v>429</v>
      </c>
      <c r="J371" s="1" t="s">
        <v>14198</v>
      </c>
      <c r="K371" s="4" t="s">
        <v>21202</v>
      </c>
      <c r="L371" s="1" t="s">
        <v>21203</v>
      </c>
      <c r="M371" s="1" t="s">
        <v>21204</v>
      </c>
      <c r="N371" s="3" t="s">
        <v>21205</v>
      </c>
    </row>
    <row r="372" spans="1:14" ht="409.6">
      <c r="A372" s="1" t="s">
        <v>21206</v>
      </c>
      <c r="B372" s="1" t="s">
        <v>21207</v>
      </c>
      <c r="C372" s="1" t="s">
        <v>21208</v>
      </c>
      <c r="D372" s="1" t="s">
        <v>21209</v>
      </c>
      <c r="E372" s="1" t="s">
        <v>21210</v>
      </c>
      <c r="F372" s="1" t="s">
        <v>21211</v>
      </c>
      <c r="G372" s="1" t="s">
        <v>21212</v>
      </c>
      <c r="H372" s="1">
        <v>410</v>
      </c>
      <c r="I372" s="1" t="s">
        <v>14259</v>
      </c>
      <c r="J372" s="1" t="s">
        <v>14198</v>
      </c>
      <c r="K372" s="4" t="s">
        <v>21213</v>
      </c>
      <c r="L372" s="1" t="s">
        <v>21214</v>
      </c>
      <c r="M372" s="1" t="s">
        <v>21215</v>
      </c>
      <c r="N372" s="3" t="s">
        <v>21216</v>
      </c>
    </row>
    <row r="373" spans="1:14" ht="13.8">
      <c r="A373" s="1" t="s">
        <v>21217</v>
      </c>
      <c r="B373" s="1" t="s">
        <v>21218</v>
      </c>
      <c r="C373" s="1" t="s">
        <v>21219</v>
      </c>
      <c r="D373" s="1" t="s">
        <v>21220</v>
      </c>
      <c r="E373" s="1" t="s">
        <v>21221</v>
      </c>
      <c r="F373" s="1" t="s">
        <v>21222</v>
      </c>
      <c r="G373" s="1" t="s">
        <v>21223</v>
      </c>
      <c r="H373" s="1">
        <v>45</v>
      </c>
      <c r="I373" s="1" t="s">
        <v>8417</v>
      </c>
      <c r="J373" s="1" t="s">
        <v>14198</v>
      </c>
      <c r="K373" s="1" t="s">
        <v>21224</v>
      </c>
      <c r="L373" s="1" t="s">
        <v>21225</v>
      </c>
      <c r="M373" s="1" t="s">
        <v>21226</v>
      </c>
      <c r="N373" s="3" t="s">
        <v>21227</v>
      </c>
    </row>
    <row r="374" spans="1:14" ht="13.8">
      <c r="A374" s="1" t="s">
        <v>21228</v>
      </c>
      <c r="B374" s="1" t="s">
        <v>21229</v>
      </c>
      <c r="C374" s="1" t="s">
        <v>21230</v>
      </c>
      <c r="D374" s="1" t="s">
        <v>21231</v>
      </c>
      <c r="E374" s="1" t="s">
        <v>21232</v>
      </c>
      <c r="F374" s="1" t="s">
        <v>21233</v>
      </c>
      <c r="G374" s="1" t="s">
        <v>21234</v>
      </c>
      <c r="H374" s="1">
        <v>50</v>
      </c>
      <c r="I374" s="1" t="s">
        <v>17252</v>
      </c>
      <c r="J374" s="1" t="s">
        <v>15102</v>
      </c>
      <c r="K374" s="1" t="s">
        <v>21235</v>
      </c>
      <c r="L374" s="1" t="s">
        <v>21236</v>
      </c>
      <c r="M374" s="1" t="s">
        <v>21237</v>
      </c>
      <c r="N374" s="3" t="s">
        <v>21238</v>
      </c>
    </row>
    <row r="375" spans="1:14" ht="409.6">
      <c r="A375" s="1" t="s">
        <v>21239</v>
      </c>
      <c r="B375" s="1" t="s">
        <v>21240</v>
      </c>
      <c r="C375" s="1" t="s">
        <v>21241</v>
      </c>
      <c r="D375" s="1" t="s">
        <v>21242</v>
      </c>
      <c r="E375" s="1" t="s">
        <v>21243</v>
      </c>
      <c r="F375" s="1" t="s">
        <v>21244</v>
      </c>
      <c r="G375" s="1" t="s">
        <v>21245</v>
      </c>
      <c r="H375" s="1">
        <v>45</v>
      </c>
      <c r="I375" s="1" t="s">
        <v>14259</v>
      </c>
      <c r="J375" s="1" t="s">
        <v>14382</v>
      </c>
      <c r="K375" s="4" t="s">
        <v>21246</v>
      </c>
      <c r="L375" s="1" t="s">
        <v>21247</v>
      </c>
      <c r="M375" s="1" t="s">
        <v>21248</v>
      </c>
      <c r="N375" s="3" t="s">
        <v>21249</v>
      </c>
    </row>
    <row r="376" spans="1:14" ht="13.8">
      <c r="A376" s="1" t="s">
        <v>21250</v>
      </c>
      <c r="B376" s="1" t="s">
        <v>21251</v>
      </c>
      <c r="C376" s="1" t="s">
        <v>21252</v>
      </c>
      <c r="D376" s="1" t="s">
        <v>21253</v>
      </c>
      <c r="E376" s="1" t="s">
        <v>21254</v>
      </c>
      <c r="F376" s="1" t="s">
        <v>21255</v>
      </c>
      <c r="G376" s="1" t="s">
        <v>21256</v>
      </c>
      <c r="H376" s="1">
        <v>60</v>
      </c>
      <c r="I376" s="1" t="s">
        <v>14281</v>
      </c>
      <c r="J376" s="1" t="s">
        <v>14198</v>
      </c>
      <c r="K376" s="1" t="s">
        <v>21257</v>
      </c>
      <c r="L376" s="1" t="s">
        <v>21258</v>
      </c>
      <c r="M376" s="1" t="s">
        <v>21259</v>
      </c>
      <c r="N376" s="3" t="s">
        <v>21260</v>
      </c>
    </row>
    <row r="377" spans="1:14" ht="13.8">
      <c r="A377" s="1" t="s">
        <v>21261</v>
      </c>
      <c r="B377" s="1" t="s">
        <v>21262</v>
      </c>
      <c r="C377" s="1" t="s">
        <v>21263</v>
      </c>
      <c r="D377" s="1" t="s">
        <v>21264</v>
      </c>
      <c r="E377" s="1" t="s">
        <v>21265</v>
      </c>
      <c r="F377" s="1" t="s">
        <v>21266</v>
      </c>
      <c r="G377" s="1" t="s">
        <v>21267</v>
      </c>
      <c r="H377" s="1">
        <v>35</v>
      </c>
      <c r="I377" s="1" t="s">
        <v>14281</v>
      </c>
      <c r="J377" s="1" t="s">
        <v>14198</v>
      </c>
      <c r="K377" s="1" t="s">
        <v>21268</v>
      </c>
      <c r="L377" s="1" t="s">
        <v>21269</v>
      </c>
      <c r="M377" s="1" t="s">
        <v>21270</v>
      </c>
      <c r="N377" s="3" t="s">
        <v>21271</v>
      </c>
    </row>
    <row r="378" spans="1:14" ht="13.8">
      <c r="A378" s="1" t="s">
        <v>21272</v>
      </c>
      <c r="B378" s="1" t="s">
        <v>21273</v>
      </c>
      <c r="C378" s="1" t="s">
        <v>21274</v>
      </c>
      <c r="D378" s="1" t="s">
        <v>21275</v>
      </c>
      <c r="E378" s="1" t="s">
        <v>21276</v>
      </c>
      <c r="F378" s="1" t="s">
        <v>21277</v>
      </c>
      <c r="G378" s="1" t="s">
        <v>21278</v>
      </c>
      <c r="H378" s="1">
        <v>60</v>
      </c>
      <c r="I378" s="1" t="s">
        <v>8417</v>
      </c>
      <c r="J378" s="1" t="s">
        <v>14198</v>
      </c>
      <c r="K378" s="1" t="s">
        <v>21279</v>
      </c>
      <c r="L378" s="1" t="s">
        <v>21280</v>
      </c>
      <c r="M378" s="1" t="s">
        <v>21281</v>
      </c>
      <c r="N378" s="3" t="s">
        <v>21282</v>
      </c>
    </row>
    <row r="379" spans="1:14" ht="13.8">
      <c r="A379" s="1" t="s">
        <v>21283</v>
      </c>
      <c r="B379" s="1" t="s">
        <v>21284</v>
      </c>
      <c r="C379" s="1" t="s">
        <v>21285</v>
      </c>
      <c r="D379" s="1" t="s">
        <v>21286</v>
      </c>
      <c r="E379" s="1" t="s">
        <v>21287</v>
      </c>
      <c r="F379" s="1" t="s">
        <v>21288</v>
      </c>
      <c r="G379" s="1" t="s">
        <v>21289</v>
      </c>
      <c r="H379" s="1">
        <v>15</v>
      </c>
      <c r="I379" s="1" t="s">
        <v>14281</v>
      </c>
      <c r="J379" s="1" t="s">
        <v>14237</v>
      </c>
      <c r="K379" s="1" t="s">
        <v>21290</v>
      </c>
      <c r="L379" s="1" t="s">
        <v>21291</v>
      </c>
      <c r="M379" s="1" t="s">
        <v>21292</v>
      </c>
      <c r="N379" s="3" t="s">
        <v>21293</v>
      </c>
    </row>
    <row r="380" spans="1:14" ht="13.8">
      <c r="A380" s="1" t="s">
        <v>21294</v>
      </c>
      <c r="B380" s="1" t="s">
        <v>21295</v>
      </c>
      <c r="C380" s="1" t="s">
        <v>21296</v>
      </c>
      <c r="D380" s="1" t="s">
        <v>21297</v>
      </c>
      <c r="E380" s="1" t="s">
        <v>21298</v>
      </c>
      <c r="F380" s="1" t="s">
        <v>21299</v>
      </c>
      <c r="G380" s="1" t="s">
        <v>21300</v>
      </c>
      <c r="H380" s="1">
        <v>11</v>
      </c>
      <c r="I380" s="1" t="s">
        <v>14572</v>
      </c>
      <c r="J380" s="1" t="s">
        <v>14198</v>
      </c>
      <c r="K380" s="1" t="s">
        <v>21301</v>
      </c>
      <c r="L380" s="1" t="s">
        <v>21302</v>
      </c>
      <c r="M380" s="1" t="s">
        <v>21303</v>
      </c>
      <c r="N380" s="3" t="s">
        <v>21304</v>
      </c>
    </row>
    <row r="381" spans="1:14" ht="13.8">
      <c r="A381" s="1" t="s">
        <v>21305</v>
      </c>
      <c r="B381" s="1" t="s">
        <v>21306</v>
      </c>
      <c r="C381" s="1" t="s">
        <v>21307</v>
      </c>
      <c r="D381" s="1" t="s">
        <v>21308</v>
      </c>
      <c r="E381" s="1" t="s">
        <v>21309</v>
      </c>
      <c r="F381" s="1" t="s">
        <v>21310</v>
      </c>
      <c r="G381" s="1" t="s">
        <v>21311</v>
      </c>
      <c r="H381" s="1">
        <v>25</v>
      </c>
      <c r="I381" s="1" t="s">
        <v>14572</v>
      </c>
      <c r="J381" s="1" t="s">
        <v>15102</v>
      </c>
      <c r="K381" s="1" t="s">
        <v>21312</v>
      </c>
      <c r="L381" s="1" t="s">
        <v>21313</v>
      </c>
      <c r="M381" s="1" t="s">
        <v>21314</v>
      </c>
      <c r="N381" s="3" t="s">
        <v>21315</v>
      </c>
    </row>
    <row r="382" spans="1:14" ht="409.6">
      <c r="A382" s="1" t="s">
        <v>21316</v>
      </c>
      <c r="B382" s="1" t="s">
        <v>21317</v>
      </c>
      <c r="C382" s="1" t="s">
        <v>21318</v>
      </c>
      <c r="D382" s="1" t="s">
        <v>21319</v>
      </c>
      <c r="E382" s="1" t="s">
        <v>21320</v>
      </c>
      <c r="F382" s="1" t="s">
        <v>21321</v>
      </c>
      <c r="G382" s="1" t="s">
        <v>21322</v>
      </c>
      <c r="H382" s="1">
        <v>25</v>
      </c>
      <c r="I382" s="1" t="s">
        <v>17252</v>
      </c>
      <c r="J382" s="1" t="s">
        <v>14198</v>
      </c>
      <c r="K382" s="4" t="s">
        <v>21323</v>
      </c>
      <c r="L382" s="1" t="s">
        <v>21324</v>
      </c>
      <c r="M382" s="1" t="s">
        <v>21325</v>
      </c>
      <c r="N382" s="3" t="s">
        <v>21326</v>
      </c>
    </row>
    <row r="383" spans="1:14" ht="409.6">
      <c r="A383" s="1" t="s">
        <v>21327</v>
      </c>
      <c r="B383" s="1" t="s">
        <v>21328</v>
      </c>
      <c r="C383" s="1" t="s">
        <v>21329</v>
      </c>
      <c r="D383" s="1" t="s">
        <v>21330</v>
      </c>
      <c r="E383" s="1" t="s">
        <v>21331</v>
      </c>
      <c r="F383" s="1" t="s">
        <v>21332</v>
      </c>
      <c r="G383" s="1" t="s">
        <v>21333</v>
      </c>
      <c r="H383" s="1">
        <v>100</v>
      </c>
      <c r="I383" s="1" t="s">
        <v>14259</v>
      </c>
      <c r="J383" s="1" t="s">
        <v>14198</v>
      </c>
      <c r="K383" s="1" t="s">
        <v>21334</v>
      </c>
      <c r="L383" s="1" t="s">
        <v>21335</v>
      </c>
      <c r="M383" s="4" t="s">
        <v>21336</v>
      </c>
      <c r="N383" s="3" t="s">
        <v>21337</v>
      </c>
    </row>
    <row r="384" spans="1:14" ht="13.8">
      <c r="A384" s="1" t="s">
        <v>21338</v>
      </c>
      <c r="B384" s="1" t="s">
        <v>21339</v>
      </c>
      <c r="C384" s="1" t="s">
        <v>21340</v>
      </c>
      <c r="D384" s="1" t="s">
        <v>21341</v>
      </c>
      <c r="E384" s="1" t="s">
        <v>21342</v>
      </c>
      <c r="F384" s="1" t="s">
        <v>21343</v>
      </c>
      <c r="G384" s="1" t="s">
        <v>21344</v>
      </c>
      <c r="H384" s="1">
        <v>50</v>
      </c>
      <c r="I384" s="1" t="s">
        <v>8417</v>
      </c>
      <c r="J384" s="1" t="s">
        <v>14198</v>
      </c>
      <c r="K384" s="1" t="s">
        <v>21345</v>
      </c>
      <c r="L384" s="1" t="s">
        <v>21346</v>
      </c>
      <c r="M384" s="1" t="s">
        <v>21347</v>
      </c>
      <c r="N384" s="3" t="s">
        <v>21348</v>
      </c>
    </row>
    <row r="385" spans="1:14" ht="13.8">
      <c r="A385" s="1" t="s">
        <v>21349</v>
      </c>
      <c r="B385" s="1" t="s">
        <v>21350</v>
      </c>
      <c r="C385" s="1" t="s">
        <v>21351</v>
      </c>
      <c r="D385" s="1" t="s">
        <v>21352</v>
      </c>
      <c r="E385" s="1" t="s">
        <v>21353</v>
      </c>
      <c r="F385" s="1" t="s">
        <v>21354</v>
      </c>
      <c r="G385" s="1" t="s">
        <v>21355</v>
      </c>
      <c r="H385" s="1">
        <v>30</v>
      </c>
      <c r="I385" s="1" t="s">
        <v>429</v>
      </c>
      <c r="J385" s="1" t="s">
        <v>14198</v>
      </c>
      <c r="K385" s="1" t="s">
        <v>21356</v>
      </c>
      <c r="L385" s="1" t="s">
        <v>21357</v>
      </c>
      <c r="M385" s="1" t="s">
        <v>21358</v>
      </c>
      <c r="N385" s="3" t="s">
        <v>21359</v>
      </c>
    </row>
    <row r="386" spans="1:14" ht="13.8">
      <c r="A386" s="1" t="s">
        <v>21360</v>
      </c>
      <c r="B386" s="1" t="s">
        <v>21361</v>
      </c>
      <c r="C386" s="1" t="s">
        <v>21362</v>
      </c>
      <c r="D386" s="1" t="s">
        <v>21363</v>
      </c>
      <c r="E386" s="1" t="s">
        <v>21364</v>
      </c>
      <c r="F386" s="1" t="s">
        <v>21365</v>
      </c>
      <c r="G386" s="1" t="s">
        <v>21366</v>
      </c>
      <c r="H386" s="1">
        <v>35</v>
      </c>
      <c r="I386" s="1" t="s">
        <v>17252</v>
      </c>
      <c r="J386" s="1" t="s">
        <v>15314</v>
      </c>
      <c r="K386" s="1" t="s">
        <v>21367</v>
      </c>
      <c r="L386" s="1" t="s">
        <v>21368</v>
      </c>
      <c r="M386" s="1" t="s">
        <v>21369</v>
      </c>
      <c r="N386" s="3" t="s">
        <v>21370</v>
      </c>
    </row>
    <row r="387" spans="1:14" ht="409.6">
      <c r="A387" s="1" t="s">
        <v>21371</v>
      </c>
      <c r="B387" s="1" t="s">
        <v>21372</v>
      </c>
      <c r="C387" s="1" t="s">
        <v>21373</v>
      </c>
      <c r="D387" s="1" t="s">
        <v>21374</v>
      </c>
      <c r="E387" s="1" t="s">
        <v>21375</v>
      </c>
      <c r="F387" s="1" t="s">
        <v>21376</v>
      </c>
      <c r="G387" s="1" t="s">
        <v>21377</v>
      </c>
      <c r="H387" s="1">
        <v>90</v>
      </c>
      <c r="I387" s="1" t="s">
        <v>14281</v>
      </c>
      <c r="J387" s="1" t="s">
        <v>14237</v>
      </c>
      <c r="K387" s="4" t="s">
        <v>21378</v>
      </c>
      <c r="L387" s="1" t="s">
        <v>21379</v>
      </c>
      <c r="M387" s="1" t="s">
        <v>21380</v>
      </c>
      <c r="N387" s="3" t="s">
        <v>21381</v>
      </c>
    </row>
    <row r="388" spans="1:14" ht="13.8">
      <c r="A388" s="1" t="s">
        <v>21382</v>
      </c>
      <c r="B388" s="1" t="s">
        <v>21383</v>
      </c>
      <c r="C388" s="1" t="s">
        <v>21384</v>
      </c>
      <c r="D388" s="1" t="s">
        <v>21385</v>
      </c>
      <c r="E388" s="1" t="s">
        <v>21386</v>
      </c>
      <c r="F388" s="1" t="s">
        <v>21387</v>
      </c>
      <c r="G388" s="1" t="s">
        <v>21388</v>
      </c>
      <c r="H388" s="1">
        <v>270</v>
      </c>
      <c r="I388" s="1" t="s">
        <v>17252</v>
      </c>
      <c r="J388" s="1" t="s">
        <v>14198</v>
      </c>
      <c r="K388" s="1" t="s">
        <v>21389</v>
      </c>
      <c r="L388" s="1" t="s">
        <v>21390</v>
      </c>
      <c r="M388" s="1" t="s">
        <v>21391</v>
      </c>
      <c r="N388" s="3" t="s">
        <v>21392</v>
      </c>
    </row>
    <row r="389" spans="1:14" ht="409.6">
      <c r="A389" s="1" t="s">
        <v>21393</v>
      </c>
      <c r="B389" s="1" t="s">
        <v>21394</v>
      </c>
      <c r="C389" s="1" t="s">
        <v>21395</v>
      </c>
      <c r="D389" s="1" t="s">
        <v>21396</v>
      </c>
      <c r="E389" s="1" t="s">
        <v>21397</v>
      </c>
      <c r="F389" s="1" t="s">
        <v>21398</v>
      </c>
      <c r="G389" s="1" t="s">
        <v>21399</v>
      </c>
      <c r="H389" s="1">
        <v>15</v>
      </c>
      <c r="I389" s="1" t="s">
        <v>8417</v>
      </c>
      <c r="J389" s="1" t="s">
        <v>14198</v>
      </c>
      <c r="K389" s="4" t="s">
        <v>21400</v>
      </c>
      <c r="L389" s="1" t="s">
        <v>21401</v>
      </c>
      <c r="M389" s="1" t="s">
        <v>21402</v>
      </c>
      <c r="N389" s="3" t="s">
        <v>21403</v>
      </c>
    </row>
    <row r="390" spans="1:14" ht="13.8">
      <c r="A390" s="1" t="s">
        <v>21404</v>
      </c>
      <c r="B390" s="1" t="s">
        <v>21405</v>
      </c>
      <c r="C390" s="1" t="s">
        <v>21406</v>
      </c>
      <c r="D390" s="1" t="s">
        <v>21407</v>
      </c>
      <c r="E390" s="1" t="s">
        <v>21408</v>
      </c>
      <c r="F390" s="1" t="s">
        <v>21409</v>
      </c>
      <c r="G390" s="1" t="s">
        <v>21410</v>
      </c>
      <c r="H390" s="1">
        <v>20</v>
      </c>
      <c r="I390" s="1" t="s">
        <v>15760</v>
      </c>
      <c r="J390" s="1" t="s">
        <v>14367</v>
      </c>
      <c r="K390" s="1" t="s">
        <v>21411</v>
      </c>
      <c r="L390" s="1" t="s">
        <v>21412</v>
      </c>
      <c r="M390" s="1" t="s">
        <v>21413</v>
      </c>
      <c r="N390" s="3" t="s">
        <v>21414</v>
      </c>
    </row>
    <row r="391" spans="1:14" ht="13.8">
      <c r="A391" s="1" t="s">
        <v>21415</v>
      </c>
      <c r="B391" s="1" t="s">
        <v>21416</v>
      </c>
      <c r="C391" s="1" t="s">
        <v>21417</v>
      </c>
      <c r="D391" s="1" t="s">
        <v>21418</v>
      </c>
      <c r="E391" s="1" t="s">
        <v>21419</v>
      </c>
      <c r="F391" s="1" t="s">
        <v>21420</v>
      </c>
      <c r="G391" s="1" t="s">
        <v>21421</v>
      </c>
      <c r="H391" s="1">
        <v>40</v>
      </c>
      <c r="I391" s="1" t="s">
        <v>14207</v>
      </c>
      <c r="J391" s="1" t="s">
        <v>14198</v>
      </c>
      <c r="K391" s="1" t="s">
        <v>21422</v>
      </c>
      <c r="L391" s="1" t="s">
        <v>21423</v>
      </c>
      <c r="M391" s="1" t="s">
        <v>21424</v>
      </c>
      <c r="N391" s="3" t="s">
        <v>21425</v>
      </c>
    </row>
    <row r="392" spans="1:14" ht="409.6">
      <c r="A392" s="1" t="s">
        <v>21426</v>
      </c>
      <c r="B392" s="1" t="s">
        <v>21427</v>
      </c>
      <c r="C392" s="1" t="s">
        <v>21428</v>
      </c>
      <c r="D392" s="1" t="s">
        <v>21429</v>
      </c>
      <c r="E392" s="1" t="s">
        <v>21430</v>
      </c>
      <c r="F392" s="1" t="s">
        <v>21431</v>
      </c>
      <c r="G392" s="1" t="s">
        <v>21432</v>
      </c>
      <c r="H392" s="1">
        <v>30</v>
      </c>
      <c r="I392" s="1" t="s">
        <v>14198</v>
      </c>
      <c r="J392" s="1" t="s">
        <v>14237</v>
      </c>
      <c r="K392" s="4" t="s">
        <v>21433</v>
      </c>
      <c r="L392" s="1" t="s">
        <v>21434</v>
      </c>
      <c r="M392" s="1" t="s">
        <v>21435</v>
      </c>
      <c r="N392" s="3" t="s">
        <v>21436</v>
      </c>
    </row>
    <row r="393" spans="1:14" ht="13.8">
      <c r="A393" s="1" t="s">
        <v>21437</v>
      </c>
      <c r="B393" s="1" t="s">
        <v>21438</v>
      </c>
      <c r="C393" s="1" t="s">
        <v>21439</v>
      </c>
      <c r="D393" s="1" t="s">
        <v>21440</v>
      </c>
      <c r="E393" s="1" t="s">
        <v>21441</v>
      </c>
      <c r="F393" s="1" t="s">
        <v>21442</v>
      </c>
      <c r="G393" s="1" t="s">
        <v>21443</v>
      </c>
      <c r="H393" s="1">
        <v>30</v>
      </c>
      <c r="I393" s="1" t="s">
        <v>429</v>
      </c>
      <c r="J393" s="1" t="s">
        <v>14198</v>
      </c>
      <c r="K393" s="1" t="s">
        <v>21444</v>
      </c>
      <c r="L393" s="1" t="s">
        <v>21445</v>
      </c>
      <c r="M393" s="1" t="s">
        <v>21446</v>
      </c>
      <c r="N393" s="3" t="s">
        <v>21447</v>
      </c>
    </row>
    <row r="394" spans="1:14" ht="13.8">
      <c r="A394" s="1" t="s">
        <v>21448</v>
      </c>
      <c r="B394" s="1" t="s">
        <v>21449</v>
      </c>
      <c r="C394" s="1" t="s">
        <v>21450</v>
      </c>
      <c r="D394" s="1" t="s">
        <v>21451</v>
      </c>
      <c r="E394" s="1" t="s">
        <v>21452</v>
      </c>
      <c r="F394" s="1" t="s">
        <v>21453</v>
      </c>
      <c r="G394" s="1" t="s">
        <v>21454</v>
      </c>
      <c r="H394" s="1">
        <v>50</v>
      </c>
      <c r="I394" s="1" t="s">
        <v>8417</v>
      </c>
      <c r="J394" s="1" t="s">
        <v>14198</v>
      </c>
      <c r="K394" s="1" t="s">
        <v>21455</v>
      </c>
      <c r="L394" s="1" t="s">
        <v>21456</v>
      </c>
      <c r="M394" s="1" t="s">
        <v>21457</v>
      </c>
      <c r="N394" s="3" t="s">
        <v>21458</v>
      </c>
    </row>
    <row r="395" spans="1:14" ht="409.6">
      <c r="A395" s="1" t="s">
        <v>21459</v>
      </c>
      <c r="B395" s="1" t="s">
        <v>21460</v>
      </c>
      <c r="C395" s="1" t="s">
        <v>21461</v>
      </c>
      <c r="D395" s="1" t="s">
        <v>21462</v>
      </c>
      <c r="E395" s="1" t="s">
        <v>21463</v>
      </c>
      <c r="F395" s="1" t="s">
        <v>21464</v>
      </c>
      <c r="G395" s="1" t="s">
        <v>21465</v>
      </c>
      <c r="H395" s="1">
        <v>30</v>
      </c>
      <c r="I395" s="1" t="s">
        <v>14198</v>
      </c>
      <c r="J395" s="1" t="s">
        <v>14338</v>
      </c>
      <c r="K395" s="4" t="s">
        <v>21466</v>
      </c>
      <c r="L395" s="1" t="s">
        <v>21467</v>
      </c>
      <c r="M395" s="1" t="s">
        <v>21468</v>
      </c>
      <c r="N395" s="3" t="s">
        <v>21469</v>
      </c>
    </row>
    <row r="396" spans="1:14" ht="13.8">
      <c r="A396" s="1" t="s">
        <v>21470</v>
      </c>
      <c r="B396" s="1" t="s">
        <v>21471</v>
      </c>
      <c r="C396" s="1" t="s">
        <v>21472</v>
      </c>
      <c r="D396" s="1" t="s">
        <v>21473</v>
      </c>
      <c r="E396" s="1" t="s">
        <v>21474</v>
      </c>
      <c r="F396" s="1" t="s">
        <v>21475</v>
      </c>
      <c r="G396" s="1" t="s">
        <v>21476</v>
      </c>
      <c r="H396" s="1">
        <v>15</v>
      </c>
      <c r="I396" s="1" t="s">
        <v>14572</v>
      </c>
      <c r="J396" s="1" t="s">
        <v>14198</v>
      </c>
      <c r="K396" s="1" t="s">
        <v>21477</v>
      </c>
      <c r="L396" s="1" t="s">
        <v>21478</v>
      </c>
      <c r="M396" s="1" t="s">
        <v>21479</v>
      </c>
      <c r="N396" s="3" t="s">
        <v>21480</v>
      </c>
    </row>
    <row r="397" spans="1:14" ht="13.8">
      <c r="A397" s="1" t="s">
        <v>21481</v>
      </c>
      <c r="B397" s="1" t="s">
        <v>21482</v>
      </c>
      <c r="C397" s="1" t="s">
        <v>21483</v>
      </c>
      <c r="D397" s="1" t="s">
        <v>21484</v>
      </c>
      <c r="E397" s="1" t="s">
        <v>21485</v>
      </c>
      <c r="F397" s="1" t="s">
        <v>21486</v>
      </c>
      <c r="G397" s="1" t="s">
        <v>21487</v>
      </c>
      <c r="H397" s="1">
        <v>40</v>
      </c>
      <c r="I397" s="1" t="s">
        <v>14259</v>
      </c>
      <c r="J397" s="1" t="s">
        <v>14198</v>
      </c>
      <c r="K397" s="1" t="s">
        <v>21488</v>
      </c>
      <c r="L397" s="1" t="s">
        <v>21489</v>
      </c>
      <c r="M397" s="1" t="s">
        <v>21490</v>
      </c>
      <c r="N397" s="3" t="s">
        <v>21491</v>
      </c>
    </row>
    <row r="398" spans="1:14" ht="13.8">
      <c r="A398" s="1" t="s">
        <v>21492</v>
      </c>
      <c r="B398" s="1" t="s">
        <v>21493</v>
      </c>
      <c r="C398" s="1" t="s">
        <v>21494</v>
      </c>
      <c r="D398" s="1" t="s">
        <v>21495</v>
      </c>
      <c r="E398" s="1" t="s">
        <v>21496</v>
      </c>
      <c r="F398" s="1" t="s">
        <v>21497</v>
      </c>
      <c r="G398" s="1" t="s">
        <v>21498</v>
      </c>
      <c r="H398" s="1">
        <v>35</v>
      </c>
      <c r="I398" s="1" t="s">
        <v>8417</v>
      </c>
      <c r="J398" s="1" t="s">
        <v>14198</v>
      </c>
      <c r="K398" s="1" t="s">
        <v>21499</v>
      </c>
      <c r="L398" s="1" t="s">
        <v>21500</v>
      </c>
      <c r="M398" s="1" t="s">
        <v>21501</v>
      </c>
      <c r="N398" s="3" t="s">
        <v>21502</v>
      </c>
    </row>
    <row r="399" spans="1:14" ht="13.8">
      <c r="A399" s="1" t="s">
        <v>21503</v>
      </c>
      <c r="B399" s="1" t="s">
        <v>21504</v>
      </c>
      <c r="C399" s="1" t="s">
        <v>21505</v>
      </c>
      <c r="D399" s="1" t="s">
        <v>21506</v>
      </c>
      <c r="E399" s="1" t="s">
        <v>21507</v>
      </c>
      <c r="F399" s="1" t="s">
        <v>21508</v>
      </c>
      <c r="G399" s="1" t="s">
        <v>21509</v>
      </c>
      <c r="H399" s="1">
        <v>160</v>
      </c>
      <c r="I399" s="1" t="s">
        <v>14259</v>
      </c>
      <c r="J399" s="1" t="s">
        <v>14382</v>
      </c>
      <c r="K399" s="1" t="s">
        <v>21510</v>
      </c>
      <c r="L399" s="1" t="s">
        <v>21511</v>
      </c>
      <c r="M399" s="1" t="s">
        <v>21512</v>
      </c>
      <c r="N399" s="3" t="s">
        <v>21513</v>
      </c>
    </row>
    <row r="400" spans="1:14" ht="409.6">
      <c r="A400" s="1" t="s">
        <v>21514</v>
      </c>
      <c r="B400" s="1" t="s">
        <v>21515</v>
      </c>
      <c r="C400" s="1" t="s">
        <v>21516</v>
      </c>
      <c r="D400" s="1" t="s">
        <v>21517</v>
      </c>
      <c r="E400" s="1" t="s">
        <v>21518</v>
      </c>
      <c r="F400" s="1" t="s">
        <v>21519</v>
      </c>
      <c r="G400" s="1" t="s">
        <v>21520</v>
      </c>
      <c r="H400" s="1">
        <v>55</v>
      </c>
      <c r="I400" s="1" t="s">
        <v>14572</v>
      </c>
      <c r="J400" s="1" t="s">
        <v>14382</v>
      </c>
      <c r="K400" s="4" t="s">
        <v>21521</v>
      </c>
      <c r="L400" s="1" t="s">
        <v>21522</v>
      </c>
      <c r="M400" s="1" t="s">
        <v>21523</v>
      </c>
      <c r="N400" s="3" t="s">
        <v>21524</v>
      </c>
    </row>
    <row r="401" spans="1:14" ht="409.6">
      <c r="A401" s="1" t="s">
        <v>21525</v>
      </c>
      <c r="B401" s="1" t="s">
        <v>21526</v>
      </c>
      <c r="C401" s="1" t="s">
        <v>21527</v>
      </c>
      <c r="D401" s="1" t="s">
        <v>21528</v>
      </c>
      <c r="E401" s="1" t="s">
        <v>21529</v>
      </c>
      <c r="F401" s="1" t="s">
        <v>21530</v>
      </c>
      <c r="G401" s="1" t="s">
        <v>21531</v>
      </c>
      <c r="H401" s="1">
        <v>60</v>
      </c>
      <c r="I401" s="1" t="s">
        <v>429</v>
      </c>
      <c r="J401" s="1" t="s">
        <v>14198</v>
      </c>
      <c r="K401" s="4" t="s">
        <v>21532</v>
      </c>
      <c r="L401" s="1" t="s">
        <v>21533</v>
      </c>
      <c r="M401" s="1" t="s">
        <v>21534</v>
      </c>
      <c r="N401" s="3" t="s">
        <v>21535</v>
      </c>
    </row>
    <row r="402" spans="1:14" ht="13.8">
      <c r="A402" s="1" t="s">
        <v>21536</v>
      </c>
      <c r="B402" s="1" t="s">
        <v>21537</v>
      </c>
      <c r="C402" s="1" t="s">
        <v>21538</v>
      </c>
      <c r="D402" s="1" t="s">
        <v>21539</v>
      </c>
      <c r="E402" s="1" t="s">
        <v>21540</v>
      </c>
      <c r="F402" s="1" t="s">
        <v>21541</v>
      </c>
      <c r="G402" s="1" t="s">
        <v>21542</v>
      </c>
      <c r="H402" s="1">
        <v>120</v>
      </c>
      <c r="I402" s="1" t="s">
        <v>14207</v>
      </c>
      <c r="J402" s="1" t="s">
        <v>14198</v>
      </c>
      <c r="K402" s="1" t="s">
        <v>21543</v>
      </c>
      <c r="L402" s="1" t="s">
        <v>21544</v>
      </c>
      <c r="M402" s="1" t="s">
        <v>21545</v>
      </c>
      <c r="N402" s="3" t="s">
        <v>21546</v>
      </c>
    </row>
    <row r="403" spans="1:14" ht="409.6">
      <c r="A403" s="1" t="s">
        <v>21547</v>
      </c>
      <c r="B403" s="1" t="s">
        <v>21548</v>
      </c>
      <c r="C403" s="1" t="s">
        <v>21549</v>
      </c>
      <c r="D403" s="1" t="s">
        <v>21550</v>
      </c>
      <c r="E403" s="1" t="s">
        <v>21551</v>
      </c>
      <c r="F403" s="1" t="s">
        <v>21552</v>
      </c>
      <c r="G403" s="1" t="s">
        <v>21553</v>
      </c>
      <c r="H403" s="1">
        <v>40</v>
      </c>
      <c r="I403" s="1" t="s">
        <v>14281</v>
      </c>
      <c r="J403" s="1" t="s">
        <v>14198</v>
      </c>
      <c r="K403" s="4" t="s">
        <v>21554</v>
      </c>
      <c r="L403" s="1" t="s">
        <v>21555</v>
      </c>
      <c r="M403" s="1" t="s">
        <v>21556</v>
      </c>
      <c r="N403" s="3" t="s">
        <v>21557</v>
      </c>
    </row>
    <row r="404" spans="1:14" ht="13.8">
      <c r="A404" s="1" t="s">
        <v>21558</v>
      </c>
      <c r="B404" s="1" t="s">
        <v>21559</v>
      </c>
      <c r="C404" s="1" t="s">
        <v>21560</v>
      </c>
      <c r="D404" s="1" t="s">
        <v>21561</v>
      </c>
      <c r="E404" s="1" t="s">
        <v>21562</v>
      </c>
      <c r="F404" s="1" t="s">
        <v>21563</v>
      </c>
      <c r="G404" s="1" t="s">
        <v>21564</v>
      </c>
      <c r="H404" s="1">
        <v>45</v>
      </c>
      <c r="I404" s="1" t="s">
        <v>14572</v>
      </c>
      <c r="J404" s="1" t="s">
        <v>14198</v>
      </c>
      <c r="K404" s="1" t="s">
        <v>21565</v>
      </c>
      <c r="L404" s="1" t="s">
        <v>21566</v>
      </c>
      <c r="M404" s="1" t="s">
        <v>21567</v>
      </c>
      <c r="N404" s="3" t="s">
        <v>21568</v>
      </c>
    </row>
    <row r="405" spans="1:14" ht="13.8">
      <c r="A405" s="1" t="s">
        <v>21569</v>
      </c>
      <c r="B405" s="1" t="s">
        <v>21570</v>
      </c>
      <c r="C405" s="1" t="s">
        <v>21571</v>
      </c>
      <c r="D405" s="1" t="s">
        <v>21572</v>
      </c>
      <c r="E405" s="1" t="s">
        <v>21573</v>
      </c>
      <c r="F405" s="1" t="s">
        <v>21574</v>
      </c>
      <c r="G405" s="1" t="s">
        <v>21575</v>
      </c>
      <c r="H405" s="1">
        <v>15</v>
      </c>
      <c r="I405" s="1" t="s">
        <v>17252</v>
      </c>
      <c r="J405" s="1" t="s">
        <v>15314</v>
      </c>
      <c r="K405" s="1" t="s">
        <v>21576</v>
      </c>
      <c r="L405" s="1" t="s">
        <v>21577</v>
      </c>
      <c r="M405" s="1" t="s">
        <v>21578</v>
      </c>
      <c r="N405" s="3" t="s">
        <v>21579</v>
      </c>
    </row>
    <row r="406" spans="1:14" ht="13.8">
      <c r="A406" s="1" t="s">
        <v>21558</v>
      </c>
      <c r="B406" s="1" t="s">
        <v>21580</v>
      </c>
      <c r="C406" s="1" t="s">
        <v>21581</v>
      </c>
      <c r="D406" s="1" t="s">
        <v>21582</v>
      </c>
      <c r="E406" s="1" t="s">
        <v>21583</v>
      </c>
      <c r="F406" s="1" t="s">
        <v>21584</v>
      </c>
      <c r="G406" s="1" t="s">
        <v>21585</v>
      </c>
      <c r="H406" s="1">
        <v>45</v>
      </c>
      <c r="I406" s="1" t="s">
        <v>14572</v>
      </c>
      <c r="J406" s="1" t="s">
        <v>14198</v>
      </c>
      <c r="K406" s="1" t="s">
        <v>21586</v>
      </c>
      <c r="L406" s="1" t="s">
        <v>21587</v>
      </c>
      <c r="M406" s="1" t="s">
        <v>21588</v>
      </c>
      <c r="N406" s="3" t="s">
        <v>21589</v>
      </c>
    </row>
    <row r="407" spans="1:14" ht="409.6">
      <c r="A407" s="1" t="s">
        <v>21590</v>
      </c>
      <c r="B407" s="1" t="s">
        <v>21591</v>
      </c>
      <c r="C407" s="1" t="s">
        <v>21592</v>
      </c>
      <c r="D407" s="1" t="s">
        <v>21593</v>
      </c>
      <c r="E407" s="1" t="s">
        <v>21594</v>
      </c>
      <c r="F407" s="1" t="s">
        <v>21595</v>
      </c>
      <c r="G407" s="1" t="s">
        <v>21596</v>
      </c>
      <c r="H407" s="1">
        <v>35</v>
      </c>
      <c r="I407" s="1" t="s">
        <v>145</v>
      </c>
      <c r="J407" s="1" t="s">
        <v>14198</v>
      </c>
      <c r="K407" s="4" t="s">
        <v>21597</v>
      </c>
      <c r="L407" s="1" t="s">
        <v>21598</v>
      </c>
      <c r="M407" s="1" t="s">
        <v>21599</v>
      </c>
      <c r="N407" s="3" t="s">
        <v>21600</v>
      </c>
    </row>
    <row r="408" spans="1:14" ht="409.6">
      <c r="A408" s="1" t="s">
        <v>21601</v>
      </c>
      <c r="B408" s="1" t="s">
        <v>21602</v>
      </c>
      <c r="C408" s="1" t="s">
        <v>21603</v>
      </c>
      <c r="D408" s="1" t="s">
        <v>21604</v>
      </c>
      <c r="E408" s="1" t="s">
        <v>21605</v>
      </c>
      <c r="F408" s="1" t="s">
        <v>21606</v>
      </c>
      <c r="G408" s="1" t="s">
        <v>21607</v>
      </c>
      <c r="H408" s="1">
        <v>50</v>
      </c>
      <c r="I408" s="1" t="s">
        <v>8417</v>
      </c>
      <c r="J408" s="1" t="s">
        <v>14198</v>
      </c>
      <c r="K408" s="4" t="s">
        <v>21608</v>
      </c>
      <c r="L408" s="1" t="s">
        <v>21609</v>
      </c>
      <c r="M408" s="1" t="s">
        <v>21610</v>
      </c>
      <c r="N408" s="3" t="s">
        <v>21611</v>
      </c>
    </row>
    <row r="409" spans="1:14" ht="13.8">
      <c r="A409" s="1" t="s">
        <v>21612</v>
      </c>
      <c r="B409" s="1" t="s">
        <v>21613</v>
      </c>
      <c r="C409" s="1" t="s">
        <v>21614</v>
      </c>
      <c r="D409" s="1" t="s">
        <v>21615</v>
      </c>
      <c r="E409" s="1" t="s">
        <v>21616</v>
      </c>
      <c r="F409" s="1" t="s">
        <v>21617</v>
      </c>
      <c r="G409" s="1" t="s">
        <v>21618</v>
      </c>
      <c r="H409" s="1">
        <v>20</v>
      </c>
      <c r="I409" s="1" t="s">
        <v>8417</v>
      </c>
      <c r="J409" s="1" t="s">
        <v>14198</v>
      </c>
      <c r="K409" s="1" t="s">
        <v>21619</v>
      </c>
      <c r="L409" s="1" t="s">
        <v>21620</v>
      </c>
      <c r="M409" s="1" t="s">
        <v>21621</v>
      </c>
      <c r="N409" s="3" t="s">
        <v>21622</v>
      </c>
    </row>
    <row r="410" spans="1:14" ht="13.8">
      <c r="A410" s="1" t="s">
        <v>21623</v>
      </c>
      <c r="B410" s="1" t="s">
        <v>21624</v>
      </c>
      <c r="C410" s="1" t="s">
        <v>21625</v>
      </c>
      <c r="D410" s="1" t="s">
        <v>21626</v>
      </c>
      <c r="E410" s="1" t="s">
        <v>21627</v>
      </c>
      <c r="F410" s="1" t="s">
        <v>21628</v>
      </c>
      <c r="G410" s="1" t="s">
        <v>21629</v>
      </c>
      <c r="H410" s="1">
        <v>22</v>
      </c>
      <c r="I410" s="1" t="s">
        <v>14281</v>
      </c>
      <c r="J410" s="1" t="s">
        <v>14198</v>
      </c>
      <c r="K410" s="1" t="s">
        <v>21630</v>
      </c>
      <c r="L410" s="1" t="s">
        <v>21631</v>
      </c>
      <c r="M410" s="1" t="s">
        <v>21632</v>
      </c>
      <c r="N410" s="3" t="s">
        <v>21633</v>
      </c>
    </row>
    <row r="411" spans="1:14" ht="13.8">
      <c r="A411" s="1" t="s">
        <v>21634</v>
      </c>
      <c r="B411" s="1" t="s">
        <v>21635</v>
      </c>
      <c r="C411" s="1" t="s">
        <v>21636</v>
      </c>
      <c r="D411" s="1" t="s">
        <v>21637</v>
      </c>
      <c r="E411" s="1" t="s">
        <v>21638</v>
      </c>
      <c r="F411" s="1" t="s">
        <v>21639</v>
      </c>
      <c r="G411" s="1" t="s">
        <v>21640</v>
      </c>
      <c r="H411" s="1">
        <v>30</v>
      </c>
      <c r="I411" s="1" t="s">
        <v>14281</v>
      </c>
      <c r="J411" s="1" t="s">
        <v>14198</v>
      </c>
      <c r="K411" s="1" t="s">
        <v>21641</v>
      </c>
      <c r="L411" s="1" t="s">
        <v>21642</v>
      </c>
      <c r="M411" s="1" t="s">
        <v>21643</v>
      </c>
      <c r="N411" s="3" t="s">
        <v>21644</v>
      </c>
    </row>
    <row r="412" spans="1:14" ht="409.6">
      <c r="A412" s="1" t="s">
        <v>21645</v>
      </c>
      <c r="B412" s="1" t="s">
        <v>21646</v>
      </c>
      <c r="C412" s="1" t="s">
        <v>21647</v>
      </c>
      <c r="D412" s="1" t="s">
        <v>21648</v>
      </c>
      <c r="E412" s="1" t="s">
        <v>21649</v>
      </c>
      <c r="F412" s="1" t="s">
        <v>21650</v>
      </c>
      <c r="G412" s="1" t="s">
        <v>21651</v>
      </c>
      <c r="H412" s="1">
        <v>15</v>
      </c>
      <c r="I412" s="1" t="s">
        <v>14198</v>
      </c>
      <c r="J412" s="1" t="s">
        <v>14198</v>
      </c>
      <c r="K412" s="4" t="s">
        <v>21652</v>
      </c>
      <c r="L412" s="1" t="s">
        <v>21653</v>
      </c>
      <c r="M412" s="1" t="s">
        <v>21654</v>
      </c>
      <c r="N412" s="3" t="s">
        <v>21655</v>
      </c>
    </row>
    <row r="413" spans="1:14" ht="409.6">
      <c r="A413" s="1" t="s">
        <v>21656</v>
      </c>
      <c r="B413" s="1" t="s">
        <v>21657</v>
      </c>
      <c r="C413" s="1" t="s">
        <v>21658</v>
      </c>
      <c r="D413" s="1" t="s">
        <v>21659</v>
      </c>
      <c r="E413" s="1" t="s">
        <v>21660</v>
      </c>
      <c r="F413" s="1" t="s">
        <v>21661</v>
      </c>
      <c r="G413" s="1" t="s">
        <v>21662</v>
      </c>
      <c r="H413" s="1">
        <v>45</v>
      </c>
      <c r="I413" s="1" t="s">
        <v>17252</v>
      </c>
      <c r="J413" s="1" t="s">
        <v>15314</v>
      </c>
      <c r="K413" s="4" t="s">
        <v>21663</v>
      </c>
      <c r="L413" s="1" t="s">
        <v>21664</v>
      </c>
      <c r="M413" s="1" t="s">
        <v>21665</v>
      </c>
      <c r="N413" s="3" t="s">
        <v>21666</v>
      </c>
    </row>
    <row r="414" spans="1:14" ht="13.8">
      <c r="A414" s="1" t="s">
        <v>21667</v>
      </c>
      <c r="B414" s="1" t="s">
        <v>21668</v>
      </c>
      <c r="C414" s="1" t="s">
        <v>21669</v>
      </c>
      <c r="D414" s="1" t="s">
        <v>21670</v>
      </c>
      <c r="E414" s="1" t="s">
        <v>21671</v>
      </c>
      <c r="F414" s="1" t="s">
        <v>21672</v>
      </c>
      <c r="G414" s="1" t="s">
        <v>21673</v>
      </c>
      <c r="H414" s="1">
        <v>35</v>
      </c>
      <c r="I414" s="1" t="s">
        <v>8417</v>
      </c>
      <c r="J414" s="1" t="s">
        <v>15314</v>
      </c>
      <c r="K414" s="1" t="s">
        <v>21674</v>
      </c>
      <c r="L414" s="1" t="s">
        <v>21675</v>
      </c>
      <c r="M414" s="1" t="s">
        <v>21676</v>
      </c>
      <c r="N414" s="3" t="s">
        <v>21677</v>
      </c>
    </row>
    <row r="415" spans="1:14" ht="409.6">
      <c r="A415" s="1" t="s">
        <v>21678</v>
      </c>
      <c r="B415" s="1" t="s">
        <v>21679</v>
      </c>
      <c r="C415" s="1" t="s">
        <v>21680</v>
      </c>
      <c r="D415" s="1" t="s">
        <v>21681</v>
      </c>
      <c r="E415" s="1" t="s">
        <v>21682</v>
      </c>
      <c r="F415" s="1" t="s">
        <v>21683</v>
      </c>
      <c r="G415" s="1" t="s">
        <v>21684</v>
      </c>
      <c r="H415" s="1">
        <v>20</v>
      </c>
      <c r="I415" s="1" t="s">
        <v>145</v>
      </c>
      <c r="J415" s="1" t="s">
        <v>14198</v>
      </c>
      <c r="K415" s="4" t="s">
        <v>21685</v>
      </c>
      <c r="L415" s="1" t="s">
        <v>21686</v>
      </c>
      <c r="M415" s="1" t="s">
        <v>21687</v>
      </c>
      <c r="N415" s="3" t="s">
        <v>21688</v>
      </c>
    </row>
    <row r="416" spans="1:14" ht="13.8">
      <c r="A416" s="1" t="s">
        <v>21689</v>
      </c>
      <c r="B416" s="1" t="s">
        <v>21690</v>
      </c>
      <c r="C416" s="1" t="s">
        <v>21691</v>
      </c>
      <c r="D416" s="1" t="s">
        <v>21692</v>
      </c>
      <c r="E416" s="1" t="s">
        <v>21693</v>
      </c>
      <c r="F416" s="1" t="s">
        <v>21694</v>
      </c>
      <c r="G416" s="1" t="s">
        <v>21695</v>
      </c>
      <c r="H416" s="1">
        <v>10</v>
      </c>
      <c r="I416" s="1" t="s">
        <v>14281</v>
      </c>
      <c r="J416" s="1" t="s">
        <v>14198</v>
      </c>
      <c r="K416" s="1" t="s">
        <v>21696</v>
      </c>
      <c r="L416" s="1" t="s">
        <v>21697</v>
      </c>
      <c r="M416" s="1" t="s">
        <v>21698</v>
      </c>
      <c r="N416" s="3" t="s">
        <v>21699</v>
      </c>
    </row>
    <row r="417" spans="1:14" ht="409.6">
      <c r="A417" s="1" t="s">
        <v>21700</v>
      </c>
      <c r="B417" s="1" t="s">
        <v>21701</v>
      </c>
      <c r="C417" s="1" t="s">
        <v>21702</v>
      </c>
      <c r="D417" s="1" t="s">
        <v>21703</v>
      </c>
      <c r="E417" s="1" t="s">
        <v>21704</v>
      </c>
      <c r="F417" s="1" t="s">
        <v>21705</v>
      </c>
      <c r="G417" s="1" t="s">
        <v>21706</v>
      </c>
      <c r="H417" s="1">
        <v>10</v>
      </c>
      <c r="I417" s="1" t="s">
        <v>14207</v>
      </c>
      <c r="J417" s="1" t="s">
        <v>14198</v>
      </c>
      <c r="K417" s="4" t="s">
        <v>21707</v>
      </c>
      <c r="L417" s="1" t="s">
        <v>21708</v>
      </c>
      <c r="M417" s="1" t="s">
        <v>21709</v>
      </c>
      <c r="N417" s="3" t="s">
        <v>21710</v>
      </c>
    </row>
    <row r="418" spans="1:14" ht="409.6">
      <c r="A418" s="1" t="s">
        <v>21711</v>
      </c>
      <c r="B418" s="1" t="s">
        <v>21712</v>
      </c>
      <c r="C418" s="1" t="s">
        <v>21713</v>
      </c>
      <c r="D418" s="1" t="s">
        <v>21714</v>
      </c>
      <c r="E418" s="1" t="s">
        <v>21715</v>
      </c>
      <c r="F418" s="1" t="s">
        <v>21716</v>
      </c>
      <c r="G418" s="1" t="s">
        <v>21717</v>
      </c>
      <c r="H418" s="1">
        <v>55</v>
      </c>
      <c r="I418" s="1" t="s">
        <v>14281</v>
      </c>
      <c r="J418" s="1" t="s">
        <v>14198</v>
      </c>
      <c r="K418" s="4" t="s">
        <v>21718</v>
      </c>
      <c r="L418" s="1" t="s">
        <v>21719</v>
      </c>
      <c r="M418" s="1" t="s">
        <v>21720</v>
      </c>
      <c r="N418" s="3" t="s">
        <v>21721</v>
      </c>
    </row>
    <row r="419" spans="1:14" ht="409.6">
      <c r="A419" s="1" t="s">
        <v>21722</v>
      </c>
      <c r="B419" s="1" t="s">
        <v>21723</v>
      </c>
      <c r="C419" s="1" t="s">
        <v>21724</v>
      </c>
      <c r="D419" s="1" t="s">
        <v>21725</v>
      </c>
      <c r="E419" s="1" t="s">
        <v>21726</v>
      </c>
      <c r="F419" s="1" t="s">
        <v>21727</v>
      </c>
      <c r="G419" s="1" t="s">
        <v>21728</v>
      </c>
      <c r="H419" s="1">
        <v>500</v>
      </c>
      <c r="I419" s="1" t="s">
        <v>8417</v>
      </c>
      <c r="J419" s="1" t="s">
        <v>14198</v>
      </c>
      <c r="K419" s="4" t="s">
        <v>21729</v>
      </c>
      <c r="L419" s="1" t="s">
        <v>21730</v>
      </c>
      <c r="M419" s="1" t="s">
        <v>21731</v>
      </c>
      <c r="N419" s="3" t="s">
        <v>21732</v>
      </c>
    </row>
    <row r="420" spans="1:14" ht="13.8">
      <c r="A420" s="1" t="s">
        <v>21733</v>
      </c>
      <c r="B420" s="1" t="s">
        <v>21734</v>
      </c>
      <c r="C420" s="1" t="s">
        <v>21735</v>
      </c>
      <c r="D420" s="1" t="s">
        <v>21736</v>
      </c>
      <c r="E420" s="1" t="s">
        <v>21737</v>
      </c>
      <c r="F420" s="1" t="s">
        <v>21738</v>
      </c>
      <c r="G420" s="1" t="s">
        <v>21739</v>
      </c>
      <c r="H420" s="1">
        <v>30</v>
      </c>
      <c r="I420" s="1" t="s">
        <v>17252</v>
      </c>
      <c r="J420" s="1" t="s">
        <v>14198</v>
      </c>
      <c r="K420" s="1" t="s">
        <v>21740</v>
      </c>
      <c r="L420" s="1" t="s">
        <v>21741</v>
      </c>
      <c r="M420" s="1" t="s">
        <v>21742</v>
      </c>
      <c r="N420" s="3" t="s">
        <v>21743</v>
      </c>
    </row>
    <row r="421" spans="1:14" ht="13.8">
      <c r="A421" s="1" t="s">
        <v>21744</v>
      </c>
      <c r="B421" s="1" t="s">
        <v>21745</v>
      </c>
      <c r="C421" s="1" t="s">
        <v>21746</v>
      </c>
      <c r="D421" s="1" t="s">
        <v>21747</v>
      </c>
      <c r="E421" s="1" t="s">
        <v>21748</v>
      </c>
      <c r="F421" s="1" t="s">
        <v>21749</v>
      </c>
      <c r="G421" s="1" t="s">
        <v>21750</v>
      </c>
      <c r="H421" s="1">
        <v>20</v>
      </c>
      <c r="I421" s="1" t="s">
        <v>17252</v>
      </c>
      <c r="J421" s="1" t="s">
        <v>14198</v>
      </c>
      <c r="K421" s="1" t="s">
        <v>21751</v>
      </c>
      <c r="L421" s="1" t="s">
        <v>21752</v>
      </c>
      <c r="M421" s="1" t="s">
        <v>21753</v>
      </c>
      <c r="N421" s="3" t="s">
        <v>21754</v>
      </c>
    </row>
    <row r="422" spans="1:14" ht="409.6">
      <c r="A422" s="1" t="s">
        <v>21755</v>
      </c>
      <c r="B422" s="1" t="s">
        <v>21756</v>
      </c>
      <c r="C422" s="1" t="s">
        <v>21757</v>
      </c>
      <c r="D422" s="1" t="s">
        <v>21758</v>
      </c>
      <c r="E422" s="1" t="s">
        <v>21759</v>
      </c>
      <c r="F422" s="1" t="s">
        <v>21760</v>
      </c>
      <c r="G422" s="1" t="s">
        <v>21761</v>
      </c>
      <c r="H422" s="1">
        <v>80</v>
      </c>
      <c r="I422" s="1" t="s">
        <v>8417</v>
      </c>
      <c r="J422" s="1" t="s">
        <v>14198</v>
      </c>
      <c r="K422" s="4" t="s">
        <v>21762</v>
      </c>
      <c r="L422" s="1" t="s">
        <v>21763</v>
      </c>
      <c r="M422" s="1" t="s">
        <v>21764</v>
      </c>
      <c r="N422" s="3" t="s">
        <v>21765</v>
      </c>
    </row>
    <row r="423" spans="1:14" ht="13.8">
      <c r="A423" s="1" t="s">
        <v>21766</v>
      </c>
      <c r="B423" s="1" t="s">
        <v>21767</v>
      </c>
      <c r="C423" s="1" t="s">
        <v>21768</v>
      </c>
      <c r="D423" s="1" t="s">
        <v>21769</v>
      </c>
      <c r="E423" s="1" t="s">
        <v>21770</v>
      </c>
      <c r="F423" s="1" t="s">
        <v>21771</v>
      </c>
      <c r="G423" s="1" t="s">
        <v>21772</v>
      </c>
      <c r="H423" s="1">
        <v>20</v>
      </c>
      <c r="I423" s="1" t="s">
        <v>14281</v>
      </c>
      <c r="J423" s="1" t="s">
        <v>17937</v>
      </c>
      <c r="K423" s="1" t="s">
        <v>21773</v>
      </c>
      <c r="L423" s="1" t="s">
        <v>21774</v>
      </c>
      <c r="M423" s="1" t="s">
        <v>21775</v>
      </c>
      <c r="N423" s="3" t="s">
        <v>21776</v>
      </c>
    </row>
    <row r="424" spans="1:14" ht="409.6">
      <c r="A424" s="1" t="s">
        <v>21777</v>
      </c>
      <c r="B424" s="1" t="s">
        <v>21778</v>
      </c>
      <c r="C424" s="1" t="s">
        <v>21779</v>
      </c>
      <c r="D424" s="1" t="s">
        <v>21780</v>
      </c>
      <c r="E424" s="1" t="s">
        <v>21781</v>
      </c>
      <c r="F424" s="1" t="s">
        <v>21782</v>
      </c>
      <c r="G424" s="1" t="s">
        <v>21783</v>
      </c>
      <c r="H424" s="1">
        <v>15</v>
      </c>
      <c r="I424" s="1" t="s">
        <v>14572</v>
      </c>
      <c r="J424" s="1" t="s">
        <v>14198</v>
      </c>
      <c r="K424" s="4" t="s">
        <v>21784</v>
      </c>
      <c r="L424" s="1" t="s">
        <v>21785</v>
      </c>
      <c r="M424" s="1" t="s">
        <v>21786</v>
      </c>
      <c r="N424" s="3" t="s">
        <v>21787</v>
      </c>
    </row>
    <row r="425" spans="1:14" ht="13.8">
      <c r="A425" s="1" t="s">
        <v>21788</v>
      </c>
      <c r="B425" s="1" t="s">
        <v>21789</v>
      </c>
      <c r="C425" s="1" t="s">
        <v>21790</v>
      </c>
      <c r="D425" s="1" t="s">
        <v>21791</v>
      </c>
      <c r="E425" s="1" t="s">
        <v>21792</v>
      </c>
      <c r="F425" s="1" t="s">
        <v>21793</v>
      </c>
      <c r="G425" s="1" t="s">
        <v>21794</v>
      </c>
      <c r="H425" s="1">
        <v>25</v>
      </c>
      <c r="I425" s="1" t="s">
        <v>145</v>
      </c>
      <c r="J425" s="1" t="s">
        <v>14198</v>
      </c>
      <c r="K425" s="1" t="s">
        <v>21795</v>
      </c>
      <c r="L425" s="1" t="s">
        <v>21796</v>
      </c>
      <c r="M425" s="1" t="s">
        <v>21797</v>
      </c>
      <c r="N425" s="3" t="s">
        <v>21798</v>
      </c>
    </row>
    <row r="426" spans="1:14" ht="409.6">
      <c r="A426" s="1" t="s">
        <v>21799</v>
      </c>
      <c r="B426" s="1" t="s">
        <v>21800</v>
      </c>
      <c r="C426" s="1" t="s">
        <v>21801</v>
      </c>
      <c r="D426" s="1" t="s">
        <v>21802</v>
      </c>
      <c r="E426" s="1" t="s">
        <v>21803</v>
      </c>
      <c r="F426" s="1" t="s">
        <v>21804</v>
      </c>
      <c r="G426" s="1" t="s">
        <v>21805</v>
      </c>
      <c r="H426" s="1">
        <v>60</v>
      </c>
      <c r="I426" s="1" t="s">
        <v>429</v>
      </c>
      <c r="J426" s="1" t="s">
        <v>14338</v>
      </c>
      <c r="K426" s="4" t="s">
        <v>21806</v>
      </c>
      <c r="L426" s="1" t="s">
        <v>21807</v>
      </c>
      <c r="M426" s="1" t="s">
        <v>21808</v>
      </c>
      <c r="N426" s="3" t="s">
        <v>21809</v>
      </c>
    </row>
    <row r="427" spans="1:14" ht="13.8">
      <c r="A427" s="1" t="s">
        <v>21810</v>
      </c>
      <c r="B427" s="1" t="s">
        <v>21811</v>
      </c>
      <c r="C427" s="1" t="s">
        <v>21812</v>
      </c>
      <c r="D427" s="1" t="s">
        <v>21813</v>
      </c>
      <c r="E427" s="1" t="s">
        <v>21814</v>
      </c>
      <c r="F427" s="1" t="s">
        <v>21815</v>
      </c>
      <c r="G427" s="1" t="s">
        <v>21816</v>
      </c>
      <c r="H427" s="1">
        <v>25</v>
      </c>
      <c r="I427" s="1" t="s">
        <v>14259</v>
      </c>
      <c r="J427" s="1" t="s">
        <v>14237</v>
      </c>
      <c r="K427" s="1" t="s">
        <v>21817</v>
      </c>
      <c r="L427" s="1" t="s">
        <v>21818</v>
      </c>
      <c r="M427" s="1" t="s">
        <v>21819</v>
      </c>
      <c r="N427" s="3" t="s">
        <v>21820</v>
      </c>
    </row>
    <row r="428" spans="1:14" ht="13.8">
      <c r="A428" s="1" t="s">
        <v>21821</v>
      </c>
      <c r="B428" s="1" t="s">
        <v>21822</v>
      </c>
      <c r="C428" s="1" t="s">
        <v>21823</v>
      </c>
      <c r="D428" s="1" t="s">
        <v>21824</v>
      </c>
      <c r="E428" s="1" t="s">
        <v>21825</v>
      </c>
      <c r="F428" s="1" t="s">
        <v>21826</v>
      </c>
      <c r="G428" s="1" t="s">
        <v>21827</v>
      </c>
      <c r="H428" s="1">
        <v>30</v>
      </c>
      <c r="I428" s="1" t="s">
        <v>17252</v>
      </c>
      <c r="J428" s="1" t="s">
        <v>14198</v>
      </c>
      <c r="K428" s="1" t="s">
        <v>21828</v>
      </c>
      <c r="L428" s="1" t="s">
        <v>21829</v>
      </c>
      <c r="M428" s="1" t="s">
        <v>21830</v>
      </c>
      <c r="N428" s="3" t="s">
        <v>21831</v>
      </c>
    </row>
    <row r="429" spans="1:14" ht="13.8">
      <c r="A429" s="1" t="s">
        <v>21832</v>
      </c>
      <c r="B429" s="1" t="s">
        <v>21833</v>
      </c>
      <c r="C429" s="1" t="s">
        <v>21834</v>
      </c>
      <c r="D429" s="1" t="s">
        <v>21835</v>
      </c>
      <c r="E429" s="1" t="s">
        <v>21836</v>
      </c>
      <c r="F429" s="1" t="s">
        <v>21837</v>
      </c>
      <c r="G429" s="1" t="s">
        <v>21838</v>
      </c>
      <c r="H429" s="1">
        <v>30</v>
      </c>
      <c r="I429" s="1" t="s">
        <v>429</v>
      </c>
      <c r="J429" s="1" t="s">
        <v>15314</v>
      </c>
      <c r="K429" s="1" t="s">
        <v>21839</v>
      </c>
      <c r="L429" s="1" t="s">
        <v>21840</v>
      </c>
      <c r="M429" s="1" t="s">
        <v>21841</v>
      </c>
      <c r="N429" s="3" t="s">
        <v>21842</v>
      </c>
    </row>
    <row r="430" spans="1:14" ht="409.6">
      <c r="A430" s="1" t="s">
        <v>21843</v>
      </c>
      <c r="B430" s="1" t="s">
        <v>21844</v>
      </c>
      <c r="C430" s="1" t="s">
        <v>21845</v>
      </c>
      <c r="D430" s="1" t="s">
        <v>21846</v>
      </c>
      <c r="E430" s="1" t="s">
        <v>21847</v>
      </c>
      <c r="F430" s="1" t="s">
        <v>21848</v>
      </c>
      <c r="G430" s="1" t="s">
        <v>21849</v>
      </c>
      <c r="H430" s="1">
        <v>105</v>
      </c>
      <c r="I430" s="1" t="s">
        <v>429</v>
      </c>
      <c r="J430" s="1" t="s">
        <v>14198</v>
      </c>
      <c r="K430" s="4" t="s">
        <v>21850</v>
      </c>
      <c r="L430" s="1" t="s">
        <v>21851</v>
      </c>
      <c r="M430" s="1" t="s">
        <v>21852</v>
      </c>
      <c r="N430" s="3" t="s">
        <v>21853</v>
      </c>
    </row>
    <row r="431" spans="1:14" ht="13.8">
      <c r="A431" s="1" t="s">
        <v>21854</v>
      </c>
      <c r="B431" s="1" t="s">
        <v>21855</v>
      </c>
      <c r="C431" s="1" t="s">
        <v>21856</v>
      </c>
      <c r="D431" s="1" t="s">
        <v>21857</v>
      </c>
      <c r="E431" s="1" t="s">
        <v>21858</v>
      </c>
      <c r="F431" s="1" t="s">
        <v>21859</v>
      </c>
      <c r="G431" s="1" t="s">
        <v>21860</v>
      </c>
      <c r="H431" s="1">
        <v>60</v>
      </c>
      <c r="I431" s="1" t="s">
        <v>14281</v>
      </c>
      <c r="J431" s="1" t="s">
        <v>14198</v>
      </c>
      <c r="K431" s="1" t="s">
        <v>21861</v>
      </c>
      <c r="L431" s="1" t="s">
        <v>21862</v>
      </c>
      <c r="M431" s="1" t="s">
        <v>21863</v>
      </c>
      <c r="N431" s="3" t="s">
        <v>21864</v>
      </c>
    </row>
    <row r="432" spans="1:14" ht="409.6">
      <c r="A432" s="1" t="s">
        <v>21865</v>
      </c>
      <c r="B432" s="1" t="s">
        <v>21866</v>
      </c>
      <c r="C432" s="1" t="s">
        <v>21867</v>
      </c>
      <c r="D432" s="1" t="s">
        <v>21868</v>
      </c>
      <c r="E432" s="1" t="s">
        <v>21869</v>
      </c>
      <c r="F432" s="1" t="s">
        <v>21870</v>
      </c>
      <c r="G432" s="1" t="s">
        <v>21871</v>
      </c>
      <c r="H432" s="1">
        <v>30</v>
      </c>
      <c r="I432" s="1" t="s">
        <v>429</v>
      </c>
      <c r="J432" s="1" t="s">
        <v>14367</v>
      </c>
      <c r="K432" s="4" t="s">
        <v>21872</v>
      </c>
      <c r="L432" s="1" t="s">
        <v>21873</v>
      </c>
      <c r="M432" s="1" t="s">
        <v>21874</v>
      </c>
      <c r="N432" s="3" t="s">
        <v>21875</v>
      </c>
    </row>
    <row r="433" spans="1:14" ht="13.8">
      <c r="A433" s="1" t="s">
        <v>21876</v>
      </c>
      <c r="B433" s="1" t="s">
        <v>21877</v>
      </c>
      <c r="C433" s="1" t="s">
        <v>21878</v>
      </c>
      <c r="D433" s="1" t="s">
        <v>21879</v>
      </c>
      <c r="E433" s="1" t="s">
        <v>21880</v>
      </c>
      <c r="F433" s="1" t="s">
        <v>21881</v>
      </c>
      <c r="G433" s="1" t="s">
        <v>21882</v>
      </c>
      <c r="H433" s="1">
        <v>55</v>
      </c>
      <c r="I433" s="1" t="s">
        <v>14572</v>
      </c>
      <c r="J433" s="1" t="s">
        <v>14198</v>
      </c>
      <c r="K433" s="1" t="s">
        <v>21883</v>
      </c>
      <c r="L433" s="1" t="s">
        <v>21884</v>
      </c>
      <c r="M433" s="1" t="s">
        <v>21885</v>
      </c>
      <c r="N433" s="3" t="s">
        <v>21886</v>
      </c>
    </row>
    <row r="434" spans="1:14" ht="409.6">
      <c r="A434" s="1" t="s">
        <v>21887</v>
      </c>
      <c r="B434" s="1" t="s">
        <v>21888</v>
      </c>
      <c r="C434" s="1" t="s">
        <v>21889</v>
      </c>
      <c r="D434" s="1" t="s">
        <v>21890</v>
      </c>
      <c r="E434" s="1" t="s">
        <v>21891</v>
      </c>
      <c r="F434" s="1" t="s">
        <v>21892</v>
      </c>
      <c r="G434" s="1" t="s">
        <v>21893</v>
      </c>
      <c r="H434" s="1">
        <v>20</v>
      </c>
      <c r="I434" s="1" t="s">
        <v>17252</v>
      </c>
      <c r="J434" s="1" t="s">
        <v>14198</v>
      </c>
      <c r="K434" s="4" t="s">
        <v>21894</v>
      </c>
      <c r="L434" s="1" t="s">
        <v>21895</v>
      </c>
      <c r="M434" s="1" t="s">
        <v>21896</v>
      </c>
      <c r="N434" s="3" t="s">
        <v>21897</v>
      </c>
    </row>
    <row r="435" spans="1:14" ht="13.8">
      <c r="A435" s="1" t="s">
        <v>21898</v>
      </c>
      <c r="B435" s="1" t="s">
        <v>21899</v>
      </c>
      <c r="C435" s="1" t="s">
        <v>21900</v>
      </c>
      <c r="D435" s="1" t="s">
        <v>21901</v>
      </c>
      <c r="E435" s="1" t="s">
        <v>21902</v>
      </c>
      <c r="F435" s="1" t="s">
        <v>21903</v>
      </c>
      <c r="G435" s="1" t="s">
        <v>21904</v>
      </c>
      <c r="H435" s="1">
        <v>30</v>
      </c>
      <c r="I435" s="1" t="s">
        <v>14572</v>
      </c>
      <c r="J435" s="1" t="s">
        <v>14198</v>
      </c>
      <c r="K435" s="1" t="s">
        <v>21905</v>
      </c>
      <c r="L435" s="1" t="s">
        <v>21906</v>
      </c>
      <c r="M435" s="1" t="s">
        <v>21907</v>
      </c>
      <c r="N435" s="3" t="s">
        <v>21908</v>
      </c>
    </row>
    <row r="436" spans="1:14" ht="409.6">
      <c r="A436" s="1" t="s">
        <v>21909</v>
      </c>
      <c r="B436" s="1" t="s">
        <v>21910</v>
      </c>
      <c r="C436" s="1" t="s">
        <v>21911</v>
      </c>
      <c r="D436" s="1" t="s">
        <v>21912</v>
      </c>
      <c r="E436" s="1" t="s">
        <v>21913</v>
      </c>
      <c r="F436" s="1" t="s">
        <v>21914</v>
      </c>
      <c r="G436" s="1" t="s">
        <v>21915</v>
      </c>
      <c r="H436" s="1">
        <v>115</v>
      </c>
      <c r="I436" s="1" t="s">
        <v>8417</v>
      </c>
      <c r="J436" s="1" t="s">
        <v>14198</v>
      </c>
      <c r="K436" s="4" t="s">
        <v>21916</v>
      </c>
      <c r="L436" s="1" t="s">
        <v>21917</v>
      </c>
      <c r="M436" s="1" t="s">
        <v>21918</v>
      </c>
      <c r="N436" s="3" t="s">
        <v>21919</v>
      </c>
    </row>
    <row r="437" spans="1:14" ht="409.6">
      <c r="A437" s="1" t="s">
        <v>21920</v>
      </c>
      <c r="B437" s="1" t="s">
        <v>21921</v>
      </c>
      <c r="C437" s="1" t="s">
        <v>21922</v>
      </c>
      <c r="D437" s="1" t="s">
        <v>21923</v>
      </c>
      <c r="E437" s="1" t="s">
        <v>21924</v>
      </c>
      <c r="F437" s="1" t="s">
        <v>21925</v>
      </c>
      <c r="G437" s="1" t="s">
        <v>21926</v>
      </c>
      <c r="H437" s="1">
        <v>980</v>
      </c>
      <c r="I437" s="1" t="s">
        <v>8417</v>
      </c>
      <c r="J437" s="1" t="s">
        <v>17937</v>
      </c>
      <c r="K437" s="4" t="s">
        <v>21927</v>
      </c>
      <c r="L437" s="1" t="s">
        <v>21928</v>
      </c>
      <c r="M437" s="1" t="s">
        <v>21929</v>
      </c>
      <c r="N437" s="3" t="s">
        <v>21930</v>
      </c>
    </row>
    <row r="438" spans="1:14" ht="409.6">
      <c r="A438" s="1" t="s">
        <v>21931</v>
      </c>
      <c r="B438" s="1" t="s">
        <v>21932</v>
      </c>
      <c r="C438" s="1" t="s">
        <v>21933</v>
      </c>
      <c r="D438" s="1" t="s">
        <v>21934</v>
      </c>
      <c r="E438" s="1" t="s">
        <v>21935</v>
      </c>
      <c r="F438" s="1" t="s">
        <v>21936</v>
      </c>
      <c r="G438" s="1" t="s">
        <v>21937</v>
      </c>
      <c r="H438" s="1">
        <v>55</v>
      </c>
      <c r="I438" s="1" t="s">
        <v>429</v>
      </c>
      <c r="J438" s="1" t="s">
        <v>14198</v>
      </c>
      <c r="K438" s="4" t="s">
        <v>21938</v>
      </c>
      <c r="L438" s="1" t="s">
        <v>21939</v>
      </c>
      <c r="M438" s="1" t="s">
        <v>21940</v>
      </c>
      <c r="N438" s="3" t="s">
        <v>21941</v>
      </c>
    </row>
    <row r="439" spans="1:14" ht="409.6">
      <c r="A439" s="1" t="s">
        <v>21942</v>
      </c>
      <c r="B439" s="1" t="s">
        <v>21943</v>
      </c>
      <c r="C439" s="1" t="s">
        <v>21944</v>
      </c>
      <c r="D439" s="1" t="s">
        <v>21945</v>
      </c>
      <c r="E439" s="1" t="s">
        <v>21946</v>
      </c>
      <c r="F439" s="1" t="s">
        <v>21947</v>
      </c>
      <c r="G439" s="1" t="s">
        <v>21948</v>
      </c>
      <c r="H439" s="1">
        <v>40</v>
      </c>
      <c r="I439" s="1" t="s">
        <v>14572</v>
      </c>
      <c r="J439" s="1" t="s">
        <v>14382</v>
      </c>
      <c r="K439" s="4" t="s">
        <v>21949</v>
      </c>
      <c r="L439" s="1" t="s">
        <v>21950</v>
      </c>
      <c r="M439" s="1" t="s">
        <v>21951</v>
      </c>
      <c r="N439" s="3" t="s">
        <v>21952</v>
      </c>
    </row>
    <row r="440" spans="1:14" ht="13.8">
      <c r="A440" s="1" t="s">
        <v>21953</v>
      </c>
      <c r="B440" s="1" t="s">
        <v>21954</v>
      </c>
      <c r="C440" s="1" t="s">
        <v>21955</v>
      </c>
      <c r="D440" s="1" t="s">
        <v>21956</v>
      </c>
      <c r="E440" s="1" t="s">
        <v>21957</v>
      </c>
      <c r="F440" s="1" t="s">
        <v>21958</v>
      </c>
      <c r="G440" s="1" t="s">
        <v>21959</v>
      </c>
      <c r="H440" s="1">
        <v>10</v>
      </c>
      <c r="I440" s="1" t="s">
        <v>17252</v>
      </c>
      <c r="J440" s="1" t="s">
        <v>14338</v>
      </c>
      <c r="K440" s="1" t="s">
        <v>21960</v>
      </c>
      <c r="L440" s="1" t="s">
        <v>21961</v>
      </c>
      <c r="M440" s="1" t="s">
        <v>21962</v>
      </c>
      <c r="N440" s="3" t="s">
        <v>21963</v>
      </c>
    </row>
    <row r="441" spans="1:14" ht="409.6">
      <c r="A441" s="1" t="s">
        <v>21964</v>
      </c>
      <c r="B441" s="1" t="s">
        <v>21965</v>
      </c>
      <c r="C441" s="1" t="s">
        <v>21966</v>
      </c>
      <c r="D441" s="1" t="s">
        <v>21967</v>
      </c>
      <c r="E441" s="1" t="s">
        <v>21968</v>
      </c>
      <c r="F441" s="1" t="s">
        <v>21969</v>
      </c>
      <c r="G441" s="1" t="s">
        <v>21970</v>
      </c>
      <c r="H441" s="1">
        <v>30</v>
      </c>
      <c r="I441" s="1" t="s">
        <v>14207</v>
      </c>
      <c r="J441" s="1" t="s">
        <v>14198</v>
      </c>
      <c r="K441" s="4" t="s">
        <v>21971</v>
      </c>
      <c r="L441" s="1" t="s">
        <v>21972</v>
      </c>
      <c r="M441" s="1" t="s">
        <v>21973</v>
      </c>
      <c r="N441" s="3" t="s">
        <v>21974</v>
      </c>
    </row>
    <row r="442" spans="1:14" ht="409.6">
      <c r="A442" s="1" t="s">
        <v>21975</v>
      </c>
      <c r="B442" s="1" t="s">
        <v>21976</v>
      </c>
      <c r="C442" s="1" t="s">
        <v>21977</v>
      </c>
      <c r="D442" s="1" t="s">
        <v>21978</v>
      </c>
      <c r="E442" s="1" t="s">
        <v>21979</v>
      </c>
      <c r="F442" s="1" t="s">
        <v>21980</v>
      </c>
      <c r="G442" s="1" t="s">
        <v>21981</v>
      </c>
      <c r="H442" s="1">
        <v>70</v>
      </c>
      <c r="I442" s="1" t="s">
        <v>8417</v>
      </c>
      <c r="J442" s="1" t="s">
        <v>14198</v>
      </c>
      <c r="K442" s="4" t="s">
        <v>21982</v>
      </c>
      <c r="L442" s="4" t="s">
        <v>21983</v>
      </c>
      <c r="M442" s="4" t="s">
        <v>21984</v>
      </c>
      <c r="N442" s="3" t="s">
        <v>21985</v>
      </c>
    </row>
    <row r="443" spans="1:14" ht="13.8">
      <c r="A443" s="1" t="s">
        <v>21986</v>
      </c>
      <c r="B443" s="1" t="s">
        <v>21987</v>
      </c>
      <c r="C443" s="1" t="s">
        <v>21988</v>
      </c>
      <c r="D443" s="1" t="s">
        <v>21989</v>
      </c>
      <c r="E443" s="1" t="s">
        <v>21990</v>
      </c>
      <c r="F443" s="1" t="s">
        <v>21991</v>
      </c>
      <c r="G443" s="1" t="s">
        <v>21992</v>
      </c>
      <c r="H443" s="1">
        <v>40</v>
      </c>
      <c r="I443" s="1" t="s">
        <v>17252</v>
      </c>
      <c r="J443" s="1" t="s">
        <v>18114</v>
      </c>
      <c r="K443" s="1" t="s">
        <v>21993</v>
      </c>
      <c r="L443" s="1" t="s">
        <v>21994</v>
      </c>
      <c r="M443" s="1" t="s">
        <v>21995</v>
      </c>
      <c r="N443" s="3" t="s">
        <v>21996</v>
      </c>
    </row>
    <row r="444" spans="1:14" ht="409.6">
      <c r="A444" s="1" t="s">
        <v>21997</v>
      </c>
      <c r="B444" s="1" t="s">
        <v>21998</v>
      </c>
      <c r="C444" s="1" t="s">
        <v>21999</v>
      </c>
      <c r="D444" s="1" t="s">
        <v>22000</v>
      </c>
      <c r="E444" s="1" t="s">
        <v>22001</v>
      </c>
      <c r="F444" s="1" t="s">
        <v>22002</v>
      </c>
      <c r="G444" s="1" t="s">
        <v>22003</v>
      </c>
      <c r="H444" s="1">
        <v>30</v>
      </c>
      <c r="I444" s="1" t="s">
        <v>17252</v>
      </c>
      <c r="J444" s="1" t="s">
        <v>15314</v>
      </c>
      <c r="K444" s="4" t="s">
        <v>22004</v>
      </c>
      <c r="L444" s="1" t="s">
        <v>22005</v>
      </c>
      <c r="M444" s="1" t="s">
        <v>22006</v>
      </c>
      <c r="N444" s="3" t="s">
        <v>22007</v>
      </c>
    </row>
    <row r="445" spans="1:14" ht="13.8">
      <c r="A445" s="1" t="s">
        <v>22008</v>
      </c>
      <c r="B445" s="1" t="s">
        <v>22009</v>
      </c>
      <c r="C445" s="1" t="s">
        <v>22010</v>
      </c>
      <c r="D445" s="1" t="s">
        <v>22011</v>
      </c>
      <c r="E445" s="1" t="s">
        <v>22012</v>
      </c>
      <c r="F445" s="1" t="s">
        <v>22013</v>
      </c>
      <c r="G445" s="1" t="s">
        <v>22014</v>
      </c>
      <c r="H445" s="1">
        <v>40</v>
      </c>
      <c r="I445" s="1" t="s">
        <v>8417</v>
      </c>
      <c r="J445" s="1" t="s">
        <v>14198</v>
      </c>
      <c r="K445" s="1" t="s">
        <v>22015</v>
      </c>
      <c r="L445" s="1" t="s">
        <v>22016</v>
      </c>
      <c r="M445" s="1" t="s">
        <v>22017</v>
      </c>
      <c r="N445" s="3" t="s">
        <v>22018</v>
      </c>
    </row>
    <row r="446" spans="1:14" ht="13.8">
      <c r="A446" s="1" t="s">
        <v>22019</v>
      </c>
      <c r="B446" s="1" t="s">
        <v>22020</v>
      </c>
      <c r="C446" s="1" t="s">
        <v>22021</v>
      </c>
      <c r="D446" s="1" t="s">
        <v>22022</v>
      </c>
      <c r="E446" s="1" t="s">
        <v>22023</v>
      </c>
      <c r="F446" s="1" t="s">
        <v>22024</v>
      </c>
      <c r="G446" s="1" t="s">
        <v>22025</v>
      </c>
      <c r="H446" s="1">
        <v>45</v>
      </c>
      <c r="I446" s="1" t="s">
        <v>14281</v>
      </c>
      <c r="J446" s="1" t="s">
        <v>14198</v>
      </c>
      <c r="K446" s="1" t="s">
        <v>22026</v>
      </c>
      <c r="L446" s="1" t="s">
        <v>22027</v>
      </c>
      <c r="M446" s="1" t="s">
        <v>22028</v>
      </c>
      <c r="N446" s="3" t="s">
        <v>22029</v>
      </c>
    </row>
    <row r="447" spans="1:14" ht="13.8">
      <c r="A447" s="1" t="s">
        <v>22030</v>
      </c>
      <c r="B447" s="1" t="s">
        <v>22031</v>
      </c>
      <c r="C447" s="1" t="s">
        <v>22032</v>
      </c>
      <c r="D447" s="1" t="s">
        <v>22033</v>
      </c>
      <c r="E447" s="1" t="s">
        <v>22034</v>
      </c>
      <c r="F447" s="1" t="s">
        <v>22035</v>
      </c>
      <c r="G447" s="1" t="s">
        <v>22036</v>
      </c>
      <c r="H447" s="1">
        <v>30</v>
      </c>
      <c r="I447" s="1" t="s">
        <v>8417</v>
      </c>
      <c r="J447" s="1" t="s">
        <v>14198</v>
      </c>
      <c r="K447" s="1" t="s">
        <v>22037</v>
      </c>
      <c r="L447" s="1" t="s">
        <v>22038</v>
      </c>
      <c r="M447" s="1" t="s">
        <v>22039</v>
      </c>
      <c r="N447" s="3" t="s">
        <v>22040</v>
      </c>
    </row>
    <row r="448" spans="1:14" ht="409.6">
      <c r="A448" s="1" t="s">
        <v>22041</v>
      </c>
      <c r="B448" s="1" t="s">
        <v>22042</v>
      </c>
      <c r="C448" s="1" t="s">
        <v>22043</v>
      </c>
      <c r="D448" s="1" t="s">
        <v>22044</v>
      </c>
      <c r="E448" s="1" t="s">
        <v>22045</v>
      </c>
      <c r="F448" s="1" t="s">
        <v>22046</v>
      </c>
      <c r="G448" s="1" t="s">
        <v>22047</v>
      </c>
      <c r="H448" s="1">
        <v>50</v>
      </c>
      <c r="I448" s="1" t="s">
        <v>8417</v>
      </c>
      <c r="J448" s="1" t="s">
        <v>15314</v>
      </c>
      <c r="K448" s="4" t="s">
        <v>22048</v>
      </c>
      <c r="L448" s="1" t="s">
        <v>22049</v>
      </c>
      <c r="M448" s="1" t="s">
        <v>22050</v>
      </c>
      <c r="N448" s="3" t="s">
        <v>22051</v>
      </c>
    </row>
    <row r="449" spans="1:14" ht="409.6">
      <c r="A449" s="1" t="s">
        <v>22052</v>
      </c>
      <c r="B449" s="1" t="s">
        <v>22053</v>
      </c>
      <c r="C449" s="1" t="s">
        <v>22054</v>
      </c>
      <c r="D449" s="1" t="s">
        <v>22055</v>
      </c>
      <c r="E449" s="1" t="s">
        <v>22056</v>
      </c>
      <c r="F449" s="1" t="s">
        <v>22057</v>
      </c>
      <c r="G449" s="1" t="s">
        <v>22058</v>
      </c>
      <c r="H449" s="1">
        <v>210</v>
      </c>
      <c r="I449" s="1" t="s">
        <v>8417</v>
      </c>
      <c r="J449" s="1" t="s">
        <v>15314</v>
      </c>
      <c r="K449" s="4" t="s">
        <v>22059</v>
      </c>
      <c r="L449" s="1" t="s">
        <v>22060</v>
      </c>
      <c r="M449" s="1" t="s">
        <v>22061</v>
      </c>
      <c r="N449" s="3" t="s">
        <v>22062</v>
      </c>
    </row>
    <row r="450" spans="1:14" ht="13.8">
      <c r="A450" s="1" t="s">
        <v>22063</v>
      </c>
      <c r="B450" s="1" t="s">
        <v>22064</v>
      </c>
      <c r="C450" s="1" t="s">
        <v>22065</v>
      </c>
      <c r="D450" s="1" t="s">
        <v>22066</v>
      </c>
      <c r="E450" s="1" t="s">
        <v>22067</v>
      </c>
      <c r="F450" s="1" t="s">
        <v>22068</v>
      </c>
      <c r="G450" s="1" t="s">
        <v>22069</v>
      </c>
      <c r="H450" s="1">
        <v>135</v>
      </c>
      <c r="I450" s="1" t="s">
        <v>8417</v>
      </c>
      <c r="J450" s="1" t="s">
        <v>14198</v>
      </c>
      <c r="K450" s="1" t="s">
        <v>22070</v>
      </c>
      <c r="L450" s="1" t="s">
        <v>22071</v>
      </c>
      <c r="M450" s="1" t="s">
        <v>22072</v>
      </c>
      <c r="N450" s="3" t="s">
        <v>22073</v>
      </c>
    </row>
    <row r="451" spans="1:14" ht="13.8">
      <c r="A451" s="1" t="s">
        <v>22074</v>
      </c>
      <c r="B451" s="1" t="s">
        <v>22075</v>
      </c>
      <c r="C451" s="1" t="s">
        <v>22076</v>
      </c>
      <c r="D451" s="1" t="s">
        <v>22077</v>
      </c>
      <c r="E451" s="1" t="s">
        <v>22078</v>
      </c>
      <c r="F451" s="1" t="s">
        <v>22079</v>
      </c>
      <c r="G451" s="1" t="s">
        <v>22080</v>
      </c>
      <c r="H451" s="1">
        <v>51</v>
      </c>
      <c r="I451" s="1" t="s">
        <v>8417</v>
      </c>
      <c r="J451" s="1" t="s">
        <v>14198</v>
      </c>
      <c r="K451" s="1" t="s">
        <v>22081</v>
      </c>
      <c r="L451" s="1" t="s">
        <v>22082</v>
      </c>
      <c r="M451" s="1" t="s">
        <v>22083</v>
      </c>
      <c r="N451" s="3" t="s">
        <v>22084</v>
      </c>
    </row>
    <row r="452" spans="1:14" ht="13.8">
      <c r="A452" s="1" t="s">
        <v>22085</v>
      </c>
      <c r="B452" s="1" t="s">
        <v>22086</v>
      </c>
      <c r="C452" s="1" t="s">
        <v>22087</v>
      </c>
      <c r="D452" s="1" t="s">
        <v>22088</v>
      </c>
      <c r="E452" s="1" t="s">
        <v>22089</v>
      </c>
      <c r="F452" s="1" t="s">
        <v>22090</v>
      </c>
      <c r="G452" s="1" t="s">
        <v>22091</v>
      </c>
      <c r="H452" s="1">
        <v>160</v>
      </c>
      <c r="I452" s="1" t="s">
        <v>14572</v>
      </c>
      <c r="J452" s="1" t="s">
        <v>14198</v>
      </c>
      <c r="K452" s="1" t="s">
        <v>22092</v>
      </c>
      <c r="L452" s="1" t="s">
        <v>22093</v>
      </c>
      <c r="M452" s="1" t="s">
        <v>22094</v>
      </c>
      <c r="N452" s="3" t="s">
        <v>22095</v>
      </c>
    </row>
    <row r="453" spans="1:14" ht="409.6">
      <c r="A453" s="1" t="s">
        <v>22096</v>
      </c>
      <c r="B453" s="1" t="s">
        <v>22097</v>
      </c>
      <c r="C453" s="1" t="s">
        <v>22098</v>
      </c>
      <c r="D453" s="1" t="s">
        <v>22099</v>
      </c>
      <c r="E453" s="1" t="s">
        <v>22100</v>
      </c>
      <c r="F453" s="1" t="s">
        <v>22101</v>
      </c>
      <c r="G453" s="1" t="s">
        <v>22102</v>
      </c>
      <c r="H453" s="1">
        <v>45</v>
      </c>
      <c r="I453" s="1" t="s">
        <v>14281</v>
      </c>
      <c r="J453" s="1" t="s">
        <v>14198</v>
      </c>
      <c r="K453" s="4" t="s">
        <v>22103</v>
      </c>
      <c r="L453" s="1" t="s">
        <v>22104</v>
      </c>
      <c r="M453" s="1" t="s">
        <v>22105</v>
      </c>
      <c r="N453" s="3" t="s">
        <v>22106</v>
      </c>
    </row>
    <row r="454" spans="1:14" ht="13.8">
      <c r="A454" s="1" t="s">
        <v>22107</v>
      </c>
      <c r="B454" s="1" t="s">
        <v>22108</v>
      </c>
      <c r="C454" s="1" t="s">
        <v>22109</v>
      </c>
      <c r="D454" s="1" t="s">
        <v>22110</v>
      </c>
      <c r="E454" s="1" t="s">
        <v>22111</v>
      </c>
      <c r="F454" s="1" t="s">
        <v>22112</v>
      </c>
      <c r="G454" s="1" t="s">
        <v>22113</v>
      </c>
      <c r="H454" s="1">
        <v>55</v>
      </c>
      <c r="I454" s="1" t="s">
        <v>429</v>
      </c>
      <c r="J454" s="1" t="s">
        <v>14198</v>
      </c>
      <c r="K454" s="1" t="s">
        <v>22114</v>
      </c>
      <c r="L454" s="1" t="s">
        <v>22115</v>
      </c>
      <c r="M454" s="1" t="s">
        <v>22116</v>
      </c>
      <c r="N454" s="3" t="s">
        <v>22117</v>
      </c>
    </row>
    <row r="455" spans="1:14" ht="409.6">
      <c r="A455" s="1" t="s">
        <v>22118</v>
      </c>
      <c r="B455" s="1" t="s">
        <v>22119</v>
      </c>
      <c r="C455" s="1" t="s">
        <v>22120</v>
      </c>
      <c r="D455" s="1" t="s">
        <v>22121</v>
      </c>
      <c r="E455" s="1" t="s">
        <v>22122</v>
      </c>
      <c r="F455" s="1" t="s">
        <v>22123</v>
      </c>
      <c r="G455" s="1" t="s">
        <v>22124</v>
      </c>
      <c r="H455" s="1">
        <v>30</v>
      </c>
      <c r="I455" s="1" t="s">
        <v>14572</v>
      </c>
      <c r="J455" s="1" t="s">
        <v>14237</v>
      </c>
      <c r="K455" s="4" t="s">
        <v>22125</v>
      </c>
      <c r="L455" s="1" t="s">
        <v>22126</v>
      </c>
      <c r="M455" s="1" t="s">
        <v>22127</v>
      </c>
      <c r="N455" s="3" t="s">
        <v>22128</v>
      </c>
    </row>
    <row r="456" spans="1:14" ht="13.8">
      <c r="A456" s="1" t="s">
        <v>22129</v>
      </c>
      <c r="B456" s="1" t="s">
        <v>22130</v>
      </c>
      <c r="C456" s="1" t="s">
        <v>22131</v>
      </c>
      <c r="D456" s="1" t="s">
        <v>22132</v>
      </c>
      <c r="E456" s="1" t="s">
        <v>22133</v>
      </c>
      <c r="F456" s="1" t="s">
        <v>22134</v>
      </c>
      <c r="G456" s="1" t="s">
        <v>22135</v>
      </c>
      <c r="H456" s="1">
        <v>35</v>
      </c>
      <c r="I456" s="1" t="s">
        <v>14281</v>
      </c>
      <c r="J456" s="1" t="s">
        <v>14198</v>
      </c>
      <c r="K456" s="1" t="s">
        <v>22136</v>
      </c>
      <c r="L456" s="1" t="s">
        <v>22137</v>
      </c>
      <c r="M456" s="1" t="s">
        <v>22138</v>
      </c>
      <c r="N456" s="3" t="s">
        <v>22139</v>
      </c>
    </row>
    <row r="457" spans="1:14" ht="409.6">
      <c r="A457" s="1" t="s">
        <v>22140</v>
      </c>
      <c r="B457" s="1" t="s">
        <v>22141</v>
      </c>
      <c r="C457" s="1" t="s">
        <v>22142</v>
      </c>
      <c r="D457" s="1" t="s">
        <v>22143</v>
      </c>
      <c r="E457" s="1" t="s">
        <v>22144</v>
      </c>
      <c r="F457" s="1" t="s">
        <v>22145</v>
      </c>
      <c r="G457" s="1" t="s">
        <v>22146</v>
      </c>
      <c r="H457" s="1">
        <v>75</v>
      </c>
      <c r="I457" s="1" t="s">
        <v>14281</v>
      </c>
      <c r="J457" s="1" t="s">
        <v>15314</v>
      </c>
      <c r="K457" s="4" t="s">
        <v>22147</v>
      </c>
      <c r="L457" s="1" t="s">
        <v>22148</v>
      </c>
      <c r="M457" s="1" t="s">
        <v>22149</v>
      </c>
      <c r="N457" s="3" t="s">
        <v>22150</v>
      </c>
    </row>
    <row r="458" spans="1:14" ht="13.8">
      <c r="A458" s="1" t="s">
        <v>22151</v>
      </c>
      <c r="B458" s="1" t="s">
        <v>22152</v>
      </c>
      <c r="C458" s="1" t="s">
        <v>22153</v>
      </c>
      <c r="D458" s="1" t="s">
        <v>22154</v>
      </c>
      <c r="E458" s="1" t="s">
        <v>22155</v>
      </c>
      <c r="F458" s="1" t="s">
        <v>22156</v>
      </c>
      <c r="G458" s="1" t="s">
        <v>22157</v>
      </c>
      <c r="H458" s="1">
        <v>20</v>
      </c>
      <c r="I458" s="1" t="s">
        <v>17252</v>
      </c>
      <c r="J458" s="1" t="s">
        <v>17937</v>
      </c>
      <c r="K458" s="1" t="s">
        <v>22158</v>
      </c>
      <c r="L458" s="1" t="s">
        <v>22159</v>
      </c>
      <c r="M458" s="1" t="s">
        <v>22160</v>
      </c>
      <c r="N458" s="3" t="s">
        <v>22161</v>
      </c>
    </row>
    <row r="459" spans="1:14" ht="409.6">
      <c r="A459" s="1" t="s">
        <v>22162</v>
      </c>
      <c r="B459" s="1" t="s">
        <v>22163</v>
      </c>
      <c r="C459" s="1" t="s">
        <v>22164</v>
      </c>
      <c r="D459" s="1" t="s">
        <v>22165</v>
      </c>
      <c r="E459" s="1" t="s">
        <v>22166</v>
      </c>
      <c r="F459" s="1" t="s">
        <v>22167</v>
      </c>
      <c r="G459" s="1" t="s">
        <v>22168</v>
      </c>
      <c r="H459" s="1">
        <v>120</v>
      </c>
      <c r="I459" s="1" t="s">
        <v>14259</v>
      </c>
      <c r="J459" s="1" t="s">
        <v>14382</v>
      </c>
      <c r="K459" s="4" t="s">
        <v>22169</v>
      </c>
      <c r="L459" s="1" t="s">
        <v>22170</v>
      </c>
      <c r="M459" s="1" t="s">
        <v>22171</v>
      </c>
      <c r="N459" s="3" t="s">
        <v>22172</v>
      </c>
    </row>
    <row r="460" spans="1:14" ht="13.8">
      <c r="A460" s="1" t="s">
        <v>22173</v>
      </c>
      <c r="B460" s="1" t="s">
        <v>22174</v>
      </c>
      <c r="C460" s="1" t="s">
        <v>22175</v>
      </c>
      <c r="D460" s="1" t="s">
        <v>22176</v>
      </c>
      <c r="E460" s="1" t="s">
        <v>22177</v>
      </c>
      <c r="F460" s="1" t="s">
        <v>22178</v>
      </c>
      <c r="G460" s="1" t="s">
        <v>22179</v>
      </c>
      <c r="H460" s="1">
        <v>255</v>
      </c>
      <c r="I460" s="1" t="s">
        <v>14572</v>
      </c>
      <c r="J460" s="1" t="s">
        <v>14237</v>
      </c>
      <c r="K460" s="1" t="s">
        <v>22180</v>
      </c>
      <c r="L460" s="1" t="s">
        <v>22181</v>
      </c>
      <c r="M460" s="1" t="s">
        <v>22182</v>
      </c>
      <c r="N460" s="3" t="s">
        <v>22183</v>
      </c>
    </row>
    <row r="461" spans="1:14" ht="409.6">
      <c r="A461" s="1" t="s">
        <v>22184</v>
      </c>
      <c r="B461" s="1" t="s">
        <v>22185</v>
      </c>
      <c r="C461" s="1" t="s">
        <v>22186</v>
      </c>
      <c r="D461" s="1" t="s">
        <v>22187</v>
      </c>
      <c r="E461" s="1" t="s">
        <v>22188</v>
      </c>
      <c r="F461" s="1" t="s">
        <v>22189</v>
      </c>
      <c r="G461" s="1" t="s">
        <v>22190</v>
      </c>
      <c r="H461" s="1">
        <v>25</v>
      </c>
      <c r="I461" s="1" t="s">
        <v>14281</v>
      </c>
      <c r="J461" s="1" t="s">
        <v>14198</v>
      </c>
      <c r="K461" s="4" t="s">
        <v>22191</v>
      </c>
      <c r="L461" s="1" t="s">
        <v>22192</v>
      </c>
      <c r="M461" s="1" t="s">
        <v>22193</v>
      </c>
      <c r="N461" s="3" t="s">
        <v>22194</v>
      </c>
    </row>
    <row r="462" spans="1:14" ht="409.6">
      <c r="A462" s="1" t="s">
        <v>22195</v>
      </c>
      <c r="B462" s="1" t="s">
        <v>22196</v>
      </c>
      <c r="C462" s="1" t="s">
        <v>22197</v>
      </c>
      <c r="D462" s="1" t="s">
        <v>22198</v>
      </c>
      <c r="E462" s="1" t="s">
        <v>22199</v>
      </c>
      <c r="F462" s="1" t="s">
        <v>22200</v>
      </c>
      <c r="G462" s="1" t="s">
        <v>22201</v>
      </c>
      <c r="H462" s="1">
        <v>30</v>
      </c>
      <c r="I462" s="1" t="s">
        <v>14281</v>
      </c>
      <c r="J462" s="1" t="s">
        <v>14198</v>
      </c>
      <c r="K462" s="4" t="s">
        <v>22202</v>
      </c>
      <c r="L462" s="1" t="s">
        <v>22203</v>
      </c>
      <c r="M462" s="1" t="s">
        <v>22204</v>
      </c>
      <c r="N462" s="3" t="s">
        <v>22205</v>
      </c>
    </row>
    <row r="463" spans="1:14" ht="13.8">
      <c r="A463" s="1" t="s">
        <v>22206</v>
      </c>
      <c r="B463" s="1" t="s">
        <v>22207</v>
      </c>
      <c r="C463" s="1" t="s">
        <v>22208</v>
      </c>
      <c r="D463" s="1" t="s">
        <v>22209</v>
      </c>
      <c r="E463" s="1" t="s">
        <v>22210</v>
      </c>
      <c r="F463" s="1" t="s">
        <v>22211</v>
      </c>
      <c r="G463" s="1" t="s">
        <v>22212</v>
      </c>
      <c r="H463" s="1">
        <v>20</v>
      </c>
      <c r="I463" s="1" t="s">
        <v>14572</v>
      </c>
      <c r="J463" s="1" t="s">
        <v>14198</v>
      </c>
      <c r="K463" s="1" t="s">
        <v>22213</v>
      </c>
      <c r="L463" s="1" t="s">
        <v>22214</v>
      </c>
      <c r="M463" s="1" t="s">
        <v>22215</v>
      </c>
      <c r="N463" s="3" t="s">
        <v>22216</v>
      </c>
    </row>
    <row r="464" spans="1:14" ht="409.6">
      <c r="A464" s="1" t="s">
        <v>22217</v>
      </c>
      <c r="B464" s="1" t="s">
        <v>22218</v>
      </c>
      <c r="C464" s="1" t="s">
        <v>22219</v>
      </c>
      <c r="D464" s="1" t="s">
        <v>22220</v>
      </c>
      <c r="E464" s="1" t="s">
        <v>22221</v>
      </c>
      <c r="F464" s="1" t="s">
        <v>22222</v>
      </c>
      <c r="G464" s="1" t="s">
        <v>22223</v>
      </c>
      <c r="H464" s="1">
        <v>40</v>
      </c>
      <c r="I464" s="1" t="s">
        <v>17252</v>
      </c>
      <c r="J464" s="1" t="s">
        <v>15314</v>
      </c>
      <c r="K464" s="4" t="s">
        <v>22224</v>
      </c>
      <c r="L464" s="1" t="s">
        <v>22225</v>
      </c>
      <c r="M464" s="1" t="s">
        <v>22226</v>
      </c>
      <c r="N464" s="3" t="s">
        <v>22227</v>
      </c>
    </row>
    <row r="465" spans="1:14" ht="13.8">
      <c r="A465" s="1" t="s">
        <v>22228</v>
      </c>
      <c r="B465" s="1" t="s">
        <v>22229</v>
      </c>
      <c r="C465" s="1" t="s">
        <v>22230</v>
      </c>
      <c r="D465" s="1" t="s">
        <v>22231</v>
      </c>
      <c r="E465" s="1" t="s">
        <v>22232</v>
      </c>
      <c r="F465" s="1" t="s">
        <v>22233</v>
      </c>
      <c r="G465" s="1" t="s">
        <v>22234</v>
      </c>
      <c r="H465" s="1">
        <v>125</v>
      </c>
      <c r="I465" s="1" t="s">
        <v>14281</v>
      </c>
      <c r="J465" s="1" t="s">
        <v>14198</v>
      </c>
      <c r="K465" s="1" t="s">
        <v>22235</v>
      </c>
      <c r="L465" s="1" t="s">
        <v>22236</v>
      </c>
      <c r="M465" s="1" t="s">
        <v>22237</v>
      </c>
      <c r="N465" s="3" t="s">
        <v>22238</v>
      </c>
    </row>
    <row r="466" spans="1:14" ht="13.8">
      <c r="A466" s="1" t="s">
        <v>22239</v>
      </c>
      <c r="B466" s="1" t="s">
        <v>22240</v>
      </c>
      <c r="C466" s="1" t="s">
        <v>22241</v>
      </c>
      <c r="D466" s="1" t="s">
        <v>22242</v>
      </c>
      <c r="E466" s="1" t="s">
        <v>22243</v>
      </c>
      <c r="F466" s="1" t="s">
        <v>22244</v>
      </c>
      <c r="G466" s="1" t="s">
        <v>22245</v>
      </c>
      <c r="H466" s="1">
        <v>30</v>
      </c>
      <c r="I466" s="1" t="s">
        <v>8417</v>
      </c>
      <c r="J466" s="1" t="s">
        <v>14198</v>
      </c>
      <c r="K466" s="1" t="s">
        <v>22246</v>
      </c>
      <c r="L466" s="1" t="s">
        <v>22247</v>
      </c>
      <c r="M466" s="1" t="s">
        <v>22248</v>
      </c>
      <c r="N466" s="3" t="s">
        <v>22249</v>
      </c>
    </row>
    <row r="467" spans="1:14" ht="409.6">
      <c r="A467" s="1" t="s">
        <v>22250</v>
      </c>
      <c r="B467" s="1" t="s">
        <v>22251</v>
      </c>
      <c r="C467" s="1" t="s">
        <v>22252</v>
      </c>
      <c r="D467" s="1" t="s">
        <v>22253</v>
      </c>
      <c r="E467" s="1" t="s">
        <v>22254</v>
      </c>
      <c r="F467" s="1" t="s">
        <v>22255</v>
      </c>
      <c r="G467" s="1" t="s">
        <v>22256</v>
      </c>
      <c r="H467" s="1">
        <v>95</v>
      </c>
      <c r="I467" s="1" t="s">
        <v>8417</v>
      </c>
      <c r="J467" s="1" t="s">
        <v>14198</v>
      </c>
      <c r="K467" s="4" t="s">
        <v>22257</v>
      </c>
      <c r="L467" s="1" t="s">
        <v>22258</v>
      </c>
      <c r="M467" s="1" t="s">
        <v>22259</v>
      </c>
      <c r="N467" s="3" t="s">
        <v>22260</v>
      </c>
    </row>
    <row r="468" spans="1:14" ht="409.6">
      <c r="A468" s="1" t="s">
        <v>22261</v>
      </c>
      <c r="B468" s="1" t="s">
        <v>22262</v>
      </c>
      <c r="C468" s="1" t="s">
        <v>22263</v>
      </c>
      <c r="D468" s="1" t="s">
        <v>22264</v>
      </c>
      <c r="E468" s="1" t="s">
        <v>22265</v>
      </c>
      <c r="F468" s="1" t="s">
        <v>22266</v>
      </c>
      <c r="G468" s="1" t="s">
        <v>22267</v>
      </c>
      <c r="H468" s="1">
        <v>25</v>
      </c>
      <c r="I468" s="1" t="s">
        <v>14281</v>
      </c>
      <c r="J468" s="1" t="s">
        <v>14198</v>
      </c>
      <c r="K468" s="4" t="s">
        <v>22268</v>
      </c>
      <c r="L468" s="1" t="s">
        <v>22269</v>
      </c>
      <c r="M468" s="1" t="s">
        <v>22270</v>
      </c>
      <c r="N468" s="3" t="s">
        <v>22271</v>
      </c>
    </row>
    <row r="469" spans="1:14" ht="409.6">
      <c r="A469" s="1" t="s">
        <v>22272</v>
      </c>
      <c r="B469" s="1" t="s">
        <v>22273</v>
      </c>
      <c r="C469" s="1" t="s">
        <v>22274</v>
      </c>
      <c r="D469" s="1" t="s">
        <v>22275</v>
      </c>
      <c r="E469" s="1" t="s">
        <v>22276</v>
      </c>
      <c r="F469" s="1" t="s">
        <v>22277</v>
      </c>
      <c r="G469" s="1" t="s">
        <v>22278</v>
      </c>
      <c r="H469" s="1">
        <v>15</v>
      </c>
      <c r="I469" s="1" t="s">
        <v>14572</v>
      </c>
      <c r="J469" s="1" t="s">
        <v>14198</v>
      </c>
      <c r="K469" s="4" t="s">
        <v>22279</v>
      </c>
      <c r="L469" s="1" t="s">
        <v>22280</v>
      </c>
      <c r="M469" s="1" t="s">
        <v>22281</v>
      </c>
      <c r="N469" s="3" t="s">
        <v>22282</v>
      </c>
    </row>
    <row r="470" spans="1:14" ht="13.8">
      <c r="A470" s="1" t="s">
        <v>22283</v>
      </c>
      <c r="B470" s="1" t="s">
        <v>22284</v>
      </c>
      <c r="C470" s="1" t="s">
        <v>22285</v>
      </c>
      <c r="D470" s="1" t="s">
        <v>22286</v>
      </c>
      <c r="E470" s="1" t="s">
        <v>22287</v>
      </c>
      <c r="F470" s="1" t="s">
        <v>22288</v>
      </c>
      <c r="G470" s="1" t="s">
        <v>22289</v>
      </c>
      <c r="H470" s="1">
        <v>45</v>
      </c>
      <c r="I470" s="1" t="s">
        <v>17252</v>
      </c>
      <c r="J470" s="1" t="s">
        <v>14208</v>
      </c>
      <c r="K470" s="1" t="s">
        <v>22290</v>
      </c>
      <c r="L470" s="1" t="s">
        <v>22291</v>
      </c>
      <c r="M470" s="1" t="s">
        <v>22292</v>
      </c>
      <c r="N470" s="3" t="s">
        <v>22293</v>
      </c>
    </row>
    <row r="471" spans="1:14" ht="409.6">
      <c r="A471" s="1" t="s">
        <v>22294</v>
      </c>
      <c r="B471" s="1" t="s">
        <v>22295</v>
      </c>
      <c r="C471" s="1" t="s">
        <v>22296</v>
      </c>
      <c r="D471" s="1" t="s">
        <v>22297</v>
      </c>
      <c r="E471" s="1" t="s">
        <v>22298</v>
      </c>
      <c r="F471" s="1" t="s">
        <v>22299</v>
      </c>
      <c r="G471" s="1" t="s">
        <v>22300</v>
      </c>
      <c r="H471" s="1">
        <v>55</v>
      </c>
      <c r="I471" s="1" t="s">
        <v>17252</v>
      </c>
      <c r="J471" s="1" t="s">
        <v>14208</v>
      </c>
      <c r="K471" s="4" t="s">
        <v>22301</v>
      </c>
      <c r="L471" s="1" t="s">
        <v>22302</v>
      </c>
      <c r="M471" s="1" t="s">
        <v>22303</v>
      </c>
      <c r="N471" s="3" t="s">
        <v>22304</v>
      </c>
    </row>
    <row r="472" spans="1:14" ht="409.6">
      <c r="A472" s="1" t="s">
        <v>22305</v>
      </c>
      <c r="B472" s="1" t="s">
        <v>22306</v>
      </c>
      <c r="C472" s="1" t="s">
        <v>22307</v>
      </c>
      <c r="D472" s="1" t="s">
        <v>22308</v>
      </c>
      <c r="E472" s="1" t="s">
        <v>22309</v>
      </c>
      <c r="F472" s="1" t="s">
        <v>22310</v>
      </c>
      <c r="G472" s="1" t="s">
        <v>22311</v>
      </c>
      <c r="H472" s="1">
        <v>25</v>
      </c>
      <c r="I472" s="1" t="s">
        <v>17252</v>
      </c>
      <c r="J472" s="1" t="s">
        <v>15314</v>
      </c>
      <c r="K472" s="4" t="s">
        <v>22312</v>
      </c>
      <c r="L472" s="1" t="s">
        <v>22313</v>
      </c>
      <c r="M472" s="1" t="s">
        <v>22314</v>
      </c>
      <c r="N472" s="3" t="s">
        <v>22315</v>
      </c>
    </row>
    <row r="473" spans="1:14" ht="409.6">
      <c r="A473" s="1" t="s">
        <v>22316</v>
      </c>
      <c r="B473" s="1" t="s">
        <v>22317</v>
      </c>
      <c r="C473" s="1" t="s">
        <v>22318</v>
      </c>
      <c r="D473" s="1" t="s">
        <v>22319</v>
      </c>
      <c r="E473" s="1" t="s">
        <v>22320</v>
      </c>
      <c r="F473" s="1" t="s">
        <v>22321</v>
      </c>
      <c r="G473" s="1" t="s">
        <v>22322</v>
      </c>
      <c r="H473" s="1">
        <v>55</v>
      </c>
      <c r="I473" s="1" t="s">
        <v>8417</v>
      </c>
      <c r="J473" s="1" t="s">
        <v>14198</v>
      </c>
      <c r="K473" s="4" t="s">
        <v>22323</v>
      </c>
      <c r="L473" s="1" t="s">
        <v>22324</v>
      </c>
      <c r="M473" s="1" t="s">
        <v>22325</v>
      </c>
      <c r="N473" s="3" t="s">
        <v>22326</v>
      </c>
    </row>
    <row r="474" spans="1:14" ht="409.6">
      <c r="A474" s="1" t="s">
        <v>22327</v>
      </c>
      <c r="B474" s="1" t="s">
        <v>22328</v>
      </c>
      <c r="C474" s="1" t="s">
        <v>22329</v>
      </c>
      <c r="D474" s="1" t="s">
        <v>22330</v>
      </c>
      <c r="E474" s="1" t="s">
        <v>22331</v>
      </c>
      <c r="F474" s="1" t="s">
        <v>22332</v>
      </c>
      <c r="G474" s="1" t="s">
        <v>22333</v>
      </c>
      <c r="H474" s="1">
        <v>50</v>
      </c>
      <c r="I474" s="1" t="s">
        <v>8417</v>
      </c>
      <c r="J474" s="1" t="s">
        <v>14198</v>
      </c>
      <c r="K474" s="4" t="s">
        <v>22334</v>
      </c>
      <c r="L474" s="1" t="s">
        <v>22335</v>
      </c>
      <c r="M474" s="1" t="s">
        <v>22336</v>
      </c>
      <c r="N474" s="3" t="s">
        <v>22337</v>
      </c>
    </row>
    <row r="475" spans="1:14" ht="409.6">
      <c r="A475" s="1" t="s">
        <v>22338</v>
      </c>
      <c r="B475" s="1" t="s">
        <v>22339</v>
      </c>
      <c r="C475" s="1" t="s">
        <v>22340</v>
      </c>
      <c r="D475" s="1" t="s">
        <v>22341</v>
      </c>
      <c r="E475" s="1" t="s">
        <v>22342</v>
      </c>
      <c r="F475" s="1" t="s">
        <v>22343</v>
      </c>
      <c r="G475" s="1" t="s">
        <v>22344</v>
      </c>
      <c r="H475" s="1">
        <v>70</v>
      </c>
      <c r="I475" s="1" t="s">
        <v>14281</v>
      </c>
      <c r="J475" s="1" t="s">
        <v>14198</v>
      </c>
      <c r="K475" s="4" t="s">
        <v>22345</v>
      </c>
      <c r="L475" s="1" t="s">
        <v>22346</v>
      </c>
      <c r="M475" s="1" t="s">
        <v>22347</v>
      </c>
      <c r="N475" s="3" t="s">
        <v>22348</v>
      </c>
    </row>
    <row r="476" spans="1:14" ht="409.6">
      <c r="A476" s="1" t="s">
        <v>22349</v>
      </c>
      <c r="B476" s="1" t="s">
        <v>22350</v>
      </c>
      <c r="C476" s="1" t="s">
        <v>22351</v>
      </c>
      <c r="D476" s="1" t="s">
        <v>22352</v>
      </c>
      <c r="E476" s="1" t="s">
        <v>22353</v>
      </c>
      <c r="F476" s="1" t="s">
        <v>22354</v>
      </c>
      <c r="G476" s="1" t="s">
        <v>22355</v>
      </c>
      <c r="H476" s="1">
        <v>45</v>
      </c>
      <c r="I476" s="1" t="s">
        <v>14281</v>
      </c>
      <c r="J476" s="1" t="s">
        <v>15314</v>
      </c>
      <c r="K476" s="4" t="s">
        <v>22356</v>
      </c>
      <c r="L476" s="1" t="s">
        <v>22357</v>
      </c>
      <c r="M476" s="1" t="s">
        <v>22358</v>
      </c>
      <c r="N476" s="3" t="s">
        <v>22359</v>
      </c>
    </row>
    <row r="477" spans="1:14" ht="13.8">
      <c r="A477" s="1" t="s">
        <v>22360</v>
      </c>
      <c r="B477" s="1" t="s">
        <v>22361</v>
      </c>
      <c r="C477" s="1" t="s">
        <v>22362</v>
      </c>
      <c r="D477" s="1" t="s">
        <v>22363</v>
      </c>
      <c r="E477" s="1" t="s">
        <v>22364</v>
      </c>
      <c r="F477" s="1" t="s">
        <v>22365</v>
      </c>
      <c r="G477" s="1" t="s">
        <v>22366</v>
      </c>
      <c r="H477" s="1">
        <v>15</v>
      </c>
      <c r="I477" s="1" t="s">
        <v>17252</v>
      </c>
      <c r="J477" s="1" t="s">
        <v>14198</v>
      </c>
      <c r="K477" s="1" t="s">
        <v>22367</v>
      </c>
      <c r="L477" s="1" t="s">
        <v>22368</v>
      </c>
      <c r="M477" s="1" t="s">
        <v>22369</v>
      </c>
      <c r="N477" s="3" t="s">
        <v>22370</v>
      </c>
    </row>
    <row r="478" spans="1:14" ht="409.6">
      <c r="A478" s="1" t="s">
        <v>22371</v>
      </c>
      <c r="B478" s="1" t="s">
        <v>22372</v>
      </c>
      <c r="C478" s="1" t="s">
        <v>22373</v>
      </c>
      <c r="D478" s="1" t="s">
        <v>22374</v>
      </c>
      <c r="E478" s="1" t="s">
        <v>22375</v>
      </c>
      <c r="F478" s="1" t="s">
        <v>22376</v>
      </c>
      <c r="G478" s="1" t="s">
        <v>22377</v>
      </c>
      <c r="H478" s="1">
        <v>5</v>
      </c>
      <c r="I478" s="1" t="s">
        <v>14281</v>
      </c>
      <c r="J478" s="1" t="s">
        <v>14198</v>
      </c>
      <c r="K478" s="4" t="s">
        <v>22378</v>
      </c>
      <c r="L478" s="1" t="s">
        <v>22379</v>
      </c>
      <c r="M478" s="1" t="s">
        <v>22380</v>
      </c>
      <c r="N478" s="3" t="s">
        <v>22381</v>
      </c>
    </row>
    <row r="479" spans="1:14" ht="13.8">
      <c r="A479" s="1" t="s">
        <v>22382</v>
      </c>
      <c r="B479" s="1" t="s">
        <v>22383</v>
      </c>
      <c r="C479" s="1" t="s">
        <v>22384</v>
      </c>
      <c r="D479" s="1" t="s">
        <v>22385</v>
      </c>
      <c r="E479" s="1" t="s">
        <v>22386</v>
      </c>
      <c r="F479" s="1" t="s">
        <v>22387</v>
      </c>
      <c r="G479" s="1" t="s">
        <v>22388</v>
      </c>
      <c r="H479" s="1">
        <v>25</v>
      </c>
      <c r="I479" s="1" t="s">
        <v>429</v>
      </c>
      <c r="J479" s="1" t="s">
        <v>14198</v>
      </c>
      <c r="K479" s="1" t="s">
        <v>22389</v>
      </c>
      <c r="L479" s="1" t="s">
        <v>22390</v>
      </c>
      <c r="M479" s="1" t="s">
        <v>22391</v>
      </c>
      <c r="N479" s="3" t="s">
        <v>22392</v>
      </c>
    </row>
    <row r="480" spans="1:14" ht="13.8">
      <c r="A480" s="1" t="s">
        <v>22393</v>
      </c>
      <c r="B480" s="1" t="s">
        <v>22394</v>
      </c>
      <c r="C480" s="1" t="s">
        <v>22395</v>
      </c>
      <c r="D480" s="1" t="s">
        <v>22396</v>
      </c>
      <c r="E480" s="1" t="s">
        <v>22397</v>
      </c>
      <c r="F480" s="1" t="s">
        <v>22398</v>
      </c>
      <c r="G480" s="1" t="s">
        <v>22399</v>
      </c>
      <c r="H480" s="1">
        <v>10</v>
      </c>
      <c r="I480" s="1" t="s">
        <v>14572</v>
      </c>
      <c r="J480" s="1" t="s">
        <v>14198</v>
      </c>
      <c r="K480" s="1" t="s">
        <v>22400</v>
      </c>
      <c r="L480" s="1" t="s">
        <v>22401</v>
      </c>
      <c r="M480" s="1" t="s">
        <v>22402</v>
      </c>
      <c r="N480" s="3" t="s">
        <v>22403</v>
      </c>
    </row>
    <row r="481" spans="1:14" ht="13.8">
      <c r="A481" s="1" t="s">
        <v>22404</v>
      </c>
      <c r="B481" s="1" t="s">
        <v>22405</v>
      </c>
      <c r="C481" s="1" t="s">
        <v>22406</v>
      </c>
      <c r="D481" s="1" t="s">
        <v>22407</v>
      </c>
      <c r="E481" s="1" t="s">
        <v>22408</v>
      </c>
      <c r="F481" s="1" t="s">
        <v>22409</v>
      </c>
      <c r="G481" s="1" t="s">
        <v>22410</v>
      </c>
      <c r="H481" s="1">
        <v>25</v>
      </c>
      <c r="I481" s="1" t="s">
        <v>14207</v>
      </c>
      <c r="J481" s="1" t="s">
        <v>14198</v>
      </c>
      <c r="K481" s="1" t="s">
        <v>22411</v>
      </c>
      <c r="L481" s="1" t="s">
        <v>22412</v>
      </c>
      <c r="M481" s="1" t="s">
        <v>22413</v>
      </c>
      <c r="N481" s="3" t="s">
        <v>22414</v>
      </c>
    </row>
    <row r="482" spans="1:14" ht="13.8">
      <c r="A482" s="1" t="s">
        <v>22415</v>
      </c>
      <c r="B482" s="1" t="s">
        <v>22416</v>
      </c>
      <c r="C482" s="1" t="s">
        <v>22417</v>
      </c>
      <c r="D482" s="1" t="s">
        <v>22418</v>
      </c>
      <c r="E482" s="1" t="s">
        <v>22419</v>
      </c>
      <c r="F482" s="1" t="s">
        <v>22420</v>
      </c>
      <c r="G482" s="1" t="s">
        <v>22421</v>
      </c>
      <c r="H482" s="1">
        <v>100</v>
      </c>
      <c r="I482" s="1" t="s">
        <v>8417</v>
      </c>
      <c r="J482" s="1" t="s">
        <v>14198</v>
      </c>
      <c r="K482" s="1" t="s">
        <v>22422</v>
      </c>
      <c r="L482" s="1" t="s">
        <v>22423</v>
      </c>
      <c r="M482" s="1" t="s">
        <v>22424</v>
      </c>
      <c r="N482" s="3" t="s">
        <v>22425</v>
      </c>
    </row>
    <row r="483" spans="1:14" ht="409.6">
      <c r="A483" s="1" t="s">
        <v>22426</v>
      </c>
      <c r="B483" s="1" t="s">
        <v>22427</v>
      </c>
      <c r="C483" s="1" t="s">
        <v>22428</v>
      </c>
      <c r="D483" s="1" t="s">
        <v>22429</v>
      </c>
      <c r="E483" s="1" t="s">
        <v>22430</v>
      </c>
      <c r="F483" s="1" t="s">
        <v>22431</v>
      </c>
      <c r="G483" s="1" t="s">
        <v>22432</v>
      </c>
      <c r="H483" s="1">
        <v>40</v>
      </c>
      <c r="I483" s="1" t="s">
        <v>14281</v>
      </c>
      <c r="J483" s="1" t="s">
        <v>14198</v>
      </c>
      <c r="K483" s="4" t="s">
        <v>22433</v>
      </c>
      <c r="L483" s="1" t="s">
        <v>22434</v>
      </c>
      <c r="M483" s="1" t="s">
        <v>22435</v>
      </c>
      <c r="N483" s="3" t="s">
        <v>22436</v>
      </c>
    </row>
    <row r="484" spans="1:14" ht="13.8">
      <c r="A484" s="1" t="s">
        <v>22437</v>
      </c>
      <c r="B484" s="1" t="s">
        <v>22438</v>
      </c>
      <c r="C484" s="1" t="s">
        <v>22439</v>
      </c>
      <c r="D484" s="1" t="s">
        <v>22440</v>
      </c>
      <c r="E484" s="1" t="s">
        <v>22441</v>
      </c>
      <c r="F484" s="1" t="s">
        <v>22442</v>
      </c>
      <c r="G484" s="1" t="s">
        <v>22443</v>
      </c>
      <c r="H484" s="1">
        <v>125</v>
      </c>
      <c r="I484" s="1" t="s">
        <v>429</v>
      </c>
      <c r="J484" s="1" t="s">
        <v>15314</v>
      </c>
      <c r="K484" s="1" t="s">
        <v>22444</v>
      </c>
      <c r="L484" s="1" t="s">
        <v>22445</v>
      </c>
      <c r="M484" s="1" t="s">
        <v>22446</v>
      </c>
      <c r="N484" s="3" t="s">
        <v>22447</v>
      </c>
    </row>
    <row r="485" spans="1:14" ht="409.6">
      <c r="A485" s="1" t="s">
        <v>22448</v>
      </c>
      <c r="B485" s="1" t="s">
        <v>22449</v>
      </c>
      <c r="C485" s="1" t="s">
        <v>22450</v>
      </c>
      <c r="D485" s="1" t="s">
        <v>22451</v>
      </c>
      <c r="E485" s="1" t="s">
        <v>22452</v>
      </c>
      <c r="F485" s="1" t="s">
        <v>22453</v>
      </c>
      <c r="G485" s="1" t="s">
        <v>22454</v>
      </c>
      <c r="H485" s="1">
        <v>120</v>
      </c>
      <c r="I485" s="1" t="s">
        <v>14281</v>
      </c>
      <c r="J485" s="1" t="s">
        <v>15314</v>
      </c>
      <c r="K485" s="4" t="s">
        <v>22455</v>
      </c>
      <c r="L485" s="1" t="s">
        <v>22456</v>
      </c>
      <c r="M485" s="1" t="s">
        <v>22457</v>
      </c>
      <c r="N485" s="3" t="s">
        <v>22458</v>
      </c>
    </row>
    <row r="486" spans="1:14" ht="13.8">
      <c r="A486" s="1" t="s">
        <v>19528</v>
      </c>
      <c r="B486" s="1" t="s">
        <v>22459</v>
      </c>
      <c r="C486" s="1" t="s">
        <v>22460</v>
      </c>
      <c r="D486" s="1" t="s">
        <v>22461</v>
      </c>
      <c r="E486" s="1" t="s">
        <v>22462</v>
      </c>
      <c r="F486" s="1" t="s">
        <v>22463</v>
      </c>
      <c r="G486" s="1" t="s">
        <v>22464</v>
      </c>
      <c r="H486" s="1">
        <v>30</v>
      </c>
      <c r="I486" s="1" t="s">
        <v>17252</v>
      </c>
      <c r="J486" s="1" t="s">
        <v>15314</v>
      </c>
      <c r="K486" s="1" t="s">
        <v>22465</v>
      </c>
      <c r="L486" s="1" t="s">
        <v>22466</v>
      </c>
      <c r="M486" s="1" t="s">
        <v>22467</v>
      </c>
      <c r="N486" s="3" t="s">
        <v>22468</v>
      </c>
    </row>
    <row r="487" spans="1:14" ht="13.8">
      <c r="A487" s="1" t="s">
        <v>22469</v>
      </c>
      <c r="B487" s="1" t="s">
        <v>22470</v>
      </c>
      <c r="C487" s="1" t="s">
        <v>22471</v>
      </c>
      <c r="D487" s="1" t="s">
        <v>22472</v>
      </c>
      <c r="E487" s="1" t="s">
        <v>22473</v>
      </c>
      <c r="F487" s="1" t="s">
        <v>22474</v>
      </c>
      <c r="G487" s="1" t="s">
        <v>22475</v>
      </c>
      <c r="H487" s="1">
        <v>495</v>
      </c>
      <c r="I487" s="1" t="s">
        <v>8417</v>
      </c>
      <c r="J487" s="1" t="s">
        <v>14198</v>
      </c>
      <c r="K487" s="1" t="s">
        <v>22476</v>
      </c>
      <c r="L487" s="1" t="s">
        <v>22477</v>
      </c>
      <c r="M487" s="1" t="s">
        <v>22478</v>
      </c>
      <c r="N487" s="3" t="s">
        <v>22479</v>
      </c>
    </row>
    <row r="488" spans="1:14" ht="13.8">
      <c r="A488" s="1" t="s">
        <v>22480</v>
      </c>
      <c r="B488" s="1" t="s">
        <v>22481</v>
      </c>
      <c r="C488" s="1" t="s">
        <v>22482</v>
      </c>
      <c r="D488" s="1" t="s">
        <v>22483</v>
      </c>
      <c r="E488" s="1" t="s">
        <v>22484</v>
      </c>
      <c r="F488" s="1" t="s">
        <v>22485</v>
      </c>
      <c r="G488" s="1" t="s">
        <v>22486</v>
      </c>
      <c r="H488" s="1">
        <v>510</v>
      </c>
      <c r="I488" s="1" t="s">
        <v>14259</v>
      </c>
      <c r="J488" s="1" t="s">
        <v>14237</v>
      </c>
      <c r="K488" s="1" t="s">
        <v>22487</v>
      </c>
      <c r="L488" s="1" t="s">
        <v>22488</v>
      </c>
      <c r="M488" s="1" t="s">
        <v>22489</v>
      </c>
      <c r="N488" s="3" t="s">
        <v>22490</v>
      </c>
    </row>
    <row r="489" spans="1:14" ht="409.6">
      <c r="A489" s="1" t="s">
        <v>22491</v>
      </c>
      <c r="B489" s="1" t="s">
        <v>22492</v>
      </c>
      <c r="C489" s="1" t="s">
        <v>22493</v>
      </c>
      <c r="D489" s="1" t="s">
        <v>22494</v>
      </c>
      <c r="E489" s="1" t="s">
        <v>22495</v>
      </c>
      <c r="F489" s="1" t="s">
        <v>22496</v>
      </c>
      <c r="G489" s="1" t="s">
        <v>22497</v>
      </c>
      <c r="H489" s="1">
        <v>60</v>
      </c>
      <c r="I489" s="1" t="s">
        <v>429</v>
      </c>
      <c r="J489" s="1" t="s">
        <v>14198</v>
      </c>
      <c r="K489" s="4" t="s">
        <v>22498</v>
      </c>
      <c r="L489" s="1" t="s">
        <v>22499</v>
      </c>
      <c r="M489" s="1" t="s">
        <v>22500</v>
      </c>
      <c r="N489" s="3" t="s">
        <v>22501</v>
      </c>
    </row>
    <row r="490" spans="1:14" ht="13.8">
      <c r="A490" s="1" t="s">
        <v>22502</v>
      </c>
      <c r="B490" s="1" t="s">
        <v>22503</v>
      </c>
      <c r="C490" s="1" t="s">
        <v>22504</v>
      </c>
      <c r="D490" s="1" t="s">
        <v>22505</v>
      </c>
      <c r="E490" s="1" t="s">
        <v>22506</v>
      </c>
      <c r="F490" s="1" t="s">
        <v>22507</v>
      </c>
      <c r="G490" s="1" t="s">
        <v>22508</v>
      </c>
      <c r="H490" s="1">
        <v>30</v>
      </c>
      <c r="I490" s="1" t="s">
        <v>14259</v>
      </c>
      <c r="J490" s="1" t="s">
        <v>14237</v>
      </c>
      <c r="K490" s="1" t="s">
        <v>22509</v>
      </c>
      <c r="L490" s="1" t="s">
        <v>22510</v>
      </c>
      <c r="M490" s="1" t="s">
        <v>22511</v>
      </c>
      <c r="N490" s="3" t="s">
        <v>22512</v>
      </c>
    </row>
    <row r="491" spans="1:14" ht="409.6">
      <c r="A491" s="1" t="s">
        <v>22513</v>
      </c>
      <c r="B491" s="1" t="s">
        <v>22514</v>
      </c>
      <c r="C491" s="1" t="s">
        <v>22515</v>
      </c>
      <c r="D491" s="1" t="s">
        <v>22516</v>
      </c>
      <c r="E491" s="1" t="s">
        <v>22517</v>
      </c>
      <c r="F491" s="1" t="s">
        <v>22518</v>
      </c>
      <c r="G491" s="1" t="s">
        <v>22519</v>
      </c>
      <c r="H491" s="1">
        <v>15</v>
      </c>
      <c r="I491" s="1" t="s">
        <v>17252</v>
      </c>
      <c r="J491" s="1" t="s">
        <v>14198</v>
      </c>
      <c r="K491" s="4" t="s">
        <v>22520</v>
      </c>
      <c r="L491" s="1" t="s">
        <v>22521</v>
      </c>
      <c r="M491" s="1" t="s">
        <v>22522</v>
      </c>
      <c r="N491" s="3" t="s">
        <v>22523</v>
      </c>
    </row>
    <row r="492" spans="1:14" ht="13.8">
      <c r="A492" s="1" t="s">
        <v>22524</v>
      </c>
      <c r="B492" s="1" t="s">
        <v>22525</v>
      </c>
      <c r="C492" s="1" t="s">
        <v>22526</v>
      </c>
      <c r="D492" s="1" t="s">
        <v>22527</v>
      </c>
      <c r="E492" s="1" t="s">
        <v>22528</v>
      </c>
      <c r="F492" s="1" t="s">
        <v>22529</v>
      </c>
      <c r="G492" s="1" t="s">
        <v>22530</v>
      </c>
      <c r="H492" s="1">
        <v>35</v>
      </c>
      <c r="I492" s="1" t="s">
        <v>17252</v>
      </c>
      <c r="J492" s="1" t="s">
        <v>15314</v>
      </c>
      <c r="K492" s="1" t="s">
        <v>22531</v>
      </c>
      <c r="L492" s="1" t="s">
        <v>22532</v>
      </c>
      <c r="M492" s="1" t="s">
        <v>22533</v>
      </c>
      <c r="N492" s="3" t="s">
        <v>22534</v>
      </c>
    </row>
    <row r="493" spans="1:14" ht="13.8">
      <c r="A493" s="1" t="s">
        <v>22535</v>
      </c>
      <c r="B493" s="1" t="s">
        <v>22536</v>
      </c>
      <c r="C493" s="1" t="s">
        <v>22537</v>
      </c>
      <c r="D493" s="1" t="s">
        <v>22538</v>
      </c>
      <c r="E493" s="1" t="s">
        <v>22539</v>
      </c>
      <c r="F493" s="1" t="s">
        <v>22540</v>
      </c>
      <c r="G493" s="1" t="s">
        <v>22541</v>
      </c>
      <c r="H493" s="1">
        <v>20</v>
      </c>
      <c r="I493" s="1" t="s">
        <v>14281</v>
      </c>
      <c r="J493" s="1" t="s">
        <v>14198</v>
      </c>
      <c r="K493" s="1" t="s">
        <v>22542</v>
      </c>
      <c r="L493" s="1" t="s">
        <v>22543</v>
      </c>
      <c r="M493" s="1" t="s">
        <v>22544</v>
      </c>
      <c r="N493" s="3" t="s">
        <v>22545</v>
      </c>
    </row>
    <row r="494" spans="1:14" ht="13.8">
      <c r="A494" s="1" t="s">
        <v>22546</v>
      </c>
      <c r="B494" s="1" t="s">
        <v>22547</v>
      </c>
      <c r="C494" s="1" t="s">
        <v>22548</v>
      </c>
      <c r="D494" s="1" t="s">
        <v>22549</v>
      </c>
      <c r="E494" s="1" t="s">
        <v>22550</v>
      </c>
      <c r="F494" s="1" t="s">
        <v>22551</v>
      </c>
      <c r="G494" s="1" t="s">
        <v>22552</v>
      </c>
      <c r="H494" s="1">
        <v>45</v>
      </c>
      <c r="I494" s="1" t="s">
        <v>8417</v>
      </c>
      <c r="J494" s="1" t="s">
        <v>14198</v>
      </c>
      <c r="K494" s="1" t="s">
        <v>22553</v>
      </c>
      <c r="L494" s="1" t="s">
        <v>22554</v>
      </c>
      <c r="M494" s="1" t="s">
        <v>22555</v>
      </c>
      <c r="N494" s="3" t="s">
        <v>22556</v>
      </c>
    </row>
    <row r="495" spans="1:14" ht="409.6">
      <c r="A495" s="1" t="s">
        <v>22557</v>
      </c>
      <c r="B495" s="1" t="s">
        <v>22558</v>
      </c>
      <c r="C495" s="1" t="s">
        <v>22559</v>
      </c>
      <c r="D495" s="1" t="s">
        <v>22560</v>
      </c>
      <c r="E495" s="1" t="s">
        <v>22561</v>
      </c>
      <c r="F495" s="1" t="s">
        <v>22562</v>
      </c>
      <c r="G495" s="1" t="s">
        <v>22563</v>
      </c>
      <c r="H495" s="1">
        <v>25</v>
      </c>
      <c r="I495" s="1" t="s">
        <v>14572</v>
      </c>
      <c r="J495" s="1" t="s">
        <v>17937</v>
      </c>
      <c r="K495" s="4" t="s">
        <v>22564</v>
      </c>
      <c r="L495" s="1" t="s">
        <v>22565</v>
      </c>
      <c r="M495" s="1" t="s">
        <v>22566</v>
      </c>
      <c r="N495" s="3" t="s">
        <v>22567</v>
      </c>
    </row>
    <row r="496" spans="1:14" ht="409.6">
      <c r="A496" s="1" t="s">
        <v>22568</v>
      </c>
      <c r="B496" s="1" t="s">
        <v>22569</v>
      </c>
      <c r="C496" s="1" t="s">
        <v>22570</v>
      </c>
      <c r="D496" s="1" t="s">
        <v>22571</v>
      </c>
      <c r="E496" s="1" t="s">
        <v>22572</v>
      </c>
      <c r="F496" s="1" t="s">
        <v>22573</v>
      </c>
      <c r="G496" s="1" t="s">
        <v>22574</v>
      </c>
      <c r="H496" s="1">
        <v>35</v>
      </c>
      <c r="I496" s="1" t="s">
        <v>14572</v>
      </c>
      <c r="J496" s="1" t="s">
        <v>14382</v>
      </c>
      <c r="K496" s="4" t="s">
        <v>22575</v>
      </c>
      <c r="L496" s="1" t="s">
        <v>22576</v>
      </c>
      <c r="M496" s="1" t="s">
        <v>22577</v>
      </c>
      <c r="N496" s="3" t="s">
        <v>22578</v>
      </c>
    </row>
    <row r="497" spans="1:14" ht="13.8">
      <c r="A497" s="1" t="s">
        <v>22579</v>
      </c>
      <c r="B497" s="1" t="s">
        <v>22580</v>
      </c>
      <c r="C497" s="1" t="s">
        <v>22581</v>
      </c>
      <c r="D497" s="1" t="s">
        <v>22582</v>
      </c>
      <c r="E497" s="1" t="s">
        <v>22583</v>
      </c>
      <c r="F497" s="1" t="s">
        <v>22584</v>
      </c>
      <c r="G497" s="1" t="s">
        <v>22585</v>
      </c>
      <c r="H497" s="1">
        <v>45</v>
      </c>
      <c r="I497" s="1" t="s">
        <v>14572</v>
      </c>
      <c r="J497" s="1" t="s">
        <v>14198</v>
      </c>
      <c r="K497" s="1" t="s">
        <v>22586</v>
      </c>
      <c r="L497" s="1" t="s">
        <v>22587</v>
      </c>
      <c r="M497" s="1" t="s">
        <v>22588</v>
      </c>
      <c r="N497" s="3" t="s">
        <v>22589</v>
      </c>
    </row>
    <row r="498" spans="1:14" ht="13.8">
      <c r="A498" s="1" t="s">
        <v>22590</v>
      </c>
      <c r="B498" s="1" t="s">
        <v>22591</v>
      </c>
      <c r="C498" s="1" t="s">
        <v>22592</v>
      </c>
      <c r="D498" s="1" t="s">
        <v>22593</v>
      </c>
      <c r="E498" s="1" t="s">
        <v>22594</v>
      </c>
      <c r="F498" s="1" t="s">
        <v>22595</v>
      </c>
      <c r="G498" s="1" t="s">
        <v>22596</v>
      </c>
      <c r="H498" s="1">
        <v>10</v>
      </c>
      <c r="I498" s="1" t="s">
        <v>14572</v>
      </c>
      <c r="J498" s="1" t="s">
        <v>14198</v>
      </c>
      <c r="K498" s="1" t="s">
        <v>22597</v>
      </c>
      <c r="L498" s="1" t="s">
        <v>22598</v>
      </c>
      <c r="M498" s="1" t="s">
        <v>22599</v>
      </c>
      <c r="N498" s="3" t="s">
        <v>22600</v>
      </c>
    </row>
    <row r="499" spans="1:14" ht="409.6">
      <c r="A499" s="1" t="s">
        <v>22601</v>
      </c>
      <c r="B499" s="1" t="s">
        <v>22602</v>
      </c>
      <c r="C499" s="1" t="s">
        <v>22603</v>
      </c>
      <c r="D499" s="1" t="s">
        <v>22604</v>
      </c>
      <c r="E499" s="1" t="s">
        <v>22605</v>
      </c>
      <c r="F499" s="1" t="s">
        <v>22606</v>
      </c>
      <c r="G499" s="1" t="s">
        <v>22607</v>
      </c>
      <c r="H499" s="1">
        <v>45</v>
      </c>
      <c r="I499" s="1" t="s">
        <v>14281</v>
      </c>
      <c r="J499" s="1" t="s">
        <v>14198</v>
      </c>
      <c r="K499" s="4" t="s">
        <v>22608</v>
      </c>
      <c r="L499" s="1" t="s">
        <v>22609</v>
      </c>
      <c r="M499" s="1" t="s">
        <v>22610</v>
      </c>
      <c r="N499" s="3" t="s">
        <v>22611</v>
      </c>
    </row>
    <row r="500" spans="1:14" ht="13.8">
      <c r="A500" s="1" t="s">
        <v>22612</v>
      </c>
      <c r="B500" s="1" t="s">
        <v>22613</v>
      </c>
      <c r="C500" s="1" t="s">
        <v>22614</v>
      </c>
      <c r="D500" s="1" t="s">
        <v>22615</v>
      </c>
      <c r="E500" s="1" t="s">
        <v>22616</v>
      </c>
      <c r="F500" s="1" t="s">
        <v>22617</v>
      </c>
      <c r="G500" s="1" t="s">
        <v>22618</v>
      </c>
      <c r="H500" s="1">
        <v>35</v>
      </c>
      <c r="I500" s="1" t="s">
        <v>14572</v>
      </c>
      <c r="J500" s="1" t="s">
        <v>14198</v>
      </c>
      <c r="K500" s="1" t="s">
        <v>22619</v>
      </c>
      <c r="L500" s="1" t="s">
        <v>22620</v>
      </c>
      <c r="M500" s="1" t="s">
        <v>22621</v>
      </c>
      <c r="N500" s="3" t="s">
        <v>22622</v>
      </c>
    </row>
    <row r="501" spans="1:14" ht="13.8">
      <c r="A501" s="1" t="s">
        <v>22623</v>
      </c>
      <c r="B501" s="1" t="s">
        <v>22624</v>
      </c>
      <c r="C501" s="1" t="s">
        <v>22625</v>
      </c>
      <c r="D501" s="1" t="s">
        <v>22626</v>
      </c>
      <c r="E501" s="1" t="s">
        <v>22627</v>
      </c>
      <c r="F501" s="1" t="s">
        <v>22628</v>
      </c>
      <c r="G501" s="1" t="s">
        <v>22629</v>
      </c>
      <c r="H501" s="1">
        <v>75</v>
      </c>
      <c r="I501" s="1" t="s">
        <v>17252</v>
      </c>
      <c r="J501" s="1" t="s">
        <v>14237</v>
      </c>
      <c r="K501" s="1" t="s">
        <v>22630</v>
      </c>
      <c r="L501" s="1" t="s">
        <v>22631</v>
      </c>
      <c r="M501" s="1" t="s">
        <v>22632</v>
      </c>
      <c r="N501" s="3" t="s">
        <v>22633</v>
      </c>
    </row>
    <row r="502" spans="1:14" ht="13.8">
      <c r="A502" s="1" t="s">
        <v>22634</v>
      </c>
      <c r="B502" s="1" t="s">
        <v>22635</v>
      </c>
      <c r="C502" s="1" t="s">
        <v>22636</v>
      </c>
      <c r="D502" s="1" t="s">
        <v>22637</v>
      </c>
      <c r="E502" s="1" t="s">
        <v>22638</v>
      </c>
      <c r="F502" s="1" t="s">
        <v>22639</v>
      </c>
      <c r="G502" s="1" t="s">
        <v>22640</v>
      </c>
      <c r="H502" s="1">
        <v>135</v>
      </c>
      <c r="I502" s="1" t="s">
        <v>8417</v>
      </c>
      <c r="J502" s="1" t="s">
        <v>14198</v>
      </c>
      <c r="K502" s="1" t="s">
        <v>22641</v>
      </c>
      <c r="L502" s="1" t="s">
        <v>22642</v>
      </c>
      <c r="M502" s="1" t="s">
        <v>22643</v>
      </c>
      <c r="N502" s="3" t="s">
        <v>22644</v>
      </c>
    </row>
    <row r="503" spans="1:14" ht="409.6">
      <c r="A503" s="1" t="s">
        <v>22645</v>
      </c>
      <c r="B503" s="1" t="s">
        <v>22646</v>
      </c>
      <c r="C503" s="1" t="s">
        <v>22647</v>
      </c>
      <c r="D503" s="1" t="s">
        <v>22648</v>
      </c>
      <c r="E503" s="1" t="s">
        <v>22649</v>
      </c>
      <c r="F503" s="1" t="s">
        <v>22650</v>
      </c>
      <c r="G503" s="1" t="s">
        <v>22651</v>
      </c>
      <c r="H503" s="1">
        <v>335</v>
      </c>
      <c r="I503" s="1" t="s">
        <v>8417</v>
      </c>
      <c r="J503" s="1" t="s">
        <v>14198</v>
      </c>
      <c r="K503" s="4" t="s">
        <v>22652</v>
      </c>
      <c r="L503" s="1" t="s">
        <v>22653</v>
      </c>
      <c r="M503" s="1" t="s">
        <v>22654</v>
      </c>
      <c r="N503" s="3" t="s">
        <v>22655</v>
      </c>
    </row>
    <row r="504" spans="1:14" ht="13.8">
      <c r="A504" s="1" t="s">
        <v>21876</v>
      </c>
      <c r="B504" s="1" t="s">
        <v>22656</v>
      </c>
      <c r="C504" s="1" t="s">
        <v>22657</v>
      </c>
      <c r="D504" s="1" t="s">
        <v>22658</v>
      </c>
      <c r="E504" s="1" t="s">
        <v>22659</v>
      </c>
      <c r="F504" s="1" t="s">
        <v>22660</v>
      </c>
      <c r="G504" s="1" t="s">
        <v>22661</v>
      </c>
      <c r="H504" s="1">
        <v>55</v>
      </c>
      <c r="I504" s="1" t="s">
        <v>14572</v>
      </c>
      <c r="J504" s="1" t="s">
        <v>14198</v>
      </c>
      <c r="K504" s="1" t="s">
        <v>22662</v>
      </c>
      <c r="L504" s="1" t="s">
        <v>22663</v>
      </c>
      <c r="M504" s="1" t="s">
        <v>22664</v>
      </c>
      <c r="N504" s="3" t="s">
        <v>22665</v>
      </c>
    </row>
    <row r="505" spans="1:14" ht="409.6">
      <c r="A505" s="1" t="s">
        <v>22666</v>
      </c>
      <c r="B505" s="1" t="s">
        <v>22667</v>
      </c>
      <c r="C505" s="1" t="s">
        <v>22668</v>
      </c>
      <c r="D505" s="1" t="s">
        <v>22669</v>
      </c>
      <c r="E505" s="1" t="s">
        <v>22670</v>
      </c>
      <c r="F505" s="1" t="s">
        <v>22671</v>
      </c>
      <c r="G505" s="1" t="s">
        <v>22672</v>
      </c>
      <c r="H505" s="1">
        <v>45</v>
      </c>
      <c r="I505" s="1" t="s">
        <v>14281</v>
      </c>
      <c r="J505" s="1" t="s">
        <v>15314</v>
      </c>
      <c r="K505" s="4" t="s">
        <v>22673</v>
      </c>
      <c r="L505" s="1" t="s">
        <v>22674</v>
      </c>
      <c r="M505" s="1" t="s">
        <v>22675</v>
      </c>
      <c r="N505" s="3" t="s">
        <v>22676</v>
      </c>
    </row>
    <row r="506" spans="1:14" ht="13.8">
      <c r="A506" s="1" t="s">
        <v>22677</v>
      </c>
      <c r="B506" s="1" t="s">
        <v>22678</v>
      </c>
      <c r="C506" s="1" t="s">
        <v>22679</v>
      </c>
      <c r="D506" s="1" t="s">
        <v>22680</v>
      </c>
      <c r="E506" s="1" t="s">
        <v>22681</v>
      </c>
      <c r="F506" s="1" t="s">
        <v>22682</v>
      </c>
      <c r="G506" s="1" t="s">
        <v>22683</v>
      </c>
      <c r="H506" s="1">
        <v>60</v>
      </c>
      <c r="I506" s="1" t="s">
        <v>8417</v>
      </c>
      <c r="J506" s="1" t="s">
        <v>17937</v>
      </c>
      <c r="K506" s="1" t="s">
        <v>22684</v>
      </c>
      <c r="L506" s="1" t="s">
        <v>22685</v>
      </c>
      <c r="M506" s="1" t="s">
        <v>22686</v>
      </c>
      <c r="N506" s="3" t="s">
        <v>22687</v>
      </c>
    </row>
    <row r="507" spans="1:14" ht="13.8">
      <c r="A507" s="1" t="s">
        <v>22688</v>
      </c>
      <c r="B507" s="1" t="s">
        <v>22689</v>
      </c>
      <c r="C507" s="1" t="s">
        <v>22690</v>
      </c>
      <c r="D507" s="1" t="s">
        <v>22691</v>
      </c>
      <c r="E507" s="1" t="s">
        <v>22692</v>
      </c>
      <c r="F507" s="1" t="s">
        <v>22693</v>
      </c>
      <c r="G507" s="1" t="s">
        <v>22694</v>
      </c>
      <c r="H507" s="1">
        <v>40</v>
      </c>
      <c r="I507" s="1" t="s">
        <v>17252</v>
      </c>
      <c r="J507" s="1" t="s">
        <v>14198</v>
      </c>
      <c r="K507" s="1" t="s">
        <v>22695</v>
      </c>
      <c r="L507" s="1" t="s">
        <v>22696</v>
      </c>
      <c r="M507" s="1" t="s">
        <v>22697</v>
      </c>
      <c r="N507" s="3" t="s">
        <v>22698</v>
      </c>
    </row>
    <row r="508" spans="1:14" ht="409.6">
      <c r="A508" s="1" t="s">
        <v>22699</v>
      </c>
      <c r="B508" s="1" t="s">
        <v>22700</v>
      </c>
      <c r="C508" s="1" t="s">
        <v>22701</v>
      </c>
      <c r="D508" s="1" t="s">
        <v>22702</v>
      </c>
      <c r="E508" s="1" t="s">
        <v>22703</v>
      </c>
      <c r="F508" s="1" t="s">
        <v>22704</v>
      </c>
      <c r="G508" s="1" t="s">
        <v>22705</v>
      </c>
      <c r="H508" s="1">
        <v>45</v>
      </c>
      <c r="I508" s="1" t="s">
        <v>14281</v>
      </c>
      <c r="J508" s="1" t="s">
        <v>14198</v>
      </c>
      <c r="K508" s="4" t="s">
        <v>22706</v>
      </c>
      <c r="L508" s="1" t="s">
        <v>22707</v>
      </c>
      <c r="M508" s="1" t="s">
        <v>22708</v>
      </c>
      <c r="N508" s="3" t="s">
        <v>22709</v>
      </c>
    </row>
    <row r="509" spans="1:14" ht="13.8">
      <c r="A509" s="1" t="s">
        <v>22710</v>
      </c>
      <c r="B509" s="1" t="s">
        <v>22711</v>
      </c>
      <c r="C509" s="1" t="s">
        <v>22712</v>
      </c>
      <c r="D509" s="1" t="s">
        <v>22713</v>
      </c>
      <c r="E509" s="1" t="s">
        <v>22714</v>
      </c>
      <c r="F509" s="1" t="s">
        <v>22715</v>
      </c>
      <c r="G509" s="1" t="s">
        <v>22716</v>
      </c>
      <c r="H509" s="1">
        <v>60</v>
      </c>
      <c r="I509" s="1" t="s">
        <v>8417</v>
      </c>
      <c r="J509" s="1" t="s">
        <v>14198</v>
      </c>
      <c r="K509" s="1" t="s">
        <v>22717</v>
      </c>
      <c r="L509" s="1" t="s">
        <v>22718</v>
      </c>
      <c r="M509" s="1" t="s">
        <v>22719</v>
      </c>
      <c r="N509" s="3" t="s">
        <v>22720</v>
      </c>
    </row>
    <row r="510" spans="1:14" ht="409.6">
      <c r="A510" s="1" t="s">
        <v>22721</v>
      </c>
      <c r="B510" s="1" t="s">
        <v>22722</v>
      </c>
      <c r="C510" s="1" t="s">
        <v>22723</v>
      </c>
      <c r="D510" s="1" t="s">
        <v>22724</v>
      </c>
      <c r="E510" s="1" t="s">
        <v>22725</v>
      </c>
      <c r="F510" s="1" t="s">
        <v>22726</v>
      </c>
      <c r="G510" s="1" t="s">
        <v>22727</v>
      </c>
      <c r="H510" s="1">
        <v>65</v>
      </c>
      <c r="I510" s="1" t="s">
        <v>8417</v>
      </c>
      <c r="J510" s="1" t="s">
        <v>15314</v>
      </c>
      <c r="K510" s="4" t="s">
        <v>22728</v>
      </c>
      <c r="L510" s="1" t="s">
        <v>22729</v>
      </c>
      <c r="M510" s="1" t="s">
        <v>22730</v>
      </c>
      <c r="N510" s="3" t="s">
        <v>22731</v>
      </c>
    </row>
    <row r="511" spans="1:14" ht="13.8">
      <c r="A511" s="1" t="s">
        <v>22732</v>
      </c>
      <c r="B511" s="1" t="s">
        <v>22733</v>
      </c>
      <c r="C511" s="1" t="s">
        <v>22734</v>
      </c>
      <c r="D511" s="1" t="s">
        <v>22735</v>
      </c>
      <c r="E511" s="1" t="s">
        <v>22736</v>
      </c>
      <c r="F511" s="1" t="s">
        <v>22737</v>
      </c>
      <c r="G511" s="1" t="s">
        <v>22738</v>
      </c>
      <c r="H511" s="1">
        <v>45</v>
      </c>
      <c r="I511" s="1" t="s">
        <v>14281</v>
      </c>
      <c r="J511" s="1" t="s">
        <v>14198</v>
      </c>
      <c r="K511" s="1" t="s">
        <v>22739</v>
      </c>
      <c r="L511" s="1" t="s">
        <v>22740</v>
      </c>
      <c r="M511" s="1" t="s">
        <v>22741</v>
      </c>
      <c r="N511" s="3" t="s">
        <v>22742</v>
      </c>
    </row>
    <row r="512" spans="1:14" ht="13.8">
      <c r="A512" s="1" t="s">
        <v>22743</v>
      </c>
      <c r="B512" s="1" t="s">
        <v>22744</v>
      </c>
      <c r="C512" s="1" t="s">
        <v>22745</v>
      </c>
      <c r="D512" s="1" t="s">
        <v>22746</v>
      </c>
      <c r="E512" s="1" t="s">
        <v>22747</v>
      </c>
      <c r="F512" s="1" t="s">
        <v>22748</v>
      </c>
      <c r="G512" s="1" t="s">
        <v>22749</v>
      </c>
      <c r="H512" s="1">
        <v>45</v>
      </c>
      <c r="I512" s="1" t="s">
        <v>14259</v>
      </c>
      <c r="J512" s="1" t="s">
        <v>14367</v>
      </c>
      <c r="K512" s="1" t="s">
        <v>22750</v>
      </c>
      <c r="L512" s="1" t="s">
        <v>22751</v>
      </c>
      <c r="M512" s="1" t="s">
        <v>22752</v>
      </c>
      <c r="N512" s="3" t="s">
        <v>22753</v>
      </c>
    </row>
    <row r="513" spans="1:14" ht="409.6">
      <c r="A513" s="1" t="s">
        <v>22754</v>
      </c>
      <c r="B513" s="1" t="s">
        <v>22755</v>
      </c>
      <c r="C513" s="1" t="s">
        <v>22756</v>
      </c>
      <c r="D513" s="1" t="s">
        <v>22757</v>
      </c>
      <c r="E513" s="1" t="s">
        <v>22758</v>
      </c>
      <c r="F513" s="1" t="s">
        <v>22759</v>
      </c>
      <c r="G513" s="1" t="s">
        <v>22760</v>
      </c>
      <c r="H513" s="1">
        <v>50</v>
      </c>
      <c r="I513" s="1" t="s">
        <v>8417</v>
      </c>
      <c r="J513" s="1" t="s">
        <v>15314</v>
      </c>
      <c r="K513" s="4" t="s">
        <v>22761</v>
      </c>
      <c r="L513" s="1" t="s">
        <v>22762</v>
      </c>
      <c r="M513" s="1" t="s">
        <v>22763</v>
      </c>
      <c r="N513" s="3" t="s">
        <v>22764</v>
      </c>
    </row>
    <row r="514" spans="1:14" ht="13.8">
      <c r="A514" s="1" t="s">
        <v>22765</v>
      </c>
      <c r="B514" s="1" t="s">
        <v>22766</v>
      </c>
      <c r="C514" s="1" t="s">
        <v>22767</v>
      </c>
      <c r="D514" s="1" t="s">
        <v>22768</v>
      </c>
      <c r="E514" s="1" t="s">
        <v>22769</v>
      </c>
      <c r="F514" s="1" t="s">
        <v>22770</v>
      </c>
      <c r="G514" s="1" t="s">
        <v>22771</v>
      </c>
      <c r="H514" s="1">
        <v>60</v>
      </c>
      <c r="I514" s="1" t="s">
        <v>8417</v>
      </c>
      <c r="J514" s="1" t="s">
        <v>15314</v>
      </c>
      <c r="K514" s="1" t="s">
        <v>22772</v>
      </c>
      <c r="L514" s="1" t="s">
        <v>22773</v>
      </c>
      <c r="M514" s="1" t="s">
        <v>22774</v>
      </c>
      <c r="N514" s="3" t="s">
        <v>22775</v>
      </c>
    </row>
    <row r="515" spans="1:14" ht="13.8">
      <c r="A515" s="1" t="s">
        <v>22776</v>
      </c>
      <c r="B515" s="1" t="s">
        <v>22777</v>
      </c>
      <c r="C515" s="1" t="s">
        <v>22778</v>
      </c>
      <c r="D515" s="1" t="s">
        <v>22779</v>
      </c>
      <c r="E515" s="1" t="s">
        <v>22780</v>
      </c>
      <c r="F515" s="1" t="s">
        <v>22781</v>
      </c>
      <c r="G515" s="1" t="s">
        <v>22782</v>
      </c>
      <c r="H515" s="1">
        <v>90</v>
      </c>
      <c r="I515" s="1" t="s">
        <v>14281</v>
      </c>
      <c r="J515" s="1" t="s">
        <v>14198</v>
      </c>
      <c r="K515" s="1" t="s">
        <v>22783</v>
      </c>
      <c r="L515" s="1" t="s">
        <v>22784</v>
      </c>
      <c r="M515" s="1" t="s">
        <v>22785</v>
      </c>
      <c r="N515" s="3" t="s">
        <v>22786</v>
      </c>
    </row>
    <row r="516" spans="1:14" ht="13.8">
      <c r="A516" s="1" t="s">
        <v>22787</v>
      </c>
      <c r="B516" s="1" t="s">
        <v>22788</v>
      </c>
      <c r="C516" s="1" t="s">
        <v>22789</v>
      </c>
      <c r="D516" s="1" t="s">
        <v>22790</v>
      </c>
      <c r="E516" s="1" t="s">
        <v>22791</v>
      </c>
      <c r="F516" s="1" t="s">
        <v>22792</v>
      </c>
      <c r="G516" s="1" t="s">
        <v>22793</v>
      </c>
      <c r="H516" s="1">
        <v>60</v>
      </c>
      <c r="I516" s="1" t="s">
        <v>17937</v>
      </c>
      <c r="J516" s="1" t="s">
        <v>15314</v>
      </c>
      <c r="K516" s="1" t="s">
        <v>22794</v>
      </c>
      <c r="L516" s="1" t="s">
        <v>22795</v>
      </c>
      <c r="M516" s="1" t="s">
        <v>22796</v>
      </c>
      <c r="N516" s="3" t="s">
        <v>22797</v>
      </c>
    </row>
    <row r="517" spans="1:14" ht="409.6">
      <c r="A517" s="1" t="s">
        <v>22798</v>
      </c>
      <c r="B517" s="1" t="s">
        <v>22799</v>
      </c>
      <c r="C517" s="1" t="s">
        <v>22800</v>
      </c>
      <c r="D517" s="1" t="s">
        <v>22801</v>
      </c>
      <c r="E517" s="1" t="s">
        <v>22802</v>
      </c>
      <c r="F517" s="1" t="s">
        <v>22803</v>
      </c>
      <c r="G517" s="1" t="s">
        <v>22804</v>
      </c>
      <c r="H517" s="1">
        <v>70</v>
      </c>
      <c r="I517" s="1" t="s">
        <v>8417</v>
      </c>
      <c r="J517" s="1" t="s">
        <v>15314</v>
      </c>
      <c r="K517" s="4" t="s">
        <v>22805</v>
      </c>
      <c r="L517" s="1" t="s">
        <v>22806</v>
      </c>
      <c r="M517" s="1" t="s">
        <v>22807</v>
      </c>
      <c r="N517" s="3" t="s">
        <v>22808</v>
      </c>
    </row>
    <row r="518" spans="1:14" ht="409.6">
      <c r="A518" s="1" t="s">
        <v>22809</v>
      </c>
      <c r="B518" s="1" t="s">
        <v>22810</v>
      </c>
      <c r="C518" s="1" t="s">
        <v>22811</v>
      </c>
      <c r="D518" s="1" t="s">
        <v>22812</v>
      </c>
      <c r="E518" s="1" t="s">
        <v>22813</v>
      </c>
      <c r="F518" s="1" t="s">
        <v>22814</v>
      </c>
      <c r="G518" s="1" t="s">
        <v>22815</v>
      </c>
      <c r="H518" s="1">
        <v>240</v>
      </c>
      <c r="I518" s="1" t="s">
        <v>17252</v>
      </c>
      <c r="J518" s="1" t="s">
        <v>14198</v>
      </c>
      <c r="K518" s="4" t="s">
        <v>22816</v>
      </c>
      <c r="L518" s="1" t="s">
        <v>22817</v>
      </c>
      <c r="M518" s="1" t="s">
        <v>22818</v>
      </c>
      <c r="N518" s="3" t="s">
        <v>22819</v>
      </c>
    </row>
    <row r="519" spans="1:14" ht="13.8">
      <c r="A519" s="1" t="s">
        <v>22820</v>
      </c>
      <c r="B519" s="1" t="s">
        <v>22821</v>
      </c>
      <c r="C519" s="1" t="s">
        <v>22822</v>
      </c>
      <c r="D519" s="1" t="s">
        <v>22823</v>
      </c>
      <c r="E519" s="1" t="s">
        <v>22824</v>
      </c>
      <c r="F519" s="1" t="s">
        <v>22825</v>
      </c>
      <c r="G519" s="1" t="s">
        <v>22826</v>
      </c>
      <c r="H519" s="1">
        <v>30</v>
      </c>
      <c r="I519" s="1" t="s">
        <v>17252</v>
      </c>
      <c r="J519" s="1" t="s">
        <v>14198</v>
      </c>
      <c r="K519" s="1" t="s">
        <v>22827</v>
      </c>
      <c r="L519" s="1" t="s">
        <v>22828</v>
      </c>
      <c r="M519" s="1" t="s">
        <v>22829</v>
      </c>
      <c r="N519" s="3" t="s">
        <v>22830</v>
      </c>
    </row>
    <row r="520" spans="1:14" ht="13.8">
      <c r="A520" s="1" t="s">
        <v>22831</v>
      </c>
      <c r="B520" s="1" t="s">
        <v>22832</v>
      </c>
      <c r="C520" s="1" t="s">
        <v>22833</v>
      </c>
      <c r="D520" s="1" t="s">
        <v>22834</v>
      </c>
      <c r="E520" s="1" t="s">
        <v>22835</v>
      </c>
      <c r="F520" s="1" t="s">
        <v>22836</v>
      </c>
      <c r="G520" s="1" t="s">
        <v>22837</v>
      </c>
      <c r="H520" s="1">
        <v>90</v>
      </c>
      <c r="I520" s="1" t="s">
        <v>8417</v>
      </c>
      <c r="J520" s="1" t="s">
        <v>18114</v>
      </c>
      <c r="K520" s="1" t="s">
        <v>22838</v>
      </c>
      <c r="L520" s="1" t="s">
        <v>22839</v>
      </c>
      <c r="M520" s="1" t="s">
        <v>22840</v>
      </c>
      <c r="N520" s="3" t="s">
        <v>22841</v>
      </c>
    </row>
    <row r="521" spans="1:14" ht="13.8">
      <c r="A521" s="1" t="s">
        <v>22842</v>
      </c>
      <c r="B521" s="1" t="s">
        <v>22843</v>
      </c>
      <c r="C521" s="1" t="s">
        <v>22844</v>
      </c>
      <c r="D521" s="1" t="s">
        <v>22845</v>
      </c>
      <c r="E521" s="1" t="s">
        <v>22846</v>
      </c>
      <c r="F521" s="1" t="s">
        <v>22847</v>
      </c>
      <c r="G521" s="1" t="s">
        <v>22848</v>
      </c>
      <c r="H521" s="1">
        <v>70</v>
      </c>
      <c r="I521" s="1" t="s">
        <v>14572</v>
      </c>
      <c r="J521" s="1" t="s">
        <v>14382</v>
      </c>
      <c r="K521" s="1" t="s">
        <v>22849</v>
      </c>
      <c r="L521" s="1" t="s">
        <v>22850</v>
      </c>
      <c r="M521" s="1" t="s">
        <v>22851</v>
      </c>
      <c r="N521" s="3" t="s">
        <v>22852</v>
      </c>
    </row>
    <row r="522" spans="1:14" ht="13.8">
      <c r="A522" s="1" t="s">
        <v>22853</v>
      </c>
      <c r="B522" s="1" t="s">
        <v>22854</v>
      </c>
      <c r="C522" s="1" t="s">
        <v>22855</v>
      </c>
      <c r="D522" s="1" t="s">
        <v>22856</v>
      </c>
      <c r="E522" s="1" t="s">
        <v>22857</v>
      </c>
      <c r="F522" s="1" t="s">
        <v>22858</v>
      </c>
      <c r="G522" s="1" t="s">
        <v>22859</v>
      </c>
      <c r="H522" s="1">
        <v>10</v>
      </c>
      <c r="I522" s="1" t="s">
        <v>429</v>
      </c>
      <c r="J522" s="1" t="s">
        <v>14198</v>
      </c>
      <c r="K522" s="1" t="s">
        <v>22860</v>
      </c>
      <c r="L522" s="1" t="s">
        <v>22861</v>
      </c>
      <c r="M522" s="1" t="s">
        <v>22862</v>
      </c>
      <c r="N522" s="3" t="s">
        <v>22863</v>
      </c>
    </row>
    <row r="523" spans="1:14" ht="13.8">
      <c r="A523" s="1" t="s">
        <v>22864</v>
      </c>
      <c r="B523" s="1" t="s">
        <v>22865</v>
      </c>
      <c r="C523" s="1" t="s">
        <v>22866</v>
      </c>
      <c r="D523" s="1" t="s">
        <v>22867</v>
      </c>
      <c r="E523" s="1" t="s">
        <v>22868</v>
      </c>
      <c r="F523" s="1" t="s">
        <v>22869</v>
      </c>
      <c r="G523" s="1" t="s">
        <v>22870</v>
      </c>
      <c r="H523" s="1">
        <v>5</v>
      </c>
      <c r="I523" s="1" t="s">
        <v>14281</v>
      </c>
      <c r="J523" s="1" t="s">
        <v>14198</v>
      </c>
      <c r="K523" s="1" t="s">
        <v>22871</v>
      </c>
      <c r="L523" s="1" t="s">
        <v>22872</v>
      </c>
      <c r="M523" s="1" t="s">
        <v>22873</v>
      </c>
      <c r="N523" s="3" t="s">
        <v>22874</v>
      </c>
    </row>
    <row r="524" spans="1:14" ht="13.8">
      <c r="A524" s="1" t="s">
        <v>22875</v>
      </c>
      <c r="B524" s="1" t="s">
        <v>22876</v>
      </c>
      <c r="C524" s="1" t="s">
        <v>22877</v>
      </c>
      <c r="D524" s="1" t="s">
        <v>22878</v>
      </c>
      <c r="E524" s="1" t="s">
        <v>22879</v>
      </c>
      <c r="F524" s="1" t="s">
        <v>22880</v>
      </c>
      <c r="G524" s="1" t="s">
        <v>22881</v>
      </c>
      <c r="H524" s="1">
        <v>55</v>
      </c>
      <c r="I524" s="1" t="s">
        <v>14572</v>
      </c>
      <c r="J524" s="1" t="s">
        <v>14367</v>
      </c>
      <c r="K524" s="1" t="s">
        <v>22882</v>
      </c>
      <c r="L524" s="1" t="s">
        <v>22883</v>
      </c>
      <c r="M524" s="1" t="s">
        <v>22884</v>
      </c>
      <c r="N524" s="3" t="s">
        <v>22885</v>
      </c>
    </row>
    <row r="525" spans="1:14" ht="13.8">
      <c r="A525" s="1" t="s">
        <v>22886</v>
      </c>
      <c r="B525" s="1" t="s">
        <v>22887</v>
      </c>
      <c r="C525" s="1" t="s">
        <v>22888</v>
      </c>
      <c r="D525" s="1" t="s">
        <v>22889</v>
      </c>
      <c r="E525" s="1" t="s">
        <v>22890</v>
      </c>
      <c r="F525" s="1" t="s">
        <v>22891</v>
      </c>
      <c r="G525" s="1" t="s">
        <v>22892</v>
      </c>
      <c r="H525" s="1">
        <v>40</v>
      </c>
      <c r="I525" s="1" t="s">
        <v>8417</v>
      </c>
      <c r="J525" s="1" t="s">
        <v>15314</v>
      </c>
      <c r="K525" s="1" t="s">
        <v>22893</v>
      </c>
      <c r="L525" s="1" t="s">
        <v>22894</v>
      </c>
      <c r="M525" s="1" t="s">
        <v>22895</v>
      </c>
      <c r="N525" s="3" t="s">
        <v>22896</v>
      </c>
    </row>
    <row r="526" spans="1:14" ht="13.8">
      <c r="A526" s="1" t="s">
        <v>22897</v>
      </c>
      <c r="B526" s="1" t="s">
        <v>22898</v>
      </c>
      <c r="C526" s="1" t="s">
        <v>22899</v>
      </c>
      <c r="D526" s="1" t="s">
        <v>22900</v>
      </c>
      <c r="E526" s="1" t="s">
        <v>22901</v>
      </c>
      <c r="F526" s="1" t="s">
        <v>22902</v>
      </c>
      <c r="G526" s="1" t="s">
        <v>22903</v>
      </c>
      <c r="H526" s="1">
        <v>20</v>
      </c>
      <c r="I526" s="1" t="s">
        <v>14281</v>
      </c>
      <c r="J526" s="1" t="s">
        <v>14198</v>
      </c>
      <c r="K526" s="1" t="s">
        <v>22904</v>
      </c>
      <c r="L526" s="1" t="s">
        <v>22905</v>
      </c>
      <c r="M526" s="1" t="s">
        <v>22906</v>
      </c>
      <c r="N526" s="3" t="s">
        <v>22907</v>
      </c>
    </row>
    <row r="527" spans="1:14" ht="409.6">
      <c r="A527" s="1" t="s">
        <v>22908</v>
      </c>
      <c r="B527" s="1" t="s">
        <v>22909</v>
      </c>
      <c r="C527" s="1" t="s">
        <v>22910</v>
      </c>
      <c r="D527" s="1" t="s">
        <v>22911</v>
      </c>
      <c r="E527" s="1" t="s">
        <v>22912</v>
      </c>
      <c r="F527" s="1" t="s">
        <v>22913</v>
      </c>
      <c r="G527" s="1" t="s">
        <v>22914</v>
      </c>
      <c r="H527" s="1">
        <v>460</v>
      </c>
      <c r="I527" s="1" t="s">
        <v>8417</v>
      </c>
      <c r="J527" s="1" t="s">
        <v>14382</v>
      </c>
      <c r="K527" s="4" t="s">
        <v>22915</v>
      </c>
      <c r="L527" s="1" t="s">
        <v>22916</v>
      </c>
      <c r="M527" s="1" t="s">
        <v>22917</v>
      </c>
      <c r="N527" s="3" t="s">
        <v>22918</v>
      </c>
    </row>
    <row r="528" spans="1:14" ht="409.6">
      <c r="A528" s="1" t="s">
        <v>22919</v>
      </c>
      <c r="B528" s="1" t="s">
        <v>22920</v>
      </c>
      <c r="C528" s="1" t="s">
        <v>22921</v>
      </c>
      <c r="D528" s="1" t="s">
        <v>22922</v>
      </c>
      <c r="E528" s="1" t="s">
        <v>22923</v>
      </c>
      <c r="F528" s="1" t="s">
        <v>22924</v>
      </c>
      <c r="G528" s="1" t="s">
        <v>22925</v>
      </c>
      <c r="H528" s="1">
        <v>20</v>
      </c>
      <c r="I528" s="1" t="s">
        <v>17252</v>
      </c>
      <c r="J528" s="1" t="s">
        <v>14198</v>
      </c>
      <c r="K528" s="4" t="s">
        <v>22926</v>
      </c>
      <c r="L528" s="1" t="s">
        <v>22927</v>
      </c>
      <c r="M528" s="1" t="s">
        <v>22928</v>
      </c>
      <c r="N528" s="3" t="s">
        <v>22929</v>
      </c>
    </row>
    <row r="529" spans="1:14" ht="13.8">
      <c r="A529" s="1" t="s">
        <v>22930</v>
      </c>
      <c r="B529" s="1" t="s">
        <v>22931</v>
      </c>
      <c r="C529" s="1" t="s">
        <v>22932</v>
      </c>
      <c r="D529" s="1" t="s">
        <v>22933</v>
      </c>
      <c r="E529" s="1" t="s">
        <v>22934</v>
      </c>
      <c r="F529" s="1" t="s">
        <v>22935</v>
      </c>
      <c r="G529" s="1" t="s">
        <v>22936</v>
      </c>
      <c r="H529" s="1">
        <v>60</v>
      </c>
      <c r="I529" s="1" t="s">
        <v>14281</v>
      </c>
      <c r="J529" s="1" t="s">
        <v>14198</v>
      </c>
      <c r="K529" s="1" t="s">
        <v>22937</v>
      </c>
      <c r="L529" s="1" t="s">
        <v>22938</v>
      </c>
      <c r="M529" s="1" t="s">
        <v>22939</v>
      </c>
      <c r="N529" s="3" t="s">
        <v>22940</v>
      </c>
    </row>
    <row r="530" spans="1:14" ht="409.6">
      <c r="A530" s="1" t="s">
        <v>22941</v>
      </c>
      <c r="B530" s="1" t="s">
        <v>22942</v>
      </c>
      <c r="C530" s="1" t="s">
        <v>22943</v>
      </c>
      <c r="D530" s="1" t="s">
        <v>22944</v>
      </c>
      <c r="E530" s="1" t="s">
        <v>22945</v>
      </c>
      <c r="F530" s="1" t="s">
        <v>22946</v>
      </c>
      <c r="G530" s="1" t="s">
        <v>22947</v>
      </c>
      <c r="H530" s="1">
        <v>100</v>
      </c>
      <c r="I530" s="1" t="s">
        <v>14281</v>
      </c>
      <c r="J530" s="1" t="s">
        <v>14198</v>
      </c>
      <c r="K530" s="4" t="s">
        <v>22948</v>
      </c>
      <c r="L530" s="1" t="s">
        <v>22949</v>
      </c>
      <c r="M530" s="1" t="s">
        <v>22950</v>
      </c>
      <c r="N530" s="3" t="s">
        <v>22951</v>
      </c>
    </row>
    <row r="531" spans="1:14" ht="409.6">
      <c r="A531" s="1" t="s">
        <v>22952</v>
      </c>
      <c r="B531" s="1" t="s">
        <v>22953</v>
      </c>
      <c r="C531" s="1" t="s">
        <v>22954</v>
      </c>
      <c r="D531" s="1" t="s">
        <v>22955</v>
      </c>
      <c r="E531" s="1" t="s">
        <v>22956</v>
      </c>
      <c r="F531" s="1" t="s">
        <v>22957</v>
      </c>
      <c r="G531" s="1" t="s">
        <v>22958</v>
      </c>
      <c r="H531" s="1">
        <v>40</v>
      </c>
      <c r="I531" s="1" t="s">
        <v>14281</v>
      </c>
      <c r="J531" s="1" t="s">
        <v>14198</v>
      </c>
      <c r="K531" s="4" t="s">
        <v>22959</v>
      </c>
      <c r="L531" s="1" t="s">
        <v>22960</v>
      </c>
      <c r="M531" s="1" t="s">
        <v>22961</v>
      </c>
      <c r="N531" s="3" t="s">
        <v>22962</v>
      </c>
    </row>
    <row r="532" spans="1:14" ht="409.6">
      <c r="A532" s="1" t="s">
        <v>22963</v>
      </c>
      <c r="B532" s="1" t="s">
        <v>22964</v>
      </c>
      <c r="C532" s="1" t="s">
        <v>22965</v>
      </c>
      <c r="D532" s="1" t="s">
        <v>22966</v>
      </c>
      <c r="E532" s="1" t="s">
        <v>22967</v>
      </c>
      <c r="F532" s="1" t="s">
        <v>22968</v>
      </c>
      <c r="G532" s="1" t="s">
        <v>22969</v>
      </c>
      <c r="H532" s="1">
        <v>80</v>
      </c>
      <c r="I532" s="1" t="s">
        <v>14281</v>
      </c>
      <c r="J532" s="1" t="s">
        <v>14198</v>
      </c>
      <c r="K532" s="4" t="s">
        <v>22970</v>
      </c>
      <c r="L532" s="1" t="s">
        <v>22971</v>
      </c>
      <c r="M532" s="1" t="s">
        <v>22972</v>
      </c>
      <c r="N532" s="3" t="s">
        <v>22973</v>
      </c>
    </row>
    <row r="533" spans="1:14" ht="13.8">
      <c r="A533" s="1" t="s">
        <v>22974</v>
      </c>
      <c r="B533" s="1" t="s">
        <v>22975</v>
      </c>
      <c r="C533" s="1" t="s">
        <v>22976</v>
      </c>
      <c r="D533" s="1" t="s">
        <v>22977</v>
      </c>
      <c r="E533" s="1" t="s">
        <v>22978</v>
      </c>
      <c r="F533" s="1" t="s">
        <v>22979</v>
      </c>
      <c r="G533" s="1" t="s">
        <v>22980</v>
      </c>
      <c r="H533" s="1">
        <v>30</v>
      </c>
      <c r="I533" s="1" t="s">
        <v>8417</v>
      </c>
      <c r="J533" s="1" t="s">
        <v>15314</v>
      </c>
      <c r="K533" s="1" t="s">
        <v>22981</v>
      </c>
      <c r="L533" s="1" t="s">
        <v>22982</v>
      </c>
      <c r="M533" s="1" t="s">
        <v>22983</v>
      </c>
      <c r="N533" s="3" t="s">
        <v>22984</v>
      </c>
    </row>
    <row r="534" spans="1:14" ht="13.8">
      <c r="A534" s="1" t="s">
        <v>22985</v>
      </c>
      <c r="B534" s="1" t="s">
        <v>22986</v>
      </c>
      <c r="C534" s="1" t="s">
        <v>22987</v>
      </c>
      <c r="D534" s="1" t="s">
        <v>22988</v>
      </c>
      <c r="E534" s="1" t="s">
        <v>22989</v>
      </c>
      <c r="F534" s="1" t="s">
        <v>22990</v>
      </c>
      <c r="G534" s="1" t="s">
        <v>22991</v>
      </c>
      <c r="H534" s="1">
        <v>45</v>
      </c>
      <c r="I534" s="1" t="s">
        <v>8417</v>
      </c>
      <c r="J534" s="1" t="s">
        <v>14198</v>
      </c>
      <c r="K534" s="1" t="s">
        <v>22992</v>
      </c>
      <c r="L534" s="1" t="s">
        <v>22993</v>
      </c>
      <c r="M534" s="1" t="s">
        <v>22994</v>
      </c>
      <c r="N534" s="3" t="s">
        <v>22995</v>
      </c>
    </row>
    <row r="535" spans="1:14" ht="409.6">
      <c r="A535" s="1" t="s">
        <v>22996</v>
      </c>
      <c r="B535" s="1" t="s">
        <v>22997</v>
      </c>
      <c r="C535" s="1" t="s">
        <v>22998</v>
      </c>
      <c r="D535" s="1" t="s">
        <v>22999</v>
      </c>
      <c r="E535" s="1" t="s">
        <v>23000</v>
      </c>
      <c r="F535" s="1" t="s">
        <v>23001</v>
      </c>
      <c r="G535" s="1" t="s">
        <v>23002</v>
      </c>
      <c r="H535" s="1">
        <v>40</v>
      </c>
      <c r="I535" s="1" t="s">
        <v>429</v>
      </c>
      <c r="J535" s="1" t="s">
        <v>14367</v>
      </c>
      <c r="K535" s="4" t="s">
        <v>23003</v>
      </c>
      <c r="L535" s="1" t="s">
        <v>23004</v>
      </c>
      <c r="M535" s="1" t="s">
        <v>23005</v>
      </c>
      <c r="N535" s="3" t="s">
        <v>23006</v>
      </c>
    </row>
    <row r="536" spans="1:14" ht="13.8">
      <c r="A536" s="1" t="s">
        <v>23007</v>
      </c>
      <c r="B536" s="1" t="s">
        <v>23008</v>
      </c>
      <c r="C536" s="1" t="s">
        <v>23009</v>
      </c>
      <c r="D536" s="1" t="s">
        <v>23010</v>
      </c>
      <c r="E536" s="1" t="s">
        <v>23011</v>
      </c>
      <c r="F536" s="1" t="s">
        <v>23012</v>
      </c>
      <c r="G536" s="1" t="s">
        <v>23013</v>
      </c>
      <c r="H536" s="1">
        <v>35</v>
      </c>
      <c r="I536" s="1" t="s">
        <v>15208</v>
      </c>
      <c r="J536" s="1" t="s">
        <v>14382</v>
      </c>
      <c r="K536" s="1" t="s">
        <v>23014</v>
      </c>
      <c r="L536" s="1" t="s">
        <v>23015</v>
      </c>
      <c r="M536" s="1" t="s">
        <v>23016</v>
      </c>
      <c r="N536" s="3" t="s">
        <v>23017</v>
      </c>
    </row>
    <row r="537" spans="1:14" ht="409.6">
      <c r="A537" s="1" t="s">
        <v>23018</v>
      </c>
      <c r="B537" s="1" t="s">
        <v>23019</v>
      </c>
      <c r="C537" s="1" t="s">
        <v>23020</v>
      </c>
      <c r="D537" s="1" t="s">
        <v>23021</v>
      </c>
      <c r="E537" s="1" t="s">
        <v>23022</v>
      </c>
      <c r="F537" s="1" t="s">
        <v>23023</v>
      </c>
      <c r="G537" s="1" t="s">
        <v>23024</v>
      </c>
      <c r="H537" s="1">
        <v>70</v>
      </c>
      <c r="I537" s="1" t="s">
        <v>14572</v>
      </c>
      <c r="J537" s="1" t="s">
        <v>14382</v>
      </c>
      <c r="K537" s="4" t="s">
        <v>23025</v>
      </c>
      <c r="L537" s="1" t="s">
        <v>23026</v>
      </c>
      <c r="M537" s="1" t="s">
        <v>23027</v>
      </c>
      <c r="N537" s="3" t="s">
        <v>23028</v>
      </c>
    </row>
    <row r="538" spans="1:14" ht="409.6">
      <c r="A538" s="1" t="s">
        <v>23029</v>
      </c>
      <c r="B538" s="1" t="s">
        <v>23030</v>
      </c>
      <c r="C538" s="1" t="s">
        <v>23031</v>
      </c>
      <c r="D538" s="1" t="s">
        <v>23032</v>
      </c>
      <c r="E538" s="1" t="s">
        <v>23033</v>
      </c>
      <c r="F538" s="1" t="s">
        <v>23034</v>
      </c>
      <c r="G538" s="1" t="s">
        <v>23035</v>
      </c>
      <c r="H538" s="1">
        <v>50</v>
      </c>
      <c r="I538" s="1" t="s">
        <v>14281</v>
      </c>
      <c r="J538" s="1" t="s">
        <v>14198</v>
      </c>
      <c r="K538" s="4" t="s">
        <v>23036</v>
      </c>
      <c r="L538" s="1" t="s">
        <v>23037</v>
      </c>
      <c r="M538" s="1" t="s">
        <v>23038</v>
      </c>
      <c r="N538" s="3" t="s">
        <v>23039</v>
      </c>
    </row>
    <row r="539" spans="1:14" ht="13.8">
      <c r="A539" s="1" t="s">
        <v>23040</v>
      </c>
      <c r="B539" s="1" t="s">
        <v>23041</v>
      </c>
      <c r="C539" s="1" t="s">
        <v>23042</v>
      </c>
      <c r="D539" s="1" t="s">
        <v>23043</v>
      </c>
      <c r="E539" s="1" t="s">
        <v>23044</v>
      </c>
      <c r="F539" s="1" t="s">
        <v>23045</v>
      </c>
      <c r="G539" s="1" t="s">
        <v>23046</v>
      </c>
      <c r="H539" s="1">
        <v>40</v>
      </c>
      <c r="I539" s="1" t="s">
        <v>14281</v>
      </c>
      <c r="J539" s="1" t="s">
        <v>14382</v>
      </c>
      <c r="K539" s="1" t="s">
        <v>23047</v>
      </c>
      <c r="L539" s="1" t="s">
        <v>23048</v>
      </c>
      <c r="M539" s="1" t="s">
        <v>23049</v>
      </c>
      <c r="N539" s="3" t="s">
        <v>23050</v>
      </c>
    </row>
    <row r="540" spans="1:14" ht="13.8">
      <c r="A540" s="1" t="s">
        <v>23051</v>
      </c>
      <c r="B540" s="1" t="s">
        <v>23052</v>
      </c>
      <c r="C540" s="1" t="s">
        <v>23053</v>
      </c>
      <c r="D540" s="1" t="s">
        <v>23054</v>
      </c>
      <c r="E540" s="1" t="s">
        <v>23055</v>
      </c>
      <c r="F540" s="1" t="s">
        <v>23056</v>
      </c>
      <c r="G540" s="1" t="s">
        <v>23057</v>
      </c>
      <c r="H540" s="1">
        <v>30</v>
      </c>
      <c r="I540" s="1" t="s">
        <v>14259</v>
      </c>
      <c r="J540" s="1" t="s">
        <v>14237</v>
      </c>
      <c r="K540" s="1" t="s">
        <v>23058</v>
      </c>
      <c r="L540" s="1" t="s">
        <v>23059</v>
      </c>
      <c r="M540" s="1" t="s">
        <v>23060</v>
      </c>
      <c r="N540" s="3" t="s">
        <v>23061</v>
      </c>
    </row>
    <row r="541" spans="1:14" ht="13.8">
      <c r="A541" s="1" t="s">
        <v>23062</v>
      </c>
      <c r="B541" s="1" t="s">
        <v>23063</v>
      </c>
      <c r="C541" s="1" t="s">
        <v>23064</v>
      </c>
      <c r="D541" s="1" t="s">
        <v>23065</v>
      </c>
      <c r="E541" s="1" t="s">
        <v>23066</v>
      </c>
      <c r="F541" s="1" t="s">
        <v>23067</v>
      </c>
      <c r="G541" s="1" t="s">
        <v>23068</v>
      </c>
      <c r="H541" s="1">
        <v>80</v>
      </c>
      <c r="I541" s="1" t="s">
        <v>14281</v>
      </c>
      <c r="J541" s="1" t="s">
        <v>14198</v>
      </c>
      <c r="K541" s="1" t="s">
        <v>23069</v>
      </c>
      <c r="L541" s="1" t="s">
        <v>23070</v>
      </c>
      <c r="M541" s="1" t="s">
        <v>23071</v>
      </c>
      <c r="N541" s="3" t="s">
        <v>23072</v>
      </c>
    </row>
    <row r="542" spans="1:14" ht="13.8">
      <c r="A542" s="1" t="s">
        <v>23073</v>
      </c>
      <c r="B542" s="1" t="s">
        <v>23074</v>
      </c>
      <c r="C542" s="1" t="s">
        <v>23075</v>
      </c>
      <c r="D542" s="1" t="s">
        <v>23076</v>
      </c>
      <c r="E542" s="1" t="s">
        <v>23077</v>
      </c>
      <c r="F542" s="1" t="s">
        <v>23078</v>
      </c>
      <c r="G542" s="1" t="s">
        <v>23079</v>
      </c>
      <c r="H542" s="1">
        <v>150</v>
      </c>
      <c r="I542" s="1" t="s">
        <v>8417</v>
      </c>
      <c r="J542" s="1" t="s">
        <v>15314</v>
      </c>
      <c r="K542" s="1" t="s">
        <v>23080</v>
      </c>
      <c r="L542" s="1" t="s">
        <v>23081</v>
      </c>
      <c r="M542" s="1" t="s">
        <v>23082</v>
      </c>
      <c r="N542" s="3" t="s">
        <v>23083</v>
      </c>
    </row>
    <row r="543" spans="1:14" ht="409.6">
      <c r="A543" s="1" t="s">
        <v>23084</v>
      </c>
      <c r="B543" s="1" t="s">
        <v>23085</v>
      </c>
      <c r="C543" s="1" t="s">
        <v>23086</v>
      </c>
      <c r="D543" s="1" t="s">
        <v>23087</v>
      </c>
      <c r="E543" s="1" t="s">
        <v>23088</v>
      </c>
      <c r="F543" s="1" t="s">
        <v>23089</v>
      </c>
      <c r="G543" s="1" t="s">
        <v>23090</v>
      </c>
      <c r="H543" s="1">
        <v>50</v>
      </c>
      <c r="I543" s="1" t="s">
        <v>14259</v>
      </c>
      <c r="J543" s="1" t="s">
        <v>14198</v>
      </c>
      <c r="K543" s="4" t="s">
        <v>23091</v>
      </c>
      <c r="L543" s="1" t="s">
        <v>23092</v>
      </c>
      <c r="M543" s="1" t="s">
        <v>23093</v>
      </c>
      <c r="N543" s="3" t="s">
        <v>23094</v>
      </c>
    </row>
    <row r="544" spans="1:14" ht="13.8">
      <c r="A544" s="1" t="s">
        <v>23095</v>
      </c>
      <c r="B544" s="1" t="s">
        <v>23096</v>
      </c>
      <c r="C544" s="1" t="s">
        <v>23097</v>
      </c>
      <c r="D544" s="1" t="s">
        <v>23098</v>
      </c>
      <c r="E544" s="1" t="s">
        <v>23099</v>
      </c>
      <c r="F544" s="1" t="s">
        <v>23100</v>
      </c>
      <c r="G544" s="1" t="s">
        <v>23101</v>
      </c>
      <c r="H544" s="1">
        <v>50</v>
      </c>
      <c r="I544" s="1" t="s">
        <v>14281</v>
      </c>
      <c r="J544" s="1" t="s">
        <v>14198</v>
      </c>
      <c r="K544" s="1" t="s">
        <v>23102</v>
      </c>
      <c r="L544" s="1" t="s">
        <v>23103</v>
      </c>
      <c r="M544" s="1" t="s">
        <v>23104</v>
      </c>
      <c r="N544" s="3" t="s">
        <v>23105</v>
      </c>
    </row>
    <row r="545" spans="1:14" ht="409.6">
      <c r="A545" s="1" t="s">
        <v>23106</v>
      </c>
      <c r="B545" s="1" t="s">
        <v>23107</v>
      </c>
      <c r="C545" s="1" t="s">
        <v>23108</v>
      </c>
      <c r="D545" s="1" t="s">
        <v>23109</v>
      </c>
      <c r="E545" s="1" t="s">
        <v>23110</v>
      </c>
      <c r="F545" s="1" t="s">
        <v>23111</v>
      </c>
      <c r="G545" s="1" t="s">
        <v>23112</v>
      </c>
      <c r="H545" s="1">
        <v>35</v>
      </c>
      <c r="I545" s="1" t="s">
        <v>429</v>
      </c>
      <c r="J545" s="1" t="s">
        <v>14198</v>
      </c>
      <c r="K545" s="4" t="s">
        <v>23113</v>
      </c>
      <c r="L545" s="1" t="s">
        <v>23114</v>
      </c>
      <c r="M545" s="1" t="s">
        <v>23115</v>
      </c>
      <c r="N545" s="3" t="s">
        <v>23116</v>
      </c>
    </row>
    <row r="546" spans="1:14" ht="13.8">
      <c r="A546" s="1" t="s">
        <v>23117</v>
      </c>
      <c r="B546" s="1" t="s">
        <v>23118</v>
      </c>
      <c r="C546" s="1" t="s">
        <v>23119</v>
      </c>
      <c r="D546" s="1" t="s">
        <v>23120</v>
      </c>
      <c r="E546" s="1" t="s">
        <v>23121</v>
      </c>
      <c r="F546" s="1" t="s">
        <v>23122</v>
      </c>
      <c r="G546" s="1" t="s">
        <v>23123</v>
      </c>
      <c r="H546" s="1">
        <v>45</v>
      </c>
      <c r="I546" s="1" t="s">
        <v>8417</v>
      </c>
      <c r="J546" s="1" t="s">
        <v>15314</v>
      </c>
      <c r="K546" s="1" t="s">
        <v>23124</v>
      </c>
      <c r="L546" s="1" t="s">
        <v>23125</v>
      </c>
      <c r="M546" s="1" t="s">
        <v>23126</v>
      </c>
      <c r="N546" s="3" t="s">
        <v>23127</v>
      </c>
    </row>
    <row r="547" spans="1:14" ht="409.6">
      <c r="A547" s="1" t="s">
        <v>23128</v>
      </c>
      <c r="B547" s="1" t="s">
        <v>23129</v>
      </c>
      <c r="C547" s="1" t="s">
        <v>23130</v>
      </c>
      <c r="D547" s="1" t="s">
        <v>23131</v>
      </c>
      <c r="E547" s="1" t="s">
        <v>23132</v>
      </c>
      <c r="F547" s="1" t="s">
        <v>23133</v>
      </c>
      <c r="G547" s="1" t="s">
        <v>23134</v>
      </c>
      <c r="H547" s="1">
        <v>60</v>
      </c>
      <c r="I547" s="1" t="s">
        <v>8417</v>
      </c>
      <c r="J547" s="1" t="s">
        <v>14198</v>
      </c>
      <c r="K547" s="4" t="s">
        <v>23135</v>
      </c>
      <c r="L547" s="1" t="s">
        <v>23136</v>
      </c>
      <c r="M547" s="1" t="s">
        <v>23137</v>
      </c>
      <c r="N547" s="3" t="s">
        <v>23138</v>
      </c>
    </row>
    <row r="548" spans="1:14" ht="13.8">
      <c r="A548" s="1" t="s">
        <v>23139</v>
      </c>
      <c r="B548" s="1" t="s">
        <v>23140</v>
      </c>
      <c r="C548" s="1" t="s">
        <v>23141</v>
      </c>
      <c r="D548" s="1" t="s">
        <v>23142</v>
      </c>
      <c r="E548" s="1" t="s">
        <v>23143</v>
      </c>
      <c r="F548" s="1" t="s">
        <v>23144</v>
      </c>
      <c r="G548" s="1" t="s">
        <v>23145</v>
      </c>
      <c r="H548" s="1">
        <v>20</v>
      </c>
      <c r="I548" s="1" t="s">
        <v>14207</v>
      </c>
      <c r="J548" s="1" t="s">
        <v>14198</v>
      </c>
      <c r="K548" s="1" t="s">
        <v>23146</v>
      </c>
      <c r="L548" s="1" t="s">
        <v>23147</v>
      </c>
      <c r="M548" s="1" t="s">
        <v>23148</v>
      </c>
      <c r="N548" s="3" t="s">
        <v>23149</v>
      </c>
    </row>
    <row r="549" spans="1:14" ht="409.6">
      <c r="A549" s="1" t="s">
        <v>23150</v>
      </c>
      <c r="B549" s="1" t="s">
        <v>23151</v>
      </c>
      <c r="C549" s="1" t="s">
        <v>23152</v>
      </c>
      <c r="D549" s="1" t="s">
        <v>23153</v>
      </c>
      <c r="E549" s="1" t="s">
        <v>23154</v>
      </c>
      <c r="F549" s="1" t="s">
        <v>23155</v>
      </c>
      <c r="G549" s="1" t="s">
        <v>23156</v>
      </c>
      <c r="H549" s="1">
        <v>55</v>
      </c>
      <c r="I549" s="1" t="s">
        <v>8417</v>
      </c>
      <c r="J549" s="1" t="s">
        <v>15314</v>
      </c>
      <c r="K549" s="4" t="s">
        <v>23157</v>
      </c>
      <c r="L549" s="1" t="s">
        <v>23158</v>
      </c>
      <c r="M549" s="1" t="s">
        <v>23159</v>
      </c>
      <c r="N549" s="3" t="s">
        <v>23160</v>
      </c>
    </row>
    <row r="550" spans="1:14" ht="13.8">
      <c r="A550" s="1" t="s">
        <v>23161</v>
      </c>
      <c r="B550" s="1" t="s">
        <v>23162</v>
      </c>
      <c r="C550" s="1" t="s">
        <v>23163</v>
      </c>
      <c r="D550" s="1" t="s">
        <v>23164</v>
      </c>
      <c r="E550" s="1" t="s">
        <v>23165</v>
      </c>
      <c r="F550" s="1" t="s">
        <v>23166</v>
      </c>
      <c r="G550" s="1" t="s">
        <v>23167</v>
      </c>
      <c r="H550" s="1">
        <v>25</v>
      </c>
      <c r="I550" s="1" t="s">
        <v>429</v>
      </c>
      <c r="J550" s="1" t="s">
        <v>14198</v>
      </c>
      <c r="K550" s="1" t="s">
        <v>23168</v>
      </c>
      <c r="L550" s="1" t="s">
        <v>23169</v>
      </c>
      <c r="M550" s="1" t="s">
        <v>23170</v>
      </c>
      <c r="N550" s="3" t="s">
        <v>23171</v>
      </c>
    </row>
    <row r="551" spans="1:14" ht="409.6">
      <c r="A551" s="1" t="s">
        <v>23172</v>
      </c>
      <c r="B551" s="1" t="s">
        <v>23173</v>
      </c>
      <c r="C551" s="1" t="s">
        <v>23174</v>
      </c>
      <c r="D551" s="1" t="s">
        <v>23175</v>
      </c>
      <c r="E551" s="1" t="s">
        <v>23176</v>
      </c>
      <c r="F551" s="1" t="s">
        <v>23177</v>
      </c>
      <c r="G551" s="1" t="s">
        <v>23178</v>
      </c>
      <c r="H551" s="1">
        <v>60</v>
      </c>
      <c r="I551" s="1" t="s">
        <v>8417</v>
      </c>
      <c r="J551" s="1" t="s">
        <v>14198</v>
      </c>
      <c r="K551" s="4" t="s">
        <v>23179</v>
      </c>
      <c r="L551" s="1" t="s">
        <v>23180</v>
      </c>
      <c r="M551" s="1" t="s">
        <v>23181</v>
      </c>
      <c r="N551" s="3" t="s">
        <v>23182</v>
      </c>
    </row>
    <row r="552" spans="1:14" ht="13.8">
      <c r="A552" s="1" t="s">
        <v>23183</v>
      </c>
      <c r="B552" s="1" t="s">
        <v>23184</v>
      </c>
      <c r="C552" s="1" t="s">
        <v>23185</v>
      </c>
      <c r="D552" s="1" t="s">
        <v>23186</v>
      </c>
      <c r="E552" s="1" t="s">
        <v>23187</v>
      </c>
      <c r="F552" s="1" t="s">
        <v>23188</v>
      </c>
      <c r="G552" s="1" t="s">
        <v>23189</v>
      </c>
      <c r="H552" s="1">
        <v>40</v>
      </c>
      <c r="I552" s="1" t="s">
        <v>17252</v>
      </c>
      <c r="J552" s="1" t="s">
        <v>14237</v>
      </c>
      <c r="K552" s="1" t="s">
        <v>23190</v>
      </c>
      <c r="L552" s="1" t="s">
        <v>23191</v>
      </c>
      <c r="M552" s="1" t="s">
        <v>23192</v>
      </c>
      <c r="N552" s="3" t="s">
        <v>23193</v>
      </c>
    </row>
    <row r="553" spans="1:14" ht="13.8">
      <c r="A553" s="1" t="s">
        <v>23194</v>
      </c>
      <c r="B553" s="1" t="s">
        <v>23195</v>
      </c>
      <c r="C553" s="1" t="s">
        <v>23196</v>
      </c>
      <c r="D553" s="1" t="s">
        <v>23197</v>
      </c>
      <c r="E553" s="1" t="s">
        <v>23198</v>
      </c>
      <c r="F553" s="1" t="s">
        <v>23199</v>
      </c>
      <c r="G553" s="1" t="s">
        <v>23200</v>
      </c>
      <c r="H553" s="1">
        <v>65</v>
      </c>
      <c r="I553" s="1" t="s">
        <v>14281</v>
      </c>
      <c r="J553" s="1" t="s">
        <v>14382</v>
      </c>
      <c r="K553" s="1" t="s">
        <v>23201</v>
      </c>
      <c r="L553" s="1" t="s">
        <v>23202</v>
      </c>
      <c r="M553" s="1" t="s">
        <v>23203</v>
      </c>
      <c r="N553" s="3" t="s">
        <v>23204</v>
      </c>
    </row>
    <row r="554" spans="1:14" ht="409.6">
      <c r="A554" s="1" t="s">
        <v>23205</v>
      </c>
      <c r="B554" s="1" t="s">
        <v>23206</v>
      </c>
      <c r="C554" s="1" t="s">
        <v>23207</v>
      </c>
      <c r="D554" s="1" t="s">
        <v>23208</v>
      </c>
      <c r="E554" s="1" t="s">
        <v>23209</v>
      </c>
      <c r="F554" s="1" t="s">
        <v>23210</v>
      </c>
      <c r="G554" s="1" t="s">
        <v>23211</v>
      </c>
      <c r="H554" s="1">
        <v>40</v>
      </c>
      <c r="I554" s="1" t="s">
        <v>17252</v>
      </c>
      <c r="J554" s="1" t="s">
        <v>14198</v>
      </c>
      <c r="K554" s="4" t="s">
        <v>23212</v>
      </c>
      <c r="L554" s="1" t="s">
        <v>23213</v>
      </c>
      <c r="M554" s="1" t="s">
        <v>23214</v>
      </c>
      <c r="N554" s="3" t="s">
        <v>23215</v>
      </c>
    </row>
    <row r="555" spans="1:14" ht="13.8">
      <c r="A555" s="1" t="s">
        <v>23216</v>
      </c>
      <c r="B555" s="1" t="s">
        <v>23217</v>
      </c>
      <c r="C555" s="1" t="s">
        <v>23218</v>
      </c>
      <c r="D555" s="1" t="s">
        <v>23219</v>
      </c>
      <c r="E555" s="1" t="s">
        <v>23220</v>
      </c>
      <c r="F555" s="1" t="s">
        <v>23221</v>
      </c>
      <c r="G555" s="1" t="s">
        <v>23222</v>
      </c>
      <c r="H555" s="1">
        <v>50</v>
      </c>
      <c r="I555" s="1" t="s">
        <v>14259</v>
      </c>
      <c r="J555" s="1" t="s">
        <v>14367</v>
      </c>
      <c r="K555" s="1" t="s">
        <v>23223</v>
      </c>
      <c r="L555" s="1" t="s">
        <v>23224</v>
      </c>
      <c r="M555" s="1" t="s">
        <v>23225</v>
      </c>
      <c r="N555" s="3" t="s">
        <v>23226</v>
      </c>
    </row>
    <row r="556" spans="1:14" ht="13.8">
      <c r="A556" s="1" t="s">
        <v>23227</v>
      </c>
      <c r="B556" s="1" t="s">
        <v>23228</v>
      </c>
      <c r="C556" s="1" t="s">
        <v>23229</v>
      </c>
      <c r="D556" s="1" t="s">
        <v>23230</v>
      </c>
      <c r="E556" s="1" t="s">
        <v>23231</v>
      </c>
      <c r="F556" s="1" t="s">
        <v>23232</v>
      </c>
      <c r="G556" s="1" t="s">
        <v>23233</v>
      </c>
      <c r="H556" s="1">
        <v>45</v>
      </c>
      <c r="I556" s="1" t="s">
        <v>14281</v>
      </c>
      <c r="J556" s="1" t="s">
        <v>14198</v>
      </c>
      <c r="K556" s="1" t="s">
        <v>23234</v>
      </c>
      <c r="L556" s="1" t="s">
        <v>23235</v>
      </c>
      <c r="M556" s="1" t="s">
        <v>23236</v>
      </c>
      <c r="N556" s="3" t="s">
        <v>23237</v>
      </c>
    </row>
    <row r="557" spans="1:14" ht="409.6">
      <c r="A557" s="1" t="s">
        <v>23238</v>
      </c>
      <c r="B557" s="1" t="s">
        <v>23239</v>
      </c>
      <c r="C557" s="1" t="s">
        <v>23240</v>
      </c>
      <c r="D557" s="1" t="s">
        <v>23241</v>
      </c>
      <c r="E557" s="1" t="s">
        <v>23242</v>
      </c>
      <c r="F557" s="1" t="s">
        <v>23243</v>
      </c>
      <c r="G557" s="1" t="s">
        <v>23244</v>
      </c>
      <c r="H557" s="1">
        <v>50</v>
      </c>
      <c r="I557" s="1" t="s">
        <v>8417</v>
      </c>
      <c r="J557" s="1" t="s">
        <v>14198</v>
      </c>
      <c r="K557" s="4" t="s">
        <v>23245</v>
      </c>
      <c r="L557" s="1" t="s">
        <v>23246</v>
      </c>
      <c r="M557" s="1" t="s">
        <v>23247</v>
      </c>
      <c r="N557" s="3" t="s">
        <v>23248</v>
      </c>
    </row>
    <row r="558" spans="1:14" ht="13.8">
      <c r="A558" s="1" t="s">
        <v>23249</v>
      </c>
      <c r="B558" s="1" t="s">
        <v>23250</v>
      </c>
      <c r="C558" s="1" t="s">
        <v>23251</v>
      </c>
      <c r="D558" s="1" t="s">
        <v>23252</v>
      </c>
      <c r="E558" s="1" t="s">
        <v>23253</v>
      </c>
      <c r="F558" s="1" t="s">
        <v>23254</v>
      </c>
      <c r="G558" s="1" t="s">
        <v>23255</v>
      </c>
      <c r="H558" s="1">
        <v>135</v>
      </c>
      <c r="I558" s="1" t="s">
        <v>8417</v>
      </c>
      <c r="J558" s="1" t="s">
        <v>14198</v>
      </c>
      <c r="K558" s="1" t="s">
        <v>23256</v>
      </c>
      <c r="L558" s="1" t="s">
        <v>23257</v>
      </c>
      <c r="M558" s="1" t="s">
        <v>23258</v>
      </c>
      <c r="N558" s="3" t="s">
        <v>23259</v>
      </c>
    </row>
    <row r="559" spans="1:14" ht="409.6">
      <c r="A559" s="1" t="s">
        <v>23260</v>
      </c>
      <c r="B559" s="1" t="s">
        <v>23261</v>
      </c>
      <c r="C559" s="1" t="s">
        <v>23262</v>
      </c>
      <c r="D559" s="1" t="s">
        <v>23263</v>
      </c>
      <c r="E559" s="1" t="s">
        <v>23264</v>
      </c>
      <c r="F559" s="1" t="s">
        <v>23265</v>
      </c>
      <c r="G559" s="1" t="s">
        <v>23266</v>
      </c>
      <c r="H559" s="1">
        <v>60</v>
      </c>
      <c r="I559" s="1" t="s">
        <v>8417</v>
      </c>
      <c r="J559" s="1" t="s">
        <v>15314</v>
      </c>
      <c r="K559" s="4" t="s">
        <v>23267</v>
      </c>
      <c r="L559" s="1" t="s">
        <v>23268</v>
      </c>
      <c r="M559" s="1" t="s">
        <v>23269</v>
      </c>
      <c r="N559" s="3" t="s">
        <v>23270</v>
      </c>
    </row>
    <row r="560" spans="1:14" ht="409.6">
      <c r="A560" s="1" t="s">
        <v>23271</v>
      </c>
      <c r="B560" s="1" t="s">
        <v>23272</v>
      </c>
      <c r="C560" s="1" t="s">
        <v>23273</v>
      </c>
      <c r="D560" s="1" t="s">
        <v>23274</v>
      </c>
      <c r="E560" s="1" t="s">
        <v>23275</v>
      </c>
      <c r="F560" s="1" t="s">
        <v>23276</v>
      </c>
      <c r="G560" s="1" t="s">
        <v>23277</v>
      </c>
      <c r="H560" s="1">
        <v>50</v>
      </c>
      <c r="I560" s="1" t="s">
        <v>8417</v>
      </c>
      <c r="J560" s="1" t="s">
        <v>14198</v>
      </c>
      <c r="K560" s="4" t="s">
        <v>23278</v>
      </c>
      <c r="L560" s="1" t="s">
        <v>23279</v>
      </c>
      <c r="M560" s="1" t="s">
        <v>23280</v>
      </c>
      <c r="N560" s="3" t="s">
        <v>23281</v>
      </c>
    </row>
    <row r="561" spans="1:14" ht="409.6">
      <c r="A561" s="1" t="s">
        <v>23282</v>
      </c>
      <c r="B561" s="1" t="s">
        <v>23283</v>
      </c>
      <c r="C561" s="1" t="s">
        <v>23284</v>
      </c>
      <c r="D561" s="1" t="s">
        <v>23285</v>
      </c>
      <c r="E561" s="1" t="s">
        <v>23286</v>
      </c>
      <c r="F561" s="1" t="s">
        <v>23287</v>
      </c>
      <c r="G561" s="1" t="s">
        <v>23288</v>
      </c>
      <c r="H561" s="1">
        <v>70</v>
      </c>
      <c r="I561" s="1" t="s">
        <v>8417</v>
      </c>
      <c r="J561" s="1" t="s">
        <v>14198</v>
      </c>
      <c r="K561" s="4" t="s">
        <v>23289</v>
      </c>
      <c r="L561" s="1" t="s">
        <v>23290</v>
      </c>
      <c r="M561" s="1" t="s">
        <v>23291</v>
      </c>
      <c r="N561" s="3" t="s">
        <v>23292</v>
      </c>
    </row>
    <row r="562" spans="1:14" ht="409.6">
      <c r="A562" s="1" t="s">
        <v>23293</v>
      </c>
      <c r="B562" s="1" t="s">
        <v>23294</v>
      </c>
      <c r="C562" s="1" t="s">
        <v>23295</v>
      </c>
      <c r="D562" s="1" t="s">
        <v>23296</v>
      </c>
      <c r="E562" s="1" t="s">
        <v>23297</v>
      </c>
      <c r="F562" s="1" t="s">
        <v>23298</v>
      </c>
      <c r="G562" s="1" t="s">
        <v>23299</v>
      </c>
      <c r="H562" s="1">
        <v>60</v>
      </c>
      <c r="I562" s="1" t="s">
        <v>8417</v>
      </c>
      <c r="J562" s="1" t="s">
        <v>14198</v>
      </c>
      <c r="K562" s="4" t="s">
        <v>23300</v>
      </c>
      <c r="L562" s="1" t="s">
        <v>23301</v>
      </c>
      <c r="M562" s="1" t="s">
        <v>23302</v>
      </c>
      <c r="N562" s="3" t="s">
        <v>23303</v>
      </c>
    </row>
    <row r="563" spans="1:14" ht="13.8">
      <c r="A563" s="1" t="s">
        <v>23304</v>
      </c>
      <c r="B563" s="1" t="s">
        <v>23305</v>
      </c>
      <c r="C563" s="1" t="s">
        <v>23306</v>
      </c>
      <c r="D563" s="1" t="s">
        <v>23307</v>
      </c>
      <c r="E563" s="1" t="s">
        <v>23308</v>
      </c>
      <c r="F563" s="1" t="s">
        <v>23309</v>
      </c>
      <c r="G563" s="1" t="s">
        <v>23310</v>
      </c>
      <c r="H563" s="1">
        <v>50</v>
      </c>
      <c r="I563" s="1" t="s">
        <v>8417</v>
      </c>
      <c r="J563" s="1" t="s">
        <v>14198</v>
      </c>
      <c r="K563" s="1" t="s">
        <v>23311</v>
      </c>
      <c r="L563" s="1" t="s">
        <v>23312</v>
      </c>
      <c r="M563" s="1" t="s">
        <v>23313</v>
      </c>
      <c r="N563" s="3" t="s">
        <v>23314</v>
      </c>
    </row>
    <row r="564" spans="1:14" ht="409.6">
      <c r="A564" s="1" t="s">
        <v>23315</v>
      </c>
      <c r="B564" s="1" t="s">
        <v>23316</v>
      </c>
      <c r="C564" s="1" t="s">
        <v>23317</v>
      </c>
      <c r="D564" s="1" t="s">
        <v>23318</v>
      </c>
      <c r="E564" s="1" t="s">
        <v>23319</v>
      </c>
      <c r="F564" s="1" t="s">
        <v>23320</v>
      </c>
      <c r="G564" s="1" t="s">
        <v>23321</v>
      </c>
      <c r="H564" s="1">
        <v>40</v>
      </c>
      <c r="I564" s="1" t="s">
        <v>8417</v>
      </c>
      <c r="J564" s="1" t="s">
        <v>15314</v>
      </c>
      <c r="K564" s="4" t="s">
        <v>23322</v>
      </c>
      <c r="L564" s="1" t="s">
        <v>23323</v>
      </c>
      <c r="M564" s="1" t="s">
        <v>23324</v>
      </c>
      <c r="N564" s="3" t="s">
        <v>23325</v>
      </c>
    </row>
    <row r="565" spans="1:14" ht="409.6">
      <c r="A565" s="1" t="s">
        <v>23326</v>
      </c>
      <c r="B565" s="1" t="s">
        <v>23327</v>
      </c>
      <c r="C565" s="1" t="s">
        <v>23328</v>
      </c>
      <c r="D565" s="1" t="s">
        <v>23329</v>
      </c>
      <c r="E565" s="1" t="s">
        <v>23330</v>
      </c>
      <c r="F565" s="1" t="s">
        <v>23331</v>
      </c>
      <c r="G565" s="1" t="s">
        <v>23332</v>
      </c>
      <c r="H565" s="1">
        <v>50</v>
      </c>
      <c r="I565" s="1" t="s">
        <v>8417</v>
      </c>
      <c r="J565" s="1" t="s">
        <v>15314</v>
      </c>
      <c r="K565" s="4" t="s">
        <v>23333</v>
      </c>
      <c r="L565" s="1" t="s">
        <v>23334</v>
      </c>
      <c r="M565" s="1" t="s">
        <v>23335</v>
      </c>
      <c r="N565" s="3" t="s">
        <v>23336</v>
      </c>
    </row>
    <row r="566" spans="1:14" ht="409.6">
      <c r="A566" s="1" t="s">
        <v>23337</v>
      </c>
      <c r="B566" s="1" t="s">
        <v>23338</v>
      </c>
      <c r="C566" s="1" t="s">
        <v>23339</v>
      </c>
      <c r="D566" s="1" t="s">
        <v>23340</v>
      </c>
      <c r="E566" s="1" t="s">
        <v>23341</v>
      </c>
      <c r="F566" s="1" t="s">
        <v>23342</v>
      </c>
      <c r="G566" s="1" t="s">
        <v>23343</v>
      </c>
      <c r="H566" s="1">
        <v>35</v>
      </c>
      <c r="I566" s="1" t="s">
        <v>14281</v>
      </c>
      <c r="J566" s="1" t="s">
        <v>14198</v>
      </c>
      <c r="K566" s="4" t="s">
        <v>23344</v>
      </c>
      <c r="L566" s="1" t="s">
        <v>23345</v>
      </c>
      <c r="M566" s="1" t="s">
        <v>23346</v>
      </c>
      <c r="N566" s="3" t="s">
        <v>23347</v>
      </c>
    </row>
    <row r="567" spans="1:14" ht="409.6">
      <c r="A567" s="1" t="s">
        <v>23348</v>
      </c>
      <c r="B567" s="1" t="s">
        <v>23349</v>
      </c>
      <c r="C567" s="1" t="s">
        <v>23350</v>
      </c>
      <c r="D567" s="1" t="s">
        <v>23351</v>
      </c>
      <c r="E567" s="1" t="s">
        <v>23352</v>
      </c>
      <c r="F567" s="1" t="s">
        <v>23353</v>
      </c>
      <c r="G567" s="1" t="s">
        <v>23354</v>
      </c>
      <c r="H567" s="1">
        <v>795</v>
      </c>
      <c r="I567" s="1" t="s">
        <v>8417</v>
      </c>
      <c r="J567" s="1" t="s">
        <v>15314</v>
      </c>
      <c r="K567" s="4" t="s">
        <v>23355</v>
      </c>
      <c r="L567" s="1" t="s">
        <v>23356</v>
      </c>
      <c r="M567" s="1" t="s">
        <v>23357</v>
      </c>
      <c r="N567" s="3" t="s">
        <v>23358</v>
      </c>
    </row>
    <row r="568" spans="1:14" ht="409.6">
      <c r="A568" s="1" t="s">
        <v>23359</v>
      </c>
      <c r="B568" s="1" t="s">
        <v>23360</v>
      </c>
      <c r="C568" s="1" t="s">
        <v>23361</v>
      </c>
      <c r="D568" s="1" t="s">
        <v>23362</v>
      </c>
      <c r="E568" s="1" t="s">
        <v>23363</v>
      </c>
      <c r="F568" s="1" t="s">
        <v>23364</v>
      </c>
      <c r="G568" s="1" t="s">
        <v>23365</v>
      </c>
      <c r="H568" s="1">
        <v>455</v>
      </c>
      <c r="I568" s="1" t="s">
        <v>8417</v>
      </c>
      <c r="J568" s="1" t="s">
        <v>14198</v>
      </c>
      <c r="K568" s="4" t="s">
        <v>23366</v>
      </c>
      <c r="L568" s="1" t="s">
        <v>23367</v>
      </c>
      <c r="M568" s="1" t="s">
        <v>23368</v>
      </c>
      <c r="N568" s="3" t="s">
        <v>23369</v>
      </c>
    </row>
    <row r="569" spans="1:14" ht="13.8">
      <c r="A569" s="1" t="s">
        <v>23007</v>
      </c>
      <c r="B569" s="1" t="s">
        <v>23370</v>
      </c>
      <c r="C569" s="1" t="s">
        <v>23371</v>
      </c>
      <c r="D569" s="1" t="s">
        <v>23372</v>
      </c>
      <c r="E569" s="1" t="s">
        <v>23373</v>
      </c>
      <c r="F569" s="1" t="s">
        <v>23374</v>
      </c>
      <c r="G569" s="1" t="s">
        <v>23375</v>
      </c>
      <c r="H569" s="1">
        <v>35</v>
      </c>
      <c r="I569" s="1" t="s">
        <v>15208</v>
      </c>
      <c r="J569" s="1" t="s">
        <v>14382</v>
      </c>
      <c r="K569" s="1" t="s">
        <v>23376</v>
      </c>
      <c r="L569" s="1" t="s">
        <v>23377</v>
      </c>
      <c r="M569" s="1" t="s">
        <v>23378</v>
      </c>
      <c r="N569" s="3" t="s">
        <v>23379</v>
      </c>
    </row>
    <row r="570" spans="1:14" ht="409.6">
      <c r="A570" s="1" t="s">
        <v>23380</v>
      </c>
      <c r="B570" s="1" t="s">
        <v>23381</v>
      </c>
      <c r="C570" s="1" t="s">
        <v>23382</v>
      </c>
      <c r="D570" s="1" t="s">
        <v>23383</v>
      </c>
      <c r="E570" s="1" t="s">
        <v>23384</v>
      </c>
      <c r="F570" s="1" t="s">
        <v>23385</v>
      </c>
      <c r="G570" s="1" t="s">
        <v>23386</v>
      </c>
      <c r="H570" s="1">
        <v>50</v>
      </c>
      <c r="I570" s="1" t="s">
        <v>8417</v>
      </c>
      <c r="J570" s="1" t="s">
        <v>14198</v>
      </c>
      <c r="K570" s="4" t="s">
        <v>23387</v>
      </c>
      <c r="L570" s="1" t="s">
        <v>23388</v>
      </c>
      <c r="M570" s="1" t="s">
        <v>23389</v>
      </c>
      <c r="N570" s="3" t="s">
        <v>23390</v>
      </c>
    </row>
    <row r="571" spans="1:14" ht="409.6">
      <c r="A571" s="1" t="s">
        <v>23391</v>
      </c>
      <c r="B571" s="1" t="s">
        <v>23392</v>
      </c>
      <c r="C571" s="1" t="s">
        <v>23393</v>
      </c>
      <c r="D571" s="1" t="s">
        <v>23394</v>
      </c>
      <c r="E571" s="1" t="s">
        <v>23395</v>
      </c>
      <c r="F571" s="1" t="s">
        <v>23396</v>
      </c>
      <c r="G571" s="1" t="s">
        <v>23397</v>
      </c>
      <c r="H571" s="1">
        <v>11</v>
      </c>
      <c r="I571" s="1" t="s">
        <v>8417</v>
      </c>
      <c r="J571" s="1" t="s">
        <v>14198</v>
      </c>
      <c r="K571" s="4" t="s">
        <v>23398</v>
      </c>
      <c r="L571" s="1" t="s">
        <v>23399</v>
      </c>
      <c r="M571" s="1" t="s">
        <v>23400</v>
      </c>
      <c r="N571" s="3" t="s">
        <v>23401</v>
      </c>
    </row>
    <row r="572" spans="1:14" ht="409.6">
      <c r="A572" s="1" t="s">
        <v>23402</v>
      </c>
      <c r="B572" s="1" t="s">
        <v>23403</v>
      </c>
      <c r="C572" s="1" t="s">
        <v>23404</v>
      </c>
      <c r="D572" s="1" t="s">
        <v>23405</v>
      </c>
      <c r="E572" s="1" t="s">
        <v>23406</v>
      </c>
      <c r="F572" s="1" t="s">
        <v>23407</v>
      </c>
      <c r="G572" s="1" t="s">
        <v>23408</v>
      </c>
      <c r="H572" s="1">
        <v>80</v>
      </c>
      <c r="I572" s="1" t="s">
        <v>8417</v>
      </c>
      <c r="J572" s="1" t="s">
        <v>14198</v>
      </c>
      <c r="K572" s="4" t="s">
        <v>23409</v>
      </c>
      <c r="L572" s="1" t="s">
        <v>23410</v>
      </c>
      <c r="M572" s="1" t="s">
        <v>23411</v>
      </c>
      <c r="N572" s="3" t="s">
        <v>23412</v>
      </c>
    </row>
    <row r="573" spans="1:14" ht="409.6">
      <c r="A573" s="1" t="s">
        <v>23413</v>
      </c>
      <c r="B573" s="1" t="s">
        <v>23414</v>
      </c>
      <c r="C573" s="1" t="s">
        <v>23415</v>
      </c>
      <c r="D573" s="1" t="s">
        <v>23416</v>
      </c>
      <c r="E573" s="1" t="s">
        <v>23417</v>
      </c>
      <c r="F573" s="1" t="s">
        <v>23418</v>
      </c>
      <c r="G573" s="1" t="s">
        <v>23419</v>
      </c>
      <c r="H573" s="1">
        <v>30</v>
      </c>
      <c r="I573" s="1" t="s">
        <v>429</v>
      </c>
      <c r="J573" s="1" t="s">
        <v>14198</v>
      </c>
      <c r="K573" s="4" t="s">
        <v>23420</v>
      </c>
      <c r="L573" s="1" t="s">
        <v>23421</v>
      </c>
      <c r="M573" s="1" t="s">
        <v>23422</v>
      </c>
      <c r="N573" s="3" t="s">
        <v>23423</v>
      </c>
    </row>
    <row r="574" spans="1:14" ht="13.8">
      <c r="A574" s="1" t="s">
        <v>23424</v>
      </c>
      <c r="B574" s="1" t="s">
        <v>23425</v>
      </c>
      <c r="C574" s="1" t="s">
        <v>23426</v>
      </c>
      <c r="D574" s="1" t="s">
        <v>23427</v>
      </c>
      <c r="E574" s="1" t="s">
        <v>23428</v>
      </c>
      <c r="F574" s="1" t="s">
        <v>23429</v>
      </c>
      <c r="G574" s="1" t="s">
        <v>23430</v>
      </c>
      <c r="H574" s="1">
        <v>60</v>
      </c>
      <c r="I574" s="1" t="s">
        <v>8417</v>
      </c>
      <c r="J574" s="1" t="s">
        <v>14198</v>
      </c>
      <c r="K574" s="1" t="s">
        <v>23431</v>
      </c>
      <c r="L574" s="1" t="s">
        <v>23432</v>
      </c>
      <c r="M574" s="1" t="s">
        <v>23433</v>
      </c>
      <c r="N574" s="3" t="s">
        <v>23434</v>
      </c>
    </row>
    <row r="575" spans="1:14" ht="13.8">
      <c r="A575" s="1" t="s">
        <v>23435</v>
      </c>
      <c r="B575" s="1" t="s">
        <v>23436</v>
      </c>
      <c r="C575" s="1" t="s">
        <v>23437</v>
      </c>
      <c r="D575" s="1" t="s">
        <v>23438</v>
      </c>
      <c r="E575" s="1" t="s">
        <v>23439</v>
      </c>
      <c r="F575" s="1" t="s">
        <v>23440</v>
      </c>
      <c r="G575" s="1" t="s">
        <v>23441</v>
      </c>
      <c r="H575" s="1">
        <v>65</v>
      </c>
      <c r="I575" s="1" t="s">
        <v>14281</v>
      </c>
      <c r="J575" s="1" t="s">
        <v>14198</v>
      </c>
      <c r="K575" s="1" t="s">
        <v>23442</v>
      </c>
      <c r="L575" s="1" t="s">
        <v>23443</v>
      </c>
      <c r="M575" s="1" t="s">
        <v>23444</v>
      </c>
      <c r="N575" s="3" t="s">
        <v>23445</v>
      </c>
    </row>
    <row r="576" spans="1:14" ht="409.6">
      <c r="A576" s="1" t="s">
        <v>23446</v>
      </c>
      <c r="B576" s="1" t="s">
        <v>23447</v>
      </c>
      <c r="C576" s="1" t="s">
        <v>23448</v>
      </c>
      <c r="D576" s="1" t="s">
        <v>23449</v>
      </c>
      <c r="E576" s="1" t="s">
        <v>23450</v>
      </c>
      <c r="F576" s="1" t="s">
        <v>23451</v>
      </c>
      <c r="G576" s="1" t="s">
        <v>23452</v>
      </c>
      <c r="H576" s="1">
        <v>35</v>
      </c>
      <c r="I576" s="1" t="s">
        <v>14207</v>
      </c>
      <c r="J576" s="1" t="s">
        <v>14198</v>
      </c>
      <c r="K576" s="4" t="s">
        <v>23453</v>
      </c>
      <c r="L576" s="1" t="s">
        <v>23454</v>
      </c>
      <c r="M576" s="1" t="s">
        <v>23455</v>
      </c>
      <c r="N576" s="3" t="s">
        <v>23456</v>
      </c>
    </row>
    <row r="577" spans="1:14" ht="409.6">
      <c r="A577" s="1" t="s">
        <v>23457</v>
      </c>
      <c r="B577" s="1" t="s">
        <v>23458</v>
      </c>
      <c r="C577" s="1" t="s">
        <v>23459</v>
      </c>
      <c r="D577" s="1" t="s">
        <v>23460</v>
      </c>
      <c r="E577" s="1" t="s">
        <v>23461</v>
      </c>
      <c r="F577" s="1" t="s">
        <v>23462</v>
      </c>
      <c r="G577" s="1" t="s">
        <v>23463</v>
      </c>
      <c r="H577" s="1">
        <v>30</v>
      </c>
      <c r="I577" s="1" t="s">
        <v>14207</v>
      </c>
      <c r="J577" s="1" t="s">
        <v>14198</v>
      </c>
      <c r="K577" s="4" t="s">
        <v>23464</v>
      </c>
      <c r="L577" s="1" t="s">
        <v>23465</v>
      </c>
      <c r="M577" s="1" t="s">
        <v>23466</v>
      </c>
      <c r="N577" s="3" t="s">
        <v>23467</v>
      </c>
    </row>
    <row r="578" spans="1:14" ht="409.6">
      <c r="A578" s="1" t="s">
        <v>23468</v>
      </c>
      <c r="B578" s="1" t="s">
        <v>23469</v>
      </c>
      <c r="C578" s="1" t="s">
        <v>23470</v>
      </c>
      <c r="D578" s="1" t="s">
        <v>23471</v>
      </c>
      <c r="E578" s="1" t="s">
        <v>23472</v>
      </c>
      <c r="F578" s="1" t="s">
        <v>23473</v>
      </c>
      <c r="G578" s="1" t="s">
        <v>23474</v>
      </c>
      <c r="H578" s="1">
        <v>30</v>
      </c>
      <c r="I578" s="1" t="s">
        <v>14572</v>
      </c>
      <c r="J578" s="1" t="s">
        <v>14198</v>
      </c>
      <c r="K578" s="4" t="s">
        <v>23475</v>
      </c>
      <c r="L578" s="1" t="s">
        <v>23476</v>
      </c>
      <c r="M578" s="1" t="s">
        <v>23477</v>
      </c>
      <c r="N578" s="3" t="s">
        <v>23478</v>
      </c>
    </row>
    <row r="579" spans="1:14" ht="409.6">
      <c r="A579" s="1" t="s">
        <v>23479</v>
      </c>
      <c r="B579" s="1" t="s">
        <v>23480</v>
      </c>
      <c r="C579" s="1" t="s">
        <v>23481</v>
      </c>
      <c r="D579" s="1" t="s">
        <v>23482</v>
      </c>
      <c r="E579" s="1" t="s">
        <v>23483</v>
      </c>
      <c r="F579" s="1" t="s">
        <v>23484</v>
      </c>
      <c r="G579" s="1" t="s">
        <v>23485</v>
      </c>
      <c r="H579" s="1">
        <v>10</v>
      </c>
      <c r="I579" s="1" t="s">
        <v>14281</v>
      </c>
      <c r="J579" s="1" t="s">
        <v>14198</v>
      </c>
      <c r="K579" s="4" t="s">
        <v>23486</v>
      </c>
      <c r="L579" s="1" t="s">
        <v>23487</v>
      </c>
      <c r="M579" s="1" t="s">
        <v>23488</v>
      </c>
      <c r="N579" s="3" t="s">
        <v>23489</v>
      </c>
    </row>
    <row r="580" spans="1:14" ht="409.6">
      <c r="A580" s="1" t="s">
        <v>23490</v>
      </c>
      <c r="B580" s="1" t="s">
        <v>23491</v>
      </c>
      <c r="C580" s="1" t="s">
        <v>23492</v>
      </c>
      <c r="D580" s="1" t="s">
        <v>23493</v>
      </c>
      <c r="E580" s="1" t="s">
        <v>23494</v>
      </c>
      <c r="F580" s="1" t="s">
        <v>23495</v>
      </c>
      <c r="G580" s="1" t="s">
        <v>23496</v>
      </c>
      <c r="H580" s="1">
        <v>30</v>
      </c>
      <c r="I580" s="1" t="s">
        <v>17252</v>
      </c>
      <c r="J580" s="1" t="s">
        <v>14198</v>
      </c>
      <c r="K580" s="4" t="s">
        <v>23497</v>
      </c>
      <c r="L580" s="1" t="s">
        <v>23498</v>
      </c>
      <c r="M580" s="1" t="s">
        <v>23499</v>
      </c>
      <c r="N580" s="3" t="s">
        <v>23500</v>
      </c>
    </row>
    <row r="581" spans="1:14" ht="409.6">
      <c r="A581" s="1" t="s">
        <v>23501</v>
      </c>
      <c r="B581" s="1" t="s">
        <v>23502</v>
      </c>
      <c r="C581" s="1" t="s">
        <v>23503</v>
      </c>
      <c r="D581" s="1" t="s">
        <v>23504</v>
      </c>
      <c r="E581" s="1" t="s">
        <v>23505</v>
      </c>
      <c r="F581" s="1" t="s">
        <v>23506</v>
      </c>
      <c r="G581" s="1" t="s">
        <v>23507</v>
      </c>
      <c r="H581" s="1">
        <v>20</v>
      </c>
      <c r="I581" s="1" t="s">
        <v>14572</v>
      </c>
      <c r="J581" s="1" t="s">
        <v>14198</v>
      </c>
      <c r="K581" s="4" t="s">
        <v>23508</v>
      </c>
      <c r="L581" s="1" t="s">
        <v>23509</v>
      </c>
      <c r="M581" s="1" t="s">
        <v>23510</v>
      </c>
      <c r="N581" s="3" t="s">
        <v>23511</v>
      </c>
    </row>
    <row r="582" spans="1:14" ht="409.6">
      <c r="A582" s="1" t="s">
        <v>23512</v>
      </c>
      <c r="B582" s="1" t="s">
        <v>23513</v>
      </c>
      <c r="C582" s="1" t="s">
        <v>23514</v>
      </c>
      <c r="D582" s="1" t="s">
        <v>23515</v>
      </c>
      <c r="E582" s="1" t="s">
        <v>23516</v>
      </c>
      <c r="F582" s="1" t="s">
        <v>23517</v>
      </c>
      <c r="G582" s="1" t="s">
        <v>23518</v>
      </c>
      <c r="H582" s="1">
        <v>35</v>
      </c>
      <c r="I582" s="1" t="s">
        <v>145</v>
      </c>
      <c r="J582" s="1" t="s">
        <v>14382</v>
      </c>
      <c r="K582" s="4" t="s">
        <v>23519</v>
      </c>
      <c r="L582" s="1" t="s">
        <v>23520</v>
      </c>
      <c r="M582" s="1" t="s">
        <v>23521</v>
      </c>
      <c r="N582" s="3" t="s">
        <v>23522</v>
      </c>
    </row>
    <row r="583" spans="1:14" ht="409.6">
      <c r="A583" s="1" t="s">
        <v>23523</v>
      </c>
      <c r="B583" s="1" t="s">
        <v>23524</v>
      </c>
      <c r="C583" s="1" t="s">
        <v>23525</v>
      </c>
      <c r="D583" s="1" t="s">
        <v>23526</v>
      </c>
      <c r="E583" s="1" t="s">
        <v>23527</v>
      </c>
      <c r="F583" s="1" t="s">
        <v>23528</v>
      </c>
      <c r="G583" s="1" t="s">
        <v>23529</v>
      </c>
      <c r="H583" s="1">
        <v>25</v>
      </c>
      <c r="I583" s="1" t="s">
        <v>17252</v>
      </c>
      <c r="J583" s="1" t="s">
        <v>14198</v>
      </c>
      <c r="K583" s="4" t="s">
        <v>23530</v>
      </c>
      <c r="L583" s="1" t="s">
        <v>23531</v>
      </c>
      <c r="M583" s="1" t="s">
        <v>23532</v>
      </c>
      <c r="N583" s="3" t="s">
        <v>23533</v>
      </c>
    </row>
    <row r="584" spans="1:14" ht="409.6">
      <c r="A584" s="1" t="s">
        <v>23534</v>
      </c>
      <c r="B584" s="1" t="s">
        <v>23535</v>
      </c>
      <c r="C584" s="1" t="s">
        <v>23536</v>
      </c>
      <c r="D584" s="1" t="s">
        <v>23537</v>
      </c>
      <c r="E584" s="1" t="s">
        <v>23538</v>
      </c>
      <c r="F584" s="1" t="s">
        <v>23539</v>
      </c>
      <c r="G584" s="1" t="s">
        <v>23540</v>
      </c>
      <c r="H584" s="1">
        <v>10</v>
      </c>
      <c r="I584" s="1" t="s">
        <v>14281</v>
      </c>
      <c r="J584" s="1" t="s">
        <v>14198</v>
      </c>
      <c r="K584" s="4" t="s">
        <v>23541</v>
      </c>
      <c r="L584" s="1" t="s">
        <v>23542</v>
      </c>
      <c r="M584" s="1" t="s">
        <v>23543</v>
      </c>
      <c r="N584" s="3" t="s">
        <v>23544</v>
      </c>
    </row>
    <row r="585" spans="1:14" ht="409.6">
      <c r="A585" s="1" t="s">
        <v>23545</v>
      </c>
      <c r="B585" s="1" t="s">
        <v>23546</v>
      </c>
      <c r="C585" s="1" t="s">
        <v>23547</v>
      </c>
      <c r="D585" s="1" t="s">
        <v>23548</v>
      </c>
      <c r="E585" s="1" t="s">
        <v>23549</v>
      </c>
      <c r="F585" s="1" t="s">
        <v>23550</v>
      </c>
      <c r="G585" s="1" t="s">
        <v>23551</v>
      </c>
      <c r="H585" s="1">
        <v>15</v>
      </c>
      <c r="I585" s="1" t="s">
        <v>17252</v>
      </c>
      <c r="J585" s="1" t="s">
        <v>14198</v>
      </c>
      <c r="K585" s="4" t="s">
        <v>23552</v>
      </c>
      <c r="L585" s="1" t="s">
        <v>23553</v>
      </c>
      <c r="M585" s="1" t="s">
        <v>23554</v>
      </c>
      <c r="N585" s="3" t="s">
        <v>23555</v>
      </c>
    </row>
    <row r="586" spans="1:14" ht="409.6">
      <c r="A586" s="1" t="s">
        <v>23556</v>
      </c>
      <c r="B586" s="1" t="s">
        <v>23557</v>
      </c>
      <c r="C586" s="1" t="s">
        <v>23558</v>
      </c>
      <c r="D586" s="1" t="s">
        <v>23559</v>
      </c>
      <c r="E586" s="1" t="s">
        <v>23560</v>
      </c>
      <c r="F586" s="1" t="s">
        <v>23561</v>
      </c>
      <c r="G586" s="1" t="s">
        <v>23562</v>
      </c>
      <c r="H586" s="1">
        <v>10</v>
      </c>
      <c r="I586" s="1" t="s">
        <v>14281</v>
      </c>
      <c r="J586" s="1" t="s">
        <v>14198</v>
      </c>
      <c r="K586" s="4" t="s">
        <v>23563</v>
      </c>
      <c r="L586" s="1" t="s">
        <v>23564</v>
      </c>
      <c r="M586" s="1" t="s">
        <v>23565</v>
      </c>
      <c r="N586" s="3" t="s">
        <v>23566</v>
      </c>
    </row>
    <row r="587" spans="1:14" ht="409.6">
      <c r="A587" s="1" t="s">
        <v>23567</v>
      </c>
      <c r="B587" s="1" t="s">
        <v>23568</v>
      </c>
      <c r="C587" s="1" t="s">
        <v>23569</v>
      </c>
      <c r="D587" s="1" t="s">
        <v>23570</v>
      </c>
      <c r="E587" s="1" t="s">
        <v>23571</v>
      </c>
      <c r="F587" s="1" t="s">
        <v>23572</v>
      </c>
      <c r="G587" s="1" t="s">
        <v>23573</v>
      </c>
      <c r="H587" s="1">
        <v>20</v>
      </c>
      <c r="I587" s="1" t="s">
        <v>17252</v>
      </c>
      <c r="J587" s="1" t="s">
        <v>14198</v>
      </c>
      <c r="K587" s="4" t="s">
        <v>23574</v>
      </c>
      <c r="L587" s="1" t="s">
        <v>23575</v>
      </c>
      <c r="M587" s="1" t="s">
        <v>23576</v>
      </c>
      <c r="N587" s="3" t="s">
        <v>23577</v>
      </c>
    </row>
    <row r="588" spans="1:14" ht="409.6">
      <c r="A588" s="1" t="s">
        <v>23578</v>
      </c>
      <c r="B588" s="1" t="s">
        <v>23579</v>
      </c>
      <c r="C588" s="1" t="s">
        <v>23580</v>
      </c>
      <c r="D588" s="1" t="s">
        <v>23581</v>
      </c>
      <c r="E588" s="1" t="s">
        <v>23582</v>
      </c>
      <c r="F588" s="1" t="s">
        <v>23583</v>
      </c>
      <c r="G588" s="1" t="s">
        <v>23584</v>
      </c>
      <c r="H588" s="1">
        <v>110</v>
      </c>
      <c r="I588" s="1" t="s">
        <v>429</v>
      </c>
      <c r="J588" s="1" t="s">
        <v>14198</v>
      </c>
      <c r="K588" s="4" t="s">
        <v>23585</v>
      </c>
      <c r="L588" s="1" t="s">
        <v>23586</v>
      </c>
      <c r="M588" s="1" t="s">
        <v>23587</v>
      </c>
      <c r="N588" s="3" t="s">
        <v>23588</v>
      </c>
    </row>
    <row r="589" spans="1:14" ht="409.6">
      <c r="A589" s="1" t="s">
        <v>23589</v>
      </c>
      <c r="B589" s="1" t="s">
        <v>23590</v>
      </c>
      <c r="C589" s="1" t="s">
        <v>23591</v>
      </c>
      <c r="D589" s="1" t="s">
        <v>23592</v>
      </c>
      <c r="E589" s="1" t="s">
        <v>23593</v>
      </c>
      <c r="F589" s="1" t="s">
        <v>23594</v>
      </c>
      <c r="G589" s="1" t="s">
        <v>23595</v>
      </c>
      <c r="H589" s="1">
        <v>60</v>
      </c>
      <c r="I589" s="1" t="s">
        <v>14281</v>
      </c>
      <c r="J589" s="1" t="s">
        <v>14198</v>
      </c>
      <c r="K589" s="4" t="s">
        <v>23596</v>
      </c>
      <c r="L589" s="1" t="s">
        <v>23597</v>
      </c>
      <c r="M589" s="1" t="s">
        <v>23598</v>
      </c>
      <c r="N589" s="3" t="s">
        <v>23599</v>
      </c>
    </row>
    <row r="590" spans="1:14" ht="409.6">
      <c r="A590" s="1" t="s">
        <v>23600</v>
      </c>
      <c r="B590" s="1" t="s">
        <v>23601</v>
      </c>
      <c r="C590" s="1" t="s">
        <v>23602</v>
      </c>
      <c r="D590" s="1" t="s">
        <v>23603</v>
      </c>
      <c r="E590" s="1" t="s">
        <v>23604</v>
      </c>
      <c r="F590" s="1" t="s">
        <v>23605</v>
      </c>
      <c r="G590" s="1" t="s">
        <v>23606</v>
      </c>
      <c r="H590" s="1">
        <v>48</v>
      </c>
      <c r="I590" s="1" t="s">
        <v>8417</v>
      </c>
      <c r="J590" s="1" t="s">
        <v>15314</v>
      </c>
      <c r="K590" s="4" t="s">
        <v>23607</v>
      </c>
      <c r="L590" s="1" t="s">
        <v>23608</v>
      </c>
      <c r="M590" s="1" t="s">
        <v>23609</v>
      </c>
      <c r="N590" s="3" t="s">
        <v>23610</v>
      </c>
    </row>
    <row r="591" spans="1:14" ht="409.6">
      <c r="A591" s="1" t="s">
        <v>23611</v>
      </c>
      <c r="B591" s="1" t="s">
        <v>23612</v>
      </c>
      <c r="C591" s="1" t="s">
        <v>23613</v>
      </c>
      <c r="D591" s="1" t="s">
        <v>23614</v>
      </c>
      <c r="E591" s="1" t="s">
        <v>23615</v>
      </c>
      <c r="F591" s="1" t="s">
        <v>23616</v>
      </c>
      <c r="G591" s="1" t="s">
        <v>23617</v>
      </c>
      <c r="H591" s="1">
        <v>15</v>
      </c>
      <c r="I591" s="1" t="s">
        <v>17252</v>
      </c>
      <c r="J591" s="1" t="s">
        <v>14198</v>
      </c>
      <c r="K591" s="4" t="s">
        <v>23618</v>
      </c>
      <c r="L591" s="1" t="s">
        <v>23619</v>
      </c>
      <c r="M591" s="1" t="s">
        <v>23620</v>
      </c>
      <c r="N591" s="3" t="s">
        <v>23621</v>
      </c>
    </row>
    <row r="592" spans="1:14" ht="409.6">
      <c r="A592" s="1" t="s">
        <v>23622</v>
      </c>
      <c r="B592" s="1" t="s">
        <v>23623</v>
      </c>
      <c r="C592" s="1" t="s">
        <v>23624</v>
      </c>
      <c r="D592" s="1" t="s">
        <v>23625</v>
      </c>
      <c r="E592" s="1" t="s">
        <v>23626</v>
      </c>
      <c r="F592" s="1" t="s">
        <v>23627</v>
      </c>
      <c r="G592" s="1" t="s">
        <v>23628</v>
      </c>
      <c r="H592" s="1">
        <v>35</v>
      </c>
      <c r="I592" s="1" t="s">
        <v>14572</v>
      </c>
      <c r="J592" s="1" t="s">
        <v>14198</v>
      </c>
      <c r="K592" s="4" t="s">
        <v>23629</v>
      </c>
      <c r="L592" s="1" t="s">
        <v>23630</v>
      </c>
      <c r="M592" s="1" t="s">
        <v>23631</v>
      </c>
      <c r="N592" s="3" t="s">
        <v>23632</v>
      </c>
    </row>
    <row r="593" spans="1:14" ht="409.6">
      <c r="A593" s="1" t="s">
        <v>23633</v>
      </c>
      <c r="B593" s="1" t="s">
        <v>23634</v>
      </c>
      <c r="C593" s="1" t="s">
        <v>23635</v>
      </c>
      <c r="D593" s="1" t="s">
        <v>23636</v>
      </c>
      <c r="E593" s="1" t="s">
        <v>23637</v>
      </c>
      <c r="F593" s="1" t="s">
        <v>23638</v>
      </c>
      <c r="G593" s="1" t="s">
        <v>23639</v>
      </c>
      <c r="H593" s="1">
        <v>40</v>
      </c>
      <c r="I593" s="1" t="s">
        <v>14572</v>
      </c>
      <c r="J593" s="1" t="s">
        <v>14198</v>
      </c>
      <c r="K593" s="4" t="s">
        <v>23640</v>
      </c>
      <c r="L593" s="1" t="s">
        <v>23641</v>
      </c>
      <c r="M593" s="1" t="s">
        <v>23642</v>
      </c>
      <c r="N593" s="3" t="s">
        <v>23643</v>
      </c>
    </row>
    <row r="594" spans="1:14" ht="409.6">
      <c r="A594" s="1" t="s">
        <v>23644</v>
      </c>
      <c r="B594" s="1" t="s">
        <v>23645</v>
      </c>
      <c r="C594" s="1" t="s">
        <v>23646</v>
      </c>
      <c r="D594" s="1" t="s">
        <v>23647</v>
      </c>
      <c r="E594" s="1" t="s">
        <v>23648</v>
      </c>
      <c r="F594" s="1" t="s">
        <v>23649</v>
      </c>
      <c r="G594" s="1" t="s">
        <v>23650</v>
      </c>
      <c r="H594" s="1">
        <v>130</v>
      </c>
      <c r="I594" s="1" t="s">
        <v>14281</v>
      </c>
      <c r="J594" s="1" t="s">
        <v>14237</v>
      </c>
      <c r="K594" s="4" t="s">
        <v>23651</v>
      </c>
      <c r="L594" s="1" t="s">
        <v>23652</v>
      </c>
      <c r="M594" s="1" t="s">
        <v>23653</v>
      </c>
      <c r="N594" s="3" t="s">
        <v>23654</v>
      </c>
    </row>
    <row r="595" spans="1:14" ht="13.8">
      <c r="A595" s="1" t="s">
        <v>23655</v>
      </c>
      <c r="B595" s="1" t="s">
        <v>23656</v>
      </c>
      <c r="C595" s="1" t="s">
        <v>23657</v>
      </c>
      <c r="D595" s="1" t="s">
        <v>23658</v>
      </c>
      <c r="E595" s="1" t="s">
        <v>23659</v>
      </c>
      <c r="F595" s="1" t="s">
        <v>23660</v>
      </c>
      <c r="G595" s="1" t="s">
        <v>23661</v>
      </c>
      <c r="H595" s="1">
        <v>35</v>
      </c>
      <c r="I595" s="1" t="s">
        <v>14207</v>
      </c>
      <c r="J595" s="1" t="s">
        <v>14237</v>
      </c>
      <c r="K595" s="1" t="s">
        <v>23662</v>
      </c>
      <c r="L595" s="1" t="s">
        <v>23663</v>
      </c>
      <c r="M595" s="1" t="s">
        <v>23664</v>
      </c>
      <c r="N595" s="3" t="s">
        <v>23665</v>
      </c>
    </row>
    <row r="596" spans="1:14" ht="13.8">
      <c r="A596" s="1" t="s">
        <v>23666</v>
      </c>
      <c r="B596" s="1" t="s">
        <v>23667</v>
      </c>
      <c r="C596" s="1" t="s">
        <v>23668</v>
      </c>
      <c r="D596" s="1" t="s">
        <v>23669</v>
      </c>
      <c r="E596" s="1" t="s">
        <v>23670</v>
      </c>
      <c r="F596" s="1" t="s">
        <v>23671</v>
      </c>
      <c r="G596" s="1" t="s">
        <v>23672</v>
      </c>
      <c r="H596" s="1">
        <v>50</v>
      </c>
      <c r="I596" s="1" t="s">
        <v>14281</v>
      </c>
      <c r="J596" s="1" t="s">
        <v>14198</v>
      </c>
      <c r="K596" s="1" t="s">
        <v>23673</v>
      </c>
      <c r="L596" s="1" t="s">
        <v>23674</v>
      </c>
      <c r="M596" s="1" t="s">
        <v>23675</v>
      </c>
      <c r="N596" s="3" t="s">
        <v>23676</v>
      </c>
    </row>
    <row r="597" spans="1:14" ht="409.6">
      <c r="A597" s="1" t="s">
        <v>23677</v>
      </c>
      <c r="B597" s="1" t="s">
        <v>23678</v>
      </c>
      <c r="C597" s="1" t="s">
        <v>23679</v>
      </c>
      <c r="D597" s="1" t="s">
        <v>23680</v>
      </c>
      <c r="E597" s="1" t="s">
        <v>23681</v>
      </c>
      <c r="F597" s="1" t="s">
        <v>23682</v>
      </c>
      <c r="G597" s="1" t="s">
        <v>23683</v>
      </c>
      <c r="H597" s="1">
        <v>60</v>
      </c>
      <c r="I597" s="1" t="s">
        <v>8417</v>
      </c>
      <c r="J597" s="1" t="s">
        <v>14198</v>
      </c>
      <c r="K597" s="4" t="s">
        <v>23684</v>
      </c>
      <c r="L597" s="1" t="s">
        <v>23685</v>
      </c>
      <c r="M597" s="1" t="s">
        <v>23686</v>
      </c>
      <c r="N597" s="3" t="s">
        <v>23687</v>
      </c>
    </row>
    <row r="598" spans="1:14" ht="13.8">
      <c r="A598" s="1" t="s">
        <v>23688</v>
      </c>
      <c r="B598" s="1" t="s">
        <v>23689</v>
      </c>
      <c r="C598" s="1" t="s">
        <v>23690</v>
      </c>
      <c r="D598" s="1" t="s">
        <v>23691</v>
      </c>
      <c r="E598" s="1" t="s">
        <v>23692</v>
      </c>
      <c r="F598" s="1" t="s">
        <v>23693</v>
      </c>
      <c r="G598" s="1" t="s">
        <v>23694</v>
      </c>
      <c r="H598" s="1">
        <v>25</v>
      </c>
      <c r="I598" s="1" t="s">
        <v>14572</v>
      </c>
      <c r="J598" s="1" t="s">
        <v>14198</v>
      </c>
      <c r="K598" s="1" t="s">
        <v>23695</v>
      </c>
      <c r="L598" s="1" t="s">
        <v>23696</v>
      </c>
      <c r="M598" s="1" t="s">
        <v>23697</v>
      </c>
      <c r="N598" s="3" t="s">
        <v>23698</v>
      </c>
    </row>
    <row r="599" spans="1:14" ht="409.6">
      <c r="A599" s="1" t="s">
        <v>23699</v>
      </c>
      <c r="B599" s="1" t="s">
        <v>23700</v>
      </c>
      <c r="C599" s="1" t="s">
        <v>23701</v>
      </c>
      <c r="D599" s="1" t="s">
        <v>23702</v>
      </c>
      <c r="E599" s="1" t="s">
        <v>23703</v>
      </c>
      <c r="F599" s="1" t="s">
        <v>23704</v>
      </c>
      <c r="G599" s="1" t="s">
        <v>23705</v>
      </c>
      <c r="H599" s="1">
        <v>25</v>
      </c>
      <c r="I599" s="1" t="s">
        <v>429</v>
      </c>
      <c r="J599" s="1" t="s">
        <v>14198</v>
      </c>
      <c r="K599" s="4" t="s">
        <v>23706</v>
      </c>
      <c r="L599" s="1" t="s">
        <v>23707</v>
      </c>
      <c r="M599" s="1" t="s">
        <v>23708</v>
      </c>
      <c r="N599" s="3" t="s">
        <v>23709</v>
      </c>
    </row>
    <row r="600" spans="1:14" ht="13.8">
      <c r="A600" s="1" t="s">
        <v>23710</v>
      </c>
      <c r="B600" s="1" t="s">
        <v>23711</v>
      </c>
      <c r="C600" s="1" t="s">
        <v>23712</v>
      </c>
      <c r="D600" s="1" t="s">
        <v>23713</v>
      </c>
      <c r="E600" s="1" t="s">
        <v>23714</v>
      </c>
      <c r="F600" s="1" t="s">
        <v>23715</v>
      </c>
      <c r="G600" s="1" t="s">
        <v>23716</v>
      </c>
      <c r="H600" s="1">
        <v>55</v>
      </c>
      <c r="I600" s="1" t="s">
        <v>17252</v>
      </c>
      <c r="J600" s="1" t="s">
        <v>14338</v>
      </c>
      <c r="K600" s="1" t="s">
        <v>23717</v>
      </c>
      <c r="L600" s="1" t="s">
        <v>23718</v>
      </c>
      <c r="M600" s="1" t="s">
        <v>23719</v>
      </c>
      <c r="N600" s="3" t="s">
        <v>23720</v>
      </c>
    </row>
    <row r="601" spans="1:14" ht="13.8">
      <c r="A601" s="1" t="s">
        <v>23721</v>
      </c>
      <c r="B601" s="1" t="s">
        <v>23722</v>
      </c>
      <c r="C601" s="1" t="s">
        <v>23723</v>
      </c>
      <c r="D601" s="1" t="s">
        <v>23724</v>
      </c>
      <c r="E601" s="1" t="s">
        <v>23725</v>
      </c>
      <c r="F601" s="1" t="s">
        <v>23726</v>
      </c>
      <c r="G601" s="1" t="s">
        <v>23727</v>
      </c>
      <c r="H601" s="1">
        <v>20</v>
      </c>
      <c r="I601" s="1" t="s">
        <v>17252</v>
      </c>
      <c r="J601" s="1" t="s">
        <v>14198</v>
      </c>
      <c r="K601" s="1" t="s">
        <v>23728</v>
      </c>
      <c r="L601" s="1" t="s">
        <v>23729</v>
      </c>
      <c r="M601" s="1" t="s">
        <v>23730</v>
      </c>
      <c r="N601" s="3" t="s">
        <v>23731</v>
      </c>
    </row>
    <row r="602" spans="1:14" ht="409.6">
      <c r="A602" s="1" t="s">
        <v>23732</v>
      </c>
      <c r="B602" s="1" t="s">
        <v>23733</v>
      </c>
      <c r="C602" s="1" t="s">
        <v>23734</v>
      </c>
      <c r="D602" s="1" t="s">
        <v>23735</v>
      </c>
      <c r="E602" s="1" t="s">
        <v>23736</v>
      </c>
      <c r="F602" s="1" t="s">
        <v>23737</v>
      </c>
      <c r="G602" s="1" t="s">
        <v>23738</v>
      </c>
      <c r="H602" s="1">
        <v>89</v>
      </c>
      <c r="I602" s="1" t="s">
        <v>14281</v>
      </c>
      <c r="J602" s="1" t="s">
        <v>14198</v>
      </c>
      <c r="K602" s="4" t="s">
        <v>23739</v>
      </c>
      <c r="L602" s="1" t="s">
        <v>23740</v>
      </c>
      <c r="M602" s="1" t="s">
        <v>23741</v>
      </c>
      <c r="N602" s="3" t="s">
        <v>23742</v>
      </c>
    </row>
    <row r="603" spans="1:14" ht="13.8">
      <c r="A603" s="1" t="s">
        <v>23743</v>
      </c>
      <c r="B603" s="1" t="s">
        <v>23744</v>
      </c>
      <c r="C603" s="1" t="s">
        <v>23745</v>
      </c>
      <c r="D603" s="1" t="s">
        <v>23746</v>
      </c>
      <c r="E603" s="1" t="s">
        <v>23747</v>
      </c>
      <c r="F603" s="1" t="s">
        <v>23748</v>
      </c>
      <c r="G603" s="1" t="s">
        <v>23749</v>
      </c>
      <c r="H603" s="1">
        <v>65</v>
      </c>
      <c r="I603" s="1" t="s">
        <v>14281</v>
      </c>
      <c r="J603" s="1" t="s">
        <v>15314</v>
      </c>
      <c r="K603" s="1" t="s">
        <v>23750</v>
      </c>
      <c r="L603" s="1" t="s">
        <v>23751</v>
      </c>
      <c r="M603" s="1" t="s">
        <v>23752</v>
      </c>
      <c r="N603" s="3" t="s">
        <v>23753</v>
      </c>
    </row>
    <row r="604" spans="1:14" ht="409.6">
      <c r="A604" s="1" t="s">
        <v>23754</v>
      </c>
      <c r="B604" s="1" t="s">
        <v>23755</v>
      </c>
      <c r="C604" s="1" t="s">
        <v>23756</v>
      </c>
      <c r="D604" s="1" t="s">
        <v>23757</v>
      </c>
      <c r="E604" s="1" t="s">
        <v>23758</v>
      </c>
      <c r="F604" s="1" t="s">
        <v>23759</v>
      </c>
      <c r="G604" s="1" t="s">
        <v>23760</v>
      </c>
      <c r="H604" s="1">
        <v>15</v>
      </c>
      <c r="I604" s="1" t="s">
        <v>14572</v>
      </c>
      <c r="J604" s="1" t="s">
        <v>14198</v>
      </c>
      <c r="K604" s="4" t="s">
        <v>23761</v>
      </c>
      <c r="L604" s="1" t="s">
        <v>23762</v>
      </c>
      <c r="M604" s="1" t="s">
        <v>23763</v>
      </c>
      <c r="N604" s="3" t="s">
        <v>23764</v>
      </c>
    </row>
    <row r="605" spans="1:14" ht="13.8">
      <c r="A605" s="1" t="s">
        <v>23765</v>
      </c>
      <c r="B605" s="1" t="s">
        <v>23766</v>
      </c>
      <c r="C605" s="1" t="s">
        <v>23767</v>
      </c>
      <c r="D605" s="1" t="s">
        <v>23768</v>
      </c>
      <c r="E605" s="1" t="s">
        <v>23769</v>
      </c>
      <c r="F605" s="1" t="s">
        <v>23770</v>
      </c>
      <c r="G605" s="1" t="s">
        <v>23771</v>
      </c>
      <c r="H605" s="1">
        <v>50</v>
      </c>
      <c r="I605" s="1" t="s">
        <v>14207</v>
      </c>
      <c r="J605" s="1" t="s">
        <v>14198</v>
      </c>
      <c r="K605" s="1" t="s">
        <v>23772</v>
      </c>
      <c r="L605" s="1" t="s">
        <v>23773</v>
      </c>
      <c r="M605" s="1" t="s">
        <v>23774</v>
      </c>
      <c r="N605" s="3" t="s">
        <v>23775</v>
      </c>
    </row>
    <row r="606" spans="1:14" ht="409.6">
      <c r="A606" s="1" t="s">
        <v>23776</v>
      </c>
      <c r="B606" s="1" t="s">
        <v>23777</v>
      </c>
      <c r="C606" s="1" t="s">
        <v>23778</v>
      </c>
      <c r="D606" s="1" t="s">
        <v>23779</v>
      </c>
      <c r="E606" s="1" t="s">
        <v>23780</v>
      </c>
      <c r="F606" s="1" t="s">
        <v>23781</v>
      </c>
      <c r="G606" s="1" t="s">
        <v>23782</v>
      </c>
      <c r="H606" s="1">
        <v>50</v>
      </c>
      <c r="I606" s="1" t="s">
        <v>145</v>
      </c>
      <c r="J606" s="1" t="s">
        <v>14198</v>
      </c>
      <c r="K606" s="4" t="s">
        <v>23783</v>
      </c>
      <c r="L606" s="1" t="s">
        <v>23784</v>
      </c>
      <c r="M606" s="1" t="s">
        <v>23785</v>
      </c>
      <c r="N606" s="3" t="s">
        <v>23786</v>
      </c>
    </row>
    <row r="607" spans="1:14" ht="13.8">
      <c r="A607" s="1" t="s">
        <v>23787</v>
      </c>
      <c r="B607" s="1" t="s">
        <v>23788</v>
      </c>
      <c r="C607" s="1" t="s">
        <v>23789</v>
      </c>
      <c r="D607" s="1" t="s">
        <v>23790</v>
      </c>
      <c r="E607" s="1" t="s">
        <v>23791</v>
      </c>
      <c r="F607" s="1" t="s">
        <v>23792</v>
      </c>
      <c r="G607" s="1" t="s">
        <v>23793</v>
      </c>
      <c r="H607" s="1">
        <v>80</v>
      </c>
      <c r="I607" s="1" t="s">
        <v>14281</v>
      </c>
      <c r="J607" s="1" t="s">
        <v>14198</v>
      </c>
      <c r="K607" s="1" t="s">
        <v>23794</v>
      </c>
      <c r="L607" s="1" t="s">
        <v>23795</v>
      </c>
      <c r="M607" s="1" t="s">
        <v>23796</v>
      </c>
      <c r="N607" s="3" t="s">
        <v>23797</v>
      </c>
    </row>
    <row r="608" spans="1:14" ht="409.6">
      <c r="A608" s="1" t="s">
        <v>23798</v>
      </c>
      <c r="B608" s="1" t="s">
        <v>23799</v>
      </c>
      <c r="C608" s="1" t="s">
        <v>23800</v>
      </c>
      <c r="D608" s="1" t="s">
        <v>23801</v>
      </c>
      <c r="E608" s="1" t="s">
        <v>23802</v>
      </c>
      <c r="F608" s="1" t="s">
        <v>23803</v>
      </c>
      <c r="G608" s="1" t="s">
        <v>23804</v>
      </c>
      <c r="H608" s="1">
        <v>45</v>
      </c>
      <c r="I608" s="1" t="s">
        <v>14281</v>
      </c>
      <c r="J608" s="1" t="s">
        <v>14198</v>
      </c>
      <c r="K608" s="4" t="s">
        <v>23805</v>
      </c>
      <c r="L608" s="1" t="s">
        <v>23806</v>
      </c>
      <c r="M608" s="1" t="s">
        <v>23807</v>
      </c>
      <c r="N608" s="3" t="s">
        <v>23808</v>
      </c>
    </row>
    <row r="609" spans="1:14" ht="13.8">
      <c r="A609" s="1" t="s">
        <v>23809</v>
      </c>
      <c r="B609" s="1" t="s">
        <v>23810</v>
      </c>
      <c r="C609" s="1" t="s">
        <v>23811</v>
      </c>
      <c r="D609" s="1" t="s">
        <v>23812</v>
      </c>
      <c r="E609" s="1" t="s">
        <v>23813</v>
      </c>
      <c r="F609" s="1" t="s">
        <v>23814</v>
      </c>
      <c r="G609" s="1" t="s">
        <v>23815</v>
      </c>
      <c r="H609" s="1">
        <v>45</v>
      </c>
      <c r="I609" s="1" t="s">
        <v>14281</v>
      </c>
      <c r="J609" s="1" t="s">
        <v>18114</v>
      </c>
      <c r="K609" s="1" t="s">
        <v>23816</v>
      </c>
      <c r="L609" s="1" t="s">
        <v>23817</v>
      </c>
      <c r="M609" s="1" t="s">
        <v>23818</v>
      </c>
      <c r="N609" s="3" t="s">
        <v>23819</v>
      </c>
    </row>
    <row r="610" spans="1:14" ht="409.6">
      <c r="A610" s="1" t="s">
        <v>23820</v>
      </c>
      <c r="B610" s="1" t="s">
        <v>23821</v>
      </c>
      <c r="C610" s="1" t="s">
        <v>23822</v>
      </c>
      <c r="D610" s="1" t="s">
        <v>23823</v>
      </c>
      <c r="E610" s="1" t="s">
        <v>23824</v>
      </c>
      <c r="F610" s="1" t="s">
        <v>23825</v>
      </c>
      <c r="G610" s="1" t="s">
        <v>23826</v>
      </c>
      <c r="H610" s="1">
        <v>40</v>
      </c>
      <c r="I610" s="1" t="s">
        <v>8417</v>
      </c>
      <c r="J610" s="1" t="s">
        <v>15314</v>
      </c>
      <c r="K610" s="4" t="s">
        <v>23827</v>
      </c>
      <c r="L610" s="1" t="s">
        <v>23828</v>
      </c>
      <c r="M610" s="1" t="s">
        <v>23829</v>
      </c>
      <c r="N610" s="3" t="s">
        <v>23830</v>
      </c>
    </row>
    <row r="611" spans="1:14" ht="409.6">
      <c r="A611" s="1" t="s">
        <v>23831</v>
      </c>
      <c r="B611" s="1" t="s">
        <v>23832</v>
      </c>
      <c r="C611" s="1" t="s">
        <v>23833</v>
      </c>
      <c r="D611" s="1" t="s">
        <v>23834</v>
      </c>
      <c r="E611" s="1" t="s">
        <v>23835</v>
      </c>
      <c r="F611" s="1" t="s">
        <v>23836</v>
      </c>
      <c r="G611" s="1" t="s">
        <v>23837</v>
      </c>
      <c r="H611" s="1">
        <v>15</v>
      </c>
      <c r="I611" s="1" t="s">
        <v>17252</v>
      </c>
      <c r="J611" s="1" t="s">
        <v>15314</v>
      </c>
      <c r="K611" s="4" t="s">
        <v>23838</v>
      </c>
      <c r="L611" s="1" t="s">
        <v>23839</v>
      </c>
      <c r="M611" s="1" t="s">
        <v>23840</v>
      </c>
      <c r="N611" s="3" t="s">
        <v>23841</v>
      </c>
    </row>
    <row r="612" spans="1:14" ht="409.6">
      <c r="A612" s="1" t="s">
        <v>23842</v>
      </c>
      <c r="B612" s="1" t="s">
        <v>23843</v>
      </c>
      <c r="C612" s="1" t="s">
        <v>23844</v>
      </c>
      <c r="D612" s="1" t="s">
        <v>23845</v>
      </c>
      <c r="E612" s="1" t="s">
        <v>23846</v>
      </c>
      <c r="F612" s="1" t="s">
        <v>23847</v>
      </c>
      <c r="G612" s="1" t="s">
        <v>23848</v>
      </c>
      <c r="H612" s="1">
        <v>260</v>
      </c>
      <c r="I612" s="1" t="s">
        <v>8417</v>
      </c>
      <c r="J612" s="1" t="s">
        <v>15314</v>
      </c>
      <c r="K612" s="4" t="s">
        <v>23849</v>
      </c>
      <c r="L612" s="1" t="s">
        <v>23850</v>
      </c>
      <c r="M612" s="1" t="s">
        <v>23851</v>
      </c>
      <c r="N612" s="3" t="s">
        <v>23852</v>
      </c>
    </row>
    <row r="613" spans="1:14" ht="13.8">
      <c r="A613" s="1" t="s">
        <v>23853</v>
      </c>
      <c r="B613" s="1" t="s">
        <v>23854</v>
      </c>
      <c r="C613" s="1" t="s">
        <v>23855</v>
      </c>
      <c r="D613" s="1" t="s">
        <v>23856</v>
      </c>
      <c r="E613" s="1" t="s">
        <v>23857</v>
      </c>
      <c r="F613" s="1" t="s">
        <v>23858</v>
      </c>
      <c r="G613" s="1" t="s">
        <v>23859</v>
      </c>
      <c r="H613" s="1">
        <v>27</v>
      </c>
      <c r="I613" s="1" t="s">
        <v>14281</v>
      </c>
      <c r="J613" s="1" t="s">
        <v>14198</v>
      </c>
      <c r="K613" s="1" t="s">
        <v>23860</v>
      </c>
      <c r="L613" s="1" t="s">
        <v>23861</v>
      </c>
      <c r="M613" s="1" t="s">
        <v>23862</v>
      </c>
      <c r="N613" s="3" t="s">
        <v>23863</v>
      </c>
    </row>
    <row r="614" spans="1:14" ht="13.8">
      <c r="A614" s="1" t="s">
        <v>23864</v>
      </c>
      <c r="B614" s="1" t="s">
        <v>23865</v>
      </c>
      <c r="C614" s="1" t="s">
        <v>23866</v>
      </c>
      <c r="D614" s="1" t="s">
        <v>23867</v>
      </c>
      <c r="E614" s="1" t="s">
        <v>23868</v>
      </c>
      <c r="F614" s="1" t="s">
        <v>23869</v>
      </c>
      <c r="G614" s="1" t="s">
        <v>23870</v>
      </c>
      <c r="H614" s="1">
        <v>40</v>
      </c>
      <c r="I614" s="1" t="s">
        <v>8417</v>
      </c>
      <c r="J614" s="1" t="s">
        <v>14198</v>
      </c>
      <c r="K614" s="1" t="s">
        <v>23871</v>
      </c>
      <c r="L614" s="1" t="s">
        <v>23872</v>
      </c>
      <c r="M614" s="1" t="s">
        <v>23873</v>
      </c>
      <c r="N614" s="3" t="s">
        <v>23874</v>
      </c>
    </row>
    <row r="615" spans="1:14" ht="13.8">
      <c r="A615" s="1" t="s">
        <v>23875</v>
      </c>
      <c r="B615" s="1" t="s">
        <v>23876</v>
      </c>
      <c r="C615" s="1" t="s">
        <v>23877</v>
      </c>
      <c r="D615" s="1" t="s">
        <v>23878</v>
      </c>
      <c r="E615" s="1" t="s">
        <v>23879</v>
      </c>
      <c r="F615" s="1" t="s">
        <v>23880</v>
      </c>
      <c r="G615" s="1" t="s">
        <v>23881</v>
      </c>
      <c r="H615" s="1">
        <v>25</v>
      </c>
      <c r="I615" s="1" t="s">
        <v>17252</v>
      </c>
      <c r="J615" s="1" t="s">
        <v>14198</v>
      </c>
      <c r="K615" s="1" t="s">
        <v>23882</v>
      </c>
      <c r="L615" s="1" t="s">
        <v>23883</v>
      </c>
      <c r="M615" s="1" t="s">
        <v>23884</v>
      </c>
      <c r="N615" s="3" t="s">
        <v>23885</v>
      </c>
    </row>
    <row r="616" spans="1:14" ht="409.6">
      <c r="A616" s="1" t="s">
        <v>23886</v>
      </c>
      <c r="B616" s="1" t="s">
        <v>23887</v>
      </c>
      <c r="C616" s="1" t="s">
        <v>23888</v>
      </c>
      <c r="D616" s="1" t="s">
        <v>23889</v>
      </c>
      <c r="E616" s="1" t="s">
        <v>23890</v>
      </c>
      <c r="F616" s="1" t="s">
        <v>23891</v>
      </c>
      <c r="G616" s="1" t="s">
        <v>23892</v>
      </c>
      <c r="H616" s="1">
        <v>15</v>
      </c>
      <c r="I616" s="1" t="s">
        <v>14281</v>
      </c>
      <c r="J616" s="1" t="s">
        <v>14198</v>
      </c>
      <c r="K616" s="4" t="s">
        <v>23893</v>
      </c>
      <c r="L616" s="1" t="s">
        <v>23894</v>
      </c>
      <c r="M616" s="1" t="s">
        <v>23895</v>
      </c>
      <c r="N616" s="3" t="s">
        <v>23896</v>
      </c>
    </row>
    <row r="617" spans="1:14" ht="13.8">
      <c r="A617" s="1" t="s">
        <v>23897</v>
      </c>
      <c r="B617" s="1" t="s">
        <v>23898</v>
      </c>
      <c r="C617" s="1" t="s">
        <v>23899</v>
      </c>
      <c r="D617" s="1" t="s">
        <v>23900</v>
      </c>
      <c r="E617" s="1" t="s">
        <v>23901</v>
      </c>
      <c r="F617" s="1" t="s">
        <v>23902</v>
      </c>
      <c r="G617" s="1" t="s">
        <v>23903</v>
      </c>
      <c r="H617" s="1">
        <v>150</v>
      </c>
      <c r="I617" s="1" t="s">
        <v>14281</v>
      </c>
      <c r="J617" s="1" t="s">
        <v>14237</v>
      </c>
      <c r="K617" s="1" t="s">
        <v>23904</v>
      </c>
      <c r="L617" s="1" t="s">
        <v>23905</v>
      </c>
      <c r="M617" s="1" t="s">
        <v>23906</v>
      </c>
      <c r="N617" s="3" t="s">
        <v>23907</v>
      </c>
    </row>
    <row r="618" spans="1:14" ht="409.6">
      <c r="A618" s="1" t="s">
        <v>23908</v>
      </c>
      <c r="B618" s="1" t="s">
        <v>23909</v>
      </c>
      <c r="C618" s="1" t="s">
        <v>23910</v>
      </c>
      <c r="D618" s="1" t="s">
        <v>23911</v>
      </c>
      <c r="E618" s="1" t="s">
        <v>23912</v>
      </c>
      <c r="F618" s="1" t="s">
        <v>23913</v>
      </c>
      <c r="G618" s="1" t="s">
        <v>23914</v>
      </c>
      <c r="H618" s="1">
        <v>45</v>
      </c>
      <c r="I618" s="1" t="s">
        <v>8417</v>
      </c>
      <c r="J618" s="1" t="s">
        <v>14198</v>
      </c>
      <c r="K618" s="4" t="s">
        <v>23915</v>
      </c>
      <c r="L618" s="1" t="s">
        <v>23916</v>
      </c>
      <c r="M618" s="1" t="s">
        <v>23917</v>
      </c>
      <c r="N618" s="3" t="s">
        <v>23918</v>
      </c>
    </row>
    <row r="619" spans="1:14" ht="409.6">
      <c r="A619" s="1" t="s">
        <v>23919</v>
      </c>
      <c r="B619" s="1" t="s">
        <v>23920</v>
      </c>
      <c r="C619" s="1" t="s">
        <v>23921</v>
      </c>
      <c r="D619" s="1" t="s">
        <v>23922</v>
      </c>
      <c r="E619" s="1" t="s">
        <v>23923</v>
      </c>
      <c r="F619" s="1" t="s">
        <v>23924</v>
      </c>
      <c r="G619" s="1" t="s">
        <v>23925</v>
      </c>
      <c r="H619" s="1">
        <v>15</v>
      </c>
      <c r="I619" s="1" t="s">
        <v>14207</v>
      </c>
      <c r="J619" s="1" t="s">
        <v>14198</v>
      </c>
      <c r="K619" s="4" t="s">
        <v>23926</v>
      </c>
      <c r="L619" s="1" t="s">
        <v>23927</v>
      </c>
      <c r="M619" s="1" t="s">
        <v>23928</v>
      </c>
      <c r="N619" s="3" t="s">
        <v>23929</v>
      </c>
    </row>
    <row r="620" spans="1:14" ht="409.6">
      <c r="A620" s="1" t="s">
        <v>23930</v>
      </c>
      <c r="B620" s="1" t="s">
        <v>23931</v>
      </c>
      <c r="C620" s="1" t="s">
        <v>23932</v>
      </c>
      <c r="D620" s="1" t="s">
        <v>23933</v>
      </c>
      <c r="E620" s="1" t="s">
        <v>23934</v>
      </c>
      <c r="F620" s="1" t="s">
        <v>23935</v>
      </c>
      <c r="G620" s="1" t="s">
        <v>23936</v>
      </c>
      <c r="H620" s="1">
        <v>50</v>
      </c>
      <c r="I620" s="1" t="s">
        <v>14281</v>
      </c>
      <c r="J620" s="1" t="s">
        <v>15314</v>
      </c>
      <c r="K620" s="4" t="s">
        <v>23937</v>
      </c>
      <c r="L620" s="1" t="s">
        <v>23938</v>
      </c>
      <c r="M620" s="1" t="s">
        <v>23939</v>
      </c>
      <c r="N620" s="3" t="s">
        <v>23940</v>
      </c>
    </row>
    <row r="621" spans="1:14" ht="409.6">
      <c r="A621" s="1" t="s">
        <v>23941</v>
      </c>
      <c r="B621" s="1" t="s">
        <v>23942</v>
      </c>
      <c r="C621" s="1" t="s">
        <v>23943</v>
      </c>
      <c r="D621" s="1" t="s">
        <v>23944</v>
      </c>
      <c r="E621" s="1" t="s">
        <v>23945</v>
      </c>
      <c r="F621" s="1" t="s">
        <v>23946</v>
      </c>
      <c r="G621" s="1" t="s">
        <v>23947</v>
      </c>
      <c r="H621" s="1">
        <v>150</v>
      </c>
      <c r="I621" s="1" t="s">
        <v>429</v>
      </c>
      <c r="J621" s="1" t="s">
        <v>14198</v>
      </c>
      <c r="K621" s="4" t="s">
        <v>23948</v>
      </c>
      <c r="L621" s="1" t="s">
        <v>23949</v>
      </c>
      <c r="M621" s="1" t="s">
        <v>23950</v>
      </c>
      <c r="N621" s="3" t="s">
        <v>23951</v>
      </c>
    </row>
    <row r="622" spans="1:14" ht="13.8">
      <c r="A622" s="1" t="s">
        <v>23952</v>
      </c>
      <c r="B622" s="1" t="s">
        <v>23953</v>
      </c>
      <c r="C622" s="1" t="s">
        <v>23954</v>
      </c>
      <c r="D622" s="1" t="s">
        <v>23955</v>
      </c>
      <c r="E622" s="1" t="s">
        <v>23956</v>
      </c>
      <c r="F622" s="1" t="s">
        <v>23957</v>
      </c>
      <c r="G622" s="1" t="s">
        <v>23958</v>
      </c>
      <c r="H622" s="1">
        <v>45</v>
      </c>
      <c r="I622" s="1" t="s">
        <v>17252</v>
      </c>
      <c r="J622" s="1" t="s">
        <v>14198</v>
      </c>
      <c r="K622" s="1" t="s">
        <v>23959</v>
      </c>
      <c r="L622" s="1" t="s">
        <v>23960</v>
      </c>
      <c r="M622" s="1" t="s">
        <v>23961</v>
      </c>
      <c r="N622" s="3" t="s">
        <v>23962</v>
      </c>
    </row>
    <row r="623" spans="1:14" ht="13.8">
      <c r="A623" s="1" t="s">
        <v>23963</v>
      </c>
      <c r="B623" s="1" t="s">
        <v>23964</v>
      </c>
      <c r="C623" s="1" t="s">
        <v>23965</v>
      </c>
      <c r="D623" s="1" t="s">
        <v>23966</v>
      </c>
      <c r="E623" s="1" t="s">
        <v>23967</v>
      </c>
      <c r="F623" s="1" t="s">
        <v>23968</v>
      </c>
      <c r="G623" s="1" t="s">
        <v>23969</v>
      </c>
      <c r="H623" s="1">
        <v>50</v>
      </c>
      <c r="I623" s="1" t="s">
        <v>8417</v>
      </c>
      <c r="J623" s="1" t="s">
        <v>14198</v>
      </c>
      <c r="K623" s="1" t="s">
        <v>23970</v>
      </c>
      <c r="L623" s="1" t="s">
        <v>23971</v>
      </c>
      <c r="M623" s="1" t="s">
        <v>23972</v>
      </c>
      <c r="N623" s="3" t="s">
        <v>23973</v>
      </c>
    </row>
    <row r="624" spans="1:14" ht="409.6">
      <c r="A624" s="1" t="s">
        <v>23974</v>
      </c>
      <c r="B624" s="1" t="s">
        <v>23975</v>
      </c>
      <c r="C624" s="1" t="s">
        <v>23976</v>
      </c>
      <c r="D624" s="1" t="s">
        <v>23977</v>
      </c>
      <c r="E624" s="1" t="s">
        <v>23978</v>
      </c>
      <c r="F624" s="1" t="s">
        <v>23979</v>
      </c>
      <c r="G624" s="1" t="s">
        <v>23980</v>
      </c>
      <c r="H624" s="1">
        <v>60</v>
      </c>
      <c r="I624" s="1" t="s">
        <v>8417</v>
      </c>
      <c r="J624" s="1" t="s">
        <v>15314</v>
      </c>
      <c r="K624" s="4" t="s">
        <v>23981</v>
      </c>
      <c r="L624" s="1" t="s">
        <v>23982</v>
      </c>
      <c r="M624" s="1" t="s">
        <v>23983</v>
      </c>
      <c r="N624" s="3" t="s">
        <v>23984</v>
      </c>
    </row>
    <row r="625" spans="1:14" ht="13.8">
      <c r="A625" s="1" t="s">
        <v>23985</v>
      </c>
      <c r="B625" s="1" t="s">
        <v>23986</v>
      </c>
      <c r="C625" s="1" t="s">
        <v>23987</v>
      </c>
      <c r="D625" s="1" t="s">
        <v>23988</v>
      </c>
      <c r="E625" s="1" t="s">
        <v>23989</v>
      </c>
      <c r="F625" s="1" t="s">
        <v>23990</v>
      </c>
      <c r="G625" s="1" t="s">
        <v>23991</v>
      </c>
      <c r="H625" s="1">
        <v>425</v>
      </c>
      <c r="I625" s="1" t="s">
        <v>8417</v>
      </c>
      <c r="J625" s="1" t="s">
        <v>14198</v>
      </c>
      <c r="K625" s="1" t="s">
        <v>23992</v>
      </c>
      <c r="L625" s="1" t="s">
        <v>23993</v>
      </c>
      <c r="M625" s="1" t="s">
        <v>23994</v>
      </c>
      <c r="N625" s="3" t="s">
        <v>23995</v>
      </c>
    </row>
    <row r="626" spans="1:14" ht="409.6">
      <c r="A626" s="1" t="s">
        <v>23996</v>
      </c>
      <c r="B626" s="1" t="s">
        <v>23997</v>
      </c>
      <c r="C626" s="1" t="s">
        <v>23998</v>
      </c>
      <c r="D626" s="1" t="s">
        <v>23999</v>
      </c>
      <c r="E626" s="1" t="s">
        <v>24000</v>
      </c>
      <c r="F626" s="1" t="s">
        <v>24001</v>
      </c>
      <c r="G626" s="1" t="s">
        <v>24002</v>
      </c>
      <c r="H626" s="1">
        <v>15</v>
      </c>
      <c r="I626" s="1" t="s">
        <v>8417</v>
      </c>
      <c r="J626" s="1" t="s">
        <v>14198</v>
      </c>
      <c r="K626" s="4" t="s">
        <v>24003</v>
      </c>
      <c r="L626" s="1" t="s">
        <v>24004</v>
      </c>
      <c r="M626" s="1" t="s">
        <v>24005</v>
      </c>
      <c r="N626" s="3" t="s">
        <v>24006</v>
      </c>
    </row>
    <row r="627" spans="1:14" ht="409.6">
      <c r="A627" s="1" t="s">
        <v>24007</v>
      </c>
      <c r="B627" s="1" t="s">
        <v>24008</v>
      </c>
      <c r="C627" s="1" t="s">
        <v>24009</v>
      </c>
      <c r="D627" s="1" t="s">
        <v>24010</v>
      </c>
      <c r="E627" s="1" t="s">
        <v>24011</v>
      </c>
      <c r="F627" s="1" t="s">
        <v>24012</v>
      </c>
      <c r="G627" s="1" t="s">
        <v>24013</v>
      </c>
      <c r="H627" s="1">
        <v>30</v>
      </c>
      <c r="I627" s="1" t="s">
        <v>17252</v>
      </c>
      <c r="J627" s="1" t="s">
        <v>14198</v>
      </c>
      <c r="K627" s="4" t="s">
        <v>24014</v>
      </c>
      <c r="L627" s="1" t="s">
        <v>24015</v>
      </c>
      <c r="M627" s="1" t="s">
        <v>24016</v>
      </c>
      <c r="N627" s="3" t="s">
        <v>24017</v>
      </c>
    </row>
    <row r="628" spans="1:14" ht="409.6">
      <c r="A628" s="1" t="s">
        <v>24018</v>
      </c>
      <c r="B628" s="1" t="s">
        <v>24019</v>
      </c>
      <c r="C628" s="1" t="s">
        <v>24020</v>
      </c>
      <c r="D628" s="1" t="s">
        <v>24021</v>
      </c>
      <c r="E628" s="1" t="s">
        <v>24022</v>
      </c>
      <c r="F628" s="1" t="s">
        <v>24023</v>
      </c>
      <c r="G628" s="1" t="s">
        <v>24024</v>
      </c>
      <c r="H628" s="1">
        <v>250</v>
      </c>
      <c r="I628" s="1" t="s">
        <v>8417</v>
      </c>
      <c r="J628" s="1" t="s">
        <v>14198</v>
      </c>
      <c r="K628" s="4" t="s">
        <v>24025</v>
      </c>
      <c r="L628" s="1" t="s">
        <v>24026</v>
      </c>
      <c r="M628" s="1" t="s">
        <v>24027</v>
      </c>
      <c r="N628" s="3" t="s">
        <v>24028</v>
      </c>
    </row>
    <row r="629" spans="1:14" ht="409.6">
      <c r="A629" s="1" t="s">
        <v>24029</v>
      </c>
      <c r="B629" s="1" t="s">
        <v>24030</v>
      </c>
      <c r="C629" s="1" t="s">
        <v>24031</v>
      </c>
      <c r="D629" s="1" t="s">
        <v>24032</v>
      </c>
      <c r="E629" s="1" t="s">
        <v>24033</v>
      </c>
      <c r="F629" s="1" t="s">
        <v>24034</v>
      </c>
      <c r="G629" s="1" t="s">
        <v>24035</v>
      </c>
      <c r="H629" s="1">
        <v>15</v>
      </c>
      <c r="I629" s="1" t="s">
        <v>14281</v>
      </c>
      <c r="J629" s="1" t="s">
        <v>14237</v>
      </c>
      <c r="K629" s="1" t="s">
        <v>24036</v>
      </c>
      <c r="L629" s="1" t="s">
        <v>24037</v>
      </c>
      <c r="M629" s="4" t="s">
        <v>24038</v>
      </c>
      <c r="N629" s="3" t="s">
        <v>24039</v>
      </c>
    </row>
    <row r="630" spans="1:14" ht="13.8">
      <c r="A630" s="1" t="s">
        <v>23457</v>
      </c>
      <c r="B630" s="1" t="s">
        <v>24040</v>
      </c>
      <c r="C630" s="1" t="s">
        <v>24041</v>
      </c>
      <c r="D630" s="1" t="s">
        <v>24042</v>
      </c>
      <c r="E630" s="1" t="s">
        <v>24043</v>
      </c>
      <c r="F630" s="1" t="s">
        <v>24044</v>
      </c>
      <c r="G630" s="1" t="s">
        <v>24045</v>
      </c>
      <c r="H630" s="1">
        <v>30</v>
      </c>
      <c r="I630" s="1" t="s">
        <v>14207</v>
      </c>
      <c r="J630" s="1" t="s">
        <v>14198</v>
      </c>
      <c r="K630" s="1" t="s">
        <v>24046</v>
      </c>
      <c r="L630" s="1" t="s">
        <v>24047</v>
      </c>
      <c r="M630" s="1" t="s">
        <v>24048</v>
      </c>
      <c r="N630" s="3" t="s">
        <v>24049</v>
      </c>
    </row>
    <row r="631" spans="1:14" ht="13.8">
      <c r="A631" s="1" t="s">
        <v>24050</v>
      </c>
      <c r="B631" s="1" t="s">
        <v>24051</v>
      </c>
      <c r="C631" s="1" t="s">
        <v>24052</v>
      </c>
      <c r="D631" s="1" t="s">
        <v>24053</v>
      </c>
      <c r="E631" s="1" t="s">
        <v>24054</v>
      </c>
      <c r="F631" s="1" t="s">
        <v>24055</v>
      </c>
      <c r="G631" s="1" t="s">
        <v>24056</v>
      </c>
      <c r="H631" s="1">
        <v>75</v>
      </c>
      <c r="I631" s="1" t="s">
        <v>429</v>
      </c>
      <c r="J631" s="1" t="s">
        <v>14198</v>
      </c>
      <c r="K631" s="1" t="s">
        <v>24057</v>
      </c>
      <c r="L631" s="1" t="s">
        <v>24058</v>
      </c>
      <c r="M631" s="1" t="s">
        <v>24059</v>
      </c>
      <c r="N631" s="3" t="s">
        <v>24060</v>
      </c>
    </row>
    <row r="632" spans="1:14" ht="409.6">
      <c r="A632" s="1" t="s">
        <v>24061</v>
      </c>
      <c r="B632" s="1" t="s">
        <v>24062</v>
      </c>
      <c r="C632" s="1" t="s">
        <v>24063</v>
      </c>
      <c r="D632" s="1" t="s">
        <v>24064</v>
      </c>
      <c r="E632" s="1" t="s">
        <v>24065</v>
      </c>
      <c r="F632" s="1" t="s">
        <v>24066</v>
      </c>
      <c r="G632" s="1" t="s">
        <v>24067</v>
      </c>
      <c r="H632" s="1">
        <v>2925</v>
      </c>
      <c r="I632" s="1" t="s">
        <v>8417</v>
      </c>
      <c r="J632" s="1" t="s">
        <v>15314</v>
      </c>
      <c r="K632" s="4" t="s">
        <v>24068</v>
      </c>
      <c r="L632" s="1" t="s">
        <v>24069</v>
      </c>
      <c r="M632" s="1" t="s">
        <v>24070</v>
      </c>
      <c r="N632" s="3" t="s">
        <v>24071</v>
      </c>
    </row>
    <row r="633" spans="1:14" ht="409.6">
      <c r="A633" s="1" t="s">
        <v>24072</v>
      </c>
      <c r="B633" s="1" t="s">
        <v>24073</v>
      </c>
      <c r="C633" s="1" t="s">
        <v>24074</v>
      </c>
      <c r="D633" s="1" t="s">
        <v>24075</v>
      </c>
      <c r="E633" s="1" t="s">
        <v>24076</v>
      </c>
      <c r="F633" s="1" t="s">
        <v>24077</v>
      </c>
      <c r="G633" s="1" t="s">
        <v>24078</v>
      </c>
      <c r="H633" s="1">
        <v>45</v>
      </c>
      <c r="I633" s="1" t="s">
        <v>8417</v>
      </c>
      <c r="J633" s="1" t="s">
        <v>14198</v>
      </c>
      <c r="K633" s="4" t="s">
        <v>24079</v>
      </c>
      <c r="L633" s="1" t="s">
        <v>24080</v>
      </c>
      <c r="M633" s="1" t="s">
        <v>24081</v>
      </c>
      <c r="N633" s="3" t="s">
        <v>24082</v>
      </c>
    </row>
    <row r="634" spans="1:14" ht="13.8">
      <c r="A634" s="1" t="s">
        <v>24083</v>
      </c>
      <c r="B634" s="1" t="s">
        <v>24084</v>
      </c>
      <c r="C634" s="1" t="s">
        <v>24085</v>
      </c>
      <c r="D634" s="1" t="s">
        <v>24086</v>
      </c>
      <c r="E634" s="1" t="s">
        <v>24087</v>
      </c>
      <c r="F634" s="1" t="s">
        <v>24088</v>
      </c>
      <c r="G634" s="1" t="s">
        <v>24089</v>
      </c>
      <c r="H634" s="1">
        <v>40</v>
      </c>
      <c r="I634" s="1" t="s">
        <v>14572</v>
      </c>
      <c r="J634" s="1" t="s">
        <v>14198</v>
      </c>
      <c r="K634" s="1" t="s">
        <v>24090</v>
      </c>
      <c r="L634" s="1" t="s">
        <v>24091</v>
      </c>
      <c r="M634" s="1" t="s">
        <v>24092</v>
      </c>
      <c r="N634" s="3" t="s">
        <v>24093</v>
      </c>
    </row>
    <row r="635" spans="1:14" ht="409.6">
      <c r="A635" s="1" t="s">
        <v>24094</v>
      </c>
      <c r="B635" s="1" t="s">
        <v>24095</v>
      </c>
      <c r="C635" s="1" t="s">
        <v>24096</v>
      </c>
      <c r="D635" s="1" t="s">
        <v>24097</v>
      </c>
      <c r="E635" s="1" t="s">
        <v>24098</v>
      </c>
      <c r="F635" s="1" t="s">
        <v>24099</v>
      </c>
      <c r="G635" s="1" t="s">
        <v>24100</v>
      </c>
      <c r="H635" s="1">
        <v>55</v>
      </c>
      <c r="I635" s="1" t="s">
        <v>8417</v>
      </c>
      <c r="J635" s="1" t="s">
        <v>15314</v>
      </c>
      <c r="K635" s="4" t="s">
        <v>24101</v>
      </c>
      <c r="L635" s="1" t="s">
        <v>24102</v>
      </c>
      <c r="M635" s="1" t="s">
        <v>24103</v>
      </c>
      <c r="N635" s="3" t="s">
        <v>24104</v>
      </c>
    </row>
    <row r="636" spans="1:14" ht="13.8">
      <c r="A636" s="1" t="s">
        <v>24105</v>
      </c>
      <c r="B636" s="1" t="s">
        <v>24106</v>
      </c>
      <c r="C636" s="1" t="s">
        <v>24107</v>
      </c>
      <c r="D636" s="1" t="s">
        <v>24108</v>
      </c>
      <c r="E636" s="1" t="s">
        <v>24109</v>
      </c>
      <c r="F636" s="1" t="s">
        <v>24110</v>
      </c>
      <c r="G636" s="1" t="s">
        <v>24111</v>
      </c>
      <c r="H636" s="1">
        <v>5</v>
      </c>
      <c r="I636" s="1" t="s">
        <v>14281</v>
      </c>
      <c r="J636" s="1" t="s">
        <v>14198</v>
      </c>
      <c r="K636" s="1" t="s">
        <v>24112</v>
      </c>
      <c r="L636" s="1" t="s">
        <v>24113</v>
      </c>
      <c r="M636" s="1" t="s">
        <v>24114</v>
      </c>
      <c r="N636" s="3" t="s">
        <v>24115</v>
      </c>
    </row>
    <row r="637" spans="1:14" ht="409.6">
      <c r="A637" s="1" t="s">
        <v>24116</v>
      </c>
      <c r="B637" s="1" t="s">
        <v>24117</v>
      </c>
      <c r="C637" s="1" t="s">
        <v>24118</v>
      </c>
      <c r="D637" s="1" t="s">
        <v>24119</v>
      </c>
      <c r="E637" s="1" t="s">
        <v>24120</v>
      </c>
      <c r="F637" s="1" t="s">
        <v>24121</v>
      </c>
      <c r="G637" s="1" t="s">
        <v>24122</v>
      </c>
      <c r="H637" s="1">
        <v>15</v>
      </c>
      <c r="I637" s="1" t="s">
        <v>14572</v>
      </c>
      <c r="J637" s="1" t="s">
        <v>14198</v>
      </c>
      <c r="K637" s="4" t="s">
        <v>24123</v>
      </c>
      <c r="L637" s="1" t="s">
        <v>24124</v>
      </c>
      <c r="M637" s="1" t="s">
        <v>24125</v>
      </c>
      <c r="N637" s="3" t="s">
        <v>24126</v>
      </c>
    </row>
    <row r="638" spans="1:14" ht="409.6">
      <c r="A638" s="1" t="s">
        <v>24127</v>
      </c>
      <c r="B638" s="1" t="s">
        <v>24128</v>
      </c>
      <c r="C638" s="1" t="s">
        <v>24129</v>
      </c>
      <c r="D638" s="1" t="s">
        <v>24130</v>
      </c>
      <c r="E638" s="1" t="s">
        <v>24131</v>
      </c>
      <c r="F638" s="1" t="s">
        <v>24132</v>
      </c>
      <c r="G638" s="1" t="s">
        <v>24133</v>
      </c>
      <c r="H638" s="1">
        <v>540</v>
      </c>
      <c r="I638" s="1" t="s">
        <v>8417</v>
      </c>
      <c r="J638" s="1" t="s">
        <v>14198</v>
      </c>
      <c r="K638" s="4" t="s">
        <v>24134</v>
      </c>
      <c r="L638" s="1" t="s">
        <v>24135</v>
      </c>
      <c r="M638" s="1" t="s">
        <v>24136</v>
      </c>
      <c r="N638" s="3" t="s">
        <v>24137</v>
      </c>
    </row>
    <row r="639" spans="1:14" ht="13.8">
      <c r="A639" s="1" t="s">
        <v>24138</v>
      </c>
      <c r="B639" s="1" t="s">
        <v>24139</v>
      </c>
      <c r="C639" s="1" t="s">
        <v>24140</v>
      </c>
      <c r="D639" s="1" t="s">
        <v>24141</v>
      </c>
      <c r="E639" s="1" t="s">
        <v>24142</v>
      </c>
      <c r="F639" s="1" t="s">
        <v>24143</v>
      </c>
      <c r="G639" s="1" t="s">
        <v>24144</v>
      </c>
      <c r="H639" s="1">
        <v>35</v>
      </c>
      <c r="I639" s="1" t="s">
        <v>8417</v>
      </c>
      <c r="J639" s="1" t="s">
        <v>15314</v>
      </c>
      <c r="K639" s="1" t="s">
        <v>24145</v>
      </c>
      <c r="L639" s="1" t="s">
        <v>24146</v>
      </c>
      <c r="M639" s="1" t="s">
        <v>24147</v>
      </c>
      <c r="N639" s="3" t="s">
        <v>24148</v>
      </c>
    </row>
    <row r="640" spans="1:14" ht="409.6">
      <c r="A640" s="1" t="s">
        <v>24149</v>
      </c>
      <c r="B640" s="1" t="s">
        <v>24150</v>
      </c>
      <c r="C640" s="1" t="s">
        <v>24151</v>
      </c>
      <c r="D640" s="1" t="s">
        <v>24152</v>
      </c>
      <c r="E640" s="1" t="s">
        <v>24153</v>
      </c>
      <c r="F640" s="1" t="s">
        <v>24154</v>
      </c>
      <c r="G640" s="1" t="s">
        <v>24155</v>
      </c>
      <c r="H640" s="1">
        <v>420</v>
      </c>
      <c r="I640" s="1" t="s">
        <v>8417</v>
      </c>
      <c r="J640" s="1" t="s">
        <v>15314</v>
      </c>
      <c r="K640" s="4" t="s">
        <v>24156</v>
      </c>
      <c r="L640" s="1" t="s">
        <v>24157</v>
      </c>
      <c r="M640" s="1" t="s">
        <v>24158</v>
      </c>
      <c r="N640" s="3" t="s">
        <v>24159</v>
      </c>
    </row>
    <row r="641" spans="1:14" ht="13.8">
      <c r="A641" s="1" t="s">
        <v>20374</v>
      </c>
      <c r="B641" s="1" t="s">
        <v>24160</v>
      </c>
      <c r="C641" s="1" t="s">
        <v>24161</v>
      </c>
      <c r="D641" s="1" t="s">
        <v>24162</v>
      </c>
      <c r="E641" s="1" t="s">
        <v>24163</v>
      </c>
      <c r="F641" s="1" t="s">
        <v>24164</v>
      </c>
      <c r="G641" s="1" t="s">
        <v>24165</v>
      </c>
      <c r="H641" s="1">
        <v>20</v>
      </c>
      <c r="I641" s="1" t="s">
        <v>17252</v>
      </c>
      <c r="J641" s="1" t="s">
        <v>14198</v>
      </c>
      <c r="K641" s="1" t="s">
        <v>24166</v>
      </c>
      <c r="L641" s="1" t="s">
        <v>24167</v>
      </c>
      <c r="M641" s="1" t="s">
        <v>24168</v>
      </c>
      <c r="N641" s="3" t="s">
        <v>24169</v>
      </c>
    </row>
    <row r="642" spans="1:14" ht="409.6">
      <c r="A642" s="1" t="s">
        <v>24170</v>
      </c>
      <c r="B642" s="1" t="s">
        <v>24171</v>
      </c>
      <c r="C642" s="1" t="s">
        <v>24172</v>
      </c>
      <c r="D642" s="1" t="s">
        <v>24173</v>
      </c>
      <c r="E642" s="1" t="s">
        <v>24174</v>
      </c>
      <c r="F642" s="1" t="s">
        <v>24175</v>
      </c>
      <c r="G642" s="1" t="s">
        <v>24176</v>
      </c>
      <c r="H642" s="1">
        <v>50</v>
      </c>
      <c r="I642" s="1" t="s">
        <v>14281</v>
      </c>
      <c r="J642" s="1" t="s">
        <v>14198</v>
      </c>
      <c r="K642" s="4" t="s">
        <v>24177</v>
      </c>
      <c r="L642" s="1" t="s">
        <v>24178</v>
      </c>
      <c r="M642" s="1" t="s">
        <v>24179</v>
      </c>
      <c r="N642" s="3" t="s">
        <v>24180</v>
      </c>
    </row>
    <row r="643" spans="1:14" ht="409.6">
      <c r="A643" s="1" t="s">
        <v>24181</v>
      </c>
      <c r="B643" s="1" t="s">
        <v>24182</v>
      </c>
      <c r="C643" s="1" t="s">
        <v>24183</v>
      </c>
      <c r="D643" s="1" t="s">
        <v>24184</v>
      </c>
      <c r="E643" s="1" t="s">
        <v>24185</v>
      </c>
      <c r="F643" s="1" t="s">
        <v>24186</v>
      </c>
      <c r="G643" s="1" t="s">
        <v>24187</v>
      </c>
      <c r="H643" s="1">
        <v>55</v>
      </c>
      <c r="I643" s="1" t="s">
        <v>8417</v>
      </c>
      <c r="J643" s="1" t="s">
        <v>15314</v>
      </c>
      <c r="K643" s="4" t="s">
        <v>24188</v>
      </c>
      <c r="L643" s="1" t="s">
        <v>24189</v>
      </c>
      <c r="M643" s="1" t="s">
        <v>24190</v>
      </c>
      <c r="N643" s="3" t="s">
        <v>24191</v>
      </c>
    </row>
    <row r="644" spans="1:14" ht="409.6">
      <c r="A644" s="1" t="s">
        <v>24192</v>
      </c>
      <c r="B644" s="1" t="s">
        <v>24193</v>
      </c>
      <c r="C644" s="1" t="s">
        <v>24194</v>
      </c>
      <c r="D644" s="1" t="s">
        <v>24195</v>
      </c>
      <c r="E644" s="1" t="s">
        <v>24196</v>
      </c>
      <c r="F644" s="1" t="s">
        <v>24197</v>
      </c>
      <c r="G644" s="1" t="s">
        <v>24198</v>
      </c>
      <c r="H644" s="1">
        <v>35</v>
      </c>
      <c r="I644" s="1" t="s">
        <v>14572</v>
      </c>
      <c r="J644" s="1" t="s">
        <v>14382</v>
      </c>
      <c r="K644" s="4" t="s">
        <v>24199</v>
      </c>
      <c r="L644" s="1" t="s">
        <v>24200</v>
      </c>
      <c r="M644" s="1" t="s">
        <v>24201</v>
      </c>
      <c r="N644" s="3" t="s">
        <v>24202</v>
      </c>
    </row>
    <row r="645" spans="1:14" ht="409.6">
      <c r="A645" s="1" t="s">
        <v>24203</v>
      </c>
      <c r="B645" s="1" t="s">
        <v>24204</v>
      </c>
      <c r="C645" s="1" t="s">
        <v>24205</v>
      </c>
      <c r="D645" s="1" t="s">
        <v>24206</v>
      </c>
      <c r="E645" s="1" t="s">
        <v>24207</v>
      </c>
      <c r="F645" s="1" t="s">
        <v>24208</v>
      </c>
      <c r="G645" s="1" t="s">
        <v>24209</v>
      </c>
      <c r="H645" s="1">
        <v>30</v>
      </c>
      <c r="I645" s="1" t="s">
        <v>14281</v>
      </c>
      <c r="J645" s="1" t="s">
        <v>17937</v>
      </c>
      <c r="K645" s="4" t="s">
        <v>24210</v>
      </c>
      <c r="L645" s="1" t="s">
        <v>24211</v>
      </c>
      <c r="M645" s="1" t="s">
        <v>24212</v>
      </c>
      <c r="N645" s="3" t="s">
        <v>24213</v>
      </c>
    </row>
    <row r="646" spans="1:14" ht="13.8">
      <c r="A646" s="1" t="s">
        <v>24214</v>
      </c>
      <c r="B646" s="1" t="s">
        <v>24215</v>
      </c>
      <c r="C646" s="1" t="s">
        <v>24216</v>
      </c>
      <c r="D646" s="1" t="s">
        <v>24217</v>
      </c>
      <c r="E646" s="1" t="s">
        <v>24218</v>
      </c>
      <c r="F646" s="1" t="s">
        <v>24219</v>
      </c>
      <c r="G646" s="1" t="s">
        <v>24220</v>
      </c>
      <c r="H646" s="1">
        <v>35</v>
      </c>
      <c r="I646" s="1" t="s">
        <v>145</v>
      </c>
      <c r="J646" s="1" t="s">
        <v>14198</v>
      </c>
      <c r="K646" s="1" t="s">
        <v>24221</v>
      </c>
      <c r="L646" s="1" t="s">
        <v>24222</v>
      </c>
      <c r="M646" s="1" t="s">
        <v>24223</v>
      </c>
      <c r="N646" s="3" t="s">
        <v>24224</v>
      </c>
    </row>
    <row r="647" spans="1:14" ht="409.6">
      <c r="A647" s="1" t="s">
        <v>24225</v>
      </c>
      <c r="B647" s="1" t="s">
        <v>24226</v>
      </c>
      <c r="C647" s="1" t="s">
        <v>24227</v>
      </c>
      <c r="D647" s="1" t="s">
        <v>24228</v>
      </c>
      <c r="E647" s="1" t="s">
        <v>24229</v>
      </c>
      <c r="F647" s="1" t="s">
        <v>24230</v>
      </c>
      <c r="G647" s="1" t="s">
        <v>24231</v>
      </c>
      <c r="H647" s="1">
        <v>60</v>
      </c>
      <c r="I647" s="1" t="s">
        <v>8417</v>
      </c>
      <c r="J647" s="1" t="s">
        <v>14198</v>
      </c>
      <c r="K647" s="4" t="s">
        <v>24232</v>
      </c>
      <c r="L647" s="1" t="s">
        <v>24233</v>
      </c>
      <c r="M647" s="1" t="s">
        <v>24234</v>
      </c>
      <c r="N647" s="3" t="s">
        <v>24235</v>
      </c>
    </row>
    <row r="648" spans="1:14" ht="409.6">
      <c r="A648" s="1" t="s">
        <v>24236</v>
      </c>
      <c r="B648" s="1" t="s">
        <v>24237</v>
      </c>
      <c r="C648" s="1" t="s">
        <v>24238</v>
      </c>
      <c r="D648" s="1" t="s">
        <v>24239</v>
      </c>
      <c r="E648" s="1" t="s">
        <v>24240</v>
      </c>
      <c r="F648" s="1" t="s">
        <v>24241</v>
      </c>
      <c r="G648" s="1" t="s">
        <v>24242</v>
      </c>
      <c r="H648" s="1">
        <v>60</v>
      </c>
      <c r="I648" s="1" t="s">
        <v>8417</v>
      </c>
      <c r="J648" s="1" t="s">
        <v>14198</v>
      </c>
      <c r="K648" s="4" t="s">
        <v>24243</v>
      </c>
      <c r="L648" s="1" t="s">
        <v>24244</v>
      </c>
      <c r="M648" s="1" t="s">
        <v>24245</v>
      </c>
      <c r="N648" s="3" t="s">
        <v>24246</v>
      </c>
    </row>
    <row r="649" spans="1:14" ht="13.8">
      <c r="A649" s="1" t="s">
        <v>24247</v>
      </c>
      <c r="B649" s="1" t="s">
        <v>24248</v>
      </c>
      <c r="C649" s="1" t="s">
        <v>24249</v>
      </c>
      <c r="D649" s="1" t="s">
        <v>24250</v>
      </c>
      <c r="E649" s="1" t="s">
        <v>24251</v>
      </c>
      <c r="F649" s="1" t="s">
        <v>24252</v>
      </c>
      <c r="G649" s="1" t="s">
        <v>24253</v>
      </c>
      <c r="H649" s="1">
        <v>50</v>
      </c>
      <c r="I649" s="1" t="s">
        <v>14207</v>
      </c>
      <c r="J649" s="1" t="s">
        <v>14198</v>
      </c>
      <c r="K649" s="1" t="s">
        <v>24254</v>
      </c>
      <c r="L649" s="1" t="s">
        <v>24255</v>
      </c>
      <c r="M649" s="1" t="s">
        <v>24256</v>
      </c>
      <c r="N649" s="3" t="s">
        <v>24257</v>
      </c>
    </row>
    <row r="650" spans="1:14" ht="409.6">
      <c r="A650" s="1" t="s">
        <v>24258</v>
      </c>
      <c r="B650" s="1" t="s">
        <v>24259</v>
      </c>
      <c r="C650" s="1" t="s">
        <v>24260</v>
      </c>
      <c r="D650" s="1" t="s">
        <v>24261</v>
      </c>
      <c r="E650" s="1" t="s">
        <v>24262</v>
      </c>
      <c r="F650" s="1" t="s">
        <v>24263</v>
      </c>
      <c r="G650" s="1" t="s">
        <v>24264</v>
      </c>
      <c r="H650" s="1">
        <v>40</v>
      </c>
      <c r="I650" s="1" t="s">
        <v>14281</v>
      </c>
      <c r="J650" s="1" t="s">
        <v>14198</v>
      </c>
      <c r="K650" s="4" t="s">
        <v>24265</v>
      </c>
      <c r="L650" s="1" t="s">
        <v>24266</v>
      </c>
      <c r="M650" s="1" t="s">
        <v>24267</v>
      </c>
      <c r="N650" s="3" t="s">
        <v>24268</v>
      </c>
    </row>
    <row r="651" spans="1:14" ht="409.6">
      <c r="A651" s="1" t="s">
        <v>24269</v>
      </c>
      <c r="B651" s="1" t="s">
        <v>24270</v>
      </c>
      <c r="C651" s="1" t="s">
        <v>24271</v>
      </c>
      <c r="D651" s="1" t="s">
        <v>24272</v>
      </c>
      <c r="E651" s="1" t="s">
        <v>24273</v>
      </c>
      <c r="F651" s="1" t="s">
        <v>24274</v>
      </c>
      <c r="G651" s="1" t="s">
        <v>24275</v>
      </c>
      <c r="H651" s="1">
        <v>20</v>
      </c>
      <c r="I651" s="1" t="s">
        <v>17252</v>
      </c>
      <c r="J651" s="1" t="s">
        <v>15314</v>
      </c>
      <c r="K651" s="4" t="s">
        <v>24276</v>
      </c>
      <c r="L651" s="1" t="s">
        <v>24277</v>
      </c>
      <c r="M651" s="1" t="s">
        <v>24278</v>
      </c>
      <c r="N651" s="3" t="s">
        <v>24279</v>
      </c>
    </row>
    <row r="652" spans="1:14" ht="409.6">
      <c r="A652" s="1" t="s">
        <v>24280</v>
      </c>
      <c r="B652" s="1" t="s">
        <v>24281</v>
      </c>
      <c r="C652" s="1" t="s">
        <v>24282</v>
      </c>
      <c r="D652" s="1" t="s">
        <v>24283</v>
      </c>
      <c r="E652" s="1" t="s">
        <v>24284</v>
      </c>
      <c r="F652" s="1" t="s">
        <v>24285</v>
      </c>
      <c r="G652" s="1" t="s">
        <v>24286</v>
      </c>
      <c r="H652" s="1">
        <v>75</v>
      </c>
      <c r="I652" s="1" t="s">
        <v>17252</v>
      </c>
      <c r="J652" s="1" t="s">
        <v>14198</v>
      </c>
      <c r="K652" s="1" t="s">
        <v>24287</v>
      </c>
      <c r="L652" s="1" t="s">
        <v>24288</v>
      </c>
      <c r="M652" s="4" t="s">
        <v>24289</v>
      </c>
      <c r="N652" s="3" t="s">
        <v>24290</v>
      </c>
    </row>
    <row r="653" spans="1:14" ht="13.8">
      <c r="A653" s="1" t="s">
        <v>24291</v>
      </c>
      <c r="B653" s="1" t="s">
        <v>24292</v>
      </c>
      <c r="C653" s="1" t="s">
        <v>24293</v>
      </c>
      <c r="D653" s="1" t="s">
        <v>24294</v>
      </c>
      <c r="E653" s="1" t="s">
        <v>24295</v>
      </c>
      <c r="F653" s="1" t="s">
        <v>24296</v>
      </c>
      <c r="G653" s="1" t="s">
        <v>24297</v>
      </c>
      <c r="H653" s="1">
        <v>15</v>
      </c>
      <c r="I653" s="1" t="s">
        <v>14572</v>
      </c>
      <c r="J653" s="1" t="s">
        <v>14198</v>
      </c>
      <c r="K653" s="1" t="s">
        <v>24298</v>
      </c>
      <c r="L653" s="1" t="s">
        <v>24299</v>
      </c>
      <c r="M653" s="1" t="s">
        <v>24300</v>
      </c>
      <c r="N653" s="3" t="s">
        <v>24301</v>
      </c>
    </row>
    <row r="654" spans="1:14" ht="13.8">
      <c r="A654" s="1" t="s">
        <v>22776</v>
      </c>
      <c r="B654" s="1" t="s">
        <v>24302</v>
      </c>
      <c r="C654" s="1" t="s">
        <v>24303</v>
      </c>
      <c r="D654" s="1" t="s">
        <v>24304</v>
      </c>
      <c r="E654" s="1" t="s">
        <v>24305</v>
      </c>
      <c r="F654" s="1" t="s">
        <v>24306</v>
      </c>
      <c r="G654" s="1" t="s">
        <v>24307</v>
      </c>
      <c r="H654" s="1">
        <v>90</v>
      </c>
      <c r="I654" s="1" t="s">
        <v>14281</v>
      </c>
      <c r="J654" s="1" t="s">
        <v>14198</v>
      </c>
      <c r="K654" s="1" t="s">
        <v>24308</v>
      </c>
      <c r="L654" s="1" t="s">
        <v>24309</v>
      </c>
      <c r="M654" s="1" t="s">
        <v>24310</v>
      </c>
      <c r="N654" s="3" t="s">
        <v>24311</v>
      </c>
    </row>
    <row r="655" spans="1:14" ht="13.8">
      <c r="A655" s="1" t="s">
        <v>24312</v>
      </c>
      <c r="B655" s="1" t="s">
        <v>24313</v>
      </c>
      <c r="C655" s="1" t="s">
        <v>24314</v>
      </c>
      <c r="D655" s="1" t="s">
        <v>24315</v>
      </c>
      <c r="E655" s="1" t="s">
        <v>24316</v>
      </c>
      <c r="F655" s="1" t="s">
        <v>24317</v>
      </c>
      <c r="G655" s="1" t="s">
        <v>24318</v>
      </c>
      <c r="H655" s="1">
        <v>100</v>
      </c>
      <c r="I655" s="1" t="s">
        <v>14281</v>
      </c>
      <c r="J655" s="1" t="s">
        <v>17937</v>
      </c>
      <c r="K655" s="1" t="s">
        <v>24319</v>
      </c>
      <c r="L655" s="1" t="s">
        <v>24320</v>
      </c>
      <c r="M655" s="1" t="s">
        <v>24321</v>
      </c>
      <c r="N655" s="3" t="s">
        <v>24322</v>
      </c>
    </row>
    <row r="656" spans="1:14" ht="13.8">
      <c r="A656" s="1" t="s">
        <v>24323</v>
      </c>
      <c r="B656" s="1" t="s">
        <v>24324</v>
      </c>
      <c r="C656" s="1" t="s">
        <v>24325</v>
      </c>
      <c r="D656" s="1" t="s">
        <v>24326</v>
      </c>
      <c r="E656" s="1" t="s">
        <v>24327</v>
      </c>
      <c r="F656" s="1" t="s">
        <v>24328</v>
      </c>
      <c r="G656" s="1" t="s">
        <v>24329</v>
      </c>
      <c r="H656" s="1">
        <v>20</v>
      </c>
      <c r="I656" s="1" t="s">
        <v>14281</v>
      </c>
      <c r="J656" s="1" t="s">
        <v>14198</v>
      </c>
      <c r="K656" s="1" t="s">
        <v>24330</v>
      </c>
      <c r="L656" s="1" t="s">
        <v>24331</v>
      </c>
      <c r="M656" s="1" t="s">
        <v>24332</v>
      </c>
      <c r="N656" s="3" t="s">
        <v>24333</v>
      </c>
    </row>
    <row r="657" spans="1:14" ht="13.8">
      <c r="A657" s="1" t="s">
        <v>24334</v>
      </c>
      <c r="B657" s="1" t="s">
        <v>24335</v>
      </c>
      <c r="C657" s="1" t="s">
        <v>24336</v>
      </c>
      <c r="D657" s="1" t="s">
        <v>24337</v>
      </c>
      <c r="E657" s="1" t="s">
        <v>24338</v>
      </c>
      <c r="F657" s="1" t="s">
        <v>24339</v>
      </c>
      <c r="G657" s="1" t="s">
        <v>24340</v>
      </c>
      <c r="H657" s="1">
        <v>30</v>
      </c>
      <c r="I657" s="1" t="s">
        <v>14572</v>
      </c>
      <c r="J657" s="1" t="s">
        <v>14198</v>
      </c>
      <c r="K657" s="1" t="s">
        <v>24341</v>
      </c>
      <c r="L657" s="1" t="s">
        <v>24342</v>
      </c>
      <c r="M657" s="1" t="s">
        <v>24343</v>
      </c>
      <c r="N657" s="3" t="s">
        <v>24344</v>
      </c>
    </row>
    <row r="658" spans="1:14" ht="409.6">
      <c r="A658" s="1" t="s">
        <v>24345</v>
      </c>
      <c r="B658" s="1" t="s">
        <v>24346</v>
      </c>
      <c r="C658" s="1" t="s">
        <v>24347</v>
      </c>
      <c r="D658" s="1" t="s">
        <v>24348</v>
      </c>
      <c r="E658" s="1" t="s">
        <v>24349</v>
      </c>
      <c r="F658" s="1" t="s">
        <v>24350</v>
      </c>
      <c r="G658" s="1" t="s">
        <v>24351</v>
      </c>
      <c r="H658" s="1">
        <v>65</v>
      </c>
      <c r="I658" s="1" t="s">
        <v>17252</v>
      </c>
      <c r="J658" s="1" t="s">
        <v>14198</v>
      </c>
      <c r="K658" s="4" t="s">
        <v>24352</v>
      </c>
      <c r="L658" s="1" t="s">
        <v>24353</v>
      </c>
      <c r="M658" s="1" t="s">
        <v>24354</v>
      </c>
      <c r="N658" s="3" t="s">
        <v>24355</v>
      </c>
    </row>
    <row r="659" spans="1:14" ht="13.8">
      <c r="A659" s="1" t="s">
        <v>24356</v>
      </c>
      <c r="B659" s="1" t="s">
        <v>24357</v>
      </c>
      <c r="C659" s="1" t="s">
        <v>24358</v>
      </c>
      <c r="D659" s="1" t="s">
        <v>24359</v>
      </c>
      <c r="E659" s="1" t="s">
        <v>24360</v>
      </c>
      <c r="F659" s="1" t="s">
        <v>24361</v>
      </c>
      <c r="G659" s="1" t="s">
        <v>24362</v>
      </c>
      <c r="H659" s="1">
        <v>30</v>
      </c>
      <c r="I659" s="1" t="s">
        <v>14572</v>
      </c>
      <c r="J659" s="1" t="s">
        <v>14237</v>
      </c>
      <c r="K659" s="1" t="s">
        <v>24363</v>
      </c>
      <c r="L659" s="1" t="s">
        <v>24364</v>
      </c>
      <c r="M659" s="1" t="s">
        <v>24365</v>
      </c>
      <c r="N659" s="3" t="s">
        <v>24366</v>
      </c>
    </row>
    <row r="660" spans="1:14" ht="409.6">
      <c r="A660" s="1" t="s">
        <v>24367</v>
      </c>
      <c r="B660" s="1" t="s">
        <v>24368</v>
      </c>
      <c r="C660" s="1" t="s">
        <v>24369</v>
      </c>
      <c r="D660" s="1" t="s">
        <v>24370</v>
      </c>
      <c r="E660" s="1" t="s">
        <v>24371</v>
      </c>
      <c r="F660" s="1" t="s">
        <v>24372</v>
      </c>
      <c r="G660" s="1" t="s">
        <v>24373</v>
      </c>
      <c r="H660" s="1">
        <v>45</v>
      </c>
      <c r="I660" s="1" t="s">
        <v>14572</v>
      </c>
      <c r="J660" s="1" t="s">
        <v>15314</v>
      </c>
      <c r="K660" s="4" t="s">
        <v>24374</v>
      </c>
      <c r="L660" s="1" t="s">
        <v>24375</v>
      </c>
      <c r="M660" s="1" t="s">
        <v>24376</v>
      </c>
      <c r="N660" s="3" t="s">
        <v>24377</v>
      </c>
    </row>
    <row r="661" spans="1:14" ht="409.6">
      <c r="A661" s="1" t="s">
        <v>24378</v>
      </c>
      <c r="B661" s="1" t="s">
        <v>24379</v>
      </c>
      <c r="C661" s="1" t="s">
        <v>24380</v>
      </c>
      <c r="D661" s="1" t="s">
        <v>24381</v>
      </c>
      <c r="E661" s="1" t="s">
        <v>24382</v>
      </c>
      <c r="F661" s="1" t="s">
        <v>24383</v>
      </c>
      <c r="G661" s="1" t="s">
        <v>24384</v>
      </c>
      <c r="H661" s="1">
        <v>255</v>
      </c>
      <c r="I661" s="1" t="s">
        <v>8417</v>
      </c>
      <c r="J661" s="1" t="s">
        <v>14198</v>
      </c>
      <c r="K661" s="4" t="s">
        <v>24385</v>
      </c>
      <c r="L661" s="1" t="s">
        <v>24386</v>
      </c>
      <c r="M661" s="1" t="s">
        <v>24387</v>
      </c>
      <c r="N661" s="3" t="s">
        <v>24388</v>
      </c>
    </row>
    <row r="662" spans="1:14" ht="409.6">
      <c r="A662" s="1" t="s">
        <v>24389</v>
      </c>
      <c r="B662" s="1" t="s">
        <v>24390</v>
      </c>
      <c r="C662" s="1" t="s">
        <v>24391</v>
      </c>
      <c r="D662" s="1" t="s">
        <v>24392</v>
      </c>
      <c r="E662" s="1" t="s">
        <v>24393</v>
      </c>
      <c r="F662" s="1" t="s">
        <v>24394</v>
      </c>
      <c r="G662" s="1" t="s">
        <v>24395</v>
      </c>
      <c r="H662" s="1">
        <v>35</v>
      </c>
      <c r="I662" s="1" t="s">
        <v>17252</v>
      </c>
      <c r="J662" s="1" t="s">
        <v>15314</v>
      </c>
      <c r="K662" s="4" t="s">
        <v>24396</v>
      </c>
      <c r="L662" s="1" t="s">
        <v>24397</v>
      </c>
      <c r="M662" s="1" t="s">
        <v>24398</v>
      </c>
      <c r="N662" s="3" t="s">
        <v>24399</v>
      </c>
    </row>
    <row r="663" spans="1:14" ht="13.8">
      <c r="A663" s="1" t="s">
        <v>24400</v>
      </c>
      <c r="B663" s="1" t="s">
        <v>24401</v>
      </c>
      <c r="C663" s="1" t="s">
        <v>24402</v>
      </c>
      <c r="D663" s="1" t="s">
        <v>24403</v>
      </c>
      <c r="E663" s="1" t="s">
        <v>24404</v>
      </c>
      <c r="F663" s="1" t="s">
        <v>24405</v>
      </c>
      <c r="G663" s="1" t="s">
        <v>24406</v>
      </c>
      <c r="H663" s="1">
        <v>15</v>
      </c>
      <c r="I663" s="1" t="s">
        <v>17252</v>
      </c>
      <c r="J663" s="1" t="s">
        <v>14198</v>
      </c>
      <c r="K663" s="1" t="s">
        <v>24407</v>
      </c>
      <c r="L663" s="1" t="s">
        <v>24408</v>
      </c>
      <c r="M663" s="1" t="s">
        <v>24409</v>
      </c>
      <c r="N663" s="3" t="s">
        <v>24410</v>
      </c>
    </row>
    <row r="664" spans="1:14" ht="13.8">
      <c r="A664" s="1" t="s">
        <v>24411</v>
      </c>
      <c r="B664" s="1" t="s">
        <v>24412</v>
      </c>
      <c r="C664" s="1" t="s">
        <v>24413</v>
      </c>
      <c r="D664" s="1" t="s">
        <v>24414</v>
      </c>
      <c r="E664" s="1" t="s">
        <v>24415</v>
      </c>
      <c r="F664" s="1" t="s">
        <v>24416</v>
      </c>
      <c r="G664" s="1" t="s">
        <v>24417</v>
      </c>
      <c r="H664" s="1">
        <v>55</v>
      </c>
      <c r="I664" s="1" t="s">
        <v>429</v>
      </c>
      <c r="J664" s="1" t="s">
        <v>14198</v>
      </c>
      <c r="K664" s="1" t="s">
        <v>24418</v>
      </c>
      <c r="L664" s="1" t="s">
        <v>24419</v>
      </c>
      <c r="M664" s="1" t="s">
        <v>24420</v>
      </c>
      <c r="N664" s="3" t="s">
        <v>24421</v>
      </c>
    </row>
    <row r="665" spans="1:14" ht="13.8">
      <c r="A665" s="1" t="s">
        <v>24422</v>
      </c>
      <c r="B665" s="1" t="s">
        <v>24423</v>
      </c>
      <c r="C665" s="1" t="s">
        <v>24424</v>
      </c>
      <c r="D665" s="1" t="s">
        <v>24425</v>
      </c>
      <c r="E665" s="1" t="s">
        <v>24426</v>
      </c>
      <c r="F665" s="1" t="s">
        <v>24427</v>
      </c>
      <c r="G665" s="1" t="s">
        <v>24428</v>
      </c>
      <c r="H665" s="1">
        <v>4</v>
      </c>
      <c r="I665" s="1" t="s">
        <v>17252</v>
      </c>
      <c r="J665" s="1" t="s">
        <v>15314</v>
      </c>
      <c r="K665" s="1" t="s">
        <v>24429</v>
      </c>
      <c r="L665" s="1" t="s">
        <v>24430</v>
      </c>
      <c r="M665" s="1" t="s">
        <v>24431</v>
      </c>
      <c r="N665" s="3" t="s">
        <v>24432</v>
      </c>
    </row>
    <row r="666" spans="1:14" ht="13.8">
      <c r="A666" s="1" t="s">
        <v>24433</v>
      </c>
      <c r="B666" s="1" t="s">
        <v>24434</v>
      </c>
      <c r="C666" s="1" t="s">
        <v>24435</v>
      </c>
      <c r="D666" s="1" t="s">
        <v>24436</v>
      </c>
      <c r="E666" s="1" t="s">
        <v>24437</v>
      </c>
      <c r="F666" s="1" t="s">
        <v>24438</v>
      </c>
      <c r="G666" s="1" t="s">
        <v>24439</v>
      </c>
      <c r="H666" s="1">
        <v>15</v>
      </c>
      <c r="I666" s="1" t="s">
        <v>8417</v>
      </c>
      <c r="J666" s="1" t="s">
        <v>14198</v>
      </c>
      <c r="K666" s="1" t="s">
        <v>24440</v>
      </c>
      <c r="L666" s="1" t="s">
        <v>24441</v>
      </c>
      <c r="M666" s="1" t="s">
        <v>24442</v>
      </c>
      <c r="N666" s="3" t="s">
        <v>24443</v>
      </c>
    </row>
    <row r="667" spans="1:14" ht="13.8">
      <c r="A667" s="1" t="s">
        <v>24444</v>
      </c>
      <c r="B667" s="1" t="s">
        <v>24445</v>
      </c>
      <c r="C667" s="1" t="s">
        <v>24446</v>
      </c>
      <c r="D667" s="1" t="s">
        <v>24447</v>
      </c>
      <c r="E667" s="1" t="s">
        <v>24448</v>
      </c>
      <c r="F667" s="1" t="s">
        <v>24449</v>
      </c>
      <c r="G667" s="1" t="s">
        <v>24450</v>
      </c>
      <c r="H667" s="1">
        <v>70</v>
      </c>
      <c r="I667" s="1" t="s">
        <v>8417</v>
      </c>
      <c r="J667" s="1" t="s">
        <v>14198</v>
      </c>
      <c r="K667" s="1" t="s">
        <v>24451</v>
      </c>
      <c r="L667" s="1" t="s">
        <v>24452</v>
      </c>
      <c r="M667" s="1" t="s">
        <v>24453</v>
      </c>
      <c r="N667" s="3" t="s">
        <v>24454</v>
      </c>
    </row>
    <row r="668" spans="1:14" ht="409.6">
      <c r="A668" s="1" t="s">
        <v>24455</v>
      </c>
      <c r="B668" s="1" t="s">
        <v>24456</v>
      </c>
      <c r="C668" s="1" t="s">
        <v>24457</v>
      </c>
      <c r="D668" s="1" t="s">
        <v>24458</v>
      </c>
      <c r="E668" s="1" t="s">
        <v>24459</v>
      </c>
      <c r="F668" s="1" t="s">
        <v>24460</v>
      </c>
      <c r="G668" s="1" t="s">
        <v>24461</v>
      </c>
      <c r="H668" s="1">
        <v>50</v>
      </c>
      <c r="I668" s="1" t="s">
        <v>145</v>
      </c>
      <c r="J668" s="1" t="s">
        <v>14198</v>
      </c>
      <c r="K668" s="4" t="s">
        <v>24462</v>
      </c>
      <c r="L668" s="1" t="s">
        <v>24463</v>
      </c>
      <c r="M668" s="1" t="s">
        <v>24464</v>
      </c>
      <c r="N668" s="3" t="s">
        <v>24465</v>
      </c>
    </row>
    <row r="669" spans="1:14" ht="409.6">
      <c r="A669" s="1" t="s">
        <v>24466</v>
      </c>
      <c r="B669" s="1" t="s">
        <v>24467</v>
      </c>
      <c r="C669" s="1" t="s">
        <v>24468</v>
      </c>
      <c r="D669" s="1" t="s">
        <v>24469</v>
      </c>
      <c r="E669" s="1" t="s">
        <v>24470</v>
      </c>
      <c r="F669" s="1" t="s">
        <v>24471</v>
      </c>
      <c r="G669" s="1" t="s">
        <v>24472</v>
      </c>
      <c r="H669" s="1">
        <v>500</v>
      </c>
      <c r="I669" s="1" t="s">
        <v>8417</v>
      </c>
      <c r="J669" s="1" t="s">
        <v>14198</v>
      </c>
      <c r="K669" s="4" t="s">
        <v>24473</v>
      </c>
      <c r="L669" s="1" t="s">
        <v>24474</v>
      </c>
      <c r="M669" s="1" t="s">
        <v>24475</v>
      </c>
      <c r="N669" s="3" t="s">
        <v>24476</v>
      </c>
    </row>
    <row r="670" spans="1:14" ht="409.6">
      <c r="A670" s="1" t="s">
        <v>24477</v>
      </c>
      <c r="B670" s="1" t="s">
        <v>24478</v>
      </c>
      <c r="C670" s="1" t="s">
        <v>24479</v>
      </c>
      <c r="D670" s="1" t="s">
        <v>24480</v>
      </c>
      <c r="E670" s="1" t="s">
        <v>24481</v>
      </c>
      <c r="F670" s="1" t="s">
        <v>24482</v>
      </c>
      <c r="G670" s="1" t="s">
        <v>24483</v>
      </c>
      <c r="H670" s="1">
        <v>75</v>
      </c>
      <c r="I670" s="1" t="s">
        <v>14572</v>
      </c>
      <c r="J670" s="1" t="s">
        <v>14198</v>
      </c>
      <c r="K670" s="4" t="s">
        <v>24484</v>
      </c>
      <c r="L670" s="1" t="s">
        <v>24485</v>
      </c>
      <c r="M670" s="1" t="s">
        <v>24486</v>
      </c>
      <c r="N670" s="3" t="s">
        <v>24487</v>
      </c>
    </row>
    <row r="671" spans="1:14" ht="13.8">
      <c r="A671" s="1" t="s">
        <v>24488</v>
      </c>
      <c r="B671" s="1" t="s">
        <v>24489</v>
      </c>
      <c r="C671" s="1" t="s">
        <v>24490</v>
      </c>
      <c r="D671" s="1" t="s">
        <v>24491</v>
      </c>
      <c r="E671" s="1" t="s">
        <v>24492</v>
      </c>
      <c r="F671" s="1" t="s">
        <v>24493</v>
      </c>
      <c r="G671" s="1" t="s">
        <v>24494</v>
      </c>
      <c r="H671" s="1">
        <v>520</v>
      </c>
      <c r="I671" s="1" t="s">
        <v>8417</v>
      </c>
      <c r="J671" s="1" t="s">
        <v>14198</v>
      </c>
      <c r="K671" s="1" t="s">
        <v>24495</v>
      </c>
      <c r="L671" s="1" t="s">
        <v>24496</v>
      </c>
      <c r="M671" s="1" t="s">
        <v>24497</v>
      </c>
      <c r="N671" s="3" t="s">
        <v>24498</v>
      </c>
    </row>
    <row r="672" spans="1:14" ht="409.6">
      <c r="A672" s="1" t="s">
        <v>24499</v>
      </c>
      <c r="B672" s="1" t="s">
        <v>24500</v>
      </c>
      <c r="C672" s="1" t="s">
        <v>24501</v>
      </c>
      <c r="D672" s="1" t="s">
        <v>24502</v>
      </c>
      <c r="E672" s="1" t="s">
        <v>24503</v>
      </c>
      <c r="F672" s="1" t="s">
        <v>24504</v>
      </c>
      <c r="G672" s="1" t="s">
        <v>24505</v>
      </c>
      <c r="H672" s="1">
        <v>30</v>
      </c>
      <c r="I672" s="1" t="s">
        <v>429</v>
      </c>
      <c r="J672" s="1" t="s">
        <v>14198</v>
      </c>
      <c r="K672" s="4" t="s">
        <v>24506</v>
      </c>
      <c r="L672" s="1" t="s">
        <v>24507</v>
      </c>
      <c r="M672" s="1" t="s">
        <v>24508</v>
      </c>
      <c r="N672" s="3" t="s">
        <v>24509</v>
      </c>
    </row>
    <row r="673" spans="1:14" ht="13.8">
      <c r="A673" s="1" t="s">
        <v>24510</v>
      </c>
      <c r="B673" s="1" t="s">
        <v>24511</v>
      </c>
      <c r="C673" s="1" t="s">
        <v>24512</v>
      </c>
      <c r="D673" s="1" t="s">
        <v>24513</v>
      </c>
      <c r="E673" s="1" t="s">
        <v>24514</v>
      </c>
      <c r="F673" s="1" t="s">
        <v>24515</v>
      </c>
      <c r="G673" s="1" t="s">
        <v>24516</v>
      </c>
      <c r="H673" s="1">
        <v>50</v>
      </c>
      <c r="I673" s="1" t="s">
        <v>14281</v>
      </c>
      <c r="J673" s="1" t="s">
        <v>14198</v>
      </c>
      <c r="K673" s="1" t="s">
        <v>24517</v>
      </c>
      <c r="L673" s="1" t="s">
        <v>24518</v>
      </c>
      <c r="M673" s="1" t="s">
        <v>24519</v>
      </c>
      <c r="N673" s="3" t="s">
        <v>24520</v>
      </c>
    </row>
    <row r="674" spans="1:14" ht="13.8">
      <c r="A674" s="1" t="s">
        <v>24521</v>
      </c>
      <c r="B674" s="1" t="s">
        <v>24522</v>
      </c>
      <c r="C674" s="1" t="s">
        <v>24523</v>
      </c>
      <c r="D674" s="1" t="s">
        <v>24524</v>
      </c>
      <c r="E674" s="1" t="s">
        <v>24525</v>
      </c>
      <c r="F674" s="1" t="s">
        <v>24526</v>
      </c>
      <c r="G674" s="1" t="s">
        <v>24527</v>
      </c>
      <c r="H674" s="1">
        <v>380</v>
      </c>
      <c r="I674" s="1" t="s">
        <v>14281</v>
      </c>
      <c r="J674" s="1" t="s">
        <v>14198</v>
      </c>
      <c r="K674" s="1" t="s">
        <v>24528</v>
      </c>
      <c r="L674" s="1" t="s">
        <v>24529</v>
      </c>
      <c r="M674" s="1" t="s">
        <v>24530</v>
      </c>
      <c r="N674" s="3" t="s">
        <v>24531</v>
      </c>
    </row>
    <row r="675" spans="1:14" ht="13.8">
      <c r="A675" s="1" t="s">
        <v>24532</v>
      </c>
      <c r="B675" s="1" t="s">
        <v>24533</v>
      </c>
      <c r="C675" s="1" t="s">
        <v>24534</v>
      </c>
      <c r="D675" s="1" t="s">
        <v>24535</v>
      </c>
      <c r="E675" s="1" t="s">
        <v>24536</v>
      </c>
      <c r="F675" s="1" t="s">
        <v>24537</v>
      </c>
      <c r="G675" s="1" t="s">
        <v>24538</v>
      </c>
      <c r="H675" s="1">
        <v>30</v>
      </c>
      <c r="I675" s="1" t="s">
        <v>14572</v>
      </c>
      <c r="J675" s="1" t="s">
        <v>15314</v>
      </c>
      <c r="K675" s="1" t="s">
        <v>24539</v>
      </c>
      <c r="L675" s="1" t="s">
        <v>24540</v>
      </c>
      <c r="M675" s="1" t="s">
        <v>24541</v>
      </c>
      <c r="N675" s="3" t="s">
        <v>24542</v>
      </c>
    </row>
    <row r="676" spans="1:14" ht="409.6">
      <c r="A676" s="1" t="s">
        <v>24543</v>
      </c>
      <c r="B676" s="1" t="s">
        <v>24544</v>
      </c>
      <c r="C676" s="1" t="s">
        <v>24545</v>
      </c>
      <c r="D676" s="1" t="s">
        <v>24546</v>
      </c>
      <c r="E676" s="1" t="s">
        <v>24547</v>
      </c>
      <c r="F676" s="1" t="s">
        <v>24548</v>
      </c>
      <c r="G676" s="1" t="s">
        <v>24549</v>
      </c>
      <c r="H676" s="1">
        <v>90</v>
      </c>
      <c r="I676" s="1" t="s">
        <v>8417</v>
      </c>
      <c r="J676" s="1" t="s">
        <v>15314</v>
      </c>
      <c r="K676" s="4" t="s">
        <v>24550</v>
      </c>
      <c r="L676" s="1" t="s">
        <v>24551</v>
      </c>
      <c r="M676" s="1" t="s">
        <v>24552</v>
      </c>
      <c r="N676" s="3" t="s">
        <v>24553</v>
      </c>
    </row>
    <row r="677" spans="1:14" ht="13.8">
      <c r="A677" s="1" t="s">
        <v>24554</v>
      </c>
      <c r="B677" s="1" t="s">
        <v>24555</v>
      </c>
      <c r="C677" s="1" t="s">
        <v>24556</v>
      </c>
      <c r="D677" s="1" t="s">
        <v>24557</v>
      </c>
      <c r="E677" s="1" t="s">
        <v>24558</v>
      </c>
      <c r="F677" s="1" t="s">
        <v>24559</v>
      </c>
      <c r="G677" s="1" t="s">
        <v>24560</v>
      </c>
      <c r="H677" s="1">
        <v>90</v>
      </c>
      <c r="I677" s="1" t="s">
        <v>14259</v>
      </c>
      <c r="J677" s="1" t="s">
        <v>14198</v>
      </c>
      <c r="K677" s="1" t="s">
        <v>24561</v>
      </c>
      <c r="L677" s="1" t="s">
        <v>24562</v>
      </c>
      <c r="M677" s="1" t="s">
        <v>24563</v>
      </c>
      <c r="N677" s="3" t="s">
        <v>24564</v>
      </c>
    </row>
    <row r="678" spans="1:14" ht="409.6">
      <c r="A678" s="1" t="s">
        <v>24565</v>
      </c>
      <c r="B678" s="1" t="s">
        <v>24566</v>
      </c>
      <c r="C678" s="1" t="s">
        <v>24567</v>
      </c>
      <c r="D678" s="1" t="s">
        <v>24568</v>
      </c>
      <c r="E678" s="1" t="s">
        <v>24569</v>
      </c>
      <c r="F678" s="1" t="s">
        <v>24570</v>
      </c>
      <c r="G678" s="1" t="s">
        <v>24571</v>
      </c>
      <c r="H678" s="1">
        <v>70</v>
      </c>
      <c r="I678" s="1" t="s">
        <v>8417</v>
      </c>
      <c r="J678" s="1" t="s">
        <v>14198</v>
      </c>
      <c r="K678" s="4" t="s">
        <v>24572</v>
      </c>
      <c r="L678" s="1" t="s">
        <v>24573</v>
      </c>
      <c r="M678" s="1" t="s">
        <v>24574</v>
      </c>
      <c r="N678" s="3" t="s">
        <v>24575</v>
      </c>
    </row>
    <row r="679" spans="1:14" ht="13.8">
      <c r="A679" s="1" t="s">
        <v>24576</v>
      </c>
      <c r="B679" s="1" t="s">
        <v>24577</v>
      </c>
      <c r="C679" s="1" t="s">
        <v>24578</v>
      </c>
      <c r="D679" s="1" t="s">
        <v>24579</v>
      </c>
      <c r="E679" s="1" t="s">
        <v>24580</v>
      </c>
      <c r="F679" s="1" t="s">
        <v>24581</v>
      </c>
      <c r="G679" s="1" t="s">
        <v>24582</v>
      </c>
      <c r="H679" s="1">
        <v>40</v>
      </c>
      <c r="I679" s="1" t="s">
        <v>14572</v>
      </c>
      <c r="J679" s="1" t="s">
        <v>14198</v>
      </c>
      <c r="K679" s="1" t="s">
        <v>24583</v>
      </c>
      <c r="L679" s="1" t="s">
        <v>24584</v>
      </c>
      <c r="M679" s="1" t="s">
        <v>24585</v>
      </c>
      <c r="N679" s="3" t="s">
        <v>24586</v>
      </c>
    </row>
    <row r="680" spans="1:14" ht="13.8">
      <c r="A680" s="1" t="s">
        <v>24587</v>
      </c>
      <c r="B680" s="1" t="s">
        <v>24588</v>
      </c>
      <c r="C680" s="1" t="s">
        <v>24589</v>
      </c>
      <c r="D680" s="1" t="s">
        <v>24590</v>
      </c>
      <c r="E680" s="1" t="s">
        <v>24591</v>
      </c>
      <c r="F680" s="1" t="s">
        <v>24592</v>
      </c>
      <c r="G680" s="1" t="s">
        <v>24593</v>
      </c>
      <c r="H680" s="1">
        <v>30</v>
      </c>
      <c r="I680" s="1" t="s">
        <v>14572</v>
      </c>
      <c r="J680" s="1" t="s">
        <v>14198</v>
      </c>
      <c r="K680" s="1" t="s">
        <v>24594</v>
      </c>
      <c r="L680" s="1" t="s">
        <v>24595</v>
      </c>
      <c r="M680" s="1" t="s">
        <v>24596</v>
      </c>
      <c r="N680" s="3" t="s">
        <v>24597</v>
      </c>
    </row>
    <row r="681" spans="1:14" ht="13.8">
      <c r="A681" s="1" t="s">
        <v>24598</v>
      </c>
      <c r="B681" s="1" t="s">
        <v>24599</v>
      </c>
      <c r="C681" s="1" t="s">
        <v>24600</v>
      </c>
      <c r="D681" s="1" t="s">
        <v>24601</v>
      </c>
      <c r="E681" s="1" t="s">
        <v>24602</v>
      </c>
      <c r="F681" s="1" t="s">
        <v>24603</v>
      </c>
      <c r="G681" s="1" t="s">
        <v>24604</v>
      </c>
      <c r="H681" s="1">
        <v>60</v>
      </c>
      <c r="I681" s="1" t="s">
        <v>17252</v>
      </c>
      <c r="J681" s="1" t="s">
        <v>15314</v>
      </c>
      <c r="K681" s="1" t="s">
        <v>24605</v>
      </c>
      <c r="L681" s="1" t="s">
        <v>24606</v>
      </c>
      <c r="M681" s="1" t="s">
        <v>24607</v>
      </c>
      <c r="N681" s="3" t="s">
        <v>24608</v>
      </c>
    </row>
    <row r="682" spans="1:14" ht="409.6">
      <c r="A682" s="1" t="s">
        <v>24609</v>
      </c>
      <c r="B682" s="1" t="s">
        <v>24610</v>
      </c>
      <c r="C682" s="1" t="s">
        <v>24611</v>
      </c>
      <c r="D682" s="1" t="s">
        <v>24612</v>
      </c>
      <c r="E682" s="1" t="s">
        <v>24613</v>
      </c>
      <c r="F682" s="1" t="s">
        <v>24614</v>
      </c>
      <c r="G682" s="1" t="s">
        <v>24615</v>
      </c>
      <c r="H682" s="1">
        <v>30</v>
      </c>
      <c r="I682" s="1" t="s">
        <v>14572</v>
      </c>
      <c r="J682" s="1" t="s">
        <v>14198</v>
      </c>
      <c r="K682" s="4" t="s">
        <v>24616</v>
      </c>
      <c r="L682" s="1" t="s">
        <v>24617</v>
      </c>
      <c r="M682" s="1" t="s">
        <v>24618</v>
      </c>
      <c r="N682" s="3" t="s">
        <v>24619</v>
      </c>
    </row>
    <row r="683" spans="1:14" ht="13.8">
      <c r="A683" s="1" t="s">
        <v>24620</v>
      </c>
      <c r="B683" s="1" t="s">
        <v>24621</v>
      </c>
      <c r="C683" s="1" t="s">
        <v>24622</v>
      </c>
      <c r="D683" s="1" t="s">
        <v>24623</v>
      </c>
      <c r="E683" s="1" t="s">
        <v>24624</v>
      </c>
      <c r="F683" s="1" t="s">
        <v>24625</v>
      </c>
      <c r="G683" s="1" t="s">
        <v>24626</v>
      </c>
      <c r="H683" s="1">
        <v>30</v>
      </c>
      <c r="I683" s="1" t="s">
        <v>8417</v>
      </c>
      <c r="J683" s="1" t="s">
        <v>14198</v>
      </c>
      <c r="K683" s="1" t="s">
        <v>24627</v>
      </c>
      <c r="L683" s="1" t="s">
        <v>24628</v>
      </c>
      <c r="M683" s="1" t="s">
        <v>24629</v>
      </c>
      <c r="N683" s="3" t="s">
        <v>24630</v>
      </c>
    </row>
    <row r="684" spans="1:14" ht="409.6">
      <c r="A684" s="1" t="s">
        <v>24631</v>
      </c>
      <c r="B684" s="1" t="s">
        <v>24632</v>
      </c>
      <c r="C684" s="1" t="s">
        <v>24633</v>
      </c>
      <c r="D684" s="1" t="s">
        <v>24634</v>
      </c>
      <c r="E684" s="1" t="s">
        <v>24635</v>
      </c>
      <c r="F684" s="1" t="s">
        <v>24636</v>
      </c>
      <c r="G684" s="1" t="s">
        <v>24637</v>
      </c>
      <c r="H684" s="1">
        <v>20</v>
      </c>
      <c r="I684" s="1" t="s">
        <v>14572</v>
      </c>
      <c r="J684" s="1" t="s">
        <v>14198</v>
      </c>
      <c r="K684" s="4" t="s">
        <v>24638</v>
      </c>
      <c r="L684" s="1" t="s">
        <v>24639</v>
      </c>
      <c r="M684" s="1" t="s">
        <v>24640</v>
      </c>
      <c r="N684" s="3" t="s">
        <v>24641</v>
      </c>
    </row>
    <row r="685" spans="1:14" ht="409.6">
      <c r="A685" s="1" t="s">
        <v>24642</v>
      </c>
      <c r="B685" s="1" t="s">
        <v>24643</v>
      </c>
      <c r="C685" s="1" t="s">
        <v>24644</v>
      </c>
      <c r="D685" s="1" t="s">
        <v>24645</v>
      </c>
      <c r="E685" s="1" t="s">
        <v>24646</v>
      </c>
      <c r="F685" s="1" t="s">
        <v>24647</v>
      </c>
      <c r="G685" s="1" t="s">
        <v>24648</v>
      </c>
      <c r="H685" s="1">
        <v>90</v>
      </c>
      <c r="I685" s="1" t="s">
        <v>8417</v>
      </c>
      <c r="J685" s="1" t="s">
        <v>14198</v>
      </c>
      <c r="K685" s="4" t="s">
        <v>24649</v>
      </c>
      <c r="L685" s="1" t="s">
        <v>24650</v>
      </c>
      <c r="M685" s="1" t="s">
        <v>24651</v>
      </c>
      <c r="N685" s="3" t="s">
        <v>24652</v>
      </c>
    </row>
    <row r="686" spans="1:14" ht="13.8">
      <c r="A686" s="1" t="s">
        <v>24653</v>
      </c>
      <c r="B686" s="1" t="s">
        <v>24654</v>
      </c>
      <c r="C686" s="1" t="s">
        <v>24655</v>
      </c>
      <c r="D686" s="1" t="s">
        <v>24656</v>
      </c>
      <c r="E686" s="1" t="s">
        <v>24657</v>
      </c>
      <c r="F686" s="1" t="s">
        <v>24658</v>
      </c>
      <c r="G686" s="1" t="s">
        <v>24659</v>
      </c>
      <c r="H686" s="1">
        <v>85</v>
      </c>
      <c r="I686" s="1" t="s">
        <v>14572</v>
      </c>
      <c r="J686" s="1" t="s">
        <v>14367</v>
      </c>
      <c r="K686" s="1" t="s">
        <v>24660</v>
      </c>
      <c r="L686" s="1" t="s">
        <v>24661</v>
      </c>
      <c r="M686" s="1" t="s">
        <v>24662</v>
      </c>
      <c r="N686" s="3" t="s">
        <v>24663</v>
      </c>
    </row>
    <row r="687" spans="1:14" ht="13.8">
      <c r="A687" s="1" t="s">
        <v>24664</v>
      </c>
      <c r="B687" s="1" t="s">
        <v>24665</v>
      </c>
      <c r="C687" s="1" t="s">
        <v>24666</v>
      </c>
      <c r="D687" s="1" t="s">
        <v>24667</v>
      </c>
      <c r="E687" s="1" t="s">
        <v>24668</v>
      </c>
      <c r="F687" s="1" t="s">
        <v>24669</v>
      </c>
      <c r="G687" s="1" t="s">
        <v>24670</v>
      </c>
      <c r="H687" s="1">
        <v>30</v>
      </c>
      <c r="I687" s="1" t="s">
        <v>8417</v>
      </c>
      <c r="J687" s="1" t="s">
        <v>14198</v>
      </c>
      <c r="K687" s="1" t="s">
        <v>24671</v>
      </c>
      <c r="L687" s="1" t="s">
        <v>24672</v>
      </c>
      <c r="M687" s="1" t="s">
        <v>24673</v>
      </c>
      <c r="N687" s="3" t="s">
        <v>24674</v>
      </c>
    </row>
    <row r="688" spans="1:14" ht="13.8">
      <c r="A688" s="1" t="s">
        <v>24675</v>
      </c>
      <c r="B688" s="1" t="s">
        <v>24676</v>
      </c>
      <c r="C688" s="1" t="s">
        <v>24677</v>
      </c>
      <c r="D688" s="1" t="s">
        <v>24678</v>
      </c>
      <c r="E688" s="1" t="s">
        <v>24679</v>
      </c>
      <c r="F688" s="1" t="s">
        <v>24680</v>
      </c>
      <c r="G688" s="1" t="s">
        <v>24681</v>
      </c>
      <c r="H688" s="1">
        <v>35</v>
      </c>
      <c r="I688" s="1" t="s">
        <v>14281</v>
      </c>
      <c r="J688" s="1" t="s">
        <v>14198</v>
      </c>
      <c r="K688" s="1" t="s">
        <v>24682</v>
      </c>
      <c r="L688" s="1" t="s">
        <v>24683</v>
      </c>
      <c r="M688" s="1" t="s">
        <v>24684</v>
      </c>
      <c r="N688" s="3" t="s">
        <v>24685</v>
      </c>
    </row>
    <row r="689" spans="1:14" ht="13.8">
      <c r="A689" s="1" t="s">
        <v>24686</v>
      </c>
      <c r="B689" s="1" t="s">
        <v>24687</v>
      </c>
      <c r="C689" s="1" t="s">
        <v>24688</v>
      </c>
      <c r="D689" s="1" t="s">
        <v>24689</v>
      </c>
      <c r="E689" s="1" t="s">
        <v>24690</v>
      </c>
      <c r="F689" s="1" t="s">
        <v>24691</v>
      </c>
      <c r="G689" s="1" t="s">
        <v>24692</v>
      </c>
      <c r="H689" s="1">
        <v>35</v>
      </c>
      <c r="I689" s="1" t="s">
        <v>17252</v>
      </c>
      <c r="J689" s="1" t="s">
        <v>14198</v>
      </c>
      <c r="K689" s="1" t="s">
        <v>24693</v>
      </c>
      <c r="L689" s="1" t="s">
        <v>24694</v>
      </c>
      <c r="M689" s="1" t="s">
        <v>24695</v>
      </c>
      <c r="N689" s="3" t="s">
        <v>24696</v>
      </c>
    </row>
    <row r="690" spans="1:14" ht="13.8">
      <c r="A690" s="1" t="s">
        <v>24697</v>
      </c>
      <c r="B690" s="1" t="s">
        <v>24698</v>
      </c>
      <c r="C690" s="1" t="s">
        <v>24699</v>
      </c>
      <c r="D690" s="1" t="s">
        <v>24700</v>
      </c>
      <c r="E690" s="1" t="s">
        <v>24701</v>
      </c>
      <c r="F690" s="1" t="s">
        <v>24702</v>
      </c>
      <c r="G690" s="1" t="s">
        <v>24703</v>
      </c>
      <c r="H690" s="1">
        <v>50</v>
      </c>
      <c r="I690" s="1" t="s">
        <v>17252</v>
      </c>
      <c r="J690" s="1" t="s">
        <v>14198</v>
      </c>
      <c r="K690" s="1" t="s">
        <v>24704</v>
      </c>
      <c r="L690" s="1" t="s">
        <v>24705</v>
      </c>
      <c r="M690" s="1" t="s">
        <v>24706</v>
      </c>
      <c r="N690" s="3" t="s">
        <v>24707</v>
      </c>
    </row>
    <row r="691" spans="1:14" ht="409.6">
      <c r="A691" s="1" t="s">
        <v>24708</v>
      </c>
      <c r="B691" s="1" t="s">
        <v>24709</v>
      </c>
      <c r="C691" s="1" t="s">
        <v>24710</v>
      </c>
      <c r="D691" s="1" t="s">
        <v>24711</v>
      </c>
      <c r="E691" s="1" t="s">
        <v>24712</v>
      </c>
      <c r="F691" s="1" t="s">
        <v>24713</v>
      </c>
      <c r="G691" s="1" t="s">
        <v>24714</v>
      </c>
      <c r="H691" s="1">
        <v>25</v>
      </c>
      <c r="I691" s="1" t="s">
        <v>14207</v>
      </c>
      <c r="J691" s="1" t="s">
        <v>14198</v>
      </c>
      <c r="K691" s="4" t="s">
        <v>24715</v>
      </c>
      <c r="L691" s="1" t="s">
        <v>24716</v>
      </c>
      <c r="M691" s="1" t="s">
        <v>24717</v>
      </c>
      <c r="N691" s="3" t="s">
        <v>24718</v>
      </c>
    </row>
    <row r="692" spans="1:14" ht="13.8">
      <c r="A692" s="1" t="s">
        <v>24719</v>
      </c>
      <c r="B692" s="1" t="s">
        <v>24720</v>
      </c>
      <c r="C692" s="1" t="s">
        <v>24721</v>
      </c>
      <c r="D692" s="1" t="s">
        <v>24722</v>
      </c>
      <c r="E692" s="1" t="s">
        <v>24723</v>
      </c>
      <c r="F692" s="1" t="s">
        <v>24724</v>
      </c>
      <c r="G692" s="1" t="s">
        <v>24725</v>
      </c>
      <c r="H692" s="1">
        <v>65</v>
      </c>
      <c r="I692" s="1" t="s">
        <v>14281</v>
      </c>
      <c r="J692" s="1" t="s">
        <v>14198</v>
      </c>
      <c r="K692" s="1" t="s">
        <v>24726</v>
      </c>
      <c r="L692" s="1" t="s">
        <v>24727</v>
      </c>
      <c r="M692" s="1" t="s">
        <v>24728</v>
      </c>
      <c r="N692" s="3" t="s">
        <v>24729</v>
      </c>
    </row>
    <row r="693" spans="1:14" ht="13.8">
      <c r="A693" s="1" t="s">
        <v>19363</v>
      </c>
      <c r="B693" s="1" t="s">
        <v>24730</v>
      </c>
      <c r="C693" s="1" t="s">
        <v>24731</v>
      </c>
      <c r="D693" s="1" t="s">
        <v>24732</v>
      </c>
      <c r="E693" s="1" t="s">
        <v>24733</v>
      </c>
      <c r="F693" s="1" t="s">
        <v>24734</v>
      </c>
      <c r="G693" s="1" t="s">
        <v>24735</v>
      </c>
      <c r="H693" s="1">
        <v>40</v>
      </c>
      <c r="I693" s="1" t="s">
        <v>14572</v>
      </c>
      <c r="J693" s="1" t="s">
        <v>14198</v>
      </c>
      <c r="K693" s="1" t="s">
        <v>24736</v>
      </c>
      <c r="L693" s="1" t="s">
        <v>24737</v>
      </c>
      <c r="M693" s="1" t="s">
        <v>24738</v>
      </c>
      <c r="N693" s="3" t="s">
        <v>24739</v>
      </c>
    </row>
    <row r="694" spans="1:14" ht="409.6">
      <c r="A694" s="1" t="s">
        <v>24740</v>
      </c>
      <c r="B694" s="1" t="s">
        <v>24741</v>
      </c>
      <c r="C694" s="1" t="s">
        <v>24742</v>
      </c>
      <c r="D694" s="1" t="s">
        <v>24743</v>
      </c>
      <c r="E694" s="1" t="s">
        <v>24744</v>
      </c>
      <c r="F694" s="1" t="s">
        <v>24745</v>
      </c>
      <c r="G694" s="1" t="s">
        <v>24746</v>
      </c>
      <c r="H694" s="1">
        <v>60</v>
      </c>
      <c r="I694" s="1" t="s">
        <v>14572</v>
      </c>
      <c r="J694" s="1" t="s">
        <v>14198</v>
      </c>
      <c r="K694" s="4" t="s">
        <v>24747</v>
      </c>
      <c r="L694" s="1" t="s">
        <v>24748</v>
      </c>
      <c r="M694" s="1" t="s">
        <v>24749</v>
      </c>
      <c r="N694" s="3" t="s">
        <v>24750</v>
      </c>
    </row>
    <row r="695" spans="1:14" ht="409.6">
      <c r="A695" s="1" t="s">
        <v>24751</v>
      </c>
      <c r="B695" s="1" t="s">
        <v>24752</v>
      </c>
      <c r="C695" s="1" t="s">
        <v>24753</v>
      </c>
      <c r="D695" s="1" t="s">
        <v>24754</v>
      </c>
      <c r="E695" s="1" t="s">
        <v>24755</v>
      </c>
      <c r="F695" s="1" t="s">
        <v>24756</v>
      </c>
      <c r="G695" s="1" t="s">
        <v>24757</v>
      </c>
      <c r="H695" s="1">
        <v>40</v>
      </c>
      <c r="I695" s="1" t="s">
        <v>14207</v>
      </c>
      <c r="J695" s="1" t="s">
        <v>14198</v>
      </c>
      <c r="K695" s="4" t="s">
        <v>24758</v>
      </c>
      <c r="L695" s="1" t="s">
        <v>24759</v>
      </c>
      <c r="M695" s="1" t="s">
        <v>24760</v>
      </c>
      <c r="N695" s="3" t="s">
        <v>24761</v>
      </c>
    </row>
    <row r="696" spans="1:14" ht="409.6">
      <c r="A696" s="1" t="s">
        <v>24762</v>
      </c>
      <c r="B696" s="1" t="s">
        <v>24763</v>
      </c>
      <c r="C696" s="1" t="s">
        <v>24764</v>
      </c>
      <c r="D696" s="1" t="s">
        <v>24765</v>
      </c>
      <c r="E696" s="1" t="s">
        <v>24766</v>
      </c>
      <c r="F696" s="1" t="s">
        <v>24767</v>
      </c>
      <c r="G696" s="1" t="s">
        <v>24768</v>
      </c>
      <c r="H696" s="1">
        <v>260</v>
      </c>
      <c r="I696" s="1" t="s">
        <v>8417</v>
      </c>
      <c r="J696" s="1" t="s">
        <v>14198</v>
      </c>
      <c r="K696" s="4" t="s">
        <v>24769</v>
      </c>
      <c r="L696" s="1" t="s">
        <v>24770</v>
      </c>
      <c r="M696" s="4" t="s">
        <v>24771</v>
      </c>
      <c r="N696" s="3" t="s">
        <v>24772</v>
      </c>
    </row>
    <row r="697" spans="1:14" ht="409.6">
      <c r="A697" s="1" t="s">
        <v>24773</v>
      </c>
      <c r="B697" s="1" t="s">
        <v>24774</v>
      </c>
      <c r="C697" s="1" t="s">
        <v>24775</v>
      </c>
      <c r="D697" s="1" t="s">
        <v>24776</v>
      </c>
      <c r="E697" s="1" t="s">
        <v>24777</v>
      </c>
      <c r="F697" s="1" t="s">
        <v>24778</v>
      </c>
      <c r="G697" s="1" t="s">
        <v>24779</v>
      </c>
      <c r="H697" s="1">
        <v>40</v>
      </c>
      <c r="I697" s="1" t="s">
        <v>14281</v>
      </c>
      <c r="J697" s="1" t="s">
        <v>14198</v>
      </c>
      <c r="K697" s="4" t="s">
        <v>24780</v>
      </c>
      <c r="L697" s="1" t="s">
        <v>24781</v>
      </c>
      <c r="M697" s="1" t="s">
        <v>24782</v>
      </c>
      <c r="N697" s="3" t="s">
        <v>24783</v>
      </c>
    </row>
    <row r="698" spans="1:14" ht="409.6">
      <c r="A698" s="1" t="s">
        <v>24784</v>
      </c>
      <c r="B698" s="1" t="s">
        <v>24785</v>
      </c>
      <c r="C698" s="1" t="s">
        <v>24786</v>
      </c>
      <c r="D698" s="1" t="s">
        <v>24787</v>
      </c>
      <c r="E698" s="1" t="s">
        <v>24788</v>
      </c>
      <c r="F698" s="1" t="s">
        <v>24789</v>
      </c>
      <c r="G698" s="1" t="s">
        <v>24790</v>
      </c>
      <c r="H698" s="1">
        <v>70</v>
      </c>
      <c r="I698" s="1" t="s">
        <v>14207</v>
      </c>
      <c r="J698" s="1" t="s">
        <v>14198</v>
      </c>
      <c r="K698" s="4" t="s">
        <v>24791</v>
      </c>
      <c r="L698" s="1" t="s">
        <v>24792</v>
      </c>
      <c r="M698" s="1" t="s">
        <v>24793</v>
      </c>
      <c r="N698" s="3" t="s">
        <v>24794</v>
      </c>
    </row>
    <row r="699" spans="1:14" ht="409.6">
      <c r="A699" s="1" t="s">
        <v>24795</v>
      </c>
      <c r="B699" s="1" t="s">
        <v>24796</v>
      </c>
      <c r="C699" s="1" t="s">
        <v>24797</v>
      </c>
      <c r="D699" s="1" t="s">
        <v>24798</v>
      </c>
      <c r="E699" s="1" t="s">
        <v>24799</v>
      </c>
      <c r="F699" s="1" t="s">
        <v>24800</v>
      </c>
      <c r="G699" s="1" t="s">
        <v>24801</v>
      </c>
      <c r="H699" s="1">
        <v>110</v>
      </c>
      <c r="I699" s="1" t="s">
        <v>8417</v>
      </c>
      <c r="J699" s="1" t="s">
        <v>15314</v>
      </c>
      <c r="K699" s="4" t="s">
        <v>24802</v>
      </c>
      <c r="L699" s="1" t="s">
        <v>24803</v>
      </c>
      <c r="M699" s="1" t="s">
        <v>24804</v>
      </c>
      <c r="N699" s="3" t="s">
        <v>24805</v>
      </c>
    </row>
    <row r="700" spans="1:14" ht="13.8">
      <c r="A700" s="1" t="s">
        <v>24806</v>
      </c>
      <c r="B700" s="1" t="s">
        <v>24807</v>
      </c>
      <c r="C700" s="1" t="s">
        <v>24808</v>
      </c>
      <c r="D700" s="1" t="s">
        <v>24809</v>
      </c>
      <c r="E700" s="1" t="s">
        <v>24810</v>
      </c>
      <c r="F700" s="1" t="s">
        <v>24811</v>
      </c>
      <c r="G700" s="1" t="s">
        <v>24812</v>
      </c>
      <c r="H700" s="1">
        <v>65</v>
      </c>
      <c r="I700" s="1" t="s">
        <v>14281</v>
      </c>
      <c r="J700" s="1" t="s">
        <v>18114</v>
      </c>
      <c r="K700" s="1" t="s">
        <v>24813</v>
      </c>
      <c r="L700" s="1" t="s">
        <v>24814</v>
      </c>
      <c r="M700" s="1" t="s">
        <v>24815</v>
      </c>
      <c r="N700" s="3" t="s">
        <v>24816</v>
      </c>
    </row>
    <row r="701" spans="1:14" ht="13.8">
      <c r="A701" s="1" t="s">
        <v>24817</v>
      </c>
      <c r="B701" s="1" t="s">
        <v>24818</v>
      </c>
      <c r="C701" s="1" t="s">
        <v>24819</v>
      </c>
      <c r="D701" s="1" t="s">
        <v>24820</v>
      </c>
      <c r="E701" s="1" t="s">
        <v>24821</v>
      </c>
      <c r="F701" s="1" t="s">
        <v>24822</v>
      </c>
      <c r="G701" s="1" t="s">
        <v>24823</v>
      </c>
      <c r="H701" s="1">
        <v>40</v>
      </c>
      <c r="I701" s="1" t="s">
        <v>14572</v>
      </c>
      <c r="J701" s="1" t="s">
        <v>14367</v>
      </c>
      <c r="K701" s="1" t="s">
        <v>24824</v>
      </c>
      <c r="L701" s="1" t="s">
        <v>24825</v>
      </c>
      <c r="M701" s="1" t="s">
        <v>24826</v>
      </c>
      <c r="N701" s="3" t="s">
        <v>24827</v>
      </c>
    </row>
    <row r="702" spans="1:14" ht="409.6">
      <c r="A702" s="1" t="s">
        <v>24828</v>
      </c>
      <c r="B702" s="1" t="s">
        <v>24829</v>
      </c>
      <c r="C702" s="1" t="s">
        <v>24830</v>
      </c>
      <c r="D702" s="1" t="s">
        <v>24831</v>
      </c>
      <c r="E702" s="1" t="s">
        <v>24832</v>
      </c>
      <c r="F702" s="1" t="s">
        <v>24833</v>
      </c>
      <c r="G702" s="1" t="s">
        <v>24834</v>
      </c>
      <c r="H702" s="1">
        <v>15</v>
      </c>
      <c r="I702" s="1" t="s">
        <v>14572</v>
      </c>
      <c r="J702" s="1" t="s">
        <v>14198</v>
      </c>
      <c r="K702" s="4" t="s">
        <v>24835</v>
      </c>
      <c r="L702" s="1" t="s">
        <v>24836</v>
      </c>
      <c r="M702" s="1" t="s">
        <v>24837</v>
      </c>
      <c r="N702" s="3" t="s">
        <v>24838</v>
      </c>
    </row>
    <row r="703" spans="1:14" ht="409.6">
      <c r="A703" s="1" t="s">
        <v>24839</v>
      </c>
      <c r="B703" s="1" t="s">
        <v>24840</v>
      </c>
      <c r="C703" s="1" t="s">
        <v>24841</v>
      </c>
      <c r="D703" s="1" t="s">
        <v>24842</v>
      </c>
      <c r="E703" s="1" t="s">
        <v>24843</v>
      </c>
      <c r="F703" s="1" t="s">
        <v>24844</v>
      </c>
      <c r="G703" s="1" t="s">
        <v>24845</v>
      </c>
      <c r="H703" s="1">
        <v>365</v>
      </c>
      <c r="I703" s="1" t="s">
        <v>14207</v>
      </c>
      <c r="J703" s="1" t="s">
        <v>14198</v>
      </c>
      <c r="K703" s="4" t="s">
        <v>24846</v>
      </c>
      <c r="L703" s="1" t="s">
        <v>24847</v>
      </c>
      <c r="M703" s="1" t="s">
        <v>24848</v>
      </c>
      <c r="N703" s="3" t="s">
        <v>24849</v>
      </c>
    </row>
    <row r="704" spans="1:14" ht="13.8">
      <c r="A704" s="1" t="s">
        <v>24850</v>
      </c>
      <c r="B704" s="1" t="s">
        <v>24851</v>
      </c>
      <c r="C704" s="1" t="s">
        <v>24852</v>
      </c>
      <c r="D704" s="1" t="s">
        <v>24853</v>
      </c>
      <c r="E704" s="1" t="s">
        <v>24854</v>
      </c>
      <c r="F704" s="1" t="s">
        <v>24855</v>
      </c>
      <c r="G704" s="1" t="s">
        <v>24856</v>
      </c>
      <c r="H704" s="1">
        <v>25</v>
      </c>
      <c r="I704" s="1" t="s">
        <v>17252</v>
      </c>
      <c r="J704" s="1" t="s">
        <v>15314</v>
      </c>
      <c r="K704" s="1" t="s">
        <v>24857</v>
      </c>
      <c r="L704" s="1" t="s">
        <v>24858</v>
      </c>
      <c r="M704" s="1" t="s">
        <v>24859</v>
      </c>
      <c r="N704" s="3" t="s">
        <v>24860</v>
      </c>
    </row>
    <row r="705" spans="1:14" ht="13.8">
      <c r="A705" s="1" t="s">
        <v>24861</v>
      </c>
      <c r="B705" s="1" t="s">
        <v>24862</v>
      </c>
      <c r="C705" s="1" t="s">
        <v>24863</v>
      </c>
      <c r="D705" s="1" t="s">
        <v>24864</v>
      </c>
      <c r="E705" s="1" t="s">
        <v>24865</v>
      </c>
      <c r="F705" s="1" t="s">
        <v>24866</v>
      </c>
      <c r="G705" s="1" t="s">
        <v>24867</v>
      </c>
      <c r="H705" s="1">
        <v>20</v>
      </c>
      <c r="I705" s="1" t="s">
        <v>17252</v>
      </c>
      <c r="J705" s="1" t="s">
        <v>14198</v>
      </c>
      <c r="K705" s="1" t="s">
        <v>24868</v>
      </c>
      <c r="L705" s="1" t="s">
        <v>24869</v>
      </c>
      <c r="M705" s="1" t="s">
        <v>24870</v>
      </c>
      <c r="N705" s="3" t="s">
        <v>24871</v>
      </c>
    </row>
    <row r="706" spans="1:14" ht="13.8">
      <c r="A706" s="1" t="s">
        <v>24872</v>
      </c>
      <c r="B706" s="1" t="s">
        <v>24873</v>
      </c>
      <c r="C706" s="1" t="s">
        <v>24874</v>
      </c>
      <c r="D706" s="1" t="s">
        <v>24875</v>
      </c>
      <c r="E706" s="1" t="s">
        <v>24876</v>
      </c>
      <c r="F706" s="1" t="s">
        <v>24877</v>
      </c>
      <c r="G706" s="1" t="s">
        <v>24878</v>
      </c>
      <c r="H706" s="1">
        <v>35</v>
      </c>
      <c r="I706" s="1" t="s">
        <v>17252</v>
      </c>
      <c r="J706" s="1" t="s">
        <v>15314</v>
      </c>
      <c r="K706" s="1" t="s">
        <v>24879</v>
      </c>
      <c r="L706" s="1" t="s">
        <v>24880</v>
      </c>
      <c r="M706" s="1" t="s">
        <v>24881</v>
      </c>
      <c r="N706" s="3" t="s">
        <v>24882</v>
      </c>
    </row>
    <row r="707" spans="1:14" ht="13.8">
      <c r="A707" s="1" t="s">
        <v>24883</v>
      </c>
      <c r="B707" s="1" t="s">
        <v>24884</v>
      </c>
      <c r="C707" s="1" t="s">
        <v>24885</v>
      </c>
      <c r="D707" s="1" t="s">
        <v>24886</v>
      </c>
      <c r="E707" s="1" t="s">
        <v>24887</v>
      </c>
      <c r="F707" s="1" t="s">
        <v>24888</v>
      </c>
      <c r="G707" s="1" t="s">
        <v>24889</v>
      </c>
      <c r="H707" s="1">
        <v>75</v>
      </c>
      <c r="I707" s="1" t="s">
        <v>429</v>
      </c>
      <c r="J707" s="1" t="s">
        <v>14382</v>
      </c>
      <c r="K707" s="1" t="s">
        <v>24890</v>
      </c>
      <c r="L707" s="1" t="s">
        <v>24891</v>
      </c>
      <c r="M707" s="1" t="s">
        <v>24892</v>
      </c>
      <c r="N707" s="3" t="s">
        <v>24893</v>
      </c>
    </row>
    <row r="708" spans="1:14" ht="13.8">
      <c r="A708" s="1" t="s">
        <v>24894</v>
      </c>
      <c r="B708" s="1" t="s">
        <v>24895</v>
      </c>
      <c r="C708" s="1" t="s">
        <v>24896</v>
      </c>
      <c r="D708" s="1" t="s">
        <v>24897</v>
      </c>
      <c r="E708" s="1" t="s">
        <v>24898</v>
      </c>
      <c r="F708" s="1" t="s">
        <v>24899</v>
      </c>
      <c r="G708" s="1" t="s">
        <v>24900</v>
      </c>
      <c r="H708" s="1">
        <v>30</v>
      </c>
      <c r="I708" s="1" t="s">
        <v>14281</v>
      </c>
      <c r="J708" s="1" t="s">
        <v>14198</v>
      </c>
      <c r="K708" s="1" t="s">
        <v>24901</v>
      </c>
      <c r="L708" s="1" t="s">
        <v>24902</v>
      </c>
      <c r="M708" s="1" t="s">
        <v>24903</v>
      </c>
      <c r="N708" s="3" t="s">
        <v>24904</v>
      </c>
    </row>
    <row r="709" spans="1:14" ht="13.8">
      <c r="A709" s="1" t="s">
        <v>24905</v>
      </c>
      <c r="B709" s="1" t="s">
        <v>24906</v>
      </c>
      <c r="C709" s="1" t="s">
        <v>24907</v>
      </c>
      <c r="D709" s="1" t="s">
        <v>24908</v>
      </c>
      <c r="E709" s="1" t="s">
        <v>24909</v>
      </c>
      <c r="F709" s="1" t="s">
        <v>24910</v>
      </c>
      <c r="G709" s="1" t="s">
        <v>24911</v>
      </c>
      <c r="H709" s="1">
        <v>60</v>
      </c>
      <c r="I709" s="1" t="s">
        <v>429</v>
      </c>
      <c r="J709" s="1" t="s">
        <v>14198</v>
      </c>
      <c r="K709" s="1" t="s">
        <v>24912</v>
      </c>
      <c r="L709" s="1" t="s">
        <v>24913</v>
      </c>
      <c r="M709" s="1" t="s">
        <v>24914</v>
      </c>
      <c r="N709" s="3" t="s">
        <v>24915</v>
      </c>
    </row>
    <row r="710" spans="1:14" ht="13.8">
      <c r="A710" s="1" t="s">
        <v>24916</v>
      </c>
      <c r="B710" s="1" t="s">
        <v>24917</v>
      </c>
      <c r="C710" s="1" t="s">
        <v>24918</v>
      </c>
      <c r="D710" s="1" t="s">
        <v>24919</v>
      </c>
      <c r="E710" s="1" t="s">
        <v>24920</v>
      </c>
      <c r="F710" s="1" t="s">
        <v>24921</v>
      </c>
      <c r="G710" s="1" t="s">
        <v>24922</v>
      </c>
      <c r="H710" s="1">
        <v>40</v>
      </c>
      <c r="I710" s="1" t="s">
        <v>8417</v>
      </c>
      <c r="J710" s="1" t="s">
        <v>14198</v>
      </c>
      <c r="K710" s="1" t="s">
        <v>24923</v>
      </c>
      <c r="L710" s="1" t="s">
        <v>24924</v>
      </c>
      <c r="M710" s="1" t="s">
        <v>24925</v>
      </c>
      <c r="N710" s="3" t="s">
        <v>24926</v>
      </c>
    </row>
    <row r="711" spans="1:14" ht="409.6">
      <c r="A711" s="1" t="s">
        <v>24927</v>
      </c>
      <c r="B711" s="1" t="s">
        <v>24928</v>
      </c>
      <c r="C711" s="1" t="s">
        <v>24929</v>
      </c>
      <c r="D711" s="1" t="s">
        <v>24930</v>
      </c>
      <c r="E711" s="1" t="s">
        <v>24931</v>
      </c>
      <c r="F711" s="1" t="s">
        <v>24932</v>
      </c>
      <c r="G711" s="1" t="s">
        <v>24933</v>
      </c>
      <c r="H711" s="1">
        <v>45</v>
      </c>
      <c r="I711" s="1" t="s">
        <v>14281</v>
      </c>
      <c r="J711" s="1" t="s">
        <v>18114</v>
      </c>
      <c r="K711" s="4" t="s">
        <v>24934</v>
      </c>
      <c r="L711" s="1" t="s">
        <v>24935</v>
      </c>
      <c r="M711" s="1" t="s">
        <v>24936</v>
      </c>
      <c r="N711" s="3" t="s">
        <v>24937</v>
      </c>
    </row>
    <row r="712" spans="1:14" ht="13.8">
      <c r="A712" s="1" t="s">
        <v>24938</v>
      </c>
      <c r="B712" s="1" t="s">
        <v>24939</v>
      </c>
      <c r="C712" s="1" t="s">
        <v>24940</v>
      </c>
      <c r="D712" s="1" t="s">
        <v>24941</v>
      </c>
      <c r="E712" s="1" t="s">
        <v>24942</v>
      </c>
      <c r="F712" s="1" t="s">
        <v>24943</v>
      </c>
      <c r="G712" s="1" t="s">
        <v>24944</v>
      </c>
      <c r="H712" s="1">
        <v>25</v>
      </c>
      <c r="I712" s="1" t="s">
        <v>14198</v>
      </c>
      <c r="J712" s="1" t="s">
        <v>14198</v>
      </c>
      <c r="K712" s="1" t="s">
        <v>24945</v>
      </c>
      <c r="L712" s="1" t="s">
        <v>24946</v>
      </c>
      <c r="M712" s="1" t="s">
        <v>24947</v>
      </c>
      <c r="N712" s="3" t="s">
        <v>24948</v>
      </c>
    </row>
    <row r="713" spans="1:14" ht="13.8">
      <c r="A713" s="1" t="s">
        <v>24949</v>
      </c>
      <c r="B713" s="1" t="s">
        <v>24950</v>
      </c>
      <c r="C713" s="1" t="s">
        <v>24951</v>
      </c>
      <c r="D713" s="1" t="s">
        <v>24952</v>
      </c>
      <c r="E713" s="1" t="s">
        <v>24953</v>
      </c>
      <c r="F713" s="1" t="s">
        <v>24954</v>
      </c>
      <c r="G713" s="1" t="s">
        <v>24955</v>
      </c>
      <c r="H713" s="1">
        <v>20</v>
      </c>
      <c r="I713" s="1" t="s">
        <v>14198</v>
      </c>
      <c r="J713" s="1" t="s">
        <v>14237</v>
      </c>
      <c r="K713" s="1" t="s">
        <v>24956</v>
      </c>
      <c r="L713" s="1" t="s">
        <v>24957</v>
      </c>
      <c r="M713" s="1" t="s">
        <v>24958</v>
      </c>
      <c r="N713" s="3" t="s">
        <v>24959</v>
      </c>
    </row>
    <row r="714" spans="1:14" ht="409.6">
      <c r="A714" s="1" t="s">
        <v>24960</v>
      </c>
      <c r="B714" s="1" t="s">
        <v>24961</v>
      </c>
      <c r="C714" s="1" t="s">
        <v>24962</v>
      </c>
      <c r="D714" s="1" t="s">
        <v>24963</v>
      </c>
      <c r="E714" s="1" t="s">
        <v>24964</v>
      </c>
      <c r="F714" s="1" t="s">
        <v>24965</v>
      </c>
      <c r="G714" s="1" t="s">
        <v>24966</v>
      </c>
      <c r="H714" s="1">
        <v>40</v>
      </c>
      <c r="I714" s="1" t="s">
        <v>8417</v>
      </c>
      <c r="J714" s="1" t="s">
        <v>14198</v>
      </c>
      <c r="K714" s="4" t="s">
        <v>24967</v>
      </c>
      <c r="L714" s="1" t="s">
        <v>24968</v>
      </c>
      <c r="M714" s="1" t="s">
        <v>24969</v>
      </c>
      <c r="N714" s="3" t="s">
        <v>24970</v>
      </c>
    </row>
    <row r="715" spans="1:14" ht="409.6">
      <c r="A715" s="1" t="s">
        <v>24971</v>
      </c>
      <c r="B715" s="1" t="s">
        <v>24972</v>
      </c>
      <c r="C715" s="1" t="s">
        <v>24973</v>
      </c>
      <c r="D715" s="1" t="s">
        <v>24974</v>
      </c>
      <c r="E715" s="1" t="s">
        <v>24975</v>
      </c>
      <c r="F715" s="1" t="s">
        <v>24976</v>
      </c>
      <c r="G715" s="1" t="s">
        <v>24977</v>
      </c>
      <c r="H715" s="1">
        <v>30</v>
      </c>
      <c r="I715" s="1" t="s">
        <v>14281</v>
      </c>
      <c r="J715" s="1" t="s">
        <v>14198</v>
      </c>
      <c r="K715" s="4" t="s">
        <v>24978</v>
      </c>
      <c r="L715" s="1" t="s">
        <v>24979</v>
      </c>
      <c r="M715" s="1" t="s">
        <v>24980</v>
      </c>
      <c r="N715" s="3" t="s">
        <v>24981</v>
      </c>
    </row>
    <row r="716" spans="1:14" ht="13.8">
      <c r="A716" s="1" t="s">
        <v>24982</v>
      </c>
      <c r="B716" s="1" t="s">
        <v>24983</v>
      </c>
      <c r="C716" s="1" t="s">
        <v>24984</v>
      </c>
      <c r="D716" s="1" t="s">
        <v>24985</v>
      </c>
      <c r="E716" s="1" t="s">
        <v>24986</v>
      </c>
      <c r="F716" s="1" t="s">
        <v>24987</v>
      </c>
      <c r="G716" s="1" t="s">
        <v>24988</v>
      </c>
      <c r="H716" s="1">
        <v>35</v>
      </c>
      <c r="I716" s="1" t="s">
        <v>14572</v>
      </c>
      <c r="J716" s="1" t="s">
        <v>14198</v>
      </c>
      <c r="K716" s="1" t="s">
        <v>24989</v>
      </c>
      <c r="L716" s="1" t="s">
        <v>24990</v>
      </c>
      <c r="M716" s="1" t="s">
        <v>24991</v>
      </c>
      <c r="N716" s="3" t="s">
        <v>24992</v>
      </c>
    </row>
    <row r="717" spans="1:14" ht="409.6">
      <c r="A717" s="1" t="s">
        <v>24993</v>
      </c>
      <c r="B717" s="1" t="s">
        <v>24994</v>
      </c>
      <c r="C717" s="1" t="s">
        <v>24995</v>
      </c>
      <c r="D717" s="1" t="s">
        <v>24996</v>
      </c>
      <c r="E717" s="1" t="s">
        <v>24997</v>
      </c>
      <c r="F717" s="1" t="s">
        <v>24998</v>
      </c>
      <c r="G717" s="1" t="s">
        <v>24999</v>
      </c>
      <c r="H717" s="1">
        <v>20</v>
      </c>
      <c r="I717" s="1" t="s">
        <v>14207</v>
      </c>
      <c r="J717" s="1" t="s">
        <v>14198</v>
      </c>
      <c r="K717" s="4" t="s">
        <v>25000</v>
      </c>
      <c r="L717" s="1" t="s">
        <v>25001</v>
      </c>
      <c r="M717" s="1" t="s">
        <v>25002</v>
      </c>
      <c r="N717" s="3" t="s">
        <v>25003</v>
      </c>
    </row>
    <row r="718" spans="1:14" ht="13.8">
      <c r="A718" s="1" t="s">
        <v>25004</v>
      </c>
      <c r="B718" s="1" t="s">
        <v>25005</v>
      </c>
      <c r="C718" s="1" t="s">
        <v>25006</v>
      </c>
      <c r="D718" s="1" t="s">
        <v>25007</v>
      </c>
      <c r="E718" s="1" t="s">
        <v>25008</v>
      </c>
      <c r="F718" s="1" t="s">
        <v>25009</v>
      </c>
      <c r="G718" s="1" t="s">
        <v>25010</v>
      </c>
      <c r="H718" s="1">
        <v>35</v>
      </c>
      <c r="I718" s="1" t="s">
        <v>14281</v>
      </c>
      <c r="J718" s="1" t="s">
        <v>15314</v>
      </c>
      <c r="K718" s="1" t="s">
        <v>25011</v>
      </c>
      <c r="L718" s="1" t="s">
        <v>25012</v>
      </c>
      <c r="M718" s="1" t="s">
        <v>25013</v>
      </c>
      <c r="N718" s="3" t="s">
        <v>25014</v>
      </c>
    </row>
    <row r="719" spans="1:14" ht="409.6">
      <c r="A719" s="1" t="s">
        <v>25015</v>
      </c>
      <c r="B719" s="1" t="s">
        <v>25016</v>
      </c>
      <c r="C719" s="1" t="s">
        <v>25017</v>
      </c>
      <c r="D719" s="1" t="s">
        <v>25018</v>
      </c>
      <c r="E719" s="1" t="s">
        <v>25019</v>
      </c>
      <c r="F719" s="1" t="s">
        <v>25020</v>
      </c>
      <c r="G719" s="1" t="s">
        <v>25021</v>
      </c>
      <c r="H719" s="1">
        <v>15</v>
      </c>
      <c r="I719" s="1" t="s">
        <v>17252</v>
      </c>
      <c r="J719" s="1" t="s">
        <v>18114</v>
      </c>
      <c r="K719" s="4" t="s">
        <v>25022</v>
      </c>
      <c r="L719" s="1" t="s">
        <v>25023</v>
      </c>
      <c r="M719" s="1" t="s">
        <v>25024</v>
      </c>
      <c r="N719" s="3" t="s">
        <v>25025</v>
      </c>
    </row>
    <row r="720" spans="1:14" ht="409.6">
      <c r="A720" s="1" t="s">
        <v>25026</v>
      </c>
      <c r="B720" s="1" t="s">
        <v>25027</v>
      </c>
      <c r="C720" s="1" t="s">
        <v>25028</v>
      </c>
      <c r="D720" s="1" t="s">
        <v>25029</v>
      </c>
      <c r="E720" s="1" t="s">
        <v>25030</v>
      </c>
      <c r="F720" s="1" t="s">
        <v>25031</v>
      </c>
      <c r="G720" s="1" t="s">
        <v>25032</v>
      </c>
      <c r="H720" s="1">
        <v>20</v>
      </c>
      <c r="I720" s="1" t="s">
        <v>17252</v>
      </c>
      <c r="J720" s="1" t="s">
        <v>14198</v>
      </c>
      <c r="K720" s="4" t="s">
        <v>25033</v>
      </c>
      <c r="L720" s="1" t="s">
        <v>25034</v>
      </c>
      <c r="M720" s="1" t="s">
        <v>25035</v>
      </c>
      <c r="N720" s="3" t="s">
        <v>25036</v>
      </c>
    </row>
    <row r="721" spans="1:14" ht="409.6">
      <c r="A721" s="1" t="s">
        <v>25037</v>
      </c>
      <c r="B721" s="1" t="s">
        <v>25038</v>
      </c>
      <c r="C721" s="1" t="s">
        <v>25039</v>
      </c>
      <c r="D721" s="1" t="s">
        <v>25040</v>
      </c>
      <c r="E721" s="1" t="s">
        <v>25041</v>
      </c>
      <c r="F721" s="1" t="s">
        <v>25042</v>
      </c>
      <c r="G721" s="1" t="s">
        <v>25043</v>
      </c>
      <c r="H721" s="1">
        <v>100</v>
      </c>
      <c r="I721" s="1" t="s">
        <v>14259</v>
      </c>
      <c r="J721" s="1" t="s">
        <v>14198</v>
      </c>
      <c r="K721" s="4" t="s">
        <v>25044</v>
      </c>
      <c r="L721" s="1" t="s">
        <v>25045</v>
      </c>
      <c r="M721" s="1" t="s">
        <v>25046</v>
      </c>
      <c r="N721" s="3" t="s">
        <v>25047</v>
      </c>
    </row>
    <row r="722" spans="1:14" ht="13.8">
      <c r="A722" s="1" t="s">
        <v>25048</v>
      </c>
      <c r="B722" s="1" t="s">
        <v>25049</v>
      </c>
      <c r="C722" s="1" t="s">
        <v>25050</v>
      </c>
      <c r="D722" s="1" t="s">
        <v>25051</v>
      </c>
      <c r="E722" s="1" t="s">
        <v>25052</v>
      </c>
      <c r="F722" s="1" t="s">
        <v>25053</v>
      </c>
      <c r="G722" s="1" t="s">
        <v>25054</v>
      </c>
      <c r="H722" s="1">
        <v>30</v>
      </c>
      <c r="I722" s="1" t="s">
        <v>17252</v>
      </c>
      <c r="J722" s="1" t="s">
        <v>14198</v>
      </c>
      <c r="K722" s="1" t="s">
        <v>25055</v>
      </c>
      <c r="L722" s="1" t="s">
        <v>25056</v>
      </c>
      <c r="M722" s="1" t="s">
        <v>25057</v>
      </c>
      <c r="N722" s="3" t="s">
        <v>25058</v>
      </c>
    </row>
    <row r="723" spans="1:14" ht="13.8">
      <c r="A723" s="1" t="s">
        <v>25059</v>
      </c>
      <c r="B723" s="1" t="s">
        <v>25060</v>
      </c>
      <c r="C723" s="1" t="s">
        <v>25061</v>
      </c>
      <c r="D723" s="1" t="s">
        <v>25062</v>
      </c>
      <c r="E723" s="1" t="s">
        <v>25063</v>
      </c>
      <c r="F723" s="1" t="s">
        <v>25064</v>
      </c>
      <c r="G723" s="1" t="s">
        <v>25065</v>
      </c>
      <c r="H723" s="1">
        <v>100</v>
      </c>
      <c r="I723" s="1" t="s">
        <v>14281</v>
      </c>
      <c r="J723" s="1" t="s">
        <v>14198</v>
      </c>
      <c r="K723" s="1" t="s">
        <v>25066</v>
      </c>
      <c r="L723" s="1" t="s">
        <v>25067</v>
      </c>
      <c r="M723" s="1" t="s">
        <v>25068</v>
      </c>
      <c r="N723" s="3" t="s">
        <v>25069</v>
      </c>
    </row>
    <row r="724" spans="1:14" ht="409.6">
      <c r="A724" s="1" t="s">
        <v>25070</v>
      </c>
      <c r="B724" s="1" t="s">
        <v>25071</v>
      </c>
      <c r="C724" s="1" t="s">
        <v>25072</v>
      </c>
      <c r="D724" s="1" t="s">
        <v>25073</v>
      </c>
      <c r="E724" s="1" t="s">
        <v>25074</v>
      </c>
      <c r="F724" s="1" t="s">
        <v>25075</v>
      </c>
      <c r="G724" s="1" t="s">
        <v>25076</v>
      </c>
      <c r="H724" s="1">
        <v>55</v>
      </c>
      <c r="I724" s="1" t="s">
        <v>8417</v>
      </c>
      <c r="J724" s="1" t="s">
        <v>15314</v>
      </c>
      <c r="K724" s="4" t="s">
        <v>25077</v>
      </c>
      <c r="L724" s="1" t="s">
        <v>25078</v>
      </c>
      <c r="M724" s="1" t="s">
        <v>25079</v>
      </c>
      <c r="N724" s="3" t="s">
        <v>25080</v>
      </c>
    </row>
    <row r="725" spans="1:14" ht="409.6">
      <c r="A725" s="1" t="s">
        <v>25081</v>
      </c>
      <c r="B725" s="1" t="s">
        <v>25082</v>
      </c>
      <c r="C725" s="1" t="s">
        <v>25083</v>
      </c>
      <c r="D725" s="1" t="s">
        <v>25084</v>
      </c>
      <c r="E725" s="1" t="s">
        <v>25085</v>
      </c>
      <c r="F725" s="1" t="s">
        <v>25086</v>
      </c>
      <c r="G725" s="1" t="s">
        <v>25087</v>
      </c>
      <c r="H725" s="1">
        <v>15</v>
      </c>
      <c r="I725" s="1" t="s">
        <v>14207</v>
      </c>
      <c r="J725" s="1" t="s">
        <v>14198</v>
      </c>
      <c r="K725" s="4" t="s">
        <v>25088</v>
      </c>
      <c r="L725" s="1" t="s">
        <v>25089</v>
      </c>
      <c r="M725" s="1" t="s">
        <v>25090</v>
      </c>
      <c r="N725" s="3" t="s">
        <v>25091</v>
      </c>
    </row>
    <row r="726" spans="1:14" ht="409.6">
      <c r="A726" s="1" t="s">
        <v>25092</v>
      </c>
      <c r="B726" s="1" t="s">
        <v>25093</v>
      </c>
      <c r="C726" s="1" t="s">
        <v>25094</v>
      </c>
      <c r="D726" s="1" t="s">
        <v>25095</v>
      </c>
      <c r="E726" s="1" t="s">
        <v>25096</v>
      </c>
      <c r="F726" s="1" t="s">
        <v>25097</v>
      </c>
      <c r="G726" s="1" t="s">
        <v>25098</v>
      </c>
      <c r="H726" s="1">
        <v>12</v>
      </c>
      <c r="I726" s="1" t="s">
        <v>14281</v>
      </c>
      <c r="J726" s="1" t="s">
        <v>14237</v>
      </c>
      <c r="K726" s="4" t="s">
        <v>25099</v>
      </c>
      <c r="L726" s="1" t="s">
        <v>25100</v>
      </c>
      <c r="M726" s="1" t="s">
        <v>25101</v>
      </c>
      <c r="N726" s="3" t="s">
        <v>25102</v>
      </c>
    </row>
    <row r="727" spans="1:14" ht="409.6">
      <c r="A727" s="1" t="s">
        <v>25103</v>
      </c>
      <c r="B727" s="1" t="s">
        <v>25104</v>
      </c>
      <c r="C727" s="1" t="s">
        <v>25105</v>
      </c>
      <c r="D727" s="1" t="s">
        <v>25106</v>
      </c>
      <c r="E727" s="1" t="s">
        <v>25107</v>
      </c>
      <c r="F727" s="1" t="s">
        <v>25108</v>
      </c>
      <c r="G727" s="1" t="s">
        <v>25109</v>
      </c>
      <c r="H727" s="1">
        <v>100</v>
      </c>
      <c r="I727" s="1" t="s">
        <v>429</v>
      </c>
      <c r="J727" s="1" t="s">
        <v>14198</v>
      </c>
      <c r="K727" s="4" t="s">
        <v>25110</v>
      </c>
      <c r="L727" s="1" t="s">
        <v>25111</v>
      </c>
      <c r="M727" s="1" t="s">
        <v>25112</v>
      </c>
      <c r="N727" s="3" t="s">
        <v>25113</v>
      </c>
    </row>
    <row r="728" spans="1:14" ht="409.6">
      <c r="A728" s="1" t="s">
        <v>25114</v>
      </c>
      <c r="B728" s="1" t="s">
        <v>25115</v>
      </c>
      <c r="C728" s="1" t="s">
        <v>25116</v>
      </c>
      <c r="D728" s="1" t="s">
        <v>25117</v>
      </c>
      <c r="E728" s="1" t="s">
        <v>25118</v>
      </c>
      <c r="F728" s="1" t="s">
        <v>25119</v>
      </c>
      <c r="G728" s="1" t="s">
        <v>25120</v>
      </c>
      <c r="H728" s="1">
        <v>25</v>
      </c>
      <c r="I728" s="1" t="s">
        <v>14572</v>
      </c>
      <c r="J728" s="1" t="s">
        <v>14198</v>
      </c>
      <c r="K728" s="4" t="s">
        <v>25121</v>
      </c>
      <c r="L728" s="1" t="s">
        <v>25122</v>
      </c>
      <c r="M728" s="4" t="s">
        <v>25123</v>
      </c>
      <c r="N728" s="3" t="s">
        <v>25124</v>
      </c>
    </row>
    <row r="729" spans="1:14" ht="409.6">
      <c r="A729" s="1" t="s">
        <v>25125</v>
      </c>
      <c r="B729" s="1" t="s">
        <v>25126</v>
      </c>
      <c r="C729" s="1" t="s">
        <v>25127</v>
      </c>
      <c r="D729" s="1" t="s">
        <v>25128</v>
      </c>
      <c r="E729" s="1" t="s">
        <v>25129</v>
      </c>
      <c r="F729" s="1" t="s">
        <v>25130</v>
      </c>
      <c r="G729" s="1" t="s">
        <v>25131</v>
      </c>
      <c r="H729" s="1">
        <v>30</v>
      </c>
      <c r="I729" s="1" t="s">
        <v>14281</v>
      </c>
      <c r="J729" s="1" t="s">
        <v>14198</v>
      </c>
      <c r="K729" s="4" t="s">
        <v>25132</v>
      </c>
      <c r="L729" s="1" t="s">
        <v>25133</v>
      </c>
      <c r="M729" s="1" t="s">
        <v>25134</v>
      </c>
      <c r="N729" s="3" t="s">
        <v>25135</v>
      </c>
    </row>
    <row r="730" spans="1:14" ht="409.6">
      <c r="A730" s="1" t="s">
        <v>25136</v>
      </c>
      <c r="B730" s="1" t="s">
        <v>25137</v>
      </c>
      <c r="C730" s="1" t="s">
        <v>25138</v>
      </c>
      <c r="D730" s="1" t="s">
        <v>25139</v>
      </c>
      <c r="E730" s="1" t="s">
        <v>25140</v>
      </c>
      <c r="F730" s="1" t="s">
        <v>25141</v>
      </c>
      <c r="G730" s="1" t="s">
        <v>25142</v>
      </c>
      <c r="H730" s="1">
        <v>70</v>
      </c>
      <c r="I730" s="1" t="s">
        <v>17252</v>
      </c>
      <c r="J730" s="1" t="s">
        <v>14338</v>
      </c>
      <c r="K730" s="4" t="s">
        <v>25143</v>
      </c>
      <c r="L730" s="1" t="s">
        <v>25144</v>
      </c>
      <c r="M730" s="1" t="s">
        <v>25145</v>
      </c>
      <c r="N730" s="3" t="s">
        <v>25146</v>
      </c>
    </row>
    <row r="731" spans="1:14" ht="409.6">
      <c r="A731" s="1" t="s">
        <v>25147</v>
      </c>
      <c r="B731" s="1" t="s">
        <v>25148</v>
      </c>
      <c r="C731" s="1" t="s">
        <v>25149</v>
      </c>
      <c r="D731" s="1" t="s">
        <v>25150</v>
      </c>
      <c r="E731" s="1" t="s">
        <v>25151</v>
      </c>
      <c r="F731" s="1" t="s">
        <v>25152</v>
      </c>
      <c r="G731" s="1" t="s">
        <v>25153</v>
      </c>
      <c r="H731" s="1">
        <v>45</v>
      </c>
      <c r="I731" s="1" t="s">
        <v>14281</v>
      </c>
      <c r="J731" s="1" t="s">
        <v>14198</v>
      </c>
      <c r="K731" s="4" t="s">
        <v>25154</v>
      </c>
      <c r="L731" s="1" t="s">
        <v>25155</v>
      </c>
      <c r="M731" s="1" t="s">
        <v>25156</v>
      </c>
      <c r="N731" s="3" t="s">
        <v>25157</v>
      </c>
    </row>
    <row r="732" spans="1:14" ht="13.8">
      <c r="A732" s="1" t="s">
        <v>25158</v>
      </c>
      <c r="B732" s="1" t="s">
        <v>25159</v>
      </c>
      <c r="C732" s="1" t="s">
        <v>25160</v>
      </c>
      <c r="D732" s="1" t="s">
        <v>25161</v>
      </c>
      <c r="E732" s="1" t="s">
        <v>25162</v>
      </c>
      <c r="F732" s="1" t="s">
        <v>25163</v>
      </c>
      <c r="G732" s="1" t="s">
        <v>25164</v>
      </c>
      <c r="H732" s="1">
        <v>80</v>
      </c>
      <c r="I732" s="1" t="s">
        <v>14281</v>
      </c>
      <c r="J732" s="1" t="s">
        <v>14198</v>
      </c>
      <c r="K732" s="1" t="s">
        <v>25165</v>
      </c>
      <c r="L732" s="1" t="s">
        <v>25166</v>
      </c>
      <c r="M732" s="1" t="s">
        <v>25167</v>
      </c>
      <c r="N732" s="3" t="s">
        <v>25168</v>
      </c>
    </row>
    <row r="733" spans="1:14" ht="409.6">
      <c r="A733" s="1" t="s">
        <v>25169</v>
      </c>
      <c r="B733" s="1" t="s">
        <v>25170</v>
      </c>
      <c r="C733" s="1" t="s">
        <v>25171</v>
      </c>
      <c r="D733" s="1" t="s">
        <v>25172</v>
      </c>
      <c r="E733" s="1" t="s">
        <v>25173</v>
      </c>
      <c r="F733" s="1" t="s">
        <v>25174</v>
      </c>
      <c r="G733" s="1" t="s">
        <v>25175</v>
      </c>
      <c r="H733" s="1">
        <v>50</v>
      </c>
      <c r="I733" s="1" t="s">
        <v>17252</v>
      </c>
      <c r="J733" s="1" t="s">
        <v>15314</v>
      </c>
      <c r="K733" s="4" t="s">
        <v>25176</v>
      </c>
      <c r="L733" s="1" t="s">
        <v>25177</v>
      </c>
      <c r="M733" s="1" t="s">
        <v>25178</v>
      </c>
      <c r="N733" s="3" t="s">
        <v>25179</v>
      </c>
    </row>
    <row r="734" spans="1:14" ht="409.6">
      <c r="A734" s="1" t="s">
        <v>25180</v>
      </c>
      <c r="B734" s="1" t="s">
        <v>25181</v>
      </c>
      <c r="C734" s="1" t="s">
        <v>25182</v>
      </c>
      <c r="D734" s="1" t="s">
        <v>25183</v>
      </c>
      <c r="E734" s="1" t="s">
        <v>25184</v>
      </c>
      <c r="F734" s="1" t="s">
        <v>25185</v>
      </c>
      <c r="G734" s="1" t="s">
        <v>25186</v>
      </c>
      <c r="H734" s="1">
        <v>40</v>
      </c>
      <c r="I734" s="1" t="s">
        <v>8417</v>
      </c>
      <c r="J734" s="1" t="s">
        <v>15314</v>
      </c>
      <c r="K734" s="4" t="s">
        <v>25187</v>
      </c>
      <c r="L734" s="1" t="s">
        <v>25188</v>
      </c>
      <c r="M734" s="1" t="s">
        <v>25189</v>
      </c>
      <c r="N734" s="3" t="s">
        <v>25190</v>
      </c>
    </row>
    <row r="735" spans="1:14" ht="409.6">
      <c r="A735" s="1" t="s">
        <v>25191</v>
      </c>
      <c r="B735" s="1" t="s">
        <v>25192</v>
      </c>
      <c r="C735" s="1" t="s">
        <v>25193</v>
      </c>
      <c r="D735" s="1" t="s">
        <v>25194</v>
      </c>
      <c r="E735" s="1" t="s">
        <v>25195</v>
      </c>
      <c r="F735" s="1" t="s">
        <v>25196</v>
      </c>
      <c r="G735" s="1" t="s">
        <v>25197</v>
      </c>
      <c r="H735" s="1">
        <v>100</v>
      </c>
      <c r="I735" s="1" t="s">
        <v>145</v>
      </c>
      <c r="J735" s="1" t="s">
        <v>14198</v>
      </c>
      <c r="K735" s="4" t="s">
        <v>25198</v>
      </c>
      <c r="L735" s="4" t="s">
        <v>25199</v>
      </c>
      <c r="M735" s="1" t="s">
        <v>25200</v>
      </c>
      <c r="N735" s="3" t="s">
        <v>25201</v>
      </c>
    </row>
    <row r="736" spans="1:14" ht="409.6">
      <c r="A736" s="1" t="s">
        <v>25202</v>
      </c>
      <c r="B736" s="1" t="s">
        <v>25203</v>
      </c>
      <c r="C736" s="1" t="s">
        <v>25204</v>
      </c>
      <c r="D736" s="1" t="s">
        <v>25205</v>
      </c>
      <c r="E736" s="1" t="s">
        <v>25206</v>
      </c>
      <c r="F736" s="1" t="s">
        <v>25207</v>
      </c>
      <c r="G736" s="1" t="s">
        <v>25208</v>
      </c>
      <c r="H736" s="1">
        <v>30</v>
      </c>
      <c r="I736" s="1" t="s">
        <v>17252</v>
      </c>
      <c r="J736" s="1" t="s">
        <v>17937</v>
      </c>
      <c r="K736" s="4" t="s">
        <v>25209</v>
      </c>
      <c r="L736" s="1" t="s">
        <v>25210</v>
      </c>
      <c r="M736" s="1" t="s">
        <v>25211</v>
      </c>
      <c r="N736" s="3" t="s">
        <v>25212</v>
      </c>
    </row>
    <row r="737" spans="1:14" ht="409.6">
      <c r="A737" s="1" t="s">
        <v>25213</v>
      </c>
      <c r="B737" s="1" t="s">
        <v>25214</v>
      </c>
      <c r="C737" s="1" t="s">
        <v>25215</v>
      </c>
      <c r="D737" s="1" t="s">
        <v>25216</v>
      </c>
      <c r="E737" s="1" t="s">
        <v>25217</v>
      </c>
      <c r="F737" s="1" t="s">
        <v>25218</v>
      </c>
      <c r="G737" s="1" t="s">
        <v>25219</v>
      </c>
      <c r="H737" s="1">
        <v>60</v>
      </c>
      <c r="I737" s="1" t="s">
        <v>8417</v>
      </c>
      <c r="J737" s="1" t="s">
        <v>15314</v>
      </c>
      <c r="K737" s="4" t="s">
        <v>25220</v>
      </c>
      <c r="L737" s="1" t="s">
        <v>25221</v>
      </c>
      <c r="M737" s="1" t="s">
        <v>25222</v>
      </c>
      <c r="N737" s="3" t="s">
        <v>25223</v>
      </c>
    </row>
    <row r="738" spans="1:14" ht="13.8">
      <c r="A738" s="1" t="s">
        <v>25224</v>
      </c>
      <c r="B738" s="1" t="s">
        <v>25225</v>
      </c>
      <c r="C738" s="1" t="s">
        <v>25226</v>
      </c>
      <c r="D738" s="1" t="s">
        <v>25227</v>
      </c>
      <c r="E738" s="1" t="s">
        <v>25228</v>
      </c>
      <c r="F738" s="1" t="s">
        <v>25229</v>
      </c>
      <c r="G738" s="1" t="s">
        <v>25230</v>
      </c>
      <c r="H738" s="1">
        <v>30</v>
      </c>
      <c r="I738" s="1" t="s">
        <v>8417</v>
      </c>
      <c r="J738" s="1" t="s">
        <v>14198</v>
      </c>
      <c r="K738" s="1" t="s">
        <v>25231</v>
      </c>
      <c r="L738" s="1" t="s">
        <v>25232</v>
      </c>
      <c r="M738" s="1" t="s">
        <v>25233</v>
      </c>
      <c r="N738" s="3" t="s">
        <v>25234</v>
      </c>
    </row>
    <row r="739" spans="1:14" ht="409.6">
      <c r="A739" s="1" t="s">
        <v>25235</v>
      </c>
      <c r="B739" s="1" t="s">
        <v>25236</v>
      </c>
      <c r="C739" s="1" t="s">
        <v>25237</v>
      </c>
      <c r="D739" s="1" t="s">
        <v>25238</v>
      </c>
      <c r="E739" s="1" t="s">
        <v>25239</v>
      </c>
      <c r="F739" s="1" t="s">
        <v>25240</v>
      </c>
      <c r="G739" s="1" t="s">
        <v>25241</v>
      </c>
      <c r="H739" s="1">
        <v>70</v>
      </c>
      <c r="I739" s="1" t="s">
        <v>14281</v>
      </c>
      <c r="J739" s="1" t="s">
        <v>14198</v>
      </c>
      <c r="K739" s="4" t="s">
        <v>25242</v>
      </c>
      <c r="L739" s="1" t="s">
        <v>25243</v>
      </c>
      <c r="M739" s="1" t="s">
        <v>25244</v>
      </c>
      <c r="N739" s="3" t="s">
        <v>25245</v>
      </c>
    </row>
    <row r="740" spans="1:14" ht="13.8">
      <c r="A740" s="1" t="s">
        <v>25246</v>
      </c>
      <c r="B740" s="1" t="s">
        <v>25247</v>
      </c>
      <c r="C740" s="1" t="s">
        <v>25248</v>
      </c>
      <c r="D740" s="1" t="s">
        <v>25249</v>
      </c>
      <c r="E740" s="1" t="s">
        <v>25250</v>
      </c>
      <c r="F740" s="1" t="s">
        <v>25251</v>
      </c>
      <c r="G740" s="1" t="s">
        <v>25252</v>
      </c>
      <c r="H740" s="1">
        <v>35</v>
      </c>
      <c r="I740" s="1" t="s">
        <v>14572</v>
      </c>
      <c r="J740" s="1" t="s">
        <v>14237</v>
      </c>
      <c r="K740" s="1" t="s">
        <v>25253</v>
      </c>
      <c r="L740" s="1" t="s">
        <v>25254</v>
      </c>
      <c r="M740" s="1" t="s">
        <v>25255</v>
      </c>
      <c r="N740" s="3" t="s">
        <v>25256</v>
      </c>
    </row>
    <row r="741" spans="1:14" ht="409.6">
      <c r="A741" s="1" t="s">
        <v>25257</v>
      </c>
      <c r="B741" s="1" t="s">
        <v>25258</v>
      </c>
      <c r="C741" s="1" t="s">
        <v>25259</v>
      </c>
      <c r="D741" s="1" t="s">
        <v>25260</v>
      </c>
      <c r="E741" s="1" t="s">
        <v>25261</v>
      </c>
      <c r="F741" s="1" t="s">
        <v>25262</v>
      </c>
      <c r="G741" s="1" t="s">
        <v>25263</v>
      </c>
      <c r="H741" s="1">
        <v>20</v>
      </c>
      <c r="I741" s="1" t="s">
        <v>17252</v>
      </c>
      <c r="J741" s="1" t="s">
        <v>14198</v>
      </c>
      <c r="K741" s="4" t="s">
        <v>25264</v>
      </c>
      <c r="L741" s="1" t="s">
        <v>25265</v>
      </c>
      <c r="M741" s="1" t="s">
        <v>25266</v>
      </c>
      <c r="N741" s="3" t="s">
        <v>25267</v>
      </c>
    </row>
    <row r="742" spans="1:14" ht="409.6">
      <c r="A742" s="1" t="s">
        <v>25268</v>
      </c>
      <c r="B742" s="1" t="s">
        <v>25269</v>
      </c>
      <c r="C742" s="1" t="s">
        <v>25270</v>
      </c>
      <c r="D742" s="1" t="s">
        <v>25271</v>
      </c>
      <c r="E742" s="1" t="s">
        <v>25272</v>
      </c>
      <c r="F742" s="1" t="s">
        <v>25273</v>
      </c>
      <c r="G742" s="1" t="s">
        <v>25274</v>
      </c>
      <c r="H742" s="1">
        <v>30</v>
      </c>
      <c r="I742" s="1" t="s">
        <v>14259</v>
      </c>
      <c r="J742" s="1" t="s">
        <v>14198</v>
      </c>
      <c r="K742" s="4" t="s">
        <v>25275</v>
      </c>
      <c r="L742" s="1" t="s">
        <v>25276</v>
      </c>
      <c r="M742" s="1" t="s">
        <v>25277</v>
      </c>
      <c r="N742" s="3" t="s">
        <v>25278</v>
      </c>
    </row>
    <row r="743" spans="1:14" ht="13.8">
      <c r="A743" s="1" t="s">
        <v>25279</v>
      </c>
      <c r="B743" s="1" t="s">
        <v>25280</v>
      </c>
      <c r="C743" s="1" t="s">
        <v>25281</v>
      </c>
      <c r="D743" s="1" t="s">
        <v>25282</v>
      </c>
      <c r="E743" s="1" t="s">
        <v>25283</v>
      </c>
      <c r="F743" s="1" t="s">
        <v>25284</v>
      </c>
      <c r="G743" s="1" t="s">
        <v>25285</v>
      </c>
      <c r="H743" s="1">
        <v>90</v>
      </c>
      <c r="I743" s="1" t="s">
        <v>8417</v>
      </c>
      <c r="J743" s="1" t="s">
        <v>15314</v>
      </c>
      <c r="K743" s="1" t="s">
        <v>25286</v>
      </c>
      <c r="L743" s="1" t="s">
        <v>25287</v>
      </c>
      <c r="M743" s="1" t="s">
        <v>25288</v>
      </c>
      <c r="N743" s="3" t="s">
        <v>25289</v>
      </c>
    </row>
    <row r="744" spans="1:14" ht="409.6">
      <c r="A744" s="1" t="s">
        <v>25290</v>
      </c>
      <c r="B744" s="1" t="s">
        <v>25291</v>
      </c>
      <c r="C744" s="1" t="s">
        <v>25292</v>
      </c>
      <c r="D744" s="1" t="s">
        <v>25293</v>
      </c>
      <c r="E744" s="1" t="s">
        <v>25294</v>
      </c>
      <c r="F744" s="1" t="s">
        <v>25295</v>
      </c>
      <c r="G744" s="1" t="s">
        <v>25296</v>
      </c>
      <c r="H744" s="1">
        <v>400</v>
      </c>
      <c r="I744" s="1" t="s">
        <v>8417</v>
      </c>
      <c r="J744" s="1" t="s">
        <v>14198</v>
      </c>
      <c r="K744" s="4" t="s">
        <v>25297</v>
      </c>
      <c r="L744" s="1" t="s">
        <v>25298</v>
      </c>
      <c r="M744" s="1" t="s">
        <v>25299</v>
      </c>
      <c r="N744" s="3" t="s">
        <v>25300</v>
      </c>
    </row>
    <row r="745" spans="1:14" ht="13.8">
      <c r="A745" s="1" t="s">
        <v>25301</v>
      </c>
      <c r="B745" s="1" t="s">
        <v>25302</v>
      </c>
      <c r="C745" s="1" t="s">
        <v>25303</v>
      </c>
      <c r="D745" s="1" t="s">
        <v>25304</v>
      </c>
      <c r="E745" s="1" t="s">
        <v>25305</v>
      </c>
      <c r="F745" s="1" t="s">
        <v>25306</v>
      </c>
      <c r="G745" s="1" t="s">
        <v>25307</v>
      </c>
      <c r="H745" s="1">
        <v>60</v>
      </c>
      <c r="I745" s="1" t="s">
        <v>8417</v>
      </c>
      <c r="J745" s="1" t="s">
        <v>14198</v>
      </c>
      <c r="K745" s="1" t="s">
        <v>25308</v>
      </c>
      <c r="L745" s="1" t="s">
        <v>25309</v>
      </c>
      <c r="M745" s="1" t="s">
        <v>25310</v>
      </c>
      <c r="N745" s="3" t="s">
        <v>25311</v>
      </c>
    </row>
    <row r="746" spans="1:14" ht="409.6">
      <c r="A746" s="1" t="s">
        <v>25312</v>
      </c>
      <c r="B746" s="1" t="s">
        <v>25313</v>
      </c>
      <c r="C746" s="1" t="s">
        <v>25314</v>
      </c>
      <c r="D746" s="1" t="s">
        <v>25315</v>
      </c>
      <c r="E746" s="1" t="s">
        <v>25316</v>
      </c>
      <c r="F746" s="1" t="s">
        <v>25317</v>
      </c>
      <c r="G746" s="1" t="s">
        <v>25318</v>
      </c>
      <c r="H746" s="1">
        <v>30</v>
      </c>
      <c r="I746" s="1" t="s">
        <v>14572</v>
      </c>
      <c r="J746" s="1" t="s">
        <v>14198</v>
      </c>
      <c r="K746" s="4" t="s">
        <v>25319</v>
      </c>
      <c r="L746" s="1" t="s">
        <v>25320</v>
      </c>
      <c r="M746" s="1" t="s">
        <v>25321</v>
      </c>
      <c r="N746" s="3" t="s">
        <v>25322</v>
      </c>
    </row>
    <row r="747" spans="1:14" ht="409.6">
      <c r="A747" s="1" t="s">
        <v>25323</v>
      </c>
      <c r="B747" s="1" t="s">
        <v>25324</v>
      </c>
      <c r="C747" s="1" t="s">
        <v>25325</v>
      </c>
      <c r="D747" s="1" t="s">
        <v>25326</v>
      </c>
      <c r="E747" s="1" t="s">
        <v>25327</v>
      </c>
      <c r="F747" s="1" t="s">
        <v>25328</v>
      </c>
      <c r="G747" s="1" t="s">
        <v>25329</v>
      </c>
      <c r="H747" s="1">
        <v>25</v>
      </c>
      <c r="I747" s="1" t="s">
        <v>17252</v>
      </c>
      <c r="J747" s="1" t="s">
        <v>14198</v>
      </c>
      <c r="K747" s="4" t="s">
        <v>25330</v>
      </c>
      <c r="L747" s="1" t="s">
        <v>25331</v>
      </c>
      <c r="M747" s="1" t="s">
        <v>25332</v>
      </c>
      <c r="N747" s="3" t="s">
        <v>25333</v>
      </c>
    </row>
    <row r="748" spans="1:14" ht="409.6">
      <c r="A748" s="1" t="s">
        <v>25334</v>
      </c>
      <c r="B748" s="1" t="s">
        <v>25335</v>
      </c>
      <c r="C748" s="1" t="s">
        <v>25336</v>
      </c>
      <c r="D748" s="1" t="s">
        <v>25337</v>
      </c>
      <c r="E748" s="1" t="s">
        <v>25338</v>
      </c>
      <c r="F748" s="1" t="s">
        <v>25339</v>
      </c>
      <c r="G748" s="1" t="s">
        <v>25340</v>
      </c>
      <c r="H748" s="1">
        <v>25</v>
      </c>
      <c r="I748" s="1" t="s">
        <v>429</v>
      </c>
      <c r="J748" s="1" t="s">
        <v>14198</v>
      </c>
      <c r="K748" s="4" t="s">
        <v>25341</v>
      </c>
      <c r="L748" s="1" t="s">
        <v>25342</v>
      </c>
      <c r="M748" s="1" t="s">
        <v>25343</v>
      </c>
      <c r="N748" s="3" t="s">
        <v>25344</v>
      </c>
    </row>
    <row r="749" spans="1:14" ht="409.6">
      <c r="A749" s="1" t="s">
        <v>25345</v>
      </c>
      <c r="B749" s="1" t="s">
        <v>25346</v>
      </c>
      <c r="C749" s="1" t="s">
        <v>25347</v>
      </c>
      <c r="D749" s="1" t="s">
        <v>25348</v>
      </c>
      <c r="E749" s="1" t="s">
        <v>25349</v>
      </c>
      <c r="F749" s="1" t="s">
        <v>25350</v>
      </c>
      <c r="G749" s="1" t="s">
        <v>25351</v>
      </c>
      <c r="H749" s="1">
        <v>40</v>
      </c>
      <c r="I749" s="1" t="s">
        <v>8417</v>
      </c>
      <c r="J749" s="1" t="s">
        <v>14198</v>
      </c>
      <c r="K749" s="4" t="s">
        <v>25352</v>
      </c>
      <c r="L749" s="1" t="s">
        <v>25353</v>
      </c>
      <c r="M749" s="1" t="s">
        <v>25354</v>
      </c>
      <c r="N749" s="3" t="s">
        <v>25355</v>
      </c>
    </row>
    <row r="750" spans="1:14" ht="409.6">
      <c r="A750" s="1" t="s">
        <v>25356</v>
      </c>
      <c r="B750" s="1" t="s">
        <v>25357</v>
      </c>
      <c r="C750" s="1" t="s">
        <v>25358</v>
      </c>
      <c r="D750" s="1" t="s">
        <v>25359</v>
      </c>
      <c r="E750" s="1" t="s">
        <v>25360</v>
      </c>
      <c r="F750" s="1" t="s">
        <v>25361</v>
      </c>
      <c r="G750" s="1" t="s">
        <v>25362</v>
      </c>
      <c r="H750" s="1">
        <v>75</v>
      </c>
      <c r="I750" s="1" t="s">
        <v>429</v>
      </c>
      <c r="J750" s="1" t="s">
        <v>14198</v>
      </c>
      <c r="K750" s="4" t="s">
        <v>25363</v>
      </c>
      <c r="L750" s="1" t="s">
        <v>25364</v>
      </c>
      <c r="M750" s="1" t="s">
        <v>25365</v>
      </c>
      <c r="N750" s="3" t="s">
        <v>25366</v>
      </c>
    </row>
    <row r="751" spans="1:14" ht="13.8">
      <c r="A751" s="1" t="s">
        <v>25367</v>
      </c>
      <c r="B751" s="1" t="s">
        <v>25368</v>
      </c>
      <c r="C751" s="1" t="s">
        <v>25369</v>
      </c>
      <c r="D751" s="1" t="s">
        <v>25370</v>
      </c>
      <c r="E751" s="1" t="s">
        <v>25371</v>
      </c>
      <c r="F751" s="1" t="s">
        <v>25372</v>
      </c>
      <c r="G751" s="1" t="s">
        <v>25373</v>
      </c>
      <c r="H751" s="1">
        <v>20</v>
      </c>
      <c r="I751" s="1" t="s">
        <v>17252</v>
      </c>
      <c r="J751" s="1" t="s">
        <v>15314</v>
      </c>
      <c r="K751" s="1" t="s">
        <v>25374</v>
      </c>
      <c r="L751" s="1" t="s">
        <v>25375</v>
      </c>
      <c r="M751" s="1" t="s">
        <v>25376</v>
      </c>
      <c r="N751" s="3" t="s">
        <v>25377</v>
      </c>
    </row>
    <row r="752" spans="1:14" ht="13.8">
      <c r="A752" s="1" t="s">
        <v>25378</v>
      </c>
      <c r="B752" s="1" t="s">
        <v>25379</v>
      </c>
      <c r="C752" s="1" t="s">
        <v>25380</v>
      </c>
      <c r="D752" s="1" t="s">
        <v>25381</v>
      </c>
      <c r="E752" s="1" t="s">
        <v>25382</v>
      </c>
      <c r="F752" s="1" t="s">
        <v>25383</v>
      </c>
      <c r="G752" s="1" t="s">
        <v>25384</v>
      </c>
      <c r="H752" s="1">
        <v>25</v>
      </c>
      <c r="I752" s="1" t="s">
        <v>14281</v>
      </c>
      <c r="J752" s="1" t="s">
        <v>14198</v>
      </c>
      <c r="K752" s="1" t="s">
        <v>25385</v>
      </c>
      <c r="L752" s="1" t="s">
        <v>25386</v>
      </c>
      <c r="M752" s="1" t="s">
        <v>25387</v>
      </c>
      <c r="N752" s="3" t="s">
        <v>25388</v>
      </c>
    </row>
    <row r="753" spans="1:14" ht="409.6">
      <c r="A753" s="1" t="s">
        <v>25389</v>
      </c>
      <c r="B753" s="1" t="s">
        <v>25390</v>
      </c>
      <c r="C753" s="1" t="s">
        <v>25391</v>
      </c>
      <c r="D753" s="1" t="s">
        <v>25392</v>
      </c>
      <c r="E753" s="1" t="s">
        <v>25393</v>
      </c>
      <c r="F753" s="1" t="s">
        <v>25394</v>
      </c>
      <c r="G753" s="1" t="s">
        <v>25395</v>
      </c>
      <c r="H753" s="1">
        <v>40</v>
      </c>
      <c r="I753" s="1" t="s">
        <v>17252</v>
      </c>
      <c r="J753" s="1" t="s">
        <v>14198</v>
      </c>
      <c r="K753" s="4" t="s">
        <v>25396</v>
      </c>
      <c r="L753" s="1" t="s">
        <v>25397</v>
      </c>
      <c r="M753" s="1" t="s">
        <v>25398</v>
      </c>
      <c r="N753" s="3" t="s">
        <v>25399</v>
      </c>
    </row>
    <row r="754" spans="1:14" ht="409.6">
      <c r="A754" s="1" t="s">
        <v>25400</v>
      </c>
      <c r="B754" s="1" t="s">
        <v>25401</v>
      </c>
      <c r="C754" s="1" t="s">
        <v>25402</v>
      </c>
      <c r="D754" s="1" t="s">
        <v>25403</v>
      </c>
      <c r="E754" s="1" t="s">
        <v>25404</v>
      </c>
      <c r="F754" s="1" t="s">
        <v>25405</v>
      </c>
      <c r="G754" s="1" t="s">
        <v>25406</v>
      </c>
      <c r="H754" s="1">
        <v>60</v>
      </c>
      <c r="I754" s="1" t="s">
        <v>14572</v>
      </c>
      <c r="J754" s="1" t="s">
        <v>14198</v>
      </c>
      <c r="K754" s="4" t="s">
        <v>25407</v>
      </c>
      <c r="L754" s="1" t="s">
        <v>25408</v>
      </c>
      <c r="M754" s="1" t="s">
        <v>25409</v>
      </c>
      <c r="N754" s="3" t="s">
        <v>25410</v>
      </c>
    </row>
    <row r="755" spans="1:14" ht="409.6">
      <c r="A755" s="1" t="s">
        <v>25411</v>
      </c>
      <c r="B755" s="1" t="s">
        <v>25412</v>
      </c>
      <c r="C755" s="1" t="s">
        <v>25413</v>
      </c>
      <c r="D755" s="1" t="s">
        <v>25414</v>
      </c>
      <c r="E755" s="1" t="s">
        <v>25415</v>
      </c>
      <c r="F755" s="1" t="s">
        <v>25416</v>
      </c>
      <c r="G755" s="1" t="s">
        <v>25417</v>
      </c>
      <c r="H755" s="1">
        <v>330</v>
      </c>
      <c r="I755" s="1" t="s">
        <v>8417</v>
      </c>
      <c r="J755" s="1" t="s">
        <v>14198</v>
      </c>
      <c r="K755" s="4" t="s">
        <v>25418</v>
      </c>
      <c r="L755" s="1" t="s">
        <v>25419</v>
      </c>
      <c r="M755" s="1" t="s">
        <v>25420</v>
      </c>
      <c r="N755" s="3" t="s">
        <v>25421</v>
      </c>
    </row>
    <row r="756" spans="1:14" ht="13.8">
      <c r="A756" s="1" t="s">
        <v>25422</v>
      </c>
      <c r="B756" s="1" t="s">
        <v>25423</v>
      </c>
      <c r="C756" s="1" t="s">
        <v>25424</v>
      </c>
      <c r="D756" s="1" t="s">
        <v>25425</v>
      </c>
      <c r="E756" s="1" t="s">
        <v>25426</v>
      </c>
      <c r="F756" s="1" t="s">
        <v>25427</v>
      </c>
      <c r="G756" s="1" t="s">
        <v>25428</v>
      </c>
      <c r="H756" s="1">
        <v>75</v>
      </c>
      <c r="I756" s="1" t="s">
        <v>15208</v>
      </c>
      <c r="J756" s="1" t="s">
        <v>14198</v>
      </c>
      <c r="K756" s="1" t="s">
        <v>25429</v>
      </c>
      <c r="L756" s="1" t="s">
        <v>25430</v>
      </c>
      <c r="M756" s="1" t="s">
        <v>25431</v>
      </c>
      <c r="N756" s="3" t="s">
        <v>25432</v>
      </c>
    </row>
    <row r="757" spans="1:14" ht="13.8">
      <c r="A757" s="1" t="s">
        <v>19891</v>
      </c>
      <c r="B757" s="1" t="s">
        <v>25433</v>
      </c>
      <c r="C757" s="1" t="s">
        <v>25434</v>
      </c>
      <c r="D757" s="1" t="s">
        <v>25435</v>
      </c>
      <c r="E757" s="1" t="s">
        <v>25436</v>
      </c>
      <c r="F757" s="1" t="s">
        <v>25437</v>
      </c>
      <c r="G757" s="1" t="s">
        <v>25438</v>
      </c>
      <c r="H757" s="1">
        <v>55</v>
      </c>
      <c r="I757" s="1" t="s">
        <v>14572</v>
      </c>
      <c r="J757" s="1" t="s">
        <v>14198</v>
      </c>
      <c r="K757" s="1" t="s">
        <v>25439</v>
      </c>
      <c r="L757" s="1" t="s">
        <v>25440</v>
      </c>
      <c r="M757" s="1" t="s">
        <v>25441</v>
      </c>
      <c r="N757" s="3" t="s">
        <v>25442</v>
      </c>
    </row>
    <row r="758" spans="1:14" ht="13.8">
      <c r="A758" s="1" t="s">
        <v>25443</v>
      </c>
      <c r="B758" s="1" t="s">
        <v>25444</v>
      </c>
      <c r="C758" s="1" t="s">
        <v>25445</v>
      </c>
      <c r="D758" s="1" t="s">
        <v>25446</v>
      </c>
      <c r="E758" s="1" t="s">
        <v>25447</v>
      </c>
      <c r="F758" s="1" t="s">
        <v>25448</v>
      </c>
      <c r="G758" s="1" t="s">
        <v>25449</v>
      </c>
      <c r="H758" s="1">
        <v>35</v>
      </c>
      <c r="I758" s="1" t="s">
        <v>14281</v>
      </c>
      <c r="J758" s="1" t="s">
        <v>14198</v>
      </c>
      <c r="K758" s="1" t="s">
        <v>25450</v>
      </c>
      <c r="L758" s="1" t="s">
        <v>25451</v>
      </c>
      <c r="M758" s="1" t="s">
        <v>25452</v>
      </c>
      <c r="N758" s="3" t="s">
        <v>25453</v>
      </c>
    </row>
    <row r="759" spans="1:14" ht="409.6">
      <c r="A759" s="1" t="s">
        <v>25454</v>
      </c>
      <c r="B759" s="1" t="s">
        <v>25455</v>
      </c>
      <c r="C759" s="1" t="s">
        <v>25456</v>
      </c>
      <c r="D759" s="1" t="s">
        <v>25457</v>
      </c>
      <c r="E759" s="1" t="s">
        <v>25458</v>
      </c>
      <c r="F759" s="1" t="s">
        <v>25459</v>
      </c>
      <c r="G759" s="1" t="s">
        <v>25460</v>
      </c>
      <c r="H759" s="1">
        <v>210</v>
      </c>
      <c r="I759" s="1" t="s">
        <v>8417</v>
      </c>
      <c r="J759" s="1" t="s">
        <v>14198</v>
      </c>
      <c r="K759" s="4" t="s">
        <v>25461</v>
      </c>
      <c r="L759" s="1" t="s">
        <v>25462</v>
      </c>
      <c r="M759" s="1" t="s">
        <v>25463</v>
      </c>
      <c r="N759" s="3" t="s">
        <v>25464</v>
      </c>
    </row>
    <row r="760" spans="1:14" ht="409.6">
      <c r="A760" s="1" t="s">
        <v>25465</v>
      </c>
      <c r="B760" s="1" t="s">
        <v>25466</v>
      </c>
      <c r="C760" s="1" t="s">
        <v>25467</v>
      </c>
      <c r="D760" s="1" t="s">
        <v>25468</v>
      </c>
      <c r="E760" s="1" t="s">
        <v>25469</v>
      </c>
      <c r="F760" s="1" t="s">
        <v>25470</v>
      </c>
      <c r="G760" s="1" t="s">
        <v>25471</v>
      </c>
      <c r="H760" s="1">
        <v>60</v>
      </c>
      <c r="I760" s="1" t="s">
        <v>17252</v>
      </c>
      <c r="J760" s="1" t="s">
        <v>15314</v>
      </c>
      <c r="K760" s="1" t="s">
        <v>25472</v>
      </c>
      <c r="L760" s="4" t="s">
        <v>25473</v>
      </c>
      <c r="M760" s="1" t="s">
        <v>25474</v>
      </c>
      <c r="N760" s="3" t="s">
        <v>25475</v>
      </c>
    </row>
    <row r="761" spans="1:14" ht="13.8">
      <c r="A761" s="1" t="s">
        <v>25476</v>
      </c>
      <c r="B761" s="1" t="s">
        <v>25477</v>
      </c>
      <c r="C761" s="1" t="s">
        <v>25478</v>
      </c>
      <c r="D761" s="1" t="s">
        <v>25479</v>
      </c>
      <c r="E761" s="1" t="s">
        <v>25480</v>
      </c>
      <c r="F761" s="1" t="s">
        <v>25481</v>
      </c>
      <c r="G761" s="1" t="s">
        <v>25482</v>
      </c>
      <c r="H761" s="1">
        <v>10</v>
      </c>
      <c r="I761" s="1" t="s">
        <v>14572</v>
      </c>
      <c r="J761" s="1" t="s">
        <v>14198</v>
      </c>
      <c r="K761" s="1" t="s">
        <v>25483</v>
      </c>
      <c r="L761" s="1" t="s">
        <v>25484</v>
      </c>
      <c r="M761" s="1" t="s">
        <v>25485</v>
      </c>
      <c r="N761" s="3" t="s">
        <v>25486</v>
      </c>
    </row>
    <row r="762" spans="1:14" ht="13.8">
      <c r="A762" s="1" t="s">
        <v>25487</v>
      </c>
      <c r="B762" s="1" t="s">
        <v>25488</v>
      </c>
      <c r="C762" s="1" t="s">
        <v>25489</v>
      </c>
      <c r="D762" s="1" t="s">
        <v>25490</v>
      </c>
      <c r="E762" s="1" t="s">
        <v>25491</v>
      </c>
      <c r="F762" s="1" t="s">
        <v>25492</v>
      </c>
      <c r="G762" s="1" t="s">
        <v>25493</v>
      </c>
      <c r="H762" s="1">
        <v>25</v>
      </c>
      <c r="I762" s="1" t="s">
        <v>14207</v>
      </c>
      <c r="J762" s="1" t="s">
        <v>14198</v>
      </c>
      <c r="K762" s="1" t="s">
        <v>25494</v>
      </c>
      <c r="L762" s="1" t="s">
        <v>25495</v>
      </c>
      <c r="M762" s="1" t="s">
        <v>25496</v>
      </c>
      <c r="N762" s="3" t="s">
        <v>25497</v>
      </c>
    </row>
    <row r="763" spans="1:14" ht="13.8">
      <c r="A763" s="1" t="s">
        <v>20615</v>
      </c>
      <c r="B763" s="1" t="s">
        <v>25498</v>
      </c>
      <c r="C763" s="1" t="s">
        <v>25499</v>
      </c>
      <c r="D763" s="1" t="s">
        <v>25500</v>
      </c>
      <c r="E763" s="1" t="s">
        <v>25501</v>
      </c>
      <c r="F763" s="1" t="s">
        <v>25502</v>
      </c>
      <c r="G763" s="1" t="s">
        <v>25503</v>
      </c>
      <c r="H763" s="1">
        <v>50</v>
      </c>
      <c r="I763" s="1" t="s">
        <v>14572</v>
      </c>
      <c r="J763" s="1" t="s">
        <v>14198</v>
      </c>
      <c r="K763" s="1" t="s">
        <v>25504</v>
      </c>
      <c r="L763" s="1" t="s">
        <v>25505</v>
      </c>
      <c r="M763" s="1" t="s">
        <v>25506</v>
      </c>
      <c r="N763" s="3" t="s">
        <v>25507</v>
      </c>
    </row>
    <row r="764" spans="1:14" ht="13.8">
      <c r="A764" s="1" t="s">
        <v>25508</v>
      </c>
      <c r="B764" s="1" t="s">
        <v>25509</v>
      </c>
      <c r="C764" s="1" t="s">
        <v>25510</v>
      </c>
      <c r="D764" s="1" t="s">
        <v>25511</v>
      </c>
      <c r="E764" s="1" t="s">
        <v>25512</v>
      </c>
      <c r="F764" s="1" t="s">
        <v>25513</v>
      </c>
      <c r="G764" s="1" t="s">
        <v>25514</v>
      </c>
      <c r="H764" s="1">
        <v>30</v>
      </c>
      <c r="I764" s="1" t="s">
        <v>14207</v>
      </c>
      <c r="J764" s="1" t="s">
        <v>14198</v>
      </c>
      <c r="K764" s="1" t="s">
        <v>25515</v>
      </c>
      <c r="L764" s="1" t="s">
        <v>25516</v>
      </c>
      <c r="M764" s="1" t="s">
        <v>25517</v>
      </c>
      <c r="N764" s="3" t="s">
        <v>25518</v>
      </c>
    </row>
    <row r="765" spans="1:14" ht="13.8">
      <c r="A765" s="1" t="s">
        <v>25519</v>
      </c>
      <c r="B765" s="1" t="s">
        <v>25520</v>
      </c>
      <c r="C765" s="1" t="s">
        <v>25521</v>
      </c>
      <c r="D765" s="1" t="s">
        <v>25522</v>
      </c>
      <c r="E765" s="1" t="s">
        <v>25523</v>
      </c>
      <c r="F765" s="1" t="s">
        <v>25524</v>
      </c>
      <c r="G765" s="1" t="s">
        <v>25525</v>
      </c>
      <c r="H765" s="1">
        <v>40</v>
      </c>
      <c r="I765" s="1" t="s">
        <v>14259</v>
      </c>
      <c r="J765" s="1" t="s">
        <v>14198</v>
      </c>
      <c r="K765" s="1" t="s">
        <v>25526</v>
      </c>
      <c r="L765" s="1" t="s">
        <v>25527</v>
      </c>
      <c r="M765" s="1" t="s">
        <v>25528</v>
      </c>
      <c r="N765" s="3" t="s">
        <v>25529</v>
      </c>
    </row>
    <row r="766" spans="1:14" ht="13.8">
      <c r="A766" s="1" t="s">
        <v>25530</v>
      </c>
      <c r="B766" s="1" t="s">
        <v>25531</v>
      </c>
      <c r="C766" s="1" t="s">
        <v>25532</v>
      </c>
      <c r="D766" s="1" t="s">
        <v>25533</v>
      </c>
      <c r="E766" s="1" t="s">
        <v>25534</v>
      </c>
      <c r="F766" s="1" t="s">
        <v>25535</v>
      </c>
      <c r="G766" s="1" t="s">
        <v>25536</v>
      </c>
      <c r="H766" s="1">
        <v>40</v>
      </c>
      <c r="I766" s="1" t="s">
        <v>17252</v>
      </c>
      <c r="J766" s="1" t="s">
        <v>15314</v>
      </c>
      <c r="K766" s="1" t="s">
        <v>25537</v>
      </c>
      <c r="L766" s="1" t="s">
        <v>25538</v>
      </c>
      <c r="M766" s="1" t="s">
        <v>25539</v>
      </c>
      <c r="N766" s="3" t="s">
        <v>25540</v>
      </c>
    </row>
    <row r="767" spans="1:14" ht="409.6">
      <c r="A767" s="1" t="s">
        <v>25541</v>
      </c>
      <c r="B767" s="1" t="s">
        <v>25542</v>
      </c>
      <c r="C767" s="1" t="s">
        <v>25543</v>
      </c>
      <c r="D767" s="1" t="s">
        <v>25544</v>
      </c>
      <c r="E767" s="1" t="s">
        <v>25545</v>
      </c>
      <c r="F767" s="1" t="s">
        <v>25546</v>
      </c>
      <c r="G767" s="1" t="s">
        <v>25547</v>
      </c>
      <c r="H767" s="1">
        <v>20</v>
      </c>
      <c r="I767" s="1" t="s">
        <v>14281</v>
      </c>
      <c r="J767" s="1" t="s">
        <v>14198</v>
      </c>
      <c r="K767" s="4" t="s">
        <v>25548</v>
      </c>
      <c r="L767" s="1" t="s">
        <v>25549</v>
      </c>
      <c r="M767" s="1" t="s">
        <v>25550</v>
      </c>
      <c r="N767" s="3" t="s">
        <v>25551</v>
      </c>
    </row>
    <row r="768" spans="1:14" ht="409.6">
      <c r="A768" s="1" t="s">
        <v>25552</v>
      </c>
      <c r="B768" s="1" t="s">
        <v>25553</v>
      </c>
      <c r="C768" s="1" t="s">
        <v>25554</v>
      </c>
      <c r="D768" s="1" t="s">
        <v>25555</v>
      </c>
      <c r="E768" s="1" t="s">
        <v>25556</v>
      </c>
      <c r="F768" s="1" t="s">
        <v>25557</v>
      </c>
      <c r="G768" s="1" t="s">
        <v>25558</v>
      </c>
      <c r="H768" s="1">
        <v>55</v>
      </c>
      <c r="I768" s="1" t="s">
        <v>17252</v>
      </c>
      <c r="J768" s="1" t="s">
        <v>14198</v>
      </c>
      <c r="K768" s="4" t="s">
        <v>25559</v>
      </c>
      <c r="L768" s="1" t="s">
        <v>25560</v>
      </c>
      <c r="M768" s="1" t="s">
        <v>25561</v>
      </c>
      <c r="N768" s="3" t="s">
        <v>25562</v>
      </c>
    </row>
    <row r="769" spans="1:14" ht="13.8">
      <c r="A769" s="1" t="s">
        <v>25563</v>
      </c>
      <c r="B769" s="1" t="s">
        <v>25564</v>
      </c>
      <c r="C769" s="1" t="s">
        <v>25565</v>
      </c>
      <c r="D769" s="1" t="s">
        <v>25566</v>
      </c>
      <c r="E769" s="1" t="s">
        <v>25567</v>
      </c>
      <c r="F769" s="1" t="s">
        <v>25568</v>
      </c>
      <c r="G769" s="1" t="s">
        <v>25569</v>
      </c>
      <c r="H769" s="1">
        <v>25</v>
      </c>
      <c r="I769" s="1" t="s">
        <v>17252</v>
      </c>
      <c r="J769" s="1" t="s">
        <v>14198</v>
      </c>
      <c r="K769" s="1" t="s">
        <v>25570</v>
      </c>
      <c r="L769" s="1" t="s">
        <v>25571</v>
      </c>
      <c r="M769" s="1" t="s">
        <v>25572</v>
      </c>
      <c r="N769" s="3" t="s">
        <v>25573</v>
      </c>
    </row>
    <row r="770" spans="1:14" ht="409.6">
      <c r="A770" s="1" t="s">
        <v>25574</v>
      </c>
      <c r="B770" s="1" t="s">
        <v>25575</v>
      </c>
      <c r="C770" s="1" t="s">
        <v>25576</v>
      </c>
      <c r="D770" s="1" t="s">
        <v>25577</v>
      </c>
      <c r="E770" s="1" t="s">
        <v>25578</v>
      </c>
      <c r="F770" s="1" t="s">
        <v>25579</v>
      </c>
      <c r="G770" s="1" t="s">
        <v>25580</v>
      </c>
      <c r="H770" s="1">
        <v>105</v>
      </c>
      <c r="I770" s="1" t="s">
        <v>14572</v>
      </c>
      <c r="J770" s="1" t="s">
        <v>17937</v>
      </c>
      <c r="K770" s="4" t="s">
        <v>25581</v>
      </c>
      <c r="L770" s="1" t="s">
        <v>25582</v>
      </c>
      <c r="M770" s="1" t="s">
        <v>25583</v>
      </c>
      <c r="N770" s="3" t="s">
        <v>25584</v>
      </c>
    </row>
    <row r="771" spans="1:14" ht="13.8">
      <c r="A771" s="1" t="s">
        <v>25585</v>
      </c>
      <c r="B771" s="1" t="s">
        <v>25586</v>
      </c>
      <c r="C771" s="1" t="s">
        <v>25587</v>
      </c>
      <c r="D771" s="1" t="s">
        <v>25588</v>
      </c>
      <c r="E771" s="1" t="s">
        <v>25589</v>
      </c>
      <c r="F771" s="1" t="s">
        <v>25590</v>
      </c>
      <c r="G771" s="1" t="s">
        <v>25591</v>
      </c>
      <c r="H771" s="1">
        <v>25</v>
      </c>
      <c r="I771" s="1" t="s">
        <v>17252</v>
      </c>
      <c r="J771" s="1" t="s">
        <v>15314</v>
      </c>
      <c r="K771" s="1" t="s">
        <v>25592</v>
      </c>
      <c r="L771" s="1" t="s">
        <v>25593</v>
      </c>
      <c r="M771" s="1" t="s">
        <v>25594</v>
      </c>
      <c r="N771" s="3" t="s">
        <v>25595</v>
      </c>
    </row>
    <row r="772" spans="1:14" ht="13.8">
      <c r="A772" s="1" t="s">
        <v>25596</v>
      </c>
      <c r="B772" s="1" t="s">
        <v>25597</v>
      </c>
      <c r="C772" s="1" t="s">
        <v>25598</v>
      </c>
      <c r="D772" s="1" t="s">
        <v>25599</v>
      </c>
      <c r="E772" s="1" t="s">
        <v>25600</v>
      </c>
      <c r="F772" s="1" t="s">
        <v>25601</v>
      </c>
      <c r="G772" s="1" t="s">
        <v>25602</v>
      </c>
      <c r="H772" s="1">
        <v>105</v>
      </c>
      <c r="I772" s="1" t="s">
        <v>14281</v>
      </c>
      <c r="J772" s="1" t="s">
        <v>14198</v>
      </c>
      <c r="K772" s="1" t="s">
        <v>25603</v>
      </c>
      <c r="L772" s="1" t="s">
        <v>25604</v>
      </c>
      <c r="M772" s="1" t="s">
        <v>25605</v>
      </c>
      <c r="N772" s="3" t="s">
        <v>25606</v>
      </c>
    </row>
    <row r="773" spans="1:14" ht="409.6">
      <c r="A773" s="1" t="s">
        <v>25607</v>
      </c>
      <c r="B773" s="1" t="s">
        <v>25608</v>
      </c>
      <c r="C773" s="1" t="s">
        <v>25609</v>
      </c>
      <c r="D773" s="1" t="s">
        <v>25610</v>
      </c>
      <c r="E773" s="1" t="s">
        <v>25611</v>
      </c>
      <c r="F773" s="1" t="s">
        <v>25612</v>
      </c>
      <c r="G773" s="1" t="s">
        <v>25613</v>
      </c>
      <c r="H773" s="1">
        <v>40</v>
      </c>
      <c r="I773" s="1" t="s">
        <v>14281</v>
      </c>
      <c r="J773" s="1" t="s">
        <v>14198</v>
      </c>
      <c r="K773" s="4" t="s">
        <v>25614</v>
      </c>
      <c r="L773" s="1" t="s">
        <v>25615</v>
      </c>
      <c r="M773" s="1" t="s">
        <v>25616</v>
      </c>
      <c r="N773" s="3" t="s">
        <v>25617</v>
      </c>
    </row>
    <row r="774" spans="1:14" ht="13.8">
      <c r="A774" s="1" t="s">
        <v>25618</v>
      </c>
      <c r="B774" s="1" t="s">
        <v>25619</v>
      </c>
      <c r="C774" s="1" t="s">
        <v>25620</v>
      </c>
      <c r="D774" s="1" t="s">
        <v>25621</v>
      </c>
      <c r="E774" s="1" t="s">
        <v>25622</v>
      </c>
      <c r="F774" s="1" t="s">
        <v>25623</v>
      </c>
      <c r="G774" s="1" t="s">
        <v>25624</v>
      </c>
      <c r="H774" s="1">
        <v>55</v>
      </c>
      <c r="I774" s="1" t="s">
        <v>14572</v>
      </c>
      <c r="J774" s="1" t="s">
        <v>14198</v>
      </c>
      <c r="K774" s="1" t="s">
        <v>25625</v>
      </c>
      <c r="L774" s="1" t="s">
        <v>25626</v>
      </c>
      <c r="M774" s="1" t="s">
        <v>25627</v>
      </c>
      <c r="N774" s="3" t="s">
        <v>25628</v>
      </c>
    </row>
    <row r="775" spans="1:14" ht="409.6">
      <c r="A775" s="1" t="s">
        <v>25629</v>
      </c>
      <c r="B775" s="1" t="s">
        <v>25630</v>
      </c>
      <c r="C775" s="1" t="s">
        <v>25631</v>
      </c>
      <c r="D775" s="1" t="s">
        <v>25632</v>
      </c>
      <c r="E775" s="1" t="s">
        <v>25633</v>
      </c>
      <c r="F775" s="1" t="s">
        <v>25634</v>
      </c>
      <c r="G775" s="1" t="s">
        <v>25635</v>
      </c>
      <c r="H775" s="1">
        <v>35</v>
      </c>
      <c r="I775" s="1" t="s">
        <v>17252</v>
      </c>
      <c r="J775" s="1" t="s">
        <v>14198</v>
      </c>
      <c r="K775" s="4" t="s">
        <v>25636</v>
      </c>
      <c r="L775" s="1" t="s">
        <v>25637</v>
      </c>
      <c r="M775" s="1" t="s">
        <v>25638</v>
      </c>
      <c r="N775" s="3" t="s">
        <v>25639</v>
      </c>
    </row>
    <row r="776" spans="1:14" ht="409.6">
      <c r="A776" s="1" t="s">
        <v>25640</v>
      </c>
      <c r="B776" s="1" t="s">
        <v>25641</v>
      </c>
      <c r="C776" s="1" t="s">
        <v>25642</v>
      </c>
      <c r="D776" s="1" t="s">
        <v>25643</v>
      </c>
      <c r="E776" s="1" t="s">
        <v>25644</v>
      </c>
      <c r="F776" s="1" t="s">
        <v>25645</v>
      </c>
      <c r="G776" s="1" t="s">
        <v>25646</v>
      </c>
      <c r="H776" s="1">
        <v>20</v>
      </c>
      <c r="I776" s="1" t="s">
        <v>17252</v>
      </c>
      <c r="J776" s="1" t="s">
        <v>14198</v>
      </c>
      <c r="K776" s="4" t="s">
        <v>25647</v>
      </c>
      <c r="L776" s="1" t="s">
        <v>25648</v>
      </c>
      <c r="M776" s="1" t="s">
        <v>25649</v>
      </c>
      <c r="N776" s="3" t="s">
        <v>25650</v>
      </c>
    </row>
    <row r="777" spans="1:14" ht="409.6">
      <c r="A777" s="1" t="s">
        <v>25651</v>
      </c>
      <c r="B777" s="1" t="s">
        <v>25652</v>
      </c>
      <c r="C777" s="1" t="s">
        <v>25653</v>
      </c>
      <c r="D777" s="1" t="s">
        <v>25654</v>
      </c>
      <c r="E777" s="1" t="s">
        <v>25655</v>
      </c>
      <c r="F777" s="1" t="s">
        <v>25656</v>
      </c>
      <c r="G777" s="1" t="s">
        <v>25657</v>
      </c>
      <c r="H777" s="1">
        <v>25</v>
      </c>
      <c r="I777" s="1" t="s">
        <v>17252</v>
      </c>
      <c r="J777" s="1" t="s">
        <v>15314</v>
      </c>
      <c r="K777" s="4" t="s">
        <v>25658</v>
      </c>
      <c r="L777" s="1" t="s">
        <v>25659</v>
      </c>
      <c r="M777" s="1" t="s">
        <v>25660</v>
      </c>
      <c r="N777" s="3" t="s">
        <v>25661</v>
      </c>
    </row>
    <row r="778" spans="1:14" ht="409.6">
      <c r="A778" s="1" t="s">
        <v>25662</v>
      </c>
      <c r="B778" s="1" t="s">
        <v>25663</v>
      </c>
      <c r="C778" s="1" t="s">
        <v>25664</v>
      </c>
      <c r="D778" s="1" t="s">
        <v>25665</v>
      </c>
      <c r="E778" s="1" t="s">
        <v>25666</v>
      </c>
      <c r="F778" s="1" t="s">
        <v>25667</v>
      </c>
      <c r="G778" s="1" t="s">
        <v>25668</v>
      </c>
      <c r="H778" s="1">
        <v>10</v>
      </c>
      <c r="I778" s="1" t="s">
        <v>14572</v>
      </c>
      <c r="J778" s="1" t="s">
        <v>14198</v>
      </c>
      <c r="K778" s="4" t="s">
        <v>25669</v>
      </c>
      <c r="L778" s="1" t="s">
        <v>25670</v>
      </c>
      <c r="M778" s="1" t="s">
        <v>25671</v>
      </c>
      <c r="N778" s="3" t="s">
        <v>25672</v>
      </c>
    </row>
    <row r="779" spans="1:14" ht="409.6">
      <c r="A779" s="1" t="s">
        <v>25673</v>
      </c>
      <c r="B779" s="1" t="s">
        <v>25674</v>
      </c>
      <c r="C779" s="1" t="s">
        <v>25675</v>
      </c>
      <c r="D779" s="1" t="s">
        <v>25676</v>
      </c>
      <c r="E779" s="1" t="s">
        <v>25677</v>
      </c>
      <c r="F779" s="1" t="s">
        <v>25678</v>
      </c>
      <c r="G779" s="1" t="s">
        <v>25679</v>
      </c>
      <c r="H779" s="1">
        <v>45</v>
      </c>
      <c r="I779" s="1" t="s">
        <v>14572</v>
      </c>
      <c r="J779" s="1" t="s">
        <v>14198</v>
      </c>
      <c r="K779" s="4" t="s">
        <v>25680</v>
      </c>
      <c r="L779" s="1" t="s">
        <v>25681</v>
      </c>
      <c r="M779" s="1" t="s">
        <v>25682</v>
      </c>
      <c r="N779" s="3" t="s">
        <v>25683</v>
      </c>
    </row>
    <row r="780" spans="1:14" ht="13.8">
      <c r="A780" s="1" t="s">
        <v>25684</v>
      </c>
      <c r="B780" s="1" t="s">
        <v>25685</v>
      </c>
      <c r="C780" s="1" t="s">
        <v>25686</v>
      </c>
      <c r="D780" s="1" t="s">
        <v>25687</v>
      </c>
      <c r="E780" s="1" t="s">
        <v>25688</v>
      </c>
      <c r="F780" s="1" t="s">
        <v>25689</v>
      </c>
      <c r="G780" s="1" t="s">
        <v>25690</v>
      </c>
      <c r="H780" s="1">
        <v>60</v>
      </c>
      <c r="I780" s="1" t="s">
        <v>8417</v>
      </c>
      <c r="J780" s="1" t="s">
        <v>14198</v>
      </c>
      <c r="K780" s="1" t="s">
        <v>25691</v>
      </c>
      <c r="L780" s="1" t="s">
        <v>25692</v>
      </c>
      <c r="M780" s="1" t="s">
        <v>25693</v>
      </c>
      <c r="N780" s="3" t="s">
        <v>25694</v>
      </c>
    </row>
    <row r="781" spans="1:14" ht="13.8">
      <c r="A781" s="1" t="s">
        <v>25695</v>
      </c>
      <c r="B781" s="1" t="s">
        <v>25696</v>
      </c>
      <c r="C781" s="1" t="s">
        <v>25697</v>
      </c>
      <c r="D781" s="1" t="s">
        <v>25698</v>
      </c>
      <c r="E781" s="1" t="s">
        <v>25699</v>
      </c>
      <c r="F781" s="1" t="s">
        <v>25700</v>
      </c>
      <c r="G781" s="1" t="s">
        <v>25701</v>
      </c>
      <c r="H781" s="1">
        <v>55</v>
      </c>
      <c r="I781" s="1" t="s">
        <v>14259</v>
      </c>
      <c r="J781" s="1" t="s">
        <v>15314</v>
      </c>
      <c r="K781" s="1" t="s">
        <v>25702</v>
      </c>
      <c r="L781" s="1" t="s">
        <v>25703</v>
      </c>
      <c r="M781" s="1" t="s">
        <v>25704</v>
      </c>
      <c r="N781" s="3" t="s">
        <v>25705</v>
      </c>
    </row>
    <row r="782" spans="1:14" ht="409.6">
      <c r="A782" s="1" t="s">
        <v>25706</v>
      </c>
      <c r="B782" s="1" t="s">
        <v>25707</v>
      </c>
      <c r="C782" s="1" t="s">
        <v>25708</v>
      </c>
      <c r="D782" s="1" t="s">
        <v>25709</v>
      </c>
      <c r="E782" s="1" t="s">
        <v>25710</v>
      </c>
      <c r="F782" s="1" t="s">
        <v>25711</v>
      </c>
      <c r="G782" s="1" t="s">
        <v>25712</v>
      </c>
      <c r="H782" s="1">
        <v>65</v>
      </c>
      <c r="I782" s="1" t="s">
        <v>8417</v>
      </c>
      <c r="J782" s="1" t="s">
        <v>14382</v>
      </c>
      <c r="K782" s="4" t="s">
        <v>25713</v>
      </c>
      <c r="L782" s="1" t="s">
        <v>25714</v>
      </c>
      <c r="M782" s="1" t="s">
        <v>25715</v>
      </c>
      <c r="N782" s="3" t="s">
        <v>25716</v>
      </c>
    </row>
    <row r="783" spans="1:14" ht="13.8">
      <c r="A783" s="1" t="s">
        <v>25717</v>
      </c>
      <c r="B783" s="1" t="s">
        <v>25718</v>
      </c>
      <c r="C783" s="1" t="s">
        <v>25719</v>
      </c>
      <c r="D783" s="1" t="s">
        <v>25720</v>
      </c>
      <c r="E783" s="1" t="s">
        <v>25721</v>
      </c>
      <c r="F783" s="1" t="s">
        <v>25722</v>
      </c>
      <c r="G783" s="1" t="s">
        <v>25723</v>
      </c>
      <c r="H783" s="1">
        <v>35</v>
      </c>
      <c r="I783" s="1" t="s">
        <v>8417</v>
      </c>
      <c r="J783" s="1" t="s">
        <v>14198</v>
      </c>
      <c r="K783" s="1" t="s">
        <v>25724</v>
      </c>
      <c r="L783" s="1" t="s">
        <v>25725</v>
      </c>
      <c r="M783" s="1" t="s">
        <v>25726</v>
      </c>
      <c r="N783" s="3" t="s">
        <v>25727</v>
      </c>
    </row>
    <row r="784" spans="1:14" ht="409.6">
      <c r="A784" s="1" t="s">
        <v>25728</v>
      </c>
      <c r="B784" s="1" t="s">
        <v>25729</v>
      </c>
      <c r="C784" s="1" t="s">
        <v>25730</v>
      </c>
      <c r="D784" s="1" t="s">
        <v>25731</v>
      </c>
      <c r="E784" s="1" t="s">
        <v>25732</v>
      </c>
      <c r="F784" s="1" t="s">
        <v>25733</v>
      </c>
      <c r="G784" s="1" t="s">
        <v>25734</v>
      </c>
      <c r="H784" s="1">
        <v>180</v>
      </c>
      <c r="I784" s="1" t="s">
        <v>429</v>
      </c>
      <c r="J784" s="1" t="s">
        <v>14237</v>
      </c>
      <c r="K784" s="4" t="s">
        <v>25735</v>
      </c>
      <c r="L784" s="1" t="s">
        <v>25736</v>
      </c>
      <c r="M784" s="1" t="s">
        <v>25737</v>
      </c>
      <c r="N784" s="3" t="s">
        <v>25738</v>
      </c>
    </row>
    <row r="785" spans="1:14" ht="13.8">
      <c r="A785" s="1" t="s">
        <v>25739</v>
      </c>
      <c r="B785" s="1" t="s">
        <v>25740</v>
      </c>
      <c r="C785" s="1" t="s">
        <v>25741</v>
      </c>
      <c r="D785" s="1" t="s">
        <v>25742</v>
      </c>
      <c r="E785" s="1" t="s">
        <v>25743</v>
      </c>
      <c r="F785" s="1" t="s">
        <v>25744</v>
      </c>
      <c r="G785" s="1" t="s">
        <v>25745</v>
      </c>
      <c r="H785" s="1">
        <v>35</v>
      </c>
      <c r="I785" s="1" t="s">
        <v>17252</v>
      </c>
      <c r="J785" s="1" t="s">
        <v>14198</v>
      </c>
      <c r="K785" s="1" t="s">
        <v>25746</v>
      </c>
      <c r="L785" s="1" t="s">
        <v>25747</v>
      </c>
      <c r="M785" s="1" t="s">
        <v>25748</v>
      </c>
      <c r="N785" s="3" t="s">
        <v>25749</v>
      </c>
    </row>
    <row r="786" spans="1:14" ht="409.6">
      <c r="A786" s="1" t="s">
        <v>25750</v>
      </c>
      <c r="B786" s="1" t="s">
        <v>25751</v>
      </c>
      <c r="C786" s="1" t="s">
        <v>25752</v>
      </c>
      <c r="D786" s="1" t="s">
        <v>25753</v>
      </c>
      <c r="E786" s="1" t="s">
        <v>25754</v>
      </c>
      <c r="F786" s="1" t="s">
        <v>25755</v>
      </c>
      <c r="G786" s="1" t="s">
        <v>25756</v>
      </c>
      <c r="H786" s="1">
        <v>30</v>
      </c>
      <c r="I786" s="1" t="s">
        <v>17252</v>
      </c>
      <c r="J786" s="1" t="s">
        <v>14198</v>
      </c>
      <c r="K786" s="4" t="s">
        <v>25757</v>
      </c>
      <c r="L786" s="1" t="s">
        <v>25758</v>
      </c>
      <c r="M786" s="1" t="s">
        <v>25759</v>
      </c>
      <c r="N786" s="3" t="s">
        <v>25760</v>
      </c>
    </row>
    <row r="787" spans="1:14" ht="409.6">
      <c r="A787" s="1" t="s">
        <v>25761</v>
      </c>
      <c r="B787" s="1" t="s">
        <v>25762</v>
      </c>
      <c r="C787" s="1" t="s">
        <v>25763</v>
      </c>
      <c r="D787" s="1" t="s">
        <v>25764</v>
      </c>
      <c r="E787" s="1" t="s">
        <v>25765</v>
      </c>
      <c r="F787" s="1" t="s">
        <v>25766</v>
      </c>
      <c r="G787" s="1" t="s">
        <v>25767</v>
      </c>
      <c r="H787" s="1">
        <v>40</v>
      </c>
      <c r="I787" s="1" t="s">
        <v>14572</v>
      </c>
      <c r="J787" s="1" t="s">
        <v>14198</v>
      </c>
      <c r="K787" s="1" t="s">
        <v>25768</v>
      </c>
      <c r="L787" s="1" t="s">
        <v>25769</v>
      </c>
      <c r="M787" s="4" t="s">
        <v>25770</v>
      </c>
      <c r="N787" s="3" t="s">
        <v>25771</v>
      </c>
    </row>
    <row r="788" spans="1:14" ht="409.6">
      <c r="A788" s="1" t="s">
        <v>25772</v>
      </c>
      <c r="B788" s="1" t="s">
        <v>25773</v>
      </c>
      <c r="C788" s="1" t="s">
        <v>25774</v>
      </c>
      <c r="D788" s="1" t="s">
        <v>25775</v>
      </c>
      <c r="E788" s="1" t="s">
        <v>25776</v>
      </c>
      <c r="F788" s="1" t="s">
        <v>25777</v>
      </c>
      <c r="G788" s="1" t="s">
        <v>25778</v>
      </c>
      <c r="H788" s="1">
        <v>120</v>
      </c>
      <c r="I788" s="1" t="s">
        <v>14281</v>
      </c>
      <c r="J788" s="1" t="s">
        <v>14198</v>
      </c>
      <c r="K788" s="4" t="s">
        <v>25779</v>
      </c>
      <c r="L788" s="1" t="s">
        <v>25780</v>
      </c>
      <c r="M788" s="1" t="s">
        <v>25781</v>
      </c>
      <c r="N788" s="3" t="s">
        <v>25782</v>
      </c>
    </row>
    <row r="789" spans="1:14" ht="409.6">
      <c r="A789" s="1" t="s">
        <v>25783</v>
      </c>
      <c r="B789" s="1" t="s">
        <v>25784</v>
      </c>
      <c r="C789" s="1" t="s">
        <v>25785</v>
      </c>
      <c r="D789" s="1" t="s">
        <v>25786</v>
      </c>
      <c r="E789" s="1" t="s">
        <v>25787</v>
      </c>
      <c r="F789" s="1" t="s">
        <v>25788</v>
      </c>
      <c r="G789" s="1" t="s">
        <v>25789</v>
      </c>
      <c r="H789" s="1">
        <v>65</v>
      </c>
      <c r="I789" s="1" t="s">
        <v>14572</v>
      </c>
      <c r="J789" s="1" t="s">
        <v>14198</v>
      </c>
      <c r="K789" s="4" t="s">
        <v>25790</v>
      </c>
      <c r="L789" s="1" t="s">
        <v>25791</v>
      </c>
      <c r="M789" s="1" t="s">
        <v>25792</v>
      </c>
      <c r="N789" s="3" t="s">
        <v>25793</v>
      </c>
    </row>
    <row r="790" spans="1:14" ht="13.8">
      <c r="A790" s="1" t="s">
        <v>25794</v>
      </c>
      <c r="B790" s="1" t="s">
        <v>25795</v>
      </c>
      <c r="C790" s="1" t="s">
        <v>25796</v>
      </c>
      <c r="D790" s="1" t="s">
        <v>25797</v>
      </c>
      <c r="E790" s="1" t="s">
        <v>25798</v>
      </c>
      <c r="F790" s="1" t="s">
        <v>25799</v>
      </c>
      <c r="G790" s="1" t="s">
        <v>25800</v>
      </c>
      <c r="H790" s="1">
        <v>75</v>
      </c>
      <c r="I790" s="1" t="s">
        <v>14281</v>
      </c>
      <c r="J790" s="1" t="s">
        <v>14198</v>
      </c>
      <c r="K790" s="1" t="s">
        <v>25801</v>
      </c>
      <c r="L790" s="1" t="s">
        <v>25802</v>
      </c>
      <c r="M790" s="1" t="s">
        <v>25803</v>
      </c>
      <c r="N790" s="3" t="s">
        <v>25804</v>
      </c>
    </row>
    <row r="791" spans="1:14" ht="409.6">
      <c r="A791" s="1" t="s">
        <v>25805</v>
      </c>
      <c r="B791" s="1" t="s">
        <v>25806</v>
      </c>
      <c r="C791" s="1" t="s">
        <v>25807</v>
      </c>
      <c r="D791" s="1" t="s">
        <v>25808</v>
      </c>
      <c r="E791" s="1" t="s">
        <v>25809</v>
      </c>
      <c r="F791" s="1" t="s">
        <v>25810</v>
      </c>
      <c r="G791" s="1" t="s">
        <v>25811</v>
      </c>
      <c r="H791" s="1">
        <v>35</v>
      </c>
      <c r="I791" s="1" t="s">
        <v>145</v>
      </c>
      <c r="J791" s="1" t="s">
        <v>14198</v>
      </c>
      <c r="K791" s="4" t="s">
        <v>25812</v>
      </c>
      <c r="L791" s="1" t="s">
        <v>25813</v>
      </c>
      <c r="M791" s="1" t="s">
        <v>25814</v>
      </c>
      <c r="N791" s="3" t="s">
        <v>25815</v>
      </c>
    </row>
    <row r="792" spans="1:14" ht="409.6">
      <c r="A792" s="1" t="s">
        <v>25816</v>
      </c>
      <c r="B792" s="1" t="s">
        <v>25817</v>
      </c>
      <c r="C792" s="1" t="s">
        <v>25818</v>
      </c>
      <c r="D792" s="1" t="s">
        <v>25819</v>
      </c>
      <c r="E792" s="1" t="s">
        <v>25820</v>
      </c>
      <c r="F792" s="1" t="s">
        <v>25821</v>
      </c>
      <c r="G792" s="1" t="s">
        <v>25822</v>
      </c>
      <c r="H792" s="1">
        <v>30</v>
      </c>
      <c r="I792" s="1" t="s">
        <v>17252</v>
      </c>
      <c r="J792" s="1" t="s">
        <v>14367</v>
      </c>
      <c r="K792" s="4" t="s">
        <v>25823</v>
      </c>
      <c r="L792" s="1" t="s">
        <v>25824</v>
      </c>
      <c r="M792" s="1" t="s">
        <v>25825</v>
      </c>
      <c r="N792" s="3" t="s">
        <v>25826</v>
      </c>
    </row>
    <row r="793" spans="1:14" ht="409.6">
      <c r="A793" s="1" t="s">
        <v>25827</v>
      </c>
      <c r="B793" s="1" t="s">
        <v>25828</v>
      </c>
      <c r="C793" s="1" t="s">
        <v>25829</v>
      </c>
      <c r="D793" s="1" t="s">
        <v>25830</v>
      </c>
      <c r="E793" s="1" t="s">
        <v>25831</v>
      </c>
      <c r="F793" s="1" t="s">
        <v>25832</v>
      </c>
      <c r="G793" s="1" t="s">
        <v>25833</v>
      </c>
      <c r="H793" s="1">
        <v>920</v>
      </c>
      <c r="I793" s="1" t="s">
        <v>8417</v>
      </c>
      <c r="J793" s="1" t="s">
        <v>14198</v>
      </c>
      <c r="K793" s="4" t="s">
        <v>25834</v>
      </c>
      <c r="L793" s="1" t="s">
        <v>25835</v>
      </c>
      <c r="M793" s="1" t="s">
        <v>25836</v>
      </c>
      <c r="N793" s="3" t="s">
        <v>25837</v>
      </c>
    </row>
    <row r="794" spans="1:14" ht="409.6">
      <c r="A794" s="1" t="s">
        <v>25838</v>
      </c>
      <c r="B794" s="1" t="s">
        <v>25839</v>
      </c>
      <c r="C794" s="1" t="s">
        <v>25840</v>
      </c>
      <c r="D794" s="1" t="s">
        <v>25841</v>
      </c>
      <c r="E794" s="1" t="s">
        <v>25842</v>
      </c>
      <c r="F794" s="1" t="s">
        <v>25843</v>
      </c>
      <c r="G794" s="1" t="s">
        <v>25844</v>
      </c>
      <c r="H794" s="1">
        <v>50</v>
      </c>
      <c r="I794" s="1" t="s">
        <v>14207</v>
      </c>
      <c r="J794" s="1" t="s">
        <v>14198</v>
      </c>
      <c r="K794" s="4" t="s">
        <v>25845</v>
      </c>
      <c r="L794" s="1" t="s">
        <v>25846</v>
      </c>
      <c r="M794" s="1" t="s">
        <v>25847</v>
      </c>
      <c r="N794" s="3" t="s">
        <v>25848</v>
      </c>
    </row>
    <row r="795" spans="1:14" ht="409.6">
      <c r="A795" s="1" t="s">
        <v>25849</v>
      </c>
      <c r="B795" s="1" t="s">
        <v>25850</v>
      </c>
      <c r="C795" s="1" t="s">
        <v>25851</v>
      </c>
      <c r="D795" s="1" t="s">
        <v>25852</v>
      </c>
      <c r="E795" s="1" t="s">
        <v>25853</v>
      </c>
      <c r="F795" s="1" t="s">
        <v>25854</v>
      </c>
      <c r="G795" s="1" t="s">
        <v>25855</v>
      </c>
      <c r="H795" s="1">
        <v>130</v>
      </c>
      <c r="I795" s="1" t="s">
        <v>17252</v>
      </c>
      <c r="J795" s="1" t="s">
        <v>14198</v>
      </c>
      <c r="K795" s="4" t="s">
        <v>25856</v>
      </c>
      <c r="L795" s="1" t="s">
        <v>25857</v>
      </c>
      <c r="M795" s="1" t="s">
        <v>25858</v>
      </c>
      <c r="N795" s="3" t="s">
        <v>25859</v>
      </c>
    </row>
    <row r="796" spans="1:14" ht="409.6">
      <c r="A796" s="1" t="s">
        <v>25860</v>
      </c>
      <c r="B796" s="1" t="s">
        <v>25861</v>
      </c>
      <c r="C796" s="1" t="s">
        <v>25862</v>
      </c>
      <c r="D796" s="1" t="s">
        <v>25863</v>
      </c>
      <c r="E796" s="1" t="s">
        <v>25864</v>
      </c>
      <c r="F796" s="1" t="s">
        <v>25865</v>
      </c>
      <c r="G796" s="1" t="s">
        <v>25866</v>
      </c>
      <c r="H796" s="1">
        <v>55</v>
      </c>
      <c r="I796" s="1" t="s">
        <v>8417</v>
      </c>
      <c r="J796" s="1" t="s">
        <v>14198</v>
      </c>
      <c r="K796" s="4" t="s">
        <v>25867</v>
      </c>
      <c r="L796" s="1" t="s">
        <v>25868</v>
      </c>
      <c r="M796" s="1" t="s">
        <v>25869</v>
      </c>
      <c r="N796" s="3" t="s">
        <v>25870</v>
      </c>
    </row>
    <row r="797" spans="1:14" ht="409.6">
      <c r="A797" s="1" t="s">
        <v>25871</v>
      </c>
      <c r="B797" s="1" t="s">
        <v>25872</v>
      </c>
      <c r="C797" s="1" t="s">
        <v>25873</v>
      </c>
      <c r="D797" s="1" t="s">
        <v>25874</v>
      </c>
      <c r="E797" s="1" t="s">
        <v>25875</v>
      </c>
      <c r="F797" s="1" t="s">
        <v>25876</v>
      </c>
      <c r="G797" s="1" t="s">
        <v>25877</v>
      </c>
      <c r="H797" s="1">
        <v>15</v>
      </c>
      <c r="I797" s="1" t="s">
        <v>14259</v>
      </c>
      <c r="J797" s="1" t="s">
        <v>14198</v>
      </c>
      <c r="K797" s="4" t="s">
        <v>25878</v>
      </c>
      <c r="L797" s="1" t="s">
        <v>25879</v>
      </c>
      <c r="M797" s="1" t="s">
        <v>25880</v>
      </c>
      <c r="N797" s="3" t="s">
        <v>25881</v>
      </c>
    </row>
    <row r="798" spans="1:14" ht="409.6">
      <c r="A798" s="1" t="s">
        <v>25882</v>
      </c>
      <c r="B798" s="1" t="s">
        <v>25883</v>
      </c>
      <c r="C798" s="1" t="s">
        <v>25884</v>
      </c>
      <c r="D798" s="1" t="s">
        <v>25885</v>
      </c>
      <c r="E798" s="1" t="s">
        <v>25886</v>
      </c>
      <c r="F798" s="1" t="s">
        <v>25887</v>
      </c>
      <c r="G798" s="1" t="s">
        <v>25888</v>
      </c>
      <c r="H798" s="1">
        <v>25</v>
      </c>
      <c r="I798" s="1" t="s">
        <v>429</v>
      </c>
      <c r="J798" s="1" t="s">
        <v>14198</v>
      </c>
      <c r="K798" s="4" t="s">
        <v>25889</v>
      </c>
      <c r="L798" s="1" t="s">
        <v>25890</v>
      </c>
      <c r="M798" s="1" t="s">
        <v>25891</v>
      </c>
      <c r="N798" s="3" t="s">
        <v>25892</v>
      </c>
    </row>
    <row r="799" spans="1:14" ht="409.6">
      <c r="A799" s="1" t="s">
        <v>25893</v>
      </c>
      <c r="B799" s="1" t="s">
        <v>25894</v>
      </c>
      <c r="C799" s="1" t="s">
        <v>25895</v>
      </c>
      <c r="D799" s="1" t="s">
        <v>25896</v>
      </c>
      <c r="E799" s="1" t="s">
        <v>25897</v>
      </c>
      <c r="F799" s="1" t="s">
        <v>25898</v>
      </c>
      <c r="G799" s="1" t="s">
        <v>25899</v>
      </c>
      <c r="H799" s="1">
        <v>40</v>
      </c>
      <c r="I799" s="1" t="s">
        <v>14572</v>
      </c>
      <c r="J799" s="1" t="s">
        <v>14198</v>
      </c>
      <c r="K799" s="4" t="s">
        <v>25900</v>
      </c>
      <c r="L799" s="1" t="s">
        <v>25901</v>
      </c>
      <c r="M799" s="1" t="s">
        <v>25902</v>
      </c>
      <c r="N799" s="3" t="s">
        <v>25903</v>
      </c>
    </row>
    <row r="800" spans="1:14" ht="13.8">
      <c r="A800" s="1" t="s">
        <v>25904</v>
      </c>
      <c r="B800" s="1" t="s">
        <v>25905</v>
      </c>
      <c r="C800" s="1" t="s">
        <v>25906</v>
      </c>
      <c r="D800" s="1" t="s">
        <v>25907</v>
      </c>
      <c r="E800" s="1" t="s">
        <v>25908</v>
      </c>
      <c r="F800" s="1" t="s">
        <v>25909</v>
      </c>
      <c r="G800" s="1" t="s">
        <v>25910</v>
      </c>
      <c r="H800" s="1">
        <v>10</v>
      </c>
      <c r="I800" s="1" t="s">
        <v>8417</v>
      </c>
      <c r="J800" s="1" t="s">
        <v>14237</v>
      </c>
      <c r="K800" s="1" t="s">
        <v>25911</v>
      </c>
      <c r="L800" s="1" t="s">
        <v>25912</v>
      </c>
      <c r="M800" s="1" t="s">
        <v>25913</v>
      </c>
      <c r="N800" s="3" t="s">
        <v>25914</v>
      </c>
    </row>
    <row r="801" spans="1:14" ht="409.6">
      <c r="A801" s="1" t="s">
        <v>25915</v>
      </c>
      <c r="B801" s="1" t="s">
        <v>25916</v>
      </c>
      <c r="C801" s="1" t="s">
        <v>25917</v>
      </c>
      <c r="D801" s="1" t="s">
        <v>25918</v>
      </c>
      <c r="E801" s="1" t="s">
        <v>25919</v>
      </c>
      <c r="F801" s="1" t="s">
        <v>25920</v>
      </c>
      <c r="G801" s="1" t="s">
        <v>25921</v>
      </c>
      <c r="H801" s="1">
        <v>50</v>
      </c>
      <c r="I801" s="1" t="s">
        <v>14281</v>
      </c>
      <c r="J801" s="1" t="s">
        <v>14198</v>
      </c>
      <c r="K801" s="4" t="s">
        <v>25922</v>
      </c>
      <c r="L801" s="1" t="s">
        <v>25923</v>
      </c>
      <c r="M801" s="1" t="s">
        <v>25924</v>
      </c>
      <c r="N801" s="3" t="s">
        <v>25925</v>
      </c>
    </row>
    <row r="802" spans="1:14" ht="13.8">
      <c r="A802" s="1" t="s">
        <v>25926</v>
      </c>
      <c r="B802" s="1" t="s">
        <v>25927</v>
      </c>
      <c r="C802" s="1" t="s">
        <v>25928</v>
      </c>
      <c r="D802" s="1" t="s">
        <v>25929</v>
      </c>
      <c r="E802" s="1" t="s">
        <v>25930</v>
      </c>
      <c r="F802" s="1" t="s">
        <v>25931</v>
      </c>
      <c r="G802" s="1" t="s">
        <v>25932</v>
      </c>
      <c r="H802" s="1">
        <v>35</v>
      </c>
      <c r="I802" s="1" t="s">
        <v>17252</v>
      </c>
      <c r="J802" s="1" t="s">
        <v>14237</v>
      </c>
      <c r="K802" s="1" t="s">
        <v>25933</v>
      </c>
      <c r="L802" s="1" t="s">
        <v>25934</v>
      </c>
      <c r="M802" s="1" t="s">
        <v>25935</v>
      </c>
      <c r="N802" s="3" t="s">
        <v>25936</v>
      </c>
    </row>
    <row r="803" spans="1:14" ht="409.6">
      <c r="A803" s="1" t="s">
        <v>25937</v>
      </c>
      <c r="B803" s="1" t="s">
        <v>25938</v>
      </c>
      <c r="C803" s="1" t="s">
        <v>25939</v>
      </c>
      <c r="D803" s="1" t="s">
        <v>25940</v>
      </c>
      <c r="E803" s="1" t="s">
        <v>25941</v>
      </c>
      <c r="F803" s="1" t="s">
        <v>25942</v>
      </c>
      <c r="G803" s="1" t="s">
        <v>25943</v>
      </c>
      <c r="H803" s="1">
        <v>7</v>
      </c>
      <c r="I803" s="1" t="s">
        <v>14281</v>
      </c>
      <c r="J803" s="1" t="s">
        <v>14198</v>
      </c>
      <c r="K803" s="4" t="s">
        <v>25944</v>
      </c>
      <c r="L803" s="1" t="s">
        <v>25945</v>
      </c>
      <c r="M803" s="1" t="s">
        <v>25946</v>
      </c>
      <c r="N803" s="3" t="s">
        <v>25947</v>
      </c>
    </row>
    <row r="804" spans="1:14" ht="13.8">
      <c r="A804" s="1" t="s">
        <v>21810</v>
      </c>
      <c r="B804" s="1" t="s">
        <v>25948</v>
      </c>
      <c r="C804" s="1" t="s">
        <v>25949</v>
      </c>
      <c r="D804" s="1" t="s">
        <v>25950</v>
      </c>
      <c r="E804" s="1" t="s">
        <v>25951</v>
      </c>
      <c r="F804" s="1" t="s">
        <v>25952</v>
      </c>
      <c r="G804" s="1" t="s">
        <v>25953</v>
      </c>
      <c r="H804" s="1">
        <v>25</v>
      </c>
      <c r="I804" s="1" t="s">
        <v>14259</v>
      </c>
      <c r="J804" s="1" t="s">
        <v>14237</v>
      </c>
      <c r="K804" s="1" t="s">
        <v>25954</v>
      </c>
      <c r="L804" s="1" t="s">
        <v>25955</v>
      </c>
      <c r="M804" s="1" t="s">
        <v>25956</v>
      </c>
      <c r="N804" s="3" t="s">
        <v>25957</v>
      </c>
    </row>
    <row r="805" spans="1:14" ht="13.8">
      <c r="A805" s="1" t="s">
        <v>25958</v>
      </c>
      <c r="B805" s="1" t="s">
        <v>25959</v>
      </c>
      <c r="C805" s="1" t="s">
        <v>25960</v>
      </c>
      <c r="D805" s="1" t="s">
        <v>25961</v>
      </c>
      <c r="E805" s="1" t="s">
        <v>25962</v>
      </c>
      <c r="F805" s="1" t="s">
        <v>25963</v>
      </c>
      <c r="G805" s="1" t="s">
        <v>25964</v>
      </c>
      <c r="H805" s="1">
        <v>50</v>
      </c>
      <c r="I805" s="1" t="s">
        <v>429</v>
      </c>
      <c r="J805" s="1" t="s">
        <v>14338</v>
      </c>
      <c r="K805" s="1" t="s">
        <v>25965</v>
      </c>
      <c r="L805" s="1" t="s">
        <v>25966</v>
      </c>
      <c r="M805" s="1" t="s">
        <v>25967</v>
      </c>
      <c r="N805" s="3" t="s">
        <v>25968</v>
      </c>
    </row>
    <row r="806" spans="1:14" ht="409.6">
      <c r="A806" s="1" t="s">
        <v>20857</v>
      </c>
      <c r="B806" s="1" t="s">
        <v>25969</v>
      </c>
      <c r="C806" s="1" t="s">
        <v>25970</v>
      </c>
      <c r="D806" s="1" t="s">
        <v>25971</v>
      </c>
      <c r="E806" s="1" t="s">
        <v>25972</v>
      </c>
      <c r="F806" s="1" t="s">
        <v>25973</v>
      </c>
      <c r="G806" s="1" t="s">
        <v>25974</v>
      </c>
      <c r="H806" s="1">
        <v>55</v>
      </c>
      <c r="I806" s="1" t="s">
        <v>14572</v>
      </c>
      <c r="J806" s="1" t="s">
        <v>14382</v>
      </c>
      <c r="K806" s="4" t="s">
        <v>25975</v>
      </c>
      <c r="L806" s="1" t="s">
        <v>25976</v>
      </c>
      <c r="M806" s="1" t="s">
        <v>25977</v>
      </c>
      <c r="N806" s="3" t="s">
        <v>25978</v>
      </c>
    </row>
    <row r="807" spans="1:14" ht="13.8">
      <c r="A807" s="1" t="s">
        <v>25979</v>
      </c>
      <c r="B807" s="1" t="s">
        <v>25980</v>
      </c>
      <c r="C807" s="1" t="s">
        <v>25981</v>
      </c>
      <c r="D807" s="1" t="s">
        <v>25982</v>
      </c>
      <c r="E807" s="1" t="s">
        <v>25983</v>
      </c>
      <c r="F807" s="1" t="s">
        <v>25984</v>
      </c>
      <c r="G807" s="1" t="s">
        <v>25985</v>
      </c>
      <c r="H807" s="1">
        <v>60</v>
      </c>
      <c r="I807" s="1" t="s">
        <v>8417</v>
      </c>
      <c r="J807" s="1" t="s">
        <v>15314</v>
      </c>
      <c r="K807" s="1" t="s">
        <v>25986</v>
      </c>
      <c r="L807" s="1" t="s">
        <v>25987</v>
      </c>
      <c r="M807" s="1" t="s">
        <v>25988</v>
      </c>
      <c r="N807" s="3" t="s">
        <v>25989</v>
      </c>
    </row>
    <row r="808" spans="1:14" ht="409.6">
      <c r="A808" s="1" t="s">
        <v>25990</v>
      </c>
      <c r="B808" s="1" t="s">
        <v>25991</v>
      </c>
      <c r="C808" s="1" t="s">
        <v>25992</v>
      </c>
      <c r="D808" s="1" t="s">
        <v>25993</v>
      </c>
      <c r="E808" s="1" t="s">
        <v>25994</v>
      </c>
      <c r="F808" s="1" t="s">
        <v>25995</v>
      </c>
      <c r="G808" s="1" t="s">
        <v>25996</v>
      </c>
      <c r="H808" s="1">
        <v>15</v>
      </c>
      <c r="I808" s="1" t="s">
        <v>17252</v>
      </c>
      <c r="J808" s="1" t="s">
        <v>14198</v>
      </c>
      <c r="K808" s="4" t="s">
        <v>25997</v>
      </c>
      <c r="L808" s="1" t="s">
        <v>25998</v>
      </c>
      <c r="M808" s="1" t="s">
        <v>25999</v>
      </c>
      <c r="N808" s="3" t="s">
        <v>26000</v>
      </c>
    </row>
    <row r="809" spans="1:14" ht="13.8">
      <c r="A809" s="1" t="s">
        <v>26001</v>
      </c>
      <c r="B809" s="1" t="s">
        <v>26002</v>
      </c>
      <c r="C809" s="1" t="s">
        <v>26003</v>
      </c>
      <c r="D809" s="1" t="s">
        <v>26004</v>
      </c>
      <c r="E809" s="1" t="s">
        <v>26005</v>
      </c>
      <c r="F809" s="1" t="s">
        <v>26006</v>
      </c>
      <c r="G809" s="1" t="s">
        <v>26007</v>
      </c>
      <c r="H809" s="1">
        <v>20</v>
      </c>
      <c r="I809" s="1" t="s">
        <v>14281</v>
      </c>
      <c r="J809" s="1" t="s">
        <v>14198</v>
      </c>
      <c r="K809" s="1" t="s">
        <v>26008</v>
      </c>
      <c r="L809" s="1" t="s">
        <v>26009</v>
      </c>
      <c r="M809" s="1" t="s">
        <v>26010</v>
      </c>
      <c r="N809" s="3" t="s">
        <v>26011</v>
      </c>
    </row>
    <row r="810" spans="1:14" ht="409.6">
      <c r="A810" s="1" t="s">
        <v>26012</v>
      </c>
      <c r="B810" s="1" t="s">
        <v>26013</v>
      </c>
      <c r="C810" s="1" t="s">
        <v>26014</v>
      </c>
      <c r="D810" s="1" t="s">
        <v>26015</v>
      </c>
      <c r="E810" s="1" t="s">
        <v>26016</v>
      </c>
      <c r="F810" s="1" t="s">
        <v>26017</v>
      </c>
      <c r="G810" s="1" t="s">
        <v>26018</v>
      </c>
      <c r="H810" s="1">
        <v>25</v>
      </c>
      <c r="I810" s="1" t="s">
        <v>14207</v>
      </c>
      <c r="J810" s="1" t="s">
        <v>14198</v>
      </c>
      <c r="K810" s="4" t="s">
        <v>26019</v>
      </c>
      <c r="L810" s="1" t="s">
        <v>26020</v>
      </c>
      <c r="M810" s="1" t="s">
        <v>26021</v>
      </c>
      <c r="N810" s="3" t="s">
        <v>26022</v>
      </c>
    </row>
    <row r="811" spans="1:14" ht="13.8">
      <c r="A811" s="1" t="s">
        <v>25618</v>
      </c>
      <c r="B811" s="1" t="s">
        <v>26023</v>
      </c>
      <c r="C811" s="1" t="s">
        <v>26024</v>
      </c>
      <c r="D811" s="1" t="s">
        <v>26025</v>
      </c>
      <c r="E811" s="1" t="s">
        <v>26026</v>
      </c>
      <c r="F811" s="1" t="s">
        <v>26027</v>
      </c>
      <c r="G811" s="1" t="s">
        <v>26028</v>
      </c>
      <c r="H811" s="1">
        <v>55</v>
      </c>
      <c r="I811" s="1" t="s">
        <v>14572</v>
      </c>
      <c r="J811" s="1" t="s">
        <v>14198</v>
      </c>
      <c r="K811" s="1" t="s">
        <v>26029</v>
      </c>
      <c r="L811" s="1" t="s">
        <v>26030</v>
      </c>
      <c r="M811" s="1" t="s">
        <v>26031</v>
      </c>
      <c r="N811" s="3" t="s">
        <v>26032</v>
      </c>
    </row>
    <row r="812" spans="1:14" ht="13.8">
      <c r="A812" s="1" t="s">
        <v>26033</v>
      </c>
      <c r="B812" s="1" t="s">
        <v>26034</v>
      </c>
      <c r="C812" s="1" t="s">
        <v>26035</v>
      </c>
      <c r="D812" s="1" t="s">
        <v>26036</v>
      </c>
      <c r="E812" s="1" t="s">
        <v>26037</v>
      </c>
      <c r="F812" s="1" t="s">
        <v>26038</v>
      </c>
      <c r="G812" s="1" t="s">
        <v>26039</v>
      </c>
      <c r="H812" s="1">
        <v>30</v>
      </c>
      <c r="I812" s="1" t="s">
        <v>429</v>
      </c>
      <c r="J812" s="1" t="s">
        <v>14382</v>
      </c>
      <c r="K812" s="1" t="s">
        <v>26040</v>
      </c>
      <c r="L812" s="1" t="s">
        <v>26041</v>
      </c>
      <c r="M812" s="1" t="s">
        <v>26042</v>
      </c>
      <c r="N812" s="3" t="s">
        <v>26043</v>
      </c>
    </row>
    <row r="813" spans="1:14" ht="13.8">
      <c r="A813" s="1" t="s">
        <v>26044</v>
      </c>
      <c r="B813" s="1" t="s">
        <v>26045</v>
      </c>
      <c r="C813" s="1" t="s">
        <v>26046</v>
      </c>
      <c r="D813" s="1" t="s">
        <v>26047</v>
      </c>
      <c r="E813" s="1" t="s">
        <v>26048</v>
      </c>
      <c r="F813" s="1" t="s">
        <v>26049</v>
      </c>
      <c r="G813" s="1" t="s">
        <v>26050</v>
      </c>
      <c r="H813" s="1">
        <v>25</v>
      </c>
      <c r="I813" s="1" t="s">
        <v>14572</v>
      </c>
      <c r="J813" s="1" t="s">
        <v>14198</v>
      </c>
      <c r="K813" s="1" t="s">
        <v>26051</v>
      </c>
      <c r="L813" s="1" t="s">
        <v>26052</v>
      </c>
      <c r="M813" s="1" t="s">
        <v>26053</v>
      </c>
      <c r="N813" s="3" t="s">
        <v>26054</v>
      </c>
    </row>
    <row r="814" spans="1:14" ht="13.8">
      <c r="A814" s="1" t="s">
        <v>26055</v>
      </c>
      <c r="B814" s="1" t="s">
        <v>26056</v>
      </c>
      <c r="C814" s="1" t="s">
        <v>26057</v>
      </c>
      <c r="D814" s="1" t="s">
        <v>26058</v>
      </c>
      <c r="E814" s="1" t="s">
        <v>26059</v>
      </c>
      <c r="F814" s="1" t="s">
        <v>26060</v>
      </c>
      <c r="G814" s="1" t="s">
        <v>26061</v>
      </c>
      <c r="H814" s="1">
        <v>25</v>
      </c>
      <c r="I814" s="1" t="s">
        <v>17252</v>
      </c>
      <c r="J814" s="1" t="s">
        <v>15314</v>
      </c>
      <c r="K814" s="1" t="s">
        <v>26062</v>
      </c>
      <c r="L814" s="1" t="s">
        <v>26063</v>
      </c>
      <c r="M814" s="1" t="s">
        <v>26064</v>
      </c>
      <c r="N814" s="3" t="s">
        <v>26065</v>
      </c>
    </row>
    <row r="815" spans="1:14" ht="13.8">
      <c r="A815" s="1" t="s">
        <v>26066</v>
      </c>
      <c r="B815" s="1" t="s">
        <v>26067</v>
      </c>
      <c r="C815" s="1" t="s">
        <v>26068</v>
      </c>
      <c r="D815" s="1" t="s">
        <v>26069</v>
      </c>
      <c r="E815" s="1" t="s">
        <v>26070</v>
      </c>
      <c r="F815" s="1" t="s">
        <v>26071</v>
      </c>
      <c r="G815" s="1" t="s">
        <v>26072</v>
      </c>
      <c r="H815" s="1">
        <v>25</v>
      </c>
      <c r="I815" s="1" t="s">
        <v>17252</v>
      </c>
      <c r="J815" s="1" t="s">
        <v>14198</v>
      </c>
      <c r="K815" s="1" t="s">
        <v>26073</v>
      </c>
      <c r="L815" s="1" t="s">
        <v>26074</v>
      </c>
      <c r="M815" s="1" t="s">
        <v>26075</v>
      </c>
      <c r="N815" s="3" t="s">
        <v>26076</v>
      </c>
    </row>
    <row r="816" spans="1:14" ht="409.6">
      <c r="A816" s="1" t="s">
        <v>26077</v>
      </c>
      <c r="B816" s="1" t="s">
        <v>26078</v>
      </c>
      <c r="C816" s="1" t="s">
        <v>26079</v>
      </c>
      <c r="D816" s="1" t="s">
        <v>26080</v>
      </c>
      <c r="E816" s="1" t="s">
        <v>26081</v>
      </c>
      <c r="F816" s="1" t="s">
        <v>26082</v>
      </c>
      <c r="G816" s="1" t="s">
        <v>26083</v>
      </c>
      <c r="H816" s="1">
        <v>50</v>
      </c>
      <c r="I816" s="1" t="s">
        <v>14207</v>
      </c>
      <c r="J816" s="1" t="s">
        <v>15102</v>
      </c>
      <c r="K816" s="4" t="s">
        <v>26084</v>
      </c>
      <c r="L816" s="1" t="s">
        <v>26085</v>
      </c>
      <c r="M816" s="1" t="s">
        <v>26086</v>
      </c>
      <c r="N816" s="3" t="s">
        <v>26087</v>
      </c>
    </row>
    <row r="817" spans="1:14" ht="13.8">
      <c r="A817" s="1" t="s">
        <v>26088</v>
      </c>
      <c r="B817" s="1" t="s">
        <v>26089</v>
      </c>
      <c r="C817" s="1" t="s">
        <v>26090</v>
      </c>
      <c r="D817" s="1" t="s">
        <v>26091</v>
      </c>
      <c r="E817" s="1" t="s">
        <v>26092</v>
      </c>
      <c r="F817" s="1" t="s">
        <v>26093</v>
      </c>
      <c r="G817" s="1" t="s">
        <v>26094</v>
      </c>
      <c r="H817" s="1">
        <v>55</v>
      </c>
      <c r="I817" s="1" t="s">
        <v>8417</v>
      </c>
      <c r="J817" s="1" t="s">
        <v>15314</v>
      </c>
      <c r="K817" s="1" t="s">
        <v>26095</v>
      </c>
      <c r="L817" s="1" t="s">
        <v>26096</v>
      </c>
      <c r="M817" s="1" t="s">
        <v>26097</v>
      </c>
      <c r="N817" s="3" t="s">
        <v>26098</v>
      </c>
    </row>
    <row r="818" spans="1:14" ht="13.8">
      <c r="A818" s="1" t="s">
        <v>26099</v>
      </c>
      <c r="B818" s="1" t="s">
        <v>26100</v>
      </c>
      <c r="C818" s="1" t="s">
        <v>26101</v>
      </c>
      <c r="D818" s="1" t="s">
        <v>26102</v>
      </c>
      <c r="E818" s="1" t="s">
        <v>26103</v>
      </c>
      <c r="F818" s="1" t="s">
        <v>26104</v>
      </c>
      <c r="G818" s="1" t="s">
        <v>26105</v>
      </c>
      <c r="H818" s="1">
        <v>45</v>
      </c>
      <c r="I818" s="1" t="s">
        <v>14281</v>
      </c>
      <c r="J818" s="1" t="s">
        <v>15314</v>
      </c>
      <c r="K818" s="1" t="s">
        <v>26106</v>
      </c>
      <c r="L818" s="1" t="s">
        <v>26107</v>
      </c>
      <c r="M818" s="1" t="s">
        <v>26108</v>
      </c>
      <c r="N818" s="3" t="s">
        <v>26109</v>
      </c>
    </row>
    <row r="819" spans="1:14" ht="13.8">
      <c r="A819" s="1" t="s">
        <v>26110</v>
      </c>
      <c r="B819" s="1" t="s">
        <v>26111</v>
      </c>
      <c r="C819" s="1" t="s">
        <v>26112</v>
      </c>
      <c r="D819" s="1" t="s">
        <v>26113</v>
      </c>
      <c r="E819" s="1" t="s">
        <v>26114</v>
      </c>
      <c r="F819" s="1" t="s">
        <v>26115</v>
      </c>
      <c r="G819" s="1" t="s">
        <v>26116</v>
      </c>
      <c r="H819" s="1">
        <v>20</v>
      </c>
      <c r="I819" s="1" t="s">
        <v>17252</v>
      </c>
      <c r="J819" s="1" t="s">
        <v>14198</v>
      </c>
      <c r="K819" s="1" t="s">
        <v>26117</v>
      </c>
      <c r="L819" s="1" t="s">
        <v>26118</v>
      </c>
      <c r="M819" s="1" t="s">
        <v>26119</v>
      </c>
      <c r="N819" s="3" t="s">
        <v>26120</v>
      </c>
    </row>
    <row r="820" spans="1:14" ht="409.6">
      <c r="A820" s="1" t="s">
        <v>26121</v>
      </c>
      <c r="B820" s="1" t="s">
        <v>26122</v>
      </c>
      <c r="C820" s="1" t="s">
        <v>26123</v>
      </c>
      <c r="D820" s="1" t="s">
        <v>26124</v>
      </c>
      <c r="E820" s="1" t="s">
        <v>26125</v>
      </c>
      <c r="F820" s="1" t="s">
        <v>26126</v>
      </c>
      <c r="G820" s="1" t="s">
        <v>26127</v>
      </c>
      <c r="H820" s="1">
        <v>45</v>
      </c>
      <c r="I820" s="1" t="s">
        <v>14281</v>
      </c>
      <c r="J820" s="1" t="s">
        <v>14198</v>
      </c>
      <c r="K820" s="4" t="s">
        <v>26128</v>
      </c>
      <c r="L820" s="1" t="s">
        <v>26129</v>
      </c>
      <c r="M820" s="1" t="s">
        <v>26130</v>
      </c>
      <c r="N820" s="3" t="s">
        <v>26131</v>
      </c>
    </row>
    <row r="821" spans="1:14" ht="409.6">
      <c r="A821" s="1" t="s">
        <v>26132</v>
      </c>
      <c r="B821" s="1" t="s">
        <v>26133</v>
      </c>
      <c r="C821" s="1" t="s">
        <v>26134</v>
      </c>
      <c r="D821" s="1" t="s">
        <v>26135</v>
      </c>
      <c r="E821" s="1" t="s">
        <v>26136</v>
      </c>
      <c r="F821" s="1" t="s">
        <v>26137</v>
      </c>
      <c r="G821" s="1" t="s">
        <v>26138</v>
      </c>
      <c r="H821" s="1">
        <v>30</v>
      </c>
      <c r="I821" s="1" t="s">
        <v>429</v>
      </c>
      <c r="J821" s="1" t="s">
        <v>14237</v>
      </c>
      <c r="K821" s="4" t="s">
        <v>26139</v>
      </c>
      <c r="L821" s="1" t="s">
        <v>26140</v>
      </c>
      <c r="M821" s="1" t="s">
        <v>26141</v>
      </c>
      <c r="N821" s="3" t="s">
        <v>26142</v>
      </c>
    </row>
    <row r="822" spans="1:14" ht="409.6">
      <c r="A822" s="1" t="s">
        <v>26143</v>
      </c>
      <c r="B822" s="1" t="s">
        <v>26144</v>
      </c>
      <c r="C822" s="1" t="s">
        <v>26145</v>
      </c>
      <c r="D822" s="1" t="s">
        <v>26146</v>
      </c>
      <c r="E822" s="1" t="s">
        <v>26147</v>
      </c>
      <c r="F822" s="1" t="s">
        <v>26148</v>
      </c>
      <c r="G822" s="1" t="s">
        <v>26149</v>
      </c>
      <c r="H822" s="1">
        <v>30</v>
      </c>
      <c r="I822" s="1" t="s">
        <v>8417</v>
      </c>
      <c r="J822" s="1" t="s">
        <v>14198</v>
      </c>
      <c r="K822" s="4" t="s">
        <v>26150</v>
      </c>
      <c r="L822" s="1" t="s">
        <v>26151</v>
      </c>
      <c r="M822" s="1" t="s">
        <v>26152</v>
      </c>
      <c r="N822" s="3" t="s">
        <v>26153</v>
      </c>
    </row>
    <row r="823" spans="1:14" ht="409.6">
      <c r="A823" s="1" t="s">
        <v>26154</v>
      </c>
      <c r="B823" s="1" t="s">
        <v>26155</v>
      </c>
      <c r="C823" s="1" t="s">
        <v>26156</v>
      </c>
      <c r="D823" s="1" t="s">
        <v>26157</v>
      </c>
      <c r="E823" s="1" t="s">
        <v>26158</v>
      </c>
      <c r="F823" s="1" t="s">
        <v>26159</v>
      </c>
      <c r="G823" s="1" t="s">
        <v>26160</v>
      </c>
      <c r="H823" s="1">
        <v>15</v>
      </c>
      <c r="I823" s="1" t="s">
        <v>17252</v>
      </c>
      <c r="J823" s="1" t="s">
        <v>14198</v>
      </c>
      <c r="K823" s="4" t="s">
        <v>26161</v>
      </c>
      <c r="L823" s="1" t="s">
        <v>26162</v>
      </c>
      <c r="M823" s="1" t="s">
        <v>26163</v>
      </c>
      <c r="N823" s="3" t="s">
        <v>26164</v>
      </c>
    </row>
    <row r="824" spans="1:14" ht="409.6">
      <c r="A824" s="1" t="s">
        <v>26165</v>
      </c>
      <c r="B824" s="1" t="s">
        <v>26166</v>
      </c>
      <c r="C824" s="1" t="s">
        <v>26167</v>
      </c>
      <c r="D824" s="1" t="s">
        <v>26168</v>
      </c>
      <c r="E824" s="1" t="s">
        <v>26169</v>
      </c>
      <c r="F824" s="1" t="s">
        <v>26170</v>
      </c>
      <c r="G824" s="1" t="s">
        <v>26171</v>
      </c>
      <c r="H824" s="1">
        <v>135</v>
      </c>
      <c r="I824" s="1" t="s">
        <v>8417</v>
      </c>
      <c r="J824" s="1" t="s">
        <v>14198</v>
      </c>
      <c r="K824" s="4" t="s">
        <v>26172</v>
      </c>
      <c r="L824" s="1" t="s">
        <v>26173</v>
      </c>
      <c r="M824" s="1" t="s">
        <v>26174</v>
      </c>
      <c r="N824" s="3" t="s">
        <v>26175</v>
      </c>
    </row>
    <row r="825" spans="1:14" ht="409.6">
      <c r="A825" s="1" t="s">
        <v>26176</v>
      </c>
      <c r="B825" s="1" t="s">
        <v>26177</v>
      </c>
      <c r="C825" s="1" t="s">
        <v>26178</v>
      </c>
      <c r="D825" s="1" t="s">
        <v>26179</v>
      </c>
      <c r="E825" s="1" t="s">
        <v>26180</v>
      </c>
      <c r="F825" s="1" t="s">
        <v>26181</v>
      </c>
      <c r="G825" s="1" t="s">
        <v>26182</v>
      </c>
      <c r="H825" s="1">
        <v>55</v>
      </c>
      <c r="I825" s="1" t="s">
        <v>145</v>
      </c>
      <c r="J825" s="1" t="s">
        <v>14382</v>
      </c>
      <c r="K825" s="4" t="s">
        <v>26183</v>
      </c>
      <c r="L825" s="1" t="s">
        <v>26184</v>
      </c>
      <c r="M825" s="1" t="s">
        <v>26185</v>
      </c>
      <c r="N825" s="3" t="s">
        <v>26186</v>
      </c>
    </row>
    <row r="826" spans="1:14" ht="409.6">
      <c r="A826" s="1" t="s">
        <v>26187</v>
      </c>
      <c r="B826" s="1" t="s">
        <v>26188</v>
      </c>
      <c r="C826" s="1" t="s">
        <v>26189</v>
      </c>
      <c r="D826" s="1" t="s">
        <v>26190</v>
      </c>
      <c r="E826" s="1" t="s">
        <v>26191</v>
      </c>
      <c r="F826" s="1" t="s">
        <v>26192</v>
      </c>
      <c r="G826" s="1" t="s">
        <v>26193</v>
      </c>
      <c r="H826" s="1">
        <v>55</v>
      </c>
      <c r="I826" s="1" t="s">
        <v>8417</v>
      </c>
      <c r="J826" s="1" t="s">
        <v>15314</v>
      </c>
      <c r="K826" s="4" t="s">
        <v>26194</v>
      </c>
      <c r="L826" s="1" t="s">
        <v>26195</v>
      </c>
      <c r="M826" s="1" t="s">
        <v>26196</v>
      </c>
      <c r="N826" s="3" t="s">
        <v>26197</v>
      </c>
    </row>
    <row r="827" spans="1:14" ht="409.6">
      <c r="A827" s="1" t="s">
        <v>26198</v>
      </c>
      <c r="B827" s="1" t="s">
        <v>26199</v>
      </c>
      <c r="C827" s="1" t="s">
        <v>26200</v>
      </c>
      <c r="D827" s="1" t="s">
        <v>26201</v>
      </c>
      <c r="E827" s="1" t="s">
        <v>26202</v>
      </c>
      <c r="F827" s="1" t="s">
        <v>26203</v>
      </c>
      <c r="G827" s="1" t="s">
        <v>26204</v>
      </c>
      <c r="H827" s="1">
        <v>35</v>
      </c>
      <c r="I827" s="1" t="s">
        <v>429</v>
      </c>
      <c r="J827" s="1" t="s">
        <v>14198</v>
      </c>
      <c r="K827" s="4" t="s">
        <v>26205</v>
      </c>
      <c r="L827" s="1" t="s">
        <v>26206</v>
      </c>
      <c r="M827" s="1" t="s">
        <v>26207</v>
      </c>
      <c r="N827" s="3" t="s">
        <v>26208</v>
      </c>
    </row>
    <row r="828" spans="1:14" ht="409.6">
      <c r="A828" s="1" t="s">
        <v>26209</v>
      </c>
      <c r="B828" s="1" t="s">
        <v>26210</v>
      </c>
      <c r="C828" s="1" t="s">
        <v>26211</v>
      </c>
      <c r="D828" s="1" t="s">
        <v>26212</v>
      </c>
      <c r="E828" s="1" t="s">
        <v>26213</v>
      </c>
      <c r="F828" s="1" t="s">
        <v>26214</v>
      </c>
      <c r="G828" s="1" t="s">
        <v>26215</v>
      </c>
      <c r="H828" s="1">
        <v>70</v>
      </c>
      <c r="I828" s="1" t="s">
        <v>8417</v>
      </c>
      <c r="J828" s="1" t="s">
        <v>14198</v>
      </c>
      <c r="K828" s="4" t="s">
        <v>26216</v>
      </c>
      <c r="L828" s="1" t="s">
        <v>26217</v>
      </c>
      <c r="M828" s="1" t="s">
        <v>26218</v>
      </c>
      <c r="N828" s="3" t="s">
        <v>26219</v>
      </c>
    </row>
    <row r="829" spans="1:14" ht="13.8">
      <c r="A829" s="1" t="s">
        <v>26220</v>
      </c>
      <c r="B829" s="1" t="s">
        <v>26221</v>
      </c>
      <c r="C829" s="1" t="s">
        <v>26222</v>
      </c>
      <c r="D829" s="1" t="s">
        <v>26223</v>
      </c>
      <c r="E829" s="1" t="s">
        <v>26224</v>
      </c>
      <c r="F829" s="1" t="s">
        <v>26225</v>
      </c>
      <c r="G829" s="1" t="s">
        <v>26226</v>
      </c>
      <c r="H829" s="1">
        <v>100</v>
      </c>
      <c r="I829" s="1" t="s">
        <v>14572</v>
      </c>
      <c r="J829" s="1" t="s">
        <v>14198</v>
      </c>
      <c r="K829" s="1" t="s">
        <v>26227</v>
      </c>
      <c r="L829" s="1" t="s">
        <v>26228</v>
      </c>
      <c r="M829" s="1" t="s">
        <v>26229</v>
      </c>
      <c r="N829" s="3" t="s">
        <v>26230</v>
      </c>
    </row>
    <row r="830" spans="1:14" ht="409.6">
      <c r="A830" s="1" t="s">
        <v>26231</v>
      </c>
      <c r="B830" s="1" t="s">
        <v>26232</v>
      </c>
      <c r="C830" s="1" t="s">
        <v>26233</v>
      </c>
      <c r="D830" s="1" t="s">
        <v>26234</v>
      </c>
      <c r="E830" s="1" t="s">
        <v>26235</v>
      </c>
      <c r="F830" s="1" t="s">
        <v>26236</v>
      </c>
      <c r="G830" s="1" t="s">
        <v>26237</v>
      </c>
      <c r="H830" s="1">
        <v>25</v>
      </c>
      <c r="I830" s="1" t="s">
        <v>14259</v>
      </c>
      <c r="J830" s="1" t="s">
        <v>14367</v>
      </c>
      <c r="K830" s="4" t="s">
        <v>26238</v>
      </c>
      <c r="L830" s="1" t="s">
        <v>26239</v>
      </c>
      <c r="M830" s="1" t="s">
        <v>26240</v>
      </c>
      <c r="N830" s="3" t="s">
        <v>26241</v>
      </c>
    </row>
    <row r="831" spans="1:14" ht="13.8">
      <c r="A831" s="1" t="s">
        <v>26242</v>
      </c>
      <c r="B831" s="1" t="s">
        <v>26243</v>
      </c>
      <c r="C831" s="1" t="s">
        <v>26244</v>
      </c>
      <c r="D831" s="1" t="s">
        <v>26245</v>
      </c>
      <c r="E831" s="1" t="s">
        <v>26246</v>
      </c>
      <c r="F831" s="1" t="s">
        <v>26247</v>
      </c>
      <c r="G831" s="1" t="s">
        <v>26248</v>
      </c>
      <c r="H831" s="1">
        <v>15</v>
      </c>
      <c r="I831" s="1" t="s">
        <v>14572</v>
      </c>
      <c r="J831" s="1" t="s">
        <v>14198</v>
      </c>
      <c r="K831" s="1" t="s">
        <v>26249</v>
      </c>
      <c r="L831" s="1" t="s">
        <v>26250</v>
      </c>
      <c r="M831" s="1" t="s">
        <v>26251</v>
      </c>
      <c r="N831" s="3" t="s">
        <v>26252</v>
      </c>
    </row>
    <row r="832" spans="1:14" ht="13.8">
      <c r="A832" s="1" t="s">
        <v>26253</v>
      </c>
      <c r="B832" s="1" t="s">
        <v>26254</v>
      </c>
      <c r="C832" s="1" t="s">
        <v>26255</v>
      </c>
      <c r="D832" s="1" t="s">
        <v>26256</v>
      </c>
      <c r="E832" s="1" t="s">
        <v>26257</v>
      </c>
      <c r="F832" s="1" t="s">
        <v>26258</v>
      </c>
      <c r="G832" s="1" t="s">
        <v>26259</v>
      </c>
      <c r="H832" s="1">
        <v>45</v>
      </c>
      <c r="I832" s="1" t="s">
        <v>429</v>
      </c>
      <c r="J832" s="1" t="s">
        <v>14198</v>
      </c>
      <c r="K832" s="1" t="s">
        <v>26260</v>
      </c>
      <c r="L832" s="1" t="s">
        <v>26261</v>
      </c>
      <c r="M832" s="1" t="s">
        <v>26262</v>
      </c>
      <c r="N832" s="3" t="s">
        <v>26263</v>
      </c>
    </row>
    <row r="833" spans="1:14" ht="13.8">
      <c r="A833" s="1" t="s">
        <v>26264</v>
      </c>
      <c r="B833" s="1" t="s">
        <v>26265</v>
      </c>
      <c r="C833" s="1" t="s">
        <v>26266</v>
      </c>
      <c r="D833" s="1" t="s">
        <v>26267</v>
      </c>
      <c r="E833" s="1" t="s">
        <v>26268</v>
      </c>
      <c r="F833" s="1" t="s">
        <v>26269</v>
      </c>
      <c r="G833" s="1" t="s">
        <v>26270</v>
      </c>
      <c r="H833" s="1">
        <v>60</v>
      </c>
      <c r="I833" s="1" t="s">
        <v>14281</v>
      </c>
      <c r="J833" s="1" t="s">
        <v>14198</v>
      </c>
      <c r="K833" s="1" t="s">
        <v>26271</v>
      </c>
      <c r="L833" s="1" t="s">
        <v>26272</v>
      </c>
      <c r="M833" s="1" t="s">
        <v>26273</v>
      </c>
      <c r="N833" s="3" t="s">
        <v>26274</v>
      </c>
    </row>
    <row r="834" spans="1:14" ht="13.8">
      <c r="A834" s="1" t="s">
        <v>26275</v>
      </c>
      <c r="B834" s="1" t="s">
        <v>26276</v>
      </c>
      <c r="C834" s="1" t="s">
        <v>26277</v>
      </c>
      <c r="D834" s="1" t="s">
        <v>26278</v>
      </c>
      <c r="E834" s="1" t="s">
        <v>26279</v>
      </c>
      <c r="F834" s="1" t="s">
        <v>26280</v>
      </c>
      <c r="G834" s="1" t="s">
        <v>26281</v>
      </c>
      <c r="H834" s="1">
        <v>90</v>
      </c>
      <c r="I834" s="1" t="s">
        <v>14281</v>
      </c>
      <c r="J834" s="1" t="s">
        <v>15314</v>
      </c>
      <c r="K834" s="1" t="s">
        <v>26282</v>
      </c>
      <c r="L834" s="1" t="s">
        <v>26283</v>
      </c>
      <c r="M834" s="1" t="s">
        <v>26284</v>
      </c>
      <c r="N834" s="3" t="s">
        <v>26285</v>
      </c>
    </row>
    <row r="835" spans="1:14" ht="409.6">
      <c r="A835" s="1" t="s">
        <v>26286</v>
      </c>
      <c r="B835" s="1" t="s">
        <v>26287</v>
      </c>
      <c r="C835" s="1" t="s">
        <v>26288</v>
      </c>
      <c r="D835" s="1" t="s">
        <v>26289</v>
      </c>
      <c r="E835" s="1" t="s">
        <v>26290</v>
      </c>
      <c r="F835" s="1" t="s">
        <v>26291</v>
      </c>
      <c r="G835" s="1" t="s">
        <v>26292</v>
      </c>
      <c r="H835" s="1">
        <v>30</v>
      </c>
      <c r="I835" s="1" t="s">
        <v>14281</v>
      </c>
      <c r="J835" s="1" t="s">
        <v>18114</v>
      </c>
      <c r="K835" s="4" t="s">
        <v>26293</v>
      </c>
      <c r="L835" s="1" t="s">
        <v>26294</v>
      </c>
      <c r="M835" s="1" t="s">
        <v>26295</v>
      </c>
      <c r="N835" s="3" t="s">
        <v>26296</v>
      </c>
    </row>
    <row r="836" spans="1:14" ht="409.6">
      <c r="A836" s="1" t="s">
        <v>26297</v>
      </c>
      <c r="B836" s="1" t="s">
        <v>26298</v>
      </c>
      <c r="C836" s="1" t="s">
        <v>26299</v>
      </c>
      <c r="D836" s="1" t="s">
        <v>26300</v>
      </c>
      <c r="E836" s="1" t="s">
        <v>26301</v>
      </c>
      <c r="F836" s="1" t="s">
        <v>26302</v>
      </c>
      <c r="G836" s="1" t="s">
        <v>26303</v>
      </c>
      <c r="H836" s="1">
        <v>75</v>
      </c>
      <c r="I836" s="1" t="s">
        <v>14281</v>
      </c>
      <c r="J836" s="1" t="s">
        <v>14237</v>
      </c>
      <c r="K836" s="4" t="s">
        <v>26304</v>
      </c>
      <c r="L836" s="1" t="s">
        <v>26305</v>
      </c>
      <c r="M836" s="1" t="s">
        <v>26306</v>
      </c>
      <c r="N836" s="3" t="s">
        <v>26307</v>
      </c>
    </row>
    <row r="837" spans="1:14" ht="409.6">
      <c r="A837" s="1" t="s">
        <v>26308</v>
      </c>
      <c r="B837" s="1" t="s">
        <v>26309</v>
      </c>
      <c r="C837" s="1" t="s">
        <v>26310</v>
      </c>
      <c r="D837" s="1" t="s">
        <v>26311</v>
      </c>
      <c r="E837" s="1" t="s">
        <v>26312</v>
      </c>
      <c r="F837" s="1" t="s">
        <v>26313</v>
      </c>
      <c r="G837" s="1" t="s">
        <v>26314</v>
      </c>
      <c r="H837" s="1">
        <v>45</v>
      </c>
      <c r="I837" s="1" t="s">
        <v>14259</v>
      </c>
      <c r="J837" s="1" t="s">
        <v>14382</v>
      </c>
      <c r="K837" s="4" t="s">
        <v>26315</v>
      </c>
      <c r="L837" s="1" t="s">
        <v>26316</v>
      </c>
      <c r="M837" s="1" t="s">
        <v>26317</v>
      </c>
      <c r="N837" s="3" t="s">
        <v>26318</v>
      </c>
    </row>
    <row r="838" spans="1:14" ht="409.6">
      <c r="A838" s="1" t="s">
        <v>26319</v>
      </c>
      <c r="B838" s="1" t="s">
        <v>26320</v>
      </c>
      <c r="C838" s="1" t="s">
        <v>26321</v>
      </c>
      <c r="D838" s="1" t="s">
        <v>26322</v>
      </c>
      <c r="E838" s="1" t="s">
        <v>26323</v>
      </c>
      <c r="F838" s="1" t="s">
        <v>26324</v>
      </c>
      <c r="G838" s="1" t="s">
        <v>26325</v>
      </c>
      <c r="H838" s="1">
        <v>17</v>
      </c>
      <c r="I838" s="1" t="s">
        <v>14207</v>
      </c>
      <c r="J838" s="1" t="s">
        <v>14198</v>
      </c>
      <c r="K838" s="4" t="s">
        <v>26326</v>
      </c>
      <c r="L838" s="1" t="s">
        <v>26327</v>
      </c>
      <c r="M838" s="1" t="s">
        <v>26328</v>
      </c>
      <c r="N838" s="3" t="s">
        <v>26329</v>
      </c>
    </row>
    <row r="839" spans="1:14" ht="409.6">
      <c r="A839" s="1" t="s">
        <v>26330</v>
      </c>
      <c r="B839" s="1" t="s">
        <v>26331</v>
      </c>
      <c r="C839" s="1" t="s">
        <v>26332</v>
      </c>
      <c r="D839" s="1" t="s">
        <v>26333</v>
      </c>
      <c r="E839" s="1" t="s">
        <v>26334</v>
      </c>
      <c r="F839" s="1" t="s">
        <v>26335</v>
      </c>
      <c r="G839" s="1" t="s">
        <v>26336</v>
      </c>
      <c r="H839" s="1">
        <v>45</v>
      </c>
      <c r="I839" s="1" t="s">
        <v>14281</v>
      </c>
      <c r="J839" s="1" t="s">
        <v>14198</v>
      </c>
      <c r="K839" s="4" t="s">
        <v>26337</v>
      </c>
      <c r="L839" s="1" t="s">
        <v>26338</v>
      </c>
      <c r="M839" s="1" t="s">
        <v>26339</v>
      </c>
      <c r="N839" s="3" t="s">
        <v>26340</v>
      </c>
    </row>
    <row r="840" spans="1:14" ht="13.8">
      <c r="A840" s="1" t="s">
        <v>26341</v>
      </c>
      <c r="B840" s="1" t="s">
        <v>26342</v>
      </c>
      <c r="C840" s="1" t="s">
        <v>26343</v>
      </c>
      <c r="D840" s="1" t="s">
        <v>26344</v>
      </c>
      <c r="E840" s="1" t="s">
        <v>26345</v>
      </c>
      <c r="F840" s="1" t="s">
        <v>26346</v>
      </c>
      <c r="G840" s="1" t="s">
        <v>26347</v>
      </c>
      <c r="H840" s="1">
        <v>10</v>
      </c>
      <c r="I840" s="1" t="s">
        <v>17252</v>
      </c>
      <c r="J840" s="1" t="s">
        <v>15102</v>
      </c>
      <c r="K840" s="1" t="s">
        <v>26348</v>
      </c>
      <c r="L840" s="1" t="s">
        <v>26349</v>
      </c>
      <c r="M840" s="1" t="s">
        <v>26350</v>
      </c>
      <c r="N840" s="3" t="s">
        <v>26351</v>
      </c>
    </row>
    <row r="841" spans="1:14" ht="13.8">
      <c r="A841" s="1" t="s">
        <v>26352</v>
      </c>
      <c r="B841" s="1" t="s">
        <v>26353</v>
      </c>
      <c r="C841" s="1" t="s">
        <v>26354</v>
      </c>
      <c r="D841" s="1" t="s">
        <v>26355</v>
      </c>
      <c r="E841" s="1" t="s">
        <v>26356</v>
      </c>
      <c r="F841" s="1" t="s">
        <v>26357</v>
      </c>
      <c r="G841" s="1" t="s">
        <v>26358</v>
      </c>
      <c r="H841" s="1">
        <v>40</v>
      </c>
      <c r="I841" s="1" t="s">
        <v>14281</v>
      </c>
      <c r="J841" s="1" t="s">
        <v>14237</v>
      </c>
      <c r="K841" s="1" t="s">
        <v>26359</v>
      </c>
      <c r="L841" s="1" t="s">
        <v>26360</v>
      </c>
      <c r="M841" s="1" t="s">
        <v>26361</v>
      </c>
      <c r="N841" s="3" t="s">
        <v>26362</v>
      </c>
    </row>
    <row r="842" spans="1:14" ht="13.8">
      <c r="A842" s="1" t="s">
        <v>26363</v>
      </c>
      <c r="B842" s="1" t="s">
        <v>26364</v>
      </c>
      <c r="C842" s="1" t="s">
        <v>26365</v>
      </c>
      <c r="D842" s="1" t="s">
        <v>26366</v>
      </c>
      <c r="E842" s="1" t="s">
        <v>26367</v>
      </c>
      <c r="F842" s="1" t="s">
        <v>26368</v>
      </c>
      <c r="G842" s="1" t="s">
        <v>26369</v>
      </c>
      <c r="H842" s="1">
        <v>40</v>
      </c>
      <c r="I842" s="1" t="s">
        <v>429</v>
      </c>
      <c r="J842" s="1" t="s">
        <v>14367</v>
      </c>
      <c r="K842" s="1" t="s">
        <v>26370</v>
      </c>
      <c r="L842" s="1" t="s">
        <v>26371</v>
      </c>
      <c r="M842" s="1" t="s">
        <v>26372</v>
      </c>
      <c r="N842" s="3" t="s">
        <v>26373</v>
      </c>
    </row>
    <row r="843" spans="1:14" ht="409.6">
      <c r="A843" s="1" t="s">
        <v>26374</v>
      </c>
      <c r="B843" s="1" t="s">
        <v>26375</v>
      </c>
      <c r="C843" s="1" t="s">
        <v>26376</v>
      </c>
      <c r="D843" s="1" t="s">
        <v>26377</v>
      </c>
      <c r="E843" s="1" t="s">
        <v>26378</v>
      </c>
      <c r="F843" s="1" t="s">
        <v>26379</v>
      </c>
      <c r="G843" s="1" t="s">
        <v>26380</v>
      </c>
      <c r="H843" s="1">
        <v>70</v>
      </c>
      <c r="I843" s="1" t="s">
        <v>14572</v>
      </c>
      <c r="J843" s="1" t="s">
        <v>14198</v>
      </c>
      <c r="K843" s="4" t="s">
        <v>26381</v>
      </c>
      <c r="L843" s="1" t="s">
        <v>26382</v>
      </c>
      <c r="M843" s="1" t="s">
        <v>26383</v>
      </c>
      <c r="N843" s="3" t="s">
        <v>26384</v>
      </c>
    </row>
    <row r="844" spans="1:14" ht="409.6">
      <c r="A844" s="1" t="s">
        <v>26385</v>
      </c>
      <c r="B844" s="1" t="s">
        <v>26386</v>
      </c>
      <c r="C844" s="1" t="s">
        <v>26387</v>
      </c>
      <c r="D844" s="1" t="s">
        <v>26388</v>
      </c>
      <c r="E844" s="1" t="s">
        <v>26389</v>
      </c>
      <c r="F844" s="1" t="s">
        <v>26390</v>
      </c>
      <c r="G844" s="1" t="s">
        <v>26391</v>
      </c>
      <c r="H844" s="1">
        <v>40</v>
      </c>
      <c r="I844" s="1" t="s">
        <v>17252</v>
      </c>
      <c r="J844" s="1" t="s">
        <v>15314</v>
      </c>
      <c r="K844" s="4" t="s">
        <v>26392</v>
      </c>
      <c r="L844" s="1" t="s">
        <v>26393</v>
      </c>
      <c r="M844" s="1" t="s">
        <v>26394</v>
      </c>
      <c r="N844" s="3" t="s">
        <v>26395</v>
      </c>
    </row>
    <row r="845" spans="1:14" ht="13.8">
      <c r="A845" s="1" t="s">
        <v>26396</v>
      </c>
      <c r="B845" s="1" t="s">
        <v>26397</v>
      </c>
      <c r="C845" s="1" t="s">
        <v>26398</v>
      </c>
      <c r="D845" s="1" t="s">
        <v>26399</v>
      </c>
      <c r="E845" s="1" t="s">
        <v>26400</v>
      </c>
      <c r="F845" s="1" t="s">
        <v>26401</v>
      </c>
      <c r="G845" s="1" t="s">
        <v>26402</v>
      </c>
      <c r="H845" s="1">
        <v>30</v>
      </c>
      <c r="I845" s="1" t="s">
        <v>14572</v>
      </c>
      <c r="J845" s="1" t="s">
        <v>14198</v>
      </c>
      <c r="K845" s="1" t="s">
        <v>26403</v>
      </c>
      <c r="L845" s="1" t="s">
        <v>26404</v>
      </c>
      <c r="M845" s="1" t="s">
        <v>26405</v>
      </c>
      <c r="N845" s="3" t="s">
        <v>26406</v>
      </c>
    </row>
    <row r="846" spans="1:14" ht="13.8">
      <c r="A846" s="1" t="s">
        <v>26407</v>
      </c>
      <c r="B846" s="1" t="s">
        <v>26408</v>
      </c>
      <c r="C846" s="1" t="s">
        <v>26409</v>
      </c>
      <c r="D846" s="1" t="s">
        <v>26410</v>
      </c>
      <c r="E846" s="1" t="s">
        <v>26411</v>
      </c>
      <c r="F846" s="1" t="s">
        <v>26412</v>
      </c>
      <c r="G846" s="1" t="s">
        <v>26413</v>
      </c>
      <c r="H846" s="1">
        <v>10</v>
      </c>
      <c r="I846" s="1" t="s">
        <v>17252</v>
      </c>
      <c r="J846" s="1" t="s">
        <v>14198</v>
      </c>
      <c r="K846" s="1" t="s">
        <v>26414</v>
      </c>
      <c r="L846" s="1" t="s">
        <v>26415</v>
      </c>
      <c r="M846" s="1" t="s">
        <v>26416</v>
      </c>
      <c r="N846" s="3" t="s">
        <v>26417</v>
      </c>
    </row>
    <row r="847" spans="1:14" ht="409.6">
      <c r="A847" s="1" t="s">
        <v>26418</v>
      </c>
      <c r="B847" s="1" t="s">
        <v>26419</v>
      </c>
      <c r="C847" s="1" t="s">
        <v>26420</v>
      </c>
      <c r="D847" s="1" t="s">
        <v>26421</v>
      </c>
      <c r="E847" s="1" t="s">
        <v>26422</v>
      </c>
      <c r="F847" s="1" t="s">
        <v>26423</v>
      </c>
      <c r="G847" s="1" t="s">
        <v>26424</v>
      </c>
      <c r="H847" s="1">
        <v>65</v>
      </c>
      <c r="I847" s="1" t="s">
        <v>17252</v>
      </c>
      <c r="J847" s="1" t="s">
        <v>15314</v>
      </c>
      <c r="K847" s="4" t="s">
        <v>26425</v>
      </c>
      <c r="L847" s="1" t="s">
        <v>26426</v>
      </c>
      <c r="M847" s="1" t="s">
        <v>26427</v>
      </c>
      <c r="N847" s="3" t="s">
        <v>26428</v>
      </c>
    </row>
    <row r="848" spans="1:14" ht="13.8">
      <c r="A848" s="1" t="s">
        <v>19231</v>
      </c>
      <c r="B848" s="1" t="s">
        <v>26429</v>
      </c>
      <c r="C848" s="1" t="s">
        <v>26430</v>
      </c>
      <c r="D848" s="1" t="s">
        <v>26431</v>
      </c>
      <c r="E848" s="1" t="s">
        <v>26432</v>
      </c>
      <c r="F848" s="1" t="s">
        <v>26433</v>
      </c>
      <c r="G848" s="1" t="s">
        <v>26434</v>
      </c>
      <c r="H848" s="1">
        <v>24</v>
      </c>
      <c r="I848" s="1" t="s">
        <v>14207</v>
      </c>
      <c r="J848" s="1" t="s">
        <v>14198</v>
      </c>
      <c r="K848" s="1" t="s">
        <v>26435</v>
      </c>
      <c r="L848" s="1" t="s">
        <v>26436</v>
      </c>
      <c r="M848" s="1" t="s">
        <v>26437</v>
      </c>
      <c r="N848" s="3" t="s">
        <v>26438</v>
      </c>
    </row>
    <row r="849" spans="1:14" ht="13.8">
      <c r="A849" s="1" t="s">
        <v>26439</v>
      </c>
      <c r="B849" s="1" t="s">
        <v>26440</v>
      </c>
      <c r="C849" s="1" t="s">
        <v>26441</v>
      </c>
      <c r="D849" s="1" t="s">
        <v>26442</v>
      </c>
      <c r="E849" s="1" t="s">
        <v>26443</v>
      </c>
      <c r="F849" s="1" t="s">
        <v>26444</v>
      </c>
      <c r="G849" s="1" t="s">
        <v>26445</v>
      </c>
      <c r="H849" s="1">
        <v>70</v>
      </c>
      <c r="I849" s="1" t="s">
        <v>8417</v>
      </c>
      <c r="J849" s="1" t="s">
        <v>18114</v>
      </c>
      <c r="K849" s="1" t="s">
        <v>26446</v>
      </c>
      <c r="L849" s="1" t="s">
        <v>26447</v>
      </c>
      <c r="M849" s="1" t="s">
        <v>26448</v>
      </c>
      <c r="N849" s="3" t="s">
        <v>26449</v>
      </c>
    </row>
    <row r="850" spans="1:14" ht="13.8">
      <c r="A850" s="1" t="s">
        <v>26450</v>
      </c>
      <c r="B850" s="1" t="s">
        <v>26451</v>
      </c>
      <c r="C850" s="1" t="s">
        <v>26452</v>
      </c>
      <c r="D850" s="1" t="s">
        <v>26453</v>
      </c>
      <c r="E850" s="1" t="s">
        <v>26454</v>
      </c>
      <c r="F850" s="1" t="s">
        <v>26455</v>
      </c>
      <c r="G850" s="1" t="s">
        <v>26456</v>
      </c>
      <c r="H850" s="1">
        <v>85</v>
      </c>
      <c r="I850" s="1" t="s">
        <v>8417</v>
      </c>
      <c r="J850" s="1" t="s">
        <v>15314</v>
      </c>
      <c r="K850" s="1" t="s">
        <v>26457</v>
      </c>
      <c r="L850" s="1" t="s">
        <v>26458</v>
      </c>
      <c r="M850" s="1" t="s">
        <v>26459</v>
      </c>
      <c r="N850" s="3" t="s">
        <v>26460</v>
      </c>
    </row>
    <row r="851" spans="1:14" ht="13.8">
      <c r="A851" s="1" t="s">
        <v>26461</v>
      </c>
      <c r="B851" s="1" t="s">
        <v>26462</v>
      </c>
      <c r="C851" s="1" t="s">
        <v>26463</v>
      </c>
      <c r="D851" s="1" t="s">
        <v>26464</v>
      </c>
      <c r="E851" s="1" t="s">
        <v>26465</v>
      </c>
      <c r="F851" s="1" t="s">
        <v>26466</v>
      </c>
      <c r="G851" s="1" t="s">
        <v>26467</v>
      </c>
      <c r="H851" s="1">
        <v>15</v>
      </c>
      <c r="I851" s="1" t="s">
        <v>14207</v>
      </c>
      <c r="J851" s="1" t="s">
        <v>14198</v>
      </c>
      <c r="K851" s="1" t="s">
        <v>26468</v>
      </c>
      <c r="L851" s="1" t="s">
        <v>26469</v>
      </c>
      <c r="M851" s="1" t="s">
        <v>26470</v>
      </c>
      <c r="N851" s="3" t="s">
        <v>26471</v>
      </c>
    </row>
    <row r="852" spans="1:14" ht="13.8">
      <c r="A852" s="1" t="s">
        <v>26472</v>
      </c>
      <c r="B852" s="1" t="s">
        <v>26473</v>
      </c>
      <c r="C852" s="1" t="s">
        <v>26474</v>
      </c>
      <c r="D852" s="1" t="s">
        <v>26475</v>
      </c>
      <c r="E852" s="1" t="s">
        <v>26476</v>
      </c>
      <c r="F852" s="1" t="s">
        <v>26477</v>
      </c>
      <c r="G852" s="1" t="s">
        <v>26478</v>
      </c>
      <c r="H852" s="1">
        <v>30</v>
      </c>
      <c r="I852" s="1" t="s">
        <v>14198</v>
      </c>
      <c r="J852" s="1" t="s">
        <v>14338</v>
      </c>
      <c r="K852" s="1" t="s">
        <v>26479</v>
      </c>
      <c r="L852" s="1" t="s">
        <v>26480</v>
      </c>
      <c r="M852" s="1" t="s">
        <v>26481</v>
      </c>
      <c r="N852" s="3" t="s">
        <v>26482</v>
      </c>
    </row>
    <row r="853" spans="1:14" ht="13.8">
      <c r="A853" s="1" t="s">
        <v>26483</v>
      </c>
      <c r="B853" s="1" t="s">
        <v>26484</v>
      </c>
      <c r="C853" s="1" t="s">
        <v>26485</v>
      </c>
      <c r="D853" s="1" t="s">
        <v>26486</v>
      </c>
      <c r="E853" s="1" t="s">
        <v>26487</v>
      </c>
      <c r="F853" s="1" t="s">
        <v>26488</v>
      </c>
      <c r="G853" s="1" t="s">
        <v>26489</v>
      </c>
      <c r="H853" s="1">
        <v>48</v>
      </c>
      <c r="I853" s="1" t="s">
        <v>14259</v>
      </c>
      <c r="J853" s="1" t="s">
        <v>14198</v>
      </c>
      <c r="K853" s="1" t="s">
        <v>26490</v>
      </c>
      <c r="L853" s="1" t="s">
        <v>26491</v>
      </c>
      <c r="M853" s="1" t="s">
        <v>26492</v>
      </c>
      <c r="N853" s="3" t="s">
        <v>26493</v>
      </c>
    </row>
    <row r="854" spans="1:14" ht="13.8">
      <c r="A854" s="1" t="s">
        <v>26494</v>
      </c>
      <c r="B854" s="1" t="s">
        <v>26495</v>
      </c>
      <c r="C854" s="1" t="s">
        <v>26496</v>
      </c>
      <c r="D854" s="1" t="s">
        <v>26497</v>
      </c>
      <c r="E854" s="1" t="s">
        <v>26498</v>
      </c>
      <c r="F854" s="1" t="s">
        <v>26499</v>
      </c>
      <c r="G854" s="1" t="s">
        <v>26500</v>
      </c>
      <c r="H854" s="1">
        <v>45</v>
      </c>
      <c r="I854" s="1" t="s">
        <v>14572</v>
      </c>
      <c r="J854" s="1" t="s">
        <v>14382</v>
      </c>
      <c r="K854" s="1" t="s">
        <v>26501</v>
      </c>
      <c r="L854" s="1" t="s">
        <v>26502</v>
      </c>
      <c r="M854" s="1" t="s">
        <v>26503</v>
      </c>
      <c r="N854" s="3" t="s">
        <v>26504</v>
      </c>
    </row>
    <row r="855" spans="1:14" ht="409.6">
      <c r="A855" s="1" t="s">
        <v>26505</v>
      </c>
      <c r="B855" s="1" t="s">
        <v>26506</v>
      </c>
      <c r="C855" s="1" t="s">
        <v>26507</v>
      </c>
      <c r="D855" s="1" t="s">
        <v>26508</v>
      </c>
      <c r="E855" s="1" t="s">
        <v>26509</v>
      </c>
      <c r="F855" s="1" t="s">
        <v>26510</v>
      </c>
      <c r="G855" s="1" t="s">
        <v>26511</v>
      </c>
      <c r="H855" s="1">
        <v>145</v>
      </c>
      <c r="I855" s="1" t="s">
        <v>8417</v>
      </c>
      <c r="J855" s="1" t="s">
        <v>15314</v>
      </c>
      <c r="K855" s="4" t="s">
        <v>26512</v>
      </c>
      <c r="L855" s="1" t="s">
        <v>26513</v>
      </c>
      <c r="M855" s="1" t="s">
        <v>26514</v>
      </c>
      <c r="N855" s="3" t="s">
        <v>26515</v>
      </c>
    </row>
    <row r="856" spans="1:14" ht="409.6">
      <c r="A856" s="1" t="s">
        <v>26516</v>
      </c>
      <c r="B856" s="1" t="s">
        <v>26517</v>
      </c>
      <c r="C856" s="1" t="s">
        <v>26518</v>
      </c>
      <c r="D856" s="1" t="s">
        <v>26519</v>
      </c>
      <c r="E856" s="1" t="s">
        <v>26520</v>
      </c>
      <c r="F856" s="1" t="s">
        <v>26521</v>
      </c>
      <c r="G856" s="1" t="s">
        <v>26522</v>
      </c>
      <c r="H856" s="1">
        <v>50</v>
      </c>
      <c r="I856" s="1" t="s">
        <v>8417</v>
      </c>
      <c r="J856" s="1" t="s">
        <v>18114</v>
      </c>
      <c r="K856" s="4" t="s">
        <v>26523</v>
      </c>
      <c r="L856" s="1" t="s">
        <v>26524</v>
      </c>
      <c r="M856" s="1" t="s">
        <v>26525</v>
      </c>
      <c r="N856" s="3" t="s">
        <v>26526</v>
      </c>
    </row>
    <row r="857" spans="1:14" ht="409.6">
      <c r="A857" s="1" t="s">
        <v>26527</v>
      </c>
      <c r="B857" s="1" t="s">
        <v>26528</v>
      </c>
      <c r="C857" s="1" t="s">
        <v>26529</v>
      </c>
      <c r="D857" s="1" t="s">
        <v>26530</v>
      </c>
      <c r="E857" s="1" t="s">
        <v>26531</v>
      </c>
      <c r="F857" s="1" t="s">
        <v>26532</v>
      </c>
      <c r="G857" s="1" t="s">
        <v>26533</v>
      </c>
      <c r="H857" s="1">
        <v>70</v>
      </c>
      <c r="I857" s="1" t="s">
        <v>14281</v>
      </c>
      <c r="J857" s="1" t="s">
        <v>14198</v>
      </c>
      <c r="K857" s="4" t="s">
        <v>26534</v>
      </c>
      <c r="L857" s="1" t="s">
        <v>26535</v>
      </c>
      <c r="M857" s="1" t="s">
        <v>26536</v>
      </c>
      <c r="N857" s="3" t="s">
        <v>26537</v>
      </c>
    </row>
    <row r="858" spans="1:14" ht="409.6">
      <c r="A858" s="1" t="s">
        <v>26538</v>
      </c>
      <c r="B858" s="1" t="s">
        <v>26539</v>
      </c>
      <c r="C858" s="1" t="s">
        <v>26540</v>
      </c>
      <c r="D858" s="1" t="s">
        <v>26541</v>
      </c>
      <c r="E858" s="1" t="s">
        <v>26542</v>
      </c>
      <c r="F858" s="1" t="s">
        <v>26543</v>
      </c>
      <c r="G858" s="1" t="s">
        <v>26544</v>
      </c>
      <c r="H858" s="1">
        <v>15</v>
      </c>
      <c r="I858" s="1" t="s">
        <v>145</v>
      </c>
      <c r="J858" s="1" t="s">
        <v>14198</v>
      </c>
      <c r="K858" s="4" t="s">
        <v>26545</v>
      </c>
      <c r="L858" s="1" t="s">
        <v>26546</v>
      </c>
      <c r="M858" s="1" t="s">
        <v>26547</v>
      </c>
      <c r="N858" s="3" t="s">
        <v>26548</v>
      </c>
    </row>
    <row r="859" spans="1:14" ht="409.6">
      <c r="A859" s="1" t="s">
        <v>26549</v>
      </c>
      <c r="B859" s="1" t="s">
        <v>26550</v>
      </c>
      <c r="C859" s="1" t="s">
        <v>26551</v>
      </c>
      <c r="D859" s="1" t="s">
        <v>26552</v>
      </c>
      <c r="E859" s="1" t="s">
        <v>26553</v>
      </c>
      <c r="F859" s="1" t="s">
        <v>26554</v>
      </c>
      <c r="G859" s="1" t="s">
        <v>26555</v>
      </c>
      <c r="H859" s="1">
        <v>45</v>
      </c>
      <c r="I859" s="1" t="s">
        <v>8417</v>
      </c>
      <c r="J859" s="1" t="s">
        <v>14198</v>
      </c>
      <c r="K859" s="4" t="s">
        <v>26556</v>
      </c>
      <c r="L859" s="1" t="s">
        <v>26557</v>
      </c>
      <c r="M859" s="1" t="s">
        <v>26558</v>
      </c>
      <c r="N859" s="3" t="s">
        <v>26559</v>
      </c>
    </row>
    <row r="860" spans="1:14" ht="409.6">
      <c r="A860" s="1" t="s">
        <v>26560</v>
      </c>
      <c r="B860" s="1" t="s">
        <v>26561</v>
      </c>
      <c r="C860" s="1" t="s">
        <v>26562</v>
      </c>
      <c r="D860" s="1" t="s">
        <v>26563</v>
      </c>
      <c r="E860" s="1" t="s">
        <v>26564</v>
      </c>
      <c r="F860" s="1" t="s">
        <v>26565</v>
      </c>
      <c r="G860" s="1" t="s">
        <v>26566</v>
      </c>
      <c r="H860" s="1">
        <v>40</v>
      </c>
      <c r="I860" s="1" t="s">
        <v>14281</v>
      </c>
      <c r="J860" s="1" t="s">
        <v>14198</v>
      </c>
      <c r="K860" s="4" t="s">
        <v>26567</v>
      </c>
      <c r="L860" s="1" t="s">
        <v>26568</v>
      </c>
      <c r="M860" s="1" t="s">
        <v>26569</v>
      </c>
      <c r="N860" s="3" t="s">
        <v>26570</v>
      </c>
    </row>
    <row r="861" spans="1:14" ht="13.8">
      <c r="A861" s="1" t="s">
        <v>26571</v>
      </c>
      <c r="B861" s="1" t="s">
        <v>26572</v>
      </c>
      <c r="C861" s="1" t="s">
        <v>26573</v>
      </c>
      <c r="D861" s="1" t="s">
        <v>26574</v>
      </c>
      <c r="E861" s="1" t="s">
        <v>26575</v>
      </c>
      <c r="F861" s="1" t="s">
        <v>26576</v>
      </c>
      <c r="G861" s="1" t="s">
        <v>26577</v>
      </c>
      <c r="H861" s="1">
        <v>50</v>
      </c>
      <c r="I861" s="1" t="s">
        <v>17252</v>
      </c>
      <c r="J861" s="1" t="s">
        <v>14198</v>
      </c>
      <c r="K861" s="1" t="s">
        <v>26578</v>
      </c>
      <c r="L861" s="1" t="s">
        <v>26579</v>
      </c>
      <c r="M861" s="1" t="s">
        <v>26580</v>
      </c>
      <c r="N861" s="3" t="s">
        <v>26581</v>
      </c>
    </row>
    <row r="862" spans="1:14" ht="13.8">
      <c r="A862" s="1" t="s">
        <v>22382</v>
      </c>
      <c r="B862" s="1" t="s">
        <v>26582</v>
      </c>
      <c r="C862" s="1" t="s">
        <v>26583</v>
      </c>
      <c r="D862" s="1" t="s">
        <v>26584</v>
      </c>
      <c r="E862" s="1" t="s">
        <v>26585</v>
      </c>
      <c r="F862" s="1" t="s">
        <v>26586</v>
      </c>
      <c r="G862" s="1" t="s">
        <v>26587</v>
      </c>
      <c r="H862" s="1">
        <v>25</v>
      </c>
      <c r="I862" s="1" t="s">
        <v>429</v>
      </c>
      <c r="J862" s="1" t="s">
        <v>14198</v>
      </c>
      <c r="K862" s="1" t="s">
        <v>26588</v>
      </c>
      <c r="L862" s="1" t="s">
        <v>26589</v>
      </c>
      <c r="M862" s="1" t="s">
        <v>26590</v>
      </c>
      <c r="N862" s="3" t="s">
        <v>26591</v>
      </c>
    </row>
    <row r="863" spans="1:14" ht="13.8">
      <c r="A863" s="1" t="s">
        <v>26592</v>
      </c>
      <c r="B863" s="1" t="s">
        <v>26593</v>
      </c>
      <c r="C863" s="1" t="s">
        <v>26594</v>
      </c>
      <c r="D863" s="1" t="s">
        <v>26595</v>
      </c>
      <c r="E863" s="1" t="s">
        <v>26596</v>
      </c>
      <c r="F863" s="1" t="s">
        <v>26597</v>
      </c>
      <c r="G863" s="1" t="s">
        <v>26598</v>
      </c>
      <c r="H863" s="1">
        <v>35</v>
      </c>
      <c r="I863" s="1" t="s">
        <v>17252</v>
      </c>
      <c r="J863" s="1" t="s">
        <v>14198</v>
      </c>
      <c r="K863" s="1" t="s">
        <v>26599</v>
      </c>
      <c r="L863" s="1" t="s">
        <v>26600</v>
      </c>
      <c r="M863" s="1" t="s">
        <v>26601</v>
      </c>
      <c r="N863" s="3" t="s">
        <v>26602</v>
      </c>
    </row>
    <row r="864" spans="1:14" ht="13.8">
      <c r="A864" s="1" t="s">
        <v>26603</v>
      </c>
      <c r="B864" s="1" t="s">
        <v>26604</v>
      </c>
      <c r="C864" s="1" t="s">
        <v>26605</v>
      </c>
      <c r="D864" s="1" t="s">
        <v>26606</v>
      </c>
      <c r="E864" s="1" t="s">
        <v>26607</v>
      </c>
      <c r="F864" s="1" t="s">
        <v>26608</v>
      </c>
      <c r="G864" s="1" t="s">
        <v>26609</v>
      </c>
      <c r="H864" s="1">
        <v>55</v>
      </c>
      <c r="I864" s="1" t="s">
        <v>429</v>
      </c>
      <c r="J864" s="1" t="s">
        <v>14198</v>
      </c>
      <c r="K864" s="1" t="s">
        <v>26610</v>
      </c>
      <c r="L864" s="1" t="s">
        <v>26611</v>
      </c>
      <c r="M864" s="1" t="s">
        <v>26612</v>
      </c>
      <c r="N864" s="3" t="s">
        <v>26613</v>
      </c>
    </row>
    <row r="865" spans="1:14" ht="409.6">
      <c r="A865" s="1" t="s">
        <v>26614</v>
      </c>
      <c r="B865" s="1" t="s">
        <v>26615</v>
      </c>
      <c r="C865" s="1" t="s">
        <v>26616</v>
      </c>
      <c r="D865" s="1" t="s">
        <v>26617</v>
      </c>
      <c r="E865" s="1" t="s">
        <v>26618</v>
      </c>
      <c r="F865" s="1" t="s">
        <v>26619</v>
      </c>
      <c r="G865" s="1" t="s">
        <v>26620</v>
      </c>
      <c r="H865" s="1">
        <v>25</v>
      </c>
      <c r="I865" s="1" t="s">
        <v>14572</v>
      </c>
      <c r="J865" s="1" t="s">
        <v>14237</v>
      </c>
      <c r="K865" s="4" t="s">
        <v>26621</v>
      </c>
      <c r="L865" s="1" t="s">
        <v>26622</v>
      </c>
      <c r="M865" s="1" t="s">
        <v>26623</v>
      </c>
      <c r="N865" s="3" t="s">
        <v>26624</v>
      </c>
    </row>
    <row r="866" spans="1:14" ht="13.8">
      <c r="A866" s="1" t="s">
        <v>26625</v>
      </c>
      <c r="B866" s="1" t="s">
        <v>26626</v>
      </c>
      <c r="C866" s="1" t="s">
        <v>26627</v>
      </c>
      <c r="D866" s="1" t="s">
        <v>26628</v>
      </c>
      <c r="E866" s="1" t="s">
        <v>26629</v>
      </c>
      <c r="F866" s="1" t="s">
        <v>26630</v>
      </c>
      <c r="G866" s="1" t="s">
        <v>26631</v>
      </c>
      <c r="H866" s="1">
        <v>60</v>
      </c>
      <c r="I866" s="1" t="s">
        <v>8417</v>
      </c>
      <c r="J866" s="1" t="s">
        <v>14198</v>
      </c>
      <c r="K866" s="1" t="s">
        <v>26632</v>
      </c>
      <c r="L866" s="1" t="s">
        <v>26633</v>
      </c>
      <c r="M866" s="1" t="s">
        <v>26634</v>
      </c>
      <c r="N866" s="3" t="s">
        <v>26635</v>
      </c>
    </row>
    <row r="867" spans="1:14" ht="409.6">
      <c r="A867" s="1" t="s">
        <v>26636</v>
      </c>
      <c r="B867" s="1" t="s">
        <v>26637</v>
      </c>
      <c r="C867" s="1" t="s">
        <v>26638</v>
      </c>
      <c r="D867" s="1" t="s">
        <v>26639</v>
      </c>
      <c r="E867" s="1" t="s">
        <v>26640</v>
      </c>
      <c r="F867" s="1" t="s">
        <v>26641</v>
      </c>
      <c r="G867" s="1" t="s">
        <v>26642</v>
      </c>
      <c r="H867" s="1">
        <v>48</v>
      </c>
      <c r="I867" s="1" t="s">
        <v>14281</v>
      </c>
      <c r="J867" s="1" t="s">
        <v>14198</v>
      </c>
      <c r="K867" s="4" t="s">
        <v>26643</v>
      </c>
      <c r="L867" s="1" t="s">
        <v>26644</v>
      </c>
      <c r="M867" s="1" t="s">
        <v>26645</v>
      </c>
      <c r="N867" s="3" t="s">
        <v>26646</v>
      </c>
    </row>
    <row r="868" spans="1:14" ht="409.6">
      <c r="A868" s="1" t="s">
        <v>26647</v>
      </c>
      <c r="B868" s="1" t="s">
        <v>26648</v>
      </c>
      <c r="C868" s="1" t="s">
        <v>26649</v>
      </c>
      <c r="D868" s="1" t="s">
        <v>26650</v>
      </c>
      <c r="E868" s="1" t="s">
        <v>26651</v>
      </c>
      <c r="F868" s="1" t="s">
        <v>26652</v>
      </c>
      <c r="G868" s="1" t="s">
        <v>26653</v>
      </c>
      <c r="H868" s="1">
        <v>60</v>
      </c>
      <c r="I868" s="1" t="s">
        <v>8417</v>
      </c>
      <c r="J868" s="1" t="s">
        <v>14198</v>
      </c>
      <c r="K868" s="4" t="s">
        <v>26654</v>
      </c>
      <c r="L868" s="1" t="s">
        <v>26655</v>
      </c>
      <c r="M868" s="1" t="s">
        <v>26656</v>
      </c>
      <c r="N868" s="3" t="s">
        <v>26657</v>
      </c>
    </row>
    <row r="869" spans="1:14" ht="409.6">
      <c r="A869" s="1" t="s">
        <v>26658</v>
      </c>
      <c r="B869" s="1" t="s">
        <v>26659</v>
      </c>
      <c r="C869" s="1" t="s">
        <v>26660</v>
      </c>
      <c r="D869" s="1" t="s">
        <v>26661</v>
      </c>
      <c r="E869" s="1" t="s">
        <v>26662</v>
      </c>
      <c r="F869" s="1" t="s">
        <v>26663</v>
      </c>
      <c r="G869" s="1" t="s">
        <v>26664</v>
      </c>
      <c r="H869" s="1">
        <v>140</v>
      </c>
      <c r="I869" s="1" t="s">
        <v>14572</v>
      </c>
      <c r="J869" s="1" t="s">
        <v>14382</v>
      </c>
      <c r="K869" s="4" t="s">
        <v>26665</v>
      </c>
      <c r="L869" s="1" t="s">
        <v>26666</v>
      </c>
      <c r="M869" s="1" t="s">
        <v>26667</v>
      </c>
      <c r="N869" s="3" t="s">
        <v>26668</v>
      </c>
    </row>
    <row r="870" spans="1:14" ht="13.8">
      <c r="A870" s="1" t="s">
        <v>26669</v>
      </c>
      <c r="B870" s="1" t="s">
        <v>26670</v>
      </c>
      <c r="C870" s="1" t="s">
        <v>26671</v>
      </c>
      <c r="D870" s="1" t="s">
        <v>26672</v>
      </c>
      <c r="E870" s="1" t="s">
        <v>26673</v>
      </c>
      <c r="F870" s="1" t="s">
        <v>26674</v>
      </c>
      <c r="G870" s="1" t="s">
        <v>26675</v>
      </c>
      <c r="H870" s="1">
        <v>40</v>
      </c>
      <c r="I870" s="1" t="s">
        <v>14207</v>
      </c>
      <c r="J870" s="1" t="s">
        <v>14198</v>
      </c>
      <c r="K870" s="1" t="s">
        <v>26676</v>
      </c>
      <c r="L870" s="1" t="s">
        <v>26677</v>
      </c>
      <c r="M870" s="1" t="s">
        <v>26678</v>
      </c>
      <c r="N870" s="3" t="s">
        <v>26679</v>
      </c>
    </row>
    <row r="871" spans="1:14" ht="13.8">
      <c r="A871" s="1" t="s">
        <v>26680</v>
      </c>
      <c r="B871" s="1" t="s">
        <v>26681</v>
      </c>
      <c r="C871" s="1" t="s">
        <v>26682</v>
      </c>
      <c r="D871" s="1" t="s">
        <v>26683</v>
      </c>
      <c r="E871" s="1" t="s">
        <v>26684</v>
      </c>
      <c r="F871" s="1" t="s">
        <v>26685</v>
      </c>
      <c r="G871" s="1" t="s">
        <v>26686</v>
      </c>
      <c r="H871" s="1">
        <v>25</v>
      </c>
      <c r="I871" s="1" t="s">
        <v>14207</v>
      </c>
      <c r="J871" s="1" t="s">
        <v>14198</v>
      </c>
      <c r="K871" s="1" t="s">
        <v>26687</v>
      </c>
      <c r="L871" s="1" t="s">
        <v>26688</v>
      </c>
      <c r="M871" s="1" t="s">
        <v>26689</v>
      </c>
      <c r="N871" s="3" t="s">
        <v>26690</v>
      </c>
    </row>
    <row r="872" spans="1:14" ht="409.6">
      <c r="A872" s="1" t="s">
        <v>26691</v>
      </c>
      <c r="B872" s="1" t="s">
        <v>26692</v>
      </c>
      <c r="C872" s="1" t="s">
        <v>26693</v>
      </c>
      <c r="D872" s="1" t="s">
        <v>26694</v>
      </c>
      <c r="E872" s="1" t="s">
        <v>26695</v>
      </c>
      <c r="F872" s="1" t="s">
        <v>26696</v>
      </c>
      <c r="G872" s="1" t="s">
        <v>26697</v>
      </c>
      <c r="H872" s="1">
        <v>70</v>
      </c>
      <c r="I872" s="1" t="s">
        <v>14281</v>
      </c>
      <c r="J872" s="1" t="s">
        <v>14198</v>
      </c>
      <c r="K872" s="4" t="s">
        <v>26698</v>
      </c>
      <c r="L872" s="1" t="s">
        <v>26699</v>
      </c>
      <c r="M872" s="1" t="s">
        <v>26700</v>
      </c>
      <c r="N872" s="3" t="s">
        <v>26701</v>
      </c>
    </row>
    <row r="873" spans="1:14" ht="409.6">
      <c r="A873" s="1" t="s">
        <v>26702</v>
      </c>
      <c r="B873" s="1" t="s">
        <v>26703</v>
      </c>
      <c r="C873" s="1" t="s">
        <v>26704</v>
      </c>
      <c r="D873" s="1" t="s">
        <v>26705</v>
      </c>
      <c r="E873" s="1" t="s">
        <v>26706</v>
      </c>
      <c r="F873" s="1" t="s">
        <v>26707</v>
      </c>
      <c r="G873" s="1" t="s">
        <v>26708</v>
      </c>
      <c r="H873" s="1">
        <v>40</v>
      </c>
      <c r="I873" s="1" t="s">
        <v>17252</v>
      </c>
      <c r="J873" s="1" t="s">
        <v>14237</v>
      </c>
      <c r="K873" s="4" t="s">
        <v>26709</v>
      </c>
      <c r="L873" s="1" t="s">
        <v>26710</v>
      </c>
      <c r="M873" s="1" t="s">
        <v>26711</v>
      </c>
      <c r="N873" s="3" t="s">
        <v>26712</v>
      </c>
    </row>
    <row r="874" spans="1:14" ht="409.6">
      <c r="A874" s="1" t="s">
        <v>26713</v>
      </c>
      <c r="B874" s="1" t="s">
        <v>26714</v>
      </c>
      <c r="C874" s="1" t="s">
        <v>26715</v>
      </c>
      <c r="D874" s="1" t="s">
        <v>26716</v>
      </c>
      <c r="E874" s="1" t="s">
        <v>26717</v>
      </c>
      <c r="F874" s="1" t="s">
        <v>26718</v>
      </c>
      <c r="G874" s="1" t="s">
        <v>26719</v>
      </c>
      <c r="H874" s="1">
        <v>90</v>
      </c>
      <c r="I874" s="1" t="s">
        <v>14281</v>
      </c>
      <c r="J874" s="1" t="s">
        <v>14198</v>
      </c>
      <c r="K874" s="4" t="s">
        <v>26720</v>
      </c>
      <c r="L874" s="1" t="s">
        <v>26721</v>
      </c>
      <c r="M874" s="1" t="s">
        <v>26722</v>
      </c>
      <c r="N874" s="3" t="s">
        <v>26723</v>
      </c>
    </row>
    <row r="875" spans="1:14" ht="13.8">
      <c r="A875" s="1" t="s">
        <v>26724</v>
      </c>
      <c r="B875" s="1" t="s">
        <v>26725</v>
      </c>
      <c r="C875" s="1" t="s">
        <v>26726</v>
      </c>
      <c r="D875" s="1" t="s">
        <v>26727</v>
      </c>
      <c r="E875" s="1" t="s">
        <v>26728</v>
      </c>
      <c r="F875" s="1" t="s">
        <v>26729</v>
      </c>
      <c r="G875" s="1" t="s">
        <v>26730</v>
      </c>
      <c r="H875" s="1">
        <v>55</v>
      </c>
      <c r="I875" s="1" t="s">
        <v>145</v>
      </c>
      <c r="J875" s="1" t="s">
        <v>14382</v>
      </c>
      <c r="K875" s="1" t="s">
        <v>26731</v>
      </c>
      <c r="L875" s="1" t="s">
        <v>26732</v>
      </c>
      <c r="M875" s="1" t="s">
        <v>26733</v>
      </c>
      <c r="N875" s="3" t="s">
        <v>26734</v>
      </c>
    </row>
    <row r="876" spans="1:14" ht="409.6">
      <c r="A876" s="1" t="s">
        <v>26735</v>
      </c>
      <c r="B876" s="1" t="s">
        <v>26736</v>
      </c>
      <c r="C876" s="1" t="s">
        <v>26737</v>
      </c>
      <c r="D876" s="1" t="s">
        <v>26738</v>
      </c>
      <c r="E876" s="1" t="s">
        <v>26739</v>
      </c>
      <c r="F876" s="1" t="s">
        <v>26740</v>
      </c>
      <c r="G876" s="1" t="s">
        <v>26741</v>
      </c>
      <c r="H876" s="1">
        <v>40</v>
      </c>
      <c r="I876" s="1" t="s">
        <v>14572</v>
      </c>
      <c r="J876" s="1" t="s">
        <v>14198</v>
      </c>
      <c r="K876" s="4" t="s">
        <v>26742</v>
      </c>
      <c r="L876" s="1" t="s">
        <v>26743</v>
      </c>
      <c r="M876" s="1" t="s">
        <v>26744</v>
      </c>
      <c r="N876" s="3" t="s">
        <v>26745</v>
      </c>
    </row>
    <row r="877" spans="1:14" ht="409.6">
      <c r="A877" s="1" t="s">
        <v>26746</v>
      </c>
      <c r="B877" s="1" t="s">
        <v>26747</v>
      </c>
      <c r="C877" s="1" t="s">
        <v>26748</v>
      </c>
      <c r="D877" s="1" t="s">
        <v>26749</v>
      </c>
      <c r="E877" s="1" t="s">
        <v>26750</v>
      </c>
      <c r="F877" s="1" t="s">
        <v>26751</v>
      </c>
      <c r="G877" s="1" t="s">
        <v>26752</v>
      </c>
      <c r="H877" s="1">
        <v>30</v>
      </c>
      <c r="I877" s="1" t="s">
        <v>17252</v>
      </c>
      <c r="J877" s="1" t="s">
        <v>14198</v>
      </c>
      <c r="K877" s="4" t="s">
        <v>26753</v>
      </c>
      <c r="L877" s="1" t="s">
        <v>26754</v>
      </c>
      <c r="M877" s="1" t="s">
        <v>26755</v>
      </c>
      <c r="N877" s="3" t="s">
        <v>26756</v>
      </c>
    </row>
    <row r="878" spans="1:14" ht="409.6">
      <c r="A878" s="1" t="s">
        <v>26757</v>
      </c>
      <c r="B878" s="1" t="s">
        <v>26758</v>
      </c>
      <c r="C878" s="1" t="s">
        <v>26759</v>
      </c>
      <c r="D878" s="1" t="s">
        <v>26760</v>
      </c>
      <c r="E878" s="1" t="s">
        <v>26761</v>
      </c>
      <c r="F878" s="1" t="s">
        <v>26762</v>
      </c>
      <c r="G878" s="1" t="s">
        <v>26763</v>
      </c>
      <c r="H878" s="1">
        <v>35</v>
      </c>
      <c r="I878" s="1" t="s">
        <v>14207</v>
      </c>
      <c r="J878" s="1" t="s">
        <v>14198</v>
      </c>
      <c r="K878" s="4" t="s">
        <v>26764</v>
      </c>
      <c r="L878" s="1" t="s">
        <v>26765</v>
      </c>
      <c r="M878" s="1" t="s">
        <v>26766</v>
      </c>
      <c r="N878" s="3" t="s">
        <v>26767</v>
      </c>
    </row>
    <row r="879" spans="1:14" ht="409.6">
      <c r="A879" s="1" t="s">
        <v>26768</v>
      </c>
      <c r="B879" s="1" t="s">
        <v>26769</v>
      </c>
      <c r="C879" s="1" t="s">
        <v>26770</v>
      </c>
      <c r="D879" s="1" t="s">
        <v>26771</v>
      </c>
      <c r="E879" s="1" t="s">
        <v>26772</v>
      </c>
      <c r="F879" s="1" t="s">
        <v>26773</v>
      </c>
      <c r="G879" s="1" t="s">
        <v>26774</v>
      </c>
      <c r="H879" s="1">
        <v>60</v>
      </c>
      <c r="I879" s="1" t="s">
        <v>14281</v>
      </c>
      <c r="J879" s="1" t="s">
        <v>14198</v>
      </c>
      <c r="K879" s="4" t="s">
        <v>26775</v>
      </c>
      <c r="L879" s="1" t="s">
        <v>26776</v>
      </c>
      <c r="M879" s="1" t="s">
        <v>26777</v>
      </c>
      <c r="N879" s="3" t="s">
        <v>26778</v>
      </c>
    </row>
    <row r="880" spans="1:14" ht="409.6">
      <c r="A880" s="1" t="s">
        <v>26779</v>
      </c>
      <c r="B880" s="1" t="s">
        <v>26780</v>
      </c>
      <c r="C880" s="1" t="s">
        <v>26781</v>
      </c>
      <c r="D880" s="1" t="s">
        <v>26782</v>
      </c>
      <c r="E880" s="1" t="s">
        <v>26783</v>
      </c>
      <c r="F880" s="1" t="s">
        <v>26784</v>
      </c>
      <c r="G880" s="1" t="s">
        <v>26785</v>
      </c>
      <c r="H880" s="1">
        <v>55</v>
      </c>
      <c r="I880" s="1" t="s">
        <v>14281</v>
      </c>
      <c r="J880" s="1" t="s">
        <v>14237</v>
      </c>
      <c r="K880" s="4" t="s">
        <v>26786</v>
      </c>
      <c r="L880" s="1" t="s">
        <v>26787</v>
      </c>
      <c r="M880" s="1" t="s">
        <v>26788</v>
      </c>
      <c r="N880" s="3" t="s">
        <v>26789</v>
      </c>
    </row>
    <row r="881" spans="1:14" ht="409.6">
      <c r="A881" s="1" t="s">
        <v>26790</v>
      </c>
      <c r="B881" s="1" t="s">
        <v>26791</v>
      </c>
      <c r="C881" s="1" t="s">
        <v>26792</v>
      </c>
      <c r="D881" s="1" t="s">
        <v>26793</v>
      </c>
      <c r="E881" s="1" t="s">
        <v>26794</v>
      </c>
      <c r="F881" s="1" t="s">
        <v>26795</v>
      </c>
      <c r="G881" s="1" t="s">
        <v>26796</v>
      </c>
      <c r="H881" s="1">
        <v>60</v>
      </c>
      <c r="I881" s="1" t="s">
        <v>17252</v>
      </c>
      <c r="J881" s="1" t="s">
        <v>15102</v>
      </c>
      <c r="K881" s="4" t="s">
        <v>26797</v>
      </c>
      <c r="L881" s="1" t="s">
        <v>26798</v>
      </c>
      <c r="M881" s="1" t="s">
        <v>26799</v>
      </c>
      <c r="N881" s="3" t="s">
        <v>26800</v>
      </c>
    </row>
    <row r="882" spans="1:14" ht="13.8">
      <c r="A882" s="1" t="s">
        <v>26801</v>
      </c>
      <c r="B882" s="1" t="s">
        <v>26802</v>
      </c>
      <c r="C882" s="1" t="s">
        <v>26803</v>
      </c>
      <c r="D882" s="1" t="s">
        <v>26804</v>
      </c>
      <c r="E882" s="1" t="s">
        <v>26805</v>
      </c>
      <c r="F882" s="1" t="s">
        <v>26806</v>
      </c>
      <c r="G882" s="1" t="s">
        <v>26807</v>
      </c>
      <c r="H882" s="1">
        <v>90</v>
      </c>
      <c r="I882" s="1" t="s">
        <v>8417</v>
      </c>
      <c r="J882" s="1" t="s">
        <v>14198</v>
      </c>
      <c r="K882" s="1" t="s">
        <v>26808</v>
      </c>
      <c r="L882" s="1" t="s">
        <v>26809</v>
      </c>
      <c r="M882" s="1" t="s">
        <v>26810</v>
      </c>
      <c r="N882" s="3" t="s">
        <v>26811</v>
      </c>
    </row>
    <row r="883" spans="1:14" ht="13.8">
      <c r="A883" s="1" t="s">
        <v>26812</v>
      </c>
      <c r="B883" s="1" t="s">
        <v>26813</v>
      </c>
      <c r="C883" s="1" t="s">
        <v>26814</v>
      </c>
      <c r="D883" s="1" t="s">
        <v>26815</v>
      </c>
      <c r="E883" s="1" t="s">
        <v>26816</v>
      </c>
      <c r="F883" s="1" t="s">
        <v>26817</v>
      </c>
      <c r="G883" s="1" t="s">
        <v>26818</v>
      </c>
      <c r="H883" s="1">
        <v>50</v>
      </c>
      <c r="I883" s="1" t="s">
        <v>17252</v>
      </c>
      <c r="J883" s="1" t="s">
        <v>14198</v>
      </c>
      <c r="K883" s="1" t="s">
        <v>26819</v>
      </c>
      <c r="L883" s="1" t="s">
        <v>26820</v>
      </c>
      <c r="M883" s="1" t="s">
        <v>26821</v>
      </c>
      <c r="N883" s="3" t="s">
        <v>26822</v>
      </c>
    </row>
    <row r="884" spans="1:14" ht="409.6">
      <c r="A884" s="1" t="s">
        <v>26823</v>
      </c>
      <c r="B884" s="1" t="s">
        <v>26824</v>
      </c>
      <c r="C884" s="1" t="s">
        <v>26825</v>
      </c>
      <c r="D884" s="1" t="s">
        <v>26826</v>
      </c>
      <c r="E884" s="1" t="s">
        <v>26827</v>
      </c>
      <c r="F884" s="1" t="s">
        <v>26828</v>
      </c>
      <c r="G884" s="1" t="s">
        <v>26829</v>
      </c>
      <c r="H884" s="1">
        <v>490</v>
      </c>
      <c r="I884" s="1" t="s">
        <v>8417</v>
      </c>
      <c r="J884" s="1" t="s">
        <v>14198</v>
      </c>
      <c r="K884" s="4" t="s">
        <v>26830</v>
      </c>
      <c r="L884" s="1" t="s">
        <v>26831</v>
      </c>
      <c r="M884" s="1" t="s">
        <v>26832</v>
      </c>
      <c r="N884" s="3" t="s">
        <v>26833</v>
      </c>
    </row>
    <row r="885" spans="1:14" ht="409.6">
      <c r="A885" s="1" t="s">
        <v>26834</v>
      </c>
      <c r="B885" s="1" t="s">
        <v>26835</v>
      </c>
      <c r="C885" s="1" t="s">
        <v>26836</v>
      </c>
      <c r="D885" s="1" t="s">
        <v>26837</v>
      </c>
      <c r="E885" s="1" t="s">
        <v>26838</v>
      </c>
      <c r="F885" s="1" t="s">
        <v>26839</v>
      </c>
      <c r="G885" s="1" t="s">
        <v>26840</v>
      </c>
      <c r="H885" s="1">
        <v>255</v>
      </c>
      <c r="I885" s="1" t="s">
        <v>14207</v>
      </c>
      <c r="J885" s="1" t="s">
        <v>14198</v>
      </c>
      <c r="K885" s="4" t="s">
        <v>26841</v>
      </c>
      <c r="L885" s="1" t="s">
        <v>26842</v>
      </c>
      <c r="M885" s="1" t="s">
        <v>26843</v>
      </c>
      <c r="N885" s="3" t="s">
        <v>26844</v>
      </c>
    </row>
    <row r="886" spans="1:14" ht="13.8">
      <c r="A886" s="1" t="s">
        <v>26845</v>
      </c>
      <c r="B886" s="1" t="s">
        <v>26846</v>
      </c>
      <c r="C886" s="1" t="s">
        <v>26847</v>
      </c>
      <c r="D886" s="1" t="s">
        <v>26848</v>
      </c>
      <c r="E886" s="1" t="s">
        <v>26849</v>
      </c>
      <c r="F886" s="1" t="s">
        <v>26850</v>
      </c>
      <c r="G886" s="1" t="s">
        <v>26851</v>
      </c>
      <c r="H886" s="1">
        <v>40</v>
      </c>
      <c r="I886" s="1" t="s">
        <v>14572</v>
      </c>
      <c r="J886" s="1" t="s">
        <v>14198</v>
      </c>
      <c r="K886" s="1" t="s">
        <v>26852</v>
      </c>
      <c r="L886" s="1" t="s">
        <v>26853</v>
      </c>
      <c r="M886" s="1" t="s">
        <v>26854</v>
      </c>
      <c r="N886" s="3" t="s">
        <v>26855</v>
      </c>
    </row>
    <row r="887" spans="1:14" ht="13.8">
      <c r="A887" s="1" t="s">
        <v>26856</v>
      </c>
      <c r="B887" s="1" t="s">
        <v>26857</v>
      </c>
      <c r="C887" s="1" t="s">
        <v>26858</v>
      </c>
      <c r="D887" s="1" t="s">
        <v>26859</v>
      </c>
      <c r="E887" s="1" t="s">
        <v>26860</v>
      </c>
      <c r="F887" s="1" t="s">
        <v>26861</v>
      </c>
      <c r="G887" s="1" t="s">
        <v>26862</v>
      </c>
      <c r="H887" s="1">
        <v>65</v>
      </c>
      <c r="I887" s="1" t="s">
        <v>8417</v>
      </c>
      <c r="J887" s="1" t="s">
        <v>15102</v>
      </c>
      <c r="K887" s="1" t="s">
        <v>26863</v>
      </c>
      <c r="L887" s="1" t="s">
        <v>26864</v>
      </c>
      <c r="M887" s="1" t="s">
        <v>26865</v>
      </c>
      <c r="N887" s="3" t="s">
        <v>26866</v>
      </c>
    </row>
    <row r="888" spans="1:14" ht="13.8">
      <c r="A888" s="1" t="s">
        <v>26867</v>
      </c>
      <c r="B888" s="1" t="s">
        <v>26868</v>
      </c>
      <c r="C888" s="1" t="s">
        <v>26869</v>
      </c>
      <c r="D888" s="1" t="s">
        <v>26870</v>
      </c>
      <c r="E888" s="1" t="s">
        <v>26871</v>
      </c>
      <c r="F888" s="1" t="s">
        <v>26872</v>
      </c>
      <c r="G888" s="1" t="s">
        <v>26873</v>
      </c>
      <c r="H888" s="1">
        <v>25</v>
      </c>
      <c r="I888" s="1" t="s">
        <v>14281</v>
      </c>
      <c r="J888" s="1" t="s">
        <v>17937</v>
      </c>
      <c r="K888" s="1" t="s">
        <v>26874</v>
      </c>
      <c r="L888" s="1" t="s">
        <v>26875</v>
      </c>
      <c r="M888" s="1" t="s">
        <v>26876</v>
      </c>
      <c r="N888" s="3" t="s">
        <v>26877</v>
      </c>
    </row>
    <row r="889" spans="1:14" ht="13.8">
      <c r="A889" s="1" t="s">
        <v>26878</v>
      </c>
      <c r="B889" s="1" t="s">
        <v>26879</v>
      </c>
      <c r="C889" s="1" t="s">
        <v>26880</v>
      </c>
      <c r="D889" s="1" t="s">
        <v>26881</v>
      </c>
      <c r="E889" s="1" t="s">
        <v>26882</v>
      </c>
      <c r="F889" s="1" t="s">
        <v>26883</v>
      </c>
      <c r="G889" s="1" t="s">
        <v>26884</v>
      </c>
      <c r="H889" s="1">
        <v>30</v>
      </c>
      <c r="I889" s="1" t="s">
        <v>14207</v>
      </c>
      <c r="J889" s="1" t="s">
        <v>14198</v>
      </c>
      <c r="K889" s="1" t="s">
        <v>26885</v>
      </c>
      <c r="L889" s="1" t="s">
        <v>26886</v>
      </c>
      <c r="M889" s="1" t="s">
        <v>26887</v>
      </c>
      <c r="N889" s="3" t="s">
        <v>26888</v>
      </c>
    </row>
    <row r="890" spans="1:14" ht="13.8">
      <c r="A890" s="1" t="s">
        <v>26242</v>
      </c>
      <c r="B890" s="1" t="s">
        <v>26889</v>
      </c>
      <c r="C890" s="1" t="s">
        <v>26890</v>
      </c>
      <c r="D890" s="1" t="s">
        <v>26891</v>
      </c>
      <c r="E890" s="1" t="s">
        <v>26892</v>
      </c>
      <c r="F890" s="1" t="s">
        <v>26893</v>
      </c>
      <c r="G890" s="1" t="s">
        <v>26894</v>
      </c>
      <c r="H890" s="1">
        <v>15</v>
      </c>
      <c r="I890" s="1" t="s">
        <v>14572</v>
      </c>
      <c r="J890" s="1" t="s">
        <v>14198</v>
      </c>
      <c r="K890" s="1" t="s">
        <v>26895</v>
      </c>
      <c r="L890" s="1" t="s">
        <v>26896</v>
      </c>
      <c r="M890" s="1" t="s">
        <v>26897</v>
      </c>
      <c r="N890" s="3" t="s">
        <v>26898</v>
      </c>
    </row>
    <row r="891" spans="1:14" ht="13.8">
      <c r="A891" s="1" t="s">
        <v>26899</v>
      </c>
      <c r="B891" s="1" t="s">
        <v>26900</v>
      </c>
      <c r="C891" s="1" t="s">
        <v>26901</v>
      </c>
      <c r="D891" s="1" t="s">
        <v>26902</v>
      </c>
      <c r="E891" s="1" t="s">
        <v>26903</v>
      </c>
      <c r="F891" s="1" t="s">
        <v>26904</v>
      </c>
      <c r="G891" s="1" t="s">
        <v>26905</v>
      </c>
      <c r="H891" s="1">
        <v>20</v>
      </c>
      <c r="I891" s="1" t="s">
        <v>17252</v>
      </c>
      <c r="J891" s="1" t="s">
        <v>15314</v>
      </c>
      <c r="K891" s="1" t="s">
        <v>26906</v>
      </c>
      <c r="L891" s="1" t="s">
        <v>26907</v>
      </c>
      <c r="M891" s="1" t="s">
        <v>26908</v>
      </c>
      <c r="N891" s="3" t="s">
        <v>26909</v>
      </c>
    </row>
    <row r="892" spans="1:14" ht="13.8">
      <c r="A892" s="1" t="s">
        <v>26910</v>
      </c>
      <c r="B892" s="1" t="s">
        <v>26911</v>
      </c>
      <c r="C892" s="1" t="s">
        <v>26912</v>
      </c>
      <c r="D892" s="1" t="s">
        <v>26913</v>
      </c>
      <c r="E892" s="1" t="s">
        <v>26914</v>
      </c>
      <c r="F892" s="1" t="s">
        <v>26915</v>
      </c>
      <c r="G892" s="1" t="s">
        <v>26916</v>
      </c>
      <c r="H892" s="1">
        <v>65</v>
      </c>
      <c r="I892" s="1" t="s">
        <v>8417</v>
      </c>
      <c r="J892" s="1" t="s">
        <v>14198</v>
      </c>
      <c r="K892" s="1" t="s">
        <v>26917</v>
      </c>
      <c r="L892" s="1" t="s">
        <v>26918</v>
      </c>
      <c r="M892" s="1" t="s">
        <v>26919</v>
      </c>
      <c r="N892" s="3" t="s">
        <v>26920</v>
      </c>
    </row>
    <row r="893" spans="1:14" ht="409.6">
      <c r="A893" s="1" t="s">
        <v>26921</v>
      </c>
      <c r="B893" s="1" t="s">
        <v>26922</v>
      </c>
      <c r="C893" s="1" t="s">
        <v>26923</v>
      </c>
      <c r="D893" s="1" t="s">
        <v>26924</v>
      </c>
      <c r="E893" s="1" t="s">
        <v>26925</v>
      </c>
      <c r="F893" s="1" t="s">
        <v>26926</v>
      </c>
      <c r="G893" s="1" t="s">
        <v>26927</v>
      </c>
      <c r="H893" s="1">
        <v>40</v>
      </c>
      <c r="I893" s="1" t="s">
        <v>14572</v>
      </c>
      <c r="J893" s="1" t="s">
        <v>14382</v>
      </c>
      <c r="K893" s="4" t="s">
        <v>26928</v>
      </c>
      <c r="L893" s="1" t="s">
        <v>26929</v>
      </c>
      <c r="M893" s="1" t="s">
        <v>26930</v>
      </c>
      <c r="N893" s="3" t="s">
        <v>26931</v>
      </c>
    </row>
    <row r="894" spans="1:14" ht="13.8">
      <c r="A894" s="1" t="s">
        <v>26932</v>
      </c>
      <c r="B894" s="1" t="s">
        <v>26933</v>
      </c>
      <c r="C894" s="1" t="s">
        <v>26934</v>
      </c>
      <c r="D894" s="1" t="s">
        <v>26935</v>
      </c>
      <c r="E894" s="1" t="s">
        <v>26936</v>
      </c>
      <c r="F894" s="1" t="s">
        <v>26937</v>
      </c>
      <c r="G894" s="1" t="s">
        <v>26938</v>
      </c>
      <c r="H894" s="1">
        <v>30</v>
      </c>
      <c r="I894" s="1" t="s">
        <v>14207</v>
      </c>
      <c r="J894" s="1" t="s">
        <v>14198</v>
      </c>
      <c r="K894" s="1" t="s">
        <v>26939</v>
      </c>
      <c r="L894" s="1" t="s">
        <v>26940</v>
      </c>
      <c r="M894" s="1" t="s">
        <v>26941</v>
      </c>
      <c r="N894" s="3" t="s">
        <v>26942</v>
      </c>
    </row>
    <row r="895" spans="1:14" ht="409.6">
      <c r="A895" s="1" t="s">
        <v>26943</v>
      </c>
      <c r="B895" s="1" t="s">
        <v>26944</v>
      </c>
      <c r="C895" s="1" t="s">
        <v>26945</v>
      </c>
      <c r="D895" s="1" t="s">
        <v>26946</v>
      </c>
      <c r="E895" s="1" t="s">
        <v>26947</v>
      </c>
      <c r="F895" s="1" t="s">
        <v>26948</v>
      </c>
      <c r="G895" s="1" t="s">
        <v>26949</v>
      </c>
      <c r="H895" s="1">
        <v>10</v>
      </c>
      <c r="I895" s="1" t="s">
        <v>14572</v>
      </c>
      <c r="J895" s="1" t="s">
        <v>14198</v>
      </c>
      <c r="K895" s="4" t="s">
        <v>26950</v>
      </c>
      <c r="L895" s="1" t="s">
        <v>26951</v>
      </c>
      <c r="M895" s="1" t="s">
        <v>26952</v>
      </c>
      <c r="N895" s="3" t="s">
        <v>26953</v>
      </c>
    </row>
    <row r="896" spans="1:14" ht="409.6">
      <c r="A896" s="1" t="s">
        <v>26954</v>
      </c>
      <c r="B896" s="1" t="s">
        <v>26955</v>
      </c>
      <c r="C896" s="1" t="s">
        <v>26956</v>
      </c>
      <c r="D896" s="1" t="s">
        <v>26957</v>
      </c>
      <c r="E896" s="1" t="s">
        <v>26958</v>
      </c>
      <c r="F896" s="1" t="s">
        <v>26959</v>
      </c>
      <c r="G896" s="1" t="s">
        <v>26960</v>
      </c>
      <c r="H896" s="1">
        <v>25</v>
      </c>
      <c r="I896" s="1" t="s">
        <v>17252</v>
      </c>
      <c r="J896" s="1" t="s">
        <v>15314</v>
      </c>
      <c r="K896" s="4" t="s">
        <v>26961</v>
      </c>
      <c r="L896" s="1" t="s">
        <v>26962</v>
      </c>
      <c r="M896" s="1" t="s">
        <v>26963</v>
      </c>
      <c r="N896" s="3" t="s">
        <v>26964</v>
      </c>
    </row>
    <row r="897" spans="1:14" ht="13.8">
      <c r="A897" s="1" t="s">
        <v>26965</v>
      </c>
      <c r="B897" s="1" t="s">
        <v>26966</v>
      </c>
      <c r="C897" s="1" t="s">
        <v>26967</v>
      </c>
      <c r="D897" s="1" t="s">
        <v>26968</v>
      </c>
      <c r="E897" s="1" t="s">
        <v>26969</v>
      </c>
      <c r="F897" s="1" t="s">
        <v>26970</v>
      </c>
      <c r="G897" s="1" t="s">
        <v>26971</v>
      </c>
      <c r="H897" s="1">
        <v>45</v>
      </c>
      <c r="I897" s="1" t="s">
        <v>14572</v>
      </c>
      <c r="J897" s="1" t="s">
        <v>14237</v>
      </c>
      <c r="K897" s="1" t="s">
        <v>26972</v>
      </c>
      <c r="L897" s="1" t="s">
        <v>26973</v>
      </c>
      <c r="M897" s="1" t="s">
        <v>26974</v>
      </c>
      <c r="N897" s="3" t="s">
        <v>26975</v>
      </c>
    </row>
    <row r="898" spans="1:14" ht="409.6">
      <c r="A898" s="1" t="s">
        <v>26976</v>
      </c>
      <c r="B898" s="1" t="s">
        <v>26977</v>
      </c>
      <c r="C898" s="1" t="s">
        <v>26978</v>
      </c>
      <c r="D898" s="1" t="s">
        <v>26979</v>
      </c>
      <c r="E898" s="1" t="s">
        <v>26980</v>
      </c>
      <c r="F898" s="1" t="s">
        <v>26981</v>
      </c>
      <c r="G898" s="1" t="s">
        <v>26982</v>
      </c>
      <c r="H898" s="1">
        <v>30</v>
      </c>
      <c r="I898" s="1" t="s">
        <v>14259</v>
      </c>
      <c r="J898" s="1" t="s">
        <v>14367</v>
      </c>
      <c r="K898" s="4" t="s">
        <v>26983</v>
      </c>
      <c r="L898" s="1" t="s">
        <v>26984</v>
      </c>
      <c r="M898" s="1" t="s">
        <v>26985</v>
      </c>
      <c r="N898" s="3" t="s">
        <v>26986</v>
      </c>
    </row>
    <row r="899" spans="1:14" ht="13.8">
      <c r="A899" s="1" t="s">
        <v>26987</v>
      </c>
      <c r="B899" s="1" t="s">
        <v>26988</v>
      </c>
      <c r="C899" s="1" t="s">
        <v>26989</v>
      </c>
      <c r="D899" s="1" t="s">
        <v>26990</v>
      </c>
      <c r="E899" s="1" t="s">
        <v>26991</v>
      </c>
      <c r="F899" s="1" t="s">
        <v>26992</v>
      </c>
      <c r="G899" s="1" t="s">
        <v>26993</v>
      </c>
      <c r="H899" s="1">
        <v>25</v>
      </c>
      <c r="I899" s="1" t="s">
        <v>14572</v>
      </c>
      <c r="J899" s="1" t="s">
        <v>14198</v>
      </c>
      <c r="K899" s="1" t="s">
        <v>26994</v>
      </c>
      <c r="L899" s="1" t="s">
        <v>26995</v>
      </c>
      <c r="M899" s="1" t="s">
        <v>26996</v>
      </c>
      <c r="N899" s="3" t="s">
        <v>26997</v>
      </c>
    </row>
    <row r="900" spans="1:14" ht="409.6">
      <c r="A900" s="1" t="s">
        <v>26998</v>
      </c>
      <c r="B900" s="1" t="s">
        <v>26999</v>
      </c>
      <c r="C900" s="1" t="s">
        <v>27000</v>
      </c>
      <c r="D900" s="1" t="s">
        <v>27001</v>
      </c>
      <c r="E900" s="1" t="s">
        <v>27002</v>
      </c>
      <c r="F900" s="1" t="s">
        <v>27003</v>
      </c>
      <c r="G900" s="1" t="s">
        <v>27004</v>
      </c>
      <c r="H900" s="1">
        <v>10</v>
      </c>
      <c r="I900" s="1" t="s">
        <v>17252</v>
      </c>
      <c r="J900" s="1" t="s">
        <v>14198</v>
      </c>
      <c r="K900" s="4" t="s">
        <v>27005</v>
      </c>
      <c r="L900" s="1" t="s">
        <v>27006</v>
      </c>
      <c r="M900" s="1" t="s">
        <v>27007</v>
      </c>
      <c r="N900" s="3" t="s">
        <v>27008</v>
      </c>
    </row>
    <row r="901" spans="1:14" ht="13.8">
      <c r="A901" s="1" t="s">
        <v>27009</v>
      </c>
      <c r="B901" s="1" t="s">
        <v>27010</v>
      </c>
      <c r="C901" s="1" t="s">
        <v>27011</v>
      </c>
      <c r="D901" s="1" t="s">
        <v>27012</v>
      </c>
      <c r="E901" s="1" t="s">
        <v>27013</v>
      </c>
      <c r="F901" s="1" t="s">
        <v>27014</v>
      </c>
      <c r="G901" s="1" t="s">
        <v>27015</v>
      </c>
      <c r="H901" s="1">
        <v>10</v>
      </c>
      <c r="I901" s="1" t="s">
        <v>17252</v>
      </c>
      <c r="J901" s="1" t="s">
        <v>14198</v>
      </c>
      <c r="K901" s="1" t="s">
        <v>27016</v>
      </c>
      <c r="L901" s="1" t="s">
        <v>27017</v>
      </c>
      <c r="M901" s="1" t="s">
        <v>27018</v>
      </c>
      <c r="N901" s="3" t="s">
        <v>27019</v>
      </c>
    </row>
    <row r="902" spans="1:14" ht="13.8">
      <c r="A902" s="1" t="s">
        <v>27020</v>
      </c>
      <c r="B902" s="1" t="s">
        <v>27021</v>
      </c>
      <c r="C902" s="1" t="s">
        <v>27022</v>
      </c>
      <c r="D902" s="1" t="s">
        <v>27023</v>
      </c>
      <c r="E902" s="1" t="s">
        <v>27024</v>
      </c>
      <c r="F902" s="1" t="s">
        <v>27025</v>
      </c>
      <c r="G902" s="1" t="s">
        <v>27026</v>
      </c>
      <c r="H902" s="1">
        <v>45</v>
      </c>
      <c r="I902" s="1" t="s">
        <v>17252</v>
      </c>
      <c r="J902" s="1" t="s">
        <v>15314</v>
      </c>
      <c r="K902" s="1" t="s">
        <v>27027</v>
      </c>
      <c r="L902" s="1" t="s">
        <v>27028</v>
      </c>
      <c r="M902" s="1" t="s">
        <v>27029</v>
      </c>
      <c r="N902" s="3" t="s">
        <v>27030</v>
      </c>
    </row>
    <row r="903" spans="1:14" ht="409.6">
      <c r="A903" s="1" t="s">
        <v>27031</v>
      </c>
      <c r="B903" s="1" t="s">
        <v>27032</v>
      </c>
      <c r="C903" s="1" t="s">
        <v>27033</v>
      </c>
      <c r="D903" s="1" t="s">
        <v>27034</v>
      </c>
      <c r="E903" s="1" t="s">
        <v>27035</v>
      </c>
      <c r="F903" s="1" t="s">
        <v>27036</v>
      </c>
      <c r="G903" s="1" t="s">
        <v>27037</v>
      </c>
      <c r="H903" s="1">
        <v>70</v>
      </c>
      <c r="I903" s="1" t="s">
        <v>14281</v>
      </c>
      <c r="J903" s="1" t="s">
        <v>15314</v>
      </c>
      <c r="K903" s="4" t="s">
        <v>27038</v>
      </c>
      <c r="L903" s="1" t="s">
        <v>27039</v>
      </c>
      <c r="M903" s="1" t="s">
        <v>27040</v>
      </c>
      <c r="N903" s="3" t="s">
        <v>27041</v>
      </c>
    </row>
    <row r="904" spans="1:14" ht="409.6">
      <c r="A904" s="1" t="s">
        <v>27042</v>
      </c>
      <c r="B904" s="1" t="s">
        <v>27043</v>
      </c>
      <c r="C904" s="1" t="s">
        <v>27044</v>
      </c>
      <c r="D904" s="1" t="s">
        <v>27045</v>
      </c>
      <c r="E904" s="1" t="s">
        <v>27046</v>
      </c>
      <c r="F904" s="1" t="s">
        <v>27047</v>
      </c>
      <c r="G904" s="1" t="s">
        <v>27048</v>
      </c>
      <c r="H904" s="1">
        <v>100</v>
      </c>
      <c r="I904" s="1" t="s">
        <v>429</v>
      </c>
      <c r="J904" s="1" t="s">
        <v>15314</v>
      </c>
      <c r="K904" s="4" t="s">
        <v>27049</v>
      </c>
      <c r="L904" s="1" t="s">
        <v>27050</v>
      </c>
      <c r="M904" s="1" t="s">
        <v>27051</v>
      </c>
      <c r="N904" s="3" t="s">
        <v>27052</v>
      </c>
    </row>
    <row r="905" spans="1:14" ht="409.6">
      <c r="A905" s="1" t="s">
        <v>27053</v>
      </c>
      <c r="B905" s="1" t="s">
        <v>27054</v>
      </c>
      <c r="C905" s="1" t="s">
        <v>27055</v>
      </c>
      <c r="D905" s="1" t="s">
        <v>27056</v>
      </c>
      <c r="E905" s="1" t="s">
        <v>27057</v>
      </c>
      <c r="F905" s="1" t="s">
        <v>27058</v>
      </c>
      <c r="G905" s="1" t="s">
        <v>27059</v>
      </c>
      <c r="H905" s="1">
        <v>10</v>
      </c>
      <c r="I905" s="1" t="s">
        <v>8417</v>
      </c>
      <c r="J905" s="1" t="s">
        <v>14198</v>
      </c>
      <c r="K905" s="4" t="s">
        <v>27060</v>
      </c>
      <c r="L905" s="1" t="s">
        <v>27061</v>
      </c>
      <c r="M905" s="1" t="s">
        <v>27062</v>
      </c>
      <c r="N905" s="3" t="s">
        <v>27063</v>
      </c>
    </row>
    <row r="906" spans="1:14" ht="409.6">
      <c r="A906" s="1" t="s">
        <v>27064</v>
      </c>
      <c r="B906" s="1" t="s">
        <v>27065</v>
      </c>
      <c r="C906" s="1" t="s">
        <v>27066</v>
      </c>
      <c r="D906" s="1" t="s">
        <v>27067</v>
      </c>
      <c r="E906" s="1" t="s">
        <v>27068</v>
      </c>
      <c r="F906" s="1" t="s">
        <v>27069</v>
      </c>
      <c r="G906" s="1" t="s">
        <v>27070</v>
      </c>
      <c r="H906" s="1">
        <v>260</v>
      </c>
      <c r="I906" s="1" t="s">
        <v>8417</v>
      </c>
      <c r="J906" s="1" t="s">
        <v>14198</v>
      </c>
      <c r="K906" s="4" t="s">
        <v>27071</v>
      </c>
      <c r="L906" s="1" t="s">
        <v>27072</v>
      </c>
      <c r="M906" s="1" t="s">
        <v>27073</v>
      </c>
      <c r="N906" s="3" t="s">
        <v>27074</v>
      </c>
    </row>
    <row r="907" spans="1:14" ht="409.6">
      <c r="A907" s="1" t="s">
        <v>27075</v>
      </c>
      <c r="B907" s="1" t="s">
        <v>27076</v>
      </c>
      <c r="C907" s="1" t="s">
        <v>27077</v>
      </c>
      <c r="D907" s="1" t="s">
        <v>27078</v>
      </c>
      <c r="E907" s="1" t="s">
        <v>27079</v>
      </c>
      <c r="F907" s="1" t="s">
        <v>27080</v>
      </c>
      <c r="G907" s="1" t="s">
        <v>27081</v>
      </c>
      <c r="H907" s="1">
        <v>15</v>
      </c>
      <c r="I907" s="1" t="s">
        <v>17252</v>
      </c>
      <c r="J907" s="1" t="s">
        <v>15314</v>
      </c>
      <c r="K907" s="4" t="s">
        <v>27082</v>
      </c>
      <c r="L907" s="1" t="s">
        <v>27083</v>
      </c>
      <c r="M907" s="1" t="s">
        <v>27084</v>
      </c>
      <c r="N907" s="3" t="s">
        <v>27085</v>
      </c>
    </row>
    <row r="908" spans="1:14" ht="409.6">
      <c r="A908" s="1" t="s">
        <v>27086</v>
      </c>
      <c r="B908" s="1" t="s">
        <v>27087</v>
      </c>
      <c r="C908" s="1" t="s">
        <v>27088</v>
      </c>
      <c r="D908" s="1" t="s">
        <v>27089</v>
      </c>
      <c r="E908" s="1" t="s">
        <v>27090</v>
      </c>
      <c r="F908" s="1" t="s">
        <v>27091</v>
      </c>
      <c r="G908" s="1" t="s">
        <v>27092</v>
      </c>
      <c r="H908" s="1">
        <v>30</v>
      </c>
      <c r="I908" s="1" t="s">
        <v>14281</v>
      </c>
      <c r="J908" s="1" t="s">
        <v>14198</v>
      </c>
      <c r="K908" s="4" t="s">
        <v>27093</v>
      </c>
      <c r="L908" s="1" t="s">
        <v>27094</v>
      </c>
      <c r="M908" s="4" t="s">
        <v>27095</v>
      </c>
      <c r="N908" s="3" t="s">
        <v>27096</v>
      </c>
    </row>
    <row r="909" spans="1:14" ht="409.6">
      <c r="A909" s="1" t="s">
        <v>27097</v>
      </c>
      <c r="B909" s="1" t="s">
        <v>27098</v>
      </c>
      <c r="C909" s="1" t="s">
        <v>27099</v>
      </c>
      <c r="D909" s="1" t="s">
        <v>27100</v>
      </c>
      <c r="E909" s="1" t="s">
        <v>27101</v>
      </c>
      <c r="F909" s="1" t="s">
        <v>27102</v>
      </c>
      <c r="G909" s="1" t="s">
        <v>27103</v>
      </c>
      <c r="H909" s="1">
        <v>25</v>
      </c>
      <c r="I909" s="1" t="s">
        <v>8417</v>
      </c>
      <c r="J909" s="1" t="s">
        <v>14198</v>
      </c>
      <c r="K909" s="4" t="s">
        <v>27104</v>
      </c>
      <c r="L909" s="1" t="s">
        <v>27105</v>
      </c>
      <c r="M909" s="1" t="s">
        <v>27106</v>
      </c>
      <c r="N909" s="3" t="s">
        <v>27107</v>
      </c>
    </row>
    <row r="910" spans="1:14" ht="13.8">
      <c r="A910" s="1" t="s">
        <v>27108</v>
      </c>
      <c r="B910" s="1" t="s">
        <v>27109</v>
      </c>
      <c r="C910" s="1" t="s">
        <v>27110</v>
      </c>
      <c r="D910" s="1" t="s">
        <v>27111</v>
      </c>
      <c r="E910" s="1" t="s">
        <v>27112</v>
      </c>
      <c r="F910" s="1" t="s">
        <v>27113</v>
      </c>
      <c r="G910" s="1" t="s">
        <v>27114</v>
      </c>
      <c r="H910" s="1">
        <v>30</v>
      </c>
      <c r="I910" s="1" t="s">
        <v>14572</v>
      </c>
      <c r="J910" s="1" t="s">
        <v>14367</v>
      </c>
      <c r="K910" s="1" t="s">
        <v>27115</v>
      </c>
      <c r="L910" s="1" t="s">
        <v>27116</v>
      </c>
      <c r="M910" s="1" t="s">
        <v>27117</v>
      </c>
      <c r="N910" s="3" t="s">
        <v>27118</v>
      </c>
    </row>
    <row r="911" spans="1:14" ht="13.8">
      <c r="A911" s="1" t="s">
        <v>27119</v>
      </c>
      <c r="B911" s="1" t="s">
        <v>27120</v>
      </c>
      <c r="C911" s="1" t="s">
        <v>27121</v>
      </c>
      <c r="D911" s="1" t="s">
        <v>27122</v>
      </c>
      <c r="E911" s="1" t="s">
        <v>27123</v>
      </c>
      <c r="F911" s="1" t="s">
        <v>27124</v>
      </c>
      <c r="G911" s="1" t="s">
        <v>27125</v>
      </c>
      <c r="H911" s="1">
        <v>45</v>
      </c>
      <c r="I911" s="1" t="s">
        <v>8417</v>
      </c>
      <c r="J911" s="1" t="s">
        <v>18114</v>
      </c>
      <c r="K911" s="1" t="s">
        <v>27126</v>
      </c>
      <c r="L911" s="1" t="s">
        <v>27127</v>
      </c>
      <c r="M911" s="1" t="s">
        <v>27128</v>
      </c>
      <c r="N911" s="3" t="s">
        <v>27129</v>
      </c>
    </row>
    <row r="912" spans="1:14" ht="409.6">
      <c r="A912" s="1" t="s">
        <v>27130</v>
      </c>
      <c r="B912" s="1" t="s">
        <v>27131</v>
      </c>
      <c r="C912" s="1" t="s">
        <v>27132</v>
      </c>
      <c r="D912" s="1" t="s">
        <v>27133</v>
      </c>
      <c r="E912" s="1" t="s">
        <v>27134</v>
      </c>
      <c r="F912" s="1" t="s">
        <v>27135</v>
      </c>
      <c r="G912" s="1" t="s">
        <v>27136</v>
      </c>
      <c r="H912" s="1">
        <v>15</v>
      </c>
      <c r="I912" s="1" t="s">
        <v>8417</v>
      </c>
      <c r="J912" s="1" t="s">
        <v>14198</v>
      </c>
      <c r="K912" s="4" t="s">
        <v>27137</v>
      </c>
      <c r="L912" s="1" t="s">
        <v>27138</v>
      </c>
      <c r="M912" s="1" t="s">
        <v>27139</v>
      </c>
      <c r="N912" s="3" t="s">
        <v>27140</v>
      </c>
    </row>
    <row r="913" spans="1:14" ht="13.8">
      <c r="A913" s="1" t="s">
        <v>27141</v>
      </c>
      <c r="B913" s="1" t="s">
        <v>27142</v>
      </c>
      <c r="C913" s="1" t="s">
        <v>27143</v>
      </c>
      <c r="D913" s="1" t="s">
        <v>27144</v>
      </c>
      <c r="E913" s="1" t="s">
        <v>27145</v>
      </c>
      <c r="F913" s="1" t="s">
        <v>27146</v>
      </c>
      <c r="G913" s="1" t="s">
        <v>27147</v>
      </c>
      <c r="H913" s="1">
        <v>70</v>
      </c>
      <c r="I913" s="1" t="s">
        <v>14572</v>
      </c>
      <c r="J913" s="1" t="s">
        <v>14198</v>
      </c>
      <c r="K913" s="1" t="s">
        <v>27148</v>
      </c>
      <c r="L913" s="1" t="s">
        <v>27149</v>
      </c>
      <c r="M913" s="1" t="s">
        <v>27150</v>
      </c>
      <c r="N913" s="3" t="s">
        <v>27151</v>
      </c>
    </row>
    <row r="914" spans="1:14" ht="13.8">
      <c r="A914" s="1" t="s">
        <v>27152</v>
      </c>
      <c r="B914" s="1" t="s">
        <v>27153</v>
      </c>
      <c r="C914" s="1" t="s">
        <v>27154</v>
      </c>
      <c r="D914" s="1" t="s">
        <v>27155</v>
      </c>
      <c r="E914" s="1" t="s">
        <v>27156</v>
      </c>
      <c r="F914" s="1" t="s">
        <v>27157</v>
      </c>
      <c r="G914" s="1" t="s">
        <v>27158</v>
      </c>
      <c r="H914" s="1">
        <v>20</v>
      </c>
      <c r="I914" s="1" t="s">
        <v>17252</v>
      </c>
      <c r="J914" s="1" t="s">
        <v>14198</v>
      </c>
      <c r="K914" s="1" t="s">
        <v>27159</v>
      </c>
      <c r="L914" s="1" t="s">
        <v>27160</v>
      </c>
      <c r="M914" s="1" t="s">
        <v>27161</v>
      </c>
      <c r="N914" s="3" t="s">
        <v>27162</v>
      </c>
    </row>
    <row r="915" spans="1:14" ht="13.8">
      <c r="A915" s="1" t="s">
        <v>27163</v>
      </c>
      <c r="B915" s="1" t="s">
        <v>27164</v>
      </c>
      <c r="C915" s="1" t="s">
        <v>27165</v>
      </c>
      <c r="D915" s="1" t="s">
        <v>27166</v>
      </c>
      <c r="E915" s="1" t="s">
        <v>27167</v>
      </c>
      <c r="F915" s="1" t="s">
        <v>27168</v>
      </c>
      <c r="G915" s="1" t="s">
        <v>27169</v>
      </c>
      <c r="H915" s="1">
        <v>65</v>
      </c>
      <c r="I915" s="1" t="s">
        <v>8417</v>
      </c>
      <c r="J915" s="1" t="s">
        <v>15314</v>
      </c>
      <c r="K915" s="1" t="s">
        <v>27170</v>
      </c>
      <c r="L915" s="1" t="s">
        <v>27171</v>
      </c>
      <c r="M915" s="1" t="s">
        <v>27172</v>
      </c>
      <c r="N915" s="3" t="s">
        <v>27173</v>
      </c>
    </row>
    <row r="916" spans="1:14" ht="13.8">
      <c r="A916" s="1" t="s">
        <v>27174</v>
      </c>
      <c r="B916" s="1" t="s">
        <v>27175</v>
      </c>
      <c r="C916" s="1" t="s">
        <v>27176</v>
      </c>
      <c r="D916" s="1" t="s">
        <v>27177</v>
      </c>
      <c r="E916" s="1" t="s">
        <v>27178</v>
      </c>
      <c r="F916" s="1" t="s">
        <v>27179</v>
      </c>
      <c r="G916" s="1" t="s">
        <v>27180</v>
      </c>
      <c r="H916" s="1">
        <v>20</v>
      </c>
      <c r="I916" s="1" t="s">
        <v>14281</v>
      </c>
      <c r="J916" s="1" t="s">
        <v>14198</v>
      </c>
      <c r="K916" s="1" t="s">
        <v>27181</v>
      </c>
      <c r="L916" s="1" t="s">
        <v>27182</v>
      </c>
      <c r="M916" s="1" t="s">
        <v>27183</v>
      </c>
      <c r="N916" s="3" t="s">
        <v>27184</v>
      </c>
    </row>
    <row r="917" spans="1:14" ht="13.8">
      <c r="A917" s="1" t="s">
        <v>27185</v>
      </c>
      <c r="B917" s="1" t="s">
        <v>27186</v>
      </c>
      <c r="C917" s="1" t="s">
        <v>27187</v>
      </c>
      <c r="D917" s="1" t="s">
        <v>27188</v>
      </c>
      <c r="E917" s="1" t="s">
        <v>27189</v>
      </c>
      <c r="F917" s="1" t="s">
        <v>27190</v>
      </c>
      <c r="G917" s="1" t="s">
        <v>27191</v>
      </c>
      <c r="H917" s="1">
        <v>50</v>
      </c>
      <c r="I917" s="1" t="s">
        <v>14281</v>
      </c>
      <c r="J917" s="1" t="s">
        <v>14198</v>
      </c>
      <c r="K917" s="1" t="s">
        <v>27192</v>
      </c>
      <c r="L917" s="1" t="s">
        <v>27193</v>
      </c>
      <c r="M917" s="1" t="s">
        <v>27194</v>
      </c>
      <c r="N917" s="3" t="s">
        <v>27195</v>
      </c>
    </row>
    <row r="918" spans="1:14" ht="13.8">
      <c r="A918" s="1" t="s">
        <v>27196</v>
      </c>
      <c r="B918" s="1" t="s">
        <v>27197</v>
      </c>
      <c r="C918" s="1" t="s">
        <v>27198</v>
      </c>
      <c r="D918" s="1" t="s">
        <v>27199</v>
      </c>
      <c r="E918" s="1" t="s">
        <v>27200</v>
      </c>
      <c r="F918" s="1" t="s">
        <v>27201</v>
      </c>
      <c r="G918" s="1" t="s">
        <v>27202</v>
      </c>
      <c r="H918" s="1">
        <v>145</v>
      </c>
      <c r="I918" s="1" t="s">
        <v>8417</v>
      </c>
      <c r="J918" s="1" t="s">
        <v>14198</v>
      </c>
      <c r="K918" s="1" t="s">
        <v>27203</v>
      </c>
      <c r="L918" s="1" t="s">
        <v>27204</v>
      </c>
      <c r="M918" s="1" t="s">
        <v>27205</v>
      </c>
      <c r="N918" s="3" t="s">
        <v>27206</v>
      </c>
    </row>
    <row r="919" spans="1:14" ht="13.8">
      <c r="A919" s="1" t="s">
        <v>27207</v>
      </c>
      <c r="B919" s="1" t="s">
        <v>27208</v>
      </c>
      <c r="C919" s="1" t="s">
        <v>27209</v>
      </c>
      <c r="D919" s="1" t="s">
        <v>27210</v>
      </c>
      <c r="E919" s="1" t="s">
        <v>27211</v>
      </c>
      <c r="F919" s="1" t="s">
        <v>27212</v>
      </c>
      <c r="G919" s="1" t="s">
        <v>27213</v>
      </c>
      <c r="H919" s="1">
        <v>25</v>
      </c>
      <c r="I919" s="1" t="s">
        <v>429</v>
      </c>
      <c r="J919" s="1" t="s">
        <v>15314</v>
      </c>
      <c r="K919" s="1" t="s">
        <v>27214</v>
      </c>
      <c r="L919" s="1" t="s">
        <v>27215</v>
      </c>
      <c r="M919" s="1" t="s">
        <v>27216</v>
      </c>
      <c r="N919" s="3" t="s">
        <v>27217</v>
      </c>
    </row>
    <row r="920" spans="1:14" ht="409.6">
      <c r="A920" s="1" t="s">
        <v>27218</v>
      </c>
      <c r="B920" s="1" t="s">
        <v>27219</v>
      </c>
      <c r="C920" s="1" t="s">
        <v>27220</v>
      </c>
      <c r="D920" s="1" t="s">
        <v>27221</v>
      </c>
      <c r="E920" s="1" t="s">
        <v>27222</v>
      </c>
      <c r="F920" s="1" t="s">
        <v>27223</v>
      </c>
      <c r="G920" s="1" t="s">
        <v>27224</v>
      </c>
      <c r="H920" s="1">
        <v>70</v>
      </c>
      <c r="I920" s="1" t="s">
        <v>14259</v>
      </c>
      <c r="J920" s="1" t="s">
        <v>14198</v>
      </c>
      <c r="K920" s="4" t="s">
        <v>27225</v>
      </c>
      <c r="L920" s="1" t="s">
        <v>27226</v>
      </c>
      <c r="M920" s="1" t="s">
        <v>27227</v>
      </c>
      <c r="N920" s="3" t="s">
        <v>27228</v>
      </c>
    </row>
    <row r="921" spans="1:14" ht="13.8">
      <c r="A921" s="1" t="s">
        <v>27229</v>
      </c>
      <c r="B921" s="1" t="s">
        <v>27230</v>
      </c>
      <c r="C921" s="1" t="s">
        <v>27231</v>
      </c>
      <c r="D921" s="1" t="s">
        <v>27232</v>
      </c>
      <c r="E921" s="1" t="s">
        <v>27233</v>
      </c>
      <c r="F921" s="1" t="s">
        <v>27234</v>
      </c>
      <c r="G921" s="1" t="s">
        <v>27235</v>
      </c>
      <c r="H921" s="1">
        <v>75</v>
      </c>
      <c r="I921" s="1" t="s">
        <v>14259</v>
      </c>
      <c r="J921" s="1" t="s">
        <v>14198</v>
      </c>
      <c r="K921" s="1" t="s">
        <v>27236</v>
      </c>
      <c r="L921" s="1" t="s">
        <v>27237</v>
      </c>
      <c r="M921" s="1" t="s">
        <v>27238</v>
      </c>
      <c r="N921" s="3" t="s">
        <v>27239</v>
      </c>
    </row>
    <row r="922" spans="1:14" ht="13.8">
      <c r="A922" s="1" t="s">
        <v>27240</v>
      </c>
      <c r="B922" s="1" t="s">
        <v>27241</v>
      </c>
      <c r="C922" s="1" t="s">
        <v>27242</v>
      </c>
      <c r="D922" s="1" t="s">
        <v>27243</v>
      </c>
      <c r="E922" s="1" t="s">
        <v>27244</v>
      </c>
      <c r="F922" s="1" t="s">
        <v>27245</v>
      </c>
      <c r="G922" s="1" t="s">
        <v>27246</v>
      </c>
      <c r="H922" s="1">
        <v>25</v>
      </c>
      <c r="I922" s="1" t="s">
        <v>17252</v>
      </c>
      <c r="J922" s="1" t="s">
        <v>15314</v>
      </c>
      <c r="K922" s="1" t="s">
        <v>27247</v>
      </c>
      <c r="L922" s="1" t="s">
        <v>27248</v>
      </c>
      <c r="M922" s="1" t="s">
        <v>27249</v>
      </c>
      <c r="N922" s="3" t="s">
        <v>27250</v>
      </c>
    </row>
    <row r="923" spans="1:14" ht="409.6">
      <c r="A923" s="1" t="s">
        <v>27251</v>
      </c>
      <c r="B923" s="1" t="s">
        <v>27252</v>
      </c>
      <c r="C923" s="1" t="s">
        <v>27253</v>
      </c>
      <c r="D923" s="1" t="s">
        <v>27254</v>
      </c>
      <c r="E923" s="1" t="s">
        <v>27255</v>
      </c>
      <c r="F923" s="1" t="s">
        <v>27256</v>
      </c>
      <c r="G923" s="1" t="s">
        <v>27257</v>
      </c>
      <c r="H923" s="1">
        <v>15</v>
      </c>
      <c r="I923" s="1" t="s">
        <v>14572</v>
      </c>
      <c r="J923" s="1" t="s">
        <v>14198</v>
      </c>
      <c r="K923" s="4" t="s">
        <v>27258</v>
      </c>
      <c r="L923" s="1" t="s">
        <v>27259</v>
      </c>
      <c r="M923" s="1" t="s">
        <v>27260</v>
      </c>
      <c r="N923" s="3" t="s">
        <v>27261</v>
      </c>
    </row>
    <row r="924" spans="1:14" ht="13.8">
      <c r="A924" s="1" t="s">
        <v>27262</v>
      </c>
      <c r="B924" s="1" t="s">
        <v>27263</v>
      </c>
      <c r="C924" s="1" t="s">
        <v>27264</v>
      </c>
      <c r="D924" s="1" t="s">
        <v>27265</v>
      </c>
      <c r="E924" s="1" t="s">
        <v>27266</v>
      </c>
      <c r="F924" s="1" t="s">
        <v>27267</v>
      </c>
      <c r="G924" s="1" t="s">
        <v>27268</v>
      </c>
      <c r="H924" s="1">
        <v>50</v>
      </c>
      <c r="I924" s="1" t="s">
        <v>14281</v>
      </c>
      <c r="J924" s="1" t="s">
        <v>14198</v>
      </c>
      <c r="K924" s="1" t="s">
        <v>27269</v>
      </c>
      <c r="L924" s="1" t="s">
        <v>27270</v>
      </c>
      <c r="M924" s="1" t="s">
        <v>27271</v>
      </c>
      <c r="N924" s="3" t="s">
        <v>27272</v>
      </c>
    </row>
    <row r="925" spans="1:14" ht="13.8">
      <c r="A925" s="1" t="s">
        <v>27273</v>
      </c>
      <c r="B925" s="1" t="s">
        <v>27274</v>
      </c>
      <c r="C925" s="1" t="s">
        <v>27275</v>
      </c>
      <c r="D925" s="1" t="s">
        <v>27276</v>
      </c>
      <c r="E925" s="1" t="s">
        <v>27277</v>
      </c>
      <c r="F925" s="1" t="s">
        <v>27278</v>
      </c>
      <c r="G925" s="1" t="s">
        <v>27279</v>
      </c>
      <c r="H925" s="1">
        <v>15</v>
      </c>
      <c r="I925" s="1" t="s">
        <v>14572</v>
      </c>
      <c r="J925" s="1" t="s">
        <v>14198</v>
      </c>
      <c r="K925" s="1" t="s">
        <v>27280</v>
      </c>
      <c r="L925" s="1" t="s">
        <v>27281</v>
      </c>
      <c r="M925" s="1" t="s">
        <v>27282</v>
      </c>
      <c r="N925" s="3" t="s">
        <v>27283</v>
      </c>
    </row>
    <row r="926" spans="1:14" ht="409.6">
      <c r="A926" s="1" t="s">
        <v>27284</v>
      </c>
      <c r="B926" s="1" t="s">
        <v>27285</v>
      </c>
      <c r="C926" s="1" t="s">
        <v>27286</v>
      </c>
      <c r="D926" s="1" t="s">
        <v>27287</v>
      </c>
      <c r="E926" s="1" t="s">
        <v>27288</v>
      </c>
      <c r="F926" s="1" t="s">
        <v>27289</v>
      </c>
      <c r="G926" s="1" t="s">
        <v>27290</v>
      </c>
      <c r="H926" s="1">
        <v>30</v>
      </c>
      <c r="I926" s="1" t="s">
        <v>14259</v>
      </c>
      <c r="J926" s="1" t="s">
        <v>14198</v>
      </c>
      <c r="K926" s="4" t="s">
        <v>27291</v>
      </c>
      <c r="L926" s="1" t="s">
        <v>27292</v>
      </c>
      <c r="M926" s="1" t="s">
        <v>27293</v>
      </c>
      <c r="N926" s="3" t="s">
        <v>27294</v>
      </c>
    </row>
    <row r="927" spans="1:14" ht="13.8">
      <c r="A927" s="1" t="s">
        <v>27295</v>
      </c>
      <c r="B927" s="1" t="s">
        <v>27296</v>
      </c>
      <c r="C927" s="1" t="s">
        <v>27297</v>
      </c>
      <c r="D927" s="1" t="s">
        <v>27298</v>
      </c>
      <c r="E927" s="1" t="s">
        <v>27299</v>
      </c>
      <c r="F927" s="1" t="s">
        <v>27300</v>
      </c>
      <c r="G927" s="1" t="s">
        <v>27301</v>
      </c>
      <c r="H927" s="1">
        <v>15</v>
      </c>
      <c r="I927" s="1" t="s">
        <v>17252</v>
      </c>
      <c r="J927" s="1" t="s">
        <v>14237</v>
      </c>
      <c r="K927" s="1" t="s">
        <v>27302</v>
      </c>
      <c r="L927" s="1" t="s">
        <v>27303</v>
      </c>
      <c r="M927" s="1" t="s">
        <v>27304</v>
      </c>
      <c r="N927" s="3" t="s">
        <v>27305</v>
      </c>
    </row>
    <row r="928" spans="1:14" ht="409.6">
      <c r="A928" s="1" t="s">
        <v>27306</v>
      </c>
      <c r="B928" s="1" t="s">
        <v>27307</v>
      </c>
      <c r="C928" s="1" t="s">
        <v>27308</v>
      </c>
      <c r="D928" s="1" t="s">
        <v>27309</v>
      </c>
      <c r="E928" s="1" t="s">
        <v>27310</v>
      </c>
      <c r="F928" s="1" t="s">
        <v>27311</v>
      </c>
      <c r="G928" s="1" t="s">
        <v>27312</v>
      </c>
      <c r="H928" s="1">
        <v>55</v>
      </c>
      <c r="I928" s="1" t="s">
        <v>8417</v>
      </c>
      <c r="J928" s="1" t="s">
        <v>14198</v>
      </c>
      <c r="K928" s="4" t="s">
        <v>27313</v>
      </c>
      <c r="L928" s="1" t="s">
        <v>27314</v>
      </c>
      <c r="M928" s="1" t="s">
        <v>27315</v>
      </c>
      <c r="N928" s="3" t="s">
        <v>27316</v>
      </c>
    </row>
    <row r="929" spans="1:14" ht="409.6">
      <c r="A929" s="1" t="s">
        <v>27317</v>
      </c>
      <c r="B929" s="1" t="s">
        <v>27318</v>
      </c>
      <c r="C929" s="1" t="s">
        <v>27319</v>
      </c>
      <c r="D929" s="1" t="s">
        <v>27320</v>
      </c>
      <c r="E929" s="1" t="s">
        <v>27321</v>
      </c>
      <c r="F929" s="1" t="s">
        <v>27322</v>
      </c>
      <c r="G929" s="1" t="s">
        <v>27323</v>
      </c>
      <c r="H929" s="1">
        <v>60</v>
      </c>
      <c r="I929" s="1" t="s">
        <v>14281</v>
      </c>
      <c r="J929" s="1" t="s">
        <v>14198</v>
      </c>
      <c r="K929" s="4" t="s">
        <v>27324</v>
      </c>
      <c r="L929" s="1" t="s">
        <v>27325</v>
      </c>
      <c r="M929" s="1" t="s">
        <v>27326</v>
      </c>
      <c r="N929" s="3" t="s">
        <v>27327</v>
      </c>
    </row>
    <row r="930" spans="1:14" ht="13.8">
      <c r="A930" s="1" t="s">
        <v>27328</v>
      </c>
      <c r="B930" s="1" t="s">
        <v>27329</v>
      </c>
      <c r="C930" s="1" t="s">
        <v>27330</v>
      </c>
      <c r="D930" s="1" t="s">
        <v>27331</v>
      </c>
      <c r="E930" s="1" t="s">
        <v>27332</v>
      </c>
      <c r="F930" s="1" t="s">
        <v>27333</v>
      </c>
      <c r="G930" s="1" t="s">
        <v>27334</v>
      </c>
      <c r="H930" s="1">
        <v>25</v>
      </c>
      <c r="I930" s="1" t="s">
        <v>14572</v>
      </c>
      <c r="J930" s="1" t="s">
        <v>14237</v>
      </c>
      <c r="K930" s="1" t="s">
        <v>27335</v>
      </c>
      <c r="L930" s="1" t="s">
        <v>27336</v>
      </c>
      <c r="M930" s="1" t="s">
        <v>27337</v>
      </c>
      <c r="N930" s="3" t="s">
        <v>27338</v>
      </c>
    </row>
    <row r="931" spans="1:14" ht="409.6">
      <c r="A931" s="1" t="s">
        <v>27339</v>
      </c>
      <c r="B931" s="1" t="s">
        <v>27340</v>
      </c>
      <c r="C931" s="1" t="s">
        <v>27341</v>
      </c>
      <c r="D931" s="1" t="s">
        <v>27342</v>
      </c>
      <c r="E931" s="1" t="s">
        <v>27343</v>
      </c>
      <c r="F931" s="1" t="s">
        <v>27344</v>
      </c>
      <c r="G931" s="1" t="s">
        <v>27345</v>
      </c>
      <c r="H931" s="1">
        <v>60</v>
      </c>
      <c r="I931" s="1" t="s">
        <v>8417</v>
      </c>
      <c r="J931" s="1" t="s">
        <v>14198</v>
      </c>
      <c r="K931" s="4" t="s">
        <v>27346</v>
      </c>
      <c r="L931" s="1" t="s">
        <v>27347</v>
      </c>
      <c r="M931" s="1" t="s">
        <v>27348</v>
      </c>
      <c r="N931" s="3" t="s">
        <v>27349</v>
      </c>
    </row>
    <row r="932" spans="1:14" ht="409.6">
      <c r="A932" s="1" t="s">
        <v>27350</v>
      </c>
      <c r="B932" s="1" t="s">
        <v>27351</v>
      </c>
      <c r="C932" s="1" t="s">
        <v>27352</v>
      </c>
      <c r="D932" s="1" t="s">
        <v>27353</v>
      </c>
      <c r="E932" s="1" t="s">
        <v>27354</v>
      </c>
      <c r="F932" s="1" t="s">
        <v>27355</v>
      </c>
      <c r="G932" s="1" t="s">
        <v>27356</v>
      </c>
      <c r="H932" s="1">
        <v>60</v>
      </c>
      <c r="I932" s="1" t="s">
        <v>17252</v>
      </c>
      <c r="J932" s="1" t="s">
        <v>14198</v>
      </c>
      <c r="K932" s="4" t="s">
        <v>27357</v>
      </c>
      <c r="L932" s="1" t="s">
        <v>27358</v>
      </c>
      <c r="M932" s="1" t="s">
        <v>27359</v>
      </c>
      <c r="N932" s="3" t="s">
        <v>27360</v>
      </c>
    </row>
    <row r="933" spans="1:14" ht="409.6">
      <c r="A933" s="1" t="s">
        <v>27361</v>
      </c>
      <c r="B933" s="1" t="s">
        <v>27362</v>
      </c>
      <c r="C933" s="1" t="s">
        <v>27363</v>
      </c>
      <c r="D933" s="1" t="s">
        <v>27364</v>
      </c>
      <c r="E933" s="1" t="s">
        <v>27365</v>
      </c>
      <c r="F933" s="1" t="s">
        <v>27366</v>
      </c>
      <c r="G933" s="1" t="s">
        <v>27367</v>
      </c>
      <c r="H933" s="1">
        <v>50</v>
      </c>
      <c r="I933" s="1" t="s">
        <v>14281</v>
      </c>
      <c r="J933" s="1" t="s">
        <v>14198</v>
      </c>
      <c r="K933" s="4" t="s">
        <v>27368</v>
      </c>
      <c r="L933" s="1" t="s">
        <v>27369</v>
      </c>
      <c r="M933" s="1" t="s">
        <v>27370</v>
      </c>
      <c r="N933" s="3" t="s">
        <v>27371</v>
      </c>
    </row>
    <row r="934" spans="1:14" ht="409.6">
      <c r="A934" s="1" t="s">
        <v>27372</v>
      </c>
      <c r="B934" s="1" t="s">
        <v>27373</v>
      </c>
      <c r="C934" s="1" t="s">
        <v>27374</v>
      </c>
      <c r="D934" s="1" t="s">
        <v>27375</v>
      </c>
      <c r="E934" s="1" t="s">
        <v>27376</v>
      </c>
      <c r="F934" s="1" t="s">
        <v>27377</v>
      </c>
      <c r="G934" s="1" t="s">
        <v>27378</v>
      </c>
      <c r="H934" s="1">
        <v>25</v>
      </c>
      <c r="I934" s="1" t="s">
        <v>17252</v>
      </c>
      <c r="J934" s="1" t="s">
        <v>14198</v>
      </c>
      <c r="K934" s="4" t="s">
        <v>27379</v>
      </c>
      <c r="L934" s="1" t="s">
        <v>27380</v>
      </c>
      <c r="M934" s="1" t="s">
        <v>27381</v>
      </c>
      <c r="N934" s="3" t="s">
        <v>27382</v>
      </c>
    </row>
    <row r="935" spans="1:14" ht="409.6">
      <c r="A935" s="1" t="s">
        <v>27383</v>
      </c>
      <c r="B935" s="1" t="s">
        <v>27384</v>
      </c>
      <c r="C935" s="1" t="s">
        <v>27385</v>
      </c>
      <c r="D935" s="1" t="s">
        <v>27386</v>
      </c>
      <c r="E935" s="1" t="s">
        <v>27387</v>
      </c>
      <c r="F935" s="1" t="s">
        <v>27388</v>
      </c>
      <c r="G935" s="1" t="s">
        <v>27389</v>
      </c>
      <c r="H935" s="1">
        <v>35</v>
      </c>
      <c r="I935" s="1" t="s">
        <v>8417</v>
      </c>
      <c r="J935" s="1" t="s">
        <v>14198</v>
      </c>
      <c r="K935" s="4" t="s">
        <v>27390</v>
      </c>
      <c r="L935" s="1" t="s">
        <v>27391</v>
      </c>
      <c r="M935" s="1" t="s">
        <v>27392</v>
      </c>
      <c r="N935" s="3" t="s">
        <v>27393</v>
      </c>
    </row>
    <row r="936" spans="1:14" ht="409.6">
      <c r="A936" s="1" t="s">
        <v>27394</v>
      </c>
      <c r="B936" s="1" t="s">
        <v>27395</v>
      </c>
      <c r="C936" s="1" t="s">
        <v>27396</v>
      </c>
      <c r="D936" s="1" t="s">
        <v>27397</v>
      </c>
      <c r="E936" s="1" t="s">
        <v>27398</v>
      </c>
      <c r="F936" s="1" t="s">
        <v>27399</v>
      </c>
      <c r="G936" s="1" t="s">
        <v>27400</v>
      </c>
      <c r="H936" s="1">
        <v>10</v>
      </c>
      <c r="I936" s="1" t="s">
        <v>14281</v>
      </c>
      <c r="J936" s="1" t="s">
        <v>14198</v>
      </c>
      <c r="K936" s="4" t="s">
        <v>27401</v>
      </c>
      <c r="L936" s="1" t="s">
        <v>27402</v>
      </c>
      <c r="M936" s="1" t="s">
        <v>27403</v>
      </c>
      <c r="N936" s="3" t="s">
        <v>27404</v>
      </c>
    </row>
    <row r="937" spans="1:14" ht="409.6">
      <c r="A937" s="1" t="s">
        <v>27405</v>
      </c>
      <c r="B937" s="1" t="s">
        <v>27406</v>
      </c>
      <c r="C937" s="1" t="s">
        <v>27407</v>
      </c>
      <c r="D937" s="1" t="s">
        <v>27408</v>
      </c>
      <c r="E937" s="1" t="s">
        <v>27409</v>
      </c>
      <c r="F937" s="1" t="s">
        <v>27410</v>
      </c>
      <c r="G937" s="1" t="s">
        <v>27411</v>
      </c>
      <c r="H937" s="1">
        <v>45</v>
      </c>
      <c r="I937" s="1" t="s">
        <v>14281</v>
      </c>
      <c r="J937" s="1" t="s">
        <v>14198</v>
      </c>
      <c r="K937" s="4" t="s">
        <v>27412</v>
      </c>
      <c r="L937" s="1" t="s">
        <v>27413</v>
      </c>
      <c r="M937" s="1" t="s">
        <v>27414</v>
      </c>
      <c r="N937" s="3" t="s">
        <v>27415</v>
      </c>
    </row>
    <row r="938" spans="1:14" ht="13.8">
      <c r="A938" s="1" t="s">
        <v>27416</v>
      </c>
      <c r="B938" s="1" t="s">
        <v>27417</v>
      </c>
      <c r="C938" s="1" t="s">
        <v>27418</v>
      </c>
      <c r="D938" s="1" t="s">
        <v>27419</v>
      </c>
      <c r="E938" s="1" t="s">
        <v>27420</v>
      </c>
      <c r="F938" s="1" t="s">
        <v>27421</v>
      </c>
      <c r="G938" s="1" t="s">
        <v>27422</v>
      </c>
      <c r="H938" s="1">
        <v>5</v>
      </c>
      <c r="I938" s="1" t="s">
        <v>14281</v>
      </c>
      <c r="J938" s="1" t="s">
        <v>14198</v>
      </c>
      <c r="K938" s="1" t="s">
        <v>27423</v>
      </c>
      <c r="L938" s="1" t="s">
        <v>27424</v>
      </c>
      <c r="M938" s="1" t="s">
        <v>27425</v>
      </c>
      <c r="N938" s="3" t="s">
        <v>27426</v>
      </c>
    </row>
    <row r="939" spans="1:14" ht="409.6">
      <c r="A939" s="1" t="s">
        <v>27427</v>
      </c>
      <c r="B939" s="1" t="s">
        <v>27428</v>
      </c>
      <c r="C939" s="1" t="s">
        <v>27429</v>
      </c>
      <c r="D939" s="1" t="s">
        <v>27430</v>
      </c>
      <c r="E939" s="1" t="s">
        <v>27431</v>
      </c>
      <c r="F939" s="1" t="s">
        <v>27432</v>
      </c>
      <c r="G939" s="1" t="s">
        <v>27433</v>
      </c>
      <c r="H939" s="1">
        <v>60</v>
      </c>
      <c r="I939" s="1" t="s">
        <v>14281</v>
      </c>
      <c r="J939" s="1" t="s">
        <v>14198</v>
      </c>
      <c r="K939" s="4" t="s">
        <v>27434</v>
      </c>
      <c r="L939" s="1" t="s">
        <v>27435</v>
      </c>
      <c r="M939" s="1" t="s">
        <v>27436</v>
      </c>
      <c r="N939" s="3" t="s">
        <v>27437</v>
      </c>
    </row>
    <row r="940" spans="1:14" ht="409.6">
      <c r="A940" s="1" t="s">
        <v>18460</v>
      </c>
      <c r="B940" s="1" t="s">
        <v>27438</v>
      </c>
      <c r="C940" s="1" t="s">
        <v>27439</v>
      </c>
      <c r="D940" s="1" t="s">
        <v>27440</v>
      </c>
      <c r="E940" s="1" t="s">
        <v>27441</v>
      </c>
      <c r="F940" s="1" t="s">
        <v>27442</v>
      </c>
      <c r="G940" s="1" t="s">
        <v>27443</v>
      </c>
      <c r="H940" s="1">
        <v>30</v>
      </c>
      <c r="I940" s="1" t="s">
        <v>14259</v>
      </c>
      <c r="J940" s="1" t="s">
        <v>14237</v>
      </c>
      <c r="K940" s="4" t="s">
        <v>27444</v>
      </c>
      <c r="L940" s="1" t="s">
        <v>27445</v>
      </c>
      <c r="M940" s="1" t="s">
        <v>27446</v>
      </c>
      <c r="N940" s="3" t="s">
        <v>27447</v>
      </c>
    </row>
    <row r="941" spans="1:14" ht="13.8">
      <c r="A941" s="1" t="s">
        <v>27448</v>
      </c>
      <c r="B941" s="1" t="s">
        <v>27449</v>
      </c>
      <c r="C941" s="1" t="s">
        <v>27450</v>
      </c>
      <c r="D941" s="1" t="s">
        <v>27451</v>
      </c>
      <c r="E941" s="1" t="s">
        <v>27452</v>
      </c>
      <c r="F941" s="1" t="s">
        <v>27453</v>
      </c>
      <c r="G941" s="1" t="s">
        <v>27454</v>
      </c>
      <c r="H941" s="1">
        <v>60</v>
      </c>
      <c r="I941" s="1" t="s">
        <v>8417</v>
      </c>
      <c r="J941" s="1" t="s">
        <v>14198</v>
      </c>
      <c r="K941" s="1" t="s">
        <v>27455</v>
      </c>
      <c r="L941" s="1" t="s">
        <v>27456</v>
      </c>
      <c r="M941" s="1" t="s">
        <v>27457</v>
      </c>
      <c r="N941" s="3" t="s">
        <v>27458</v>
      </c>
    </row>
    <row r="942" spans="1:14" ht="409.6">
      <c r="A942" s="1" t="s">
        <v>27459</v>
      </c>
      <c r="B942" s="1" t="s">
        <v>27460</v>
      </c>
      <c r="C942" s="1" t="s">
        <v>27461</v>
      </c>
      <c r="D942" s="1" t="s">
        <v>27462</v>
      </c>
      <c r="E942" s="1" t="s">
        <v>27463</v>
      </c>
      <c r="F942" s="1" t="s">
        <v>27464</v>
      </c>
      <c r="G942" s="1" t="s">
        <v>27465</v>
      </c>
      <c r="H942" s="1">
        <v>55</v>
      </c>
      <c r="I942" s="1" t="s">
        <v>14259</v>
      </c>
      <c r="J942" s="1" t="s">
        <v>14382</v>
      </c>
      <c r="K942" s="4" t="s">
        <v>27466</v>
      </c>
      <c r="L942" s="1" t="s">
        <v>27467</v>
      </c>
      <c r="M942" s="1" t="s">
        <v>27468</v>
      </c>
      <c r="N942" s="3" t="s">
        <v>27469</v>
      </c>
    </row>
    <row r="943" spans="1:14" ht="13.8">
      <c r="A943" s="1" t="s">
        <v>27470</v>
      </c>
      <c r="B943" s="1" t="s">
        <v>27471</v>
      </c>
      <c r="C943" s="1" t="s">
        <v>27472</v>
      </c>
      <c r="D943" s="1" t="s">
        <v>27473</v>
      </c>
      <c r="E943" s="1" t="s">
        <v>27474</v>
      </c>
      <c r="F943" s="1" t="s">
        <v>27475</v>
      </c>
      <c r="G943" s="1" t="s">
        <v>27476</v>
      </c>
      <c r="H943" s="1">
        <v>45</v>
      </c>
      <c r="I943" s="1" t="s">
        <v>17252</v>
      </c>
      <c r="J943" s="1" t="s">
        <v>15314</v>
      </c>
      <c r="K943" s="1" t="s">
        <v>27477</v>
      </c>
      <c r="L943" s="1" t="s">
        <v>27478</v>
      </c>
      <c r="M943" s="1" t="s">
        <v>27479</v>
      </c>
      <c r="N943" s="3" t="s">
        <v>27480</v>
      </c>
    </row>
    <row r="944" spans="1:14" ht="409.6">
      <c r="A944" s="1" t="s">
        <v>27481</v>
      </c>
      <c r="B944" s="1" t="s">
        <v>27482</v>
      </c>
      <c r="C944" s="1" t="s">
        <v>27483</v>
      </c>
      <c r="D944" s="1" t="s">
        <v>27484</v>
      </c>
      <c r="E944" s="1" t="s">
        <v>27485</v>
      </c>
      <c r="F944" s="1" t="s">
        <v>27486</v>
      </c>
      <c r="G944" s="1" t="s">
        <v>27487</v>
      </c>
      <c r="H944" s="1">
        <v>35</v>
      </c>
      <c r="I944" s="1" t="s">
        <v>14572</v>
      </c>
      <c r="J944" s="1" t="s">
        <v>14198</v>
      </c>
      <c r="K944" s="4" t="s">
        <v>27488</v>
      </c>
      <c r="L944" s="1" t="s">
        <v>27489</v>
      </c>
      <c r="M944" s="1" t="s">
        <v>27490</v>
      </c>
      <c r="N944" s="3" t="s">
        <v>27491</v>
      </c>
    </row>
    <row r="945" spans="1:14" ht="409.6">
      <c r="A945" s="1" t="s">
        <v>27492</v>
      </c>
      <c r="B945" s="1" t="s">
        <v>27493</v>
      </c>
      <c r="C945" s="1" t="s">
        <v>27494</v>
      </c>
      <c r="D945" s="1" t="s">
        <v>27495</v>
      </c>
      <c r="E945" s="1" t="s">
        <v>27496</v>
      </c>
      <c r="F945" s="1" t="s">
        <v>27497</v>
      </c>
      <c r="G945" s="1" t="s">
        <v>27498</v>
      </c>
      <c r="H945" s="1">
        <v>55</v>
      </c>
      <c r="I945" s="1" t="s">
        <v>14281</v>
      </c>
      <c r="J945" s="1" t="s">
        <v>15314</v>
      </c>
      <c r="K945" s="4" t="s">
        <v>27499</v>
      </c>
      <c r="L945" s="1" t="s">
        <v>27500</v>
      </c>
      <c r="M945" s="1" t="s">
        <v>27501</v>
      </c>
      <c r="N945" s="3" t="s">
        <v>27502</v>
      </c>
    </row>
    <row r="946" spans="1:14" ht="13.8">
      <c r="A946" s="1" t="s">
        <v>27503</v>
      </c>
      <c r="B946" s="1" t="s">
        <v>27504</v>
      </c>
      <c r="C946" s="1" t="s">
        <v>27505</v>
      </c>
      <c r="D946" s="1" t="s">
        <v>27506</v>
      </c>
      <c r="E946" s="1" t="s">
        <v>27507</v>
      </c>
      <c r="F946" s="1" t="s">
        <v>27508</v>
      </c>
      <c r="G946" s="1" t="s">
        <v>27509</v>
      </c>
      <c r="H946" s="1">
        <v>30</v>
      </c>
      <c r="I946" s="1" t="s">
        <v>17252</v>
      </c>
      <c r="J946" s="1" t="s">
        <v>14198</v>
      </c>
      <c r="K946" s="1" t="s">
        <v>27510</v>
      </c>
      <c r="L946" s="1" t="s">
        <v>27511</v>
      </c>
      <c r="M946" s="1" t="s">
        <v>27512</v>
      </c>
      <c r="N946" s="3" t="s">
        <v>27513</v>
      </c>
    </row>
    <row r="947" spans="1:14" ht="409.6">
      <c r="A947" s="1" t="s">
        <v>27514</v>
      </c>
      <c r="B947" s="1" t="s">
        <v>27515</v>
      </c>
      <c r="C947" s="1" t="s">
        <v>27516</v>
      </c>
      <c r="D947" s="1" t="s">
        <v>27517</v>
      </c>
      <c r="E947" s="1" t="s">
        <v>27518</v>
      </c>
      <c r="F947" s="1" t="s">
        <v>27519</v>
      </c>
      <c r="G947" s="1" t="s">
        <v>27520</v>
      </c>
      <c r="H947" s="1">
        <v>12</v>
      </c>
      <c r="I947" s="1" t="s">
        <v>17252</v>
      </c>
      <c r="J947" s="1" t="s">
        <v>14198</v>
      </c>
      <c r="K947" s="4" t="s">
        <v>27521</v>
      </c>
      <c r="L947" s="1" t="s">
        <v>27522</v>
      </c>
      <c r="M947" s="1" t="s">
        <v>27523</v>
      </c>
      <c r="N947" s="3" t="s">
        <v>27524</v>
      </c>
    </row>
    <row r="948" spans="1:14" ht="409.6">
      <c r="A948" s="1" t="s">
        <v>27525</v>
      </c>
      <c r="B948" s="1" t="s">
        <v>27526</v>
      </c>
      <c r="C948" s="1" t="s">
        <v>27527</v>
      </c>
      <c r="D948" s="1" t="s">
        <v>27528</v>
      </c>
      <c r="E948" s="1" t="s">
        <v>27529</v>
      </c>
      <c r="F948" s="1" t="s">
        <v>27530</v>
      </c>
      <c r="G948" s="1" t="s">
        <v>27531</v>
      </c>
      <c r="H948" s="1">
        <v>30</v>
      </c>
      <c r="I948" s="1" t="s">
        <v>8417</v>
      </c>
      <c r="J948" s="1" t="s">
        <v>15314</v>
      </c>
      <c r="K948" s="4" t="s">
        <v>27532</v>
      </c>
      <c r="L948" s="1" t="s">
        <v>27533</v>
      </c>
      <c r="M948" s="1" t="s">
        <v>27534</v>
      </c>
      <c r="N948" s="3" t="s">
        <v>27535</v>
      </c>
    </row>
    <row r="949" spans="1:14" ht="409.6">
      <c r="A949" s="1" t="s">
        <v>27536</v>
      </c>
      <c r="B949" s="1" t="s">
        <v>27537</v>
      </c>
      <c r="C949" s="1" t="s">
        <v>27538</v>
      </c>
      <c r="D949" s="1" t="s">
        <v>27539</v>
      </c>
      <c r="E949" s="1" t="s">
        <v>27540</v>
      </c>
      <c r="F949" s="1" t="s">
        <v>27541</v>
      </c>
      <c r="G949" s="1" t="s">
        <v>27542</v>
      </c>
      <c r="H949" s="1">
        <v>35</v>
      </c>
      <c r="I949" s="1" t="s">
        <v>8417</v>
      </c>
      <c r="J949" s="1" t="s">
        <v>14198</v>
      </c>
      <c r="K949" s="4" t="s">
        <v>27543</v>
      </c>
      <c r="L949" s="1" t="s">
        <v>27544</v>
      </c>
      <c r="M949" s="1" t="s">
        <v>27545</v>
      </c>
      <c r="N949" s="3" t="s">
        <v>27546</v>
      </c>
    </row>
    <row r="950" spans="1:14" ht="13.8">
      <c r="A950" s="1" t="s">
        <v>27547</v>
      </c>
      <c r="B950" s="1" t="s">
        <v>27548</v>
      </c>
      <c r="C950" s="1" t="s">
        <v>27549</v>
      </c>
      <c r="D950" s="1" t="s">
        <v>27550</v>
      </c>
      <c r="E950" s="1" t="s">
        <v>27551</v>
      </c>
      <c r="F950" s="1" t="s">
        <v>27552</v>
      </c>
      <c r="G950" s="1" t="s">
        <v>27553</v>
      </c>
      <c r="H950" s="1">
        <v>30</v>
      </c>
      <c r="I950" s="1" t="s">
        <v>14572</v>
      </c>
      <c r="J950" s="1" t="s">
        <v>14198</v>
      </c>
      <c r="K950" s="1" t="s">
        <v>27554</v>
      </c>
      <c r="L950" s="1" t="s">
        <v>27555</v>
      </c>
      <c r="M950" s="1" t="s">
        <v>27556</v>
      </c>
      <c r="N950" s="3" t="s">
        <v>27557</v>
      </c>
    </row>
    <row r="951" spans="1:14" ht="13.8">
      <c r="A951" s="1" t="s">
        <v>27558</v>
      </c>
      <c r="B951" s="1" t="s">
        <v>27559</v>
      </c>
      <c r="C951" s="1" t="s">
        <v>27560</v>
      </c>
      <c r="D951" s="1" t="s">
        <v>27561</v>
      </c>
      <c r="E951" s="1" t="s">
        <v>27562</v>
      </c>
      <c r="F951" s="1" t="s">
        <v>27563</v>
      </c>
      <c r="G951" s="1" t="s">
        <v>27564</v>
      </c>
      <c r="H951" s="1">
        <v>20</v>
      </c>
      <c r="I951" s="1" t="s">
        <v>17252</v>
      </c>
      <c r="J951" s="1" t="s">
        <v>14198</v>
      </c>
      <c r="K951" s="1" t="s">
        <v>27565</v>
      </c>
      <c r="L951" s="1" t="s">
        <v>27566</v>
      </c>
      <c r="M951" s="1" t="s">
        <v>27567</v>
      </c>
      <c r="N951" s="3" t="s">
        <v>27568</v>
      </c>
    </row>
    <row r="952" spans="1:14" ht="13.8">
      <c r="A952" s="1" t="s">
        <v>27569</v>
      </c>
      <c r="B952" s="1" t="s">
        <v>27570</v>
      </c>
      <c r="C952" s="1" t="s">
        <v>27571</v>
      </c>
      <c r="D952" s="1" t="s">
        <v>27572</v>
      </c>
      <c r="E952" s="1" t="s">
        <v>27573</v>
      </c>
      <c r="F952" s="1" t="s">
        <v>27574</v>
      </c>
      <c r="G952" s="1" t="s">
        <v>27575</v>
      </c>
      <c r="H952" s="1">
        <v>40</v>
      </c>
      <c r="I952" s="1" t="s">
        <v>14207</v>
      </c>
      <c r="J952" s="1" t="s">
        <v>14237</v>
      </c>
      <c r="K952" s="1" t="s">
        <v>27576</v>
      </c>
      <c r="L952" s="1" t="s">
        <v>27577</v>
      </c>
      <c r="M952" s="1" t="s">
        <v>27578</v>
      </c>
      <c r="N952" s="3" t="s">
        <v>27579</v>
      </c>
    </row>
    <row r="953" spans="1:14" ht="13.8">
      <c r="A953" s="1" t="s">
        <v>27580</v>
      </c>
      <c r="B953" s="1" t="s">
        <v>27581</v>
      </c>
      <c r="C953" s="1" t="s">
        <v>27582</v>
      </c>
      <c r="D953" s="1" t="s">
        <v>27583</v>
      </c>
      <c r="E953" s="1" t="s">
        <v>27584</v>
      </c>
      <c r="F953" s="1" t="s">
        <v>27585</v>
      </c>
      <c r="G953" s="1" t="s">
        <v>27586</v>
      </c>
      <c r="H953" s="1">
        <v>50</v>
      </c>
      <c r="I953" s="1" t="s">
        <v>429</v>
      </c>
      <c r="J953" s="1" t="s">
        <v>14198</v>
      </c>
      <c r="K953" s="1" t="s">
        <v>27587</v>
      </c>
      <c r="L953" s="1" t="s">
        <v>27588</v>
      </c>
      <c r="M953" s="1" t="s">
        <v>27589</v>
      </c>
      <c r="N953" s="3" t="s">
        <v>27590</v>
      </c>
    </row>
    <row r="954" spans="1:14" ht="13.8">
      <c r="A954" s="1" t="s">
        <v>27591</v>
      </c>
      <c r="B954" s="1" t="s">
        <v>27592</v>
      </c>
      <c r="C954" s="1" t="s">
        <v>27593</v>
      </c>
      <c r="D954" s="1" t="s">
        <v>27594</v>
      </c>
      <c r="E954" s="1" t="s">
        <v>27595</v>
      </c>
      <c r="F954" s="1" t="s">
        <v>27596</v>
      </c>
      <c r="G954" s="1" t="s">
        <v>27597</v>
      </c>
      <c r="H954" s="1">
        <v>45</v>
      </c>
      <c r="I954" s="1" t="s">
        <v>14259</v>
      </c>
      <c r="J954" s="1" t="s">
        <v>14198</v>
      </c>
      <c r="K954" s="1" t="s">
        <v>27598</v>
      </c>
      <c r="L954" s="1" t="s">
        <v>27599</v>
      </c>
      <c r="M954" s="1" t="s">
        <v>27600</v>
      </c>
      <c r="N954" s="3" t="s">
        <v>27601</v>
      </c>
    </row>
    <row r="955" spans="1:14" ht="13.8">
      <c r="A955" s="1" t="s">
        <v>27602</v>
      </c>
      <c r="B955" s="1" t="s">
        <v>27603</v>
      </c>
      <c r="C955" s="1" t="s">
        <v>27604</v>
      </c>
      <c r="D955" s="1" t="s">
        <v>27605</v>
      </c>
      <c r="E955" s="1" t="s">
        <v>27606</v>
      </c>
      <c r="F955" s="1" t="s">
        <v>27607</v>
      </c>
      <c r="G955" s="1" t="s">
        <v>27608</v>
      </c>
      <c r="H955" s="1">
        <v>50</v>
      </c>
      <c r="I955" s="1" t="s">
        <v>14281</v>
      </c>
      <c r="J955" s="1" t="s">
        <v>14338</v>
      </c>
      <c r="K955" s="1" t="s">
        <v>27609</v>
      </c>
      <c r="L955" s="1" t="s">
        <v>27610</v>
      </c>
      <c r="M955" s="1" t="s">
        <v>27611</v>
      </c>
      <c r="N955" s="3" t="s">
        <v>27612</v>
      </c>
    </row>
    <row r="956" spans="1:14" ht="409.6">
      <c r="A956" s="1" t="s">
        <v>27613</v>
      </c>
      <c r="B956" s="1" t="s">
        <v>27614</v>
      </c>
      <c r="C956" s="1" t="s">
        <v>27615</v>
      </c>
      <c r="D956" s="1" t="s">
        <v>27616</v>
      </c>
      <c r="E956" s="1" t="s">
        <v>27617</v>
      </c>
      <c r="F956" s="1" t="s">
        <v>27618</v>
      </c>
      <c r="G956" s="1" t="s">
        <v>27619</v>
      </c>
      <c r="H956" s="1">
        <v>1440</v>
      </c>
      <c r="I956" s="1" t="s">
        <v>14198</v>
      </c>
      <c r="J956" s="1" t="s">
        <v>14338</v>
      </c>
      <c r="K956" s="4" t="s">
        <v>27620</v>
      </c>
      <c r="L956" s="1" t="s">
        <v>27621</v>
      </c>
      <c r="M956" s="1" t="s">
        <v>27622</v>
      </c>
      <c r="N956" s="3" t="s">
        <v>27623</v>
      </c>
    </row>
    <row r="957" spans="1:14" ht="409.6">
      <c r="A957" s="1" t="s">
        <v>27624</v>
      </c>
      <c r="B957" s="1" t="s">
        <v>27625</v>
      </c>
      <c r="C957" s="1" t="s">
        <v>27626</v>
      </c>
      <c r="D957" s="1" t="s">
        <v>27627</v>
      </c>
      <c r="E957" s="1" t="s">
        <v>27628</v>
      </c>
      <c r="F957" s="1" t="s">
        <v>27629</v>
      </c>
      <c r="G957" s="1" t="s">
        <v>27630</v>
      </c>
      <c r="H957" s="1">
        <v>25</v>
      </c>
      <c r="I957" s="1" t="s">
        <v>17252</v>
      </c>
      <c r="J957" s="1" t="s">
        <v>15314</v>
      </c>
      <c r="K957" s="4" t="s">
        <v>27631</v>
      </c>
      <c r="L957" s="1" t="s">
        <v>27632</v>
      </c>
      <c r="M957" s="1" t="s">
        <v>27633</v>
      </c>
      <c r="N957" s="3" t="s">
        <v>27634</v>
      </c>
    </row>
    <row r="958" spans="1:14" ht="13.8">
      <c r="A958" s="1" t="s">
        <v>27635</v>
      </c>
      <c r="B958" s="1" t="s">
        <v>27636</v>
      </c>
      <c r="C958" s="1" t="s">
        <v>27637</v>
      </c>
      <c r="D958" s="1" t="s">
        <v>27638</v>
      </c>
      <c r="E958" s="1" t="s">
        <v>27639</v>
      </c>
      <c r="F958" s="1" t="s">
        <v>27640</v>
      </c>
      <c r="G958" s="1" t="s">
        <v>27641</v>
      </c>
      <c r="H958" s="1">
        <v>20</v>
      </c>
      <c r="I958" s="1" t="s">
        <v>17252</v>
      </c>
      <c r="J958" s="1" t="s">
        <v>18114</v>
      </c>
      <c r="K958" s="1" t="s">
        <v>27642</v>
      </c>
      <c r="L958" s="1" t="s">
        <v>27643</v>
      </c>
      <c r="M958" s="1" t="s">
        <v>27644</v>
      </c>
      <c r="N958" s="3" t="s">
        <v>27645</v>
      </c>
    </row>
    <row r="959" spans="1:14" ht="409.6">
      <c r="A959" s="1" t="s">
        <v>27646</v>
      </c>
      <c r="B959" s="1" t="s">
        <v>27647</v>
      </c>
      <c r="C959" s="1" t="s">
        <v>27648</v>
      </c>
      <c r="D959" s="1" t="s">
        <v>27649</v>
      </c>
      <c r="E959" s="1" t="s">
        <v>27650</v>
      </c>
      <c r="F959" s="1" t="s">
        <v>27651</v>
      </c>
      <c r="G959" s="1" t="s">
        <v>27652</v>
      </c>
      <c r="H959" s="1">
        <v>15</v>
      </c>
      <c r="I959" s="1" t="s">
        <v>14281</v>
      </c>
      <c r="J959" s="1" t="s">
        <v>14198</v>
      </c>
      <c r="K959" s="4" t="s">
        <v>27653</v>
      </c>
      <c r="L959" s="1" t="s">
        <v>27654</v>
      </c>
      <c r="M959" s="1" t="s">
        <v>27655</v>
      </c>
      <c r="N959" s="3" t="s">
        <v>27656</v>
      </c>
    </row>
    <row r="960" spans="1:14" ht="13.8">
      <c r="A960" s="1" t="s">
        <v>27657</v>
      </c>
      <c r="B960" s="1" t="s">
        <v>27658</v>
      </c>
      <c r="C960" s="1" t="s">
        <v>27659</v>
      </c>
      <c r="D960" s="1" t="s">
        <v>27660</v>
      </c>
      <c r="E960" s="1" t="s">
        <v>27661</v>
      </c>
      <c r="F960" s="1" t="s">
        <v>27662</v>
      </c>
      <c r="G960" s="1" t="s">
        <v>27663</v>
      </c>
      <c r="H960" s="1">
        <v>30</v>
      </c>
      <c r="I960" s="1" t="s">
        <v>14572</v>
      </c>
      <c r="J960" s="1" t="s">
        <v>14198</v>
      </c>
      <c r="K960" s="1" t="s">
        <v>27664</v>
      </c>
      <c r="L960" s="1" t="s">
        <v>27665</v>
      </c>
      <c r="M960" s="1" t="s">
        <v>27666</v>
      </c>
      <c r="N960" s="3" t="s">
        <v>27667</v>
      </c>
    </row>
    <row r="961" spans="1:14" ht="409.6">
      <c r="A961" s="1" t="s">
        <v>27668</v>
      </c>
      <c r="B961" s="1" t="s">
        <v>27669</v>
      </c>
      <c r="C961" s="1" t="s">
        <v>27670</v>
      </c>
      <c r="D961" s="1" t="s">
        <v>27671</v>
      </c>
      <c r="E961" s="1" t="s">
        <v>27672</v>
      </c>
      <c r="F961" s="1" t="s">
        <v>27673</v>
      </c>
      <c r="G961" s="1" t="s">
        <v>27674</v>
      </c>
      <c r="H961" s="1">
        <v>480</v>
      </c>
      <c r="I961" s="1" t="s">
        <v>8417</v>
      </c>
      <c r="J961" s="1" t="s">
        <v>14198</v>
      </c>
      <c r="K961" s="4" t="s">
        <v>27675</v>
      </c>
      <c r="L961" s="4" t="s">
        <v>27676</v>
      </c>
      <c r="M961" s="1" t="s">
        <v>27677</v>
      </c>
      <c r="N961" s="3" t="s">
        <v>27678</v>
      </c>
    </row>
    <row r="962" spans="1:14" ht="409.6">
      <c r="A962" s="1" t="s">
        <v>27679</v>
      </c>
      <c r="B962" s="1" t="s">
        <v>27680</v>
      </c>
      <c r="C962" s="1" t="s">
        <v>27681</v>
      </c>
      <c r="D962" s="1" t="s">
        <v>27682</v>
      </c>
      <c r="E962" s="1" t="s">
        <v>27683</v>
      </c>
      <c r="F962" s="1" t="s">
        <v>27684</v>
      </c>
      <c r="G962" s="1" t="s">
        <v>27685</v>
      </c>
      <c r="H962" s="1">
        <v>60</v>
      </c>
      <c r="I962" s="1" t="s">
        <v>8417</v>
      </c>
      <c r="J962" s="1" t="s">
        <v>15314</v>
      </c>
      <c r="K962" s="4" t="s">
        <v>27686</v>
      </c>
      <c r="L962" s="1" t="s">
        <v>27687</v>
      </c>
      <c r="M962" s="1" t="s">
        <v>27688</v>
      </c>
      <c r="N962" s="3" t="s">
        <v>27689</v>
      </c>
    </row>
    <row r="963" spans="1:14" ht="13.8">
      <c r="A963" s="1" t="s">
        <v>27690</v>
      </c>
      <c r="B963" s="1" t="s">
        <v>27691</v>
      </c>
      <c r="C963" s="1" t="s">
        <v>27692</v>
      </c>
      <c r="D963" s="1" t="s">
        <v>27693</v>
      </c>
      <c r="E963" s="1" t="s">
        <v>27694</v>
      </c>
      <c r="F963" s="1" t="s">
        <v>27695</v>
      </c>
      <c r="G963" s="1" t="s">
        <v>27696</v>
      </c>
      <c r="H963" s="1">
        <v>30</v>
      </c>
      <c r="I963" s="1" t="s">
        <v>14572</v>
      </c>
      <c r="J963" s="1" t="s">
        <v>14198</v>
      </c>
      <c r="K963" s="1" t="s">
        <v>27697</v>
      </c>
      <c r="L963" s="1" t="s">
        <v>27698</v>
      </c>
      <c r="M963" s="1" t="s">
        <v>27699</v>
      </c>
      <c r="N963" s="3" t="s">
        <v>27700</v>
      </c>
    </row>
    <row r="964" spans="1:14" ht="13.8">
      <c r="A964" s="1" t="s">
        <v>27701</v>
      </c>
      <c r="B964" s="1" t="s">
        <v>27702</v>
      </c>
      <c r="C964" s="1" t="s">
        <v>27703</v>
      </c>
      <c r="D964" s="1" t="s">
        <v>27704</v>
      </c>
      <c r="E964" s="1" t="s">
        <v>27705</v>
      </c>
      <c r="F964" s="1" t="s">
        <v>27706</v>
      </c>
      <c r="G964" s="1" t="s">
        <v>27707</v>
      </c>
      <c r="H964" s="1">
        <v>50</v>
      </c>
      <c r="I964" s="1" t="s">
        <v>14281</v>
      </c>
      <c r="J964" s="1" t="s">
        <v>14198</v>
      </c>
      <c r="K964" s="1" t="s">
        <v>27708</v>
      </c>
      <c r="L964" s="1" t="s">
        <v>27709</v>
      </c>
      <c r="M964" s="1" t="s">
        <v>27710</v>
      </c>
      <c r="N964" s="3" t="s">
        <v>27711</v>
      </c>
    </row>
    <row r="965" spans="1:14" ht="409.6">
      <c r="A965" s="1" t="s">
        <v>27712</v>
      </c>
      <c r="B965" s="1" t="s">
        <v>27713</v>
      </c>
      <c r="C965" s="1" t="s">
        <v>27714</v>
      </c>
      <c r="D965" s="1" t="s">
        <v>27715</v>
      </c>
      <c r="E965" s="1" t="s">
        <v>27716</v>
      </c>
      <c r="F965" s="1" t="s">
        <v>27717</v>
      </c>
      <c r="G965" s="1" t="s">
        <v>27718</v>
      </c>
      <c r="H965" s="1">
        <v>40</v>
      </c>
      <c r="I965" s="1" t="s">
        <v>14281</v>
      </c>
      <c r="J965" s="1" t="s">
        <v>14237</v>
      </c>
      <c r="K965" s="4" t="s">
        <v>27719</v>
      </c>
      <c r="L965" s="1" t="s">
        <v>27720</v>
      </c>
      <c r="M965" s="1" t="s">
        <v>27721</v>
      </c>
      <c r="N965" s="3" t="s">
        <v>27722</v>
      </c>
    </row>
    <row r="966" spans="1:14" ht="13.8">
      <c r="A966" s="1" t="s">
        <v>27723</v>
      </c>
      <c r="B966" s="1" t="s">
        <v>27724</v>
      </c>
      <c r="C966" s="1" t="s">
        <v>27725</v>
      </c>
      <c r="D966" s="1" t="s">
        <v>27726</v>
      </c>
      <c r="E966" s="1" t="s">
        <v>27727</v>
      </c>
      <c r="F966" s="1" t="s">
        <v>27728</v>
      </c>
      <c r="G966" s="1" t="s">
        <v>27729</v>
      </c>
      <c r="H966" s="1">
        <v>20</v>
      </c>
      <c r="I966" s="1" t="s">
        <v>14207</v>
      </c>
      <c r="J966" s="1" t="s">
        <v>14198</v>
      </c>
      <c r="K966" s="1" t="s">
        <v>27730</v>
      </c>
      <c r="L966" s="1" t="s">
        <v>27731</v>
      </c>
      <c r="M966" s="1" t="s">
        <v>27732</v>
      </c>
      <c r="N966" s="3" t="s">
        <v>27733</v>
      </c>
    </row>
    <row r="967" spans="1:14" ht="409.6">
      <c r="A967" s="1" t="s">
        <v>27734</v>
      </c>
      <c r="B967" s="1" t="s">
        <v>27735</v>
      </c>
      <c r="C967" s="1" t="s">
        <v>27736</v>
      </c>
      <c r="D967" s="1" t="s">
        <v>27737</v>
      </c>
      <c r="E967" s="1" t="s">
        <v>27738</v>
      </c>
      <c r="F967" s="1" t="s">
        <v>27739</v>
      </c>
      <c r="G967" s="1" t="s">
        <v>27740</v>
      </c>
      <c r="H967" s="1">
        <v>80</v>
      </c>
      <c r="I967" s="1" t="s">
        <v>14572</v>
      </c>
      <c r="J967" s="1" t="s">
        <v>14367</v>
      </c>
      <c r="K967" s="4" t="s">
        <v>27741</v>
      </c>
      <c r="L967" s="1" t="s">
        <v>27742</v>
      </c>
      <c r="M967" s="1" t="s">
        <v>27743</v>
      </c>
      <c r="N967" s="3" t="s">
        <v>27744</v>
      </c>
    </row>
    <row r="968" spans="1:14" ht="13.8">
      <c r="A968" s="1" t="s">
        <v>27745</v>
      </c>
      <c r="B968" s="1" t="s">
        <v>27746</v>
      </c>
      <c r="C968" s="1" t="s">
        <v>27747</v>
      </c>
      <c r="D968" s="1" t="s">
        <v>27748</v>
      </c>
      <c r="E968" s="1" t="s">
        <v>27749</v>
      </c>
      <c r="F968" s="1" t="s">
        <v>27750</v>
      </c>
      <c r="G968" s="1" t="s">
        <v>27751</v>
      </c>
      <c r="H968" s="1">
        <v>535</v>
      </c>
      <c r="I968" s="1" t="s">
        <v>17252</v>
      </c>
      <c r="J968" s="1" t="s">
        <v>14198</v>
      </c>
      <c r="K968" s="1" t="s">
        <v>27752</v>
      </c>
      <c r="L968" s="1" t="s">
        <v>27753</v>
      </c>
      <c r="M968" s="1" t="s">
        <v>27754</v>
      </c>
      <c r="N968" s="3" t="s">
        <v>27755</v>
      </c>
    </row>
    <row r="969" spans="1:14" ht="13.8">
      <c r="A969" s="1" t="s">
        <v>27756</v>
      </c>
      <c r="B969" s="1" t="s">
        <v>27757</v>
      </c>
      <c r="C969" s="1" t="s">
        <v>27758</v>
      </c>
      <c r="D969" s="1" t="s">
        <v>27759</v>
      </c>
      <c r="E969" s="1" t="s">
        <v>27760</v>
      </c>
      <c r="F969" s="1" t="s">
        <v>27761</v>
      </c>
      <c r="G969" s="1" t="s">
        <v>27762</v>
      </c>
      <c r="H969" s="1">
        <v>30</v>
      </c>
      <c r="I969" s="1" t="s">
        <v>14207</v>
      </c>
      <c r="J969" s="1" t="s">
        <v>14198</v>
      </c>
      <c r="K969" s="1" t="s">
        <v>27763</v>
      </c>
      <c r="L969" s="1" t="s">
        <v>27764</v>
      </c>
      <c r="M969" s="1" t="s">
        <v>27765</v>
      </c>
      <c r="N969" s="3" t="s">
        <v>27766</v>
      </c>
    </row>
    <row r="970" spans="1:14" ht="13.8">
      <c r="A970" s="1" t="s">
        <v>27767</v>
      </c>
      <c r="B970" s="1" t="s">
        <v>27768</v>
      </c>
      <c r="C970" s="1" t="s">
        <v>27769</v>
      </c>
      <c r="D970" s="1" t="s">
        <v>27770</v>
      </c>
      <c r="E970" s="1" t="s">
        <v>27771</v>
      </c>
      <c r="F970" s="1" t="s">
        <v>27772</v>
      </c>
      <c r="G970" s="1" t="s">
        <v>27773</v>
      </c>
      <c r="H970" s="1">
        <v>30</v>
      </c>
      <c r="I970" s="1" t="s">
        <v>14281</v>
      </c>
      <c r="J970" s="1" t="s">
        <v>14198</v>
      </c>
      <c r="K970" s="1" t="s">
        <v>27774</v>
      </c>
      <c r="L970" s="1" t="s">
        <v>27775</v>
      </c>
      <c r="M970" s="1" t="s">
        <v>27776</v>
      </c>
      <c r="N970" s="3" t="s">
        <v>27777</v>
      </c>
    </row>
    <row r="971" spans="1:14" ht="13.8">
      <c r="A971" s="1" t="s">
        <v>27778</v>
      </c>
      <c r="B971" s="1" t="s">
        <v>27779</v>
      </c>
      <c r="C971" s="1" t="s">
        <v>27780</v>
      </c>
      <c r="D971" s="1" t="s">
        <v>27781</v>
      </c>
      <c r="E971" s="1" t="s">
        <v>27782</v>
      </c>
      <c r="F971" s="1" t="s">
        <v>27783</v>
      </c>
      <c r="G971" s="1" t="s">
        <v>27784</v>
      </c>
      <c r="H971" s="1">
        <v>30</v>
      </c>
      <c r="I971" s="1" t="s">
        <v>145</v>
      </c>
      <c r="J971" s="1" t="s">
        <v>14198</v>
      </c>
      <c r="K971" s="1" t="s">
        <v>27785</v>
      </c>
      <c r="L971" s="1" t="s">
        <v>27786</v>
      </c>
      <c r="M971" s="1" t="s">
        <v>27787</v>
      </c>
      <c r="N971" s="3" t="s">
        <v>27788</v>
      </c>
    </row>
    <row r="972" spans="1:14" ht="409.6">
      <c r="A972" s="1" t="s">
        <v>27789</v>
      </c>
      <c r="B972" s="1" t="s">
        <v>27790</v>
      </c>
      <c r="C972" s="1" t="s">
        <v>27791</v>
      </c>
      <c r="D972" s="1" t="s">
        <v>27792</v>
      </c>
      <c r="E972" s="1" t="s">
        <v>27793</v>
      </c>
      <c r="F972" s="1" t="s">
        <v>27794</v>
      </c>
      <c r="G972" s="1" t="s">
        <v>27795</v>
      </c>
      <c r="H972" s="1">
        <v>40</v>
      </c>
      <c r="I972" s="1" t="s">
        <v>14572</v>
      </c>
      <c r="J972" s="1" t="s">
        <v>14198</v>
      </c>
      <c r="K972" s="4" t="s">
        <v>27796</v>
      </c>
      <c r="L972" s="1" t="s">
        <v>27797</v>
      </c>
      <c r="M972" s="1" t="s">
        <v>27798</v>
      </c>
      <c r="N972" s="3" t="s">
        <v>27799</v>
      </c>
    </row>
    <row r="973" spans="1:14" ht="409.6">
      <c r="A973" s="1" t="s">
        <v>27800</v>
      </c>
      <c r="B973" s="1" t="s">
        <v>27801</v>
      </c>
      <c r="C973" s="1" t="s">
        <v>27802</v>
      </c>
      <c r="D973" s="1" t="s">
        <v>27803</v>
      </c>
      <c r="E973" s="1" t="s">
        <v>27804</v>
      </c>
      <c r="F973" s="1" t="s">
        <v>27805</v>
      </c>
      <c r="G973" s="1" t="s">
        <v>27806</v>
      </c>
      <c r="H973" s="1">
        <v>45</v>
      </c>
      <c r="I973" s="1" t="s">
        <v>17252</v>
      </c>
      <c r="J973" s="1" t="s">
        <v>15314</v>
      </c>
      <c r="K973" s="4" t="s">
        <v>27807</v>
      </c>
      <c r="L973" s="1" t="s">
        <v>27808</v>
      </c>
      <c r="M973" s="1" t="s">
        <v>27809</v>
      </c>
      <c r="N973" s="3" t="s">
        <v>27810</v>
      </c>
    </row>
    <row r="974" spans="1:14" ht="409.6">
      <c r="A974" s="1" t="s">
        <v>27811</v>
      </c>
      <c r="B974" s="1" t="s">
        <v>27812</v>
      </c>
      <c r="C974" s="1" t="s">
        <v>27813</v>
      </c>
      <c r="D974" s="1" t="s">
        <v>27814</v>
      </c>
      <c r="E974" s="1" t="s">
        <v>27815</v>
      </c>
      <c r="F974" s="1" t="s">
        <v>27816</v>
      </c>
      <c r="G974" s="1" t="s">
        <v>27817</v>
      </c>
      <c r="H974" s="1">
        <v>320</v>
      </c>
      <c r="I974" s="1" t="s">
        <v>429</v>
      </c>
      <c r="J974" s="1" t="s">
        <v>14198</v>
      </c>
      <c r="K974" s="4" t="s">
        <v>27818</v>
      </c>
      <c r="L974" s="1" t="s">
        <v>27819</v>
      </c>
      <c r="M974" s="1" t="s">
        <v>27820</v>
      </c>
      <c r="N974" s="3" t="s">
        <v>27821</v>
      </c>
    </row>
    <row r="975" spans="1:14" ht="13.8">
      <c r="A975" s="1" t="s">
        <v>27822</v>
      </c>
      <c r="B975" s="1" t="s">
        <v>27823</v>
      </c>
      <c r="C975" s="1" t="s">
        <v>27824</v>
      </c>
      <c r="D975" s="1" t="s">
        <v>27825</v>
      </c>
      <c r="E975" s="1" t="s">
        <v>27826</v>
      </c>
      <c r="F975" s="1" t="s">
        <v>27827</v>
      </c>
      <c r="G975" s="1" t="s">
        <v>27828</v>
      </c>
      <c r="H975" s="1">
        <v>60</v>
      </c>
      <c r="I975" s="1" t="s">
        <v>14259</v>
      </c>
      <c r="J975" s="1" t="s">
        <v>14198</v>
      </c>
      <c r="K975" s="1" t="s">
        <v>27829</v>
      </c>
      <c r="L975" s="1" t="s">
        <v>27830</v>
      </c>
      <c r="M975" s="1" t="s">
        <v>27831</v>
      </c>
      <c r="N975" s="3" t="s">
        <v>27832</v>
      </c>
    </row>
    <row r="976" spans="1:14" ht="13.8">
      <c r="A976" s="1" t="s">
        <v>27833</v>
      </c>
      <c r="B976" s="1" t="s">
        <v>27834</v>
      </c>
      <c r="C976" s="1" t="s">
        <v>27835</v>
      </c>
      <c r="D976" s="1" t="s">
        <v>27836</v>
      </c>
      <c r="E976" s="1" t="s">
        <v>27837</v>
      </c>
      <c r="F976" s="1" t="s">
        <v>27838</v>
      </c>
      <c r="G976" s="1" t="s">
        <v>27839</v>
      </c>
      <c r="H976" s="1">
        <v>50</v>
      </c>
      <c r="I976" s="1" t="s">
        <v>8417</v>
      </c>
      <c r="J976" s="1" t="s">
        <v>14198</v>
      </c>
      <c r="K976" s="1" t="s">
        <v>27840</v>
      </c>
      <c r="L976" s="1" t="s">
        <v>27841</v>
      </c>
      <c r="M976" s="1" t="s">
        <v>27842</v>
      </c>
      <c r="N976" s="3" t="s">
        <v>27843</v>
      </c>
    </row>
    <row r="977" spans="1:14" ht="13.8">
      <c r="A977" s="1" t="s">
        <v>20166</v>
      </c>
      <c r="B977" s="1" t="s">
        <v>27844</v>
      </c>
      <c r="C977" s="1" t="s">
        <v>20168</v>
      </c>
      <c r="D977" s="1" t="s">
        <v>20169</v>
      </c>
      <c r="E977" s="1" t="s">
        <v>27845</v>
      </c>
      <c r="F977" s="1" t="s">
        <v>27846</v>
      </c>
      <c r="G977" s="1" t="s">
        <v>27847</v>
      </c>
      <c r="H977" s="1">
        <v>45</v>
      </c>
      <c r="I977" s="1" t="s">
        <v>429</v>
      </c>
      <c r="J977" s="1" t="s">
        <v>14198</v>
      </c>
      <c r="K977" s="1" t="s">
        <v>27848</v>
      </c>
      <c r="L977" s="1" t="s">
        <v>27849</v>
      </c>
      <c r="M977" s="1" t="s">
        <v>27850</v>
      </c>
      <c r="N977" s="3" t="s">
        <v>27851</v>
      </c>
    </row>
    <row r="978" spans="1:14" ht="13.8">
      <c r="A978" s="1" t="s">
        <v>27852</v>
      </c>
      <c r="B978" s="1" t="s">
        <v>27853</v>
      </c>
      <c r="C978" s="1" t="s">
        <v>27854</v>
      </c>
      <c r="D978" s="1" t="s">
        <v>27855</v>
      </c>
      <c r="E978" s="1" t="s">
        <v>27856</v>
      </c>
      <c r="F978" s="1" t="s">
        <v>27857</v>
      </c>
      <c r="G978" s="1" t="s">
        <v>27858</v>
      </c>
      <c r="H978" s="1">
        <v>25</v>
      </c>
      <c r="I978" s="1" t="s">
        <v>14572</v>
      </c>
      <c r="J978" s="1" t="s">
        <v>14198</v>
      </c>
      <c r="K978" s="1" t="s">
        <v>27859</v>
      </c>
      <c r="L978" s="1" t="s">
        <v>27860</v>
      </c>
      <c r="M978" s="1" t="s">
        <v>27861</v>
      </c>
      <c r="N978" s="3" t="s">
        <v>27862</v>
      </c>
    </row>
    <row r="979" spans="1:14" ht="409.6">
      <c r="A979" s="1" t="s">
        <v>27863</v>
      </c>
      <c r="B979" s="1" t="s">
        <v>27864</v>
      </c>
      <c r="C979" s="1" t="s">
        <v>27865</v>
      </c>
      <c r="D979" s="1" t="s">
        <v>27866</v>
      </c>
      <c r="E979" s="1" t="s">
        <v>27867</v>
      </c>
      <c r="F979" s="1" t="s">
        <v>27868</v>
      </c>
      <c r="G979" s="1" t="s">
        <v>27869</v>
      </c>
      <c r="H979" s="1">
        <v>15</v>
      </c>
      <c r="I979" s="1" t="s">
        <v>14572</v>
      </c>
      <c r="J979" s="1" t="s">
        <v>14198</v>
      </c>
      <c r="K979" s="4" t="s">
        <v>27870</v>
      </c>
      <c r="L979" s="1" t="s">
        <v>27871</v>
      </c>
      <c r="M979" s="1" t="s">
        <v>27872</v>
      </c>
      <c r="N979" s="3" t="s">
        <v>27873</v>
      </c>
    </row>
    <row r="980" spans="1:14" ht="409.6">
      <c r="A980" s="1" t="s">
        <v>27874</v>
      </c>
      <c r="B980" s="1" t="s">
        <v>27875</v>
      </c>
      <c r="C980" s="1" t="s">
        <v>27876</v>
      </c>
      <c r="D980" s="1" t="s">
        <v>27877</v>
      </c>
      <c r="E980" s="1" t="s">
        <v>27878</v>
      </c>
      <c r="F980" s="1" t="s">
        <v>27879</v>
      </c>
      <c r="G980" s="1" t="s">
        <v>27880</v>
      </c>
      <c r="H980" s="1">
        <v>25</v>
      </c>
      <c r="I980" s="1" t="s">
        <v>17252</v>
      </c>
      <c r="J980" s="1" t="s">
        <v>14198</v>
      </c>
      <c r="K980" s="4" t="s">
        <v>27881</v>
      </c>
      <c r="L980" s="1" t="s">
        <v>27882</v>
      </c>
      <c r="M980" s="1" t="s">
        <v>27883</v>
      </c>
      <c r="N980" s="3" t="s">
        <v>27884</v>
      </c>
    </row>
    <row r="981" spans="1:14" ht="13.8">
      <c r="A981" s="1" t="s">
        <v>27885</v>
      </c>
      <c r="B981" s="1" t="s">
        <v>27886</v>
      </c>
      <c r="C981" s="1" t="s">
        <v>27887</v>
      </c>
      <c r="D981" s="1" t="s">
        <v>27888</v>
      </c>
      <c r="E981" s="1" t="s">
        <v>27889</v>
      </c>
      <c r="F981" s="1" t="s">
        <v>27890</v>
      </c>
      <c r="G981" s="1" t="s">
        <v>27891</v>
      </c>
      <c r="H981" s="1">
        <v>30</v>
      </c>
      <c r="I981" s="1" t="s">
        <v>17252</v>
      </c>
      <c r="J981" s="1" t="s">
        <v>15314</v>
      </c>
      <c r="K981" s="1" t="s">
        <v>27892</v>
      </c>
      <c r="L981" s="1" t="s">
        <v>27893</v>
      </c>
      <c r="M981" s="1" t="s">
        <v>27894</v>
      </c>
      <c r="N981" s="3" t="s">
        <v>27895</v>
      </c>
    </row>
    <row r="982" spans="1:14" ht="13.8">
      <c r="A982" s="1" t="s">
        <v>27896</v>
      </c>
      <c r="B982" s="1" t="s">
        <v>27897</v>
      </c>
      <c r="C982" s="1" t="s">
        <v>27898</v>
      </c>
      <c r="D982" s="1" t="s">
        <v>27899</v>
      </c>
      <c r="E982" s="1" t="s">
        <v>27900</v>
      </c>
      <c r="F982" s="1" t="s">
        <v>27901</v>
      </c>
      <c r="G982" s="1" t="s">
        <v>27902</v>
      </c>
      <c r="H982" s="1">
        <v>90</v>
      </c>
      <c r="I982" s="1" t="s">
        <v>8417</v>
      </c>
      <c r="J982" s="1" t="s">
        <v>14237</v>
      </c>
      <c r="K982" s="1" t="s">
        <v>27903</v>
      </c>
      <c r="L982" s="1" t="s">
        <v>27904</v>
      </c>
      <c r="M982" s="1" t="s">
        <v>27905</v>
      </c>
      <c r="N982" s="3" t="s">
        <v>27906</v>
      </c>
    </row>
    <row r="983" spans="1:14" ht="13.8">
      <c r="A983" s="1" t="s">
        <v>27907</v>
      </c>
      <c r="B983" s="1" t="s">
        <v>27908</v>
      </c>
      <c r="C983" s="1" t="s">
        <v>27909</v>
      </c>
      <c r="D983" s="1" t="s">
        <v>27910</v>
      </c>
      <c r="E983" s="1" t="s">
        <v>27911</v>
      </c>
      <c r="F983" s="1" t="s">
        <v>27912</v>
      </c>
      <c r="G983" s="1" t="s">
        <v>27913</v>
      </c>
      <c r="H983" s="1">
        <v>75</v>
      </c>
      <c r="I983" s="1" t="s">
        <v>429</v>
      </c>
      <c r="J983" s="1" t="s">
        <v>14198</v>
      </c>
      <c r="K983" s="1" t="s">
        <v>27914</v>
      </c>
      <c r="L983" s="1" t="s">
        <v>27915</v>
      </c>
      <c r="M983" s="1" t="s">
        <v>27916</v>
      </c>
      <c r="N983" s="3" t="s">
        <v>27917</v>
      </c>
    </row>
    <row r="984" spans="1:14" ht="409.6">
      <c r="A984" s="1" t="s">
        <v>27918</v>
      </c>
      <c r="B984" s="1" t="s">
        <v>27919</v>
      </c>
      <c r="C984" s="1" t="s">
        <v>27920</v>
      </c>
      <c r="D984" s="1" t="s">
        <v>27921</v>
      </c>
      <c r="E984" s="1" t="s">
        <v>27922</v>
      </c>
      <c r="F984" s="1" t="s">
        <v>27923</v>
      </c>
      <c r="G984" s="1" t="s">
        <v>27924</v>
      </c>
      <c r="H984" s="1">
        <v>20</v>
      </c>
      <c r="I984" s="1" t="s">
        <v>14259</v>
      </c>
      <c r="J984" s="1" t="s">
        <v>14382</v>
      </c>
      <c r="K984" s="4" t="s">
        <v>27925</v>
      </c>
      <c r="L984" s="1" t="s">
        <v>27926</v>
      </c>
      <c r="M984" s="1" t="s">
        <v>27927</v>
      </c>
      <c r="N984" s="3" t="s">
        <v>27928</v>
      </c>
    </row>
    <row r="985" spans="1:14" ht="409.6">
      <c r="A985" s="1" t="s">
        <v>27929</v>
      </c>
      <c r="B985" s="1" t="s">
        <v>27930</v>
      </c>
      <c r="C985" s="1" t="s">
        <v>27931</v>
      </c>
      <c r="D985" s="1" t="s">
        <v>27932</v>
      </c>
      <c r="E985" s="1" t="s">
        <v>27933</v>
      </c>
      <c r="F985" s="1" t="s">
        <v>27934</v>
      </c>
      <c r="G985" s="1" t="s">
        <v>27935</v>
      </c>
      <c r="H985" s="1">
        <v>150</v>
      </c>
      <c r="I985" s="1" t="s">
        <v>14281</v>
      </c>
      <c r="J985" s="1" t="s">
        <v>14237</v>
      </c>
      <c r="K985" s="4" t="s">
        <v>27936</v>
      </c>
      <c r="L985" s="1" t="s">
        <v>27937</v>
      </c>
      <c r="M985" s="1" t="s">
        <v>27938</v>
      </c>
      <c r="N985" s="3" t="s">
        <v>27939</v>
      </c>
    </row>
    <row r="986" spans="1:14" ht="13.8">
      <c r="A986" s="1" t="s">
        <v>27940</v>
      </c>
      <c r="B986" s="1" t="s">
        <v>27941</v>
      </c>
      <c r="C986" s="1" t="s">
        <v>27942</v>
      </c>
      <c r="D986" s="1" t="s">
        <v>27943</v>
      </c>
      <c r="E986" s="1" t="s">
        <v>27944</v>
      </c>
      <c r="F986" s="1" t="s">
        <v>27945</v>
      </c>
      <c r="G986" s="1" t="s">
        <v>27946</v>
      </c>
      <c r="H986" s="1">
        <v>20</v>
      </c>
      <c r="I986" s="1" t="s">
        <v>145</v>
      </c>
      <c r="J986" s="1" t="s">
        <v>14198</v>
      </c>
      <c r="K986" s="1" t="s">
        <v>27947</v>
      </c>
      <c r="L986" s="1" t="s">
        <v>27948</v>
      </c>
      <c r="M986" s="1" t="s">
        <v>27949</v>
      </c>
      <c r="N986" s="3" t="s">
        <v>27950</v>
      </c>
    </row>
    <row r="987" spans="1:14" ht="13.8">
      <c r="A987" s="1" t="s">
        <v>27951</v>
      </c>
      <c r="B987" s="1" t="s">
        <v>27952</v>
      </c>
      <c r="C987" s="1" t="s">
        <v>27953</v>
      </c>
      <c r="D987" s="1" t="s">
        <v>27954</v>
      </c>
      <c r="E987" s="1" t="s">
        <v>27955</v>
      </c>
      <c r="F987" s="1" t="s">
        <v>27956</v>
      </c>
      <c r="G987" s="1" t="s">
        <v>27957</v>
      </c>
      <c r="H987" s="1">
        <v>35</v>
      </c>
      <c r="I987" s="1" t="s">
        <v>17252</v>
      </c>
      <c r="J987" s="1" t="s">
        <v>14237</v>
      </c>
      <c r="K987" s="1" t="s">
        <v>27958</v>
      </c>
      <c r="L987" s="1" t="s">
        <v>27959</v>
      </c>
      <c r="M987" s="1" t="s">
        <v>27960</v>
      </c>
      <c r="N987" s="3" t="s">
        <v>27961</v>
      </c>
    </row>
    <row r="988" spans="1:14" ht="13.8">
      <c r="A988" s="1" t="s">
        <v>27962</v>
      </c>
      <c r="B988" s="1" t="s">
        <v>27963</v>
      </c>
      <c r="C988" s="1" t="s">
        <v>27964</v>
      </c>
      <c r="D988" s="1" t="s">
        <v>27965</v>
      </c>
      <c r="E988" s="1" t="s">
        <v>27966</v>
      </c>
      <c r="F988" s="1" t="s">
        <v>27967</v>
      </c>
      <c r="G988" s="1" t="s">
        <v>27968</v>
      </c>
      <c r="H988" s="1">
        <v>50</v>
      </c>
      <c r="I988" s="1" t="s">
        <v>14572</v>
      </c>
      <c r="J988" s="1" t="s">
        <v>14382</v>
      </c>
      <c r="K988" s="1" t="s">
        <v>27969</v>
      </c>
      <c r="L988" s="1" t="s">
        <v>27970</v>
      </c>
      <c r="M988" s="1" t="s">
        <v>27971</v>
      </c>
      <c r="N988" s="3" t="s">
        <v>27972</v>
      </c>
    </row>
    <row r="989" spans="1:14" ht="13.8">
      <c r="A989" s="1" t="s">
        <v>27973</v>
      </c>
      <c r="B989" s="1" t="s">
        <v>27974</v>
      </c>
      <c r="C989" s="1" t="s">
        <v>27975</v>
      </c>
      <c r="D989" s="1" t="s">
        <v>27976</v>
      </c>
      <c r="E989" s="1" t="s">
        <v>27977</v>
      </c>
      <c r="F989" s="1" t="s">
        <v>27978</v>
      </c>
      <c r="G989" s="1" t="s">
        <v>27979</v>
      </c>
      <c r="H989" s="1">
        <v>35</v>
      </c>
      <c r="I989" s="1" t="s">
        <v>429</v>
      </c>
      <c r="J989" s="1" t="s">
        <v>15314</v>
      </c>
      <c r="K989" s="1" t="s">
        <v>27980</v>
      </c>
      <c r="L989" s="1" t="s">
        <v>27981</v>
      </c>
      <c r="M989" s="1" t="s">
        <v>27982</v>
      </c>
      <c r="N989" s="3" t="s">
        <v>27983</v>
      </c>
    </row>
    <row r="990" spans="1:14" ht="13.8">
      <c r="A990" s="1" t="s">
        <v>27984</v>
      </c>
      <c r="B990" s="1" t="s">
        <v>27985</v>
      </c>
      <c r="C990" s="1" t="s">
        <v>27986</v>
      </c>
      <c r="D990" s="1" t="s">
        <v>27987</v>
      </c>
      <c r="E990" s="1" t="s">
        <v>27988</v>
      </c>
      <c r="F990" s="1" t="s">
        <v>27989</v>
      </c>
      <c r="G990" s="1" t="s">
        <v>27990</v>
      </c>
      <c r="H990" s="1">
        <v>15</v>
      </c>
      <c r="I990" s="1" t="s">
        <v>14207</v>
      </c>
      <c r="J990" s="1" t="s">
        <v>14198</v>
      </c>
      <c r="K990" s="1" t="s">
        <v>27991</v>
      </c>
      <c r="L990" s="1" t="s">
        <v>27992</v>
      </c>
      <c r="M990" s="1" t="s">
        <v>27993</v>
      </c>
      <c r="N990" s="3" t="s">
        <v>27994</v>
      </c>
    </row>
    <row r="991" spans="1:14" ht="13.8">
      <c r="A991" s="1" t="s">
        <v>27995</v>
      </c>
      <c r="B991" s="1" t="s">
        <v>27996</v>
      </c>
      <c r="C991" s="1" t="s">
        <v>27997</v>
      </c>
      <c r="D991" s="1" t="s">
        <v>27998</v>
      </c>
      <c r="E991" s="1" t="s">
        <v>27999</v>
      </c>
      <c r="F991" s="1" t="s">
        <v>28000</v>
      </c>
      <c r="G991" s="1" t="s">
        <v>28001</v>
      </c>
      <c r="H991" s="1">
        <v>62</v>
      </c>
      <c r="I991" s="1" t="s">
        <v>8417</v>
      </c>
      <c r="J991" s="1" t="s">
        <v>14198</v>
      </c>
      <c r="K991" s="1" t="s">
        <v>28002</v>
      </c>
      <c r="L991" s="1" t="s">
        <v>28003</v>
      </c>
      <c r="M991" s="1" t="s">
        <v>28004</v>
      </c>
      <c r="N991" s="3" t="s">
        <v>28005</v>
      </c>
    </row>
    <row r="992" spans="1:14" ht="13.8">
      <c r="A992" s="1" t="s">
        <v>28006</v>
      </c>
      <c r="B992" s="1" t="s">
        <v>28007</v>
      </c>
      <c r="C992" s="1" t="s">
        <v>28008</v>
      </c>
      <c r="D992" s="1" t="s">
        <v>28009</v>
      </c>
      <c r="E992" s="1" t="s">
        <v>28010</v>
      </c>
      <c r="F992" s="1" t="s">
        <v>28011</v>
      </c>
      <c r="G992" s="1" t="s">
        <v>28012</v>
      </c>
      <c r="H992" s="1">
        <v>210</v>
      </c>
      <c r="I992" s="1" t="s">
        <v>429</v>
      </c>
      <c r="J992" s="1" t="s">
        <v>14198</v>
      </c>
      <c r="K992" s="1" t="s">
        <v>28013</v>
      </c>
      <c r="L992" s="1" t="s">
        <v>28014</v>
      </c>
      <c r="M992" s="1" t="s">
        <v>28015</v>
      </c>
      <c r="N992" s="3" t="s">
        <v>28016</v>
      </c>
    </row>
    <row r="993" spans="1:14" ht="13.8">
      <c r="A993" s="1" t="s">
        <v>28017</v>
      </c>
      <c r="B993" s="1" t="s">
        <v>28018</v>
      </c>
      <c r="C993" s="1" t="s">
        <v>28019</v>
      </c>
      <c r="D993" s="1" t="s">
        <v>28020</v>
      </c>
      <c r="E993" s="1" t="s">
        <v>28021</v>
      </c>
      <c r="F993" s="1" t="s">
        <v>28022</v>
      </c>
      <c r="G993" s="1" t="s">
        <v>28023</v>
      </c>
      <c r="H993" s="1">
        <v>45</v>
      </c>
      <c r="I993" s="1" t="s">
        <v>14281</v>
      </c>
      <c r="J993" s="1" t="s">
        <v>14198</v>
      </c>
      <c r="K993" s="1" t="s">
        <v>28024</v>
      </c>
      <c r="L993" s="1" t="s">
        <v>28025</v>
      </c>
      <c r="M993" s="1" t="s">
        <v>28026</v>
      </c>
      <c r="N993" s="3" t="s">
        <v>28027</v>
      </c>
    </row>
    <row r="994" spans="1:14" ht="409.6">
      <c r="A994" s="1" t="s">
        <v>28028</v>
      </c>
      <c r="B994" s="1" t="s">
        <v>28029</v>
      </c>
      <c r="C994" s="1" t="s">
        <v>26354</v>
      </c>
      <c r="D994" s="1" t="s">
        <v>26355</v>
      </c>
      <c r="E994" s="1" t="s">
        <v>28030</v>
      </c>
      <c r="F994" s="1" t="s">
        <v>28031</v>
      </c>
      <c r="G994" s="1" t="s">
        <v>28032</v>
      </c>
      <c r="H994" s="1">
        <v>40</v>
      </c>
      <c r="I994" s="1" t="s">
        <v>14281</v>
      </c>
      <c r="J994" s="1" t="s">
        <v>14237</v>
      </c>
      <c r="K994" s="4" t="s">
        <v>28033</v>
      </c>
      <c r="L994" s="1" t="s">
        <v>28034</v>
      </c>
      <c r="M994" s="1" t="s">
        <v>28035</v>
      </c>
      <c r="N994" s="3" t="s">
        <v>28036</v>
      </c>
    </row>
    <row r="995" spans="1:14" ht="13.8">
      <c r="A995" s="1" t="s">
        <v>28037</v>
      </c>
      <c r="B995" s="1" t="s">
        <v>28038</v>
      </c>
      <c r="C995" s="1" t="s">
        <v>28039</v>
      </c>
      <c r="D995" s="1" t="s">
        <v>28040</v>
      </c>
      <c r="E995" s="1" t="s">
        <v>28041</v>
      </c>
      <c r="F995" s="1" t="s">
        <v>28042</v>
      </c>
      <c r="G995" s="1" t="s">
        <v>28043</v>
      </c>
      <c r="H995" s="1">
        <v>15</v>
      </c>
      <c r="I995" s="1" t="s">
        <v>17252</v>
      </c>
      <c r="J995" s="1" t="s">
        <v>14198</v>
      </c>
      <c r="K995" s="1" t="s">
        <v>28044</v>
      </c>
      <c r="L995" s="1" t="s">
        <v>28045</v>
      </c>
      <c r="M995" s="1" t="s">
        <v>28046</v>
      </c>
      <c r="N995" s="3" t="s">
        <v>28047</v>
      </c>
    </row>
    <row r="996" spans="1:14" ht="13.8">
      <c r="A996" s="1" t="s">
        <v>28048</v>
      </c>
      <c r="B996" s="1" t="s">
        <v>28049</v>
      </c>
      <c r="C996" s="1" t="s">
        <v>28050</v>
      </c>
      <c r="D996" s="1" t="s">
        <v>28051</v>
      </c>
      <c r="E996" s="1" t="s">
        <v>28052</v>
      </c>
      <c r="F996" s="1" t="s">
        <v>28053</v>
      </c>
      <c r="G996" s="1" t="s">
        <v>28054</v>
      </c>
      <c r="H996" s="1">
        <v>30</v>
      </c>
      <c r="I996" s="1" t="s">
        <v>8417</v>
      </c>
      <c r="J996" s="1" t="s">
        <v>15314</v>
      </c>
      <c r="K996" s="1" t="s">
        <v>28055</v>
      </c>
      <c r="L996" s="1" t="s">
        <v>28056</v>
      </c>
      <c r="M996" s="1" t="s">
        <v>28057</v>
      </c>
      <c r="N996" s="3" t="s">
        <v>28058</v>
      </c>
    </row>
    <row r="997" spans="1:14" ht="13.8">
      <c r="A997" s="1" t="s">
        <v>28059</v>
      </c>
      <c r="B997" s="1" t="s">
        <v>28060</v>
      </c>
      <c r="C997" s="1" t="s">
        <v>28061</v>
      </c>
      <c r="D997" s="1" t="s">
        <v>28062</v>
      </c>
      <c r="E997" s="1" t="s">
        <v>28063</v>
      </c>
      <c r="F997" s="1" t="s">
        <v>28064</v>
      </c>
      <c r="G997" s="1" t="s">
        <v>28065</v>
      </c>
      <c r="H997" s="1">
        <v>60</v>
      </c>
      <c r="I997" s="1" t="s">
        <v>8417</v>
      </c>
      <c r="J997" s="1" t="s">
        <v>15314</v>
      </c>
      <c r="K997" s="1" t="s">
        <v>28066</v>
      </c>
      <c r="L997" s="1" t="s">
        <v>28067</v>
      </c>
      <c r="M997" s="1" t="s">
        <v>28068</v>
      </c>
      <c r="N997" s="3" t="s">
        <v>28069</v>
      </c>
    </row>
    <row r="998" spans="1:14" ht="13.8">
      <c r="A998" s="1" t="s">
        <v>28070</v>
      </c>
      <c r="B998" s="1" t="s">
        <v>28071</v>
      </c>
      <c r="C998" s="1" t="s">
        <v>28072</v>
      </c>
      <c r="D998" s="1" t="s">
        <v>28073</v>
      </c>
      <c r="E998" s="1" t="s">
        <v>28074</v>
      </c>
      <c r="F998" s="1" t="s">
        <v>28075</v>
      </c>
      <c r="G998" s="1" t="s">
        <v>28076</v>
      </c>
      <c r="H998" s="1">
        <v>255</v>
      </c>
      <c r="I998" s="1" t="s">
        <v>14281</v>
      </c>
      <c r="J998" s="1" t="s">
        <v>14198</v>
      </c>
      <c r="K998" s="1" t="s">
        <v>28077</v>
      </c>
      <c r="L998" s="1" t="s">
        <v>28078</v>
      </c>
      <c r="M998" s="1" t="s">
        <v>28079</v>
      </c>
      <c r="N998" s="3" t="s">
        <v>28080</v>
      </c>
    </row>
    <row r="999" spans="1:14" ht="13.8">
      <c r="A999" s="1" t="s">
        <v>28081</v>
      </c>
      <c r="B999" s="1" t="s">
        <v>28082</v>
      </c>
      <c r="C999" s="1" t="s">
        <v>28083</v>
      </c>
      <c r="D999" s="1" t="s">
        <v>28084</v>
      </c>
      <c r="E999" s="1" t="s">
        <v>28085</v>
      </c>
      <c r="F999" s="1" t="s">
        <v>28086</v>
      </c>
      <c r="G999" s="1" t="s">
        <v>28087</v>
      </c>
      <c r="H999" s="1">
        <v>35</v>
      </c>
      <c r="I999" s="1" t="s">
        <v>145</v>
      </c>
      <c r="J999" s="1" t="s">
        <v>14198</v>
      </c>
      <c r="K999" s="1" t="s">
        <v>28088</v>
      </c>
      <c r="L999" s="1" t="s">
        <v>28089</v>
      </c>
      <c r="M999" s="1" t="s">
        <v>28090</v>
      </c>
      <c r="N999" s="3" t="s">
        <v>28091</v>
      </c>
    </row>
    <row r="1000" spans="1:14" ht="409.6">
      <c r="A1000" s="1" t="s">
        <v>28092</v>
      </c>
      <c r="B1000" s="1" t="s">
        <v>28093</v>
      </c>
      <c r="C1000" s="1" t="s">
        <v>28094</v>
      </c>
      <c r="D1000" s="1" t="s">
        <v>28095</v>
      </c>
      <c r="E1000" s="1" t="s">
        <v>28096</v>
      </c>
      <c r="F1000" s="1" t="s">
        <v>28097</v>
      </c>
      <c r="G1000" s="1" t="s">
        <v>28098</v>
      </c>
      <c r="H1000" s="1">
        <v>75</v>
      </c>
      <c r="I1000" s="1" t="s">
        <v>14572</v>
      </c>
      <c r="J1000" s="1" t="s">
        <v>14198</v>
      </c>
      <c r="K1000" s="4" t="s">
        <v>28099</v>
      </c>
      <c r="L1000" s="1" t="s">
        <v>28100</v>
      </c>
      <c r="M1000" s="1" t="s">
        <v>28101</v>
      </c>
      <c r="N1000" s="3" t="s">
        <v>28102</v>
      </c>
    </row>
    <row r="1001" spans="1:14" ht="409.6">
      <c r="A1001" s="1" t="s">
        <v>28103</v>
      </c>
      <c r="B1001" s="1" t="s">
        <v>28104</v>
      </c>
      <c r="C1001" s="1" t="s">
        <v>28105</v>
      </c>
      <c r="D1001" s="1" t="s">
        <v>28106</v>
      </c>
      <c r="E1001" s="1" t="s">
        <v>28107</v>
      </c>
      <c r="F1001" s="1" t="s">
        <v>28108</v>
      </c>
      <c r="G1001" s="1" t="s">
        <v>28109</v>
      </c>
      <c r="H1001" s="1">
        <v>175</v>
      </c>
      <c r="I1001" s="1" t="s">
        <v>14572</v>
      </c>
      <c r="J1001" s="1" t="s">
        <v>14367</v>
      </c>
      <c r="K1001" s="4" t="s">
        <v>28110</v>
      </c>
      <c r="L1001" s="1" t="s">
        <v>28111</v>
      </c>
      <c r="M1001" s="1" t="s">
        <v>28112</v>
      </c>
      <c r="N1001" s="3" t="s">
        <v>28113</v>
      </c>
    </row>
    <row r="1002" spans="1:14" ht="13.8">
      <c r="A1002" s="1" t="s">
        <v>28114</v>
      </c>
      <c r="B1002" s="1" t="s">
        <v>28115</v>
      </c>
      <c r="C1002" s="1" t="s">
        <v>28116</v>
      </c>
      <c r="D1002" s="1" t="s">
        <v>28117</v>
      </c>
      <c r="E1002" s="1" t="s">
        <v>28118</v>
      </c>
      <c r="F1002" s="1" t="s">
        <v>28119</v>
      </c>
      <c r="G1002" s="1" t="s">
        <v>28120</v>
      </c>
      <c r="H1002" s="1">
        <v>35</v>
      </c>
      <c r="I1002" s="1" t="s">
        <v>14572</v>
      </c>
      <c r="J1002" s="1" t="s">
        <v>14198</v>
      </c>
      <c r="K1002" s="1" t="s">
        <v>28121</v>
      </c>
      <c r="L1002" s="1" t="s">
        <v>28122</v>
      </c>
      <c r="M1002" s="1" t="s">
        <v>28123</v>
      </c>
      <c r="N1002" s="3" t="s">
        <v>28124</v>
      </c>
    </row>
    <row r="1003" spans="1:14" ht="409.6">
      <c r="A1003" s="1" t="s">
        <v>28125</v>
      </c>
      <c r="B1003" s="1" t="s">
        <v>28126</v>
      </c>
      <c r="C1003" s="1" t="s">
        <v>28127</v>
      </c>
      <c r="D1003" s="1" t="s">
        <v>28128</v>
      </c>
      <c r="E1003" s="1" t="s">
        <v>28129</v>
      </c>
      <c r="F1003" s="1" t="s">
        <v>28130</v>
      </c>
      <c r="G1003" s="1" t="s">
        <v>28131</v>
      </c>
      <c r="H1003" s="1">
        <v>35</v>
      </c>
      <c r="I1003" s="1" t="s">
        <v>17252</v>
      </c>
      <c r="J1003" s="1" t="s">
        <v>15314</v>
      </c>
      <c r="K1003" s="4" t="s">
        <v>28132</v>
      </c>
      <c r="L1003" s="1" t="s">
        <v>28133</v>
      </c>
      <c r="M1003" s="1" t="s">
        <v>28134</v>
      </c>
      <c r="N1003" s="3" t="s">
        <v>28135</v>
      </c>
    </row>
    <row r="1004" spans="1:14" ht="13.8">
      <c r="A1004" s="1" t="s">
        <v>28136</v>
      </c>
      <c r="B1004" s="1" t="s">
        <v>28137</v>
      </c>
      <c r="C1004" s="1" t="s">
        <v>28138</v>
      </c>
      <c r="D1004" s="1" t="s">
        <v>28139</v>
      </c>
      <c r="E1004" s="1" t="s">
        <v>28140</v>
      </c>
      <c r="F1004" s="1" t="s">
        <v>28141</v>
      </c>
      <c r="G1004" s="1" t="s">
        <v>28142</v>
      </c>
      <c r="H1004" s="1">
        <v>60</v>
      </c>
      <c r="I1004" s="1" t="s">
        <v>8417</v>
      </c>
      <c r="J1004" s="1" t="s">
        <v>14198</v>
      </c>
      <c r="K1004" s="1" t="s">
        <v>28143</v>
      </c>
      <c r="L1004" s="1" t="s">
        <v>28144</v>
      </c>
      <c r="M1004" s="1" t="s">
        <v>28145</v>
      </c>
      <c r="N1004" s="3" t="s">
        <v>28146</v>
      </c>
    </row>
    <row r="1005" spans="1:14" ht="13.8">
      <c r="A1005" s="1" t="s">
        <v>28147</v>
      </c>
      <c r="B1005" s="1" t="s">
        <v>28148</v>
      </c>
      <c r="C1005" s="1" t="s">
        <v>28149</v>
      </c>
      <c r="D1005" s="1" t="s">
        <v>28150</v>
      </c>
      <c r="E1005" s="1" t="s">
        <v>28151</v>
      </c>
      <c r="F1005" s="1" t="s">
        <v>28152</v>
      </c>
      <c r="G1005" s="1" t="s">
        <v>28153</v>
      </c>
      <c r="H1005" s="1">
        <v>310</v>
      </c>
      <c r="I1005" s="1" t="s">
        <v>17252</v>
      </c>
      <c r="J1005" s="1" t="s">
        <v>14198</v>
      </c>
      <c r="K1005" s="1" t="s">
        <v>28154</v>
      </c>
      <c r="L1005" s="1" t="s">
        <v>28155</v>
      </c>
      <c r="M1005" s="1" t="s">
        <v>28156</v>
      </c>
      <c r="N1005" s="3" t="s">
        <v>28157</v>
      </c>
    </row>
    <row r="1006" spans="1:14" ht="13.8">
      <c r="A1006" s="1" t="s">
        <v>28158</v>
      </c>
      <c r="B1006" s="1" t="s">
        <v>28159</v>
      </c>
      <c r="C1006" s="1" t="s">
        <v>28160</v>
      </c>
      <c r="D1006" s="1" t="s">
        <v>28161</v>
      </c>
      <c r="E1006" s="1" t="s">
        <v>28162</v>
      </c>
      <c r="F1006" s="1" t="s">
        <v>28163</v>
      </c>
      <c r="G1006" s="1" t="s">
        <v>28164</v>
      </c>
      <c r="H1006" s="1">
        <v>60</v>
      </c>
      <c r="I1006" s="1" t="s">
        <v>8417</v>
      </c>
      <c r="J1006" s="1" t="s">
        <v>15314</v>
      </c>
      <c r="K1006" s="1" t="s">
        <v>28165</v>
      </c>
      <c r="L1006" s="1" t="s">
        <v>28166</v>
      </c>
      <c r="M1006" s="1" t="s">
        <v>28167</v>
      </c>
      <c r="N1006" s="3" t="s">
        <v>28168</v>
      </c>
    </row>
    <row r="1007" spans="1:14" ht="409.6">
      <c r="A1007" s="1" t="s">
        <v>28169</v>
      </c>
      <c r="B1007" s="1" t="s">
        <v>28170</v>
      </c>
      <c r="C1007" s="1" t="s">
        <v>28171</v>
      </c>
      <c r="D1007" s="1" t="s">
        <v>28172</v>
      </c>
      <c r="E1007" s="1" t="s">
        <v>28173</v>
      </c>
      <c r="F1007" s="1" t="s">
        <v>28174</v>
      </c>
      <c r="G1007" s="1" t="s">
        <v>28175</v>
      </c>
      <c r="H1007" s="1">
        <v>50</v>
      </c>
      <c r="I1007" s="1" t="s">
        <v>14572</v>
      </c>
      <c r="J1007" s="1" t="s">
        <v>14198</v>
      </c>
      <c r="K1007" s="4" t="s">
        <v>28176</v>
      </c>
      <c r="L1007" s="1" t="s">
        <v>28177</v>
      </c>
      <c r="M1007" s="1" t="s">
        <v>28178</v>
      </c>
      <c r="N1007" s="3" t="s">
        <v>28179</v>
      </c>
    </row>
    <row r="1008" spans="1:14" ht="409.6">
      <c r="A1008" s="1" t="s">
        <v>28180</v>
      </c>
      <c r="B1008" s="1" t="s">
        <v>28181</v>
      </c>
      <c r="C1008" s="1" t="s">
        <v>28182</v>
      </c>
      <c r="D1008" s="1" t="s">
        <v>28183</v>
      </c>
      <c r="E1008" s="1" t="s">
        <v>28184</v>
      </c>
      <c r="F1008" s="1" t="s">
        <v>28185</v>
      </c>
      <c r="G1008" s="1" t="s">
        <v>28186</v>
      </c>
      <c r="H1008" s="1">
        <v>20</v>
      </c>
      <c r="I1008" s="1" t="s">
        <v>17252</v>
      </c>
      <c r="J1008" s="1" t="s">
        <v>15314</v>
      </c>
      <c r="K1008" s="4" t="s">
        <v>28187</v>
      </c>
      <c r="L1008" s="1" t="s">
        <v>28188</v>
      </c>
      <c r="M1008" s="1" t="s">
        <v>28189</v>
      </c>
      <c r="N1008" s="3" t="s">
        <v>28190</v>
      </c>
    </row>
    <row r="1009" spans="1:14" ht="409.6">
      <c r="A1009" s="1" t="s">
        <v>28191</v>
      </c>
      <c r="B1009" s="1" t="s">
        <v>28192</v>
      </c>
      <c r="C1009" s="1" t="s">
        <v>28193</v>
      </c>
      <c r="D1009" s="1" t="s">
        <v>28194</v>
      </c>
      <c r="E1009" s="1" t="s">
        <v>28195</v>
      </c>
      <c r="F1009" s="1" t="s">
        <v>28196</v>
      </c>
      <c r="G1009" s="1" t="s">
        <v>28197</v>
      </c>
      <c r="H1009" s="1">
        <v>80</v>
      </c>
      <c r="I1009" s="1" t="s">
        <v>14572</v>
      </c>
      <c r="J1009" s="1" t="s">
        <v>14198</v>
      </c>
      <c r="K1009" s="4" t="s">
        <v>28198</v>
      </c>
      <c r="L1009" s="1" t="s">
        <v>28199</v>
      </c>
      <c r="M1009" s="1" t="s">
        <v>28200</v>
      </c>
      <c r="N1009" s="3" t="s">
        <v>28201</v>
      </c>
    </row>
    <row r="1010" spans="1:14" ht="13.8">
      <c r="A1010" s="1" t="s">
        <v>28202</v>
      </c>
      <c r="B1010" s="1" t="s">
        <v>28203</v>
      </c>
      <c r="C1010" s="1" t="s">
        <v>28204</v>
      </c>
      <c r="D1010" s="1" t="s">
        <v>28205</v>
      </c>
      <c r="E1010" s="1" t="s">
        <v>28206</v>
      </c>
      <c r="F1010" s="1" t="s">
        <v>28207</v>
      </c>
      <c r="G1010" s="1" t="s">
        <v>28208</v>
      </c>
      <c r="H1010" s="1">
        <v>55</v>
      </c>
      <c r="I1010" s="1" t="s">
        <v>17252</v>
      </c>
      <c r="J1010" s="1" t="s">
        <v>14198</v>
      </c>
      <c r="K1010" s="1" t="s">
        <v>28209</v>
      </c>
      <c r="L1010" s="1" t="s">
        <v>28210</v>
      </c>
      <c r="M1010" s="1" t="s">
        <v>28211</v>
      </c>
      <c r="N1010" s="3" t="s">
        <v>28212</v>
      </c>
    </row>
    <row r="1011" spans="1:14" ht="13.8">
      <c r="A1011" s="1" t="s">
        <v>19627</v>
      </c>
      <c r="B1011" s="1" t="s">
        <v>28213</v>
      </c>
      <c r="C1011" s="1" t="s">
        <v>28214</v>
      </c>
      <c r="D1011" s="1" t="s">
        <v>28215</v>
      </c>
      <c r="E1011" s="1" t="s">
        <v>28216</v>
      </c>
      <c r="F1011" s="1" t="s">
        <v>28217</v>
      </c>
      <c r="G1011" s="1" t="s">
        <v>28218</v>
      </c>
      <c r="H1011" s="1">
        <v>65</v>
      </c>
      <c r="I1011" s="1" t="s">
        <v>14259</v>
      </c>
      <c r="J1011" s="1" t="s">
        <v>14198</v>
      </c>
      <c r="K1011" s="1" t="s">
        <v>28219</v>
      </c>
      <c r="L1011" s="1" t="s">
        <v>28220</v>
      </c>
      <c r="M1011" s="1" t="s">
        <v>28221</v>
      </c>
      <c r="N1011" s="3" t="s">
        <v>28222</v>
      </c>
    </row>
    <row r="1012" spans="1:14" ht="13.8">
      <c r="A1012" s="1" t="s">
        <v>27591</v>
      </c>
      <c r="B1012" s="1" t="s">
        <v>28223</v>
      </c>
      <c r="C1012" s="1" t="s">
        <v>28224</v>
      </c>
      <c r="D1012" s="1" t="s">
        <v>28225</v>
      </c>
      <c r="E1012" s="1" t="s">
        <v>28226</v>
      </c>
      <c r="F1012" s="1" t="s">
        <v>28227</v>
      </c>
      <c r="G1012" s="1" t="s">
        <v>28228</v>
      </c>
      <c r="H1012" s="1">
        <v>45</v>
      </c>
      <c r="I1012" s="1" t="s">
        <v>14259</v>
      </c>
      <c r="J1012" s="1" t="s">
        <v>14198</v>
      </c>
      <c r="K1012" s="1" t="s">
        <v>28229</v>
      </c>
      <c r="L1012" s="1" t="s">
        <v>28230</v>
      </c>
      <c r="M1012" s="1" t="s">
        <v>28231</v>
      </c>
      <c r="N1012" s="3" t="s">
        <v>28232</v>
      </c>
    </row>
    <row r="1013" spans="1:14" ht="409.6">
      <c r="A1013" s="1" t="s">
        <v>28233</v>
      </c>
      <c r="B1013" s="1" t="s">
        <v>28234</v>
      </c>
      <c r="C1013" s="1" t="s">
        <v>28235</v>
      </c>
      <c r="D1013" s="1" t="s">
        <v>28236</v>
      </c>
      <c r="E1013" s="1" t="s">
        <v>28237</v>
      </c>
      <c r="F1013" s="1" t="s">
        <v>28238</v>
      </c>
      <c r="G1013" s="1" t="s">
        <v>28239</v>
      </c>
      <c r="H1013" s="1">
        <v>40</v>
      </c>
      <c r="I1013" s="1" t="s">
        <v>8417</v>
      </c>
      <c r="J1013" s="1" t="s">
        <v>14198</v>
      </c>
      <c r="K1013" s="4" t="s">
        <v>28240</v>
      </c>
      <c r="L1013" s="1" t="s">
        <v>28241</v>
      </c>
      <c r="M1013" s="1" t="s">
        <v>28242</v>
      </c>
      <c r="N1013" s="3" t="s">
        <v>28243</v>
      </c>
    </row>
    <row r="1014" spans="1:14" ht="13.8">
      <c r="A1014" s="1" t="s">
        <v>28244</v>
      </c>
      <c r="B1014" s="1" t="s">
        <v>28245</v>
      </c>
      <c r="C1014" s="1" t="s">
        <v>28246</v>
      </c>
      <c r="D1014" s="1" t="s">
        <v>28247</v>
      </c>
      <c r="E1014" s="1" t="s">
        <v>28248</v>
      </c>
      <c r="F1014" s="1" t="s">
        <v>28249</v>
      </c>
      <c r="G1014" s="1" t="s">
        <v>28250</v>
      </c>
      <c r="H1014" s="1">
        <v>60</v>
      </c>
      <c r="I1014" s="1" t="s">
        <v>8417</v>
      </c>
      <c r="J1014" s="1" t="s">
        <v>14198</v>
      </c>
      <c r="K1014" s="1" t="s">
        <v>28251</v>
      </c>
      <c r="L1014" s="1" t="s">
        <v>28252</v>
      </c>
      <c r="M1014" s="1" t="s">
        <v>28253</v>
      </c>
      <c r="N1014" s="3" t="s">
        <v>28254</v>
      </c>
    </row>
    <row r="1015" spans="1:14" ht="409.6">
      <c r="A1015" s="1" t="s">
        <v>28255</v>
      </c>
      <c r="B1015" s="1" t="s">
        <v>28256</v>
      </c>
      <c r="C1015" s="1" t="s">
        <v>28257</v>
      </c>
      <c r="D1015" s="1" t="s">
        <v>28258</v>
      </c>
      <c r="E1015" s="1" t="s">
        <v>28259</v>
      </c>
      <c r="F1015" s="1" t="s">
        <v>28260</v>
      </c>
      <c r="G1015" s="1" t="s">
        <v>28261</v>
      </c>
      <c r="H1015" s="1">
        <v>40</v>
      </c>
      <c r="I1015" s="1" t="s">
        <v>14572</v>
      </c>
      <c r="J1015" s="1" t="s">
        <v>14198</v>
      </c>
      <c r="K1015" s="4" t="s">
        <v>28262</v>
      </c>
      <c r="L1015" s="1" t="s">
        <v>28263</v>
      </c>
      <c r="M1015" s="1" t="s">
        <v>28264</v>
      </c>
      <c r="N1015" s="3" t="s">
        <v>28265</v>
      </c>
    </row>
    <row r="1016" spans="1:14" ht="13.8">
      <c r="A1016" s="1" t="s">
        <v>28266</v>
      </c>
      <c r="B1016" s="1" t="s">
        <v>28267</v>
      </c>
      <c r="C1016" s="1" t="s">
        <v>28268</v>
      </c>
      <c r="D1016" s="1" t="s">
        <v>28269</v>
      </c>
      <c r="E1016" s="1" t="s">
        <v>28270</v>
      </c>
      <c r="F1016" s="1" t="s">
        <v>28271</v>
      </c>
      <c r="G1016" s="1" t="s">
        <v>28272</v>
      </c>
      <c r="H1016" s="1">
        <v>150</v>
      </c>
      <c r="I1016" s="1" t="s">
        <v>14259</v>
      </c>
      <c r="J1016" s="1" t="s">
        <v>14237</v>
      </c>
      <c r="K1016" s="1" t="s">
        <v>28273</v>
      </c>
      <c r="L1016" s="1" t="s">
        <v>28274</v>
      </c>
      <c r="M1016" s="1" t="s">
        <v>28275</v>
      </c>
      <c r="N1016" s="3" t="s">
        <v>28276</v>
      </c>
    </row>
    <row r="1017" spans="1:14" ht="409.6">
      <c r="A1017" s="1" t="s">
        <v>28277</v>
      </c>
      <c r="B1017" s="1" t="s">
        <v>28278</v>
      </c>
      <c r="C1017" s="1" t="s">
        <v>28279</v>
      </c>
      <c r="D1017" s="1" t="s">
        <v>28280</v>
      </c>
      <c r="E1017" s="1" t="s">
        <v>28281</v>
      </c>
      <c r="F1017" s="1" t="s">
        <v>28282</v>
      </c>
      <c r="G1017" s="1" t="s">
        <v>28283</v>
      </c>
      <c r="H1017" s="1">
        <v>50</v>
      </c>
      <c r="I1017" s="1" t="s">
        <v>17252</v>
      </c>
      <c r="J1017" s="1" t="s">
        <v>14198</v>
      </c>
      <c r="K1017" s="4" t="s">
        <v>28284</v>
      </c>
      <c r="L1017" s="1" t="s">
        <v>28285</v>
      </c>
      <c r="M1017" s="1" t="s">
        <v>28286</v>
      </c>
      <c r="N1017" s="3" t="s">
        <v>28287</v>
      </c>
    </row>
    <row r="1018" spans="1:14" ht="13.8">
      <c r="A1018" s="1" t="s">
        <v>28288</v>
      </c>
      <c r="B1018" s="1" t="s">
        <v>28289</v>
      </c>
      <c r="C1018" s="1" t="s">
        <v>28290</v>
      </c>
      <c r="D1018" s="1" t="s">
        <v>28291</v>
      </c>
      <c r="E1018" s="1" t="s">
        <v>28292</v>
      </c>
      <c r="F1018" s="1" t="s">
        <v>28293</v>
      </c>
      <c r="G1018" s="1" t="s">
        <v>28294</v>
      </c>
      <c r="H1018" s="1">
        <v>30</v>
      </c>
      <c r="I1018" s="1" t="s">
        <v>429</v>
      </c>
      <c r="J1018" s="1" t="s">
        <v>14198</v>
      </c>
      <c r="K1018" s="1" t="s">
        <v>28295</v>
      </c>
      <c r="L1018" s="1" t="s">
        <v>28296</v>
      </c>
      <c r="M1018" s="1" t="s">
        <v>28297</v>
      </c>
      <c r="N1018" s="3" t="s">
        <v>28298</v>
      </c>
    </row>
    <row r="1019" spans="1:14" ht="13.8">
      <c r="A1019" s="1" t="s">
        <v>28299</v>
      </c>
      <c r="B1019" s="1" t="s">
        <v>28300</v>
      </c>
      <c r="C1019" s="1" t="s">
        <v>28301</v>
      </c>
      <c r="D1019" s="1" t="s">
        <v>28302</v>
      </c>
      <c r="E1019" s="1" t="s">
        <v>28303</v>
      </c>
      <c r="F1019" s="1" t="s">
        <v>28304</v>
      </c>
      <c r="G1019" s="1" t="s">
        <v>28305</v>
      </c>
      <c r="H1019" s="1">
        <v>58</v>
      </c>
      <c r="I1019" s="1" t="s">
        <v>8417</v>
      </c>
      <c r="J1019" s="1" t="s">
        <v>15314</v>
      </c>
      <c r="K1019" s="1" t="s">
        <v>28306</v>
      </c>
      <c r="L1019" s="1" t="s">
        <v>28307</v>
      </c>
      <c r="M1019" s="1" t="s">
        <v>28308</v>
      </c>
      <c r="N1019" s="3" t="s">
        <v>28309</v>
      </c>
    </row>
    <row r="1020" spans="1:14" ht="13.8">
      <c r="A1020" s="1" t="s">
        <v>28310</v>
      </c>
      <c r="B1020" s="1" t="s">
        <v>28311</v>
      </c>
      <c r="C1020" s="1" t="s">
        <v>28312</v>
      </c>
      <c r="D1020" s="1" t="s">
        <v>28313</v>
      </c>
      <c r="E1020" s="1" t="s">
        <v>28314</v>
      </c>
      <c r="F1020" s="1" t="s">
        <v>28315</v>
      </c>
      <c r="G1020" s="1" t="s">
        <v>28316</v>
      </c>
      <c r="H1020" s="1">
        <v>45</v>
      </c>
      <c r="I1020" s="1" t="s">
        <v>14281</v>
      </c>
      <c r="J1020" s="1" t="s">
        <v>14198</v>
      </c>
      <c r="K1020" s="1" t="s">
        <v>28317</v>
      </c>
      <c r="L1020" s="1" t="s">
        <v>28318</v>
      </c>
      <c r="M1020" s="1" t="s">
        <v>28319</v>
      </c>
      <c r="N1020" s="3" t="s">
        <v>28320</v>
      </c>
    </row>
    <row r="1021" spans="1:14" ht="13.8">
      <c r="A1021" s="1" t="s">
        <v>28321</v>
      </c>
      <c r="B1021" s="1" t="s">
        <v>28322</v>
      </c>
      <c r="C1021" s="1" t="s">
        <v>28323</v>
      </c>
      <c r="D1021" s="1" t="s">
        <v>28324</v>
      </c>
      <c r="E1021" s="1" t="s">
        <v>28325</v>
      </c>
      <c r="F1021" s="1" t="s">
        <v>28326</v>
      </c>
      <c r="G1021" s="1" t="s">
        <v>28327</v>
      </c>
      <c r="H1021" s="1">
        <v>65</v>
      </c>
      <c r="I1021" s="1" t="s">
        <v>17252</v>
      </c>
      <c r="J1021" s="1" t="s">
        <v>15314</v>
      </c>
      <c r="K1021" s="1" t="s">
        <v>28328</v>
      </c>
      <c r="L1021" s="1" t="s">
        <v>28329</v>
      </c>
      <c r="M1021" s="1" t="s">
        <v>28330</v>
      </c>
      <c r="N1021" s="3" t="s">
        <v>28331</v>
      </c>
    </row>
    <row r="1022" spans="1:14" ht="13.8">
      <c r="A1022" s="1"/>
      <c r="B1022" s="1"/>
      <c r="C1022" s="1"/>
      <c r="D1022" s="1"/>
      <c r="E1022" s="1"/>
      <c r="F1022" s="1"/>
      <c r="G1022" s="1"/>
      <c r="K1022" s="1"/>
      <c r="L1022" s="1"/>
      <c r="M1022" s="1"/>
    </row>
    <row r="1023" spans="1:14" ht="13.8">
      <c r="A1023" s="1"/>
      <c r="B1023" s="1"/>
      <c r="C1023" s="1"/>
      <c r="D1023" s="1"/>
      <c r="E1023" s="1"/>
      <c r="F1023" s="1"/>
      <c r="G1023" s="1"/>
      <c r="K1023" s="1"/>
      <c r="L1023" s="1"/>
      <c r="M1023" s="1"/>
    </row>
    <row r="1024" spans="1:14" ht="13.8">
      <c r="A1024" s="1"/>
      <c r="B1024" s="1"/>
      <c r="C1024" s="1"/>
      <c r="D1024" s="1"/>
      <c r="E1024" s="1"/>
      <c r="F1024" s="1"/>
      <c r="G1024" s="1"/>
      <c r="K1024" s="1"/>
      <c r="L1024" s="1"/>
      <c r="M1024" s="1"/>
    </row>
    <row r="1025" spans="1:13" ht="13.8">
      <c r="A1025" s="1"/>
      <c r="B1025" s="1"/>
      <c r="C1025" s="1"/>
      <c r="D1025" s="1"/>
      <c r="E1025" s="1"/>
      <c r="F1025" s="1"/>
      <c r="G1025" s="1"/>
      <c r="K1025" s="1"/>
      <c r="L1025" s="1"/>
      <c r="M1025" s="1"/>
    </row>
    <row r="1026" spans="1:13" ht="13.8">
      <c r="A1026" s="1"/>
      <c r="B1026" s="1"/>
      <c r="C1026" s="1"/>
      <c r="D1026" s="1"/>
      <c r="E1026" s="1"/>
      <c r="F1026" s="1"/>
      <c r="G1026" s="1"/>
      <c r="K1026" s="1"/>
      <c r="L1026" s="1"/>
      <c r="M1026" s="1"/>
    </row>
    <row r="1027" spans="1:13" ht="13.8">
      <c r="A1027" s="1"/>
      <c r="B1027" s="1"/>
      <c r="C1027" s="1"/>
      <c r="D1027" s="1"/>
      <c r="E1027" s="1"/>
      <c r="F1027" s="1"/>
      <c r="G1027" s="1"/>
      <c r="K1027" s="1"/>
      <c r="L1027" s="1"/>
      <c r="M1027" s="1"/>
    </row>
    <row r="1028" spans="1:13" ht="13.8">
      <c r="A1028" s="1"/>
      <c r="B1028" s="1"/>
      <c r="C1028" s="1"/>
      <c r="D1028" s="1"/>
      <c r="E1028" s="1"/>
      <c r="F1028" s="1"/>
      <c r="G1028" s="1"/>
      <c r="K1028" s="1"/>
      <c r="L1028" s="1"/>
      <c r="M1028" s="1"/>
    </row>
    <row r="1029" spans="1:13" ht="13.8">
      <c r="A1029" s="1"/>
      <c r="B1029" s="1"/>
      <c r="C1029" s="1"/>
      <c r="D1029" s="1"/>
      <c r="E1029" s="1"/>
      <c r="F1029" s="1"/>
      <c r="G1029" s="1"/>
      <c r="K1029" s="1"/>
      <c r="L1029" s="1"/>
      <c r="M1029" s="1"/>
    </row>
    <row r="1030" spans="1:13" ht="13.8">
      <c r="A1030" s="1"/>
      <c r="B1030" s="1"/>
      <c r="C1030" s="1"/>
      <c r="D1030" s="1"/>
      <c r="E1030" s="1"/>
      <c r="F1030" s="1"/>
      <c r="G1030" s="1"/>
      <c r="K1030" s="1"/>
      <c r="L1030" s="1"/>
      <c r="M1030" s="1"/>
    </row>
    <row r="1031" spans="1:13" ht="13.8">
      <c r="A1031" s="1"/>
      <c r="B1031" s="1"/>
      <c r="C1031" s="1"/>
      <c r="D1031" s="1"/>
      <c r="E1031" s="1"/>
      <c r="F1031" s="1"/>
      <c r="G1031" s="1"/>
      <c r="K1031" s="1"/>
      <c r="L1031" s="1"/>
      <c r="M1031" s="1"/>
    </row>
    <row r="1032" spans="1:13" ht="13.8">
      <c r="A1032" s="1"/>
      <c r="B1032" s="1"/>
      <c r="C1032" s="1"/>
      <c r="D1032" s="1"/>
      <c r="E1032" s="1"/>
      <c r="F1032" s="1"/>
      <c r="G1032" s="1"/>
      <c r="K1032" s="1"/>
      <c r="L1032" s="1"/>
      <c r="M1032" s="1"/>
    </row>
    <row r="1033" spans="1:13" ht="13.8">
      <c r="A1033" s="1"/>
      <c r="B1033" s="1"/>
      <c r="C1033" s="1"/>
      <c r="D1033" s="1"/>
      <c r="E1033" s="1"/>
      <c r="F1033" s="1"/>
      <c r="G1033" s="1"/>
      <c r="K1033" s="1"/>
      <c r="L1033" s="1"/>
      <c r="M1033" s="1"/>
    </row>
    <row r="1034" spans="1:13" ht="13.8">
      <c r="A1034" s="1"/>
      <c r="B1034" s="1"/>
      <c r="C1034" s="1"/>
      <c r="D1034" s="1"/>
      <c r="E1034" s="1"/>
      <c r="F1034" s="1"/>
      <c r="G1034" s="1"/>
      <c r="K1034" s="1"/>
      <c r="L1034" s="1"/>
      <c r="M1034" s="1"/>
    </row>
    <row r="1035" spans="1:13" ht="13.8">
      <c r="A1035" s="1"/>
      <c r="B1035" s="1"/>
      <c r="C1035" s="1"/>
      <c r="D1035" s="1"/>
      <c r="E1035" s="1"/>
      <c r="F1035" s="1"/>
      <c r="G1035" s="1"/>
      <c r="K1035" s="1"/>
      <c r="L1035" s="1"/>
      <c r="M1035" s="1"/>
    </row>
    <row r="1036" spans="1:13" ht="13.8">
      <c r="A1036" s="1"/>
      <c r="B1036" s="1"/>
      <c r="C1036" s="1"/>
      <c r="D1036" s="1"/>
      <c r="E1036" s="1"/>
      <c r="F1036" s="1"/>
      <c r="G1036" s="1"/>
      <c r="K1036" s="1"/>
      <c r="L1036" s="1"/>
      <c r="M1036" s="1"/>
    </row>
    <row r="1037" spans="1:13" ht="13.8">
      <c r="A1037" s="1"/>
      <c r="B1037" s="1"/>
      <c r="C1037" s="1"/>
      <c r="D1037" s="1"/>
      <c r="E1037" s="1"/>
      <c r="F1037" s="1"/>
      <c r="G1037" s="1"/>
      <c r="K1037" s="1"/>
      <c r="L1037" s="1"/>
      <c r="M1037" s="1"/>
    </row>
    <row r="1038" spans="1:13" ht="13.8">
      <c r="A1038" s="1"/>
      <c r="B1038" s="1"/>
      <c r="C1038" s="1"/>
      <c r="D1038" s="1"/>
      <c r="E1038" s="1"/>
      <c r="F1038" s="1"/>
      <c r="G1038" s="1"/>
      <c r="K1038" s="1"/>
      <c r="L1038" s="1"/>
      <c r="M1038" s="1"/>
    </row>
    <row r="1039" spans="1:13" ht="13.8">
      <c r="A1039" s="1"/>
      <c r="B1039" s="1"/>
      <c r="C1039" s="1"/>
      <c r="D1039" s="1"/>
      <c r="E1039" s="1"/>
      <c r="F1039" s="1"/>
      <c r="G1039" s="1"/>
      <c r="K1039" s="1"/>
      <c r="L1039" s="1"/>
      <c r="M1039" s="1"/>
    </row>
    <row r="1040" spans="1:13" ht="13.8">
      <c r="A1040" s="1"/>
      <c r="B1040" s="1"/>
      <c r="C1040" s="1"/>
      <c r="D1040" s="1"/>
      <c r="E1040" s="1"/>
      <c r="F1040" s="1"/>
      <c r="G1040" s="1"/>
      <c r="K1040" s="1"/>
      <c r="L1040" s="1"/>
      <c r="M1040" s="1"/>
    </row>
    <row r="1041" spans="1:13" ht="13.8">
      <c r="A1041" s="1"/>
      <c r="B1041" s="1"/>
      <c r="C1041" s="1"/>
      <c r="D1041" s="1"/>
      <c r="E1041" s="1"/>
      <c r="F1041" s="1"/>
      <c r="G1041" s="1"/>
      <c r="K1041" s="1"/>
      <c r="L1041" s="1"/>
      <c r="M1041" s="1"/>
    </row>
    <row r="1042" spans="1:13" ht="13.8">
      <c r="A1042" s="1"/>
      <c r="B1042" s="1"/>
      <c r="C1042" s="1"/>
      <c r="D1042" s="1"/>
      <c r="E1042" s="1"/>
      <c r="F1042" s="1"/>
      <c r="G1042" s="1"/>
      <c r="K1042" s="1"/>
      <c r="L1042" s="1"/>
      <c r="M1042" s="1"/>
    </row>
    <row r="1043" spans="1:13" ht="13.8">
      <c r="A1043" s="1"/>
      <c r="B1043" s="1"/>
      <c r="C1043" s="1"/>
      <c r="D1043" s="1"/>
      <c r="E1043" s="1"/>
      <c r="F1043" s="1"/>
      <c r="G1043" s="1"/>
      <c r="K1043" s="1"/>
      <c r="L1043" s="1"/>
      <c r="M1043" s="1"/>
    </row>
    <row r="1044" spans="1:13" ht="13.8">
      <c r="A1044" s="1"/>
      <c r="B1044" s="1"/>
      <c r="C1044" s="1"/>
      <c r="D1044" s="1"/>
      <c r="E1044" s="1"/>
      <c r="F1044" s="1"/>
      <c r="G1044" s="1"/>
      <c r="K1044" s="1"/>
      <c r="L1044" s="1"/>
      <c r="M1044" s="1"/>
    </row>
    <row r="1045" spans="1:13" ht="13.8">
      <c r="A1045" s="1"/>
      <c r="B1045" s="1"/>
      <c r="C1045" s="1"/>
      <c r="D1045" s="1"/>
      <c r="E1045" s="1"/>
      <c r="F1045" s="1"/>
      <c r="G1045" s="1"/>
      <c r="K1045" s="1"/>
      <c r="L1045" s="1"/>
      <c r="M1045" s="1"/>
    </row>
    <row r="1046" spans="1:13" ht="13.8">
      <c r="A1046" s="1"/>
      <c r="B1046" s="1"/>
      <c r="C1046" s="1"/>
      <c r="D1046" s="1"/>
      <c r="E1046" s="1"/>
      <c r="F1046" s="1"/>
      <c r="G1046" s="1"/>
      <c r="K1046" s="1"/>
      <c r="L1046" s="1"/>
      <c r="M1046" s="1"/>
    </row>
    <row r="1047" spans="1:13" ht="13.8">
      <c r="A1047" s="1"/>
      <c r="B1047" s="1"/>
      <c r="C1047" s="1"/>
      <c r="D1047" s="1"/>
      <c r="E1047" s="1"/>
      <c r="F1047" s="1"/>
      <c r="G1047" s="1"/>
      <c r="K1047" s="1"/>
      <c r="L1047" s="1"/>
      <c r="M1047" s="1"/>
    </row>
    <row r="1048" spans="1:13" ht="13.8">
      <c r="A1048" s="1"/>
      <c r="B1048" s="1"/>
      <c r="C1048" s="1"/>
      <c r="D1048" s="1"/>
      <c r="E1048" s="1"/>
      <c r="F1048" s="1"/>
      <c r="G1048" s="1"/>
      <c r="K1048" s="1"/>
      <c r="L1048" s="1"/>
      <c r="M1048" s="1"/>
    </row>
    <row r="1049" spans="1:13" ht="13.8">
      <c r="A1049" s="1"/>
      <c r="B1049" s="1"/>
      <c r="C1049" s="1"/>
      <c r="D1049" s="1"/>
      <c r="E1049" s="1"/>
      <c r="F1049" s="1"/>
      <c r="G1049" s="1"/>
      <c r="K1049" s="1"/>
      <c r="L1049" s="1"/>
      <c r="M1049" s="1"/>
    </row>
    <row r="1050" spans="1:13" ht="13.8">
      <c r="A1050" s="1"/>
      <c r="B1050" s="1"/>
      <c r="C1050" s="1"/>
      <c r="D1050" s="1"/>
      <c r="E1050" s="1"/>
      <c r="F1050" s="1"/>
      <c r="G1050" s="1"/>
      <c r="K1050" s="1"/>
      <c r="L1050" s="1"/>
      <c r="M1050" s="1"/>
    </row>
    <row r="1051" spans="1:13" ht="13.8">
      <c r="A1051" s="1"/>
      <c r="B1051" s="1"/>
      <c r="C1051" s="1"/>
      <c r="D1051" s="1"/>
      <c r="E1051" s="1"/>
      <c r="F1051" s="1"/>
      <c r="G1051" s="1"/>
      <c r="K1051" s="1"/>
      <c r="L1051" s="1"/>
      <c r="M1051" s="1"/>
    </row>
    <row r="1052" spans="1:13" ht="13.8">
      <c r="A1052" s="1"/>
      <c r="B1052" s="1"/>
      <c r="C1052" s="1"/>
      <c r="D1052" s="1"/>
      <c r="E1052" s="1"/>
      <c r="F1052" s="1"/>
      <c r="G1052" s="1"/>
      <c r="K1052" s="1"/>
      <c r="L1052" s="1"/>
      <c r="M1052" s="1"/>
    </row>
    <row r="1053" spans="1:13" ht="13.8">
      <c r="A1053" s="1"/>
      <c r="B1053" s="1"/>
      <c r="C1053" s="1"/>
      <c r="D1053" s="1"/>
      <c r="E1053" s="1"/>
      <c r="F1053" s="1"/>
      <c r="G1053" s="1"/>
      <c r="K1053" s="1"/>
      <c r="L1053" s="1"/>
      <c r="M1053" s="1"/>
    </row>
    <row r="1054" spans="1:13" ht="13.8">
      <c r="A1054" s="1"/>
      <c r="B1054" s="1"/>
      <c r="C1054" s="1"/>
      <c r="D1054" s="1"/>
      <c r="E1054" s="1"/>
      <c r="F1054" s="1"/>
      <c r="G1054" s="1"/>
      <c r="K1054" s="1"/>
      <c r="L1054" s="1"/>
      <c r="M1054" s="1"/>
    </row>
    <row r="1055" spans="1:13" ht="13.8">
      <c r="A1055" s="1"/>
      <c r="B1055" s="1"/>
      <c r="C1055" s="1"/>
      <c r="D1055" s="1"/>
      <c r="E1055" s="1"/>
      <c r="F1055" s="1"/>
      <c r="G1055" s="1"/>
      <c r="K1055" s="1"/>
      <c r="L1055" s="1"/>
      <c r="M1055" s="1"/>
    </row>
    <row r="1056" spans="1:13" ht="13.8">
      <c r="A1056" s="1"/>
      <c r="B1056" s="1"/>
      <c r="C1056" s="1"/>
      <c r="D1056" s="1"/>
      <c r="E1056" s="1"/>
      <c r="F1056" s="1"/>
      <c r="G1056" s="1"/>
      <c r="K1056" s="1"/>
      <c r="L1056" s="1"/>
      <c r="M1056" s="1"/>
    </row>
    <row r="1057" spans="1:13" ht="13.8">
      <c r="A1057" s="1"/>
      <c r="B1057" s="1"/>
      <c r="C1057" s="1"/>
      <c r="D1057" s="1"/>
      <c r="E1057" s="1"/>
      <c r="F1057" s="1"/>
      <c r="G1057" s="1"/>
      <c r="K1057" s="1"/>
      <c r="L1057" s="1"/>
      <c r="M1057" s="1"/>
    </row>
    <row r="1058" spans="1:13" ht="13.8">
      <c r="A1058" s="1"/>
      <c r="B1058" s="1"/>
      <c r="C1058" s="1"/>
      <c r="D1058" s="1"/>
      <c r="E1058" s="1"/>
      <c r="F1058" s="1"/>
      <c r="G1058" s="1"/>
      <c r="K1058" s="1"/>
      <c r="L1058" s="1"/>
      <c r="M1058" s="1"/>
    </row>
    <row r="1059" spans="1:13" ht="13.8">
      <c r="A1059" s="1"/>
      <c r="B1059" s="1"/>
      <c r="C1059" s="1"/>
      <c r="D1059" s="1"/>
      <c r="E1059" s="1"/>
      <c r="F1059" s="1"/>
      <c r="G1059" s="1"/>
      <c r="K1059" s="1"/>
      <c r="L1059" s="1"/>
      <c r="M1059" s="1"/>
    </row>
    <row r="1060" spans="1:13" ht="13.8">
      <c r="A1060" s="1"/>
      <c r="B1060" s="1"/>
      <c r="C1060" s="1"/>
      <c r="D1060" s="1"/>
      <c r="E1060" s="1"/>
      <c r="F1060" s="1"/>
      <c r="G1060" s="1"/>
      <c r="K1060" s="1"/>
      <c r="L1060" s="1"/>
      <c r="M1060" s="1"/>
    </row>
    <row r="1061" spans="1:13" ht="13.8">
      <c r="A1061" s="1"/>
      <c r="B1061" s="1"/>
      <c r="C1061" s="1"/>
      <c r="D1061" s="1"/>
      <c r="E1061" s="1"/>
      <c r="F1061" s="1"/>
      <c r="G1061" s="1"/>
      <c r="K1061" s="1"/>
      <c r="L1061" s="1"/>
      <c r="M1061" s="1"/>
    </row>
    <row r="1062" spans="1:13" ht="13.8">
      <c r="A1062" s="1"/>
      <c r="B1062" s="1"/>
      <c r="C1062" s="1"/>
      <c r="D1062" s="1"/>
      <c r="E1062" s="1"/>
      <c r="F1062" s="1"/>
      <c r="G1062" s="1"/>
      <c r="K1062" s="1"/>
      <c r="L1062" s="1"/>
      <c r="M1062" s="1"/>
    </row>
    <row r="1063" spans="1:13" ht="13.8">
      <c r="A1063" s="1"/>
      <c r="B1063" s="1"/>
      <c r="C1063" s="1"/>
      <c r="D1063" s="1"/>
      <c r="E1063" s="1"/>
      <c r="F1063" s="1"/>
      <c r="G1063" s="1"/>
      <c r="K1063" s="1"/>
      <c r="L1063" s="1"/>
      <c r="M1063" s="1"/>
    </row>
    <row r="1064" spans="1:13" ht="13.8">
      <c r="A1064" s="1"/>
      <c r="B1064" s="1"/>
      <c r="C1064" s="1"/>
      <c r="D1064" s="1"/>
      <c r="E1064" s="1"/>
      <c r="F1064" s="1"/>
      <c r="G1064" s="1"/>
      <c r="K1064" s="1"/>
      <c r="L1064" s="1"/>
      <c r="M1064" s="1"/>
    </row>
    <row r="1065" spans="1:13" ht="13.8">
      <c r="A1065" s="1"/>
      <c r="B1065" s="1"/>
      <c r="C1065" s="1"/>
      <c r="D1065" s="1"/>
      <c r="E1065" s="1"/>
      <c r="F1065" s="1"/>
      <c r="G1065" s="1"/>
      <c r="K1065" s="1"/>
      <c r="L1065" s="1"/>
      <c r="M1065" s="1"/>
    </row>
    <row r="1066" spans="1:13" ht="13.8">
      <c r="A1066" s="1"/>
      <c r="B1066" s="1"/>
      <c r="C1066" s="1"/>
      <c r="D1066" s="1"/>
      <c r="E1066" s="1"/>
      <c r="F1066" s="1"/>
      <c r="G1066" s="1"/>
      <c r="K1066" s="1"/>
      <c r="L1066" s="1"/>
      <c r="M1066" s="1"/>
    </row>
    <row r="1067" spans="1:13" ht="13.8">
      <c r="A1067" s="1"/>
      <c r="B1067" s="1"/>
      <c r="C1067" s="1"/>
      <c r="D1067" s="1"/>
      <c r="E1067" s="1"/>
      <c r="F1067" s="1"/>
      <c r="G1067" s="1"/>
      <c r="K1067" s="1"/>
      <c r="L1067" s="1"/>
      <c r="M1067" s="1"/>
    </row>
    <row r="1068" spans="1:13" ht="13.8">
      <c r="A1068" s="1"/>
      <c r="B1068" s="1"/>
      <c r="C1068" s="1"/>
      <c r="D1068" s="1"/>
      <c r="E1068" s="1"/>
      <c r="F1068" s="1"/>
      <c r="G1068" s="1"/>
      <c r="K1068" s="1"/>
      <c r="L1068" s="1"/>
      <c r="M1068" s="1"/>
    </row>
    <row r="1069" spans="1:13" ht="13.8">
      <c r="A1069" s="1"/>
      <c r="B1069" s="1"/>
      <c r="C1069" s="1"/>
      <c r="D1069" s="1"/>
      <c r="E1069" s="1"/>
      <c r="F1069" s="1"/>
      <c r="G1069" s="1"/>
      <c r="K1069" s="1"/>
      <c r="L1069" s="1"/>
      <c r="M1069" s="1"/>
    </row>
    <row r="1070" spans="1:13" ht="13.8">
      <c r="A1070" s="1"/>
      <c r="B1070" s="1"/>
      <c r="C1070" s="1"/>
      <c r="D1070" s="1"/>
      <c r="E1070" s="1"/>
      <c r="F1070" s="1"/>
      <c r="G1070" s="1"/>
      <c r="K1070" s="1"/>
      <c r="L1070" s="1"/>
      <c r="M1070" s="1"/>
    </row>
    <row r="1071" spans="1:13" ht="13.8">
      <c r="A1071" s="1"/>
      <c r="B1071" s="1"/>
      <c r="C1071" s="1"/>
      <c r="D1071" s="1"/>
      <c r="E1071" s="1"/>
      <c r="F1071" s="1"/>
      <c r="G1071" s="1"/>
      <c r="K1071" s="1"/>
      <c r="L1071" s="1"/>
      <c r="M1071" s="1"/>
    </row>
    <row r="1072" spans="1:13" ht="13.8">
      <c r="A1072" s="1"/>
      <c r="B1072" s="1"/>
      <c r="C1072" s="1"/>
      <c r="D1072" s="1"/>
      <c r="E1072" s="1"/>
      <c r="F1072" s="1"/>
      <c r="G1072" s="1"/>
      <c r="K1072" s="1"/>
      <c r="L1072" s="1"/>
      <c r="M1072" s="1"/>
    </row>
    <row r="1073" spans="1:13" ht="13.8">
      <c r="A1073" s="1"/>
      <c r="B1073" s="1"/>
      <c r="C1073" s="1"/>
      <c r="D1073" s="1"/>
      <c r="E1073" s="1"/>
      <c r="F1073" s="1"/>
      <c r="G1073" s="1"/>
      <c r="K1073" s="1"/>
      <c r="L1073" s="1"/>
      <c r="M1073" s="1"/>
    </row>
    <row r="1074" spans="1:13" ht="13.8">
      <c r="A1074" s="1"/>
      <c r="B1074" s="1"/>
      <c r="C1074" s="1"/>
      <c r="D1074" s="1"/>
      <c r="E1074" s="1"/>
      <c r="F1074" s="1"/>
      <c r="G1074" s="1"/>
      <c r="K1074" s="1"/>
      <c r="L1074" s="1"/>
      <c r="M1074" s="1"/>
    </row>
    <row r="1075" spans="1:13" ht="13.8">
      <c r="A1075" s="1"/>
      <c r="B1075" s="1"/>
      <c r="C1075" s="1"/>
      <c r="D1075" s="1"/>
      <c r="E1075" s="1"/>
      <c r="F1075" s="1"/>
      <c r="G1075" s="1"/>
      <c r="K1075" s="1"/>
      <c r="L1075" s="1"/>
      <c r="M1075" s="1"/>
    </row>
    <row r="1076" spans="1:13" ht="13.8">
      <c r="A1076" s="1"/>
      <c r="B1076" s="1"/>
      <c r="C1076" s="1"/>
      <c r="D1076" s="1"/>
      <c r="E1076" s="1"/>
      <c r="F1076" s="1"/>
      <c r="G1076" s="1"/>
      <c r="K1076" s="1"/>
      <c r="L1076" s="1"/>
      <c r="M1076" s="1"/>
    </row>
    <row r="1077" spans="1:13" ht="13.8">
      <c r="A1077" s="1"/>
      <c r="B1077" s="1"/>
      <c r="C1077" s="1"/>
      <c r="D1077" s="1"/>
      <c r="E1077" s="1"/>
      <c r="F1077" s="1"/>
      <c r="G1077" s="1"/>
      <c r="K1077" s="1"/>
      <c r="L1077" s="1"/>
      <c r="M1077" s="1"/>
    </row>
    <row r="1078" spans="1:13" ht="13.8">
      <c r="A1078" s="1"/>
      <c r="B1078" s="1"/>
      <c r="C1078" s="1"/>
      <c r="D1078" s="1"/>
      <c r="E1078" s="1"/>
      <c r="F1078" s="1"/>
      <c r="G1078" s="1"/>
      <c r="K1078" s="1"/>
      <c r="L1078" s="1"/>
      <c r="M1078" s="1"/>
    </row>
    <row r="1079" spans="1:13" ht="13.8">
      <c r="A1079" s="1"/>
      <c r="B1079" s="1"/>
      <c r="C1079" s="1"/>
      <c r="D1079" s="1"/>
      <c r="E1079" s="1"/>
      <c r="F1079" s="1"/>
      <c r="G1079" s="1"/>
      <c r="K1079" s="1"/>
      <c r="L1079" s="1"/>
      <c r="M1079" s="1"/>
    </row>
    <row r="1080" spans="1:13" ht="13.8">
      <c r="A1080" s="1"/>
      <c r="B1080" s="1"/>
      <c r="C1080" s="1"/>
      <c r="D1080" s="1"/>
      <c r="E1080" s="1"/>
      <c r="F1080" s="1"/>
      <c r="G1080" s="1"/>
      <c r="K1080" s="1"/>
      <c r="L1080" s="1"/>
      <c r="M1080" s="1"/>
    </row>
    <row r="1081" spans="1:13" ht="13.8">
      <c r="A1081" s="1"/>
      <c r="B1081" s="1"/>
      <c r="C1081" s="1"/>
      <c r="D1081" s="1"/>
      <c r="E1081" s="1"/>
      <c r="F1081" s="1"/>
      <c r="G1081" s="1"/>
      <c r="K1081" s="1"/>
      <c r="L1081" s="1"/>
      <c r="M1081" s="1"/>
    </row>
    <row r="1082" spans="1:13" ht="13.8">
      <c r="A1082" s="1"/>
      <c r="B1082" s="1"/>
      <c r="C1082" s="1"/>
      <c r="D1082" s="1"/>
      <c r="E1082" s="1"/>
      <c r="F1082" s="1"/>
      <c r="G1082" s="1"/>
      <c r="K1082" s="1"/>
      <c r="L1082" s="1"/>
      <c r="M1082" s="1"/>
    </row>
    <row r="1083" spans="1:13" ht="13.8">
      <c r="A1083" s="1"/>
      <c r="B1083" s="1"/>
      <c r="C1083" s="1"/>
      <c r="D1083" s="1"/>
      <c r="E1083" s="1"/>
      <c r="F1083" s="1"/>
      <c r="G1083" s="1"/>
      <c r="K1083" s="1"/>
      <c r="L1083" s="1"/>
      <c r="M1083" s="1"/>
    </row>
    <row r="1084" spans="1:13" ht="13.8">
      <c r="A1084" s="1"/>
      <c r="B1084" s="1"/>
      <c r="C1084" s="1"/>
      <c r="D1084" s="1"/>
      <c r="E1084" s="1"/>
      <c r="F1084" s="1"/>
      <c r="G1084" s="1"/>
      <c r="K1084" s="1"/>
      <c r="L1084" s="1"/>
      <c r="M1084" s="1"/>
    </row>
    <row r="1085" spans="1:13" ht="13.8">
      <c r="A1085" s="1"/>
      <c r="B1085" s="1"/>
      <c r="C1085" s="1"/>
      <c r="D1085" s="1"/>
      <c r="E1085" s="1"/>
      <c r="F1085" s="1"/>
      <c r="G1085" s="1"/>
      <c r="K1085" s="1"/>
      <c r="L1085" s="1"/>
      <c r="M1085" s="1"/>
    </row>
    <row r="1086" spans="1:13" ht="13.8">
      <c r="A1086" s="1"/>
      <c r="B1086" s="1"/>
      <c r="C1086" s="1"/>
      <c r="D1086" s="1"/>
      <c r="E1086" s="1"/>
      <c r="F1086" s="1"/>
      <c r="G1086" s="1"/>
      <c r="K1086" s="1"/>
      <c r="L1086" s="1"/>
      <c r="M1086" s="1"/>
    </row>
    <row r="1087" spans="1:13" ht="13.8">
      <c r="A1087" s="1"/>
      <c r="B1087" s="1"/>
      <c r="C1087" s="1"/>
      <c r="D1087" s="1"/>
      <c r="E1087" s="1"/>
      <c r="F1087" s="1"/>
      <c r="G1087" s="1"/>
      <c r="K1087" s="1"/>
      <c r="L1087" s="1"/>
      <c r="M1087" s="1"/>
    </row>
    <row r="1088" spans="1:13" ht="13.8">
      <c r="A1088" s="1"/>
      <c r="B1088" s="1"/>
      <c r="C1088" s="1"/>
      <c r="D1088" s="1"/>
      <c r="E1088" s="1"/>
      <c r="F1088" s="1"/>
      <c r="G1088" s="1"/>
      <c r="K1088" s="1"/>
      <c r="L1088" s="1"/>
      <c r="M1088" s="1"/>
    </row>
    <row r="1089" spans="1:13" ht="13.8">
      <c r="A1089" s="1"/>
      <c r="B1089" s="1"/>
      <c r="C1089" s="1"/>
      <c r="D1089" s="1"/>
      <c r="E1089" s="1"/>
      <c r="F1089" s="1"/>
      <c r="G1089" s="1"/>
      <c r="K1089" s="1"/>
      <c r="L1089" s="1"/>
      <c r="M1089" s="1"/>
    </row>
    <row r="1090" spans="1:13" ht="13.8">
      <c r="A1090" s="1"/>
      <c r="B1090" s="1"/>
      <c r="C1090" s="1"/>
      <c r="D1090" s="1"/>
      <c r="E1090" s="1"/>
      <c r="F1090" s="1"/>
      <c r="G1090" s="1"/>
      <c r="K1090" s="1"/>
      <c r="L1090" s="1"/>
      <c r="M1090" s="1"/>
    </row>
    <row r="1091" spans="1:13" ht="13.8">
      <c r="A1091" s="1"/>
      <c r="B1091" s="1"/>
      <c r="C1091" s="1"/>
      <c r="D1091" s="1"/>
      <c r="E1091" s="1"/>
      <c r="F1091" s="1"/>
      <c r="G1091" s="1"/>
      <c r="K1091" s="1"/>
      <c r="L1091" s="1"/>
      <c r="M1091" s="1"/>
    </row>
    <row r="1092" spans="1:13" ht="13.8">
      <c r="A1092" s="1"/>
      <c r="B1092" s="1"/>
      <c r="C1092" s="1"/>
      <c r="D1092" s="1"/>
      <c r="E1092" s="1"/>
      <c r="F1092" s="1"/>
      <c r="G1092" s="1"/>
      <c r="K1092" s="1"/>
      <c r="L1092" s="1"/>
      <c r="M1092" s="1"/>
    </row>
    <row r="1093" spans="1:13" ht="13.8">
      <c r="A1093" s="1"/>
      <c r="B1093" s="1"/>
      <c r="C1093" s="1"/>
      <c r="D1093" s="1"/>
      <c r="E1093" s="1"/>
      <c r="F1093" s="1"/>
      <c r="G1093" s="1"/>
      <c r="K1093" s="1"/>
      <c r="L1093" s="1"/>
      <c r="M1093" s="1"/>
    </row>
    <row r="1094" spans="1:13" ht="13.8">
      <c r="A1094" s="1"/>
      <c r="B1094" s="1"/>
      <c r="C1094" s="1"/>
      <c r="D1094" s="1"/>
      <c r="E1094" s="1"/>
      <c r="F1094" s="1"/>
      <c r="G1094" s="1"/>
      <c r="K1094" s="1"/>
      <c r="L1094" s="1"/>
      <c r="M1094" s="1"/>
    </row>
    <row r="1095" spans="1:13" ht="13.8">
      <c r="A1095" s="1"/>
      <c r="B1095" s="1"/>
      <c r="C1095" s="1"/>
      <c r="D1095" s="1"/>
      <c r="E1095" s="1"/>
      <c r="F1095" s="1"/>
      <c r="G1095" s="1"/>
      <c r="K1095" s="1"/>
      <c r="L1095" s="1"/>
      <c r="M1095" s="1"/>
    </row>
    <row r="1096" spans="1:13" ht="13.8">
      <c r="A1096" s="1"/>
      <c r="B1096" s="1"/>
      <c r="C1096" s="1"/>
      <c r="D1096" s="1"/>
      <c r="E1096" s="1"/>
      <c r="F1096" s="1"/>
      <c r="G1096" s="1"/>
      <c r="K1096" s="1"/>
      <c r="L1096" s="1"/>
      <c r="M1096" s="1"/>
    </row>
    <row r="1097" spans="1:13" ht="13.8">
      <c r="A1097" s="1"/>
      <c r="B1097" s="1"/>
      <c r="C1097" s="1"/>
      <c r="D1097" s="1"/>
      <c r="E1097" s="1"/>
      <c r="F1097" s="1"/>
      <c r="G1097" s="1"/>
      <c r="K1097" s="1"/>
      <c r="L1097" s="1"/>
      <c r="M1097" s="1"/>
    </row>
    <row r="1098" spans="1:13" ht="13.8">
      <c r="A1098" s="1"/>
      <c r="B1098" s="1"/>
      <c r="C1098" s="1"/>
      <c r="D1098" s="1"/>
      <c r="E1098" s="1"/>
      <c r="F1098" s="1"/>
      <c r="G1098" s="1"/>
      <c r="K1098" s="1"/>
      <c r="L1098" s="1"/>
      <c r="M1098" s="1"/>
    </row>
    <row r="1099" spans="1:13" ht="13.8">
      <c r="A1099" s="1"/>
      <c r="B1099" s="1"/>
      <c r="C1099" s="1"/>
      <c r="D1099" s="1"/>
      <c r="E1099" s="1"/>
      <c r="F1099" s="1"/>
      <c r="G1099" s="1"/>
      <c r="K1099" s="1"/>
      <c r="L1099" s="1"/>
      <c r="M1099" s="1"/>
    </row>
    <row r="1100" spans="1:13" ht="13.8">
      <c r="A1100" s="1"/>
      <c r="B1100" s="1"/>
      <c r="C1100" s="1"/>
      <c r="D1100" s="1"/>
      <c r="E1100" s="1"/>
      <c r="F1100" s="1"/>
      <c r="G1100" s="1"/>
      <c r="K1100" s="1"/>
      <c r="L1100" s="1"/>
      <c r="M1100" s="1"/>
    </row>
    <row r="1101" spans="1:13" ht="13.8">
      <c r="A1101" s="1"/>
      <c r="B1101" s="1"/>
      <c r="C1101" s="1"/>
      <c r="D1101" s="1"/>
      <c r="E1101" s="1"/>
      <c r="F1101" s="1"/>
      <c r="G1101" s="1"/>
      <c r="K1101" s="1"/>
      <c r="L1101" s="1"/>
      <c r="M1101" s="1"/>
    </row>
    <row r="1102" spans="1:13" ht="13.8">
      <c r="A1102" s="1"/>
      <c r="B1102" s="1"/>
      <c r="C1102" s="1"/>
      <c r="D1102" s="1"/>
      <c r="E1102" s="1"/>
      <c r="F1102" s="1"/>
      <c r="G1102" s="1"/>
      <c r="K1102" s="1"/>
      <c r="L1102" s="1"/>
      <c r="M1102" s="1"/>
    </row>
    <row r="1103" spans="1:13" ht="13.8">
      <c r="A1103" s="1"/>
      <c r="B1103" s="1"/>
      <c r="C1103" s="1"/>
      <c r="D1103" s="1"/>
      <c r="E1103" s="1"/>
      <c r="F1103" s="1"/>
      <c r="G1103" s="1"/>
      <c r="K1103" s="1"/>
      <c r="L1103" s="1"/>
      <c r="M1103" s="1"/>
    </row>
    <row r="1104" spans="1:13" ht="13.8">
      <c r="A1104" s="1"/>
      <c r="B1104" s="1"/>
      <c r="C1104" s="1"/>
      <c r="D1104" s="1"/>
      <c r="E1104" s="1"/>
      <c r="F1104" s="1"/>
      <c r="G1104" s="1"/>
      <c r="K1104" s="1"/>
      <c r="L1104" s="1"/>
      <c r="M1104" s="1"/>
    </row>
    <row r="1105" spans="1:13" ht="13.8">
      <c r="A1105" s="1"/>
      <c r="B1105" s="1"/>
      <c r="C1105" s="1"/>
      <c r="D1105" s="1"/>
      <c r="E1105" s="1"/>
      <c r="F1105" s="1"/>
      <c r="G1105" s="1"/>
      <c r="K1105" s="1"/>
      <c r="L1105" s="1"/>
      <c r="M1105" s="1"/>
    </row>
    <row r="1106" spans="1:13" ht="13.8">
      <c r="A1106" s="1"/>
      <c r="B1106" s="1"/>
      <c r="C1106" s="1"/>
      <c r="D1106" s="1"/>
      <c r="E1106" s="1"/>
      <c r="F1106" s="1"/>
      <c r="G1106" s="1"/>
      <c r="K1106" s="1"/>
      <c r="L1106" s="1"/>
      <c r="M1106" s="1"/>
    </row>
    <row r="1107" spans="1:13" ht="13.8">
      <c r="A1107" s="1"/>
      <c r="B1107" s="1"/>
      <c r="C1107" s="1"/>
      <c r="D1107" s="1"/>
      <c r="E1107" s="1"/>
      <c r="F1107" s="1"/>
      <c r="G1107" s="1"/>
      <c r="K1107" s="1"/>
      <c r="L1107" s="1"/>
      <c r="M1107" s="1"/>
    </row>
    <row r="1108" spans="1:13" ht="13.8">
      <c r="A1108" s="1"/>
      <c r="B1108" s="1"/>
      <c r="C1108" s="1"/>
      <c r="D1108" s="1"/>
      <c r="E1108" s="1"/>
      <c r="F1108" s="1"/>
      <c r="G1108" s="1"/>
      <c r="K1108" s="1"/>
      <c r="L1108" s="1"/>
      <c r="M1108" s="1"/>
    </row>
    <row r="1109" spans="1:13" ht="13.8">
      <c r="A1109" s="1"/>
      <c r="B1109" s="1"/>
      <c r="C1109" s="1"/>
      <c r="D1109" s="1"/>
      <c r="E1109" s="1"/>
      <c r="F1109" s="1"/>
      <c r="G1109" s="1"/>
      <c r="K1109" s="1"/>
      <c r="L1109" s="1"/>
      <c r="M1109" s="1"/>
    </row>
    <row r="1110" spans="1:13" ht="13.8">
      <c r="A1110" s="1"/>
      <c r="B1110" s="1"/>
      <c r="C1110" s="1"/>
      <c r="D1110" s="1"/>
      <c r="E1110" s="1"/>
      <c r="F1110" s="1"/>
      <c r="G1110" s="1"/>
      <c r="K1110" s="1"/>
      <c r="L1110" s="1"/>
      <c r="M1110" s="1"/>
    </row>
    <row r="1111" spans="1:13" ht="13.8">
      <c r="A1111" s="1"/>
      <c r="B1111" s="1"/>
      <c r="C1111" s="1"/>
      <c r="D1111" s="1"/>
      <c r="E1111" s="1"/>
      <c r="F1111" s="1"/>
      <c r="G1111" s="1"/>
      <c r="K1111" s="1"/>
      <c r="L1111" s="1"/>
      <c r="M1111" s="1"/>
    </row>
    <row r="1112" spans="1:13" ht="13.8">
      <c r="A1112" s="1"/>
      <c r="B1112" s="1"/>
      <c r="C1112" s="1"/>
      <c r="D1112" s="1"/>
      <c r="E1112" s="1"/>
      <c r="F1112" s="1"/>
      <c r="G1112" s="1"/>
      <c r="K1112" s="1"/>
      <c r="L1112" s="1"/>
      <c r="M1112" s="1"/>
    </row>
    <row r="1113" spans="1:13" ht="13.8">
      <c r="A1113" s="1"/>
      <c r="B1113" s="1"/>
      <c r="C1113" s="1"/>
      <c r="D1113" s="1"/>
      <c r="E1113" s="1"/>
      <c r="F1113" s="1"/>
      <c r="G1113" s="1"/>
      <c r="K1113" s="1"/>
      <c r="L1113" s="1"/>
      <c r="M1113" s="1"/>
    </row>
    <row r="1114" spans="1:13" ht="13.8">
      <c r="A1114" s="1"/>
      <c r="B1114" s="1"/>
      <c r="C1114" s="1"/>
      <c r="D1114" s="1"/>
      <c r="E1114" s="1"/>
      <c r="F1114" s="1"/>
      <c r="G1114" s="1"/>
      <c r="K1114" s="1"/>
      <c r="L1114" s="1"/>
      <c r="M1114" s="1"/>
    </row>
    <row r="1115" spans="1:13" ht="13.8">
      <c r="A1115" s="1"/>
      <c r="B1115" s="1"/>
      <c r="C1115" s="1"/>
      <c r="D1115" s="1"/>
      <c r="E1115" s="1"/>
      <c r="F1115" s="1"/>
      <c r="G1115" s="1"/>
      <c r="K1115" s="1"/>
      <c r="L1115" s="1"/>
      <c r="M1115" s="1"/>
    </row>
    <row r="1116" spans="1:13" ht="13.8">
      <c r="A1116" s="1"/>
      <c r="B1116" s="1"/>
      <c r="C1116" s="1"/>
      <c r="D1116" s="1"/>
      <c r="E1116" s="1"/>
      <c r="F1116" s="1"/>
      <c r="G1116" s="1"/>
      <c r="K1116" s="1"/>
      <c r="L1116" s="1"/>
      <c r="M1116" s="1"/>
    </row>
    <row r="1117" spans="1:13" ht="13.8">
      <c r="A1117" s="1"/>
      <c r="B1117" s="1"/>
      <c r="C1117" s="1"/>
      <c r="D1117" s="1"/>
      <c r="E1117" s="1"/>
      <c r="F1117" s="1"/>
      <c r="G1117" s="1"/>
      <c r="K1117" s="1"/>
      <c r="L1117" s="1"/>
      <c r="M1117" s="1"/>
    </row>
    <row r="1118" spans="1:13" ht="13.8">
      <c r="A1118" s="1"/>
      <c r="B1118" s="1"/>
      <c r="C1118" s="1"/>
      <c r="D1118" s="1"/>
      <c r="E1118" s="1"/>
      <c r="F1118" s="1"/>
      <c r="G1118" s="1"/>
      <c r="K1118" s="1"/>
      <c r="L1118" s="1"/>
      <c r="M1118" s="1"/>
    </row>
    <row r="1119" spans="1:13" ht="13.8">
      <c r="A1119" s="1"/>
      <c r="B1119" s="1"/>
      <c r="C1119" s="1"/>
      <c r="D1119" s="1"/>
      <c r="E1119" s="1"/>
      <c r="F1119" s="1"/>
      <c r="G1119" s="1"/>
      <c r="K1119" s="1"/>
      <c r="L1119" s="1"/>
      <c r="M1119" s="1"/>
    </row>
    <row r="1120" spans="1:13" ht="13.8">
      <c r="A1120" s="1"/>
      <c r="B1120" s="1"/>
      <c r="C1120" s="1"/>
      <c r="D1120" s="1"/>
      <c r="E1120" s="1"/>
      <c r="F1120" s="1"/>
      <c r="G1120" s="1"/>
      <c r="K1120" s="1"/>
      <c r="L1120" s="1"/>
      <c r="M1120" s="1"/>
    </row>
    <row r="1121" spans="1:13" ht="13.8">
      <c r="A1121" s="1"/>
      <c r="B1121" s="1"/>
      <c r="C1121" s="1"/>
      <c r="D1121" s="1"/>
      <c r="E1121" s="1"/>
      <c r="F1121" s="1"/>
      <c r="G1121" s="1"/>
      <c r="K1121" s="1"/>
      <c r="L1121" s="1"/>
      <c r="M1121" s="1"/>
    </row>
    <row r="1122" spans="1:13" ht="13.8">
      <c r="A1122" s="1"/>
      <c r="B1122" s="1"/>
      <c r="C1122" s="1"/>
      <c r="D1122" s="1"/>
      <c r="E1122" s="1"/>
      <c r="F1122" s="1"/>
      <c r="G1122" s="1"/>
      <c r="K1122" s="1"/>
      <c r="L1122" s="1"/>
      <c r="M1122" s="1"/>
    </row>
    <row r="1123" spans="1:13" ht="13.8">
      <c r="A1123" s="1"/>
      <c r="B1123" s="1"/>
      <c r="C1123" s="1"/>
      <c r="D1123" s="1"/>
      <c r="E1123" s="1"/>
      <c r="F1123" s="1"/>
      <c r="G1123" s="1"/>
      <c r="K1123" s="1"/>
      <c r="L1123" s="1"/>
      <c r="M1123" s="1"/>
    </row>
    <row r="1124" spans="1:13" ht="13.8">
      <c r="A1124" s="1"/>
      <c r="B1124" s="1"/>
      <c r="C1124" s="1"/>
      <c r="D1124" s="1"/>
      <c r="E1124" s="1"/>
      <c r="F1124" s="1"/>
      <c r="G1124" s="1"/>
      <c r="K1124" s="1"/>
      <c r="L1124" s="1"/>
      <c r="M1124" s="1"/>
    </row>
    <row r="1125" spans="1:13" ht="13.8">
      <c r="A1125" s="1"/>
      <c r="B1125" s="1"/>
      <c r="C1125" s="1"/>
      <c r="D1125" s="1"/>
      <c r="E1125" s="1"/>
      <c r="F1125" s="1"/>
      <c r="G1125" s="1"/>
      <c r="K1125" s="1"/>
      <c r="L1125" s="1"/>
      <c r="M1125" s="1"/>
    </row>
    <row r="1126" spans="1:13" ht="13.8">
      <c r="A1126" s="1"/>
      <c r="B1126" s="1"/>
      <c r="C1126" s="1"/>
      <c r="D1126" s="1"/>
      <c r="E1126" s="1"/>
      <c r="F1126" s="1"/>
      <c r="G1126" s="1"/>
      <c r="K1126" s="1"/>
      <c r="L1126" s="1"/>
      <c r="M1126" s="1"/>
    </row>
    <row r="1127" spans="1:13" ht="13.8">
      <c r="A1127" s="1"/>
      <c r="B1127" s="1"/>
      <c r="C1127" s="1"/>
      <c r="D1127" s="1"/>
      <c r="E1127" s="1"/>
      <c r="F1127" s="1"/>
      <c r="G1127" s="1"/>
      <c r="K1127" s="1"/>
      <c r="L1127" s="1"/>
      <c r="M1127" s="1"/>
    </row>
    <row r="1128" spans="1:13" ht="13.8">
      <c r="A1128" s="1"/>
      <c r="B1128" s="1"/>
      <c r="C1128" s="1"/>
      <c r="D1128" s="1"/>
      <c r="E1128" s="1"/>
      <c r="F1128" s="1"/>
      <c r="G1128" s="1"/>
      <c r="K1128" s="1"/>
      <c r="L1128" s="1"/>
      <c r="M1128" s="1"/>
    </row>
    <row r="1129" spans="1:13" ht="13.8">
      <c r="A1129" s="1"/>
      <c r="B1129" s="1"/>
      <c r="C1129" s="1"/>
      <c r="D1129" s="1"/>
      <c r="E1129" s="1"/>
      <c r="F1129" s="1"/>
      <c r="G1129" s="1"/>
      <c r="K1129" s="1"/>
      <c r="L1129" s="1"/>
      <c r="M1129" s="1"/>
    </row>
    <row r="1130" spans="1:13" ht="13.8">
      <c r="A1130" s="1"/>
      <c r="B1130" s="1"/>
      <c r="C1130" s="1"/>
      <c r="D1130" s="1"/>
      <c r="E1130" s="1"/>
      <c r="F1130" s="1"/>
      <c r="G1130" s="1"/>
      <c r="K1130" s="1"/>
      <c r="L1130" s="1"/>
      <c r="M1130" s="1"/>
    </row>
    <row r="1131" spans="1:13" ht="13.8">
      <c r="A1131" s="1"/>
      <c r="B1131" s="1"/>
      <c r="C1131" s="1"/>
      <c r="D1131" s="1"/>
      <c r="E1131" s="1"/>
      <c r="F1131" s="1"/>
      <c r="G1131" s="1"/>
      <c r="K1131" s="1"/>
      <c r="L1131" s="1"/>
      <c r="M1131" s="1"/>
    </row>
    <row r="1132" spans="1:13" ht="13.8">
      <c r="A1132" s="1"/>
      <c r="B1132" s="1"/>
      <c r="C1132" s="1"/>
      <c r="D1132" s="1"/>
      <c r="E1132" s="1"/>
      <c r="F1132" s="1"/>
      <c r="G1132" s="1"/>
      <c r="K1132" s="1"/>
      <c r="L1132" s="1"/>
      <c r="M1132" s="1"/>
    </row>
    <row r="1133" spans="1:13" ht="13.8">
      <c r="A1133" s="1"/>
      <c r="B1133" s="1"/>
      <c r="C1133" s="1"/>
      <c r="D1133" s="1"/>
      <c r="E1133" s="1"/>
      <c r="F1133" s="1"/>
      <c r="G1133" s="1"/>
      <c r="K1133" s="1"/>
      <c r="L1133" s="1"/>
      <c r="M1133" s="1"/>
    </row>
    <row r="1134" spans="1:13" ht="13.8">
      <c r="A1134" s="1"/>
      <c r="B1134" s="1"/>
      <c r="C1134" s="1"/>
      <c r="D1134" s="1"/>
      <c r="E1134" s="1"/>
      <c r="F1134" s="1"/>
      <c r="G1134" s="1"/>
      <c r="K1134" s="1"/>
      <c r="L1134" s="1"/>
      <c r="M1134" s="1"/>
    </row>
    <row r="1135" spans="1:13" ht="13.8">
      <c r="A1135" s="1"/>
      <c r="B1135" s="1"/>
      <c r="C1135" s="1"/>
      <c r="D1135" s="1"/>
      <c r="E1135" s="1"/>
      <c r="F1135" s="1"/>
      <c r="G1135" s="1"/>
      <c r="K1135" s="1"/>
      <c r="L1135" s="1"/>
      <c r="M1135" s="1"/>
    </row>
    <row r="1136" spans="1:13" ht="13.8">
      <c r="A1136" s="1"/>
      <c r="B1136" s="1"/>
      <c r="C1136" s="1"/>
      <c r="D1136" s="1"/>
      <c r="E1136" s="1"/>
      <c r="F1136" s="1"/>
      <c r="G1136" s="1"/>
      <c r="K1136" s="1"/>
      <c r="L1136" s="1"/>
      <c r="M1136" s="1"/>
    </row>
    <row r="1137" spans="1:13" ht="13.8">
      <c r="A1137" s="1"/>
      <c r="B1137" s="1"/>
      <c r="C1137" s="1"/>
      <c r="D1137" s="1"/>
      <c r="E1137" s="1"/>
      <c r="F1137" s="1"/>
      <c r="G1137" s="1"/>
      <c r="K1137" s="1"/>
      <c r="L1137" s="1"/>
      <c r="M1137" s="1"/>
    </row>
    <row r="1138" spans="1:13" ht="13.8">
      <c r="A1138" s="1"/>
      <c r="B1138" s="1"/>
      <c r="C1138" s="1"/>
      <c r="D1138" s="1"/>
      <c r="E1138" s="1"/>
      <c r="F1138" s="1"/>
      <c r="G1138" s="1"/>
      <c r="K1138" s="1"/>
      <c r="L1138" s="1"/>
      <c r="M1138" s="1"/>
    </row>
    <row r="1139" spans="1:13" ht="13.8">
      <c r="A1139" s="1"/>
      <c r="B1139" s="1"/>
      <c r="C1139" s="1"/>
      <c r="D1139" s="1"/>
      <c r="E1139" s="1"/>
      <c r="F1139" s="1"/>
      <c r="G1139" s="1"/>
      <c r="K1139" s="1"/>
      <c r="L1139" s="1"/>
      <c r="M1139" s="1"/>
    </row>
    <row r="1140" spans="1:13" ht="13.8">
      <c r="A1140" s="1"/>
      <c r="B1140" s="1"/>
      <c r="C1140" s="1"/>
      <c r="D1140" s="1"/>
      <c r="E1140" s="1"/>
      <c r="F1140" s="1"/>
      <c r="G1140" s="1"/>
      <c r="K1140" s="1"/>
      <c r="L1140" s="1"/>
      <c r="M1140" s="1"/>
    </row>
    <row r="1141" spans="1:13" ht="13.8">
      <c r="A1141" s="1"/>
      <c r="B1141" s="1"/>
      <c r="C1141" s="1"/>
      <c r="D1141" s="1"/>
      <c r="E1141" s="1"/>
      <c r="F1141" s="1"/>
      <c r="G1141" s="1"/>
      <c r="K1141" s="1"/>
      <c r="L1141" s="1"/>
      <c r="M1141" s="1"/>
    </row>
    <row r="1142" spans="1:13" ht="13.8">
      <c r="A1142" s="1"/>
      <c r="B1142" s="1"/>
      <c r="C1142" s="1"/>
      <c r="D1142" s="1"/>
      <c r="E1142" s="1"/>
      <c r="F1142" s="1"/>
      <c r="G1142" s="1"/>
      <c r="K1142" s="1"/>
      <c r="L1142" s="1"/>
      <c r="M1142" s="1"/>
    </row>
    <row r="1143" spans="1:13" ht="13.8">
      <c r="A1143" s="1"/>
      <c r="B1143" s="1"/>
      <c r="C1143" s="1"/>
      <c r="D1143" s="1"/>
      <c r="E1143" s="1"/>
      <c r="F1143" s="1"/>
      <c r="G1143" s="1"/>
      <c r="K1143" s="1"/>
      <c r="L1143" s="1"/>
      <c r="M1143" s="1"/>
    </row>
    <row r="1144" spans="1:13" ht="13.8">
      <c r="A1144" s="1"/>
      <c r="B1144" s="1"/>
      <c r="C1144" s="1"/>
      <c r="D1144" s="1"/>
      <c r="E1144" s="1"/>
      <c r="F1144" s="1"/>
      <c r="G1144" s="1"/>
      <c r="K1144" s="1"/>
      <c r="L1144" s="1"/>
      <c r="M1144" s="1"/>
    </row>
    <row r="1145" spans="1:13" ht="13.8">
      <c r="A1145" s="1"/>
      <c r="B1145" s="1"/>
      <c r="C1145" s="1"/>
      <c r="D1145" s="1"/>
      <c r="E1145" s="1"/>
      <c r="F1145" s="1"/>
      <c r="G1145" s="1"/>
      <c r="K1145" s="1"/>
      <c r="L1145" s="1"/>
      <c r="M1145" s="1"/>
    </row>
    <row r="1146" spans="1:13" ht="13.8">
      <c r="A1146" s="1"/>
      <c r="B1146" s="1"/>
      <c r="C1146" s="1"/>
      <c r="D1146" s="1"/>
      <c r="E1146" s="1"/>
      <c r="F1146" s="1"/>
      <c r="G1146" s="1"/>
      <c r="K1146" s="1"/>
      <c r="L1146" s="1"/>
      <c r="M1146" s="1"/>
    </row>
    <row r="1147" spans="1:13" ht="13.8">
      <c r="A1147" s="1"/>
      <c r="B1147" s="1"/>
      <c r="C1147" s="1"/>
      <c r="D1147" s="1"/>
      <c r="E1147" s="1"/>
      <c r="F1147" s="1"/>
      <c r="G1147" s="1"/>
      <c r="K1147" s="1"/>
      <c r="L1147" s="1"/>
      <c r="M1147" s="1"/>
    </row>
    <row r="1148" spans="1:13" ht="13.8">
      <c r="A1148" s="1"/>
      <c r="B1148" s="1"/>
      <c r="C1148" s="1"/>
      <c r="D1148" s="1"/>
      <c r="E1148" s="1"/>
      <c r="F1148" s="1"/>
      <c r="G1148" s="1"/>
      <c r="K1148" s="1"/>
      <c r="L1148" s="1"/>
      <c r="M1148" s="1"/>
    </row>
    <row r="1149" spans="1:13" ht="13.8">
      <c r="A1149" s="1"/>
      <c r="B1149" s="1"/>
      <c r="C1149" s="1"/>
      <c r="D1149" s="1"/>
      <c r="E1149" s="1"/>
      <c r="F1149" s="1"/>
      <c r="G1149" s="1"/>
      <c r="K1149" s="1"/>
      <c r="L1149" s="1"/>
      <c r="M1149" s="1"/>
    </row>
    <row r="1150" spans="1:13" ht="13.8">
      <c r="A1150" s="1"/>
      <c r="B1150" s="1"/>
      <c r="C1150" s="1"/>
      <c r="D1150" s="1"/>
      <c r="E1150" s="1"/>
      <c r="F1150" s="1"/>
      <c r="G1150" s="1"/>
      <c r="K1150" s="1"/>
      <c r="L1150" s="1"/>
      <c r="M1150" s="1"/>
    </row>
    <row r="1151" spans="1:13" ht="13.8">
      <c r="A1151" s="1"/>
      <c r="B1151" s="1"/>
      <c r="C1151" s="1"/>
      <c r="D1151" s="1"/>
      <c r="E1151" s="1"/>
      <c r="F1151" s="1"/>
      <c r="G1151" s="1"/>
      <c r="K1151" s="1"/>
      <c r="L1151" s="1"/>
      <c r="M1151" s="1"/>
    </row>
    <row r="1152" spans="1:13" ht="13.8">
      <c r="A1152" s="1"/>
      <c r="B1152" s="1"/>
      <c r="C1152" s="1"/>
      <c r="D1152" s="1"/>
      <c r="E1152" s="1"/>
      <c r="F1152" s="1"/>
      <c r="G1152" s="1"/>
      <c r="K1152" s="1"/>
      <c r="L1152" s="1"/>
      <c r="M1152" s="1"/>
    </row>
    <row r="1153" spans="1:13" ht="13.8">
      <c r="A1153" s="1"/>
      <c r="B1153" s="1"/>
      <c r="C1153" s="1"/>
      <c r="D1153" s="1"/>
      <c r="E1153" s="1"/>
      <c r="F1153" s="1"/>
      <c r="G1153" s="1"/>
      <c r="K1153" s="1"/>
      <c r="L1153" s="1"/>
      <c r="M1153" s="1"/>
    </row>
    <row r="1154" spans="1:13" ht="13.8">
      <c r="A1154" s="1"/>
      <c r="B1154" s="1"/>
      <c r="C1154" s="1"/>
      <c r="D1154" s="1"/>
      <c r="E1154" s="1"/>
      <c r="F1154" s="1"/>
      <c r="G1154" s="1"/>
      <c r="K1154" s="1"/>
      <c r="L1154" s="1"/>
      <c r="M1154" s="1"/>
    </row>
    <row r="1155" spans="1:13" ht="13.8">
      <c r="A1155" s="1"/>
      <c r="B1155" s="1"/>
      <c r="C1155" s="1"/>
      <c r="D1155" s="1"/>
      <c r="E1155" s="1"/>
      <c r="F1155" s="1"/>
      <c r="G1155" s="1"/>
      <c r="K1155" s="1"/>
      <c r="L1155" s="1"/>
      <c r="M1155" s="1"/>
    </row>
    <row r="1156" spans="1:13" ht="13.8">
      <c r="A1156" s="1"/>
      <c r="B1156" s="1"/>
      <c r="C1156" s="1"/>
      <c r="D1156" s="1"/>
      <c r="E1156" s="1"/>
      <c r="F1156" s="1"/>
      <c r="G1156" s="1"/>
      <c r="K1156" s="1"/>
      <c r="L1156" s="1"/>
      <c r="M1156" s="1"/>
    </row>
    <row r="1157" spans="1:13" ht="13.8">
      <c r="A1157" s="1"/>
      <c r="B1157" s="1"/>
      <c r="C1157" s="1"/>
      <c r="D1157" s="1"/>
      <c r="E1157" s="1"/>
      <c r="F1157" s="1"/>
      <c r="G1157" s="1"/>
      <c r="K1157" s="1"/>
      <c r="L1157" s="1"/>
      <c r="M1157" s="1"/>
    </row>
    <row r="1158" spans="1:13" ht="13.8">
      <c r="A1158" s="1"/>
      <c r="B1158" s="1"/>
      <c r="C1158" s="1"/>
      <c r="D1158" s="1"/>
      <c r="E1158" s="1"/>
      <c r="F1158" s="1"/>
      <c r="G1158" s="1"/>
      <c r="K1158" s="1"/>
      <c r="L1158" s="1"/>
      <c r="M1158" s="1"/>
    </row>
    <row r="1159" spans="1:13" ht="13.8">
      <c r="A1159" s="1"/>
      <c r="B1159" s="1"/>
      <c r="C1159" s="1"/>
      <c r="D1159" s="1"/>
      <c r="E1159" s="1"/>
      <c r="F1159" s="1"/>
      <c r="G1159" s="1"/>
      <c r="K1159" s="1"/>
      <c r="L1159" s="1"/>
      <c r="M1159" s="1"/>
    </row>
    <row r="1160" spans="1:13" ht="13.8">
      <c r="A1160" s="1"/>
      <c r="B1160" s="1"/>
      <c r="C1160" s="1"/>
      <c r="D1160" s="1"/>
      <c r="E1160" s="1"/>
      <c r="F1160" s="1"/>
      <c r="G1160" s="1"/>
      <c r="K1160" s="1"/>
      <c r="L1160" s="1"/>
      <c r="M1160" s="1"/>
    </row>
    <row r="1161" spans="1:13" ht="13.8">
      <c r="A1161" s="1"/>
      <c r="B1161" s="1"/>
      <c r="C1161" s="1"/>
      <c r="D1161" s="1"/>
      <c r="E1161" s="1"/>
      <c r="F1161" s="1"/>
      <c r="G1161" s="1"/>
      <c r="K1161" s="1"/>
      <c r="L1161" s="1"/>
      <c r="M1161" s="1"/>
    </row>
    <row r="1162" spans="1:13" ht="13.8">
      <c r="A1162" s="1"/>
      <c r="B1162" s="1"/>
      <c r="C1162" s="1"/>
      <c r="D1162" s="1"/>
      <c r="E1162" s="1"/>
      <c r="F1162" s="1"/>
      <c r="G1162" s="1"/>
      <c r="K1162" s="1"/>
      <c r="L1162" s="1"/>
      <c r="M1162" s="1"/>
    </row>
    <row r="1163" spans="1:13" ht="13.8">
      <c r="A1163" s="1"/>
      <c r="B1163" s="1"/>
      <c r="C1163" s="1"/>
      <c r="D1163" s="1"/>
      <c r="E1163" s="1"/>
      <c r="F1163" s="1"/>
      <c r="G1163" s="1"/>
      <c r="K1163" s="1"/>
      <c r="L1163" s="1"/>
      <c r="M1163" s="1"/>
    </row>
    <row r="1164" spans="1:13" ht="13.8">
      <c r="A1164" s="1"/>
      <c r="B1164" s="1"/>
      <c r="C1164" s="1"/>
      <c r="D1164" s="1"/>
      <c r="E1164" s="1"/>
      <c r="F1164" s="1"/>
      <c r="G1164" s="1"/>
      <c r="K1164" s="1"/>
      <c r="L1164" s="1"/>
      <c r="M1164" s="1"/>
    </row>
    <row r="1165" spans="1:13" ht="13.8">
      <c r="A1165" s="1"/>
      <c r="B1165" s="1"/>
      <c r="C1165" s="1"/>
      <c r="D1165" s="1"/>
      <c r="E1165" s="1"/>
      <c r="F1165" s="1"/>
      <c r="G1165" s="1"/>
      <c r="K1165" s="1"/>
      <c r="L1165" s="1"/>
      <c r="M1165" s="1"/>
    </row>
    <row r="1166" spans="1:13" ht="13.8">
      <c r="A1166" s="1"/>
      <c r="B1166" s="1"/>
      <c r="C1166" s="1"/>
      <c r="D1166" s="1"/>
      <c r="E1166" s="1"/>
      <c r="F1166" s="1"/>
      <c r="G1166" s="1"/>
      <c r="K1166" s="1"/>
      <c r="L1166" s="1"/>
      <c r="M1166" s="1"/>
    </row>
    <row r="1167" spans="1:13" ht="13.8">
      <c r="A1167" s="1"/>
      <c r="B1167" s="1"/>
      <c r="C1167" s="1"/>
      <c r="D1167" s="1"/>
      <c r="E1167" s="1"/>
      <c r="F1167" s="1"/>
      <c r="G1167" s="1"/>
      <c r="K1167" s="1"/>
      <c r="L1167" s="1"/>
      <c r="M1167" s="1"/>
    </row>
    <row r="1168" spans="1:13" ht="13.8">
      <c r="A1168" s="1"/>
      <c r="B1168" s="1"/>
      <c r="C1168" s="1"/>
      <c r="D1168" s="1"/>
      <c r="E1168" s="1"/>
      <c r="F1168" s="1"/>
      <c r="G1168" s="1"/>
      <c r="K1168" s="1"/>
      <c r="L1168" s="1"/>
      <c r="M1168" s="1"/>
    </row>
    <row r="1169" spans="1:13" ht="13.8">
      <c r="A1169" s="1"/>
      <c r="B1169" s="1"/>
      <c r="C1169" s="1"/>
      <c r="D1169" s="1"/>
      <c r="E1169" s="1"/>
      <c r="F1169" s="1"/>
      <c r="G1169" s="1"/>
      <c r="K1169" s="1"/>
      <c r="L1169" s="1"/>
      <c r="M1169" s="1"/>
    </row>
    <row r="1170" spans="1:13" ht="13.8">
      <c r="A1170" s="1"/>
      <c r="B1170" s="1"/>
      <c r="C1170" s="1"/>
      <c r="D1170" s="1"/>
      <c r="E1170" s="1"/>
      <c r="F1170" s="1"/>
      <c r="G1170" s="1"/>
      <c r="K1170" s="1"/>
      <c r="L1170" s="1"/>
      <c r="M1170" s="1"/>
    </row>
    <row r="1171" spans="1:13" ht="13.8">
      <c r="A1171" s="1"/>
      <c r="B1171" s="1"/>
      <c r="C1171" s="1"/>
      <c r="D1171" s="1"/>
      <c r="E1171" s="1"/>
      <c r="F1171" s="1"/>
      <c r="G1171" s="1"/>
      <c r="K1171" s="1"/>
      <c r="L1171" s="1"/>
      <c r="M1171" s="1"/>
    </row>
    <row r="1172" spans="1:13" ht="13.8">
      <c r="A1172" s="1"/>
      <c r="B1172" s="1"/>
      <c r="C1172" s="1"/>
      <c r="D1172" s="1"/>
      <c r="E1172" s="1"/>
      <c r="F1172" s="1"/>
      <c r="G1172" s="1"/>
      <c r="K1172" s="1"/>
      <c r="L1172" s="1"/>
      <c r="M1172" s="1"/>
    </row>
    <row r="1173" spans="1:13" ht="13.8">
      <c r="A1173" s="1"/>
      <c r="B1173" s="1"/>
      <c r="C1173" s="1"/>
      <c r="D1173" s="1"/>
      <c r="E1173" s="1"/>
      <c r="F1173" s="1"/>
      <c r="G1173" s="1"/>
      <c r="K1173" s="1"/>
      <c r="L1173" s="1"/>
      <c r="M1173" s="1"/>
    </row>
    <row r="1174" spans="1:13" ht="13.8">
      <c r="A1174" s="1"/>
      <c r="B1174" s="1"/>
      <c r="C1174" s="1"/>
      <c r="D1174" s="1"/>
      <c r="E1174" s="1"/>
      <c r="F1174" s="1"/>
      <c r="G1174" s="1"/>
      <c r="K1174" s="1"/>
      <c r="L1174" s="1"/>
      <c r="M1174" s="1"/>
    </row>
    <row r="1175" spans="1:13" ht="13.8">
      <c r="A1175" s="1"/>
      <c r="B1175" s="1"/>
      <c r="C1175" s="1"/>
      <c r="D1175" s="1"/>
      <c r="E1175" s="1"/>
      <c r="F1175" s="1"/>
      <c r="G1175" s="1"/>
      <c r="K1175" s="1"/>
      <c r="L1175" s="1"/>
      <c r="M1175" s="1"/>
    </row>
    <row r="1176" spans="1:13" ht="13.8">
      <c r="A1176" s="1"/>
      <c r="B1176" s="1"/>
      <c r="C1176" s="1"/>
      <c r="D1176" s="1"/>
      <c r="E1176" s="1"/>
      <c r="F1176" s="1"/>
      <c r="G1176" s="1"/>
      <c r="K1176" s="1"/>
      <c r="L1176" s="1"/>
      <c r="M1176" s="1"/>
    </row>
    <row r="1177" spans="1:13" ht="13.8">
      <c r="A1177" s="1"/>
      <c r="B1177" s="1"/>
      <c r="C1177" s="1"/>
      <c r="D1177" s="1"/>
      <c r="E1177" s="1"/>
      <c r="F1177" s="1"/>
      <c r="G1177" s="1"/>
      <c r="K1177" s="1"/>
      <c r="L1177" s="1"/>
      <c r="M1177" s="1"/>
    </row>
    <row r="1178" spans="1:13" ht="13.8">
      <c r="A1178" s="1"/>
      <c r="B1178" s="1"/>
      <c r="C1178" s="1"/>
      <c r="D1178" s="1"/>
      <c r="E1178" s="1"/>
      <c r="F1178" s="1"/>
      <c r="G1178" s="1"/>
      <c r="K1178" s="1"/>
      <c r="L1178" s="1"/>
      <c r="M1178" s="1"/>
    </row>
    <row r="1179" spans="1:13" ht="13.8">
      <c r="A1179" s="1"/>
      <c r="B1179" s="1"/>
      <c r="C1179" s="1"/>
      <c r="D1179" s="1"/>
      <c r="E1179" s="1"/>
      <c r="F1179" s="1"/>
      <c r="G1179" s="1"/>
      <c r="K1179" s="1"/>
      <c r="L1179" s="1"/>
      <c r="M1179" s="1"/>
    </row>
    <row r="1180" spans="1:13" ht="13.8">
      <c r="A1180" s="1"/>
      <c r="B1180" s="1"/>
      <c r="C1180" s="1"/>
      <c r="D1180" s="1"/>
      <c r="E1180" s="1"/>
      <c r="F1180" s="1"/>
      <c r="G1180" s="1"/>
      <c r="K1180" s="1"/>
      <c r="L1180" s="1"/>
      <c r="M1180" s="1"/>
    </row>
    <row r="1181" spans="1:13" ht="13.8">
      <c r="A1181" s="1"/>
      <c r="B1181" s="1"/>
      <c r="C1181" s="1"/>
      <c r="D1181" s="1"/>
      <c r="E1181" s="1"/>
      <c r="F1181" s="1"/>
      <c r="G1181" s="1"/>
      <c r="K1181" s="1"/>
      <c r="L1181" s="1"/>
      <c r="M1181" s="1"/>
    </row>
    <row r="1182" spans="1:13" ht="13.8">
      <c r="A1182" s="1"/>
      <c r="B1182" s="1"/>
      <c r="C1182" s="1"/>
      <c r="D1182" s="1"/>
      <c r="E1182" s="1"/>
      <c r="F1182" s="1"/>
      <c r="G1182" s="1"/>
      <c r="K1182" s="1"/>
      <c r="L1182" s="1"/>
      <c r="M1182" s="1"/>
    </row>
    <row r="1183" spans="1:13" ht="13.8">
      <c r="A1183" s="1"/>
      <c r="B1183" s="1"/>
      <c r="C1183" s="1"/>
      <c r="D1183" s="1"/>
      <c r="E1183" s="1"/>
      <c r="F1183" s="1"/>
      <c r="G1183" s="1"/>
      <c r="K1183" s="1"/>
      <c r="L1183" s="1"/>
      <c r="M1183" s="1"/>
    </row>
    <row r="1184" spans="1:13" ht="13.8">
      <c r="A1184" s="1"/>
      <c r="B1184" s="1"/>
      <c r="C1184" s="1"/>
      <c r="D1184" s="1"/>
      <c r="E1184" s="1"/>
      <c r="F1184" s="1"/>
      <c r="G1184" s="1"/>
      <c r="K1184" s="1"/>
      <c r="L1184" s="1"/>
      <c r="M1184" s="1"/>
    </row>
    <row r="1185" spans="1:13" ht="13.8">
      <c r="A1185" s="1"/>
      <c r="B1185" s="1"/>
      <c r="C1185" s="1"/>
      <c r="D1185" s="1"/>
      <c r="E1185" s="1"/>
      <c r="F1185" s="1"/>
      <c r="G1185" s="1"/>
      <c r="K1185" s="1"/>
      <c r="L1185" s="1"/>
      <c r="M1185" s="1"/>
    </row>
    <row r="1186" spans="1:13" ht="13.8">
      <c r="A1186" s="1"/>
      <c r="B1186" s="1"/>
      <c r="C1186" s="1"/>
      <c r="D1186" s="1"/>
      <c r="E1186" s="1"/>
      <c r="F1186" s="1"/>
      <c r="G1186" s="1"/>
      <c r="K1186" s="1"/>
      <c r="L1186" s="1"/>
      <c r="M1186" s="1"/>
    </row>
    <row r="1187" spans="1:13" ht="13.8">
      <c r="A1187" s="1"/>
      <c r="B1187" s="1"/>
      <c r="C1187" s="1"/>
      <c r="D1187" s="1"/>
      <c r="E1187" s="1"/>
      <c r="F1187" s="1"/>
      <c r="G1187" s="1"/>
      <c r="K1187" s="1"/>
      <c r="L1187" s="1"/>
      <c r="M1187" s="1"/>
    </row>
    <row r="1188" spans="1:13" ht="13.8">
      <c r="A1188" s="1"/>
      <c r="B1188" s="1"/>
      <c r="C1188" s="1"/>
      <c r="D1188" s="1"/>
      <c r="E1188" s="1"/>
      <c r="F1188" s="1"/>
      <c r="G1188" s="1"/>
      <c r="K1188" s="1"/>
      <c r="L1188" s="1"/>
      <c r="M1188" s="1"/>
    </row>
    <row r="1189" spans="1:13" ht="13.8">
      <c r="A1189" s="1"/>
      <c r="B1189" s="1"/>
      <c r="C1189" s="1"/>
      <c r="D1189" s="1"/>
      <c r="E1189" s="1"/>
      <c r="F1189" s="1"/>
      <c r="G1189" s="1"/>
      <c r="K1189" s="1"/>
      <c r="L1189" s="1"/>
      <c r="M1189" s="1"/>
    </row>
    <row r="1190" spans="1:13" ht="13.8">
      <c r="A1190" s="1"/>
      <c r="B1190" s="1"/>
      <c r="C1190" s="1"/>
      <c r="D1190" s="1"/>
      <c r="E1190" s="1"/>
      <c r="F1190" s="1"/>
      <c r="G1190" s="1"/>
      <c r="K1190" s="1"/>
      <c r="L1190" s="1"/>
      <c r="M1190" s="1"/>
    </row>
    <row r="1191" spans="1:13" ht="13.8">
      <c r="A1191" s="1"/>
      <c r="B1191" s="1"/>
      <c r="C1191" s="1"/>
      <c r="D1191" s="1"/>
      <c r="E1191" s="1"/>
      <c r="F1191" s="1"/>
      <c r="G1191" s="1"/>
      <c r="K1191" s="1"/>
      <c r="L1191" s="1"/>
      <c r="M1191" s="1"/>
    </row>
    <row r="1192" spans="1:13" ht="13.8">
      <c r="A1192" s="1"/>
      <c r="B1192" s="1"/>
      <c r="C1192" s="1"/>
      <c r="D1192" s="1"/>
      <c r="E1192" s="1"/>
      <c r="F1192" s="1"/>
      <c r="G1192" s="1"/>
      <c r="K1192" s="1"/>
      <c r="L1192" s="1"/>
      <c r="M1192" s="1"/>
    </row>
    <row r="1193" spans="1:13" ht="13.8">
      <c r="A1193" s="1"/>
      <c r="B1193" s="1"/>
      <c r="C1193" s="1"/>
      <c r="D1193" s="1"/>
      <c r="E1193" s="1"/>
      <c r="F1193" s="1"/>
      <c r="G1193" s="1"/>
      <c r="K1193" s="1"/>
      <c r="L1193" s="1"/>
      <c r="M1193" s="1"/>
    </row>
    <row r="1194" spans="1:13" ht="13.8">
      <c r="A1194" s="1"/>
      <c r="B1194" s="1"/>
      <c r="C1194" s="1"/>
      <c r="D1194" s="1"/>
      <c r="E1194" s="1"/>
      <c r="F1194" s="1"/>
      <c r="G1194" s="1"/>
      <c r="K1194" s="1"/>
      <c r="L1194" s="1"/>
      <c r="M1194" s="1"/>
    </row>
    <row r="1195" spans="1:13" ht="13.8">
      <c r="A1195" s="1"/>
      <c r="B1195" s="1"/>
      <c r="C1195" s="1"/>
      <c r="D1195" s="1"/>
      <c r="E1195" s="1"/>
      <c r="F1195" s="1"/>
      <c r="G1195" s="1"/>
      <c r="K1195" s="1"/>
      <c r="L1195" s="1"/>
      <c r="M1195" s="1"/>
    </row>
    <row r="1196" spans="1:13" ht="13.8">
      <c r="A1196" s="1"/>
      <c r="B1196" s="1"/>
      <c r="C1196" s="1"/>
      <c r="D1196" s="1"/>
      <c r="E1196" s="1"/>
      <c r="F1196" s="1"/>
      <c r="G1196" s="1"/>
      <c r="K1196" s="1"/>
      <c r="L1196" s="1"/>
      <c r="M1196" s="1"/>
    </row>
    <row r="1197" spans="1:13" ht="13.8">
      <c r="A1197" s="1"/>
      <c r="B1197" s="1"/>
      <c r="C1197" s="1"/>
      <c r="D1197" s="1"/>
      <c r="E1197" s="1"/>
      <c r="F1197" s="1"/>
      <c r="G1197" s="1"/>
      <c r="K1197" s="1"/>
      <c r="L1197" s="1"/>
      <c r="M1197" s="1"/>
    </row>
    <row r="1198" spans="1:13" ht="13.8">
      <c r="A1198" s="1"/>
      <c r="B1198" s="1"/>
      <c r="C1198" s="1"/>
      <c r="D1198" s="1"/>
      <c r="E1198" s="1"/>
      <c r="F1198" s="1"/>
      <c r="G1198" s="1"/>
      <c r="K1198" s="1"/>
      <c r="L1198" s="1"/>
      <c r="M1198" s="1"/>
    </row>
    <row r="1199" spans="1:13" ht="13.8">
      <c r="A1199" s="1"/>
      <c r="B1199" s="1"/>
      <c r="C1199" s="1"/>
      <c r="D1199" s="1"/>
      <c r="E1199" s="1"/>
      <c r="F1199" s="1"/>
      <c r="G1199" s="1"/>
      <c r="K1199" s="1"/>
      <c r="L1199" s="1"/>
      <c r="M1199" s="1"/>
    </row>
    <row r="1200" spans="1:13" ht="13.8">
      <c r="A1200" s="1"/>
      <c r="B1200" s="1"/>
      <c r="C1200" s="1"/>
      <c r="D1200" s="1"/>
      <c r="E1200" s="1"/>
      <c r="F1200" s="1"/>
      <c r="G1200" s="1"/>
      <c r="K1200" s="1"/>
      <c r="L1200" s="1"/>
      <c r="M1200" s="1"/>
    </row>
    <row r="1201" spans="1:13" ht="13.8">
      <c r="A1201" s="1"/>
      <c r="B1201" s="1"/>
      <c r="C1201" s="1"/>
      <c r="D1201" s="1"/>
      <c r="E1201" s="1"/>
      <c r="F1201" s="1"/>
      <c r="G1201" s="1"/>
      <c r="K1201" s="1"/>
      <c r="L1201" s="1"/>
      <c r="M1201" s="1"/>
    </row>
    <row r="1202" spans="1:13" ht="13.8">
      <c r="A1202" s="1"/>
      <c r="B1202" s="1"/>
      <c r="C1202" s="1"/>
      <c r="D1202" s="1"/>
      <c r="E1202" s="1"/>
      <c r="F1202" s="1"/>
      <c r="G1202" s="1"/>
      <c r="K1202" s="1"/>
      <c r="L1202" s="1"/>
      <c r="M1202" s="1"/>
    </row>
    <row r="1203" spans="1:13" ht="13.8">
      <c r="A1203" s="1"/>
      <c r="B1203" s="1"/>
      <c r="C1203" s="1"/>
      <c r="D1203" s="1"/>
      <c r="E1203" s="1"/>
      <c r="F1203" s="1"/>
      <c r="G1203" s="1"/>
      <c r="K1203" s="1"/>
      <c r="L1203" s="1"/>
      <c r="M1203" s="1"/>
    </row>
    <row r="1204" spans="1:13" ht="13.8">
      <c r="A1204" s="1"/>
      <c r="B1204" s="1"/>
      <c r="C1204" s="1"/>
      <c r="D1204" s="1"/>
      <c r="E1204" s="1"/>
      <c r="F1204" s="1"/>
      <c r="G1204" s="1"/>
      <c r="K1204" s="1"/>
      <c r="L1204" s="1"/>
      <c r="M1204" s="1"/>
    </row>
    <row r="1205" spans="1:13" ht="13.8">
      <c r="A1205" s="1"/>
      <c r="B1205" s="1"/>
      <c r="C1205" s="1"/>
      <c r="D1205" s="1"/>
      <c r="E1205" s="1"/>
      <c r="F1205" s="1"/>
      <c r="G1205" s="1"/>
      <c r="K1205" s="1"/>
      <c r="L1205" s="1"/>
      <c r="M1205" s="1"/>
    </row>
    <row r="1206" spans="1:13" ht="13.8">
      <c r="A1206" s="1"/>
      <c r="B1206" s="1"/>
      <c r="C1206" s="1"/>
      <c r="D1206" s="1"/>
      <c r="E1206" s="1"/>
      <c r="F1206" s="1"/>
      <c r="G1206" s="1"/>
      <c r="K1206" s="1"/>
      <c r="L1206" s="1"/>
      <c r="M1206" s="1"/>
    </row>
    <row r="1207" spans="1:13" ht="13.8">
      <c r="A1207" s="1"/>
      <c r="B1207" s="1"/>
      <c r="C1207" s="1"/>
      <c r="D1207" s="1"/>
      <c r="E1207" s="1"/>
      <c r="F1207" s="1"/>
      <c r="G1207" s="1"/>
      <c r="K1207" s="1"/>
      <c r="L1207" s="1"/>
      <c r="M1207" s="1"/>
    </row>
    <row r="1208" spans="1:13" ht="13.8">
      <c r="A1208" s="1"/>
      <c r="B1208" s="1"/>
      <c r="C1208" s="1"/>
      <c r="D1208" s="1"/>
      <c r="E1208" s="1"/>
      <c r="F1208" s="1"/>
      <c r="G1208" s="1"/>
      <c r="K1208" s="1"/>
      <c r="L1208" s="1"/>
      <c r="M1208" s="1"/>
    </row>
    <row r="1209" spans="1:13" ht="13.8">
      <c r="A1209" s="1"/>
      <c r="B1209" s="1"/>
      <c r="C1209" s="1"/>
      <c r="D1209" s="1"/>
      <c r="E1209" s="1"/>
      <c r="F1209" s="1"/>
      <c r="G1209" s="1"/>
      <c r="K1209" s="1"/>
      <c r="L1209" s="1"/>
      <c r="M1209" s="1"/>
    </row>
    <row r="1210" spans="1:13" ht="13.8">
      <c r="A1210" s="1"/>
      <c r="B1210" s="1"/>
      <c r="C1210" s="1"/>
      <c r="D1210" s="1"/>
      <c r="E1210" s="1"/>
      <c r="F1210" s="1"/>
      <c r="G1210" s="1"/>
      <c r="K1210" s="1"/>
      <c r="L1210" s="1"/>
      <c r="M1210" s="1"/>
    </row>
    <row r="1211" spans="1:13" ht="13.8">
      <c r="A1211" s="1"/>
      <c r="B1211" s="1"/>
      <c r="C1211" s="1"/>
      <c r="D1211" s="1"/>
      <c r="E1211" s="1"/>
      <c r="F1211" s="1"/>
      <c r="G1211" s="1"/>
      <c r="K1211" s="1"/>
      <c r="L1211" s="1"/>
      <c r="M1211" s="1"/>
    </row>
    <row r="1212" spans="1:13" ht="13.8">
      <c r="A1212" s="1"/>
      <c r="B1212" s="1"/>
      <c r="C1212" s="1"/>
      <c r="D1212" s="1"/>
      <c r="E1212" s="1"/>
      <c r="F1212" s="1"/>
      <c r="G1212" s="1"/>
      <c r="K1212" s="1"/>
      <c r="L1212" s="1"/>
      <c r="M1212" s="1"/>
    </row>
    <row r="1213" spans="1:13" ht="13.8">
      <c r="A1213" s="1"/>
      <c r="B1213" s="1"/>
      <c r="C1213" s="1"/>
      <c r="D1213" s="1"/>
      <c r="E1213" s="1"/>
      <c r="F1213" s="1"/>
      <c r="G1213" s="1"/>
      <c r="K1213" s="1"/>
      <c r="L1213" s="1"/>
      <c r="M1213" s="1"/>
    </row>
    <row r="1214" spans="1:13" ht="13.8">
      <c r="A1214" s="1"/>
      <c r="B1214" s="1"/>
      <c r="C1214" s="1"/>
      <c r="D1214" s="1"/>
      <c r="E1214" s="1"/>
      <c r="F1214" s="1"/>
      <c r="G1214" s="1"/>
      <c r="K1214" s="1"/>
      <c r="L1214" s="1"/>
      <c r="M1214" s="1"/>
    </row>
    <row r="1215" spans="1:13" ht="13.8">
      <c r="A1215" s="1"/>
      <c r="B1215" s="1"/>
      <c r="C1215" s="1"/>
      <c r="D1215" s="1"/>
      <c r="E1215" s="1"/>
      <c r="F1215" s="1"/>
      <c r="G1215" s="1"/>
      <c r="K1215" s="1"/>
      <c r="L1215" s="1"/>
      <c r="M1215" s="1"/>
    </row>
    <row r="1216" spans="1:13" ht="13.8">
      <c r="A1216" s="1"/>
      <c r="B1216" s="1"/>
      <c r="C1216" s="1"/>
      <c r="D1216" s="1"/>
      <c r="E1216" s="1"/>
      <c r="F1216" s="1"/>
      <c r="G1216" s="1"/>
      <c r="K1216" s="1"/>
      <c r="L1216" s="1"/>
      <c r="M1216" s="1"/>
    </row>
    <row r="1217" spans="1:13" ht="13.8">
      <c r="A1217" s="1"/>
      <c r="B1217" s="1"/>
      <c r="C1217" s="1"/>
      <c r="D1217" s="1"/>
      <c r="E1217" s="1"/>
      <c r="F1217" s="1"/>
      <c r="G1217" s="1"/>
      <c r="K1217" s="1"/>
      <c r="L1217" s="1"/>
      <c r="M1217" s="1"/>
    </row>
    <row r="1218" spans="1:13" ht="13.8">
      <c r="A1218" s="1"/>
      <c r="B1218" s="1"/>
      <c r="C1218" s="1"/>
      <c r="D1218" s="1"/>
      <c r="E1218" s="1"/>
      <c r="F1218" s="1"/>
      <c r="G1218" s="1"/>
      <c r="K1218" s="1"/>
      <c r="L1218" s="1"/>
      <c r="M1218" s="1"/>
    </row>
    <row r="1219" spans="1:13" ht="13.8">
      <c r="A1219" s="1"/>
      <c r="B1219" s="1"/>
      <c r="C1219" s="1"/>
      <c r="D1219" s="1"/>
      <c r="E1219" s="1"/>
      <c r="F1219" s="1"/>
      <c r="G1219" s="1"/>
      <c r="K1219" s="1"/>
      <c r="L1219" s="1"/>
      <c r="M1219" s="1"/>
    </row>
    <row r="1220" spans="1:13" ht="13.8">
      <c r="A1220" s="1"/>
      <c r="B1220" s="1"/>
      <c r="C1220" s="1"/>
      <c r="D1220" s="1"/>
      <c r="E1220" s="1"/>
      <c r="F1220" s="1"/>
      <c r="G1220" s="1"/>
      <c r="K1220" s="1"/>
      <c r="L1220" s="1"/>
      <c r="M1220" s="1"/>
    </row>
    <row r="1221" spans="1:13" ht="13.8">
      <c r="A1221" s="1"/>
      <c r="B1221" s="1"/>
      <c r="C1221" s="1"/>
      <c r="D1221" s="1"/>
      <c r="E1221" s="1"/>
      <c r="F1221" s="1"/>
      <c r="G1221" s="1"/>
      <c r="K1221" s="1"/>
      <c r="L1221" s="1"/>
      <c r="M1221" s="1"/>
    </row>
    <row r="1222" spans="1:13" ht="13.8">
      <c r="A1222" s="1"/>
      <c r="B1222" s="1"/>
      <c r="C1222" s="1"/>
      <c r="D1222" s="1"/>
      <c r="E1222" s="1"/>
      <c r="F1222" s="1"/>
      <c r="G1222" s="1"/>
      <c r="K1222" s="1"/>
      <c r="L1222" s="1"/>
      <c r="M1222" s="1"/>
    </row>
    <row r="1223" spans="1:13" ht="13.8">
      <c r="A1223" s="1"/>
      <c r="B1223" s="1"/>
      <c r="C1223" s="1"/>
      <c r="D1223" s="1"/>
      <c r="E1223" s="1"/>
      <c r="F1223" s="1"/>
      <c r="G1223" s="1"/>
      <c r="K1223" s="1"/>
      <c r="L1223" s="1"/>
      <c r="M1223" s="1"/>
    </row>
    <row r="1224" spans="1:13" ht="13.8">
      <c r="A1224" s="1"/>
      <c r="B1224" s="1"/>
      <c r="C1224" s="1"/>
      <c r="D1224" s="1"/>
      <c r="E1224" s="1"/>
      <c r="F1224" s="1"/>
      <c r="G1224" s="1"/>
      <c r="K1224" s="1"/>
      <c r="L1224" s="1"/>
      <c r="M1224" s="1"/>
    </row>
    <row r="1225" spans="1:13" ht="13.8">
      <c r="A1225" s="1"/>
      <c r="B1225" s="1"/>
      <c r="C1225" s="1"/>
      <c r="D1225" s="1"/>
      <c r="E1225" s="1"/>
      <c r="F1225" s="1"/>
      <c r="G1225" s="1"/>
      <c r="K1225" s="1"/>
      <c r="L1225" s="1"/>
      <c r="M1225" s="1"/>
    </row>
    <row r="1226" spans="1:13" ht="13.8">
      <c r="A1226" s="1"/>
      <c r="B1226" s="1"/>
      <c r="C1226" s="1"/>
      <c r="D1226" s="1"/>
      <c r="E1226" s="1"/>
      <c r="F1226" s="1"/>
      <c r="G1226" s="1"/>
      <c r="K1226" s="1"/>
      <c r="L1226" s="1"/>
      <c r="M1226" s="1"/>
    </row>
    <row r="1227" spans="1:13" ht="13.8">
      <c r="A1227" s="1"/>
      <c r="B1227" s="1"/>
      <c r="C1227" s="1"/>
      <c r="D1227" s="1"/>
      <c r="E1227" s="1"/>
      <c r="F1227" s="1"/>
      <c r="G1227" s="1"/>
      <c r="K1227" s="1"/>
      <c r="L1227" s="1"/>
      <c r="M1227" s="1"/>
    </row>
    <row r="1228" spans="1:13" ht="13.8">
      <c r="A1228" s="1"/>
      <c r="B1228" s="1"/>
      <c r="C1228" s="1"/>
      <c r="D1228" s="1"/>
      <c r="E1228" s="1"/>
      <c r="F1228" s="1"/>
      <c r="G1228" s="1"/>
      <c r="K1228" s="1"/>
      <c r="L1228" s="1"/>
      <c r="M1228" s="1"/>
    </row>
    <row r="1229" spans="1:13" ht="13.8">
      <c r="A1229" s="1"/>
      <c r="B1229" s="1"/>
      <c r="C1229" s="1"/>
      <c r="D1229" s="1"/>
      <c r="E1229" s="1"/>
      <c r="F1229" s="1"/>
      <c r="G1229" s="1"/>
      <c r="K1229" s="1"/>
      <c r="L1229" s="1"/>
      <c r="M1229" s="1"/>
    </row>
    <row r="1230" spans="1:13" ht="13.8">
      <c r="A1230" s="1"/>
      <c r="B1230" s="1"/>
      <c r="C1230" s="1"/>
      <c r="D1230" s="1"/>
      <c r="E1230" s="1"/>
      <c r="F1230" s="1"/>
      <c r="G1230" s="1"/>
      <c r="K1230" s="1"/>
      <c r="L1230" s="1"/>
      <c r="M1230" s="1"/>
    </row>
    <row r="1231" spans="1:13" ht="13.8">
      <c r="A1231" s="1"/>
      <c r="B1231" s="1"/>
      <c r="C1231" s="1"/>
      <c r="D1231" s="1"/>
      <c r="E1231" s="1"/>
      <c r="F1231" s="1"/>
      <c r="G1231" s="1"/>
      <c r="K1231" s="1"/>
      <c r="L1231" s="1"/>
      <c r="M1231" s="1"/>
    </row>
    <row r="1232" spans="1:13" ht="13.8">
      <c r="A1232" s="1"/>
      <c r="B1232" s="1"/>
      <c r="C1232" s="1"/>
      <c r="D1232" s="1"/>
      <c r="E1232" s="1"/>
      <c r="F1232" s="1"/>
      <c r="G1232" s="1"/>
      <c r="K1232" s="1"/>
      <c r="L1232" s="1"/>
      <c r="M1232" s="1"/>
    </row>
    <row r="1233" spans="1:13" ht="13.8">
      <c r="A1233" s="1"/>
      <c r="B1233" s="1"/>
      <c r="C1233" s="1"/>
      <c r="D1233" s="1"/>
      <c r="E1233" s="1"/>
      <c r="F1233" s="1"/>
      <c r="G1233" s="1"/>
      <c r="K1233" s="1"/>
      <c r="L1233" s="1"/>
      <c r="M1233" s="1"/>
    </row>
    <row r="1234" spans="1:13" ht="13.8">
      <c r="A1234" s="1"/>
      <c r="B1234" s="1"/>
      <c r="C1234" s="1"/>
      <c r="D1234" s="1"/>
      <c r="E1234" s="1"/>
      <c r="F1234" s="1"/>
      <c r="G1234" s="1"/>
      <c r="K1234" s="1"/>
      <c r="L1234" s="1"/>
      <c r="M1234" s="1"/>
    </row>
    <row r="1235" spans="1:13" ht="13.8">
      <c r="A1235" s="1"/>
      <c r="B1235" s="1"/>
      <c r="C1235" s="1"/>
      <c r="D1235" s="1"/>
      <c r="E1235" s="1"/>
      <c r="F1235" s="1"/>
      <c r="G1235" s="1"/>
      <c r="K1235" s="1"/>
      <c r="L1235" s="1"/>
      <c r="M1235" s="1"/>
    </row>
    <row r="1236" spans="1:13" ht="13.8">
      <c r="A1236" s="1"/>
      <c r="B1236" s="1"/>
      <c r="C1236" s="1"/>
      <c r="D1236" s="1"/>
      <c r="E1236" s="1"/>
      <c r="F1236" s="1"/>
      <c r="G1236" s="1"/>
      <c r="K1236" s="1"/>
      <c r="L1236" s="1"/>
      <c r="M1236" s="1"/>
    </row>
    <row r="1237" spans="1:13" ht="13.8">
      <c r="A1237" s="1"/>
      <c r="B1237" s="1"/>
      <c r="C1237" s="1"/>
      <c r="D1237" s="1"/>
      <c r="E1237" s="1"/>
      <c r="F1237" s="1"/>
      <c r="G1237" s="1"/>
      <c r="K1237" s="1"/>
      <c r="L1237" s="1"/>
      <c r="M1237" s="1"/>
    </row>
    <row r="1238" spans="1:13" ht="13.8">
      <c r="A1238" s="1"/>
      <c r="B1238" s="1"/>
      <c r="C1238" s="1"/>
      <c r="D1238" s="1"/>
      <c r="E1238" s="1"/>
      <c r="F1238" s="1"/>
      <c r="G1238" s="1"/>
      <c r="K1238" s="1"/>
      <c r="L1238" s="1"/>
      <c r="M1238" s="1"/>
    </row>
    <row r="1239" spans="1:13" ht="13.8">
      <c r="A1239" s="1"/>
      <c r="B1239" s="1"/>
      <c r="C1239" s="1"/>
      <c r="D1239" s="1"/>
      <c r="E1239" s="1"/>
      <c r="F1239" s="1"/>
      <c r="G1239" s="1"/>
      <c r="K1239" s="1"/>
      <c r="L1239" s="1"/>
      <c r="M1239" s="1"/>
    </row>
    <row r="1240" spans="1:13" ht="13.8">
      <c r="A1240" s="1"/>
      <c r="B1240" s="1"/>
      <c r="C1240" s="1"/>
      <c r="D1240" s="1"/>
      <c r="E1240" s="1"/>
      <c r="F1240" s="1"/>
      <c r="G1240" s="1"/>
      <c r="K1240" s="1"/>
      <c r="L1240" s="1"/>
      <c r="M1240" s="1"/>
    </row>
    <row r="1241" spans="1:13" ht="13.8">
      <c r="A1241" s="1"/>
      <c r="B1241" s="1"/>
      <c r="C1241" s="1"/>
      <c r="D1241" s="1"/>
      <c r="E1241" s="1"/>
      <c r="F1241" s="1"/>
      <c r="G1241" s="1"/>
      <c r="K1241" s="1"/>
      <c r="L1241" s="1"/>
      <c r="M1241" s="1"/>
    </row>
    <row r="1242" spans="1:13" ht="13.8">
      <c r="A1242" s="1"/>
      <c r="B1242" s="1"/>
      <c r="C1242" s="1"/>
      <c r="D1242" s="1"/>
      <c r="E1242" s="1"/>
      <c r="F1242" s="1"/>
      <c r="G1242" s="1"/>
      <c r="K1242" s="1"/>
      <c r="L1242" s="1"/>
      <c r="M1242" s="1"/>
    </row>
    <row r="1243" spans="1:13" ht="13.8">
      <c r="A1243" s="1"/>
      <c r="B1243" s="1"/>
      <c r="C1243" s="1"/>
      <c r="D1243" s="1"/>
      <c r="E1243" s="1"/>
      <c r="F1243" s="1"/>
      <c r="G1243" s="1"/>
      <c r="K1243" s="1"/>
      <c r="L1243" s="1"/>
      <c r="M1243" s="1"/>
    </row>
    <row r="1244" spans="1:13" ht="13.8">
      <c r="A1244" s="1"/>
      <c r="B1244" s="1"/>
      <c r="C1244" s="1"/>
      <c r="D1244" s="1"/>
      <c r="E1244" s="1"/>
      <c r="F1244" s="1"/>
      <c r="G1244" s="1"/>
      <c r="K1244" s="1"/>
      <c r="L1244" s="1"/>
      <c r="M1244" s="1"/>
    </row>
    <row r="1245" spans="1:13" ht="13.8">
      <c r="A1245" s="1"/>
      <c r="B1245" s="1"/>
      <c r="C1245" s="1"/>
      <c r="D1245" s="1"/>
      <c r="E1245" s="1"/>
      <c r="F1245" s="1"/>
      <c r="G1245" s="1"/>
      <c r="K1245" s="1"/>
      <c r="L1245" s="1"/>
      <c r="M1245" s="1"/>
    </row>
    <row r="1246" spans="1:13" ht="13.8">
      <c r="A1246" s="1"/>
      <c r="B1246" s="1"/>
      <c r="C1246" s="1"/>
      <c r="D1246" s="1"/>
      <c r="E1246" s="1"/>
      <c r="F1246" s="1"/>
      <c r="G1246" s="1"/>
      <c r="K1246" s="1"/>
      <c r="L1246" s="1"/>
      <c r="M1246" s="1"/>
    </row>
    <row r="1247" spans="1:13" ht="13.8">
      <c r="A1247" s="1"/>
      <c r="B1247" s="1"/>
      <c r="C1247" s="1"/>
      <c r="D1247" s="1"/>
      <c r="E1247" s="1"/>
      <c r="F1247" s="1"/>
      <c r="G1247" s="1"/>
      <c r="K1247" s="1"/>
      <c r="L1247" s="1"/>
      <c r="M1247" s="1"/>
    </row>
    <row r="1248" spans="1:13" ht="13.8">
      <c r="A1248" s="1"/>
      <c r="B1248" s="1"/>
      <c r="C1248" s="1"/>
      <c r="D1248" s="1"/>
      <c r="E1248" s="1"/>
      <c r="F1248" s="1"/>
      <c r="G1248" s="1"/>
      <c r="K1248" s="1"/>
      <c r="L1248" s="1"/>
      <c r="M1248" s="1"/>
    </row>
    <row r="1249" spans="1:13" ht="13.8">
      <c r="A1249" s="1"/>
      <c r="B1249" s="1"/>
      <c r="C1249" s="1"/>
      <c r="D1249" s="1"/>
      <c r="E1249" s="1"/>
      <c r="F1249" s="1"/>
      <c r="G1249" s="1"/>
      <c r="K1249" s="1"/>
      <c r="L1249" s="1"/>
      <c r="M1249" s="1"/>
    </row>
    <row r="1250" spans="1:13" ht="13.8">
      <c r="A1250" s="1"/>
      <c r="B1250" s="1"/>
      <c r="C1250" s="1"/>
      <c r="D1250" s="1"/>
      <c r="E1250" s="1"/>
      <c r="F1250" s="1"/>
      <c r="G1250" s="1"/>
      <c r="K1250" s="1"/>
      <c r="L1250" s="1"/>
      <c r="M1250" s="1"/>
    </row>
    <row r="1251" spans="1:13" ht="13.8">
      <c r="A1251" s="1"/>
      <c r="B1251" s="1"/>
      <c r="C1251" s="1"/>
      <c r="D1251" s="1"/>
      <c r="E1251" s="1"/>
      <c r="F1251" s="1"/>
      <c r="G1251" s="1"/>
      <c r="K1251" s="1"/>
      <c r="L1251" s="1"/>
      <c r="M1251" s="1"/>
    </row>
    <row r="1252" spans="1:13" ht="13.8">
      <c r="A1252" s="1"/>
      <c r="B1252" s="1"/>
      <c r="C1252" s="1"/>
      <c r="D1252" s="1"/>
      <c r="E1252" s="1"/>
      <c r="F1252" s="1"/>
      <c r="G1252" s="1"/>
      <c r="K1252" s="1"/>
      <c r="L1252" s="1"/>
      <c r="M1252" s="1"/>
    </row>
    <row r="1253" spans="1:13" ht="13.8">
      <c r="A1253" s="1"/>
      <c r="B1253" s="1"/>
      <c r="C1253" s="1"/>
      <c r="D1253" s="1"/>
      <c r="E1253" s="1"/>
      <c r="F1253" s="1"/>
      <c r="G1253" s="1"/>
      <c r="K1253" s="1"/>
      <c r="L1253" s="1"/>
      <c r="M1253" s="1"/>
    </row>
    <row r="1254" spans="1:13" ht="13.8">
      <c r="A1254" s="1"/>
      <c r="B1254" s="1"/>
      <c r="C1254" s="1"/>
      <c r="D1254" s="1"/>
      <c r="E1254" s="1"/>
      <c r="F1254" s="1"/>
      <c r="G1254" s="1"/>
      <c r="K1254" s="1"/>
      <c r="L1254" s="1"/>
      <c r="M1254" s="1"/>
    </row>
    <row r="1255" spans="1:13" ht="13.8">
      <c r="A1255" s="1"/>
      <c r="B1255" s="1"/>
      <c r="C1255" s="1"/>
      <c r="D1255" s="1"/>
      <c r="E1255" s="1"/>
      <c r="F1255" s="1"/>
      <c r="G1255" s="1"/>
      <c r="K1255" s="1"/>
      <c r="L1255" s="1"/>
      <c r="M1255" s="1"/>
    </row>
    <row r="1256" spans="1:13" ht="13.8">
      <c r="A1256" s="1"/>
      <c r="B1256" s="1"/>
      <c r="C1256" s="1"/>
      <c r="D1256" s="1"/>
      <c r="E1256" s="1"/>
      <c r="F1256" s="1"/>
      <c r="G1256" s="1"/>
      <c r="K1256" s="1"/>
      <c r="L1256" s="1"/>
      <c r="M1256" s="1"/>
    </row>
    <row r="1257" spans="1:13" ht="13.8">
      <c r="A1257" s="1"/>
      <c r="B1257" s="1"/>
      <c r="C1257" s="1"/>
      <c r="D1257" s="1"/>
      <c r="E1257" s="1"/>
      <c r="F1257" s="1"/>
      <c r="G1257" s="1"/>
      <c r="K1257" s="1"/>
      <c r="L1257" s="1"/>
      <c r="M1257" s="1"/>
    </row>
    <row r="1258" spans="1:13" ht="13.8">
      <c r="A1258" s="1"/>
      <c r="B1258" s="1"/>
      <c r="C1258" s="1"/>
      <c r="D1258" s="1"/>
      <c r="E1258" s="1"/>
      <c r="F1258" s="1"/>
      <c r="G1258" s="1"/>
      <c r="K1258" s="1"/>
      <c r="L1258" s="1"/>
      <c r="M1258" s="1"/>
    </row>
    <row r="1259" spans="1:13" ht="13.8">
      <c r="A1259" s="1"/>
      <c r="B1259" s="1"/>
      <c r="C1259" s="1"/>
      <c r="D1259" s="1"/>
      <c r="E1259" s="1"/>
      <c r="F1259" s="1"/>
      <c r="G1259" s="1"/>
      <c r="K1259" s="1"/>
      <c r="L1259" s="1"/>
      <c r="M1259" s="1"/>
    </row>
    <row r="1260" spans="1:13" ht="13.8">
      <c r="A1260" s="1"/>
      <c r="B1260" s="1"/>
      <c r="C1260" s="1"/>
      <c r="D1260" s="1"/>
      <c r="E1260" s="1"/>
      <c r="F1260" s="1"/>
      <c r="G1260" s="1"/>
      <c r="K1260" s="1"/>
      <c r="L1260" s="1"/>
      <c r="M1260" s="1"/>
    </row>
    <row r="1261" spans="1:13" ht="13.8">
      <c r="A1261" s="1"/>
      <c r="B1261" s="1"/>
      <c r="C1261" s="1"/>
      <c r="D1261" s="1"/>
      <c r="E1261" s="1"/>
      <c r="F1261" s="1"/>
      <c r="G1261" s="1"/>
      <c r="K1261" s="1"/>
      <c r="L1261" s="1"/>
      <c r="M1261" s="1"/>
    </row>
    <row r="1262" spans="1:13" ht="13.8">
      <c r="A1262" s="1"/>
      <c r="B1262" s="1"/>
      <c r="C1262" s="1"/>
      <c r="D1262" s="1"/>
      <c r="E1262" s="1"/>
      <c r="F1262" s="1"/>
      <c r="G1262" s="1"/>
      <c r="K1262" s="1"/>
      <c r="L1262" s="1"/>
      <c r="M1262" s="1"/>
    </row>
    <row r="1263" spans="1:13" ht="13.8">
      <c r="A1263" s="1"/>
      <c r="B1263" s="1"/>
      <c r="C1263" s="1"/>
      <c r="D1263" s="1"/>
      <c r="E1263" s="1"/>
      <c r="F1263" s="1"/>
      <c r="G1263" s="1"/>
      <c r="K1263" s="1"/>
      <c r="L1263" s="1"/>
      <c r="M1263" s="1"/>
    </row>
    <row r="1264" spans="1:13" ht="13.8">
      <c r="A1264" s="1"/>
      <c r="B1264" s="1"/>
      <c r="C1264" s="1"/>
      <c r="D1264" s="1"/>
      <c r="E1264" s="1"/>
      <c r="F1264" s="1"/>
      <c r="G1264" s="1"/>
      <c r="K1264" s="1"/>
      <c r="L1264" s="1"/>
      <c r="M1264" s="1"/>
    </row>
    <row r="1265" spans="1:13" ht="13.8">
      <c r="A1265" s="1"/>
      <c r="B1265" s="1"/>
      <c r="C1265" s="1"/>
      <c r="D1265" s="1"/>
      <c r="E1265" s="1"/>
      <c r="F1265" s="1"/>
      <c r="G1265" s="1"/>
      <c r="K1265" s="1"/>
      <c r="L1265" s="1"/>
      <c r="M1265" s="1"/>
    </row>
    <row r="1266" spans="1:13" ht="13.8">
      <c r="A1266" s="1"/>
      <c r="B1266" s="1"/>
      <c r="C1266" s="1"/>
      <c r="D1266" s="1"/>
      <c r="E1266" s="1"/>
      <c r="F1266" s="1"/>
      <c r="G1266" s="1"/>
      <c r="K1266" s="1"/>
      <c r="L1266" s="1"/>
      <c r="M1266" s="1"/>
    </row>
    <row r="1267" spans="1:13" ht="13.8">
      <c r="A1267" s="1"/>
      <c r="B1267" s="1"/>
      <c r="C1267" s="1"/>
      <c r="D1267" s="1"/>
      <c r="E1267" s="1"/>
      <c r="F1267" s="1"/>
      <c r="G1267" s="1"/>
      <c r="K1267" s="1"/>
      <c r="L1267" s="1"/>
      <c r="M1267" s="1"/>
    </row>
    <row r="1268" spans="1:13" ht="13.8">
      <c r="A1268" s="1"/>
      <c r="B1268" s="1"/>
      <c r="C1268" s="1"/>
      <c r="D1268" s="1"/>
      <c r="E1268" s="1"/>
      <c r="F1268" s="1"/>
      <c r="G1268" s="1"/>
      <c r="K1268" s="1"/>
      <c r="L1268" s="1"/>
      <c r="M1268" s="1"/>
    </row>
    <row r="1269" spans="1:13" ht="13.8">
      <c r="A1269" s="1"/>
      <c r="B1269" s="1"/>
      <c r="C1269" s="1"/>
      <c r="D1269" s="1"/>
      <c r="E1269" s="1"/>
      <c r="F1269" s="1"/>
      <c r="G1269" s="1"/>
      <c r="K1269" s="1"/>
      <c r="L1269" s="1"/>
      <c r="M1269" s="1"/>
    </row>
    <row r="1270" spans="1:13" ht="13.8">
      <c r="A1270" s="1"/>
      <c r="B1270" s="1"/>
      <c r="C1270" s="1"/>
      <c r="D1270" s="1"/>
      <c r="E1270" s="1"/>
      <c r="F1270" s="1"/>
      <c r="G1270" s="1"/>
      <c r="K1270" s="1"/>
      <c r="L1270" s="1"/>
      <c r="M1270" s="1"/>
    </row>
    <row r="1271" spans="1:13" ht="13.8">
      <c r="A1271" s="1"/>
      <c r="B1271" s="1"/>
      <c r="C1271" s="1"/>
      <c r="D1271" s="1"/>
      <c r="E1271" s="1"/>
      <c r="F1271" s="1"/>
      <c r="G1271" s="1"/>
      <c r="K1271" s="1"/>
      <c r="L1271" s="1"/>
      <c r="M1271" s="1"/>
    </row>
    <row r="1272" spans="1:13" ht="13.8">
      <c r="A1272" s="1"/>
      <c r="B1272" s="1"/>
      <c r="C1272" s="1"/>
      <c r="D1272" s="1"/>
      <c r="E1272" s="1"/>
      <c r="F1272" s="1"/>
      <c r="G1272" s="1"/>
      <c r="K1272" s="1"/>
      <c r="L1272" s="1"/>
      <c r="M1272" s="1"/>
    </row>
    <row r="1273" spans="1:13" ht="13.8">
      <c r="A1273" s="1"/>
      <c r="B1273" s="1"/>
      <c r="C1273" s="1"/>
      <c r="D1273" s="1"/>
      <c r="E1273" s="1"/>
      <c r="F1273" s="1"/>
      <c r="G1273" s="1"/>
      <c r="K1273" s="1"/>
      <c r="L1273" s="1"/>
      <c r="M1273" s="1"/>
    </row>
    <row r="1274" spans="1:13" ht="13.8">
      <c r="A1274" s="1"/>
      <c r="B1274" s="1"/>
      <c r="C1274" s="1"/>
      <c r="D1274" s="1"/>
      <c r="E1274" s="1"/>
      <c r="F1274" s="1"/>
      <c r="G1274" s="1"/>
      <c r="K1274" s="1"/>
      <c r="L1274" s="1"/>
      <c r="M1274" s="1"/>
    </row>
    <row r="1275" spans="1:13" ht="13.8">
      <c r="A1275" s="1"/>
      <c r="B1275" s="1"/>
      <c r="C1275" s="1"/>
      <c r="D1275" s="1"/>
      <c r="E1275" s="1"/>
      <c r="F1275" s="1"/>
      <c r="G1275" s="1"/>
      <c r="K1275" s="1"/>
      <c r="L1275" s="1"/>
      <c r="M1275" s="1"/>
    </row>
    <row r="1276" spans="1:13" ht="13.8">
      <c r="A1276" s="1"/>
      <c r="B1276" s="1"/>
      <c r="C1276" s="1"/>
      <c r="D1276" s="1"/>
      <c r="E1276" s="1"/>
      <c r="F1276" s="1"/>
      <c r="G1276" s="1"/>
      <c r="K1276" s="1"/>
      <c r="L1276" s="1"/>
      <c r="M1276" s="1"/>
    </row>
    <row r="1277" spans="1:13" ht="13.8">
      <c r="A1277" s="1"/>
      <c r="B1277" s="1"/>
      <c r="C1277" s="1"/>
      <c r="D1277" s="1"/>
      <c r="E1277" s="1"/>
      <c r="F1277" s="1"/>
      <c r="G1277" s="1"/>
      <c r="K1277" s="1"/>
      <c r="L1277" s="1"/>
      <c r="M1277" s="1"/>
    </row>
    <row r="1278" spans="1:13" ht="13.8">
      <c r="A1278" s="1"/>
      <c r="B1278" s="1"/>
      <c r="C1278" s="1"/>
      <c r="D1278" s="1"/>
      <c r="E1278" s="1"/>
      <c r="F1278" s="1"/>
      <c r="G1278" s="1"/>
      <c r="K1278" s="1"/>
      <c r="L1278" s="1"/>
      <c r="M1278" s="1"/>
    </row>
    <row r="1279" spans="1:13" ht="13.8">
      <c r="A1279" s="1"/>
      <c r="B1279" s="1"/>
      <c r="C1279" s="1"/>
      <c r="D1279" s="1"/>
      <c r="E1279" s="1"/>
      <c r="F1279" s="1"/>
      <c r="G1279" s="1"/>
      <c r="K1279" s="1"/>
      <c r="L1279" s="1"/>
      <c r="M1279" s="1"/>
    </row>
    <row r="1280" spans="1:13" ht="13.8">
      <c r="A1280" s="1"/>
      <c r="B1280" s="1"/>
      <c r="C1280" s="1"/>
      <c r="D1280" s="1"/>
      <c r="E1280" s="1"/>
      <c r="F1280" s="1"/>
      <c r="G1280" s="1"/>
      <c r="K1280" s="1"/>
      <c r="L1280" s="1"/>
      <c r="M1280" s="1"/>
    </row>
    <row r="1281" spans="1:13" ht="13.8">
      <c r="A1281" s="1"/>
      <c r="B1281" s="1"/>
      <c r="C1281" s="1"/>
      <c r="D1281" s="1"/>
      <c r="E1281" s="1"/>
      <c r="F1281" s="1"/>
      <c r="G1281" s="1"/>
      <c r="K1281" s="1"/>
      <c r="L1281" s="1"/>
      <c r="M1281" s="1"/>
    </row>
    <row r="1282" spans="1:13" ht="13.8">
      <c r="A1282" s="1"/>
      <c r="B1282" s="1"/>
      <c r="C1282" s="1"/>
      <c r="D1282" s="1"/>
      <c r="E1282" s="1"/>
      <c r="F1282" s="1"/>
      <c r="G1282" s="1"/>
      <c r="K1282" s="1"/>
      <c r="L1282" s="1"/>
      <c r="M1282" s="1"/>
    </row>
    <row r="1283" spans="1:13" ht="13.8">
      <c r="A1283" s="1"/>
      <c r="B1283" s="1"/>
      <c r="C1283" s="1"/>
      <c r="D1283" s="1"/>
      <c r="E1283" s="1"/>
      <c r="F1283" s="1"/>
      <c r="G1283" s="1"/>
      <c r="K1283" s="1"/>
      <c r="L1283" s="1"/>
      <c r="M1283" s="1"/>
    </row>
    <row r="1284" spans="1:13" ht="13.8">
      <c r="A1284" s="1"/>
      <c r="B1284" s="1"/>
      <c r="C1284" s="1"/>
      <c r="D1284" s="1"/>
      <c r="E1284" s="1"/>
      <c r="F1284" s="1"/>
      <c r="G1284" s="1"/>
      <c r="K1284" s="1"/>
      <c r="L1284" s="1"/>
      <c r="M1284" s="1"/>
    </row>
    <row r="1285" spans="1:13" ht="13.8">
      <c r="A1285" s="1"/>
      <c r="B1285" s="1"/>
      <c r="C1285" s="1"/>
      <c r="D1285" s="1"/>
      <c r="E1285" s="1"/>
      <c r="F1285" s="1"/>
      <c r="G1285" s="1"/>
      <c r="K1285" s="1"/>
      <c r="L1285" s="1"/>
      <c r="M1285" s="1"/>
    </row>
    <row r="1286" spans="1:13" ht="13.8">
      <c r="A1286" s="1"/>
      <c r="B1286" s="1"/>
      <c r="C1286" s="1"/>
      <c r="D1286" s="1"/>
      <c r="E1286" s="1"/>
      <c r="F1286" s="1"/>
      <c r="G1286" s="1"/>
      <c r="K1286" s="1"/>
      <c r="L1286" s="1"/>
      <c r="M1286" s="1"/>
    </row>
    <row r="1287" spans="1:13" ht="13.8">
      <c r="A1287" s="1"/>
      <c r="B1287" s="1"/>
      <c r="C1287" s="1"/>
      <c r="D1287" s="1"/>
      <c r="E1287" s="1"/>
      <c r="F1287" s="1"/>
      <c r="G1287" s="1"/>
      <c r="K1287" s="1"/>
      <c r="L1287" s="1"/>
      <c r="M1287" s="1"/>
    </row>
    <row r="1288" spans="1:13" ht="13.8">
      <c r="A1288" s="1"/>
      <c r="B1288" s="1"/>
      <c r="C1288" s="1"/>
      <c r="D1288" s="1"/>
      <c r="E1288" s="1"/>
      <c r="F1288" s="1"/>
      <c r="G1288" s="1"/>
      <c r="K1288" s="1"/>
      <c r="L1288" s="1"/>
      <c r="M1288" s="1"/>
    </row>
    <row r="1289" spans="1:13" ht="13.8">
      <c r="A1289" s="1"/>
      <c r="B1289" s="1"/>
      <c r="C1289" s="1"/>
      <c r="D1289" s="1"/>
      <c r="E1289" s="1"/>
      <c r="F1289" s="1"/>
      <c r="G1289" s="1"/>
      <c r="K1289" s="1"/>
      <c r="L1289" s="1"/>
      <c r="M1289" s="1"/>
    </row>
    <row r="1290" spans="1:13" ht="13.8">
      <c r="A1290" s="1"/>
      <c r="B1290" s="1"/>
      <c r="C1290" s="1"/>
      <c r="D1290" s="1"/>
      <c r="E1290" s="1"/>
      <c r="F1290" s="1"/>
      <c r="G1290" s="1"/>
      <c r="K1290" s="1"/>
      <c r="L1290" s="1"/>
      <c r="M1290" s="1"/>
    </row>
    <row r="1291" spans="1:13" ht="13.8">
      <c r="A1291" s="1"/>
      <c r="B1291" s="1"/>
      <c r="C1291" s="1"/>
      <c r="D1291" s="1"/>
      <c r="E1291" s="1"/>
      <c r="F1291" s="1"/>
      <c r="G1291" s="1"/>
      <c r="K1291" s="1"/>
      <c r="L1291" s="1"/>
      <c r="M1291" s="1"/>
    </row>
    <row r="1292" spans="1:13" ht="13.8">
      <c r="A1292" s="1"/>
      <c r="B1292" s="1"/>
      <c r="C1292" s="1"/>
      <c r="D1292" s="1"/>
      <c r="E1292" s="1"/>
      <c r="F1292" s="1"/>
      <c r="G1292" s="1"/>
      <c r="K1292" s="1"/>
      <c r="L1292" s="1"/>
      <c r="M1292" s="1"/>
    </row>
    <row r="1293" spans="1:13" ht="13.8">
      <c r="A1293" s="1"/>
      <c r="B1293" s="1"/>
      <c r="C1293" s="1"/>
      <c r="D1293" s="1"/>
      <c r="E1293" s="1"/>
      <c r="F1293" s="1"/>
      <c r="G1293" s="1"/>
      <c r="K1293" s="1"/>
      <c r="L1293" s="1"/>
      <c r="M1293" s="1"/>
    </row>
    <row r="1294" spans="1:13" ht="13.8">
      <c r="A1294" s="1"/>
      <c r="B1294" s="1"/>
      <c r="C1294" s="1"/>
      <c r="D1294" s="1"/>
      <c r="E1294" s="1"/>
      <c r="F1294" s="1"/>
      <c r="G1294" s="1"/>
      <c r="K1294" s="1"/>
      <c r="L1294" s="1"/>
      <c r="M1294" s="1"/>
    </row>
    <row r="1295" spans="1:13" ht="13.8">
      <c r="A1295" s="1"/>
      <c r="B1295" s="1"/>
      <c r="C1295" s="1"/>
      <c r="D1295" s="1"/>
      <c r="E1295" s="1"/>
      <c r="F1295" s="1"/>
      <c r="G1295" s="1"/>
      <c r="K1295" s="1"/>
      <c r="L1295" s="1"/>
      <c r="M1295" s="1"/>
    </row>
    <row r="1296" spans="1:13" ht="13.8">
      <c r="A1296" s="1"/>
      <c r="B1296" s="1"/>
      <c r="C1296" s="1"/>
      <c r="D1296" s="1"/>
      <c r="E1296" s="1"/>
      <c r="F1296" s="1"/>
      <c r="G1296" s="1"/>
      <c r="K1296" s="1"/>
      <c r="L1296" s="1"/>
      <c r="M1296" s="1"/>
    </row>
    <row r="1297" spans="1:13" ht="13.8">
      <c r="A1297" s="1"/>
      <c r="B1297" s="1"/>
      <c r="C1297" s="1"/>
      <c r="D1297" s="1"/>
      <c r="E1297" s="1"/>
      <c r="F1297" s="1"/>
      <c r="G1297" s="1"/>
      <c r="K1297" s="1"/>
      <c r="L1297" s="1"/>
      <c r="M1297" s="1"/>
    </row>
    <row r="1298" spans="1:13" ht="13.8">
      <c r="A1298" s="1"/>
      <c r="B1298" s="1"/>
      <c r="C1298" s="1"/>
      <c r="D1298" s="1"/>
      <c r="E1298" s="1"/>
      <c r="F1298" s="1"/>
      <c r="G1298" s="1"/>
      <c r="K1298" s="1"/>
      <c r="L1298" s="1"/>
      <c r="M1298" s="1"/>
    </row>
    <row r="1299" spans="1:13" ht="13.8">
      <c r="A1299" s="1"/>
      <c r="B1299" s="1"/>
      <c r="C1299" s="1"/>
      <c r="D1299" s="1"/>
      <c r="E1299" s="1"/>
      <c r="F1299" s="1"/>
      <c r="G1299" s="1"/>
      <c r="K1299" s="1"/>
      <c r="L1299" s="1"/>
      <c r="M1299" s="1"/>
    </row>
    <row r="1300" spans="1:13" ht="13.8">
      <c r="A1300" s="1"/>
      <c r="B1300" s="1"/>
      <c r="C1300" s="1"/>
      <c r="D1300" s="1"/>
      <c r="E1300" s="1"/>
      <c r="F1300" s="1"/>
      <c r="G1300" s="1"/>
      <c r="K1300" s="1"/>
      <c r="L1300" s="1"/>
      <c r="M1300" s="1"/>
    </row>
    <row r="1301" spans="1:13" ht="13.8">
      <c r="A1301" s="1"/>
      <c r="B1301" s="1"/>
      <c r="C1301" s="1"/>
      <c r="D1301" s="1"/>
      <c r="E1301" s="1"/>
      <c r="F1301" s="1"/>
      <c r="G1301" s="1"/>
      <c r="K1301" s="1"/>
      <c r="L1301" s="1"/>
      <c r="M1301" s="1"/>
    </row>
    <row r="1302" spans="1:13" ht="13.8">
      <c r="A1302" s="1"/>
      <c r="B1302" s="1"/>
      <c r="C1302" s="1"/>
      <c r="D1302" s="1"/>
      <c r="E1302" s="1"/>
      <c r="F1302" s="1"/>
      <c r="G1302" s="1"/>
      <c r="K1302" s="1"/>
      <c r="L1302" s="1"/>
      <c r="M1302" s="1"/>
    </row>
    <row r="1303" spans="1:13" ht="13.8">
      <c r="A1303" s="1"/>
      <c r="B1303" s="1"/>
      <c r="C1303" s="1"/>
      <c r="D1303" s="1"/>
      <c r="E1303" s="1"/>
      <c r="F1303" s="1"/>
      <c r="G1303" s="1"/>
      <c r="K1303" s="1"/>
      <c r="L1303" s="1"/>
      <c r="M1303" s="1"/>
    </row>
    <row r="1304" spans="1:13" ht="13.8">
      <c r="A1304" s="1"/>
      <c r="B1304" s="1"/>
      <c r="C1304" s="1"/>
      <c r="D1304" s="1"/>
      <c r="E1304" s="1"/>
      <c r="F1304" s="1"/>
      <c r="G1304" s="1"/>
      <c r="K1304" s="1"/>
      <c r="L1304" s="1"/>
      <c r="M1304" s="1"/>
    </row>
    <row r="1305" spans="1:13" ht="13.8">
      <c r="A1305" s="1"/>
      <c r="B1305" s="1"/>
      <c r="C1305" s="1"/>
      <c r="D1305" s="1"/>
      <c r="E1305" s="1"/>
      <c r="F1305" s="1"/>
      <c r="G1305" s="1"/>
      <c r="K1305" s="1"/>
      <c r="L1305" s="1"/>
      <c r="M1305" s="1"/>
    </row>
    <row r="1306" spans="1:13" ht="13.8">
      <c r="A1306" s="1"/>
      <c r="B1306" s="1"/>
      <c r="C1306" s="1"/>
      <c r="D1306" s="1"/>
      <c r="E1306" s="1"/>
      <c r="F1306" s="1"/>
      <c r="G1306" s="1"/>
      <c r="K1306" s="1"/>
      <c r="L1306" s="1"/>
      <c r="M1306" s="1"/>
    </row>
    <row r="1307" spans="1:13" ht="13.8">
      <c r="A1307" s="1"/>
      <c r="B1307" s="1"/>
      <c r="C1307" s="1"/>
      <c r="D1307" s="1"/>
      <c r="E1307" s="1"/>
      <c r="F1307" s="1"/>
      <c r="G1307" s="1"/>
      <c r="K1307" s="1"/>
      <c r="L1307" s="1"/>
      <c r="M1307" s="1"/>
    </row>
    <row r="1308" spans="1:13" ht="13.8">
      <c r="A1308" s="1"/>
      <c r="B1308" s="1"/>
      <c r="C1308" s="1"/>
      <c r="D1308" s="1"/>
      <c r="E1308" s="1"/>
      <c r="F1308" s="1"/>
      <c r="G1308" s="1"/>
      <c r="K1308" s="1"/>
      <c r="L1308" s="1"/>
      <c r="M1308" s="1"/>
    </row>
    <row r="1309" spans="1:13" ht="13.8">
      <c r="A1309" s="1"/>
      <c r="B1309" s="1"/>
      <c r="C1309" s="1"/>
      <c r="D1309" s="1"/>
      <c r="E1309" s="1"/>
      <c r="F1309" s="1"/>
      <c r="G1309" s="1"/>
      <c r="K1309" s="1"/>
      <c r="L1309" s="1"/>
      <c r="M1309" s="1"/>
    </row>
    <row r="1310" spans="1:13" ht="13.8">
      <c r="A1310" s="1"/>
      <c r="B1310" s="1"/>
      <c r="C1310" s="1"/>
      <c r="D1310" s="1"/>
      <c r="E1310" s="1"/>
      <c r="F1310" s="1"/>
      <c r="G1310" s="1"/>
      <c r="K1310" s="1"/>
      <c r="L1310" s="1"/>
      <c r="M1310" s="1"/>
    </row>
    <row r="1311" spans="1:13" ht="13.8">
      <c r="A1311" s="1"/>
      <c r="B1311" s="1"/>
      <c r="C1311" s="1"/>
      <c r="D1311" s="1"/>
      <c r="E1311" s="1"/>
      <c r="F1311" s="1"/>
      <c r="G1311" s="1"/>
      <c r="K1311" s="1"/>
      <c r="L1311" s="1"/>
      <c r="M1311" s="1"/>
    </row>
    <row r="1312" spans="1:13" ht="13.8">
      <c r="A1312" s="1"/>
      <c r="B1312" s="1"/>
      <c r="C1312" s="1"/>
      <c r="D1312" s="1"/>
      <c r="E1312" s="1"/>
      <c r="F1312" s="1"/>
      <c r="G1312" s="1"/>
      <c r="K1312" s="1"/>
      <c r="L1312" s="1"/>
      <c r="M1312" s="1"/>
    </row>
    <row r="1313" spans="1:13" ht="13.8">
      <c r="A1313" s="1"/>
      <c r="B1313" s="1"/>
      <c r="C1313" s="1"/>
      <c r="D1313" s="1"/>
      <c r="E1313" s="1"/>
      <c r="F1313" s="1"/>
      <c r="G1313" s="1"/>
      <c r="K1313" s="1"/>
      <c r="L1313" s="1"/>
      <c r="M1313" s="1"/>
    </row>
    <row r="1314" spans="1:13" ht="13.8">
      <c r="A1314" s="1"/>
      <c r="B1314" s="1"/>
      <c r="C1314" s="1"/>
      <c r="D1314" s="1"/>
      <c r="E1314" s="1"/>
      <c r="F1314" s="1"/>
      <c r="G1314" s="1"/>
      <c r="K1314" s="1"/>
      <c r="L1314" s="1"/>
      <c r="M1314" s="1"/>
    </row>
    <row r="1315" spans="1:13" ht="13.8">
      <c r="A1315" s="1"/>
      <c r="B1315" s="1"/>
      <c r="C1315" s="1"/>
      <c r="D1315" s="1"/>
      <c r="E1315" s="1"/>
      <c r="F1315" s="1"/>
      <c r="G1315" s="1"/>
      <c r="K1315" s="1"/>
      <c r="L1315" s="1"/>
      <c r="M1315" s="1"/>
    </row>
    <row r="1316" spans="1:13" ht="13.8">
      <c r="A1316" s="1"/>
      <c r="B1316" s="1"/>
      <c r="C1316" s="1"/>
      <c r="D1316" s="1"/>
      <c r="E1316" s="1"/>
      <c r="F1316" s="1"/>
      <c r="G1316" s="1"/>
      <c r="K1316" s="1"/>
      <c r="L1316" s="1"/>
      <c r="M1316" s="1"/>
    </row>
    <row r="1317" spans="1:13" ht="13.8">
      <c r="A1317" s="1"/>
      <c r="B1317" s="1"/>
      <c r="C1317" s="1"/>
      <c r="D1317" s="1"/>
      <c r="E1317" s="1"/>
      <c r="F1317" s="1"/>
      <c r="G1317" s="1"/>
      <c r="K1317" s="1"/>
      <c r="L1317" s="1"/>
      <c r="M1317" s="1"/>
    </row>
    <row r="1318" spans="1:13" ht="13.8">
      <c r="A1318" s="1"/>
      <c r="B1318" s="1"/>
      <c r="C1318" s="1"/>
      <c r="D1318" s="1"/>
      <c r="E1318" s="1"/>
      <c r="F1318" s="1"/>
      <c r="G1318" s="1"/>
      <c r="K1318" s="1"/>
      <c r="L1318" s="1"/>
      <c r="M1318" s="1"/>
    </row>
    <row r="1319" spans="1:13" ht="13.8">
      <c r="A1319" s="1"/>
      <c r="B1319" s="1"/>
      <c r="C1319" s="1"/>
      <c r="D1319" s="1"/>
      <c r="E1319" s="1"/>
      <c r="F1319" s="1"/>
      <c r="G1319" s="1"/>
      <c r="K1319" s="1"/>
      <c r="L1319" s="1"/>
      <c r="M1319" s="1"/>
    </row>
    <row r="1320" spans="1:13" ht="13.8">
      <c r="A1320" s="1"/>
      <c r="B1320" s="1"/>
      <c r="C1320" s="1"/>
      <c r="D1320" s="1"/>
      <c r="E1320" s="1"/>
      <c r="F1320" s="1"/>
      <c r="G1320" s="1"/>
      <c r="K1320" s="1"/>
      <c r="L1320" s="1"/>
      <c r="M1320" s="1"/>
    </row>
    <row r="1321" spans="1:13" ht="13.8">
      <c r="A1321" s="1"/>
      <c r="B1321" s="1"/>
      <c r="C1321" s="1"/>
      <c r="D1321" s="1"/>
      <c r="E1321" s="1"/>
      <c r="F1321" s="1"/>
      <c r="G1321" s="1"/>
      <c r="K1321" s="1"/>
      <c r="L1321" s="1"/>
      <c r="M1321" s="1"/>
    </row>
    <row r="1322" spans="1:13" ht="13.8">
      <c r="A1322" s="1"/>
      <c r="B1322" s="1"/>
      <c r="C1322" s="1"/>
      <c r="D1322" s="1"/>
      <c r="E1322" s="1"/>
      <c r="F1322" s="1"/>
      <c r="G1322" s="1"/>
      <c r="K1322" s="1"/>
      <c r="L1322" s="1"/>
      <c r="M1322" s="1"/>
    </row>
    <row r="1323" spans="1:13" ht="13.8">
      <c r="A1323" s="1"/>
      <c r="B1323" s="1"/>
      <c r="C1323" s="1"/>
      <c r="D1323" s="1"/>
      <c r="E1323" s="1"/>
      <c r="F1323" s="1"/>
      <c r="G1323" s="1"/>
      <c r="K1323" s="1"/>
      <c r="L1323" s="1"/>
      <c r="M1323" s="1"/>
    </row>
    <row r="1324" spans="1:13" ht="13.8">
      <c r="A1324" s="1"/>
      <c r="B1324" s="1"/>
      <c r="C1324" s="1"/>
      <c r="D1324" s="1"/>
      <c r="E1324" s="1"/>
      <c r="F1324" s="1"/>
      <c r="G1324" s="1"/>
      <c r="K1324" s="1"/>
      <c r="L1324" s="1"/>
      <c r="M1324" s="1"/>
    </row>
    <row r="1325" spans="1:13" ht="13.8">
      <c r="A1325" s="1"/>
      <c r="B1325" s="1"/>
      <c r="C1325" s="1"/>
      <c r="D1325" s="1"/>
      <c r="E1325" s="1"/>
      <c r="F1325" s="1"/>
      <c r="G1325" s="1"/>
      <c r="K1325" s="1"/>
      <c r="L1325" s="1"/>
      <c r="M1325" s="1"/>
    </row>
    <row r="1326" spans="1:13" ht="13.8">
      <c r="A1326" s="1"/>
      <c r="B1326" s="1"/>
      <c r="C1326" s="1"/>
      <c r="D1326" s="1"/>
      <c r="E1326" s="1"/>
      <c r="F1326" s="1"/>
      <c r="G1326" s="1"/>
      <c r="K1326" s="1"/>
      <c r="L1326" s="1"/>
      <c r="M1326" s="1"/>
    </row>
    <row r="1327" spans="1:13" ht="13.8">
      <c r="A1327" s="1"/>
      <c r="B1327" s="1"/>
      <c r="C1327" s="1"/>
      <c r="D1327" s="1"/>
      <c r="E1327" s="1"/>
      <c r="F1327" s="1"/>
      <c r="G1327" s="1"/>
      <c r="K1327" s="1"/>
      <c r="L1327" s="1"/>
      <c r="M1327" s="1"/>
    </row>
    <row r="1328" spans="1:13" ht="13.8">
      <c r="A1328" s="1"/>
      <c r="B1328" s="1"/>
      <c r="C1328" s="1"/>
      <c r="D1328" s="1"/>
      <c r="E1328" s="1"/>
      <c r="F1328" s="1"/>
      <c r="G1328" s="1"/>
      <c r="K1328" s="1"/>
      <c r="L1328" s="1"/>
      <c r="M1328" s="1"/>
    </row>
    <row r="1329" spans="1:13" ht="13.8">
      <c r="A1329" s="1"/>
      <c r="B1329" s="1"/>
      <c r="C1329" s="1"/>
      <c r="D1329" s="1"/>
      <c r="E1329" s="1"/>
      <c r="F1329" s="1"/>
      <c r="G1329" s="1"/>
      <c r="K1329" s="1"/>
      <c r="L1329" s="1"/>
      <c r="M1329" s="1"/>
    </row>
    <row r="1330" spans="1:13" ht="13.8">
      <c r="A1330" s="1"/>
      <c r="B1330" s="1"/>
      <c r="C1330" s="1"/>
      <c r="D1330" s="1"/>
      <c r="E1330" s="1"/>
      <c r="F1330" s="1"/>
      <c r="G1330" s="1"/>
      <c r="K1330" s="1"/>
      <c r="L1330" s="1"/>
      <c r="M1330" s="1"/>
    </row>
    <row r="1331" spans="1:13" ht="13.8">
      <c r="A1331" s="1"/>
      <c r="B1331" s="1"/>
      <c r="C1331" s="1"/>
      <c r="D1331" s="1"/>
      <c r="E1331" s="1"/>
      <c r="F1331" s="1"/>
      <c r="G1331" s="1"/>
      <c r="K1331" s="1"/>
      <c r="L1331" s="1"/>
      <c r="M1331" s="1"/>
    </row>
    <row r="1332" spans="1:13" ht="13.8">
      <c r="A1332" s="1"/>
      <c r="B1332" s="1"/>
      <c r="C1332" s="1"/>
      <c r="D1332" s="1"/>
      <c r="E1332" s="1"/>
      <c r="F1332" s="1"/>
      <c r="G1332" s="1"/>
      <c r="K1332" s="1"/>
      <c r="L1332" s="1"/>
      <c r="M1332" s="1"/>
    </row>
    <row r="1333" spans="1:13" ht="13.8">
      <c r="A1333" s="1"/>
      <c r="B1333" s="1"/>
      <c r="C1333" s="1"/>
      <c r="D1333" s="1"/>
      <c r="E1333" s="1"/>
      <c r="F1333" s="1"/>
      <c r="G1333" s="1"/>
      <c r="K1333" s="1"/>
      <c r="L1333" s="1"/>
      <c r="M1333" s="1"/>
    </row>
    <row r="1334" spans="1:13" ht="13.8">
      <c r="A1334" s="1"/>
      <c r="B1334" s="1"/>
      <c r="C1334" s="1"/>
      <c r="D1334" s="1"/>
      <c r="E1334" s="1"/>
      <c r="F1334" s="1"/>
      <c r="G1334" s="1"/>
      <c r="K1334" s="1"/>
      <c r="L1334" s="1"/>
      <c r="M1334" s="1"/>
    </row>
    <row r="1335" spans="1:13" ht="13.8">
      <c r="A1335" s="1"/>
      <c r="B1335" s="1"/>
      <c r="C1335" s="1"/>
      <c r="D1335" s="1"/>
      <c r="E1335" s="1"/>
      <c r="F1335" s="1"/>
      <c r="G1335" s="1"/>
      <c r="K1335" s="1"/>
      <c r="L1335" s="1"/>
      <c r="M1335" s="1"/>
    </row>
    <row r="1336" spans="1:13" ht="13.8">
      <c r="A1336" s="1"/>
      <c r="B1336" s="1"/>
      <c r="C1336" s="1"/>
      <c r="D1336" s="1"/>
      <c r="E1336" s="1"/>
      <c r="F1336" s="1"/>
      <c r="G1336" s="1"/>
      <c r="K1336" s="1"/>
      <c r="L1336" s="1"/>
      <c r="M1336" s="1"/>
    </row>
    <row r="1337" spans="1:13" ht="13.8">
      <c r="A1337" s="1"/>
      <c r="B1337" s="1"/>
      <c r="C1337" s="1"/>
      <c r="D1337" s="1"/>
      <c r="E1337" s="1"/>
      <c r="F1337" s="1"/>
      <c r="G1337" s="1"/>
      <c r="K1337" s="1"/>
      <c r="L1337" s="1"/>
      <c r="M1337" s="1"/>
    </row>
    <row r="1338" spans="1:13" ht="13.8">
      <c r="A1338" s="1"/>
      <c r="B1338" s="1"/>
      <c r="C1338" s="1"/>
      <c r="D1338" s="1"/>
      <c r="E1338" s="1"/>
      <c r="F1338" s="1"/>
      <c r="G1338" s="1"/>
      <c r="K1338" s="1"/>
      <c r="L1338" s="1"/>
      <c r="M1338" s="1"/>
    </row>
    <row r="1339" spans="1:13" ht="13.8">
      <c r="A1339" s="1"/>
      <c r="B1339" s="1"/>
      <c r="C1339" s="1"/>
      <c r="D1339" s="1"/>
      <c r="E1339" s="1"/>
      <c r="F1339" s="1"/>
      <c r="G1339" s="1"/>
      <c r="K1339" s="1"/>
      <c r="L1339" s="1"/>
      <c r="M1339" s="1"/>
    </row>
    <row r="1340" spans="1:13" ht="13.8">
      <c r="A1340" s="1"/>
      <c r="B1340" s="1"/>
      <c r="C1340" s="1"/>
      <c r="D1340" s="1"/>
      <c r="E1340" s="1"/>
      <c r="F1340" s="1"/>
      <c r="G1340" s="1"/>
      <c r="K1340" s="1"/>
      <c r="L1340" s="1"/>
      <c r="M1340" s="1"/>
    </row>
    <row r="1341" spans="1:13" ht="13.8">
      <c r="A1341" s="1"/>
      <c r="B1341" s="1"/>
      <c r="C1341" s="1"/>
      <c r="D1341" s="1"/>
      <c r="E1341" s="1"/>
      <c r="F1341" s="1"/>
      <c r="G1341" s="1"/>
      <c r="K1341" s="1"/>
      <c r="L1341" s="1"/>
      <c r="M1341" s="1"/>
    </row>
    <row r="1342" spans="1:13" ht="13.8">
      <c r="A1342" s="1"/>
      <c r="B1342" s="1"/>
      <c r="C1342" s="1"/>
      <c r="D1342" s="1"/>
      <c r="E1342" s="1"/>
      <c r="F1342" s="1"/>
      <c r="G1342" s="1"/>
      <c r="K1342" s="1"/>
      <c r="L1342" s="1"/>
      <c r="M1342" s="1"/>
    </row>
    <row r="1343" spans="1:13" ht="13.8">
      <c r="A1343" s="1"/>
      <c r="B1343" s="1"/>
      <c r="C1343" s="1"/>
      <c r="D1343" s="1"/>
      <c r="E1343" s="1"/>
      <c r="F1343" s="1"/>
      <c r="G1343" s="1"/>
      <c r="K1343" s="1"/>
      <c r="L1343" s="1"/>
      <c r="M1343" s="1"/>
    </row>
    <row r="1344" spans="1:13" ht="13.8">
      <c r="A1344" s="1"/>
      <c r="B1344" s="1"/>
      <c r="C1344" s="1"/>
      <c r="D1344" s="1"/>
      <c r="E1344" s="1"/>
      <c r="F1344" s="1"/>
      <c r="G1344" s="1"/>
      <c r="K1344" s="1"/>
      <c r="L1344" s="1"/>
      <c r="M1344" s="1"/>
    </row>
    <row r="1345" spans="1:13" ht="13.8">
      <c r="A1345" s="1"/>
      <c r="B1345" s="1"/>
      <c r="C1345" s="1"/>
      <c r="D1345" s="1"/>
      <c r="E1345" s="1"/>
      <c r="F1345" s="1"/>
      <c r="G1345" s="1"/>
      <c r="K1345" s="1"/>
      <c r="L1345" s="1"/>
      <c r="M1345" s="1"/>
    </row>
    <row r="1346" spans="1:13" ht="13.8">
      <c r="A1346" s="1"/>
      <c r="B1346" s="1"/>
      <c r="C1346" s="1"/>
      <c r="D1346" s="1"/>
      <c r="E1346" s="1"/>
      <c r="F1346" s="1"/>
      <c r="G1346" s="1"/>
      <c r="K1346" s="1"/>
      <c r="L1346" s="1"/>
      <c r="M1346" s="1"/>
    </row>
    <row r="1347" spans="1:13" ht="13.8">
      <c r="A1347" s="1"/>
      <c r="B1347" s="1"/>
      <c r="C1347" s="1"/>
      <c r="D1347" s="1"/>
      <c r="E1347" s="1"/>
      <c r="F1347" s="1"/>
      <c r="G1347" s="1"/>
      <c r="K1347" s="1"/>
      <c r="L1347" s="1"/>
      <c r="M1347" s="1"/>
    </row>
    <row r="1348" spans="1:13" ht="13.8">
      <c r="A1348" s="1"/>
      <c r="B1348" s="1"/>
      <c r="C1348" s="1"/>
      <c r="D1348" s="1"/>
      <c r="E1348" s="1"/>
      <c r="F1348" s="1"/>
      <c r="G1348" s="1"/>
      <c r="K1348" s="1"/>
      <c r="L1348" s="1"/>
      <c r="M1348" s="1"/>
    </row>
    <row r="1349" spans="1:13" ht="13.8">
      <c r="A1349" s="1"/>
      <c r="B1349" s="1"/>
      <c r="C1349" s="1"/>
      <c r="D1349" s="1"/>
      <c r="E1349" s="1"/>
      <c r="F1349" s="1"/>
      <c r="G1349" s="1"/>
      <c r="K1349" s="1"/>
      <c r="L1349" s="1"/>
      <c r="M1349" s="1"/>
    </row>
    <row r="1350" spans="1:13" ht="13.8">
      <c r="A1350" s="1"/>
      <c r="B1350" s="1"/>
      <c r="C1350" s="1"/>
      <c r="D1350" s="1"/>
      <c r="E1350" s="1"/>
      <c r="F1350" s="1"/>
      <c r="G1350" s="1"/>
      <c r="K1350" s="1"/>
      <c r="L1350" s="1"/>
      <c r="M1350" s="1"/>
    </row>
    <row r="1351" spans="1:13" ht="13.8">
      <c r="A1351" s="1"/>
      <c r="B1351" s="1"/>
      <c r="C1351" s="1"/>
      <c r="D1351" s="1"/>
      <c r="E1351" s="1"/>
      <c r="F1351" s="1"/>
      <c r="G1351" s="1"/>
      <c r="K1351" s="1"/>
      <c r="L1351" s="1"/>
      <c r="M1351" s="1"/>
    </row>
    <row r="1352" spans="1:13" ht="13.8">
      <c r="A1352" s="1"/>
      <c r="B1352" s="1"/>
      <c r="C1352" s="1"/>
      <c r="D1352" s="1"/>
      <c r="E1352" s="1"/>
      <c r="F1352" s="1"/>
      <c r="G1352" s="1"/>
      <c r="K1352" s="1"/>
      <c r="L1352" s="1"/>
      <c r="M1352" s="1"/>
    </row>
    <row r="1353" spans="1:13" ht="13.8">
      <c r="A1353" s="1"/>
      <c r="B1353" s="1"/>
      <c r="C1353" s="1"/>
      <c r="D1353" s="1"/>
      <c r="E1353" s="1"/>
      <c r="F1353" s="1"/>
      <c r="G1353" s="1"/>
      <c r="K1353" s="1"/>
      <c r="L1353" s="1"/>
      <c r="M1353" s="1"/>
    </row>
    <row r="1354" spans="1:13" ht="13.8">
      <c r="A1354" s="1"/>
      <c r="B1354" s="1"/>
      <c r="C1354" s="1"/>
      <c r="D1354" s="1"/>
      <c r="E1354" s="1"/>
      <c r="F1354" s="1"/>
      <c r="G1354" s="1"/>
      <c r="K1354" s="1"/>
      <c r="L1354" s="1"/>
      <c r="M1354" s="1"/>
    </row>
    <row r="1355" spans="1:13" ht="13.8">
      <c r="A1355" s="1"/>
      <c r="B1355" s="1"/>
      <c r="C1355" s="1"/>
      <c r="D1355" s="1"/>
      <c r="E1355" s="1"/>
      <c r="F1355" s="1"/>
      <c r="G1355" s="1"/>
      <c r="K1355" s="1"/>
      <c r="L1355" s="1"/>
      <c r="M1355" s="1"/>
    </row>
    <row r="1356" spans="1:13" ht="13.8">
      <c r="A1356" s="1"/>
      <c r="B1356" s="1"/>
      <c r="C1356" s="1"/>
      <c r="D1356" s="1"/>
      <c r="E1356" s="1"/>
      <c r="F1356" s="1"/>
      <c r="G1356" s="1"/>
      <c r="K1356" s="1"/>
      <c r="L1356" s="1"/>
      <c r="M1356" s="1"/>
    </row>
    <row r="1357" spans="1:13" ht="13.8">
      <c r="A1357" s="1"/>
      <c r="B1357" s="1"/>
      <c r="C1357" s="1"/>
      <c r="D1357" s="1"/>
      <c r="E1357" s="1"/>
      <c r="F1357" s="1"/>
      <c r="G1357" s="1"/>
      <c r="K1357" s="1"/>
      <c r="L1357" s="1"/>
      <c r="M1357" s="1"/>
    </row>
    <row r="1358" spans="1:13" ht="13.8">
      <c r="A1358" s="1"/>
      <c r="B1358" s="1"/>
      <c r="C1358" s="1"/>
      <c r="D1358" s="1"/>
      <c r="E1358" s="1"/>
      <c r="F1358" s="1"/>
      <c r="G1358" s="1"/>
      <c r="K1358" s="1"/>
      <c r="L1358" s="1"/>
      <c r="M1358" s="1"/>
    </row>
    <row r="1359" spans="1:13" ht="13.8">
      <c r="A1359" s="1"/>
      <c r="B1359" s="1"/>
      <c r="C1359" s="1"/>
      <c r="D1359" s="1"/>
      <c r="E1359" s="1"/>
      <c r="F1359" s="1"/>
      <c r="G1359" s="1"/>
      <c r="K1359" s="1"/>
      <c r="L1359" s="1"/>
      <c r="M1359" s="1"/>
    </row>
    <row r="1360" spans="1:13" ht="13.8">
      <c r="A1360" s="1"/>
      <c r="B1360" s="1"/>
      <c r="C1360" s="1"/>
      <c r="D1360" s="1"/>
      <c r="E1360" s="1"/>
      <c r="F1360" s="1"/>
      <c r="G1360" s="1"/>
      <c r="K1360" s="1"/>
      <c r="L1360" s="1"/>
      <c r="M1360" s="1"/>
    </row>
    <row r="1361" spans="1:13" ht="13.8">
      <c r="A1361" s="1"/>
      <c r="B1361" s="1"/>
      <c r="C1361" s="1"/>
      <c r="D1361" s="1"/>
      <c r="E1361" s="1"/>
      <c r="F1361" s="1"/>
      <c r="G1361" s="1"/>
      <c r="K1361" s="1"/>
      <c r="L1361" s="1"/>
      <c r="M1361" s="1"/>
    </row>
    <row r="1362" spans="1:13" ht="13.8">
      <c r="A1362" s="1"/>
      <c r="B1362" s="1"/>
      <c r="C1362" s="1"/>
      <c r="D1362" s="1"/>
      <c r="E1362" s="1"/>
      <c r="F1362" s="1"/>
      <c r="G1362" s="1"/>
      <c r="K1362" s="1"/>
      <c r="L1362" s="1"/>
      <c r="M1362" s="1"/>
    </row>
    <row r="1363" spans="1:13" ht="13.8">
      <c r="A1363" s="1"/>
      <c r="B1363" s="1"/>
      <c r="C1363" s="1"/>
      <c r="D1363" s="1"/>
      <c r="E1363" s="1"/>
      <c r="F1363" s="1"/>
      <c r="G1363" s="1"/>
      <c r="K1363" s="1"/>
      <c r="L1363" s="1"/>
      <c r="M1363" s="1"/>
    </row>
    <row r="1364" spans="1:13" ht="13.8">
      <c r="A1364" s="1"/>
      <c r="B1364" s="1"/>
      <c r="C1364" s="1"/>
      <c r="D1364" s="1"/>
      <c r="E1364" s="1"/>
      <c r="F1364" s="1"/>
      <c r="G1364" s="1"/>
      <c r="K1364" s="1"/>
      <c r="L1364" s="1"/>
      <c r="M1364" s="1"/>
    </row>
    <row r="1365" spans="1:13" ht="13.8">
      <c r="A1365" s="1"/>
      <c r="B1365" s="1"/>
      <c r="C1365" s="1"/>
      <c r="D1365" s="1"/>
      <c r="E1365" s="1"/>
      <c r="F1365" s="1"/>
      <c r="G1365" s="1"/>
      <c r="K1365" s="1"/>
      <c r="L1365" s="1"/>
      <c r="M1365" s="1"/>
    </row>
    <row r="1366" spans="1:13" ht="13.8">
      <c r="A1366" s="1"/>
      <c r="B1366" s="1"/>
      <c r="C1366" s="1"/>
      <c r="D1366" s="1"/>
      <c r="E1366" s="1"/>
      <c r="F1366" s="1"/>
      <c r="G1366" s="1"/>
      <c r="K1366" s="1"/>
      <c r="L1366" s="1"/>
      <c r="M1366" s="1"/>
    </row>
    <row r="1367" spans="1:13" ht="13.8">
      <c r="A1367" s="1"/>
      <c r="B1367" s="1"/>
      <c r="C1367" s="1"/>
      <c r="D1367" s="1"/>
      <c r="E1367" s="1"/>
      <c r="F1367" s="1"/>
      <c r="G1367" s="1"/>
      <c r="K1367" s="1"/>
      <c r="L1367" s="1"/>
      <c r="M1367" s="1"/>
    </row>
    <row r="1368" spans="1:13" ht="13.8">
      <c r="A1368" s="1"/>
      <c r="B1368" s="1"/>
      <c r="C1368" s="1"/>
      <c r="D1368" s="1"/>
      <c r="E1368" s="1"/>
      <c r="F1368" s="1"/>
      <c r="G1368" s="1"/>
      <c r="K1368" s="1"/>
      <c r="L1368" s="1"/>
      <c r="M1368" s="1"/>
    </row>
    <row r="1369" spans="1:13" ht="13.8">
      <c r="A1369" s="1"/>
      <c r="B1369" s="1"/>
      <c r="C1369" s="1"/>
      <c r="D1369" s="1"/>
      <c r="E1369" s="1"/>
      <c r="F1369" s="1"/>
      <c r="G1369" s="1"/>
      <c r="K1369" s="1"/>
      <c r="L1369" s="1"/>
      <c r="M1369" s="1"/>
    </row>
    <row r="1370" spans="1:13" ht="13.8">
      <c r="A1370" s="1"/>
      <c r="B1370" s="1"/>
      <c r="C1370" s="1"/>
      <c r="D1370" s="1"/>
      <c r="E1370" s="1"/>
      <c r="F1370" s="1"/>
      <c r="G1370" s="1"/>
      <c r="K1370" s="1"/>
      <c r="L1370" s="1"/>
      <c r="M1370" s="1"/>
    </row>
    <row r="1371" spans="1:13" ht="13.8">
      <c r="A1371" s="1"/>
      <c r="B1371" s="1"/>
      <c r="C1371" s="1"/>
      <c r="D1371" s="1"/>
      <c r="E1371" s="1"/>
      <c r="F1371" s="1"/>
      <c r="G1371" s="1"/>
      <c r="K1371" s="1"/>
      <c r="L1371" s="1"/>
      <c r="M1371" s="1"/>
    </row>
    <row r="1372" spans="1:13" ht="13.8">
      <c r="A1372" s="1"/>
      <c r="B1372" s="1"/>
      <c r="C1372" s="1"/>
      <c r="D1372" s="1"/>
      <c r="E1372" s="1"/>
      <c r="F1372" s="1"/>
      <c r="G1372" s="1"/>
      <c r="K1372" s="1"/>
      <c r="L1372" s="1"/>
      <c r="M1372" s="1"/>
    </row>
    <row r="1373" spans="1:13" ht="13.8">
      <c r="A1373" s="1"/>
      <c r="B1373" s="1"/>
      <c r="C1373" s="1"/>
      <c r="D1373" s="1"/>
      <c r="E1373" s="1"/>
      <c r="F1373" s="1"/>
      <c r="G1373" s="1"/>
      <c r="K1373" s="1"/>
      <c r="L1373" s="1"/>
      <c r="M1373" s="1"/>
    </row>
    <row r="1374" spans="1:13" ht="13.8">
      <c r="A1374" s="1"/>
      <c r="B1374" s="1"/>
      <c r="C1374" s="1"/>
      <c r="D1374" s="1"/>
      <c r="E1374" s="1"/>
      <c r="F1374" s="1"/>
      <c r="G1374" s="1"/>
      <c r="K1374" s="1"/>
      <c r="L1374" s="1"/>
      <c r="M1374" s="1"/>
    </row>
    <row r="1375" spans="1:13" ht="13.8">
      <c r="A1375" s="1"/>
      <c r="B1375" s="1"/>
      <c r="C1375" s="1"/>
      <c r="D1375" s="1"/>
      <c r="E1375" s="1"/>
      <c r="F1375" s="1"/>
      <c r="G1375" s="1"/>
      <c r="K1375" s="1"/>
      <c r="L1375" s="1"/>
      <c r="M1375" s="1"/>
    </row>
    <row r="1376" spans="1:13" ht="13.8">
      <c r="A1376" s="1"/>
      <c r="B1376" s="1"/>
      <c r="C1376" s="1"/>
      <c r="D1376" s="1"/>
      <c r="E1376" s="1"/>
      <c r="F1376" s="1"/>
      <c r="G1376" s="1"/>
      <c r="K1376" s="1"/>
      <c r="L1376" s="1"/>
      <c r="M1376" s="1"/>
    </row>
    <row r="1377" spans="1:13" ht="13.8">
      <c r="A1377" s="1"/>
      <c r="B1377" s="1"/>
      <c r="C1377" s="1"/>
      <c r="D1377" s="1"/>
      <c r="E1377" s="1"/>
      <c r="F1377" s="1"/>
      <c r="G1377" s="1"/>
      <c r="K1377" s="1"/>
      <c r="L1377" s="1"/>
      <c r="M1377" s="1"/>
    </row>
    <row r="1378" spans="1:13" ht="13.8">
      <c r="A1378" s="1"/>
      <c r="B1378" s="1"/>
      <c r="C1378" s="1"/>
      <c r="D1378" s="1"/>
      <c r="E1378" s="1"/>
      <c r="F1378" s="1"/>
      <c r="G1378" s="1"/>
      <c r="K1378" s="1"/>
      <c r="L1378" s="1"/>
      <c r="M1378" s="1"/>
    </row>
    <row r="1379" spans="1:13" ht="13.8">
      <c r="A1379" s="1"/>
      <c r="B1379" s="1"/>
      <c r="C1379" s="1"/>
      <c r="D1379" s="1"/>
      <c r="E1379" s="1"/>
      <c r="F1379" s="1"/>
      <c r="G1379" s="1"/>
      <c r="K1379" s="1"/>
      <c r="L1379" s="1"/>
      <c r="M1379" s="1"/>
    </row>
    <row r="1380" spans="1:13" ht="13.8">
      <c r="A1380" s="1"/>
      <c r="B1380" s="1"/>
      <c r="C1380" s="1"/>
      <c r="D1380" s="1"/>
      <c r="E1380" s="1"/>
      <c r="F1380" s="1"/>
      <c r="G1380" s="1"/>
      <c r="K1380" s="1"/>
      <c r="L1380" s="1"/>
      <c r="M1380" s="1"/>
    </row>
    <row r="1381" spans="1:13" ht="13.8">
      <c r="A1381" s="1"/>
      <c r="B1381" s="1"/>
      <c r="C1381" s="1"/>
      <c r="D1381" s="1"/>
      <c r="E1381" s="1"/>
      <c r="F1381" s="1"/>
      <c r="G1381" s="1"/>
      <c r="K1381" s="1"/>
      <c r="L1381" s="1"/>
      <c r="M1381" s="1"/>
    </row>
    <row r="1382" spans="1:13" ht="13.8">
      <c r="A1382" s="1"/>
      <c r="B1382" s="1"/>
      <c r="C1382" s="1"/>
      <c r="D1382" s="1"/>
      <c r="E1382" s="1"/>
      <c r="F1382" s="1"/>
      <c r="G1382" s="1"/>
      <c r="K1382" s="1"/>
      <c r="L1382" s="1"/>
      <c r="M1382" s="1"/>
    </row>
    <row r="1383" spans="1:13" ht="13.8">
      <c r="A1383" s="1"/>
      <c r="B1383" s="1"/>
      <c r="C1383" s="1"/>
      <c r="D1383" s="1"/>
      <c r="E1383" s="1"/>
      <c r="F1383" s="1"/>
      <c r="G1383" s="1"/>
      <c r="K1383" s="1"/>
      <c r="L1383" s="1"/>
      <c r="M1383" s="1"/>
    </row>
    <row r="1384" spans="1:13" ht="13.8">
      <c r="A1384" s="1"/>
      <c r="B1384" s="1"/>
      <c r="C1384" s="1"/>
      <c r="D1384" s="1"/>
      <c r="E1384" s="1"/>
      <c r="F1384" s="1"/>
      <c r="G1384" s="1"/>
      <c r="K1384" s="1"/>
      <c r="L1384" s="1"/>
      <c r="M1384" s="1"/>
    </row>
    <row r="1385" spans="1:13" ht="13.8">
      <c r="A1385" s="1"/>
      <c r="B1385" s="1"/>
      <c r="C1385" s="1"/>
      <c r="D1385" s="1"/>
      <c r="E1385" s="1"/>
      <c r="F1385" s="1"/>
      <c r="G1385" s="1"/>
      <c r="K1385" s="1"/>
      <c r="L1385" s="1"/>
      <c r="M1385" s="1"/>
    </row>
    <row r="1386" spans="1:13" ht="13.8">
      <c r="A1386" s="1"/>
      <c r="B1386" s="1"/>
      <c r="C1386" s="1"/>
      <c r="D1386" s="1"/>
      <c r="E1386" s="1"/>
      <c r="F1386" s="1"/>
      <c r="G1386" s="1"/>
      <c r="K1386" s="1"/>
      <c r="L1386" s="1"/>
      <c r="M1386" s="1"/>
    </row>
    <row r="1387" spans="1:13" ht="13.8">
      <c r="A1387" s="1"/>
      <c r="B1387" s="1"/>
      <c r="C1387" s="1"/>
      <c r="D1387" s="1"/>
      <c r="E1387" s="1"/>
      <c r="F1387" s="1"/>
      <c r="G1387" s="1"/>
      <c r="K1387" s="1"/>
      <c r="L1387" s="1"/>
      <c r="M1387" s="1"/>
    </row>
    <row r="1388" spans="1:13" ht="13.8">
      <c r="A1388" s="1"/>
      <c r="B1388" s="1"/>
      <c r="C1388" s="1"/>
      <c r="D1388" s="1"/>
      <c r="E1388" s="1"/>
      <c r="F1388" s="1"/>
      <c r="G1388" s="1"/>
      <c r="K1388" s="1"/>
      <c r="L1388" s="1"/>
      <c r="M1388" s="1"/>
    </row>
    <row r="1389" spans="1:13" ht="13.8">
      <c r="A1389" s="1"/>
      <c r="B1389" s="1"/>
      <c r="C1389" s="1"/>
      <c r="D1389" s="1"/>
      <c r="E1389" s="1"/>
      <c r="F1389" s="1"/>
      <c r="G1389" s="1"/>
      <c r="K1389" s="1"/>
      <c r="L1389" s="1"/>
      <c r="M1389" s="1"/>
    </row>
    <row r="1390" spans="1:13" ht="13.8">
      <c r="A1390" s="1"/>
      <c r="B1390" s="1"/>
      <c r="C1390" s="1"/>
      <c r="D1390" s="1"/>
      <c r="E1390" s="1"/>
      <c r="F1390" s="1"/>
      <c r="G1390" s="1"/>
      <c r="K1390" s="1"/>
      <c r="L1390" s="1"/>
      <c r="M1390" s="1"/>
    </row>
    <row r="1391" spans="1:13" ht="13.8">
      <c r="A1391" s="1"/>
      <c r="B1391" s="1"/>
      <c r="C1391" s="1"/>
      <c r="D1391" s="1"/>
      <c r="E1391" s="1"/>
      <c r="F1391" s="1"/>
      <c r="G1391" s="1"/>
      <c r="K1391" s="1"/>
      <c r="L1391" s="1"/>
      <c r="M1391" s="1"/>
    </row>
    <row r="1392" spans="1:13" ht="13.8">
      <c r="A1392" s="1"/>
      <c r="B1392" s="1"/>
      <c r="C1392" s="1"/>
      <c r="D1392" s="1"/>
      <c r="E1392" s="1"/>
      <c r="F1392" s="1"/>
      <c r="G1392" s="1"/>
      <c r="K1392" s="1"/>
      <c r="L1392" s="1"/>
      <c r="M1392" s="1"/>
    </row>
    <row r="1393" spans="1:13" ht="13.8">
      <c r="A1393" s="1"/>
      <c r="B1393" s="1"/>
      <c r="C1393" s="1"/>
      <c r="D1393" s="1"/>
      <c r="E1393" s="1"/>
      <c r="F1393" s="1"/>
      <c r="G1393" s="1"/>
      <c r="K1393" s="1"/>
      <c r="L1393" s="1"/>
      <c r="M1393" s="1"/>
    </row>
    <row r="1394" spans="1:13" ht="13.8">
      <c r="A1394" s="1"/>
      <c r="B1394" s="1"/>
      <c r="C1394" s="1"/>
      <c r="D1394" s="1"/>
      <c r="E1394" s="1"/>
      <c r="F1394" s="1"/>
      <c r="G1394" s="1"/>
      <c r="K1394" s="1"/>
      <c r="L1394" s="1"/>
      <c r="M1394" s="1"/>
    </row>
    <row r="1395" spans="1:13" ht="13.8">
      <c r="A1395" s="1"/>
      <c r="B1395" s="1"/>
      <c r="C1395" s="1"/>
      <c r="D1395" s="1"/>
      <c r="E1395" s="1"/>
      <c r="F1395" s="1"/>
      <c r="G1395" s="1"/>
      <c r="K1395" s="1"/>
      <c r="L1395" s="1"/>
      <c r="M1395" s="1"/>
    </row>
    <row r="1396" spans="1:13" ht="13.8">
      <c r="A1396" s="1"/>
      <c r="B1396" s="1"/>
      <c r="C1396" s="1"/>
      <c r="D1396" s="1"/>
      <c r="E1396" s="1"/>
      <c r="F1396" s="1"/>
      <c r="G1396" s="1"/>
      <c r="K1396" s="1"/>
      <c r="L1396" s="1"/>
      <c r="M1396" s="1"/>
    </row>
    <row r="1397" spans="1:13" ht="13.8">
      <c r="A1397" s="1"/>
      <c r="B1397" s="1"/>
      <c r="C1397" s="1"/>
      <c r="D1397" s="1"/>
      <c r="E1397" s="1"/>
      <c r="F1397" s="1"/>
      <c r="G1397" s="1"/>
      <c r="K1397" s="1"/>
      <c r="L1397" s="1"/>
      <c r="M1397" s="1"/>
    </row>
    <row r="1398" spans="1:13" ht="13.8">
      <c r="A1398" s="1"/>
      <c r="B1398" s="1"/>
      <c r="C1398" s="1"/>
      <c r="D1398" s="1"/>
      <c r="E1398" s="1"/>
      <c r="F1398" s="1"/>
      <c r="G1398" s="1"/>
      <c r="K1398" s="1"/>
      <c r="L1398" s="1"/>
      <c r="M1398" s="1"/>
    </row>
    <row r="1399" spans="1:13" ht="13.8">
      <c r="A1399" s="1"/>
      <c r="B1399" s="1"/>
      <c r="C1399" s="1"/>
      <c r="D1399" s="1"/>
      <c r="E1399" s="1"/>
      <c r="F1399" s="1"/>
      <c r="G1399" s="1"/>
      <c r="K1399" s="1"/>
      <c r="L1399" s="1"/>
      <c r="M1399" s="1"/>
    </row>
    <row r="1400" spans="1:13" ht="13.8">
      <c r="A1400" s="1"/>
      <c r="B1400" s="1"/>
      <c r="C1400" s="1"/>
      <c r="D1400" s="1"/>
      <c r="E1400" s="1"/>
      <c r="F1400" s="1"/>
      <c r="G1400" s="1"/>
      <c r="K1400" s="1"/>
      <c r="L1400" s="1"/>
      <c r="M1400" s="1"/>
    </row>
    <row r="1401" spans="1:13" ht="13.8">
      <c r="A1401" s="1"/>
      <c r="B1401" s="1"/>
      <c r="C1401" s="1"/>
      <c r="D1401" s="1"/>
      <c r="E1401" s="1"/>
      <c r="F1401" s="1"/>
      <c r="G1401" s="1"/>
      <c r="K1401" s="1"/>
      <c r="L1401" s="1"/>
      <c r="M1401" s="1"/>
    </row>
    <row r="1402" spans="1:13" ht="13.8">
      <c r="A1402" s="1"/>
      <c r="B1402" s="1"/>
      <c r="C1402" s="1"/>
      <c r="D1402" s="1"/>
      <c r="E1402" s="1"/>
      <c r="F1402" s="1"/>
      <c r="G1402" s="1"/>
      <c r="K1402" s="1"/>
      <c r="L1402" s="1"/>
      <c r="M1402" s="1"/>
    </row>
    <row r="1403" spans="1:13" ht="13.8">
      <c r="A1403" s="1"/>
      <c r="B1403" s="1"/>
      <c r="C1403" s="1"/>
      <c r="D1403" s="1"/>
      <c r="E1403" s="1"/>
      <c r="F1403" s="1"/>
      <c r="G1403" s="1"/>
      <c r="K1403" s="1"/>
      <c r="L1403" s="1"/>
      <c r="M1403" s="1"/>
    </row>
    <row r="1404" spans="1:13" ht="13.8">
      <c r="A1404" s="1"/>
      <c r="B1404" s="1"/>
      <c r="C1404" s="1"/>
      <c r="D1404" s="1"/>
      <c r="E1404" s="1"/>
      <c r="F1404" s="1"/>
      <c r="G1404" s="1"/>
      <c r="K1404" s="1"/>
      <c r="L1404" s="1"/>
      <c r="M1404" s="1"/>
    </row>
    <row r="1405" spans="1:13" ht="13.8">
      <c r="A1405" s="1"/>
      <c r="B1405" s="1"/>
      <c r="C1405" s="1"/>
      <c r="D1405" s="1"/>
      <c r="E1405" s="1"/>
      <c r="F1405" s="1"/>
      <c r="G1405" s="1"/>
      <c r="K1405" s="1"/>
      <c r="L1405" s="1"/>
      <c r="M1405" s="1"/>
    </row>
    <row r="1406" spans="1:13" ht="13.8">
      <c r="A1406" s="1"/>
      <c r="B1406" s="1"/>
      <c r="C1406" s="1"/>
      <c r="D1406" s="1"/>
      <c r="E1406" s="1"/>
      <c r="F1406" s="1"/>
      <c r="G1406" s="1"/>
      <c r="K1406" s="1"/>
      <c r="L1406" s="1"/>
      <c r="M1406" s="1"/>
    </row>
    <row r="1407" spans="1:13" ht="13.8">
      <c r="A1407" s="1"/>
      <c r="B1407" s="1"/>
      <c r="C1407" s="1"/>
      <c r="D1407" s="1"/>
      <c r="E1407" s="1"/>
      <c r="F1407" s="1"/>
      <c r="G1407" s="1"/>
      <c r="K1407" s="1"/>
      <c r="L1407" s="1"/>
      <c r="M1407" s="1"/>
    </row>
    <row r="1408" spans="1:13" ht="13.8">
      <c r="A1408" s="1"/>
      <c r="B1408" s="1"/>
      <c r="C1408" s="1"/>
      <c r="D1408" s="1"/>
      <c r="E1408" s="1"/>
      <c r="F1408" s="1"/>
      <c r="G1408" s="1"/>
      <c r="K1408" s="1"/>
      <c r="L1408" s="1"/>
      <c r="M1408" s="1"/>
    </row>
    <row r="1409" spans="1:13" ht="13.8">
      <c r="A1409" s="1"/>
      <c r="B1409" s="1"/>
      <c r="C1409" s="1"/>
      <c r="D1409" s="1"/>
      <c r="E1409" s="1"/>
      <c r="F1409" s="1"/>
      <c r="G1409" s="1"/>
      <c r="K1409" s="1"/>
      <c r="L1409" s="1"/>
      <c r="M1409" s="1"/>
    </row>
    <row r="1410" spans="1:13" ht="13.8">
      <c r="A1410" s="1"/>
      <c r="B1410" s="1"/>
      <c r="C1410" s="1"/>
      <c r="D1410" s="1"/>
      <c r="E1410" s="1"/>
      <c r="F1410" s="1"/>
      <c r="G1410" s="1"/>
      <c r="K1410" s="1"/>
      <c r="L1410" s="1"/>
      <c r="M1410" s="1"/>
    </row>
    <row r="1411" spans="1:13" ht="13.8">
      <c r="A1411" s="1"/>
      <c r="B1411" s="1"/>
      <c r="C1411" s="1"/>
      <c r="D1411" s="1"/>
      <c r="E1411" s="1"/>
      <c r="F1411" s="1"/>
      <c r="G1411" s="1"/>
      <c r="K1411" s="1"/>
      <c r="L1411" s="1"/>
      <c r="M1411" s="1"/>
    </row>
    <row r="1412" spans="1:13" ht="13.8">
      <c r="A1412" s="1"/>
      <c r="B1412" s="1"/>
      <c r="C1412" s="1"/>
      <c r="D1412" s="1"/>
      <c r="E1412" s="1"/>
      <c r="F1412" s="1"/>
      <c r="G1412" s="1"/>
      <c r="K1412" s="1"/>
      <c r="L1412" s="1"/>
      <c r="M1412" s="1"/>
    </row>
    <row r="1413" spans="1:13" ht="13.8">
      <c r="A1413" s="1"/>
      <c r="B1413" s="1"/>
      <c r="C1413" s="1"/>
      <c r="D1413" s="1"/>
      <c r="E1413" s="1"/>
      <c r="F1413" s="1"/>
      <c r="G1413" s="1"/>
      <c r="K1413" s="1"/>
      <c r="L1413" s="1"/>
      <c r="M1413" s="1"/>
    </row>
    <row r="1414" spans="1:13" ht="13.8">
      <c r="A1414" s="1"/>
      <c r="B1414" s="1"/>
      <c r="C1414" s="1"/>
      <c r="D1414" s="1"/>
      <c r="E1414" s="1"/>
      <c r="F1414" s="1"/>
      <c r="G1414" s="1"/>
      <c r="K1414" s="1"/>
      <c r="L1414" s="1"/>
      <c r="M1414" s="1"/>
    </row>
    <row r="1415" spans="1:13" ht="13.8">
      <c r="A1415" s="1"/>
      <c r="B1415" s="1"/>
      <c r="C1415" s="1"/>
      <c r="D1415" s="1"/>
      <c r="E1415" s="1"/>
      <c r="F1415" s="1"/>
      <c r="G1415" s="1"/>
      <c r="K1415" s="1"/>
      <c r="L1415" s="1"/>
      <c r="M1415" s="1"/>
    </row>
    <row r="1416" spans="1:13" ht="13.8">
      <c r="A1416" s="1"/>
      <c r="B1416" s="1"/>
      <c r="C1416" s="1"/>
      <c r="D1416" s="1"/>
      <c r="E1416" s="1"/>
      <c r="F1416" s="1"/>
      <c r="G1416" s="1"/>
      <c r="K1416" s="1"/>
      <c r="L1416" s="1"/>
      <c r="M1416" s="1"/>
    </row>
    <row r="1417" spans="1:13" ht="13.8">
      <c r="A1417" s="1"/>
      <c r="B1417" s="1"/>
      <c r="C1417" s="1"/>
      <c r="D1417" s="1"/>
      <c r="E1417" s="1"/>
      <c r="F1417" s="1"/>
      <c r="G1417" s="1"/>
      <c r="K1417" s="1"/>
      <c r="L1417" s="1"/>
      <c r="M1417" s="1"/>
    </row>
    <row r="1418" spans="1:13" ht="13.8">
      <c r="A1418" s="1"/>
      <c r="B1418" s="1"/>
      <c r="C1418" s="1"/>
      <c r="D1418" s="1"/>
      <c r="E1418" s="1"/>
      <c r="F1418" s="1"/>
      <c r="G1418" s="1"/>
      <c r="K1418" s="1"/>
      <c r="L1418" s="1"/>
      <c r="M1418" s="1"/>
    </row>
    <row r="1419" spans="1:13" ht="13.8">
      <c r="A1419" s="1"/>
      <c r="B1419" s="1"/>
      <c r="C1419" s="1"/>
      <c r="D1419" s="1"/>
      <c r="E1419" s="1"/>
      <c r="F1419" s="1"/>
      <c r="G1419" s="1"/>
      <c r="K1419" s="1"/>
      <c r="L1419" s="1"/>
      <c r="M1419" s="1"/>
    </row>
    <row r="1420" spans="1:13" ht="13.8">
      <c r="A1420" s="1"/>
      <c r="B1420" s="1"/>
      <c r="C1420" s="1"/>
      <c r="D1420" s="1"/>
      <c r="E1420" s="1"/>
      <c r="F1420" s="1"/>
      <c r="G1420" s="1"/>
      <c r="K1420" s="1"/>
      <c r="L1420" s="1"/>
      <c r="M1420" s="1"/>
    </row>
    <row r="1421" spans="1:13" ht="13.8">
      <c r="A1421" s="1"/>
      <c r="B1421" s="1"/>
      <c r="C1421" s="1"/>
      <c r="D1421" s="1"/>
      <c r="E1421" s="1"/>
      <c r="F1421" s="1"/>
      <c r="G1421" s="1"/>
      <c r="K1421" s="1"/>
      <c r="L1421" s="1"/>
      <c r="M1421" s="1"/>
    </row>
    <row r="1422" spans="1:13" ht="13.8">
      <c r="A1422" s="1"/>
      <c r="B1422" s="1"/>
      <c r="C1422" s="1"/>
      <c r="D1422" s="1"/>
      <c r="E1422" s="1"/>
      <c r="F1422" s="1"/>
      <c r="G1422" s="1"/>
      <c r="K1422" s="1"/>
      <c r="L1422" s="1"/>
      <c r="M1422" s="1"/>
    </row>
    <row r="1423" spans="1:13" ht="13.8">
      <c r="A1423" s="1"/>
      <c r="B1423" s="1"/>
      <c r="C1423" s="1"/>
      <c r="D1423" s="1"/>
      <c r="E1423" s="1"/>
      <c r="F1423" s="1"/>
      <c r="G1423" s="1"/>
      <c r="K1423" s="1"/>
      <c r="L1423" s="1"/>
      <c r="M1423" s="1"/>
    </row>
    <row r="1424" spans="1:13" ht="13.8">
      <c r="A1424" s="1"/>
      <c r="B1424" s="1"/>
      <c r="C1424" s="1"/>
      <c r="D1424" s="1"/>
      <c r="E1424" s="1"/>
      <c r="F1424" s="1"/>
      <c r="G1424" s="1"/>
      <c r="K1424" s="1"/>
      <c r="L1424" s="1"/>
      <c r="M1424" s="1"/>
    </row>
    <row r="1425" spans="1:13" ht="13.8">
      <c r="A1425" s="1"/>
      <c r="B1425" s="1"/>
      <c r="C1425" s="1"/>
      <c r="D1425" s="1"/>
      <c r="E1425" s="1"/>
      <c r="F1425" s="1"/>
      <c r="G1425" s="1"/>
      <c r="K1425" s="1"/>
      <c r="L1425" s="1"/>
      <c r="M1425" s="1"/>
    </row>
    <row r="1426" spans="1:13" ht="13.8">
      <c r="A1426" s="1"/>
      <c r="B1426" s="1"/>
      <c r="C1426" s="1"/>
      <c r="D1426" s="1"/>
      <c r="E1426" s="1"/>
      <c r="F1426" s="1"/>
      <c r="G1426" s="1"/>
      <c r="K1426" s="1"/>
      <c r="L1426" s="1"/>
      <c r="M1426" s="1"/>
    </row>
    <row r="1427" spans="1:13" ht="13.8">
      <c r="A1427" s="1"/>
      <c r="B1427" s="1"/>
      <c r="C1427" s="1"/>
      <c r="D1427" s="1"/>
      <c r="E1427" s="1"/>
      <c r="F1427" s="1"/>
      <c r="G1427" s="1"/>
      <c r="K1427" s="1"/>
      <c r="L1427" s="1"/>
      <c r="M1427" s="1"/>
    </row>
    <row r="1428" spans="1:13" ht="13.8">
      <c r="A1428" s="1"/>
      <c r="B1428" s="1"/>
      <c r="C1428" s="1"/>
      <c r="D1428" s="1"/>
      <c r="E1428" s="1"/>
      <c r="F1428" s="1"/>
      <c r="G1428" s="1"/>
      <c r="K1428" s="1"/>
      <c r="L1428" s="1"/>
      <c r="M1428" s="1"/>
    </row>
    <row r="1429" spans="1:13" ht="13.8">
      <c r="A1429" s="1"/>
      <c r="B1429" s="1"/>
      <c r="C1429" s="1"/>
      <c r="D1429" s="1"/>
      <c r="E1429" s="1"/>
      <c r="F1429" s="1"/>
      <c r="G1429" s="1"/>
      <c r="K1429" s="1"/>
      <c r="L1429" s="1"/>
      <c r="M1429" s="1"/>
    </row>
    <row r="1430" spans="1:13" ht="13.8">
      <c r="A1430" s="1"/>
      <c r="B1430" s="1"/>
      <c r="C1430" s="1"/>
      <c r="D1430" s="1"/>
      <c r="E1430" s="1"/>
      <c r="F1430" s="1"/>
      <c r="G1430" s="1"/>
      <c r="K1430" s="1"/>
      <c r="L1430" s="1"/>
      <c r="M1430" s="1"/>
    </row>
    <row r="1431" spans="1:13" ht="13.8">
      <c r="A1431" s="1"/>
      <c r="B1431" s="1"/>
      <c r="C1431" s="1"/>
      <c r="D1431" s="1"/>
      <c r="E1431" s="1"/>
      <c r="F1431" s="1"/>
      <c r="G1431" s="1"/>
      <c r="K1431" s="1"/>
      <c r="L1431" s="1"/>
      <c r="M1431" s="1"/>
    </row>
    <row r="1432" spans="1:13" ht="13.8">
      <c r="A1432" s="1"/>
      <c r="B1432" s="1"/>
      <c r="C1432" s="1"/>
      <c r="D1432" s="1"/>
      <c r="E1432" s="1"/>
      <c r="F1432" s="1"/>
      <c r="G1432" s="1"/>
      <c r="K1432" s="1"/>
      <c r="L1432" s="1"/>
      <c r="M1432" s="1"/>
    </row>
    <row r="1433" spans="1:13" ht="13.8">
      <c r="A1433" s="1"/>
      <c r="B1433" s="1"/>
      <c r="C1433" s="1"/>
      <c r="D1433" s="1"/>
      <c r="E1433" s="1"/>
      <c r="F1433" s="1"/>
      <c r="G1433" s="1"/>
      <c r="K1433" s="1"/>
      <c r="L1433" s="1"/>
      <c r="M1433" s="1"/>
    </row>
    <row r="1434" spans="1:13" ht="13.8">
      <c r="A1434" s="1"/>
      <c r="B1434" s="1"/>
      <c r="C1434" s="1"/>
      <c r="D1434" s="1"/>
      <c r="E1434" s="1"/>
      <c r="F1434" s="1"/>
      <c r="G1434" s="1"/>
      <c r="K1434" s="1"/>
      <c r="L1434" s="1"/>
      <c r="M1434" s="1"/>
    </row>
    <row r="1435" spans="1:13" ht="13.8">
      <c r="A1435" s="1"/>
      <c r="B1435" s="1"/>
      <c r="C1435" s="1"/>
      <c r="D1435" s="1"/>
      <c r="E1435" s="1"/>
      <c r="F1435" s="1"/>
      <c r="G1435" s="1"/>
      <c r="K1435" s="1"/>
      <c r="L1435" s="1"/>
      <c r="M1435" s="1"/>
    </row>
    <row r="1436" spans="1:13" ht="13.8">
      <c r="A1436" s="1"/>
      <c r="B1436" s="1"/>
      <c r="C1436" s="1"/>
      <c r="D1436" s="1"/>
      <c r="E1436" s="1"/>
      <c r="F1436" s="1"/>
      <c r="G1436" s="1"/>
      <c r="K1436" s="1"/>
      <c r="L1436" s="1"/>
      <c r="M1436" s="1"/>
    </row>
    <row r="1437" spans="1:13" ht="13.8">
      <c r="A1437" s="1"/>
      <c r="B1437" s="1"/>
      <c r="C1437" s="1"/>
      <c r="D1437" s="1"/>
      <c r="E1437" s="1"/>
      <c r="F1437" s="1"/>
      <c r="G1437" s="1"/>
      <c r="K1437" s="1"/>
      <c r="L1437" s="1"/>
      <c r="M1437" s="1"/>
    </row>
    <row r="1438" spans="1:13" ht="13.8">
      <c r="A1438" s="1"/>
      <c r="B1438" s="1"/>
      <c r="C1438" s="1"/>
      <c r="D1438" s="1"/>
      <c r="E1438" s="1"/>
      <c r="F1438" s="1"/>
      <c r="G1438" s="1"/>
      <c r="K1438" s="1"/>
      <c r="L1438" s="1"/>
      <c r="M1438" s="1"/>
    </row>
    <row r="1439" spans="1:13" ht="13.8">
      <c r="A1439" s="1"/>
      <c r="B1439" s="1"/>
      <c r="C1439" s="1"/>
      <c r="D1439" s="1"/>
      <c r="E1439" s="1"/>
      <c r="F1439" s="1"/>
      <c r="G1439" s="1"/>
      <c r="K1439" s="1"/>
      <c r="L1439" s="1"/>
      <c r="M1439" s="1"/>
    </row>
    <row r="1440" spans="1:13" ht="13.8">
      <c r="A1440" s="1"/>
      <c r="B1440" s="1"/>
      <c r="C1440" s="1"/>
      <c r="D1440" s="1"/>
      <c r="E1440" s="1"/>
      <c r="F1440" s="1"/>
      <c r="G1440" s="1"/>
      <c r="K1440" s="1"/>
      <c r="L1440" s="1"/>
      <c r="M1440" s="1"/>
    </row>
    <row r="1441" spans="1:13" ht="13.8">
      <c r="A1441" s="1"/>
      <c r="B1441" s="1"/>
      <c r="C1441" s="1"/>
      <c r="D1441" s="1"/>
      <c r="E1441" s="1"/>
      <c r="F1441" s="1"/>
      <c r="G1441" s="1"/>
      <c r="K1441" s="1"/>
      <c r="L1441" s="1"/>
      <c r="M1441" s="1"/>
    </row>
    <row r="1442" spans="1:13" ht="13.8">
      <c r="A1442" s="1"/>
      <c r="B1442" s="1"/>
      <c r="C1442" s="1"/>
      <c r="D1442" s="1"/>
      <c r="E1442" s="1"/>
      <c r="F1442" s="1"/>
      <c r="G1442" s="1"/>
      <c r="K1442" s="1"/>
      <c r="L1442" s="1"/>
      <c r="M1442" s="1"/>
    </row>
    <row r="1443" spans="1:13" ht="13.8">
      <c r="A1443" s="1"/>
      <c r="B1443" s="1"/>
      <c r="C1443" s="1"/>
      <c r="D1443" s="1"/>
      <c r="E1443" s="1"/>
      <c r="F1443" s="1"/>
      <c r="G1443" s="1"/>
      <c r="K1443" s="1"/>
      <c r="L1443" s="1"/>
      <c r="M1443" s="1"/>
    </row>
    <row r="1444" spans="1:13" ht="13.8">
      <c r="A1444" s="1"/>
      <c r="B1444" s="1"/>
      <c r="C1444" s="1"/>
      <c r="D1444" s="1"/>
      <c r="E1444" s="1"/>
      <c r="F1444" s="1"/>
      <c r="G1444" s="1"/>
      <c r="K1444" s="1"/>
      <c r="L1444" s="1"/>
      <c r="M1444" s="1"/>
    </row>
    <row r="1445" spans="1:13" ht="13.8">
      <c r="A1445" s="1"/>
      <c r="B1445" s="1"/>
      <c r="C1445" s="1"/>
      <c r="D1445" s="1"/>
      <c r="E1445" s="1"/>
      <c r="F1445" s="1"/>
      <c r="G1445" s="1"/>
      <c r="K1445" s="1"/>
      <c r="L1445" s="1"/>
      <c r="M1445" s="1"/>
    </row>
    <row r="1446" spans="1:13" ht="13.8">
      <c r="A1446" s="1"/>
      <c r="B1446" s="1"/>
      <c r="C1446" s="1"/>
      <c r="D1446" s="1"/>
      <c r="E1446" s="1"/>
      <c r="F1446" s="1"/>
      <c r="G1446" s="1"/>
      <c r="K1446" s="1"/>
      <c r="L1446" s="1"/>
      <c r="M1446" s="1"/>
    </row>
    <row r="1447" spans="1:13" ht="13.8">
      <c r="A1447" s="1"/>
      <c r="B1447" s="1"/>
      <c r="C1447" s="1"/>
      <c r="D1447" s="1"/>
      <c r="E1447" s="1"/>
      <c r="F1447" s="1"/>
      <c r="G1447" s="1"/>
      <c r="K1447" s="1"/>
      <c r="L1447" s="1"/>
      <c r="M1447" s="1"/>
    </row>
    <row r="1448" spans="1:13" ht="13.8">
      <c r="A1448" s="1"/>
      <c r="B1448" s="1"/>
      <c r="C1448" s="1"/>
      <c r="D1448" s="1"/>
      <c r="E1448" s="1"/>
      <c r="F1448" s="1"/>
      <c r="G1448" s="1"/>
      <c r="K1448" s="1"/>
      <c r="L1448" s="1"/>
      <c r="M1448" s="1"/>
    </row>
    <row r="1449" spans="1:13" ht="13.8">
      <c r="A1449" s="1"/>
      <c r="B1449" s="1"/>
      <c r="C1449" s="1"/>
      <c r="D1449" s="1"/>
      <c r="E1449" s="1"/>
      <c r="F1449" s="1"/>
      <c r="G1449" s="1"/>
      <c r="K1449" s="1"/>
      <c r="L1449" s="1"/>
      <c r="M1449" s="1"/>
    </row>
    <row r="1450" spans="1:13" ht="13.8">
      <c r="A1450" s="1"/>
      <c r="B1450" s="1"/>
      <c r="C1450" s="1"/>
      <c r="D1450" s="1"/>
      <c r="E1450" s="1"/>
      <c r="F1450" s="1"/>
      <c r="G1450" s="1"/>
      <c r="K1450" s="1"/>
      <c r="L1450" s="1"/>
      <c r="M1450" s="1"/>
    </row>
    <row r="1451" spans="1:13" ht="13.8">
      <c r="A1451" s="1"/>
      <c r="B1451" s="1"/>
      <c r="C1451" s="1"/>
      <c r="D1451" s="1"/>
      <c r="E1451" s="1"/>
      <c r="F1451" s="1"/>
      <c r="G1451" s="1"/>
      <c r="K1451" s="1"/>
      <c r="L1451" s="1"/>
      <c r="M1451" s="1"/>
    </row>
    <row r="1452" spans="1:13" ht="13.8">
      <c r="A1452" s="1"/>
      <c r="B1452" s="1"/>
      <c r="C1452" s="1"/>
      <c r="D1452" s="1"/>
      <c r="E1452" s="1"/>
      <c r="F1452" s="1"/>
      <c r="G1452" s="1"/>
      <c r="K1452" s="1"/>
      <c r="L1452" s="1"/>
      <c r="M1452" s="1"/>
    </row>
    <row r="1453" spans="1:13" ht="13.8">
      <c r="A1453" s="1"/>
      <c r="B1453" s="1"/>
      <c r="C1453" s="1"/>
      <c r="D1453" s="1"/>
      <c r="E1453" s="1"/>
      <c r="F1453" s="1"/>
      <c r="G1453" s="1"/>
      <c r="K1453" s="1"/>
      <c r="L1453" s="1"/>
      <c r="M1453" s="1"/>
    </row>
    <row r="1454" spans="1:13" ht="13.8">
      <c r="A1454" s="1"/>
      <c r="B1454" s="1"/>
      <c r="C1454" s="1"/>
      <c r="D1454" s="1"/>
      <c r="E1454" s="1"/>
      <c r="F1454" s="1"/>
      <c r="G1454" s="1"/>
      <c r="K1454" s="1"/>
      <c r="L1454" s="1"/>
      <c r="M1454" s="1"/>
    </row>
    <row r="1455" spans="1:13" ht="13.8">
      <c r="A1455" s="1"/>
      <c r="B1455" s="1"/>
      <c r="C1455" s="1"/>
      <c r="D1455" s="1"/>
      <c r="E1455" s="1"/>
      <c r="F1455" s="1"/>
      <c r="G1455" s="1"/>
      <c r="K1455" s="1"/>
      <c r="L1455" s="1"/>
      <c r="M1455" s="1"/>
    </row>
    <row r="1456" spans="1:13" ht="13.8">
      <c r="A1456" s="1"/>
      <c r="B1456" s="1"/>
      <c r="C1456" s="1"/>
      <c r="D1456" s="1"/>
      <c r="E1456" s="1"/>
      <c r="F1456" s="1"/>
      <c r="G1456" s="1"/>
      <c r="K1456" s="1"/>
      <c r="L1456" s="1"/>
      <c r="M1456" s="1"/>
    </row>
    <row r="1457" spans="1:13" ht="13.8">
      <c r="A1457" s="1"/>
      <c r="B1457" s="1"/>
      <c r="C1457" s="1"/>
      <c r="D1457" s="1"/>
      <c r="E1457" s="1"/>
      <c r="F1457" s="1"/>
      <c r="G1457" s="1"/>
      <c r="K1457" s="1"/>
      <c r="L1457" s="1"/>
      <c r="M1457" s="1"/>
    </row>
    <row r="1458" spans="1:13" ht="13.8">
      <c r="A1458" s="1"/>
      <c r="B1458" s="1"/>
      <c r="C1458" s="1"/>
      <c r="D1458" s="1"/>
      <c r="E1458" s="1"/>
      <c r="F1458" s="1"/>
      <c r="G1458" s="1"/>
      <c r="K1458" s="1"/>
      <c r="L1458" s="1"/>
      <c r="M1458" s="1"/>
    </row>
    <row r="1459" spans="1:13" ht="13.8">
      <c r="A1459" s="1"/>
      <c r="B1459" s="1"/>
      <c r="C1459" s="1"/>
      <c r="D1459" s="1"/>
      <c r="E1459" s="1"/>
      <c r="F1459" s="1"/>
      <c r="G1459" s="1"/>
      <c r="K1459" s="1"/>
      <c r="L1459" s="1"/>
      <c r="M1459" s="1"/>
    </row>
    <row r="1460" spans="1:13" ht="13.8">
      <c r="A1460" s="1"/>
      <c r="B1460" s="1"/>
      <c r="C1460" s="1"/>
      <c r="D1460" s="1"/>
      <c r="E1460" s="1"/>
      <c r="F1460" s="1"/>
      <c r="G1460" s="1"/>
      <c r="K1460" s="1"/>
      <c r="L1460" s="1"/>
      <c r="M1460" s="1"/>
    </row>
    <row r="1461" spans="1:13" ht="13.8">
      <c r="A1461" s="1"/>
      <c r="B1461" s="1"/>
      <c r="C1461" s="1"/>
      <c r="D1461" s="1"/>
      <c r="E1461" s="1"/>
      <c r="F1461" s="1"/>
      <c r="G1461" s="1"/>
      <c r="K1461" s="1"/>
      <c r="L1461" s="1"/>
      <c r="M1461" s="1"/>
    </row>
    <row r="1462" spans="1:13" ht="13.8">
      <c r="A1462" s="1"/>
      <c r="B1462" s="1"/>
      <c r="C1462" s="1"/>
      <c r="D1462" s="1"/>
      <c r="E1462" s="1"/>
      <c r="F1462" s="1"/>
      <c r="G1462" s="1"/>
      <c r="K1462" s="1"/>
      <c r="L1462" s="1"/>
      <c r="M1462" s="1"/>
    </row>
    <row r="1463" spans="1:13" ht="13.8">
      <c r="A1463" s="1"/>
      <c r="B1463" s="1"/>
      <c r="C1463" s="1"/>
      <c r="D1463" s="1"/>
      <c r="E1463" s="1"/>
      <c r="F1463" s="1"/>
      <c r="G1463" s="1"/>
      <c r="K1463" s="1"/>
      <c r="L1463" s="1"/>
      <c r="M1463" s="1"/>
    </row>
    <row r="1464" spans="1:13" ht="13.8">
      <c r="A1464" s="1"/>
      <c r="B1464" s="1"/>
      <c r="C1464" s="1"/>
      <c r="D1464" s="1"/>
      <c r="E1464" s="1"/>
      <c r="F1464" s="1"/>
      <c r="G1464" s="1"/>
      <c r="K1464" s="1"/>
      <c r="L1464" s="1"/>
      <c r="M1464" s="1"/>
    </row>
    <row r="1465" spans="1:13" ht="13.8">
      <c r="A1465" s="1"/>
      <c r="B1465" s="1"/>
      <c r="C1465" s="1"/>
      <c r="D1465" s="1"/>
      <c r="E1465" s="1"/>
      <c r="F1465" s="1"/>
      <c r="G1465" s="1"/>
      <c r="K1465" s="1"/>
      <c r="L1465" s="1"/>
      <c r="M1465" s="1"/>
    </row>
    <row r="1466" spans="1:13" ht="13.8">
      <c r="A1466" s="1"/>
      <c r="B1466" s="1"/>
      <c r="C1466" s="1"/>
      <c r="D1466" s="1"/>
      <c r="E1466" s="1"/>
      <c r="F1466" s="1"/>
      <c r="G1466" s="1"/>
      <c r="K1466" s="1"/>
      <c r="L1466" s="1"/>
      <c r="M1466" s="1"/>
    </row>
    <row r="1467" spans="1:13" ht="13.8">
      <c r="A1467" s="1"/>
      <c r="B1467" s="1"/>
      <c r="C1467" s="1"/>
      <c r="D1467" s="1"/>
      <c r="E1467" s="1"/>
      <c r="F1467" s="1"/>
      <c r="G1467" s="1"/>
      <c r="K1467" s="1"/>
      <c r="L1467" s="1"/>
      <c r="M1467" s="1"/>
    </row>
    <row r="1468" spans="1:13" ht="13.8">
      <c r="A1468" s="1"/>
      <c r="B1468" s="1"/>
      <c r="C1468" s="1"/>
      <c r="D1468" s="1"/>
      <c r="E1468" s="1"/>
      <c r="F1468" s="1"/>
      <c r="G1468" s="1"/>
      <c r="K1468" s="1"/>
      <c r="L1468" s="1"/>
      <c r="M1468" s="1"/>
    </row>
    <row r="1469" spans="1:13" ht="13.8">
      <c r="A1469" s="1"/>
      <c r="B1469" s="1"/>
      <c r="C1469" s="1"/>
      <c r="D1469" s="1"/>
      <c r="E1469" s="1"/>
      <c r="F1469" s="1"/>
      <c r="G1469" s="1"/>
      <c r="K1469" s="1"/>
      <c r="L1469" s="1"/>
      <c r="M1469" s="1"/>
    </row>
    <row r="1470" spans="1:13" ht="13.8">
      <c r="A1470" s="1"/>
      <c r="B1470" s="1"/>
      <c r="C1470" s="1"/>
      <c r="D1470" s="1"/>
      <c r="E1470" s="1"/>
      <c r="F1470" s="1"/>
      <c r="G1470" s="1"/>
      <c r="K1470" s="1"/>
      <c r="L1470" s="1"/>
      <c r="M1470" s="1"/>
    </row>
    <row r="1471" spans="1:13" ht="13.8">
      <c r="A1471" s="1"/>
      <c r="B1471" s="1"/>
      <c r="C1471" s="1"/>
      <c r="D1471" s="1"/>
      <c r="E1471" s="1"/>
      <c r="F1471" s="1"/>
      <c r="G1471" s="1"/>
      <c r="K1471" s="1"/>
      <c r="L1471" s="1"/>
      <c r="M1471" s="1"/>
    </row>
    <row r="1472" spans="1:13" ht="13.8">
      <c r="A1472" s="1"/>
      <c r="B1472" s="1"/>
      <c r="C1472" s="1"/>
      <c r="D1472" s="1"/>
      <c r="E1472" s="1"/>
      <c r="F1472" s="1"/>
      <c r="G1472" s="1"/>
      <c r="K1472" s="1"/>
      <c r="L1472" s="1"/>
      <c r="M1472" s="1"/>
    </row>
    <row r="1473" spans="1:13" ht="13.8">
      <c r="A1473" s="1"/>
      <c r="B1473" s="1"/>
      <c r="C1473" s="1"/>
      <c r="D1473" s="1"/>
      <c r="E1473" s="1"/>
      <c r="F1473" s="1"/>
      <c r="G1473" s="1"/>
      <c r="K1473" s="1"/>
      <c r="L1473" s="1"/>
      <c r="M1473" s="1"/>
    </row>
    <row r="1474" spans="1:13" ht="13.8">
      <c r="A1474" s="1"/>
      <c r="B1474" s="1"/>
      <c r="C1474" s="1"/>
      <c r="D1474" s="1"/>
      <c r="E1474" s="1"/>
      <c r="F1474" s="1"/>
      <c r="G1474" s="1"/>
      <c r="K1474" s="1"/>
      <c r="L1474" s="1"/>
      <c r="M1474" s="1"/>
    </row>
    <row r="1475" spans="1:13" ht="13.8">
      <c r="A1475" s="1"/>
      <c r="B1475" s="1"/>
      <c r="C1475" s="1"/>
      <c r="D1475" s="1"/>
      <c r="E1475" s="1"/>
      <c r="F1475" s="1"/>
      <c r="G1475" s="1"/>
      <c r="K1475" s="1"/>
      <c r="L1475" s="1"/>
      <c r="M1475" s="1"/>
    </row>
    <row r="1476" spans="1:13" ht="13.8">
      <c r="A1476" s="1"/>
      <c r="B1476" s="1"/>
      <c r="C1476" s="1"/>
      <c r="D1476" s="1"/>
      <c r="E1476" s="1"/>
      <c r="F1476" s="1"/>
      <c r="G1476" s="1"/>
      <c r="K1476" s="1"/>
      <c r="L1476" s="1"/>
      <c r="M1476" s="1"/>
    </row>
    <row r="1477" spans="1:13" ht="13.8">
      <c r="A1477" s="1"/>
      <c r="B1477" s="1"/>
      <c r="C1477" s="1"/>
      <c r="D1477" s="1"/>
      <c r="E1477" s="1"/>
      <c r="F1477" s="1"/>
      <c r="G1477" s="1"/>
      <c r="K1477" s="1"/>
      <c r="L1477" s="1"/>
      <c r="M1477" s="1"/>
    </row>
    <row r="1478" spans="1:13" ht="13.8">
      <c r="A1478" s="1"/>
      <c r="B1478" s="1"/>
      <c r="C1478" s="1"/>
      <c r="D1478" s="1"/>
      <c r="E1478" s="1"/>
      <c r="F1478" s="1"/>
      <c r="G1478" s="1"/>
      <c r="K1478" s="1"/>
      <c r="L1478" s="1"/>
      <c r="M1478" s="1"/>
    </row>
    <row r="1479" spans="1:13" ht="13.8">
      <c r="A1479" s="1"/>
      <c r="B1479" s="1"/>
      <c r="C1479" s="1"/>
      <c r="D1479" s="1"/>
      <c r="E1479" s="1"/>
      <c r="F1479" s="1"/>
      <c r="G1479" s="1"/>
      <c r="K1479" s="1"/>
      <c r="L1479" s="1"/>
      <c r="M1479" s="1"/>
    </row>
    <row r="1480" spans="1:13" ht="13.8">
      <c r="A1480" s="1"/>
      <c r="B1480" s="1"/>
      <c r="C1480" s="1"/>
      <c r="D1480" s="1"/>
      <c r="E1480" s="1"/>
      <c r="F1480" s="1"/>
      <c r="G1480" s="1"/>
      <c r="K1480" s="1"/>
      <c r="L1480" s="1"/>
      <c r="M1480" s="1"/>
    </row>
    <row r="1481" spans="1:13" ht="13.8">
      <c r="A1481" s="1"/>
      <c r="B1481" s="1"/>
      <c r="C1481" s="1"/>
      <c r="D1481" s="1"/>
      <c r="E1481" s="1"/>
      <c r="F1481" s="1"/>
      <c r="G1481" s="1"/>
      <c r="K1481" s="1"/>
      <c r="L1481" s="1"/>
      <c r="M1481" s="1"/>
    </row>
    <row r="1482" spans="1:13" ht="13.8">
      <c r="A1482" s="1"/>
      <c r="B1482" s="1"/>
      <c r="C1482" s="1"/>
      <c r="D1482" s="1"/>
      <c r="E1482" s="1"/>
      <c r="F1482" s="1"/>
      <c r="G1482" s="1"/>
      <c r="K1482" s="1"/>
      <c r="L1482" s="1"/>
      <c r="M1482" s="1"/>
    </row>
    <row r="1483" spans="1:13" ht="13.8">
      <c r="A1483" s="1"/>
      <c r="B1483" s="1"/>
      <c r="C1483" s="1"/>
      <c r="D1483" s="1"/>
      <c r="E1483" s="1"/>
      <c r="F1483" s="1"/>
      <c r="G1483" s="1"/>
      <c r="K1483" s="1"/>
      <c r="L1483" s="1"/>
      <c r="M1483" s="1"/>
    </row>
    <row r="1484" spans="1:13" ht="13.8">
      <c r="A1484" s="1"/>
      <c r="B1484" s="1"/>
      <c r="C1484" s="1"/>
      <c r="D1484" s="1"/>
      <c r="E1484" s="1"/>
      <c r="F1484" s="1"/>
      <c r="G1484" s="1"/>
      <c r="K1484" s="1"/>
      <c r="L1484" s="1"/>
      <c r="M1484" s="1"/>
    </row>
    <row r="1485" spans="1:13" ht="13.8">
      <c r="A1485" s="1"/>
      <c r="B1485" s="1"/>
      <c r="C1485" s="1"/>
      <c r="D1485" s="1"/>
      <c r="E1485" s="1"/>
      <c r="F1485" s="1"/>
      <c r="G1485" s="1"/>
      <c r="K1485" s="1"/>
      <c r="L1485" s="1"/>
      <c r="M1485" s="1"/>
    </row>
    <row r="1486" spans="1:13" ht="13.8">
      <c r="A1486" s="1"/>
      <c r="B1486" s="1"/>
      <c r="C1486" s="1"/>
      <c r="D1486" s="1"/>
      <c r="E1486" s="1"/>
      <c r="F1486" s="1"/>
      <c r="G1486" s="1"/>
      <c r="K1486" s="1"/>
      <c r="L1486" s="1"/>
      <c r="M1486" s="1"/>
    </row>
    <row r="1487" spans="1:13" ht="13.8">
      <c r="A1487" s="1"/>
      <c r="B1487" s="1"/>
      <c r="C1487" s="1"/>
      <c r="D1487" s="1"/>
      <c r="E1487" s="1"/>
      <c r="F1487" s="1"/>
      <c r="G1487" s="1"/>
      <c r="K1487" s="1"/>
      <c r="L1487" s="1"/>
      <c r="M1487" s="1"/>
    </row>
    <row r="1488" spans="1:13" ht="13.8">
      <c r="A1488" s="1"/>
      <c r="B1488" s="1"/>
      <c r="C1488" s="1"/>
      <c r="D1488" s="1"/>
      <c r="E1488" s="1"/>
      <c r="F1488" s="1"/>
      <c r="G1488" s="1"/>
      <c r="K1488" s="1"/>
      <c r="L1488" s="1"/>
      <c r="M1488" s="1"/>
    </row>
    <row r="1489" spans="1:13" ht="13.8">
      <c r="A1489" s="1"/>
      <c r="B1489" s="1"/>
      <c r="C1489" s="1"/>
      <c r="D1489" s="1"/>
      <c r="E1489" s="1"/>
      <c r="F1489" s="1"/>
      <c r="G1489" s="1"/>
      <c r="K1489" s="1"/>
      <c r="L1489" s="1"/>
      <c r="M1489" s="1"/>
    </row>
    <row r="1490" spans="1:13" ht="13.8">
      <c r="A1490" s="1"/>
      <c r="B1490" s="1"/>
      <c r="C1490" s="1"/>
      <c r="D1490" s="1"/>
      <c r="E1490" s="1"/>
      <c r="F1490" s="1"/>
      <c r="G1490" s="1"/>
      <c r="K1490" s="1"/>
      <c r="L1490" s="1"/>
      <c r="M1490" s="1"/>
    </row>
    <row r="1491" spans="1:13" ht="13.8">
      <c r="A1491" s="1"/>
      <c r="B1491" s="1"/>
      <c r="C1491" s="1"/>
      <c r="D1491" s="1"/>
      <c r="E1491" s="1"/>
      <c r="F1491" s="1"/>
      <c r="G1491" s="1"/>
      <c r="K1491" s="1"/>
      <c r="L1491" s="1"/>
      <c r="M1491" s="1"/>
    </row>
    <row r="1492" spans="1:13" ht="13.8">
      <c r="A1492" s="1"/>
      <c r="B1492" s="1"/>
      <c r="C1492" s="1"/>
      <c r="D1492" s="1"/>
      <c r="E1492" s="1"/>
      <c r="F1492" s="1"/>
      <c r="G1492" s="1"/>
      <c r="K1492" s="1"/>
      <c r="L1492" s="1"/>
      <c r="M1492" s="1"/>
    </row>
    <row r="1493" spans="1:13" ht="13.8">
      <c r="A1493" s="1"/>
      <c r="B1493" s="1"/>
      <c r="C1493" s="1"/>
      <c r="D1493" s="1"/>
      <c r="E1493" s="1"/>
      <c r="F1493" s="1"/>
      <c r="G1493" s="1"/>
      <c r="K1493" s="1"/>
      <c r="L1493" s="1"/>
      <c r="M1493" s="1"/>
    </row>
    <row r="1494" spans="1:13" ht="13.8">
      <c r="A1494" s="1"/>
      <c r="B1494" s="1"/>
      <c r="C1494" s="1"/>
      <c r="D1494" s="1"/>
      <c r="E1494" s="1"/>
      <c r="F1494" s="1"/>
      <c r="G1494" s="1"/>
      <c r="K1494" s="1"/>
      <c r="L1494" s="1"/>
      <c r="M1494" s="1"/>
    </row>
    <row r="1495" spans="1:13" ht="13.8">
      <c r="A1495" s="1"/>
      <c r="B1495" s="1"/>
      <c r="C1495" s="1"/>
      <c r="D1495" s="1"/>
      <c r="E1495" s="1"/>
      <c r="F1495" s="1"/>
      <c r="G1495" s="1"/>
      <c r="K1495" s="1"/>
      <c r="L1495" s="1"/>
      <c r="M1495" s="1"/>
    </row>
    <row r="1496" spans="1:13" ht="13.8">
      <c r="A1496" s="1"/>
      <c r="B1496" s="1"/>
      <c r="C1496" s="1"/>
      <c r="D1496" s="1"/>
      <c r="E1496" s="1"/>
      <c r="F1496" s="1"/>
      <c r="G1496" s="1"/>
      <c r="K1496" s="1"/>
      <c r="L1496" s="1"/>
      <c r="M1496" s="1"/>
    </row>
    <row r="1497" spans="1:13" ht="13.8">
      <c r="A1497" s="1"/>
      <c r="B1497" s="1"/>
      <c r="C1497" s="1"/>
      <c r="D1497" s="1"/>
      <c r="E1497" s="1"/>
      <c r="F1497" s="1"/>
      <c r="G1497" s="1"/>
      <c r="K1497" s="1"/>
      <c r="L1497" s="1"/>
      <c r="M1497" s="1"/>
    </row>
    <row r="1498" spans="1:13" ht="13.8">
      <c r="A1498" s="1"/>
      <c r="B1498" s="1"/>
      <c r="C1498" s="1"/>
      <c r="D1498" s="1"/>
      <c r="E1498" s="1"/>
      <c r="F1498" s="1"/>
      <c r="G1498" s="1"/>
      <c r="K1498" s="1"/>
      <c r="L1498" s="1"/>
      <c r="M1498" s="1"/>
    </row>
    <row r="1499" spans="1:13" ht="13.8">
      <c r="A1499" s="1"/>
      <c r="B1499" s="1"/>
      <c r="C1499" s="1"/>
      <c r="D1499" s="1"/>
      <c r="E1499" s="1"/>
      <c r="F1499" s="1"/>
      <c r="G1499" s="1"/>
      <c r="K1499" s="1"/>
      <c r="L1499" s="1"/>
      <c r="M1499" s="1"/>
    </row>
    <row r="1500" spans="1:13" ht="13.8">
      <c r="A1500" s="1"/>
      <c r="B1500" s="1"/>
      <c r="C1500" s="1"/>
      <c r="D1500" s="1"/>
      <c r="E1500" s="1"/>
      <c r="F1500" s="1"/>
      <c r="G1500" s="1"/>
      <c r="K1500" s="1"/>
      <c r="L1500" s="1"/>
      <c r="M1500" s="1"/>
    </row>
    <row r="1501" spans="1:13" ht="13.8">
      <c r="A1501" s="1"/>
      <c r="B1501" s="1"/>
      <c r="C1501" s="1"/>
      <c r="D1501" s="1"/>
      <c r="E1501" s="1"/>
      <c r="F1501" s="1"/>
      <c r="G1501" s="1"/>
      <c r="K1501" s="1"/>
      <c r="L1501" s="1"/>
      <c r="M1501" s="1"/>
    </row>
    <row r="1502" spans="1:13" ht="13.8">
      <c r="A1502" s="1"/>
      <c r="B1502" s="1"/>
      <c r="C1502" s="1"/>
      <c r="D1502" s="1"/>
      <c r="E1502" s="1"/>
      <c r="F1502" s="1"/>
      <c r="G1502" s="1"/>
      <c r="K1502" s="1"/>
      <c r="L1502" s="1"/>
      <c r="M1502" s="1"/>
    </row>
    <row r="1503" spans="1:13" ht="13.8">
      <c r="A1503" s="1"/>
      <c r="B1503" s="1"/>
      <c r="C1503" s="1"/>
      <c r="D1503" s="1"/>
      <c r="E1503" s="1"/>
      <c r="F1503" s="1"/>
      <c r="G1503" s="1"/>
      <c r="K1503" s="1"/>
      <c r="L1503" s="1"/>
      <c r="M1503" s="1"/>
    </row>
    <row r="1504" spans="1:13" ht="13.8">
      <c r="A1504" s="1"/>
      <c r="B1504" s="1"/>
      <c r="C1504" s="1"/>
      <c r="D1504" s="1"/>
      <c r="E1504" s="1"/>
      <c r="F1504" s="1"/>
      <c r="G1504" s="1"/>
      <c r="K1504" s="1"/>
      <c r="L1504" s="1"/>
      <c r="M1504" s="1"/>
    </row>
    <row r="1505" spans="1:13" ht="13.8">
      <c r="A1505" s="1"/>
      <c r="B1505" s="1"/>
      <c r="C1505" s="1"/>
      <c r="D1505" s="1"/>
      <c r="E1505" s="1"/>
      <c r="F1505" s="1"/>
      <c r="G1505" s="1"/>
      <c r="K1505" s="1"/>
      <c r="L1505" s="1"/>
      <c r="M1505" s="1"/>
    </row>
    <row r="1506" spans="1:13" ht="13.8">
      <c r="A1506" s="1"/>
      <c r="B1506" s="1"/>
      <c r="C1506" s="1"/>
      <c r="D1506" s="1"/>
      <c r="E1506" s="1"/>
      <c r="F1506" s="1"/>
      <c r="G1506" s="1"/>
      <c r="K1506" s="1"/>
      <c r="L1506" s="1"/>
      <c r="M1506" s="1"/>
    </row>
    <row r="1507" spans="1:13" ht="13.8">
      <c r="A1507" s="1"/>
      <c r="B1507" s="1"/>
      <c r="C1507" s="1"/>
      <c r="D1507" s="1"/>
      <c r="E1507" s="1"/>
      <c r="F1507" s="1"/>
      <c r="G1507" s="1"/>
      <c r="K1507" s="1"/>
      <c r="L1507" s="1"/>
      <c r="M1507" s="1"/>
    </row>
    <row r="1508" spans="1:13" ht="13.8">
      <c r="A1508" s="1"/>
      <c r="B1508" s="1"/>
      <c r="C1508" s="1"/>
      <c r="D1508" s="1"/>
      <c r="E1508" s="1"/>
      <c r="F1508" s="1"/>
      <c r="G1508" s="1"/>
      <c r="K1508" s="1"/>
      <c r="L1508" s="1"/>
      <c r="M1508" s="1"/>
    </row>
    <row r="1509" spans="1:13" ht="13.8">
      <c r="A1509" s="1"/>
      <c r="B1509" s="1"/>
      <c r="C1509" s="1"/>
      <c r="D1509" s="1"/>
      <c r="E1509" s="1"/>
      <c r="F1509" s="1"/>
      <c r="G1509" s="1"/>
      <c r="K1509" s="1"/>
      <c r="L1509" s="1"/>
      <c r="M1509" s="1"/>
    </row>
    <row r="1510" spans="1:13" ht="13.8">
      <c r="A1510" s="1"/>
      <c r="B1510" s="1"/>
      <c r="C1510" s="1"/>
      <c r="D1510" s="1"/>
      <c r="E1510" s="1"/>
      <c r="F1510" s="1"/>
      <c r="G1510" s="1"/>
      <c r="K1510" s="1"/>
      <c r="L1510" s="1"/>
      <c r="M1510" s="1"/>
    </row>
    <row r="1511" spans="1:13" ht="13.8">
      <c r="A1511" s="1"/>
      <c r="B1511" s="1"/>
      <c r="C1511" s="1"/>
      <c r="D1511" s="1"/>
      <c r="E1511" s="1"/>
      <c r="F1511" s="1"/>
      <c r="G1511" s="1"/>
      <c r="K1511" s="1"/>
      <c r="L1511" s="1"/>
      <c r="M1511" s="1"/>
    </row>
    <row r="1512" spans="1:13" ht="13.8">
      <c r="A1512" s="1"/>
      <c r="B1512" s="1"/>
      <c r="C1512" s="1"/>
      <c r="D1512" s="1"/>
      <c r="E1512" s="1"/>
      <c r="F1512" s="1"/>
      <c r="G1512" s="1"/>
      <c r="K1512" s="1"/>
      <c r="L1512" s="1"/>
      <c r="M1512" s="1"/>
    </row>
    <row r="1513" spans="1:13" ht="13.8">
      <c r="A1513" s="1"/>
      <c r="B1513" s="1"/>
      <c r="C1513" s="1"/>
      <c r="D1513" s="1"/>
      <c r="E1513" s="1"/>
      <c r="F1513" s="1"/>
      <c r="G1513" s="1"/>
      <c r="K1513" s="1"/>
      <c r="L1513" s="1"/>
      <c r="M1513" s="1"/>
    </row>
    <row r="1514" spans="1:13" ht="13.8">
      <c r="A1514" s="1"/>
      <c r="B1514" s="1"/>
      <c r="C1514" s="1"/>
      <c r="D1514" s="1"/>
      <c r="E1514" s="1"/>
      <c r="F1514" s="1"/>
      <c r="G1514" s="1"/>
      <c r="K1514" s="1"/>
      <c r="L1514" s="1"/>
      <c r="M1514" s="1"/>
    </row>
    <row r="1515" spans="1:13" ht="13.8">
      <c r="A1515" s="1"/>
      <c r="B1515" s="1"/>
      <c r="C1515" s="1"/>
      <c r="D1515" s="1"/>
      <c r="E1515" s="1"/>
      <c r="F1515" s="1"/>
      <c r="G1515" s="1"/>
      <c r="K1515" s="1"/>
      <c r="L1515" s="1"/>
      <c r="M1515" s="1"/>
    </row>
    <row r="1516" spans="1:13" ht="13.8">
      <c r="A1516" s="1"/>
      <c r="B1516" s="1"/>
      <c r="C1516" s="1"/>
      <c r="D1516" s="1"/>
      <c r="E1516" s="1"/>
      <c r="F1516" s="1"/>
      <c r="G1516" s="1"/>
      <c r="K1516" s="1"/>
      <c r="L1516" s="1"/>
      <c r="M1516" s="1"/>
    </row>
    <row r="1517" spans="1:13" ht="13.8">
      <c r="A1517" s="1"/>
      <c r="B1517" s="1"/>
      <c r="C1517" s="1"/>
      <c r="D1517" s="1"/>
      <c r="E1517" s="1"/>
      <c r="F1517" s="1"/>
      <c r="G1517" s="1"/>
      <c r="K1517" s="1"/>
      <c r="L1517" s="1"/>
      <c r="M1517" s="1"/>
    </row>
    <row r="1518" spans="1:13" ht="13.8">
      <c r="A1518" s="1"/>
      <c r="B1518" s="1"/>
      <c r="C1518" s="1"/>
      <c r="D1518" s="1"/>
      <c r="E1518" s="1"/>
      <c r="F1518" s="1"/>
      <c r="G1518" s="1"/>
      <c r="K1518" s="1"/>
      <c r="L1518" s="1"/>
      <c r="M1518" s="1"/>
    </row>
    <row r="1519" spans="1:13" ht="13.8">
      <c r="A1519" s="1"/>
      <c r="B1519" s="1"/>
      <c r="C1519" s="1"/>
      <c r="D1519" s="1"/>
      <c r="E1519" s="1"/>
      <c r="F1519" s="1"/>
      <c r="G1519" s="1"/>
      <c r="K1519" s="1"/>
      <c r="L1519" s="1"/>
      <c r="M1519" s="1"/>
    </row>
    <row r="1520" spans="1:13" ht="13.8">
      <c r="A1520" s="1"/>
      <c r="B1520" s="1"/>
      <c r="C1520" s="1"/>
      <c r="D1520" s="1"/>
      <c r="E1520" s="1"/>
      <c r="F1520" s="1"/>
      <c r="G1520" s="1"/>
      <c r="K1520" s="1"/>
      <c r="L1520" s="1"/>
      <c r="M1520" s="1"/>
    </row>
    <row r="1521" spans="1:13" ht="13.8">
      <c r="A1521" s="1"/>
      <c r="B1521" s="1"/>
      <c r="C1521" s="1"/>
      <c r="D1521" s="1"/>
      <c r="E1521" s="1"/>
      <c r="F1521" s="1"/>
      <c r="G1521" s="1"/>
      <c r="K1521" s="1"/>
      <c r="L1521" s="1"/>
      <c r="M1521" s="1"/>
    </row>
    <row r="1522" spans="1:13" ht="13.8">
      <c r="A1522" s="1"/>
      <c r="B1522" s="1"/>
      <c r="C1522" s="1"/>
      <c r="D1522" s="1"/>
      <c r="E1522" s="1"/>
      <c r="F1522" s="1"/>
      <c r="G1522" s="1"/>
      <c r="K1522" s="1"/>
      <c r="L1522" s="1"/>
      <c r="M1522" s="1"/>
    </row>
  </sheetData>
  <hyperlinks>
    <hyperlink ref="N2" r:id="rId1" xr:uid="{00000000-0004-0000-0600-000000000000}"/>
    <hyperlink ref="N3" r:id="rId2" xr:uid="{00000000-0004-0000-0600-000001000000}"/>
    <hyperlink ref="N4" r:id="rId3" xr:uid="{00000000-0004-0000-0600-000002000000}"/>
    <hyperlink ref="N5" r:id="rId4" xr:uid="{00000000-0004-0000-0600-000003000000}"/>
    <hyperlink ref="N6" r:id="rId5" xr:uid="{00000000-0004-0000-0600-000004000000}"/>
    <hyperlink ref="N7" r:id="rId6" xr:uid="{00000000-0004-0000-0600-000005000000}"/>
    <hyperlink ref="N8" r:id="rId7" xr:uid="{00000000-0004-0000-0600-000006000000}"/>
    <hyperlink ref="N9" r:id="rId8" xr:uid="{00000000-0004-0000-0600-000007000000}"/>
    <hyperlink ref="N10" r:id="rId9" xr:uid="{00000000-0004-0000-0600-000008000000}"/>
    <hyperlink ref="N11" r:id="rId10" xr:uid="{00000000-0004-0000-0600-000009000000}"/>
    <hyperlink ref="N12" r:id="rId11" xr:uid="{00000000-0004-0000-0600-00000A000000}"/>
    <hyperlink ref="N13" r:id="rId12" xr:uid="{00000000-0004-0000-0600-00000B000000}"/>
    <hyperlink ref="N14" r:id="rId13" xr:uid="{00000000-0004-0000-0600-00000C000000}"/>
    <hyperlink ref="N15" r:id="rId14" xr:uid="{00000000-0004-0000-0600-00000D000000}"/>
    <hyperlink ref="N16" r:id="rId15" xr:uid="{00000000-0004-0000-0600-00000E000000}"/>
    <hyperlink ref="N17" r:id="rId16" xr:uid="{00000000-0004-0000-0600-00000F000000}"/>
    <hyperlink ref="N18" r:id="rId17" xr:uid="{00000000-0004-0000-0600-000010000000}"/>
    <hyperlink ref="N19" r:id="rId18" xr:uid="{00000000-0004-0000-0600-000011000000}"/>
    <hyperlink ref="N20" r:id="rId19" xr:uid="{00000000-0004-0000-0600-000012000000}"/>
    <hyperlink ref="N21" r:id="rId20" xr:uid="{00000000-0004-0000-0600-000013000000}"/>
    <hyperlink ref="N22" r:id="rId21" xr:uid="{00000000-0004-0000-0600-000014000000}"/>
    <hyperlink ref="N23" r:id="rId22" xr:uid="{00000000-0004-0000-0600-000015000000}"/>
    <hyperlink ref="N24" r:id="rId23" xr:uid="{00000000-0004-0000-0600-000016000000}"/>
    <hyperlink ref="N25" r:id="rId24" xr:uid="{00000000-0004-0000-0600-000017000000}"/>
    <hyperlink ref="N26" r:id="rId25" xr:uid="{00000000-0004-0000-0600-000018000000}"/>
    <hyperlink ref="N27" r:id="rId26" xr:uid="{00000000-0004-0000-0600-000019000000}"/>
    <hyperlink ref="N28" r:id="rId27" xr:uid="{00000000-0004-0000-0600-00001A000000}"/>
    <hyperlink ref="N29" r:id="rId28" xr:uid="{00000000-0004-0000-0600-00001B000000}"/>
    <hyperlink ref="N30" r:id="rId29" xr:uid="{00000000-0004-0000-0600-00001C000000}"/>
    <hyperlink ref="N31" r:id="rId30" xr:uid="{00000000-0004-0000-0600-00001D000000}"/>
    <hyperlink ref="N32" r:id="rId31" xr:uid="{00000000-0004-0000-0600-00001E000000}"/>
    <hyperlink ref="N33" r:id="rId32" xr:uid="{00000000-0004-0000-0600-00001F000000}"/>
    <hyperlink ref="N34" r:id="rId33" xr:uid="{00000000-0004-0000-0600-000020000000}"/>
    <hyperlink ref="N35" r:id="rId34" xr:uid="{00000000-0004-0000-0600-000021000000}"/>
    <hyperlink ref="N36" r:id="rId35" xr:uid="{00000000-0004-0000-0600-000022000000}"/>
    <hyperlink ref="N37" r:id="rId36" xr:uid="{00000000-0004-0000-0600-000023000000}"/>
    <hyperlink ref="N38" r:id="rId37" xr:uid="{00000000-0004-0000-0600-000024000000}"/>
    <hyperlink ref="N39" r:id="rId38" xr:uid="{00000000-0004-0000-0600-000025000000}"/>
    <hyperlink ref="N40" r:id="rId39" xr:uid="{00000000-0004-0000-0600-000026000000}"/>
    <hyperlink ref="N41" r:id="rId40" xr:uid="{00000000-0004-0000-0600-000027000000}"/>
    <hyperlink ref="N42" r:id="rId41" xr:uid="{00000000-0004-0000-0600-000028000000}"/>
    <hyperlink ref="N43" r:id="rId42" xr:uid="{00000000-0004-0000-0600-000029000000}"/>
    <hyperlink ref="N44" r:id="rId43" xr:uid="{00000000-0004-0000-0600-00002A000000}"/>
    <hyperlink ref="N45" r:id="rId44" xr:uid="{00000000-0004-0000-0600-00002B000000}"/>
    <hyperlink ref="N46" r:id="rId45" xr:uid="{00000000-0004-0000-0600-00002C000000}"/>
    <hyperlink ref="N47" r:id="rId46" xr:uid="{00000000-0004-0000-0600-00002D000000}"/>
    <hyperlink ref="N48" r:id="rId47" xr:uid="{00000000-0004-0000-0600-00002E000000}"/>
    <hyperlink ref="N49" r:id="rId48" xr:uid="{00000000-0004-0000-0600-00002F000000}"/>
    <hyperlink ref="N50" r:id="rId49" xr:uid="{00000000-0004-0000-0600-000030000000}"/>
    <hyperlink ref="N51" r:id="rId50" xr:uid="{00000000-0004-0000-0600-000031000000}"/>
    <hyperlink ref="N52" r:id="rId51" xr:uid="{00000000-0004-0000-0600-000032000000}"/>
    <hyperlink ref="N53" r:id="rId52" xr:uid="{00000000-0004-0000-0600-000033000000}"/>
    <hyperlink ref="N54" r:id="rId53" xr:uid="{00000000-0004-0000-0600-000034000000}"/>
    <hyperlink ref="N55" r:id="rId54" xr:uid="{00000000-0004-0000-0600-000035000000}"/>
    <hyperlink ref="N56" r:id="rId55" xr:uid="{00000000-0004-0000-0600-000036000000}"/>
    <hyperlink ref="N57" r:id="rId56" xr:uid="{00000000-0004-0000-0600-000037000000}"/>
    <hyperlink ref="N58" r:id="rId57" xr:uid="{00000000-0004-0000-0600-000038000000}"/>
    <hyperlink ref="N59" r:id="rId58" xr:uid="{00000000-0004-0000-0600-000039000000}"/>
    <hyperlink ref="N60" r:id="rId59" xr:uid="{00000000-0004-0000-0600-00003A000000}"/>
    <hyperlink ref="N61" r:id="rId60" xr:uid="{00000000-0004-0000-0600-00003B000000}"/>
    <hyperlink ref="N62" r:id="rId61" xr:uid="{00000000-0004-0000-0600-00003C000000}"/>
    <hyperlink ref="N63" r:id="rId62" xr:uid="{00000000-0004-0000-0600-00003D000000}"/>
    <hyperlink ref="N64" r:id="rId63" xr:uid="{00000000-0004-0000-0600-00003E000000}"/>
    <hyperlink ref="N65" r:id="rId64" xr:uid="{00000000-0004-0000-0600-00003F000000}"/>
    <hyperlink ref="N66" r:id="rId65" xr:uid="{00000000-0004-0000-0600-000040000000}"/>
    <hyperlink ref="N67" r:id="rId66" xr:uid="{00000000-0004-0000-0600-000041000000}"/>
    <hyperlink ref="N68" r:id="rId67" xr:uid="{00000000-0004-0000-0600-000042000000}"/>
    <hyperlink ref="N69" r:id="rId68" xr:uid="{00000000-0004-0000-0600-000043000000}"/>
    <hyperlink ref="N70" r:id="rId69" xr:uid="{00000000-0004-0000-0600-000044000000}"/>
    <hyperlink ref="N71" r:id="rId70" xr:uid="{00000000-0004-0000-0600-000045000000}"/>
    <hyperlink ref="N72" r:id="rId71" xr:uid="{00000000-0004-0000-0600-000046000000}"/>
    <hyperlink ref="N73" r:id="rId72" xr:uid="{00000000-0004-0000-0600-000047000000}"/>
    <hyperlink ref="N74" r:id="rId73" xr:uid="{00000000-0004-0000-0600-000048000000}"/>
    <hyperlink ref="N75" r:id="rId74" xr:uid="{00000000-0004-0000-0600-000049000000}"/>
    <hyperlink ref="N76" r:id="rId75" xr:uid="{00000000-0004-0000-0600-00004A000000}"/>
    <hyperlink ref="N77" r:id="rId76" xr:uid="{00000000-0004-0000-0600-00004B000000}"/>
    <hyperlink ref="N78" r:id="rId77" xr:uid="{00000000-0004-0000-0600-00004C000000}"/>
    <hyperlink ref="N79" r:id="rId78" xr:uid="{00000000-0004-0000-0600-00004D000000}"/>
    <hyperlink ref="N80" r:id="rId79" xr:uid="{00000000-0004-0000-0600-00004E000000}"/>
    <hyperlink ref="N81" r:id="rId80" xr:uid="{00000000-0004-0000-0600-00004F000000}"/>
    <hyperlink ref="N82" r:id="rId81" xr:uid="{00000000-0004-0000-0600-000050000000}"/>
    <hyperlink ref="N83" r:id="rId82" xr:uid="{00000000-0004-0000-0600-000051000000}"/>
    <hyperlink ref="N84" r:id="rId83" xr:uid="{00000000-0004-0000-0600-000052000000}"/>
    <hyperlink ref="N85" r:id="rId84" xr:uid="{00000000-0004-0000-0600-000053000000}"/>
    <hyperlink ref="N86" r:id="rId85" xr:uid="{00000000-0004-0000-0600-000054000000}"/>
    <hyperlink ref="N87" r:id="rId86" xr:uid="{00000000-0004-0000-0600-000055000000}"/>
    <hyperlink ref="N88" r:id="rId87" xr:uid="{00000000-0004-0000-0600-000056000000}"/>
    <hyperlink ref="N89" r:id="rId88" xr:uid="{00000000-0004-0000-0600-000057000000}"/>
    <hyperlink ref="N90" r:id="rId89" xr:uid="{00000000-0004-0000-0600-000058000000}"/>
    <hyperlink ref="N91" r:id="rId90" xr:uid="{00000000-0004-0000-0600-000059000000}"/>
    <hyperlink ref="N92" r:id="rId91" xr:uid="{00000000-0004-0000-0600-00005A000000}"/>
    <hyperlink ref="N93" r:id="rId92" xr:uid="{00000000-0004-0000-0600-00005B000000}"/>
    <hyperlink ref="N94" r:id="rId93" xr:uid="{00000000-0004-0000-0600-00005C000000}"/>
    <hyperlink ref="N95" r:id="rId94" xr:uid="{00000000-0004-0000-0600-00005D000000}"/>
    <hyperlink ref="N96" r:id="rId95" xr:uid="{00000000-0004-0000-0600-00005E000000}"/>
    <hyperlink ref="N97" r:id="rId96" xr:uid="{00000000-0004-0000-0600-00005F000000}"/>
    <hyperlink ref="N98" r:id="rId97" xr:uid="{00000000-0004-0000-0600-000060000000}"/>
    <hyperlink ref="N99" r:id="rId98" xr:uid="{00000000-0004-0000-0600-000061000000}"/>
    <hyperlink ref="N100" r:id="rId99" xr:uid="{00000000-0004-0000-0600-000062000000}"/>
    <hyperlink ref="N101" r:id="rId100" xr:uid="{00000000-0004-0000-0600-000063000000}"/>
    <hyperlink ref="N102" r:id="rId101" xr:uid="{00000000-0004-0000-0600-000064000000}"/>
    <hyperlink ref="N103" r:id="rId102" xr:uid="{00000000-0004-0000-0600-000065000000}"/>
    <hyperlink ref="N104" r:id="rId103" xr:uid="{00000000-0004-0000-0600-000066000000}"/>
    <hyperlink ref="N105" r:id="rId104" xr:uid="{00000000-0004-0000-0600-000067000000}"/>
    <hyperlink ref="N106" r:id="rId105" xr:uid="{00000000-0004-0000-0600-000068000000}"/>
    <hyperlink ref="N107" r:id="rId106" xr:uid="{00000000-0004-0000-0600-000069000000}"/>
    <hyperlink ref="N108" r:id="rId107" xr:uid="{00000000-0004-0000-0600-00006A000000}"/>
    <hyperlink ref="N109" r:id="rId108" xr:uid="{00000000-0004-0000-0600-00006B000000}"/>
    <hyperlink ref="N110" r:id="rId109" xr:uid="{00000000-0004-0000-0600-00006C000000}"/>
    <hyperlink ref="N111" r:id="rId110" xr:uid="{00000000-0004-0000-0600-00006D000000}"/>
    <hyperlink ref="N112" r:id="rId111" xr:uid="{00000000-0004-0000-0600-00006E000000}"/>
    <hyperlink ref="N113" r:id="rId112" xr:uid="{00000000-0004-0000-0600-00006F000000}"/>
    <hyperlink ref="N114" r:id="rId113" xr:uid="{00000000-0004-0000-0600-000070000000}"/>
    <hyperlink ref="N115" r:id="rId114" xr:uid="{00000000-0004-0000-0600-000071000000}"/>
    <hyperlink ref="N116" r:id="rId115" xr:uid="{00000000-0004-0000-0600-000072000000}"/>
    <hyperlink ref="N117" r:id="rId116" xr:uid="{00000000-0004-0000-0600-000073000000}"/>
    <hyperlink ref="N118" r:id="rId117" xr:uid="{00000000-0004-0000-0600-000074000000}"/>
    <hyperlink ref="N119" r:id="rId118" xr:uid="{00000000-0004-0000-0600-000075000000}"/>
    <hyperlink ref="N120" r:id="rId119" xr:uid="{00000000-0004-0000-0600-000076000000}"/>
    <hyperlink ref="N121" r:id="rId120" xr:uid="{00000000-0004-0000-0600-000077000000}"/>
    <hyperlink ref="N122" r:id="rId121" xr:uid="{00000000-0004-0000-0600-000078000000}"/>
    <hyperlink ref="N123" r:id="rId122" xr:uid="{00000000-0004-0000-0600-000079000000}"/>
    <hyperlink ref="N124" r:id="rId123" xr:uid="{00000000-0004-0000-0600-00007A000000}"/>
    <hyperlink ref="N125" r:id="rId124" xr:uid="{00000000-0004-0000-0600-00007B000000}"/>
    <hyperlink ref="N126" r:id="rId125" xr:uid="{00000000-0004-0000-0600-00007C000000}"/>
    <hyperlink ref="N127" r:id="rId126" xr:uid="{00000000-0004-0000-0600-00007D000000}"/>
    <hyperlink ref="N128" r:id="rId127" xr:uid="{00000000-0004-0000-0600-00007E000000}"/>
    <hyperlink ref="N129" r:id="rId128" xr:uid="{00000000-0004-0000-0600-00007F000000}"/>
    <hyperlink ref="N130" r:id="rId129" xr:uid="{00000000-0004-0000-0600-000080000000}"/>
    <hyperlink ref="N131" r:id="rId130" xr:uid="{00000000-0004-0000-0600-000081000000}"/>
    <hyperlink ref="N132" r:id="rId131" xr:uid="{00000000-0004-0000-0600-000082000000}"/>
    <hyperlink ref="N133" r:id="rId132" xr:uid="{00000000-0004-0000-0600-000083000000}"/>
    <hyperlink ref="N134" r:id="rId133" xr:uid="{00000000-0004-0000-0600-000084000000}"/>
    <hyperlink ref="N135" r:id="rId134" xr:uid="{00000000-0004-0000-0600-000085000000}"/>
    <hyperlink ref="N136" r:id="rId135" xr:uid="{00000000-0004-0000-0600-000086000000}"/>
    <hyperlink ref="N137" r:id="rId136" xr:uid="{00000000-0004-0000-0600-000087000000}"/>
    <hyperlink ref="N138" r:id="rId137" xr:uid="{00000000-0004-0000-0600-000088000000}"/>
    <hyperlink ref="N139" r:id="rId138" xr:uid="{00000000-0004-0000-0600-000089000000}"/>
    <hyperlink ref="N140" r:id="rId139" xr:uid="{00000000-0004-0000-0600-00008A000000}"/>
    <hyperlink ref="N141" r:id="rId140" xr:uid="{00000000-0004-0000-0600-00008B000000}"/>
    <hyperlink ref="N142" r:id="rId141" xr:uid="{00000000-0004-0000-0600-00008C000000}"/>
    <hyperlink ref="N143" r:id="rId142" xr:uid="{00000000-0004-0000-0600-00008D000000}"/>
    <hyperlink ref="N144" r:id="rId143" xr:uid="{00000000-0004-0000-0600-00008E000000}"/>
    <hyperlink ref="N145" r:id="rId144" xr:uid="{00000000-0004-0000-0600-00008F000000}"/>
    <hyperlink ref="N146" r:id="rId145" xr:uid="{00000000-0004-0000-0600-000090000000}"/>
    <hyperlink ref="N147" r:id="rId146" xr:uid="{00000000-0004-0000-0600-000091000000}"/>
    <hyperlink ref="N148" r:id="rId147" xr:uid="{00000000-0004-0000-0600-000092000000}"/>
    <hyperlink ref="N149" r:id="rId148" xr:uid="{00000000-0004-0000-0600-000093000000}"/>
    <hyperlink ref="N150" r:id="rId149" xr:uid="{00000000-0004-0000-0600-000094000000}"/>
    <hyperlink ref="N151" r:id="rId150" xr:uid="{00000000-0004-0000-0600-000095000000}"/>
    <hyperlink ref="N152" r:id="rId151" xr:uid="{00000000-0004-0000-0600-000096000000}"/>
    <hyperlink ref="N153" r:id="rId152" xr:uid="{00000000-0004-0000-0600-000097000000}"/>
    <hyperlink ref="N154" r:id="rId153" xr:uid="{00000000-0004-0000-0600-000098000000}"/>
    <hyperlink ref="N155" r:id="rId154" xr:uid="{00000000-0004-0000-0600-000099000000}"/>
    <hyperlink ref="N156" r:id="rId155" xr:uid="{00000000-0004-0000-0600-00009A000000}"/>
    <hyperlink ref="N157" r:id="rId156" xr:uid="{00000000-0004-0000-0600-00009B000000}"/>
    <hyperlink ref="N158" r:id="rId157" xr:uid="{00000000-0004-0000-0600-00009C000000}"/>
    <hyperlink ref="N159" r:id="rId158" xr:uid="{00000000-0004-0000-0600-00009D000000}"/>
    <hyperlink ref="N160" r:id="rId159" xr:uid="{00000000-0004-0000-0600-00009E000000}"/>
    <hyperlink ref="N161" r:id="rId160" xr:uid="{00000000-0004-0000-0600-00009F000000}"/>
    <hyperlink ref="N162" r:id="rId161" xr:uid="{00000000-0004-0000-0600-0000A0000000}"/>
    <hyperlink ref="N163" r:id="rId162" xr:uid="{00000000-0004-0000-0600-0000A1000000}"/>
    <hyperlink ref="N164" r:id="rId163" xr:uid="{00000000-0004-0000-0600-0000A2000000}"/>
    <hyperlink ref="N165" r:id="rId164" xr:uid="{00000000-0004-0000-0600-0000A3000000}"/>
    <hyperlink ref="N166" r:id="rId165" xr:uid="{00000000-0004-0000-0600-0000A4000000}"/>
    <hyperlink ref="N167" r:id="rId166" xr:uid="{00000000-0004-0000-0600-0000A5000000}"/>
    <hyperlink ref="N168" r:id="rId167" xr:uid="{00000000-0004-0000-0600-0000A6000000}"/>
    <hyperlink ref="N169" r:id="rId168" xr:uid="{00000000-0004-0000-0600-0000A7000000}"/>
    <hyperlink ref="N170" r:id="rId169" xr:uid="{00000000-0004-0000-0600-0000A8000000}"/>
    <hyperlink ref="N171" r:id="rId170" xr:uid="{00000000-0004-0000-0600-0000A9000000}"/>
    <hyperlink ref="N172" r:id="rId171" xr:uid="{00000000-0004-0000-0600-0000AA000000}"/>
    <hyperlink ref="N173" r:id="rId172" xr:uid="{00000000-0004-0000-0600-0000AB000000}"/>
    <hyperlink ref="N174" r:id="rId173" xr:uid="{00000000-0004-0000-0600-0000AC000000}"/>
    <hyperlink ref="N175" r:id="rId174" xr:uid="{00000000-0004-0000-0600-0000AD000000}"/>
    <hyperlink ref="N176" r:id="rId175" xr:uid="{00000000-0004-0000-0600-0000AE000000}"/>
    <hyperlink ref="N177" r:id="rId176" xr:uid="{00000000-0004-0000-0600-0000AF000000}"/>
    <hyperlink ref="N178" r:id="rId177" xr:uid="{00000000-0004-0000-0600-0000B0000000}"/>
    <hyperlink ref="N179" r:id="rId178" xr:uid="{00000000-0004-0000-0600-0000B1000000}"/>
    <hyperlink ref="N180" r:id="rId179" xr:uid="{00000000-0004-0000-0600-0000B2000000}"/>
    <hyperlink ref="N181" r:id="rId180" xr:uid="{00000000-0004-0000-0600-0000B3000000}"/>
    <hyperlink ref="N182" r:id="rId181" xr:uid="{00000000-0004-0000-0600-0000B4000000}"/>
    <hyperlink ref="N183" r:id="rId182" xr:uid="{00000000-0004-0000-0600-0000B5000000}"/>
    <hyperlink ref="N184" r:id="rId183" xr:uid="{00000000-0004-0000-0600-0000B6000000}"/>
    <hyperlink ref="N185" r:id="rId184" xr:uid="{00000000-0004-0000-0600-0000B7000000}"/>
    <hyperlink ref="N186" r:id="rId185" xr:uid="{00000000-0004-0000-0600-0000B8000000}"/>
    <hyperlink ref="N187" r:id="rId186" xr:uid="{00000000-0004-0000-0600-0000B9000000}"/>
    <hyperlink ref="N188" r:id="rId187" xr:uid="{00000000-0004-0000-0600-0000BA000000}"/>
    <hyperlink ref="N189" r:id="rId188" xr:uid="{00000000-0004-0000-0600-0000BB000000}"/>
    <hyperlink ref="N190" r:id="rId189" xr:uid="{00000000-0004-0000-0600-0000BC000000}"/>
    <hyperlink ref="N191" r:id="rId190" xr:uid="{00000000-0004-0000-0600-0000BD000000}"/>
    <hyperlink ref="N192" r:id="rId191" xr:uid="{00000000-0004-0000-0600-0000BE000000}"/>
    <hyperlink ref="N193" r:id="rId192" xr:uid="{00000000-0004-0000-0600-0000BF000000}"/>
    <hyperlink ref="N194" r:id="rId193" xr:uid="{00000000-0004-0000-0600-0000C0000000}"/>
    <hyperlink ref="N195" r:id="rId194" xr:uid="{00000000-0004-0000-0600-0000C1000000}"/>
    <hyperlink ref="N196" r:id="rId195" xr:uid="{00000000-0004-0000-0600-0000C2000000}"/>
    <hyperlink ref="N197" r:id="rId196" xr:uid="{00000000-0004-0000-0600-0000C3000000}"/>
    <hyperlink ref="N198" r:id="rId197" xr:uid="{00000000-0004-0000-0600-0000C4000000}"/>
    <hyperlink ref="N199" r:id="rId198" xr:uid="{00000000-0004-0000-0600-0000C5000000}"/>
    <hyperlink ref="N200" r:id="rId199" xr:uid="{00000000-0004-0000-0600-0000C6000000}"/>
    <hyperlink ref="N201" r:id="rId200" xr:uid="{00000000-0004-0000-0600-0000C7000000}"/>
    <hyperlink ref="N202" r:id="rId201" xr:uid="{00000000-0004-0000-0600-0000C8000000}"/>
    <hyperlink ref="N203" r:id="rId202" xr:uid="{00000000-0004-0000-0600-0000C9000000}"/>
    <hyperlink ref="N204" r:id="rId203" xr:uid="{00000000-0004-0000-0600-0000CA000000}"/>
    <hyperlink ref="N205" r:id="rId204" xr:uid="{00000000-0004-0000-0600-0000CB000000}"/>
    <hyperlink ref="N206" r:id="rId205" xr:uid="{00000000-0004-0000-0600-0000CC000000}"/>
    <hyperlink ref="N207" r:id="rId206" xr:uid="{00000000-0004-0000-0600-0000CD000000}"/>
    <hyperlink ref="N208" r:id="rId207" xr:uid="{00000000-0004-0000-0600-0000CE000000}"/>
    <hyperlink ref="N209" r:id="rId208" xr:uid="{00000000-0004-0000-0600-0000CF000000}"/>
    <hyperlink ref="N210" r:id="rId209" xr:uid="{00000000-0004-0000-0600-0000D0000000}"/>
    <hyperlink ref="N211" r:id="rId210" xr:uid="{00000000-0004-0000-0600-0000D1000000}"/>
    <hyperlink ref="N212" r:id="rId211" xr:uid="{00000000-0004-0000-0600-0000D2000000}"/>
    <hyperlink ref="N213" r:id="rId212" xr:uid="{00000000-0004-0000-0600-0000D3000000}"/>
    <hyperlink ref="N214" r:id="rId213" xr:uid="{00000000-0004-0000-0600-0000D4000000}"/>
    <hyperlink ref="N215" r:id="rId214" xr:uid="{00000000-0004-0000-0600-0000D5000000}"/>
    <hyperlink ref="N216" r:id="rId215" xr:uid="{00000000-0004-0000-0600-0000D6000000}"/>
    <hyperlink ref="N217" r:id="rId216" xr:uid="{00000000-0004-0000-0600-0000D7000000}"/>
    <hyperlink ref="N218" r:id="rId217" xr:uid="{00000000-0004-0000-0600-0000D8000000}"/>
    <hyperlink ref="N219" r:id="rId218" xr:uid="{00000000-0004-0000-0600-0000D9000000}"/>
    <hyperlink ref="N220" r:id="rId219" xr:uid="{00000000-0004-0000-0600-0000DA000000}"/>
    <hyperlink ref="N221" r:id="rId220" xr:uid="{00000000-0004-0000-0600-0000DB000000}"/>
    <hyperlink ref="N222" r:id="rId221" xr:uid="{00000000-0004-0000-0600-0000DC000000}"/>
    <hyperlink ref="N223" r:id="rId222" xr:uid="{00000000-0004-0000-0600-0000DD000000}"/>
    <hyperlink ref="N224" r:id="rId223" xr:uid="{00000000-0004-0000-0600-0000DE000000}"/>
    <hyperlink ref="N225" r:id="rId224" xr:uid="{00000000-0004-0000-0600-0000DF000000}"/>
    <hyperlink ref="N226" r:id="rId225" xr:uid="{00000000-0004-0000-0600-0000E0000000}"/>
    <hyperlink ref="N227" r:id="rId226" xr:uid="{00000000-0004-0000-0600-0000E1000000}"/>
    <hyperlink ref="N228" r:id="rId227" xr:uid="{00000000-0004-0000-0600-0000E2000000}"/>
    <hyperlink ref="N229" r:id="rId228" xr:uid="{00000000-0004-0000-0600-0000E3000000}"/>
    <hyperlink ref="N230" r:id="rId229" xr:uid="{00000000-0004-0000-0600-0000E4000000}"/>
    <hyperlink ref="N231" r:id="rId230" xr:uid="{00000000-0004-0000-0600-0000E5000000}"/>
    <hyperlink ref="N232" r:id="rId231" xr:uid="{00000000-0004-0000-0600-0000E6000000}"/>
    <hyperlink ref="N233" r:id="rId232" xr:uid="{00000000-0004-0000-0600-0000E7000000}"/>
    <hyperlink ref="N234" r:id="rId233" xr:uid="{00000000-0004-0000-0600-0000E8000000}"/>
    <hyperlink ref="N235" r:id="rId234" xr:uid="{00000000-0004-0000-0600-0000E9000000}"/>
    <hyperlink ref="N236" r:id="rId235" xr:uid="{00000000-0004-0000-0600-0000EA000000}"/>
    <hyperlink ref="N237" r:id="rId236" xr:uid="{00000000-0004-0000-0600-0000EB000000}"/>
    <hyperlink ref="N238" r:id="rId237" xr:uid="{00000000-0004-0000-0600-0000EC000000}"/>
    <hyperlink ref="N239" r:id="rId238" xr:uid="{00000000-0004-0000-0600-0000ED000000}"/>
    <hyperlink ref="N240" r:id="rId239" xr:uid="{00000000-0004-0000-0600-0000EE000000}"/>
    <hyperlink ref="N241" r:id="rId240" xr:uid="{00000000-0004-0000-0600-0000EF000000}"/>
    <hyperlink ref="N242" r:id="rId241" xr:uid="{00000000-0004-0000-0600-0000F0000000}"/>
    <hyperlink ref="N243" r:id="rId242" xr:uid="{00000000-0004-0000-0600-0000F1000000}"/>
    <hyperlink ref="N244" r:id="rId243" xr:uid="{00000000-0004-0000-0600-0000F2000000}"/>
    <hyperlink ref="N245" r:id="rId244" xr:uid="{00000000-0004-0000-0600-0000F3000000}"/>
    <hyperlink ref="N246" r:id="rId245" xr:uid="{00000000-0004-0000-0600-0000F4000000}"/>
    <hyperlink ref="N247" r:id="rId246" xr:uid="{00000000-0004-0000-0600-0000F5000000}"/>
    <hyperlink ref="N248" r:id="rId247" xr:uid="{00000000-0004-0000-0600-0000F6000000}"/>
    <hyperlink ref="N249" r:id="rId248" xr:uid="{00000000-0004-0000-0600-0000F7000000}"/>
    <hyperlink ref="N250" r:id="rId249" xr:uid="{00000000-0004-0000-0600-0000F8000000}"/>
    <hyperlink ref="N251" r:id="rId250" xr:uid="{00000000-0004-0000-0600-0000F9000000}"/>
    <hyperlink ref="N252" r:id="rId251" xr:uid="{00000000-0004-0000-0600-0000FA000000}"/>
    <hyperlink ref="N253" r:id="rId252" xr:uid="{00000000-0004-0000-0600-0000FB000000}"/>
    <hyperlink ref="N254" r:id="rId253" xr:uid="{00000000-0004-0000-0600-0000FC000000}"/>
    <hyperlink ref="N255" r:id="rId254" xr:uid="{00000000-0004-0000-0600-0000FD000000}"/>
    <hyperlink ref="N256" r:id="rId255" xr:uid="{00000000-0004-0000-0600-0000FE000000}"/>
    <hyperlink ref="N257" r:id="rId256" xr:uid="{00000000-0004-0000-0600-0000FF000000}"/>
    <hyperlink ref="N258" r:id="rId257" xr:uid="{00000000-0004-0000-0600-000000010000}"/>
    <hyperlink ref="N259" r:id="rId258" xr:uid="{00000000-0004-0000-0600-000001010000}"/>
    <hyperlink ref="N260" r:id="rId259" xr:uid="{00000000-0004-0000-0600-000002010000}"/>
    <hyperlink ref="N261" r:id="rId260" xr:uid="{00000000-0004-0000-0600-000003010000}"/>
    <hyperlink ref="N262" r:id="rId261" xr:uid="{00000000-0004-0000-0600-000004010000}"/>
    <hyperlink ref="N263" r:id="rId262" xr:uid="{00000000-0004-0000-0600-000005010000}"/>
    <hyperlink ref="N264" r:id="rId263" xr:uid="{00000000-0004-0000-0600-000006010000}"/>
    <hyperlink ref="N265" r:id="rId264" xr:uid="{00000000-0004-0000-0600-000007010000}"/>
    <hyperlink ref="N266" r:id="rId265" xr:uid="{00000000-0004-0000-0600-000008010000}"/>
    <hyperlink ref="N267" r:id="rId266" xr:uid="{00000000-0004-0000-0600-000009010000}"/>
    <hyperlink ref="N268" r:id="rId267" xr:uid="{00000000-0004-0000-0600-00000A010000}"/>
    <hyperlink ref="N269" r:id="rId268" xr:uid="{00000000-0004-0000-0600-00000B010000}"/>
    <hyperlink ref="N270" r:id="rId269" xr:uid="{00000000-0004-0000-0600-00000C010000}"/>
    <hyperlink ref="N271" r:id="rId270" xr:uid="{00000000-0004-0000-0600-00000D010000}"/>
    <hyperlink ref="N272" r:id="rId271" xr:uid="{00000000-0004-0000-0600-00000E010000}"/>
    <hyperlink ref="N273" r:id="rId272" xr:uid="{00000000-0004-0000-0600-00000F010000}"/>
    <hyperlink ref="N274" r:id="rId273" xr:uid="{00000000-0004-0000-0600-000010010000}"/>
    <hyperlink ref="N275" r:id="rId274" xr:uid="{00000000-0004-0000-0600-000011010000}"/>
    <hyperlink ref="N276" r:id="rId275" xr:uid="{00000000-0004-0000-0600-000012010000}"/>
    <hyperlink ref="N277" r:id="rId276" xr:uid="{00000000-0004-0000-0600-000013010000}"/>
    <hyperlink ref="N278" r:id="rId277" xr:uid="{00000000-0004-0000-0600-000014010000}"/>
    <hyperlink ref="N279" r:id="rId278" xr:uid="{00000000-0004-0000-0600-000015010000}"/>
    <hyperlink ref="N280" r:id="rId279" xr:uid="{00000000-0004-0000-0600-000016010000}"/>
    <hyperlink ref="N281" r:id="rId280" xr:uid="{00000000-0004-0000-0600-000017010000}"/>
    <hyperlink ref="N282" r:id="rId281" xr:uid="{00000000-0004-0000-0600-000018010000}"/>
    <hyperlink ref="N283" r:id="rId282" xr:uid="{00000000-0004-0000-0600-000019010000}"/>
    <hyperlink ref="N284" r:id="rId283" xr:uid="{00000000-0004-0000-0600-00001A010000}"/>
    <hyperlink ref="N285" r:id="rId284" xr:uid="{00000000-0004-0000-0600-00001B010000}"/>
    <hyperlink ref="N286" r:id="rId285" xr:uid="{00000000-0004-0000-0600-00001C010000}"/>
    <hyperlink ref="N287" r:id="rId286" xr:uid="{00000000-0004-0000-0600-00001D010000}"/>
    <hyperlink ref="N288" r:id="rId287" xr:uid="{00000000-0004-0000-0600-00001E010000}"/>
    <hyperlink ref="N289" r:id="rId288" xr:uid="{00000000-0004-0000-0600-00001F010000}"/>
    <hyperlink ref="N290" r:id="rId289" xr:uid="{00000000-0004-0000-0600-000020010000}"/>
    <hyperlink ref="N291" r:id="rId290" xr:uid="{00000000-0004-0000-0600-000021010000}"/>
    <hyperlink ref="N292" r:id="rId291" xr:uid="{00000000-0004-0000-0600-000022010000}"/>
    <hyperlink ref="N293" r:id="rId292" xr:uid="{00000000-0004-0000-0600-000023010000}"/>
    <hyperlink ref="N294" r:id="rId293" xr:uid="{00000000-0004-0000-0600-000024010000}"/>
    <hyperlink ref="N295" r:id="rId294" xr:uid="{00000000-0004-0000-0600-000025010000}"/>
    <hyperlink ref="N296" r:id="rId295" xr:uid="{00000000-0004-0000-0600-000026010000}"/>
    <hyperlink ref="N297" r:id="rId296" xr:uid="{00000000-0004-0000-0600-000027010000}"/>
    <hyperlink ref="N298" r:id="rId297" xr:uid="{00000000-0004-0000-0600-000028010000}"/>
    <hyperlink ref="N299" r:id="rId298" xr:uid="{00000000-0004-0000-0600-000029010000}"/>
    <hyperlink ref="N300" r:id="rId299" xr:uid="{00000000-0004-0000-0600-00002A010000}"/>
    <hyperlink ref="N301" r:id="rId300" xr:uid="{00000000-0004-0000-0600-00002B010000}"/>
    <hyperlink ref="N302" r:id="rId301" xr:uid="{00000000-0004-0000-0600-00002C010000}"/>
    <hyperlink ref="N303" r:id="rId302" xr:uid="{00000000-0004-0000-0600-00002D010000}"/>
    <hyperlink ref="N304" r:id="rId303" xr:uid="{00000000-0004-0000-0600-00002E010000}"/>
    <hyperlink ref="N305" r:id="rId304" xr:uid="{00000000-0004-0000-0600-00002F010000}"/>
    <hyperlink ref="N306" r:id="rId305" xr:uid="{00000000-0004-0000-0600-000030010000}"/>
    <hyperlink ref="N307" r:id="rId306" xr:uid="{00000000-0004-0000-0600-000031010000}"/>
    <hyperlink ref="N308" r:id="rId307" xr:uid="{00000000-0004-0000-0600-000032010000}"/>
    <hyperlink ref="N309" r:id="rId308" xr:uid="{00000000-0004-0000-0600-000033010000}"/>
    <hyperlink ref="N310" r:id="rId309" xr:uid="{00000000-0004-0000-0600-000034010000}"/>
    <hyperlink ref="N311" r:id="rId310" xr:uid="{00000000-0004-0000-0600-000035010000}"/>
    <hyperlink ref="N312" r:id="rId311" xr:uid="{00000000-0004-0000-0600-000036010000}"/>
    <hyperlink ref="N313" r:id="rId312" xr:uid="{00000000-0004-0000-0600-000037010000}"/>
    <hyperlink ref="N314" r:id="rId313" xr:uid="{00000000-0004-0000-0600-000038010000}"/>
    <hyperlink ref="N315" r:id="rId314" xr:uid="{00000000-0004-0000-0600-000039010000}"/>
    <hyperlink ref="N316" r:id="rId315" xr:uid="{00000000-0004-0000-0600-00003A010000}"/>
    <hyperlink ref="N317" r:id="rId316" xr:uid="{00000000-0004-0000-0600-00003B010000}"/>
    <hyperlink ref="N318" r:id="rId317" xr:uid="{00000000-0004-0000-0600-00003C010000}"/>
    <hyperlink ref="N319" r:id="rId318" xr:uid="{00000000-0004-0000-0600-00003D010000}"/>
    <hyperlink ref="N320" r:id="rId319" xr:uid="{00000000-0004-0000-0600-00003E010000}"/>
    <hyperlink ref="N321" r:id="rId320" xr:uid="{00000000-0004-0000-0600-00003F010000}"/>
    <hyperlink ref="N322" r:id="rId321" xr:uid="{00000000-0004-0000-0600-000040010000}"/>
    <hyperlink ref="N323" r:id="rId322" xr:uid="{00000000-0004-0000-0600-000041010000}"/>
    <hyperlink ref="N324" r:id="rId323" xr:uid="{00000000-0004-0000-0600-000042010000}"/>
    <hyperlink ref="N325" r:id="rId324" xr:uid="{00000000-0004-0000-0600-000043010000}"/>
    <hyperlink ref="N326" r:id="rId325" xr:uid="{00000000-0004-0000-0600-000044010000}"/>
    <hyperlink ref="N327" r:id="rId326" xr:uid="{00000000-0004-0000-0600-000045010000}"/>
    <hyperlink ref="N328" r:id="rId327" xr:uid="{00000000-0004-0000-0600-000046010000}"/>
    <hyperlink ref="N329" r:id="rId328" xr:uid="{00000000-0004-0000-0600-000047010000}"/>
    <hyperlink ref="N330" r:id="rId329" xr:uid="{00000000-0004-0000-0600-000048010000}"/>
    <hyperlink ref="N331" r:id="rId330" xr:uid="{00000000-0004-0000-0600-000049010000}"/>
    <hyperlink ref="N332" r:id="rId331" xr:uid="{00000000-0004-0000-0600-00004A010000}"/>
    <hyperlink ref="N333" r:id="rId332" xr:uid="{00000000-0004-0000-0600-00004B010000}"/>
    <hyperlink ref="N334" r:id="rId333" xr:uid="{00000000-0004-0000-0600-00004C010000}"/>
    <hyperlink ref="N335" r:id="rId334" xr:uid="{00000000-0004-0000-0600-00004D010000}"/>
    <hyperlink ref="N336" r:id="rId335" xr:uid="{00000000-0004-0000-0600-00004E010000}"/>
    <hyperlink ref="N337" r:id="rId336" xr:uid="{00000000-0004-0000-0600-00004F010000}"/>
    <hyperlink ref="N338" r:id="rId337" xr:uid="{00000000-0004-0000-0600-000050010000}"/>
    <hyperlink ref="N339" r:id="rId338" xr:uid="{00000000-0004-0000-0600-000051010000}"/>
    <hyperlink ref="N340" r:id="rId339" xr:uid="{00000000-0004-0000-0600-000052010000}"/>
    <hyperlink ref="N341" r:id="rId340" xr:uid="{00000000-0004-0000-0600-000053010000}"/>
    <hyperlink ref="N342" r:id="rId341" xr:uid="{00000000-0004-0000-0600-000054010000}"/>
    <hyperlink ref="N343" r:id="rId342" xr:uid="{00000000-0004-0000-0600-000055010000}"/>
    <hyperlink ref="N344" r:id="rId343" xr:uid="{00000000-0004-0000-0600-000056010000}"/>
    <hyperlink ref="N345" r:id="rId344" xr:uid="{00000000-0004-0000-0600-000057010000}"/>
    <hyperlink ref="N346" r:id="rId345" xr:uid="{00000000-0004-0000-0600-000058010000}"/>
    <hyperlink ref="N347" r:id="rId346" xr:uid="{00000000-0004-0000-0600-000059010000}"/>
    <hyperlink ref="N348" r:id="rId347" xr:uid="{00000000-0004-0000-0600-00005A010000}"/>
    <hyperlink ref="N349" r:id="rId348" xr:uid="{00000000-0004-0000-0600-00005B010000}"/>
    <hyperlink ref="N350" r:id="rId349" xr:uid="{00000000-0004-0000-0600-00005C010000}"/>
    <hyperlink ref="N351" r:id="rId350" xr:uid="{00000000-0004-0000-0600-00005D010000}"/>
    <hyperlink ref="N352" r:id="rId351" xr:uid="{00000000-0004-0000-0600-00005E010000}"/>
    <hyperlink ref="N353" r:id="rId352" xr:uid="{00000000-0004-0000-0600-00005F010000}"/>
    <hyperlink ref="N354" r:id="rId353" xr:uid="{00000000-0004-0000-0600-000060010000}"/>
    <hyperlink ref="N355" r:id="rId354" xr:uid="{00000000-0004-0000-0600-000061010000}"/>
    <hyperlink ref="N356" r:id="rId355" xr:uid="{00000000-0004-0000-0600-000062010000}"/>
    <hyperlink ref="N357" r:id="rId356" xr:uid="{00000000-0004-0000-0600-000063010000}"/>
    <hyperlink ref="N358" r:id="rId357" xr:uid="{00000000-0004-0000-0600-000064010000}"/>
    <hyperlink ref="N359" r:id="rId358" xr:uid="{00000000-0004-0000-0600-000065010000}"/>
    <hyperlink ref="N360" r:id="rId359" xr:uid="{00000000-0004-0000-0600-000066010000}"/>
    <hyperlink ref="N361" r:id="rId360" xr:uid="{00000000-0004-0000-0600-000067010000}"/>
    <hyperlink ref="N362" r:id="rId361" xr:uid="{00000000-0004-0000-0600-000068010000}"/>
    <hyperlink ref="N363" r:id="rId362" xr:uid="{00000000-0004-0000-0600-000069010000}"/>
    <hyperlink ref="N364" r:id="rId363" xr:uid="{00000000-0004-0000-0600-00006A010000}"/>
    <hyperlink ref="N365" r:id="rId364" xr:uid="{00000000-0004-0000-0600-00006B010000}"/>
    <hyperlink ref="N366" r:id="rId365" xr:uid="{00000000-0004-0000-0600-00006C010000}"/>
    <hyperlink ref="N367" r:id="rId366" xr:uid="{00000000-0004-0000-0600-00006D010000}"/>
    <hyperlink ref="N368" r:id="rId367" xr:uid="{00000000-0004-0000-0600-00006E010000}"/>
    <hyperlink ref="N369" r:id="rId368" xr:uid="{00000000-0004-0000-0600-00006F010000}"/>
    <hyperlink ref="N370" r:id="rId369" xr:uid="{00000000-0004-0000-0600-000070010000}"/>
    <hyperlink ref="N371" r:id="rId370" xr:uid="{00000000-0004-0000-0600-000071010000}"/>
    <hyperlink ref="N372" r:id="rId371" xr:uid="{00000000-0004-0000-0600-000072010000}"/>
    <hyperlink ref="N373" r:id="rId372" xr:uid="{00000000-0004-0000-0600-000073010000}"/>
    <hyperlink ref="N374" r:id="rId373" xr:uid="{00000000-0004-0000-0600-000074010000}"/>
    <hyperlink ref="N375" r:id="rId374" xr:uid="{00000000-0004-0000-0600-000075010000}"/>
    <hyperlink ref="N376" r:id="rId375" xr:uid="{00000000-0004-0000-0600-000076010000}"/>
    <hyperlink ref="N377" r:id="rId376" xr:uid="{00000000-0004-0000-0600-000077010000}"/>
    <hyperlink ref="N378" r:id="rId377" xr:uid="{00000000-0004-0000-0600-000078010000}"/>
    <hyperlink ref="N379" r:id="rId378" xr:uid="{00000000-0004-0000-0600-000079010000}"/>
    <hyperlink ref="N380" r:id="rId379" xr:uid="{00000000-0004-0000-0600-00007A010000}"/>
    <hyperlink ref="N381" r:id="rId380" xr:uid="{00000000-0004-0000-0600-00007B010000}"/>
    <hyperlink ref="N382" r:id="rId381" xr:uid="{00000000-0004-0000-0600-00007C010000}"/>
    <hyperlink ref="N383" r:id="rId382" xr:uid="{00000000-0004-0000-0600-00007D010000}"/>
    <hyperlink ref="N384" r:id="rId383" xr:uid="{00000000-0004-0000-0600-00007E010000}"/>
    <hyperlink ref="N385" r:id="rId384" xr:uid="{00000000-0004-0000-0600-00007F010000}"/>
    <hyperlink ref="N386" r:id="rId385" xr:uid="{00000000-0004-0000-0600-000080010000}"/>
    <hyperlink ref="N387" r:id="rId386" xr:uid="{00000000-0004-0000-0600-000081010000}"/>
    <hyperlink ref="N388" r:id="rId387" xr:uid="{00000000-0004-0000-0600-000082010000}"/>
    <hyperlink ref="N389" r:id="rId388" xr:uid="{00000000-0004-0000-0600-000083010000}"/>
    <hyperlink ref="N390" r:id="rId389" xr:uid="{00000000-0004-0000-0600-000084010000}"/>
    <hyperlink ref="N391" r:id="rId390" xr:uid="{00000000-0004-0000-0600-000085010000}"/>
    <hyperlink ref="N392" r:id="rId391" xr:uid="{00000000-0004-0000-0600-000086010000}"/>
    <hyperlink ref="N393" r:id="rId392" xr:uid="{00000000-0004-0000-0600-000087010000}"/>
    <hyperlink ref="N394" r:id="rId393" xr:uid="{00000000-0004-0000-0600-000088010000}"/>
    <hyperlink ref="N395" r:id="rId394" xr:uid="{00000000-0004-0000-0600-000089010000}"/>
    <hyperlink ref="N396" r:id="rId395" xr:uid="{00000000-0004-0000-0600-00008A010000}"/>
    <hyperlink ref="N397" r:id="rId396" xr:uid="{00000000-0004-0000-0600-00008B010000}"/>
    <hyperlink ref="N398" r:id="rId397" xr:uid="{00000000-0004-0000-0600-00008C010000}"/>
    <hyperlink ref="N399" r:id="rId398" xr:uid="{00000000-0004-0000-0600-00008D010000}"/>
    <hyperlink ref="N400" r:id="rId399" xr:uid="{00000000-0004-0000-0600-00008E010000}"/>
    <hyperlink ref="N401" r:id="rId400" xr:uid="{00000000-0004-0000-0600-00008F010000}"/>
    <hyperlink ref="N402" r:id="rId401" xr:uid="{00000000-0004-0000-0600-000090010000}"/>
    <hyperlink ref="N403" r:id="rId402" xr:uid="{00000000-0004-0000-0600-000091010000}"/>
    <hyperlink ref="N404" r:id="rId403" xr:uid="{00000000-0004-0000-0600-000092010000}"/>
    <hyperlink ref="N405" r:id="rId404" xr:uid="{00000000-0004-0000-0600-000093010000}"/>
    <hyperlink ref="N406" r:id="rId405" xr:uid="{00000000-0004-0000-0600-000094010000}"/>
    <hyperlink ref="N407" r:id="rId406" xr:uid="{00000000-0004-0000-0600-000095010000}"/>
    <hyperlink ref="N408" r:id="rId407" xr:uid="{00000000-0004-0000-0600-000096010000}"/>
    <hyperlink ref="N409" r:id="rId408" xr:uid="{00000000-0004-0000-0600-000097010000}"/>
    <hyperlink ref="N410" r:id="rId409" xr:uid="{00000000-0004-0000-0600-000098010000}"/>
    <hyperlink ref="N411" r:id="rId410" xr:uid="{00000000-0004-0000-0600-000099010000}"/>
    <hyperlink ref="N412" r:id="rId411" xr:uid="{00000000-0004-0000-0600-00009A010000}"/>
    <hyperlink ref="N413" r:id="rId412" xr:uid="{00000000-0004-0000-0600-00009B010000}"/>
    <hyperlink ref="N414" r:id="rId413" xr:uid="{00000000-0004-0000-0600-00009C010000}"/>
    <hyperlink ref="N415" r:id="rId414" xr:uid="{00000000-0004-0000-0600-00009D010000}"/>
    <hyperlink ref="N416" r:id="rId415" xr:uid="{00000000-0004-0000-0600-00009E010000}"/>
    <hyperlink ref="N417" r:id="rId416" xr:uid="{00000000-0004-0000-0600-00009F010000}"/>
    <hyperlink ref="N418" r:id="rId417" xr:uid="{00000000-0004-0000-0600-0000A0010000}"/>
    <hyperlink ref="N419" r:id="rId418" xr:uid="{00000000-0004-0000-0600-0000A1010000}"/>
    <hyperlink ref="N420" r:id="rId419" xr:uid="{00000000-0004-0000-0600-0000A2010000}"/>
    <hyperlink ref="N421" r:id="rId420" xr:uid="{00000000-0004-0000-0600-0000A3010000}"/>
    <hyperlink ref="N422" r:id="rId421" xr:uid="{00000000-0004-0000-0600-0000A4010000}"/>
    <hyperlink ref="N423" r:id="rId422" xr:uid="{00000000-0004-0000-0600-0000A5010000}"/>
    <hyperlink ref="N424" r:id="rId423" xr:uid="{00000000-0004-0000-0600-0000A6010000}"/>
    <hyperlink ref="N425" r:id="rId424" xr:uid="{00000000-0004-0000-0600-0000A7010000}"/>
    <hyperlink ref="N426" r:id="rId425" xr:uid="{00000000-0004-0000-0600-0000A8010000}"/>
    <hyperlink ref="N427" r:id="rId426" xr:uid="{00000000-0004-0000-0600-0000A9010000}"/>
    <hyperlink ref="N428" r:id="rId427" xr:uid="{00000000-0004-0000-0600-0000AA010000}"/>
    <hyperlink ref="N429" r:id="rId428" xr:uid="{00000000-0004-0000-0600-0000AB010000}"/>
    <hyperlink ref="N430" r:id="rId429" xr:uid="{00000000-0004-0000-0600-0000AC010000}"/>
    <hyperlink ref="N431" r:id="rId430" xr:uid="{00000000-0004-0000-0600-0000AD010000}"/>
    <hyperlink ref="N432" r:id="rId431" xr:uid="{00000000-0004-0000-0600-0000AE010000}"/>
    <hyperlink ref="N433" r:id="rId432" xr:uid="{00000000-0004-0000-0600-0000AF010000}"/>
    <hyperlink ref="N434" r:id="rId433" xr:uid="{00000000-0004-0000-0600-0000B0010000}"/>
    <hyperlink ref="N435" r:id="rId434" xr:uid="{00000000-0004-0000-0600-0000B1010000}"/>
    <hyperlink ref="N436" r:id="rId435" xr:uid="{00000000-0004-0000-0600-0000B2010000}"/>
    <hyperlink ref="N437" r:id="rId436" xr:uid="{00000000-0004-0000-0600-0000B3010000}"/>
    <hyperlink ref="N438" r:id="rId437" xr:uid="{00000000-0004-0000-0600-0000B4010000}"/>
    <hyperlink ref="N439" r:id="rId438" xr:uid="{00000000-0004-0000-0600-0000B5010000}"/>
    <hyperlink ref="N440" r:id="rId439" xr:uid="{00000000-0004-0000-0600-0000B6010000}"/>
    <hyperlink ref="N441" r:id="rId440" xr:uid="{00000000-0004-0000-0600-0000B7010000}"/>
    <hyperlink ref="N442" r:id="rId441" xr:uid="{00000000-0004-0000-0600-0000B8010000}"/>
    <hyperlink ref="N443" r:id="rId442" xr:uid="{00000000-0004-0000-0600-0000B9010000}"/>
    <hyperlink ref="N444" r:id="rId443" xr:uid="{00000000-0004-0000-0600-0000BA010000}"/>
    <hyperlink ref="N445" r:id="rId444" xr:uid="{00000000-0004-0000-0600-0000BB010000}"/>
    <hyperlink ref="N446" r:id="rId445" xr:uid="{00000000-0004-0000-0600-0000BC010000}"/>
    <hyperlink ref="N447" r:id="rId446" xr:uid="{00000000-0004-0000-0600-0000BD010000}"/>
    <hyperlink ref="N448" r:id="rId447" xr:uid="{00000000-0004-0000-0600-0000BE010000}"/>
    <hyperlink ref="N449" r:id="rId448" xr:uid="{00000000-0004-0000-0600-0000BF010000}"/>
    <hyperlink ref="N450" r:id="rId449" xr:uid="{00000000-0004-0000-0600-0000C0010000}"/>
    <hyperlink ref="N451" r:id="rId450" xr:uid="{00000000-0004-0000-0600-0000C1010000}"/>
    <hyperlink ref="N452" r:id="rId451" xr:uid="{00000000-0004-0000-0600-0000C2010000}"/>
    <hyperlink ref="N453" r:id="rId452" xr:uid="{00000000-0004-0000-0600-0000C3010000}"/>
    <hyperlink ref="N454" r:id="rId453" xr:uid="{00000000-0004-0000-0600-0000C4010000}"/>
    <hyperlink ref="N455" r:id="rId454" xr:uid="{00000000-0004-0000-0600-0000C5010000}"/>
    <hyperlink ref="N456" r:id="rId455" xr:uid="{00000000-0004-0000-0600-0000C6010000}"/>
    <hyperlink ref="N457" r:id="rId456" xr:uid="{00000000-0004-0000-0600-0000C7010000}"/>
    <hyperlink ref="N458" r:id="rId457" xr:uid="{00000000-0004-0000-0600-0000C8010000}"/>
    <hyperlink ref="N459" r:id="rId458" xr:uid="{00000000-0004-0000-0600-0000C9010000}"/>
    <hyperlink ref="N460" r:id="rId459" xr:uid="{00000000-0004-0000-0600-0000CA010000}"/>
    <hyperlink ref="N461" r:id="rId460" xr:uid="{00000000-0004-0000-0600-0000CB010000}"/>
    <hyperlink ref="N462" r:id="rId461" xr:uid="{00000000-0004-0000-0600-0000CC010000}"/>
    <hyperlink ref="N463" r:id="rId462" xr:uid="{00000000-0004-0000-0600-0000CD010000}"/>
    <hyperlink ref="N464" r:id="rId463" xr:uid="{00000000-0004-0000-0600-0000CE010000}"/>
    <hyperlink ref="N465" r:id="rId464" xr:uid="{00000000-0004-0000-0600-0000CF010000}"/>
    <hyperlink ref="N466" r:id="rId465" xr:uid="{00000000-0004-0000-0600-0000D0010000}"/>
    <hyperlink ref="N467" r:id="rId466" xr:uid="{00000000-0004-0000-0600-0000D1010000}"/>
    <hyperlink ref="N468" r:id="rId467" xr:uid="{00000000-0004-0000-0600-0000D2010000}"/>
    <hyperlink ref="N469" r:id="rId468" xr:uid="{00000000-0004-0000-0600-0000D3010000}"/>
    <hyperlink ref="N470" r:id="rId469" xr:uid="{00000000-0004-0000-0600-0000D4010000}"/>
    <hyperlink ref="N471" r:id="rId470" xr:uid="{00000000-0004-0000-0600-0000D5010000}"/>
    <hyperlink ref="N472" r:id="rId471" xr:uid="{00000000-0004-0000-0600-0000D6010000}"/>
    <hyperlink ref="N473" r:id="rId472" xr:uid="{00000000-0004-0000-0600-0000D7010000}"/>
    <hyperlink ref="N474" r:id="rId473" xr:uid="{00000000-0004-0000-0600-0000D8010000}"/>
    <hyperlink ref="N475" r:id="rId474" xr:uid="{00000000-0004-0000-0600-0000D9010000}"/>
    <hyperlink ref="N476" r:id="rId475" xr:uid="{00000000-0004-0000-0600-0000DA010000}"/>
    <hyperlink ref="N477" r:id="rId476" xr:uid="{00000000-0004-0000-0600-0000DB010000}"/>
    <hyperlink ref="N478" r:id="rId477" xr:uid="{00000000-0004-0000-0600-0000DC010000}"/>
    <hyperlink ref="N479" r:id="rId478" xr:uid="{00000000-0004-0000-0600-0000DD010000}"/>
    <hyperlink ref="N480" r:id="rId479" xr:uid="{00000000-0004-0000-0600-0000DE010000}"/>
    <hyperlink ref="N481" r:id="rId480" xr:uid="{00000000-0004-0000-0600-0000DF010000}"/>
    <hyperlink ref="N482" r:id="rId481" xr:uid="{00000000-0004-0000-0600-0000E0010000}"/>
    <hyperlink ref="N483" r:id="rId482" xr:uid="{00000000-0004-0000-0600-0000E1010000}"/>
    <hyperlink ref="N484" r:id="rId483" xr:uid="{00000000-0004-0000-0600-0000E2010000}"/>
    <hyperlink ref="N485" r:id="rId484" xr:uid="{00000000-0004-0000-0600-0000E3010000}"/>
    <hyperlink ref="N486" r:id="rId485" xr:uid="{00000000-0004-0000-0600-0000E4010000}"/>
    <hyperlink ref="N487" r:id="rId486" xr:uid="{00000000-0004-0000-0600-0000E5010000}"/>
    <hyperlink ref="N488" r:id="rId487" xr:uid="{00000000-0004-0000-0600-0000E6010000}"/>
    <hyperlink ref="N489" r:id="rId488" xr:uid="{00000000-0004-0000-0600-0000E7010000}"/>
    <hyperlink ref="N490" r:id="rId489" xr:uid="{00000000-0004-0000-0600-0000E8010000}"/>
    <hyperlink ref="N491" r:id="rId490" xr:uid="{00000000-0004-0000-0600-0000E9010000}"/>
    <hyperlink ref="N492" r:id="rId491" xr:uid="{00000000-0004-0000-0600-0000EA010000}"/>
    <hyperlink ref="N493" r:id="rId492" xr:uid="{00000000-0004-0000-0600-0000EB010000}"/>
    <hyperlink ref="N494" r:id="rId493" xr:uid="{00000000-0004-0000-0600-0000EC010000}"/>
    <hyperlink ref="N495" r:id="rId494" xr:uid="{00000000-0004-0000-0600-0000ED010000}"/>
    <hyperlink ref="N496" r:id="rId495" xr:uid="{00000000-0004-0000-0600-0000EE010000}"/>
    <hyperlink ref="N497" r:id="rId496" xr:uid="{00000000-0004-0000-0600-0000EF010000}"/>
    <hyperlink ref="N498" r:id="rId497" xr:uid="{00000000-0004-0000-0600-0000F0010000}"/>
    <hyperlink ref="N499" r:id="rId498" xr:uid="{00000000-0004-0000-0600-0000F1010000}"/>
    <hyperlink ref="N500" r:id="rId499" xr:uid="{00000000-0004-0000-0600-0000F2010000}"/>
    <hyperlink ref="N501" r:id="rId500" xr:uid="{00000000-0004-0000-0600-0000F3010000}"/>
    <hyperlink ref="N502" r:id="rId501" xr:uid="{00000000-0004-0000-0600-0000F4010000}"/>
    <hyperlink ref="N503" r:id="rId502" xr:uid="{00000000-0004-0000-0600-0000F5010000}"/>
    <hyperlink ref="N504" r:id="rId503" xr:uid="{00000000-0004-0000-0600-0000F6010000}"/>
    <hyperlink ref="N505" r:id="rId504" xr:uid="{00000000-0004-0000-0600-0000F7010000}"/>
    <hyperlink ref="N506" r:id="rId505" xr:uid="{00000000-0004-0000-0600-0000F8010000}"/>
    <hyperlink ref="N507" r:id="rId506" xr:uid="{00000000-0004-0000-0600-0000F9010000}"/>
    <hyperlink ref="N508" r:id="rId507" xr:uid="{00000000-0004-0000-0600-0000FA010000}"/>
    <hyperlink ref="N509" r:id="rId508" xr:uid="{00000000-0004-0000-0600-0000FB010000}"/>
    <hyperlink ref="N510" r:id="rId509" xr:uid="{00000000-0004-0000-0600-0000FC010000}"/>
    <hyperlink ref="N511" r:id="rId510" xr:uid="{00000000-0004-0000-0600-0000FD010000}"/>
    <hyperlink ref="N512" r:id="rId511" xr:uid="{00000000-0004-0000-0600-0000FE010000}"/>
    <hyperlink ref="N513" r:id="rId512" xr:uid="{00000000-0004-0000-0600-0000FF010000}"/>
    <hyperlink ref="N514" r:id="rId513" xr:uid="{00000000-0004-0000-0600-000000020000}"/>
    <hyperlink ref="N515" r:id="rId514" xr:uid="{00000000-0004-0000-0600-000001020000}"/>
    <hyperlink ref="N516" r:id="rId515" xr:uid="{00000000-0004-0000-0600-000002020000}"/>
    <hyperlink ref="N517" r:id="rId516" xr:uid="{00000000-0004-0000-0600-000003020000}"/>
    <hyperlink ref="N518" r:id="rId517" xr:uid="{00000000-0004-0000-0600-000004020000}"/>
    <hyperlink ref="N519" r:id="rId518" xr:uid="{00000000-0004-0000-0600-000005020000}"/>
    <hyperlink ref="N520" r:id="rId519" xr:uid="{00000000-0004-0000-0600-000006020000}"/>
    <hyperlink ref="N521" r:id="rId520" xr:uid="{00000000-0004-0000-0600-000007020000}"/>
    <hyperlink ref="N522" r:id="rId521" xr:uid="{00000000-0004-0000-0600-000008020000}"/>
    <hyperlink ref="N523" r:id="rId522" xr:uid="{00000000-0004-0000-0600-000009020000}"/>
    <hyperlink ref="N524" r:id="rId523" xr:uid="{00000000-0004-0000-0600-00000A020000}"/>
    <hyperlink ref="N525" r:id="rId524" xr:uid="{00000000-0004-0000-0600-00000B020000}"/>
    <hyperlink ref="N526" r:id="rId525" xr:uid="{00000000-0004-0000-0600-00000C020000}"/>
    <hyperlink ref="N527" r:id="rId526" xr:uid="{00000000-0004-0000-0600-00000D020000}"/>
    <hyperlink ref="N528" r:id="rId527" xr:uid="{00000000-0004-0000-0600-00000E020000}"/>
    <hyperlink ref="N529" r:id="rId528" xr:uid="{00000000-0004-0000-0600-00000F020000}"/>
    <hyperlink ref="N530" r:id="rId529" xr:uid="{00000000-0004-0000-0600-000010020000}"/>
    <hyperlink ref="N531" r:id="rId530" xr:uid="{00000000-0004-0000-0600-000011020000}"/>
    <hyperlink ref="N532" r:id="rId531" xr:uid="{00000000-0004-0000-0600-000012020000}"/>
    <hyperlink ref="N533" r:id="rId532" xr:uid="{00000000-0004-0000-0600-000013020000}"/>
    <hyperlink ref="N534" r:id="rId533" xr:uid="{00000000-0004-0000-0600-000014020000}"/>
    <hyperlink ref="N535" r:id="rId534" xr:uid="{00000000-0004-0000-0600-000015020000}"/>
    <hyperlink ref="N536" r:id="rId535" xr:uid="{00000000-0004-0000-0600-000016020000}"/>
    <hyperlink ref="N537" r:id="rId536" xr:uid="{00000000-0004-0000-0600-000017020000}"/>
    <hyperlink ref="N538" r:id="rId537" xr:uid="{00000000-0004-0000-0600-000018020000}"/>
    <hyperlink ref="N539" r:id="rId538" xr:uid="{00000000-0004-0000-0600-000019020000}"/>
    <hyperlink ref="N540" r:id="rId539" xr:uid="{00000000-0004-0000-0600-00001A020000}"/>
    <hyperlink ref="N541" r:id="rId540" xr:uid="{00000000-0004-0000-0600-00001B020000}"/>
    <hyperlink ref="N542" r:id="rId541" xr:uid="{00000000-0004-0000-0600-00001C020000}"/>
    <hyperlink ref="N543" r:id="rId542" xr:uid="{00000000-0004-0000-0600-00001D020000}"/>
    <hyperlink ref="N544" r:id="rId543" xr:uid="{00000000-0004-0000-0600-00001E020000}"/>
    <hyperlink ref="N545" r:id="rId544" xr:uid="{00000000-0004-0000-0600-00001F020000}"/>
    <hyperlink ref="N546" r:id="rId545" xr:uid="{00000000-0004-0000-0600-000020020000}"/>
    <hyperlink ref="N547" r:id="rId546" xr:uid="{00000000-0004-0000-0600-000021020000}"/>
    <hyperlink ref="N548" r:id="rId547" xr:uid="{00000000-0004-0000-0600-000022020000}"/>
    <hyperlink ref="N549" r:id="rId548" xr:uid="{00000000-0004-0000-0600-000023020000}"/>
    <hyperlink ref="N550" r:id="rId549" xr:uid="{00000000-0004-0000-0600-000024020000}"/>
    <hyperlink ref="N551" r:id="rId550" xr:uid="{00000000-0004-0000-0600-000025020000}"/>
    <hyperlink ref="N552" r:id="rId551" xr:uid="{00000000-0004-0000-0600-000026020000}"/>
    <hyperlink ref="N553" r:id="rId552" xr:uid="{00000000-0004-0000-0600-000027020000}"/>
    <hyperlink ref="N554" r:id="rId553" xr:uid="{00000000-0004-0000-0600-000028020000}"/>
    <hyperlink ref="N555" r:id="rId554" xr:uid="{00000000-0004-0000-0600-000029020000}"/>
    <hyperlink ref="N556" r:id="rId555" xr:uid="{00000000-0004-0000-0600-00002A020000}"/>
    <hyperlink ref="N557" r:id="rId556" xr:uid="{00000000-0004-0000-0600-00002B020000}"/>
    <hyperlink ref="N558" r:id="rId557" xr:uid="{00000000-0004-0000-0600-00002C020000}"/>
    <hyperlink ref="N559" r:id="rId558" xr:uid="{00000000-0004-0000-0600-00002D020000}"/>
    <hyperlink ref="N560" r:id="rId559" xr:uid="{00000000-0004-0000-0600-00002E020000}"/>
    <hyperlink ref="N561" r:id="rId560" xr:uid="{00000000-0004-0000-0600-00002F020000}"/>
    <hyperlink ref="N562" r:id="rId561" xr:uid="{00000000-0004-0000-0600-000030020000}"/>
    <hyperlink ref="N563" r:id="rId562" xr:uid="{00000000-0004-0000-0600-000031020000}"/>
    <hyperlink ref="N564" r:id="rId563" xr:uid="{00000000-0004-0000-0600-000032020000}"/>
    <hyperlink ref="N565" r:id="rId564" xr:uid="{00000000-0004-0000-0600-000033020000}"/>
    <hyperlink ref="N566" r:id="rId565" xr:uid="{00000000-0004-0000-0600-000034020000}"/>
    <hyperlink ref="N567" r:id="rId566" xr:uid="{00000000-0004-0000-0600-000035020000}"/>
    <hyperlink ref="N568" r:id="rId567" xr:uid="{00000000-0004-0000-0600-000036020000}"/>
    <hyperlink ref="N569" r:id="rId568" xr:uid="{00000000-0004-0000-0600-000037020000}"/>
    <hyperlink ref="N570" r:id="rId569" xr:uid="{00000000-0004-0000-0600-000038020000}"/>
    <hyperlink ref="N571" r:id="rId570" xr:uid="{00000000-0004-0000-0600-000039020000}"/>
    <hyperlink ref="N572" r:id="rId571" xr:uid="{00000000-0004-0000-0600-00003A020000}"/>
    <hyperlink ref="N573" r:id="rId572" xr:uid="{00000000-0004-0000-0600-00003B020000}"/>
    <hyperlink ref="N574" r:id="rId573" xr:uid="{00000000-0004-0000-0600-00003C020000}"/>
    <hyperlink ref="N575" r:id="rId574" xr:uid="{00000000-0004-0000-0600-00003D020000}"/>
    <hyperlink ref="N576" r:id="rId575" xr:uid="{00000000-0004-0000-0600-00003E020000}"/>
    <hyperlink ref="N577" r:id="rId576" xr:uid="{00000000-0004-0000-0600-00003F020000}"/>
    <hyperlink ref="N578" r:id="rId577" xr:uid="{00000000-0004-0000-0600-000040020000}"/>
    <hyperlink ref="N579" r:id="rId578" xr:uid="{00000000-0004-0000-0600-000041020000}"/>
    <hyperlink ref="N580" r:id="rId579" xr:uid="{00000000-0004-0000-0600-000042020000}"/>
    <hyperlink ref="N581" r:id="rId580" xr:uid="{00000000-0004-0000-0600-000043020000}"/>
    <hyperlink ref="N582" r:id="rId581" xr:uid="{00000000-0004-0000-0600-000044020000}"/>
    <hyperlink ref="N583" r:id="rId582" xr:uid="{00000000-0004-0000-0600-000045020000}"/>
    <hyperlink ref="N584" r:id="rId583" xr:uid="{00000000-0004-0000-0600-000046020000}"/>
    <hyperlink ref="N585" r:id="rId584" xr:uid="{00000000-0004-0000-0600-000047020000}"/>
    <hyperlink ref="N586" r:id="rId585" xr:uid="{00000000-0004-0000-0600-000048020000}"/>
    <hyperlink ref="N587" r:id="rId586" xr:uid="{00000000-0004-0000-0600-000049020000}"/>
    <hyperlink ref="N588" r:id="rId587" xr:uid="{00000000-0004-0000-0600-00004A020000}"/>
    <hyperlink ref="N589" r:id="rId588" xr:uid="{00000000-0004-0000-0600-00004B020000}"/>
    <hyperlink ref="N590" r:id="rId589" xr:uid="{00000000-0004-0000-0600-00004C020000}"/>
    <hyperlink ref="N591" r:id="rId590" xr:uid="{00000000-0004-0000-0600-00004D020000}"/>
    <hyperlink ref="N592" r:id="rId591" xr:uid="{00000000-0004-0000-0600-00004E020000}"/>
    <hyperlink ref="N593" r:id="rId592" xr:uid="{00000000-0004-0000-0600-00004F020000}"/>
    <hyperlink ref="N594" r:id="rId593" xr:uid="{00000000-0004-0000-0600-000050020000}"/>
    <hyperlink ref="N595" r:id="rId594" xr:uid="{00000000-0004-0000-0600-000051020000}"/>
    <hyperlink ref="N596" r:id="rId595" xr:uid="{00000000-0004-0000-0600-000052020000}"/>
    <hyperlink ref="N597" r:id="rId596" xr:uid="{00000000-0004-0000-0600-000053020000}"/>
    <hyperlink ref="N598" r:id="rId597" xr:uid="{00000000-0004-0000-0600-000054020000}"/>
    <hyperlink ref="N599" r:id="rId598" xr:uid="{00000000-0004-0000-0600-000055020000}"/>
    <hyperlink ref="N600" r:id="rId599" xr:uid="{00000000-0004-0000-0600-000056020000}"/>
    <hyperlink ref="N601" r:id="rId600" xr:uid="{00000000-0004-0000-0600-000057020000}"/>
    <hyperlink ref="N602" r:id="rId601" xr:uid="{00000000-0004-0000-0600-000058020000}"/>
    <hyperlink ref="N603" r:id="rId602" xr:uid="{00000000-0004-0000-0600-000059020000}"/>
    <hyperlink ref="N604" r:id="rId603" xr:uid="{00000000-0004-0000-0600-00005A020000}"/>
    <hyperlink ref="N605" r:id="rId604" xr:uid="{00000000-0004-0000-0600-00005B020000}"/>
    <hyperlink ref="N606" r:id="rId605" xr:uid="{00000000-0004-0000-0600-00005C020000}"/>
    <hyperlink ref="N607" r:id="rId606" xr:uid="{00000000-0004-0000-0600-00005D020000}"/>
    <hyperlink ref="N608" r:id="rId607" xr:uid="{00000000-0004-0000-0600-00005E020000}"/>
    <hyperlink ref="N609" r:id="rId608" xr:uid="{00000000-0004-0000-0600-00005F020000}"/>
    <hyperlink ref="N610" r:id="rId609" xr:uid="{00000000-0004-0000-0600-000060020000}"/>
    <hyperlink ref="N611" r:id="rId610" xr:uid="{00000000-0004-0000-0600-000061020000}"/>
    <hyperlink ref="N612" r:id="rId611" xr:uid="{00000000-0004-0000-0600-000062020000}"/>
    <hyperlink ref="N613" r:id="rId612" xr:uid="{00000000-0004-0000-0600-000063020000}"/>
    <hyperlink ref="N614" r:id="rId613" xr:uid="{00000000-0004-0000-0600-000064020000}"/>
    <hyperlink ref="N615" r:id="rId614" xr:uid="{00000000-0004-0000-0600-000065020000}"/>
    <hyperlink ref="N616" r:id="rId615" xr:uid="{00000000-0004-0000-0600-000066020000}"/>
    <hyperlink ref="N617" r:id="rId616" xr:uid="{00000000-0004-0000-0600-000067020000}"/>
    <hyperlink ref="N618" r:id="rId617" xr:uid="{00000000-0004-0000-0600-000068020000}"/>
    <hyperlink ref="N619" r:id="rId618" xr:uid="{00000000-0004-0000-0600-000069020000}"/>
    <hyperlink ref="N620" r:id="rId619" xr:uid="{00000000-0004-0000-0600-00006A020000}"/>
    <hyperlink ref="N621" r:id="rId620" xr:uid="{00000000-0004-0000-0600-00006B020000}"/>
    <hyperlink ref="N622" r:id="rId621" xr:uid="{00000000-0004-0000-0600-00006C020000}"/>
    <hyperlink ref="N623" r:id="rId622" xr:uid="{00000000-0004-0000-0600-00006D020000}"/>
    <hyperlink ref="N624" r:id="rId623" xr:uid="{00000000-0004-0000-0600-00006E020000}"/>
    <hyperlink ref="N625" r:id="rId624" xr:uid="{00000000-0004-0000-0600-00006F020000}"/>
    <hyperlink ref="N626" r:id="rId625" xr:uid="{00000000-0004-0000-0600-000070020000}"/>
    <hyperlink ref="N627" r:id="rId626" xr:uid="{00000000-0004-0000-0600-000071020000}"/>
    <hyperlink ref="N628" r:id="rId627" xr:uid="{00000000-0004-0000-0600-000072020000}"/>
    <hyperlink ref="N629" r:id="rId628" xr:uid="{00000000-0004-0000-0600-000073020000}"/>
    <hyperlink ref="N630" r:id="rId629" xr:uid="{00000000-0004-0000-0600-000074020000}"/>
    <hyperlink ref="N631" r:id="rId630" xr:uid="{00000000-0004-0000-0600-000075020000}"/>
    <hyperlink ref="N632" r:id="rId631" xr:uid="{00000000-0004-0000-0600-000076020000}"/>
    <hyperlink ref="N633" r:id="rId632" xr:uid="{00000000-0004-0000-0600-000077020000}"/>
    <hyperlink ref="N634" r:id="rId633" xr:uid="{00000000-0004-0000-0600-000078020000}"/>
    <hyperlink ref="N635" r:id="rId634" xr:uid="{00000000-0004-0000-0600-000079020000}"/>
    <hyperlink ref="N636" r:id="rId635" xr:uid="{00000000-0004-0000-0600-00007A020000}"/>
    <hyperlink ref="N637" r:id="rId636" xr:uid="{00000000-0004-0000-0600-00007B020000}"/>
    <hyperlink ref="N638" r:id="rId637" xr:uid="{00000000-0004-0000-0600-00007C020000}"/>
    <hyperlink ref="N639" r:id="rId638" xr:uid="{00000000-0004-0000-0600-00007D020000}"/>
    <hyperlink ref="N640" r:id="rId639" xr:uid="{00000000-0004-0000-0600-00007E020000}"/>
    <hyperlink ref="N641" r:id="rId640" xr:uid="{00000000-0004-0000-0600-00007F020000}"/>
    <hyperlink ref="N642" r:id="rId641" xr:uid="{00000000-0004-0000-0600-000080020000}"/>
    <hyperlink ref="N643" r:id="rId642" xr:uid="{00000000-0004-0000-0600-000081020000}"/>
    <hyperlink ref="N644" r:id="rId643" xr:uid="{00000000-0004-0000-0600-000082020000}"/>
    <hyperlink ref="N645" r:id="rId644" xr:uid="{00000000-0004-0000-0600-000083020000}"/>
    <hyperlink ref="N646" r:id="rId645" xr:uid="{00000000-0004-0000-0600-000084020000}"/>
    <hyperlink ref="N647" r:id="rId646" xr:uid="{00000000-0004-0000-0600-000085020000}"/>
    <hyperlink ref="N648" r:id="rId647" xr:uid="{00000000-0004-0000-0600-000086020000}"/>
    <hyperlink ref="N649" r:id="rId648" xr:uid="{00000000-0004-0000-0600-000087020000}"/>
    <hyperlink ref="N650" r:id="rId649" xr:uid="{00000000-0004-0000-0600-000088020000}"/>
    <hyperlink ref="N651" r:id="rId650" xr:uid="{00000000-0004-0000-0600-000089020000}"/>
    <hyperlink ref="N652" r:id="rId651" xr:uid="{00000000-0004-0000-0600-00008A020000}"/>
    <hyperlink ref="N653" r:id="rId652" xr:uid="{00000000-0004-0000-0600-00008B020000}"/>
    <hyperlink ref="N654" r:id="rId653" xr:uid="{00000000-0004-0000-0600-00008C020000}"/>
    <hyperlink ref="N655" r:id="rId654" xr:uid="{00000000-0004-0000-0600-00008D020000}"/>
    <hyperlink ref="N656" r:id="rId655" xr:uid="{00000000-0004-0000-0600-00008E020000}"/>
    <hyperlink ref="N657" r:id="rId656" xr:uid="{00000000-0004-0000-0600-00008F020000}"/>
    <hyperlink ref="N658" r:id="rId657" xr:uid="{00000000-0004-0000-0600-000090020000}"/>
    <hyperlink ref="N659" r:id="rId658" xr:uid="{00000000-0004-0000-0600-000091020000}"/>
    <hyperlink ref="N660" r:id="rId659" xr:uid="{00000000-0004-0000-0600-000092020000}"/>
    <hyperlink ref="N661" r:id="rId660" xr:uid="{00000000-0004-0000-0600-000093020000}"/>
    <hyperlink ref="N662" r:id="rId661" xr:uid="{00000000-0004-0000-0600-000094020000}"/>
    <hyperlink ref="N663" r:id="rId662" xr:uid="{00000000-0004-0000-0600-000095020000}"/>
    <hyperlink ref="N664" r:id="rId663" xr:uid="{00000000-0004-0000-0600-000096020000}"/>
    <hyperlink ref="N665" r:id="rId664" xr:uid="{00000000-0004-0000-0600-000097020000}"/>
    <hyperlink ref="N666" r:id="rId665" xr:uid="{00000000-0004-0000-0600-000098020000}"/>
    <hyperlink ref="N667" r:id="rId666" xr:uid="{00000000-0004-0000-0600-000099020000}"/>
    <hyperlink ref="N668" r:id="rId667" xr:uid="{00000000-0004-0000-0600-00009A020000}"/>
    <hyperlink ref="N669" r:id="rId668" xr:uid="{00000000-0004-0000-0600-00009B020000}"/>
    <hyperlink ref="N670" r:id="rId669" xr:uid="{00000000-0004-0000-0600-00009C020000}"/>
    <hyperlink ref="N671" r:id="rId670" xr:uid="{00000000-0004-0000-0600-00009D020000}"/>
    <hyperlink ref="N672" r:id="rId671" xr:uid="{00000000-0004-0000-0600-00009E020000}"/>
    <hyperlink ref="N673" r:id="rId672" xr:uid="{00000000-0004-0000-0600-00009F020000}"/>
    <hyperlink ref="N674" r:id="rId673" xr:uid="{00000000-0004-0000-0600-0000A0020000}"/>
    <hyperlink ref="N675" r:id="rId674" xr:uid="{00000000-0004-0000-0600-0000A1020000}"/>
    <hyperlink ref="N676" r:id="rId675" xr:uid="{00000000-0004-0000-0600-0000A2020000}"/>
    <hyperlink ref="N677" r:id="rId676" xr:uid="{00000000-0004-0000-0600-0000A3020000}"/>
    <hyperlink ref="N678" r:id="rId677" xr:uid="{00000000-0004-0000-0600-0000A4020000}"/>
    <hyperlink ref="N679" r:id="rId678" xr:uid="{00000000-0004-0000-0600-0000A5020000}"/>
    <hyperlink ref="N680" r:id="rId679" xr:uid="{00000000-0004-0000-0600-0000A6020000}"/>
    <hyperlink ref="N681" r:id="rId680" xr:uid="{00000000-0004-0000-0600-0000A7020000}"/>
    <hyperlink ref="N682" r:id="rId681" xr:uid="{00000000-0004-0000-0600-0000A8020000}"/>
    <hyperlink ref="N683" r:id="rId682" xr:uid="{00000000-0004-0000-0600-0000A9020000}"/>
    <hyperlink ref="N684" r:id="rId683" xr:uid="{00000000-0004-0000-0600-0000AA020000}"/>
    <hyperlink ref="N685" r:id="rId684" xr:uid="{00000000-0004-0000-0600-0000AB020000}"/>
    <hyperlink ref="N686" r:id="rId685" xr:uid="{00000000-0004-0000-0600-0000AC020000}"/>
    <hyperlink ref="N687" r:id="rId686" xr:uid="{00000000-0004-0000-0600-0000AD020000}"/>
    <hyperlink ref="N688" r:id="rId687" xr:uid="{00000000-0004-0000-0600-0000AE020000}"/>
    <hyperlink ref="N689" r:id="rId688" xr:uid="{00000000-0004-0000-0600-0000AF020000}"/>
    <hyperlink ref="N690" r:id="rId689" xr:uid="{00000000-0004-0000-0600-0000B0020000}"/>
    <hyperlink ref="N691" r:id="rId690" xr:uid="{00000000-0004-0000-0600-0000B1020000}"/>
    <hyperlink ref="N692" r:id="rId691" xr:uid="{00000000-0004-0000-0600-0000B2020000}"/>
    <hyperlink ref="N693" r:id="rId692" xr:uid="{00000000-0004-0000-0600-0000B3020000}"/>
    <hyperlink ref="N694" r:id="rId693" xr:uid="{00000000-0004-0000-0600-0000B4020000}"/>
    <hyperlink ref="N695" r:id="rId694" xr:uid="{00000000-0004-0000-0600-0000B5020000}"/>
    <hyperlink ref="N696" r:id="rId695" xr:uid="{00000000-0004-0000-0600-0000B6020000}"/>
    <hyperlink ref="N697" r:id="rId696" xr:uid="{00000000-0004-0000-0600-0000B7020000}"/>
    <hyperlink ref="N698" r:id="rId697" xr:uid="{00000000-0004-0000-0600-0000B8020000}"/>
    <hyperlink ref="N699" r:id="rId698" xr:uid="{00000000-0004-0000-0600-0000B9020000}"/>
    <hyperlink ref="N700" r:id="rId699" xr:uid="{00000000-0004-0000-0600-0000BA020000}"/>
    <hyperlink ref="N701" r:id="rId700" xr:uid="{00000000-0004-0000-0600-0000BB020000}"/>
    <hyperlink ref="N702" r:id="rId701" xr:uid="{00000000-0004-0000-0600-0000BC020000}"/>
    <hyperlink ref="N703" r:id="rId702" xr:uid="{00000000-0004-0000-0600-0000BD020000}"/>
    <hyperlink ref="N704" r:id="rId703" xr:uid="{00000000-0004-0000-0600-0000BE020000}"/>
    <hyperlink ref="N705" r:id="rId704" xr:uid="{00000000-0004-0000-0600-0000BF020000}"/>
    <hyperlink ref="N706" r:id="rId705" xr:uid="{00000000-0004-0000-0600-0000C0020000}"/>
    <hyperlink ref="N707" r:id="rId706" xr:uid="{00000000-0004-0000-0600-0000C1020000}"/>
    <hyperlink ref="N708" r:id="rId707" xr:uid="{00000000-0004-0000-0600-0000C2020000}"/>
    <hyperlink ref="N709" r:id="rId708" xr:uid="{00000000-0004-0000-0600-0000C3020000}"/>
    <hyperlink ref="N710" r:id="rId709" xr:uid="{00000000-0004-0000-0600-0000C4020000}"/>
    <hyperlink ref="N711" r:id="rId710" xr:uid="{00000000-0004-0000-0600-0000C5020000}"/>
    <hyperlink ref="N712" r:id="rId711" xr:uid="{00000000-0004-0000-0600-0000C6020000}"/>
    <hyperlink ref="N713" r:id="rId712" xr:uid="{00000000-0004-0000-0600-0000C7020000}"/>
    <hyperlink ref="N714" r:id="rId713" xr:uid="{00000000-0004-0000-0600-0000C8020000}"/>
    <hyperlink ref="N715" r:id="rId714" xr:uid="{00000000-0004-0000-0600-0000C9020000}"/>
    <hyperlink ref="N716" r:id="rId715" xr:uid="{00000000-0004-0000-0600-0000CA020000}"/>
    <hyperlink ref="N717" r:id="rId716" xr:uid="{00000000-0004-0000-0600-0000CB020000}"/>
    <hyperlink ref="N718" r:id="rId717" xr:uid="{00000000-0004-0000-0600-0000CC020000}"/>
    <hyperlink ref="N719" r:id="rId718" xr:uid="{00000000-0004-0000-0600-0000CD020000}"/>
    <hyperlink ref="N720" r:id="rId719" xr:uid="{00000000-0004-0000-0600-0000CE020000}"/>
    <hyperlink ref="N721" r:id="rId720" xr:uid="{00000000-0004-0000-0600-0000CF020000}"/>
    <hyperlink ref="N722" r:id="rId721" xr:uid="{00000000-0004-0000-0600-0000D0020000}"/>
    <hyperlink ref="N723" r:id="rId722" xr:uid="{00000000-0004-0000-0600-0000D1020000}"/>
    <hyperlink ref="N724" r:id="rId723" xr:uid="{00000000-0004-0000-0600-0000D2020000}"/>
    <hyperlink ref="N725" r:id="rId724" xr:uid="{00000000-0004-0000-0600-0000D3020000}"/>
    <hyperlink ref="N726" r:id="rId725" xr:uid="{00000000-0004-0000-0600-0000D4020000}"/>
    <hyperlink ref="N727" r:id="rId726" xr:uid="{00000000-0004-0000-0600-0000D5020000}"/>
    <hyperlink ref="N728" r:id="rId727" xr:uid="{00000000-0004-0000-0600-0000D6020000}"/>
    <hyperlink ref="N729" r:id="rId728" xr:uid="{00000000-0004-0000-0600-0000D7020000}"/>
    <hyperlink ref="N730" r:id="rId729" xr:uid="{00000000-0004-0000-0600-0000D8020000}"/>
    <hyperlink ref="N731" r:id="rId730" xr:uid="{00000000-0004-0000-0600-0000D9020000}"/>
    <hyperlink ref="N732" r:id="rId731" xr:uid="{00000000-0004-0000-0600-0000DA020000}"/>
    <hyperlink ref="N733" r:id="rId732" xr:uid="{00000000-0004-0000-0600-0000DB020000}"/>
    <hyperlink ref="N734" r:id="rId733" xr:uid="{00000000-0004-0000-0600-0000DC020000}"/>
    <hyperlink ref="N735" r:id="rId734" xr:uid="{00000000-0004-0000-0600-0000DD020000}"/>
    <hyperlink ref="N736" r:id="rId735" xr:uid="{00000000-0004-0000-0600-0000DE020000}"/>
    <hyperlink ref="N737" r:id="rId736" xr:uid="{00000000-0004-0000-0600-0000DF020000}"/>
    <hyperlink ref="N738" r:id="rId737" xr:uid="{00000000-0004-0000-0600-0000E0020000}"/>
    <hyperlink ref="N739" r:id="rId738" xr:uid="{00000000-0004-0000-0600-0000E1020000}"/>
    <hyperlink ref="N740" r:id="rId739" xr:uid="{00000000-0004-0000-0600-0000E2020000}"/>
    <hyperlink ref="N741" r:id="rId740" xr:uid="{00000000-0004-0000-0600-0000E3020000}"/>
    <hyperlink ref="N742" r:id="rId741" xr:uid="{00000000-0004-0000-0600-0000E4020000}"/>
    <hyperlink ref="N743" r:id="rId742" xr:uid="{00000000-0004-0000-0600-0000E5020000}"/>
    <hyperlink ref="N744" r:id="rId743" xr:uid="{00000000-0004-0000-0600-0000E6020000}"/>
    <hyperlink ref="N745" r:id="rId744" xr:uid="{00000000-0004-0000-0600-0000E7020000}"/>
    <hyperlink ref="N746" r:id="rId745" xr:uid="{00000000-0004-0000-0600-0000E8020000}"/>
    <hyperlink ref="N747" r:id="rId746" xr:uid="{00000000-0004-0000-0600-0000E9020000}"/>
    <hyperlink ref="N748" r:id="rId747" xr:uid="{00000000-0004-0000-0600-0000EA020000}"/>
    <hyperlink ref="N749" r:id="rId748" xr:uid="{00000000-0004-0000-0600-0000EB020000}"/>
    <hyperlink ref="N750" r:id="rId749" xr:uid="{00000000-0004-0000-0600-0000EC020000}"/>
    <hyperlink ref="N751" r:id="rId750" xr:uid="{00000000-0004-0000-0600-0000ED020000}"/>
    <hyperlink ref="N752" r:id="rId751" xr:uid="{00000000-0004-0000-0600-0000EE020000}"/>
    <hyperlink ref="N753" r:id="rId752" xr:uid="{00000000-0004-0000-0600-0000EF020000}"/>
    <hyperlink ref="N754" r:id="rId753" xr:uid="{00000000-0004-0000-0600-0000F0020000}"/>
    <hyperlink ref="N755" r:id="rId754" xr:uid="{00000000-0004-0000-0600-0000F1020000}"/>
    <hyperlink ref="N756" r:id="rId755" xr:uid="{00000000-0004-0000-0600-0000F2020000}"/>
    <hyperlink ref="N757" r:id="rId756" xr:uid="{00000000-0004-0000-0600-0000F3020000}"/>
    <hyperlink ref="N758" r:id="rId757" xr:uid="{00000000-0004-0000-0600-0000F4020000}"/>
    <hyperlink ref="N759" r:id="rId758" xr:uid="{00000000-0004-0000-0600-0000F5020000}"/>
    <hyperlink ref="N760" r:id="rId759" xr:uid="{00000000-0004-0000-0600-0000F6020000}"/>
    <hyperlink ref="N761" r:id="rId760" xr:uid="{00000000-0004-0000-0600-0000F7020000}"/>
    <hyperlink ref="N762" r:id="rId761" xr:uid="{00000000-0004-0000-0600-0000F8020000}"/>
    <hyperlink ref="N763" r:id="rId762" xr:uid="{00000000-0004-0000-0600-0000F9020000}"/>
    <hyperlink ref="N764" r:id="rId763" xr:uid="{00000000-0004-0000-0600-0000FA020000}"/>
    <hyperlink ref="N765" r:id="rId764" xr:uid="{00000000-0004-0000-0600-0000FB020000}"/>
    <hyperlink ref="N766" r:id="rId765" xr:uid="{00000000-0004-0000-0600-0000FC020000}"/>
    <hyperlink ref="N767" r:id="rId766" xr:uid="{00000000-0004-0000-0600-0000FD020000}"/>
    <hyperlink ref="N768" r:id="rId767" xr:uid="{00000000-0004-0000-0600-0000FE020000}"/>
    <hyperlink ref="N769" r:id="rId768" xr:uid="{00000000-0004-0000-0600-0000FF020000}"/>
    <hyperlink ref="N770" r:id="rId769" xr:uid="{00000000-0004-0000-0600-000000030000}"/>
    <hyperlink ref="N771" r:id="rId770" xr:uid="{00000000-0004-0000-0600-000001030000}"/>
    <hyperlink ref="N772" r:id="rId771" xr:uid="{00000000-0004-0000-0600-000002030000}"/>
    <hyperlink ref="N773" r:id="rId772" xr:uid="{00000000-0004-0000-0600-000003030000}"/>
    <hyperlink ref="N774" r:id="rId773" xr:uid="{00000000-0004-0000-0600-000004030000}"/>
    <hyperlink ref="N775" r:id="rId774" xr:uid="{00000000-0004-0000-0600-000005030000}"/>
    <hyperlink ref="N776" r:id="rId775" xr:uid="{00000000-0004-0000-0600-000006030000}"/>
    <hyperlink ref="N777" r:id="rId776" xr:uid="{00000000-0004-0000-0600-000007030000}"/>
    <hyperlink ref="N778" r:id="rId777" xr:uid="{00000000-0004-0000-0600-000008030000}"/>
    <hyperlink ref="N779" r:id="rId778" xr:uid="{00000000-0004-0000-0600-000009030000}"/>
    <hyperlink ref="N780" r:id="rId779" xr:uid="{00000000-0004-0000-0600-00000A030000}"/>
    <hyperlink ref="N781" r:id="rId780" xr:uid="{00000000-0004-0000-0600-00000B030000}"/>
    <hyperlink ref="N782" r:id="rId781" xr:uid="{00000000-0004-0000-0600-00000C030000}"/>
    <hyperlink ref="N783" r:id="rId782" xr:uid="{00000000-0004-0000-0600-00000D030000}"/>
    <hyperlink ref="N784" r:id="rId783" xr:uid="{00000000-0004-0000-0600-00000E030000}"/>
    <hyperlink ref="N785" r:id="rId784" xr:uid="{00000000-0004-0000-0600-00000F030000}"/>
    <hyperlink ref="N786" r:id="rId785" xr:uid="{00000000-0004-0000-0600-000010030000}"/>
    <hyperlink ref="N787" r:id="rId786" xr:uid="{00000000-0004-0000-0600-000011030000}"/>
    <hyperlink ref="N788" r:id="rId787" xr:uid="{00000000-0004-0000-0600-000012030000}"/>
    <hyperlink ref="N789" r:id="rId788" xr:uid="{00000000-0004-0000-0600-000013030000}"/>
    <hyperlink ref="N790" r:id="rId789" xr:uid="{00000000-0004-0000-0600-000014030000}"/>
    <hyperlink ref="N791" r:id="rId790" xr:uid="{00000000-0004-0000-0600-000015030000}"/>
    <hyperlink ref="N792" r:id="rId791" xr:uid="{00000000-0004-0000-0600-000016030000}"/>
    <hyperlink ref="N793" r:id="rId792" xr:uid="{00000000-0004-0000-0600-000017030000}"/>
    <hyperlink ref="N794" r:id="rId793" xr:uid="{00000000-0004-0000-0600-000018030000}"/>
    <hyperlink ref="N795" r:id="rId794" xr:uid="{00000000-0004-0000-0600-000019030000}"/>
    <hyperlink ref="N796" r:id="rId795" xr:uid="{00000000-0004-0000-0600-00001A030000}"/>
    <hyperlink ref="N797" r:id="rId796" xr:uid="{00000000-0004-0000-0600-00001B030000}"/>
    <hyperlink ref="N798" r:id="rId797" xr:uid="{00000000-0004-0000-0600-00001C030000}"/>
    <hyperlink ref="N799" r:id="rId798" xr:uid="{00000000-0004-0000-0600-00001D030000}"/>
    <hyperlink ref="N800" r:id="rId799" xr:uid="{00000000-0004-0000-0600-00001E030000}"/>
    <hyperlink ref="N801" r:id="rId800" xr:uid="{00000000-0004-0000-0600-00001F030000}"/>
    <hyperlink ref="N802" r:id="rId801" xr:uid="{00000000-0004-0000-0600-000020030000}"/>
    <hyperlink ref="N803" r:id="rId802" xr:uid="{00000000-0004-0000-0600-000021030000}"/>
    <hyperlink ref="N804" r:id="rId803" xr:uid="{00000000-0004-0000-0600-000022030000}"/>
    <hyperlink ref="N805" r:id="rId804" xr:uid="{00000000-0004-0000-0600-000023030000}"/>
    <hyperlink ref="N806" r:id="rId805" xr:uid="{00000000-0004-0000-0600-000024030000}"/>
    <hyperlink ref="N807" r:id="rId806" xr:uid="{00000000-0004-0000-0600-000025030000}"/>
    <hyperlink ref="N808" r:id="rId807" xr:uid="{00000000-0004-0000-0600-000026030000}"/>
    <hyperlink ref="N809" r:id="rId808" xr:uid="{00000000-0004-0000-0600-000027030000}"/>
    <hyperlink ref="N810" r:id="rId809" xr:uid="{00000000-0004-0000-0600-000028030000}"/>
    <hyperlink ref="N811" r:id="rId810" xr:uid="{00000000-0004-0000-0600-000029030000}"/>
    <hyperlink ref="N812" r:id="rId811" xr:uid="{00000000-0004-0000-0600-00002A030000}"/>
    <hyperlink ref="N813" r:id="rId812" xr:uid="{00000000-0004-0000-0600-00002B030000}"/>
    <hyperlink ref="N814" r:id="rId813" xr:uid="{00000000-0004-0000-0600-00002C030000}"/>
    <hyperlink ref="N815" r:id="rId814" xr:uid="{00000000-0004-0000-0600-00002D030000}"/>
    <hyperlink ref="N816" r:id="rId815" xr:uid="{00000000-0004-0000-0600-00002E030000}"/>
    <hyperlink ref="N817" r:id="rId816" xr:uid="{00000000-0004-0000-0600-00002F030000}"/>
    <hyperlink ref="N818" r:id="rId817" xr:uid="{00000000-0004-0000-0600-000030030000}"/>
    <hyperlink ref="N819" r:id="rId818" xr:uid="{00000000-0004-0000-0600-000031030000}"/>
    <hyperlink ref="N820" r:id="rId819" xr:uid="{00000000-0004-0000-0600-000032030000}"/>
    <hyperlink ref="N821" r:id="rId820" xr:uid="{00000000-0004-0000-0600-000033030000}"/>
    <hyperlink ref="N822" r:id="rId821" xr:uid="{00000000-0004-0000-0600-000034030000}"/>
    <hyperlink ref="N823" r:id="rId822" xr:uid="{00000000-0004-0000-0600-000035030000}"/>
    <hyperlink ref="N824" r:id="rId823" xr:uid="{00000000-0004-0000-0600-000036030000}"/>
    <hyperlink ref="N825" r:id="rId824" xr:uid="{00000000-0004-0000-0600-000037030000}"/>
    <hyperlink ref="N826" r:id="rId825" xr:uid="{00000000-0004-0000-0600-000038030000}"/>
    <hyperlink ref="N827" r:id="rId826" xr:uid="{00000000-0004-0000-0600-000039030000}"/>
    <hyperlink ref="N828" r:id="rId827" xr:uid="{00000000-0004-0000-0600-00003A030000}"/>
    <hyperlink ref="N829" r:id="rId828" xr:uid="{00000000-0004-0000-0600-00003B030000}"/>
    <hyperlink ref="N830" r:id="rId829" xr:uid="{00000000-0004-0000-0600-00003C030000}"/>
    <hyperlink ref="N831" r:id="rId830" xr:uid="{00000000-0004-0000-0600-00003D030000}"/>
    <hyperlink ref="N832" r:id="rId831" xr:uid="{00000000-0004-0000-0600-00003E030000}"/>
    <hyperlink ref="N833" r:id="rId832" xr:uid="{00000000-0004-0000-0600-00003F030000}"/>
    <hyperlink ref="N834" r:id="rId833" xr:uid="{00000000-0004-0000-0600-000040030000}"/>
    <hyperlink ref="N835" r:id="rId834" xr:uid="{00000000-0004-0000-0600-000041030000}"/>
    <hyperlink ref="N836" r:id="rId835" xr:uid="{00000000-0004-0000-0600-000042030000}"/>
    <hyperlink ref="N837" r:id="rId836" xr:uid="{00000000-0004-0000-0600-000043030000}"/>
    <hyperlink ref="N838" r:id="rId837" xr:uid="{00000000-0004-0000-0600-000044030000}"/>
    <hyperlink ref="N839" r:id="rId838" xr:uid="{00000000-0004-0000-0600-000045030000}"/>
    <hyperlink ref="N840" r:id="rId839" xr:uid="{00000000-0004-0000-0600-000046030000}"/>
    <hyperlink ref="N841" r:id="rId840" xr:uid="{00000000-0004-0000-0600-000047030000}"/>
    <hyperlink ref="N842" r:id="rId841" xr:uid="{00000000-0004-0000-0600-000048030000}"/>
    <hyperlink ref="N843" r:id="rId842" xr:uid="{00000000-0004-0000-0600-000049030000}"/>
    <hyperlink ref="N844" r:id="rId843" xr:uid="{00000000-0004-0000-0600-00004A030000}"/>
    <hyperlink ref="N845" r:id="rId844" xr:uid="{00000000-0004-0000-0600-00004B030000}"/>
    <hyperlink ref="N846" r:id="rId845" xr:uid="{00000000-0004-0000-0600-00004C030000}"/>
    <hyperlink ref="N847" r:id="rId846" xr:uid="{00000000-0004-0000-0600-00004D030000}"/>
    <hyperlink ref="N848" r:id="rId847" xr:uid="{00000000-0004-0000-0600-00004E030000}"/>
    <hyperlink ref="N849" r:id="rId848" xr:uid="{00000000-0004-0000-0600-00004F030000}"/>
    <hyperlink ref="N850" r:id="rId849" xr:uid="{00000000-0004-0000-0600-000050030000}"/>
    <hyperlink ref="N851" r:id="rId850" xr:uid="{00000000-0004-0000-0600-000051030000}"/>
    <hyperlink ref="N852" r:id="rId851" xr:uid="{00000000-0004-0000-0600-000052030000}"/>
    <hyperlink ref="N853" r:id="rId852" xr:uid="{00000000-0004-0000-0600-000053030000}"/>
    <hyperlink ref="N854" r:id="rId853" xr:uid="{00000000-0004-0000-0600-000054030000}"/>
    <hyperlink ref="N855" r:id="rId854" xr:uid="{00000000-0004-0000-0600-000055030000}"/>
    <hyperlink ref="N856" r:id="rId855" xr:uid="{00000000-0004-0000-0600-000056030000}"/>
    <hyperlink ref="N857" r:id="rId856" xr:uid="{00000000-0004-0000-0600-000057030000}"/>
    <hyperlink ref="N858" r:id="rId857" xr:uid="{00000000-0004-0000-0600-000058030000}"/>
    <hyperlink ref="N859" r:id="rId858" xr:uid="{00000000-0004-0000-0600-000059030000}"/>
    <hyperlink ref="N860" r:id="rId859" xr:uid="{00000000-0004-0000-0600-00005A030000}"/>
    <hyperlink ref="N861" r:id="rId860" xr:uid="{00000000-0004-0000-0600-00005B030000}"/>
    <hyperlink ref="N862" r:id="rId861" xr:uid="{00000000-0004-0000-0600-00005C030000}"/>
    <hyperlink ref="N863" r:id="rId862" xr:uid="{00000000-0004-0000-0600-00005D030000}"/>
    <hyperlink ref="N864" r:id="rId863" xr:uid="{00000000-0004-0000-0600-00005E030000}"/>
    <hyperlink ref="N865" r:id="rId864" xr:uid="{00000000-0004-0000-0600-00005F030000}"/>
    <hyperlink ref="N866" r:id="rId865" xr:uid="{00000000-0004-0000-0600-000060030000}"/>
    <hyperlink ref="N867" r:id="rId866" xr:uid="{00000000-0004-0000-0600-000061030000}"/>
    <hyperlink ref="N868" r:id="rId867" xr:uid="{00000000-0004-0000-0600-000062030000}"/>
    <hyperlink ref="N869" r:id="rId868" xr:uid="{00000000-0004-0000-0600-000063030000}"/>
    <hyperlink ref="N870" r:id="rId869" xr:uid="{00000000-0004-0000-0600-000064030000}"/>
    <hyperlink ref="N871" r:id="rId870" xr:uid="{00000000-0004-0000-0600-000065030000}"/>
    <hyperlink ref="N872" r:id="rId871" xr:uid="{00000000-0004-0000-0600-000066030000}"/>
    <hyperlink ref="N873" r:id="rId872" xr:uid="{00000000-0004-0000-0600-000067030000}"/>
    <hyperlink ref="N874" r:id="rId873" xr:uid="{00000000-0004-0000-0600-000068030000}"/>
    <hyperlink ref="N875" r:id="rId874" xr:uid="{00000000-0004-0000-0600-000069030000}"/>
    <hyperlink ref="N876" r:id="rId875" xr:uid="{00000000-0004-0000-0600-00006A030000}"/>
    <hyperlink ref="N877" r:id="rId876" xr:uid="{00000000-0004-0000-0600-00006B030000}"/>
    <hyperlink ref="N878" r:id="rId877" xr:uid="{00000000-0004-0000-0600-00006C030000}"/>
    <hyperlink ref="N879" r:id="rId878" xr:uid="{00000000-0004-0000-0600-00006D030000}"/>
    <hyperlink ref="N880" r:id="rId879" xr:uid="{00000000-0004-0000-0600-00006E030000}"/>
    <hyperlink ref="N881" r:id="rId880" xr:uid="{00000000-0004-0000-0600-00006F030000}"/>
    <hyperlink ref="N882" r:id="rId881" xr:uid="{00000000-0004-0000-0600-000070030000}"/>
    <hyperlink ref="N883" r:id="rId882" xr:uid="{00000000-0004-0000-0600-000071030000}"/>
    <hyperlink ref="N884" r:id="rId883" xr:uid="{00000000-0004-0000-0600-000072030000}"/>
    <hyperlink ref="N885" r:id="rId884" xr:uid="{00000000-0004-0000-0600-000073030000}"/>
    <hyperlink ref="N886" r:id="rId885" xr:uid="{00000000-0004-0000-0600-000074030000}"/>
    <hyperlink ref="N887" r:id="rId886" xr:uid="{00000000-0004-0000-0600-000075030000}"/>
    <hyperlink ref="N888" r:id="rId887" xr:uid="{00000000-0004-0000-0600-000076030000}"/>
    <hyperlink ref="N889" r:id="rId888" xr:uid="{00000000-0004-0000-0600-000077030000}"/>
    <hyperlink ref="N890" r:id="rId889" xr:uid="{00000000-0004-0000-0600-000078030000}"/>
    <hyperlink ref="N891" r:id="rId890" xr:uid="{00000000-0004-0000-0600-000079030000}"/>
    <hyperlink ref="N892" r:id="rId891" xr:uid="{00000000-0004-0000-0600-00007A030000}"/>
    <hyperlink ref="N893" r:id="rId892" xr:uid="{00000000-0004-0000-0600-00007B030000}"/>
    <hyperlink ref="N894" r:id="rId893" xr:uid="{00000000-0004-0000-0600-00007C030000}"/>
    <hyperlink ref="N895" r:id="rId894" xr:uid="{00000000-0004-0000-0600-00007D030000}"/>
    <hyperlink ref="N896" r:id="rId895" xr:uid="{00000000-0004-0000-0600-00007E030000}"/>
    <hyperlink ref="N897" r:id="rId896" xr:uid="{00000000-0004-0000-0600-00007F030000}"/>
    <hyperlink ref="N898" r:id="rId897" xr:uid="{00000000-0004-0000-0600-000080030000}"/>
    <hyperlink ref="N899" r:id="rId898" xr:uid="{00000000-0004-0000-0600-000081030000}"/>
    <hyperlink ref="N900" r:id="rId899" xr:uid="{00000000-0004-0000-0600-000082030000}"/>
    <hyperlink ref="N901" r:id="rId900" xr:uid="{00000000-0004-0000-0600-000083030000}"/>
    <hyperlink ref="N902" r:id="rId901" xr:uid="{00000000-0004-0000-0600-000084030000}"/>
    <hyperlink ref="N903" r:id="rId902" xr:uid="{00000000-0004-0000-0600-000085030000}"/>
    <hyperlink ref="N904" r:id="rId903" xr:uid="{00000000-0004-0000-0600-000086030000}"/>
    <hyperlink ref="N905" r:id="rId904" xr:uid="{00000000-0004-0000-0600-000087030000}"/>
    <hyperlink ref="N906" r:id="rId905" xr:uid="{00000000-0004-0000-0600-000088030000}"/>
    <hyperlink ref="N907" r:id="rId906" xr:uid="{00000000-0004-0000-0600-000089030000}"/>
    <hyperlink ref="N908" r:id="rId907" xr:uid="{00000000-0004-0000-0600-00008A030000}"/>
    <hyperlink ref="N909" r:id="rId908" xr:uid="{00000000-0004-0000-0600-00008B030000}"/>
    <hyperlink ref="N910" r:id="rId909" xr:uid="{00000000-0004-0000-0600-00008C030000}"/>
    <hyperlink ref="N911" r:id="rId910" xr:uid="{00000000-0004-0000-0600-00008D030000}"/>
    <hyperlink ref="N912" r:id="rId911" xr:uid="{00000000-0004-0000-0600-00008E030000}"/>
    <hyperlink ref="N913" r:id="rId912" xr:uid="{00000000-0004-0000-0600-00008F030000}"/>
    <hyperlink ref="N914" r:id="rId913" xr:uid="{00000000-0004-0000-0600-000090030000}"/>
    <hyperlink ref="N915" r:id="rId914" xr:uid="{00000000-0004-0000-0600-000091030000}"/>
    <hyperlink ref="N916" r:id="rId915" xr:uid="{00000000-0004-0000-0600-000092030000}"/>
    <hyperlink ref="N917" r:id="rId916" xr:uid="{00000000-0004-0000-0600-000093030000}"/>
    <hyperlink ref="N918" r:id="rId917" xr:uid="{00000000-0004-0000-0600-000094030000}"/>
    <hyperlink ref="N919" r:id="rId918" xr:uid="{00000000-0004-0000-0600-000095030000}"/>
    <hyperlink ref="N920" r:id="rId919" xr:uid="{00000000-0004-0000-0600-000096030000}"/>
    <hyperlink ref="N921" r:id="rId920" xr:uid="{00000000-0004-0000-0600-000097030000}"/>
    <hyperlink ref="N922" r:id="rId921" xr:uid="{00000000-0004-0000-0600-000098030000}"/>
    <hyperlink ref="N923" r:id="rId922" xr:uid="{00000000-0004-0000-0600-000099030000}"/>
    <hyperlink ref="N924" r:id="rId923" xr:uid="{00000000-0004-0000-0600-00009A030000}"/>
    <hyperlink ref="N925" r:id="rId924" xr:uid="{00000000-0004-0000-0600-00009B030000}"/>
    <hyperlink ref="N926" r:id="rId925" xr:uid="{00000000-0004-0000-0600-00009C030000}"/>
    <hyperlink ref="N927" r:id="rId926" xr:uid="{00000000-0004-0000-0600-00009D030000}"/>
    <hyperlink ref="N928" r:id="rId927" xr:uid="{00000000-0004-0000-0600-00009E030000}"/>
    <hyperlink ref="N929" r:id="rId928" xr:uid="{00000000-0004-0000-0600-00009F030000}"/>
    <hyperlink ref="N930" r:id="rId929" xr:uid="{00000000-0004-0000-0600-0000A0030000}"/>
    <hyperlink ref="N931" r:id="rId930" xr:uid="{00000000-0004-0000-0600-0000A1030000}"/>
    <hyperlink ref="N932" r:id="rId931" xr:uid="{00000000-0004-0000-0600-0000A2030000}"/>
    <hyperlink ref="N933" r:id="rId932" xr:uid="{00000000-0004-0000-0600-0000A3030000}"/>
    <hyperlink ref="N934" r:id="rId933" xr:uid="{00000000-0004-0000-0600-0000A4030000}"/>
    <hyperlink ref="N935" r:id="rId934" xr:uid="{00000000-0004-0000-0600-0000A5030000}"/>
    <hyperlink ref="N936" r:id="rId935" xr:uid="{00000000-0004-0000-0600-0000A6030000}"/>
    <hyperlink ref="N937" r:id="rId936" xr:uid="{00000000-0004-0000-0600-0000A7030000}"/>
    <hyperlink ref="N938" r:id="rId937" xr:uid="{00000000-0004-0000-0600-0000A8030000}"/>
    <hyperlink ref="N939" r:id="rId938" xr:uid="{00000000-0004-0000-0600-0000A9030000}"/>
    <hyperlink ref="N940" r:id="rId939" xr:uid="{00000000-0004-0000-0600-0000AA030000}"/>
    <hyperlink ref="N941" r:id="rId940" xr:uid="{00000000-0004-0000-0600-0000AB030000}"/>
    <hyperlink ref="N942" r:id="rId941" xr:uid="{00000000-0004-0000-0600-0000AC030000}"/>
    <hyperlink ref="N943" r:id="rId942" xr:uid="{00000000-0004-0000-0600-0000AD030000}"/>
    <hyperlink ref="N944" r:id="rId943" xr:uid="{00000000-0004-0000-0600-0000AE030000}"/>
    <hyperlink ref="N945" r:id="rId944" xr:uid="{00000000-0004-0000-0600-0000AF030000}"/>
    <hyperlink ref="N946" r:id="rId945" xr:uid="{00000000-0004-0000-0600-0000B0030000}"/>
    <hyperlink ref="N947" r:id="rId946" xr:uid="{00000000-0004-0000-0600-0000B1030000}"/>
    <hyperlink ref="N948" r:id="rId947" xr:uid="{00000000-0004-0000-0600-0000B2030000}"/>
    <hyperlink ref="N949" r:id="rId948" xr:uid="{00000000-0004-0000-0600-0000B3030000}"/>
    <hyperlink ref="N950" r:id="rId949" xr:uid="{00000000-0004-0000-0600-0000B4030000}"/>
    <hyperlink ref="N951" r:id="rId950" xr:uid="{00000000-0004-0000-0600-0000B5030000}"/>
    <hyperlink ref="N952" r:id="rId951" xr:uid="{00000000-0004-0000-0600-0000B6030000}"/>
    <hyperlink ref="N953" r:id="rId952" xr:uid="{00000000-0004-0000-0600-0000B7030000}"/>
    <hyperlink ref="N954" r:id="rId953" xr:uid="{00000000-0004-0000-0600-0000B8030000}"/>
    <hyperlink ref="N955" r:id="rId954" xr:uid="{00000000-0004-0000-0600-0000B9030000}"/>
    <hyperlink ref="N956" r:id="rId955" xr:uid="{00000000-0004-0000-0600-0000BA030000}"/>
    <hyperlink ref="N957" r:id="rId956" xr:uid="{00000000-0004-0000-0600-0000BB030000}"/>
    <hyperlink ref="N958" r:id="rId957" xr:uid="{00000000-0004-0000-0600-0000BC030000}"/>
    <hyperlink ref="N959" r:id="rId958" xr:uid="{00000000-0004-0000-0600-0000BD030000}"/>
    <hyperlink ref="N960" r:id="rId959" xr:uid="{00000000-0004-0000-0600-0000BE030000}"/>
    <hyperlink ref="N961" r:id="rId960" xr:uid="{00000000-0004-0000-0600-0000BF030000}"/>
    <hyperlink ref="N962" r:id="rId961" xr:uid="{00000000-0004-0000-0600-0000C0030000}"/>
    <hyperlink ref="N963" r:id="rId962" xr:uid="{00000000-0004-0000-0600-0000C1030000}"/>
    <hyperlink ref="N964" r:id="rId963" xr:uid="{00000000-0004-0000-0600-0000C2030000}"/>
    <hyperlink ref="N965" r:id="rId964" xr:uid="{00000000-0004-0000-0600-0000C3030000}"/>
    <hyperlink ref="N966" r:id="rId965" xr:uid="{00000000-0004-0000-0600-0000C4030000}"/>
    <hyperlink ref="N967" r:id="rId966" xr:uid="{00000000-0004-0000-0600-0000C5030000}"/>
    <hyperlink ref="N968" r:id="rId967" xr:uid="{00000000-0004-0000-0600-0000C6030000}"/>
    <hyperlink ref="N969" r:id="rId968" xr:uid="{00000000-0004-0000-0600-0000C7030000}"/>
    <hyperlink ref="N970" r:id="rId969" xr:uid="{00000000-0004-0000-0600-0000C8030000}"/>
    <hyperlink ref="N971" r:id="rId970" xr:uid="{00000000-0004-0000-0600-0000C9030000}"/>
    <hyperlink ref="N972" r:id="rId971" xr:uid="{00000000-0004-0000-0600-0000CA030000}"/>
    <hyperlink ref="N973" r:id="rId972" xr:uid="{00000000-0004-0000-0600-0000CB030000}"/>
    <hyperlink ref="N974" r:id="rId973" xr:uid="{00000000-0004-0000-0600-0000CC030000}"/>
    <hyperlink ref="N975" r:id="rId974" xr:uid="{00000000-0004-0000-0600-0000CD030000}"/>
    <hyperlink ref="N976" r:id="rId975" xr:uid="{00000000-0004-0000-0600-0000CE030000}"/>
    <hyperlink ref="N977" r:id="rId976" xr:uid="{00000000-0004-0000-0600-0000CF030000}"/>
    <hyperlink ref="N978" r:id="rId977" xr:uid="{00000000-0004-0000-0600-0000D0030000}"/>
    <hyperlink ref="N979" r:id="rId978" xr:uid="{00000000-0004-0000-0600-0000D1030000}"/>
    <hyperlink ref="N980" r:id="rId979" xr:uid="{00000000-0004-0000-0600-0000D2030000}"/>
    <hyperlink ref="N981" r:id="rId980" xr:uid="{00000000-0004-0000-0600-0000D3030000}"/>
    <hyperlink ref="N982" r:id="rId981" xr:uid="{00000000-0004-0000-0600-0000D4030000}"/>
    <hyperlink ref="N983" r:id="rId982" xr:uid="{00000000-0004-0000-0600-0000D5030000}"/>
    <hyperlink ref="N984" r:id="rId983" xr:uid="{00000000-0004-0000-0600-0000D6030000}"/>
    <hyperlink ref="N985" r:id="rId984" xr:uid="{00000000-0004-0000-0600-0000D7030000}"/>
    <hyperlink ref="N986" r:id="rId985" xr:uid="{00000000-0004-0000-0600-0000D8030000}"/>
    <hyperlink ref="N987" r:id="rId986" xr:uid="{00000000-0004-0000-0600-0000D9030000}"/>
    <hyperlink ref="N988" r:id="rId987" xr:uid="{00000000-0004-0000-0600-0000DA030000}"/>
    <hyperlink ref="N989" r:id="rId988" xr:uid="{00000000-0004-0000-0600-0000DB030000}"/>
    <hyperlink ref="N990" r:id="rId989" xr:uid="{00000000-0004-0000-0600-0000DC030000}"/>
    <hyperlink ref="N991" r:id="rId990" xr:uid="{00000000-0004-0000-0600-0000DD030000}"/>
    <hyperlink ref="N992" r:id="rId991" xr:uid="{00000000-0004-0000-0600-0000DE030000}"/>
    <hyperlink ref="N993" r:id="rId992" xr:uid="{00000000-0004-0000-0600-0000DF030000}"/>
    <hyperlink ref="N994" r:id="rId993" xr:uid="{00000000-0004-0000-0600-0000E0030000}"/>
    <hyperlink ref="N995" r:id="rId994" xr:uid="{00000000-0004-0000-0600-0000E1030000}"/>
    <hyperlink ref="N996" r:id="rId995" xr:uid="{00000000-0004-0000-0600-0000E2030000}"/>
    <hyperlink ref="N997" r:id="rId996" xr:uid="{00000000-0004-0000-0600-0000E3030000}"/>
    <hyperlink ref="N998" r:id="rId997" xr:uid="{00000000-0004-0000-0600-0000E4030000}"/>
    <hyperlink ref="N999" r:id="rId998" xr:uid="{00000000-0004-0000-0600-0000E5030000}"/>
    <hyperlink ref="N1000" r:id="rId999" xr:uid="{00000000-0004-0000-0600-0000E6030000}"/>
    <hyperlink ref="N1001" r:id="rId1000" xr:uid="{00000000-0004-0000-0600-0000E7030000}"/>
    <hyperlink ref="N1002" r:id="rId1001" xr:uid="{00000000-0004-0000-0600-0000E8030000}"/>
    <hyperlink ref="N1003" r:id="rId1002" xr:uid="{00000000-0004-0000-0600-0000E9030000}"/>
    <hyperlink ref="N1004" r:id="rId1003" xr:uid="{00000000-0004-0000-0600-0000EA030000}"/>
    <hyperlink ref="N1005" r:id="rId1004" xr:uid="{00000000-0004-0000-0600-0000EB030000}"/>
    <hyperlink ref="N1006" r:id="rId1005" xr:uid="{00000000-0004-0000-0600-0000EC030000}"/>
    <hyperlink ref="N1007" r:id="rId1006" xr:uid="{00000000-0004-0000-0600-0000ED030000}"/>
    <hyperlink ref="N1008" r:id="rId1007" xr:uid="{00000000-0004-0000-0600-0000EE030000}"/>
    <hyperlink ref="N1009" r:id="rId1008" xr:uid="{00000000-0004-0000-0600-0000EF030000}"/>
    <hyperlink ref="N1010" r:id="rId1009" xr:uid="{00000000-0004-0000-0600-0000F0030000}"/>
    <hyperlink ref="N1011" r:id="rId1010" xr:uid="{00000000-0004-0000-0600-0000F1030000}"/>
    <hyperlink ref="N1012" r:id="rId1011" xr:uid="{00000000-0004-0000-0600-0000F2030000}"/>
    <hyperlink ref="N1013" r:id="rId1012" xr:uid="{00000000-0004-0000-0600-0000F3030000}"/>
    <hyperlink ref="N1014" r:id="rId1013" xr:uid="{00000000-0004-0000-0600-0000F4030000}"/>
    <hyperlink ref="N1015" r:id="rId1014" xr:uid="{00000000-0004-0000-0600-0000F5030000}"/>
    <hyperlink ref="N1016" r:id="rId1015" xr:uid="{00000000-0004-0000-0600-0000F6030000}"/>
    <hyperlink ref="N1017" r:id="rId1016" xr:uid="{00000000-0004-0000-0600-0000F7030000}"/>
    <hyperlink ref="N1018" r:id="rId1017" xr:uid="{00000000-0004-0000-0600-0000F8030000}"/>
    <hyperlink ref="N1019" r:id="rId1018" xr:uid="{00000000-0004-0000-0600-0000F9030000}"/>
    <hyperlink ref="N1020" r:id="rId1019" xr:uid="{00000000-0004-0000-0600-0000FA030000}"/>
    <hyperlink ref="N1021" r:id="rId1020" xr:uid="{00000000-0004-0000-0600-0000FB030000}"/>
  </hyperlinks>
  <pageMargins left="0.74791666666666701" right="0.74791666666666701" top="0.98402777777777795" bottom="0.98402777777777795" header="0.511811023622047" footer="0.511811023622047"/>
  <pageSetup paperSize="9"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heetPr>
  <dimension ref="A1:K1001"/>
  <sheetViews>
    <sheetView zoomScaleNormal="100" workbookViewId="0">
      <selection activeCell="D4" sqref="D4"/>
    </sheetView>
  </sheetViews>
  <sheetFormatPr defaultColWidth="12.6640625" defaultRowHeight="15.75" customHeight="1"/>
  <sheetData>
    <row r="1" spans="1:11" ht="13.8">
      <c r="A1" s="1" t="s">
        <v>14183</v>
      </c>
      <c r="B1" s="1" t="s">
        <v>17113</v>
      </c>
      <c r="C1" s="1" t="s">
        <v>17114</v>
      </c>
      <c r="D1" s="1" t="s">
        <v>14186</v>
      </c>
      <c r="E1" s="1" t="s">
        <v>14187</v>
      </c>
      <c r="F1" s="1" t="s">
        <v>14188</v>
      </c>
      <c r="G1" s="1" t="s">
        <v>14189</v>
      </c>
      <c r="H1" s="1" t="s">
        <v>14190</v>
      </c>
      <c r="I1" s="1" t="s">
        <v>17115</v>
      </c>
      <c r="J1" s="1" t="s">
        <v>14192</v>
      </c>
      <c r="K1" s="1" t="s">
        <v>14193</v>
      </c>
    </row>
    <row r="2" spans="1:11" ht="13.8">
      <c r="A2" s="1" t="s">
        <v>28332</v>
      </c>
      <c r="B2" s="1" t="s">
        <v>28333</v>
      </c>
      <c r="C2" s="1" t="s">
        <v>28334</v>
      </c>
      <c r="D2" s="1" t="s">
        <v>28335</v>
      </c>
      <c r="E2" s="1">
        <v>60</v>
      </c>
      <c r="F2" s="1" t="s">
        <v>429</v>
      </c>
      <c r="G2" s="1" t="s">
        <v>14198</v>
      </c>
      <c r="H2" s="1" t="s">
        <v>28336</v>
      </c>
      <c r="I2" s="1" t="s">
        <v>28337</v>
      </c>
      <c r="J2" s="3" t="s">
        <v>28338</v>
      </c>
      <c r="K2" s="1" t="s">
        <v>28339</v>
      </c>
    </row>
    <row r="3" spans="1:11" ht="13.8">
      <c r="A3" s="1" t="s">
        <v>28340</v>
      </c>
      <c r="B3" s="1" t="s">
        <v>28341</v>
      </c>
      <c r="C3" s="1" t="s">
        <v>28342</v>
      </c>
      <c r="D3" s="1" t="s">
        <v>28343</v>
      </c>
      <c r="E3" s="1">
        <v>25</v>
      </c>
      <c r="F3" s="1" t="s">
        <v>14281</v>
      </c>
      <c r="G3" s="1" t="s">
        <v>14198</v>
      </c>
      <c r="H3" s="1" t="s">
        <v>28344</v>
      </c>
      <c r="I3" s="1" t="s">
        <v>28345</v>
      </c>
      <c r="J3" s="3" t="s">
        <v>28346</v>
      </c>
      <c r="K3" s="1" t="s">
        <v>28339</v>
      </c>
    </row>
    <row r="4" spans="1:11" ht="13.8">
      <c r="A4" s="1" t="s">
        <v>28347</v>
      </c>
      <c r="B4" s="1" t="s">
        <v>28348</v>
      </c>
      <c r="C4" s="1" t="s">
        <v>28349</v>
      </c>
      <c r="D4" s="1" t="s">
        <v>28350</v>
      </c>
      <c r="E4" s="1">
        <v>35</v>
      </c>
      <c r="F4" s="1" t="s">
        <v>14572</v>
      </c>
      <c r="G4" s="1" t="s">
        <v>14367</v>
      </c>
      <c r="H4" s="1" t="s">
        <v>28351</v>
      </c>
      <c r="I4" s="1" t="s">
        <v>28352</v>
      </c>
      <c r="J4" s="3" t="s">
        <v>28353</v>
      </c>
      <c r="K4" s="1" t="s">
        <v>28339</v>
      </c>
    </row>
    <row r="5" spans="1:11" ht="13.8">
      <c r="A5" s="1" t="s">
        <v>28354</v>
      </c>
      <c r="B5" s="1" t="s">
        <v>28355</v>
      </c>
      <c r="C5" s="1" t="s">
        <v>28356</v>
      </c>
      <c r="D5" s="1" t="s">
        <v>28357</v>
      </c>
      <c r="E5" s="1">
        <v>55</v>
      </c>
      <c r="F5" s="1" t="s">
        <v>145</v>
      </c>
      <c r="G5" s="1" t="s">
        <v>14382</v>
      </c>
      <c r="H5" s="1" t="s">
        <v>28358</v>
      </c>
      <c r="I5" s="1" t="s">
        <v>28359</v>
      </c>
      <c r="J5" s="3" t="s">
        <v>28360</v>
      </c>
      <c r="K5" s="1" t="s">
        <v>28339</v>
      </c>
    </row>
    <row r="6" spans="1:11" ht="13.8">
      <c r="A6" s="1" t="s">
        <v>28361</v>
      </c>
      <c r="B6" s="1" t="s">
        <v>28362</v>
      </c>
      <c r="C6" s="1" t="s">
        <v>28363</v>
      </c>
      <c r="D6" s="1" t="s">
        <v>28364</v>
      </c>
      <c r="E6" s="1">
        <v>20</v>
      </c>
      <c r="F6" s="1" t="s">
        <v>145</v>
      </c>
      <c r="G6" s="1" t="s">
        <v>15102</v>
      </c>
      <c r="H6" s="1" t="s">
        <v>28365</v>
      </c>
      <c r="I6" s="1" t="s">
        <v>28366</v>
      </c>
      <c r="J6" s="3" t="s">
        <v>28367</v>
      </c>
      <c r="K6" s="1" t="s">
        <v>28339</v>
      </c>
    </row>
    <row r="7" spans="1:11" ht="13.8">
      <c r="A7" s="1" t="s">
        <v>28368</v>
      </c>
      <c r="B7" s="1" t="s">
        <v>28369</v>
      </c>
      <c r="C7" s="1" t="s">
        <v>28370</v>
      </c>
      <c r="D7" s="1" t="s">
        <v>28371</v>
      </c>
      <c r="E7" s="1">
        <v>50</v>
      </c>
      <c r="F7" s="1" t="s">
        <v>14207</v>
      </c>
      <c r="G7" s="1" t="s">
        <v>14198</v>
      </c>
      <c r="H7" s="1" t="s">
        <v>28372</v>
      </c>
      <c r="I7" s="1" t="s">
        <v>28373</v>
      </c>
      <c r="J7" s="3" t="s">
        <v>28374</v>
      </c>
      <c r="K7" s="1" t="s">
        <v>28339</v>
      </c>
    </row>
    <row r="8" spans="1:11" ht="13.8">
      <c r="A8" s="1" t="s">
        <v>28375</v>
      </c>
      <c r="B8" s="1" t="s">
        <v>28376</v>
      </c>
      <c r="C8" s="1" t="s">
        <v>28377</v>
      </c>
      <c r="D8" s="1" t="s">
        <v>28378</v>
      </c>
      <c r="E8" s="1">
        <v>40</v>
      </c>
      <c r="F8" s="1" t="s">
        <v>14572</v>
      </c>
      <c r="G8" s="1" t="s">
        <v>14367</v>
      </c>
      <c r="H8" s="1" t="s">
        <v>28379</v>
      </c>
      <c r="I8" s="1" t="s">
        <v>28380</v>
      </c>
      <c r="J8" s="3" t="s">
        <v>28381</v>
      </c>
      <c r="K8" s="1" t="s">
        <v>28339</v>
      </c>
    </row>
    <row r="9" spans="1:11" ht="13.8">
      <c r="A9" s="1" t="s">
        <v>28382</v>
      </c>
      <c r="B9" s="1" t="s">
        <v>28383</v>
      </c>
      <c r="C9" s="1" t="s">
        <v>28384</v>
      </c>
      <c r="D9" s="1" t="s">
        <v>28385</v>
      </c>
      <c r="E9" s="1">
        <v>60</v>
      </c>
      <c r="F9" s="1" t="s">
        <v>14281</v>
      </c>
      <c r="G9" s="1" t="s">
        <v>14198</v>
      </c>
      <c r="H9" s="1" t="s">
        <v>28386</v>
      </c>
      <c r="I9" s="1" t="s">
        <v>28387</v>
      </c>
      <c r="J9" s="3" t="s">
        <v>28388</v>
      </c>
      <c r="K9" s="1" t="s">
        <v>28339</v>
      </c>
    </row>
    <row r="10" spans="1:11" ht="409.6">
      <c r="A10" s="1" t="s">
        <v>28389</v>
      </c>
      <c r="B10" s="1" t="s">
        <v>28390</v>
      </c>
      <c r="C10" s="1" t="s">
        <v>28391</v>
      </c>
      <c r="D10" s="1" t="s">
        <v>28392</v>
      </c>
      <c r="E10" s="1">
        <v>190</v>
      </c>
      <c r="F10" s="1" t="s">
        <v>14281</v>
      </c>
      <c r="G10" s="1" t="s">
        <v>14198</v>
      </c>
      <c r="H10" s="4" t="s">
        <v>28393</v>
      </c>
      <c r="I10" s="1" t="s">
        <v>28394</v>
      </c>
      <c r="J10" s="3" t="s">
        <v>28395</v>
      </c>
      <c r="K10" s="1" t="s">
        <v>28339</v>
      </c>
    </row>
    <row r="11" spans="1:11" ht="409.6">
      <c r="A11" s="1" t="s">
        <v>28396</v>
      </c>
      <c r="B11" s="1" t="s">
        <v>28397</v>
      </c>
      <c r="C11" s="1" t="s">
        <v>28398</v>
      </c>
      <c r="D11" s="1" t="s">
        <v>28399</v>
      </c>
      <c r="E11" s="1">
        <v>35</v>
      </c>
      <c r="F11" s="1" t="s">
        <v>145</v>
      </c>
      <c r="G11" s="1" t="s">
        <v>14198</v>
      </c>
      <c r="H11" s="4" t="s">
        <v>28400</v>
      </c>
      <c r="I11" s="1" t="s">
        <v>28401</v>
      </c>
      <c r="J11" s="3" t="s">
        <v>28402</v>
      </c>
      <c r="K11" s="1" t="s">
        <v>28339</v>
      </c>
    </row>
    <row r="12" spans="1:11" ht="409.6">
      <c r="A12" s="1" t="s">
        <v>28403</v>
      </c>
      <c r="B12" s="1" t="s">
        <v>28404</v>
      </c>
      <c r="C12" s="1" t="s">
        <v>28405</v>
      </c>
      <c r="D12" s="1" t="s">
        <v>28406</v>
      </c>
      <c r="E12" s="1">
        <v>50</v>
      </c>
      <c r="F12" s="1" t="s">
        <v>145</v>
      </c>
      <c r="G12" s="1" t="s">
        <v>14198</v>
      </c>
      <c r="H12" s="1" t="s">
        <v>28407</v>
      </c>
      <c r="I12" s="4" t="s">
        <v>28408</v>
      </c>
      <c r="J12" s="3" t="s">
        <v>28409</v>
      </c>
      <c r="K12" s="1" t="s">
        <v>28339</v>
      </c>
    </row>
    <row r="13" spans="1:11" ht="13.8">
      <c r="A13" s="1" t="s">
        <v>28410</v>
      </c>
      <c r="B13" s="1" t="s">
        <v>28411</v>
      </c>
      <c r="C13" s="1" t="s">
        <v>28412</v>
      </c>
      <c r="D13" s="1" t="s">
        <v>28413</v>
      </c>
      <c r="E13" s="1">
        <v>65</v>
      </c>
      <c r="F13" s="1" t="s">
        <v>145</v>
      </c>
      <c r="G13" s="1" t="s">
        <v>14382</v>
      </c>
      <c r="H13" s="1" t="s">
        <v>28414</v>
      </c>
      <c r="I13" s="1" t="s">
        <v>28415</v>
      </c>
      <c r="J13" s="3" t="s">
        <v>28416</v>
      </c>
      <c r="K13" s="1" t="s">
        <v>28339</v>
      </c>
    </row>
    <row r="14" spans="1:11" ht="13.8">
      <c r="A14" s="1" t="s">
        <v>28417</v>
      </c>
      <c r="B14" s="1" t="s">
        <v>28418</v>
      </c>
      <c r="C14" s="1" t="s">
        <v>28419</v>
      </c>
      <c r="D14" s="1" t="s">
        <v>28420</v>
      </c>
      <c r="E14" s="1">
        <v>20</v>
      </c>
      <c r="F14" s="1" t="s">
        <v>145</v>
      </c>
      <c r="G14" s="1" t="s">
        <v>15102</v>
      </c>
      <c r="H14" s="1" t="s">
        <v>28421</v>
      </c>
      <c r="I14" s="1" t="s">
        <v>28422</v>
      </c>
      <c r="J14" s="3" t="s">
        <v>28423</v>
      </c>
      <c r="K14" s="1" t="s">
        <v>28339</v>
      </c>
    </row>
    <row r="15" spans="1:11" ht="13.8">
      <c r="A15" s="1" t="s">
        <v>28424</v>
      </c>
      <c r="B15" s="1" t="s">
        <v>28425</v>
      </c>
      <c r="C15" s="1" t="s">
        <v>28426</v>
      </c>
      <c r="D15" s="1" t="s">
        <v>28427</v>
      </c>
      <c r="E15" s="1">
        <v>55</v>
      </c>
      <c r="F15" s="1" t="s">
        <v>14259</v>
      </c>
      <c r="G15" s="1" t="s">
        <v>14367</v>
      </c>
      <c r="H15" s="1" t="s">
        <v>28428</v>
      </c>
      <c r="I15" s="1" t="s">
        <v>28429</v>
      </c>
      <c r="J15" s="3" t="s">
        <v>28430</v>
      </c>
      <c r="K15" s="1" t="s">
        <v>28339</v>
      </c>
    </row>
    <row r="16" spans="1:11" ht="13.8">
      <c r="A16" s="1" t="s">
        <v>28431</v>
      </c>
      <c r="B16" s="1" t="s">
        <v>28432</v>
      </c>
      <c r="C16" s="1" t="s">
        <v>28433</v>
      </c>
      <c r="D16" s="1" t="s">
        <v>28434</v>
      </c>
      <c r="E16" s="1">
        <v>35</v>
      </c>
      <c r="F16" s="1" t="s">
        <v>145</v>
      </c>
      <c r="G16" s="1" t="s">
        <v>14198</v>
      </c>
      <c r="H16" s="1" t="s">
        <v>28435</v>
      </c>
      <c r="I16" s="1" t="s">
        <v>28436</v>
      </c>
      <c r="J16" s="3" t="s">
        <v>28437</v>
      </c>
      <c r="K16" s="1" t="s">
        <v>28339</v>
      </c>
    </row>
    <row r="17" spans="1:11" ht="13.8">
      <c r="A17" s="1" t="s">
        <v>28438</v>
      </c>
      <c r="B17" s="1" t="s">
        <v>28439</v>
      </c>
      <c r="C17" s="1" t="s">
        <v>28440</v>
      </c>
      <c r="D17" s="1" t="s">
        <v>28441</v>
      </c>
      <c r="E17" s="1">
        <v>35</v>
      </c>
      <c r="F17" s="1" t="s">
        <v>145</v>
      </c>
      <c r="G17" s="1" t="s">
        <v>14198</v>
      </c>
      <c r="H17" s="1" t="s">
        <v>28442</v>
      </c>
      <c r="I17" s="1" t="s">
        <v>28443</v>
      </c>
      <c r="J17" s="3" t="s">
        <v>28444</v>
      </c>
      <c r="K17" s="1" t="s">
        <v>28339</v>
      </c>
    </row>
    <row r="18" spans="1:11" ht="13.8">
      <c r="A18" s="1" t="s">
        <v>28445</v>
      </c>
      <c r="B18" s="1" t="s">
        <v>28446</v>
      </c>
      <c r="C18" s="1" t="s">
        <v>28447</v>
      </c>
      <c r="D18" s="1" t="s">
        <v>28448</v>
      </c>
      <c r="E18" s="1">
        <v>40</v>
      </c>
      <c r="F18" s="1" t="s">
        <v>145</v>
      </c>
      <c r="G18" s="1" t="s">
        <v>14198</v>
      </c>
      <c r="H18" s="1" t="s">
        <v>28449</v>
      </c>
      <c r="I18" s="1" t="s">
        <v>28450</v>
      </c>
      <c r="J18" s="3" t="s">
        <v>28451</v>
      </c>
      <c r="K18" s="1" t="s">
        <v>28339</v>
      </c>
    </row>
    <row r="19" spans="1:11" ht="409.6">
      <c r="A19" s="1" t="s">
        <v>28452</v>
      </c>
      <c r="B19" s="1" t="s">
        <v>28453</v>
      </c>
      <c r="C19" s="1" t="s">
        <v>28454</v>
      </c>
      <c r="D19" s="1" t="s">
        <v>28455</v>
      </c>
      <c r="E19" s="1">
        <v>50</v>
      </c>
      <c r="F19" s="1" t="s">
        <v>145</v>
      </c>
      <c r="G19" s="1" t="s">
        <v>15314</v>
      </c>
      <c r="H19" s="1" t="s">
        <v>28456</v>
      </c>
      <c r="I19" s="4" t="s">
        <v>28457</v>
      </c>
      <c r="J19" s="3" t="s">
        <v>28458</v>
      </c>
      <c r="K19" s="1" t="s">
        <v>28339</v>
      </c>
    </row>
    <row r="20" spans="1:11" ht="13.8">
      <c r="A20" s="1" t="s">
        <v>28459</v>
      </c>
      <c r="B20" s="1" t="s">
        <v>28460</v>
      </c>
      <c r="C20" s="1" t="s">
        <v>28461</v>
      </c>
      <c r="D20" s="1" t="s">
        <v>28462</v>
      </c>
      <c r="E20" s="1">
        <v>70</v>
      </c>
      <c r="F20" s="1" t="s">
        <v>145</v>
      </c>
      <c r="G20" s="1" t="s">
        <v>14198</v>
      </c>
      <c r="H20" s="1" t="s">
        <v>28463</v>
      </c>
      <c r="I20" s="1" t="s">
        <v>28464</v>
      </c>
      <c r="J20" s="3" t="s">
        <v>28465</v>
      </c>
      <c r="K20" s="1" t="s">
        <v>28339</v>
      </c>
    </row>
    <row r="21" spans="1:11" ht="409.6">
      <c r="A21" s="1" t="s">
        <v>28466</v>
      </c>
      <c r="B21" s="1" t="s">
        <v>28467</v>
      </c>
      <c r="C21" s="1" t="s">
        <v>28468</v>
      </c>
      <c r="D21" s="1" t="s">
        <v>28469</v>
      </c>
      <c r="E21" s="1">
        <v>30</v>
      </c>
      <c r="F21" s="1" t="s">
        <v>145</v>
      </c>
      <c r="G21" s="1" t="s">
        <v>14198</v>
      </c>
      <c r="H21" s="1" t="s">
        <v>28470</v>
      </c>
      <c r="I21" s="4" t="s">
        <v>28471</v>
      </c>
      <c r="J21" s="3" t="s">
        <v>28472</v>
      </c>
      <c r="K21" s="1" t="s">
        <v>28339</v>
      </c>
    </row>
    <row r="22" spans="1:11" ht="13.8">
      <c r="A22" s="1" t="s">
        <v>28473</v>
      </c>
      <c r="B22" s="1" t="s">
        <v>28474</v>
      </c>
      <c r="C22" s="1" t="s">
        <v>28475</v>
      </c>
      <c r="D22" s="1" t="s">
        <v>28476</v>
      </c>
      <c r="E22" s="1">
        <v>50</v>
      </c>
      <c r="F22" s="1" t="s">
        <v>145</v>
      </c>
      <c r="G22" s="1" t="s">
        <v>15314</v>
      </c>
      <c r="H22" s="1" t="s">
        <v>28477</v>
      </c>
      <c r="I22" s="1" t="s">
        <v>28478</v>
      </c>
      <c r="J22" s="3" t="s">
        <v>28479</v>
      </c>
      <c r="K22" s="1" t="s">
        <v>28339</v>
      </c>
    </row>
    <row r="23" spans="1:11" ht="409.6">
      <c r="A23" s="1" t="s">
        <v>28480</v>
      </c>
      <c r="B23" s="1" t="s">
        <v>28481</v>
      </c>
      <c r="C23" s="1" t="s">
        <v>28482</v>
      </c>
      <c r="D23" s="1" t="s">
        <v>28483</v>
      </c>
      <c r="E23" s="1">
        <v>40</v>
      </c>
      <c r="F23" s="1" t="s">
        <v>14259</v>
      </c>
      <c r="G23" s="1" t="s">
        <v>14198</v>
      </c>
      <c r="H23" s="4" t="s">
        <v>28484</v>
      </c>
      <c r="I23" s="1" t="s">
        <v>28485</v>
      </c>
      <c r="J23" s="3" t="s">
        <v>28486</v>
      </c>
      <c r="K23" s="1" t="s">
        <v>28339</v>
      </c>
    </row>
    <row r="24" spans="1:11" ht="13.8">
      <c r="A24" s="1" t="s">
        <v>28487</v>
      </c>
      <c r="B24" s="1" t="s">
        <v>28488</v>
      </c>
      <c r="C24" s="1" t="s">
        <v>28489</v>
      </c>
      <c r="D24" s="1" t="s">
        <v>28490</v>
      </c>
      <c r="E24" s="1">
        <v>20</v>
      </c>
      <c r="F24" s="1" t="s">
        <v>145</v>
      </c>
      <c r="G24" s="1" t="s">
        <v>14198</v>
      </c>
      <c r="H24" s="1" t="s">
        <v>28491</v>
      </c>
      <c r="I24" s="1" t="s">
        <v>28492</v>
      </c>
      <c r="J24" s="3" t="s">
        <v>28493</v>
      </c>
      <c r="K24" s="1" t="s">
        <v>28339</v>
      </c>
    </row>
    <row r="25" spans="1:11" ht="409.6">
      <c r="A25" s="1" t="s">
        <v>28494</v>
      </c>
      <c r="B25" s="1" t="s">
        <v>28495</v>
      </c>
      <c r="C25" s="1" t="s">
        <v>28496</v>
      </c>
      <c r="D25" s="1" t="s">
        <v>28497</v>
      </c>
      <c r="E25" s="1">
        <v>50</v>
      </c>
      <c r="F25" s="1" t="s">
        <v>14259</v>
      </c>
      <c r="G25" s="1" t="s">
        <v>14198</v>
      </c>
      <c r="H25" s="1" t="s">
        <v>28498</v>
      </c>
      <c r="I25" s="4" t="s">
        <v>28499</v>
      </c>
      <c r="J25" s="3" t="s">
        <v>28500</v>
      </c>
      <c r="K25" s="1" t="s">
        <v>28339</v>
      </c>
    </row>
    <row r="26" spans="1:11" ht="13.8">
      <c r="A26" s="1" t="s">
        <v>28501</v>
      </c>
      <c r="B26" s="1" t="s">
        <v>28502</v>
      </c>
      <c r="C26" s="1" t="s">
        <v>28503</v>
      </c>
      <c r="D26" s="1" t="s">
        <v>28504</v>
      </c>
      <c r="E26" s="1">
        <v>45</v>
      </c>
      <c r="F26" s="1" t="s">
        <v>145</v>
      </c>
      <c r="G26" s="1" t="s">
        <v>14198</v>
      </c>
      <c r="H26" s="1" t="s">
        <v>28505</v>
      </c>
      <c r="I26" s="1" t="s">
        <v>28506</v>
      </c>
      <c r="J26" s="3" t="s">
        <v>28507</v>
      </c>
      <c r="K26" s="1" t="s">
        <v>28339</v>
      </c>
    </row>
    <row r="27" spans="1:11" ht="13.8">
      <c r="A27" s="1" t="s">
        <v>28508</v>
      </c>
      <c r="B27" s="1" t="s">
        <v>28509</v>
      </c>
      <c r="C27" s="1" t="s">
        <v>28510</v>
      </c>
      <c r="D27" s="1" t="s">
        <v>28511</v>
      </c>
      <c r="E27" s="1">
        <v>40</v>
      </c>
      <c r="F27" s="1" t="s">
        <v>8417</v>
      </c>
      <c r="G27" s="1" t="s">
        <v>14198</v>
      </c>
      <c r="H27" s="1" t="s">
        <v>28512</v>
      </c>
      <c r="I27" s="1" t="s">
        <v>28513</v>
      </c>
      <c r="J27" s="3" t="s">
        <v>28514</v>
      </c>
      <c r="K27" s="1" t="s">
        <v>28339</v>
      </c>
    </row>
    <row r="28" spans="1:11" ht="409.6">
      <c r="A28" s="1" t="s">
        <v>28515</v>
      </c>
      <c r="B28" s="1" t="s">
        <v>28516</v>
      </c>
      <c r="C28" s="1" t="s">
        <v>28517</v>
      </c>
      <c r="D28" s="1" t="s">
        <v>28518</v>
      </c>
      <c r="E28" s="1">
        <v>70</v>
      </c>
      <c r="F28" s="1" t="s">
        <v>145</v>
      </c>
      <c r="G28" s="1" t="s">
        <v>14382</v>
      </c>
      <c r="H28" s="1" t="s">
        <v>28519</v>
      </c>
      <c r="I28" s="4" t="s">
        <v>28520</v>
      </c>
      <c r="J28" s="3" t="s">
        <v>28521</v>
      </c>
      <c r="K28" s="1" t="s">
        <v>28339</v>
      </c>
    </row>
    <row r="29" spans="1:11" ht="13.8">
      <c r="A29" s="1" t="s">
        <v>28522</v>
      </c>
      <c r="B29" s="1" t="s">
        <v>28523</v>
      </c>
      <c r="C29" s="1" t="s">
        <v>28524</v>
      </c>
      <c r="D29" s="1" t="s">
        <v>28525</v>
      </c>
      <c r="E29" s="1">
        <v>50</v>
      </c>
      <c r="F29" s="1" t="s">
        <v>14259</v>
      </c>
      <c r="G29" s="1" t="s">
        <v>14198</v>
      </c>
      <c r="H29" s="1" t="s">
        <v>28526</v>
      </c>
      <c r="I29" s="1" t="s">
        <v>28527</v>
      </c>
      <c r="J29" s="3" t="s">
        <v>28528</v>
      </c>
      <c r="K29" s="1" t="s">
        <v>28339</v>
      </c>
    </row>
    <row r="30" spans="1:11" ht="409.6">
      <c r="A30" s="1" t="s">
        <v>28529</v>
      </c>
      <c r="B30" s="1" t="s">
        <v>28530</v>
      </c>
      <c r="C30" s="1" t="s">
        <v>28531</v>
      </c>
      <c r="D30" s="1" t="s">
        <v>28532</v>
      </c>
      <c r="E30" s="1">
        <v>120</v>
      </c>
      <c r="F30" s="1" t="s">
        <v>8417</v>
      </c>
      <c r="G30" s="1" t="s">
        <v>14198</v>
      </c>
      <c r="H30" s="4" t="s">
        <v>28533</v>
      </c>
      <c r="I30" s="1" t="s">
        <v>28534</v>
      </c>
      <c r="J30" s="3" t="s">
        <v>28535</v>
      </c>
      <c r="K30" s="1" t="s">
        <v>28339</v>
      </c>
    </row>
    <row r="31" spans="1:11" ht="13.8">
      <c r="A31" s="1" t="s">
        <v>28536</v>
      </c>
      <c r="B31" s="1" t="s">
        <v>28537</v>
      </c>
      <c r="C31" s="1" t="s">
        <v>28538</v>
      </c>
      <c r="D31" s="1" t="s">
        <v>28539</v>
      </c>
      <c r="E31" s="1">
        <v>45</v>
      </c>
      <c r="F31" s="1" t="s">
        <v>145</v>
      </c>
      <c r="G31" s="1" t="s">
        <v>14198</v>
      </c>
      <c r="H31" s="1" t="s">
        <v>28540</v>
      </c>
      <c r="I31" s="1" t="s">
        <v>28541</v>
      </c>
      <c r="J31" s="3" t="s">
        <v>28542</v>
      </c>
      <c r="K31" s="1" t="s">
        <v>28339</v>
      </c>
    </row>
    <row r="32" spans="1:11" ht="13.8">
      <c r="A32" s="1" t="s">
        <v>28543</v>
      </c>
      <c r="B32" s="1" t="s">
        <v>28544</v>
      </c>
      <c r="C32" s="1" t="s">
        <v>28545</v>
      </c>
      <c r="D32" s="1" t="s">
        <v>28546</v>
      </c>
      <c r="E32" s="1">
        <v>25</v>
      </c>
      <c r="F32" s="1" t="s">
        <v>14281</v>
      </c>
      <c r="G32" s="1" t="s">
        <v>14198</v>
      </c>
      <c r="H32" s="1" t="s">
        <v>28547</v>
      </c>
      <c r="I32" s="1" t="s">
        <v>28548</v>
      </c>
      <c r="J32" s="3" t="s">
        <v>28549</v>
      </c>
      <c r="K32" s="1" t="s">
        <v>28339</v>
      </c>
    </row>
    <row r="33" spans="1:11" ht="409.6">
      <c r="A33" s="1" t="s">
        <v>28550</v>
      </c>
      <c r="B33" s="1" t="s">
        <v>28551</v>
      </c>
      <c r="C33" s="1" t="s">
        <v>28552</v>
      </c>
      <c r="D33" s="1" t="s">
        <v>28553</v>
      </c>
      <c r="E33" s="1">
        <v>60</v>
      </c>
      <c r="F33" s="1" t="s">
        <v>429</v>
      </c>
      <c r="G33" s="1" t="s">
        <v>14198</v>
      </c>
      <c r="H33" s="4" t="s">
        <v>28554</v>
      </c>
      <c r="I33" s="1" t="s">
        <v>28555</v>
      </c>
      <c r="J33" s="3" t="s">
        <v>28556</v>
      </c>
      <c r="K33" s="1" t="s">
        <v>28339</v>
      </c>
    </row>
    <row r="34" spans="1:11" ht="13.8">
      <c r="A34" s="1" t="s">
        <v>28557</v>
      </c>
      <c r="B34" s="1" t="s">
        <v>28558</v>
      </c>
      <c r="C34" s="1" t="s">
        <v>28559</v>
      </c>
      <c r="D34" s="1" t="s">
        <v>28560</v>
      </c>
      <c r="E34" s="1">
        <v>60</v>
      </c>
      <c r="F34" s="1" t="s">
        <v>145</v>
      </c>
      <c r="G34" s="1" t="s">
        <v>14367</v>
      </c>
      <c r="H34" s="1" t="s">
        <v>28561</v>
      </c>
      <c r="I34" s="1" t="s">
        <v>28562</v>
      </c>
      <c r="J34" s="3" t="s">
        <v>28563</v>
      </c>
      <c r="K34" s="1" t="s">
        <v>28339</v>
      </c>
    </row>
    <row r="35" spans="1:11" ht="409.6">
      <c r="A35" s="1" t="s">
        <v>28564</v>
      </c>
      <c r="B35" s="1" t="s">
        <v>28565</v>
      </c>
      <c r="C35" s="1" t="s">
        <v>28566</v>
      </c>
      <c r="D35" s="1" t="s">
        <v>28567</v>
      </c>
      <c r="E35" s="1">
        <v>300</v>
      </c>
      <c r="F35" s="1" t="s">
        <v>145</v>
      </c>
      <c r="G35" s="1" t="s">
        <v>14198</v>
      </c>
      <c r="H35" s="4" t="s">
        <v>28568</v>
      </c>
      <c r="I35" s="1" t="s">
        <v>28569</v>
      </c>
      <c r="J35" s="3" t="s">
        <v>28570</v>
      </c>
      <c r="K35" s="1" t="s">
        <v>28339</v>
      </c>
    </row>
    <row r="36" spans="1:11" ht="13.8">
      <c r="A36" s="1" t="s">
        <v>28571</v>
      </c>
      <c r="B36" s="1" t="s">
        <v>28572</v>
      </c>
      <c r="C36" s="1" t="s">
        <v>28573</v>
      </c>
      <c r="D36" s="1" t="s">
        <v>28574</v>
      </c>
      <c r="E36" s="1">
        <v>30</v>
      </c>
      <c r="F36" s="1" t="s">
        <v>14207</v>
      </c>
      <c r="G36" s="1" t="s">
        <v>14237</v>
      </c>
      <c r="H36" s="1" t="s">
        <v>28575</v>
      </c>
      <c r="I36" s="1" t="s">
        <v>28576</v>
      </c>
      <c r="J36" s="3" t="s">
        <v>28577</v>
      </c>
      <c r="K36" s="1" t="s">
        <v>28339</v>
      </c>
    </row>
    <row r="37" spans="1:11" ht="13.8">
      <c r="A37" s="1" t="s">
        <v>28578</v>
      </c>
      <c r="B37" s="1" t="s">
        <v>28579</v>
      </c>
      <c r="C37" s="1" t="s">
        <v>28580</v>
      </c>
      <c r="D37" s="1" t="s">
        <v>28581</v>
      </c>
      <c r="E37" s="1">
        <v>25</v>
      </c>
      <c r="F37" s="1" t="s">
        <v>14207</v>
      </c>
      <c r="G37" s="1" t="s">
        <v>14237</v>
      </c>
      <c r="H37" s="1" t="s">
        <v>28582</v>
      </c>
      <c r="I37" s="1" t="s">
        <v>28583</v>
      </c>
      <c r="J37" s="3" t="s">
        <v>28584</v>
      </c>
      <c r="K37" s="1" t="s">
        <v>28339</v>
      </c>
    </row>
    <row r="38" spans="1:11" ht="13.8">
      <c r="A38" s="1" t="s">
        <v>28585</v>
      </c>
      <c r="B38" s="1" t="s">
        <v>28586</v>
      </c>
      <c r="C38" s="1" t="s">
        <v>28587</v>
      </c>
      <c r="D38" s="1" t="s">
        <v>28588</v>
      </c>
      <c r="E38" s="1">
        <v>45</v>
      </c>
      <c r="F38" s="1" t="s">
        <v>145</v>
      </c>
      <c r="G38" s="1" t="s">
        <v>14198</v>
      </c>
      <c r="H38" s="1" t="s">
        <v>28589</v>
      </c>
      <c r="I38" s="1" t="s">
        <v>28590</v>
      </c>
      <c r="J38" s="3" t="s">
        <v>28591</v>
      </c>
      <c r="K38" s="1" t="s">
        <v>28339</v>
      </c>
    </row>
    <row r="39" spans="1:11" ht="409.6">
      <c r="A39" s="1" t="s">
        <v>28592</v>
      </c>
      <c r="B39" s="1" t="s">
        <v>28593</v>
      </c>
      <c r="C39" s="1" t="s">
        <v>28594</v>
      </c>
      <c r="D39" s="1" t="s">
        <v>28595</v>
      </c>
      <c r="E39" s="1">
        <v>35</v>
      </c>
      <c r="F39" s="1" t="s">
        <v>145</v>
      </c>
      <c r="G39" s="1" t="s">
        <v>14198</v>
      </c>
      <c r="H39" s="1" t="s">
        <v>28596</v>
      </c>
      <c r="I39" s="4" t="s">
        <v>28597</v>
      </c>
      <c r="J39" s="3" t="s">
        <v>28598</v>
      </c>
      <c r="K39" s="1" t="s">
        <v>28339</v>
      </c>
    </row>
    <row r="40" spans="1:11" ht="13.8">
      <c r="A40" s="1" t="s">
        <v>28599</v>
      </c>
      <c r="B40" s="1" t="s">
        <v>28600</v>
      </c>
      <c r="C40" s="1" t="s">
        <v>28601</v>
      </c>
      <c r="D40" s="1" t="s">
        <v>28602</v>
      </c>
      <c r="E40" s="1">
        <v>35</v>
      </c>
      <c r="F40" s="1" t="s">
        <v>429</v>
      </c>
      <c r="G40" s="1" t="s">
        <v>14198</v>
      </c>
      <c r="H40" s="1" t="s">
        <v>28603</v>
      </c>
      <c r="I40" s="1" t="s">
        <v>28604</v>
      </c>
      <c r="J40" s="3" t="s">
        <v>28605</v>
      </c>
      <c r="K40" s="1" t="s">
        <v>28339</v>
      </c>
    </row>
    <row r="41" spans="1:11" ht="409.6">
      <c r="A41" s="1" t="s">
        <v>28606</v>
      </c>
      <c r="B41" s="1" t="s">
        <v>28607</v>
      </c>
      <c r="C41" s="1" t="s">
        <v>28608</v>
      </c>
      <c r="D41" s="1" t="s">
        <v>28609</v>
      </c>
      <c r="E41" s="1">
        <v>55</v>
      </c>
      <c r="F41" s="1" t="s">
        <v>429</v>
      </c>
      <c r="G41" s="1" t="s">
        <v>14382</v>
      </c>
      <c r="H41" s="4" t="s">
        <v>28610</v>
      </c>
      <c r="I41" s="1" t="s">
        <v>28611</v>
      </c>
      <c r="J41" s="3" t="s">
        <v>28612</v>
      </c>
      <c r="K41" s="1" t="s">
        <v>28339</v>
      </c>
    </row>
    <row r="42" spans="1:11" ht="13.8">
      <c r="A42" s="1" t="s">
        <v>28613</v>
      </c>
      <c r="B42" s="1" t="s">
        <v>28614</v>
      </c>
      <c r="C42" s="1" t="s">
        <v>28615</v>
      </c>
      <c r="D42" s="1" t="s">
        <v>28616</v>
      </c>
      <c r="E42" s="1">
        <v>35</v>
      </c>
      <c r="F42" s="1" t="s">
        <v>145</v>
      </c>
      <c r="G42" s="1" t="s">
        <v>14198</v>
      </c>
      <c r="H42" s="1" t="s">
        <v>28617</v>
      </c>
      <c r="I42" s="1" t="s">
        <v>28618</v>
      </c>
      <c r="J42" s="3" t="s">
        <v>28619</v>
      </c>
      <c r="K42" s="1" t="s">
        <v>28339</v>
      </c>
    </row>
    <row r="43" spans="1:11" ht="13.8">
      <c r="A43" s="1" t="s">
        <v>28620</v>
      </c>
      <c r="B43" s="1" t="s">
        <v>28621</v>
      </c>
      <c r="C43" s="1" t="s">
        <v>28622</v>
      </c>
      <c r="D43" s="1" t="s">
        <v>28623</v>
      </c>
      <c r="E43" s="1">
        <v>55</v>
      </c>
      <c r="F43" s="1" t="s">
        <v>145</v>
      </c>
      <c r="G43" s="1" t="s">
        <v>14198</v>
      </c>
      <c r="H43" s="1" t="s">
        <v>28624</v>
      </c>
      <c r="I43" s="1" t="s">
        <v>28625</v>
      </c>
      <c r="J43" s="3" t="s">
        <v>28626</v>
      </c>
      <c r="K43" s="1" t="s">
        <v>28339</v>
      </c>
    </row>
    <row r="44" spans="1:11" ht="409.6">
      <c r="A44" s="1" t="s">
        <v>28627</v>
      </c>
      <c r="B44" s="1" t="s">
        <v>28628</v>
      </c>
      <c r="C44" s="1" t="s">
        <v>28629</v>
      </c>
      <c r="D44" s="1" t="s">
        <v>28630</v>
      </c>
      <c r="E44" s="1">
        <v>40</v>
      </c>
      <c r="F44" s="1" t="s">
        <v>145</v>
      </c>
      <c r="G44" s="1" t="s">
        <v>14382</v>
      </c>
      <c r="H44" s="1" t="s">
        <v>28631</v>
      </c>
      <c r="I44" s="4" t="s">
        <v>28632</v>
      </c>
      <c r="J44" s="3" t="s">
        <v>28633</v>
      </c>
      <c r="K44" s="1" t="s">
        <v>28339</v>
      </c>
    </row>
    <row r="45" spans="1:11" ht="409.6">
      <c r="A45" s="1" t="s">
        <v>28634</v>
      </c>
      <c r="B45" s="1" t="s">
        <v>28635</v>
      </c>
      <c r="C45" s="1" t="s">
        <v>28636</v>
      </c>
      <c r="D45" s="1" t="s">
        <v>28637</v>
      </c>
      <c r="E45" s="1">
        <v>35</v>
      </c>
      <c r="F45" s="1" t="s">
        <v>15138</v>
      </c>
      <c r="G45" s="1" t="s">
        <v>14237</v>
      </c>
      <c r="H45" s="4" t="s">
        <v>28638</v>
      </c>
      <c r="I45" s="4" t="s">
        <v>28639</v>
      </c>
      <c r="J45" s="3" t="s">
        <v>28640</v>
      </c>
      <c r="K45" s="1" t="s">
        <v>28339</v>
      </c>
    </row>
    <row r="46" spans="1:11" ht="13.8">
      <c r="A46" s="1" t="s">
        <v>28641</v>
      </c>
      <c r="B46" s="1" t="s">
        <v>28642</v>
      </c>
      <c r="C46" s="1" t="s">
        <v>28643</v>
      </c>
      <c r="D46" s="1" t="s">
        <v>28644</v>
      </c>
      <c r="E46" s="1">
        <v>35</v>
      </c>
      <c r="F46" s="1" t="s">
        <v>429</v>
      </c>
      <c r="G46" s="1" t="s">
        <v>14237</v>
      </c>
      <c r="H46" s="1" t="s">
        <v>28645</v>
      </c>
      <c r="I46" s="1" t="s">
        <v>28646</v>
      </c>
      <c r="J46" s="3" t="s">
        <v>28647</v>
      </c>
      <c r="K46" s="1" t="s">
        <v>28339</v>
      </c>
    </row>
    <row r="47" spans="1:11" ht="409.6">
      <c r="A47" s="1" t="s">
        <v>28648</v>
      </c>
      <c r="B47" s="1" t="s">
        <v>28649</v>
      </c>
      <c r="C47" s="1" t="s">
        <v>28650</v>
      </c>
      <c r="D47" s="1" t="s">
        <v>28651</v>
      </c>
      <c r="E47" s="1">
        <v>50</v>
      </c>
      <c r="F47" s="1" t="s">
        <v>429</v>
      </c>
      <c r="G47" s="1" t="s">
        <v>14198</v>
      </c>
      <c r="H47" s="4" t="s">
        <v>28652</v>
      </c>
      <c r="I47" s="1" t="s">
        <v>28653</v>
      </c>
      <c r="J47" s="3" t="s">
        <v>28654</v>
      </c>
      <c r="K47" s="1" t="s">
        <v>28339</v>
      </c>
    </row>
    <row r="48" spans="1:11" ht="13.8">
      <c r="A48" s="1" t="s">
        <v>28655</v>
      </c>
      <c r="B48" s="1" t="s">
        <v>28656</v>
      </c>
      <c r="C48" s="1" t="s">
        <v>28657</v>
      </c>
      <c r="D48" s="1" t="s">
        <v>28658</v>
      </c>
      <c r="E48" s="1">
        <v>30</v>
      </c>
      <c r="F48" s="1" t="s">
        <v>145</v>
      </c>
      <c r="G48" s="1" t="s">
        <v>14367</v>
      </c>
      <c r="H48" s="1" t="s">
        <v>28659</v>
      </c>
      <c r="I48" s="1" t="s">
        <v>28660</v>
      </c>
      <c r="J48" s="3" t="s">
        <v>28661</v>
      </c>
      <c r="K48" s="1" t="s">
        <v>28339</v>
      </c>
    </row>
    <row r="49" spans="1:11" ht="409.6">
      <c r="A49" s="1" t="s">
        <v>28662</v>
      </c>
      <c r="B49" s="1" t="s">
        <v>28663</v>
      </c>
      <c r="C49" s="1" t="s">
        <v>28664</v>
      </c>
      <c r="D49" s="1" t="s">
        <v>28665</v>
      </c>
      <c r="E49" s="1">
        <v>25</v>
      </c>
      <c r="F49" s="1" t="s">
        <v>15138</v>
      </c>
      <c r="G49" s="1" t="s">
        <v>14198</v>
      </c>
      <c r="H49" s="4" t="s">
        <v>28666</v>
      </c>
      <c r="I49" s="1" t="s">
        <v>28667</v>
      </c>
      <c r="J49" s="3" t="s">
        <v>28668</v>
      </c>
      <c r="K49" s="1" t="s">
        <v>28339</v>
      </c>
    </row>
    <row r="50" spans="1:11" ht="13.8">
      <c r="A50" s="1" t="s">
        <v>28669</v>
      </c>
      <c r="B50" s="1" t="s">
        <v>28670</v>
      </c>
      <c r="C50" s="1" t="s">
        <v>28671</v>
      </c>
      <c r="D50" s="1" t="s">
        <v>28672</v>
      </c>
      <c r="E50" s="1">
        <v>60</v>
      </c>
      <c r="F50" s="1" t="s">
        <v>429</v>
      </c>
      <c r="G50" s="1" t="s">
        <v>14198</v>
      </c>
      <c r="H50" s="1" t="s">
        <v>28673</v>
      </c>
      <c r="I50" s="1" t="s">
        <v>28674</v>
      </c>
      <c r="J50" s="3" t="s">
        <v>28675</v>
      </c>
      <c r="K50" s="1" t="s">
        <v>28339</v>
      </c>
    </row>
    <row r="51" spans="1:11" ht="13.8">
      <c r="A51" s="1" t="s">
        <v>28676</v>
      </c>
      <c r="B51" s="1" t="s">
        <v>28677</v>
      </c>
      <c r="C51" s="1" t="s">
        <v>28678</v>
      </c>
      <c r="D51" s="1" t="s">
        <v>28679</v>
      </c>
      <c r="E51" s="1">
        <v>35</v>
      </c>
      <c r="F51" s="1" t="s">
        <v>145</v>
      </c>
      <c r="G51" s="1" t="s">
        <v>14198</v>
      </c>
      <c r="H51" s="1" t="s">
        <v>28680</v>
      </c>
      <c r="I51" s="1" t="s">
        <v>28681</v>
      </c>
      <c r="J51" s="3" t="s">
        <v>28682</v>
      </c>
      <c r="K51" s="1" t="s">
        <v>28339</v>
      </c>
    </row>
    <row r="52" spans="1:11" ht="13.8">
      <c r="A52" s="1" t="s">
        <v>28683</v>
      </c>
      <c r="B52" s="1" t="s">
        <v>28684</v>
      </c>
      <c r="C52" s="1" t="s">
        <v>28685</v>
      </c>
      <c r="D52" s="1" t="s">
        <v>28686</v>
      </c>
      <c r="E52" s="1">
        <v>60</v>
      </c>
      <c r="F52" s="1" t="s">
        <v>145</v>
      </c>
      <c r="G52" s="1" t="s">
        <v>14367</v>
      </c>
      <c r="H52" s="1" t="s">
        <v>28687</v>
      </c>
      <c r="I52" s="1" t="s">
        <v>28688</v>
      </c>
      <c r="J52" s="3" t="s">
        <v>28689</v>
      </c>
      <c r="K52" s="1" t="s">
        <v>28339</v>
      </c>
    </row>
    <row r="53" spans="1:11" ht="13.8">
      <c r="A53" s="1" t="s">
        <v>28690</v>
      </c>
      <c r="B53" s="1" t="s">
        <v>28691</v>
      </c>
      <c r="C53" s="1" t="s">
        <v>28692</v>
      </c>
      <c r="D53" s="1" t="s">
        <v>28693</v>
      </c>
      <c r="E53" s="1">
        <v>40</v>
      </c>
      <c r="F53" s="1" t="s">
        <v>145</v>
      </c>
      <c r="G53" s="1" t="s">
        <v>14198</v>
      </c>
      <c r="H53" s="1" t="s">
        <v>28694</v>
      </c>
      <c r="I53" s="1" t="s">
        <v>28695</v>
      </c>
      <c r="J53" s="3" t="s">
        <v>28696</v>
      </c>
      <c r="K53" s="1" t="s">
        <v>28339</v>
      </c>
    </row>
    <row r="54" spans="1:11" ht="13.8">
      <c r="A54" s="1" t="s">
        <v>28697</v>
      </c>
      <c r="B54" s="1" t="s">
        <v>28698</v>
      </c>
      <c r="C54" s="1" t="s">
        <v>28699</v>
      </c>
      <c r="D54" s="1" t="s">
        <v>28700</v>
      </c>
      <c r="E54" s="1">
        <v>35</v>
      </c>
      <c r="F54" s="1" t="s">
        <v>145</v>
      </c>
      <c r="G54" s="1" t="s">
        <v>14198</v>
      </c>
      <c r="H54" s="1" t="s">
        <v>28701</v>
      </c>
      <c r="I54" s="1" t="s">
        <v>28702</v>
      </c>
      <c r="J54" s="3" t="s">
        <v>28703</v>
      </c>
      <c r="K54" s="1" t="s">
        <v>28339</v>
      </c>
    </row>
    <row r="55" spans="1:11" ht="13.8">
      <c r="A55" s="1" t="s">
        <v>28704</v>
      </c>
      <c r="B55" s="1" t="s">
        <v>28705</v>
      </c>
      <c r="C55" s="1" t="s">
        <v>28706</v>
      </c>
      <c r="D55" s="1" t="s">
        <v>28707</v>
      </c>
      <c r="E55" s="1">
        <v>50</v>
      </c>
      <c r="F55" s="1" t="s">
        <v>145</v>
      </c>
      <c r="G55" s="1" t="s">
        <v>14382</v>
      </c>
      <c r="H55" s="1" t="s">
        <v>28708</v>
      </c>
      <c r="I55" s="1" t="s">
        <v>28709</v>
      </c>
      <c r="J55" s="3" t="s">
        <v>28710</v>
      </c>
      <c r="K55" s="1" t="s">
        <v>28339</v>
      </c>
    </row>
    <row r="56" spans="1:11" ht="13.8">
      <c r="A56" s="1" t="s">
        <v>28711</v>
      </c>
      <c r="B56" s="1" t="s">
        <v>28712</v>
      </c>
      <c r="C56" s="1" t="s">
        <v>28713</v>
      </c>
      <c r="D56" s="1" t="s">
        <v>28714</v>
      </c>
      <c r="E56" s="1">
        <v>20</v>
      </c>
      <c r="F56" s="1" t="s">
        <v>145</v>
      </c>
      <c r="G56" s="1" t="s">
        <v>14338</v>
      </c>
      <c r="H56" s="1" t="s">
        <v>28715</v>
      </c>
      <c r="I56" s="1" t="s">
        <v>28716</v>
      </c>
      <c r="J56" s="3" t="s">
        <v>28717</v>
      </c>
      <c r="K56" s="1" t="s">
        <v>28339</v>
      </c>
    </row>
    <row r="57" spans="1:11" ht="13.8">
      <c r="A57" s="1" t="s">
        <v>28718</v>
      </c>
      <c r="B57" s="1" t="s">
        <v>28719</v>
      </c>
      <c r="C57" s="1" t="s">
        <v>28720</v>
      </c>
      <c r="D57" s="1" t="s">
        <v>28721</v>
      </c>
      <c r="E57" s="1">
        <v>45</v>
      </c>
      <c r="F57" s="1" t="s">
        <v>145</v>
      </c>
      <c r="G57" s="1" t="s">
        <v>14198</v>
      </c>
      <c r="H57" s="1" t="s">
        <v>28722</v>
      </c>
      <c r="I57" s="1" t="s">
        <v>28723</v>
      </c>
      <c r="J57" s="3" t="s">
        <v>28724</v>
      </c>
      <c r="K57" s="1" t="s">
        <v>28339</v>
      </c>
    </row>
    <row r="58" spans="1:11" ht="13.8">
      <c r="A58" s="1" t="s">
        <v>28725</v>
      </c>
      <c r="B58" s="1" t="s">
        <v>28726</v>
      </c>
      <c r="C58" s="1" t="s">
        <v>28727</v>
      </c>
      <c r="D58" s="1" t="s">
        <v>28728</v>
      </c>
      <c r="E58" s="1">
        <v>40</v>
      </c>
      <c r="F58" s="1" t="s">
        <v>145</v>
      </c>
      <c r="G58" s="1" t="s">
        <v>14237</v>
      </c>
      <c r="H58" s="1" t="s">
        <v>28729</v>
      </c>
      <c r="I58" s="1" t="s">
        <v>28730</v>
      </c>
      <c r="J58" s="3" t="s">
        <v>28731</v>
      </c>
      <c r="K58" s="1" t="s">
        <v>28339</v>
      </c>
    </row>
    <row r="59" spans="1:11" ht="409.6">
      <c r="A59" s="1" t="s">
        <v>28732</v>
      </c>
      <c r="B59" s="1" t="s">
        <v>28733</v>
      </c>
      <c r="C59" s="1" t="s">
        <v>28734</v>
      </c>
      <c r="D59" s="1" t="s">
        <v>28735</v>
      </c>
      <c r="E59" s="1">
        <v>40</v>
      </c>
      <c r="F59" s="1" t="s">
        <v>145</v>
      </c>
      <c r="G59" s="1" t="s">
        <v>14198</v>
      </c>
      <c r="H59" s="1" t="s">
        <v>28736</v>
      </c>
      <c r="I59" s="4" t="s">
        <v>28737</v>
      </c>
      <c r="J59" s="3" t="s">
        <v>28738</v>
      </c>
      <c r="K59" s="1" t="s">
        <v>28339</v>
      </c>
    </row>
    <row r="60" spans="1:11" ht="13.8">
      <c r="A60" s="1" t="s">
        <v>28739</v>
      </c>
      <c r="B60" s="1" t="s">
        <v>28740</v>
      </c>
      <c r="C60" s="1" t="s">
        <v>28741</v>
      </c>
      <c r="D60" s="1" t="s">
        <v>28742</v>
      </c>
      <c r="E60" s="1">
        <v>40</v>
      </c>
      <c r="F60" s="1" t="s">
        <v>8417</v>
      </c>
      <c r="G60" s="1" t="s">
        <v>14198</v>
      </c>
      <c r="H60" s="1" t="s">
        <v>28743</v>
      </c>
      <c r="I60" s="1" t="s">
        <v>28744</v>
      </c>
      <c r="J60" s="3" t="s">
        <v>28745</v>
      </c>
      <c r="K60" s="1" t="s">
        <v>28339</v>
      </c>
    </row>
    <row r="61" spans="1:11" ht="13.8">
      <c r="A61" s="1" t="s">
        <v>28746</v>
      </c>
      <c r="B61" s="1" t="s">
        <v>28747</v>
      </c>
      <c r="C61" s="1" t="s">
        <v>28748</v>
      </c>
      <c r="D61" s="1" t="s">
        <v>28749</v>
      </c>
      <c r="E61" s="1">
        <v>15</v>
      </c>
      <c r="F61" s="1" t="s">
        <v>14198</v>
      </c>
      <c r="G61" s="1" t="s">
        <v>14198</v>
      </c>
      <c r="H61" s="1" t="s">
        <v>28750</v>
      </c>
      <c r="I61" s="1" t="s">
        <v>28751</v>
      </c>
      <c r="J61" s="3" t="s">
        <v>28752</v>
      </c>
      <c r="K61" s="1" t="s">
        <v>28339</v>
      </c>
    </row>
    <row r="62" spans="1:11" ht="13.8">
      <c r="A62" s="1" t="s">
        <v>28753</v>
      </c>
      <c r="B62" s="1" t="s">
        <v>28754</v>
      </c>
      <c r="C62" s="1" t="s">
        <v>28755</v>
      </c>
      <c r="D62" s="1" t="s">
        <v>28756</v>
      </c>
      <c r="E62" s="1">
        <v>40</v>
      </c>
      <c r="F62" s="1" t="s">
        <v>14572</v>
      </c>
      <c r="G62" s="1" t="s">
        <v>14367</v>
      </c>
      <c r="H62" s="1" t="s">
        <v>28757</v>
      </c>
      <c r="I62" s="1" t="s">
        <v>28758</v>
      </c>
      <c r="J62" s="3" t="s">
        <v>28759</v>
      </c>
      <c r="K62" s="1" t="s">
        <v>28339</v>
      </c>
    </row>
    <row r="63" spans="1:11" ht="13.8">
      <c r="A63" s="1" t="s">
        <v>28760</v>
      </c>
      <c r="B63" s="1" t="s">
        <v>28761</v>
      </c>
      <c r="C63" s="1" t="s">
        <v>28762</v>
      </c>
      <c r="D63" s="1" t="s">
        <v>28763</v>
      </c>
      <c r="E63" s="1">
        <v>170</v>
      </c>
      <c r="F63" s="1" t="s">
        <v>14281</v>
      </c>
      <c r="G63" s="1" t="s">
        <v>14198</v>
      </c>
      <c r="H63" s="1" t="s">
        <v>28764</v>
      </c>
      <c r="I63" s="1" t="s">
        <v>28765</v>
      </c>
      <c r="J63" s="3" t="s">
        <v>28766</v>
      </c>
      <c r="K63" s="1" t="s">
        <v>28339</v>
      </c>
    </row>
    <row r="64" spans="1:11" ht="409.6">
      <c r="A64" s="1" t="s">
        <v>28767</v>
      </c>
      <c r="B64" s="1" t="s">
        <v>28768</v>
      </c>
      <c r="C64" s="1" t="s">
        <v>28769</v>
      </c>
      <c r="D64" s="1" t="s">
        <v>28770</v>
      </c>
      <c r="E64" s="1">
        <v>20</v>
      </c>
      <c r="F64" s="1" t="s">
        <v>145</v>
      </c>
      <c r="G64" s="1" t="s">
        <v>14198</v>
      </c>
      <c r="H64" s="4" t="s">
        <v>28771</v>
      </c>
      <c r="I64" s="4" t="s">
        <v>28772</v>
      </c>
      <c r="J64" s="3" t="s">
        <v>28773</v>
      </c>
      <c r="K64" s="1" t="s">
        <v>28339</v>
      </c>
    </row>
    <row r="65" spans="1:11" ht="13.8">
      <c r="A65" s="1" t="s">
        <v>28774</v>
      </c>
      <c r="B65" s="1" t="s">
        <v>28775</v>
      </c>
      <c r="C65" s="1" t="s">
        <v>28776</v>
      </c>
      <c r="D65" s="1" t="s">
        <v>28777</v>
      </c>
      <c r="E65" s="1">
        <v>60</v>
      </c>
      <c r="F65" s="1" t="s">
        <v>8417</v>
      </c>
      <c r="G65" s="1" t="s">
        <v>14198</v>
      </c>
      <c r="H65" s="1" t="s">
        <v>28778</v>
      </c>
      <c r="I65" s="1" t="s">
        <v>28779</v>
      </c>
      <c r="J65" s="3" t="s">
        <v>28780</v>
      </c>
      <c r="K65" s="1" t="s">
        <v>28339</v>
      </c>
    </row>
    <row r="66" spans="1:11" ht="13.8">
      <c r="A66" s="1" t="s">
        <v>28781</v>
      </c>
      <c r="B66" s="1" t="s">
        <v>28782</v>
      </c>
      <c r="C66" s="1" t="s">
        <v>28783</v>
      </c>
      <c r="D66" s="1" t="s">
        <v>28784</v>
      </c>
      <c r="E66" s="1">
        <v>15</v>
      </c>
      <c r="F66" s="1" t="s">
        <v>14198</v>
      </c>
      <c r="G66" s="1" t="s">
        <v>14237</v>
      </c>
      <c r="H66" s="1" t="s">
        <v>28785</v>
      </c>
      <c r="I66" s="1" t="s">
        <v>28786</v>
      </c>
      <c r="J66" s="3" t="s">
        <v>28787</v>
      </c>
      <c r="K66" s="1" t="s">
        <v>28339</v>
      </c>
    </row>
    <row r="67" spans="1:11" ht="13.8">
      <c r="A67" s="1" t="s">
        <v>28788</v>
      </c>
      <c r="B67" s="1" t="s">
        <v>28789</v>
      </c>
      <c r="C67" s="1" t="s">
        <v>28790</v>
      </c>
      <c r="D67" s="1" t="s">
        <v>28791</v>
      </c>
      <c r="E67" s="1">
        <v>45</v>
      </c>
      <c r="F67" s="1" t="s">
        <v>145</v>
      </c>
      <c r="G67" s="1" t="s">
        <v>14382</v>
      </c>
      <c r="H67" s="1" t="s">
        <v>28792</v>
      </c>
      <c r="I67" s="1" t="s">
        <v>28793</v>
      </c>
      <c r="J67" s="3" t="s">
        <v>28794</v>
      </c>
      <c r="K67" s="1" t="s">
        <v>28339</v>
      </c>
    </row>
    <row r="68" spans="1:11" ht="13.8">
      <c r="A68" s="1" t="s">
        <v>28795</v>
      </c>
      <c r="B68" s="1" t="s">
        <v>28796</v>
      </c>
      <c r="C68" s="1" t="s">
        <v>28797</v>
      </c>
      <c r="D68" s="1" t="s">
        <v>28798</v>
      </c>
      <c r="E68" s="1">
        <v>20</v>
      </c>
      <c r="F68" s="1" t="s">
        <v>145</v>
      </c>
      <c r="G68" s="1" t="s">
        <v>14198</v>
      </c>
      <c r="H68" s="1" t="s">
        <v>28799</v>
      </c>
      <c r="I68" s="1" t="s">
        <v>28800</v>
      </c>
      <c r="J68" s="3" t="s">
        <v>28801</v>
      </c>
      <c r="K68" s="1" t="s">
        <v>28339</v>
      </c>
    </row>
    <row r="69" spans="1:11" ht="13.8">
      <c r="A69" s="1" t="s">
        <v>28802</v>
      </c>
      <c r="B69" s="1" t="s">
        <v>28803</v>
      </c>
      <c r="C69" s="1" t="s">
        <v>28804</v>
      </c>
      <c r="D69" s="1" t="s">
        <v>28805</v>
      </c>
      <c r="E69" s="1">
        <v>40</v>
      </c>
      <c r="F69" s="1" t="s">
        <v>145</v>
      </c>
      <c r="G69" s="1" t="s">
        <v>14198</v>
      </c>
      <c r="H69" s="1" t="s">
        <v>28806</v>
      </c>
      <c r="I69" s="1" t="s">
        <v>28807</v>
      </c>
      <c r="J69" s="3" t="s">
        <v>28808</v>
      </c>
      <c r="K69" s="1" t="s">
        <v>28339</v>
      </c>
    </row>
    <row r="70" spans="1:11" ht="409.6">
      <c r="A70" s="1" t="s">
        <v>28809</v>
      </c>
      <c r="B70" s="1" t="s">
        <v>28810</v>
      </c>
      <c r="C70" s="1" t="s">
        <v>28811</v>
      </c>
      <c r="D70" s="1" t="s">
        <v>28812</v>
      </c>
      <c r="E70" s="1">
        <v>40</v>
      </c>
      <c r="F70" s="1" t="s">
        <v>145</v>
      </c>
      <c r="G70" s="1" t="s">
        <v>14198</v>
      </c>
      <c r="H70" s="1" t="s">
        <v>28813</v>
      </c>
      <c r="I70" s="4" t="s">
        <v>28814</v>
      </c>
      <c r="J70" s="3" t="s">
        <v>28815</v>
      </c>
      <c r="K70" s="1" t="s">
        <v>28339</v>
      </c>
    </row>
    <row r="71" spans="1:11" ht="13.8">
      <c r="A71" s="1" t="s">
        <v>28816</v>
      </c>
      <c r="B71" s="1" t="s">
        <v>28817</v>
      </c>
      <c r="C71" s="1" t="s">
        <v>28818</v>
      </c>
      <c r="D71" s="1" t="s">
        <v>28819</v>
      </c>
      <c r="E71" s="1">
        <v>130</v>
      </c>
      <c r="F71" s="1" t="s">
        <v>145</v>
      </c>
      <c r="G71" s="1" t="s">
        <v>14367</v>
      </c>
      <c r="H71" s="1" t="s">
        <v>28820</v>
      </c>
      <c r="I71" s="1" t="s">
        <v>28821</v>
      </c>
      <c r="J71" s="3" t="s">
        <v>28822</v>
      </c>
      <c r="K71" s="1" t="s">
        <v>28339</v>
      </c>
    </row>
    <row r="72" spans="1:11" ht="409.6">
      <c r="A72" s="1" t="s">
        <v>28823</v>
      </c>
      <c r="B72" s="1" t="s">
        <v>28824</v>
      </c>
      <c r="C72" s="1" t="s">
        <v>28825</v>
      </c>
      <c r="D72" s="1" t="s">
        <v>28826</v>
      </c>
      <c r="E72" s="1">
        <v>65</v>
      </c>
      <c r="F72" s="1" t="s">
        <v>8417</v>
      </c>
      <c r="G72" s="1" t="s">
        <v>14198</v>
      </c>
      <c r="H72" s="4" t="s">
        <v>28827</v>
      </c>
      <c r="I72" s="1" t="s">
        <v>28828</v>
      </c>
      <c r="J72" s="3" t="s">
        <v>28829</v>
      </c>
      <c r="K72" s="1" t="s">
        <v>28339</v>
      </c>
    </row>
    <row r="73" spans="1:11" ht="13.8">
      <c r="A73" s="1" t="s">
        <v>28830</v>
      </c>
      <c r="B73" s="1" t="s">
        <v>28831</v>
      </c>
      <c r="C73" s="1" t="s">
        <v>28832</v>
      </c>
      <c r="D73" s="1" t="s">
        <v>28833</v>
      </c>
      <c r="E73" s="1">
        <v>25</v>
      </c>
      <c r="F73" s="1" t="s">
        <v>15138</v>
      </c>
      <c r="G73" s="1" t="s">
        <v>17937</v>
      </c>
      <c r="H73" s="1" t="s">
        <v>28834</v>
      </c>
      <c r="I73" s="1" t="s">
        <v>28835</v>
      </c>
      <c r="J73" s="3" t="s">
        <v>28836</v>
      </c>
      <c r="K73" s="1" t="s">
        <v>28339</v>
      </c>
    </row>
    <row r="74" spans="1:11" ht="13.8">
      <c r="A74" s="1" t="s">
        <v>28837</v>
      </c>
      <c r="B74" s="1" t="s">
        <v>28838</v>
      </c>
      <c r="C74" s="1" t="s">
        <v>28839</v>
      </c>
      <c r="D74" s="1" t="s">
        <v>28840</v>
      </c>
      <c r="E74" s="1">
        <v>260</v>
      </c>
      <c r="F74" s="1" t="s">
        <v>15138</v>
      </c>
      <c r="G74" s="1" t="s">
        <v>14198</v>
      </c>
      <c r="H74" s="1" t="s">
        <v>28841</v>
      </c>
      <c r="I74" s="1" t="s">
        <v>28842</v>
      </c>
      <c r="J74" s="3" t="s">
        <v>28843</v>
      </c>
      <c r="K74" s="1" t="s">
        <v>28339</v>
      </c>
    </row>
    <row r="75" spans="1:11" ht="13.8">
      <c r="A75" s="1" t="s">
        <v>28844</v>
      </c>
      <c r="B75" s="1" t="s">
        <v>28845</v>
      </c>
      <c r="C75" s="1" t="s">
        <v>28846</v>
      </c>
      <c r="D75" s="1" t="s">
        <v>28847</v>
      </c>
      <c r="E75" s="1">
        <v>50</v>
      </c>
      <c r="F75" s="1" t="s">
        <v>14259</v>
      </c>
      <c r="G75" s="1" t="s">
        <v>14198</v>
      </c>
      <c r="H75" s="1" t="s">
        <v>28848</v>
      </c>
      <c r="I75" s="1" t="s">
        <v>28849</v>
      </c>
      <c r="J75" s="3" t="s">
        <v>28850</v>
      </c>
      <c r="K75" s="1" t="s">
        <v>28339</v>
      </c>
    </row>
    <row r="76" spans="1:11" ht="13.8">
      <c r="A76" s="1"/>
      <c r="D76" s="1"/>
      <c r="H76" s="1"/>
    </row>
    <row r="77" spans="1:11" ht="13.8">
      <c r="A77" s="1"/>
      <c r="D77" s="1"/>
      <c r="H77" s="1"/>
    </row>
    <row r="78" spans="1:11" ht="13.8">
      <c r="A78" s="1"/>
      <c r="D78" s="1"/>
      <c r="H78" s="1"/>
    </row>
    <row r="79" spans="1:11" ht="13.8">
      <c r="A79" s="1"/>
      <c r="D79" s="1"/>
      <c r="H79" s="1"/>
    </row>
    <row r="80" spans="1:11" ht="13.8">
      <c r="A80" s="1"/>
      <c r="D80" s="1"/>
      <c r="H80" s="1"/>
    </row>
    <row r="81" spans="1:8" ht="13.8">
      <c r="A81" s="1"/>
      <c r="D81" s="1"/>
      <c r="H81" s="1"/>
    </row>
    <row r="82" spans="1:8" ht="13.8">
      <c r="A82" s="1"/>
      <c r="D82" s="1"/>
      <c r="H82" s="1"/>
    </row>
    <row r="83" spans="1:8" ht="13.8">
      <c r="A83" s="1"/>
      <c r="D83" s="1"/>
      <c r="H83" s="1"/>
    </row>
    <row r="84" spans="1:8" ht="13.8">
      <c r="A84" s="1"/>
      <c r="D84" s="1"/>
      <c r="H84" s="1"/>
    </row>
    <row r="85" spans="1:8" ht="13.8">
      <c r="A85" s="1"/>
      <c r="D85" s="1"/>
      <c r="H85" s="1"/>
    </row>
    <row r="86" spans="1:8" ht="13.8">
      <c r="A86" s="1"/>
      <c r="D86" s="1"/>
      <c r="H86" s="1"/>
    </row>
    <row r="87" spans="1:8" ht="13.8">
      <c r="A87" s="1"/>
      <c r="D87" s="1"/>
      <c r="H87" s="1"/>
    </row>
    <row r="88" spans="1:8" ht="13.8">
      <c r="A88" s="1"/>
      <c r="D88" s="1"/>
      <c r="H88" s="1"/>
    </row>
    <row r="89" spans="1:8" ht="13.8">
      <c r="A89" s="1"/>
      <c r="D89" s="1"/>
      <c r="H89" s="1"/>
    </row>
    <row r="90" spans="1:8" ht="13.8">
      <c r="A90" s="1"/>
      <c r="D90" s="1"/>
      <c r="H90" s="1"/>
    </row>
    <row r="91" spans="1:8" ht="13.8">
      <c r="A91" s="1"/>
      <c r="D91" s="1"/>
      <c r="H91" s="1"/>
    </row>
    <row r="92" spans="1:8" ht="13.8">
      <c r="A92" s="1"/>
      <c r="D92" s="1"/>
      <c r="H92" s="1"/>
    </row>
    <row r="93" spans="1:8" ht="13.8">
      <c r="A93" s="1"/>
      <c r="D93" s="1"/>
      <c r="H93" s="1"/>
    </row>
    <row r="94" spans="1:8" ht="13.8">
      <c r="A94" s="1"/>
      <c r="D94" s="1"/>
      <c r="H94" s="1"/>
    </row>
    <row r="95" spans="1:8" ht="13.8">
      <c r="A95" s="1"/>
      <c r="D95" s="1"/>
      <c r="H95" s="1"/>
    </row>
    <row r="96" spans="1:8" ht="13.8">
      <c r="A96" s="1"/>
      <c r="D96" s="1"/>
      <c r="H96" s="1"/>
    </row>
    <row r="97" spans="1:8" ht="13.8">
      <c r="A97" s="1"/>
      <c r="D97" s="1"/>
      <c r="H97" s="1"/>
    </row>
    <row r="98" spans="1:8" ht="13.8">
      <c r="A98" s="1"/>
      <c r="D98" s="1"/>
      <c r="H98" s="1"/>
    </row>
    <row r="99" spans="1:8" ht="13.8">
      <c r="A99" s="1"/>
      <c r="D99" s="1"/>
      <c r="H99" s="1"/>
    </row>
    <row r="100" spans="1:8" ht="13.8">
      <c r="A100" s="1"/>
      <c r="D100" s="1"/>
      <c r="H100" s="1"/>
    </row>
    <row r="101" spans="1:8" ht="13.8">
      <c r="A101" s="1"/>
      <c r="D101" s="1"/>
      <c r="H101" s="1"/>
    </row>
    <row r="102" spans="1:8" ht="13.8">
      <c r="A102" s="1"/>
      <c r="D102" s="1"/>
      <c r="H102" s="1"/>
    </row>
    <row r="103" spans="1:8" ht="13.8">
      <c r="A103" s="1"/>
      <c r="D103" s="1"/>
      <c r="H103" s="1"/>
    </row>
    <row r="104" spans="1:8" ht="13.8">
      <c r="A104" s="1"/>
      <c r="D104" s="1"/>
      <c r="H104" s="1"/>
    </row>
    <row r="105" spans="1:8" ht="13.8">
      <c r="A105" s="1"/>
      <c r="D105" s="1"/>
      <c r="H105" s="1"/>
    </row>
    <row r="106" spans="1:8" ht="13.8">
      <c r="A106" s="1"/>
      <c r="D106" s="1"/>
      <c r="H106" s="1"/>
    </row>
    <row r="107" spans="1:8" ht="13.8">
      <c r="A107" s="1"/>
      <c r="D107" s="1"/>
      <c r="H107" s="1"/>
    </row>
    <row r="108" spans="1:8" ht="13.8">
      <c r="A108" s="1"/>
      <c r="D108" s="1"/>
      <c r="H108" s="1"/>
    </row>
    <row r="109" spans="1:8" ht="13.8">
      <c r="A109" s="1"/>
      <c r="D109" s="1"/>
      <c r="H109" s="1"/>
    </row>
    <row r="110" spans="1:8" ht="13.8">
      <c r="A110" s="1"/>
      <c r="D110" s="1"/>
      <c r="H110" s="1"/>
    </row>
    <row r="111" spans="1:8" ht="13.8">
      <c r="A111" s="1"/>
      <c r="D111" s="1"/>
      <c r="H111" s="1"/>
    </row>
    <row r="112" spans="1:8" ht="13.8">
      <c r="A112" s="1"/>
      <c r="D112" s="1"/>
      <c r="H112" s="1"/>
    </row>
    <row r="113" spans="1:8" ht="13.8">
      <c r="A113" s="1"/>
      <c r="D113" s="1"/>
      <c r="H113" s="1"/>
    </row>
    <row r="114" spans="1:8" ht="13.8">
      <c r="A114" s="1"/>
      <c r="D114" s="1"/>
      <c r="H114" s="1"/>
    </row>
    <row r="115" spans="1:8" ht="13.8">
      <c r="A115" s="1"/>
      <c r="D115" s="1"/>
      <c r="H115" s="1"/>
    </row>
    <row r="116" spans="1:8" ht="13.8">
      <c r="A116" s="1"/>
      <c r="D116" s="1"/>
      <c r="H116" s="1"/>
    </row>
    <row r="117" spans="1:8" ht="13.8">
      <c r="A117" s="1"/>
      <c r="D117" s="1"/>
      <c r="H117" s="1"/>
    </row>
    <row r="118" spans="1:8" ht="13.8">
      <c r="A118" s="1"/>
      <c r="D118" s="1"/>
      <c r="H118" s="1"/>
    </row>
    <row r="119" spans="1:8" ht="13.8">
      <c r="A119" s="1"/>
      <c r="D119" s="1"/>
      <c r="H119" s="1"/>
    </row>
    <row r="120" spans="1:8" ht="13.8">
      <c r="A120" s="1"/>
      <c r="D120" s="1"/>
      <c r="H120" s="1"/>
    </row>
    <row r="121" spans="1:8" ht="13.8">
      <c r="A121" s="1"/>
      <c r="D121" s="1"/>
      <c r="H121" s="1"/>
    </row>
    <row r="122" spans="1:8" ht="13.8">
      <c r="A122" s="1"/>
      <c r="D122" s="1"/>
      <c r="H122" s="1"/>
    </row>
    <row r="123" spans="1:8" ht="13.8">
      <c r="A123" s="1"/>
      <c r="D123" s="1"/>
      <c r="H123" s="1"/>
    </row>
    <row r="124" spans="1:8" ht="13.8">
      <c r="A124" s="1"/>
      <c r="D124" s="1"/>
      <c r="H124" s="1"/>
    </row>
    <row r="125" spans="1:8" ht="13.8">
      <c r="A125" s="1"/>
      <c r="D125" s="1"/>
      <c r="H125" s="1"/>
    </row>
    <row r="126" spans="1:8" ht="13.8">
      <c r="A126" s="1"/>
      <c r="D126" s="1"/>
      <c r="H126" s="1"/>
    </row>
    <row r="127" spans="1:8" ht="13.8">
      <c r="A127" s="1"/>
      <c r="D127" s="1"/>
      <c r="H127" s="1"/>
    </row>
    <row r="128" spans="1:8" ht="13.8">
      <c r="A128" s="1"/>
      <c r="D128" s="1"/>
      <c r="H128" s="1"/>
    </row>
    <row r="129" spans="1:8" ht="13.8">
      <c r="A129" s="1"/>
      <c r="D129" s="1"/>
      <c r="H129" s="1"/>
    </row>
    <row r="130" spans="1:8" ht="13.8">
      <c r="A130" s="1"/>
      <c r="D130" s="1"/>
      <c r="H130" s="1"/>
    </row>
    <row r="131" spans="1:8" ht="13.8">
      <c r="A131" s="1"/>
      <c r="D131" s="1"/>
      <c r="H131" s="1"/>
    </row>
    <row r="132" spans="1:8" ht="13.8">
      <c r="A132" s="1"/>
      <c r="D132" s="1"/>
      <c r="H132" s="1"/>
    </row>
    <row r="133" spans="1:8" ht="13.8">
      <c r="A133" s="1"/>
      <c r="D133" s="1"/>
      <c r="H133" s="1"/>
    </row>
    <row r="134" spans="1:8" ht="13.8">
      <c r="A134" s="1"/>
      <c r="D134" s="1"/>
      <c r="H134" s="1"/>
    </row>
    <row r="135" spans="1:8" ht="13.8">
      <c r="A135" s="1"/>
      <c r="D135" s="1"/>
      <c r="H135" s="1"/>
    </row>
    <row r="136" spans="1:8" ht="13.8">
      <c r="A136" s="1"/>
      <c r="D136" s="1"/>
      <c r="H136" s="1"/>
    </row>
    <row r="137" spans="1:8" ht="13.8">
      <c r="A137" s="1"/>
      <c r="D137" s="1"/>
      <c r="H137" s="1"/>
    </row>
    <row r="138" spans="1:8" ht="13.8">
      <c r="A138" s="1"/>
      <c r="D138" s="1"/>
      <c r="H138" s="1"/>
    </row>
    <row r="139" spans="1:8" ht="13.8">
      <c r="A139" s="1"/>
      <c r="D139" s="1"/>
      <c r="H139" s="1"/>
    </row>
    <row r="140" spans="1:8" ht="13.8">
      <c r="A140" s="1"/>
      <c r="D140" s="1"/>
      <c r="H140" s="1"/>
    </row>
    <row r="141" spans="1:8" ht="13.8">
      <c r="A141" s="1"/>
      <c r="D141" s="1"/>
      <c r="H141" s="1"/>
    </row>
    <row r="142" spans="1:8" ht="13.8">
      <c r="A142" s="1"/>
      <c r="D142" s="1"/>
      <c r="H142" s="1"/>
    </row>
    <row r="143" spans="1:8" ht="13.8">
      <c r="A143" s="1"/>
      <c r="D143" s="1"/>
      <c r="H143" s="1"/>
    </row>
    <row r="144" spans="1:8" ht="13.8">
      <c r="A144" s="1"/>
      <c r="D144" s="1"/>
      <c r="H144" s="1"/>
    </row>
    <row r="145" spans="1:8" ht="13.8">
      <c r="A145" s="1"/>
      <c r="D145" s="1"/>
      <c r="H145" s="1"/>
    </row>
    <row r="146" spans="1:8" ht="13.8">
      <c r="A146" s="1"/>
      <c r="D146" s="1"/>
      <c r="H146" s="1"/>
    </row>
    <row r="147" spans="1:8" ht="13.8">
      <c r="A147" s="1"/>
      <c r="D147" s="1"/>
      <c r="H147" s="1"/>
    </row>
    <row r="148" spans="1:8" ht="13.8">
      <c r="A148" s="1"/>
      <c r="D148" s="1"/>
      <c r="H148" s="1"/>
    </row>
    <row r="149" spans="1:8" ht="13.8">
      <c r="A149" s="1"/>
      <c r="D149" s="1"/>
      <c r="H149" s="1"/>
    </row>
    <row r="150" spans="1:8" ht="13.8">
      <c r="A150" s="1"/>
      <c r="D150" s="1"/>
      <c r="H150" s="1"/>
    </row>
    <row r="151" spans="1:8" ht="13.8">
      <c r="A151" s="1"/>
      <c r="D151" s="1"/>
      <c r="H151" s="1"/>
    </row>
    <row r="152" spans="1:8" ht="13.8">
      <c r="A152" s="1"/>
      <c r="D152" s="1"/>
      <c r="H152" s="1"/>
    </row>
    <row r="153" spans="1:8" ht="13.8">
      <c r="A153" s="1"/>
      <c r="D153" s="1"/>
      <c r="H153" s="1"/>
    </row>
    <row r="154" spans="1:8" ht="13.8">
      <c r="A154" s="1"/>
      <c r="D154" s="1"/>
      <c r="H154" s="1"/>
    </row>
    <row r="155" spans="1:8" ht="13.8">
      <c r="A155" s="1"/>
      <c r="D155" s="1"/>
      <c r="H155" s="1"/>
    </row>
    <row r="156" spans="1:8" ht="13.8">
      <c r="A156" s="1"/>
      <c r="D156" s="1"/>
      <c r="H156" s="1"/>
    </row>
    <row r="157" spans="1:8" ht="13.8">
      <c r="A157" s="1"/>
      <c r="D157" s="1"/>
      <c r="H157" s="1"/>
    </row>
    <row r="158" spans="1:8" ht="13.8">
      <c r="A158" s="1"/>
      <c r="D158" s="1"/>
      <c r="H158" s="1"/>
    </row>
    <row r="159" spans="1:8" ht="13.8">
      <c r="A159" s="1"/>
      <c r="D159" s="1"/>
      <c r="H159" s="1"/>
    </row>
    <row r="160" spans="1:8" ht="13.8">
      <c r="A160" s="1"/>
      <c r="D160" s="1"/>
      <c r="H160" s="1"/>
    </row>
    <row r="161" spans="1:8" ht="13.8">
      <c r="A161" s="1"/>
      <c r="D161" s="1"/>
      <c r="H161" s="1"/>
    </row>
    <row r="162" spans="1:8" ht="13.8">
      <c r="A162" s="1"/>
      <c r="D162" s="1"/>
      <c r="H162" s="1"/>
    </row>
    <row r="163" spans="1:8" ht="13.8">
      <c r="A163" s="1"/>
      <c r="D163" s="1"/>
      <c r="H163" s="1"/>
    </row>
    <row r="164" spans="1:8" ht="13.8">
      <c r="A164" s="1"/>
      <c r="D164" s="1"/>
      <c r="H164" s="1"/>
    </row>
    <row r="165" spans="1:8" ht="13.8">
      <c r="A165" s="1"/>
      <c r="D165" s="1"/>
      <c r="H165" s="1"/>
    </row>
    <row r="166" spans="1:8" ht="13.8">
      <c r="A166" s="1"/>
      <c r="D166" s="1"/>
      <c r="H166" s="1"/>
    </row>
    <row r="167" spans="1:8" ht="13.8">
      <c r="A167" s="1"/>
      <c r="D167" s="1"/>
      <c r="H167" s="1"/>
    </row>
    <row r="168" spans="1:8" ht="13.8">
      <c r="A168" s="1"/>
      <c r="D168" s="1"/>
      <c r="H168" s="1"/>
    </row>
    <row r="169" spans="1:8" ht="13.8">
      <c r="A169" s="1"/>
      <c r="D169" s="1"/>
      <c r="H169" s="1"/>
    </row>
    <row r="170" spans="1:8" ht="13.8">
      <c r="A170" s="1"/>
      <c r="D170" s="1"/>
      <c r="H170" s="1"/>
    </row>
    <row r="171" spans="1:8" ht="13.8">
      <c r="A171" s="1"/>
      <c r="D171" s="1"/>
      <c r="H171" s="1"/>
    </row>
    <row r="172" spans="1:8" ht="13.8">
      <c r="A172" s="1"/>
      <c r="D172" s="1"/>
      <c r="H172" s="1"/>
    </row>
    <row r="173" spans="1:8" ht="13.8">
      <c r="A173" s="1"/>
      <c r="D173" s="1"/>
      <c r="H173" s="1"/>
    </row>
    <row r="174" spans="1:8" ht="13.8">
      <c r="A174" s="1"/>
      <c r="D174" s="1"/>
      <c r="H174" s="1"/>
    </row>
    <row r="175" spans="1:8" ht="13.8">
      <c r="A175" s="1"/>
      <c r="D175" s="1"/>
      <c r="H175" s="1"/>
    </row>
    <row r="176" spans="1:8" ht="13.8">
      <c r="A176" s="1"/>
      <c r="D176" s="1"/>
      <c r="H176" s="1"/>
    </row>
    <row r="177" spans="1:8" ht="13.8">
      <c r="A177" s="1"/>
      <c r="D177" s="1"/>
      <c r="H177" s="1"/>
    </row>
    <row r="178" spans="1:8" ht="13.8">
      <c r="A178" s="1"/>
      <c r="D178" s="1"/>
      <c r="H178" s="1"/>
    </row>
    <row r="179" spans="1:8" ht="13.8">
      <c r="A179" s="1"/>
      <c r="D179" s="1"/>
      <c r="H179" s="1"/>
    </row>
    <row r="180" spans="1:8" ht="13.8">
      <c r="A180" s="1"/>
      <c r="D180" s="1"/>
      <c r="H180" s="1"/>
    </row>
    <row r="181" spans="1:8" ht="13.8">
      <c r="A181" s="1"/>
      <c r="D181" s="1"/>
      <c r="H181" s="1"/>
    </row>
    <row r="182" spans="1:8" ht="13.8">
      <c r="A182" s="1"/>
      <c r="D182" s="1"/>
      <c r="H182" s="1"/>
    </row>
    <row r="183" spans="1:8" ht="13.8">
      <c r="A183" s="1"/>
      <c r="D183" s="1"/>
      <c r="H183" s="1"/>
    </row>
    <row r="184" spans="1:8" ht="13.8">
      <c r="A184" s="1"/>
      <c r="D184" s="1"/>
      <c r="H184" s="1"/>
    </row>
    <row r="185" spans="1:8" ht="13.8">
      <c r="A185" s="1"/>
      <c r="D185" s="1"/>
      <c r="H185" s="1"/>
    </row>
    <row r="186" spans="1:8" ht="13.8">
      <c r="A186" s="1"/>
      <c r="D186" s="1"/>
      <c r="H186" s="1"/>
    </row>
    <row r="187" spans="1:8" ht="13.8">
      <c r="A187" s="1"/>
      <c r="D187" s="1"/>
      <c r="H187" s="1"/>
    </row>
    <row r="188" spans="1:8" ht="13.8">
      <c r="A188" s="1"/>
      <c r="D188" s="1"/>
      <c r="H188" s="1"/>
    </row>
    <row r="189" spans="1:8" ht="13.8">
      <c r="A189" s="1"/>
      <c r="D189" s="1"/>
      <c r="H189" s="1"/>
    </row>
    <row r="190" spans="1:8" ht="13.8">
      <c r="A190" s="1"/>
      <c r="D190" s="1"/>
      <c r="H190" s="1"/>
    </row>
    <row r="191" spans="1:8" ht="13.8">
      <c r="A191" s="1"/>
      <c r="D191" s="1"/>
      <c r="H191" s="1"/>
    </row>
    <row r="192" spans="1:8" ht="13.8">
      <c r="A192" s="1"/>
      <c r="D192" s="1"/>
      <c r="H192" s="1"/>
    </row>
    <row r="193" spans="1:8" ht="13.8">
      <c r="A193" s="1"/>
      <c r="D193" s="1"/>
      <c r="H193" s="1"/>
    </row>
    <row r="194" spans="1:8" ht="13.8">
      <c r="A194" s="1"/>
      <c r="D194" s="1"/>
      <c r="H194" s="1"/>
    </row>
    <row r="195" spans="1:8" ht="13.8">
      <c r="A195" s="1"/>
      <c r="D195" s="1"/>
      <c r="H195" s="1"/>
    </row>
    <row r="196" spans="1:8" ht="13.8">
      <c r="A196" s="1"/>
      <c r="D196" s="1"/>
      <c r="H196" s="1"/>
    </row>
    <row r="197" spans="1:8" ht="13.8">
      <c r="A197" s="1"/>
      <c r="D197" s="1"/>
      <c r="H197" s="1"/>
    </row>
    <row r="198" spans="1:8" ht="13.8">
      <c r="A198" s="1"/>
      <c r="D198" s="1"/>
      <c r="H198" s="1"/>
    </row>
    <row r="199" spans="1:8" ht="13.8">
      <c r="A199" s="1"/>
      <c r="D199" s="1"/>
      <c r="H199" s="1"/>
    </row>
    <row r="200" spans="1:8" ht="13.8">
      <c r="A200" s="1"/>
      <c r="D200" s="1"/>
      <c r="H200" s="1"/>
    </row>
    <row r="201" spans="1:8" ht="13.8">
      <c r="A201" s="1"/>
      <c r="D201" s="1"/>
      <c r="H201" s="1"/>
    </row>
    <row r="202" spans="1:8" ht="13.8">
      <c r="A202" s="1"/>
      <c r="D202" s="1"/>
      <c r="H202" s="1"/>
    </row>
    <row r="203" spans="1:8" ht="13.8">
      <c r="A203" s="1"/>
      <c r="D203" s="1"/>
      <c r="H203" s="1"/>
    </row>
    <row r="204" spans="1:8" ht="13.8">
      <c r="A204" s="1"/>
      <c r="D204" s="1"/>
      <c r="H204" s="1"/>
    </row>
    <row r="205" spans="1:8" ht="13.8">
      <c r="A205" s="1"/>
      <c r="D205" s="1"/>
      <c r="H205" s="1"/>
    </row>
    <row r="206" spans="1:8" ht="13.8">
      <c r="A206" s="1"/>
      <c r="D206" s="1"/>
      <c r="H206" s="1"/>
    </row>
    <row r="207" spans="1:8" ht="13.8">
      <c r="A207" s="1"/>
      <c r="D207" s="1"/>
      <c r="H207" s="1"/>
    </row>
    <row r="208" spans="1:8" ht="13.8">
      <c r="A208" s="1"/>
      <c r="D208" s="1"/>
      <c r="H208" s="1"/>
    </row>
    <row r="209" spans="1:8" ht="13.8">
      <c r="A209" s="1"/>
      <c r="D209" s="1"/>
      <c r="H209" s="1"/>
    </row>
    <row r="210" spans="1:8" ht="13.8">
      <c r="A210" s="1"/>
      <c r="D210" s="1"/>
      <c r="H210" s="1"/>
    </row>
    <row r="211" spans="1:8" ht="13.8">
      <c r="A211" s="1"/>
      <c r="D211" s="1"/>
      <c r="H211" s="1"/>
    </row>
    <row r="212" spans="1:8" ht="13.8">
      <c r="A212" s="1"/>
      <c r="D212" s="1"/>
      <c r="H212" s="1"/>
    </row>
    <row r="213" spans="1:8" ht="13.8">
      <c r="A213" s="1"/>
      <c r="D213" s="1"/>
      <c r="H213" s="1"/>
    </row>
    <row r="214" spans="1:8" ht="13.8">
      <c r="A214" s="1"/>
      <c r="D214" s="1"/>
      <c r="H214" s="1"/>
    </row>
    <row r="215" spans="1:8" ht="13.8">
      <c r="A215" s="1"/>
      <c r="D215" s="1"/>
      <c r="H215" s="1"/>
    </row>
    <row r="216" spans="1:8" ht="13.8">
      <c r="A216" s="1"/>
      <c r="D216" s="1"/>
      <c r="H216" s="1"/>
    </row>
    <row r="217" spans="1:8" ht="13.8">
      <c r="A217" s="1"/>
      <c r="D217" s="1"/>
      <c r="H217" s="1"/>
    </row>
    <row r="218" spans="1:8" ht="13.8">
      <c r="A218" s="1"/>
      <c r="D218" s="1"/>
      <c r="H218" s="1"/>
    </row>
    <row r="219" spans="1:8" ht="13.8">
      <c r="A219" s="1"/>
      <c r="D219" s="1"/>
      <c r="H219" s="1"/>
    </row>
    <row r="220" spans="1:8" ht="13.8">
      <c r="A220" s="1"/>
      <c r="D220" s="1"/>
      <c r="H220" s="1"/>
    </row>
    <row r="221" spans="1:8" ht="13.8">
      <c r="A221" s="1"/>
      <c r="D221" s="1"/>
      <c r="H221" s="1"/>
    </row>
    <row r="222" spans="1:8" ht="13.8">
      <c r="A222" s="1"/>
      <c r="D222" s="1"/>
      <c r="H222" s="1"/>
    </row>
    <row r="223" spans="1:8" ht="13.8">
      <c r="A223" s="1"/>
      <c r="D223" s="1"/>
      <c r="H223" s="1"/>
    </row>
    <row r="224" spans="1:8" ht="13.8">
      <c r="A224" s="1"/>
      <c r="D224" s="1"/>
      <c r="H224" s="1"/>
    </row>
    <row r="225" spans="1:8" ht="13.8">
      <c r="A225" s="1"/>
      <c r="D225" s="1"/>
      <c r="H225" s="1"/>
    </row>
    <row r="226" spans="1:8" ht="13.8">
      <c r="A226" s="1"/>
      <c r="D226" s="1"/>
      <c r="H226" s="1"/>
    </row>
    <row r="227" spans="1:8" ht="13.8">
      <c r="A227" s="1"/>
      <c r="D227" s="1"/>
      <c r="H227" s="1"/>
    </row>
    <row r="228" spans="1:8" ht="13.8">
      <c r="A228" s="1"/>
      <c r="D228" s="1"/>
      <c r="H228" s="1"/>
    </row>
    <row r="229" spans="1:8" ht="13.8">
      <c r="A229" s="1"/>
      <c r="D229" s="1"/>
      <c r="H229" s="1"/>
    </row>
    <row r="230" spans="1:8" ht="13.8">
      <c r="A230" s="1"/>
      <c r="D230" s="1"/>
      <c r="H230" s="1"/>
    </row>
    <row r="231" spans="1:8" ht="13.8">
      <c r="A231" s="1"/>
      <c r="D231" s="1"/>
      <c r="H231" s="1"/>
    </row>
    <row r="232" spans="1:8" ht="13.8">
      <c r="A232" s="1"/>
      <c r="D232" s="1"/>
      <c r="H232" s="1"/>
    </row>
    <row r="233" spans="1:8" ht="13.8">
      <c r="A233" s="1"/>
      <c r="D233" s="1"/>
      <c r="H233" s="1"/>
    </row>
    <row r="234" spans="1:8" ht="13.8">
      <c r="A234" s="1"/>
      <c r="D234" s="1"/>
      <c r="H234" s="1"/>
    </row>
    <row r="235" spans="1:8" ht="13.8">
      <c r="A235" s="1"/>
      <c r="D235" s="1"/>
      <c r="H235" s="1"/>
    </row>
    <row r="236" spans="1:8" ht="13.8">
      <c r="A236" s="1"/>
      <c r="D236" s="1"/>
      <c r="H236" s="1"/>
    </row>
    <row r="237" spans="1:8" ht="13.8">
      <c r="A237" s="1"/>
      <c r="D237" s="1"/>
      <c r="H237" s="1"/>
    </row>
    <row r="238" spans="1:8" ht="13.8">
      <c r="A238" s="1"/>
      <c r="D238" s="1"/>
      <c r="H238" s="1"/>
    </row>
    <row r="239" spans="1:8" ht="13.8">
      <c r="A239" s="1"/>
      <c r="D239" s="1"/>
      <c r="H239" s="1"/>
    </row>
    <row r="240" spans="1:8" ht="13.8">
      <c r="A240" s="1"/>
      <c r="D240" s="1"/>
      <c r="H240" s="1"/>
    </row>
    <row r="241" spans="1:8" ht="13.8">
      <c r="A241" s="1"/>
      <c r="D241" s="1"/>
      <c r="H241" s="1"/>
    </row>
    <row r="242" spans="1:8" ht="13.8">
      <c r="A242" s="1"/>
      <c r="D242" s="1"/>
      <c r="H242" s="1"/>
    </row>
    <row r="243" spans="1:8" ht="13.8">
      <c r="A243" s="1"/>
      <c r="D243" s="1"/>
      <c r="H243" s="1"/>
    </row>
    <row r="244" spans="1:8" ht="13.8">
      <c r="A244" s="1"/>
      <c r="D244" s="1"/>
      <c r="H244" s="1"/>
    </row>
    <row r="245" spans="1:8" ht="13.8">
      <c r="A245" s="1"/>
      <c r="D245" s="1"/>
      <c r="H245" s="1"/>
    </row>
    <row r="246" spans="1:8" ht="13.8">
      <c r="A246" s="1"/>
      <c r="D246" s="1"/>
      <c r="H246" s="1"/>
    </row>
    <row r="247" spans="1:8" ht="13.8">
      <c r="A247" s="1"/>
      <c r="D247" s="1"/>
      <c r="H247" s="1"/>
    </row>
    <row r="248" spans="1:8" ht="13.8">
      <c r="A248" s="1"/>
      <c r="D248" s="1"/>
      <c r="H248" s="1"/>
    </row>
    <row r="249" spans="1:8" ht="13.8">
      <c r="A249" s="1"/>
      <c r="D249" s="1"/>
      <c r="H249" s="1"/>
    </row>
    <row r="250" spans="1:8" ht="13.8">
      <c r="A250" s="1"/>
      <c r="D250" s="1"/>
      <c r="H250" s="1"/>
    </row>
    <row r="251" spans="1:8" ht="13.8">
      <c r="A251" s="1"/>
      <c r="D251" s="1"/>
      <c r="H251" s="1"/>
    </row>
    <row r="252" spans="1:8" ht="13.8">
      <c r="A252" s="1"/>
      <c r="D252" s="1"/>
      <c r="H252" s="1"/>
    </row>
    <row r="253" spans="1:8" ht="13.8">
      <c r="A253" s="1"/>
      <c r="D253" s="1"/>
      <c r="H253" s="1"/>
    </row>
    <row r="254" spans="1:8" ht="13.8">
      <c r="A254" s="1"/>
      <c r="D254" s="1"/>
      <c r="H254" s="1"/>
    </row>
    <row r="255" spans="1:8" ht="13.8">
      <c r="A255" s="1"/>
      <c r="D255" s="1"/>
      <c r="H255" s="1"/>
    </row>
    <row r="256" spans="1:8" ht="13.8">
      <c r="A256" s="1"/>
      <c r="D256" s="1"/>
      <c r="H256" s="1"/>
    </row>
    <row r="257" spans="1:8" ht="13.8">
      <c r="A257" s="1"/>
      <c r="D257" s="1"/>
      <c r="H257" s="1"/>
    </row>
    <row r="258" spans="1:8" ht="13.8">
      <c r="A258" s="1"/>
      <c r="D258" s="1"/>
      <c r="H258" s="1"/>
    </row>
    <row r="259" spans="1:8" ht="13.8">
      <c r="A259" s="1"/>
      <c r="D259" s="1"/>
      <c r="H259" s="1"/>
    </row>
    <row r="260" spans="1:8" ht="13.8">
      <c r="A260" s="1"/>
      <c r="D260" s="1"/>
      <c r="H260" s="1"/>
    </row>
    <row r="261" spans="1:8" ht="13.8">
      <c r="A261" s="1"/>
      <c r="D261" s="1"/>
      <c r="H261" s="1"/>
    </row>
    <row r="262" spans="1:8" ht="13.8">
      <c r="A262" s="1"/>
      <c r="D262" s="1"/>
      <c r="H262" s="1"/>
    </row>
    <row r="263" spans="1:8" ht="13.8">
      <c r="A263" s="1"/>
      <c r="D263" s="1"/>
      <c r="H263" s="1"/>
    </row>
    <row r="264" spans="1:8" ht="13.8">
      <c r="A264" s="1"/>
      <c r="D264" s="1"/>
      <c r="H264" s="1"/>
    </row>
    <row r="265" spans="1:8" ht="13.8">
      <c r="A265" s="1"/>
      <c r="D265" s="1"/>
      <c r="H265" s="1"/>
    </row>
    <row r="266" spans="1:8" ht="13.8">
      <c r="A266" s="1"/>
      <c r="D266" s="1"/>
      <c r="H266" s="1"/>
    </row>
    <row r="267" spans="1:8" ht="13.8">
      <c r="A267" s="1"/>
      <c r="D267" s="1"/>
      <c r="H267" s="1"/>
    </row>
    <row r="268" spans="1:8" ht="13.8">
      <c r="A268" s="1"/>
      <c r="D268" s="1"/>
      <c r="H268" s="1"/>
    </row>
    <row r="269" spans="1:8" ht="13.8">
      <c r="A269" s="1"/>
      <c r="D269" s="1"/>
      <c r="H269" s="1"/>
    </row>
    <row r="270" spans="1:8" ht="13.8">
      <c r="A270" s="1"/>
      <c r="D270" s="1"/>
      <c r="H270" s="1"/>
    </row>
    <row r="271" spans="1:8" ht="13.8">
      <c r="A271" s="1"/>
      <c r="D271" s="1"/>
      <c r="H271" s="1"/>
    </row>
    <row r="272" spans="1:8" ht="13.8">
      <c r="A272" s="1"/>
      <c r="D272" s="1"/>
      <c r="H272" s="1"/>
    </row>
    <row r="273" spans="1:8" ht="13.8">
      <c r="A273" s="1"/>
      <c r="D273" s="1"/>
      <c r="H273" s="1"/>
    </row>
    <row r="274" spans="1:8" ht="13.8">
      <c r="A274" s="1"/>
      <c r="D274" s="1"/>
      <c r="H274" s="1"/>
    </row>
    <row r="275" spans="1:8" ht="13.8">
      <c r="A275" s="1"/>
      <c r="D275" s="1"/>
      <c r="H275" s="1"/>
    </row>
    <row r="276" spans="1:8" ht="13.8">
      <c r="A276" s="1"/>
      <c r="D276" s="1"/>
      <c r="H276" s="1"/>
    </row>
    <row r="277" spans="1:8" ht="13.8">
      <c r="A277" s="1"/>
      <c r="D277" s="1"/>
      <c r="H277" s="1"/>
    </row>
    <row r="278" spans="1:8" ht="13.8">
      <c r="A278" s="1"/>
      <c r="D278" s="1"/>
      <c r="H278" s="1"/>
    </row>
    <row r="279" spans="1:8" ht="13.8">
      <c r="A279" s="1"/>
      <c r="D279" s="1"/>
      <c r="H279" s="1"/>
    </row>
    <row r="280" spans="1:8" ht="13.8">
      <c r="A280" s="1"/>
      <c r="D280" s="1"/>
      <c r="H280" s="1"/>
    </row>
    <row r="281" spans="1:8" ht="13.8">
      <c r="A281" s="1"/>
      <c r="D281" s="1"/>
      <c r="H281" s="1"/>
    </row>
    <row r="282" spans="1:8" ht="13.8">
      <c r="A282" s="1"/>
      <c r="D282" s="1"/>
      <c r="H282" s="1"/>
    </row>
    <row r="283" spans="1:8" ht="13.8">
      <c r="A283" s="1"/>
      <c r="D283" s="1"/>
      <c r="H283" s="1"/>
    </row>
    <row r="284" spans="1:8" ht="13.8">
      <c r="A284" s="1"/>
      <c r="D284" s="1"/>
      <c r="H284" s="1"/>
    </row>
    <row r="285" spans="1:8" ht="13.8">
      <c r="A285" s="1"/>
      <c r="D285" s="1"/>
      <c r="H285" s="1"/>
    </row>
    <row r="286" spans="1:8" ht="13.8">
      <c r="A286" s="1"/>
      <c r="D286" s="1"/>
      <c r="H286" s="1"/>
    </row>
    <row r="287" spans="1:8" ht="13.8">
      <c r="A287" s="1"/>
      <c r="D287" s="1"/>
      <c r="H287" s="1"/>
    </row>
    <row r="288" spans="1:8" ht="13.8">
      <c r="A288" s="1"/>
      <c r="D288" s="1"/>
      <c r="H288" s="1"/>
    </row>
    <row r="289" spans="1:8" ht="13.8">
      <c r="A289" s="1"/>
      <c r="D289" s="1"/>
      <c r="H289" s="1"/>
    </row>
    <row r="290" spans="1:8" ht="13.8">
      <c r="A290" s="1"/>
      <c r="D290" s="1"/>
      <c r="H290" s="1"/>
    </row>
    <row r="291" spans="1:8" ht="13.8">
      <c r="A291" s="1"/>
      <c r="D291" s="1"/>
      <c r="H291" s="1"/>
    </row>
    <row r="292" spans="1:8" ht="13.8">
      <c r="A292" s="1"/>
      <c r="D292" s="1"/>
      <c r="H292" s="1"/>
    </row>
    <row r="293" spans="1:8" ht="13.8">
      <c r="A293" s="1"/>
      <c r="D293" s="1"/>
      <c r="H293" s="1"/>
    </row>
    <row r="294" spans="1:8" ht="13.8">
      <c r="A294" s="1"/>
      <c r="D294" s="1"/>
      <c r="H294" s="1"/>
    </row>
    <row r="295" spans="1:8" ht="13.8">
      <c r="A295" s="1"/>
      <c r="D295" s="1"/>
      <c r="H295" s="1"/>
    </row>
    <row r="296" spans="1:8" ht="13.8">
      <c r="A296" s="1"/>
      <c r="D296" s="1"/>
      <c r="H296" s="1"/>
    </row>
    <row r="297" spans="1:8" ht="13.8">
      <c r="A297" s="1"/>
      <c r="D297" s="1"/>
      <c r="H297" s="1"/>
    </row>
    <row r="298" spans="1:8" ht="13.8">
      <c r="A298" s="1"/>
      <c r="D298" s="1"/>
      <c r="H298" s="1"/>
    </row>
    <row r="299" spans="1:8" ht="13.8">
      <c r="A299" s="1"/>
      <c r="D299" s="1"/>
      <c r="H299" s="1"/>
    </row>
    <row r="300" spans="1:8" ht="13.8">
      <c r="A300" s="1"/>
      <c r="D300" s="1"/>
      <c r="H300" s="1"/>
    </row>
    <row r="301" spans="1:8" ht="13.8">
      <c r="A301" s="1"/>
      <c r="D301" s="1"/>
      <c r="H301" s="1"/>
    </row>
    <row r="302" spans="1:8" ht="13.8">
      <c r="A302" s="1"/>
      <c r="D302" s="1"/>
      <c r="H302" s="1"/>
    </row>
    <row r="303" spans="1:8" ht="13.8">
      <c r="A303" s="1"/>
      <c r="D303" s="1"/>
      <c r="H303" s="1"/>
    </row>
    <row r="304" spans="1:8" ht="13.8">
      <c r="A304" s="1"/>
      <c r="D304" s="1"/>
      <c r="H304" s="1"/>
    </row>
    <row r="305" spans="1:8" ht="13.8">
      <c r="A305" s="1"/>
      <c r="D305" s="1"/>
      <c r="H305" s="1"/>
    </row>
    <row r="306" spans="1:8" ht="13.8">
      <c r="A306" s="1"/>
      <c r="D306" s="1"/>
      <c r="H306" s="1"/>
    </row>
    <row r="307" spans="1:8" ht="13.8">
      <c r="A307" s="1"/>
      <c r="D307" s="1"/>
      <c r="H307" s="1"/>
    </row>
    <row r="308" spans="1:8" ht="13.8">
      <c r="A308" s="1"/>
      <c r="D308" s="1"/>
      <c r="H308" s="1"/>
    </row>
    <row r="309" spans="1:8" ht="13.8">
      <c r="A309" s="1"/>
      <c r="D309" s="1"/>
      <c r="H309" s="1"/>
    </row>
    <row r="310" spans="1:8" ht="13.8">
      <c r="A310" s="1"/>
      <c r="D310" s="1"/>
      <c r="H310" s="1"/>
    </row>
    <row r="311" spans="1:8" ht="13.8">
      <c r="A311" s="1"/>
      <c r="D311" s="1"/>
      <c r="H311" s="1"/>
    </row>
    <row r="312" spans="1:8" ht="13.8">
      <c r="A312" s="1"/>
      <c r="D312" s="1"/>
      <c r="H312" s="1"/>
    </row>
    <row r="313" spans="1:8" ht="13.8">
      <c r="A313" s="1"/>
      <c r="D313" s="1"/>
      <c r="H313" s="1"/>
    </row>
    <row r="314" spans="1:8" ht="13.8">
      <c r="A314" s="1"/>
      <c r="D314" s="1"/>
      <c r="H314" s="1"/>
    </row>
    <row r="315" spans="1:8" ht="13.8">
      <c r="A315" s="1"/>
      <c r="D315" s="1"/>
      <c r="H315" s="1"/>
    </row>
    <row r="316" spans="1:8" ht="13.8">
      <c r="A316" s="1"/>
      <c r="D316" s="1"/>
      <c r="H316" s="1"/>
    </row>
    <row r="317" spans="1:8" ht="13.8">
      <c r="A317" s="1"/>
      <c r="D317" s="1"/>
      <c r="H317" s="1"/>
    </row>
    <row r="318" spans="1:8" ht="13.8">
      <c r="A318" s="1"/>
      <c r="D318" s="1"/>
      <c r="H318" s="1"/>
    </row>
    <row r="319" spans="1:8" ht="13.8">
      <c r="A319" s="1"/>
      <c r="D319" s="1"/>
      <c r="H319" s="1"/>
    </row>
    <row r="320" spans="1:8" ht="13.8">
      <c r="A320" s="1"/>
      <c r="D320" s="1"/>
      <c r="H320" s="1"/>
    </row>
    <row r="321" spans="1:8" ht="13.8">
      <c r="A321" s="1"/>
      <c r="D321" s="1"/>
      <c r="H321" s="1"/>
    </row>
    <row r="322" spans="1:8" ht="13.8">
      <c r="A322" s="1"/>
      <c r="D322" s="1"/>
      <c r="H322" s="1"/>
    </row>
    <row r="323" spans="1:8" ht="13.8">
      <c r="A323" s="1"/>
      <c r="D323" s="1"/>
      <c r="H323" s="1"/>
    </row>
    <row r="324" spans="1:8" ht="13.8">
      <c r="A324" s="1"/>
      <c r="D324" s="1"/>
      <c r="H324" s="1"/>
    </row>
    <row r="325" spans="1:8" ht="13.8">
      <c r="A325" s="1"/>
      <c r="D325" s="1"/>
      <c r="H325" s="1"/>
    </row>
    <row r="326" spans="1:8" ht="13.8">
      <c r="A326" s="1"/>
      <c r="D326" s="1"/>
      <c r="H326" s="1"/>
    </row>
    <row r="327" spans="1:8" ht="13.8">
      <c r="A327" s="1"/>
      <c r="D327" s="1"/>
      <c r="H327" s="1"/>
    </row>
    <row r="328" spans="1:8" ht="13.8">
      <c r="A328" s="1"/>
      <c r="D328" s="1"/>
      <c r="H328" s="1"/>
    </row>
    <row r="329" spans="1:8" ht="13.8">
      <c r="A329" s="1"/>
      <c r="D329" s="1"/>
      <c r="H329" s="1"/>
    </row>
    <row r="330" spans="1:8" ht="13.8">
      <c r="A330" s="1"/>
      <c r="D330" s="1"/>
      <c r="H330" s="1"/>
    </row>
    <row r="331" spans="1:8" ht="13.8">
      <c r="A331" s="1"/>
      <c r="D331" s="1"/>
      <c r="H331" s="1"/>
    </row>
    <row r="332" spans="1:8" ht="13.8">
      <c r="A332" s="1"/>
      <c r="D332" s="1"/>
      <c r="H332" s="1"/>
    </row>
    <row r="333" spans="1:8" ht="13.8">
      <c r="A333" s="1"/>
      <c r="D333" s="1"/>
      <c r="H333" s="1"/>
    </row>
    <row r="334" spans="1:8" ht="13.8">
      <c r="A334" s="1"/>
      <c r="D334" s="1"/>
      <c r="H334" s="1"/>
    </row>
    <row r="335" spans="1:8" ht="13.8">
      <c r="A335" s="1"/>
      <c r="D335" s="1"/>
      <c r="H335" s="1"/>
    </row>
    <row r="336" spans="1:8" ht="13.8">
      <c r="A336" s="1"/>
      <c r="D336" s="1"/>
      <c r="H336" s="1"/>
    </row>
    <row r="337" spans="1:8" ht="13.8">
      <c r="A337" s="1"/>
      <c r="D337" s="1"/>
      <c r="H337" s="1"/>
    </row>
    <row r="338" spans="1:8" ht="13.8">
      <c r="A338" s="1"/>
      <c r="D338" s="1"/>
      <c r="H338" s="1"/>
    </row>
    <row r="339" spans="1:8" ht="13.8">
      <c r="A339" s="1"/>
      <c r="D339" s="1"/>
      <c r="H339" s="1"/>
    </row>
    <row r="340" spans="1:8" ht="13.8">
      <c r="A340" s="1"/>
      <c r="D340" s="1"/>
      <c r="H340" s="1"/>
    </row>
    <row r="341" spans="1:8" ht="13.8">
      <c r="A341" s="1"/>
      <c r="D341" s="1"/>
      <c r="H341" s="1"/>
    </row>
    <row r="342" spans="1:8" ht="13.8">
      <c r="A342" s="1"/>
      <c r="D342" s="1"/>
      <c r="H342" s="1"/>
    </row>
    <row r="343" spans="1:8" ht="13.8">
      <c r="A343" s="1"/>
      <c r="D343" s="1"/>
      <c r="H343" s="1"/>
    </row>
    <row r="344" spans="1:8" ht="13.8">
      <c r="A344" s="1"/>
      <c r="D344" s="1"/>
      <c r="H344" s="1"/>
    </row>
    <row r="345" spans="1:8" ht="13.8">
      <c r="A345" s="1"/>
      <c r="D345" s="1"/>
      <c r="H345" s="1"/>
    </row>
    <row r="346" spans="1:8" ht="13.8">
      <c r="A346" s="1"/>
      <c r="D346" s="1"/>
      <c r="H346" s="1"/>
    </row>
    <row r="347" spans="1:8" ht="13.8">
      <c r="A347" s="1"/>
      <c r="D347" s="1"/>
      <c r="H347" s="1"/>
    </row>
    <row r="348" spans="1:8" ht="13.8">
      <c r="A348" s="1"/>
      <c r="D348" s="1"/>
      <c r="H348" s="1"/>
    </row>
    <row r="349" spans="1:8" ht="13.8">
      <c r="A349" s="1"/>
      <c r="D349" s="1"/>
      <c r="H349" s="1"/>
    </row>
    <row r="350" spans="1:8" ht="13.8">
      <c r="A350" s="1"/>
      <c r="D350" s="1"/>
      <c r="H350" s="1"/>
    </row>
    <row r="351" spans="1:8" ht="13.8">
      <c r="A351" s="1"/>
      <c r="D351" s="1"/>
      <c r="H351" s="1"/>
    </row>
    <row r="352" spans="1:8" ht="13.8">
      <c r="A352" s="1"/>
      <c r="D352" s="1"/>
      <c r="H352" s="1"/>
    </row>
    <row r="353" spans="1:8" ht="13.8">
      <c r="A353" s="1"/>
      <c r="D353" s="1"/>
      <c r="H353" s="1"/>
    </row>
    <row r="354" spans="1:8" ht="13.8">
      <c r="A354" s="1"/>
      <c r="D354" s="1"/>
      <c r="H354" s="1"/>
    </row>
    <row r="355" spans="1:8" ht="13.8">
      <c r="A355" s="1"/>
      <c r="D355" s="1"/>
      <c r="H355" s="1"/>
    </row>
    <row r="356" spans="1:8" ht="13.8">
      <c r="A356" s="1"/>
      <c r="D356" s="1"/>
      <c r="H356" s="1"/>
    </row>
    <row r="357" spans="1:8" ht="13.8">
      <c r="A357" s="1"/>
      <c r="D357" s="1"/>
      <c r="H357" s="1"/>
    </row>
    <row r="358" spans="1:8" ht="13.8">
      <c r="A358" s="1"/>
      <c r="D358" s="1"/>
      <c r="H358" s="1"/>
    </row>
    <row r="359" spans="1:8" ht="13.8">
      <c r="A359" s="1"/>
      <c r="D359" s="1"/>
      <c r="H359" s="1"/>
    </row>
    <row r="360" spans="1:8" ht="13.8">
      <c r="A360" s="1"/>
      <c r="D360" s="1"/>
      <c r="H360" s="1"/>
    </row>
    <row r="361" spans="1:8" ht="13.8">
      <c r="A361" s="1"/>
      <c r="D361" s="1"/>
      <c r="H361" s="1"/>
    </row>
    <row r="362" spans="1:8" ht="13.8">
      <c r="A362" s="1"/>
      <c r="D362" s="1"/>
      <c r="H362" s="1"/>
    </row>
    <row r="363" spans="1:8" ht="13.8">
      <c r="A363" s="1"/>
      <c r="D363" s="1"/>
      <c r="H363" s="1"/>
    </row>
    <row r="364" spans="1:8" ht="13.8">
      <c r="A364" s="1"/>
      <c r="D364" s="1"/>
      <c r="H364" s="1"/>
    </row>
    <row r="365" spans="1:8" ht="13.8">
      <c r="A365" s="1"/>
      <c r="D365" s="1"/>
      <c r="H365" s="1"/>
    </row>
    <row r="366" spans="1:8" ht="13.8">
      <c r="A366" s="1"/>
      <c r="D366" s="1"/>
      <c r="H366" s="1"/>
    </row>
    <row r="367" spans="1:8" ht="13.8">
      <c r="A367" s="1"/>
      <c r="D367" s="1"/>
      <c r="H367" s="1"/>
    </row>
    <row r="368" spans="1:8" ht="13.8">
      <c r="A368" s="1"/>
      <c r="D368" s="1"/>
      <c r="H368" s="1"/>
    </row>
    <row r="369" spans="1:8" ht="13.8">
      <c r="A369" s="1"/>
      <c r="D369" s="1"/>
      <c r="H369" s="1"/>
    </row>
    <row r="370" spans="1:8" ht="13.8">
      <c r="A370" s="1"/>
      <c r="D370" s="1"/>
      <c r="H370" s="1"/>
    </row>
    <row r="371" spans="1:8" ht="13.8">
      <c r="A371" s="1"/>
      <c r="D371" s="1"/>
      <c r="H371" s="1"/>
    </row>
    <row r="372" spans="1:8" ht="13.8">
      <c r="A372" s="1"/>
      <c r="D372" s="1"/>
      <c r="H372" s="1"/>
    </row>
    <row r="373" spans="1:8" ht="13.8">
      <c r="A373" s="1"/>
      <c r="D373" s="1"/>
      <c r="H373" s="1"/>
    </row>
    <row r="374" spans="1:8" ht="13.8">
      <c r="A374" s="1"/>
      <c r="D374" s="1"/>
      <c r="H374" s="1"/>
    </row>
    <row r="375" spans="1:8" ht="13.8">
      <c r="A375" s="1"/>
      <c r="D375" s="1"/>
      <c r="H375" s="1"/>
    </row>
    <row r="376" spans="1:8" ht="13.8">
      <c r="A376" s="1"/>
      <c r="D376" s="1"/>
      <c r="H376" s="1"/>
    </row>
    <row r="377" spans="1:8" ht="13.8">
      <c r="A377" s="1"/>
      <c r="D377" s="1"/>
      <c r="H377" s="1"/>
    </row>
    <row r="378" spans="1:8" ht="13.8">
      <c r="A378" s="1"/>
      <c r="D378" s="1"/>
      <c r="H378" s="1"/>
    </row>
    <row r="379" spans="1:8" ht="13.8">
      <c r="A379" s="1"/>
      <c r="D379" s="1"/>
      <c r="H379" s="1"/>
    </row>
    <row r="380" spans="1:8" ht="13.8">
      <c r="A380" s="1"/>
      <c r="D380" s="1"/>
      <c r="H380" s="1"/>
    </row>
    <row r="381" spans="1:8" ht="13.8">
      <c r="A381" s="1"/>
      <c r="D381" s="1"/>
      <c r="H381" s="1"/>
    </row>
    <row r="382" spans="1:8" ht="13.8">
      <c r="A382" s="1"/>
      <c r="D382" s="1"/>
      <c r="H382" s="1"/>
    </row>
    <row r="383" spans="1:8" ht="13.8">
      <c r="A383" s="1"/>
      <c r="D383" s="1"/>
      <c r="H383" s="1"/>
    </row>
    <row r="384" spans="1:8" ht="13.8">
      <c r="A384" s="1"/>
      <c r="D384" s="1"/>
      <c r="H384" s="1"/>
    </row>
    <row r="385" spans="1:8" ht="13.8">
      <c r="A385" s="1"/>
      <c r="D385" s="1"/>
      <c r="H385" s="1"/>
    </row>
    <row r="386" spans="1:8" ht="13.8">
      <c r="A386" s="1"/>
      <c r="D386" s="1"/>
      <c r="H386" s="1"/>
    </row>
    <row r="387" spans="1:8" ht="13.8">
      <c r="A387" s="1"/>
      <c r="D387" s="1"/>
      <c r="H387" s="1"/>
    </row>
    <row r="388" spans="1:8" ht="13.8">
      <c r="A388" s="1"/>
      <c r="D388" s="1"/>
      <c r="H388" s="1"/>
    </row>
    <row r="389" spans="1:8" ht="13.8">
      <c r="A389" s="1"/>
      <c r="D389" s="1"/>
      <c r="H389" s="1"/>
    </row>
    <row r="390" spans="1:8" ht="13.8">
      <c r="A390" s="1"/>
      <c r="D390" s="1"/>
      <c r="H390" s="1"/>
    </row>
    <row r="391" spans="1:8" ht="13.8">
      <c r="A391" s="1"/>
      <c r="D391" s="1"/>
      <c r="H391" s="1"/>
    </row>
    <row r="392" spans="1:8" ht="13.8">
      <c r="A392" s="1"/>
      <c r="D392" s="1"/>
      <c r="H392" s="1"/>
    </row>
    <row r="393" spans="1:8" ht="13.8">
      <c r="A393" s="1"/>
      <c r="D393" s="1"/>
      <c r="H393" s="1"/>
    </row>
    <row r="394" spans="1:8" ht="13.8">
      <c r="A394" s="1"/>
      <c r="D394" s="1"/>
      <c r="H394" s="1"/>
    </row>
    <row r="395" spans="1:8" ht="13.8">
      <c r="A395" s="1"/>
      <c r="D395" s="1"/>
      <c r="H395" s="1"/>
    </row>
    <row r="396" spans="1:8" ht="13.8">
      <c r="A396" s="1"/>
      <c r="D396" s="1"/>
      <c r="H396" s="1"/>
    </row>
    <row r="397" spans="1:8" ht="13.8">
      <c r="A397" s="1"/>
      <c r="D397" s="1"/>
      <c r="H397" s="1"/>
    </row>
    <row r="398" spans="1:8" ht="13.8">
      <c r="A398" s="1"/>
      <c r="D398" s="1"/>
      <c r="H398" s="1"/>
    </row>
    <row r="399" spans="1:8" ht="13.8">
      <c r="A399" s="1"/>
      <c r="D399" s="1"/>
      <c r="H399" s="1"/>
    </row>
    <row r="400" spans="1:8" ht="13.8">
      <c r="A400" s="1"/>
      <c r="D400" s="1"/>
      <c r="H400" s="1"/>
    </row>
    <row r="401" spans="1:8" ht="13.8">
      <c r="A401" s="1"/>
      <c r="D401" s="1"/>
      <c r="H401" s="1"/>
    </row>
    <row r="402" spans="1:8" ht="13.8">
      <c r="A402" s="1"/>
      <c r="D402" s="1"/>
      <c r="H402" s="1"/>
    </row>
    <row r="403" spans="1:8" ht="13.8">
      <c r="A403" s="1"/>
      <c r="D403" s="1"/>
      <c r="H403" s="1"/>
    </row>
    <row r="404" spans="1:8" ht="13.8">
      <c r="A404" s="1"/>
      <c r="D404" s="1"/>
      <c r="H404" s="1"/>
    </row>
    <row r="405" spans="1:8" ht="13.8">
      <c r="A405" s="1"/>
      <c r="D405" s="1"/>
      <c r="H405" s="1"/>
    </row>
    <row r="406" spans="1:8" ht="13.8">
      <c r="A406" s="1"/>
      <c r="D406" s="1"/>
      <c r="H406" s="1"/>
    </row>
    <row r="407" spans="1:8" ht="13.8">
      <c r="A407" s="1"/>
      <c r="D407" s="1"/>
      <c r="H407" s="1"/>
    </row>
    <row r="408" spans="1:8" ht="13.8">
      <c r="A408" s="1"/>
      <c r="D408" s="1"/>
      <c r="H408" s="1"/>
    </row>
    <row r="409" spans="1:8" ht="13.8">
      <c r="A409" s="1"/>
      <c r="D409" s="1"/>
      <c r="H409" s="1"/>
    </row>
    <row r="410" spans="1:8" ht="13.8">
      <c r="A410" s="1"/>
      <c r="D410" s="1"/>
      <c r="H410" s="1"/>
    </row>
    <row r="411" spans="1:8" ht="13.8">
      <c r="A411" s="1"/>
      <c r="D411" s="1"/>
      <c r="H411" s="1"/>
    </row>
    <row r="412" spans="1:8" ht="13.8">
      <c r="A412" s="1"/>
      <c r="D412" s="1"/>
      <c r="H412" s="1"/>
    </row>
    <row r="413" spans="1:8" ht="13.8">
      <c r="A413" s="1"/>
      <c r="D413" s="1"/>
      <c r="H413" s="1"/>
    </row>
    <row r="414" spans="1:8" ht="13.8">
      <c r="A414" s="1"/>
      <c r="D414" s="1"/>
      <c r="H414" s="1"/>
    </row>
    <row r="415" spans="1:8" ht="13.8">
      <c r="A415" s="1"/>
      <c r="D415" s="1"/>
      <c r="H415" s="1"/>
    </row>
    <row r="416" spans="1:8" ht="13.8">
      <c r="A416" s="1"/>
      <c r="D416" s="1"/>
      <c r="H416" s="1"/>
    </row>
    <row r="417" spans="1:8" ht="13.8">
      <c r="A417" s="1"/>
      <c r="D417" s="1"/>
      <c r="H417" s="1"/>
    </row>
    <row r="418" spans="1:8" ht="13.8">
      <c r="A418" s="1"/>
      <c r="D418" s="1"/>
      <c r="H418" s="1"/>
    </row>
    <row r="419" spans="1:8" ht="13.8">
      <c r="A419" s="1"/>
      <c r="D419" s="1"/>
      <c r="H419" s="1"/>
    </row>
    <row r="420" spans="1:8" ht="13.8">
      <c r="A420" s="1"/>
      <c r="D420" s="1"/>
      <c r="H420" s="1"/>
    </row>
    <row r="421" spans="1:8" ht="13.8">
      <c r="A421" s="1"/>
      <c r="D421" s="1"/>
      <c r="H421" s="1"/>
    </row>
    <row r="422" spans="1:8" ht="13.8">
      <c r="A422" s="1"/>
      <c r="D422" s="1"/>
      <c r="H422" s="1"/>
    </row>
    <row r="423" spans="1:8" ht="13.8">
      <c r="A423" s="1"/>
      <c r="D423" s="1"/>
      <c r="H423" s="1"/>
    </row>
    <row r="424" spans="1:8" ht="13.8">
      <c r="A424" s="1"/>
      <c r="D424" s="1"/>
      <c r="H424" s="1"/>
    </row>
    <row r="425" spans="1:8" ht="13.8">
      <c r="A425" s="1"/>
      <c r="D425" s="1"/>
      <c r="H425" s="1"/>
    </row>
    <row r="426" spans="1:8" ht="13.8">
      <c r="A426" s="1"/>
      <c r="D426" s="1"/>
      <c r="H426" s="1"/>
    </row>
    <row r="427" spans="1:8" ht="13.8">
      <c r="A427" s="1"/>
      <c r="D427" s="1"/>
      <c r="H427" s="1"/>
    </row>
    <row r="428" spans="1:8" ht="13.8">
      <c r="A428" s="1"/>
      <c r="D428" s="1"/>
      <c r="H428" s="1"/>
    </row>
    <row r="429" spans="1:8" ht="13.8">
      <c r="A429" s="1"/>
      <c r="D429" s="1"/>
      <c r="H429" s="1"/>
    </row>
    <row r="430" spans="1:8" ht="13.8">
      <c r="A430" s="1"/>
      <c r="D430" s="1"/>
      <c r="H430" s="1"/>
    </row>
    <row r="431" spans="1:8" ht="13.8">
      <c r="A431" s="1"/>
      <c r="D431" s="1"/>
      <c r="H431" s="1"/>
    </row>
    <row r="432" spans="1:8" ht="13.8">
      <c r="A432" s="1"/>
      <c r="D432" s="1"/>
      <c r="H432" s="1"/>
    </row>
    <row r="433" spans="1:8" ht="13.8">
      <c r="A433" s="1"/>
      <c r="D433" s="1"/>
      <c r="H433" s="1"/>
    </row>
    <row r="434" spans="1:8" ht="13.8">
      <c r="A434" s="1"/>
      <c r="D434" s="1"/>
      <c r="H434" s="1"/>
    </row>
    <row r="435" spans="1:8" ht="13.8">
      <c r="A435" s="1"/>
      <c r="D435" s="1"/>
      <c r="H435" s="1"/>
    </row>
    <row r="436" spans="1:8" ht="13.8">
      <c r="A436" s="1"/>
      <c r="D436" s="1"/>
      <c r="H436" s="1"/>
    </row>
    <row r="437" spans="1:8" ht="13.8">
      <c r="A437" s="1"/>
      <c r="D437" s="1"/>
      <c r="H437" s="1"/>
    </row>
    <row r="438" spans="1:8" ht="13.8">
      <c r="A438" s="1"/>
      <c r="D438" s="1"/>
      <c r="H438" s="1"/>
    </row>
    <row r="439" spans="1:8" ht="13.8">
      <c r="A439" s="1"/>
      <c r="D439" s="1"/>
      <c r="H439" s="1"/>
    </row>
    <row r="440" spans="1:8" ht="13.8">
      <c r="A440" s="1"/>
      <c r="D440" s="1"/>
      <c r="H440" s="1"/>
    </row>
    <row r="441" spans="1:8" ht="13.8">
      <c r="A441" s="1"/>
      <c r="D441" s="1"/>
      <c r="H441" s="1"/>
    </row>
    <row r="442" spans="1:8" ht="13.8">
      <c r="A442" s="1"/>
      <c r="D442" s="1"/>
      <c r="H442" s="1"/>
    </row>
    <row r="443" spans="1:8" ht="13.8">
      <c r="A443" s="1"/>
      <c r="D443" s="1"/>
      <c r="H443" s="1"/>
    </row>
    <row r="444" spans="1:8" ht="13.8">
      <c r="A444" s="1"/>
      <c r="D444" s="1"/>
      <c r="H444" s="1"/>
    </row>
    <row r="445" spans="1:8" ht="13.8">
      <c r="A445" s="1"/>
      <c r="D445" s="1"/>
      <c r="H445" s="1"/>
    </row>
    <row r="446" spans="1:8" ht="13.8">
      <c r="A446" s="1"/>
      <c r="D446" s="1"/>
      <c r="H446" s="1"/>
    </row>
    <row r="447" spans="1:8" ht="13.8">
      <c r="A447" s="1"/>
      <c r="D447" s="1"/>
      <c r="H447" s="1"/>
    </row>
    <row r="448" spans="1:8" ht="13.8">
      <c r="A448" s="1"/>
      <c r="D448" s="1"/>
      <c r="H448" s="1"/>
    </row>
    <row r="449" spans="1:8" ht="13.8">
      <c r="A449" s="1"/>
      <c r="D449" s="1"/>
      <c r="H449" s="1"/>
    </row>
    <row r="450" spans="1:8" ht="13.8">
      <c r="A450" s="1"/>
      <c r="D450" s="1"/>
      <c r="H450" s="1"/>
    </row>
    <row r="451" spans="1:8" ht="13.8">
      <c r="A451" s="1"/>
      <c r="D451" s="1"/>
      <c r="H451" s="1"/>
    </row>
    <row r="452" spans="1:8" ht="13.8">
      <c r="A452" s="1"/>
      <c r="D452" s="1"/>
      <c r="H452" s="1"/>
    </row>
    <row r="453" spans="1:8" ht="13.8">
      <c r="A453" s="1"/>
      <c r="D453" s="1"/>
      <c r="H453" s="1"/>
    </row>
    <row r="454" spans="1:8" ht="13.8">
      <c r="A454" s="1"/>
      <c r="D454" s="1"/>
      <c r="H454" s="1"/>
    </row>
    <row r="455" spans="1:8" ht="13.8">
      <c r="A455" s="1"/>
      <c r="D455" s="1"/>
      <c r="H455" s="1"/>
    </row>
    <row r="456" spans="1:8" ht="13.8">
      <c r="A456" s="1"/>
      <c r="D456" s="1"/>
      <c r="H456" s="1"/>
    </row>
    <row r="457" spans="1:8" ht="13.8">
      <c r="A457" s="1"/>
      <c r="D457" s="1"/>
      <c r="H457" s="1"/>
    </row>
    <row r="458" spans="1:8" ht="13.8">
      <c r="A458" s="1"/>
      <c r="D458" s="1"/>
      <c r="H458" s="1"/>
    </row>
    <row r="459" spans="1:8" ht="13.8">
      <c r="A459" s="1"/>
      <c r="D459" s="1"/>
      <c r="H459" s="1"/>
    </row>
    <row r="460" spans="1:8" ht="13.8">
      <c r="A460" s="1"/>
      <c r="D460" s="1"/>
      <c r="H460" s="1"/>
    </row>
    <row r="461" spans="1:8" ht="13.8">
      <c r="A461" s="1"/>
      <c r="D461" s="1"/>
      <c r="H461" s="1"/>
    </row>
    <row r="462" spans="1:8" ht="13.8">
      <c r="A462" s="1"/>
      <c r="D462" s="1"/>
      <c r="H462" s="1"/>
    </row>
    <row r="463" spans="1:8" ht="13.8">
      <c r="A463" s="1"/>
      <c r="D463" s="1"/>
      <c r="H463" s="1"/>
    </row>
    <row r="464" spans="1:8" ht="13.8">
      <c r="A464" s="1"/>
      <c r="D464" s="1"/>
      <c r="H464" s="1"/>
    </row>
    <row r="465" spans="1:8" ht="13.8">
      <c r="A465" s="1"/>
      <c r="D465" s="1"/>
      <c r="H465" s="1"/>
    </row>
    <row r="466" spans="1:8" ht="13.8">
      <c r="A466" s="1"/>
      <c r="D466" s="1"/>
      <c r="H466" s="1"/>
    </row>
    <row r="467" spans="1:8" ht="13.8">
      <c r="A467" s="1"/>
      <c r="D467" s="1"/>
      <c r="H467" s="1"/>
    </row>
    <row r="468" spans="1:8" ht="13.8">
      <c r="A468" s="1"/>
      <c r="D468" s="1"/>
      <c r="H468" s="1"/>
    </row>
    <row r="469" spans="1:8" ht="13.8">
      <c r="A469" s="1"/>
      <c r="D469" s="1"/>
      <c r="H469" s="1"/>
    </row>
    <row r="470" spans="1:8" ht="13.8">
      <c r="A470" s="1"/>
      <c r="D470" s="1"/>
      <c r="H470" s="1"/>
    </row>
    <row r="471" spans="1:8" ht="13.8">
      <c r="A471" s="1"/>
      <c r="D471" s="1"/>
      <c r="H471" s="1"/>
    </row>
    <row r="472" spans="1:8" ht="13.8">
      <c r="A472" s="1"/>
      <c r="D472" s="1"/>
      <c r="H472" s="1"/>
    </row>
    <row r="473" spans="1:8" ht="13.8">
      <c r="A473" s="1"/>
      <c r="D473" s="1"/>
      <c r="H473" s="1"/>
    </row>
    <row r="474" spans="1:8" ht="13.8">
      <c r="A474" s="1"/>
      <c r="D474" s="1"/>
      <c r="H474" s="1"/>
    </row>
    <row r="475" spans="1:8" ht="13.8">
      <c r="A475" s="1"/>
      <c r="D475" s="1"/>
      <c r="H475" s="1"/>
    </row>
    <row r="476" spans="1:8" ht="13.8">
      <c r="A476" s="1"/>
      <c r="D476" s="1"/>
      <c r="H476" s="1"/>
    </row>
    <row r="477" spans="1:8" ht="13.8">
      <c r="A477" s="1"/>
      <c r="D477" s="1"/>
      <c r="H477" s="1"/>
    </row>
    <row r="478" spans="1:8" ht="13.8">
      <c r="A478" s="1"/>
      <c r="D478" s="1"/>
      <c r="H478" s="1"/>
    </row>
    <row r="479" spans="1:8" ht="13.8">
      <c r="A479" s="1"/>
      <c r="D479" s="1"/>
      <c r="H479" s="1"/>
    </row>
    <row r="480" spans="1:8" ht="13.8">
      <c r="A480" s="1"/>
      <c r="D480" s="1"/>
      <c r="H480" s="1"/>
    </row>
    <row r="481" spans="1:8" ht="13.8">
      <c r="A481" s="1"/>
      <c r="D481" s="1"/>
      <c r="H481" s="1"/>
    </row>
    <row r="482" spans="1:8" ht="13.8">
      <c r="A482" s="1"/>
      <c r="D482" s="1"/>
      <c r="H482" s="1"/>
    </row>
    <row r="483" spans="1:8" ht="13.8">
      <c r="A483" s="1"/>
      <c r="D483" s="1"/>
      <c r="H483" s="1"/>
    </row>
    <row r="484" spans="1:8" ht="13.8">
      <c r="A484" s="1"/>
      <c r="D484" s="1"/>
      <c r="H484" s="1"/>
    </row>
    <row r="485" spans="1:8" ht="13.8">
      <c r="A485" s="1"/>
      <c r="D485" s="1"/>
      <c r="H485" s="1"/>
    </row>
    <row r="486" spans="1:8" ht="13.8">
      <c r="A486" s="1"/>
      <c r="D486" s="1"/>
      <c r="H486" s="1"/>
    </row>
    <row r="487" spans="1:8" ht="13.8">
      <c r="A487" s="1"/>
      <c r="D487" s="1"/>
      <c r="H487" s="1"/>
    </row>
    <row r="488" spans="1:8" ht="13.8">
      <c r="A488" s="1"/>
      <c r="D488" s="1"/>
      <c r="H488" s="1"/>
    </row>
    <row r="489" spans="1:8" ht="13.8">
      <c r="A489" s="1"/>
      <c r="D489" s="1"/>
      <c r="H489" s="1"/>
    </row>
    <row r="490" spans="1:8" ht="13.8">
      <c r="A490" s="1"/>
      <c r="D490" s="1"/>
      <c r="H490" s="1"/>
    </row>
    <row r="491" spans="1:8" ht="13.8">
      <c r="A491" s="1"/>
      <c r="D491" s="1"/>
      <c r="H491" s="1"/>
    </row>
    <row r="492" spans="1:8" ht="13.8">
      <c r="A492" s="1"/>
      <c r="D492" s="1"/>
      <c r="H492" s="1"/>
    </row>
    <row r="493" spans="1:8" ht="13.8">
      <c r="A493" s="1"/>
      <c r="D493" s="1"/>
      <c r="H493" s="1"/>
    </row>
    <row r="494" spans="1:8" ht="13.8">
      <c r="A494" s="1"/>
      <c r="D494" s="1"/>
      <c r="H494" s="1"/>
    </row>
    <row r="495" spans="1:8" ht="13.8">
      <c r="A495" s="1"/>
      <c r="D495" s="1"/>
      <c r="H495" s="1"/>
    </row>
    <row r="496" spans="1:8" ht="13.8">
      <c r="A496" s="1"/>
      <c r="D496" s="1"/>
      <c r="H496" s="1"/>
    </row>
    <row r="497" spans="1:8" ht="13.8">
      <c r="A497" s="1"/>
      <c r="D497" s="1"/>
      <c r="H497" s="1"/>
    </row>
    <row r="498" spans="1:8" ht="13.8">
      <c r="A498" s="1"/>
      <c r="D498" s="1"/>
      <c r="H498" s="1"/>
    </row>
    <row r="499" spans="1:8" ht="13.8">
      <c r="A499" s="1"/>
      <c r="D499" s="1"/>
      <c r="H499" s="1"/>
    </row>
    <row r="500" spans="1:8" ht="13.8">
      <c r="A500" s="1"/>
      <c r="D500" s="1"/>
      <c r="H500" s="1"/>
    </row>
    <row r="501" spans="1:8" ht="13.8">
      <c r="A501" s="1"/>
      <c r="D501" s="1"/>
      <c r="H501" s="1"/>
    </row>
    <row r="502" spans="1:8" ht="13.8">
      <c r="A502" s="1"/>
      <c r="D502" s="1"/>
      <c r="H502" s="1"/>
    </row>
    <row r="503" spans="1:8" ht="13.8">
      <c r="A503" s="1"/>
      <c r="D503" s="1"/>
      <c r="H503" s="1"/>
    </row>
    <row r="504" spans="1:8" ht="13.8">
      <c r="A504" s="1"/>
      <c r="D504" s="1"/>
      <c r="H504" s="1"/>
    </row>
    <row r="505" spans="1:8" ht="13.8">
      <c r="A505" s="1"/>
      <c r="D505" s="1"/>
      <c r="H505" s="1"/>
    </row>
    <row r="506" spans="1:8" ht="13.8">
      <c r="A506" s="1"/>
      <c r="D506" s="1"/>
      <c r="H506" s="1"/>
    </row>
    <row r="507" spans="1:8" ht="13.8">
      <c r="A507" s="1"/>
      <c r="D507" s="1"/>
      <c r="H507" s="1"/>
    </row>
    <row r="508" spans="1:8" ht="13.8">
      <c r="A508" s="1"/>
      <c r="D508" s="1"/>
      <c r="H508" s="1"/>
    </row>
    <row r="509" spans="1:8" ht="13.8">
      <c r="A509" s="1"/>
      <c r="D509" s="1"/>
      <c r="H509" s="1"/>
    </row>
    <row r="510" spans="1:8" ht="13.8">
      <c r="A510" s="1"/>
      <c r="D510" s="1"/>
      <c r="H510" s="1"/>
    </row>
    <row r="511" spans="1:8" ht="13.8">
      <c r="A511" s="1"/>
      <c r="D511" s="1"/>
      <c r="H511" s="1"/>
    </row>
    <row r="512" spans="1:8" ht="13.8">
      <c r="A512" s="1"/>
      <c r="D512" s="1"/>
      <c r="H512" s="1"/>
    </row>
    <row r="513" spans="1:8" ht="13.8">
      <c r="A513" s="1"/>
      <c r="D513" s="1"/>
      <c r="H513" s="1"/>
    </row>
    <row r="514" spans="1:8" ht="13.8">
      <c r="A514" s="1"/>
      <c r="D514" s="1"/>
      <c r="H514" s="1"/>
    </row>
    <row r="515" spans="1:8" ht="13.8">
      <c r="A515" s="1"/>
      <c r="D515" s="1"/>
      <c r="H515" s="1"/>
    </row>
    <row r="516" spans="1:8" ht="13.8">
      <c r="A516" s="1"/>
      <c r="D516" s="1"/>
      <c r="H516" s="1"/>
    </row>
    <row r="517" spans="1:8" ht="13.8">
      <c r="A517" s="1"/>
      <c r="D517" s="1"/>
      <c r="H517" s="1"/>
    </row>
    <row r="518" spans="1:8" ht="13.8">
      <c r="A518" s="1"/>
      <c r="D518" s="1"/>
      <c r="H518" s="1"/>
    </row>
    <row r="519" spans="1:8" ht="13.8">
      <c r="A519" s="1"/>
      <c r="D519" s="1"/>
      <c r="H519" s="1"/>
    </row>
    <row r="520" spans="1:8" ht="13.8">
      <c r="A520" s="1"/>
      <c r="D520" s="1"/>
      <c r="H520" s="1"/>
    </row>
    <row r="521" spans="1:8" ht="13.8">
      <c r="A521" s="1"/>
      <c r="D521" s="1"/>
      <c r="H521" s="1"/>
    </row>
    <row r="522" spans="1:8" ht="13.8">
      <c r="A522" s="1"/>
      <c r="D522" s="1"/>
      <c r="H522" s="1"/>
    </row>
    <row r="523" spans="1:8" ht="13.8">
      <c r="A523" s="1"/>
      <c r="D523" s="1"/>
      <c r="H523" s="1"/>
    </row>
    <row r="524" spans="1:8" ht="13.8">
      <c r="A524" s="1"/>
      <c r="D524" s="1"/>
      <c r="H524" s="1"/>
    </row>
    <row r="525" spans="1:8" ht="13.8">
      <c r="A525" s="1"/>
      <c r="D525" s="1"/>
      <c r="H525" s="1"/>
    </row>
    <row r="526" spans="1:8" ht="13.8">
      <c r="A526" s="1"/>
      <c r="D526" s="1"/>
      <c r="H526" s="1"/>
    </row>
    <row r="527" spans="1:8" ht="13.8">
      <c r="A527" s="1"/>
      <c r="D527" s="1"/>
      <c r="H527" s="1"/>
    </row>
    <row r="528" spans="1:8" ht="13.8">
      <c r="A528" s="1"/>
      <c r="D528" s="1"/>
      <c r="H528" s="1"/>
    </row>
    <row r="529" spans="1:8" ht="13.8">
      <c r="A529" s="1"/>
      <c r="D529" s="1"/>
      <c r="H529" s="1"/>
    </row>
    <row r="530" spans="1:8" ht="13.8">
      <c r="A530" s="1"/>
      <c r="D530" s="1"/>
      <c r="H530" s="1"/>
    </row>
    <row r="531" spans="1:8" ht="13.8">
      <c r="A531" s="1"/>
      <c r="D531" s="1"/>
      <c r="H531" s="1"/>
    </row>
    <row r="532" spans="1:8" ht="13.8">
      <c r="A532" s="1"/>
      <c r="D532" s="1"/>
      <c r="H532" s="1"/>
    </row>
    <row r="533" spans="1:8" ht="13.8">
      <c r="A533" s="1"/>
      <c r="D533" s="1"/>
      <c r="H533" s="1"/>
    </row>
    <row r="534" spans="1:8" ht="13.8">
      <c r="A534" s="1"/>
      <c r="D534" s="1"/>
      <c r="H534" s="1"/>
    </row>
    <row r="535" spans="1:8" ht="13.8">
      <c r="A535" s="1"/>
      <c r="D535" s="1"/>
      <c r="H535" s="1"/>
    </row>
    <row r="536" spans="1:8" ht="13.8">
      <c r="A536" s="1"/>
      <c r="D536" s="1"/>
      <c r="H536" s="1"/>
    </row>
    <row r="537" spans="1:8" ht="13.8">
      <c r="A537" s="1"/>
      <c r="D537" s="1"/>
      <c r="H537" s="1"/>
    </row>
    <row r="538" spans="1:8" ht="13.8">
      <c r="A538" s="1"/>
      <c r="D538" s="1"/>
      <c r="H538" s="1"/>
    </row>
    <row r="539" spans="1:8" ht="13.8">
      <c r="A539" s="1"/>
      <c r="D539" s="1"/>
      <c r="H539" s="1"/>
    </row>
    <row r="540" spans="1:8" ht="13.8">
      <c r="A540" s="1"/>
      <c r="D540" s="1"/>
      <c r="H540" s="1"/>
    </row>
    <row r="541" spans="1:8" ht="13.8">
      <c r="A541" s="1"/>
      <c r="D541" s="1"/>
      <c r="H541" s="1"/>
    </row>
    <row r="542" spans="1:8" ht="13.8">
      <c r="A542" s="1"/>
      <c r="D542" s="1"/>
      <c r="H542" s="1"/>
    </row>
    <row r="543" spans="1:8" ht="13.8">
      <c r="A543" s="1"/>
      <c r="D543" s="1"/>
      <c r="H543" s="1"/>
    </row>
    <row r="544" spans="1:8" ht="13.8">
      <c r="A544" s="1"/>
      <c r="D544" s="1"/>
      <c r="H544" s="1"/>
    </row>
    <row r="545" spans="1:8" ht="13.8">
      <c r="A545" s="1"/>
      <c r="D545" s="1"/>
      <c r="H545" s="1"/>
    </row>
    <row r="546" spans="1:8" ht="13.8">
      <c r="A546" s="1"/>
      <c r="D546" s="1"/>
      <c r="H546" s="1"/>
    </row>
    <row r="547" spans="1:8" ht="13.8">
      <c r="A547" s="1"/>
      <c r="D547" s="1"/>
      <c r="H547" s="1"/>
    </row>
    <row r="548" spans="1:8" ht="13.8">
      <c r="A548" s="1"/>
      <c r="D548" s="1"/>
      <c r="H548" s="1"/>
    </row>
    <row r="549" spans="1:8" ht="13.8">
      <c r="A549" s="1"/>
      <c r="D549" s="1"/>
      <c r="H549" s="1"/>
    </row>
    <row r="550" spans="1:8" ht="13.8">
      <c r="A550" s="1"/>
      <c r="D550" s="1"/>
      <c r="H550" s="1"/>
    </row>
    <row r="551" spans="1:8" ht="13.8">
      <c r="A551" s="1"/>
      <c r="D551" s="1"/>
      <c r="H551" s="1"/>
    </row>
    <row r="552" spans="1:8" ht="13.8">
      <c r="A552" s="1"/>
      <c r="D552" s="1"/>
      <c r="H552" s="1"/>
    </row>
    <row r="553" spans="1:8" ht="13.8">
      <c r="A553" s="1"/>
      <c r="D553" s="1"/>
      <c r="H553" s="1"/>
    </row>
    <row r="554" spans="1:8" ht="13.8">
      <c r="A554" s="1"/>
      <c r="D554" s="1"/>
      <c r="H554" s="1"/>
    </row>
    <row r="555" spans="1:8" ht="13.8">
      <c r="A555" s="1"/>
      <c r="D555" s="1"/>
      <c r="H555" s="1"/>
    </row>
    <row r="556" spans="1:8" ht="13.8">
      <c r="A556" s="1"/>
      <c r="D556" s="1"/>
      <c r="H556" s="1"/>
    </row>
    <row r="557" spans="1:8" ht="13.8">
      <c r="A557" s="1"/>
      <c r="D557" s="1"/>
      <c r="H557" s="1"/>
    </row>
    <row r="558" spans="1:8" ht="13.8">
      <c r="A558" s="1"/>
      <c r="D558" s="1"/>
      <c r="H558" s="1"/>
    </row>
    <row r="559" spans="1:8" ht="13.8">
      <c r="A559" s="1"/>
      <c r="D559" s="1"/>
      <c r="H559" s="1"/>
    </row>
    <row r="560" spans="1:8" ht="13.8">
      <c r="A560" s="1"/>
      <c r="D560" s="1"/>
      <c r="H560" s="1"/>
    </row>
    <row r="561" spans="1:8" ht="13.8">
      <c r="A561" s="1"/>
      <c r="D561" s="1"/>
      <c r="H561" s="1"/>
    </row>
    <row r="562" spans="1:8" ht="13.8">
      <c r="A562" s="1"/>
      <c r="D562" s="1"/>
      <c r="H562" s="1"/>
    </row>
    <row r="563" spans="1:8" ht="13.8">
      <c r="A563" s="1"/>
      <c r="D563" s="1"/>
      <c r="H563" s="1"/>
    </row>
    <row r="564" spans="1:8" ht="13.8">
      <c r="A564" s="1"/>
      <c r="D564" s="1"/>
      <c r="H564" s="1"/>
    </row>
    <row r="565" spans="1:8" ht="13.8">
      <c r="A565" s="1"/>
      <c r="D565" s="1"/>
      <c r="H565" s="1"/>
    </row>
    <row r="566" spans="1:8" ht="13.8">
      <c r="A566" s="1"/>
      <c r="D566" s="1"/>
      <c r="H566" s="1"/>
    </row>
    <row r="567" spans="1:8" ht="13.8">
      <c r="A567" s="1"/>
      <c r="D567" s="1"/>
      <c r="H567" s="1"/>
    </row>
    <row r="568" spans="1:8" ht="13.8">
      <c r="A568" s="1"/>
      <c r="D568" s="1"/>
      <c r="H568" s="1"/>
    </row>
    <row r="569" spans="1:8" ht="13.8">
      <c r="A569" s="1"/>
      <c r="D569" s="1"/>
      <c r="H569" s="1"/>
    </row>
    <row r="570" spans="1:8" ht="13.8">
      <c r="A570" s="1"/>
      <c r="D570" s="1"/>
      <c r="H570" s="1"/>
    </row>
    <row r="571" spans="1:8" ht="13.8">
      <c r="A571" s="1"/>
      <c r="D571" s="1"/>
      <c r="H571" s="1"/>
    </row>
    <row r="572" spans="1:8" ht="13.8">
      <c r="A572" s="1"/>
      <c r="D572" s="1"/>
      <c r="H572" s="1"/>
    </row>
    <row r="573" spans="1:8" ht="13.8">
      <c r="A573" s="1"/>
      <c r="D573" s="1"/>
      <c r="H573" s="1"/>
    </row>
    <row r="574" spans="1:8" ht="13.8">
      <c r="A574" s="1"/>
      <c r="D574" s="1"/>
      <c r="H574" s="1"/>
    </row>
    <row r="575" spans="1:8" ht="13.8">
      <c r="A575" s="1"/>
      <c r="D575" s="1"/>
      <c r="H575" s="1"/>
    </row>
    <row r="576" spans="1:8" ht="13.8">
      <c r="A576" s="1"/>
      <c r="D576" s="1"/>
      <c r="H576" s="1"/>
    </row>
    <row r="577" spans="1:8" ht="13.8">
      <c r="A577" s="1"/>
      <c r="D577" s="1"/>
      <c r="H577" s="1"/>
    </row>
    <row r="578" spans="1:8" ht="13.8">
      <c r="A578" s="1"/>
      <c r="D578" s="1"/>
      <c r="H578" s="1"/>
    </row>
    <row r="579" spans="1:8" ht="13.8">
      <c r="A579" s="1"/>
      <c r="D579" s="1"/>
      <c r="H579" s="1"/>
    </row>
    <row r="580" spans="1:8" ht="13.8">
      <c r="A580" s="1"/>
      <c r="D580" s="1"/>
      <c r="H580" s="1"/>
    </row>
    <row r="581" spans="1:8" ht="13.8">
      <c r="A581" s="1"/>
      <c r="D581" s="1"/>
      <c r="H581" s="1"/>
    </row>
    <row r="582" spans="1:8" ht="13.8">
      <c r="A582" s="1"/>
      <c r="D582" s="1"/>
      <c r="H582" s="1"/>
    </row>
    <row r="583" spans="1:8" ht="13.8">
      <c r="A583" s="1"/>
      <c r="D583" s="1"/>
      <c r="H583" s="1"/>
    </row>
    <row r="584" spans="1:8" ht="13.8">
      <c r="A584" s="1"/>
      <c r="D584" s="1"/>
      <c r="H584" s="1"/>
    </row>
    <row r="585" spans="1:8" ht="13.8">
      <c r="A585" s="1"/>
      <c r="D585" s="1"/>
      <c r="H585" s="1"/>
    </row>
    <row r="586" spans="1:8" ht="13.8">
      <c r="A586" s="1"/>
      <c r="D586" s="1"/>
      <c r="H586" s="1"/>
    </row>
    <row r="587" spans="1:8" ht="13.8">
      <c r="A587" s="1"/>
      <c r="D587" s="1"/>
      <c r="H587" s="1"/>
    </row>
    <row r="588" spans="1:8" ht="13.8">
      <c r="A588" s="1"/>
      <c r="D588" s="1"/>
      <c r="H588" s="1"/>
    </row>
    <row r="589" spans="1:8" ht="13.8">
      <c r="A589" s="1"/>
      <c r="D589" s="1"/>
      <c r="H589" s="1"/>
    </row>
    <row r="590" spans="1:8" ht="13.8">
      <c r="A590" s="1"/>
      <c r="D590" s="1"/>
      <c r="H590" s="1"/>
    </row>
    <row r="591" spans="1:8" ht="13.8">
      <c r="A591" s="1"/>
      <c r="D591" s="1"/>
      <c r="H591" s="1"/>
    </row>
    <row r="592" spans="1:8" ht="13.8">
      <c r="A592" s="1"/>
      <c r="D592" s="1"/>
      <c r="H592" s="1"/>
    </row>
    <row r="593" spans="1:8" ht="13.8">
      <c r="A593" s="1"/>
      <c r="D593" s="1"/>
      <c r="H593" s="1"/>
    </row>
    <row r="594" spans="1:8" ht="13.8">
      <c r="A594" s="1"/>
      <c r="D594" s="1"/>
      <c r="H594" s="1"/>
    </row>
    <row r="595" spans="1:8" ht="13.8">
      <c r="A595" s="1"/>
      <c r="D595" s="1"/>
      <c r="H595" s="1"/>
    </row>
    <row r="596" spans="1:8" ht="13.8">
      <c r="A596" s="1"/>
      <c r="D596" s="1"/>
      <c r="H596" s="1"/>
    </row>
    <row r="597" spans="1:8" ht="13.8">
      <c r="A597" s="1"/>
      <c r="D597" s="1"/>
      <c r="H597" s="1"/>
    </row>
    <row r="598" spans="1:8" ht="13.8">
      <c r="A598" s="1"/>
      <c r="D598" s="1"/>
      <c r="H598" s="1"/>
    </row>
    <row r="599" spans="1:8" ht="13.8">
      <c r="A599" s="1"/>
      <c r="D599" s="1"/>
      <c r="H599" s="1"/>
    </row>
    <row r="600" spans="1:8" ht="13.8">
      <c r="A600" s="1"/>
      <c r="D600" s="1"/>
      <c r="H600" s="1"/>
    </row>
    <row r="601" spans="1:8" ht="13.8">
      <c r="A601" s="1"/>
      <c r="D601" s="1"/>
      <c r="H601" s="1"/>
    </row>
    <row r="602" spans="1:8" ht="13.8">
      <c r="A602" s="1"/>
      <c r="D602" s="1"/>
      <c r="H602" s="1"/>
    </row>
    <row r="603" spans="1:8" ht="13.8">
      <c r="A603" s="1"/>
      <c r="D603" s="1"/>
      <c r="H603" s="1"/>
    </row>
    <row r="604" spans="1:8" ht="13.8">
      <c r="A604" s="1"/>
      <c r="D604" s="1"/>
      <c r="H604" s="1"/>
    </row>
    <row r="605" spans="1:8" ht="13.8">
      <c r="A605" s="1"/>
      <c r="D605" s="1"/>
      <c r="H605" s="1"/>
    </row>
    <row r="606" spans="1:8" ht="13.8">
      <c r="A606" s="1"/>
      <c r="D606" s="1"/>
      <c r="H606" s="1"/>
    </row>
    <row r="607" spans="1:8" ht="13.8">
      <c r="A607" s="1"/>
      <c r="D607" s="1"/>
      <c r="H607" s="1"/>
    </row>
    <row r="608" spans="1:8" ht="13.8">
      <c r="A608" s="1"/>
      <c r="D608" s="1"/>
      <c r="H608" s="1"/>
    </row>
    <row r="609" spans="1:8" ht="13.8">
      <c r="A609" s="1"/>
      <c r="D609" s="1"/>
      <c r="H609" s="1"/>
    </row>
    <row r="610" spans="1:8" ht="13.8">
      <c r="A610" s="1"/>
      <c r="D610" s="1"/>
      <c r="H610" s="1"/>
    </row>
    <row r="611" spans="1:8" ht="13.8">
      <c r="A611" s="1"/>
      <c r="D611" s="1"/>
      <c r="H611" s="1"/>
    </row>
    <row r="612" spans="1:8" ht="13.8">
      <c r="A612" s="1"/>
      <c r="D612" s="1"/>
      <c r="H612" s="1"/>
    </row>
    <row r="613" spans="1:8" ht="13.8">
      <c r="A613" s="1"/>
      <c r="D613" s="1"/>
      <c r="H613" s="1"/>
    </row>
    <row r="614" spans="1:8" ht="13.8">
      <c r="A614" s="1"/>
      <c r="D614" s="1"/>
      <c r="H614" s="1"/>
    </row>
    <row r="615" spans="1:8" ht="13.8">
      <c r="A615" s="1"/>
      <c r="D615" s="1"/>
      <c r="H615" s="1"/>
    </row>
    <row r="616" spans="1:8" ht="13.8">
      <c r="A616" s="1"/>
      <c r="D616" s="1"/>
      <c r="H616" s="1"/>
    </row>
    <row r="617" spans="1:8" ht="13.8">
      <c r="A617" s="1"/>
      <c r="D617" s="1"/>
      <c r="H617" s="1"/>
    </row>
    <row r="618" spans="1:8" ht="13.8">
      <c r="A618" s="1"/>
      <c r="D618" s="1"/>
      <c r="H618" s="1"/>
    </row>
    <row r="619" spans="1:8" ht="13.8">
      <c r="A619" s="1"/>
      <c r="D619" s="1"/>
      <c r="H619" s="1"/>
    </row>
    <row r="620" spans="1:8" ht="13.8">
      <c r="A620" s="1"/>
      <c r="D620" s="1"/>
      <c r="H620" s="1"/>
    </row>
    <row r="621" spans="1:8" ht="13.8">
      <c r="A621" s="1"/>
      <c r="D621" s="1"/>
      <c r="H621" s="1"/>
    </row>
    <row r="622" spans="1:8" ht="13.8">
      <c r="A622" s="1"/>
      <c r="D622" s="1"/>
      <c r="H622" s="1"/>
    </row>
    <row r="623" spans="1:8" ht="13.8">
      <c r="A623" s="1"/>
      <c r="D623" s="1"/>
      <c r="H623" s="1"/>
    </row>
    <row r="624" spans="1:8" ht="13.8">
      <c r="A624" s="1"/>
      <c r="D624" s="1"/>
      <c r="H624" s="1"/>
    </row>
    <row r="625" spans="1:8" ht="13.8">
      <c r="A625" s="1"/>
      <c r="D625" s="1"/>
      <c r="H625" s="1"/>
    </row>
    <row r="626" spans="1:8" ht="13.8">
      <c r="A626" s="1"/>
      <c r="D626" s="1"/>
      <c r="H626" s="1"/>
    </row>
    <row r="627" spans="1:8" ht="13.8">
      <c r="A627" s="1"/>
      <c r="D627" s="1"/>
      <c r="H627" s="1"/>
    </row>
    <row r="628" spans="1:8" ht="13.8">
      <c r="A628" s="1"/>
      <c r="D628" s="1"/>
      <c r="H628" s="1"/>
    </row>
    <row r="629" spans="1:8" ht="13.8">
      <c r="A629" s="1"/>
      <c r="D629" s="1"/>
      <c r="H629" s="1"/>
    </row>
    <row r="630" spans="1:8" ht="13.8">
      <c r="A630" s="1"/>
      <c r="D630" s="1"/>
      <c r="H630" s="1"/>
    </row>
    <row r="631" spans="1:8" ht="13.8">
      <c r="A631" s="1"/>
      <c r="D631" s="1"/>
      <c r="H631" s="1"/>
    </row>
    <row r="632" spans="1:8" ht="13.8">
      <c r="A632" s="1"/>
      <c r="D632" s="1"/>
      <c r="H632" s="1"/>
    </row>
    <row r="633" spans="1:8" ht="13.8">
      <c r="A633" s="1"/>
      <c r="D633" s="1"/>
      <c r="H633" s="1"/>
    </row>
    <row r="634" spans="1:8" ht="13.8">
      <c r="A634" s="1"/>
      <c r="D634" s="1"/>
      <c r="H634" s="1"/>
    </row>
    <row r="635" spans="1:8" ht="13.8">
      <c r="A635" s="1"/>
      <c r="D635" s="1"/>
      <c r="H635" s="1"/>
    </row>
    <row r="636" spans="1:8" ht="13.8">
      <c r="A636" s="1"/>
      <c r="D636" s="1"/>
      <c r="H636" s="1"/>
    </row>
    <row r="637" spans="1:8" ht="13.8">
      <c r="A637" s="1"/>
      <c r="D637" s="1"/>
      <c r="H637" s="1"/>
    </row>
    <row r="638" spans="1:8" ht="13.8">
      <c r="A638" s="1"/>
      <c r="D638" s="1"/>
      <c r="H638" s="1"/>
    </row>
    <row r="639" spans="1:8" ht="13.8">
      <c r="A639" s="1"/>
      <c r="D639" s="1"/>
      <c r="H639" s="1"/>
    </row>
    <row r="640" spans="1:8" ht="13.8">
      <c r="A640" s="1"/>
      <c r="D640" s="1"/>
      <c r="H640" s="1"/>
    </row>
    <row r="641" spans="1:8" ht="13.8">
      <c r="A641" s="1"/>
      <c r="D641" s="1"/>
      <c r="H641" s="1"/>
    </row>
    <row r="642" spans="1:8" ht="13.8">
      <c r="A642" s="1"/>
      <c r="D642" s="1"/>
      <c r="H642" s="1"/>
    </row>
    <row r="643" spans="1:8" ht="13.8">
      <c r="A643" s="1"/>
      <c r="D643" s="1"/>
      <c r="H643" s="1"/>
    </row>
    <row r="644" spans="1:8" ht="13.8">
      <c r="A644" s="1"/>
      <c r="D644" s="1"/>
      <c r="H644" s="1"/>
    </row>
    <row r="645" spans="1:8" ht="13.8">
      <c r="A645" s="1"/>
      <c r="D645" s="1"/>
      <c r="H645" s="1"/>
    </row>
    <row r="646" spans="1:8" ht="13.8">
      <c r="A646" s="1"/>
      <c r="D646" s="1"/>
      <c r="H646" s="1"/>
    </row>
    <row r="647" spans="1:8" ht="13.8">
      <c r="A647" s="1"/>
      <c r="D647" s="1"/>
      <c r="H647" s="1"/>
    </row>
    <row r="648" spans="1:8" ht="13.8">
      <c r="A648" s="1"/>
      <c r="D648" s="1"/>
      <c r="H648" s="1"/>
    </row>
    <row r="649" spans="1:8" ht="13.8">
      <c r="A649" s="1"/>
      <c r="D649" s="1"/>
      <c r="H649" s="1"/>
    </row>
    <row r="650" spans="1:8" ht="13.8">
      <c r="A650" s="1"/>
      <c r="D650" s="1"/>
      <c r="H650" s="1"/>
    </row>
    <row r="651" spans="1:8" ht="13.8">
      <c r="A651" s="1"/>
      <c r="D651" s="1"/>
      <c r="H651" s="1"/>
    </row>
    <row r="652" spans="1:8" ht="13.8">
      <c r="A652" s="1"/>
      <c r="D652" s="1"/>
      <c r="H652" s="1"/>
    </row>
    <row r="653" spans="1:8" ht="13.8">
      <c r="A653" s="1"/>
      <c r="D653" s="1"/>
      <c r="H653" s="1"/>
    </row>
    <row r="654" spans="1:8" ht="13.8">
      <c r="A654" s="1"/>
      <c r="D654" s="1"/>
      <c r="H654" s="1"/>
    </row>
    <row r="655" spans="1:8" ht="13.8">
      <c r="A655" s="1"/>
      <c r="D655" s="1"/>
      <c r="H655" s="1"/>
    </row>
    <row r="656" spans="1:8" ht="13.8">
      <c r="A656" s="1"/>
      <c r="D656" s="1"/>
      <c r="H656" s="1"/>
    </row>
    <row r="657" spans="1:8" ht="13.8">
      <c r="A657" s="1"/>
      <c r="D657" s="1"/>
      <c r="H657" s="1"/>
    </row>
    <row r="658" spans="1:8" ht="13.8">
      <c r="A658" s="1"/>
      <c r="D658" s="1"/>
      <c r="H658" s="1"/>
    </row>
    <row r="659" spans="1:8" ht="13.8">
      <c r="A659" s="1"/>
      <c r="D659" s="1"/>
      <c r="H659" s="1"/>
    </row>
    <row r="660" spans="1:8" ht="13.8">
      <c r="A660" s="1"/>
      <c r="D660" s="1"/>
      <c r="H660" s="1"/>
    </row>
    <row r="661" spans="1:8" ht="13.8">
      <c r="A661" s="1"/>
      <c r="D661" s="1"/>
      <c r="H661" s="1"/>
    </row>
    <row r="662" spans="1:8" ht="13.8">
      <c r="A662" s="1"/>
      <c r="D662" s="1"/>
      <c r="H662" s="1"/>
    </row>
    <row r="663" spans="1:8" ht="13.8">
      <c r="A663" s="1"/>
      <c r="D663" s="1"/>
      <c r="H663" s="1"/>
    </row>
    <row r="664" spans="1:8" ht="13.8">
      <c r="A664" s="1"/>
      <c r="D664" s="1"/>
      <c r="H664" s="1"/>
    </row>
    <row r="665" spans="1:8" ht="13.8">
      <c r="A665" s="1"/>
      <c r="D665" s="1"/>
      <c r="H665" s="1"/>
    </row>
    <row r="666" spans="1:8" ht="13.8">
      <c r="A666" s="1"/>
      <c r="D666" s="1"/>
      <c r="H666" s="1"/>
    </row>
    <row r="667" spans="1:8" ht="13.8">
      <c r="A667" s="1"/>
      <c r="D667" s="1"/>
      <c r="H667" s="1"/>
    </row>
    <row r="668" spans="1:8" ht="13.8">
      <c r="A668" s="1"/>
      <c r="D668" s="1"/>
      <c r="H668" s="1"/>
    </row>
    <row r="669" spans="1:8" ht="13.8">
      <c r="A669" s="1"/>
      <c r="D669" s="1"/>
      <c r="H669" s="1"/>
    </row>
    <row r="670" spans="1:8" ht="13.8">
      <c r="A670" s="1"/>
      <c r="D670" s="1"/>
      <c r="H670" s="1"/>
    </row>
    <row r="671" spans="1:8" ht="13.8">
      <c r="A671" s="1"/>
      <c r="D671" s="1"/>
      <c r="H671" s="1"/>
    </row>
    <row r="672" spans="1:8" ht="13.8">
      <c r="A672" s="1"/>
      <c r="D672" s="1"/>
      <c r="H672" s="1"/>
    </row>
    <row r="673" spans="1:8" ht="13.8">
      <c r="A673" s="1"/>
      <c r="D673" s="1"/>
      <c r="H673" s="1"/>
    </row>
    <row r="674" spans="1:8" ht="13.8">
      <c r="A674" s="1"/>
      <c r="D674" s="1"/>
      <c r="H674" s="1"/>
    </row>
    <row r="675" spans="1:8" ht="13.8">
      <c r="A675" s="1"/>
      <c r="D675" s="1"/>
      <c r="H675" s="1"/>
    </row>
    <row r="676" spans="1:8" ht="13.8">
      <c r="A676" s="1"/>
      <c r="D676" s="1"/>
      <c r="H676" s="1"/>
    </row>
    <row r="677" spans="1:8" ht="13.8">
      <c r="A677" s="1"/>
      <c r="D677" s="1"/>
      <c r="H677" s="1"/>
    </row>
    <row r="678" spans="1:8" ht="13.8">
      <c r="A678" s="1"/>
      <c r="D678" s="1"/>
      <c r="H678" s="1"/>
    </row>
    <row r="679" spans="1:8" ht="13.8">
      <c r="A679" s="1"/>
      <c r="D679" s="1"/>
      <c r="H679" s="1"/>
    </row>
    <row r="680" spans="1:8" ht="13.8">
      <c r="A680" s="1"/>
      <c r="D680" s="1"/>
      <c r="H680" s="1"/>
    </row>
    <row r="681" spans="1:8" ht="13.8">
      <c r="A681" s="1"/>
      <c r="D681" s="1"/>
      <c r="H681" s="1"/>
    </row>
    <row r="682" spans="1:8" ht="13.8">
      <c r="A682" s="1"/>
      <c r="D682" s="1"/>
      <c r="H682" s="1"/>
    </row>
    <row r="683" spans="1:8" ht="13.8">
      <c r="A683" s="1"/>
      <c r="D683" s="1"/>
      <c r="H683" s="1"/>
    </row>
    <row r="684" spans="1:8" ht="13.8">
      <c r="A684" s="1"/>
      <c r="D684" s="1"/>
      <c r="H684" s="1"/>
    </row>
    <row r="685" spans="1:8" ht="13.8">
      <c r="A685" s="1"/>
      <c r="D685" s="1"/>
      <c r="H685" s="1"/>
    </row>
    <row r="686" spans="1:8" ht="13.8">
      <c r="A686" s="1"/>
      <c r="D686" s="1"/>
      <c r="H686" s="1"/>
    </row>
    <row r="687" spans="1:8" ht="13.8">
      <c r="A687" s="1"/>
      <c r="D687" s="1"/>
      <c r="H687" s="1"/>
    </row>
    <row r="688" spans="1:8" ht="13.8">
      <c r="A688" s="1"/>
      <c r="D688" s="1"/>
      <c r="H688" s="1"/>
    </row>
    <row r="689" spans="1:8" ht="13.8">
      <c r="A689" s="1"/>
      <c r="D689" s="1"/>
      <c r="H689" s="1"/>
    </row>
    <row r="690" spans="1:8" ht="13.8">
      <c r="A690" s="1"/>
      <c r="D690" s="1"/>
      <c r="H690" s="1"/>
    </row>
    <row r="691" spans="1:8" ht="13.8">
      <c r="A691" s="1"/>
      <c r="D691" s="1"/>
      <c r="H691" s="1"/>
    </row>
    <row r="692" spans="1:8" ht="13.8">
      <c r="A692" s="1"/>
      <c r="D692" s="1"/>
      <c r="H692" s="1"/>
    </row>
    <row r="693" spans="1:8" ht="13.8">
      <c r="A693" s="1"/>
      <c r="D693" s="1"/>
      <c r="H693" s="1"/>
    </row>
    <row r="694" spans="1:8" ht="13.8">
      <c r="A694" s="1"/>
      <c r="D694" s="1"/>
      <c r="H694" s="1"/>
    </row>
    <row r="695" spans="1:8" ht="13.8">
      <c r="A695" s="1"/>
      <c r="D695" s="1"/>
      <c r="H695" s="1"/>
    </row>
    <row r="696" spans="1:8" ht="13.8">
      <c r="A696" s="1"/>
      <c r="D696" s="1"/>
      <c r="H696" s="1"/>
    </row>
    <row r="697" spans="1:8" ht="13.8">
      <c r="A697" s="1"/>
      <c r="D697" s="1"/>
      <c r="H697" s="1"/>
    </row>
    <row r="698" spans="1:8" ht="13.8">
      <c r="A698" s="1"/>
      <c r="D698" s="1"/>
      <c r="H698" s="1"/>
    </row>
    <row r="699" spans="1:8" ht="13.8">
      <c r="A699" s="1"/>
      <c r="D699" s="1"/>
      <c r="H699" s="1"/>
    </row>
    <row r="700" spans="1:8" ht="13.8">
      <c r="A700" s="1"/>
      <c r="D700" s="1"/>
      <c r="H700" s="1"/>
    </row>
    <row r="701" spans="1:8" ht="13.8">
      <c r="A701" s="1"/>
      <c r="D701" s="1"/>
      <c r="H701" s="1"/>
    </row>
    <row r="702" spans="1:8" ht="13.8">
      <c r="A702" s="1"/>
      <c r="D702" s="1"/>
      <c r="H702" s="1"/>
    </row>
    <row r="703" spans="1:8" ht="13.8">
      <c r="A703" s="1"/>
      <c r="D703" s="1"/>
      <c r="H703" s="1"/>
    </row>
    <row r="704" spans="1:8" ht="13.8">
      <c r="A704" s="1"/>
      <c r="D704" s="1"/>
      <c r="H704" s="1"/>
    </row>
    <row r="705" spans="1:8" ht="13.8">
      <c r="A705" s="1"/>
      <c r="D705" s="1"/>
      <c r="H705" s="1"/>
    </row>
    <row r="706" spans="1:8" ht="13.8">
      <c r="A706" s="1"/>
      <c r="D706" s="1"/>
      <c r="H706" s="1"/>
    </row>
    <row r="707" spans="1:8" ht="13.8">
      <c r="A707" s="1"/>
      <c r="D707" s="1"/>
      <c r="H707" s="1"/>
    </row>
    <row r="708" spans="1:8" ht="13.8">
      <c r="A708" s="1"/>
      <c r="D708" s="1"/>
      <c r="H708" s="1"/>
    </row>
    <row r="709" spans="1:8" ht="13.8">
      <c r="A709" s="1"/>
      <c r="D709" s="1"/>
      <c r="H709" s="1"/>
    </row>
    <row r="710" spans="1:8" ht="13.8">
      <c r="A710" s="1"/>
      <c r="D710" s="1"/>
      <c r="H710" s="1"/>
    </row>
    <row r="711" spans="1:8" ht="13.8">
      <c r="A711" s="1"/>
      <c r="D711" s="1"/>
      <c r="H711" s="1"/>
    </row>
    <row r="712" spans="1:8" ht="13.8">
      <c r="A712" s="1"/>
      <c r="D712" s="1"/>
      <c r="H712" s="1"/>
    </row>
    <row r="713" spans="1:8" ht="13.8">
      <c r="A713" s="1"/>
      <c r="D713" s="1"/>
      <c r="H713" s="1"/>
    </row>
    <row r="714" spans="1:8" ht="13.8">
      <c r="A714" s="1"/>
      <c r="D714" s="1"/>
      <c r="H714" s="1"/>
    </row>
    <row r="715" spans="1:8" ht="13.8">
      <c r="A715" s="1"/>
      <c r="D715" s="1"/>
      <c r="H715" s="1"/>
    </row>
    <row r="716" spans="1:8" ht="13.8">
      <c r="A716" s="1"/>
      <c r="D716" s="1"/>
      <c r="H716" s="1"/>
    </row>
    <row r="717" spans="1:8" ht="13.8">
      <c r="A717" s="1"/>
      <c r="D717" s="1"/>
      <c r="H717" s="1"/>
    </row>
    <row r="718" spans="1:8" ht="13.8">
      <c r="A718" s="1"/>
      <c r="D718" s="1"/>
      <c r="H718" s="1"/>
    </row>
    <row r="719" spans="1:8" ht="13.8">
      <c r="A719" s="1"/>
      <c r="D719" s="1"/>
      <c r="H719" s="1"/>
    </row>
    <row r="720" spans="1:8" ht="13.8">
      <c r="A720" s="1"/>
      <c r="D720" s="1"/>
      <c r="H720" s="1"/>
    </row>
    <row r="721" spans="1:8" ht="13.8">
      <c r="A721" s="1"/>
      <c r="D721" s="1"/>
      <c r="H721" s="1"/>
    </row>
    <row r="722" spans="1:8" ht="13.8">
      <c r="A722" s="1"/>
      <c r="D722" s="1"/>
      <c r="H722" s="1"/>
    </row>
    <row r="723" spans="1:8" ht="13.8">
      <c r="A723" s="1"/>
      <c r="D723" s="1"/>
      <c r="H723" s="1"/>
    </row>
    <row r="724" spans="1:8" ht="13.8">
      <c r="A724" s="1"/>
      <c r="D724" s="1"/>
      <c r="H724" s="1"/>
    </row>
    <row r="725" spans="1:8" ht="13.8">
      <c r="A725" s="1"/>
      <c r="D725" s="1"/>
      <c r="H725" s="1"/>
    </row>
    <row r="726" spans="1:8" ht="13.8">
      <c r="A726" s="1"/>
      <c r="D726" s="1"/>
      <c r="H726" s="1"/>
    </row>
    <row r="727" spans="1:8" ht="13.8">
      <c r="A727" s="1"/>
      <c r="D727" s="1"/>
      <c r="H727" s="1"/>
    </row>
    <row r="728" spans="1:8" ht="13.8">
      <c r="A728" s="1"/>
      <c r="D728" s="1"/>
      <c r="H728" s="1"/>
    </row>
    <row r="729" spans="1:8" ht="13.8">
      <c r="A729" s="1"/>
      <c r="D729" s="1"/>
      <c r="H729" s="1"/>
    </row>
    <row r="730" spans="1:8" ht="13.8">
      <c r="A730" s="1"/>
      <c r="D730" s="1"/>
      <c r="H730" s="1"/>
    </row>
    <row r="731" spans="1:8" ht="13.8">
      <c r="A731" s="1"/>
      <c r="D731" s="1"/>
      <c r="H731" s="1"/>
    </row>
    <row r="732" spans="1:8" ht="13.8">
      <c r="A732" s="1"/>
      <c r="D732" s="1"/>
      <c r="H732" s="1"/>
    </row>
    <row r="733" spans="1:8" ht="13.8">
      <c r="A733" s="1"/>
      <c r="D733" s="1"/>
      <c r="H733" s="1"/>
    </row>
    <row r="734" spans="1:8" ht="13.8">
      <c r="A734" s="1"/>
      <c r="D734" s="1"/>
      <c r="H734" s="1"/>
    </row>
    <row r="735" spans="1:8" ht="13.8">
      <c r="A735" s="1"/>
      <c r="D735" s="1"/>
      <c r="H735" s="1"/>
    </row>
    <row r="736" spans="1:8" ht="13.8">
      <c r="A736" s="1"/>
      <c r="D736" s="1"/>
      <c r="H736" s="1"/>
    </row>
    <row r="737" spans="1:8" ht="13.8">
      <c r="A737" s="1"/>
      <c r="D737" s="1"/>
      <c r="H737" s="1"/>
    </row>
    <row r="738" spans="1:8" ht="13.8">
      <c r="A738" s="1"/>
      <c r="D738" s="1"/>
      <c r="H738" s="1"/>
    </row>
    <row r="739" spans="1:8" ht="13.8">
      <c r="A739" s="1"/>
      <c r="D739" s="1"/>
      <c r="H739" s="1"/>
    </row>
    <row r="740" spans="1:8" ht="13.8">
      <c r="A740" s="1"/>
      <c r="D740" s="1"/>
      <c r="H740" s="1"/>
    </row>
    <row r="741" spans="1:8" ht="13.8">
      <c r="A741" s="1"/>
      <c r="D741" s="1"/>
      <c r="H741" s="1"/>
    </row>
    <row r="742" spans="1:8" ht="13.8">
      <c r="A742" s="1"/>
      <c r="D742" s="1"/>
      <c r="H742" s="1"/>
    </row>
    <row r="743" spans="1:8" ht="13.8">
      <c r="A743" s="1"/>
      <c r="D743" s="1"/>
      <c r="H743" s="1"/>
    </row>
    <row r="744" spans="1:8" ht="13.8">
      <c r="A744" s="1"/>
      <c r="D744" s="1"/>
      <c r="H744" s="1"/>
    </row>
    <row r="745" spans="1:8" ht="13.8">
      <c r="A745" s="1"/>
      <c r="D745" s="1"/>
      <c r="H745" s="1"/>
    </row>
    <row r="746" spans="1:8" ht="13.8">
      <c r="A746" s="1"/>
      <c r="D746" s="1"/>
      <c r="H746" s="1"/>
    </row>
    <row r="747" spans="1:8" ht="13.8">
      <c r="A747" s="1"/>
      <c r="D747" s="1"/>
      <c r="H747" s="1"/>
    </row>
    <row r="748" spans="1:8" ht="13.8">
      <c r="A748" s="1"/>
      <c r="D748" s="1"/>
      <c r="H748" s="1"/>
    </row>
    <row r="749" spans="1:8" ht="13.8">
      <c r="A749" s="1"/>
      <c r="D749" s="1"/>
      <c r="H749" s="1"/>
    </row>
    <row r="750" spans="1:8" ht="13.8">
      <c r="A750" s="1"/>
      <c r="D750" s="1"/>
      <c r="H750" s="1"/>
    </row>
    <row r="751" spans="1:8" ht="13.8">
      <c r="A751" s="1"/>
      <c r="D751" s="1"/>
      <c r="H751" s="1"/>
    </row>
    <row r="752" spans="1:8" ht="13.8">
      <c r="A752" s="1"/>
      <c r="D752" s="1"/>
      <c r="H752" s="1"/>
    </row>
    <row r="753" spans="1:8" ht="13.8">
      <c r="A753" s="1"/>
      <c r="D753" s="1"/>
      <c r="H753" s="1"/>
    </row>
    <row r="754" spans="1:8" ht="13.8">
      <c r="A754" s="1"/>
      <c r="D754" s="1"/>
      <c r="H754" s="1"/>
    </row>
    <row r="755" spans="1:8" ht="13.8">
      <c r="A755" s="1"/>
      <c r="D755" s="1"/>
      <c r="H755" s="1"/>
    </row>
    <row r="756" spans="1:8" ht="13.8">
      <c r="A756" s="1"/>
      <c r="D756" s="1"/>
      <c r="H756" s="1"/>
    </row>
    <row r="757" spans="1:8" ht="13.8">
      <c r="A757" s="1"/>
      <c r="D757" s="1"/>
      <c r="H757" s="1"/>
    </row>
    <row r="758" spans="1:8" ht="13.8">
      <c r="A758" s="1"/>
      <c r="D758" s="1"/>
      <c r="H758" s="1"/>
    </row>
    <row r="759" spans="1:8" ht="13.8">
      <c r="A759" s="1"/>
      <c r="D759" s="1"/>
      <c r="H759" s="1"/>
    </row>
    <row r="760" spans="1:8" ht="13.8">
      <c r="A760" s="1"/>
      <c r="D760" s="1"/>
      <c r="H760" s="1"/>
    </row>
    <row r="761" spans="1:8" ht="13.8">
      <c r="A761" s="1"/>
      <c r="D761" s="1"/>
      <c r="H761" s="1"/>
    </row>
    <row r="762" spans="1:8" ht="13.8">
      <c r="A762" s="1"/>
      <c r="D762" s="1"/>
      <c r="H762" s="1"/>
    </row>
    <row r="763" spans="1:8" ht="13.8">
      <c r="A763" s="1"/>
      <c r="D763" s="1"/>
      <c r="H763" s="1"/>
    </row>
    <row r="764" spans="1:8" ht="13.8">
      <c r="A764" s="1"/>
      <c r="D764" s="1"/>
      <c r="H764" s="1"/>
    </row>
    <row r="765" spans="1:8" ht="13.8">
      <c r="A765" s="1"/>
      <c r="D765" s="1"/>
      <c r="H765" s="1"/>
    </row>
    <row r="766" spans="1:8" ht="13.8">
      <c r="A766" s="1"/>
      <c r="D766" s="1"/>
      <c r="H766" s="1"/>
    </row>
    <row r="767" spans="1:8" ht="13.8">
      <c r="A767" s="1"/>
      <c r="D767" s="1"/>
      <c r="H767" s="1"/>
    </row>
    <row r="768" spans="1:8" ht="13.8">
      <c r="A768" s="1"/>
      <c r="D768" s="1"/>
      <c r="H768" s="1"/>
    </row>
    <row r="769" spans="1:8" ht="13.8">
      <c r="A769" s="1"/>
      <c r="D769" s="1"/>
      <c r="H769" s="1"/>
    </row>
    <row r="770" spans="1:8" ht="13.8">
      <c r="A770" s="1"/>
      <c r="D770" s="1"/>
      <c r="H770" s="1"/>
    </row>
    <row r="771" spans="1:8" ht="13.8">
      <c r="A771" s="1"/>
      <c r="D771" s="1"/>
      <c r="H771" s="1"/>
    </row>
    <row r="772" spans="1:8" ht="13.8">
      <c r="A772" s="1"/>
      <c r="D772" s="1"/>
      <c r="H772" s="1"/>
    </row>
    <row r="773" spans="1:8" ht="13.8">
      <c r="A773" s="1"/>
      <c r="D773" s="1"/>
      <c r="H773" s="1"/>
    </row>
    <row r="774" spans="1:8" ht="13.8">
      <c r="A774" s="1"/>
      <c r="D774" s="1"/>
      <c r="H774" s="1"/>
    </row>
    <row r="775" spans="1:8" ht="13.8">
      <c r="A775" s="1"/>
      <c r="D775" s="1"/>
      <c r="H775" s="1"/>
    </row>
    <row r="776" spans="1:8" ht="13.8">
      <c r="A776" s="1"/>
      <c r="D776" s="1"/>
      <c r="H776" s="1"/>
    </row>
    <row r="777" spans="1:8" ht="13.8">
      <c r="A777" s="1"/>
      <c r="D777" s="1"/>
      <c r="H777" s="1"/>
    </row>
    <row r="778" spans="1:8" ht="13.8">
      <c r="A778" s="1"/>
      <c r="D778" s="1"/>
      <c r="H778" s="1"/>
    </row>
    <row r="779" spans="1:8" ht="13.8">
      <c r="A779" s="1"/>
      <c r="D779" s="1"/>
      <c r="H779" s="1"/>
    </row>
    <row r="780" spans="1:8" ht="13.8">
      <c r="A780" s="1"/>
      <c r="D780" s="1"/>
      <c r="H780" s="1"/>
    </row>
    <row r="781" spans="1:8" ht="13.8">
      <c r="A781" s="1"/>
      <c r="D781" s="1"/>
      <c r="H781" s="1"/>
    </row>
    <row r="782" spans="1:8" ht="13.8">
      <c r="A782" s="1"/>
      <c r="D782" s="1"/>
      <c r="H782" s="1"/>
    </row>
    <row r="783" spans="1:8" ht="13.8">
      <c r="A783" s="1"/>
      <c r="D783" s="1"/>
      <c r="H783" s="1"/>
    </row>
    <row r="784" spans="1:8" ht="13.8">
      <c r="A784" s="1"/>
      <c r="D784" s="1"/>
      <c r="H784" s="1"/>
    </row>
    <row r="785" spans="1:8" ht="13.8">
      <c r="A785" s="1"/>
      <c r="D785" s="1"/>
      <c r="H785" s="1"/>
    </row>
    <row r="786" spans="1:8" ht="13.8">
      <c r="A786" s="1"/>
      <c r="D786" s="1"/>
      <c r="H786" s="1"/>
    </row>
    <row r="787" spans="1:8" ht="13.8">
      <c r="A787" s="1"/>
      <c r="D787" s="1"/>
      <c r="H787" s="1"/>
    </row>
    <row r="788" spans="1:8" ht="13.8">
      <c r="A788" s="1"/>
      <c r="D788" s="1"/>
      <c r="H788" s="1"/>
    </row>
    <row r="789" spans="1:8" ht="13.8">
      <c r="A789" s="1"/>
      <c r="D789" s="1"/>
      <c r="H789" s="1"/>
    </row>
    <row r="790" spans="1:8" ht="13.8">
      <c r="A790" s="1"/>
      <c r="D790" s="1"/>
      <c r="H790" s="1"/>
    </row>
    <row r="791" spans="1:8" ht="13.8">
      <c r="A791" s="1"/>
      <c r="D791" s="1"/>
      <c r="H791" s="1"/>
    </row>
    <row r="792" spans="1:8" ht="13.8">
      <c r="A792" s="1"/>
      <c r="D792" s="1"/>
      <c r="H792" s="1"/>
    </row>
    <row r="793" spans="1:8" ht="13.8">
      <c r="A793" s="1"/>
      <c r="D793" s="1"/>
      <c r="H793" s="1"/>
    </row>
    <row r="794" spans="1:8" ht="13.8">
      <c r="A794" s="1"/>
      <c r="D794" s="1"/>
      <c r="H794" s="1"/>
    </row>
    <row r="795" spans="1:8" ht="13.8">
      <c r="A795" s="1"/>
      <c r="D795" s="1"/>
      <c r="H795" s="1"/>
    </row>
    <row r="796" spans="1:8" ht="13.8">
      <c r="A796" s="1"/>
      <c r="D796" s="1"/>
      <c r="H796" s="1"/>
    </row>
    <row r="797" spans="1:8" ht="13.8">
      <c r="A797" s="1"/>
      <c r="D797" s="1"/>
      <c r="H797" s="1"/>
    </row>
    <row r="798" spans="1:8" ht="13.8">
      <c r="A798" s="1"/>
      <c r="D798" s="1"/>
      <c r="H798" s="1"/>
    </row>
    <row r="799" spans="1:8" ht="13.8">
      <c r="A799" s="1"/>
      <c r="D799" s="1"/>
      <c r="H799" s="1"/>
    </row>
    <row r="800" spans="1:8" ht="13.8">
      <c r="A800" s="1"/>
      <c r="D800" s="1"/>
      <c r="H800" s="1"/>
    </row>
    <row r="801" spans="1:8" ht="13.8">
      <c r="A801" s="1"/>
      <c r="D801" s="1"/>
      <c r="H801" s="1"/>
    </row>
    <row r="802" spans="1:8" ht="13.8">
      <c r="A802" s="1"/>
      <c r="D802" s="1"/>
      <c r="H802" s="1"/>
    </row>
    <row r="803" spans="1:8" ht="13.8">
      <c r="A803" s="1"/>
      <c r="D803" s="1"/>
      <c r="H803" s="1"/>
    </row>
    <row r="804" spans="1:8" ht="13.8">
      <c r="A804" s="1"/>
      <c r="D804" s="1"/>
      <c r="H804" s="1"/>
    </row>
    <row r="805" spans="1:8" ht="13.8">
      <c r="A805" s="1"/>
      <c r="D805" s="1"/>
      <c r="H805" s="1"/>
    </row>
    <row r="806" spans="1:8" ht="13.8">
      <c r="A806" s="1"/>
      <c r="D806" s="1"/>
      <c r="H806" s="1"/>
    </row>
    <row r="807" spans="1:8" ht="13.8">
      <c r="A807" s="1"/>
      <c r="D807" s="1"/>
      <c r="H807" s="1"/>
    </row>
    <row r="808" spans="1:8" ht="13.8">
      <c r="A808" s="1"/>
      <c r="D808" s="1"/>
      <c r="H808" s="1"/>
    </row>
    <row r="809" spans="1:8" ht="13.8">
      <c r="A809" s="1"/>
      <c r="D809" s="1"/>
      <c r="H809" s="1"/>
    </row>
    <row r="810" spans="1:8" ht="13.8">
      <c r="A810" s="1"/>
      <c r="D810" s="1"/>
      <c r="H810" s="1"/>
    </row>
    <row r="811" spans="1:8" ht="13.8">
      <c r="A811" s="1"/>
      <c r="D811" s="1"/>
      <c r="H811" s="1"/>
    </row>
    <row r="812" spans="1:8" ht="13.8">
      <c r="A812" s="1"/>
      <c r="D812" s="1"/>
      <c r="H812" s="1"/>
    </row>
    <row r="813" spans="1:8" ht="13.8">
      <c r="A813" s="1"/>
      <c r="D813" s="1"/>
      <c r="H813" s="1"/>
    </row>
    <row r="814" spans="1:8" ht="13.8">
      <c r="A814" s="1"/>
      <c r="D814" s="1"/>
      <c r="H814" s="1"/>
    </row>
    <row r="815" spans="1:8" ht="13.8">
      <c r="A815" s="1"/>
      <c r="D815" s="1"/>
      <c r="H815" s="1"/>
    </row>
    <row r="816" spans="1:8" ht="13.8">
      <c r="A816" s="1"/>
      <c r="D816" s="1"/>
      <c r="H816" s="1"/>
    </row>
    <row r="817" spans="1:8" ht="13.8">
      <c r="A817" s="1"/>
      <c r="D817" s="1"/>
      <c r="H817" s="1"/>
    </row>
    <row r="818" spans="1:8" ht="13.8">
      <c r="A818" s="1"/>
      <c r="D818" s="1"/>
      <c r="H818" s="1"/>
    </row>
    <row r="819" spans="1:8" ht="13.8">
      <c r="A819" s="1"/>
      <c r="D819" s="1"/>
      <c r="H819" s="1"/>
    </row>
    <row r="820" spans="1:8" ht="13.8">
      <c r="A820" s="1"/>
      <c r="D820" s="1"/>
      <c r="H820" s="1"/>
    </row>
    <row r="821" spans="1:8" ht="13.8">
      <c r="A821" s="1"/>
      <c r="D821" s="1"/>
      <c r="H821" s="1"/>
    </row>
    <row r="822" spans="1:8" ht="13.8">
      <c r="A822" s="1"/>
      <c r="D822" s="1"/>
      <c r="H822" s="1"/>
    </row>
    <row r="823" spans="1:8" ht="13.8">
      <c r="A823" s="1"/>
      <c r="D823" s="1"/>
      <c r="H823" s="1"/>
    </row>
    <row r="824" spans="1:8" ht="13.8">
      <c r="A824" s="1"/>
      <c r="D824" s="1"/>
      <c r="H824" s="1"/>
    </row>
    <row r="825" spans="1:8" ht="13.8">
      <c r="A825" s="1"/>
      <c r="D825" s="1"/>
      <c r="H825" s="1"/>
    </row>
    <row r="826" spans="1:8" ht="13.8">
      <c r="A826" s="1"/>
      <c r="D826" s="1"/>
      <c r="H826" s="1"/>
    </row>
    <row r="827" spans="1:8" ht="13.8">
      <c r="A827" s="1"/>
      <c r="D827" s="1"/>
      <c r="H827" s="1"/>
    </row>
    <row r="828" spans="1:8" ht="13.8">
      <c r="A828" s="1"/>
      <c r="D828" s="1"/>
      <c r="H828" s="1"/>
    </row>
    <row r="829" spans="1:8" ht="13.8">
      <c r="A829" s="1"/>
      <c r="D829" s="1"/>
      <c r="H829" s="1"/>
    </row>
    <row r="830" spans="1:8" ht="13.8">
      <c r="A830" s="1"/>
      <c r="D830" s="1"/>
      <c r="H830" s="1"/>
    </row>
    <row r="831" spans="1:8" ht="13.8">
      <c r="A831" s="1"/>
      <c r="D831" s="1"/>
      <c r="H831" s="1"/>
    </row>
    <row r="832" spans="1:8" ht="13.8">
      <c r="A832" s="1"/>
      <c r="D832" s="1"/>
      <c r="H832" s="1"/>
    </row>
    <row r="833" spans="1:8" ht="13.8">
      <c r="A833" s="1"/>
      <c r="D833" s="1"/>
      <c r="H833" s="1"/>
    </row>
    <row r="834" spans="1:8" ht="13.8">
      <c r="A834" s="1"/>
      <c r="D834" s="1"/>
      <c r="H834" s="1"/>
    </row>
    <row r="835" spans="1:8" ht="13.8">
      <c r="A835" s="1"/>
      <c r="D835" s="1"/>
      <c r="H835" s="1"/>
    </row>
    <row r="836" spans="1:8" ht="13.8">
      <c r="A836" s="1"/>
      <c r="D836" s="1"/>
      <c r="H836" s="1"/>
    </row>
    <row r="837" spans="1:8" ht="13.8">
      <c r="A837" s="1"/>
      <c r="D837" s="1"/>
      <c r="H837" s="1"/>
    </row>
    <row r="838" spans="1:8" ht="13.8">
      <c r="A838" s="1"/>
      <c r="D838" s="1"/>
      <c r="H838" s="1"/>
    </row>
    <row r="839" spans="1:8" ht="13.8">
      <c r="A839" s="1"/>
      <c r="D839" s="1"/>
      <c r="H839" s="1"/>
    </row>
    <row r="840" spans="1:8" ht="13.8">
      <c r="A840" s="1"/>
      <c r="D840" s="1"/>
      <c r="H840" s="1"/>
    </row>
    <row r="841" spans="1:8" ht="13.8">
      <c r="A841" s="1"/>
      <c r="D841" s="1"/>
      <c r="H841" s="1"/>
    </row>
    <row r="842" spans="1:8" ht="13.8">
      <c r="A842" s="1"/>
      <c r="D842" s="1"/>
      <c r="H842" s="1"/>
    </row>
    <row r="843" spans="1:8" ht="13.8">
      <c r="A843" s="1"/>
      <c r="D843" s="1"/>
      <c r="H843" s="1"/>
    </row>
    <row r="844" spans="1:8" ht="13.8">
      <c r="A844" s="1"/>
      <c r="D844" s="1"/>
      <c r="H844" s="1"/>
    </row>
    <row r="845" spans="1:8" ht="13.8">
      <c r="A845" s="1"/>
      <c r="D845" s="1"/>
      <c r="H845" s="1"/>
    </row>
    <row r="846" spans="1:8" ht="13.8">
      <c r="A846" s="1"/>
      <c r="D846" s="1"/>
      <c r="H846" s="1"/>
    </row>
    <row r="847" spans="1:8" ht="13.8">
      <c r="A847" s="1"/>
      <c r="D847" s="1"/>
      <c r="H847" s="1"/>
    </row>
    <row r="848" spans="1:8" ht="13.8">
      <c r="A848" s="1"/>
      <c r="D848" s="1"/>
      <c r="H848" s="1"/>
    </row>
    <row r="849" spans="1:8" ht="13.8">
      <c r="A849" s="1"/>
      <c r="D849" s="1"/>
      <c r="H849" s="1"/>
    </row>
    <row r="850" spans="1:8" ht="13.8">
      <c r="A850" s="1"/>
      <c r="D850" s="1"/>
      <c r="H850" s="1"/>
    </row>
    <row r="851" spans="1:8" ht="13.8">
      <c r="A851" s="1"/>
      <c r="D851" s="1"/>
      <c r="H851" s="1"/>
    </row>
    <row r="852" spans="1:8" ht="13.8">
      <c r="A852" s="1"/>
      <c r="D852" s="1"/>
      <c r="H852" s="1"/>
    </row>
    <row r="853" spans="1:8" ht="13.8">
      <c r="A853" s="1"/>
      <c r="D853" s="1"/>
      <c r="H853" s="1"/>
    </row>
    <row r="854" spans="1:8" ht="13.8">
      <c r="A854" s="1"/>
      <c r="D854" s="1"/>
      <c r="H854" s="1"/>
    </row>
    <row r="855" spans="1:8" ht="13.8">
      <c r="A855" s="1"/>
      <c r="D855" s="1"/>
      <c r="H855" s="1"/>
    </row>
    <row r="856" spans="1:8" ht="13.8">
      <c r="A856" s="1"/>
      <c r="D856" s="1"/>
      <c r="H856" s="1"/>
    </row>
    <row r="857" spans="1:8" ht="13.8">
      <c r="A857" s="1"/>
      <c r="D857" s="1"/>
      <c r="H857" s="1"/>
    </row>
    <row r="858" spans="1:8" ht="13.8">
      <c r="A858" s="1"/>
      <c r="D858" s="1"/>
      <c r="H858" s="1"/>
    </row>
    <row r="859" spans="1:8" ht="13.8">
      <c r="A859" s="1"/>
      <c r="D859" s="1"/>
      <c r="H859" s="1"/>
    </row>
    <row r="860" spans="1:8" ht="13.8">
      <c r="A860" s="1"/>
      <c r="D860" s="1"/>
      <c r="H860" s="1"/>
    </row>
    <row r="861" spans="1:8" ht="13.8">
      <c r="A861" s="1"/>
      <c r="D861" s="1"/>
      <c r="H861" s="1"/>
    </row>
    <row r="862" spans="1:8" ht="13.8">
      <c r="A862" s="1"/>
      <c r="D862" s="1"/>
      <c r="H862" s="1"/>
    </row>
    <row r="863" spans="1:8" ht="13.8">
      <c r="A863" s="1"/>
      <c r="D863" s="1"/>
      <c r="H863" s="1"/>
    </row>
    <row r="864" spans="1:8" ht="13.8">
      <c r="A864" s="1"/>
      <c r="D864" s="1"/>
      <c r="H864" s="1"/>
    </row>
    <row r="865" spans="1:8" ht="13.8">
      <c r="A865" s="1"/>
      <c r="D865" s="1"/>
      <c r="H865" s="1"/>
    </row>
    <row r="866" spans="1:8" ht="13.8">
      <c r="A866" s="1"/>
      <c r="D866" s="1"/>
      <c r="H866" s="1"/>
    </row>
    <row r="867" spans="1:8" ht="13.8">
      <c r="A867" s="1"/>
      <c r="D867" s="1"/>
      <c r="H867" s="1"/>
    </row>
    <row r="868" spans="1:8" ht="13.8">
      <c r="A868" s="1"/>
      <c r="D868" s="1"/>
      <c r="H868" s="1"/>
    </row>
    <row r="869" spans="1:8" ht="13.8">
      <c r="A869" s="1"/>
      <c r="D869" s="1"/>
      <c r="H869" s="1"/>
    </row>
    <row r="870" spans="1:8" ht="13.8">
      <c r="A870" s="1"/>
      <c r="D870" s="1"/>
      <c r="H870" s="1"/>
    </row>
    <row r="871" spans="1:8" ht="13.8">
      <c r="A871" s="1"/>
      <c r="D871" s="1"/>
      <c r="H871" s="1"/>
    </row>
    <row r="872" spans="1:8" ht="13.8">
      <c r="A872" s="1"/>
      <c r="D872" s="1"/>
      <c r="H872" s="1"/>
    </row>
    <row r="873" spans="1:8" ht="13.8">
      <c r="A873" s="1"/>
      <c r="D873" s="1"/>
      <c r="H873" s="1"/>
    </row>
    <row r="874" spans="1:8" ht="13.8">
      <c r="A874" s="1"/>
      <c r="D874" s="1"/>
      <c r="H874" s="1"/>
    </row>
    <row r="875" spans="1:8" ht="13.8">
      <c r="A875" s="1"/>
      <c r="D875" s="1"/>
      <c r="H875" s="1"/>
    </row>
    <row r="876" spans="1:8" ht="13.8">
      <c r="A876" s="1"/>
      <c r="D876" s="1"/>
      <c r="H876" s="1"/>
    </row>
    <row r="877" spans="1:8" ht="13.8">
      <c r="A877" s="1"/>
      <c r="D877" s="1"/>
      <c r="H877" s="1"/>
    </row>
    <row r="878" spans="1:8" ht="13.8">
      <c r="A878" s="1"/>
      <c r="D878" s="1"/>
      <c r="H878" s="1"/>
    </row>
    <row r="879" spans="1:8" ht="13.8">
      <c r="A879" s="1"/>
      <c r="D879" s="1"/>
      <c r="H879" s="1"/>
    </row>
    <row r="880" spans="1:8" ht="13.8">
      <c r="A880" s="1"/>
      <c r="D880" s="1"/>
      <c r="H880" s="1"/>
    </row>
    <row r="881" spans="1:8" ht="13.8">
      <c r="A881" s="1"/>
      <c r="D881" s="1"/>
      <c r="H881" s="1"/>
    </row>
    <row r="882" spans="1:8" ht="13.8">
      <c r="A882" s="1"/>
      <c r="D882" s="1"/>
      <c r="H882" s="1"/>
    </row>
    <row r="883" spans="1:8" ht="13.8">
      <c r="A883" s="1"/>
      <c r="D883" s="1"/>
      <c r="H883" s="1"/>
    </row>
    <row r="884" spans="1:8" ht="13.8">
      <c r="A884" s="1"/>
      <c r="D884" s="1"/>
      <c r="H884" s="1"/>
    </row>
    <row r="885" spans="1:8" ht="13.8">
      <c r="A885" s="1"/>
      <c r="D885" s="1"/>
      <c r="H885" s="1"/>
    </row>
    <row r="886" spans="1:8" ht="13.8">
      <c r="A886" s="1"/>
      <c r="D886" s="1"/>
      <c r="H886" s="1"/>
    </row>
    <row r="887" spans="1:8" ht="13.8">
      <c r="A887" s="1"/>
      <c r="D887" s="1"/>
      <c r="H887" s="1"/>
    </row>
    <row r="888" spans="1:8" ht="13.8">
      <c r="A888" s="1"/>
      <c r="D888" s="1"/>
      <c r="H888" s="1"/>
    </row>
    <row r="889" spans="1:8" ht="13.8">
      <c r="A889" s="1"/>
      <c r="D889" s="1"/>
      <c r="H889" s="1"/>
    </row>
    <row r="890" spans="1:8" ht="13.8">
      <c r="A890" s="1"/>
      <c r="D890" s="1"/>
      <c r="H890" s="1"/>
    </row>
    <row r="891" spans="1:8" ht="13.8">
      <c r="A891" s="1"/>
      <c r="D891" s="1"/>
      <c r="H891" s="1"/>
    </row>
    <row r="892" spans="1:8" ht="13.8">
      <c r="A892" s="1"/>
      <c r="D892" s="1"/>
      <c r="H892" s="1"/>
    </row>
    <row r="893" spans="1:8" ht="13.8">
      <c r="A893" s="1"/>
      <c r="D893" s="1"/>
      <c r="H893" s="1"/>
    </row>
    <row r="894" spans="1:8" ht="13.8">
      <c r="A894" s="1"/>
      <c r="D894" s="1"/>
      <c r="H894" s="1"/>
    </row>
    <row r="895" spans="1:8" ht="13.8">
      <c r="A895" s="1"/>
      <c r="D895" s="1"/>
      <c r="H895" s="1"/>
    </row>
    <row r="896" spans="1:8" ht="13.8">
      <c r="A896" s="1"/>
      <c r="D896" s="1"/>
      <c r="H896" s="1"/>
    </row>
    <row r="897" spans="1:8" ht="13.8">
      <c r="A897" s="1"/>
      <c r="D897" s="1"/>
      <c r="H897" s="1"/>
    </row>
    <row r="898" spans="1:8" ht="13.8">
      <c r="A898" s="1"/>
      <c r="D898" s="1"/>
      <c r="H898" s="1"/>
    </row>
    <row r="899" spans="1:8" ht="13.8">
      <c r="A899" s="1"/>
      <c r="D899" s="1"/>
      <c r="H899" s="1"/>
    </row>
    <row r="900" spans="1:8" ht="13.8">
      <c r="A900" s="1"/>
      <c r="D900" s="1"/>
      <c r="H900" s="1"/>
    </row>
    <row r="901" spans="1:8" ht="13.8">
      <c r="A901" s="1"/>
      <c r="D901" s="1"/>
      <c r="H901" s="1"/>
    </row>
    <row r="902" spans="1:8" ht="13.8">
      <c r="A902" s="1"/>
      <c r="D902" s="1"/>
      <c r="H902" s="1"/>
    </row>
    <row r="903" spans="1:8" ht="13.8">
      <c r="A903" s="1"/>
      <c r="D903" s="1"/>
      <c r="H903" s="1"/>
    </row>
    <row r="904" spans="1:8" ht="13.8">
      <c r="A904" s="1"/>
      <c r="D904" s="1"/>
      <c r="H904" s="1"/>
    </row>
    <row r="905" spans="1:8" ht="13.8">
      <c r="A905" s="1"/>
      <c r="D905" s="1"/>
      <c r="H905" s="1"/>
    </row>
    <row r="906" spans="1:8" ht="13.8">
      <c r="A906" s="1"/>
      <c r="D906" s="1"/>
      <c r="H906" s="1"/>
    </row>
    <row r="907" spans="1:8" ht="13.8">
      <c r="A907" s="1"/>
      <c r="D907" s="1"/>
      <c r="H907" s="1"/>
    </row>
    <row r="908" spans="1:8" ht="13.8">
      <c r="A908" s="1"/>
      <c r="D908" s="1"/>
      <c r="H908" s="1"/>
    </row>
    <row r="909" spans="1:8" ht="13.8">
      <c r="A909" s="1"/>
      <c r="D909" s="1"/>
      <c r="H909" s="1"/>
    </row>
    <row r="910" spans="1:8" ht="13.8">
      <c r="A910" s="1"/>
      <c r="D910" s="1"/>
      <c r="H910" s="1"/>
    </row>
    <row r="911" spans="1:8" ht="13.8">
      <c r="A911" s="1"/>
      <c r="D911" s="1"/>
      <c r="H911" s="1"/>
    </row>
    <row r="912" spans="1:8" ht="13.8">
      <c r="A912" s="1"/>
      <c r="D912" s="1"/>
      <c r="H912" s="1"/>
    </row>
    <row r="913" spans="1:8" ht="13.8">
      <c r="A913" s="1"/>
      <c r="D913" s="1"/>
      <c r="H913" s="1"/>
    </row>
    <row r="914" spans="1:8" ht="13.8">
      <c r="A914" s="1"/>
      <c r="D914" s="1"/>
      <c r="H914" s="1"/>
    </row>
    <row r="915" spans="1:8" ht="13.8">
      <c r="A915" s="1"/>
      <c r="D915" s="1"/>
      <c r="H915" s="1"/>
    </row>
    <row r="916" spans="1:8" ht="13.8">
      <c r="A916" s="1"/>
      <c r="D916" s="1"/>
      <c r="H916" s="1"/>
    </row>
    <row r="917" spans="1:8" ht="13.8">
      <c r="A917" s="1"/>
      <c r="D917" s="1"/>
      <c r="H917" s="1"/>
    </row>
    <row r="918" spans="1:8" ht="13.8">
      <c r="A918" s="1"/>
      <c r="D918" s="1"/>
      <c r="H918" s="1"/>
    </row>
    <row r="919" spans="1:8" ht="13.8">
      <c r="A919" s="1"/>
      <c r="D919" s="1"/>
      <c r="H919" s="1"/>
    </row>
    <row r="920" spans="1:8" ht="13.8">
      <c r="A920" s="1"/>
      <c r="D920" s="1"/>
      <c r="H920" s="1"/>
    </row>
    <row r="921" spans="1:8" ht="13.8">
      <c r="A921" s="1"/>
      <c r="D921" s="1"/>
      <c r="H921" s="1"/>
    </row>
    <row r="922" spans="1:8" ht="13.8">
      <c r="A922" s="1"/>
      <c r="D922" s="1"/>
      <c r="H922" s="1"/>
    </row>
    <row r="923" spans="1:8" ht="13.8">
      <c r="A923" s="1"/>
      <c r="D923" s="1"/>
      <c r="H923" s="1"/>
    </row>
    <row r="924" spans="1:8" ht="13.8">
      <c r="A924" s="1"/>
      <c r="D924" s="1"/>
      <c r="H924" s="1"/>
    </row>
    <row r="925" spans="1:8" ht="13.8">
      <c r="A925" s="1"/>
      <c r="D925" s="1"/>
      <c r="H925" s="1"/>
    </row>
    <row r="926" spans="1:8" ht="13.8">
      <c r="A926" s="1"/>
      <c r="D926" s="1"/>
      <c r="H926" s="1"/>
    </row>
    <row r="927" spans="1:8" ht="13.8">
      <c r="A927" s="1"/>
      <c r="D927" s="1"/>
      <c r="H927" s="1"/>
    </row>
    <row r="928" spans="1:8" ht="13.8">
      <c r="A928" s="1"/>
      <c r="D928" s="1"/>
      <c r="H928" s="1"/>
    </row>
    <row r="929" spans="1:8" ht="13.8">
      <c r="A929" s="1"/>
      <c r="D929" s="1"/>
      <c r="H929" s="1"/>
    </row>
    <row r="930" spans="1:8" ht="13.8">
      <c r="A930" s="1"/>
      <c r="D930" s="1"/>
      <c r="H930" s="1"/>
    </row>
    <row r="931" spans="1:8" ht="13.8">
      <c r="A931" s="1"/>
      <c r="D931" s="1"/>
      <c r="H931" s="1"/>
    </row>
    <row r="932" spans="1:8" ht="13.8">
      <c r="A932" s="1"/>
      <c r="D932" s="1"/>
      <c r="H932" s="1"/>
    </row>
    <row r="933" spans="1:8" ht="13.8">
      <c r="A933" s="1"/>
      <c r="D933" s="1"/>
      <c r="H933" s="1"/>
    </row>
    <row r="934" spans="1:8" ht="13.8">
      <c r="A934" s="1"/>
      <c r="D934" s="1"/>
      <c r="H934" s="1"/>
    </row>
    <row r="935" spans="1:8" ht="13.8">
      <c r="A935" s="1"/>
      <c r="D935" s="1"/>
      <c r="H935" s="1"/>
    </row>
    <row r="936" spans="1:8" ht="13.8">
      <c r="A936" s="1"/>
      <c r="D936" s="1"/>
      <c r="H936" s="1"/>
    </row>
    <row r="937" spans="1:8" ht="13.8">
      <c r="A937" s="1"/>
      <c r="D937" s="1"/>
      <c r="H937" s="1"/>
    </row>
    <row r="938" spans="1:8" ht="13.8">
      <c r="A938" s="1"/>
      <c r="D938" s="1"/>
      <c r="H938" s="1"/>
    </row>
    <row r="939" spans="1:8" ht="13.8">
      <c r="A939" s="1"/>
      <c r="D939" s="1"/>
      <c r="H939" s="1"/>
    </row>
    <row r="940" spans="1:8" ht="13.8">
      <c r="A940" s="1"/>
      <c r="D940" s="1"/>
      <c r="H940" s="1"/>
    </row>
    <row r="941" spans="1:8" ht="13.8">
      <c r="A941" s="1"/>
      <c r="D941" s="1"/>
      <c r="H941" s="1"/>
    </row>
    <row r="942" spans="1:8" ht="13.8">
      <c r="A942" s="1"/>
      <c r="D942" s="1"/>
      <c r="H942" s="1"/>
    </row>
    <row r="943" spans="1:8" ht="13.8">
      <c r="A943" s="1"/>
      <c r="D943" s="1"/>
      <c r="H943" s="1"/>
    </row>
    <row r="944" spans="1:8" ht="13.8">
      <c r="A944" s="1"/>
      <c r="D944" s="1"/>
      <c r="H944" s="1"/>
    </row>
    <row r="945" spans="1:8" ht="13.8">
      <c r="A945" s="1"/>
      <c r="D945" s="1"/>
      <c r="H945" s="1"/>
    </row>
    <row r="946" spans="1:8" ht="13.8">
      <c r="A946" s="1"/>
      <c r="D946" s="1"/>
      <c r="H946" s="1"/>
    </row>
    <row r="947" spans="1:8" ht="13.8">
      <c r="A947" s="1"/>
      <c r="D947" s="1"/>
      <c r="H947" s="1"/>
    </row>
    <row r="948" spans="1:8" ht="13.8">
      <c r="A948" s="1"/>
      <c r="D948" s="1"/>
      <c r="H948" s="1"/>
    </row>
    <row r="949" spans="1:8" ht="13.8">
      <c r="A949" s="1"/>
      <c r="D949" s="1"/>
      <c r="H949" s="1"/>
    </row>
    <row r="950" spans="1:8" ht="13.8">
      <c r="A950" s="1"/>
      <c r="D950" s="1"/>
      <c r="H950" s="1"/>
    </row>
    <row r="951" spans="1:8" ht="13.8">
      <c r="A951" s="1"/>
      <c r="D951" s="1"/>
      <c r="H951" s="1"/>
    </row>
    <row r="952" spans="1:8" ht="13.8">
      <c r="A952" s="1"/>
      <c r="D952" s="1"/>
      <c r="H952" s="1"/>
    </row>
    <row r="953" spans="1:8" ht="13.8">
      <c r="A953" s="1"/>
      <c r="D953" s="1"/>
      <c r="H953" s="1"/>
    </row>
    <row r="954" spans="1:8" ht="13.8">
      <c r="A954" s="1"/>
      <c r="D954" s="1"/>
      <c r="H954" s="1"/>
    </row>
    <row r="955" spans="1:8" ht="13.8">
      <c r="A955" s="1"/>
      <c r="D955" s="1"/>
      <c r="H955" s="1"/>
    </row>
    <row r="956" spans="1:8" ht="13.8">
      <c r="A956" s="1"/>
      <c r="D956" s="1"/>
      <c r="H956" s="1"/>
    </row>
    <row r="957" spans="1:8" ht="13.8">
      <c r="A957" s="1"/>
      <c r="D957" s="1"/>
      <c r="H957" s="1"/>
    </row>
    <row r="958" spans="1:8" ht="13.8">
      <c r="A958" s="1"/>
      <c r="D958" s="1"/>
      <c r="H958" s="1"/>
    </row>
    <row r="959" spans="1:8" ht="13.8">
      <c r="A959" s="1"/>
      <c r="D959" s="1"/>
      <c r="H959" s="1"/>
    </row>
    <row r="960" spans="1:8" ht="13.8">
      <c r="A960" s="1"/>
      <c r="D960" s="1"/>
      <c r="H960" s="1"/>
    </row>
    <row r="961" spans="1:8" ht="13.8">
      <c r="A961" s="1"/>
      <c r="D961" s="1"/>
      <c r="H961" s="1"/>
    </row>
    <row r="962" spans="1:8" ht="13.8">
      <c r="A962" s="1"/>
      <c r="D962" s="1"/>
      <c r="H962" s="1"/>
    </row>
    <row r="963" spans="1:8" ht="13.8">
      <c r="A963" s="1"/>
      <c r="D963" s="1"/>
      <c r="H963" s="1"/>
    </row>
    <row r="964" spans="1:8" ht="13.8">
      <c r="A964" s="1"/>
      <c r="D964" s="1"/>
      <c r="H964" s="1"/>
    </row>
    <row r="965" spans="1:8" ht="13.8">
      <c r="A965" s="1"/>
      <c r="D965" s="1"/>
      <c r="H965" s="1"/>
    </row>
    <row r="966" spans="1:8" ht="13.8">
      <c r="A966" s="1"/>
      <c r="D966" s="1"/>
      <c r="H966" s="1"/>
    </row>
    <row r="967" spans="1:8" ht="13.8">
      <c r="A967" s="1"/>
      <c r="D967" s="1"/>
      <c r="H967" s="1"/>
    </row>
    <row r="968" spans="1:8" ht="13.8">
      <c r="A968" s="1"/>
      <c r="D968" s="1"/>
      <c r="H968" s="1"/>
    </row>
    <row r="969" spans="1:8" ht="13.8">
      <c r="A969" s="1"/>
      <c r="D969" s="1"/>
      <c r="H969" s="1"/>
    </row>
    <row r="970" spans="1:8" ht="13.8">
      <c r="A970" s="1"/>
      <c r="D970" s="1"/>
      <c r="H970" s="1"/>
    </row>
    <row r="971" spans="1:8" ht="13.8">
      <c r="A971" s="1"/>
      <c r="D971" s="1"/>
      <c r="H971" s="1"/>
    </row>
    <row r="972" spans="1:8" ht="13.8">
      <c r="A972" s="1"/>
      <c r="D972" s="1"/>
      <c r="H972" s="1"/>
    </row>
    <row r="973" spans="1:8" ht="13.8">
      <c r="A973" s="1"/>
      <c r="D973" s="1"/>
      <c r="H973" s="1"/>
    </row>
    <row r="974" spans="1:8" ht="13.8">
      <c r="A974" s="1"/>
      <c r="D974" s="1"/>
      <c r="H974" s="1"/>
    </row>
    <row r="975" spans="1:8" ht="13.8">
      <c r="A975" s="1"/>
      <c r="D975" s="1"/>
      <c r="H975" s="1"/>
    </row>
    <row r="976" spans="1:8" ht="13.8">
      <c r="A976" s="1"/>
      <c r="D976" s="1"/>
      <c r="H976" s="1"/>
    </row>
    <row r="977" spans="1:8" ht="13.8">
      <c r="A977" s="1"/>
      <c r="D977" s="1"/>
      <c r="H977" s="1"/>
    </row>
    <row r="978" spans="1:8" ht="13.8">
      <c r="A978" s="1"/>
      <c r="D978" s="1"/>
      <c r="H978" s="1"/>
    </row>
    <row r="979" spans="1:8" ht="13.8">
      <c r="A979" s="1"/>
      <c r="D979" s="1"/>
      <c r="H979" s="1"/>
    </row>
    <row r="980" spans="1:8" ht="13.8">
      <c r="A980" s="1"/>
      <c r="D980" s="1"/>
      <c r="H980" s="1"/>
    </row>
    <row r="981" spans="1:8" ht="13.8">
      <c r="A981" s="1"/>
      <c r="D981" s="1"/>
      <c r="H981" s="1"/>
    </row>
    <row r="982" spans="1:8" ht="13.8">
      <c r="A982" s="1"/>
      <c r="D982" s="1"/>
      <c r="H982" s="1"/>
    </row>
    <row r="983" spans="1:8" ht="13.8">
      <c r="A983" s="1"/>
      <c r="D983" s="1"/>
      <c r="H983" s="1"/>
    </row>
    <row r="984" spans="1:8" ht="13.8">
      <c r="A984" s="1"/>
      <c r="D984" s="1"/>
      <c r="H984" s="1"/>
    </row>
    <row r="985" spans="1:8" ht="13.8">
      <c r="A985" s="1"/>
      <c r="D985" s="1"/>
      <c r="H985" s="1"/>
    </row>
    <row r="986" spans="1:8" ht="13.8">
      <c r="A986" s="1"/>
      <c r="D986" s="1"/>
      <c r="H986" s="1"/>
    </row>
    <row r="987" spans="1:8" ht="13.8">
      <c r="A987" s="1"/>
      <c r="D987" s="1"/>
      <c r="H987" s="1"/>
    </row>
    <row r="988" spans="1:8" ht="13.8">
      <c r="A988" s="1"/>
      <c r="D988" s="1"/>
      <c r="H988" s="1"/>
    </row>
    <row r="989" spans="1:8" ht="13.8">
      <c r="A989" s="1"/>
      <c r="D989" s="1"/>
      <c r="H989" s="1"/>
    </row>
    <row r="990" spans="1:8" ht="13.8">
      <c r="A990" s="1"/>
      <c r="D990" s="1"/>
      <c r="H990" s="1"/>
    </row>
    <row r="991" spans="1:8" ht="13.8">
      <c r="A991" s="1"/>
      <c r="D991" s="1"/>
      <c r="H991" s="1"/>
    </row>
    <row r="992" spans="1:8" ht="13.8">
      <c r="A992" s="1"/>
      <c r="D992" s="1"/>
      <c r="H992" s="1"/>
    </row>
    <row r="993" spans="1:8" ht="13.8">
      <c r="A993" s="1"/>
      <c r="D993" s="1"/>
      <c r="H993" s="1"/>
    </row>
    <row r="994" spans="1:8" ht="13.8">
      <c r="A994" s="1"/>
      <c r="D994" s="1"/>
      <c r="H994" s="1"/>
    </row>
    <row r="995" spans="1:8" ht="13.8">
      <c r="A995" s="1"/>
      <c r="D995" s="1"/>
      <c r="H995" s="1"/>
    </row>
    <row r="996" spans="1:8" ht="13.8">
      <c r="A996" s="1"/>
      <c r="D996" s="1"/>
      <c r="H996" s="1"/>
    </row>
    <row r="997" spans="1:8" ht="13.8">
      <c r="A997" s="1"/>
      <c r="D997" s="1"/>
      <c r="H997" s="1"/>
    </row>
    <row r="998" spans="1:8" ht="13.8">
      <c r="A998" s="1"/>
      <c r="D998" s="1"/>
      <c r="H998" s="1"/>
    </row>
    <row r="999" spans="1:8" ht="13.8">
      <c r="A999" s="1"/>
      <c r="D999" s="1"/>
      <c r="H999" s="1"/>
    </row>
    <row r="1000" spans="1:8" ht="13.8">
      <c r="A1000" s="1"/>
      <c r="D1000" s="1"/>
      <c r="H1000" s="1"/>
    </row>
    <row r="1001" spans="1:8" ht="13.8">
      <c r="A1001" s="1"/>
      <c r="D1001" s="1"/>
      <c r="H1001" s="1"/>
    </row>
  </sheetData>
  <hyperlinks>
    <hyperlink ref="J2" r:id="rId1" xr:uid="{00000000-0004-0000-0700-000000000000}"/>
    <hyperlink ref="J3" r:id="rId2" xr:uid="{00000000-0004-0000-0700-000001000000}"/>
    <hyperlink ref="J4" r:id="rId3" xr:uid="{00000000-0004-0000-0700-000002000000}"/>
    <hyperlink ref="J5" r:id="rId4" xr:uid="{00000000-0004-0000-0700-000003000000}"/>
    <hyperlink ref="J6" r:id="rId5" xr:uid="{00000000-0004-0000-0700-000004000000}"/>
    <hyperlink ref="J7" r:id="rId6" xr:uid="{00000000-0004-0000-0700-000005000000}"/>
    <hyperlink ref="J8" r:id="rId7" xr:uid="{00000000-0004-0000-0700-000006000000}"/>
    <hyperlink ref="J9" r:id="rId8" xr:uid="{00000000-0004-0000-0700-000007000000}"/>
    <hyperlink ref="J10" r:id="rId9" xr:uid="{00000000-0004-0000-0700-000008000000}"/>
    <hyperlink ref="J11" r:id="rId10" xr:uid="{00000000-0004-0000-0700-000009000000}"/>
    <hyperlink ref="J12" r:id="rId11" xr:uid="{00000000-0004-0000-0700-00000A000000}"/>
    <hyperlink ref="J13" r:id="rId12" xr:uid="{00000000-0004-0000-0700-00000B000000}"/>
    <hyperlink ref="J14" r:id="rId13" xr:uid="{00000000-0004-0000-0700-00000C000000}"/>
    <hyperlink ref="J15" r:id="rId14" xr:uid="{00000000-0004-0000-0700-00000D000000}"/>
    <hyperlink ref="J16" r:id="rId15" xr:uid="{00000000-0004-0000-0700-00000E000000}"/>
    <hyperlink ref="J17" r:id="rId16" xr:uid="{00000000-0004-0000-0700-00000F000000}"/>
    <hyperlink ref="J18" r:id="rId17" xr:uid="{00000000-0004-0000-0700-000010000000}"/>
    <hyperlink ref="J19" r:id="rId18" xr:uid="{00000000-0004-0000-0700-000011000000}"/>
    <hyperlink ref="J20" r:id="rId19" xr:uid="{00000000-0004-0000-0700-000012000000}"/>
    <hyperlink ref="J21" r:id="rId20" xr:uid="{00000000-0004-0000-0700-000013000000}"/>
    <hyperlink ref="J22" r:id="rId21" xr:uid="{00000000-0004-0000-0700-000014000000}"/>
    <hyperlink ref="J23" r:id="rId22" xr:uid="{00000000-0004-0000-0700-000015000000}"/>
    <hyperlink ref="J24" r:id="rId23" xr:uid="{00000000-0004-0000-0700-000016000000}"/>
    <hyperlink ref="J25" r:id="rId24" xr:uid="{00000000-0004-0000-0700-000017000000}"/>
    <hyperlink ref="J26" r:id="rId25" xr:uid="{00000000-0004-0000-0700-000018000000}"/>
    <hyperlink ref="J27" r:id="rId26" xr:uid="{00000000-0004-0000-0700-000019000000}"/>
    <hyperlink ref="J28" r:id="rId27" xr:uid="{00000000-0004-0000-0700-00001A000000}"/>
    <hyperlink ref="J29" r:id="rId28" xr:uid="{00000000-0004-0000-0700-00001B000000}"/>
    <hyperlink ref="J30" r:id="rId29" xr:uid="{00000000-0004-0000-0700-00001C000000}"/>
    <hyperlink ref="J31" r:id="rId30" xr:uid="{00000000-0004-0000-0700-00001D000000}"/>
    <hyperlink ref="J32" r:id="rId31" xr:uid="{00000000-0004-0000-0700-00001E000000}"/>
    <hyperlink ref="J33" r:id="rId32" xr:uid="{00000000-0004-0000-0700-00001F000000}"/>
    <hyperlink ref="J34" r:id="rId33" xr:uid="{00000000-0004-0000-0700-000020000000}"/>
    <hyperlink ref="J35" r:id="rId34" xr:uid="{00000000-0004-0000-0700-000021000000}"/>
    <hyperlink ref="J36" r:id="rId35" xr:uid="{00000000-0004-0000-0700-000022000000}"/>
    <hyperlink ref="J37" r:id="rId36" xr:uid="{00000000-0004-0000-0700-000023000000}"/>
    <hyperlink ref="J38" r:id="rId37" xr:uid="{00000000-0004-0000-0700-000024000000}"/>
    <hyperlink ref="J39" r:id="rId38" xr:uid="{00000000-0004-0000-0700-000025000000}"/>
    <hyperlink ref="J40" r:id="rId39" xr:uid="{00000000-0004-0000-0700-000026000000}"/>
    <hyperlink ref="J41" r:id="rId40" xr:uid="{00000000-0004-0000-0700-000027000000}"/>
    <hyperlink ref="J42" r:id="rId41" xr:uid="{00000000-0004-0000-0700-000028000000}"/>
    <hyperlink ref="J43" r:id="rId42" xr:uid="{00000000-0004-0000-0700-000029000000}"/>
    <hyperlink ref="J44" r:id="rId43" xr:uid="{00000000-0004-0000-0700-00002A000000}"/>
    <hyperlink ref="J45" r:id="rId44" xr:uid="{00000000-0004-0000-0700-00002B000000}"/>
    <hyperlink ref="J46" r:id="rId45" xr:uid="{00000000-0004-0000-0700-00002C000000}"/>
    <hyperlink ref="J47" r:id="rId46" xr:uid="{00000000-0004-0000-0700-00002D000000}"/>
    <hyperlink ref="J48" r:id="rId47" xr:uid="{00000000-0004-0000-0700-00002E000000}"/>
    <hyperlink ref="J49" r:id="rId48" xr:uid="{00000000-0004-0000-0700-00002F000000}"/>
    <hyperlink ref="J50" r:id="rId49" xr:uid="{00000000-0004-0000-0700-000030000000}"/>
    <hyperlink ref="J51" r:id="rId50" xr:uid="{00000000-0004-0000-0700-000031000000}"/>
    <hyperlink ref="J52" r:id="rId51" xr:uid="{00000000-0004-0000-0700-000032000000}"/>
    <hyperlink ref="J53" r:id="rId52" xr:uid="{00000000-0004-0000-0700-000033000000}"/>
    <hyperlink ref="J54" r:id="rId53" xr:uid="{00000000-0004-0000-0700-000034000000}"/>
    <hyperlink ref="J55" r:id="rId54" xr:uid="{00000000-0004-0000-0700-000035000000}"/>
    <hyperlink ref="J56" r:id="rId55" xr:uid="{00000000-0004-0000-0700-000036000000}"/>
    <hyperlink ref="J57" r:id="rId56" xr:uid="{00000000-0004-0000-0700-000037000000}"/>
    <hyperlink ref="J58" r:id="rId57" xr:uid="{00000000-0004-0000-0700-000038000000}"/>
    <hyperlink ref="J59" r:id="rId58" xr:uid="{00000000-0004-0000-0700-000039000000}"/>
    <hyperlink ref="J60" r:id="rId59" xr:uid="{00000000-0004-0000-0700-00003A000000}"/>
    <hyperlink ref="J61" r:id="rId60" xr:uid="{00000000-0004-0000-0700-00003B000000}"/>
    <hyperlink ref="J62" r:id="rId61" xr:uid="{00000000-0004-0000-0700-00003C000000}"/>
    <hyperlink ref="J63" r:id="rId62" xr:uid="{00000000-0004-0000-0700-00003D000000}"/>
    <hyperlink ref="J64" r:id="rId63" xr:uid="{00000000-0004-0000-0700-00003E000000}"/>
    <hyperlink ref="J65" r:id="rId64" xr:uid="{00000000-0004-0000-0700-00003F000000}"/>
    <hyperlink ref="J66" r:id="rId65" xr:uid="{00000000-0004-0000-0700-000040000000}"/>
    <hyperlink ref="J67" r:id="rId66" xr:uid="{00000000-0004-0000-0700-000041000000}"/>
    <hyperlink ref="J68" r:id="rId67" xr:uid="{00000000-0004-0000-0700-000042000000}"/>
    <hyperlink ref="J69" r:id="rId68" xr:uid="{00000000-0004-0000-0700-000043000000}"/>
    <hyperlink ref="J70" r:id="rId69" xr:uid="{00000000-0004-0000-0700-000044000000}"/>
    <hyperlink ref="J71" r:id="rId70" xr:uid="{00000000-0004-0000-0700-000045000000}"/>
    <hyperlink ref="J72" r:id="rId71" xr:uid="{00000000-0004-0000-0700-000046000000}"/>
    <hyperlink ref="J73" r:id="rId72" xr:uid="{00000000-0004-0000-0700-000047000000}"/>
    <hyperlink ref="J74" r:id="rId73" xr:uid="{00000000-0004-0000-0700-000048000000}"/>
    <hyperlink ref="J75" r:id="rId74" xr:uid="{00000000-0004-0000-0700-000049000000}"/>
  </hyperlinks>
  <pageMargins left="0.74791666666666701" right="0.74791666666666701" top="0.98402777777777795" bottom="0.98402777777777795" header="0.511811023622047" footer="0.511811023622047"/>
  <pageSetup paperSize="9"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heetPr>
  <dimension ref="A1:K189"/>
  <sheetViews>
    <sheetView zoomScaleNormal="100" workbookViewId="0">
      <selection activeCell="D1" sqref="D1"/>
    </sheetView>
  </sheetViews>
  <sheetFormatPr defaultColWidth="12.6640625" defaultRowHeight="15.75" customHeight="1"/>
  <sheetData>
    <row r="1" spans="1:11" ht="13.8">
      <c r="A1" s="1" t="s">
        <v>14183</v>
      </c>
      <c r="B1" s="1" t="s">
        <v>16198</v>
      </c>
      <c r="C1" s="1" t="s">
        <v>16199</v>
      </c>
      <c r="D1" s="1" t="s">
        <v>14186</v>
      </c>
      <c r="E1" s="1" t="s">
        <v>14187</v>
      </c>
      <c r="F1" s="1" t="s">
        <v>14188</v>
      </c>
      <c r="G1" s="1" t="s">
        <v>14189</v>
      </c>
      <c r="H1" s="1" t="s">
        <v>14190</v>
      </c>
      <c r="I1" s="1" t="s">
        <v>16200</v>
      </c>
      <c r="J1" s="1" t="s">
        <v>14192</v>
      </c>
      <c r="K1" s="1" t="s">
        <v>14193</v>
      </c>
    </row>
    <row r="2" spans="1:11" ht="13.8">
      <c r="A2" s="1" t="s">
        <v>28851</v>
      </c>
      <c r="B2" s="1" t="s">
        <v>28852</v>
      </c>
      <c r="C2" s="1" t="s">
        <v>28853</v>
      </c>
      <c r="D2" s="1" t="s">
        <v>28854</v>
      </c>
      <c r="E2" s="1">
        <v>90</v>
      </c>
      <c r="F2" s="1" t="s">
        <v>14207</v>
      </c>
      <c r="G2" s="1" t="s">
        <v>14198</v>
      </c>
      <c r="H2" s="1" t="s">
        <v>28855</v>
      </c>
      <c r="I2" s="1" t="s">
        <v>28856</v>
      </c>
      <c r="J2" s="3" t="s">
        <v>28857</v>
      </c>
      <c r="K2" s="1" t="s">
        <v>28858</v>
      </c>
    </row>
    <row r="3" spans="1:11" ht="13.8">
      <c r="A3" s="1" t="s">
        <v>28859</v>
      </c>
      <c r="B3" s="1" t="s">
        <v>28860</v>
      </c>
      <c r="C3" s="1" t="s">
        <v>28861</v>
      </c>
      <c r="D3" s="1" t="s">
        <v>28862</v>
      </c>
      <c r="E3" s="1">
        <v>75</v>
      </c>
      <c r="F3" s="1" t="s">
        <v>145</v>
      </c>
      <c r="G3" s="1" t="s">
        <v>14198</v>
      </c>
      <c r="H3" s="1" t="s">
        <v>28863</v>
      </c>
      <c r="I3" s="1" t="s">
        <v>28864</v>
      </c>
      <c r="J3" s="3" t="s">
        <v>28865</v>
      </c>
      <c r="K3" s="1" t="s">
        <v>28858</v>
      </c>
    </row>
    <row r="4" spans="1:11" ht="13.8">
      <c r="A4" s="1" t="s">
        <v>28866</v>
      </c>
      <c r="B4" s="1" t="s">
        <v>28867</v>
      </c>
      <c r="C4" s="1" t="s">
        <v>28868</v>
      </c>
      <c r="D4" s="1" t="s">
        <v>28869</v>
      </c>
      <c r="E4" s="1">
        <v>40</v>
      </c>
      <c r="F4" s="1" t="s">
        <v>15138</v>
      </c>
      <c r="G4" s="1" t="s">
        <v>14338</v>
      </c>
      <c r="H4" s="1" t="s">
        <v>28870</v>
      </c>
      <c r="I4" s="1" t="s">
        <v>28871</v>
      </c>
      <c r="J4" s="3" t="s">
        <v>28872</v>
      </c>
      <c r="K4" s="1" t="s">
        <v>28858</v>
      </c>
    </row>
    <row r="5" spans="1:11" ht="13.8">
      <c r="A5" s="1" t="s">
        <v>28873</v>
      </c>
      <c r="B5" s="1" t="s">
        <v>28874</v>
      </c>
      <c r="C5" s="1" t="s">
        <v>28875</v>
      </c>
      <c r="D5" s="1" t="s">
        <v>28876</v>
      </c>
      <c r="E5" s="1">
        <v>40</v>
      </c>
      <c r="F5" s="1" t="s">
        <v>15138</v>
      </c>
      <c r="G5" s="1" t="s">
        <v>15102</v>
      </c>
      <c r="H5" s="1" t="s">
        <v>28877</v>
      </c>
      <c r="I5" s="1" t="s">
        <v>28878</v>
      </c>
      <c r="J5" s="3" t="s">
        <v>28879</v>
      </c>
      <c r="K5" s="1" t="s">
        <v>28858</v>
      </c>
    </row>
    <row r="6" spans="1:11" ht="13.8">
      <c r="A6" s="1" t="s">
        <v>28880</v>
      </c>
      <c r="B6" s="1" t="s">
        <v>28881</v>
      </c>
      <c r="C6" s="1" t="s">
        <v>28882</v>
      </c>
      <c r="D6" s="1" t="s">
        <v>28883</v>
      </c>
      <c r="E6" s="1">
        <v>40</v>
      </c>
      <c r="F6" s="1" t="s">
        <v>145</v>
      </c>
      <c r="G6" s="1" t="s">
        <v>14198</v>
      </c>
      <c r="H6" s="1" t="s">
        <v>28884</v>
      </c>
      <c r="I6" s="1" t="s">
        <v>28885</v>
      </c>
      <c r="J6" s="3" t="s">
        <v>28886</v>
      </c>
      <c r="K6" s="1" t="s">
        <v>28858</v>
      </c>
    </row>
    <row r="7" spans="1:11" ht="13.8">
      <c r="A7" s="1" t="s">
        <v>28887</v>
      </c>
      <c r="B7" s="1" t="s">
        <v>28888</v>
      </c>
      <c r="C7" s="1" t="s">
        <v>28889</v>
      </c>
      <c r="D7" s="1" t="s">
        <v>28890</v>
      </c>
      <c r="E7" s="1">
        <v>70</v>
      </c>
      <c r="F7" s="1" t="s">
        <v>14281</v>
      </c>
      <c r="G7" s="1" t="s">
        <v>14198</v>
      </c>
      <c r="H7" s="1" t="s">
        <v>28891</v>
      </c>
      <c r="I7" s="1" t="s">
        <v>28892</v>
      </c>
      <c r="J7" s="3" t="s">
        <v>28893</v>
      </c>
      <c r="K7" s="1" t="s">
        <v>28858</v>
      </c>
    </row>
    <row r="8" spans="1:11" ht="13.8">
      <c r="A8" s="1" t="s">
        <v>28894</v>
      </c>
      <c r="B8" s="1" t="s">
        <v>28895</v>
      </c>
      <c r="C8" s="1" t="s">
        <v>28896</v>
      </c>
      <c r="D8" s="1" t="s">
        <v>28897</v>
      </c>
      <c r="E8" s="1">
        <v>30</v>
      </c>
      <c r="F8" s="1" t="s">
        <v>8417</v>
      </c>
      <c r="G8" s="1" t="s">
        <v>14198</v>
      </c>
      <c r="H8" s="1" t="s">
        <v>28898</v>
      </c>
      <c r="I8" s="1" t="s">
        <v>28899</v>
      </c>
      <c r="J8" s="3" t="s">
        <v>28900</v>
      </c>
      <c r="K8" s="1" t="s">
        <v>28858</v>
      </c>
    </row>
    <row r="9" spans="1:11" ht="13.8">
      <c r="A9" s="1" t="s">
        <v>28901</v>
      </c>
      <c r="B9" s="1" t="s">
        <v>28902</v>
      </c>
      <c r="C9" s="1" t="s">
        <v>28903</v>
      </c>
      <c r="D9" s="1" t="s">
        <v>28904</v>
      </c>
      <c r="E9" s="1">
        <v>45</v>
      </c>
      <c r="F9" s="1" t="s">
        <v>15138</v>
      </c>
      <c r="G9" s="1" t="s">
        <v>14198</v>
      </c>
      <c r="H9" s="1" t="s">
        <v>28905</v>
      </c>
      <c r="I9" s="1" t="s">
        <v>28906</v>
      </c>
      <c r="J9" s="3" t="s">
        <v>28907</v>
      </c>
      <c r="K9" s="1" t="s">
        <v>28858</v>
      </c>
    </row>
    <row r="10" spans="1:11" ht="409.6">
      <c r="A10" s="1" t="s">
        <v>28908</v>
      </c>
      <c r="B10" s="1" t="s">
        <v>28909</v>
      </c>
      <c r="C10" s="1" t="s">
        <v>28910</v>
      </c>
      <c r="D10" s="1" t="s">
        <v>28911</v>
      </c>
      <c r="E10" s="1">
        <v>50</v>
      </c>
      <c r="F10" s="1" t="s">
        <v>14281</v>
      </c>
      <c r="G10" s="1" t="s">
        <v>14198</v>
      </c>
      <c r="H10" s="1" t="s">
        <v>28912</v>
      </c>
      <c r="I10" s="4" t="s">
        <v>28913</v>
      </c>
      <c r="J10" s="3" t="s">
        <v>28914</v>
      </c>
      <c r="K10" s="1" t="s">
        <v>28858</v>
      </c>
    </row>
    <row r="11" spans="1:11" ht="13.8">
      <c r="A11" s="1" t="s">
        <v>28915</v>
      </c>
      <c r="B11" s="1" t="s">
        <v>28916</v>
      </c>
      <c r="C11" s="1" t="s">
        <v>28917</v>
      </c>
      <c r="D11" s="1" t="s">
        <v>28918</v>
      </c>
      <c r="E11" s="1">
        <v>65</v>
      </c>
      <c r="F11" s="1" t="s">
        <v>14207</v>
      </c>
      <c r="G11" s="1" t="s">
        <v>14198</v>
      </c>
      <c r="H11" s="1" t="s">
        <v>28919</v>
      </c>
      <c r="I11" s="1" t="s">
        <v>28920</v>
      </c>
      <c r="J11" s="3" t="s">
        <v>28921</v>
      </c>
      <c r="K11" s="1" t="s">
        <v>28858</v>
      </c>
    </row>
    <row r="12" spans="1:11" ht="13.8">
      <c r="A12" s="1" t="s">
        <v>28922</v>
      </c>
      <c r="B12" s="1" t="s">
        <v>28923</v>
      </c>
      <c r="C12" s="1" t="s">
        <v>28924</v>
      </c>
      <c r="D12" s="1" t="s">
        <v>28925</v>
      </c>
      <c r="E12" s="1">
        <v>65</v>
      </c>
      <c r="F12" s="1" t="s">
        <v>8417</v>
      </c>
      <c r="G12" s="1" t="s">
        <v>14237</v>
      </c>
      <c r="H12" s="1" t="s">
        <v>28926</v>
      </c>
      <c r="I12" s="1" t="s">
        <v>28927</v>
      </c>
      <c r="J12" s="3" t="s">
        <v>28928</v>
      </c>
      <c r="K12" s="1" t="s">
        <v>28858</v>
      </c>
    </row>
    <row r="13" spans="1:11" ht="13.8">
      <c r="A13" s="1" t="s">
        <v>28929</v>
      </c>
      <c r="B13" s="1" t="s">
        <v>28930</v>
      </c>
      <c r="C13" s="1" t="s">
        <v>28931</v>
      </c>
      <c r="D13" s="1" t="s">
        <v>28932</v>
      </c>
      <c r="E13" s="1">
        <v>15</v>
      </c>
      <c r="F13" s="1" t="s">
        <v>14207</v>
      </c>
      <c r="G13" s="1" t="s">
        <v>14198</v>
      </c>
      <c r="H13" s="1" t="s">
        <v>28933</v>
      </c>
      <c r="I13" s="1" t="s">
        <v>28934</v>
      </c>
      <c r="J13" s="3" t="s">
        <v>28935</v>
      </c>
      <c r="K13" s="1" t="s">
        <v>28858</v>
      </c>
    </row>
    <row r="14" spans="1:11" ht="13.8">
      <c r="A14" s="1" t="s">
        <v>28936</v>
      </c>
      <c r="B14" s="1" t="s">
        <v>28937</v>
      </c>
      <c r="C14" s="1" t="s">
        <v>28938</v>
      </c>
      <c r="D14" s="1" t="s">
        <v>28939</v>
      </c>
      <c r="E14" s="1">
        <v>30</v>
      </c>
      <c r="F14" s="1" t="s">
        <v>8417</v>
      </c>
      <c r="G14" s="1" t="s">
        <v>14198</v>
      </c>
      <c r="H14" s="1" t="s">
        <v>28940</v>
      </c>
      <c r="I14" s="1" t="s">
        <v>28941</v>
      </c>
      <c r="J14" s="3" t="s">
        <v>28942</v>
      </c>
      <c r="K14" s="1" t="s">
        <v>28858</v>
      </c>
    </row>
    <row r="15" spans="1:11" ht="13.8">
      <c r="A15" s="1" t="s">
        <v>28943</v>
      </c>
      <c r="B15" s="1" t="s">
        <v>28944</v>
      </c>
      <c r="C15" s="1" t="s">
        <v>28945</v>
      </c>
      <c r="D15" s="1" t="s">
        <v>28946</v>
      </c>
      <c r="E15" s="1">
        <v>70</v>
      </c>
      <c r="F15" s="1" t="s">
        <v>14259</v>
      </c>
      <c r="G15" s="1" t="s">
        <v>14382</v>
      </c>
      <c r="H15" s="1" t="s">
        <v>28947</v>
      </c>
      <c r="I15" s="1" t="s">
        <v>28948</v>
      </c>
      <c r="J15" s="3" t="s">
        <v>28949</v>
      </c>
      <c r="K15" s="1" t="s">
        <v>28858</v>
      </c>
    </row>
    <row r="16" spans="1:11" ht="409.6">
      <c r="A16" s="1" t="s">
        <v>28950</v>
      </c>
      <c r="B16" s="1" t="s">
        <v>28951</v>
      </c>
      <c r="C16" s="1" t="s">
        <v>28952</v>
      </c>
      <c r="D16" s="1" t="s">
        <v>28953</v>
      </c>
      <c r="E16" s="1">
        <v>30</v>
      </c>
      <c r="F16" s="1" t="s">
        <v>145</v>
      </c>
      <c r="G16" s="1" t="s">
        <v>14198</v>
      </c>
      <c r="H16" s="1" t="s">
        <v>28954</v>
      </c>
      <c r="I16" s="4" t="s">
        <v>28955</v>
      </c>
      <c r="J16" s="3" t="s">
        <v>28956</v>
      </c>
      <c r="K16" s="1" t="s">
        <v>28858</v>
      </c>
    </row>
    <row r="17" spans="1:11" ht="13.8">
      <c r="A17" s="1" t="s">
        <v>28957</v>
      </c>
      <c r="B17" s="1" t="s">
        <v>28958</v>
      </c>
      <c r="C17" s="1" t="s">
        <v>28959</v>
      </c>
      <c r="D17" s="1" t="s">
        <v>28960</v>
      </c>
      <c r="E17" s="1">
        <v>40</v>
      </c>
      <c r="F17" s="1" t="s">
        <v>15138</v>
      </c>
      <c r="G17" s="1" t="s">
        <v>14198</v>
      </c>
      <c r="H17" s="1" t="s">
        <v>28961</v>
      </c>
      <c r="I17" s="1" t="s">
        <v>28962</v>
      </c>
      <c r="J17" s="3" t="s">
        <v>28963</v>
      </c>
      <c r="K17" s="1" t="s">
        <v>28858</v>
      </c>
    </row>
    <row r="18" spans="1:11" ht="13.8">
      <c r="A18" s="1" t="s">
        <v>28964</v>
      </c>
      <c r="B18" s="1" t="s">
        <v>28965</v>
      </c>
      <c r="C18" s="1" t="s">
        <v>28966</v>
      </c>
      <c r="D18" s="1" t="s">
        <v>28967</v>
      </c>
      <c r="E18" s="1">
        <v>510</v>
      </c>
      <c r="F18" s="1" t="s">
        <v>15138</v>
      </c>
      <c r="G18" s="1" t="s">
        <v>14198</v>
      </c>
      <c r="H18" s="1" t="s">
        <v>28968</v>
      </c>
      <c r="I18" s="1" t="s">
        <v>28969</v>
      </c>
      <c r="J18" s="3" t="s">
        <v>28970</v>
      </c>
      <c r="K18" s="1" t="s">
        <v>28858</v>
      </c>
    </row>
    <row r="19" spans="1:11" ht="409.6">
      <c r="A19" s="1" t="s">
        <v>28971</v>
      </c>
      <c r="B19" s="1" t="s">
        <v>28972</v>
      </c>
      <c r="C19" s="1" t="s">
        <v>28973</v>
      </c>
      <c r="D19" s="1" t="s">
        <v>28974</v>
      </c>
      <c r="E19" s="1">
        <v>25</v>
      </c>
      <c r="F19" s="1" t="s">
        <v>14207</v>
      </c>
      <c r="G19" s="1" t="s">
        <v>14198</v>
      </c>
      <c r="H19" s="4" t="s">
        <v>28975</v>
      </c>
      <c r="I19" s="1" t="s">
        <v>28976</v>
      </c>
      <c r="J19" s="3" t="s">
        <v>28977</v>
      </c>
      <c r="K19" s="1" t="s">
        <v>28858</v>
      </c>
    </row>
    <row r="20" spans="1:11" ht="13.8">
      <c r="A20" s="1" t="s">
        <v>28978</v>
      </c>
      <c r="B20" s="1" t="s">
        <v>28979</v>
      </c>
      <c r="C20" s="1" t="s">
        <v>28980</v>
      </c>
      <c r="D20" s="1" t="s">
        <v>28981</v>
      </c>
      <c r="E20" s="1">
        <v>25</v>
      </c>
      <c r="F20" s="1" t="s">
        <v>14207</v>
      </c>
      <c r="G20" s="1" t="s">
        <v>14198</v>
      </c>
      <c r="H20" s="1" t="s">
        <v>28982</v>
      </c>
      <c r="I20" s="1" t="s">
        <v>28983</v>
      </c>
      <c r="J20" s="3" t="s">
        <v>28984</v>
      </c>
      <c r="K20" s="1" t="s">
        <v>28858</v>
      </c>
    </row>
    <row r="21" spans="1:11" ht="13.8">
      <c r="A21" s="1" t="s">
        <v>28985</v>
      </c>
      <c r="B21" s="1" t="s">
        <v>28986</v>
      </c>
      <c r="C21" s="1" t="s">
        <v>28987</v>
      </c>
      <c r="D21" s="1" t="s">
        <v>28988</v>
      </c>
      <c r="E21" s="1">
        <v>70</v>
      </c>
      <c r="F21" s="1" t="s">
        <v>8417</v>
      </c>
      <c r="G21" s="1" t="s">
        <v>14198</v>
      </c>
      <c r="H21" s="1" t="s">
        <v>28989</v>
      </c>
      <c r="I21" s="1" t="s">
        <v>28990</v>
      </c>
      <c r="J21" s="3" t="s">
        <v>28991</v>
      </c>
      <c r="K21" s="1" t="s">
        <v>28858</v>
      </c>
    </row>
    <row r="22" spans="1:11" ht="13.8">
      <c r="A22" s="1" t="s">
        <v>28992</v>
      </c>
      <c r="B22" s="1" t="s">
        <v>28993</v>
      </c>
      <c r="C22" s="1" t="s">
        <v>28994</v>
      </c>
      <c r="D22" s="1" t="s">
        <v>28995</v>
      </c>
      <c r="E22" s="1">
        <v>20</v>
      </c>
      <c r="F22" s="1" t="s">
        <v>15138</v>
      </c>
      <c r="G22" s="1" t="s">
        <v>14198</v>
      </c>
      <c r="H22" s="1" t="s">
        <v>28996</v>
      </c>
      <c r="I22" s="1" t="s">
        <v>28997</v>
      </c>
      <c r="J22" s="3" t="s">
        <v>28998</v>
      </c>
      <c r="K22" s="1" t="s">
        <v>28858</v>
      </c>
    </row>
    <row r="23" spans="1:11" ht="13.8">
      <c r="A23" s="1" t="s">
        <v>28999</v>
      </c>
      <c r="B23" s="1" t="s">
        <v>29000</v>
      </c>
      <c r="C23" s="1" t="s">
        <v>29001</v>
      </c>
      <c r="D23" s="1" t="s">
        <v>29002</v>
      </c>
      <c r="E23" s="1">
        <v>35</v>
      </c>
      <c r="F23" s="1" t="s">
        <v>145</v>
      </c>
      <c r="G23" s="1" t="s">
        <v>14198</v>
      </c>
      <c r="H23" s="1" t="s">
        <v>29003</v>
      </c>
      <c r="I23" s="1" t="s">
        <v>29004</v>
      </c>
      <c r="J23" s="3" t="s">
        <v>29005</v>
      </c>
      <c r="K23" s="1" t="s">
        <v>28858</v>
      </c>
    </row>
    <row r="24" spans="1:11" ht="13.8">
      <c r="A24" s="1" t="s">
        <v>29006</v>
      </c>
      <c r="B24" s="1" t="s">
        <v>29007</v>
      </c>
      <c r="C24" s="1" t="s">
        <v>29008</v>
      </c>
      <c r="D24" s="1" t="s">
        <v>29009</v>
      </c>
      <c r="E24" s="1">
        <v>40</v>
      </c>
      <c r="F24" s="1" t="s">
        <v>145</v>
      </c>
      <c r="G24" s="1" t="s">
        <v>14198</v>
      </c>
      <c r="H24" s="1" t="s">
        <v>29010</v>
      </c>
      <c r="I24" s="1" t="s">
        <v>29011</v>
      </c>
      <c r="J24" s="3" t="s">
        <v>29012</v>
      </c>
      <c r="K24" s="1" t="s">
        <v>28858</v>
      </c>
    </row>
    <row r="25" spans="1:11" ht="13.8">
      <c r="A25" s="1" t="s">
        <v>29013</v>
      </c>
      <c r="B25" s="1" t="s">
        <v>29014</v>
      </c>
      <c r="C25" s="1" t="s">
        <v>29015</v>
      </c>
      <c r="D25" s="1" t="s">
        <v>29016</v>
      </c>
      <c r="E25" s="1">
        <v>30</v>
      </c>
      <c r="F25" s="1" t="s">
        <v>429</v>
      </c>
      <c r="G25" s="1" t="s">
        <v>14198</v>
      </c>
      <c r="H25" s="1" t="s">
        <v>29017</v>
      </c>
      <c r="I25" s="1" t="s">
        <v>29018</v>
      </c>
      <c r="J25" s="3" t="s">
        <v>29019</v>
      </c>
      <c r="K25" s="1" t="s">
        <v>28858</v>
      </c>
    </row>
    <row r="26" spans="1:11" ht="13.8">
      <c r="A26" s="1" t="s">
        <v>29020</v>
      </c>
      <c r="B26" s="1" t="s">
        <v>29021</v>
      </c>
      <c r="C26" s="1" t="s">
        <v>29022</v>
      </c>
      <c r="D26" s="1" t="s">
        <v>29023</v>
      </c>
      <c r="E26" s="1">
        <v>135</v>
      </c>
      <c r="F26" s="1" t="s">
        <v>14207</v>
      </c>
      <c r="G26" s="1" t="s">
        <v>14338</v>
      </c>
      <c r="H26" s="1" t="s">
        <v>29024</v>
      </c>
      <c r="I26" s="1" t="s">
        <v>29025</v>
      </c>
      <c r="J26" s="3" t="s">
        <v>29026</v>
      </c>
      <c r="K26" s="1" t="s">
        <v>28858</v>
      </c>
    </row>
    <row r="27" spans="1:11" ht="409.6">
      <c r="A27" s="1" t="s">
        <v>29027</v>
      </c>
      <c r="B27" s="1" t="s">
        <v>29028</v>
      </c>
      <c r="C27" s="1" t="s">
        <v>29029</v>
      </c>
      <c r="D27" s="1" t="s">
        <v>29030</v>
      </c>
      <c r="E27" s="1">
        <v>45</v>
      </c>
      <c r="F27" s="1" t="s">
        <v>8417</v>
      </c>
      <c r="G27" s="1" t="s">
        <v>14198</v>
      </c>
      <c r="H27" s="1" t="s">
        <v>29031</v>
      </c>
      <c r="I27" s="4" t="s">
        <v>29032</v>
      </c>
      <c r="J27" s="3" t="s">
        <v>29033</v>
      </c>
      <c r="K27" s="1" t="s">
        <v>28858</v>
      </c>
    </row>
    <row r="28" spans="1:11" ht="409.6">
      <c r="A28" s="1" t="s">
        <v>29034</v>
      </c>
      <c r="B28" s="1" t="s">
        <v>29035</v>
      </c>
      <c r="C28" s="1" t="s">
        <v>29036</v>
      </c>
      <c r="D28" s="1" t="s">
        <v>29037</v>
      </c>
      <c r="E28" s="1">
        <v>40</v>
      </c>
      <c r="F28" s="1" t="s">
        <v>14281</v>
      </c>
      <c r="G28" s="1" t="s">
        <v>14198</v>
      </c>
      <c r="H28" s="1" t="s">
        <v>29038</v>
      </c>
      <c r="I28" s="4" t="s">
        <v>29039</v>
      </c>
      <c r="J28" s="3" t="s">
        <v>29040</v>
      </c>
      <c r="K28" s="1" t="s">
        <v>28858</v>
      </c>
    </row>
    <row r="29" spans="1:11" ht="409.6">
      <c r="A29" s="1" t="s">
        <v>29041</v>
      </c>
      <c r="B29" s="1" t="s">
        <v>29042</v>
      </c>
      <c r="C29" s="1" t="s">
        <v>29043</v>
      </c>
      <c r="D29" s="1" t="s">
        <v>29044</v>
      </c>
      <c r="E29" s="1">
        <v>35</v>
      </c>
      <c r="F29" s="1" t="s">
        <v>14207</v>
      </c>
      <c r="G29" s="1" t="s">
        <v>14198</v>
      </c>
      <c r="H29" s="4" t="s">
        <v>29045</v>
      </c>
      <c r="I29" s="1" t="s">
        <v>29046</v>
      </c>
      <c r="J29" s="3" t="s">
        <v>29047</v>
      </c>
      <c r="K29" s="1" t="s">
        <v>28858</v>
      </c>
    </row>
    <row r="30" spans="1:11" ht="13.8">
      <c r="A30" s="1" t="s">
        <v>29048</v>
      </c>
      <c r="B30" s="1" t="s">
        <v>29049</v>
      </c>
      <c r="C30" s="1" t="s">
        <v>29050</v>
      </c>
      <c r="D30" s="1" t="s">
        <v>29051</v>
      </c>
      <c r="E30" s="1">
        <v>20</v>
      </c>
      <c r="F30" s="1" t="s">
        <v>14207</v>
      </c>
      <c r="G30" s="1" t="s">
        <v>14198</v>
      </c>
      <c r="H30" s="1" t="s">
        <v>29052</v>
      </c>
      <c r="I30" s="1" t="s">
        <v>29053</v>
      </c>
      <c r="J30" s="3" t="s">
        <v>29054</v>
      </c>
      <c r="K30" s="1" t="s">
        <v>28858</v>
      </c>
    </row>
    <row r="31" spans="1:11" ht="13.8">
      <c r="A31" s="1" t="s">
        <v>29055</v>
      </c>
      <c r="B31" s="1" t="s">
        <v>29056</v>
      </c>
      <c r="C31" s="1" t="s">
        <v>29057</v>
      </c>
      <c r="D31" s="1" t="s">
        <v>29058</v>
      </c>
      <c r="E31" s="1">
        <v>25</v>
      </c>
      <c r="F31" s="1" t="s">
        <v>14207</v>
      </c>
      <c r="G31" s="1" t="s">
        <v>14198</v>
      </c>
      <c r="H31" s="1" t="s">
        <v>29059</v>
      </c>
      <c r="I31" s="1" t="s">
        <v>29060</v>
      </c>
      <c r="J31" s="3" t="s">
        <v>29061</v>
      </c>
      <c r="K31" s="1" t="s">
        <v>28858</v>
      </c>
    </row>
    <row r="32" spans="1:11" ht="13.8">
      <c r="A32" s="1" t="s">
        <v>29062</v>
      </c>
      <c r="B32" s="1" t="s">
        <v>29063</v>
      </c>
      <c r="C32" s="1" t="s">
        <v>29064</v>
      </c>
      <c r="D32" s="1" t="s">
        <v>29065</v>
      </c>
      <c r="E32" s="1">
        <v>20</v>
      </c>
      <c r="F32" s="1" t="s">
        <v>15138</v>
      </c>
      <c r="G32" s="1" t="s">
        <v>14198</v>
      </c>
      <c r="H32" s="1" t="s">
        <v>29066</v>
      </c>
      <c r="I32" s="1" t="s">
        <v>29067</v>
      </c>
      <c r="J32" s="3" t="s">
        <v>29068</v>
      </c>
      <c r="K32" s="1" t="s">
        <v>28858</v>
      </c>
    </row>
    <row r="33" spans="1:11" ht="13.8">
      <c r="A33" s="1" t="s">
        <v>29069</v>
      </c>
      <c r="B33" s="1" t="s">
        <v>29070</v>
      </c>
      <c r="C33" s="1" t="s">
        <v>29071</v>
      </c>
      <c r="D33" s="1" t="s">
        <v>29072</v>
      </c>
      <c r="E33" s="1">
        <v>40</v>
      </c>
      <c r="F33" s="1" t="s">
        <v>14572</v>
      </c>
      <c r="G33" s="1" t="s">
        <v>14198</v>
      </c>
      <c r="H33" s="1" t="s">
        <v>29073</v>
      </c>
      <c r="I33" s="1" t="s">
        <v>29074</v>
      </c>
      <c r="J33" s="3" t="s">
        <v>29075</v>
      </c>
      <c r="K33" s="1" t="s">
        <v>28858</v>
      </c>
    </row>
    <row r="34" spans="1:11" ht="409.6">
      <c r="A34" s="1" t="s">
        <v>29076</v>
      </c>
      <c r="B34" s="1" t="s">
        <v>29077</v>
      </c>
      <c r="C34" s="1" t="s">
        <v>29078</v>
      </c>
      <c r="D34" s="1" t="s">
        <v>29079</v>
      </c>
      <c r="E34" s="1">
        <v>40</v>
      </c>
      <c r="F34" s="1" t="s">
        <v>15138</v>
      </c>
      <c r="G34" s="1" t="s">
        <v>14198</v>
      </c>
      <c r="H34" s="4" t="s">
        <v>29080</v>
      </c>
      <c r="I34" s="1" t="s">
        <v>29081</v>
      </c>
      <c r="J34" s="3" t="s">
        <v>29082</v>
      </c>
      <c r="K34" s="1" t="s">
        <v>28858</v>
      </c>
    </row>
    <row r="35" spans="1:11" ht="409.6">
      <c r="A35" s="1" t="s">
        <v>29083</v>
      </c>
      <c r="B35" s="1" t="s">
        <v>29084</v>
      </c>
      <c r="C35" s="1" t="s">
        <v>29085</v>
      </c>
      <c r="D35" s="1" t="s">
        <v>29086</v>
      </c>
      <c r="E35" s="1">
        <v>55</v>
      </c>
      <c r="F35" s="1" t="s">
        <v>15138</v>
      </c>
      <c r="G35" s="1" t="s">
        <v>14198</v>
      </c>
      <c r="H35" s="4" t="s">
        <v>29087</v>
      </c>
      <c r="I35" s="4" t="s">
        <v>29088</v>
      </c>
      <c r="J35" s="3" t="s">
        <v>29089</v>
      </c>
      <c r="K35" s="1" t="s">
        <v>28858</v>
      </c>
    </row>
    <row r="36" spans="1:11" ht="409.6">
      <c r="A36" s="1" t="s">
        <v>29090</v>
      </c>
      <c r="B36" s="1" t="s">
        <v>29091</v>
      </c>
      <c r="C36" s="1" t="s">
        <v>29092</v>
      </c>
      <c r="D36" s="1" t="s">
        <v>29093</v>
      </c>
      <c r="E36" s="1">
        <v>55</v>
      </c>
      <c r="F36" s="1" t="s">
        <v>8417</v>
      </c>
      <c r="G36" s="1" t="s">
        <v>14198</v>
      </c>
      <c r="H36" s="4" t="s">
        <v>29094</v>
      </c>
      <c r="I36" s="1" t="s">
        <v>29095</v>
      </c>
      <c r="J36" s="3" t="s">
        <v>29096</v>
      </c>
      <c r="K36" s="1" t="s">
        <v>28858</v>
      </c>
    </row>
    <row r="37" spans="1:11" ht="409.6">
      <c r="A37" s="1" t="s">
        <v>29097</v>
      </c>
      <c r="B37" s="1" t="s">
        <v>29098</v>
      </c>
      <c r="C37" s="1" t="s">
        <v>29099</v>
      </c>
      <c r="D37" s="1" t="s">
        <v>29100</v>
      </c>
      <c r="E37" s="1">
        <v>40</v>
      </c>
      <c r="F37" s="1" t="s">
        <v>8417</v>
      </c>
      <c r="G37" s="1" t="s">
        <v>14198</v>
      </c>
      <c r="H37" s="4" t="s">
        <v>29101</v>
      </c>
      <c r="I37" s="1" t="s">
        <v>29102</v>
      </c>
      <c r="J37" s="3" t="s">
        <v>29103</v>
      </c>
      <c r="K37" s="1" t="s">
        <v>28858</v>
      </c>
    </row>
    <row r="38" spans="1:11" ht="13.8">
      <c r="A38" s="1" t="s">
        <v>29104</v>
      </c>
      <c r="B38" s="1" t="s">
        <v>29105</v>
      </c>
      <c r="C38" s="1" t="s">
        <v>29106</v>
      </c>
      <c r="D38" s="1" t="s">
        <v>29107</v>
      </c>
      <c r="E38" s="1">
        <v>30</v>
      </c>
      <c r="F38" s="1" t="s">
        <v>145</v>
      </c>
      <c r="G38" s="1" t="s">
        <v>14198</v>
      </c>
      <c r="H38" s="1" t="s">
        <v>29108</v>
      </c>
      <c r="I38" s="1" t="s">
        <v>29109</v>
      </c>
      <c r="J38" s="3" t="s">
        <v>29110</v>
      </c>
      <c r="K38" s="1" t="s">
        <v>28858</v>
      </c>
    </row>
    <row r="39" spans="1:11" ht="13.8">
      <c r="A39" s="1" t="s">
        <v>29111</v>
      </c>
      <c r="B39" s="1" t="s">
        <v>29112</v>
      </c>
      <c r="C39" s="1" t="s">
        <v>29113</v>
      </c>
      <c r="D39" s="1" t="s">
        <v>29114</v>
      </c>
      <c r="E39" s="1">
        <v>20</v>
      </c>
      <c r="F39" s="1" t="s">
        <v>14207</v>
      </c>
      <c r="G39" s="1" t="s">
        <v>14198</v>
      </c>
      <c r="H39" s="1" t="s">
        <v>29115</v>
      </c>
      <c r="I39" s="1" t="s">
        <v>29116</v>
      </c>
      <c r="J39" s="3" t="s">
        <v>29117</v>
      </c>
      <c r="K39" s="1" t="s">
        <v>28858</v>
      </c>
    </row>
    <row r="40" spans="1:11" ht="13.8">
      <c r="A40" s="1" t="s">
        <v>29118</v>
      </c>
      <c r="B40" s="1" t="s">
        <v>29119</v>
      </c>
      <c r="C40" s="1" t="s">
        <v>29120</v>
      </c>
      <c r="D40" s="1" t="s">
        <v>29121</v>
      </c>
      <c r="E40" s="1">
        <v>15</v>
      </c>
      <c r="F40" s="1" t="s">
        <v>14207</v>
      </c>
      <c r="G40" s="1" t="s">
        <v>14198</v>
      </c>
      <c r="H40" s="1" t="s">
        <v>29122</v>
      </c>
      <c r="I40" s="1" t="s">
        <v>29123</v>
      </c>
      <c r="J40" s="3" t="s">
        <v>29124</v>
      </c>
      <c r="K40" s="1" t="s">
        <v>28858</v>
      </c>
    </row>
    <row r="41" spans="1:11" ht="13.8">
      <c r="A41" s="1" t="s">
        <v>29125</v>
      </c>
      <c r="B41" s="1" t="s">
        <v>29126</v>
      </c>
      <c r="C41" s="1" t="s">
        <v>29127</v>
      </c>
      <c r="D41" s="1" t="s">
        <v>29128</v>
      </c>
      <c r="E41" s="1">
        <v>30</v>
      </c>
      <c r="F41" s="1" t="s">
        <v>429</v>
      </c>
      <c r="G41" s="1" t="s">
        <v>14198</v>
      </c>
      <c r="H41" s="1" t="s">
        <v>29129</v>
      </c>
      <c r="I41" s="1" t="s">
        <v>29130</v>
      </c>
      <c r="J41" s="3" t="s">
        <v>29131</v>
      </c>
      <c r="K41" s="1" t="s">
        <v>28858</v>
      </c>
    </row>
    <row r="42" spans="1:11" ht="409.6">
      <c r="A42" s="1" t="s">
        <v>29132</v>
      </c>
      <c r="B42" s="1" t="s">
        <v>29133</v>
      </c>
      <c r="C42" s="1" t="s">
        <v>29134</v>
      </c>
      <c r="D42" s="1" t="s">
        <v>29135</v>
      </c>
      <c r="E42" s="1">
        <v>20</v>
      </c>
      <c r="F42" s="1" t="s">
        <v>14207</v>
      </c>
      <c r="G42" s="1" t="s">
        <v>14198</v>
      </c>
      <c r="H42" s="1" t="s">
        <v>29136</v>
      </c>
      <c r="I42" s="4" t="s">
        <v>29137</v>
      </c>
      <c r="J42" s="3" t="s">
        <v>29138</v>
      </c>
      <c r="K42" s="1" t="s">
        <v>28858</v>
      </c>
    </row>
    <row r="43" spans="1:11" ht="409.6">
      <c r="A43" s="1" t="s">
        <v>29139</v>
      </c>
      <c r="B43" s="1" t="s">
        <v>29140</v>
      </c>
      <c r="C43" s="1" t="s">
        <v>29141</v>
      </c>
      <c r="D43" s="1" t="s">
        <v>29142</v>
      </c>
      <c r="E43" s="1">
        <v>15</v>
      </c>
      <c r="F43" s="1" t="s">
        <v>14207</v>
      </c>
      <c r="G43" s="1" t="s">
        <v>14198</v>
      </c>
      <c r="H43" s="1" t="s">
        <v>29143</v>
      </c>
      <c r="I43" s="4" t="s">
        <v>29144</v>
      </c>
      <c r="J43" s="3" t="s">
        <v>29145</v>
      </c>
      <c r="K43" s="1" t="s">
        <v>28858</v>
      </c>
    </row>
    <row r="44" spans="1:11" ht="409.6">
      <c r="A44" s="1" t="s">
        <v>29146</v>
      </c>
      <c r="B44" s="1" t="s">
        <v>29147</v>
      </c>
      <c r="C44" s="1" t="s">
        <v>29148</v>
      </c>
      <c r="D44" s="1" t="s">
        <v>29149</v>
      </c>
      <c r="E44" s="1">
        <v>25</v>
      </c>
      <c r="F44" s="1" t="s">
        <v>14207</v>
      </c>
      <c r="G44" s="1" t="s">
        <v>14198</v>
      </c>
      <c r="H44" s="4" t="s">
        <v>29150</v>
      </c>
      <c r="I44" s="1" t="s">
        <v>29151</v>
      </c>
      <c r="J44" s="3" t="s">
        <v>29152</v>
      </c>
      <c r="K44" s="1" t="s">
        <v>28858</v>
      </c>
    </row>
    <row r="45" spans="1:11" ht="409.6">
      <c r="A45" s="1" t="s">
        <v>29153</v>
      </c>
      <c r="B45" s="1" t="s">
        <v>29154</v>
      </c>
      <c r="C45" s="1" t="s">
        <v>29155</v>
      </c>
      <c r="D45" s="1" t="s">
        <v>29156</v>
      </c>
      <c r="E45" s="1">
        <v>30</v>
      </c>
      <c r="F45" s="1" t="s">
        <v>14207</v>
      </c>
      <c r="G45" s="1" t="s">
        <v>14237</v>
      </c>
      <c r="H45" s="4" t="s">
        <v>29157</v>
      </c>
      <c r="I45" s="1" t="s">
        <v>29158</v>
      </c>
      <c r="J45" s="3" t="s">
        <v>29159</v>
      </c>
      <c r="K45" s="1" t="s">
        <v>28858</v>
      </c>
    </row>
    <row r="46" spans="1:11" ht="13.8">
      <c r="A46" s="1" t="s">
        <v>29160</v>
      </c>
      <c r="B46" s="1" t="s">
        <v>29161</v>
      </c>
      <c r="C46" s="1" t="s">
        <v>29162</v>
      </c>
      <c r="D46" s="1" t="s">
        <v>29163</v>
      </c>
      <c r="E46" s="1">
        <v>25</v>
      </c>
      <c r="F46" s="1" t="s">
        <v>8417</v>
      </c>
      <c r="G46" s="1" t="s">
        <v>14198</v>
      </c>
      <c r="H46" s="1" t="s">
        <v>29164</v>
      </c>
      <c r="I46" s="1" t="s">
        <v>29165</v>
      </c>
      <c r="J46" s="3" t="s">
        <v>29166</v>
      </c>
      <c r="K46" s="1" t="s">
        <v>28858</v>
      </c>
    </row>
    <row r="47" spans="1:11" ht="13.8">
      <c r="A47" s="1" t="s">
        <v>29167</v>
      </c>
      <c r="B47" s="1" t="s">
        <v>29168</v>
      </c>
      <c r="C47" s="1" t="s">
        <v>29169</v>
      </c>
      <c r="D47" s="1" t="s">
        <v>29170</v>
      </c>
      <c r="E47" s="1">
        <v>50</v>
      </c>
      <c r="F47" s="1" t="s">
        <v>145</v>
      </c>
      <c r="G47" s="1" t="s">
        <v>14198</v>
      </c>
      <c r="H47" s="1" t="s">
        <v>29171</v>
      </c>
      <c r="I47" s="1" t="s">
        <v>29172</v>
      </c>
      <c r="J47" s="3" t="s">
        <v>29173</v>
      </c>
      <c r="K47" s="1" t="s">
        <v>28858</v>
      </c>
    </row>
    <row r="48" spans="1:11" ht="13.8">
      <c r="A48" s="1" t="s">
        <v>28880</v>
      </c>
      <c r="B48" s="1" t="s">
        <v>29174</v>
      </c>
      <c r="C48" s="1" t="s">
        <v>29175</v>
      </c>
      <c r="D48" s="1" t="s">
        <v>29176</v>
      </c>
      <c r="E48" s="1">
        <v>40</v>
      </c>
      <c r="F48" s="1" t="s">
        <v>145</v>
      </c>
      <c r="G48" s="1" t="s">
        <v>14198</v>
      </c>
      <c r="H48" s="1" t="s">
        <v>29177</v>
      </c>
      <c r="I48" s="1" t="s">
        <v>29178</v>
      </c>
      <c r="J48" s="3" t="s">
        <v>29179</v>
      </c>
      <c r="K48" s="1" t="s">
        <v>28858</v>
      </c>
    </row>
    <row r="49" spans="1:11" ht="13.8">
      <c r="A49" s="1" t="s">
        <v>29180</v>
      </c>
      <c r="B49" s="1" t="s">
        <v>29181</v>
      </c>
      <c r="C49" s="1" t="s">
        <v>29182</v>
      </c>
      <c r="D49" s="1" t="s">
        <v>29183</v>
      </c>
      <c r="E49" s="1">
        <v>65</v>
      </c>
      <c r="F49" s="1" t="s">
        <v>14207</v>
      </c>
      <c r="G49" s="1" t="s">
        <v>14198</v>
      </c>
      <c r="H49" s="1" t="s">
        <v>29184</v>
      </c>
      <c r="I49" s="1" t="s">
        <v>29185</v>
      </c>
      <c r="J49" s="3" t="s">
        <v>29186</v>
      </c>
      <c r="K49" s="1" t="s">
        <v>28858</v>
      </c>
    </row>
    <row r="50" spans="1:11" ht="13.8">
      <c r="A50" s="1" t="s">
        <v>29187</v>
      </c>
      <c r="B50" s="1" t="s">
        <v>29188</v>
      </c>
      <c r="C50" s="1" t="s">
        <v>29189</v>
      </c>
      <c r="D50" s="1" t="s">
        <v>29190</v>
      </c>
      <c r="E50" s="1">
        <v>75</v>
      </c>
      <c r="F50" s="1" t="s">
        <v>145</v>
      </c>
      <c r="G50" s="1" t="s">
        <v>14198</v>
      </c>
      <c r="H50" s="1" t="s">
        <v>29191</v>
      </c>
      <c r="I50" s="1" t="s">
        <v>29192</v>
      </c>
      <c r="J50" s="3" t="s">
        <v>29193</v>
      </c>
      <c r="K50" s="1" t="s">
        <v>28858</v>
      </c>
    </row>
    <row r="51" spans="1:11" ht="13.8">
      <c r="A51" s="1" t="s">
        <v>29194</v>
      </c>
      <c r="B51" s="1" t="s">
        <v>29195</v>
      </c>
      <c r="C51" s="1" t="s">
        <v>29196</v>
      </c>
      <c r="D51" s="1" t="s">
        <v>29197</v>
      </c>
      <c r="E51" s="1">
        <v>175</v>
      </c>
      <c r="F51" s="1" t="s">
        <v>145</v>
      </c>
      <c r="G51" s="1" t="s">
        <v>14338</v>
      </c>
      <c r="H51" s="1" t="s">
        <v>29198</v>
      </c>
      <c r="I51" s="1" t="s">
        <v>29199</v>
      </c>
      <c r="J51" s="3" t="s">
        <v>29200</v>
      </c>
      <c r="K51" s="1" t="s">
        <v>28858</v>
      </c>
    </row>
    <row r="52" spans="1:11" ht="13.8">
      <c r="A52" s="1" t="s">
        <v>29201</v>
      </c>
      <c r="B52" s="1" t="s">
        <v>29202</v>
      </c>
      <c r="C52" s="1" t="s">
        <v>29203</v>
      </c>
      <c r="D52" s="1" t="s">
        <v>29204</v>
      </c>
      <c r="E52" s="1">
        <v>10</v>
      </c>
      <c r="F52" s="1" t="s">
        <v>14207</v>
      </c>
      <c r="G52" s="1" t="s">
        <v>14198</v>
      </c>
      <c r="H52" s="1" t="s">
        <v>29205</v>
      </c>
      <c r="I52" s="1" t="s">
        <v>29206</v>
      </c>
      <c r="J52" s="3" t="s">
        <v>29207</v>
      </c>
      <c r="K52" s="1" t="s">
        <v>28858</v>
      </c>
    </row>
    <row r="53" spans="1:11" ht="409.6">
      <c r="A53" s="1" t="s">
        <v>29208</v>
      </c>
      <c r="B53" s="1" t="s">
        <v>29209</v>
      </c>
      <c r="C53" s="1" t="s">
        <v>29210</v>
      </c>
      <c r="D53" s="1" t="s">
        <v>29211</v>
      </c>
      <c r="E53" s="1">
        <v>15</v>
      </c>
      <c r="F53" s="1" t="s">
        <v>14198</v>
      </c>
      <c r="G53" s="1" t="s">
        <v>14198</v>
      </c>
      <c r="H53" s="1" t="s">
        <v>29212</v>
      </c>
      <c r="I53" s="4" t="s">
        <v>29213</v>
      </c>
      <c r="J53" s="3" t="s">
        <v>29214</v>
      </c>
      <c r="K53" s="1" t="s">
        <v>28858</v>
      </c>
    </row>
    <row r="54" spans="1:11" ht="409.6">
      <c r="A54" s="1" t="s">
        <v>29215</v>
      </c>
      <c r="B54" s="1" t="s">
        <v>29216</v>
      </c>
      <c r="C54" s="1" t="s">
        <v>29217</v>
      </c>
      <c r="D54" s="1" t="s">
        <v>29218</v>
      </c>
      <c r="E54" s="1">
        <v>20</v>
      </c>
      <c r="F54" s="1" t="s">
        <v>14207</v>
      </c>
      <c r="G54" s="1" t="s">
        <v>14237</v>
      </c>
      <c r="H54" s="1" t="s">
        <v>29219</v>
      </c>
      <c r="I54" s="4" t="s">
        <v>29220</v>
      </c>
      <c r="J54" s="3" t="s">
        <v>29221</v>
      </c>
      <c r="K54" s="1" t="s">
        <v>28858</v>
      </c>
    </row>
    <row r="55" spans="1:11" ht="13.8">
      <c r="A55" s="1" t="s">
        <v>29222</v>
      </c>
      <c r="B55" s="1" t="s">
        <v>29223</v>
      </c>
      <c r="C55" s="1" t="s">
        <v>29224</v>
      </c>
      <c r="D55" s="1" t="s">
        <v>29225</v>
      </c>
      <c r="E55" s="1">
        <v>25</v>
      </c>
      <c r="F55" s="1" t="s">
        <v>14207</v>
      </c>
      <c r="G55" s="1" t="s">
        <v>14198</v>
      </c>
      <c r="H55" s="1" t="s">
        <v>29226</v>
      </c>
      <c r="I55" s="1" t="s">
        <v>29227</v>
      </c>
      <c r="J55" s="3" t="s">
        <v>29228</v>
      </c>
      <c r="K55" s="1" t="s">
        <v>28858</v>
      </c>
    </row>
    <row r="56" spans="1:11" ht="13.8">
      <c r="A56" s="1" t="s">
        <v>29229</v>
      </c>
      <c r="B56" s="1" t="s">
        <v>29230</v>
      </c>
      <c r="C56" s="1" t="s">
        <v>29231</v>
      </c>
      <c r="D56" s="1" t="s">
        <v>29232</v>
      </c>
      <c r="E56" s="1">
        <v>30</v>
      </c>
      <c r="F56" s="1" t="s">
        <v>14207</v>
      </c>
      <c r="G56" s="1" t="s">
        <v>14237</v>
      </c>
      <c r="H56" s="1" t="s">
        <v>29233</v>
      </c>
      <c r="I56" s="1" t="s">
        <v>29234</v>
      </c>
      <c r="J56" s="3" t="s">
        <v>29235</v>
      </c>
      <c r="K56" s="1" t="s">
        <v>28858</v>
      </c>
    </row>
    <row r="57" spans="1:11" ht="13.8">
      <c r="A57" s="1" t="s">
        <v>29236</v>
      </c>
      <c r="B57" s="1" t="s">
        <v>29237</v>
      </c>
      <c r="C57" s="1" t="s">
        <v>29238</v>
      </c>
      <c r="D57" s="1" t="s">
        <v>29239</v>
      </c>
      <c r="E57" s="1">
        <v>30</v>
      </c>
      <c r="F57" s="1" t="s">
        <v>145</v>
      </c>
      <c r="G57" s="1" t="s">
        <v>14237</v>
      </c>
      <c r="H57" s="1" t="s">
        <v>29240</v>
      </c>
      <c r="I57" s="1" t="s">
        <v>29241</v>
      </c>
      <c r="J57" s="3" t="s">
        <v>29242</v>
      </c>
      <c r="K57" s="1" t="s">
        <v>28858</v>
      </c>
    </row>
    <row r="58" spans="1:11" ht="13.8">
      <c r="A58" s="1" t="s">
        <v>29243</v>
      </c>
      <c r="B58" s="1" t="s">
        <v>29244</v>
      </c>
      <c r="C58" s="1" t="s">
        <v>29245</v>
      </c>
      <c r="D58" s="1" t="s">
        <v>29246</v>
      </c>
      <c r="E58" s="1">
        <v>160</v>
      </c>
      <c r="F58" s="1" t="s">
        <v>15138</v>
      </c>
      <c r="G58" s="1" t="s">
        <v>14198</v>
      </c>
      <c r="H58" s="1" t="s">
        <v>29247</v>
      </c>
      <c r="I58" s="1" t="s">
        <v>29248</v>
      </c>
      <c r="J58" s="3" t="s">
        <v>29249</v>
      </c>
      <c r="K58" s="1" t="s">
        <v>28858</v>
      </c>
    </row>
    <row r="59" spans="1:11" ht="409.6">
      <c r="A59" s="1" t="s">
        <v>29250</v>
      </c>
      <c r="B59" s="1" t="s">
        <v>29251</v>
      </c>
      <c r="C59" s="1" t="s">
        <v>29252</v>
      </c>
      <c r="D59" s="1" t="s">
        <v>29253</v>
      </c>
      <c r="E59" s="1">
        <v>55</v>
      </c>
      <c r="F59" s="1" t="s">
        <v>145</v>
      </c>
      <c r="G59" s="1" t="s">
        <v>14198</v>
      </c>
      <c r="H59" s="1" t="s">
        <v>29254</v>
      </c>
      <c r="I59" s="4" t="s">
        <v>29255</v>
      </c>
      <c r="J59" s="3" t="s">
        <v>29256</v>
      </c>
      <c r="K59" s="1" t="s">
        <v>28858</v>
      </c>
    </row>
    <row r="60" spans="1:11" ht="409.6">
      <c r="A60" s="1" t="s">
        <v>29257</v>
      </c>
      <c r="B60" s="1" t="s">
        <v>29258</v>
      </c>
      <c r="C60" s="1" t="s">
        <v>29259</v>
      </c>
      <c r="D60" s="1" t="s">
        <v>29260</v>
      </c>
      <c r="E60" s="1">
        <v>25</v>
      </c>
      <c r="F60" s="1" t="s">
        <v>14207</v>
      </c>
      <c r="G60" s="1" t="s">
        <v>14237</v>
      </c>
      <c r="H60" s="1" t="s">
        <v>29261</v>
      </c>
      <c r="I60" s="4" t="s">
        <v>29262</v>
      </c>
      <c r="J60" s="3" t="s">
        <v>29263</v>
      </c>
      <c r="K60" s="1" t="s">
        <v>28858</v>
      </c>
    </row>
    <row r="61" spans="1:11" ht="409.6">
      <c r="A61" s="1" t="s">
        <v>29264</v>
      </c>
      <c r="B61" s="1" t="s">
        <v>29265</v>
      </c>
      <c r="C61" s="1" t="s">
        <v>29266</v>
      </c>
      <c r="D61" s="1" t="s">
        <v>29267</v>
      </c>
      <c r="E61" s="1">
        <v>510</v>
      </c>
      <c r="F61" s="1" t="s">
        <v>15138</v>
      </c>
      <c r="G61" s="1" t="s">
        <v>14198</v>
      </c>
      <c r="H61" s="4" t="s">
        <v>29268</v>
      </c>
      <c r="I61" s="1" t="s">
        <v>29269</v>
      </c>
      <c r="J61" s="3" t="s">
        <v>29270</v>
      </c>
      <c r="K61" s="1" t="s">
        <v>28858</v>
      </c>
    </row>
    <row r="62" spans="1:11" ht="409.6">
      <c r="A62" s="1" t="s">
        <v>29271</v>
      </c>
      <c r="B62" s="1" t="s">
        <v>29272</v>
      </c>
      <c r="C62" s="1" t="s">
        <v>29273</v>
      </c>
      <c r="D62" s="1" t="s">
        <v>29274</v>
      </c>
      <c r="E62" s="1">
        <v>20</v>
      </c>
      <c r="F62" s="1" t="s">
        <v>14207</v>
      </c>
      <c r="G62" s="1" t="s">
        <v>14198</v>
      </c>
      <c r="H62" s="1" t="s">
        <v>29275</v>
      </c>
      <c r="I62" s="4" t="s">
        <v>29276</v>
      </c>
      <c r="J62" s="3" t="s">
        <v>29277</v>
      </c>
      <c r="K62" s="1" t="s">
        <v>28858</v>
      </c>
    </row>
    <row r="63" spans="1:11" ht="409.6">
      <c r="A63" s="1" t="s">
        <v>29278</v>
      </c>
      <c r="B63" s="1" t="s">
        <v>29279</v>
      </c>
      <c r="C63" s="1" t="s">
        <v>29280</v>
      </c>
      <c r="D63" s="1" t="s">
        <v>29281</v>
      </c>
      <c r="E63" s="1">
        <v>55</v>
      </c>
      <c r="F63" s="1" t="s">
        <v>145</v>
      </c>
      <c r="G63" s="1" t="s">
        <v>14338</v>
      </c>
      <c r="H63" s="1" t="s">
        <v>29282</v>
      </c>
      <c r="I63" s="4" t="s">
        <v>29283</v>
      </c>
      <c r="J63" s="3" t="s">
        <v>29284</v>
      </c>
      <c r="K63" s="1" t="s">
        <v>28858</v>
      </c>
    </row>
    <row r="64" spans="1:11" ht="409.6">
      <c r="A64" s="1" t="s">
        <v>29285</v>
      </c>
      <c r="B64" s="1" t="s">
        <v>29286</v>
      </c>
      <c r="C64" s="1" t="s">
        <v>29287</v>
      </c>
      <c r="D64" s="1" t="s">
        <v>29288</v>
      </c>
      <c r="E64" s="1">
        <v>30</v>
      </c>
      <c r="F64" s="1" t="s">
        <v>14207</v>
      </c>
      <c r="G64" s="1" t="s">
        <v>14198</v>
      </c>
      <c r="H64" s="1" t="s">
        <v>29289</v>
      </c>
      <c r="I64" s="4" t="s">
        <v>29290</v>
      </c>
      <c r="J64" s="3" t="s">
        <v>29291</v>
      </c>
      <c r="K64" s="1" t="s">
        <v>28858</v>
      </c>
    </row>
    <row r="65" spans="1:11" ht="409.6">
      <c r="A65" s="1" t="s">
        <v>29292</v>
      </c>
      <c r="B65" s="1" t="s">
        <v>29293</v>
      </c>
      <c r="C65" s="1" t="s">
        <v>29294</v>
      </c>
      <c r="D65" s="1" t="s">
        <v>29295</v>
      </c>
      <c r="E65" s="1">
        <v>70</v>
      </c>
      <c r="F65" s="1" t="s">
        <v>15138</v>
      </c>
      <c r="G65" s="1" t="s">
        <v>14198</v>
      </c>
      <c r="H65" s="1" t="s">
        <v>29296</v>
      </c>
      <c r="I65" s="4" t="s">
        <v>29297</v>
      </c>
      <c r="J65" s="3" t="s">
        <v>29298</v>
      </c>
      <c r="K65" s="1" t="s">
        <v>28858</v>
      </c>
    </row>
    <row r="66" spans="1:11" ht="409.6">
      <c r="A66" s="1" t="s">
        <v>29299</v>
      </c>
      <c r="B66" s="1" t="s">
        <v>29300</v>
      </c>
      <c r="C66" s="1" t="s">
        <v>29301</v>
      </c>
      <c r="D66" s="1" t="s">
        <v>29302</v>
      </c>
      <c r="E66" s="1">
        <v>40</v>
      </c>
      <c r="F66" s="1" t="s">
        <v>14207</v>
      </c>
      <c r="G66" s="1" t="s">
        <v>14198</v>
      </c>
      <c r="H66" s="1" t="s">
        <v>29303</v>
      </c>
      <c r="I66" s="4" t="s">
        <v>29304</v>
      </c>
      <c r="J66" s="3" t="s">
        <v>29305</v>
      </c>
      <c r="K66" s="1" t="s">
        <v>28858</v>
      </c>
    </row>
    <row r="67" spans="1:11" ht="409.6">
      <c r="A67" s="1" t="s">
        <v>29306</v>
      </c>
      <c r="B67" s="1" t="s">
        <v>29307</v>
      </c>
      <c r="C67" s="1" t="s">
        <v>29308</v>
      </c>
      <c r="D67" s="1" t="s">
        <v>29309</v>
      </c>
      <c r="E67" s="1">
        <v>510</v>
      </c>
      <c r="F67" s="1" t="s">
        <v>15138</v>
      </c>
      <c r="G67" s="1" t="s">
        <v>14198</v>
      </c>
      <c r="H67" s="1" t="s">
        <v>29310</v>
      </c>
      <c r="I67" s="4" t="s">
        <v>29311</v>
      </c>
      <c r="J67" s="3" t="s">
        <v>29312</v>
      </c>
      <c r="K67" s="1" t="s">
        <v>28858</v>
      </c>
    </row>
    <row r="68" spans="1:11" ht="13.8">
      <c r="A68" s="1" t="s">
        <v>29313</v>
      </c>
      <c r="B68" s="1" t="s">
        <v>29314</v>
      </c>
      <c r="C68" s="1" t="s">
        <v>29315</v>
      </c>
      <c r="D68" s="1" t="s">
        <v>29316</v>
      </c>
      <c r="E68" s="1">
        <v>50</v>
      </c>
      <c r="F68" s="1" t="s">
        <v>8417</v>
      </c>
      <c r="G68" s="1" t="s">
        <v>14198</v>
      </c>
      <c r="H68" s="1" t="s">
        <v>29317</v>
      </c>
      <c r="I68" s="1" t="s">
        <v>29318</v>
      </c>
      <c r="J68" s="3" t="s">
        <v>29319</v>
      </c>
      <c r="K68" s="1" t="s">
        <v>28858</v>
      </c>
    </row>
    <row r="69" spans="1:11" ht="409.6">
      <c r="A69" s="1" t="s">
        <v>29320</v>
      </c>
      <c r="B69" s="1" t="s">
        <v>29321</v>
      </c>
      <c r="C69" s="1" t="s">
        <v>29322</v>
      </c>
      <c r="D69" s="1" t="s">
        <v>29323</v>
      </c>
      <c r="E69" s="1">
        <v>230</v>
      </c>
      <c r="F69" s="1" t="s">
        <v>145</v>
      </c>
      <c r="G69" s="1" t="s">
        <v>14198</v>
      </c>
      <c r="H69" s="4" t="s">
        <v>29324</v>
      </c>
      <c r="I69" s="1" t="s">
        <v>29325</v>
      </c>
      <c r="J69" s="3" t="s">
        <v>29326</v>
      </c>
      <c r="K69" s="1" t="s">
        <v>28858</v>
      </c>
    </row>
    <row r="70" spans="1:11" ht="13.8">
      <c r="A70" s="1" t="s">
        <v>29327</v>
      </c>
      <c r="B70" s="1" t="s">
        <v>29328</v>
      </c>
      <c r="C70" s="1" t="s">
        <v>29329</v>
      </c>
      <c r="D70" s="1" t="s">
        <v>29330</v>
      </c>
      <c r="E70" s="1">
        <v>30</v>
      </c>
      <c r="F70" s="1" t="s">
        <v>14281</v>
      </c>
      <c r="G70" s="1" t="s">
        <v>14198</v>
      </c>
      <c r="H70" s="1" t="s">
        <v>29331</v>
      </c>
      <c r="I70" s="1" t="s">
        <v>29332</v>
      </c>
      <c r="J70" s="3" t="s">
        <v>29333</v>
      </c>
      <c r="K70" s="1" t="s">
        <v>28858</v>
      </c>
    </row>
    <row r="71" spans="1:11" ht="409.6">
      <c r="A71" s="1" t="s">
        <v>29334</v>
      </c>
      <c r="B71" s="1" t="s">
        <v>29335</v>
      </c>
      <c r="C71" s="1" t="s">
        <v>29336</v>
      </c>
      <c r="D71" s="1" t="s">
        <v>29337</v>
      </c>
      <c r="E71" s="1">
        <v>30</v>
      </c>
      <c r="F71" s="1" t="s">
        <v>14207</v>
      </c>
      <c r="G71" s="1" t="s">
        <v>14198</v>
      </c>
      <c r="H71" s="4" t="s">
        <v>29338</v>
      </c>
      <c r="I71" s="1" t="s">
        <v>29339</v>
      </c>
      <c r="J71" s="3" t="s">
        <v>29340</v>
      </c>
      <c r="K71" s="1" t="s">
        <v>28858</v>
      </c>
    </row>
    <row r="72" spans="1:11" ht="409.6">
      <c r="A72" s="1" t="s">
        <v>29341</v>
      </c>
      <c r="B72" s="1" t="s">
        <v>29342</v>
      </c>
      <c r="C72" s="1" t="s">
        <v>29343</v>
      </c>
      <c r="D72" s="1" t="s">
        <v>29344</v>
      </c>
      <c r="E72" s="1">
        <v>10</v>
      </c>
      <c r="F72" s="1" t="s">
        <v>14207</v>
      </c>
      <c r="G72" s="1" t="s">
        <v>14198</v>
      </c>
      <c r="H72" s="4" t="s">
        <v>29345</v>
      </c>
      <c r="I72" s="1" t="s">
        <v>29346</v>
      </c>
      <c r="J72" s="3" t="s">
        <v>29347</v>
      </c>
      <c r="K72" s="1" t="s">
        <v>28858</v>
      </c>
    </row>
    <row r="73" spans="1:11" ht="13.8">
      <c r="A73" s="1" t="s">
        <v>29348</v>
      </c>
      <c r="B73" s="1" t="s">
        <v>29349</v>
      </c>
      <c r="C73" s="1" t="s">
        <v>29350</v>
      </c>
      <c r="D73" s="1" t="s">
        <v>29351</v>
      </c>
      <c r="E73" s="1">
        <v>75</v>
      </c>
      <c r="F73" s="1" t="s">
        <v>145</v>
      </c>
      <c r="G73" s="1" t="s">
        <v>14198</v>
      </c>
      <c r="H73" s="1" t="s">
        <v>29352</v>
      </c>
      <c r="I73" s="1" t="s">
        <v>29353</v>
      </c>
      <c r="J73" s="3" t="s">
        <v>29354</v>
      </c>
      <c r="K73" s="1" t="s">
        <v>28858</v>
      </c>
    </row>
    <row r="74" spans="1:11" ht="409.6">
      <c r="A74" s="1" t="s">
        <v>29355</v>
      </c>
      <c r="B74" s="1" t="s">
        <v>29356</v>
      </c>
      <c r="C74" s="1" t="s">
        <v>29357</v>
      </c>
      <c r="D74" s="1" t="s">
        <v>29358</v>
      </c>
      <c r="E74" s="1">
        <v>25</v>
      </c>
      <c r="F74" s="1" t="s">
        <v>15138</v>
      </c>
      <c r="G74" s="1" t="s">
        <v>14198</v>
      </c>
      <c r="H74" s="1" t="s">
        <v>29359</v>
      </c>
      <c r="I74" s="4" t="s">
        <v>29360</v>
      </c>
      <c r="J74" s="3" t="s">
        <v>29361</v>
      </c>
      <c r="K74" s="1" t="s">
        <v>28858</v>
      </c>
    </row>
    <row r="75" spans="1:11" ht="13.8">
      <c r="A75" s="1" t="s">
        <v>29362</v>
      </c>
      <c r="B75" s="1" t="s">
        <v>29363</v>
      </c>
      <c r="C75" s="1" t="s">
        <v>29364</v>
      </c>
      <c r="D75" s="1" t="s">
        <v>29365</v>
      </c>
      <c r="E75" s="1">
        <v>30</v>
      </c>
      <c r="F75" s="1" t="s">
        <v>145</v>
      </c>
      <c r="G75" s="1" t="s">
        <v>14198</v>
      </c>
      <c r="H75" s="1" t="s">
        <v>29366</v>
      </c>
      <c r="I75" s="1" t="s">
        <v>29367</v>
      </c>
      <c r="J75" s="3" t="s">
        <v>29368</v>
      </c>
      <c r="K75" s="1" t="s">
        <v>28858</v>
      </c>
    </row>
    <row r="76" spans="1:11" ht="409.6">
      <c r="A76" s="1" t="s">
        <v>29369</v>
      </c>
      <c r="B76" s="1" t="s">
        <v>29370</v>
      </c>
      <c r="C76" s="1" t="s">
        <v>29371</v>
      </c>
      <c r="D76" s="1" t="s">
        <v>29372</v>
      </c>
      <c r="E76" s="1">
        <v>35</v>
      </c>
      <c r="F76" s="1" t="s">
        <v>14207</v>
      </c>
      <c r="G76" s="1" t="s">
        <v>14198</v>
      </c>
      <c r="H76" s="4" t="s">
        <v>29373</v>
      </c>
      <c r="I76" s="1" t="s">
        <v>29374</v>
      </c>
      <c r="J76" s="3" t="s">
        <v>29375</v>
      </c>
      <c r="K76" s="1" t="s">
        <v>28858</v>
      </c>
    </row>
    <row r="77" spans="1:11" ht="409.6">
      <c r="A77" s="1" t="s">
        <v>29376</v>
      </c>
      <c r="B77" s="1" t="s">
        <v>29377</v>
      </c>
      <c r="C77" s="1" t="s">
        <v>29378</v>
      </c>
      <c r="D77" s="1" t="s">
        <v>29379</v>
      </c>
      <c r="E77" s="1">
        <v>65</v>
      </c>
      <c r="F77" s="1" t="s">
        <v>145</v>
      </c>
      <c r="G77" s="1" t="s">
        <v>14198</v>
      </c>
      <c r="H77" s="1" t="s">
        <v>29380</v>
      </c>
      <c r="I77" s="4" t="s">
        <v>29381</v>
      </c>
      <c r="J77" s="3" t="s">
        <v>29382</v>
      </c>
      <c r="K77" s="1" t="s">
        <v>28858</v>
      </c>
    </row>
    <row r="78" spans="1:11" ht="409.6">
      <c r="A78" s="1" t="s">
        <v>29383</v>
      </c>
      <c r="B78" s="1" t="s">
        <v>29384</v>
      </c>
      <c r="C78" s="1" t="s">
        <v>29385</v>
      </c>
      <c r="D78" s="1" t="s">
        <v>29386</v>
      </c>
      <c r="E78" s="1">
        <v>60</v>
      </c>
      <c r="F78" s="1" t="s">
        <v>15138</v>
      </c>
      <c r="G78" s="1" t="s">
        <v>14198</v>
      </c>
      <c r="H78" s="4" t="s">
        <v>29387</v>
      </c>
      <c r="I78" s="4" t="s">
        <v>29388</v>
      </c>
      <c r="J78" s="3" t="s">
        <v>29389</v>
      </c>
      <c r="K78" s="1" t="s">
        <v>28858</v>
      </c>
    </row>
    <row r="79" spans="1:11" ht="409.6">
      <c r="A79" s="1" t="s">
        <v>29390</v>
      </c>
      <c r="B79" s="1" t="s">
        <v>29391</v>
      </c>
      <c r="C79" s="1" t="s">
        <v>29392</v>
      </c>
      <c r="D79" s="1" t="s">
        <v>29393</v>
      </c>
      <c r="E79" s="1">
        <v>50</v>
      </c>
      <c r="F79" s="1" t="s">
        <v>15138</v>
      </c>
      <c r="G79" s="1" t="s">
        <v>14338</v>
      </c>
      <c r="H79" s="4" t="s">
        <v>29394</v>
      </c>
      <c r="I79" s="1" t="s">
        <v>29395</v>
      </c>
      <c r="J79" s="3" t="s">
        <v>29396</v>
      </c>
      <c r="K79" s="1" t="s">
        <v>28858</v>
      </c>
    </row>
    <row r="80" spans="1:11" ht="13.8">
      <c r="A80" s="1" t="s">
        <v>29397</v>
      </c>
      <c r="B80" s="1" t="s">
        <v>29398</v>
      </c>
      <c r="C80" s="1" t="s">
        <v>29399</v>
      </c>
      <c r="D80" s="1" t="s">
        <v>29400</v>
      </c>
      <c r="E80" s="1">
        <v>25</v>
      </c>
      <c r="F80" s="1" t="s">
        <v>14281</v>
      </c>
      <c r="G80" s="1" t="s">
        <v>14198</v>
      </c>
      <c r="H80" s="1" t="s">
        <v>29401</v>
      </c>
      <c r="I80" s="1" t="s">
        <v>29402</v>
      </c>
      <c r="J80" s="3" t="s">
        <v>29403</v>
      </c>
      <c r="K80" s="1" t="s">
        <v>28858</v>
      </c>
    </row>
    <row r="81" spans="1:11" ht="13.8">
      <c r="A81" s="1" t="s">
        <v>29404</v>
      </c>
      <c r="B81" s="1" t="s">
        <v>29405</v>
      </c>
      <c r="C81" s="1" t="s">
        <v>29406</v>
      </c>
      <c r="D81" s="1" t="s">
        <v>29407</v>
      </c>
      <c r="E81" s="1">
        <v>40</v>
      </c>
      <c r="F81" s="1" t="s">
        <v>145</v>
      </c>
      <c r="G81" s="1" t="s">
        <v>14198</v>
      </c>
      <c r="H81" s="1" t="s">
        <v>29408</v>
      </c>
      <c r="I81" s="1" t="s">
        <v>29409</v>
      </c>
      <c r="J81" s="3" t="s">
        <v>29410</v>
      </c>
      <c r="K81" s="1" t="s">
        <v>28858</v>
      </c>
    </row>
    <row r="82" spans="1:11" ht="409.6">
      <c r="A82" s="1" t="s">
        <v>29411</v>
      </c>
      <c r="B82" s="1" t="s">
        <v>29412</v>
      </c>
      <c r="C82" s="1" t="s">
        <v>29413</v>
      </c>
      <c r="D82" s="1" t="s">
        <v>29414</v>
      </c>
      <c r="E82" s="1">
        <v>225</v>
      </c>
      <c r="F82" s="1" t="s">
        <v>15138</v>
      </c>
      <c r="G82" s="1" t="s">
        <v>14198</v>
      </c>
      <c r="H82" s="4" t="s">
        <v>29415</v>
      </c>
      <c r="I82" s="4" t="s">
        <v>29416</v>
      </c>
      <c r="J82" s="3" t="s">
        <v>29417</v>
      </c>
      <c r="K82" s="1" t="s">
        <v>28858</v>
      </c>
    </row>
    <row r="83" spans="1:11" ht="409.6">
      <c r="A83" s="1" t="s">
        <v>29418</v>
      </c>
      <c r="B83" s="1" t="s">
        <v>29419</v>
      </c>
      <c r="C83" s="1" t="s">
        <v>29420</v>
      </c>
      <c r="D83" s="1" t="s">
        <v>29421</v>
      </c>
      <c r="E83" s="1">
        <v>40</v>
      </c>
      <c r="F83" s="1" t="s">
        <v>145</v>
      </c>
      <c r="G83" s="1" t="s">
        <v>14198</v>
      </c>
      <c r="H83" s="4" t="s">
        <v>29422</v>
      </c>
      <c r="I83" s="1" t="s">
        <v>29423</v>
      </c>
      <c r="J83" s="3" t="s">
        <v>29424</v>
      </c>
      <c r="K83" s="1" t="s">
        <v>28858</v>
      </c>
    </row>
    <row r="84" spans="1:11" ht="409.6">
      <c r="A84" s="1" t="s">
        <v>29425</v>
      </c>
      <c r="B84" s="1" t="s">
        <v>29426</v>
      </c>
      <c r="C84" s="1" t="s">
        <v>29427</v>
      </c>
      <c r="D84" s="1" t="s">
        <v>29428</v>
      </c>
      <c r="E84" s="1">
        <v>15</v>
      </c>
      <c r="F84" s="1" t="s">
        <v>14207</v>
      </c>
      <c r="G84" s="1" t="s">
        <v>14198</v>
      </c>
      <c r="H84" s="4" t="s">
        <v>29429</v>
      </c>
      <c r="I84" s="4" t="s">
        <v>29430</v>
      </c>
      <c r="J84" s="3" t="s">
        <v>29431</v>
      </c>
      <c r="K84" s="1" t="s">
        <v>28858</v>
      </c>
    </row>
    <row r="85" spans="1:11" ht="409.6">
      <c r="A85" s="1" t="s">
        <v>29432</v>
      </c>
      <c r="B85" s="1" t="s">
        <v>29433</v>
      </c>
      <c r="C85" s="1" t="s">
        <v>29434</v>
      </c>
      <c r="D85" s="1" t="s">
        <v>29435</v>
      </c>
      <c r="E85" s="1">
        <v>15</v>
      </c>
      <c r="F85" s="1" t="s">
        <v>14281</v>
      </c>
      <c r="G85" s="1" t="s">
        <v>14198</v>
      </c>
      <c r="H85" s="4" t="s">
        <v>29436</v>
      </c>
      <c r="I85" s="1" t="s">
        <v>29437</v>
      </c>
      <c r="J85" s="3" t="s">
        <v>29438</v>
      </c>
      <c r="K85" s="1" t="s">
        <v>28858</v>
      </c>
    </row>
    <row r="86" spans="1:11" ht="409.6">
      <c r="A86" s="1" t="s">
        <v>29439</v>
      </c>
      <c r="B86" s="1" t="s">
        <v>29440</v>
      </c>
      <c r="C86" s="1" t="s">
        <v>29441</v>
      </c>
      <c r="D86" s="1" t="s">
        <v>29442</v>
      </c>
      <c r="E86" s="1">
        <v>30</v>
      </c>
      <c r="F86" s="1" t="s">
        <v>429</v>
      </c>
      <c r="G86" s="1" t="s">
        <v>14338</v>
      </c>
      <c r="H86" s="1" t="s">
        <v>29443</v>
      </c>
      <c r="I86" s="4" t="s">
        <v>29444</v>
      </c>
      <c r="J86" s="3" t="s">
        <v>29445</v>
      </c>
      <c r="K86" s="1" t="s">
        <v>28858</v>
      </c>
    </row>
    <row r="87" spans="1:11" ht="13.8">
      <c r="A87" s="1" t="s">
        <v>29446</v>
      </c>
      <c r="B87" s="1" t="s">
        <v>29447</v>
      </c>
      <c r="C87" s="1" t="s">
        <v>29448</v>
      </c>
      <c r="D87" s="1" t="s">
        <v>29449</v>
      </c>
      <c r="E87" s="1">
        <v>30</v>
      </c>
      <c r="F87" s="1" t="s">
        <v>15138</v>
      </c>
      <c r="G87" s="1" t="s">
        <v>14198</v>
      </c>
      <c r="H87" s="1" t="s">
        <v>29450</v>
      </c>
      <c r="I87" s="1" t="s">
        <v>29451</v>
      </c>
      <c r="J87" s="3" t="s">
        <v>29452</v>
      </c>
      <c r="K87" s="1" t="s">
        <v>28858</v>
      </c>
    </row>
    <row r="88" spans="1:11" ht="409.6">
      <c r="A88" s="1" t="s">
        <v>29453</v>
      </c>
      <c r="B88" s="1" t="s">
        <v>29454</v>
      </c>
      <c r="C88" s="1" t="s">
        <v>29455</v>
      </c>
      <c r="D88" s="1" t="s">
        <v>29456</v>
      </c>
      <c r="E88" s="1">
        <v>45</v>
      </c>
      <c r="F88" s="1" t="s">
        <v>14281</v>
      </c>
      <c r="G88" s="1" t="s">
        <v>14198</v>
      </c>
      <c r="H88" s="4" t="s">
        <v>29457</v>
      </c>
      <c r="I88" s="1" t="s">
        <v>29458</v>
      </c>
      <c r="J88" s="3" t="s">
        <v>29459</v>
      </c>
      <c r="K88" s="1" t="s">
        <v>28858</v>
      </c>
    </row>
    <row r="89" spans="1:11" ht="13.8">
      <c r="A89" s="1" t="s">
        <v>29460</v>
      </c>
      <c r="B89" s="1" t="s">
        <v>29461</v>
      </c>
      <c r="C89" s="1" t="s">
        <v>29462</v>
      </c>
      <c r="D89" s="1" t="s">
        <v>29463</v>
      </c>
      <c r="E89" s="1">
        <v>25</v>
      </c>
      <c r="F89" s="1" t="s">
        <v>14207</v>
      </c>
      <c r="G89" s="1" t="s">
        <v>14338</v>
      </c>
      <c r="H89" s="1" t="s">
        <v>29464</v>
      </c>
      <c r="I89" s="1" t="s">
        <v>29465</v>
      </c>
      <c r="J89" s="3" t="s">
        <v>29466</v>
      </c>
      <c r="K89" s="1" t="s">
        <v>28858</v>
      </c>
    </row>
    <row r="90" spans="1:11" ht="13.8">
      <c r="A90" s="1" t="s">
        <v>29467</v>
      </c>
      <c r="B90" s="1" t="s">
        <v>29468</v>
      </c>
      <c r="C90" s="1" t="s">
        <v>29469</v>
      </c>
      <c r="D90" s="1" t="s">
        <v>29470</v>
      </c>
      <c r="E90" s="1">
        <v>80</v>
      </c>
      <c r="F90" s="1" t="s">
        <v>8417</v>
      </c>
      <c r="G90" s="1" t="s">
        <v>14198</v>
      </c>
      <c r="H90" s="1" t="s">
        <v>29471</v>
      </c>
      <c r="I90" s="1" t="s">
        <v>29472</v>
      </c>
      <c r="J90" s="3" t="s">
        <v>29473</v>
      </c>
      <c r="K90" s="1" t="s">
        <v>28858</v>
      </c>
    </row>
    <row r="91" spans="1:11" ht="13.8">
      <c r="A91" s="1" t="s">
        <v>29474</v>
      </c>
      <c r="B91" s="1" t="s">
        <v>29475</v>
      </c>
      <c r="C91" s="1" t="s">
        <v>29476</v>
      </c>
      <c r="D91" s="1" t="s">
        <v>29477</v>
      </c>
      <c r="E91" s="1">
        <v>185</v>
      </c>
      <c r="F91" s="1" t="s">
        <v>14281</v>
      </c>
      <c r="G91" s="1" t="s">
        <v>14198</v>
      </c>
      <c r="H91" s="1" t="s">
        <v>29478</v>
      </c>
      <c r="I91" s="1" t="s">
        <v>29479</v>
      </c>
      <c r="J91" s="3" t="s">
        <v>29480</v>
      </c>
      <c r="K91" s="1" t="s">
        <v>28858</v>
      </c>
    </row>
    <row r="92" spans="1:11" ht="409.6">
      <c r="A92" s="1" t="s">
        <v>29481</v>
      </c>
      <c r="B92" s="1" t="s">
        <v>29482</v>
      </c>
      <c r="C92" s="1" t="s">
        <v>29483</v>
      </c>
      <c r="D92" s="1" t="s">
        <v>29484</v>
      </c>
      <c r="E92" s="1">
        <v>210</v>
      </c>
      <c r="F92" s="1" t="s">
        <v>15138</v>
      </c>
      <c r="G92" s="1" t="s">
        <v>14198</v>
      </c>
      <c r="H92" s="1" t="s">
        <v>29485</v>
      </c>
      <c r="I92" s="4" t="s">
        <v>29486</v>
      </c>
      <c r="J92" s="3" t="s">
        <v>29487</v>
      </c>
      <c r="K92" s="1" t="s">
        <v>28858</v>
      </c>
    </row>
    <row r="93" spans="1:11" ht="409.6">
      <c r="A93" s="1" t="s">
        <v>29488</v>
      </c>
      <c r="B93" s="1" t="s">
        <v>29489</v>
      </c>
      <c r="C93" s="1" t="s">
        <v>29490</v>
      </c>
      <c r="D93" s="1" t="s">
        <v>29491</v>
      </c>
      <c r="E93" s="1">
        <v>55</v>
      </c>
      <c r="F93" s="1" t="s">
        <v>145</v>
      </c>
      <c r="G93" s="1" t="s">
        <v>14367</v>
      </c>
      <c r="H93" s="1" t="s">
        <v>29492</v>
      </c>
      <c r="I93" s="4" t="s">
        <v>29493</v>
      </c>
      <c r="J93" s="3" t="s">
        <v>29494</v>
      </c>
      <c r="K93" s="1" t="s">
        <v>28858</v>
      </c>
    </row>
    <row r="94" spans="1:11" ht="409.6">
      <c r="A94" s="1" t="s">
        <v>29495</v>
      </c>
      <c r="B94" s="1" t="s">
        <v>29496</v>
      </c>
      <c r="C94" s="1" t="s">
        <v>29497</v>
      </c>
      <c r="D94" s="1" t="s">
        <v>29498</v>
      </c>
      <c r="E94" s="1">
        <v>15</v>
      </c>
      <c r="F94" s="1" t="s">
        <v>14207</v>
      </c>
      <c r="G94" s="1" t="s">
        <v>14198</v>
      </c>
      <c r="H94" s="1" t="s">
        <v>29499</v>
      </c>
      <c r="I94" s="4" t="s">
        <v>29500</v>
      </c>
      <c r="J94" s="3" t="s">
        <v>29501</v>
      </c>
      <c r="K94" s="1" t="s">
        <v>28858</v>
      </c>
    </row>
    <row r="95" spans="1:11" ht="13.8">
      <c r="A95" s="1" t="s">
        <v>29502</v>
      </c>
      <c r="B95" s="1" t="s">
        <v>29503</v>
      </c>
      <c r="C95" s="1" t="s">
        <v>29504</v>
      </c>
      <c r="D95" s="1" t="s">
        <v>29505</v>
      </c>
      <c r="E95" s="1">
        <v>35</v>
      </c>
      <c r="F95" s="1" t="s">
        <v>8417</v>
      </c>
      <c r="G95" s="1" t="s">
        <v>14198</v>
      </c>
      <c r="H95" s="1" t="s">
        <v>29506</v>
      </c>
      <c r="I95" s="1" t="s">
        <v>29507</v>
      </c>
      <c r="J95" s="3" t="s">
        <v>29508</v>
      </c>
      <c r="K95" s="1" t="s">
        <v>28858</v>
      </c>
    </row>
    <row r="96" spans="1:11" ht="13.8">
      <c r="A96" s="1" t="s">
        <v>29509</v>
      </c>
      <c r="B96" s="1" t="s">
        <v>29510</v>
      </c>
      <c r="C96" s="1" t="s">
        <v>29511</v>
      </c>
      <c r="D96" s="1" t="s">
        <v>29512</v>
      </c>
      <c r="E96" s="1">
        <v>360</v>
      </c>
      <c r="F96" s="1" t="s">
        <v>14281</v>
      </c>
      <c r="G96" s="1" t="s">
        <v>14198</v>
      </c>
      <c r="H96" s="1" t="s">
        <v>29513</v>
      </c>
      <c r="I96" s="1" t="s">
        <v>29514</v>
      </c>
      <c r="J96" s="3" t="s">
        <v>29515</v>
      </c>
      <c r="K96" s="1" t="s">
        <v>28858</v>
      </c>
    </row>
    <row r="97" spans="1:11" ht="13.8">
      <c r="A97" s="1" t="s">
        <v>29516</v>
      </c>
      <c r="B97" s="1" t="s">
        <v>29517</v>
      </c>
      <c r="C97" s="1" t="s">
        <v>29518</v>
      </c>
      <c r="D97" s="1" t="s">
        <v>29519</v>
      </c>
      <c r="E97" s="1">
        <v>40</v>
      </c>
      <c r="F97" s="1" t="s">
        <v>8417</v>
      </c>
      <c r="G97" s="1" t="s">
        <v>14198</v>
      </c>
      <c r="H97" s="1" t="s">
        <v>29520</v>
      </c>
      <c r="I97" s="1" t="s">
        <v>29521</v>
      </c>
      <c r="J97" s="3" t="s">
        <v>29522</v>
      </c>
      <c r="K97" s="1" t="s">
        <v>28858</v>
      </c>
    </row>
    <row r="98" spans="1:11" ht="13.8">
      <c r="A98" s="1" t="s">
        <v>29523</v>
      </c>
      <c r="B98" s="1" t="s">
        <v>29524</v>
      </c>
      <c r="C98" s="1" t="s">
        <v>29525</v>
      </c>
      <c r="D98" s="1" t="s">
        <v>29526</v>
      </c>
      <c r="E98" s="1">
        <v>40</v>
      </c>
      <c r="F98" s="1" t="s">
        <v>14207</v>
      </c>
      <c r="G98" s="1" t="s">
        <v>14198</v>
      </c>
      <c r="H98" s="1" t="s">
        <v>29527</v>
      </c>
      <c r="I98" s="1" t="s">
        <v>29528</v>
      </c>
      <c r="J98" s="3" t="s">
        <v>29529</v>
      </c>
      <c r="K98" s="1" t="s">
        <v>28858</v>
      </c>
    </row>
    <row r="99" spans="1:11" ht="409.6">
      <c r="A99" s="1" t="s">
        <v>29530</v>
      </c>
      <c r="B99" s="1" t="s">
        <v>29531</v>
      </c>
      <c r="C99" s="1" t="s">
        <v>29532</v>
      </c>
      <c r="D99" s="1" t="s">
        <v>29533</v>
      </c>
      <c r="E99" s="1">
        <v>30</v>
      </c>
      <c r="F99" s="1" t="s">
        <v>15138</v>
      </c>
      <c r="G99" s="1" t="s">
        <v>14198</v>
      </c>
      <c r="H99" s="4" t="s">
        <v>29534</v>
      </c>
      <c r="I99" s="4" t="s">
        <v>29535</v>
      </c>
      <c r="J99" s="3" t="s">
        <v>29536</v>
      </c>
      <c r="K99" s="1" t="s">
        <v>28858</v>
      </c>
    </row>
    <row r="100" spans="1:11" ht="409.6">
      <c r="A100" s="1" t="s">
        <v>29537</v>
      </c>
      <c r="B100" s="1" t="s">
        <v>29538</v>
      </c>
      <c r="C100" s="1" t="s">
        <v>29539</v>
      </c>
      <c r="D100" s="1" t="s">
        <v>29540</v>
      </c>
      <c r="E100" s="1">
        <v>50</v>
      </c>
      <c r="F100" s="1" t="s">
        <v>14281</v>
      </c>
      <c r="G100" s="1" t="s">
        <v>14198</v>
      </c>
      <c r="H100" s="4" t="s">
        <v>29541</v>
      </c>
      <c r="I100" s="4" t="s">
        <v>29542</v>
      </c>
      <c r="J100" s="3" t="s">
        <v>29543</v>
      </c>
      <c r="K100" s="1" t="s">
        <v>28858</v>
      </c>
    </row>
    <row r="101" spans="1:11" ht="409.6">
      <c r="A101" s="1" t="s">
        <v>29544</v>
      </c>
      <c r="B101" s="1" t="s">
        <v>29545</v>
      </c>
      <c r="C101" s="1" t="s">
        <v>29546</v>
      </c>
      <c r="D101" s="1" t="s">
        <v>29547</v>
      </c>
      <c r="E101" s="1">
        <v>50</v>
      </c>
      <c r="F101" s="1" t="s">
        <v>429</v>
      </c>
      <c r="G101" s="1" t="s">
        <v>14198</v>
      </c>
      <c r="H101" s="4" t="s">
        <v>29548</v>
      </c>
      <c r="I101" s="1" t="s">
        <v>29549</v>
      </c>
      <c r="J101" s="3" t="s">
        <v>29550</v>
      </c>
      <c r="K101" s="1" t="s">
        <v>28858</v>
      </c>
    </row>
    <row r="102" spans="1:11" ht="409.6">
      <c r="A102" s="1" t="s">
        <v>29551</v>
      </c>
      <c r="B102" s="1" t="s">
        <v>29552</v>
      </c>
      <c r="C102" s="1" t="s">
        <v>29553</v>
      </c>
      <c r="D102" s="1" t="s">
        <v>29554</v>
      </c>
      <c r="E102" s="1">
        <v>390</v>
      </c>
      <c r="F102" s="1" t="s">
        <v>15138</v>
      </c>
      <c r="G102" s="1" t="s">
        <v>14198</v>
      </c>
      <c r="H102" s="4" t="s">
        <v>29555</v>
      </c>
      <c r="I102" s="4" t="s">
        <v>29556</v>
      </c>
      <c r="J102" s="3" t="s">
        <v>29557</v>
      </c>
      <c r="K102" s="1" t="s">
        <v>28858</v>
      </c>
    </row>
    <row r="103" spans="1:11" ht="409.6">
      <c r="A103" s="1" t="s">
        <v>29558</v>
      </c>
      <c r="B103" s="1" t="s">
        <v>29559</v>
      </c>
      <c r="C103" s="1" t="s">
        <v>29560</v>
      </c>
      <c r="D103" s="1" t="s">
        <v>29561</v>
      </c>
      <c r="E103" s="1">
        <v>40</v>
      </c>
      <c r="F103" s="1" t="s">
        <v>145</v>
      </c>
      <c r="G103" s="1" t="s">
        <v>14198</v>
      </c>
      <c r="H103" s="4" t="s">
        <v>29562</v>
      </c>
      <c r="I103" s="1" t="s">
        <v>29563</v>
      </c>
      <c r="J103" s="3" t="s">
        <v>29564</v>
      </c>
      <c r="K103" s="1" t="s">
        <v>28858</v>
      </c>
    </row>
    <row r="104" spans="1:11" ht="409.6">
      <c r="A104" s="1" t="s">
        <v>29565</v>
      </c>
      <c r="B104" s="1" t="s">
        <v>29566</v>
      </c>
      <c r="C104" s="1" t="s">
        <v>29567</v>
      </c>
      <c r="D104" s="1" t="s">
        <v>29568</v>
      </c>
      <c r="E104" s="1">
        <v>30</v>
      </c>
      <c r="F104" s="1" t="s">
        <v>14207</v>
      </c>
      <c r="G104" s="1" t="s">
        <v>14198</v>
      </c>
      <c r="H104" s="4" t="s">
        <v>29569</v>
      </c>
      <c r="I104" s="1" t="s">
        <v>29570</v>
      </c>
      <c r="J104" s="3" t="s">
        <v>29571</v>
      </c>
      <c r="K104" s="1" t="s">
        <v>28858</v>
      </c>
    </row>
    <row r="105" spans="1:11" ht="13.8">
      <c r="A105" s="1" t="s">
        <v>29572</v>
      </c>
      <c r="B105" s="1" t="s">
        <v>29573</v>
      </c>
      <c r="C105" s="1" t="s">
        <v>29574</v>
      </c>
      <c r="D105" s="1" t="s">
        <v>29575</v>
      </c>
      <c r="E105" s="1">
        <v>20</v>
      </c>
      <c r="F105" s="1" t="s">
        <v>15138</v>
      </c>
      <c r="G105" s="1" t="s">
        <v>14338</v>
      </c>
      <c r="H105" s="1" t="s">
        <v>29576</v>
      </c>
      <c r="I105" s="1" t="s">
        <v>29577</v>
      </c>
      <c r="J105" s="3" t="s">
        <v>29578</v>
      </c>
      <c r="K105" s="1" t="s">
        <v>28858</v>
      </c>
    </row>
    <row r="106" spans="1:11" ht="13.8">
      <c r="A106" s="1" t="s">
        <v>29579</v>
      </c>
      <c r="B106" s="1" t="s">
        <v>29580</v>
      </c>
      <c r="C106" s="1" t="s">
        <v>29581</v>
      </c>
      <c r="D106" s="1" t="s">
        <v>29582</v>
      </c>
      <c r="E106" s="1">
        <v>35</v>
      </c>
      <c r="F106" s="1" t="s">
        <v>14207</v>
      </c>
      <c r="G106" s="1" t="s">
        <v>14198</v>
      </c>
      <c r="H106" s="1" t="s">
        <v>29583</v>
      </c>
      <c r="I106" s="1" t="s">
        <v>29584</v>
      </c>
      <c r="J106" s="3" t="s">
        <v>29585</v>
      </c>
      <c r="K106" s="1" t="s">
        <v>28858</v>
      </c>
    </row>
    <row r="107" spans="1:11" ht="13.8">
      <c r="A107" s="1" t="s">
        <v>29586</v>
      </c>
      <c r="B107" s="1" t="s">
        <v>29587</v>
      </c>
      <c r="C107" s="1" t="s">
        <v>29588</v>
      </c>
      <c r="D107" s="1" t="s">
        <v>29589</v>
      </c>
      <c r="E107" s="1">
        <v>45</v>
      </c>
      <c r="F107" s="1" t="s">
        <v>15138</v>
      </c>
      <c r="G107" s="1" t="s">
        <v>14198</v>
      </c>
      <c r="H107" s="1" t="s">
        <v>29590</v>
      </c>
      <c r="I107" s="1" t="s">
        <v>29591</v>
      </c>
      <c r="J107" s="3" t="s">
        <v>29592</v>
      </c>
      <c r="K107" s="1" t="s">
        <v>28858</v>
      </c>
    </row>
    <row r="108" spans="1:11" ht="13.8">
      <c r="A108" s="1" t="s">
        <v>29593</v>
      </c>
      <c r="B108" s="1" t="s">
        <v>29594</v>
      </c>
      <c r="C108" s="1" t="s">
        <v>29595</v>
      </c>
      <c r="D108" s="1" t="s">
        <v>29596</v>
      </c>
      <c r="E108" s="1">
        <v>30</v>
      </c>
      <c r="F108" s="1" t="s">
        <v>429</v>
      </c>
      <c r="G108" s="1" t="s">
        <v>14338</v>
      </c>
      <c r="H108" s="1" t="s">
        <v>29597</v>
      </c>
      <c r="I108" s="1" t="s">
        <v>29598</v>
      </c>
      <c r="J108" s="3" t="s">
        <v>29599</v>
      </c>
      <c r="K108" s="1" t="s">
        <v>28858</v>
      </c>
    </row>
    <row r="109" spans="1:11" ht="409.6">
      <c r="A109" s="1" t="s">
        <v>29600</v>
      </c>
      <c r="B109" s="1" t="s">
        <v>29601</v>
      </c>
      <c r="C109" s="1" t="s">
        <v>29602</v>
      </c>
      <c r="D109" s="1" t="s">
        <v>29603</v>
      </c>
      <c r="E109" s="1">
        <v>40</v>
      </c>
      <c r="F109" s="1" t="s">
        <v>14281</v>
      </c>
      <c r="G109" s="1" t="s">
        <v>14198</v>
      </c>
      <c r="H109" s="1" t="s">
        <v>29604</v>
      </c>
      <c r="I109" s="4" t="s">
        <v>29605</v>
      </c>
      <c r="J109" s="3" t="s">
        <v>29606</v>
      </c>
      <c r="K109" s="1" t="s">
        <v>28858</v>
      </c>
    </row>
    <row r="110" spans="1:11" ht="409.6">
      <c r="A110" s="1" t="s">
        <v>29607</v>
      </c>
      <c r="B110" s="1" t="s">
        <v>29608</v>
      </c>
      <c r="C110" s="1" t="s">
        <v>29609</v>
      </c>
      <c r="D110" s="1" t="s">
        <v>29610</v>
      </c>
      <c r="E110" s="1">
        <v>25</v>
      </c>
      <c r="F110" s="1" t="s">
        <v>14281</v>
      </c>
      <c r="G110" s="1" t="s">
        <v>14198</v>
      </c>
      <c r="H110" s="4" t="s">
        <v>29611</v>
      </c>
      <c r="I110" s="1" t="s">
        <v>29612</v>
      </c>
      <c r="J110" s="3" t="s">
        <v>29613</v>
      </c>
      <c r="K110" s="1" t="s">
        <v>28858</v>
      </c>
    </row>
    <row r="111" spans="1:11" ht="409.6">
      <c r="A111" s="1" t="s">
        <v>29614</v>
      </c>
      <c r="B111" s="1" t="s">
        <v>29615</v>
      </c>
      <c r="C111" s="1" t="s">
        <v>29616</v>
      </c>
      <c r="D111" s="1" t="s">
        <v>29617</v>
      </c>
      <c r="E111" s="1">
        <v>30</v>
      </c>
      <c r="F111" s="1" t="s">
        <v>14207</v>
      </c>
      <c r="G111" s="1" t="s">
        <v>14338</v>
      </c>
      <c r="H111" s="1" t="s">
        <v>29618</v>
      </c>
      <c r="I111" s="4" t="s">
        <v>29619</v>
      </c>
      <c r="J111" s="3" t="s">
        <v>29620</v>
      </c>
      <c r="K111" s="1" t="s">
        <v>28858</v>
      </c>
    </row>
    <row r="112" spans="1:11" ht="409.6">
      <c r="A112" s="1" t="s">
        <v>29621</v>
      </c>
      <c r="B112" s="1" t="s">
        <v>29622</v>
      </c>
      <c r="C112" s="1" t="s">
        <v>29623</v>
      </c>
      <c r="D112" s="1" t="s">
        <v>29624</v>
      </c>
      <c r="E112" s="1">
        <v>30</v>
      </c>
      <c r="F112" s="1" t="s">
        <v>429</v>
      </c>
      <c r="G112" s="1" t="s">
        <v>14198</v>
      </c>
      <c r="H112" s="4" t="s">
        <v>29625</v>
      </c>
      <c r="I112" s="4" t="s">
        <v>29626</v>
      </c>
      <c r="J112" s="3" t="s">
        <v>29627</v>
      </c>
      <c r="K112" s="1" t="s">
        <v>28858</v>
      </c>
    </row>
    <row r="113" spans="1:11" ht="409.6">
      <c r="A113" s="1" t="s">
        <v>29628</v>
      </c>
      <c r="B113" s="1" t="s">
        <v>29629</v>
      </c>
      <c r="C113" s="1" t="s">
        <v>29630</v>
      </c>
      <c r="D113" s="1" t="s">
        <v>29631</v>
      </c>
      <c r="E113" s="1">
        <v>55</v>
      </c>
      <c r="F113" s="1" t="s">
        <v>8417</v>
      </c>
      <c r="G113" s="1" t="s">
        <v>14198</v>
      </c>
      <c r="H113" s="4" t="s">
        <v>29632</v>
      </c>
      <c r="I113" s="4" t="s">
        <v>29633</v>
      </c>
      <c r="J113" s="3" t="s">
        <v>29634</v>
      </c>
      <c r="K113" s="1" t="s">
        <v>28858</v>
      </c>
    </row>
    <row r="114" spans="1:11" ht="409.6">
      <c r="A114" s="1" t="s">
        <v>29635</v>
      </c>
      <c r="B114" s="1" t="s">
        <v>29636</v>
      </c>
      <c r="C114" s="1" t="s">
        <v>29637</v>
      </c>
      <c r="D114" s="1" t="s">
        <v>29638</v>
      </c>
      <c r="E114" s="1">
        <v>30</v>
      </c>
      <c r="F114" s="1" t="s">
        <v>8417</v>
      </c>
      <c r="G114" s="1" t="s">
        <v>14198</v>
      </c>
      <c r="H114" s="4" t="s">
        <v>29639</v>
      </c>
      <c r="I114" s="4" t="s">
        <v>29640</v>
      </c>
      <c r="J114" s="3" t="s">
        <v>29641</v>
      </c>
      <c r="K114" s="1" t="s">
        <v>28858</v>
      </c>
    </row>
    <row r="115" spans="1:11" ht="409.6">
      <c r="A115" s="1" t="s">
        <v>29642</v>
      </c>
      <c r="B115" s="1" t="s">
        <v>29643</v>
      </c>
      <c r="C115" s="1" t="s">
        <v>29644</v>
      </c>
      <c r="D115" s="1" t="s">
        <v>29645</v>
      </c>
      <c r="E115" s="1">
        <v>40</v>
      </c>
      <c r="F115" s="1" t="s">
        <v>15138</v>
      </c>
      <c r="G115" s="1" t="s">
        <v>14198</v>
      </c>
      <c r="H115" s="4" t="s">
        <v>29646</v>
      </c>
      <c r="I115" s="1" t="s">
        <v>29647</v>
      </c>
      <c r="J115" s="3" t="s">
        <v>29648</v>
      </c>
      <c r="K115" s="1" t="s">
        <v>28858</v>
      </c>
    </row>
    <row r="116" spans="1:11" ht="409.6">
      <c r="A116" s="1" t="s">
        <v>29649</v>
      </c>
      <c r="B116" s="1" t="s">
        <v>29650</v>
      </c>
      <c r="C116" s="1" t="s">
        <v>29651</v>
      </c>
      <c r="D116" s="1" t="s">
        <v>29652</v>
      </c>
      <c r="E116" s="1">
        <v>520</v>
      </c>
      <c r="F116" s="1" t="s">
        <v>15138</v>
      </c>
      <c r="G116" s="1" t="s">
        <v>14198</v>
      </c>
      <c r="H116" s="4" t="s">
        <v>29653</v>
      </c>
      <c r="I116" s="4" t="s">
        <v>29654</v>
      </c>
      <c r="J116" s="3" t="s">
        <v>29655</v>
      </c>
      <c r="K116" s="1" t="s">
        <v>28858</v>
      </c>
    </row>
    <row r="117" spans="1:11" ht="409.6">
      <c r="A117" s="1" t="s">
        <v>29656</v>
      </c>
      <c r="B117" s="1" t="s">
        <v>29657</v>
      </c>
      <c r="C117" s="1" t="s">
        <v>29658</v>
      </c>
      <c r="D117" s="1" t="s">
        <v>29659</v>
      </c>
      <c r="E117" s="1">
        <v>30</v>
      </c>
      <c r="F117" s="1" t="s">
        <v>14281</v>
      </c>
      <c r="G117" s="1" t="s">
        <v>14198</v>
      </c>
      <c r="H117" s="4" t="s">
        <v>29660</v>
      </c>
      <c r="I117" s="1" t="s">
        <v>29661</v>
      </c>
      <c r="J117" s="3" t="s">
        <v>29662</v>
      </c>
      <c r="K117" s="1" t="s">
        <v>28858</v>
      </c>
    </row>
    <row r="118" spans="1:11" ht="409.6">
      <c r="A118" s="1" t="s">
        <v>29663</v>
      </c>
      <c r="B118" s="1" t="s">
        <v>29664</v>
      </c>
      <c r="C118" s="1" t="s">
        <v>29665</v>
      </c>
      <c r="D118" s="1" t="s">
        <v>29666</v>
      </c>
      <c r="E118" s="1">
        <v>40</v>
      </c>
      <c r="F118" s="1" t="s">
        <v>14259</v>
      </c>
      <c r="G118" s="1" t="s">
        <v>14382</v>
      </c>
      <c r="H118" s="4" t="s">
        <v>29667</v>
      </c>
      <c r="I118" s="1" t="s">
        <v>29668</v>
      </c>
      <c r="J118" s="3" t="s">
        <v>29669</v>
      </c>
      <c r="K118" s="1" t="s">
        <v>28858</v>
      </c>
    </row>
    <row r="119" spans="1:11" ht="409.6">
      <c r="A119" s="1" t="s">
        <v>29670</v>
      </c>
      <c r="B119" s="1" t="s">
        <v>29671</v>
      </c>
      <c r="C119" s="1" t="s">
        <v>29672</v>
      </c>
      <c r="D119" s="1" t="s">
        <v>29673</v>
      </c>
      <c r="E119" s="1">
        <v>30</v>
      </c>
      <c r="F119" s="1" t="s">
        <v>14281</v>
      </c>
      <c r="G119" s="1" t="s">
        <v>14198</v>
      </c>
      <c r="H119" s="4" t="s">
        <v>29674</v>
      </c>
      <c r="I119" s="4" t="s">
        <v>29675</v>
      </c>
      <c r="J119" s="3" t="s">
        <v>29676</v>
      </c>
      <c r="K119" s="1" t="s">
        <v>28858</v>
      </c>
    </row>
    <row r="120" spans="1:11" ht="409.6">
      <c r="A120" s="1" t="s">
        <v>29677</v>
      </c>
      <c r="B120" s="1" t="s">
        <v>29678</v>
      </c>
      <c r="C120" s="1" t="s">
        <v>29679</v>
      </c>
      <c r="D120" s="1" t="s">
        <v>29680</v>
      </c>
      <c r="E120" s="1">
        <v>20</v>
      </c>
      <c r="F120" s="1" t="s">
        <v>14207</v>
      </c>
      <c r="G120" s="1" t="s">
        <v>14198</v>
      </c>
      <c r="H120" s="4" t="s">
        <v>29681</v>
      </c>
      <c r="I120" s="4" t="s">
        <v>29682</v>
      </c>
      <c r="J120" s="3" t="s">
        <v>29683</v>
      </c>
      <c r="K120" s="1" t="s">
        <v>28858</v>
      </c>
    </row>
    <row r="121" spans="1:11" ht="409.6">
      <c r="A121" s="1" t="s">
        <v>29684</v>
      </c>
      <c r="B121" s="1" t="s">
        <v>29685</v>
      </c>
      <c r="C121" s="1" t="s">
        <v>29686</v>
      </c>
      <c r="D121" s="1" t="s">
        <v>29687</v>
      </c>
      <c r="E121" s="1">
        <v>50</v>
      </c>
      <c r="F121" s="1" t="s">
        <v>8417</v>
      </c>
      <c r="G121" s="1" t="s">
        <v>14198</v>
      </c>
      <c r="H121" s="4" t="s">
        <v>29688</v>
      </c>
      <c r="I121" s="1" t="s">
        <v>29689</v>
      </c>
      <c r="J121" s="3" t="s">
        <v>29690</v>
      </c>
      <c r="K121" s="1" t="s">
        <v>28858</v>
      </c>
    </row>
    <row r="122" spans="1:11" ht="409.6">
      <c r="A122" s="1" t="s">
        <v>29691</v>
      </c>
      <c r="B122" s="1" t="s">
        <v>29691</v>
      </c>
      <c r="C122" s="1" t="s">
        <v>29692</v>
      </c>
      <c r="D122" s="1" t="s">
        <v>29693</v>
      </c>
      <c r="E122" s="1">
        <v>40</v>
      </c>
      <c r="F122" s="1" t="s">
        <v>15138</v>
      </c>
      <c r="G122" s="1" t="s">
        <v>14338</v>
      </c>
      <c r="H122" s="4" t="s">
        <v>29694</v>
      </c>
      <c r="I122" s="4" t="s">
        <v>29695</v>
      </c>
      <c r="J122" s="3" t="s">
        <v>29696</v>
      </c>
      <c r="K122" s="1" t="s">
        <v>28858</v>
      </c>
    </row>
    <row r="123" spans="1:11" ht="409.6">
      <c r="A123" s="1" t="s">
        <v>29697</v>
      </c>
      <c r="B123" s="1" t="s">
        <v>29698</v>
      </c>
      <c r="C123" s="1" t="s">
        <v>29699</v>
      </c>
      <c r="D123" s="1" t="s">
        <v>29700</v>
      </c>
      <c r="E123" s="1">
        <v>30</v>
      </c>
      <c r="F123" s="1" t="s">
        <v>145</v>
      </c>
      <c r="G123" s="1" t="s">
        <v>14237</v>
      </c>
      <c r="H123" s="1" t="s">
        <v>29701</v>
      </c>
      <c r="I123" s="4" t="s">
        <v>29702</v>
      </c>
      <c r="J123" s="3" t="s">
        <v>29703</v>
      </c>
      <c r="K123" s="1" t="s">
        <v>28858</v>
      </c>
    </row>
    <row r="124" spans="1:11" ht="13.8">
      <c r="A124" s="1" t="s">
        <v>29704</v>
      </c>
      <c r="B124" s="1" t="s">
        <v>29705</v>
      </c>
      <c r="C124" s="1" t="s">
        <v>29706</v>
      </c>
      <c r="D124" s="1" t="s">
        <v>29707</v>
      </c>
      <c r="E124" s="1">
        <v>20</v>
      </c>
      <c r="F124" s="1" t="s">
        <v>14207</v>
      </c>
      <c r="G124" s="1" t="s">
        <v>14198</v>
      </c>
      <c r="H124" s="1" t="s">
        <v>29708</v>
      </c>
      <c r="I124" s="1" t="s">
        <v>29709</v>
      </c>
      <c r="J124" s="3" t="s">
        <v>29710</v>
      </c>
      <c r="K124" s="1" t="s">
        <v>28858</v>
      </c>
    </row>
    <row r="125" spans="1:11" ht="409.6">
      <c r="A125" s="1" t="s">
        <v>29711</v>
      </c>
      <c r="B125" s="1" t="s">
        <v>29712</v>
      </c>
      <c r="C125" s="1" t="s">
        <v>29713</v>
      </c>
      <c r="D125" s="1" t="s">
        <v>29714</v>
      </c>
      <c r="E125" s="1">
        <v>50</v>
      </c>
      <c r="F125" s="1" t="s">
        <v>14281</v>
      </c>
      <c r="G125" s="1" t="s">
        <v>14338</v>
      </c>
      <c r="H125" s="4" t="s">
        <v>29715</v>
      </c>
      <c r="I125" s="1" t="s">
        <v>29716</v>
      </c>
      <c r="J125" s="3" t="s">
        <v>29717</v>
      </c>
      <c r="K125" s="1" t="s">
        <v>28858</v>
      </c>
    </row>
    <row r="126" spans="1:11" ht="409.6">
      <c r="A126" s="1" t="s">
        <v>29718</v>
      </c>
      <c r="B126" s="1" t="s">
        <v>29719</v>
      </c>
      <c r="C126" s="1" t="s">
        <v>29720</v>
      </c>
      <c r="D126" s="1" t="s">
        <v>29721</v>
      </c>
      <c r="E126" s="1">
        <v>65</v>
      </c>
      <c r="F126" s="1" t="s">
        <v>8417</v>
      </c>
      <c r="G126" s="1" t="s">
        <v>14198</v>
      </c>
      <c r="H126" s="4" t="s">
        <v>29722</v>
      </c>
      <c r="I126" s="1" t="s">
        <v>29723</v>
      </c>
      <c r="J126" s="3" t="s">
        <v>29724</v>
      </c>
      <c r="K126" s="1" t="s">
        <v>28858</v>
      </c>
    </row>
    <row r="127" spans="1:11" ht="409.6">
      <c r="A127" s="1" t="s">
        <v>29725</v>
      </c>
      <c r="B127" s="1" t="s">
        <v>29726</v>
      </c>
      <c r="C127" s="1" t="s">
        <v>29727</v>
      </c>
      <c r="D127" s="1" t="s">
        <v>29728</v>
      </c>
      <c r="E127" s="1">
        <v>20</v>
      </c>
      <c r="F127" s="1" t="s">
        <v>15138</v>
      </c>
      <c r="G127" s="1" t="s">
        <v>14338</v>
      </c>
      <c r="H127" s="4" t="s">
        <v>29729</v>
      </c>
      <c r="I127" s="1" t="s">
        <v>29730</v>
      </c>
      <c r="J127" s="3" t="s">
        <v>29731</v>
      </c>
      <c r="K127" s="1" t="s">
        <v>28858</v>
      </c>
    </row>
    <row r="128" spans="1:11" ht="409.6">
      <c r="A128" s="1" t="s">
        <v>29732</v>
      </c>
      <c r="B128" s="1" t="s">
        <v>29733</v>
      </c>
      <c r="C128" s="1" t="s">
        <v>29734</v>
      </c>
      <c r="D128" s="1" t="s">
        <v>29735</v>
      </c>
      <c r="E128" s="1">
        <v>45</v>
      </c>
      <c r="F128" s="1" t="s">
        <v>145</v>
      </c>
      <c r="G128" s="1" t="s">
        <v>14198</v>
      </c>
      <c r="H128" s="4" t="s">
        <v>29736</v>
      </c>
      <c r="I128" s="1" t="s">
        <v>29737</v>
      </c>
      <c r="J128" s="3" t="s">
        <v>29738</v>
      </c>
      <c r="K128" s="1" t="s">
        <v>28858</v>
      </c>
    </row>
    <row r="129" spans="1:11" ht="409.6">
      <c r="A129" s="1" t="s">
        <v>29739</v>
      </c>
      <c r="B129" s="1" t="s">
        <v>29740</v>
      </c>
      <c r="C129" s="1" t="s">
        <v>29741</v>
      </c>
      <c r="D129" s="1" t="s">
        <v>29742</v>
      </c>
      <c r="E129" s="1">
        <v>20</v>
      </c>
      <c r="F129" s="1" t="s">
        <v>14207</v>
      </c>
      <c r="G129" s="1" t="s">
        <v>14198</v>
      </c>
      <c r="H129" s="4" t="s">
        <v>29743</v>
      </c>
      <c r="I129" s="1" t="s">
        <v>29744</v>
      </c>
      <c r="J129" s="3" t="s">
        <v>29745</v>
      </c>
      <c r="K129" s="1" t="s">
        <v>28858</v>
      </c>
    </row>
    <row r="130" spans="1:11" ht="409.6">
      <c r="A130" s="1" t="s">
        <v>29746</v>
      </c>
      <c r="B130" s="1" t="s">
        <v>29747</v>
      </c>
      <c r="C130" s="1" t="s">
        <v>29748</v>
      </c>
      <c r="D130" s="1" t="s">
        <v>29749</v>
      </c>
      <c r="E130" s="1">
        <v>55</v>
      </c>
      <c r="F130" s="1" t="s">
        <v>8417</v>
      </c>
      <c r="G130" s="1" t="s">
        <v>14198</v>
      </c>
      <c r="H130" s="4" t="s">
        <v>29750</v>
      </c>
      <c r="I130" s="4" t="s">
        <v>29751</v>
      </c>
      <c r="J130" s="3" t="s">
        <v>29752</v>
      </c>
      <c r="K130" s="1" t="s">
        <v>28858</v>
      </c>
    </row>
    <row r="131" spans="1:11" ht="409.6">
      <c r="A131" s="1" t="s">
        <v>29753</v>
      </c>
      <c r="B131" s="1" t="s">
        <v>29754</v>
      </c>
      <c r="C131" s="1" t="s">
        <v>29755</v>
      </c>
      <c r="D131" s="1" t="s">
        <v>29756</v>
      </c>
      <c r="E131" s="1">
        <v>45</v>
      </c>
      <c r="F131" s="1" t="s">
        <v>15138</v>
      </c>
      <c r="G131" s="1" t="s">
        <v>14198</v>
      </c>
      <c r="H131" s="4" t="s">
        <v>29757</v>
      </c>
      <c r="I131" s="4" t="s">
        <v>29758</v>
      </c>
      <c r="J131" s="3" t="s">
        <v>29759</v>
      </c>
      <c r="K131" s="1" t="s">
        <v>28858</v>
      </c>
    </row>
    <row r="132" spans="1:11" ht="409.6">
      <c r="A132" s="1" t="s">
        <v>29760</v>
      </c>
      <c r="B132" s="1" t="s">
        <v>29761</v>
      </c>
      <c r="C132" s="1" t="s">
        <v>29762</v>
      </c>
      <c r="D132" s="1" t="s">
        <v>29763</v>
      </c>
      <c r="E132" s="1">
        <v>20</v>
      </c>
      <c r="F132" s="1" t="s">
        <v>14572</v>
      </c>
      <c r="G132" s="1" t="s">
        <v>14338</v>
      </c>
      <c r="H132" s="4" t="s">
        <v>29764</v>
      </c>
      <c r="I132" s="4" t="s">
        <v>29765</v>
      </c>
      <c r="J132" s="3" t="s">
        <v>29766</v>
      </c>
      <c r="K132" s="1" t="s">
        <v>28858</v>
      </c>
    </row>
    <row r="133" spans="1:11" ht="13.8">
      <c r="A133" s="1" t="s">
        <v>29767</v>
      </c>
      <c r="B133" s="1" t="s">
        <v>29768</v>
      </c>
      <c r="C133" s="1" t="s">
        <v>29769</v>
      </c>
      <c r="D133" s="1" t="s">
        <v>29770</v>
      </c>
      <c r="E133" s="1">
        <v>40</v>
      </c>
      <c r="F133" s="1" t="s">
        <v>14207</v>
      </c>
      <c r="G133" s="1" t="s">
        <v>14237</v>
      </c>
      <c r="H133" s="1" t="s">
        <v>29771</v>
      </c>
      <c r="I133" s="1" t="s">
        <v>29772</v>
      </c>
      <c r="J133" s="3" t="s">
        <v>29773</v>
      </c>
      <c r="K133" s="1" t="s">
        <v>28858</v>
      </c>
    </row>
    <row r="134" spans="1:11" ht="409.6">
      <c r="A134" s="1" t="s">
        <v>29774</v>
      </c>
      <c r="B134" s="1" t="s">
        <v>29775</v>
      </c>
      <c r="C134" s="1" t="s">
        <v>29776</v>
      </c>
      <c r="D134" s="1" t="s">
        <v>29777</v>
      </c>
      <c r="E134" s="1">
        <v>20</v>
      </c>
      <c r="F134" s="1" t="s">
        <v>14281</v>
      </c>
      <c r="G134" s="1" t="s">
        <v>14198</v>
      </c>
      <c r="H134" s="4" t="s">
        <v>29778</v>
      </c>
      <c r="I134" s="4" t="s">
        <v>29779</v>
      </c>
      <c r="J134" s="3" t="s">
        <v>29780</v>
      </c>
      <c r="K134" s="1" t="s">
        <v>28858</v>
      </c>
    </row>
    <row r="135" spans="1:11" ht="409.6">
      <c r="A135" s="1" t="s">
        <v>29781</v>
      </c>
      <c r="B135" s="1" t="s">
        <v>29782</v>
      </c>
      <c r="C135" s="1" t="s">
        <v>29783</v>
      </c>
      <c r="D135" s="1" t="s">
        <v>29784</v>
      </c>
      <c r="E135" s="1">
        <v>40</v>
      </c>
      <c r="F135" s="1" t="s">
        <v>145</v>
      </c>
      <c r="G135" s="1" t="s">
        <v>14198</v>
      </c>
      <c r="H135" s="4" t="s">
        <v>29785</v>
      </c>
      <c r="I135" s="1" t="s">
        <v>29786</v>
      </c>
      <c r="J135" s="3" t="s">
        <v>29787</v>
      </c>
      <c r="K135" s="1" t="s">
        <v>28858</v>
      </c>
    </row>
    <row r="136" spans="1:11" ht="13.8">
      <c r="A136" s="1" t="s">
        <v>29788</v>
      </c>
      <c r="B136" s="1" t="s">
        <v>29789</v>
      </c>
      <c r="C136" s="1" t="s">
        <v>29790</v>
      </c>
      <c r="D136" s="1" t="s">
        <v>29791</v>
      </c>
      <c r="E136" s="1">
        <v>75</v>
      </c>
      <c r="F136" s="1" t="s">
        <v>14281</v>
      </c>
      <c r="G136" s="1" t="s">
        <v>14198</v>
      </c>
      <c r="H136" s="1" t="s">
        <v>29792</v>
      </c>
      <c r="I136" s="1" t="s">
        <v>29793</v>
      </c>
      <c r="J136" s="3" t="s">
        <v>29794</v>
      </c>
      <c r="K136" s="1" t="s">
        <v>28858</v>
      </c>
    </row>
    <row r="137" spans="1:11" ht="13.8">
      <c r="A137" s="1" t="s">
        <v>29795</v>
      </c>
      <c r="B137" s="1" t="s">
        <v>29796</v>
      </c>
      <c r="C137" s="1" t="s">
        <v>29797</v>
      </c>
      <c r="D137" s="1" t="s">
        <v>29798</v>
      </c>
      <c r="E137" s="1">
        <v>45</v>
      </c>
      <c r="F137" s="1" t="s">
        <v>8417</v>
      </c>
      <c r="G137" s="1" t="s">
        <v>14198</v>
      </c>
      <c r="H137" s="1" t="s">
        <v>29799</v>
      </c>
      <c r="I137" s="1" t="s">
        <v>29800</v>
      </c>
      <c r="J137" s="3" t="s">
        <v>29801</v>
      </c>
      <c r="K137" s="1" t="s">
        <v>28858</v>
      </c>
    </row>
    <row r="138" spans="1:11" ht="13.8">
      <c r="A138" s="1" t="s">
        <v>29802</v>
      </c>
      <c r="B138" s="1" t="s">
        <v>29803</v>
      </c>
      <c r="C138" s="1" t="s">
        <v>29804</v>
      </c>
      <c r="D138" s="1" t="s">
        <v>29805</v>
      </c>
      <c r="E138" s="1">
        <v>15</v>
      </c>
      <c r="F138" s="1" t="s">
        <v>14207</v>
      </c>
      <c r="G138" s="1" t="s">
        <v>14198</v>
      </c>
      <c r="H138" s="1" t="s">
        <v>29806</v>
      </c>
      <c r="I138" s="1" t="s">
        <v>29807</v>
      </c>
      <c r="J138" s="3" t="s">
        <v>29808</v>
      </c>
      <c r="K138" s="1" t="s">
        <v>28858</v>
      </c>
    </row>
    <row r="139" spans="1:11" ht="409.6">
      <c r="A139" s="1" t="s">
        <v>29809</v>
      </c>
      <c r="B139" s="1" t="s">
        <v>29810</v>
      </c>
      <c r="C139" s="1" t="s">
        <v>29811</v>
      </c>
      <c r="D139" s="1" t="s">
        <v>29812</v>
      </c>
      <c r="E139" s="1">
        <v>65</v>
      </c>
      <c r="F139" s="1" t="s">
        <v>14281</v>
      </c>
      <c r="G139" s="1" t="s">
        <v>14198</v>
      </c>
      <c r="H139" s="1" t="s">
        <v>29813</v>
      </c>
      <c r="I139" s="4" t="s">
        <v>29814</v>
      </c>
      <c r="J139" s="3" t="s">
        <v>29815</v>
      </c>
      <c r="K139" s="1" t="s">
        <v>28858</v>
      </c>
    </row>
    <row r="140" spans="1:11" ht="409.6">
      <c r="A140" s="1" t="s">
        <v>29816</v>
      </c>
      <c r="B140" s="1" t="s">
        <v>29817</v>
      </c>
      <c r="C140" s="1" t="s">
        <v>29818</v>
      </c>
      <c r="D140" s="1" t="s">
        <v>29819</v>
      </c>
      <c r="E140" s="1">
        <v>40</v>
      </c>
      <c r="F140" s="1" t="s">
        <v>145</v>
      </c>
      <c r="G140" s="1" t="s">
        <v>14237</v>
      </c>
      <c r="H140" s="1" t="s">
        <v>29820</v>
      </c>
      <c r="I140" s="4" t="s">
        <v>29821</v>
      </c>
      <c r="J140" s="3" t="s">
        <v>29822</v>
      </c>
      <c r="K140" s="1" t="s">
        <v>28858</v>
      </c>
    </row>
    <row r="141" spans="1:11" ht="13.8">
      <c r="A141" s="1" t="s">
        <v>29327</v>
      </c>
      <c r="B141" s="1" t="s">
        <v>29823</v>
      </c>
      <c r="C141" s="1" t="s">
        <v>29824</v>
      </c>
      <c r="D141" s="1" t="s">
        <v>29825</v>
      </c>
      <c r="E141" s="1">
        <v>30</v>
      </c>
      <c r="F141" s="1" t="s">
        <v>14281</v>
      </c>
      <c r="G141" s="1" t="s">
        <v>14198</v>
      </c>
      <c r="H141" s="1" t="s">
        <v>29826</v>
      </c>
      <c r="I141" s="1" t="s">
        <v>29827</v>
      </c>
      <c r="J141" s="3" t="s">
        <v>29828</v>
      </c>
      <c r="K141" s="1" t="s">
        <v>28858</v>
      </c>
    </row>
    <row r="142" spans="1:11" ht="409.6">
      <c r="A142" s="1" t="s">
        <v>29829</v>
      </c>
      <c r="B142" s="1" t="s">
        <v>29830</v>
      </c>
      <c r="C142" s="1" t="s">
        <v>29831</v>
      </c>
      <c r="D142" s="1" t="s">
        <v>29832</v>
      </c>
      <c r="E142" s="1">
        <v>40</v>
      </c>
      <c r="F142" s="1" t="s">
        <v>145</v>
      </c>
      <c r="G142" s="1" t="s">
        <v>14237</v>
      </c>
      <c r="H142" s="4" t="s">
        <v>29833</v>
      </c>
      <c r="I142" s="1" t="s">
        <v>29834</v>
      </c>
      <c r="J142" s="3" t="s">
        <v>29835</v>
      </c>
      <c r="K142" s="1" t="s">
        <v>28858</v>
      </c>
    </row>
    <row r="143" spans="1:11" ht="13.8">
      <c r="A143" s="1" t="s">
        <v>29836</v>
      </c>
      <c r="B143" s="1" t="s">
        <v>29837</v>
      </c>
      <c r="C143" s="1" t="s">
        <v>29838</v>
      </c>
      <c r="D143" s="1" t="s">
        <v>29839</v>
      </c>
      <c r="E143" s="1">
        <v>40</v>
      </c>
      <c r="F143" s="1" t="s">
        <v>15138</v>
      </c>
      <c r="G143" s="1" t="s">
        <v>14198</v>
      </c>
      <c r="H143" s="1" t="s">
        <v>29840</v>
      </c>
      <c r="I143" s="1" t="s">
        <v>29841</v>
      </c>
      <c r="J143" s="3" t="s">
        <v>29842</v>
      </c>
      <c r="K143" s="1" t="s">
        <v>28858</v>
      </c>
    </row>
    <row r="144" spans="1:11" ht="13.8">
      <c r="A144" s="1" t="s">
        <v>29843</v>
      </c>
      <c r="B144" s="1" t="s">
        <v>29844</v>
      </c>
      <c r="C144" s="1" t="s">
        <v>29845</v>
      </c>
      <c r="D144" s="1" t="s">
        <v>29846</v>
      </c>
      <c r="E144" s="1">
        <v>40</v>
      </c>
      <c r="F144" s="1" t="s">
        <v>15138</v>
      </c>
      <c r="G144" s="1" t="s">
        <v>14198</v>
      </c>
      <c r="H144" s="1" t="s">
        <v>29847</v>
      </c>
      <c r="I144" s="1" t="s">
        <v>29848</v>
      </c>
      <c r="J144" s="3" t="s">
        <v>29849</v>
      </c>
      <c r="K144" s="1" t="s">
        <v>28858</v>
      </c>
    </row>
    <row r="145" spans="1:11" ht="409.6">
      <c r="A145" s="1" t="s">
        <v>29850</v>
      </c>
      <c r="B145" s="1" t="s">
        <v>29851</v>
      </c>
      <c r="C145" s="1" t="s">
        <v>29852</v>
      </c>
      <c r="D145" s="1" t="s">
        <v>29853</v>
      </c>
      <c r="E145" s="1">
        <v>40</v>
      </c>
      <c r="F145" s="1" t="s">
        <v>145</v>
      </c>
      <c r="G145" s="1" t="s">
        <v>14198</v>
      </c>
      <c r="H145" s="4" t="s">
        <v>29854</v>
      </c>
      <c r="I145" s="1" t="s">
        <v>29855</v>
      </c>
      <c r="J145" s="3" t="s">
        <v>29856</v>
      </c>
      <c r="K145" s="1" t="s">
        <v>28858</v>
      </c>
    </row>
    <row r="146" spans="1:11" ht="409.6">
      <c r="A146" s="1" t="s">
        <v>29857</v>
      </c>
      <c r="B146" s="1" t="s">
        <v>29858</v>
      </c>
      <c r="C146" s="1" t="s">
        <v>29859</v>
      </c>
      <c r="D146" s="1" t="s">
        <v>29860</v>
      </c>
      <c r="E146" s="1">
        <v>20</v>
      </c>
      <c r="F146" s="1" t="s">
        <v>15138</v>
      </c>
      <c r="G146" s="1" t="s">
        <v>14198</v>
      </c>
      <c r="H146" s="4" t="s">
        <v>29861</v>
      </c>
      <c r="I146" s="4" t="s">
        <v>29862</v>
      </c>
      <c r="J146" s="3" t="s">
        <v>29863</v>
      </c>
      <c r="K146" s="1" t="s">
        <v>28858</v>
      </c>
    </row>
    <row r="147" spans="1:11" ht="409.6">
      <c r="A147" s="1" t="s">
        <v>29864</v>
      </c>
      <c r="B147" s="1" t="s">
        <v>29865</v>
      </c>
      <c r="C147" s="1" t="s">
        <v>29866</v>
      </c>
      <c r="D147" s="1" t="s">
        <v>29867</v>
      </c>
      <c r="E147" s="1">
        <v>45</v>
      </c>
      <c r="F147" s="1" t="s">
        <v>14259</v>
      </c>
      <c r="G147" s="1" t="s">
        <v>14198</v>
      </c>
      <c r="H147" s="4" t="s">
        <v>29868</v>
      </c>
      <c r="I147" s="1" t="s">
        <v>29869</v>
      </c>
      <c r="J147" s="3" t="s">
        <v>29870</v>
      </c>
      <c r="K147" s="1" t="s">
        <v>28858</v>
      </c>
    </row>
    <row r="148" spans="1:11" ht="409.6">
      <c r="A148" s="1" t="s">
        <v>29871</v>
      </c>
      <c r="B148" s="1" t="s">
        <v>29872</v>
      </c>
      <c r="C148" s="1" t="s">
        <v>29873</v>
      </c>
      <c r="D148" s="1" t="s">
        <v>29874</v>
      </c>
      <c r="E148" s="1">
        <v>15</v>
      </c>
      <c r="F148" s="1" t="s">
        <v>14281</v>
      </c>
      <c r="G148" s="1" t="s">
        <v>14198</v>
      </c>
      <c r="H148" s="1" t="s">
        <v>29875</v>
      </c>
      <c r="I148" s="4" t="s">
        <v>29876</v>
      </c>
      <c r="J148" s="3" t="s">
        <v>29877</v>
      </c>
      <c r="K148" s="1" t="s">
        <v>28858</v>
      </c>
    </row>
    <row r="149" spans="1:11" ht="409.6">
      <c r="A149" s="1" t="s">
        <v>29878</v>
      </c>
      <c r="B149" s="1" t="s">
        <v>29879</v>
      </c>
      <c r="C149" s="1" t="s">
        <v>29880</v>
      </c>
      <c r="D149" s="1" t="s">
        <v>29881</v>
      </c>
      <c r="E149" s="1">
        <v>390</v>
      </c>
      <c r="F149" s="1" t="s">
        <v>15138</v>
      </c>
      <c r="G149" s="1" t="s">
        <v>14198</v>
      </c>
      <c r="H149" s="1" t="s">
        <v>29882</v>
      </c>
      <c r="I149" s="4" t="s">
        <v>29883</v>
      </c>
      <c r="J149" s="3" t="s">
        <v>29884</v>
      </c>
      <c r="K149" s="1" t="s">
        <v>28858</v>
      </c>
    </row>
    <row r="150" spans="1:11" ht="409.6">
      <c r="A150" s="1" t="s">
        <v>29885</v>
      </c>
      <c r="B150" s="1" t="s">
        <v>29886</v>
      </c>
      <c r="C150" s="1" t="s">
        <v>29887</v>
      </c>
      <c r="D150" s="1" t="s">
        <v>29888</v>
      </c>
      <c r="E150" s="1">
        <v>50</v>
      </c>
      <c r="F150" s="1" t="s">
        <v>145</v>
      </c>
      <c r="G150" s="1" t="s">
        <v>14198</v>
      </c>
      <c r="H150" s="4" t="s">
        <v>29889</v>
      </c>
      <c r="I150" s="4" t="s">
        <v>29890</v>
      </c>
      <c r="J150" s="3" t="s">
        <v>29891</v>
      </c>
      <c r="K150" s="1" t="s">
        <v>28858</v>
      </c>
    </row>
    <row r="151" spans="1:11" ht="409.6">
      <c r="A151" s="1" t="s">
        <v>29892</v>
      </c>
      <c r="B151" s="1" t="s">
        <v>29893</v>
      </c>
      <c r="C151" s="1" t="s">
        <v>29894</v>
      </c>
      <c r="D151" s="1" t="s">
        <v>29895</v>
      </c>
      <c r="E151" s="1">
        <v>50</v>
      </c>
      <c r="F151" s="1" t="s">
        <v>145</v>
      </c>
      <c r="G151" s="1" t="s">
        <v>14198</v>
      </c>
      <c r="H151" s="4" t="s">
        <v>29896</v>
      </c>
      <c r="I151" s="1" t="s">
        <v>29897</v>
      </c>
      <c r="J151" s="3" t="s">
        <v>29898</v>
      </c>
      <c r="K151" s="1" t="s">
        <v>29899</v>
      </c>
    </row>
    <row r="152" spans="1:11" ht="13.8">
      <c r="A152" s="1" t="s">
        <v>29900</v>
      </c>
      <c r="B152" s="1" t="s">
        <v>29901</v>
      </c>
      <c r="C152" s="1" t="s">
        <v>29902</v>
      </c>
      <c r="D152" s="1" t="s">
        <v>29903</v>
      </c>
      <c r="E152" s="1">
        <v>15</v>
      </c>
      <c r="F152" s="1" t="s">
        <v>145</v>
      </c>
      <c r="G152" s="1" t="s">
        <v>14198</v>
      </c>
      <c r="H152" s="1" t="s">
        <v>29904</v>
      </c>
      <c r="I152" s="1" t="s">
        <v>29905</v>
      </c>
      <c r="J152" s="3" t="s">
        <v>29906</v>
      </c>
      <c r="K152" s="1" t="s">
        <v>29899</v>
      </c>
    </row>
    <row r="153" spans="1:11" ht="13.8">
      <c r="A153" s="1" t="s">
        <v>29907</v>
      </c>
      <c r="B153" s="1" t="s">
        <v>29908</v>
      </c>
      <c r="C153" s="1" t="s">
        <v>29909</v>
      </c>
      <c r="D153" s="1" t="s">
        <v>29910</v>
      </c>
      <c r="E153" s="1">
        <v>65</v>
      </c>
      <c r="F153" s="1" t="s">
        <v>145</v>
      </c>
      <c r="G153" s="1" t="s">
        <v>14198</v>
      </c>
      <c r="H153" s="1" t="s">
        <v>29911</v>
      </c>
      <c r="I153" s="1" t="s">
        <v>29912</v>
      </c>
      <c r="J153" s="3" t="s">
        <v>29913</v>
      </c>
      <c r="K153" s="1" t="s">
        <v>29899</v>
      </c>
    </row>
    <row r="154" spans="1:11" ht="13.8">
      <c r="A154" s="1" t="s">
        <v>29914</v>
      </c>
      <c r="B154" s="1" t="s">
        <v>29915</v>
      </c>
      <c r="C154" s="1" t="s">
        <v>29916</v>
      </c>
      <c r="D154" s="1" t="s">
        <v>29917</v>
      </c>
      <c r="E154" s="1">
        <v>30</v>
      </c>
      <c r="F154" s="1" t="s">
        <v>14207</v>
      </c>
      <c r="G154" s="1" t="s">
        <v>14198</v>
      </c>
      <c r="H154" s="1" t="s">
        <v>29918</v>
      </c>
      <c r="I154" s="1" t="s">
        <v>29919</v>
      </c>
      <c r="J154" s="3" t="s">
        <v>29920</v>
      </c>
      <c r="K154" s="1" t="s">
        <v>29899</v>
      </c>
    </row>
    <row r="155" spans="1:11" ht="409.6">
      <c r="A155" s="1" t="s">
        <v>29921</v>
      </c>
      <c r="B155" s="1" t="s">
        <v>29922</v>
      </c>
      <c r="C155" s="1" t="s">
        <v>29923</v>
      </c>
      <c r="D155" s="1" t="s">
        <v>29924</v>
      </c>
      <c r="E155" s="1">
        <v>35</v>
      </c>
      <c r="F155" s="1" t="s">
        <v>8417</v>
      </c>
      <c r="G155" s="1" t="s">
        <v>14198</v>
      </c>
      <c r="H155" s="1" t="s">
        <v>29925</v>
      </c>
      <c r="I155" s="4" t="s">
        <v>29926</v>
      </c>
      <c r="J155" s="3" t="s">
        <v>29927</v>
      </c>
      <c r="K155" s="1" t="s">
        <v>29899</v>
      </c>
    </row>
    <row r="156" spans="1:11" ht="409.6">
      <c r="A156" s="1" t="s">
        <v>29914</v>
      </c>
      <c r="B156" s="1" t="s">
        <v>29928</v>
      </c>
      <c r="C156" s="1" t="s">
        <v>29929</v>
      </c>
      <c r="D156" s="1" t="s">
        <v>29930</v>
      </c>
      <c r="E156" s="1">
        <v>30</v>
      </c>
      <c r="F156" s="1" t="s">
        <v>14207</v>
      </c>
      <c r="G156" s="1" t="s">
        <v>14198</v>
      </c>
      <c r="H156" s="1" t="s">
        <v>29931</v>
      </c>
      <c r="I156" s="4" t="s">
        <v>29932</v>
      </c>
      <c r="J156" s="3" t="s">
        <v>29933</v>
      </c>
      <c r="K156" s="1" t="s">
        <v>29899</v>
      </c>
    </row>
    <row r="157" spans="1:11" ht="409.6">
      <c r="A157" s="1" t="s">
        <v>29934</v>
      </c>
      <c r="B157" s="1" t="s">
        <v>29935</v>
      </c>
      <c r="C157" s="1" t="s">
        <v>29936</v>
      </c>
      <c r="D157" s="1" t="s">
        <v>29937</v>
      </c>
      <c r="E157" s="1">
        <v>65</v>
      </c>
      <c r="F157" s="1" t="s">
        <v>145</v>
      </c>
      <c r="G157" s="1" t="s">
        <v>14198</v>
      </c>
      <c r="H157" s="4" t="s">
        <v>29938</v>
      </c>
      <c r="I157" s="1" t="s">
        <v>29939</v>
      </c>
      <c r="J157" s="3" t="s">
        <v>29940</v>
      </c>
      <c r="K157" s="1" t="s">
        <v>29899</v>
      </c>
    </row>
    <row r="158" spans="1:11" ht="409.6">
      <c r="A158" s="1" t="s">
        <v>29941</v>
      </c>
      <c r="B158" s="1" t="s">
        <v>29942</v>
      </c>
      <c r="C158" s="1" t="s">
        <v>29943</v>
      </c>
      <c r="D158" s="1" t="s">
        <v>29944</v>
      </c>
      <c r="E158" s="1">
        <v>15</v>
      </c>
      <c r="F158" s="1" t="s">
        <v>8417</v>
      </c>
      <c r="G158" s="1" t="s">
        <v>14198</v>
      </c>
      <c r="H158" s="4" t="s">
        <v>29945</v>
      </c>
      <c r="I158" s="1" t="s">
        <v>29946</v>
      </c>
      <c r="J158" s="3" t="s">
        <v>29947</v>
      </c>
      <c r="K158" s="1" t="s">
        <v>29899</v>
      </c>
    </row>
    <row r="159" spans="1:11" ht="409.6">
      <c r="A159" s="1" t="s">
        <v>29948</v>
      </c>
      <c r="B159" s="1" t="s">
        <v>29949</v>
      </c>
      <c r="C159" s="1" t="s">
        <v>29950</v>
      </c>
      <c r="D159" s="1" t="s">
        <v>29951</v>
      </c>
      <c r="E159" s="1">
        <v>65</v>
      </c>
      <c r="F159" s="1" t="s">
        <v>14207</v>
      </c>
      <c r="G159" s="1" t="s">
        <v>14198</v>
      </c>
      <c r="H159" s="4" t="s">
        <v>29952</v>
      </c>
      <c r="I159" s="1" t="s">
        <v>29953</v>
      </c>
      <c r="J159" s="3" t="s">
        <v>29954</v>
      </c>
      <c r="K159" s="1" t="s">
        <v>29899</v>
      </c>
    </row>
    <row r="160" spans="1:11" ht="409.6">
      <c r="A160" s="1" t="s">
        <v>29955</v>
      </c>
      <c r="B160" s="1" t="s">
        <v>29956</v>
      </c>
      <c r="C160" s="1" t="s">
        <v>29957</v>
      </c>
      <c r="D160" s="1" t="s">
        <v>29958</v>
      </c>
      <c r="E160" s="1">
        <v>50</v>
      </c>
      <c r="F160" s="1" t="s">
        <v>145</v>
      </c>
      <c r="G160" s="1" t="s">
        <v>14237</v>
      </c>
      <c r="H160" s="4" t="s">
        <v>29959</v>
      </c>
      <c r="I160" s="1" t="s">
        <v>29960</v>
      </c>
      <c r="J160" s="3" t="s">
        <v>29961</v>
      </c>
      <c r="K160" s="1" t="s">
        <v>29899</v>
      </c>
    </row>
    <row r="161" spans="1:11" ht="409.6">
      <c r="A161" s="1" t="s">
        <v>29962</v>
      </c>
      <c r="B161" s="1" t="s">
        <v>29963</v>
      </c>
      <c r="C161" s="1" t="s">
        <v>29964</v>
      </c>
      <c r="D161" s="1" t="s">
        <v>29965</v>
      </c>
      <c r="E161" s="1">
        <v>25</v>
      </c>
      <c r="F161" s="1" t="s">
        <v>14207</v>
      </c>
      <c r="G161" s="1" t="s">
        <v>14237</v>
      </c>
      <c r="H161" s="4" t="s">
        <v>29966</v>
      </c>
      <c r="I161" s="1" t="s">
        <v>29967</v>
      </c>
      <c r="J161" s="3" t="s">
        <v>29968</v>
      </c>
      <c r="K161" s="1" t="s">
        <v>29899</v>
      </c>
    </row>
    <row r="162" spans="1:11" ht="13.8">
      <c r="A162" s="1" t="s">
        <v>29969</v>
      </c>
      <c r="B162" s="1" t="s">
        <v>29970</v>
      </c>
      <c r="C162" s="1" t="s">
        <v>29971</v>
      </c>
      <c r="D162" s="1" t="s">
        <v>29972</v>
      </c>
      <c r="E162" s="1">
        <v>35</v>
      </c>
      <c r="F162" s="1" t="s">
        <v>145</v>
      </c>
      <c r="G162" s="1" t="s">
        <v>14198</v>
      </c>
      <c r="H162" s="1" t="s">
        <v>29973</v>
      </c>
      <c r="I162" s="1" t="s">
        <v>29974</v>
      </c>
      <c r="J162" s="3" t="s">
        <v>29975</v>
      </c>
      <c r="K162" s="1" t="s">
        <v>29899</v>
      </c>
    </row>
    <row r="163" spans="1:11" ht="409.6">
      <c r="A163" s="1" t="s">
        <v>29976</v>
      </c>
      <c r="B163" s="1" t="s">
        <v>29977</v>
      </c>
      <c r="C163" s="1" t="s">
        <v>29978</v>
      </c>
      <c r="D163" s="1" t="s">
        <v>29979</v>
      </c>
      <c r="E163" s="1">
        <v>60</v>
      </c>
      <c r="F163" s="1" t="s">
        <v>14281</v>
      </c>
      <c r="G163" s="1" t="s">
        <v>14198</v>
      </c>
      <c r="H163" s="4" t="s">
        <v>29980</v>
      </c>
      <c r="I163" s="4" t="s">
        <v>29981</v>
      </c>
      <c r="J163" s="3" t="s">
        <v>29982</v>
      </c>
      <c r="K163" s="1" t="s">
        <v>29899</v>
      </c>
    </row>
    <row r="164" spans="1:11" ht="409.6">
      <c r="A164" s="1" t="s">
        <v>29983</v>
      </c>
      <c r="B164" s="1" t="s">
        <v>29984</v>
      </c>
      <c r="C164" s="1" t="s">
        <v>29985</v>
      </c>
      <c r="D164" s="1" t="s">
        <v>29986</v>
      </c>
      <c r="E164" s="1">
        <v>35</v>
      </c>
      <c r="F164" s="1" t="s">
        <v>14207</v>
      </c>
      <c r="G164" s="1" t="s">
        <v>14198</v>
      </c>
      <c r="H164" s="4" t="s">
        <v>29987</v>
      </c>
      <c r="I164" s="4" t="s">
        <v>29988</v>
      </c>
      <c r="J164" s="3" t="s">
        <v>29989</v>
      </c>
      <c r="K164" s="1" t="s">
        <v>29899</v>
      </c>
    </row>
    <row r="165" spans="1:11" ht="409.6">
      <c r="A165" s="1" t="s">
        <v>29990</v>
      </c>
      <c r="B165" s="1" t="s">
        <v>29991</v>
      </c>
      <c r="C165" s="1" t="s">
        <v>29992</v>
      </c>
      <c r="D165" s="1" t="s">
        <v>29993</v>
      </c>
      <c r="E165" s="1">
        <v>120</v>
      </c>
      <c r="F165" s="1" t="s">
        <v>8417</v>
      </c>
      <c r="G165" s="1" t="s">
        <v>14198</v>
      </c>
      <c r="H165" s="1" t="s">
        <v>29994</v>
      </c>
      <c r="I165" s="4" t="s">
        <v>29995</v>
      </c>
      <c r="J165" s="3" t="s">
        <v>29996</v>
      </c>
      <c r="K165" s="1" t="s">
        <v>29997</v>
      </c>
    </row>
    <row r="166" spans="1:11" ht="409.6">
      <c r="A166" s="1" t="s">
        <v>29998</v>
      </c>
      <c r="B166" s="1" t="s">
        <v>29999</v>
      </c>
      <c r="C166" s="1" t="s">
        <v>30000</v>
      </c>
      <c r="D166" s="1" t="s">
        <v>30001</v>
      </c>
      <c r="E166" s="1">
        <v>40</v>
      </c>
      <c r="F166" s="1" t="s">
        <v>145</v>
      </c>
      <c r="G166" s="1" t="s">
        <v>14237</v>
      </c>
      <c r="H166" s="1" t="s">
        <v>30002</v>
      </c>
      <c r="I166" s="4" t="s">
        <v>30003</v>
      </c>
      <c r="J166" s="3" t="s">
        <v>30004</v>
      </c>
      <c r="K166" s="1" t="s">
        <v>29997</v>
      </c>
    </row>
    <row r="167" spans="1:11" ht="13.8">
      <c r="A167" s="1" t="s">
        <v>30005</v>
      </c>
      <c r="B167" s="1" t="s">
        <v>30006</v>
      </c>
      <c r="C167" s="1" t="s">
        <v>30007</v>
      </c>
      <c r="D167" s="1" t="s">
        <v>30008</v>
      </c>
      <c r="E167" s="1">
        <v>55</v>
      </c>
      <c r="F167" s="1" t="s">
        <v>145</v>
      </c>
      <c r="G167" s="1" t="s">
        <v>14198</v>
      </c>
      <c r="H167" s="1" t="s">
        <v>30009</v>
      </c>
      <c r="I167" s="1" t="s">
        <v>30010</v>
      </c>
      <c r="J167" s="3" t="s">
        <v>30011</v>
      </c>
      <c r="K167" s="1" t="s">
        <v>29997</v>
      </c>
    </row>
    <row r="168" spans="1:11" ht="409.6">
      <c r="A168" s="1" t="s">
        <v>30012</v>
      </c>
      <c r="B168" s="1" t="s">
        <v>30013</v>
      </c>
      <c r="C168" s="1" t="s">
        <v>30014</v>
      </c>
      <c r="D168" s="1" t="s">
        <v>30015</v>
      </c>
      <c r="E168" s="1">
        <v>85</v>
      </c>
      <c r="F168" s="1" t="s">
        <v>15138</v>
      </c>
      <c r="G168" s="1" t="s">
        <v>15102</v>
      </c>
      <c r="H168" s="1" t="s">
        <v>30016</v>
      </c>
      <c r="I168" s="4" t="s">
        <v>30017</v>
      </c>
      <c r="J168" s="3" t="s">
        <v>30018</v>
      </c>
      <c r="K168" s="1" t="s">
        <v>29997</v>
      </c>
    </row>
    <row r="169" spans="1:11" ht="409.6">
      <c r="A169" s="1" t="s">
        <v>30019</v>
      </c>
      <c r="B169" s="1" t="s">
        <v>30020</v>
      </c>
      <c r="C169" s="1" t="s">
        <v>30021</v>
      </c>
      <c r="D169" s="1" t="s">
        <v>30022</v>
      </c>
      <c r="E169" s="1">
        <v>40</v>
      </c>
      <c r="F169" s="1" t="s">
        <v>145</v>
      </c>
      <c r="G169" s="1" t="s">
        <v>14237</v>
      </c>
      <c r="H169" s="4" t="s">
        <v>30023</v>
      </c>
      <c r="I169" s="4" t="s">
        <v>30024</v>
      </c>
      <c r="J169" s="3" t="s">
        <v>30025</v>
      </c>
      <c r="K169" s="1" t="s">
        <v>29997</v>
      </c>
    </row>
    <row r="170" spans="1:11" ht="409.6">
      <c r="A170" s="1" t="s">
        <v>30026</v>
      </c>
      <c r="B170" s="1" t="s">
        <v>30027</v>
      </c>
      <c r="C170" s="1" t="s">
        <v>30028</v>
      </c>
      <c r="D170" s="1" t="s">
        <v>30029</v>
      </c>
      <c r="E170" s="1">
        <v>30</v>
      </c>
      <c r="F170" s="1" t="s">
        <v>145</v>
      </c>
      <c r="G170" s="1" t="s">
        <v>14198</v>
      </c>
      <c r="H170" s="4" t="s">
        <v>30030</v>
      </c>
      <c r="I170" s="4" t="s">
        <v>30031</v>
      </c>
      <c r="J170" s="3" t="s">
        <v>30032</v>
      </c>
      <c r="K170" s="1" t="s">
        <v>29997</v>
      </c>
    </row>
    <row r="171" spans="1:11" ht="13.8">
      <c r="A171" s="1" t="s">
        <v>30033</v>
      </c>
      <c r="B171" s="1" t="s">
        <v>30034</v>
      </c>
      <c r="C171" s="1" t="s">
        <v>30035</v>
      </c>
      <c r="D171" s="1" t="s">
        <v>30036</v>
      </c>
      <c r="E171" s="1">
        <v>20</v>
      </c>
      <c r="F171" s="1" t="s">
        <v>145</v>
      </c>
      <c r="G171" s="1" t="s">
        <v>14198</v>
      </c>
      <c r="H171" s="1" t="s">
        <v>30037</v>
      </c>
      <c r="I171" s="1" t="s">
        <v>30038</v>
      </c>
      <c r="J171" s="3" t="s">
        <v>30039</v>
      </c>
      <c r="K171" s="1" t="s">
        <v>29997</v>
      </c>
    </row>
    <row r="172" spans="1:11" ht="409.6">
      <c r="A172" s="1" t="s">
        <v>30040</v>
      </c>
      <c r="B172" s="1" t="s">
        <v>30041</v>
      </c>
      <c r="C172" s="1" t="s">
        <v>30042</v>
      </c>
      <c r="D172" s="1" t="s">
        <v>30043</v>
      </c>
      <c r="E172" s="1">
        <v>30</v>
      </c>
      <c r="F172" s="1" t="s">
        <v>14259</v>
      </c>
      <c r="G172" s="1" t="s">
        <v>14338</v>
      </c>
      <c r="H172" s="4" t="s">
        <v>30044</v>
      </c>
      <c r="I172" s="1" t="s">
        <v>30045</v>
      </c>
      <c r="J172" s="3" t="s">
        <v>30046</v>
      </c>
      <c r="K172" s="1" t="s">
        <v>29997</v>
      </c>
    </row>
    <row r="173" spans="1:11" ht="409.6">
      <c r="A173" s="1" t="s">
        <v>30047</v>
      </c>
      <c r="B173" s="1" t="s">
        <v>30048</v>
      </c>
      <c r="C173" s="1" t="s">
        <v>30049</v>
      </c>
      <c r="D173" s="1" t="s">
        <v>30050</v>
      </c>
      <c r="E173" s="1">
        <v>20</v>
      </c>
      <c r="F173" s="1" t="s">
        <v>14207</v>
      </c>
      <c r="G173" s="1" t="s">
        <v>14198</v>
      </c>
      <c r="H173" s="1" t="s">
        <v>30051</v>
      </c>
      <c r="I173" s="4" t="s">
        <v>30052</v>
      </c>
      <c r="J173" s="3" t="s">
        <v>30053</v>
      </c>
      <c r="K173" s="1" t="s">
        <v>29997</v>
      </c>
    </row>
    <row r="174" spans="1:11" ht="409.6">
      <c r="A174" s="1" t="s">
        <v>30054</v>
      </c>
      <c r="B174" s="1" t="s">
        <v>30055</v>
      </c>
      <c r="C174" s="1" t="s">
        <v>30056</v>
      </c>
      <c r="D174" s="1" t="s">
        <v>30057</v>
      </c>
      <c r="E174" s="1">
        <v>40</v>
      </c>
      <c r="F174" s="1" t="s">
        <v>429</v>
      </c>
      <c r="G174" s="1" t="s">
        <v>14237</v>
      </c>
      <c r="H174" s="4" t="s">
        <v>30058</v>
      </c>
      <c r="I174" s="1" t="s">
        <v>30059</v>
      </c>
      <c r="J174" s="3" t="s">
        <v>30060</v>
      </c>
      <c r="K174" s="1" t="s">
        <v>29997</v>
      </c>
    </row>
    <row r="175" spans="1:11" ht="409.6">
      <c r="A175" s="1" t="s">
        <v>30061</v>
      </c>
      <c r="B175" s="1" t="s">
        <v>30062</v>
      </c>
      <c r="C175" s="1" t="s">
        <v>30063</v>
      </c>
      <c r="D175" s="1" t="s">
        <v>30064</v>
      </c>
      <c r="E175" s="1">
        <v>35</v>
      </c>
      <c r="F175" s="1" t="s">
        <v>15138</v>
      </c>
      <c r="G175" s="1" t="s">
        <v>14198</v>
      </c>
      <c r="H175" s="4" t="s">
        <v>30065</v>
      </c>
      <c r="I175" s="4" t="s">
        <v>30066</v>
      </c>
      <c r="J175" s="3" t="s">
        <v>30067</v>
      </c>
      <c r="K175" s="1" t="s">
        <v>29997</v>
      </c>
    </row>
    <row r="176" spans="1:11" ht="409.6">
      <c r="A176" s="1" t="s">
        <v>30068</v>
      </c>
      <c r="B176" s="1" t="s">
        <v>30069</v>
      </c>
      <c r="C176" s="1" t="s">
        <v>30070</v>
      </c>
      <c r="D176" s="1" t="s">
        <v>30071</v>
      </c>
      <c r="E176" s="1">
        <v>45</v>
      </c>
      <c r="F176" s="1" t="s">
        <v>145</v>
      </c>
      <c r="G176" s="1" t="s">
        <v>14198</v>
      </c>
      <c r="H176" s="4" t="s">
        <v>30072</v>
      </c>
      <c r="I176" s="1" t="s">
        <v>30073</v>
      </c>
      <c r="J176" s="3" t="s">
        <v>30074</v>
      </c>
      <c r="K176" s="1" t="s">
        <v>29997</v>
      </c>
    </row>
    <row r="177" spans="1:11" ht="13.8">
      <c r="A177" s="1" t="s">
        <v>30075</v>
      </c>
      <c r="B177" s="1" t="s">
        <v>30076</v>
      </c>
      <c r="C177" s="1" t="s">
        <v>30077</v>
      </c>
      <c r="D177" s="1" t="s">
        <v>30078</v>
      </c>
      <c r="E177" s="1">
        <v>30</v>
      </c>
      <c r="F177" s="1" t="s">
        <v>14207</v>
      </c>
      <c r="G177" s="1" t="s">
        <v>14198</v>
      </c>
      <c r="H177" s="1" t="s">
        <v>30079</v>
      </c>
      <c r="I177" s="1" t="s">
        <v>30080</v>
      </c>
      <c r="J177" s="3" t="s">
        <v>30081</v>
      </c>
      <c r="K177" s="1" t="s">
        <v>29997</v>
      </c>
    </row>
    <row r="178" spans="1:11" ht="409.6">
      <c r="A178" s="1" t="s">
        <v>30082</v>
      </c>
      <c r="B178" s="1" t="s">
        <v>30083</v>
      </c>
      <c r="C178" s="1" t="s">
        <v>30084</v>
      </c>
      <c r="D178" s="1" t="s">
        <v>30085</v>
      </c>
      <c r="E178" s="1">
        <v>50</v>
      </c>
      <c r="F178" s="1" t="s">
        <v>145</v>
      </c>
      <c r="G178" s="1" t="s">
        <v>14237</v>
      </c>
      <c r="H178" s="4" t="s">
        <v>30086</v>
      </c>
      <c r="I178" s="1" t="s">
        <v>30087</v>
      </c>
      <c r="J178" s="3" t="s">
        <v>30088</v>
      </c>
      <c r="K178" s="1" t="s">
        <v>29997</v>
      </c>
    </row>
    <row r="179" spans="1:11" ht="409.6">
      <c r="A179" s="1" t="s">
        <v>30089</v>
      </c>
      <c r="B179" s="1" t="s">
        <v>30090</v>
      </c>
      <c r="C179" s="1" t="s">
        <v>30091</v>
      </c>
      <c r="D179" s="1" t="s">
        <v>30092</v>
      </c>
      <c r="E179" s="1">
        <v>160</v>
      </c>
      <c r="F179" s="1" t="s">
        <v>14281</v>
      </c>
      <c r="G179" s="1" t="s">
        <v>14198</v>
      </c>
      <c r="H179" s="4" t="s">
        <v>30093</v>
      </c>
      <c r="I179" s="1" t="s">
        <v>30094</v>
      </c>
      <c r="J179" s="3" t="s">
        <v>30095</v>
      </c>
      <c r="K179" s="1" t="s">
        <v>30096</v>
      </c>
    </row>
    <row r="180" spans="1:11" ht="13.8">
      <c r="A180" s="1" t="s">
        <v>30097</v>
      </c>
      <c r="B180" s="1" t="s">
        <v>30098</v>
      </c>
      <c r="C180" s="1" t="s">
        <v>30099</v>
      </c>
      <c r="D180" s="1" t="s">
        <v>30100</v>
      </c>
      <c r="E180" s="1">
        <v>40</v>
      </c>
      <c r="F180" s="1" t="s">
        <v>14572</v>
      </c>
      <c r="G180" s="1" t="s">
        <v>14198</v>
      </c>
      <c r="H180" s="1" t="s">
        <v>30101</v>
      </c>
      <c r="I180" s="1" t="s">
        <v>30102</v>
      </c>
      <c r="J180" s="3" t="s">
        <v>30103</v>
      </c>
      <c r="K180" s="1" t="s">
        <v>30096</v>
      </c>
    </row>
    <row r="181" spans="1:11" ht="13.8">
      <c r="A181" s="1" t="s">
        <v>30104</v>
      </c>
      <c r="B181" s="1" t="s">
        <v>30105</v>
      </c>
      <c r="C181" s="1" t="s">
        <v>30106</v>
      </c>
      <c r="D181" s="1" t="s">
        <v>30107</v>
      </c>
      <c r="E181" s="1">
        <v>40</v>
      </c>
      <c r="F181" s="1" t="s">
        <v>145</v>
      </c>
      <c r="G181" s="1" t="s">
        <v>14198</v>
      </c>
      <c r="H181" s="1" t="s">
        <v>30108</v>
      </c>
      <c r="I181" s="1" t="s">
        <v>30109</v>
      </c>
      <c r="J181" s="3" t="s">
        <v>30110</v>
      </c>
      <c r="K181" s="1" t="s">
        <v>30096</v>
      </c>
    </row>
    <row r="182" spans="1:11" ht="409.6">
      <c r="A182" s="1" t="s">
        <v>30111</v>
      </c>
      <c r="B182" s="1" t="s">
        <v>30112</v>
      </c>
      <c r="C182" s="1" t="s">
        <v>30113</v>
      </c>
      <c r="D182" s="1" t="s">
        <v>30114</v>
      </c>
      <c r="E182" s="1">
        <v>30</v>
      </c>
      <c r="F182" s="1" t="s">
        <v>145</v>
      </c>
      <c r="G182" s="1" t="s">
        <v>14198</v>
      </c>
      <c r="H182" s="1" t="s">
        <v>30115</v>
      </c>
      <c r="I182" s="4" t="s">
        <v>30116</v>
      </c>
      <c r="J182" s="3" t="s">
        <v>30117</v>
      </c>
      <c r="K182" s="1" t="s">
        <v>30096</v>
      </c>
    </row>
    <row r="183" spans="1:11" ht="409.6">
      <c r="A183" s="1" t="s">
        <v>30118</v>
      </c>
      <c r="B183" s="1" t="s">
        <v>30119</v>
      </c>
      <c r="C183" s="1" t="s">
        <v>30120</v>
      </c>
      <c r="D183" s="1" t="s">
        <v>30121</v>
      </c>
      <c r="E183" s="1">
        <v>30</v>
      </c>
      <c r="F183" s="1" t="s">
        <v>145</v>
      </c>
      <c r="G183" s="1" t="s">
        <v>14198</v>
      </c>
      <c r="H183" s="1" t="s">
        <v>30122</v>
      </c>
      <c r="I183" s="4" t="s">
        <v>30123</v>
      </c>
      <c r="J183" s="3" t="s">
        <v>30124</v>
      </c>
      <c r="K183" s="1" t="s">
        <v>30096</v>
      </c>
    </row>
    <row r="184" spans="1:11" ht="409.6">
      <c r="A184" s="1" t="s">
        <v>30125</v>
      </c>
      <c r="B184" s="1" t="s">
        <v>30126</v>
      </c>
      <c r="C184" s="1" t="s">
        <v>30127</v>
      </c>
      <c r="D184" s="1" t="s">
        <v>30128</v>
      </c>
      <c r="E184" s="1">
        <v>530</v>
      </c>
      <c r="F184" s="1" t="s">
        <v>14259</v>
      </c>
      <c r="G184" s="1" t="s">
        <v>14237</v>
      </c>
      <c r="H184" s="1" t="s">
        <v>30129</v>
      </c>
      <c r="I184" s="4" t="s">
        <v>30130</v>
      </c>
      <c r="J184" s="3" t="s">
        <v>30131</v>
      </c>
      <c r="K184" s="1" t="s">
        <v>30096</v>
      </c>
    </row>
    <row r="185" spans="1:11" ht="409.6">
      <c r="A185" s="1" t="s">
        <v>30132</v>
      </c>
      <c r="B185" s="1" t="s">
        <v>30133</v>
      </c>
      <c r="C185" s="1" t="s">
        <v>30134</v>
      </c>
      <c r="D185" s="1" t="s">
        <v>30135</v>
      </c>
      <c r="E185" s="1">
        <v>25</v>
      </c>
      <c r="F185" s="1" t="s">
        <v>145</v>
      </c>
      <c r="G185" s="1" t="s">
        <v>14198</v>
      </c>
      <c r="H185" s="1" t="s">
        <v>30136</v>
      </c>
      <c r="I185" s="4" t="s">
        <v>30137</v>
      </c>
      <c r="J185" s="3" t="s">
        <v>30138</v>
      </c>
      <c r="K185" s="1" t="s">
        <v>30096</v>
      </c>
    </row>
    <row r="186" spans="1:11" ht="13.8">
      <c r="A186" s="1" t="s">
        <v>30139</v>
      </c>
      <c r="B186" s="1" t="s">
        <v>30140</v>
      </c>
      <c r="C186" s="1" t="s">
        <v>30141</v>
      </c>
      <c r="D186" s="1" t="s">
        <v>30142</v>
      </c>
      <c r="E186" s="1">
        <v>40</v>
      </c>
      <c r="F186" s="1" t="s">
        <v>145</v>
      </c>
      <c r="G186" s="1" t="s">
        <v>14198</v>
      </c>
      <c r="H186" s="1" t="s">
        <v>30143</v>
      </c>
      <c r="I186" s="1" t="s">
        <v>30144</v>
      </c>
      <c r="J186" s="3" t="s">
        <v>30145</v>
      </c>
      <c r="K186" s="1" t="s">
        <v>30096</v>
      </c>
    </row>
    <row r="187" spans="1:11" ht="409.6">
      <c r="A187" s="1" t="s">
        <v>30146</v>
      </c>
      <c r="B187" s="1" t="s">
        <v>30147</v>
      </c>
      <c r="C187" s="1" t="s">
        <v>30148</v>
      </c>
      <c r="D187" s="1" t="s">
        <v>30149</v>
      </c>
      <c r="E187" s="1">
        <v>30</v>
      </c>
      <c r="F187" s="1" t="s">
        <v>14207</v>
      </c>
      <c r="G187" s="1" t="s">
        <v>14198</v>
      </c>
      <c r="H187" s="1" t="s">
        <v>30150</v>
      </c>
      <c r="I187" s="4" t="s">
        <v>30151</v>
      </c>
      <c r="J187" s="3" t="s">
        <v>30152</v>
      </c>
      <c r="K187" s="1" t="s">
        <v>30096</v>
      </c>
    </row>
    <row r="188" spans="1:11" ht="13.8">
      <c r="A188" s="1" t="s">
        <v>30153</v>
      </c>
      <c r="B188" s="1" t="s">
        <v>30154</v>
      </c>
      <c r="C188" s="1" t="s">
        <v>30155</v>
      </c>
      <c r="D188" s="1" t="s">
        <v>30156</v>
      </c>
      <c r="E188" s="1">
        <v>75</v>
      </c>
      <c r="F188" s="1" t="s">
        <v>145</v>
      </c>
      <c r="G188" s="1" t="s">
        <v>14198</v>
      </c>
      <c r="H188" s="1" t="s">
        <v>30157</v>
      </c>
      <c r="I188" s="1" t="s">
        <v>30158</v>
      </c>
      <c r="J188" s="3" t="s">
        <v>30159</v>
      </c>
      <c r="K188" s="1" t="s">
        <v>30096</v>
      </c>
    </row>
    <row r="189" spans="1:11" ht="13.8">
      <c r="A189" s="1" t="s">
        <v>30160</v>
      </c>
      <c r="B189" s="1" t="s">
        <v>30161</v>
      </c>
      <c r="C189" s="1" t="s">
        <v>30162</v>
      </c>
      <c r="D189" s="1" t="s">
        <v>30163</v>
      </c>
      <c r="E189" s="1">
        <v>75</v>
      </c>
      <c r="F189" s="1" t="s">
        <v>145</v>
      </c>
      <c r="G189" s="1" t="s">
        <v>14198</v>
      </c>
      <c r="H189" s="1" t="s">
        <v>30164</v>
      </c>
      <c r="I189" s="1" t="s">
        <v>30165</v>
      </c>
      <c r="J189" s="3" t="s">
        <v>30166</v>
      </c>
      <c r="K189" s="1" t="s">
        <v>30096</v>
      </c>
    </row>
  </sheetData>
  <hyperlinks>
    <hyperlink ref="J2" r:id="rId1" xr:uid="{00000000-0004-0000-0800-000000000000}"/>
    <hyperlink ref="J3" r:id="rId2" xr:uid="{00000000-0004-0000-0800-000001000000}"/>
    <hyperlink ref="J4" r:id="rId3" xr:uid="{00000000-0004-0000-0800-000002000000}"/>
    <hyperlink ref="J5" r:id="rId4" xr:uid="{00000000-0004-0000-0800-000003000000}"/>
    <hyperlink ref="J6" r:id="rId5" xr:uid="{00000000-0004-0000-0800-000004000000}"/>
    <hyperlink ref="J7" r:id="rId6" xr:uid="{00000000-0004-0000-0800-000005000000}"/>
    <hyperlink ref="J8" r:id="rId7" xr:uid="{00000000-0004-0000-0800-000006000000}"/>
    <hyperlink ref="J9" r:id="rId8" xr:uid="{00000000-0004-0000-0800-000007000000}"/>
    <hyperlink ref="J10" r:id="rId9" xr:uid="{00000000-0004-0000-0800-000008000000}"/>
    <hyperlink ref="J11" r:id="rId10" xr:uid="{00000000-0004-0000-0800-000009000000}"/>
    <hyperlink ref="J12" r:id="rId11" xr:uid="{00000000-0004-0000-0800-00000A000000}"/>
    <hyperlink ref="J13" r:id="rId12" xr:uid="{00000000-0004-0000-0800-00000B000000}"/>
    <hyperlink ref="J14" r:id="rId13" xr:uid="{00000000-0004-0000-0800-00000C000000}"/>
    <hyperlink ref="J15" r:id="rId14" xr:uid="{00000000-0004-0000-0800-00000D000000}"/>
    <hyperlink ref="J16" r:id="rId15" xr:uid="{00000000-0004-0000-0800-00000E000000}"/>
    <hyperlink ref="J17" r:id="rId16" xr:uid="{00000000-0004-0000-0800-00000F000000}"/>
    <hyperlink ref="J18" r:id="rId17" xr:uid="{00000000-0004-0000-0800-000010000000}"/>
    <hyperlink ref="J19" r:id="rId18" xr:uid="{00000000-0004-0000-0800-000011000000}"/>
    <hyperlink ref="J20" r:id="rId19" xr:uid="{00000000-0004-0000-0800-000012000000}"/>
    <hyperlink ref="J21" r:id="rId20" xr:uid="{00000000-0004-0000-0800-000013000000}"/>
    <hyperlink ref="J22" r:id="rId21" xr:uid="{00000000-0004-0000-0800-000014000000}"/>
    <hyperlink ref="J23" r:id="rId22" xr:uid="{00000000-0004-0000-0800-000015000000}"/>
    <hyperlink ref="J24" r:id="rId23" xr:uid="{00000000-0004-0000-0800-000016000000}"/>
    <hyperlink ref="J25" r:id="rId24" xr:uid="{00000000-0004-0000-0800-000017000000}"/>
    <hyperlink ref="J26" r:id="rId25" xr:uid="{00000000-0004-0000-0800-000018000000}"/>
    <hyperlink ref="J27" r:id="rId26" xr:uid="{00000000-0004-0000-0800-000019000000}"/>
    <hyperlink ref="J28" r:id="rId27" xr:uid="{00000000-0004-0000-0800-00001A000000}"/>
    <hyperlink ref="J29" r:id="rId28" xr:uid="{00000000-0004-0000-0800-00001B000000}"/>
    <hyperlink ref="J30" r:id="rId29" xr:uid="{00000000-0004-0000-0800-00001C000000}"/>
    <hyperlink ref="J31" r:id="rId30" xr:uid="{00000000-0004-0000-0800-00001D000000}"/>
    <hyperlink ref="J32" r:id="rId31" xr:uid="{00000000-0004-0000-0800-00001E000000}"/>
    <hyperlink ref="J33" r:id="rId32" xr:uid="{00000000-0004-0000-0800-00001F000000}"/>
    <hyperlink ref="J34" r:id="rId33" xr:uid="{00000000-0004-0000-0800-000020000000}"/>
    <hyperlink ref="J35" r:id="rId34" xr:uid="{00000000-0004-0000-0800-000021000000}"/>
    <hyperlink ref="J36" r:id="rId35" xr:uid="{00000000-0004-0000-0800-000022000000}"/>
    <hyperlink ref="J37" r:id="rId36" xr:uid="{00000000-0004-0000-0800-000023000000}"/>
    <hyperlink ref="J38" r:id="rId37" xr:uid="{00000000-0004-0000-0800-000024000000}"/>
    <hyperlink ref="J39" r:id="rId38" xr:uid="{00000000-0004-0000-0800-000025000000}"/>
    <hyperlink ref="J40" r:id="rId39" xr:uid="{00000000-0004-0000-0800-000026000000}"/>
    <hyperlink ref="J41" r:id="rId40" xr:uid="{00000000-0004-0000-0800-000027000000}"/>
    <hyperlink ref="J42" r:id="rId41" xr:uid="{00000000-0004-0000-0800-000028000000}"/>
    <hyperlink ref="J43" r:id="rId42" xr:uid="{00000000-0004-0000-0800-000029000000}"/>
    <hyperlink ref="J44" r:id="rId43" xr:uid="{00000000-0004-0000-0800-00002A000000}"/>
    <hyperlink ref="J45" r:id="rId44" xr:uid="{00000000-0004-0000-0800-00002B000000}"/>
    <hyperlink ref="J46" r:id="rId45" xr:uid="{00000000-0004-0000-0800-00002C000000}"/>
    <hyperlink ref="J47" r:id="rId46" xr:uid="{00000000-0004-0000-0800-00002D000000}"/>
    <hyperlink ref="J48" r:id="rId47" xr:uid="{00000000-0004-0000-0800-00002E000000}"/>
    <hyperlink ref="J49" r:id="rId48" xr:uid="{00000000-0004-0000-0800-00002F000000}"/>
    <hyperlink ref="J50" r:id="rId49" xr:uid="{00000000-0004-0000-0800-000030000000}"/>
    <hyperlink ref="J51" r:id="rId50" xr:uid="{00000000-0004-0000-0800-000031000000}"/>
    <hyperlink ref="J52" r:id="rId51" xr:uid="{00000000-0004-0000-0800-000032000000}"/>
    <hyperlink ref="J53" r:id="rId52" xr:uid="{00000000-0004-0000-0800-000033000000}"/>
    <hyperlink ref="J54" r:id="rId53" xr:uid="{00000000-0004-0000-0800-000034000000}"/>
    <hyperlink ref="J55" r:id="rId54" xr:uid="{00000000-0004-0000-0800-000035000000}"/>
    <hyperlink ref="J56" r:id="rId55" xr:uid="{00000000-0004-0000-0800-000036000000}"/>
    <hyperlink ref="J57" r:id="rId56" xr:uid="{00000000-0004-0000-0800-000037000000}"/>
    <hyperlink ref="J58" r:id="rId57" xr:uid="{00000000-0004-0000-0800-000038000000}"/>
    <hyperlink ref="J59" r:id="rId58" xr:uid="{00000000-0004-0000-0800-000039000000}"/>
    <hyperlink ref="J60" r:id="rId59" xr:uid="{00000000-0004-0000-0800-00003A000000}"/>
    <hyperlink ref="J61" r:id="rId60" xr:uid="{00000000-0004-0000-0800-00003B000000}"/>
    <hyperlink ref="J62" r:id="rId61" xr:uid="{00000000-0004-0000-0800-00003C000000}"/>
    <hyperlink ref="J63" r:id="rId62" xr:uid="{00000000-0004-0000-0800-00003D000000}"/>
    <hyperlink ref="J64" r:id="rId63" xr:uid="{00000000-0004-0000-0800-00003E000000}"/>
    <hyperlink ref="J65" r:id="rId64" xr:uid="{00000000-0004-0000-0800-00003F000000}"/>
    <hyperlink ref="J66" r:id="rId65" xr:uid="{00000000-0004-0000-0800-000040000000}"/>
    <hyperlink ref="J67" r:id="rId66" xr:uid="{00000000-0004-0000-0800-000041000000}"/>
    <hyperlink ref="J68" r:id="rId67" xr:uid="{00000000-0004-0000-0800-000042000000}"/>
    <hyperlink ref="J69" r:id="rId68" xr:uid="{00000000-0004-0000-0800-000043000000}"/>
    <hyperlink ref="J70" r:id="rId69" xr:uid="{00000000-0004-0000-0800-000044000000}"/>
    <hyperlink ref="J71" r:id="rId70" xr:uid="{00000000-0004-0000-0800-000045000000}"/>
    <hyperlink ref="J72" r:id="rId71" xr:uid="{00000000-0004-0000-0800-000046000000}"/>
    <hyperlink ref="J73" r:id="rId72" xr:uid="{00000000-0004-0000-0800-000047000000}"/>
    <hyperlink ref="J74" r:id="rId73" xr:uid="{00000000-0004-0000-0800-000048000000}"/>
    <hyperlink ref="J75" r:id="rId74" xr:uid="{00000000-0004-0000-0800-000049000000}"/>
    <hyperlink ref="J76" r:id="rId75" xr:uid="{00000000-0004-0000-0800-00004A000000}"/>
    <hyperlink ref="J77" r:id="rId76" xr:uid="{00000000-0004-0000-0800-00004B000000}"/>
    <hyperlink ref="J78" r:id="rId77" xr:uid="{00000000-0004-0000-0800-00004C000000}"/>
    <hyperlink ref="J79" r:id="rId78" xr:uid="{00000000-0004-0000-0800-00004D000000}"/>
    <hyperlink ref="J80" r:id="rId79" xr:uid="{00000000-0004-0000-0800-00004E000000}"/>
    <hyperlink ref="J81" r:id="rId80" xr:uid="{00000000-0004-0000-0800-00004F000000}"/>
    <hyperlink ref="J82" r:id="rId81" xr:uid="{00000000-0004-0000-0800-000050000000}"/>
    <hyperlink ref="J83" r:id="rId82" xr:uid="{00000000-0004-0000-0800-000051000000}"/>
    <hyperlink ref="J84" r:id="rId83" xr:uid="{00000000-0004-0000-0800-000052000000}"/>
    <hyperlink ref="J85" r:id="rId84" xr:uid="{00000000-0004-0000-0800-000053000000}"/>
    <hyperlink ref="J86" r:id="rId85" xr:uid="{00000000-0004-0000-0800-000054000000}"/>
    <hyperlink ref="J87" r:id="rId86" xr:uid="{00000000-0004-0000-0800-000055000000}"/>
    <hyperlink ref="J88" r:id="rId87" xr:uid="{00000000-0004-0000-0800-000056000000}"/>
    <hyperlink ref="J89" r:id="rId88" xr:uid="{00000000-0004-0000-0800-000057000000}"/>
    <hyperlink ref="J90" r:id="rId89" xr:uid="{00000000-0004-0000-0800-000058000000}"/>
    <hyperlink ref="J91" r:id="rId90" xr:uid="{00000000-0004-0000-0800-000059000000}"/>
    <hyperlink ref="J92" r:id="rId91" xr:uid="{00000000-0004-0000-0800-00005A000000}"/>
    <hyperlink ref="J93" r:id="rId92" xr:uid="{00000000-0004-0000-0800-00005B000000}"/>
    <hyperlink ref="J94" r:id="rId93" xr:uid="{00000000-0004-0000-0800-00005C000000}"/>
    <hyperlink ref="J95" r:id="rId94" xr:uid="{00000000-0004-0000-0800-00005D000000}"/>
    <hyperlink ref="J96" r:id="rId95" xr:uid="{00000000-0004-0000-0800-00005E000000}"/>
    <hyperlink ref="J97" r:id="rId96" xr:uid="{00000000-0004-0000-0800-00005F000000}"/>
    <hyperlink ref="J98" r:id="rId97" xr:uid="{00000000-0004-0000-0800-000060000000}"/>
    <hyperlink ref="J99" r:id="rId98" xr:uid="{00000000-0004-0000-0800-000061000000}"/>
    <hyperlink ref="J100" r:id="rId99" xr:uid="{00000000-0004-0000-0800-000062000000}"/>
    <hyperlink ref="J101" r:id="rId100" xr:uid="{00000000-0004-0000-0800-000063000000}"/>
    <hyperlink ref="J102" r:id="rId101" xr:uid="{00000000-0004-0000-0800-000064000000}"/>
    <hyperlink ref="J103" r:id="rId102" xr:uid="{00000000-0004-0000-0800-000065000000}"/>
    <hyperlink ref="J104" r:id="rId103" xr:uid="{00000000-0004-0000-0800-000066000000}"/>
    <hyperlink ref="J105" r:id="rId104" xr:uid="{00000000-0004-0000-0800-000067000000}"/>
    <hyperlink ref="J106" r:id="rId105" xr:uid="{00000000-0004-0000-0800-000068000000}"/>
    <hyperlink ref="J107" r:id="rId106" xr:uid="{00000000-0004-0000-0800-000069000000}"/>
    <hyperlink ref="J108" r:id="rId107" xr:uid="{00000000-0004-0000-0800-00006A000000}"/>
    <hyperlink ref="J109" r:id="rId108" xr:uid="{00000000-0004-0000-0800-00006B000000}"/>
    <hyperlink ref="J110" r:id="rId109" xr:uid="{00000000-0004-0000-0800-00006C000000}"/>
    <hyperlink ref="J111" r:id="rId110" xr:uid="{00000000-0004-0000-0800-00006D000000}"/>
    <hyperlink ref="J112" r:id="rId111" xr:uid="{00000000-0004-0000-0800-00006E000000}"/>
    <hyperlink ref="J113" r:id="rId112" xr:uid="{00000000-0004-0000-0800-00006F000000}"/>
    <hyperlink ref="J114" r:id="rId113" xr:uid="{00000000-0004-0000-0800-000070000000}"/>
    <hyperlink ref="J115" r:id="rId114" xr:uid="{00000000-0004-0000-0800-000071000000}"/>
    <hyperlink ref="J116" r:id="rId115" xr:uid="{00000000-0004-0000-0800-000072000000}"/>
    <hyperlink ref="J117" r:id="rId116" xr:uid="{00000000-0004-0000-0800-000073000000}"/>
    <hyperlink ref="J118" r:id="rId117" xr:uid="{00000000-0004-0000-0800-000074000000}"/>
    <hyperlink ref="J119" r:id="rId118" xr:uid="{00000000-0004-0000-0800-000075000000}"/>
    <hyperlink ref="J120" r:id="rId119" xr:uid="{00000000-0004-0000-0800-000076000000}"/>
    <hyperlink ref="J121" r:id="rId120" xr:uid="{00000000-0004-0000-0800-000077000000}"/>
    <hyperlink ref="J122" r:id="rId121" xr:uid="{00000000-0004-0000-0800-000078000000}"/>
    <hyperlink ref="J123" r:id="rId122" xr:uid="{00000000-0004-0000-0800-000079000000}"/>
    <hyperlink ref="J124" r:id="rId123" xr:uid="{00000000-0004-0000-0800-00007A000000}"/>
    <hyperlink ref="J125" r:id="rId124" xr:uid="{00000000-0004-0000-0800-00007B000000}"/>
    <hyperlink ref="J126" r:id="rId125" xr:uid="{00000000-0004-0000-0800-00007C000000}"/>
    <hyperlink ref="J127" r:id="rId126" xr:uid="{00000000-0004-0000-0800-00007D000000}"/>
    <hyperlink ref="J128" r:id="rId127" xr:uid="{00000000-0004-0000-0800-00007E000000}"/>
    <hyperlink ref="J129" r:id="rId128" xr:uid="{00000000-0004-0000-0800-00007F000000}"/>
    <hyperlink ref="J130" r:id="rId129" xr:uid="{00000000-0004-0000-0800-000080000000}"/>
    <hyperlink ref="J131" r:id="rId130" xr:uid="{00000000-0004-0000-0800-000081000000}"/>
    <hyperlink ref="J132" r:id="rId131" xr:uid="{00000000-0004-0000-0800-000082000000}"/>
    <hyperlink ref="J133" r:id="rId132" xr:uid="{00000000-0004-0000-0800-000083000000}"/>
    <hyperlink ref="J134" r:id="rId133" xr:uid="{00000000-0004-0000-0800-000084000000}"/>
    <hyperlink ref="J135" r:id="rId134" xr:uid="{00000000-0004-0000-0800-000085000000}"/>
    <hyperlink ref="J136" r:id="rId135" xr:uid="{00000000-0004-0000-0800-000086000000}"/>
    <hyperlink ref="J137" r:id="rId136" xr:uid="{00000000-0004-0000-0800-000087000000}"/>
    <hyperlink ref="J138" r:id="rId137" xr:uid="{00000000-0004-0000-0800-000088000000}"/>
    <hyperlink ref="J139" r:id="rId138" xr:uid="{00000000-0004-0000-0800-000089000000}"/>
    <hyperlink ref="J140" r:id="rId139" xr:uid="{00000000-0004-0000-0800-00008A000000}"/>
    <hyperlink ref="J141" r:id="rId140" xr:uid="{00000000-0004-0000-0800-00008B000000}"/>
    <hyperlink ref="J142" r:id="rId141" xr:uid="{00000000-0004-0000-0800-00008C000000}"/>
    <hyperlink ref="J143" r:id="rId142" xr:uid="{00000000-0004-0000-0800-00008D000000}"/>
    <hyperlink ref="J144" r:id="rId143" xr:uid="{00000000-0004-0000-0800-00008E000000}"/>
    <hyperlink ref="J145" r:id="rId144" xr:uid="{00000000-0004-0000-0800-00008F000000}"/>
    <hyperlink ref="J146" r:id="rId145" xr:uid="{00000000-0004-0000-0800-000090000000}"/>
    <hyperlink ref="J147" r:id="rId146" xr:uid="{00000000-0004-0000-0800-000091000000}"/>
    <hyperlink ref="J148" r:id="rId147" xr:uid="{00000000-0004-0000-0800-000092000000}"/>
    <hyperlink ref="J149" r:id="rId148" xr:uid="{00000000-0004-0000-0800-000093000000}"/>
    <hyperlink ref="J150" r:id="rId149" xr:uid="{00000000-0004-0000-0800-000094000000}"/>
    <hyperlink ref="J151" r:id="rId150" xr:uid="{00000000-0004-0000-0800-000095000000}"/>
    <hyperlink ref="J152" r:id="rId151" xr:uid="{00000000-0004-0000-0800-000096000000}"/>
    <hyperlink ref="J153" r:id="rId152" xr:uid="{00000000-0004-0000-0800-000097000000}"/>
    <hyperlink ref="J154" r:id="rId153" xr:uid="{00000000-0004-0000-0800-000098000000}"/>
    <hyperlink ref="J155" r:id="rId154" xr:uid="{00000000-0004-0000-0800-000099000000}"/>
    <hyperlink ref="J156" r:id="rId155" xr:uid="{00000000-0004-0000-0800-00009A000000}"/>
    <hyperlink ref="J157" r:id="rId156" xr:uid="{00000000-0004-0000-0800-00009B000000}"/>
    <hyperlink ref="J158" r:id="rId157" xr:uid="{00000000-0004-0000-0800-00009C000000}"/>
    <hyperlink ref="J159" r:id="rId158" xr:uid="{00000000-0004-0000-0800-00009D000000}"/>
    <hyperlink ref="J160" r:id="rId159" xr:uid="{00000000-0004-0000-0800-00009E000000}"/>
    <hyperlink ref="J161" r:id="rId160" xr:uid="{00000000-0004-0000-0800-00009F000000}"/>
    <hyperlink ref="J162" r:id="rId161" xr:uid="{00000000-0004-0000-0800-0000A0000000}"/>
    <hyperlink ref="J163" r:id="rId162" xr:uid="{00000000-0004-0000-0800-0000A1000000}"/>
    <hyperlink ref="J164" r:id="rId163" xr:uid="{00000000-0004-0000-0800-0000A2000000}"/>
    <hyperlink ref="J165" r:id="rId164" xr:uid="{00000000-0004-0000-0800-0000A3000000}"/>
    <hyperlink ref="J166" r:id="rId165" xr:uid="{00000000-0004-0000-0800-0000A4000000}"/>
    <hyperlink ref="J167" r:id="rId166" xr:uid="{00000000-0004-0000-0800-0000A5000000}"/>
    <hyperlink ref="J168" r:id="rId167" xr:uid="{00000000-0004-0000-0800-0000A6000000}"/>
    <hyperlink ref="J169" r:id="rId168" xr:uid="{00000000-0004-0000-0800-0000A7000000}"/>
    <hyperlink ref="J170" r:id="rId169" xr:uid="{00000000-0004-0000-0800-0000A8000000}"/>
    <hyperlink ref="J171" r:id="rId170" xr:uid="{00000000-0004-0000-0800-0000A9000000}"/>
    <hyperlink ref="J172" r:id="rId171" xr:uid="{00000000-0004-0000-0800-0000AA000000}"/>
    <hyperlink ref="J173" r:id="rId172" xr:uid="{00000000-0004-0000-0800-0000AB000000}"/>
    <hyperlink ref="J174" r:id="rId173" xr:uid="{00000000-0004-0000-0800-0000AC000000}"/>
    <hyperlink ref="J175" r:id="rId174" xr:uid="{00000000-0004-0000-0800-0000AD000000}"/>
    <hyperlink ref="J176" r:id="rId175" xr:uid="{00000000-0004-0000-0800-0000AE000000}"/>
    <hyperlink ref="J177" r:id="rId176" xr:uid="{00000000-0004-0000-0800-0000AF000000}"/>
    <hyperlink ref="J178" r:id="rId177" xr:uid="{00000000-0004-0000-0800-0000B0000000}"/>
    <hyperlink ref="J179" r:id="rId178" xr:uid="{00000000-0004-0000-0800-0000B1000000}"/>
    <hyperlink ref="J180" r:id="rId179" xr:uid="{00000000-0004-0000-0800-0000B2000000}"/>
    <hyperlink ref="J181" r:id="rId180" xr:uid="{00000000-0004-0000-0800-0000B3000000}"/>
    <hyperlink ref="J182" r:id="rId181" xr:uid="{00000000-0004-0000-0800-0000B4000000}"/>
    <hyperlink ref="J183" r:id="rId182" xr:uid="{00000000-0004-0000-0800-0000B5000000}"/>
    <hyperlink ref="J184" r:id="rId183" xr:uid="{00000000-0004-0000-0800-0000B6000000}"/>
    <hyperlink ref="J185" r:id="rId184" xr:uid="{00000000-0004-0000-0800-0000B7000000}"/>
    <hyperlink ref="J186" r:id="rId185" xr:uid="{00000000-0004-0000-0800-0000B8000000}"/>
    <hyperlink ref="J187" r:id="rId186" xr:uid="{00000000-0004-0000-0800-0000B9000000}"/>
    <hyperlink ref="J188" r:id="rId187" xr:uid="{00000000-0004-0000-0800-0000BA000000}"/>
    <hyperlink ref="J189" r:id="rId188" xr:uid="{00000000-0004-0000-0800-0000BB000000}"/>
  </hyperlinks>
  <pageMargins left="0.74791666666666701" right="0.74791666666666701" top="0.98402777777777795" bottom="0.98402777777777795" header="0.511811023622047" footer="0.511811023622047"/>
  <pageSetup paperSize="9"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heetPr>
  <dimension ref="A1:K119"/>
  <sheetViews>
    <sheetView zoomScaleNormal="100" workbookViewId="0">
      <selection activeCell="C3" sqref="C3"/>
    </sheetView>
  </sheetViews>
  <sheetFormatPr defaultColWidth="12.6640625" defaultRowHeight="15.75" customHeight="1"/>
  <sheetData>
    <row r="1" spans="1:11" ht="13.8">
      <c r="A1" s="1" t="s">
        <v>14183</v>
      </c>
      <c r="B1" s="1" t="s">
        <v>30167</v>
      </c>
      <c r="C1" s="1" t="s">
        <v>30168</v>
      </c>
      <c r="D1" s="1" t="s">
        <v>14186</v>
      </c>
      <c r="E1" s="1" t="s">
        <v>14187</v>
      </c>
      <c r="F1" s="1" t="s">
        <v>14188</v>
      </c>
      <c r="G1" s="1" t="s">
        <v>14189</v>
      </c>
      <c r="H1" s="1" t="s">
        <v>14190</v>
      </c>
      <c r="I1" s="1" t="s">
        <v>30169</v>
      </c>
      <c r="J1" s="1" t="s">
        <v>14192</v>
      </c>
      <c r="K1" s="1" t="s">
        <v>14193</v>
      </c>
    </row>
    <row r="2" spans="1:11" ht="13.8">
      <c r="A2" s="1" t="s">
        <v>30170</v>
      </c>
      <c r="B2" s="1" t="s">
        <v>30171</v>
      </c>
      <c r="C2" s="1" t="s">
        <v>30172</v>
      </c>
      <c r="D2" s="1" t="s">
        <v>30173</v>
      </c>
      <c r="E2" s="1">
        <v>45</v>
      </c>
      <c r="F2" s="1" t="s">
        <v>145</v>
      </c>
      <c r="G2" s="1" t="s">
        <v>14382</v>
      </c>
      <c r="H2" s="1" t="s">
        <v>30174</v>
      </c>
      <c r="I2" s="1" t="s">
        <v>30175</v>
      </c>
      <c r="J2" s="3" t="s">
        <v>30176</v>
      </c>
      <c r="K2" s="1" t="s">
        <v>30177</v>
      </c>
    </row>
    <row r="3" spans="1:11" ht="13.8">
      <c r="A3" s="1" t="s">
        <v>30178</v>
      </c>
      <c r="B3" s="1" t="s">
        <v>30179</v>
      </c>
      <c r="C3" s="1" t="s">
        <v>30180</v>
      </c>
      <c r="D3" s="1" t="s">
        <v>30181</v>
      </c>
      <c r="E3" s="1">
        <v>30</v>
      </c>
      <c r="F3" s="1" t="s">
        <v>15138</v>
      </c>
      <c r="G3" s="1" t="s">
        <v>14198</v>
      </c>
      <c r="H3" s="1" t="s">
        <v>30182</v>
      </c>
      <c r="I3" s="1" t="s">
        <v>30183</v>
      </c>
      <c r="J3" s="3" t="s">
        <v>30184</v>
      </c>
      <c r="K3" s="1" t="s">
        <v>30177</v>
      </c>
    </row>
    <row r="4" spans="1:11" ht="13.8">
      <c r="A4" s="1" t="s">
        <v>30185</v>
      </c>
      <c r="B4" s="1" t="s">
        <v>30186</v>
      </c>
      <c r="C4" s="1" t="s">
        <v>30187</v>
      </c>
      <c r="D4" s="1" t="s">
        <v>30188</v>
      </c>
      <c r="E4" s="1">
        <v>30</v>
      </c>
      <c r="F4" s="1" t="s">
        <v>145</v>
      </c>
      <c r="G4" s="1" t="s">
        <v>14198</v>
      </c>
      <c r="H4" s="1" t="s">
        <v>30189</v>
      </c>
      <c r="I4" s="1" t="s">
        <v>30190</v>
      </c>
      <c r="J4" s="3" t="s">
        <v>30191</v>
      </c>
      <c r="K4" s="1" t="s">
        <v>30177</v>
      </c>
    </row>
    <row r="5" spans="1:11" ht="13.8">
      <c r="A5" s="1" t="s">
        <v>30192</v>
      </c>
      <c r="B5" s="1" t="s">
        <v>30193</v>
      </c>
      <c r="C5" s="1" t="s">
        <v>30194</v>
      </c>
      <c r="D5" s="1" t="s">
        <v>30195</v>
      </c>
      <c r="E5" s="1">
        <v>75</v>
      </c>
      <c r="F5" s="1" t="s">
        <v>14207</v>
      </c>
      <c r="G5" s="1" t="s">
        <v>14198</v>
      </c>
      <c r="H5" s="1" t="s">
        <v>30196</v>
      </c>
      <c r="I5" s="1" t="s">
        <v>30197</v>
      </c>
      <c r="J5" s="3" t="s">
        <v>30198</v>
      </c>
      <c r="K5" s="1" t="s">
        <v>30177</v>
      </c>
    </row>
    <row r="6" spans="1:11" ht="409.6">
      <c r="A6" s="1" t="s">
        <v>30199</v>
      </c>
      <c r="B6" s="1" t="s">
        <v>30200</v>
      </c>
      <c r="C6" s="1" t="s">
        <v>30201</v>
      </c>
      <c r="D6" s="1" t="s">
        <v>30202</v>
      </c>
      <c r="E6" s="1">
        <v>50</v>
      </c>
      <c r="F6" s="1" t="s">
        <v>145</v>
      </c>
      <c r="G6" s="1" t="s">
        <v>14198</v>
      </c>
      <c r="H6" s="4" t="s">
        <v>30203</v>
      </c>
      <c r="I6" s="1" t="s">
        <v>30204</v>
      </c>
      <c r="J6" s="3" t="s">
        <v>30205</v>
      </c>
      <c r="K6" s="1" t="s">
        <v>30177</v>
      </c>
    </row>
    <row r="7" spans="1:11" ht="409.6">
      <c r="A7" s="1" t="s">
        <v>30206</v>
      </c>
      <c r="B7" s="1" t="s">
        <v>30207</v>
      </c>
      <c r="C7" s="1" t="s">
        <v>30208</v>
      </c>
      <c r="D7" s="1" t="s">
        <v>30209</v>
      </c>
      <c r="E7" s="1">
        <v>25</v>
      </c>
      <c r="F7" s="1" t="s">
        <v>145</v>
      </c>
      <c r="G7" s="1" t="s">
        <v>14198</v>
      </c>
      <c r="H7" s="1" t="s">
        <v>30210</v>
      </c>
      <c r="I7" s="4" t="s">
        <v>30211</v>
      </c>
      <c r="J7" s="3" t="s">
        <v>30212</v>
      </c>
      <c r="K7" s="1" t="s">
        <v>30177</v>
      </c>
    </row>
    <row r="8" spans="1:11" ht="13.8">
      <c r="A8" s="1" t="s">
        <v>30213</v>
      </c>
      <c r="B8" s="1" t="s">
        <v>30214</v>
      </c>
      <c r="C8" s="1" t="s">
        <v>30215</v>
      </c>
      <c r="D8" s="1" t="s">
        <v>30216</v>
      </c>
      <c r="E8" s="1">
        <v>30</v>
      </c>
      <c r="F8" s="1" t="s">
        <v>145</v>
      </c>
      <c r="G8" s="1" t="s">
        <v>14198</v>
      </c>
      <c r="H8" s="1" t="s">
        <v>30217</v>
      </c>
      <c r="I8" s="1" t="s">
        <v>30218</v>
      </c>
      <c r="J8" s="3" t="s">
        <v>30219</v>
      </c>
      <c r="K8" s="1" t="s">
        <v>30177</v>
      </c>
    </row>
    <row r="9" spans="1:11" ht="409.6">
      <c r="A9" s="1" t="s">
        <v>30220</v>
      </c>
      <c r="B9" s="1" t="s">
        <v>30221</v>
      </c>
      <c r="C9" s="1" t="s">
        <v>30222</v>
      </c>
      <c r="D9" s="1" t="s">
        <v>30223</v>
      </c>
      <c r="E9" s="1">
        <v>175</v>
      </c>
      <c r="F9" s="1" t="s">
        <v>14281</v>
      </c>
      <c r="G9" s="1" t="s">
        <v>14198</v>
      </c>
      <c r="H9" s="1" t="s">
        <v>30224</v>
      </c>
      <c r="I9" s="4" t="s">
        <v>30225</v>
      </c>
      <c r="J9" s="3" t="s">
        <v>30226</v>
      </c>
      <c r="K9" s="1" t="s">
        <v>30177</v>
      </c>
    </row>
    <row r="10" spans="1:11" ht="409.6">
      <c r="A10" s="1" t="s">
        <v>30227</v>
      </c>
      <c r="B10" s="1" t="s">
        <v>30228</v>
      </c>
      <c r="C10" s="1" t="s">
        <v>30229</v>
      </c>
      <c r="D10" s="1" t="s">
        <v>30230</v>
      </c>
      <c r="E10" s="1">
        <v>35</v>
      </c>
      <c r="F10" s="1" t="s">
        <v>145</v>
      </c>
      <c r="G10" s="1" t="s">
        <v>14198</v>
      </c>
      <c r="H10" s="1" t="s">
        <v>30231</v>
      </c>
      <c r="I10" s="4" t="s">
        <v>30232</v>
      </c>
      <c r="J10" s="3" t="s">
        <v>30233</v>
      </c>
      <c r="K10" s="1" t="s">
        <v>30177</v>
      </c>
    </row>
    <row r="11" spans="1:11" ht="409.6">
      <c r="A11" s="1" t="s">
        <v>30234</v>
      </c>
      <c r="B11" s="1" t="s">
        <v>30235</v>
      </c>
      <c r="C11" s="1" t="s">
        <v>30236</v>
      </c>
      <c r="D11" s="1" t="s">
        <v>30237</v>
      </c>
      <c r="E11" s="1">
        <v>40</v>
      </c>
      <c r="F11" s="1" t="s">
        <v>14207</v>
      </c>
      <c r="G11" s="1" t="s">
        <v>14338</v>
      </c>
      <c r="H11" s="4" t="s">
        <v>30238</v>
      </c>
      <c r="I11" s="1" t="s">
        <v>30239</v>
      </c>
      <c r="J11" s="3" t="s">
        <v>30240</v>
      </c>
      <c r="K11" s="1" t="s">
        <v>30177</v>
      </c>
    </row>
    <row r="12" spans="1:11" ht="409.6">
      <c r="A12" s="1" t="s">
        <v>30241</v>
      </c>
      <c r="B12" s="1" t="s">
        <v>30242</v>
      </c>
      <c r="C12" s="1" t="s">
        <v>30243</v>
      </c>
      <c r="D12" s="1" t="s">
        <v>30244</v>
      </c>
      <c r="E12" s="1">
        <v>160</v>
      </c>
      <c r="F12" s="1" t="s">
        <v>8417</v>
      </c>
      <c r="G12" s="1" t="s">
        <v>14198</v>
      </c>
      <c r="H12" s="4" t="s">
        <v>30245</v>
      </c>
      <c r="I12" s="1" t="s">
        <v>30246</v>
      </c>
      <c r="J12" s="3" t="s">
        <v>30247</v>
      </c>
      <c r="K12" s="1" t="s">
        <v>30177</v>
      </c>
    </row>
    <row r="13" spans="1:11" ht="13.8">
      <c r="A13" s="1" t="s">
        <v>30248</v>
      </c>
      <c r="B13" s="1" t="s">
        <v>30249</v>
      </c>
      <c r="C13" s="1" t="s">
        <v>30250</v>
      </c>
      <c r="D13" s="1" t="s">
        <v>30251</v>
      </c>
      <c r="E13" s="1">
        <v>45</v>
      </c>
      <c r="F13" s="1" t="s">
        <v>14259</v>
      </c>
      <c r="G13" s="1" t="s">
        <v>14198</v>
      </c>
      <c r="H13" s="1" t="s">
        <v>30252</v>
      </c>
      <c r="I13" s="1" t="s">
        <v>30253</v>
      </c>
      <c r="J13" s="3" t="s">
        <v>30254</v>
      </c>
      <c r="K13" s="1" t="s">
        <v>30177</v>
      </c>
    </row>
    <row r="14" spans="1:11" ht="13.8">
      <c r="A14" s="1" t="s">
        <v>30255</v>
      </c>
      <c r="B14" s="1" t="s">
        <v>30256</v>
      </c>
      <c r="C14" s="1" t="s">
        <v>30257</v>
      </c>
      <c r="D14" s="1" t="s">
        <v>30258</v>
      </c>
      <c r="E14" s="1">
        <v>35</v>
      </c>
      <c r="F14" s="1" t="s">
        <v>145</v>
      </c>
      <c r="G14" s="1" t="s">
        <v>14198</v>
      </c>
      <c r="H14" s="1" t="s">
        <v>30259</v>
      </c>
      <c r="I14" s="1" t="s">
        <v>30260</v>
      </c>
      <c r="J14" s="3" t="s">
        <v>30261</v>
      </c>
      <c r="K14" s="1" t="s">
        <v>30177</v>
      </c>
    </row>
    <row r="15" spans="1:11" ht="409.6">
      <c r="A15" s="1" t="s">
        <v>30262</v>
      </c>
      <c r="B15" s="1" t="s">
        <v>30263</v>
      </c>
      <c r="C15" s="1" t="s">
        <v>30264</v>
      </c>
      <c r="D15" s="1" t="s">
        <v>30265</v>
      </c>
      <c r="E15" s="1">
        <v>50</v>
      </c>
      <c r="F15" s="1" t="s">
        <v>14572</v>
      </c>
      <c r="G15" s="1" t="s">
        <v>14367</v>
      </c>
      <c r="H15" s="4" t="s">
        <v>30266</v>
      </c>
      <c r="I15" s="1" t="s">
        <v>30267</v>
      </c>
      <c r="J15" s="3" t="s">
        <v>30268</v>
      </c>
      <c r="K15" s="1" t="s">
        <v>30177</v>
      </c>
    </row>
    <row r="16" spans="1:11" ht="13.8">
      <c r="A16" s="1" t="s">
        <v>30269</v>
      </c>
      <c r="B16" s="1" t="s">
        <v>30270</v>
      </c>
      <c r="C16" s="1" t="s">
        <v>30271</v>
      </c>
      <c r="D16" s="1" t="s">
        <v>30272</v>
      </c>
      <c r="E16" s="1">
        <v>280</v>
      </c>
      <c r="F16" s="1" t="s">
        <v>15138</v>
      </c>
      <c r="G16" s="1" t="s">
        <v>14198</v>
      </c>
      <c r="H16" s="1" t="s">
        <v>30273</v>
      </c>
      <c r="I16" s="1" t="s">
        <v>30274</v>
      </c>
      <c r="J16" s="3" t="s">
        <v>30275</v>
      </c>
      <c r="K16" s="1" t="s">
        <v>30177</v>
      </c>
    </row>
    <row r="17" spans="1:11" ht="13.8">
      <c r="A17" s="1" t="s">
        <v>30276</v>
      </c>
      <c r="B17" s="1" t="s">
        <v>30277</v>
      </c>
      <c r="C17" s="1" t="s">
        <v>30278</v>
      </c>
      <c r="D17" s="1" t="s">
        <v>30279</v>
      </c>
      <c r="E17" s="1">
        <v>25</v>
      </c>
      <c r="F17" s="1" t="s">
        <v>14207</v>
      </c>
      <c r="G17" s="1" t="s">
        <v>14198</v>
      </c>
      <c r="H17" s="1" t="s">
        <v>30280</v>
      </c>
      <c r="I17" s="1" t="s">
        <v>30281</v>
      </c>
      <c r="J17" s="3" t="s">
        <v>30282</v>
      </c>
      <c r="K17" s="1" t="s">
        <v>30177</v>
      </c>
    </row>
    <row r="18" spans="1:11" ht="13.8">
      <c r="A18" s="1" t="s">
        <v>30283</v>
      </c>
      <c r="B18" s="1" t="s">
        <v>30284</v>
      </c>
      <c r="C18" s="1" t="s">
        <v>30285</v>
      </c>
      <c r="D18" s="1" t="s">
        <v>30286</v>
      </c>
      <c r="E18" s="1">
        <v>40</v>
      </c>
      <c r="F18" s="1" t="s">
        <v>15138</v>
      </c>
      <c r="G18" s="1" t="s">
        <v>14198</v>
      </c>
      <c r="H18" s="1" t="s">
        <v>30287</v>
      </c>
      <c r="I18" s="1" t="s">
        <v>30288</v>
      </c>
      <c r="J18" s="3" t="s">
        <v>30289</v>
      </c>
      <c r="K18" s="1" t="s">
        <v>30177</v>
      </c>
    </row>
    <row r="19" spans="1:11" ht="13.8">
      <c r="A19" s="1" t="s">
        <v>30290</v>
      </c>
      <c r="B19" s="1" t="s">
        <v>30291</v>
      </c>
      <c r="C19" s="1" t="s">
        <v>30292</v>
      </c>
      <c r="D19" s="1" t="s">
        <v>30293</v>
      </c>
      <c r="E19" s="1">
        <v>75</v>
      </c>
      <c r="F19" s="1" t="s">
        <v>145</v>
      </c>
      <c r="G19" s="1" t="s">
        <v>14198</v>
      </c>
      <c r="H19" s="1" t="s">
        <v>30294</v>
      </c>
      <c r="I19" s="1" t="s">
        <v>30295</v>
      </c>
      <c r="J19" s="3" t="s">
        <v>30296</v>
      </c>
      <c r="K19" s="1" t="s">
        <v>30177</v>
      </c>
    </row>
    <row r="20" spans="1:11" ht="409.6">
      <c r="A20" s="1" t="s">
        <v>30297</v>
      </c>
      <c r="B20" s="1" t="s">
        <v>30298</v>
      </c>
      <c r="C20" s="1" t="s">
        <v>30299</v>
      </c>
      <c r="D20" s="1" t="s">
        <v>30300</v>
      </c>
      <c r="E20" s="1">
        <v>35</v>
      </c>
      <c r="F20" s="1" t="s">
        <v>8417</v>
      </c>
      <c r="G20" s="1" t="s">
        <v>14198</v>
      </c>
      <c r="H20" s="4" t="s">
        <v>30301</v>
      </c>
      <c r="I20" s="1" t="s">
        <v>30302</v>
      </c>
      <c r="J20" s="3" t="s">
        <v>30303</v>
      </c>
      <c r="K20" s="1" t="s">
        <v>30177</v>
      </c>
    </row>
    <row r="21" spans="1:11" ht="13.8">
      <c r="A21" s="1" t="s">
        <v>30304</v>
      </c>
      <c r="B21" s="1" t="s">
        <v>30305</v>
      </c>
      <c r="C21" s="1" t="s">
        <v>30306</v>
      </c>
      <c r="D21" s="1" t="s">
        <v>30307</v>
      </c>
      <c r="E21" s="1">
        <v>40</v>
      </c>
      <c r="F21" s="1" t="s">
        <v>14281</v>
      </c>
      <c r="G21" s="1" t="s">
        <v>14198</v>
      </c>
      <c r="H21" s="1" t="s">
        <v>30308</v>
      </c>
      <c r="I21" s="1" t="s">
        <v>30309</v>
      </c>
      <c r="J21" s="3" t="s">
        <v>30310</v>
      </c>
      <c r="K21" s="1" t="s">
        <v>30177</v>
      </c>
    </row>
    <row r="22" spans="1:11" ht="409.6">
      <c r="A22" s="1" t="s">
        <v>30311</v>
      </c>
      <c r="B22" s="1" t="s">
        <v>30312</v>
      </c>
      <c r="C22" s="1" t="s">
        <v>30313</v>
      </c>
      <c r="D22" s="1" t="s">
        <v>30314</v>
      </c>
      <c r="E22" s="1">
        <v>330</v>
      </c>
      <c r="F22" s="1" t="s">
        <v>15138</v>
      </c>
      <c r="G22" s="1" t="s">
        <v>14198</v>
      </c>
      <c r="H22" s="4" t="s">
        <v>30315</v>
      </c>
      <c r="I22" s="1" t="s">
        <v>30316</v>
      </c>
      <c r="J22" s="3" t="s">
        <v>30317</v>
      </c>
      <c r="K22" s="1" t="s">
        <v>30177</v>
      </c>
    </row>
    <row r="23" spans="1:11" ht="13.8">
      <c r="A23" s="1" t="s">
        <v>30318</v>
      </c>
      <c r="B23" s="1" t="s">
        <v>30319</v>
      </c>
      <c r="C23" s="1" t="s">
        <v>30320</v>
      </c>
      <c r="D23" s="1" t="s">
        <v>30321</v>
      </c>
      <c r="E23" s="1">
        <v>60</v>
      </c>
      <c r="F23" s="1" t="s">
        <v>429</v>
      </c>
      <c r="G23" s="1" t="s">
        <v>14382</v>
      </c>
      <c r="H23" s="1" t="s">
        <v>30322</v>
      </c>
      <c r="I23" s="1" t="s">
        <v>30323</v>
      </c>
      <c r="J23" s="3" t="s">
        <v>30324</v>
      </c>
      <c r="K23" s="1" t="s">
        <v>30177</v>
      </c>
    </row>
    <row r="24" spans="1:11" ht="409.6">
      <c r="A24" s="1" t="s">
        <v>30325</v>
      </c>
      <c r="B24" s="1" t="s">
        <v>30326</v>
      </c>
      <c r="C24" s="1" t="s">
        <v>30327</v>
      </c>
      <c r="D24" s="1" t="s">
        <v>30328</v>
      </c>
      <c r="E24" s="1">
        <v>20</v>
      </c>
      <c r="F24" s="1" t="s">
        <v>14207</v>
      </c>
      <c r="G24" s="1" t="s">
        <v>14198</v>
      </c>
      <c r="H24" s="4" t="s">
        <v>30329</v>
      </c>
      <c r="I24" s="1" t="s">
        <v>30330</v>
      </c>
      <c r="J24" s="3" t="s">
        <v>30331</v>
      </c>
      <c r="K24" s="1" t="s">
        <v>30177</v>
      </c>
    </row>
    <row r="25" spans="1:11" ht="409.6">
      <c r="A25" s="1" t="s">
        <v>30332</v>
      </c>
      <c r="B25" s="1" t="s">
        <v>30333</v>
      </c>
      <c r="C25" s="1" t="s">
        <v>30334</v>
      </c>
      <c r="D25" s="1" t="s">
        <v>30335</v>
      </c>
      <c r="E25" s="1">
        <v>46</v>
      </c>
      <c r="F25" s="1" t="s">
        <v>145</v>
      </c>
      <c r="G25" s="1" t="s">
        <v>14237</v>
      </c>
      <c r="H25" s="4" t="s">
        <v>30336</v>
      </c>
      <c r="I25" s="1" t="s">
        <v>30337</v>
      </c>
      <c r="J25" s="3" t="s">
        <v>30338</v>
      </c>
      <c r="K25" s="1" t="s">
        <v>30177</v>
      </c>
    </row>
    <row r="26" spans="1:11" ht="13.8">
      <c r="A26" s="1" t="s">
        <v>30339</v>
      </c>
      <c r="B26" s="1" t="s">
        <v>30340</v>
      </c>
      <c r="C26" s="1" t="s">
        <v>30341</v>
      </c>
      <c r="D26" s="1" t="s">
        <v>30342</v>
      </c>
      <c r="E26" s="1">
        <v>30</v>
      </c>
      <c r="F26" s="1" t="s">
        <v>15138</v>
      </c>
      <c r="G26" s="1" t="s">
        <v>14198</v>
      </c>
      <c r="H26" s="1" t="s">
        <v>30343</v>
      </c>
      <c r="I26" s="1" t="s">
        <v>30344</v>
      </c>
      <c r="J26" s="3" t="s">
        <v>30345</v>
      </c>
      <c r="K26" s="1" t="s">
        <v>30177</v>
      </c>
    </row>
    <row r="27" spans="1:11" ht="409.6">
      <c r="A27" s="1" t="s">
        <v>30346</v>
      </c>
      <c r="B27" s="1" t="s">
        <v>30347</v>
      </c>
      <c r="C27" s="1" t="s">
        <v>30348</v>
      </c>
      <c r="D27" s="1" t="s">
        <v>30349</v>
      </c>
      <c r="E27" s="1">
        <v>25</v>
      </c>
      <c r="F27" s="1" t="s">
        <v>145</v>
      </c>
      <c r="G27" s="1" t="s">
        <v>14198</v>
      </c>
      <c r="H27" s="4" t="s">
        <v>30350</v>
      </c>
      <c r="I27" s="1" t="s">
        <v>30351</v>
      </c>
      <c r="J27" s="3" t="s">
        <v>30352</v>
      </c>
      <c r="K27" s="1" t="s">
        <v>30177</v>
      </c>
    </row>
    <row r="28" spans="1:11" ht="13.8">
      <c r="A28" s="1" t="s">
        <v>30353</v>
      </c>
      <c r="B28" s="1" t="s">
        <v>30354</v>
      </c>
      <c r="C28" s="1" t="s">
        <v>30355</v>
      </c>
      <c r="D28" s="1" t="s">
        <v>30356</v>
      </c>
      <c r="E28" s="1">
        <v>55</v>
      </c>
      <c r="F28" s="1" t="s">
        <v>145</v>
      </c>
      <c r="G28" s="1" t="s">
        <v>14198</v>
      </c>
      <c r="H28" s="1" t="s">
        <v>30357</v>
      </c>
      <c r="I28" s="1" t="s">
        <v>30358</v>
      </c>
      <c r="J28" s="3" t="s">
        <v>30359</v>
      </c>
      <c r="K28" s="1" t="s">
        <v>30177</v>
      </c>
    </row>
    <row r="29" spans="1:11" ht="13.8">
      <c r="A29" s="1" t="s">
        <v>30360</v>
      </c>
      <c r="B29" s="1" t="s">
        <v>30361</v>
      </c>
      <c r="C29" s="1" t="s">
        <v>30362</v>
      </c>
      <c r="D29" s="1" t="s">
        <v>30363</v>
      </c>
      <c r="E29" s="1">
        <v>35</v>
      </c>
      <c r="F29" s="1" t="s">
        <v>15138</v>
      </c>
      <c r="G29" s="1" t="s">
        <v>14198</v>
      </c>
      <c r="H29" s="1" t="s">
        <v>30364</v>
      </c>
      <c r="I29" s="1" t="s">
        <v>30365</v>
      </c>
      <c r="J29" s="3" t="s">
        <v>30366</v>
      </c>
      <c r="K29" s="1" t="s">
        <v>30177</v>
      </c>
    </row>
    <row r="30" spans="1:11" ht="13.8">
      <c r="A30" s="1" t="s">
        <v>30367</v>
      </c>
      <c r="B30" s="1" t="s">
        <v>30368</v>
      </c>
      <c r="C30" s="1" t="s">
        <v>30369</v>
      </c>
      <c r="D30" s="1" t="s">
        <v>30370</v>
      </c>
      <c r="E30" s="1">
        <v>35</v>
      </c>
      <c r="F30" s="1" t="s">
        <v>14207</v>
      </c>
      <c r="G30" s="1" t="s">
        <v>14198</v>
      </c>
      <c r="H30" s="1" t="s">
        <v>30371</v>
      </c>
      <c r="I30" s="1" t="s">
        <v>30372</v>
      </c>
      <c r="J30" s="3" t="s">
        <v>30373</v>
      </c>
      <c r="K30" s="1" t="s">
        <v>30177</v>
      </c>
    </row>
    <row r="31" spans="1:11" ht="13.8">
      <c r="A31" s="1" t="s">
        <v>30374</v>
      </c>
      <c r="B31" s="1" t="s">
        <v>30375</v>
      </c>
      <c r="C31" s="1" t="s">
        <v>30376</v>
      </c>
      <c r="D31" s="1" t="s">
        <v>30377</v>
      </c>
      <c r="E31" s="1">
        <v>40</v>
      </c>
      <c r="F31" s="1" t="s">
        <v>14207</v>
      </c>
      <c r="G31" s="1" t="s">
        <v>14237</v>
      </c>
      <c r="H31" s="1" t="s">
        <v>30378</v>
      </c>
      <c r="I31" s="1" t="s">
        <v>30379</v>
      </c>
      <c r="J31" s="3" t="s">
        <v>30380</v>
      </c>
      <c r="K31" s="1" t="s">
        <v>30177</v>
      </c>
    </row>
    <row r="32" spans="1:11" ht="13.8">
      <c r="A32" s="1" t="s">
        <v>30381</v>
      </c>
      <c r="B32" s="1" t="s">
        <v>30382</v>
      </c>
      <c r="C32" s="1" t="s">
        <v>30383</v>
      </c>
      <c r="D32" s="1" t="s">
        <v>30384</v>
      </c>
      <c r="E32" s="1">
        <v>45</v>
      </c>
      <c r="F32" s="1" t="s">
        <v>14259</v>
      </c>
      <c r="G32" s="1" t="s">
        <v>14198</v>
      </c>
      <c r="H32" s="1" t="s">
        <v>30385</v>
      </c>
      <c r="I32" s="1" t="s">
        <v>30386</v>
      </c>
      <c r="J32" s="3" t="s">
        <v>30387</v>
      </c>
      <c r="K32" s="1" t="s">
        <v>30177</v>
      </c>
    </row>
    <row r="33" spans="1:11" ht="13.8">
      <c r="A33" s="1" t="s">
        <v>30388</v>
      </c>
      <c r="B33" s="1" t="s">
        <v>30389</v>
      </c>
      <c r="C33" s="1" t="s">
        <v>30390</v>
      </c>
      <c r="D33" s="1" t="s">
        <v>30391</v>
      </c>
      <c r="E33" s="1">
        <v>100</v>
      </c>
      <c r="F33" s="1" t="s">
        <v>15138</v>
      </c>
      <c r="G33" s="1" t="s">
        <v>15102</v>
      </c>
      <c r="H33" s="1" t="s">
        <v>30392</v>
      </c>
      <c r="I33" s="1" t="s">
        <v>30393</v>
      </c>
      <c r="J33" s="3" t="s">
        <v>30394</v>
      </c>
      <c r="K33" s="1" t="s">
        <v>30177</v>
      </c>
    </row>
    <row r="34" spans="1:11" ht="13.8">
      <c r="A34" s="1" t="s">
        <v>30395</v>
      </c>
      <c r="B34" s="1" t="s">
        <v>30396</v>
      </c>
      <c r="C34" s="1" t="s">
        <v>30397</v>
      </c>
      <c r="D34" s="1" t="s">
        <v>30398</v>
      </c>
      <c r="E34" s="1">
        <v>25</v>
      </c>
      <c r="F34" s="1" t="s">
        <v>429</v>
      </c>
      <c r="G34" s="1" t="s">
        <v>14198</v>
      </c>
      <c r="H34" s="1" t="s">
        <v>30399</v>
      </c>
      <c r="I34" s="1" t="s">
        <v>30400</v>
      </c>
      <c r="J34" s="3" t="s">
        <v>30401</v>
      </c>
      <c r="K34" s="1" t="s">
        <v>30177</v>
      </c>
    </row>
    <row r="35" spans="1:11" ht="409.6">
      <c r="A35" s="1" t="s">
        <v>30402</v>
      </c>
      <c r="B35" s="1" t="s">
        <v>30403</v>
      </c>
      <c r="C35" s="1" t="s">
        <v>30404</v>
      </c>
      <c r="D35" s="1" t="s">
        <v>30405</v>
      </c>
      <c r="E35" s="1">
        <v>40</v>
      </c>
      <c r="F35" s="1" t="s">
        <v>145</v>
      </c>
      <c r="G35" s="1" t="s">
        <v>14198</v>
      </c>
      <c r="H35" s="4" t="s">
        <v>30406</v>
      </c>
      <c r="I35" s="1" t="s">
        <v>30407</v>
      </c>
      <c r="J35" s="3" t="s">
        <v>30408</v>
      </c>
      <c r="K35" s="1" t="s">
        <v>30177</v>
      </c>
    </row>
    <row r="36" spans="1:11" ht="409.6">
      <c r="A36" s="1" t="s">
        <v>30409</v>
      </c>
      <c r="B36" s="1" t="s">
        <v>30410</v>
      </c>
      <c r="C36" s="1" t="s">
        <v>30411</v>
      </c>
      <c r="D36" s="1" t="s">
        <v>30412</v>
      </c>
      <c r="E36" s="1">
        <v>25</v>
      </c>
      <c r="F36" s="1" t="s">
        <v>14207</v>
      </c>
      <c r="G36" s="1" t="s">
        <v>14198</v>
      </c>
      <c r="H36" s="1" t="s">
        <v>30413</v>
      </c>
      <c r="I36" s="4" t="s">
        <v>30414</v>
      </c>
      <c r="J36" s="3" t="s">
        <v>30415</v>
      </c>
      <c r="K36" s="1" t="s">
        <v>30177</v>
      </c>
    </row>
    <row r="37" spans="1:11" ht="409.6">
      <c r="A37" s="1" t="s">
        <v>30416</v>
      </c>
      <c r="B37" s="1" t="s">
        <v>30417</v>
      </c>
      <c r="C37" s="1" t="s">
        <v>30418</v>
      </c>
      <c r="D37" s="1" t="s">
        <v>30419</v>
      </c>
      <c r="E37" s="1">
        <v>175</v>
      </c>
      <c r="F37" s="1" t="s">
        <v>15138</v>
      </c>
      <c r="G37" s="1" t="s">
        <v>14198</v>
      </c>
      <c r="H37" s="4" t="s">
        <v>30420</v>
      </c>
      <c r="I37" s="4" t="s">
        <v>30421</v>
      </c>
      <c r="J37" s="3" t="s">
        <v>30422</v>
      </c>
      <c r="K37" s="1" t="s">
        <v>30177</v>
      </c>
    </row>
    <row r="38" spans="1:11" ht="409.6">
      <c r="A38" s="1" t="s">
        <v>30423</v>
      </c>
      <c r="B38" s="1" t="s">
        <v>30424</v>
      </c>
      <c r="C38" s="1" t="s">
        <v>30425</v>
      </c>
      <c r="D38" s="1" t="s">
        <v>30426</v>
      </c>
      <c r="E38" s="1">
        <v>20</v>
      </c>
      <c r="F38" s="1" t="s">
        <v>14207</v>
      </c>
      <c r="G38" s="1" t="s">
        <v>14198</v>
      </c>
      <c r="H38" s="1" t="s">
        <v>30427</v>
      </c>
      <c r="I38" s="4" t="s">
        <v>30428</v>
      </c>
      <c r="J38" s="3" t="s">
        <v>30429</v>
      </c>
      <c r="K38" s="1" t="s">
        <v>30177</v>
      </c>
    </row>
    <row r="39" spans="1:11" ht="409.6">
      <c r="A39" s="1" t="s">
        <v>30430</v>
      </c>
      <c r="B39" s="1" t="s">
        <v>30431</v>
      </c>
      <c r="C39" s="1" t="s">
        <v>30432</v>
      </c>
      <c r="D39" s="1" t="s">
        <v>30433</v>
      </c>
      <c r="E39" s="1">
        <v>40</v>
      </c>
      <c r="F39" s="1" t="s">
        <v>14281</v>
      </c>
      <c r="G39" s="1" t="s">
        <v>14198</v>
      </c>
      <c r="H39" s="4" t="s">
        <v>30434</v>
      </c>
      <c r="I39" s="1" t="s">
        <v>30435</v>
      </c>
      <c r="J39" s="3" t="s">
        <v>30436</v>
      </c>
      <c r="K39" s="1" t="s">
        <v>30177</v>
      </c>
    </row>
    <row r="40" spans="1:11" ht="409.6">
      <c r="A40" s="1" t="s">
        <v>30437</v>
      </c>
      <c r="B40" s="1" t="s">
        <v>30438</v>
      </c>
      <c r="C40" s="1" t="s">
        <v>30439</v>
      </c>
      <c r="D40" s="1" t="s">
        <v>30440</v>
      </c>
      <c r="E40" s="1">
        <v>50</v>
      </c>
      <c r="F40" s="1" t="s">
        <v>145</v>
      </c>
      <c r="G40" s="1" t="s">
        <v>14198</v>
      </c>
      <c r="H40" s="4" t="s">
        <v>30441</v>
      </c>
      <c r="I40" s="1" t="s">
        <v>30442</v>
      </c>
      <c r="J40" s="3" t="s">
        <v>30443</v>
      </c>
      <c r="K40" s="1" t="s">
        <v>30177</v>
      </c>
    </row>
    <row r="41" spans="1:11" ht="13.8">
      <c r="A41" s="1" t="s">
        <v>30444</v>
      </c>
      <c r="B41" s="1" t="s">
        <v>30445</v>
      </c>
      <c r="C41" s="1" t="s">
        <v>30446</v>
      </c>
      <c r="D41" s="1" t="s">
        <v>30447</v>
      </c>
      <c r="E41" s="1">
        <v>30</v>
      </c>
      <c r="F41" s="1" t="s">
        <v>14207</v>
      </c>
      <c r="G41" s="1" t="s">
        <v>14198</v>
      </c>
      <c r="H41" s="1" t="s">
        <v>30448</v>
      </c>
      <c r="I41" s="1" t="s">
        <v>30449</v>
      </c>
      <c r="J41" s="3" t="s">
        <v>30450</v>
      </c>
      <c r="K41" s="1" t="s">
        <v>30177</v>
      </c>
    </row>
    <row r="42" spans="1:11" ht="409.6">
      <c r="A42" s="1" t="s">
        <v>30451</v>
      </c>
      <c r="B42" s="1" t="s">
        <v>30452</v>
      </c>
      <c r="C42" s="1" t="s">
        <v>30453</v>
      </c>
      <c r="D42" s="1" t="s">
        <v>30454</v>
      </c>
      <c r="E42" s="1">
        <v>40</v>
      </c>
      <c r="F42" s="1" t="s">
        <v>429</v>
      </c>
      <c r="G42" s="1" t="s">
        <v>14367</v>
      </c>
      <c r="H42" s="4" t="s">
        <v>30455</v>
      </c>
      <c r="I42" s="1" t="s">
        <v>30456</v>
      </c>
      <c r="J42" s="3" t="s">
        <v>30457</v>
      </c>
      <c r="K42" s="1" t="s">
        <v>30177</v>
      </c>
    </row>
    <row r="43" spans="1:11" ht="13.8">
      <c r="A43" s="1" t="s">
        <v>30458</v>
      </c>
      <c r="B43" s="1" t="s">
        <v>30459</v>
      </c>
      <c r="C43" s="1" t="s">
        <v>30460</v>
      </c>
      <c r="D43" s="1" t="s">
        <v>30461</v>
      </c>
      <c r="E43" s="1">
        <v>75</v>
      </c>
      <c r="F43" s="1" t="s">
        <v>429</v>
      </c>
      <c r="G43" s="1" t="s">
        <v>14367</v>
      </c>
      <c r="H43" s="1" t="s">
        <v>30462</v>
      </c>
      <c r="I43" s="1" t="s">
        <v>30463</v>
      </c>
      <c r="J43" s="3" t="s">
        <v>30464</v>
      </c>
      <c r="K43" s="1" t="s">
        <v>30177</v>
      </c>
    </row>
    <row r="44" spans="1:11" ht="409.6">
      <c r="A44" s="1" t="s">
        <v>30465</v>
      </c>
      <c r="B44" s="1" t="s">
        <v>30466</v>
      </c>
      <c r="C44" s="1" t="s">
        <v>30467</v>
      </c>
      <c r="D44" s="1" t="s">
        <v>30468</v>
      </c>
      <c r="E44" s="1">
        <v>25</v>
      </c>
      <c r="F44" s="1" t="s">
        <v>14207</v>
      </c>
      <c r="G44" s="1" t="s">
        <v>14198</v>
      </c>
      <c r="H44" s="4" t="s">
        <v>30469</v>
      </c>
      <c r="I44" s="4" t="s">
        <v>30470</v>
      </c>
      <c r="J44" s="3" t="s">
        <v>30471</v>
      </c>
      <c r="K44" s="1" t="s">
        <v>30177</v>
      </c>
    </row>
    <row r="45" spans="1:11" ht="409.6">
      <c r="A45" s="1" t="s">
        <v>30472</v>
      </c>
      <c r="B45" s="1" t="s">
        <v>30473</v>
      </c>
      <c r="C45" s="1" t="s">
        <v>30474</v>
      </c>
      <c r="D45" s="1" t="s">
        <v>30475</v>
      </c>
      <c r="E45" s="1">
        <v>30</v>
      </c>
      <c r="F45" s="1" t="s">
        <v>145</v>
      </c>
      <c r="G45" s="1" t="s">
        <v>14198</v>
      </c>
      <c r="H45" s="1" t="s">
        <v>30476</v>
      </c>
      <c r="I45" s="4" t="s">
        <v>30477</v>
      </c>
      <c r="J45" s="3" t="s">
        <v>30478</v>
      </c>
      <c r="K45" s="1" t="s">
        <v>30177</v>
      </c>
    </row>
    <row r="46" spans="1:11" ht="409.6">
      <c r="A46" s="1" t="s">
        <v>30479</v>
      </c>
      <c r="B46" s="1" t="s">
        <v>30480</v>
      </c>
      <c r="C46" s="1" t="s">
        <v>30481</v>
      </c>
      <c r="D46" s="1" t="s">
        <v>30482</v>
      </c>
      <c r="E46" s="1">
        <v>25</v>
      </c>
      <c r="F46" s="1" t="s">
        <v>14207</v>
      </c>
      <c r="G46" s="1" t="s">
        <v>14198</v>
      </c>
      <c r="H46" s="4" t="s">
        <v>30483</v>
      </c>
      <c r="I46" s="1" t="s">
        <v>30484</v>
      </c>
      <c r="J46" s="3" t="s">
        <v>30485</v>
      </c>
      <c r="K46" s="1" t="s">
        <v>30177</v>
      </c>
    </row>
    <row r="47" spans="1:11" ht="409.6">
      <c r="A47" s="1" t="s">
        <v>30486</v>
      </c>
      <c r="B47" s="1" t="s">
        <v>30487</v>
      </c>
      <c r="C47" s="1" t="s">
        <v>30488</v>
      </c>
      <c r="D47" s="1" t="s">
        <v>30489</v>
      </c>
      <c r="E47" s="1">
        <v>35</v>
      </c>
      <c r="F47" s="1" t="s">
        <v>145</v>
      </c>
      <c r="G47" s="1" t="s">
        <v>14198</v>
      </c>
      <c r="H47" s="4" t="s">
        <v>30490</v>
      </c>
      <c r="I47" s="4" t="s">
        <v>30491</v>
      </c>
      <c r="J47" s="3" t="s">
        <v>30492</v>
      </c>
      <c r="K47" s="1" t="s">
        <v>30177</v>
      </c>
    </row>
    <row r="48" spans="1:11" ht="409.6">
      <c r="A48" s="1" t="s">
        <v>30493</v>
      </c>
      <c r="B48" s="1" t="s">
        <v>30494</v>
      </c>
      <c r="C48" s="1" t="s">
        <v>30495</v>
      </c>
      <c r="D48" s="1" t="s">
        <v>30496</v>
      </c>
      <c r="E48" s="1">
        <v>35</v>
      </c>
      <c r="F48" s="1" t="s">
        <v>145</v>
      </c>
      <c r="G48" s="1" t="s">
        <v>14198</v>
      </c>
      <c r="H48" s="4" t="s">
        <v>30497</v>
      </c>
      <c r="I48" s="1" t="s">
        <v>30498</v>
      </c>
      <c r="J48" s="3" t="s">
        <v>30499</v>
      </c>
      <c r="K48" s="1" t="s">
        <v>30177</v>
      </c>
    </row>
    <row r="49" spans="1:11" ht="13.8">
      <c r="A49" s="1" t="s">
        <v>30500</v>
      </c>
      <c r="B49" s="1" t="s">
        <v>30501</v>
      </c>
      <c r="C49" s="1" t="s">
        <v>30502</v>
      </c>
      <c r="D49" s="1" t="s">
        <v>30503</v>
      </c>
      <c r="E49" s="1">
        <v>35</v>
      </c>
      <c r="F49" s="1" t="s">
        <v>8417</v>
      </c>
      <c r="G49" s="1" t="s">
        <v>14198</v>
      </c>
      <c r="H49" s="1" t="s">
        <v>30504</v>
      </c>
      <c r="I49" s="1" t="s">
        <v>30505</v>
      </c>
      <c r="J49" s="3" t="s">
        <v>30506</v>
      </c>
      <c r="K49" s="1" t="s">
        <v>30177</v>
      </c>
    </row>
    <row r="50" spans="1:11" ht="409.6">
      <c r="A50" s="1" t="s">
        <v>30507</v>
      </c>
      <c r="B50" s="1" t="s">
        <v>30508</v>
      </c>
      <c r="C50" s="1" t="s">
        <v>30509</v>
      </c>
      <c r="D50" s="1" t="s">
        <v>30510</v>
      </c>
      <c r="E50" s="1">
        <v>40</v>
      </c>
      <c r="F50" s="1" t="s">
        <v>15138</v>
      </c>
      <c r="G50" s="1" t="s">
        <v>14198</v>
      </c>
      <c r="H50" s="1" t="s">
        <v>30511</v>
      </c>
      <c r="I50" s="4" t="s">
        <v>30512</v>
      </c>
      <c r="J50" s="3" t="s">
        <v>30513</v>
      </c>
      <c r="K50" s="1" t="s">
        <v>30177</v>
      </c>
    </row>
    <row r="51" spans="1:11" ht="409.6">
      <c r="A51" s="1" t="s">
        <v>30514</v>
      </c>
      <c r="B51" s="1" t="s">
        <v>30515</v>
      </c>
      <c r="C51" s="1" t="s">
        <v>30516</v>
      </c>
      <c r="D51" s="1" t="s">
        <v>30517</v>
      </c>
      <c r="E51" s="1">
        <v>35</v>
      </c>
      <c r="F51" s="1" t="s">
        <v>14207</v>
      </c>
      <c r="G51" s="1" t="s">
        <v>14198</v>
      </c>
      <c r="H51" s="4" t="s">
        <v>30518</v>
      </c>
      <c r="I51" s="1" t="s">
        <v>30519</v>
      </c>
      <c r="J51" s="3" t="s">
        <v>30520</v>
      </c>
      <c r="K51" s="1" t="s">
        <v>30177</v>
      </c>
    </row>
    <row r="52" spans="1:11" ht="13.8">
      <c r="A52" s="1" t="s">
        <v>30521</v>
      </c>
      <c r="B52" s="1" t="s">
        <v>30522</v>
      </c>
      <c r="C52" s="1" t="s">
        <v>30523</v>
      </c>
      <c r="D52" s="1" t="s">
        <v>30524</v>
      </c>
      <c r="E52" s="1">
        <v>25</v>
      </c>
      <c r="F52" s="1" t="s">
        <v>14207</v>
      </c>
      <c r="G52" s="1" t="s">
        <v>14198</v>
      </c>
      <c r="H52" s="1" t="s">
        <v>30525</v>
      </c>
      <c r="I52" s="1" t="s">
        <v>30526</v>
      </c>
      <c r="J52" s="3" t="s">
        <v>30527</v>
      </c>
      <c r="K52" s="1" t="s">
        <v>30177</v>
      </c>
    </row>
    <row r="53" spans="1:11" ht="409.6">
      <c r="A53" s="1" t="s">
        <v>30528</v>
      </c>
      <c r="B53" s="1" t="s">
        <v>30529</v>
      </c>
      <c r="C53" s="1" t="s">
        <v>30530</v>
      </c>
      <c r="D53" s="1" t="s">
        <v>30531</v>
      </c>
      <c r="E53" s="1">
        <v>30</v>
      </c>
      <c r="F53" s="1" t="s">
        <v>14207</v>
      </c>
      <c r="G53" s="1" t="s">
        <v>14237</v>
      </c>
      <c r="H53" s="4" t="s">
        <v>30532</v>
      </c>
      <c r="I53" s="1" t="s">
        <v>30533</v>
      </c>
      <c r="J53" s="3" t="s">
        <v>30534</v>
      </c>
      <c r="K53" s="1" t="s">
        <v>30177</v>
      </c>
    </row>
    <row r="54" spans="1:11" ht="13.8">
      <c r="A54" s="1" t="s">
        <v>30535</v>
      </c>
      <c r="B54" s="1" t="s">
        <v>30536</v>
      </c>
      <c r="C54" s="1" t="s">
        <v>30537</v>
      </c>
      <c r="D54" s="1" t="s">
        <v>30538</v>
      </c>
      <c r="E54" s="1">
        <v>30</v>
      </c>
      <c r="F54" s="1" t="s">
        <v>14207</v>
      </c>
      <c r="G54" s="1" t="s">
        <v>14198</v>
      </c>
      <c r="H54" s="1" t="s">
        <v>30539</v>
      </c>
      <c r="I54" s="1" t="s">
        <v>30540</v>
      </c>
      <c r="J54" s="3" t="s">
        <v>30541</v>
      </c>
      <c r="K54" s="1" t="s">
        <v>30177</v>
      </c>
    </row>
    <row r="55" spans="1:11" ht="13.8">
      <c r="A55" s="1" t="s">
        <v>30542</v>
      </c>
      <c r="B55" s="1" t="s">
        <v>30543</v>
      </c>
      <c r="C55" s="1" t="s">
        <v>30544</v>
      </c>
      <c r="D55" s="1" t="s">
        <v>30545</v>
      </c>
      <c r="E55" s="1">
        <v>45</v>
      </c>
      <c r="F55" s="1" t="s">
        <v>429</v>
      </c>
      <c r="G55" s="1" t="s">
        <v>14198</v>
      </c>
      <c r="H55" s="1" t="s">
        <v>30546</v>
      </c>
      <c r="I55" s="1" t="s">
        <v>30547</v>
      </c>
      <c r="J55" s="3" t="s">
        <v>30548</v>
      </c>
      <c r="K55" s="1" t="s">
        <v>30177</v>
      </c>
    </row>
    <row r="56" spans="1:11" ht="13.8">
      <c r="A56" s="1" t="s">
        <v>30549</v>
      </c>
      <c r="B56" s="1" t="s">
        <v>30550</v>
      </c>
      <c r="C56" s="1" t="s">
        <v>30551</v>
      </c>
      <c r="D56" s="1" t="s">
        <v>30552</v>
      </c>
      <c r="E56" s="1">
        <v>40</v>
      </c>
      <c r="F56" s="1" t="s">
        <v>145</v>
      </c>
      <c r="G56" s="1" t="s">
        <v>14237</v>
      </c>
      <c r="H56" s="1" t="s">
        <v>30553</v>
      </c>
      <c r="I56" s="1" t="s">
        <v>30554</v>
      </c>
      <c r="J56" s="3" t="s">
        <v>30555</v>
      </c>
      <c r="K56" s="1" t="s">
        <v>30177</v>
      </c>
    </row>
    <row r="57" spans="1:11" ht="13.8">
      <c r="A57" s="1" t="s">
        <v>30556</v>
      </c>
      <c r="B57" s="1" t="s">
        <v>30557</v>
      </c>
      <c r="C57" s="1" t="s">
        <v>30558</v>
      </c>
      <c r="D57" s="1" t="s">
        <v>30559</v>
      </c>
      <c r="E57" s="1">
        <v>50</v>
      </c>
      <c r="F57" s="1" t="s">
        <v>14207</v>
      </c>
      <c r="G57" s="1" t="s">
        <v>14338</v>
      </c>
      <c r="H57" s="1" t="s">
        <v>30560</v>
      </c>
      <c r="I57" s="1" t="s">
        <v>30561</v>
      </c>
      <c r="J57" s="3" t="s">
        <v>30562</v>
      </c>
      <c r="K57" s="1" t="s">
        <v>30177</v>
      </c>
    </row>
    <row r="58" spans="1:11" ht="409.6">
      <c r="A58" s="1" t="s">
        <v>30563</v>
      </c>
      <c r="B58" s="1" t="s">
        <v>30564</v>
      </c>
      <c r="C58" s="1" t="s">
        <v>30565</v>
      </c>
      <c r="D58" s="1" t="s">
        <v>30566</v>
      </c>
      <c r="E58" s="1">
        <v>35</v>
      </c>
      <c r="F58" s="1" t="s">
        <v>15208</v>
      </c>
      <c r="G58" s="1" t="s">
        <v>14237</v>
      </c>
      <c r="H58" s="4" t="s">
        <v>30567</v>
      </c>
      <c r="I58" s="1" t="s">
        <v>30568</v>
      </c>
      <c r="J58" s="3" t="s">
        <v>30569</v>
      </c>
      <c r="K58" s="1" t="s">
        <v>30177</v>
      </c>
    </row>
    <row r="59" spans="1:11" ht="409.6">
      <c r="A59" s="1" t="s">
        <v>30570</v>
      </c>
      <c r="B59" s="1" t="s">
        <v>30571</v>
      </c>
      <c r="C59" s="1" t="s">
        <v>30572</v>
      </c>
      <c r="D59" s="1" t="s">
        <v>30573</v>
      </c>
      <c r="E59" s="1">
        <v>70</v>
      </c>
      <c r="F59" s="1" t="s">
        <v>145</v>
      </c>
      <c r="G59" s="1" t="s">
        <v>14338</v>
      </c>
      <c r="H59" s="1" t="s">
        <v>30574</v>
      </c>
      <c r="I59" s="4" t="s">
        <v>30575</v>
      </c>
      <c r="J59" s="3" t="s">
        <v>30576</v>
      </c>
      <c r="K59" s="1" t="s">
        <v>30177</v>
      </c>
    </row>
    <row r="60" spans="1:11" ht="13.8">
      <c r="A60" s="1" t="s">
        <v>30577</v>
      </c>
      <c r="B60" s="1" t="s">
        <v>30578</v>
      </c>
      <c r="C60" s="1" t="s">
        <v>30579</v>
      </c>
      <c r="D60" s="1" t="s">
        <v>30580</v>
      </c>
      <c r="E60" s="1">
        <v>30</v>
      </c>
      <c r="F60" s="1" t="s">
        <v>14207</v>
      </c>
      <c r="G60" s="1" t="s">
        <v>14382</v>
      </c>
      <c r="H60" s="1" t="s">
        <v>30581</v>
      </c>
      <c r="I60" s="1" t="s">
        <v>30582</v>
      </c>
      <c r="J60" s="3" t="s">
        <v>30583</v>
      </c>
      <c r="K60" s="1" t="s">
        <v>30177</v>
      </c>
    </row>
    <row r="61" spans="1:11" ht="13.8">
      <c r="A61" s="1" t="s">
        <v>30584</v>
      </c>
      <c r="B61" s="1" t="s">
        <v>30585</v>
      </c>
      <c r="C61" s="1" t="s">
        <v>30586</v>
      </c>
      <c r="D61" s="1" t="s">
        <v>30587</v>
      </c>
      <c r="E61" s="1">
        <v>15</v>
      </c>
      <c r="F61" s="1" t="s">
        <v>14207</v>
      </c>
      <c r="G61" s="1" t="s">
        <v>14198</v>
      </c>
      <c r="H61" s="1" t="s">
        <v>30588</v>
      </c>
      <c r="I61" s="1" t="s">
        <v>30589</v>
      </c>
      <c r="J61" s="3" t="s">
        <v>30590</v>
      </c>
      <c r="K61" s="1" t="s">
        <v>30177</v>
      </c>
    </row>
    <row r="62" spans="1:11" ht="409.6">
      <c r="A62" s="1" t="s">
        <v>30591</v>
      </c>
      <c r="B62" s="1" t="s">
        <v>30592</v>
      </c>
      <c r="C62" s="1" t="s">
        <v>30593</v>
      </c>
      <c r="D62" s="1" t="s">
        <v>30594</v>
      </c>
      <c r="E62" s="1">
        <v>40</v>
      </c>
      <c r="F62" s="1" t="s">
        <v>14207</v>
      </c>
      <c r="G62" s="1" t="s">
        <v>14198</v>
      </c>
      <c r="H62" s="4" t="s">
        <v>30595</v>
      </c>
      <c r="I62" s="1" t="s">
        <v>30596</v>
      </c>
      <c r="J62" s="3" t="s">
        <v>30597</v>
      </c>
      <c r="K62" s="1" t="s">
        <v>30177</v>
      </c>
    </row>
    <row r="63" spans="1:11" ht="13.8">
      <c r="A63" s="1" t="s">
        <v>30598</v>
      </c>
      <c r="B63" s="1" t="s">
        <v>30599</v>
      </c>
      <c r="C63" s="1" t="s">
        <v>30600</v>
      </c>
      <c r="D63" s="1" t="s">
        <v>30601</v>
      </c>
      <c r="E63" s="1">
        <v>35</v>
      </c>
      <c r="F63" s="1" t="s">
        <v>14207</v>
      </c>
      <c r="G63" s="1" t="s">
        <v>14198</v>
      </c>
      <c r="H63" s="1" t="s">
        <v>30602</v>
      </c>
      <c r="I63" s="1" t="s">
        <v>30603</v>
      </c>
      <c r="J63" s="3" t="s">
        <v>30604</v>
      </c>
      <c r="K63" s="1" t="s">
        <v>30177</v>
      </c>
    </row>
    <row r="64" spans="1:11" ht="13.8">
      <c r="A64" s="1" t="s">
        <v>30605</v>
      </c>
      <c r="B64" s="1" t="s">
        <v>30606</v>
      </c>
      <c r="C64" s="1" t="s">
        <v>30607</v>
      </c>
      <c r="D64" s="1" t="s">
        <v>30608</v>
      </c>
      <c r="E64" s="1">
        <v>25</v>
      </c>
      <c r="F64" s="1" t="s">
        <v>15138</v>
      </c>
      <c r="G64" s="1" t="s">
        <v>14237</v>
      </c>
      <c r="H64" s="1" t="s">
        <v>30609</v>
      </c>
      <c r="I64" s="1" t="s">
        <v>30610</v>
      </c>
      <c r="J64" s="3" t="s">
        <v>30611</v>
      </c>
      <c r="K64" s="1" t="s">
        <v>30177</v>
      </c>
    </row>
    <row r="65" spans="1:11" ht="409.6">
      <c r="A65" s="1" t="s">
        <v>30612</v>
      </c>
      <c r="B65" s="1" t="s">
        <v>30613</v>
      </c>
      <c r="C65" s="1" t="s">
        <v>30614</v>
      </c>
      <c r="D65" s="1" t="s">
        <v>30615</v>
      </c>
      <c r="E65" s="1">
        <v>20</v>
      </c>
      <c r="F65" s="1" t="s">
        <v>14281</v>
      </c>
      <c r="G65" s="1" t="s">
        <v>14198</v>
      </c>
      <c r="H65" s="4" t="s">
        <v>30616</v>
      </c>
      <c r="I65" s="1" t="s">
        <v>30617</v>
      </c>
      <c r="J65" s="3" t="s">
        <v>30618</v>
      </c>
      <c r="K65" s="1" t="s">
        <v>30177</v>
      </c>
    </row>
    <row r="66" spans="1:11" ht="409.6">
      <c r="A66" s="1" t="s">
        <v>30619</v>
      </c>
      <c r="B66" s="1" t="s">
        <v>30620</v>
      </c>
      <c r="C66" s="1" t="s">
        <v>30621</v>
      </c>
      <c r="D66" s="1" t="s">
        <v>30622</v>
      </c>
      <c r="E66" s="1">
        <v>40</v>
      </c>
      <c r="F66" s="1" t="s">
        <v>14281</v>
      </c>
      <c r="G66" s="1" t="s">
        <v>14198</v>
      </c>
      <c r="H66" s="1" t="s">
        <v>30623</v>
      </c>
      <c r="I66" s="4" t="s">
        <v>30624</v>
      </c>
      <c r="J66" s="3" t="s">
        <v>30625</v>
      </c>
      <c r="K66" s="1" t="s">
        <v>30177</v>
      </c>
    </row>
    <row r="67" spans="1:11" ht="409.6">
      <c r="A67" s="1" t="s">
        <v>30626</v>
      </c>
      <c r="B67" s="1" t="s">
        <v>30627</v>
      </c>
      <c r="C67" s="1" t="s">
        <v>30628</v>
      </c>
      <c r="D67" s="1" t="s">
        <v>30629</v>
      </c>
      <c r="E67" s="1">
        <v>29</v>
      </c>
      <c r="F67" s="1" t="s">
        <v>145</v>
      </c>
      <c r="G67" s="1" t="s">
        <v>14198</v>
      </c>
      <c r="H67" s="1" t="s">
        <v>30630</v>
      </c>
      <c r="I67" s="4" t="s">
        <v>30631</v>
      </c>
      <c r="J67" s="3" t="s">
        <v>30632</v>
      </c>
      <c r="K67" s="1" t="s">
        <v>30177</v>
      </c>
    </row>
    <row r="68" spans="1:11" ht="409.6">
      <c r="A68" s="1" t="s">
        <v>30633</v>
      </c>
      <c r="B68" s="1" t="s">
        <v>30634</v>
      </c>
      <c r="C68" s="1" t="s">
        <v>30635</v>
      </c>
      <c r="D68" s="1" t="s">
        <v>30636</v>
      </c>
      <c r="E68" s="1">
        <v>20</v>
      </c>
      <c r="F68" s="1" t="s">
        <v>145</v>
      </c>
      <c r="G68" s="1" t="s">
        <v>14198</v>
      </c>
      <c r="H68" s="1" t="s">
        <v>30637</v>
      </c>
      <c r="I68" s="4" t="s">
        <v>30638</v>
      </c>
      <c r="J68" s="3" t="s">
        <v>30639</v>
      </c>
      <c r="K68" s="1" t="s">
        <v>30177</v>
      </c>
    </row>
    <row r="69" spans="1:11" ht="409.6">
      <c r="A69" s="1" t="s">
        <v>30640</v>
      </c>
      <c r="B69" s="1" t="s">
        <v>30641</v>
      </c>
      <c r="C69" s="1" t="s">
        <v>30642</v>
      </c>
      <c r="D69" s="1" t="s">
        <v>30643</v>
      </c>
      <c r="E69" s="1">
        <v>35</v>
      </c>
      <c r="F69" s="1" t="s">
        <v>145</v>
      </c>
      <c r="G69" s="1" t="s">
        <v>14198</v>
      </c>
      <c r="H69" s="4" t="s">
        <v>30644</v>
      </c>
      <c r="I69" s="1" t="s">
        <v>30645</v>
      </c>
      <c r="J69" s="3" t="s">
        <v>30646</v>
      </c>
      <c r="K69" s="1" t="s">
        <v>30177</v>
      </c>
    </row>
    <row r="70" spans="1:11" ht="409.6">
      <c r="A70" s="1" t="s">
        <v>30647</v>
      </c>
      <c r="B70" s="1" t="s">
        <v>30648</v>
      </c>
      <c r="C70" s="1" t="s">
        <v>30649</v>
      </c>
      <c r="D70" s="1" t="s">
        <v>30650</v>
      </c>
      <c r="E70" s="1">
        <v>55</v>
      </c>
      <c r="F70" s="1" t="s">
        <v>145</v>
      </c>
      <c r="G70" s="1" t="s">
        <v>14198</v>
      </c>
      <c r="H70" s="1" t="s">
        <v>30651</v>
      </c>
      <c r="I70" s="4" t="s">
        <v>30652</v>
      </c>
      <c r="J70" s="3" t="s">
        <v>30653</v>
      </c>
      <c r="K70" s="1" t="s">
        <v>30177</v>
      </c>
    </row>
    <row r="71" spans="1:11" ht="409.6">
      <c r="A71" s="1" t="s">
        <v>30654</v>
      </c>
      <c r="B71" s="1" t="s">
        <v>30655</v>
      </c>
      <c r="C71" s="1" t="s">
        <v>30656</v>
      </c>
      <c r="D71" s="1" t="s">
        <v>30657</v>
      </c>
      <c r="E71" s="1">
        <v>35</v>
      </c>
      <c r="F71" s="1" t="s">
        <v>145</v>
      </c>
      <c r="G71" s="1" t="s">
        <v>14198</v>
      </c>
      <c r="H71" s="4" t="s">
        <v>30658</v>
      </c>
      <c r="I71" s="4" t="s">
        <v>30659</v>
      </c>
      <c r="J71" s="3" t="s">
        <v>30660</v>
      </c>
      <c r="K71" s="1" t="s">
        <v>30177</v>
      </c>
    </row>
    <row r="72" spans="1:11" ht="409.6">
      <c r="A72" s="1" t="s">
        <v>30661</v>
      </c>
      <c r="B72" s="1" t="s">
        <v>30662</v>
      </c>
      <c r="C72" s="1" t="s">
        <v>30663</v>
      </c>
      <c r="D72" s="1" t="s">
        <v>30664</v>
      </c>
      <c r="E72" s="1">
        <v>15</v>
      </c>
      <c r="F72" s="1" t="s">
        <v>145</v>
      </c>
      <c r="G72" s="1" t="s">
        <v>14198</v>
      </c>
      <c r="H72" s="4" t="s">
        <v>30665</v>
      </c>
      <c r="I72" s="4" t="s">
        <v>30666</v>
      </c>
      <c r="J72" s="3" t="s">
        <v>30667</v>
      </c>
      <c r="K72" s="1" t="s">
        <v>30177</v>
      </c>
    </row>
    <row r="73" spans="1:11" ht="409.6">
      <c r="A73" s="1" t="s">
        <v>30668</v>
      </c>
      <c r="B73" s="1" t="s">
        <v>30669</v>
      </c>
      <c r="C73" s="1" t="s">
        <v>30670</v>
      </c>
      <c r="D73" s="1" t="s">
        <v>30671</v>
      </c>
      <c r="E73" s="1">
        <v>285</v>
      </c>
      <c r="F73" s="1" t="s">
        <v>15138</v>
      </c>
      <c r="G73" s="1" t="s">
        <v>14237</v>
      </c>
      <c r="H73" s="1" t="s">
        <v>30672</v>
      </c>
      <c r="I73" s="4" t="s">
        <v>30673</v>
      </c>
      <c r="J73" s="3" t="s">
        <v>30674</v>
      </c>
      <c r="K73" s="1" t="s">
        <v>30177</v>
      </c>
    </row>
    <row r="74" spans="1:11" ht="409.6">
      <c r="A74" s="1" t="s">
        <v>30675</v>
      </c>
      <c r="B74" s="1" t="s">
        <v>30676</v>
      </c>
      <c r="C74" s="1" t="s">
        <v>30677</v>
      </c>
      <c r="D74" s="1" t="s">
        <v>30678</v>
      </c>
      <c r="E74" s="1">
        <v>35</v>
      </c>
      <c r="F74" s="1" t="s">
        <v>14281</v>
      </c>
      <c r="G74" s="1" t="s">
        <v>14198</v>
      </c>
      <c r="H74" s="4" t="s">
        <v>30679</v>
      </c>
      <c r="I74" s="1" t="s">
        <v>30680</v>
      </c>
      <c r="J74" s="3" t="s">
        <v>30681</v>
      </c>
      <c r="K74" s="1" t="s">
        <v>30177</v>
      </c>
    </row>
    <row r="75" spans="1:11" ht="409.6">
      <c r="A75" s="1" t="s">
        <v>30682</v>
      </c>
      <c r="B75" s="1" t="s">
        <v>30683</v>
      </c>
      <c r="C75" s="1" t="s">
        <v>30684</v>
      </c>
      <c r="D75" s="1" t="s">
        <v>30685</v>
      </c>
      <c r="E75" s="1">
        <v>30</v>
      </c>
      <c r="F75" s="1" t="s">
        <v>145</v>
      </c>
      <c r="G75" s="1" t="s">
        <v>14198</v>
      </c>
      <c r="H75" s="4" t="s">
        <v>30686</v>
      </c>
      <c r="I75" s="1" t="s">
        <v>30687</v>
      </c>
      <c r="J75" s="3" t="s">
        <v>30688</v>
      </c>
      <c r="K75" s="1" t="s">
        <v>30177</v>
      </c>
    </row>
    <row r="76" spans="1:11" ht="409.6">
      <c r="A76" s="1" t="s">
        <v>30689</v>
      </c>
      <c r="B76" s="1" t="s">
        <v>30690</v>
      </c>
      <c r="C76" s="1" t="s">
        <v>30691</v>
      </c>
      <c r="D76" s="1" t="s">
        <v>30692</v>
      </c>
      <c r="E76" s="1">
        <v>45</v>
      </c>
      <c r="F76" s="1" t="s">
        <v>145</v>
      </c>
      <c r="G76" s="1" t="s">
        <v>14198</v>
      </c>
      <c r="H76" s="4" t="s">
        <v>30693</v>
      </c>
      <c r="I76" s="1" t="s">
        <v>30694</v>
      </c>
      <c r="J76" s="3" t="s">
        <v>30695</v>
      </c>
      <c r="K76" s="1" t="s">
        <v>30177</v>
      </c>
    </row>
    <row r="77" spans="1:11" ht="409.6">
      <c r="A77" s="1" t="s">
        <v>30696</v>
      </c>
      <c r="B77" s="1" t="s">
        <v>30697</v>
      </c>
      <c r="C77" s="1" t="s">
        <v>30698</v>
      </c>
      <c r="D77" s="1" t="s">
        <v>30699</v>
      </c>
      <c r="E77" s="1">
        <v>45</v>
      </c>
      <c r="F77" s="1" t="s">
        <v>145</v>
      </c>
      <c r="G77" s="1" t="s">
        <v>14382</v>
      </c>
      <c r="H77" s="1" t="s">
        <v>30700</v>
      </c>
      <c r="I77" s="4" t="s">
        <v>30701</v>
      </c>
      <c r="J77" s="3" t="s">
        <v>30702</v>
      </c>
      <c r="K77" s="1" t="s">
        <v>30177</v>
      </c>
    </row>
    <row r="78" spans="1:11" ht="13.8">
      <c r="A78" s="1" t="s">
        <v>30703</v>
      </c>
      <c r="B78" s="1" t="s">
        <v>30704</v>
      </c>
      <c r="C78" s="1" t="s">
        <v>30705</v>
      </c>
      <c r="D78" s="1" t="s">
        <v>30706</v>
      </c>
      <c r="E78" s="1">
        <v>46</v>
      </c>
      <c r="F78" s="1" t="s">
        <v>145</v>
      </c>
      <c r="G78" s="1" t="s">
        <v>14237</v>
      </c>
      <c r="H78" s="1" t="s">
        <v>30707</v>
      </c>
      <c r="I78" s="1" t="s">
        <v>30708</v>
      </c>
      <c r="J78" s="3" t="s">
        <v>30709</v>
      </c>
      <c r="K78" s="1" t="s">
        <v>30177</v>
      </c>
    </row>
    <row r="79" spans="1:11" ht="13.8">
      <c r="A79" s="1" t="s">
        <v>30710</v>
      </c>
      <c r="B79" s="1" t="s">
        <v>30711</v>
      </c>
      <c r="C79" s="1" t="s">
        <v>30712</v>
      </c>
      <c r="D79" s="1" t="s">
        <v>30713</v>
      </c>
      <c r="E79" s="1">
        <v>35</v>
      </c>
      <c r="F79" s="1" t="s">
        <v>14259</v>
      </c>
      <c r="G79" s="1" t="s">
        <v>14198</v>
      </c>
      <c r="H79" s="1" t="s">
        <v>30714</v>
      </c>
      <c r="I79" s="1" t="s">
        <v>30715</v>
      </c>
      <c r="J79" s="3" t="s">
        <v>30716</v>
      </c>
      <c r="K79" s="1" t="s">
        <v>30177</v>
      </c>
    </row>
    <row r="80" spans="1:11" ht="13.8">
      <c r="A80" s="1" t="s">
        <v>30717</v>
      </c>
      <c r="B80" s="1" t="s">
        <v>30718</v>
      </c>
      <c r="C80" s="1" t="s">
        <v>30719</v>
      </c>
      <c r="D80" s="1" t="s">
        <v>30720</v>
      </c>
      <c r="E80" s="1">
        <v>55</v>
      </c>
      <c r="F80" s="1" t="s">
        <v>145</v>
      </c>
      <c r="G80" s="1" t="s">
        <v>14198</v>
      </c>
      <c r="H80" s="1" t="s">
        <v>30721</v>
      </c>
      <c r="I80" s="1" t="s">
        <v>30722</v>
      </c>
      <c r="J80" s="3" t="s">
        <v>30723</v>
      </c>
      <c r="K80" s="1" t="s">
        <v>30177</v>
      </c>
    </row>
    <row r="81" spans="1:11" ht="13.8">
      <c r="A81" s="1" t="s">
        <v>30724</v>
      </c>
      <c r="B81" s="1" t="s">
        <v>30725</v>
      </c>
      <c r="C81" s="1" t="s">
        <v>30726</v>
      </c>
      <c r="D81" s="1" t="s">
        <v>30727</v>
      </c>
      <c r="E81" s="1">
        <v>150</v>
      </c>
      <c r="F81" s="1" t="s">
        <v>14281</v>
      </c>
      <c r="G81" s="1" t="s">
        <v>14198</v>
      </c>
      <c r="H81" s="1" t="s">
        <v>30728</v>
      </c>
      <c r="I81" s="1" t="s">
        <v>30729</v>
      </c>
      <c r="J81" s="3" t="s">
        <v>30730</v>
      </c>
      <c r="K81" s="1" t="s">
        <v>30177</v>
      </c>
    </row>
    <row r="82" spans="1:11" ht="13.8">
      <c r="A82" s="1" t="s">
        <v>30731</v>
      </c>
      <c r="B82" s="1" t="s">
        <v>30732</v>
      </c>
      <c r="C82" s="1" t="s">
        <v>30733</v>
      </c>
      <c r="D82" s="1" t="s">
        <v>30734</v>
      </c>
      <c r="E82" s="1">
        <v>30</v>
      </c>
      <c r="F82" s="1" t="s">
        <v>145</v>
      </c>
      <c r="G82" s="1" t="s">
        <v>14198</v>
      </c>
      <c r="H82" s="1" t="s">
        <v>30735</v>
      </c>
      <c r="I82" s="1" t="s">
        <v>30736</v>
      </c>
      <c r="J82" s="3" t="s">
        <v>30737</v>
      </c>
      <c r="K82" s="1" t="s">
        <v>30177</v>
      </c>
    </row>
    <row r="83" spans="1:11" ht="409.6">
      <c r="A83" s="1" t="s">
        <v>30738</v>
      </c>
      <c r="B83" s="1" t="s">
        <v>30739</v>
      </c>
      <c r="C83" s="1" t="s">
        <v>30740</v>
      </c>
      <c r="D83" s="1" t="s">
        <v>30741</v>
      </c>
      <c r="E83" s="1">
        <v>20</v>
      </c>
      <c r="F83" s="1" t="s">
        <v>15138</v>
      </c>
      <c r="G83" s="1" t="s">
        <v>14338</v>
      </c>
      <c r="H83" s="4" t="s">
        <v>30742</v>
      </c>
      <c r="I83" s="1" t="s">
        <v>30743</v>
      </c>
      <c r="J83" s="3" t="s">
        <v>30744</v>
      </c>
      <c r="K83" s="1" t="s">
        <v>30177</v>
      </c>
    </row>
    <row r="84" spans="1:11" ht="13.8">
      <c r="A84" s="1" t="s">
        <v>30745</v>
      </c>
      <c r="B84" s="1" t="s">
        <v>30746</v>
      </c>
      <c r="C84" s="1" t="s">
        <v>30747</v>
      </c>
      <c r="D84" s="1" t="s">
        <v>30748</v>
      </c>
      <c r="E84" s="1">
        <v>35</v>
      </c>
      <c r="F84" s="1" t="s">
        <v>14207</v>
      </c>
      <c r="G84" s="1" t="s">
        <v>14198</v>
      </c>
      <c r="H84" s="1" t="s">
        <v>30749</v>
      </c>
      <c r="I84" s="1" t="s">
        <v>30750</v>
      </c>
      <c r="J84" s="3" t="s">
        <v>30751</v>
      </c>
      <c r="K84" s="1" t="s">
        <v>30177</v>
      </c>
    </row>
    <row r="85" spans="1:11" ht="13.8">
      <c r="A85" s="1" t="s">
        <v>30752</v>
      </c>
      <c r="B85" s="1" t="s">
        <v>30753</v>
      </c>
      <c r="C85" s="1" t="s">
        <v>30754</v>
      </c>
      <c r="D85" s="1" t="s">
        <v>30755</v>
      </c>
      <c r="E85" s="1">
        <v>20</v>
      </c>
      <c r="F85" s="1" t="s">
        <v>15138</v>
      </c>
      <c r="G85" s="1" t="s">
        <v>14198</v>
      </c>
      <c r="H85" s="1" t="s">
        <v>30756</v>
      </c>
      <c r="I85" s="1" t="s">
        <v>30757</v>
      </c>
      <c r="J85" s="3" t="s">
        <v>30758</v>
      </c>
      <c r="K85" s="1" t="s">
        <v>30177</v>
      </c>
    </row>
    <row r="86" spans="1:11" ht="13.8">
      <c r="A86" s="1" t="s">
        <v>30759</v>
      </c>
      <c r="B86" s="1" t="s">
        <v>30760</v>
      </c>
      <c r="C86" s="1" t="s">
        <v>30761</v>
      </c>
      <c r="D86" s="1" t="s">
        <v>30762</v>
      </c>
      <c r="E86" s="1">
        <v>40</v>
      </c>
      <c r="F86" s="1" t="s">
        <v>429</v>
      </c>
      <c r="G86" s="1" t="s">
        <v>14198</v>
      </c>
      <c r="H86" s="1" t="s">
        <v>30763</v>
      </c>
      <c r="I86" s="1" t="s">
        <v>30764</v>
      </c>
      <c r="J86" s="3" t="s">
        <v>30765</v>
      </c>
      <c r="K86" s="1" t="s">
        <v>30177</v>
      </c>
    </row>
    <row r="87" spans="1:11" ht="409.6">
      <c r="A87" s="1" t="s">
        <v>30766</v>
      </c>
      <c r="B87" s="1" t="s">
        <v>30767</v>
      </c>
      <c r="C87" s="1" t="s">
        <v>30768</v>
      </c>
      <c r="D87" s="1" t="s">
        <v>30769</v>
      </c>
      <c r="E87" s="1">
        <v>30</v>
      </c>
      <c r="F87" s="1" t="s">
        <v>14207</v>
      </c>
      <c r="G87" s="1" t="s">
        <v>14237</v>
      </c>
      <c r="H87" s="4" t="s">
        <v>30770</v>
      </c>
      <c r="I87" s="4" t="s">
        <v>30771</v>
      </c>
      <c r="J87" s="3" t="s">
        <v>30772</v>
      </c>
      <c r="K87" s="1" t="s">
        <v>30177</v>
      </c>
    </row>
    <row r="88" spans="1:11" ht="13.8">
      <c r="A88" s="1" t="s">
        <v>30773</v>
      </c>
      <c r="B88" s="1" t="s">
        <v>30774</v>
      </c>
      <c r="C88" s="1" t="s">
        <v>30775</v>
      </c>
      <c r="D88" s="1" t="s">
        <v>30776</v>
      </c>
      <c r="E88" s="1">
        <v>40</v>
      </c>
      <c r="F88" s="1" t="s">
        <v>145</v>
      </c>
      <c r="G88" s="1" t="s">
        <v>14198</v>
      </c>
      <c r="H88" s="1" t="s">
        <v>30777</v>
      </c>
      <c r="I88" s="1" t="s">
        <v>30778</v>
      </c>
      <c r="J88" s="3" t="s">
        <v>30779</v>
      </c>
      <c r="K88" s="1" t="s">
        <v>30177</v>
      </c>
    </row>
    <row r="89" spans="1:11" ht="13.8">
      <c r="A89" s="1" t="s">
        <v>30780</v>
      </c>
      <c r="B89" s="1" t="s">
        <v>30781</v>
      </c>
      <c r="C89" s="1" t="s">
        <v>30782</v>
      </c>
      <c r="D89" s="1" t="s">
        <v>30783</v>
      </c>
      <c r="E89" s="1">
        <v>35</v>
      </c>
      <c r="F89" s="1" t="s">
        <v>145</v>
      </c>
      <c r="G89" s="1" t="s">
        <v>14198</v>
      </c>
      <c r="H89" s="1" t="s">
        <v>30784</v>
      </c>
      <c r="I89" s="1" t="s">
        <v>30785</v>
      </c>
      <c r="J89" s="3" t="s">
        <v>30786</v>
      </c>
      <c r="K89" s="1" t="s">
        <v>30177</v>
      </c>
    </row>
    <row r="90" spans="1:11" ht="13.8">
      <c r="A90" s="1" t="s">
        <v>30787</v>
      </c>
      <c r="B90" s="1" t="s">
        <v>30788</v>
      </c>
      <c r="C90" s="1" t="s">
        <v>30789</v>
      </c>
      <c r="D90" s="1" t="s">
        <v>30790</v>
      </c>
      <c r="E90" s="1">
        <v>30</v>
      </c>
      <c r="F90" s="1" t="s">
        <v>145</v>
      </c>
      <c r="G90" s="1" t="s">
        <v>14198</v>
      </c>
      <c r="H90" s="1" t="s">
        <v>30791</v>
      </c>
      <c r="I90" s="1" t="s">
        <v>30792</v>
      </c>
      <c r="J90" s="3" t="s">
        <v>30793</v>
      </c>
      <c r="K90" s="1" t="s">
        <v>30177</v>
      </c>
    </row>
    <row r="91" spans="1:11" ht="13.8">
      <c r="A91" s="1" t="s">
        <v>30794</v>
      </c>
      <c r="B91" s="1" t="s">
        <v>30795</v>
      </c>
      <c r="C91" s="1" t="s">
        <v>30796</v>
      </c>
      <c r="D91" s="1" t="s">
        <v>30797</v>
      </c>
      <c r="E91" s="1">
        <v>50</v>
      </c>
      <c r="F91" s="1" t="s">
        <v>15138</v>
      </c>
      <c r="G91" s="1" t="s">
        <v>14198</v>
      </c>
      <c r="H91" s="1" t="s">
        <v>30798</v>
      </c>
      <c r="I91" s="1" t="s">
        <v>30799</v>
      </c>
      <c r="J91" s="3" t="s">
        <v>30800</v>
      </c>
      <c r="K91" s="1" t="s">
        <v>30177</v>
      </c>
    </row>
    <row r="92" spans="1:11" ht="13.8">
      <c r="A92" s="1" t="s">
        <v>30801</v>
      </c>
      <c r="B92" s="1" t="s">
        <v>30802</v>
      </c>
      <c r="C92" s="1" t="s">
        <v>30803</v>
      </c>
      <c r="D92" s="1" t="s">
        <v>30804</v>
      </c>
      <c r="E92" s="1">
        <v>40</v>
      </c>
      <c r="F92" s="1" t="s">
        <v>429</v>
      </c>
      <c r="G92" s="1" t="s">
        <v>14198</v>
      </c>
      <c r="H92" s="1" t="s">
        <v>30805</v>
      </c>
      <c r="I92" s="1" t="s">
        <v>30806</v>
      </c>
      <c r="J92" s="3" t="s">
        <v>30807</v>
      </c>
      <c r="K92" s="1" t="s">
        <v>30177</v>
      </c>
    </row>
    <row r="93" spans="1:11" ht="13.8">
      <c r="A93" s="1" t="s">
        <v>30808</v>
      </c>
      <c r="B93" s="1" t="s">
        <v>30809</v>
      </c>
      <c r="C93" s="1" t="s">
        <v>30810</v>
      </c>
      <c r="D93" s="1" t="s">
        <v>30811</v>
      </c>
      <c r="E93" s="1">
        <v>75</v>
      </c>
      <c r="F93" s="1" t="s">
        <v>14207</v>
      </c>
      <c r="G93" s="1" t="s">
        <v>14198</v>
      </c>
      <c r="H93" s="1" t="s">
        <v>30812</v>
      </c>
      <c r="I93" s="1" t="s">
        <v>30813</v>
      </c>
      <c r="J93" s="3" t="s">
        <v>30814</v>
      </c>
      <c r="K93" s="1" t="s">
        <v>30177</v>
      </c>
    </row>
    <row r="94" spans="1:11" ht="13.8">
      <c r="A94" s="1" t="s">
        <v>30815</v>
      </c>
      <c r="B94" s="1" t="s">
        <v>30816</v>
      </c>
      <c r="C94" s="1" t="s">
        <v>30817</v>
      </c>
      <c r="D94" s="1" t="s">
        <v>30818</v>
      </c>
      <c r="E94" s="1">
        <v>20</v>
      </c>
      <c r="F94" s="1" t="s">
        <v>15138</v>
      </c>
      <c r="G94" s="1" t="s">
        <v>14198</v>
      </c>
      <c r="H94" s="1" t="s">
        <v>30819</v>
      </c>
      <c r="I94" s="1" t="s">
        <v>30820</v>
      </c>
      <c r="J94" s="3" t="s">
        <v>30821</v>
      </c>
      <c r="K94" s="1" t="s">
        <v>30177</v>
      </c>
    </row>
    <row r="95" spans="1:11" ht="409.6">
      <c r="A95" s="1" t="s">
        <v>30822</v>
      </c>
      <c r="B95" s="1" t="s">
        <v>30823</v>
      </c>
      <c r="C95" s="1" t="s">
        <v>30824</v>
      </c>
      <c r="D95" s="1" t="s">
        <v>30825</v>
      </c>
      <c r="E95" s="1">
        <v>70</v>
      </c>
      <c r="F95" s="1" t="s">
        <v>429</v>
      </c>
      <c r="G95" s="1" t="s">
        <v>14367</v>
      </c>
      <c r="H95" s="1" t="s">
        <v>30826</v>
      </c>
      <c r="I95" s="4" t="s">
        <v>30827</v>
      </c>
      <c r="J95" s="3" t="s">
        <v>30828</v>
      </c>
      <c r="K95" s="1" t="s">
        <v>30177</v>
      </c>
    </row>
    <row r="96" spans="1:11" ht="409.6">
      <c r="A96" s="1" t="s">
        <v>30829</v>
      </c>
      <c r="B96" s="1" t="s">
        <v>30830</v>
      </c>
      <c r="C96" s="1" t="s">
        <v>30831</v>
      </c>
      <c r="D96" s="1" t="s">
        <v>30832</v>
      </c>
      <c r="E96" s="1">
        <v>30</v>
      </c>
      <c r="F96" s="1" t="s">
        <v>429</v>
      </c>
      <c r="G96" s="1" t="s">
        <v>14382</v>
      </c>
      <c r="H96" s="4" t="s">
        <v>30833</v>
      </c>
      <c r="I96" s="1" t="s">
        <v>30834</v>
      </c>
      <c r="J96" s="3" t="s">
        <v>30835</v>
      </c>
      <c r="K96" s="1" t="s">
        <v>30177</v>
      </c>
    </row>
    <row r="97" spans="1:11" ht="409.6">
      <c r="A97" s="1" t="s">
        <v>30836</v>
      </c>
      <c r="B97" s="1" t="s">
        <v>30837</v>
      </c>
      <c r="C97" s="1" t="s">
        <v>30838</v>
      </c>
      <c r="D97" s="1" t="s">
        <v>30839</v>
      </c>
      <c r="E97" s="1">
        <v>30</v>
      </c>
      <c r="F97" s="1" t="s">
        <v>145</v>
      </c>
      <c r="G97" s="1" t="s">
        <v>14198</v>
      </c>
      <c r="H97" s="4" t="s">
        <v>30840</v>
      </c>
      <c r="I97" s="1" t="s">
        <v>30841</v>
      </c>
      <c r="J97" s="3" t="s">
        <v>30842</v>
      </c>
      <c r="K97" s="1" t="s">
        <v>30177</v>
      </c>
    </row>
    <row r="98" spans="1:11" ht="409.6">
      <c r="A98" s="1" t="s">
        <v>30843</v>
      </c>
      <c r="B98" s="1" t="s">
        <v>30844</v>
      </c>
      <c r="C98" s="1" t="s">
        <v>30845</v>
      </c>
      <c r="D98" s="1" t="s">
        <v>30846</v>
      </c>
      <c r="E98" s="1">
        <v>40</v>
      </c>
      <c r="F98" s="1" t="s">
        <v>14207</v>
      </c>
      <c r="G98" s="1" t="s">
        <v>14367</v>
      </c>
      <c r="H98" s="4" t="s">
        <v>30847</v>
      </c>
      <c r="I98" s="1" t="s">
        <v>30848</v>
      </c>
      <c r="J98" s="3" t="s">
        <v>30849</v>
      </c>
      <c r="K98" s="1" t="s">
        <v>30177</v>
      </c>
    </row>
    <row r="99" spans="1:11" ht="409.6">
      <c r="A99" s="1" t="s">
        <v>30850</v>
      </c>
      <c r="B99" s="1" t="s">
        <v>30851</v>
      </c>
      <c r="C99" s="1" t="s">
        <v>30852</v>
      </c>
      <c r="D99" s="1" t="s">
        <v>30853</v>
      </c>
      <c r="E99" s="1">
        <v>90</v>
      </c>
      <c r="F99" s="1" t="s">
        <v>14207</v>
      </c>
      <c r="G99" s="1" t="s">
        <v>14198</v>
      </c>
      <c r="H99" s="1" t="s">
        <v>30854</v>
      </c>
      <c r="I99" s="4" t="s">
        <v>30855</v>
      </c>
      <c r="J99" s="3" t="s">
        <v>30856</v>
      </c>
      <c r="K99" s="1" t="s">
        <v>30177</v>
      </c>
    </row>
    <row r="100" spans="1:11" ht="409.6">
      <c r="A100" s="1" t="s">
        <v>30857</v>
      </c>
      <c r="B100" s="1" t="s">
        <v>30858</v>
      </c>
      <c r="C100" s="1" t="s">
        <v>30859</v>
      </c>
      <c r="D100" s="1" t="s">
        <v>30860</v>
      </c>
      <c r="E100" s="1">
        <v>80</v>
      </c>
      <c r="F100" s="1" t="s">
        <v>14207</v>
      </c>
      <c r="G100" s="1" t="s">
        <v>14237</v>
      </c>
      <c r="H100" s="4" t="s">
        <v>30861</v>
      </c>
      <c r="I100" s="4" t="s">
        <v>30862</v>
      </c>
      <c r="J100" s="3" t="s">
        <v>30863</v>
      </c>
      <c r="K100" s="1" t="s">
        <v>30177</v>
      </c>
    </row>
    <row r="101" spans="1:11" ht="409.6">
      <c r="A101" s="1" t="s">
        <v>30864</v>
      </c>
      <c r="B101" s="1" t="s">
        <v>30865</v>
      </c>
      <c r="C101" s="1" t="s">
        <v>30866</v>
      </c>
      <c r="D101" s="1" t="s">
        <v>30867</v>
      </c>
      <c r="E101" s="1">
        <v>35</v>
      </c>
      <c r="F101" s="1" t="s">
        <v>145</v>
      </c>
      <c r="G101" s="1" t="s">
        <v>14237</v>
      </c>
      <c r="H101" s="1" t="s">
        <v>30868</v>
      </c>
      <c r="I101" s="4" t="s">
        <v>30869</v>
      </c>
      <c r="J101" s="3" t="s">
        <v>30870</v>
      </c>
      <c r="K101" s="1" t="s">
        <v>30177</v>
      </c>
    </row>
    <row r="102" spans="1:11" ht="13.8">
      <c r="A102" s="1" t="s">
        <v>30871</v>
      </c>
      <c r="B102" s="1" t="s">
        <v>30872</v>
      </c>
      <c r="C102" s="1" t="s">
        <v>30873</v>
      </c>
      <c r="D102" s="1" t="s">
        <v>30874</v>
      </c>
      <c r="E102" s="1">
        <v>30</v>
      </c>
      <c r="F102" s="1" t="s">
        <v>145</v>
      </c>
      <c r="G102" s="1" t="s">
        <v>14198</v>
      </c>
      <c r="H102" s="1" t="s">
        <v>30875</v>
      </c>
      <c r="I102" s="1" t="s">
        <v>30876</v>
      </c>
      <c r="J102" s="3" t="s">
        <v>30877</v>
      </c>
      <c r="K102" s="1" t="s">
        <v>30177</v>
      </c>
    </row>
    <row r="103" spans="1:11" ht="409.6">
      <c r="A103" s="1" t="s">
        <v>30878</v>
      </c>
      <c r="B103" s="1" t="s">
        <v>30879</v>
      </c>
      <c r="C103" s="1" t="s">
        <v>30880</v>
      </c>
      <c r="D103" s="1" t="s">
        <v>30881</v>
      </c>
      <c r="E103" s="1">
        <v>60</v>
      </c>
      <c r="F103" s="1" t="s">
        <v>14281</v>
      </c>
      <c r="G103" s="1" t="s">
        <v>14198</v>
      </c>
      <c r="H103" s="4" t="s">
        <v>30882</v>
      </c>
      <c r="I103" s="1" t="s">
        <v>30883</v>
      </c>
      <c r="J103" s="3" t="s">
        <v>30884</v>
      </c>
      <c r="K103" s="1" t="s">
        <v>30177</v>
      </c>
    </row>
    <row r="104" spans="1:11" ht="409.6">
      <c r="A104" s="1" t="s">
        <v>30885</v>
      </c>
      <c r="B104" s="1" t="s">
        <v>30886</v>
      </c>
      <c r="C104" s="1" t="s">
        <v>30887</v>
      </c>
      <c r="D104" s="1" t="s">
        <v>30888</v>
      </c>
      <c r="E104" s="1">
        <v>30</v>
      </c>
      <c r="F104" s="1" t="s">
        <v>145</v>
      </c>
      <c r="G104" s="1" t="s">
        <v>14198</v>
      </c>
      <c r="H104" s="4" t="s">
        <v>30889</v>
      </c>
      <c r="I104" s="1" t="s">
        <v>30890</v>
      </c>
      <c r="J104" s="3" t="s">
        <v>30891</v>
      </c>
      <c r="K104" s="1" t="s">
        <v>30177</v>
      </c>
    </row>
    <row r="105" spans="1:11" ht="13.8">
      <c r="A105" s="1" t="s">
        <v>30892</v>
      </c>
      <c r="B105" s="1" t="s">
        <v>30893</v>
      </c>
      <c r="C105" s="1" t="s">
        <v>30894</v>
      </c>
      <c r="D105" s="1" t="s">
        <v>30895</v>
      </c>
      <c r="E105" s="1">
        <v>40</v>
      </c>
      <c r="F105" s="1" t="s">
        <v>14259</v>
      </c>
      <c r="G105" s="1" t="s">
        <v>14338</v>
      </c>
      <c r="H105" s="1" t="s">
        <v>30896</v>
      </c>
      <c r="I105" s="1" t="s">
        <v>30897</v>
      </c>
      <c r="J105" s="3" t="s">
        <v>30898</v>
      </c>
      <c r="K105" s="1" t="s">
        <v>30177</v>
      </c>
    </row>
    <row r="106" spans="1:11" ht="409.6">
      <c r="A106" s="1" t="s">
        <v>30899</v>
      </c>
      <c r="B106" s="1" t="s">
        <v>30900</v>
      </c>
      <c r="C106" s="1" t="s">
        <v>30901</v>
      </c>
      <c r="D106" s="1" t="s">
        <v>30902</v>
      </c>
      <c r="E106" s="1">
        <v>40</v>
      </c>
      <c r="F106" s="1" t="s">
        <v>14572</v>
      </c>
      <c r="G106" s="1" t="s">
        <v>14198</v>
      </c>
      <c r="H106" s="4" t="s">
        <v>30903</v>
      </c>
      <c r="I106" s="1" t="s">
        <v>30904</v>
      </c>
      <c r="J106" s="3" t="s">
        <v>30905</v>
      </c>
      <c r="K106" s="1" t="s">
        <v>30177</v>
      </c>
    </row>
    <row r="107" spans="1:11" ht="409.6">
      <c r="A107" s="1" t="s">
        <v>30906</v>
      </c>
      <c r="B107" s="1" t="s">
        <v>30907</v>
      </c>
      <c r="C107" s="1" t="s">
        <v>30908</v>
      </c>
      <c r="D107" s="1" t="s">
        <v>30909</v>
      </c>
      <c r="E107" s="1">
        <v>30</v>
      </c>
      <c r="F107" s="1" t="s">
        <v>14207</v>
      </c>
      <c r="G107" s="1" t="s">
        <v>14198</v>
      </c>
      <c r="H107" s="1" t="s">
        <v>30910</v>
      </c>
      <c r="I107" s="4" t="s">
        <v>30911</v>
      </c>
      <c r="J107" s="3" t="s">
        <v>30912</v>
      </c>
      <c r="K107" s="1" t="s">
        <v>30177</v>
      </c>
    </row>
    <row r="108" spans="1:11" ht="409.6">
      <c r="A108" s="1" t="s">
        <v>30913</v>
      </c>
      <c r="B108" s="1" t="s">
        <v>30914</v>
      </c>
      <c r="C108" s="1" t="s">
        <v>30915</v>
      </c>
      <c r="D108" s="1" t="s">
        <v>30916</v>
      </c>
      <c r="E108" s="1">
        <v>30</v>
      </c>
      <c r="F108" s="1" t="s">
        <v>14207</v>
      </c>
      <c r="G108" s="1" t="s">
        <v>14198</v>
      </c>
      <c r="H108" s="4" t="s">
        <v>30917</v>
      </c>
      <c r="I108" s="1" t="s">
        <v>30918</v>
      </c>
      <c r="J108" s="3" t="s">
        <v>30919</v>
      </c>
      <c r="K108" s="1" t="s">
        <v>30177</v>
      </c>
    </row>
    <row r="109" spans="1:11" ht="409.6">
      <c r="A109" s="1" t="s">
        <v>30920</v>
      </c>
      <c r="B109" s="1" t="s">
        <v>30921</v>
      </c>
      <c r="C109" s="1" t="s">
        <v>30922</v>
      </c>
      <c r="D109" s="1" t="s">
        <v>30923</v>
      </c>
      <c r="E109" s="1">
        <v>20</v>
      </c>
      <c r="F109" s="1" t="s">
        <v>15138</v>
      </c>
      <c r="G109" s="1" t="s">
        <v>14198</v>
      </c>
      <c r="H109" s="4" t="s">
        <v>30924</v>
      </c>
      <c r="I109" s="1" t="s">
        <v>30925</v>
      </c>
      <c r="J109" s="3" t="s">
        <v>30926</v>
      </c>
      <c r="K109" s="1" t="s">
        <v>30177</v>
      </c>
    </row>
    <row r="110" spans="1:11" ht="13.8">
      <c r="A110" s="1" t="s">
        <v>30927</v>
      </c>
      <c r="B110" s="1" t="s">
        <v>30928</v>
      </c>
      <c r="C110" s="1" t="s">
        <v>30929</v>
      </c>
      <c r="D110" s="1" t="s">
        <v>30930</v>
      </c>
      <c r="E110" s="1">
        <v>30</v>
      </c>
      <c r="F110" s="1" t="s">
        <v>145</v>
      </c>
      <c r="G110" s="1" t="s">
        <v>14198</v>
      </c>
      <c r="H110" s="1" t="s">
        <v>30931</v>
      </c>
      <c r="I110" s="1" t="s">
        <v>30932</v>
      </c>
      <c r="J110" s="3" t="s">
        <v>30933</v>
      </c>
      <c r="K110" s="1" t="s">
        <v>30177</v>
      </c>
    </row>
    <row r="111" spans="1:11" ht="409.6">
      <c r="A111" s="1" t="s">
        <v>30934</v>
      </c>
      <c r="B111" s="1" t="s">
        <v>30935</v>
      </c>
      <c r="C111" s="1" t="s">
        <v>30936</v>
      </c>
      <c r="D111" s="1" t="s">
        <v>30937</v>
      </c>
      <c r="E111" s="1">
        <v>20</v>
      </c>
      <c r="F111" s="1" t="s">
        <v>15138</v>
      </c>
      <c r="G111" s="1" t="s">
        <v>14338</v>
      </c>
      <c r="H111" s="1" t="s">
        <v>30938</v>
      </c>
      <c r="I111" s="4" t="s">
        <v>30939</v>
      </c>
      <c r="J111" s="3" t="s">
        <v>30940</v>
      </c>
      <c r="K111" s="1" t="s">
        <v>30177</v>
      </c>
    </row>
    <row r="112" spans="1:11" ht="13.8">
      <c r="A112" s="1" t="s">
        <v>30941</v>
      </c>
      <c r="B112" s="1" t="s">
        <v>30942</v>
      </c>
      <c r="C112" s="1" t="s">
        <v>30943</v>
      </c>
      <c r="D112" s="1" t="s">
        <v>30944</v>
      </c>
      <c r="E112" s="1">
        <v>45</v>
      </c>
      <c r="F112" s="1" t="s">
        <v>14281</v>
      </c>
      <c r="G112" s="1" t="s">
        <v>14198</v>
      </c>
      <c r="H112" s="1" t="s">
        <v>30945</v>
      </c>
      <c r="I112" s="1" t="s">
        <v>30946</v>
      </c>
      <c r="J112" s="3" t="s">
        <v>30947</v>
      </c>
      <c r="K112" s="1" t="s">
        <v>30177</v>
      </c>
    </row>
    <row r="113" spans="1:11" ht="13.8">
      <c r="A113" s="1" t="s">
        <v>30948</v>
      </c>
      <c r="B113" s="1" t="s">
        <v>30949</v>
      </c>
      <c r="C113" s="1" t="s">
        <v>30950</v>
      </c>
      <c r="D113" s="1" t="s">
        <v>30951</v>
      </c>
      <c r="E113" s="1">
        <v>35</v>
      </c>
      <c r="F113" s="1" t="s">
        <v>145</v>
      </c>
      <c r="G113" s="1" t="s">
        <v>14338</v>
      </c>
      <c r="H113" s="1" t="s">
        <v>30952</v>
      </c>
      <c r="I113" s="1" t="s">
        <v>30953</v>
      </c>
      <c r="J113" s="3" t="s">
        <v>30954</v>
      </c>
      <c r="K113" s="1" t="s">
        <v>30177</v>
      </c>
    </row>
    <row r="114" spans="1:11" ht="409.6">
      <c r="A114" s="1" t="s">
        <v>30955</v>
      </c>
      <c r="B114" s="1" t="s">
        <v>30956</v>
      </c>
      <c r="C114" s="1" t="s">
        <v>30957</v>
      </c>
      <c r="D114" s="1" t="s">
        <v>30958</v>
      </c>
      <c r="E114" s="1">
        <v>50</v>
      </c>
      <c r="F114" s="1" t="s">
        <v>429</v>
      </c>
      <c r="G114" s="1" t="s">
        <v>14198</v>
      </c>
      <c r="H114" s="1" t="s">
        <v>30959</v>
      </c>
      <c r="I114" s="4" t="s">
        <v>30960</v>
      </c>
      <c r="J114" s="3" t="s">
        <v>30961</v>
      </c>
      <c r="K114" s="1" t="s">
        <v>30177</v>
      </c>
    </row>
    <row r="115" spans="1:11" ht="13.8">
      <c r="A115" s="1" t="s">
        <v>30962</v>
      </c>
      <c r="B115" s="1" t="s">
        <v>30963</v>
      </c>
      <c r="C115" s="1" t="s">
        <v>30964</v>
      </c>
      <c r="D115" s="1" t="s">
        <v>30965</v>
      </c>
      <c r="E115" s="1">
        <v>30</v>
      </c>
      <c r="F115" s="1" t="s">
        <v>14207</v>
      </c>
      <c r="G115" s="1" t="s">
        <v>14198</v>
      </c>
      <c r="H115" s="1" t="s">
        <v>30966</v>
      </c>
      <c r="I115" s="1" t="s">
        <v>30967</v>
      </c>
      <c r="J115" s="3" t="s">
        <v>30968</v>
      </c>
      <c r="K115" s="1" t="s">
        <v>30177</v>
      </c>
    </row>
    <row r="116" spans="1:11" ht="13.8">
      <c r="A116" s="1" t="s">
        <v>30969</v>
      </c>
      <c r="B116" s="1" t="s">
        <v>30970</v>
      </c>
      <c r="C116" s="1" t="s">
        <v>30971</v>
      </c>
      <c r="D116" s="1" t="s">
        <v>30972</v>
      </c>
      <c r="E116" s="1">
        <v>40</v>
      </c>
      <c r="F116" s="1" t="s">
        <v>429</v>
      </c>
      <c r="G116" s="1" t="s">
        <v>14237</v>
      </c>
      <c r="H116" s="1" t="s">
        <v>30973</v>
      </c>
      <c r="I116" s="1" t="s">
        <v>30974</v>
      </c>
      <c r="J116" s="3" t="s">
        <v>30975</v>
      </c>
      <c r="K116" s="1" t="s">
        <v>30177</v>
      </c>
    </row>
    <row r="117" spans="1:11" ht="13.8">
      <c r="A117" s="1" t="s">
        <v>30976</v>
      </c>
      <c r="B117" s="1" t="s">
        <v>30977</v>
      </c>
      <c r="C117" s="1" t="s">
        <v>30978</v>
      </c>
      <c r="D117" s="1" t="s">
        <v>30979</v>
      </c>
      <c r="E117" s="1">
        <v>40</v>
      </c>
      <c r="F117" s="1" t="s">
        <v>429</v>
      </c>
      <c r="G117" s="1" t="s">
        <v>14237</v>
      </c>
      <c r="H117" s="1" t="s">
        <v>30980</v>
      </c>
      <c r="I117" s="1" t="s">
        <v>30981</v>
      </c>
      <c r="J117" s="3" t="s">
        <v>30982</v>
      </c>
      <c r="K117" s="1" t="s">
        <v>30177</v>
      </c>
    </row>
    <row r="118" spans="1:11" ht="13.8">
      <c r="A118" s="1" t="s">
        <v>30983</v>
      </c>
      <c r="B118" s="1" t="s">
        <v>30984</v>
      </c>
      <c r="C118" s="1" t="s">
        <v>30985</v>
      </c>
      <c r="D118" s="1" t="s">
        <v>30986</v>
      </c>
      <c r="E118" s="1">
        <v>15</v>
      </c>
      <c r="F118" s="1" t="s">
        <v>145</v>
      </c>
      <c r="G118" s="1" t="s">
        <v>14198</v>
      </c>
      <c r="H118" s="1" t="s">
        <v>30987</v>
      </c>
      <c r="I118" s="1" t="s">
        <v>30988</v>
      </c>
      <c r="J118" s="3" t="s">
        <v>30989</v>
      </c>
      <c r="K118" s="1" t="s">
        <v>30177</v>
      </c>
    </row>
    <row r="119" spans="1:11" ht="409.6">
      <c r="A119" s="1" t="s">
        <v>30990</v>
      </c>
      <c r="B119" s="1" t="s">
        <v>30991</v>
      </c>
      <c r="C119" s="1" t="s">
        <v>30992</v>
      </c>
      <c r="D119" s="1" t="s">
        <v>30993</v>
      </c>
      <c r="E119" s="1">
        <v>15</v>
      </c>
      <c r="F119" s="1" t="s">
        <v>14207</v>
      </c>
      <c r="G119" s="1" t="s">
        <v>14198</v>
      </c>
      <c r="H119" s="1" t="s">
        <v>30994</v>
      </c>
      <c r="I119" s="4" t="s">
        <v>30995</v>
      </c>
      <c r="J119" s="3" t="s">
        <v>30996</v>
      </c>
      <c r="K119" s="1" t="s">
        <v>30177</v>
      </c>
    </row>
  </sheetData>
  <hyperlinks>
    <hyperlink ref="J2" r:id="rId1" xr:uid="{00000000-0004-0000-0900-000000000000}"/>
    <hyperlink ref="J3" r:id="rId2" xr:uid="{00000000-0004-0000-0900-000001000000}"/>
    <hyperlink ref="J4" r:id="rId3" xr:uid="{00000000-0004-0000-0900-000002000000}"/>
    <hyperlink ref="J5" r:id="rId4" xr:uid="{00000000-0004-0000-0900-000003000000}"/>
    <hyperlink ref="J6" r:id="rId5" xr:uid="{00000000-0004-0000-0900-000004000000}"/>
    <hyperlink ref="J7" r:id="rId6" xr:uid="{00000000-0004-0000-0900-000005000000}"/>
    <hyperlink ref="J8" r:id="rId7" xr:uid="{00000000-0004-0000-0900-000006000000}"/>
    <hyperlink ref="J9" r:id="rId8" xr:uid="{00000000-0004-0000-0900-000007000000}"/>
    <hyperlink ref="J10" r:id="rId9" xr:uid="{00000000-0004-0000-0900-000008000000}"/>
    <hyperlink ref="J11" r:id="rId10" xr:uid="{00000000-0004-0000-0900-000009000000}"/>
    <hyperlink ref="J12" r:id="rId11" xr:uid="{00000000-0004-0000-0900-00000A000000}"/>
    <hyperlink ref="J13" r:id="rId12" xr:uid="{00000000-0004-0000-0900-00000B000000}"/>
    <hyperlink ref="J14" r:id="rId13" xr:uid="{00000000-0004-0000-0900-00000C000000}"/>
    <hyperlink ref="J15" r:id="rId14" xr:uid="{00000000-0004-0000-0900-00000D000000}"/>
    <hyperlink ref="J16" r:id="rId15" xr:uid="{00000000-0004-0000-0900-00000E000000}"/>
    <hyperlink ref="J17" r:id="rId16" xr:uid="{00000000-0004-0000-0900-00000F000000}"/>
    <hyperlink ref="J18" r:id="rId17" xr:uid="{00000000-0004-0000-0900-000010000000}"/>
    <hyperlink ref="J19" r:id="rId18" xr:uid="{00000000-0004-0000-0900-000011000000}"/>
    <hyperlink ref="J20" r:id="rId19" xr:uid="{00000000-0004-0000-0900-000012000000}"/>
    <hyperlink ref="J21" r:id="rId20" xr:uid="{00000000-0004-0000-0900-000013000000}"/>
    <hyperlink ref="J22" r:id="rId21" xr:uid="{00000000-0004-0000-0900-000014000000}"/>
    <hyperlink ref="J23" r:id="rId22" xr:uid="{00000000-0004-0000-0900-000015000000}"/>
    <hyperlink ref="J24" r:id="rId23" xr:uid="{00000000-0004-0000-0900-000016000000}"/>
    <hyperlink ref="J25" r:id="rId24" xr:uid="{00000000-0004-0000-0900-000017000000}"/>
    <hyperlink ref="J26" r:id="rId25" xr:uid="{00000000-0004-0000-0900-000018000000}"/>
    <hyperlink ref="J27" r:id="rId26" xr:uid="{00000000-0004-0000-0900-000019000000}"/>
    <hyperlink ref="J28" r:id="rId27" xr:uid="{00000000-0004-0000-0900-00001A000000}"/>
    <hyperlink ref="J29" r:id="rId28" xr:uid="{00000000-0004-0000-0900-00001B000000}"/>
    <hyperlink ref="J30" r:id="rId29" xr:uid="{00000000-0004-0000-0900-00001C000000}"/>
    <hyperlink ref="J31" r:id="rId30" xr:uid="{00000000-0004-0000-0900-00001D000000}"/>
    <hyperlink ref="J32" r:id="rId31" xr:uid="{00000000-0004-0000-0900-00001E000000}"/>
    <hyperlink ref="J33" r:id="rId32" xr:uid="{00000000-0004-0000-0900-00001F000000}"/>
    <hyperlink ref="J34" r:id="rId33" xr:uid="{00000000-0004-0000-0900-000020000000}"/>
    <hyperlink ref="J35" r:id="rId34" xr:uid="{00000000-0004-0000-0900-000021000000}"/>
    <hyperlink ref="J36" r:id="rId35" xr:uid="{00000000-0004-0000-0900-000022000000}"/>
    <hyperlink ref="J37" r:id="rId36" xr:uid="{00000000-0004-0000-0900-000023000000}"/>
    <hyperlink ref="J38" r:id="rId37" xr:uid="{00000000-0004-0000-0900-000024000000}"/>
    <hyperlink ref="J39" r:id="rId38" xr:uid="{00000000-0004-0000-0900-000025000000}"/>
    <hyperlink ref="J40" r:id="rId39" xr:uid="{00000000-0004-0000-0900-000026000000}"/>
    <hyperlink ref="J41" r:id="rId40" xr:uid="{00000000-0004-0000-0900-000027000000}"/>
    <hyperlink ref="J42" r:id="rId41" xr:uid="{00000000-0004-0000-0900-000028000000}"/>
    <hyperlink ref="J43" r:id="rId42" xr:uid="{00000000-0004-0000-0900-000029000000}"/>
    <hyperlink ref="J44" r:id="rId43" xr:uid="{00000000-0004-0000-0900-00002A000000}"/>
    <hyperlink ref="J45" r:id="rId44" xr:uid="{00000000-0004-0000-0900-00002B000000}"/>
    <hyperlink ref="J46" r:id="rId45" xr:uid="{00000000-0004-0000-0900-00002C000000}"/>
    <hyperlink ref="J47" r:id="rId46" xr:uid="{00000000-0004-0000-0900-00002D000000}"/>
    <hyperlink ref="J48" r:id="rId47" xr:uid="{00000000-0004-0000-0900-00002E000000}"/>
    <hyperlink ref="J49" r:id="rId48" xr:uid="{00000000-0004-0000-0900-00002F000000}"/>
    <hyperlink ref="J50" r:id="rId49" xr:uid="{00000000-0004-0000-0900-000030000000}"/>
    <hyperlink ref="J51" r:id="rId50" xr:uid="{00000000-0004-0000-0900-000031000000}"/>
    <hyperlink ref="J52" r:id="rId51" xr:uid="{00000000-0004-0000-0900-000032000000}"/>
    <hyperlink ref="J53" r:id="rId52" xr:uid="{00000000-0004-0000-0900-000033000000}"/>
    <hyperlink ref="J54" r:id="rId53" xr:uid="{00000000-0004-0000-0900-000034000000}"/>
    <hyperlink ref="J55" r:id="rId54" xr:uid="{00000000-0004-0000-0900-000035000000}"/>
    <hyperlink ref="J56" r:id="rId55" xr:uid="{00000000-0004-0000-0900-000036000000}"/>
    <hyperlink ref="J57" r:id="rId56" xr:uid="{00000000-0004-0000-0900-000037000000}"/>
    <hyperlink ref="J58" r:id="rId57" xr:uid="{00000000-0004-0000-0900-000038000000}"/>
    <hyperlink ref="J59" r:id="rId58" xr:uid="{00000000-0004-0000-0900-000039000000}"/>
    <hyperlink ref="J60" r:id="rId59" xr:uid="{00000000-0004-0000-0900-00003A000000}"/>
    <hyperlink ref="J61" r:id="rId60" xr:uid="{00000000-0004-0000-0900-00003B000000}"/>
    <hyperlink ref="J62" r:id="rId61" xr:uid="{00000000-0004-0000-0900-00003C000000}"/>
    <hyperlink ref="J63" r:id="rId62" xr:uid="{00000000-0004-0000-0900-00003D000000}"/>
    <hyperlink ref="J64" r:id="rId63" xr:uid="{00000000-0004-0000-0900-00003E000000}"/>
    <hyperlink ref="J65" r:id="rId64" xr:uid="{00000000-0004-0000-0900-00003F000000}"/>
    <hyperlink ref="J66" r:id="rId65" xr:uid="{00000000-0004-0000-0900-000040000000}"/>
    <hyperlink ref="J67" r:id="rId66" xr:uid="{00000000-0004-0000-0900-000041000000}"/>
    <hyperlink ref="J68" r:id="rId67" xr:uid="{00000000-0004-0000-0900-000042000000}"/>
    <hyperlink ref="J69" r:id="rId68" xr:uid="{00000000-0004-0000-0900-000043000000}"/>
    <hyperlink ref="J70" r:id="rId69" xr:uid="{00000000-0004-0000-0900-000044000000}"/>
    <hyperlink ref="J71" r:id="rId70" xr:uid="{00000000-0004-0000-0900-000045000000}"/>
    <hyperlink ref="J72" r:id="rId71" xr:uid="{00000000-0004-0000-0900-000046000000}"/>
    <hyperlink ref="J73" r:id="rId72" xr:uid="{00000000-0004-0000-0900-000047000000}"/>
    <hyperlink ref="J74" r:id="rId73" xr:uid="{00000000-0004-0000-0900-000048000000}"/>
    <hyperlink ref="J75" r:id="rId74" xr:uid="{00000000-0004-0000-0900-000049000000}"/>
    <hyperlink ref="J76" r:id="rId75" xr:uid="{00000000-0004-0000-0900-00004A000000}"/>
    <hyperlink ref="J77" r:id="rId76" xr:uid="{00000000-0004-0000-0900-00004B000000}"/>
    <hyperlink ref="J78" r:id="rId77" xr:uid="{00000000-0004-0000-0900-00004C000000}"/>
    <hyperlink ref="J79" r:id="rId78" xr:uid="{00000000-0004-0000-0900-00004D000000}"/>
    <hyperlink ref="J80" r:id="rId79" xr:uid="{00000000-0004-0000-0900-00004E000000}"/>
    <hyperlink ref="J81" r:id="rId80" xr:uid="{00000000-0004-0000-0900-00004F000000}"/>
    <hyperlink ref="J82" r:id="rId81" xr:uid="{00000000-0004-0000-0900-000050000000}"/>
    <hyperlink ref="J83" r:id="rId82" xr:uid="{00000000-0004-0000-0900-000051000000}"/>
    <hyperlink ref="J84" r:id="rId83" xr:uid="{00000000-0004-0000-0900-000052000000}"/>
    <hyperlink ref="J85" r:id="rId84" xr:uid="{00000000-0004-0000-0900-000053000000}"/>
    <hyperlink ref="J86" r:id="rId85" xr:uid="{00000000-0004-0000-0900-000054000000}"/>
    <hyperlink ref="J87" r:id="rId86" xr:uid="{00000000-0004-0000-0900-000055000000}"/>
    <hyperlink ref="J88" r:id="rId87" xr:uid="{00000000-0004-0000-0900-000056000000}"/>
    <hyperlink ref="J89" r:id="rId88" xr:uid="{00000000-0004-0000-0900-000057000000}"/>
    <hyperlink ref="J90" r:id="rId89" xr:uid="{00000000-0004-0000-0900-000058000000}"/>
    <hyperlink ref="J91" r:id="rId90" xr:uid="{00000000-0004-0000-0900-000059000000}"/>
    <hyperlink ref="J92" r:id="rId91" xr:uid="{00000000-0004-0000-0900-00005A000000}"/>
    <hyperlink ref="J93" r:id="rId92" xr:uid="{00000000-0004-0000-0900-00005B000000}"/>
    <hyperlink ref="J94" r:id="rId93" xr:uid="{00000000-0004-0000-0900-00005C000000}"/>
    <hyperlink ref="J95" r:id="rId94" xr:uid="{00000000-0004-0000-0900-00005D000000}"/>
    <hyperlink ref="J96" r:id="rId95" xr:uid="{00000000-0004-0000-0900-00005E000000}"/>
    <hyperlink ref="J97" r:id="rId96" xr:uid="{00000000-0004-0000-0900-00005F000000}"/>
    <hyperlink ref="J98" r:id="rId97" xr:uid="{00000000-0004-0000-0900-000060000000}"/>
    <hyperlink ref="J99" r:id="rId98" xr:uid="{00000000-0004-0000-0900-000061000000}"/>
    <hyperlink ref="J100" r:id="rId99" xr:uid="{00000000-0004-0000-0900-000062000000}"/>
    <hyperlink ref="J101" r:id="rId100" xr:uid="{00000000-0004-0000-0900-000063000000}"/>
    <hyperlink ref="J102" r:id="rId101" xr:uid="{00000000-0004-0000-0900-000064000000}"/>
    <hyperlink ref="J103" r:id="rId102" xr:uid="{00000000-0004-0000-0900-000065000000}"/>
    <hyperlink ref="J104" r:id="rId103" xr:uid="{00000000-0004-0000-0900-000066000000}"/>
    <hyperlink ref="J105" r:id="rId104" xr:uid="{00000000-0004-0000-0900-000067000000}"/>
    <hyperlink ref="J106" r:id="rId105" xr:uid="{00000000-0004-0000-0900-000068000000}"/>
    <hyperlink ref="J107" r:id="rId106" xr:uid="{00000000-0004-0000-0900-000069000000}"/>
    <hyperlink ref="J108" r:id="rId107" xr:uid="{00000000-0004-0000-0900-00006A000000}"/>
    <hyperlink ref="J109" r:id="rId108" xr:uid="{00000000-0004-0000-0900-00006B000000}"/>
    <hyperlink ref="J110" r:id="rId109" xr:uid="{00000000-0004-0000-0900-00006C000000}"/>
    <hyperlink ref="J111" r:id="rId110" xr:uid="{00000000-0004-0000-0900-00006D000000}"/>
    <hyperlink ref="J112" r:id="rId111" xr:uid="{00000000-0004-0000-0900-00006E000000}"/>
    <hyperlink ref="J113" r:id="rId112" xr:uid="{00000000-0004-0000-0900-00006F000000}"/>
    <hyperlink ref="J114" r:id="rId113" xr:uid="{00000000-0004-0000-0900-000070000000}"/>
    <hyperlink ref="J115" r:id="rId114" xr:uid="{00000000-0004-0000-0900-000071000000}"/>
    <hyperlink ref="J116" r:id="rId115" xr:uid="{00000000-0004-0000-0900-000072000000}"/>
    <hyperlink ref="J117" r:id="rId116" xr:uid="{00000000-0004-0000-0900-000073000000}"/>
    <hyperlink ref="J118" r:id="rId117" xr:uid="{00000000-0004-0000-0900-000074000000}"/>
    <hyperlink ref="J119" r:id="rId118" xr:uid="{00000000-0004-0000-0900-000075000000}"/>
  </hyperlinks>
  <pageMargins left="0.74791666666666701" right="0.74791666666666701" top="0.98402777777777795" bottom="0.98402777777777795" header="0.511811023622047" footer="0.511811023622047"/>
  <pageSetup paperSize="9"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heetPr>
  <dimension ref="A1:L999"/>
  <sheetViews>
    <sheetView topLeftCell="A820" zoomScaleNormal="100" workbookViewId="0">
      <selection activeCell="I820" sqref="I820"/>
    </sheetView>
  </sheetViews>
  <sheetFormatPr defaultColWidth="12.6640625" defaultRowHeight="15.75" customHeight="1"/>
  <sheetData>
    <row r="1" spans="1:12" ht="13.8">
      <c r="A1" s="1" t="s">
        <v>14183</v>
      </c>
      <c r="B1" s="1" t="s">
        <v>14184</v>
      </c>
      <c r="C1" s="1" t="s">
        <v>14188</v>
      </c>
      <c r="D1" s="1" t="s">
        <v>30997</v>
      </c>
      <c r="E1" s="1" t="s">
        <v>14187</v>
      </c>
      <c r="F1" s="1" t="s">
        <v>14186</v>
      </c>
      <c r="G1" s="1" t="s">
        <v>14185</v>
      </c>
      <c r="H1" s="1" t="s">
        <v>14190</v>
      </c>
      <c r="I1" s="1" t="s">
        <v>14191</v>
      </c>
      <c r="J1" s="1" t="s">
        <v>14192</v>
      </c>
      <c r="K1" s="1" t="s">
        <v>9</v>
      </c>
      <c r="L1" s="1" t="s">
        <v>14193</v>
      </c>
    </row>
    <row r="2" spans="1:12" ht="13.8">
      <c r="A2" s="1" t="s">
        <v>30998</v>
      </c>
      <c r="B2" s="1" t="str">
        <f ca="1">IFERROR(__xludf.dummyfunction("IF(A2="""", """", GOOGLETRANSLATE(A2, ""en"", ""hi""))"),"मिनी दाल समोसा करी/सब्जी रेसिपी")</f>
        <v>मिनी दाल समोसा करी/सब्जी रेसिपी</v>
      </c>
      <c r="C2" s="1" t="s">
        <v>145</v>
      </c>
      <c r="D2" s="1" t="s">
        <v>14198</v>
      </c>
      <c r="E2" s="1">
        <v>35</v>
      </c>
      <c r="F2" s="1" t="s">
        <v>30999</v>
      </c>
      <c r="G2" s="1" t="s">
        <v>31000</v>
      </c>
      <c r="H2" s="1" t="s">
        <v>31001</v>
      </c>
      <c r="I2" s="1" t="str">
        <f ca="1">IFERROR(__xludf.dummyfunction("IF(H2="""", """", GOOGLETRANSLATE(H2, ""en"", ""hi""))"),"मिनी दाल समोसा ग्रेवी रेसिपी बनाने के लिए सबसे पहले हमें ग्रेवी तैयार करनी होगी। एक भारी तले की कड़ाही में 1 बड़ा चम्मच खाना पकाने का तेल डालें और इसे मध्यम आंच पर गर्म करें। तेल गर्म हो जाए तो इसमें इलायची, काली मिर्च, लौंग, दालचीनी, जावित्री डालें और कु"&amp;"छ सेकेंड के लिए भूनें। इसके बाद काजू, हरी मिर्च, अदरक, कटा हुआ प्याज और टमाटर डालें। अच्छी तरह मिलाएं और 1/2 कप पानी और नमक (अपने स्वादानुसार) डालें। पैन को ढक दें और इस मिश्रण को तब तक उबालें जब तक प्याज और टमाटर नरम न हो जाएं। आंच बंद कर दें और इस मिश्र"&amp;"ण को ठंडा होने दें। मिश्रण ठंडा हो जाए तो इसे मिक्सर में डालें और मुलायम होने तक ब्लेंड करें। सामग्री के किसी भी बड़े टुकड़े को हटाने के लिए पेस्ट को छान लें जब मसाले खुशबू छोड़ने लगें तो पिसे हुए टमाटर और प्याज का मिश्रण डालें, कश्मीरी लाल मिर्च पाउडर, ह"&amp;"ल्दी पाउडर, धनिया पाउडर, गरम मसाला और पिसी हुई कसूरी मेथी डालें। अच्छी तरह मिलाएँ और धीमी आँच पर 10 मिनट तक पकाएँ। ताज़ी क्रीम और चीनी डालें और इसे ग्रेवी में अच्छी तरह मिलाएँ। कुछ और मिनट तक उबालें और ग्रेवी में मिनी समोसे डालें। आँच बंद कर दें। मिनी दाल"&amp;" समोसे को परोसने से एक घंटा पहले ही ग्रेवी में डालना सुनिश्चित करें, नहीं तो समोसा पूरी तरह से गीला हो जाएगा। घर पर मिनी दाल समोसे बनाने के लिए मूंग दाल मिनी समोसे का पालन करें। मिनी दाल समोसा करी रेसिपी को गरम फुल्का, तवा पराठा या जीरा राइस और कचुम्बर सल"&amp;"ाद रेसिपी के साथ खीरा, प्याज और टमाटर के साथ परोसें और रविवार के शानदार भोजन का लुत्फ़ उठाएँ।")</f>
        <v>मिनी दाल समोसा ग्रेवी रेसिपी बनाने के लिए सबसे पहले हमें ग्रेवी तैयार करनी होगी। एक भारी तले की कड़ाही में 1 बड़ा चम्मच खाना पकाने का तेल डालें और इसे मध्यम आंच पर गर्म करें। तेल गर्म हो जाए तो इसमें इलायची, काली मिर्च, लौंग, दालचीनी, जावित्री डालें और कुछ सेकेंड के लिए भूनें। इसके बाद काजू, हरी मिर्च, अदरक, कटा हुआ प्याज और टमाटर डालें। अच्छी तरह मिलाएं और 1/2 कप पानी और नमक (अपने स्वादानुसार) डालें। पैन को ढक दें और इस मिश्रण को तब तक उबालें जब तक प्याज और टमाटर नरम न हो जाएं। आंच बंद कर दें और इस मिश्रण को ठंडा होने दें। मिश्रण ठंडा हो जाए तो इसे मिक्सर में डालें और मुलायम होने तक ब्लेंड करें। सामग्री के किसी भी बड़े टुकड़े को हटाने के लिए पेस्ट को छान लें जब मसाले खुशबू छोड़ने लगें तो पिसे हुए टमाटर और प्याज का मिश्रण डालें, कश्मीरी लाल मिर्च पाउडर, हल्दी पाउडर, धनिया पाउडर, गरम मसाला और पिसी हुई कसूरी मेथी डालें। अच्छी तरह मिलाएँ और धीमी आँच पर 10 मिनट तक पकाएँ। ताज़ी क्रीम और चीनी डालें और इसे ग्रेवी में अच्छी तरह मिलाएँ। कुछ और मिनट तक उबालें और ग्रेवी में मिनी समोसे डालें। आँच बंद कर दें। मिनी दाल समोसे को परोसने से एक घंटा पहले ही ग्रेवी में डालना सुनिश्चित करें, नहीं तो समोसा पूरी तरह से गीला हो जाएगा। घर पर मिनी दाल समोसे बनाने के लिए मूंग दाल मिनी समोसे का पालन करें। मिनी दाल समोसा करी रेसिपी को गरम फुल्का, तवा पराठा या जीरा राइस और कचुम्बर सलाद रेसिपी के साथ खीरा, प्याज और टमाटर के साथ परोसें और रविवार के शानदार भोजन का लुत्फ़ उठाएँ।</v>
      </c>
      <c r="J2" s="3" t="s">
        <v>31002</v>
      </c>
      <c r="L2" s="1" t="s">
        <v>31003</v>
      </c>
    </row>
    <row r="3" spans="1:12" ht="13.8">
      <c r="A3" s="1" t="s">
        <v>31004</v>
      </c>
      <c r="B3" s="1" t="str">
        <f ca="1">IFERROR(__xludf.dummyfunction("IF(A3="""", """", GOOGLETRANSLATE(A3, ""en"", ""hi""))"),"मटर समोसा रेसिपी - हरी मटर समोसा")</f>
        <v>मटर समोसा रेसिपी - हरी मटर समोसा</v>
      </c>
      <c r="C3" s="1" t="s">
        <v>14281</v>
      </c>
      <c r="D3" s="1" t="s">
        <v>14198</v>
      </c>
      <c r="E3" s="1">
        <v>55</v>
      </c>
      <c r="F3" s="1" t="s">
        <v>31005</v>
      </c>
      <c r="G3" s="1" t="str">
        <f ca="1">IFERROR(__xludf.dummyfunction("IF(F3="""", """", GOOGLETRANSLATE(F3, ""en"", ""hi""))"),"1 कप मैदा, 2 बड़े चम्मच घी, 1/2 छोटा चम्मच नमक, सूरजमुखी तेल - तलने के लिए, 2 बड़े चम्मच घी, 1 छोटा चम्मच जीरा, 1 छोटा चम्मच हरी मिर्च सॉस, 1/2 छोटा चम्मच दालचीनी पाउडर, 1/2 छोटा चम्मच गरम मसाला पाउडर, 1/4 छोटा चम्मच लाल मिर्च पाउडर, 2 छोटा चम्मच आमचूर, 1"&amp;"-1/2 कप हरी मटर - उबले और मैश किए हुए, नमक - स्वादानुसार, 2 छोटा चम्मच मैदा, 1/4 कप पानी")</f>
        <v>1 कप मैदा, 2 बड़े चम्मच घी, 1/2 छोटा चम्मच नमक, सूरजमुखी तेल - तलने के लिए, 2 बड़े चम्मच घी, 1 छोटा चम्मच जीरा, 1 छोटा चम्मच हरी मिर्च सॉस, 1/2 छोटा चम्मच दालचीनी पाउडर, 1/2 छोटा चम्मच गरम मसाला पाउडर, 1/4 छोटा चम्मच लाल मिर्च पाउडर, 2 छोटा चम्मच आमचूर, 1-1/2 कप हरी मटर - उबले और मैश किए हुए, नमक - स्वादानुसार, 2 छोटा चम्मच मैदा, 1/4 कप पानी</v>
      </c>
      <c r="H3" s="1" t="s">
        <v>31006</v>
      </c>
      <c r="I3" s="1" t="str">
        <f ca="1">IFERROR(__xludf.dummyfunction("IF(H3="""", """", GOOGLETRANSLATE(H3, ""en"", ""hi""))"),"मटर समोसा रेसिपी बनाने के लिए सबसे पहले आटे में आधा चम्मच नमक मिलाएँ। अपनी उँगलियों से आटे के मिश्रण में घी या वनस्पति तेल को तब तक रगड़ें जब तक यह ढीले ब्रेड क्रम्ब्स जैसा न हो जाए। धीरे-धीरे पानी डालें और नरम लेकिन सख्त आटा गूंथ लें। आटे की लोई बनाकर उस"&amp;"े नम मलमल के कपड़े से ढँक दें और एक तरफ रख दें। अगला चरण है भरावन तैयार करना। एक कड़ाही या भारी तली वाले पैन में घी गरम करें, जीरा डालें और उसे चटकने दें और मिर्च के पेस्ट में डालें। इन्हें एक मिनट के लिए एक साथ भूनें। मटर डालें और उसके बाद सभी मसाले डाले"&amp;"ं और तब तक पकाएँ जब तक मटर का मिश्रण सूख न जाए और सारा पानी सूख न जाए। नमक डालें और फिर से 2-3 मिनट तक पकाएँ। मटर के मिश्रण को ठंडा होने के लिए अलग रख दें ताकि समोसे बनाते समय इसे संभालना आसान हो जाए। आटे और पानी को मिलाकर आटे का पेस्ट बनाएँ। समोसे के डिब"&amp;"्बे बनाने के लिए, आटे को छोटी-छोटी लोइयों में बाँट लें और उन्हें पतले गोल आकार में बेल लें। प्रत्येक बेले हुए गोले को बीच से चाकू चलाकर दो हिस्सों में काट लें, ताकि प्रत्येक डिस्क के लिए 2 अर्धवृत्त हों। अर्धवृत्त को शंकु में रोल करें और एक चम्मच का उपयोग"&amp;" करके उन्हें मटर के मिश्रण से भरें। शंकु के खुले हिस्से के किनारों पर आटे का पेस्ट लगाएं, दोनों किनारों को एक साथ दबाएं और सील करें। मटर समोसे को एक प्लेट में व्यवस्थित करें और उन्हें एक नम मलमल के कपड़े से ढक दें। मध्यम आंच पर एक कढ़ाई में तलने के लिए ते"&amp;"ल गर्म करें। मटर समोसे को गरम तेल में सुनहरा भूरा होने तक तल लें। कोशिश करें कि एक साथ बहुत सारे मटर समोसे न तलें क्योंकि यह कढ़ाई में भीड़ पैदा करेगा और पकने का समय बदल देगा। एक छिद्रित चम्मच का उपयोग करके मटर समोसे को कढ़ाई से निकालें और उन्हें किचन पेप"&amp;"र पर निकाल लें। मटर समोसा को शाम को मसाला चाय के साथ धनिया पुदीना चटनी और खजूर इमली की चटनी या टमाटर केचप के साथ परोसा जा सकता है।")</f>
        <v>मटर समोसा रेसिपी बनाने के लिए सबसे पहले आटे में आधा चम्मच नमक मिलाएँ। अपनी उँगलियों से आटे के मिश्रण में घी या वनस्पति तेल को तब तक रगड़ें जब तक यह ढीले ब्रेड क्रम्ब्स जैसा न हो जाए। धीरे-धीरे पानी डालें और नरम लेकिन सख्त आटा गूंथ लें। आटे की लोई बनाकर उसे नम मलमल के कपड़े से ढँक दें और एक तरफ रख दें। अगला चरण है भरावन तैयार करना। एक कड़ाही या भारी तली वाले पैन में घी गरम करें, जीरा डालें और उसे चटकने दें और मिर्च के पेस्ट में डालें। इन्हें एक मिनट के लिए एक साथ भूनें। मटर डालें और उसके बाद सभी मसाले डालें और तब तक पकाएँ जब तक मटर का मिश्रण सूख न जाए और सारा पानी सूख न जाए। नमक डालें और फिर से 2-3 मिनट तक पकाएँ। मटर के मिश्रण को ठंडा होने के लिए अलग रख दें ताकि समोसे बनाते समय इसे संभालना आसान हो जाए। आटे और पानी को मिलाकर आटे का पेस्ट बनाएँ। समोसे के डिब्बे बनाने के लिए, आटे को छोटी-छोटी लोइयों में बाँट लें और उन्हें पतले गोल आकार में बेल लें। प्रत्येक बेले हुए गोले को बीच से चाकू चलाकर दो हिस्सों में काट लें, ताकि प्रत्येक डिस्क के लिए 2 अर्धवृत्त हों। अर्धवृत्त को शंकु में रोल करें और एक चम्मच का उपयोग करके उन्हें मटर के मिश्रण से भरें। शंकु के खुले हिस्से के किनारों पर आटे का पेस्ट लगाएं, दोनों किनारों को एक साथ दबाएं और सील करें। मटर समोसे को एक प्लेट में व्यवस्थित करें और उन्हें एक नम मलमल के कपड़े से ढक दें। मध्यम आंच पर एक कढ़ाई में तलने के लिए तेल गर्म करें। मटर समोसे को गरम तेल में सुनहरा भूरा होने तक तल लें। कोशिश करें कि एक साथ बहुत सारे मटर समोसे न तलें क्योंकि यह कढ़ाई में भीड़ पैदा करेगा और पकने का समय बदल देगा। एक छिद्रित चम्मच का उपयोग करके मटर समोसे को कढ़ाई से निकालें और उन्हें किचन पेपर पर निकाल लें। मटर समोसा को शाम को मसाला चाय के साथ धनिया पुदीना चटनी और खजूर इमली की चटनी या टमाटर केचप के साथ परोसा जा सकता है।</v>
      </c>
      <c r="J3" s="3" t="s">
        <v>31007</v>
      </c>
      <c r="L3" s="1" t="s">
        <v>31003</v>
      </c>
    </row>
    <row r="4" spans="1:12" ht="13.8">
      <c r="A4" s="1" t="s">
        <v>31008</v>
      </c>
      <c r="B4" s="1" t="str">
        <f ca="1">IFERROR(__xludf.dummyfunction("IF(A4="""", """", GOOGLETRANSLATE(A4, ""en"", ""hi""))"),"केसर चाय रेसिपी - एक स्वादिष्ट केसर स्वाद वाली भारतीय चाय")</f>
        <v>केसर चाय रेसिपी - एक स्वादिष्ट केसर स्वाद वाली भारतीय चाय</v>
      </c>
      <c r="C4" s="1" t="s">
        <v>16424</v>
      </c>
      <c r="D4" s="1" t="s">
        <v>14198</v>
      </c>
      <c r="E4" s="1">
        <v>10</v>
      </c>
      <c r="F4" s="1" t="s">
        <v>31009</v>
      </c>
      <c r="G4" s="1" t="s">
        <v>31010</v>
      </c>
      <c r="H4" s="1" t="s">
        <v>31011</v>
      </c>
      <c r="I4" s="1" t="str">
        <f ca="1">IFERROR(__xludf.dummyfunction("IF(H4="""", """", GOOGLETRANSLATE(H4, ""en"", ""hi""))"),"केसर चाय बनाने के लिए सबसे पहले एक सॉस पैन में पानी और केसर के रेशे डालें और इसे उबलने दें। जब यह उबलने लगे तो इसमें चाय की पत्ती डालें। चाय की पत्तियों को पानी में लगभग एक मिनट तक उबलने दें और आँच बंद कर दें। जब आप चाय की पत्ती डाल दें तो इसे थोड़ा सा उब"&amp;"लने दें ताकि चाय हल्की रहे और कड़वी न हो जाए। चाय में दूध डालकर चलाएँ और इसे कुछ सेकंड के लिए ऐसे ही रहने दें। केसर चाय को कप में छान लें और परोसें। परोसते समय ऊपर से कुछ और केसर के रेशे डालें, इससे यह देखने में तो अच्छी लगेगी ही साथ ही चाय का स्वाद और फ्"&amp;"लेवर भी बढ़ जाएगा। केसर चाय रेसिपी को शाम के नाश्ते में समोसे या वेजिटेबल बज्जी या पकौड़े के साथ परोसें।")</f>
        <v>केसर चाय बनाने के लिए सबसे पहले एक सॉस पैन में पानी और केसर के रेशे डालें और इसे उबलने दें। जब यह उबलने लगे तो इसमें चाय की पत्ती डालें। चाय की पत्तियों को पानी में लगभग एक मिनट तक उबलने दें और आँच बंद कर दें। जब आप चाय की पत्ती डाल दें तो इसे थोड़ा सा उबलने दें ताकि चाय हल्की रहे और कड़वी न हो जाए। चाय में दूध डालकर चलाएँ और इसे कुछ सेकंड के लिए ऐसे ही रहने दें। केसर चाय को कप में छान लें और परोसें। परोसते समय ऊपर से कुछ और केसर के रेशे डालें, इससे यह देखने में तो अच्छी लगेगी ही साथ ही चाय का स्वाद और फ्लेवर भी बढ़ जाएगा। केसर चाय रेसिपी को शाम के नाश्ते में समोसे या वेजिटेबल बज्जी या पकौड़े के साथ परोसें।</v>
      </c>
      <c r="J4" s="3" t="s">
        <v>31012</v>
      </c>
      <c r="L4" s="1" t="s">
        <v>31003</v>
      </c>
    </row>
    <row r="5" spans="1:12" ht="13.8">
      <c r="A5" s="1" t="s">
        <v>31013</v>
      </c>
      <c r="B5" s="1" t="str">
        <f ca="1">IFERROR(__xludf.dummyfunction("IF(A5="""", """", GOOGLETRANSLATE(A5, ""en"", ""hi""))"),"आमरस रेसिपी - पके आम का रस")</f>
        <v>आमरस रेसिपी - पके आम का रस</v>
      </c>
      <c r="C5" s="1" t="s">
        <v>14207</v>
      </c>
      <c r="D5" s="1" t="s">
        <v>17937</v>
      </c>
      <c r="E5" s="1">
        <v>15</v>
      </c>
      <c r="F5" s="1" t="s">
        <v>31014</v>
      </c>
      <c r="G5" s="1" t="s">
        <v>31015</v>
      </c>
      <c r="H5" s="1" t="s">
        <v>31016</v>
      </c>
      <c r="I5" s="1" t="str">
        <f ca="1">IFERROR(__xludf.dummyfunction("IF(H5="""", """", GOOGLETRANSLATE(H5, ""en"", ""hi""))"),"आमरस रेसिपी बनाने के लिए, पूरे आम को अपनी हथेलियों से रोल करके उन्हें नरम करें। आम को छीलें, बीज को हटाकर सभी गूदे को मिक्सर-जार में डालें। जार में आम के गूदे के साथ, पानी डालें और अपनी पसंद और आम की मिठास के अनुसार चीनी को समायोजित करें। इसे चिकना होने त"&amp;"क फेंटें। कुछ समय के लिए फ्रिज में रखें और अपने भोजन के साथ ठंडा परोसें। इस स्वादिष्ट आमरस रेसिपी को पूरी रेसिपी, बटाटा नू शाक और मुंबई स्टाइल मसाला खिचिया चूरी के साथ परोसें या बस इसे अपने नाश्ते या शाम के नाश्ते के लिए इसका आनंद लें, और आप इसे बहुत पसंद"&amp;" करेंगे।")</f>
        <v>आमरस रेसिपी बनाने के लिए, पूरे आम को अपनी हथेलियों से रोल करके उन्हें नरम करें। आम को छीलें, बीज को हटाकर सभी गूदे को मिक्सर-जार में डालें। जार में आम के गूदे के साथ, पानी डालें और अपनी पसंद और आम की मिठास के अनुसार चीनी को समायोजित करें। इसे चिकना होने तक फेंटें। कुछ समय के लिए फ्रिज में रखें और अपने भोजन के साथ ठंडा परोसें। इस स्वादिष्ट आमरस रेसिपी को पूरी रेसिपी, बटाटा नू शाक और मुंबई स्टाइल मसाला खिचिया चूरी के साथ परोसें या बस इसे अपने नाश्ते या शाम के नाश्ते के लिए इसका आनंद लें, और आप इसे बहुत पसंद करेंगे।</v>
      </c>
      <c r="J5" s="3" t="s">
        <v>31017</v>
      </c>
      <c r="L5" s="1" t="s">
        <v>31003</v>
      </c>
    </row>
    <row r="6" spans="1:12" ht="13.8">
      <c r="A6" s="1" t="s">
        <v>31018</v>
      </c>
      <c r="B6" s="1" t="str">
        <f ca="1">IFERROR(__xludf.dummyfunction("IF(A6="""", """", GOOGLETRANSLATE(A6, ""en"", ""hi""))"),"कद्दू पालक रोटी रेसिपी (कद्दू पालक फ्लैट ब्रेड)")</f>
        <v>कद्दू पालक रोटी रेसिपी (कद्दू पालक फ्लैट ब्रेड)</v>
      </c>
      <c r="C6" s="1" t="s">
        <v>15760</v>
      </c>
      <c r="D6" s="1" t="s">
        <v>14237</v>
      </c>
      <c r="E6" s="1">
        <v>35</v>
      </c>
      <c r="F6" s="1" t="s">
        <v>31019</v>
      </c>
      <c r="G6" s="1" t="s">
        <v>31020</v>
      </c>
      <c r="H6" s="1" t="s">
        <v>31021</v>
      </c>
      <c r="I6" s="1" t="str">
        <f ca="1">IFERROR(__xludf.dummyfunction("IF(H6="""", """", GOOGLETRANSLATE(H6, ""en"", ""hi""))"),"कद्दू पालक रोटी रेसिपी बनाने के लिए सबसे पहले पालक के पत्तों को ठंडे पानी में धोकर बारीक काट लें। कद्दू से छिलका हटाकर कद्दूकस कर लें। एक बड़े कटोरे में आटा, कद्दू, पालक, मसाला पाउडर और नमक डालें। इन्हें अच्छी तरह मिलाएँ। थोड़ा-थोड़ा करके पानी डालें और अच"&amp;"्छी तरह मिलाएँ ताकि सख्त आटा गूंथ जाए। पानी सावधानी से और कम मात्रा में डालें क्योंकि आप नहीं चाहेंगे कि आटा बहुत ज़्यादा तरल या लचीला न हो। काम करने वाली सतह पर आटा छिड़कें और आटे से नींबू के आकार की छोटी-छोटी लोइयाँ बनाएँ। उन्हें बेलते समय आटे से लपेटें"&amp;" और बेलन का उपयोग करके पतली गोलाकार लोइयाँ बनाएँ। मध्यम आँच पर तवा गरम करें। तवे पर तेल लगाएँ और रोटी को दोनों तरफ़ से सुनहरा होने तक पकाएँ। बचे हुए आटे के लिए भी यही प्रक्रिया दोहराएँ। इसे रायता या करी के साथ गरमागरम परोसें या दही की एक कटोरी के साथ परोस"&amp;"ें। इस कद्दू पालक रोटी को तैयार करें और इसे मकई और प्याज रायता और धनिया पुदीना चटनी के साथ अपने रात के खाने/नाश्ते में परोसें।")</f>
        <v>कद्दू पालक रोटी रेसिपी बनाने के लिए सबसे पहले पालक के पत्तों को ठंडे पानी में धोकर बारीक काट लें। कद्दू से छिलका हटाकर कद्दूकस कर लें। एक बड़े कटोरे में आटा, कद्दू, पालक, मसाला पाउडर और नमक डालें। इन्हें अच्छी तरह मिलाएँ। थोड़ा-थोड़ा करके पानी डालें और अच्छी तरह मिलाएँ ताकि सख्त आटा गूंथ जाए। पानी सावधानी से और कम मात्रा में डालें क्योंकि आप नहीं चाहेंगे कि आटा बहुत ज़्यादा तरल या लचीला न हो। काम करने वाली सतह पर आटा छिड़कें और आटे से नींबू के आकार की छोटी-छोटी लोइयाँ बनाएँ। उन्हें बेलते समय आटे से लपेटें और बेलन का उपयोग करके पतली गोलाकार लोइयाँ बनाएँ। मध्यम आँच पर तवा गरम करें। तवे पर तेल लगाएँ और रोटी को दोनों तरफ़ से सुनहरा होने तक पकाएँ। बचे हुए आटे के लिए भी यही प्रक्रिया दोहराएँ। इसे रायता या करी के साथ गरमागरम परोसें या दही की एक कटोरी के साथ परोसें। इस कद्दू पालक रोटी को तैयार करें और इसे मकई और प्याज रायता और धनिया पुदीना चटनी के साथ अपने रात के खाने/नाश्ते में परोसें।</v>
      </c>
      <c r="J6" s="3" t="s">
        <v>31022</v>
      </c>
      <c r="L6" s="1" t="s">
        <v>31003</v>
      </c>
    </row>
    <row r="7" spans="1:12" ht="13.8">
      <c r="A7" s="1" t="s">
        <v>31023</v>
      </c>
      <c r="B7" s="1" t="str">
        <f ca="1">IFERROR(__xludf.dummyfunction("IF(A7="""", """", GOOGLETRANSLATE(A7, ""en"", ""hi""))"),"शाकाहारी छोले आमलेट रेसिपी (मसालेदार छोले के आटे के पैनकेक)")</f>
        <v>शाकाहारी छोले आमलेट रेसिपी (मसालेदार छोले के आटे के पैनकेक)</v>
      </c>
      <c r="C7" s="1" t="s">
        <v>16424</v>
      </c>
      <c r="D7" s="1" t="s">
        <v>14237</v>
      </c>
      <c r="E7" s="1">
        <v>50</v>
      </c>
      <c r="F7" s="1" t="s">
        <v>31024</v>
      </c>
      <c r="G7" s="1" t="s">
        <v>31025</v>
      </c>
      <c r="H7" s="1" t="s">
        <v>31026</v>
      </c>
      <c r="I7" s="1" t="str">
        <f ca="1">IFERROR(__xludf.dummyfunction("IF(H7="""", """", GOOGLETRANSLATE(H7, ""en"", ""hi""))"),"शाकाहारी छोले आमलेट रेसिपी बनाने के लिए, सबसे पहले एक नॉन-स्टिक तवा आंच पर रखें। आंच को कम कर दें ताकि बैटर तैयार करते समय यह धीरे-धीरे गर्म हो सके। बैटर बनाने के लिए, बेसन को एक मिक्सिंग बाउल में छान लें ताकि सभी गांठें निकल जाएँ। इसमें अदरक-लहसुन का पेस"&amp;"्ट, अजवाइन, हींग, हल्दी पाउडर, बेकिंग सोडा, प्याज़, टमाटर, हरी मिर्च, धनिया पत्ती और नमक डालें। अच्छी तरह मिलाएँ। इसके बाद, नारियल का दूध (या सोया या बादाम का दूध) मिलाएँ, अगर इस्तेमाल कर रहे हैं, और चिकना बैटर बनाने के लिए मिलाएँ। वैकल्पिक रूप से, इतना प"&amp;"ानी डालें कि बैटर चिकना और फैलने लायक हो, लेकिन बहुत ज़्यादा पानीदार/पतला न हो। जब तवा पर्याप्त गर्म हो जाए, तो उस पर एक करछुल भर बैटर डालें और एक गोल पैनकेक में समान रूप से फैलाएँ। ऑमलेट के किनारों पर तेल छिड़कें और मध्यम आँच पर 2-3 मिनट तक पकाएँ, जब तक "&amp;"कि नीचे का भाग सुनहरा भूरा न हो जाए। इसे एक स्पैटुला से धीरे से उठाएं और देखें कि यह निकल रहा है या नहीं और क्या नीचे का हिस्सा पक गया है। जब यह सुनहरा दिखाई दे, तो ऑमलेट को पलट दें और दूसरी तरफ 1-2 मिनट तक पकाएं। मूंगफली गाजर की चटनी के साथ गरमागरम परोसे"&amp;"ं।")</f>
        <v>शाकाहारी छोले आमलेट रेसिपी बनाने के लिए, सबसे पहले एक नॉन-स्टिक तवा आंच पर रखें। आंच को कम कर दें ताकि बैटर तैयार करते समय यह धीरे-धीरे गर्म हो सके। बैटर बनाने के लिए, बेसन को एक मिक्सिंग बाउल में छान लें ताकि सभी गांठें निकल जाएँ। इसमें अदरक-लहसुन का पेस्ट, अजवाइन, हींग, हल्दी पाउडर, बेकिंग सोडा, प्याज़, टमाटर, हरी मिर्च, धनिया पत्ती और नमक डालें। अच्छी तरह मिलाएँ। इसके बाद, नारियल का दूध (या सोया या बादाम का दूध) मिलाएँ, अगर इस्तेमाल कर रहे हैं, और चिकना बैटर बनाने के लिए मिलाएँ। वैकल्पिक रूप से, इतना पानी डालें कि बैटर चिकना और फैलने लायक हो, लेकिन बहुत ज़्यादा पानीदार/पतला न हो। जब तवा पर्याप्त गर्म हो जाए, तो उस पर एक करछुल भर बैटर डालें और एक गोल पैनकेक में समान रूप से फैलाएँ। ऑमलेट के किनारों पर तेल छिड़कें और मध्यम आँच पर 2-3 मिनट तक पकाएँ, जब तक कि नीचे का भाग सुनहरा भूरा न हो जाए। इसे एक स्पैटुला से धीरे से उठाएं और देखें कि यह निकल रहा है या नहीं और क्या नीचे का हिस्सा पक गया है। जब यह सुनहरा दिखाई दे, तो ऑमलेट को पलट दें और दूसरी तरफ 1-2 मिनट तक पकाएं। मूंगफली गाजर की चटनी के साथ गरमागरम परोसें।</v>
      </c>
      <c r="J7" s="3" t="s">
        <v>31027</v>
      </c>
      <c r="L7" s="1" t="s">
        <v>31003</v>
      </c>
    </row>
    <row r="8" spans="1:12" ht="409.6">
      <c r="A8" s="1" t="s">
        <v>31028</v>
      </c>
      <c r="B8" s="1" t="str">
        <f ca="1">IFERROR(__xludf.dummyfunction("IF(A8="""", """", GOOGLETRANSLATE(A8, ""en"", ""hi""))"),"मटर पनीर कचौरी कोरमा रेसिपी - हरी मटर और पनीर कचौरी करी")</f>
        <v>मटर पनीर कचौरी कोरमा रेसिपी - हरी मटर और पनीर कचौरी करी</v>
      </c>
      <c r="C8" s="1" t="s">
        <v>145</v>
      </c>
      <c r="D8" s="1" t="s">
        <v>14198</v>
      </c>
      <c r="E8" s="1">
        <v>80</v>
      </c>
      <c r="F8" s="1" t="s">
        <v>31029</v>
      </c>
      <c r="G8" s="1" t="s">
        <v>31030</v>
      </c>
      <c r="H8" s="1" t="s">
        <v>31031</v>
      </c>
      <c r="I8" s="4" t="str">
        <f ca="1">IFERROR(__xludf.dummyfunction("IF(H8="""", """", GOOGLETRANSLATE(H8, ""en"", ""hi""))"),"मटर पनीर कचौरी कोरमा रेसिपी बनाने के लिए सबसे पहले हम कचौरी के लिए आटा गूंथेंगे। कचौरी के लिए आटा एक बाउल में मैदा, नमक, अजवाइन, तेल डालकर तब तक मिलाएँ जब तक यह भुरभुरा न हो जाए। फिर इसमें धीरे-धीरे ठंडा पानी डालें। आटा कड़ा होना चाहिए और इसे ज्यादा देर त"&amp;"क नहीं गूंथना चाहिए। आटा गूंथने के बाद इसे 15 से 20 मिनट के लिए रख दें। अगला कदम कचौरी के लिए भरावन तैयार करना है। एक भारी तले की कड़ाही में तेल गर्म करें, उसमें हरी मटर, नमक और सभी सूखे मसाले जैसे हल्दी पाउडर, लाल मिर्च पाउडर, धनिया पाउडर, अमचूर पाउडर, न"&amp;"मक और काली मिर्च डालें। इसे लगभग 4 से 5 मिनट तक पकने दें और बीच-बीच में मटर को हल्का मैश करते रहें। 4 मिनट बाद इसमें टुकड़े किया हुआ पनीर डालें और अच्छी तरह मिलाएँ 2.5"" व्यास का ढक्कन या कुकी कटर लें और गोल काट लें। अब बीच में एक छोटा चम्मच पनीर और मटर क"&amp;"ा मिश्रण डालें और किनारों पर पानी का उपयोग करके उन्हें सील कर दें। उन्हें चपटा करने के लिए थोड़ा थपथपाएं और एक तरफ रख दें। कचौड़ी बनाने के लिए एक फ्राइंग पैन में आवश्यक तेल गर्म करें। जब तेल गर्म हो जाए तो कचौड़ी डालें और उन्हें 5 से 6 मिनट तक सुनहरा भूरा"&amp;" होने तक और दोनों तरफ से कुरकुरा होने तक तलें। एक बार हो जाने पर, उन्हें अतिरिक्त तेल को सोखने के लिए एक कागज के तौलिये पर निकाल लें और एक तरफ रख दें। *व्यंजन के लिए ग्रेवी / कोरमा हम सबसे पहले प्याज का पेस्ट, टमाटर का पेस्ट और काजू का पेस्ट अलग-अलग मिक्स"&amp;"र में बना लेंगे। एक तरफ रख दें। एक चौड़े तले वाले पैन में तेल डालें, इसे गर्म होने दें प्याज की कच्ची महक जाने तक कुछ मिनट तक पकाएं। टमाटर प्यूरी डालें और तब तक पकाएं जब तक टमाटर अच्छी तरह ग्रेवी में मिल न जाए। इसके बाद काजू का पेस्ट टमाटर प्याज के मिश्रण"&amp;" में डालें और अच्छी तरह मिलाएँ जब तक एक समान मिश्रण न मिल जाए। आँच को कम कर दें, पीटा हुआ दही डालें और इसे 2 मिनट तक पकने दें। इसके बाद ग्रेवी की स्थिरता के अनुसार 1/2 कप पानी या उससे अधिक डालें। अंत में गरम मसाला पाउडर, चीनी, स्वादानुसार नमक डालें और धीम"&amp;"ी आँच पर 5 मिनट तक पकने दें। हो जाने के बाद, ग्रेवी में मिनी कचौरी डालें और कटी धनिया पत्ती से गार्निश करें। मटर पनीर कचौरी कोरमा को बूंदी रायता और फुल्का के साथ सप्ताह के दिनों के भोजन के लिए परोसें। मटर पनीर कचौरी कोरमा को दाल मखनी, पालक रायता, फुल्का, "&amp;"जीरा राइस और कचुम्बर सलाद के साथ भोजन में परोसें, जब आपके घर रात के खाने के लिए मेहमान आ रहे हों या आप घर पर पार्टी का आयोजन कर रहे हों।
")</f>
        <v xml:space="preserve">मटर पनीर कचौरी कोरमा रेसिपी बनाने के लिए सबसे पहले हम कचौरी के लिए आटा गूंथेंगे। कचौरी के लिए आटा एक बाउल में मैदा, नमक, अजवाइन, तेल डालकर तब तक मिलाएँ जब तक यह भुरभुरा न हो जाए। फिर इसमें धीरे-धीरे ठंडा पानी डालें। आटा कड़ा होना चाहिए और इसे ज्यादा देर तक नहीं गूंथना चाहिए। आटा गूंथने के बाद इसे 15 से 20 मिनट के लिए रख दें। अगला कदम कचौरी के लिए भरावन तैयार करना है। एक भारी तले की कड़ाही में तेल गर्म करें, उसमें हरी मटर, नमक और सभी सूखे मसाले जैसे हल्दी पाउडर, लाल मिर्च पाउडर, धनिया पाउडर, अमचूर पाउडर, नमक और काली मिर्च डालें। इसे लगभग 4 से 5 मिनट तक पकने दें और बीच-बीच में मटर को हल्का मैश करते रहें। 4 मिनट बाद इसमें टुकड़े किया हुआ पनीर डालें और अच्छी तरह मिलाएँ 2.5" व्यास का ढक्कन या कुकी कटर लें और गोल काट लें। अब बीच में एक छोटा चम्मच पनीर और मटर का मिश्रण डालें और किनारों पर पानी का उपयोग करके उन्हें सील कर दें। उन्हें चपटा करने के लिए थोड़ा थपथपाएं और एक तरफ रख दें। कचौड़ी बनाने के लिए एक फ्राइंग पैन में आवश्यक तेल गर्म करें। जब तेल गर्म हो जाए तो कचौड़ी डालें और उन्हें 5 से 6 मिनट तक सुनहरा भूरा होने तक और दोनों तरफ से कुरकुरा होने तक तलें। एक बार हो जाने पर, उन्हें अतिरिक्त तेल को सोखने के लिए एक कागज के तौलिये पर निकाल लें और एक तरफ रख दें। *व्यंजन के लिए ग्रेवी / कोरमा हम सबसे पहले प्याज का पेस्ट, टमाटर का पेस्ट और काजू का पेस्ट अलग-अलग मिक्सर में बना लेंगे। एक तरफ रख दें। एक चौड़े तले वाले पैन में तेल डालें, इसे गर्म होने दें प्याज की कच्ची महक जाने तक कुछ मिनट तक पकाएं। टमाटर प्यूरी डालें और तब तक पकाएं जब तक टमाटर अच्छी तरह ग्रेवी में मिल न जाए। इसके बाद काजू का पेस्ट टमाटर प्याज के मिश्रण में डालें और अच्छी तरह मिलाएँ जब तक एक समान मिश्रण न मिल जाए। आँच को कम कर दें, पीटा हुआ दही डालें और इसे 2 मिनट तक पकने दें। इसके बाद ग्रेवी की स्थिरता के अनुसार 1/2 कप पानी या उससे अधिक डालें। अंत में गरम मसाला पाउडर, चीनी, स्वादानुसार नमक डालें और धीमी आँच पर 5 मिनट तक पकने दें। हो जाने के बाद, ग्रेवी में मिनी कचौरी डालें और कटी धनिया पत्ती से गार्निश करें। मटर पनीर कचौरी कोरमा को बूंदी रायता और फुल्का के साथ सप्ताह के दिनों के भोजन के लिए परोसें। मटर पनीर कचौरी कोरमा को दाल मखनी, पालक रायता, फुल्का, जीरा राइस और कचुम्बर सलाद के साथ भोजन में परोसें, जब आपके घर रात के खाने के लिए मेहमान आ रहे हों या आप घर पर पार्टी का आयोजन कर रहे हों।
</v>
      </c>
      <c r="J8" s="3" t="s">
        <v>31032</v>
      </c>
      <c r="L8" s="1" t="s">
        <v>31003</v>
      </c>
    </row>
    <row r="9" spans="1:12" ht="13.8">
      <c r="A9" s="1" t="s">
        <v>31033</v>
      </c>
      <c r="B9" s="1" t="str">
        <f ca="1">IFERROR(__xludf.dummyfunction("IF(A9="""", """", GOOGLETRANSLATE(A9, ""en"", ""hi""))"),"माखन रेसिपी (घर का बना मक्खन)")</f>
        <v>माखन रेसिपी (घर का बना मक्खन)</v>
      </c>
      <c r="C9" s="1" t="s">
        <v>14207</v>
      </c>
      <c r="D9" s="1" t="s">
        <v>14198</v>
      </c>
      <c r="E9" s="1">
        <v>10</v>
      </c>
      <c r="F9" s="1" t="s">
        <v>31034</v>
      </c>
      <c r="G9" s="1" t="str">
        <f ca="1">IFERROR(__xludf.dummyfunction("IF(F9="""", """", GOOGLETRANSLATE(F9, ""en"", ""hi""))"),"2 कप ताज़ा क्रीम, 1 कप पानी")</f>
        <v>2 कप ताज़ा क्रीम, 1 कप पानी</v>
      </c>
      <c r="H9" s="1" t="s">
        <v>31035</v>
      </c>
      <c r="I9" s="1" t="str">
        <f ca="1">IFERROR(__xludf.dummyfunction("IF(H9="""", """", GOOGLETRANSLATE(H9, ""en"", ""hi""))"),"मक्खन बनाने की विधि शुरू करने के लिए, दूध से गाढ़ी मलाई निकाल लें। एक मिक्सिंग जार लें और उसमें मलाई डालें। अब पानी डालें। ढक्कन बंद करें और मिक्सर चालू करें। शुरू में मलाई चिकनी होने लगेगी और हमें चिकनी व्हीप्ड क्रीम मिलेगी। इसे तब तक मिक्सर में मिलाते र"&amp;"हें जब तक कि हम छाछ और मक्खन को अलग होते न देखें। अब छाछ में मक्खन के टुकड़े तैरते हुए दिखाई देंगे। एक चम्मच या स्पैटुला की मदद से सफेद मक्खन को एक एयर-टाइट कंटेनर में इकट्ठा करें या रेफ्रिजरेटर में भी स्टोर कर सकते हैं। घर का बना सफेद मक्खन अब तैयार है। "&amp;"मक्खन को आलू पराठा, मूली पराठा या अपनी पसंद के किसी भी पराठे पर परोसें।")</f>
        <v>मक्खन बनाने की विधि शुरू करने के लिए, दूध से गाढ़ी मलाई निकाल लें। एक मिक्सिंग जार लें और उसमें मलाई डालें। अब पानी डालें। ढक्कन बंद करें और मिक्सर चालू करें। शुरू में मलाई चिकनी होने लगेगी और हमें चिकनी व्हीप्ड क्रीम मिलेगी। इसे तब तक मिक्सर में मिलाते रहें जब तक कि हम छाछ और मक्खन को अलग होते न देखें। अब छाछ में मक्खन के टुकड़े तैरते हुए दिखाई देंगे। एक चम्मच या स्पैटुला की मदद से सफेद मक्खन को एक एयर-टाइट कंटेनर में इकट्ठा करें या रेफ्रिजरेटर में भी स्टोर कर सकते हैं। घर का बना सफेद मक्खन अब तैयार है। मक्खन को आलू पराठा, मूली पराठा या अपनी पसंद के किसी भी पराठे पर परोसें।</v>
      </c>
      <c r="J9" s="3" t="s">
        <v>31036</v>
      </c>
      <c r="L9" s="1" t="s">
        <v>31003</v>
      </c>
    </row>
    <row r="10" spans="1:12" ht="13.8">
      <c r="A10" s="1" t="s">
        <v>31037</v>
      </c>
      <c r="B10" s="1" t="str">
        <f ca="1">IFERROR(__xludf.dummyfunction("IF(A10="""", """", GOOGLETRANSLATE(A10, ""en"", ""hi""))"),"पनीर और हरी मटर पराठा रेसिपी")</f>
        <v>पनीर और हरी मटर पराठा रेसिपी</v>
      </c>
      <c r="C10" s="1" t="s">
        <v>16424</v>
      </c>
      <c r="D10" s="1" t="s">
        <v>14237</v>
      </c>
      <c r="E10" s="1">
        <v>65</v>
      </c>
      <c r="F10" s="1" t="s">
        <v>31038</v>
      </c>
      <c r="G10" s="1" t="s">
        <v>31039</v>
      </c>
      <c r="H10" s="1" t="s">
        <v>31040</v>
      </c>
      <c r="I10" s="1" t="str">
        <f ca="1">IFERROR(__xludf.dummyfunction("IF(H10="""", """", GOOGLETRANSLATE(H10, ""en"", ""hi""))"),"पनीर और हरी मटर के पराठे की रेसिपी बनाने के लिए सबसे पहले सारी सामग्री तैयार कर लें। पराठे का आटा गूंथने के लिए: अब एक बाउल में गेहूं का आटा, नमक, तेल डालकर मिला लें। थोड़ा-थोड़ा करके पानी डालते हुए आटा गूंथ लें। ढककर अलग रख दें। मसाला बनाने के लिए: एक पै"&amp;"न में तेल गर्म करें। इसमें जीरा डालकर कुछ सेकेंड तक पकाएं। अब इसमें अदरक, हरी मटर डालकर आधा पकने तक पकाएं। अब इसमें पनीर, लाल मिर्च पाउडर, धनिया पाउडर, अमचूर, नमक डालें। सारी चीजों को अच्छे से मिलाएं और अलग रख दें। इसे ठंडा होने दें। अब आटे का छोटा टुकड़ा"&amp;" लें और इसे गोल आकार में बेल लें। बीच में पनीर मटर मसाला मिश्रण रखकर इसे चारों तरफ से बंद कर दें। अब इसे सूखे आटे से कोट कर लें। इसे फिर से बेल लें। इसे मोटा बेल लें नहीं तो मसाला बाहर आ सकता है पनीर और हरी मटर पराठा रेसिपी को धनिया पुदीना चटनी और तड़का र"&amp;"ायता के साथ शाम के नाश्ते के लिए परोसें।")</f>
        <v>पनीर और हरी मटर के पराठे की रेसिपी बनाने के लिए सबसे पहले सारी सामग्री तैयार कर लें। पराठे का आटा गूंथने के लिए: अब एक बाउल में गेहूं का आटा, नमक, तेल डालकर मिला लें। थोड़ा-थोड़ा करके पानी डालते हुए आटा गूंथ लें। ढककर अलग रख दें। मसाला बनाने के लिए: एक पैन में तेल गर्म करें। इसमें जीरा डालकर कुछ सेकेंड तक पकाएं। अब इसमें अदरक, हरी मटर डालकर आधा पकने तक पकाएं। अब इसमें पनीर, लाल मिर्च पाउडर, धनिया पाउडर, अमचूर, नमक डालें। सारी चीजों को अच्छे से मिलाएं और अलग रख दें। इसे ठंडा होने दें। अब आटे का छोटा टुकड़ा लें और इसे गोल आकार में बेल लें। बीच में पनीर मटर मसाला मिश्रण रखकर इसे चारों तरफ से बंद कर दें। अब इसे सूखे आटे से कोट कर लें। इसे फिर से बेल लें। इसे मोटा बेल लें नहीं तो मसाला बाहर आ सकता है पनीर और हरी मटर पराठा रेसिपी को धनिया पुदीना चटनी और तड़का रायता के साथ शाम के नाश्ते के लिए परोसें।</v>
      </c>
      <c r="J10" s="3" t="s">
        <v>31041</v>
      </c>
      <c r="L10" s="1" t="s">
        <v>31003</v>
      </c>
    </row>
    <row r="11" spans="1:12" ht="13.8">
      <c r="A11" s="1" t="s">
        <v>31042</v>
      </c>
      <c r="B11" s="1" t="str">
        <f ca="1">IFERROR(__xludf.dummyfunction("IF(A11="""", """", GOOGLETRANSLATE(A11, ""en"", ""hi""))"),"मुर्ग मलाईवाला रेसिपी - रिच क्रीमी ग्रेवी में चिकन")</f>
        <v>मुर्ग मलाईवाला रेसिपी - रिच क्रीमी ग्रेवी में चिकन</v>
      </c>
      <c r="C11" s="1" t="s">
        <v>145</v>
      </c>
      <c r="D11" s="1" t="s">
        <v>14382</v>
      </c>
      <c r="E11" s="1">
        <v>180</v>
      </c>
      <c r="F11" s="1" t="s">
        <v>31043</v>
      </c>
      <c r="G11" s="1" t="str">
        <f ca="1">IFERROR(__xludf.dummyfunction("IF(F11="""", """", GOOGLETRANSLATE(F11, ""en"", ""hi""))"),"500 ग्राम चिकन - टुकड़ों में कटा हुआ, 2 चम्मच अदरक - पेस्ट, 1 चम्मच लहसुन - पेस्ट, 2 बड़े चम्मच ताजा क्रीम, 1 बड़ा चम्मच बादाम - पेस्ट, 1/2 चम्मच नींबू का रस, 1/4 चम्मच काली मिर्च पाउडर, नमक - स्वादानुसार, 1 प्याज - कटा हुआ, 1/2 कप ताजा क्रीम, 1 कप दूध, 2"&amp;" इलायची पाउडर (इलायची), 1 इंच दालचीनी, 2 तेज पत्ता, 2 चम्मच कसूरी मेथी (सूखी मेथी के पत्ते), 4 चम्मच घी")</f>
        <v>500 ग्राम चिकन - टुकड़ों में कटा हुआ, 2 चम्मच अदरक - पेस्ट, 1 चम्मच लहसुन - पेस्ट, 2 बड़े चम्मच ताजा क्रीम, 1 बड़ा चम्मच बादाम - पेस्ट, 1/2 चम्मच नींबू का रस, 1/4 चम्मच काली मिर्च पाउडर, नमक - स्वादानुसार, 1 प्याज - कटा हुआ, 1/2 कप ताजा क्रीम, 1 कप दूध, 2 इलायची पाउडर (इलायची), 1 इंच दालचीनी, 2 तेज पत्ता, 2 चम्मच कसूरी मेथी (सूखी मेथी के पत्ते), 4 चम्मच घी</v>
      </c>
      <c r="H11" s="1" t="s">
        <v>31044</v>
      </c>
      <c r="I11" s="1" t="str">
        <f ca="1">IFERROR(__xludf.dummyfunction("IF(H11="""", """", GOOGLETRANSLATE(H11, ""en"", ""hi""))"),"मुर्ग मलाईवाला रेसिपी बनाने के लिए सबसे पहले चिकन के टुकड़ों को साफ कर धो लें और सुखा लें। एक छोटे कटोरे में कसूरी मेथी के पत्तों को 1/4 कप पानी में भिगो दें। एक बड़ा कटोरा लें और उसमें चिकन, नमक, काली मिर्च डालकर अच्छी तरह मिला लें। इसे लगभग 2 घंटे या उस"&amp;"से अधिक समय के लिए फ्रिज में रख दें। 2 घंटे के बाद, चिकन में लहसुन, अदरक, नींबू का रस, बादाम का पेस्ट और 2 बड़े चम्मच क्रीम डालकर 20 मिनट के लिए रख दें। एक भारी तले की कड़ाही में घी गर्म करें। पैन में इलायची पाउडर और प्याज़ डालें और तब तक पकाएँ जब तक प्या"&amp;"ज़ नरम और पारदर्शी न हो जाए। इसके बाद, मैरीनेट किए हुए चिकन के टुकड़े डालें और 10 मिनट तक पकने दें। 10 मिनट के बाद, क्रीम, दालचीनी स्टिक के साथ दूध और तेज पत्ता डालें इसे लगभग एक या दो मिनट तक पकने दें। गैस बंद कर दें, पैन को ढक दें और परोसने से पहले इसे "&amp;"10 मिनट तक बैठने दें। मुर्ग मलाईवाला को बुरानी रायता, लहसुन नान और जीरा राइस के साथ अपने परिवार के साथ सप्ताहांत के भोजन के लिए परोसें।")</f>
        <v>मुर्ग मलाईवाला रेसिपी बनाने के लिए सबसे पहले चिकन के टुकड़ों को साफ कर धो लें और सुखा लें। एक छोटे कटोरे में कसूरी मेथी के पत्तों को 1/4 कप पानी में भिगो दें। एक बड़ा कटोरा लें और उसमें चिकन, नमक, काली मिर्च डालकर अच्छी तरह मिला लें। इसे लगभग 2 घंटे या उससे अधिक समय के लिए फ्रिज में रख दें। 2 घंटे के बाद, चिकन में लहसुन, अदरक, नींबू का रस, बादाम का पेस्ट और 2 बड़े चम्मच क्रीम डालकर 20 मिनट के लिए रख दें। एक भारी तले की कड़ाही में घी गर्म करें। पैन में इलायची पाउडर और प्याज़ डालें और तब तक पकाएँ जब तक प्याज़ नरम और पारदर्शी न हो जाए। इसके बाद, मैरीनेट किए हुए चिकन के टुकड़े डालें और 10 मिनट तक पकने दें। 10 मिनट के बाद, क्रीम, दालचीनी स्टिक के साथ दूध और तेज पत्ता डालें इसे लगभग एक या दो मिनट तक पकने दें। गैस बंद कर दें, पैन को ढक दें और परोसने से पहले इसे 10 मिनट तक बैठने दें। मुर्ग मलाईवाला को बुरानी रायता, लहसुन नान और जीरा राइस के साथ अपने परिवार के साथ सप्ताहांत के भोजन के लिए परोसें।</v>
      </c>
      <c r="J11" s="3" t="s">
        <v>31045</v>
      </c>
      <c r="L11" s="1" t="s">
        <v>31003</v>
      </c>
    </row>
    <row r="12" spans="1:12" ht="13.8">
      <c r="A12" s="1" t="s">
        <v>31046</v>
      </c>
      <c r="B12" s="1" t="str">
        <f ca="1">IFERROR(__xludf.dummyfunction("IF(A12="""", """", GOOGLETRANSLATE(A12, ""en"", ""hi""))"),"लेयर्ड पनीर बटर मसाला बिरयानी रेसिपी")</f>
        <v>लेयर्ड पनीर बटर मसाला बिरयानी रेसिपी</v>
      </c>
      <c r="C12" s="1" t="s">
        <v>14259</v>
      </c>
      <c r="D12" s="1" t="s">
        <v>14198</v>
      </c>
      <c r="E12" s="1">
        <v>45</v>
      </c>
      <c r="F12" s="1" t="s">
        <v>31047</v>
      </c>
      <c r="G12" s="1" t="str">
        <f ca="1">IFERROR(__xludf.dummyfunction("IF(F12="""", """", GOOGLETRANSLATE(F12, ""en"", ""hi""))"),"1 कप चावल, 2 कप पानी, 1 छोटा चम्मच घी, 1 इलायची, 2 लौंग, 1 चक्रफूल, 1/2 इंच दालचीनी, 2 साबुत काली मिर्च, नमक - स्वादानुसार, 1 तेज पत्ता, 1/4 कप प्याज - भूना हुआ, 1 टहनी धनिया पत्ती, 1 टहनी पुदीना, 200 ग्राम पनीर - 1/2 इंच के टुकड़ों में कटा हुआ, 2 टमाटर, "&amp;"2 बड़े चम्मच क्रीम, 1 प्याज - कटा हुआ, 1 इंच अदरक, 3 लहसुन के टुकड़े, 1 हरी मिर्च, 1 छोटा चम्मच इलायची पाउडर, 1/2 छोटा चम्मच जीरा पाउडर, 1/2 छोटा चम्मच गरम मसाला पाउडर, 1/2 छोटा चम्मच लाल मिर्च पाउडर, 1 छोटा चम्मच कसूरी मेथी, 1 छोटा चम्मच शहद, नमक - स्वाद"&amp;"ानुसार, तेल - उपयोगानुसार, 1 बड़ा चम्मच काजू - सजाने के लिए")</f>
        <v>1 कप चावल, 2 कप पानी, 1 छोटा चम्मच घी, 1 इलायची, 2 लौंग, 1 चक्रफूल, 1/2 इंच दालचीनी, 2 साबुत काली मिर्च, नमक - स्वादानुसार, 1 तेज पत्ता, 1/4 कप प्याज - भूना हुआ, 1 टहनी धनिया पत्ती, 1 टहनी पुदीना, 200 ग्राम पनीर - 1/2 इंच के टुकड़ों में कटा हुआ, 2 टमाटर, 2 बड़े चम्मच क्रीम, 1 प्याज - कटा हुआ, 1 इंच अदरक, 3 लहसुन के टुकड़े, 1 हरी मिर्च, 1 छोटा चम्मच इलायची पाउडर, 1/2 छोटा चम्मच जीरा पाउडर, 1/2 छोटा चम्मच गरम मसाला पाउडर, 1/2 छोटा चम्मच लाल मिर्च पाउडर, 1 छोटा चम्मच कसूरी मेथी, 1 छोटा चम्मच शहद, नमक - स्वादानुसार, तेल - उपयोगानुसार, 1 बड़ा चम्मच काजू - सजाने के लिए</v>
      </c>
      <c r="H12" s="1" t="s">
        <v>31048</v>
      </c>
      <c r="I12" s="1" t="str">
        <f ca="1">IFERROR(__xludf.dummyfunction("IF(H12="""", """", GOOGLETRANSLATE(H12, ""en"", ""hi""))"),"पनीर बटर मसाला बिरयानी रेसिपी बनाने के लिए सबसे पहले चावल को धोकर 30 मिनट के लिए भिगो दें। बिरयानी के लिए चावल तैयार करने के लिए प्रेशर कुकर में घी गर्म करें। इसमें इलायची, लौंग, चक्र फूल, दालचीनी, साबुत काली मिर्च, तेजपत्ता डालकर 1 मिनट तक पकाएं। अब चावल"&amp;", नमक, 2 कप पानी डालकर कुकर बंद कर दें। 2 सीटी आने तक पकाएं और गैस बंद कर दें। प्रेशर अपने आप निकलने दें। कुकर खोलें और चावल को एक प्लेट में निकाल कर फैला दें ताकि वह थोड़ा ठंडा हो जाए। अब इसमें तले हुए प्याज, धनिया पत्ती, पुदीने की पत्ती डालें और अच्छे स"&amp;"े मिला लें। इसे एक तरफ रख दें। बिरयानी के लिए पनीर बटर मसाला बनाने के लिए एक पैन में तेल गर्म करें। इसमें जीरा, इलायची, हरी मिर्च, अदरक, लहसुन, प्याज डालें और प्याज के भूरा होने तक पकाएं 1 मिनट बाद इसमें जीरा पाउडर, गरम मसाला पाउडर, लाल मिर्च पाउडर, शहद, "&amp;"कसूरी मेथी डालकर धीमी आंच पर पकने दें। ग्रेवी में उबाल आने के बाद इसमें पनीर, क्रीम डालकर अच्छे से मिला लें। 1 मिनट बाद गैस बंद कर दें। बिरयानी बनाने के लिए एक बड़े बाउल में मक्खन लगाकर चिकना कर लें। इसमें तले हुए प्याज, पुदीना और धनिया पत्ती डालें। इस पर"&amp;" चावल की एक परत बना लें। इसे अच्छे से दबा दें। अब इस पर पनीर बटर मसाला डालें। इन परतों को फिर से रखें और सबसे ऊपर चावल रखें। अब इस पर एक प्लेट रखें और इसे उल्टा कर दें। सर्व करें। पनीर बटर मसाला बिरयानी रेसिपी को बूंदी रायता और पापड़ के साथ लंच में सर्व क"&amp;"रें।")</f>
        <v>पनीर बटर मसाला बिरयानी रेसिपी बनाने के लिए सबसे पहले चावल को धोकर 30 मिनट के लिए भिगो दें। बिरयानी के लिए चावल तैयार करने के लिए प्रेशर कुकर में घी गर्म करें। इसमें इलायची, लौंग, चक्र फूल, दालचीनी, साबुत काली मिर्च, तेजपत्ता डालकर 1 मिनट तक पकाएं। अब चावल, नमक, 2 कप पानी डालकर कुकर बंद कर दें। 2 सीटी आने तक पकाएं और गैस बंद कर दें। प्रेशर अपने आप निकलने दें। कुकर खोलें और चावल को एक प्लेट में निकाल कर फैला दें ताकि वह थोड़ा ठंडा हो जाए। अब इसमें तले हुए प्याज, धनिया पत्ती, पुदीने की पत्ती डालें और अच्छे से मिला लें। इसे एक तरफ रख दें। बिरयानी के लिए पनीर बटर मसाला बनाने के लिए एक पैन में तेल गर्म करें। इसमें जीरा, इलायची, हरी मिर्च, अदरक, लहसुन, प्याज डालें और प्याज के भूरा होने तक पकाएं 1 मिनट बाद इसमें जीरा पाउडर, गरम मसाला पाउडर, लाल मिर्च पाउडर, शहद, कसूरी मेथी डालकर धीमी आंच पर पकने दें। ग्रेवी में उबाल आने के बाद इसमें पनीर, क्रीम डालकर अच्छे से मिला लें। 1 मिनट बाद गैस बंद कर दें। बिरयानी बनाने के लिए एक बड़े बाउल में मक्खन लगाकर चिकना कर लें। इसमें तले हुए प्याज, पुदीना और धनिया पत्ती डालें। इस पर चावल की एक परत बना लें। इसे अच्छे से दबा दें। अब इस पर पनीर बटर मसाला डालें। इन परतों को फिर से रखें और सबसे ऊपर चावल रखें। अब इस पर एक प्लेट रखें और इसे उल्टा कर दें। सर्व करें। पनीर बटर मसाला बिरयानी रेसिपी को बूंदी रायता और पापड़ के साथ लंच में सर्व करें।</v>
      </c>
      <c r="J12" s="3" t="s">
        <v>31049</v>
      </c>
      <c r="L12" s="1" t="s">
        <v>31003</v>
      </c>
    </row>
    <row r="13" spans="1:12" ht="13.8">
      <c r="A13" s="1" t="s">
        <v>31050</v>
      </c>
      <c r="B13" s="1" t="str">
        <f ca="1">IFERROR(__xludf.dummyfunction("IF(A13="""", """", GOOGLETRANSLATE(A13, ""en"", ""hi""))"),"गोंद के लड्डू रेसिपी - खाने योग्य गोंद के लड्डू")</f>
        <v>गोंद के लड्डू रेसिपी - खाने योग्य गोंद के लड्डू</v>
      </c>
      <c r="C13" s="1" t="s">
        <v>8417</v>
      </c>
      <c r="D13" s="1" t="s">
        <v>14198</v>
      </c>
      <c r="E13" s="1">
        <v>75</v>
      </c>
      <c r="F13" s="1" t="s">
        <v>31051</v>
      </c>
      <c r="G13" s="1" t="str">
        <f ca="1">IFERROR(__xludf.dummyfunction("IF(F13="""", """", GOOGLETRANSLATE(F13, ""en"", ""hi""))"),"150 ग्राम गोंद, 350 ग्राम घी, 400 ग्राम गेहूं का आटा, 400 ग्राम चीनी - पीसी हुई, 50 ग्राम सूखा नारियल (कोपरा), 50 ग्राम बादाम - कटे हुए, 50 ग्राम काजू - कटे हुए")</f>
        <v>150 ग्राम गोंद, 350 ग्राम घी, 400 ग्राम गेहूं का आटा, 400 ग्राम चीनी - पीसी हुई, 50 ग्राम सूखा नारियल (कोपरा), 50 ग्राम बादाम - कटे हुए, 50 ग्राम काजू - कटे हुए</v>
      </c>
      <c r="H13" s="1" t="s">
        <v>31052</v>
      </c>
      <c r="I13" s="1" t="str">
        <f ca="1">IFERROR(__xludf.dummyfunction("IF(H13="""", """", GOOGLETRANSLATE(H13, ""en"", ""hi""))"),"गोंद के लड्डू बनाने के लिए एक बड़े और भारी तले वाले पैन में 350 मिली घी डालकर धीमी आंच पर पिघलाएं। जब घी गर्म होकर पिघल जाए तो इसमें थोड़ा-थोड़ा करके गोंद डालें और धीमी आंच पर तब तक भूनें जब तक कि गोंद पॉपकॉर्न की तरह फूलकर कुरकुरी न हो जाए। ध्यान रहे कि "&amp;"गोंद अंदर और बाहर से पूरी तरह पक जाए। बाकी गोंद के साथ भी यही प्रक्रिया दोहराएं। गोंद के भुन जाने के बाद एक कलछी की मदद से गोंद को घी से निकालें और ठंडा होने के लिए अलग रख दें। उसी पैन में जिसमें घी पिघला हुआ है, गेहूं का आटा डालें और खुशबूदार और भूरा होन"&amp;"े तक भूनें। मिश्रण चूर्ण जैसा होना चाहिए। आंच बंद कर दें। आटे को एक प्लेट में निकाल लें। इसमें पीसी हुई चीनी और सारे ड्राई फ्रूट्स डालकर अच्छी तरह मिला लें अब अपने हाथों में मिश्रण की थोड़ी मात्रा लें और उन्हें गोल आकार दें। छोटा या बड़ा यह पूरी तरह से आप"&amp;" पर निर्भर है। उन्हें कुछ घंटों के लिए अलग रख दें, इससे लड्डू ठीक से जमने में मदद मिलेगी। आप उन्हें एक महीने के लिए एयरटाइट कंटेनर में रख सकते हैं। सर्दियों के दौरान फ्लू और जुकाम से बचने के लिए गोंद के लड्डू को एक स्वस्थ नाश्ते के रूप में परोसें या प्रसव"&amp;" के बाद नई माताओं को तुरंत ऊर्जा प्रदान करने और स्तनपान में सहायता करने के लिए परोसें।")</f>
        <v>गोंद के लड्डू बनाने के लिए एक बड़े और भारी तले वाले पैन में 350 मिली घी डालकर धीमी आंच पर पिघलाएं। जब घी गर्म होकर पिघल जाए तो इसमें थोड़ा-थोड़ा करके गोंद डालें और धीमी आंच पर तब तक भूनें जब तक कि गोंद पॉपकॉर्न की तरह फूलकर कुरकुरी न हो जाए। ध्यान रहे कि गोंद अंदर और बाहर से पूरी तरह पक जाए। बाकी गोंद के साथ भी यही प्रक्रिया दोहराएं। गोंद के भुन जाने के बाद एक कलछी की मदद से गोंद को घी से निकालें और ठंडा होने के लिए अलग रख दें। उसी पैन में जिसमें घी पिघला हुआ है, गेहूं का आटा डालें और खुशबूदार और भूरा होने तक भूनें। मिश्रण चूर्ण जैसा होना चाहिए। आंच बंद कर दें। आटे को एक प्लेट में निकाल लें। इसमें पीसी हुई चीनी और सारे ड्राई फ्रूट्स डालकर अच्छी तरह मिला लें अब अपने हाथों में मिश्रण की थोड़ी मात्रा लें और उन्हें गोल आकार दें। छोटा या बड़ा यह पूरी तरह से आप पर निर्भर है। उन्हें कुछ घंटों के लिए अलग रख दें, इससे लड्डू ठीक से जमने में मदद मिलेगी। आप उन्हें एक महीने के लिए एयरटाइट कंटेनर में रख सकते हैं। सर्दियों के दौरान फ्लू और जुकाम से बचने के लिए गोंद के लड्डू को एक स्वस्थ नाश्ते के रूप में परोसें या प्रसव के बाद नई माताओं को तुरंत ऊर्जा प्रदान करने और स्तनपान में सहायता करने के लिए परोसें।</v>
      </c>
      <c r="J13" s="3" t="s">
        <v>31053</v>
      </c>
      <c r="L13" s="1" t="s">
        <v>31003</v>
      </c>
    </row>
    <row r="14" spans="1:12" ht="13.8">
      <c r="A14" s="1" t="s">
        <v>31054</v>
      </c>
      <c r="B14" s="1" t="str">
        <f ca="1">IFERROR(__xludf.dummyfunction("IF(A14="""", """", GOOGLETRANSLATE(A14, ""en"", ""hi""))"),"मुखड़ी हलवा रेसिपी (सूजी और मैदा का हलवा)")</f>
        <v>मुखड़ी हलवा रेसिपी (सूजी और मैदा का हलवा)</v>
      </c>
      <c r="C14" s="1" t="s">
        <v>8417</v>
      </c>
      <c r="D14" s="1" t="s">
        <v>14198</v>
      </c>
      <c r="E14" s="1">
        <v>40</v>
      </c>
      <c r="F14" s="1" t="s">
        <v>31055</v>
      </c>
      <c r="G14" s="1" t="str">
        <f ca="1">IFERROR(__xludf.dummyfunction("IF(F14="""", """", GOOGLETRANSLATE(F14, ""en"", ""hi""))"),"1 कप सूजी (सूजी / रवा), 3 बड़े चम्मच मैदा, 1 कप दूध - +1/3 कप अतिरिक्त, 1 कप चीनी, 3/4 कप घी")</f>
        <v>1 कप सूजी (सूजी / रवा), 3 बड़े चम्मच मैदा, 1 कप दूध - +1/3 कप अतिरिक्त, 1 कप चीनी, 3/4 कप घी</v>
      </c>
      <c r="H14" s="1" t="s">
        <v>31056</v>
      </c>
      <c r="I14" s="1" t="str">
        <f ca="1">IFERROR(__xludf.dummyfunction("IF(H14="""", """", GOOGLETRANSLATE(H14, ""en"", ""hi""))"),"मुखड़ी हलवा रेसिपी बनाने के लिए सबसे पहले एक कप सूजी में से 3 बड़े चम्मच सूजी निकाल लें और इसकी जगह 3 बड़े चम्मच मैदा डालें। इस मिश्रण को एक कटोरे में डालें और दूध डालें। इन्हें एक साथ फेंटें और एक तरफ रख दें, जब तक आप चीनी को कैरामेलाइज़ करने की तैयारी श"&amp;"ुरू करते हैं। एक भारी तले की कड़ाही गरम करें, उसमें घी डालें और जब यह गर्म होने लगे (धुआं न निकले), तो आँच को मध्यम कर दें। चीनी डालें और एक स्पैटुला का उपयोग करके इसे घी में समतल करें। पांच मिनट के बाद एक स्पैटुला का उपयोग करके चीनी को हिलाएं (स्पैटुला क"&amp;"ा उपयोग यह सुनिश्चित करने में मदद करता है कि कैरमेल इसमें चिपकेगा नहीं)। थोड़ी-थोड़ी देर में तब तक हिलाते रहें जब तक कि चीनी पिघल कर कैरमेलाइज़ न होने लगे। (कैरामेल का रंग गहरा या गहरा नहीं होना चाहिए कड़ाही या वोक को कपड़े या होल्डर (गर्मी से बचने के लिए"&amp;") का उपयोग करके मजबूती से पकड़ें ताकि आप बैटर के साथ अपना काम कर सकें। करछुल (एक बड़ा भारी चम्मच/ कलछुल) का उपयोग करके, ध्यान से लेकिन तेजी से बैटर को कारमेल में मिलाना शुरू करें। बैटर गांठदार लगता है, लेकिन चिंता की कोई बात नहीं है। आंच को मध्यम कर दें औ"&amp;"र चम्मच के पिछले हिस्से का उपयोग करते हुए बैटर को, खासकर सफेद गांठों को तब तक मसलते रहें, जब तक कि पूरा बैटर पूरी तरह से आत्मसात न हो जाए और कारमेल के साथ शामिल न हो जाए और हलवा एक समान दिखने लगे। इस प्रक्रिया में लगभग 3 से 4 मिनट का समय लगेगा। आप यह भी द"&amp;"ेखेंगे कि हलवा तेल छोड़ता है क्योंकि यह समान रूप से मिश्रण के रूप में एक साथ आना शुरू होता है। इस बिंदु पर, एक छोटे कटोरे में अतिरिक्त तेल निकालें और फिर से हलवे को 3 से 4 मिनट तक भूनें। आंच बंद कर दें और हलवे को कड़ाही के एक तरफ किनारे की ओर धकेल हलवा अब"&amp;" परोसने के लिए तैयार है! दाल मखनी, आलू की सब्जी और फुल्का के अपने दैनिक भोजन के बाद मुखड़ी हलवा को मिठाई के रूप में परोसें।")</f>
        <v>मुखड़ी हलवा रेसिपी बनाने के लिए सबसे पहले एक कप सूजी में से 3 बड़े चम्मच सूजी निकाल लें और इसकी जगह 3 बड़े चम्मच मैदा डालें। इस मिश्रण को एक कटोरे में डालें और दूध डालें। इन्हें एक साथ फेंटें और एक तरफ रख दें, जब तक आप चीनी को कैरामेलाइज़ करने की तैयारी शुरू करते हैं। एक भारी तले की कड़ाही गरम करें, उसमें घी डालें और जब यह गर्म होने लगे (धुआं न निकले), तो आँच को मध्यम कर दें। चीनी डालें और एक स्पैटुला का उपयोग करके इसे घी में समतल करें। पांच मिनट के बाद एक स्पैटुला का उपयोग करके चीनी को हिलाएं (स्पैटुला का उपयोग यह सुनिश्चित करने में मदद करता है कि कैरमेल इसमें चिपकेगा नहीं)। थोड़ी-थोड़ी देर में तब तक हिलाते रहें जब तक कि चीनी पिघल कर कैरमेलाइज़ न होने लगे। (कैरामेल का रंग गहरा या गहरा नहीं होना चाहिए कड़ाही या वोक को कपड़े या होल्डर (गर्मी से बचने के लिए) का उपयोग करके मजबूती से पकड़ें ताकि आप बैटर के साथ अपना काम कर सकें। करछुल (एक बड़ा भारी चम्मच/ कलछुल) का उपयोग करके, ध्यान से लेकिन तेजी से बैटर को कारमेल में मिलाना शुरू करें। बैटर गांठदार लगता है, लेकिन चिंता की कोई बात नहीं है। आंच को मध्यम कर दें और चम्मच के पिछले हिस्से का उपयोग करते हुए बैटर को, खासकर सफेद गांठों को तब तक मसलते रहें, जब तक कि पूरा बैटर पूरी तरह से आत्मसात न हो जाए और कारमेल के साथ शामिल न हो जाए और हलवा एक समान दिखने लगे। इस प्रक्रिया में लगभग 3 से 4 मिनट का समय लगेगा। आप यह भी देखेंगे कि हलवा तेल छोड़ता है क्योंकि यह समान रूप से मिश्रण के रूप में एक साथ आना शुरू होता है। इस बिंदु पर, एक छोटे कटोरे में अतिरिक्त तेल निकालें और फिर से हलवे को 3 से 4 मिनट तक भूनें। आंच बंद कर दें और हलवे को कड़ाही के एक तरफ किनारे की ओर धकेल हलवा अब परोसने के लिए तैयार है! दाल मखनी, आलू की सब्जी और फुल्का के अपने दैनिक भोजन के बाद मुखड़ी हलवा को मिठाई के रूप में परोसें।</v>
      </c>
      <c r="J14" s="3" t="s">
        <v>31057</v>
      </c>
      <c r="L14" s="1" t="s">
        <v>31003</v>
      </c>
    </row>
    <row r="15" spans="1:12" ht="13.8">
      <c r="A15" s="1" t="s">
        <v>31058</v>
      </c>
      <c r="B15" s="1" t="str">
        <f ca="1">IFERROR(__xludf.dummyfunction("IF(A15="""", """", GOOGLETRANSLATE(A15, ""en"", ""hi""))"),"उत्तर भारतीय स्टाइल मशरूम मटर मसाला रेसिपी")</f>
        <v>उत्तर भारतीय स्टाइल मशरूम मटर मसाला रेसिपी</v>
      </c>
      <c r="C15" s="1" t="s">
        <v>145</v>
      </c>
      <c r="D15" s="1" t="s">
        <v>14237</v>
      </c>
      <c r="E15" s="1">
        <v>40</v>
      </c>
      <c r="F15" s="1" t="s">
        <v>31059</v>
      </c>
      <c r="G15" s="1" t="str">
        <f ca="1">IFERROR(__xludf.dummyfunction("IF(F15="""", """", GOOGLETRANSLATE(F15, ""en"", ""hi""))"),"1 कप बटन मशरूम - कटा हुआ, 1 कप हरी मटर (मटर) - उबला हुआ, सूरजमुखी तेल - आवश्यकतानुसार, 1/2 चम्मच जीरा (जीरा), 1/2 चम्मच सरसों के बीज, हींग (हिंग) - एक चुटकी, 1 प्याज - कटा हुआ, 1 प्याज - पेस्ट, 1 टमाटर - पेस्ट, 1 बड़ा चम्मच अदरक लहसुन पेस्ट, 1 हरी मिर्च -"&amp;" कटी हुई, 1/2 चम्मच लाल मिर्च पाउडर, 1/2 चम्मच हल्दी पाउडर (हल्दी), 1 चम्मच धनिया पाउडर (धनिया), 1/4 चम्मच गरम मसाला पाउडर, पानी - आवश्यकतानुसार, 2 टहनी धनिया (धनिया) पत्तियां - कटी हुई")</f>
        <v>1 कप बटन मशरूम - कटा हुआ, 1 कप हरी मटर (मटर) - उबला हुआ, सूरजमुखी तेल - आवश्यकतानुसार, 1/2 चम्मच जीरा (जीरा), 1/2 चम्मच सरसों के बीज, हींग (हिंग) - एक चुटकी, 1 प्याज - कटा हुआ, 1 प्याज - पेस्ट, 1 टमाटर - पेस्ट, 1 बड़ा चम्मच अदरक लहसुन पेस्ट, 1 हरी मिर्च - कटी हुई, 1/2 चम्मच लाल मिर्च पाउडर, 1/2 चम्मच हल्दी पाउडर (हल्दी), 1 चम्मच धनिया पाउडर (धनिया), 1/4 चम्मच गरम मसाला पाउडर, पानी - आवश्यकतानुसार, 2 टहनी धनिया (धनिया) पत्तियां - कटी हुई</v>
      </c>
      <c r="H15" s="1" t="s">
        <v>31060</v>
      </c>
      <c r="I15" s="1" t="str">
        <f ca="1">IFERROR(__xludf.dummyfunction("IF(H15="""", """", GOOGLETRANSLATE(H15, ""en"", ""hi""))"),"उत्तर भारतीय स्टाइल मशरूम मटर बनाने के लिए सबसे पहले एक भारी तले की कड़ाही में तेल गर्म करें। उसमें जीरा, राई और हींग डालें। इसे तड़कने दें। इसमें कटे हुए प्याज डालें और इसे लगभग एक या दो मिनट तक पकाएं। इसके बाद अदरक लहसुन का पेस्ट डालें और इसे 3 मिनट तक "&amp;"पकने दें। 3 मिनट के बाद इसमें प्याज का पेस्ट और हरी मिर्च डालें और इसे लगभग 2 मिनट तक पकने दें। 2 मिनट के बाद इसमें टमाटर प्यूरी और लाल मिर्च पाउडर, हल्दी पाउडर, धनिया पाउडर और गरम मसाला पाउडर सहित सभी मसाले डालें। इसे लगभग 5 से 7 मिनट तक पकने दें। इस बीच"&amp;" एक पैन में थोड़ा तेल गर्म करें और मशरूम को लगभग 2 से 3 मिनट तक भूनें और हरी मटर को तब तक उबालें जब तक वे नरम न हो जाएं। इसे 10 मिनट तक और पकने दें। जब यह पक जाए तो इसमें कटा हुआ धनिया पत्ता डालें और गरमागरम परोसें। उत्तर भारतीय स्टाइल मशरूम मटर मसाला को "&amp;"दाल मखनी और पुदीना लहसुन लच्छा पराठा के साथ सप्ताह के दिनों में दोपहर या रात के खाने में परोसें।")</f>
        <v>उत्तर भारतीय स्टाइल मशरूम मटर बनाने के लिए सबसे पहले एक भारी तले की कड़ाही में तेल गर्म करें। उसमें जीरा, राई और हींग डालें। इसे तड़कने दें। इसमें कटे हुए प्याज डालें और इसे लगभग एक या दो मिनट तक पकाएं। इसके बाद अदरक लहसुन का पेस्ट डालें और इसे 3 मिनट तक पकने दें। 3 मिनट के बाद इसमें प्याज का पेस्ट और हरी मिर्च डालें और इसे लगभग 2 मिनट तक पकने दें। 2 मिनट के बाद इसमें टमाटर प्यूरी और लाल मिर्च पाउडर, हल्दी पाउडर, धनिया पाउडर और गरम मसाला पाउडर सहित सभी मसाले डालें। इसे लगभग 5 से 7 मिनट तक पकने दें। इस बीच एक पैन में थोड़ा तेल गर्म करें और मशरूम को लगभग 2 से 3 मिनट तक भूनें और हरी मटर को तब तक उबालें जब तक वे नरम न हो जाएं। इसे 10 मिनट तक और पकने दें। जब यह पक जाए तो इसमें कटा हुआ धनिया पत्ता डालें और गरमागरम परोसें। उत्तर भारतीय स्टाइल मशरूम मटर मसाला को दाल मखनी और पुदीना लहसुन लच्छा पराठा के साथ सप्ताह के दिनों में दोपहर या रात के खाने में परोसें।</v>
      </c>
      <c r="J15" s="3" t="s">
        <v>31061</v>
      </c>
      <c r="L15" s="1" t="s">
        <v>31003</v>
      </c>
    </row>
    <row r="16" spans="1:12" ht="13.8">
      <c r="A16" s="1" t="s">
        <v>31062</v>
      </c>
      <c r="B16" s="1" t="str">
        <f ca="1">IFERROR(__xludf.dummyfunction("IF(A16="""", """", GOOGLETRANSLATE(A16, ""en"", ""hi""))"),"धनिया छोले मसाला रेसिपी - ताजा धनिये की ग्रेवी में छोले")</f>
        <v>धनिया छोले मसाला रेसिपी - ताजा धनिये की ग्रेवी में छोले</v>
      </c>
      <c r="C16" s="1" t="s">
        <v>14259</v>
      </c>
      <c r="D16" s="1" t="s">
        <v>14237</v>
      </c>
      <c r="E16" s="1">
        <v>540</v>
      </c>
      <c r="F16" s="1" t="s">
        <v>31063</v>
      </c>
      <c r="G16" s="1" t="str">
        <f ca="1">IFERROR(__xludf.dummyfunction("IF(F16="""", """", GOOGLETRANSLATE(F16, ""en"", ""hi""))"),"1/2 कप धनिया पत्ती - कटी हुई, 4 हरी मिर्च, 1 इंच अदरक, नमक - स्वादानुसार, 1 नींबू - रस निकाला हुआ, 2 कप काबुली चना - रातभर भिगोया हुआ, 1 बड़ा चम्मच घी, 1 प्याज - बारीक कटा हुआ, 1 इंच अदरक - बारीक कटा हुआ, 3 लहसुन की कलियां - बारीक कटा हुआ, 1 दालचीनी, 1 ते"&amp;"ज पत्ता, 1 बड़ी इलायची, 1 छोटा चम्मच काला नमक, 1/4 छोटा चम्मच गरम मसाला पाउडर, 1 छोटा चम्मच धनिया पाउडर, 1/2 छोटा चम्मच काला नमक, नमक - स्वादानुसार,")</f>
        <v>1/2 कप धनिया पत्ती - कटी हुई, 4 हरी मिर्च, 1 इंच अदरक, नमक - स्वादानुसार, 1 नींबू - रस निकाला हुआ, 2 कप काबुली चना - रातभर भिगोया हुआ, 1 बड़ा चम्मच घी, 1 प्याज - बारीक कटा हुआ, 1 इंच अदरक - बारीक कटा हुआ, 3 लहसुन की कलियां - बारीक कटा हुआ, 1 दालचीनी, 1 तेज पत्ता, 1 बड़ी इलायची, 1 छोटा चम्मच काला नमक, 1/4 छोटा चम्मच गरम मसाला पाउडर, 1 छोटा चम्मच धनिया पाउडर, 1/2 छोटा चम्मच काला नमक, नमक - स्वादानुसार,</v>
      </c>
      <c r="H16" s="1" t="s">
        <v>31064</v>
      </c>
      <c r="I16" s="1" t="str">
        <f ca="1">IFERROR(__xludf.dummyfunction("IF(H16="""", """", GOOGLETRANSLATE(H16, ""en"", ""hi""))"),"धनिया छोले मसाला बनाने के लिए, चना को धोकर रात भर भिगो दें। जिस पानी में छोले भिगोए हैं उसे निकाल दें। छानें हुए चने को 3 कप पानी और नमक के साथ 6 सीटी आने तक प्रेशर कुकर में पकाएं। 6 सीटी आने के बाद आंच धीमी कर दें और 20 मिनट तक पकाते रहें। आंच बंद कर दें"&amp;" और प्रेशर को अपने आप निकलने दें। प्रेशर कुकर खोलने पर चना अच्छे से पक गया है। हो जाने के बाद, जब आप इसे अपनी उंगलियों के बीच दबाएंगे तो यह आसानी से मैश होना चाहिए। अगला कदम धनिया मसाला बनाना है। मिक्सर ग्राइंडर में धनिया, अदरक और हरी मिर्च के साथ थोड़ा न"&amp;"मक और नींबू का रस डालें। 1/4 कप पानी डालें और चटनी जैसा चिकना मिश्रण बनाने के लिए ब्लेंड करें इसमें तेजपत्ता, दालचीनी, बड़ी इलाइची डालें और कुछ सेकंड के लिए भूनें जब तक कि आपको खुशबू न आने लगे। कुछ सेकंड के बाद, गरम मसाला, धनिया पाउडर, काला नमक और धनिया म"&amp;"साला डालें। इसे हिलाएं। पका हुआ चना डालें, इसे हिलाएं। चना मसाला की स्थिरता को समायोजित करने के लिए यदि आवश्यक हो तो पानी डालें। पैन को ढक दें और धनिया छोले मसाले को अच्छे से 10 मिनट तक उबालें। 10 मिनट के बाद, आप देखेंगे कि छोले धनिया मसाले से अच्छे से लि"&amp;"पटे हुए हैं। इस स्तर पर, स्वाद की जांच करें और नमक और मिर्च को तदनुसार समायोजित करें। एक बार हो जाने पर, आँच बंद कर दें और धनिया छोले मसाले को एक सर्विंग बाउल में डालें और गरमागरम परोसें। स्वादिष्ट वीकेंड लंच के लिए धनिया छोले मसाले को पूरी, सफेद ग्रेवी म"&amp;"ें पनीर, लच्छा प्याज़ और छाछ के साथ परोसें।")</f>
        <v>धनिया छोले मसाला बनाने के लिए, चना को धोकर रात भर भिगो दें। जिस पानी में छोले भिगोए हैं उसे निकाल दें। छानें हुए चने को 3 कप पानी और नमक के साथ 6 सीटी आने तक प्रेशर कुकर में पकाएं। 6 सीटी आने के बाद आंच धीमी कर दें और 20 मिनट तक पकाते रहें। आंच बंद कर दें और प्रेशर को अपने आप निकलने दें। प्रेशर कुकर खोलने पर चना अच्छे से पक गया है। हो जाने के बाद, जब आप इसे अपनी उंगलियों के बीच दबाएंगे तो यह आसानी से मैश होना चाहिए। अगला कदम धनिया मसाला बनाना है। मिक्सर ग्राइंडर में धनिया, अदरक और हरी मिर्च के साथ थोड़ा नमक और नींबू का रस डालें। 1/4 कप पानी डालें और चटनी जैसा चिकना मिश्रण बनाने के लिए ब्लेंड करें इसमें तेजपत्ता, दालचीनी, बड़ी इलाइची डालें और कुछ सेकंड के लिए भूनें जब तक कि आपको खुशबू न आने लगे। कुछ सेकंड के बाद, गरम मसाला, धनिया पाउडर, काला नमक और धनिया मसाला डालें। इसे हिलाएं। पका हुआ चना डालें, इसे हिलाएं। चना मसाला की स्थिरता को समायोजित करने के लिए यदि आवश्यक हो तो पानी डालें। पैन को ढक दें और धनिया छोले मसाले को अच्छे से 10 मिनट तक उबालें। 10 मिनट के बाद, आप देखेंगे कि छोले धनिया मसाले से अच्छे से लिपटे हुए हैं। इस स्तर पर, स्वाद की जांच करें और नमक और मिर्च को तदनुसार समायोजित करें। एक बार हो जाने पर, आँच बंद कर दें और धनिया छोले मसाले को एक सर्विंग बाउल में डालें और गरमागरम परोसें। स्वादिष्ट वीकेंड लंच के लिए धनिया छोले मसाले को पूरी, सफेद ग्रेवी में पनीर, लच्छा प्याज़ और छाछ के साथ परोसें।</v>
      </c>
      <c r="J16" s="3" t="s">
        <v>31065</v>
      </c>
      <c r="L16" s="1" t="s">
        <v>31003</v>
      </c>
    </row>
    <row r="17" spans="1:12" ht="13.8">
      <c r="A17" s="1" t="s">
        <v>31066</v>
      </c>
      <c r="B17" s="1" t="str">
        <f ca="1">IFERROR(__xludf.dummyfunction("IF(A17="""", """", GOOGLETRANSLATE(A17, ""en"", ""hi""))"),"दही वाले पनीर रेसिपी - दही वाली ग्रेवी में पनीर")</f>
        <v>दही वाले पनीर रेसिपी - दही वाली ग्रेवी में पनीर</v>
      </c>
      <c r="C17" s="1" t="s">
        <v>145</v>
      </c>
      <c r="D17" s="1" t="s">
        <v>14237</v>
      </c>
      <c r="E17" s="1">
        <v>80</v>
      </c>
      <c r="F17" s="1" t="s">
        <v>31067</v>
      </c>
      <c r="G17" s="1" t="str">
        <f ca="1">IFERROR(__xludf.dummyfunction("IF(F17="""", """", GOOGLETRANSLATE(F17, ""en"", ""hi""))"),"400 ग्राम पनीर, 3 लहसुन के दाने - कटे हुए, 2 इंच अदरक - कटा हुआ, 2 ताजी लाल मिर्च - कटी हुई, 1 छोटा चम्मच लाल शिमला मिर्च - कटी हुई, 1 छोटा चम्मच जीरा पाउडर, 2 छोटे चम्मच धनिया पाउडर, 1 बड़ा चम्मच गरम मसाला पाउडर, 100 ग्राम दही, 1 बड़ा चम्मच मक्खन, 2 प्या"&amp;"ज - कटे हुए, 2 बड़े चम्मच घर का बना टमाटर प्यूरी, 2 बड़े चम्मच साबुत काजू - या बादाम (पेस्ट), 50 ग्राम ताजा क्रीम, 1 बड़ा चम्मच धनिया पत्ती - गार्निश के लिए, 1 बड़ा चम्मच नींबू का रस, 1/4 छोटा चम्मच हल्दी पाउडर, 1 बड़ा चम्मच नींबू का रस, 1/4 छोटा चम्मच हल"&amp;"्दी पाउडर")</f>
        <v>400 ग्राम पनीर, 3 लहसुन के दाने - कटे हुए, 2 इंच अदरक - कटा हुआ, 2 ताजी लाल मिर्च - कटी हुई, 1 छोटा चम्मच लाल शिमला मिर्च - कटी हुई, 1 छोटा चम्मच जीरा पाउडर, 2 छोटे चम्मच धनिया पाउडर, 1 बड़ा चम्मच गरम मसाला पाउडर, 100 ग्राम दही, 1 बड़ा चम्मच मक्खन, 2 प्याज - कटे हुए, 2 बड़े चम्मच घर का बना टमाटर प्यूरी, 2 बड़े चम्मच साबुत काजू - या बादाम (पेस्ट), 50 ग्राम ताजा क्रीम, 1 बड़ा चम्मच धनिया पत्ती - गार्निश के लिए, 1 बड़ा चम्मच नींबू का रस, 1/4 छोटा चम्मच हल्दी पाउडर, 1 बड़ा चम्मच नींबू का रस, 1/4 छोटा चम्मच हल्दी पाउडर</v>
      </c>
      <c r="H17" s="1" t="s">
        <v>31068</v>
      </c>
      <c r="I17" s="1" t="str">
        <f ca="1">IFERROR(__xludf.dummyfunction("IF(H17="""", """", GOOGLETRANSLATE(H17, ""en"", ""hi""))"),"दही वाले पनीर रेसिपी बनाने के लिए सबसे पहले एक ओखल में अदरक, लहसुन और ताजी लाल मिर्च डालें और इसे पीसकर पेस्ट बना लें। एक बाउल में शिमला मिर्च, जीरा पाउडर, धनिया पाउडर, गरम मसाला पाउडर डालें और सभी चीजों को अच्छी तरह मिला लें। इस मिश्रण को आधा कर लें और द"&amp;"ूसरे बाउल में रख लें। उनमें से एक बाउल में दही, नमक, पनीर डालें और सभी चीजों को अच्छी तरह मिला लें। इसे लगभग 1 घंटे के लिए मैरिनेट होने के लिए अलग रख दें। पनीर करी की ग्रेवी बनाने के लिए एक भारी तले वाले पैन में धीमी आंच पर मक्खन गर्म करें। इसमें प्याज़ ड"&amp;"ालें और नरम होने तक भूनें। प्याज़ के नरम हो जाने पर इसमें अदरक लहसुन मिर्च का पेस्ट डालें और इसे लगभग 2 मिनट तक पकाएं। 2 मिनट के बाद इसमें शिमला मिर्च का मिश्रण डालें और इसे तब तक पकने दें जब तक शिमला मिर्च थोड़ी नरम न हो जाए इसे लगभग 3 से 4 मिनट तक पकने "&amp;"दें। 3 से 4 मिनट के बाद, आंच धीमी कर दें और फेंटा हुआ दही डालें। इसे और 5 मिनट तक पकाएँ। इस बीच, पनीर के टुकड़ों को नॉन स्टिक पैन पर आवश्यकतानुसार तेल का उपयोग करके शैलो फ्राई या ग्रिल करें। दोनों तरफ से सुनहरा भूरा होने तक पकाएँ। ताज़ा क्रीम डालें और फिर"&amp;" से मिलाएँ। पनीर के टुकड़े डालें और सब कुछ ठीक से मिलाएँ। लगभग 2 मिनट तक पकाएँ, नींबू का रस डालें और धनिया पत्ती से गार्निश करें। दही वाले पनीर रेसिपी को पालक दाल, टमाटर प्याज खीरा रायता, जीरा राइस, फुल्का और कचुम्बर सलाद के साथ वीकेंड के खाने के लिए परोस"&amp;"ें।")</f>
        <v>दही वाले पनीर रेसिपी बनाने के लिए सबसे पहले एक ओखल में अदरक, लहसुन और ताजी लाल मिर्च डालें और इसे पीसकर पेस्ट बना लें। एक बाउल में शिमला मिर्च, जीरा पाउडर, धनिया पाउडर, गरम मसाला पाउडर डालें और सभी चीजों को अच्छी तरह मिला लें। इस मिश्रण को आधा कर लें और दूसरे बाउल में रख लें। उनमें से एक बाउल में दही, नमक, पनीर डालें और सभी चीजों को अच्छी तरह मिला लें। इसे लगभग 1 घंटे के लिए मैरिनेट होने के लिए अलग रख दें। पनीर करी की ग्रेवी बनाने के लिए एक भारी तले वाले पैन में धीमी आंच पर मक्खन गर्म करें। इसमें प्याज़ डालें और नरम होने तक भूनें। प्याज़ के नरम हो जाने पर इसमें अदरक लहसुन मिर्च का पेस्ट डालें और इसे लगभग 2 मिनट तक पकाएं। 2 मिनट के बाद इसमें शिमला मिर्च का मिश्रण डालें और इसे तब तक पकने दें जब तक शिमला मिर्च थोड़ी नरम न हो जाए इसे लगभग 3 से 4 मिनट तक पकने दें। 3 से 4 मिनट के बाद, आंच धीमी कर दें और फेंटा हुआ दही डालें। इसे और 5 मिनट तक पकाएँ। इस बीच, पनीर के टुकड़ों को नॉन स्टिक पैन पर आवश्यकतानुसार तेल का उपयोग करके शैलो फ्राई या ग्रिल करें। दोनों तरफ से सुनहरा भूरा होने तक पकाएँ। ताज़ा क्रीम डालें और फिर से मिलाएँ। पनीर के टुकड़े डालें और सब कुछ ठीक से मिलाएँ। लगभग 2 मिनट तक पकाएँ, नींबू का रस डालें और धनिया पत्ती से गार्निश करें। दही वाले पनीर रेसिपी को पालक दाल, टमाटर प्याज खीरा रायता, जीरा राइस, फुल्का और कचुम्बर सलाद के साथ वीकेंड के खाने के लिए परोसें।</v>
      </c>
      <c r="J17" s="3" t="s">
        <v>31069</v>
      </c>
      <c r="L17" s="1" t="s">
        <v>31003</v>
      </c>
    </row>
    <row r="18" spans="1:12" ht="13.8">
      <c r="A18" s="1" t="s">
        <v>31070</v>
      </c>
      <c r="B18" s="1" t="str">
        <f ca="1">IFERROR(__xludf.dummyfunction("IF(A18="""", """", GOOGLETRANSLATE(A18, ""en"", ""hi""))"),"नटी आलू पराठा रेसिपी")</f>
        <v>नटी आलू पराठा रेसिपी</v>
      </c>
      <c r="C18" s="1" t="s">
        <v>16424</v>
      </c>
      <c r="D18" s="1" t="s">
        <v>14198</v>
      </c>
      <c r="E18" s="1">
        <v>55</v>
      </c>
      <c r="F18" s="1" t="s">
        <v>31071</v>
      </c>
      <c r="G18" s="1" t="str">
        <f ca="1">IFERROR(__xludf.dummyfunction("IF(F18="""", """", GOOGLETRANSLATE(F18, ""en"", ""hi""))"),"1 कप गेहूं का आटा, 1 कप पालक के पत्ते (पालक) - प्यूरी किए हुए, पानी - आवश्यकतानुसार आटा गूंथने के लिए, 3 आलू - उबले और मसले हुए, 1/2 कप पनीर - टुकड़े/कद्दूकस किया हुआ, 1 बड़ा चम्मच धनिया (धनिया) के पत्ते, 1/2 छोटा चम्मच गरम मसाला पाउडर, नमक - स्वादानुसार,"&amp;" 1/2 छोटा चम्मच जीरा पाउडर (जीरा), 1 छोटा चम्मच लाल मिर्च पाउडर - या 2 कटी हुई हरी मिर्च, 1-1/2 बड़ा चम्मच मिक्स नट्स - कटे हुए, 1 बड़ा चम्मच किशमिश, घी - फैलाने के लिए")</f>
        <v>1 कप गेहूं का आटा, 1 कप पालक के पत्ते (पालक) - प्यूरी किए हुए, पानी - आवश्यकतानुसार आटा गूंथने के लिए, 3 आलू - उबले और मसले हुए, 1/2 कप पनीर - टुकड़े/कद्दूकस किया हुआ, 1 बड़ा चम्मच धनिया (धनिया) के पत्ते, 1/2 छोटा चम्मच गरम मसाला पाउडर, नमक - स्वादानुसार, 1/2 छोटा चम्मच जीरा पाउडर (जीरा), 1 छोटा चम्मच लाल मिर्च पाउडर - या 2 कटी हुई हरी मिर्च, 1-1/2 बड़ा चम्मच मिक्स नट्स - कटे हुए, 1 बड़ा चम्मच किशमिश, घी - फैलाने के लिए</v>
      </c>
      <c r="H18" s="1" t="s">
        <v>31072</v>
      </c>
      <c r="I18" s="1" t="str">
        <f ca="1">IFERROR(__xludf.dummyfunction("IF(H18="""", """", GOOGLETRANSLATE(H18, ""en"", ""hi""))"),"नटी आलू पराठा रेसिपी बनाने के लिए सबसे पहले आटे को गूंथ कर अलग रख लें। एक मिक्सिंग बाउल में गेहूं का आटा, पानी और पालक प्यूरी (अगर इस्तेमाल कर रहे हैं) को अच्छी तरह गूंथ कर नरम आटा गूंथ लें। ज़रूरत पड़ने पर घी या तेल की कुछ बूँदें डाली जा सकती हैं। फिलिंग"&amp;" बनाने के लिए एक बड़े मिक्सिंग बाउल में मसले हुए आलू या आलू और बाकी सभी सामग्री, टुकड़े किया हुआ पनीर, धनिया, गरम मसाला, नमक, जीरा पाउडर, लाल मिर्च पाउडर/हरी मिर्च, कटे हुए मेवे और किशमिश डालें और अच्छी तरह मिल जाने तक मिलाएँ। नटी आलू फिलिंग को 8 से 10 बर"&amp;"ाबर भागों में बाँट लें। आलू पराठा के आटे और भरावन के हिस्सों को बांटने और रखने की यह प्रक्रिया आपको यह अनुमान लगाने में मदद करती है कि आप कितने पराठे बना सकते हैं और आपको भरावन की ज्यादा या कम जरूरत है। अंतिम चरण है भरावन को आटे में भरकर नटी आलू पराठा बना"&amp;"ना। आटे को एक छोटे चक्र में बेल लें, भरावन को अंदर रखें और आटे को चारों तरफ से बंद कर दें। भरे हुए आलू पराठे के आटे को थोड़े से आटे में लपेटें और इस भरे हुए नटी आटे को एक पराठे की तरह बेल लें, ध्यान रखें कि भरावन बाहर न निकले। एक रोटी तवा गरम करें और भरे "&amp;"हुए नटी आलू पराठा रखें। इसे मध्यम आंच पर लगभग 30 से 45 सेकंड तक पकने दें और पलट दें। इस चरण में एक चम्मच घी या तेल डालें और इसे चारों ओर फैलाएं। दोबारा पलटें, ताकि तेल वाला भाग तवे पर पक सके सुनिश्चित करें कि आप मध्यम आंच पर पकाएं क्योंकि इससे आलू के पराठ"&amp;"े बाहर से कुरकुरे और मुलायम हो जाते हैं। आलू के पराठे पक जाने के बाद उसे एक प्लेट में निकाल लें। इसी तरह बाकी पराठों के साथ भी यही प्रक्रिया जारी रखें। वीकेंड ब्रंच के लिए नटी आलू पराठा रेसिपी को रावल पिंडी स्टाइल छोले और कुछ कचुम्बर सलाद रेसिपी विद खीरा,"&amp;" प्याज और टमाटर के साथ परोसें। खाने को पूरा करने के लिए क्विक स्ट्रॉबेरी योगर्ट स्मूदी डालें।")</f>
        <v>नटी आलू पराठा रेसिपी बनाने के लिए सबसे पहले आटे को गूंथ कर अलग रख लें। एक मिक्सिंग बाउल में गेहूं का आटा, पानी और पालक प्यूरी (अगर इस्तेमाल कर रहे हैं) को अच्छी तरह गूंथ कर नरम आटा गूंथ लें। ज़रूरत पड़ने पर घी या तेल की कुछ बूँदें डाली जा सकती हैं। फिलिंग बनाने के लिए एक बड़े मिक्सिंग बाउल में मसले हुए आलू या आलू और बाकी सभी सामग्री, टुकड़े किया हुआ पनीर, धनिया, गरम मसाला, नमक, जीरा पाउडर, लाल मिर्च पाउडर/हरी मिर्च, कटे हुए मेवे और किशमिश डालें और अच्छी तरह मिल जाने तक मिलाएँ। नटी आलू फिलिंग को 8 से 10 बराबर भागों में बाँट लें। आलू पराठा के आटे और भरावन के हिस्सों को बांटने और रखने की यह प्रक्रिया आपको यह अनुमान लगाने में मदद करती है कि आप कितने पराठे बना सकते हैं और आपको भरावन की ज्यादा या कम जरूरत है। अंतिम चरण है भरावन को आटे में भरकर नटी आलू पराठा बनाना। आटे को एक छोटे चक्र में बेल लें, भरावन को अंदर रखें और आटे को चारों तरफ से बंद कर दें। भरे हुए आलू पराठे के आटे को थोड़े से आटे में लपेटें और इस भरे हुए नटी आटे को एक पराठे की तरह बेल लें, ध्यान रखें कि भरावन बाहर न निकले। एक रोटी तवा गरम करें और भरे हुए नटी आलू पराठा रखें। इसे मध्यम आंच पर लगभग 30 से 45 सेकंड तक पकने दें और पलट दें। इस चरण में एक चम्मच घी या तेल डालें और इसे चारों ओर फैलाएं। दोबारा पलटें, ताकि तेल वाला भाग तवे पर पक सके सुनिश्चित करें कि आप मध्यम आंच पर पकाएं क्योंकि इससे आलू के पराठे बाहर से कुरकुरे और मुलायम हो जाते हैं। आलू के पराठे पक जाने के बाद उसे एक प्लेट में निकाल लें। इसी तरह बाकी पराठों के साथ भी यही प्रक्रिया जारी रखें। वीकेंड ब्रंच के लिए नटी आलू पराठा रेसिपी को रावल पिंडी स्टाइल छोले और कुछ कचुम्बर सलाद रेसिपी विद खीरा, प्याज और टमाटर के साथ परोसें। खाने को पूरा करने के लिए क्विक स्ट्रॉबेरी योगर्ट स्मूदी डालें।</v>
      </c>
      <c r="J18" s="3" t="s">
        <v>31073</v>
      </c>
      <c r="L18" s="1" t="s">
        <v>31003</v>
      </c>
    </row>
    <row r="19" spans="1:12" ht="13.8">
      <c r="A19" s="1" t="s">
        <v>31074</v>
      </c>
      <c r="B19" s="1" t="str">
        <f ca="1">IFERROR(__xludf.dummyfunction("IF(A19="""", """", GOOGLETRANSLATE(A19, ""en"", ""hi""))"),"मसालेवाली तुरई सब्ज़ी रेसिपी")</f>
        <v>मसालेवाली तुरई सब्ज़ी रेसिपी</v>
      </c>
      <c r="C19" s="1" t="s">
        <v>14207</v>
      </c>
      <c r="D19" s="1" t="s">
        <v>14198</v>
      </c>
      <c r="E19" s="1">
        <v>50</v>
      </c>
      <c r="F19" s="1" t="s">
        <v>31075</v>
      </c>
      <c r="G19" s="1" t="str">
        <f ca="1">IFERROR(__xludf.dummyfunction("IF(F19="""", """", GOOGLETRANSLATE(F19, ""en"", ""hi""))"),"2 तुरई - छीलकर काट लें, 1/2 चम्मच राई, 1/2 चम्मच जीरा, 1 अदरक, 2 टमाटर - प्यूरी बना लें, 1/2 चम्मच हल्दी पाउडर, 1/2 चम्मच लाल मिर्च पाउडर, 1 चम्मच धनिया पाउडर, 1 चम्मच गुड़, 1 बड़ा चम्मच तेल, नमक - स्वादानुसार, 1/4 कप पानी, हरा धनिया - उपयोगानुसार")</f>
        <v>2 तुरई - छीलकर काट लें, 1/2 चम्मच राई, 1/2 चम्मच जीरा, 1 अदरक, 2 टमाटर - प्यूरी बना लें, 1/2 चम्मच हल्दी पाउडर, 1/2 चम्मच लाल मिर्च पाउडर, 1 चम्मच धनिया पाउडर, 1 चम्मच गुड़, 1 बड़ा चम्मच तेल, नमक - स्वादानुसार, 1/4 कप पानी, हरा धनिया - उपयोगानुसार</v>
      </c>
      <c r="H19" s="1" t="s">
        <v>31076</v>
      </c>
      <c r="I19" s="1" t="str">
        <f ca="1">IFERROR(__xludf.dummyfunction("IF(H19="""", """", GOOGLETRANSLATE(H19, ""en"", ""hi""))"),"मसाला तुरई की सब्जी बनाने के लिए सबसे पहले प्रेशर कुकर में तेल गर्म करें। इसमें राई, जीरा डालकर चटकने दें। अब इसमें अदरक, टमाटर, हल्दी पाउडर, लाल मिर्च पाउडर, धनिया पाउडर, गुड़ और नमक डालें। इसे 3 मिनट तक पकने दें। अब इसमें तुरई डालकर अच्छे से मिलाएँ। इसम"&amp;"ें पानी डालकर मिलाएँ, कुकर बंद करें और 2 सीटी आने तक पकाएँ। 3 सीटी आने के बाद गैस बंद कर दें और प्रेशर अपने आप निकलने दें। कुकर खोलें और धनिया पत्ती से गार्निश करें। दोपहर के खाने में मसाला तुरई की सब्जी को टमाटर प्याज खीरा रायता और फुल्के के साथ परोसें।")</f>
        <v>मसाला तुरई की सब्जी बनाने के लिए सबसे पहले प्रेशर कुकर में तेल गर्म करें। इसमें राई, जीरा डालकर चटकने दें। अब इसमें अदरक, टमाटर, हल्दी पाउडर, लाल मिर्च पाउडर, धनिया पाउडर, गुड़ और नमक डालें। इसे 3 मिनट तक पकने दें। अब इसमें तुरई डालकर अच्छे से मिलाएँ। इसमें पानी डालकर मिलाएँ, कुकर बंद करें और 2 सीटी आने तक पकाएँ। 3 सीटी आने के बाद गैस बंद कर दें और प्रेशर अपने आप निकलने दें। कुकर खोलें और धनिया पत्ती से गार्निश करें। दोपहर के खाने में मसाला तुरई की सब्जी को टमाटर प्याज खीरा रायता और फुल्के के साथ परोसें।</v>
      </c>
      <c r="J19" s="3" t="s">
        <v>31077</v>
      </c>
      <c r="L19" s="1" t="s">
        <v>31003</v>
      </c>
    </row>
    <row r="20" spans="1:12" ht="13.8">
      <c r="A20" s="1" t="s">
        <v>31078</v>
      </c>
      <c r="B20" s="1" t="str">
        <f ca="1">IFERROR(__xludf.dummyfunction("IF(A20="""", """", GOOGLETRANSLATE(A20, ""en"", ""hi""))"),"सुखी सूरन मसाला सब्जी रेसिपी")</f>
        <v>सुखी सूरन मसाला सब्जी रेसिपी</v>
      </c>
      <c r="C20" s="1" t="s">
        <v>14207</v>
      </c>
      <c r="D20" s="1" t="s">
        <v>14198</v>
      </c>
      <c r="E20" s="1">
        <v>35</v>
      </c>
      <c r="F20" s="1" t="s">
        <v>31079</v>
      </c>
      <c r="G20" s="1" t="str">
        <f ca="1">IFERROR(__xludf.dummyfunction("IF(F20="""", """", GOOGLETRANSLATE(F20, ""en"", ""hi""))"),"250 ग्राम हाथी रतालू (सूरन / सेनाई / रतालू) - 1 इंच चौकोर टुकड़ों में कटा हुआ, 1 प्याज - कटा हुआ, 2 हरी मिर्च - चीरी हुई, 1 चम्मच अदरक - बारीक कटा हुआ, 1 चम्मच लहसुन - बारीक कटा हुआ, 1 टहनी करी पत्ता, 1/2 चम्मच जीरा (जीरा), 1/2 चम्मच हल्दी पाउडर (हल्दी), "&amp;"1 चम्मच धनिया पाउडर (धनिया), 1/2 चम्मच जीरा पाउडर (जीरा), 1/2 चम्मच लाल मिर्च पाउडर, 1/2 चम्मच काली मिर्च पाउडर, 1/2 चम्मच गरम मसाला पाउडर, नमक - स्वादानुसार, 2 चम्मच सूरजमुखी तेल")</f>
        <v>250 ग्राम हाथी रतालू (सूरन / सेनाई / रतालू) - 1 इंच चौकोर टुकड़ों में कटा हुआ, 1 प्याज - कटा हुआ, 2 हरी मिर्च - चीरी हुई, 1 चम्मच अदरक - बारीक कटा हुआ, 1 चम्मच लहसुन - बारीक कटा हुआ, 1 टहनी करी पत्ता, 1/2 चम्मच जीरा (जीरा), 1/2 चम्मच हल्दी पाउडर (हल्दी), 1 चम्मच धनिया पाउडर (धनिया), 1/2 चम्मच जीरा पाउडर (जीरा), 1/2 चम्मच लाल मिर्च पाउडर, 1/2 चम्मच काली मिर्च पाउडर, 1/2 चम्मच गरम मसाला पाउडर, नमक - स्वादानुसार, 2 चम्मच सूरजमुखी तेल</v>
      </c>
      <c r="H20" s="1" t="s">
        <v>31080</v>
      </c>
      <c r="I20" s="1" t="str">
        <f ca="1">IFERROR(__xludf.dummyfunction("IF(H20="""", """", GOOGLETRANSLATE(H20, ""en"", ""hi""))"),"सुखी सूरन मसाला सब्ज़ी बनाने के लिए सबसे पहले रतालू तैयार करें, बाहरी सख्त छिलका हटा दें और फिर रतालू/सूरन को एक इंच के चौकोर टुकड़ों में काट लें। कटे हुए रतालू के टुकड़ों को पानी में भिगोकर एक तरफ रख दें। इसके बाद एक नॉन स्टिक कड़ाही या गहरे पैन में तेल "&amp;"गर्म करें और उसमें करी पत्ता और जीरा डालकर एक मिनट तक भूनें। इसमें कटे हुए प्याज, अदरक और लहसुन डालें और तब तक भूनें जब तक प्याज पारदर्शी और नरम न हो जाए। अब इसमें सूखा हुआ सूरन डालें और एक मिनट के लिए भूनें। थोड़ा पानी और स्वादानुसार नमक छिड़कें और पैन क"&amp;"ो ढक दें और सूरन और प्याज के मसाले को धीमी आंच पर दस मिनट तक पकाएं। सूरन पक जाने के बाद इसमें सारे सूखे मसाले जैसे लाल मिर्च पाउडर, धनिया पाउडर, जीरा पाउडर, काली मिर्च पाउडर, गरम मसाला डालें स्वाद की जांच करें और नमक और मसालों को तदनुसार समायोजित करें। एक"&amp;" बार हो जाने पर, आंच बंद कर दें और सुखी सूरन मसाला सब्ज़ी को एक सर्विंग बाउल में डालें और गरमागरम परोसें। सुखी सूरन मसाला सब्ज़ी को दाल पालक, उबले हुए चावल और दही के साथ एक स्वस्थ रात के खाने के लिए परोसें।")</f>
        <v>सुखी सूरन मसाला सब्ज़ी बनाने के लिए सबसे पहले रतालू तैयार करें, बाहरी सख्त छिलका हटा दें और फिर रतालू/सूरन को एक इंच के चौकोर टुकड़ों में काट लें। कटे हुए रतालू के टुकड़ों को पानी में भिगोकर एक तरफ रख दें। इसके बाद एक नॉन स्टिक कड़ाही या गहरे पैन में तेल गर्म करें और उसमें करी पत्ता और जीरा डालकर एक मिनट तक भूनें। इसमें कटे हुए प्याज, अदरक और लहसुन डालें और तब तक भूनें जब तक प्याज पारदर्शी और नरम न हो जाए। अब इसमें सूखा हुआ सूरन डालें और एक मिनट के लिए भूनें। थोड़ा पानी और स्वादानुसार नमक छिड़कें और पैन को ढक दें और सूरन और प्याज के मसाले को धीमी आंच पर दस मिनट तक पकाएं। सूरन पक जाने के बाद इसमें सारे सूखे मसाले जैसे लाल मिर्च पाउडर, धनिया पाउडर, जीरा पाउडर, काली मिर्च पाउडर, गरम मसाला डालें स्वाद की जांच करें और नमक और मसालों को तदनुसार समायोजित करें। एक बार हो जाने पर, आंच बंद कर दें और सुखी सूरन मसाला सब्ज़ी को एक सर्विंग बाउल में डालें और गरमागरम परोसें। सुखी सूरन मसाला सब्ज़ी को दाल पालक, उबले हुए चावल और दही के साथ एक स्वस्थ रात के खाने के लिए परोसें।</v>
      </c>
      <c r="J20" s="3" t="s">
        <v>31081</v>
      </c>
      <c r="L20" s="1" t="s">
        <v>31003</v>
      </c>
    </row>
    <row r="21" spans="1:12" ht="13.8">
      <c r="A21" s="1" t="s">
        <v>31082</v>
      </c>
      <c r="B21" s="1" t="str">
        <f ca="1">IFERROR(__xludf.dummyfunction("IF(A21="""", """", GOOGLETRANSLATE(A21, ""en"", ""hi""))"),"मशरूम पराठा रेसिपी")</f>
        <v>मशरूम पराठा रेसिपी</v>
      </c>
      <c r="C21" s="1" t="s">
        <v>145</v>
      </c>
      <c r="D21" s="1" t="s">
        <v>14237</v>
      </c>
      <c r="E21" s="1">
        <v>60</v>
      </c>
      <c r="F21" s="1" t="s">
        <v>31083</v>
      </c>
      <c r="G21" s="1" t="str">
        <f ca="1">IFERROR(__xludf.dummyfunction("IF(F21="""", """", GOOGLETRANSLATE(F21, ""en"", ""hi""))"),"1 कप गेहूं का आटा, 2 चम्मच सूरजमुखी तेल, नमक - स्वादानुसार, घी - पराठे पकाने के लिए, 250 ग्राम बटन मशरूम - कटा हुआ, 1 प्याज - बारीक कटा हुआ, 1 चम्मच जीरा, 1 चम्मच गरम मसाला पाउडर, 2 हरी मिर्च - बारीक कटी हुई, 1/4 चम्मच हल्दी पाउडर, घी - या तेल पकाने के लि"&amp;"ए")</f>
        <v>1 कप गेहूं का आटा, 2 चम्मच सूरजमुखी तेल, नमक - स्वादानुसार, घी - पराठे पकाने के लिए, 250 ग्राम बटन मशरूम - कटा हुआ, 1 प्याज - बारीक कटा हुआ, 1 चम्मच जीरा, 1 चम्मच गरम मसाला पाउडर, 2 हरी मिर्च - बारीक कटी हुई, 1/4 चम्मच हल्दी पाउडर, घी - या तेल पकाने के लिए</v>
      </c>
      <c r="H21" s="1" t="s">
        <v>31084</v>
      </c>
      <c r="I21" s="1" t="str">
        <f ca="1">IFERROR(__xludf.dummyfunction("IF(H21="""", """", GOOGLETRANSLATE(H21, ""en"", ""hi""))"),"मशरूम पराठा रेसिपी बनाने के लिए सबसे पहले एक बड़े मिक्सिंग बाउल में आटे की सारी सामग्री लें। थोड़ा-थोड़ा पानी डालकर नरम और चिकना आटा गूंथ लें। आटे को 30 मिनट तक ढककर रखें, जब तक कि फिलिंग तैयार न हो जाए। इसके बाद हम पराठे की रेसिपी के लिए मशरूम की स्टफिंग"&amp;" बनाना शुरू करेंगे। एक कड़ाही में मध्यम आंच पर तेल गर्म करें। उसमें जीरा डालें और उसे चटकने दें। जीरा चटकने के बाद उसमें प्याज डालें और प्याज के गुलाबी होने तक भूनें। उसमें कटी हरी मिर्च, कटे हुए मशरूम और स्वादानुसार नमक डालें। तेज आंच पर तब तक भूनें, जब "&amp;"तक कि मशरूम से अधिकांश नमी सूख न जाए। जब ​​मशरूम आकार में सिकुड़ जाए और नमी सूख जाए, तो उसमें गरम मसाला और हल्दी पाउडर डालें पराठा बनाने के लिए, छिड़कने के लिए सूखे आटे की एक प्लेट रखें। हम आटे को आटे में लपेटते हैं, इसे अपनी उंगली से चपटा करते हैं और इसे"&amp;" एक सपाट सतह पर रखते हैं। उन्हें लगभग 3 इंच व्यास के गोल आकार में पतला बेल लें। मशरूम भरने का एक भाग लें और इसे बीच में रखें। इसके बाद आटे के किनारों को इकट्ठा करें और उन्हें एक साथ लाएं। थोड़ा अतिरिक्त आटा हटा दें जो आपके द्वारा उन्हें एक साथ लाने पर बाह"&amp;"र निकल आया था। भरे हुए आटे को नीचे दबाएं। भरे हुए आटे को कुछ आटे में लपेटें और इसे धीरे से दबाव डालते हुए रोल करें। इसे वांछित मोटाई तक रोल करें और आटे और भरने के शेष हिस्सों के साथ इसी तरह आगे बढ़ें। मध्यम आंच पर एक कड़ाही/तवा गरम करें और भरे हुए मशरूम प"&amp;"राठे को रखें थोड़ा और घी लगाएँ और तवे पर पराठे को दबाते रहें ताकि पराठा अंदर से बाहर तक एक जैसा पक जाए। जब ​​तक दोनों तरफ से पककर भूरा और कुरकुरा न हो जाए, तब तक दो-तीन बार पलटते रहें। सुनिश्चित करें कि आप मध्यम आँच पर पकाएँ क्योंकि इससे पराठे बाहर से कुर"&amp;"कुरे और मुलायम हो जाएँगे। पराठा पक जाने के बाद उसे प्लेट में निकाल लें। इसी तरह बाकी मशरूम पराठों के साथ भी यही प्रक्रिया जारी रखें। मशरूम पराठों को मसालेदार आम के अचार के साथ नाश्ते या रविवार के नाश्ते में परोसें।")</f>
        <v>मशरूम पराठा रेसिपी बनाने के लिए सबसे पहले एक बड़े मिक्सिंग बाउल में आटे की सारी सामग्री लें। थोड़ा-थोड़ा पानी डालकर नरम और चिकना आटा गूंथ लें। आटे को 30 मिनट तक ढककर रखें, जब तक कि फिलिंग तैयार न हो जाए। इसके बाद हम पराठे की रेसिपी के लिए मशरूम की स्टफिंग बनाना शुरू करेंगे। एक कड़ाही में मध्यम आंच पर तेल गर्म करें। उसमें जीरा डालें और उसे चटकने दें। जीरा चटकने के बाद उसमें प्याज डालें और प्याज के गुलाबी होने तक भूनें। उसमें कटी हरी मिर्च, कटे हुए मशरूम और स्वादानुसार नमक डालें। तेज आंच पर तब तक भूनें, जब तक कि मशरूम से अधिकांश नमी सूख न जाए। जब ​​मशरूम आकार में सिकुड़ जाए और नमी सूख जाए, तो उसमें गरम मसाला और हल्दी पाउडर डालें पराठा बनाने के लिए, छिड़कने के लिए सूखे आटे की एक प्लेट रखें। हम आटे को आटे में लपेटते हैं, इसे अपनी उंगली से चपटा करते हैं और इसे एक सपाट सतह पर रखते हैं। उन्हें लगभग 3 इंच व्यास के गोल आकार में पतला बेल लें। मशरूम भरने का एक भाग लें और इसे बीच में रखें। इसके बाद आटे के किनारों को इकट्ठा करें और उन्हें एक साथ लाएं। थोड़ा अतिरिक्त आटा हटा दें जो आपके द्वारा उन्हें एक साथ लाने पर बाहर निकल आया था। भरे हुए आटे को नीचे दबाएं। भरे हुए आटे को कुछ आटे में लपेटें और इसे धीरे से दबाव डालते हुए रोल करें। इसे वांछित मोटाई तक रोल करें और आटे और भरने के शेष हिस्सों के साथ इसी तरह आगे बढ़ें। मध्यम आंच पर एक कड़ाही/तवा गरम करें और भरे हुए मशरूम पराठे को रखें थोड़ा और घी लगाएँ और तवे पर पराठे को दबाते रहें ताकि पराठा अंदर से बाहर तक एक जैसा पक जाए। जब ​​तक दोनों तरफ से पककर भूरा और कुरकुरा न हो जाए, तब तक दो-तीन बार पलटते रहें। सुनिश्चित करें कि आप मध्यम आँच पर पकाएँ क्योंकि इससे पराठे बाहर से कुरकुरे और मुलायम हो जाएँगे। पराठा पक जाने के बाद उसे प्लेट में निकाल लें। इसी तरह बाकी मशरूम पराठों के साथ भी यही प्रक्रिया जारी रखें। मशरूम पराठों को मसालेदार आम के अचार के साथ नाश्ते या रविवार के नाश्ते में परोसें।</v>
      </c>
      <c r="J21" s="3" t="s">
        <v>31085</v>
      </c>
      <c r="L21" s="1" t="s">
        <v>31003</v>
      </c>
    </row>
    <row r="22" spans="1:12" ht="13.8">
      <c r="A22" s="1" t="s">
        <v>31086</v>
      </c>
      <c r="B22" s="1" t="str">
        <f ca="1">IFERROR(__xludf.dummyfunction("IF(A22="""", """", GOOGLETRANSLATE(A22, ""en"", ""hi""))"),"पालक चना दाल रेसिपी - हेल्दी पालक चना दाल रेसिपी")</f>
        <v>पालक चना दाल रेसिपी - हेल्दी पालक चना दाल रेसिपी</v>
      </c>
      <c r="C22" s="1" t="s">
        <v>145</v>
      </c>
      <c r="D22" s="1" t="s">
        <v>14237</v>
      </c>
      <c r="E22" s="1">
        <v>50</v>
      </c>
      <c r="F22" s="1" t="s">
        <v>31087</v>
      </c>
      <c r="G22" s="1" t="str">
        <f ca="1">IFERROR(__xludf.dummyfunction("IF(F22="""", """", GOOGLETRANSLATE(F22, ""en"", ""hi""))"),"1 कप चना दाल - लगभग 20 मिनट तक पानी में भिगोई हुई, 200 ग्राम पालक के पत्ते - धोकर कटे हुए, 3 कप पानी, 1 चम्मच हल्दी, नमक - स्वादानुसार, 2 बड़े चम्मच घी, 1/4 चम्मच हींग, 1 चम्मच जीरा, 2 सूखी लाल मिर्च, 1 बड़ा चम्मच अदरक लहसुन पेस्ट, 1 प्याज - कटा हुआ, 2 हर"&amp;"ी मिर्च - कटी हुई, 1 टमाटर - कटा हुआ, 1/2 चम्मच हल्दी, 1/2 चम्मच लाल मिर्च पाउडर, 1/2 चम्मच जीरा, नमक - स्वादानुसार")</f>
        <v>1 कप चना दाल - लगभग 20 मिनट तक पानी में भिगोई हुई, 200 ग्राम पालक के पत्ते - धोकर कटे हुए, 3 कप पानी, 1 चम्मच हल्दी, नमक - स्वादानुसार, 2 बड़े चम्मच घी, 1/4 चम्मच हींग, 1 चम्मच जीरा, 2 सूखी लाल मिर्च, 1 बड़ा चम्मच अदरक लहसुन पेस्ट, 1 प्याज - कटा हुआ, 2 हरी मिर्च - कटी हुई, 1 टमाटर - कटा हुआ, 1/2 चम्मच हल्दी, 1/2 चम्मच लाल मिर्च पाउडर, 1/2 चम्मच जीरा, नमक - स्वादानुसार</v>
      </c>
      <c r="H22" s="1" t="s">
        <v>31088</v>
      </c>
      <c r="I22" s="1" t="str">
        <f ca="1">IFERROR(__xludf.dummyfunction("IF(H22="""", """", GOOGLETRANSLATE(H22, ""en"", ""hi""))"),"पालक चना दाल रेसिपी बनाने के लिए, भिगोई हुई चना दाल को 3 कप पानी, नमक और हल्दी पाउडर के साथ 5 से 6 सीटी आने तक पकाएँ और आँच बंद कर दें। प्रेशर को अपने आप निकलने दें। पालक (पालक के पत्ते) को 2 बड़े चम्मच पानी, नमक के साथ प्रेशर कुकर में डालें और 1 सीटी आने"&amp;" तक पकाएँ। आँच बंद कर दें और पालक का हरा रंग बरकरार रखने के लिए तुरंत प्रेशर छोड़ दें। एक भारी तले वाले पैन में घी गरम करें और उसमें जीरा डालें। जब जीरा चटकने लगे तो उसमें हींग डालें। 30 सेकंड के बाद, सूखी लाल मिर्च डालें और कुछ सेकंड के लिए भूनें। अब इसम"&amp;"ें अदरक लहसुन का पेस्ट डालें और कुछ सेकंड के लिए भूनें। अब इसमें कटा हुआ प्याज और हरी मिर्च डालें और प्याज के सुनहरे भूरे रंग होने तक भूनें। कटे हुए टमाटर डालें और उन्हें नरम होने तक पकाएं। हल्दी पाउडर, लाल मिर्च पाउडर, जीरा पाउडर और स्वादानुसार नमक डालें"&amp;" लेकिन याद रखें कि हमने दाल और पालक उबालते समय पहले ही नमक डाल दिया है। टमाटर प्याज के मिश्रण में सभी सूखे मसाले मिलाएं और इसे मध्यम आंच पर 1-2 मिनट तक पकाएं जब तक कि मिश्रण घी न छोड़ने लगे। इसमें लगभग 3 से 4 मिनट का समय लगेगा। 3 से 4 मिनट के बाद, पकी हुई"&amp;" चना दाल और पालक (पालक के पत्ते) डालें पालक चना दाल को एक सर्विंग बाउल में डालें और गरमागरम परोसें। पालक चना दाल को भरली भिंडी, बूंदी रायता और फुल्का के साथ रोज़ाना के खाने में परोसें। आप इस दाल को अपने लंच बॉक्स में भी पैक कर सकते हैं।")</f>
        <v>पालक चना दाल रेसिपी बनाने के लिए, भिगोई हुई चना दाल को 3 कप पानी, नमक और हल्दी पाउडर के साथ 5 से 6 सीटी आने तक पकाएँ और आँच बंद कर दें। प्रेशर को अपने आप निकलने दें। पालक (पालक के पत्ते) को 2 बड़े चम्मच पानी, नमक के साथ प्रेशर कुकर में डालें और 1 सीटी आने तक पकाएँ। आँच बंद कर दें और पालक का हरा रंग बरकरार रखने के लिए तुरंत प्रेशर छोड़ दें। एक भारी तले वाले पैन में घी गरम करें और उसमें जीरा डालें। जब जीरा चटकने लगे तो उसमें हींग डालें। 30 सेकंड के बाद, सूखी लाल मिर्च डालें और कुछ सेकंड के लिए भूनें। अब इसमें अदरक लहसुन का पेस्ट डालें और कुछ सेकंड के लिए भूनें। अब इसमें कटा हुआ प्याज और हरी मिर्च डालें और प्याज के सुनहरे भूरे रंग होने तक भूनें। कटे हुए टमाटर डालें और उन्हें नरम होने तक पकाएं। हल्दी पाउडर, लाल मिर्च पाउडर, जीरा पाउडर और स्वादानुसार नमक डालें लेकिन याद रखें कि हमने दाल और पालक उबालते समय पहले ही नमक डाल दिया है। टमाटर प्याज के मिश्रण में सभी सूखे मसाले मिलाएं और इसे मध्यम आंच पर 1-2 मिनट तक पकाएं जब तक कि मिश्रण घी न छोड़ने लगे। इसमें लगभग 3 से 4 मिनट का समय लगेगा। 3 से 4 मिनट के बाद, पकी हुई चना दाल और पालक (पालक के पत्ते) डालें पालक चना दाल को एक सर्विंग बाउल में डालें और गरमागरम परोसें। पालक चना दाल को भरली भिंडी, बूंदी रायता और फुल्का के साथ रोज़ाना के खाने में परोसें। आप इस दाल को अपने लंच बॉक्स में भी पैक कर सकते हैं।</v>
      </c>
      <c r="J22" s="3" t="s">
        <v>31089</v>
      </c>
      <c r="L22" s="1" t="s">
        <v>31003</v>
      </c>
    </row>
    <row r="23" spans="1:12" ht="13.8">
      <c r="A23" s="1" t="s">
        <v>31090</v>
      </c>
      <c r="B23" s="1" t="str">
        <f ca="1">IFERROR(__xludf.dummyfunction("IF(A23="""", """", GOOGLETRANSLATE(A23, ""en"", ""hi""))"),"पनीर मटर बटर मसाला (मक्खन के साथ भारतीय पनीर और मटर मसाला) रेसिपी")</f>
        <v>पनीर मटर बटर मसाला (मक्खन के साथ भारतीय पनीर और मटर मसाला) रेसिपी</v>
      </c>
      <c r="C23" s="1" t="s">
        <v>429</v>
      </c>
      <c r="D23" s="1" t="s">
        <v>14237</v>
      </c>
      <c r="E23" s="1">
        <v>60</v>
      </c>
      <c r="F23" s="1" t="s">
        <v>31091</v>
      </c>
      <c r="G23" s="1" t="str">
        <f ca="1">IFERROR(__xludf.dummyfunction("IF(F23="""", """", GOOGLETRANSLATE(F23, ""en"", ""hi""))"),"1-1/2 कप पनीर - टुकड़ों में कटा हुआ, सूरजमुखी तेल - आवश्यकतानुसार, 1/2 कप हरी मटर (मटर), नमक - स्वादानुसार, 1 चम्मच चीनी, 1/2 चम्मच लाल मिर्च पाउडर, 1/4 कप दूध, 1 चम्मच कसूरी मेथी (सूखी मेथी के पत्ते), 1 प्याज - लाल, 2 टमाटर - बारीक कटे हुए, 1 इंच अदरक - "&amp;"बारीक कटा हुआ, 1 लौंग लहसुन - छिला हुआ और बारीक कटा हुआ, 2 बड़े चम्मच घी - या स्पष्ट मक्खन, 2 सूखी लाल मिर्च, 3 इलायची (इलायची) की फली / बीज, 1/2 इंच दालचीनी छड़ी (दालचीनी), 4 साबुत काली मिर्च, 1/2 चम्मच धनिया (धनिया) के बीज, 1/4 कप काजू - छोटे टुकड़ों मे"&amp;"ं तोड़े हुए")</f>
        <v>1-1/2 कप पनीर - टुकड़ों में कटा हुआ, सूरजमुखी तेल - आवश्यकतानुसार, 1/2 कप हरी मटर (मटर), नमक - स्वादानुसार, 1 चम्मच चीनी, 1/2 चम्मच लाल मिर्च पाउडर, 1/4 कप दूध, 1 चम्मच कसूरी मेथी (सूखी मेथी के पत्ते), 1 प्याज - लाल, 2 टमाटर - बारीक कटे हुए, 1 इंच अदरक - बारीक कटा हुआ, 1 लौंग लहसुन - छिला हुआ और बारीक कटा हुआ, 2 बड़े चम्मच घी - या स्पष्ट मक्खन, 2 सूखी लाल मिर्च, 3 इलायची (इलायची) की फली / बीज, 1/2 इंच दालचीनी छड़ी (दालचीनी), 4 साबुत काली मिर्च, 1/2 चम्मच धनिया (धनिया) के बीज, 1/4 कप काजू - छोटे टुकड़ों में तोड़े हुए</v>
      </c>
      <c r="H23" s="1" t="s">
        <v>31092</v>
      </c>
      <c r="I23" s="1" t="str">
        <f ca="1">IFERROR(__xludf.dummyfunction("IF(H23="""", """", GOOGLETRANSLATE(H23, ""en"", ""hi""))"),"पनीर मटर बटर मसाला रेसिपी बनाने के लिए सबसे पहले एक चौड़े पैन में 1 से 2 बड़े चम्मच तेल में पनीर के टुकड़ों को हल्का सुनहरा होने तक तल लें और एक तरफ रख दें। अगला कदम मसाला/ग्रेवी तैयार करना है। एक बड़े भारी तले वाले पैन में मक्खन/घी गरम करें, उसमें प्याज "&amp;"और मटर/मटर डालें। प्याज और मटर/मटर को तब तक भूनें जब तक प्याज पारदर्शी न हो जाए। अदरक और लहसुन डालें और 1 से 2 मिनट तक चलाएं। साबुत सूखी लाल मिर्च, लौंग, इलायची, दालचीनी, साबुत काली मिर्च और धनिया के बीज (यानी सभी साबुत मसाले) डालें और कुछ बार हिलाएं। टमा"&amp;"टर डालें और टमाटर के नरम और गूदेदार होने तक पकाएं। आंच से उतारें और थोड़ा ठंडा होने के लिए अलग रख दें ग्रेवी में हल्के तले हुए पनीर के टुकड़े डालें, स्वादानुसार नमक, चीनी, कसूरी मेथी, मिर्च पाउडर (यदि उपयोग कर रहे हैं), मनचाहा गाढ़ापन पाने के लिए यदि आवश्"&amp;"यक हो तो पानी डालें और स्वाद को घुलने के लिए धीमी आंच पर पकाएं। अंत में दूध डालें, अच्छी तरह मिलाएँ, करी को धीमी आंच पर एक या दो मिनट के लिए पकने दें, फिर निकाल लें। स्वादिष्ट सप्ताह के दिनों के भोजन के लिए पनीर मटर बटर मसाला को फुल्के या उबले हुए चावल के"&amp;" साथ परोसें।")</f>
        <v>पनीर मटर बटर मसाला रेसिपी बनाने के लिए सबसे पहले एक चौड़े पैन में 1 से 2 बड़े चम्मच तेल में पनीर के टुकड़ों को हल्का सुनहरा होने तक तल लें और एक तरफ रख दें। अगला कदम मसाला/ग्रेवी तैयार करना है। एक बड़े भारी तले वाले पैन में मक्खन/घी गरम करें, उसमें प्याज और मटर/मटर डालें। प्याज और मटर/मटर को तब तक भूनें जब तक प्याज पारदर्शी न हो जाए। अदरक और लहसुन डालें और 1 से 2 मिनट तक चलाएं। साबुत सूखी लाल मिर्च, लौंग, इलायची, दालचीनी, साबुत काली मिर्च और धनिया के बीज (यानी सभी साबुत मसाले) डालें और कुछ बार हिलाएं। टमाटर डालें और टमाटर के नरम और गूदेदार होने तक पकाएं। आंच से उतारें और थोड़ा ठंडा होने के लिए अलग रख दें ग्रेवी में हल्के तले हुए पनीर के टुकड़े डालें, स्वादानुसार नमक, चीनी, कसूरी मेथी, मिर्च पाउडर (यदि उपयोग कर रहे हैं), मनचाहा गाढ़ापन पाने के लिए यदि आवश्यक हो तो पानी डालें और स्वाद को घुलने के लिए धीमी आंच पर पकाएं। अंत में दूध डालें, अच्छी तरह मिलाएँ, करी को धीमी आंच पर एक या दो मिनट के लिए पकने दें, फिर निकाल लें। स्वादिष्ट सप्ताह के दिनों के भोजन के लिए पनीर मटर बटर मसाला को फुल्के या उबले हुए चावल के साथ परोसें।</v>
      </c>
      <c r="J23" s="3" t="s">
        <v>31093</v>
      </c>
      <c r="L23" s="1" t="s">
        <v>31003</v>
      </c>
    </row>
    <row r="24" spans="1:12" ht="13.8">
      <c r="A24" s="1" t="s">
        <v>31094</v>
      </c>
      <c r="B24" s="1" t="str">
        <f ca="1">IFERROR(__xludf.dummyfunction("IF(A24="""", """", GOOGLETRANSLATE(A24, ""en"", ""hi""))"),"पालक मशरूम मखनी रेसिपी - क्रीमी पालक और मशरूम")</f>
        <v>पालक मशरूम मखनी रेसिपी - क्रीमी पालक और मशरूम</v>
      </c>
      <c r="C24" s="1" t="s">
        <v>145</v>
      </c>
      <c r="D24" s="1" t="s">
        <v>14237</v>
      </c>
      <c r="E24" s="1">
        <v>40</v>
      </c>
      <c r="F24" s="1" t="s">
        <v>31095</v>
      </c>
      <c r="G24" s="1" t="str">
        <f ca="1">IFERROR(__xludf.dummyfunction("IF(F24="""", """", GOOGLETRANSLATE(F24, ""en"", ""hi""))"),"200 ग्राम बटन मशरूम - चौथाई भाग में कटे हुए, 500 ग्राम पालक के पत्ते (पालक) - धोकर कटे हुए, 1 टमाटर - कटा हुआ या प्यूरी किया हुआ, 2 लहसुन के दाने - बारीक कटे हुए, 2 इंच अदरक - बारीक कटा हुआ, 2 हरी मिर्च - कटी हुई, 1/2 छोटा चम्मच जीरा, 1 इंच दालचीनी, 1 छोट"&amp;"ा चम्मच जीरा पाउडर, 1/4 छोटा चम्मच हल्दी पाउडर, 1 छोटा चम्मच गरम मसाला पाउडर, 2 बड़े चम्मच ताजा क्रीम, 1 बड़ा चम्मच घी, नमक - स्वादानुसार")</f>
        <v>200 ग्राम बटन मशरूम - चौथाई भाग में कटे हुए, 500 ग्राम पालक के पत्ते (पालक) - धोकर कटे हुए, 1 टमाटर - कटा हुआ या प्यूरी किया हुआ, 2 लहसुन के दाने - बारीक कटे हुए, 2 इंच अदरक - बारीक कटा हुआ, 2 हरी मिर्च - कटी हुई, 1/2 छोटा चम्मच जीरा, 1 इंच दालचीनी, 1 छोटा चम्मच जीरा पाउडर, 1/4 छोटा चम्मच हल्दी पाउडर, 1 छोटा चम्मच गरम मसाला पाउडर, 2 बड़े चम्मच ताजा क्रीम, 1 बड़ा चम्मच घी, नमक - स्वादानुसार</v>
      </c>
      <c r="H24" s="1" t="s">
        <v>31096</v>
      </c>
      <c r="I24" s="1" t="str">
        <f ca="1">IFERROR(__xludf.dummyfunction("IF(H24="""", """", GOOGLETRANSLATE(H24, ""en"", ""hi""))"),"पालक मशरूम मखनी रेसिपी बनाने के लिए सबसे पहले हम धुले और कटे हुए पालक को भाप में पका लेंगे। कटे हुए पालक, टमाटर, हरी मिर्च, अदरक और लहसुन को प्रेशर कुकर में डालें, 2 बड़े चम्मच पानी डालें और एक सीटी आने तक पकाएँ। पहली सीटी आने के बाद, इसे ठंडे पानी के नीच"&amp;"े चलाकर तुरंत प्रेशर छोड़ दें। यह पालक/पालक के ताजे हरे रंग को बरकरार रखने में मदद करता है। पकने के बाद पालक को पूरी तरह से ठंडा होने दें और फिर इसे अपने ब्लेंडर में लगभग बिना पानी के पल्स करें। आप पालक को अलग बनावट देने के लिए मैशर से मैश भी कर सकते हैं।"&amp;" मध्यम आंच पर एक फ्राइंग पैन में घी पिघलाएं, उसमें जीरा और दालचीनी डालें। कुछ सेकंड के लिए सामग्री को भूनें। हल्दी पाउडर डालें और कुछ सेकंड के लिए भूनें पालक मशरूम मखनी को लगभग 2 से 3 मिनट तक उबलने दें और आँच बंद कर दें। पालक मशरूम मखनी को एक सर्विंग बाउल"&amp;" में डालें और गरमागरम परोसें। पालक मशरूम मखनी रेसिपी को घी लगे गरम फुल्के, जीरा पुलाव और दोपहर या रात के खाने में रायते के साथ परोसें। आप पालक मशरूम मखनी रेसिपी को फुल्के के साथ बच्चों के लंच बॉक्स में भी रख सकते हैं।")</f>
        <v>पालक मशरूम मखनी रेसिपी बनाने के लिए सबसे पहले हम धुले और कटे हुए पालक को भाप में पका लेंगे। कटे हुए पालक, टमाटर, हरी मिर्च, अदरक और लहसुन को प्रेशर कुकर में डालें, 2 बड़े चम्मच पानी डालें और एक सीटी आने तक पकाएँ। पहली सीटी आने के बाद, इसे ठंडे पानी के नीचे चलाकर तुरंत प्रेशर छोड़ दें। यह पालक/पालक के ताजे हरे रंग को बरकरार रखने में मदद करता है। पकने के बाद पालक को पूरी तरह से ठंडा होने दें और फिर इसे अपने ब्लेंडर में लगभग बिना पानी के पल्स करें। आप पालक को अलग बनावट देने के लिए मैशर से मैश भी कर सकते हैं। मध्यम आंच पर एक फ्राइंग पैन में घी पिघलाएं, उसमें जीरा और दालचीनी डालें। कुछ सेकंड के लिए सामग्री को भूनें। हल्दी पाउडर डालें और कुछ सेकंड के लिए भूनें पालक मशरूम मखनी को लगभग 2 से 3 मिनट तक उबलने दें और आँच बंद कर दें। पालक मशरूम मखनी को एक सर्विंग बाउल में डालें और गरमागरम परोसें। पालक मशरूम मखनी रेसिपी को घी लगे गरम फुल्के, जीरा पुलाव और दोपहर या रात के खाने में रायते के साथ परोसें। आप पालक मशरूम मखनी रेसिपी को फुल्के के साथ बच्चों के लंच बॉक्स में भी रख सकते हैं।</v>
      </c>
      <c r="J24" s="3" t="s">
        <v>31097</v>
      </c>
      <c r="L24" s="1" t="s">
        <v>31003</v>
      </c>
    </row>
    <row r="25" spans="1:12" ht="13.8">
      <c r="A25" s="1" t="s">
        <v>31098</v>
      </c>
      <c r="B25" s="1" t="str">
        <f ca="1">IFERROR(__xludf.dummyfunction("IF(A25="""", """", GOOGLETRANSLATE(A25, ""en"", ""hi""))"),"दही भल्ला पापड़ी चाट रेसिपी")</f>
        <v>दही भल्ला पापड़ी चाट रेसिपी</v>
      </c>
      <c r="C25" s="1" t="s">
        <v>145</v>
      </c>
      <c r="D25" s="1" t="s">
        <v>14237</v>
      </c>
      <c r="E25" s="1">
        <v>40</v>
      </c>
      <c r="F25" s="1" t="s">
        <v>31099</v>
      </c>
      <c r="G25" s="1" t="str">
        <f ca="1">IFERROR(__xludf.dummyfunction("IF(F25="""", """", GOOGLETRANSLATE(F25, ""en"", ""hi""))"),"4 दही बड़े, 1 कप पापड़ी पूरियां, 1 कप मीठी चटनी (खजूर और इमली), 1 कप हरी चटनी (धनिया और पुदीना), चाट मसाला पाउडर - स्वादानुसार, जीरा पाउडर (जीरा) - स्वादानुसार, 2 प्याज - बारीक कटे हुए, 1 गाजर - कद्दूकस की हुई, 1 अनारदाना पाउडर (अनार के बीज का पाउडर), 1/4"&amp;" कप कच्ची मूंगफली - भूनी हुई और आधी कटी हुई, 1 कप बूंदी - या सेव, 2 टहनी धनिया (धनिया) पत्तियां - कटी हुई")</f>
        <v>4 दही बड़े, 1 कप पापड़ी पूरियां, 1 कप मीठी चटनी (खजूर और इमली), 1 कप हरी चटनी (धनिया और पुदीना), चाट मसाला पाउडर - स्वादानुसार, जीरा पाउडर (जीरा) - स्वादानुसार, 2 प्याज - बारीक कटे हुए, 1 गाजर - कद्दूकस की हुई, 1 अनारदाना पाउडर (अनार के बीज का पाउडर), 1/4 कप कच्ची मूंगफली - भूनी हुई और आधी कटी हुई, 1 कप बूंदी - या सेव, 2 टहनी धनिया (धनिया) पत्तियां - कटी हुई</v>
      </c>
      <c r="H25" s="1" t="s">
        <v>31100</v>
      </c>
      <c r="I25" s="1" t="str">
        <f ca="1">IFERROR(__xludf.dummyfunction("IF(H25="""", """", GOOGLETRANSLATE(H25, ""en"", ""hi""))"),"दही भल्ला पापड़ी चाट बनाने के लिए आप पूरी या पापड़ी दोनों का इस्तेमाल कर सकते हैं। हम एक बार में एक प्लेट बनाएंगे। एक सपाट प्लेट या कटोरे में पापड़ी या पूरी को व्यवस्थित करें। दही भल्ले को पापड़ी के ऊपर या पूरी में डालें। अगर आपके भल्ले बड़े हैं, तो उन्हे"&amp;"ं छोटे टुकड़ों में तोड़कर डालें। थोड़ा दही भी डालें। इसके बाद प्रत्येक पापड़ी/पूरी के चारों ओर खजूर की चटनी और हरी चटनी छिड़कें। चाट मसाला पाउडर और जीरा पाउडर छिड़कें। इसके बाद कद्दूकस की हुई गाजर, अनार और कुरकुरी बूंदी/सेव छिड़कें। अंत में प्याज़ और कटा "&amp;"हरा धनिया छिड़कें। चाट अब परोसने के लिए तैयार है। बाकी भल्ला और पापड़ी के साथ भी इसी तरह आगे बढ़ें। दही भल्ला पापड़ी (पूरी) चाट रेसिपी को ऐपेटाइज़र के रूप में या अपनी भूख मिटाने के लिए चाय के समय नाश्ते के रूप में परोसें।")</f>
        <v>दही भल्ला पापड़ी चाट बनाने के लिए आप पूरी या पापड़ी दोनों का इस्तेमाल कर सकते हैं। हम एक बार में एक प्लेट बनाएंगे। एक सपाट प्लेट या कटोरे में पापड़ी या पूरी को व्यवस्थित करें। दही भल्ले को पापड़ी के ऊपर या पूरी में डालें। अगर आपके भल्ले बड़े हैं, तो उन्हें छोटे टुकड़ों में तोड़कर डालें। थोड़ा दही भी डालें। इसके बाद प्रत्येक पापड़ी/पूरी के चारों ओर खजूर की चटनी और हरी चटनी छिड़कें। चाट मसाला पाउडर और जीरा पाउडर छिड़कें। इसके बाद कद्दूकस की हुई गाजर, अनार और कुरकुरी बूंदी/सेव छिड़कें। अंत में प्याज़ और कटा हरा धनिया छिड़कें। चाट अब परोसने के लिए तैयार है। बाकी भल्ला और पापड़ी के साथ भी इसी तरह आगे बढ़ें। दही भल्ला पापड़ी (पूरी) चाट रेसिपी को ऐपेटाइज़र के रूप में या अपनी भूख मिटाने के लिए चाय के समय नाश्ते के रूप में परोसें।</v>
      </c>
      <c r="J25" s="3" t="s">
        <v>31101</v>
      </c>
      <c r="L25" s="1" t="s">
        <v>31003</v>
      </c>
    </row>
    <row r="26" spans="1:12" ht="13.8">
      <c r="A26" s="1" t="s">
        <v>31102</v>
      </c>
      <c r="B26" s="1" t="str">
        <f ca="1">IFERROR(__xludf.dummyfunction("IF(A26="""", """", GOOGLETRANSLATE(A26, ""en"", ""hi""))"),"आलू पनीर करी बिना प्याज लहसुन की रेसिपी")</f>
        <v>आलू पनीर करी बिना प्याज लहसुन की रेसिपी</v>
      </c>
      <c r="C26" s="1" t="s">
        <v>145</v>
      </c>
      <c r="D26" s="1" t="s">
        <v>14198</v>
      </c>
      <c r="E26" s="1">
        <v>80</v>
      </c>
      <c r="F26" s="1" t="s">
        <v>31103</v>
      </c>
      <c r="G26" s="1" t="str">
        <f ca="1">IFERROR(__xludf.dummyfunction("IF(F26="""", """", GOOGLETRANSLATE(F26, ""en"", ""hi""))"),"7 आलू - कटे हुए, 350 ग्राम पनीर - कटा हुआ, 5 टमाटर, 2 इंच अदरक - कद्दूकस किया हुआ, 2 हरी मिर्च, 1 चम्मच लाल मिर्च पाउडर, 1 चम्मच धनिया पाउडर, 1 चम्मच जीरा पाउडर - भुना हुआ, नमक - स्वादानुसार, तेल - आवश्यकतानुसार, हरा धनिया - आवश्यकतानुसार, बारीक कटा हुआ")</f>
        <v>7 आलू - कटे हुए, 350 ग्राम पनीर - कटा हुआ, 5 टमाटर, 2 इंच अदरक - कद्दूकस किया हुआ, 2 हरी मिर्च, 1 चम्मच लाल मिर्च पाउडर, 1 चम्मच धनिया पाउडर, 1 चम्मच जीरा पाउडर - भुना हुआ, नमक - स्वादानुसार, तेल - आवश्यकतानुसार, हरा धनिया - आवश्यकतानुसार, बारीक कटा हुआ</v>
      </c>
      <c r="H26" s="1" t="s">
        <v>31104</v>
      </c>
      <c r="I26" s="1" t="str">
        <f ca="1">IFERROR(__xludf.dummyfunction("IF(H26="""", """", GOOGLETRANSLATE(H26, ""en"", ""hi""))"),"आलू पनीर करी बनाने के लिए सबसे पहले टमाटर, अदरक और हरी मिर्च को ब्लेंडर में पीस लें। इसे एक तरफ रख दें। प्रेशर कुकर में तेल गर्म करें और उसमें कद्दूकस किया हुआ अदरक डालें। इसे 1 मिनट तक पकाएं। टमाटर प्यूरी डालें और कम से कम 10 मिनट तक पकाएं। अब इसमें लाल "&amp;"मिर्च पाउडर, धनिया पाउडर और नमक डालें। इसे अगले 5 मिनट तक अच्छे से पकाएं। आलू डालें और 2 मिनट तक पकाएं। 2 मिनट बाद इसमें 2 कप पानी और भुना जीरा डालें। कुकर बंद करें और एक सीटी आने तक पकाएं। एक सीटी आने के बाद गैस बंद कर दें और प्रेशर निकलने दें। कुकर खोले"&amp;"ं और करी को उबलने दें। पनीर के टुकड़े डालें, 2 मिनट तक पकाएं और धनिया पत्ती से गार्निश करें।")</f>
        <v>आलू पनीर करी बनाने के लिए सबसे पहले टमाटर, अदरक और हरी मिर्च को ब्लेंडर में पीस लें। इसे एक तरफ रख दें। प्रेशर कुकर में तेल गर्म करें और उसमें कद्दूकस किया हुआ अदरक डालें। इसे 1 मिनट तक पकाएं। टमाटर प्यूरी डालें और कम से कम 10 मिनट तक पकाएं। अब इसमें लाल मिर्च पाउडर, धनिया पाउडर और नमक डालें। इसे अगले 5 मिनट तक अच्छे से पकाएं। आलू डालें और 2 मिनट तक पकाएं। 2 मिनट बाद इसमें 2 कप पानी और भुना जीरा डालें। कुकर बंद करें और एक सीटी आने तक पकाएं। एक सीटी आने के बाद गैस बंद कर दें और प्रेशर निकलने दें। कुकर खोलें और करी को उबलने दें। पनीर के टुकड़े डालें, 2 मिनट तक पकाएं और धनिया पत्ती से गार्निश करें।</v>
      </c>
      <c r="J26" s="3" t="s">
        <v>31105</v>
      </c>
      <c r="L26" s="1" t="s">
        <v>31003</v>
      </c>
    </row>
    <row r="27" spans="1:12" ht="13.8">
      <c r="A27" s="1" t="s">
        <v>31106</v>
      </c>
      <c r="B27" s="1" t="str">
        <f ca="1">IFERROR(__xludf.dummyfunction("IF(A27="""", """", GOOGLETRANSLATE(A27, ""en"", ""hi""))"),"उत्तर भारतीय फेनी रेसिपी - सेवइयां खीर")</f>
        <v>उत्तर भारतीय फेनी रेसिपी - सेवइयां खीर</v>
      </c>
      <c r="C27" s="1" t="s">
        <v>8417</v>
      </c>
      <c r="D27" s="1" t="s">
        <v>14198</v>
      </c>
      <c r="E27" s="1">
        <v>25</v>
      </c>
      <c r="F27" s="1" t="s">
        <v>31107</v>
      </c>
      <c r="G27" s="1" t="str">
        <f ca="1">IFERROR(__xludf.dummyfunction("IF(F27="""", """", GOOGLETRANSLATE(F27, ""en"", ""hi""))"),"100 ग्राम फेनी - या एक रोल, 300 मिली दूध, 1/4 कप चीनी, 1 बड़ा चम्मच घी, 2 बड़े चम्मच काजू, 2 बड़े चम्मच किशमिश, 2 बड़े चम्मच बादाम पाउडर")</f>
        <v>100 ग्राम फेनी - या एक रोल, 300 मिली दूध, 1/4 कप चीनी, 1 बड़ा चम्मच घी, 2 बड़े चम्मच काजू, 2 बड़े चम्मच किशमिश, 2 बड़े चम्मच बादाम पाउडर</v>
      </c>
      <c r="H27" s="1" t="s">
        <v>31108</v>
      </c>
      <c r="I27" s="1" t="str">
        <f ca="1">IFERROR(__xludf.dummyfunction("IF(H27="""", """", GOOGLETRANSLATE(H27, ""en"", ""hi""))"),"उत्तर भारतीय फेनी रेसिपी बनाने के लिए सबसे पहले हम सभी सामग्री तैयार कर लेंगे और एक तरफ रख देंगे। एक भारी तले के पैन में दूध को उबाल लें। आँच कम करें और इसे 5 से 10 मिनट तक थोड़ा गाढ़ा होने तक उबालें। जब दूध थोड़ा गाढ़ा हो जाए तो इसमें चीनी और बादाम पाउडर"&amp;" डालें और दो मिनट तक और उबालें। बादाम पाउडर दूध को गाढ़ा करने में मदद करेगा। इस स्तर पर फेनी डालें और अच्छी तरह मिलाएँ और आँच बंद कर दें। दूध और फेनी के मिश्रण को लगभग 10 मिनट तक पैन में ही रहने दें। यह गर्म दूध में फेनी को नरम करने में मदद करेगा। फेनी को"&amp;" एक सर्विंग बाउल में डालें। एक छोटे पैन में मध्यम से धीमी आँच पर घी गर्म करें और काजू और किशमिश को सुनहरा भूरा और कुरकुरा होने तक भूनें। आंच बंद कर दें और इसे फेनी (खीर) के ऊपर डालें। जोधपुरी आलू, अजवाइन पुरी, सात्विक गाजर अंकुरित सलाद और मिर्ची का चूंदा "&amp;"के अपने स्वादिष्ट त्यौहारी भोजन के बाद उत्तर भारतीय फेनी को मिठाई के रूप में परोसें।")</f>
        <v>उत्तर भारतीय फेनी रेसिपी बनाने के लिए सबसे पहले हम सभी सामग्री तैयार कर लेंगे और एक तरफ रख देंगे। एक भारी तले के पैन में दूध को उबाल लें। आँच कम करें और इसे 5 से 10 मिनट तक थोड़ा गाढ़ा होने तक उबालें। जब दूध थोड़ा गाढ़ा हो जाए तो इसमें चीनी और बादाम पाउडर डालें और दो मिनट तक और उबालें। बादाम पाउडर दूध को गाढ़ा करने में मदद करेगा। इस स्तर पर फेनी डालें और अच्छी तरह मिलाएँ और आँच बंद कर दें। दूध और फेनी के मिश्रण को लगभग 10 मिनट तक पैन में ही रहने दें। यह गर्म दूध में फेनी को नरम करने में मदद करेगा। फेनी को एक सर्विंग बाउल में डालें। एक छोटे पैन में मध्यम से धीमी आँच पर घी गर्म करें और काजू और किशमिश को सुनहरा भूरा और कुरकुरा होने तक भूनें। आंच बंद कर दें और इसे फेनी (खीर) के ऊपर डालें। जोधपुरी आलू, अजवाइन पुरी, सात्विक गाजर अंकुरित सलाद और मिर्ची का चूंदा के अपने स्वादिष्ट त्यौहारी भोजन के बाद उत्तर भारतीय फेनी को मिठाई के रूप में परोसें।</v>
      </c>
      <c r="J27" s="3" t="s">
        <v>31109</v>
      </c>
      <c r="L27" s="1" t="s">
        <v>31003</v>
      </c>
    </row>
    <row r="28" spans="1:12" ht="13.8">
      <c r="A28" s="1" t="s">
        <v>31110</v>
      </c>
      <c r="B28" s="1" t="str">
        <f ca="1">IFERROR(__xludf.dummyfunction("IF(A28="""", """", GOOGLETRANSLATE(A28, ""en"", ""hi""))"),"दही वाले आलू रेसिपी (भारतीय दही आधारित आलू करी)")</f>
        <v>दही वाले आलू रेसिपी (भारतीय दही आधारित आलू करी)</v>
      </c>
      <c r="C28" s="1" t="s">
        <v>145</v>
      </c>
      <c r="D28" s="1" t="s">
        <v>14198</v>
      </c>
      <c r="E28" s="1">
        <v>55</v>
      </c>
      <c r="F28" s="1" t="s">
        <v>31111</v>
      </c>
      <c r="G28" s="1" t="str">
        <f ca="1">IFERROR(__xludf.dummyfunction("IF(F28="""", """", GOOGLETRANSLATE(F28, ""en"", ""hi""))"),"4 आलू - कटे हुए, 1-1/2 कप दही, 2 बड़े चम्मच बेसन, 1/3 छोटा चम्मच हींग, 1 छोटा चम्मच जीरा, 1 टहनी करी पत्ता, 1 प्याज - बारीक कटा हुआ, 1/2 छोटा चम्मच अदरक - बारीक कटा हुआ, 1/2 छोटा चम्मच लहसुन - बारीक कटा हुआ, 2 हरी मिर्च - कटी हुई, 1 छोटा चम्मच लाल मिर्च प"&amp;"ाउडर, 1-1/2 छोटा चम्मच धनिया पाउडर, 1/2 हल्दी पाउडर, नमक - स्वादानुसार, 4 बड़े चम्मच सूरजमुखी का तेल, धनिया पत्ता - कटा हुआ या गार्निश")</f>
        <v>4 आलू - कटे हुए, 1-1/2 कप दही, 2 बड़े चम्मच बेसन, 1/3 छोटा चम्मच हींग, 1 छोटा चम्मच जीरा, 1 टहनी करी पत्ता, 1 प्याज - बारीक कटा हुआ, 1/2 छोटा चम्मच अदरक - बारीक कटा हुआ, 1/2 छोटा चम्मच लहसुन - बारीक कटा हुआ, 2 हरी मिर्च - कटी हुई, 1 छोटा चम्मच लाल मिर्च पाउडर, 1-1/2 छोटा चम्मच धनिया पाउडर, 1/2 हल्दी पाउडर, नमक - स्वादानुसार, 4 बड़े चम्मच सूरजमुखी का तेल, धनिया पत्ता - कटा हुआ या गार्निश</v>
      </c>
      <c r="H28" s="1" t="s">
        <v>31112</v>
      </c>
      <c r="I28" s="1" t="str">
        <f ca="1">IFERROR(__xludf.dummyfunction("IF(H28="""", """", GOOGLETRANSLATE(H28, ""en"", ""hi""))"),"दही वाले आलू बनाने की विधि शुरू करने के लिए, सबसे पहले आलू को अच्छी तरह से धो लें। फिर उन्हें तब तक प्रेशर कुकर में पकाएं जब तक कि वे नरम न हो जाएं, लेकिन पूरी तरह से गूदेदार न हो जाएं। उन्हें प्रेशर कुकर में पकाने का तरीका सीखने के लिए आप इस विधि का पालन"&amp;" कर सकते हैं। कुकर से प्रेशर निकल जाने के बाद, ढक्कन खोलें, पानी निकाल दें और आलू को ठंडा होने दें। फिर, उन्हें छीलें और मोटे-मोटे टुकड़ों में तोड़ लें। एक बड़े कटोरे में, दही और बेसन को थोड़े से पानी के साथ डालें और एक साथ फेंटकर चिकना घोल बना लें। दही म"&amp;"ें कोई गांठ नहीं होनी चाहिए। इसे तब तक फेंटें जब तक यह चिकना न हो जाए और फिर अलग रख दें। एक कड़ाही या कड़ाही में थोड़ा तेल गर्म करें। जीरा और हींग डालें। जैसे ही जीरा चटकने लगे, बारीक कटा हुआ प्याज डालें और प्याज के नरम होने तक भूनें। इसके बाद बारीक कटा ह"&amp;"ुआ अदरक, लहसुन और हरी मिर्च के साथ करी पत्ता डालें और सभी को एक साथ कुछ मिनट तक मिलाएँ। लाल मिर्च पाउडर, धनिया पाउडर और हल्दी डालें और मसाले को तब तक अच्छी तरह से भूनें जब तक कि यह पक न जाए और किनारों से तेल न छोड़ने लगे। अगर आपको इस चरण में मसाला चिपकता "&amp;"हुआ लगे, तो इसमें थोड़ा पानी (2 बड़े चम्मच) डालें और अच्छी तरह मिलाएँ। आलू को मसाले में डालें और फिर से मिलाएँ जब तक कि आलू अच्छी तरह से लेपित न हो जाए। आँच को कम करें और आलू के ऊपर फेंटा हुआ दही डालना शुरू करें। अच्छी तरह मिलाएँ। अपने स्वाद के अनुसार नमक"&amp;" डालें और ढक्कन को बंद करके करी को 5 मिनट तक उबलने दें। जब यह पक जाए, तो आँच बंद कर दें, धनिया पत्ती से गार्निश करें और स्टीम्ड राइस या फुल्के के साथ परोसें।")</f>
        <v>दही वाले आलू बनाने की विधि शुरू करने के लिए, सबसे पहले आलू को अच्छी तरह से धो लें। फिर उन्हें तब तक प्रेशर कुकर में पकाएं जब तक कि वे नरम न हो जाएं, लेकिन पूरी तरह से गूदेदार न हो जाएं। उन्हें प्रेशर कुकर में पकाने का तरीका सीखने के लिए आप इस विधि का पालन कर सकते हैं। कुकर से प्रेशर निकल जाने के बाद, ढक्कन खोलें, पानी निकाल दें और आलू को ठंडा होने दें। फिर, उन्हें छीलें और मोटे-मोटे टुकड़ों में तोड़ लें। एक बड़े कटोरे में, दही और बेसन को थोड़े से पानी के साथ डालें और एक साथ फेंटकर चिकना घोल बना लें। दही में कोई गांठ नहीं होनी चाहिए। इसे तब तक फेंटें जब तक यह चिकना न हो जाए और फिर अलग रख दें। एक कड़ाही या कड़ाही में थोड़ा तेल गर्म करें। जीरा और हींग डालें। जैसे ही जीरा चटकने लगे, बारीक कटा हुआ प्याज डालें और प्याज के नरम होने तक भूनें। इसके बाद बारीक कटा हुआ अदरक, लहसुन और हरी मिर्च के साथ करी पत्ता डालें और सभी को एक साथ कुछ मिनट तक मिलाएँ। लाल मिर्च पाउडर, धनिया पाउडर और हल्दी डालें और मसाले को तब तक अच्छी तरह से भूनें जब तक कि यह पक न जाए और किनारों से तेल न छोड़ने लगे। अगर आपको इस चरण में मसाला चिपकता हुआ लगे, तो इसमें थोड़ा पानी (2 बड़े चम्मच) डालें और अच्छी तरह मिलाएँ। आलू को मसाले में डालें और फिर से मिलाएँ जब तक कि आलू अच्छी तरह से लेपित न हो जाए। आँच को कम करें और आलू के ऊपर फेंटा हुआ दही डालना शुरू करें। अच्छी तरह मिलाएँ। अपने स्वाद के अनुसार नमक डालें और ढक्कन को बंद करके करी को 5 मिनट तक उबलने दें। जब यह पक जाए, तो आँच बंद कर दें, धनिया पत्ती से गार्निश करें और स्टीम्ड राइस या फुल्के के साथ परोसें।</v>
      </c>
      <c r="J28" s="3" t="s">
        <v>31113</v>
      </c>
      <c r="L28" s="1" t="s">
        <v>31003</v>
      </c>
    </row>
    <row r="29" spans="1:12" ht="13.8">
      <c r="A29" s="1" t="s">
        <v>31114</v>
      </c>
      <c r="B29" s="1" t="str">
        <f ca="1">IFERROR(__xludf.dummyfunction("IF(A29="""", """", GOOGLETRANSLATE(A29, ""en"", ""hi""))"),"आलू भे की सब्जी रेसिपी (आलू लोटस स्टेम करी)")</f>
        <v>आलू भे की सब्जी रेसिपी (आलू लोटस स्टेम करी)</v>
      </c>
      <c r="C29" s="1" t="s">
        <v>145</v>
      </c>
      <c r="D29" s="1" t="s">
        <v>14198</v>
      </c>
      <c r="E29" s="1">
        <v>45</v>
      </c>
      <c r="F29" s="1" t="s">
        <v>31115</v>
      </c>
      <c r="G29" s="1" t="str">
        <f ca="1">IFERROR(__xludf.dummyfunction("IF(F29="""", """", GOOGLETRANSLATE(F29, ""en"", ""hi""))"),"3 आलू - छिले और कटे हुए, 1 कप लोटस स्टेम - गोल कटा हुआ, 1/2 कप घर का बना टमाटर प्यूरी, 1 चम्मच जीरा, 1/4 चम्मच हींग, 2 चम्मच धनिया पाउडर, 1 चम्मच हल्दी, 1/2 चम्मच लाल मिर्च पाउडर, 1 चम्मच गरम मसाला पाउडर, नमक - स्वादानुसार, सूरजमुखी तेल - पकाने के लिए, 4 "&amp;"टहनी धनिया - बारीक कटा हुआ, 2 प्याज - मोटे तौर पर कटा हुआ, 4 लहसुन, 1 इंच अदरक, 4 हरी मिर्च")</f>
        <v>3 आलू - छिले और कटे हुए, 1 कप लोटस स्टेम - गोल कटा हुआ, 1/2 कप घर का बना टमाटर प्यूरी, 1 चम्मच जीरा, 1/4 चम्मच हींग, 2 चम्मच धनिया पाउडर, 1 चम्मच हल्दी, 1/2 चम्मच लाल मिर्च पाउडर, 1 चम्मच गरम मसाला पाउडर, नमक - स्वादानुसार, सूरजमुखी तेल - पकाने के लिए, 4 टहनी धनिया - बारीक कटा हुआ, 2 प्याज - मोटे तौर पर कटा हुआ, 4 लहसुन, 1 इंच अदरक, 4 हरी मिर्च</v>
      </c>
      <c r="H29" s="1" t="s">
        <v>31116</v>
      </c>
      <c r="I29" s="1" t="str">
        <f ca="1">IFERROR(__xludf.dummyfunction("IF(H29="""", """", GOOGLETRANSLATE(H29, ""en"", ""hi""))"),"आलू भे की सब्ज़ी बनाने की विधि शुरू करने के लिए, हम सबसे पहले सभी विभिन्न घटकों को तैयार करेंगे। सबसे पहले, “पेस्ट बनाने के लिए सामग्री” के अंतर्गत सूचीबद्ध सामग्री को ब्लेंडर में डालें और उन्हें एक चिकनी पेस्ट में पीस लें। इसे एक कटोरे में डालें और बाद म"&amp;"ें इस्तेमाल के लिए अलग रख दें। फिर ब्लेंडर में 3 छोटे टमाटर डालें और उन्हें एक प्यूरी में पीस लें। प्यूरी को एक कटोरे में डालें और उसे भी अलग रख दें। अब सब्ज़ी बनाने के लिए, प्रेशर कुकर में थोड़ा तेल गर्म करें। जब यह पर्याप्त गर्म हो जाए, तो इसमें हींग और"&amp;" जीरा डालें और उन्हें चटकने दें। इसके बाद तैयार प्याज लहसुन का पेस्ट डालें और 3-4 मिनट तक अच्छी तरह से भूनें जब तक कि पेस्ट सुनहरा भूरा न हो जाए और कच्ची महक चली न जाए। इसके बाद लाल मिर्च पाउडर, हल्दी और धनिया पाउडर डालें। ऊपर से नमक डालें और 2 मिनट तक पक"&amp;"ाते रहें। इस स्तर पर, जब सभी मसाले पक जाएँ, तो तैयार टमाटर प्यूरी डालें और लगातार हिलाते हुए 3-4 मिनट तक पकाएँ, जब तक कि आप पैन के किनारों से तेल छोड़ते न देखें। यह इस बात का संकेत है कि मसाला अच्छी तरह पक गया है। अब इसमें कटे हुए आलू और लोटस स्टेम के टुक"&amp;"ड़े डालें, अच्छी तरह से चलाएँ और 2-3 मिनट तक पकाएँ। इसमें 2 कप पानी डालें और प्रेशर को ढक दें। सब्जी को 2 सीटी आने तक पकने दें। आँच बंद कर दें और प्रेशर को प्राकृतिक रूप से निकलने दें। जब वजन उठाया जा सके और ढक्कन आसानी से खुल जाए, तो पका हुआ मसाला खोलें "&amp;"और सब्जी को 5 मिनट तक धीमी आँच पर पकाएँ। इससे कुछ अतिरिक्त पानी वाष्पित हो जाएगा। इस स्तर पर आप नमक और मसाले का स्वाद ले सकते हैं और दोनों को अपने हिसाब से समायोजित कर सकते हैं। जब पक जाए, प्रेशर कुक को आँच से उतार लें, सब्जी को एक सर्विंग बाउल में डालें "&amp;"और फुल्के और कद्दू दाल तड़के के साथ गरमागरम परोसें।")</f>
        <v>आलू भे की सब्ज़ी बनाने की विधि शुरू करने के लिए, हम सबसे पहले सभी विभिन्न घटकों को तैयार करेंगे। सबसे पहले, “पेस्ट बनाने के लिए सामग्री” के अंतर्गत सूचीबद्ध सामग्री को ब्लेंडर में डालें और उन्हें एक चिकनी पेस्ट में पीस लें। इसे एक कटोरे में डालें और बाद में इस्तेमाल के लिए अलग रख दें। फिर ब्लेंडर में 3 छोटे टमाटर डालें और उन्हें एक प्यूरी में पीस लें। प्यूरी को एक कटोरे में डालें और उसे भी अलग रख दें। अब सब्ज़ी बनाने के लिए, प्रेशर कुकर में थोड़ा तेल गर्म करें। जब यह पर्याप्त गर्म हो जाए, तो इसमें हींग और जीरा डालें और उन्हें चटकने दें। इसके बाद तैयार प्याज लहसुन का पेस्ट डालें और 3-4 मिनट तक अच्छी तरह से भूनें जब तक कि पेस्ट सुनहरा भूरा न हो जाए और कच्ची महक चली न जाए। इसके बाद लाल मिर्च पाउडर, हल्दी और धनिया पाउडर डालें। ऊपर से नमक डालें और 2 मिनट तक पकाते रहें। इस स्तर पर, जब सभी मसाले पक जाएँ, तो तैयार टमाटर प्यूरी डालें और लगातार हिलाते हुए 3-4 मिनट तक पकाएँ, जब तक कि आप पैन के किनारों से तेल छोड़ते न देखें। यह इस बात का संकेत है कि मसाला अच्छी तरह पक गया है। अब इसमें कटे हुए आलू और लोटस स्टेम के टुकड़े डालें, अच्छी तरह से चलाएँ और 2-3 मिनट तक पकाएँ। इसमें 2 कप पानी डालें और प्रेशर को ढक दें। सब्जी को 2 सीटी आने तक पकने दें। आँच बंद कर दें और प्रेशर को प्राकृतिक रूप से निकलने दें। जब वजन उठाया जा सके और ढक्कन आसानी से खुल जाए, तो पका हुआ मसाला खोलें और सब्जी को 5 मिनट तक धीमी आँच पर पकाएँ। इससे कुछ अतिरिक्त पानी वाष्पित हो जाएगा। इस स्तर पर आप नमक और मसाले का स्वाद ले सकते हैं और दोनों को अपने हिसाब से समायोजित कर सकते हैं। जब पक जाए, प्रेशर कुक को आँच से उतार लें, सब्जी को एक सर्विंग बाउल में डालें और फुल्के और कद्दू दाल तड़के के साथ गरमागरम परोसें।</v>
      </c>
      <c r="J29" s="3" t="s">
        <v>31117</v>
      </c>
      <c r="L29" s="1" t="s">
        <v>31003</v>
      </c>
    </row>
    <row r="30" spans="1:12" ht="13.8">
      <c r="A30" s="1" t="s">
        <v>31118</v>
      </c>
      <c r="B30" s="1" t="str">
        <f ca="1">IFERROR(__xludf.dummyfunction("IF(A30="""", """", GOOGLETRANSLATE(A30, ""en"", ""hi""))"),"बैंगन सरसों का साग रेसिपी")</f>
        <v>बैंगन सरसों का साग रेसिपी</v>
      </c>
      <c r="C30" s="1" t="s">
        <v>145</v>
      </c>
      <c r="D30" s="1" t="s">
        <v>14338</v>
      </c>
      <c r="E30" s="1">
        <v>25</v>
      </c>
      <c r="F30" s="1" t="s">
        <v>31119</v>
      </c>
      <c r="G30" s="1" t="str">
        <f ca="1">IFERROR(__xludf.dummyfunction("IF(F30="""", """", GOOGLETRANSLATE(F30, ""en"", ""hi""))"),"300 ग्राम छोटे बैंगन - चौथाई भाग में कटे हुए, 200 ग्राम सरसों के पत्ते, 1 प्याज - कटा हुआ, 4 लहसुन के दाने - बारीक कटा हुआ, 1 इंच अदरक - बारीक कटा हुआ, 1/2 छोटा चम्मच जीरा, 1 छोटा चम्मच लाल मिर्च पाउडर, 1 छोटा चम्मच धनिया पाउडर, 1 छोटा चम्मच गरम मसाला पाउ"&amp;"डर, 1 छोटा चम्मच आमचूर, नमक - स्वादानुसार, 3 बड़े चम्मच सरसों का तेल - पकाने के लिए")</f>
        <v>300 ग्राम छोटे बैंगन - चौथाई भाग में कटे हुए, 200 ग्राम सरसों के पत्ते, 1 प्याज - कटा हुआ, 4 लहसुन के दाने - बारीक कटा हुआ, 1 इंच अदरक - बारीक कटा हुआ, 1/2 छोटा चम्मच जीरा, 1 छोटा चम्मच लाल मिर्च पाउडर, 1 छोटा चम्मच धनिया पाउडर, 1 छोटा चम्मच गरम मसाला पाउडर, 1 छोटा चम्मच आमचूर, नमक - स्वादानुसार, 3 बड़े चम्मच सरसों का तेल - पकाने के लिए</v>
      </c>
      <c r="H30" s="1" t="s">
        <v>31120</v>
      </c>
      <c r="I30" s="1" t="str">
        <f ca="1">IFERROR(__xludf.dummyfunction("IF(H30="""", """", GOOGLETRANSLATE(H30, ""en"", ""hi""))"),"बैंगन सरसों का साग रेसिपी बनाने के लिए सबसे पहले सभी सामग्री तैयार कर लें और एक तरफ रख दें। बैंगन को चौथाई भाग में काट लें और उन्हें नमकीन पानी में तब तक रखें जब तक आप उनका उपयोग न करें। नमकीन पानी में रखने से बैंगन का रंग खराब नहीं होता। सरसों के साग को "&amp;"धोकर मोटा-मोटा काट लें और एक तरफ रख दें। इसके बाद एक गहरे पैन या कड़ाही में तेल गर्म करें और जब तेल धुआँ छोड़ने लगे तो आँच को मध्यम कर दें। जीरा डालें और उन्हें चटकने दें। फिर प्याज़, अदरक और लहसुन डालें और प्याज़ के पकने तक भूनें। अब पैन में पानी से निका"&amp;"ले हुए और कटे हुए बैंगन के टुकड़े डालें और भूनें। थोड़ा पानी छिड़कें, ढककर बैंगन को तब तक पकाएं जब तक वह पक न जाए और अच्छी तरह से भुन न जाए। इसमें लगभग 4 से 5 मिनट का समय लगेगा। जब बैंगन अच्छी तरह से भुन जाए, नरम हो जाए और पक जाए तो पैन में सभी सूखे मसाले"&amp;", मिर्च पाउडर, हल्दी पाउडर, धनिया पाउडर, गरम मसाला पाउडर, अमचूर पाउडर, नमक डालें और एक मिनट तक तब तक भूनें जब तक कि बैंगन मसालों से अच्छी तरह से लिपट न जाए। अंत में कटे हुए सरसों के पत्ते बैंगन में डालें और ढककर तब तक पकाएं जब तक कि सरसों का साग पूरी तरह "&amp;"से पक न जाए। इसमें भी लगभग 3 से 4 मिनट का समय लगेगा। बैंगन सरसों के साग में नमक और मसाले की जांच करें और स्वादानुसार समायोजित करें। जब हो जाए तो आंच बंद कर दें और बैंगन सरसों के साग को एक सर्विंग बाउल में डालें और गरमागरम परोसें")</f>
        <v>बैंगन सरसों का साग रेसिपी बनाने के लिए सबसे पहले सभी सामग्री तैयार कर लें और एक तरफ रख दें। बैंगन को चौथाई भाग में काट लें और उन्हें नमकीन पानी में तब तक रखें जब तक आप उनका उपयोग न करें। नमकीन पानी में रखने से बैंगन का रंग खराब नहीं होता। सरसों के साग को धोकर मोटा-मोटा काट लें और एक तरफ रख दें। इसके बाद एक गहरे पैन या कड़ाही में तेल गर्म करें और जब तेल धुआँ छोड़ने लगे तो आँच को मध्यम कर दें। जीरा डालें और उन्हें चटकने दें। फिर प्याज़, अदरक और लहसुन डालें और प्याज़ के पकने तक भूनें। अब पैन में पानी से निकाले हुए और कटे हुए बैंगन के टुकड़े डालें और भूनें। थोड़ा पानी छिड़कें, ढककर बैंगन को तब तक पकाएं जब तक वह पक न जाए और अच्छी तरह से भुन न जाए। इसमें लगभग 4 से 5 मिनट का समय लगेगा। जब बैंगन अच्छी तरह से भुन जाए, नरम हो जाए और पक जाए तो पैन में सभी सूखे मसाले, मिर्च पाउडर, हल्दी पाउडर, धनिया पाउडर, गरम मसाला पाउडर, अमचूर पाउडर, नमक डालें और एक मिनट तक तब तक भूनें जब तक कि बैंगन मसालों से अच्छी तरह से लिपट न जाए। अंत में कटे हुए सरसों के पत्ते बैंगन में डालें और ढककर तब तक पकाएं जब तक कि सरसों का साग पूरी तरह से पक न जाए। इसमें भी लगभग 3 से 4 मिनट का समय लगेगा। बैंगन सरसों के साग में नमक और मसाले की जांच करें और स्वादानुसार समायोजित करें। जब हो जाए तो आंच बंद कर दें और बैंगन सरसों के साग को एक सर्विंग बाउल में डालें और गरमागरम परोसें</v>
      </c>
      <c r="J30" s="3" t="s">
        <v>31121</v>
      </c>
      <c r="L30" s="1" t="s">
        <v>31003</v>
      </c>
    </row>
    <row r="31" spans="1:12" ht="13.8">
      <c r="A31" s="1" t="s">
        <v>31122</v>
      </c>
      <c r="B31" s="1" t="str">
        <f ca="1">IFERROR(__xludf.dummyfunction("IF(A31="""", """", GOOGLETRANSLATE(A31, ""en"", ""hi""))"),"पनीर के साथ भरवां भिन्डी")</f>
        <v>पनीर के साथ भरवां भिन्डी</v>
      </c>
      <c r="C31" s="1" t="s">
        <v>145</v>
      </c>
      <c r="D31" s="1" t="s">
        <v>14198</v>
      </c>
      <c r="E31" s="1">
        <v>40</v>
      </c>
      <c r="F31" s="1" t="s">
        <v>31123</v>
      </c>
      <c r="G31" s="1" t="str">
        <f ca="1">IFERROR(__xludf.dummyfunction("IF(F31="""", """", GOOGLETRANSLATE(F31, ""en"", ""hi""))"),"250 ग्राम भिंडी, तेल - आवश्यकतानुसार, 1 प्याज - बारीक कटा हुआ, 1 टमाटर - कसा हुआ, 1 चम्मच अदरक - कसा हुआ, 2 लहसुन - बारीक कटा हुआ, 1/2 चम्मच जीरा, 1/4 चम्मच हींग, नमक - स्वादानुसार, 1 कप पनीर - टुकड़ों में कटा हुआ, 1/2 चम्मच धनिया पाउडर, 1/4 चम्मच अमचूर प"&amp;"ाउडर, 1/4 चम्मच लाल मिर्च पाउडर, 1/4 चम्मच हल्दी पाउडर, नमक - स्वादानुसार")</f>
        <v>250 ग्राम भिंडी, तेल - आवश्यकतानुसार, 1 प्याज - बारीक कटा हुआ, 1 टमाटर - कसा हुआ, 1 चम्मच अदरक - कसा हुआ, 2 लहसुन - बारीक कटा हुआ, 1/2 चम्मच जीरा, 1/4 चम्मच हींग, नमक - स्वादानुसार, 1 कप पनीर - टुकड़ों में कटा हुआ, 1/2 चम्मच धनिया पाउडर, 1/4 चम्मच अमचूर पाउडर, 1/4 चम्मच लाल मिर्च पाउडर, 1/4 चम्मच हल्दी पाउडर, नमक - स्वादानुसार</v>
      </c>
      <c r="H31" s="1" t="s">
        <v>31124</v>
      </c>
      <c r="I31" s="1" t="str">
        <f ca="1">IFERROR(__xludf.dummyfunction("IF(H31="""", """", GOOGLETRANSLATE(H31, ""en"", ""hi""))"),"पनीर भर्मा भिंडी बनाने के लिए सबसे पहले भिंडी को धोकर अच्छे से सुखा लें. इसके बाद इसके डंठल काट लें. बीच में से चीरा लगाकर बीज निकाल कर अलग रख लें. भर्मा मसाला बनाने के लिए पनीर मसाला की सामग्री को एक बाउल में मिला लें. इसे अच्छे से मिलाकर एक तरफ रख दें. "&amp;"इस मसाले को भिंडी में अच्छे से भर दें. सारी भिंडी भरकर एक तरफ रख दें. अब एक माइक्रोवेव सेफ ट्रे को तेल से चिकना कर लें और सारी भिंडी उस पर रख दें. भिंडी को 3 से 4 मिनट तक पकने दें. अब एक पैन में तेल गर्म करें. इसमें जीरा, हींग डालें. इसके बाद कटा हुआ प्या"&amp;"ज, अदरक, लहसुन डालें और प्याज के पकने तक पकाएं. इसमें कद्दूकस किया हुआ टमाटर डालें और तेज आंच पर पकाएं. अगर भर्मा मसाला बचा हो तो उसे पैन में मिला दें पनीर भरमा भिन्डी को गरमा गरम गुजराती कढ़ी और रोटी के साथ परोसिये.")</f>
        <v>पनीर भर्मा भिंडी बनाने के लिए सबसे पहले भिंडी को धोकर अच्छे से सुखा लें. इसके बाद इसके डंठल काट लें. बीच में से चीरा लगाकर बीज निकाल कर अलग रख लें. भर्मा मसाला बनाने के लिए पनीर मसाला की सामग्री को एक बाउल में मिला लें. इसे अच्छे से मिलाकर एक तरफ रख दें. इस मसाले को भिंडी में अच्छे से भर दें. सारी भिंडी भरकर एक तरफ रख दें. अब एक माइक्रोवेव सेफ ट्रे को तेल से चिकना कर लें और सारी भिंडी उस पर रख दें. भिंडी को 3 से 4 मिनट तक पकने दें. अब एक पैन में तेल गर्म करें. इसमें जीरा, हींग डालें. इसके बाद कटा हुआ प्याज, अदरक, लहसुन डालें और प्याज के पकने तक पकाएं. इसमें कद्दूकस किया हुआ टमाटर डालें और तेज आंच पर पकाएं. अगर भर्मा मसाला बचा हो तो उसे पैन में मिला दें पनीर भरमा भिन्डी को गरमा गरम गुजराती कढ़ी और रोटी के साथ परोसिये.</v>
      </c>
      <c r="J31" s="3" t="s">
        <v>31125</v>
      </c>
      <c r="L31" s="1" t="s">
        <v>31003</v>
      </c>
    </row>
    <row r="32" spans="1:12" ht="13.8">
      <c r="A32" s="1" t="s">
        <v>31126</v>
      </c>
      <c r="B32" s="1" t="str">
        <f ca="1">IFERROR(__xludf.dummyfunction("IF(A32="""", """", GOOGLETRANSLATE(A32, ""en"", ""hi""))"),"बेल का शरबत रेसिपी - बेल का शरबत ड्रिंक")</f>
        <v>बेल का शरबत रेसिपी - बेल का शरबत ड्रिंक</v>
      </c>
      <c r="C32" s="1" t="s">
        <v>14572</v>
      </c>
      <c r="D32" s="1" t="s">
        <v>14198</v>
      </c>
      <c r="E32" s="1">
        <v>10</v>
      </c>
      <c r="F32" s="1" t="s">
        <v>31127</v>
      </c>
      <c r="G32" s="1" t="str">
        <f ca="1">IFERROR(__xludf.dummyfunction("IF(F32="""", """", GOOGLETRANSLATE(F32, ""en"", ""hi""))"),"1 बेल, 2 बड़े चम्मच गुड़ - या चीनी, काला नमक (काला नमक) - स्वादानुसार, 1 छोटा चम्मच जीरा पाउडर (जीरा), 1 नींबू का रस, पुदीना के पत्ते (पुदीना) - आवश्यकतानुसार, पानी - ठंडा, बर्फ के टुकड़े")</f>
        <v>1 बेल, 2 बड़े चम्मच गुड़ - या चीनी, काला नमक (काला नमक) - स्वादानुसार, 1 छोटा चम्मच जीरा पाउडर (जीरा), 1 नींबू का रस, पुदीना के पत्ते (पुदीना) - आवश्यकतानुसार, पानी - ठंडा, बर्फ के टुकड़े</v>
      </c>
      <c r="H32" s="1" t="s">
        <v>31128</v>
      </c>
      <c r="I32" s="1" t="str">
        <f ca="1">IFERROR(__xludf.dummyfunction("IF(H32="""", """", GOOGLETRANSLATE(H32, ""en"", ""hi""))"),"बेल का शरबत बनाने की विधि शुरू करने के लिए पुदीने की पत्तियों को मसल कर अलग रख दें। फल को फर्श पर मारकर तोड़ लें। एक बड़े कटोरे में चम्मच या स्कूपर का उपयोग करके गूदा निकाल लें। थोड़ा पानी डालें और गूदे को अपने हाथों से मसल लें ताकि बीज अलग हो जाएं। अब एक"&amp;" छलनी का उपयोग करके तरल को छान लें और बीज और फाइबर को अलग कर दें। एक बार फिर से प्रक्रिया दोहराएं, थोड़ा और पानी डालें। चीनी/गुड़, नींबू का रस और बचा हुआ मसाला जिसमें काला नमक और जीरा पाउडर शामिल है। मसले हुए पुदीने के पत्ते डालें। पानी, बर्फ के टुकड़े डा"&amp;"लें और बेल का शरबत को अच्छी तरह मिलाएँ। मसालों की मात्रा अपनी पसंद के अनुसार समायोजित करें और परोसें। बेल का शरबत अपने परिवार को गर्मियों के पेय के रूप में परोसें। आप इसे अपने मेहमानों को बेक्ड चेवडो रेसिपी (चिवड़ा मिश्रण-टी टाइम स्नैक)")</f>
        <v>बेल का शरबत बनाने की विधि शुरू करने के लिए पुदीने की पत्तियों को मसल कर अलग रख दें। फल को फर्श पर मारकर तोड़ लें। एक बड़े कटोरे में चम्मच या स्कूपर का उपयोग करके गूदा निकाल लें। थोड़ा पानी डालें और गूदे को अपने हाथों से मसल लें ताकि बीज अलग हो जाएं। अब एक छलनी का उपयोग करके तरल को छान लें और बीज और फाइबर को अलग कर दें। एक बार फिर से प्रक्रिया दोहराएं, थोड़ा और पानी डालें। चीनी/गुड़, नींबू का रस और बचा हुआ मसाला जिसमें काला नमक और जीरा पाउडर शामिल है। मसले हुए पुदीने के पत्ते डालें। पानी, बर्फ के टुकड़े डालें और बेल का शरबत को अच्छी तरह मिलाएँ। मसालों की मात्रा अपनी पसंद के अनुसार समायोजित करें और परोसें। बेल का शरबत अपने परिवार को गर्मियों के पेय के रूप में परोसें। आप इसे अपने मेहमानों को बेक्ड चेवडो रेसिपी (चिवड़ा मिश्रण-टी टाइम स्नैक)</v>
      </c>
      <c r="J32" s="3" t="s">
        <v>31129</v>
      </c>
      <c r="L32" s="1" t="s">
        <v>31003</v>
      </c>
    </row>
    <row r="33" spans="1:12" ht="13.8">
      <c r="A33" s="1" t="s">
        <v>31130</v>
      </c>
      <c r="B33" s="1" t="str">
        <f ca="1">IFERROR(__xludf.dummyfunction("IF(A33="""", """", GOOGLETRANSLATE(A33, ""en"", ""hi""))"),"कसूरी मेथी और आलू रसेदार रेसिपी")</f>
        <v>कसूरी मेथी और आलू रसेदार रेसिपी</v>
      </c>
      <c r="C33" s="1" t="s">
        <v>14207</v>
      </c>
      <c r="D33" s="1" t="s">
        <v>14198</v>
      </c>
      <c r="E33" s="1">
        <v>30</v>
      </c>
      <c r="F33" s="1" t="s">
        <v>31131</v>
      </c>
      <c r="G33" s="1" t="str">
        <f ca="1">IFERROR(__xludf.dummyfunction("IF(F33="""", """", GOOGLETRANSLATE(F33, ""en"", ""hi""))"),"2 कप आलू - उबले और मोटे तौर पर मैश किए हुए, 1 कप टमाटर - बारीक कटा हुआ, 1-1/2 बड़ा चम्मच अदरक - कसा और पीसा हुआ, 2 हरी मिर्च - चीरी हुई, 2 बड़े चम्मच कसूरी मेथी - (समायोजित करें), 1/2 चम्मच सौंफ, 1 चम्मच जीरा, 1/2 चम्मच मेथी के बीज, 1 बड़ा चम्मच धनिया पाउ"&amp;"डर, 1 चम्मच लाल मिर्च पाउडर, 1 चम्मच जीरा, 1/2 चम्मच हल्दी, 1 चम्मच गरम मसाला पाउडर, 2 चम्मच अमचूर, 1 बड़ा चम्मच घी, नमक - स्वादानुसार")</f>
        <v>2 कप आलू - उबले और मोटे तौर पर मैश किए हुए, 1 कप टमाटर - बारीक कटा हुआ, 1-1/2 बड़ा चम्मच अदरक - कसा और पीसा हुआ, 2 हरी मिर्च - चीरी हुई, 2 बड़े चम्मच कसूरी मेथी - (समायोजित करें), 1/2 चम्मच सौंफ, 1 चम्मच जीरा, 1/2 चम्मच मेथी के बीज, 1 बड़ा चम्मच धनिया पाउडर, 1 चम्मच लाल मिर्च पाउडर, 1 चम्मच जीरा, 1/2 चम्मच हल्दी, 1 चम्मच गरम मसाला पाउडर, 2 चम्मच अमचूर, 1 बड़ा चम्मच घी, नमक - स्वादानुसार</v>
      </c>
      <c r="H33" s="1" t="s">
        <v>31132</v>
      </c>
      <c r="I33" s="1" t="str">
        <f ca="1">IFERROR(__xludf.dummyfunction("IF(H33="""", """", GOOGLETRANSLATE(H33, ""en"", ""hi""))"),"कसूरी मेथी और आलू रसेदार रेसिपी बनाने के लिए सबसे पहले आलू को प्रेशर कुकर में उबाल लें। एक बार हो जाने पर, आलू को छीलकर मसल लें, कुछ टुकड़े ऐसे ही रहने दें। मध्यम आंच पर एक कड़ाही में घी गर्म करें, उसमें जीरा, सौंफ और मेथी के बीज डालें और उसे चटकने दें। स"&amp;"ूखे मेथी के पत्ते (कसूरी मेथी) डालें और उसकी खुशबू तेल में आने दें। अदरक का पेस्ट, कटी हरी मिर्च डालें और तब तक भूनें जब तक कि कच्ची महक न चली जाए। कटे हुए टमाटर डालें और आधा पकने तक भूनें। धनिया, हल्दी, जीरा और लाल मिर्च पाउडर डालें और 2 मिनट तक भूनें। अ"&amp;"ब, मोटे तौर पर मसले हुए आलू और दो कप पानी डालें और अच्छी तरह मिलाएँ। नमक, आमचूर पाउडर डालें और मिश्रण को 5 से 6 मिनट तक उबालें। जब ग्रेवी एक साथ आ जाए और आपकी मनचाही स्थिरता पर पहुँच जाए, तो आँच बंद कर दें। एक चम्मच कसूरी मेथी से गार्निश करें और कसूरी मेथ"&amp;"ी और आलू रसेदार रेसिपी को पराठों के साथ परोसें")</f>
        <v>कसूरी मेथी और आलू रसेदार रेसिपी बनाने के लिए सबसे पहले आलू को प्रेशर कुकर में उबाल लें। एक बार हो जाने पर, आलू को छीलकर मसल लें, कुछ टुकड़े ऐसे ही रहने दें। मध्यम आंच पर एक कड़ाही में घी गर्म करें, उसमें जीरा, सौंफ और मेथी के बीज डालें और उसे चटकने दें। सूखे मेथी के पत्ते (कसूरी मेथी) डालें और उसकी खुशबू तेल में आने दें। अदरक का पेस्ट, कटी हरी मिर्च डालें और तब तक भूनें जब तक कि कच्ची महक न चली जाए। कटे हुए टमाटर डालें और आधा पकने तक भूनें। धनिया, हल्दी, जीरा और लाल मिर्च पाउडर डालें और 2 मिनट तक भूनें। अब, मोटे तौर पर मसले हुए आलू और दो कप पानी डालें और अच्छी तरह मिलाएँ। नमक, आमचूर पाउडर डालें और मिश्रण को 5 से 6 मिनट तक उबालें। जब ग्रेवी एक साथ आ जाए और आपकी मनचाही स्थिरता पर पहुँच जाए, तो आँच बंद कर दें। एक चम्मच कसूरी मेथी से गार्निश करें और कसूरी मेथी और आलू रसेदार रेसिपी को पराठों के साथ परोसें</v>
      </c>
      <c r="J33" s="3" t="s">
        <v>31133</v>
      </c>
      <c r="L33" s="1" t="s">
        <v>31003</v>
      </c>
    </row>
    <row r="34" spans="1:12" ht="13.8">
      <c r="A34" s="1" t="s">
        <v>31134</v>
      </c>
      <c r="B34" s="1" t="str">
        <f ca="1">IFERROR(__xludf.dummyfunction("IF(A34="""", """", GOOGLETRANSLATE(A34, ""en"", ""hi""))"),"पालक-मोठ बीन्स चीला के साथ अंकुरित मटकी चीला रेसिपी")</f>
        <v>पालक-मोठ बीन्स चीला के साथ अंकुरित मटकी चीला रेसिपी</v>
      </c>
      <c r="C34" s="1" t="s">
        <v>16424</v>
      </c>
      <c r="D34" s="1" t="s">
        <v>14338</v>
      </c>
      <c r="E34" s="1">
        <v>265</v>
      </c>
      <c r="F34" s="1" t="s">
        <v>31135</v>
      </c>
      <c r="G34" s="1" t="str">
        <f ca="1">IFERROR(__xludf.dummyfunction("IF(F34="""", """", GOOGLETRANSLATE(F34, ""en"", ""hi""))"),"1 कप मटकी, 1/2 कप सफ़ेद उड़द दाल - 4 घंटे भिगोई हुई, 2 हरी मिर्च, 1 छोटा चम्मच सौंफ, 1 इंच अदरक, 1 कप पालक - दरदरा पिसा हुआ, नमक - स्वादानुसार, 1/4 छोटा चम्मच हल्दी, सूरजमुखी का तेल - पकाने के लिए")</f>
        <v>1 कप मटकी, 1/2 कप सफ़ेद उड़द दाल - 4 घंटे भिगोई हुई, 2 हरी मिर्च, 1 छोटा चम्मच सौंफ, 1 इंच अदरक, 1 कप पालक - दरदरा पिसा हुआ, नमक - स्वादानुसार, 1/4 छोटा चम्मच हल्दी, सूरजमुखी का तेल - पकाने के लिए</v>
      </c>
      <c r="H34" s="1" t="s">
        <v>31136</v>
      </c>
      <c r="I34" s="1" t="str">
        <f ca="1">IFERROR(__xludf.dummyfunction("IF(H34="""", """", GOOGLETRANSLATE(H34, ""en"", ""hi""))"),"अंकुरित मोठ चीला रेसिपी पालक के साथ बनाने के लिए, हमें अंकुरित अनाज तैयार रखने की जरूरत है। एक मिक्सर जार में मोठ के अंकुरित दाने, भिगोई और निथारी हुई उड़द दाल, हरी मिर्च, सौंफ के बीज और अदरक को मिलाएं, एक मुलायम पेस्ट बना लें। एक मिक्सिंग बाउल में डालें,"&amp;" बारीक कटी हुई मेथी, मोटे पिसे हुए पालक के पत्ते, नमक और हल्दी मिलाएँ। नमक और मसाले के स्तर की जाँच करें और अपने स्वाद के अनुसार समायोजित करें। चीला बैटर डोसा बैटर या पैनकेक बैटर की स्थिरता के समान होगा। बैटर चम्मच के पीछे कोट करने में सक्षम होना चाहिए। म"&amp;"ध्यम आँच पर एक कड़ाही गरम करें, पैन पर चीला बैटर का एक बड़ा चमचा डालें और इसे एक पतली क्रेप / डोसा बनाने के लिए एक गोलाकार गति में फैलाएँ। अंकुरित मोठ चीला रेसिपी पालक के साथ चारों ओर थोड़ा तेल छिड़कें और इसे तब तक पकाएँ जब तक कि ऊपर से कच्चा न लगे और आप "&amp;"देखें कि किनारे भूरे हो रहे हैं। मटकी चीला को पलटें और दूसरी तरफ कुछ सेकंड के लिए पकाएं। एक बार हो जाने पर, अंकुरित मोठ चीला रेसिपी को एक प्लेट में निकाल लें और बचे हुए बैटर से चीला बनाना शुरू करें। इस अंकुरित मोठ चीला रेसिपी को पालक के साथ मीठी और तीखी ट"&amp;"माटर की चटनी के साथ हल्के और साधारण रात के खाने या मधुमेह के अनुकूल नाश्ते के लिए परोसें।")</f>
        <v>अंकुरित मोठ चीला रेसिपी पालक के साथ बनाने के लिए, हमें अंकुरित अनाज तैयार रखने की जरूरत है। एक मिक्सर जार में मोठ के अंकुरित दाने, भिगोई और निथारी हुई उड़द दाल, हरी मिर्च, सौंफ के बीज और अदरक को मिलाएं, एक मुलायम पेस्ट बना लें। एक मिक्सिंग बाउल में डालें, बारीक कटी हुई मेथी, मोटे पिसे हुए पालक के पत्ते, नमक और हल्दी मिलाएँ। नमक और मसाले के स्तर की जाँच करें और अपने स्वाद के अनुसार समायोजित करें। चीला बैटर डोसा बैटर या पैनकेक बैटर की स्थिरता के समान होगा। बैटर चम्मच के पीछे कोट करने में सक्षम होना चाहिए। मध्यम आँच पर एक कड़ाही गरम करें, पैन पर चीला बैटर का एक बड़ा चमचा डालें और इसे एक पतली क्रेप / डोसा बनाने के लिए एक गोलाकार गति में फैलाएँ। अंकुरित मोठ चीला रेसिपी पालक के साथ चारों ओर थोड़ा तेल छिड़कें और इसे तब तक पकाएँ जब तक कि ऊपर से कच्चा न लगे और आप देखें कि किनारे भूरे हो रहे हैं। मटकी चीला को पलटें और दूसरी तरफ कुछ सेकंड के लिए पकाएं। एक बार हो जाने पर, अंकुरित मोठ चीला रेसिपी को एक प्लेट में निकाल लें और बचे हुए बैटर से चीला बनाना शुरू करें। इस अंकुरित मोठ चीला रेसिपी को पालक के साथ मीठी और तीखी टमाटर की चटनी के साथ हल्के और साधारण रात के खाने या मधुमेह के अनुकूल नाश्ते के लिए परोसें।</v>
      </c>
      <c r="J34" s="3" t="s">
        <v>31137</v>
      </c>
      <c r="L34" s="1" t="s">
        <v>31003</v>
      </c>
    </row>
    <row r="35" spans="1:12" ht="13.8">
      <c r="A35" s="1" t="s">
        <v>31138</v>
      </c>
      <c r="B35" s="1" t="str">
        <f ca="1">IFERROR(__xludf.dummyfunction("IF(A35="""", """", GOOGLETRANSLATE(A35, ""en"", ""hi""))"),"चना और आलू की सूखी सब्जी रेसिपी")</f>
        <v>चना और आलू की सूखी सब्जी रेसिपी</v>
      </c>
      <c r="C35" s="1" t="s">
        <v>145</v>
      </c>
      <c r="D35" s="1" t="s">
        <v>14237</v>
      </c>
      <c r="E35" s="1">
        <v>30</v>
      </c>
      <c r="F35" s="1" t="s">
        <v>31139</v>
      </c>
      <c r="G35" s="1" t="str">
        <f ca="1">IFERROR(__xludf.dummyfunction("IF(F35="""", """", GOOGLETRANSLATE(F35, ""en"", ""hi""))"),"1 कप काबुली चना (सफेद छोले) - उबले हुए, 3 आलू (आलू) - उबले हुए, 1 प्याज - बारीक कटा हुआ, 1 टमाटर - बारीक कटा हुआ, 1 हरी मिर्च - बारीक कटी हुई, 1 बड़ा चम्मच अदरक लहसुन का पेस्ट, 1 चम्मच लाल मिर्च पाउडर, 1/2 चम्मच हल्दी पाउडर (हल्दी), 2 चम्मच धनिया पाउडर (ध"&amp;"निया), 1 चम्मच गरम मसाला पाउडर, 1 चम्मच आमचूर (सूखा आम पाउडर), 1 चम्मच जीरा (जीरा), 4 टहनी धनिया (धनिया) के पत्ते - गार्निश के लिए बारीक कटे हुए, 1 इंच अदरक - गार्निश के लिए लंबी पतली स्ट्रिप्स में कटा हुआ, 1 बड़ा चम्मच सूरजमुखी का तेल, नमक - स्वादानुसार")</f>
        <v>1 कप काबुली चना (सफेद छोले) - उबले हुए, 3 आलू (आलू) - उबले हुए, 1 प्याज - बारीक कटा हुआ, 1 टमाटर - बारीक कटा हुआ, 1 हरी मिर्च - बारीक कटी हुई, 1 बड़ा चम्मच अदरक लहसुन का पेस्ट, 1 चम्मच लाल मिर्च पाउडर, 1/2 चम्मच हल्दी पाउडर (हल्दी), 2 चम्मच धनिया पाउडर (धनिया), 1 चम्मच गरम मसाला पाउडर, 1 चम्मच आमचूर (सूखा आम पाउडर), 1 चम्मच जीरा (जीरा), 4 टहनी धनिया (धनिया) के पत्ते - गार्निश के लिए बारीक कटे हुए, 1 इंच अदरक - गार्निश के लिए लंबी पतली स्ट्रिप्स में कटा हुआ, 1 बड़ा चम्मच सूरजमुखी का तेल, नमक - स्वादानुसार</v>
      </c>
      <c r="H35" s="1" t="s">
        <v>31140</v>
      </c>
      <c r="I35" s="1" t="str">
        <f ca="1">IFERROR(__xludf.dummyfunction("IF(H35="""", """", GOOGLETRANSLATE(H35, ""en"", ""hi""))"),"चना और आलू की सूखी सब्जी बनाने के लिए, चने को रात भर भिगो दें और भिगोए हुए चने को पर्याप्त पानी में 3 सीटी आने तक पका लें और एक तरफ रख दें। इसी तरह, आलू को धोकर 1 कप पानी के साथ प्रेशर कुकर में 2 सीटी आने तक उबालें; छिलका उतारें, क्यूब्स में काटें और एक त"&amp;"रफ रख दें। मध्यम आँच पर एक कड़ाही में तेल गर्म करें, उसमें जीरा डालें और उसे चटकने दें। बारीक कटा हुआ प्याज डालें और पारदर्शी होने तक भूनें। अदरक और लहसुन का पेस्ट डालें और कच्ची महक जाने तक पकाएँ। कटे हुए टमाटर और हरी मिर्च डालें और टमाटर के नरम और अच्छी"&amp;" तरह पकने तक भूनें। अब लाल मिर्च, हल्दी, धनिया और गरम मसाला पाउडर और सॉस डालें जब तक कि मसाले पक न जाएँ। पके हुए छोले और उबले आलू के क्यूब्स डालें, नमक डालें और अच्छी तरह मिलाएँ। इस मिश्रण को और 10 मिनट तक पकने दें। अमचूर पाउडर डालें, इसे अच्छे से मिलाएँ "&amp;"और आँच बंद कर दें। धनिया पत्ती और अदरक के टुकड़ों से गार्निश करें और चना और आलू की सूखी सब्ज़ी रेसिपी को अपने बच्चों के लंच बॉक्स या सप्ताह की रात के खाने के लिए फुल्के या पराठे के साथ परोसें।")</f>
        <v>चना और आलू की सूखी सब्जी बनाने के लिए, चने को रात भर भिगो दें और भिगोए हुए चने को पर्याप्त पानी में 3 सीटी आने तक पका लें और एक तरफ रख दें। इसी तरह, आलू को धोकर 1 कप पानी के साथ प्रेशर कुकर में 2 सीटी आने तक उबालें; छिलका उतारें, क्यूब्स में काटें और एक तरफ रख दें। मध्यम आँच पर एक कड़ाही में तेल गर्म करें, उसमें जीरा डालें और उसे चटकने दें। बारीक कटा हुआ प्याज डालें और पारदर्शी होने तक भूनें। अदरक और लहसुन का पेस्ट डालें और कच्ची महक जाने तक पकाएँ। कटे हुए टमाटर और हरी मिर्च डालें और टमाटर के नरम और अच्छी तरह पकने तक भूनें। अब लाल मिर्च, हल्दी, धनिया और गरम मसाला पाउडर और सॉस डालें जब तक कि मसाले पक न जाएँ। पके हुए छोले और उबले आलू के क्यूब्स डालें, नमक डालें और अच्छी तरह मिलाएँ। इस मिश्रण को और 10 मिनट तक पकने दें। अमचूर पाउडर डालें, इसे अच्छे से मिलाएँ और आँच बंद कर दें। धनिया पत्ती और अदरक के टुकड़ों से गार्निश करें और चना और आलू की सूखी सब्ज़ी रेसिपी को अपने बच्चों के लंच बॉक्स या सप्ताह की रात के खाने के लिए फुल्के या पराठे के साथ परोसें।</v>
      </c>
      <c r="J35" s="3" t="s">
        <v>31141</v>
      </c>
      <c r="L35" s="1" t="s">
        <v>31003</v>
      </c>
    </row>
    <row r="36" spans="1:12" ht="13.8">
      <c r="A36" s="1" t="s">
        <v>31118</v>
      </c>
      <c r="B36" s="1" t="str">
        <f ca="1">IFERROR(__xludf.dummyfunction("IF(A36="""", """", GOOGLETRANSLATE(A36, ""en"", ""hi""))"),"बैंगन सरसों का साग रेसिपी")</f>
        <v>बैंगन सरसों का साग रेसिपी</v>
      </c>
      <c r="C36" s="1" t="s">
        <v>145</v>
      </c>
      <c r="D36" s="1" t="s">
        <v>14338</v>
      </c>
      <c r="E36" s="1">
        <v>25</v>
      </c>
      <c r="F36" s="1" t="s">
        <v>31142</v>
      </c>
      <c r="G36" s="1" t="str">
        <f ca="1">IFERROR(__xludf.dummyfunction("IF(F36="""", """", GOOGLETRANSLATE(F36, ""en"", ""hi""))"),"300 ग्राम बैंगन - कट ले, 200 ग्राम मसाला, 1 प्याज - पतला और सीधा कट ले, 4 काली लहसुन - लहसुन कट ले, 1 इंच अदरक - टुकड़ा ले, 1/2 छोटा मसाला जीरा, 1 छोटा मोटा लाल मिर्च पाउडर, 1 छोटा मोटा धनिया पाउडर, 1 छोटा मोटा गरम मसाला पाउडर, 1 छोटा मोटा अमचूर पाउडर, नम"&amp;"क - स्वाद, 3 बड़े मसाले का तेल - प्रयोग करें")</f>
        <v>300 ग्राम बैंगन - कट ले, 200 ग्राम मसाला, 1 प्याज - पतला और सीधा कट ले, 4 काली लहसुन - लहसुन कट ले, 1 इंच अदरक - टुकड़ा ले, 1/2 छोटा मसाला जीरा, 1 छोटा मोटा लाल मिर्च पाउडर, 1 छोटा मोटा धनिया पाउडर, 1 छोटा मोटा गरम मसाला पाउडर, 1 छोटा मोटा अमचूर पाउडर, नमक - स्वाद, 3 बड़े मसाले का तेल - प्रयोग करें</v>
      </c>
      <c r="H36" s="1" t="s">
        <v>31143</v>
      </c>
      <c r="I36" s="1" t="str">
        <f ca="1">IFERROR(__xludf.dummyfunction("IF(H36="""", """", GOOGLETRANSLATE(H36, ""en"", ""hi""))"),"""बैंगन सरसों का साग रेसिपी बनाने के लिए सबसे पहले सारी सामग्री तैयार कर के एक तरफ रख दें। बैंगन को काट कर नमक के पानी में रख दें। राई को अच्छे से धो कर काट कर एक तरफ रख दें। अब एक कड़ाही में तेल गर्म करें। जब तेल अच्छी तरह गर्म हो जाए तो उसमें जीरा डालें"&amp;" और उसे चटकने दें। जीरा चटकने के बाद उसमें प्याज, अदरक, लहसुन डालें और प्याज के नरम होने तक पकाएँ। प्याज के नरम होने के बाद उसमें बैंगन डालें और उसे अच्छे से पकाएँ। पानी डालें, पैन को ढक दें और बैंगन के पकने तक अच्छे से पकाएँ। इसमें 4 से 5 मिनट का समय लगे"&amp;"गा। अब इसमें लाल मिर्च पाउडर, हल्दी पाउडर, धनिया पाउडर, गरम मसाला पाउडर, अमचूर पाउडर, नमक डालें और 2 मिनट तक पकाएँ। अब इसमें राई के पत्ते डालें और 3 से 4 मिनट तक पकाएँ। पकने के बाद गैस बंद कर दें और सर्व करें। बैंगन सरसों का साग रेसिपी को दाल तड़के, लौकी "&amp;"के साथ सर्व करें। लंच में रायता और फुल्के के साथ सर्व करें।")</f>
        <v>"बैंगन सरसों का साग रेसिपी बनाने के लिए सबसे पहले सारी सामग्री तैयार कर के एक तरफ रख दें। बैंगन को काट कर नमक के पानी में रख दें। राई को अच्छे से धो कर काट कर एक तरफ रख दें। अब एक कड़ाही में तेल गर्म करें। जब तेल अच्छी तरह गर्म हो जाए तो उसमें जीरा डालें और उसे चटकने दें। जीरा चटकने के बाद उसमें प्याज, अदरक, लहसुन डालें और प्याज के नरम होने तक पकाएँ। प्याज के नरम होने के बाद उसमें बैंगन डालें और उसे अच्छे से पकाएँ। पानी डालें, पैन को ढक दें और बैंगन के पकने तक अच्छे से पकाएँ। इसमें 4 से 5 मिनट का समय लगेगा। अब इसमें लाल मिर्च पाउडर, हल्दी पाउडर, धनिया पाउडर, गरम मसाला पाउडर, अमचूर पाउडर, नमक डालें और 2 मिनट तक पकाएँ। अब इसमें राई के पत्ते डालें और 3 से 4 मिनट तक पकाएँ। पकने के बाद गैस बंद कर दें और सर्व करें। बैंगन सरसों का साग रेसिपी को दाल तड़के, लौकी के साथ सर्व करें। लंच में रायता और फुल्के के साथ सर्व करें।</v>
      </c>
      <c r="J36" s="3" t="s">
        <v>31144</v>
      </c>
      <c r="L36" s="1" t="s">
        <v>31003</v>
      </c>
    </row>
    <row r="37" spans="1:12" ht="13.8">
      <c r="A37" s="1" t="s">
        <v>31145</v>
      </c>
      <c r="B37" s="1" t="str">
        <f ca="1">IFERROR(__xludf.dummyfunction("IF(A37="""", """", GOOGLETRANSLATE(A37, ""en"", ""hi""))"),"भरवां अरबी पराठा रेसिपी")</f>
        <v>भरवां अरबी पराठा रेसिपी</v>
      </c>
      <c r="C37" s="1" t="s">
        <v>145</v>
      </c>
      <c r="D37" s="1" t="s">
        <v>14198</v>
      </c>
      <c r="E37" s="1">
        <v>55</v>
      </c>
      <c r="F37" s="1" t="s">
        <v>31146</v>
      </c>
      <c r="G37" s="1" t="str">
        <f ca="1">IFERROR(__xludf.dummyfunction("IF(F37="""", """", GOOGLETRANSLATE(F37, ""en"", ""hi""))"),"500 ग्राम अरबी - उबली और छिली हुई, 1 हरी मिर्च - कटी हुई, 1/2 छोटा चम्मच जीरा, 1 बड़ा चम्मच धनिया पाउडर, 1 छोटा चम्मच लाल मिर्च पाउडर, 1/2 छोटा चम्मच हल्दी, 1 बड़ा चम्मच गरम मसाला पाउडर, 1 छोटा चम्मच आमचूर, नमक - स्वादानुसार, 2 टहनी धनिया पत्ती, 1 कप गेहू"&amp;"ं का आटा, 1 बड़ा चम्मच सूरजमुखी तेल, नमक - चुटकी भर")</f>
        <v>500 ग्राम अरबी - उबली और छिली हुई, 1 हरी मिर्च - कटी हुई, 1/2 छोटा चम्मच जीरा, 1 बड़ा चम्मच धनिया पाउडर, 1 छोटा चम्मच लाल मिर्च पाउडर, 1/2 छोटा चम्मच हल्दी, 1 बड़ा चम्मच गरम मसाला पाउडर, 1 छोटा चम्मच आमचूर, नमक - स्वादानुसार, 2 टहनी धनिया पत्ती, 1 कप गेहूं का आटा, 1 बड़ा चम्मच सूरजमुखी तेल, नमक - चुटकी भर</v>
      </c>
      <c r="H37" s="1" t="s">
        <v>31147</v>
      </c>
      <c r="I37" s="1" t="str">
        <f ca="1">IFERROR(__xludf.dummyfunction("IF(H37="""", """", GOOGLETRANSLATE(H37, ""en"", ""hi""))"),"भरवां अरबी पराठा रेसिपी बनाने के लिए सबसे पहले हम पराठे का आटा गूंथेंगे। एक बड़े बाउल में 2 कप गेहूं का आटा और थोड़ा नमक डालें। अपनी उँगलियों का प्रयोग करें और आटे में नमक मिलाएँ। थोड़ा-थोड़ा पानी डालकर नरम, लचीला पराठा आटा गूंथ लें। पराठे के आटे को दो मि"&amp;"नट तक गूंथें जब तक कि आटा चिकना और लचीला न हो जाए। आटे को चिकना करने के लिए फोल्ड प्रेस और गूंदने की गति का प्रयोग करें। इसके बाद पराठे के आटे पर एक चम्मच तेल लगाएं और थोड़ा और गूंथ लें। आपको ऐसा पराठा चाहिए जो नरम चिकना हो और चिपचिपा न हो। आटे को 8 से 10"&amp;" बराबर भागों में बाँट लें। आटे को ढँक दें और आटे को तब तक आराम दें जब तक कि भरावन तैयार न हो जाए। अरबी को 1 कप पानी और नमक के साथ लगभग 4 सीटी आने तक पका एक बार मैश हो जाने पर इसमें बारीक कटी हरी मिर्च, ढेर सारा ताजा कटा हरा धनिया, स्वादानुसार नमक, आधा चम्"&amp;"मच जीरा पाउडर, आधा चम्मच धनिया पाउडर, एक चम्मच अमचूर, एक चम्मच गरम मसाला, आधा चम्मच हल्दी पाउडर और अंत में अगर आप ज्यादा तीखा चाहते हैं तो लाल मिर्च पाउडर डालें। फिर से अपनी उंगलियों का उपयोग करते हुए सभी सामग्री को अरबी में अच्छी तरह मिला लें। अरबी के भर"&amp;"ावन को 8 से 10 बराबर भागों में बांट लें। अरबी पराठे के आटे को बांटने और भरने को तैयार रखने की यह प्रक्रिया आपको यह अनुमान लगाने में मदद करती है कि आप कितने पराठे बना सकते हैं और आपको भरावन की अधिक या कम आवश्यकता है। अंतिम चरण अरबी पराठे के आटे में भरावन भ"&amp;"रना है। जब आप उन्हें एक साथ मिलाते हैं तो थोड़ा अतिरिक्त आटा बाहर निकल जाता है, जिसे हटा दें। भरे हुए अरबी पराठे के आटे को नीचे दबाएं। भरे हुए अरबी पराठे के आटे को कुछ आटे में डुबोएं और इसे धीरे से दबाव देते हुए रोल करें। इसे वांछित मोटाई तक रोल करें और प"&amp;"राठे के आटे और भरावन के शेष भागों के साथ इसी तरह आगे बढ़ें। मध्यम आँच पर एक कड़ाही को पहले से गरम करें और भरे हुए अरबी पराठे को रखें। इसे मध्यम आँच पर लगभग 30 से 45 सेकंड तक पकने दें और पलट दें। इस चरण में एक चम्मच घी या तेल डालें और इसे चारों ओर फैलाएँ। "&amp;"फिर से पलटें, ताकि तेल वाला भाग तवे पर पक सके। थोड़ा और घी फैलाएं और पराठे को अंदर से बाहर तक समान रूप से पकाने के लिए तवे पर पराठे को दबाते रहें। जब तक दोनों तरफ से समान रूप से पककर भूरा और कुरकुरा न हो जाए, तब तक एक-दो बार पलटें। सुनिश्चित करें कि आप मध"&amp;"्यम आँच पर पकाएँ क्योंकि इससे अरबी के पराठे बाहर से कुरकुरे और फिर भी नरम बनावट वाले हो जाते हैं। एक बार जब अरबी का पराठा पक जाए तो उसे एक प्लेट में निकाल लें। बाकी बचे पराठों के साथ भी यही प्रक्रिया अपनाएँ। भरवां अरबी पराठा रेसिपी को पालक रायता रेसिपी और"&amp;" आंवला मिर्ची का अचारी सब्ज़ी रेसिपी के साथ परोसें और इसे एक सेहतमंद नाश्ता बनाएँ।")</f>
        <v>भरवां अरबी पराठा रेसिपी बनाने के लिए सबसे पहले हम पराठे का आटा गूंथेंगे। एक बड़े बाउल में 2 कप गेहूं का आटा और थोड़ा नमक डालें। अपनी उँगलियों का प्रयोग करें और आटे में नमक मिलाएँ। थोड़ा-थोड़ा पानी डालकर नरम, लचीला पराठा आटा गूंथ लें। पराठे के आटे को दो मिनट तक गूंथें जब तक कि आटा चिकना और लचीला न हो जाए। आटे को चिकना करने के लिए फोल्ड प्रेस और गूंदने की गति का प्रयोग करें। इसके बाद पराठे के आटे पर एक चम्मच तेल लगाएं और थोड़ा और गूंथ लें। आपको ऐसा पराठा चाहिए जो नरम चिकना हो और चिपचिपा न हो। आटे को 8 से 10 बराबर भागों में बाँट लें। आटे को ढँक दें और आटे को तब तक आराम दें जब तक कि भरावन तैयार न हो जाए। अरबी को 1 कप पानी और नमक के साथ लगभग 4 सीटी आने तक पका एक बार मैश हो जाने पर इसमें बारीक कटी हरी मिर्च, ढेर सारा ताजा कटा हरा धनिया, स्वादानुसार नमक, आधा चम्मच जीरा पाउडर, आधा चम्मच धनिया पाउडर, एक चम्मच अमचूर, एक चम्मच गरम मसाला, आधा चम्मच हल्दी पाउडर और अंत में अगर आप ज्यादा तीखा चाहते हैं तो लाल मिर्च पाउडर डालें। फिर से अपनी उंगलियों का उपयोग करते हुए सभी सामग्री को अरबी में अच्छी तरह मिला लें। अरबी के भरावन को 8 से 10 बराबर भागों में बांट लें। अरबी पराठे के आटे को बांटने और भरने को तैयार रखने की यह प्रक्रिया आपको यह अनुमान लगाने में मदद करती है कि आप कितने पराठे बना सकते हैं और आपको भरावन की अधिक या कम आवश्यकता है। अंतिम चरण अरबी पराठे के आटे में भरावन भरना है। जब आप उन्हें एक साथ मिलाते हैं तो थोड़ा अतिरिक्त आटा बाहर निकल जाता है, जिसे हटा दें। भरे हुए अरबी पराठे के आटे को नीचे दबाएं। भरे हुए अरबी पराठे के आटे को कुछ आटे में डुबोएं और इसे धीरे से दबाव देते हुए रोल करें। इसे वांछित मोटाई तक रोल करें और पराठे के आटे और भरावन के शेष भागों के साथ इसी तरह आगे बढ़ें। मध्यम आँच पर एक कड़ाही को पहले से गरम करें और भरे हुए अरबी पराठे को रखें। इसे मध्यम आँच पर लगभग 30 से 45 सेकंड तक पकने दें और पलट दें। इस चरण में एक चम्मच घी या तेल डालें और इसे चारों ओर फैलाएँ। फिर से पलटें, ताकि तेल वाला भाग तवे पर पक सके। थोड़ा और घी फैलाएं और पराठे को अंदर से बाहर तक समान रूप से पकाने के लिए तवे पर पराठे को दबाते रहें। जब तक दोनों तरफ से समान रूप से पककर भूरा और कुरकुरा न हो जाए, तब तक एक-दो बार पलटें। सुनिश्चित करें कि आप मध्यम आँच पर पकाएँ क्योंकि इससे अरबी के पराठे बाहर से कुरकुरे और फिर भी नरम बनावट वाले हो जाते हैं। एक बार जब अरबी का पराठा पक जाए तो उसे एक प्लेट में निकाल लें। बाकी बचे पराठों के साथ भी यही प्रक्रिया अपनाएँ। भरवां अरबी पराठा रेसिपी को पालक रायता रेसिपी और आंवला मिर्ची का अचारी सब्ज़ी रेसिपी के साथ परोसें और इसे एक सेहतमंद नाश्ता बनाएँ।</v>
      </c>
      <c r="J37" s="3" t="s">
        <v>31148</v>
      </c>
      <c r="L37" s="1" t="s">
        <v>31003</v>
      </c>
    </row>
    <row r="38" spans="1:12" ht="13.8">
      <c r="A38" s="1" t="s">
        <v>31149</v>
      </c>
      <c r="B38" s="1" t="str">
        <f ca="1">IFERROR(__xludf.dummyfunction("IF(A38="""", """", GOOGLETRANSLATE(A38, ""en"", ""hi""))"),"बेबी कॉर्न सिगार रेसिपी")</f>
        <v>बेबी कॉर्न सिगार रेसिपी</v>
      </c>
      <c r="C38" s="1" t="s">
        <v>14572</v>
      </c>
      <c r="D38" s="1" t="s">
        <v>14198</v>
      </c>
      <c r="E38" s="1">
        <v>50</v>
      </c>
      <c r="F38" s="1" t="s">
        <v>31150</v>
      </c>
      <c r="G38" s="1" t="str">
        <f ca="1">IFERROR(__xludf.dummyfunction("IF(F38="""", """", GOOGLETRANSLATE(F38, ""en"", ""hi""))"),"10 बेबी कॉर्न - उबालने के लिए, 3 बड़े चम्मच गेहूं की ब्रेड के टुकड़े - भुने हुए, 2 बड़े चम्मच कॉर्न फ्लोर, 1/2 बड़ा चम्मच एक्स्ट्रा वर्जिन ऑलिव ऑयल, 1 बड़ा चम्मच सिरका, 1 आलू - उबालकर मसला हुआ, 1 बड़ा चम्मच धनिया - कटा हुआ, 1 छोटा चम्मच पिज्जा मसाला, 1/2 "&amp;"छोटा चम्मच लहसुन - पेस्ट, 1 बड़ा चम्मच लाल मिर्च पाउडर - आवश्यकतानुसार, 1 बड़ा चम्मच हरी मिर्च का पेस्ट, 1/2 बड़ा चम्मच अदरक - पेस्ट, नमक - स्वादानुसार, सूरजमुखी तेल - तलने के लिए")</f>
        <v>10 बेबी कॉर्न - उबालने के लिए, 3 बड़े चम्मच गेहूं की ब्रेड के टुकड़े - भुने हुए, 2 बड़े चम्मच कॉर्न फ्लोर, 1/2 बड़ा चम्मच एक्स्ट्रा वर्जिन ऑलिव ऑयल, 1 बड़ा चम्मच सिरका, 1 आलू - उबालकर मसला हुआ, 1 बड़ा चम्मच धनिया - कटा हुआ, 1 छोटा चम्मच पिज्जा मसाला, 1/2 छोटा चम्मच लहसुन - पेस्ट, 1 बड़ा चम्मच लाल मिर्च पाउडर - आवश्यकतानुसार, 1 बड़ा चम्मच हरी मिर्च का पेस्ट, 1/2 बड़ा चम्मच अदरक - पेस्ट, नमक - स्वादानुसार, सूरजमुखी तेल - तलने के लिए</v>
      </c>
      <c r="H38" s="1" t="s">
        <v>31151</v>
      </c>
      <c r="I38" s="1" t="str">
        <f ca="1">IFERROR(__xludf.dummyfunction("IF(H38="""", """", GOOGLETRANSLATE(H38, ""en"", ""hi""))"),"बेबी कॉर्न सिगार रेसिपी बनाने के लिए, सबसे पहले बेबी कॉर्न को ब्लांच करें। ध्यान रखें कि आप इसे ज़्यादा न करें। 2-3 मिनट गर्म पानी में रखें और तुरंत बर्फ के पानी में डाल दें। बेबी कॉर्न को दो भागों में काट लें। आलू उबालें और उन्हें मैशर से अच्छी तरह मैश क"&amp;"रें। एक मिक्सिंग बाउल लें, उसमें लाल मिर्च और पिज़्ज़ा मसाला, लहसुन का पेस्ट, नमक और फिर सिरका डालें। मिलाएँ। जैतून का तेल डालें और अच्छी तरह मिलाएँ। कटे हुए बेबी कॉर्न डालें, उन्हें तैयार मिश्रण से अच्छी तरह कोट करें। 10 मिनट के लिए अलग रख दें। एक भारी त"&amp;"ली वाले पैन में कोट किए हुए बेबी कॉर्न डालें और मध्यम आँच पर 2 मिनट तक पकने दें। पलटें और 2 मिनट तक पकाएँ ताकि लहसुन का पेस्ट और अन्य मसाले अच्छी तरह पक जाएँ। आँच से उतारें और ठंडा होने दें। दूसरे पैन में मैश किए हुए आलू, 1-1/2 बड़ा चम्मच अदरक मिर्च का पे"&amp;"स्ट, कॉर्नफ्लोर, धनिया पत्ती और नमक डालें और अच्छी तरह मिलाएँ। अपनी हथेलियों पर थोड़ा तेल लगाएँ ताकि मिश्रण ज़्यादा चिपचिपा न हो जाए। अपनी हथेलियों के बीच एक छोटे नींबू के आकार का कुछ मसले हुए आलू का मिश्रण लें, इसे बेलनाकार रूप से रोल करें और इसे चपटा कर"&amp;"ें। बीच में ब्लांच किए और विभाजित बेबी कॉर्न रखें और इसे पूरी तरह से आलू के मिश्रण से ढक दें। यह इस स्तर पर सिगार के आकार का दिखाई देता है। जब तक आप सभी बेबी कॉर्न और आलू के मिश्रण का उपयोग नहीं करते हैं तब तक बेबी कॉर्न सिगार को इसी तरह रोल करना दोहराएं।"&amp;" मध्यम आँच पर एक कड़ाही रखें और डीप फ्राई करने के लिए तेल डालें। जब तक तेल गर्म हो जाए, सिगार को एक-एक करके ब्रेडक्रंब में रोल करें और सुनिश्चित करें कि यह हर जगह से लेपित हो। (ब्रेडक्रंब को अच्छी तरह से चिपकाने के लिए आप सिगार पर थोड़ा तेल भी लगा सकते है"&amp;"ं) बेबी कॉर्न सिगार को सुनहरे भूरे रंग होने तक बैचों में डीप फ्राई करें")</f>
        <v>बेबी कॉर्न सिगार रेसिपी बनाने के लिए, सबसे पहले बेबी कॉर्न को ब्लांच करें। ध्यान रखें कि आप इसे ज़्यादा न करें। 2-3 मिनट गर्म पानी में रखें और तुरंत बर्फ के पानी में डाल दें। बेबी कॉर्न को दो भागों में काट लें। आलू उबालें और उन्हें मैशर से अच्छी तरह मैश करें। एक मिक्सिंग बाउल लें, उसमें लाल मिर्च और पिज़्ज़ा मसाला, लहसुन का पेस्ट, नमक और फिर सिरका डालें। मिलाएँ। जैतून का तेल डालें और अच्छी तरह मिलाएँ। कटे हुए बेबी कॉर्न डालें, उन्हें तैयार मिश्रण से अच्छी तरह कोट करें। 10 मिनट के लिए अलग रख दें। एक भारी तली वाले पैन में कोट किए हुए बेबी कॉर्न डालें और मध्यम आँच पर 2 मिनट तक पकने दें। पलटें और 2 मिनट तक पकाएँ ताकि लहसुन का पेस्ट और अन्य मसाले अच्छी तरह पक जाएँ। आँच से उतारें और ठंडा होने दें। दूसरे पैन में मैश किए हुए आलू, 1-1/2 बड़ा चम्मच अदरक मिर्च का पेस्ट, कॉर्नफ्लोर, धनिया पत्ती और नमक डालें और अच्छी तरह मिलाएँ। अपनी हथेलियों पर थोड़ा तेल लगाएँ ताकि मिश्रण ज़्यादा चिपचिपा न हो जाए। अपनी हथेलियों के बीच एक छोटे नींबू के आकार का कुछ मसले हुए आलू का मिश्रण लें, इसे बेलनाकार रूप से रोल करें और इसे चपटा करें। बीच में ब्लांच किए और विभाजित बेबी कॉर्न रखें और इसे पूरी तरह से आलू के मिश्रण से ढक दें। यह इस स्तर पर सिगार के आकार का दिखाई देता है। जब तक आप सभी बेबी कॉर्न और आलू के मिश्रण का उपयोग नहीं करते हैं तब तक बेबी कॉर्न सिगार को इसी तरह रोल करना दोहराएं। मध्यम आँच पर एक कड़ाही रखें और डीप फ्राई करने के लिए तेल डालें। जब तक तेल गर्म हो जाए, सिगार को एक-एक करके ब्रेडक्रंब में रोल करें और सुनिश्चित करें कि यह हर जगह से लेपित हो। (ब्रेडक्रंब को अच्छी तरह से चिपकाने के लिए आप सिगार पर थोड़ा तेल भी लगा सकते हैं) बेबी कॉर्न सिगार को सुनहरे भूरे रंग होने तक बैचों में डीप फ्राई करें</v>
      </c>
      <c r="J38" s="3" t="s">
        <v>31152</v>
      </c>
      <c r="L38" s="1" t="s">
        <v>31003</v>
      </c>
    </row>
    <row r="39" spans="1:12" ht="13.8">
      <c r="A39" s="1" t="s">
        <v>31153</v>
      </c>
      <c r="B39" s="1" t="str">
        <f ca="1">IFERROR(__xludf.dummyfunction("IF(A39="""", """", GOOGLETRANSLATE(A39, ""en"", ""hi""))"),"मटर से भरी बेक्ड ओट्स और गेहूं की कचौरी रेसिपी")</f>
        <v>मटर से भरी बेक्ड ओट्स और गेहूं की कचौरी रेसिपी</v>
      </c>
      <c r="C39" s="1" t="s">
        <v>14281</v>
      </c>
      <c r="D39" s="1" t="s">
        <v>14198</v>
      </c>
      <c r="E39" s="1">
        <v>65</v>
      </c>
      <c r="F39" s="1" t="s">
        <v>31154</v>
      </c>
      <c r="G39" s="1" t="str">
        <f ca="1">IFERROR(__xludf.dummyfunction("IF(F39="""", """", GOOGLETRANSLATE(F39, ""en"", ""hi""))"),"1 कप गेहूं का आटा, 1/2 कप इंस्टेंट ओट्स (दलिया), 1/4 कप एक्स्ट्रा वर्जिन जैतून का तेल, 1 चम्मच नमक, 1 चम्मच अजवाइन, पानी - गूंधने के लिए, 1 कप हरी मटर (मटर), 1 हरी मिर्च, 1 टहनी धनिया (धनिया) के पत्ते, 1 चम्मच अमचूर (सूखा आम पाउडर), 1 चम्मच चाट मसाला पाउड"&amp;"र, 1 चम्मच लाल मिर्च पाउडर, नमक - स्वादानुसार")</f>
        <v>1 कप गेहूं का आटा, 1/2 कप इंस्टेंट ओट्स (दलिया), 1/4 कप एक्स्ट्रा वर्जिन जैतून का तेल, 1 चम्मच नमक, 1 चम्मच अजवाइन, पानी - गूंधने के लिए, 1 कप हरी मटर (मटर), 1 हरी मिर्च, 1 टहनी धनिया (धनिया) के पत्ते, 1 चम्मच अमचूर (सूखा आम पाउडर), 1 चम्मच चाट मसाला पाउडर, 1 चम्मच लाल मिर्च पाउडर, नमक - स्वादानुसार</v>
      </c>
      <c r="H39" s="1" t="s">
        <v>31155</v>
      </c>
      <c r="I39" s="1" t="str">
        <f ca="1">IFERROR(__xludf.dummyfunction("IF(H39="""", """", GOOGLETRANSLATE(H39, ""en"", ""hi""))"),"हम ओट्स और मटर से भरी पूरी गेहूं की कचौरी रेसिपी बनाना शुरू करते हैं, सबसे पहले बाहरी परत के लिए आटा गूंथ लें, एक कटोरे में गेहूं का आटा, ओट्स और अजवाइन, नमक और तेल डालें और उंगलियों और हथेली से अच्छी तरह मिलाएँ। चिकना और सख्त आटा गूंथने के लिए पानी डालें"&amp;"। आटे को 15 मिनट के लिए रख दें। एक बार जब यह आराम कर ले तो आटे को छोटे बराबर भागों में बाँट लें। जब आटा आराम कर रहा हो तो स्टफिंग बना लें, सूची में बताई गई सभी सामग्री को पीसकर दरदरा मिश्रण बना लें और एक तरफ रख दें। अब आटे में भरावन भरने के लिए एक लोई लें"&amp;" और आटे के किनारों को उंगलियों से दबाएं ताकि कचौरी का केंद्र थोड़ा मोटा हो जाए। केंद्र में एक बड़ा चम्मच स्टफिंग भरें बेकिंग ट्रे पर एल्युमिनियम फॉयल रखें और उस पर तेल लगाएं। कचौरियों को एक दूसरे से आधा इंच की दूरी पर रखें और कचौरियों के ऊपरी हिस्से पर ते"&amp;"ल लगाएं। 180 डिग्री सेल्सियस पर 20 मिनट के लिए ओवन में बेक करें। आप इसे एक अच्छा सुनहरा रंग देने के लिए शहद से ब्रश कर सकते हैं। ओट्स और गेहूं की मटर की कचौरी रेसिपी को मसाला चाय रेसिपी - भारतीय मसालेदार चाय के साथ परोसें या आप इसे अपने शाम के नाश्ते के ल"&amp;"िए राज कचौरी रेसिपी बनाने के लिए इस्तेमाल कर सकते हैं।")</f>
        <v>हम ओट्स और मटर से भरी पूरी गेहूं की कचौरी रेसिपी बनाना शुरू करते हैं, सबसे पहले बाहरी परत के लिए आटा गूंथ लें, एक कटोरे में गेहूं का आटा, ओट्स और अजवाइन, नमक और तेल डालें और उंगलियों और हथेली से अच्छी तरह मिलाएँ। चिकना और सख्त आटा गूंथने के लिए पानी डालें। आटे को 15 मिनट के लिए रख दें। एक बार जब यह आराम कर ले तो आटे को छोटे बराबर भागों में बाँट लें। जब आटा आराम कर रहा हो तो स्टफिंग बना लें, सूची में बताई गई सभी सामग्री को पीसकर दरदरा मिश्रण बना लें और एक तरफ रख दें। अब आटे में भरावन भरने के लिए एक लोई लें और आटे के किनारों को उंगलियों से दबाएं ताकि कचौरी का केंद्र थोड़ा मोटा हो जाए। केंद्र में एक बड़ा चम्मच स्टफिंग भरें बेकिंग ट्रे पर एल्युमिनियम फॉयल रखें और उस पर तेल लगाएं। कचौरियों को एक दूसरे से आधा इंच की दूरी पर रखें और कचौरियों के ऊपरी हिस्से पर तेल लगाएं। 180 डिग्री सेल्सियस पर 20 मिनट के लिए ओवन में बेक करें। आप इसे एक अच्छा सुनहरा रंग देने के लिए शहद से ब्रश कर सकते हैं। ओट्स और गेहूं की मटर की कचौरी रेसिपी को मसाला चाय रेसिपी - भारतीय मसालेदार चाय के साथ परोसें या आप इसे अपने शाम के नाश्ते के लिए राज कचौरी रेसिपी बनाने के लिए इस्तेमाल कर सकते हैं।</v>
      </c>
      <c r="J39" s="3" t="s">
        <v>31156</v>
      </c>
      <c r="L39" s="1" t="s">
        <v>31003</v>
      </c>
    </row>
    <row r="40" spans="1:12" ht="13.8">
      <c r="A40" s="1" t="s">
        <v>31157</v>
      </c>
      <c r="B40" s="1" t="str">
        <f ca="1">IFERROR(__xludf.dummyfunction("IF(A40="""", """", GOOGLETRANSLATE(A40, ""en"", ""hi""))"),"भरवा प्याज़ की सब्जी रेसिपी")</f>
        <v>भरवा प्याज़ की सब्जी रेसिपी</v>
      </c>
      <c r="C40" s="1" t="s">
        <v>14207</v>
      </c>
      <c r="D40" s="1" t="s">
        <v>14198</v>
      </c>
      <c r="E40" s="1">
        <v>25</v>
      </c>
      <c r="F40" s="1" t="s">
        <v>31158</v>
      </c>
      <c r="G40" s="1" t="str">
        <f ca="1">IFERROR(__xludf.dummyfunction("IF(F40="""", """", GOOGLETRANSLATE(F40, ""en"", ""hi""))"),"20 छोटे प्याज, 1 छोटा चम्मच लाल मिर्च पाउडर, 1 छोटा चम्मच हल्दी पाउडर, 1 छोटा चम्मच अमचूर पाउडर, 1 छोटा चम्मच धनिया पाउडर, नमक - स्वादानुसार, 6 लहसुन की कलियां - बारीक कटी हुई, 1 इंच अदरक - बारीक कटा हुआ, 2 हरी धनिया की टहनियां - बारीक कटी हुई")</f>
        <v>20 छोटे प्याज, 1 छोटा चम्मच लाल मिर्च पाउडर, 1 छोटा चम्मच हल्दी पाउडर, 1 छोटा चम्मच अमचूर पाउडर, 1 छोटा चम्मच धनिया पाउडर, नमक - स्वादानुसार, 6 लहसुन की कलियां - बारीक कटी हुई, 1 इंच अदरक - बारीक कटा हुआ, 2 हरी धनिया की टहनियां - बारीक कटी हुई</v>
      </c>
      <c r="H40" s="1" t="s">
        <v>31159</v>
      </c>
      <c r="I40" s="1" t="str">
        <f ca="1">IFERROR(__xludf.dummyfunction("IF(H40="""", """", GOOGLETRANSLATE(H40, ""en"", ""hi""))"),"""भरवा प्याज़ की सब्ज़ी बनाने के लिए सबसे पहले प्याज़ के ऊपर से दो कट लगाएँ। ध्यान रहे कि प्याज़ पूरी तरह से न कटे। एक मिक्सिंग बाउल में लाल मिर्च पाउडर, हल्दी पाउडर, अमचूर पाउडर, धनिया पाउडर, नमक डालकर मिलाएँ। इसमें थोड़ा पानी डालकर पेस्ट बनाएँ। अपने हाथ"&amp;"ों की मदद से इस मसाले को प्याज़ के अंदर भर दें। बचा हुआ पेस्ट एक तरफ़ रख दें। अब एक पैन में तेल गर्म करें। इसमें अदरक, लहसुन डालें और 30 सेकंड तक पकाएँ। 30 सेकंड बाद इसमें भरवां प्याज़, बचा हुआ पेस्ट डालें और मिलाएँ। अब एक बाउल में गर्म पानी लें और इसमें "&amp;"इमली डालें। 3 से 4 मिनट बाद इमली को निकाल लें और इमली का पानी प्याज़ में डाल दें। पैन को ढक दें और प्याज़ के नरम होने तक पकाएँ। बीच-बीच में चलाते रहें। पकने के बाद हरे धनिये से गार्निश करें और सर्व करें। भरवा प्याज़ की सब्ज़ी को पंचमेल दाल, बूंदी के साथ स"&amp;"र्व करें। लंच में रायता और फुल्के के साथ सर्व करें।")</f>
        <v>"भरवा प्याज़ की सब्ज़ी बनाने के लिए सबसे पहले प्याज़ के ऊपर से दो कट लगाएँ। ध्यान रहे कि प्याज़ पूरी तरह से न कटे। एक मिक्सिंग बाउल में लाल मिर्च पाउडर, हल्दी पाउडर, अमचूर पाउडर, धनिया पाउडर, नमक डालकर मिलाएँ। इसमें थोड़ा पानी डालकर पेस्ट बनाएँ। अपने हाथों की मदद से इस मसाले को प्याज़ के अंदर भर दें। बचा हुआ पेस्ट एक तरफ़ रख दें। अब एक पैन में तेल गर्म करें। इसमें अदरक, लहसुन डालें और 30 सेकंड तक पकाएँ। 30 सेकंड बाद इसमें भरवां प्याज़, बचा हुआ पेस्ट डालें और मिलाएँ। अब एक बाउल में गर्म पानी लें और इसमें इमली डालें। 3 से 4 मिनट बाद इमली को निकाल लें और इमली का पानी प्याज़ में डाल दें। पैन को ढक दें और प्याज़ के नरम होने तक पकाएँ। बीच-बीच में चलाते रहें। पकने के बाद हरे धनिये से गार्निश करें और सर्व करें। भरवा प्याज़ की सब्ज़ी को पंचमेल दाल, बूंदी के साथ सर्व करें। लंच में रायता और फुल्के के साथ सर्व करें।</v>
      </c>
      <c r="J40" s="3" t="s">
        <v>31160</v>
      </c>
      <c r="L40" s="1" t="s">
        <v>31003</v>
      </c>
    </row>
    <row r="41" spans="1:12" ht="13.8">
      <c r="A41" s="1" t="s">
        <v>31161</v>
      </c>
      <c r="B41" s="1" t="str">
        <f ca="1">IFERROR(__xludf.dummyfunction("IF(A41="""", """", GOOGLETRANSLATE(A41, ""en"", ""hi""))"),"आम पन्ना पानी पूरी रेसिपी")</f>
        <v>आम पन्ना पानी पूरी रेसिपी</v>
      </c>
      <c r="C41" s="1" t="s">
        <v>14572</v>
      </c>
      <c r="D41" s="1" t="s">
        <v>14198</v>
      </c>
      <c r="E41" s="1">
        <v>35</v>
      </c>
      <c r="F41" s="1" t="s">
        <v>31162</v>
      </c>
      <c r="G41" s="1" t="str">
        <f ca="1">IFERROR(__xludf.dummyfunction("IF(F41="""", """", GOOGLETRANSLATE(F41, ""en"", ""hi""))"),"18 पानी पुरी, 2 आलू - उबले हुए, 1/4 कप हरे मूंग अंकुरित - 1/4 कप हरे मूंग अंकुरित, नमक - स्वादानुसार, 1 चम्मच जीरा पाउडर (जीरा), 1 चम्मच चाट मसाला पाउडर, 1/2 चम्मच लाल मिर्च पाउडर, 1 आम (कच्चा), 10 पुदीना के पत्ते (पुदीना), 1 चम्मच जीरा पाउडर (जीरा), काला"&amp;" नमक (काला नमक) - स्वादानुसार, 1/2 चम्मच काली मिर्च पाउडर, 2 बड़े चम्मच चीनी")</f>
        <v>18 पानी पुरी, 2 आलू - उबले हुए, 1/4 कप हरे मूंग अंकुरित - 1/4 कप हरे मूंग अंकुरित, नमक - स्वादानुसार, 1 चम्मच जीरा पाउडर (जीरा), 1 चम्मच चाट मसाला पाउडर, 1/2 चम्मच लाल मिर्च पाउडर, 1 आम (कच्चा), 10 पुदीना के पत्ते (पुदीना), 1 चम्मच जीरा पाउडर (जीरा), काला नमक (काला नमक) - स्वादानुसार, 1/2 चम्मच काली मिर्च पाउडर, 2 बड़े चम्मच चीनी</v>
      </c>
      <c r="H41" s="1" t="s">
        <v>31163</v>
      </c>
      <c r="I41" s="1" t="str">
        <f ca="1">IFERROR(__xludf.dummyfunction("IF(H41="""", """", GOOGLETRANSLATE(H41, ""en"", ""hi""))"),"आम पन्ना पानी पुरी रेसिपी बनाने के लिए सबसे पहले हम आम पन्ना पानी बनाएंगे। एक प्रेशर कुकर में कच्चे आम को छील लें और साबूत कच्चे आम को 1/2 कप पानी के साथ डालकर 4 सीटी आने तक पका लें। इसे तब तक पकाना है जब तक वे नरम और कोमल न हो जाएं। आंच बंद कर दें। प्रेश"&amp;"र को स्वाभाविक रूप से निकलने दें। ढक्कन खोलें, पानी निथारें, आमों को एक कटोरे में डालें और आमों को ठंडा होने दें। पके हुए कच्चे आम से गूदा निकालें और बीज निकाल दें। आपके पास पके हुए कच्चे आम का गूदा बचेगा। पके हुए कच्चे आम के गूदे वाले कटोरे में पुदीने के"&amp;" पत्ते, जीरा पाउडर, काला नमक, काली मिर्च पाउडर और चीनी डालें। इस मिश्रण को मिक्सर जार में डालें और एक मुलायम प्यूरी में पीस लें। आम पन्ना को एक सर्विंग बाउल में डालें, 1 कप पानी डालें और अच्छी तरह मिलाएँ आम पन्ना पानी को फ्रिज में ठंडा करें। पानी पूरी भरन"&amp;"े के लिए, एक मिक्सिंग बाउल में आलू को मैश करें, हरे मूंग अंकुरित और सूखे मसाले- चाट मसाला, जीरा पाउडर और लाल मिर्च पाउडर डालें। अच्छी तरह मिलाएँ। आलू मसाले का स्वाद जाँचें और यदि आवश्यक हो तो नमक या मसाला समायोजित करें। आम पन्ना पानी पूरी रेसिपी परोसें, प"&amp;"ूरी को ऊपर से हल्का सा तोड़कर एक छेद बनाएं, आलू-अंकुरित भरावन भरें, इसे आम पन्ना पानी से भरें। आम पन्ना पानी पूरी रेसिपी को रावल पिंडी स्टाइल छोले, भटूरे, मूंग अंकुरित मुंबई स्टाइल तवा पुलाव के मजेदार पार्टी भोजन के साथ ऐपेटाइज़र के रूप में परोसें")</f>
        <v>आम पन्ना पानी पुरी रेसिपी बनाने के लिए सबसे पहले हम आम पन्ना पानी बनाएंगे। एक प्रेशर कुकर में कच्चे आम को छील लें और साबूत कच्चे आम को 1/2 कप पानी के साथ डालकर 4 सीटी आने तक पका लें। इसे तब तक पकाना है जब तक वे नरम और कोमल न हो जाएं। आंच बंद कर दें। प्रेशर को स्वाभाविक रूप से निकलने दें। ढक्कन खोलें, पानी निथारें, आमों को एक कटोरे में डालें और आमों को ठंडा होने दें। पके हुए कच्चे आम से गूदा निकालें और बीज निकाल दें। आपके पास पके हुए कच्चे आम का गूदा बचेगा। पके हुए कच्चे आम के गूदे वाले कटोरे में पुदीने के पत्ते, जीरा पाउडर, काला नमक, काली मिर्च पाउडर और चीनी डालें। इस मिश्रण को मिक्सर जार में डालें और एक मुलायम प्यूरी में पीस लें। आम पन्ना को एक सर्विंग बाउल में डालें, 1 कप पानी डालें और अच्छी तरह मिलाएँ आम पन्ना पानी को फ्रिज में ठंडा करें। पानी पूरी भरने के लिए, एक मिक्सिंग बाउल में आलू को मैश करें, हरे मूंग अंकुरित और सूखे मसाले- चाट मसाला, जीरा पाउडर और लाल मिर्च पाउडर डालें। अच्छी तरह मिलाएँ। आलू मसाले का स्वाद जाँचें और यदि आवश्यक हो तो नमक या मसाला समायोजित करें। आम पन्ना पानी पूरी रेसिपी परोसें, पूरी को ऊपर से हल्का सा तोड़कर एक छेद बनाएं, आलू-अंकुरित भरावन भरें, इसे आम पन्ना पानी से भरें। आम पन्ना पानी पूरी रेसिपी को रावल पिंडी स्टाइल छोले, भटूरे, मूंग अंकुरित मुंबई स्टाइल तवा पुलाव के मजेदार पार्टी भोजन के साथ ऐपेटाइज़र के रूप में परोसें</v>
      </c>
      <c r="J41" s="3" t="s">
        <v>31164</v>
      </c>
      <c r="L41" s="1" t="s">
        <v>31003</v>
      </c>
    </row>
    <row r="42" spans="1:12" ht="13.8">
      <c r="A42" s="1" t="s">
        <v>31165</v>
      </c>
      <c r="B42" s="1" t="str">
        <f ca="1">IFERROR(__xludf.dummyfunction("IF(A42="""", """", GOOGLETRANSLATE(A42, ""en"", ""hi""))"),"शाकाहारी नवरात्रि कोरमा रेसिपी")</f>
        <v>शाकाहारी नवरात्रि कोरमा रेसिपी</v>
      </c>
      <c r="C42" s="1" t="s">
        <v>145</v>
      </c>
      <c r="D42" s="1" t="s">
        <v>17937</v>
      </c>
      <c r="E42" s="1">
        <v>90</v>
      </c>
      <c r="F42" s="1" t="s">
        <v>31166</v>
      </c>
      <c r="G42" s="1" t="str">
        <f ca="1">IFERROR(__xludf.dummyfunction("IF(F42="""", """", GOOGLETRANSLATE(F42, ""en"", ""hi""))"),"2 गाजर - छोटे टुकड़ों में कटी हुई, 10 से 12 हरी बीन्स (फ्रेंच बीन्स) - 1 इंच के टुकड़ों में कटी हुई, 1/2 कप फूलगोभी (गोबी) - फूलों में कटी हुई, 2 आलू (आलू) - उबले और कटे हुए, 1/2 कप टोफू - कटे हुए, 2 प्याज - कटे हुए, 6 हरी मिर्च, 2 बड़े चम्मच अदरक लहसुन क"&amp;"ा पेस्ट, 1/2 चम्मच हल्दी पाउडर (हल्दी), 1/2 चम्मच लाल मिर्च पाउडर, 3-4 इलायची (इलायची) फली/बीज - पीसी हुई, 1 काली इलायची (बड़ी इलायची), 3 लौंग (लौंग), 1 इंच अदरक, 1 कप नारियल का दही - वैकल्पिक, 1/2 कप नारियल का दूध - गाढ़ा, पुदीना के पत्ते (आवश्यकतानुसार)"&amp;", 6-8 केसर के रेशे, खाने योग्य चांदी का वर्क / पत्ता (अनानास - कुछ टुकड़े), 2 बड़े चम्मच किशमिश, 6-8 काजू - भुना हुआ, 1 बड़ा चम्मच बादाम - कटा हुआ, 1 बड़ा चम्मच पिस्ता - कटा हुआ, 1/2 गरम मसाला पाउडर - वैकल्पिक, नारियल का तेल - ठंडा दबाया हुआ, 1-1/2 बड़ा च"&amp;"म्मच खसखस, 10 काजू - साबुत, 15 बादाम")</f>
        <v>2 गाजर - छोटे टुकड़ों में कटी हुई, 10 से 12 हरी बीन्स (फ्रेंच बीन्स) - 1 इंच के टुकड़ों में कटी हुई, 1/2 कप फूलगोभी (गोबी) - फूलों में कटी हुई, 2 आलू (आलू) - उबले और कटे हुए, 1/2 कप टोफू - कटे हुए, 2 प्याज - कटे हुए, 6 हरी मिर्च, 2 बड़े चम्मच अदरक लहसुन का पेस्ट, 1/2 चम्मच हल्दी पाउडर (हल्दी), 1/2 चम्मच लाल मिर्च पाउडर, 3-4 इलायची (इलायची) फली/बीज - पीसी हुई, 1 काली इलायची (बड़ी इलायची), 3 लौंग (लौंग), 1 इंच अदरक, 1 कप नारियल का दही - वैकल्पिक, 1/2 कप नारियल का दूध - गाढ़ा, पुदीना के पत्ते (आवश्यकतानुसार), 6-8 केसर के रेशे, खाने योग्य चांदी का वर्क / पत्ता (अनानास - कुछ टुकड़े), 2 बड़े चम्मच किशमिश, 6-8 काजू - भुना हुआ, 1 बड़ा चम्मच बादाम - कटा हुआ, 1 बड़ा चम्मच पिस्ता - कटा हुआ, 1/2 गरम मसाला पाउडर - वैकल्पिक, नारियल का तेल - ठंडा दबाया हुआ, 1-1/2 बड़ा चम्मच खसखस, 10 काजू - साबुत, 15 बादाम</v>
      </c>
      <c r="H42" s="1" t="s">
        <v>31167</v>
      </c>
      <c r="I42" s="1" t="str">
        <f ca="1">IFERROR(__xludf.dummyfunction("IF(H42="""", """", GOOGLETRANSLATE(H42, ""en"", ""hi""))"),"शाकाहारी नवरत्न कोरमा बनाने के लिए, पेस्ट के लिए अलग रखे काजू और बादाम को 40 मिनट के लिए पानी में भिगो दें। इसे खसखस ​​के साथ पीसकर चिकना पेस्ट बना लें और अलग रख दें। सभी सब्ज़ियों को काट लें और कोरमा के लिए ज़रूरी सभी सामग्री इकट्ठा कर लें। सब्जियों को ए"&amp;"क चुटकी नमक के साथ नरम होने तक भाप में पकाएँ, सुनिश्चित करें कि वे अपना आकार बनाए रखें। खसखस, काजू और बादाम को थोड़ा पानी डालकर चिकना पेस्ट बना लें। मेवे-बीज के मिश्रण को अलग रख दें। एक बड़े पैन में थोड़ा तेल गरम करें, उसमें लौंग, दालचीनी, हरी इलायची और क"&amp;"ाली इलायची डालें, अब कटा हुआ प्याज़, अदरक और लहसुन का पेस्ट डालें और भूनें, जब तक कि कच्ची महक गायब न हो जाए, हरी मिर्च डालें और थोड़ी देर पकाएँ। इस मिश्रण को कमरे के तापमान तक ठंडा होने दें। अब इन सामग्रियों को मिक्सी जार में डालें और चिकना होने तक पीस ल"&amp;"ें। इस ग्रेवी को पैन में वापस डालें, हल्दी पाउडर, लाल मिर्च पाउडर और थोड़ा नमक डालें और 3-4 मिनट तक पकाएं। अब इस मिश्रण में नारियल का दही, नारियल का दूध और मेवे के बीजों का पेस्ट डालें और अच्छी तरह मिलाएँ और 4-5 मिनट तक या कोरमा के गाढ़ा होने तक पकाएँ। इस"&amp;"में पकी हुई सब्जियाँ, टोफू और एक कप पानी डालें और तब तक पकाएँ जब तक कोरमा एक साथ न आ जाए। इसमें लगभग 4-5 मिनट का समय लगना चाहिए। यदि आवश्यक हो तो कोरमा को ढीला करने के लिए थोड़ा पानी डालें। नमक डालें और मसाले को समायोजित करें। अंत में अगर गरम मसाला इस्तेम"&amp;"ाल कर रहे हैं तो छिड़कें और इसे चलाएँ। एक छोटे पैन में थोड़ा नारियल का तेल गर्म करें और काजू और सुल्ताना को धीरे से भूनें शाकाहारी नवरात्रि कोरमा को एक सर्विंग बाउल में डालें, अगर इस्तेमाल कर रहे हैं तो चांदी का वर्क डालें, ऊपर से काजू, सुल्ताना, बादाम और"&amp;" पिस्ता डालें। अब ऊपर से अनानास, केसर और पुदीने के पत्ते सजाएँ। शाकाहारी नवरात्रि कोरमा को पनीर पुलाव विद ग्रीन मटर और तड़का रायता रेसिपी (मसालेदार दही और प्याज) के साथ परोसें और स्वादिष्ट वीक नाइट डिनर बनाएँ या पार्टियों में मुख्य कोर्स के तौर पर भी परोस"&amp;"ें।")</f>
        <v>शाकाहारी नवरत्न कोरमा बनाने के लिए, पेस्ट के लिए अलग रखे काजू और बादाम को 40 मिनट के लिए पानी में भिगो दें। इसे खसखस ​​के साथ पीसकर चिकना पेस्ट बना लें और अलग रख दें। सभी सब्ज़ियों को काट लें और कोरमा के लिए ज़रूरी सभी सामग्री इकट्ठा कर लें। सब्जियों को एक चुटकी नमक के साथ नरम होने तक भाप में पकाएँ, सुनिश्चित करें कि वे अपना आकार बनाए रखें। खसखस, काजू और बादाम को थोड़ा पानी डालकर चिकना पेस्ट बना लें। मेवे-बीज के मिश्रण को अलग रख दें। एक बड़े पैन में थोड़ा तेल गरम करें, उसमें लौंग, दालचीनी, हरी इलायची और काली इलायची डालें, अब कटा हुआ प्याज़, अदरक और लहसुन का पेस्ट डालें और भूनें, जब तक कि कच्ची महक गायब न हो जाए, हरी मिर्च डालें और थोड़ी देर पकाएँ। इस मिश्रण को कमरे के तापमान तक ठंडा होने दें। अब इन सामग्रियों को मिक्सी जार में डालें और चिकना होने तक पीस लें। इस ग्रेवी को पैन में वापस डालें, हल्दी पाउडर, लाल मिर्च पाउडर और थोड़ा नमक डालें और 3-4 मिनट तक पकाएं। अब इस मिश्रण में नारियल का दही, नारियल का दूध और मेवे के बीजों का पेस्ट डालें और अच्छी तरह मिलाएँ और 4-5 मिनट तक या कोरमा के गाढ़ा होने तक पकाएँ। इसमें पकी हुई सब्जियाँ, टोफू और एक कप पानी डालें और तब तक पकाएँ जब तक कोरमा एक साथ न आ जाए। इसमें लगभग 4-5 मिनट का समय लगना चाहिए। यदि आवश्यक हो तो कोरमा को ढीला करने के लिए थोड़ा पानी डालें। नमक डालें और मसाले को समायोजित करें। अंत में अगर गरम मसाला इस्तेमाल कर रहे हैं तो छिड़कें और इसे चलाएँ। एक छोटे पैन में थोड़ा नारियल का तेल गर्म करें और काजू और सुल्ताना को धीरे से भूनें शाकाहारी नवरात्रि कोरमा को एक सर्विंग बाउल में डालें, अगर इस्तेमाल कर रहे हैं तो चांदी का वर्क डालें, ऊपर से काजू, सुल्ताना, बादाम और पिस्ता डालें। अब ऊपर से अनानास, केसर और पुदीने के पत्ते सजाएँ। शाकाहारी नवरात्रि कोरमा को पनीर पुलाव विद ग्रीन मटर और तड़का रायता रेसिपी (मसालेदार दही और प्याज) के साथ परोसें और स्वादिष्ट वीक नाइट डिनर बनाएँ या पार्टियों में मुख्य कोर्स के तौर पर भी परोसें।</v>
      </c>
      <c r="J42" s="3" t="s">
        <v>31168</v>
      </c>
      <c r="L42" s="1" t="s">
        <v>31003</v>
      </c>
    </row>
    <row r="43" spans="1:12" ht="409.6">
      <c r="A43" s="1" t="s">
        <v>31169</v>
      </c>
      <c r="B43" s="1" t="str">
        <f ca="1">IFERROR(__xludf.dummyfunction("IF(A43="""", """", GOOGLETRANSLATE(A43, ""en"", ""hi""))"),"दही भिंडी रेसिपी - दही करी में भिंडी और कैरमेलाइज़्ड प्याज़")</f>
        <v>दही भिंडी रेसिपी - दही करी में भिंडी और कैरमेलाइज़्ड प्याज़</v>
      </c>
      <c r="C43" s="1" t="s">
        <v>429</v>
      </c>
      <c r="D43" s="1" t="s">
        <v>14198</v>
      </c>
      <c r="E43" s="1">
        <v>60</v>
      </c>
      <c r="F43" s="1" t="s">
        <v>31170</v>
      </c>
      <c r="G43" s="1" t="str">
        <f ca="1">IFERROR(__xludf.dummyfunction("IF(F43="""", """", GOOGLETRANSLATE(F43, ""en"", ""hi""))"),"200 ग्राम भिंडी - 1 इंच के टुकड़ों में कटी हुई, 1 प्याज - बारीक कटा हुआ, 1 इंच अदरक - कद्दूकस किया हुआ, 1 कप दही, 2 बड़े चम्मच बेसन, 1 चम्मच गरम मसाला पाउडर, 1/2 चम्मच हल्दी पाउडर, 1/2 चम्मच लाल मिर्च पाउडर, नमक - स्वादानुसार, 1 बड़ा चम्मच कैरामेलाइज़्ड प"&amp;"्याज, सूरजमुखी तेल - पकाने के लिए, 2 बड़े चम्मच घी, 1 चम्मच जीरा, 2 सूखी लाल मिर्च, धनिया पत्ती - एक छोटा गुच्छा बारीक कटा हुआ")</f>
        <v>200 ग्राम भिंडी - 1 इंच के टुकड़ों में कटी हुई, 1 प्याज - बारीक कटा हुआ, 1 इंच अदरक - कद्दूकस किया हुआ, 1 कप दही, 2 बड़े चम्मच बेसन, 1 चम्मच गरम मसाला पाउडर, 1/2 चम्मच हल्दी पाउडर, 1/2 चम्मच लाल मिर्च पाउडर, नमक - स्वादानुसार, 1 बड़ा चम्मच कैरामेलाइज़्ड प्याज, सूरजमुखी तेल - पकाने के लिए, 2 बड़े चम्मच घी, 1 चम्मच जीरा, 2 सूखी लाल मिर्च, धनिया पत्ती - एक छोटा गुच्छा बारीक कटा हुआ</v>
      </c>
      <c r="H43" s="4" t="s">
        <v>31171</v>
      </c>
      <c r="I43" s="1" t="str">
        <f ca="1">IFERROR(__xludf.dummyfunction("IF(H43="""", """", GOOGLETRANSLATE(H43, ""en"", ""hi""))"),"दही भिन्डी रेसिपी बनाने के लिए सबसे पहले हम भिन्डी को भूनेंगे। एक कड़ाही या वोक में 2 बड़े चम्मच तेल गर्म करें, उसमें कटा हुआ प्याज और भिन्डी डालें। थोड़ा नमक छिड़कें और भिन्डी और प्याज को धीमी आंच पर भूनें। कुछ मिनट के लिए पैन को ढक कर रखें ताकि भिन्डी प"&amp;"क जाए। ढकने पर भिन्डी नमी छोड़ती है, लेकिन यह नमी इसे पकने और नरम होने में भी मदद करती है। एक बार जब आप देखें कि इसमें से थोड़ी नमी निकल गई है और भिन्डी थोड़ी नरम हो गई है, तो पैन खोलें और भिन्डी को तब तक भूनें जब तक यह अच्छी तरह से भुन न जाए। सुनिश्चित क"&amp;"रें कि आप इसे मध्यम आंच पर भूनें। भिन्डी को तब तक भूनें जब तक आप देखें कि यह सिकुड़ने लगी है और भूरी हो गई है। यह चिपचिपी, चिपचिपी और चिपचिपी नहीं होनी चाहिए। यह चिपचिपापन सोख लेगा। भिन्डी पकाने में मुश्किल सब्जी है, इसलिए इसे चिपचिपा न बनाने के लिए कुछ अ"&amp;"भ्यास की आवश्यकता होती है। एक बार भिन्डी पक कर अच्छी तरह भुन जाए तो इसे दही की ग्रेवी तैयार होने तक अलग रख दें। दही की सब्जी बनाने के लिए एक सॉस पैन में दही डालें; इसमें बेसन, कसा हुआ अदरक, गरम मसाला पाउडर, हल्दी पाउडर और मिर्च पाउडर डालें। चिकना होने तक "&amp;"फेंटें। इसमें 1/4 कप पानी डालें और अच्छी तरह मिल जाने तक फिर से फेंटें। सॉस पैन को मध्यम आंच पर रखें और दही के मिश्रण को तेज उबाल आने दें। इसे कुछ मिनट तक उबलने दें और फिर आंच धीमी कर दें। मिश्रण को तब तक पकाएं जब तक दही गाढ़ा और मलाईदार न हो जाए। जब ​​गा"&amp;"ढ़ा और मलाईदार हो जाए तो इसमें भुनी हुई भिन्डी डालें और हिलाएं। कुछ और मिनट के लिए उबालें तड़का पैन में एक बड़ा चम्मच घी गर्म करें। इसमें जीरा, सूखी लाल मिर्च डालें और हल्का भूरा होने तक भूनें। इस मसाले और कैरमेलाइज़्ड प्याज़ को दही भिंडी में डालें। धीरे "&amp;"से मिलाएँ और अंत में कटा हुआ हरा धनिया मिलाएँ। दही भिंडी को फुल्का रेसिपी या स्टीम्ड राइस और हरी मूंग स्प्राउट सलाद के साथ रात के खाने या वीकेंड लंच के लिए परोसें।")</f>
        <v>दही भिन्डी रेसिपी बनाने के लिए सबसे पहले हम भिन्डी को भूनेंगे। एक कड़ाही या वोक में 2 बड़े चम्मच तेल गर्म करें, उसमें कटा हुआ प्याज और भिन्डी डालें। थोड़ा नमक छिड़कें और भिन्डी और प्याज को धीमी आंच पर भूनें। कुछ मिनट के लिए पैन को ढक कर रखें ताकि भिन्डी पक जाए। ढकने पर भिन्डी नमी छोड़ती है, लेकिन यह नमी इसे पकने और नरम होने में भी मदद करती है। एक बार जब आप देखें कि इसमें से थोड़ी नमी निकल गई है और भिन्डी थोड़ी नरम हो गई है, तो पैन खोलें और भिन्डी को तब तक भूनें जब तक यह अच्छी तरह से भुन न जाए। सुनिश्चित करें कि आप इसे मध्यम आंच पर भूनें। भिन्डी को तब तक भूनें जब तक आप देखें कि यह सिकुड़ने लगी है और भूरी हो गई है। यह चिपचिपी, चिपचिपी और चिपचिपी नहीं होनी चाहिए। यह चिपचिपापन सोख लेगा। भिन्डी पकाने में मुश्किल सब्जी है, इसलिए इसे चिपचिपा न बनाने के लिए कुछ अभ्यास की आवश्यकता होती है। एक बार भिन्डी पक कर अच्छी तरह भुन जाए तो इसे दही की ग्रेवी तैयार होने तक अलग रख दें। दही की सब्जी बनाने के लिए एक सॉस पैन में दही डालें; इसमें बेसन, कसा हुआ अदरक, गरम मसाला पाउडर, हल्दी पाउडर और मिर्च पाउडर डालें। चिकना होने तक फेंटें। इसमें 1/4 कप पानी डालें और अच्छी तरह मिल जाने तक फिर से फेंटें। सॉस पैन को मध्यम आंच पर रखें और दही के मिश्रण को तेज उबाल आने दें। इसे कुछ मिनट तक उबलने दें और फिर आंच धीमी कर दें। मिश्रण को तब तक पकाएं जब तक दही गाढ़ा और मलाईदार न हो जाए। जब ​​गाढ़ा और मलाईदार हो जाए तो इसमें भुनी हुई भिन्डी डालें और हिलाएं। कुछ और मिनट के लिए उबालें तड़का पैन में एक बड़ा चम्मच घी गर्म करें। इसमें जीरा, सूखी लाल मिर्च डालें और हल्का भूरा होने तक भूनें। इस मसाले और कैरमेलाइज़्ड प्याज़ को दही भिंडी में डालें। धीरे से मिलाएँ और अंत में कटा हुआ हरा धनिया मिलाएँ। दही भिंडी को फुल्का रेसिपी या स्टीम्ड राइस और हरी मूंग स्प्राउट सलाद के साथ रात के खाने या वीकेंड लंच के लिए परोसें।</v>
      </c>
      <c r="J43" s="3" t="s">
        <v>31172</v>
      </c>
      <c r="L43" s="1" t="s">
        <v>31003</v>
      </c>
    </row>
    <row r="44" spans="1:12" ht="13.8">
      <c r="A44" s="1" t="s">
        <v>31173</v>
      </c>
      <c r="B44" s="1" t="str">
        <f ca="1">IFERROR(__xludf.dummyfunction("IF(A44="""", """", GOOGLETRANSLATE(A44, ""en"", ""hi""))"),"पालक पनीर भुर्जी रेसिपी")</f>
        <v>पालक पनीर भुर्जी रेसिपी</v>
      </c>
      <c r="C44" s="1" t="s">
        <v>14198</v>
      </c>
      <c r="D44" s="1" t="s">
        <v>14198</v>
      </c>
      <c r="E44" s="1">
        <v>45</v>
      </c>
      <c r="F44" s="1" t="s">
        <v>31174</v>
      </c>
      <c r="G44" s="1" t="str">
        <f ca="1">IFERROR(__xludf.dummyfunction("IF(F44="""", """", GOOGLETRANSLATE(F44, ""en"", ""hi""))"),"200 ग्राम पनीर - कसा हुआ, 50 ग्राम पालक - बारीक कटा हुआ, 2 हरी मिर्च - बारीक कटी हुई, 1 प्याज - बारीक कटा हुआ, 1 टमाटर - बारीक कटा हुआ, 2 लहसुन - बारीक कटा हुआ, 1/2 छोटा चम्मच जीरा, 2 छोटे चम्मच लाल मिर्च पाउडर, 2 छोटे चम्मच गरम मसाला पाउडर, 2 छोटे चम्मच "&amp;"अमचूर, 1 बड़ा चम्मच मक्खन, नमक - स्वादानुसार, तेल - उपयोगानुसार")</f>
        <v>200 ग्राम पनीर - कसा हुआ, 50 ग्राम पालक - बारीक कटा हुआ, 2 हरी मिर्च - बारीक कटी हुई, 1 प्याज - बारीक कटा हुआ, 1 टमाटर - बारीक कटा हुआ, 2 लहसुन - बारीक कटा हुआ, 1/2 छोटा चम्मच जीरा, 2 छोटे चम्मच लाल मिर्च पाउडर, 2 छोटे चम्मच गरम मसाला पाउडर, 2 छोटे चम्मच अमचूर, 1 बड़ा चम्मच मक्खन, नमक - स्वादानुसार, तेल - उपयोगानुसार</v>
      </c>
      <c r="H44" s="1" t="s">
        <v>31175</v>
      </c>
      <c r="I44" s="1" t="str">
        <f ca="1">IFERROR(__xludf.dummyfunction("IF(H44="""", """", GOOGLETRANSLATE(H44, ""en"", ""hi""))"),"""पालक पनीर भुर्जी रेसिपी बनाने के लिए सबसे पहले पनीर तैयार कर लें। आप पनीर बाहर से भी खरीद सकते हैं। पनीर को तोड़कर अलग रख लें। अब एक पैन में तेल गर्म करें। उसमें जीरा डालें और उसे चटकने दें। जीरा चटकने के बाद उसमें अदरक, लहसुन, हरी मिर्च, प्याज़ डालें औ"&amp;"र प्याज़ के हल्का भूरा होने तक पकाएँ। अब टमाटर डालें और उन्हें नरम होने तक पकाएँ। पालक डालें और पालक के पकने तक पकाएँ। अब लाल मिर्च पाउडर, गरम मसाला पाउडर, अमचूर पाउडर, पनीर डालें और अच्छी तरह मिलाएँ। मक्खन डालें और 3 से 4 मिनट तक पकाएँ। पकने के बाद गैस ब"&amp;"ंद कर दें और गरमागरम परोसें। पालक पनीर भुर्जी को दाल मखनी, बूंदी रायता और फुल्के के साथ लंच में परोसें।""")</f>
        <v>"पालक पनीर भुर्जी रेसिपी बनाने के लिए सबसे पहले पनीर तैयार कर लें। आप पनीर बाहर से भी खरीद सकते हैं। पनीर को तोड़कर अलग रख लें। अब एक पैन में तेल गर्म करें। उसमें जीरा डालें और उसे चटकने दें। जीरा चटकने के बाद उसमें अदरक, लहसुन, हरी मिर्च, प्याज़ डालें और प्याज़ के हल्का भूरा होने तक पकाएँ। अब टमाटर डालें और उन्हें नरम होने तक पकाएँ। पालक डालें और पालक के पकने तक पकाएँ। अब लाल मिर्च पाउडर, गरम मसाला पाउडर, अमचूर पाउडर, पनीर डालें और अच्छी तरह मिलाएँ। मक्खन डालें और 3 से 4 मिनट तक पकाएँ। पकने के बाद गैस बंद कर दें और गरमागरम परोसें। पालक पनीर भुर्जी को दाल मखनी, बूंदी रायता और फुल्के के साथ लंच में परोसें।"</v>
      </c>
      <c r="J44" s="3" t="s">
        <v>31176</v>
      </c>
      <c r="L44" s="1" t="s">
        <v>31003</v>
      </c>
    </row>
    <row r="45" spans="1:12" ht="409.6">
      <c r="A45" s="1" t="s">
        <v>31177</v>
      </c>
      <c r="B45" s="1" t="str">
        <f ca="1">IFERROR(__xludf.dummyfunction("IF(A45="""", """", GOOGLETRANSLATE(A45, ""en"", ""hi""))"),"चुकंदर लोनी स्पोंज डोसा रेसिपी")</f>
        <v>चुकंदर लोनी स्पोंज डोसा रेसिपी</v>
      </c>
      <c r="C45" s="1" t="s">
        <v>16424</v>
      </c>
      <c r="D45" s="1" t="s">
        <v>14198</v>
      </c>
      <c r="E45" s="1">
        <v>40</v>
      </c>
      <c r="F45" s="1" t="s">
        <v>31178</v>
      </c>
      <c r="G45" s="1" t="str">
        <f ca="1">IFERROR(__xludf.dummyfunction("IF(F45="""", """", GOOGLETRANSLATE(F45, ""en"", ""hi""))"),"2 कप इडली डोसा बैटर, 2 कप चावल - उबला हुआ, 1/4 कप पोहा (चपटा चावल) - (मोटी किस्म), 3 कप छाछ - खट्टा, 1 चम्मच खाना पकाने का सोडा, 1/4 कप मक्खन - लोनी (सफेद मक्खन), 1 चुकंदर - छिला हुआ, 5 से 7 करी पत्ते, 1/2 बड़ा चम्मच हरी मिर्च का पेस्ट, नमक - स्वादानुसार,"&amp;" तिल का तेल - आवश्यकतानुसार")</f>
        <v>2 कप इडली डोसा बैटर, 2 कप चावल - उबला हुआ, 1/4 कप पोहा (चपटा चावल) - (मोटी किस्म), 3 कप छाछ - खट्टा, 1 चम्मच खाना पकाने का सोडा, 1/4 कप मक्खन - लोनी (सफेद मक्खन), 1 चुकंदर - छिला हुआ, 5 से 7 करी पत्ते, 1/2 बड़ा चम्मच हरी मिर्च का पेस्ट, नमक - स्वादानुसार, तिल का तेल - आवश्यकतानुसार</v>
      </c>
      <c r="H45" s="4" t="s">
        <v>31179</v>
      </c>
      <c r="I45" s="1" t="str">
        <f ca="1">IFERROR(__xludf.dummyfunction("IF(H45="""", """", GOOGLETRANSLATE(H45, ""en"", ""hi""))"),"चुकंदर लोनी स्पोंज डोसा रेसिपी बनाने के लिए चावल को 2 से 3 बार धो लें और फिर पोहा के साथ खट्टी छाछ में रात भर के लिए भिगो दें। अगली सुबह, भिगोए हुए चावल और पोहा को मिक्सर ग्राइंडर में मुलायम घोल में पीस लें। इसे चलाते हुए नमक डालें और एक तरफ रख दें। मिक्स"&amp;"र ग्राइंडर में छिला हुआ चुकंदर, करी पत्ता डालें और बिना पानी के पेस्ट बना लें। एक छलनी लें और चुकंदर का रस निचोड़ें और इसे स्पंज डोसा बैटर में मिला दें। बैटर में हरी मिर्च डालें और बैटर को धीरे से मिलाएँ। एक नॉन-स्टिक तवा गरम करें और इसका तापमान जांचने के"&amp;" लिए पानी छिड़कें। अगर चटकती है तो इसका तापमान सही है। डोसा बैटर में कुकिंग सोडा डालें और इसे एक ही दिशा में जल्दी से फेंटें डोसे पर मक्खन लगाएँ। इसे दूसरी तरफ पलट दें ताकि यह ज़्यादा कुरकुरा हो जाए। स्वादिष्ट और सेहतमंद नाश्ते के लिए चुकंदर लोनी स्पॉन्ज "&amp;"डोसा को मिक्स वेजिटेबल सांबर और दक्षिण भारतीय नारियल चटनी के साथ परोसें।")</f>
        <v>चुकंदर लोनी स्पोंज डोसा रेसिपी बनाने के लिए चावल को 2 से 3 बार धो लें और फिर पोहा के साथ खट्टी छाछ में रात भर के लिए भिगो दें। अगली सुबह, भिगोए हुए चावल और पोहा को मिक्सर ग्राइंडर में मुलायम घोल में पीस लें। इसे चलाते हुए नमक डालें और एक तरफ रख दें। मिक्सर ग्राइंडर में छिला हुआ चुकंदर, करी पत्ता डालें और बिना पानी के पेस्ट बना लें। एक छलनी लें और चुकंदर का रस निचोड़ें और इसे स्पंज डोसा बैटर में मिला दें। बैटर में हरी मिर्च डालें और बैटर को धीरे से मिलाएँ। एक नॉन-स्टिक तवा गरम करें और इसका तापमान जांचने के लिए पानी छिड़कें। अगर चटकती है तो इसका तापमान सही है। डोसा बैटर में कुकिंग सोडा डालें और इसे एक ही दिशा में जल्दी से फेंटें डोसे पर मक्खन लगाएँ। इसे दूसरी तरफ पलट दें ताकि यह ज़्यादा कुरकुरा हो जाए। स्वादिष्ट और सेहतमंद नाश्ते के लिए चुकंदर लोनी स्पॉन्ज डोसा को मिक्स वेजिटेबल सांबर और दक्षिण भारतीय नारियल चटनी के साथ परोसें।</v>
      </c>
      <c r="J45" s="3" t="s">
        <v>31180</v>
      </c>
      <c r="L45" s="1" t="s">
        <v>31003</v>
      </c>
    </row>
    <row r="46" spans="1:12" ht="13.8">
      <c r="A46" s="1" t="s">
        <v>31181</v>
      </c>
      <c r="B46" s="1" t="str">
        <f ca="1">IFERROR(__xludf.dummyfunction("IF(A46="""", """", GOOGLETRANSLATE(A46, ""en"", ""hi""))"),"मीठी और मसालेदार भरवां पनीर कोफ्ता करी रेसिपी")</f>
        <v>मीठी और मसालेदार भरवां पनीर कोफ्ता करी रेसिपी</v>
      </c>
      <c r="C46" s="1" t="s">
        <v>429</v>
      </c>
      <c r="D46" s="1" t="s">
        <v>14198</v>
      </c>
      <c r="E46" s="1">
        <v>40</v>
      </c>
      <c r="F46" s="1" t="s">
        <v>31182</v>
      </c>
      <c r="G46" s="1" t="str">
        <f ca="1">IFERROR(__xludf.dummyfunction("IF(F46="""", """", GOOGLETRANSLATE(F46, ""en"", ""hi""))"),"200 ग्राम पनीर - 1 इंच के टुकड़ों में कटा हुआ, 2 हरी मिर्च - बारीक कटी हुई, 1 चम्मच अदरक - बारीक कटा हुआ, 1 बड़ा चम्मच किशमिश, 6 काजू - बारीक कटे हुए, 6 बादाम - बारीक कटे हुए, 6 पिस्ते - बारीक कटे हुए, 1/4 चम्मच हल्दी पाउडर, 2 चम्मच बेसन, नमक - स्वादानुसा"&amp;"र, 1/4 चम्मच इलायची पाउडर, 1 चम्मच सूरजमुखी का तेल, 2 तेज पत्ता, 2-3 इलायची की फली/बीज, 1 दालचीनी, 2-3 लौंग, 1 जावित्री, 1 चक्र फूल, 1 कप घर का बना टमाटर प्यूरी, 1 इंच अदरक, 3 लहसुन की कलियां, 1 प्याज - मोटा कटा हुआ, 2 चम्मच धनिया पाउडर, 1/2 चम्मच लाल मिर"&amp;"्च पाउडर, 1/4 चम्मच हल्दी पाउडर (हल्दी), 10 काजू - भिगोकर मुलायम पेस्ट बना लें, 2 बड़े चम्मच दही, नमक - स्वादानुसार, 1 बड़ा चम्मच कसूरी मेथी, 1 बड़ा चम्मच शहद, 1/2 कप ताजा क्रीम")</f>
        <v>200 ग्राम पनीर - 1 इंच के टुकड़ों में कटा हुआ, 2 हरी मिर्च - बारीक कटी हुई, 1 चम्मच अदरक - बारीक कटा हुआ, 1 बड़ा चम्मच किशमिश, 6 काजू - बारीक कटे हुए, 6 बादाम - बारीक कटे हुए, 6 पिस्ते - बारीक कटे हुए, 1/4 चम्मच हल्दी पाउडर, 2 चम्मच बेसन, नमक - स्वादानुसार, 1/4 चम्मच इलायची पाउडर, 1 चम्मच सूरजमुखी का तेल, 2 तेज पत्ता, 2-3 इलायची की फली/बीज, 1 दालचीनी, 2-3 लौंग, 1 जावित्री, 1 चक्र फूल, 1 कप घर का बना टमाटर प्यूरी, 1 इंच अदरक, 3 लहसुन की कलियां, 1 प्याज - मोटा कटा हुआ, 2 चम्मच धनिया पाउडर, 1/2 चम्मच लाल मिर्च पाउडर, 1/4 चम्मच हल्दी पाउडर (हल्दी), 10 काजू - भिगोकर मुलायम पेस्ट बना लें, 2 बड़े चम्मच दही, नमक - स्वादानुसार, 1 बड़ा चम्मच कसूरी मेथी, 1 बड़ा चम्मच शहद, 1/2 कप ताजा क्रीम</v>
      </c>
      <c r="H46" s="1" t="s">
        <v>31183</v>
      </c>
      <c r="I46" s="1" t="str">
        <f ca="1">IFERROR(__xludf.dummyfunction("IF(H46="""", """", GOOGLETRANSLATE(H46, ""en"", ""hi""))"),"कोफ्ता करी रेसिपी में भरवां पनीर बनाने के लिए, हम पनीर के लिए भराई से शुरू करेंगे। प्रत्येक क्यूब के केंद्र से थोड़ा पनीर निकालें या काट लें। आप एक खरबूजे के स्कूपर या एक छोटे चम्मच का उपयोग कर सकते हैं। निकाले हुए पनीर को एक कटोरे में डालें, टुकड़े टुकड़"&amp;"े करें / कद्दूकस करें और एक तरफ रख दें। एक भारी तले की कड़ाही में तेल गर्म करें। बारीक कटी हरी मिर्च और अदरक डालें, अदरक की खुशबू आने तक भूनें। किशमिश और कटे हुए मेवे डालें, और 30 सेकंड के लिए भूनें। इस मिश्रण को हल्दी पाउडर, बेसन, नमक और इलायची पाउडर के "&amp;"साथ टुकड़े टुकड़े किए हुए पनीर में डालें। अच्छी तरह मिलाएँ। स्वादानुसार नमक कम या ज्यादा करें। इस पनीर और मेवे के मिश्रण को निकाले हुए पनीर के टुकड़ों में भरें और अच्छी तरह दबाएँ। एक पैन में मध्यम आँच पर एक चम्मच तेल गर्म करें। भरवां पनीर के टुकड़े डालें "&amp;"और पनीर के टुकड़ों को दोनों तरफ से हल्का सुनहरा होने तक तल लें। हो जाने के बाद पैन से निकालें और एक तरफ रख दें। कोफ्ता करी बनाने के लिए सबसे पहले प्याज, अदरक और लहसुन को पीसकर मुलायम पेस्ट बना लें। एक तरफ रख दें। काजू को थोड़े पानी के साथ पीसकर मुलायम पेस"&amp;"्ट बना लें। एक तरफ रख दें। एक पैन में मध्यम आंच पर तेल गर्म करें; उसमें साबुत मसाले डालें और कुछ सेकेंड तक तब तक भूनें जब तक कि आपको खुशबू आने लगे। अदरक लहसुन और प्याज का पेस्ट डालें और लगभग एक मिनट तक भूनें जब तक कि कच्ची महक चली न जाए। इस स्तर पर, हल्दी"&amp;" पाउडर, धनिया पाउडर और लाल मिर्च पाउडर डालें। प्याज अदरक लहसुन के पेस्ट में मसाले डालने से कच्ची महक को और कम करने में मदद मिलती है। कुछ सेकेंड तक भूनें और फिर टमाटर प्यूरी, काजू प्यूरी, स्वादानुसार नमक और ताजा क्रीम डालें। कोफ्ता ग्रेवी की स्थिरता को समा"&amp;"योजित करने के लिए थोड़ा पानी डालें। इस कोफ्ता करी को 3 से 4 मिनट तक उबालें जब तक कि फ्लेवर अच्छी तरह से मिल न जाए अपने स्वाद के अनुसार समायोजित करें। कोफ्ता करी को एक सर्विंग बाउल में डालें और जब आप परोसने के लिए तैयार हों, तो भरवां पनीर को करी में डालें "&amp;"और गर्म परोसें। अपने भरवां पनीर बास्केट को पंजाबी दाल तड़का, मिक्स वेजिटेबल पुलाव (पिलाफ), बटर गार्लिक नान, केला अनार रायता के साथ परिवार और दोस्तों के साथ एक बेहतरीन वीकेंड डिनर के लिए परोसें।")</f>
        <v>कोफ्ता करी रेसिपी में भरवां पनीर बनाने के लिए, हम पनीर के लिए भराई से शुरू करेंगे। प्रत्येक क्यूब के केंद्र से थोड़ा पनीर निकालें या काट लें। आप एक खरबूजे के स्कूपर या एक छोटे चम्मच का उपयोग कर सकते हैं। निकाले हुए पनीर को एक कटोरे में डालें, टुकड़े टुकड़े करें / कद्दूकस करें और एक तरफ रख दें। एक भारी तले की कड़ाही में तेल गर्म करें। बारीक कटी हरी मिर्च और अदरक डालें, अदरक की खुशबू आने तक भूनें। किशमिश और कटे हुए मेवे डालें, और 30 सेकंड के लिए भूनें। इस मिश्रण को हल्दी पाउडर, बेसन, नमक और इलायची पाउडर के साथ टुकड़े टुकड़े किए हुए पनीर में डालें। अच्छी तरह मिलाएँ। स्वादानुसार नमक कम या ज्यादा करें। इस पनीर और मेवे के मिश्रण को निकाले हुए पनीर के टुकड़ों में भरें और अच्छी तरह दबाएँ। एक पैन में मध्यम आँच पर एक चम्मच तेल गर्म करें। भरवां पनीर के टुकड़े डालें और पनीर के टुकड़ों को दोनों तरफ से हल्का सुनहरा होने तक तल लें। हो जाने के बाद पैन से निकालें और एक तरफ रख दें। कोफ्ता करी बनाने के लिए सबसे पहले प्याज, अदरक और लहसुन को पीसकर मुलायम पेस्ट बना लें। एक तरफ रख दें। काजू को थोड़े पानी के साथ पीसकर मुलायम पेस्ट बना लें। एक तरफ रख दें। एक पैन में मध्यम आंच पर तेल गर्म करें; उसमें साबुत मसाले डालें और कुछ सेकेंड तक तब तक भूनें जब तक कि आपको खुशबू आने लगे। अदरक लहसुन और प्याज का पेस्ट डालें और लगभग एक मिनट तक भूनें जब तक कि कच्ची महक चली न जाए। इस स्तर पर, हल्दी पाउडर, धनिया पाउडर और लाल मिर्च पाउडर डालें। प्याज अदरक लहसुन के पेस्ट में मसाले डालने से कच्ची महक को और कम करने में मदद मिलती है। कुछ सेकेंड तक भूनें और फिर टमाटर प्यूरी, काजू प्यूरी, स्वादानुसार नमक और ताजा क्रीम डालें। कोफ्ता ग्रेवी की स्थिरता को समायोजित करने के लिए थोड़ा पानी डालें। इस कोफ्ता करी को 3 से 4 मिनट तक उबालें जब तक कि फ्लेवर अच्छी तरह से मिल न जाए अपने स्वाद के अनुसार समायोजित करें। कोफ्ता करी को एक सर्विंग बाउल में डालें और जब आप परोसने के लिए तैयार हों, तो भरवां पनीर को करी में डालें और गर्म परोसें। अपने भरवां पनीर बास्केट को पंजाबी दाल तड़का, मिक्स वेजिटेबल पुलाव (पिलाफ), बटर गार्लिक नान, केला अनार रायता के साथ परिवार और दोस्तों के साथ एक बेहतरीन वीकेंड डिनर के लिए परोसें।</v>
      </c>
      <c r="J46" s="3" t="s">
        <v>31184</v>
      </c>
      <c r="L46" s="1" t="s">
        <v>31003</v>
      </c>
    </row>
    <row r="47" spans="1:12" ht="13.8">
      <c r="A47" s="1" t="s">
        <v>31185</v>
      </c>
      <c r="B47" s="1" t="str">
        <f ca="1">IFERROR(__xludf.dummyfunction("IF(A47="""", """", GOOGLETRANSLATE(A47, ""en"", ""hi""))"),"मसालेदार बेबी आलू रेसिपी")</f>
        <v>मसालेदार बेबी आलू रेसिपी</v>
      </c>
      <c r="C47" s="1" t="s">
        <v>145</v>
      </c>
      <c r="D47" s="1" t="s">
        <v>14198</v>
      </c>
      <c r="E47" s="1">
        <v>40</v>
      </c>
      <c r="F47" s="1" t="s">
        <v>31186</v>
      </c>
      <c r="G47" s="1" t="str">
        <f ca="1">IFERROR(__xludf.dummyfunction("IF(F47="""", """", GOOGLETRANSLATE(F47, ""en"", ""hi""))"),"12 छोटे आलू, सूरजमुखी तेल - आवश्यकतानुसार, 1 सूखी लाल मिर्च, 1 चम्मच जीरा, 1 टहनी करी पत्ता - वैकल्पिक, 1 चम्मच धनिया पाउडर, 1/2 चम्मच हल्दी पाउडर, 1 चम्मच जीरा, 1 चम्मच लाल मिर्च पाउडर, 1 चम्मच गरम मसाला पाउडर, 1 चम्मच आमचूर, नमक - स्वादानुसार, 1 चम्मच न"&amp;"ींबू का रस, 3 बड़े चम्मच धनिया पत्ते - कटे हुए")</f>
        <v>12 छोटे आलू, सूरजमुखी तेल - आवश्यकतानुसार, 1 सूखी लाल मिर्च, 1 चम्मच जीरा, 1 टहनी करी पत्ता - वैकल्पिक, 1 चम्मच धनिया पाउडर, 1/2 चम्मच हल्दी पाउडर, 1 चम्मच जीरा, 1 चम्मच लाल मिर्च पाउडर, 1 चम्मच गरम मसाला पाउडर, 1 चम्मच आमचूर, नमक - स्वादानुसार, 1 चम्मच नींबू का रस, 3 बड़े चम्मच धनिया पत्ते - कटे हुए</v>
      </c>
      <c r="H47" s="1" t="s">
        <v>31187</v>
      </c>
      <c r="I47" s="1" t="str">
        <f ca="1">IFERROR(__xludf.dummyfunction("IF(H47="""", """", GOOGLETRANSLATE(H47, ""en"", ""hi""))"),"मसालेदार बेबी आलू रेसिपी बनाने के लिए, बेबी आलू को प्रेशर कुक करें और ठंडा होने के लिए अलग रख दें। छिलका उतारें और उबले हुए आलू को एक कटोरे में इकट्ठा करें। एक कड़ाही में तेल गरम करें और उसमें सूखी लाल मिर्च, करी पत्ता, जीरा डालें और उन्हें चटकने दें। अब "&amp;"सभी मसाले (धनिया पाउडर, लाल मिर्च पाउडर, अमचूर, जीरा पाउडर, गरम मसाला पाउडर और हल्दी) डालें। इसे कुछ सेकंड के लिए भूनें, इसे जलाएँ नहीं। बेबी आलू डालें और मसाला मिश्रण के साथ अच्छी तरह मिलाएँ। मध्यम आँच पर 6-7 मिनट तक भूनें जब तक कि सब कुछ अच्छी तरह से मि"&amp;"ल न जाए और स्वाद आलू के साथ मिल न जाए। अपने स्वाद के अनुसार नमक डालें और थोड़ा नींबू का रस डालें और फिर से मिलाएँ। आँच बंद करें, ढेर सारा कटा हरा धनिया डालें और जल्दी से चलाएँ")</f>
        <v>मसालेदार बेबी आलू रेसिपी बनाने के लिए, बेबी आलू को प्रेशर कुक करें और ठंडा होने के लिए अलग रख दें। छिलका उतारें और उबले हुए आलू को एक कटोरे में इकट्ठा करें। एक कड़ाही में तेल गरम करें और उसमें सूखी लाल मिर्च, करी पत्ता, जीरा डालें और उन्हें चटकने दें। अब सभी मसाले (धनिया पाउडर, लाल मिर्च पाउडर, अमचूर, जीरा पाउडर, गरम मसाला पाउडर और हल्दी) डालें। इसे कुछ सेकंड के लिए भूनें, इसे जलाएँ नहीं। बेबी आलू डालें और मसाला मिश्रण के साथ अच्छी तरह मिलाएँ। मध्यम आँच पर 6-7 मिनट तक भूनें जब तक कि सब कुछ अच्छी तरह से मिल न जाए और स्वाद आलू के साथ मिल न जाए। अपने स्वाद के अनुसार नमक डालें और थोड़ा नींबू का रस डालें और फिर से मिलाएँ। आँच बंद करें, ढेर सारा कटा हरा धनिया डालें और जल्दी से चलाएँ</v>
      </c>
      <c r="J47" s="3" t="s">
        <v>31188</v>
      </c>
      <c r="L47" s="1" t="s">
        <v>31003</v>
      </c>
    </row>
    <row r="48" spans="1:12" ht="13.8">
      <c r="A48" s="1" t="s">
        <v>31189</v>
      </c>
      <c r="B48" s="1" t="str">
        <f ca="1">IFERROR(__xludf.dummyfunction("IF(A48="""", """", GOOGLETRANSLATE(A48, ""en"", ""hi""))"),"मटर बेसन और पनीर चीला रेसिपी")</f>
        <v>मटर बेसन और पनीर चीला रेसिपी</v>
      </c>
      <c r="C48" s="1" t="s">
        <v>16424</v>
      </c>
      <c r="D48" s="1" t="s">
        <v>14198</v>
      </c>
      <c r="E48" s="1">
        <v>40</v>
      </c>
      <c r="F48" s="1" t="s">
        <v>31190</v>
      </c>
      <c r="G48" s="1" t="str">
        <f ca="1">IFERROR(__xludf.dummyfunction("IF(F48="""", """", GOOGLETRANSLATE(F48, ""en"", ""hi""))"),"1 कप हरी मटर - उबली हुई, 1 कप बेसन, 1/2 कप पनीर - कद्दूकस किया हुआ, 1 छोटा चम्मच अदरक - कटा हुआ, 2 हरी मिर्च - बारीक कटी हुई, 1/2 छोटा चम्मच हल्दी पाउडर, 1/2 छोटा चम्मच जीरा पाउडर, 1/2 छोटा चम्मच नमक, 2 तेल - आवश्यकतानुसार")</f>
        <v>1 कप हरी मटर - उबली हुई, 1 कप बेसन, 1/2 कप पनीर - कद्दूकस किया हुआ, 1 छोटा चम्मच अदरक - कटा हुआ, 2 हरी मिर्च - बारीक कटी हुई, 1/2 छोटा चम्मच हल्दी पाउडर, 1/2 छोटा चम्मच जीरा पाउडर, 1/2 छोटा चम्मच नमक, 2 तेल - आवश्यकतानुसार</v>
      </c>
      <c r="H48" s="1" t="s">
        <v>31191</v>
      </c>
      <c r="I48" s="1" t="str">
        <f ca="1">IFERROR(__xludf.dummyfunction("IF(H48="""", """", GOOGLETRANSLATE(H48, ""en"", ""hi""))"),"मटर बेसन और पनीर चीला रेसिपी बनाने के लिए सबसे पहले मिक्सर ग्राइंडर में हरी मटर, हरी मिर्च, अदरक, थोड़ा पानी लें और इसे पीसकर पेस्ट बना लें। अब इस पेस्ट को एक बाउल में डालें। इसमें बेसन, पनीर, हल्दी पाउडर, जीरा पाउडर, नमक, थोड़ा पानी डालकर अच्छे से मिलाएँ"&amp;"। अब एक पैन गरम करें। बीच में थोड़ा मिश्रण डालें और इसे गोल आकार में फैलाएँ। थोड़ा तेल डालें और दोनों तरफ से भूरा और सुनहरा होने तक पकाएँ। पकने के बाद इसे प्लेट में निकाल लें और सर्व करें। मटर बेसन और पनीर चीला रेसिपी को धनिया पुदीना चटनी और मसाला चाय के "&amp;"साथ नाश्ते में परोसें।")</f>
        <v>मटर बेसन और पनीर चीला रेसिपी बनाने के लिए सबसे पहले मिक्सर ग्राइंडर में हरी मटर, हरी मिर्च, अदरक, थोड़ा पानी लें और इसे पीसकर पेस्ट बना लें। अब इस पेस्ट को एक बाउल में डालें। इसमें बेसन, पनीर, हल्दी पाउडर, जीरा पाउडर, नमक, थोड़ा पानी डालकर अच्छे से मिलाएँ। अब एक पैन गरम करें। बीच में थोड़ा मिश्रण डालें और इसे गोल आकार में फैलाएँ। थोड़ा तेल डालें और दोनों तरफ से भूरा और सुनहरा होने तक पकाएँ। पकने के बाद इसे प्लेट में निकाल लें और सर्व करें। मटर बेसन और पनीर चीला रेसिपी को धनिया पुदीना चटनी और मसाला चाय के साथ नाश्ते में परोसें।</v>
      </c>
      <c r="J48" s="3" t="s">
        <v>31192</v>
      </c>
      <c r="L48" s="1" t="s">
        <v>31003</v>
      </c>
    </row>
    <row r="49" spans="1:12" ht="13.8">
      <c r="A49" s="1" t="s">
        <v>31193</v>
      </c>
      <c r="B49" s="1" t="str">
        <f ca="1">IFERROR(__xludf.dummyfunction("IF(A49="""", """", GOOGLETRANSLATE(A49, ""en"", ""hi""))"),"मसालेदार पनीर भुर्जी पाव सैंडविच रेसिपी - नाश्ता रेसिपी")</f>
        <v>मसालेदार पनीर भुर्जी पाव सैंडविच रेसिपी - नाश्ता रेसिपी</v>
      </c>
      <c r="C49" s="1" t="s">
        <v>429</v>
      </c>
      <c r="D49" s="1" t="s">
        <v>14237</v>
      </c>
      <c r="E49" s="1">
        <v>35</v>
      </c>
      <c r="F49" s="1" t="s">
        <v>31194</v>
      </c>
      <c r="G49" s="1" t="str">
        <f ca="1">IFERROR(__xludf.dummyfunction("IF(F49="""", """", GOOGLETRANSLATE(F49, ""en"", ""hi""))"),"1 बड़ा चम्मच सूरजमुखी तेल, 1 छोटा चम्मच अदरक - कद्दूकस किया हुआ, 1 हरी मिर्च - बारीक कटी हुई, 1 प्याज - बारीक कटा हुआ, 1 टमाटर - बारीक कटा हुआ, 1/4 छोटा चम्मच हल्दी पाउडर, 1/4 छोटा चम्मच लाल मिर्च पाउडर, 2 कप पनीर - कुचला हुआ, 1 बड़ा चम्मच धनिया पत्ती - क"&amp;"टी हुई, नमक - स्वादानुसार, 4 पाव बन - मक्खन में भुने हुए")</f>
        <v>1 बड़ा चम्मच सूरजमुखी तेल, 1 छोटा चम्मच अदरक - कद्दूकस किया हुआ, 1 हरी मिर्च - बारीक कटी हुई, 1 प्याज - बारीक कटा हुआ, 1 टमाटर - बारीक कटा हुआ, 1/4 छोटा चम्मच हल्दी पाउडर, 1/4 छोटा चम्मच लाल मिर्च पाउडर, 2 कप पनीर - कुचला हुआ, 1 बड़ा चम्मच धनिया पत्ती - कटी हुई, नमक - स्वादानुसार, 4 पाव बन - मक्खन में भुने हुए</v>
      </c>
      <c r="H49" s="1" t="s">
        <v>31195</v>
      </c>
      <c r="I49" s="1" t="str">
        <f ca="1">IFERROR(__xludf.dummyfunction("IF(H49="""", """", GOOGLETRANSLATE(H49, ""en"", ""hi""))"),"मसालेदार पनीर भुर्जी पाव सैंडविच बनाने के लिए, हम पनीर भुर्जी बनाना शुरू करेंगे। एक पैन को आंच पर रखें और उसमें तेल गर्म करें। इसमें अदरक और हरी मिर्च डालें और एक या दो मिनट तक भूनें। फिर कटे हुए प्याज डालें और पारदर्शी होने तक भूनें। इसके बाद कटे हुए टमा"&amp;"टर, हल्दी पाउडर और लाल मिर्च पाउडर डालें - इन सबको पैन में डालें और टमाटर के नरम होने तक लगातार चलाते हुए पकाते रहें। तब तक पकाते रहें जब तक कि कुछ नमी सूख न जाए और मसाला पैन के किनारों से अलग न होने लगे। इस स्तर पर, टुकड़े किए हुए पनीर को डालें, आवश्यकता"&amp;"नुसार नमक डालें और अच्छी तरह मिलाएँ। तैयार भुर्जी को मध्यम आँच पर एक या दो मिनट तक पकाएँ। कटा हुआ हरा धनिया छिड़कें, आँच बंद करें और भुर्जी को बाद में इस्तेमाल करने के लिए अलग रख दें। पाव बन्स पर मक्खन लगाएँ, उन्हें पहले से गरम किए हुए पैन पर रखें और मध्य"&amp;"म आँच पर उन्हें भूरा और कुरकुरा होने तक टोस्ट करें। अगला कदम पाव सैंडविच को इकट्ठा करना है। ऐसा करने के लिए, प्रत्येक पाव को आधा काट लें और उन्हें काम की सतह पर सपाट रखें। एक चम्मच पनीर भुर्जी लें और गरमागरम परोसें। चटपटी पनीर भुर्जी पाव सैंडविच रेसिपी को"&amp;" कलकत्ता स्टाइल पुचका और एक गरम कप मसाला चाय के साथ चाट पार्टी में परोसें।")</f>
        <v>मसालेदार पनीर भुर्जी पाव सैंडविच बनाने के लिए, हम पनीर भुर्जी बनाना शुरू करेंगे। एक पैन को आंच पर रखें और उसमें तेल गर्म करें। इसमें अदरक और हरी मिर्च डालें और एक या दो मिनट तक भूनें। फिर कटे हुए प्याज डालें और पारदर्शी होने तक भूनें। इसके बाद कटे हुए टमाटर, हल्दी पाउडर और लाल मिर्च पाउडर डालें - इन सबको पैन में डालें और टमाटर के नरम होने तक लगातार चलाते हुए पकाते रहें। तब तक पकाते रहें जब तक कि कुछ नमी सूख न जाए और मसाला पैन के किनारों से अलग न होने लगे। इस स्तर पर, टुकड़े किए हुए पनीर को डालें, आवश्यकतानुसार नमक डालें और अच्छी तरह मिलाएँ। तैयार भुर्जी को मध्यम आँच पर एक या दो मिनट तक पकाएँ। कटा हुआ हरा धनिया छिड़कें, आँच बंद करें और भुर्जी को बाद में इस्तेमाल करने के लिए अलग रख दें। पाव बन्स पर मक्खन लगाएँ, उन्हें पहले से गरम किए हुए पैन पर रखें और मध्यम आँच पर उन्हें भूरा और कुरकुरा होने तक टोस्ट करें। अगला कदम पाव सैंडविच को इकट्ठा करना है। ऐसा करने के लिए, प्रत्येक पाव को आधा काट लें और उन्हें काम की सतह पर सपाट रखें। एक चम्मच पनीर भुर्जी लें और गरमागरम परोसें। चटपटी पनीर भुर्जी पाव सैंडविच रेसिपी को कलकत्ता स्टाइल पुचका और एक गरम कप मसाला चाय के साथ चाट पार्टी में परोसें।</v>
      </c>
      <c r="J49" s="3" t="s">
        <v>31196</v>
      </c>
      <c r="L49" s="1" t="s">
        <v>31003</v>
      </c>
    </row>
    <row r="50" spans="1:12" ht="13.8">
      <c r="A50" s="1" t="s">
        <v>31197</v>
      </c>
      <c r="B50" s="1" t="str">
        <f ca="1">IFERROR(__xludf.dummyfunction("IF(A50="""", """", GOOGLETRANSLATE(A50, ""en"", ""hi""))"),"पपीता और गाजर का हलवा रेसिपी")</f>
        <v>पपीता और गाजर का हलवा रेसिपी</v>
      </c>
      <c r="C50" s="1" t="s">
        <v>8417</v>
      </c>
      <c r="D50" s="1" t="s">
        <v>14198</v>
      </c>
      <c r="E50" s="1">
        <v>50</v>
      </c>
      <c r="F50" s="1" t="s">
        <v>31198</v>
      </c>
      <c r="G50" s="1" t="str">
        <f ca="1">IFERROR(__xludf.dummyfunction("IF(F50="""", """", GOOGLETRANSLATE(F50, ""en"", ""hi""))"),"4 कप पपीता - छिला और कसा हुआ, 1 कप गाजर (गज्जर) - कसा हुआ, 1/2 कप चीनी, 3/4 कप दूध, 1/2 चम्मच इलायची पाउडर (इलायची), 2 केसर के रेशे, 2 बड़े चम्मच बादाम (बादाम) - कटा हुआ, 1/4 कप घी")</f>
        <v>4 कप पपीता - छिला और कसा हुआ, 1 कप गाजर (गज्जर) - कसा हुआ, 1/2 कप चीनी, 3/4 कप दूध, 1/2 चम्मच इलायची पाउडर (इलायची), 2 केसर के रेशे, 2 बड़े चम्मच बादाम (बादाम) - कटा हुआ, 1/4 कप घी</v>
      </c>
      <c r="H50" s="1" t="s">
        <v>31199</v>
      </c>
      <c r="I50" s="1" t="str">
        <f ca="1">IFERROR(__xludf.dummyfunction("IF(H50="""", """", GOOGLETRANSLATE(H50, ""en"", ""hi""))"),"पपीता और गाजर का हलवा रेसिपी बनाने के लिए सबसे पहले पपीता और गाजर को कद्दूकस करके सामग्री तैयार कर लें। एक भारी तले वाले पैन में घी, कसा हुआ पपीता और गाजर डालें। अच्छी खुशबू आने तक कुछ मिनट तक भूनें। दूध, चीनी डालकर पपीता गाजर हलवा मिश्रण के साथ तब तक उबा"&amp;"लें जब तक कि सारा दूध गाढ़ा होकर हलवा न बन जाए। आप देखेंगे कि हलवा गाढ़ा हो जाएगा और पैन के किनारों को छोड़कर चिपचिपा हो जाएगा। दूध और पानी की मात्रा पूरी तरह से वाष्पित हो जानी चाहिए और पपीता गाजर हलवा चमकदार दिखने लगेगा। इस स्तर पर एक बड़ा चम्मच घी डाले"&amp;"ं और अच्छी तरह मिलाएँ और अंत में हलवे में इलायची पाउडर, केसर और कटे हुए बादाम डालें। आँच बंद करें और परोसें। पपीता और गाजर के हलवे को वेनिला आइसक्रीम के साथ पार्टियों के लिए मिठाई के रूप में या दिवाली, नवरात्रि, रक्षा बंधन और होली जैसे त्योहारों के लिए वि"&amp;"शेष मिठाई के रूप में परोसें।")</f>
        <v>पपीता और गाजर का हलवा रेसिपी बनाने के लिए सबसे पहले पपीता और गाजर को कद्दूकस करके सामग्री तैयार कर लें। एक भारी तले वाले पैन में घी, कसा हुआ पपीता और गाजर डालें। अच्छी खुशबू आने तक कुछ मिनट तक भूनें। दूध, चीनी डालकर पपीता गाजर हलवा मिश्रण के साथ तब तक उबालें जब तक कि सारा दूध गाढ़ा होकर हलवा न बन जाए। आप देखेंगे कि हलवा गाढ़ा हो जाएगा और पैन के किनारों को छोड़कर चिपचिपा हो जाएगा। दूध और पानी की मात्रा पूरी तरह से वाष्पित हो जानी चाहिए और पपीता गाजर हलवा चमकदार दिखने लगेगा। इस स्तर पर एक बड़ा चम्मच घी डालें और अच्छी तरह मिलाएँ और अंत में हलवे में इलायची पाउडर, केसर और कटे हुए बादाम डालें। आँच बंद करें और परोसें। पपीता और गाजर के हलवे को वेनिला आइसक्रीम के साथ पार्टियों के लिए मिठाई के रूप में या दिवाली, नवरात्रि, रक्षा बंधन और होली जैसे त्योहारों के लिए विशेष मिठाई के रूप में परोसें।</v>
      </c>
      <c r="J50" s="3" t="s">
        <v>31200</v>
      </c>
      <c r="L50" s="1" t="s">
        <v>31003</v>
      </c>
    </row>
    <row r="51" spans="1:12" ht="13.8">
      <c r="A51" s="1" t="s">
        <v>31201</v>
      </c>
      <c r="B51" s="1" t="str">
        <f ca="1">IFERROR(__xludf.dummyfunction("IF(A51="""", """", GOOGLETRANSLATE(A51, ""en"", ""hi""))"),"गवार फली मसाला सब्जी रेसिपी - क्लस्टर बीन्स ग्रेवी सब्जी")</f>
        <v>गवार फली मसाला सब्जी रेसिपी - क्लस्टर बीन्स ग्रेवी सब्जी</v>
      </c>
      <c r="C51" s="1" t="s">
        <v>145</v>
      </c>
      <c r="D51" s="1" t="s">
        <v>14198</v>
      </c>
      <c r="E51" s="1">
        <v>35</v>
      </c>
      <c r="F51" s="1" t="s">
        <v>31202</v>
      </c>
      <c r="G51" s="1" t="str">
        <f ca="1">IFERROR(__xludf.dummyfunction("IF(F51="""", """", GOOGLETRANSLATE(F51, ""en"", ""hi""))"),"250 ग्राम ग्वार फली (कोथावरंगई / क्लस्टर बीन्स) - धोकर 1-1.5 इंच के टुकड़ों में कटा हुआ, 1/2 चम्मच अजवाइन, 1/4 चम्मच एसएसपी हींग, 1 प्याज - कटा हुआ, 4 टमाटर - बारीक कटा हुआ, 6 लहसुन के दाने - बारीक कटा हुआ, 1 इंच अदरक - बारीक कटा हुआ, 1/2 चम्मच हल्दी पाउड"&amp;"र, 1 चम्मच लाल मिर्च पाउडर, 1 चम्मच धनिया पाउडर, 1 बड़ा चम्मच गुड़, 1/2 कप कच्ची मूंगफली, नमक - स्वादानुसार, 1/2 कप पानी, 1 चम्मच सरसों का तेल, धनिया पत्ती - गार्निश के लिए")</f>
        <v>250 ग्राम ग्वार फली (कोथावरंगई / क्लस्टर बीन्स) - धोकर 1-1.5 इंच के टुकड़ों में कटा हुआ, 1/2 चम्मच अजवाइन, 1/4 चम्मच एसएसपी हींग, 1 प्याज - कटा हुआ, 4 टमाटर - बारीक कटा हुआ, 6 लहसुन के दाने - बारीक कटा हुआ, 1 इंच अदरक - बारीक कटा हुआ, 1/2 चम्मच हल्दी पाउडर, 1 चम्मच लाल मिर्च पाउडर, 1 चम्मच धनिया पाउडर, 1 बड़ा चम्मच गुड़, 1/2 कप कच्ची मूंगफली, नमक - स्वादानुसार, 1/2 कप पानी, 1 चम्मच सरसों का तेल, धनिया पत्ती - गार्निश के लिए</v>
      </c>
      <c r="H51" s="1" t="s">
        <v>31203</v>
      </c>
      <c r="I51" s="1" t="str">
        <f ca="1">IFERROR(__xludf.dummyfunction("IF(H51="""", """", GOOGLETRANSLATE(H51, ""en"", ""hi""))"),"ग्वार फली मसाला सब्ज़ी रेसिपी बनाने के लिए सबसे पहले एक पहले से गरम प्रेशर कुकर में तेल डालें। तेल गरम होने पर उसमें अजवाइन, हींग, प्याज़, लहसुन, अदरक डालें और प्याज़ के नरम होकर सुनहरे भूरे रंग के होने तक भूनें। हो जाने पर उसमें टमाटर, हल्दी पाउडर, लाल म"&amp;"िर्च पाउडर, धनिया पाउडर और गुड़ डालें। टमाटर के नरम और गूदेदार होने तक भूनें। टमाटर के नरम हो जाने पर उसमें ग्वार फली, कच्ची मूंगफली, स्वादानुसार नमक और पानी डालें। प्रेशर कुकर को ढक्कन से बंद करें और ग्वार फली मसाला सब्ज़ी को 2 सीटी आने तक पकाएँ। दो सीटी"&amp;" आने के बाद आँच बंद कर दें और तुरंत प्रेशर छोड़ दें। धनिया पत्ती डालकर चलाएँ और ग्वार फली मसाला सब्ज़ी को एक सर्विंग बाउल में डालें और गरमागरम परोसें")</f>
        <v>ग्वार फली मसाला सब्ज़ी रेसिपी बनाने के लिए सबसे पहले एक पहले से गरम प्रेशर कुकर में तेल डालें। तेल गरम होने पर उसमें अजवाइन, हींग, प्याज़, लहसुन, अदरक डालें और प्याज़ के नरम होकर सुनहरे भूरे रंग के होने तक भूनें। हो जाने पर उसमें टमाटर, हल्दी पाउडर, लाल मिर्च पाउडर, धनिया पाउडर और गुड़ डालें। टमाटर के नरम और गूदेदार होने तक भूनें। टमाटर के नरम हो जाने पर उसमें ग्वार फली, कच्ची मूंगफली, स्वादानुसार नमक और पानी डालें। प्रेशर कुकर को ढक्कन से बंद करें और ग्वार फली मसाला सब्ज़ी को 2 सीटी आने तक पकाएँ। दो सीटी आने के बाद आँच बंद कर दें और तुरंत प्रेशर छोड़ दें। धनिया पत्ती डालकर चलाएँ और ग्वार फली मसाला सब्ज़ी को एक सर्विंग बाउल में डालें और गरमागरम परोसें</v>
      </c>
      <c r="J51" s="3" t="s">
        <v>31204</v>
      </c>
      <c r="L51" s="1" t="s">
        <v>31003</v>
      </c>
    </row>
    <row r="52" spans="1:12" ht="13.8">
      <c r="A52" s="1" t="s">
        <v>31205</v>
      </c>
      <c r="B52" s="1" t="str">
        <f ca="1">IFERROR(__xludf.dummyfunction("IF(A52="""", """", GOOGLETRANSLATE(A52, ""en"", ""hi""))"),"लचा प्याज़ रेसिपी - मसाला मसालेदार प्याज़")</f>
        <v>लचा प्याज़ रेसिपी - मसाला मसालेदार प्याज़</v>
      </c>
      <c r="C52" s="1" t="s">
        <v>14207</v>
      </c>
      <c r="D52" s="1" t="s">
        <v>14198</v>
      </c>
      <c r="E52" s="1">
        <v>10</v>
      </c>
      <c r="F52" s="1" t="s">
        <v>31206</v>
      </c>
      <c r="G52" s="1" t="str">
        <f ca="1">IFERROR(__xludf.dummyfunction("IF(F52="""", """", GOOGLETRANSLATE(F52, ""en"", ""hi""))"),"2 प्याज - पतले छल्ले में कटा हुआ, 1 नींबू - रस निकाला हुआ, काला नमक (काला नमक) - आवश्यकतानुसार, 2 प्याज - पतले छल्ले में कटा हुआ, 1/2 चम्मच लाल मिर्च पाउडर, 1/2 चम्मच चाट मसाला पाउडर, नमक - स्वादानुसार, 1 नींबू - रस निकाला हुआ")</f>
        <v>2 प्याज - पतले छल्ले में कटा हुआ, 1 नींबू - रस निकाला हुआ, काला नमक (काला नमक) - आवश्यकतानुसार, 2 प्याज - पतले छल्ले में कटा हुआ, 1/2 चम्मच लाल मिर्च पाउडर, 1/2 चम्मच चाट मसाला पाउडर, नमक - स्वादानुसार, 1 नींबू - रस निकाला हुआ</v>
      </c>
      <c r="H52" s="1" t="s">
        <v>31207</v>
      </c>
      <c r="I52" s="1" t="str">
        <f ca="1">IFERROR(__xludf.dummyfunction("IF(H52="""", """", GOOGLETRANSLATE(H52, ""en"", ""hi""))"),"सिंपल लच्छा प्याज़ रेसिपी - अचार वाले प्याज़ बनाने के लिए एक मिक्सिंग बाउल में प्याज़ के छल्ले, नींबू का रस डालें और स्वादानुसार काला नमक छिड़कें। अच्छी तरह मिलाएँ। बाउल को ढक दें और प्याज़ को नींबू के रस में लगभग एक घंटे के लिए रखा रहने दें। सिंपल लच्छा "&amp;"प्याज़ रेसिपी - अचार वाले प्याज़ एक घंटे बाद परोसने के लिए तैयार हैं। मसाला लच्छा प्याज़ रेसिपी - अचार वाले प्याज़ बनाने के लिए एक मिक्सिंग बाउल में प्याज़ के छल्ले, नींबू का रस, लाल मिर्च पाउडर, चाट मसाला पाउडर और स्वादानुसार नमक डालें। अच्छी तरह मिलाएँ।"&amp;" बाउल को ढक दें और प्याज़ को नींबू के रस में लगभग एक घंटे के लिए रखा रहने दें। मसाला लच्छा प्याज़ रेसिपी - अचार वाले प्याज़ एक घंटे बाद परोसने के लिए तैयार हैं। अचार वाले प्याज़ को स्मोक्ड तंदूरी पनीर टिक्का, स्मोक्ड दाल मखनी ढाबा स्टाइल और पुदीना तवा परा"&amp;"ठा के साथ परोसें।")</f>
        <v>सिंपल लच्छा प्याज़ रेसिपी - अचार वाले प्याज़ बनाने के लिए एक मिक्सिंग बाउल में प्याज़ के छल्ले, नींबू का रस डालें और स्वादानुसार काला नमक छिड़कें। अच्छी तरह मिलाएँ। बाउल को ढक दें और प्याज़ को नींबू के रस में लगभग एक घंटे के लिए रखा रहने दें। सिंपल लच्छा प्याज़ रेसिपी - अचार वाले प्याज़ एक घंटे बाद परोसने के लिए तैयार हैं। मसाला लच्छा प्याज़ रेसिपी - अचार वाले प्याज़ बनाने के लिए एक मिक्सिंग बाउल में प्याज़ के छल्ले, नींबू का रस, लाल मिर्च पाउडर, चाट मसाला पाउडर और स्वादानुसार नमक डालें। अच्छी तरह मिलाएँ। बाउल को ढक दें और प्याज़ को नींबू के रस में लगभग एक घंटे के लिए रखा रहने दें। मसाला लच्छा प्याज़ रेसिपी - अचार वाले प्याज़ एक घंटे बाद परोसने के लिए तैयार हैं। अचार वाले प्याज़ को स्मोक्ड तंदूरी पनीर टिक्का, स्मोक्ड दाल मखनी ढाबा स्टाइल और पुदीना तवा पराठा के साथ परोसें।</v>
      </c>
      <c r="J52" s="3" t="s">
        <v>31208</v>
      </c>
      <c r="L52" s="1" t="s">
        <v>31003</v>
      </c>
    </row>
    <row r="53" spans="1:12" ht="13.8">
      <c r="A53" s="1" t="s">
        <v>31209</v>
      </c>
      <c r="B53" s="1" t="str">
        <f ca="1">IFERROR(__xludf.dummyfunction("IF(A53="""", """", GOOGLETRANSLATE(A53, ""en"", ""hi""))"),"टोफू भुर्जी रेसिपी - मसालेदार तले हुए टोफू")</f>
        <v>टोफू भुर्जी रेसिपी - मसालेदार तले हुए टोफू</v>
      </c>
      <c r="C53" s="1" t="s">
        <v>16424</v>
      </c>
      <c r="D53" s="1" t="s">
        <v>17937</v>
      </c>
      <c r="E53" s="1">
        <v>40</v>
      </c>
      <c r="F53" s="1" t="s">
        <v>31210</v>
      </c>
      <c r="G53" s="1" t="str">
        <f ca="1">IFERROR(__xludf.dummyfunction("IF(F53="""", """", GOOGLETRANSLATE(F53, ""en"", ""hi""))"),"300 ग्राम टोफू - टुकड़े टुकड़े, 1 प्याज - कटा हुआ, 1 लाल शिमला मिर्च (शिमला मिर्च), 1 टमाटर - कटा हुआ, 1 हरी मिर्च - कटी हुई, 1 चम्मच जीरा (जीरा), 2 चम्मच लाल मिर्च पाउडर, 1 चम्मच काली मिर्च पाउडर, 1 चम्मच हल्दी पाउडर (हल्दी), 4 टहनी धनिया (धनिया) के पत्त"&amp;"े - कटे हुए, नमक - स्वादानुसार, सूरजमुखी का तेल")</f>
        <v>300 ग्राम टोफू - टुकड़े टुकड़े, 1 प्याज - कटा हुआ, 1 लाल शिमला मिर्च (शिमला मिर्च), 1 टमाटर - कटा हुआ, 1 हरी मिर्च - कटी हुई, 1 चम्मच जीरा (जीरा), 2 चम्मच लाल मिर्च पाउडर, 1 चम्मच काली मिर्च पाउडर, 1 चम्मच हल्दी पाउडर (हल्दी), 4 टहनी धनिया (धनिया) के पत्ते - कटे हुए, नमक - स्वादानुसार, सूरजमुखी का तेल</v>
      </c>
      <c r="H53" s="1" t="s">
        <v>31211</v>
      </c>
      <c r="I53" s="1" t="str">
        <f ca="1">IFERROR(__xludf.dummyfunction("IF(H53="""", """", GOOGLETRANSLATE(H53, ""en"", ""hi""))"),"टोफू भुर्जी रेसिपी बनाने के लिए सबसे पहले टोफू को तोड़कर अलग रख लें। एक भारी तले वाले पैन में एक बड़ा चम्मच मक्खन गर्म करें, उसमें जीरा, प्याज, शिमला मिर्च, हरी मिर्च और अदरक डालें। प्याज और शिमला मिर्च को धीमी से मध्यम आंच पर तब तक भूनें जब तक वे नरम और "&amp;"मुलायम न हो जाएं। जब प्याज और शिमला मिर्च नरम हो जाएं, तो टमाटर, हल्दी पाउडर, लाल मिर्च पाउडर डालें और अच्छी तरह से हिलाएं। अंत में, टूटे हुए टोफू और स्वादानुसार नमक डालकर हिलाएं। अच्छी तरह से हिलाएं, नमक और मसाले के स्तर की जांच करें और अपने स्वाद के अनु"&amp;"सार समायोजित करें। टोफू भुर्जी रेसिपी को टोस्टेड ब्रेड या सिर्फ सादी भारतीय ब्रेड जैसे फुल्का और अपनी पसंद की दाल जैसे पंचमेल दाल, पालक दाल आदि के साथ परोसें और अपने खाने का आनंद लें।")</f>
        <v>टोफू भुर्जी रेसिपी बनाने के लिए सबसे पहले टोफू को तोड़कर अलग रख लें। एक भारी तले वाले पैन में एक बड़ा चम्मच मक्खन गर्म करें, उसमें जीरा, प्याज, शिमला मिर्च, हरी मिर्च और अदरक डालें। प्याज और शिमला मिर्च को धीमी से मध्यम आंच पर तब तक भूनें जब तक वे नरम और मुलायम न हो जाएं। जब प्याज और शिमला मिर्च नरम हो जाएं, तो टमाटर, हल्दी पाउडर, लाल मिर्च पाउडर डालें और अच्छी तरह से हिलाएं। अंत में, टूटे हुए टोफू और स्वादानुसार नमक डालकर हिलाएं। अच्छी तरह से हिलाएं, नमक और मसाले के स्तर की जांच करें और अपने स्वाद के अनुसार समायोजित करें। टोफू भुर्जी रेसिपी को टोस्टेड ब्रेड या सिर्फ सादी भारतीय ब्रेड जैसे फुल्का और अपनी पसंद की दाल जैसे पंचमेल दाल, पालक दाल आदि के साथ परोसें और अपने खाने का आनंद लें।</v>
      </c>
      <c r="J53" s="3" t="s">
        <v>31212</v>
      </c>
      <c r="L53" s="1" t="s">
        <v>31003</v>
      </c>
    </row>
    <row r="54" spans="1:12" ht="13.8">
      <c r="A54" s="1" t="s">
        <v>31213</v>
      </c>
      <c r="B54" s="1" t="str">
        <f ca="1">IFERROR(__xludf.dummyfunction("IF(A54="""", """", GOOGLETRANSLATE(A54, ""en"", ""hi""))"),"भरवां मूली पनीर पराठा रेसिपी")</f>
        <v>भरवां मूली पनीर पराठा रेसिपी</v>
      </c>
      <c r="C54" s="1" t="s">
        <v>16424</v>
      </c>
      <c r="D54" s="1" t="s">
        <v>14198</v>
      </c>
      <c r="E54" s="1">
        <v>30</v>
      </c>
      <c r="F54" s="1" t="s">
        <v>31214</v>
      </c>
      <c r="G54" s="1" t="str">
        <f ca="1">IFERROR(__xludf.dummyfunction("IF(F54="""", """", GOOGLETRANSLATE(F54, ""en"", ""hi""))"),"2 मूली - धोकर कद्दूकस कर लें, 200 ग्राम पनीर - कद्दूकस कर लें, 1 हरी मिर्च - बारीक कटी हुई, 4 लहसुन के दाने - बारीक कटे हुए, 1 इंच अदरक - बारीक कटा हुआ, 1 छोटा चम्मच जीरा, 2 छोटे चम्मच सूरजमुखी तेल, नमक - स्वादानुसार, 1/4 छोटा चम्मच हल्दी, 1 छोटा चम्मच जी"&amp;"रा, 1 कप गेहूं का आटा, घी - परांठे पकाने के लिए")</f>
        <v>2 मूली - धोकर कद्दूकस कर लें, 200 ग्राम पनीर - कद्दूकस कर लें, 1 हरी मिर्च - बारीक कटी हुई, 4 लहसुन के दाने - बारीक कटे हुए, 1 इंच अदरक - बारीक कटा हुआ, 1 छोटा चम्मच जीरा, 2 छोटे चम्मच सूरजमुखी तेल, नमक - स्वादानुसार, 1/4 छोटा चम्मच हल्दी, 1 छोटा चम्मच जीरा, 1 कप गेहूं का आटा, घी - परांठे पकाने के लिए</v>
      </c>
      <c r="H54" s="1" t="s">
        <v>31215</v>
      </c>
      <c r="I54" s="1" t="str">
        <f ca="1">IFERROR(__xludf.dummyfunction("IF(H54="""", """", GOOGLETRANSLATE(H54, ""en"", ""hi""))"),"भरवां मूली पनीर पराठा रेसिपी बनाने के लिए सबसे पहले पनीर और मूली को कद्दूकस कर लें और एक तरफ रख दें। * मूली पनीर का भरावन बनाने के लिए मध्यम आंच पर एक कड़ाही गरम करें, उसमें 1 चम्मच तेल डालें, अब जीरा, कटा हुआ अदरक और लहसुन डालें, 30 सेकंड के लिए भूनें, अ"&amp;"ब मूली, नमक डालें और तेज आंच पर तब तक भूनते रहें जब तक मूली से सारा पानी सूख न जाए। आंच बंद कर दें। मिश्रण को एक मिक्सिंग बाउल में डालें। उस मिक्सिंग बाउल में कद्दूकस किया हुआ पनीर, हरी मिर्च, जीरा पाउडर डालें और अच्छी तरह मिलाएँ। मूली पनीर पराठे का भरावन"&amp;" तैयार है। * भरवां मूली पनीर पराठा बनाने के लिए एक मिक्सिंग बाउल में गेहूं का आटा डालें एक भाग को एक गेंद में रोल करें और इसे अपनी उंगलियों का उपयोग करके चपटा करें और इसे 3 इंच व्यास के सर्कल में रोल करें। केंद्र में मूली पनीर का लगभग 2 बड़ा चम्मच रखें, क"&amp;"िनारे को इकट्ठा करें और इसे सील करें। ध्यान से इसे लगभग 6-7 इंच व्यास में सर्कल में रोल करें। मध्यम आँच पर एक कड़ाही गरम करें और भरवां मूली पनीर पराठा को घी के साथ तब तक पकाएँ जब तक कि यह पक न जाए और दोनों तरफ सुनहरे भूरे रंग के धब्बे न आ जाएँ। आटे के शेष"&amp;" हिस्सों के साथ दोहराएं। इस भरवां मूली पनीर पराठे को लहसुनी पुदीना चटनी रेसिपी या इंस्टेंट गोर कैरी लोंचे रेसिपी या गाजर तड़का रायता रेसिपी और अदरक चाय रेसिपी - भारतीय स्टाइल अदरक की चाय के साथ एक साधारण सप्ताह के दिन के नाश्ते के लिए परोसें।")</f>
        <v>भरवां मूली पनीर पराठा रेसिपी बनाने के लिए सबसे पहले पनीर और मूली को कद्दूकस कर लें और एक तरफ रख दें। * मूली पनीर का भरावन बनाने के लिए मध्यम आंच पर एक कड़ाही गरम करें, उसमें 1 चम्मच तेल डालें, अब जीरा, कटा हुआ अदरक और लहसुन डालें, 30 सेकंड के लिए भूनें, अब मूली, नमक डालें और तेज आंच पर तब तक भूनते रहें जब तक मूली से सारा पानी सूख न जाए। आंच बंद कर दें। मिश्रण को एक मिक्सिंग बाउल में डालें। उस मिक्सिंग बाउल में कद्दूकस किया हुआ पनीर, हरी मिर्च, जीरा पाउडर डालें और अच्छी तरह मिलाएँ। मूली पनीर पराठे का भरावन तैयार है। * भरवां मूली पनीर पराठा बनाने के लिए एक मिक्सिंग बाउल में गेहूं का आटा डालें एक भाग को एक गेंद में रोल करें और इसे अपनी उंगलियों का उपयोग करके चपटा करें और इसे 3 इंच व्यास के सर्कल में रोल करें। केंद्र में मूली पनीर का लगभग 2 बड़ा चम्मच रखें, किनारे को इकट्ठा करें और इसे सील करें। ध्यान से इसे लगभग 6-7 इंच व्यास में सर्कल में रोल करें। मध्यम आँच पर एक कड़ाही गरम करें और भरवां मूली पनीर पराठा को घी के साथ तब तक पकाएँ जब तक कि यह पक न जाए और दोनों तरफ सुनहरे भूरे रंग के धब्बे न आ जाएँ। आटे के शेष हिस्सों के साथ दोहराएं। इस भरवां मूली पनीर पराठे को लहसुनी पुदीना चटनी रेसिपी या इंस्टेंट गोर कैरी लोंचे रेसिपी या गाजर तड़का रायता रेसिपी और अदरक चाय रेसिपी - भारतीय स्टाइल अदरक की चाय के साथ एक साधारण सप्ताह के दिन के नाश्ते के लिए परोसें।</v>
      </c>
      <c r="J54" s="3" t="s">
        <v>31216</v>
      </c>
      <c r="L54" s="1" t="s">
        <v>31003</v>
      </c>
    </row>
    <row r="55" spans="1:12" ht="409.6">
      <c r="A55" s="1" t="s">
        <v>31217</v>
      </c>
      <c r="B55" s="1" t="str">
        <f ca="1">IFERROR(__xludf.dummyfunction("IF(A55="""", """", GOOGLETRANSLATE(A55, ""en"", ""hi""))"),"मोरिंगा मसूर दाल रेसिपी - सहजन की पत्तियों की दाल")</f>
        <v>मोरिंगा मसूर दाल रेसिपी - सहजन की पत्तियों की दाल</v>
      </c>
      <c r="C55" s="1" t="s">
        <v>145</v>
      </c>
      <c r="D55" s="1" t="s">
        <v>14237</v>
      </c>
      <c r="E55" s="1">
        <v>40</v>
      </c>
      <c r="F55" s="1" t="s">
        <v>31218</v>
      </c>
      <c r="G55" s="1" t="str">
        <f ca="1">IFERROR(__xludf.dummyfunction("IF(F55="""", """", GOOGLETRANSLATE(F55, ""en"", ""hi""))"),"1 कप गुलाबी मसूर दाल, 200 ग्राम सहजन के पत्ते - साफ़ करके कटे हुए, 1/4 छोटा चम्मच हींग, 1 छोटा चम्मच जीरा, 1 इंच अदरक - बारीक कटा हुआ, 1 सूखी लाल मिर्च, 1 टमाटर - कटा हुआ, 1 हरी मिर्च - कटी हुई, 2 छोटे चम्मच धनिया, 1/2 छोटा चम्मच हल्दी, 1/2 छोटा चम्मच लाल"&amp;" मिर्च पाउडर, नमक - स्वादानुसार, 1 बड़ा चम्मच घी, 1 नींबू - रस निकाला हुआ")</f>
        <v>1 कप गुलाबी मसूर दाल, 200 ग्राम सहजन के पत्ते - साफ़ करके कटे हुए, 1/4 छोटा चम्मच हींग, 1 छोटा चम्मच जीरा, 1 इंच अदरक - बारीक कटा हुआ, 1 सूखी लाल मिर्च, 1 टमाटर - कटा हुआ, 1 हरी मिर्च - कटी हुई, 2 छोटे चम्मच धनिया, 1/2 छोटा चम्मच हल्दी, 1/2 छोटा चम्मच लाल मिर्च पाउडर, नमक - स्वादानुसार, 1 बड़ा चम्मच घी, 1 नींबू - रस निकाला हुआ</v>
      </c>
      <c r="H55" s="4" t="s">
        <v>31219</v>
      </c>
      <c r="I55" s="1" t="str">
        <f ca="1">IFERROR(__xludf.dummyfunction("IF(H55="""", """", GOOGLETRANSLATE(H55, ""en"", ""hi""))"),"मेथी मसूर दाल रेसिपी बनाने के लिए सबसे पहले मसूर दाल को धोकर 3 कप पानी में कम से कम 30 मिनट के लिए भिगो दें। जब तक दाल साफ हो जाए तब तक मेथी के पत्तों को धोकर सुखा लें। इसके बाद सहजन के पत्तों को बारीक काट लें। एक कड़ाही में एक चम्मच तेल गर्म करें और उसमे"&amp;"ं कटे हुए सहजन के पत्ते डालें। थोड़ा नमक छिड़कें, पैन को ढक दें और सहजन के पत्तों को नरम और कोमल होने तक पकाएं। इसमें लगभग 2 से 3 मिनट का समय लगता है, इससे ज्यादा नहीं। हो जाने पर आंच बंद कर दें और पके हुए सहजन के पत्तों को एक तरफ रख दें। अगले स्टेप में म"&amp;"सूर दाल को मसालों के साथ पकाएं। मध्यम आंच पर प्रेशर कुकर में घी गर्म करें। इसमें हींग और जीरा डालें और इसे चटकने दें। प्रेशर कुकर का ढक्कन बंद करें और वजन डालें। मसूर दाल को 3 सीटी आने तक पकाएं। एक दो सीटी आने के बाद आंच धीमी कर दें और दाल को लगभग 5 मिनट "&amp;"तक पकाएं। 5 मिनट बाद आंच बंद कर दें। प्रेशर कुकर से प्रेशर को अपने आप निकलने दें। प्रेशर निकल जाने के बाद कुकर खोलें और भुने हुए मोरिंगा के पत्तों को मिलाएँ, एक नींबू का रस निचोड़ें और परोसें। मोरिंगा मसूर दाल रेसिपी को स्टीम्ड राइस, कद्दू शिमला मिर्च सब्"&amp;"ज़ी, फुल्का के साथ परोसें और इसे एक पौष्टिक भारतीय मधुमेह अनुकूल डिनर बनाएँ।")</f>
        <v>मेथी मसूर दाल रेसिपी बनाने के लिए सबसे पहले मसूर दाल को धोकर 3 कप पानी में कम से कम 30 मिनट के लिए भिगो दें। जब तक दाल साफ हो जाए तब तक मेथी के पत्तों को धोकर सुखा लें। इसके बाद सहजन के पत्तों को बारीक काट लें। एक कड़ाही में एक चम्मच तेल गर्म करें और उसमें कटे हुए सहजन के पत्ते डालें। थोड़ा नमक छिड़कें, पैन को ढक दें और सहजन के पत्तों को नरम और कोमल होने तक पकाएं। इसमें लगभग 2 से 3 मिनट का समय लगता है, इससे ज्यादा नहीं। हो जाने पर आंच बंद कर दें और पके हुए सहजन के पत्तों को एक तरफ रख दें। अगले स्टेप में मसूर दाल को मसालों के साथ पकाएं। मध्यम आंच पर प्रेशर कुकर में घी गर्म करें। इसमें हींग और जीरा डालें और इसे चटकने दें। प्रेशर कुकर का ढक्कन बंद करें और वजन डालें। मसूर दाल को 3 सीटी आने तक पकाएं। एक दो सीटी आने के बाद आंच धीमी कर दें और दाल को लगभग 5 मिनट तक पकाएं। 5 मिनट बाद आंच बंद कर दें। प्रेशर कुकर से प्रेशर को अपने आप निकलने दें। प्रेशर निकल जाने के बाद कुकर खोलें और भुने हुए मोरिंगा के पत्तों को मिलाएँ, एक नींबू का रस निचोड़ें और परोसें। मोरिंगा मसूर दाल रेसिपी को स्टीम्ड राइस, कद्दू शिमला मिर्च सब्ज़ी, फुल्का के साथ परोसें और इसे एक पौष्टिक भारतीय मधुमेह अनुकूल डिनर बनाएँ।</v>
      </c>
      <c r="J55" s="3" t="s">
        <v>31220</v>
      </c>
      <c r="L55" s="1" t="s">
        <v>31003</v>
      </c>
    </row>
    <row r="56" spans="1:12" ht="409.6">
      <c r="A56" s="1" t="s">
        <v>31221</v>
      </c>
      <c r="B56" s="1" t="str">
        <f ca="1">IFERROR(__xludf.dummyfunction("IF(A56="""", """", GOOGLETRANSLATE(A56, ""en"", ""hi""))"),"नवरंग दाल रेसिपी हिंदी में")</f>
        <v>नवरंग दाल रेसिपी हिंदी में</v>
      </c>
      <c r="C56" s="1" t="s">
        <v>145</v>
      </c>
      <c r="D56" s="1" t="s">
        <v>14237</v>
      </c>
      <c r="E56" s="1">
        <v>40</v>
      </c>
      <c r="F56" s="1" t="s">
        <v>31222</v>
      </c>
      <c r="G56" s="1" t="str">
        <f ca="1">IFERROR(__xludf.dummyfunction("IF(F56="""", """", GOOGLETRANSLATE(F56, ""en"", ""hi""))"),"2 बड़े चम्मच हरी मूंग दाल, 2 बड़े चम्मच सफेद उड़द दाल, 2 बड़े चम्मच काली उड़द दाल, 2 बड़े चम्मच मसूर दाल, 2 बड़े चम्मच मसूर दाल, 2 बड़े चम्मच राजमा, 2 बड़े चम्मच काबुली चना, 1/4 कप पीली मूंग दाल - 20 मिनट भिगोई हुई, 1 बड़ा चम्मच अरहर दाल - 20 मिनट भिगोई ह"&amp;"ुई, 1 प्याज - बारीक कटा हुआ, 1 टमाटर - बारीक कटा हुआ, 1 बड़ा चम्मच अदरक लहसुन का पेस्ट, 1 हरी मिर्च - कटी हुई, 2 छोटे चम्मच धनिया पाउडर, 1 छोटा चम्मच लाल मिर्च पाउडर, 2 छोटे चम्मच गरम मसाला पाउडर, 1 बड़ा चम्मच कसूरी मेथी, 1 इंच अदरक - बारीक कटा हुआ (गार्न"&amp;"िश के लिए), 2 बड़े चम्मच घी, 1 दालचीनी, 1 छोटा चम्मच जीरा, नमक - स्वादानुसार")</f>
        <v>2 बड़े चम्मच हरी मूंग दाल, 2 बड़े चम्मच सफेद उड़द दाल, 2 बड़े चम्मच काली उड़द दाल, 2 बड़े चम्मच मसूर दाल, 2 बड़े चम्मच मसूर दाल, 2 बड़े चम्मच राजमा, 2 बड़े चम्मच काबुली चना, 1/4 कप पीली मूंग दाल - 20 मिनट भिगोई हुई, 1 बड़ा चम्मच अरहर दाल - 20 मिनट भिगोई हुई, 1 प्याज - बारीक कटा हुआ, 1 टमाटर - बारीक कटा हुआ, 1 बड़ा चम्मच अदरक लहसुन का पेस्ट, 1 हरी मिर्च - कटी हुई, 2 छोटे चम्मच धनिया पाउडर, 1 छोटा चम्मच लाल मिर्च पाउडर, 2 छोटे चम्मच गरम मसाला पाउडर, 1 बड़ा चम्मच कसूरी मेथी, 1 इंच अदरक - बारीक कटा हुआ (गार्निश के लिए), 2 बड़े चम्मच घी, 1 दालचीनी, 1 छोटा चम्मच जीरा, नमक - स्वादानुसार</v>
      </c>
      <c r="H56" s="1" t="s">
        <v>31223</v>
      </c>
      <c r="I56" s="4" t="str">
        <f ca="1">IFERROR(__xludf.dummyfunction("IF(H56="""", """", GOOGLETRANSLATE(H56, ""en"", ""hi""))"),"नवरंग दाल बनाने के लिए सबसे पहले सारी दालों को रात भर भिगो कर रख दें। पीली मूंग दाल और अरहर दाल को 20 मिनट के लिए भिगो कर रख दें। सुबह दाल को प्रेशर कुकर में डालकर 3 सीटी आने तक पका लें। कुकर के ठंडा होने के बाद दाल को मैश करके अलग रख लें। अब एक कड़ाही मे"&amp;"ं तेल गर्म करें और उसमें घी डालें। इसके बाद उसमें दालचीनी, जीरा डालकर 15 सेकेंड तक पकने दें। 15 सेकेंड बाद उसमें प्याज डालकर हल्का भूरा होने तक पकने दें। अब उसमें लहसुन अदरक का पेस्ट डालकर 2 मिनट तक पकने दें। 2 मिनट बाद कटे हुए टमाटर, हरी मिर्च डालकर टमाट"&amp;"र के हल्के नरम होने तक पकाएं। अब उसमें धनिया पाउडर, लाल मिर्च पाउडर, गरम मसाला पाउडर डालकर 3 मिनट तक पकाएं दोपहर के भोजन में नवरंग दाल को बेसन मिर्च की सब्जी और फुल्के के साथ परोसें।
")</f>
        <v xml:space="preserve">नवरंग दाल बनाने के लिए सबसे पहले सारी दालों को रात भर भिगो कर रख दें। पीली मूंग दाल और अरहर दाल को 20 मिनट के लिए भिगो कर रख दें। सुबह दाल को प्रेशर कुकर में डालकर 3 सीटी आने तक पका लें। कुकर के ठंडा होने के बाद दाल को मैश करके अलग रख लें। अब एक कड़ाही में तेल गर्म करें और उसमें घी डालें। इसके बाद उसमें दालचीनी, जीरा डालकर 15 सेकेंड तक पकने दें। 15 सेकेंड बाद उसमें प्याज डालकर हल्का भूरा होने तक पकने दें। अब उसमें लहसुन अदरक का पेस्ट डालकर 2 मिनट तक पकने दें। 2 मिनट बाद कटे हुए टमाटर, हरी मिर्च डालकर टमाटर के हल्के नरम होने तक पकाएं। अब उसमें धनिया पाउडर, लाल मिर्च पाउडर, गरम मसाला पाउडर डालकर 3 मिनट तक पकाएं दोपहर के भोजन में नवरंग दाल को बेसन मिर्च की सब्जी और फुल्के के साथ परोसें।
</v>
      </c>
      <c r="J56" s="3" t="s">
        <v>31224</v>
      </c>
      <c r="L56" s="1" t="s">
        <v>31003</v>
      </c>
    </row>
    <row r="57" spans="1:12" ht="13.8">
      <c r="A57" s="1" t="s">
        <v>31225</v>
      </c>
      <c r="B57" s="1" t="str">
        <f ca="1">IFERROR(__xludf.dummyfunction("IF(A57="""", """", GOOGLETRANSLATE(A57, ""en"", ""hi""))"),"मसालेदार टमाटर दही ग्रेवी के साथ कुरकुरी भिंडी रेसिपी")</f>
        <v>मसालेदार टमाटर दही ग्रेवी के साथ कुरकुरी भिंडी रेसिपी</v>
      </c>
      <c r="C57" s="1" t="s">
        <v>145</v>
      </c>
      <c r="D57" s="1" t="s">
        <v>14198</v>
      </c>
      <c r="E57" s="1">
        <v>60</v>
      </c>
      <c r="F57" s="1" t="s">
        <v>31226</v>
      </c>
      <c r="G57" s="1" t="str">
        <f ca="1">IFERROR(__xludf.dummyfunction("IF(F57="""", """", GOOGLETRANSLATE(F57, ""en"", ""hi""))"),"250 ग्राम भिंडी, सूरजमुखी तेल - तलने के लिए, 2 बड़े चम्मच बेसन, नमक - आवश्यकतानुसार, 1/2 चम्मच लाल मिर्च पाउडर, 1/2 चम्मच चाट मसाला पाउडर, 1 बड़ा चम्मच पानी, सूरजमुखी तेल - आवश्यकतानुसार, 1/2 चम्मच सरसों के बीज, 1/2 चम्मच जीरा, 1/4 चम्मच हींग, 1 बड़ा चम्म"&amp;"च अदरक लहसुन का पेस्ट, 1 से 2 हरी मिर्च - बारीक कटी हुई, 1 प्याज - पतले टुकड़ों में कटा हुआ, 1/2 कप दही - फेंटा हुआ, 1 टमाटर - बारीक कटा हुआ, 1 चम्मच लाल मिर्च पाउडर, 1/2 चम्मच हल्दी, 1 चम्मच धनिया पाउडर")</f>
        <v>250 ग्राम भिंडी, सूरजमुखी तेल - तलने के लिए, 2 बड़े चम्मच बेसन, नमक - आवश्यकतानुसार, 1/2 चम्मच लाल मिर्च पाउडर, 1/2 चम्मच चाट मसाला पाउडर, 1 बड़ा चम्मच पानी, सूरजमुखी तेल - आवश्यकतानुसार, 1/2 चम्मच सरसों के बीज, 1/2 चम्मच जीरा, 1/4 चम्मच हींग, 1 बड़ा चम्मच अदरक लहसुन का पेस्ट, 1 से 2 हरी मिर्च - बारीक कटी हुई, 1 प्याज - पतले टुकड़ों में कटा हुआ, 1/2 कप दही - फेंटा हुआ, 1 टमाटर - बारीक कटा हुआ, 1 चम्मच लाल मिर्च पाउडर, 1/2 चम्मच हल्दी, 1 चम्मच धनिया पाउडर</v>
      </c>
      <c r="H57" s="1" t="s">
        <v>31227</v>
      </c>
      <c r="I57" s="1" t="str">
        <f ca="1">IFERROR(__xludf.dummyfunction("IF(H57="""", """", GOOGLETRANSLATE(H57, ""en"", ""hi""))"),"मसालेदार टमाटर दही ग्रेवी के साथ कुरकुरी भिंडी बनाने के लिए सबसे पहले हम कुरकुरी भिंडी बनाएंगे। भिंडी को धो लें, काट लें, बीज निकाल दें और फिर सभी भिंडियों को पतले-पतले टुकड़ों में काट लें। एक मिक्सिंग बाउल लें, उसमें भिंडी और 'कुरकुरी भिंडी के लिए' के ​​"&amp;"तहत बताई गई सभी सामग्री डालें। एक गहरे फ्राइंग पैन में तेल गरम करें और भिंडी को कुरकुरा होने तक तलें। अतिरिक्त तेल को सोखने के लिए उन्हें एक सोखने वाले कागज पर निकाल लें। एक बार हो जाने के बाद, उन्हें एक तरफ रख दें। अब एक भारी तले की कड़ाही में तेल गरम कर"&amp;"ें और उसमें राई, जीरा, हींग और अदरक लहसुन का पेस्ट डालें। 30 सेकंड के बाद, हरी मिर्च और प्याज़ डालें। प्याज़ के नरम और पारदर्शी होने तक पकाएँ। इसके बाद, टमाटर डालें और लगभग 3 मिनट तक या टमाटर के गूदेदार होने तक पकाएँ। लाल मिर्च पाउडर, हल्दी पाउडर, नमक और "&amp;"धनिया पाउडर सहित सभी सूखे मसाले डालें। लगभग 5 से 6 मिनट तक पकाएँ और फिर इसमें दही मिलाएँ। लगभग एक मिनट तक लगातार हिलाएँ। यदि आवश्यक हो तो पानी डालें। इसे लगभग 5 मिनट तक और पकने दें और जब यह अच्छी तरह पक जाए तो इसमें कटा हुआ हरा धनिया डालें। अब ग्रेवी में "&amp;"कुरकुरी भिंडी मिलाएँ, चलाएँ और गरमागरम परोसें। मसालेदार टमाटर दही ग्रेवी के साथ कुरकुरी भिंडी को पंचमेल दाल, फुल्के और चावल के साथ परोसें।")</f>
        <v>मसालेदार टमाटर दही ग्रेवी के साथ कुरकुरी भिंडी बनाने के लिए सबसे पहले हम कुरकुरी भिंडी बनाएंगे। भिंडी को धो लें, काट लें, बीज निकाल दें और फिर सभी भिंडियों को पतले-पतले टुकड़ों में काट लें। एक मिक्सिंग बाउल लें, उसमें भिंडी और 'कुरकुरी भिंडी के लिए' के ​​तहत बताई गई सभी सामग्री डालें। एक गहरे फ्राइंग पैन में तेल गरम करें और भिंडी को कुरकुरा होने तक तलें। अतिरिक्त तेल को सोखने के लिए उन्हें एक सोखने वाले कागज पर निकाल लें। एक बार हो जाने के बाद, उन्हें एक तरफ रख दें। अब एक भारी तले की कड़ाही में तेल गरम करें और उसमें राई, जीरा, हींग और अदरक लहसुन का पेस्ट डालें। 30 सेकंड के बाद, हरी मिर्च और प्याज़ डालें। प्याज़ के नरम और पारदर्शी होने तक पकाएँ। इसके बाद, टमाटर डालें और लगभग 3 मिनट तक या टमाटर के गूदेदार होने तक पकाएँ। लाल मिर्च पाउडर, हल्दी पाउडर, नमक और धनिया पाउडर सहित सभी सूखे मसाले डालें। लगभग 5 से 6 मिनट तक पकाएँ और फिर इसमें दही मिलाएँ। लगभग एक मिनट तक लगातार हिलाएँ। यदि आवश्यक हो तो पानी डालें। इसे लगभग 5 मिनट तक और पकने दें और जब यह अच्छी तरह पक जाए तो इसमें कटा हुआ हरा धनिया डालें। अब ग्रेवी में कुरकुरी भिंडी मिलाएँ, चलाएँ और गरमागरम परोसें। मसालेदार टमाटर दही ग्रेवी के साथ कुरकुरी भिंडी को पंचमेल दाल, फुल्के और चावल के साथ परोसें।</v>
      </c>
      <c r="J57" s="3" t="s">
        <v>31228</v>
      </c>
      <c r="L57" s="1" t="s">
        <v>31003</v>
      </c>
    </row>
    <row r="58" spans="1:12" ht="13.8">
      <c r="A58" s="1" t="s">
        <v>31229</v>
      </c>
      <c r="B58" s="1" t="str">
        <f ca="1">IFERROR(__xludf.dummyfunction("IF(A58="""", """", GOOGLETRANSLATE(A58, ""en"", ""hi""))"),"गुलकंद चाय रेसिपी - एक स्वादिष्ट गुलाब के स्वाद वाली भारतीय चाय")</f>
        <v>गुलकंद चाय रेसिपी - एक स्वादिष्ट गुलाब के स्वाद वाली भारतीय चाय</v>
      </c>
      <c r="C58" s="1" t="s">
        <v>16424</v>
      </c>
      <c r="D58" s="1" t="s">
        <v>14198</v>
      </c>
      <c r="E58" s="1">
        <v>25</v>
      </c>
      <c r="F58" s="1" t="s">
        <v>31230</v>
      </c>
      <c r="G58" s="1" t="str">
        <f ca="1">IFERROR(__xludf.dummyfunction("IF(F58="""", """", GOOGLETRANSLATE(F58, ""en"", ""hi""))"),"2 कप पानी, 1 चम्मच चायपत्ती, 1/4 कप दूध, 2 बड़े चम्मच गुलकंद")</f>
        <v>2 कप पानी, 1 चम्मच चायपत्ती, 1/4 कप दूध, 2 बड़े चम्मच गुलकंद</v>
      </c>
      <c r="H58" s="1" t="s">
        <v>31231</v>
      </c>
      <c r="I58" s="1" t="str">
        <f ca="1">IFERROR(__xludf.dummyfunction("IF(H58="""", """", GOOGLETRANSLATE(H58, ""en"", ""hi""))"),"गुलकंद चाय बनाने के लिए सबसे पहले एक सॉस पैन में पानी डालें और उसे उबलने दें। जब वह उबलने लगे तो उसमें चाय की पत्ती डालें। चाय की पत्तियों को पानी में लगभग एक मिनट तक उबलने दें और आँच बंद कर दें। चाय में दूध डालकर उसे कुछ सेकंड के लिए छोड़ दें। हर चाय के "&amp;"कप में नीचे की तरफ़ से 1 बड़ा चम्मच गुलकंद डालें और चाय को कप में छान लें और परोसें। शाम के नाश्ते के लिए गुलकंद चाय रेसिपी को समोसे या वेजिटेबल बज्जी या पकौड़े के साथ परोसें।")</f>
        <v>गुलकंद चाय बनाने के लिए सबसे पहले एक सॉस पैन में पानी डालें और उसे उबलने दें। जब वह उबलने लगे तो उसमें चाय की पत्ती डालें। चाय की पत्तियों को पानी में लगभग एक मिनट तक उबलने दें और आँच बंद कर दें। चाय में दूध डालकर उसे कुछ सेकंड के लिए छोड़ दें। हर चाय के कप में नीचे की तरफ़ से 1 बड़ा चम्मच गुलकंद डालें और चाय को कप में छान लें और परोसें। शाम के नाश्ते के लिए गुलकंद चाय रेसिपी को समोसे या वेजिटेबल बज्जी या पकौड़े के साथ परोसें।</v>
      </c>
      <c r="J58" s="3" t="s">
        <v>31232</v>
      </c>
      <c r="L58" s="1" t="s">
        <v>31003</v>
      </c>
    </row>
    <row r="59" spans="1:12" ht="13.8">
      <c r="A59" s="1" t="s">
        <v>31233</v>
      </c>
      <c r="B59" s="1" t="str">
        <f ca="1">IFERROR(__xludf.dummyfunction("IF(A59="""", """", GOOGLETRANSLATE(A59, ""en"", ""hi""))"),"आलू और अनार पुदीना मेयो से भरी पार्टी सेव पूरी रेसिपी")</f>
        <v>आलू और अनार पुदीना मेयो से भरी पार्टी सेव पूरी रेसिपी</v>
      </c>
      <c r="C59" s="1" t="s">
        <v>14281</v>
      </c>
      <c r="D59" s="1" t="s">
        <v>14198</v>
      </c>
      <c r="E59" s="1">
        <v>35</v>
      </c>
      <c r="F59" s="1" t="s">
        <v>31234</v>
      </c>
      <c r="G59" s="1" t="str">
        <f ca="1">IFERROR(__xludf.dummyfunction("IF(F59="""", """", GOOGLETRANSLATE(F59, ""en"", ""hi""))"),"2 आलू - उबले हुए, 1/2 कप अनारदाना पाउडर, 3 बड़े चम्मच डेल मोंटे मिंट मेयो, 1 प्याज - बारीक कटा हुआ, 1 हरी मिर्च - बारीक कटी हुई, 1 नींबू - निचोड़ा हुआ, काला नमक - स्वादानुसार, 1/2 कप धनिया पत्ती - बारीक कटी हुई, 25 पापड़ी पूरियां, सेव - बारीक एक")</f>
        <v>2 आलू - उबले हुए, 1/2 कप अनारदाना पाउडर, 3 बड़े चम्मच डेल मोंटे मिंट मेयो, 1 प्याज - बारीक कटा हुआ, 1 हरी मिर्च - बारीक कटी हुई, 1 नींबू - निचोड़ा हुआ, काला नमक - स्वादानुसार, 1/2 कप धनिया पत्ती - बारीक कटी हुई, 25 पापड़ी पूरियां, सेव - बारीक एक</v>
      </c>
      <c r="H59" s="1" t="s">
        <v>31235</v>
      </c>
      <c r="I59" s="1" t="str">
        <f ca="1">IFERROR(__xludf.dummyfunction("IF(H59="""", """", GOOGLETRANSLATE(H59, ""en"", ""hi""))"),"आलू और अनार पुदीना मेयो से भरी पार्टी सेव पूरी रेसिपी बनाने के लिए सबसे पहले सभी सामग्री तैयार करके रख लें। एक बड़े मिक्सिंग बाउल में आलू, अनार, मिर्च, डेल मोंटे मिंट मेयो, प्याज, आधा धनिया पत्ता, नींबू का रस और काला नमक डालें। सबको अच्छी तरह मिला लें। नम"&amp;"क और मसाले की जांच करें और स्वादानुसार समायोजित करें। प्रत्येक सर्विंग प्लेट में 5 से 10 पापड़ी पूरियां रखें, पापड़ी पूरियों पर एक चम्मच मिश्रण रखें और ऊपर से सेव डालें। धनिया पत्ती से गार्निश करें और तुरंत परोसें। आलू और अनार पुदीना मेयो से भरी स्वादिष्ट"&amp;" पार्टी सेव पूरी रेसिपी बनाएं और इसे मूंग स्प्राउट्स उसल, हरियाली पाव भाजी और ऑरेंज मॉकटेल के साथ चाट पार्टी में परोसें या शाम की चाय के समय नाश्ते के रूप में परोसें।")</f>
        <v>आलू और अनार पुदीना मेयो से भरी पार्टी सेव पूरी रेसिपी बनाने के लिए सबसे पहले सभी सामग्री तैयार करके रख लें। एक बड़े मिक्सिंग बाउल में आलू, अनार, मिर्च, डेल मोंटे मिंट मेयो, प्याज, आधा धनिया पत्ता, नींबू का रस और काला नमक डालें। सबको अच्छी तरह मिला लें। नमक और मसाले की जांच करें और स्वादानुसार समायोजित करें। प्रत्येक सर्विंग प्लेट में 5 से 10 पापड़ी पूरियां रखें, पापड़ी पूरियों पर एक चम्मच मिश्रण रखें और ऊपर से सेव डालें। धनिया पत्ती से गार्निश करें और तुरंत परोसें। आलू और अनार पुदीना मेयो से भरी स्वादिष्ट पार्टी सेव पूरी रेसिपी बनाएं और इसे मूंग स्प्राउट्स उसल, हरियाली पाव भाजी और ऑरेंज मॉकटेल के साथ चाट पार्टी में परोसें या शाम की चाय के समय नाश्ते के रूप में परोसें।</v>
      </c>
      <c r="J59" s="3" t="s">
        <v>31236</v>
      </c>
      <c r="L59" s="1" t="s">
        <v>31003</v>
      </c>
    </row>
    <row r="60" spans="1:12" ht="13.8">
      <c r="A60" s="1" t="s">
        <v>31237</v>
      </c>
      <c r="B60" s="1" t="str">
        <f ca="1">IFERROR(__xludf.dummyfunction("IF(A60="""", """", GOOGLETRANSLATE(A60, ""en"", ""hi""))"),"भुने हुए चने की रेसिपी")</f>
        <v>भुने हुए चने की रेसिपी</v>
      </c>
      <c r="C60" s="1" t="s">
        <v>14281</v>
      </c>
      <c r="D60" s="1" t="s">
        <v>14237</v>
      </c>
      <c r="E60" s="1">
        <v>50</v>
      </c>
      <c r="F60" s="1" t="s">
        <v>31238</v>
      </c>
      <c r="G60" s="1" t="str">
        <f ca="1">IFERROR(__xludf.dummyfunction("IF(F60="""", """", GOOGLETRANSLATE(F60, ""en"", ""hi""))"),"1 1/2 कप काबुली चना (सफेद छोले) - 7-8 घंटे (रात भर) पानी में भिगोए हुए, 1 चम्मच केजुन मसाला मिश्रण, 1 चम्मच गरम मसाला पाउडर, 1 चम्मच लाल मिर्च के गुच्छे, 1 चम्मच सूखा अजवायन, 2-3 बड़े चम्मच एक्स्ट्रा वर्जिन जैतून का तेल, 1 बड़ा चम्मच लहसुन - बारीक कटा हुआ"&amp;" (या लहसुन का पेस्ट), नमक - स्वादानुसार")</f>
        <v>1 1/2 कप काबुली चना (सफेद छोले) - 7-8 घंटे (रात भर) पानी में भिगोए हुए, 1 चम्मच केजुन मसाला मिश्रण, 1 चम्मच गरम मसाला पाउडर, 1 चम्मच लाल मिर्च के गुच्छे, 1 चम्मच सूखा अजवायन, 2-3 बड़े चम्मच एक्स्ट्रा वर्जिन जैतून का तेल, 1 बड़ा चम्मच लहसुन - बारीक कटा हुआ (या लहसुन का पेस्ट), नमक - स्वादानुसार</v>
      </c>
      <c r="H60" s="1" t="s">
        <v>31239</v>
      </c>
      <c r="I60" s="1" t="str">
        <f ca="1">IFERROR(__xludf.dummyfunction("IF(H60="""", """", GOOGLETRANSLATE(H60, ""en"", ""hi""))"),"भुने हुए छोले बनाने के लिए सबसे पहले ओवन को 200 डिग्री सेल्सियस पर गर्म करें। नॉन-स्टिक बेकिंग शीट पर थोड़ा जैतून का तेल लगाएँ। छोले को तब तक पानी से धोएँ जब तक कि सारा पानी निकल न जाए। अतिरिक्त नमी को सोखने के लिए किचन टॉवल का इस्तेमाल करें। एक छोटे कटोर"&amp;"े में जैतून का तेल, लहसुन और नमक को एक साथ फेंटें। इसे मिक्सिंग बाउल में छोले के साथ मिलाएँ। बेकिंग शीट पर छोले को एक समान परत में फैलाएँ। लगभग 20-25 मिनट तक बेक करें जब तक कि वे भूरे न होने लगें। जब वे बेक हो रहे हों, तो एक या दो बार स्पैटुला का उपयोग कर"&amp;"के मिलाएँ, ताकि वे अच्छी तरह से बेक हो जाएँ। मसाला छिड़कें और मिलाएँ ताकि यह छोले पर समान रूप से लग जाए। भुने हुए छोले को और 10-12 मिनट तक बेक करें। एक बार हो जाने पर ओवन से निकालें और परोसने से पहले ठंडा होने दें। इसे अकेले या कटे हुए प्याज, जड़ी-बूटियों"&amp;" के साथ, कुछ मसले हुए सेब के रस के साथ नाश्ते के रूप में या बस कुछ मसाला चाय रेसिपी - भारतीय मसालेदार चाय के साथ अपने शाम के समय का आनंद लेने के लिए परोसें।")</f>
        <v>भुने हुए छोले बनाने के लिए सबसे पहले ओवन को 200 डिग्री सेल्सियस पर गर्म करें। नॉन-स्टिक बेकिंग शीट पर थोड़ा जैतून का तेल लगाएँ। छोले को तब तक पानी से धोएँ जब तक कि सारा पानी निकल न जाए। अतिरिक्त नमी को सोखने के लिए किचन टॉवल का इस्तेमाल करें। एक छोटे कटोरे में जैतून का तेल, लहसुन और नमक को एक साथ फेंटें। इसे मिक्सिंग बाउल में छोले के साथ मिलाएँ। बेकिंग शीट पर छोले को एक समान परत में फैलाएँ। लगभग 20-25 मिनट तक बेक करें जब तक कि वे भूरे न होने लगें। जब वे बेक हो रहे हों, तो एक या दो बार स्पैटुला का उपयोग करके मिलाएँ, ताकि वे अच्छी तरह से बेक हो जाएँ। मसाला छिड़कें और मिलाएँ ताकि यह छोले पर समान रूप से लग जाए। भुने हुए छोले को और 10-12 मिनट तक बेक करें। एक बार हो जाने पर ओवन से निकालें और परोसने से पहले ठंडा होने दें। इसे अकेले या कटे हुए प्याज, जड़ी-बूटियों के साथ, कुछ मसले हुए सेब के रस के साथ नाश्ते के रूप में या बस कुछ मसाला चाय रेसिपी - भारतीय मसालेदार चाय के साथ अपने शाम के समय का आनंद लेने के लिए परोसें।</v>
      </c>
      <c r="J60" s="3" t="s">
        <v>31240</v>
      </c>
      <c r="L60" s="1" t="s">
        <v>31003</v>
      </c>
    </row>
    <row r="61" spans="1:12" ht="13.8">
      <c r="A61" s="1" t="s">
        <v>31241</v>
      </c>
      <c r="B61" s="1" t="str">
        <f ca="1">IFERROR(__xludf.dummyfunction("IF(A61="""", """", GOOGLETRANSLATE(A61, ""en"", ""hi""))"),"छिलके वाली मूंग दाल करी रेसिपी")</f>
        <v>छिलके वाली मूंग दाल करी रेसिपी</v>
      </c>
      <c r="C61" s="1" t="s">
        <v>429</v>
      </c>
      <c r="D61" s="1" t="s">
        <v>14237</v>
      </c>
      <c r="E61" s="1">
        <v>30</v>
      </c>
      <c r="F61" s="1" t="s">
        <v>31242</v>
      </c>
      <c r="G61" s="1" t="str">
        <f ca="1">IFERROR(__xludf.dummyfunction("IF(F61="""", """", GOOGLETRANSLATE(F61, ""en"", ""hi""))"),"1/2 कप हरी मूंग दाल, 1 प्याज - बारीक कटा हुआ, 2 लहसुन के दाने, 3 लौंग, 1/2 छोटा चम्मच जीरा, 2 हरी मिर्च, 1/4 छोटा चम्मच हल्दी, 1 टमाटर - कटा हुआ, 1 छोटा चम्मच गरम मसाला पाउडर, नमक - स्वादानुसार, 2 बड़े चम्मच घी - या तेल, धनिया पत्ती - गार्निश के लिए")</f>
        <v>1/2 कप हरी मूंग दाल, 1 प्याज - बारीक कटा हुआ, 2 लहसुन के दाने, 3 लौंग, 1/2 छोटा चम्मच जीरा, 2 हरी मिर्च, 1/4 छोटा चम्मच हल्दी, 1 टमाटर - कटा हुआ, 1 छोटा चम्मच गरम मसाला पाउडर, नमक - स्वादानुसार, 2 बड़े चम्मच घी - या तेल, धनिया पत्ती - गार्निश के लिए</v>
      </c>
      <c r="H61" s="1" t="s">
        <v>31243</v>
      </c>
      <c r="I61" s="1" t="str">
        <f ca="1">IFERROR(__xludf.dummyfunction("IF(H61="""", """", GOOGLETRANSLATE(H61, ""en"", ""hi""))"),"छिलके वाली मूंग दाल करी रेसिपी बनाने के लिए, मूंग दाल को धोकर छान लें। एक प्रेशर कुकर/पैन में रखें, लगभग 1 से 1 ½ कप पानी डालें (दाल के ऊपर 1 इंच तक)। प्रेशर पैन को बंद करें और तेज आंच पर पकाएं। एक सीटी आने के बाद, आंच धीमी कर दें और लगभग 10 मिनट तक पकाएं"&amp;"। आप दाल को एक सॉस पैन में ढेर सारे पानी के साथ नरम और मुलायम होने तक पका सकते हैं। प्रेशर को अपने आप कम होने दें। प्रेशर पैन खोलें और दाल को मैश करें। आप इसे एक महीन पेस्ट बनाना चुन सकते हैं या इसे थोड़ा मोटा रहने दे सकते हैं। एक गहरी कड़ाही या सॉस पैन म"&amp;"ें तेल/घी गर्म करें। तेल गर्म हो जाए तो उसमें जीरा और लौंग डालें; कुछ सेकेंड के लिए भूनें। आप देखेंगे कि मिश्रण से तेल अलग हो रहा है। इस अवस्था में, पकी हुई दाल को 1 से 1 ½ कप पानी और स्वादानुसार नमक के साथ मिलाएँ। इसे अच्छे से मिलाएँ और मसाले का स्वाद ले"&amp;"ं। अपने हिसाब से समायोजित करें। तेज़ आँच पर उबाल लें और एक बार उबाल आने पर, मध्यम से कम आँच पर आँच करें और लगभग 3 से 4 मिनट तक पकाएँ जब तक कि स्वाद अच्छी तरह से मिश्रित न हो जाए और आपको मनचाहा गाढ़ापन न मिल जाए। आँच से उतारें, बारीक कटी धनिया पत्ती से गार"&amp;"्निश करें और गरमागरम परोसें। छिलके वाली मूंग दाल उबले हुए चावल, किसी भी पुलाव या बिरयानी और किसी भी भारतीय चपटी रोटी जैसे रोटी, पराठा, नान, पूरी आदि के साथ अच्छी लगती है।")</f>
        <v>छिलके वाली मूंग दाल करी रेसिपी बनाने के लिए, मूंग दाल को धोकर छान लें। एक प्रेशर कुकर/पैन में रखें, लगभग 1 से 1 ½ कप पानी डालें (दाल के ऊपर 1 इंच तक)। प्रेशर पैन को बंद करें और तेज आंच पर पकाएं। एक सीटी आने के बाद, आंच धीमी कर दें और लगभग 10 मिनट तक पकाएं। आप दाल को एक सॉस पैन में ढेर सारे पानी के साथ नरम और मुलायम होने तक पका सकते हैं। प्रेशर को अपने आप कम होने दें। प्रेशर पैन खोलें और दाल को मैश करें। आप इसे एक महीन पेस्ट बनाना चुन सकते हैं या इसे थोड़ा मोटा रहने दे सकते हैं। एक गहरी कड़ाही या सॉस पैन में तेल/घी गर्म करें। तेल गर्म हो जाए तो उसमें जीरा और लौंग डालें; कुछ सेकेंड के लिए भूनें। आप देखेंगे कि मिश्रण से तेल अलग हो रहा है। इस अवस्था में, पकी हुई दाल को 1 से 1 ½ कप पानी और स्वादानुसार नमक के साथ मिलाएँ। इसे अच्छे से मिलाएँ और मसाले का स्वाद लें। अपने हिसाब से समायोजित करें। तेज़ आँच पर उबाल लें और एक बार उबाल आने पर, मध्यम से कम आँच पर आँच करें और लगभग 3 से 4 मिनट तक पकाएँ जब तक कि स्वाद अच्छी तरह से मिश्रित न हो जाए और आपको मनचाहा गाढ़ापन न मिल जाए। आँच से उतारें, बारीक कटी धनिया पत्ती से गार्निश करें और गरमागरम परोसें। छिलके वाली मूंग दाल उबले हुए चावल, किसी भी पुलाव या बिरयानी और किसी भी भारतीय चपटी रोटी जैसे रोटी, पराठा, नान, पूरी आदि के साथ अच्छी लगती है।</v>
      </c>
      <c r="J61" s="3" t="s">
        <v>31244</v>
      </c>
      <c r="L61" s="1" t="s">
        <v>31003</v>
      </c>
    </row>
    <row r="62" spans="1:12" ht="13.8">
      <c r="A62" s="1" t="s">
        <v>31245</v>
      </c>
      <c r="B62" s="1" t="str">
        <f ca="1">IFERROR(__xludf.dummyfunction("IF(A62="""", """", GOOGLETRANSLATE(A62, ""en"", ""hi""))"),"सूखी मूंग पालक दाल रेसिपी (पालक के साथ साबुत हरे मूंग चने)")</f>
        <v>सूखी मूंग पालक दाल रेसिपी (पालक के साथ साबुत हरे मूंग चने)</v>
      </c>
      <c r="C62" s="1" t="s">
        <v>14207</v>
      </c>
      <c r="D62" s="1" t="s">
        <v>14237</v>
      </c>
      <c r="E62" s="1">
        <v>65</v>
      </c>
      <c r="F62" s="1" t="s">
        <v>31246</v>
      </c>
      <c r="G62" s="1" t="str">
        <f ca="1">IFERROR(__xludf.dummyfunction("IF(F62="""", """", GOOGLETRANSLATE(F62, ""en"", ""hi""))"),"1 कप हरी मूंग दाल (साबुत) - रातभर भिगोई हुई, 1/2 कप पालक के पत्ते - कटे और उबले हुए, 2 टमाटर, 1-1/2 बड़ा चम्मच सरसों का तेल, 1 छोटा चम्मच जीरा, 2 प्याज - कटे हुए, 5 लहसुन के दाने - बारीक कटा हुआ, 1 इंच अदरक - बारीक कटा हुआ, 2 हरी मिर्च, नमक - स्वादानुसार,"&amp;" 1/4 प्याज - कुछ टुकड़े, 1 हरी मिर्च - सजाने के लिए, धनिया के पत्ते - थोड़े से")</f>
        <v>1 कप हरी मूंग दाल (साबुत) - रातभर भिगोई हुई, 1/2 कप पालक के पत्ते - कटे और उबले हुए, 2 टमाटर, 1-1/2 बड़ा चम्मच सरसों का तेल, 1 छोटा चम्मच जीरा, 2 प्याज - कटे हुए, 5 लहसुन के दाने - बारीक कटा हुआ, 1 इंच अदरक - बारीक कटा हुआ, 2 हरी मिर्च, नमक - स्वादानुसार, 1/4 प्याज - कुछ टुकड़े, 1 हरी मिर्च - सजाने के लिए, धनिया के पत्ते - थोड़े से</v>
      </c>
      <c r="H62" s="1" t="s">
        <v>31247</v>
      </c>
      <c r="I62" s="1" t="str">
        <f ca="1">IFERROR(__xludf.dummyfunction("IF(H62="""", """", GOOGLETRANSLATE(H62, ""en"", ""hi""))"),"सूखी मूंग पालक दाल रेसिपी बनाने के लिए सबसे पहले भीगे हुए हरे मूंग से पानी निकाल कर अलग रख दें। मिक्सर ग्राइंडर में पालक और टमाटर डालकर प्यूरी बना लें। इसे अलग रख दें। लोहे की कढ़ाई में सरसों का तेल गर्म करें और उसमें जीरा डालें। जब जीरा चटकने लगे तो उसमे"&amp;"ं प्याज डालें और उसे नरम और हल्का भूरा होने तक भूनें। लहसुन, अदरक और हरी मिर्च डालें और कुछ सेकंड के लिए भूनें जब तक कि आपको सुगंध आने न लगे। इसके बाद, पालक-टमाटर की प्यूरी और नमक डालें और 2 मिनट तक पकाएँ। इसमें दाल डालें और तेज़ आँच पर लगातार चलाते हुए 5"&amp;" मिनट तक पकाएँ। आँच को कम कर दें, ढक दें और 20 मिनट तक बिना हिलाए पकाएँ। ढक्कन हटाएँ और देखें कि दाल पक गई है या नहीं। यह नरम और पका हुआ होना चाहिए, लेकिन अभी भी इसका आकार बरकरार रहना चाहिए और इसमें कुछ चबाने लायक स्वाद होना चाहिए। इस स्तर पर, आप ढक्कन को"&amp;" पूरी तरह से हटा सकते हैं और धीमी आंच पर तब तक पका सकते हैं जब तक कि सारा तरल अवशोषित/वाष्पित न हो जाए और पालक दाल को कोट न कर दे, जिसमें लगभग 15 मिनट लगेंगे। सुनिश्चित करें कि आप इस चरण में सब्जी को चिपकने और जलने से बचाने के लिए अक्सर हिलाते रहें। गर्मी"&amp;" से उतारें और सूखी मूंग पालक दाल को कटे हुए प्याज, हरी मिर्च और धनिया से सजाकर रायते के साथ परोसें।")</f>
        <v>सूखी मूंग पालक दाल रेसिपी बनाने के लिए सबसे पहले भीगे हुए हरे मूंग से पानी निकाल कर अलग रख दें। मिक्सर ग्राइंडर में पालक और टमाटर डालकर प्यूरी बना लें। इसे अलग रख दें। लोहे की कढ़ाई में सरसों का तेल गर्म करें और उसमें जीरा डालें। जब जीरा चटकने लगे तो उसमें प्याज डालें और उसे नरम और हल्का भूरा होने तक भूनें। लहसुन, अदरक और हरी मिर्च डालें और कुछ सेकंड के लिए भूनें जब तक कि आपको सुगंध आने न लगे। इसके बाद, पालक-टमाटर की प्यूरी और नमक डालें और 2 मिनट तक पकाएँ। इसमें दाल डालें और तेज़ आँच पर लगातार चलाते हुए 5 मिनट तक पकाएँ। आँच को कम कर दें, ढक दें और 20 मिनट तक बिना हिलाए पकाएँ। ढक्कन हटाएँ और देखें कि दाल पक गई है या नहीं। यह नरम और पका हुआ होना चाहिए, लेकिन अभी भी इसका आकार बरकरार रहना चाहिए और इसमें कुछ चबाने लायक स्वाद होना चाहिए। इस स्तर पर, आप ढक्कन को पूरी तरह से हटा सकते हैं और धीमी आंच पर तब तक पका सकते हैं जब तक कि सारा तरल अवशोषित/वाष्पित न हो जाए और पालक दाल को कोट न कर दे, जिसमें लगभग 15 मिनट लगेंगे। सुनिश्चित करें कि आप इस चरण में सब्जी को चिपकने और जलने से बचाने के लिए अक्सर हिलाते रहें। गर्मी से उतारें और सूखी मूंग पालक दाल को कटे हुए प्याज, हरी मिर्च और धनिया से सजाकर रायते के साथ परोसें।</v>
      </c>
      <c r="J62" s="3" t="s">
        <v>31248</v>
      </c>
      <c r="L62" s="1" t="s">
        <v>31003</v>
      </c>
    </row>
    <row r="63" spans="1:12" ht="13.8">
      <c r="A63" s="1" t="s">
        <v>31249</v>
      </c>
      <c r="B63" s="1" t="str">
        <f ca="1">IFERROR(__xludf.dummyfunction("IF(A63="""", """", GOOGLETRANSLATE(A63, ""en"", ""hi""))"),"आलू भरवां दाल ढोकली रेसिपी")</f>
        <v>आलू भरवां दाल ढोकली रेसिपी</v>
      </c>
      <c r="C63" s="1" t="s">
        <v>145</v>
      </c>
      <c r="D63" s="1" t="s">
        <v>14198</v>
      </c>
      <c r="E63" s="1">
        <v>100</v>
      </c>
      <c r="F63" s="1" t="s">
        <v>31250</v>
      </c>
      <c r="G63" s="1" t="str">
        <f ca="1">IFERROR(__xludf.dummyfunction("IF(F63="""", """", GOOGLETRANSLATE(F63, ""en"", ""hi""))"),"1 कप गेहूं का आटा, नमक - स्वादानुसार, 1 बड़ा चम्मच सूरजमुखी तेल, गेहूं का आटा - बेलने के लिए, 3 आलू - उबले और मसले हुए, 1 बड़ा चम्मच लाल मिर्च पाउडर, 1/2 बड़ा चम्मच गरम मसाला पाउडर, 2 बड़े चम्मच धनिया - कटे हुए, 1 बड़ा चम्मच चीनी - वैकल्पिक, 1/2 बड़ा चम्म"&amp;"च नींबू का रस, 1 कप अरहर दाल - उबाल कर पीसी हुई, 1/4 बड़ा चम्मच हल्दी पाउडर, 1/3 कप कच्ची मूंगफली - उबली हुई, नमक - स्वादानुसार, 1 टमाटर - बारीक कटा हुआ, 1 हरी मिर्च - बारीक कटी हुई, 1 इंच अदरक - कद्दूकस किया हुआ, 1/2 बड़ा चम्मच नींबू का रस, 3 बड़े चम्मच "&amp;"गुड़ - कटा हुआ, 1 बड़ा चम्मच सूरजमुखी तेल, 1/2 बड़ा चम्मच सरसों के बीज, 1/2 बड़ा चम्मच जीरा, 1/4 छोटा चम्मच हींग, 10 करी पत्ते, 2 सूखी लाल मिर्च, 1 दालचीनी दालचीनी, 2 लौंग, 1 तेज पत्ता, 4 बड़े चम्मच धनिया पत्ता - कटा हुआ")</f>
        <v>1 कप गेहूं का आटा, नमक - स्वादानुसार, 1 बड़ा चम्मच सूरजमुखी तेल, गेहूं का आटा - बेलने के लिए, 3 आलू - उबले और मसले हुए, 1 बड़ा चम्मच लाल मिर्च पाउडर, 1/2 बड़ा चम्मच गरम मसाला पाउडर, 2 बड़े चम्मच धनिया - कटे हुए, 1 बड़ा चम्मच चीनी - वैकल्पिक, 1/2 बड़ा चम्मच नींबू का रस, 1 कप अरहर दाल - उबाल कर पीसी हुई, 1/4 बड़ा चम्मच हल्दी पाउडर, 1/3 कप कच्ची मूंगफली - उबली हुई, नमक - स्वादानुसार, 1 टमाटर - बारीक कटा हुआ, 1 हरी मिर्च - बारीक कटी हुई, 1 इंच अदरक - कद्दूकस किया हुआ, 1/2 बड़ा चम्मच नींबू का रस, 3 बड़े चम्मच गुड़ - कटा हुआ, 1 बड़ा चम्मच सूरजमुखी तेल, 1/2 बड़ा चम्मच सरसों के बीज, 1/2 बड़ा चम्मच जीरा, 1/4 छोटा चम्मच हींग, 10 करी पत्ते, 2 सूखी लाल मिर्च, 1 दालचीनी दालचीनी, 2 लौंग, 1 तेज पत्ता, 4 बड़े चम्मच धनिया पत्ता - कटा हुआ</v>
      </c>
      <c r="H63" s="1" t="s">
        <v>31251</v>
      </c>
      <c r="I63" s="1" t="str">
        <f ca="1">IFERROR(__xludf.dummyfunction("IF(H63="""", """", GOOGLETRANSLATE(H63, ""en"", ""hi""))"),"आलू भरवां दाल ढोकली रेसिपी बनाने के लिए, बताई गई सभी सामग्री को तैयार कर लें और पकौड़ी बनाना शुरू करें। सबसे पहले आटे को नमक के साथ छान लें और पर्याप्त पानी के साथ एक अर्ध-सख्त आटा गूंध लें। आटे को ढक्कन से ढक दें और 10-15 मिनट के लिए अलग रख दें। इस बीच प"&amp;"कौड़ी के लिए भरावन तैयार करें। एक कटोरे में उबले और मसले हुए आलू लें, स्वादानुसार नमक, मिर्च पाउडर, हल्दी पाउडर, कटा हरा धनिया, गरम मसाला, नींबू का रस और चीनी (वैकल्पिक) डालें। सभी मसालों को आलू में अच्छी तरह मिलाएँ। आलू के मिश्रण से मध्यम आकार की लोइयाँ "&amp;"बनाएँ। आटे से लगभग 10-15 बराबर छोटी लोइयाँ बनाएँ। एक बेलन की मदद से 3-4 इंच व्यास की रोटी का बेस बेलें, आलू की लोई को रोटी के बीच में रखें। यह बेली हुई रोटी का आटा नियमित चपाती की मोटाई जितना पतला होना चाहिए। सभी किनारों को बीच में लाएँ और उन्हें मिलाएँ। "&amp;"पूरे आलू के रोल को रोटी से ढक दें, यदि आवश्यक हो तो अतिरिक्त आटा हटा दें। कोशिश करें कि स्टफिंग के चारों ओर मोटी परत न जमने पाए। इसी तरह, 10-15 पकौड़े तब तक तैयार करें जब तक कि सारी फिलिंग खत्म न हो जाए और एक प्लेट से ढक दें। दाल की करी बनाने के लिए, दाल "&amp;"को साफ करें, धोएँ और पानी निकाल दें। दाल, लगभग 2 कप पानी और हल्दी पाउडर को प्रेशर कुकर में मिलाएँ और 3 सीटी आने तक पकाएँ। पकी हुई दाल और एक कप गर्म पानी को एक लंबे मिक्सिंग बाउल में मिलाएँ और हैंड ब्लेंडर का उपयोग करके अच्छी तरह से ब्लेंड करें जब तक कि यह"&amp;" चिकना न हो जाए। पर्याप्त पानी डालें और बहुत अच्छी तरह मिलाएँ। मिश्रण को आंच पर एक उथले फ्राइंग पैन में रखें और हल्दी पाउडर, उबली हुई मूंगफली, स्वादानुसार नमक, टमाटर, हरी मिर्च, अदरक, नींबू का रस और गुड़ डालें। अच्छी तरह मिलाएँ और मध्यम आँच पर 10 से 15 मि"&amp;"नट तक पकाएँ, बीच-बीच में हिलाते रहें। अब तैयार पकौड़ों को धीरे से दाल में डालें, और उन्हें और 15 मिनट तक पकाएँ, जब पकौड़े दाल के ऊपर आने लगें, तो यह लगभग पक चुकी है। इस बीच, तड़के के लिए, एक छोटे नॉन-स्टिक पैन में तेल गरम करें, उसमें राई और जीरा डालें, उन"&amp;"्हें चटकने दें। जब बीज चटकने लगे, तो हींग, करी पत्ता, लाल मिर्च, दालचीनी, लौंग, तेज पत्ता डालें और खुशबू आने तक मध्यम आँच पर भूनें। ढोकली रेसिपी के साथ मसाला खिचिया रेसिपी (मसालेदार मकई का आटा पापड़) अपने आप में एक भोजन है।")</f>
        <v>आलू भरवां दाल ढोकली रेसिपी बनाने के लिए, बताई गई सभी सामग्री को तैयार कर लें और पकौड़ी बनाना शुरू करें। सबसे पहले आटे को नमक के साथ छान लें और पर्याप्त पानी के साथ एक अर्ध-सख्त आटा गूंध लें। आटे को ढक्कन से ढक दें और 10-15 मिनट के लिए अलग रख दें। इस बीच पकौड़ी के लिए भरावन तैयार करें। एक कटोरे में उबले और मसले हुए आलू लें, स्वादानुसार नमक, मिर्च पाउडर, हल्दी पाउडर, कटा हरा धनिया, गरम मसाला, नींबू का रस और चीनी (वैकल्पिक) डालें। सभी मसालों को आलू में अच्छी तरह मिलाएँ। आलू के मिश्रण से मध्यम आकार की लोइयाँ बनाएँ। आटे से लगभग 10-15 बराबर छोटी लोइयाँ बनाएँ। एक बेलन की मदद से 3-4 इंच व्यास की रोटी का बेस बेलें, आलू की लोई को रोटी के बीच में रखें। यह बेली हुई रोटी का आटा नियमित चपाती की मोटाई जितना पतला होना चाहिए। सभी किनारों को बीच में लाएँ और उन्हें मिलाएँ। पूरे आलू के रोल को रोटी से ढक दें, यदि आवश्यक हो तो अतिरिक्त आटा हटा दें। कोशिश करें कि स्टफिंग के चारों ओर मोटी परत न जमने पाए। इसी तरह, 10-15 पकौड़े तब तक तैयार करें जब तक कि सारी फिलिंग खत्म न हो जाए और एक प्लेट से ढक दें। दाल की करी बनाने के लिए, दाल को साफ करें, धोएँ और पानी निकाल दें। दाल, लगभग 2 कप पानी और हल्दी पाउडर को प्रेशर कुकर में मिलाएँ और 3 सीटी आने तक पकाएँ। पकी हुई दाल और एक कप गर्म पानी को एक लंबे मिक्सिंग बाउल में मिलाएँ और हैंड ब्लेंडर का उपयोग करके अच्छी तरह से ब्लेंड करें जब तक कि यह चिकना न हो जाए। पर्याप्त पानी डालें और बहुत अच्छी तरह मिलाएँ। मिश्रण को आंच पर एक उथले फ्राइंग पैन में रखें और हल्दी पाउडर, उबली हुई मूंगफली, स्वादानुसार नमक, टमाटर, हरी मिर्च, अदरक, नींबू का रस और गुड़ डालें। अच्छी तरह मिलाएँ और मध्यम आँच पर 10 से 15 मिनट तक पकाएँ, बीच-बीच में हिलाते रहें। अब तैयार पकौड़ों को धीरे से दाल में डालें, और उन्हें और 15 मिनट तक पकाएँ, जब पकौड़े दाल के ऊपर आने लगें, तो यह लगभग पक चुकी है। इस बीच, तड़के के लिए, एक छोटे नॉन-स्टिक पैन में तेल गरम करें, उसमें राई और जीरा डालें, उन्हें चटकने दें। जब बीज चटकने लगे, तो हींग, करी पत्ता, लाल मिर्च, दालचीनी, लौंग, तेज पत्ता डालें और खुशबू आने तक मध्यम आँच पर भूनें। ढोकली रेसिपी के साथ मसाला खिचिया रेसिपी (मसालेदार मकई का आटा पापड़) अपने आप में एक भोजन है।</v>
      </c>
      <c r="J63" s="3" t="s">
        <v>31252</v>
      </c>
      <c r="L63" s="1" t="s">
        <v>31003</v>
      </c>
    </row>
    <row r="64" spans="1:12" ht="13.8">
      <c r="A64" s="1" t="s">
        <v>31253</v>
      </c>
      <c r="B64" s="1" t="str">
        <f ca="1">IFERROR(__xludf.dummyfunction("IF(A64="""", """", GOOGLETRANSLATE(A64, ""en"", ""hi""))"),"नारियल ग्रेवी में पनीर रेसिपी")</f>
        <v>नारियल ग्रेवी में पनीर रेसिपी</v>
      </c>
      <c r="C64" s="1" t="s">
        <v>429</v>
      </c>
      <c r="D64" s="1" t="s">
        <v>14198</v>
      </c>
      <c r="E64" s="1">
        <v>45</v>
      </c>
      <c r="F64" s="1" t="s">
        <v>31254</v>
      </c>
      <c r="G64" s="1" t="str">
        <f ca="1">IFERROR(__xludf.dummyfunction("IF(F64="""", """", GOOGLETRANSLATE(F64, ""en"", ""hi""))"),"2 कप पनीर - 1/2 इंच के टुकड़ों में कटा हुआ, 1 प्याज - बारीक कटा हुआ, 2 टमाटर - बारीक कटा हुआ, 1 चम्मच गरम मसाला पाउडर, नमक - स्वादानुसार, 3/4 पानी, 2 बड़े चम्मच मक्खन, 1 बड़ा चम्मच धनिया, 1/2 बड़ा चम्मच जीरा, 4 सूखी लाल मिर्च, 3 लहसुन के दाने - बारीक कटा "&amp;"हुआ, 1 1/2 इंच अदरक - बारीक कटा हुआ, 1 प्याज - टुकड़ों में कटा हुआ, 1/3 कप ताजा नारियल - कसा हुआ")</f>
        <v>2 कप पनीर - 1/2 इंच के टुकड़ों में कटा हुआ, 1 प्याज - बारीक कटा हुआ, 2 टमाटर - बारीक कटा हुआ, 1 चम्मच गरम मसाला पाउडर, नमक - स्वादानुसार, 3/4 पानी, 2 बड़े चम्मच मक्खन, 1 बड़ा चम्मच धनिया, 1/2 बड़ा चम्मच जीरा, 4 सूखी लाल मिर्च, 3 लहसुन के दाने - बारीक कटा हुआ, 1 1/2 इंच अदरक - बारीक कटा हुआ, 1 प्याज - टुकड़ों में कटा हुआ, 1/3 कप ताजा नारियल - कसा हुआ</v>
      </c>
      <c r="H64" s="1" t="s">
        <v>31255</v>
      </c>
      <c r="I64" s="1" t="str">
        <f ca="1">IFERROR(__xludf.dummyfunction("IF(H64="""", """", GOOGLETRANSLATE(H64, ""en"", ""hi""))"),"पनीर इन कोकोनट ग्रेवी रेसिपी बनाने के लिए सबसे पहले हमें ग्रेवी के लिए मसाला तैयार करना होगा। एक भारी तले की कड़ाही में धीमी आंच पर धनिया, जीरा और सूखी लाल मिर्च डालें। मसालों को खुशबूदार होने तक भूनें। आंच बंद कर दें और इसे ठंडा होने दें। दूसरे पैन में ए"&amp;"क बड़ा चम्मच मक्खन डालें। मक्खन पिघल जाने पर इसमें कटा हुआ लहसुन, अदरक डालें और तब तक भूनें जब तक कि खुशबू हवा में न फैल जाए। इसके बाद कटे हुए नारियल के टुकड़े डालें और तब तक भूनें जब तक कि नारियल की कच्ची महक न चली जाए। अंत में कटे हुए प्याज डालें और पार"&amp;"दर्शी होने तक भूनें, आंच बंद कर दें और इसे ठंडा होने दें। मिक्सी जार में सूखा भुना मसाला डालें और दरदरा पाउडर बना लें इस पेस्ट में कटे हुए पनीर के टुकड़ों को आधे घंटे के लिए मैरीनेट करें। इस बीच, एक पैन में बचा हुआ मक्खन डालें और प्याज को नरम होने तक भूने"&amp;"ं। बारीक कटे टमाटर और नमक डालें। अच्छी तरह मिलाएँ और ढककर धीमी आँच पर तब तक पकाएँ जब तक टमाटर नरम और गूदेदार न हो जाएँ। टमाटर को कलछी के पिछले हिस्से से मसलें और तब तक पकाएँ जब तक टमाटर का मिश्रण पेस्ट जैसा न दिखने लगे। गरम मसाला डालें और तब तक भूनें जब त"&amp;"क मसाला मिश्रण में अच्छी तरह मिल न जाए। इस मिश्रण में पनीर, मैरीनेशन, लगभग 1/4 कप पानी डालें और अच्छी तरह मिलाएँ। स्वादानुसार नमक डालें। पनीर की ग्रेवी को ढककर धीमी आँच पर 5 से 7 मिनट तक पकाएँ। अपनी पसंद के अनुसार स्थिरता को समायोजित करने के लिए थोड़ा और "&amp;"पानी डालें। स्वाद के अनुसार समायोजित करें। इस पनीर को नारियल की ग्रेवी के साथ गरम फुल्के या जीरा चावल के साथ काले चने के सलाद के साथ परोसें, ताकि यह एक संपूर्ण उत्तर भारतीय शैली का डिनर बन जाए।")</f>
        <v>पनीर इन कोकोनट ग्रेवी रेसिपी बनाने के लिए सबसे पहले हमें ग्रेवी के लिए मसाला तैयार करना होगा। एक भारी तले की कड़ाही में धीमी आंच पर धनिया, जीरा और सूखी लाल मिर्च डालें। मसालों को खुशबूदार होने तक भूनें। आंच बंद कर दें और इसे ठंडा होने दें। दूसरे पैन में एक बड़ा चम्मच मक्खन डालें। मक्खन पिघल जाने पर इसमें कटा हुआ लहसुन, अदरक डालें और तब तक भूनें जब तक कि खुशबू हवा में न फैल जाए। इसके बाद कटे हुए नारियल के टुकड़े डालें और तब तक भूनें जब तक कि नारियल की कच्ची महक न चली जाए। अंत में कटे हुए प्याज डालें और पारदर्शी होने तक भूनें, आंच बंद कर दें और इसे ठंडा होने दें। मिक्सी जार में सूखा भुना मसाला डालें और दरदरा पाउडर बना लें इस पेस्ट में कटे हुए पनीर के टुकड़ों को आधे घंटे के लिए मैरीनेट करें। इस बीच, एक पैन में बचा हुआ मक्खन डालें और प्याज को नरम होने तक भूनें। बारीक कटे टमाटर और नमक डालें। अच्छी तरह मिलाएँ और ढककर धीमी आँच पर तब तक पकाएँ जब तक टमाटर नरम और गूदेदार न हो जाएँ। टमाटर को कलछी के पिछले हिस्से से मसलें और तब तक पकाएँ जब तक टमाटर का मिश्रण पेस्ट जैसा न दिखने लगे। गरम मसाला डालें और तब तक भूनें जब तक मसाला मिश्रण में अच्छी तरह मिल न जाए। इस मिश्रण में पनीर, मैरीनेशन, लगभग 1/4 कप पानी डालें और अच्छी तरह मिलाएँ। स्वादानुसार नमक डालें। पनीर की ग्रेवी को ढककर धीमी आँच पर 5 से 7 मिनट तक पकाएँ। अपनी पसंद के अनुसार स्थिरता को समायोजित करने के लिए थोड़ा और पानी डालें। स्वाद के अनुसार समायोजित करें। इस पनीर को नारियल की ग्रेवी के साथ गरम फुल्के या जीरा चावल के साथ काले चने के सलाद के साथ परोसें, ताकि यह एक संपूर्ण उत्तर भारतीय शैली का डिनर बन जाए।</v>
      </c>
      <c r="J64" s="3" t="s">
        <v>31256</v>
      </c>
      <c r="L64" s="1" t="s">
        <v>31003</v>
      </c>
    </row>
    <row r="65" spans="1:12" ht="13.8">
      <c r="A65" s="1" t="s">
        <v>31257</v>
      </c>
      <c r="B65" s="1" t="str">
        <f ca="1">IFERROR(__xludf.dummyfunction("IF(A65="""", """", GOOGLETRANSLATE(A65, ""en"", ""hi""))"),"मूली, जलापेनो और नींबू के साथ मकई का सलाद मिंट मेयो रेसिपी में")</f>
        <v>मूली, जलापेनो और नींबू के साथ मकई का सलाद मिंट मेयो रेसिपी में</v>
      </c>
      <c r="C65" s="1" t="s">
        <v>14281</v>
      </c>
      <c r="D65" s="1" t="s">
        <v>14198</v>
      </c>
      <c r="E65" s="1">
        <v>45</v>
      </c>
      <c r="F65" s="1" t="s">
        <v>31258</v>
      </c>
      <c r="G65" s="1" t="str">
        <f ca="1">IFERROR(__xludf.dummyfunction("IF(F65="""", """", GOOGLETRANSLATE(F65, ""en"", ""hi""))"),"1 कप स्वीट कॉर्न - उबले हुए, 4 लाल बेबी मूली - पतले स्लाइस में कटी हुई, 2 अचार वाले जलापेनो - कटे हुए, 2 चम्मच नींबू का रस, 4 बड़े चम्मच डेल मोंटे मिंट मेयो, 1 बड़ा चम्मच धनिया (धनिया) के पत्ते - बारीक कटे हुए, नमक - स्वादानुसार, 1 चम्मच सफेद मिर्च पाउडर")</f>
        <v>1 कप स्वीट कॉर्न - उबले हुए, 4 लाल बेबी मूली - पतले स्लाइस में कटी हुई, 2 अचार वाले जलापेनो - कटे हुए, 2 चम्मच नींबू का रस, 4 बड़े चम्मच डेल मोंटे मिंट मेयो, 1 बड़ा चम्मच धनिया (धनिया) के पत्ते - बारीक कटे हुए, नमक - स्वादानुसार, 1 चम्मच सफेद मिर्च पाउडर</v>
      </c>
      <c r="H65" s="1" t="s">
        <v>31259</v>
      </c>
      <c r="I65" s="1" t="str">
        <f ca="1">IFERROR(__xludf.dummyfunction("IF(H65="""", """", GOOGLETRANSLATE(H65, ""en"", ""hi""))"),"डेलमोंटे मिंट मेयोनेज़ रेसिपी में मूली, जलापेनो और नींबू के साथ मकई का सलाद बनाना शुरू करने के लिए, मकई को उबालें और एक तरफ रख दें। उबले हुए कॉर्न को एक प्लेट या कटोरे में डालें। डेलमोंटे मिंट मेयोनेज़, नमक और काली मिर्च डालें, इसे मिलाएँ। अब मूली के स्ला"&amp;"इस, जलापेनो, धनिया पत्ती डालें, मिलाएँ। शाम के नाश्ते या साइड डिश के रूप में तुरंत मूली जलापेनो और नींबू के साथ मकई का सलाद मिंट मेयो रेसिपी के रूप में परोसें।")</f>
        <v>डेलमोंटे मिंट मेयोनेज़ रेसिपी में मूली, जलापेनो और नींबू के साथ मकई का सलाद बनाना शुरू करने के लिए, मकई को उबालें और एक तरफ रख दें। उबले हुए कॉर्न को एक प्लेट या कटोरे में डालें। डेलमोंटे मिंट मेयोनेज़, नमक और काली मिर्च डालें, इसे मिलाएँ। अब मूली के स्लाइस, जलापेनो, धनिया पत्ती डालें, मिलाएँ। शाम के नाश्ते या साइड डिश के रूप में तुरंत मूली जलापेनो और नींबू के साथ मकई का सलाद मिंट मेयो रेसिपी के रूप में परोसें।</v>
      </c>
      <c r="J65" s="3" t="s">
        <v>31260</v>
      </c>
      <c r="L65" s="1" t="s">
        <v>31003</v>
      </c>
    </row>
    <row r="66" spans="1:12" ht="13.8">
      <c r="A66" s="1" t="s">
        <v>31261</v>
      </c>
      <c r="B66" s="1" t="str">
        <f ca="1">IFERROR(__xludf.dummyfunction("IF(A66="""", """", GOOGLETRANSLATE(A66, ""en"", ""hi""))"),"आलू पनीर करी बिना प्याज और लहसुन रेसिपी (व्रत वाले आलू पनीर)")</f>
        <v>आलू पनीर करी बिना प्याज और लहसुन रेसिपी (व्रत वाले आलू पनीर)</v>
      </c>
      <c r="C66" s="1" t="s">
        <v>145</v>
      </c>
      <c r="D66" s="1" t="s">
        <v>14198</v>
      </c>
      <c r="E66" s="1">
        <v>80</v>
      </c>
      <c r="F66" s="1" t="s">
        <v>31262</v>
      </c>
      <c r="G66" s="1" t="str">
        <f ca="1">IFERROR(__xludf.dummyfunction("IF(F66="""", """", GOOGLETRANSLATE(F66, ""en"", ""hi""))"),"8 आलू - मध्यम आकार के टुकड़ों में कटे हुए, 250 ग्राम पनीर - मध्यम क्यूब्स में कटे हुए, 5 टमाटर, 2 इंच अदरक - कद्दूकस किया हुआ, 3 हरी मिर्च - बारीक कटी हुई, 1 चम्मच लाल मिर्च पाउडर, 1 चम्मच धनिया पाउडर, 1 चम्मच जीरा पाउडर, नमक - स्वादानुसार, सूरजमुखी तेल -"&amp;" आवश्यकतानुसार, धनिया पत्ती - आवश्यकतानुसार")</f>
        <v>8 आलू - मध्यम आकार के टुकड़ों में कटे हुए, 250 ग्राम पनीर - मध्यम क्यूब्स में कटे हुए, 5 टमाटर, 2 इंच अदरक - कद्दूकस किया हुआ, 3 हरी मिर्च - बारीक कटी हुई, 1 चम्मच लाल मिर्च पाउडर, 1 चम्मच धनिया पाउडर, 1 चम्मच जीरा पाउडर, नमक - स्वादानुसार, सूरजमुखी तेल - आवश्यकतानुसार, धनिया पत्ती - आवश्यकतानुसार</v>
      </c>
      <c r="H66" s="1" t="s">
        <v>31263</v>
      </c>
      <c r="I66" s="1" t="str">
        <f ca="1">IFERROR(__xludf.dummyfunction("IF(H66="""", """", GOOGLETRANSLATE(H66, ""en"", ""hi""))"),"प्याज और लहसुन रहित आलू पनीर करी बनाने के लिए सबसे पहले एक ब्लेंडर में टमाटर और 2 इंच अदरक के टुकड़े और हरी मिर्च डालें। एक मोटा प्यूरी बनाएं और एक तरफ रख दें। प्रेशर कुकर में 2 बड़े चम्मच वनस्पति तेल गर्म करें और उसमें 1 बड़ा चम्मच कसा हुआ अदरक डालें। अद"&amp;"रक को तब तक भूनें जब तक कि उसमें से खुशबू न आने लगे, लगभग एक मिनट। फिर प्यूरी डालें और लगभग 10 मिनट तक या जब तक कि अधिकांश पानी सूख न जाए, तब तक भूनें। 1 चम्मच लाल मिर्च पाउडर, धनिया पाउडर और नमक डालें। 5 मिनट तक या जब तक कि पानी पूरी तरह से सूख न जाए, तब"&amp;" तक भूनें। इसके बाद आलू डालें और 2 मिनट तक भूनें। फिर 2 कप पानी और भुना जीरा पाउडर डालें। हिलाएँ, ढक्कन बंद करें और एक सीटी आने दें। आंच बंद कर दें और प्रेशर को अपने आप खत्म होने दें। (अगर बर्तन में पका रहे हैं तो आलू पूरी तरह से पकने तक पकाएँ।) ढक्कन खोल"&amp;"ें और करी को उबाल लें, फिर पनीर के टुकड़े डालें। 2 मिनट तक पकाएं और ढेर सारा ताजा धनिया डालकर खत्म करें। व्रत के दिनों में राजगिरा पूरी के साथ प्याज और लहसुन रहित आलू पनीर करी परोसें।")</f>
        <v>प्याज और लहसुन रहित आलू पनीर करी बनाने के लिए सबसे पहले एक ब्लेंडर में टमाटर और 2 इंच अदरक के टुकड़े और हरी मिर्च डालें। एक मोटा प्यूरी बनाएं और एक तरफ रख दें। प्रेशर कुकर में 2 बड़े चम्मच वनस्पति तेल गर्म करें और उसमें 1 बड़ा चम्मच कसा हुआ अदरक डालें। अदरक को तब तक भूनें जब तक कि उसमें से खुशबू न आने लगे, लगभग एक मिनट। फिर प्यूरी डालें और लगभग 10 मिनट तक या जब तक कि अधिकांश पानी सूख न जाए, तब तक भूनें। 1 चम्मच लाल मिर्च पाउडर, धनिया पाउडर और नमक डालें। 5 मिनट तक या जब तक कि पानी पूरी तरह से सूख न जाए, तब तक भूनें। इसके बाद आलू डालें और 2 मिनट तक भूनें। फिर 2 कप पानी और भुना जीरा पाउडर डालें। हिलाएँ, ढक्कन बंद करें और एक सीटी आने दें। आंच बंद कर दें और प्रेशर को अपने आप खत्म होने दें। (अगर बर्तन में पका रहे हैं तो आलू पूरी तरह से पकने तक पकाएँ।) ढक्कन खोलें और करी को उबाल लें, फिर पनीर के टुकड़े डालें। 2 मिनट तक पकाएं और ढेर सारा ताजा धनिया डालकर खत्म करें। व्रत के दिनों में राजगिरा पूरी के साथ प्याज और लहसुन रहित आलू पनीर करी परोसें।</v>
      </c>
      <c r="J66" s="3" t="s">
        <v>31264</v>
      </c>
      <c r="L66" s="1" t="s">
        <v>31003</v>
      </c>
    </row>
    <row r="67" spans="1:12" ht="13.8">
      <c r="A67" s="1" t="s">
        <v>31265</v>
      </c>
      <c r="B67" s="1" t="str">
        <f ca="1">IFERROR(__xludf.dummyfunction("IF(A67="""", """", GOOGLETRANSLATE(A67, ""en"", ""hi""))"),"चना नारियल दूध करी रेसिपी")</f>
        <v>चना नारियल दूध करी रेसिपी</v>
      </c>
      <c r="C67" s="1" t="s">
        <v>145</v>
      </c>
      <c r="D67" s="1" t="s">
        <v>14237</v>
      </c>
      <c r="E67" s="1">
        <v>45</v>
      </c>
      <c r="F67" s="1" t="s">
        <v>31266</v>
      </c>
      <c r="G67" s="1" t="str">
        <f ca="1">IFERROR(__xludf.dummyfunction("IF(F67="""", """", GOOGLETRANSLATE(F67, ""en"", ""hi""))"),"1 कप काबुली चना (सफेद छोले) - 8 घंटे भिगोए हुए, 1 प्याज - बारीक कटा हुआ, 1 इंच अदरक - बारीक कटा हुआ, 4 लहसुन - बारीक कटा हुआ, 1/2 कप घर का बना टमाटर प्यूरी, 1/4 कप नारियल का दूध, 1/2 चम्मच हल्दी पाउडर (हल्दी), 1 चम्मच लाल मिर्च पाउडर, 1 चम्मच जीरा पाउडर ("&amp;"जीरा), 1 चम्मच धनिया पाउडर (धनिया), 1 चम्मच गरम मसाला पाउडर, 1 चम्मच चाट मसाला पाउडर, 1 बड़ा चम्मच घी, नमक - स्वादानुसार")</f>
        <v>1 कप काबुली चना (सफेद छोले) - 8 घंटे भिगोए हुए, 1 प्याज - बारीक कटा हुआ, 1 इंच अदरक - बारीक कटा हुआ, 4 लहसुन - बारीक कटा हुआ, 1/2 कप घर का बना टमाटर प्यूरी, 1/4 कप नारियल का दूध, 1/2 चम्मच हल्दी पाउडर (हल्दी), 1 चम्मच लाल मिर्च पाउडर, 1 चम्मच जीरा पाउडर (जीरा), 1 चम्मच धनिया पाउडर (धनिया), 1 चम्मच गरम मसाला पाउडर, 1 चम्मच चाट मसाला पाउडर, 1 बड़ा चम्मच घी, नमक - स्वादानुसार</v>
      </c>
      <c r="H67" s="1" t="s">
        <v>31267</v>
      </c>
      <c r="I67" s="1" t="str">
        <f ca="1">IFERROR(__xludf.dummyfunction("IF(H67="""", """", GOOGLETRANSLATE(H67, ""en"", ""hi""))"),"चना नारियल का दूध करी रेसिपी बनाने के लिए सबसे पहले 1 कप चने को रात भर आवश्यक पानी में भिगो दें। अगले दिन छोले को 3 कप पानी के साथ एक प्रेशर कुकर में नमक के साथ डालें, प्रेशर कुकर को बंद कर दें। 6-8 सीटी आने तक प्रेशर कुक करें और आंच बंद कर दें। प्रेशर कु"&amp;"कर खोलने से पहले प्रेशर को अपने आप निकलने दें। अब चना नारियल का दूध करी बनाने के लिए एक भारी तले की कड़ाही में घी गर्म करें। इसमें अदरक, लहसुन और प्याज डालें और प्याज के नरम होने तक भूनें। इसमें लगभग तीन मिनट का समय लगेगा। इसके बाद टमाटर प्यूरी डालें और इ"&amp;"से उबाल लें। नारियल का दूध और हल्दी पाउडर, लाल मिर्च पाउडर, जीरा पाउडर, धनिया पाउडर, गरम मसाला, चाट मसाला, स्वादानुसार नमक सहित सभी सूखे मसाले डालें नमक और मसालों की जांच करें और अपने स्वाद के अनुसार समायोजित करें। छोले नारियल दूध करी को एक सर्विंग बाउल म"&amp;"ें डालें और गरमागरम परोसें। आरामदायक दोपहर के भोजन के लिए छोले नारियल दूध करी रेसिपी को उबले हुए चावल और पुदीना और अनार रायता के साथ परोसें।")</f>
        <v>चना नारियल का दूध करी रेसिपी बनाने के लिए सबसे पहले 1 कप चने को रात भर आवश्यक पानी में भिगो दें। अगले दिन छोले को 3 कप पानी के साथ एक प्रेशर कुकर में नमक के साथ डालें, प्रेशर कुकर को बंद कर दें। 6-8 सीटी आने तक प्रेशर कुक करें और आंच बंद कर दें। प्रेशर कुकर खोलने से पहले प्रेशर को अपने आप निकलने दें। अब चना नारियल का दूध करी बनाने के लिए एक भारी तले की कड़ाही में घी गर्म करें। इसमें अदरक, लहसुन और प्याज डालें और प्याज के नरम होने तक भूनें। इसमें लगभग तीन मिनट का समय लगेगा। इसके बाद टमाटर प्यूरी डालें और इसे उबाल लें। नारियल का दूध और हल्दी पाउडर, लाल मिर्च पाउडर, जीरा पाउडर, धनिया पाउडर, गरम मसाला, चाट मसाला, स्वादानुसार नमक सहित सभी सूखे मसाले डालें नमक और मसालों की जांच करें और अपने स्वाद के अनुसार समायोजित करें। छोले नारियल दूध करी को एक सर्विंग बाउल में डालें और गरमागरम परोसें। आरामदायक दोपहर के भोजन के लिए छोले नारियल दूध करी रेसिपी को उबले हुए चावल और पुदीना और अनार रायता के साथ परोसें।</v>
      </c>
      <c r="J67" s="3" t="s">
        <v>31268</v>
      </c>
      <c r="L67" s="1" t="s">
        <v>31003</v>
      </c>
    </row>
    <row r="68" spans="1:12" ht="13.8">
      <c r="A68" s="1" t="s">
        <v>31269</v>
      </c>
      <c r="B68" s="1" t="str">
        <f ca="1">IFERROR(__xludf.dummyfunction("IF(A68="""", """", GOOGLETRANSLATE(A68, ""en"", ""hi""))"),"शाकाहारी कोफ्ता करी रेसिपी")</f>
        <v>शाकाहारी कोफ्ता करी रेसिपी</v>
      </c>
      <c r="C68" s="1" t="s">
        <v>429</v>
      </c>
      <c r="D68" s="1" t="s">
        <v>17937</v>
      </c>
      <c r="E68" s="1">
        <v>75</v>
      </c>
      <c r="F68" s="1" t="s">
        <v>31270</v>
      </c>
      <c r="G68" s="1" t="str">
        <f ca="1">IFERROR(__xludf.dummyfunction("IF(F68="""", """", GOOGLETRANSLATE(F68, ""en"", ""hi""))"),"1/4 कप गाजर - कद्दूकस की हुई, 1/4 कप हरी ज़ूचिनी - कद्दूकस की हुई, 1/4 कप पत्तागोभी - कद्दूकस की हुई, 1/4 कप लौकी - कद्दूकस की हुई, 1/4 कप चुकंदर - कद्दूकस किया हुआ, 1/4 कप टोफू - कद्दूकस किया हुआ, 1 छोटा चम्मच अदरक लहसुन पेस्ट, 1 छोटा चम्मच हरी मिर्च पेस"&amp;"्ट, 2 बड़े चम्मच मल्टीग्रेन आटा - या बेसन, 1/2 छोटा चम्मच धनिया पाउडर, 1/2 छोटा चम्मच जीरा पाउडर, 2 छोटे चम्मच चावल का आटा, 1/4 छोटा चम्मच हींग, 1/2 छोटा चम्मच आमचूर - वैकल्पिक, नमक - स्वादानुसार, सूरजमुखी तेल - तलने के लिए (आवश्यकतानुसार), 2 प्याज - कटे "&amp;"हुए, 4 टमाटर - उबाले हुए, 8 काजू - 30 मिनट तक गर्म पानी में भिगोए हुए, 1 छोटा चम्मच गरम मसाला पाउडर, 1 छोटा चम्मच लाल मिर्च पाउडर, 1 छोटा चम्मच जीरा, 1 चम्मच अदरक लहसुन पेस्ट, 1/2 चम्मच चीनी, 1 बड़ा चम्मच सूरजमुखी तेल, नमक - स्वादानुसार, धनिया पत्ती - गार"&amp;"्निश के लिए (आवश्यकतानुसार)")</f>
        <v>1/4 कप गाजर - कद्दूकस की हुई, 1/4 कप हरी ज़ूचिनी - कद्दूकस की हुई, 1/4 कप पत्तागोभी - कद्दूकस की हुई, 1/4 कप लौकी - कद्दूकस की हुई, 1/4 कप चुकंदर - कद्दूकस किया हुआ, 1/4 कप टोफू - कद्दूकस किया हुआ, 1 छोटा चम्मच अदरक लहसुन पेस्ट, 1 छोटा चम्मच हरी मिर्च पेस्ट, 2 बड़े चम्मच मल्टीग्रेन आटा - या बेसन, 1/2 छोटा चम्मच धनिया पाउडर, 1/2 छोटा चम्मच जीरा पाउडर, 2 छोटे चम्मच चावल का आटा, 1/4 छोटा चम्मच हींग, 1/2 छोटा चम्मच आमचूर - वैकल्पिक, नमक - स्वादानुसार, सूरजमुखी तेल - तलने के लिए (आवश्यकतानुसार), 2 प्याज - कटे हुए, 4 टमाटर - उबाले हुए, 8 काजू - 30 मिनट तक गर्म पानी में भिगोए हुए, 1 छोटा चम्मच गरम मसाला पाउडर, 1 छोटा चम्मच लाल मिर्च पाउडर, 1 छोटा चम्मच जीरा, 1 चम्मच अदरक लहसुन पेस्ट, 1/2 चम्मच चीनी, 1 बड़ा चम्मच सूरजमुखी तेल, नमक - स्वादानुसार, धनिया पत्ती - गार्निश के लिए (आवश्यकतानुसार)</v>
      </c>
      <c r="H68" s="1" t="s">
        <v>31271</v>
      </c>
      <c r="I68" s="1" t="str">
        <f ca="1">IFERROR(__xludf.dummyfunction("IF(H68="""", """", GOOGLETRANSLATE(H68, ""en"", ""hi""))"),"शाकाहारी कोफ्ता करी रेसिपी बनाने के लिए सबसे पहले एक मिक्सिंग बाउल में तेल को छोड़कर ‘कोफ्ते के लिए’ के नीचे दी गई सारी सामग्री डालें। मिश्रण को मिलाएँ और नींबू के आकार के गोले बनाएँ (ज़रूरत पड़ने पर बेसन की मात्रा कम या ज़्यादा कर लें, ताकि मिश्रण को संभ"&amp;"ालना आसान हो जाए) एक कड़ाही में तेल गरम करें और कोफ्ते को सुनहरा भूरा होने तक तल लें। एक स्लॉटेड चम्मच से बाहर निकालें और अब्सॉर्बेंट पेपर पर निकाल लें। वैकल्पिक रूप से, अप्पे पात्र/पनियारम पैन में थोड़ा तेल डालकर तब तक हल्का तलें जब तक कि यह समान रूप से "&amp;"भूरा न हो जाए, बीच-बीच में एक बार पलट दें। ग्रेवी बनाने के लिए- प्याज़, टमाटर, काजू को अलग-अलग ब्लेंडर में डालकर बारीक पेस्ट बना लें। एक कढ़ाई में तेल गरम करें। उसमें जीरा डालें। जब वे तड़कने लगें तो उसमें प्याज़ और अदरक लहसुन का पेस्ट डालें। भूनते रहें, "&amp;"जब तक पेस्ट भूरा न हो जाए। टमाटर का पेस्ट डालें और तब तक पकाएँ जब तक पानी सूख न जाए और आप तेल को बाहर निकलता हुआ न देख सकें। गरम मसाला, लाल मिर्च पाउडर डालें और मिलाएँ। कुछ सेकंड के लिए भूनें। काजू का पेस्ट, चीनी और नमक डालें। मनचाहा गाढ़ापन पाने के लिए प"&amp;"र्याप्त पानी मिलाएँ और ग्रेवी को कुछ मिनट तक उबालें। परोसने के लिए, ग्रेवी को एक सर्विंग बाउल में डालें। इसमें कोफ्ते डालें और ताज़े धनिया पत्तों से गार्निश करें। रात के खाने में तंदूरी रोटी या नान के साथ शाकाहारी कोफ्ता करी रेसिपी परोसें।")</f>
        <v>शाकाहारी कोफ्ता करी रेसिपी बनाने के लिए सबसे पहले एक मिक्सिंग बाउल में तेल को छोड़कर ‘कोफ्ते के लिए’ के नीचे दी गई सारी सामग्री डालें। मिश्रण को मिलाएँ और नींबू के आकार के गोले बनाएँ (ज़रूरत पड़ने पर बेसन की मात्रा कम या ज़्यादा कर लें, ताकि मिश्रण को संभालना आसान हो जाए) एक कड़ाही में तेल गरम करें और कोफ्ते को सुनहरा भूरा होने तक तल लें। एक स्लॉटेड चम्मच से बाहर निकालें और अब्सॉर्बेंट पेपर पर निकाल लें। वैकल्पिक रूप से, अप्पे पात्र/पनियारम पैन में थोड़ा तेल डालकर तब तक हल्का तलें जब तक कि यह समान रूप से भूरा न हो जाए, बीच-बीच में एक बार पलट दें। ग्रेवी बनाने के लिए- प्याज़, टमाटर, काजू को अलग-अलग ब्लेंडर में डालकर बारीक पेस्ट बना लें। एक कढ़ाई में तेल गरम करें। उसमें जीरा डालें। जब वे तड़कने लगें तो उसमें प्याज़ और अदरक लहसुन का पेस्ट डालें। भूनते रहें, जब तक पेस्ट भूरा न हो जाए। टमाटर का पेस्ट डालें और तब तक पकाएँ जब तक पानी सूख न जाए और आप तेल को बाहर निकलता हुआ न देख सकें। गरम मसाला, लाल मिर्च पाउडर डालें और मिलाएँ। कुछ सेकंड के लिए भूनें। काजू का पेस्ट, चीनी और नमक डालें। मनचाहा गाढ़ापन पाने के लिए पर्याप्त पानी मिलाएँ और ग्रेवी को कुछ मिनट तक उबालें। परोसने के लिए, ग्रेवी को एक सर्विंग बाउल में डालें। इसमें कोफ्ते डालें और ताज़े धनिया पत्तों से गार्निश करें। रात के खाने में तंदूरी रोटी या नान के साथ शाकाहारी कोफ्ता करी रेसिपी परोसें।</v>
      </c>
      <c r="J68" s="3" t="s">
        <v>31272</v>
      </c>
      <c r="L68" s="1" t="s">
        <v>31003</v>
      </c>
    </row>
    <row r="69" spans="1:12" ht="13.8">
      <c r="A69" s="1" t="s">
        <v>31273</v>
      </c>
      <c r="B69" s="1" t="str">
        <f ca="1">IFERROR(__xludf.dummyfunction("IF(A69="""", """", GOOGLETRANSLATE(A69, ""en"", ""hi""))"),"शकरकंद दाल रेसिपी")</f>
        <v>शकरकंद दाल रेसिपी</v>
      </c>
      <c r="C69" s="1" t="s">
        <v>145</v>
      </c>
      <c r="D69" s="1" t="s">
        <v>14198</v>
      </c>
      <c r="E69" s="1">
        <v>45</v>
      </c>
      <c r="F69" s="1" t="s">
        <v>31274</v>
      </c>
      <c r="G69" s="1" t="str">
        <f ca="1">IFERROR(__xludf.dummyfunction("IF(F69="""", """", GOOGLETRANSLATE(F69, ""en"", ""hi""))"),"1 कप मसूर दाल (साबुत), 1 कप शकरकंद - टुकड़ों में कटा हुआ, 1 बड़ा चम्मच नारियल तेल - या कोई अन्य तेल, 2 प्याज - बारीक कटा हुआ, 1 टमाटर - बारीक कटा हुआ, 1 छोटा चम्मच जीरा, 4 हरी मिर्च - लम्बाई में कटी हुई, 5 लहसुन - छिला और कटा हुआ, 1-1/2 छोटा चम्मच हल्दी, "&amp;"1 छोटा चम्मच लाल मिर्च पाउडर, 1 छोटा चम्मच गरम मसाला पाउडर, 6 करी पत्ता, 1/2 छोटा चम्मच नमक - (अपने स्वादानुसार), 2 कप पानी, 1 छोटा चम्मच सूरजमुखी तेल, 1/2 छोटा चम्मच जीरा, 1/2 छोटा चम्मच सफेद उड़द दाल, 1/2 छोटा चम्मच सरसों के बीज, धनिया के पत्ते - कुछ टह"&amp;"नियाँ")</f>
        <v>1 कप मसूर दाल (साबुत), 1 कप शकरकंद - टुकड़ों में कटा हुआ, 1 बड़ा चम्मच नारियल तेल - या कोई अन्य तेल, 2 प्याज - बारीक कटा हुआ, 1 टमाटर - बारीक कटा हुआ, 1 छोटा चम्मच जीरा, 4 हरी मिर्च - लम्बाई में कटी हुई, 5 लहसुन - छिला और कटा हुआ, 1-1/2 छोटा चम्मच हल्दी, 1 छोटा चम्मच लाल मिर्च पाउडर, 1 छोटा चम्मच गरम मसाला पाउडर, 6 करी पत्ता, 1/2 छोटा चम्मच नमक - (अपने स्वादानुसार), 2 कप पानी, 1 छोटा चम्मच सूरजमुखी तेल, 1/2 छोटा चम्मच जीरा, 1/2 छोटा चम्मच सफेद उड़द दाल, 1/2 छोटा चम्मच सरसों के बीज, धनिया के पत्ते - कुछ टहनियाँ</v>
      </c>
      <c r="H69" s="1" t="s">
        <v>31275</v>
      </c>
      <c r="I69" s="1" t="str">
        <f ca="1">IFERROR(__xludf.dummyfunction("IF(H69="""", """", GOOGLETRANSLATE(H69, ""en"", ""hi""))"),"शकरकंद दाल रेसिपी बनाने के लिए, मसूर दाल को पानी से धोकर लगभग एक घंटे के लिए पानी में भिगो दें। प्रेशर कुकर में दाल, एक कप पानी डालें और लगभग 2 सीटी आने तक पकाएँ। एक तरफ रख दें। एक नॉन-स्टिक पैन में तेल डालें और मध्यम आँच पर गरम करें। तेल में जीरा डालें औ"&amp;"र जीरे के चटकने तक प्रतीक्षा करें। अब, हरी मिर्च और लहसुन डालें। लहसुन के भूरा होने तक भूनें। धीरे से कटे हुए प्याज़ डालें और पारदर्शी होने तक भूनें। कटे हुए टमाटर डालें और उन्हें नरम होने तक पकाएँ। अब, बताए गए मसाले पाउडर डालें और उन्हें अच्छी तरह मिलाएँ"&amp;"। आलू के टुकड़े डालें और उन्हें तब तक हिलाएँ जब तक कि मसाले आलू के साथ समान रूप से मिल न जाएँ। पानी डालें और तेज़ आँच पर तब तक पकाएँ जब तक कि आलू के टुकड़े अच्छी तरह से पक न जाएँ। पकी हुई दाल को पैन में डालें। अपनी ज़रूरत के हिसाब से पानी मिलाएँ। नमक डाले"&amp;"ं। आँच को कम करें और मध्यम आँच पर लगभग 5 मिनट तक पकाएँ, जब तक कि दाल आलू और मसालों के साथ मिल न जाए। आँच बंद करें और एक तरफ रख दें। एक छोटे पैन में तेल डालें। तेल गरम होने पर इसमें राई के दाने डालें, उसके बाद उड़द दाल और जीरा डालें। राई के दाने चटकने दें "&amp;"और जीरा भूरा हो जाए। दाल में तड़का हुआ तेल डालें और चलाएँ। धनिया पत्ती से गार्निश करें। इस स्वीट पोटैटो दाल को उबले हुए चावल के साथ घी या जीरा राइस और कचुम्बर सलाद के साथ परोसें। यह एक सरल और आरामदायक सप्ताह के दिन का भोजन है।")</f>
        <v>शकरकंद दाल रेसिपी बनाने के लिए, मसूर दाल को पानी से धोकर लगभग एक घंटे के लिए पानी में भिगो दें। प्रेशर कुकर में दाल, एक कप पानी डालें और लगभग 2 सीटी आने तक पकाएँ। एक तरफ रख दें। एक नॉन-स्टिक पैन में तेल डालें और मध्यम आँच पर गरम करें। तेल में जीरा डालें और जीरे के चटकने तक प्रतीक्षा करें। अब, हरी मिर्च और लहसुन डालें। लहसुन के भूरा होने तक भूनें। धीरे से कटे हुए प्याज़ डालें और पारदर्शी होने तक भूनें। कटे हुए टमाटर डालें और उन्हें नरम होने तक पकाएँ। अब, बताए गए मसाले पाउडर डालें और उन्हें अच्छी तरह मिलाएँ। आलू के टुकड़े डालें और उन्हें तब तक हिलाएँ जब तक कि मसाले आलू के साथ समान रूप से मिल न जाएँ। पानी डालें और तेज़ आँच पर तब तक पकाएँ जब तक कि आलू के टुकड़े अच्छी तरह से पक न जाएँ। पकी हुई दाल को पैन में डालें। अपनी ज़रूरत के हिसाब से पानी मिलाएँ। नमक डालें। आँच को कम करें और मध्यम आँच पर लगभग 5 मिनट तक पकाएँ, जब तक कि दाल आलू और मसालों के साथ मिल न जाए। आँच बंद करें और एक तरफ रख दें। एक छोटे पैन में तेल डालें। तेल गरम होने पर इसमें राई के दाने डालें, उसके बाद उड़द दाल और जीरा डालें। राई के दाने चटकने दें और जीरा भूरा हो जाए। दाल में तड़का हुआ तेल डालें और चलाएँ। धनिया पत्ती से गार्निश करें। इस स्वीट पोटैटो दाल को उबले हुए चावल के साथ घी या जीरा राइस और कचुम्बर सलाद के साथ परोसें। यह एक सरल और आरामदायक सप्ताह के दिन का भोजन है।</v>
      </c>
      <c r="J69" s="3" t="s">
        <v>31276</v>
      </c>
      <c r="L69" s="1" t="s">
        <v>31003</v>
      </c>
    </row>
    <row r="70" spans="1:12" ht="13.8">
      <c r="A70" s="1" t="s">
        <v>31277</v>
      </c>
      <c r="B70" s="1" t="str">
        <f ca="1">IFERROR(__xludf.dummyfunction("IF(A70="""", """", GOOGLETRANSLATE(A70, ""en"", ""hi""))"),"बिहारी शकरकंद भुजिया रेसिपी - मसालेदार शकरकंद की सब्जी")</f>
        <v>बिहारी शकरकंद भुजिया रेसिपी - मसालेदार शकरकंद की सब्जी</v>
      </c>
      <c r="C70" s="1" t="s">
        <v>145</v>
      </c>
      <c r="D70" s="1" t="s">
        <v>14198</v>
      </c>
      <c r="E70" s="1">
        <v>20</v>
      </c>
      <c r="F70" s="1" t="s">
        <v>31278</v>
      </c>
      <c r="G70" s="1" t="str">
        <f ca="1">IFERROR(__xludf.dummyfunction("IF(F70="""", """", GOOGLETRANSLATE(F70, ""en"", ""hi""))"),"2 शकरकंद - छीलकर पतले-पतले टुकड़ों में काट लें, 1 छोटा चम्मच हल्दी पाउडर, 1 छोटा चम्मच जीरा, 2 हरी मिर्च - टुकड़ों में कटी हुई, 1-1/2 बड़ा चम्मच सरसों का तेल, नमक - स्वादानुसार")</f>
        <v>2 शकरकंद - छीलकर पतले-पतले टुकड़ों में काट लें, 1 छोटा चम्मच हल्दी पाउडर, 1 छोटा चम्मच जीरा, 2 हरी मिर्च - टुकड़ों में कटी हुई, 1-1/2 बड़ा चम्मच सरसों का तेल, नमक - स्वादानुसार</v>
      </c>
      <c r="H70" s="1" t="s">
        <v>31279</v>
      </c>
      <c r="I70" s="1" t="str">
        <f ca="1">IFERROR(__xludf.dummyfunction("IF(H70="""", """", GOOGLETRANSLATE(H70, ""en"", ""hi""))"),"बिहारी शकरकंद भुजिया रेसिपी बनाने के लिए सबसे पहले शकरकंद को धोकर छील लें। और उन्हें फिंगर चिप्स के जैसे एक इंच लंबे टुकड़ों में काट लें। एक नॉन-स्टिक कड़ाही में सरसों का तेल डालें; तेल गरम होने पर जीरा डालें। इसे फूटने दें। अब हरी मिर्च डालें और इसे भूने"&amp;"ं। कटे हुए आलू और हल्दी पाउडर डालकर चलाएँ। नमक डालकर सीज़न करें। आंच कम कर दें। शकरकंद पूरी तरह से पकने तक पकाएं। अंत में, जब शकरकंद लगभग पक जाए, तो ढक्कन खोलें और इसे कुरकुरा होने दें। इस स्तर पर आप वैकल्पिक रूप से अधिक सरसों का तेल डाल सकते हैं और फिर थ"&amp;"ोड़ा और नमक छिड़क सकते हैं। सुनिश्चित करें कि आप बीच-बीच में हिलाते रहें ताकि बिहारी शकरकंद भुजिया सभी तरफ से पक जाए")</f>
        <v>बिहारी शकरकंद भुजिया रेसिपी बनाने के लिए सबसे पहले शकरकंद को धोकर छील लें। और उन्हें फिंगर चिप्स के जैसे एक इंच लंबे टुकड़ों में काट लें। एक नॉन-स्टिक कड़ाही में सरसों का तेल डालें; तेल गरम होने पर जीरा डालें। इसे फूटने दें। अब हरी मिर्च डालें और इसे भूनें। कटे हुए आलू और हल्दी पाउडर डालकर चलाएँ। नमक डालकर सीज़न करें। आंच कम कर दें। शकरकंद पूरी तरह से पकने तक पकाएं। अंत में, जब शकरकंद लगभग पक जाए, तो ढक्कन खोलें और इसे कुरकुरा होने दें। इस स्तर पर आप वैकल्पिक रूप से अधिक सरसों का तेल डाल सकते हैं और फिर थोड़ा और नमक छिड़क सकते हैं। सुनिश्चित करें कि आप बीच-बीच में हिलाते रहें ताकि बिहारी शकरकंद भुजिया सभी तरफ से पक जाए</v>
      </c>
      <c r="J70" s="3" t="s">
        <v>31280</v>
      </c>
      <c r="L70" s="1" t="s">
        <v>31003</v>
      </c>
    </row>
    <row r="71" spans="1:12" ht="13.8">
      <c r="A71" s="1" t="s">
        <v>31281</v>
      </c>
      <c r="B71" s="1" t="str">
        <f ca="1">IFERROR(__xludf.dummyfunction("IF(A71="""", """", GOOGLETRANSLATE(A71, ""en"", ""hi""))"),"कुरकुरे करेला सब्जी रेसिपी - कुरकुरे करेला भुजिया")</f>
        <v>कुरकुरे करेला सब्जी रेसिपी - कुरकुरे करेला भुजिया</v>
      </c>
      <c r="C71" s="1" t="s">
        <v>145</v>
      </c>
      <c r="D71" s="1" t="s">
        <v>14338</v>
      </c>
      <c r="E71" s="1">
        <v>410</v>
      </c>
      <c r="F71" s="1" t="s">
        <v>31282</v>
      </c>
      <c r="G71" s="1" t="str">
        <f ca="1">IFERROR(__xludf.dummyfunction("IF(F71="""", """", GOOGLETRANSLATE(F71, ""en"", ""hi""))"),"4 करेला (करेला/पवक्कई) - पतली स्ट्रिप्स में कटा हुआ, 1 चम्मच नमक - या स्वाद के लिए, 1 बड़ा चम्मच सरसों का तेल, 1 बड़ा चम्मच सौंफ, 1 चम्मच हल्दी पाउडर (हल्दी), 1 बड़ा चम्मच धनिया पाउडर (धनिया), 1 चम्मच लाल मिर्च पाउडर - या स्वाद के लिए, 2 चम्मच अमचूर (सूखा"&amp;" आम पाउडर)")</f>
        <v>4 करेला (करेला/पवक्कई) - पतली स्ट्रिप्स में कटा हुआ, 1 चम्मच नमक - या स्वाद के लिए, 1 बड़ा चम्मच सरसों का तेल, 1 बड़ा चम्मच सौंफ, 1 चम्मच हल्दी पाउडर (हल्दी), 1 बड़ा चम्मच धनिया पाउडर (धनिया), 1 चम्मच लाल मिर्च पाउडर - या स्वाद के लिए, 2 चम्मच अमचूर (सूखा आम पाउडर)</v>
      </c>
      <c r="H71" s="1" t="s">
        <v>31283</v>
      </c>
      <c r="I71" s="1" t="str">
        <f ca="1">IFERROR(__xludf.dummyfunction("IF(H71="""", """", GOOGLETRANSLATE(H71, ""en"", ""hi""))"),"कुरकुरे करेला सब्ज़ी रेसिपी बनाने के लिए सबसे पहले करेले को अच्छे से धो लें, छिलके को छील लें और करेले को पतली पट्टियों में काट लें। अगर कोई बीज हो तो उसे निकाल दें। मिक्सिंग बाउल में करेले की पतली पट्टियों और छिलकों को मिला लें, नमक डालें और अच्छी तरह मि"&amp;"ला लें और लगभग 20 मिनट तक रख दें। मध्यम आंच पर एक भारी तले की कड़ाही गरम करें और उसमें सरसों का तेल डालें। जब सरसों के तेल से धुआं उठने लगे तो आंच धीमी कर दें और उसमें सौंफ डालें, इन्हें तड़कने दें। इसमें मैरीनेट किए हुए करेले के छिलके और स्लाइस डालें और "&amp;"धीरे से मिला लें। इस स्तर पर, सूखे मसाले - हल्दी पाउडर, अमचूर पाउडर, लाल मिर्च पाउडर और धनिया पाउडर डालें। अच्छी तरह मिला लें। ढककर पांच मिनट तक पकाएं कुरकुरे करेला सब्ज़ी रेसिपी को गुजराती दाल, उबले चावल और गाजर ककड़ी टमाटर सलाद के साथ नींबू और धनिया के "&amp;"साथ लंच या डिनर के लिए परोसें।")</f>
        <v>कुरकुरे करेला सब्ज़ी रेसिपी बनाने के लिए सबसे पहले करेले को अच्छे से धो लें, छिलके को छील लें और करेले को पतली पट्टियों में काट लें। अगर कोई बीज हो तो उसे निकाल दें। मिक्सिंग बाउल में करेले की पतली पट्टियों और छिलकों को मिला लें, नमक डालें और अच्छी तरह मिला लें और लगभग 20 मिनट तक रख दें। मध्यम आंच पर एक भारी तले की कड़ाही गरम करें और उसमें सरसों का तेल डालें। जब सरसों के तेल से धुआं उठने लगे तो आंच धीमी कर दें और उसमें सौंफ डालें, इन्हें तड़कने दें। इसमें मैरीनेट किए हुए करेले के छिलके और स्लाइस डालें और धीरे से मिला लें। इस स्तर पर, सूखे मसाले - हल्दी पाउडर, अमचूर पाउडर, लाल मिर्च पाउडर और धनिया पाउडर डालें। अच्छी तरह मिला लें। ढककर पांच मिनट तक पकाएं कुरकुरे करेला सब्ज़ी रेसिपी को गुजराती दाल, उबले चावल और गाजर ककड़ी टमाटर सलाद के साथ नींबू और धनिया के साथ लंच या डिनर के लिए परोसें।</v>
      </c>
      <c r="J71" s="3" t="s">
        <v>31284</v>
      </c>
      <c r="L71" s="1" t="s">
        <v>31003</v>
      </c>
    </row>
    <row r="72" spans="1:12" ht="13.8">
      <c r="A72" s="1" t="s">
        <v>31285</v>
      </c>
      <c r="B72" s="1" t="str">
        <f ca="1">IFERROR(__xludf.dummyfunction("IF(A72="""", """", GOOGLETRANSLATE(A72, ""en"", ""hi""))"),"भारतीय बीटन कॉफी रेसिपी | डालगोना कॉफी")</f>
        <v>भारतीय बीटन कॉफी रेसिपी | डालगोना कॉफी</v>
      </c>
      <c r="C72" s="1" t="s">
        <v>15760</v>
      </c>
      <c r="D72" s="1" t="s">
        <v>14198</v>
      </c>
      <c r="E72" s="1">
        <v>5</v>
      </c>
      <c r="F72" s="1" t="s">
        <v>31286</v>
      </c>
      <c r="G72" s="1" t="str">
        <f ca="1">IFERROR(__xludf.dummyfunction("IF(F72="""", """", GOOGLETRANSLATE(F72, ""en"", ""hi""))"),"2 बड़े चम्मच इंस्टेंट कॉफी पाउडर, 2 बड़े चम्मच चीनी, 2 बड़े चम्मच पानी, 3/4 कप दूध - ठंडा, दालचीनी पाउडर (दालचीनी) - गार्निश करने के लिए एक चुटकी, इंस्टेंट कॉफी पाउडर - गार्निश करने के लिए एक चुटकी")</f>
        <v>2 बड़े चम्मच इंस्टेंट कॉफी पाउडर, 2 बड़े चम्मच चीनी, 2 बड़े चम्मच पानी, 3/4 कप दूध - ठंडा, दालचीनी पाउडर (दालचीनी) - गार्निश करने के लिए एक चुटकी, इंस्टेंट कॉफी पाउडर - गार्निश करने के लिए एक चुटकी</v>
      </c>
      <c r="H72" s="1" t="s">
        <v>31287</v>
      </c>
      <c r="I72" s="1" t="str">
        <f ca="1">IFERROR(__xludf.dummyfunction("IF(H72="""", """", GOOGLETRANSLATE(H72, ""en"", ""hi""))"),"भारतीय बीटन कॉफी/ डालगोना कॉफी बनाना शुरू करने के लिए, एक मध्यम मिश्रण के कटोरे में इंस्टेंट कॉफी पाउडर, चीनी और गर्म पानी डालें। व्हिस्क अटैचमेंट के साथ हैंड मिक्सर का उपयोग करते हुए, कॉफी को 3 से 4 मिनट तक फेंटें जब तक कि आपको सख्त चोटी की स्थिरता वाली "&amp;"व्हीप्ड क्रीम न मिल जाए। जब ​​कॉफी सख्त क्रीम जैसी हो जाए, तो फेंटना बंद कर दें और एक तरफ रख दें। आप इसे गर्म या ठंडा बना सकते हैं, लेकिन गर्म दूध या ठंडे दूध का उपयोग कर सकते हैं। यदि आप इसे गर्म पीने की योजना बना रहे हैं, तो एक सॉस पैन में थोड़ा दूध गर्"&amp;"म करें और इसे उबाल लें। इस दूध को कॉफी कप में तब तक डालें जब तक यह 3/4 न भर जाए। दूध के ऊपर व्हीप्ड कॉफी क्रीम डालें और उस पर दालचीनी या कॉफी पाउडर छिड़कें और तुरंत परोसें। यदि आप इसे ठंडा पीने की योजना बना रहे हैं, तो कॉफी कप के नीचे कुछ बर्फ के टुकड़े ड"&amp;"ालें, ठंडे दूध को कॉफी कप में 3/4 भाग भरने तक डालें। दूध के ऊपर व्हीप्ड कॉफी क्रीम डालें और उस पर दालचीनी या कॉफी पाउडर छिड़कें और तुरंत परोसें। जब आप भारतीय बीटन कॉफी / डालगोना कॉफी पीते हैं, तो आप दूध में व्हीप्ड क्रीम को हल्का हिला सकते हैं और कॉफी के "&amp;"सूक्ष्म स्वाद के साथ मलाई का आनंद ले सकते हैं जो दूध में समा जाएगा। अपने कॉफी ब्रेक के दौरान आटा बिस्किट के साथ भारतीय बीटन कॉफी / डालगोना कॉफी परोसें।")</f>
        <v>भारतीय बीटन कॉफी/ डालगोना कॉफी बनाना शुरू करने के लिए, एक मध्यम मिश्रण के कटोरे में इंस्टेंट कॉफी पाउडर, चीनी और गर्म पानी डालें। व्हिस्क अटैचमेंट के साथ हैंड मिक्सर का उपयोग करते हुए, कॉफी को 3 से 4 मिनट तक फेंटें जब तक कि आपको सख्त चोटी की स्थिरता वाली व्हीप्ड क्रीम न मिल जाए। जब ​​कॉफी सख्त क्रीम जैसी हो जाए, तो फेंटना बंद कर दें और एक तरफ रख दें। आप इसे गर्म या ठंडा बना सकते हैं, लेकिन गर्म दूध या ठंडे दूध का उपयोग कर सकते हैं। यदि आप इसे गर्म पीने की योजना बना रहे हैं, तो एक सॉस पैन में थोड़ा दूध गर्म करें और इसे उबाल लें। इस दूध को कॉफी कप में तब तक डालें जब तक यह 3/4 न भर जाए। दूध के ऊपर व्हीप्ड कॉफी क्रीम डालें और उस पर दालचीनी या कॉफी पाउडर छिड़कें और तुरंत परोसें। यदि आप इसे ठंडा पीने की योजना बना रहे हैं, तो कॉफी कप के नीचे कुछ बर्फ के टुकड़े डालें, ठंडे दूध को कॉफी कप में 3/4 भाग भरने तक डालें। दूध के ऊपर व्हीप्ड कॉफी क्रीम डालें और उस पर दालचीनी या कॉफी पाउडर छिड़कें और तुरंत परोसें। जब आप भारतीय बीटन कॉफी / डालगोना कॉफी पीते हैं, तो आप दूध में व्हीप्ड क्रीम को हल्का हिला सकते हैं और कॉफी के सूक्ष्म स्वाद के साथ मलाई का आनंद ले सकते हैं जो दूध में समा जाएगा। अपने कॉफी ब्रेक के दौरान आटा बिस्किट के साथ भारतीय बीटन कॉफी / डालगोना कॉफी परोसें।</v>
      </c>
      <c r="J72" s="3" t="s">
        <v>31288</v>
      </c>
      <c r="L72" s="1" t="s">
        <v>31003</v>
      </c>
    </row>
    <row r="73" spans="1:12" ht="13.8">
      <c r="A73" s="1" t="s">
        <v>31289</v>
      </c>
      <c r="B73" s="1" t="str">
        <f ca="1">IFERROR(__xludf.dummyfunction("IF(A73="""", """", GOOGLETRANSLATE(A73, ""en"", ""hi""))"),"गिल्ट फ्री नारियल बर्फी रेसिपी")</f>
        <v>गिल्ट फ्री नारियल बर्फी रेसिपी</v>
      </c>
      <c r="C73" s="1" t="s">
        <v>8417</v>
      </c>
      <c r="D73" s="1" t="s">
        <v>14198</v>
      </c>
      <c r="E73" s="1">
        <v>40</v>
      </c>
      <c r="F73" s="1" t="s">
        <v>31290</v>
      </c>
      <c r="G73" s="1" t="str">
        <f ca="1">IFERROR(__xludf.dummyfunction("IF(F73="""", """", GOOGLETRANSLATE(F73, ""en"", ""hi""))"),"1/2 कप बादाम - पाउडर, 15 खजूर - बीज रहित, 3/4 कप नारियल - + गार्निश के लिए थोड़ा अतिरिक्त, 3 बड़े चम्मच दूध, 1 बड़ा चम्मच घी - / स्पष्ट मक्खन + प्लेट को चिकना करने के लिए थोड़ा अतिरिक्त, 1 चम्मच इलायची पाउडर (इलायची)")</f>
        <v>1/2 कप बादाम - पाउडर, 15 खजूर - बीज रहित, 3/4 कप नारियल - + गार्निश के लिए थोड़ा अतिरिक्त, 3 बड़े चम्मच दूध, 1 बड़ा चम्मच घी - / स्पष्ट मक्खन + प्लेट को चिकना करने के लिए थोड़ा अतिरिक्त, 1 चम्मच इलायची पाउडर (इलायची)</v>
      </c>
      <c r="H73" s="1" t="s">
        <v>31291</v>
      </c>
      <c r="I73" s="1" t="str">
        <f ca="1">IFERROR(__xludf.dummyfunction("IF(H73="""", """", GOOGLETRANSLATE(H73, ""en"", ""hi""))"),"गिल्ट फ्री नारियल बर्फी तैयार करने के लिए, सभी सामग्री के साथ तैयार हो जाएं और अपनी प्लेट या पैन को चिकना करें जहां आप बर्फी के आटे को आकार में काटने के लिए निकालेंगे। बादाम का पाउडर बनाएं। मैंने मिक्सर ग्राइंडर में घर पर पाउडर तैयार किया है, आप स्टोर से "&amp;"खरीदा हुआ भी इस्तेमाल कर सकते हैं। 3 बड़े चम्मच दूध का उपयोग करके, मिक्सर में इसे गीला पीसकर खजूर की एक मोटी प्यूरी बनाएं। मध्यम आँच पर रखे सॉस पैन में एक बड़ा चम्मच घी गर्म करें और जब घी पिघल जाए, तो खजूर की प्यूरी डालें। इसे लगभग 5 मिनट तक भूनें। बादाम "&amp;"पाउडर डालें और अच्छी तरह मिलाएँ। यह एक अच्छा और सूखा आटा बनना चाहिए। नारियल डालें और लगभग 2 मिनट तक अच्छी तरह मिलाएँ और आँच बंद कर दें। इलायची पाउडर डालें और मिलाएँ। आप चौकोर या हीरे के आकार के कट दे सकते हैं। उन्हें पूरी तरह से ठंडा होने दें और उसके बाद "&amp;"ही, अपराध मुक्त नारियल बर्फी के टुकड़ों को बाहर निकालें और अपने सप्ताह के दिन के भोजन को यादगार बनाने के लिए एक अच्छे भारतीय मेनू के साथ परोसें।")</f>
        <v>गिल्ट फ्री नारियल बर्फी तैयार करने के लिए, सभी सामग्री के साथ तैयार हो जाएं और अपनी प्लेट या पैन को चिकना करें जहां आप बर्फी के आटे को आकार में काटने के लिए निकालेंगे। बादाम का पाउडर बनाएं। मैंने मिक्सर ग्राइंडर में घर पर पाउडर तैयार किया है, आप स्टोर से खरीदा हुआ भी इस्तेमाल कर सकते हैं। 3 बड़े चम्मच दूध का उपयोग करके, मिक्सर में इसे गीला पीसकर खजूर की एक मोटी प्यूरी बनाएं। मध्यम आँच पर रखे सॉस पैन में एक बड़ा चम्मच घी गर्म करें और जब घी पिघल जाए, तो खजूर की प्यूरी डालें। इसे लगभग 5 मिनट तक भूनें। बादाम पाउडर डालें और अच्छी तरह मिलाएँ। यह एक अच्छा और सूखा आटा बनना चाहिए। नारियल डालें और लगभग 2 मिनट तक अच्छी तरह मिलाएँ और आँच बंद कर दें। इलायची पाउडर डालें और मिलाएँ। आप चौकोर या हीरे के आकार के कट दे सकते हैं। उन्हें पूरी तरह से ठंडा होने दें और उसके बाद ही, अपराध मुक्त नारियल बर्फी के टुकड़ों को बाहर निकालें और अपने सप्ताह के दिन के भोजन को यादगार बनाने के लिए एक अच्छे भारतीय मेनू के साथ परोसें।</v>
      </c>
      <c r="J73" s="3" t="s">
        <v>31292</v>
      </c>
      <c r="L73" s="1" t="s">
        <v>31003</v>
      </c>
    </row>
    <row r="74" spans="1:12" ht="13.8">
      <c r="A74" s="1" t="s">
        <v>31293</v>
      </c>
      <c r="B74" s="1" t="str">
        <f ca="1">IFERROR(__xludf.dummyfunction("IF(A74="""", """", GOOGLETRANSLATE(A74, ""en"", ""hi""))"),"लहसुनी टिक्की रेसिपी")</f>
        <v>लहसुनी टिक्की रेसिपी</v>
      </c>
      <c r="C74" s="1" t="s">
        <v>14572</v>
      </c>
      <c r="D74" s="1" t="s">
        <v>14198</v>
      </c>
      <c r="E74" s="1">
        <v>50</v>
      </c>
      <c r="F74" s="1" t="s">
        <v>31294</v>
      </c>
      <c r="G74" s="1" t="str">
        <f ca="1">IFERROR(__xludf.dummyfunction("IF(F74="""", """", GOOGLETRANSLATE(F74, ""en"", ""hi""))"),"7 आलू - उबले हुए, 1/2 कप पनीर - कद्दूकस किया हुआ, 10 काजू - बारीक कटे हुए, 1 प्याज - बारीक कटा हुआ, 10 लहसुन - बारीक कटा हुआ, 2 हरी मिर्च - बारीक कटी हुई, 1 बड़ा चम्मच धनिया - बारीक कटा हुआ, 1 बड़ा चम्मच मकई का आटा, 1/4 छोटा चम्मच लाल मिर्च पाउडर, सूरजमुख"&amp;"ी तेल - तलने के लिए, नमक - स्वादानुसार")</f>
        <v>7 आलू - उबले हुए, 1/2 कप पनीर - कद्दूकस किया हुआ, 10 काजू - बारीक कटे हुए, 1 प्याज - बारीक कटा हुआ, 10 लहसुन - बारीक कटा हुआ, 2 हरी मिर्च - बारीक कटी हुई, 1 बड़ा चम्मच धनिया - बारीक कटा हुआ, 1 बड़ा चम्मच मकई का आटा, 1/4 छोटा चम्मच लाल मिर्च पाउडर, सूरजमुखी तेल - तलने के लिए, नमक - स्वादानुसार</v>
      </c>
      <c r="H74" s="1" t="s">
        <v>31295</v>
      </c>
      <c r="I74" s="1" t="str">
        <f ca="1">IFERROR(__xludf.dummyfunction("IF(H74="""", """", GOOGLETRANSLATE(H74, ""en"", ""hi""))"),"लहसुनी आलू टिक्की रेसिपी बनाने के लिए सबसे पहले आलू को धोकर पर्याप्त पानी में उबाल लें। पक जाने के बाद छिलका उतार लें और एक तरफ रख दें। आप आलू को 2 सीटी आने तक प्रेशर कुक भी कर सकते हैं और प्रेशर को अपने आप निकलने दें। छिलका उतार लें और एक तरफ रख दें। लहस"&amp;"ुनी आलू टिक्की की बाहरी परत तैयार करने के लिए एक बड़े कटोरे में उबले आलू डालें और उन्हें अच्छी तरह से मैश करें। इसमें कॉर्नफ्लोर, नमक डालें और अच्छी तरह मिलाएँ। इन्हें 12 बराबर भागों में बाँट लें और एक तरफ रख दें। टिक्की के लिए अंदरूनी भरावन तैयार करने के"&amp;" लिए एक छोटा कटोरा लें, उसमें कद्दूकस किया हुआ पनीर, लहसुन, प्याज, हरी मिर्च, धनिया, लाल मिर्च पाउडर मिलाएं एक सख्त बॉल बनाएं, इसे अपनी हथेलियों के बीच टिक्की के आकार में दबाएं और एक तरफ रख दें। इसी तरह, बाकी आलू के मिश्रण में पनीर का मिश्रण भरें और टिक्क"&amp;"ी बनाकर प्लेट में रखें। टिक्कियों से भरी तैयार प्लेट को 10 मिनट के लिए फ्रिज में रख दें। एक कड़ाही गरम करें, उसमें एक बड़ा चम्मच तेल डालें, जब तेल पर्याप्त गर्म हो जाए, तो एक बार में 4 टिक्कियों को तब तक तलें जब तक कि यह नीचे से सुनहरी न हो जाए। धीरे-धीरे"&amp;" टिक्कियों को पलटें और दूसरी तरफ से भी तब तक पकाएं जब तक कि यह कुरकुरी और सुनहरी न हो जाए। अतिरिक्त तेल को निकालने के लिए इसे किचन टॉवल से ढकी प्लेट में निकाल लें। इसी तरह, बाकी लहसुनी आलू टिक्की तैयार करें। लहसुनी आलू टिक्की रेसिपी को तीखी हरी चटनी और एक"&amp;" कप गर्म अदरक की चाय के साथ चाय के समय नाश्ते के रूप में परोसें।")</f>
        <v>लहसुनी आलू टिक्की रेसिपी बनाने के लिए सबसे पहले आलू को धोकर पर्याप्त पानी में उबाल लें। पक जाने के बाद छिलका उतार लें और एक तरफ रख दें। आप आलू को 2 सीटी आने तक प्रेशर कुक भी कर सकते हैं और प्रेशर को अपने आप निकलने दें। छिलका उतार लें और एक तरफ रख दें। लहसुनी आलू टिक्की की बाहरी परत तैयार करने के लिए एक बड़े कटोरे में उबले आलू डालें और उन्हें अच्छी तरह से मैश करें। इसमें कॉर्नफ्लोर, नमक डालें और अच्छी तरह मिलाएँ। इन्हें 12 बराबर भागों में बाँट लें और एक तरफ रख दें। टिक्की के लिए अंदरूनी भरावन तैयार करने के लिए एक छोटा कटोरा लें, उसमें कद्दूकस किया हुआ पनीर, लहसुन, प्याज, हरी मिर्च, धनिया, लाल मिर्च पाउडर मिलाएं एक सख्त बॉल बनाएं, इसे अपनी हथेलियों के बीच टिक्की के आकार में दबाएं और एक तरफ रख दें। इसी तरह, बाकी आलू के मिश्रण में पनीर का मिश्रण भरें और टिक्की बनाकर प्लेट में रखें। टिक्कियों से भरी तैयार प्लेट को 10 मिनट के लिए फ्रिज में रख दें। एक कड़ाही गरम करें, उसमें एक बड़ा चम्मच तेल डालें, जब तेल पर्याप्त गर्म हो जाए, तो एक बार में 4 टिक्कियों को तब तक तलें जब तक कि यह नीचे से सुनहरी न हो जाए। धीरे-धीरे टिक्कियों को पलटें और दूसरी तरफ से भी तब तक पकाएं जब तक कि यह कुरकुरी और सुनहरी न हो जाए। अतिरिक्त तेल को निकालने के लिए इसे किचन टॉवल से ढकी प्लेट में निकाल लें। इसी तरह, बाकी लहसुनी आलू टिक्की तैयार करें। लहसुनी आलू टिक्की रेसिपी को तीखी हरी चटनी और एक कप गर्म अदरक की चाय के साथ चाय के समय नाश्ते के रूप में परोसें।</v>
      </c>
      <c r="J74" s="3" t="s">
        <v>31296</v>
      </c>
      <c r="L74" s="1" t="s">
        <v>31003</v>
      </c>
    </row>
    <row r="75" spans="1:12" ht="409.6">
      <c r="A75" s="1" t="s">
        <v>31297</v>
      </c>
      <c r="B75" s="1" t="str">
        <f ca="1">IFERROR(__xludf.dummyfunction("IF(A75="""", """", GOOGLETRANSLATE(A75, ""en"", ""hi""))"),"ठंडाई श्रीखंड टार्ट रेसिपी")</f>
        <v>ठंडाई श्रीखंड टार्ट रेसिपी</v>
      </c>
      <c r="C75" s="1" t="s">
        <v>8417</v>
      </c>
      <c r="D75" s="1" t="s">
        <v>14198</v>
      </c>
      <c r="E75" s="1">
        <v>100</v>
      </c>
      <c r="F75" s="1" t="s">
        <v>31298</v>
      </c>
      <c r="G75" s="1" t="str">
        <f ca="1">IFERROR(__xludf.dummyfunction("IF(F75="""", """", GOOGLETRANSLATE(F75, ""en"", ""hi""))"),"1-1/2 कप मैदा, 1 चुटकी नमक, 1/4 इलायची पाउडर, 1/4 छोटा चम्मच दालचीनी पाउडर, 1 छोटा चम्मच काली मिर्च पाउडर, 1 चुटकी जायफल पाउडर, 5 बड़े चम्मच मक्खन (बिना नमक का) - ठंडा, 1/4 कप ताजा नारियल - कद्दूकस किया हुआ, 2 बड़े चम्मच बादाम - उबालकर छीला हुआ, 2 बड़े चम"&amp;"्मच काजू, 2 बड़े चम्मच पिस्ता, 1 छोटा चम्मच खसखस, 1/4 कप चीनी - पीसी हुई, ठंडा पानी, 2 कप श्रीखंड, पिस्ता - सजाने के लिए थोड़े से, मिले-जुले फल - फलों का मिश्रण जैसे")</f>
        <v>1-1/2 कप मैदा, 1 चुटकी नमक, 1/4 इलायची पाउडर, 1/4 छोटा चम्मच दालचीनी पाउडर, 1 छोटा चम्मच काली मिर्च पाउडर, 1 चुटकी जायफल पाउडर, 5 बड़े चम्मच मक्खन (बिना नमक का) - ठंडा, 1/4 कप ताजा नारियल - कद्दूकस किया हुआ, 2 बड़े चम्मच बादाम - उबालकर छीला हुआ, 2 बड़े चम्मच काजू, 2 बड़े चम्मच पिस्ता, 1 छोटा चम्मच खसखस, 1/4 कप चीनी - पीसी हुई, ठंडा पानी, 2 कप श्रीखंड, पिस्ता - सजाने के लिए थोड़े से, मिले-जुले फल - फलों का मिश्रण जैसे</v>
      </c>
      <c r="H75" s="4" t="s">
        <v>31299</v>
      </c>
      <c r="I75" s="1" t="str">
        <f ca="1">IFERROR(__xludf.dummyfunction("IF(H75="""", """", GOOGLETRANSLATE(H75, ""en"", ""hi""))"),"ठंडाई श्रीखंड टार्ट रेसिपी बनाने के लिए सबसे पहले श्रीखंड रेसिपी के अनुसार श्रीखंड तैयार करें और इसे कम से कम 4 घंटे के लिए फ्रिज में रख दें। अगला कदम ठंडाई फ्लेवर्ड टार्ट रेसिपी बनाना है। जब तक आपको मोटा मिश्रण न मिल जाए तब तक नट्स को एक साथ पीसें। एक बड"&amp;"़े मिक्सिंग बाउल में, पाउडर किए हुए नट्स, ठंडे बटर सहित सभी सामग्री डालें और अच्छी तरह से गूंधें जब तक आपको मिश्रण जैसा मोटा टुकड़ा न मिल जाए। एक बार में थोड़ा ठंडा पानी डालें और सख्त आटा गूंधें। ध्यान रखें कि एक बार में एक बड़ा चम्मच ठंडा पानी डालें। ठंड"&amp;"ाई टार्ट का आटा तैयार हो जाने पर इसे क्लिंग फिल्म से ढक दें और 30 मिनट के लिए फ्रिज में रख दें। ओवन को 180 डिग्री पर पहले से गरम कर लें और एक 7"" टार्ट पैन में पार्चमेंट पेपर बिछा दें। आटे को फ्रिज से बाहर निकाल लें। सतह पर मैदा छिड़कें और टार्ट के आटे को"&amp;" इस तरह बेलें कि वह 7 इंच के टार्ट पैन में फिट होने लायक बड़ा गोला बन जाए। अब बेले हुए आटे को सावधानी से टार्ट मोल्ड पर उलट दें। आटे को टार्ट पैन के किनारे और नीचे दबा दें। टार्ट के आटे में चारों तरफ कांटा चुभोएं और इसे पहले से गरम ओवन में 30 से 40 मिनट त"&amp;"क बेक करने के लिए रख दें जब तक कि आप देखें कि टार्ट भूरा और सुनहरे रंग का हो गया है। टार्ट के बेक हो जाने पर इसे ओवन से निकाल लें ठंडाई टार्ट को परोसने से पहले अपनी पसंद के ताजे फल या जामुन के साथ परोसें। इस पर जायफल पाउडर और पिस्ता छिड़कें और होली के त्य"&amp;"ौहार या किसी अन्य विशेष अवसर पर इस फलयुक्त ठंडाई श्रीखंड टार्ट रेसिपी का आनंद लें।")</f>
        <v>ठंडाई श्रीखंड टार्ट रेसिपी बनाने के लिए सबसे पहले श्रीखंड रेसिपी के अनुसार श्रीखंड तैयार करें और इसे कम से कम 4 घंटे के लिए फ्रिज में रख दें। अगला कदम ठंडाई फ्लेवर्ड टार्ट रेसिपी बनाना है। जब तक आपको मोटा मिश्रण न मिल जाए तब तक नट्स को एक साथ पीसें। एक बड़े मिक्सिंग बाउल में, पाउडर किए हुए नट्स, ठंडे बटर सहित सभी सामग्री डालें और अच्छी तरह से गूंधें जब तक आपको मिश्रण जैसा मोटा टुकड़ा न मिल जाए। एक बार में थोड़ा ठंडा पानी डालें और सख्त आटा गूंधें। ध्यान रखें कि एक बार में एक बड़ा चम्मच ठंडा पानी डालें। ठंडाई टार्ट का आटा तैयार हो जाने पर इसे क्लिंग फिल्म से ढक दें और 30 मिनट के लिए फ्रिज में रख दें। ओवन को 180 डिग्री पर पहले से गरम कर लें और एक 7" टार्ट पैन में पार्चमेंट पेपर बिछा दें। आटे को फ्रिज से बाहर निकाल लें। सतह पर मैदा छिड़कें और टार्ट के आटे को इस तरह बेलें कि वह 7 इंच के टार्ट पैन में फिट होने लायक बड़ा गोला बन जाए। अब बेले हुए आटे को सावधानी से टार्ट मोल्ड पर उलट दें। आटे को टार्ट पैन के किनारे और नीचे दबा दें। टार्ट के आटे में चारों तरफ कांटा चुभोएं और इसे पहले से गरम ओवन में 30 से 40 मिनट तक बेक करने के लिए रख दें जब तक कि आप देखें कि टार्ट भूरा और सुनहरे रंग का हो गया है। टार्ट के बेक हो जाने पर इसे ओवन से निकाल लें ठंडाई टार्ट को परोसने से पहले अपनी पसंद के ताजे फल या जामुन के साथ परोसें। इस पर जायफल पाउडर और पिस्ता छिड़कें और होली के त्यौहार या किसी अन्य विशेष अवसर पर इस फलयुक्त ठंडाई श्रीखंड टार्ट रेसिपी का आनंद लें।</v>
      </c>
      <c r="J75" s="3" t="s">
        <v>31300</v>
      </c>
      <c r="L75" s="1" t="s">
        <v>31003</v>
      </c>
    </row>
    <row r="76" spans="1:12" ht="13.8">
      <c r="A76" s="1" t="s">
        <v>31301</v>
      </c>
      <c r="B76" s="1" t="str">
        <f ca="1">IFERROR(__xludf.dummyfunction("IF(A76="""", """", GOOGLETRANSLATE(A76, ""en"", ""hi""))"),"पनीर सती रेसिपी")</f>
        <v>पनीर सती रेसिपी</v>
      </c>
      <c r="C76" s="1" t="s">
        <v>14572</v>
      </c>
      <c r="D76" s="1" t="s">
        <v>14237</v>
      </c>
      <c r="E76" s="1">
        <v>45</v>
      </c>
      <c r="F76" s="1" t="s">
        <v>31302</v>
      </c>
      <c r="G76" s="1" t="str">
        <f ca="1">IFERROR(__xludf.dummyfunction("IF(F76="""", """", GOOGLETRANSLATE(F76, ""en"", ""hi""))"),"500 ग्राम पनीर - 1 इंच मोटाई में लम्बाई में कटा हुआ, 1 इंच अदरक - कद्दूकस किया हुआ, 3 लहसुन की कलियाँ - कद्दूकस किया हुआ, 1/2 छोटा चम्मच हल्दी पाउडर, 2 बड़े चम्मच डार्क सोया सॉस, 1 बड़ा चम्मच तिल का तेल, नमक - स्वादानुसार")</f>
        <v>500 ग्राम पनीर - 1 इंच मोटाई में लम्बाई में कटा हुआ, 1 इंच अदरक - कद्दूकस किया हुआ, 3 लहसुन की कलियाँ - कद्दूकस किया हुआ, 1/2 छोटा चम्मच हल्दी पाउडर, 2 बड़े चम्मच डार्क सोया सॉस, 1 बड़ा चम्मच तिल का तेल, नमक - स्वादानुसार</v>
      </c>
      <c r="H76" s="1" t="s">
        <v>31303</v>
      </c>
      <c r="I76" s="1" t="str">
        <f ca="1">IFERROR(__xludf.dummyfunction("IF(H76="""", """", GOOGLETRANSLATE(H76, ""en"", ""hi""))"),"पनीर सती रेसिपी बनाने के लिए, एक बड़े कटोरे में अदरक, लहसुन, हल्दी पाउडर, डार्क सोया सॉस, तिल का तेल और नमक सहित मैरिनेड सामग्री को मिलाएं। पनीर डालें और पनीर को मैरिनेड के साथ अच्छी तरह से कोट करने के लिए धीरे से टॉस करें। पनीर को लगभग 30 मिनट तक मैरिनेट"&amp;" होने दें या यदि आप इसे अगले दिन बनाने की योजना बनाते हैं, तो आप रात भर फ्रिज में रख सकते हैं। मुझे पनीर को स्टोव टॉप ग्रिल पर भूनना पसंद है, आप इसे 200 डिग्री सेल्सियस पर पहले से गरम ओवन में भी कर सकते हैं। पनीर को पहले से गरम किए हुए कड़ाही में रखें और "&amp;"इसे तब तक भूनें जब तक कि यह सभी तरफ से समान रूप से भूरा न हो जाए। भूनते समय थोड़ा सा मैरिनेड छिड़कते रहें, ताकि यह अतिरिक्त स्वादों को सोख ले। पनीर सती तब तैयार है जब इसका रंग सुनहरा भूरा हो जाए। पनीर सती को एक सर्विंग प्लेट में निकालें और गर्मागर्म परोसे"&amp;"ं। इस स्वादिष्ट पनीर सती रेसिपी को मूंगफली की चटनी के साथ पार्टी ऐपेटाइज़र के रूप में परोसें।")</f>
        <v>पनीर सती रेसिपी बनाने के लिए, एक बड़े कटोरे में अदरक, लहसुन, हल्दी पाउडर, डार्क सोया सॉस, तिल का तेल और नमक सहित मैरिनेड सामग्री को मिलाएं। पनीर डालें और पनीर को मैरिनेड के साथ अच्छी तरह से कोट करने के लिए धीरे से टॉस करें। पनीर को लगभग 30 मिनट तक मैरिनेट होने दें या यदि आप इसे अगले दिन बनाने की योजना बनाते हैं, तो आप रात भर फ्रिज में रख सकते हैं। मुझे पनीर को स्टोव टॉप ग्रिल पर भूनना पसंद है, आप इसे 200 डिग्री सेल्सियस पर पहले से गरम ओवन में भी कर सकते हैं। पनीर को पहले से गरम किए हुए कड़ाही में रखें और इसे तब तक भूनें जब तक कि यह सभी तरफ से समान रूप से भूरा न हो जाए। भूनते समय थोड़ा सा मैरिनेड छिड़कते रहें, ताकि यह अतिरिक्त स्वादों को सोख ले। पनीर सती तब तैयार है जब इसका रंग सुनहरा भूरा हो जाए। पनीर सती को एक सर्विंग प्लेट में निकालें और गर्मागर्म परोसें। इस स्वादिष्ट पनीर सती रेसिपी को मूंगफली की चटनी के साथ पार्टी ऐपेटाइज़र के रूप में परोसें।</v>
      </c>
      <c r="J76" s="3" t="s">
        <v>31304</v>
      </c>
      <c r="L76" s="1" t="s">
        <v>31003</v>
      </c>
    </row>
    <row r="77" spans="1:12" ht="13.8">
      <c r="A77" s="1" t="s">
        <v>31305</v>
      </c>
      <c r="B77" s="1" t="str">
        <f ca="1">IFERROR(__xludf.dummyfunction("IF(A77="""", """", GOOGLETRANSLATE(A77, ""en"", ""hi""))"),"चवली की फली और आलू की सब्जी रेसिपी")</f>
        <v>चवली की फली और आलू की सब्जी रेसिपी</v>
      </c>
      <c r="C77" s="1" t="s">
        <v>14207</v>
      </c>
      <c r="D77" s="1" t="s">
        <v>14198</v>
      </c>
      <c r="E77" s="1">
        <v>30</v>
      </c>
      <c r="F77" s="1" t="s">
        <v>31306</v>
      </c>
      <c r="G77" s="1" t="str">
        <f ca="1">IFERROR(__xludf.dummyfunction("IF(F77="""", """", GOOGLETRANSLATE(F77, ""en"", ""hi""))"),"300 ग्राम हरी चवली बीन्स (यार्ड लॉन्ग बीन्स / करमनी / बरबटी) - 2 इंच लंबे टुकड़ों में कटी हुई, 2 आलू - छीले हुए 2 इंच लंबे टुकड़ों में कटे हुए, 1 चम्मच सौंफ, 21/2 चम्मच धनिया पाउडर, 2 चम्मच लाल मिर्च पाउडर, 1 चम्मच हल्दी, 1 चम्मच आमचूर, 3 चम्मच बेसन, सूरज"&amp;"मुखी तेल, नमक - स्वादानुसार")</f>
        <v>300 ग्राम हरी चवली बीन्स (यार्ड लॉन्ग बीन्स / करमनी / बरबटी) - 2 इंच लंबे टुकड़ों में कटी हुई, 2 आलू - छीले हुए 2 इंच लंबे टुकड़ों में कटे हुए, 1 चम्मच सौंफ, 21/2 चम्मच धनिया पाउडर, 2 चम्मच लाल मिर्च पाउडर, 1 चम्मच हल्दी, 1 चम्मच आमचूर, 3 चम्मच बेसन, सूरजमुखी तेल, नमक - स्वादानुसार</v>
      </c>
      <c r="H77" s="1" t="s">
        <v>31307</v>
      </c>
      <c r="I77" s="1" t="str">
        <f ca="1">IFERROR(__xludf.dummyfunction("IF(H77="""", """", GOOGLETRANSLATE(H77, ""en"", ""hi""))"),"चवली की फली और आलू की सब्जी बनाने के लिए, यार्ड बीन्स को थोड़े से पानी और नमक के साथ लगभग 1 सीटी तक पकाएं और इसे एक तरफ रख दें। प्रेशर को स्वाभाविक रूप से निकलने दें और पानी को छान लें। एक कड़ाही में तेल गर्म करें, उसमें सौंफ के बीज डालें और इसे चटकने दें"&amp;"। आलू डालें और उन्हें कुरकुरा होने तक पकाएं। आप इसे ढक्कन से ढक सकते हैं और लगभग 5 मिनट तक पका सकते हैं। पके हुए यार्ड बीन्स के साथ सभी मसाले पाउडर डालें और इसे तब तक मिलाएँ जब तक कि मसाला कच्चा महक न छोड़ दे। बेसन और नमक डालें और चवली की फली और आलू की सब"&amp;"्जी को अच्छी तरह मिलाएँ, और 5 मिनट तक भूनें और आँच बंद कर दें। चवली की फली और आलू की सब्जी रेसिपी को फुल्का या तवा पराठा, कढ़ी के साथ परोसें।")</f>
        <v>चवली की फली और आलू की सब्जी बनाने के लिए, यार्ड बीन्स को थोड़े से पानी और नमक के साथ लगभग 1 सीटी तक पकाएं और इसे एक तरफ रख दें। प्रेशर को स्वाभाविक रूप से निकलने दें और पानी को छान लें। एक कड़ाही में तेल गर्म करें, उसमें सौंफ के बीज डालें और इसे चटकने दें। आलू डालें और उन्हें कुरकुरा होने तक पकाएं। आप इसे ढक्कन से ढक सकते हैं और लगभग 5 मिनट तक पका सकते हैं। पके हुए यार्ड बीन्स के साथ सभी मसाले पाउडर डालें और इसे तब तक मिलाएँ जब तक कि मसाला कच्चा महक न छोड़ दे। बेसन और नमक डालें और चवली की फली और आलू की सब्जी को अच्छी तरह मिलाएँ, और 5 मिनट तक भूनें और आँच बंद कर दें। चवली की फली और आलू की सब्जी रेसिपी को फुल्का या तवा पराठा, कढ़ी के साथ परोसें।</v>
      </c>
      <c r="J77" s="3" t="s">
        <v>31308</v>
      </c>
      <c r="L77" s="1" t="s">
        <v>31003</v>
      </c>
    </row>
    <row r="78" spans="1:12" ht="13.8">
      <c r="A78" s="1" t="s">
        <v>31309</v>
      </c>
      <c r="B78" s="1" t="str">
        <f ca="1">IFERROR(__xludf.dummyfunction("IF(A78="""", """", GOOGLETRANSLATE(A78, ""en"", ""hi""))"),"नवरतन कोरमा रेसिपी")</f>
        <v>नवरतन कोरमा रेसिपी</v>
      </c>
      <c r="C78" s="1" t="s">
        <v>145</v>
      </c>
      <c r="D78" s="1" t="s">
        <v>14198</v>
      </c>
      <c r="E78" s="1">
        <v>65</v>
      </c>
      <c r="F78" s="1" t="s">
        <v>31310</v>
      </c>
      <c r="G78" s="1" t="str">
        <f ca="1">IFERROR(__xludf.dummyfunction("IF(F78="""", """", GOOGLETRANSLATE(F78, ""en"", ""hi""))"),"5 काजू, 5 बादाम, 1 बड़ा चम्मच खरबूजे के बीज, 1 प्याज - बारीक कटा हुआ, 1 टमाटर - कटा हुआ, 1-1/2 कप मिश्रित सब्जियां - (आलू, 1/2 बड़ा चम्मच अदरक लहसुन पेस्ट, 3/4 कप नारियल का दूध, 1/2 छोटा चम्मच हल्दी पाउडर, 1/2 छोटा चम्मच लाल मिर्च पाउडर, 1 छोटा चम्मच धनिय"&amp;"ा पाउडर, 1 छोटा चम्मच गरम मसाला पाउडर, नमक - स्वादानुसार, 2 बड़े चम्मच घी - या तेल, 2-3 बड़े चम्मच अनारदाना पाउडर (अनार बीज पाउडर) - बीज, 1 बड़ा चम्मच काजू, 1 बड़ा चम्मच किशमिश, 1 बड़ा चम्मच घी")</f>
        <v>5 काजू, 5 बादाम, 1 बड़ा चम्मच खरबूजे के बीज, 1 प्याज - बारीक कटा हुआ, 1 टमाटर - कटा हुआ, 1-1/2 कप मिश्रित सब्जियां - (आलू, 1/2 बड़ा चम्मच अदरक लहसुन पेस्ट, 3/4 कप नारियल का दूध, 1/2 छोटा चम्मच हल्दी पाउडर, 1/2 छोटा चम्मच लाल मिर्च पाउडर, 1 छोटा चम्मच धनिया पाउडर, 1 छोटा चम्मच गरम मसाला पाउडर, नमक - स्वादानुसार, 2 बड़े चम्मच घी - या तेल, 2-3 बड़े चम्मच अनारदाना पाउडर (अनार बीज पाउडर) - बीज, 1 बड़ा चम्मच काजू, 1 बड़ा चम्मच किशमिश, 1 बड़ा चम्मच घी</v>
      </c>
      <c r="H78" s="1" t="s">
        <v>31311</v>
      </c>
      <c r="I78" s="1" t="str">
        <f ca="1">IFERROR(__xludf.dummyfunction("IF(H78="""", """", GOOGLETRANSLATE(H78, ""en"", ""hi""))"),"नवरतन कोरमा बनाने के लिए सबसे पहले काजू, बादाम और खरबूजे के बीजों को 30 मिनट के लिए पानी में भिगोकर पेस्ट तैयार कर लें। पानी को पूरी तरह से निथार लें। बादाम का छिलका उतार लें और सबको मिक्सर में थोड़ा पानी डालकर चिकना पेस्ट बना लें। इसे एक तरफ रख दें। एक प"&amp;"ैन या कढ़ाई में 2 बड़े चम्मच घी या तेल गर्म करें। कटे हुए प्याज डालें और थोड़ी देर तक भूनें। इसके बाद अदरक-लहसुन का पेस्ट डालें और अच्छी तरह मिलाएँ। टमाटर डालें और मिलाएँ। हल्दी पाउडर, मिर्च पाउडर और धनिया पाउडर डालें और अच्छी तरह मिलाएँ। पीसा हुआ पेस्ट औ"&amp;"र 1/4 कप पानी डालें। इसे 2 मिनट तक खुला रहने दें और मिली-जुली सब्जियाँ और 1 कप पानी डालें। इसे ढककर धीमी-मध्यम आँच पर 10-15 मिनट तक पकाएँ अनार के दानों से गार्निश करें और आपकी डिश परोसने के लिए तैयार है। स्वादिष्ट लंच या डिनर के लिए नवरतन कोरमा को साबुत ग"&amp;"ेहूं के लच्छा पराठों और मशरूम पुलाव के साथ परोसें।")</f>
        <v>नवरतन कोरमा बनाने के लिए सबसे पहले काजू, बादाम और खरबूजे के बीजों को 30 मिनट के लिए पानी में भिगोकर पेस्ट तैयार कर लें। पानी को पूरी तरह से निथार लें। बादाम का छिलका उतार लें और सबको मिक्सर में थोड़ा पानी डालकर चिकना पेस्ट बना लें। इसे एक तरफ रख दें। एक पैन या कढ़ाई में 2 बड़े चम्मच घी या तेल गर्म करें। कटे हुए प्याज डालें और थोड़ी देर तक भूनें। इसके बाद अदरक-लहसुन का पेस्ट डालें और अच्छी तरह मिलाएँ। टमाटर डालें और मिलाएँ। हल्दी पाउडर, मिर्च पाउडर और धनिया पाउडर डालें और अच्छी तरह मिलाएँ। पीसा हुआ पेस्ट और 1/4 कप पानी डालें। इसे 2 मिनट तक खुला रहने दें और मिली-जुली सब्जियाँ और 1 कप पानी डालें। इसे ढककर धीमी-मध्यम आँच पर 10-15 मिनट तक पकाएँ अनार के दानों से गार्निश करें और आपकी डिश परोसने के लिए तैयार है। स्वादिष्ट लंच या डिनर के लिए नवरतन कोरमा को साबुत गेहूं के लच्छा पराठों और मशरूम पुलाव के साथ परोसें।</v>
      </c>
      <c r="J78" s="3" t="s">
        <v>31312</v>
      </c>
      <c r="L78" s="1" t="s">
        <v>31003</v>
      </c>
    </row>
    <row r="79" spans="1:12" ht="13.8">
      <c r="A79" s="1" t="s">
        <v>31313</v>
      </c>
      <c r="B79" s="1" t="str">
        <f ca="1">IFERROR(__xludf.dummyfunction("IF(A79="""", """", GOOGLETRANSLATE(A79, ""en"", ""hi""))"),"काली मिर्च सिंघारे की सब्जी रेसिपी")</f>
        <v>काली मिर्च सिंघारे की सब्जी रेसिपी</v>
      </c>
      <c r="C79" s="1" t="s">
        <v>14207</v>
      </c>
      <c r="D79" s="1" t="s">
        <v>14208</v>
      </c>
      <c r="E79" s="1">
        <v>40</v>
      </c>
      <c r="F79" s="1" t="s">
        <v>31314</v>
      </c>
      <c r="G79" s="1" t="str">
        <f ca="1">IFERROR(__xludf.dummyfunction("IF(F79="""", """", GOOGLETRANSLATE(F79, ""en"", ""hi""))"),"300 ग्राम सिंघाड़े, 1 चम्मच सरसों के बीज, 1 टहनी करी पत्ता, 1 चम्मच काली मिर्च पाउडर, 1/2 चम्मच हल्दी पाउडर (हल्दी), 1 चुटकी हींग, नमक - स्वादानुसार, सूरजमुखी तेल")</f>
        <v>300 ग्राम सिंघाड़े, 1 चम्मच सरसों के बीज, 1 टहनी करी पत्ता, 1 चम्मच काली मिर्च पाउडर, 1/2 चम्मच हल्दी पाउडर (हल्दी), 1 चुटकी हींग, नमक - स्वादानुसार, सूरजमुखी तेल</v>
      </c>
      <c r="H79" s="1" t="s">
        <v>31315</v>
      </c>
      <c r="I79" s="1" t="str">
        <f ca="1">IFERROR(__xludf.dummyfunction("IF(H79="""", """", GOOGLETRANSLATE(H79, ""en"", ""hi""))"),"काली मिर्च सिंघाड़े की सब्जी बनाने के लिए सबसे पहले सिंघाड़े को उनकी बाहरी परत के साथ प्रेशर कुकर में पकाएं। लगभग 1 कप पानी डालें और कम से कम 4 सीटी आने तक पकाएं। एक बार हो जाने पर, छिलका उतारें और उन्हें छोटे टुकड़ों में काट लें। एक कढ़ाई में तेल गरम करे"&amp;"ं, उसमें सरसों के दाने डालें और उसे चटकने दें। करी पत्ता, हींग डालें और करी पत्ते को कुछ सेकंड के लिए चटकने दें। पके हुए सिंघाड़े डालें और काली मिर्च पाउडर, हल्दी पाउडर, नमक छिड़कें और कम से कम 5 मिनट तक भूनें और फिर बंद कर दें। उपवास के बाद काली मिर्च सि"&amp;"ंघाड़े की सब्जी को अनानास रसम, उबले हुए चावल के साथ परोसें।")</f>
        <v>काली मिर्च सिंघाड़े की सब्जी बनाने के लिए सबसे पहले सिंघाड़े को उनकी बाहरी परत के साथ प्रेशर कुकर में पकाएं। लगभग 1 कप पानी डालें और कम से कम 4 सीटी आने तक पकाएं। एक बार हो जाने पर, छिलका उतारें और उन्हें छोटे टुकड़ों में काट लें। एक कढ़ाई में तेल गरम करें, उसमें सरसों के दाने डालें और उसे चटकने दें। करी पत्ता, हींग डालें और करी पत्ते को कुछ सेकंड के लिए चटकने दें। पके हुए सिंघाड़े डालें और काली मिर्च पाउडर, हल्दी पाउडर, नमक छिड़कें और कम से कम 5 मिनट तक भूनें और फिर बंद कर दें। उपवास के बाद काली मिर्च सिंघाड़े की सब्जी को अनानास रसम, उबले हुए चावल के साथ परोसें।</v>
      </c>
      <c r="J79" s="3" t="s">
        <v>31316</v>
      </c>
      <c r="L79" s="1" t="s">
        <v>31003</v>
      </c>
    </row>
    <row r="80" spans="1:12" ht="13.8">
      <c r="A80" s="1" t="s">
        <v>31317</v>
      </c>
      <c r="B80" s="1" t="str">
        <f ca="1">IFERROR(__xludf.dummyfunction("IF(A80="""", """", GOOGLETRANSLATE(A80, ""en"", ""hi""))"),"मखाना की सब्जी रेसिपी")</f>
        <v>मखाना की सब्जी रेसिपी</v>
      </c>
      <c r="C80" s="1" t="s">
        <v>145</v>
      </c>
      <c r="D80" s="1" t="s">
        <v>14198</v>
      </c>
      <c r="E80" s="1">
        <v>40</v>
      </c>
      <c r="F80" s="1" t="s">
        <v>31318</v>
      </c>
      <c r="G80" s="1" t="str">
        <f ca="1">IFERROR(__xludf.dummyfunction("IF(F80="""", """", GOOGLETRANSLATE(F80, ""en"", ""hi""))"),"2 कप फूल मखाना, 1/4 कप हरी मटर, 1 छोटा चम्मच अदरक - कसा हुआ, 2 + 1 प्याज - कटा हुआ, 6 काजू, 1 बड़ा चम्मच खसखस, 1 बड़ा चम्मच कद्दू के बीज, 1 तेज पत्ता, 1 इलायची, 1 इंच दालचीनी, 2 लौंग, 1 हरी मिर्च, 1 छोटा चम्मच लाल मिर्च के टुकड़े, 2 बड़े चम्मच ताजा क्रीम,"&amp;" 1 बड़ा चम्मच घी, सूरजमुखी तेल - पकाने के लिए")</f>
        <v>2 कप फूल मखाना, 1/4 कप हरी मटर, 1 छोटा चम्मच अदरक - कसा हुआ, 2 + 1 प्याज - कटा हुआ, 6 काजू, 1 बड़ा चम्मच खसखस, 1 बड़ा चम्मच कद्दू के बीज, 1 तेज पत्ता, 1 इलायची, 1 इंच दालचीनी, 2 लौंग, 1 हरी मिर्च, 1 छोटा चम्मच लाल मिर्च के टुकड़े, 2 बड़े चम्मच ताजा क्रीम, 1 बड़ा चम्मच घी, सूरजमुखी तेल - पकाने के लिए</v>
      </c>
      <c r="H80" s="1" t="s">
        <v>31319</v>
      </c>
      <c r="I80" s="1" t="str">
        <f ca="1">IFERROR(__xludf.dummyfunction("IF(H80="""", """", GOOGLETRANSLATE(H80, ""en"", ""hi""))"),"मखाने की सब्जी बनाने के लिए सभी सामग्री तैयार रखें। 2 प्याज, काजू, मगज और खसखस ​​को पर्याप्त पानी के साथ प्रेशर कुक करें। मिक्सर ग्राइंडर में इसे चिकना पेस्ट बना लें और अलग रख दें। एक पैन में घी गर्म करें और उसमें मखाना डालें। मध्यम आंच पर मखाने को तब तक "&amp;"भूनें जब तक वे पूरी तरह से कुरकुरे न हो जाएं। जब आप उन्हें खाएं तो वे बीच तक कुरकुरे होने चाहिए और चबाने वाले नहीं होने चाहिए। अलग रख दें। एक पैन में तेल गर्म करें। उसमें तेज पत्ता, दालचीनी, लौंग, इलायची डालें और अच्छी खुशबू आने तक भूनें। हरी मिर्च और 1 क"&amp;"टा हुआ प्याज डालें और प्याज के हल्का सुनहरा होने तक भूनें। ताजा हरी मटर डालें और एक मिनट के लिए भूनें। पीसा हुआ पेस्ट, लाल मिर्च के गुच्छे डालें और एक मिनट के लिए भूनें। आंच बंद कर दें। मखाने की सब्जी को रोटी, गेहूं के नान, बटर नान या फुल्के के साथ गरमागर"&amp;"म परोसें और भरपूर लंच या डिनर बनाएं।")</f>
        <v>मखाने की सब्जी बनाने के लिए सभी सामग्री तैयार रखें। 2 प्याज, काजू, मगज और खसखस ​​को पर्याप्त पानी के साथ प्रेशर कुक करें। मिक्सर ग्राइंडर में इसे चिकना पेस्ट बना लें और अलग रख दें। एक पैन में घी गर्म करें और उसमें मखाना डालें। मध्यम आंच पर मखाने को तब तक भूनें जब तक वे पूरी तरह से कुरकुरे न हो जाएं। जब आप उन्हें खाएं तो वे बीच तक कुरकुरे होने चाहिए और चबाने वाले नहीं होने चाहिए। अलग रख दें। एक पैन में तेल गर्म करें। उसमें तेज पत्ता, दालचीनी, लौंग, इलायची डालें और अच्छी खुशबू आने तक भूनें। हरी मिर्च और 1 कटा हुआ प्याज डालें और प्याज के हल्का सुनहरा होने तक भूनें। ताजा हरी मटर डालें और एक मिनट के लिए भूनें। पीसा हुआ पेस्ट, लाल मिर्च के गुच्छे डालें और एक मिनट के लिए भूनें। आंच बंद कर दें। मखाने की सब्जी को रोटी, गेहूं के नान, बटर नान या फुल्के के साथ गरमागरम परोसें और भरपूर लंच या डिनर बनाएं।</v>
      </c>
      <c r="J80" s="3" t="s">
        <v>31320</v>
      </c>
      <c r="L80" s="1" t="s">
        <v>31003</v>
      </c>
    </row>
    <row r="81" spans="1:12" ht="13.8">
      <c r="A81" s="1" t="s">
        <v>31321</v>
      </c>
      <c r="B81" s="1" t="str">
        <f ca="1">IFERROR(__xludf.dummyfunction("IF(A81="""", """", GOOGLETRANSLATE(A81, ""en"", ""hi""))"),"अचारी गोभी शिमला मिर्च की सब्जी रेसिपी - शिमला मिर्च और फूलगोभी की सब्जी")</f>
        <v>अचारी गोभी शिमला मिर्च की सब्जी रेसिपी - शिमला मिर्च और फूलगोभी की सब्जी</v>
      </c>
      <c r="C81" s="1" t="s">
        <v>145</v>
      </c>
      <c r="D81" s="1" t="s">
        <v>14198</v>
      </c>
      <c r="E81" s="1">
        <v>25</v>
      </c>
      <c r="F81" s="1" t="s">
        <v>31322</v>
      </c>
      <c r="G81" s="1" t="str">
        <f ca="1">IFERROR(__xludf.dummyfunction("IF(F81="""", """", GOOGLETRANSLATE(F81, ""en"", ""hi""))"),"1 फूलगोभी - छोटे फूलों में कटी हुई, 2 हरी शिमला मिर्च - टुकड़ों में कटी हुई, 3 टमाटर, 1 प्याज - बारीक कटा हुआ, 1 छोटा चम्मच धनिया पाउडर, 1 छोटा चम्मच जीरा पाउडर, 1 बड़ा चम्मच लहसुन - पेस्ट, 1 बड़ा चम्मच सूरजमुखी तेल - अधिक स्वाद के लिए अचार के तेल का उपयो"&amp;"ग करें, 2 छोटे चम्मच सरसों के बीज, 3/4 छोटे चम्मच मेथी के बीज, 2 बड़े चम्मच नींबू का रस, नमक - स्वादानुसार, 2 छोटे चम्मच लाल मिर्च पाउडर - आवश्यकतानुसार")</f>
        <v>1 फूलगोभी - छोटे फूलों में कटी हुई, 2 हरी शिमला मिर्च - टुकड़ों में कटी हुई, 3 टमाटर, 1 प्याज - बारीक कटा हुआ, 1 छोटा चम्मच धनिया पाउडर, 1 छोटा चम्मच जीरा पाउडर, 1 बड़ा चम्मच लहसुन - पेस्ट, 1 बड़ा चम्मच सूरजमुखी तेल - अधिक स्वाद के लिए अचार के तेल का उपयोग करें, 2 छोटे चम्मच सरसों के बीज, 3/4 छोटे चम्मच मेथी के बीज, 2 बड़े चम्मच नींबू का रस, नमक - स्वादानुसार, 2 छोटे चम्मच लाल मिर्च पाउडर - आवश्यकतानुसार</v>
      </c>
      <c r="H81" s="1" t="s">
        <v>31323</v>
      </c>
      <c r="I81" s="1" t="str">
        <f ca="1">IFERROR(__xludf.dummyfunction("IF(H81="""", """", GOOGLETRANSLATE(H81, ""en"", ""hi""))"),"अचारी गोभी शिमला मिर्च की सब्जी बनाने के लिए, फूलगोभी को छोटे-छोटे टुकड़ों में काट लें। सरसों और मेथी के दानों को एक छोटे पैन में अलग-अलग लगभग एक मिनट के लिए सूखा भून लें। इसे मिक्सर ग्राइंडर जार में डालें, बारीक पीस लें और एक तरफ रख दें। गोभी शिमला मिर्च"&amp;" की सब्जी के लिए अचारी मसाला तैयार है। एक सॉस पैन में टमाटर और आवश्यक पानी डालें और टमाटर को छिलका निकलने तक उबालें। छिलका निकालें, टमाटर को ठंडा करें और मिक्सर ग्राइंडर जार का उपयोग करके चिकनी प्यूरी में पीस लें। एक भारी तली वाले पैन में तेल गरम करें। ते"&amp;"ल गरम होने पर, बारीक कटा हुआ प्याज डालें और प्याज के नरम और पारदर्शी होने तक पकाएँ। प्याज के नरम होने पर, अदरक का पेस्ट डालें और इसे लगभग 2 मिनट तक पकने दें। इसके बाद, शिमला मिर्च डालें और शिमला मिर्च के नरम होने तक भूनें। फूलगोभी के फूल, नमक डालें, अच्छी"&amp;" तरह मिलाएँ और बंद करके तब तक पकाएँ जब तक कि फूलगोभी 80% पक न जाए। अब, टमाटर प्यूरी डालें और अच्छी तरह मिलाएँ। लगभग 3 से 4 मिनट तक पकाएं। फिर, धनिया पाउडर, जीरा पाउडर, लाल मिर्च पाउडर, तैयार सरसों और मेथी के बीज पाउडर सहित सूखे मसाले पाउडर डालें और इसे जल"&amp;"्दी से मिलाएँ। अगर ग्रेवी बहुत गाढ़ी हो, तो 5 बड़े चम्मच पानी डालें। पैन को ढक्कन से ढक दें और इसे लगभग 6 से 8 मिनट तक पकने दें। अंत में, नींबू का रस डालें, अच्छी तरह मिलाएँ और यह परोसने के लिए तैयार है। अचारी गोभी शिमला मिर्च की सब्जी को दाल बंजारा, लौकी"&amp;" रायता, टमाटर पुलाव, फुल्का और सात्विक गाजर स्प्राउट्स सलाद के साथ वीकेंड डिनर के लिए परोसें। अचारी गोभी शिमला मिर्च की सब्जी को बूंदी रायता और फुल्का के साथ अपने परिवार के साथ सप्ताह के दिनों के दोपहर के भोजन के लिए परोसें। आप इस सब्जी को लंच बॉक्स में भ"&amp;"ी पैक कर सकते हैं।")</f>
        <v>अचारी गोभी शिमला मिर्च की सब्जी बनाने के लिए, फूलगोभी को छोटे-छोटे टुकड़ों में काट लें। सरसों और मेथी के दानों को एक छोटे पैन में अलग-अलग लगभग एक मिनट के लिए सूखा भून लें। इसे मिक्सर ग्राइंडर जार में डालें, बारीक पीस लें और एक तरफ रख दें। गोभी शिमला मिर्च की सब्जी के लिए अचारी मसाला तैयार है। एक सॉस पैन में टमाटर और आवश्यक पानी डालें और टमाटर को छिलका निकलने तक उबालें। छिलका निकालें, टमाटर को ठंडा करें और मिक्सर ग्राइंडर जार का उपयोग करके चिकनी प्यूरी में पीस लें। एक भारी तली वाले पैन में तेल गरम करें। तेल गरम होने पर, बारीक कटा हुआ प्याज डालें और प्याज के नरम और पारदर्शी होने तक पकाएँ। प्याज के नरम होने पर, अदरक का पेस्ट डालें और इसे लगभग 2 मिनट तक पकने दें। इसके बाद, शिमला मिर्च डालें और शिमला मिर्च के नरम होने तक भूनें। फूलगोभी के फूल, नमक डालें, अच्छी तरह मिलाएँ और बंद करके तब तक पकाएँ जब तक कि फूलगोभी 80% पक न जाए। अब, टमाटर प्यूरी डालें और अच्छी तरह मिलाएँ। लगभग 3 से 4 मिनट तक पकाएं। फिर, धनिया पाउडर, जीरा पाउडर, लाल मिर्च पाउडर, तैयार सरसों और मेथी के बीज पाउडर सहित सूखे मसाले पाउडर डालें और इसे जल्दी से मिलाएँ। अगर ग्रेवी बहुत गाढ़ी हो, तो 5 बड़े चम्मच पानी डालें। पैन को ढक्कन से ढक दें और इसे लगभग 6 से 8 मिनट तक पकने दें। अंत में, नींबू का रस डालें, अच्छी तरह मिलाएँ और यह परोसने के लिए तैयार है। अचारी गोभी शिमला मिर्च की सब्जी को दाल बंजारा, लौकी रायता, टमाटर पुलाव, फुल्का और सात्विक गाजर स्प्राउट्स सलाद के साथ वीकेंड डिनर के लिए परोसें। अचारी गोभी शिमला मिर्च की सब्जी को बूंदी रायता और फुल्का के साथ अपने परिवार के साथ सप्ताह के दिनों के दोपहर के भोजन के लिए परोसें। आप इस सब्जी को लंच बॉक्स में भी पैक कर सकते हैं।</v>
      </c>
      <c r="J81" s="3" t="s">
        <v>31324</v>
      </c>
      <c r="L81" s="1" t="s">
        <v>31003</v>
      </c>
    </row>
    <row r="82" spans="1:12" ht="13.8">
      <c r="A82" s="1" t="s">
        <v>31325</v>
      </c>
      <c r="B82" s="1" t="str">
        <f ca="1">IFERROR(__xludf.dummyfunction("IF(A82="""", """", GOOGLETRANSLATE(A82, ""en"", ""hi""))"),"छोले बिरयानी रेसिपी - मसालेदार चना बिरयानी रेसिपी")</f>
        <v>छोले बिरयानी रेसिपी - मसालेदार चना बिरयानी रेसिपी</v>
      </c>
      <c r="C82" s="1" t="s">
        <v>14259</v>
      </c>
      <c r="D82" s="1" t="s">
        <v>14198</v>
      </c>
      <c r="E82" s="1">
        <v>550</v>
      </c>
      <c r="F82" s="1" t="s">
        <v>31326</v>
      </c>
      <c r="G82" s="1" t="str">
        <f ca="1">IFERROR(__xludf.dummyfunction("IF(F82="""", """", GOOGLETRANSLATE(F82, ""en"", ""hi""))"),"1 कप चावल - धुले और भिगोए हुए, 1 इलायची की फली/बीज, 1 लौंग, 1 इंच दालचीनी, 1 तेज पत्ता, 1/2 कप दूध, 1 1/2 कप पानी, 1 चम्मच घी, नमक - स्वादानुसार, 1/2 कप प्याज - कटा हुआ, 2 चम्मच सूरजमुखी तेल, 1 आलू - क्यूब्स में कटा हुआ और नमक के पानी में भिगोया हुआ, 1/2 "&amp;"चम्मच आमचूर, 1/2 चम्मच लाल मिर्च पाउडर, 1/2 जीरा पाउडर, 1/4 कप धनिया के पत्ते - कटे हुए, 1/4 कप पुदीना के पत्ते, 1 कप काबुली चने - धुले और रात भर भिगोए हुए, 6 लहसुन के दाने - कटे हुए, 1 इंच अदरक - कटा हुआ, 1 हरी मिर्च - बारीक कटी हुई, 1 चम्मच गरम मसाला पा"&amp;"उडर, 1 चम्मच लाल मिर्च पाउडर, 1/4 कप दही - फेंटा हुआ, 1/2 छोटा चम्मच हल्दी पाउडर, 1 टमाटर - बारीक कटा हुआ, 1 बड़ा चम्मच घी, नमक - स्वादानुसार")</f>
        <v>1 कप चावल - धुले और भिगोए हुए, 1 इलायची की फली/बीज, 1 लौंग, 1 इंच दालचीनी, 1 तेज पत्ता, 1/2 कप दूध, 1 1/2 कप पानी, 1 चम्मच घी, नमक - स्वादानुसार, 1/2 कप प्याज - कटा हुआ, 2 चम्मच सूरजमुखी तेल, 1 आलू - क्यूब्स में कटा हुआ और नमक के पानी में भिगोया हुआ, 1/2 चम्मच आमचूर, 1/2 चम्मच लाल मिर्च पाउडर, 1/2 जीरा पाउडर, 1/4 कप धनिया के पत्ते - कटे हुए, 1/4 कप पुदीना के पत्ते, 1 कप काबुली चने - धुले और रात भर भिगोए हुए, 6 लहसुन के दाने - कटे हुए, 1 इंच अदरक - कटा हुआ, 1 हरी मिर्च - बारीक कटी हुई, 1 चम्मच गरम मसाला पाउडर, 1 चम्मच लाल मिर्च पाउडर, 1/4 कप दही - फेंटा हुआ, 1/2 छोटा चम्मच हल्दी पाउडर, 1 टमाटर - बारीक कटा हुआ, 1 बड़ा चम्मच घी, नमक - स्वादानुसार</v>
      </c>
      <c r="H82" s="1" t="s">
        <v>31327</v>
      </c>
      <c r="I82" s="1" t="str">
        <f ca="1">IFERROR(__xludf.dummyfunction("IF(H82="""", """", GOOGLETRANSLATE(H82, ""en"", ""hi""))"),"छोले मसाला बिरयानी रेसिपी बनाने के लिए, आइए हम प्रत्येक सामग्री को तैयार रखें। तले हुए प्याज के लिए: एक कड़ाही में, मध्यम आंच पर तेल गर्म करें, उसमें कटे हुए प्याज डालें और उन्हें तब तक भूनें जब तक कि उनका रंग गहरा भूरा न हो जाए। प्याज को कैरामेलाइज़ करने"&amp;" में अच्छे से 10 मिनट लगते हैं। इसलिए सुनिश्चित करें कि आप इसे कम आंच पर करें। एक बार जब प्याज कैरामेलाइज़ हो जाए, तो इसे अब्सॉर्बेंट पेपर पर निकाल लें और एक तरफ रख दें। भुने हुए आलू के लिए: उसी कड़ाही में थोड़ा और तेल डालें और आलू को हल्का भूरा होने तक भ"&amp;"ूनें। भुने हुए आलू में स्वाद जोड़ने के लिए थोड़ा नमक और एक चुटकी हल्दी पाउडर छिड़कें। भुने हुए आलू को अब्सॉर्बेंट पेपर में निकाल लें और एक कटोरे में निकाल लें। सूखे मसाले- जीरा पाउडर, लाल मिर्च पाउडर और अमचूर छिड़कें और टॉस करें। चावल के लिए: एक पैन में म"&amp;"ध्यम आंच पर घी गर्म करें, उसमें इलायची, लौंग, तेजपत्ता, दालचीनी और नमक डालें। दूध और पानी डालें और उबाल आने दें। जब दूध-पानी उबलने लगे तो आंच धीमी कर दें, इसमें छाने हुए चावल डालें, ढककर तब तक पकाएं जब तक कि सारा पानी सोख न ले। पक जाने पर आंच बंद कर दें औ"&amp;"र अलग रख दें। चावल को मिक्सिंग बाउल में डालें और ठंडा होने दें। चावल के पूरी तरह से ठंडा हो जाने पर इसमें धनिया पत्ती, पुदीना पत्ती, तले हुए प्याज और आलू डालें। इसे अच्छे से मिला लें। छोले मसाला के लिए काबुली चने को धोकर रात भर भिगो दें। प्रेशर कुकर में क"&amp;"ाबुली चना और एक कप पानी नमक डालकर पकाएं। 6 सीटी आने तक प्रेशर कुक करें और आंच धीमी कर दें और 15 मिनट तक पकाते रहें। आंच बंद कर दें और प्रेशर को अपने आप निकलने दें। चने से पानी निकाल कर अलग रख दें। एक पैन में घी गर्म करें जब ये नरम हो जाएं तो इसमें सूखा मस"&amp;"ाला- गरम मसाला, लाल मिर्च पाउडर, हल्दी पाउडर, नमक और छोले मसाला डालें। अच्छे से मिला लें। इस अवस्था में आंच धीमी कर दें और दही और उबला हुआ चना मिला दें। इस प्रक्रिया के अंत में हमारे पास आधा ग्रेवी वाला छोले मसाला होना चाहिए, इसकी स्थिरता न तो बहुत मोटी ह"&amp;"ोनी चाहिए और न ही बहुत पतली। छोले बिरयानी रेसिपी बनाने के लिए एक बड़े कांच के कटोरे में घी लगाएं, कुछ धनिया पत्ती छिड़कें, चावल की एक परत डालें और करछुल के पिछले हिस्से से दबा दें। इसके बाद छोले मसाले की एक परत डालें। जब तक कटोरा भर न जाए तब तक परतों को द"&amp;"ोहराएं। आपको प्रत्येक परत को दबाने की जरूरत है। बिरयानी की अंतिम परत चावल की होनी चाहिए। एक बार जब उनमें से प्रत्येक परत अच्छी तरह से दब जाए तो कटोरे के ऊपर एक प्लेट उल्टा रख दें और इसे पलट दें। आपको अपनी प्लेट में छोले बिरयानी का डोम मिलेगा। इस छोले बिरय"&amp;"ानी रेसिपी को मिर्ची का सालन रेसिपी (तीखी मसालेदार मूंगफली तिल की करी में मिर्च), बुरानी रायता रेसिपी (लहसुन आधारित दही), मसालेदार प्याज और मेथी पकौड़े की रेसिपी के साथ एक संपूर्ण सप्ताहांत भोजन के लिए परोसें।")</f>
        <v>छोले मसाला बिरयानी रेसिपी बनाने के लिए, आइए हम प्रत्येक सामग्री को तैयार रखें। तले हुए प्याज के लिए: एक कड़ाही में, मध्यम आंच पर तेल गर्म करें, उसमें कटे हुए प्याज डालें और उन्हें तब तक भूनें जब तक कि उनका रंग गहरा भूरा न हो जाए। प्याज को कैरामेलाइज़ करने में अच्छे से 10 मिनट लगते हैं। इसलिए सुनिश्चित करें कि आप इसे कम आंच पर करें। एक बार जब प्याज कैरामेलाइज़ हो जाए, तो इसे अब्सॉर्बेंट पेपर पर निकाल लें और एक तरफ रख दें। भुने हुए आलू के लिए: उसी कड़ाही में थोड़ा और तेल डालें और आलू को हल्का भूरा होने तक भूनें। भुने हुए आलू में स्वाद जोड़ने के लिए थोड़ा नमक और एक चुटकी हल्दी पाउडर छिड़कें। भुने हुए आलू को अब्सॉर्बेंट पेपर में निकाल लें और एक कटोरे में निकाल लें। सूखे मसाले- जीरा पाउडर, लाल मिर्च पाउडर और अमचूर छिड़कें और टॉस करें। चावल के लिए: एक पैन में मध्यम आंच पर घी गर्म करें, उसमें इलायची, लौंग, तेजपत्ता, दालचीनी और नमक डालें। दूध और पानी डालें और उबाल आने दें। जब दूध-पानी उबलने लगे तो आंच धीमी कर दें, इसमें छाने हुए चावल डालें, ढककर तब तक पकाएं जब तक कि सारा पानी सोख न ले। पक जाने पर आंच बंद कर दें और अलग रख दें। चावल को मिक्सिंग बाउल में डालें और ठंडा होने दें। चावल के पूरी तरह से ठंडा हो जाने पर इसमें धनिया पत्ती, पुदीना पत्ती, तले हुए प्याज और आलू डालें। इसे अच्छे से मिला लें। छोले मसाला के लिए काबुली चने को धोकर रात भर भिगो दें। प्रेशर कुकर में काबुली चना और एक कप पानी नमक डालकर पकाएं। 6 सीटी आने तक प्रेशर कुक करें और आंच धीमी कर दें और 15 मिनट तक पकाते रहें। आंच बंद कर दें और प्रेशर को अपने आप निकलने दें। चने से पानी निकाल कर अलग रख दें। एक पैन में घी गर्म करें जब ये नरम हो जाएं तो इसमें सूखा मसाला- गरम मसाला, लाल मिर्च पाउडर, हल्दी पाउडर, नमक और छोले मसाला डालें। अच्छे से मिला लें। इस अवस्था में आंच धीमी कर दें और दही और उबला हुआ चना मिला दें। इस प्रक्रिया के अंत में हमारे पास आधा ग्रेवी वाला छोले मसाला होना चाहिए, इसकी स्थिरता न तो बहुत मोटी होनी चाहिए और न ही बहुत पतली। छोले बिरयानी रेसिपी बनाने के लिए एक बड़े कांच के कटोरे में घी लगाएं, कुछ धनिया पत्ती छिड़कें, चावल की एक परत डालें और करछुल के पिछले हिस्से से दबा दें। इसके बाद छोले मसाले की एक परत डालें। जब तक कटोरा भर न जाए तब तक परतों को दोहराएं। आपको प्रत्येक परत को दबाने की जरूरत है। बिरयानी की अंतिम परत चावल की होनी चाहिए। एक बार जब उनमें से प्रत्येक परत अच्छी तरह से दब जाए तो कटोरे के ऊपर एक प्लेट उल्टा रख दें और इसे पलट दें। आपको अपनी प्लेट में छोले बिरयानी का डोम मिलेगा। इस छोले बिरयानी रेसिपी को मिर्ची का सालन रेसिपी (तीखी मसालेदार मूंगफली तिल की करी में मिर्च), बुरानी रायता रेसिपी (लहसुन आधारित दही), मसालेदार प्याज और मेथी पकौड़े की रेसिपी के साथ एक संपूर्ण सप्ताहांत भोजन के लिए परोसें।</v>
      </c>
      <c r="J82" s="3" t="s">
        <v>31328</v>
      </c>
      <c r="L82" s="1" t="s">
        <v>31003</v>
      </c>
    </row>
    <row r="83" spans="1:12" ht="13.8">
      <c r="A83" s="1" t="s">
        <v>31329</v>
      </c>
      <c r="B83" s="1" t="str">
        <f ca="1">IFERROR(__xludf.dummyfunction("IF(A83="""", """", GOOGLETRANSLATE(A83, ""en"", ""hi""))"),"राजगिरा पनीर पराठा रेसिपी (नवरात्रि व्रत रेसिपी)")</f>
        <v>राजगिरा पनीर पराठा रेसिपी (नवरात्रि व्रत रेसिपी)</v>
      </c>
      <c r="C83" s="1" t="s">
        <v>145</v>
      </c>
      <c r="D83" s="1" t="s">
        <v>14338</v>
      </c>
      <c r="E83" s="1">
        <v>25</v>
      </c>
      <c r="F83" s="1" t="s">
        <v>31330</v>
      </c>
      <c r="G83" s="1" t="str">
        <f ca="1">IFERROR(__xludf.dummyfunction("IF(F83="""", """", GOOGLETRANSLATE(F83, ""en"", ""hi""))"),"1 कप राजगिरा आटा, 2 आलू - उबले हुए, 1 कप पनीर - कद्दूकस किया हुआ, 2 हरी मिर्च - बारीक कटी हुई, 1 चम्मच हल्दी, 1 चम्मच जीरा, 2 धनिया पत्ती - बारीक कटी हुई, 1/2 चम्मच साबुत काली मिर्च - पिसी हुई, नमक - या स्वादानुसार सेंधा नमक, सूरजमुखी तेल - या घी पकाने के"&amp;" लिए")</f>
        <v>1 कप राजगिरा आटा, 2 आलू - उबले हुए, 1 कप पनीर - कद्दूकस किया हुआ, 2 हरी मिर्च - बारीक कटी हुई, 1 चम्मच हल्दी, 1 चम्मच जीरा, 2 धनिया पत्ती - बारीक कटी हुई, 1/2 चम्मच साबुत काली मिर्च - पिसी हुई, नमक - या स्वादानुसार सेंधा नमक, सूरजमुखी तेल - या घी पकाने के लिए</v>
      </c>
      <c r="H83" s="1" t="s">
        <v>31331</v>
      </c>
      <c r="I83" s="1" t="str">
        <f ca="1">IFERROR(__xludf.dummyfunction("IF(H83="""", """", GOOGLETRANSLATE(H83, ""en"", ""hi""))"),"हम राजगिरा पनीर पराठा रेसिपी (नवरात्रि व्रत/व्रत रेसिपी) बनाना शुरू करते हैं, एक मिक्सिंग बाउल में सभी सामग्री को पर्याप्त पानी के साथ मिलाकर आटा गूंथ लेते हैं। राजगिरा आटे के साथ काम करना थोड़ा कठिन है क्योंकि इसमें ग्लूटेन नहीं होता है इसलिए आटा गूंथते "&amp;"समय पर्याप्त आटा छिड़कने के लिए सुनिश्चित करें। आटे को बराबर भागों में विभाजित करें और इसे एक बोर्ड पर रोल करें। एक सपाट तली वाला पैन गरम करें और उसमें थोड़ा घी डालकर बेले हुए पराठे को डालें और दोनों तरफ से लगभग 2 मिनट तक पकाएँ। अपने कुरकुरे राजगिरा पनीर "&amp;"पराठे को बिना प्याज़ और लहसुन वाली टमाटर की चटनी के साथ परोसें, यह एक स्वादिष्ट भोजन बन जाएगा।")</f>
        <v>हम राजगिरा पनीर पराठा रेसिपी (नवरात्रि व्रत/व्रत रेसिपी) बनाना शुरू करते हैं, एक मिक्सिंग बाउल में सभी सामग्री को पर्याप्त पानी के साथ मिलाकर आटा गूंथ लेते हैं। राजगिरा आटे के साथ काम करना थोड़ा कठिन है क्योंकि इसमें ग्लूटेन नहीं होता है इसलिए आटा गूंथते समय पर्याप्त आटा छिड़कने के लिए सुनिश्चित करें। आटे को बराबर भागों में विभाजित करें और इसे एक बोर्ड पर रोल करें। एक सपाट तली वाला पैन गरम करें और उसमें थोड़ा घी डालकर बेले हुए पराठे को डालें और दोनों तरफ से लगभग 2 मिनट तक पकाएँ। अपने कुरकुरे राजगिरा पनीर पराठे को बिना प्याज़ और लहसुन वाली टमाटर की चटनी के साथ परोसें, यह एक स्वादिष्ट भोजन बन जाएगा।</v>
      </c>
      <c r="J83" s="3" t="s">
        <v>31332</v>
      </c>
      <c r="L83" s="1" t="s">
        <v>31003</v>
      </c>
    </row>
    <row r="84" spans="1:12" ht="13.8">
      <c r="A84" s="1" t="s">
        <v>31333</v>
      </c>
      <c r="B84" s="1" t="str">
        <f ca="1">IFERROR(__xludf.dummyfunction("IF(A84="""", """", GOOGLETRANSLATE(A84, ""en"", ""hi""))"),"ओट्स और वेजिटेबल कबाब रेसिपी")</f>
        <v>ओट्स और वेजिटेबल कबाब रेसिपी</v>
      </c>
      <c r="C84" s="1" t="s">
        <v>14281</v>
      </c>
      <c r="D84" s="1" t="s">
        <v>14198</v>
      </c>
      <c r="E84" s="1">
        <v>50</v>
      </c>
      <c r="F84" s="1" t="s">
        <v>31334</v>
      </c>
      <c r="G84" s="1" t="str">
        <f ca="1">IFERROR(__xludf.dummyfunction("IF(F84="""", """", GOOGLETRANSLATE(F84, ""en"", ""hi""))"),"1 कप रतालू - कटा हुआ और उबाला हुआ, 1 कप कच्चा केला - कटा हुआ और उबाला हुआ, 1 कप गाजर - कटा हुआ, 1 प्याज - कटा हुआ, 1 इंच अदरक - कटा हुआ, 4 लहसुन की कलियाँ - कटी हुई, 1 बड़ा चम्मच लाल मिर्च पाउडर, 1 छोटा चम्मच हल्दी पाउडर, 1 बड़ा चम्मच जीरा पाउडर, 1 बड़ा च"&amp;"म्मच धनिया पाउडर, 1 बड़ा चम्मच सूखा आम पाउडर, 1/2 कप ओट्स - कोट करने के लिए, 1/4 कप दूध, नमक - स्वादानुसार, काली मिर्च पाउडर - स्वादानुसार, तेल")</f>
        <v>1 कप रतालू - कटा हुआ और उबाला हुआ, 1 कप कच्चा केला - कटा हुआ और उबाला हुआ, 1 कप गाजर - कटा हुआ, 1 प्याज - कटा हुआ, 1 इंच अदरक - कटा हुआ, 4 लहसुन की कलियाँ - कटी हुई, 1 बड़ा चम्मच लाल मिर्च पाउडर, 1 छोटा चम्मच हल्दी पाउडर, 1 बड़ा चम्मच जीरा पाउडर, 1 बड़ा चम्मच धनिया पाउडर, 1 बड़ा चम्मच सूखा आम पाउडर, 1/2 कप ओट्स - कोट करने के लिए, 1/4 कप दूध, नमक - स्वादानुसार, काली मिर्च पाउडर - स्वादानुसार, तेल</v>
      </c>
      <c r="H84" s="1" t="s">
        <v>31335</v>
      </c>
      <c r="I84" s="1" t="str">
        <f ca="1">IFERROR(__xludf.dummyfunction("IF(H84="""", """", GOOGLETRANSLATE(H84, ""en"", ""hi""))"),"""ओट्स और वेजिटेबल कबाब बनाने के लिए सबसे पहले प्रेशर कुकर में नमक, पानी, हल्दी पाउडर के साथ रतालू और कच्चे केले को डालकर 6 सीटी आने तक पकाएं। प्रेशर अपने आप निकल जाने दें। कुकर खोलें, बचा हुआ पानी निकाल दें और मैशर की मदद से इसे अच्छे से मैश कर लें। अब ए"&amp;"क पैन में तेल गर्म करें। इसमें प्याज, लहसुन, अदरक डालें और प्याज के नरम होने तक पकाएं। प्याज के नरम होने के बाद इसमें गाजर डालें और गाजर के पकने तक पकाएं। अब इसमें लाल मिर्च पाउडर, धनिया पाउडर, हल्दी पाउडर, जीरा पाउडर, अमचूर पाउडर, नमक, काली मिर्च पाउडर ड"&amp;"ालें और अच्छे से मिलाएं। 3 से 4 मिनट तक पकाएं। अब इसमें रतालू और कच्चे केले का मिश्रण डालें और मिला लें। अब इस मिश्रण को मध्यम आकार के बॉल्स में बांट लें। इसे कटलेट के आकार में चपटा कर लें। अब इन कटलेट को दूध में और फिर ओट्स में डुबोएं। ध्यान रखें कि कटले"&amp;"ट के चारों तरफ ओट्स लगे हों। अब एक फ्लैट पैन गर्म करें। इसमें थोड़ा तेल डालें और इसे मध्यम आंच पर सुनहरा भूरा होने तक तलें। भूरा होने तक पकाएं। सर्व करें। ओट्स और वेजिटेबल कबाब को धनिया पुदीने के साथ सर्व करें। शाम के नाश्ते के लिए चटनी और मसाला चाय।")</f>
        <v>"ओट्स और वेजिटेबल कबाब बनाने के लिए सबसे पहले प्रेशर कुकर में नमक, पानी, हल्दी पाउडर के साथ रतालू और कच्चे केले को डालकर 6 सीटी आने तक पकाएं। प्रेशर अपने आप निकल जाने दें। कुकर खोलें, बचा हुआ पानी निकाल दें और मैशर की मदद से इसे अच्छे से मैश कर लें। अब एक पैन में तेल गर्म करें। इसमें प्याज, लहसुन, अदरक डालें और प्याज के नरम होने तक पकाएं। प्याज के नरम होने के बाद इसमें गाजर डालें और गाजर के पकने तक पकाएं। अब इसमें लाल मिर्च पाउडर, धनिया पाउडर, हल्दी पाउडर, जीरा पाउडर, अमचूर पाउडर, नमक, काली मिर्च पाउडर डालें और अच्छे से मिलाएं। 3 से 4 मिनट तक पकाएं। अब इसमें रतालू और कच्चे केले का मिश्रण डालें और मिला लें। अब इस मिश्रण को मध्यम आकार के बॉल्स में बांट लें। इसे कटलेट के आकार में चपटा कर लें। अब इन कटलेट को दूध में और फिर ओट्स में डुबोएं। ध्यान रखें कि कटलेट के चारों तरफ ओट्स लगे हों। अब एक फ्लैट पैन गर्म करें। इसमें थोड़ा तेल डालें और इसे मध्यम आंच पर सुनहरा भूरा होने तक तलें। भूरा होने तक पकाएं। सर्व करें। ओट्स और वेजिटेबल कबाब को धनिया पुदीने के साथ सर्व करें। शाम के नाश्ते के लिए चटनी और मसाला चाय।</v>
      </c>
      <c r="J84" s="3" t="s">
        <v>31336</v>
      </c>
      <c r="L84" s="1" t="s">
        <v>31003</v>
      </c>
    </row>
    <row r="85" spans="1:12" ht="13.8">
      <c r="A85" s="1" t="s">
        <v>31337</v>
      </c>
      <c r="B85" s="1" t="str">
        <f ca="1">IFERROR(__xludf.dummyfunction("IF(A85="""", """", GOOGLETRANSLATE(A85, ""en"", ""hi""))"),"तंदूरी आलू रेसिपी")</f>
        <v>तंदूरी आलू रेसिपी</v>
      </c>
      <c r="C85" s="1" t="s">
        <v>14572</v>
      </c>
      <c r="D85" s="1" t="s">
        <v>14198</v>
      </c>
      <c r="E85" s="1">
        <v>40</v>
      </c>
      <c r="F85" s="1" t="s">
        <v>31338</v>
      </c>
      <c r="G85" s="1" t="str">
        <f ca="1">IFERROR(__xludf.dummyfunction("IF(F85="""", """", GOOGLETRANSLATE(F85, ""en"", ""hi""))"),"1 कप बेबी आलू - धुले और छिलके उतारे हुए, 1 बड़ा चम्मच सूरजमुखी तेल, 1 छोटा चम्मच टिक्का मसाला, 1 बड़ा चम्मच ताजा क्रीम - या दूध, 1/4 छोटा चम्मच कसूरी मेथी, नमक - स्वादानुसार, 2-3 कश्मीरी सूखी लाल मिर्च, 1 बड़ा चम्मच लहसुन - कटा हुआ, 1/2 बड़ा चम्मच अदरक - "&amp;"कटा हुआ, 1 छोटा चम्मच धनिया पाउडर, 1 छोटा चम्मच जीरा पाउडर, 1/4 कप पानी")</f>
        <v>1 कप बेबी आलू - धुले और छिलके उतारे हुए, 1 बड़ा चम्मच सूरजमुखी तेल, 1 छोटा चम्मच टिक्का मसाला, 1 बड़ा चम्मच ताजा क्रीम - या दूध, 1/4 छोटा चम्मच कसूरी मेथी, नमक - स्वादानुसार, 2-3 कश्मीरी सूखी लाल मिर्च, 1 बड़ा चम्मच लहसुन - कटा हुआ, 1/2 बड़ा चम्मच अदरक - कटा हुआ, 1 छोटा चम्मच धनिया पाउडर, 1 छोटा चम्मच जीरा पाउडर, 1/4 कप पानी</v>
      </c>
      <c r="H85" s="1" t="s">
        <v>31339</v>
      </c>
      <c r="I85" s="1" t="str">
        <f ca="1">IFERROR(__xludf.dummyfunction("IF(H85="""", """", GOOGLETRANSLATE(H85, ""en"", ""hi""))"),"तंदूरी आलू रेसिपी बनाने के लिए सबसे पहले कश्मीरी सूखी लाल मिर्च, लहसुन, अदरक, धनिया पाउडर, जीरा पाउडर और पानी सहित सभी सामग्री को ग्राइंडर में पीस लें और इसका चिकना पेस्ट बना लें। इसे एक तरफ रख दें। छोटे आलू को छीलकर धो लें। कांटे से उन्हें चारों तरफ समान"&amp;" रूप से चुभो दें। इन्हें माइक्रोवेव सेफ बाउल या डिश में रखें और 2-3 मिनट तक या आंशिक रूप से पकने तक पकाएं। एक बार हो जाने के बाद इन्हें एक तरफ रख दें। एक अन्य माइक्रोवेव सेफ बाउल में तेल को तेज आंच पर 30 सेकंड के लिए गर्म करें। तैयार चिकना पेस्ट डालें, अच"&amp;"्छी तरह मिलाएँ और एक मिनट के लिए तेज आंच पर माइक्रोवेव करें। थोड़ा नींबू का रस निचोड़ें और यह परोसने के लिए तैयार है। पार्टियों के दौरान ऐपेटाइज़र के रूप में तंदूरी आलू को धनिया पुदीना चटनी के साथ परोसें।")</f>
        <v>तंदूरी आलू रेसिपी बनाने के लिए सबसे पहले कश्मीरी सूखी लाल मिर्च, लहसुन, अदरक, धनिया पाउडर, जीरा पाउडर और पानी सहित सभी सामग्री को ग्राइंडर में पीस लें और इसका चिकना पेस्ट बना लें। इसे एक तरफ रख दें। छोटे आलू को छीलकर धो लें। कांटे से उन्हें चारों तरफ समान रूप से चुभो दें। इन्हें माइक्रोवेव सेफ बाउल या डिश में रखें और 2-3 मिनट तक या आंशिक रूप से पकने तक पकाएं। एक बार हो जाने के बाद इन्हें एक तरफ रख दें। एक अन्य माइक्रोवेव सेफ बाउल में तेल को तेज आंच पर 30 सेकंड के लिए गर्म करें। तैयार चिकना पेस्ट डालें, अच्छी तरह मिलाएँ और एक मिनट के लिए तेज आंच पर माइक्रोवेव करें। थोड़ा नींबू का रस निचोड़ें और यह परोसने के लिए तैयार है। पार्टियों के दौरान ऐपेटाइज़र के रूप में तंदूरी आलू को धनिया पुदीना चटनी के साथ परोसें।</v>
      </c>
      <c r="J85" s="3" t="s">
        <v>31340</v>
      </c>
      <c r="L85" s="1" t="s">
        <v>31003</v>
      </c>
    </row>
    <row r="86" spans="1:12" ht="409.6">
      <c r="A86" s="1" t="s">
        <v>31341</v>
      </c>
      <c r="B86" s="1" t="str">
        <f ca="1">IFERROR(__xludf.dummyfunction("IF(A86="""", """", GOOGLETRANSLATE(A86, ""en"", ""hi""))"),"आम कलाकंद रेसिपी")</f>
        <v>आम कलाकंद रेसिपी</v>
      </c>
      <c r="C86" s="1" t="s">
        <v>8417</v>
      </c>
      <c r="D86" s="1" t="s">
        <v>14198</v>
      </c>
      <c r="E86" s="1">
        <v>200</v>
      </c>
      <c r="F86" s="1" t="s">
        <v>31342</v>
      </c>
      <c r="G86" s="1" t="str">
        <f ca="1">IFERROR(__xludf.dummyfunction("IF(F86="""", """", GOOGLETRANSLATE(F86, ""en"", ""hi""))"),"2 आम (पके हुए) - बीज निकाले और छिले हुए, 175 ग्राम पनीर (घर का बना पनीर) - टुकड़े किए हुए, 400 ग्राम गाढ़ा दूध - मीठा, 3 इलायची की फली/बीज - कुचले हुए, 1 बड़ा चम्मच ताजा नारियल - गार्निश के लिए रेशे")</f>
        <v>2 आम (पके हुए) - बीज निकाले और छिले हुए, 175 ग्राम पनीर (घर का बना पनीर) - टुकड़े किए हुए, 400 ग्राम गाढ़ा दूध - मीठा, 3 इलायची की फली/बीज - कुचले हुए, 1 बड़ा चम्मच ताजा नारियल - गार्निश के लिए रेशे</v>
      </c>
      <c r="H86" s="4" t="s">
        <v>31343</v>
      </c>
      <c r="I86" s="1" t="str">
        <f ca="1">IFERROR(__xludf.dummyfunction("IF(H86="""", """", GOOGLETRANSLATE(H86, ""en"", ""hi""))"),"मैंगो कलाकंद रेसिपी बनाने के लिए सबसे पहले आम को छील लें, दोनों आमों से गूदा निकाल लें और बीज निकाल दें। एक कड़ाही लें और उसमें आम का गूदा डालें और मध्यम आंच पर गर्म करें। इसे 5 से 6 मिनट तक चलाते रहें जब तक कि आम का गूदा पक न जाए। अब इसमें मीठा गाढ़ा दूध"&amp;" डालें और अच्छी तरह मिलाएँ। अब मिश्रण में टुकड़े टुकड़े किया हुआ पनीर डालें। मिश्रण को धीरे-धीरे और अच्छी तरह से 10 से 15 मिनट तक चलाएँ। जब आपको लगे कि मिश्रण थोड़ा सूखने लगा है और अच्छी तरह से मिल गया है, तो आंच बंद कर दें। इसे 5 मिनट तक ठंडा होने दें। अ"&amp;"ब एक चिकनी की हुई ट्रे, चपटी प्लेट या बटर पेपर से लाइन की हुई ट्रे लें और मिश्रण को ट्रे में डालें। आम कलाकंद को हवा के बुलबुले से मुक्त करने के लिए इसे एक चपटे स्पैटुला या चम्मच से थपथपाएं। फिर हरी इलायची लें, इसे कुचलें और कलाकंद पर छिड़क दें। फिर एक चप"&amp;"टे चम्मच से इसे धीरे से दबाएं। आम कलाकंद को कमरे के तापमान पर लाने के बाद इसे जमने के लिए 2 से 3 घंटे के लिए फ्रिज में रख दें। इसे बाहर निकालें और आम कलाकंद को अपनी पसंद के आकार में काट लें और गार्निश करने के लिए सूखे नारियल के धागे छिड़कें। आम कलाकंद को "&amp;"पनीर पुलाव विद ग्रीन मटर, फूलगोभी और सब्जी करी और टमाटर प्याज ककड़ी रायता के साथ मिठाई के रूप में परोसें।")</f>
        <v>मैंगो कलाकंद रेसिपी बनाने के लिए सबसे पहले आम को छील लें, दोनों आमों से गूदा निकाल लें और बीज निकाल दें। एक कड़ाही लें और उसमें आम का गूदा डालें और मध्यम आंच पर गर्म करें। इसे 5 से 6 मिनट तक चलाते रहें जब तक कि आम का गूदा पक न जाए। अब इसमें मीठा गाढ़ा दूध डालें और अच्छी तरह मिलाएँ। अब मिश्रण में टुकड़े टुकड़े किया हुआ पनीर डालें। मिश्रण को धीरे-धीरे और अच्छी तरह से 10 से 15 मिनट तक चलाएँ। जब आपको लगे कि मिश्रण थोड़ा सूखने लगा है और अच्छी तरह से मिल गया है, तो आंच बंद कर दें। इसे 5 मिनट तक ठंडा होने दें। अब एक चिकनी की हुई ट्रे, चपटी प्लेट या बटर पेपर से लाइन की हुई ट्रे लें और मिश्रण को ट्रे में डालें। आम कलाकंद को हवा के बुलबुले से मुक्त करने के लिए इसे एक चपटे स्पैटुला या चम्मच से थपथपाएं। फिर हरी इलायची लें, इसे कुचलें और कलाकंद पर छिड़क दें। फिर एक चपटे चम्मच से इसे धीरे से दबाएं। आम कलाकंद को कमरे के तापमान पर लाने के बाद इसे जमने के लिए 2 से 3 घंटे के लिए फ्रिज में रख दें। इसे बाहर निकालें और आम कलाकंद को अपनी पसंद के आकार में काट लें और गार्निश करने के लिए सूखे नारियल के धागे छिड़कें। आम कलाकंद को पनीर पुलाव विद ग्रीन मटर, फूलगोभी और सब्जी करी और टमाटर प्याज ककड़ी रायता के साथ मिठाई के रूप में परोसें।</v>
      </c>
      <c r="J86" s="3" t="s">
        <v>31344</v>
      </c>
      <c r="L86" s="1" t="s">
        <v>31003</v>
      </c>
    </row>
    <row r="87" spans="1:12" ht="13.8">
      <c r="A87" s="1" t="s">
        <v>31345</v>
      </c>
      <c r="B87" s="1" t="s">
        <v>31346</v>
      </c>
      <c r="C87" s="1" t="s">
        <v>429</v>
      </c>
      <c r="D87" s="1" t="s">
        <v>14198</v>
      </c>
      <c r="E87" s="1">
        <v>70</v>
      </c>
      <c r="F87" s="1" t="s">
        <v>31347</v>
      </c>
      <c r="G87" s="1" t="str">
        <f ca="1">IFERROR(__xludf.dummyfunction("IF(F87="""", """", GOOGLETRANSLATE(F87, ""en"", ""hi""))"),"1 कप काबुली चना - भिगोया और उबाला हुआ, 1 हरी शिमला मिर्च - कटी हुई, 2 प्याज - बारीक कटे हुए, 2 चम्मच अदरक लहसुन का पेस्ट, 2 चम्मच धनिया पाउडर, 1 चम्मच लाल मिर्च पाउडर, 1 चम्मच जीरा पाउडर, 1/2 चम्मच हल्दी पाउडर, 1 चम्मच कसूरी मेथी, 1/2 कप काजू, 1 कप टमाटर "&amp;"प्यूरी, तेल - पकाने के लिए, नमक - स्वादानुसार")</f>
        <v>1 कप काबुली चना - भिगोया और उबाला हुआ, 1 हरी शिमला मिर्च - कटी हुई, 2 प्याज - बारीक कटे हुए, 2 चम्मच अदरक लहसुन का पेस्ट, 2 चम्मच धनिया पाउडर, 1 चम्मच लाल मिर्च पाउडर, 1 चम्मच जीरा पाउडर, 1/2 चम्मच हल्दी पाउडर, 1 चम्मच कसूरी मेथी, 1/2 कप काजू, 1 कप टमाटर प्यूरी, तेल - पकाने के लिए, नमक - स्वादानुसार</v>
      </c>
      <c r="H87" s="1" t="s">
        <v>31348</v>
      </c>
      <c r="I87" s="1" t="str">
        <f ca="1">IFERROR(__xludf.dummyfunction("IF(H87="""", """", GOOGLETRANSLATE(H87, ""en"", ""hi""))"),"""छोले शिमला मिर्च बनाने के लिए, काजू को उबलते पानी में 12-15 मिनट के लिए भिगोएँ। एक पैन में तेल गरम करें और प्याज़ को भूरा होने तक भूनें। अदरक लहसुन का पेस्ट डालें और 1 मिनट तक पकाएँ। शिमला मिर्च डालें और 2-3 मिनट तक भूनें। अब जीरा पाउडर, धनिया पाउडर, हल"&amp;"्दी और लाल मिर्च पाउडर डालें और भूनें। ध्यान रहे कि मसाला जले नहीं। टमाटर प्यूरी और उबले हुए छोले को 2 कप पानी के साथ मिलाएँ। इसे 5 मिनट तक उबालें और मसाले के मिलने तक पकाएँ। भीगे हुए काजू को पीस लें। करी में काजू का पेस्ट नमक के साथ मिलाएँ और 4-5 मिनट तक"&amp;" पकाएँ। सूखी मेथी डालें और गैस बंद कर दें। छोले शिमला मिर्च मसाला को फुल्के, चावल और सलाद के साथ परोसें।""")</f>
        <v>"छोले शिमला मिर्च बनाने के लिए, काजू को उबलते पानी में 12-15 मिनट के लिए भिगोएँ। एक पैन में तेल गरम करें और प्याज़ को भूरा होने तक भूनें। अदरक लहसुन का पेस्ट डालें और 1 मिनट तक पकाएँ। शिमला मिर्च डालें और 2-3 मिनट तक भूनें। अब जीरा पाउडर, धनिया पाउडर, हल्दी और लाल मिर्च पाउडर डालें और भूनें। ध्यान रहे कि मसाला जले नहीं। टमाटर प्यूरी और उबले हुए छोले को 2 कप पानी के साथ मिलाएँ। इसे 5 मिनट तक उबालें और मसाले के मिलने तक पकाएँ। भीगे हुए काजू को पीस लें। करी में काजू का पेस्ट नमक के साथ मिलाएँ और 4-5 मिनट तक पकाएँ। सूखी मेथी डालें और गैस बंद कर दें। छोले शिमला मिर्च मसाला को फुल्के, चावल और सलाद के साथ परोसें।"</v>
      </c>
      <c r="J87" s="3" t="s">
        <v>31349</v>
      </c>
      <c r="L87" s="1" t="s">
        <v>31003</v>
      </c>
    </row>
    <row r="88" spans="1:12" ht="13.8">
      <c r="A88" s="1" t="s">
        <v>31350</v>
      </c>
      <c r="B88" s="1" t="str">
        <f ca="1">IFERROR(__xludf.dummyfunction("IF(A88="""", """", GOOGLETRANSLATE(A88, ""en"", ""hi""))"),"भिंडी और शिमला मिर्च की सब्जी रेसिपी")</f>
        <v>भिंडी और शिमला मिर्च की सब्जी रेसिपी</v>
      </c>
      <c r="C88" s="1" t="s">
        <v>14207</v>
      </c>
      <c r="D88" s="1" t="s">
        <v>14198</v>
      </c>
      <c r="E88" s="1">
        <v>45</v>
      </c>
      <c r="F88" s="1" t="s">
        <v>31351</v>
      </c>
      <c r="G88" s="1" t="str">
        <f ca="1">IFERROR(__xludf.dummyfunction("IF(F88="""", """", GOOGLETRANSLATE(F88, ""en"", ""hi""))"),"200 ग्राम भिंडी - पट्टियों में कटी हुई, 2 हरी शिमला मिर्च - तिरछी कटी हुई, 1 छोटा चम्मच जीरा, 1 इंच अदरक - कटा हुआ, 1 छोटा चम्मच हल्दी, 1 छोटा चम्मच लाल मिर्च पाउडर, 2 छोटे चम्मच धनिया पाउडर, 3 बड़े चम्मच ताजा नारियल - कद्दूकस किया हुआ, नमक - स्वादानुसार,"&amp;" सूरजमुखी तेल")</f>
        <v>200 ग्राम भिंडी - पट्टियों में कटी हुई, 2 हरी शिमला मिर्च - तिरछी कटी हुई, 1 छोटा चम्मच जीरा, 1 इंच अदरक - कटा हुआ, 1 छोटा चम्मच हल्दी, 1 छोटा चम्मच लाल मिर्च पाउडर, 2 छोटे चम्मच धनिया पाउडर, 3 बड़े चम्मच ताजा नारियल - कद्दूकस किया हुआ, नमक - स्वादानुसार, सूरजमुखी तेल</v>
      </c>
      <c r="H88" s="1" t="s">
        <v>31352</v>
      </c>
      <c r="I88" s="1" t="str">
        <f ca="1">IFERROR(__xludf.dummyfunction("IF(H88="""", """", GOOGLETRANSLATE(H88, ""en"", ""hi""))"),"भिंडी और शिमला मिर्च की सब्ज़ी बनाने के लिए सबसे पहले एक कढ़ाई में तेल गरम करें, उसमें कटी हुई भिंडी डालें, नमक छिड़कें और तब तक भूनें जब तक वे पक न जाएं। भिंडी थोड़ी कुरकुरी और नरम हो जाएगी। जब भिंडी कुरकुरी और पक जाए तो भिंडी को एक कटोरे में निकाल कर अल"&amp;"ग रख दें। उसी पैन में थोड़ा और तेल डालें और जीरा छिड़कें और उसे चटकने दें। जब जीरा चटक जाए तो उसमें अदरक डालें और उसे नरम होने तक भूनें। जब पक जाए तो उसमें शिमला मिर्च डालें और उसके नरम होने तक भूनें। भिंडी के साथ सभी मसाले पाउडर डालें और कुछ सेकंड के लिए"&amp;" भूनें। अंत में कद्दूकस किया हुआ नारियल डालें और अच्छी तरह मिलाएँ जब तक वह मिल न जाए और आँच बंद कर दें। भिंडी और शिमला मिर्च की सब्ज़ी को एक सर्विंग बाउल में डालें और गरमागरम परोसें")</f>
        <v>भिंडी और शिमला मिर्च की सब्ज़ी बनाने के लिए सबसे पहले एक कढ़ाई में तेल गरम करें, उसमें कटी हुई भिंडी डालें, नमक छिड़कें और तब तक भूनें जब तक वे पक न जाएं। भिंडी थोड़ी कुरकुरी और नरम हो जाएगी। जब भिंडी कुरकुरी और पक जाए तो भिंडी को एक कटोरे में निकाल कर अलग रख दें। उसी पैन में थोड़ा और तेल डालें और जीरा छिड़कें और उसे चटकने दें। जब जीरा चटक जाए तो उसमें अदरक डालें और उसे नरम होने तक भूनें। जब पक जाए तो उसमें शिमला मिर्च डालें और उसके नरम होने तक भूनें। भिंडी के साथ सभी मसाले पाउडर डालें और कुछ सेकंड के लिए भूनें। अंत में कद्दूकस किया हुआ नारियल डालें और अच्छी तरह मिलाएँ जब तक वह मिल न जाए और आँच बंद कर दें। भिंडी और शिमला मिर्च की सब्ज़ी को एक सर्विंग बाउल में डालें और गरमागरम परोसें</v>
      </c>
      <c r="J88" s="3" t="s">
        <v>31353</v>
      </c>
      <c r="L88" s="1" t="s">
        <v>31003</v>
      </c>
    </row>
    <row r="89" spans="1:12" ht="13.8">
      <c r="A89" s="1" t="s">
        <v>31354</v>
      </c>
      <c r="B89" s="1" t="str">
        <f ca="1">IFERROR(__xludf.dummyfunction("IF(A89="""", """", GOOGLETRANSLATE(A89, ""en"", ""hi""))"),"कच्चे आम दाल फ्राई रेसिपी")</f>
        <v>कच्चे आम दाल फ्राई रेसिपी</v>
      </c>
      <c r="C89" s="1" t="s">
        <v>14207</v>
      </c>
      <c r="D89" s="1" t="s">
        <v>14237</v>
      </c>
      <c r="E89" s="1">
        <v>40</v>
      </c>
      <c r="F89" s="1" t="s">
        <v>31355</v>
      </c>
      <c r="G89" s="1" t="str">
        <f ca="1">IFERROR(__xludf.dummyfunction("IF(F89="""", """", GOOGLETRANSLATE(F89, ""en"", ""hi""))"),"1 कप अरहर दाल, 2 बड़े चम्मच कच्चा आम - कद्दूकस किया हुआ, 1/2 छोटा चम्मच हल्दी पाउडर, 1/2 छोटा चम्मच लाल मिर्च पाउडर, 1 टमाटर - कटा हुआ, 2 हरी मिर्च - कटी हुई, 1 टहनी करी पत्ता - करी पत्ता, 1 प्याज - कटा हुआ, 2 सूखी लाल मिर्च, 4 लहसुन - बारीक कटा हुआ, नमक "&amp;"- स्वादानुसार, 1 छोटा चम्मच घी - तड़के के लिए")</f>
        <v>1 कप अरहर दाल, 2 बड़े चम्मच कच्चा आम - कद्दूकस किया हुआ, 1/2 छोटा चम्मच हल्दी पाउडर, 1/2 छोटा चम्मच लाल मिर्च पाउडर, 1 टमाटर - कटा हुआ, 2 हरी मिर्च - कटी हुई, 1 टहनी करी पत्ता - करी पत्ता, 1 प्याज - कटा हुआ, 2 सूखी लाल मिर्च, 4 लहसुन - बारीक कटा हुआ, नमक - स्वादानुसार, 1 छोटा चम्मच घी - तड़के के लिए</v>
      </c>
      <c r="H89" s="1" t="s">
        <v>31356</v>
      </c>
      <c r="I89" s="1" t="str">
        <f ca="1">IFERROR(__xludf.dummyfunction("IF(H89="""", """", GOOGLETRANSLATE(H89, ""en"", ""hi""))"),"कच्चे आम की दाल फ्राई रेसिपी बनाने के लिए सबसे पहले सभी सामग्री तैयार कर लें। प्रेशर कुकर में दाल, नमक, लाल मिर्च पाउडर, हल्दी पाउडर, कटी हरी मिर्च, टमाटर और कद्दूकस किया हुआ कच्चा आम डालें। 2 कप पानी डालें और 3 से 4 सीटी आने तक पकाएँ जब तक दाल पक न जाए। "&amp;"एक बार हो जाने पर, प्रेशर को अपने आप निकलने दें। कुकर खोलें और कच्चे आम की दाल फ्राई को नरम बनाने के लिए लकड़ी की कलछी का उपयोग करें। इसे एक तरफ रख दें। एक कड़ाही में घी गर्म करें और उसमें साबुत लाल मिर्च डालें। कटे हुए प्याज़ डालें और उन्हें तब तक पकाएँ "&amp;"जब तक वे रंग में पारभासी न हो जाएँ। एक बार जब प्याज़ पक जाए तो उसमें कटा हुआ लहसुन और करी पत्ता डालें और उन्हें कम से कम 1 मिनट तक भूनें। अब पकी हुई कच्चे आम की दाल फ्राई को पैन में डालें और इसे 5-7 मिनट तक पकने दें। अगर आपको लगे कि दाल ज़्यादा गाढ़ी हो ग"&amp;"ई है तो और पानी डालें। अपने स्वाद के अनुसार नमक समायोजित करें। कच्चे आम दाल फ्राई रेसिपी को करी टोफू कबाब रेसिपी, आलू भिंडी की सब्जी रेसिपी (मसालेदार आलू और भिंडी स्टिर फ्राई), फुल्का और उबले हुए चावल के साथ परोसें।")</f>
        <v>कच्चे आम की दाल फ्राई रेसिपी बनाने के लिए सबसे पहले सभी सामग्री तैयार कर लें। प्रेशर कुकर में दाल, नमक, लाल मिर्च पाउडर, हल्दी पाउडर, कटी हरी मिर्च, टमाटर और कद्दूकस किया हुआ कच्चा आम डालें। 2 कप पानी डालें और 3 से 4 सीटी आने तक पकाएँ जब तक दाल पक न जाए। एक बार हो जाने पर, प्रेशर को अपने आप निकलने दें। कुकर खोलें और कच्चे आम की दाल फ्राई को नरम बनाने के लिए लकड़ी की कलछी का उपयोग करें। इसे एक तरफ रख दें। एक कड़ाही में घी गर्म करें और उसमें साबुत लाल मिर्च डालें। कटे हुए प्याज़ डालें और उन्हें तब तक पकाएँ जब तक वे रंग में पारभासी न हो जाएँ। एक बार जब प्याज़ पक जाए तो उसमें कटा हुआ लहसुन और करी पत्ता डालें और उन्हें कम से कम 1 मिनट तक भूनें। अब पकी हुई कच्चे आम की दाल फ्राई को पैन में डालें और इसे 5-7 मिनट तक पकने दें। अगर आपको लगे कि दाल ज़्यादा गाढ़ी हो गई है तो और पानी डालें। अपने स्वाद के अनुसार नमक समायोजित करें। कच्चे आम दाल फ्राई रेसिपी को करी टोफू कबाब रेसिपी, आलू भिंडी की सब्जी रेसिपी (मसालेदार आलू और भिंडी स्टिर फ्राई), फुल्का और उबले हुए चावल के साथ परोसें।</v>
      </c>
      <c r="J89" s="3" t="s">
        <v>31357</v>
      </c>
      <c r="L89" s="1" t="s">
        <v>31003</v>
      </c>
    </row>
    <row r="90" spans="1:12" ht="13.8">
      <c r="A90" s="1" t="s">
        <v>31358</v>
      </c>
      <c r="B90" s="1" t="str">
        <f ca="1">IFERROR(__xludf.dummyfunction("IF(A90="""", """", GOOGLETRANSLATE(A90, ""en"", ""hi""))"),"चटपटा राजमा सलाद रेसिपी - किडनी बीन्स सलाद रेसिपी")</f>
        <v>चटपटा राजमा सलाद रेसिपी - किडनी बीन्स सलाद रेसिपी</v>
      </c>
      <c r="C90" s="1" t="s">
        <v>14207</v>
      </c>
      <c r="D90" s="1" t="s">
        <v>14237</v>
      </c>
      <c r="E90" s="1">
        <v>40</v>
      </c>
      <c r="F90" s="1" t="s">
        <v>31359</v>
      </c>
      <c r="G90" s="1" t="str">
        <f ca="1">IFERROR(__xludf.dummyfunction("IF(F90="""", """", GOOGLETRANSLATE(F90, ""en"", ""hi""))"),"2 कप राजमा - पका हुआ, 1 प्याज - बारीक कटा हुआ, 1 टमाटर - बारीक कटा हुआ, 2 हरी मिर्च - बारीक कटी हुई, 1 चम्मच चाट मसाला पाउडर, 1 नींबू - रस निकाला हुआ, पुदीना के पत्ते (छोटा गुच्छा), नमक - स्वादानुसार")</f>
        <v>2 कप राजमा - पका हुआ, 1 प्याज - बारीक कटा हुआ, 1 टमाटर - बारीक कटा हुआ, 2 हरी मिर्च - बारीक कटी हुई, 1 चम्मच चाट मसाला पाउडर, 1 नींबू - रस निकाला हुआ, पुदीना के पत्ते (छोटा गुच्छा), नमक - स्वादानुसार</v>
      </c>
      <c r="H90" s="1" t="s">
        <v>31360</v>
      </c>
      <c r="I90" s="1" t="str">
        <f ca="1">IFERROR(__xludf.dummyfunction("IF(H90="""", """", GOOGLETRANSLATE(H90, ""en"", ""hi""))"),"चटपटा राजमा सलाद रेसिपी बनाने के लिए सबसे पहले राजमा को रात भर भिगोकर रखें और पानी के साथ प्रेशर कुकर में 5 से 6 सीटी आने तक पकाएं। 5 से 6 सीटी आने के बाद आंच धीमी कर दें और 20 मिनट तक और पकाएं। प्रेशर को अपने आप निकलने दें। राजमा नरम और पक जाना चाहिए। अग"&amp;"र पानी है तो अतिरिक्त पानी निकाल दें और राजमा को अलग रख दें। एक मिक्सिंग बाउल में पका हुआ राजमा, प्याज, टमाटर, हरी मिर्च, चाट मसाला पाउडर, नमक, पुदीने के पत्ते और नींबू का रस डालें। राजमा सलाद को अच्छे से मिला लें। नमक चेक करें और स्वादानुसार मिला लें। ठं"&amp;"डा-ठंडा परोसें। चटपटा राजमा सलाद रेसिपी को मिस्सी रोटी और फूलगोभी और सब्जी की करी के साथ अपने रोज़ाना के लंच या डिनर में परोसें।")</f>
        <v>चटपटा राजमा सलाद रेसिपी बनाने के लिए सबसे पहले राजमा को रात भर भिगोकर रखें और पानी के साथ प्रेशर कुकर में 5 से 6 सीटी आने तक पकाएं। 5 से 6 सीटी आने के बाद आंच धीमी कर दें और 20 मिनट तक और पकाएं। प्रेशर को अपने आप निकलने दें। राजमा नरम और पक जाना चाहिए। अगर पानी है तो अतिरिक्त पानी निकाल दें और राजमा को अलग रख दें। एक मिक्सिंग बाउल में पका हुआ राजमा, प्याज, टमाटर, हरी मिर्च, चाट मसाला पाउडर, नमक, पुदीने के पत्ते और नींबू का रस डालें। राजमा सलाद को अच्छे से मिला लें। नमक चेक करें और स्वादानुसार मिला लें। ठंडा-ठंडा परोसें। चटपटा राजमा सलाद रेसिपी को मिस्सी रोटी और फूलगोभी और सब्जी की करी के साथ अपने रोज़ाना के लंच या डिनर में परोसें।</v>
      </c>
      <c r="J90" s="3" t="s">
        <v>31361</v>
      </c>
      <c r="L90" s="1" t="s">
        <v>31003</v>
      </c>
    </row>
    <row r="91" spans="1:12" ht="13.8">
      <c r="A91" s="1" t="s">
        <v>31362</v>
      </c>
      <c r="B91" s="1" t="str">
        <f ca="1">IFERROR(__xludf.dummyfunction("IF(A91="""", """", GOOGLETRANSLATE(A91, ""en"", ""hi""))"),"घर पर बनाएं गुलाब जामुन की आसान रेसिपी - स्वादिष्ट और लजीज")</f>
        <v>घर पर बनाएं गुलाब जामुन की आसान रेसिपी - स्वादिष्ट और लजीज</v>
      </c>
      <c r="C91" s="1" t="s">
        <v>8417</v>
      </c>
      <c r="D91" s="1" t="s">
        <v>14198</v>
      </c>
      <c r="E91" s="1">
        <v>45</v>
      </c>
      <c r="F91" s="1" t="s">
        <v>31363</v>
      </c>
      <c r="G91" s="1" t="str">
        <f ca="1">IFERROR(__xludf.dummyfunction("IF(F91="""", """", GOOGLETRANSLATE(F91, ""en"", ""hi""))"),"250 ग्राम दूध पाउडर, 120 ग्राम मैदा, 1/2 चम्मच इलायची पाउडर, 1/4 चम्मच बेकिंग सोडा, 200 मिली ताजा क्रीम, 2 बड़े चम्मच घी, सूरजमुखी तेल - तलने के लिए, 400 ग्राम चीनी, 600 मिली पानी, 2 बड़े चम्मच गुलाब जल, 1/4 चम्मच केसर")</f>
        <v>250 ग्राम दूध पाउडर, 120 ग्राम मैदा, 1/2 चम्मच इलायची पाउडर, 1/4 चम्मच बेकिंग सोडा, 200 मिली ताजा क्रीम, 2 बड़े चम्मच घी, सूरजमुखी तेल - तलने के लिए, 400 ग्राम चीनी, 600 मिली पानी, 2 बड़े चम्मच गुलाब जल, 1/4 चम्मच केसर</v>
      </c>
      <c r="H91" s="1" t="s">
        <v>31364</v>
      </c>
      <c r="I91" s="1" t="str">
        <f ca="1">IFERROR(__xludf.dummyfunction("IF(H91="""", """", GOOGLETRANSLATE(H91, ""en"", ""hi""))"),"गुलाब जामुन रेसिपी बनाने के लिए सभी सामग्री तैयार कर लें। तलने के लिए तेल गरम कर लें। एक बड़े कटोरे में सभी सूखी सामग्री - दूध पाउडर, मैदा, चीनी, सोडा और इलायची पाउडर डालें। क्रीम डालें और अच्छी तरह मिलाएँ जब तक आटा जैसा गाढ़ापन न आ जाए। गुलाब जामुन का मि"&amp;"श्रण थोड़ा चिपचिपा होगा और यह इसकी प्रकृति है, क्योंकि दूध पाउडर मीठा होता है जिससे ऐसा होगा। अपनी उंगलियों पर तेल लगाएं और गुलाब जामुन को भारतीय आंवले / आंवले से थोड़े बड़े छोटे गोले का आकार दें। एक बार जब आप गुलाब जामुन के आटे को आकार दे दें, तो हम अब त"&amp;"लना शुरू करेंगे। गुलाब जामुन को पहले से गरम तेल में डालें और मध्यम आँच पर तब तक तलें जब तक कि सभी जामुन सुनहरे भूरे रंग के न हो जाएँ। मध्यम आँच पर जामुन के एक बैच को तलने में करीब 5 मिनट का समय लगेगा चीनी को पूरी तरह से घुलने दें। चीनी घुलने के बाद इसमें "&amp;"गुलाब जल और एक चुटकी केसर डालें। गुलाब जल के पानी को लगभग 2 से 3 मिनट तक उबालें और आँच बंद कर दें। तले हुए गुलाब जामुन को गर्म गुलाब जल के पानी में डालें और इसे लगभग 2 घंटे तक भीगने दें। गुलाब जामुन फूलकर पानी में भीग जाएँगे और फूल जाएँगे। इसलिए इस फूलने "&amp;"के लिए गुलाब जल के पानी के कटोरे में थोड़ी जगह छोड़ दें। अगर ज़रूरत हो तो इसे दो कटोरों में भिगोएँ। गुलाब जामुन को भिगोते समय पैन को ढक दें ताकि यह नरम हो जाए। भिगोने की प्रक्रिया के आधे रास्ते में, गुलाब जामुन को पलट दें ताकि सभी तरफ से समान रूप से भीग ज"&amp;"ाए। भीगने के बाद, गुलाब जामुन परोसने के लिए तैयार हैं। स्वादिष्ट भोजन के बाद गुलाब जामुन को मिठाई के रूप में गर्म या ठंडा परोसें।")</f>
        <v>गुलाब जामुन रेसिपी बनाने के लिए सभी सामग्री तैयार कर लें। तलने के लिए तेल गरम कर लें। एक बड़े कटोरे में सभी सूखी सामग्री - दूध पाउडर, मैदा, चीनी, सोडा और इलायची पाउडर डालें। क्रीम डालें और अच्छी तरह मिलाएँ जब तक आटा जैसा गाढ़ापन न आ जाए। गुलाब जामुन का मिश्रण थोड़ा चिपचिपा होगा और यह इसकी प्रकृति है, क्योंकि दूध पाउडर मीठा होता है जिससे ऐसा होगा। अपनी उंगलियों पर तेल लगाएं और गुलाब जामुन को भारतीय आंवले / आंवले से थोड़े बड़े छोटे गोले का आकार दें। एक बार जब आप गुलाब जामुन के आटे को आकार दे दें, तो हम अब तलना शुरू करेंगे। गुलाब जामुन को पहले से गरम तेल में डालें और मध्यम आँच पर तब तक तलें जब तक कि सभी जामुन सुनहरे भूरे रंग के न हो जाएँ। मध्यम आँच पर जामुन के एक बैच को तलने में करीब 5 मिनट का समय लगेगा चीनी को पूरी तरह से घुलने दें। चीनी घुलने के बाद इसमें गुलाब जल और एक चुटकी केसर डालें। गुलाब जल के पानी को लगभग 2 से 3 मिनट तक उबालें और आँच बंद कर दें। तले हुए गुलाब जामुन को गर्म गुलाब जल के पानी में डालें और इसे लगभग 2 घंटे तक भीगने दें। गुलाब जामुन फूलकर पानी में भीग जाएँगे और फूल जाएँगे। इसलिए इस फूलने के लिए गुलाब जल के पानी के कटोरे में थोड़ी जगह छोड़ दें। अगर ज़रूरत हो तो इसे दो कटोरों में भिगोएँ। गुलाब जामुन को भिगोते समय पैन को ढक दें ताकि यह नरम हो जाए। भिगोने की प्रक्रिया के आधे रास्ते में, गुलाब जामुन को पलट दें ताकि सभी तरफ से समान रूप से भीग जाए। भीगने के बाद, गुलाब जामुन परोसने के लिए तैयार हैं। स्वादिष्ट भोजन के बाद गुलाब जामुन को मिठाई के रूप में गर्म या ठंडा परोसें।</v>
      </c>
      <c r="J91" s="3" t="s">
        <v>31365</v>
      </c>
      <c r="L91" s="1" t="s">
        <v>31003</v>
      </c>
    </row>
    <row r="92" spans="1:12" ht="13.8">
      <c r="A92" s="1" t="s">
        <v>31366</v>
      </c>
      <c r="B92" s="1" t="str">
        <f ca="1">IFERROR(__xludf.dummyfunction("IF(A92="""", """", GOOGLETRANSLATE(A92, ""en"", ""hi""))"),"मिश्रित बाजरा फुल्का रेसिपी - रागी ज्वार बाजरा गेहूं फुल्का")</f>
        <v>मिश्रित बाजरा फुल्का रेसिपी - रागी ज्वार बाजरा गेहूं फुल्का</v>
      </c>
      <c r="C92" s="1" t="s">
        <v>14207</v>
      </c>
      <c r="D92" s="1" t="s">
        <v>14198</v>
      </c>
      <c r="E92" s="1">
        <v>30</v>
      </c>
      <c r="F92" s="1" t="s">
        <v>31367</v>
      </c>
      <c r="G92" s="1" t="str">
        <f ca="1">IFERROR(__xludf.dummyfunction("IF(F92="""", """", GOOGLETRANSLATE(F92, ""en"", ""hi""))"),"1/4 कप रागी आटा (फिंगर मिलेट/ नागली), 1/4 कप बाजरा आटा (पर्ल मिलेट), 1/4 कप ज्वार आटा (सोरघम), 1/2 कप गेहूं का आटा, 1/2 चम्मच नमक - वैकल्पिक, 1 चम्मच सूरजमुखी तेल, घी - परोसने के लिए")</f>
        <v>1/4 कप रागी आटा (फिंगर मिलेट/ नागली), 1/4 कप बाजरा आटा (पर्ल मिलेट), 1/4 कप ज्वार आटा (सोरघम), 1/2 कप गेहूं का आटा, 1/2 चम्मच नमक - वैकल्पिक, 1 चम्मच सूरजमुखी तेल, घी - परोसने के लिए</v>
      </c>
      <c r="H92" s="1" t="s">
        <v>31368</v>
      </c>
      <c r="I92" s="1" t="str">
        <f ca="1">IFERROR(__xludf.dummyfunction("IF(H92="""", """", GOOGLETRANSLATE(H92, ""en"", ""hi""))"),"मिक्स मिलट फुल्का रेसिपी बनाने के लिए सबसे पहले सभी सामग्री को एक साथ मिला लें और हम आटा गूंथेंगे। एक बड़े कटोरे में रागी, ज्वार, बाजरा, गेहूं का आटा और नमक मिलाएं; सख्त आटा गूंथने के लिए एक बार में थोड़ा पानी डालें। आटे को कोट करने के लिए एक चम्मच तेल डा"&amp;"लें और चिकना होने तक कुछ और मिनट तक गूंधें। बाजरे के फुल्का के आटे को 15 मिनट के लिए ढककर रख दें। एक बार फिर से गूंधें और आटे को 8 भागों में विभाजित करें। मध्यम उच्च गर्मी पर लोहे की कड़ाही को पहले से गरम करें। फुल्का (रोटी) के आटे के हिस्सों को गेंदों मे"&amp;"ं रोल करें; इन गेंदों को अपने हाथ की हथेली से चपटा करें। बाजरे के फुल्का के आटे का एक हिस्सा लें, इसे आटे पर डालें और लगभग 6 इंच व्यास में पतले हलकों में बेल लें। जैसे ही आप उन्हें बेलते हैं, आप रोल करते समय आटे को सूखे आटे में मिलाते रह सकते हैं; यह उन्ह"&amp;"ें बेलते समय चिपचिपा होने से रोकेगा। बाजरे के फुल्का को नीचे दिए गए चरणों में बताए अनुसार पकाएं। आटे के बचे हुए हिस्से से बेलने की प्रक्रिया जारी रखें।*गैस चूल्हे पर बाजरे का फुल्का (रोटी) पकानारोले हुए आटे को गरम तवे पर रखें। कुछ सेकंड में आप देखेंगे कि "&amp;"उसमें हवा के छोटे-छोटे पॉकेट बनने शुरू हो गए हैं। इस बिंदु पर रोल्ड आटे को तवे पर दूसरी तरफ पलट दें।कुछ सेकंड के बाद आंच को तेज़ कर दें; चिमटे का उपयोग करके रोल्ड बाजरे के फुल्के को तवे से उतार लें और सीधे आंच पर रख दें। यह एक गोलाकार आकार में फूल जाना चा"&amp;"हिए और फूल जाना चाहिए।बाजरे के फुल्के को आंच से उतार लें, इसे एक सपाट प्लेट पर रखें और वैकल्पिक रूप से ऊपर की तरफ़ थोड़ा घी लगाएँ।रोल्ड बाजरे के फुल्के के आटे के बचे हुए हिस्से के लिए भी यही प्रक्रिया जारी रखें और उन्हें एक के ऊपर एक रखते जाएँ।*इलेक्ट्रिक"&amp;" चूल्हे पर बाजरे का फुल्का (रोटी) पकानाअगर आप गैस चूल्हे का भी उपयोग कर रहे हैं तो इस प्रक्रिया का उपयोग किया जा सकता है।लोहे की कड़ाही को पहले से गरम कर लें। रोल्ड बाजरे के फुल्के के आटे को गरम तवे पर रखें। कुछ ही सेकंड में आप देखेंगे कि छोटी हवा की जेबे"&amp;"ं बनने लगी हैं। इस बिंदु पर बेले हुए बाजरा फुल्का आटे को तवे पर दूसरी तरफ पलट दें। फिर से पलटें और एक नैपकिन से हल्के से दबाते हुए पहली तरफ पकाएं। बेले हुए फुल्का आटे को फूलना शुरू हो जाना चाहिए। पलटें और कुछ और सेकंड के लिए दूसरी तरफ पकाएं। गर्मी से निका"&amp;"लें, बाजरा फुल्का को एक सपाट प्लेट पर रखें और वैकल्पिक रूप से ऊपर की तरफ थोड़ा घी फैलाएं। बेले हुए आटे के शेष हिस्सों के लिए भी यही प्रक्रिया जारी रखें और फुल्का को एक के ऊपर एक रखते रहें। संपूर्ण स्वस्थ भोजन बनाने के लिए मिक्स बाजरा फुल्का रेसिपी को पालक"&amp;" पनीर कोफ्ता करी और डांगर पचड़ी विद ग्रेटेड गाजर के साथ परोसें। टिप इसलिए अगर आप ब्रेड बनाने में नए हैं तो खुद को समय दें। भले ही आपकी रोटी पहली बार या बाद में फूली हुई न हो, लेकिन आपने जो रोटियाँ बनाई हैं वे पकी हुई और खाने योग्य हैं, इसलिए आप उन्हें अपन"&amp;"ी पसंद की सब्ज़ियों के साथ खा सकते हैं। पतले बेलन का इस्तेमाल करना ज़रूरी है, क्योंकि आपको आटे के साथ नरमी बरतनी होगी। भारी बेलन से आपको ज़्यादा दबाव डालना पड़ेगा जिससे वह फट सकता है। ब्रेड को पकड़ने के लिए पतले बेलन और चिमटे में निवेश करना अच्छा रहेगा, ज"&amp;"ो दुनिया भर के ज़्यादातर भारतीय स्टोर में उपलब्ध हैं। फुल्का के आटे को बेलते समय आटे में मिलाना भी एक और सहायक है जो आटे को बेलने को आसान बना देगा।")</f>
        <v>मिक्स मिलट फुल्का रेसिपी बनाने के लिए सबसे पहले सभी सामग्री को एक साथ मिला लें और हम आटा गूंथेंगे। एक बड़े कटोरे में रागी, ज्वार, बाजरा, गेहूं का आटा और नमक मिलाएं; सख्त आटा गूंथने के लिए एक बार में थोड़ा पानी डालें। आटे को कोट करने के लिए एक चम्मच तेल डालें और चिकना होने तक कुछ और मिनट तक गूंधें। बाजरे के फुल्का के आटे को 15 मिनट के लिए ढककर रख दें। एक बार फिर से गूंधें और आटे को 8 भागों में विभाजित करें। मध्यम उच्च गर्मी पर लोहे की कड़ाही को पहले से गरम करें। फुल्का (रोटी) के आटे के हिस्सों को गेंदों में रोल करें; इन गेंदों को अपने हाथ की हथेली से चपटा करें। बाजरे के फुल्का के आटे का एक हिस्सा लें, इसे आटे पर डालें और लगभग 6 इंच व्यास में पतले हलकों में बेल लें। जैसे ही आप उन्हें बेलते हैं, आप रोल करते समय आटे को सूखे आटे में मिलाते रह सकते हैं; यह उन्हें बेलते समय चिपचिपा होने से रोकेगा। बाजरे के फुल्का को नीचे दिए गए चरणों में बताए अनुसार पकाएं। आटे के बचे हुए हिस्से से बेलने की प्रक्रिया जारी रखें।*गैस चूल्हे पर बाजरे का फुल्का (रोटी) पकानारोले हुए आटे को गरम तवे पर रखें। कुछ सेकंड में आप देखेंगे कि उसमें हवा के छोटे-छोटे पॉकेट बनने शुरू हो गए हैं। इस बिंदु पर रोल्ड आटे को तवे पर दूसरी तरफ पलट दें।कुछ सेकंड के बाद आंच को तेज़ कर दें; चिमटे का उपयोग करके रोल्ड बाजरे के फुल्के को तवे से उतार लें और सीधे आंच पर रख दें। यह एक गोलाकार आकार में फूल जाना चाहिए और फूल जाना चाहिए।बाजरे के फुल्के को आंच से उतार लें, इसे एक सपाट प्लेट पर रखें और वैकल्पिक रूप से ऊपर की तरफ़ थोड़ा घी लगाएँ।रोल्ड बाजरे के फुल्के के आटे के बचे हुए हिस्से के लिए भी यही प्रक्रिया जारी रखें और उन्हें एक के ऊपर एक रखते जाएँ।*इलेक्ट्रिक चूल्हे पर बाजरे का फुल्का (रोटी) पकानाअगर आप गैस चूल्हे का भी उपयोग कर रहे हैं तो इस प्रक्रिया का उपयोग किया जा सकता है।लोहे की कड़ाही को पहले से गरम कर लें। रोल्ड बाजरे के फुल्के के आटे को गरम तवे पर रखें। कुछ ही सेकंड में आप देखेंगे कि छोटी हवा की जेबें बनने लगी हैं। इस बिंदु पर बेले हुए बाजरा फुल्का आटे को तवे पर दूसरी तरफ पलट दें। फिर से पलटें और एक नैपकिन से हल्के से दबाते हुए पहली तरफ पकाएं। बेले हुए फुल्का आटे को फूलना शुरू हो जाना चाहिए। पलटें और कुछ और सेकंड के लिए दूसरी तरफ पकाएं। गर्मी से निकालें, बाजरा फुल्का को एक सपाट प्लेट पर रखें और वैकल्पिक रूप से ऊपर की तरफ थोड़ा घी फैलाएं। बेले हुए आटे के शेष हिस्सों के लिए भी यही प्रक्रिया जारी रखें और फुल्का को एक के ऊपर एक रखते रहें। संपूर्ण स्वस्थ भोजन बनाने के लिए मिक्स बाजरा फुल्का रेसिपी को पालक पनीर कोफ्ता करी और डांगर पचड़ी विद ग्रेटेड गाजर के साथ परोसें। टिप इसलिए अगर आप ब्रेड बनाने में नए हैं तो खुद को समय दें। भले ही आपकी रोटी पहली बार या बाद में फूली हुई न हो, लेकिन आपने जो रोटियाँ बनाई हैं वे पकी हुई और खाने योग्य हैं, इसलिए आप उन्हें अपनी पसंद की सब्ज़ियों के साथ खा सकते हैं। पतले बेलन का इस्तेमाल करना ज़रूरी है, क्योंकि आपको आटे के साथ नरमी बरतनी होगी। भारी बेलन से आपको ज़्यादा दबाव डालना पड़ेगा जिससे वह फट सकता है। ब्रेड को पकड़ने के लिए पतले बेलन और चिमटे में निवेश करना अच्छा रहेगा, जो दुनिया भर के ज़्यादातर भारतीय स्टोर में उपलब्ध हैं। फुल्का के आटे को बेलते समय आटे में मिलाना भी एक और सहायक है जो आटे को बेलने को आसान बना देगा।</v>
      </c>
      <c r="J92" s="3" t="s">
        <v>31369</v>
      </c>
      <c r="L92" s="1" t="s">
        <v>31003</v>
      </c>
    </row>
    <row r="93" spans="1:12" ht="13.8">
      <c r="A93" s="1" t="s">
        <v>31370</v>
      </c>
      <c r="B93" s="1" t="s">
        <v>31371</v>
      </c>
      <c r="C93" s="1" t="s">
        <v>14198</v>
      </c>
      <c r="D93" s="1" t="s">
        <v>14198</v>
      </c>
      <c r="E93" s="1">
        <v>15</v>
      </c>
      <c r="F93" s="1" t="s">
        <v>31372</v>
      </c>
      <c r="G93" s="1" t="str">
        <f ca="1">IFERROR(__xludf.dummyfunction("IF(F93="""", """", GOOGLETRANSLATE(F93, ""en"", ""hi""))"),"2 बड़े चम्मच धनिया के बीज, 1 छोटा चम्मच मेथी के बीज, 1 छोटा चम्मच सरसों के बीज, 1 छोटा चम्मच कलौंजी के बीज, 1 छोटा चम्मच जीरा, 1 छोटा चम्मच सौंफ के बीज, 4 सूखी लाल मिर्च")</f>
        <v>2 बड़े चम्मच धनिया के बीज, 1 छोटा चम्मच मेथी के बीज, 1 छोटा चम्मच सरसों के बीज, 1 छोटा चम्मच कलौंजी के बीज, 1 छोटा चम्मच जीरा, 1 छोटा चम्मच सौंफ के बीज, 4 सूखी लाल मिर्च</v>
      </c>
      <c r="H93" s="1" t="s">
        <v>31373</v>
      </c>
      <c r="I93" s="1" t="str">
        <f ca="1">IFERROR(__xludf.dummyfunction("IF(H93="""", """", GOOGLETRANSLATE(H93, ""en"", ""hi""))"),"अचारी मसाला पाउडर रेसिपी बनाने के लिए सबसे पहले एक पैन में धनिया, मेथी, राई, कलौंजी, जीरा, सौंफ, सूखी लाल मिर्च डालकर सूखा भून लें। 2 से 3 मिनट बाद गैस बंद कर दें। इसे ठंडा होने दें। अब इसे मिक्सर ग्राइंडर में डालकर पाउडर बना लें। इस मसाले को एयर टाइट कंट"&amp;"ेनर में डालकर स्टोर कर लें। आप इसे 1 महीने तक इस्तेमाल कर सकते हैं। अचारी मसाला पाउडर का इस्तेमाल आप अचारी पनीर या अचारी भिंडी बनाने में कर सकते हैं।")</f>
        <v>अचारी मसाला पाउडर रेसिपी बनाने के लिए सबसे पहले एक पैन में धनिया, मेथी, राई, कलौंजी, जीरा, सौंफ, सूखी लाल मिर्च डालकर सूखा भून लें। 2 से 3 मिनट बाद गैस बंद कर दें। इसे ठंडा होने दें। अब इसे मिक्सर ग्राइंडर में डालकर पाउडर बना लें। इस मसाले को एयर टाइट कंटेनर में डालकर स्टोर कर लें। आप इसे 1 महीने तक इस्तेमाल कर सकते हैं। अचारी मसाला पाउडर का इस्तेमाल आप अचारी पनीर या अचारी भिंडी बनाने में कर सकते हैं।</v>
      </c>
      <c r="J93" s="3" t="s">
        <v>31374</v>
      </c>
      <c r="L93" s="1" t="s">
        <v>31003</v>
      </c>
    </row>
    <row r="94" spans="1:12" ht="13.8">
      <c r="A94" s="1" t="s">
        <v>31375</v>
      </c>
      <c r="B94" s="1" t="str">
        <f ca="1">IFERROR(__xludf.dummyfunction("IF(A94="""", """", GOOGLETRANSLATE(A94, ""en"", ""hi""))"),"लिलवे की सब्जी रेसिपी (हरे चने की सब्जी)")</f>
        <v>लिलवे की सब्जी रेसिपी (हरे चने की सब्जी)</v>
      </c>
      <c r="C94" s="1" t="s">
        <v>145</v>
      </c>
      <c r="D94" s="1" t="s">
        <v>14198</v>
      </c>
      <c r="E94" s="1">
        <v>60</v>
      </c>
      <c r="F94" s="1" t="s">
        <v>31376</v>
      </c>
      <c r="G94" s="1" t="str">
        <f ca="1">IFERROR(__xludf.dummyfunction("IF(F94="""", """", GOOGLETRANSLATE(F94, ""en"", ""hi""))"),"सूरजमुखी तेल - आवश्यकतानुसार, 1 कप ताजे हरे छोले, 1 आलू - टुकड़ों में कटा हुआ, 1 तेज पत्ता, 1 काली इलायची, 1 बड़ा चम्मच अदरक लहसुन पेस्ट, 1 प्याज - बारीक कटा हुआ, 1 प्याज - पेस्ट, 2 बड़े चम्मच दही, 1 चम्मच लाल मिर्च पाउडर, 3/4 चम्मच हल्दी पाउडर, 1 चम्मच ध"&amp;"निया पाउडर, नमक - आवश्यकतानुसार, पानी - आवश्यकतानुसार, 2 टहनी धनिया - बारीक कटी हुई")</f>
        <v>सूरजमुखी तेल - आवश्यकतानुसार, 1 कप ताजे हरे छोले, 1 आलू - टुकड़ों में कटा हुआ, 1 तेज पत्ता, 1 काली इलायची, 1 बड़ा चम्मच अदरक लहसुन पेस्ट, 1 प्याज - बारीक कटा हुआ, 1 प्याज - पेस्ट, 2 बड़े चम्मच दही, 1 चम्मच लाल मिर्च पाउडर, 3/4 चम्मच हल्दी पाउडर, 1 चम्मच धनिया पाउडर, नमक - आवश्यकतानुसार, पानी - आवश्यकतानुसार, 2 टहनी धनिया - बारीक कटी हुई</v>
      </c>
      <c r="H94" s="1" t="s">
        <v>31377</v>
      </c>
      <c r="I94" s="1" t="str">
        <f ca="1">IFERROR(__xludf.dummyfunction("IF(H94="""", """", GOOGLETRANSLATE(H94, ""en"", ""hi""))"),"लिलवे की सब्जी बनाने के लिए सबसे पहले एक भारी तले की कड़ाही में तेल गर्म करें और उसमें तेज पत्ता, लौंग और इलाइची डालें। उन्हें लगभग 15 सेकंड के लिए भूनें और बारीक कटा हुआ प्याज डालें। उन्हें तब तक पकाएँ जब तक वे नरम और पारदर्शी न हो जाएँ। कटे हुए आलू डाले"&amp;"ं और 5 मिनट या उनके नरम होने तक पकाएँ। इसके बाद, अदरक लहसुन का पेस्ट और प्याज का पेस्ट डालें। इसे 2 से 3 मिनट तक पकाएँ और फिर लाल मिर्च पाउडर, हल्दी पाउडर और धनिया पाउडर सहित सभी मसाले डालें। इसे 2 मिनट तक पकाएँ। इसके बाद दही और ज़रूरत के अनुसार नमक डालें"&amp;"। जब ग्रेवी किनारों से तेल छोड़ने लगे, तो हरे छोले डालें। 5 मिनट के बाद, ज़रूरत के हिसाब से पानी डालें, अच्छी तरह मिलाएँ और ढक्कन को ढक दें। इसे तब तक पकने दें जब तक ग्रेवी गाढ़ी न हो जाए और हरे छोले पक न जाएँ। एक बार जब यह पक जाए, तो धनिया पत्ती से गार्न"&amp;"िश करें और गरमागरम परोसें। लिलवे की सब्जी को वीकेंड के खाने के लिए गरमागरम चावल और रोटियों के साथ परोसें।")</f>
        <v>लिलवे की सब्जी बनाने के लिए सबसे पहले एक भारी तले की कड़ाही में तेल गर्म करें और उसमें तेज पत्ता, लौंग और इलाइची डालें। उन्हें लगभग 15 सेकंड के लिए भूनें और बारीक कटा हुआ प्याज डालें। उन्हें तब तक पकाएँ जब तक वे नरम और पारदर्शी न हो जाएँ। कटे हुए आलू डालें और 5 मिनट या उनके नरम होने तक पकाएँ। इसके बाद, अदरक लहसुन का पेस्ट और प्याज का पेस्ट डालें। इसे 2 से 3 मिनट तक पकाएँ और फिर लाल मिर्च पाउडर, हल्दी पाउडर और धनिया पाउडर सहित सभी मसाले डालें। इसे 2 मिनट तक पकाएँ। इसके बाद दही और ज़रूरत के अनुसार नमक डालें। जब ग्रेवी किनारों से तेल छोड़ने लगे, तो हरे छोले डालें। 5 मिनट के बाद, ज़रूरत के हिसाब से पानी डालें, अच्छी तरह मिलाएँ और ढक्कन को ढक दें। इसे तब तक पकने दें जब तक ग्रेवी गाढ़ी न हो जाए और हरे छोले पक न जाएँ। एक बार जब यह पक जाए, तो धनिया पत्ती से गार्निश करें और गरमागरम परोसें। लिलवे की सब्जी को वीकेंड के खाने के लिए गरमागरम चावल और रोटियों के साथ परोसें।</v>
      </c>
      <c r="J94" s="3" t="s">
        <v>31378</v>
      </c>
      <c r="L94" s="1" t="s">
        <v>31003</v>
      </c>
    </row>
    <row r="95" spans="1:12" ht="13.8">
      <c r="A95" s="1" t="s">
        <v>31379</v>
      </c>
      <c r="B95" s="1" t="str">
        <f ca="1">IFERROR(__xludf.dummyfunction("IF(A95="""", """", GOOGLETRANSLATE(A95, ""en"", ""hi""))"),"पनीर मटर कीमा रेसिपी")</f>
        <v>पनीर मटर कीमा रेसिपी</v>
      </c>
      <c r="C95" s="1" t="s">
        <v>145</v>
      </c>
      <c r="D95" s="1" t="s">
        <v>14198</v>
      </c>
      <c r="E95" s="1">
        <v>65</v>
      </c>
      <c r="F95" s="1" t="s">
        <v>31380</v>
      </c>
      <c r="G95" s="1" t="str">
        <f ca="1">IFERROR(__xludf.dummyfunction("IF(F95="""", """", GOOGLETRANSLATE(F95, ""en"", ""hi""))"),"1 कप हरी मटर - उबली और थोड़ी सी मैश की हुई, 1 आलू - उबली और मैश की हुई, 1/2 कप पनीर - टुकड़ों में कटा हुआ, 1 टमाटर - बारीक कटा हुआ, 1/4 कप घर का बना टमाटर प्यूरी, 1/2 चम्मच जीरा, 1/2 चम्मच सरसों के बीज, 1 चुटकी हींग, 1 प्याज - बारीक कटा हुआ, 1 बड़ा चम्मच "&amp;"अदरक लहसुन पेस्ट, धनिया के पत्ते - कुछ टहनियाँ, 1 चम्मच लाल मिर्च पाउडर, 1/2 चम्मच हल्दी पाउडर, 1 चम्मच धनिया पाउडर, 1/2 चम्मच गरम मसाला पाउडर, सूरजमुखी तेल - आवश्यकतानुसार, नमक - स्वादानुसार, पानी - आवश्यकतानुसार")</f>
        <v>1 कप हरी मटर - उबली और थोड़ी सी मैश की हुई, 1 आलू - उबली और मैश की हुई, 1/2 कप पनीर - टुकड़ों में कटा हुआ, 1 टमाटर - बारीक कटा हुआ, 1/4 कप घर का बना टमाटर प्यूरी, 1/2 चम्मच जीरा, 1/2 चम्मच सरसों के बीज, 1 चुटकी हींग, 1 प्याज - बारीक कटा हुआ, 1 बड़ा चम्मच अदरक लहसुन पेस्ट, धनिया के पत्ते - कुछ टहनियाँ, 1 चम्मच लाल मिर्च पाउडर, 1/2 चम्मच हल्दी पाउडर, 1 चम्मच धनिया पाउडर, 1/2 चम्मच गरम मसाला पाउडर, सूरजमुखी तेल - आवश्यकतानुसार, नमक - स्वादानुसार, पानी - आवश्यकतानुसार</v>
      </c>
      <c r="H95" s="1" t="s">
        <v>31381</v>
      </c>
      <c r="I95" s="1" t="str">
        <f ca="1">IFERROR(__xludf.dummyfunction("IF(H95="""", """", GOOGLETRANSLATE(H95, ""en"", ""hi""))"),"पनीर मटर कीमा रेसिपी बनाने के लिए सबसे पहले एक भारी तले की कड़ाही में तेल गर्म करें। उसमें जीरा, राई, हींग डालें और उसे चटकने दें। जब राई चटकने लगे तो उसमें बारीक कटा प्याज डालें। उन्हें नरम और पारदर्शी होने तक पकाएं। जब प्याज नरम हो जाए तो उसमें अदरक लहस"&amp;"ुन का पेस्ट डालें और लगभग 2 मिनट तक पकने दें। 2 मिनट बाद उसमें बारीक कटा टमाटर और टमाटर प्यूरी डालें। ढक्कन से ढक दें और लगभग 3 से 4 मिनट तक पकने दें। इसके बाद, लाल मिर्च पाउडर, हल्दी पाउडर, धनिया पाउडर, गरम मसाला पाउडर और नमक जैसे मसाले डालें। इसे 5 मिनट"&amp;" तक पकने दें। अब इसमें मसला हुआ आलू, टुकड़े किया हुआ पनीर और 1/4 कप पानी डालें। सब कुछ ठीक से मिलाएं और इसे 6 से 8 मिनट तक पकने दें। 6 से 8 मिनट के बाद, उबले हुए हरे मटर डालें, अच्छी तरह मिलाएँ, पैन को ढक दें और हरी मटर की ग्रेवी को सब्जियों के साथ और 3 स"&amp;"े 5 मिनट तक पकने दें। एक बार जब यह हो जाए, तो मटर कीमा रेसिपी को धनिया पत्ती से गार्निश करें और गर्मागर्म सर्व करें। पनीर मटर कीमा रेसिपी को दाल पालक, लौकी रायता और फुल्के के साथ अपने परिवार के साथ रोजाना के खाने के लिए परोसें।")</f>
        <v>पनीर मटर कीमा रेसिपी बनाने के लिए सबसे पहले एक भारी तले की कड़ाही में तेल गर्म करें। उसमें जीरा, राई, हींग डालें और उसे चटकने दें। जब राई चटकने लगे तो उसमें बारीक कटा प्याज डालें। उन्हें नरम और पारदर्शी होने तक पकाएं। जब प्याज नरम हो जाए तो उसमें अदरक लहसुन का पेस्ट डालें और लगभग 2 मिनट तक पकने दें। 2 मिनट बाद उसमें बारीक कटा टमाटर और टमाटर प्यूरी डालें। ढक्कन से ढक दें और लगभग 3 से 4 मिनट तक पकने दें। इसके बाद, लाल मिर्च पाउडर, हल्दी पाउडर, धनिया पाउडर, गरम मसाला पाउडर और नमक जैसे मसाले डालें। इसे 5 मिनट तक पकने दें। अब इसमें मसला हुआ आलू, टुकड़े किया हुआ पनीर और 1/4 कप पानी डालें। सब कुछ ठीक से मिलाएं और इसे 6 से 8 मिनट तक पकने दें। 6 से 8 मिनट के बाद, उबले हुए हरे मटर डालें, अच्छी तरह मिलाएँ, पैन को ढक दें और हरी मटर की ग्रेवी को सब्जियों के साथ और 3 से 5 मिनट तक पकने दें। एक बार जब यह हो जाए, तो मटर कीमा रेसिपी को धनिया पत्ती से गार्निश करें और गर्मागर्म सर्व करें। पनीर मटर कीमा रेसिपी को दाल पालक, लौकी रायता और फुल्के के साथ अपने परिवार के साथ रोजाना के खाने के लिए परोसें।</v>
      </c>
      <c r="J95" s="3" t="s">
        <v>31382</v>
      </c>
      <c r="L95" s="1" t="s">
        <v>31003</v>
      </c>
    </row>
    <row r="96" spans="1:12" ht="13.8">
      <c r="A96" s="1" t="s">
        <v>31383</v>
      </c>
      <c r="B96" s="1" t="s">
        <v>31384</v>
      </c>
      <c r="C96" s="1" t="s">
        <v>145</v>
      </c>
      <c r="D96" s="1" t="s">
        <v>14198</v>
      </c>
      <c r="E96" s="1">
        <v>40</v>
      </c>
      <c r="F96" s="1" t="s">
        <v>31385</v>
      </c>
      <c r="G96" s="1" t="str">
        <f ca="1">IFERROR(__xludf.dummyfunction("IF(F96="""", """", GOOGLETRANSLATE(F96, ""en"", ""hi""))"),"1 पत्तागोभी - छोटे टुकड़ों में कटी हुई, 2 गाजर - बारीक कटी हुई, 5 हरी बीन्स - कटी हुई, 1/2 कप हरी मिर्च, 1 शिमला मिर्च (हरा) - कटी हुई, 2 आलू - कटे हुए, 2 प्याज - कटे हुए, 1 इंच अदरक - कटा हुआ, 4 लहसुन के दाने - कटे हुए, 2 हरी मिर्च - कटी हुई, 2 टमाटर - प"&amp;"्यूरी, 1-1/5 बड़ा चम्मच धनिया पाउडर, 1/2 बड़ा चम्मच गरम मसाला पाउडर, 1 छोटा चम्मच लाल मिर्च पाउडर, नमक - स्वादानुसार, तेल - प्रयोगानुसार, 2 तेजपत्ता, 1 दालचीनी, 2 इलायची, 1 छोटा चम्मच अजवाइन, 100 ग्राम पनीर - छोटे टुकड़ों में कटा हुआ, 1 कप मक्खन, 1/2 कप क"&amp;"ाजू - पेस्ट बनाएं, 1/2 कप अनानास - छोटे टुकड़ों में कटा हुआ, 1/2 कप अनार के दाने, 2 बड़े चम्मच किशमिश, काजू - थोड़े से, धनिया पत्ती - सजाने के लिए, धनिया पत्ती - थोड़े से गार्निशिंग")</f>
        <v>1 पत्तागोभी - छोटे टुकड़ों में कटी हुई, 2 गाजर - बारीक कटी हुई, 5 हरी बीन्स - कटी हुई, 1/2 कप हरी मिर्च, 1 शिमला मिर्च (हरा) - कटी हुई, 2 आलू - कटे हुए, 2 प्याज - कटे हुए, 1 इंच अदरक - कटा हुआ, 4 लहसुन के दाने - कटे हुए, 2 हरी मिर्च - कटी हुई, 2 टमाटर - प्यूरी, 1-1/5 बड़ा चम्मच धनिया पाउडर, 1/2 बड़ा चम्मच गरम मसाला पाउडर, 1 छोटा चम्मच लाल मिर्च पाउडर, नमक - स्वादानुसार, तेल - प्रयोगानुसार, 2 तेजपत्ता, 1 दालचीनी, 2 इलायची, 1 छोटा चम्मच अजवाइन, 100 ग्राम पनीर - छोटे टुकड़ों में कटा हुआ, 1 कप मक्खन, 1/2 कप काजू - पेस्ट बनाएं, 1/2 कप अनानास - छोटे टुकड़ों में कटा हुआ, 1/2 कप अनार के दाने, 2 बड़े चम्मच किशमिश, काजू - थोड़े से, धनिया पत्ती - सजाने के लिए, धनिया पत्ती - थोड़े से गार्निशिंग</v>
      </c>
      <c r="H96" s="1" t="s">
        <v>31386</v>
      </c>
      <c r="I96" s="1" t="str">
        <f ca="1">IFERROR(__xludf.dummyfunction("IF(H96="""", """", GOOGLETRANSLATE(H96, ""en"", ""hi""))"),"""नवरतन कोरमा (सूखा) बनाने के लिए सबसे पहले सारी सामग्री तैयार कर लें। अब एक पैन में तेल गर्म करें और उसमें पनीर के टुकड़े डालें। इसे अच्छे से भून लें और अतिरिक्त तेल सोखने के लिए टिशू पर निकाल लें। थोड़ा और तेल डालें और सारे खड़े मसाले डालें। 10 सेकंड बा"&amp;"द प्याज़ डालें और इसे नरम होने तक पकाएँ। प्याज़ के नरम होने के बाद इसमें अदरक लहसुन का पेस्ट और हरी मिर्च डालें। इसे 2 से 3 मिनट तक पकाएँ। अब इसमें टमाटर प्यूरी डालें और 3 से 5 मिनट तक पकाएँ। अब इसमें कटी हुई सब्ज़ियाँ डालें। अच्छे से मिलाएँ और फिर इसमें "&amp;"धनिया पाउडर, लाल मिर्च पाउडर, गरम मसाला डालें और 5 मिनट तक पकने दें। 5 मिनट बाद इसमें काजू का पेस्ट और मक्खन डालें और सारी चीज़ें मिलाएँ। इसके बाद इसमें 1/2 कप पानी डालें और पैन को ढक दें। इसे 7 से 8 मिनट तक पकने दें। जब सब्ज़ियाँ नरम हो जाएँ तो इसमें किश"&amp;"मिश और काजू डालें। 1 मिनट बाद इसमें अनानास और अनार डालें। गैस बंद कर दें, पनीर के टुकड़े डालें और हरी पत्तियों से सजाएँ। नवरतन कोरमा परोसें (सूखा) रात के खाने में फुल्का, पंचमेल दाल और बूंदी रायता के साथ।")</f>
        <v>"नवरतन कोरमा (सूखा) बनाने के लिए सबसे पहले सारी सामग्री तैयार कर लें। अब एक पैन में तेल गर्म करें और उसमें पनीर के टुकड़े डालें। इसे अच्छे से भून लें और अतिरिक्त तेल सोखने के लिए टिशू पर निकाल लें। थोड़ा और तेल डालें और सारे खड़े मसाले डालें। 10 सेकंड बाद प्याज़ डालें और इसे नरम होने तक पकाएँ। प्याज़ के नरम होने के बाद इसमें अदरक लहसुन का पेस्ट और हरी मिर्च डालें। इसे 2 से 3 मिनट तक पकाएँ। अब इसमें टमाटर प्यूरी डालें और 3 से 5 मिनट तक पकाएँ। अब इसमें कटी हुई सब्ज़ियाँ डालें। अच्छे से मिलाएँ और फिर इसमें धनिया पाउडर, लाल मिर्च पाउडर, गरम मसाला डालें और 5 मिनट तक पकने दें। 5 मिनट बाद इसमें काजू का पेस्ट और मक्खन डालें और सारी चीज़ें मिलाएँ। इसके बाद इसमें 1/2 कप पानी डालें और पैन को ढक दें। इसे 7 से 8 मिनट तक पकने दें। जब सब्ज़ियाँ नरम हो जाएँ तो इसमें किशमिश और काजू डालें। 1 मिनट बाद इसमें अनानास और अनार डालें। गैस बंद कर दें, पनीर के टुकड़े डालें और हरी पत्तियों से सजाएँ। नवरतन कोरमा परोसें (सूखा) रात के खाने में फुल्का, पंचमेल दाल और बूंदी रायता के साथ।</v>
      </c>
      <c r="J96" s="3" t="s">
        <v>31387</v>
      </c>
      <c r="L96" s="1" t="s">
        <v>31003</v>
      </c>
    </row>
    <row r="97" spans="1:12" ht="13.8">
      <c r="A97" s="1" t="s">
        <v>31388</v>
      </c>
      <c r="B97" s="1" t="str">
        <f ca="1">IFERROR(__xludf.dummyfunction("IF(A97="""", """", GOOGLETRANSLATE(A97, ""en"", ""hi""))"),"तुरई प्याज हरी मिर्च की सब्जी रेसिपी-हरी मिर्च और प्याज के साथ तुरई लौकी को भून लें")</f>
        <v>तुरई प्याज हरी मिर्च की सब्जी रेसिपी-हरी मिर्च और प्याज के साथ तुरई लौकी को भून लें</v>
      </c>
      <c r="C97" s="1" t="s">
        <v>145</v>
      </c>
      <c r="D97" s="1" t="s">
        <v>14198</v>
      </c>
      <c r="E97" s="1">
        <v>30</v>
      </c>
      <c r="F97" s="1" t="s">
        <v>31389</v>
      </c>
      <c r="G97" s="1" t="str">
        <f ca="1">IFERROR(__xludf.dummyfunction("IF(F97="""", """", GOOGLETRANSLATE(F97, ""en"", ""hi""))"),"300 ग्राम तुरई / पीरकंगई - छीलकर टुकड़ों में कटी हुई, 2 बड़ी हरी मिर्च - टुकड़ों में कटी हुई, 1 चम्मच अजवाइन, 1 प्याज - बारीक कटा हुआ, 2 लहसुन के दाने - बारीक कटे हुए, 1 इंच अदरक - कद्दूकस किया हुआ, 1 टमाटर - बारीक कटा हुआ, 1/2 चम्मच हल्दी, 1 चम्मच धनिया "&amp;"पाउडर, 1 चम्मच अमचूर, 1 बड़ा चम्मच गुड़, नमक - स्वादानुसार, 1 चम्मच सूरजमुखी तेल, धनिया पत्ते - बारीक कटे हुए")</f>
        <v>300 ग्राम तुरई / पीरकंगई - छीलकर टुकड़ों में कटी हुई, 2 बड़ी हरी मिर्च - टुकड़ों में कटी हुई, 1 चम्मच अजवाइन, 1 प्याज - बारीक कटा हुआ, 2 लहसुन के दाने - बारीक कटे हुए, 1 इंच अदरक - कद्दूकस किया हुआ, 1 टमाटर - बारीक कटा हुआ, 1/2 चम्मच हल्दी, 1 चम्मच धनिया पाउडर, 1 चम्मच अमचूर, 1 बड़ा चम्मच गुड़, नमक - स्वादानुसार, 1 चम्मच सूरजमुखी तेल, धनिया पत्ते - बारीक कटे हुए</v>
      </c>
      <c r="H97" s="1" t="s">
        <v>31390</v>
      </c>
      <c r="I97" s="1" t="str">
        <f ca="1">IFERROR(__xludf.dummyfunction("IF(H97="""", """", GOOGLETRANSLATE(H97, ""en"", ""hi""))"),"तुरई प्याज हरी मिर्च की सब्जी बनाने के लिए सबसे पहले सभी सामग्री तैयार कर लें। बड़ी हरी मिर्च से बीज निकालकर एक तरफ रख दें। प्रेशर कुकर में एक चम्मच तेल गर्म करें, उसमें अजवाइन डालें और चटकने दें। इसमें प्याज, अदरक, लहसुन डालें और प्याज के नरम होने तक भून"&amp;"ें। प्याज के नरम हो जाने पर इसमें टमाटर और बाकी मसाले डालकर कुछ सेकेंड के लिए भूनें। आखिर में कटी हुई तुरई, बड़ी हरी मिर्च और स्वादानुसार नमक डालें। 1/4 कप पानी डालें, प्रेशर कुकर को ढक दें और तीन सीटी आने तक पकाएं और आंच बंद कर दें। पक जाने के बाद प्रेशर"&amp;" को तुरंत कम करने के लिए कुकर को ठंडे पानी के नीचे चला दें एक बार हो जाने पर, धनिया पत्ती डालकर हिलाएं, एक सर्विंग बाउल में डालें और परोसें। एक पौष्टिक सप्ताह की रात के खाने के लिए मेथी थेपला, मूली रायता के साथ तुरई प्याज हरी मिर्च की सब्जी रेसिपी परोसें।")</f>
        <v>तुरई प्याज हरी मिर्च की सब्जी बनाने के लिए सबसे पहले सभी सामग्री तैयार कर लें। बड़ी हरी मिर्च से बीज निकालकर एक तरफ रख दें। प्रेशर कुकर में एक चम्मच तेल गर्म करें, उसमें अजवाइन डालें और चटकने दें। इसमें प्याज, अदरक, लहसुन डालें और प्याज के नरम होने तक भूनें। प्याज के नरम हो जाने पर इसमें टमाटर और बाकी मसाले डालकर कुछ सेकेंड के लिए भूनें। आखिर में कटी हुई तुरई, बड़ी हरी मिर्च और स्वादानुसार नमक डालें। 1/4 कप पानी डालें, प्रेशर कुकर को ढक दें और तीन सीटी आने तक पकाएं और आंच बंद कर दें। पक जाने के बाद प्रेशर को तुरंत कम करने के लिए कुकर को ठंडे पानी के नीचे चला दें एक बार हो जाने पर, धनिया पत्ती डालकर हिलाएं, एक सर्विंग बाउल में डालें और परोसें। एक पौष्टिक सप्ताह की रात के खाने के लिए मेथी थेपला, मूली रायता के साथ तुरई प्याज हरी मिर्च की सब्जी रेसिपी परोसें।</v>
      </c>
      <c r="J97" s="3" t="s">
        <v>31391</v>
      </c>
      <c r="L97" s="1" t="s">
        <v>31003</v>
      </c>
    </row>
    <row r="98" spans="1:12" ht="13.8">
      <c r="A98" s="1" t="s">
        <v>31392</v>
      </c>
      <c r="B98" s="1" t="str">
        <f ca="1">IFERROR(__xludf.dummyfunction("IF(A98="""", """", GOOGLETRANSLATE(A98, ""en"", ""hi""))"),"बेबी कॉर्न गाजर सब्ज़ी रेसिपी")</f>
        <v>बेबी कॉर्न गाजर सब्ज़ी रेसिपी</v>
      </c>
      <c r="C98" s="1" t="s">
        <v>14207</v>
      </c>
      <c r="D98" s="1" t="s">
        <v>14198</v>
      </c>
      <c r="E98" s="1">
        <v>40</v>
      </c>
      <c r="F98" s="1" t="s">
        <v>31393</v>
      </c>
      <c r="G98" s="1" t="str">
        <f ca="1">IFERROR(__xludf.dummyfunction("IF(F98="""", """", GOOGLETRANSLATE(F98, ""en"", ""hi""))"),"1 कप बेबी कॉर्न - कटा हुआ, 2 गाजर - मध्यम आकार के क्यूब्स में कटी हुई, 1 हरी मिर्च - कटी हुई, 1 चम्मच सौंफ, 1 चम्मच लाल मिर्च पाउडर, 1 चम्मच धनिया पाउडर, 1 चम्मच आमचूर, 1 चम्मच गुड़, 1/4 चम्मच हल्दी पाउडर, नमक - स्वादानुसार, 3 बड़े चम्मच ताजा नारियल - कसा"&amp;" हुआ, 1 टहनी धनिया - कटी हुई, सूरजमुखी का तेल")</f>
        <v>1 कप बेबी कॉर्न - कटा हुआ, 2 गाजर - मध्यम आकार के क्यूब्स में कटी हुई, 1 हरी मिर्च - कटी हुई, 1 चम्मच सौंफ, 1 चम्मच लाल मिर्च पाउडर, 1 चम्मच धनिया पाउडर, 1 चम्मच आमचूर, 1 चम्मच गुड़, 1/4 चम्मच हल्दी पाउडर, नमक - स्वादानुसार, 3 बड़े चम्मच ताजा नारियल - कसा हुआ, 1 टहनी धनिया - कटी हुई, सूरजमुखी का तेल</v>
      </c>
      <c r="H98" s="1" t="s">
        <v>31394</v>
      </c>
      <c r="I98" s="1" t="str">
        <f ca="1">IFERROR(__xludf.dummyfunction("IF(H98="""", """", GOOGLETRANSLATE(H98, ""en"", ""hi""))"),"बेबी कॉर्न गाजर सब्ज़ी रेसिपी बनाने के लिए सबसे पहले हम सब्ज़ियों को पानी और नमक के साथ लगभग 1 सीटी आने तक पकाएँगे। प्रेशर को अपने आप निकलने दें, अगर अतिरिक्त पानी हो तो उसे निकाल दें। एक सॉस पैन में तेल गर्म करें, उसमें सौंफ़ के बीज डालें और उसे चटकने दे"&amp;"ं, आँच धीमी कर दें और हरी मिर्च डालें और नरम होने तक भूनें। पकी हुई सब्ज़ियाँ डालें और 2 मिनट तक भूनें। लाल मिर्च पाउडर, धनिया पाउडर, अमचूर पाउडर, हल्दी पाउडर, नमक और गुड़ सहित सभी मसाले डालें और मिलाएँ। जब मसाले अच्छी तरह से लग जाएँ तो इसमें कद्दूकस किया"&amp;" हुआ नारियल डालें और मसाले के लिए जाँच करें। अंत में धनिया पत्ती डालें और गरमागरम परोसें। बेबी कॉर्न गाजर सब्ज़ी रेसिपी को तवा पराठा, सब्जियों के साथ मसालेदार पनीर पुलाव और रायता के साथ परोसें")</f>
        <v>बेबी कॉर्न गाजर सब्ज़ी रेसिपी बनाने के लिए सबसे पहले हम सब्ज़ियों को पानी और नमक के साथ लगभग 1 सीटी आने तक पकाएँगे। प्रेशर को अपने आप निकलने दें, अगर अतिरिक्त पानी हो तो उसे निकाल दें। एक सॉस पैन में तेल गर्म करें, उसमें सौंफ़ के बीज डालें और उसे चटकने दें, आँच धीमी कर दें और हरी मिर्च डालें और नरम होने तक भूनें। पकी हुई सब्ज़ियाँ डालें और 2 मिनट तक भूनें। लाल मिर्च पाउडर, धनिया पाउडर, अमचूर पाउडर, हल्दी पाउडर, नमक और गुड़ सहित सभी मसाले डालें और मिलाएँ। जब मसाले अच्छी तरह से लग जाएँ तो इसमें कद्दूकस किया हुआ नारियल डालें और मसाले के लिए जाँच करें। अंत में धनिया पत्ती डालें और गरमागरम परोसें। बेबी कॉर्न गाजर सब्ज़ी रेसिपी को तवा पराठा, सब्जियों के साथ मसालेदार पनीर पुलाव और रायता के साथ परोसें</v>
      </c>
      <c r="J98" s="3" t="s">
        <v>31395</v>
      </c>
      <c r="L98" s="1" t="s">
        <v>31003</v>
      </c>
    </row>
    <row r="99" spans="1:12" ht="13.8">
      <c r="A99" s="1" t="s">
        <v>31396</v>
      </c>
      <c r="B99" s="1" t="str">
        <f ca="1">IFERROR(__xludf.dummyfunction("IF(A99="""", """", GOOGLETRANSLATE(A99, ""en"", ""hi""))"),"मूंग दाल डुबका रेसिपी")</f>
        <v>मूंग दाल डुबका रेसिपी</v>
      </c>
      <c r="C99" s="1" t="s">
        <v>14207</v>
      </c>
      <c r="D99" s="1" t="s">
        <v>14237</v>
      </c>
      <c r="E99" s="1">
        <v>25</v>
      </c>
      <c r="F99" s="1" t="s">
        <v>31397</v>
      </c>
      <c r="G99" s="1" t="str">
        <f ca="1">IFERROR(__xludf.dummyfunction("IF(F99="""", """", GOOGLETRANSLATE(F99, ""en"", ""hi""))"),"1 कप पीली मूंग दाल - एक घंटे के लिए भिगोई हुई, 2 टमाटर, 1/2 चम्मच हल्दी, 2 बड़े चम्मच सरसों का तेल, नमक - स्वादानुसार, 1 प्याज - कटा हुआ, 1 इंच अदरक, 4 लहसुन के टुकड़े, 3 सूखी लाल मिर्च, 1 चम्मच जीरा, 2 बड़े चम्मच धनिया, 1 चम्मच साबुत काली मिर्च")</f>
        <v>1 कप पीली मूंग दाल - एक घंटे के लिए भिगोई हुई, 2 टमाटर, 1/2 चम्मच हल्दी, 2 बड़े चम्मच सरसों का तेल, नमक - स्वादानुसार, 1 प्याज - कटा हुआ, 1 इंच अदरक, 4 लहसुन के टुकड़े, 3 सूखी लाल मिर्च, 1 चम्मच जीरा, 2 बड़े चम्मच धनिया, 1 चम्मच साबुत काली मिर्च</v>
      </c>
      <c r="H99" s="1" t="s">
        <v>31398</v>
      </c>
      <c r="I99" s="1" t="str">
        <f ca="1">IFERROR(__xludf.dummyfunction("IF(H99="""", """", GOOGLETRANSLATE(H99, ""en"", ""hi""))"),"मूंग दाल डुबका रेसिपी बनाने के लिए सबसे पहले मूंग दाल को धोकर एक घंटे के लिए भिगो दें, फिर मिक्सर ग्राइंडर का उपयोग करके इसे दरदरा पीस लें और एक तरफ रख दें। मसाला पेस्ट टेबल में बताई गई सामग्री को मिक्सर का उपयोग करके बारीक पेस्ट बना लें और एक तरफ रख दें।"&amp;" एक चौड़े पैन में मध्यम आंच पर सरसों का तेल डालकर अच्छी तरह से पकने तक धुंआ करें। इसमें पिसा हुआ मसाला पेस्ट डालें और तब तक भूनें जब तक प्याज लहसुन की कच्ची महक न चली जाए। इसमें टमाटर प्यूरी, हल्दी पाउडर, नमक डालें और तब तक भूनें जब तक टमाटर प्यूरी अच्छी "&amp;"तरह से पक न जाए। अब इसमें दरदरा पिसा हुआ मूंग दाल का मिश्रण और पर्याप्त पानी डालें और इसे तब तक पकने दें जब तक दाल पक न जाए। यह गाढ़ा होता रहता है, इसलिए पानी की मात्रा को अपनी पसंद के अनुसार समायोजित करें और आवश्यकतानुसार नमक डालें। आंच बंद कर दें और मूं"&amp;"ग दाल डुबका रेसिपी को स्टीम्ड राइस और कलौंजी गोभी आलू रेसिपी के साथ सर्दियों के लंच के लिए परोसें।")</f>
        <v>मूंग दाल डुबका रेसिपी बनाने के लिए सबसे पहले मूंग दाल को धोकर एक घंटे के लिए भिगो दें, फिर मिक्सर ग्राइंडर का उपयोग करके इसे दरदरा पीस लें और एक तरफ रख दें। मसाला पेस्ट टेबल में बताई गई सामग्री को मिक्सर का उपयोग करके बारीक पेस्ट बना लें और एक तरफ रख दें। एक चौड़े पैन में मध्यम आंच पर सरसों का तेल डालकर अच्छी तरह से पकने तक धुंआ करें। इसमें पिसा हुआ मसाला पेस्ट डालें और तब तक भूनें जब तक प्याज लहसुन की कच्ची महक न चली जाए। इसमें टमाटर प्यूरी, हल्दी पाउडर, नमक डालें और तब तक भूनें जब तक टमाटर प्यूरी अच्छी तरह से पक न जाए। अब इसमें दरदरा पिसा हुआ मूंग दाल का मिश्रण और पर्याप्त पानी डालें और इसे तब तक पकने दें जब तक दाल पक न जाए। यह गाढ़ा होता रहता है, इसलिए पानी की मात्रा को अपनी पसंद के अनुसार समायोजित करें और आवश्यकतानुसार नमक डालें। आंच बंद कर दें और मूंग दाल डुबका रेसिपी को स्टीम्ड राइस और कलौंजी गोभी आलू रेसिपी के साथ सर्दियों के लंच के लिए परोसें।</v>
      </c>
      <c r="J99" s="3" t="s">
        <v>31399</v>
      </c>
      <c r="L99" s="1" t="s">
        <v>31003</v>
      </c>
    </row>
    <row r="100" spans="1:12" ht="13.8">
      <c r="A100" s="1" t="s">
        <v>31400</v>
      </c>
      <c r="B100" s="1" t="str">
        <f ca="1">IFERROR(__xludf.dummyfunction("IF(A100="""", """", GOOGLETRANSLATE(A100, ""en"", ""hi""))"),"मिनी चिली चीज़ आलू कुल्चा रेसिपी")</f>
        <v>मिनी चिली चीज़ आलू कुल्चा रेसिपी</v>
      </c>
      <c r="C100" s="1" t="s">
        <v>14207</v>
      </c>
      <c r="D100" s="1" t="s">
        <v>14198</v>
      </c>
      <c r="E100" s="1">
        <v>65</v>
      </c>
      <c r="F100" s="1" t="s">
        <v>31401</v>
      </c>
      <c r="G100" s="1" t="str">
        <f ca="1">IFERROR(__xludf.dummyfunction("IF(F100="""", """", GOOGLETRANSLATE(F100, ""en"", ""hi""))"),"1 कप गेहूं का आटा, 1 कप मैदा, 1 1/2 चम्मच सक्रिय सूखा खमीर, 1/4 कप दही, 1 चम्मच चीनी, नमक - स्वादानुसार, पानी - गर्म, 1 चम्मच सूरजमुखी का तेल, 6 आलू - उबले और मसले हुए, 2 प्याज - बारीक कटे हुए, 5 हरी मिर्च - बारीक कटी हुई, 1 चम्मच चाट मसाला पाउडर, 1 चम्मच"&amp;" आमचूर, 200 ग्राम ब्रिटानिया चीज़ - कद्दूकस किया हुआ, पुदीना के पत्ते - छोटा गुच्छा, घी - कुल्चा पकाने के लिए, 2 बड़े चम्मच ब्रिटानिया चीज़ स्प्रेड - भुना हुआ लहसुन, 1/2 कप हंग कर्ड (ग्रीक योगर्ट), 1/4 कप खीरा - बारीक कटा हुआ, केसर के रेशे - थोड़े, पार्सल"&amp;"े के पत्ते - थोड़े, नमक - चुटकी")</f>
        <v>1 कप गेहूं का आटा, 1 कप मैदा, 1 1/2 चम्मच सक्रिय सूखा खमीर, 1/4 कप दही, 1 चम्मच चीनी, नमक - स्वादानुसार, पानी - गर्म, 1 चम्मच सूरजमुखी का तेल, 6 आलू - उबले और मसले हुए, 2 प्याज - बारीक कटे हुए, 5 हरी मिर्च - बारीक कटी हुई, 1 चम्मच चाट मसाला पाउडर, 1 चम्मच आमचूर, 200 ग्राम ब्रिटानिया चीज़ - कद्दूकस किया हुआ, पुदीना के पत्ते - छोटा गुच्छा, घी - कुल्चा पकाने के लिए, 2 बड़े चम्मच ब्रिटानिया चीज़ स्प्रेड - भुना हुआ लहसुन, 1/2 कप हंग कर्ड (ग्रीक योगर्ट), 1/4 कप खीरा - बारीक कटा हुआ, केसर के रेशे - थोड़े, पार्सले के पत्ते - थोड़े, नमक - चुटकी</v>
      </c>
      <c r="H100" s="1" t="s">
        <v>31402</v>
      </c>
      <c r="I100" s="1" t="str">
        <f ca="1">IFERROR(__xludf.dummyfunction("IF(H100="""", """", GOOGLETRANSLATE(H100, ""en"", ""hi""))"),"मिनी चिली चीज़ आलू कुलचा रेसिपी बनाने के लिए सबसे पहले हम आटा गूंथ कर तैयार रखेंगे। एक मिक्सिंग बाउल में गेहूं का आटा, मैदा, यीस्ट, दही, चीनी, नमक डालें और उंगलियों से मिलाएँ। इसके बाद इसमें थोड़ा-थोड़ा गर्म पानी डालकर नरम आटा गूंथ लें। अंत में थोड़ा तेल "&amp;"डालें और कुछ और मिनट के लिए गूंथ लें। पैन को ढक दें और इसे लगभग 2 घंटे के लिए आराम देने और फूलने दें। कुलचे के लिए भरावन बनाने के लिए एक बाउल में मसले हुए आलू, प्याज़, हरी मिर्च, अमचूर पाउडर, चाट मसाला पाउडर, स्वादानुसार नमक और अंत में पुदीने के पत्ते डाल"&amp;"ें। अच्छी तरह मिलाएँ। अंत में हम कुलचे भरेंगे। आटे को गर्म जगह से हटाएँ, आटे को अपनी उंगलियों से दबा कुल्चा के आटे में आलू का भरावन चम्मच से डालें, फिर कद्दूकस किया हुआ ब्रिटानिया चीज़ा डालें और किनारों को बंद कर दें। धीरे से रोल करें और एक तरफ रख दें। इन"&amp;"्हें पकाने से पहले कुछ और चीज़ आलू कुलचा रेसिपी बना लें। मिनी चिली चीज़ आलू कुलचा को पहले से गरम किए हुए पैन में रखें और दोनों तरफ कुछ सेकंड के लिए पकाएं। जब आपको लगे कि आटे का कच्चापन चला गया है, थोड़ा घी छिड़कें और दोनों तरफ से सुनहरा और कुरकुरा होने तक"&amp;" अच्छी तरह पकाएं। हो जाने पर मिनी चिली चीज़ आलू कुलचा को एक सर्विंग प्लेट में निकालें और भुने हुए लहसुन डिप के साथ गरमागरम परोसें। भुने हुए लहसुन डिप बनाने के लिए; एक मिक्सिंग बाउल में ब्रिटानिया रोस्टेड गार्लिक चीज़ स्प्रेड, हंग योगर्ट, खीरा, केसर, पार्स"&amp;"ले के पत्ते, नमक डालें भुने हुए लहसुन की चटनी को एक सर्विंग बाउल में डालें और पार्टियों के लिए ऐपेटाइज़र के रूप में चिली चीज़ कुल्चा के साथ परोसें। आप मिनी चिली चीज़ आलू कुल्चा रेसिपी को तड़केवाली मसूर दाल या दम मुर्ग आतिशी, अचार वाले प्याज के साथ एक साधा"&amp;"रण लेकिन स्वादिष्ट पार्टी भोजन या यहां तक ​​कि एक विशेष सप्ताहांत रात के खाने के लिए भी परोस सकते हैं।")</f>
        <v>मिनी चिली चीज़ आलू कुलचा रेसिपी बनाने के लिए सबसे पहले हम आटा गूंथ कर तैयार रखेंगे। एक मिक्सिंग बाउल में गेहूं का आटा, मैदा, यीस्ट, दही, चीनी, नमक डालें और उंगलियों से मिलाएँ। इसके बाद इसमें थोड़ा-थोड़ा गर्म पानी डालकर नरम आटा गूंथ लें। अंत में थोड़ा तेल डालें और कुछ और मिनट के लिए गूंथ लें। पैन को ढक दें और इसे लगभग 2 घंटे के लिए आराम देने और फूलने दें। कुलचे के लिए भरावन बनाने के लिए एक बाउल में मसले हुए आलू, प्याज़, हरी मिर्च, अमचूर पाउडर, चाट मसाला पाउडर, स्वादानुसार नमक और अंत में पुदीने के पत्ते डालें। अच्छी तरह मिलाएँ। अंत में हम कुलचे भरेंगे। आटे को गर्म जगह से हटाएँ, आटे को अपनी उंगलियों से दबा कुल्चा के आटे में आलू का भरावन चम्मच से डालें, फिर कद्दूकस किया हुआ ब्रिटानिया चीज़ा डालें और किनारों को बंद कर दें। धीरे से रोल करें और एक तरफ रख दें। इन्हें पकाने से पहले कुछ और चीज़ आलू कुलचा रेसिपी बना लें। मिनी चिली चीज़ आलू कुलचा को पहले से गरम किए हुए पैन में रखें और दोनों तरफ कुछ सेकंड के लिए पकाएं। जब आपको लगे कि आटे का कच्चापन चला गया है, थोड़ा घी छिड़कें और दोनों तरफ से सुनहरा और कुरकुरा होने तक अच्छी तरह पकाएं। हो जाने पर मिनी चिली चीज़ आलू कुलचा को एक सर्विंग प्लेट में निकालें और भुने हुए लहसुन डिप के साथ गरमागरम परोसें। भुने हुए लहसुन डिप बनाने के लिए; एक मिक्सिंग बाउल में ब्रिटानिया रोस्टेड गार्लिक चीज़ स्प्रेड, हंग योगर्ट, खीरा, केसर, पार्सले के पत्ते, नमक डालें भुने हुए लहसुन की चटनी को एक सर्विंग बाउल में डालें और पार्टियों के लिए ऐपेटाइज़र के रूप में चिली चीज़ कुल्चा के साथ परोसें। आप मिनी चिली चीज़ आलू कुल्चा रेसिपी को तड़केवाली मसूर दाल या दम मुर्ग आतिशी, अचार वाले प्याज के साथ एक साधारण लेकिन स्वादिष्ट पार्टी भोजन या यहां तक ​​कि एक विशेष सप्ताहांत रात के खाने के लिए भी परोस सकते हैं।</v>
      </c>
      <c r="J100" s="3" t="s">
        <v>31403</v>
      </c>
      <c r="L100" s="1" t="s">
        <v>31003</v>
      </c>
    </row>
    <row r="101" spans="1:12" ht="13.8">
      <c r="A101" s="1" t="s">
        <v>31404</v>
      </c>
      <c r="B101" s="1" t="str">
        <f ca="1">IFERROR(__xludf.dummyfunction("IF(A101="""", """", GOOGLETRANSLATE(A101, ""en"", ""hi""))"),"प्याज़ थेपला रेसिपी")</f>
        <v>प्याज़ थेपला रेसिपी</v>
      </c>
      <c r="C101" s="1" t="s">
        <v>145</v>
      </c>
      <c r="D101" s="1" t="s">
        <v>14198</v>
      </c>
      <c r="E101" s="1">
        <v>40</v>
      </c>
      <c r="F101" s="1" t="s">
        <v>31405</v>
      </c>
      <c r="G101" s="1" t="str">
        <f ca="1">IFERROR(__xludf.dummyfunction("IF(F101="""", """", GOOGLETRANSLATE(F101, ""en"", ""hi""))"),"2 कप गेहूं का आटा, 2 प्याज - बारीक कटा हुआ, 1 हरी मिर्च - बारीक कटी हुई, 1 इंच अदरक - बारीक कटा हुआ, 3 लहसुन - बारीक कटा हुआ, 2 चम्मच गरम मसाला पाउडर, 2 चम्मच अमचूर, 1 चम्मच हल्दी पाउडर, 1 चम्मच काली मिर्च पाउडर, नमक - स्वादानुसार, 1 बड़ा चम्मच सूरजमुखी त"&amp;"ेल - आटे के लिए, घी - या तेल थेपला बनाने के लिए")</f>
        <v>2 कप गेहूं का आटा, 2 प्याज - बारीक कटा हुआ, 1 हरी मिर्च - बारीक कटी हुई, 1 इंच अदरक - बारीक कटा हुआ, 3 लहसुन - बारीक कटा हुआ, 2 चम्मच गरम मसाला पाउडर, 2 चम्मच अमचूर, 1 चम्मच हल्दी पाउडर, 1 चम्मच काली मिर्च पाउडर, नमक - स्वादानुसार, 1 बड़ा चम्मच सूरजमुखी तेल - आटे के लिए, घी - या तेल थेपला बनाने के लिए</v>
      </c>
      <c r="H101" s="1" t="s">
        <v>31406</v>
      </c>
      <c r="I101" s="1" t="str">
        <f ca="1">IFERROR(__xludf.dummyfunction("IF(H101="""", """", GOOGLETRANSLATE(H101, ""en"", ""hi""))"),"प्याज़ के थेपले की रेसिपी बनाने के लिए, हम सबसे पहले एक कढ़ाई में तेल गर्म करेंगे, उसमें जीरा डालेंगे और कुछ सेकंड के लिए उसे चटकने देंगे। अदरक और लहसुन डालें और उन्हें नरम होने तक भूनें, कटे हुए प्याज़ डालें और उन्हें सुनहरा भूरा होने तक पकाएँ। एक बार हो"&amp;" जाने पर हरी मिर्च और सभी मसाले जैसे गरम मसाला पाउडर, अमचूर पाउडर, हल्दी पाउडर, काली मिर्च पाउडर और स्वादानुसार नमक डालें और अच्छी तरह मिलाएँ, अच्छी तरह मिलने और पकने तक कुछ और मिनट तक पकाएँ और आँच बंद कर दें। इसे ठंडा होने दें और इस भुने हुए प्याज़ को एक"&amp;" कटोरे में गेहूँ के आटे और तेल के साथ मिलाएँ। थोड़ा-थोड़ा करके पानी डालें और एक सख्त आटा गूंथ लें जो चिपचिपा न हो। कम से कम 10 मिनट के लिए आराम दें और उन्हें मध्यम आकार की गेंदों का आकार दें। इसे गेहूँ के आटे से ढँक दें और इसे धीरे से बेलकर थेपला बनाएँ। थ"&amp;"ेपले का व्यास इस बात पर निर्भर करता है कि आप इसे कितना पतला या मोटा बनाना चाहते हैं। बचे हुए आटे के हिस्सों के साथ भी यही प्रक्रिया दोहराएँ। मध्यम आँच पर तवे को पहले से गरम कर लें। इस पर धीरे से रोल किया हुआ थेपला रखें और दोनों तरफ से तेल या घी का उपयोग क"&amp;"रके तब तक पकाएं जब तक कि थेपला के दोनों तरफ भूरे धब्बे न आ जाएं। प्याज के थेपला रेसिपी को पीली कद्दू दाल, बिहारी करेला और आलू की सब्जी और रायता के साथ परोसें और इसे अपने रोज़ाना के दोपहर के भोजन के लिए एक संपूर्ण भोजन बनाएं।")</f>
        <v>प्याज़ के थेपले की रेसिपी बनाने के लिए, हम सबसे पहले एक कढ़ाई में तेल गर्म करेंगे, उसमें जीरा डालेंगे और कुछ सेकंड के लिए उसे चटकने देंगे। अदरक और लहसुन डालें और उन्हें नरम होने तक भूनें, कटे हुए प्याज़ डालें और उन्हें सुनहरा भूरा होने तक पकाएँ। एक बार हो जाने पर हरी मिर्च और सभी मसाले जैसे गरम मसाला पाउडर, अमचूर पाउडर, हल्दी पाउडर, काली मिर्च पाउडर और स्वादानुसार नमक डालें और अच्छी तरह मिलाएँ, अच्छी तरह मिलने और पकने तक कुछ और मिनट तक पकाएँ और आँच बंद कर दें। इसे ठंडा होने दें और इस भुने हुए प्याज़ को एक कटोरे में गेहूँ के आटे और तेल के साथ मिलाएँ। थोड़ा-थोड़ा करके पानी डालें और एक सख्त आटा गूंथ लें जो चिपचिपा न हो। कम से कम 10 मिनट के लिए आराम दें और उन्हें मध्यम आकार की गेंदों का आकार दें। इसे गेहूँ के आटे से ढँक दें और इसे धीरे से बेलकर थेपला बनाएँ। थेपले का व्यास इस बात पर निर्भर करता है कि आप इसे कितना पतला या मोटा बनाना चाहते हैं। बचे हुए आटे के हिस्सों के साथ भी यही प्रक्रिया दोहराएँ। मध्यम आँच पर तवे को पहले से गरम कर लें। इस पर धीरे से रोल किया हुआ थेपला रखें और दोनों तरफ से तेल या घी का उपयोग करके तब तक पकाएं जब तक कि थेपला के दोनों तरफ भूरे धब्बे न आ जाएं। प्याज के थेपला रेसिपी को पीली कद्दू दाल, बिहारी करेला और आलू की सब्जी और रायता के साथ परोसें और इसे अपने रोज़ाना के दोपहर के भोजन के लिए एक संपूर्ण भोजन बनाएं।</v>
      </c>
      <c r="J101" s="3" t="s">
        <v>31407</v>
      </c>
      <c r="L101" s="1" t="s">
        <v>31003</v>
      </c>
    </row>
    <row r="102" spans="1:12" ht="13.8">
      <c r="A102" s="1" t="s">
        <v>31408</v>
      </c>
      <c r="B102" s="1" t="str">
        <f ca="1">IFERROR(__xludf.dummyfunction("IF(A102="""", """", GOOGLETRANSLATE(A102, ""en"", ""hi""))"),"आटे का हलवा रेसिपी - खोया के साथ गेहूं का हलवा")</f>
        <v>आटे का हलवा रेसिपी - खोया के साथ गेहूं का हलवा</v>
      </c>
      <c r="C102" s="1" t="s">
        <v>8417</v>
      </c>
      <c r="D102" s="1" t="s">
        <v>14198</v>
      </c>
      <c r="E102" s="1">
        <v>40</v>
      </c>
      <c r="F102" s="1" t="s">
        <v>31409</v>
      </c>
      <c r="G102" s="1" t="str">
        <f ca="1">IFERROR(__xludf.dummyfunction("IF(F102="""", """", GOOGLETRANSLATE(F102, ""en"", ""hi""))"),"1 कप साबुत गेहूं का आटा, 1/2 कप सूजी (सूजी/रवा), 1/2 कप खोया (मावा), 1 बड़ा चम्मच इलायची पाउडर (इलायची), 1 बड़ा चम्मच बादाम (बादाम), 1 बड़ा चम्मच काजू - सजाने के लिए, 1/4 कप घी, 1 कप चीनी")</f>
        <v>1 कप साबुत गेहूं का आटा, 1/2 कप सूजी (सूजी/रवा), 1/2 कप खोया (मावा), 1 बड़ा चम्मच इलायची पाउडर (इलायची), 1 बड़ा चम्मच बादाम (बादाम), 1 बड़ा चम्मच काजू - सजाने के लिए, 1/4 कप घी, 1 कप चीनी</v>
      </c>
      <c r="H102" s="1" t="s">
        <v>31410</v>
      </c>
      <c r="I102" s="1" t="str">
        <f ca="1">IFERROR(__xludf.dummyfunction("IF(H102="""", """", GOOGLETRANSLATE(H102, ""en"", ""hi""))"),"आटे का हलवा रेसिपी (खोया के साथ गेहूं के आटे का हलवा) बनाना शुरू करने के लिए, सबसे पहले सभी सामग्री तैयार करें। मध्यम आंच पर एक कड़ाही में एक बड़ा चम्मच घी गर्म करें। बादाम और काजू डालें और भूरा और कुरकुरा होने तक भूनें। आंच बंद कर दें और एक तरफ रख दें। ए"&amp;"क सॉस पैन में 1/2 कप पानी और चीनी गर्म करें और चीनी को पूरी तरह से पिघलने दें और गर्म चीनी के पानी को एक तरफ रख दें। एक भारी तले की कड़ाही या कढ़ाई में 1/4 कप घी गर्म करें। गेहूं का आटा और सूजी डालें और घी में मध्यम आंच पर 5 से 6 मिनट तक भूनें जब तक कि आप"&amp;"को आटे से भुने हुए की सुगंध न आने लगे और आटा मोटे टुकड़ों जैसा न हो जाए और थोड़ा गहरा भूरा रंग न हो जाए। इलायची पाउडर, खोया डालें और फिर से अच्छी तरह मिलाएँ आप देखेंगे कि हलवा चटकने लगेगा और गाढ़ा होने लगेगा। अगले 5 मिनट तक चलाते रहें जब तक कि आपको न लगे "&amp;"कि हलवा पैन के किनारों से अलग हो गया है। एक बार जब यह अलग हो जाए तो आंच बंद कर दें और आटे के हलवे को एक सर्विंग बाउल में डालें। भुने हुए बादाम और काजू से गार्निश करें और सर्व करें। आटे के हलवे को पारंपरिक भारतीय भोजन के साथ परोसें या बस इसे त्यौहारों पर म"&amp;"िठाई के रूप में बनाएँ जब आपके दोस्त और परिवार के लोग आपके घर पर हों।")</f>
        <v>आटे का हलवा रेसिपी (खोया के साथ गेहूं के आटे का हलवा) बनाना शुरू करने के लिए, सबसे पहले सभी सामग्री तैयार करें। मध्यम आंच पर एक कड़ाही में एक बड़ा चम्मच घी गर्म करें। बादाम और काजू डालें और भूरा और कुरकुरा होने तक भूनें। आंच बंद कर दें और एक तरफ रख दें। एक सॉस पैन में 1/2 कप पानी और चीनी गर्म करें और चीनी को पूरी तरह से पिघलने दें और गर्म चीनी के पानी को एक तरफ रख दें। एक भारी तले की कड़ाही या कढ़ाई में 1/4 कप घी गर्म करें। गेहूं का आटा और सूजी डालें और घी में मध्यम आंच पर 5 से 6 मिनट तक भूनें जब तक कि आपको आटे से भुने हुए की सुगंध न आने लगे और आटा मोटे टुकड़ों जैसा न हो जाए और थोड़ा गहरा भूरा रंग न हो जाए। इलायची पाउडर, खोया डालें और फिर से अच्छी तरह मिलाएँ आप देखेंगे कि हलवा चटकने लगेगा और गाढ़ा होने लगेगा। अगले 5 मिनट तक चलाते रहें जब तक कि आपको न लगे कि हलवा पैन के किनारों से अलग हो गया है। एक बार जब यह अलग हो जाए तो आंच बंद कर दें और आटे के हलवे को एक सर्विंग बाउल में डालें। भुने हुए बादाम और काजू से गार्निश करें और सर्व करें। आटे के हलवे को पारंपरिक भारतीय भोजन के साथ परोसें या बस इसे त्यौहारों पर मिठाई के रूप में बनाएँ जब आपके दोस्त और परिवार के लोग आपके घर पर हों।</v>
      </c>
      <c r="J102" s="3" t="s">
        <v>31411</v>
      </c>
      <c r="L102" s="1" t="s">
        <v>31003</v>
      </c>
    </row>
    <row r="103" spans="1:12" ht="13.8">
      <c r="A103" s="1" t="s">
        <v>31412</v>
      </c>
      <c r="B103" s="1" t="str">
        <f ca="1">IFERROR(__xludf.dummyfunction("IF(A103="""", """", GOOGLETRANSLATE(A103, ""en"", ""hi""))"),"बिना प्याज, बिना लहसुन की मखनी ग्रेवी में भरवा लौकी रेसिपी")</f>
        <v>बिना प्याज, बिना लहसुन की मखनी ग्रेवी में भरवा लौकी रेसिपी</v>
      </c>
      <c r="C103" s="1" t="s">
        <v>14259</v>
      </c>
      <c r="D103" s="1" t="s">
        <v>14208</v>
      </c>
      <c r="E103" s="1">
        <v>60</v>
      </c>
      <c r="F103" s="1" t="s">
        <v>31413</v>
      </c>
      <c r="G103" s="1" t="str">
        <f ca="1">IFERROR(__xludf.dummyfunction("IF(F103="""", """", GOOGLETRANSLATE(F103, ""en"", ""hi""))"),"1 लौकी - छीलकर गोल टुकड़ों में काट लें, 1 कप पनीर - टुकड़े टुकड़े, 1 बड़ा चम्मच बेसन, 1 छोटा चम्मच गरम मसाला पाउडर, 1 हरी मिर्च - बारीक कटी हुई, नमक - स्वादानुसार, 1 अदरक, 2 बड़े चम्मच काजू, 2 इलायची की फली/बीज, 2 लौंग, 2 सूखी लाल मिर्च - (समायोजित करें),"&amp;" 1 कप घर का बना टमाटर प्यूरी, 1/2 छोटा चम्मच हल्दी पाउडर, 1 छोटा चम्मच लाल मिर्च पाउडर, 2 छोटे चम्मच धनिया पाउडर, 2 बड़े चम्मच ताजा क्रीम, 1 छोटा चम्मच गरम मसाला पाउडर, नमक - स्वादानुसार, इमामी राइस ब्रान तेल - आवश्यकतानुसार, 1 बड़ा चम्मच कसूरी मेथी (सूखी"&amp;" मेथी के पत्ते)")</f>
        <v>1 लौकी - छीलकर गोल टुकड़ों में काट लें, 1 कप पनीर - टुकड़े टुकड़े, 1 बड़ा चम्मच बेसन, 1 छोटा चम्मच गरम मसाला पाउडर, 1 हरी मिर्च - बारीक कटी हुई, नमक - स्वादानुसार, 1 अदरक, 2 बड़े चम्मच काजू, 2 इलायची की फली/बीज, 2 लौंग, 2 सूखी लाल मिर्च - (समायोजित करें), 1 कप घर का बना टमाटर प्यूरी, 1/2 छोटा चम्मच हल्दी पाउडर, 1 छोटा चम्मच लाल मिर्च पाउडर, 2 छोटे चम्मच धनिया पाउडर, 2 बड़े चम्मच ताजा क्रीम, 1 छोटा चम्मच गरम मसाला पाउडर, नमक - स्वादानुसार, इमामी राइस ब्रान तेल - आवश्यकतानुसार, 1 बड़ा चम्मच कसूरी मेथी (सूखी मेथी के पत्ते)</v>
      </c>
      <c r="H103" s="1" t="s">
        <v>31414</v>
      </c>
      <c r="I103" s="1" t="str">
        <f ca="1">IFERROR(__xludf.dummyfunction("IF(H103="""", """", GOOGLETRANSLATE(H103, ""en"", ""hi""))"),"भरवा लौकी रेसिपी को बिना प्याज़ और लहसुन वाली मक्खनी ग्रेवी में बनाने के लिए सबसे पहले सारी सामग्री तैयार करके रख लें। एक मिक्सिंग बाउल में स्टफिंग की सारी सामग्री मिला लें। कटी हुई लौकी के गोल टुकड़ों में स्टफिंग भर दें। एक पैन में थोड़ा तेल डालकर मध्यम "&amp;"आँच पर गरम करें। भरी हुई लौकी को तेल में डालकर तब तक तलें जब तक कि स्टफिंग और लौकी दोनों तरफ़ से और बीच से सुनहरी भूरी न हो जाएँ। मक्खनी ग्रेवी के लिए: काजू, अदरक, लाल मिर्च, इलायची और लौंग को पानी के साथ पीसकर मुलायम पेस्ट बना लें। एक भारी तले वाले पैन म"&amp;"ें राइस ब्रान ऑयल गरम करें, उसमें काजू और मसाले का पेस्ट डालें और मध्यम आँच पर कुछ सेकंड के लिए भूनें। इसके बाद टमाटर प्यूरी, धनिया पाउडर, लाल मिर्च पाउडर, हल्दी पाउडर, नमक और गरम मसाला पाउडर डालें। एक-दो मिनट तक और हिलाएँ जब तक कि टमाटर में बुलबुले न आने"&amp;" लगें। इसमें ताज़ा क्रीम मिलाएँ और इसे तेज़ उबालें। अब हम कोयले को धुआँ देने के लिए तैयार करेंगे। कोयले से धुआँ देने की यह विधि वीडियो में नहीं दिखाई गई है। अगर आपके पास कोयला नहीं है, तो आप इस चरण को छोड़ सकते हैं। कोयले को आंच पर रखें और इसे लाल होने दे"&amp;"ं। जब आपको लगे कि कोयला लाल हो गया है, तो इसे एक छोटे हीट प्रूफ कप में रखें। इस कप कोयले को उबलती हुई भरवा लौकी के ऊपर रख दें। कोयले के ऊपर एक चम्मच घी डालें। इसमें से धुआँ उठने लगेगा। इस स्तर पर, तुरंत ढक्कन को बंद कर दें और मिश्रण को और 5 मिनट तक उबलने "&amp;"दें। इससे मखनी की ग्रेवी को धुएँ वाला स्वाद मिलने में मदद मिलती है। पाँच मिनट के बाद, आँच बंद कर दें, चम्मच से मखनी ग्रेवी को सर्विंग बाउल में डालें और ग्रेवी के ऊपर भरवा लौकी रखें और गरमागरम परोसें। स्वादिष्ट भरवा लौकी रेसिपी को प्याज लहसुन मखनी ग्रेवी क"&amp;"े साथ जीरा राइस, तवा पराठा और पालक रायता रेसिपी (पालक दही सलाद) के साथ स्वादिष्ट रविवार के लंच के लिए परोसें।")</f>
        <v>भरवा लौकी रेसिपी को बिना प्याज़ और लहसुन वाली मक्खनी ग्रेवी में बनाने के लिए सबसे पहले सारी सामग्री तैयार करके रख लें। एक मिक्सिंग बाउल में स्टफिंग की सारी सामग्री मिला लें। कटी हुई लौकी के गोल टुकड़ों में स्टफिंग भर दें। एक पैन में थोड़ा तेल डालकर मध्यम आँच पर गरम करें। भरी हुई लौकी को तेल में डालकर तब तक तलें जब तक कि स्टफिंग और लौकी दोनों तरफ़ से और बीच से सुनहरी भूरी न हो जाएँ। मक्खनी ग्रेवी के लिए: काजू, अदरक, लाल मिर्च, इलायची और लौंग को पानी के साथ पीसकर मुलायम पेस्ट बना लें। एक भारी तले वाले पैन में राइस ब्रान ऑयल गरम करें, उसमें काजू और मसाले का पेस्ट डालें और मध्यम आँच पर कुछ सेकंड के लिए भूनें। इसके बाद टमाटर प्यूरी, धनिया पाउडर, लाल मिर्च पाउडर, हल्दी पाउडर, नमक और गरम मसाला पाउडर डालें। एक-दो मिनट तक और हिलाएँ जब तक कि टमाटर में बुलबुले न आने लगें। इसमें ताज़ा क्रीम मिलाएँ और इसे तेज़ उबालें। अब हम कोयले को धुआँ देने के लिए तैयार करेंगे। कोयले से धुआँ देने की यह विधि वीडियो में नहीं दिखाई गई है। अगर आपके पास कोयला नहीं है, तो आप इस चरण को छोड़ सकते हैं। कोयले को आंच पर रखें और इसे लाल होने दें। जब आपको लगे कि कोयला लाल हो गया है, तो इसे एक छोटे हीट प्रूफ कप में रखें। इस कप कोयले को उबलती हुई भरवा लौकी के ऊपर रख दें। कोयले के ऊपर एक चम्मच घी डालें। इसमें से धुआँ उठने लगेगा। इस स्तर पर, तुरंत ढक्कन को बंद कर दें और मिश्रण को और 5 मिनट तक उबलने दें। इससे मखनी की ग्रेवी को धुएँ वाला स्वाद मिलने में मदद मिलती है। पाँच मिनट के बाद, आँच बंद कर दें, चम्मच से मखनी ग्रेवी को सर्विंग बाउल में डालें और ग्रेवी के ऊपर भरवा लौकी रखें और गरमागरम परोसें। स्वादिष्ट भरवा लौकी रेसिपी को प्याज लहसुन मखनी ग्रेवी के साथ जीरा राइस, तवा पराठा और पालक रायता रेसिपी (पालक दही सलाद) के साथ स्वादिष्ट रविवार के लंच के लिए परोसें।</v>
      </c>
      <c r="J103" s="3" t="s">
        <v>31415</v>
      </c>
      <c r="L103" s="1" t="s">
        <v>31003</v>
      </c>
    </row>
    <row r="104" spans="1:12" ht="13.8">
      <c r="A104" s="1" t="s">
        <v>31416</v>
      </c>
      <c r="B104" s="1" t="str">
        <f ca="1">IFERROR(__xludf.dummyfunction("IF(A104="""", """", GOOGLETRANSLATE(A104, ""en"", ""hi""))"),"भिंडी मसाला ग्रेवी रेसिपी - टमाटर प्याज की ग्रेवी में लेडीज फिंगर")</f>
        <v>भिंडी मसाला ग्रेवी रेसिपी - टमाटर प्याज की ग्रेवी में लेडीज फिंगर</v>
      </c>
      <c r="C104" s="1" t="s">
        <v>14207</v>
      </c>
      <c r="D104" s="1" t="s">
        <v>14198</v>
      </c>
      <c r="E104" s="1">
        <v>50</v>
      </c>
      <c r="F104" s="1" t="s">
        <v>31417</v>
      </c>
      <c r="G104" s="1" t="str">
        <f ca="1">IFERROR(__xludf.dummyfunction("IF(F104="""", """", GOOGLETRANSLATE(F104, ""en"", ""hi""))"),"250 ग्राम भिंडी - पतली कटी हुई, 1 प्याज - मोटा कटा हुआ, 1 इंच अदरक, 5 लहसुन के दाने, 2 हरी मिर्च - कटी हुई, 2 लौंग, 1 इलायची, 1 इंच दालचीनी, 1 जावित्री, 3 टमाटर - मोटा कटा हुआ, 2 बड़े चम्मच दही, 1 बड़ा चम्मच कसूरी मेथी, 1 तेज पत्ता, 1/2 छोटा चम्मच हल्दी, "&amp;"1/2 छोटा चम्मच लाल मिर्च पाउडर, 1 छोटा चम्मच धनिया पाउडर, सूरजमुखी तेल, नमक - स्वादानुसार,")</f>
        <v>250 ग्राम भिंडी - पतली कटी हुई, 1 प्याज - मोटा कटा हुआ, 1 इंच अदरक, 5 लहसुन के दाने, 2 हरी मिर्च - कटी हुई, 2 लौंग, 1 इलायची, 1 इंच दालचीनी, 1 जावित्री, 3 टमाटर - मोटा कटा हुआ, 2 बड़े चम्मच दही, 1 बड़ा चम्मच कसूरी मेथी, 1 तेज पत्ता, 1/2 छोटा चम्मच हल्दी, 1/2 छोटा चम्मच लाल मिर्च पाउडर, 1 छोटा चम्मच धनिया पाउडर, सूरजमुखी तेल, नमक - स्वादानुसार,</v>
      </c>
      <c r="H104" s="1" t="s">
        <v>31418</v>
      </c>
      <c r="I104" s="1" t="str">
        <f ca="1">IFERROR(__xludf.dummyfunction("IF(H104="""", """", GOOGLETRANSLATE(H104, ""en"", ""hi""))"),"भिन्डी मसाला ग्रेवी रेसिपी बनाने के लिए सबसे पहले प्रत्येक भिन्डी को धोकर सुखा लें। यह प्रक्रिया यह सुनिश्चित करने के लिए की जाती है कि भिन्डी पकाते समय चिपचिपी न हो जाए। भिन्डी को पोंछकर सुखाने के बाद भिन्डी को पूंछ से लगभग आधा इंच दूर तक (पतले टुकड़ों म"&amp;"ें) चीर लें, ताकि प्रत्येक भिन्डी चीरी तो जाए लेकिन पूंछ से एक साथ जुड़ी रहे। एक पैन में खाना पकाने के लिए तेल गरम करें, उसमें भिन्डी डालें, थोड़ा नमक छिड़कें और भिन्डी को पकने तक भूनें। भिन्डी को पकाते समय पैन को आंशिक रूप से ढक दें। इससे भिन्डी भाप से प"&amp;"कने में मदद मिलेगी, साथ ही थोड़ा भुन भी जाएगी। होंठ को थोड़ा खुला रखने से भाप को बाहर निकलने में मदद मिलती है, साथ ही थोड़ी भाप फँस जाती है। भिन्डी को पकने में 10 मिनट का समय लगेगा। एक तरफ रख दें। एक मिक्सर ग्राइंडर में लहसुन, प्याज, अदरक, मिर्च, लौंग, इल"&amp;"ायची, दालचीनी स्टिक और मेदा डालें और इसे एक चिकने पेस्ट में पीस लें। एक तरफ रख दें। मध्यम आँच पर एक पैन में तेल गर्म करें, उसमें तेज पत्ता डालें और लगभग 10 सेकंड के लिए भूनें। 10 सेकंड के बाद, उसमें प्याज लहसुन और मसाला पेस्ट डालें और 2 से 3 मिनट के लिए भ"&amp;"ूनें। हल्दी पाउडर, लाल मिर्च पाउडर, धनिया पाउडर डालें और अच्छी तरह से मिलाएँ। लगभग एक मिनट तक पकाएँ जब तक कि कच्ची महक न चली जाए। इसके बाद, टमाटर प्यूरी, दही और नमक डालें। टमाटर को पकने में मध्यम आँच पर लगभग 2 से 3 मिनट का समय लगेगा। नमक की जाँच करें और म"&amp;"साले को गाढ़ा होने दें। नमक की जांच करें और आंच को तेज कर दें और एक मिनट और पकाएं ताकि भिंडी मसाले में अच्छी तरह से लिपट जाए। कुछ मिनट बाद, कुचली हुई कसूरी मेथी डालें और आंच बंद कर दें। भिंडी मसाला ग्रेवी को कटी हुई धनिया पत्ती से गार्निश करें और गरमागरम "&amp;"परोसें। भिंडी मसाला ग्रेवी को पनीर बिरयानी, कटहल बिरयानी या अपनी पसंद की किसी भी बिरयानी के साथ शाकाहारी लंच या डिनर के लिए परोसें। आप इसे भारतीय लंच या डिनर के लिए तवा पराठा और बूंदी रायता के साथ भी परोस सकते हैं।")</f>
        <v>भिन्डी मसाला ग्रेवी रेसिपी बनाने के लिए सबसे पहले प्रत्येक भिन्डी को धोकर सुखा लें। यह प्रक्रिया यह सुनिश्चित करने के लिए की जाती है कि भिन्डी पकाते समय चिपचिपी न हो जाए। भिन्डी को पोंछकर सुखाने के बाद भिन्डी को पूंछ से लगभग आधा इंच दूर तक (पतले टुकड़ों में) चीर लें, ताकि प्रत्येक भिन्डी चीरी तो जाए लेकिन पूंछ से एक साथ जुड़ी रहे। एक पैन में खाना पकाने के लिए तेल गरम करें, उसमें भिन्डी डालें, थोड़ा नमक छिड़कें और भिन्डी को पकने तक भूनें। भिन्डी को पकाते समय पैन को आंशिक रूप से ढक दें। इससे भिन्डी भाप से पकने में मदद मिलेगी, साथ ही थोड़ा भुन भी जाएगी। होंठ को थोड़ा खुला रखने से भाप को बाहर निकलने में मदद मिलती है, साथ ही थोड़ी भाप फँस जाती है। भिन्डी को पकने में 10 मिनट का समय लगेगा। एक तरफ रख दें। एक मिक्सर ग्राइंडर में लहसुन, प्याज, अदरक, मिर्च, लौंग, इलायची, दालचीनी स्टिक और मेदा डालें और इसे एक चिकने पेस्ट में पीस लें। एक तरफ रख दें। मध्यम आँच पर एक पैन में तेल गर्म करें, उसमें तेज पत्ता डालें और लगभग 10 सेकंड के लिए भूनें। 10 सेकंड के बाद, उसमें प्याज लहसुन और मसाला पेस्ट डालें और 2 से 3 मिनट के लिए भूनें। हल्दी पाउडर, लाल मिर्च पाउडर, धनिया पाउडर डालें और अच्छी तरह से मिलाएँ। लगभग एक मिनट तक पकाएँ जब तक कि कच्ची महक न चली जाए। इसके बाद, टमाटर प्यूरी, दही और नमक डालें। टमाटर को पकने में मध्यम आँच पर लगभग 2 से 3 मिनट का समय लगेगा। नमक की जाँच करें और मसाले को गाढ़ा होने दें। नमक की जांच करें और आंच को तेज कर दें और एक मिनट और पकाएं ताकि भिंडी मसाले में अच्छी तरह से लिपट जाए। कुछ मिनट बाद, कुचली हुई कसूरी मेथी डालें और आंच बंद कर दें। भिंडी मसाला ग्रेवी को कटी हुई धनिया पत्ती से गार्निश करें और गरमागरम परोसें। भिंडी मसाला ग्रेवी को पनीर बिरयानी, कटहल बिरयानी या अपनी पसंद की किसी भी बिरयानी के साथ शाकाहारी लंच या डिनर के लिए परोसें। आप इसे भारतीय लंच या डिनर के लिए तवा पराठा और बूंदी रायता के साथ भी परोस सकते हैं।</v>
      </c>
      <c r="J104" s="3" t="s">
        <v>31419</v>
      </c>
      <c r="L104" s="1" t="s">
        <v>31003</v>
      </c>
    </row>
    <row r="105" spans="1:12" ht="13.8">
      <c r="A105" s="1" t="s">
        <v>31420</v>
      </c>
      <c r="B105" s="1" t="s">
        <v>31421</v>
      </c>
      <c r="C105" s="1" t="s">
        <v>145</v>
      </c>
      <c r="D105" s="1" t="s">
        <v>14237</v>
      </c>
      <c r="E105" s="1">
        <v>40</v>
      </c>
      <c r="F105" s="1" t="s">
        <v>31422</v>
      </c>
      <c r="G105" s="1" t="str">
        <f ca="1">IFERROR(__xludf.dummyfunction("IF(F105="""", """", GOOGLETRANSLATE(F105, ""en"", ""hi""))"),"1 कप हरी मूंग दाल, 2 प्याज़ - कटे हुए, 2 टमाटर - कटे हुए, 1 इंच अदरक - कद्दूकस किया हुआ, 4 लहसुन - कद्दूकस किया हुआ, 2 हरी मिर्च, 1 चम्मच तेल, 1 चम्मच जीरा, 1/4 चम्मच गरम मसाला पाउडर, नमक - स्वादानुसार, 1/2 चम्मच हल्दी पाउडर, 1 चम्मच घी, 1/2 चम्मच कश्मीरी"&amp;" लाल मिर्च पाउडर, हरा धनिया - कटा हुआ")</f>
        <v>1 कप हरी मूंग दाल, 2 प्याज़ - कटे हुए, 2 टमाटर - कटे हुए, 1 इंच अदरक - कद्दूकस किया हुआ, 4 लहसुन - कद्दूकस किया हुआ, 2 हरी मिर्च, 1 चम्मच तेल, 1 चम्मच जीरा, 1/4 चम्मच गरम मसाला पाउडर, नमक - स्वादानुसार, 1/2 चम्मच हल्दी पाउडर, 1 चम्मच घी, 1/2 चम्मच कश्मीरी लाल मिर्च पाउडर, हरा धनिया - कटा हुआ</v>
      </c>
      <c r="H105" s="1" t="s">
        <v>31423</v>
      </c>
      <c r="I105" s="1" t="str">
        <f ca="1">IFERROR(__xludf.dummyfunction("IF(H105="""", """", GOOGLETRANSLATE(H105, ""en"", ""hi""))"),"""पंजाबी साबुत मूंग दाल, सबसे पहले दाल को अच्छे से धोकर 4-5 घंटे के लिए भिगो दें। अब एक प्रेशर कुकर में दाल, 3 कप पानी, नमक और हल्दी पाउडर डालें। कुकर बंद करके तेज आंच पर 1 सीटी आने तक पकाएं। आंच धीमी करके 5 मिनट तक पकने दें। कुकर बंद करके प्रेशर निकलने द"&amp;"ें। अब एक पैन में तेल गर्म करें। इसमें जीरा डालें और 10 सेकेंड तक पकने दें। 10 सेकेंड बाद इसमें प्याज, हरी मिर्च, अदरक और लहसुन डालकर प्याज के सुनहरा होने तक पकाएं। प्याज के नरम होने के बाद इसमें टमाटर डालें और टमाटर के नरम होने तक पकाएं। टमाटर के नरम होन"&amp;"े के बाद इसमें दाल, गरम मसाला डालें और 2 से 3 मिनट तक पकने दें। अब एक तड़का पैन में घी गर्म करें। घी गर्म होने पर इसमें कश्मीरी मिर्च पाउडर डालें")</f>
        <v>"पंजाबी साबुत मूंग दाल, सबसे पहले दाल को अच्छे से धोकर 4-5 घंटे के लिए भिगो दें। अब एक प्रेशर कुकर में दाल, 3 कप पानी, नमक और हल्दी पाउडर डालें। कुकर बंद करके तेज आंच पर 1 सीटी आने तक पकाएं। आंच धीमी करके 5 मिनट तक पकने दें। कुकर बंद करके प्रेशर निकलने दें। अब एक पैन में तेल गर्म करें। इसमें जीरा डालें और 10 सेकेंड तक पकने दें। 10 सेकेंड बाद इसमें प्याज, हरी मिर्च, अदरक और लहसुन डालकर प्याज के सुनहरा होने तक पकाएं। प्याज के नरम होने के बाद इसमें टमाटर डालें और टमाटर के नरम होने तक पकाएं। टमाटर के नरम होने के बाद इसमें दाल, गरम मसाला डालें और 2 से 3 मिनट तक पकने दें। अब एक तड़का पैन में घी गर्म करें। घी गर्म होने पर इसमें कश्मीरी मिर्च पाउडर डालें</v>
      </c>
      <c r="J105" s="3" t="s">
        <v>31424</v>
      </c>
      <c r="L105" s="1" t="s">
        <v>31003</v>
      </c>
    </row>
    <row r="106" spans="1:12" ht="13.8">
      <c r="A106" s="1" t="s">
        <v>31425</v>
      </c>
      <c r="B106" s="1" t="str">
        <f ca="1">IFERROR(__xludf.dummyfunction("IF(A106="""", """", GOOGLETRANSLATE(A106, ""en"", ""hi""))"),"मकई भेल रेसिपी")</f>
        <v>मकई भेल रेसिपी</v>
      </c>
      <c r="C106" s="1" t="s">
        <v>14281</v>
      </c>
      <c r="D106" s="1" t="s">
        <v>14198</v>
      </c>
      <c r="E106" s="1">
        <v>40</v>
      </c>
      <c r="F106" s="1" t="s">
        <v>31426</v>
      </c>
      <c r="G106" s="1" t="str">
        <f ca="1">IFERROR(__xludf.dummyfunction("IF(F106="""", """", GOOGLETRANSLATE(F106, ""en"", ""hi""))"),"1 कप स्वीट कॉर्न - उबला हुआ, 1 प्याज - कटा हुआ, 1 आलू (आलू) - उबला हुआ, 2 बड़े चम्मच मीठी चटनी (खजूर और इमली), 2 बड़े चम्मच हरी चटनी (धनिया और पुदीना), 1 बड़ा चम्मच चाट मसाला पाउडर, 2 हरी मिर्च - कटी हुई, 2 टहनी धनिया (कटी हुई), नमक और काली मिर्च - स्वादा"&amp;"नुसार, सेव - गार्निश करने के लिए")</f>
        <v>1 कप स्वीट कॉर्न - उबला हुआ, 1 प्याज - कटा हुआ, 1 आलू (आलू) - उबला हुआ, 2 बड़े चम्मच मीठी चटनी (खजूर और इमली), 2 बड़े चम्मच हरी चटनी (धनिया और पुदीना), 1 बड़ा चम्मच चाट मसाला पाउडर, 2 हरी मिर्च - कटी हुई, 2 टहनी धनिया (कटी हुई), नमक और काली मिर्च - स्वादानुसार, सेव - गार्निश करने के लिए</v>
      </c>
      <c r="H106" s="1" t="s">
        <v>31427</v>
      </c>
      <c r="I106" s="1" t="str">
        <f ca="1">IFERROR(__xludf.dummyfunction("IF(H106="""", """", GOOGLETRANSLATE(H106, ""en"", ""hi""))"),"कॉर्न भेल रेसिपी बनाने के लिए सबसे पहले एक मिक्सिंग बाउल लें और उसमें कॉर्न के दाने, प्याज़, आलू, हरी मिर्च और धनिया पत्ती को अच्छे से मिला लें। खजूर इमली, धनिया पुदीना चटनी डालें और सभी चीजों को अच्छे से मिला लें। इसके बाद चाट मसाला और स्वादानुसार नमक डा"&amp;"लें। ऊपर से कुछ सेव और थोड़ा और ताज़ा धनिया छिड़कें। सभी चीजों को मिलाएँ और तुरंत परोसें। शाम के नाश्ते में कॉर्न भेल को मसाला चाय के साथ परोसें।")</f>
        <v>कॉर्न भेल रेसिपी बनाने के लिए सबसे पहले एक मिक्सिंग बाउल लें और उसमें कॉर्न के दाने, प्याज़, आलू, हरी मिर्च और धनिया पत्ती को अच्छे से मिला लें। खजूर इमली, धनिया पुदीना चटनी डालें और सभी चीजों को अच्छे से मिला लें। इसके बाद चाट मसाला और स्वादानुसार नमक डालें। ऊपर से कुछ सेव और थोड़ा और ताज़ा धनिया छिड़कें। सभी चीजों को मिलाएँ और तुरंत परोसें। शाम के नाश्ते में कॉर्न भेल को मसाला चाय के साथ परोसें।</v>
      </c>
      <c r="J106" s="3" t="s">
        <v>31428</v>
      </c>
      <c r="L106" s="1" t="s">
        <v>31003</v>
      </c>
    </row>
    <row r="107" spans="1:12" ht="13.8">
      <c r="A107" s="1" t="s">
        <v>31429</v>
      </c>
      <c r="B107" s="1" t="s">
        <v>31430</v>
      </c>
      <c r="C107" s="1" t="s">
        <v>429</v>
      </c>
      <c r="D107" s="1" t="s">
        <v>15314</v>
      </c>
      <c r="E107" s="1">
        <v>90</v>
      </c>
      <c r="F107" s="1" t="s">
        <v>31431</v>
      </c>
      <c r="G107" s="1" t="str">
        <f ca="1">IFERROR(__xludf.dummyfunction("IF(F107="""", """", GOOGLETRANSLATE(F107, ""en"", ""hi""))"),"4 अंडे - उबले हुए, 1 बड़ा चम्मच घी, 1/2 छोटा चम्मच जीरा, 1/2 छोटा चम्मच राई, 1/4 छोटा चम्मच हींग, 3 लौंग, 1 तेज पत्ता, 1 बड़ी इलायची, 2 इलायची, 4 सूखी लाल मिर्च, 1 इंच अदरक - बारीक कटा हुआ, 4 लहसुन की कलियां - बारीक कटी हुई, 1 प्याज - बारीक कटा हुआ, 1 कप "&amp;"टमाटर प्यूरी, 2 बड़े चम्मच दही, 1 छोटा चम्मच कश्मीरी लाल मिर्च पाउडर, 1/2 छोटा चम्मच हल्दी पाउडर, 1 छोटा चम्मच धनिया पाउडर, नमक - आवश्यकतानुसार, पानी - आवश्यकतानुसार, हरा धनिया - थोड़ा सा")</f>
        <v>4 अंडे - उबले हुए, 1 बड़ा चम्मच घी, 1/2 छोटा चम्मच जीरा, 1/2 छोटा चम्मच राई, 1/4 छोटा चम्मच हींग, 3 लौंग, 1 तेज पत्ता, 1 बड़ी इलायची, 2 इलायची, 4 सूखी लाल मिर्च, 1 इंच अदरक - बारीक कटा हुआ, 4 लहसुन की कलियां - बारीक कटी हुई, 1 प्याज - बारीक कटा हुआ, 1 कप टमाटर प्यूरी, 2 बड़े चम्मच दही, 1 छोटा चम्मच कश्मीरी लाल मिर्च पाउडर, 1/2 छोटा चम्मच हल्दी पाउडर, 1 छोटा चम्मच धनिया पाउडर, नमक - आवश्यकतानुसार, पानी - आवश्यकतानुसार, हरा धनिया - थोड़ा सा</v>
      </c>
      <c r="H107" s="1" t="s">
        <v>31432</v>
      </c>
      <c r="I107" s="1" t="str">
        <f ca="1">IFERROR(__xludf.dummyfunction("IF(H107="""", """", GOOGLETRANSLATE(H107, ""en"", ""hi""))"),"""ढाबा स्टाइल अंडा करी रेसिपी बनाने के लिए सबसे पहले सारी सामग्री तैयार कर लें। अंडे उबालकर अलग रख लें। अब प्रेशर कुकर में घी गर्म करें। इसमें जीरा, राई, हींग, तेज पत्ता, सूखी लाल मिर्च, बड़ी इलायची, लौंग डालकर 30 सेकंड तक पकाएं। अब इसमें प्याज, अदरक, लहस"&amp;"ुन डालें और प्याज के नरम होने तक पकाएं। प्याज के नरम होने के बाद इसमें कश्मीरी लाल मिर्च पाउडर, हल्दी पाउडर, धनिया पाउडर, नमक डालकर मिक्स करें और 3 से 4 मिनट तक पकाएं। 4 मिनट बाद इसमें टमाटर प्यूरी डालें और 5 से 6 मिनट तक पकाएं। इसके बाद इसमें दही, आवश्यक"&amp;"तानुसार पानी डालकर धीमी आंच पर 1 मिनट तक पकाएं। कुकर बंद करके 2 सीटी आने तक पकाएं। कुकर का प्रेशर अपने आप निकल जाने दें। कुकर खोलें, धनिया पत्ता डालें और मिलाएँ। अंडों को आधा करके करी में डालें और अच्छी तरह मिलाएँ। परोसें। ढाबा स्टाइल अंडा करी रेसिपी को ब"&amp;"ूंदी रायता और तवा पराठे के साथ डिनर में परोसें।""")</f>
        <v>"ढाबा स्टाइल अंडा करी रेसिपी बनाने के लिए सबसे पहले सारी सामग्री तैयार कर लें। अंडे उबालकर अलग रख लें। अब प्रेशर कुकर में घी गर्म करें। इसमें जीरा, राई, हींग, तेज पत्ता, सूखी लाल मिर्च, बड़ी इलायची, लौंग डालकर 30 सेकंड तक पकाएं। अब इसमें प्याज, अदरक, लहसुन डालें और प्याज के नरम होने तक पकाएं। प्याज के नरम होने के बाद इसमें कश्मीरी लाल मिर्च पाउडर, हल्दी पाउडर, धनिया पाउडर, नमक डालकर मिक्स करें और 3 से 4 मिनट तक पकाएं। 4 मिनट बाद इसमें टमाटर प्यूरी डालें और 5 से 6 मिनट तक पकाएं। इसके बाद इसमें दही, आवश्यकतानुसार पानी डालकर धीमी आंच पर 1 मिनट तक पकाएं। कुकर बंद करके 2 सीटी आने तक पकाएं। कुकर का प्रेशर अपने आप निकल जाने दें। कुकर खोलें, धनिया पत्ता डालें और मिलाएँ। अंडों को आधा करके करी में डालें और अच्छी तरह मिलाएँ। परोसें। ढाबा स्टाइल अंडा करी रेसिपी को बूंदी रायता और तवा पराठे के साथ डिनर में परोसें।"</v>
      </c>
      <c r="J107" s="3" t="s">
        <v>31433</v>
      </c>
      <c r="L107" s="1" t="s">
        <v>31003</v>
      </c>
    </row>
    <row r="108" spans="1:12" ht="13.8">
      <c r="A108" s="1" t="s">
        <v>31434</v>
      </c>
      <c r="B108" s="1" t="str">
        <f ca="1">IFERROR(__xludf.dummyfunction("IF(A108="""", """", GOOGLETRANSLATE(A108, ""en"", ""hi""))"),"कढ़ाई टोफू सब्जी रेसिपी")</f>
        <v>कढ़ाई टोफू सब्जी रेसिपी</v>
      </c>
      <c r="C108" s="1" t="s">
        <v>145</v>
      </c>
      <c r="D108" s="1" t="s">
        <v>14237</v>
      </c>
      <c r="E108" s="1">
        <v>25</v>
      </c>
      <c r="F108" s="1" t="s">
        <v>31435</v>
      </c>
      <c r="G108" s="1" t="str">
        <f ca="1">IFERROR(__xludf.dummyfunction("IF(F108="""", """", GOOGLETRANSLATE(F108, ""en"", ""hi""))"),"250 ग्राम टोफू - सख्त, 1 हरी शिमला मिर्च - टुकड़ों में कटी हुई, 1 प्याज - टुकड़ों में कटा हुआ, 1 चम्मच लहसुन - पेस्ट, 1 चम्मच अदरक - पेस्ट, 2 टमाटर - उबाले हुए, 1 चम्मच जीरा, 1 चम्मच कसूरी मेथी - कुटी हुई, 1 बड़ा चम्मच सूरजमुखी तेल, 1/2 चम्मच हल्दी, 1/2 च"&amp;"म्मच चीनी, नमक - स्वादानुसार, धनिया पत्ती - आवश्यकतानुसार, 2 चम्मच धनिया बीज, 5 से 6 साबुत काली मिर्च, 1 चम्मच सौंफ, 1 चम्मच जीरा, 1 चम्मच अनारदाना पाउडर, 3 से 4 सूखी लाल मिर्च, 1 तेज पत्ता, 1 बड़ी इलायची, 1/2 चम्मच अमचूर")</f>
        <v>250 ग्राम टोफू - सख्त, 1 हरी शिमला मिर्च - टुकड़ों में कटी हुई, 1 प्याज - टुकड़ों में कटा हुआ, 1 चम्मच लहसुन - पेस्ट, 1 चम्मच अदरक - पेस्ट, 2 टमाटर - उबाले हुए, 1 चम्मच जीरा, 1 चम्मच कसूरी मेथी - कुटी हुई, 1 बड़ा चम्मच सूरजमुखी तेल, 1/2 चम्मच हल्दी, 1/2 चम्मच चीनी, नमक - स्वादानुसार, धनिया पत्ती - आवश्यकतानुसार, 2 चम्मच धनिया बीज, 5 से 6 साबुत काली मिर्च, 1 चम्मच सौंफ, 1 चम्मच जीरा, 1 चम्मच अनारदाना पाउडर, 3 से 4 सूखी लाल मिर्च, 1 तेज पत्ता, 1 बड़ी इलायची, 1/2 चम्मच अमचूर</v>
      </c>
      <c r="H108" s="1" t="s">
        <v>31436</v>
      </c>
      <c r="I108" s="1" t="str">
        <f ca="1">IFERROR(__xludf.dummyfunction("IF(H108="""", """", GOOGLETRANSLATE(H108, ""en"", ""hi""))"),"कढ़ाई टोफू सब्जी बनाने के लिए सबसे पहले सूखा मसाला तैयार कर लें। एक छोटे पैन में धनिया, काली मिर्च, सौंफ, जीरा, लाल मिर्च, तेजपत्ता और बड़ी इलायची को सूखा भून लें। ठंडा करके इसे एक ब्लेंडर में अनारदाना और अमचूर के साथ दरदरा पीस लें। अब हम कढ़ाई टोफू सब्जी"&amp;" बनाएंगे। एक कड़ाई में तेल गर्म करें। उसमें जीरा डालें और उसे चटकने दें। जब यह हो जाए तो इसमें प्याज और अदरक-लहसुन का पेस्ट डालें और कुछ सेकंड के लिए प्याज के पारदर्शी होने तक भूनें। जब यह पारदर्शी हो जाए तो इसमें हल्दी पाउडर, टमाटर प्यूरी डालें और 1 से 2"&amp;" मिनट तक पकाएं। 2 से 3 चम्मच ताज़ा पीसा मसाला और कसूरी मेथी डालें, अच्छी तरह मिलाएँ। जब यह हो जाए तो इसमें शिमला मिर्च डालें और कुछ सेकंड के लिए भूनें। टोफू के टुकड़े डालें, नमक और चीनी छिड़कें। अच्छी तरह मिलाएँ ताकि मसाला टोफू के टुकड़ों पर लग जाए। एक और"&amp;" मिनट के लिए पकाएँ। धनिया पत्ती से गार्निश करें और कढ़ाई टोफू सब्ज़ी को एक सर्विंग बाउल में डालें, यह परोसने के लिए तैयार है। कड़ाही टोफू सब्ज़ी को पुदीना लेहसुन लच्छा पराठा, दाल पालक और लाल गोभी गाजर, अंकुरित और प्याज़ सलाद के साथ एक पौष्टिक दोपहर के भोज"&amp;"न के लिए परोसें।")</f>
        <v>कढ़ाई टोफू सब्जी बनाने के लिए सबसे पहले सूखा मसाला तैयार कर लें। एक छोटे पैन में धनिया, काली मिर्च, सौंफ, जीरा, लाल मिर्च, तेजपत्ता और बड़ी इलायची को सूखा भून लें। ठंडा करके इसे एक ब्लेंडर में अनारदाना और अमचूर के साथ दरदरा पीस लें। अब हम कढ़ाई टोफू सब्जी बनाएंगे। एक कड़ाई में तेल गर्म करें। उसमें जीरा डालें और उसे चटकने दें। जब यह हो जाए तो इसमें प्याज और अदरक-लहसुन का पेस्ट डालें और कुछ सेकंड के लिए प्याज के पारदर्शी होने तक भूनें। जब यह पारदर्शी हो जाए तो इसमें हल्दी पाउडर, टमाटर प्यूरी डालें और 1 से 2 मिनट तक पकाएं। 2 से 3 चम्मच ताज़ा पीसा मसाला और कसूरी मेथी डालें, अच्छी तरह मिलाएँ। जब यह हो जाए तो इसमें शिमला मिर्च डालें और कुछ सेकंड के लिए भूनें। टोफू के टुकड़े डालें, नमक और चीनी छिड़कें। अच्छी तरह मिलाएँ ताकि मसाला टोफू के टुकड़ों पर लग जाए। एक और मिनट के लिए पकाएँ। धनिया पत्ती से गार्निश करें और कढ़ाई टोफू सब्ज़ी को एक सर्विंग बाउल में डालें, यह परोसने के लिए तैयार है। कड़ाही टोफू सब्ज़ी को पुदीना लेहसुन लच्छा पराठा, दाल पालक और लाल गोभी गाजर, अंकुरित और प्याज़ सलाद के साथ एक पौष्टिक दोपहर के भोजन के लिए परोसें।</v>
      </c>
      <c r="J108" s="3" t="s">
        <v>31437</v>
      </c>
      <c r="L108" s="1" t="s">
        <v>31003</v>
      </c>
    </row>
    <row r="109" spans="1:12" ht="13.8">
      <c r="A109" s="1" t="s">
        <v>31438</v>
      </c>
      <c r="B109" s="1" t="str">
        <f ca="1">IFERROR(__xludf.dummyfunction("IF(A109="""", """", GOOGLETRANSLATE(A109, ""en"", ""hi""))"),"व्रत की कचौरी रेसिपी (स्वादिष्ट कुट्टू पनीर पेस्ट्री)")</f>
        <v>व्रत की कचौरी रेसिपी (स्वादिष्ट कुट्टू पनीर पेस्ट्री)</v>
      </c>
      <c r="C109" s="1" t="s">
        <v>14281</v>
      </c>
      <c r="D109" s="1" t="s">
        <v>14198</v>
      </c>
      <c r="E109" s="1">
        <v>40</v>
      </c>
      <c r="F109" s="1" t="s">
        <v>31439</v>
      </c>
      <c r="G109" s="1" t="str">
        <f ca="1">IFERROR(__xludf.dummyfunction("IF(F109="""", """", GOOGLETRANSLATE(F109, ""en"", ""hi""))"),"100 ग्राम कुट्टू का आटा, 2 हरी मिर्च - कटी हुई, सेंधा नमक - स्वादानुसार, 1/2 छोटा चम्मच लाल मिर्च पाउडर - काली मिर्च पाउडर के साथ (अपने स्वादानुसार), 1 आलू - उबला और मसला हुआ, पानी - आटा गूंथने के लिए, सूरजमुखी तेल - तलने के लिए, 1 कप पनीर (घर का बना पनीर"&amp;"), सेंधा नमक - स्वादानुसार, काली मिर्च पाउडर - स्वादानुसार, 2 हरी मिर्च - कटी हुई, 1 बड़ा चम्मच धनिया पत्ती - वैकल्पिक")</f>
        <v>100 ग्राम कुट्टू का आटा, 2 हरी मिर्च - कटी हुई, सेंधा नमक - स्वादानुसार, 1/2 छोटा चम्मच लाल मिर्च पाउडर - काली मिर्च पाउडर के साथ (अपने स्वादानुसार), 1 आलू - उबला और मसला हुआ, पानी - आटा गूंथने के लिए, सूरजमुखी तेल - तलने के लिए, 1 कप पनीर (घर का बना पनीर), सेंधा नमक - स्वादानुसार, काली मिर्च पाउडर - स्वादानुसार, 2 हरी मिर्च - कटी हुई, 1 बड़ा चम्मच धनिया पत्ती - वैकल्पिक</v>
      </c>
      <c r="H109" s="1" t="s">
        <v>31440</v>
      </c>
      <c r="I109" s="1" t="str">
        <f ca="1">IFERROR(__xludf.dummyfunction("IF(H109="""", """", GOOGLETRANSLATE(H109, ""en"", ""hi""))"),"व्रत की कचौरी रेसिपी (स्वादिष्ट कुट्टू-पनीर पेस्ट्री) बनाने के लिए सबसे पहले कचौरी/पेस्ट्री मिक्स बना लें। एक मिक्सिंग बाउल में आटा, नमक, हरी मिर्च, मसले हुए आलू डालें। अपनी पसंद के अनुसार लाल मिर्च पाउडर या काली मिर्च पाउडर डालें और सभी चीजों को अच्छी तर"&amp;"ह मिला लें। आटा गूंथने के लिए थोड़ा पानी डालें और नरम आटा गूंथ लें। जब यह हो जाए तो आटे को 5 मिनट के लिए ढककर रख दें। इस बीच, हम व्रत की कचौरी के लिए पनीर का भरावन तैयार करेंगे। भरावन के लिए, पनीर को बाकी सामग्री के साथ मैश कर लें। स्वाद बढ़ाने के लिए आप "&amp;"चाहें तो इसमें किशमिश भी मिला सकते हैं। इसे एक तरफ रख दें। व्रत की कचौरी बनाने के लिए एक उथले फ्राई पैन में तेल गर्म करें। आटे की एक छोटी लोई अपनी हथेलियों के बीच लें। आटा नरम होगा। अब, अपनी हथेलियों के बीच दबाएँ और कचौरी को हल्का सा चपटा करें। थोड़ा सूखा"&amp;" कुट्टू का आटा लें और कचौरी को चारों तरफ से हल्के से ढक दें। इसी तरह सारी कचौरियाँ बना लें। इसके बाद, एक भारी तले वाले पैन में थोड़ा तेल गरम करें। इन कचौरियों को कड़ाही में डालें और मध्यम आँच पर पैन में दोनों तरफ से कुरकुरा होने तक तल लें। अतिरिक्त तेल को"&amp;" सोखने के लिए इन्हें किचन टॉवल पर निकाल लें। गरमागरम परोसें। शाम के नाश्ते में पनीर फिलिंग के साथ इस कुरकुरी व्रत की कचौरी रेसिपी को बिना प्याज़ और लहसुन वाली धनिया पुदीना चटनी के साथ परोसें।")</f>
        <v>व्रत की कचौरी रेसिपी (स्वादिष्ट कुट्टू-पनीर पेस्ट्री) बनाने के लिए सबसे पहले कचौरी/पेस्ट्री मिक्स बना लें। एक मिक्सिंग बाउल में आटा, नमक, हरी मिर्च, मसले हुए आलू डालें। अपनी पसंद के अनुसार लाल मिर्च पाउडर या काली मिर्च पाउडर डालें और सभी चीजों को अच्छी तरह मिला लें। आटा गूंथने के लिए थोड़ा पानी डालें और नरम आटा गूंथ लें। जब यह हो जाए तो आटे को 5 मिनट के लिए ढककर रख दें। इस बीच, हम व्रत की कचौरी के लिए पनीर का भरावन तैयार करेंगे। भरावन के लिए, पनीर को बाकी सामग्री के साथ मैश कर लें। स्वाद बढ़ाने के लिए आप चाहें तो इसमें किशमिश भी मिला सकते हैं। इसे एक तरफ रख दें। व्रत की कचौरी बनाने के लिए एक उथले फ्राई पैन में तेल गर्म करें। आटे की एक छोटी लोई अपनी हथेलियों के बीच लें। आटा नरम होगा। अब, अपनी हथेलियों के बीच दबाएँ और कचौरी को हल्का सा चपटा करें। थोड़ा सूखा कुट्टू का आटा लें और कचौरी को चारों तरफ से हल्के से ढक दें। इसी तरह सारी कचौरियाँ बना लें। इसके बाद, एक भारी तले वाले पैन में थोड़ा तेल गरम करें। इन कचौरियों को कड़ाही में डालें और मध्यम आँच पर पैन में दोनों तरफ से कुरकुरा होने तक तल लें। अतिरिक्त तेल को सोखने के लिए इन्हें किचन टॉवल पर निकाल लें। गरमागरम परोसें। शाम के नाश्ते में पनीर फिलिंग के साथ इस कुरकुरी व्रत की कचौरी रेसिपी को बिना प्याज़ और लहसुन वाली धनिया पुदीना चटनी के साथ परोसें।</v>
      </c>
      <c r="J109" s="3" t="s">
        <v>31441</v>
      </c>
      <c r="L109" s="1" t="s">
        <v>31003</v>
      </c>
    </row>
    <row r="110" spans="1:12" ht="13.8">
      <c r="A110" s="1" t="s">
        <v>31442</v>
      </c>
      <c r="B110" s="1" t="str">
        <f ca="1">IFERROR(__xludf.dummyfunction("IF(A110="""", """", GOOGLETRANSLATE(A110, ""en"", ""hi""))"),"गाजर सूजी फिरनी रेसिपी")</f>
        <v>गाजर सूजी फिरनी रेसिपी</v>
      </c>
      <c r="C110" s="1" t="s">
        <v>8417</v>
      </c>
      <c r="D110" s="1" t="s">
        <v>14198</v>
      </c>
      <c r="E110" s="1">
        <v>40</v>
      </c>
      <c r="F110" s="1" t="s">
        <v>31443</v>
      </c>
      <c r="G110" s="1" t="str">
        <f ca="1">IFERROR(__xludf.dummyfunction("IF(F110="""", """", GOOGLETRANSLATE(F110, ""en"", ""hi""))"),"2 गाजर (गाजर) - कसा हुआ, 500 मिलीलीटर दूध, 5 बड़े चम्मच चीनी, 1/2 कप सूजी (सूजी / रवा), 1/2 चम्मच इलायची पाउडर (इलायची), 10 बादाम (बादाम) - ब्लांच किया हुआ, 2 बड़े चम्मच घी, 5 केसर के धागे")</f>
        <v>2 गाजर (गाजर) - कसा हुआ, 500 मिलीलीटर दूध, 5 बड़े चम्मच चीनी, 1/2 कप सूजी (सूजी / रवा), 1/2 चम्मच इलायची पाउडर (इलायची), 10 बादाम (बादाम) - ब्लांच किया हुआ, 2 बड़े चम्मच घी, 5 केसर के धागे</v>
      </c>
      <c r="H110" s="1" t="s">
        <v>31444</v>
      </c>
      <c r="I110" s="1" t="str">
        <f ca="1">IFERROR(__xludf.dummyfunction("IF(H110="""", """", GOOGLETRANSLATE(H110, ""en"", ""hi""))"),"गाजर सूजी फिरनी रेसिपी बनाना शुरू करने के लिए, हम सबसे पहले एक सॉस पैन में एक बड़ा चम्मच घी के साथ कद्दूकस की हुई गाजर को भूनेंगे। इन्हें सिर्फ 5 मिनट के लिए भूनें। सॉस पैन में दूध गर्म करें, चीनी डालें और उबलने दें। उबलने के चरण में पहुंचने के बाद, कसा ह"&amp;"ुआ गाजर, इलायची पाउडर, केसर के धागे डालें और इसे फिर से 10 मिनट तक उबालें। अंत में सूजी डालें और अच्छी तरह से हिलाएं ताकि कोई गांठ न बने। जब यह गाढ़ा हो जाए तो आंच बंद कर दें। इसे एक तरफ रख दें। एक छोटा सॉस पैन गरम करें, बचा हुआ घी डालें, जब यह पिघलने लगे"&amp;" तो इसमें चांदी के बादाम डालें और उन्हें 10 सेकंड के लिए टोस्ट करें और इसे फिरनी के ऊपर डालें और परोसें।")</f>
        <v>गाजर सूजी फिरनी रेसिपी बनाना शुरू करने के लिए, हम सबसे पहले एक सॉस पैन में एक बड़ा चम्मच घी के साथ कद्दूकस की हुई गाजर को भूनेंगे। इन्हें सिर्फ 5 मिनट के लिए भूनें। सॉस पैन में दूध गर्म करें, चीनी डालें और उबलने दें। उबलने के चरण में पहुंचने के बाद, कसा हुआ गाजर, इलायची पाउडर, केसर के धागे डालें और इसे फिर से 10 मिनट तक उबालें। अंत में सूजी डालें और अच्छी तरह से हिलाएं ताकि कोई गांठ न बने। जब यह गाढ़ा हो जाए तो आंच बंद कर दें। इसे एक तरफ रख दें। एक छोटा सॉस पैन गरम करें, बचा हुआ घी डालें, जब यह पिघलने लगे तो इसमें चांदी के बादाम डालें और उन्हें 10 सेकंड के लिए टोस्ट करें और इसे फिरनी के ऊपर डालें और परोसें।</v>
      </c>
      <c r="J110" s="3" t="s">
        <v>31445</v>
      </c>
      <c r="L110" s="1" t="s">
        <v>31003</v>
      </c>
    </row>
    <row r="111" spans="1:12" ht="13.8">
      <c r="A111" s="1" t="s">
        <v>31446</v>
      </c>
      <c r="B111" s="1" t="s">
        <v>31447</v>
      </c>
      <c r="C111" s="1" t="s">
        <v>145</v>
      </c>
      <c r="D111" s="1" t="s">
        <v>14237</v>
      </c>
      <c r="E111" s="1">
        <v>30</v>
      </c>
      <c r="F111" s="1" t="s">
        <v>31448</v>
      </c>
      <c r="G111" s="1" t="str">
        <f ca="1">IFERROR(__xludf.dummyfunction("IF(F111="""", """", GOOGLETRANSLATE(F111, ""en"", ""hi""))"),"250 ग्राम पनीर, 2 प्याज़ - बारीक कटे हुए, 4 टमाटर, 1 शिमला मिर्च (हरा), 4 काजू, 1 बड़ा चम्मच सरसों का तेल, 1 हरी मिर्च, हींग - चुटकी भर, नमक - स्वादानुसार, 1 बड़ा चम्मच धनिया, 1 बड़ा चम्मच सौंफ, 1 छोटा चम्मच सरसों, 1/2 छोटा चम्मच मेथी दाना, 2 सूखी कश्मीरी"&amp;" मिर्च, 1/4 छोटा चम्मच कलौंजी, 1 छोटा चम्मच जीरा")</f>
        <v>250 ग्राम पनीर, 2 प्याज़ - बारीक कटे हुए, 4 टमाटर, 1 शिमला मिर्च (हरा), 4 काजू, 1 बड़ा चम्मच सरसों का तेल, 1 हरी मिर्च, हींग - चुटकी भर, नमक - स्वादानुसार, 1 बड़ा चम्मच धनिया, 1 बड़ा चम्मच सौंफ, 1 छोटा चम्मच सरसों, 1/2 छोटा चम्मच मेथी दाना, 2 सूखी कश्मीरी मिर्च, 1/4 छोटा चम्मच कलौंजी, 1 छोटा चम्मच जीरा</v>
      </c>
      <c r="H111" s="1" t="s">
        <v>31449</v>
      </c>
      <c r="I111" s="1" t="str">
        <f ca="1">IFERROR(__xludf.dummyfunction("IF(H111="""", """", GOOGLETRANSLATE(H111, ""en"", ""hi""))"),"""अचारी पनीर मसाला रेसिपी बनाने के लिए सबसे पहले काजू को 15 से 20 मिनट के लिए गर्म पानी में भिगो दें। अब एक पैन में धनिया के बीज, सौंफ के बीज, सरसों के बीज, मेथी के बीज, कश्मीरी सूखी लाल मिर्च, कलौंजी, जीरा डालें और 5 से 10 मिनट तक पकाएं। ठंडा होने के बाद"&amp;" इसे मिक्सर ग्राइंडर में डालें और पीस लें। शिमला मिर्च, काजू, टमाटर को मिक्सर ग्राइंडर में डालें और प्यूरी बना लें। इसे एक तरफ रख दें। एक पैन में सरसों का तेल गर्म करें। गर्म होने के बाद इसमें हरी मिर्च, हींग डालें और 10 से 15 सेकंड तक पकाएं। इसके बाद इसम"&amp;"ें कटा हुआ प्याज डालें और सुनहरा भूरा होने तक पकाएं। अब इसमें पिसा हुआ सूखा मसाला डालें और 30 सेकंड तक पकाएं। 15 से 20 सेकंड के बाद इसमें टमाटर शिमला मिर्च काजू प्यूरी डालें और 6 से 8 मिनट तक पकाएं। अब इसमें पनीर डालें, मिलाएँ और 2 मिनट तक पकाएँ। स्वादानु"&amp;"सार नमक डालें, मिलाएँ और परोसें। अचारी पनीर मसाला रेसिपी को सप्ताहांत के भोजन के लिए मखनी दाल, जीरा चावल, बूंदी रायता और फुल्के।")</f>
        <v>"अचारी पनीर मसाला रेसिपी बनाने के लिए सबसे पहले काजू को 15 से 20 मिनट के लिए गर्म पानी में भिगो दें। अब एक पैन में धनिया के बीज, सौंफ के बीज, सरसों के बीज, मेथी के बीज, कश्मीरी सूखी लाल मिर्च, कलौंजी, जीरा डालें और 5 से 10 मिनट तक पकाएं। ठंडा होने के बाद इसे मिक्सर ग्राइंडर में डालें और पीस लें। शिमला मिर्च, काजू, टमाटर को मिक्सर ग्राइंडर में डालें और प्यूरी बना लें। इसे एक तरफ रख दें। एक पैन में सरसों का तेल गर्म करें। गर्म होने के बाद इसमें हरी मिर्च, हींग डालें और 10 से 15 सेकंड तक पकाएं। इसके बाद इसमें कटा हुआ प्याज डालें और सुनहरा भूरा होने तक पकाएं। अब इसमें पिसा हुआ सूखा मसाला डालें और 30 सेकंड तक पकाएं। 15 से 20 सेकंड के बाद इसमें टमाटर शिमला मिर्च काजू प्यूरी डालें और 6 से 8 मिनट तक पकाएं। अब इसमें पनीर डालें, मिलाएँ और 2 मिनट तक पकाएँ। स्वादानुसार नमक डालें, मिलाएँ और परोसें। अचारी पनीर मसाला रेसिपी को सप्ताहांत के भोजन के लिए मखनी दाल, जीरा चावल, बूंदी रायता और फुल्के।</v>
      </c>
      <c r="J111" s="3" t="s">
        <v>31450</v>
      </c>
      <c r="L111" s="1" t="s">
        <v>31003</v>
      </c>
    </row>
    <row r="112" spans="1:12" ht="13.8">
      <c r="A112" s="1" t="s">
        <v>31451</v>
      </c>
      <c r="B112" s="1" t="str">
        <f ca="1">IFERROR(__xludf.dummyfunction("IF(A112="""", """", GOOGLETRANSLATE(A112, ""en"", ""hi""))"),"ढाबा स्टाइल तवा पुलाव रेसिपी - मसाला ब्राउन राइस तवा पुलाव")</f>
        <v>ढाबा स्टाइल तवा पुलाव रेसिपी - मसाला ब्राउन राइस तवा पुलाव</v>
      </c>
      <c r="C112" s="1" t="s">
        <v>145</v>
      </c>
      <c r="D112" s="1" t="s">
        <v>14198</v>
      </c>
      <c r="E112" s="1">
        <v>35</v>
      </c>
      <c r="F112" s="1" t="s">
        <v>31452</v>
      </c>
      <c r="G112" s="1" t="str">
        <f ca="1">IFERROR(__xludf.dummyfunction("IF(F112="""", """", GOOGLETRANSLATE(F112, ""en"", ""hi""))"),"1 कप ब्राउन राइस, 2 बड़े चम्मच घी, 1 बड़ा चम्मच जीरा, 1 हरी मिर्च - बारीक कटी हुई, 1 प्याज - बारीक कटा हुआ, 1 टमाटर - बारीक कटा हुआ, 1 गाजर - बारीक कटी हुई, 1/4 कप हरी मटर - उबली हुई, 1/4 कप स्वीट कॉर्न - उबली हुई, नमक - स्वादानुसार, 1/2 बड़ा चम्मच लाल मि"&amp;"र्च पाउडर, 1 बड़ा चम्मच पाव भाजी मसाला, धनिया पत्ती - एक छोटा गुच्छा")</f>
        <v>1 कप ब्राउन राइस, 2 बड़े चम्मच घी, 1 बड़ा चम्मच जीरा, 1 हरी मिर्च - बारीक कटी हुई, 1 प्याज - बारीक कटा हुआ, 1 टमाटर - बारीक कटा हुआ, 1 गाजर - बारीक कटी हुई, 1/4 कप हरी मटर - उबली हुई, 1/4 कप स्वीट कॉर्न - उबली हुई, नमक - स्वादानुसार, 1/2 बड़ा चम्मच लाल मिर्च पाउडर, 1 बड़ा चम्मच पाव भाजी मसाला, धनिया पत्ती - एक छोटा गुच्छा</v>
      </c>
      <c r="H112" s="1" t="s">
        <v>31453</v>
      </c>
      <c r="I112" s="1" t="str">
        <f ca="1">IFERROR(__xludf.dummyfunction("IF(H112="""", """", GOOGLETRANSLATE(H112, ""en"", ""hi""))"),"ढाबा स्टाइल तवा पुलाव रेसिपी बनाने के लिए सबसे पहले एक प्रेशर कुकर में ब्राउन राइस को 1-1/2 कप पानी के साथ 3 से 4 सीटी आने तक पका लें। आंच बंद कर दें और प्रेशर को अपने आप निकलने दें। प्रेशर निकल जाने पर कुकर खोलें और चावल को तवा मसाला में डालने से पहले पू"&amp;"री तरह से ठंडा होने दें। तवा मसाला बनाने के लिए एक भारी तले की कड़ाही में घी गर्म करें। घी गर्म हो जाए तो उसमें जीरा डालें और उसे चटकने दें। इसमें कटी हरी मिर्च, प्याज डालें और प्याज के नरम और पारदर्शी होने तक पकाएं। प्याज के नरम हो जाने पर इसमें कटी गाजर"&amp;", हरी मटर और कॉर्न डालें। लगभग एक या दो मिनट तक हल्का नरम होने तक पकाएं। स्वादानुसार नमक, लाल मिर्च पाउडर और पाव भाजी मसाला डालें ढक्कन खोलें और तवा पुलाव को अच्छी तरह हिलाएं। एक बार हो जाने पर, गैस बंद कर दें और ढाबा स्टाइल तवा पुलाव को कटी हुई धनिया पत्"&amp;"ती से गार्निश करें और गर्मागर्म परोसें। ढाबा स्टाइल तवा पुलाव को पालक रायता, तड़का रायता या अपनी पसंद का कोई भी रायता, सात्विक गाजर स्प्राउट सलाद और पापड़ के साथ रात के खाने में परोसें।")</f>
        <v>ढाबा स्टाइल तवा पुलाव रेसिपी बनाने के लिए सबसे पहले एक प्रेशर कुकर में ब्राउन राइस को 1-1/2 कप पानी के साथ 3 से 4 सीटी आने तक पका लें। आंच बंद कर दें और प्रेशर को अपने आप निकलने दें। प्रेशर निकल जाने पर कुकर खोलें और चावल को तवा मसाला में डालने से पहले पूरी तरह से ठंडा होने दें। तवा मसाला बनाने के लिए एक भारी तले की कड़ाही में घी गर्म करें। घी गर्म हो जाए तो उसमें जीरा डालें और उसे चटकने दें। इसमें कटी हरी मिर्च, प्याज डालें और प्याज के नरम और पारदर्शी होने तक पकाएं। प्याज के नरम हो जाने पर इसमें कटी गाजर, हरी मटर और कॉर्न डालें। लगभग एक या दो मिनट तक हल्का नरम होने तक पकाएं। स्वादानुसार नमक, लाल मिर्च पाउडर और पाव भाजी मसाला डालें ढक्कन खोलें और तवा पुलाव को अच्छी तरह हिलाएं। एक बार हो जाने पर, गैस बंद कर दें और ढाबा स्टाइल तवा पुलाव को कटी हुई धनिया पत्ती से गार्निश करें और गर्मागर्म परोसें। ढाबा स्टाइल तवा पुलाव को पालक रायता, तड़का रायता या अपनी पसंद का कोई भी रायता, सात्विक गाजर स्प्राउट सलाद और पापड़ के साथ रात के खाने में परोसें।</v>
      </c>
      <c r="J112" s="3" t="s">
        <v>31454</v>
      </c>
      <c r="L112" s="1" t="s">
        <v>31003</v>
      </c>
    </row>
    <row r="113" spans="1:12" ht="13.8">
      <c r="A113" s="1" t="s">
        <v>31455</v>
      </c>
      <c r="B113" s="1" t="str">
        <f ca="1">IFERROR(__xludf.dummyfunction("IF(A113="""", """", GOOGLETRANSLATE(A113, ""en"", ""hi""))"),"मक्की की बेक्ड मठरी रेसिपी (बेक्ड कॉर्नमील फ्लेकी बिस्किट)")</f>
        <v>मक्की की बेक्ड मठरी रेसिपी (बेक्ड कॉर्नमील फ्लेकी बिस्किट)</v>
      </c>
      <c r="C113" s="1" t="s">
        <v>14281</v>
      </c>
      <c r="D113" s="1" t="s">
        <v>14198</v>
      </c>
      <c r="E113" s="1">
        <v>50</v>
      </c>
      <c r="F113" s="1" t="s">
        <v>31456</v>
      </c>
      <c r="G113" s="1" t="str">
        <f ca="1">IFERROR(__xludf.dummyfunction("IF(F113="""", """", GOOGLETRANSLATE(F113, ""en"", ""hi""))"),"2 कप मकई का आटा, 2 से 3 बड़े चम्मच तिल, 1/2 बड़ा चम्मच कसूरी मेथी, सूरजमुखी तेल - आवश्यकतानुसार, 1/2 छोटा चम्मच साबुत काली मिर्च - कुटी हुई, नमक - स्वादानुसार, 1 कप पानी - गर्म")</f>
        <v>2 कप मकई का आटा, 2 से 3 बड़े चम्मच तिल, 1/2 बड़ा चम्मच कसूरी मेथी, सूरजमुखी तेल - आवश्यकतानुसार, 1/2 छोटा चम्मच साबुत काली मिर्च - कुटी हुई, नमक - स्वादानुसार, 1 कप पानी - गर्म</v>
      </c>
      <c r="H113" s="1" t="s">
        <v>31457</v>
      </c>
      <c r="I113" s="1" t="str">
        <f ca="1">IFERROR(__xludf.dummyfunction("IF(H113="""", """", GOOGLETRANSLATE(H113, ""en"", ""hi""))"),"मक्की की बेक्ड मठरी रेसिपी बनाने के लिए सबसे पहले एक बाउल में मक्की का आटा, नमक, कुटी काली मिर्च, कसूरी मेथी और तेल डालकर गुनगुने पानी से नरम आटा गूंथ लें। आटे को 10 से 15 मिनट के लिए ढककर रख दें। आटे को मसल कर नरम कर लें। ओवन को 180 डिग्री सेल्सियस पर प्"&amp;"रीहीट कर लें। आटे से एक छोटी लोई निकाल कर बॉल जैसा आकार दें। इसे दोनों हाथों से थोड़ा चपटा करें। अब मठरी को बेकिंग ट्रे पर रखें। इन्हें ओवन में कम से कम 25-30 मिनट तक या दोनों तरफ से हल्का ब्राउन होने तक बेक करें। स्वादिष्ट कॉर्न फ्लेकी मठरी अब परोसने और "&amp;"खाने के लिए तैयार है। आप इन्हें एयर टाइट कंटेनर में भरकर रख सकते हैं और कम से कम एक महीने तक इनका लुत्फ उठा सकते हैं। मक्की की बेक्ड मठरी को चाय के ब्रेक में गरम मसाला चाय के साथ सर्व करें।")</f>
        <v>मक्की की बेक्ड मठरी रेसिपी बनाने के लिए सबसे पहले एक बाउल में मक्की का आटा, नमक, कुटी काली मिर्च, कसूरी मेथी और तेल डालकर गुनगुने पानी से नरम आटा गूंथ लें। आटे को 10 से 15 मिनट के लिए ढककर रख दें। आटे को मसल कर नरम कर लें। ओवन को 180 डिग्री सेल्सियस पर प्रीहीट कर लें। आटे से एक छोटी लोई निकाल कर बॉल जैसा आकार दें। इसे दोनों हाथों से थोड़ा चपटा करें। अब मठरी को बेकिंग ट्रे पर रखें। इन्हें ओवन में कम से कम 25-30 मिनट तक या दोनों तरफ से हल्का ब्राउन होने तक बेक करें। स्वादिष्ट कॉर्न फ्लेकी मठरी अब परोसने और खाने के लिए तैयार है। आप इन्हें एयर टाइट कंटेनर में भरकर रख सकते हैं और कम से कम एक महीने तक इनका लुत्फ उठा सकते हैं। मक्की की बेक्ड मठरी को चाय के ब्रेक में गरम मसाला चाय के साथ सर्व करें।</v>
      </c>
      <c r="J113" s="3" t="s">
        <v>31458</v>
      </c>
      <c r="L113" s="1" t="s">
        <v>31003</v>
      </c>
    </row>
    <row r="114" spans="1:12" ht="13.8">
      <c r="A114" s="1" t="s">
        <v>31459</v>
      </c>
      <c r="B114" s="1" t="str">
        <f ca="1">IFERROR(__xludf.dummyfunction("IF(A114="""", """", GOOGLETRANSLATE(A114, ""en"", ""hi""))"),"कड़ाही ब्रोकली मसाला रेसिपी - भारतीय मसालों के साथ पकाई गई ब्रोकली")</f>
        <v>कड़ाही ब्रोकली मसाला रेसिपी - भारतीय मसालों के साथ पकाई गई ब्रोकली</v>
      </c>
      <c r="C114" s="1" t="s">
        <v>14259</v>
      </c>
      <c r="D114" s="1" t="s">
        <v>14198</v>
      </c>
      <c r="E114" s="1">
        <v>30</v>
      </c>
      <c r="F114" s="1" t="s">
        <v>31460</v>
      </c>
      <c r="G114" s="1" t="str">
        <f ca="1">IFERROR(__xludf.dummyfunction("IF(F114="""", """", GOOGLETRANSLATE(F114, ""en"", ""hi""))"),"500 ग्राम ब्रोकली - छोटे-छोटे टुकड़ों में कटी हुई, 1 लाल शिमला मिर्च - टुकड़ों में कटी हुई, 1 प्याज - मोटा कटा हुआ, 2 टमाटर - प्यूरी किए हुए, 1 इंच अदरक - बारीक कटा हुआ, 4 लहसुन के दाने - बारीक कटा हुआ, 1 छोटा चम्मच लाल मिर्च पाउडर, 1 छोटा चम्मच गरम मसाला"&amp;" पाउडर, 1 बड़ी इलायची, 1/4 पानी, नमक - स्वादानुसार, 2 बड़े चम्मच सूरजमुखी तेल, 1 बड़ा चम्मच कसूरी मेथी, 1 बड़ा चम्मच धनिया के बीज, 1 छोटा चम्मच जीरा, 1/2 छोटा चम्मच सौंफ")</f>
        <v>500 ग्राम ब्रोकली - छोटे-छोटे टुकड़ों में कटी हुई, 1 लाल शिमला मिर्च - टुकड़ों में कटी हुई, 1 प्याज - मोटा कटा हुआ, 2 टमाटर - प्यूरी किए हुए, 1 इंच अदरक - बारीक कटा हुआ, 4 लहसुन के दाने - बारीक कटा हुआ, 1 छोटा चम्मच लाल मिर्च पाउडर, 1 छोटा चम्मच गरम मसाला पाउडर, 1 बड़ी इलायची, 1/4 पानी, नमक - स्वादानुसार, 2 बड़े चम्मच सूरजमुखी तेल, 1 बड़ा चम्मच कसूरी मेथी, 1 बड़ा चम्मच धनिया के बीज, 1 छोटा चम्मच जीरा, 1/2 छोटा चम्मच सौंफ</v>
      </c>
      <c r="H114" s="1" t="s">
        <v>31461</v>
      </c>
      <c r="I114" s="1" t="str">
        <f ca="1">IFERROR(__xludf.dummyfunction("IF(H114="""", """", GOOGLETRANSLATE(H114, ""en"", ""hi""))"),"कड़ाही ब्रोकली मसाला रेसिपी बनाने के लिए सबसे पहले ब्रोकली को पका लें। एक भारी तले की कड़ाही को मध्यम आंच पर गर्म करें, उसमें एक छोटा चम्मच तेल, ब्रोकली के फूल और 5 बड़े चम्मच पानी डालें। नमक डालें और अच्छी तरह मिलाएँ। ढककर तब तक पकाएँ जब तक यह अल डेंटे न"&amp;" हो जाए। (70% पक गया है) ज्यादा न पकाएं। ब्रोकली के फूलों को पकाना है लेकिन कुरकुरा रहना है। एक तरफ रख दें। अगर पानी बचा है तो उसे न निकालें। एक अन्य पैन में कढ़ाई मसाला पाउडर के लिए सामग्री डालें जिसमें कसूरी मेथी को छोड़कर धनिया, जीरा, सौंफ शामिल हैं और"&amp;" मध्यम आंच पर 5 मिनट तक सुगंध आने तक भूनें। आंच बंद कर दें, कुटी हुई कसूरी मेथी डालें और जल्दी से हिलाएं और पूरी तरह से ठंडा करें तेल गरम हो जाए तो उसमें प्याज, अदरक और लहसुन डालें और उनके नरम और पारदर्शी होने तक भूनें। इसमें लगभग 3-4 मिनट का समय लगेगा। ज"&amp;"ब प्याज और अदरक लहसुन अच्छी तरह पक जाए तो उसमें शिमला मिर्च, नमक डालें और शिमला मिर्च के नरम होने तक लगभग 2 मिनट तक पकाएं। इसके बाद टमाटर और बाई इलाइची डालें और अच्छी तरह मिला लें। लगभग 3 से 4 मिनट तक पकाएं जब तक कि टमाटर गाढ़ा न हो जाए। इस स्तर पर, तैयार"&amp;" कढ़ाई मसाला पाउडर, गरम मसाला, लाल मिर्च पाउडर डालें और सब कुछ अच्छी तरह मिला लें। उबाल आने पर इसमें ब्रोकली के फूल डालें, इसे जल्दी से हिलाएं और ढककर लगभग 3 मिनट तक पकाएं और आंच बंद कर दें। नमक और मसाले की जांच करें और अपने स्वाद के अनुसार समायोजित करें")</f>
        <v>कड़ाही ब्रोकली मसाला रेसिपी बनाने के लिए सबसे पहले ब्रोकली को पका लें। एक भारी तले की कड़ाही को मध्यम आंच पर गर्म करें, उसमें एक छोटा चम्मच तेल, ब्रोकली के फूल और 5 बड़े चम्मच पानी डालें। नमक डालें और अच्छी तरह मिलाएँ। ढककर तब तक पकाएँ जब तक यह अल डेंटे न हो जाए। (70% पक गया है) ज्यादा न पकाएं। ब्रोकली के फूलों को पकाना है लेकिन कुरकुरा रहना है। एक तरफ रख दें। अगर पानी बचा है तो उसे न निकालें। एक अन्य पैन में कढ़ाई मसाला पाउडर के लिए सामग्री डालें जिसमें कसूरी मेथी को छोड़कर धनिया, जीरा, सौंफ शामिल हैं और मध्यम आंच पर 5 मिनट तक सुगंध आने तक भूनें। आंच बंद कर दें, कुटी हुई कसूरी मेथी डालें और जल्दी से हिलाएं और पूरी तरह से ठंडा करें तेल गरम हो जाए तो उसमें प्याज, अदरक और लहसुन डालें और उनके नरम और पारदर्शी होने तक भूनें। इसमें लगभग 3-4 मिनट का समय लगेगा। जब प्याज और अदरक लहसुन अच्छी तरह पक जाए तो उसमें शिमला मिर्च, नमक डालें और शिमला मिर्च के नरम होने तक लगभग 2 मिनट तक पकाएं। इसके बाद टमाटर और बाई इलाइची डालें और अच्छी तरह मिला लें। लगभग 3 से 4 मिनट तक पकाएं जब तक कि टमाटर गाढ़ा न हो जाए। इस स्तर पर, तैयार कढ़ाई मसाला पाउडर, गरम मसाला, लाल मिर्च पाउडर डालें और सब कुछ अच्छी तरह मिला लें। उबाल आने पर इसमें ब्रोकली के फूल डालें, इसे जल्दी से हिलाएं और ढककर लगभग 3 मिनट तक पकाएं और आंच बंद कर दें। नमक और मसाले की जांच करें और अपने स्वाद के अनुसार समायोजित करें</v>
      </c>
      <c r="J114" s="3" t="s">
        <v>31462</v>
      </c>
      <c r="L114" s="1" t="s">
        <v>31003</v>
      </c>
    </row>
    <row r="115" spans="1:12" ht="13.8">
      <c r="A115" s="1" t="s">
        <v>31463</v>
      </c>
      <c r="B115" s="1" t="s">
        <v>31464</v>
      </c>
      <c r="C115" s="1" t="s">
        <v>14281</v>
      </c>
      <c r="D115" s="1" t="s">
        <v>14198</v>
      </c>
      <c r="E115" s="1">
        <v>30</v>
      </c>
      <c r="F115" s="1" t="s">
        <v>31465</v>
      </c>
      <c r="G115" s="1" t="str">
        <f ca="1">IFERROR(__xludf.dummyfunction("IF(F115="""", """", GOOGLETRANSLATE(F115, ""en"", ""hi""))"),"3/4 कप बेसन, 1/4 कप चावल का आटा, 1 कप पालक - कटा हुआ, 1 प्याज - बारीक कटा हुआ, 1 हरी मिर्च - बारीक कटी हुई, 2 लहसुन की कलियां - कद्दूकस की हुई, 1 इंच अदरक - कद्दूकस किया हुआ, 1 चम्मच सौंफ, नमक - स्वादानुसार, तेल, चाट मसाला पाउडर - स्वादानुसार")</f>
        <v>3/4 कप बेसन, 1/4 कप चावल का आटा, 1 कप पालक - कटा हुआ, 1 प्याज - बारीक कटा हुआ, 1 हरी मिर्च - बारीक कटी हुई, 2 लहसुन की कलियां - कद्दूकस की हुई, 1 इंच अदरक - कद्दूकस किया हुआ, 1 चम्मच सौंफ, नमक - स्वादानुसार, तेल, चाट मसाला पाउडर - स्वादानुसार</v>
      </c>
      <c r="H115" s="1" t="s">
        <v>31466</v>
      </c>
      <c r="I115" s="1" t="str">
        <f ca="1">IFERROR(__xludf.dummyfunction("IF(H115="""", """", GOOGLETRANSLATE(H115, ""en"", ""hi""))"),"""पालक पकौड़ा बनाने के लिए सबसे पहले सारी सामग्री तैयार कर लें और एक तरफ रख दें। एक मिक्सिंग बाउल में बेसन, चावल का आटा, पालक, प्याज, हरी मिर्च, लहसुन, अदरक, सौंफ, नमक डालकर अच्छी तरह मिला लें। अब इसमें थोड़ा पानी डालकर पतला घोल बना लें। एक पनियारम पैन गर"&amp;"म करें और हर एक छेद में थोड़ा तेल डालें। गरम होने के बाद, हर एक छेद में पकौड़ा मिश्रण डालें और दोनों तरफ से पकने दें। जब यह दोनों तरफ से कुरकुरा हो जाए, तो पैन से निकालें और गरमागरम परोसें। शाम के नाश्ते के लिए पालक पकौड़ा को धनिया पुदीना चटनी और मसाला चा"&amp;"य के साथ परोसें।""")</f>
        <v>"पालक पकौड़ा बनाने के लिए सबसे पहले सारी सामग्री तैयार कर लें और एक तरफ रख दें। एक मिक्सिंग बाउल में बेसन, चावल का आटा, पालक, प्याज, हरी मिर्च, लहसुन, अदरक, सौंफ, नमक डालकर अच्छी तरह मिला लें। अब इसमें थोड़ा पानी डालकर पतला घोल बना लें। एक पनियारम पैन गरम करें और हर एक छेद में थोड़ा तेल डालें। गरम होने के बाद, हर एक छेद में पकौड़ा मिश्रण डालें और दोनों तरफ से पकने दें। जब यह दोनों तरफ से कुरकुरा हो जाए, तो पैन से निकालें और गरमागरम परोसें। शाम के नाश्ते के लिए पालक पकौड़ा को धनिया पुदीना चटनी और मसाला चाय के साथ परोसें।"</v>
      </c>
      <c r="J115" s="3" t="s">
        <v>31467</v>
      </c>
      <c r="L115" s="1" t="s">
        <v>31003</v>
      </c>
    </row>
    <row r="116" spans="1:12" ht="13.8">
      <c r="A116" s="1" t="s">
        <v>31468</v>
      </c>
      <c r="B116" s="1" t="str">
        <f ca="1">IFERROR(__xludf.dummyfunction("IF(A116="""", """", GOOGLETRANSLATE(A116, ""en"", ""hi""))"),"चना मेथी दाल रेसिपी - मेथी और चने की दाल की करी")</f>
        <v>चना मेथी दाल रेसिपी - मेथी और चने की दाल की करी</v>
      </c>
      <c r="C116" s="1" t="s">
        <v>145</v>
      </c>
      <c r="D116" s="1" t="s">
        <v>14237</v>
      </c>
      <c r="E116" s="1">
        <v>45</v>
      </c>
      <c r="F116" s="1" t="s">
        <v>31469</v>
      </c>
      <c r="G116" s="1" t="str">
        <f ca="1">IFERROR(__xludf.dummyfunction("IF(F116="""", """", GOOGLETRANSLATE(F116, ""en"", ""hi""))"),"1 कप चना दाल, 1 कप मेथी के पत्ते - एक गुच्छा, 1/4 चम्मच हींग, 1 प्याज - पतले कटा हुआ, 1 टमाटर - कटा हुआ, 1 चम्मच धनिया पाउडर, 1 चम्मच हल्दी पाउडर, 1 चम्मच लाल मिर्च पाउडर, नमक - स्वादानुसार, 1 बड़ा चम्मच घी, 1 चम्मच जीरा, 2 सूखी लाल मिर्च")</f>
        <v>1 कप चना दाल, 1 कप मेथी के पत्ते - एक गुच्छा, 1/4 चम्मच हींग, 1 प्याज - पतले कटा हुआ, 1 टमाटर - कटा हुआ, 1 चम्मच धनिया पाउडर, 1 चम्मच हल्दी पाउडर, 1 चम्मच लाल मिर्च पाउडर, नमक - स्वादानुसार, 1 बड़ा चम्मच घी, 1 चम्मच जीरा, 2 सूखी लाल मिर्च</v>
      </c>
      <c r="H116" s="1" t="s">
        <v>31470</v>
      </c>
      <c r="I116" s="1" t="str">
        <f ca="1">IFERROR(__xludf.dummyfunction("IF(H116="""", """", GOOGLETRANSLATE(H116, ""en"", ""hi""))"),"चना मेथी दाल तैयार करने के लिए सबसे पहले चना दाल को धोकर 3 कप पानी में कम से कम 30 मिनट के लिए भिगो दें। जब तक दाल साफ हो जाए तब तक मेथी के पत्तों को धोकर सुखा लें। इसके बाद मेथी के पत्तों को बारीक काट लें। एक कड़ाही में एक चम्मच तेल गर्म करें और उसमें कट"&amp;"ी हुई मेथी के पत्ते डालें। मेथी के पत्तों को नरम होने तक भूनें। मेथी के पत्ते बहुत जल्दी पक जाते हैं और इसे पकने में 3 मिनट से भी कम समय लगेगा। जब पत्ते नरम हो जाएं तो आंच बंद कर दें। इसे एक तरफ रख दें। अगले स्टेप में हम चना दाल को मसालों के साथ पकाएंगे। "&amp;"एक प्रेशर कुकर में मध्यम आंच पर एक चम्मच तेल गर्म करें इसके बाद प्याज डालें और उनके नरम होने तक भूनें। प्याज के नरम हो जाने पर, कटे हुए टमाटर के साथ धनिया पाउडर, हल्दी पाउडर, लाल मिर्च पाउडर डालें और मध्यम आंच पर एक मिनट तक भूनें। प्याज टमाटर के मिश्रण मे"&amp;"ं भीगे हुए चना दाल के साथ भिगोया हुआ पानी डालें। प्रेशर कुकर का ढक्कन बंद करें और वजन डाल दें। चना दाल को 5 से 8 सीटी आने तक पकाएं और आंच बंद कर दें। प्रेशर कुकर से अपने आप प्रेशर निकलने दें। प्रेशर निकलने के बाद, कुकर खोलें और दाल को चम्मच के पिछले हिस्स"&amp;"े से हल्का मैश करें। भूनी हुई मेथी की पत्तियां डालकर हिलाएं। चना मेथी दाल को एक सर्विंग बाउल में निकाल लें। मध्यम आंच पर एक तड़के वाले पैन में घी गर्म करें, उसमें जीरा और लाल मिर्च डालें")</f>
        <v>चना मेथी दाल तैयार करने के लिए सबसे पहले चना दाल को धोकर 3 कप पानी में कम से कम 30 मिनट के लिए भिगो दें। जब तक दाल साफ हो जाए तब तक मेथी के पत्तों को धोकर सुखा लें। इसके बाद मेथी के पत्तों को बारीक काट लें। एक कड़ाही में एक चम्मच तेल गर्म करें और उसमें कटी हुई मेथी के पत्ते डालें। मेथी के पत्तों को नरम होने तक भूनें। मेथी के पत्ते बहुत जल्दी पक जाते हैं और इसे पकने में 3 मिनट से भी कम समय लगेगा। जब पत्ते नरम हो जाएं तो आंच बंद कर दें। इसे एक तरफ रख दें। अगले स्टेप में हम चना दाल को मसालों के साथ पकाएंगे। एक प्रेशर कुकर में मध्यम आंच पर एक चम्मच तेल गर्म करें इसके बाद प्याज डालें और उनके नरम होने तक भूनें। प्याज के नरम हो जाने पर, कटे हुए टमाटर के साथ धनिया पाउडर, हल्दी पाउडर, लाल मिर्च पाउडर डालें और मध्यम आंच पर एक मिनट तक भूनें। प्याज टमाटर के मिश्रण में भीगे हुए चना दाल के साथ भिगोया हुआ पानी डालें। प्रेशर कुकर का ढक्कन बंद करें और वजन डाल दें। चना दाल को 5 से 8 सीटी आने तक पकाएं और आंच बंद कर दें। प्रेशर कुकर से अपने आप प्रेशर निकलने दें। प्रेशर निकलने के बाद, कुकर खोलें और दाल को चम्मच के पिछले हिस्से से हल्का मैश करें। भूनी हुई मेथी की पत्तियां डालकर हिलाएं। चना मेथी दाल को एक सर्विंग बाउल में निकाल लें। मध्यम आंच पर एक तड़के वाले पैन में घी गर्म करें, उसमें जीरा और लाल मिर्च डालें</v>
      </c>
      <c r="J116" s="3" t="s">
        <v>31471</v>
      </c>
      <c r="L116" s="1" t="s">
        <v>31003</v>
      </c>
    </row>
    <row r="117" spans="1:12" ht="13.8">
      <c r="A117" s="1" t="s">
        <v>31472</v>
      </c>
      <c r="B117" s="1" t="str">
        <f ca="1">IFERROR(__xludf.dummyfunction("IF(A117="""", """", GOOGLETRANSLATE(A117, ""en"", ""hi""))"),"आम की लौंजी रेसिपी")</f>
        <v>आम की लौंजी रेसिपी</v>
      </c>
      <c r="C117" s="1" t="s">
        <v>14207</v>
      </c>
      <c r="D117" s="1" t="s">
        <v>14198</v>
      </c>
      <c r="E117" s="1">
        <v>35</v>
      </c>
      <c r="F117" s="1" t="s">
        <v>31473</v>
      </c>
      <c r="G117" s="1" t="str">
        <f ca="1">IFERROR(__xludf.dummyfunction("IF(F117="""", """", GOOGLETRANSLATE(F117, ""en"", ""hi""))"),"500 ग्राम कच्चा आम - छीलकर काट लें, 1/4 कप गुड़, 1/2 चम्मच लाल मिर्च पाउडर, नमक - स्वादानुसार, 1 बड़ा चम्मच तेल, 1/2 चम्मच हींग, 1/4 चम्मच मेथी दाना, 1 चम्मच जीरा, 1 चम्मच सौंफ, 1/2 चम्मच हल्दी पाउडर, काला नमक या सेंधा नमक - स्वादानुसार, 1/2 चम्मच गरम मसा"&amp;"ला पाउडर")</f>
        <v>500 ग्राम कच्चा आम - छीलकर काट लें, 1/4 कप गुड़, 1/2 चम्मच लाल मिर्च पाउडर, नमक - स्वादानुसार, 1 बड़ा चम्मच तेल, 1/2 चम्मच हींग, 1/4 चम्मच मेथी दाना, 1 चम्मच जीरा, 1 चम्मच सौंफ, 1/2 चम्मच हल्दी पाउडर, काला नमक या सेंधा नमक - स्वादानुसार, 1/2 चम्मच गरम मसाला पाउडर</v>
      </c>
      <c r="H117" s="1" t="s">
        <v>31474</v>
      </c>
      <c r="I117" s="1" t="str">
        <f ca="1">IFERROR(__xludf.dummyfunction("IF(H117="""", """", GOOGLETRANSLATE(H117, ""en"", ""hi""))"),"""आम की लौंजी बनाने के लिए सबसे पहले आमों को धोकर साफ कर लें। उन्हें छोटे-छोटे टुकड़ों में काट लें और एक तरफ रख दें। एक पैन में तेल गर्म करें। उसमें जीरा, मेथी के बीज, सौंफ डालें और उन्हें चटकने दें। हींग, हल्दी पाउडर, आम डालें और अच्छी तरह मिलाएँ। 1 मिनट"&amp;" के बाद, 3/4 कप पानी, नमक, काला नमक, लाल हरड़ पाउडर डालें और अच्छी तरह मिलाएँ। पैन को ढक दें और आमों को 10 मिनट तक पकने दें। 10 मिनट के बाद, पैन खोलें, गुड़, गरम मसाला डालें और अच्छी तरह मिलाएँ। गाढ़ा होने तक पकाएँ और गैस बंद कर दें। इसे ठंडा होने दें और "&amp;"कांच की बोतल में भरकर रख दें। दोपहर के भोजन के लिए आलू प्याज़ की सब्ज़ी और अजवाइन पूरी के साथ आम की लौंजी रेसिपी परोसें।""")</f>
        <v>"आम की लौंजी बनाने के लिए सबसे पहले आमों को धोकर साफ कर लें। उन्हें छोटे-छोटे टुकड़ों में काट लें और एक तरफ रख दें। एक पैन में तेल गर्म करें। उसमें जीरा, मेथी के बीज, सौंफ डालें और उन्हें चटकने दें। हींग, हल्दी पाउडर, आम डालें और अच्छी तरह मिलाएँ। 1 मिनट के बाद, 3/4 कप पानी, नमक, काला नमक, लाल हरड़ पाउडर डालें और अच्छी तरह मिलाएँ। पैन को ढक दें और आमों को 10 मिनट तक पकने दें। 10 मिनट के बाद, पैन खोलें, गुड़, गरम मसाला डालें और अच्छी तरह मिलाएँ। गाढ़ा होने तक पकाएँ और गैस बंद कर दें। इसे ठंडा होने दें और कांच की बोतल में भरकर रख दें। दोपहर के भोजन के लिए आलू प्याज़ की सब्ज़ी और अजवाइन पूरी के साथ आम की लौंजी रेसिपी परोसें।"</v>
      </c>
      <c r="J117" s="3" t="s">
        <v>31475</v>
      </c>
      <c r="L117" s="1" t="s">
        <v>31003</v>
      </c>
    </row>
    <row r="118" spans="1:12" ht="13.8">
      <c r="A118" s="1" t="s">
        <v>31476</v>
      </c>
      <c r="B118" s="1" t="str">
        <f ca="1">IFERROR(__xludf.dummyfunction("IF(A118="""", """", GOOGLETRANSLATE(A118, ""en"", ""hi""))"),"मेथी मूंग दाल रेसिपी")</f>
        <v>मेथी मूंग दाल रेसिपी</v>
      </c>
      <c r="C118" s="1" t="s">
        <v>145</v>
      </c>
      <c r="D118" s="1" t="s">
        <v>14237</v>
      </c>
      <c r="E118" s="1">
        <v>45</v>
      </c>
      <c r="F118" s="1" t="s">
        <v>31477</v>
      </c>
      <c r="G118" s="1" t="str">
        <f ca="1">IFERROR(__xludf.dummyfunction("IF(F118="""", """", GOOGLETRANSLATE(F118, ""en"", ""hi""))"),"1 कप पीली मूंग दाल - फटी हुई, मेथी - थोड़ी सी, 1/4 छोटा चम्मच हींग, 1 छोटा चम्मच जीरा, 1 प्याज - पतला कटा हुआ, 1 टमाटर - कटा हुआ, 2 छोटे चम्मच धनिया पाउडर, 1 छोटा चम्मच हल्दी पाउडर, 1 छोटा चम्मच लाल मिर्च पाउडर, नमक - स्वादानुसार, 2 छोटे चम्मच तेल")</f>
        <v>1 कप पीली मूंग दाल - फटी हुई, मेथी - थोड़ी सी, 1/4 छोटा चम्मच हींग, 1 छोटा चम्मच जीरा, 1 प्याज - पतला कटा हुआ, 1 टमाटर - कटा हुआ, 2 छोटे चम्मच धनिया पाउडर, 1 छोटा चम्मच हल्दी पाउडर, 1 छोटा चम्मच लाल मिर्च पाउडर, नमक - स्वादानुसार, 2 छोटे चम्मच तेल</v>
      </c>
      <c r="H118" s="1" t="s">
        <v>31478</v>
      </c>
      <c r="I118" s="1" t="str">
        <f ca="1">IFERROR(__xludf.dummyfunction("IF(H118="""", """", GOOGLETRANSLATE(H118, ""en"", ""hi""))"),"""मेथी मूंग दाल रेसिपी बनाने के लिए मूंग दाल को 3 कप पानी में 30 मिनट के लिए भिगो दें। अब मेथी को भी धोकर सुखा लें। मेथी को बारीक काट कर अलग रख लें। एक पैन में तेल गर्म करें। उसमें मेथी डालें और मेथी के नरम होने तक पकाएं। मेथी के नरम होने के बाद गैस बंद क"&amp;"र दें और एक तरफ रख दें। अब प्रेशर कुकर में तेल गर्म करें। उसमें हींग, जीरा डालें और जीरा चटकने तक पकाएं। अब प्याज डालें और नरम होने तक पकाएं। प्याज के नरम होने के बाद टमाटर, धनिया पाउडर, हल्दी पाउडर, लाल मिर्च पाउडर डालें और 1 मिनट तक पकाएं। अब मूंग दाल औ"&amp;"र पानी डालकर कुकर बंद कर दें। 2 से 3 सीटी आने तक पकाएं। अब गैस की आंच कम करके 5 मिनट तक पकाएं")</f>
        <v>"मेथी मूंग दाल रेसिपी बनाने के लिए मूंग दाल को 3 कप पानी में 30 मिनट के लिए भिगो दें। अब मेथी को भी धोकर सुखा लें। मेथी को बारीक काट कर अलग रख लें। एक पैन में तेल गर्म करें। उसमें मेथी डालें और मेथी के नरम होने तक पकाएं। मेथी के नरम होने के बाद गैस बंद कर दें और एक तरफ रख दें। अब प्रेशर कुकर में तेल गर्म करें। उसमें हींग, जीरा डालें और जीरा चटकने तक पकाएं। अब प्याज डालें और नरम होने तक पकाएं। प्याज के नरम होने के बाद टमाटर, धनिया पाउडर, हल्दी पाउडर, लाल मिर्च पाउडर डालें और 1 मिनट तक पकाएं। अब मूंग दाल और पानी डालकर कुकर बंद कर दें। 2 से 3 सीटी आने तक पकाएं। अब गैस की आंच कम करके 5 मिनट तक पकाएं</v>
      </c>
      <c r="J118" s="3" t="s">
        <v>31479</v>
      </c>
      <c r="L118" s="1" t="s">
        <v>31003</v>
      </c>
    </row>
    <row r="119" spans="1:12" ht="13.8">
      <c r="A119" s="1" t="s">
        <v>31480</v>
      </c>
      <c r="B119" s="1" t="str">
        <f ca="1">IFERROR(__xludf.dummyfunction("IF(A119="""", """", GOOGLETRANSLATE(A119, ""en"", ""hi""))"),"पनीर भुर्जी ग्रेवी (रेसिपी इन हिंदी)")</f>
        <v>पनीर भुर्जी ग्रेवी (रेसिपी इन हिंदी)</v>
      </c>
      <c r="C119" s="1" t="s">
        <v>429</v>
      </c>
      <c r="D119" s="1" t="s">
        <v>14237</v>
      </c>
      <c r="E119" s="1">
        <v>50</v>
      </c>
      <c r="F119" s="1" t="s">
        <v>31481</v>
      </c>
      <c r="G119" s="1" t="str">
        <f ca="1">IFERROR(__xludf.dummyfunction("IF(F119="""", """", GOOGLETRANSLATE(F119, ""en"", ""hi""))"),"तेल - आवश्यकतानुसार, 1/2 छोटा चम्मच जीरा, 1/2 छोटा चम्मच राई, 1/4 छोटा चम्मच हींग, 1 तेज पत्ता, 1 सूखी लाल मिर्च, 2 लौंग, 1 बड़ी इलायची, 2 इलायची, 1 प्याज - बारीक कटा हुआ, 1/2 बड़ा चम्मच अदरक - पेस्ट बना लें, 1/2 बड़ा चम्मच लहसुन - पेस्ट बना लें, 1/4 कप ट"&amp;"माटर प्यूरी, 1 टमाटर - काट लें, 1/4 कप हरी मटर - उबाल कर मैश करें, 1 कप पनीर - टुकड़ों में कटा हुआ, हरा धनिया - थोड़ा सा, 1 छोटा चम्मच लाल मिर्च पाउडर, 1/2 छोटा चम्मच हल्दी पाउडर, 1 चक्रफूल, 1 छोटा चम्मच धनिया पाउडर, 1/2 छोटा चम्मच गरम मसाला पाउडर, नमक - "&amp;"आवश्यकतानुसार, पानी - आवश्यकतानुसार")</f>
        <v>तेल - आवश्यकतानुसार, 1/2 छोटा चम्मच जीरा, 1/2 छोटा चम्मच राई, 1/4 छोटा चम्मच हींग, 1 तेज पत्ता, 1 सूखी लाल मिर्च, 2 लौंग, 1 बड़ी इलायची, 2 इलायची, 1 प्याज - बारीक कटा हुआ, 1/2 बड़ा चम्मच अदरक - पेस्ट बना लें, 1/2 बड़ा चम्मच लहसुन - पेस्ट बना लें, 1/4 कप टमाटर प्यूरी, 1 टमाटर - काट लें, 1/4 कप हरी मटर - उबाल कर मैश करें, 1 कप पनीर - टुकड़ों में कटा हुआ, हरा धनिया - थोड़ा सा, 1 छोटा चम्मच लाल मिर्च पाउडर, 1/2 छोटा चम्मच हल्दी पाउडर, 1 चक्रफूल, 1 छोटा चम्मच धनिया पाउडर, 1/2 छोटा चम्मच गरम मसाला पाउडर, नमक - आवश्यकतानुसार, पानी - आवश्यकतानुसार</v>
      </c>
      <c r="H119" s="1" t="s">
        <v>31482</v>
      </c>
      <c r="I119" s="1" t="str">
        <f ca="1">IFERROR(__xludf.dummyfunction("IF(H119="""", """", GOOGLETRANSLATE(H119, ""en"", ""hi""))"),"""पनीर भुर्जी की ग्रेवी बनाने के लिए सबसे पहले एक पैन में तेल गर्म करें। इसमें जीरा, राई, तेजपत्ता, सूखी लाल मिर्च, बड़ी इलायची, इलायची और हींग डालें। 15 सेकंड के बाद इसमें प्याज डालें और प्याज के नरम होने तक पकाएं। प्याज के नरम होने के बाद इसमें अदरक लहस"&amp;"ुन का पेस्ट डालें और 2 मिनट तक पकने दें। 2 मिनट के बाद इसमें टमाटर और टमाटर प्यूरी डालें। पैन को ढक दें और 3 से 4 मिनट तक पकने दें। इसके बाद इसमें लाल मिर्च पाउडर, हल्दी पाउडर, धनिया पाउडर, गरम मसाला पाउडर और नमक डालें। इसे 5 मिनट तक पकने दें। 5 मिनट के ब"&amp;"ाद इसमें पनीर और पानी डालें। सभी चीजों को मिला लें और 6 से 8 मिनट तक पकने दें। अब इसमें उबले हुए हरे मटर डालें, मिलाएं, पैन को ढक दें और अगले 3 से 5 मिनट तक पकने दें")</f>
        <v>"पनीर भुर्जी की ग्रेवी बनाने के लिए सबसे पहले एक पैन में तेल गर्म करें। इसमें जीरा, राई, तेजपत्ता, सूखी लाल मिर्च, बड़ी इलायची, इलायची और हींग डालें। 15 सेकंड के बाद इसमें प्याज डालें और प्याज के नरम होने तक पकाएं। प्याज के नरम होने के बाद इसमें अदरक लहसुन का पेस्ट डालें और 2 मिनट तक पकने दें। 2 मिनट के बाद इसमें टमाटर और टमाटर प्यूरी डालें। पैन को ढक दें और 3 से 4 मिनट तक पकने दें। इसके बाद इसमें लाल मिर्च पाउडर, हल्दी पाउडर, धनिया पाउडर, गरम मसाला पाउडर और नमक डालें। इसे 5 मिनट तक पकने दें। 5 मिनट के बाद इसमें पनीर और पानी डालें। सभी चीजों को मिला लें और 6 से 8 मिनट तक पकने दें। अब इसमें उबले हुए हरे मटर डालें, मिलाएं, पैन को ढक दें और अगले 3 से 5 मिनट तक पकने दें</v>
      </c>
      <c r="J119" s="3" t="s">
        <v>31483</v>
      </c>
      <c r="L119" s="1" t="s">
        <v>31003</v>
      </c>
    </row>
    <row r="120" spans="1:12" ht="13.8">
      <c r="A120" s="1" t="s">
        <v>31484</v>
      </c>
      <c r="B120" s="1" t="str">
        <f ca="1">IFERROR(__xludf.dummyfunction("IF(A120="""", """", GOOGLETRANSLATE(A120, ""en"", ""hi""))"),"कच्ची टिकिया रेसिपी - टमाटर की ग्रेवी में चिकन और आलू")</f>
        <v>कच्ची टिकिया रेसिपी - टमाटर की ग्रेवी में चिकन और आलू</v>
      </c>
      <c r="C120" s="1" t="s">
        <v>145</v>
      </c>
      <c r="D120" s="1" t="s">
        <v>14367</v>
      </c>
      <c r="E120" s="1">
        <v>46</v>
      </c>
      <c r="F120" s="1" t="s">
        <v>31485</v>
      </c>
      <c r="G120" s="1" t="str">
        <f ca="1">IFERROR(__xludf.dummyfunction("IF(F120="""", """", GOOGLETRANSLATE(F120, ""en"", ""hi""))"),"1 किलो चिकन - बारीक कटा हुआ, 2 प्याज - बारीक कटा हुआ, 10 हरी मिर्च, 3 बड़े चम्मच धनिया (धनिया) पत्तियां, 1 पूरा अंडा, नमक - स्वादानुसार, 2 बड़े चम्मच लाल मिर्च पाउडर - समायोज्य, 2 बड़े चम्मच जीरा पाउडर (जीरा), 4 टमाटर - बारीक कटा हुआ, 1 बड़ा चम्मच जीरा (ज"&amp;"ीरा), 1/2 कप सूरजमुखी तेल, 1 चम्मच गरम मसाला पाउडर, 1/4 चम्मच जावित्री पाउडर, 1 बड़ा चम्मच अदरक लहसुन पेस्ट, 4 आलू (आलू)")</f>
        <v>1 किलो चिकन - बारीक कटा हुआ, 2 प्याज - बारीक कटा हुआ, 10 हरी मिर्च, 3 बड़े चम्मच धनिया (धनिया) पत्तियां, 1 पूरा अंडा, नमक - स्वादानुसार, 2 बड़े चम्मच लाल मिर्च पाउडर - समायोज्य, 2 बड़े चम्मच जीरा पाउडर (जीरा), 4 टमाटर - बारीक कटा हुआ, 1 बड़ा चम्मच जीरा (जीरा), 1/2 कप सूरजमुखी तेल, 1 चम्मच गरम मसाला पाउडर, 1/4 चम्मच जावित्री पाउडर, 1 बड़ा चम्मच अदरक लहसुन पेस्ट, 4 आलू (आलू)</v>
      </c>
      <c r="H120" s="1" t="s">
        <v>31486</v>
      </c>
      <c r="I120" s="1" t="str">
        <f ca="1">IFERROR(__xludf.dummyfunction("IF(H120="""", """", GOOGLETRANSLATE(H120, ""en"", ""hi""))"),"कच्ची टिकिया रेसिपी बनाने के लिए सबसे पहले चिकन कीमा को अदरक लहसुन पेस्ट, प्याज, लाल मिर्च पाउडर, नमक, जीरा पाउडर, हरी मिर्च और धनिया पत्ती के साथ मैरीनेट करें। इसे अच्छे से मिलाएं और 1-2 घंटे के लिए अलग रख दें। 2 घंटे के बाद इसका छोटा हिस्सा लें और मैरीन"&amp;"ेट किए हुए चिकन से छोटी टिकिया बना लें। अब एक उथले फ्राइंग पैन में थोड़ा तेल गर्म करें और दोनों तरफ से टिक्कियों को तल लें। एक बार पक जाने के बाद इसे अलग रख दें। एक भारी तले की कड़ाही में आवश्यक तेल गर्म करें। उसमें जीरा डालें और जब वह चटकने लगे तो उसमें "&amp;"हरी मिर्च और आलू डालें। इसे 2 मिनट तक पकने दें, फिर टमाटर, जीरा पाउडर, काली मिर्च पाउडर, गरम मसाला पाउडर और थोड़ा पानी डालें गरमागरम परोसें। सप्ताहांत के भोजन के लिए कच्ची टिकिया को हरियाली मटन करी और गेहूं के लच्छा पराठे के साथ साइड डिश के रूप में परोसें"&amp;"।")</f>
        <v>कच्ची टिकिया रेसिपी बनाने के लिए सबसे पहले चिकन कीमा को अदरक लहसुन पेस्ट, प्याज, लाल मिर्च पाउडर, नमक, जीरा पाउडर, हरी मिर्च और धनिया पत्ती के साथ मैरीनेट करें। इसे अच्छे से मिलाएं और 1-2 घंटे के लिए अलग रख दें। 2 घंटे के बाद इसका छोटा हिस्सा लें और मैरीनेट किए हुए चिकन से छोटी टिकिया बना लें। अब एक उथले फ्राइंग पैन में थोड़ा तेल गर्म करें और दोनों तरफ से टिक्कियों को तल लें। एक बार पक जाने के बाद इसे अलग रख दें। एक भारी तले की कड़ाही में आवश्यक तेल गर्म करें। उसमें जीरा डालें और जब वह चटकने लगे तो उसमें हरी मिर्च और आलू डालें। इसे 2 मिनट तक पकने दें, फिर टमाटर, जीरा पाउडर, काली मिर्च पाउडर, गरम मसाला पाउडर और थोड़ा पानी डालें गरमागरम परोसें। सप्ताहांत के भोजन के लिए कच्ची टिकिया को हरियाली मटन करी और गेहूं के लच्छा पराठे के साथ साइड डिश के रूप में परोसें।</v>
      </c>
      <c r="J120" s="3" t="s">
        <v>31487</v>
      </c>
      <c r="L120" s="1" t="s">
        <v>31003</v>
      </c>
    </row>
    <row r="121" spans="1:12" ht="13.8">
      <c r="A121" s="1" t="s">
        <v>31488</v>
      </c>
      <c r="B121" s="1" t="str">
        <f ca="1">IFERROR(__xludf.dummyfunction("IF(A121="""", """", GOOGLETRANSLATE(A121, ""en"", ""hi""))"),"आलू भरवां दाल ढोकली")</f>
        <v>आलू भरवां दाल ढोकली</v>
      </c>
      <c r="C121" s="1" t="s">
        <v>145</v>
      </c>
      <c r="D121" s="1" t="s">
        <v>14198</v>
      </c>
      <c r="E121" s="1">
        <v>100</v>
      </c>
      <c r="F121" s="1" t="s">
        <v>31489</v>
      </c>
      <c r="G121" s="1" t="str">
        <f ca="1">IFERROR(__xludf.dummyfunction("IF(F121="""", """", GOOGLETRANSLATE(F121, ""en"", ""hi""))"),"1 कप गेहूं का आटा, नमक - स्वादानुसार, 1 बड़ा चम्मच तेल, 1 बड़ा चम्मच गेहूं का आटा - बेलने के लिए, 3 आलू - उबालकर पीसे हुए, 1 बड़ा चम्मच लाल मिर्च पाउडर, 1/2 बड़ा चम्मच गरम मसाला पाउडर, 2 बड़े चम्मच धनिया - बारीक कटा हुआ, 1 बड़ा चम्मच चीनी - (वैकल्पिक), 1/"&amp;"2 बड़ा चम्मच नींबू का रस, 1 कप तूअर दाल - उबालकर पीसी हुई, 1/4 बड़ा चम्मच हल्दी पाउडर, 1/3 कप मूंगफली - उबली हुई, नमक - स्वादानुसार, 1 टमाटर - बारीक कटा हुआ, 1 हरी मिर्च - बारीक कटी हुई, 1 इंच अदरक - कद्दूकस किया हुआ, 1/2 बड़ा चम्मच नींबू का रस, 3 बड़े चम"&amp;"्मच गुड़ - बारीक कटा हुआ, 1 बड़ा चम्मच तेल, 1/2 बड़ा चम्मच राई, 1/2 बड़ा चम्मच जीरा, 1/4 छोटा चम्मच हींग, 10 करी पत्ते, 2 सूखी लाल मिर्च, 1 इंच दालचीनी, 2 लौंग, 1 तेज पत्ता, 4 बड़े चम्मच धनिया पत्ता - बारीक कटा हुआ")</f>
        <v>1 कप गेहूं का आटा, नमक - स्वादानुसार, 1 बड़ा चम्मच तेल, 1 बड़ा चम्मच गेहूं का आटा - बेलने के लिए, 3 आलू - उबालकर पीसे हुए, 1 बड़ा चम्मच लाल मिर्च पाउडर, 1/2 बड़ा चम्मच गरम मसाला पाउडर, 2 बड़े चम्मच धनिया - बारीक कटा हुआ, 1 बड़ा चम्मच चीनी - (वैकल्पिक), 1/2 बड़ा चम्मच नींबू का रस, 1 कप तूअर दाल - उबालकर पीसी हुई, 1/4 बड़ा चम्मच हल्दी पाउडर, 1/3 कप मूंगफली - उबली हुई, नमक - स्वादानुसार, 1 टमाटर - बारीक कटा हुआ, 1 हरी मिर्च - बारीक कटी हुई, 1 इंच अदरक - कद्दूकस किया हुआ, 1/2 बड़ा चम्मच नींबू का रस, 3 बड़े चम्मच गुड़ - बारीक कटा हुआ, 1 बड़ा चम्मच तेल, 1/2 बड़ा चम्मच राई, 1/2 बड़ा चम्मच जीरा, 1/4 छोटा चम्मच हींग, 10 करी पत्ते, 2 सूखी लाल मिर्च, 1 इंच दालचीनी, 2 लौंग, 1 तेज पत्ता, 4 बड़े चम्मच धनिया पत्ता - बारीक कटा हुआ</v>
      </c>
      <c r="H121" s="1" t="s">
        <v>31490</v>
      </c>
      <c r="I121" s="1" t="str">
        <f ca="1">IFERROR(__xludf.dummyfunction("IF(H121="""", """", GOOGLETRANSLATE(H121, ""en"", ""hi""))"),"आलू भरमा दाल ढोकली बनाने के लिए सबसे पहले ढोकली बनाएंगे। आटे को छानकर उसमें नमक मिला लें। इसके बाद आटे को पानी से अच्छी तरह गूंथ लें। गूंथे हुए आटे को दबाकर 10 से 15 मिनट के लिए रख दें। इसके बाद ढोकली में भरने के लिए मसाला तैयार कर लें। पिसे हुए आलू में न"&amp;"मक, लाल मिर्च पाउडर, हल्दी पाउडर, धनिया पाउडर, गरम मसाला, नींबू का रस और चीनी डालकर अच्छी तरह मिला लें और इसकी छोटी-छोटी गोल लोइयां बना लें। अब गूंथे हुए आटे को 10 से 15 भागों में बांट लें। आटे के हर टुकड़े को 3 से 4 इंच की रोटी की तरह बेल लें। रोटी के बी"&amp;"च में आलू का मसाला डालकर बंद कर दें। इसी तरह बाकी सारी ढोकली भी बना लें। अब दाल बनाने के लिए दाल को पानी और हल्दी के साथ प्रेशर कुक करें। 3 सीटी आने तक पकाएं और फिर कुकर बंद कर दें। पकी हुई दाल को एक कप गर्म पानी में डालकर ब्लेंडर की मदद से ब्लेंड कर लें।"&amp;" इस दाल के मिश्रण को पैन में डालें और हल्दी पाउडर, उबला हुआ मसाला डालकर मिला लें। मूंगफली, नमक, टमाटर, हरी मिर्च, अदरक, नींबू का रस और गुड़। इसे अच्छे से मिलाएँ और 10 से 15 मिनट तक पकने दें। अब ढोकली डालें और दाल में उबाल आने तक पकने दें। इसमें कम से कम 1"&amp;"5 मिनट लगेंगे। अब ढोकली के लिए तड़का तैयार करें। तड़का पैन में तेल गरम करें। इसमें राई और जीरा डालें। 10 सेकंड के बाद हींग, करी पत्ता, सूखी लाल मिर्च, दालचीनी, तेज पत्ता और लौंग डालें। 30 सेकंड के बाद इसे दाल में मिलाएँ। इसे 5 मिनट तक पकने दें और गरमागरम "&amp;"परोसें। आलू भर्मा दाल ढोकली को कचुम्बर सलाद और लहसुन की चटनी के साथ रात के खाने में परोसें।")</f>
        <v>आलू भरमा दाल ढोकली बनाने के लिए सबसे पहले ढोकली बनाएंगे। आटे को छानकर उसमें नमक मिला लें। इसके बाद आटे को पानी से अच्छी तरह गूंथ लें। गूंथे हुए आटे को दबाकर 10 से 15 मिनट के लिए रख दें। इसके बाद ढोकली में भरने के लिए मसाला तैयार कर लें। पिसे हुए आलू में नमक, लाल मिर्च पाउडर, हल्दी पाउडर, धनिया पाउडर, गरम मसाला, नींबू का रस और चीनी डालकर अच्छी तरह मिला लें और इसकी छोटी-छोटी गोल लोइयां बना लें। अब गूंथे हुए आटे को 10 से 15 भागों में बांट लें। आटे के हर टुकड़े को 3 से 4 इंच की रोटी की तरह बेल लें। रोटी के बीच में आलू का मसाला डालकर बंद कर दें। इसी तरह बाकी सारी ढोकली भी बना लें। अब दाल बनाने के लिए दाल को पानी और हल्दी के साथ प्रेशर कुक करें। 3 सीटी आने तक पकाएं और फिर कुकर बंद कर दें। पकी हुई दाल को एक कप गर्म पानी में डालकर ब्लेंडर की मदद से ब्लेंड कर लें। इस दाल के मिश्रण को पैन में डालें और हल्दी पाउडर, उबला हुआ मसाला डालकर मिला लें। मूंगफली, नमक, टमाटर, हरी मिर्च, अदरक, नींबू का रस और गुड़। इसे अच्छे से मिलाएँ और 10 से 15 मिनट तक पकने दें। अब ढोकली डालें और दाल में उबाल आने तक पकने दें। इसमें कम से कम 15 मिनट लगेंगे। अब ढोकली के लिए तड़का तैयार करें। तड़का पैन में तेल गरम करें। इसमें राई और जीरा डालें। 10 सेकंड के बाद हींग, करी पत्ता, सूखी लाल मिर्च, दालचीनी, तेज पत्ता और लौंग डालें। 30 सेकंड के बाद इसे दाल में मिलाएँ। इसे 5 मिनट तक पकने दें और गरमागरम परोसें। आलू भर्मा दाल ढोकली को कचुम्बर सलाद और लहसुन की चटनी के साथ रात के खाने में परोसें।</v>
      </c>
      <c r="J121" s="3" t="s">
        <v>31491</v>
      </c>
      <c r="L121" s="1" t="s">
        <v>31003</v>
      </c>
    </row>
    <row r="122" spans="1:12" ht="13.8">
      <c r="A122" s="1" t="s">
        <v>31492</v>
      </c>
      <c r="B122" s="1" t="str">
        <f ca="1">IFERROR(__xludf.dummyfunction("IF(A122="""", """", GOOGLETRANSLATE(A122, ""en"", ""hi""))"),"मेथी पत्ते की करी")</f>
        <v>मेथी पत्ते की करी</v>
      </c>
      <c r="C122" s="1" t="s">
        <v>145</v>
      </c>
      <c r="D122" s="1" t="s">
        <v>14198</v>
      </c>
      <c r="E122" s="1">
        <v>50</v>
      </c>
      <c r="F122" s="1" t="s">
        <v>31493</v>
      </c>
      <c r="G122" s="1" t="str">
        <f ca="1">IFERROR(__xludf.dummyfunction("IF(F122="""", """", GOOGLETRANSLATE(F122, ""en"", ""hi""))"),"1 कप मेथी - बारीक कटी हुई, 1/2 कप बेसन, 3 बड़े चम्मच तेल, 5 लहसुन - कद्दूकस किया हुआ, 1/2 जीरा, 1/3 बड़ा चम्मच हल्दी पाउडर, 1 बड़ा चम्मच मिर्च पाउडर, नमक - स्वादानुसार, 1 बड़ा चम्मच नींबू का रस, 1 बड़ा चम्मच चीनी")</f>
        <v>1 कप मेथी - बारीक कटी हुई, 1/2 कप बेसन, 3 बड़े चम्मच तेल, 5 लहसुन - कद्दूकस किया हुआ, 1/2 जीरा, 1/3 बड़ा चम्मच हल्दी पाउडर, 1 बड़ा चम्मच मिर्च पाउडर, नमक - स्वादानुसार, 1 बड़ा चम्मच नींबू का रस, 1 बड़ा चम्मच चीनी</v>
      </c>
      <c r="H122" s="1" t="s">
        <v>31494</v>
      </c>
      <c r="I122" s="1" t="str">
        <f ca="1">IFERROR(__xludf.dummyfunction("IF(H122="""", """", GOOGLETRANSLATE(H122, ""en"", ""hi""))"),"मेथी की सब्जी बनाने के लिए सबसे पहले मेथी के पत्तों को 2-3 मिनट के लिए पानी में अच्छे से धोकर अलग रख दें। मध्यम आंच पर एक पैन में तेल गर्म करें। इसमें कद्दूकस किया हुआ लहसुन डालें और इसके भूरा होने का इंतजार करें। जब लहसुन भूरा हो जाए तो इसमें जीरा डालें "&amp;"और 10-15 सेकेंड तक पकाएं। अब इसमें मेथी के पत्ते डालें और इसे 5 मिनट तक पकने दें। 1/2 कप पानी डालें और इसे 5 मिनट तक पकने दें। अब इसमें हल्दी, लाल मिर्च, नमक, चीनी डालें और अच्छी तरह मिलाएँ। एक छोटे कटोरे में 1/2 कप बेसन लें और 1-2 बड़े चम्मच आटा डालें और"&amp;" उंगलियों से अच्छी तरह मिलाएँ। पैन में फिर से 1/2 कप पानी डालें और बेसन डालने से पहले आँच कम कर दें। पैन में बेसन और तेल मिलाएँ और अच्छी तरह मिलाएँ ताकि इसमें गांठें न बनें। अगर ज़रूरत हो तो थोड़ा और पानी डालें, लेकिन 1/2 कप से ज़्यादा नहीं। पैन को ढक दें"&amp;" और इसे 10-15 मिनट तक पकने दें। इसे कलछी से चलाते रहें। बेसन पक जाने पर इसे इसमें अच्छी तरह मिलाएँ मेथी की सब्जी तैयार है। इसे रोटी और रायते के साथ परोसें।")</f>
        <v>मेथी की सब्जी बनाने के लिए सबसे पहले मेथी के पत्तों को 2-3 मिनट के लिए पानी में अच्छे से धोकर अलग रख दें। मध्यम आंच पर एक पैन में तेल गर्म करें। इसमें कद्दूकस किया हुआ लहसुन डालें और इसके भूरा होने का इंतजार करें। जब लहसुन भूरा हो जाए तो इसमें जीरा डालें और 10-15 सेकेंड तक पकाएं। अब इसमें मेथी के पत्ते डालें और इसे 5 मिनट तक पकने दें। 1/2 कप पानी डालें और इसे 5 मिनट तक पकने दें। अब इसमें हल्दी, लाल मिर्च, नमक, चीनी डालें और अच्छी तरह मिलाएँ। एक छोटे कटोरे में 1/2 कप बेसन लें और 1-2 बड़े चम्मच आटा डालें और उंगलियों से अच्छी तरह मिलाएँ। पैन में फिर से 1/2 कप पानी डालें और बेसन डालने से पहले आँच कम कर दें। पैन में बेसन और तेल मिलाएँ और अच्छी तरह मिलाएँ ताकि इसमें गांठें न बनें। अगर ज़रूरत हो तो थोड़ा और पानी डालें, लेकिन 1/2 कप से ज़्यादा नहीं। पैन को ढक दें और इसे 10-15 मिनट तक पकने दें। इसे कलछी से चलाते रहें। बेसन पक जाने पर इसे इसमें अच्छी तरह मिलाएँ मेथी की सब्जी तैयार है। इसे रोटी और रायते के साथ परोसें।</v>
      </c>
      <c r="J122" s="3" t="s">
        <v>31495</v>
      </c>
      <c r="L122" s="1" t="s">
        <v>31003</v>
      </c>
    </row>
    <row r="123" spans="1:12" ht="13.8">
      <c r="A123" s="1" t="s">
        <v>31496</v>
      </c>
      <c r="B123" s="1" t="str">
        <f ca="1">IFERROR(__xludf.dummyfunction("IF(A123="""", """", GOOGLETRANSLATE(A123, ""en"", ""hi""))"),"कसूरी मलाई मुर्ग रेसिपी")</f>
        <v>कसूरी मलाई मुर्ग रेसिपी</v>
      </c>
      <c r="C123" s="1" t="s">
        <v>429</v>
      </c>
      <c r="D123" s="1" t="s">
        <v>14367</v>
      </c>
      <c r="E123" s="1">
        <v>70</v>
      </c>
      <c r="F123" s="1" t="s">
        <v>31497</v>
      </c>
      <c r="G123" s="1" t="str">
        <f ca="1">IFERROR(__xludf.dummyfunction("IF(F123="""", """", GOOGLETRANSLATE(F123, ""en"", ""hi""))"),"1 किलो चिकन - मध्यम टुकड़ों में कटा हुआ, 4 प्याज - बारीक कटा हुआ, 7 लहसुन के दाने - बारीक कटा हुआ, 1-1/2 इंच अदरक - कसा हुआ, 4 हरी मिर्च, 1/2 कप दही, 1/2 कप ताजा क्रीम, 1/4 कप काजू - पेस्ट, 1/4 कप खरबूजे के बीज - पेस्ट, 2 बड़े चम्मच कसूरी मेथी, 1 चम्मच सा"&amp;"बुत काली मिर्च - ताजा पिसी हुई, 2 बड़े चम्मच धनिया पाउडर, 1-1/2 चम्मच लाल मिर्च पाउडर, 1 चुटकी हल्दी पाउडर, नमक - आवश्यकतानुसार, सूरजमुखी तेल - आवश्यकतानुसार, 1 चम्मच अजवाइन, 4 इलायची, 2 बड़ी इलायची, 4 लौंग, 1 इंच दालचीनी, 2 तेज पत्ता, 1/2 चम्मच जावित्री")</f>
        <v>1 किलो चिकन - मध्यम टुकड़ों में कटा हुआ, 4 प्याज - बारीक कटा हुआ, 7 लहसुन के दाने - बारीक कटा हुआ, 1-1/2 इंच अदरक - कसा हुआ, 4 हरी मिर्च, 1/2 कप दही, 1/2 कप ताजा क्रीम, 1/4 कप काजू - पेस्ट, 1/4 कप खरबूजे के बीज - पेस्ट, 2 बड़े चम्मच कसूरी मेथी, 1 चम्मच साबुत काली मिर्च - ताजा पिसी हुई, 2 बड़े चम्मच धनिया पाउडर, 1-1/2 चम्मच लाल मिर्च पाउडर, 1 चुटकी हल्दी पाउडर, नमक - आवश्यकतानुसार, सूरजमुखी तेल - आवश्यकतानुसार, 1 चम्मच अजवाइन, 4 इलायची, 2 बड़ी इलायची, 4 लौंग, 1 इंच दालचीनी, 2 तेज पत्ता, 1/2 चम्मच जावित्री</v>
      </c>
      <c r="H123" s="1" t="s">
        <v>31498</v>
      </c>
      <c r="I123" s="1" t="str">
        <f ca="1">IFERROR(__xludf.dummyfunction("IF(H123="""", """", GOOGLETRANSLATE(H123, ""en"", ""hi""))"),"कसूरी मलाई मुर्ग रेसिपी बनाने के लिए सबसे पहले चिकन को अच्छे से धो लें और तेल/घी में सुनहरा होने तक तल लें। उन्हें एक तरफ रख दें। उसी कड़ाही में, अगर ज़रूरत हो तो और तेल डालें और सभी खड़े मसाले डालें और उन्हें चटकने दें। अब बारीक कटा हुआ या पिसा हुआ प्याज"&amp;"़ डालें और कच्ची महक आने तक भूनें। अब बारीक कटा हुआ लहसुन और अदरक डालें और सुनहरा होने तक भूनें। तले हुए चिकन को प्याज़ के मिश्रण में डालें और तेज़ आँच पर 2 से 3 मिनट तक भूनें। अब ताज़ा दही और कसूरी मेथी डालें और सब कुछ अच्छी तरह मिलाएँ। चिकन को धीमी से म"&amp;"ध्यम आँच पर तब तक भूनें जब तक दही पानी न छोड़ दे। ढक्कन को ढक दें और चिकन को 8 से 10 मिनट तक पकने दें। इस बीच अगर ज़रूरत हो तो तेल को एडजस्ट कर लें। जैसे ही दही कम हो जाए और किनारों से तेल छूटने लगे, धनिया पाउडर, लाल मिर्च पाउडर और कटी हरी मिर्च डालें। मध"&amp;"्यम आंच पर 5 से 6 मिनट तक मिलाएँ और भूनें। अब इसमें ताज़ी क्रीम और काजू-खरबूजे के बीज का पेस्ट डालें और इस तरह मिलाएँ कि सब कुछ अच्छी तरह से मिल जाए। कुछ देर तक भूनें और ज़रूरत के हिसाब से नमक और पानी डालें। ढक्कन बंद करके पकाएँ। चिकन पक जाने के बाद, ताज़"&amp;"ी पिसी काली मिर्च और थोड़ी और कुटी हुई कसूरी मेथी डालें और गैस बंद कर दें। कसूरी मलाई मुर्ग को रूमाली रोटी या गरम फुल्के के साथ सर्व करें।")</f>
        <v>कसूरी मलाई मुर्ग रेसिपी बनाने के लिए सबसे पहले चिकन को अच्छे से धो लें और तेल/घी में सुनहरा होने तक तल लें। उन्हें एक तरफ रख दें। उसी कड़ाही में, अगर ज़रूरत हो तो और तेल डालें और सभी खड़े मसाले डालें और उन्हें चटकने दें। अब बारीक कटा हुआ या पिसा हुआ प्याज़ डालें और कच्ची महक आने तक भूनें। अब बारीक कटा हुआ लहसुन और अदरक डालें और सुनहरा होने तक भूनें। तले हुए चिकन को प्याज़ के मिश्रण में डालें और तेज़ आँच पर 2 से 3 मिनट तक भूनें। अब ताज़ा दही और कसूरी मेथी डालें और सब कुछ अच्छी तरह मिलाएँ। चिकन को धीमी से मध्यम आँच पर तब तक भूनें जब तक दही पानी न छोड़ दे। ढक्कन को ढक दें और चिकन को 8 से 10 मिनट तक पकने दें। इस बीच अगर ज़रूरत हो तो तेल को एडजस्ट कर लें। जैसे ही दही कम हो जाए और किनारों से तेल छूटने लगे, धनिया पाउडर, लाल मिर्च पाउडर और कटी हरी मिर्च डालें। मध्यम आंच पर 5 से 6 मिनट तक मिलाएँ और भूनें। अब इसमें ताज़ी क्रीम और काजू-खरबूजे के बीज का पेस्ट डालें और इस तरह मिलाएँ कि सब कुछ अच्छी तरह से मिल जाए। कुछ देर तक भूनें और ज़रूरत के हिसाब से नमक और पानी डालें। ढक्कन बंद करके पकाएँ। चिकन पक जाने के बाद, ताज़ी पिसी काली मिर्च और थोड़ी और कुटी हुई कसूरी मेथी डालें और गैस बंद कर दें। कसूरी मलाई मुर्ग को रूमाली रोटी या गरम फुल्के के साथ सर्व करें।</v>
      </c>
      <c r="J123" s="3" t="s">
        <v>31499</v>
      </c>
      <c r="L123" s="1" t="s">
        <v>31003</v>
      </c>
    </row>
    <row r="124" spans="1:12" ht="13.8">
      <c r="A124" s="1" t="s">
        <v>31500</v>
      </c>
      <c r="B124" s="1" t="str">
        <f ca="1">IFERROR(__xludf.dummyfunction("IF(A124="""", """", GOOGLETRANSLATE(A124, ""en"", ""hi""))"),"मिश्रित बाजरा खिचड़ी रेसिपी")</f>
        <v>मिश्रित बाजरा खिचड़ी रेसिपी</v>
      </c>
      <c r="C124" s="1" t="s">
        <v>145</v>
      </c>
      <c r="D124" s="1" t="s">
        <v>14198</v>
      </c>
      <c r="E124" s="1">
        <v>50</v>
      </c>
      <c r="F124" s="1" t="s">
        <v>31501</v>
      </c>
      <c r="G124" s="1" t="str">
        <f ca="1">IFERROR(__xludf.dummyfunction("IF(F124="""", """", GOOGLETRANSLATE(F124, ""en"", ""hi""))"),"1-1/2 कप मिश्रित बाजरा - (समान भागों में फॉक्सटेल और कोदो बाजरा का मिश्रण, 1 बड़ी (वड़ी) - कुचल, 1 प्याज - बारीक कटा हुआ, 2 टमाटर - कटा हुआ, 1 चम्मच जीरा (जीरा), 1/2 चम्मच मेथी के बीज (मेथी के बीज), 1 बड़ा चम्मच कसूरी मेथी (सूखी मेथी के पत्ते), 1/4 चम्मच "&amp;"हींग (हिंग), 1 चम्मच लाल मिर्च पाउडर, 1 चम्मच घी, नमक - स्वादानुसार")</f>
        <v>1-1/2 कप मिश्रित बाजरा - (समान भागों में फॉक्सटेल और कोदो बाजरा का मिश्रण, 1 बड़ी (वड़ी) - कुचल, 1 प्याज - बारीक कटा हुआ, 2 टमाटर - कटा हुआ, 1 चम्मच जीरा (जीरा), 1/2 चम्मच मेथी के बीज (मेथी के बीज), 1 बड़ा चम्मच कसूरी मेथी (सूखी मेथी के पत्ते), 1/4 चम्मच हींग (हिंग), 1 चम्मच लाल मिर्च पाउडर, 1 चम्मच घी, नमक - स्वादानुसार</v>
      </c>
      <c r="H124" s="1" t="s">
        <v>31502</v>
      </c>
      <c r="I124" s="1" t="str">
        <f ca="1">IFERROR(__xludf.dummyfunction("IF(H124="""", """", GOOGLETRANSLATE(H124, ""en"", ""hi""))"),"मिले-जुले बाजरे की खिचड़ी बनाने के लिए सबसे पहले एक कप मिले-जुले बाजरे को नाप कर अच्छी तरह धो लें और एक छलनी या जालीदार छलनी में छान कर रख दें। एक प्रेशर कुकर में मध्यम आंच पर घी गर्म करें। इसमें हींग और जीरा डालकर कुछ सेकेंड तक चटकने दें। जीरा चटकने के ब"&amp;"ाद इसमें कटे हुए प्याज डालें और इनके नरम और पारदर्शी होने तक भूनें। प्याज के नरम हो जाने पर इसमें कटे हुए टमाटर डालें और इन्हें भी नरम होने तक पकाएं। इस अवस्था में इसमें नमक, मिर्च पाउडर, हल्दी पाउडर, कसूरी मेथी और क्रश की हुई वड़ी डालें। मसालों के अच्छी "&amp;"तरह मिल जाने तक 2-3 मिनट तक भूनते रहें। अंत में धुले और पानी से भीगे बाजरे को कुकर में डालें 2 से 3 सीटी आने के बाद, आँच धीमी कर दें और लगभग 3 से 4 मिनट तक पकाएँ और आँच बंद कर दें। प्रेशर को अपने आप निकलने दें। प्रेशर निकल जाने के बाद, कुकर खोलें और मिक्स"&amp;"्ड मिलेट खिचड़ी को अच्छी तरह चलाएँ। नमक की जाँच करें और अपने स्वाद के अनुसार समायोजित करें। मिक्स्ड मिलेट खिचड़ी को कढ़ी, आम रसम या सादे दही और अचार के साथ मानसून के मौसम में रात के खाने के लिए परोसें।")</f>
        <v>मिले-जुले बाजरे की खिचड़ी बनाने के लिए सबसे पहले एक कप मिले-जुले बाजरे को नाप कर अच्छी तरह धो लें और एक छलनी या जालीदार छलनी में छान कर रख दें। एक प्रेशर कुकर में मध्यम आंच पर घी गर्म करें। इसमें हींग और जीरा डालकर कुछ सेकेंड तक चटकने दें। जीरा चटकने के बाद इसमें कटे हुए प्याज डालें और इनके नरम और पारदर्शी होने तक भूनें। प्याज के नरम हो जाने पर इसमें कटे हुए टमाटर डालें और इन्हें भी नरम होने तक पकाएं। इस अवस्था में इसमें नमक, मिर्च पाउडर, हल्दी पाउडर, कसूरी मेथी और क्रश की हुई वड़ी डालें। मसालों के अच्छी तरह मिल जाने तक 2-3 मिनट तक भूनते रहें। अंत में धुले और पानी से भीगे बाजरे को कुकर में डालें 2 से 3 सीटी आने के बाद, आँच धीमी कर दें और लगभग 3 से 4 मिनट तक पकाएँ और आँच बंद कर दें। प्रेशर को अपने आप निकलने दें। प्रेशर निकल जाने के बाद, कुकर खोलें और मिक्स्ड मिलेट खिचड़ी को अच्छी तरह चलाएँ। नमक की जाँच करें और अपने स्वाद के अनुसार समायोजित करें। मिक्स्ड मिलेट खिचड़ी को कढ़ी, आम रसम या सादे दही और अचार के साथ मानसून के मौसम में रात के खाने के लिए परोसें।</v>
      </c>
      <c r="J124" s="3" t="s">
        <v>31503</v>
      </c>
      <c r="L124" s="1" t="s">
        <v>31003</v>
      </c>
    </row>
    <row r="125" spans="1:12" ht="13.8">
      <c r="A125" s="1" t="s">
        <v>31504</v>
      </c>
      <c r="B125" s="1" t="str">
        <f ca="1">IFERROR(__xludf.dummyfunction("IF(A125="""", """", GOOGLETRANSLATE(A125, ""en"", ""hi""))"),"चिरौंजी की दाल रेसिपी")</f>
        <v>चिरौंजी की दाल रेसिपी</v>
      </c>
      <c r="C125" s="1" t="s">
        <v>145</v>
      </c>
      <c r="D125" s="1" t="s">
        <v>14198</v>
      </c>
      <c r="E125" s="1">
        <v>90</v>
      </c>
      <c r="F125" s="1" t="s">
        <v>31505</v>
      </c>
      <c r="G125" s="1" t="str">
        <f ca="1">IFERROR(__xludf.dummyfunction("IF(F125="""", """", GOOGLETRANSLATE(F125, ""en"", ""hi""))"),"1 कप चिरौंजी - पानी में भिगोई हुई, 250 ग्राम भिंडी - बारीक कटी हुई, 1 छोटा चम्मच जीरा, 1 इलायची, 1 छोटा चम्मच साबुत काली मिर्च, 1 इंच अदरक - कटा हुआ, 2 हरी मिर्च - कटी हुई, 1 छोटा चम्मच कश्मीरी लाल मिर्च पाउडर, 1 बड़ा चम्मच धनिया पाउडर, 2 बड़े चम्मच दही, "&amp;"नमक - स्वादानुसार, सूरजमुखी का तेल")</f>
        <v>1 कप चिरौंजी - पानी में भिगोई हुई, 250 ग्राम भिंडी - बारीक कटी हुई, 1 छोटा चम्मच जीरा, 1 इलायची, 1 छोटा चम्मच साबुत काली मिर्च, 1 इंच अदरक - कटा हुआ, 2 हरी मिर्च - कटी हुई, 1 छोटा चम्मच कश्मीरी लाल मिर्च पाउडर, 1 बड़ा चम्मच धनिया पाउडर, 2 बड़े चम्मच दही, नमक - स्वादानुसार, सूरजमुखी का तेल</v>
      </c>
      <c r="H125" s="1" t="s">
        <v>31506</v>
      </c>
      <c r="I125" s="1" t="str">
        <f ca="1">IFERROR(__xludf.dummyfunction("IF(H125="""", """", GOOGLETRANSLATE(H125, ""en"", ""hi""))"),"चिरौंजी की दाल बनाने के लिए, चिरौंजी के बीजों को कम से कम 1 घंटे के लिए पानी में भिगोएँ और पानी निकाल दें। बीजों को अपनी हथेली पर रगड़कर बाहरी परत हटा दें और उन्हें फेंक दें। साफ किए हुए बीजों को मिक्सर में दरदरा पीस लें और एक तरफ रख दें। एक तवे पर तेल गर"&amp;"म करें, उसमें जीरा, इलायची, काली मिर्च डालें और कुछ सेकंड के लिए उसे फूटने दें। अदरक डालें और नरम होने तक पकाएँ। कटी हुई भिंडी, हरी मिर्च डालें, थोड़ा नमक और हल्दी छिड़कें और भिंडी के पकने तक पकाएँ। इसमें लगभग 10 मिनट का समय लगेगा। मसाले पाउडर और दही डाले"&amp;"ं और तब तक भूनें जब तक कि दही का सारा पानी निकल न जाए। अंत में पिसी हुई चिरौंजी डालें और अच्छी तरह मिलाएँ। नमक की जाँच करें और स्थिरता को समायोजित करने के लिए थोड़ा पानी डालें")</f>
        <v>चिरौंजी की दाल बनाने के लिए, चिरौंजी के बीजों को कम से कम 1 घंटे के लिए पानी में भिगोएँ और पानी निकाल दें। बीजों को अपनी हथेली पर रगड़कर बाहरी परत हटा दें और उन्हें फेंक दें। साफ किए हुए बीजों को मिक्सर में दरदरा पीस लें और एक तरफ रख दें। एक तवे पर तेल गरम करें, उसमें जीरा, इलायची, काली मिर्च डालें और कुछ सेकंड के लिए उसे फूटने दें। अदरक डालें और नरम होने तक पकाएँ। कटी हुई भिंडी, हरी मिर्च डालें, थोड़ा नमक और हल्दी छिड़कें और भिंडी के पकने तक पकाएँ। इसमें लगभग 10 मिनट का समय लगेगा। मसाले पाउडर और दही डालें और तब तक भूनें जब तक कि दही का सारा पानी निकल न जाए। अंत में पिसी हुई चिरौंजी डालें और अच्छी तरह मिलाएँ। नमक की जाँच करें और स्थिरता को समायोजित करने के लिए थोड़ा पानी डालें</v>
      </c>
      <c r="J125" s="3" t="s">
        <v>31507</v>
      </c>
      <c r="L125" s="1" t="s">
        <v>31003</v>
      </c>
    </row>
    <row r="126" spans="1:12" ht="13.8">
      <c r="A126" s="1" t="s">
        <v>31508</v>
      </c>
      <c r="B126" s="1" t="str">
        <f ca="1">IFERROR(__xludf.dummyfunction("IF(A126="""", """", GOOGLETRANSLATE(A126, ""en"", ""hi""))"),"राजगिरा की खीर रेसिपी")</f>
        <v>राजगिरा की खीर रेसिपी</v>
      </c>
      <c r="C126" s="1" t="s">
        <v>8417</v>
      </c>
      <c r="D126" s="1" t="s">
        <v>14208</v>
      </c>
      <c r="E126" s="1">
        <v>50</v>
      </c>
      <c r="F126" s="1" t="s">
        <v>31509</v>
      </c>
      <c r="G126" s="1" t="str">
        <f ca="1">IFERROR(__xludf.dummyfunction("IF(F126="""", """", GOOGLETRANSLATE(F126, ""en"", ""hi""))"),"1 कप राजगिरा, 1 लीटर दूध, 2 बड़े चम्मच चीनी, 2 बड़े चम्मच बादाम - कटे हुए, 2 बड़े चम्मच काजू - कटे हुए, 2 बड़े चम्मच किशमिश, 1 चुटकी केसर, 2 बड़े चम्मच दूध - केसर भिगोने के लिए, 1 चम्मच इलायची पाउडर (इलायची), गुलाब की पंखुड़ियाँ - गार्निश करने के लिए, पिस"&amp;"्ता - कटे हुए")</f>
        <v>1 कप राजगिरा, 1 लीटर दूध, 2 बड़े चम्मच चीनी, 2 बड़े चम्मच बादाम - कटे हुए, 2 बड़े चम्मच काजू - कटे हुए, 2 बड़े चम्मच किशमिश, 1 चुटकी केसर, 2 बड़े चम्मच दूध - केसर भिगोने के लिए, 1 चम्मच इलायची पाउडर (इलायची), गुलाब की पंखुड़ियाँ - गार्निश करने के लिए, पिस्ता - कटे हुए</v>
      </c>
      <c r="H126" s="1" t="s">
        <v>31510</v>
      </c>
      <c r="I126" s="1" t="str">
        <f ca="1">IFERROR(__xludf.dummyfunction("IF(H126="""", """", GOOGLETRANSLATE(H126, ""en"", ""hi""))"),"राजगिरा की खीर बनाने के लिए सबसे पहले राजगिरा को चटकाना होगा। धीमी आंच पर एक कढ़ाई में 2-3 बड़े चम्मच राजगिरा डालकर गर्म करें। राजगिरा लगभग तुरंत चटकने लगेगा। जब राजगिरा चटकने लगे, तो चटकने वाले बीजों को प्लेट में निकाल लें। जब तक सारे राजगिरा चटक न जाएं,"&amp;" तब तक यही प्रक्रिया दोहराते रहें। एक छोटे कटोरे में 2 बड़े चम्मच गर्म दूध में केसर के रेशे डालें और 10 मिनट तक ऐसे ही रहने दें। जब सारे रामदाना/राजगिरा चटक जाएं, तो एक भारी तले वाले पैन में दूध को उबाल लें। जब दूध उबलने लगे, तो उसमें चटकाया हुआ राजगिरा ड"&amp;"ालें और मध्यम आंच पर बीच-बीच में चलाते रहें। इसे लगभग 10 मिनट या राजगिरा पकने तक पकाएँ। कटे हुए मेवे, किशमिश, इलायची पाउडर, भिगोया हुआ केसर दूध में डालें और लगभग 5 मिनट तक उबालें। आंच बंद कर दें, पिस्ता और गुलाब की पंखुड़ियों से सजाएँ और परोसें। आप इसे ठं"&amp;"डा भी परोस सकते हैं। राजगिरा की खीर रेसिपी को प्याज और लहसुन के बिना आलू पनीर करी, एयरफ्राइड दही और पनीर कबाब और सिंघाड़ा आटा चीला के भोजन के बाद परोसें।")</f>
        <v>राजगिरा की खीर बनाने के लिए सबसे पहले राजगिरा को चटकाना होगा। धीमी आंच पर एक कढ़ाई में 2-3 बड़े चम्मच राजगिरा डालकर गर्म करें। राजगिरा लगभग तुरंत चटकने लगेगा। जब राजगिरा चटकने लगे, तो चटकने वाले बीजों को प्लेट में निकाल लें। जब तक सारे राजगिरा चटक न जाएं, तब तक यही प्रक्रिया दोहराते रहें। एक छोटे कटोरे में 2 बड़े चम्मच गर्म दूध में केसर के रेशे डालें और 10 मिनट तक ऐसे ही रहने दें। जब सारे रामदाना/राजगिरा चटक जाएं, तो एक भारी तले वाले पैन में दूध को उबाल लें। जब दूध उबलने लगे, तो उसमें चटकाया हुआ राजगिरा डालें और मध्यम आंच पर बीच-बीच में चलाते रहें। इसे लगभग 10 मिनट या राजगिरा पकने तक पकाएँ। कटे हुए मेवे, किशमिश, इलायची पाउडर, भिगोया हुआ केसर दूध में डालें और लगभग 5 मिनट तक उबालें। आंच बंद कर दें, पिस्ता और गुलाब की पंखुड़ियों से सजाएँ और परोसें। आप इसे ठंडा भी परोस सकते हैं। राजगिरा की खीर रेसिपी को प्याज और लहसुन के बिना आलू पनीर करी, एयरफ्राइड दही और पनीर कबाब और सिंघाड़ा आटा चीला के भोजन के बाद परोसें।</v>
      </c>
      <c r="J126" s="3" t="s">
        <v>31511</v>
      </c>
      <c r="L126" s="1" t="s">
        <v>31003</v>
      </c>
    </row>
    <row r="127" spans="1:12" ht="13.8">
      <c r="A127" s="1" t="s">
        <v>31512</v>
      </c>
      <c r="B127" s="1" t="str">
        <f ca="1">IFERROR(__xludf.dummyfunction("IF(A127="""", """", GOOGLETRANSLATE(A127, ""en"", ""hi""))"),"खट्टी अरबी की सब्जी रेसिपी - दही करी में अरबी")</f>
        <v>खट्टी अरबी की सब्जी रेसिपी - दही करी में अरबी</v>
      </c>
      <c r="C127" s="1" t="s">
        <v>14207</v>
      </c>
      <c r="D127" s="1" t="s">
        <v>14198</v>
      </c>
      <c r="E127" s="1">
        <v>40</v>
      </c>
      <c r="F127" s="1" t="s">
        <v>31513</v>
      </c>
      <c r="G127" s="1" t="str">
        <f ca="1">IFERROR(__xludf.dummyfunction("IF(F127="""", """", GOOGLETRANSLATE(F127, ""en"", ""hi""))"),"500 ग्राम अरबी - छिलका उतारकर उबाल लें, 1/2 कप दही, 1 छोटा चम्मच सरसों के बीज, 1 छोटा चम्मच हल्दी पाउडर, 2 सूखी लाल मिर्च, 2 टहनी करी पत्ता, नमक - स्वादानुसार, सूरजमुखी तेल, 1 छोटा चम्मच काली मिर्च पाउडर, 1 छोटा चम्मच जीरा, 1 छोटा चम्मच मेथी के बीज, 4 बड़"&amp;"े चम्मच ताजा नारियल - कसा हुआ")</f>
        <v>500 ग्राम अरबी - छिलका उतारकर उबाल लें, 1/2 कप दही, 1 छोटा चम्मच सरसों के बीज, 1 छोटा चम्मच हल्दी पाउडर, 2 सूखी लाल मिर्च, 2 टहनी करी पत्ता, नमक - स्वादानुसार, सूरजमुखी तेल, 1 छोटा चम्मच काली मिर्च पाउडर, 1 छोटा चम्मच जीरा, 1 छोटा चम्मच मेथी के बीज, 4 बड़े चम्मच ताजा नारियल - कसा हुआ</v>
      </c>
      <c r="H127" s="1" t="s">
        <v>31514</v>
      </c>
      <c r="I127" s="1" t="str">
        <f ca="1">IFERROR(__xludf.dummyfunction("IF(H127="""", """", GOOGLETRANSLATE(H127, ""en"", ""hi""))"),"खट्टी अरबी की सब्जी बनाने के लिए, हम सबसे पहले अरबी को कुकर में पानी और थोड़े नमक के साथ कम से कम 4 सीटी आने तक पकाएँगे। एक बार जब यह पक जाए, तो प्रेशर को स्वाभाविक रूप से निकलने दें और सारा पानी निथार लें और ठंडा होने के लिए अलग रख दें। अब छिलका उतारना आ"&amp;"सान होगा, अरबी को आधा काट लें। एक मिक्सर में, काली मिर्च पाउडर, जीरा, मेथी के बीज और ताजा नारियल जैसी सभी सामग्री डालें, थोड़ा पानी डालें और दरदरा पीस लें। एक कढ़ाई में तेल गरम करें, उसमें राई डालें और कुछ सेकंड के लिए उसे फूटने दें। करी पत्ता डालें और उस"&amp;"े चटकने दें। कुछ सूखी लाल मिर्च डालें और कुछ सेकंड के लिए भूनें। पकी हुई अरबी, नमक, हल्दी पाउडर डालें और अच्छी तरह से भूनें जब तक कि अरबी अच्छी तरह से भुन न जाए। एक बार जब अरबी भुन जाए, तो आप अब पिसा हुआ नारियल का पेस्ट डाल सकते हैं और अच्छी तरह मिला सकते"&amp;" हैं। दही भी डालें, चारों ओर मिलाएँ ताकि मसाला अच्छी तरह से लिपट जाए। नमक की जांच करें और खट्टी अरबी की सब्जी को तब तक पकाएं जब तक कि करी से नमी सूख न जाए और डिश थोड़ी सूखी न हो जाए। खट्टी अरबी की सब्जी बनने के बाद आप आंच बंद कर सकते हैं और इसे एक कटोरे म"&amp;"ें परोस सकते हैं। खट्टी अरबी की सब्जी रेसिपी को गुजराती मेथी थेपला और मटर पनीर के साथ परोसें और इसे एक संपूर्ण भोजन बनाएं।")</f>
        <v>खट्टी अरबी की सब्जी बनाने के लिए, हम सबसे पहले अरबी को कुकर में पानी और थोड़े नमक के साथ कम से कम 4 सीटी आने तक पकाएँगे। एक बार जब यह पक जाए, तो प्रेशर को स्वाभाविक रूप से निकलने दें और सारा पानी निथार लें और ठंडा होने के लिए अलग रख दें। अब छिलका उतारना आसान होगा, अरबी को आधा काट लें। एक मिक्सर में, काली मिर्च पाउडर, जीरा, मेथी के बीज और ताजा नारियल जैसी सभी सामग्री डालें, थोड़ा पानी डालें और दरदरा पीस लें। एक कढ़ाई में तेल गरम करें, उसमें राई डालें और कुछ सेकंड के लिए उसे फूटने दें। करी पत्ता डालें और उसे चटकने दें। कुछ सूखी लाल मिर्च डालें और कुछ सेकंड के लिए भूनें। पकी हुई अरबी, नमक, हल्दी पाउडर डालें और अच्छी तरह से भूनें जब तक कि अरबी अच्छी तरह से भुन न जाए। एक बार जब अरबी भुन जाए, तो आप अब पिसा हुआ नारियल का पेस्ट डाल सकते हैं और अच्छी तरह मिला सकते हैं। दही भी डालें, चारों ओर मिलाएँ ताकि मसाला अच्छी तरह से लिपट जाए। नमक की जांच करें और खट्टी अरबी की सब्जी को तब तक पकाएं जब तक कि करी से नमी सूख न जाए और डिश थोड़ी सूखी न हो जाए। खट्टी अरबी की सब्जी बनने के बाद आप आंच बंद कर सकते हैं और इसे एक कटोरे में परोस सकते हैं। खट्टी अरबी की सब्जी रेसिपी को गुजराती मेथी थेपला और मटर पनीर के साथ परोसें और इसे एक संपूर्ण भोजन बनाएं।</v>
      </c>
      <c r="J127" s="3" t="s">
        <v>31515</v>
      </c>
      <c r="L127" s="1" t="s">
        <v>31003</v>
      </c>
    </row>
    <row r="128" spans="1:12" ht="13.8">
      <c r="A128" s="1" t="s">
        <v>31516</v>
      </c>
      <c r="B128" s="1" t="str">
        <f ca="1">IFERROR(__xludf.dummyfunction("IF(A128="""", """", GOOGLETRANSLATE(A128, ""en"", ""hi""))"),"मिर्ची बज्जी रेसिपी - मिरापाकाया बज्जी/हरी मिर्च पकोड़े")</f>
        <v>मिर्ची बज्जी रेसिपी - मिरापाकाया बज्जी/हरी मिर्च पकोड़े</v>
      </c>
      <c r="C128" s="1" t="s">
        <v>14281</v>
      </c>
      <c r="D128" s="1" t="s">
        <v>14198</v>
      </c>
      <c r="E128" s="1">
        <v>35</v>
      </c>
      <c r="F128" s="1" t="s">
        <v>31517</v>
      </c>
      <c r="G128" s="1" t="str">
        <f ca="1">IFERROR(__xludf.dummyfunction("IF(F128="""", """", GOOGLETRANSLATE(F128, ""en"", ""hi""))"),"10 हरी मिर्च - बड़ी, 1 1/2 कप बेसन, 1/4 चम्मच बेकिंग सोडा, नमक - स्वादानुसार, सूरजमुखी तेल - तलने के लिए, 1 बड़ा चम्मच अजवाइन, 3 बड़े चम्मच तिल - सूखा भुना हुआ, नमक - स्वादानुसार, प्याज - पतले कटे हुए, लाल मिर्च पाउडर, 1 नींबू का रस")</f>
        <v>10 हरी मिर्च - बड़ी, 1 1/2 कप बेसन, 1/4 चम्मच बेकिंग सोडा, नमक - स्वादानुसार, सूरजमुखी तेल - तलने के लिए, 1 बड़ा चम्मच अजवाइन, 3 बड़े चम्मच तिल - सूखा भुना हुआ, नमक - स्वादानुसार, प्याज - पतले कटे हुए, लाल मिर्च पाउडर, 1 नींबू का रस</v>
      </c>
      <c r="H128" s="1" t="s">
        <v>31518</v>
      </c>
      <c r="I128" s="1" t="str">
        <f ca="1">IFERROR(__xludf.dummyfunction("IF(H128="""", """", GOOGLETRANSLATE(H128, ""en"", ""hi""))"),"मिर्ची बज्जी रेसिपी बनाने के लिए, भरावन सामग्री - अजवाइन को मिक्सर ग्राइंडर में नमक के साथ दरदरा पीस लें और एक तरफ रख दें। बज्जी मिर्च लें, लंबाई में चीरा लगाएं (लेकिन ध्यान रखें कि दो टुकड़ों में न टूटें)। चाकू की नोक का उपयोग करके बीज को मोटी सफेद नस के"&amp;" साथ हटा दें। धीरे से अपनी उंगलियों से मिर्च को मोटे पिसे हुए भरावन से भरें और एक तरफ रख दें। गहरी तलने के लिए कड़ाही में पर्याप्त तेल गर्म करें। जब तेल गर्म हो रहा है, एक छोटे से मिक्सिंग बाउल में, बेसन, नमक और बेकिंग पाउडर डालें और धीरे-धीरे पानी डालते "&amp;"हुए गाढ़ा घोल बनाएं। गांठों से बचने के लिए धीरे से फेंटें और इसे एक तरफ रख दें। तेल तलने के लिए पर्याप्त गर्म है या नहीं, यह जांचने के लिए तेल में घोल की एक छोटी गेंद डालें। कड़ाई के कोने से धीरे-धीरे बैटर से भरी हुई मिर्च डालें, प्रक्रिया को दोहराएँ और क"&amp;"ढ़ाई के आकार के आधार पर एक बार में 2-3 मिर्च बज्जी डालें। कढ़ाई में बहुत ज़्यादा मिर्च न डालें। मध्यम आँच पर मिर्ची बज्जी को सुनहरा होने तक तलें। तली हुई मिर्ची बज्जी को किचन पेपर टॉवल पर रखकर अतिरिक्त तेल निथार लें। बची हुई भरी हुई मिर्ची के साथ भी यही क"&amp;"रें। मिर्ची बज्जी को कटे हुए प्याज़, नींबू के टुकड़े और ताज़े धनिया पत्तों से गार्निश करके गरमागरम अदरक वाली चाय के साथ चाय के समय के नाश्ते के रूप में परोसें।")</f>
        <v>मिर्ची बज्जी रेसिपी बनाने के लिए, भरावन सामग्री - अजवाइन को मिक्सर ग्राइंडर में नमक के साथ दरदरा पीस लें और एक तरफ रख दें। बज्जी मिर्च लें, लंबाई में चीरा लगाएं (लेकिन ध्यान रखें कि दो टुकड़ों में न टूटें)। चाकू की नोक का उपयोग करके बीज को मोटी सफेद नस के साथ हटा दें। धीरे से अपनी उंगलियों से मिर्च को मोटे पिसे हुए भरावन से भरें और एक तरफ रख दें। गहरी तलने के लिए कड़ाही में पर्याप्त तेल गर्म करें। जब तेल गर्म हो रहा है, एक छोटे से मिक्सिंग बाउल में, बेसन, नमक और बेकिंग पाउडर डालें और धीरे-धीरे पानी डालते हुए गाढ़ा घोल बनाएं। गांठों से बचने के लिए धीरे से फेंटें और इसे एक तरफ रख दें। तेल तलने के लिए पर्याप्त गर्म है या नहीं, यह जांचने के लिए तेल में घोल की एक छोटी गेंद डालें। कड़ाई के कोने से धीरे-धीरे बैटर से भरी हुई मिर्च डालें, प्रक्रिया को दोहराएँ और कढ़ाई के आकार के आधार पर एक बार में 2-3 मिर्च बज्जी डालें। कढ़ाई में बहुत ज़्यादा मिर्च न डालें। मध्यम आँच पर मिर्ची बज्जी को सुनहरा होने तक तलें। तली हुई मिर्ची बज्जी को किचन पेपर टॉवल पर रखकर अतिरिक्त तेल निथार लें। बची हुई भरी हुई मिर्ची के साथ भी यही करें। मिर्ची बज्जी को कटे हुए प्याज़, नींबू के टुकड़े और ताज़े धनिया पत्तों से गार्निश करके गरमागरम अदरक वाली चाय के साथ चाय के समय के नाश्ते के रूप में परोसें।</v>
      </c>
      <c r="J128" s="3" t="s">
        <v>31519</v>
      </c>
      <c r="L128" s="1" t="s">
        <v>31003</v>
      </c>
    </row>
    <row r="129" spans="1:12" ht="13.8">
      <c r="A129" s="1" t="s">
        <v>31520</v>
      </c>
      <c r="B129" s="1" t="str">
        <f ca="1">IFERROR(__xludf.dummyfunction("IF(A129="""", """", GOOGLETRANSLATE(A129, ""en"", ""hi""))"),"चिकन स्वीट पोटैटो और डिल करी रेसिपी")</f>
        <v>चिकन स्वीट पोटैटो और डिल करी रेसिपी</v>
      </c>
      <c r="C129" s="1" t="s">
        <v>145</v>
      </c>
      <c r="D129" s="1" t="s">
        <v>14382</v>
      </c>
      <c r="E129" s="1">
        <v>40</v>
      </c>
      <c r="F129" s="1" t="s">
        <v>31521</v>
      </c>
      <c r="G129" s="1" t="str">
        <f ca="1">IFERROR(__xludf.dummyfunction("IF(F129="""", """", GOOGLETRANSLATE(F129, ""en"", ""hi""))"),"200 ग्राम चिकन - छोटे टुकड़ों में कटा हुआ, 1 शकरकंद - छिला हुआ और छोटा कटा हुआ, 1 तेज पत्ता, नमक - स्वादानुसार, सूरजमुखी तेल, 2 चम्मच धनिया के बीज, 1 चम्मच जीरा, 1 इंच दालचीनी, 1 प्याज - कटा हुआ, 1 इंच अदरक - कटा हुआ, 4 लहसुन - कटा हुआ, 1 कप डिल के पत्ते")</f>
        <v>200 ग्राम चिकन - छोटे टुकड़ों में कटा हुआ, 1 शकरकंद - छिला हुआ और छोटा कटा हुआ, 1 तेज पत्ता, नमक - स्वादानुसार, सूरजमुखी तेल, 2 चम्मच धनिया के बीज, 1 चम्मच जीरा, 1 इंच दालचीनी, 1 प्याज - कटा हुआ, 1 इंच अदरक - कटा हुआ, 4 लहसुन - कटा हुआ, 1 कप डिल के पत्ते</v>
      </c>
      <c r="H129" s="1" t="s">
        <v>31522</v>
      </c>
      <c r="I129" s="1" t="str">
        <f ca="1">IFERROR(__xludf.dummyfunction("IF(H129="""", """", GOOGLETRANSLATE(H129, ""en"", ""hi""))"),"चिकन और स्वीट पोटैटो डिल करी रेसिपी बनाने के लिए सबसे पहले एक छोटी कड़ाही में एक चम्मच तेल गर्म करें, उसमें धनिया, जीरा, दालचीनी डालें और इसे चटकने दें। अदरक, लहसुन डालें और इसे कुछ सेकंड के लिए नरम होने दें। कटे हुए प्याज डालें और पारदर्शी होने तक भूनें।"&amp;" प्याज के सुनहरे भूरे होने और अच्छी तरह से कैरामेलाइज़ होने तक भूनें। आँच बंद कर दें, भूने हुए प्याज के मिश्रण को ग्राइंडर में डालें और इसे चिकना पेस्ट बना लें। ढक्कन खोलें, डिल के पत्ते और थोड़ा पानी डालें और इसे कुछ और समय के लिए फिर से पीसें जब तक कि य"&amp;"ह एक अच्छा प्यूरी न बन जाए। एक प्रेशर कुकर में तेल गर्म करें, उसमें तेज पत्ता डालें और पीसा हुआ पेस्ट डालें और कम से कम 10 मिनट तक पकाएं। शकरकंद, चिकन, नमक और लगभग 1/2 कप पानी डालें और इसे कम से कम 4 सीटी आने तक पकाएँ। चिकन और स्वीट पोटैटो डिल करी को मेथी"&amp;" लच्छा पराठा, चुकंदर रायता के साथ परोसें और इसे संपूर्ण और संतोषजनक भोजन बनाएँ।")</f>
        <v>चिकन और स्वीट पोटैटो डिल करी रेसिपी बनाने के लिए सबसे पहले एक छोटी कड़ाही में एक चम्मच तेल गर्म करें, उसमें धनिया, जीरा, दालचीनी डालें और इसे चटकने दें। अदरक, लहसुन डालें और इसे कुछ सेकंड के लिए नरम होने दें। कटे हुए प्याज डालें और पारदर्शी होने तक भूनें। प्याज के सुनहरे भूरे होने और अच्छी तरह से कैरामेलाइज़ होने तक भूनें। आँच बंद कर दें, भूने हुए प्याज के मिश्रण को ग्राइंडर में डालें और इसे चिकना पेस्ट बना लें। ढक्कन खोलें, डिल के पत्ते और थोड़ा पानी डालें और इसे कुछ और समय के लिए फिर से पीसें जब तक कि यह एक अच्छा प्यूरी न बन जाए। एक प्रेशर कुकर में तेल गर्म करें, उसमें तेज पत्ता डालें और पीसा हुआ पेस्ट डालें और कम से कम 10 मिनट तक पकाएं। शकरकंद, चिकन, नमक और लगभग 1/2 कप पानी डालें और इसे कम से कम 4 सीटी आने तक पकाएँ। चिकन और स्वीट पोटैटो डिल करी को मेथी लच्छा पराठा, चुकंदर रायता के साथ परोसें और इसे संपूर्ण और संतोषजनक भोजन बनाएँ।</v>
      </c>
      <c r="J129" s="3" t="s">
        <v>31523</v>
      </c>
      <c r="L129" s="1" t="s">
        <v>31003</v>
      </c>
    </row>
    <row r="130" spans="1:12" ht="13.8">
      <c r="A130" s="1" t="s">
        <v>31524</v>
      </c>
      <c r="B130" s="1" t="str">
        <f ca="1">IFERROR(__xludf.dummyfunction("IF(A130="""", """", GOOGLETRANSLATE(A130, ""en"", ""hi""))"),"कढ़ाई टोफू सब्जी")</f>
        <v>कढ़ाई टोफू सब्जी</v>
      </c>
      <c r="C130" s="1" t="s">
        <v>145</v>
      </c>
      <c r="D130" s="1" t="s">
        <v>14237</v>
      </c>
      <c r="E130" s="1">
        <v>25</v>
      </c>
      <c r="F130" s="1" t="s">
        <v>31525</v>
      </c>
      <c r="G130" s="1" t="str">
        <f ca="1">IFERROR(__xludf.dummyfunction("IF(F130="""", """", GOOGLETRANSLATE(F130, ""en"", ""hi""))"),"250 ग्राम टोफू - कटा हुआ, 1 शिमला मिर्च (हरा) - कटा हुआ, 1 प्याज - कटा हुआ, 1 छोटा चम्मच लहसुन - पेस्ट, 1 छोटा चम्मच अदरक - पेस्ट, 2 टमाटर - उबले हुए, 1 छोटा चम्मच जीरा, 1 छोटा चम्मच कसूरी मेथी - कुटी हुई, 1 बड़ा चम्मच तेल, 1/2 छोटा चम्मच हल्दी पाउडर, 1/2"&amp;" छोटा चम्मच चीनी, नमक - स्वादानुसार, हरा धनिया - उपयोगानुसार, 2 छोटे चम्मच धनिया के बीज, 5 साबुत काली मिर्च, 1 छोटा चम्मच सौंफ, 1 छोटा चम्मच जीरा, 1 छोटा चम्मच अनार के दाने, 4 सूखी लाल मिर्च, 1 तेज पत्ता, 1 बड़ी इलायची, 1/2 छोटा चम्मच अमचूर पाउडर")</f>
        <v>250 ग्राम टोफू - कटा हुआ, 1 शिमला मिर्च (हरा) - कटा हुआ, 1 प्याज - कटा हुआ, 1 छोटा चम्मच लहसुन - पेस्ट, 1 छोटा चम्मच अदरक - पेस्ट, 2 टमाटर - उबले हुए, 1 छोटा चम्मच जीरा, 1 छोटा चम्मच कसूरी मेथी - कुटी हुई, 1 बड़ा चम्मच तेल, 1/2 छोटा चम्मच हल्दी पाउडर, 1/2 छोटा चम्मच चीनी, नमक - स्वादानुसार, हरा धनिया - उपयोगानुसार, 2 छोटे चम्मच धनिया के बीज, 5 साबुत काली मिर्च, 1 छोटा चम्मच सौंफ, 1 छोटा चम्मच जीरा, 1 छोटा चम्मच अनार के दाने, 4 सूखी लाल मिर्च, 1 तेज पत्ता, 1 बड़ी इलायची, 1/2 छोटा चम्मच अमचूर पाउडर</v>
      </c>
      <c r="H130" s="1" t="s">
        <v>31526</v>
      </c>
      <c r="I130" s="1" t="str">
        <f ca="1">IFERROR(__xludf.dummyfunction("IF(H130="""", """", GOOGLETRANSLATE(H130, ""en"", ""hi""))"),"""कड़ाही टोफू बनाने के लिए सबसे पहले हम मसाला तैयार करेंगे। एक छोटे पैन में धनिया के बीज, काली मिर्च, जीरा, सूखी लाल मिर्च, तेज पत्ता और बड़ी इलायची डालें। 30 सेकंड तक भूनें और ठंडा होने के लिए अलग रख दें। अब इस मिश्रण को अनार के दाने और सूखे आम के पाउडर "&amp;"के साथ मिक्सर ग्राइंडर में डालें। इसे पीसकर अलग रख दें। अब एक पैन में तेल गर्म करें। इसमें जीरा और प्याज डालें। प्याज के नरम होने तक पकाएँ और फिर लहसुन और अदरक का पेस्ट डालें। 1 मिनट बाद हल्दी पाउडर, टमाटर प्यूरी डालें और 2 मिनट तक पकने दें। अब इसमें 2 बड"&amp;"़े चम्मच पिसा हुआ मसाला और कसूरी मेथी डालें। शिमला मिर्च डालें और 1 मिनट तक पकने दें। अब इसमें टोफू, नमक और चीनी डालें। इसे मिलाएँ और अगले 2 मिनट तक पकने दें। अब हरे धनिये से गार्निश करें और गरमागरम परोसें। कढ़ाई टोफू को दाल मखनी और तवा पराठे के साथ परोसे"&amp;"ं। रात के खाने में परोसें।")</f>
        <v>"कड़ाही टोफू बनाने के लिए सबसे पहले हम मसाला तैयार करेंगे। एक छोटे पैन में धनिया के बीज, काली मिर्च, जीरा, सूखी लाल मिर्च, तेज पत्ता और बड़ी इलायची डालें। 30 सेकंड तक भूनें और ठंडा होने के लिए अलग रख दें। अब इस मिश्रण को अनार के दाने और सूखे आम के पाउडर के साथ मिक्सर ग्राइंडर में डालें। इसे पीसकर अलग रख दें। अब एक पैन में तेल गर्म करें। इसमें जीरा और प्याज डालें। प्याज के नरम होने तक पकाएँ और फिर लहसुन और अदरक का पेस्ट डालें। 1 मिनट बाद हल्दी पाउडर, टमाटर प्यूरी डालें और 2 मिनट तक पकने दें। अब इसमें 2 बड़े चम्मच पिसा हुआ मसाला और कसूरी मेथी डालें। शिमला मिर्च डालें और 1 मिनट तक पकने दें। अब इसमें टोफू, नमक और चीनी डालें। इसे मिलाएँ और अगले 2 मिनट तक पकने दें। अब हरे धनिये से गार्निश करें और गरमागरम परोसें। कढ़ाई टोफू को दाल मखनी और तवा पराठे के साथ परोसें। रात के खाने में परोसें।</v>
      </c>
      <c r="J130" s="3" t="s">
        <v>31527</v>
      </c>
      <c r="L130" s="1" t="s">
        <v>31003</v>
      </c>
    </row>
    <row r="131" spans="1:12" ht="13.8">
      <c r="A131" s="1" t="s">
        <v>31528</v>
      </c>
      <c r="B131" s="1" t="str">
        <f ca="1">IFERROR(__xludf.dummyfunction("IF(A131="""", """", GOOGLETRANSLATE(A131, ""en"", ""hi""))"),"अंकुरित मूंग दाल रेसिपी")</f>
        <v>अंकुरित मूंग दाल रेसिपी</v>
      </c>
      <c r="C131" s="1" t="s">
        <v>145</v>
      </c>
      <c r="D131" s="1" t="s">
        <v>14237</v>
      </c>
      <c r="E131" s="1">
        <v>25</v>
      </c>
      <c r="F131" s="1" t="s">
        <v>31529</v>
      </c>
      <c r="G131" s="1" t="str">
        <f ca="1">IFERROR(__xludf.dummyfunction("IF(F131="""", """", GOOGLETRANSLATE(F131, ""en"", ""hi""))"),"2 कप अंकुरित मूंग, 3 लहसुन की कलियां - पिसी हुई, 1 प्याज - बारीक कटा हुआ, 1 बड़ा चम्मच घी - या तेल, 1 छोटा चम्मच राई, 1 छोटा चम्मच जीरा, 1/4 छोटा चम्मच हल्दी पाउडर, 1/4 छोटा चम्मच हींग, 1/4 छोटा चम्मच गोडा मसाला, 1/4 छोटा चम्मच लाल मिर्च पाउडर, 2 कोकम, 1/"&amp;"2 छोटा चम्मच गुड़ - कद्दूकस किया हुआ, 2 छोटे चम्मच मूंगफली पाउडर, 2 कप पानी - या आवश्यकतानुसार, नमक - स्वादानुसार, धनिया पत्ता - कटा हुआ")</f>
        <v>2 कप अंकुरित मूंग, 3 लहसुन की कलियां - पिसी हुई, 1 प्याज - बारीक कटा हुआ, 1 बड़ा चम्मच घी - या तेल, 1 छोटा चम्मच राई, 1 छोटा चम्मच जीरा, 1/4 छोटा चम्मच हल्दी पाउडर, 1/4 छोटा चम्मच हींग, 1/4 छोटा चम्मच गोडा मसाला, 1/4 छोटा चम्मच लाल मिर्च पाउडर, 2 कोकम, 1/2 छोटा चम्मच गुड़ - कद्दूकस किया हुआ, 2 छोटे चम्मच मूंगफली पाउडर, 2 कप पानी - या आवश्यकतानुसार, नमक - स्वादानुसार, धनिया पत्ता - कटा हुआ</v>
      </c>
      <c r="H131" s="1" t="s">
        <v>31530</v>
      </c>
      <c r="I131" s="1" t="str">
        <f ca="1">IFERROR(__xludf.dummyfunction("IF(H131="""", """", GOOGLETRANSLATE(H131, ""en"", ""hi""))"),"""अंकुरित मूंग दाल रेसिपी बनाने के लिए सबसे पहले प्रेशर कुकर में तेल या घी गर्म करें। उसमें राई, जीरा डालें और 10 सेकंड तक पकाएँ। अब प्याज़, लहसुन, हींग डालें और प्याज़ के नरम होने तक पकाएँ। इसके बाद हल्दी पाउडर, अंकुरित मूंग डालें और 1 मिनट तक पकाएँ। 1 म"&amp;"िनट बाद गोडा मसाला, लाल मिर्च पाउडर, हल्दी पाउडर डालें और मिलाएँ। पानी, कोकम, गुड़, नमक, मूंगफली पाउडर डालें और अच्छी तरह मिलाएँ। पैन को ढक दें और 1 सीटी आने तक पकाएँ। खोलें, मिलाएँ और धनिया पत्ती से सजाएँ। अंकुरित मूंग दाल रेसिपी को सेव टमाटर की सब्ज़ी, "&amp;"पालक रायता और फुल्के के साथ लंच में परोसें।""")</f>
        <v>"अंकुरित मूंग दाल रेसिपी बनाने के लिए सबसे पहले प्रेशर कुकर में तेल या घी गर्म करें। उसमें राई, जीरा डालें और 10 सेकंड तक पकाएँ। अब प्याज़, लहसुन, हींग डालें और प्याज़ के नरम होने तक पकाएँ। इसके बाद हल्दी पाउडर, अंकुरित मूंग डालें और 1 मिनट तक पकाएँ। 1 मिनट बाद गोडा मसाला, लाल मिर्च पाउडर, हल्दी पाउडर डालें और मिलाएँ। पानी, कोकम, गुड़, नमक, मूंगफली पाउडर डालें और अच्छी तरह मिलाएँ। पैन को ढक दें और 1 सीटी आने तक पकाएँ। खोलें, मिलाएँ और धनिया पत्ती से सजाएँ। अंकुरित मूंग दाल रेसिपी को सेव टमाटर की सब्ज़ी, पालक रायता और फुल्के के साथ लंच में परोसें।"</v>
      </c>
      <c r="J131" s="3" t="s">
        <v>31531</v>
      </c>
      <c r="L131" s="1" t="s">
        <v>31003</v>
      </c>
    </row>
    <row r="132" spans="1:12" ht="13.8">
      <c r="A132" s="1" t="s">
        <v>31532</v>
      </c>
      <c r="B132" s="1" t="str">
        <f ca="1">IFERROR(__xludf.dummyfunction("IF(A132="""", """", GOOGLETRANSLATE(A132, ""en"", ""hi""))"),"गाजर सूजी फिरनी")</f>
        <v>गाजर सूजी फिरनी</v>
      </c>
      <c r="C132" s="1" t="s">
        <v>8417</v>
      </c>
      <c r="D132" s="1" t="s">
        <v>14198</v>
      </c>
      <c r="E132" s="1">
        <v>40</v>
      </c>
      <c r="F132" s="1" t="s">
        <v>31533</v>
      </c>
      <c r="G132" s="1" t="str">
        <f ca="1">IFERROR(__xludf.dummyfunction("IF(F132="""", """", GOOGLETRANSLATE(F132, ""en"", ""hi""))"),"2 गाजर - कद्दूकस की हुई, 500 कप दूध, 5 बड़े चम्मच चीनी, 1/2 कप सूजी, 1/2 छोटा चम्मच इलायची पाउडर, 10 बादाम - छीलकर धो लें (चांदी की परत लगा लें), 2 बड़े चम्मच घी, 5 केसर - थोड़ा सा")</f>
        <v>2 गाजर - कद्दूकस की हुई, 500 कप दूध, 5 बड़े चम्मच चीनी, 1/2 कप सूजी, 1/2 छोटा चम्मच इलायची पाउडर, 10 बादाम - छीलकर धो लें (चांदी की परत लगा लें), 2 बड़े चम्मच घी, 5 केसर - थोड़ा सा</v>
      </c>
      <c r="H132" s="1" t="s">
        <v>31534</v>
      </c>
      <c r="I132" s="1" t="str">
        <f ca="1">IFERROR(__xludf.dummyfunction("IF(H132="""", """", GOOGLETRANSLATE(H132, ""en"", ""hi""))"),"गाजर सूजी फिरनी बनाने के लिए सबसे पहले एक सॉस पैन में 1 बड़ा चम्मच घी गर्म करें। इसमें कद्दूकस की हुई गाजर डालें और 5 मिनट तक पकाएं। अब एक सॉस पैन में दूध गर्म करें और इसमें चीनी डालें। इसे उबलने दें और उबलने के बाद इसमें गाजर, इलायची पाउडर, केसर डालें और"&amp;" 10 मिनट तक पकने दें। 10 मिनट बाद इसमें सूजी डालें और लगातार चलाते रहें ताकि गांठ न बने। जब यह गाढ़ा हो जाए तो गैस बंद कर दें और इसे एक तरफ रख दें। अब एक छोटे पैन में बचा हुआ घी डालें। इसमें बादाम डालें और 10 सेकंड तक पकने दें। इस तड़के को फिरनी पर डालें,"&amp;" मिलाएँ और सर्व करें। स्वादिष्ट गाजर सूजी फिरनी को खाने के बाद मिठाई के रूप में परोसें।")</f>
        <v>गाजर सूजी फिरनी बनाने के लिए सबसे पहले एक सॉस पैन में 1 बड़ा चम्मच घी गर्म करें। इसमें कद्दूकस की हुई गाजर डालें और 5 मिनट तक पकाएं। अब एक सॉस पैन में दूध गर्म करें और इसमें चीनी डालें। इसे उबलने दें और उबलने के बाद इसमें गाजर, इलायची पाउडर, केसर डालें और 10 मिनट तक पकने दें। 10 मिनट बाद इसमें सूजी डालें और लगातार चलाते रहें ताकि गांठ न बने। जब यह गाढ़ा हो जाए तो गैस बंद कर दें और इसे एक तरफ रख दें। अब एक छोटे पैन में बचा हुआ घी डालें। इसमें बादाम डालें और 10 सेकंड तक पकने दें। इस तड़के को फिरनी पर डालें, मिलाएँ और सर्व करें। स्वादिष्ट गाजर सूजी फिरनी को खाने के बाद मिठाई के रूप में परोसें।</v>
      </c>
      <c r="J132" s="3" t="s">
        <v>31535</v>
      </c>
      <c r="L132" s="1" t="s">
        <v>31003</v>
      </c>
    </row>
    <row r="133" spans="1:12" ht="13.8">
      <c r="A133" s="1" t="s">
        <v>31536</v>
      </c>
      <c r="B133" s="1" t="str">
        <f ca="1">IFERROR(__xludf.dummyfunction("IF(A133="""", """", GOOGLETRANSLATE(A133, ""en"", ""hi""))"),"चना दाल खिचड़ी रेसिपी")</f>
        <v>चना दाल खिचड़ी रेसिपी</v>
      </c>
      <c r="C133" s="1" t="s">
        <v>429</v>
      </c>
      <c r="D133" s="1" t="s">
        <v>14237</v>
      </c>
      <c r="E133" s="1">
        <v>40</v>
      </c>
      <c r="F133" s="1" t="s">
        <v>31537</v>
      </c>
      <c r="G133" s="1" t="str">
        <f ca="1">IFERROR(__xludf.dummyfunction("IF(F133="""", """", GOOGLETRANSLATE(F133, ""en"", ""hi""))"),"1 कप चावल, 1/2 कप चना दाल - भिगोकर छानी हुई, 1/4 छोटा चम्मच हींग, 1/2 छोटा चम्मच जीरा, 2 हरी मिर्च - कटी हुई या कटी हुई, 1/2 छोटा चम्मच अदरक - कद्दूकस किया हुआ, 1/2 छोटा चम्मच हल्दी पाउडर, नमक - स्वादानुसार")</f>
        <v>1 कप चावल, 1/2 कप चना दाल - भिगोकर छानी हुई, 1/4 छोटा चम्मच हींग, 1/2 छोटा चम्मच जीरा, 2 हरी मिर्च - कटी हुई या कटी हुई, 1/2 छोटा चम्मच अदरक - कद्दूकस किया हुआ, 1/2 छोटा चम्मच हल्दी पाउडर, नमक - स्वादानुसार</v>
      </c>
      <c r="H133" s="1" t="s">
        <v>31538</v>
      </c>
      <c r="I133" s="1" t="str">
        <f ca="1">IFERROR(__xludf.dummyfunction("IF(H133="""", """", GOOGLETRANSLATE(H133, ""en"", ""hi""))"),"चना दाल खिचड़ी बनाने के लिए सबसे पहले चावल और चना दाल को पानी से धो लें। दोनों को अलग-अलग पानी में एक घंटे के लिए भिगो दें। प्रेशर कुकर गरम करें और उसमें चना दाल डालें। इसे तब तक पकाएं जब तक कुकर में 1 सीटी न आ जाए क्योंकि हमें दाल को आधा ही पकाना है। हो "&amp;"जाने के बाद आंच बंद कर दें और इसे एक तरफ रख दें। एक चौड़े पैन में तेल गरम करें, उसमें तेज पत्ता, जीरा, दालचीनी और हींग डालें। इसे करीब 30 सेकंड तक भूनें। 30 सेकंड के बाद हरी मिर्च और अदरक डालें और अदरक के अच्छी तरह पकने तक पकाएं। इसमें चावल, पकी हुई चना द"&amp;"ाल, हल्दी पाउडर और स्वादानुसार नमक डालें और एक मिनट तक पकाएं। एक मिनट बाद 2 कप पानी डालें। इसे अच्छे से मिलाएं और इसे मध्यम आंच पर करीब 20-25 मिनट तक पकाएं जब तक यह सूख कर मुलायम न हो जाए। हो जाने के बाद इसे कटे हुए धनिए से गार्निश करें। चना दाल खिचड़ी को"&amp;" गुजराती कढ़ी या अपनी पसंद के किसी भी रायते के साथ परोसें।")</f>
        <v>चना दाल खिचड़ी बनाने के लिए सबसे पहले चावल और चना दाल को पानी से धो लें। दोनों को अलग-अलग पानी में एक घंटे के लिए भिगो दें। प्रेशर कुकर गरम करें और उसमें चना दाल डालें। इसे तब तक पकाएं जब तक कुकर में 1 सीटी न आ जाए क्योंकि हमें दाल को आधा ही पकाना है। हो जाने के बाद आंच बंद कर दें और इसे एक तरफ रख दें। एक चौड़े पैन में तेल गरम करें, उसमें तेज पत्ता, जीरा, दालचीनी और हींग डालें। इसे करीब 30 सेकंड तक भूनें। 30 सेकंड के बाद हरी मिर्च और अदरक डालें और अदरक के अच्छी तरह पकने तक पकाएं। इसमें चावल, पकी हुई चना दाल, हल्दी पाउडर और स्वादानुसार नमक डालें और एक मिनट तक पकाएं। एक मिनट बाद 2 कप पानी डालें। इसे अच्छे से मिलाएं और इसे मध्यम आंच पर करीब 20-25 मिनट तक पकाएं जब तक यह सूख कर मुलायम न हो जाए। हो जाने के बाद इसे कटे हुए धनिए से गार्निश करें। चना दाल खिचड़ी को गुजराती कढ़ी या अपनी पसंद के किसी भी रायते के साथ परोसें।</v>
      </c>
      <c r="J133" s="3" t="s">
        <v>31539</v>
      </c>
      <c r="L133" s="1" t="s">
        <v>31003</v>
      </c>
    </row>
    <row r="134" spans="1:12" ht="13.8">
      <c r="A134" s="1" t="s">
        <v>5794</v>
      </c>
      <c r="B134" s="1" t="str">
        <f ca="1">IFERROR(__xludf.dummyfunction("IF(A134="""", """", GOOGLETRANSLATE(A134, ""en"", ""hi""))"),"बीन्स करी")</f>
        <v>बीन्स करी</v>
      </c>
      <c r="C134" s="1" t="s">
        <v>145</v>
      </c>
      <c r="D134" s="1" t="s">
        <v>14198</v>
      </c>
      <c r="E134" s="1">
        <v>45</v>
      </c>
      <c r="F134" s="1" t="s">
        <v>31540</v>
      </c>
      <c r="G134" s="1" t="str">
        <f ca="1">IFERROR(__xludf.dummyfunction("IF(F134="""", """", GOOGLETRANSLATE(F134, ""en"", ""hi""))"),"500 ग्राम हरी बीन्स, 2 प्याज़ - कटे हुए, 1 बड़ा चम्मच धनिया के बीज, 1/2 छोटा चम्मच जीरा, 4 सूखी लाल मिर्च, 2 ब्यादगी लाल मिर्च, 1 कप नारियल - कसा हुआ, 2 बड़े चम्मच सूखा नारियल, 1 बड़ा चम्मच खसखस, 1 इमली - नींबू के आकार की, 2 बड़े चम्मच गुड़, 1 बड़ा चम्मच "&amp;"हल्दी पाउडर, नमक - स्वादानुसार, 1 छोटा चम्मच राई, 10 करी पत्ते, 1/4 छोटा चम्मच हींग")</f>
        <v>500 ग्राम हरी बीन्स, 2 प्याज़ - कटे हुए, 1 बड़ा चम्मच धनिया के बीज, 1/2 छोटा चम्मच जीरा, 4 सूखी लाल मिर्च, 2 ब्यादगी लाल मिर्च, 1 कप नारियल - कसा हुआ, 2 बड़े चम्मच सूखा नारियल, 1 बड़ा चम्मच खसखस, 1 इमली - नींबू के आकार की, 2 बड़े चम्मच गुड़, 1 बड़ा चम्मच हल्दी पाउडर, नमक - स्वादानुसार, 1 छोटा चम्मच राई, 10 करी पत्ते, 1/4 छोटा चम्मच हींग</v>
      </c>
      <c r="H134" s="1" t="s">
        <v>31541</v>
      </c>
      <c r="I134" s="1" t="str">
        <f ca="1">IFERROR(__xludf.dummyfunction("IF(H134="""", """", GOOGLETRANSLATE(H134, ""en"", ""hi""))"),"बीन्स करम बनाने के लिए सबसे पहले एक पैन में तेल गर्म करें। इसमें धनिया, जीरा, मिर्च, सूखा नारियल, खसखस ​​और नारियल डालें। 1 से 2 मिनट तक पकाएं और फिर निकाल लें। इस मिश्रण को मिक्सर ग्राइंडर में डालें। इसमें इमली, गुड़, 1/2 प्याज और नमक डालकर अच्छे से पीस "&amp;"लें। अब एक सॉस पैन में पानी डालें और बीन्स को नरम होने तक पकाएं। इसके बाद एक पैन में तेल गर्म करें। इसमें राई डालें और 10 सेकंड तक पकाएं। 10 सेकंड बाद इसमें हींग, करी पत्ता, प्याज और नमक डालें। प्याज के नरम होने तक पकाएं। प्याज के नरम होने के बाद इसमें हल"&amp;"्दी पाउडर, बीन्स डालें और 1 मिनट तक पकाएं। अब इसमें पिसा हुआ मसाला डालें, मिलाएँ और 5 मिनट तक पकाएं। 5 मिनट बाद इसमें एक कप पानी डालें और उबलने दें। अच्छे से पकने के बाद इसे गर्मागर्म सर्व करें। बीन्स करम को मिक्स वेजिटेबल सांबर के साथ सर्व कर सकते हैं। ल"&amp;"ंच में चावल और पापड़ के साथ सर्व करें।")</f>
        <v>बीन्स करम बनाने के लिए सबसे पहले एक पैन में तेल गर्म करें। इसमें धनिया, जीरा, मिर्च, सूखा नारियल, खसखस ​​और नारियल डालें। 1 से 2 मिनट तक पकाएं और फिर निकाल लें। इस मिश्रण को मिक्सर ग्राइंडर में डालें। इसमें इमली, गुड़, 1/2 प्याज और नमक डालकर अच्छे से पीस लें। अब एक सॉस पैन में पानी डालें और बीन्स को नरम होने तक पकाएं। इसके बाद एक पैन में तेल गर्म करें। इसमें राई डालें और 10 सेकंड तक पकाएं। 10 सेकंड बाद इसमें हींग, करी पत्ता, प्याज और नमक डालें। प्याज के नरम होने तक पकाएं। प्याज के नरम होने के बाद इसमें हल्दी पाउडर, बीन्स डालें और 1 मिनट तक पकाएं। अब इसमें पिसा हुआ मसाला डालें, मिलाएँ और 5 मिनट तक पकाएं। 5 मिनट बाद इसमें एक कप पानी डालें और उबलने दें। अच्छे से पकने के बाद इसे गर्मागर्म सर्व करें। बीन्स करम को मिक्स वेजिटेबल सांबर के साथ सर्व कर सकते हैं। लंच में चावल और पापड़ के साथ सर्व करें।</v>
      </c>
      <c r="J134" s="3" t="s">
        <v>31542</v>
      </c>
      <c r="L134" s="1" t="s">
        <v>31003</v>
      </c>
    </row>
    <row r="135" spans="1:12" ht="13.8">
      <c r="A135" s="1" t="s">
        <v>31543</v>
      </c>
      <c r="B135" s="1" t="str">
        <f ca="1">IFERROR(__xludf.dummyfunction("IF(A135="""", """", GOOGLETRANSLATE(A135, ""en"", ""hi""))"),"चॉकलेट चीज़ गुझिया रेसिपी")</f>
        <v>चॉकलेट चीज़ गुझिया रेसिपी</v>
      </c>
      <c r="C135" s="1" t="s">
        <v>8417</v>
      </c>
      <c r="D135" s="1" t="s">
        <v>14198</v>
      </c>
      <c r="E135" s="1">
        <v>45</v>
      </c>
      <c r="F135" s="1" t="s">
        <v>31544</v>
      </c>
      <c r="G135" s="1" t="str">
        <f ca="1">IFERROR(__xludf.dummyfunction("IF(F135="""", """", GOOGLETRANSLATE(F135, ""en"", ""hi""))"),"2 कप मैदा, नमक - स्वादानुसार, 2 बड़े चम्मच घी, पानी - आवश्यकतानुसार, 1 कप ब्रिटानिया चीज़ ब्लॉक - कद्दूकस किया हुआ, 1 कप डेसिकेटेड नारियल, 1/2 कप चॉकलेट चिप्स, 1 छोटा चम्मच लाल मिर्च पाउडर, सूरजमुखी तेल - तलने के लिए")</f>
        <v>2 कप मैदा, नमक - स्वादानुसार, 2 बड़े चम्मच घी, पानी - आवश्यकतानुसार, 1 कप ब्रिटानिया चीज़ ब्लॉक - कद्दूकस किया हुआ, 1 कप डेसिकेटेड नारियल, 1/2 कप चॉकलेट चिप्स, 1 छोटा चम्मच लाल मिर्च पाउडर, सूरजमुखी तेल - तलने के लिए</v>
      </c>
      <c r="H135" s="1" t="s">
        <v>31545</v>
      </c>
      <c r="I135" s="1" t="str">
        <f ca="1">IFERROR(__xludf.dummyfunction("IF(H135="""", """", GOOGLETRANSLATE(H135, ""en"", ""hi""))"),"चॉकलेट चीज़ गुझिया रेसिपी बनाने के लिए सबसे पहले हम फिलिंग तैयार करेंगे। एक बड़े मिक्सिंग बाउल में नारियल, चॉकलेट चिप्स, लाल मिर्च पाउडर डालें और अच्छी तरह मिलाएँ। एक तरफ रख दें। अगला कदम गुझिया के लिए पेस्ट्री क्रस्ट के लिए आटा गूंथना है। एक बड़े बाउल मे"&amp;"ं मैदा, घी और नमक डालें। घी को आटे में अपनी उँगलियों से तब तक मिलाएँ जब तक मिश्रण एक मोटे टुकड़े की तरह न हो जाए। जब ​​आप आटे को एक साथ मिलाते हैं तो यह चिपकना चाहिए और जब आप छोड़ते हैं तो यह अलग हो जाना चाहिए। थोड़ा-थोड़ा पानी डालें और चिकना और सख्त आटा "&amp;"गूंथ लें। परफेक्ट गुझिया क्रस्ट के लिए 3 से 4 मिनट तक अच्छी तरह गूंथें। किनारों को हल्का सा दबाकर सील कर दें, ताकि आटा एक दूसरे से चिपक जाए और यह सुनिश्चित कर लें कि सारा भरावन अंदर छिपा रहे। गुझिया तैयार करें और उन्हें एक प्लेट या ट्रे पर सजाएं। गुझिया क"&amp;"ो गीले रुमाल से ढक दें ताकि आटा सूखें नहीं। गुझिया तलने के लिए तेल को पहले से गरम कर लें। यह जांचने का तरीका कि तेल सही गर्मी पर है या नहीं, तेल में थोड़ा आटा डालना है और अगर यह तड़क कर तुरंत ऊपर आ जाता है, तो आप जान लें कि आप चॉकलेट चीज़ गुझिया तलना शुरू"&amp;" कर सकते हैं। एक बार में कुछ गुझिया डालें और मध्यम आँच पर तब तक तलें जब तक कि उनका सुनहरा क्रस्ट न आ जाए। कुछ मिनट तलने के बाद देखें कि उनका सुनहरा क्रस्ट बन गया है - इसे हल्का सा थपथपाएं और अगर वे सख्त और क्रस्टी महसूस हों तो वे बनकर तैयार हैं। अतिरिक्त "&amp;"तेल निकाल दें")</f>
        <v>चॉकलेट चीज़ गुझिया रेसिपी बनाने के लिए सबसे पहले हम फिलिंग तैयार करेंगे। एक बड़े मिक्सिंग बाउल में नारियल, चॉकलेट चिप्स, लाल मिर्च पाउडर डालें और अच्छी तरह मिलाएँ। एक तरफ रख दें। अगला कदम गुझिया के लिए पेस्ट्री क्रस्ट के लिए आटा गूंथना है। एक बड़े बाउल में मैदा, घी और नमक डालें। घी को आटे में अपनी उँगलियों से तब तक मिलाएँ जब तक मिश्रण एक मोटे टुकड़े की तरह न हो जाए। जब ​​आप आटे को एक साथ मिलाते हैं तो यह चिपकना चाहिए और जब आप छोड़ते हैं तो यह अलग हो जाना चाहिए। थोड़ा-थोड़ा पानी डालें और चिकना और सख्त आटा गूंथ लें। परफेक्ट गुझिया क्रस्ट के लिए 3 से 4 मिनट तक अच्छी तरह गूंथें। किनारों को हल्का सा दबाकर सील कर दें, ताकि आटा एक दूसरे से चिपक जाए और यह सुनिश्चित कर लें कि सारा भरावन अंदर छिपा रहे। गुझिया तैयार करें और उन्हें एक प्लेट या ट्रे पर सजाएं। गुझिया को गीले रुमाल से ढक दें ताकि आटा सूखें नहीं। गुझिया तलने के लिए तेल को पहले से गरम कर लें। यह जांचने का तरीका कि तेल सही गर्मी पर है या नहीं, तेल में थोड़ा आटा डालना है और अगर यह तड़क कर तुरंत ऊपर आ जाता है, तो आप जान लें कि आप चॉकलेट चीज़ गुझिया तलना शुरू कर सकते हैं। एक बार में कुछ गुझिया डालें और मध्यम आँच पर तब तक तलें जब तक कि उनका सुनहरा क्रस्ट न आ जाए। कुछ मिनट तलने के बाद देखें कि उनका सुनहरा क्रस्ट बन गया है - इसे हल्का सा थपथपाएं और अगर वे सख्त और क्रस्टी महसूस हों तो वे बनकर तैयार हैं। अतिरिक्त तेल निकाल दें</v>
      </c>
      <c r="J135" s="3" t="s">
        <v>31546</v>
      </c>
      <c r="L135" s="1" t="s">
        <v>31003</v>
      </c>
    </row>
    <row r="136" spans="1:12" ht="13.8">
      <c r="A136" s="1" t="s">
        <v>31547</v>
      </c>
      <c r="B136" s="1" t="str">
        <f ca="1">IFERROR(__xludf.dummyfunction("IF(A136="""", """", GOOGLETRANSLATE(A136, ""en"", ""hi""))"),"आलू मसाला पूरी रेसिपी")</f>
        <v>आलू मसाला पूरी रेसिपी</v>
      </c>
      <c r="C136" s="1" t="s">
        <v>16424</v>
      </c>
      <c r="D136" s="1" t="s">
        <v>14198</v>
      </c>
      <c r="E136" s="1">
        <v>40</v>
      </c>
      <c r="F136" s="1" t="s">
        <v>31548</v>
      </c>
      <c r="G136" s="1" t="str">
        <f ca="1">IFERROR(__xludf.dummyfunction("IF(F136="""", """", GOOGLETRANSLATE(F136, ""en"", ""hi""))"),"1 आलू - उबला और मसला हुआ, 1 कप गेहूं का आटा, 1/4 चम्मच हींग, 1/4 चम्मच अजवाइन, 1/4 चम्मच धनिया पाउडर, 1/4 चम्मच हल्दी पाउडर, 1/4 चम्मच लाल मिर्च पाउडर, 1/4 चम्मच सौंफ, 1/4 चम्मच तिल, 1 बड़ा चम्मच सूरजमुखी तेल, नमक - स्वादानुसार, 1 बड़ा चम्मच धनिया पत्ते -"&amp;" बारीक कटे हुए, सूरजमुखी तेल - तलने के लिए")</f>
        <v>1 आलू - उबला और मसला हुआ, 1 कप गेहूं का आटा, 1/4 चम्मच हींग, 1/4 चम्मच अजवाइन, 1/4 चम्मच धनिया पाउडर, 1/4 चम्मच हल्दी पाउडर, 1/4 चम्मच लाल मिर्च पाउडर, 1/4 चम्मच सौंफ, 1/4 चम्मच तिल, 1 बड़ा चम्मच सूरजमुखी तेल, नमक - स्वादानुसार, 1 बड़ा चम्मच धनिया पत्ते - बारीक कटे हुए, सूरजमुखी तेल - तलने के लिए</v>
      </c>
      <c r="H136" s="1" t="s">
        <v>31549</v>
      </c>
      <c r="I136" s="1" t="str">
        <f ca="1">IFERROR(__xludf.dummyfunction("IF(H136="""", """", GOOGLETRANSLATE(H136, ""en"", ""hi""))"),"आलू मसाला पूरी बनाने के लिए सबसे पहले मैश किए हुए आलू में गेहूं का आटा, लाल मिर्च पाउडर, धनिया पाउडर, हींग, हल्दी पाउडर, अजवायन, सौंफ, तिल, धनिया पत्ता, नमक और तेल डालें। अच्छी तरह मिलाएँ और पानी डालकर आटा गूंथ लें। इसे कुछ मिनट के लिए अलग रख दें। इस आटे "&amp;"की छोटी-छोटी लोइयाँ बनाकर पूरी के आकार में बेल लें। बेलन और चकले पर तेल लगाएँ और सावधानी से पूरी की तरह बेल लें। इन्हें डीप फ्राई पैन में तल लें और यह परोसने के लिए तैयार है। आलू मसाला पूरी को आम का अचार और लौकी रायता के साथ नाश्ते या दोपहर के भोजन में पर"&amp;"ोसें।")</f>
        <v>आलू मसाला पूरी बनाने के लिए सबसे पहले मैश किए हुए आलू में गेहूं का आटा, लाल मिर्च पाउडर, धनिया पाउडर, हींग, हल्दी पाउडर, अजवायन, सौंफ, तिल, धनिया पत्ता, नमक और तेल डालें। अच्छी तरह मिलाएँ और पानी डालकर आटा गूंथ लें। इसे कुछ मिनट के लिए अलग रख दें। इस आटे की छोटी-छोटी लोइयाँ बनाकर पूरी के आकार में बेल लें। बेलन और चकले पर तेल लगाएँ और सावधानी से पूरी की तरह बेल लें। इन्हें डीप फ्राई पैन में तल लें और यह परोसने के लिए तैयार है। आलू मसाला पूरी को आम का अचार और लौकी रायता के साथ नाश्ते या दोपहर के भोजन में परोसें।</v>
      </c>
      <c r="J136" s="3" t="s">
        <v>31550</v>
      </c>
      <c r="L136" s="1" t="s">
        <v>31003</v>
      </c>
    </row>
    <row r="137" spans="1:12" ht="13.8">
      <c r="A137" s="1" t="s">
        <v>31551</v>
      </c>
      <c r="B137" s="1" t="str">
        <f ca="1">IFERROR(__xludf.dummyfunction("IF(A137="""", """", GOOGLETRANSLATE(A137, ""en"", ""hi""))"),"बेक्ड पनीर कॉर्न कबाब रेसिपी")</f>
        <v>बेक्ड पनीर कॉर्न कबाब रेसिपी</v>
      </c>
      <c r="C137" s="1" t="s">
        <v>14281</v>
      </c>
      <c r="D137" s="1" t="s">
        <v>14198</v>
      </c>
      <c r="E137" s="1">
        <v>55</v>
      </c>
      <c r="F137" s="1" t="s">
        <v>31552</v>
      </c>
      <c r="G137" s="1" t="str">
        <f ca="1">IFERROR(__xludf.dummyfunction("IF(F137="""", """", GOOGLETRANSLATE(F137, ""en"", ""hi""))"),"200 ग्राम पनीर, 1/2 कप सूखे मकई के दाने - उबले हुए, 2 हरी मिर्च - बारीक कटी हुई, 1 चम्मच चाट मसाला पाउडर, 4 टहनी धनिया (धनिया) के पत्ते - बारीक कटे हुए, 2 बड़े चम्मच किशमिश, 1 बड़ा चम्मच काजू, 1/4 कप पूरे गेहूं की रोटी के टुकड़े, 1/4 चम्मच हल्दी पाउडर (हल"&amp;"्दी), 1/4 चम्मच लाल मिर्च पाउडर, 2 चम्मच कसूरी मेथी (सूखी मेथी के पत्ते) - या सूखे मेथी के पत्ते, नमक - स्वादानुसार, सूरजमुखी का तेल - ब्रश करने के लिए")</f>
        <v>200 ग्राम पनीर, 1/2 कप सूखे मकई के दाने - उबले हुए, 2 हरी मिर्च - बारीक कटी हुई, 1 चम्मच चाट मसाला पाउडर, 4 टहनी धनिया (धनिया) के पत्ते - बारीक कटे हुए, 2 बड़े चम्मच किशमिश, 1 बड़ा चम्मच काजू, 1/4 कप पूरे गेहूं की रोटी के टुकड़े, 1/4 चम्मच हल्दी पाउडर (हल्दी), 1/4 चम्मच लाल मिर्च पाउडर, 2 चम्मच कसूरी मेथी (सूखी मेथी के पत्ते) - या सूखे मेथी के पत्ते, नमक - स्वादानुसार, सूरजमुखी का तेल - ब्रश करने के लिए</v>
      </c>
      <c r="H137" s="1" t="s">
        <v>31553</v>
      </c>
      <c r="I137" s="1" t="str">
        <f ca="1">IFERROR(__xludf.dummyfunction("IF(H137="""", """", GOOGLETRANSLATE(H137, ""en"", ""hi""))"),"बेक्ड पनीर कॉर्न कबाब रेसिपी बनाने के लिए सबसे पहले मकई के दानों को मिक्सर ग्राइंडर में डालकर दरदरा पीस लें। यह पेस्ट नहीं होना चाहिए। एक बाउल में क्रम्बल किया हुआ पनीर और स्टीम्ड स्वीट कॉर्न के दाने और तेल और काजू को छोड़कर बाकी सारी सामग्री डालें। अच्छी"&amp;" तरह मैश करके आटा जैसा मिश्रण बना लें। आपको इन्हें कबाब का आकार देने में सक्षम होना चाहिए। अपनी उंगलियों और हथेलियों पर तेल लगाएं और थोड़ा सा हिस्सा हथेलियों पर लें और पनीर कॉर्न कबाब मिश्रण से पैटी बनाएं। पनीर कॉर्न कबाब के ऊपर आधा काजू का टुकड़ा रखें और"&amp;" थोड़ा दबाएं। ओवन को 180 डिग्री सेल्सियस पर प्रीहीट करें। पनीर कॉर्न कबाब को पार्चमेंट पेपर या एल्युमिनियम फॉयल से ढकी बेकिंग शीट पर रखें उन्हें क्लिंग रैप में लपेटें और 25-30 मिनट के लिए फ्रिज में रख दें जब तक कि वे सख्त न हो जाएं। पनीर कॉर्न कबाब को सें"&amp;"टर रैक में 25-30 मिनट तक बेक करें जब तक कि क्रस्ट सुनहरा भूरा न हो जाए। एक बार हो जाने पर, ओवन से निकालें और परोसें। बेक्ड पनीर कॉर्न कबाब को धनिया पुदीना चटनी और मसाला चाय के साथ दोस्तों और परिवार के साथ एक पौष्टिक चाय के समय नाश्ते के रूप में परोसें।")</f>
        <v>बेक्ड पनीर कॉर्न कबाब रेसिपी बनाने के लिए सबसे पहले मकई के दानों को मिक्सर ग्राइंडर में डालकर दरदरा पीस लें। यह पेस्ट नहीं होना चाहिए। एक बाउल में क्रम्बल किया हुआ पनीर और स्टीम्ड स्वीट कॉर्न के दाने और तेल और काजू को छोड़कर बाकी सारी सामग्री डालें। अच्छी तरह मैश करके आटा जैसा मिश्रण बना लें। आपको इन्हें कबाब का आकार देने में सक्षम होना चाहिए। अपनी उंगलियों और हथेलियों पर तेल लगाएं और थोड़ा सा हिस्सा हथेलियों पर लें और पनीर कॉर्न कबाब मिश्रण से पैटी बनाएं। पनीर कॉर्न कबाब के ऊपर आधा काजू का टुकड़ा रखें और थोड़ा दबाएं। ओवन को 180 डिग्री सेल्सियस पर प्रीहीट करें। पनीर कॉर्न कबाब को पार्चमेंट पेपर या एल्युमिनियम फॉयल से ढकी बेकिंग शीट पर रखें उन्हें क्लिंग रैप में लपेटें और 25-30 मिनट के लिए फ्रिज में रख दें जब तक कि वे सख्त न हो जाएं। पनीर कॉर्न कबाब को सेंटर रैक में 25-30 मिनट तक बेक करें जब तक कि क्रस्ट सुनहरा भूरा न हो जाए। एक बार हो जाने पर, ओवन से निकालें और परोसें। बेक्ड पनीर कॉर्न कबाब को धनिया पुदीना चटनी और मसाला चाय के साथ दोस्तों और परिवार के साथ एक पौष्टिक चाय के समय नाश्ते के रूप में परोसें।</v>
      </c>
      <c r="J137" s="3" t="s">
        <v>31554</v>
      </c>
      <c r="L137" s="1" t="s">
        <v>31003</v>
      </c>
    </row>
    <row r="138" spans="1:12" ht="13.8">
      <c r="A138" s="1" t="s">
        <v>1515</v>
      </c>
      <c r="B138" s="1" t="str">
        <f ca="1">IFERROR(__xludf.dummyfunction("IF(A138="""", """", GOOGLETRANSLATE(A138, ""en"", ""hi""))"),"मशरूम करी")</f>
        <v>मशरूम करी</v>
      </c>
      <c r="C138" s="1" t="s">
        <v>429</v>
      </c>
      <c r="D138" s="1" t="s">
        <v>14198</v>
      </c>
      <c r="E138" s="1">
        <v>45</v>
      </c>
      <c r="F138" s="1" t="s">
        <v>31555</v>
      </c>
      <c r="G138" s="1" t="str">
        <f ca="1">IFERROR(__xludf.dummyfunction("IF(F138="""", """", GOOGLETRANSLATE(F138, ""en"", ""hi""))"),"200 ग्राम बटन मशरूम - कटा हुआ, 2 प्याज - बारीक कटा हुआ, 2 टमाटर - बारीक कटा हुआ, 2 लहसुन - कसा हुआ, 15 काजू, 1/2 इंच अदरक - कसा हुआ, 1/2 छोटा चम्मच लाल मिर्च पाउडर, 1/4 छोटा चम्मच गरम मसाला पाउडर, 1 बड़ा चम्मच तेल, हरा धनिया - बारीक कटा हुआ, पानी - आवश्यक"&amp;"तानुसार, नमक - स्वादानुसार")</f>
        <v>200 ग्राम बटन मशरूम - कटा हुआ, 2 प्याज - बारीक कटा हुआ, 2 टमाटर - बारीक कटा हुआ, 2 लहसुन - कसा हुआ, 15 काजू, 1/2 इंच अदरक - कसा हुआ, 1/2 छोटा चम्मच लाल मिर्च पाउडर, 1/4 छोटा चम्मच गरम मसाला पाउडर, 1 बड़ा चम्मच तेल, हरा धनिया - बारीक कटा हुआ, पानी - आवश्यकतानुसार, नमक - स्वादानुसार</v>
      </c>
      <c r="H138" s="1" t="s">
        <v>31556</v>
      </c>
      <c r="I138" s="1" t="str">
        <f ca="1">IFERROR(__xludf.dummyfunction("IF(H138="""", """", GOOGLETRANSLATE(H138, ""en"", ""hi""))"),"मशरूम करी बनाने के लिए सबसे पहले काजू को 5 से 10 मिनट के लिए गर्म पानी में भिगो दें। काजू का पेस्ट बनाकर अलग रख दें। अब एक पैन में तेल गर्म करें। इसमें मशरूम डालकर 3 मिनट तक पकाएं। मशरूम को अलग रख दें। अब पैन में थोड़ा और तेल डालें। इसमें प्याज डालें और भ"&amp;"ूरा होने तक पकाएं। भूरा होने के बाद इसमें अदरक, लहसुन डालें और 2 मिनट तक पकाएं। 2 मिनट बाद टमाटर और लाल मिर्च पाउडर डालें। टमाटर के नरम होने तक पकाएं। नमक डालकर मिला लें। इसके बाद काजू का पेस्ट डालें और 2 से 3 मिनट तक पकाएं। थोड़ा पानी डालकर 3 मिनट तक पका"&amp;"एं। इसमें पके हुए मशरूम और गरम मसाला डालें। 1 से 2 मिनट तक पकाएं। धनिया पत्ती से गार्निश करें और गर्मागर्म सर्व करें। मशरूम करी को बूंदी रायता, तवा पराठा और कचुम्बर सलाद के साथ लंच में सर्व करें। इसे 24 घंटे तक सर्व करें।")</f>
        <v>मशरूम करी बनाने के लिए सबसे पहले काजू को 5 से 10 मिनट के लिए गर्म पानी में भिगो दें। काजू का पेस्ट बनाकर अलग रख दें। अब एक पैन में तेल गर्म करें। इसमें मशरूम डालकर 3 मिनट तक पकाएं। मशरूम को अलग रख दें। अब पैन में थोड़ा और तेल डालें। इसमें प्याज डालें और भूरा होने तक पकाएं। भूरा होने के बाद इसमें अदरक, लहसुन डालें और 2 मिनट तक पकाएं। 2 मिनट बाद टमाटर और लाल मिर्च पाउडर डालें। टमाटर के नरम होने तक पकाएं। नमक डालकर मिला लें। इसके बाद काजू का पेस्ट डालें और 2 से 3 मिनट तक पकाएं। थोड़ा पानी डालकर 3 मिनट तक पकाएं। इसमें पके हुए मशरूम और गरम मसाला डालें। 1 से 2 मिनट तक पकाएं। धनिया पत्ती से गार्निश करें और गर्मागर्म सर्व करें। मशरूम करी को बूंदी रायता, तवा पराठा और कचुम्बर सलाद के साथ लंच में सर्व करें। इसे 24 घंटे तक सर्व करें।</v>
      </c>
      <c r="J138" s="3" t="s">
        <v>31557</v>
      </c>
      <c r="L138" s="1" t="s">
        <v>31003</v>
      </c>
    </row>
    <row r="139" spans="1:12" ht="13.8">
      <c r="A139" s="1" t="s">
        <v>31558</v>
      </c>
      <c r="B139" s="1" t="str">
        <f ca="1">IFERROR(__xludf.dummyfunction("IF(A139="""", """", GOOGLETRANSLATE(A139, ""en"", ""hi""))"),"अंकुरित मूंग दाल रेसिपी - मसालेदार अंकुरित दाल करी")</f>
        <v>अंकुरित मूंग दाल रेसिपी - मसालेदार अंकुरित दाल करी</v>
      </c>
      <c r="C139" s="1" t="s">
        <v>145</v>
      </c>
      <c r="D139" s="1" t="s">
        <v>14237</v>
      </c>
      <c r="E139" s="1">
        <v>25</v>
      </c>
      <c r="F139" s="1" t="s">
        <v>31559</v>
      </c>
      <c r="G139" s="1" t="str">
        <f ca="1">IFERROR(__xludf.dummyfunction("IF(F139="""", """", GOOGLETRANSLATE(F139, ""en"", ""hi""))"),"2 कप हरे मूंग अंकुरित, 1 प्याज - बारीक कटा हुआ, 3 लहसुन के दाने - कुचला हुआ, 1 बड़ा चम्मच घी - या तेल, 1 चम्मच सरसों के बीज, 1 चम्मच जीरा (जीरा), 1/4 चम्मच हल्दी पाउडर (हल्दी), 1/4 चम्मच हींग (हिंग), 1/4 चम्मच महाराष्ट्रीयन गोडा मसाला, 1/4 चम्मच लाल मिर्च"&amp;" पाउडर, 2 कोकम (मालाबार इमली), 1/2 चम्मच गुड़ - कसा हुआ, 2 चम्मच मूंगफली पाउडर, 2 कप पानी - या आवश्यकतानुसार, नमक - स्वादानुसार, धनिया (धनिया) पत्तियां - कटी हुई")</f>
        <v>2 कप हरे मूंग अंकुरित, 1 प्याज - बारीक कटा हुआ, 3 लहसुन के दाने - कुचला हुआ, 1 बड़ा चम्मच घी - या तेल, 1 चम्मच सरसों के बीज, 1 चम्मच जीरा (जीरा), 1/4 चम्मच हल्दी पाउडर (हल्दी), 1/4 चम्मच हींग (हिंग), 1/4 चम्मच महाराष्ट्रीयन गोडा मसाला, 1/4 चम्मच लाल मिर्च पाउडर, 2 कोकम (मालाबार इमली), 1/2 चम्मच गुड़ - कसा हुआ, 2 चम्मच मूंगफली पाउडर, 2 कप पानी - या आवश्यकतानुसार, नमक - स्वादानुसार, धनिया (धनिया) पत्तियां - कटी हुई</v>
      </c>
      <c r="H139" s="1" t="s">
        <v>31560</v>
      </c>
      <c r="I139" s="1" t="str">
        <f ca="1">IFERROR(__xludf.dummyfunction("IF(H139="""", """", GOOGLETRANSLATE(H139, ""en"", ""hi""))"),"अंकुरित मूंग दाल रेसिपी बनाने के लिए सबसे पहले एक प्रेशर कुकर में घी/तेल गर्म करें। इसमें राई और जीरा डालें और जब वे चटकने लगें तो इसमें प्याज, लहसुन, हींग डालें और इसे 1-2 मिनट तक या प्याज के पारदर्शी होने तक भूनें। 1-2 मिनट के बाद, हल्दी पाउडर, मूंग अंक"&amp;"ुरित डालें और इसे लगभग एक मिनट तक भूनें। इसके बाद मसाला, मिर्च पाउडर डालें और अच्छी तरह मिलाएँ। पानी डालें और फिर कोकम, गुड़, नमक, मूंगफली पाउडर डालें और अच्छी तरह मिलाएँ। इसे ढक्कन से ढक दें और इसे तब तक पकाएं जब तक कुकर में 1 सीटी न आ जाए या जब तक अंकुर"&amp;"ित अच्छी तरह से पक न जाए। यदि आवश्यक हो तो पानी की स्थिरता को समायोजित करें। अंकुरित मूंग दाल पक जाने के बाद, ताजे धनिया पत्ती से गार्निश करें और गर्मागर्म परोसें")</f>
        <v>अंकुरित मूंग दाल रेसिपी बनाने के लिए सबसे पहले एक प्रेशर कुकर में घी/तेल गर्म करें। इसमें राई और जीरा डालें और जब वे चटकने लगें तो इसमें प्याज, लहसुन, हींग डालें और इसे 1-2 मिनट तक या प्याज के पारदर्शी होने तक भूनें। 1-2 मिनट के बाद, हल्दी पाउडर, मूंग अंकुरित डालें और इसे लगभग एक मिनट तक भूनें। इसके बाद मसाला, मिर्च पाउडर डालें और अच्छी तरह मिलाएँ। पानी डालें और फिर कोकम, गुड़, नमक, मूंगफली पाउडर डालें और अच्छी तरह मिलाएँ। इसे ढक्कन से ढक दें और इसे तब तक पकाएं जब तक कुकर में 1 सीटी न आ जाए या जब तक अंकुरित अच्छी तरह से पक न जाए। यदि आवश्यक हो तो पानी की स्थिरता को समायोजित करें। अंकुरित मूंग दाल पक जाने के बाद, ताजे धनिया पत्ती से गार्निश करें और गर्मागर्म परोसें</v>
      </c>
      <c r="J139" s="3" t="s">
        <v>31561</v>
      </c>
      <c r="L139" s="1" t="s">
        <v>31003</v>
      </c>
    </row>
    <row r="140" spans="1:12" ht="13.8">
      <c r="A140" s="1" t="s">
        <v>31562</v>
      </c>
      <c r="B140" s="1" t="str">
        <f ca="1">IFERROR(__xludf.dummyfunction("IF(A140="""", """", GOOGLETRANSLATE(A140, ""en"", ""hi""))"),"साबुत गेहूं पालक और टोफू पराठा रेसिपी")</f>
        <v>साबुत गेहूं पालक और टोफू पराठा रेसिपी</v>
      </c>
      <c r="C140" s="1" t="s">
        <v>15760</v>
      </c>
      <c r="D140" s="1" t="s">
        <v>14338</v>
      </c>
      <c r="E140" s="1">
        <v>50</v>
      </c>
      <c r="F140" s="1" t="s">
        <v>31563</v>
      </c>
      <c r="G140" s="1" t="str">
        <f ca="1">IFERROR(__xludf.dummyfunction("IF(F140="""", """", GOOGLETRANSLATE(F140, ""en"", ""hi""))"),"3-1/2 कप गेहूं का आटा, 1-1/2 कप पालक के पत्ते (पालक) - प्यूरी किए हुए, 200 ग्राम टोफू - कसा हुआ, 1/2 कप दही (दही), 1 चम्मच कसूरी मेथी (सूखी मेथी के पत्ते), 3 बड़े चम्मच डिल के पत्ते - बारीक कटे हुए, 1/2 चम्मच लाल मिर्च पाउडर, 1 चम्मच जीरा पाउडर (जीरा) - ("&amp;"भुना और पीसा हुआ), 1 चम्मच हरी मिर्च का पेस्ट, 1 चम्मच अजवाइन (कैरम के बीज), 3 बड़े चम्मच तिल (तिल के बीज), 1/2 चम्मच गरम मसाला पाउडर, 1/2 नींबू - रस निकाला, सूरजमुखी का तेल - फैलाने के लिए, नमक - स्वादानुसार")</f>
        <v>3-1/2 कप गेहूं का आटा, 1-1/2 कप पालक के पत्ते (पालक) - प्यूरी किए हुए, 200 ग्राम टोफू - कसा हुआ, 1/2 कप दही (दही), 1 चम्मच कसूरी मेथी (सूखी मेथी के पत्ते), 3 बड़े चम्मच डिल के पत्ते - बारीक कटे हुए, 1/2 चम्मच लाल मिर्च पाउडर, 1 चम्मच जीरा पाउडर (जीरा) - (भुना और पीसा हुआ), 1 चम्मच हरी मिर्च का पेस्ट, 1 चम्मच अजवाइन (कैरम के बीज), 3 बड़े चम्मच तिल (तिल के बीज), 1/2 चम्मच गरम मसाला पाउडर, 1/2 नींबू - रस निकाला, सूरजमुखी का तेल - फैलाने के लिए, नमक - स्वादानुसार</v>
      </c>
      <c r="H140" s="1" t="s">
        <v>31564</v>
      </c>
      <c r="I140" s="1" t="str">
        <f ca="1">IFERROR(__xludf.dummyfunction("IF(H140="""", """", GOOGLETRANSLATE(H140, ""en"", ""hi""))"),"गेहूं पालक और टोफू पराठा रेसिपी बनाने के लिए सबसे पहले एक बड़े कटोरे में आटे को तेल/घी और बताई गई सभी अन्य सामग्री के साथ मिला लें। आटा गूंथना शुरू करें, थोड़ा पानी (यदि आवश्यक हो) डालें और आटे को तब तक गूंथते रहें जब तक यह एक नरम, लचीला आटा न बन जाए। आटे"&amp;" को गीले कपड़े से ढककर 15 मिनट के लिए अलग रख दें। 15 मिनट के बाद, आटे को 14 से 15 बराबर आकार की गेंदों में विभाजित करें, जो आपके द्वारा बनाए जाने वाले पराठे के आकार पर निर्भर करता है। एक गेंद लें, इसे आटे से धूल दें और इसे अपनी पसंद की मोटाई और आकार की डि"&amp;"स्क में बेल लें। बेले हुए पराठे को गर्म तवे पर रखें और इसे तब तक पकने दें जब तक कि नीचे की तरफ हल्के भूरे रंग के धब्बे न दिखाई दें और ऊपर बुलबुले न दिखाई दें। तेल/घी से ब्रश करें और पलटें और दूसरी तरफ भी पकाएं। अब दूसरी तरफ तेल/घी से ब्रश करें और फिर से प"&amp;"लटें, ताकि यह सुनिश्चित हो सके कि दोनों तरफ समान रूप से भूरा हो गया है। आटे के बाकी हिस्सों के साथ दोहराएं और नाश्ते के लिए दही और अचार के कटोरे के साथ गरमागरम परोसें, या इसे अपने लंच बॉक्स में पैक करें या इसे सप्ताह के रात के खाने के लिए भी परोसें।")</f>
        <v>गेहूं पालक और टोफू पराठा रेसिपी बनाने के लिए सबसे पहले एक बड़े कटोरे में आटे को तेल/घी और बताई गई सभी अन्य सामग्री के साथ मिला लें। आटा गूंथना शुरू करें, थोड़ा पानी (यदि आवश्यक हो) डालें और आटे को तब तक गूंथते रहें जब तक यह एक नरम, लचीला आटा न बन जाए। आटे को गीले कपड़े से ढककर 15 मिनट के लिए अलग रख दें। 15 मिनट के बाद, आटे को 14 से 15 बराबर आकार की गेंदों में विभाजित करें, जो आपके द्वारा बनाए जाने वाले पराठे के आकार पर निर्भर करता है। एक गेंद लें, इसे आटे से धूल दें और इसे अपनी पसंद की मोटाई और आकार की डिस्क में बेल लें। बेले हुए पराठे को गर्म तवे पर रखें और इसे तब तक पकने दें जब तक कि नीचे की तरफ हल्के भूरे रंग के धब्बे न दिखाई दें और ऊपर बुलबुले न दिखाई दें। तेल/घी से ब्रश करें और पलटें और दूसरी तरफ भी पकाएं। अब दूसरी तरफ तेल/घी से ब्रश करें और फिर से पलटें, ताकि यह सुनिश्चित हो सके कि दोनों तरफ समान रूप से भूरा हो गया है। आटे के बाकी हिस्सों के साथ दोहराएं और नाश्ते के लिए दही और अचार के कटोरे के साथ गरमागरम परोसें, या इसे अपने लंच बॉक्स में पैक करें या इसे सप्ताह के रात के खाने के लिए भी परोसें।</v>
      </c>
      <c r="J140" s="3" t="s">
        <v>31565</v>
      </c>
      <c r="L140" s="1" t="s">
        <v>31003</v>
      </c>
    </row>
    <row r="141" spans="1:12" ht="13.8">
      <c r="A141" s="1" t="s">
        <v>31566</v>
      </c>
      <c r="B141" s="1" t="str">
        <f ca="1">IFERROR(__xludf.dummyfunction("IF(A141="""", """", GOOGLETRANSLATE(A141, ""en"", ""hi""))"),"मूली भुर्जी रेसिपी")</f>
        <v>मूली भुर्जी रेसिपी</v>
      </c>
      <c r="C141" s="1" t="s">
        <v>429</v>
      </c>
      <c r="D141" s="1" t="s">
        <v>14198</v>
      </c>
      <c r="E141" s="1">
        <v>35</v>
      </c>
      <c r="F141" s="1" t="s">
        <v>31567</v>
      </c>
      <c r="G141" s="1" t="str">
        <f ca="1">IFERROR(__xludf.dummyfunction("IF(F141="""", """", GOOGLETRANSLATE(F141, ""en"", ""hi""))"),"1 कप मूली- कटी हुई, 3 कप मूली के पत्ते- कटे हुए, 4 हरी मिर्च, 2 बड़े चम्मच सरसों का तेल, 1 छोटा चम्मच राई, 3/4 छोटा चम्मच अजवाइन, 1/4 छोटा चम्मच हींग, 1/2 छोटा चम्मच हल्दी पाउडर, 1/2 छोटा चम्मच अमचूर, नमक- स्वादानुसार")</f>
        <v>1 कप मूली- कटी हुई, 3 कप मूली के पत्ते- कटे हुए, 4 हरी मिर्च, 2 बड़े चम्मच सरसों का तेल, 1 छोटा चम्मच राई, 3/4 छोटा चम्मच अजवाइन, 1/4 छोटा चम्मच हींग, 1/2 छोटा चम्मच हल्दी पाउडर, 1/2 छोटा चम्मच अमचूर, नमक- स्वादानुसार</v>
      </c>
      <c r="H141" s="1" t="s">
        <v>31568</v>
      </c>
      <c r="I141" s="1" t="str">
        <f ca="1">IFERROR(__xludf.dummyfunction("IF(H141="""", """", GOOGLETRANSLATE(H141, ""en"", ""hi""))"),"""मूली भुर्जी रेसिपी बनाने के लिए सबसे पहले मूली और उसके पत्तों को अच्छे से धोकर काट लें। एक पैन में तेल गर्म करें। उसमें राई डालकर चटकाएं। अब उसमें अजवाइन, हींग, हल्दी पाउडर, हरी मिर्च डालकर अच्छे से पकाएं। इसके बाद मूली और मूली के पत्ते डालकर अच्छे से म"&amp;"िलाएं। स्वादानुसार नमक डालें और तब तक पकाएं जब तक पत्ते पानी न छोड़ दें। अब पैन को ढक दें और तब तक पकाएं जब तक पानी सूख न जाए। इसमें अमचूर पाउडर डालकर मिलाएं और सर्व करें। मूली भुर्जी रेसिपी को पालक दाल, बूंदी रायता और फुल्के के साथ लंच में सर्व करें।""")</f>
        <v>"मूली भुर्जी रेसिपी बनाने के लिए सबसे पहले मूली और उसके पत्तों को अच्छे से धोकर काट लें। एक पैन में तेल गर्म करें। उसमें राई डालकर चटकाएं। अब उसमें अजवाइन, हींग, हल्दी पाउडर, हरी मिर्च डालकर अच्छे से पकाएं। इसके बाद मूली और मूली के पत्ते डालकर अच्छे से मिलाएं। स्वादानुसार नमक डालें और तब तक पकाएं जब तक पत्ते पानी न छोड़ दें। अब पैन को ढक दें और तब तक पकाएं जब तक पानी सूख न जाए। इसमें अमचूर पाउडर डालकर मिलाएं और सर्व करें। मूली भुर्जी रेसिपी को पालक दाल, बूंदी रायता और फुल्के के साथ लंच में सर्व करें।"</v>
      </c>
      <c r="J141" s="3" t="s">
        <v>31569</v>
      </c>
      <c r="L141" s="1" t="s">
        <v>31003</v>
      </c>
    </row>
    <row r="142" spans="1:12" ht="13.8">
      <c r="A142" s="1" t="s">
        <v>31570</v>
      </c>
      <c r="B142" s="1" t="str">
        <f ca="1">IFERROR(__xludf.dummyfunction("IF(A142="""", """", GOOGLETRANSLATE(A142, ""en"", ""hi""))"),"सब्जी दाल पकोड़ा रेसिपी - दाल भजिया")</f>
        <v>सब्जी दाल पकोड़ा रेसिपी - दाल भजिया</v>
      </c>
      <c r="C142" s="1" t="s">
        <v>14281</v>
      </c>
      <c r="D142" s="1" t="s">
        <v>14237</v>
      </c>
      <c r="E142" s="1">
        <v>50</v>
      </c>
      <c r="F142" s="1" t="s">
        <v>31571</v>
      </c>
      <c r="G142" s="1" t="str">
        <f ca="1">IFERROR(__xludf.dummyfunction("IF(F142="""", """", GOOGLETRANSLATE(F142, ""en"", ""hi""))"),"1/2 कप चना दाल - रातभर भिगोई हुई, 1/2 कप पीली मूंग दाल - रातभर भिगोई हुई, 1 गाजर - कद्दूकस की हुई, 1 प्याज - बारीक कटा हुआ, 2 हरी मिर्च - बारीक कटी हुई, 2 इंच अदरक - बारीक कटा हुआ, 1/2 चम्मच इनोस फ्रूट साल्ट, 1/2 चम्मच लाल मिर्च पाउडर, 1/2 चम्मच हल्दी पाउ"&amp;"डर, 1 बड़ा चम्मच सौंफ, धनिया पत्ती - छोटा गुच्छा, नमक - स्वादानुसार, सूरजमुखी तेल - तलने के लिए")</f>
        <v>1/2 कप चना दाल - रातभर भिगोई हुई, 1/2 कप पीली मूंग दाल - रातभर भिगोई हुई, 1 गाजर - कद्दूकस की हुई, 1 प्याज - बारीक कटा हुआ, 2 हरी मिर्च - बारीक कटी हुई, 2 इंच अदरक - बारीक कटा हुआ, 1/2 चम्मच इनोस फ्रूट साल्ट, 1/2 चम्मच लाल मिर्च पाउडर, 1/2 चम्मच हल्दी पाउडर, 1 बड़ा चम्मच सौंफ, धनिया पत्ती - छोटा गुच्छा, नमक - स्वादानुसार, सूरजमुखी तेल - तलने के लिए</v>
      </c>
      <c r="H142" s="1" t="s">
        <v>31572</v>
      </c>
      <c r="I142" s="1" t="str">
        <f ca="1">IFERROR(__xludf.dummyfunction("IF(H142="""", """", GOOGLETRANSLATE(H142, ""en"", ""hi""))"),"वेजिटेबल दाल पकौड़ा बनाने के लिए सबसे पहले एक पहले से गरम किए हुए पैन में सौंफ को खुशबू आने तक भून लें। पैन से निकालें और ठंडा होने दें। सौंफ के ठंडे हो जाने पर इन्हें ओखल और मूसल में दरदरा पीस लें और एक तरफ रख दें। भीगी हुई दाल को मिक्सर ग्राइंडर में डाल"&amp;"ें। थोड़ा सा पानी डालें और दरदरा घोल बनाने के लिए पीस लें। दाल पकौड़ा घोल को मिक्सिंग बाउल में डालें और बाकी सामग्री जैसे हरी मिर्च, अदरक, गाजर, प्याज, इनोस फ्रूट सॉल्ट, लाल मिर्च पाउडर, हल्दी पाउडर, सौंफ और स्वादानुसार नमक डालें। नमक और मसाले की मात्रा ज"&amp;"ाँच लें और अपने स्वादानुसार समायोजित करें। *पकौड़े तलने की विधिकुझी पनियारम पैन को पहले से गरम करें, प्रत्येक गड्ढे में लगभग एक चम्मच तेल डालें जब आपको लगे कि पकौड़े का ऊपरी हिस्सा पक गया है, तो उसे पलट दें और थोड़ा और तेल डालें और मध्यम आँच पर उन्हें तब "&amp;"तक तलें जब तक कि वे सभी तरफ से भूरे न हो जाएँ और अंदर से भी पक न जाएँ। जब पकौड़े पक जाएँ तो उन्हें तेल सोखने वाले कागज़ से ढकी प्लेट में निकाल लें और गरमागरम परोसें। बचे हुए पकौड़े के घोल के साथ भी यही प्रक्रिया अपनाएँ। सब्जी दाल पकौड़े को धनिया पुदीना चट"&amp;"नी के साथ चाय के समय नाश्ते के तौर पर एक कप गर्म अदरक चाय के साथ परोसें।")</f>
        <v>वेजिटेबल दाल पकौड़ा बनाने के लिए सबसे पहले एक पहले से गरम किए हुए पैन में सौंफ को खुशबू आने तक भून लें। पैन से निकालें और ठंडा होने दें। सौंफ के ठंडे हो जाने पर इन्हें ओखल और मूसल में दरदरा पीस लें और एक तरफ रख दें। भीगी हुई दाल को मिक्सर ग्राइंडर में डालें। थोड़ा सा पानी डालें और दरदरा घोल बनाने के लिए पीस लें। दाल पकौड़ा घोल को मिक्सिंग बाउल में डालें और बाकी सामग्री जैसे हरी मिर्च, अदरक, गाजर, प्याज, इनोस फ्रूट सॉल्ट, लाल मिर्च पाउडर, हल्दी पाउडर, सौंफ और स्वादानुसार नमक डालें। नमक और मसाले की मात्रा जाँच लें और अपने स्वादानुसार समायोजित करें। *पकौड़े तलने की विधिकुझी पनियारम पैन को पहले से गरम करें, प्रत्येक गड्ढे में लगभग एक चम्मच तेल डालें जब आपको लगे कि पकौड़े का ऊपरी हिस्सा पक गया है, तो उसे पलट दें और थोड़ा और तेल डालें और मध्यम आँच पर उन्हें तब तक तलें जब तक कि वे सभी तरफ से भूरे न हो जाएँ और अंदर से भी पक न जाएँ। जब पकौड़े पक जाएँ तो उन्हें तेल सोखने वाले कागज़ से ढकी प्लेट में निकाल लें और गरमागरम परोसें। बचे हुए पकौड़े के घोल के साथ भी यही प्रक्रिया अपनाएँ। सब्जी दाल पकौड़े को धनिया पुदीना चटनी के साथ चाय के समय नाश्ते के तौर पर एक कप गर्म अदरक चाय के साथ परोसें।</v>
      </c>
      <c r="J142" s="3" t="s">
        <v>31573</v>
      </c>
      <c r="L142" s="1" t="s">
        <v>31003</v>
      </c>
    </row>
    <row r="143" spans="1:12" ht="13.8">
      <c r="A143" s="1" t="s">
        <v>31574</v>
      </c>
      <c r="B143" s="1" t="str">
        <f ca="1">IFERROR(__xludf.dummyfunction("IF(A143="""", """", GOOGLETRANSLATE(A143, ""en"", ""hi""))"),"भेल पूरी रेसिपी")</f>
        <v>भेल पूरी रेसिपी</v>
      </c>
      <c r="C143" s="1" t="s">
        <v>14281</v>
      </c>
      <c r="D143" s="1" t="s">
        <v>14198</v>
      </c>
      <c r="E143" s="1">
        <v>40</v>
      </c>
      <c r="F143" s="1" t="s">
        <v>31575</v>
      </c>
      <c r="G143" s="1" t="str">
        <f ca="1">IFERROR(__xludf.dummyfunction("IF(F143="""", """", GOOGLETRANSLATE(F143, ""en"", ""hi""))"),"4 कप मुरमुरे, 100 ग्राम सेव, 100 ग्राम पापड़ी पूरी, 2 प्याज - बारीक कटे हुए, 2 टमाटर - बारीक कटे हुए, 2 हरी मिर्च - बारीक कटी हुई, 1 खीरा - छिला हुआ और बारीक कटा हुआ, 1 आलू - उबला हुआ, 1/4 कप अनार पाउडर, 1/4 कप कच्चा आम - बारीक कटा हुआ, 4 बड़े चम्मच मूंगफ"&amp;"ली - भूनी और कुटी हुई, 4 बड़े चम्मच हरी चटनी, 4 बड़े चम्मच इमली की चटनी, 1 बड़ा चम्मच चाट मसाला पाउडर, नमक - स्वादानुसार, 2 धनिया - कटा हुआ")</f>
        <v>4 कप मुरमुरे, 100 ग्राम सेव, 100 ग्राम पापड़ी पूरी, 2 प्याज - बारीक कटे हुए, 2 टमाटर - बारीक कटे हुए, 2 हरी मिर्च - बारीक कटी हुई, 1 खीरा - छिला हुआ और बारीक कटा हुआ, 1 आलू - उबला हुआ, 1/4 कप अनार पाउडर, 1/4 कप कच्चा आम - बारीक कटा हुआ, 4 बड़े चम्मच मूंगफली - भूनी और कुटी हुई, 4 बड़े चम्मच हरी चटनी, 4 बड़े चम्मच इमली की चटनी, 1 बड़ा चम्मच चाट मसाला पाउडर, नमक - स्वादानुसार, 2 धनिया - कटा हुआ</v>
      </c>
      <c r="H143" s="1" t="s">
        <v>31576</v>
      </c>
      <c r="I143" s="1" t="str">
        <f ca="1">IFERROR(__xludf.dummyfunction("IF(H143="""", """", GOOGLETRANSLATE(H143, ""en"", ""hi""))"),"""भेल पूरी बनाने के लिए सबसे पहले सारी सामग्री तैयार कर लें। हरी और इमली की चटनी बनाकर रख लें। अब एक बड़े मिक्सिंग बाउल में मुरमुरे, पापड़ी पूरी, अनारदाना पाउडर, मूंगफली, चाट मसाला पाउडर, नमक डालकर अच्छी तरह मिलाएँ। अब इसमें प्याज़, टमाटर, हरी मिर्च, खीरा"&amp;", आलू, धनिया पत्ता डालकर फिर से मिलाएँ। अच्छी तरह मिलाने के बाद हरी चटनी और मीठी चटनी डालें। मिलाएँ और सेव से गार्निश करें। परोसें। भेल पूरी रेसिपी को पालक पकौड़े और मसाला चाय के साथ शाम के नाश्ते में परोसें।""")</f>
        <v>"भेल पूरी बनाने के लिए सबसे पहले सारी सामग्री तैयार कर लें। हरी और इमली की चटनी बनाकर रख लें। अब एक बड़े मिक्सिंग बाउल में मुरमुरे, पापड़ी पूरी, अनारदाना पाउडर, मूंगफली, चाट मसाला पाउडर, नमक डालकर अच्छी तरह मिलाएँ। अब इसमें प्याज़, टमाटर, हरी मिर्च, खीरा, आलू, धनिया पत्ता डालकर फिर से मिलाएँ। अच्छी तरह मिलाने के बाद हरी चटनी और मीठी चटनी डालें। मिलाएँ और सेव से गार्निश करें। परोसें। भेल पूरी रेसिपी को पालक पकौड़े और मसाला चाय के साथ शाम के नाश्ते में परोसें।"</v>
      </c>
      <c r="J143" s="3" t="s">
        <v>31577</v>
      </c>
      <c r="L143" s="1" t="s">
        <v>31003</v>
      </c>
    </row>
    <row r="144" spans="1:12" ht="13.8">
      <c r="A144" s="1" t="s">
        <v>31578</v>
      </c>
      <c r="B144" s="1" t="str">
        <f ca="1">IFERROR(__xludf.dummyfunction("IF(A144="""", """", GOOGLETRANSLATE(A144, ""en"", ""hi""))"),"चिरौंजी और मखाने की खीर रेसिपी")</f>
        <v>चिरौंजी और मखाने की खीर रेसिपी</v>
      </c>
      <c r="C144" s="1" t="s">
        <v>8417</v>
      </c>
      <c r="D144" s="1" t="s">
        <v>14198</v>
      </c>
      <c r="E144" s="1">
        <v>45</v>
      </c>
      <c r="F144" s="1" t="s">
        <v>31579</v>
      </c>
      <c r="G144" s="1" t="str">
        <f ca="1">IFERROR(__xludf.dummyfunction("IF(F144="""", """", GOOGLETRANSLATE(F144, ""en"", ""hi""))"),"1 कप फूल मखाना (कमल के बीज), 1 चम्मच घी, 1 लीटर दूध, 1/4 कप गुड़, 1/2 चम्मच इलायची पाउडर (इलायची), 1/2 इंच दालचीनी स्टिक (दालचीनी), केसर के धागे - कुछ, 1 बड़ा चम्मच बादाम (बादाम) - कटा हुआ, 1/4 कप किशमिश, 1 बड़ा चम्मच चिरौंजी, 1 चम्मच घी")</f>
        <v>1 कप फूल मखाना (कमल के बीज), 1 चम्मच घी, 1 लीटर दूध, 1/4 कप गुड़, 1/2 चम्मच इलायची पाउडर (इलायची), 1/2 इंच दालचीनी स्टिक (दालचीनी), केसर के धागे - कुछ, 1 बड़ा चम्मच बादाम (बादाम) - कटा हुआ, 1/4 कप किशमिश, 1 बड़ा चम्मच चिरौंजी, 1 चम्मच घी</v>
      </c>
      <c r="H144" s="1" t="s">
        <v>31580</v>
      </c>
      <c r="I144" s="1" t="str">
        <f ca="1">IFERROR(__xludf.dummyfunction("IF(H144="""", """", GOOGLETRANSLATE(H144, ""en"", ""hi""))"),"चिरौंजी और मखाने की खीर बनाने के लिए सबसे पहले हम फूल मखाने को घी में कुरकुरा और खुशबूदार होने तक भून लेंगे। एक भारी तले की कड़ाही में एक चम्मच घी गर्म करें और मखाने को लगातार चलाते हुए तब तक भूनें जब तक वे हल्के भूरे और कुरकुरे न हो जाएं। हो जाने के बाद,"&amp;" कढ़ाई से निकालें और ठंडा होने के लिए अलग रख दें। भुने हुए मखाने का आधा हिस्सा मिक्सर ग्राइंडर में दरदरा पीस लें और एक तरफ रख दें। हम बचे हुए भुने मखाने को खीर में साबुत इस्तेमाल करेंगे। एक भारी तले की कड़ाही में दूध उबालें और दूध को तब तक गाढ़ा करें जब त"&amp;"क यह आधा न रह जाए। दूध को कड़ाही के तले में बैठने से रोकने के लिए बीच-बीच में हिलाते रहें। दूध के गाढ़ा हो जाने पर इसमें गुड़, भुना हुआ मखाना (साबुत) और दरदरा पिसा हुआ मखाना डालें खीर में केसर और जायफल पाउडर डालें, अच्छी तरह मिलाएँ और मध्यम आँच पर 3 से 4 "&amp;"मिनट तक पकाएँ, बीच-बीच में हिलाते रहें। जब खीर पक रही हो, तो एक दूसरे छोटे पैन में एक चम्मच घी गर्म करें और उसमें सभी सूखे मेवे हल्के भूरे होने तक और भुने हुए सुगंध आने तक भूनें। भुने हुए सूखे मेवों का आधा हिस्सा मखाने की खीर में डालें और 3-4 मिनट तक उबाल"&amp;"ें और आँच बंद कर दें। जोधपुरी आलू, अजवाइन पूरी, सात्विक गाजर अंकुरित सलाद और मिर्ची का चूंदा के अपने स्वादिष्ट त्यौहारी भोजन के बाद चिरौंजी और मखाने की खीर परोसें।")</f>
        <v>चिरौंजी और मखाने की खीर बनाने के लिए सबसे पहले हम फूल मखाने को घी में कुरकुरा और खुशबूदार होने तक भून लेंगे। एक भारी तले की कड़ाही में एक चम्मच घी गर्म करें और मखाने को लगातार चलाते हुए तब तक भूनें जब तक वे हल्के भूरे और कुरकुरे न हो जाएं। हो जाने के बाद, कढ़ाई से निकालें और ठंडा होने के लिए अलग रख दें। भुने हुए मखाने का आधा हिस्सा मिक्सर ग्राइंडर में दरदरा पीस लें और एक तरफ रख दें। हम बचे हुए भुने मखाने को खीर में साबुत इस्तेमाल करेंगे। एक भारी तले की कड़ाही में दूध उबालें और दूध को तब तक गाढ़ा करें जब तक यह आधा न रह जाए। दूध को कड़ाही के तले में बैठने से रोकने के लिए बीच-बीच में हिलाते रहें। दूध के गाढ़ा हो जाने पर इसमें गुड़, भुना हुआ मखाना (साबुत) और दरदरा पिसा हुआ मखाना डालें खीर में केसर और जायफल पाउडर डालें, अच्छी तरह मिलाएँ और मध्यम आँच पर 3 से 4 मिनट तक पकाएँ, बीच-बीच में हिलाते रहें। जब खीर पक रही हो, तो एक दूसरे छोटे पैन में एक चम्मच घी गर्म करें और उसमें सभी सूखे मेवे हल्के भूरे होने तक और भुने हुए सुगंध आने तक भूनें। भुने हुए सूखे मेवों का आधा हिस्सा मखाने की खीर में डालें और 3-4 मिनट तक उबालें और आँच बंद कर दें। जोधपुरी आलू, अजवाइन पूरी, सात्विक गाजर अंकुरित सलाद और मिर्ची का चूंदा के अपने स्वादिष्ट त्यौहारी भोजन के बाद चिरौंजी और मखाने की खीर परोसें।</v>
      </c>
      <c r="J144" s="3" t="s">
        <v>31581</v>
      </c>
      <c r="L144" s="1" t="s">
        <v>31003</v>
      </c>
    </row>
    <row r="145" spans="1:12" ht="13.8">
      <c r="A145" s="1" t="s">
        <v>31582</v>
      </c>
      <c r="B145" s="1" t="str">
        <f ca="1">IFERROR(__xludf.dummyfunction("IF(A145="""", """", GOOGLETRANSLATE(A145, ""en"", ""hi""))"),"चटपटा बेबी आलू")</f>
        <v>चटपटा बेबी आलू</v>
      </c>
      <c r="C145" s="1" t="s">
        <v>145</v>
      </c>
      <c r="D145" s="1" t="s">
        <v>14198</v>
      </c>
      <c r="E145" s="1">
        <v>25</v>
      </c>
      <c r="F145" s="1" t="s">
        <v>31583</v>
      </c>
      <c r="G145" s="1" t="str">
        <f ca="1">IFERROR(__xludf.dummyfunction("IF(F145="""", """", GOOGLETRANSLATE(F145, ""en"", ""hi""))"),"12 छोटे आलू - उबालकर छील लें, 1 बड़ा चम्मच धनिया, 1 बड़ा चम्मच जीरा, 1/2 बड़ा चम्मच सौंफ, 1/2 बड़ा चम्मच साबुत काली मिर्च, 2 सूखी लाल मिर्च, तेल - आवश्यकतानुसार, 1-1/2 बड़ा चम्मच अदरक लहसुन पेस्ट, 1-1/2 बड़ा चम्मच इमली पेस्ट, 1/4 बड़ा चम्मच चीनी, 3 बड़े च"&amp;"म्मच पानी, नमक - स्वादानुसार, हरा धनिया - आवश्यकतानुसार")</f>
        <v>12 छोटे आलू - उबालकर छील लें, 1 बड़ा चम्मच धनिया, 1 बड़ा चम्मच जीरा, 1/2 बड़ा चम्मच सौंफ, 1/2 बड़ा चम्मच साबुत काली मिर्च, 2 सूखी लाल मिर्च, तेल - आवश्यकतानुसार, 1-1/2 बड़ा चम्मच अदरक लहसुन पेस्ट, 1-1/2 बड़ा चम्मच इमली पेस्ट, 1/4 बड़ा चम्मच चीनी, 3 बड़े चम्मच पानी, नमक - स्वादानुसार, हरा धनिया - आवश्यकतानुसार</v>
      </c>
      <c r="H145" s="1" t="s">
        <v>31584</v>
      </c>
      <c r="I145" s="1" t="str">
        <f ca="1">IFERROR(__xludf.dummyfunction("IF(H145="""", """", GOOGLETRANSLATE(H145, ""en"", ""hi""))"),"चटपटा आलू बनाने के लिए सबसे पहले एक पैन गरम करें और उसमें सारे सूखे मसाले जैसे धनिया, जीरा, सौंफ, काली मिर्च और सूखी लाल मिर्च डालें। 30 सेकंड तक भूनें। इसे ठंडा होने दें और मिक्सर ग्राइंडर में पीस लें। अब एक पैन में तेल गरम करें। हींग डालें और 15 सेकंड क"&amp;"े बाद अदरक लहसुन का पेस्ट डालें। 1 मिनट के बाद छोटे आलू डालें और सुनहरा भूरा होने तक पकाएँ। सुनहरा भूरा होने के बाद, इमली का पेस्ट और पानी में मिलाई गई चीनी डालें। 1 मिनट के बाद नमक और पिसा हुआ मसाला डालें। मिलाएँ और 2 मिनट तक पकने दें। गरमागरम परोसें। चट"&amp;"पटा आलू को पालक दाल और फुल्के के साथ लंच में परोसें।")</f>
        <v>चटपटा आलू बनाने के लिए सबसे पहले एक पैन गरम करें और उसमें सारे सूखे मसाले जैसे धनिया, जीरा, सौंफ, काली मिर्च और सूखी लाल मिर्च डालें। 30 सेकंड तक भूनें। इसे ठंडा होने दें और मिक्सर ग्राइंडर में पीस लें। अब एक पैन में तेल गरम करें। हींग डालें और 15 सेकंड के बाद अदरक लहसुन का पेस्ट डालें। 1 मिनट के बाद छोटे आलू डालें और सुनहरा भूरा होने तक पकाएँ। सुनहरा भूरा होने के बाद, इमली का पेस्ट और पानी में मिलाई गई चीनी डालें। 1 मिनट के बाद नमक और पिसा हुआ मसाला डालें। मिलाएँ और 2 मिनट तक पकने दें। गरमागरम परोसें। चटपटा आलू को पालक दाल और फुल्के के साथ लंच में परोसें।</v>
      </c>
      <c r="J145" s="3" t="s">
        <v>31585</v>
      </c>
      <c r="L145" s="1" t="s">
        <v>31003</v>
      </c>
    </row>
    <row r="146" spans="1:12" ht="13.8">
      <c r="A146" s="1" t="s">
        <v>31586</v>
      </c>
      <c r="B146" s="1" t="str">
        <f ca="1">IFERROR(__xludf.dummyfunction("IF(A146="""", """", GOOGLETRANSLATE(A146, ""en"", ""hi""))"),"रसे वाले आलू रेसिपी (खट्टे टमाटर सॉस में उबले आलू)")</f>
        <v>रसे वाले आलू रेसिपी (खट्टे टमाटर सॉस में उबले आलू)</v>
      </c>
      <c r="C146" s="1" t="s">
        <v>145</v>
      </c>
      <c r="D146" s="1" t="s">
        <v>14208</v>
      </c>
      <c r="E146" s="1">
        <v>50</v>
      </c>
      <c r="F146" s="1" t="s">
        <v>31587</v>
      </c>
      <c r="G146" s="1" t="str">
        <f ca="1">IFERROR(__xludf.dummyfunction("IF(F146="""", """", GOOGLETRANSLATE(F146, ""en"", ""hi""))"),"6 आलू - ताजे उबले (मोटे कटे हुए), 4 टमाटर - प्यूरी किए हुए, सूरजमुखी तेल - आवश्यकतानुसार, 1 छोटा चम्मच जीरा, 1/4 छोटा चम्मच हींग, नमक - स्वादानुसार, लाल मिर्च पाउडर - स्वादानुसार, 1 छोटा चम्मच चीनी, 1/4 हल्दी, 1 छोटा चम्मच जीरा - भुना हुआ, 1/4 छोटा चम्मच "&amp;"गरम मसाला पाउडर, 1 छोटा चम्मच धनिया पाउडर")</f>
        <v>6 आलू - ताजे उबले (मोटे कटे हुए), 4 टमाटर - प्यूरी किए हुए, सूरजमुखी तेल - आवश्यकतानुसार, 1 छोटा चम्मच जीरा, 1/4 छोटा चम्मच हींग, नमक - स्वादानुसार, लाल मिर्च पाउडर - स्वादानुसार, 1 छोटा चम्मच चीनी, 1/4 हल्दी, 1 छोटा चम्मच जीरा - भुना हुआ, 1/4 छोटा चम्मच गरम मसाला पाउडर, 1 छोटा चम्मच धनिया पाउडर</v>
      </c>
      <c r="H146" s="1" t="s">
        <v>31588</v>
      </c>
      <c r="I146" s="1" t="str">
        <f ca="1">IFERROR(__xludf.dummyfunction("IF(H146="""", """", GOOGLETRANSLATE(H146, ""en"", ""hi""))"),"रसे वाले आलू की रेसिपी बनाने के लिए सबसे पहले एक भारी तले वाले पैन में तेल गर्म करें और उसमें जीरा और हींग का तड़का लगाएँ। टमाटर की प्यूरी डालें और तब तक पकाएँ जब तक कि सारा पानी सूख न जाए। सभी मसाले और चीनी डालें। 30 सेकंड तक पकाएँ। आलू डालें और 1 गिलास "&amp;"पानी (250 मिली) डालें और पकने दें और गाढ़ा होने तक पकाएँ। रसे वाले आलू को बनाने के लिए ग्रेवी में कुछ आलू मैश करें। रसे वाले आलू को पूरी या पुदीना तवा पराठे के साथ लंच या डिनर में परोसें।")</f>
        <v>रसे वाले आलू की रेसिपी बनाने के लिए सबसे पहले एक भारी तले वाले पैन में तेल गर्म करें और उसमें जीरा और हींग का तड़का लगाएँ। टमाटर की प्यूरी डालें और तब तक पकाएँ जब तक कि सारा पानी सूख न जाए। सभी मसाले और चीनी डालें। 30 सेकंड तक पकाएँ। आलू डालें और 1 गिलास पानी (250 मिली) डालें और पकने दें और गाढ़ा होने तक पकाएँ। रसे वाले आलू को बनाने के लिए ग्रेवी में कुछ आलू मैश करें। रसे वाले आलू को पूरी या पुदीना तवा पराठे के साथ लंच या डिनर में परोसें।</v>
      </c>
      <c r="J146" s="3" t="s">
        <v>31589</v>
      </c>
      <c r="L146" s="1" t="s">
        <v>31003</v>
      </c>
    </row>
    <row r="147" spans="1:12" ht="13.8">
      <c r="A147" s="1" t="s">
        <v>31590</v>
      </c>
      <c r="B147" s="1" t="str">
        <f ca="1">IFERROR(__xludf.dummyfunction("IF(A147="""", """", GOOGLETRANSLATE(A147, ""en"", ""hi""))"),"प्रेशर कुकर में बनाए खोये के साथ गाजर का हलवा बनाने की आसान विधि")</f>
        <v>प्रेशर कुकर में बनाए खोये के साथ गाजर का हलवा बनाने की आसान विधि</v>
      </c>
      <c r="C147" s="1" t="s">
        <v>8417</v>
      </c>
      <c r="D147" s="1" t="s">
        <v>14198</v>
      </c>
      <c r="E147" s="1">
        <v>35</v>
      </c>
      <c r="F147" s="1" t="s">
        <v>31591</v>
      </c>
      <c r="G147" s="1" t="str">
        <f ca="1">IFERROR(__xludf.dummyfunction("IF(F147="""", """", GOOGLETRANSLATE(F147, ""en"", ""hi""))"),"500 ग्राम गाजर - धुली और छिली हुई (अधिमानतः लाल), 1/4 कप घी, 400 मिली दूध, 150 ग्राम खोया (मावा) - कसा हुआ, 200 ग्राम चीनी, 1 चम्मच इलायची पाउडर (इलायची), 2 बड़े चम्मच घी, 1/4 कप मिश्रित सूखे मेवे - कटे हुए (बादाम, काजू और पिस्ता)")</f>
        <v>500 ग्राम गाजर - धुली और छिली हुई (अधिमानतः लाल), 1/4 कप घी, 400 मिली दूध, 150 ग्राम खोया (मावा) - कसा हुआ, 200 ग्राम चीनी, 1 चम्मच इलायची पाउडर (इलायची), 2 बड़े चम्मच घी, 1/4 कप मिश्रित सूखे मेवे - कटे हुए (बादाम, काजू और पिस्ता)</v>
      </c>
      <c r="H147" s="1" t="s">
        <v>31592</v>
      </c>
      <c r="I147" s="1" t="str">
        <f ca="1">IFERROR(__xludf.dummyfunction("IF(H147="""", """", GOOGLETRANSLATE(H147, ""en"", ""hi""))"),"खोवा के साथ गाजर का हलवा बनाने के लिए सबसे पहले धुली और छिली हुई गाजर को कद्दूकस कर लें। मध्यम आंच पर एक प्रेशर कुकर गरम करें, उसमें घी और कद्दूकस की हुई गाजर डालें और दो मिनट तक भूनें। थोड़ा पानी छिड़कें और प्रेशर कुकर को बंद कर दें। गाजर को 1 सीटी आने त"&amp;"क पकाएं और आंच बंद कर दें। प्रेशर को अपने आप निकलने दें। इस बीच, मध्यम आंच पर एक कढ़ाई गरम करें, उसमें दूध डालें और उबाल आने दें, आंच धीमी कर दें और दूध को उसकी मात्रा 3/4 रह जाने दें। जब दूध गाढ़ा हो जाए तो इसमें कद्दूकस किया हुआ खोवा, इलाइची पाउडर और ची"&amp;"नी डालें। खोवा और चीनी को पिघलने दें और पूरे दूध के मिश्रण को एक साथ आने दें। अब आंच कम कर दें और पकी हुई गाजर को दूध में डाल दें गाजर के हलवे को सूखे मेवों से सजाएँ। गरम गाजर के हलवे को कुछ वनीला आइसक्रीम के साथ परोसें या ठंडे गाजर के हलवे को कुछ बासुंदी"&amp;" (राबड़ी) रेसिपी (एक पौष्टिक गाढ़ा दूध का हलवा) के साथ परोसें।")</f>
        <v>खोवा के साथ गाजर का हलवा बनाने के लिए सबसे पहले धुली और छिली हुई गाजर को कद्दूकस कर लें। मध्यम आंच पर एक प्रेशर कुकर गरम करें, उसमें घी और कद्दूकस की हुई गाजर डालें और दो मिनट तक भूनें। थोड़ा पानी छिड़कें और प्रेशर कुकर को बंद कर दें। गाजर को 1 सीटी आने तक पकाएं और आंच बंद कर दें। प्रेशर को अपने आप निकलने दें। इस बीच, मध्यम आंच पर एक कढ़ाई गरम करें, उसमें दूध डालें और उबाल आने दें, आंच धीमी कर दें और दूध को उसकी मात्रा 3/4 रह जाने दें। जब दूध गाढ़ा हो जाए तो इसमें कद्दूकस किया हुआ खोवा, इलाइची पाउडर और चीनी डालें। खोवा और चीनी को पिघलने दें और पूरे दूध के मिश्रण को एक साथ आने दें। अब आंच कम कर दें और पकी हुई गाजर को दूध में डाल दें गाजर के हलवे को सूखे मेवों से सजाएँ। गरम गाजर के हलवे को कुछ वनीला आइसक्रीम के साथ परोसें या ठंडे गाजर के हलवे को कुछ बासुंदी (राबड़ी) रेसिपी (एक पौष्टिक गाढ़ा दूध का हलवा) के साथ परोसें।</v>
      </c>
      <c r="J147" s="3" t="s">
        <v>31593</v>
      </c>
      <c r="L147" s="1" t="s">
        <v>31003</v>
      </c>
    </row>
    <row r="148" spans="1:12" ht="13.8">
      <c r="A148" s="1" t="s">
        <v>31594</v>
      </c>
      <c r="B148" s="1" t="str">
        <f ca="1">IFERROR(__xludf.dummyfunction("IF(A148="""", """", GOOGLETRANSLATE(A148, ""en"", ""hi""))"),"लहसुन लाल चिकन ग्रेवी रेसिपी")</f>
        <v>लहसुन लाल चिकन ग्रेवी रेसिपी</v>
      </c>
      <c r="C148" s="1" t="s">
        <v>429</v>
      </c>
      <c r="D148" s="1" t="s">
        <v>14367</v>
      </c>
      <c r="E148" s="1">
        <v>20</v>
      </c>
      <c r="F148" s="1" t="s">
        <v>31595</v>
      </c>
      <c r="G148" s="1" t="str">
        <f ca="1">IFERROR(__xludf.dummyfunction("IF(F148="""", """", GOOGLETRANSLATE(F148, ""en"", ""hi""))"),"1 किलो चिकन - साफ़ किया हुआ, 2 बड़े चम्मच सूरजमुखी तेल, 1 बड़ा चम्मच मक्खन, 1 प्याज - कटा हुआ, 15 सूखी लाल मिर्च, 10 लहसुन की कलियाँ, 1 कप दही, 1 बड़ा चम्मच हल्दी पाउडर, नमक - आवश्यकतानुसार, 1 बड़ा चम्मच जीरा पाउडर (जीरा) - (वैकल्पिक)")</f>
        <v>1 किलो चिकन - साफ़ किया हुआ, 2 बड़े चम्मच सूरजमुखी तेल, 1 बड़ा चम्मच मक्खन, 1 प्याज - कटा हुआ, 15 सूखी लाल मिर्च, 10 लहसुन की कलियाँ, 1 कप दही, 1 बड़ा चम्मच हल्दी पाउडर, नमक - आवश्यकतानुसार, 1 बड़ा चम्मच जीरा पाउडर (जीरा) - (वैकल्पिक)</v>
      </c>
      <c r="H148" s="1" t="s">
        <v>31596</v>
      </c>
      <c r="I148" s="1" t="str">
        <f ca="1">IFERROR(__xludf.dummyfunction("IF(H148="""", """", GOOGLETRANSLATE(H148, ""en"", ""hi""))"),"गार्लिक रेड चिकन ग्रेवी रेसिपी बनाने के लिए सबसे पहले लाल मिर्च और लहसुन को 10 मिनट के लिए गर्म पानी में भिगो दें। एक मिक्सी जार लें। भीगी हुई लाल मिर्च और लहसुन को बारीक पीस लें। इसे एक तरफ रख दें। गार्लिक रेड चिकन ग्रेवी बनाने के लिए सबसे पहले प्रेशर कु"&amp;"कर में तेल गर्म करें। इसमें बारीक कटा प्याज डालें और सुनहरा भूरा होने तक चलाते रहें। अब इसमें चिकन, नमक और हल्दी पाउडर डालें। पेस्ट डालें और अच्छी तरह मिलाएँ। दही डालें और इसे ठीक से मिलाएँ। अब जीरा पाउडर डालें और मिलाएँ। इसके बाद प्रेशर कुकर का ढक्कन बंद"&amp;" करें और एक सीटी आने तक इंतज़ार करें। गरमागरम मसालेदार स्वादिष्ट गार्लिक रेड चिकन ग्रेवी अब परोसने के लिए तैयार है। गार्लिक रेड चिकन ग्रेवी को स्टीम्ड राइस या गार्लिक नान के साथ दिन के खाने में परोसें।")</f>
        <v>गार्लिक रेड चिकन ग्रेवी रेसिपी बनाने के लिए सबसे पहले लाल मिर्च और लहसुन को 10 मिनट के लिए गर्म पानी में भिगो दें। एक मिक्सी जार लें। भीगी हुई लाल मिर्च और लहसुन को बारीक पीस लें। इसे एक तरफ रख दें। गार्लिक रेड चिकन ग्रेवी बनाने के लिए सबसे पहले प्रेशर कुकर में तेल गर्म करें। इसमें बारीक कटा प्याज डालें और सुनहरा भूरा होने तक चलाते रहें। अब इसमें चिकन, नमक और हल्दी पाउडर डालें। पेस्ट डालें और अच्छी तरह मिलाएँ। दही डालें और इसे ठीक से मिलाएँ। अब जीरा पाउडर डालें और मिलाएँ। इसके बाद प्रेशर कुकर का ढक्कन बंद करें और एक सीटी आने तक इंतज़ार करें। गरमागरम मसालेदार स्वादिष्ट गार्लिक रेड चिकन ग्रेवी अब परोसने के लिए तैयार है। गार्लिक रेड चिकन ग्रेवी को स्टीम्ड राइस या गार्लिक नान के साथ दिन के खाने में परोसें।</v>
      </c>
      <c r="J148" s="3" t="s">
        <v>31597</v>
      </c>
      <c r="L148" s="1" t="s">
        <v>31003</v>
      </c>
    </row>
    <row r="149" spans="1:12" ht="13.8">
      <c r="A149" s="1" t="s">
        <v>31598</v>
      </c>
      <c r="B149" s="1" t="str">
        <f ca="1">IFERROR(__xludf.dummyfunction("IF(A149="""", """", GOOGLETRANSLATE(A149, ""en"", ""hi""))"),"नींबू और धनिया के स्वाद वाली दाल तड़का रेसिपी")</f>
        <v>नींबू और धनिया के स्वाद वाली दाल तड़का रेसिपी</v>
      </c>
      <c r="C149" s="1" t="s">
        <v>145</v>
      </c>
      <c r="D149" s="1" t="s">
        <v>14237</v>
      </c>
      <c r="E149" s="1">
        <v>40</v>
      </c>
      <c r="F149" s="1" t="s">
        <v>31599</v>
      </c>
      <c r="G149" s="1" t="str">
        <f ca="1">IFERROR(__xludf.dummyfunction("IF(F149="""", """", GOOGLETRANSLATE(F149, ""en"", ""hi""))"),"1 कप पीली मूंग दाल, 1 बड़ा चम्मच मक्खन, 1 छोटा चम्मच घी, 1 इंच अदरक - कसा हुआ, 1/4 छोटा चम्मच जीरा, 1/2 छोटा चम्मच हल्दी, 1 तेज पत्ता - आधा तोड़ा हुआ, 2 हरी मिर्च - कटी हुई, 4 टहनी धनिया - बारीक कटा हुआ, नींबू का रस - आवश्यकतानुसार, नमक - स्वादानुसार")</f>
        <v>1 कप पीली मूंग दाल, 1 बड़ा चम्मच मक्खन, 1 छोटा चम्मच घी, 1 इंच अदरक - कसा हुआ, 1/4 छोटा चम्मच जीरा, 1/2 छोटा चम्मच हल्दी, 1 तेज पत्ता - आधा तोड़ा हुआ, 2 हरी मिर्च - कटी हुई, 4 टहनी धनिया - बारीक कटा हुआ, नींबू का रस - आवश्यकतानुसार, नमक - स्वादानुसार</v>
      </c>
      <c r="H149" s="1" t="s">
        <v>31600</v>
      </c>
      <c r="I149" s="1" t="str">
        <f ca="1">IFERROR(__xludf.dummyfunction("IF(H149="""", """", GOOGLETRANSLATE(H149, ""en"", ""hi""))"),"दाल तड़का रेसिपी बनाने के लिए सबसे पहले दाल (फूंग दाल) को ढाई कप पानी, हल्दी पाउडर और नमक के साथ नरम होने तक पकाएं। अगर आपको दाल का बारीक टेक्सचर पसंद है तो उसे फेंट लें, नहीं तो दाल को दानेदार ही रहने दें। इसे उसी पैन/प्रेशर कुकर में रख कर ठंडा होने दें "&amp;"जिसमें इसे पकाया गया था। एक छोटे पैन में एक चम्मच घी गर्म करें, उसमें जीरा डालें और उसे चटकने दें। इसके बाद उसमें अदरक, हरी मिर्च और तेज पत्ता डालें और कुछ सेकंड के लिए भूनें। पकी हुई दाल में मसाला डालें। दाल को मसाले के साथ तेज उबाल आने दें, उसमें मक्खन "&amp;"डालें और अपने स्वादानुसार नमक की मात्रा को कम या ज्यादा करें। दाल को उबलने के कुछ मिनट बाद आंच बंद कर दें, उसमें नींबू का रस निचोड़ें और कटा हरा धनिया डालकर चलाएं। दाल तड़का को एक सर्विंग बाउल में डालें")</f>
        <v>दाल तड़का रेसिपी बनाने के लिए सबसे पहले दाल (फूंग दाल) को ढाई कप पानी, हल्दी पाउडर और नमक के साथ नरम होने तक पकाएं। अगर आपको दाल का बारीक टेक्सचर पसंद है तो उसे फेंट लें, नहीं तो दाल को दानेदार ही रहने दें। इसे उसी पैन/प्रेशर कुकर में रख कर ठंडा होने दें जिसमें इसे पकाया गया था। एक छोटे पैन में एक चम्मच घी गर्म करें, उसमें जीरा डालें और उसे चटकने दें। इसके बाद उसमें अदरक, हरी मिर्च और तेज पत्ता डालें और कुछ सेकंड के लिए भूनें। पकी हुई दाल में मसाला डालें। दाल को मसाले के साथ तेज उबाल आने दें, उसमें मक्खन डालें और अपने स्वादानुसार नमक की मात्रा को कम या ज्यादा करें। दाल को उबलने के कुछ मिनट बाद आंच बंद कर दें, उसमें नींबू का रस निचोड़ें और कटा हरा धनिया डालकर चलाएं। दाल तड़का को एक सर्विंग बाउल में डालें</v>
      </c>
      <c r="J149" s="3" t="s">
        <v>31601</v>
      </c>
      <c r="L149" s="1" t="s">
        <v>31003</v>
      </c>
    </row>
    <row r="150" spans="1:12" ht="409.6">
      <c r="A150" s="1" t="s">
        <v>31602</v>
      </c>
      <c r="B150" s="1" t="str">
        <f ca="1">IFERROR(__xludf.dummyfunction("IF(A150="""", """", GOOGLETRANSLATE(A150, ""en"", ""hi""))"),"दाल बंजारा रेसिपी - लंगर वाली दाल")</f>
        <v>दाल बंजारा रेसिपी - लंगर वाली दाल</v>
      </c>
      <c r="C150" s="1" t="s">
        <v>145</v>
      </c>
      <c r="D150" s="1" t="s">
        <v>14237</v>
      </c>
      <c r="E150" s="1">
        <v>50</v>
      </c>
      <c r="F150" s="1" t="s">
        <v>31603</v>
      </c>
      <c r="G150" s="1" t="str">
        <f ca="1">IFERROR(__xludf.dummyfunction("IF(F150="""", """", GOOGLETRANSLATE(F150, ""en"", ""hi""))"),"3/4 कप काली उड़द दाल, 1/4 कप चना दाल, 1 इंच अदरक - कसा हुआ, 1 हरी मिर्च - कटी हुई, 1 टमाटर - बारीक कटा हुआ, 1 तेज पत्ता, 1 इंच दालचीनी, 1 चम्मच हल्दी, 1 चम्मच गरम मसाला पाउडर, 5 धनिया पत्ते - ताज़ा कटे हुए, 1 चम्मच घी, 1 चम्मच जीरा, 2 सूखी लाल मिर्च - आधी"&amp;" कटी हुई")</f>
        <v>3/4 कप काली उड़द दाल, 1/4 कप चना दाल, 1 इंच अदरक - कसा हुआ, 1 हरी मिर्च - कटी हुई, 1 टमाटर - बारीक कटा हुआ, 1 तेज पत्ता, 1 इंच दालचीनी, 1 चम्मच हल्दी, 1 चम्मच गरम मसाला पाउडर, 5 धनिया पत्ते - ताज़ा कटे हुए, 1 चम्मच घी, 1 चम्मच जीरा, 2 सूखी लाल मिर्च - आधी कटी हुई</v>
      </c>
      <c r="H150" s="1" t="s">
        <v>31604</v>
      </c>
      <c r="I150" s="4" t="str">
        <f ca="1">IFERROR(__xludf.dummyfunction("IF(H150="""", """", GOOGLETRANSLATE(H150, ""en"", ""hi""))"),"दाल बंजारा रेसिपी बनाने के लिए, प्रेशर कुकर में काली उड़द दाल, चना दाल, अदरक, हरी मिर्च, टमाटर, तेज पत्ता, दालचीनी, हल्दी पाउडर, गरम मसाला पाउडर सहित सभी सामग्री डालें। 2-1/2 कप पानी डालें और दाल को दो से तीन सीटी आने तक पकाएँ। दो सीटी आने के बाद, आँच धीम"&amp;"ी कर दें और 10 मिनट तक उबालें और आँच बंद कर दें। जब प्रेशर पूरी तरह से निकल जाए, तो कुकर खोलें और आपकी दाल तैयार है। नमक और मसाले चेक करें और अपने स्वादानुसार समायोजित करें। दाल को एक सर्विंग बाउल में निकाल लें। अगला स्टेप तड़का लगाना है। एक छोटे पैन में "&amp;"घी गर्म करें, उसमें जीरा और लाल मिर्च डालें। उन्हें भुनने और चटकने दें। जब हो जाए, तो आँच बंद कर दें और दाल के ऊपर मसाला डालें।
")</f>
        <v xml:space="preserve">दाल बंजारा रेसिपी बनाने के लिए, प्रेशर कुकर में काली उड़द दाल, चना दाल, अदरक, हरी मिर्च, टमाटर, तेज पत्ता, दालचीनी, हल्दी पाउडर, गरम मसाला पाउडर सहित सभी सामग्री डालें। 2-1/2 कप पानी डालें और दाल को दो से तीन सीटी आने तक पकाएँ। दो सीटी आने के बाद, आँच धीमी कर दें और 10 मिनट तक उबालें और आँच बंद कर दें। जब प्रेशर पूरी तरह से निकल जाए, तो कुकर खोलें और आपकी दाल तैयार है। नमक और मसाले चेक करें और अपने स्वादानुसार समायोजित करें। दाल को एक सर्विंग बाउल में निकाल लें। अगला स्टेप तड़का लगाना है। एक छोटे पैन में घी गर्म करें, उसमें जीरा और लाल मिर्च डालें। उन्हें भुनने और चटकने दें। जब हो जाए, तो आँच बंद कर दें और दाल के ऊपर मसाला डालें।
</v>
      </c>
      <c r="J150" s="3" t="s">
        <v>31605</v>
      </c>
      <c r="L150" s="1" t="s">
        <v>31003</v>
      </c>
    </row>
    <row r="151" spans="1:12" ht="13.8">
      <c r="A151" s="1" t="s">
        <v>31606</v>
      </c>
      <c r="B151" s="1" t="str">
        <f ca="1">IFERROR(__xludf.dummyfunction("IF(A151="""", """", GOOGLETRANSLATE(A151, ""en"", ""hi""))"),"तवा मशरूम रेसिपी")</f>
        <v>तवा मशरूम रेसिपी</v>
      </c>
      <c r="C151" s="1" t="s">
        <v>145</v>
      </c>
      <c r="D151" s="1" t="s">
        <v>14198</v>
      </c>
      <c r="E151" s="1">
        <v>40</v>
      </c>
      <c r="F151" s="1" t="s">
        <v>31607</v>
      </c>
      <c r="G151" s="1" t="str">
        <f ca="1">IFERROR(__xludf.dummyfunction("IF(F151="""", """", GOOGLETRANSLATE(F151, ""en"", ""hi""))"),"500 ग्राम बटन मशरूम, 1 प्याज - बारीक कटा हुआ, 1 टमाटर - बारीक कटा हुआ, 1 इंच अदरक - कटा हुआ, 4 लहसुन - कटा हुआ, 1 हरी मिर्च - कटी हुई, 1 चम्मच लाल मिर्च पाउडर, 1/4 चम्मच हल्दी पाउडर (हल्दी), 2 चम्मच धनिया पाउडर (धनिया), 1 चम्मच जीरा पाउडर (जीरा), 1 चम्मच "&amp;"गरम मसाला पाउडर, 1 चम्मच पाव भाजी मसाला, 1 चम्मच आमचूर (सूखा आम पाउडर), नमक - स्वादानुसार, सूरजमुखी तेल, 3 टहनी धनिया (धनिया) पत्तियां - कटी हुई")</f>
        <v>500 ग्राम बटन मशरूम, 1 प्याज - बारीक कटा हुआ, 1 टमाटर - बारीक कटा हुआ, 1 इंच अदरक - कटा हुआ, 4 लहसुन - कटा हुआ, 1 हरी मिर्च - कटी हुई, 1 चम्मच लाल मिर्च पाउडर, 1/4 चम्मच हल्दी पाउडर (हल्दी), 2 चम्मच धनिया पाउडर (धनिया), 1 चम्मच जीरा पाउडर (जीरा), 1 चम्मच गरम मसाला पाउडर, 1 चम्मच पाव भाजी मसाला, 1 चम्मच आमचूर (सूखा आम पाउडर), नमक - स्वादानुसार, सूरजमुखी तेल, 3 टहनी धनिया (धनिया) पत्तियां - कटी हुई</v>
      </c>
      <c r="H151" s="1" t="s">
        <v>31608</v>
      </c>
      <c r="I151" s="1" t="str">
        <f ca="1">IFERROR(__xludf.dummyfunction("IF(H151="""", """", GOOGLETRANSLATE(H151, ""en"", ""hi""))"),"तवा मशरूम रेसिपी बनाने के लिए सबसे पहले एक कढ़ाई में तेल गर्म करें। इसमें अदरक और लहसुन डालें और इसे नरम होने दें। जब यह पक जाए तो इसमें कटे हुए प्याज डालें और पारदर्शी होने तक पकाएँ। कटे हुए टमाटर डालें और थोड़ा नमक छिड़कें ताकि टमाटर नरम और मुलायम हो जा"&amp;"एँ। अब आप लाल मिर्च पाउडर, हल्दी पाउडर, धनिया पाउडर, जीरा पाउडर सहित सभी मसाले पाउडर डाल सकते हैं और अच्छी तरह से भून सकते हैं। कटे हुए मशरूम डालें और तब तक पकाएँ जब तक कि सारा पानी सूख न जाए। नमक की जाँच करें और यदि आवश्यक हो तो डालें। मिश्रण के अर्ध शुष"&amp;"्क होने तक पकाएँ। अंत में कटा हुआ हरा धनिया डालें और अच्छी तरह मिलाएँ। मशरूम दो प्याजा रेसिपी को तवा पराठा और पंचमेल दाल या फुल्का, दही चावल के साथ परोसें और इसे संपूर्ण भोजन बनाएँ।")</f>
        <v>तवा मशरूम रेसिपी बनाने के लिए सबसे पहले एक कढ़ाई में तेल गर्म करें। इसमें अदरक और लहसुन डालें और इसे नरम होने दें। जब यह पक जाए तो इसमें कटे हुए प्याज डालें और पारदर्शी होने तक पकाएँ। कटे हुए टमाटर डालें और थोड़ा नमक छिड़कें ताकि टमाटर नरम और मुलायम हो जाएँ। अब आप लाल मिर्च पाउडर, हल्दी पाउडर, धनिया पाउडर, जीरा पाउडर सहित सभी मसाले पाउडर डाल सकते हैं और अच्छी तरह से भून सकते हैं। कटे हुए मशरूम डालें और तब तक पकाएँ जब तक कि सारा पानी सूख न जाए। नमक की जाँच करें और यदि आवश्यक हो तो डालें। मिश्रण के अर्ध शुष्क होने तक पकाएँ। अंत में कटा हुआ हरा धनिया डालें और अच्छी तरह मिलाएँ। मशरूम दो प्याजा रेसिपी को तवा पराठा और पंचमेल दाल या फुल्का, दही चावल के साथ परोसें और इसे संपूर्ण भोजन बनाएँ।</v>
      </c>
      <c r="J151" s="3" t="s">
        <v>31609</v>
      </c>
      <c r="L151" s="1" t="s">
        <v>31003</v>
      </c>
    </row>
    <row r="152" spans="1:12" ht="13.8">
      <c r="A152" s="1" t="s">
        <v>31610</v>
      </c>
      <c r="B152" s="1" t="str">
        <f ca="1">IFERROR(__xludf.dummyfunction("IF(A152="""", """", GOOGLETRANSLATE(A152, ""en"", ""hi""))"),"आलू अचारी")</f>
        <v>आलू अचारी</v>
      </c>
      <c r="C152" s="1" t="s">
        <v>429</v>
      </c>
      <c r="D152" s="1" t="s">
        <v>14198</v>
      </c>
      <c r="E152" s="1">
        <v>30</v>
      </c>
      <c r="F152" s="1" t="s">
        <v>31611</v>
      </c>
      <c r="G152" s="1" t="str">
        <f ca="1">IFERROR(__xludf.dummyfunction("IF(F152="""", """", GOOGLETRANSLATE(F152, ""en"", ""hi""))"),"4 आलू, 1/2 चम्मच हींग, 1 चम्मच जीरा, 3 सूखी लाल मिर्च, 3 बड़े चम्मच अचार, 2 बड़े चम्मच सिरका, 1/2 चम्मच चीनी, तेल - आवश्यकतानुसार")</f>
        <v>4 आलू, 1/2 चम्मच हींग, 1 चम्मच जीरा, 3 सूखी लाल मिर्च, 3 बड़े चम्मच अचार, 2 बड़े चम्मच सिरका, 1/2 चम्मच चीनी, तेल - आवश्यकतानुसार</v>
      </c>
      <c r="H152" s="1" t="s">
        <v>31612</v>
      </c>
      <c r="I152" s="1" t="str">
        <f ca="1">IFERROR(__xludf.dummyfunction("IF(H152="""", """", GOOGLETRANSLATE(H152, ""en"", ""hi""))"),"""अचारी आलू बनाने के लिए सबसे पहले आलू को धोकर आधा पकने तक उबालें। फिर छीलकर काट लें। अब एक पैन में तेल गर्म करें। इसमें आलू डालकर ब्राउन होने तक पकाएं। आलू को निकाल कर अलग रख लें। उसी पैन में हींग, जीरा और सूखी लाल मिर्च डालें। 15 सेकंड बाद इसमें आलू और "&amp;"अचार डालें। अच्छे से मिला लें। मिलाने के बाद सिरका डालें और 2 से 3 मिनट तक पकने दें। 3 मिनट बाद इसमें चीनी और थोड़ा पानी डालें और 1 मिनट तक पकाएं। गरमागरम सर्व करें। दोपहर के खाने में अचारी आलू को लहसुन वाली दाल और फुल्के के साथ सर्व करें।""")</f>
        <v>"अचारी आलू बनाने के लिए सबसे पहले आलू को धोकर आधा पकने तक उबालें। फिर छीलकर काट लें। अब एक पैन में तेल गर्म करें। इसमें आलू डालकर ब्राउन होने तक पकाएं। आलू को निकाल कर अलग रख लें। उसी पैन में हींग, जीरा और सूखी लाल मिर्च डालें। 15 सेकंड बाद इसमें आलू और अचार डालें। अच्छे से मिला लें। मिलाने के बाद सिरका डालें और 2 से 3 मिनट तक पकने दें। 3 मिनट बाद इसमें चीनी और थोड़ा पानी डालें और 1 मिनट तक पकाएं। गरमागरम सर्व करें। दोपहर के खाने में अचारी आलू को लहसुन वाली दाल और फुल्के के साथ सर्व करें।"</v>
      </c>
      <c r="J152" s="3" t="s">
        <v>31613</v>
      </c>
      <c r="L152" s="1" t="s">
        <v>31003</v>
      </c>
    </row>
    <row r="153" spans="1:12" ht="13.8">
      <c r="A153" s="1" t="s">
        <v>31614</v>
      </c>
      <c r="B153" s="1" t="str">
        <f ca="1">IFERROR(__xludf.dummyfunction("IF(A153="""", """", GOOGLETRANSLATE(A153, ""en"", ""hi""))"),"पटियाला आलू रेसिपी")</f>
        <v>पटियाला आलू रेसिपी</v>
      </c>
      <c r="C153" s="1" t="s">
        <v>14259</v>
      </c>
      <c r="D153" s="1" t="s">
        <v>14208</v>
      </c>
      <c r="E153" s="1">
        <v>35</v>
      </c>
      <c r="F153" s="1" t="s">
        <v>31615</v>
      </c>
      <c r="G153" s="1" t="str">
        <f ca="1">IFERROR(__xludf.dummyfunction("IF(F153="""", """", GOOGLETRANSLATE(F153, ""en"", ""hi""))"),"5 आलू - छीलकर क्यूब्स में काट लें, 2 बड़े चम्मच सरसों का तेल - या खाना पकाने का तेल, 1 चम्मच जीरा, 1 हींग - चुटकी भर, 1/4 चम्मच मेथी के बीज, 1 हरी मिर्च - कटी हुई, 1 चम्मच लाल मिर्च पाउडर, 1 चम्मच जीरा, 1 तेज पत्ता, 1 चम्मच धनिया पाउडर, 1/2 चम्मच आमचूर, 1"&amp;"/2 चम्मच चाट मसाला पाउडर, 1/2 चम्मच गरम मसाला पाउडर, 1/2 चम्मच हल्दी पाउडर, 1 चम्मच कसूरी मेथी, 1/3 कप घर का बना टमाटर प्यूरी, 2 चम्मच इमली का पेस्ट, 1/3 कप धनिया (धनिया) के पत्ते - बारीक कटे")</f>
        <v>5 आलू - छीलकर क्यूब्स में काट लें, 2 बड़े चम्मच सरसों का तेल - या खाना पकाने का तेल, 1 चम्मच जीरा, 1 हींग - चुटकी भर, 1/4 चम्मच मेथी के बीज, 1 हरी मिर्च - कटी हुई, 1 चम्मच लाल मिर्च पाउडर, 1 चम्मच जीरा, 1 तेज पत्ता, 1 चम्मच धनिया पाउडर, 1/2 चम्मच आमचूर, 1/2 चम्मच चाट मसाला पाउडर, 1/2 चम्मच गरम मसाला पाउडर, 1/2 चम्मच हल्दी पाउडर, 1 चम्मच कसूरी मेथी, 1/3 कप घर का बना टमाटर प्यूरी, 2 चम्मच इमली का पेस्ट, 1/3 कप धनिया (धनिया) के पत्ते - बारीक कटे</v>
      </c>
      <c r="H153" s="1" t="s">
        <v>31616</v>
      </c>
      <c r="I153" s="1" t="str">
        <f ca="1">IFERROR(__xludf.dummyfunction("IF(H153="""", """", GOOGLETRANSLATE(H153, ""en"", ""hi""))"),"पटियाला आलू रेसिपी बनाने के लिए सबसे पहले छिले और कटे हुए आलू को नमक के पानी में डुबोकर रखें ताकि उनका रंग न बिगड़े। एक गहरे तले वाले पैन में सरसों का तेल तेज़ आंच पर गर्म करें और उसे धुंआ निकलने तक ले जाएं। धुंआ निकलने पर आंच धीमी कर दें, इसमें जीरा, तेज"&amp;"पत्ता, मेथी दाना, हींग डालें और इसे चटकने दें। इसके तुरंत बाद, आलू से पानी निकाल दें और उन्हें पैन में डाल दें। अब इसमें कटी हुई हरी मिर्च, नमक, हल्दी पाउडर डालें और अच्छे से मिलाएँ। ढककर तब तक पकाएँ जब तक आलू लगभग पक न जाएँ। मध्यम-तेज़ आंच पर इसे पकने मे"&amp;"ं 12-15 मिनट का समय लगेगा। अब ढक्कन खोलें और आंच कम कर दें। सुनिश्चित करें कि आलू अच्छी तरह पक गए हैं। आलू में लाल मिर्च पाउडर, जीरा पाउडर, धनिया पाउडर, अमचूर, चाट मसाला और गरम मसाला डालें। पानी की कुछ बूँदें छिड़कें और इसे अच्छे से चलाएँ। इसके बाद टमाटर "&amp;"प्यूरी और इमली का पेस्ट डालें, जिससे आलू इस मसाले-टमाटर मसाले में अच्छी तरह से लिपट जाएं। पटियाला आलू को एक या दो मिनट तक पकाते रहें, जब तक कि टमाटर की कच्ची महक न चली जाए। अंत में कटा हुआ धनिया पत्ता मिलाएं और पटियाला आलू को एक सर्विंग बाउल में डालें और "&amp;"गर्मागर्म परोसें। पटियाला आलू रेसिपी को ढाबा स्टाइल दाल फ्राई, फुल्के, ढाबा स्टाइल मसालेदार घी, बूंदी रायता, अचार वाले प्याज के साथ परोसें और उसके बाद ठंडाई शाही टुकड़ा की मिठाई खाएं।")</f>
        <v>पटियाला आलू रेसिपी बनाने के लिए सबसे पहले छिले और कटे हुए आलू को नमक के पानी में डुबोकर रखें ताकि उनका रंग न बिगड़े। एक गहरे तले वाले पैन में सरसों का तेल तेज़ आंच पर गर्म करें और उसे धुंआ निकलने तक ले जाएं। धुंआ निकलने पर आंच धीमी कर दें, इसमें जीरा, तेजपत्ता, मेथी दाना, हींग डालें और इसे चटकने दें। इसके तुरंत बाद, आलू से पानी निकाल दें और उन्हें पैन में डाल दें। अब इसमें कटी हुई हरी मिर्च, नमक, हल्दी पाउडर डालें और अच्छे से मिलाएँ। ढककर तब तक पकाएँ जब तक आलू लगभग पक न जाएँ। मध्यम-तेज़ आंच पर इसे पकने में 12-15 मिनट का समय लगेगा। अब ढक्कन खोलें और आंच कम कर दें। सुनिश्चित करें कि आलू अच्छी तरह पक गए हैं। आलू में लाल मिर्च पाउडर, जीरा पाउडर, धनिया पाउडर, अमचूर, चाट मसाला और गरम मसाला डालें। पानी की कुछ बूँदें छिड़कें और इसे अच्छे से चलाएँ। इसके बाद टमाटर प्यूरी और इमली का पेस्ट डालें, जिससे आलू इस मसाले-टमाटर मसाले में अच्छी तरह से लिपट जाएं। पटियाला आलू को एक या दो मिनट तक पकाते रहें, जब तक कि टमाटर की कच्ची महक न चली जाए। अंत में कटा हुआ धनिया पत्ता मिलाएं और पटियाला आलू को एक सर्विंग बाउल में डालें और गर्मागर्म परोसें। पटियाला आलू रेसिपी को ढाबा स्टाइल दाल फ्राई, फुल्के, ढाबा स्टाइल मसालेदार घी, बूंदी रायता, अचार वाले प्याज के साथ परोसें और उसके बाद ठंडाई शाही टुकड़ा की मिठाई खाएं।</v>
      </c>
      <c r="J153" s="3" t="s">
        <v>31617</v>
      </c>
      <c r="L153" s="1" t="s">
        <v>31003</v>
      </c>
    </row>
    <row r="154" spans="1:12" ht="13.8">
      <c r="A154" s="1" t="s">
        <v>31618</v>
      </c>
      <c r="B154" s="1" t="str">
        <f ca="1">IFERROR(__xludf.dummyfunction("IF(A154="""", """", GOOGLETRANSLATE(A154, ""en"", ""hi""))"),"दही बटाटा पूरी चाट रेसिपी - क्लासिक भारतीय चाय समय नाश्ता")</f>
        <v>दही बटाटा पूरी चाट रेसिपी - क्लासिक भारतीय चाय समय नाश्ता</v>
      </c>
      <c r="C154" s="1" t="s">
        <v>14281</v>
      </c>
      <c r="D154" s="1" t="s">
        <v>14198</v>
      </c>
      <c r="E154" s="1">
        <v>45</v>
      </c>
      <c r="F154" s="1" t="s">
        <v>31619</v>
      </c>
      <c r="G154" s="1" t="str">
        <f ca="1">IFERROR(__xludf.dummyfunction("IF(F154="""", """", GOOGLETRANSLATE(F154, ""en"", ""hi""))"),"24 पानी पूरी, 2 आलू - उबले और कटे हुए या कटे हुए, 1/4 कप आम (कच्चा) - बारीक कटा हुआ (यदि मौसम न हो तो वैकल्पिक), 1 चम्मच चाट मसाला पाउडर, 1 चम्मच नींबू का रस, 2 प्याज - बारीक कटा हुआ, 1/2 कप दही - फेंटा हुआ (वैकल्पिक), काला नमक - स्वादानुसार, 1 बड़ा चम्मच"&amp;" चीनी, लाल मिर्च पाउडर - वैकल्पिक (गार्निश), चाट मसाला पाउडर - पाउडर (गार्निश), 1/2 कप हरी चटनी (धनिया और पुदीना), 1/2 कप मीठी चटनी (खजूर और इमली), 1 कप सेव")</f>
        <v>24 पानी पूरी, 2 आलू - उबले और कटे हुए या कटे हुए, 1/4 कप आम (कच्चा) - बारीक कटा हुआ (यदि मौसम न हो तो वैकल्पिक), 1 चम्मच चाट मसाला पाउडर, 1 चम्मच नींबू का रस, 2 प्याज - बारीक कटा हुआ, 1/2 कप दही - फेंटा हुआ (वैकल्पिक), काला नमक - स्वादानुसार, 1 बड़ा चम्मच चीनी, लाल मिर्च पाउडर - वैकल्पिक (गार्निश), चाट मसाला पाउडर - पाउडर (गार्निश), 1/2 कप हरी चटनी (धनिया और पुदीना), 1/2 कप मीठी चटनी (खजूर और इमली), 1 कप सेव</v>
      </c>
      <c r="H154" s="1" t="s">
        <v>31620</v>
      </c>
      <c r="I154" s="1" t="str">
        <f ca="1">IFERROR(__xludf.dummyfunction("IF(H154="""", """", GOOGLETRANSLATE(H154, ""en"", ""hi""))"),"दही बटाटा पूरी चाट रेसिपी बनाने के लिए सबसे पहले सभी सामग्री तैयार कर के रख लें। एक प्रेशर कुकर में आलू और आवश्यकतानुसार पानी डालें। कुकर को बंद करके 2 से 3 सीटी आने तक पका लें। प्रेशर को तुरंत छोड़ दें। आलू को बाहर निकाल लें और ठंडा होने दें। ठंडा होने प"&amp;"र आलू को छील लें और चौकोर टुकड़ों में काट लें। एक तरफ रख दें। लहसुन की चटनी, हरी चटनी और खजूर और इमली की चटनी बना कर एक तरफ रख दें। एक बार सभी सामग्री तैयार कर लें। एक मिक्सिंग बाउल में उबले आलू, कच्चा आम, चाट मसाला पाउडर और एक नींबू का रस डालें। अच्छी तर"&amp;"ह मिलाएँ और एक तरफ रख दें। दही/दही की सामग्री को फेंट लें आलू के मिश्रण को हर एक पूरी में थोड़ा-थोड़ा करके डालें। हर एक पूरी में प्याज़ और दही डालें। आखिर में चटनी डालें और सेव, कोई भी अतिरिक्त चाट मसाला पाउडर, लाल मिर्च पाउडर और धनिया पत्ती छिड़कें और पर"&amp;"ोसें। दही बटाटा पूरी चाट रेसिपी को भेल पूरी और बॉम्बे मसाला सैंडविच और एक कप मसाला चाय के साथ अपनी चाट पार्टी में परोसें।")</f>
        <v>दही बटाटा पूरी चाट रेसिपी बनाने के लिए सबसे पहले सभी सामग्री तैयार कर के रख लें। एक प्रेशर कुकर में आलू और आवश्यकतानुसार पानी डालें। कुकर को बंद करके 2 से 3 सीटी आने तक पका लें। प्रेशर को तुरंत छोड़ दें। आलू को बाहर निकाल लें और ठंडा होने दें। ठंडा होने पर आलू को छील लें और चौकोर टुकड़ों में काट लें। एक तरफ रख दें। लहसुन की चटनी, हरी चटनी और खजूर और इमली की चटनी बना कर एक तरफ रख दें। एक बार सभी सामग्री तैयार कर लें। एक मिक्सिंग बाउल में उबले आलू, कच्चा आम, चाट मसाला पाउडर और एक नींबू का रस डालें। अच्छी तरह मिलाएँ और एक तरफ रख दें। दही/दही की सामग्री को फेंट लें आलू के मिश्रण को हर एक पूरी में थोड़ा-थोड़ा करके डालें। हर एक पूरी में प्याज़ और दही डालें। आखिर में चटनी डालें और सेव, कोई भी अतिरिक्त चाट मसाला पाउडर, लाल मिर्च पाउडर और धनिया पत्ती छिड़कें और परोसें। दही बटाटा पूरी चाट रेसिपी को भेल पूरी और बॉम्बे मसाला सैंडविच और एक कप मसाला चाय के साथ अपनी चाट पार्टी में परोसें।</v>
      </c>
      <c r="J154" s="3" t="s">
        <v>31621</v>
      </c>
      <c r="L154" s="1" t="s">
        <v>31003</v>
      </c>
    </row>
    <row r="155" spans="1:12" ht="13.8">
      <c r="A155" s="1" t="s">
        <v>31622</v>
      </c>
      <c r="B155" s="1" t="str">
        <f ca="1">IFERROR(__xludf.dummyfunction("IF(A155="""", """", GOOGLETRANSLATE(A155, ""en"", ""hi""))"),"ठंडाई फ्लेवर्ड राइस खीर रेसिपी")</f>
        <v>ठंडाई फ्लेवर्ड राइस खीर रेसिपी</v>
      </c>
      <c r="C155" s="1" t="s">
        <v>8417</v>
      </c>
      <c r="D155" s="1" t="s">
        <v>14198</v>
      </c>
      <c r="E155" s="1">
        <v>60</v>
      </c>
      <c r="F155" s="1" t="s">
        <v>31623</v>
      </c>
      <c r="G155" s="1" t="str">
        <f ca="1">IFERROR(__xludf.dummyfunction("IF(F155="""", """", GOOGLETRANSLATE(F155, ""en"", ""hi""))"),"1-1/2 कप ठंडाई पाउडर, केसर के रेशे - कुछ, 2 बड़े चम्मच बासमती चावल, 2 लीटर दूध, चीनी - आवश्यकतानुसार, 4 बड़े चम्मच गाढ़ा दूध, 1 बड़ा चम्मच बादाम - कटा हुआ, 1 बड़ा चम्मच पिस्ता - कटा हुआ, 1 बड़ा चम्मच काजू - कटा हुआ, गुलाब की पंखुड़ियाँ - गार्निश के लिए, 1"&amp;" चम्मच इलायची पाउडर, मिक्स मेवा - गार्निश के लिए, 4 बड़े चम्मच दूध, 1 बड़ा चम्मच बादाम - उबालकर छीला हुआ, 1 बड़ा चम्मच काजू, 1 बड़ा चम्मच पिस्ता, 1 चम्मच खसखस, 1 चम्मच इलायची की फली/बीज, 1 इंच दालचीनी, 1/2 चम्मच साबुत काली मिर्च")</f>
        <v>1-1/2 कप ठंडाई पाउडर, केसर के रेशे - कुछ, 2 बड़े चम्मच बासमती चावल, 2 लीटर दूध, चीनी - आवश्यकतानुसार, 4 बड़े चम्मच गाढ़ा दूध, 1 बड़ा चम्मच बादाम - कटा हुआ, 1 बड़ा चम्मच पिस्ता - कटा हुआ, 1 बड़ा चम्मच काजू - कटा हुआ, गुलाब की पंखुड़ियाँ - गार्निश के लिए, 1 चम्मच इलायची पाउडर, मिक्स मेवा - गार्निश के लिए, 4 बड़े चम्मच दूध, 1 बड़ा चम्मच बादाम - उबालकर छीला हुआ, 1 बड़ा चम्मच काजू, 1 बड़ा चम्मच पिस्ता, 1 चम्मच खसखस, 1 चम्मच इलायची की फली/बीज, 1 इंच दालचीनी, 1/2 चम्मच साबुत काली मिर्च</v>
      </c>
      <c r="H155" s="1" t="s">
        <v>31624</v>
      </c>
      <c r="I155" s="1" t="str">
        <f ca="1">IFERROR(__xludf.dummyfunction("IF(H155="""", """", GOOGLETRANSLATE(H155, ""en"", ""hi""))"),"ठंडाई फ्लेवर्ड राइस खीर बनाने के लिए सबसे पहले चावल को धोकर 30 मिनट के लिए भिगो दें। 30 मिनट बाद पानी निथार लें और चावल को एक तरफ रख दें। केसर और ठंडाई पाउडर को अलग-अलग गुनगुने दूध में भिगो दें। ठंडाई पाउडर की सामग्री - बादाम, काजू, पिस्ता, खसखस, इलायची, "&amp;"दालचीनी और साबुत काली मिर्च को दरदरा पाउडर बना लें और एक तरफ रख दें। अगला कदम दूध को उबालना है। जब यह उबलने लगे तो आंच धीमी कर दें और सॉस पैन में चावल डालें। खीर को तब तक हिलाते रहें जब तक यह मूल मात्रा का एक तिहाई न रह जाए। हो जाने पर इसमें चीनी, दूध से "&amp;"बनी चीजें, इलायची पाउडर, कटे हुए मेवे, ठंडाई वाला दूध और केसर डालें। सब कुछ अच्छी तरह से मिलाएं और ठंडाई खीर को 5 मिनट तक और पकाएं। 5 मिनट के बाद, आंच बंद कर दें और इसे कटे हुए मेवे और गुलाब की पंखुड़ियों से गार्निश करें। ठंडाई फ्लेवर्ड राइस खीर को दाल मख"&amp;"नी, सेव टमाटर की सब्जी, फुल्का और पालक रायता के अपने स्वादिष्ट भोजन के बाद मिठाई के रूप में परोसें।")</f>
        <v>ठंडाई फ्लेवर्ड राइस खीर बनाने के लिए सबसे पहले चावल को धोकर 30 मिनट के लिए भिगो दें। 30 मिनट बाद पानी निथार लें और चावल को एक तरफ रख दें। केसर और ठंडाई पाउडर को अलग-अलग गुनगुने दूध में भिगो दें। ठंडाई पाउडर की सामग्री - बादाम, काजू, पिस्ता, खसखस, इलायची, दालचीनी और साबुत काली मिर्च को दरदरा पाउडर बना लें और एक तरफ रख दें। अगला कदम दूध को उबालना है। जब यह उबलने लगे तो आंच धीमी कर दें और सॉस पैन में चावल डालें। खीर को तब तक हिलाते रहें जब तक यह मूल मात्रा का एक तिहाई न रह जाए। हो जाने पर इसमें चीनी, दूध से बनी चीजें, इलायची पाउडर, कटे हुए मेवे, ठंडाई वाला दूध और केसर डालें। सब कुछ अच्छी तरह से मिलाएं और ठंडाई खीर को 5 मिनट तक और पकाएं। 5 मिनट के बाद, आंच बंद कर दें और इसे कटे हुए मेवे और गुलाब की पंखुड़ियों से गार्निश करें। ठंडाई फ्लेवर्ड राइस खीर को दाल मखनी, सेव टमाटर की सब्जी, फुल्का और पालक रायता के अपने स्वादिष्ट भोजन के बाद मिठाई के रूप में परोसें।</v>
      </c>
      <c r="J155" s="3" t="s">
        <v>31625</v>
      </c>
      <c r="L155" s="1" t="s">
        <v>31003</v>
      </c>
    </row>
    <row r="156" spans="1:12" ht="13.8">
      <c r="A156" s="1" t="s">
        <v>31626</v>
      </c>
      <c r="B156" s="1" t="str">
        <f ca="1">IFERROR(__xludf.dummyfunction("IF(A156="""", """", GOOGLETRANSLATE(A156, ""en"", ""hi""))"),"शिमला मिर्च के साथ पनीर भुर्जी रेसिपी")</f>
        <v>शिमला मिर्च के साथ पनीर भुर्जी रेसिपी</v>
      </c>
      <c r="C156" s="1" t="s">
        <v>145</v>
      </c>
      <c r="D156" s="1" t="s">
        <v>14237</v>
      </c>
      <c r="E156" s="1">
        <v>40</v>
      </c>
      <c r="F156" s="1" t="s">
        <v>31627</v>
      </c>
      <c r="G156" s="1" t="str">
        <f ca="1">IFERROR(__xludf.dummyfunction("IF(F156="""", """", GOOGLETRANSLATE(F156, ""en"", ""hi""))"),"200 ग्राम पनीर - टुकड़े टुकड़े, 2 शिमला मिर्च (हरा) - बारीक कटा हुआ, 1 प्याज - बारीक कटा हुआ, 1 इंच अदरक - कद्दूकस किया हुआ, 2 हरी मिर्च - बारीक कटी हुई, 1 टमाटर - बारीक कटा हुआ, 1 छोटा चम्मच जीरा, 1/2 छोटा चम्मच हल्दी पाउडर, 1/2 छोटा चम्मच लाल मिर्च पाउड"&amp;"र - स्वादानुसार, 4 धनिया पत्ती - कटी हुई, नमक - स्वादानुसार, 1 बड़ा चम्मच मक्खन")</f>
        <v>200 ग्राम पनीर - टुकड़े टुकड़े, 2 शिमला मिर्च (हरा) - बारीक कटा हुआ, 1 प्याज - बारीक कटा हुआ, 1 इंच अदरक - कद्दूकस किया हुआ, 2 हरी मिर्च - बारीक कटी हुई, 1 टमाटर - बारीक कटा हुआ, 1 छोटा चम्मच जीरा, 1/2 छोटा चम्मच हल्दी पाउडर, 1/2 छोटा चम्मच लाल मिर्च पाउडर - स्वादानुसार, 4 धनिया पत्ती - कटी हुई, नमक - स्वादानुसार, 1 बड़ा चम्मच मक्खन</v>
      </c>
      <c r="H156" s="1" t="s">
        <v>31628</v>
      </c>
      <c r="I156" s="1" t="str">
        <f ca="1">IFERROR(__xludf.dummyfunction("IF(H156="""", """", GOOGLETRANSLATE(H156, ""en"", ""hi""))"),"""कैप्सिकम पनीर भुर्जी बनाने के लिए सबसे पहले पनीर को तोड़कर अलग रख लें। एक पैन में मक्खन गर्म करें। इसमें जीरा, प्याज, शिमला मिर्च, हरी मिर्च और अदरक डालें। प्याज और शिमला मिर्च के नरम होने तक पकाएँ। अब टमाटर, हल्दी पाउडर, लाल मिर्च पाउडर डालें और मिलाएँ"&amp;"। 1 मिनट बाद पनीर, नमक डालें और अच्छी तरह मिलाएँ। 3 से 4 मिनट तक पकाएँ और गैस बंद कर दें। गरमागरम परोसें। शिमला मिर्च पनीर भुर्जी को लहसुन दाल और फुल्के के साथ लंच में परोसें।""")</f>
        <v>"कैप्सिकम पनीर भुर्जी बनाने के लिए सबसे पहले पनीर को तोड़कर अलग रख लें। एक पैन में मक्खन गर्म करें। इसमें जीरा, प्याज, शिमला मिर्च, हरी मिर्च और अदरक डालें। प्याज और शिमला मिर्च के नरम होने तक पकाएँ। अब टमाटर, हल्दी पाउडर, लाल मिर्च पाउडर डालें और मिलाएँ। 1 मिनट बाद पनीर, नमक डालें और अच्छी तरह मिलाएँ। 3 से 4 मिनट तक पकाएँ और गैस बंद कर दें। गरमागरम परोसें। शिमला मिर्च पनीर भुर्जी को लहसुन दाल और फुल्के के साथ लंच में परोसें।"</v>
      </c>
      <c r="J156" s="3" t="s">
        <v>31629</v>
      </c>
      <c r="L156" s="1" t="s">
        <v>31003</v>
      </c>
    </row>
    <row r="157" spans="1:12" ht="409.6">
      <c r="A157" s="1" t="s">
        <v>31630</v>
      </c>
      <c r="B157" s="1" t="str">
        <f ca="1">IFERROR(__xludf.dummyfunction("IF(A157="""", """", GOOGLETRANSLATE(A157, ""en"", ""hi""))"),"शक्करपारा रेसिपी (शंकरपाली)")</f>
        <v>शक्करपारा रेसिपी (शंकरपाली)</v>
      </c>
      <c r="C157" s="1" t="s">
        <v>14281</v>
      </c>
      <c r="D157" s="1" t="s">
        <v>14198</v>
      </c>
      <c r="E157" s="1">
        <v>100</v>
      </c>
      <c r="F157" s="1" t="s">
        <v>31631</v>
      </c>
      <c r="G157" s="1" t="str">
        <f ca="1">IFERROR(__xludf.dummyfunction("IF(F157="""", """", GOOGLETRANSLATE(F157, ""en"", ""hi""))"),"1 कप पानी, 1/4 कप चीनी, 2-1/2 कप विवत्ता मैदा - या गेहूं का आटा, 1/4 चम्मच नमक - स्वादानुसार, 1/4 कप घी, सूरजमुखी तेल - तलने के लिए, 4 बड़े चम्मच चीनी - पीसी हुई, 1 चम्मच दालचीनी पाउडर (दालचीनी)")</f>
        <v>1 कप पानी, 1/4 कप चीनी, 2-1/2 कप विवत्ता मैदा - या गेहूं का आटा, 1/4 चम्मच नमक - स्वादानुसार, 1/4 कप घी, सूरजमुखी तेल - तलने के लिए, 4 बड़े चम्मच चीनी - पीसी हुई, 1 चम्मच दालचीनी पाउडर (दालचीनी)</v>
      </c>
      <c r="H157" s="4" t="s">
        <v>31632</v>
      </c>
      <c r="I157" s="1" t="str">
        <f ca="1">IFERROR(__xludf.dummyfunction("IF(H157="""", """", GOOGLETRANSLATE(H157, ""en"", ""hi""))"),"शंकरपाली रेसिपी बनाने के लिए सबसे पहले एक सॉस पैन में पानी और चीनी डालकर गर्म करें जब तक चीनी घुल न जाए। आंच से उतार लें और थोड़ा ठंडा कर लें। एक प्याले में मैदा और नमक छान लें और घी के साथ मिला लें जब तक मोटे टुकड़े न बन जाएं। धीरे-धीरे पानी-चीनी के मिश्"&amp;"रण को आटे में डालें। आटे को मिलाएँ और सख्त लेकिन मुलायम आटे की तरह गूंथ लें। इसे 30 मिनट के लिए किसी ठंडी जगह पर ढककर रख दें। एक कड़ाही में तेल गर्म करें और आटे को 3-4 भागों में बाँट लें। प्रत्येक भाग को पतले (लगभग 7-8 इंच) आकार में या अपनी इच्छानुसार मोट"&amp;"ाई में बेल लें। पिज्जा कटर, चाकू या विशेष शंकरपाली कटर का उपयोग करके चौकोर या डायमंड आकार में काट लें जब शंकरपाली अभी भी गरम हो, तो उस पर दालचीनी चीनी छिड़कें। पूरी तरह से ठंडा करें और एक एयरटाइट कंटेनर में स्टोर करें। शक्करपारा को चाय के समय नाश्ते के रू"&amp;"प में परोसें या आप इन्हें अपने बच्चों के नाश्ते के डिब्बे में भी पैक कर सकते हैं।")</f>
        <v>शंकरपाली रेसिपी बनाने के लिए सबसे पहले एक सॉस पैन में पानी और चीनी डालकर गर्म करें जब तक चीनी घुल न जाए। आंच से उतार लें और थोड़ा ठंडा कर लें। एक प्याले में मैदा और नमक छान लें और घी के साथ मिला लें जब तक मोटे टुकड़े न बन जाएं। धीरे-धीरे पानी-चीनी के मिश्रण को आटे में डालें। आटे को मिलाएँ और सख्त लेकिन मुलायम आटे की तरह गूंथ लें। इसे 30 मिनट के लिए किसी ठंडी जगह पर ढककर रख दें। एक कड़ाही में तेल गर्म करें और आटे को 3-4 भागों में बाँट लें। प्रत्येक भाग को पतले (लगभग 7-8 इंच) आकार में या अपनी इच्छानुसार मोटाई में बेल लें। पिज्जा कटर, चाकू या विशेष शंकरपाली कटर का उपयोग करके चौकोर या डायमंड आकार में काट लें जब शंकरपाली अभी भी गरम हो, तो उस पर दालचीनी चीनी छिड़कें। पूरी तरह से ठंडा करें और एक एयरटाइट कंटेनर में स्टोर करें। शक्करपारा को चाय के समय नाश्ते के रूप में परोसें या आप इन्हें अपने बच्चों के नाश्ते के डिब्बे में भी पैक कर सकते हैं।</v>
      </c>
      <c r="J157" s="3" t="s">
        <v>31633</v>
      </c>
      <c r="L157" s="1" t="s">
        <v>31003</v>
      </c>
    </row>
    <row r="158" spans="1:12" ht="13.8">
      <c r="A158" s="1" t="s">
        <v>31634</v>
      </c>
      <c r="B158" s="1" t="str">
        <f ca="1">IFERROR(__xludf.dummyfunction("IF(A158="""", """", GOOGLETRANSLATE(A158, ""en"", ""hi""))"),"मटन शमी कबाब रेसिपी")</f>
        <v>मटन शमी कबाब रेसिपी</v>
      </c>
      <c r="C158" s="1" t="s">
        <v>14572</v>
      </c>
      <c r="D158" s="1" t="s">
        <v>14382</v>
      </c>
      <c r="E158" s="1">
        <v>145</v>
      </c>
      <c r="F158" s="1" t="s">
        <v>31635</v>
      </c>
      <c r="G158" s="1" t="str">
        <f ca="1">IFERROR(__xludf.dummyfunction("IF(F158="""", """", GOOGLETRANSLATE(F158, ""en"", ""hi""))"),"500 ग्राम मटन - हड्डी रहित और धोया हुआ, 1 कप चना दाल (बंगाल ग्राम दाल) - 4 घंटे से भिगोया हुआ, 1/2 चम्मच हल्दी पाउडर (हल्दी), 10 लहसुन के दाने, 1 इंच अदरक - मोटा कटा हुआ, 2 हरी मिर्च - बारीक कटी हुई, 1 प्याज - बारीक कटा हुआ, 1/2 कप पुदीना - बारीक कटा हुआ,"&amp;" नमक - स्वादानुसार, 2 बड़े चम्मच घी, 4 सूखी लाल मिर्च, 1 बड़ा चम्मच काली मिर्च पाउडर, 4 लौंग, 1 इंच दालचीनी, 5 इलायची की फली / बीज, 1 चम्मच सौंफ, 1 चम्मच अजवाइन")</f>
        <v>500 ग्राम मटन - हड्डी रहित और धोया हुआ, 1 कप चना दाल (बंगाल ग्राम दाल) - 4 घंटे से भिगोया हुआ, 1/2 चम्मच हल्दी पाउडर (हल्दी), 10 लहसुन के दाने, 1 इंच अदरक - मोटा कटा हुआ, 2 हरी मिर्च - बारीक कटी हुई, 1 प्याज - बारीक कटा हुआ, 1/2 कप पुदीना - बारीक कटा हुआ, नमक - स्वादानुसार, 2 बड़े चम्मच घी, 4 सूखी लाल मिर्च, 1 बड़ा चम्मच काली मिर्च पाउडर, 4 लौंग, 1 इंच दालचीनी, 5 इलायची की फली / बीज, 1 चम्मच सौंफ, 1 चम्मच अजवाइन</v>
      </c>
      <c r="H158" s="1" t="s">
        <v>31636</v>
      </c>
      <c r="I158" s="1" t="str">
        <f ca="1">IFERROR(__xludf.dummyfunction("IF(H158="""", """", GOOGLETRANSLATE(H158, ""en"", ""hi""))"),"मटन शमी कबाब रेसिपी बनाने के लिए सबसे पहले एक पहले से गरम किए हुए प्रेशर कुकर में घी, सूखी लाल मिर्च, अजवाइन, सौंफ, इलायची, काली मिर्च, लौंग, दालचीनी, लहसुन और अदरक डालें। कुछ सेकंड के लिए भूनें और फिर इसमें बोनलेस और धुले हुए मटन को डालें। मांस को लगभग 5"&amp;" मिनट तक भूनें और पकाएं। हो जाने के बाद इसमें चना दाल, हल्दी पाउडर, स्वादानुसार नमक और बस इतना पानी डालें जब तक कि सामग्री पूरी तरह से पानी में डूब न जाए। मटन और दाल को 5 से 6 सीटी आने तक प्रेशर कुक करें। आंच को कम करें और लगभग 3 से 4 मिनट तक उबालें। प्रे"&amp;"शर को अपने आप निकलने दें और फिर प्रेशर कुकर खोलें। अगर प्रेशर कुकर में नमी है तो आंच चालू करें और तब तक हिलाते रहें जब तक कि नमी सूख न जाए ठंडा किया हुआ शमी कबाब मिश्रण जार में डालें और दरदरा पीस लें। जब यह हो जाए तो उसी जार में प्याज़, हरी मिर्च और पुदीन"&amp;"े के पत्ते डालें। सभी सामग्री को मिलाने के लिए पल्स करें। पल्स किए हुए शमी कबाब मिश्रण को एक कटोरे में डालें और गोल आकार दें। शमी कबाब को पहले से गरम किए हुए पैन में डालें। मटन शमी कबाब के ऊपर घी छिड़कें और दोनों तरफ से सुनहरा भूरा होने तक तल लें। मटन शमी"&amp;" कबाब को एक सर्विंग प्लेट में डालें और गरमागरम परोसें। मटन शमी कबाब को धनिया पुदीना चटनी के साथ पार्टियों में ऐपेटाइज़र के रूप में परोसें और आपके मेहमान इसे ज़रूर पसंद करेंगे।")</f>
        <v>मटन शमी कबाब रेसिपी बनाने के लिए सबसे पहले एक पहले से गरम किए हुए प्रेशर कुकर में घी, सूखी लाल मिर्च, अजवाइन, सौंफ, इलायची, काली मिर्च, लौंग, दालचीनी, लहसुन और अदरक डालें। कुछ सेकंड के लिए भूनें और फिर इसमें बोनलेस और धुले हुए मटन को डालें। मांस को लगभग 5 मिनट तक भूनें और पकाएं। हो जाने के बाद इसमें चना दाल, हल्दी पाउडर, स्वादानुसार नमक और बस इतना पानी डालें जब तक कि सामग्री पूरी तरह से पानी में डूब न जाए। मटन और दाल को 5 से 6 सीटी आने तक प्रेशर कुक करें। आंच को कम करें और लगभग 3 से 4 मिनट तक उबालें। प्रेशर को अपने आप निकलने दें और फिर प्रेशर कुकर खोलें। अगर प्रेशर कुकर में नमी है तो आंच चालू करें और तब तक हिलाते रहें जब तक कि नमी सूख न जाए ठंडा किया हुआ शमी कबाब मिश्रण जार में डालें और दरदरा पीस लें। जब यह हो जाए तो उसी जार में प्याज़, हरी मिर्च और पुदीने के पत्ते डालें। सभी सामग्री को मिलाने के लिए पल्स करें। पल्स किए हुए शमी कबाब मिश्रण को एक कटोरे में डालें और गोल आकार दें। शमी कबाब को पहले से गरम किए हुए पैन में डालें। मटन शमी कबाब के ऊपर घी छिड़कें और दोनों तरफ से सुनहरा भूरा होने तक तल लें। मटन शमी कबाब को एक सर्विंग प्लेट में डालें और गरमागरम परोसें। मटन शमी कबाब को धनिया पुदीना चटनी के साथ पार्टियों में ऐपेटाइज़र के रूप में परोसें और आपके मेहमान इसे ज़रूर पसंद करेंगे।</v>
      </c>
      <c r="J158" s="3" t="s">
        <v>31637</v>
      </c>
      <c r="L158" s="1" t="s">
        <v>31003</v>
      </c>
    </row>
    <row r="159" spans="1:12" ht="409.6">
      <c r="A159" s="1" t="s">
        <v>31638</v>
      </c>
      <c r="B159" s="1" t="str">
        <f ca="1">IFERROR(__xludf.dummyfunction("IF(A159="""", """", GOOGLETRANSLATE(A159, ""en"", ""hi""))"),"खमीर रहित लहसुन नान रेसिपी")</f>
        <v>खमीर रहित लहसुन नान रेसिपी</v>
      </c>
      <c r="C159" s="1" t="s">
        <v>429</v>
      </c>
      <c r="D159" s="1" t="s">
        <v>14198</v>
      </c>
      <c r="E159" s="1">
        <v>60</v>
      </c>
      <c r="F159" s="1" t="s">
        <v>31639</v>
      </c>
      <c r="G159" s="1" t="str">
        <f ca="1">IFERROR(__xludf.dummyfunction("IF(F159="""", """", GOOGLETRANSLATE(F159, ""en"", ""hi""))"),"1 कप गेहूं का आटा, 1 कप मैदा - (छिड़कने के लिए अधिक), 1-1/2 बड़ा चम्मच लहसुन - पेस्ट बनाने के लिए, 2 बड़े चम्मच मक्खन - पिघला हुआ, 4 बड़े चम्मच दही (दही), 1/2 कप दूध, 1/2 छोटा चम्मच बेकिंग पाउडर, 1/2 छोटा चम्मच बेकिंग सोडा, 2 बड़े चम्मच धनिया (धनिया) के प"&amp;"त्ते - बारीक कटे हुए, नमक - स्वादानुसार")</f>
        <v>1 कप गेहूं का आटा, 1 कप मैदा - (छिड़कने के लिए अधिक), 1-1/2 बड़ा चम्मच लहसुन - पेस्ट बनाने के लिए, 2 बड़े चम्मच मक्खन - पिघला हुआ, 4 बड़े चम्मच दही (दही), 1/2 कप दूध, 1/2 छोटा चम्मच बेकिंग पाउडर, 1/2 छोटा चम्मच बेकिंग सोडा, 2 बड़े चम्मच धनिया (धनिया) के पत्ते - बारीक कटे हुए, नमक - स्वादानुसार</v>
      </c>
      <c r="H159" s="4" t="s">
        <v>31640</v>
      </c>
      <c r="I159" s="1" t="str">
        <f ca="1">IFERROR(__xludf.dummyfunction("IF(H159="""", """", GOOGLETRANSLATE(H159, ""en"", ""hi""))"),"बिना खमीर वाली लहसुन नान रेसिपी बनाने के लिए सबसे पहले एक मिक्सिंग बाउल में 1/2 चम्मच लहसुन और मक्खन को छोड़कर सारी सामग्री मिला लें। इसका नरम आटा गूंथ लें और इसे 1/2 घंटे के लिए अलग रख दें। एक दूसरे बाउल में मक्खन और बचा हुआ लहसुन मिला लें। अब आटे का एक "&amp;"छोटा हिस्सा लें, इसे मैदा में लपेट लें और बेलन की मदद से नान के आकार में बेल लें। पानी की मदद से नान के एक तरफ को गीला कर लें। एक सामान्य तवा लें और उस पर गीला हिस्सा रख दें। जब नान पर छोटे बुलबुले दिखाई देने लगें। तवे को उल्टा कर दें और धीमी आंच पर पकने "&amp;"दें। करीब 1 मिनट बाद यह पूरी तरह से पक गया है। इसे एक प्लेट में निकाल लें, इस पर मक्खन और लहसुन का मिश्रण लगाएं और गर्मागर्म सर्व करें। बिना खमीर वाली लहसुन नान को दाल मखनी और वेजिटेबल मलाई कोफ्ता के साथ स्वादिष्ट वीकेंड डिनर के लिए परोसें।")</f>
        <v>बिना खमीर वाली लहसुन नान रेसिपी बनाने के लिए सबसे पहले एक मिक्सिंग बाउल में 1/2 चम्मच लहसुन और मक्खन को छोड़कर सारी सामग्री मिला लें। इसका नरम आटा गूंथ लें और इसे 1/2 घंटे के लिए अलग रख दें। एक दूसरे बाउल में मक्खन और बचा हुआ लहसुन मिला लें। अब आटे का एक छोटा हिस्सा लें, इसे मैदा में लपेट लें और बेलन की मदद से नान के आकार में बेल लें। पानी की मदद से नान के एक तरफ को गीला कर लें। एक सामान्य तवा लें और उस पर गीला हिस्सा रख दें। जब नान पर छोटे बुलबुले दिखाई देने लगें। तवे को उल्टा कर दें और धीमी आंच पर पकने दें। करीब 1 मिनट बाद यह पूरी तरह से पक गया है। इसे एक प्लेट में निकाल लें, इस पर मक्खन और लहसुन का मिश्रण लगाएं और गर्मागर्म सर्व करें। बिना खमीर वाली लहसुन नान को दाल मखनी और वेजिटेबल मलाई कोफ्ता के साथ स्वादिष्ट वीकेंड डिनर के लिए परोसें।</v>
      </c>
      <c r="J159" s="3" t="s">
        <v>31641</v>
      </c>
      <c r="L159" s="1" t="s">
        <v>31003</v>
      </c>
    </row>
    <row r="160" spans="1:12" ht="13.8">
      <c r="A160" s="1" t="s">
        <v>31642</v>
      </c>
      <c r="B160" s="1" t="str">
        <f ca="1">IFERROR(__xludf.dummyfunction("IF(A160="""", """", GOOGLETRANSLATE(A160, ""en"", ""hi""))"),"अरबी का साग रेसिपी")</f>
        <v>अरबी का साग रेसिपी</v>
      </c>
      <c r="C160" s="1" t="s">
        <v>145</v>
      </c>
      <c r="D160" s="1" t="s">
        <v>14198</v>
      </c>
      <c r="E160" s="1">
        <v>20</v>
      </c>
      <c r="F160" s="1" t="s">
        <v>31643</v>
      </c>
      <c r="G160" s="1" t="str">
        <f ca="1">IFERROR(__xludf.dummyfunction("IF(F160="""", """", GOOGLETRANSLATE(F160, ""en"", ""hi""))"),"250 ग्राम अरबी - उबली और छिली हुई, सूरजमुखी तेल - आवश्यकतानुसार, 1/2 चम्मच सरसों के बीज, 1/4 चम्मच हींग, 1 हरी मिर्च - बारीक कटी हुई, 1 बड़ा चम्मच अदरक लहसुन पेस्ट, 1 प्याज - बारीक कटा हुआ, 1/2 कप दही, 1 चम्मच लाल मिर्च पाउडर, 1/2 चम्मच हल्दी पाउडर, 1 चम्"&amp;"मच धनिया पाउडर, नमक - आवश्यकतानुसार, पानी - आवश्यकतानुसार, धनिया के पत्ते - कुछ टहनियाँ")</f>
        <v>250 ग्राम अरबी - उबली और छिली हुई, सूरजमुखी तेल - आवश्यकतानुसार, 1/2 चम्मच सरसों के बीज, 1/4 चम्मच हींग, 1 हरी मिर्च - बारीक कटी हुई, 1 बड़ा चम्मच अदरक लहसुन पेस्ट, 1 प्याज - बारीक कटा हुआ, 1/2 कप दही, 1 चम्मच लाल मिर्च पाउडर, 1/2 चम्मच हल्दी पाउडर, 1 चम्मच धनिया पाउडर, नमक - आवश्यकतानुसार, पानी - आवश्यकतानुसार, धनिया के पत्ते - कुछ टहनियाँ</v>
      </c>
      <c r="H160" s="1" t="s">
        <v>31644</v>
      </c>
      <c r="I160" s="1" t="str">
        <f ca="1">IFERROR(__xludf.dummyfunction("IF(H160="""", """", GOOGLETRANSLATE(H160, ""en"", ""hi""))"),"अरबी का साग बनाने के लिए सबसे पहले उबली हुई अरबी को गोल आकार में काट लें। इसे एक तरफ रख दें। एक कड़ाही में तेल गरम करें। इसमें राई और हींग डालें। इसे तब तक पकने दें जब तक कि राई चटकने न लगे। जब यह चटकने लगे, तो इसमें अदरक लहसुन का पेस्ट, हरी मिर्च डालें औ"&amp;"र लगभग 2 से 3 मिनट तक पकने दें। 2 से 3 मिनट के बाद, इसमें बारीक कटा हुआ प्याज डालें। इसे तब तक पकने दें जब तक कि प्याज नरम और पारदर्शी न हो जाए। पैन में लाल मिर्च पाउडर, हल्दी पाउडर, धनिया पाउडर और नमक सहित सभी मसाले डालें। इसे 4 से 5 मिनट तक पकने दें। इस"&amp;" बीच, दही में पानी डालें और अच्छी तरह से फेंटें। उबली हुई कार्बी डालें और सब कुछ ठीक से मिलाएँ। आंच धीमी कर दें, दही को पैन में डालें और लगातार हिलाएँ। ढक्कन को ढक दें और इसे लगभग 8 से 10 मिनट तक पकने दें। 8 से 10 मिनट के बाद, आंच बंद कर दें और इसे कटे हु"&amp;"ए हरे धनिये से गार्निश करें। अरबी के साग को बूंदी रायता और फुल्के या उबले हुए चावल के साथ सप्ताह के दिनों में दोपहर के भोजन या रात के खाने के लिए परोसें।")</f>
        <v>अरबी का साग बनाने के लिए सबसे पहले उबली हुई अरबी को गोल आकार में काट लें। इसे एक तरफ रख दें। एक कड़ाही में तेल गरम करें। इसमें राई और हींग डालें। इसे तब तक पकने दें जब तक कि राई चटकने न लगे। जब यह चटकने लगे, तो इसमें अदरक लहसुन का पेस्ट, हरी मिर्च डालें और लगभग 2 से 3 मिनट तक पकने दें। 2 से 3 मिनट के बाद, इसमें बारीक कटा हुआ प्याज डालें। इसे तब तक पकने दें जब तक कि प्याज नरम और पारदर्शी न हो जाए। पैन में लाल मिर्च पाउडर, हल्दी पाउडर, धनिया पाउडर और नमक सहित सभी मसाले डालें। इसे 4 से 5 मिनट तक पकने दें। इस बीच, दही में पानी डालें और अच्छी तरह से फेंटें। उबली हुई कार्बी डालें और सब कुछ ठीक से मिलाएँ। आंच धीमी कर दें, दही को पैन में डालें और लगातार हिलाएँ। ढक्कन को ढक दें और इसे लगभग 8 से 10 मिनट तक पकने दें। 8 से 10 मिनट के बाद, आंच बंद कर दें और इसे कटे हुए हरे धनिये से गार्निश करें। अरबी के साग को बूंदी रायता और फुल्के या उबले हुए चावल के साथ सप्ताह के दिनों में दोपहर के भोजन या रात के खाने के लिए परोसें।</v>
      </c>
      <c r="J160" s="3" t="s">
        <v>31645</v>
      </c>
      <c r="L160" s="1" t="s">
        <v>31003</v>
      </c>
    </row>
    <row r="161" spans="1:12" ht="13.8">
      <c r="A161" s="1" t="s">
        <v>31646</v>
      </c>
      <c r="B161" s="1" t="str">
        <f ca="1">IFERROR(__xludf.dummyfunction("IF(A161="""", """", GOOGLETRANSLATE(A161, ""en"", ""hi""))"),"बटर गार्लिक नान रेसिपी - गार्लिक फ्लेवर्ड फ्लैटब्रेड")</f>
        <v>बटर गार्लिक नान रेसिपी - गार्लिक फ्लेवर्ड फ्लैटब्रेड</v>
      </c>
      <c r="C161" s="1" t="s">
        <v>145</v>
      </c>
      <c r="D161" s="1" t="s">
        <v>14198</v>
      </c>
      <c r="E161" s="1">
        <v>270</v>
      </c>
      <c r="F161" s="1" t="s">
        <v>31647</v>
      </c>
      <c r="G161" s="1" t="str">
        <f ca="1">IFERROR(__xludf.dummyfunction("IF(F161="""", """", GOOGLETRANSLATE(F161, ""en"", ""hi""))"),"3 कप मैदा, 1-1/2 चम्मच सक्रिय सूखा खमीर, 1/4 कप दही - फेंटा हुआ, नमक - आवश्यकतानुसार, 1/2 चम्मच चीनी, 8 लहसुन - पिसा हुआ, 2 बड़े चम्मच मक्खन - नरम किया हुआ, गुनगुना पानी - आवश्यकतानुसार, 6 लहसुन - बारीक कटा हुआ, 2 छोटे चम्मच धनिया - कटा हुआ, 1 छोटा चम्मच "&amp;"पुदीना - कटा हुआ, 2 बड़े चम्मच मक्खन - पिघला हुआ")</f>
        <v>3 कप मैदा, 1-1/2 चम्मच सक्रिय सूखा खमीर, 1/4 कप दही - फेंटा हुआ, नमक - आवश्यकतानुसार, 1/2 चम्मच चीनी, 8 लहसुन - पिसा हुआ, 2 बड़े चम्मच मक्खन - नरम किया हुआ, गुनगुना पानी - आवश्यकतानुसार, 6 लहसुन - बारीक कटा हुआ, 2 छोटे चम्मच धनिया - कटा हुआ, 1 छोटा चम्मच पुदीना - कटा हुआ, 2 बड़े चम्मच मक्खन - पिघला हुआ</v>
      </c>
      <c r="H161" s="1" t="s">
        <v>31648</v>
      </c>
      <c r="I161" s="1" t="str">
        <f ca="1">IFERROR(__xludf.dummyfunction("IF(H161="""", """", GOOGLETRANSLATE(H161, ""en"", ""hi""))"),"बटर गार्लिक नान बनाने के लिए सभी सामग्री तैयार करके रख लें। एक बड़े कटोरे में मैदा, नमक, चीनी और खमीर डालकर अच्छी तरह मिला लें। दही, मक्खन, लहसुन का पेस्ट डालकर अच्छी तरह मिला लें। धीरे-धीरे गुनगुना पानी डालते हुए नरम और मुलायम आटा गूंथ लें। एक सपाट, हल्क"&amp;"े आटे वाली सतह पर लगभग 8-10 मिनट तक गूंथ लें। (यदि स्टैंड मिक्सर का उपयोग कर रहे हैं तो गूंथने के लिए हुक अटैचमेंट का उपयोग करें) आटे को एक अच्छी तरह से तेल लगे कटोरे में रखें और गीले किचन टॉवल से ढक दें। आटे को 2 घंटे के लिए रख दें, जब तक कि यह आकार में "&amp;"दोगुना न हो जाए। आटे को दबाएँ, जब यह दोगुना हो जाए और एक या दो मिनट के लिए गूंथ लें। आटे को 6-7 बराबर भागों में बाँट लें और उन्हें एक गेंद का आकार दें (जब आप एक बेल रहे हों तब आटे की अन्य लोइयों को ढक कर रखें।) नान के ऊपर थोड़ा कटा हुआ लहसुन छिड़कें और अच"&amp;"्छी तरह से दबा दें। इसे पलट दें और इस तरफ थोड़ा पानी ब्रश करें। मध्यम आंच पर एक लोहे के तवे को गर्म करें। गर्म लोहे के तवे पर पानी ब्रश वाला भाग रखें। तवे को उल्टा कर दें ताकि लहसुन वाला भाग सीधे आंच पर रहे, बिना आंच को सीधे छुए। तवे को धीरे-धीरे हिलाएं त"&amp;"ाकि नान समान रूप से पक जाए। लगभग एक मिनट में नान भूरा होने लगता है और आप कुछ बुलबुले देख सकते हैं। चिमटे का उपयोग करके नान को तवे से उतार लें और दूसरी तरफ सीधे आंच पर पकाएं। समान रूप से पकाने के लिए नान को हिलाते रहें। धनिया और पुदीना को पिघले हुए मक्खन म"&amp;"ें मिलाएँ। इस हर्बड बटर को गार्लिक नान पर ब्रश करें")</f>
        <v>बटर गार्लिक नान बनाने के लिए सभी सामग्री तैयार करके रख लें। एक बड़े कटोरे में मैदा, नमक, चीनी और खमीर डालकर अच्छी तरह मिला लें। दही, मक्खन, लहसुन का पेस्ट डालकर अच्छी तरह मिला लें। धीरे-धीरे गुनगुना पानी डालते हुए नरम और मुलायम आटा गूंथ लें। एक सपाट, हल्के आटे वाली सतह पर लगभग 8-10 मिनट तक गूंथ लें। (यदि स्टैंड मिक्सर का उपयोग कर रहे हैं तो गूंथने के लिए हुक अटैचमेंट का उपयोग करें) आटे को एक अच्छी तरह से तेल लगे कटोरे में रखें और गीले किचन टॉवल से ढक दें। आटे को 2 घंटे के लिए रख दें, जब तक कि यह आकार में दोगुना न हो जाए। आटे को दबाएँ, जब यह दोगुना हो जाए और एक या दो मिनट के लिए गूंथ लें। आटे को 6-7 बराबर भागों में बाँट लें और उन्हें एक गेंद का आकार दें (जब आप एक बेल रहे हों तब आटे की अन्य लोइयों को ढक कर रखें।) नान के ऊपर थोड़ा कटा हुआ लहसुन छिड़कें और अच्छी तरह से दबा दें। इसे पलट दें और इस तरफ थोड़ा पानी ब्रश करें। मध्यम आंच पर एक लोहे के तवे को गर्म करें। गर्म लोहे के तवे पर पानी ब्रश वाला भाग रखें। तवे को उल्टा कर दें ताकि लहसुन वाला भाग सीधे आंच पर रहे, बिना आंच को सीधे छुए। तवे को धीरे-धीरे हिलाएं ताकि नान समान रूप से पक जाए। लगभग एक मिनट में नान भूरा होने लगता है और आप कुछ बुलबुले देख सकते हैं। चिमटे का उपयोग करके नान को तवे से उतार लें और दूसरी तरफ सीधे आंच पर पकाएं। समान रूप से पकाने के लिए नान को हिलाते रहें। धनिया और पुदीना को पिघले हुए मक्खन में मिलाएँ। इस हर्बड बटर को गार्लिक नान पर ब्रश करें</v>
      </c>
      <c r="J161" s="3" t="s">
        <v>31649</v>
      </c>
      <c r="L161" s="1" t="s">
        <v>31003</v>
      </c>
    </row>
    <row r="162" spans="1:12" ht="13.8">
      <c r="A162" s="1" t="s">
        <v>31650</v>
      </c>
      <c r="B162" s="1" t="str">
        <f ca="1">IFERROR(__xludf.dummyfunction("IF(A162="""", """", GOOGLETRANSLATE(A162, ""en"", ""hi""))"),"लहसुन दाल")</f>
        <v>लहसुन दाल</v>
      </c>
      <c r="C162" s="1" t="s">
        <v>145</v>
      </c>
      <c r="D162" s="1" t="s">
        <v>14237</v>
      </c>
      <c r="E162" s="1">
        <v>40</v>
      </c>
      <c r="F162" s="1" t="s">
        <v>31651</v>
      </c>
      <c r="G162" s="1" t="str">
        <f ca="1">IFERROR(__xludf.dummyfunction("IF(F162="""", """", GOOGLETRANSLATE(F162, ""en"", ""hi""))"),"1 कप अरहर दाल - या मूंग दाल, 1/4 कप इमली का पेस्ट, 5 हरी मिर्च - अपनी आवश्यकतानुसार, 10 लहसुन की कलियाँ, नमक - स्वादानुसार, 1 बड़ा चम्मच तेल, 1 छोटा चम्मच राई, 10 करी पत्ते, हरा धनिया - थोड़ा सा")</f>
        <v>1 कप अरहर दाल - या मूंग दाल, 1/4 कप इमली का पेस्ट, 5 हरी मिर्च - अपनी आवश्यकतानुसार, 10 लहसुन की कलियाँ, नमक - स्वादानुसार, 1 बड़ा चम्मच तेल, 1 छोटा चम्मच राई, 10 करी पत्ते, हरा धनिया - थोड़ा सा</v>
      </c>
      <c r="H162" s="1" t="s">
        <v>31652</v>
      </c>
      <c r="I162" s="1" t="str">
        <f ca="1">IFERROR(__xludf.dummyfunction("IF(H162="""", """", GOOGLETRANSLATE(H162, ""en"", ""hi""))"),"लहसुनी दाल बनाने के लिए सबसे पहले दाल को पानी के साथ प्रेशर कुकर में पका लें। पकने के बाद इसे ठंडा होने के लिए रख दें। अब एक पैन में हरी मिर्च को बिना तेल के भून लें। अब दाल, हरी मिर्च, लहसुन, इमली का पेस्ट और नमक को मिक्सी में डालकर पीस लें। अब एक पैन मे"&amp;"ं तेल गर्म करें। इसमें राई और करी पत्ता डालें। 10 सेकंड बाद इसमें पिसी हुई दाल डालें और गैस बंद कर दें। बंद करने के बाद हरे धनिये से गार्निश करें। लहसुनी दाल को लौकी बड़ी सब्ज़ी, बूंदी रायता और फुल्के के साथ लंच में सर्व करें।")</f>
        <v>लहसुनी दाल बनाने के लिए सबसे पहले दाल को पानी के साथ प्रेशर कुकर में पका लें। पकने के बाद इसे ठंडा होने के लिए रख दें। अब एक पैन में हरी मिर्च को बिना तेल के भून लें। अब दाल, हरी मिर्च, लहसुन, इमली का पेस्ट और नमक को मिक्सी में डालकर पीस लें। अब एक पैन में तेल गर्म करें। इसमें राई और करी पत्ता डालें। 10 सेकंड बाद इसमें पिसी हुई दाल डालें और गैस बंद कर दें। बंद करने के बाद हरे धनिये से गार्निश करें। लहसुनी दाल को लौकी बड़ी सब्ज़ी, बूंदी रायता और फुल्के के साथ लंच में सर्व करें।</v>
      </c>
      <c r="J162" s="3" t="s">
        <v>31653</v>
      </c>
      <c r="L162" s="1" t="s">
        <v>31003</v>
      </c>
    </row>
    <row r="163" spans="1:12" ht="13.8">
      <c r="A163" s="1" t="s">
        <v>31654</v>
      </c>
      <c r="B163" s="1" t="str">
        <f ca="1">IFERROR(__xludf.dummyfunction("IF(A163="""", """", GOOGLETRANSLATE(A163, ""en"", ""hi""))"),"टमाटर प्याज की सब्जी रेसिपी - टमाटर प्याज की सब्जी")</f>
        <v>टमाटर प्याज की सब्जी रेसिपी - टमाटर प्याज की सब्जी</v>
      </c>
      <c r="C163" s="1" t="s">
        <v>14207</v>
      </c>
      <c r="D163" s="1" t="s">
        <v>14198</v>
      </c>
      <c r="E163" s="1">
        <v>40</v>
      </c>
      <c r="F163" s="1" t="s">
        <v>31655</v>
      </c>
      <c r="G163" s="1" t="str">
        <f ca="1">IFERROR(__xludf.dummyfunction("IF(F163="""", """", GOOGLETRANSLATE(F163, ""en"", ""hi""))"),"4 टमाटर - चौथाई भाग में कटे हुए, 1 प्याज - पतले कटे हुए, 2 हरी मिर्च - कटी हुई, 4 लहसुन के दाने, 1 छोटा चम्मच हल्दी, 1 छोटा चम्मच लाल मिर्च पाउडर, नमक - स्वादानुसार, 1/2 छोटा चम्मच सरसों के दाने, 1 टहनी करी पत्ता, 1/2 छोटा चम्मच सरसों का तेल, 1 तेज पत्ता "&amp;"- आधा तोड़ा हुआ, 2 लौंग, 1 इंच दालचीनी")</f>
        <v>4 टमाटर - चौथाई भाग में कटे हुए, 1 प्याज - पतले कटे हुए, 2 हरी मिर्च - कटी हुई, 4 लहसुन के दाने, 1 छोटा चम्मच हल्दी, 1 छोटा चम्मच लाल मिर्च पाउडर, नमक - स्वादानुसार, 1/2 छोटा चम्मच सरसों के दाने, 1 टहनी करी पत्ता, 1/2 छोटा चम्मच सरसों का तेल, 1 तेज पत्ता - आधा तोड़ा हुआ, 2 लौंग, 1 इंच दालचीनी</v>
      </c>
      <c r="H163" s="1" t="s">
        <v>31656</v>
      </c>
      <c r="I163" s="1" t="str">
        <f ca="1">IFERROR(__xludf.dummyfunction("IF(H163="""", """", GOOGLETRANSLATE(H163, ""en"", ""hi""))"),"टमाटर प्याज की सब्जी बनाने के लिए सबसे पहले सारी सामग्री तैयार करके रख लें। मध्यम आंच पर एक प्रेशर कुकर में तेल गर्म करें, उसमें राई डालें और चटकने दें। जब वह चटकने लगे तो उसमें करी पत्ता, तेज पत्ता, लौंग, दालचीनी डालें और कुछ सेकेंड के लिए भूनें। उसमें प"&amp;"्याज, हरी मिर्च और लहसुन डालें। प्याज को हल्का नरम होने तक भूनें। नरम होने पर उसमें टमाटर, हल्दी पाउडर, लाल मिर्च पाउडर और स्वादानुसार नमक डालें। थोड़ा सा पानी डालें - लगभग 2 से 3 बड़े चम्मच और प्रेशर कुकर को ढक दें। 2 सीटी आने तक पकाएं और आंच बंद कर दें।"&amp;" प्रेशर निकल जाने पर टमाटर प्याज की सब्जी में नमक और मसाले चेक करें और अपने स्वादानुसार मिला लें। टमाटर प्याज की सब्जी को आलू भिंडी की सब्जी, फुल्का, गुजराती कढ़ी के साथ स्वादिष्ट रविवार के लंच के लिए परोसें।")</f>
        <v>टमाटर प्याज की सब्जी बनाने के लिए सबसे पहले सारी सामग्री तैयार करके रख लें। मध्यम आंच पर एक प्रेशर कुकर में तेल गर्म करें, उसमें राई डालें और चटकने दें। जब वह चटकने लगे तो उसमें करी पत्ता, तेज पत्ता, लौंग, दालचीनी डालें और कुछ सेकेंड के लिए भूनें। उसमें प्याज, हरी मिर्च और लहसुन डालें। प्याज को हल्का नरम होने तक भूनें। नरम होने पर उसमें टमाटर, हल्दी पाउडर, लाल मिर्च पाउडर और स्वादानुसार नमक डालें। थोड़ा सा पानी डालें - लगभग 2 से 3 बड़े चम्मच और प्रेशर कुकर को ढक दें। 2 सीटी आने तक पकाएं और आंच बंद कर दें। प्रेशर निकल जाने पर टमाटर प्याज की सब्जी में नमक और मसाले चेक करें और अपने स्वादानुसार मिला लें। टमाटर प्याज की सब्जी को आलू भिंडी की सब्जी, फुल्का, गुजराती कढ़ी के साथ स्वादिष्ट रविवार के लंच के लिए परोसें।</v>
      </c>
      <c r="J163" s="3" t="s">
        <v>31657</v>
      </c>
      <c r="L163" s="1" t="s">
        <v>31003</v>
      </c>
    </row>
    <row r="164" spans="1:12" ht="13.8">
      <c r="A164" s="1" t="s">
        <v>31658</v>
      </c>
      <c r="B164" s="1" t="str">
        <f ca="1">IFERROR(__xludf.dummyfunction("IF(A164="""", """", GOOGLETRANSLATE(A164, ""en"", ""hi""))"),"सुवा मेथी बैंगन सब्ज़ी रेसिपी (डिल और मेथी पत्तियों में बैंगन करी रेसिपी)")</f>
        <v>सुवा मेथी बैंगन सब्ज़ी रेसिपी (डिल और मेथी पत्तियों में बैंगन करी रेसिपी)</v>
      </c>
      <c r="C164" s="1" t="s">
        <v>145</v>
      </c>
      <c r="D164" s="1" t="s">
        <v>14198</v>
      </c>
      <c r="E164" s="1">
        <v>35</v>
      </c>
      <c r="F164" s="1" t="s">
        <v>31659</v>
      </c>
      <c r="G164" s="1" t="str">
        <f ca="1">IFERROR(__xludf.dummyfunction("IF(F164="""", """", GOOGLETRANSLATE(F164, ""en"", ""hi""))"),"5 छोटे बैंगन, 1 कप कसूरी मेथी, 1 कप डिल के पत्ते, 3 लहसुन के दाने - बारीक कटे या पिसे हुए, 3 हरी मिर्च - बारीक कटी या बारीक कटी हुई, 1 इंच अदरक - कद्दूकस किया हुआ, 2 टमाटर - मोटे कटे हुए, 1 बड़ा चम्मच सरसों का तेल, 1/4 छोटा चम्मच सरसों के बीज, 1/4 छोटा चम"&amp;"्मच सौंफ, 1/2 छोटा चम्मच जीरा, 1 चुटकी हींग, नमक - स्वादानुसार")</f>
        <v>5 छोटे बैंगन, 1 कप कसूरी मेथी, 1 कप डिल के पत्ते, 3 लहसुन के दाने - बारीक कटे या पिसे हुए, 3 हरी मिर्च - बारीक कटी या बारीक कटी हुई, 1 इंच अदरक - कद्दूकस किया हुआ, 2 टमाटर - मोटे कटे हुए, 1 बड़ा चम्मच सरसों का तेल, 1/4 छोटा चम्मच सरसों के बीज, 1/4 छोटा चम्मच सौंफ, 1/2 छोटा चम्मच जीरा, 1 चुटकी हींग, नमक - स्वादानुसार</v>
      </c>
      <c r="H164" s="1" t="s">
        <v>31660</v>
      </c>
      <c r="I164" s="1" t="str">
        <f ca="1">IFERROR(__xludf.dummyfunction("IF(H164="""", """", GOOGLETRANSLATE(H164, ""en"", ""hi""))"),"हम तेल गर्म करके सुवा मेथी बैंगन सब्ज़ी रेसिपी (बैंगन और मेथी के पत्तों की करी रेसिपी) बनाना शुरू करते हैं। सरसों के बीज, जीरा, सौंफ़ के बीज और हिंग को चटकाएँ। टमाटर, अदरक और हरी मिर्च डालें। कुछ सेकंड के लिए भूनें। फिर बैंगन, डिल के पत्ते और सूखी मेथी के"&amp;" पत्ते डालें। नमक छिड़कें और स्वाद की जाँच करें। ½ कप पानी डालें और 2 सीटी आने तक पकाएँ। प्रेशर को स्वाभाविक रूप से छोड़ें। सुवा मेथी बैंगन सब्ज़ी रेसिपी (बैंगन और मेथी के पत्तों की करी रेसिपी) को तवा पराठा और हॉट स्टीम राइस के साथ परोसें।")</f>
        <v>हम तेल गर्म करके सुवा मेथी बैंगन सब्ज़ी रेसिपी (बैंगन और मेथी के पत्तों की करी रेसिपी) बनाना शुरू करते हैं। सरसों के बीज, जीरा, सौंफ़ के बीज और हिंग को चटकाएँ। टमाटर, अदरक और हरी मिर्च डालें। कुछ सेकंड के लिए भूनें। फिर बैंगन, डिल के पत्ते और सूखी मेथी के पत्ते डालें। नमक छिड़कें और स्वाद की जाँच करें। ½ कप पानी डालें और 2 सीटी आने तक पकाएँ। प्रेशर को स्वाभाविक रूप से छोड़ें। सुवा मेथी बैंगन सब्ज़ी रेसिपी (बैंगन और मेथी के पत्तों की करी रेसिपी) को तवा पराठा और हॉट स्टीम राइस के साथ परोसें।</v>
      </c>
      <c r="J164" s="3" t="s">
        <v>31661</v>
      </c>
      <c r="L164" s="1" t="s">
        <v>31003</v>
      </c>
    </row>
    <row r="165" spans="1:12" ht="13.8">
      <c r="A165" s="1" t="s">
        <v>31662</v>
      </c>
      <c r="B165" s="1" t="str">
        <f ca="1">IFERROR(__xludf.dummyfunction("IF(A165="""", """", GOOGLETRANSLATE(A165, ""en"", ""hi""))"),"करेला और बैंगन की सब्जी रेसिपी - करेले बैंगन की सब्जी")</f>
        <v>करेला और बैंगन की सब्जी रेसिपी - करेले बैंगन की सब्जी</v>
      </c>
      <c r="C165" s="1" t="s">
        <v>145</v>
      </c>
      <c r="D165" s="1" t="s">
        <v>14198</v>
      </c>
      <c r="E165" s="1">
        <v>25</v>
      </c>
      <c r="F165" s="1" t="s">
        <v>31663</v>
      </c>
      <c r="G165" s="1" t="str">
        <f ca="1">IFERROR(__xludf.dummyfunction("IF(F165="""", """", GOOGLETRANSLATE(F165, ""en"", ""hi""))"),"1 करेला - धोया हुआ, 6 बैंगन - पतले कटे हुए, 1 प्याज - कटा हुआ, 1/2 चम्मच सरसों के बीज, 1/2 चम्मच जीरा, 1/2 चम्मच मेथी के बीज, 1/4 चम्मच हल्दी पाउडर, 1/2 चम्मच लाल मिर्च पाउडर, 1 चम्मच आमचूर, नमक - स्वादानुसार, 2 बड़े चम्मच सूरजमुखी तेल")</f>
        <v>1 करेला - धोया हुआ, 6 बैंगन - पतले कटे हुए, 1 प्याज - कटा हुआ, 1/2 चम्मच सरसों के बीज, 1/2 चम्मच जीरा, 1/2 चम्मच मेथी के बीज, 1/4 चम्मच हल्दी पाउडर, 1/2 चम्मच लाल मिर्च पाउडर, 1 चम्मच आमचूर, नमक - स्वादानुसार, 2 बड़े चम्मच सूरजमुखी तेल</v>
      </c>
      <c r="H165" s="1" t="s">
        <v>31664</v>
      </c>
      <c r="I165" s="1" t="str">
        <f ca="1">IFERROR(__xludf.dummyfunction("IF(H165="""", """", GOOGLETRANSLATE(H165, ""en"", ""hi""))"),"करेला और बैंगन की सब्जी बनाने के लिए सबसे पहले करेले को धो लें, छिलका थोड़ा खुरचें और पतले-पतले टुकड़ों में काट लें। बीच से बीज और सफेद छिलका हटा दें। बैंगन को धोकर पतले-पतले टुकड़ों में काट लें और रंग बदलने से बचाने के लिए नमकीन पानी में डुबोकर रखें। एक "&amp;"भारी तले की कड़ाही में तेल गर्म करें। तेल में करेले के टुकड़े डालें और मध्यम आंच पर तब तक भूनें जब तक कि उनका रंग गहरा न हो जाए और वे थोड़े सिकुड़ न जाएं। ऐसा कड़वाहट दूर करने के लिए किया जाता है। तले हुए करेले को तेल से निकालकर अलग रख लें। कटे हुए बैंगन "&amp;"को उसी तेल में डालें और तब तक पकाएँ जब तक कि वे नरम न हो जाएँ और उनका रंग न बदल जाए। तेल से निकालकर अलग रख लें। उसी पैन में तेल में राई, जीरा और मेथी दाना डालें। जब वे फूटने लगें, तो कटा हुआ प्याज डालें और पारदर्शी होने तक भूनें। प्याज के पारदर्शी होने के"&amp;" बाद, हल्दी पाउडर, लाल मिर्च पाउडर और अमचूर पाउडर डालें। अच्छी तरह से मिलाएँ और लगभग 2 से 3 मिनट तक पकाएँ। अब दोनों पकी हुई सब्ज़ियों को स्वादानुसार नमक और बहुत कम पानी के साथ मिलाएँ। अच्छी तरह से भूनें और 5 मिनट तक पकाएँ जब तक कि सब मिल न जाए। स्वादिष्ट "&amp;"करेले और बैंगन की सब्जी तैयार है। करेला और बैंगन की सब्ज़ी को गुजराती दाल और मेथी थेपला के साथ दिन के खाने में परोसें।")</f>
        <v>करेला और बैंगन की सब्जी बनाने के लिए सबसे पहले करेले को धो लें, छिलका थोड़ा खुरचें और पतले-पतले टुकड़ों में काट लें। बीच से बीज और सफेद छिलका हटा दें। बैंगन को धोकर पतले-पतले टुकड़ों में काट लें और रंग बदलने से बचाने के लिए नमकीन पानी में डुबोकर रखें। एक भारी तले की कड़ाही में तेल गर्म करें। तेल में करेले के टुकड़े डालें और मध्यम आंच पर तब तक भूनें जब तक कि उनका रंग गहरा न हो जाए और वे थोड़े सिकुड़ न जाएं। ऐसा कड़वाहट दूर करने के लिए किया जाता है। तले हुए करेले को तेल से निकालकर अलग रख लें। कटे हुए बैंगन को उसी तेल में डालें और तब तक पकाएँ जब तक कि वे नरम न हो जाएँ और उनका रंग न बदल जाए। तेल से निकालकर अलग रख लें। उसी पैन में तेल में राई, जीरा और मेथी दाना डालें। जब वे फूटने लगें, तो कटा हुआ प्याज डालें और पारदर्शी होने तक भूनें। प्याज के पारदर्शी होने के बाद, हल्दी पाउडर, लाल मिर्च पाउडर और अमचूर पाउडर डालें। अच्छी तरह से मिलाएँ और लगभग 2 से 3 मिनट तक पकाएँ। अब दोनों पकी हुई सब्ज़ियों को स्वादानुसार नमक और बहुत कम पानी के साथ मिलाएँ। अच्छी तरह से भूनें और 5 मिनट तक पकाएँ जब तक कि सब मिल न जाए। स्वादिष्ट करेले और बैंगन की सब्जी तैयार है। करेला और बैंगन की सब्ज़ी को गुजराती दाल और मेथी थेपला के साथ दिन के खाने में परोसें।</v>
      </c>
      <c r="J165" s="3" t="s">
        <v>31665</v>
      </c>
      <c r="L165" s="1" t="s">
        <v>31003</v>
      </c>
    </row>
    <row r="166" spans="1:12" ht="13.8">
      <c r="A166" s="1" t="s">
        <v>31666</v>
      </c>
      <c r="B166" s="1" t="str">
        <f ca="1">IFERROR(__xludf.dummyfunction("IF(A166="""", """", GOOGLETRANSLATE(A166, ""en"", ""hi""))"),"गेहूं रवा हलवा रेसिपी")</f>
        <v>गेहूं रवा हलवा रेसिपी</v>
      </c>
      <c r="C166" s="1" t="s">
        <v>8417</v>
      </c>
      <c r="D166" s="1" t="s">
        <v>14198</v>
      </c>
      <c r="E166" s="1">
        <v>30</v>
      </c>
      <c r="F166" s="1" t="s">
        <v>31667</v>
      </c>
      <c r="G166" s="1" t="str">
        <f ca="1">IFERROR(__xludf.dummyfunction("IF(F166="""", """", GOOGLETRANSLATE(F166, ""en"", ""hi""))"),"1 कप टूटा हुआ गेहूं (दलिया/गोडुमई रवा), 1 कप ब्राउन शुगर (डेमेरारा शुगर), 1 कप गुड़, 1-1/2 बड़ा चम्मच घी, 1 चम्मच इलायची पाउडर (इलायची)")</f>
        <v>1 कप टूटा हुआ गेहूं (दलिया/गोडुमई रवा), 1 कप ब्राउन शुगर (डेमेरारा शुगर), 1 कप गुड़, 1-1/2 बड़ा चम्मच घी, 1 चम्मच इलायची पाउडर (इलायची)</v>
      </c>
      <c r="H166" s="1" t="s">
        <v>31668</v>
      </c>
      <c r="I166" s="1" t="str">
        <f ca="1">IFERROR(__xludf.dummyfunction("IF(H166="""", """", GOOGLETRANSLATE(H166, ""en"", ""hi""))"),"गेहूँ का रवा हलवा बनाने के लिए सबसे पहले गुड़ को पीसकर अलग रख लें। एक पैन में घी गर्म करें और फिर काजू को सुनहरा भूरा होने तक भूनें। एक भारी तले वाले पैन में पानी लें। जब पानी उबलने लगे, तो एक पैन में गेहूँ का रवा डालें। रवा को नरम होने तक ढककर पकाएँ। ध्य"&amp;"ान रखें कि यह गूदा हुआ न हो। (मेरा रवा थोड़ा बड़ा था, इसलिए इसे पकाने में मुझे 20 मिनट लगे) इसमें चीनी और गुड़ डालें। इसे पिघलने दें और यह एक चाशनी के रूप में बदल जाएगा। इस प्रक्रिया में लगभग 5-8 मिनट लगेंगे। जब तक रवा चाशनी को सोख न ले, तब तक सब कुछ अच्छ"&amp;"ी तरह मिलाएँ। घी डालें और सब कुछ फिर से मिलाएँ और 2 मिनट तक पकाएँ, जब तक कि घी पूरी तरह से सोख न जाए। इसमें पिसी हुई इलायची पाउडर और तले हुए काजू डालें। आँच बंद कर दें और यह परोसने के लिए तैयार है। गेहूँ के रवा हलवे को अपने खाने के बाद मीठे व्यंजन के रूप "&amp;"में परोसें या इसे विशेष अवसरों और त्योहारों पर बनाएँ।")</f>
        <v>गेहूँ का रवा हलवा बनाने के लिए सबसे पहले गुड़ को पीसकर अलग रख लें। एक पैन में घी गर्म करें और फिर काजू को सुनहरा भूरा होने तक भूनें। एक भारी तले वाले पैन में पानी लें। जब पानी उबलने लगे, तो एक पैन में गेहूँ का रवा डालें। रवा को नरम होने तक ढककर पकाएँ। ध्यान रखें कि यह गूदा हुआ न हो। (मेरा रवा थोड़ा बड़ा था, इसलिए इसे पकाने में मुझे 20 मिनट लगे) इसमें चीनी और गुड़ डालें। इसे पिघलने दें और यह एक चाशनी के रूप में बदल जाएगा। इस प्रक्रिया में लगभग 5-8 मिनट लगेंगे। जब तक रवा चाशनी को सोख न ले, तब तक सब कुछ अच्छी तरह मिलाएँ। घी डालें और सब कुछ फिर से मिलाएँ और 2 मिनट तक पकाएँ, जब तक कि घी पूरी तरह से सोख न जाए। इसमें पिसी हुई इलायची पाउडर और तले हुए काजू डालें। आँच बंद कर दें और यह परोसने के लिए तैयार है। गेहूँ के रवा हलवे को अपने खाने के बाद मीठे व्यंजन के रूप में परोसें या इसे विशेष अवसरों और त्योहारों पर बनाएँ।</v>
      </c>
      <c r="J166" s="3" t="s">
        <v>31669</v>
      </c>
      <c r="L166" s="1" t="s">
        <v>31003</v>
      </c>
    </row>
    <row r="167" spans="1:12" ht="13.8">
      <c r="A167" s="1" t="s">
        <v>31670</v>
      </c>
      <c r="B167" s="1" t="str">
        <f ca="1">IFERROR(__xludf.dummyfunction("IF(A167="""", """", GOOGLETRANSLATE(A167, ""en"", ""hi""))"),"रबड़ी के साथ केसर शाही टुकड़ा रेसिपी (मसालेदार दूध कस्टर्ड के साथ केसर ब्रेड का हलवा)")</f>
        <v>रबड़ी के साथ केसर शाही टुकड़ा रेसिपी (मसालेदार दूध कस्टर्ड के साथ केसर ब्रेड का हलवा)</v>
      </c>
      <c r="C167" s="1" t="s">
        <v>8417</v>
      </c>
      <c r="D167" s="1" t="s">
        <v>14198</v>
      </c>
      <c r="E167" s="1">
        <v>85</v>
      </c>
      <c r="F167" s="1" t="s">
        <v>31671</v>
      </c>
      <c r="G167" s="1" t="str">
        <f ca="1">IFERROR(__xludf.dummyfunction("IF(F167="""", """", GOOGLETRANSLATE(F167, ""en"", ""hi""))"),"6 साबुत गेहूं की ब्राउन ब्रेड, 1/4 कप घी - (तलने के लिए), 1 कप रबड़ी, मिले-जुले मेवे - कटे हुए (बादाम, 1/3 कप चीनी, 1/3 कप पानी, 1 चम्मच इलायची पाउडर (इलायची), केसर के रेशे - कुछ")</f>
        <v>6 साबुत गेहूं की ब्राउन ब्रेड, 1/4 कप घी - (तलने के लिए), 1 कप रबड़ी, मिले-जुले मेवे - कटे हुए (बादाम, 1/3 कप चीनी, 1/3 कप पानी, 1 चम्मच इलायची पाउडर (इलायची), केसर के रेशे - कुछ</v>
      </c>
      <c r="H167" s="1" t="s">
        <v>31672</v>
      </c>
      <c r="I167" s="1" t="str">
        <f ca="1">IFERROR(__xludf.dummyfunction("IF(H167="""", """", GOOGLETRANSLATE(H167, ""en"", ""hi""))"),"केसर शाही टुकड़ा विद रबड़ी रेसिपी बनाने के लिए सबसे पहले हम शाही टुकड़े और रबड़ी के लिए चाशनी तैयार करेंगे। रबड़ी रेसिपी के अनुसार रबड़ी तैयार करें और एक तरफ रख दें। एक पैन में पानी और चीनी गर्म करें, केसर के रेशे डालें और पानी को उबलने दें। आँच को धीमा क"&amp;"र दें और चीनी के पानी को तब तक पकाएँ जब तक कि एक तार की चाशनी न बन जाए। आँच बंद कर दें और चाशनी को एक तरफ रख दें। अगला कदम शाही टुकड़ा रेसिपी के लिए ब्रेड के स्लाइस तैयार करना और उन्हें घी में भूनना है। ब्रेड के किनारों को काटें और उन्हें त्रिकोण आकार में"&amp;" काट लें। एक कड़ाही में घी गर्म करें और ब्रेड के टुकड़ों को तब तक तलें जब तक वे दोनों तरफ से कुरकुरे और सुनहरे भूरे रंग के न हो जाएँ। तैयार रबड़ी को ब्रेड स्लाइस पर डालें और कटे हुए मेवे से गार्निश करें और परोसें। आप मौसम और मूड के आधार पर केसर शाही टुकड़"&amp;"ा विद रबड़ी को ठंडा या गर्म परोस सकते हैं।")</f>
        <v>केसर शाही टुकड़ा विद रबड़ी रेसिपी बनाने के लिए सबसे पहले हम शाही टुकड़े और रबड़ी के लिए चाशनी तैयार करेंगे। रबड़ी रेसिपी के अनुसार रबड़ी तैयार करें और एक तरफ रख दें। एक पैन में पानी और चीनी गर्म करें, केसर के रेशे डालें और पानी को उबलने दें। आँच को धीमा कर दें और चीनी के पानी को तब तक पकाएँ जब तक कि एक तार की चाशनी न बन जाए। आँच बंद कर दें और चाशनी को एक तरफ रख दें। अगला कदम शाही टुकड़ा रेसिपी के लिए ब्रेड के स्लाइस तैयार करना और उन्हें घी में भूनना है। ब्रेड के किनारों को काटें और उन्हें त्रिकोण आकार में काट लें। एक कड़ाही में घी गर्म करें और ब्रेड के टुकड़ों को तब तक तलें जब तक वे दोनों तरफ से कुरकुरे और सुनहरे भूरे रंग के न हो जाएँ। तैयार रबड़ी को ब्रेड स्लाइस पर डालें और कटे हुए मेवे से गार्निश करें और परोसें। आप मौसम और मूड के आधार पर केसर शाही टुकड़ा विद रबड़ी को ठंडा या गर्म परोस सकते हैं।</v>
      </c>
      <c r="J167" s="3" t="s">
        <v>31673</v>
      </c>
      <c r="L167" s="1" t="s">
        <v>31003</v>
      </c>
    </row>
    <row r="168" spans="1:12" ht="13.8">
      <c r="A168" s="1" t="s">
        <v>31674</v>
      </c>
      <c r="B168" s="1" t="str">
        <f ca="1">IFERROR(__xludf.dummyfunction("IF(A168="""", """", GOOGLETRANSLATE(A168, ""en"", ""hi""))"),"फूल गोभी सब्ज़ी")</f>
        <v>फूल गोभी सब्ज़ी</v>
      </c>
      <c r="C168" s="1" t="s">
        <v>145</v>
      </c>
      <c r="D168" s="1" t="s">
        <v>14198</v>
      </c>
      <c r="E168" s="1">
        <v>50</v>
      </c>
      <c r="F168" s="1" t="s">
        <v>31675</v>
      </c>
      <c r="G168" s="1" t="str">
        <f ca="1">IFERROR(__xludf.dummyfunction("IF(F168="""", """", GOOGLETRANSLATE(F168, ""en"", ""hi""))"),"1 पत्तागोभी - काट लें, 2 टमाटर - प्यूरी बना लें, 1 इंच अदरक - कद्दूकस कर लें, 1/2 चम्मच जीरा, 1 चम्मच हल्दी पाउडर, 1-1/2 चम्मच गरम मसाला पाउडर, नमक - स्वादानुसार, 4 धनिया पत्ती - काट लें, तेल - उपयोगानुसार")</f>
        <v>1 पत्तागोभी - काट लें, 2 टमाटर - प्यूरी बना लें, 1 इंच अदरक - कद्दूकस कर लें, 1/2 चम्मच जीरा, 1 चम्मच हल्दी पाउडर, 1-1/2 चम्मच गरम मसाला पाउडर, नमक - स्वादानुसार, 4 धनिया पत्ती - काट लें, तेल - उपयोगानुसार</v>
      </c>
      <c r="H168" s="1" t="s">
        <v>31676</v>
      </c>
      <c r="I168" s="1" t="str">
        <f ca="1">IFERROR(__xludf.dummyfunction("IF(H168="""", """", GOOGLETRANSLATE(H168, ""en"", ""hi""))"),"फूलगोभी की सब्जी बनाने के लिए सबसे पहले एक पैन में तेल गर्म करें। इसमें अदरक, जीरा डालें और 15 सेकंड तक पकने दें। 15 सेकंड बाद इसमें टमाटर, हल्दी पाउडर, गरम मसाला पाउडर, नमक डालकर मिलाएँ और 1 मिनट तक पकने दें। अब इसमें फूलगोभी, 2 टेबलस्पून पानी डालकर मिला"&amp;"एँ और पैन को ढक दें। आंच धीमी करके 10 से 15 मिनट तक पकने दें। फूलगोभी पक जाने के बाद गैस बंद कर दें और हरे धनिये से गार्निश करें। फूलगोभी की सब्जी को पुदीना मूंग दाल, बूंदी रायता और फुल्के के साथ लंच में सर्व करें।")</f>
        <v>फूलगोभी की सब्जी बनाने के लिए सबसे पहले एक पैन में तेल गर्म करें। इसमें अदरक, जीरा डालें और 15 सेकंड तक पकने दें। 15 सेकंड बाद इसमें टमाटर, हल्दी पाउडर, गरम मसाला पाउडर, नमक डालकर मिलाएँ और 1 मिनट तक पकने दें। अब इसमें फूलगोभी, 2 टेबलस्पून पानी डालकर मिलाएँ और पैन को ढक दें। आंच धीमी करके 10 से 15 मिनट तक पकने दें। फूलगोभी पक जाने के बाद गैस बंद कर दें और हरे धनिये से गार्निश करें। फूलगोभी की सब्जी को पुदीना मूंग दाल, बूंदी रायता और फुल्के के साथ लंच में सर्व करें।</v>
      </c>
      <c r="J168" s="3" t="s">
        <v>31677</v>
      </c>
      <c r="L168" s="1" t="s">
        <v>31003</v>
      </c>
    </row>
    <row r="169" spans="1:12" ht="13.8">
      <c r="A169" s="1" t="s">
        <v>31678</v>
      </c>
      <c r="B169" s="1" t="str">
        <f ca="1">IFERROR(__xludf.dummyfunction("IF(A169="""", """", GOOGLETRANSLATE(A169, ""en"", ""hi""))"),"शकरकंद और ब्रोकली सब्ज़ी रेसिपी")</f>
        <v>शकरकंद और ब्रोकली सब्ज़ी रेसिपी</v>
      </c>
      <c r="C169" s="1" t="s">
        <v>145</v>
      </c>
      <c r="D169" s="1" t="s">
        <v>14198</v>
      </c>
      <c r="E169" s="1">
        <v>40</v>
      </c>
      <c r="F169" s="1" t="s">
        <v>31679</v>
      </c>
      <c r="G169" s="1" t="str">
        <f ca="1">IFERROR(__xludf.dummyfunction("IF(F169="""", """", GOOGLETRANSLATE(F169, ""en"", ""hi""))"),"2 कप ब्रोकली - फूलगोभी के टुकड़ों में कटी हुई, 1 शकरकंद - छीलकर लम्बाई में कटा हुआ, 1/2 छोटा चम्मच जीरा, 1 छोटा चम्मच हल्दी, नमक - स्वादानुसार, 1/2 छोटा चम्मच कलौंजी, 1 छोटा चम्मच सूरजमुखी तेल, 1 छोटा चम्मच लाल मिर्च पाउडर, नमक - स्वादानुसार")</f>
        <v>2 कप ब्रोकली - फूलगोभी के टुकड़ों में कटी हुई, 1 शकरकंद - छीलकर लम्बाई में कटा हुआ, 1/2 छोटा चम्मच जीरा, 1 छोटा चम्मच हल्दी, नमक - स्वादानुसार, 1/2 छोटा चम्मच कलौंजी, 1 छोटा चम्मच सूरजमुखी तेल, 1 छोटा चम्मच लाल मिर्च पाउडर, नमक - स्वादानुसार</v>
      </c>
      <c r="H169" s="1" t="s">
        <v>31680</v>
      </c>
      <c r="I169" s="1" t="str">
        <f ca="1">IFERROR(__xludf.dummyfunction("IF(H169="""", """", GOOGLETRANSLATE(H169, ""en"", ""hi""))"),"शकरकंद और ब्रोकली की सब्जी बनाने के लिए सबसे पहले ब्रोकली को छोटे-छोटे टुकड़ों में काट लें। धोकर सुखा लें और एक तरफ रख दें। शकरकंद को छीलकर फ्रेंच फ्राइज़ की तरह पतली स्ट्रिप्स में काट लें। एक कटोरे में शकरकंद को पानी में भिगो दें। मध्यम आंच पर एक कड़ाही "&amp;"में तेल गर्म करें। इसमें ब्रोकली डालें, थोड़ा जीरा पाउडर और नमक छिड़कें। ब्रोकली को ढककर पकने तक पकाएं। इसमें लगभग 4-6 मिनट का समय लगना चाहिए। एक बार हो जाने पर ब्रोकली को एक कटोरे में निकाल लें और एक तरफ रख दें। मध्यम आंच पर एक स्टिर-फ्राई पैन में तेल गर"&amp;"्म करें। इसमें कलौंजी डालें और इसे तड़कने दें। कटे हुए शकरकंद में नमक, लाल मिर्च पाउडर और हल्दी पाउडर डालें शकरकंद और ब्रोकली की सब्जी को एक मिनट या उससे ज़्यादा समय तक पकाएं और आँच बंद कर दें। ब्रोकली के साथ स्टिर फ्राई किए हुए शकरकंद को एक सर्विंग बाउल "&amp;"में डालें और गरमागरम परोसें। शकरकंद और ब्रोकली की सब्जी को गुजराती दाल, बूंदी रायता और फुल्का के साथ सप्ताह के दिनों में खाने के लिए परोसें।")</f>
        <v>शकरकंद और ब्रोकली की सब्जी बनाने के लिए सबसे पहले ब्रोकली को छोटे-छोटे टुकड़ों में काट लें। धोकर सुखा लें और एक तरफ रख दें। शकरकंद को छीलकर फ्रेंच फ्राइज़ की तरह पतली स्ट्रिप्स में काट लें। एक कटोरे में शकरकंद को पानी में भिगो दें। मध्यम आंच पर एक कड़ाही में तेल गर्म करें। इसमें ब्रोकली डालें, थोड़ा जीरा पाउडर और नमक छिड़कें। ब्रोकली को ढककर पकने तक पकाएं। इसमें लगभग 4-6 मिनट का समय लगना चाहिए। एक बार हो जाने पर ब्रोकली को एक कटोरे में निकाल लें और एक तरफ रख दें। मध्यम आंच पर एक स्टिर-फ्राई पैन में तेल गर्म करें। इसमें कलौंजी डालें और इसे तड़कने दें। कटे हुए शकरकंद में नमक, लाल मिर्च पाउडर और हल्दी पाउडर डालें शकरकंद और ब्रोकली की सब्जी को एक मिनट या उससे ज़्यादा समय तक पकाएं और आँच बंद कर दें। ब्रोकली के साथ स्टिर फ्राई किए हुए शकरकंद को एक सर्विंग बाउल में डालें और गरमागरम परोसें। शकरकंद और ब्रोकली की सब्जी को गुजराती दाल, बूंदी रायता और फुल्का के साथ सप्ताह के दिनों में खाने के लिए परोसें।</v>
      </c>
      <c r="J169" s="3" t="s">
        <v>31681</v>
      </c>
      <c r="L169" s="1" t="s">
        <v>31003</v>
      </c>
    </row>
    <row r="170" spans="1:12" ht="13.8">
      <c r="A170" s="1" t="s">
        <v>31682</v>
      </c>
      <c r="B170" s="1" t="str">
        <f ca="1">IFERROR(__xludf.dummyfunction("IF(A170="""", """", GOOGLETRANSLATE(A170, ""en"", ""hi""))"),"प्रीति इलेक्ट्रिक प्रेशर कुकर का उपयोग करके वन पॉट पाव भाजी रेसिपी")</f>
        <v>प्रीति इलेक्ट्रिक प्रेशर कुकर का उपयोग करके वन पॉट पाव भाजी रेसिपी</v>
      </c>
      <c r="C170" s="1" t="s">
        <v>15208</v>
      </c>
      <c r="D170" s="1" t="s">
        <v>14367</v>
      </c>
      <c r="E170" s="1">
        <v>55</v>
      </c>
      <c r="F170" s="1" t="s">
        <v>31683</v>
      </c>
      <c r="G170" s="1" t="str">
        <f ca="1">IFERROR(__xludf.dummyfunction("IF(F170="""", """", GOOGLETRANSLATE(F170, ""en"", ""hi""))"),"12 पाव बन, 1 प्याज - परोसने के लिए बारीक कटा हुआ, 1 टहनी धनिया - गार्निश के लिए बारीक कटा हुआ, 1 प्याज - बारीक कटा हुआ, 1 चम्मच अदरक - कसा हुआ, 3 लौंग लहसुन - कसा हुआ, 1 कप टमाटर - प्यूरी, 1 हरी बेल मिर्च (शिमला मिर्च) - बारीक कटी हुई, 2 गाजर (गज्जर) - कट"&amp;"े हुए, 1/2 कप गोभी (पत्ता गोभी / मुत्तिकोस) - कटी हुई, 3 आलू (आलू) - छिलके उतार कर कटे हुए, 2 चम्मच पाव भाजी मसाला, 1 चम्मच चाट मसाला पाउडर, 1/2 कप हरी मटर (मटर) - उबली हुई, 1 बड़ा चम्मच नींबू का रस, 2 बड़े चम्मच मक्खन, नमक - स्वादानुसार")</f>
        <v>12 पाव बन, 1 प्याज - परोसने के लिए बारीक कटा हुआ, 1 टहनी धनिया - गार्निश के लिए बारीक कटा हुआ, 1 प्याज - बारीक कटा हुआ, 1 चम्मच अदरक - कसा हुआ, 3 लौंग लहसुन - कसा हुआ, 1 कप टमाटर - प्यूरी, 1 हरी बेल मिर्च (शिमला मिर्च) - बारीक कटी हुई, 2 गाजर (गज्जर) - कटे हुए, 1/2 कप गोभी (पत्ता गोभी / मुत्तिकोस) - कटी हुई, 3 आलू (आलू) - छिलके उतार कर कटे हुए, 2 चम्मच पाव भाजी मसाला, 1 चम्मच चाट मसाला पाउडर, 1/2 कप हरी मटर (मटर) - उबली हुई, 1 बड़ा चम्मच नींबू का रस, 2 बड़े चम्मच मक्खन, नमक - स्वादानुसार</v>
      </c>
      <c r="H170" s="1" t="s">
        <v>31684</v>
      </c>
      <c r="I170" s="1" t="str">
        <f ca="1">IFERROR(__xludf.dummyfunction("IF(H170="""", """", GOOGLETRANSLATE(H170, ""en"", ""hi""))"),"हम प्रीति इलेक्ट्रिक प्रेशर कुकर का उपयोग करके पाव भाजी बनाना शुरू करेंगे। सबसे पहले प्रेशर कुकर को ग्रेवी मोड पर सेट करें, ताकि हम पाव भाजी के लिए मसाला भून सकें। कुकर के गरम हो जाने पर उसमें तेल, प्याज़, लहसुन, अदरक डालें और तब तक भूनें जब तक प्याज़ की "&amp;"कच्ची महक न चली जाए। जब ​​ऐसा हो जाए, तो भाजी के लिए उबली हुई हरी मटर, मक्खन और नींबू के रस को छोड़कर बाकी सारी सामग्री डालें। अच्छी तरह मिलाएँ, 1/2 कप पानी डालें, ढक्कन लगा दें। टाइमर को 30 मिनट के लिए सेट करें और बीप की आवाज़ आने तक इसे पकने दें। हो जान"&amp;"े के बाद, इलेक्ट्रिक प्रेशर कुकर में प्रेशर को स्वाभाविक रूप से निकलने दें। कुकर खोलें, पाव भाजी को आलू मैशर का उपयोग करके तब तक मैश करें जब तक वह अच्छी तरह से मैश न हो जाए। नींबू का रस और मक्खन डालें और मिलाएँ। स्वाद जाँचें और उसके अनुसार समायोजित करें। "&amp;"एक बार हो जाने पर, वन पॉट इलेक्ट्रिक प्रेशर कुकर पाव भाजी को एक सर्विंग बाउल में डालें। वन पॉट इलेक्ट्रिक प्रेशर कुकर पाव भाजी को टोस्टेड होममेड होल व्हीट पाव और मसाला चाय के साथ परोसें, जिसके ऊपर कुछ प्याज छिड़के गए हों।")</f>
        <v>हम प्रीति इलेक्ट्रिक प्रेशर कुकर का उपयोग करके पाव भाजी बनाना शुरू करेंगे। सबसे पहले प्रेशर कुकर को ग्रेवी मोड पर सेट करें, ताकि हम पाव भाजी के लिए मसाला भून सकें। कुकर के गरम हो जाने पर उसमें तेल, प्याज़, लहसुन, अदरक डालें और तब तक भूनें जब तक प्याज़ की कच्ची महक न चली जाए। जब ​​ऐसा हो जाए, तो भाजी के लिए उबली हुई हरी मटर, मक्खन और नींबू के रस को छोड़कर बाकी सारी सामग्री डालें। अच्छी तरह मिलाएँ, 1/2 कप पानी डालें, ढक्कन लगा दें। टाइमर को 30 मिनट के लिए सेट करें और बीप की आवाज़ आने तक इसे पकने दें। हो जाने के बाद, इलेक्ट्रिक प्रेशर कुकर में प्रेशर को स्वाभाविक रूप से निकलने दें। कुकर खोलें, पाव भाजी को आलू मैशर का उपयोग करके तब तक मैश करें जब तक वह अच्छी तरह से मैश न हो जाए। नींबू का रस और मक्खन डालें और मिलाएँ। स्वाद जाँचें और उसके अनुसार समायोजित करें। एक बार हो जाने पर, वन पॉट इलेक्ट्रिक प्रेशर कुकर पाव भाजी को एक सर्विंग बाउल में डालें। वन पॉट इलेक्ट्रिक प्रेशर कुकर पाव भाजी को टोस्टेड होममेड होल व्हीट पाव और मसाला चाय के साथ परोसें, जिसके ऊपर कुछ प्याज छिड़के गए हों।</v>
      </c>
      <c r="J170" s="3" t="s">
        <v>31685</v>
      </c>
      <c r="L170" s="1" t="s">
        <v>31003</v>
      </c>
    </row>
    <row r="171" spans="1:12" ht="13.8">
      <c r="A171" s="1" t="s">
        <v>31686</v>
      </c>
      <c r="B171" s="1" t="str">
        <f ca="1">IFERROR(__xludf.dummyfunction("IF(A171="""", """", GOOGLETRANSLATE(A171, ""en"", ""hi""))"),"चिली चीज़ पराठा रेसिपी")</f>
        <v>चिली चीज़ पराठा रेसिपी</v>
      </c>
      <c r="C171" s="1" t="s">
        <v>429</v>
      </c>
      <c r="D171" s="1" t="s">
        <v>14198</v>
      </c>
      <c r="E171" s="1">
        <v>50</v>
      </c>
      <c r="F171" s="1" t="s">
        <v>31687</v>
      </c>
      <c r="G171" s="1" t="str">
        <f ca="1">IFERROR(__xludf.dummyfunction("IF(F171="""", """", GOOGLETRANSLATE(F171, ""en"", ""hi""))"),"200 ग्राम ब्रिटानिया चीज़ ब्लॉक - कद्दूकस किया हुआ, 6 हरी मिर्च - बारीक कटी हुई, 2 प्याज - बारीक कटे हुए, 1/2 कप पुदीना, 2 चम्मच जीरा पाउडर, 2 कप गेहूं का आटा, 2 चम्मच कलौंजी, नमक - स्वादानुसार, घी - पकाते समय लगाने के लिए")</f>
        <v>200 ग्राम ब्रिटानिया चीज़ ब्लॉक - कद्दूकस किया हुआ, 6 हरी मिर्च - बारीक कटी हुई, 2 प्याज - बारीक कटे हुए, 1/2 कप पुदीना, 2 चम्मच जीरा पाउडर, 2 कप गेहूं का आटा, 2 चम्मच कलौंजी, नमक - स्वादानुसार, घी - पकाते समय लगाने के लिए</v>
      </c>
      <c r="H171" s="1" t="s">
        <v>31688</v>
      </c>
      <c r="I171" s="1" t="str">
        <f ca="1">IFERROR(__xludf.dummyfunction("IF(H171="""", """", GOOGLETRANSLATE(H171, ""en"", ""hi""))"),"चिली चीज़ पराठा रेसिपी बनाने के लिए सबसे पहले एक मिक्सिंग बाउल में कद्दूकस किया हुआ पनीर, हरी मिर्च, प्याज़, पुदीने के पत्ते, जीरा पाउडर डालें और अच्छी तरह मिलाएँ। एक तरफ रख दें। आटा गूंथने के लिए एक मिक्सिंग बाउल में गेहूं का आटा, कलौंजी, स्वादानुसार नमक"&amp;" डालें और थोड़ा-थोड़ा पानी डालते हुए चिकना आटा गूंथ लें। आटे को बड़े नींबू के आकार के भागों में बाँट लें और एक तरफ रख दें। आटे का एक भाग आटे में लें और 3 इंच व्यास के गोले में बेल लें। गोले के बीच में एक बड़ा चमचा भरावन रखें। किनारों को साथ लाकर आटे को सी"&amp;"ल कर दें। भरी हुई गेंद को आटे में लपेटें और एक सपाट पराठे की तरह बेल लें। चिली चीज़ पराठा पकाने के लिए, बेले हुए चीज़ पराठे को पहले से गरम तवे पर रखें। पराठे को दोनों तरफ से कुछ सेकेंड के लिए गर्म करें। एक तरफ आधा चम्मच घी डालें और फिर पलटकर दूसरी तरफ फिर"&amp;" से घी लगाएँ। पराठे को दबाएँ और तब तक पकाएँ जब तक चिली चीज़ पराठे के दोनों तरफ कुरकुरा और भूरे धब्बे न दिखाई दें। एक बार हो जाने पर चिली चीज़ पराठे को एक सर्विंग प्लेट में निकाल लें और गरमागरम परोसें। चिली चीज़ पराठा रेसिपी को आम के अचार या लहसुन की चटनी "&amp;"और एक कटोरी घर के बने दही के साथ वीकेंड के खास नाश्ते के लिए परोसें।")</f>
        <v>चिली चीज़ पराठा रेसिपी बनाने के लिए सबसे पहले एक मिक्सिंग बाउल में कद्दूकस किया हुआ पनीर, हरी मिर्च, प्याज़, पुदीने के पत्ते, जीरा पाउडर डालें और अच्छी तरह मिलाएँ। एक तरफ रख दें। आटा गूंथने के लिए एक मिक्सिंग बाउल में गेहूं का आटा, कलौंजी, स्वादानुसार नमक डालें और थोड़ा-थोड़ा पानी डालते हुए चिकना आटा गूंथ लें। आटे को बड़े नींबू के आकार के भागों में बाँट लें और एक तरफ रख दें। आटे का एक भाग आटे में लें और 3 इंच व्यास के गोले में बेल लें। गोले के बीच में एक बड़ा चमचा भरावन रखें। किनारों को साथ लाकर आटे को सील कर दें। भरी हुई गेंद को आटे में लपेटें और एक सपाट पराठे की तरह बेल लें। चिली चीज़ पराठा पकाने के लिए, बेले हुए चीज़ पराठे को पहले से गरम तवे पर रखें। पराठे को दोनों तरफ से कुछ सेकेंड के लिए गर्म करें। एक तरफ आधा चम्मच घी डालें और फिर पलटकर दूसरी तरफ फिर से घी लगाएँ। पराठे को दबाएँ और तब तक पकाएँ जब तक चिली चीज़ पराठे के दोनों तरफ कुरकुरा और भूरे धब्बे न दिखाई दें। एक बार हो जाने पर चिली चीज़ पराठे को एक सर्विंग प्लेट में निकाल लें और गरमागरम परोसें। चिली चीज़ पराठा रेसिपी को आम के अचार या लहसुन की चटनी और एक कटोरी घर के बने दही के साथ वीकेंड के खास नाश्ते के लिए परोसें।</v>
      </c>
      <c r="J171" s="3" t="s">
        <v>31689</v>
      </c>
      <c r="L171" s="1" t="s">
        <v>31003</v>
      </c>
    </row>
    <row r="172" spans="1:12" ht="13.8">
      <c r="A172" s="1" t="s">
        <v>31690</v>
      </c>
      <c r="B172" s="1" t="str">
        <f ca="1">IFERROR(__xludf.dummyfunction("IF(A172="""", """", GOOGLETRANSLATE(A172, ""en"", ""hi""))"),"मसालेदार अचार पनीर ग्रेवी")</f>
        <v>मसालेदार अचार पनीर ग्रेवी</v>
      </c>
      <c r="C172" s="1" t="s">
        <v>145</v>
      </c>
      <c r="D172" s="1" t="s">
        <v>14237</v>
      </c>
      <c r="E172" s="1">
        <v>60</v>
      </c>
      <c r="F172" s="1" t="s">
        <v>31691</v>
      </c>
      <c r="G172" s="1" t="str">
        <f ca="1">IFERROR(__xludf.dummyfunction("IF(F172="""", """", GOOGLETRANSLATE(F172, ""en"", ""hi""))"),"250 ग्राम पनीर, घी या तेल, 2 बड़े चम्मच अचार - मसालों के साथ आम का अचार, 2 प्याज - कद्दूकस किए हुए, 1 बड़ा चम्मच अदरक लहसुन का पेस्ट, 1/2 बड़ा चम्मच लाल मिर्च पाउडर, 1/2 छोटा चम्मच हल्दी पाउडर, 1/2 छोटा चम्मच जीरा पाउडर, 1/2 छोटा चम्मच गरम मसाला पाउडर, 1 "&amp;"छोटा चम्मच अजवाइन, 1 छोटा चम्मच सौंफ, पानी - आवश्यकतानुसार, 1 शिमला मिर्च (हरी) - कटी हुई, 1 कप टमाटर प्यूरी, 1 छोटा चम्मच कसूरी मेथी, नमक - स्वादानुसार, थोड़े से धनिया पत्ते - बारीक कटे हुए")</f>
        <v>250 ग्राम पनीर, घी या तेल, 2 बड़े चम्मच अचार - मसालों के साथ आम का अचार, 2 प्याज - कद्दूकस किए हुए, 1 बड़ा चम्मच अदरक लहसुन का पेस्ट, 1/2 बड़ा चम्मच लाल मिर्च पाउडर, 1/2 छोटा चम्मच हल्दी पाउडर, 1/2 छोटा चम्मच जीरा पाउडर, 1/2 छोटा चम्मच गरम मसाला पाउडर, 1 छोटा चम्मच अजवाइन, 1 छोटा चम्मच सौंफ, पानी - आवश्यकतानुसार, 1 शिमला मिर्च (हरी) - कटी हुई, 1 कप टमाटर प्यूरी, 1 छोटा चम्मच कसूरी मेथी, नमक - स्वादानुसार, थोड़े से धनिया पत्ते - बारीक कटे हुए</v>
      </c>
      <c r="H172" s="1" t="s">
        <v>31692</v>
      </c>
      <c r="I172" s="1" t="str">
        <f ca="1">IFERROR(__xludf.dummyfunction("IF(H172="""", """", GOOGLETRANSLATE(H172, ""en"", ""hi""))"),"""अचारी पनीर बनाने के लिए सबसे पहले एक पैन में घी गर्म करें। इसमें प्याज़ डालें और भूरा होने तक पकाएँ। एक मिक्सर लें, उसमें अचार, अदरक लहसुन का पेस्ट, लाल मिर्च पाउडर, हल्दी पाउडर, जीरा पाउडर, गरम मसाला पाउडर, थोड़ा पानी डालें और पीस लें। एक पैन में तेल ग"&amp;"र्म करें। उसमें अजवाइन, सौंफ़ के बीज और पिसा हुआ मसाला डालें। 2 मिनट तक पकाएँ। 2 मिनट बाद शिमला मिर्च डालें, मिलाएँ और 3 से 4 मिनट तक पकाएँ। 4 मिनट बाद टमाटर प्यूरी, थोड़ा पानी डालें और पैन को ढक दें। 5 से 7 मिनट तक पकाएँ। 7 मिनट बाद पनीर, कसूरी मेथी और न"&amp;"मक डालें। मिलाएँ और 2 से 3 मिनट तक पकाएँ। 3 मिनट बाद गैस बंद कर दें और धनिया पत्ती से गार्निश करें। अचारी पनीर को दाल फ्राई, फुल्का और जीरा राइस के साथ लंच में सर्व करें।""")</f>
        <v>"अचारी पनीर बनाने के लिए सबसे पहले एक पैन में घी गर्म करें। इसमें प्याज़ डालें और भूरा होने तक पकाएँ। एक मिक्सर लें, उसमें अचार, अदरक लहसुन का पेस्ट, लाल मिर्च पाउडर, हल्दी पाउडर, जीरा पाउडर, गरम मसाला पाउडर, थोड़ा पानी डालें और पीस लें। एक पैन में तेल गर्म करें। उसमें अजवाइन, सौंफ़ के बीज और पिसा हुआ मसाला डालें। 2 मिनट तक पकाएँ। 2 मिनट बाद शिमला मिर्च डालें, मिलाएँ और 3 से 4 मिनट तक पकाएँ। 4 मिनट बाद टमाटर प्यूरी, थोड़ा पानी डालें और पैन को ढक दें। 5 से 7 मिनट तक पकाएँ। 7 मिनट बाद पनीर, कसूरी मेथी और नमक डालें। मिलाएँ और 2 से 3 मिनट तक पकाएँ। 3 मिनट बाद गैस बंद कर दें और धनिया पत्ती से गार्निश करें। अचारी पनीर को दाल फ्राई, फुल्का और जीरा राइस के साथ लंच में सर्व करें।"</v>
      </c>
      <c r="J172" s="3" t="s">
        <v>31693</v>
      </c>
      <c r="L172" s="1" t="s">
        <v>31003</v>
      </c>
    </row>
    <row r="173" spans="1:12" ht="13.8">
      <c r="A173" s="1" t="s">
        <v>31694</v>
      </c>
      <c r="B173" s="1" t="str">
        <f ca="1">IFERROR(__xludf.dummyfunction("IF(A173="""", """", GOOGLETRANSLATE(A173, ""en"", ""hi""))"),"गोभी के कोफ्ते")</f>
        <v>गोभी के कोफ्ते</v>
      </c>
      <c r="C173" s="1" t="s">
        <v>145</v>
      </c>
      <c r="D173" s="1" t="s">
        <v>14198</v>
      </c>
      <c r="E173" s="1">
        <v>75</v>
      </c>
      <c r="F173" s="1" t="s">
        <v>31695</v>
      </c>
      <c r="G173" s="1" t="str">
        <f ca="1">IFERROR(__xludf.dummyfunction("IF(F173="""", """", GOOGLETRANSLATE(F173, ""en"", ""hi""))"),"1 बड़ा चम्मच अदरक लहसुन का पेस्ट, 1/2 कप दही, 2 प्याज - पेस्ट बना लें, 2 तेजपत्ता, 2 बड़ी इलायची, 1/2 इंच दालचीनी, 1 छोटा चम्मच लाल मिर्च पाउडर, 1/2 छोटा चम्मच हल्दी पाउडर, 1 छोटा चम्मच धनिया पाउडर, नमक - आवश्यकतानुसार, तेल - आवश्यकतानुसार, पानी - आवश्यकत"&amp;"ानुसार, 2 धनिया के पत्ते - बारीक कटे हुए, 250 ग्राम गोभी - कद्दूकस की हुई, 1/2 कप बेसन, 1 छोटा चम्मच लाल मिर्च पाउडर, 2 हरी मिर्च - बारीक कटी हुई, नमक - आवश्यकतानुसार, पानी - आवश्यकतानुसार, तेल - आवश्यकतानुसार")</f>
        <v>1 बड़ा चम्मच अदरक लहसुन का पेस्ट, 1/2 कप दही, 2 प्याज - पेस्ट बना लें, 2 तेजपत्ता, 2 बड़ी इलायची, 1/2 इंच दालचीनी, 1 छोटा चम्मच लाल मिर्च पाउडर, 1/2 छोटा चम्मच हल्दी पाउडर, 1 छोटा चम्मच धनिया पाउडर, नमक - आवश्यकतानुसार, तेल - आवश्यकतानुसार, पानी - आवश्यकतानुसार, 2 धनिया के पत्ते - बारीक कटे हुए, 250 ग्राम गोभी - कद्दूकस की हुई, 1/2 कप बेसन, 1 छोटा चम्मच लाल मिर्च पाउडर, 2 हरी मिर्च - बारीक कटी हुई, नमक - आवश्यकतानुसार, पानी - आवश्यकतानुसार, तेल - आवश्यकतानुसार</v>
      </c>
      <c r="H173" s="1" t="s">
        <v>31696</v>
      </c>
      <c r="I173" s="1" t="str">
        <f ca="1">IFERROR(__xludf.dummyfunction("IF(H173="""", """", GOOGLETRANSLATE(H173, ""en"", ""hi""))"),"""गोबी कोफ्ता बनाने के लिए सबसे पहले हम कोफ्ते बनाएंगे। कोफ्ते के लिए दी गई सामग्री को एक प्याले में डालिए। थोड़ा पानी डालकर अच्छे से मिला लीजिए। मिलाने के बाद पकौड़े बनाकर एक तरफ रख दीजिए। एक पैन में तेल गर्म कीजिए। पकौड़े डालकर ब्राउन होने तक पका लीजिए।"&amp;" इन्हें किचन टॉवल पर निकाल लीजिए ताकि अतिरिक्त तेल निकल जाए। एक तरफ रख दीजिए। अब एक पैन में तेल गर्म कीजिए। इसमें लौंग, तेजपत्ता, बड़ी इलायची और दालचीनी डाल दीजिए। 1 मिनट बाद अदरक लहसुन का पेस्ट डाल दीजिए और 5 से 8 मिनट तक पका लीजिए। 5 से 8 मिनट बाद लाल म"&amp;"िर्च पाउडर, हल्दी पाउडर, धनिया पाउडर, नमक डाल दीजिए और 5 मिनट तक पका लीजिए। 5 मिनट बाद आंच धीमी कर दीजिए और दही डाल दीजिए। मिलाइए और आवश्यकतानुसार पानी डाल दीजिए। इसे 4 से 5 मिनट तक पकने दीजिए। अब कोफ्ते डालिए और 2 मिनट और पका लीजिए। 2 मिनट बाद गैस बंद कर"&amp;" दीजिए और हरे धनिए से गार्निश कीजिए। गोभी के कोफ्ते को बूंदी रायता और तवा पराठे के साथ डिनर में सर्व कीजिए।")</f>
        <v>"गोबी कोफ्ता बनाने के लिए सबसे पहले हम कोफ्ते बनाएंगे। कोफ्ते के लिए दी गई सामग्री को एक प्याले में डालिए। थोड़ा पानी डालकर अच्छे से मिला लीजिए। मिलाने के बाद पकौड़े बनाकर एक तरफ रख दीजिए। एक पैन में तेल गर्म कीजिए। पकौड़े डालकर ब्राउन होने तक पका लीजिए। इन्हें किचन टॉवल पर निकाल लीजिए ताकि अतिरिक्त तेल निकल जाए। एक तरफ रख दीजिए। अब एक पैन में तेल गर्म कीजिए। इसमें लौंग, तेजपत्ता, बड़ी इलायची और दालचीनी डाल दीजिए। 1 मिनट बाद अदरक लहसुन का पेस्ट डाल दीजिए और 5 से 8 मिनट तक पका लीजिए। 5 से 8 मिनट बाद लाल मिर्च पाउडर, हल्दी पाउडर, धनिया पाउडर, नमक डाल दीजिए और 5 मिनट तक पका लीजिए। 5 मिनट बाद आंच धीमी कर दीजिए और दही डाल दीजिए। मिलाइए और आवश्यकतानुसार पानी डाल दीजिए। इसे 4 से 5 मिनट तक पकने दीजिए। अब कोफ्ते डालिए और 2 मिनट और पका लीजिए। 2 मिनट बाद गैस बंद कर दीजिए और हरे धनिए से गार्निश कीजिए। गोभी के कोफ्ते को बूंदी रायता और तवा पराठे के साथ डिनर में सर्व कीजिए।</v>
      </c>
      <c r="J173" s="3" t="s">
        <v>31697</v>
      </c>
      <c r="L173" s="1" t="s">
        <v>31003</v>
      </c>
    </row>
    <row r="174" spans="1:12" ht="13.8">
      <c r="A174" s="1" t="s">
        <v>31698</v>
      </c>
      <c r="B174" s="1" t="str">
        <f ca="1">IFERROR(__xludf.dummyfunction("IF(A174="""", """", GOOGLETRANSLATE(A174, ""en"", ""hi""))"),"मटर कीमा")</f>
        <v>मटर कीमा</v>
      </c>
      <c r="C174" s="1" t="s">
        <v>145</v>
      </c>
      <c r="D174" s="1" t="s">
        <v>14198</v>
      </c>
      <c r="E174" s="1">
        <v>65</v>
      </c>
      <c r="F174" s="1" t="s">
        <v>31699</v>
      </c>
      <c r="G174" s="1" t="str">
        <f ca="1">IFERROR(__xludf.dummyfunction("IF(F174="""", """", GOOGLETRANSLATE(F174, ""en"", ""hi""))"),"1 कप हरी मटर - उबालकर मैश करें, 1 आलू - उबालकर मैश करें, 1/2 कप पनीर - काटें, 1 टमाटर - बारीक काटें, 1/4 कप टमाटर प्यूरी, 1/2 चम्मच जीरा, 1/2 चम्मच राई, हींग - चुटकीभर, 1 प्याज - बारीक कटा हुआ, 1 बड़ा चम्मच अदरक लहसुन पेस्ट, 1 चम्मच लाल मिर्च पाउडर, 1/2 च"&amp;"म्मच हल्दी पाउडर, हरा धनिया - थोड़ा-सा, 1 चम्मच धनिया पाउडर, 1/2 चम्मच गरम मसाला पाउडर, तेल - आवश्यकतानुसार, पानी - आवश्यकतानुसार, नमक - आवश्यकतानुसार")</f>
        <v>1 कप हरी मटर - उबालकर मैश करें, 1 आलू - उबालकर मैश करें, 1/2 कप पनीर - काटें, 1 टमाटर - बारीक काटें, 1/4 कप टमाटर प्यूरी, 1/2 चम्मच जीरा, 1/2 चम्मच राई, हींग - चुटकीभर, 1 प्याज - बारीक कटा हुआ, 1 बड़ा चम्मच अदरक लहसुन पेस्ट, 1 चम्मच लाल मिर्च पाउडर, 1/2 चम्मच हल्दी पाउडर, हरा धनिया - थोड़ा-सा, 1 चम्मच धनिया पाउडर, 1/2 चम्मच गरम मसाला पाउडर, तेल - आवश्यकतानुसार, पानी - आवश्यकतानुसार, नमक - आवश्यकतानुसार</v>
      </c>
      <c r="H174" s="1" t="s">
        <v>31700</v>
      </c>
      <c r="I174" s="1" t="str">
        <f ca="1">IFERROR(__xludf.dummyfunction("IF(H174="""", """", GOOGLETRANSLATE(H174, ""en"", ""hi""))"),"मटर कीमा बनाने के लिए सबसे पहले एक पैन में तेल गर्म करें। इसमें जीरा, राई और हींग डालें। 15 सेकंड के बाद इसमें प्याज़ डालें और प्याज़ के नरम होने तक पकाएँ। प्याज़ के नरम होने के बाद इसमें अदरक लहसुन का पेस्ट डालें और 2 मिनट तक पकने दें। 2 मिनट के बाद इसमे"&amp;"ं बारीक कटे टमाटर और टमाटर की प्यूरी डालें। पैन को ढक दें और 3 से 4 मिनट तक पकने दें। 4 मिनट के बाद इसमें लाल मिर्च पाउडर, हल्दी पाउडर, धनिया पाउडर, गरम मसाला पाउडर और नमक डालें। मिलाएँ और 5 मिनट तक पकने दें। 5 मिनट के बाद इसमें मैश किया हुआ आलू, पनीर और "&amp;"1/4 कप पानी डालें। सभी चीजों को मिलाएँ और 6 से 8 मिनट तक पकने दें। इसके बाद इसमें हरी मटर डालें। पैन को ढक दें और 3 से 5 मिनट तक पकने दें। पकने के बाद इसमें हरा धनिया डालकर गार्निश करें और सर्व करें। मटर कीमा को पालक रायता और फुल्के के साथ लंच में सर्व कर"&amp;"ें।")</f>
        <v>मटर कीमा बनाने के लिए सबसे पहले एक पैन में तेल गर्म करें। इसमें जीरा, राई और हींग डालें। 15 सेकंड के बाद इसमें प्याज़ डालें और प्याज़ के नरम होने तक पकाएँ। प्याज़ के नरम होने के बाद इसमें अदरक लहसुन का पेस्ट डालें और 2 मिनट तक पकने दें। 2 मिनट के बाद इसमें बारीक कटे टमाटर और टमाटर की प्यूरी डालें। पैन को ढक दें और 3 से 4 मिनट तक पकने दें। 4 मिनट के बाद इसमें लाल मिर्च पाउडर, हल्दी पाउडर, धनिया पाउडर, गरम मसाला पाउडर और नमक डालें। मिलाएँ और 5 मिनट तक पकने दें। 5 मिनट के बाद इसमें मैश किया हुआ आलू, पनीर और 1/4 कप पानी डालें। सभी चीजों को मिलाएँ और 6 से 8 मिनट तक पकने दें। इसके बाद इसमें हरी मटर डालें। पैन को ढक दें और 3 से 5 मिनट तक पकने दें। पकने के बाद इसमें हरा धनिया डालकर गार्निश करें और सर्व करें। मटर कीमा को पालक रायता और फुल्के के साथ लंच में सर्व करें।</v>
      </c>
      <c r="J174" s="3" t="s">
        <v>31701</v>
      </c>
      <c r="L174" s="1" t="s">
        <v>31003</v>
      </c>
    </row>
    <row r="175" spans="1:12" ht="13.8">
      <c r="A175" s="1" t="s">
        <v>31702</v>
      </c>
      <c r="B175" s="1" t="str">
        <f ca="1">IFERROR(__xludf.dummyfunction("IF(A175="""", """", GOOGLETRANSLATE(A175, ""en"", ""hi""))"),"पनीर कोफ्ता करी रेसिपी")</f>
        <v>पनीर कोफ्ता करी रेसिपी</v>
      </c>
      <c r="C175" s="1" t="s">
        <v>14207</v>
      </c>
      <c r="D175" s="1" t="s">
        <v>14198</v>
      </c>
      <c r="E175" s="1">
        <v>60</v>
      </c>
      <c r="F175" s="1" t="s">
        <v>31703</v>
      </c>
      <c r="G175" s="1" t="str">
        <f ca="1">IFERROR(__xludf.dummyfunction("IF(F175="""", """", GOOGLETRANSLATE(F175, ""en"", ""hi""))"),"250 ग्राम पनीर - कद्दूकस किया हुआ, 3 बड़े चम्मच मैदा, नमक - चुटकी भर, हरा धनिया - थोड़ा सा, 1 छोटा चम्मच जीरा पाउडर, 1 अदरक - कद्दूकस किया हुआ, 1 बड़ा चम्मच शहद, 2 कप टमाटर प्यूरी, 1 छोटा चम्मच धनिया पाउडर, 1/2 छोटा चम्मच गरम मसाला पाउडर, 1/4 छोटा चम्मच ह"&amp;"ल्दी पाउडर, 1/4 कप दही - या क्रीम, कसूरी मेथी - थोड़ी सी, नमक - स्वादानुसार, तेल - उपयोगानुसार")</f>
        <v>250 ग्राम पनीर - कद्दूकस किया हुआ, 3 बड़े चम्मच मैदा, नमक - चुटकी भर, हरा धनिया - थोड़ा सा, 1 छोटा चम्मच जीरा पाउडर, 1 अदरक - कद्दूकस किया हुआ, 1 बड़ा चम्मच शहद, 2 कप टमाटर प्यूरी, 1 छोटा चम्मच धनिया पाउडर, 1/2 छोटा चम्मच गरम मसाला पाउडर, 1/4 छोटा चम्मच हल्दी पाउडर, 1/4 कप दही - या क्रीम, कसूरी मेथी - थोड़ी सी, नमक - स्वादानुसार, तेल - उपयोगानुसार</v>
      </c>
      <c r="H175" s="1" t="s">
        <v>31704</v>
      </c>
      <c r="I175" s="1" t="str">
        <f ca="1">IFERROR(__xludf.dummyfunction("IF(H175="""", """", GOOGLETRANSLATE(H175, ""en"", ""hi""))"),"""पनीर कोफ्ता करी रेसिपी बनाने के लिए सबसे पहले हम पनीर कोफ्ता बनाएंगे। एक बाउल में कद्दूकस किया हुआ पनीर, आटा, नमक, धनिया पत्ता, जीरा पाउडर डालकर अच्छे से मिला लें। अब इस मिश्रण के छोटे-छोटे बॉल्स बना लें। अब हम इन्हें फ्राई करेंगे। आप इन पनीर बॉल्स को ओ"&amp;"वन में बेक कर सकते हैं या फिर पनियारम पैन में पैन फ्राई कर सकते हैं। ओवन में विधि: एक बेकिंग शीट लें और इसे तेल से ग्रीस कर लें। इस पर पनीर बॉल्स रखें और पहले से गरम ओवन में 200 डिग्री सेल्सियस पर गोल्डन ब्राउन होने तक बेक करें। निकाल कर अलग रख दें। पनिया"&amp;"रम पैन में विधि: एक पनियारम पैन गरम करें। हर कैविटी में थोड़ा तेल डालें। तेल गरम होने के बाद पनीर बॉल्स डालें और दोनों तरफ से गोल्डन ब्राउन होने तक पकाएं। चम्मच की मदद से पलट दें। एक तरफ रख दें। अब कोफ्ता करी बनाने के लिए एक पैन में तेल गरम करें। तेल गरम "&amp;"होने के बाद शहद और अदरक डालें और शहद के उबलने तक पकाएं नरम। अब क्रीम या हंग कर्ड, कसूरी मेथी डालें और अच्छी तरह मिलाएँ। 1 मिनट के बाद कोफ्ता पनीर बॉल्स डालें, पैन को ढक दें और पकने दें। इसे 3 से 4 मिनट तक पकने दें और गैस बंद कर दें। पनीर कोफ्ता करी को बूं"&amp;"दी रायता और लच्छा पराठा के साथ रोज़ाना के खाने में परोसें।")</f>
        <v>"पनीर कोफ्ता करी रेसिपी बनाने के लिए सबसे पहले हम पनीर कोफ्ता बनाएंगे। एक बाउल में कद्दूकस किया हुआ पनीर, आटा, नमक, धनिया पत्ता, जीरा पाउडर डालकर अच्छे से मिला लें। अब इस मिश्रण के छोटे-छोटे बॉल्स बना लें। अब हम इन्हें फ्राई करेंगे। आप इन पनीर बॉल्स को ओवन में बेक कर सकते हैं या फिर पनियारम पैन में पैन फ्राई कर सकते हैं। ओवन में विधि: एक बेकिंग शीट लें और इसे तेल से ग्रीस कर लें। इस पर पनीर बॉल्स रखें और पहले से गरम ओवन में 200 डिग्री सेल्सियस पर गोल्डन ब्राउन होने तक बेक करें। निकाल कर अलग रख दें। पनियारम पैन में विधि: एक पनियारम पैन गरम करें। हर कैविटी में थोड़ा तेल डालें। तेल गरम होने के बाद पनीर बॉल्स डालें और दोनों तरफ से गोल्डन ब्राउन होने तक पकाएं। चम्मच की मदद से पलट दें। एक तरफ रख दें। अब कोफ्ता करी बनाने के लिए एक पैन में तेल गरम करें। तेल गरम होने के बाद शहद और अदरक डालें और शहद के उबलने तक पकाएं नरम। अब क्रीम या हंग कर्ड, कसूरी मेथी डालें और अच्छी तरह मिलाएँ। 1 मिनट के बाद कोफ्ता पनीर बॉल्स डालें, पैन को ढक दें और पकने दें। इसे 3 से 4 मिनट तक पकने दें और गैस बंद कर दें। पनीर कोफ्ता करी को बूंदी रायता और लच्छा पराठा के साथ रोज़ाना के खाने में परोसें।</v>
      </c>
      <c r="J175" s="3" t="s">
        <v>31705</v>
      </c>
      <c r="L175" s="1" t="s">
        <v>31003</v>
      </c>
    </row>
    <row r="176" spans="1:12" ht="13.8">
      <c r="A176" s="1" t="s">
        <v>31345</v>
      </c>
      <c r="B176" s="1" t="str">
        <f ca="1">IFERROR(__xludf.dummyfunction("IF(A176="""", """", GOOGLETRANSLATE(A176, ""en"", ""hi""))"),"छोले शिमला मिर्च मसाला रेसिपी")</f>
        <v>छोले शिमला मिर्च मसाला रेसिपी</v>
      </c>
      <c r="C176" s="1" t="s">
        <v>429</v>
      </c>
      <c r="D176" s="1" t="s">
        <v>14198</v>
      </c>
      <c r="E176" s="1">
        <v>70</v>
      </c>
      <c r="F176" s="1" t="s">
        <v>31706</v>
      </c>
      <c r="G176" s="1" t="str">
        <f ca="1">IFERROR(__xludf.dummyfunction("IF(F176="""", """", GOOGLETRANSLATE(F176, ""en"", ""hi""))"),"1 कप काबुली चना - भिगोकर नरम होने तक पकाएं, हरी शिमला मिर्च - टुकड़ों में कटी हुई, 2 प्याज - बारीक कटे हुए, 2 चम्मच अदरक लहसुन का पेस्ट, 2 चम्मच धनिया, 1 चम्मच लाल मिर्च पाउडर, 1 चम्मच जीरा, 1/2 चम्मच हल्दी, 1 चम्मच कसूरी मेथी, 1/2 कप काजू, 1 कप घर का बना"&amp;" टमाटर प्यूरी, सूरजमुखी तेल - पकाने के लिए, नमक - स्वादानुसार")</f>
        <v>1 कप काबुली चना - भिगोकर नरम होने तक पकाएं, हरी शिमला मिर्च - टुकड़ों में कटी हुई, 2 प्याज - बारीक कटे हुए, 2 चम्मच अदरक लहसुन का पेस्ट, 2 चम्मच धनिया, 1 चम्मच लाल मिर्च पाउडर, 1 चम्मच जीरा, 1/2 चम्मच हल्दी, 1 चम्मच कसूरी मेथी, 1/2 कप काजू, 1 कप घर का बना टमाटर प्यूरी, सूरजमुखी तेल - पकाने के लिए, नमक - स्वादानुसार</v>
      </c>
      <c r="H176" s="1" t="s">
        <v>31707</v>
      </c>
      <c r="I176" s="1" t="str">
        <f ca="1">IFERROR(__xludf.dummyfunction("IF(H176="""", """", GOOGLETRANSLATE(H176, ""en"", ""hi""))"),"छोले शिमला मिर्च मसाला रेसिपी बनाने के लिए, काजू को 12 से 15 मिनट के लिए गर्म पानी में भिगोएँ। एक कड़ाही में तेल गर्म करें। कटे हुए प्याज डालें और सुनहरा भूरा होने तक पकाएँ। लहसुन का पेस्ट डालें और 1 मिनट तक भूनें। इसके बाद कटे हुए शिमला मिर्च के टुकड़े ड"&amp;"ालें और 2 से 3 मिनट तक भूनें। फिर जीरा पाउडर, धनिया पाउडर, हल्दी पाउडर और मिर्च पाउडर डालें। एक मिनट तक भूनें, ध्यान रहे कि जले नहीं। अब टमाटर सॉस/प्यूरी और उबले हुए छोले को 2 कप पानी के साथ डालें। इस मिश्रण को उबलने दें और फिर 5 मिनट तक उबालें जब तक कि फ"&amp;"्लेवर एक साथ न मिल जाएँ। इस बीच, भिगोए हुए काजू का पेस्ट बना लें। काजू के पेस्ट को नमक के साथ करी में मिलाएँ। 4 से 5 मिनट तक उबालें।")</f>
        <v>छोले शिमला मिर्च मसाला रेसिपी बनाने के लिए, काजू को 12 से 15 मिनट के लिए गर्म पानी में भिगोएँ। एक कड़ाही में तेल गर्म करें। कटे हुए प्याज डालें और सुनहरा भूरा होने तक पकाएँ। लहसुन का पेस्ट डालें और 1 मिनट तक भूनें। इसके बाद कटे हुए शिमला मिर्च के टुकड़े डालें और 2 से 3 मिनट तक भूनें। फिर जीरा पाउडर, धनिया पाउडर, हल्दी पाउडर और मिर्च पाउडर डालें। एक मिनट तक भूनें, ध्यान रहे कि जले नहीं। अब टमाटर सॉस/प्यूरी और उबले हुए छोले को 2 कप पानी के साथ डालें। इस मिश्रण को उबलने दें और फिर 5 मिनट तक उबालें जब तक कि फ्लेवर एक साथ न मिल जाएँ। इस बीच, भिगोए हुए काजू का पेस्ट बना लें। काजू के पेस्ट को नमक के साथ करी में मिलाएँ। 4 से 5 मिनट तक उबालें।</v>
      </c>
      <c r="J176" s="3" t="s">
        <v>31708</v>
      </c>
      <c r="L176" s="1" t="s">
        <v>31003</v>
      </c>
    </row>
    <row r="177" spans="1:12" ht="13.8">
      <c r="A177" s="1" t="s">
        <v>31709</v>
      </c>
      <c r="B177" s="1" t="str">
        <f ca="1">IFERROR(__xludf.dummyfunction("IF(A177="""", """", GOOGLETRANSLATE(A177, ""en"", ""hi""))"),"अमृतसरी मछली ग्रेवी रेसिपी")</f>
        <v>अमृतसरी मछली ग्रेवी रेसिपी</v>
      </c>
      <c r="C177" s="1" t="s">
        <v>429</v>
      </c>
      <c r="D177" s="1" t="s">
        <v>14382</v>
      </c>
      <c r="E177" s="1">
        <v>45</v>
      </c>
      <c r="F177" s="1" t="s">
        <v>31710</v>
      </c>
      <c r="G177" s="1" t="str">
        <f ca="1">IFERROR(__xludf.dummyfunction("IF(F177="""", """", GOOGLETRANSLATE(F177, ""en"", ""hi""))"),"300 ग्राम मछली - कटलेट, 1/4 चम्मच अजवाइन, 1 बड़ा चम्मच बेसन, 1 चम्मच कश्मीरी लाल मिर्च पाउडर, 1/2 चम्मच हल्दी, 1 चम्मच अदरक लहसुन पेस्ट, 1 चम्मच नींबू का रस, नमक - स्वादानुसार, 2 चम्मच सूरजमुखी तेल, 1/4 कप दही - फेंटा हुआ, 1/3 कप पानी, 1/2 चम्मच अजवाइन, 2"&amp;" दालचीनी, 2 हरी मिर्च, 1 ताजा लाल मिर्च, 1/2 चम्मच हल्दी पाउडर, 1/4 कप काजू, 1 बड़ा चम्मच घर का बना टमाटर प्यूरी, 1 प्याज - कटा हुआ, धनिया पत्ती - कटा हुआ, 2 चम्मच घी, नमक - स्वादानुसार")</f>
        <v>300 ग्राम मछली - कटलेट, 1/4 चम्मच अजवाइन, 1 बड़ा चम्मच बेसन, 1 चम्मच कश्मीरी लाल मिर्च पाउडर, 1/2 चम्मच हल्दी, 1 चम्मच अदरक लहसुन पेस्ट, 1 चम्मच नींबू का रस, नमक - स्वादानुसार, 2 चम्मच सूरजमुखी तेल, 1/4 कप दही - फेंटा हुआ, 1/3 कप पानी, 1/2 चम्मच अजवाइन, 2 दालचीनी, 2 हरी मिर्च, 1 ताजा लाल मिर्च, 1/2 चम्मच हल्दी पाउडर, 1/4 कप काजू, 1 बड़ा चम्मच घर का बना टमाटर प्यूरी, 1 प्याज - कटा हुआ, धनिया पत्ती - कटा हुआ, 2 चम्मच घी, नमक - स्वादानुसार</v>
      </c>
      <c r="H177" s="1" t="s">
        <v>31711</v>
      </c>
      <c r="I177" s="1" t="str">
        <f ca="1">IFERROR(__xludf.dummyfunction("IF(H177="""", """", GOOGLETRANSLATE(H177, ""en"", ""hi""))"),"अमृतसरी फिश ग्रेवी रेसिपी बनाने के लिए सबसे पहले मछली के टुकड़ों को साफ कर धो लें, नमक मलें और पांच मिनट के लिए अलग रख दें। एक मिक्सिंग बाउल में अदरक और लहसुन का पेस्ट, नींबू का रस, अजवायन, बेसन, लाल मिर्च पाउडर और हल्दी पाउडर डालें। अच्छी तरह मिलाएं और इ"&amp;"स पेस्ट में मछली के टुकड़े डाल दें। मछली के टुकड़ों को मिश्रण में कम से कम 30 मिनट के लिए मैरीनेट करें। मध्यम आंच पर एक कड़ाही रखें और ऊपर से थोड़ा तेल डालें। मैरीनेट की हुई मछली के टुकड़ों को कड़ाही में डालें और कुरकुरा लाल होने तक पकाएं। मछली के टुकड़ों"&amp;" को पकने तक पलटें। *ग्रेवी बनाने के लिए काजू को पानी में भिगो दें, नरम होने पर थोड़े पानी के साथ पीसकर पेस्ट बना लें। एक बड़े मिक्सिंग बाउल में फेंटा हुआ दही, काजू का पेस्ट, टमाटर का पेस्ट, मिर्च पाउडर, हल्दी पाउडर और पानी डालें। एक भारी तले वाले पैन को ध"&amp;"ीमी आंच पर रखें और उसमें थोड़ा घी और अजवायन डालें। एक मिनट तक भूनें और कटे हुए प्याज़ डालें। पारभासी होने तक भूनें। अदरक का पेस्ट डालें और कुछ और मिनट तक भूनें जब तक कि कच्ची महक न चली जाए। दही और काजू के पेस्ट के मिश्रण को कटी हुई हरी मिर्च और लाल मिर्च "&amp;"के साथ डालें। अपने स्वादानुसार नमक डालें। मछली के टुकड़ों को सर्विंग डिश में डालें और किनारों पर ग्रेवी डालें। कटी हुई धनिया पत्ती से गार्निश करें। अमृतसरी फिश ग्रेवी रेसिपी को गेहूं प्याज भरवां कुल्चा या जीरा राइस या स्टीम्ड राइस के साथ स्वादिष्ट संडे मी"&amp;"ल के लिए परोसें।")</f>
        <v>अमृतसरी फिश ग्रेवी रेसिपी बनाने के लिए सबसे पहले मछली के टुकड़ों को साफ कर धो लें, नमक मलें और पांच मिनट के लिए अलग रख दें। एक मिक्सिंग बाउल में अदरक और लहसुन का पेस्ट, नींबू का रस, अजवायन, बेसन, लाल मिर्च पाउडर और हल्दी पाउडर डालें। अच्छी तरह मिलाएं और इस पेस्ट में मछली के टुकड़े डाल दें। मछली के टुकड़ों को मिश्रण में कम से कम 30 मिनट के लिए मैरीनेट करें। मध्यम आंच पर एक कड़ाही रखें और ऊपर से थोड़ा तेल डालें। मैरीनेट की हुई मछली के टुकड़ों को कड़ाही में डालें और कुरकुरा लाल होने तक पकाएं। मछली के टुकड़ों को पकने तक पलटें। *ग्रेवी बनाने के लिए काजू को पानी में भिगो दें, नरम होने पर थोड़े पानी के साथ पीसकर पेस्ट बना लें। एक बड़े मिक्सिंग बाउल में फेंटा हुआ दही, काजू का पेस्ट, टमाटर का पेस्ट, मिर्च पाउडर, हल्दी पाउडर और पानी डालें। एक भारी तले वाले पैन को धीमी आंच पर रखें और उसमें थोड़ा घी और अजवायन डालें। एक मिनट तक भूनें और कटे हुए प्याज़ डालें। पारभासी होने तक भूनें। अदरक का पेस्ट डालें और कुछ और मिनट तक भूनें जब तक कि कच्ची महक न चली जाए। दही और काजू के पेस्ट के मिश्रण को कटी हुई हरी मिर्च और लाल मिर्च के साथ डालें। अपने स्वादानुसार नमक डालें। मछली के टुकड़ों को सर्विंग डिश में डालें और किनारों पर ग्रेवी डालें। कटी हुई धनिया पत्ती से गार्निश करें। अमृतसरी फिश ग्रेवी रेसिपी को गेहूं प्याज भरवां कुल्चा या जीरा राइस या स्टीम्ड राइस के साथ स्वादिष्ट संडे मील के लिए परोसें।</v>
      </c>
      <c r="J177" s="3" t="s">
        <v>31712</v>
      </c>
      <c r="L177" s="1" t="s">
        <v>31003</v>
      </c>
    </row>
    <row r="178" spans="1:12" ht="13.8">
      <c r="A178" s="1" t="s">
        <v>31713</v>
      </c>
      <c r="B178" s="1" t="str">
        <f ca="1">IFERROR(__xludf.dummyfunction("IF(A178="""", """", GOOGLETRANSLATE(A178, ""en"", ""hi""))"),"इलेक्ट्रिक प्रेशर कुकर में ढाबा स्टाइल अंडा करी रेसिपी")</f>
        <v>इलेक्ट्रिक प्रेशर कुकर में ढाबा स्टाइल अंडा करी रेसिपी</v>
      </c>
      <c r="C178" s="1" t="s">
        <v>429</v>
      </c>
      <c r="D178" s="1" t="s">
        <v>15314</v>
      </c>
      <c r="E178" s="1">
        <v>90</v>
      </c>
      <c r="F178" s="1" t="s">
        <v>31714</v>
      </c>
      <c r="G178" s="1" t="str">
        <f ca="1">IFERROR(__xludf.dummyfunction("IF(F178="""", """", GOOGLETRANSLATE(F178, ""en"", ""hi""))"),"4 साबुत अंडे - उबले हुए, 1 बड़ा चम्मच घी, 1/2 छोटा चम्मच जीरा, 1/2 छोटा चम्मच सरसों के बीज, 1/4 छोटा चम्मच हींग, 3 लौंग, 1 तेज पत्ता, 1 बड़ी इलायची, 2 इलायची के बीज, 4 सूखी लाल मिर्च, 1 इंच अदरक - बारीक कटा हुआ, 4 लहसुन के दाने - बारीक कटा हुआ, 1 प्याज - "&amp;"बारीक कटा हुआ, 1 कप घर का बना टमाटर प्यूरी, 2 बड़े चम्मच दही, 1 छोटा चम्मच कश्मीरी लाल मिर्च पाउडर, 1/2 छोटा चम्मच हल्दी, 1 छोटा चम्मच धनिया पाउडर, नमक - आवश्यकतानुसार, पानी - आवश्यकतानुसार, धनिया के पत्ते - कुछ टहनियाँ")</f>
        <v>4 साबुत अंडे - उबले हुए, 1 बड़ा चम्मच घी, 1/2 छोटा चम्मच जीरा, 1/2 छोटा चम्मच सरसों के बीज, 1/4 छोटा चम्मच हींग, 3 लौंग, 1 तेज पत्ता, 1 बड़ी इलायची, 2 इलायची के बीज, 4 सूखी लाल मिर्च, 1 इंच अदरक - बारीक कटा हुआ, 4 लहसुन के दाने - बारीक कटा हुआ, 1 प्याज - बारीक कटा हुआ, 1 कप घर का बना टमाटर प्यूरी, 2 बड़े चम्मच दही, 1 छोटा चम्मच कश्मीरी लाल मिर्च पाउडर, 1/2 छोटा चम्मच हल्दी, 1 छोटा चम्मच धनिया पाउडर, नमक - आवश्यकतानुसार, पानी - आवश्यकतानुसार, धनिया के पत्ते - कुछ टहनियाँ</v>
      </c>
      <c r="H178" s="1" t="s">
        <v>31715</v>
      </c>
      <c r="I178" s="1" t="str">
        <f ca="1">IFERROR(__xludf.dummyfunction("IF(H178="""", """", GOOGLETRANSLATE(H178, ""en"", ""hi""))"),"ढाबा स्टाइल अंडा करी बनाने के लिए सबसे पहले सारी सामग्री तैयार करके रख लें। अंडे उबालें और उन्हें भी तैयार रखें। प्रेशर कुकर को सॉते मोड पर रखें। इलेक्ट्रिक प्रेशर कुकर में घी गर्म करें, उसमें जीरा, राई, हिंग, तेज पत्ता, लाल मिर्च, बड़ी इलायची, हरी इलायची"&amp;", लौंग डालें जब तक कि आपको सुगंध आने न लगे। इसमें बारीक कटा प्याज, अदरक, लहसुन डालें और उन्हें नरम और पारभासी होने तक पकाएं। एक मिनट के बाद, कश्मीरी लाल मिर्च पाउडर, हल्दी पाउडर, धनिया पाउडर और आवश्यक नमक सहित सभी सूखे मसाले डालें। इसे लगभग 3 से 4 मिनट तक"&amp;" पकने दें। इसके बाद, टमाटर प्यूरी डालें और लगभग 5 से 6 मिनट तक पकाएं। 5 से 6 मिनट के बाद, दही और आवश्यक पानी डालें। अच्छी तरह से मिलाएँ, इलेक्ट्रिक प्रेशर कुकर को ढक दें। मोड को ग्रेवी मोड पर सेट करें और प्रेशर कुकर को तब तक पकने दें जब तक कि यह अपने आप ग"&amp;"र्म रखने के मोड पर न आ जाए। हो जाने पर, धनिया पत्ती डालकर चलाएँ, नमक की जाँच करें और स्वाद के अनुसार समायोजित करें। हो जाने पर, ढाबा अंडा करी को एक सर्विंग बाउल में डालें और गरमागरम परोसें। ढाबा स्टाइल अंडा करी आमतौर पर उत्तर भारत में सड़क किनारे के ढाबों"&amp;" पर बाजरे की रोटी या मक्की की रोटी के साथ परोसी जाती है।")</f>
        <v>ढाबा स्टाइल अंडा करी बनाने के लिए सबसे पहले सारी सामग्री तैयार करके रख लें। अंडे उबालें और उन्हें भी तैयार रखें। प्रेशर कुकर को सॉते मोड पर रखें। इलेक्ट्रिक प्रेशर कुकर में घी गर्म करें, उसमें जीरा, राई, हिंग, तेज पत्ता, लाल मिर्च, बड़ी इलायची, हरी इलायची, लौंग डालें जब तक कि आपको सुगंध आने न लगे। इसमें बारीक कटा प्याज, अदरक, लहसुन डालें और उन्हें नरम और पारभासी होने तक पकाएं। एक मिनट के बाद, कश्मीरी लाल मिर्च पाउडर, हल्दी पाउडर, धनिया पाउडर और आवश्यक नमक सहित सभी सूखे मसाले डालें। इसे लगभग 3 से 4 मिनट तक पकने दें। इसके बाद, टमाटर प्यूरी डालें और लगभग 5 से 6 मिनट तक पकाएं। 5 से 6 मिनट के बाद, दही और आवश्यक पानी डालें। अच्छी तरह से मिलाएँ, इलेक्ट्रिक प्रेशर कुकर को ढक दें। मोड को ग्रेवी मोड पर सेट करें और प्रेशर कुकर को तब तक पकने दें जब तक कि यह अपने आप गर्म रखने के मोड पर न आ जाए। हो जाने पर, धनिया पत्ती डालकर चलाएँ, नमक की जाँच करें और स्वाद के अनुसार समायोजित करें। हो जाने पर, ढाबा अंडा करी को एक सर्विंग बाउल में डालें और गरमागरम परोसें। ढाबा स्टाइल अंडा करी आमतौर पर उत्तर भारत में सड़क किनारे के ढाबों पर बाजरे की रोटी या मक्की की रोटी के साथ परोसी जाती है।</v>
      </c>
      <c r="J178" s="3" t="s">
        <v>31716</v>
      </c>
      <c r="L178" s="1" t="s">
        <v>31003</v>
      </c>
    </row>
    <row r="179" spans="1:12" ht="13.8">
      <c r="A179" s="1" t="s">
        <v>31717</v>
      </c>
      <c r="B179" s="1" t="str">
        <f ca="1">IFERROR(__xludf.dummyfunction("IF(A179="""", """", GOOGLETRANSLATE(A179, ""en"", ""hi""))"),"दाल बंजारा")</f>
        <v>दाल बंजारा</v>
      </c>
      <c r="C179" s="1" t="s">
        <v>145</v>
      </c>
      <c r="D179" s="1" t="s">
        <v>14237</v>
      </c>
      <c r="E179" s="1">
        <v>50</v>
      </c>
      <c r="F179" s="1" t="s">
        <v>31718</v>
      </c>
      <c r="G179" s="1" t="str">
        <f ca="1">IFERROR(__xludf.dummyfunction("IF(F179="""", """", GOOGLETRANSLATE(F179, ""en"", ""hi""))"),"3/4 कप काली उड़द दाल (विभाजित), 1/4 कप चना दाल, 1 इंच अदरक - कसा हुआ, 1 हरी मिर्च - कटी हुई, 1 टमाटर - बारीक कटा हुआ, 1 तेज पत्ता, 1 इंच दालचीनी, 1 छोटा चम्मच हल्दी पाउडर, 1 छोटा चम्मच गरम मसाला पाउडर, 5 टहनियाँ धनिया पत्ती - कटी हुई, 1 छोटा चम्मच घी, 1 छ"&amp;"ोटा चम्मच जीरा, 2 सूखी लाल मिर्च - टूटी हुई")</f>
        <v>3/4 कप काली उड़द दाल (विभाजित), 1/4 कप चना दाल, 1 इंच अदरक - कसा हुआ, 1 हरी मिर्च - कटी हुई, 1 टमाटर - बारीक कटा हुआ, 1 तेज पत्ता, 1 इंच दालचीनी, 1 छोटा चम्मच हल्दी पाउडर, 1 छोटा चम्मच गरम मसाला पाउडर, 5 टहनियाँ धनिया पत्ती - कटी हुई, 1 छोटा चम्मच घी, 1 छोटा चम्मच जीरा, 2 सूखी लाल मिर्च - टूटी हुई</v>
      </c>
      <c r="H179" s="1" t="s">
        <v>31719</v>
      </c>
      <c r="I179" s="1" t="str">
        <f ca="1">IFERROR(__xludf.dummyfunction("IF(H179="""", """", GOOGLETRANSLATE(H179, ""en"", ""hi""))"),"""दाल बंजारा बनाने के लिए सबसे पहले तड़के को छोड़कर बाकी सारी सामग्री कुकर में डाल दें। 2-1/2 कप पानी डालकर 2 से 3 सीटी आने तक पकाएँ। सीटी आने के बाद आंच धीमी कर दें और 10 मिनट तक पकने दें। गैस बंद कर दें और प्रेशर अपने आप निकलने दें। प्रेशर निकलने के बाद"&amp;" दाल को एक प्याले में निकाल लें। अब हम इसके लिए तड़का तैयार करेंगे। एक छोटे पैन में घी गर्म करें। इसमें जीरा और सूखी लाल मिर्च डालें। 15 सेकंड बाद इसे दाल में डालकर मिलाएँ। गरमागरम परोसें। दाल बंजारा को टमाटर खीरा प्याज़ रायता और भाकरी के साथ लंच में परोस"&amp;"ें।""")</f>
        <v>"दाल बंजारा बनाने के लिए सबसे पहले तड़के को छोड़कर बाकी सारी सामग्री कुकर में डाल दें। 2-1/2 कप पानी डालकर 2 से 3 सीटी आने तक पकाएँ। सीटी आने के बाद आंच धीमी कर दें और 10 मिनट तक पकने दें। गैस बंद कर दें और प्रेशर अपने आप निकलने दें। प्रेशर निकलने के बाद दाल को एक प्याले में निकाल लें। अब हम इसके लिए तड़का तैयार करेंगे। एक छोटे पैन में घी गर्म करें। इसमें जीरा और सूखी लाल मिर्च डालें। 15 सेकंड बाद इसे दाल में डालकर मिलाएँ। गरमागरम परोसें। दाल बंजारा को टमाटर खीरा प्याज़ रायता और भाकरी के साथ लंच में परोसें।"</v>
      </c>
      <c r="J179" s="3" t="s">
        <v>31720</v>
      </c>
      <c r="L179" s="1" t="s">
        <v>31003</v>
      </c>
    </row>
    <row r="180" spans="1:12" ht="13.8">
      <c r="A180" s="1" t="s">
        <v>31721</v>
      </c>
      <c r="B180" s="1" t="str">
        <f ca="1">IFERROR(__xludf.dummyfunction("IF(A180="""", """", GOOGLETRANSLATE(A180, ""en"", ""hi""))"),"लोबिया मसाला रेसिपी")</f>
        <v>लोबिया मसाला रेसिपी</v>
      </c>
      <c r="C180" s="1" t="s">
        <v>429</v>
      </c>
      <c r="D180" s="1" t="s">
        <v>14237</v>
      </c>
      <c r="E180" s="1">
        <v>45</v>
      </c>
      <c r="F180" s="1" t="s">
        <v>31722</v>
      </c>
      <c r="G180" s="1" t="str">
        <f ca="1">IFERROR(__xludf.dummyfunction("IF(F180="""", """", GOOGLETRANSLATE(F180, ""en"", ""hi""))"),"1 कप काली मटर, 1/2 कप टमाटर प्यूरी, 1 प्याज - बारीक कटा हुआ, 1 छोटा चम्मच जीरा, 1 इंच अदरक - छीला और कसा हुआ, 3 लहसुन की कलियां, 2 हरी मिर्च - बारीक कटी हुई, 1 इंच दालचीनी, 1/2 छोटा चम्मच हल्दी पाउडर, 1 छोटा चम्मच धनिया पाउडर, 1 छोटा चम्मच लाल मिर्च पाउडर"&amp;", 1 छोटा चम्मच गरम मसाला पाउडर, 1 छोटा चम्मच गुड़, 1 छोटा चम्मच नींबू का रस, नमक - स्वादानुसार, 1 छोटा चम्मच जैतून का तेल, हरा धनिया - कटा हुआ")</f>
        <v>1 कप काली मटर, 1/2 कप टमाटर प्यूरी, 1 प्याज - बारीक कटा हुआ, 1 छोटा चम्मच जीरा, 1 इंच अदरक - छीला और कसा हुआ, 3 लहसुन की कलियां, 2 हरी मिर्च - बारीक कटी हुई, 1 इंच दालचीनी, 1/2 छोटा चम्मच हल्दी पाउडर, 1 छोटा चम्मच धनिया पाउडर, 1 छोटा चम्मच लाल मिर्च पाउडर, 1 छोटा चम्मच गरम मसाला पाउडर, 1 छोटा चम्मच गुड़, 1 छोटा चम्मच नींबू का रस, नमक - स्वादानुसार, 1 छोटा चम्मच जैतून का तेल, हरा धनिया - कटा हुआ</v>
      </c>
      <c r="H180" s="1" t="s">
        <v>31723</v>
      </c>
      <c r="I180" s="1" t="str">
        <f ca="1">IFERROR(__xludf.dummyfunction("IF(H180="""", """", GOOGLETRANSLATE(H180, ""en"", ""hi""))"),"लोबिया मसाला रेसिपी बनाने के लिए लोबिया को 2 घंटे के लिए पानी में भिगो दें। अब उन्हें 2 कप पानी के साथ प्रेशर कुकर में डालें और 5 से 6 सीटी आने तक पकाएँ। प्रेशर अपने आप निकल जाने दें। प्रेशर निकल जाने के बाद, लोबिया को बाहर निकालें और एक कटोरे में रख दें।"&amp;" एक सॉस पैन में तेल गरम करें। उसमें जीरा, दालचीनी डालें और जीरा चटकने दें। जीरा चटकने के बाद, अदरक, लहसुन, प्याज, हरी मिर्च डालें और 15 से 20 सेकंड तक पकाएँ। अब टमाटर प्यूरी डालें और 4 से 5 मिनट तक पकाएँ। अब हल्दी पाउडर, धनिया पाउडर, गरम मसाला पाउडर, लाल "&amp;"मिर्च पाउडर, गुड़, लोबिया डालें और मिलाएँ। आंच कम करें और लोबिया को 15 मिनट तक पकने दें। अगर आपको और पानी की ज़रूरत है तो डालें और पकने दें। 15 मिनट तक पकाएँ और इसमें नींबू का रस डालें। मिलाएँ और हरे धनिये से गार्निश करें। परोसें। लोबिया मसाला को तवा पराठ"&amp;"ा और टमाटर प्याज खीरा रायता के साथ लंच में परोसें।")</f>
        <v>लोबिया मसाला रेसिपी बनाने के लिए लोबिया को 2 घंटे के लिए पानी में भिगो दें। अब उन्हें 2 कप पानी के साथ प्रेशर कुकर में डालें और 5 से 6 सीटी आने तक पकाएँ। प्रेशर अपने आप निकल जाने दें। प्रेशर निकल जाने के बाद, लोबिया को बाहर निकालें और एक कटोरे में रख दें। एक सॉस पैन में तेल गरम करें। उसमें जीरा, दालचीनी डालें और जीरा चटकने दें। जीरा चटकने के बाद, अदरक, लहसुन, प्याज, हरी मिर्च डालें और 15 से 20 सेकंड तक पकाएँ। अब टमाटर प्यूरी डालें और 4 से 5 मिनट तक पकाएँ। अब हल्दी पाउडर, धनिया पाउडर, गरम मसाला पाउडर, लाल मिर्च पाउडर, गुड़, लोबिया डालें और मिलाएँ। आंच कम करें और लोबिया को 15 मिनट तक पकने दें। अगर आपको और पानी की ज़रूरत है तो डालें और पकने दें। 15 मिनट तक पकाएँ और इसमें नींबू का रस डालें। मिलाएँ और हरे धनिये से गार्निश करें। परोसें। लोबिया मसाला को तवा पराठा और टमाटर प्याज खीरा रायता के साथ लंच में परोसें।</v>
      </c>
      <c r="J180" s="3" t="s">
        <v>31724</v>
      </c>
      <c r="L180" s="1" t="s">
        <v>31003</v>
      </c>
    </row>
    <row r="181" spans="1:12" ht="13.8">
      <c r="A181" s="1" t="s">
        <v>31725</v>
      </c>
      <c r="B181" s="1" t="str">
        <f ca="1">IFERROR(__xludf.dummyfunction("IF(A181="""", """", GOOGLETRANSLATE(A181, ""en"", ""hi""))"),"मिक्स वेजिटेबल समोसा रेसिपी")</f>
        <v>मिक्स वेजिटेबल समोसा रेसिपी</v>
      </c>
      <c r="C181" s="1" t="s">
        <v>14281</v>
      </c>
      <c r="D181" s="1" t="s">
        <v>14198</v>
      </c>
      <c r="E181" s="1">
        <v>55</v>
      </c>
      <c r="F181" s="1" t="s">
        <v>31726</v>
      </c>
      <c r="G181" s="1" t="str">
        <f ca="1">IFERROR(__xludf.dummyfunction("IF(F181="""", """", GOOGLETRANSLATE(F181, ""en"", ""hi""))"),"2 कप मैदा, 3 बड़े चम्मच सूरजमुखी तेल, 1/4 छोटा चम्मच अजवाइन, 1/2 छोटा चम्मच नींबू का रस, 4 आलू - मध्यम आकार के, 1/2 कप हरी मटर - उबली हुई, 1/4 कप गाजर - उबली और बारीक कटी हुई, 1/4 छोटा चम्मच सरसों के बीज, 1/4 छोटा चम्मच धनिया के बीज, 1/4 कप प्याज - बारीक "&amp;"कटा हुआ, 5 करी पत्ते, 3 हरी मिर्च - बारीक कटी हुई, 1 इंच अदरक - कसा हुआ, 1/2 छोटा चम्मच लाल मिर्च पाउडर, 1/2 छोटा चम्मच धनिया पाउडर, 1/4 छोटा चम्मच हल्दी पाउडर, 1 छोटा चम्मच गरम मसाला पाउडर, नमक - स्वादानुसार, सूरजमुखी तेल - तलने के लिए,")</f>
        <v>2 कप मैदा, 3 बड़े चम्मच सूरजमुखी तेल, 1/4 छोटा चम्मच अजवाइन, 1/2 छोटा चम्मच नींबू का रस, 4 आलू - मध्यम आकार के, 1/2 कप हरी मटर - उबली हुई, 1/4 कप गाजर - उबली और बारीक कटी हुई, 1/4 छोटा चम्मच सरसों के बीज, 1/4 छोटा चम्मच धनिया के बीज, 1/4 कप प्याज - बारीक कटा हुआ, 5 करी पत्ते, 3 हरी मिर्च - बारीक कटी हुई, 1 इंच अदरक - कसा हुआ, 1/2 छोटा चम्मच लाल मिर्च पाउडर, 1/2 छोटा चम्मच धनिया पाउडर, 1/4 छोटा चम्मच हल्दी पाउडर, 1 छोटा चम्मच गरम मसाला पाउडर, नमक - स्वादानुसार, सूरजमुखी तेल - तलने के लिए,</v>
      </c>
      <c r="H181" s="1" t="s">
        <v>31727</v>
      </c>
      <c r="I181" s="1" t="str">
        <f ca="1">IFERROR(__xludf.dummyfunction("IF(H181="""", """", GOOGLETRANSLATE(H181, ""en"", ""hi""))"),"मिक्स वेजिटेबल समोसा बनाने के लिए, एक बड़ा कटोरा लें और उसमें मैदा, नमक, तेल और अजवायन और नींबू का रस डालें। इन सबको अच्छे से मिलाएँ और सख्त आटा गूंथ लें। नींबू का रस डालने से समोसे का आवरण कुरकुरा हो जाता है। एक पैन में तेल गरम करें और उसमें राई डालें, उ"&amp;"न्हें चटकने दें और कटा हुआ प्याज, हरी मिर्च, करी पत्ता, अदरक डालें और प्याज के हल्का गुलाबी होने तक पकाएँ। नमक सहित सभी मसाले डालें और कुछ सेकंड के लिए पकाएँ। अब इसमें उबले और मसले हुए आलू, उबले हुए हरे मटर और उबली हुई गाजर डालें और अच्छी तरह मिलाएँ। मिश्"&amp;"रण पर कुछ कटा हुआ हरा धनिया छिड़कें और आपका समोसा भरावन तैयार है। मिश्रण को कमरे के तापमान पर आने दें। अब आटे से मध्यम आकार की छोटी लोइयाँ बनाएँ, लोई को थोड़ा मोटा रखते हुए बेल लें, फिर गोल पूरी को दो हिस्सों में बाँट लें और एक भाग को अपने हाथों से उठाएँ,"&amp;" किनारों पर थोड़ा पानी लगाएँ और इसे कोन के आकार में मोड़ें। अब कोन में समोसे का मिश्रण भरें और फिर से पीछे की तरफ मोड़ें और किनारों पर थोड़ा पानी लगाएँ। दोनों सिरों को एक साथ लें और अच्छी तरह से चिपकाएँ, उन्हें एक आदर्श समोसे के आकार में बनाएँ। इस बीच, एक"&amp;" कड़ाही में तेल गरम करें। इसी तरह, सभी समोसे तैयार करें। अब मध्यम आँच पर समोसे को तब तक तलें जब तक वे सभी तरफ से भूरे और कुरकुरे न हो जाएँ। तले हुए समोसे को टिशू पेपर पर निकाल लें ताकि अतिरिक्त तेल निकल जाए और आपके सुपर स्वादिष्ट मिक्स वेजिटेबल समोसे गरमा"&amp;"गरम चाय या कॉफी के साथ परोसने के लिए तैयार हैं!! आप इसे हरी चटनी, इमली-गुड़ की चटनी या बस टमाटर केचप के साथ भी परोस सकते हैं!")</f>
        <v>मिक्स वेजिटेबल समोसा बनाने के लिए, एक बड़ा कटोरा लें और उसमें मैदा, नमक, तेल और अजवायन और नींबू का रस डालें। इन सबको अच्छे से मिलाएँ और सख्त आटा गूंथ लें। नींबू का रस डालने से समोसे का आवरण कुरकुरा हो जाता है। एक पैन में तेल गरम करें और उसमें राई डालें, उन्हें चटकने दें और कटा हुआ प्याज, हरी मिर्च, करी पत्ता, अदरक डालें और प्याज के हल्का गुलाबी होने तक पकाएँ। नमक सहित सभी मसाले डालें और कुछ सेकंड के लिए पकाएँ। अब इसमें उबले और मसले हुए आलू, उबले हुए हरे मटर और उबली हुई गाजर डालें और अच्छी तरह मिलाएँ। मिश्रण पर कुछ कटा हुआ हरा धनिया छिड़कें और आपका समोसा भरावन तैयार है। मिश्रण को कमरे के तापमान पर आने दें। अब आटे से मध्यम आकार की छोटी लोइयाँ बनाएँ, लोई को थोड़ा मोटा रखते हुए बेल लें, फिर गोल पूरी को दो हिस्सों में बाँट लें और एक भाग को अपने हाथों से उठाएँ, किनारों पर थोड़ा पानी लगाएँ और इसे कोन के आकार में मोड़ें। अब कोन में समोसे का मिश्रण भरें और फिर से पीछे की तरफ मोड़ें और किनारों पर थोड़ा पानी लगाएँ। दोनों सिरों को एक साथ लें और अच्छी तरह से चिपकाएँ, उन्हें एक आदर्श समोसे के आकार में बनाएँ। इस बीच, एक कड़ाही में तेल गरम करें। इसी तरह, सभी समोसे तैयार करें। अब मध्यम आँच पर समोसे को तब तक तलें जब तक वे सभी तरफ से भूरे और कुरकुरे न हो जाएँ। तले हुए समोसे को टिशू पेपर पर निकाल लें ताकि अतिरिक्त तेल निकल जाए और आपके सुपर स्वादिष्ट मिक्स वेजिटेबल समोसे गरमागरम चाय या कॉफी के साथ परोसने के लिए तैयार हैं!! आप इसे हरी चटनी, इमली-गुड़ की चटनी या बस टमाटर केचप के साथ भी परोस सकते हैं!</v>
      </c>
      <c r="J181" s="3" t="s">
        <v>31728</v>
      </c>
      <c r="L181" s="1" t="s">
        <v>31003</v>
      </c>
    </row>
    <row r="182" spans="1:12" ht="13.8">
      <c r="A182" s="1" t="s">
        <v>31729</v>
      </c>
      <c r="B182" s="1" t="str">
        <f ca="1">IFERROR(__xludf.dummyfunction("IF(A182="""", """", GOOGLETRANSLATE(A182, ""en"", ""hi""))"),"लुगाई गोश्त रेसिपी - मसालेदार टमाटर प्याज ग्रेवी में मटन")</f>
        <v>लुगाई गोश्त रेसिपी - मसालेदार टमाटर प्याज ग्रेवी में मटन</v>
      </c>
      <c r="C182" s="1" t="s">
        <v>429</v>
      </c>
      <c r="D182" s="1" t="s">
        <v>14382</v>
      </c>
      <c r="E182" s="1">
        <v>45</v>
      </c>
      <c r="F182" s="1" t="s">
        <v>31730</v>
      </c>
      <c r="G182" s="1" t="str">
        <f ca="1">IFERROR(__xludf.dummyfunction("IF(F182="""", """", GOOGLETRANSLATE(F182, ""en"", ""hi""))"),"1 किलो मटन, 750 ग्राम प्याज - पतले टुकड़ों में कटा हुआ, 750 ग्राम टमाटर - बारीक कटा हुआ, सूरजमुखी तेल - आवश्यकतानुसार, घी - आवश्यकतानुसार, 3 इलायची की फली / बीज -, 3 हरी मिर्च, 1 बड़ा चम्मच अदरक लहसुन पेस्ट, 1/2 इंच अदरक - पतले टुकड़ों में कटा हुआ, 1 इंच "&amp;"दालचीनी छड़ी (दालचीनी), 1 चम्मच जीरा (जीरा), 4 साबुत काली मिर्च, 1/2 बड़ा चम्मच जीरा पाउडर (जीरा) - समायोज्य, 1/2 बड़ा चम्मच लाल मिर्च पाउडर - समायोज्य, 2 सूखी लाल मिर्च, नमक - स्वाद के लिए")</f>
        <v>1 किलो मटन, 750 ग्राम प्याज - पतले टुकड़ों में कटा हुआ, 750 ग्राम टमाटर - बारीक कटा हुआ, सूरजमुखी तेल - आवश्यकतानुसार, घी - आवश्यकतानुसार, 3 इलायची की फली / बीज -, 3 हरी मिर्च, 1 बड़ा चम्मच अदरक लहसुन पेस्ट, 1/2 इंच अदरक - पतले टुकड़ों में कटा हुआ, 1 इंच दालचीनी छड़ी (दालचीनी), 1 चम्मच जीरा (जीरा), 4 साबुत काली मिर्च, 1/2 बड़ा चम्मच जीरा पाउडर (जीरा) - समायोज्य, 1/2 बड़ा चम्मच लाल मिर्च पाउडर - समायोज्य, 2 सूखी लाल मिर्च, नमक - स्वाद के लिए</v>
      </c>
      <c r="H182" s="1" t="s">
        <v>31731</v>
      </c>
      <c r="I182" s="1" t="str">
        <f ca="1">IFERROR(__xludf.dummyfunction("IF(H182="""", """", GOOGLETRANSLATE(H182, ""en"", ""hi""))"),"लुगाई गोश्त रेसिपी बनाने के लिए सबसे पहले प्रेशर कुकर में तेल और घी गर्म करें। कुकर में दालचीनी, जीरा, काली मिर्च, सूखी लाल मिर्च सहित साबुत मसाले डालें और लगभग 30 सेकंड तक पकाएं। 30 सेकंड के बाद, पतले कटे हुए प्याज डालें और उन्हें भूरा होने तक पकाएं। एक "&amp;"बार जब यह हो जाए, तो अदरक लहसुन का पेस्ट, हरी मिर्च और टमाटर के साथ जीरा पाउडर, लाल मिर्च पाउडर और नमक डालें। ठीक से मिलाएं और लगभग 2 से 3 मिनट तक पकाएं। इसके बाद, मांस डालें और अच्छी तरह मिलाएँ। प्रेशर कुकर को बंद करें और इसे 2 सीटी आने तक पकने दें। 2 सी"&amp;"टी आने के बाद, ढक्कन खोलें और इसे 10 मिनट तक उबलने दें। धनिया और पतले कटे हुए अदरक से गार्निश करें। गरमागरम परोसें। लुगाई गोश्त को पूरे गेहूं के लच्छा पराठा, बुरानी रायता और जीरा चावल के साथ वीकेंड लंच या डिनर के लिए परोसें।")</f>
        <v>लुगाई गोश्त रेसिपी बनाने के लिए सबसे पहले प्रेशर कुकर में तेल और घी गर्म करें। कुकर में दालचीनी, जीरा, काली मिर्च, सूखी लाल मिर्च सहित साबुत मसाले डालें और लगभग 30 सेकंड तक पकाएं। 30 सेकंड के बाद, पतले कटे हुए प्याज डालें और उन्हें भूरा होने तक पकाएं। एक बार जब यह हो जाए, तो अदरक लहसुन का पेस्ट, हरी मिर्च और टमाटर के साथ जीरा पाउडर, लाल मिर्च पाउडर और नमक डालें। ठीक से मिलाएं और लगभग 2 से 3 मिनट तक पकाएं। इसके बाद, मांस डालें और अच्छी तरह मिलाएँ। प्रेशर कुकर को बंद करें और इसे 2 सीटी आने तक पकने दें। 2 सीटी आने के बाद, ढक्कन खोलें और इसे 10 मिनट तक उबलने दें। धनिया और पतले कटे हुए अदरक से गार्निश करें। गरमागरम परोसें। लुगाई गोश्त को पूरे गेहूं के लच्छा पराठा, बुरानी रायता और जीरा चावल के साथ वीकेंड लंच या डिनर के लिए परोसें।</v>
      </c>
      <c r="J182" s="3" t="s">
        <v>31732</v>
      </c>
      <c r="L182" s="1" t="s">
        <v>31003</v>
      </c>
    </row>
    <row r="183" spans="1:12" ht="13.8">
      <c r="A183" s="1" t="s">
        <v>31733</v>
      </c>
      <c r="B183" s="1" t="str">
        <f ca="1">IFERROR(__xludf.dummyfunction("IF(A183="""", """", GOOGLETRANSLATE(A183, ""en"", ""hi""))"),"मूंग और मसूर दाल के साथ दाल पालक रेसिपी")</f>
        <v>मूंग और मसूर दाल के साथ दाल पालक रेसिपी</v>
      </c>
      <c r="C183" s="1" t="s">
        <v>14207</v>
      </c>
      <c r="D183" s="1" t="s">
        <v>14237</v>
      </c>
      <c r="E183" s="1">
        <v>55</v>
      </c>
      <c r="F183" s="1" t="s">
        <v>31734</v>
      </c>
      <c r="G183" s="1" t="str">
        <f ca="1">IFERROR(__xludf.dummyfunction("IF(F183="""", """", GOOGLETRANSLATE(F183, ""en"", ""hi""))"),"1/2 कप पीली मूंग दाल, 1/2 कप मसूर दाल (साबुत), 250 ग्राम पालक - कटी और उबली हुई, 1 टमाटर - बारीक कटा हुआ, 1 इंच अदरक - कद्दूकस किया हुआ, 1 चम्मच हल्दी, 1/2 चम्मच जीरा, 1/2 चम्मच गरम मसाला पाउडर, नमक - स्वादानुसार, 1 बड़ा चम्मच घी, 1/2 चम्मच जीरा, 2 सूखी ल"&amp;"ाल मिर्च")</f>
        <v>1/2 कप पीली मूंग दाल, 1/2 कप मसूर दाल (साबुत), 250 ग्राम पालक - कटी और उबली हुई, 1 टमाटर - बारीक कटा हुआ, 1 इंच अदरक - कद्दूकस किया हुआ, 1 चम्मच हल्दी, 1/2 चम्मच जीरा, 1/2 चम्मच गरम मसाला पाउडर, नमक - स्वादानुसार, 1 बड़ा चम्मच घी, 1/2 चम्मच जीरा, 2 सूखी लाल मिर्च</v>
      </c>
      <c r="H183" s="1" t="s">
        <v>31735</v>
      </c>
      <c r="I183" s="1" t="str">
        <f ca="1">IFERROR(__xludf.dummyfunction("IF(H183="""", """", GOOGLETRANSLATE(H183, ""en"", ""hi""))"),"दाल पालक रेसिपी बनाना शुरू करने के लिए हम सबसे पहले दाल को 3 कप पानी के साथ प्रेशर कुकर में पकाएंगे। प्रेशर कुकर का उपयोग करके दाल पकाने की वीडियो रेसिपी देखें। इसके बाद हम पालक को मसालों के साथ पकाएंगे। आप इसे दो तरीकों से कर सकते हैं - सॉस पैन में इसे भ"&amp;"ूनकर या प्रेशर कुकर में। नीचे आपको प्रेशर कुकर में पालक पकाने की विधि मिलेगी, क्योंकि यह विधि बहुत तेज है। यदि आप सॉस पैन विधि का उपयोग कर रहे हैं, तो उसी प्रक्रिया का पालन करें, लेकिन पैन को ढक दें और पालक के नरम होने तक पकाएं। प्रेशर कुकर में एक चम्मच त"&amp;"ेल डालें, अदरक, हरी मिर्च, टमाटर, हल्दी पाउडर, जीरा पाउडर, गरम मसाला पाउडर, नमक और पालक डालें। सभी सामग्री को एक साथ मिलाने के लिए हिलाएं। इस तरह, हम दबाव को जल्दी से छोड़ देंगे और पालक अधिक पकेगा नहीं और ताजा और हरा रहेगा। अब जब आपके पास पालक और दाल तैया"&amp;"र है, अगर आपका कुकर काफी बड़ा है, तो पकी हुई दाल को पालक में डालें और इसे हिलाएं। दाल पालक को जल्दी उबाल लें। हमारा अगला कदम मसाला बनाने के लिए आगे बढ़ना है। एक छोटे सॉस पैन में, एक बड़ा चम्मच घी गर्म करें। उसमें जीरा और सूखी लाल मिर्च डालें। उन्हें तब तक"&amp;" भूनें जब तक वे चटकने और तड़कने न लगें। इस मसाले को दाल पालक में डालें और इसे हिलाएं। दाल पालक को उबले हुए चावल या पनीर पुलाव या पारंपरिक तवा पराठों के साथ एक सरल और स्वस्थ सप्ताह की रात के खाने के लिए परोसें।")</f>
        <v>दाल पालक रेसिपी बनाना शुरू करने के लिए हम सबसे पहले दाल को 3 कप पानी के साथ प्रेशर कुकर में पकाएंगे। प्रेशर कुकर का उपयोग करके दाल पकाने की वीडियो रेसिपी देखें। इसके बाद हम पालक को मसालों के साथ पकाएंगे। आप इसे दो तरीकों से कर सकते हैं - सॉस पैन में इसे भूनकर या प्रेशर कुकर में। नीचे आपको प्रेशर कुकर में पालक पकाने की विधि मिलेगी, क्योंकि यह विधि बहुत तेज है। यदि आप सॉस पैन विधि का उपयोग कर रहे हैं, तो उसी प्रक्रिया का पालन करें, लेकिन पैन को ढक दें और पालक के नरम होने तक पकाएं। प्रेशर कुकर में एक चम्मच तेल डालें, अदरक, हरी मिर्च, टमाटर, हल्दी पाउडर, जीरा पाउडर, गरम मसाला पाउडर, नमक और पालक डालें। सभी सामग्री को एक साथ मिलाने के लिए हिलाएं। इस तरह, हम दबाव को जल्दी से छोड़ देंगे और पालक अधिक पकेगा नहीं और ताजा और हरा रहेगा। अब जब आपके पास पालक और दाल तैयार है, अगर आपका कुकर काफी बड़ा है, तो पकी हुई दाल को पालक में डालें और इसे हिलाएं। दाल पालक को जल्दी उबाल लें। हमारा अगला कदम मसाला बनाने के लिए आगे बढ़ना है। एक छोटे सॉस पैन में, एक बड़ा चम्मच घी गर्म करें। उसमें जीरा और सूखी लाल मिर्च डालें। उन्हें तब तक भूनें जब तक वे चटकने और तड़कने न लगें। इस मसाले को दाल पालक में डालें और इसे हिलाएं। दाल पालक को उबले हुए चावल या पनीर पुलाव या पारंपरिक तवा पराठों के साथ एक सरल और स्वस्थ सप्ताह की रात के खाने के लिए परोसें।</v>
      </c>
      <c r="J183" s="3" t="s">
        <v>31736</v>
      </c>
      <c r="L183" s="1" t="s">
        <v>31003</v>
      </c>
    </row>
    <row r="184" spans="1:12" ht="13.8">
      <c r="A184" s="1" t="s">
        <v>31737</v>
      </c>
      <c r="B184" s="1" t="str">
        <f ca="1">IFERROR(__xludf.dummyfunction("IF(A184="""", """", GOOGLETRANSLATE(A184, ""en"", ""hi""))"),"मुंबई स्टाइल पानी पूरी रेसिपी")</f>
        <v>मुंबई स्टाइल पानी पूरी रेसिपी</v>
      </c>
      <c r="C184" s="1" t="s">
        <v>14281</v>
      </c>
      <c r="D184" s="1" t="s">
        <v>14198</v>
      </c>
      <c r="E184" s="1">
        <v>30</v>
      </c>
      <c r="F184" s="1" t="s">
        <v>31738</v>
      </c>
      <c r="G184" s="1" t="str">
        <f ca="1">IFERROR(__xludf.dummyfunction("IF(F184="""", """", GOOGLETRANSLATE(F184, ""en"", ""hi""))"),"30 पानी पूरी, 2 कप हरी चटनी (धनिया और पुदीना), 2 कप मीठी चटनी (खजूर और इमली), 1/4 कप हरी मूंग दाल (साबुत) - या काले चने, 1/4 बूंदी")</f>
        <v>30 पानी पूरी, 2 कप हरी चटनी (धनिया और पुदीना), 2 कप मीठी चटनी (खजूर और इमली), 1/4 कप हरी मूंग दाल (साबुत) - या काले चने, 1/4 बूंदी</v>
      </c>
      <c r="H184" s="1" t="s">
        <v>31739</v>
      </c>
      <c r="I184" s="1" t="str">
        <f ca="1">IFERROR(__xludf.dummyfunction("IF(H184="""", """", GOOGLETRANSLATE(H184, ""en"", ""hi""))"),"मुंबई स्टाइल सूखा पानी पूरी बनाने के लिए सबसे पहले हमारी वेबसाइट पर दी गई रेसिपी के मुताबिक चटनी बनाएं। अगला कदम है, खारा बूंदी पर थोड़ा पानी छिड़क कर उसे इकट्ठा करना। एक मिक्सिंग बाउल में खारा बूंदी और मूंग दाल डालकर हिलाएं। अपने अंगूठे से प्रत्येक पूरी "&amp;"के बीच में एक छोटा सा छेद करें। पूरियां काफी नाजुक होती हैं इसलिए उन्हें तोड़ते समय सावधानी बरतें। प्रत्येक पूरी में लगभग 1/2 चम्मच मूंग-खारा बूंदी का मिश्रण डालें। पूरी को खजूर इमली की चटनी से भरें और फिर हरी चटनी भरें और तुरंत परोसें। अन्य पूरी के लिए भ"&amp;"ी यही दोहराएं। वीकेंड चाट पार्टी के लिए मुंबई स्टाइल सूखा पानी पूरी को सेव पूरी और दही भल्ला पापड़ी के साथ परोसें।")</f>
        <v>मुंबई स्टाइल सूखा पानी पूरी बनाने के लिए सबसे पहले हमारी वेबसाइट पर दी गई रेसिपी के मुताबिक चटनी बनाएं। अगला कदम है, खारा बूंदी पर थोड़ा पानी छिड़क कर उसे इकट्ठा करना। एक मिक्सिंग बाउल में खारा बूंदी और मूंग दाल डालकर हिलाएं। अपने अंगूठे से प्रत्येक पूरी के बीच में एक छोटा सा छेद करें। पूरियां काफी नाजुक होती हैं इसलिए उन्हें तोड़ते समय सावधानी बरतें। प्रत्येक पूरी में लगभग 1/2 चम्मच मूंग-खारा बूंदी का मिश्रण डालें। पूरी को खजूर इमली की चटनी से भरें और फिर हरी चटनी भरें और तुरंत परोसें। अन्य पूरी के लिए भी यही दोहराएं। वीकेंड चाट पार्टी के लिए मुंबई स्टाइल सूखा पानी पूरी को सेव पूरी और दही भल्ला पापड़ी के साथ परोसें।</v>
      </c>
      <c r="J184" s="3" t="s">
        <v>31740</v>
      </c>
      <c r="L184" s="1" t="s">
        <v>31003</v>
      </c>
    </row>
    <row r="185" spans="1:12" ht="13.8">
      <c r="A185" s="1" t="s">
        <v>31741</v>
      </c>
      <c r="B185" s="1" t="str">
        <f ca="1">IFERROR(__xludf.dummyfunction("IF(A185="""", """", GOOGLETRANSLATE(A185, ""en"", ""hi""))"),"पनीर मखाना गुलगुले चाट रेसिपी - बिना प्याज, बिना लहसुन के")</f>
        <v>पनीर मखाना गुलगुले चाट रेसिपी - बिना प्याज, बिना लहसुन के</v>
      </c>
      <c r="C185" s="1" t="s">
        <v>14572</v>
      </c>
      <c r="D185" s="1" t="s">
        <v>14208</v>
      </c>
      <c r="E185" s="1">
        <v>30</v>
      </c>
      <c r="F185" s="1" t="s">
        <v>31742</v>
      </c>
      <c r="G185" s="1" t="str">
        <f ca="1">IFERROR(__xludf.dummyfunction("IF(F185="""", """", GOOGLETRANSLATE(F185, ""en"", ""hi""))"),"1 कप पनीर - टुकड़े टुकड़े, 3 आलू - उबले और छिलके उतारे हुए, 2 कप फूल मखाना - भुना हुआ, 2 बड़े चम्मच बेसन, नमक - स्वादानुसार, 1 छोटा चम्मच जीरा, 1 छोटा चम्मच काली मिर्च पाउडर, 1 हरी मिर्च - बारीक कटी हुई, 1/2 छोटा चम्मच लाल मिर्च पाउडर, 1/4 कप धनिया पत्ती "&amp;"- बारीक कटी हुई, 1 खीरा - कद्दूकस किया हुआ, नमक - स्वादानुसार, 1 बड़ा चम्मच नींबू का रस, 1/4 कप हरी चटनी (धनिया और पुदीना), 1/4 कप मीठी चटनी (खजूर और इमली)")</f>
        <v>1 कप पनीर - टुकड़े टुकड़े, 3 आलू - उबले और छिलके उतारे हुए, 2 कप फूल मखाना - भुना हुआ, 2 बड़े चम्मच बेसन, नमक - स्वादानुसार, 1 छोटा चम्मच जीरा, 1 छोटा चम्मच काली मिर्च पाउडर, 1 हरी मिर्च - बारीक कटी हुई, 1/2 छोटा चम्मच लाल मिर्च पाउडर, 1/4 कप धनिया पत्ती - बारीक कटी हुई, 1 खीरा - कद्दूकस किया हुआ, नमक - स्वादानुसार, 1 बड़ा चम्मच नींबू का रस, 1/4 कप हरी चटनी (धनिया और पुदीना), 1/4 कप मीठी चटनी (खजूर और इमली)</v>
      </c>
      <c r="H185" s="1" t="s">
        <v>31743</v>
      </c>
      <c r="I185" s="1" t="str">
        <f ca="1">IFERROR(__xludf.dummyfunction("IF(H185="""", """", GOOGLETRANSLATE(H185, ""en"", ""hi""))"),"पनीर मखाना गुलगुले चाट रेसिपी बनाने के लिए चटनी तैयार रखें। हरी चटनी बनाने के लिए इस रेसिपी का पालन करें - हरी चटनी रेसिपी - धनिया पुदीना चटनी रेसिपीमीठी चटनी बनाने के लिए इस रेसिपी का पालन करें - खजूर और इमली की चटनी रेसिपी - खजूर इमली की चटनी अचार खीरे "&amp;"बनाने के लिए एक मिक्सिंग बाउल में कद्दूकस किए हुए खीरे को नमक और नींबू के रस के साथ मिलाएं। अच्छी तरह मिलाएं और इसे मुरझाने दें। पनीर मखाना गुलगुले बनाने के लिए भुने हुए मखाने को मिक्सर ग्राइंडर में पीस लें। एक मिक्सिंग बाउल में पनीर को उबले और छिलके वाले"&amp;" आलू, पीसा हुआ मखाना, बेसन, स्वादानुसार नमक, जीरा पाउडर, काली मिर्च पाउडर, हरी मिर्च, लाल मिर्च पाउडर, धनिया पत्ती के साथ मिलाएं। अच्छी तरह से मिलाएं और पनीर मखाना गुलगुले मिश्रण को एक साथ लाएं। अपनी हथेलियों को तेल से चिकना करें और इस पनीर मखाना गुलगुले "&amp;"मिश्रण के दो बड़े चम्मच अपनी हथेली में लें और एक समान गोल बॉल्स बनाएं। एक पनियारम पैन गरम करें, प्रत्येक गुहा में तेल की कुछ बूंदें डालें। प्रत्येक बॉल को गुहाओं में रखें और तब तक पकाएं जब तक कि यह एक सुंदर भूरे रंग में न बदल जाए। दूसरी तरफ पलटें और पनीर "&amp;"मखाना गुलगुले को समान रूप से पकाएं। पैन से निकालें और उन्हें एक सर्विंग प्लेट पर रखें। पनीर मखाना गुलगुले के ऊपर हरी चटनी, मीठी चटनी और अचार वाले खीरे डालें और परोसें। पनीर मखाना गुलगुले चाट को अपनी चाट पार्टी में अन्य चाट जैसे भाकरी चाट रेसिपी विद ग्रीन "&amp;"मूंग स्प्राउट्स एंड आलू और दही बटाटा पूरी चाट रेसिपी (क्लासिक इंडियन टी टाइम स्नैक) के साथ परोसें।")</f>
        <v>पनीर मखाना गुलगुले चाट रेसिपी बनाने के लिए चटनी तैयार रखें। हरी चटनी बनाने के लिए इस रेसिपी का पालन करें - हरी चटनी रेसिपी - धनिया पुदीना चटनी रेसिपीमीठी चटनी बनाने के लिए इस रेसिपी का पालन करें - खजूर और इमली की चटनी रेसिपी - खजूर इमली की चटनी अचार खीरे बनाने के लिए एक मिक्सिंग बाउल में कद्दूकस किए हुए खीरे को नमक और नींबू के रस के साथ मिलाएं। अच्छी तरह मिलाएं और इसे मुरझाने दें। पनीर मखाना गुलगुले बनाने के लिए भुने हुए मखाने को मिक्सर ग्राइंडर में पीस लें। एक मिक्सिंग बाउल में पनीर को उबले और छिलके वाले आलू, पीसा हुआ मखाना, बेसन, स्वादानुसार नमक, जीरा पाउडर, काली मिर्च पाउडर, हरी मिर्च, लाल मिर्च पाउडर, धनिया पत्ती के साथ मिलाएं। अच्छी तरह से मिलाएं और पनीर मखाना गुलगुले मिश्रण को एक साथ लाएं। अपनी हथेलियों को तेल से चिकना करें और इस पनीर मखाना गुलगुले मिश्रण के दो बड़े चम्मच अपनी हथेली में लें और एक समान गोल बॉल्स बनाएं। एक पनियारम पैन गरम करें, प्रत्येक गुहा में तेल की कुछ बूंदें डालें। प्रत्येक बॉल को गुहाओं में रखें और तब तक पकाएं जब तक कि यह एक सुंदर भूरे रंग में न बदल जाए। दूसरी तरफ पलटें और पनीर मखाना गुलगुले को समान रूप से पकाएं। पैन से निकालें और उन्हें एक सर्विंग प्लेट पर रखें। पनीर मखाना गुलगुले के ऊपर हरी चटनी, मीठी चटनी और अचार वाले खीरे डालें और परोसें। पनीर मखाना गुलगुले चाट को अपनी चाट पार्टी में अन्य चाट जैसे भाकरी चाट रेसिपी विद ग्रीन मूंग स्प्राउट्स एंड आलू और दही बटाटा पूरी चाट रेसिपी (क्लासिक इंडियन टी टाइम स्नैक) के साथ परोसें।</v>
      </c>
      <c r="J185" s="3" t="s">
        <v>31744</v>
      </c>
      <c r="L185" s="1" t="s">
        <v>31003</v>
      </c>
    </row>
    <row r="186" spans="1:12" ht="13.8">
      <c r="A186" s="1" t="s">
        <v>31745</v>
      </c>
      <c r="B186" s="1" t="str">
        <f ca="1">IFERROR(__xludf.dummyfunction("IF(A186="""", """", GOOGLETRANSLATE(A186, ""en"", ""hi""))"),"मटन मटर कीमा रेसिपी - हरी मटर के साथ कीमा बनाया हुआ मटन")</f>
        <v>मटन मटर कीमा रेसिपी - हरी मटर के साथ कीमा बनाया हुआ मटन</v>
      </c>
      <c r="C186" s="1" t="s">
        <v>145</v>
      </c>
      <c r="D186" s="1" t="s">
        <v>14382</v>
      </c>
      <c r="E186" s="1">
        <v>70</v>
      </c>
      <c r="F186" s="1" t="s">
        <v>31746</v>
      </c>
      <c r="G186" s="1" t="str">
        <f ca="1">IFERROR(__xludf.dummyfunction("IF(F186="""", """", GOOGLETRANSLATE(F186, ""en"", ""hi""))"),"750 ग्राम मटन - बारीक कटा हुआ, 100 ग्राम दही, 4 प्याज - कटे हुए, 10 लहसुन की कलियां, 1/2 कप अदरक - बारीक कटा हुआ, 5 आलू - आधे में कटे हुए, 1-1/2 कप हरी मटर, 4 हरी मिर्च - बारीक कटी हुई, 1 चम्मच हल्दी, 2-1/2 बड़े चम्मच धनिया पाउडर, 2 बड़े चम्मच लाल मिर्च प"&amp;"ाउडर, नमक - आवश्यकतानुसार, सूरजमुखी तेल - आवश्यकतानुसार, 1/4 कप धनिया के पत्ते - बारीक कटे हुए, 4 सूखी लाल मिर्च, 2 तेज पत्ता, 6 काली मिर्च पाउडर, 4 लौंग, 1-1/2 इंच दालचीनी, 4 इलायची की फली/बीज, 4 बड़ी इलायची, 1 बड़ा चम्मच अजवाइन")</f>
        <v>750 ग्राम मटन - बारीक कटा हुआ, 100 ग्राम दही, 4 प्याज - कटे हुए, 10 लहसुन की कलियां, 1/2 कप अदरक - बारीक कटा हुआ, 5 आलू - आधे में कटे हुए, 1-1/2 कप हरी मटर, 4 हरी मिर्च - बारीक कटी हुई, 1 चम्मच हल्दी, 2-1/2 बड़े चम्मच धनिया पाउडर, 2 बड़े चम्मच लाल मिर्च पाउडर, नमक - आवश्यकतानुसार, सूरजमुखी तेल - आवश्यकतानुसार, 1/4 कप धनिया के पत्ते - बारीक कटे हुए, 4 सूखी लाल मिर्च, 2 तेज पत्ता, 6 काली मिर्च पाउडर, 4 लौंग, 1-1/2 इंच दालचीनी, 4 इलायची की फली/बीज, 4 बड़ी इलायची, 1 बड़ा चम्मच अजवाइन</v>
      </c>
      <c r="H186" s="1" t="s">
        <v>31747</v>
      </c>
      <c r="I186" s="1" t="str">
        <f ca="1">IFERROR(__xludf.dummyfunction("IF(H186="""", """", GOOGLETRANSLATE(H186, ""en"", ""hi""))"),"मटन मटर कीमा रेसिपी बनाने के लिए सबसे पहले कीमा बनाया हुआ मटन को बहते पानी से धो लें, छान लें और एक तरफ रख दें। एक भारी तले की कड़ाही में तेल गर्म करें और आलू के टुकड़ों को सुनहरा होने तक तल लें और एक तरफ रख दें। बचे हुए तेल में, बताए गए सभी खड़े मसाले डा"&amp;"लें, कुछ सेकंड के बाद अदरक के टुकड़े और साबुत लहसुन की कलियाँ डालें और सुनहरा भूरा होने तक भूनें। अब कटा हुआ प्याज और हरी मिर्च डालें और कच्ची महक जाने तक भूनें। मटन कीमा डालें और अच्छी तरह मिलाएँ। कुछ देर तक भूनें जब तक कि नमी निकल न जाए। खट्टा दही डालें"&amp;" और अच्छी तरह मिलाएँ ताकि सब कुछ अच्छी तरह से मिल जाए। धीरे-धीरे दही पानी छोड़ने लगेगा, इसलिए आंच धीमी कर दें, ढक्कन बंद कर दें और कीमा बनाया हुआ मटन अच्छी तरह से पकने दें। इसमें 15 से 20 मिनट लग सकते हैं। जब मटन कीमा नरम हो जाए और पूरी तरह से पक जाए तो उ"&amp;"समें हल्दी पाउडर, लाल मिर्च पाउडर, धनिया पाउडर, नमक, हरी मटर डालें और तेल को भी समायोजित करें। सभी चीजों को तेज से मध्यम आंच पर तब तक अच्छी तरह से भूनें जब तक कीमा गहरे भूरे रंग का न हो जाए और किनारों से तेल न छोड़ने लगे। अब तले हुए आलू डालें और फिर से जल"&amp;"्दी से मिलाएँ और 5 से 6 मिनट तक या आलू के नरम होने तक पकाएँ। गैस बंद कर दें और ताजा कटा हरा धनिया से गार्निश करें। मटन मटर कीमा को गरम फुल्के या रुमाली रोटी के साथ परोसें। यह किसी भी विशेष अवसर पर हर मुस्लिम घर में बहुत लोकप्रिय रूप से बनाया जाता है।")</f>
        <v>मटन मटर कीमा रेसिपी बनाने के लिए सबसे पहले कीमा बनाया हुआ मटन को बहते पानी से धो लें, छान लें और एक तरफ रख दें। एक भारी तले की कड़ाही में तेल गर्म करें और आलू के टुकड़ों को सुनहरा होने तक तल लें और एक तरफ रख दें। बचे हुए तेल में, बताए गए सभी खड़े मसाले डालें, कुछ सेकंड के बाद अदरक के टुकड़े और साबुत लहसुन की कलियाँ डालें और सुनहरा भूरा होने तक भूनें। अब कटा हुआ प्याज और हरी मिर्च डालें और कच्ची महक जाने तक भूनें। मटन कीमा डालें और अच्छी तरह मिलाएँ। कुछ देर तक भूनें जब तक कि नमी निकल न जाए। खट्टा दही डालें और अच्छी तरह मिलाएँ ताकि सब कुछ अच्छी तरह से मिल जाए। धीरे-धीरे दही पानी छोड़ने लगेगा, इसलिए आंच धीमी कर दें, ढक्कन बंद कर दें और कीमा बनाया हुआ मटन अच्छी तरह से पकने दें। इसमें 15 से 20 मिनट लग सकते हैं। जब मटन कीमा नरम हो जाए और पूरी तरह से पक जाए तो उसमें हल्दी पाउडर, लाल मिर्च पाउडर, धनिया पाउडर, नमक, हरी मटर डालें और तेल को भी समायोजित करें। सभी चीजों को तेज से मध्यम आंच पर तब तक अच्छी तरह से भूनें जब तक कीमा गहरे भूरे रंग का न हो जाए और किनारों से तेल न छोड़ने लगे। अब तले हुए आलू डालें और फिर से जल्दी से मिलाएँ और 5 से 6 मिनट तक या आलू के नरम होने तक पकाएँ। गैस बंद कर दें और ताजा कटा हरा धनिया से गार्निश करें। मटन मटर कीमा को गरम फुल्के या रुमाली रोटी के साथ परोसें। यह किसी भी विशेष अवसर पर हर मुस्लिम घर में बहुत लोकप्रिय रूप से बनाया जाता है।</v>
      </c>
      <c r="J186" s="3" t="s">
        <v>31748</v>
      </c>
      <c r="L186" s="1" t="s">
        <v>31003</v>
      </c>
    </row>
    <row r="187" spans="1:12" ht="13.8">
      <c r="A187" s="1" t="s">
        <v>31749</v>
      </c>
      <c r="B187" s="1" t="str">
        <f ca="1">IFERROR(__xludf.dummyfunction("IF(A187="""", """", GOOGLETRANSLATE(A187, ""en"", ""hi""))"),"पालक चना दाल रेसिपी")</f>
        <v>पालक चना दाल रेसिपी</v>
      </c>
      <c r="C187" s="1" t="s">
        <v>145</v>
      </c>
      <c r="D187" s="1" t="s">
        <v>14237</v>
      </c>
      <c r="E187" s="1">
        <v>50</v>
      </c>
      <c r="F187" s="1" t="s">
        <v>31750</v>
      </c>
      <c r="G187" s="1" t="str">
        <f ca="1">IFERROR(__xludf.dummyfunction("IF(F187="""", """", GOOGLETRANSLATE(F187, ""en"", ""hi""))"),"1 कप चना दाल - 20 मिनट पानी में भिगोएं, 200 ग्राम पालक - धोकर काट लें, 3 कप पानी, 1 चम्मच हल्दी पाउडर, नमक - स्वादानुसार, 2 बड़े चम्मच घी, 1/4 चम्मच हींग, 1 चम्मच जीरा, 2 सूखी लाल मिर्च, 1 बड़ा चम्मच अदरक लहसुन पेस्ट, 1 प्याज - कटा हुआ, 2 हरी मिर्च - कटा "&amp;"हुआ, 1 टमाटर - कटा हुआ, 1/2 चम्मच हल्दी पाउडर, 1/2 चम्मच लाल मिर्च पाउडर, 1/2 चम्मच जीरा पाउडर, नमक - स्वादानुसार")</f>
        <v>1 कप चना दाल - 20 मिनट पानी में भिगोएं, 200 ग्राम पालक - धोकर काट लें, 3 कप पानी, 1 चम्मच हल्दी पाउडर, नमक - स्वादानुसार, 2 बड़े चम्मच घी, 1/4 चम्मच हींग, 1 चम्मच जीरा, 2 सूखी लाल मिर्च, 1 बड़ा चम्मच अदरक लहसुन पेस्ट, 1 प्याज - कटा हुआ, 2 हरी मिर्च - कटा हुआ, 1 टमाटर - कटा हुआ, 1/2 चम्मच हल्दी पाउडर, 1/2 चम्मच लाल मिर्च पाउडर, 1/2 चम्मच जीरा पाउडर, नमक - स्वादानुसार</v>
      </c>
      <c r="H187" s="1" t="s">
        <v>31751</v>
      </c>
      <c r="I187" s="1" t="str">
        <f ca="1">IFERROR(__xludf.dummyfunction("IF(H187="""", """", GOOGLETRANSLATE(H187, ""en"", ""hi""))"),"पालक चना दाल रेसिपी बनाने के लिए सबसे पहले चना दाल को भिगो दें। अब इस दाल को प्रेशर कुकर में 3 कप पानी, नमक, हल्दी पाउडर के साथ डालकर 5 से 6 सीटी आने तक पकाएं। 5 सीटी आने के बाद गैस बंद कर दें और प्रेशर अपने आप निकलने दें। कुकर खोलें, पानी, नमक और पालक डा"&amp;"लें, कुकर बंद करें और 1 सीटी आने तक पकाएं। गैस बंद कर दें और प्रेशर निकलने दें। अब एक पैन में घी गर्म करें। जीरा डालें और उसे चटकने दें। अब हींग डालकर मिलाएँ। हींग डालने के बाद सूखी लाल मिर्च डालें और 10 सेकंड तक पकाएँ। अब लहसुन अदरक का पेस्ट डालें और 1 म"&amp;"िनट तक पकाएँ। 1 मिनट बाद प्याज, हरी मिर्च डालें और प्याज के ब्राउन होने तक पकाएँ। प्याज के ब्राउन होने के बाद टमाटर डालें और उनके नरम होने तक पकाएँ। प्याज के नरम होने के बाद हल्दी पाउडर, लाल मिर्च पाउडर, जीरा पाउडर, नमक डालें और 3 से 4 मिनट तक पकाएँ। अब च"&amp;"ना दाल और पालक का मिश्रण डालें। डालकर अच्छी तरह मिलाएँ। धीमी आँच पर 4 से 5 मिनट तक पकाएँ। गैस बंद कर दें और सर्व करें. पालक चना दाल रेसिपी को भरवा करेला मसाला रेसिपी, बूंदी रायता और फुल्के के साथ दोपहर के खाने के लिए परोसे। """)</f>
        <v>पालक चना दाल रेसिपी बनाने के लिए सबसे पहले चना दाल को भिगो दें। अब इस दाल को प्रेशर कुकर में 3 कप पानी, नमक, हल्दी पाउडर के साथ डालकर 5 से 6 सीटी आने तक पकाएं। 5 सीटी आने के बाद गैस बंद कर दें और प्रेशर अपने आप निकलने दें। कुकर खोलें, पानी, नमक और पालक डालें, कुकर बंद करें और 1 सीटी आने तक पकाएं। गैस बंद कर दें और प्रेशर निकलने दें। अब एक पैन में घी गर्म करें। जीरा डालें और उसे चटकने दें। अब हींग डालकर मिलाएँ। हींग डालने के बाद सूखी लाल मिर्च डालें और 10 सेकंड तक पकाएँ। अब लहसुन अदरक का पेस्ट डालें और 1 मिनट तक पकाएँ। 1 मिनट बाद प्याज, हरी मिर्च डालें और प्याज के ब्राउन होने तक पकाएँ। प्याज के ब्राउन होने के बाद टमाटर डालें और उनके नरम होने तक पकाएँ। प्याज के नरम होने के बाद हल्दी पाउडर, लाल मिर्च पाउडर, जीरा पाउडर, नमक डालें और 3 से 4 मिनट तक पकाएँ। अब चना दाल और पालक का मिश्रण डालें। डालकर अच्छी तरह मिलाएँ। धीमी आँच पर 4 से 5 मिनट तक पकाएँ। गैस बंद कर दें और सर्व करें. पालक चना दाल रेसिपी को भरवा करेला मसाला रेसिपी, बूंदी रायता और फुल्के के साथ दोपहर के खाने के लिए परोसे। "</v>
      </c>
      <c r="J187" s="3" t="s">
        <v>31752</v>
      </c>
      <c r="L187" s="1" t="s">
        <v>31003</v>
      </c>
    </row>
    <row r="188" spans="1:12" ht="13.8">
      <c r="A188" s="1" t="s">
        <v>31753</v>
      </c>
      <c r="B188" s="1" t="str">
        <f ca="1">IFERROR(__xludf.dummyfunction("IF(A188="""", """", GOOGLETRANSLATE(A188, ""en"", ""hi""))"),"आलू पालक सब्ज़ी")</f>
        <v>आलू पालक सब्ज़ी</v>
      </c>
      <c r="C188" s="1" t="s">
        <v>429</v>
      </c>
      <c r="D188" s="1" t="s">
        <v>14198</v>
      </c>
      <c r="E188" s="1">
        <v>55</v>
      </c>
      <c r="F188" s="1" t="s">
        <v>31754</v>
      </c>
      <c r="G188" s="1" t="str">
        <f ca="1">IFERROR(__xludf.dummyfunction("IF(F188="""", """", GOOGLETRANSLATE(F188, ""en"", ""hi""))"),"3 आलू - उबले हुए, 500 ग्राम पालक - धोया और कटा हुआ, 1 प्याज - बारीक कटा हुआ, 2 टमाटर - बारीक कटा हुआ, 1 चम्मच लाल मिर्च पाउडर, 1 चम्मच हल्दी पाउडर, 1 इंच अदरक - कसा हुआ, 1/4 चम्मच दालचीनी पाउडर, 1/4 चम्मच गरम मसाला पाउडर, 1/2 चम्मच जीरा, तेल - आवश्यकतानुस"&amp;"ार, नमक - स्वादानुसार")</f>
        <v>3 आलू - उबले हुए, 500 ग्राम पालक - धोया और कटा हुआ, 1 प्याज - बारीक कटा हुआ, 2 टमाटर - बारीक कटा हुआ, 1 चम्मच लाल मिर्च पाउडर, 1 चम्मच हल्दी पाउडर, 1 इंच अदरक - कसा हुआ, 1/4 चम्मच दालचीनी पाउडर, 1/4 चम्मच गरम मसाला पाउडर, 1/2 चम्मच जीरा, तेल - आवश्यकतानुसार, नमक - स्वादानुसार</v>
      </c>
      <c r="H188" s="1" t="s">
        <v>31755</v>
      </c>
      <c r="I188" s="1" t="str">
        <f ca="1">IFERROR(__xludf.dummyfunction("IF(H188="""", """", GOOGLETRANSLATE(H188, ""en"", ""hi""))"),"""आलू पालक की सब्ज़ी बनाने के लिए सबसे पहले एक पैन में तेल गर्म करें। इसमें पालक और नमक डालें और पालक के नरम होने तक पकाएँ। पकने के बाद इसे अलग रख दें। इसमें थोड़ा और तेल गर्म करें। इसमें जीरा, अदरक, प्याज़ डालें और प्याज़ के सुनहरा होने तक पकने दें। सुनह"&amp;"रा होने के बाद इसमें आलू और नमक डालें और आलू के सुनहरा होने तक पकाएँ। अब इसमें टमाटर, हल्दी पाउडर, लाल मिर्च पाउडर, दालचीनी पाउडर, गरम मसाला पाउडर और नमक डालें। इसे मिलाएँ। 2 से 3 मिनट तक पकाने के बाद इसमें पालक डालें। पैन को ढक दें और 3 मिनट तक और पकाएँ।"&amp;" गैस बंद कर दें और सर्व करें। आलू पालक की सब्ज़ी को गुजराती दाल और फुल्के के साथ लंच में सर्व करें।""")</f>
        <v>"आलू पालक की सब्ज़ी बनाने के लिए सबसे पहले एक पैन में तेल गर्म करें। इसमें पालक और नमक डालें और पालक के नरम होने तक पकाएँ। पकने के बाद इसे अलग रख दें। इसमें थोड़ा और तेल गर्म करें। इसमें जीरा, अदरक, प्याज़ डालें और प्याज़ के सुनहरा होने तक पकने दें। सुनहरा होने के बाद इसमें आलू और नमक डालें और आलू के सुनहरा होने तक पकाएँ। अब इसमें टमाटर, हल्दी पाउडर, लाल मिर्च पाउडर, दालचीनी पाउडर, गरम मसाला पाउडर और नमक डालें। इसे मिलाएँ। 2 से 3 मिनट तक पकाने के बाद इसमें पालक डालें। पैन को ढक दें और 3 मिनट तक और पकाएँ। गैस बंद कर दें और सर्व करें। आलू पालक की सब्ज़ी को गुजराती दाल और फुल्के के साथ लंच में सर्व करें।"</v>
      </c>
      <c r="J188" s="3" t="s">
        <v>31756</v>
      </c>
      <c r="L188" s="1" t="s">
        <v>31003</v>
      </c>
    </row>
    <row r="189" spans="1:12" ht="13.8">
      <c r="A189" s="1" t="s">
        <v>31757</v>
      </c>
      <c r="B189" s="1" t="str">
        <f ca="1">IFERROR(__xludf.dummyfunction("IF(A189="""", """", GOOGLETRANSLATE(A189, ""en"", ""hi""))"),"शकरकंदी के गुलाब जामुन रेसिपी (शकरकंदी के गुलाब जामुन)")</f>
        <v>शकरकंदी के गुलाब जामुन रेसिपी (शकरकंदी के गुलाब जामुन)</v>
      </c>
      <c r="C189" s="1" t="s">
        <v>8417</v>
      </c>
      <c r="D189" s="1" t="s">
        <v>14198</v>
      </c>
      <c r="E189" s="1">
        <v>50</v>
      </c>
      <c r="F189" s="1" t="s">
        <v>31758</v>
      </c>
      <c r="G189" s="1" t="str">
        <f ca="1">IFERROR(__xludf.dummyfunction("IF(F189="""", """", GOOGLETRANSLATE(F189, ""en"", ""hi""))"),"2 कप शकरकंद - मसला हुआ, 2 बड़े चम्मच मैदा, 1/2 छोटा चम्मच इलायची पाउडर (इलायची), 1 चुटकी नमक, 2-3 बड़े चम्मच चीनी, 2 कप घी - या तेल, 1 कप पानी, 2 कप चीनी, 2-3 बूंदें गुलाब जल, 4-5 केसर के रेशे")</f>
        <v>2 कप शकरकंद - मसला हुआ, 2 बड़े चम्मच मैदा, 1/2 छोटा चम्मच इलायची पाउडर (इलायची), 1 चुटकी नमक, 2-3 बड़े चम्मच चीनी, 2 कप घी - या तेल, 1 कप पानी, 2 कप चीनी, 2-3 बूंदें गुलाब जल, 4-5 केसर के रेशे</v>
      </c>
      <c r="H189" s="1" t="s">
        <v>31759</v>
      </c>
      <c r="I189" s="1" t="str">
        <f ca="1">IFERROR(__xludf.dummyfunction("IF(H189="""", """", GOOGLETRANSLATE(H189, ""en"", ""hi""))"),"शकरकंदी के गुलाब जामुन बनाने के लिए सबसे पहले प्रेशर कुकर में शकरकंद उबालें, छीलें और उन्हें कांटे से या अपने हाथों से अच्छी तरह मैश करें। मैश किए हुए शकरकंदों को मिक्सिंग बाउल में इकट्ठा करें और उसमें मैदा और नमक डालकर अच्छी तरह मिलाएँ। नरम और चिकना आटा "&amp;"गूंथ लें। अब आटे से नींबू के आकार की एक लोई लें, उसे थोड़ा चपटा करें और बीच में लगभग 1/4 चम्मच चीनी डालें, बंद करें और चिकनी लोई बनाने के लिए रोल करें। इसी तरह बाकी आटे से 12 से 15 लोई बनाकर एक तरफ रख दें। इस बीच चीनी की चाशनी बना लें। एक कढ़ाई में चीनी औ"&amp;"र पानी लें और चीनी घुलने तक उबालें। इसमें गुलाब जल और केसर डालें और 4 से 5 मिनट तक उबालें। एक तार की चाशनी बनाने की ज़रूरत नहीं है। चाशनी को एक अलग कटोरे में इकट्ठा करें और एक तरफ़ रख दें। एक कड़ाही में घी/तेल गरम करें और जब तेल गरम हो जाए, तो गैस धीमी कर"&amp;" दें और सावधानी से आटे की लोइयाँ डालें। जामुन को चारों तरफ़ से सुनहरा होने तक तल लें। तले हुए जामुन को इकट्ठा करके चाशनी में डालें और अच्छी तरह से भिगो दें। शकरकंदी के गुलाब जामुन गरम/गर्म या ठंडे परोसें।")</f>
        <v>शकरकंदी के गुलाब जामुन बनाने के लिए सबसे पहले प्रेशर कुकर में शकरकंद उबालें, छीलें और उन्हें कांटे से या अपने हाथों से अच्छी तरह मैश करें। मैश किए हुए शकरकंदों को मिक्सिंग बाउल में इकट्ठा करें और उसमें मैदा और नमक डालकर अच्छी तरह मिलाएँ। नरम और चिकना आटा गूंथ लें। अब आटे से नींबू के आकार की एक लोई लें, उसे थोड़ा चपटा करें और बीच में लगभग 1/4 चम्मच चीनी डालें, बंद करें और चिकनी लोई बनाने के लिए रोल करें। इसी तरह बाकी आटे से 12 से 15 लोई बनाकर एक तरफ रख दें। इस बीच चीनी की चाशनी बना लें। एक कढ़ाई में चीनी और पानी लें और चीनी घुलने तक उबालें। इसमें गुलाब जल और केसर डालें और 4 से 5 मिनट तक उबालें। एक तार की चाशनी बनाने की ज़रूरत नहीं है। चाशनी को एक अलग कटोरे में इकट्ठा करें और एक तरफ़ रख दें। एक कड़ाही में घी/तेल गरम करें और जब तेल गरम हो जाए, तो गैस धीमी कर दें और सावधानी से आटे की लोइयाँ डालें। जामुन को चारों तरफ़ से सुनहरा होने तक तल लें। तले हुए जामुन को इकट्ठा करके चाशनी में डालें और अच्छी तरह से भिगो दें। शकरकंदी के गुलाब जामुन गरम/गर्म या ठंडे परोसें।</v>
      </c>
      <c r="J189" s="3" t="s">
        <v>31760</v>
      </c>
      <c r="L189" s="1" t="s">
        <v>31003</v>
      </c>
    </row>
    <row r="190" spans="1:12" ht="13.8">
      <c r="A190" s="1" t="s">
        <v>31761</v>
      </c>
      <c r="B190" s="1" t="str">
        <f ca="1">IFERROR(__xludf.dummyfunction("IF(A190="""", """", GOOGLETRANSLATE(A190, ""en"", ""hi""))"),"कड़ाही चिकन रेसिपी - प्याज और शिमला मिर्च के साथ पकाया गया चिकन")</f>
        <v>कड़ाही चिकन रेसिपी - प्याज और शिमला मिर्च के साथ पकाया गया चिकन</v>
      </c>
      <c r="C190" s="1" t="s">
        <v>14207</v>
      </c>
      <c r="D190" s="1" t="s">
        <v>14382</v>
      </c>
      <c r="E190" s="1">
        <v>45</v>
      </c>
      <c r="F190" s="1" t="s">
        <v>31762</v>
      </c>
      <c r="G190" s="1" t="str">
        <f ca="1">IFERROR(__xludf.dummyfunction("IF(F190="""", """", GOOGLETRANSLATE(F190, ""en"", ""hi""))"),"300 ग्राम चिकन ब्रेस्ट - टुकड़ों में कटा हुआ, 1 प्याज - कटा हुआ, 1 प्याज - कटा हुआ, 1 हरी बेल मिर्च (कैप्सिकम) - कटा हुआ, 1 चम्मच जीरा (जीरा), 2 सूखी लाल मिर्च, 1 इंच अदरक - कटा हुआ, 4 लहसुन की कलियाँ - कटा हुआ, 1 कप घर का बना टमाटर प्यूरी, 2 चम्मच लाल मि"&amp;"र्च पाउडर, 1/4 चम्मच हल्दी पाउडर (हल्दी), 2 चम्मच गरम मसाला पाउडर, 1 बड़ा चम्मच ताजा क्रीम, नमक - स्वादानुसार, 2 टहनी धनिया (धनिया) पत्तियां - कटी हुई, सूरजमुखी का तेल")</f>
        <v>300 ग्राम चिकन ब्रेस्ट - टुकड़ों में कटा हुआ, 1 प्याज - कटा हुआ, 1 प्याज - कटा हुआ, 1 हरी बेल मिर्च (कैप्सिकम) - कटा हुआ, 1 चम्मच जीरा (जीरा), 2 सूखी लाल मिर्च, 1 इंच अदरक - कटा हुआ, 4 लहसुन की कलियाँ - कटा हुआ, 1 कप घर का बना टमाटर प्यूरी, 2 चम्मच लाल मिर्च पाउडर, 1/4 चम्मच हल्दी पाउडर (हल्दी), 2 चम्मच गरम मसाला पाउडर, 1 बड़ा चम्मच ताजा क्रीम, नमक - स्वादानुसार, 2 टहनी धनिया (धनिया) पत्तियां - कटी हुई, सूरजमुखी का तेल</v>
      </c>
      <c r="H190" s="1" t="s">
        <v>31763</v>
      </c>
      <c r="I190" s="1" t="str">
        <f ca="1">IFERROR(__xludf.dummyfunction("IF(H190="""", """", GOOGLETRANSLATE(H190, ""en"", ""hi""))"),"कढ़ाई चिकन रेसिपी बनाने के लिए सबसे पहले एक भारी तले वाले पैन/वोक में तेल गर्म करें। जब यह गर्म हो जाए, तो इसमें जीरा डालें और इसे चटकने दें। सूखी लाल मिर्च डालें और इसे कुरकुरा होने तक भूनें। अदरक, लहसुन डालें और इसे नरम होने दें। कटे हुए प्याज़ डालें और"&amp;" उन्हें नरम होने तक भूनें। शिमला मिर्च डालें और उन्हें थोड़ा नरम होने तक पकाएँ। एक बार जब यह हो जाए, तो इसमें ½ कप टमाटर प्यूरी डालें और तब तक पकाते रहें जब तक कि टमाटर अच्छी तरह से पक न जाए। इसमें लगभग 4 से 5 मिनट का समय लगेगा। 4 से 5 मिनट के बाद, लाल मि"&amp;"र्च पाउडर, गरम मसाला पाउडर, हल्दी पाउडर, नमक डालें और 3 मिनट तक पकाएँ। चिकन के टुकड़े डालें और तब तक अच्छी तरह से भूनें जब तक कि मसाला चिकन पर समान रूप से न लग जाए। चिकन को पकने में लगभग 15 से 20 मिनट का समय लगेगा। अंत में, एक बड़ा चम्मच क्रीम डालें और अच"&amp;"्छी तरह मिलाएँ। धनिया पत्ती से गार्निश करके गरमागरम परोसें। कड़ाही चिकन रेसिपी को तवा पराठा, बूंदी रायता और कचुम्बर सलाद के साथ दिन के खाने में परोसें।")</f>
        <v>कढ़ाई चिकन रेसिपी बनाने के लिए सबसे पहले एक भारी तले वाले पैन/वोक में तेल गर्म करें। जब यह गर्म हो जाए, तो इसमें जीरा डालें और इसे चटकने दें। सूखी लाल मिर्च डालें और इसे कुरकुरा होने तक भूनें। अदरक, लहसुन डालें और इसे नरम होने दें। कटे हुए प्याज़ डालें और उन्हें नरम होने तक भूनें। शिमला मिर्च डालें और उन्हें थोड़ा नरम होने तक पकाएँ। एक बार जब यह हो जाए, तो इसमें ½ कप टमाटर प्यूरी डालें और तब तक पकाते रहें जब तक कि टमाटर अच्छी तरह से पक न जाए। इसमें लगभग 4 से 5 मिनट का समय लगेगा। 4 से 5 मिनट के बाद, लाल मिर्च पाउडर, गरम मसाला पाउडर, हल्दी पाउडर, नमक डालें और 3 मिनट तक पकाएँ। चिकन के टुकड़े डालें और तब तक अच्छी तरह से भूनें जब तक कि मसाला चिकन पर समान रूप से न लग जाए। चिकन को पकने में लगभग 15 से 20 मिनट का समय लगेगा। अंत में, एक बड़ा चम्मच क्रीम डालें और अच्छी तरह मिलाएँ। धनिया पत्ती से गार्निश करके गरमागरम परोसें। कड़ाही चिकन रेसिपी को तवा पराठा, बूंदी रायता और कचुम्बर सलाद के साथ दिन के खाने में परोसें।</v>
      </c>
      <c r="J190" s="3" t="s">
        <v>31764</v>
      </c>
      <c r="L190" s="1" t="s">
        <v>31003</v>
      </c>
    </row>
    <row r="191" spans="1:12" ht="13.8">
      <c r="A191" s="1" t="s">
        <v>31765</v>
      </c>
      <c r="B191" s="1" t="str">
        <f ca="1">IFERROR(__xludf.dummyfunction("IF(A191="""", """", GOOGLETRANSLATE(A191, ""en"", ""hi""))"),"शिकमपुरी कबाब रेसिपी - भूरे छोले से बने कबाब")</f>
        <v>शिकमपुरी कबाब रेसिपी - भूरे छोले से बने कबाब</v>
      </c>
      <c r="C191" s="1" t="s">
        <v>14572</v>
      </c>
      <c r="D191" s="1" t="s">
        <v>14198</v>
      </c>
      <c r="E191" s="1">
        <v>55</v>
      </c>
      <c r="F191" s="1" t="s">
        <v>31766</v>
      </c>
      <c r="G191" s="1" t="str">
        <f ca="1">IFERROR(__xludf.dummyfunction("IF(F191="""", """", GOOGLETRANSLATE(F191, ""en"", ""hi""))"),"1 कप काला चना, 2 आलू - उबले और मसले हुए, 1 इंच अदरक - कद्दूकस किया हुआ, 3 लहसुन के दाने - बारीक कटे हुए, 3 हरी मिर्च - बारीक कटी हुई, 1 छोटा चम्मच लाल मिर्च पाउडर - (या स्वादानुसार), 1 छोटा चम्मच आमचूर, 1/2 छोटा चम्मच धनिया पाउडर, 1 बड़ा चम्मच गरम मसाला प"&amp;"ाउडर, 1/2 छोटा चम्मच काली मिर्च पाउडर, नमक - स्वादानुसार, 4 धनिया पत्ते - बारीक कटे हुए, 1 नींबू का रस, 1/4 कप बेसन, सूरजमुखी तेल - आवश्यकतानुसार, 200 ग्राम हंग कर्ड (ग्रीक योगर्ट)")</f>
        <v>1 कप काला चना, 2 आलू - उबले और मसले हुए, 1 इंच अदरक - कद्दूकस किया हुआ, 3 लहसुन के दाने - बारीक कटे हुए, 3 हरी मिर्च - बारीक कटी हुई, 1 छोटा चम्मच लाल मिर्च पाउडर - (या स्वादानुसार), 1 छोटा चम्मच आमचूर, 1/2 छोटा चम्मच धनिया पाउडर, 1 बड़ा चम्मच गरम मसाला पाउडर, 1/2 छोटा चम्मच काली मिर्च पाउडर, नमक - स्वादानुसार, 4 धनिया पत्ते - बारीक कटे हुए, 1 नींबू का रस, 1/4 कप बेसन, सूरजमुखी तेल - आवश्यकतानुसार, 200 ग्राम हंग कर्ड (ग्रीक योगर्ट)</v>
      </c>
      <c r="H191" s="1" t="s">
        <v>31767</v>
      </c>
      <c r="I191" s="1" t="str">
        <f ca="1">IFERROR(__xludf.dummyfunction("IF(H191="""", """", GOOGLETRANSLATE(H191, ""en"", ""hi""))"),"शिकमपुरी कबाब रेसिपी बनाने के लिए सबसे पहले हम काले चने को लगभग 6 से 8 घंटे के लिए पानी में भिगो देंगे। भीगने के बाद चने को प्रेशर कुकर में नरम होने तक पकाएं। आपको पता चल जाएगा कि यह अच्छे से पक गया है, जब आप इसे अपनी उंगलियों के बीच दबाएंगे तो यह आसानी स"&amp;"े मैश हो जाएगा। प्रेशर कुकर में चना पकाने की वीडियो रेसिपी देखने के लिए क्लिक करें। जब चना पक जाए और आपके पास बाकी सभी सामग्री तैयार हो जाए तो अब हम फूड प्रोसेसर में सामग्री को प्रोसेस करेंगे। फूड प्रोसेसर में पका हुआ काला चना, हरी मिर्च, लहसुन, अदरक, पुद"&amp;"ीना और धनिया पत्ती डालें। लगभग चिकना मिश्रण बनाने के लिए पल्स करें। एक बड़े मिक्सिंग बाउल में पिसा हुआ चना डालें, मसले हुए आलू, लाल मिर्च पाउडर, बेसन, धनिया पाउडर, अमचूर, गरम मसाला और लाल मिर्च पाउडर डालें ऐसा करें, शिकमपुरी कबाब मिश्रण को बराबर आकार के ब"&amp;"ड़े नींबू के हिस्सों में बांट लें। प्रत्येक हिस्से को लें और इसे अपने हाथ की हथेली में चपटा करें। बीच में एक चम्मच दही डालें और कबाब मिश्रण के किनारों को बीच की तरफ लाकर भरावन को सील कर दें। एक बार जब आप कबाब को अंदर से भरावन के साथ सील कर दें, तो शिकमपुर"&amp;"ी कबाब को थोड़ा सा चपटा करें। बाकी कबाब के साथ भी यही प्रक्रिया अपनाएं। हमारा अगला कदम शिकमपुरी कबाब को तवे पर पकाना है। एक तवे को चिकना करके मध्यम आंच पर गर्म करें। कबाब को तवे पर रखें, तेल छिड़कें और मध्यम आंच पर कई बार पलटते हुए पकाएं जब तक कि कबाब सभी"&amp;" तरफ से अच्छे से भूरा न हो जाए। शिकमपुरी कबाब को हरी चटनी के साथ चाय के समय नाश्ते के रूप में या पार्टियों के लिए ऐपेटाइज़र के रूप में परोसें।")</f>
        <v>शिकमपुरी कबाब रेसिपी बनाने के लिए सबसे पहले हम काले चने को लगभग 6 से 8 घंटे के लिए पानी में भिगो देंगे। भीगने के बाद चने को प्रेशर कुकर में नरम होने तक पकाएं। आपको पता चल जाएगा कि यह अच्छे से पक गया है, जब आप इसे अपनी उंगलियों के बीच दबाएंगे तो यह आसानी से मैश हो जाएगा। प्रेशर कुकर में चना पकाने की वीडियो रेसिपी देखने के लिए क्लिक करें। जब चना पक जाए और आपके पास बाकी सभी सामग्री तैयार हो जाए तो अब हम फूड प्रोसेसर में सामग्री को प्रोसेस करेंगे। फूड प्रोसेसर में पका हुआ काला चना, हरी मिर्च, लहसुन, अदरक, पुदीना और धनिया पत्ती डालें। लगभग चिकना मिश्रण बनाने के लिए पल्स करें। एक बड़े मिक्सिंग बाउल में पिसा हुआ चना डालें, मसले हुए आलू, लाल मिर्च पाउडर, बेसन, धनिया पाउडर, अमचूर, गरम मसाला और लाल मिर्च पाउडर डालें ऐसा करें, शिकमपुरी कबाब मिश्रण को बराबर आकार के बड़े नींबू के हिस्सों में बांट लें। प्रत्येक हिस्से को लें और इसे अपने हाथ की हथेली में चपटा करें। बीच में एक चम्मच दही डालें और कबाब मिश्रण के किनारों को बीच की तरफ लाकर भरावन को सील कर दें। एक बार जब आप कबाब को अंदर से भरावन के साथ सील कर दें, तो शिकमपुरी कबाब को थोड़ा सा चपटा करें। बाकी कबाब के साथ भी यही प्रक्रिया अपनाएं। हमारा अगला कदम शिकमपुरी कबाब को तवे पर पकाना है। एक तवे को चिकना करके मध्यम आंच पर गर्म करें। कबाब को तवे पर रखें, तेल छिड़कें और मध्यम आंच पर कई बार पलटते हुए पकाएं जब तक कि कबाब सभी तरफ से अच्छे से भूरा न हो जाए। शिकमपुरी कबाब को हरी चटनी के साथ चाय के समय नाश्ते के रूप में या पार्टियों के लिए ऐपेटाइज़र के रूप में परोसें।</v>
      </c>
      <c r="J191" s="3" t="s">
        <v>31768</v>
      </c>
      <c r="L191" s="1" t="s">
        <v>31003</v>
      </c>
    </row>
    <row r="192" spans="1:12" ht="13.8">
      <c r="A192" s="1" t="s">
        <v>31769</v>
      </c>
      <c r="B192" s="1" t="str">
        <f ca="1">IFERROR(__xludf.dummyfunction("IF(A192="""", """", GOOGLETRANSLATE(A192, ""en"", ""hi""))"),"लहसुनी पनीर रेसिपी - लहसुन के स्वाद वाला पनीर")</f>
        <v>लहसुनी पनीर रेसिपी - लहसुन के स्वाद वाला पनीर</v>
      </c>
      <c r="C192" s="1" t="s">
        <v>14572</v>
      </c>
      <c r="D192" s="1" t="s">
        <v>14198</v>
      </c>
      <c r="E192" s="1">
        <v>25</v>
      </c>
      <c r="F192" s="1" t="s">
        <v>31770</v>
      </c>
      <c r="G192" s="1" t="str">
        <f ca="1">IFERROR(__xludf.dummyfunction("IF(F192="""", """", GOOGLETRANSLATE(F192, ""en"", ""hi""))"),"200 ग्राम पनीर, 10 लहसुन की कलियाँ, 4 सूखी लाल मिर्च, 1 चम्मच सिरका, 1 चम्मच चीनी, नमक - आवश्यकतानुसार, 1 प्याज, 1 चम्मच जीरा, 1 चम्मच सूरजमुखी तेल, धनिया पत्ती - गार्निश के लिए")</f>
        <v>200 ग्राम पनीर, 10 लहसुन की कलियाँ, 4 सूखी लाल मिर्च, 1 चम्मच सिरका, 1 चम्मच चीनी, नमक - आवश्यकतानुसार, 1 प्याज, 1 चम्मच जीरा, 1 चम्मच सूरजमुखी तेल, धनिया पत्ती - गार्निश के लिए</v>
      </c>
      <c r="H192" s="1" t="s">
        <v>31771</v>
      </c>
      <c r="I192" s="1" t="str">
        <f ca="1">IFERROR(__xludf.dummyfunction("IF(H192="""", """", GOOGLETRANSLATE(H192, ""en"", ""hi""))"),"लहसुनी पनीर रेसिपी बनाने के लिए सबसे पहले पनीर को कमरे के तापमान पर पिघला लें। छोटे क्यूब्स में काट लें और एक तरफ रख दें। घर पर पनीर बनाने के लिए होममेड पनीर रेसिपी को फॉलो करें। एक मिक्सर में लहसुन की फली, चीनी, सिरका, नमक और सूखी लाल मिर्च (बीज निकालकर)"&amp;" डालें और सभी चीजों को मिक्सर ग्राइंडर में बहुत कम पानी के साथ मुलायम पेस्ट बना लें। एक भारी तले की कड़ाही में थोड़ा तेल (या मक्खन) गर्म करें। उसमें जीरा डालें और जब जीरा फूटने लगे तो कटा हुआ प्याज डालें और पारभासी होने तक भूनें। अब इसमें पिसा हुआ लहसुन म"&amp;"िर्च का पेस्ट डालें और कच्ची महक जाने तक अच्छी तरह से भूनें। जब सब मिल जाए और तेल अलग होने लगे तो पनीर के टुकड़े डालें गरमागरम परोसें। सप्ताहांत के भोजन के लिए ताजा तैयार लहसुनी पनीर को पराठों, पंजाबी दाल तड़का और लाल गोभी गाजर, अंकुरित और प्याज सलाद के स"&amp;"ाथ संपूर्ण भोजन के लिए परोसें।")</f>
        <v>लहसुनी पनीर रेसिपी बनाने के लिए सबसे पहले पनीर को कमरे के तापमान पर पिघला लें। छोटे क्यूब्स में काट लें और एक तरफ रख दें। घर पर पनीर बनाने के लिए होममेड पनीर रेसिपी को फॉलो करें। एक मिक्सर में लहसुन की फली, चीनी, सिरका, नमक और सूखी लाल मिर्च (बीज निकालकर) डालें और सभी चीजों को मिक्सर ग्राइंडर में बहुत कम पानी के साथ मुलायम पेस्ट बना लें। एक भारी तले की कड़ाही में थोड़ा तेल (या मक्खन) गर्म करें। उसमें जीरा डालें और जब जीरा फूटने लगे तो कटा हुआ प्याज डालें और पारभासी होने तक भूनें। अब इसमें पिसा हुआ लहसुन मिर्च का पेस्ट डालें और कच्ची महक जाने तक अच्छी तरह से भूनें। जब सब मिल जाए और तेल अलग होने लगे तो पनीर के टुकड़े डालें गरमागरम परोसें। सप्ताहांत के भोजन के लिए ताजा तैयार लहसुनी पनीर को पराठों, पंजाबी दाल तड़का और लाल गोभी गाजर, अंकुरित और प्याज सलाद के साथ संपूर्ण भोजन के लिए परोसें।</v>
      </c>
      <c r="J192" s="3" t="s">
        <v>31772</v>
      </c>
      <c r="L192" s="1" t="s">
        <v>31003</v>
      </c>
    </row>
    <row r="193" spans="1:12" ht="13.8">
      <c r="A193" s="1" t="s">
        <v>31773</v>
      </c>
      <c r="B193" s="1" t="str">
        <f ca="1">IFERROR(__xludf.dummyfunction("IF(A193="""", """", GOOGLETRANSLATE(A193, ""en"", ""hi""))"),"बिना प्याज और बिना लहसुन की आलू गाजर मटर की सब्जी ")</f>
        <v xml:space="preserve">बिना प्याज और बिना लहसुन की आलू गाजर मटर की सब्जी </v>
      </c>
      <c r="C193" s="1" t="s">
        <v>145</v>
      </c>
      <c r="D193" s="1" t="s">
        <v>14198</v>
      </c>
      <c r="E193" s="1">
        <v>30</v>
      </c>
      <c r="F193" s="1" t="s">
        <v>31774</v>
      </c>
      <c r="G193" s="1" t="str">
        <f ca="1">IFERROR(__xludf.dummyfunction("IF(F193="""", """", GOOGLETRANSLATE(F193, ""en"", ""hi""))"),"2 आलू - छीलकर काट लें, 1 गाजर - छीलकर काट लें, 1/2 कप हरी मटर, 1 चम्मच राई, 1 चम्मच जीरा, 1 टहनी करी पत्ता, 1/2 चम्मच हल्दी पाउडर, 1 चम्मच लाल मिर्च पाउडर, 1/4 चम्मच हींग, 1 हरी मिर्च - बीच से कटी हुई, नमक - स्वादानुसार (व्रत के लिए काला नमक), 2 चम्मच तेल"&amp;", हरा धनिया - प्रयोगानुसार (गार्निश के लिए)")</f>
        <v>2 आलू - छीलकर काट लें, 1 गाजर - छीलकर काट लें, 1/2 कप हरी मटर, 1 चम्मच राई, 1 चम्मच जीरा, 1 टहनी करी पत्ता, 1/2 चम्मच हल्दी पाउडर, 1 चम्मच लाल मिर्च पाउडर, 1/4 चम्मच हींग, 1 हरी मिर्च - बीच से कटी हुई, नमक - स्वादानुसार (व्रत के लिए काला नमक), 2 चम्मच तेल, हरा धनिया - प्रयोगानुसार (गार्निश के लिए)</v>
      </c>
      <c r="H193" s="1" t="s">
        <v>31775</v>
      </c>
      <c r="I193" s="1" t="str">
        <f ca="1">IFERROR(__xludf.dummyfunction("IF(H193="""", """", GOOGLETRANSLATE(H193, ""en"", ""hi""))"),"आलू गाजर मटर की सब्जी बनाने के लिए सबसे पहले एक पैन में तेल गर्म करें। तेल गर्म होने पर उसमें राई डालें। 10 सेकंड बाद उसमें जीरा, हींग डालकर अच्छी तरह मिलाएँ। करी पत्ता डालकर 2 मिनट तक पकाएँ। 2 मिनट बाद उसमें हरी मिर्च डालें। 10 सेकंड बाद उसमें आलू, गाजर "&amp;"और हरी मटर डालें। 1 कप पानी डालकर धीमी आँच पर आलू और गाजर के पकने तक पकाएँ। पकने के बाद उसमें हल्दी पाउडर, लाल मिर्च पाउडर डालकर अच्छी तरह मिलाएँ। नमक डालकर मिलाएँ और 2 मिनट और पकाएँ। 2 मिनट बाद धनिया पत्ती से गार्निश करें और गरमागरम परोसें। आलू गाजर मटर "&amp;"की सब्जी को दाल तड़का, कचुम्बर सलाद और तवा पराठे के साथ गरमागरम परोसें।")</f>
        <v>आलू गाजर मटर की सब्जी बनाने के लिए सबसे पहले एक पैन में तेल गर्म करें। तेल गर्म होने पर उसमें राई डालें। 10 सेकंड बाद उसमें जीरा, हींग डालकर अच्छी तरह मिलाएँ। करी पत्ता डालकर 2 मिनट तक पकाएँ। 2 मिनट बाद उसमें हरी मिर्च डालें। 10 सेकंड बाद उसमें आलू, गाजर और हरी मटर डालें। 1 कप पानी डालकर धीमी आँच पर आलू और गाजर के पकने तक पकाएँ। पकने के बाद उसमें हल्दी पाउडर, लाल मिर्च पाउडर डालकर अच्छी तरह मिलाएँ। नमक डालकर मिलाएँ और 2 मिनट और पकाएँ। 2 मिनट बाद धनिया पत्ती से गार्निश करें और गरमागरम परोसें। आलू गाजर मटर की सब्जी को दाल तड़का, कचुम्बर सलाद और तवा पराठे के साथ गरमागरम परोसें।</v>
      </c>
      <c r="J193" s="3" t="s">
        <v>31776</v>
      </c>
      <c r="L193" s="1" t="s">
        <v>31003</v>
      </c>
    </row>
    <row r="194" spans="1:12" ht="13.8">
      <c r="A194" s="1" t="s">
        <v>31777</v>
      </c>
      <c r="B194" s="1" t="str">
        <f ca="1">IFERROR(__xludf.dummyfunction("IF(A194="""", """", GOOGLETRANSLATE(A194, ""en"", ""hi""))"),"कटहल मसाला सब्जी रेसिपी - कटहल मसाला सब्जी")</f>
        <v>कटहल मसाला सब्जी रेसिपी - कटहल मसाला सब्जी</v>
      </c>
      <c r="C194" s="1" t="s">
        <v>14259</v>
      </c>
      <c r="D194" s="1" t="s">
        <v>14338</v>
      </c>
      <c r="E194" s="1">
        <v>50</v>
      </c>
      <c r="F194" s="1" t="s">
        <v>31778</v>
      </c>
      <c r="G194" s="1" t="str">
        <f ca="1">IFERROR(__xludf.dummyfunction("IF(F194="""", """", GOOGLETRANSLATE(F194, ""en"", ""hi""))"),"300 ग्राम कच्चा कटहल, 3 आलू, 2 प्याज - पतले कटे हुए, 1/4 छोटा चम्मच हींग, 1 तेज पत्ता, 4 लहसुन - बारीक कटा हुआ, 1 इंच अदरक - बारीक कटा हुआ, 1/4 कप दही, 1 इंच दालचीनी, 2 बड़ी इलायची, 2 छोटे चम्मच धनिया पाउडर, 1/2 छोटा चम्मच जीरा, 1/2 छोटा चम्मच गरम मसाला, "&amp;"1/2 छोटा चम्मच लाल मिर्च पाउडर, 1/2 कप घर में बना टमाटर प्यूरी, 1 बड़ा चम्मच सरसों का तेल, नमक - स्वादानुसार, धनिया पत्ता - गार्निश के लिए")</f>
        <v>300 ग्राम कच्चा कटहल, 3 आलू, 2 प्याज - पतले कटे हुए, 1/4 छोटा चम्मच हींग, 1 तेज पत्ता, 4 लहसुन - बारीक कटा हुआ, 1 इंच अदरक - बारीक कटा हुआ, 1/4 कप दही, 1 इंच दालचीनी, 2 बड़ी इलायची, 2 छोटे चम्मच धनिया पाउडर, 1/2 छोटा चम्मच जीरा, 1/2 छोटा चम्मच गरम मसाला, 1/2 छोटा चम्मच लाल मिर्च पाउडर, 1/2 कप घर में बना टमाटर प्यूरी, 1 बड़ा चम्मच सरसों का तेल, नमक - स्वादानुसार, धनिया पत्ता - गार्निश के लिए</v>
      </c>
      <c r="H194" s="1" t="s">
        <v>31779</v>
      </c>
      <c r="I194" s="1" t="str">
        <f ca="1">IFERROR(__xludf.dummyfunction("IF(H194="""", """", GOOGLETRANSLATE(H194, ""en"", ""hi""))"),"कटहल मसाला सब्जी बनाने के लिए सबसे पहले कच्चे कटहल को काट लें। ऐसा करने के लिए हमें सबसे पहले अपने हाथों और इस्तेमाल करने वाले चाकू को तेल से चिकना करना होगा। यह महत्वपूर्ण टिप यह सुनिश्चित करता है कि हाथ फल में मौजूद प्राकृतिक फल लेटेक्स/रस से चिपचिपे न "&amp;"हों और काटने की प्रक्रिया को परेशानी मुक्त बनाता है। एक बार काटने के बाद नमक के साथ पानी के एक कटोरे में रखें ताकि कटे हुए कटहल के टुकड़े भूरे न हों। इस बीच एक कटोरे में दही, टमाटर प्यूरी, हल्दी पाउडर, लाल मिर्च पाउडर, धनिया पाउडर, जीरा पाउडर, गरम मसाला प"&amp;"ाउडर डालें। इसमें थोड़ा पानी डालें और अच्छी तरह मिलाएँ। एक छोटे प्रेशर कुकर में 1 बड़ा चम्मच तेल डालें। तेल गर्म हो जाने पर इसमें हिंग डालें। इसके बाद इसमें बारीक कटा हुआ प्याज लहसुन, अदरक डालें अब कुकर में तैयार दही मसाला डालें। मसाले में टमाटर प्यूरी, क"&amp;"टहल/कच्चा कटहल और आलू डालें, स्वादानुसार नमक डालें और अच्छी तरह मिलाएँ। 1 कप पानी डालें, प्रेशर कुकर को ढक दें और कटहल मसाला सब्जी को 3 से 4 सीटी आने तक पकाएँ और आँच बंद कर दें। प्रेशर को अपने आप निकलने दें। प्रेशर निकल जाने पर आँच बंद कर दें। कुकर खोलें,"&amp;" कटा हरा धनिया डालें और मिलाएँ, नमक और मसाले चैक करें और तदनुसार समायोजित करें। एक सर्विंग बाउल में डालें और गरमागरम परोसें। कटहल मसाला सब्जी रेसिपी को फुल्के या जीरा राइस के साथ गाजर का सलाद और एक कटोरी दही के साथ संपूर्ण और सरल रविवार के लंच के लिए परोस"&amp;"ें।")</f>
        <v>कटहल मसाला सब्जी बनाने के लिए सबसे पहले कच्चे कटहल को काट लें। ऐसा करने के लिए हमें सबसे पहले अपने हाथों और इस्तेमाल करने वाले चाकू को तेल से चिकना करना होगा। यह महत्वपूर्ण टिप यह सुनिश्चित करता है कि हाथ फल में मौजूद प्राकृतिक फल लेटेक्स/रस से चिपचिपे न हों और काटने की प्रक्रिया को परेशानी मुक्त बनाता है। एक बार काटने के बाद नमक के साथ पानी के एक कटोरे में रखें ताकि कटे हुए कटहल के टुकड़े भूरे न हों। इस बीच एक कटोरे में दही, टमाटर प्यूरी, हल्दी पाउडर, लाल मिर्च पाउडर, धनिया पाउडर, जीरा पाउडर, गरम मसाला पाउडर डालें। इसमें थोड़ा पानी डालें और अच्छी तरह मिलाएँ। एक छोटे प्रेशर कुकर में 1 बड़ा चम्मच तेल डालें। तेल गर्म हो जाने पर इसमें हिंग डालें। इसके बाद इसमें बारीक कटा हुआ प्याज लहसुन, अदरक डालें अब कुकर में तैयार दही मसाला डालें। मसाले में टमाटर प्यूरी, कटहल/कच्चा कटहल और आलू डालें, स्वादानुसार नमक डालें और अच्छी तरह मिलाएँ। 1 कप पानी डालें, प्रेशर कुकर को ढक दें और कटहल मसाला सब्जी को 3 से 4 सीटी आने तक पकाएँ और आँच बंद कर दें। प्रेशर को अपने आप निकलने दें। प्रेशर निकल जाने पर आँच बंद कर दें। कुकर खोलें, कटा हरा धनिया डालें और मिलाएँ, नमक और मसाले चैक करें और तदनुसार समायोजित करें। एक सर्विंग बाउल में डालें और गरमागरम परोसें। कटहल मसाला सब्जी रेसिपी को फुल्के या जीरा राइस के साथ गाजर का सलाद और एक कटोरी दही के साथ संपूर्ण और सरल रविवार के लंच के लिए परोसें।</v>
      </c>
      <c r="J194" s="3" t="s">
        <v>31780</v>
      </c>
      <c r="L194" s="1" t="s">
        <v>31003</v>
      </c>
    </row>
    <row r="195" spans="1:12" ht="13.8">
      <c r="A195" s="1" t="s">
        <v>31781</v>
      </c>
      <c r="B195" s="1" t="str">
        <f ca="1">IFERROR(__xludf.dummyfunction("IF(A195="""", """", GOOGLETRANSLATE(A195, ""en"", ""hi""))"),"स्वादिष्ट नाश्ता अंडा घोटाला बटर पाव के साथ रेसिपी")</f>
        <v>स्वादिष्ट नाश्ता अंडा घोटाला बटर पाव के साथ रेसिपी</v>
      </c>
      <c r="C195" s="1" t="s">
        <v>15760</v>
      </c>
      <c r="D195" s="1" t="s">
        <v>15314</v>
      </c>
      <c r="E195" s="1">
        <v>45</v>
      </c>
      <c r="F195" s="1" t="s">
        <v>31782</v>
      </c>
      <c r="G195" s="1" t="str">
        <f ca="1">IFERROR(__xludf.dummyfunction("IF(F195="""", """", GOOGLETRANSLATE(F195, ""en"", ""hi""))"),"2 बड़े चम्मच मक्खन, 1/2 चम्मच जीरा, 6 लहसुन के दाने - बारीक कटे हुए, 1 हरी मिर्च - बारीक कटी हुई, 2 प्याज - बारीक कटे हुए, नमक - स्वादानुसार, 1/2 चम्मच हल्दी, 1 चम्मच लाल मिर्च पाउडर, 1 चम्मच धनिया पाउडर, 2 टमाटर - बारीक कटे हुए, 2 बड़े चम्मच पाव भाजी मसा"&amp;"ला, 1 चम्मच जीरा पाउडर, 4 उबले अंडे - मध्यम आकार के टुकड़ों में कटे हुए, 1 चम्मच मक्खन, 4 अंडे, नमक - छिड़कने के लिए, पाव भाजी मसाला - छिड़कने के लिए, धनिया (धनिया) के पत्ते - बारीक कटे हुए, पाव भाजी मसाला - छिड़कने के लिए, धनिया (धनिया) के पत्ते - बारीक "&amp;"कटे हुए")</f>
        <v>2 बड़े चम्मच मक्खन, 1/2 चम्मच जीरा, 6 लहसुन के दाने - बारीक कटे हुए, 1 हरी मिर्च - बारीक कटी हुई, 2 प्याज - बारीक कटे हुए, नमक - स्वादानुसार, 1/2 चम्मच हल्दी, 1 चम्मच लाल मिर्च पाउडर, 1 चम्मच धनिया पाउडर, 2 टमाटर - बारीक कटे हुए, 2 बड़े चम्मच पाव भाजी मसाला, 1 चम्मच जीरा पाउडर, 4 उबले अंडे - मध्यम आकार के टुकड़ों में कटे हुए, 1 चम्मच मक्खन, 4 अंडे, नमक - छिड़कने के लिए, पाव भाजी मसाला - छिड़कने के लिए, धनिया (धनिया) के पत्ते - बारीक कटे हुए, पाव भाजी मसाला - छिड़कने के लिए, धनिया (धनिया) के पत्ते - बारीक कटे हुए</v>
      </c>
      <c r="H195" s="1" t="s">
        <v>31783</v>
      </c>
      <c r="I195" s="1" t="str">
        <f ca="1">IFERROR(__xludf.dummyfunction("IF(H195="""", """", GOOGLETRANSLATE(H195, ""en"", ""hi""))"),"अंडा घोटाला रेसिपी बनाने के लिए सबसे पहले एक पहले से गरम किए हुए पैन में मक्खन पिघलाएं। पिघले हुए मक्खन में जीरा डालें और जब वह तड़कने लगे तो उसमें लहसुन डालें और कुछ सेकंड के लिए तब तक भूनें जब तक कि उसकी खुशबू हवा में न फैल जाए। इसके बाद पैन में प्याज क"&amp;"े साथ हरी मिर्च डालें। प्याज को तब तक पकाएं जब तक वह सुंदर सुनहरे रंग का न हो जाए। इसमें मध्यम आंच पर लगभग 4-6 मिनट लगेंगे, बीच-बीच में हिलाते रहें। जब प्याज मनचाहा सुनहरा रंग प्राप्त कर ले तो उसमें नमक, हल्दी पाउडर, लाल मिर्च पाउडर, धनिया पाउडर और जीरा प"&amp;"ाउडर डालें। कटे हुए टमाटर डालें, थोड़ा पानी छिड़कें और ढककर टमाटर को गूदेदार होने दें। टमाटर को लगभग 3-4 मिनट तक पकाएं एक कटोरी में तीन अंडे तोड़ें और उन्हें मध्यम तेज आंच पर धीरे-धीरे प्याज-टमाटर के बेस में डालें। प्याज टमाटर मसाला में अंडे को अच्छी तरह "&amp;"मिलाएँ। जब अंडे अच्छी तरह से फूट जाएँ तो इसमें कटे हुए उबले अंडे डालें और अच्छी तरह मिलाएँ। नमक की जाँच करें और स्वादानुसार समायोजित करें। आँच बंद कर दें और अंडा घोटाला को एक सर्विंग प्लेट में डालें और एक तरफ रख दें। फ्राइड एग बनाने के लिए एक छोटे ऑमलेट प"&amp;"ैन को मक्खन के साथ गर्म करें, पूरे पैन को मक्खन से चिकना करें। एक अंडे को एक कटोरे में तोड़ें और फिर इसे ध्यान से गर्म चिकने पैन में डालें। थोड़ा नमक, पाव भाजी मसाला और धनिया पत्ती छिड़कें। लगभग 2-3 मिनट तक पकाएँ, जब तक कि अंडे का सफेद भाग पक न जाए और जर्"&amp;"दी लगभग सख्त न हो जाए अंडा घोटाला रेसिपी को ब्रंच के रूप में घर पर बने साबुत गेहूं पाव रेसिपी / लादी पाव और मसाला सोडा शिकंजी रेसिपी के साथ संपूर्ण भोजन के लिए परोसें।")</f>
        <v>अंडा घोटाला रेसिपी बनाने के लिए सबसे पहले एक पहले से गरम किए हुए पैन में मक्खन पिघलाएं। पिघले हुए मक्खन में जीरा डालें और जब वह तड़कने लगे तो उसमें लहसुन डालें और कुछ सेकंड के लिए तब तक भूनें जब तक कि उसकी खुशबू हवा में न फैल जाए। इसके बाद पैन में प्याज के साथ हरी मिर्च डालें। प्याज को तब तक पकाएं जब तक वह सुंदर सुनहरे रंग का न हो जाए। इसमें मध्यम आंच पर लगभग 4-6 मिनट लगेंगे, बीच-बीच में हिलाते रहें। जब प्याज मनचाहा सुनहरा रंग प्राप्त कर ले तो उसमें नमक, हल्दी पाउडर, लाल मिर्च पाउडर, धनिया पाउडर और जीरा पाउडर डालें। कटे हुए टमाटर डालें, थोड़ा पानी छिड़कें और ढककर टमाटर को गूदेदार होने दें। टमाटर को लगभग 3-4 मिनट तक पकाएं एक कटोरी में तीन अंडे तोड़ें और उन्हें मध्यम तेज आंच पर धीरे-धीरे प्याज-टमाटर के बेस में डालें। प्याज टमाटर मसाला में अंडे को अच्छी तरह मिलाएँ। जब अंडे अच्छी तरह से फूट जाएँ तो इसमें कटे हुए उबले अंडे डालें और अच्छी तरह मिलाएँ। नमक की जाँच करें और स्वादानुसार समायोजित करें। आँच बंद कर दें और अंडा घोटाला को एक सर्विंग प्लेट में डालें और एक तरफ रख दें। फ्राइड एग बनाने के लिए एक छोटे ऑमलेट पैन को मक्खन के साथ गर्म करें, पूरे पैन को मक्खन से चिकना करें। एक अंडे को एक कटोरे में तोड़ें और फिर इसे ध्यान से गर्म चिकने पैन में डालें। थोड़ा नमक, पाव भाजी मसाला और धनिया पत्ती छिड़कें। लगभग 2-3 मिनट तक पकाएँ, जब तक कि अंडे का सफेद भाग पक न जाए और जर्दी लगभग सख्त न हो जाए अंडा घोटाला रेसिपी को ब्रंच के रूप में घर पर बने साबुत गेहूं पाव रेसिपी / लादी पाव और मसाला सोडा शिकंजी रेसिपी के साथ संपूर्ण भोजन के लिए परोसें।</v>
      </c>
      <c r="J195" s="3" t="s">
        <v>31784</v>
      </c>
      <c r="L195" s="1" t="s">
        <v>31003</v>
      </c>
    </row>
    <row r="196" spans="1:12" ht="13.8">
      <c r="A196" s="1" t="s">
        <v>31785</v>
      </c>
      <c r="B196" s="1" t="str">
        <f ca="1">IFERROR(__xludf.dummyfunction("IF(A196="""", """", GOOGLETRANSLATE(A196, ""en"", ""hi""))"),"अचारी आलू सब्ज़ी रेसिपी - मसालेदार अचार मसाला में आलू")</f>
        <v>अचारी आलू सब्ज़ी रेसिपी - मसालेदार अचार मसाला में आलू</v>
      </c>
      <c r="C196" s="1" t="s">
        <v>429</v>
      </c>
      <c r="D196" s="1" t="s">
        <v>14198</v>
      </c>
      <c r="E196" s="1">
        <v>30</v>
      </c>
      <c r="F196" s="1" t="s">
        <v>31786</v>
      </c>
      <c r="G196" s="1" t="str">
        <f ca="1">IFERROR(__xludf.dummyfunction("IF(F196="""", """", GOOGLETRANSLATE(F196, ""en"", ""hi""))"),"4 आलू - छिले और कटे हुए, 1/2 छोटा चम्मच हींग, 1 छोटा चम्मच जीरा, 2 सूखी लाल मिर्च, 4 बड़े चम्मच पंजाबी स्टाइल आम का अचार, 1/2 छोटा चम्मच गुड़, 2 छोटे चम्मच सरसों का तेल, 1 प्याज - कटा हुआ, 3 लहसुन के दाने - कटे हुए, 1/4 छोटा चम्मच हल्दी, 1 छोटा चम्मच लाल "&amp;"मिर्च पाउडर, 1 छोटा चम्मच गरम मसाला पाउडर, 2 छोटे चम्मच धनिया पत्ता - कटा हुआ, नमक - स्वादानुसार")</f>
        <v>4 आलू - छिले और कटे हुए, 1/2 छोटा चम्मच हींग, 1 छोटा चम्मच जीरा, 2 सूखी लाल मिर्च, 4 बड़े चम्मच पंजाबी स्टाइल आम का अचार, 1/2 छोटा चम्मच गुड़, 2 छोटे चम्मच सरसों का तेल, 1 प्याज - कटा हुआ, 3 लहसुन के दाने - कटे हुए, 1/4 छोटा चम्मच हल्दी, 1 छोटा चम्मच लाल मिर्च पाउडर, 1 छोटा चम्मच गरम मसाला पाउडर, 2 छोटे चम्मच धनिया पत्ता - कटा हुआ, नमक - स्वादानुसार</v>
      </c>
      <c r="H196" s="1" t="s">
        <v>31787</v>
      </c>
      <c r="I196" s="1" t="str">
        <f ca="1">IFERROR(__xludf.dummyfunction("IF(H196="""", """", GOOGLETRANSLATE(H196, ""en"", ""hi""))"),"अचारी आलू की सब्जी बनाने के लिए सबसे पहले सभी सामग्री तैयार कर लें। हम यह सब्जी इलेक्ट्रिक प्रेशर कुकर में एक ही बर्तन में बनाने जा रहे हैं। इलेक्ट्रिक प्रेशर कुकर को चालू करें और मोड को सॉते मोड में बदलें और प्रेशर कुकर को 2 से 3 मिनट तक प्रीहीट होने दें"&amp;"। पैन के गर्म हो जाने पर इसमें तेल, जीरा, हींग, लाल मिर्च डालें और उन्हें चटकने दें। इसमें लहसुन और प्याज डालें और प्याज के नरम होने तक भूनें। अब जब प्याज नरम हो जाए तो इसमें सूखे मसाले - लाल मिर्च पाउडर, हल्दी पाउडर, गरम मसाला पाउडर और नमक डालें। अच्छी त"&amp;"रह मिलाएँ। जब मसालों की कच्ची महक चली जाए तो इसमें अचार, गुड़ डालें और अच्छे से चलाएँ इलेक्ट्रिक प्रेशर कुकर में एक बड़ा चम्मच पानी डालें। इलेक्ट्रिक प्रेशर कुकर को ढक दें और मोड को मैनुअल में बदल दें और खाना पकाने का समय 25 मिनट पर सेट करें। अचारी आलू की"&amp;" सब्जी को तब तक पकने दें जब तक कि इलेक्ट्रिक प्रेशर कुकर गर्म रखने के मोड में न आ जाए। जब ​​प्रेशर निकल जाए और प्रेशर निकल जाए, तो प्रेशर कुकर खोलें, धनिया पत्ती डालें और इसे चलाएँ। स्वाद की जाँच करें और उसके अनुसार समायोजित करें। अचारी आलू की सब्जी रेसिप"&amp;"ी को फुल्का, पंजाबी दाल तड़का और कचुम्बर सलाद के साथ एक साधारण वीक नाइट डिनर या एक आरामदायक वीकेंड लंच के लिए परोसें।")</f>
        <v>अचारी आलू की सब्जी बनाने के लिए सबसे पहले सभी सामग्री तैयार कर लें। हम यह सब्जी इलेक्ट्रिक प्रेशर कुकर में एक ही बर्तन में बनाने जा रहे हैं। इलेक्ट्रिक प्रेशर कुकर को चालू करें और मोड को सॉते मोड में बदलें और प्रेशर कुकर को 2 से 3 मिनट तक प्रीहीट होने दें। पैन के गर्म हो जाने पर इसमें तेल, जीरा, हींग, लाल मिर्च डालें और उन्हें चटकने दें। इसमें लहसुन और प्याज डालें और प्याज के नरम होने तक भूनें। अब जब प्याज नरम हो जाए तो इसमें सूखे मसाले - लाल मिर्च पाउडर, हल्दी पाउडर, गरम मसाला पाउडर और नमक डालें। अच्छी तरह मिलाएँ। जब मसालों की कच्ची महक चली जाए तो इसमें अचार, गुड़ डालें और अच्छे से चलाएँ इलेक्ट्रिक प्रेशर कुकर में एक बड़ा चम्मच पानी डालें। इलेक्ट्रिक प्रेशर कुकर को ढक दें और मोड को मैनुअल में बदल दें और खाना पकाने का समय 25 मिनट पर सेट करें। अचारी आलू की सब्जी को तब तक पकने दें जब तक कि इलेक्ट्रिक प्रेशर कुकर गर्म रखने के मोड में न आ जाए। जब ​​प्रेशर निकल जाए और प्रेशर निकल जाए, तो प्रेशर कुकर खोलें, धनिया पत्ती डालें और इसे चलाएँ। स्वाद की जाँच करें और उसके अनुसार समायोजित करें। अचारी आलू की सब्जी रेसिपी को फुल्का, पंजाबी दाल तड़का और कचुम्बर सलाद के साथ एक साधारण वीक नाइट डिनर या एक आरामदायक वीकेंड लंच के लिए परोसें।</v>
      </c>
      <c r="J196" s="3" t="s">
        <v>31788</v>
      </c>
      <c r="L196" s="1" t="s">
        <v>31003</v>
      </c>
    </row>
    <row r="197" spans="1:12" ht="13.8">
      <c r="A197" s="1" t="s">
        <v>31789</v>
      </c>
      <c r="B197" s="1" t="str">
        <f ca="1">IFERROR(__xludf.dummyfunction("IF(A197="""", """", GOOGLETRANSLATE(A197, ""en"", ""hi""))"),"पालक पनीर भुर्जी रेसिपी - पालक के साथ मसालेदार पनीर भुर्जी रेसिपी")</f>
        <v>पालक पनीर भुर्जी रेसिपी - पालक के साथ मसालेदार पनीर भुर्जी रेसिपी</v>
      </c>
      <c r="C197" s="1" t="s">
        <v>14198</v>
      </c>
      <c r="D197" s="1" t="s">
        <v>14198</v>
      </c>
      <c r="E197" s="1">
        <v>45</v>
      </c>
      <c r="F197" s="1" t="s">
        <v>31790</v>
      </c>
      <c r="G197" s="1" t="str">
        <f ca="1">IFERROR(__xludf.dummyfunction("IF(F197="""", """", GOOGLETRANSLATE(F197, ""en"", ""hi""))"),"200 ग्राम पनीर - टुकड़े टुकड़े, 50 ग्राम पालक के पत्ते (पालक) - बारीक कटा हुआ, 2 हरी मिर्च - बारीक कटी हुई, 1 प्याज - बारीक कटा हुआ, 1 टमाटर - बारीक कटा हुआ, 2 लहसुन - बारीक कटा हुआ, 1/2 चम्मच जीरा (जीरा), 2 चम्मच लाल मिर्च पाउडर, 2 चम्मच गरम मसाला पाउडर,"&amp;" 2 चम्मच आमचूर (सूखा आम पाउडर), 1 बड़ा चम्मच मक्खन, नमक - स्वादानुसार, सूरजमुखी तेल - पकाने के लिए")</f>
        <v>200 ग्राम पनीर - टुकड़े टुकड़े, 50 ग्राम पालक के पत्ते (पालक) - बारीक कटा हुआ, 2 हरी मिर्च - बारीक कटी हुई, 1 प्याज - बारीक कटा हुआ, 1 टमाटर - बारीक कटा हुआ, 2 लहसुन - बारीक कटा हुआ, 1/2 चम्मच जीरा (जीरा), 2 चम्मच लाल मिर्च पाउडर, 2 चम्मच गरम मसाला पाउडर, 2 चम्मच आमचूर (सूखा आम पाउडर), 1 बड़ा चम्मच मक्खन, नमक - स्वादानुसार, सूरजमुखी तेल - पकाने के लिए</v>
      </c>
      <c r="H197" s="1" t="s">
        <v>31791</v>
      </c>
      <c r="I197" s="1" t="str">
        <f ca="1">IFERROR(__xludf.dummyfunction("IF(H197="""", """", GOOGLETRANSLATE(H197, ""en"", ""hi""))"),"पालक पनीर भुर्जी रेसिपी बनाने के लिए सबसे पहले सारी सामग्री तैयार कर लें और लिंक पर जाकर घर का बना पनीर बनाएं। एक भारी तले की कड़ाही में मध्यम आंच पर तेल गर्म करें। उसमें जीरा डालें और उसे चटकने दें। जीरा चटकने के बाद उसमें अदरक, लहसुन, हरी मिर्च और प्याज"&amp;" डालकर हल्का भूरा होने तक भूनें। फिर उसमें टमाटर डालें और उनके नरम होने तक और सारा पानी सूख जाने तक भूनें। अब उसमें पालक डालें और पालक के पकने तक भूनें। पालक के पक जाने पर उसमें मसाले और टुकड़े किया हुआ पनीर डालें। उसमें थोड़ा मक्खन डालें और सारी सामग्री "&amp;"को अच्छी तरह मिला लें और लगभग 3 से 4 मिनट तक धीमी आंच पर पकाएं, ताकि पनीर भुर्जी में सारा स्वाद समा जाए। हो जाने पर आंच बंद कर दें और पालक पनीर भुर्जी को घर पर बने गेहूं के ब्रेड टोस्ट और खरबूजे के जूस के साथ नाश्ते में परोसें।")</f>
        <v>पालक पनीर भुर्जी रेसिपी बनाने के लिए सबसे पहले सारी सामग्री तैयार कर लें और लिंक पर जाकर घर का बना पनीर बनाएं। एक भारी तले की कड़ाही में मध्यम आंच पर तेल गर्म करें। उसमें जीरा डालें और उसे चटकने दें। जीरा चटकने के बाद उसमें अदरक, लहसुन, हरी मिर्च और प्याज डालकर हल्का भूरा होने तक भूनें। फिर उसमें टमाटर डालें और उनके नरम होने तक और सारा पानी सूख जाने तक भूनें। अब उसमें पालक डालें और पालक के पकने तक भूनें। पालक के पक जाने पर उसमें मसाले और टुकड़े किया हुआ पनीर डालें। उसमें थोड़ा मक्खन डालें और सारी सामग्री को अच्छी तरह मिला लें और लगभग 3 से 4 मिनट तक धीमी आंच पर पकाएं, ताकि पनीर भुर्जी में सारा स्वाद समा जाए। हो जाने पर आंच बंद कर दें और पालक पनीर भुर्जी को घर पर बने गेहूं के ब्रेड टोस्ट और खरबूजे के जूस के साथ नाश्ते में परोसें।</v>
      </c>
      <c r="J197" s="3" t="s">
        <v>31792</v>
      </c>
      <c r="L197" s="1" t="s">
        <v>31003</v>
      </c>
    </row>
    <row r="198" spans="1:12" ht="13.8">
      <c r="A198" s="1" t="s">
        <v>31793</v>
      </c>
      <c r="B198" s="1" t="str">
        <f ca="1">IFERROR(__xludf.dummyfunction("IF(A198="""", """", GOOGLETRANSLATE(A198, ""en"", ""hi""))"),"पेठा वडी सब्जी रेसिपी")</f>
        <v>पेठा वडी सब्जी रेसिपी</v>
      </c>
      <c r="C198" s="1" t="s">
        <v>14207</v>
      </c>
      <c r="D198" s="1" t="s">
        <v>14237</v>
      </c>
      <c r="E198" s="1">
        <v>65</v>
      </c>
      <c r="F198" s="1" t="s">
        <v>31794</v>
      </c>
      <c r="G198" s="1" t="str">
        <f ca="1">IFERROR(__xludf.dummyfunction("IF(F198="""", """", GOOGLETRANSLATE(F198, ""en"", ""hi""))"),"2 कप बड़ी, 1 कप कद्दू, 2 प्याज - बारीक कटा हुआ, 2 टमाटर - बारीक कटा हुआ, 1/2 इंच अदरक - बारीक कटा हुआ, 4 लहसुन - बारीक कटा हुआ, 4 हरी मिर्च - कटी हुई, 1 छोटा चम्मच जीरा, 1 बड़ा चम्मच लाल मिर्च पाउडर, 1 छोटा चम्मच धनिया पाउडर, 1/4 छोटा चम्मच हल्दी, 1 बड़ा "&amp;"चम्मच सूरजमुखी तेल, नमक - स्वादानुसार, धनिया पत्ते - थोड़े से")</f>
        <v>2 कप बड़ी, 1 कप कद्दू, 2 प्याज - बारीक कटा हुआ, 2 टमाटर - बारीक कटा हुआ, 1/2 इंच अदरक - बारीक कटा हुआ, 4 लहसुन - बारीक कटा हुआ, 4 हरी मिर्च - कटी हुई, 1 छोटा चम्मच जीरा, 1 बड़ा चम्मच लाल मिर्च पाउडर, 1 छोटा चम्मच धनिया पाउडर, 1/4 छोटा चम्मच हल्दी, 1 बड़ा चम्मच सूरजमुखी तेल, नमक - स्वादानुसार, धनिया पत्ते - थोड़े से</v>
      </c>
      <c r="H198" s="1" t="s">
        <v>31795</v>
      </c>
      <c r="I198" s="1" t="str">
        <f ca="1">IFERROR(__xludf.dummyfunction("IF(H198="""", """", GOOGLETRANSLATE(H198, ""en"", ""hi""))"),"पेठा वड़ी सब्ज़ी बनाने के लिए सबसे पहले एक पैन में तेल गर्म करें। गरम तेल में जीरा डालें और इसे चटकने दें। जीरा तड़कने के बाद इसमें बारीक कटा प्याज डालें और पारदर्शी होने तक भूनें। इसमें अदरक, लहसुन डालें और खुशबू आने तक कुछ सेकंड के लिए भूनें। हो जाने पर"&amp;" इसमें बारीक कटे टमाटर डालें और टमाटर के गूदेदार होने तक पकाएँ। जब टमाटर गूदेदार और पक जाए तो इसमें मसाला पाउडर, लाल मिर्च पाउडर, धनिया पाउडर, हल्दी पाउडर और नमक डालें और अच्छी तरह मिलाएँ। इसमें कटे हुए कद्दू और वड़ियाँ डालें और मिलाएँ। 3 से 5 मिनट तक भून"&amp;"ें। पेठा वड़ी सब्ज़ी में 1/2 से 3/4 कप पानी डालें, ढककर कद्दू के पकने तक पकाएँ। पेठा वड़ी सब्ज़ी को धनिया पत्ती से गार्निश करें। पेठा वड़ी सब्ज़ी रेसिपी को घर पर बने बटर नान, कश्मीरी स्टाइल पनीर मसाला और खीरा, प्याज़ और टमाटर के साथ कचुम्बर सलाद रेसिपी के"&amp;" साथ रात के खाने में परोसें।")</f>
        <v>पेठा वड़ी सब्ज़ी बनाने के लिए सबसे पहले एक पैन में तेल गर्म करें। गरम तेल में जीरा डालें और इसे चटकने दें। जीरा तड़कने के बाद इसमें बारीक कटा प्याज डालें और पारदर्शी होने तक भूनें। इसमें अदरक, लहसुन डालें और खुशबू आने तक कुछ सेकंड के लिए भूनें। हो जाने पर इसमें बारीक कटे टमाटर डालें और टमाटर के गूदेदार होने तक पकाएँ। जब टमाटर गूदेदार और पक जाए तो इसमें मसाला पाउडर, लाल मिर्च पाउडर, धनिया पाउडर, हल्दी पाउडर और नमक डालें और अच्छी तरह मिलाएँ। इसमें कटे हुए कद्दू और वड़ियाँ डालें और मिलाएँ। 3 से 5 मिनट तक भूनें। पेठा वड़ी सब्ज़ी में 1/2 से 3/4 कप पानी डालें, ढककर कद्दू के पकने तक पकाएँ। पेठा वड़ी सब्ज़ी को धनिया पत्ती से गार्निश करें। पेठा वड़ी सब्ज़ी रेसिपी को घर पर बने बटर नान, कश्मीरी स्टाइल पनीर मसाला और खीरा, प्याज़ और टमाटर के साथ कचुम्बर सलाद रेसिपी के साथ रात के खाने में परोसें।</v>
      </c>
      <c r="J198" s="3" t="s">
        <v>31796</v>
      </c>
      <c r="L198" s="1" t="s">
        <v>31003</v>
      </c>
    </row>
    <row r="199" spans="1:12" ht="13.8">
      <c r="A199" s="1" t="s">
        <v>31797</v>
      </c>
      <c r="B199" s="1" t="str">
        <f ca="1">IFERROR(__xludf.dummyfunction("IF(A199="""", """", GOOGLETRANSLATE(A199, ""en"", ""hi""))"),"जैन स्टाइल दाल मखनी रेसिपी")</f>
        <v>जैन स्टाइल दाल मखनी रेसिपी</v>
      </c>
      <c r="C199" s="1" t="s">
        <v>145</v>
      </c>
      <c r="D199" s="1" t="s">
        <v>14237</v>
      </c>
      <c r="E199" s="1">
        <v>40</v>
      </c>
      <c r="F199" s="1" t="s">
        <v>31798</v>
      </c>
      <c r="G199" s="1" t="str">
        <f ca="1">IFERROR(__xludf.dummyfunction("IF(F199="""", """", GOOGLETRANSLATE(F199, ""en"", ""hi""))"),"3/4 कप काली उड़द दाल (साबुत), 1/4 कप राजमा, 1 छोटा चम्मच जीरा, 1 इंच दालचीनी, 3 लौंग, 2 बड़ी इलायची, 2 टमाटर - प्यूरी, 1 हरी मिर्च - बारीक कटी, 1 छोटा चम्मच लाल मिर्च पाउडर, 1 छोटा चम्मच गरम मसाला पाउडर, 2 छोटा चम्मच सूखा अदरक पाउडर, 2 बड़े चम्मच घी, 1 कप"&amp;" दूध - कम वसा (वैकल्पिक), नमक - स्वादानुसार, 1 इंच अदरक - लंबे टुकड़ों में कटा हुआ (वैकल्पिक), 2 बड़े चम्मच ताजा क्रीम")</f>
        <v>3/4 कप काली उड़द दाल (साबुत), 1/4 कप राजमा, 1 छोटा चम्मच जीरा, 1 इंच दालचीनी, 3 लौंग, 2 बड़ी इलायची, 2 टमाटर - प्यूरी, 1 हरी मिर्च - बारीक कटी, 1 छोटा चम्मच लाल मिर्च पाउडर, 1 छोटा चम्मच गरम मसाला पाउडर, 2 छोटा चम्मच सूखा अदरक पाउडर, 2 बड़े चम्मच घी, 1 कप दूध - कम वसा (वैकल्पिक), नमक - स्वादानुसार, 1 इंच अदरक - लंबे टुकड़ों में कटा हुआ (वैकल्पिक), 2 बड़े चम्मच ताजा क्रीम</v>
      </c>
      <c r="H199" s="1" t="s">
        <v>31799</v>
      </c>
      <c r="I199" s="1" t="str">
        <f ca="1">IFERROR(__xludf.dummyfunction("IF(H199="""", """", GOOGLETRANSLATE(H199, ""en"", ""hi""))"),"जैन स्टाइल दाल मखनी रेसिपी बनाने के लिए, साबुत उड़द दाल और राजमा को धोकर रात भर भिगो दें। भिगोई हुई दाल को 2 से 3 कप पानी में 4 से 5 सीटी आने तक पकाएं और 10 मिनट तक उबालें; दाल को हल्का सा मैश करके एक तरफ रख दें। इस बीच, एक मिक्सर ग्राइंडर का उपयोग करके ट"&amp;"माटर को प्यूरी कर लें और एक तरफ रख दें। मध्यम आंच पर एक कड़ाही में घी गर्म करें, उसमें दालचीनी, लौंग, बड़ी इलायची डालें और इसकी खुशबू घी में आने दें। जीरा डालें और इसे चटकने दें। जीरा चटकने के बाद टमाटर प्यूरी, हरी मिर्च डालें और 2 मिनट तक पकाएं। टमाटर पक"&amp;" जाने पर लाल मिर्च, गरम मसाला, सोंठ पाउडर जैसे मसाले डालें और तब तक पकाएं जब तक घी ऊपर न तैरने लगे। अब पकी हुई दाल डालें, नमक डालें, अपनी इच्छानुसार पानी डालें और 10 से 15 मिनट तक उबालें। इस स्तर पर आप दूध भी डाल सकते हैं और दाल को उबलने दें जैन स्टाइल दा"&amp;"ल मखनी रेसिपी को तवा पराठे और कचुम्बर सलाद के साथ रात के खाने में परोसें।")</f>
        <v>जैन स्टाइल दाल मखनी रेसिपी बनाने के लिए, साबुत उड़द दाल और राजमा को धोकर रात भर भिगो दें। भिगोई हुई दाल को 2 से 3 कप पानी में 4 से 5 सीटी आने तक पकाएं और 10 मिनट तक उबालें; दाल को हल्का सा मैश करके एक तरफ रख दें। इस बीच, एक मिक्सर ग्राइंडर का उपयोग करके टमाटर को प्यूरी कर लें और एक तरफ रख दें। मध्यम आंच पर एक कड़ाही में घी गर्म करें, उसमें दालचीनी, लौंग, बड़ी इलायची डालें और इसकी खुशबू घी में आने दें। जीरा डालें और इसे चटकने दें। जीरा चटकने के बाद टमाटर प्यूरी, हरी मिर्च डालें और 2 मिनट तक पकाएं। टमाटर पक जाने पर लाल मिर्च, गरम मसाला, सोंठ पाउडर जैसे मसाले डालें और तब तक पकाएं जब तक घी ऊपर न तैरने लगे। अब पकी हुई दाल डालें, नमक डालें, अपनी इच्छानुसार पानी डालें और 10 से 15 मिनट तक उबालें। इस स्तर पर आप दूध भी डाल सकते हैं और दाल को उबलने दें जैन स्टाइल दाल मखनी रेसिपी को तवा पराठे और कचुम्बर सलाद के साथ रात के खाने में परोसें।</v>
      </c>
      <c r="J199" s="3" t="s">
        <v>31800</v>
      </c>
      <c r="L199" s="1" t="s">
        <v>31003</v>
      </c>
    </row>
    <row r="200" spans="1:12" ht="13.8">
      <c r="A200" s="1" t="s">
        <v>31801</v>
      </c>
      <c r="B200" s="1" t="str">
        <f ca="1">IFERROR(__xludf.dummyfunction("IF(A200="""", """", GOOGLETRANSLATE(A200, ""en"", ""hi""))"),"बूंदी की खीर रेसिपी")</f>
        <v>बूंदी की खीर रेसिपी</v>
      </c>
      <c r="C200" s="1" t="s">
        <v>8417</v>
      </c>
      <c r="D200" s="1" t="s">
        <v>14198</v>
      </c>
      <c r="E200" s="1">
        <v>30</v>
      </c>
      <c r="F200" s="1" t="s">
        <v>31802</v>
      </c>
      <c r="G200" s="1" t="str">
        <f ca="1">IFERROR(__xludf.dummyfunction("IF(F200="""", """", GOOGLETRANSLATE(F200, ""en"", ""hi""))"),"1 लीटर दूध, 1 कप मीठी बूंदी, 1/2 चम्मच इलायची पाउडर, 1 चम्मच गुलाब जल, केसर- थोड़ा सा, 10 बादाम- गरम पानी में भिगोए हुए, छीलकर पतले-पतले कटे हुए")</f>
        <v>1 लीटर दूध, 1 कप मीठी बूंदी, 1/2 चम्मच इलायची पाउडर, 1 चम्मच गुलाब जल, केसर- थोड़ा सा, 10 बादाम- गरम पानी में भिगोए हुए, छीलकर पतले-पतले कटे हुए</v>
      </c>
      <c r="H200" s="1" t="s">
        <v>31803</v>
      </c>
      <c r="I200" s="1" t="str">
        <f ca="1">IFERROR(__xludf.dummyfunction("IF(H200="""", """", GOOGLETRANSLATE(H200, ""en"", ""hi""))"),"बूंदी की खीर बनाने के लिए सबसे पहले बादाम को उबाल लें। उन्हें पतले और सीधे काट लें। एक तरफ रख दें। आप मीठी बूंदी बाहर से खरीद सकते हैं या घर पर भी बना सकते हैं। घर पर इसे बनाने का तरीका इस प्रकार है - मीठी बूंदी। खीर बनाने के लिए एक सॉस पैन में दूध गर्म क"&amp;"रें और उसे उबलने दें। दूध में उबाल आने के बाद आंच धीमी कर दें और उसमें केसर, इलायची डालकर तब तक पकाएं जब तक दूध आधा न रह जाए। जब ​​दूध आधा रह जाए तो गैस बंद कर दें और एक तरफ रख दें। अब इसमें गुलाब जल, बादाम और मीठी बूंदी डालकर मिला लें। सर्व करें। आप चाहे"&amp;"ं तो इसे फ्रिज में ठंडा करके भी सर्व कर सकते हैं। बूंदी की खीर रेसिपी को जयपुरी आलू प्याज़ की सब्ज़ी और अजवाइन पूरी के साथ लंच में सर्व करें।")</f>
        <v>बूंदी की खीर बनाने के लिए सबसे पहले बादाम को उबाल लें। उन्हें पतले और सीधे काट लें। एक तरफ रख दें। आप मीठी बूंदी बाहर से खरीद सकते हैं या घर पर भी बना सकते हैं। घर पर इसे बनाने का तरीका इस प्रकार है - मीठी बूंदी। खीर बनाने के लिए एक सॉस पैन में दूध गर्म करें और उसे उबलने दें। दूध में उबाल आने के बाद आंच धीमी कर दें और उसमें केसर, इलायची डालकर तब तक पकाएं जब तक दूध आधा न रह जाए। जब ​​दूध आधा रह जाए तो गैस बंद कर दें और एक तरफ रख दें। अब इसमें गुलाब जल, बादाम और मीठी बूंदी डालकर मिला लें। सर्व करें। आप चाहें तो इसे फ्रिज में ठंडा करके भी सर्व कर सकते हैं। बूंदी की खीर रेसिपी को जयपुरी आलू प्याज़ की सब्ज़ी और अजवाइन पूरी के साथ लंच में सर्व करें।</v>
      </c>
      <c r="J200" s="3" t="s">
        <v>31804</v>
      </c>
      <c r="L200" s="1" t="s">
        <v>31003</v>
      </c>
    </row>
    <row r="201" spans="1:12" ht="13.8">
      <c r="A201" s="1" t="s">
        <v>31805</v>
      </c>
      <c r="B201" s="1" t="str">
        <f ca="1">IFERROR(__xludf.dummyfunction("IF(A201="""", """", GOOGLETRANSLATE(A201, ""en"", ""hi""))"),"टमाटर वाली अरबी सब्ज़ी रेसिपी")</f>
        <v>टमाटर वाली अरबी सब्ज़ी रेसिपी</v>
      </c>
      <c r="C201" s="1" t="s">
        <v>145</v>
      </c>
      <c r="D201" s="1" t="s">
        <v>14198</v>
      </c>
      <c r="E201" s="1">
        <v>30</v>
      </c>
      <c r="F201" s="1" t="s">
        <v>31806</v>
      </c>
      <c r="G201" s="1" t="str">
        <f ca="1">IFERROR(__xludf.dummyfunction("IF(F201="""", """", GOOGLETRANSLATE(F201, ""en"", ""hi""))"),"500 ग्राम अरबी - उबली हुई, 1 प्याज - बारीक कटा हुआ, 4 टमाटर - बारीक कटे हुए, 7 लहसुन - पतले कटे हुए, 1 इमली - नींबू के आकार की, 2 चम्मच कश्मीरी लाल मिर्च पाउडर, 3 चम्मच धनिया पाउडर, 1/2 चम्मच हल्दी पाउडर, 1 चम्मच गरम मसाला पाउडर, 2 चम्मच पंच फोरन मसाला, 2"&amp;" बड़े चम्मच सूरजमुखी तेल, 2 टहनी धनिया - गार्निश के लिए बारीक कटी हुई, नमक - स्वादानुसार")</f>
        <v>500 ग्राम अरबी - उबली हुई, 1 प्याज - बारीक कटा हुआ, 4 टमाटर - बारीक कटे हुए, 7 लहसुन - पतले कटे हुए, 1 इमली - नींबू के आकार की, 2 चम्मच कश्मीरी लाल मिर्च पाउडर, 3 चम्मच धनिया पाउडर, 1/2 चम्मच हल्दी पाउडर, 1 चम्मच गरम मसाला पाउडर, 2 चम्मच पंच फोरन मसाला, 2 बड़े चम्मच सूरजमुखी तेल, 2 टहनी धनिया - गार्निश के लिए बारीक कटी हुई, नमक - स्वादानुसार</v>
      </c>
      <c r="H201" s="1" t="s">
        <v>31807</v>
      </c>
      <c r="I201" s="1" t="str">
        <f ca="1">IFERROR(__xludf.dummyfunction("IF(H201="""", """", GOOGLETRANSLATE(H201, ""en"", ""hi""))"),"टमाटर वाली अरबी की सब्जी बनाने के लिए सबसे पहले अरबी को बहते पानी के नीचे धो लें ताकि उसमें से कीचड़ निकल जाए। इमली को एक कप पानी में पंद्रह मिनट के लिए भिगो दें। 2 कप पानी, इमली के पानी के साथ 2 सीटी आने तक प्रेशर कुक करें। प्रेशर को अपने आप निकलने दें औ"&amp;"र प्रेशर कुकर खोलें। अरबी/अरबी के छिलके उतार दें और उन्हें गोल टुकड़ों में काट कर अलग रख दें। एक भारी तले की कड़ाही में एक बड़ा चम्मच तेल गर्म करें, उसमें अरबी के टुकड़े डालें और सुनहरा भूरा होने तक तल लें और एक तरफ रख दें। पैन में बचा हुआ तेल डालें, पंच "&amp;"फोरन डालें और बीजों को फूटने दें। प्याज और लहसुन डालें, सुनहरा भूरा होने तक भूनें। टमाटर डालें और नरम और गूदेदार होने तक भूनें। हल्दी, कश्मीरी लाल मिर्च, धनिया पाउडर डालें और अच्छी तरह मिलाएँ। अब, तले हुए अरबी के गोल टुकड़े डालें, नमक डालें और अच्छी तरह म"&amp;"िलाएँ। अरबी के गोल टुकड़ों को टमाटर की ग्रेवी में सोखने दें और थोड़ा नरम होने दें। बीच-बीच में हिलाते रहें। पक जाने के बाद, आँच बंद कर दें, टमाटर वाली अरबी की सब्ज़ी को धनिया पत्ती से सजाएँ और परोसें। टमाटर वाली अरबी की सब्ज़ी रेसिपी को तवा पराठा, दाल तड़"&amp;"का और कचुम्बर सलाद के साथ परोसें, यह एक सरल और स्वादिष्ट रात का खाना है।")</f>
        <v>टमाटर वाली अरबी की सब्जी बनाने के लिए सबसे पहले अरबी को बहते पानी के नीचे धो लें ताकि उसमें से कीचड़ निकल जाए। इमली को एक कप पानी में पंद्रह मिनट के लिए भिगो दें। 2 कप पानी, इमली के पानी के साथ 2 सीटी आने तक प्रेशर कुक करें। प्रेशर को अपने आप निकलने दें और प्रेशर कुकर खोलें। अरबी/अरबी के छिलके उतार दें और उन्हें गोल टुकड़ों में काट कर अलग रख दें। एक भारी तले की कड़ाही में एक बड़ा चम्मच तेल गर्म करें, उसमें अरबी के टुकड़े डालें और सुनहरा भूरा होने तक तल लें और एक तरफ रख दें। पैन में बचा हुआ तेल डालें, पंच फोरन डालें और बीजों को फूटने दें। प्याज और लहसुन डालें, सुनहरा भूरा होने तक भूनें। टमाटर डालें और नरम और गूदेदार होने तक भूनें। हल्दी, कश्मीरी लाल मिर्च, धनिया पाउडर डालें और अच्छी तरह मिलाएँ। अब, तले हुए अरबी के गोल टुकड़े डालें, नमक डालें और अच्छी तरह मिलाएँ। अरबी के गोल टुकड़ों को टमाटर की ग्रेवी में सोखने दें और थोड़ा नरम होने दें। बीच-बीच में हिलाते रहें। पक जाने के बाद, आँच बंद कर दें, टमाटर वाली अरबी की सब्ज़ी को धनिया पत्ती से सजाएँ और परोसें। टमाटर वाली अरबी की सब्ज़ी रेसिपी को तवा पराठा, दाल तड़का और कचुम्बर सलाद के साथ परोसें, यह एक सरल और स्वादिष्ट रात का खाना है।</v>
      </c>
      <c r="J201" s="3" t="s">
        <v>31808</v>
      </c>
      <c r="L201" s="1" t="s">
        <v>31003</v>
      </c>
    </row>
    <row r="202" spans="1:12" ht="13.8">
      <c r="A202" s="1" t="s">
        <v>31809</v>
      </c>
      <c r="B202" s="1" t="str">
        <f ca="1">IFERROR(__xludf.dummyfunction("IF(A202="""", """", GOOGLETRANSLATE(A202, ""en"", ""hi""))"),"गाजर मटर पराठा रेसिपी")</f>
        <v>गाजर मटर पराठा रेसिपी</v>
      </c>
      <c r="C202" s="1" t="s">
        <v>16424</v>
      </c>
      <c r="D202" s="1" t="s">
        <v>14198</v>
      </c>
      <c r="E202" s="1">
        <v>50</v>
      </c>
      <c r="F202" s="1" t="s">
        <v>31810</v>
      </c>
      <c r="G202" s="1" t="str">
        <f ca="1">IFERROR(__xludf.dummyfunction("IF(F202="""", """", GOOGLETRANSLATE(F202, ""en"", ""hi""))"),"3 कप गेहूं का आटा, पानी - गूंधने के लिए, 1 चम्मच नमक, 3 गाजर - कद्दूकस की हुई, 1 कप हरी मटर - उबली हुई, 1 प्याज - मध्यम, 2 हरी मिर्च - कटी हुई, धनिया के पत्ते - एक छोटा गुच्छा बारीक कटा हुआ, 1 बड़ा चम्मच अजवाइन, 1/4 बड़ा चम्मच धनिया पाउडर, 1 बड़ा चम्मच ला"&amp;"ल मिर्च पाउडर, 1 बड़ा चम्मच जीरा पाउडर, 1/2 बड़ा चम्मच चाट मसाला पाउडर, नमक - स्वादानुसार, घी - पराठे पकाने के लिए")</f>
        <v>3 कप गेहूं का आटा, पानी - गूंधने के लिए, 1 चम्मच नमक, 3 गाजर - कद्दूकस की हुई, 1 कप हरी मटर - उबली हुई, 1 प्याज - मध्यम, 2 हरी मिर्च - कटी हुई, धनिया के पत्ते - एक छोटा गुच्छा बारीक कटा हुआ, 1 बड़ा चम्मच अजवाइन, 1/4 बड़ा चम्मच धनिया पाउडर, 1 बड़ा चम्मच लाल मिर्च पाउडर, 1 बड़ा चम्मच जीरा पाउडर, 1/2 बड़ा चम्मच चाट मसाला पाउडर, नमक - स्वादानुसार, घी - पराठे पकाने के लिए</v>
      </c>
      <c r="H202" s="1" t="s">
        <v>31811</v>
      </c>
      <c r="I202" s="1" t="str">
        <f ca="1">IFERROR(__xludf.dummyfunction("IF(H202="""", """", GOOGLETRANSLATE(H202, ""en"", ""hi""))"),"गाजर मटर पराठा रेसिपी बनाने के लिए सबसे पहले एक बाउल में गेहूं का आटा, नमक और तेल मिला लें। थोड़ा-थोड़ा करके पानी डालते हुए नरम आटा गूंथ लें, जैसे हम रोटी के लिए आटा गूंथते हैं। हाथों पर तेल लगाकर इसे अच्छे से गूंथ लें। इसे ढककर कुछ देर के लिए रख दें। अब "&amp;"स्टफिंग तैयार करने के लिए सबसे पहले एक बड़े बाउल में मटर को मैश कर लें। इसमें कद्दूकस की हुई गाजर, कटा हुआ प्याज, कटी हरी मिर्च और ताजा कटा हरा धनिया डालकर अच्छी तरह मिला लें। अब मिश्रण में सारे सूखे मसाले - अजवाइन, नमक, लाल मिर्च पाउडर, धनिया पाउडर, जीरा"&amp;" पाउडर, चाट मसाला डालकर अच्छी तरह मिला लें। अब पराठे के आटे से एक बराबर साइज की लोई बनाएं और इस पर गेहूं का आटा छिड़कते हुए छोटी सी गोलाई में बेल लें। बीच में थोड़ा स्टफिंग डालें मध्यम से तेज़ आंच पर तवा रखें और उस पर बेले हुए पराठे को रखें। इसे एक तरफ से"&amp;" थोड़ा पकने दें, इसे दूसरी तरफ पलट दें और आधे पके पराठे पर थोड़ा घी फैलाएँ। इसे फिर से पलटें, जब दूसरी तरफ आधा पक जाए, तो थोड़ा घी फैलाएँ। पराठे को भूरा होने और अच्छी तरह से पकने के लिए कुछ और बार पलटें। तवा उतारें और बाकी पराठों को भी इसी तरह से पकाएँ गा"&amp;"जर मटर पराठा को लौकी रायता और आम का चूड़ा रेसिपी के साथ एक शानदार नाश्ते के लिए परोसें।")</f>
        <v>गाजर मटर पराठा रेसिपी बनाने के लिए सबसे पहले एक बाउल में गेहूं का आटा, नमक और तेल मिला लें। थोड़ा-थोड़ा करके पानी डालते हुए नरम आटा गूंथ लें, जैसे हम रोटी के लिए आटा गूंथते हैं। हाथों पर तेल लगाकर इसे अच्छे से गूंथ लें। इसे ढककर कुछ देर के लिए रख दें। अब स्टफिंग तैयार करने के लिए सबसे पहले एक बड़े बाउल में मटर को मैश कर लें। इसमें कद्दूकस की हुई गाजर, कटा हुआ प्याज, कटी हरी मिर्च और ताजा कटा हरा धनिया डालकर अच्छी तरह मिला लें। अब मिश्रण में सारे सूखे मसाले - अजवाइन, नमक, लाल मिर्च पाउडर, धनिया पाउडर, जीरा पाउडर, चाट मसाला डालकर अच्छी तरह मिला लें। अब पराठे के आटे से एक बराबर साइज की लोई बनाएं और इस पर गेहूं का आटा छिड़कते हुए छोटी सी गोलाई में बेल लें। बीच में थोड़ा स्टफिंग डालें मध्यम से तेज़ आंच पर तवा रखें और उस पर बेले हुए पराठे को रखें। इसे एक तरफ से थोड़ा पकने दें, इसे दूसरी तरफ पलट दें और आधे पके पराठे पर थोड़ा घी फैलाएँ। इसे फिर से पलटें, जब दूसरी तरफ आधा पक जाए, तो थोड़ा घी फैलाएँ। पराठे को भूरा होने और अच्छी तरह से पकने के लिए कुछ और बार पलटें। तवा उतारें और बाकी पराठों को भी इसी तरह से पकाएँ गाजर मटर पराठा को लौकी रायता और आम का चूड़ा रेसिपी के साथ एक शानदार नाश्ते के लिए परोसें।</v>
      </c>
      <c r="J202" s="3" t="s">
        <v>31812</v>
      </c>
      <c r="L202" s="1" t="s">
        <v>31003</v>
      </c>
    </row>
    <row r="203" spans="1:12" ht="13.8">
      <c r="A203" s="1" t="s">
        <v>31813</v>
      </c>
      <c r="B203" s="1" t="str">
        <f ca="1">IFERROR(__xludf.dummyfunction("IF(A203="""", """", GOOGLETRANSLATE(A203, ""en"", ""hi""))"),"ज्वार लहसुन नान रेसिपी- स्वास्थ्यवर्धक ज्वार नान")</f>
        <v>ज्वार लहसुन नान रेसिपी- स्वास्थ्यवर्धक ज्वार नान</v>
      </c>
      <c r="C203" s="1" t="s">
        <v>14259</v>
      </c>
      <c r="D203" s="1" t="s">
        <v>14338</v>
      </c>
      <c r="E203" s="1">
        <v>155</v>
      </c>
      <c r="F203" s="1" t="s">
        <v>31814</v>
      </c>
      <c r="G203" s="1" t="str">
        <f ca="1">IFERROR(__xludf.dummyfunction("IF(F203="""", """", GOOGLETRANSLATE(F203, ""en"", ""hi""))"),"1 कप ज्वार का आटा, 1 कप गेहूं का आटा, 1/4 कप मेथी के पत्ते - बारीक कटे हुए, 1 चम्मच सक्रिय सूखा खमीर, 1/4 कप दही, 1 चम्मच नमक, 1 चम्मच चीनी, 10 लहसुन की कलियाँ - बारीक कटी हुई, घी - पकाने के लिए")</f>
        <v>1 कप ज्वार का आटा, 1 कप गेहूं का आटा, 1/4 कप मेथी के पत्ते - बारीक कटे हुए, 1 चम्मच सक्रिय सूखा खमीर, 1/4 कप दही, 1 चम्मच नमक, 1 चम्मच चीनी, 10 लहसुन की कलियाँ - बारीक कटी हुई, घी - पकाने के लिए</v>
      </c>
      <c r="H203" s="1" t="s">
        <v>31815</v>
      </c>
      <c r="I203" s="1" t="str">
        <f ca="1">IFERROR(__xludf.dummyfunction("IF(H203="""", """", GOOGLETRANSLATE(H203, ""en"", ""hi""))"),"ज्वार लहसुन नान रेसिपी बनाने के लिए सबसे पहले आटा गूंथ लें। आटा गूंथने के लिए एक मिक्सिंग बाउल में ज्वार का आटा, गेहूं का आटा, मेथी के पत्ते, खमीर, नमक और चीनी मिलाएं। सबसे पहले दही के साथ आटा गूंथ लें और फिर एक बार में थोडा पानी डालते हुए सख्त आटा गूंथने"&amp;" के लिए केवल आवश्यक मात्रा में पानी का प्रयोग करें। आटे पर कोट करने के लिए एक चम्मच तेल डालें और चिकना होने तक कुछ और मिनट के लिए गूंथ लें। आटे को 2 घंटे के लिए ढककर अलग रख दें। 2 घंटे बाद फिर से गूंथ लें और आटे को बराबर भागों में बांट लें। लोहे के तवे को"&amp;" मध्यम आंच पर गर्म करें। आटे के हिस्सों से बॉल्स बनाएं, इन बॉल्स को अपने हाथ की हथेली से चपटा करें। आटे का एक हिस्सा लें, इसे आटे पर डालें और अंडाकार आकार में बेल लें इससे उन्हें बेलते समय चिपचिपा होने से रोका जा सकेगा। आटे की गेंद के पहले रोल के बाद, आटे"&amp;" की सतह पर कुछ लहसुन छिड़कें, इसे हल्के से दबाएं और इसे फिर से रोल करना शुरू करें। एक बार जब आपको मध्यम मोटाई का एक अच्छा अंडाकार आकार का नान मिल जाए, तो इसे गर्म तवे पर डालें। इसे 2-3 मिनट तक पकने दें। फिर ज्वार लहसुन नान को पलटें और लगभग 1/2 चम्मच घी लग"&amp;"ाएँ। एक सपाट स्पैटुला का उपयोग करके नान को पकाने के लिए हल्का दबाने और मोड़ने की गति करें। दूसरी तरफ पलटें और नान को उसी तरह दबाएं और पलट दें, एक बार फिर से घी लगाएँ। आप नान के चारों ओर भूरे रंग के धब्बे देखेंगे और यह थोड़ा कुरकुरा होगा। आंच से उतारकर प्ल"&amp;"ेट में रखें और गरमागरम परोसें। बचे हुए रोल किए हुए हिस्सों के साथ भी यही प्रक्रिया जारी रखें और गरमागरम परोसें। इस ज्वार लहसुन नान रेसिपी को टमाटर छोले रेसिपी या अमृतसरी फिश ग्रेवी रेसिपी और टमाटर प्याज तड़का रायता रेसिपी और गाजर, मूली और मूंगफली का सलाद "&amp;"नींबू रेसिपी के साथ रविवार की दोपहर को एक संपूर्ण स्वस्थ, पोषण से भरपूर भोजन के लिए परोसें।")</f>
        <v>ज्वार लहसुन नान रेसिपी बनाने के लिए सबसे पहले आटा गूंथ लें। आटा गूंथने के लिए एक मिक्सिंग बाउल में ज्वार का आटा, गेहूं का आटा, मेथी के पत्ते, खमीर, नमक और चीनी मिलाएं। सबसे पहले दही के साथ आटा गूंथ लें और फिर एक बार में थोडा पानी डालते हुए सख्त आटा गूंथने के लिए केवल आवश्यक मात्रा में पानी का प्रयोग करें। आटे पर कोट करने के लिए एक चम्मच तेल डालें और चिकना होने तक कुछ और मिनट के लिए गूंथ लें। आटे को 2 घंटे के लिए ढककर अलग रख दें। 2 घंटे बाद फिर से गूंथ लें और आटे को बराबर भागों में बांट लें। लोहे के तवे को मध्यम आंच पर गर्म करें। आटे के हिस्सों से बॉल्स बनाएं, इन बॉल्स को अपने हाथ की हथेली से चपटा करें। आटे का एक हिस्सा लें, इसे आटे पर डालें और अंडाकार आकार में बेल लें इससे उन्हें बेलते समय चिपचिपा होने से रोका जा सकेगा। आटे की गेंद के पहले रोल के बाद, आटे की सतह पर कुछ लहसुन छिड़कें, इसे हल्के से दबाएं और इसे फिर से रोल करना शुरू करें। एक बार जब आपको मध्यम मोटाई का एक अच्छा अंडाकार आकार का नान मिल जाए, तो इसे गर्म तवे पर डालें। इसे 2-3 मिनट तक पकने दें। फिर ज्वार लहसुन नान को पलटें और लगभग 1/2 चम्मच घी लगाएँ। एक सपाट स्पैटुला का उपयोग करके नान को पकाने के लिए हल्का दबाने और मोड़ने की गति करें। दूसरी तरफ पलटें और नान को उसी तरह दबाएं और पलट दें, एक बार फिर से घी लगाएँ। आप नान के चारों ओर भूरे रंग के धब्बे देखेंगे और यह थोड़ा कुरकुरा होगा। आंच से उतारकर प्लेट में रखें और गरमागरम परोसें। बचे हुए रोल किए हुए हिस्सों के साथ भी यही प्रक्रिया जारी रखें और गरमागरम परोसें। इस ज्वार लहसुन नान रेसिपी को टमाटर छोले रेसिपी या अमृतसरी फिश ग्रेवी रेसिपी और टमाटर प्याज तड़का रायता रेसिपी और गाजर, मूली और मूंगफली का सलाद नींबू रेसिपी के साथ रविवार की दोपहर को एक संपूर्ण स्वस्थ, पोषण से भरपूर भोजन के लिए परोसें।</v>
      </c>
      <c r="J203" s="3" t="s">
        <v>31816</v>
      </c>
      <c r="L203" s="1" t="s">
        <v>31003</v>
      </c>
    </row>
    <row r="204" spans="1:12" ht="409.6">
      <c r="A204" s="1" t="s">
        <v>31817</v>
      </c>
      <c r="B204" s="1" t="str">
        <f ca="1">IFERROR(__xludf.dummyfunction("IF(A204="""", """", GOOGLETRANSLATE(A204, ""en"", ""hi""))"),"काले चने की कढ़ी रेसिपी - काले चने की कढ़ी")</f>
        <v>काले चने की कढ़ी रेसिपी - काले चने की कढ़ी</v>
      </c>
      <c r="C204" s="1" t="s">
        <v>429</v>
      </c>
      <c r="D204" s="1" t="s">
        <v>14198</v>
      </c>
      <c r="E204" s="1">
        <v>55</v>
      </c>
      <c r="F204" s="1" t="s">
        <v>31818</v>
      </c>
      <c r="G204" s="1" t="str">
        <f ca="1">IFERROR(__xludf.dummyfunction("IF(F204="""", """", GOOGLETRANSLATE(F204, ""en"", ""hi""))"),"1/2 कप काला चना - रातभर भिगोया हुआ, 1 कप दही, 4 बड़े चम्मच बेसन, 1/2 छोटा चम्मच हल्दी, 2 हरी मिर्च - कटी हुई, 1 टहनी करी पत्ता, 1 कप पानी, नमक - स्वादानुसार, 1 प्याज - कटा हुआ, 1 बड़ा चम्मच सूरजमुखी तेल, 3 सूखी लाल मिर्च, 1 छोटा चम्मच जीरा, 1/2 छोटा चम्मच"&amp;" सरसों के बीज, हींग - चुटकी भर, नमक - स्वादानुसार")</f>
        <v>1/2 कप काला चना - रातभर भिगोया हुआ, 1 कप दही, 4 बड़े चम्मच बेसन, 1/2 छोटा चम्मच हल्दी, 2 हरी मिर्च - कटी हुई, 1 टहनी करी पत्ता, 1 कप पानी, नमक - स्वादानुसार, 1 प्याज - कटा हुआ, 1 बड़ा चम्मच सूरजमुखी तेल, 3 सूखी लाल मिर्च, 1 छोटा चम्मच जीरा, 1/2 छोटा चम्मच सरसों के बीज, हींग - चुटकी भर, नमक - स्वादानुसार</v>
      </c>
      <c r="H204" s="1" t="s">
        <v>31819</v>
      </c>
      <c r="I204" s="4" t="str">
        <f ca="1">IFERROR(__xludf.dummyfunction("IF(H204="""", """", GOOGLETRANSLATE(H204, ""en"", ""hi""))"),"काले चने की कढ़ी रेसिपी बनाने के लिए सबसे पहले भीगे हुए चने को बहते पानी में धोकर प्रेशर कुकर में डालें और 1-1/2 कप पानी डालें।ढक्कन लगाकर 4 से 5 सीटी आने तक पकाएं। आंच से उतार लें और प्रेशर ठंडा होने तक अलग रख दें।एक बड़े मिक्सिंग बाउल में दही, बेसन, हल्"&amp;"दी पाउडर, पानी, नमक डालें और अच्छी तरह फेंटकर गांठ रहित घोल बना लें।दही के मिश्रण को सॉस पैन में डालें और उबाल आने तक पकाएं।एक बार जब यह उबलने लगे तो इसमें उबला हुआ चना डालें और अच्छी तरह मिला लें। इसे धीमी आंच पर लगभग 30 मिनट तक पकने दें जब तक कि दही क्र"&amp;"ीमी न हो जाए। आंच से उतार लें।तड़के के लिए एक तड़के वाले पैन में तेल गर्म करें। उसमें हींग, सूखी लाल मिर्च, जीरा, राई और करी पत्ता डालें और उनके चटकने का इंतजार करें काले चने की कढ़ी को उबले हुए चावल, आलू भिंडी की सब्जी, फुल्का और कचूम्बर सलाद के साथ दिन "&amp;"के खाने के लिए परोसें।
")</f>
        <v xml:space="preserve">काले चने की कढ़ी रेसिपी बनाने के लिए सबसे पहले भीगे हुए चने को बहते पानी में धोकर प्रेशर कुकर में डालें और 1-1/2 कप पानी डालें।ढक्कन लगाकर 4 से 5 सीटी आने तक पकाएं। आंच से उतार लें और प्रेशर ठंडा होने तक अलग रख दें।एक बड़े मिक्सिंग बाउल में दही, बेसन, हल्दी पाउडर, पानी, नमक डालें और अच्छी तरह फेंटकर गांठ रहित घोल बना लें।दही के मिश्रण को सॉस पैन में डालें और उबाल आने तक पकाएं।एक बार जब यह उबलने लगे तो इसमें उबला हुआ चना डालें और अच्छी तरह मिला लें। इसे धीमी आंच पर लगभग 30 मिनट तक पकने दें जब तक कि दही क्रीमी न हो जाए। आंच से उतार लें।तड़के के लिए एक तड़के वाले पैन में तेल गर्म करें। उसमें हींग, सूखी लाल मिर्च, जीरा, राई और करी पत्ता डालें और उनके चटकने का इंतजार करें काले चने की कढ़ी को उबले हुए चावल, आलू भिंडी की सब्जी, फुल्का और कचूम्बर सलाद के साथ दिन के खाने के लिए परोसें।
</v>
      </c>
      <c r="J204" s="3" t="s">
        <v>31820</v>
      </c>
      <c r="L204" s="1" t="s">
        <v>31003</v>
      </c>
    </row>
    <row r="205" spans="1:12" ht="13.8">
      <c r="A205" s="1" t="s">
        <v>31821</v>
      </c>
      <c r="B205" s="1" t="str">
        <f ca="1">IFERROR(__xludf.dummyfunction("IF(A205="""", """", GOOGLETRANSLATE(A205, ""en"", ""hi""))"),"अनार और आलू पकौड़ा रेसिपी")</f>
        <v>अनार और आलू पकौड़ा रेसिपी</v>
      </c>
      <c r="C205" s="1" t="s">
        <v>14281</v>
      </c>
      <c r="D205" s="1" t="s">
        <v>14198</v>
      </c>
      <c r="E205" s="1">
        <v>45</v>
      </c>
      <c r="F205" s="1" t="s">
        <v>31822</v>
      </c>
      <c r="G205" s="1" t="str">
        <f ca="1">IFERROR(__xludf.dummyfunction("IF(F205="""", """", GOOGLETRANSLATE(F205, ""en"", ""hi""))"),"5 आलू - उबालकर मैश करें, हरी मिर्च - बारीक कटी हुई, 1 कप हरा धनिया, 1/2 कप अनार के दाने, 1 छोटा चम्मच लाल मिर्च पाउडर, 1 छोटा चम्मच जीरा, नमक - स्वादानुसार, 1 छोटा चम्मच चाट मसाला पाउडर, 1-1/2 कप बेसन, 2 छोटे चम्मच तेल")</f>
        <v>5 आलू - उबालकर मैश करें, हरी मिर्च - बारीक कटी हुई, 1 कप हरा धनिया, 1/2 कप अनार के दाने, 1 छोटा चम्मच लाल मिर्च पाउडर, 1 छोटा चम्मच जीरा, नमक - स्वादानुसार, 1 छोटा चम्मच चाट मसाला पाउडर, 1-1/2 कप बेसन, 2 छोटे चम्मच तेल</v>
      </c>
      <c r="H205" s="1" t="s">
        <v>31823</v>
      </c>
      <c r="I205" s="1" t="str">
        <f ca="1">IFERROR(__xludf.dummyfunction("IF(H205="""", """", GOOGLETRANSLATE(H205, ""en"", ""hi""))"),"अनार आलू पकौड़ा रेसिपी बनाने के लिए सबसे पहले आलू को मैश कर लें। इसमें अनार के दाने, जीरा, हरी मिर्च, नमक, लाल मिर्च पाउडर, चाट मसाला पाउडर डालकर सभी चीजों को अच्छे से मिला लें। इस मिश्रण की छोटी-छोटी बॉल्स बना लें। अब एक अलग बाउल में बेसन, नमक, 2 चम्मच त"&amp;"ेल, थोड़ा पानी डालकर गाढ़ा घोल बना लें। अब इस घोल में आलू अनार बॉल्स डाल दें। अब एक पैन में तेल गर्म करें। इसमें ये बॉल्स डालकर सुनहरा और कुरकुरा होने तक पकाएं। आप इसे पनियारम पैन में भी बना सकते हैं। हर एक कैविटी में एक बॉल डालें। सुनहरा और कुरकुरा होने "&amp;"तक पकाएं। अनार आलू पकौड़ा रेसिपी को बरसात के दिनों में धनिया पुदीने की चटनी और मसाला चाय के साथ सर्व करें।")</f>
        <v>अनार आलू पकौड़ा रेसिपी बनाने के लिए सबसे पहले आलू को मैश कर लें। इसमें अनार के दाने, जीरा, हरी मिर्च, नमक, लाल मिर्च पाउडर, चाट मसाला पाउडर डालकर सभी चीजों को अच्छे से मिला लें। इस मिश्रण की छोटी-छोटी बॉल्स बना लें। अब एक अलग बाउल में बेसन, नमक, 2 चम्मच तेल, थोड़ा पानी डालकर गाढ़ा घोल बना लें। अब इस घोल में आलू अनार बॉल्स डाल दें। अब एक पैन में तेल गर्म करें। इसमें ये बॉल्स डालकर सुनहरा और कुरकुरा होने तक पकाएं। आप इसे पनियारम पैन में भी बना सकते हैं। हर एक कैविटी में एक बॉल डालें। सुनहरा और कुरकुरा होने तक पकाएं। अनार आलू पकौड़ा रेसिपी को बरसात के दिनों में धनिया पुदीने की चटनी और मसाला चाय के साथ सर्व करें।</v>
      </c>
      <c r="J205" s="3" t="s">
        <v>31824</v>
      </c>
      <c r="L205" s="1" t="s">
        <v>31003</v>
      </c>
    </row>
    <row r="206" spans="1:12" ht="13.8">
      <c r="A206" s="1" t="s">
        <v>31825</v>
      </c>
      <c r="B206" s="1" t="str">
        <f ca="1">IFERROR(__xludf.dummyfunction("IF(A206="""", """", GOOGLETRANSLATE(A206, ""en"", ""hi""))"),"आलू गाजर मटर सब्जी रेसिपी")</f>
        <v>आलू गाजर मटर सब्जी रेसिपी</v>
      </c>
      <c r="C206" s="1" t="s">
        <v>145</v>
      </c>
      <c r="D206" s="1" t="s">
        <v>14237</v>
      </c>
      <c r="E206" s="1">
        <v>60</v>
      </c>
      <c r="F206" s="1" t="s">
        <v>31826</v>
      </c>
      <c r="G206" s="1" t="str">
        <f ca="1">IFERROR(__xludf.dummyfunction("IF(F206="""", """", GOOGLETRANSLATE(F206, ""en"", ""hi""))"),"3 आलू - छीलकर काट लें, 2 गाजर - छीलकर काट लें, 1/2 कप हरी मटर - भाप से पके, 5 टमाटर - काट लें, 1 प्याज - बारीक काट लें, 1 इंच अदरक - काट लें, 4 लंबे लहसुन - काट लें, 1/2 चम्मच अजवाइन, 1/4 चम्मच हल्दी पाउडर, 1/2 चम्मच लाल मिर्च पाउडर, 1/2 बड़ा चम्मच धनिया "&amp;"पाउडर, 1/2 चम्मच गरम मसाला पाउडर, नमक - स्वादानुसार, 1 बड़ा चम्मच सरसों का तेल, हरा धनिया - गार्निश के लिए")</f>
        <v>3 आलू - छीलकर काट लें, 2 गाजर - छीलकर काट लें, 1/2 कप हरी मटर - भाप से पके, 5 टमाटर - काट लें, 1 प्याज - बारीक काट लें, 1 इंच अदरक - काट लें, 4 लंबे लहसुन - काट लें, 1/2 चम्मच अजवाइन, 1/4 चम्मच हल्दी पाउडर, 1/2 चम्मच लाल मिर्च पाउडर, 1/2 बड़ा चम्मच धनिया पाउडर, 1/2 चम्मच गरम मसाला पाउडर, नमक - स्वादानुसार, 1 बड़ा चम्मच सरसों का तेल, हरा धनिया - गार्निश के लिए</v>
      </c>
      <c r="H206" s="1" t="s">
        <v>31827</v>
      </c>
      <c r="I206" s="1" t="str">
        <f ca="1">IFERROR(__xludf.dummyfunction("IF(H206="""", """", GOOGLETRANSLATE(H206, ""en"", ""hi""))"),"""आलू गाजर मटर सब्ज़ी रेसिपी बनाने के लिए सबसे पहले टमाटर को मिक्सर ग्राइंडर में डालकर अच्छे से पीस लें। एक तरफ रख दें। प्रेशर कुकर में सरसों का तेल गर्म करें। उसमें अजवाइन डालें और उसे चटकने दें। अब प्याज़, अदरक, हरी मिर्च डालें और प्याज़ के नरम होने तक "&amp;"पकाएँ। प्याज़ के नरम होने के बाद, टमाटर प्यूरी, हल्दी पाउडर, लाल मिर्च पाउडर, धनिया पाउडर, गरम मसाला पाउडर डालें और अच्छी तरह मिलाएँ। 2 से 3 मिनट बाद, गाजर, सब्ज़ियाँ, नमक डालें और फिर से मिलाएँ। 1 कप पानी डालें और 3 से 4 सीटी आने तक पकाएँ। प्रेशर अपने आप"&amp;" निकलने दें। प्रेशर निकलने के बाद, कुकर खोलें और मटर डालें। इसे 2 से 3 मिनट तक पकने दें। गैस बंद कर दें और एक प्याले में निकाल लें। धनिया पत्ती से गार्निश करें और परोसें। आलू गाजर मटर सब्ज़ी रेसिपी को बूंदी रायता और फुल्के के साथ लंच में परोसें।""")</f>
        <v>"आलू गाजर मटर सब्ज़ी रेसिपी बनाने के लिए सबसे पहले टमाटर को मिक्सर ग्राइंडर में डालकर अच्छे से पीस लें। एक तरफ रख दें। प्रेशर कुकर में सरसों का तेल गर्म करें। उसमें अजवाइन डालें और उसे चटकने दें। अब प्याज़, अदरक, हरी मिर्च डालें और प्याज़ के नरम होने तक पकाएँ। प्याज़ के नरम होने के बाद, टमाटर प्यूरी, हल्दी पाउडर, लाल मिर्च पाउडर, धनिया पाउडर, गरम मसाला पाउडर डालें और अच्छी तरह मिलाएँ। 2 से 3 मिनट बाद, गाजर, सब्ज़ियाँ, नमक डालें और फिर से मिलाएँ। 1 कप पानी डालें और 3 से 4 सीटी आने तक पकाएँ। प्रेशर अपने आप निकलने दें। प्रेशर निकलने के बाद, कुकर खोलें और मटर डालें। इसे 2 से 3 मिनट तक पकने दें। गैस बंद कर दें और एक प्याले में निकाल लें। धनिया पत्ती से गार्निश करें और परोसें। आलू गाजर मटर सब्ज़ी रेसिपी को बूंदी रायता और फुल्के के साथ लंच में परोसें।"</v>
      </c>
      <c r="J206" s="3" t="s">
        <v>31828</v>
      </c>
      <c r="L206" s="1" t="s">
        <v>31003</v>
      </c>
    </row>
    <row r="207" spans="1:12" ht="13.8">
      <c r="A207" s="1" t="s">
        <v>31829</v>
      </c>
      <c r="B207" s="1" t="str">
        <f ca="1">IFERROR(__xludf.dummyfunction("IF(A207="""", """", GOOGLETRANSLATE(A207, ""en"", ""hi""))"),"दही अचारी भिंडी रेसिपी")</f>
        <v>दही अचारी भिंडी रेसिपी</v>
      </c>
      <c r="C207" s="1" t="s">
        <v>14207</v>
      </c>
      <c r="D207" s="1" t="s">
        <v>14198</v>
      </c>
      <c r="E207" s="1">
        <v>55</v>
      </c>
      <c r="F207" s="1" t="s">
        <v>31830</v>
      </c>
      <c r="G207" s="1" t="str">
        <f ca="1">IFERROR(__xludf.dummyfunction("IF(F207="""", """", GOOGLETRANSLATE(F207, ""en"", ""hi""))"),"500 ग्राम भिंडी - छोटे टुकड़ों में कटी हुई, 1 प्याज - कटा हुआ, 1 टमाटर - कटा हुआ, 1 इंच अदरक - कटा हुआ, 1 चम्मच लाल मिर्च पाउडर, 1/2 चम्मच हल्दी पाउडर, 1 चम्मच धनिया पाउडर, 1 कप दही, 1 बड़ा चम्मच बेसन, 1 चम्मच सौंफ, 1 चम्मच जीरा, 1 चम्मच कलौंजी, 1 चम्मच स"&amp;"रसों, 1 चम्मच अजवाइन, मेथी दाना, 3 सूखी लाल मिर्च")</f>
        <v>500 ग्राम भिंडी - छोटे टुकड़ों में कटी हुई, 1 प्याज - कटा हुआ, 1 टमाटर - कटा हुआ, 1 इंच अदरक - कटा हुआ, 1 चम्मच लाल मिर्च पाउडर, 1/2 चम्मच हल्दी पाउडर, 1 चम्मच धनिया पाउडर, 1 कप दही, 1 बड़ा चम्मच बेसन, 1 चम्मच सौंफ, 1 चम्मच जीरा, 1 चम्मच कलौंजी, 1 चम्मच सरसों, 1 चम्मच अजवाइन, मेथी दाना, 3 सूखी लाल मिर्च</v>
      </c>
      <c r="H207" s="1" t="s">
        <v>31831</v>
      </c>
      <c r="I207" s="1" t="str">
        <f ca="1">IFERROR(__xludf.dummyfunction("IF(H207="""", """", GOOGLETRANSLATE(H207, ""en"", ""hi""))"),"दही अचारी भिंडी रेसिपी बनाने के लिए सबसे पहले हम अचारी मसाला बनाएंगे। एक पैन गरम करें। इसमें राई, जीरा, सौंफ, कलौंजी, अजवाइन, मेथी दाना, सूखी लाल मिर्च डालकर 2 से 3 मिनट तक भूनें। ठंडा होने दें। ठंडा होने के बाद इसे मिक्सर ग्राइंडर में डालकर पाउडर बना लें"&amp;"। इसे एक बाउल में निकाल कर रख लें। अब भिंडी को अच्छे से धोकर साफ कर लें। किचन टॉवल लें और भिंडी को सुखा लें। इसे छोटे-छोटे टुकड़ों में काट कर अलग रख लें। अब एक पैन में तेल गरम करें। इसमें भिंडी, थोड़ा नमक डालें और नरम होने तक पकाएं। भिंडी को निकाल कर अलग "&amp;"रख लें। उसी पैन में थोड़ा तेल गरम करें। इसमें प्याज डालें और नरम होने तक पकाएं। अब इसमें अदरक डालें और सुनहरा होने तक पकाएं। अदरक के सुनहरा होने के बाद इसमें टमाटर डालें और नरम होने तक पकाएं। टमाटर के नरम होने के बाद इसमें हल्दी पाउडर, धनिया पाउडर, लाल मि"&amp;"र्च पाउडर, अचारी मसाला पाउडर, नमक डालें और 3 मिनट तक भूनें। इसे एक मिनट तक पकने दें। इस बीच, दही, बेसन को एक कटोरे में डालकर अच्छी तरह मिला लें। ध्यान रखें कि कोई गांठ न रहे। अब इस मिश्रण को एक पैन में डालें और मिलाते रहें। अब इसमें भिंडी डालें, मिलाएँ, प"&amp;"ैन को ढक दें और 2 से 3 मिनट तक पकने दें। अब गैस बंद कर दें और हरे धनिये से गार्निश करें। दही अचारी भिंडी रेसिपी को पालक दाल, फुल्का और खमंग खीरे के साथ लंच में सर्व करें।")</f>
        <v>दही अचारी भिंडी रेसिपी बनाने के लिए सबसे पहले हम अचारी मसाला बनाएंगे। एक पैन गरम करें। इसमें राई, जीरा, सौंफ, कलौंजी, अजवाइन, मेथी दाना, सूखी लाल मिर्च डालकर 2 से 3 मिनट तक भूनें। ठंडा होने दें। ठंडा होने के बाद इसे मिक्सर ग्राइंडर में डालकर पाउडर बना लें। इसे एक बाउल में निकाल कर रख लें। अब भिंडी को अच्छे से धोकर साफ कर लें। किचन टॉवल लें और भिंडी को सुखा लें। इसे छोटे-छोटे टुकड़ों में काट कर अलग रख लें। अब एक पैन में तेल गरम करें। इसमें भिंडी, थोड़ा नमक डालें और नरम होने तक पकाएं। भिंडी को निकाल कर अलग रख लें। उसी पैन में थोड़ा तेल गरम करें। इसमें प्याज डालें और नरम होने तक पकाएं। अब इसमें अदरक डालें और सुनहरा होने तक पकाएं। अदरक के सुनहरा होने के बाद इसमें टमाटर डालें और नरम होने तक पकाएं। टमाटर के नरम होने के बाद इसमें हल्दी पाउडर, धनिया पाउडर, लाल मिर्च पाउडर, अचारी मसाला पाउडर, नमक डालें और 3 मिनट तक भूनें। इसे एक मिनट तक पकने दें। इस बीच, दही, बेसन को एक कटोरे में डालकर अच्छी तरह मिला लें। ध्यान रखें कि कोई गांठ न रहे। अब इस मिश्रण को एक पैन में डालें और मिलाते रहें। अब इसमें भिंडी डालें, मिलाएँ, पैन को ढक दें और 2 से 3 मिनट तक पकने दें। अब गैस बंद कर दें और हरे धनिये से गार्निश करें। दही अचारी भिंडी रेसिपी को पालक दाल, फुल्का और खमंग खीरे के साथ लंच में सर्व करें।</v>
      </c>
      <c r="J207" s="3" t="s">
        <v>31832</v>
      </c>
      <c r="L207" s="1" t="s">
        <v>31003</v>
      </c>
    </row>
    <row r="208" spans="1:12" ht="13.8">
      <c r="A208" s="1" t="s">
        <v>31833</v>
      </c>
      <c r="B208" s="1" t="str">
        <f ca="1">IFERROR(__xludf.dummyfunction("IF(A208="""", """", GOOGLETRANSLATE(A208, ""en"", ""hi""))"),"फराली आलू पेटिस रेसिपी")</f>
        <v>फराली आलू पेटिस रेसिपी</v>
      </c>
      <c r="C208" s="1" t="s">
        <v>14572</v>
      </c>
      <c r="D208" s="1" t="s">
        <v>14198</v>
      </c>
      <c r="E208" s="1">
        <v>40</v>
      </c>
      <c r="F208" s="1" t="s">
        <v>31834</v>
      </c>
      <c r="G208" s="1" t="str">
        <f ca="1">IFERROR(__xludf.dummyfunction("IF(F208="""", """", GOOGLETRANSLATE(F208, ""en"", ""hi""))"),"सूरजमुखी तेल - तलने के लिए, 5 आलू - उबले हुए, 5 बड़े चम्मच अरारोट का आटा, 1 कप ताजा नारियल - कसा हुआ, 1 कप भुनी हुई मूंगफली - पिसी हुई, 1 नींबू, 2 हरी मिर्च, 1 इंच अदरक, 1 बड़ा चम्मच चीनी, 1 छोटा चम्मच लाल मिर्च पाउडर, नमक - स्वादानुसार")</f>
        <v>सूरजमुखी तेल - तलने के लिए, 5 आलू - उबले हुए, 5 बड़े चम्मच अरारोट का आटा, 1 कप ताजा नारियल - कसा हुआ, 1 कप भुनी हुई मूंगफली - पिसी हुई, 1 नींबू, 2 हरी मिर्च, 1 इंच अदरक, 1 बड़ा चम्मच चीनी, 1 छोटा चम्मच लाल मिर्च पाउडर, नमक - स्वादानुसार</v>
      </c>
      <c r="H208" s="1" t="s">
        <v>31835</v>
      </c>
      <c r="I208" s="1" t="str">
        <f ca="1">IFERROR(__xludf.dummyfunction("IF(H208="""", """", GOOGLETRANSLATE(H208, ""en"", ""hi""))"),"फराली आलू की टिकिया बनाने के लिए, आलू को 4 सीटी आने तक पकाएँ। आलू के ठंडा होने के बाद, उन्हें छीलकर अच्छी तरह से मसल लें। मसले हुए आलू में 2 बड़े चम्मच अरारोट का आटा और स्वादानुसार नमक मिलाएँ। 15 मध्यम आकार के गोले बनाएँ और एक तरफ रख दें। एक मिक्सिंग बाउल"&amp;" में कद्दूकस किया हुआ नारियल, पिसी हुई मूंगफली का पाउडर डालें और अच्छी तरह मिलाएँ। एक मिक्सी में हरी मिर्च, अदरक और नींबू का रस पीसकर एक महीन पेस्ट बनाएँ और बाउल में डालें। चीनी, नमक और मिर्च पाउडर डालकर सभी सामग्री मिलाएँ। अपनी हथेली की मदद से गोले को धी"&amp;"रे से चपटा करें। इस पर एक चम्मच मिश्रण रखें। अब सभी तरफ से ढक दें, सुनिश्चित करें कि कोई दरार न हो और उन्हें एक पैटी के आकार या अंडाकार आकार में बनाएँ। अगर पैटी आपकी हथेली पर चिपक रही है, तो बस थोड़ा अरारोट का आटा रगड़ें। बस बाकी के गोले के साथ भी यही दोह"&amp;"राएँ। थोड़ा अरारोट का आटा फैलाएँ और पैटी को सभी तरफ से ढक दें। एक गहरे फ्राइंग पैन में तेल डालें। जब तेल गरम हो जाए, तो पैटी के गोले को सुनहरा भूरा होने तक तल लें। अतिरिक्त तेल को हटाने के लिए उन्हें शोषक नैपकिन पर रखें। फराली आलू पेटिस को धनिया पुदीना चट"&amp;"नी के साथ परोसा जा सकता है और साबूदाना खिचड़ी, दूधी हलवा और कुछ ठंडे खीरे के रायते के साथ सबसे अच्छा संयोजन होता है।")</f>
        <v>फराली आलू की टिकिया बनाने के लिए, आलू को 4 सीटी आने तक पकाएँ। आलू के ठंडा होने के बाद, उन्हें छीलकर अच्छी तरह से मसल लें। मसले हुए आलू में 2 बड़े चम्मच अरारोट का आटा और स्वादानुसार नमक मिलाएँ। 15 मध्यम आकार के गोले बनाएँ और एक तरफ रख दें। एक मिक्सिंग बाउल में कद्दूकस किया हुआ नारियल, पिसी हुई मूंगफली का पाउडर डालें और अच्छी तरह मिलाएँ। एक मिक्सी में हरी मिर्च, अदरक और नींबू का रस पीसकर एक महीन पेस्ट बनाएँ और बाउल में डालें। चीनी, नमक और मिर्च पाउडर डालकर सभी सामग्री मिलाएँ। अपनी हथेली की मदद से गोले को धीरे से चपटा करें। इस पर एक चम्मच मिश्रण रखें। अब सभी तरफ से ढक दें, सुनिश्चित करें कि कोई दरार न हो और उन्हें एक पैटी के आकार या अंडाकार आकार में बनाएँ। अगर पैटी आपकी हथेली पर चिपक रही है, तो बस थोड़ा अरारोट का आटा रगड़ें। बस बाकी के गोले के साथ भी यही दोहराएँ। थोड़ा अरारोट का आटा फैलाएँ और पैटी को सभी तरफ से ढक दें। एक गहरे फ्राइंग पैन में तेल डालें। जब तेल गरम हो जाए, तो पैटी के गोले को सुनहरा भूरा होने तक तल लें। अतिरिक्त तेल को हटाने के लिए उन्हें शोषक नैपकिन पर रखें। फराली आलू पेटिस को धनिया पुदीना चटनी के साथ परोसा जा सकता है और साबूदाना खिचड़ी, दूधी हलवा और कुछ ठंडे खीरे के रायते के साथ सबसे अच्छा संयोजन होता है।</v>
      </c>
      <c r="J208" s="3" t="s">
        <v>31836</v>
      </c>
      <c r="L208" s="1" t="s">
        <v>31003</v>
      </c>
    </row>
    <row r="209" spans="1:12" ht="13.8">
      <c r="A209" s="1" t="s">
        <v>31837</v>
      </c>
      <c r="B209" s="1" t="str">
        <f ca="1">IFERROR(__xludf.dummyfunction("IF(A209="""", """", GOOGLETRANSLATE(A209, ""en"", ""hi""))"),"दही बैंगन रेसिपी - दही आधारित ग्रेवी में बैंगन")</f>
        <v>दही बैंगन रेसिपी - दही आधारित ग्रेवी में बैंगन</v>
      </c>
      <c r="C209" s="1" t="s">
        <v>14207</v>
      </c>
      <c r="D209" s="1" t="s">
        <v>14198</v>
      </c>
      <c r="E209" s="1">
        <v>51</v>
      </c>
      <c r="F209" s="1" t="s">
        <v>31838</v>
      </c>
      <c r="G209" s="1" t="str">
        <f ca="1">IFERROR(__xludf.dummyfunction("IF(F209="""", """", GOOGLETRANSLATE(F209, ""en"", ""hi""))"),"5 बैंगन - छोटे टुकड़ों में कटा हुआ, 1 प्याज - बारीक कटा हुआ, 2 टमाटर - बारीक कटा हुआ, 1 कप दही, 2 बड़े चम्मच बेसन, 2 छोटे चम्मच धनिया पाउडर, 2 छोटे चम्मच लाल मिर्च पाउडर - (स्वादानुसार), 1-1/2 छोटे चम्मच गरम मसाला पाउडर, 1 छोटा चम्मच सौंफ पाउडर, 1 चुटकी ह"&amp;"ल्दी पाउडर, नमक - स्वादानुसार, 3 सूखी लाल मिर्च - (स्वादानुसार), 2 बड़े चम्मच तिल, धनिया के पत्ते - एक छोटा गुच्छा, सूरजमुखी का तेल - आवश्यकतानुसार, 1 छोटा चम्मच जीरा, 1 छोटा चम्मच सरसों के बीज, 1/2 छोटा चम्मच काली उड़द दाल, 2 लौंग, 2 इलायची, 1 तेज पत्ता,"&amp;" 1 इंच दालचीनी (दालचीनी),करी पत्ता - थोड़े से,1/2 बड़ा चम्मच अदरक लहसुन पेस्ट")</f>
        <v>5 बैंगन - छोटे टुकड़ों में कटा हुआ, 1 प्याज - बारीक कटा हुआ, 2 टमाटर - बारीक कटा हुआ, 1 कप दही, 2 बड़े चम्मच बेसन, 2 छोटे चम्मच धनिया पाउडर, 2 छोटे चम्मच लाल मिर्च पाउडर - (स्वादानुसार), 1-1/2 छोटे चम्मच गरम मसाला पाउडर, 1 छोटा चम्मच सौंफ पाउडर, 1 चुटकी हल्दी पाउडर, नमक - स्वादानुसार, 3 सूखी लाल मिर्च - (स्वादानुसार), 2 बड़े चम्मच तिल, धनिया के पत्ते - एक छोटा गुच्छा, सूरजमुखी का तेल - आवश्यकतानुसार, 1 छोटा चम्मच जीरा, 1 छोटा चम्मच सरसों के बीज, 1/2 छोटा चम्मच काली उड़द दाल, 2 लौंग, 2 इलायची, 1 तेज पत्ता, 1 इंच दालचीनी (दालचीनी),करी पत्ता - थोड़े से,1/2 बड़ा चम्मच अदरक लहसुन पेस्ट</v>
      </c>
      <c r="H209" s="1" t="s">
        <v>31839</v>
      </c>
      <c r="I209" s="1" t="str">
        <f ca="1">IFERROR(__xludf.dummyfunction("IF(H209="""", """", GOOGLETRANSLATE(H209, ""en"", ""hi""))"),"दही बैंगन रेसिपी (दही आधारित ग्रेवी में बैंगन) बनाना शुरू करने के लिए, सभी सामग्री तैयार करें, सब्जियों को काट लें और अन्य सभी सामग्री को संभाल कर रखें। एक उथले फ्राइंग पैन में, लगभग 2 चम्मच खाना पकाने का तेल गरम करें और सभी बैंगन के टुकड़ों को हल्का सा भ"&amp;"ूनें, बिना उन्हें गूदेदार बनाए, मध्यम आँच पर जब तक कि बैंगन भूरा न हो जाए। बंद करें और एक तरफ रख दें। एक मिक्सिंग बाउल में दही और बेसन को तब तक मिलाएँ जब तक कि गांठ न रह जाए। अब कटोरे में धनिया पाउडर, लाल मिर्च पाउडर, सौंफ पाउडर, गरम मसाला, हल्दी पाउडर डा"&amp;"लें और अच्छी तरह मिलाएँ। एक कड़ाही लें और तिल और सूखी लाल मिर्च को सूखा भून लें। एक बार जब वे कमरे के तापमान पर ठंडा हो जाएं, तो उन्हें मिक्सर में पीसकर बारीक पाउडर बना लें। अब उसी कड़ाही में थोड़ा जब रंग बदलने लगे तब करी पत्ता डालें, उन्हें फूटने दें और "&amp;"तुरंत अदरक लहसुन का पेस्ट डालें और कुछ सेकंड के लिए भूनें जब तक कि कच्ची गंध गायब न हो जाए। बारीक कटा हुआ प्याज डालें और मध्यम आँच पर प्याज भूरा होने तक भूनें। कटे हुए टमाटर डालें और उन्हें नरम और गूदेदार होने तक पकाएं। जब टमाटर पक जाए तो उसमें दही, बेसन "&amp;"और मसाला पाउडर का मिश्रण डालें और तब तक मिलाएँ जब तक कि सब कुछ अच्छी तरह से मिल न जाए। अब पहले से भूने हुए बैंगन के टुकड़े डालें और कुछ और समय तक पकाते रहें जब तक कि मसाला बैंगन में समा न जाए, ढककर पकाएँ और बीच-बीच में भूनते रहें। नमक डालें, मिलाएँ, स्वाद"&amp;" जाँचें और दही बैंगन को धनिया पत्ती से गार्निश करें और आँच बंद कर दें")</f>
        <v>दही बैंगन रेसिपी (दही आधारित ग्रेवी में बैंगन) बनाना शुरू करने के लिए, सभी सामग्री तैयार करें, सब्जियों को काट लें और अन्य सभी सामग्री को संभाल कर रखें। एक उथले फ्राइंग पैन में, लगभग 2 चम्मच खाना पकाने का तेल गरम करें और सभी बैंगन के टुकड़ों को हल्का सा भूनें, बिना उन्हें गूदेदार बनाए, मध्यम आँच पर जब तक कि बैंगन भूरा न हो जाए। बंद करें और एक तरफ रख दें। एक मिक्सिंग बाउल में दही और बेसन को तब तक मिलाएँ जब तक कि गांठ न रह जाए। अब कटोरे में धनिया पाउडर, लाल मिर्च पाउडर, सौंफ पाउडर, गरम मसाला, हल्दी पाउडर डालें और अच्छी तरह मिलाएँ। एक कड़ाही लें और तिल और सूखी लाल मिर्च को सूखा भून लें। एक बार जब वे कमरे के तापमान पर ठंडा हो जाएं, तो उन्हें मिक्सर में पीसकर बारीक पाउडर बना लें। अब उसी कड़ाही में थोड़ा जब रंग बदलने लगे तब करी पत्ता डालें, उन्हें फूटने दें और तुरंत अदरक लहसुन का पेस्ट डालें और कुछ सेकंड के लिए भूनें जब तक कि कच्ची गंध गायब न हो जाए। बारीक कटा हुआ प्याज डालें और मध्यम आँच पर प्याज भूरा होने तक भूनें। कटे हुए टमाटर डालें और उन्हें नरम और गूदेदार होने तक पकाएं। जब टमाटर पक जाए तो उसमें दही, बेसन और मसाला पाउडर का मिश्रण डालें और तब तक मिलाएँ जब तक कि सब कुछ अच्छी तरह से मिल न जाए। अब पहले से भूने हुए बैंगन के टुकड़े डालें और कुछ और समय तक पकाते रहें जब तक कि मसाला बैंगन में समा न जाए, ढककर पकाएँ और बीच-बीच में भूनते रहें। नमक डालें, मिलाएँ, स्वाद जाँचें और दही बैंगन को धनिया पत्ती से गार्निश करें और आँच बंद कर दें</v>
      </c>
      <c r="J209" s="3" t="s">
        <v>31840</v>
      </c>
      <c r="L209" s="1" t="s">
        <v>31003</v>
      </c>
    </row>
    <row r="210" spans="1:12" ht="13.8">
      <c r="A210" s="1" t="s">
        <v>31841</v>
      </c>
      <c r="B210" s="1" t="str">
        <f ca="1">IFERROR(__xludf.dummyfunction("IF(A210="""", """", GOOGLETRANSLATE(A210, ""en"", ""hi""))"),"बिना बेक किए चावल मावा केक बनाने की विधि")</f>
        <v>बिना बेक किए चावल मावा केक बनाने की विधि</v>
      </c>
      <c r="C210" s="1" t="s">
        <v>8417</v>
      </c>
      <c r="D210" s="1" t="s">
        <v>14198</v>
      </c>
      <c r="E210" s="1">
        <v>70</v>
      </c>
      <c r="F210" s="1" t="s">
        <v>31842</v>
      </c>
      <c r="G210" s="1" t="str">
        <f ca="1">IFERROR(__xludf.dummyfunction("IF(F210="""", """", GOOGLETRANSLATE(F210, ""en"", ""hi""))"),"1 कप पोहा, 1 कप चीनी, 1 कप मावा, 1 छोटा चम्मच इलायची, 1 केसर - थोड़े से, 1/4 कप दूध - गर्म, 1/4 कप घी, 1/4 कप पिस्ता - मोटे तौर पर कटा हुआ")</f>
        <v>1 कप पोहा, 1 कप चीनी, 1 कप मावा, 1 छोटा चम्मच इलायची, 1 केसर - थोड़े से, 1/4 कप दूध - गर्म, 1/4 कप घी, 1/4 कप पिस्ता - मोटे तौर पर कटा हुआ</v>
      </c>
      <c r="H210" s="1" t="s">
        <v>31843</v>
      </c>
      <c r="I210" s="1" t="str">
        <f ca="1">IFERROR(__xludf.dummyfunction("IF(H210="""", """", GOOGLETRANSLATE(H210, ""en"", ""hi""))"),"नो बेक राइस मावा केक रेसिपी (बर्फी रेसिपी) बनाने के लिए सबसे पहले सभी सामग्री को तैयार कर लें। चपटे चावल को 5 मिनट के लिए पानी में भिगोएँ, अतिरिक्त पानी निकाल दें और मिक्सर ग्राइंडर का उपयोग करके इसे दरदरा पीस लें। इसे एक तरफ रख दें। इस बीच, केसर को 1/4 क"&amp;"प गर्म दूध में घोलें और एक तरफ रख दें। एक भारी तले वाले पैन में 2 बड़े चम्मच घी गर्म करें, उसमें मावा डालें और मध्यम आँच पर घी में मिलाएँ। अच्छी खुशबू आने तक हिलाते रहें। जब आपको अच्छी खुशबू आने लगे, तो चीनी डालें और अच्छी तरह मिलाएँ। पिसा हुआ पोहा, इलायच"&amp;"ी पाउडर और दूध डालें और मिलाएँ। तब तक मिलाते रहें जब तक कि पूरा मिश्रण एक साथ न आ जाए और आपको बर्फी के बैटर पर चमक न दिखाई दे। ऐसा लगेगा कि घी बैटर से अलग हो गया है और पूरा केक का आटा पैन के किनारों से अलग हो गया है। इस स्तर पर, घी के साथ एक चौकोर केक ट्र"&amp;"े को चिकना करें। मावा बैटर को ट्रे में डालें और इसे समान रूप से नीचे फैलाएँ। इसे कटे हुए पिस्ते से गार्निश करें और एक घंटे के लिए फ्रिज में रख दें। जब राइस मावा केक जम जाए तो मनचाहे आकार में काट लें और सर्व करें। नो बेक राइस मावा केक रेसिपी को अपने रोज़ान"&amp;"ा के खाने दाल मखनी, आलू शिमला मिर्च की सब्जी और तवा पराठा के बाद सर्व करें।")</f>
        <v>नो बेक राइस मावा केक रेसिपी (बर्फी रेसिपी) बनाने के लिए सबसे पहले सभी सामग्री को तैयार कर लें। चपटे चावल को 5 मिनट के लिए पानी में भिगोएँ, अतिरिक्त पानी निकाल दें और मिक्सर ग्राइंडर का उपयोग करके इसे दरदरा पीस लें। इसे एक तरफ रख दें। इस बीच, केसर को 1/4 कप गर्म दूध में घोलें और एक तरफ रख दें। एक भारी तले वाले पैन में 2 बड़े चम्मच घी गर्म करें, उसमें मावा डालें और मध्यम आँच पर घी में मिलाएँ। अच्छी खुशबू आने तक हिलाते रहें। जब आपको अच्छी खुशबू आने लगे, तो चीनी डालें और अच्छी तरह मिलाएँ। पिसा हुआ पोहा, इलायची पाउडर और दूध डालें और मिलाएँ। तब तक मिलाते रहें जब तक कि पूरा मिश्रण एक साथ न आ जाए और आपको बर्फी के बैटर पर चमक न दिखाई दे। ऐसा लगेगा कि घी बैटर से अलग हो गया है और पूरा केक का आटा पैन के किनारों से अलग हो गया है। इस स्तर पर, घी के साथ एक चौकोर केक ट्रे को चिकना करें। मावा बैटर को ट्रे में डालें और इसे समान रूप से नीचे फैलाएँ। इसे कटे हुए पिस्ते से गार्निश करें और एक घंटे के लिए फ्रिज में रख दें। जब राइस मावा केक जम जाए तो मनचाहे आकार में काट लें और सर्व करें। नो बेक राइस मावा केक रेसिपी को अपने रोज़ाना के खाने दाल मखनी, आलू शिमला मिर्च की सब्जी और तवा पराठा के बाद सर्व करें।</v>
      </c>
      <c r="J210" s="3" t="s">
        <v>31844</v>
      </c>
      <c r="L210" s="1" t="s">
        <v>31003</v>
      </c>
    </row>
    <row r="211" spans="1:12" ht="13.8">
      <c r="A211" s="1" t="s">
        <v>31845</v>
      </c>
      <c r="B211" s="1" t="str">
        <f ca="1">IFERROR(__xludf.dummyfunction("IF(A211="""", """", GOOGLETRANSLATE(A211, ""en"", ""hi""))"),"तीखी और मीठी लौकी की सब्जी")</f>
        <v>तीखी और मीठी लौकी की सब्जी</v>
      </c>
      <c r="C211" s="1" t="s">
        <v>429</v>
      </c>
      <c r="D211" s="1" t="s">
        <v>14198</v>
      </c>
      <c r="E211" s="1">
        <v>50</v>
      </c>
      <c r="F211" s="1" t="s">
        <v>31846</v>
      </c>
      <c r="G211" s="1" t="str">
        <f ca="1">IFERROR(__xludf.dummyfunction("IF(F211="""", """", GOOGLETRANSLATE(F211, ""en"", ""hi""))"),"1 लौकी - छीलकर छोटे टुकड़ों में कटी हुई, 1 छोटा चम्मच हल्दी पाउडर, नमक - स्वादानुसार, 1 छोटा चम्मच सरसों का तेल, 1/2 छोटा चम्मच राई, 1/4 छोटा चम्मच हींग, 1/2 छोटा चम्मच मेथी दाना, 1 टहनी करी पत्ता, 1 सूखी लाल मिर्च, 1 प्याज - बारीक कटा हुआ, 1 टमाटर - बारी"&amp;"क कटा हुआ, 1 छोटा चम्मच लाल मिर्च पाउडर, 1 छोटा चम्मच हल्दी पाउडर, 1 छोटा चम्मच अमचूर, 1 छोटा चम्मच गुड़ - पिसा हुआ, नींबू का रस - आधे नींबू का, धनिया पत्ता - बारीक कटा हुआ, तेल - पकाने के लिए, सूरजमुखी तेल - पकाने के लिए")</f>
        <v>1 लौकी - छीलकर छोटे टुकड़ों में कटी हुई, 1 छोटा चम्मच हल्दी पाउडर, नमक - स्वादानुसार, 1 छोटा चम्मच सरसों का तेल, 1/2 छोटा चम्मच राई, 1/4 छोटा चम्मच हींग, 1/2 छोटा चम्मच मेथी दाना, 1 टहनी करी पत्ता, 1 सूखी लाल मिर्च, 1 प्याज - बारीक कटा हुआ, 1 टमाटर - बारीक कटा हुआ, 1 छोटा चम्मच लाल मिर्च पाउडर, 1 छोटा चम्मच हल्दी पाउडर, 1 छोटा चम्मच अमचूर, 1 छोटा चम्मच गुड़ - पिसा हुआ, नींबू का रस - आधे नींबू का, धनिया पत्ता - बारीक कटा हुआ, तेल - पकाने के लिए, सूरजमुखी तेल - पकाने के लिए</v>
      </c>
      <c r="H211" s="1" t="s">
        <v>31847</v>
      </c>
      <c r="I211" s="1" t="str">
        <f ca="1">IFERROR(__xludf.dummyfunction("IF(H211="""", """", GOOGLETRANSLATE(H211, ""en"", ""hi""))"),"""मीठा खट्टा लौकी करी बनाने के लिए सबसे पहले प्रेशर कुकर में तेल गर्म करें, उसमें राई, करी पत्ता और हींग डालें। अब इसमें मेथी दाना और सूखी लाल मिर्च डालकर भूनें। इसमें कटा हुआ प्याज डालें और हल्का भूरा होने तक पकाएं। जब प्याज पक जाए तो इसमें टमाटर और नमक "&amp;"डालें और कच्ची महक जाने तक पकाएं। अब इसमें कुल्थी मसाला के साथ सभी मसाले डालें। आखिर में इसमें लौकी डालें और सभी मसालों के साथ अच्छी तरह से मिला लें। इसमें एक कप पानी डालें और 3 सीटी आने तक पकाएं। अब आंच धीमी कर दें और कुकर को आग से उतार लें। कुकर खोलें औ"&amp;"र करी को धनिया पत्ती से सजाएं। मीठे खट्टे लौकी करी को दोपहर के खाने में गरमागरम चावल के साथ परोसें।""")</f>
        <v>"मीठा खट्टा लौकी करी बनाने के लिए सबसे पहले प्रेशर कुकर में तेल गर्म करें, उसमें राई, करी पत्ता और हींग डालें। अब इसमें मेथी दाना और सूखी लाल मिर्च डालकर भूनें। इसमें कटा हुआ प्याज डालें और हल्का भूरा होने तक पकाएं। जब प्याज पक जाए तो इसमें टमाटर और नमक डालें और कच्ची महक जाने तक पकाएं। अब इसमें कुल्थी मसाला के साथ सभी मसाले डालें। आखिर में इसमें लौकी डालें और सभी मसालों के साथ अच्छी तरह से मिला लें। इसमें एक कप पानी डालें और 3 सीटी आने तक पकाएं। अब आंच धीमी कर दें और कुकर को आग से उतार लें। कुकर खोलें और करी को धनिया पत्ती से सजाएं। मीठे खट्टे लौकी करी को दोपहर के खाने में गरमागरम चावल के साथ परोसें।"</v>
      </c>
      <c r="J211" s="3" t="s">
        <v>31848</v>
      </c>
      <c r="L211" s="1" t="s">
        <v>31003</v>
      </c>
    </row>
    <row r="212" spans="1:12" ht="13.8">
      <c r="A212" s="1" t="s">
        <v>31849</v>
      </c>
      <c r="B212" s="1" t="str">
        <f ca="1">IFERROR(__xludf.dummyfunction("IF(A212="""", """", GOOGLETRANSLATE(A212, ""en"", ""hi""))"),"कच्चे केले की कटलेट रेसिपी - बिना प्याज लहसुन के जैन कटलेट")</f>
        <v>कच्चे केले की कटलेट रेसिपी - बिना प्याज लहसुन के जैन कटलेट</v>
      </c>
      <c r="C212" s="1" t="s">
        <v>14281</v>
      </c>
      <c r="D212" s="1" t="s">
        <v>14198</v>
      </c>
      <c r="E212" s="1">
        <v>40</v>
      </c>
      <c r="F212" s="1" t="s">
        <v>31850</v>
      </c>
      <c r="G212" s="1" t="str">
        <f ca="1">IFERROR(__xludf.dummyfunction("IF(F212="""", """", GOOGLETRANSLATE(F212, ""en"", ""hi""))"),"2 कच्चे केले, 1/2 कप ताजा नारियल - कसा हुआ, 1 हरी मिर्च, नमक - स्वादानुसार, 1 चम्मच जीरा पाउडर (जीरा), 1 चम्मच काली मिर्च पाउडर, 1 चम्मच चाट मसाला पाउडर, सूरजमुखी तेल - तलने या भूनने के लिए")</f>
        <v>2 कच्चे केले, 1/2 कप ताजा नारियल - कसा हुआ, 1 हरी मिर्च, नमक - स्वादानुसार, 1 चम्मच जीरा पाउडर (जीरा), 1 चम्मच काली मिर्च पाउडर, 1 चम्मच चाट मसाला पाउडर, सूरजमुखी तेल - तलने या भूनने के लिए</v>
      </c>
      <c r="H212" s="1" t="s">
        <v>31851</v>
      </c>
      <c r="I212" s="1" t="str">
        <f ca="1">IFERROR(__xludf.dummyfunction("IF(H212="""", """", GOOGLETRANSLATE(H212, ""en"", ""hi""))"),"कच्चे केले के कटलेट रेसिपी बनाने के लिए सबसे पहले कच्चे हरे केले को धोकर छिलके सहित प्रेशर कुकर में डालें। 4 सीटी आने तक प्रेशर कुक करें और आंच बंद कर दें। प्रेशर को अपने आप निकलने दें। प्रेशर निकल जाने पर कच्चे केले को निकाल लें, छिलका उतार लें और छिलका "&amp;"फेंक दें। केले को मिक्सिंग बाउल में डालें। उसी मिक्सिंग बाउल में कद्दूकस किया हुआ नारियल, नमक, काली मिर्च पाउडर, चाट मसाला और जीरा पाउडर डालें और अच्छी तरह मिलाएँ। बराबर साइज के गोल बॉल्स बना लें और उन्हें अपनी हथेलियों के बीच दबा लें। अब एक कड़ाही को मध्"&amp;"यम आंच पर गर्म करें, उसमें थोड़ा सा तेल डालें और कच्चे केले के कटलेट डालें। 5-7 मिनट तक पकाएं, पलट दें और दूसरी तरफ भी पकाएं")</f>
        <v>कच्चे केले के कटलेट रेसिपी बनाने के लिए सबसे पहले कच्चे हरे केले को धोकर छिलके सहित प्रेशर कुकर में डालें। 4 सीटी आने तक प्रेशर कुक करें और आंच बंद कर दें। प्रेशर को अपने आप निकलने दें। प्रेशर निकल जाने पर कच्चे केले को निकाल लें, छिलका उतार लें और छिलका फेंक दें। केले को मिक्सिंग बाउल में डालें। उसी मिक्सिंग बाउल में कद्दूकस किया हुआ नारियल, नमक, काली मिर्च पाउडर, चाट मसाला और जीरा पाउडर डालें और अच्छी तरह मिलाएँ। बराबर साइज के गोल बॉल्स बना लें और उन्हें अपनी हथेलियों के बीच दबा लें। अब एक कड़ाही को मध्यम आंच पर गर्म करें, उसमें थोड़ा सा तेल डालें और कच्चे केले के कटलेट डालें। 5-7 मिनट तक पकाएं, पलट दें और दूसरी तरफ भी पकाएं</v>
      </c>
      <c r="J212" s="3" t="s">
        <v>31852</v>
      </c>
      <c r="L212" s="1" t="s">
        <v>31003</v>
      </c>
    </row>
    <row r="213" spans="1:12" ht="409.6">
      <c r="A213" s="1" t="s">
        <v>31853</v>
      </c>
      <c r="B213" s="1" t="str">
        <f ca="1">IFERROR(__xludf.dummyfunction("IF(A213="""", """", GOOGLETRANSLATE(A213, ""en"", ""hi""))"),"भरवा बैंगन और प्याज की सब्जी रेसिपी - रोज़ का खाना फिगारो ऑलिव ऑयल के साथ")</f>
        <v>भरवा बैंगन और प्याज की सब्जी रेसिपी - रोज़ का खाना फिगारो ऑलिव ऑयल के साथ</v>
      </c>
      <c r="C213" s="1" t="s">
        <v>145</v>
      </c>
      <c r="D213" s="1" t="s">
        <v>14198</v>
      </c>
      <c r="E213" s="1">
        <v>60</v>
      </c>
      <c r="F213" s="1" t="s">
        <v>31854</v>
      </c>
      <c r="G213" s="1" t="str">
        <f ca="1">IFERROR(__xludf.dummyfunction("IF(F213="""", """", GOOGLETRANSLATE(F213, ""en"", ""hi""))"),"6 छोटे बैंगन, 2 प्याज - पतले कटे हुए, फिगारो शुद्ध जैतून का तेल - आवश्यकतानुसार, 12 लहसुन, 3 हरी मिर्च, 1 इंच अदरक, 1 चम्मच लाल मिर्च पाउडर, 1 चम्मच धनिया पाउडर, 1/4 चम्मच हींग, 1/2 चम्मच हल्दी पाउडर, 2 चम्मच गुड़, 1 चम्मच आमचूर, नमक - आवश्यकतानुसार")</f>
        <v>6 छोटे बैंगन, 2 प्याज - पतले कटे हुए, फिगारो शुद्ध जैतून का तेल - आवश्यकतानुसार, 12 लहसुन, 3 हरी मिर्च, 1 इंच अदरक, 1 चम्मच लाल मिर्च पाउडर, 1 चम्मच धनिया पाउडर, 1/4 चम्मच हींग, 1/2 चम्मच हल्दी पाउडर, 2 चम्मच गुड़, 1 चम्मच आमचूर, नमक - आवश्यकतानुसार</v>
      </c>
      <c r="H213" s="1" t="s">
        <v>31855</v>
      </c>
      <c r="I213" s="4" t="str">
        <f ca="1">IFERROR(__xludf.dummyfunction("IF(H213="""", """", GOOGLETRANSLATE(H213, ""en"", ""hi""))"),"भरवा बैंगन और प्याज की सब्जी बनाने के लिए सबसे पहले मिक्सर ग्राइंडर या मूसल का प्रयोग करके अदरक, लहसुन और हरी मिर्च को पीसकर पेस्ट बना लें। बचे हुए मसालों को अदरक लहसुन के पेस्ट के साथ एक मिक्सिंग बाउल में मिला लें। नमक डालें और स्वादानुसार नमक डालकर मिला"&amp;" लें। बैंगन में 4 चीरे लगाएं और मिश्रण को बैंगन के चीरों में भर दें। अगर अतिरिक्त मिश्रण बच जाए तो उसे अलग रख दें, हम मसाले में उसका इस्तेमाल करेंगे। एक प्रेशर कुकर में फिगारो ऑलिव ऑयल गर्म करें और उसमें प्याज़ डालें। प्याज़ के नरम और पारदर्शी होने तक भून"&amp;"ें। प्याज़ के नरम होने के बाद इसमें भरवां बैंगन डालें, नमक छिड़कें, बचा हुआ मसाला और 1/4 कप पानी डालें। प्रेशर कुकर को ढककर 3 सीटी आने तक पकाएं भरवा बैंगन और प्याज की सब्जी को एक सर्विंग बाउल में डालें और गर्मागर्म परोसें। पूरे सप्ताह के भोजन के लिए भरवा "&amp;"बैंगन और प्याज की सब्जी को फुल्के और राजस्थानी कढ़ी के साथ परोसें।
")</f>
        <v xml:space="preserve">भरवा बैंगन और प्याज की सब्जी बनाने के लिए सबसे पहले मिक्सर ग्राइंडर या मूसल का प्रयोग करके अदरक, लहसुन और हरी मिर्च को पीसकर पेस्ट बना लें। बचे हुए मसालों को अदरक लहसुन के पेस्ट के साथ एक मिक्सिंग बाउल में मिला लें। नमक डालें और स्वादानुसार नमक डालकर मिला लें। बैंगन में 4 चीरे लगाएं और मिश्रण को बैंगन के चीरों में भर दें। अगर अतिरिक्त मिश्रण बच जाए तो उसे अलग रख दें, हम मसाले में उसका इस्तेमाल करेंगे। एक प्रेशर कुकर में फिगारो ऑलिव ऑयल गर्म करें और उसमें प्याज़ डालें। प्याज़ के नरम और पारदर्शी होने तक भूनें। प्याज़ के नरम होने के बाद इसमें भरवां बैंगन डालें, नमक छिड़कें, बचा हुआ मसाला और 1/4 कप पानी डालें। प्रेशर कुकर को ढककर 3 सीटी आने तक पकाएं भरवा बैंगन और प्याज की सब्जी को एक सर्विंग बाउल में डालें और गर्मागर्म परोसें। पूरे सप्ताह के भोजन के लिए भरवा बैंगन और प्याज की सब्जी को फुल्के और राजस्थानी कढ़ी के साथ परोसें।
</v>
      </c>
      <c r="J213" s="3" t="s">
        <v>31856</v>
      </c>
      <c r="L213" s="1" t="s">
        <v>31003</v>
      </c>
    </row>
    <row r="214" spans="1:12" ht="13.8">
      <c r="A214" s="1" t="s">
        <v>31857</v>
      </c>
      <c r="B214" s="1" t="str">
        <f ca="1">IFERROR(__xludf.dummyfunction("IF(A214="""", """", GOOGLETRANSLATE(A214, ""en"", ""hi""))"),"दही सूरन की सब्जी रेसिपी (सूखी दही करी में फ्राइड रतालू की सब्जी रेसिपी)")</f>
        <v>दही सूरन की सब्जी रेसिपी (सूखी दही करी में फ्राइड रतालू की सब्जी रेसिपी)</v>
      </c>
      <c r="C214" s="1" t="s">
        <v>145</v>
      </c>
      <c r="D214" s="1" t="s">
        <v>14198</v>
      </c>
      <c r="E214" s="1">
        <v>40</v>
      </c>
      <c r="F214" s="1" t="s">
        <v>31858</v>
      </c>
      <c r="G214" s="1" t="str">
        <f ca="1">IFERROR(__xludf.dummyfunction("IF(F214="""", """", GOOGLETRANSLATE(F214, ""en"", ""hi""))"),"300 ग्राम सुरन / सेनई / रतालू - छीलकर और टुकड़ों में कटा हुआ, 3 बड़ा चम्मच दही, 1/2 छोटा चम्मच जीरा, 1/2 छोटा चम्मच हल्दी, 1/2 छोटा चम्मच लाल मिर्च पाउडर, 1 छोटा चम्मच गरम मसाला पाउडर, 1 छोटा चम्मच आमचूर, नमक - स्वादानुसार, सूरजमुखी तेल - पकाने के लिए, 2 "&amp;"टहनियाँ धनिया - गार्निश के लिए कटी हुई")</f>
        <v>300 ग्राम सुरन / सेनई / रतालू - छीलकर और टुकड़ों में कटा हुआ, 3 बड़ा चम्मच दही, 1/2 छोटा चम्मच जीरा, 1/2 छोटा चम्मच हल्दी, 1/2 छोटा चम्मच लाल मिर्च पाउडर, 1 छोटा चम्मच गरम मसाला पाउडर, 1 छोटा चम्मच आमचूर, नमक - स्वादानुसार, सूरजमुखी तेल - पकाने के लिए, 2 टहनियाँ धनिया - गार्निश के लिए कटी हुई</v>
      </c>
      <c r="H214" s="1" t="s">
        <v>31859</v>
      </c>
      <c r="I214" s="1" t="str">
        <f ca="1">IFERROR(__xludf.dummyfunction("IF(H214="""", """", GOOGLETRANSLATE(H214, ""en"", ""hi""))"),"हम दही सूरन की सब्जी रेसिपी (सूखी दही में फ्राइड यम की सब्जी) बनाना शुरू करते हैं, रतालू के टुकड़ों को प्रेशर कुकर में 4 सीटी आने तक पकाते हैं जब तक कि यह नरम और सख्त न हो जाए। एक बार हो जाने पर इसे तब तक छोड़ दें जब तक कि प्रेशर पूरी तरह से निकल न जाए। फ"&amp;"िर एक नॉनस्टिक पैन में तेल गर्म करें, उसमें जीरा डालें और कुछ सेकंड के लिए उसे फूटने दें। एक बार हो जाने पर उबले हुए रतालू के टुकड़े डालें। सूची में बताए गए सभी मसाले छिड़कें, इसे अच्छी तरह से सीज़न करें। आँच कम करें और दही डालें। अच्छी तरह से तब तक हिलाए"&amp;"ं जब तक कि यह समान रूप से लेपित न हो जाए। इसे जलने से बचाने के लिए आप इसमें थोड़ा पानी भी मिला सकते हैं। कुछ कटा हरा धनिया डालें और गर्मागर्म परोसें। दही सूरन की सब्जी रेसिपी (सूखी दही में फ्राइड यम की सब्जी)")</f>
        <v>हम दही सूरन की सब्जी रेसिपी (सूखी दही में फ्राइड यम की सब्जी) बनाना शुरू करते हैं, रतालू के टुकड़ों को प्रेशर कुकर में 4 सीटी आने तक पकाते हैं जब तक कि यह नरम और सख्त न हो जाए। एक बार हो जाने पर इसे तब तक छोड़ दें जब तक कि प्रेशर पूरी तरह से निकल न जाए। फिर एक नॉनस्टिक पैन में तेल गर्म करें, उसमें जीरा डालें और कुछ सेकंड के लिए उसे फूटने दें। एक बार हो जाने पर उबले हुए रतालू के टुकड़े डालें। सूची में बताए गए सभी मसाले छिड़कें, इसे अच्छी तरह से सीज़न करें। आँच कम करें और दही डालें। अच्छी तरह से तब तक हिलाएं जब तक कि यह समान रूप से लेपित न हो जाए। इसे जलने से बचाने के लिए आप इसमें थोड़ा पानी भी मिला सकते हैं। कुछ कटा हरा धनिया डालें और गर्मागर्म परोसें। दही सूरन की सब्जी रेसिपी (सूखी दही में फ्राइड यम की सब्जी)</v>
      </c>
      <c r="J214" s="3" t="s">
        <v>31860</v>
      </c>
      <c r="L214" s="1" t="s">
        <v>31003</v>
      </c>
    </row>
    <row r="215" spans="1:12" ht="409.6">
      <c r="A215" s="1" t="s">
        <v>31861</v>
      </c>
      <c r="B215" s="1" t="str">
        <f ca="1">IFERROR(__xludf.dummyfunction("IF(A215="""", """", GOOGLETRANSLATE(A215, ""en"", ""hi""))"),"पालक छोले रेसिपी (पालक और चने की करी)")</f>
        <v>पालक छोले रेसिपी (पालक और चने की करी)</v>
      </c>
      <c r="C215" s="1" t="s">
        <v>145</v>
      </c>
      <c r="D215" s="1" t="s">
        <v>14237</v>
      </c>
      <c r="E215" s="1">
        <v>60</v>
      </c>
      <c r="F215" s="1" t="s">
        <v>31862</v>
      </c>
      <c r="G215" s="1" t="str">
        <f ca="1">IFERROR(__xludf.dummyfunction("IF(F215="""", """", GOOGLETRANSLATE(F215, ""en"", ""hi""))"),"1 कप काबुली चना - रातभर भिगोया हुआ, 1 कप पालक - धोकर मोटा कटा हुआ, 1 प्याज - बारीक कटा हुआ, 1 टमाटर - बारीक कटा हुआ, 1 हरी मिर्च - कटी हुई, 1 इंच अदरक - कद्दूकस किया हुआ, 2 लहसुन के दाने - कद्दूकस किया हुआ, नमक - स्वादानुसार, 2 छोटे चम्मच गरम मसाला पाउडर,"&amp;" 1 छोटा चम्मच हल्दी, 1 छोटा चम्मच लाल मिर्च पाउडर, 1 छोटा चम्मच धनिया पाउडर, 1 तेज पत्ता, 2 इलायची की फली/बीज")</f>
        <v>1 कप काबुली चना - रातभर भिगोया हुआ, 1 कप पालक - धोकर मोटा कटा हुआ, 1 प्याज - बारीक कटा हुआ, 1 टमाटर - बारीक कटा हुआ, 1 हरी मिर्च - कटी हुई, 1 इंच अदरक - कद्दूकस किया हुआ, 2 लहसुन के दाने - कद्दूकस किया हुआ, नमक - स्वादानुसार, 2 छोटे चम्मच गरम मसाला पाउडर, 1 छोटा चम्मच हल्दी, 1 छोटा चम्मच लाल मिर्च पाउडर, 1 छोटा चम्मच धनिया पाउडर, 1 तेज पत्ता, 2 इलायची की फली/बीज</v>
      </c>
      <c r="H215" s="4" t="s">
        <v>31863</v>
      </c>
      <c r="I215" s="1" t="str">
        <f ca="1">IFERROR(__xludf.dummyfunction("IF(H215="""", """", GOOGLETRANSLATE(H215, ""en"", ""hi""))"),"पालक छोले बनाने के लिए सबसे पहले छोले को साफ करके धो लें और रात भर या कम से कम 5-6 घंटे के लिए पानी में भिगो दें। जब छोले भीगे हुए हों, तो ब्लेंडर में 2-3 बड़े चम्मच पानी का उपयोग करके टमाटर और हरी मिर्च की प्यूरी बना लें। एक पैन में एक चम्मच तेल गरम करें"&amp;", उसमें कटा हुआ पालक डालें और पालक के नरम और कोमल होने तक भूनें। इसे एक तरफ रख दें। नोट: हम पालक को छोले से अलग पकाते हैं, क्योंकि छोले और पालक को पकाने का समय बहुत अलग होता है। पालक को पकने में कुछ मिनट लगते हैं, जबकि छोले/छोले को पकने में 20 से 30 मिनट "&amp;"लगते हैं। एक प्रेशर कुकर में मध्यम आँच पर तेल गरम करें, जब तेल गरम हो जाए तो उसमें तेज पत्ता और इलायची के दाने डालें; 1 मिनट के लिए या मसालों से खुशबू आने तक भूनें। अब इसमें कटा हुआ प्याज, अदरक और लहसुन डालें और मध्यम आंच पर प्याज के हल्के भूरे होने तक भू"&amp;"नें। एक बार प्याज तैयार हो जाए तो इसमें टमाटर प्यूरी, नमक, हल्दी पाउडर, गरम मसाला, धनिया पाउडर, लाल मिर्च पाउडर डालें जब तक कि आप मिश्रण को एक साथ आते और थोड़ा गाढ़ा होते न देखें। छोले को जिस पानी में भिगोया था उसमें डालें और अच्छी तरह मिलाएँ। अतिरिक्त पा"&amp;"नी डालें ताकि पानी का स्तर भिगोए हुए छोले/ छोले से कम से कम 2 इंच ऊपर हो। इसे अच्छी तरह से हिलाएं और प्रेशर कुकर को ढक दें और इसका वजन उस पर रखें। छोले को प्रेशर कुकर में तब तक पकाएं जब तक कि आपको 4 से 5 सीटी की आवाज न आ जाए। जब प्रेशर अपने आप निकल जाए, त"&amp;"ो कुकर खोलें, उसमें भूना हुआ पालक डालें और अच्छी तरह चलाएँ। नमक और मसाले के स्तर की जाँच करें और अपने स्वाद के अनुसार समायोजित करें। ग्रेवी को थोड़ा गाढ़ा करने के लिए छोले को कलछी के पिछले हिस्से से धीरे से मसलें और पालक छोले परोसने के लिए तैयार हैं। पालक"&amp;" छोले (पालक और छोले की करी) को रात के खाने में भारतीय ब्रेड के साथ या दोपहर के भोजन में जीरा राइस के साथ परोसें।")</f>
        <v>पालक छोले बनाने के लिए सबसे पहले छोले को साफ करके धो लें और रात भर या कम से कम 5-6 घंटे के लिए पानी में भिगो दें। जब छोले भीगे हुए हों, तो ब्लेंडर में 2-3 बड़े चम्मच पानी का उपयोग करके टमाटर और हरी मिर्च की प्यूरी बना लें। एक पैन में एक चम्मच तेल गरम करें, उसमें कटा हुआ पालक डालें और पालक के नरम और कोमल होने तक भूनें। इसे एक तरफ रख दें। नोट: हम पालक को छोले से अलग पकाते हैं, क्योंकि छोले और पालक को पकाने का समय बहुत अलग होता है। पालक को पकने में कुछ मिनट लगते हैं, जबकि छोले/छोले को पकने में 20 से 30 मिनट लगते हैं। एक प्रेशर कुकर में मध्यम आँच पर तेल गरम करें, जब तेल गरम हो जाए तो उसमें तेज पत्ता और इलायची के दाने डालें; 1 मिनट के लिए या मसालों से खुशबू आने तक भूनें। अब इसमें कटा हुआ प्याज, अदरक और लहसुन डालें और मध्यम आंच पर प्याज के हल्के भूरे होने तक भूनें। एक बार प्याज तैयार हो जाए तो इसमें टमाटर प्यूरी, नमक, हल्दी पाउडर, गरम मसाला, धनिया पाउडर, लाल मिर्च पाउडर डालें जब तक कि आप मिश्रण को एक साथ आते और थोड़ा गाढ़ा होते न देखें। छोले को जिस पानी में भिगोया था उसमें डालें और अच्छी तरह मिलाएँ। अतिरिक्त पानी डालें ताकि पानी का स्तर भिगोए हुए छोले/ छोले से कम से कम 2 इंच ऊपर हो। इसे अच्छी तरह से हिलाएं और प्रेशर कुकर को ढक दें और इसका वजन उस पर रखें। छोले को प्रेशर कुकर में तब तक पकाएं जब तक कि आपको 4 से 5 सीटी की आवाज न आ जाए। जब प्रेशर अपने आप निकल जाए, तो कुकर खोलें, उसमें भूना हुआ पालक डालें और अच्छी तरह चलाएँ। नमक और मसाले के स्तर की जाँच करें और अपने स्वाद के अनुसार समायोजित करें। ग्रेवी को थोड़ा गाढ़ा करने के लिए छोले को कलछी के पिछले हिस्से से धीरे से मसलें और पालक छोले परोसने के लिए तैयार हैं। पालक छोले (पालक और छोले की करी) को रात के खाने में भारतीय ब्रेड के साथ या दोपहर के भोजन में जीरा राइस के साथ परोसें।</v>
      </c>
      <c r="J215" s="3" t="s">
        <v>31864</v>
      </c>
      <c r="L215" s="1" t="s">
        <v>31003</v>
      </c>
    </row>
    <row r="216" spans="1:12" ht="13.8">
      <c r="A216" s="1" t="s">
        <v>31865</v>
      </c>
      <c r="B216" s="1" t="str">
        <f ca="1">IFERROR(__xludf.dummyfunction("IF(A216="""", """", GOOGLETRANSLATE(A216, ""en"", ""hi""))"),"तंदूरी गोभी टिक्का रेसिपी")</f>
        <v>तंदूरी गोभी टिक्का रेसिपी</v>
      </c>
      <c r="C216" s="1" t="s">
        <v>14207</v>
      </c>
      <c r="D216" s="1" t="s">
        <v>14198</v>
      </c>
      <c r="E216" s="1">
        <v>75</v>
      </c>
      <c r="F216" s="1" t="s">
        <v>31866</v>
      </c>
      <c r="G216" s="1" t="str">
        <f ca="1">IFERROR(__xludf.dummyfunction("IF(F216="""", """", GOOGLETRANSLATE(F216, ""en"", ""hi""))"),"1 गोभी - कटी हुई, 1 कप दही, 1/2 छोटा चम्मच लाल मिर्च पाउडर, 1 छोटा चम्मच गरम मसाला पाउडर, 1 छोटा चम्मच चाट मसाला पाउडर, 1/2 छोटा चम्मच हल्दी पाउडर, 1 छोटा चम्मच धनिया पाउडर, 1/2 छोटा चम्मच अजवाइन, 1 छोटा चम्मच कसूरी मेथी, 3 बड़े चम्मच बेसन, तेल - आवश्यकता"&amp;"नुसार, नमक - स्वादानुसार")</f>
        <v>1 गोभी - कटी हुई, 1 कप दही, 1/2 छोटा चम्मच लाल मिर्च पाउडर, 1 छोटा चम्मच गरम मसाला पाउडर, 1 छोटा चम्मच चाट मसाला पाउडर, 1/2 छोटा चम्मच हल्दी पाउडर, 1 छोटा चम्मच धनिया पाउडर, 1/2 छोटा चम्मच अजवाइन, 1 छोटा चम्मच कसूरी मेथी, 3 बड़े चम्मच बेसन, तेल - आवश्यकतानुसार, नमक - स्वादानुसार</v>
      </c>
      <c r="H216" s="1" t="s">
        <v>31867</v>
      </c>
      <c r="I216" s="1" t="str">
        <f ca="1">IFERROR(__xludf.dummyfunction("IF(H216="""", """", GOOGLETRANSLATE(H216, ""en"", ""hi""))"),"तंदूरी गोभी टिक्का रेसिपी बनाने के लिए सबसे पहले सारी सामग्री तैयार कर लें। अब स्टीमर में फूलगोभी के टुकड़े डालकर 4 मिनट तक स्टीम करें। ध्यान रहे कि बहुत ज़्यादा स्टीम न करें, फूलगोभी में क्रंच होना चाहिए। पकने के बाद इसे मिक्सिंग बाउल में निकाल लें और गै"&amp;"स बंद कर दें। अब इसमें हंग कर्ड, लाल मिर्च पाउडर, गरम मसाला पाउडर, चाट मसाला पाउडर, धनिया पाउडर, अजवाइन, कसूरी मेथी, बेसन, नमक डालकर अच्छे से मिला लें। इसे ढककर 30 मिनट के लिए रख दें। अब एक पैन में तेल गर्म करें और उसमें मैरीनेट की हुई फूलगोभी के टुकड़े ड"&amp;"ालकर मध्यम आंच पर कुछ मिनट तक पकाएं। कोयले को सीधे गैस पर रखें और लाल होने तक रखें। लाल होने के बाद इसे स्टील के बाउल में डालें। इस पर 1 चम्मच घी डालें और इसे फूलगोभी के बीच में रखकर 1 मिनट के लिए ढक दें। 1 मिनट बाद पैन खोलें और कोयला हटा दें। गरमागरम फूल"&amp;"गोभी टिक्का सर्व करें। तंदूरी गोभी टिक्का रेसिपी को धनिया पुदीना के साथ सर्व करें चटनी और पुदीना प्याज कचुम्बर सलाद स्टार्टर के रूप में।")</f>
        <v>तंदूरी गोभी टिक्का रेसिपी बनाने के लिए सबसे पहले सारी सामग्री तैयार कर लें। अब स्टीमर में फूलगोभी के टुकड़े डालकर 4 मिनट तक स्टीम करें। ध्यान रहे कि बहुत ज़्यादा स्टीम न करें, फूलगोभी में क्रंच होना चाहिए। पकने के बाद इसे मिक्सिंग बाउल में निकाल लें और गैस बंद कर दें। अब इसमें हंग कर्ड, लाल मिर्च पाउडर, गरम मसाला पाउडर, चाट मसाला पाउडर, धनिया पाउडर, अजवाइन, कसूरी मेथी, बेसन, नमक डालकर अच्छे से मिला लें। इसे ढककर 30 मिनट के लिए रख दें। अब एक पैन में तेल गर्म करें और उसमें मैरीनेट की हुई फूलगोभी के टुकड़े डालकर मध्यम आंच पर कुछ मिनट तक पकाएं। कोयले को सीधे गैस पर रखें और लाल होने तक रखें। लाल होने के बाद इसे स्टील के बाउल में डालें। इस पर 1 चम्मच घी डालें और इसे फूलगोभी के बीच में रखकर 1 मिनट के लिए ढक दें। 1 मिनट बाद पैन खोलें और कोयला हटा दें। गरमागरम फूलगोभी टिक्का सर्व करें। तंदूरी गोभी टिक्का रेसिपी को धनिया पुदीना के साथ सर्व करें चटनी और पुदीना प्याज कचुम्बर सलाद स्टार्टर के रूप में।</v>
      </c>
      <c r="J216" s="3" t="s">
        <v>31868</v>
      </c>
      <c r="L216" s="1" t="s">
        <v>31003</v>
      </c>
    </row>
    <row r="217" spans="1:12" ht="13.8">
      <c r="A217" s="1" t="s">
        <v>31869</v>
      </c>
      <c r="B217" s="1" t="str">
        <f ca="1">IFERROR(__xludf.dummyfunction("IF(A217="""", """", GOOGLETRANSLATE(A217, ""en"", ""hi""))"),"छिलके वाली मूंग दाल रेसिपी")</f>
        <v>छिलके वाली मूंग दाल रेसिपी</v>
      </c>
      <c r="C217" s="1" t="s">
        <v>429</v>
      </c>
      <c r="D217" s="1" t="s">
        <v>14237</v>
      </c>
      <c r="E217" s="1">
        <v>30</v>
      </c>
      <c r="F217" s="1" t="s">
        <v>31870</v>
      </c>
      <c r="G217" s="1" t="str">
        <f ca="1">IFERROR(__xludf.dummyfunction("IF(F217="""", """", GOOGLETRANSLATE(F217, ""en"", ""hi""))"),"1/2 कप हरी मूंग दाल - फटी हुई, 1 प्याज - बारीक कटा हुआ, 2 लहसुन की कलियां, 3 लौंग, 1/2 छोटा चम्मच जीरा, 2 हरी मिर्च, 1/4 छोटा चम्मच हल्दी पाउडर, 1 टमाटर - कटा हुआ, 1 छोटा चम्मच गरम मसाला पाउडर, नमक - स्वादानुसार, 2 बड़े चम्मच घी - या तेल, हरा धनिया - उपयो"&amp;"गानुसार")</f>
        <v>1/2 कप हरी मूंग दाल - फटी हुई, 1 प्याज - बारीक कटा हुआ, 2 लहसुन की कलियां, 3 लौंग, 1/2 छोटा चम्मच जीरा, 2 हरी मिर्च, 1/4 छोटा चम्मच हल्दी पाउडर, 1 टमाटर - कटा हुआ, 1 छोटा चम्मच गरम मसाला पाउडर, नमक - स्वादानुसार, 2 बड़े चम्मच घी - या तेल, हरा धनिया - उपयोगानुसार</v>
      </c>
      <c r="H217" s="1" t="s">
        <v>31871</v>
      </c>
      <c r="I217" s="1" t="str">
        <f ca="1">IFERROR(__xludf.dummyfunction("IF(H217="""", """", GOOGLETRANSLATE(H217, ""en"", ""hi""))"),"""छिलके वाली मूंग दाल की रेसिपी बनाने के लिए सबसे पहले दाल को अच्छे से धो लें। अब दाल को प्रेशर कुकर में 1-1/2 कप पानी के साथ डालकर कुकर को बंद कर दें। 2 सीटी आने के बाद आंच धीमी कर दें और 5 मिनट तक पकने दें। गैस बंद कर दें और प्रेशर अपने आप निकलने दें। क"&amp;"ुकर खोलें, दाल को मसलकर अलग रख दें। अब एक पैन में जरूरत के हिसाब से तेल या घी गर्म करें। इसमें लौंग, जीरा डालें और जीरे को चटकने दें। जीरे के चटकने के बाद इसमें प्याज, हरी मिर्च डालें और प्याज के नरम होने तक पकाएं। प्याज के नरम होने के बाद इसमें टमाटर, हल"&amp;"्दी पाउडर, गरम मसाला पाउडर डालें और 3 मिनट तक पकाएं। अब इसमें पकी हुई दाल, स्वादानुसार नमक और 1 कप पानी डालकर अच्छे से मिलाएं। इसे उबलने दें। उबलने के बाद आंच धीमी कर दें और 3 से 4 मिनट तक पकने दें। गैस बंद कर दें, हरे धनिए से गार्निश करें और सर्व करें। छ"&amp;"िलके वाली मूंग दाल रेसिपी को स्प्रिंग अनियन और आलू की सब्जी के साथ सर्व करें और दोपहर के भोजन के लिए फुल्के।""")</f>
        <v>"छिलके वाली मूंग दाल की रेसिपी बनाने के लिए सबसे पहले दाल को अच्छे से धो लें। अब दाल को प्रेशर कुकर में 1-1/2 कप पानी के साथ डालकर कुकर को बंद कर दें। 2 सीटी आने के बाद आंच धीमी कर दें और 5 मिनट तक पकने दें। गैस बंद कर दें और प्रेशर अपने आप निकलने दें। कुकर खोलें, दाल को मसलकर अलग रख दें। अब एक पैन में जरूरत के हिसाब से तेल या घी गर्म करें। इसमें लौंग, जीरा डालें और जीरे को चटकने दें। जीरे के चटकने के बाद इसमें प्याज, हरी मिर्च डालें और प्याज के नरम होने तक पकाएं। प्याज के नरम होने के बाद इसमें टमाटर, हल्दी पाउडर, गरम मसाला पाउडर डालें और 3 मिनट तक पकाएं। अब इसमें पकी हुई दाल, स्वादानुसार नमक और 1 कप पानी डालकर अच्छे से मिलाएं। इसे उबलने दें। उबलने के बाद आंच धीमी कर दें और 3 से 4 मिनट तक पकने दें। गैस बंद कर दें, हरे धनिए से गार्निश करें और सर्व करें। छिलके वाली मूंग दाल रेसिपी को स्प्रिंग अनियन और आलू की सब्जी के साथ सर्व करें और दोपहर के भोजन के लिए फुल्के।"</v>
      </c>
      <c r="J217" s="3" t="s">
        <v>31872</v>
      </c>
      <c r="L217" s="1" t="s">
        <v>31003</v>
      </c>
    </row>
    <row r="218" spans="1:12" ht="13.8">
      <c r="A218" s="1" t="s">
        <v>31825</v>
      </c>
      <c r="B218" s="1" t="str">
        <f ca="1">IFERROR(__xludf.dummyfunction("IF(A218="""", """", GOOGLETRANSLATE(A218, ""en"", ""hi""))"),"आलू गाजर मटर सब्जी रेसिपी")</f>
        <v>आलू गाजर मटर सब्जी रेसिपी</v>
      </c>
      <c r="C218" s="1" t="s">
        <v>145</v>
      </c>
      <c r="D218" s="1" t="s">
        <v>14237</v>
      </c>
      <c r="E218" s="1">
        <v>60</v>
      </c>
      <c r="F218" s="1" t="s">
        <v>31873</v>
      </c>
      <c r="G218" s="1" t="str">
        <f ca="1">IFERROR(__xludf.dummyfunction("IF(F218="""", """", GOOGLETRANSLATE(F218, ""en"", ""hi""))"),"3 आलू - छीलकर टुकड़ों में कटा हुआ, 2 गाजर - छीलकर टुकड़ों में कटा हुआ, 1/2 कप हरी मटर (मटर) - उबले हुए, 5 टमाटर - टुकड़ों में कटा हुआ, 1 प्याज - बारीक कटा हुआ, 1 इंच अदरक - कटा हुआ, 4 लहसुन - कटा हुआ, 1/2 चम्मच अजवाइन, 1/4 चम्मच हल्दी पाउडर (हल्दी), 1/2 च"&amp;"म्मच लाल मिर्च पाउडर, 1/2 बड़ा चम्मच धनिया पाउडर, 1/2 चम्मच गरम मसाला पाउडर, नमक - स्वादानुसार, 1 बड़ा चम्मच सरसों का तेल, धनिया (धनिया) पत्तियां - गार्निश के लिए")</f>
        <v>3 आलू - छीलकर टुकड़ों में कटा हुआ, 2 गाजर - छीलकर टुकड़ों में कटा हुआ, 1/2 कप हरी मटर (मटर) - उबले हुए, 5 टमाटर - टुकड़ों में कटा हुआ, 1 प्याज - बारीक कटा हुआ, 1 इंच अदरक - कटा हुआ, 4 लहसुन - कटा हुआ, 1/2 चम्मच अजवाइन, 1/4 चम्मच हल्दी पाउडर (हल्दी), 1/2 चम्मच लाल मिर्च पाउडर, 1/2 बड़ा चम्मच धनिया पाउडर, 1/2 चम्मच गरम मसाला पाउडर, नमक - स्वादानुसार, 1 बड़ा चम्मच सरसों का तेल, धनिया (धनिया) पत्तियां - गार्निश के लिए</v>
      </c>
      <c r="H218" s="1" t="s">
        <v>31874</v>
      </c>
      <c r="I218" s="1" t="str">
        <f ca="1">IFERROR(__xludf.dummyfunction("IF(H218="""", """", GOOGLETRANSLATE(H218, ""en"", ""hi""))"),"आलू गाजर मटर सब्ज़ी रेसिपी बनाने के लिए, टमाटर को ज़ोडिएक मिक्सर ग्राइंडर के लंबे जार में डालें। प्यूरी विकल्प का उपयोग करें और चिकनी प्यूरी बनाने के लिए ब्लेंड करें। एक तरफ रख दें। पहले से गरम किए गए प्रेशर कुकर में सरसों का तेल डालें और इसे गर्म होने दे"&amp;"ं। तेल गर्म होने के बाद, अजवाइन डालें और इसे कुछ सेकंड के लिए फूटने दें। जीरा चटकने के बाद, प्याज़, अदरक और हरी मिर्च डालें और प्याज़ के नरम होने तक भूनें। टमाटर प्यूरी और सभी मसाले जैसे हल्दी पाउडर, लाल मिर्च पाउडर, धनिया पाउडर और गरम मसाला डालें। अच्छी "&amp;"तरह से मिलाने के लिए भूनें। एक बार मिल जाने पर, कटे हुए गाजर, आलू और स्वादानुसार नमक डालें। लगभग 1 कप पानी डालें और करी को लगभग 3-4 सीटी आने तक पकाएँ। एक बार हो जाने के बाद, कुकर को आराम दें और प्रेशर को अपने आप निकलने दें। प्रेशर निकल जाने के बाद ढक्कन ह"&amp;"टाएँ और उबले हुए मटर को मिलाएँ। 2-3 मिनट तक तेज़ आँच पर उबालें। आंच बंद कर दें और आलू गाजर मटर सब्ज़ी को एक सर्विंग बाउल में डालें। धनिया पत्ती से गार्निश करें और गरमागरम परोसें। आलू गाजर मटर सब्ज़ी रेसिपी को तवा पराठा, गुजराती दाल और टमाटर प्याज खीरा राय"&amp;"ता के साथ परोसें।")</f>
        <v>आलू गाजर मटर सब्ज़ी रेसिपी बनाने के लिए, टमाटर को ज़ोडिएक मिक्सर ग्राइंडर के लंबे जार में डालें। प्यूरी विकल्प का उपयोग करें और चिकनी प्यूरी बनाने के लिए ब्लेंड करें। एक तरफ रख दें। पहले से गरम किए गए प्रेशर कुकर में सरसों का तेल डालें और इसे गर्म होने दें। तेल गर्म होने के बाद, अजवाइन डालें और इसे कुछ सेकंड के लिए फूटने दें। जीरा चटकने के बाद, प्याज़, अदरक और हरी मिर्च डालें और प्याज़ के नरम होने तक भूनें। टमाटर प्यूरी और सभी मसाले जैसे हल्दी पाउडर, लाल मिर्च पाउडर, धनिया पाउडर और गरम मसाला डालें। अच्छी तरह से मिलाने के लिए भूनें। एक बार मिल जाने पर, कटे हुए गाजर, आलू और स्वादानुसार नमक डालें। लगभग 1 कप पानी डालें और करी को लगभग 3-4 सीटी आने तक पकाएँ। एक बार हो जाने के बाद, कुकर को आराम दें और प्रेशर को अपने आप निकलने दें। प्रेशर निकल जाने के बाद ढक्कन हटाएँ और उबले हुए मटर को मिलाएँ। 2-3 मिनट तक तेज़ आँच पर उबालें। आंच बंद कर दें और आलू गाजर मटर सब्ज़ी को एक सर्विंग बाउल में डालें। धनिया पत्ती से गार्निश करें और गरमागरम परोसें। आलू गाजर मटर सब्ज़ी रेसिपी को तवा पराठा, गुजराती दाल और टमाटर प्याज खीरा रायता के साथ परोसें।</v>
      </c>
      <c r="J218" s="3" t="s">
        <v>31875</v>
      </c>
      <c r="L218" s="1" t="s">
        <v>31003</v>
      </c>
    </row>
    <row r="219" spans="1:12" ht="13.8">
      <c r="A219" s="1" t="s">
        <v>31876</v>
      </c>
      <c r="B219" s="1" t="str">
        <f ca="1">IFERROR(__xludf.dummyfunction("IF(A219="""", """", GOOGLETRANSLATE(A219, ""en"", ""hi""))"),"हेल्दी वेजिटेबल पोहा कटलेट रेसिपी - वेजिटेबल बीटन राइस पैटी")</f>
        <v>हेल्दी वेजिटेबल पोहा कटलेट रेसिपी - वेजिटेबल बीटन राइस पैटी</v>
      </c>
      <c r="C219" s="1" t="s">
        <v>14281</v>
      </c>
      <c r="D219" s="1" t="s">
        <v>15314</v>
      </c>
      <c r="E219" s="1">
        <v>55</v>
      </c>
      <c r="F219" s="1" t="s">
        <v>31877</v>
      </c>
      <c r="G219" s="1" t="str">
        <f ca="1">IFERROR(__xludf.dummyfunction("IF(F219="""", """", GOOGLETRANSLATE(F219, ""en"", ""hi""))"),"2 कप पोहा, 3 आलू - उबले हुए, 1/4 कप पनीर - कद्दूकस किया हुआ, 1/4 कप गाजर - कद्दूकस किया हुआ, 1/2 चम्मच काली मिर्च पाउडर, 1/2 चम्मच गरम मसाला पाउडर, 1 चम्मच चाट मसाला पाउडर, 1/2 चम्मच लाल मिर्च पाउडर, 1 इंच अदरक - कटा हुआ, 2 हरी मिर्च - कटी हुई, 1 चम्मच नी"&amp;"ंबू का रस, 2 चम्मच मैदा, 2 धनिया पत्ती - बारीक कटी हुई, गेहूं की ब्रेड के टुकड़े - कोटिंग के लिए, सूरजमुखी तेल - तलने के लिए, नमक - स्वादानुसार")</f>
        <v>2 कप पोहा, 3 आलू - उबले हुए, 1/4 कप पनीर - कद्दूकस किया हुआ, 1/4 कप गाजर - कद्दूकस किया हुआ, 1/2 चम्मच काली मिर्च पाउडर, 1/2 चम्मच गरम मसाला पाउडर, 1 चम्मच चाट मसाला पाउडर, 1/2 चम्मच लाल मिर्च पाउडर, 1 इंच अदरक - कटा हुआ, 2 हरी मिर्च - कटी हुई, 1 चम्मच नींबू का रस, 2 चम्मच मैदा, 2 धनिया पत्ती - बारीक कटी हुई, गेहूं की ब्रेड के टुकड़े - कोटिंग के लिए, सूरजमुखी तेल - तलने के लिए, नमक - स्वादानुसार</v>
      </c>
      <c r="H219" s="1" t="s">
        <v>31878</v>
      </c>
      <c r="I219" s="1" t="str">
        <f ca="1">IFERROR(__xludf.dummyfunction("IF(H219="""", """", GOOGLETRANSLATE(H219, ""en"", ""hi""))"),"वेजिटेबल पोहा कटलेट रेसिपी बनाने के लिए सबसे पहले पीटे हुए चावल को एक छलनी में डालकर कुछ सेकेंड के लिए पानी से धो लें। इसे नरम करने के लिए 10 मिनट के लिए अलग रख दें। उबले हुए आलू लें और इन्हें बारीक मैश कर लें। मैश किए हुए आलू को एक बाउल में डालें और उसमे"&amp;"ं भिगोया हुआ पोहा, कद्दूकस की हुई गाजर, कसा हुआ पनीर या चना, स्वादानुसार नमक, काली मिर्च पाउडर, गरम मसाला पाउडर, चाट मसाला पाउडर, लाल मिर्च पाउडर, कटा हुआ अदरक, कटी हरी मिर्च, धनिया पत्ती और अंत में नींबू का रस डालें। अच्छी तरह मिलाएँ जब तक सभी सामग्री अच"&amp;"्छी तरह मिल न जाए। मिश्रण का एक बड़ा हिस्सा लें और प्रत्येक को कटलेट का आकार दें या अपनी पसंद का आकार दें। बाकी कटलेट भी इसी तरह तैयार कर लें। एक बाउल में मैदा डालें और थोड़े पानी के साथ पतला पेस्ट बना लें बाकी कटलेट भी इसी तरह से तैयार कर लें। एक नॉन-स्ट"&amp;"िक पैन लें और उसमें शैलो फ्राई करने के लिए थोड़ा तेल डालें। मध्यम आंच पर तेल गरम होने दें। अब तैयार वेजिटेबल पोहा कटलेट डालें और दोनों तरफ से सुनहरा भूरा और कुरकुरा होने तक शैलो फ्राई करें। आपके वेजिटेबल पोहा कटलेट तैयार हैं, इन्हें सोखने वाले कागज़ पर नि"&amp;"कालें और फिर एक सर्विंग प्लेट में निकाल लें। वेजिटेबल पोहा कटलेट को धनिया पुदीना चटनी, खजूर और इमली की चटनी या अपनी पसंद की किसी भी चटनी के साथ परोसें।")</f>
        <v>वेजिटेबल पोहा कटलेट रेसिपी बनाने के लिए सबसे पहले पीटे हुए चावल को एक छलनी में डालकर कुछ सेकेंड के लिए पानी से धो लें। इसे नरम करने के लिए 10 मिनट के लिए अलग रख दें। उबले हुए आलू लें और इन्हें बारीक मैश कर लें। मैश किए हुए आलू को एक बाउल में डालें और उसमें भिगोया हुआ पोहा, कद्दूकस की हुई गाजर, कसा हुआ पनीर या चना, स्वादानुसार नमक, काली मिर्च पाउडर, गरम मसाला पाउडर, चाट मसाला पाउडर, लाल मिर्च पाउडर, कटा हुआ अदरक, कटी हरी मिर्च, धनिया पत्ती और अंत में नींबू का रस डालें। अच्छी तरह मिलाएँ जब तक सभी सामग्री अच्छी तरह मिल न जाए। मिश्रण का एक बड़ा हिस्सा लें और प्रत्येक को कटलेट का आकार दें या अपनी पसंद का आकार दें। बाकी कटलेट भी इसी तरह तैयार कर लें। एक बाउल में मैदा डालें और थोड़े पानी के साथ पतला पेस्ट बना लें बाकी कटलेट भी इसी तरह से तैयार कर लें। एक नॉन-स्टिक पैन लें और उसमें शैलो फ्राई करने के लिए थोड़ा तेल डालें। मध्यम आंच पर तेल गरम होने दें। अब तैयार वेजिटेबल पोहा कटलेट डालें और दोनों तरफ से सुनहरा भूरा और कुरकुरा होने तक शैलो फ्राई करें। आपके वेजिटेबल पोहा कटलेट तैयार हैं, इन्हें सोखने वाले कागज़ पर निकालें और फिर एक सर्विंग प्लेट में निकाल लें। वेजिटेबल पोहा कटलेट को धनिया पुदीना चटनी, खजूर और इमली की चटनी या अपनी पसंद की किसी भी चटनी के साथ परोसें।</v>
      </c>
      <c r="J219" s="3" t="s">
        <v>31879</v>
      </c>
      <c r="L219" s="1" t="s">
        <v>31003</v>
      </c>
    </row>
    <row r="220" spans="1:12" ht="13.8">
      <c r="A220" s="1" t="s">
        <v>31880</v>
      </c>
      <c r="B220" s="1" t="str">
        <f ca="1">IFERROR(__xludf.dummyfunction("IF(A220="""", """", GOOGLETRANSLATE(A220, ""en"", ""hi""))"),"रसगुल्ला कस्टर्ड पुडिंग रेसिपी")</f>
        <v>रसगुल्ला कस्टर्ड पुडिंग रेसिपी</v>
      </c>
      <c r="C220" s="1" t="s">
        <v>8417</v>
      </c>
      <c r="D220" s="1" t="s">
        <v>14198</v>
      </c>
      <c r="E220" s="1">
        <v>30</v>
      </c>
      <c r="F220" s="1" t="s">
        <v>31881</v>
      </c>
      <c r="G220" s="1" t="str">
        <f ca="1">IFERROR(__xludf.dummyfunction("IF(F220="""", """", GOOGLETRANSLATE(F220, ""en"", ""hi""))"),"10 रसगुल्ले, 4 बड़े चम्मच रसगुल्ला सिरप, 1/2 लीटर दूध, 2 बड़े चम्मच कस्टर्ड पाउडर, 1-1/2 चम्मच गुलाब जल, 1 बड़ा चम्मच पिस्ता - कटा हुआ")</f>
        <v>10 रसगुल्ले, 4 बड़े चम्मच रसगुल्ला सिरप, 1/2 लीटर दूध, 2 बड़े चम्मच कस्टर्ड पाउडर, 1-1/2 चम्मच गुलाब जल, 1 बड़ा चम्मच पिस्ता - कटा हुआ</v>
      </c>
      <c r="H220" s="1" t="s">
        <v>31882</v>
      </c>
      <c r="I220" s="1" t="str">
        <f ca="1">IFERROR(__xludf.dummyfunction("IF(H220="""", """", GOOGLETRANSLATE(H220, ""en"", ""hi""))"),"रसगुल्ला कस्टर्ड रेसिपी बनाने के लिए सबसे पहले एक नॉनस्टिक पैन में दूध डालें और उसमें से आधा कप दूध अलग रख दें। दूध के थोड़ा कम होने तक उबालें और आंच से उतार लें। एक छोटे कटोरे में कस्टर्ड पाउडर लें, उसमें आधा कप दूध (जो अलग रखा था) डालें और चिकना गाढ़ापन"&amp;" बनाएँ। इस मिश्रण को उबले हुए दूध में रसगुल्ला सिरप के साथ डालें और अच्छी तरह मिलाएँ। किसी भी गांठ से बचने के लिए लगातार हिलाते हुए फिर से पकाएँ। इस बीच रसगुल्लों को निचोड़ें, आधे में काटें और एक तरफ रख दें। जब मिश्रण गाढ़ा हो जाए तो इसमें एक-एक करके कटे "&amp;"हुए रसगुल्लों के साथ गुलाब जल डालें। धीरे से चलाएँ और आंच से उतार लें। 1 से 2 घंटे के लिए फ्रिज में रख दें। परोसते समय कटे हुए पिस्ते से गार्निश करें। ठंडा परोसें!")</f>
        <v>रसगुल्ला कस्टर्ड रेसिपी बनाने के लिए सबसे पहले एक नॉनस्टिक पैन में दूध डालें और उसमें से आधा कप दूध अलग रख दें। दूध के थोड़ा कम होने तक उबालें और आंच से उतार लें। एक छोटे कटोरे में कस्टर्ड पाउडर लें, उसमें आधा कप दूध (जो अलग रखा था) डालें और चिकना गाढ़ापन बनाएँ। इस मिश्रण को उबले हुए दूध में रसगुल्ला सिरप के साथ डालें और अच्छी तरह मिलाएँ। किसी भी गांठ से बचने के लिए लगातार हिलाते हुए फिर से पकाएँ। इस बीच रसगुल्लों को निचोड़ें, आधे में काटें और एक तरफ रख दें। जब मिश्रण गाढ़ा हो जाए तो इसमें एक-एक करके कटे हुए रसगुल्लों के साथ गुलाब जल डालें। धीरे से चलाएँ और आंच से उतार लें। 1 से 2 घंटे के लिए फ्रिज में रख दें। परोसते समय कटे हुए पिस्ते से गार्निश करें। ठंडा परोसें!</v>
      </c>
      <c r="J220" s="3" t="s">
        <v>31883</v>
      </c>
      <c r="L220" s="1" t="s">
        <v>31003</v>
      </c>
    </row>
    <row r="221" spans="1:12" ht="13.8">
      <c r="A221" s="1" t="s">
        <v>31884</v>
      </c>
      <c r="B221" s="1" t="str">
        <f ca="1">IFERROR(__xludf.dummyfunction("IF(A221="""", """", GOOGLETRANSLATE(A221, ""en"", ""hi""))"),"तंदूरी पनीर टिक्का मसाला")</f>
        <v>तंदूरी पनीर टिक्का मसाला</v>
      </c>
      <c r="C221" s="1" t="s">
        <v>14207</v>
      </c>
      <c r="D221" s="1" t="s">
        <v>14237</v>
      </c>
      <c r="E221" s="1">
        <v>60</v>
      </c>
      <c r="F221" s="1" t="s">
        <v>31885</v>
      </c>
      <c r="G221" s="1" t="str">
        <f ca="1">IFERROR(__xludf.dummyfunction("IF(F221="""", """", GOOGLETRANSLATE(F221, ""en"", ""hi""))"),"250 ग्राम पनीर - कटा हुआ, 2 कोयला, 2 कप टमाटर प्यूरी, 3 बड़े चम्मच क्रीम - भारी फेंटा हुआ, 5 पुदीना, 3 लहसुन की कलियां, 1 अदरक, 1 छोटा चम्मच सौंफ, 1/2 छोटा चम्मच अजवाइन, 1 केसर - थोड़ा सा, 1/2 छोटा चम्मच जीरा पाउडर, 1 छोटा चम्मच धनिया पाउडर, 1 छोटा चम्मच "&amp;"चाट मसाला पाउडर, 1/2 छोटा चम्मच गरम मसाला पाउडर, 1/2 छोटा चम्मच काली मिर्च पाउडर, 1/4 छोटा चम्मच लाल मिर्च पाउडर, 1/4 छोटा चम्मच काला नमक या सेंधा नमक, 1 छोटा चम्मच हल्दी पाउडर, नमक - स्वादानुसार")</f>
        <v>250 ग्राम पनीर - कटा हुआ, 2 कोयला, 2 कप टमाटर प्यूरी, 3 बड़े चम्मच क्रीम - भारी फेंटा हुआ, 5 पुदीना, 3 लहसुन की कलियां, 1 अदरक, 1 छोटा चम्मच सौंफ, 1/2 छोटा चम्मच अजवाइन, 1 केसर - थोड़ा सा, 1/2 छोटा चम्मच जीरा पाउडर, 1 छोटा चम्मच धनिया पाउडर, 1 छोटा चम्मच चाट मसाला पाउडर, 1/2 छोटा चम्मच गरम मसाला पाउडर, 1/2 छोटा चम्मच काली मिर्च पाउडर, 1/4 छोटा चम्मच लाल मिर्च पाउडर, 1/4 छोटा चम्मच काला नमक या सेंधा नमक, 1 छोटा चम्मच हल्दी पाउडर, नमक - स्वादानुसार</v>
      </c>
      <c r="H221" s="1" t="s">
        <v>31886</v>
      </c>
      <c r="I221" s="1" t="str">
        <f ca="1">IFERROR(__xludf.dummyfunction("IF(H221="""", """", GOOGLETRANSLATE(H221, ""en"", ""hi""))"),"तंदूरी पनीर टिक्का मसाला बनाने के लिए सबसे पहले हम मसाला बनाएंगे। एक बाउल में क्रीम और पुदीना डालकर मिक्स कर लें। अब सौंफ और अजवाइन को पीसकर क्रीम में मिला लें। बची हुई टिक्का मसाला सामग्री को क्रीम वाले मिक्सचर में डालकर मिक्स कर लें। पनीर के टुकड़ों को "&amp;"क्रीम वाले मिक्सचर में डालकर मिक्स कर लें। इसे 1 घंटे के लिए अलग रख दें। अब अदरक और लहसुन का पेस्ट बना लें। एक पैन में तेल गर्म करके उसमें अदरक लहसुन का पेस्ट डालें, 30 सेकंड बाद टमाटर प्यूरी डालकर उबलने दें। अब पनीर, नमक और बचा हुआ मसाला डालकर मिक्स कर ल"&amp;"ें। मिक्स करके पैन को ढक दें और 3 से 4 मिनट तक पकने दें। अब 2 कोयले के टुकड़े लें और उसे गैस पर भून लें। इसे 5 मिनट तक भून लें। इस कोयले को एक बाउल में डालकर पैन के बीच में रख दें। कोयले पर एक चम्मच घी डालें और पैन को ढक दें। 1 मिनट बाद कोयला हटा दें और स"&amp;"ब्जी को गरमागरम सर्व करें। तंदूरी पनीर टिक्का मसाला को तवा पराठा, बूंदी रायता और सलाद के साथ सर्व करें।")</f>
        <v>तंदूरी पनीर टिक्का मसाला बनाने के लिए सबसे पहले हम मसाला बनाएंगे। एक बाउल में क्रीम और पुदीना डालकर मिक्स कर लें। अब सौंफ और अजवाइन को पीसकर क्रीम में मिला लें। बची हुई टिक्का मसाला सामग्री को क्रीम वाले मिक्सचर में डालकर मिक्स कर लें। पनीर के टुकड़ों को क्रीम वाले मिक्सचर में डालकर मिक्स कर लें। इसे 1 घंटे के लिए अलग रख दें। अब अदरक और लहसुन का पेस्ट बना लें। एक पैन में तेल गर्म करके उसमें अदरक लहसुन का पेस्ट डालें, 30 सेकंड बाद टमाटर प्यूरी डालकर उबलने दें। अब पनीर, नमक और बचा हुआ मसाला डालकर मिक्स कर लें। मिक्स करके पैन को ढक दें और 3 से 4 मिनट तक पकने दें। अब 2 कोयले के टुकड़े लें और उसे गैस पर भून लें। इसे 5 मिनट तक भून लें। इस कोयले को एक बाउल में डालकर पैन के बीच में रख दें। कोयले पर एक चम्मच घी डालें और पैन को ढक दें। 1 मिनट बाद कोयला हटा दें और सब्जी को गरमागरम सर्व करें। तंदूरी पनीर टिक्का मसाला को तवा पराठा, बूंदी रायता और सलाद के साथ सर्व करें।</v>
      </c>
      <c r="J221" s="3" t="s">
        <v>31887</v>
      </c>
      <c r="L221" s="1" t="s">
        <v>31003</v>
      </c>
    </row>
    <row r="222" spans="1:12" ht="13.8">
      <c r="A222" s="1" t="s">
        <v>31888</v>
      </c>
      <c r="B222" s="1" t="str">
        <f ca="1">IFERROR(__xludf.dummyfunction("IF(A222="""", """", GOOGLETRANSLATE(A222, ""en"", ""hi""))"),"आलू गोभी सब्ज़ी रेसिपी - आलू और फूलगोभी की सूखी करी")</f>
        <v>आलू गोभी सब्ज़ी रेसिपी - आलू और फूलगोभी की सूखी करी</v>
      </c>
      <c r="C222" s="1" t="s">
        <v>145</v>
      </c>
      <c r="D222" s="1" t="s">
        <v>14198</v>
      </c>
      <c r="E222" s="1">
        <v>30</v>
      </c>
      <c r="F222" s="1" t="s">
        <v>31889</v>
      </c>
      <c r="G222" s="1" t="str">
        <f ca="1">IFERROR(__xludf.dummyfunction("IF(F222="""", """", GOOGLETRANSLATE(F222, ""en"", ""hi""))"),"2 कप फूलगोभी - छोटे फूल, 1 कप आलू - छिले और कटे हुए, करी पत्ते - थोड़े (वैकल्पिक), 1 छोटा चम्मच धनिया पाउडर, 1/2 छोटा चम्मच गरम मसाला पाउडर, 1 छोटा चम्मच लाल मिर्च पाउडर, 1/2 छोटा चम्मच हल्दी पाउडर, 1/4 छोटा चम्मच हींग - वैकल्पिक, नमक - स्वादानुसार, 2 बड़"&amp;"े चम्मच सूरजमुखी तेल - या घी, कसूरी मेथी - या धनिया पत्ता (कटा हुआ) गार्निश के लिए, नींबू के टुकड़े - थोड़े")</f>
        <v>2 कप फूलगोभी - छोटे फूल, 1 कप आलू - छिले और कटे हुए, करी पत्ते - थोड़े (वैकल्पिक), 1 छोटा चम्मच धनिया पाउडर, 1/2 छोटा चम्मच गरम मसाला पाउडर, 1 छोटा चम्मच लाल मिर्च पाउडर, 1/2 छोटा चम्मच हल्दी पाउडर, 1/4 छोटा चम्मच हींग - वैकल्पिक, नमक - स्वादानुसार, 2 बड़े चम्मच सूरजमुखी तेल - या घी, कसूरी मेथी - या धनिया पत्ता (कटा हुआ) गार्निश के लिए, नींबू के टुकड़े - थोड़े</v>
      </c>
      <c r="H222" s="1" t="s">
        <v>31890</v>
      </c>
      <c r="I222" s="1" t="str">
        <f ca="1">IFERROR(__xludf.dummyfunction("IF(H222="""", """", GOOGLETRANSLATE(H222, ""en"", ""hi""))"),"आलू गोभी की सब्जी बनाने के लिए सबसे पहले फूलगोभी को छोटे-छोटे टुकड़ों में काट लें और खूब सारे पानी में धो लें; पानी निथार कर एक तरफ रख दें। आलू को धो लें, छील लें और मध्यम आकार के टुकड़ों में काट लें; एक तरफ रख दें। एक मध्यम आकार के गहरे सॉस पैन या कड़ाई "&amp;"में तेल या घी गर्म करें। तेल गर्म हो जाए तो आंच धीमी कर दें और मसाले (हल्दी, मिर्च पाउडर, धनिया पाउडर, गरम मसाला पाउडर और हिंग) डालें; कुछ सेकंड के लिए भूनें। आंच बढ़ाएं और तुरंत कटे हुए आलू डालें; मसाले अच्छी तरह से मिलाएँ। थोड़ा सा नमक डालें और लगभग एक "&amp;"मिनट के लिए तेज आंच पर भूनें। फूलगोभी के फूल और नमक डालकर अच्छी तरह मिलाएँ। जब सब्जियां और मसाले अच्छी तरह मिल जाएं तो आंच धीमी कर दें इसमें पानी न डालें। जब सब्ज़ियाँ आपकी मनचाही स्थिरता तक पक जाएँ, तो आँच बंद कर दें, आँच से उतार लें। ऊपर से कुचली हुई सू"&amp;"खी मेथी (कसूरी मेथी) या कटी हुई धनिया पत्ती से गार्निश करें। इसे अम्लीय तत्व देने के लिए इसमें नींबू या नीबू का रस निचोड़ें। आलू गोभी की सब्ज़ी को पंचमेल दाल और फुल्के के साथ सप्ताह के दिनों में खाएँ। आप इस खाने के साथ बूंदी रायता भी परोस सकते हैं।")</f>
        <v>आलू गोभी की सब्जी बनाने के लिए सबसे पहले फूलगोभी को छोटे-छोटे टुकड़ों में काट लें और खूब सारे पानी में धो लें; पानी निथार कर एक तरफ रख दें। आलू को धो लें, छील लें और मध्यम आकार के टुकड़ों में काट लें; एक तरफ रख दें। एक मध्यम आकार के गहरे सॉस पैन या कड़ाई में तेल या घी गर्म करें। तेल गर्म हो जाए तो आंच धीमी कर दें और मसाले (हल्दी, मिर्च पाउडर, धनिया पाउडर, गरम मसाला पाउडर और हिंग) डालें; कुछ सेकंड के लिए भूनें। आंच बढ़ाएं और तुरंत कटे हुए आलू डालें; मसाले अच्छी तरह से मिलाएँ। थोड़ा सा नमक डालें और लगभग एक मिनट के लिए तेज आंच पर भूनें। फूलगोभी के फूल और नमक डालकर अच्छी तरह मिलाएँ। जब सब्जियां और मसाले अच्छी तरह मिल जाएं तो आंच धीमी कर दें इसमें पानी न डालें। जब सब्ज़ियाँ आपकी मनचाही स्थिरता तक पक जाएँ, तो आँच बंद कर दें, आँच से उतार लें। ऊपर से कुचली हुई सूखी मेथी (कसूरी मेथी) या कटी हुई धनिया पत्ती से गार्निश करें। इसे अम्लीय तत्व देने के लिए इसमें नींबू या नीबू का रस निचोड़ें। आलू गोभी की सब्ज़ी को पंचमेल दाल और फुल्के के साथ सप्ताह के दिनों में खाएँ। आप इस खाने के साथ बूंदी रायता भी परोस सकते हैं।</v>
      </c>
      <c r="J222" s="3" t="s">
        <v>31891</v>
      </c>
      <c r="L222" s="1" t="s">
        <v>31003</v>
      </c>
    </row>
    <row r="223" spans="1:12" ht="13.8">
      <c r="A223" s="1" t="s">
        <v>31892</v>
      </c>
      <c r="B223" s="1" t="str">
        <f ca="1">IFERROR(__xludf.dummyfunction("IF(A223="""", """", GOOGLETRANSLATE(A223, ""en"", ""hi""))"),"पनीर मटर बटर मसाला")</f>
        <v>पनीर मटर बटर मसाला</v>
      </c>
      <c r="C223" s="1" t="s">
        <v>429</v>
      </c>
      <c r="D223" s="1" t="s">
        <v>14237</v>
      </c>
      <c r="E223" s="1">
        <v>60</v>
      </c>
      <c r="F223" s="1" t="s">
        <v>31893</v>
      </c>
      <c r="G223" s="1" t="str">
        <f ca="1">IFERROR(__xludf.dummyfunction("IF(F223="""", """", GOOGLETRANSLATE(F223, ""en"", ""hi""))"),"1-1/2 कप पनीर - कटा हुआ, तेल - आवश्यकतानुसार, 1/2 कप हरी मटर, नमक - स्वादानुसार, 1/2 चम्मच लाल मिर्च पाउडर, 1 चम्मच चीनी, 1/4 कप दूध, 1 चम्मच कसूरी मेथी, 1 लाल प्याज, 2 टमाटर - बारीक कटे हुए, 1 इंच अदरक - बारीक कटा हुआ, 1 लौंग लहसुन - छिला और बारीक कटा हु"&amp;"आ, 2 बड़े चम्मच घी, 2 सूखी लाल मिर्च, 2 लौंग, 3 इलायची, 1/2 इंच दालचीनी, 4 साबुत काली मिर्च, 1/2 चम्मच धनिया के बीज, 1/4 कप काजू - टूटे हुए")</f>
        <v>1-1/2 कप पनीर - कटा हुआ, तेल - आवश्यकतानुसार, 1/2 कप हरी मटर, नमक - स्वादानुसार, 1/2 चम्मच लाल मिर्च पाउडर, 1 चम्मच चीनी, 1/4 कप दूध, 1 चम्मच कसूरी मेथी, 1 लाल प्याज, 2 टमाटर - बारीक कटे हुए, 1 इंच अदरक - बारीक कटा हुआ, 1 लौंग लहसुन - छिला और बारीक कटा हुआ, 2 बड़े चम्मच घी, 2 सूखी लाल मिर्च, 2 लौंग, 3 इलायची, 1/2 इंच दालचीनी, 4 साबुत काली मिर्च, 1/2 चम्मच धनिया के बीज, 1/4 कप काजू - टूटे हुए</v>
      </c>
      <c r="H223" s="1" t="s">
        <v>31894</v>
      </c>
      <c r="I223" s="1" t="str">
        <f ca="1">IFERROR(__xludf.dummyfunction("IF(H223="""", """", GOOGLETRANSLATE(H223, ""en"", ""hi""))"),"""पनीर मटर बटर मसाला बनाने के लिए सबसे पहले एक पैन में तेल गर्म करें। इसमें पनीर के टुकड़े डालें और हल्का सुनहरा भूरा होने तक पकाएं। एक तरफ रख दें। अब हम इसके लिए ग्रेवी बनाएंगे। एक पैन में घी या मक्खन गर्म करें। इसमें प्याज और मटर डालें। प्याज के नरम होन"&amp;"े तक पकाएं। नरम होने के बाद इसमें अदरक, लहसुन डालें और 1 से 2 मिनट तक पकने दें। 2 मिनट बाद इसमें सूखी लाल मिर्च, लौंग, इलायची, दालचीनी, काली मिर्च और धनिया के बीज डालें। मिक्स करें और 15 सेकंड बाद टमाटर डालें। टमाटर के नरम होने तक पकने दें। गैस बंद कर दें"&amp;"। इस मिश्रण के ठंडा होने के बाद इसे मिक्सर ग्राइंडर में डालें। इसमें 1/4 कप काजू, पानी डालकर पीस लें। इस मिश्रण को फिर से पैन में डालें। गैस चालू करें और 20 सेकंड बाद इसमें पनीर के टुकड़े, स्वादानुसार नमक, चीनी, कसूरी मेथी, लाल मिर्च पाउडर और थोड़ा पानी ड"&amp;"ालें। 2 मिनट बाद इसमें दूध डालें और मिलाएँ। 3 से 4 मिनट तक पकाएँ। पकाएँ और गैस बंद कर दें। पनीर बटर मसाला को पंचमेल दाल, पालक के साथ सर्व करें रात के खाने में रायता और फुल्के।")</f>
        <v>"पनीर मटर बटर मसाला बनाने के लिए सबसे पहले एक पैन में तेल गर्म करें। इसमें पनीर के टुकड़े डालें और हल्का सुनहरा भूरा होने तक पकाएं। एक तरफ रख दें। अब हम इसके लिए ग्रेवी बनाएंगे। एक पैन में घी या मक्खन गर्म करें। इसमें प्याज और मटर डालें। प्याज के नरम होने तक पकाएं। नरम होने के बाद इसमें अदरक, लहसुन डालें और 1 से 2 मिनट तक पकने दें। 2 मिनट बाद इसमें सूखी लाल मिर्च, लौंग, इलायची, दालचीनी, काली मिर्च और धनिया के बीज डालें। मिक्स करें और 15 सेकंड बाद टमाटर डालें। टमाटर के नरम होने तक पकने दें। गैस बंद कर दें। इस मिश्रण के ठंडा होने के बाद इसे मिक्सर ग्राइंडर में डालें। इसमें 1/4 कप काजू, पानी डालकर पीस लें। इस मिश्रण को फिर से पैन में डालें। गैस चालू करें और 20 सेकंड बाद इसमें पनीर के टुकड़े, स्वादानुसार नमक, चीनी, कसूरी मेथी, लाल मिर्च पाउडर और थोड़ा पानी डालें। 2 मिनट बाद इसमें दूध डालें और मिलाएँ। 3 से 4 मिनट तक पकाएँ। पकाएँ और गैस बंद कर दें। पनीर बटर मसाला को पंचमेल दाल, पालक के साथ सर्व करें रात के खाने में रायता और फुल्के।</v>
      </c>
      <c r="J223" s="3" t="s">
        <v>31895</v>
      </c>
      <c r="L223" s="1" t="s">
        <v>31003</v>
      </c>
    </row>
    <row r="224" spans="1:12" ht="13.8">
      <c r="A224" s="1" t="s">
        <v>31896</v>
      </c>
      <c r="B224" s="1" t="str">
        <f ca="1">IFERROR(__xludf.dummyfunction("IF(A224="""", """", GOOGLETRANSLATE(A224, ""en"", ""hi""))"),"प्याज लहसुन रहित लौकी पनीर कोफ्ता करी रेसिपी")</f>
        <v>प्याज लहसुन रहित लौकी पनीर कोफ्ता करी रेसिपी</v>
      </c>
      <c r="C224" s="1" t="s">
        <v>429</v>
      </c>
      <c r="D224" s="1" t="s">
        <v>14237</v>
      </c>
      <c r="E224" s="1">
        <v>70</v>
      </c>
      <c r="F224" s="1" t="s">
        <v>31897</v>
      </c>
      <c r="G224" s="1" t="str">
        <f ca="1">IFERROR(__xludf.dummyfunction("IF(F224="""", """", GOOGLETRANSLATE(F224, ""en"", ""hi""))"),"500 ग्राम लौकी - छीलकर कद्दूकस कर लें, 200 ग्राम पनीर - टुकड़े टुकड़े कर लें, 1/4 छोटा चम्मच हल्दी, 1/4 छोटा चम्मच गरम मसाला, 1/4 कप राजगिरा आटा - बांधने के लिए, नमक - या स्वादानुसार सेंधा नमक, 2 कप टमाटर - टुकड़ों में कटे हुए, 2 हरी मिर्च - बारीक कटी हुई"&amp;", 1 तेज पत्ता - तोड़ा हुआ, 1 दालचीनी, 2 इलायची - पाउडर बना लें, 1/2 छोटा चम्मच हल्दी, 1/2 छोटा चम्मच धनिया, 1/2 कप दही, नमक - या स्वादानुसार सेंधा नमक, 2 टहनी धनिया - बारीक कटी हुई, सूरजमुखी का तेल - पकाने के लिए")</f>
        <v>500 ग्राम लौकी - छीलकर कद्दूकस कर लें, 200 ग्राम पनीर - टुकड़े टुकड़े कर लें, 1/4 छोटा चम्मच हल्दी, 1/4 छोटा चम्मच गरम मसाला, 1/4 कप राजगिरा आटा - बांधने के लिए, नमक - या स्वादानुसार सेंधा नमक, 2 कप टमाटर - टुकड़ों में कटे हुए, 2 हरी मिर्च - बारीक कटी हुई, 1 तेज पत्ता - तोड़ा हुआ, 1 दालचीनी, 2 इलायची - पाउडर बना लें, 1/2 छोटा चम्मच हल्दी, 1/2 छोटा चम्मच धनिया, 1/2 कप दही, नमक - या स्वादानुसार सेंधा नमक, 2 टहनी धनिया - बारीक कटी हुई, सूरजमुखी का तेल - पकाने के लिए</v>
      </c>
      <c r="H224" s="1" t="s">
        <v>31898</v>
      </c>
      <c r="I224" s="1" t="str">
        <f ca="1">IFERROR(__xludf.dummyfunction("IF(H224="""", """", GOOGLETRANSLATE(H224, ""en"", ""hi""))"),"हम प्याज़ लहसुन रहित लौकी पनीर कोफ्ता करी रेसिपी बनाना शुरू करते हैं, एक भारी तले की कड़ाही में तेल गर्म करें। इसमें टमाटर, हरी मिर्च, जीरा, थोड़ा सा हल्दी पाउडर और नमक डालें। टमाटर के नरम होने तक पकाएँ। टमाटर पक जाने के बाद इसे ठंडा होने के लिए अलग रख दे"&amp;"ं। फिर इस मिश्रण को ब्लेंडर या मिक्सर ग्राइंडर का उपयोग करके मुलायम पेस्ट बना लें। कोफ्ते बनाने के लिए, सभी सामग्री तैयार रखें, लौकी से पानी निकाल दें और इसे एक कटोरे में पनीर, हल्दी पाउडर, गरम मसाला पाउडर, राजगिरा आटा, नमक जैसी अन्य सामग्री के साथ मिलाएँ"&amp;" और छोटे आकार के कोफ्ते बॉल्स बना लें। कोफ्ते के लिए कम तेल का उपयोग करने के लिए आप एक पनियारम पैन में कोफ्ते को प्रत्येक कोफ्ते के लिए एक चम्मच तेल के साथ तल सकते हैं और इसे लगभग 2 मिनट तक पका सकते फिर टमाटर के पेस्ट को बाकी मसाले पाउडर के साथ करी में डा"&amp;"लें और लगभग 5 मिनट तक पकाएँ। एक बार हो जाने पर दही डालें, इसे चलाएँ और इसे 5 मिनट तक उबलने दें। ग्रेवी को सर्विंग डिश में डालने के बाद कोफ्ते डालें ताकि कोफ्ते गीले न हो जाएँ। अपने मुंह में पानी लाने वाले प्याज़ लहसुन रहित लौकी पनीर कोफ्ता करी रेसिपी को अ"&amp;"जवाइन पूरी, पालक रायता और कचुम्बर सलाद के साथ अपने सप्ताह के खाने के लिए परोसें।")</f>
        <v>हम प्याज़ लहसुन रहित लौकी पनीर कोफ्ता करी रेसिपी बनाना शुरू करते हैं, एक भारी तले की कड़ाही में तेल गर्म करें। इसमें टमाटर, हरी मिर्च, जीरा, थोड़ा सा हल्दी पाउडर और नमक डालें। टमाटर के नरम होने तक पकाएँ। टमाटर पक जाने के बाद इसे ठंडा होने के लिए अलग रख दें। फिर इस मिश्रण को ब्लेंडर या मिक्सर ग्राइंडर का उपयोग करके मुलायम पेस्ट बना लें। कोफ्ते बनाने के लिए, सभी सामग्री तैयार रखें, लौकी से पानी निकाल दें और इसे एक कटोरे में पनीर, हल्दी पाउडर, गरम मसाला पाउडर, राजगिरा आटा, नमक जैसी अन्य सामग्री के साथ मिलाएँ और छोटे आकार के कोफ्ते बॉल्स बना लें। कोफ्ते के लिए कम तेल का उपयोग करने के लिए आप एक पनियारम पैन में कोफ्ते को प्रत्येक कोफ्ते के लिए एक चम्मच तेल के साथ तल सकते हैं और इसे लगभग 2 मिनट तक पका सकते फिर टमाटर के पेस्ट को बाकी मसाले पाउडर के साथ करी में डालें और लगभग 5 मिनट तक पकाएँ। एक बार हो जाने पर दही डालें, इसे चलाएँ और इसे 5 मिनट तक उबलने दें। ग्रेवी को सर्विंग डिश में डालने के बाद कोफ्ते डालें ताकि कोफ्ते गीले न हो जाएँ। अपने मुंह में पानी लाने वाले प्याज़ लहसुन रहित लौकी पनीर कोफ्ता करी रेसिपी को अजवाइन पूरी, पालक रायता और कचुम्बर सलाद के साथ अपने सप्ताह के खाने के लिए परोसें।</v>
      </c>
      <c r="J224" s="3" t="s">
        <v>31899</v>
      </c>
      <c r="L224" s="1" t="s">
        <v>31003</v>
      </c>
    </row>
    <row r="225" spans="1:12" ht="13.8">
      <c r="A225" s="1" t="s">
        <v>31900</v>
      </c>
      <c r="B225" s="1" t="str">
        <f ca="1">IFERROR(__xludf.dummyfunction("IF(A225="""", """", GOOGLETRANSLATE(A225, ""en"", ""hi""))"),"केसर पिस्ता कुल्फी रेसिपी")</f>
        <v>केसर पिस्ता कुल्फी रेसिपी</v>
      </c>
      <c r="C225" s="1" t="s">
        <v>8417</v>
      </c>
      <c r="D225" s="1" t="s">
        <v>14198</v>
      </c>
      <c r="E225" s="1">
        <v>95</v>
      </c>
      <c r="F225" s="1" t="s">
        <v>31901</v>
      </c>
      <c r="G225" s="1" t="str">
        <f ca="1">IFERROR(__xludf.dummyfunction("IF(F225="""", """", GOOGLETRANSLATE(F225, ""en"", ""hi""))"),"3 लीटर दूध - (मैं 2% वसा का उपयोग करती हूं), 1/2 कप चीनी, 1 चम्मच केसर, 2 चम्मच इलायची पाउडर (इलायची) - ताजा कुटी हुई, 1/2 कप पिस्ता - बारीक कटा हुआ")</f>
        <v>3 लीटर दूध - (मैं 2% वसा का उपयोग करती हूं), 1/2 कप चीनी, 1 चम्मच केसर, 2 चम्मच इलायची पाउडर (इलायची) - ताजा कुटी हुई, 1/2 कप पिस्ता - बारीक कटा हुआ</v>
      </c>
      <c r="H225" s="1" t="s">
        <v>31902</v>
      </c>
      <c r="I225" s="1" t="str">
        <f ca="1">IFERROR(__xludf.dummyfunction("IF(H225="""", """", GOOGLETRANSLATE(H225, ""en"", ""hi""))"),"केसर पिस्ता कुल्फी बनाने के लिए सबसे पहले हमें दूध को गाढ़ा करना होगा। इसके लिए एक भारी तले वाले सॉस पैन में दूध गर्म करें और दूध को उबाल लें। जब दूध उबलने लगे तो आंच धीमी कर दें और दूध को लगभग लगातार चलाते हुए उबालें और दूध की मात्रा आधी से ज्यादा कर दें"&amp;"। यह ध्यान रखना जरूरी है कि दूध के संघनन के शुरुआती चरणों के दौरान लगातार हिलाना जरूरी है, लेकिन जैसे ही यह संघनित होना शुरू होता है और आधी मात्रा से कम हो जाता है तो लगातार हिलाते रहना बेहद जरूरी है। ऐसा इसलिए है क्योंकि गाढ़ा दूध पैन के नीचे और किनारों "&amp;"पर चिपक जाता है और जल जाता है; जिससे बहुत बुरा स्वाद आता है। दूध का जलना भी जहरीला होता है इसलिए आपको अतिरिक्त सावधानी बरतनी चाहिए। जब ​​इसकी मात्रा आधी से ज्यादा हो जाए तो इसमें चीनी डालकर तब तक हिलाएं जब तक यह पूरी तरह घुल न जाए केसर पिस्ता कुल्फी मिश्र"&amp;"ण को सांचों में तब तक डालें जब तक वह 3/4 न भर जाए, उन्हें एयरटाइट सील करें और फ्रिज में जमा दें। केसर पिस्ता कुल्फी को जमने में पंद्रह घंटे या उससे अधिक समय लगता है। अगर आपको बाजार में लकड़ी की आइसक्रीम स्टिक मिलती है, तो आप उन्हें डाल सकते हैं और कुल्फी "&amp;"को जमा सकते हैं। जम जाने के बाद आप केसर पिस्ता कुल्फी के सांचों को पानी के नीचे चला सकते हैं ताकि प्लेट में आसानी से निकल सके और परोसें। केसर पिस्ता कुल्फी को अपनी होली या दिवाली पार्टी में परोसें या जब आपने अपनी पार्टियों के लिए एक विस्तृत भारतीय डिनर मे"&amp;"नू की योजना बनाई हो। आप इसे त्योहार के दौरान अपने मेहमानों को पनीर टिक्का और चाट आइटम जैसे कुछ स्वादिष्ट ऐपेटाइज़र के साथ भी परोस सकते हैं।")</f>
        <v>केसर पिस्ता कुल्फी बनाने के लिए सबसे पहले हमें दूध को गाढ़ा करना होगा। इसके लिए एक भारी तले वाले सॉस पैन में दूध गर्म करें और दूध को उबाल लें। जब दूध उबलने लगे तो आंच धीमी कर दें और दूध को लगभग लगातार चलाते हुए उबालें और दूध की मात्रा आधी से ज्यादा कर दें। यह ध्यान रखना जरूरी है कि दूध के संघनन के शुरुआती चरणों के दौरान लगातार हिलाना जरूरी है, लेकिन जैसे ही यह संघनित होना शुरू होता है और आधी मात्रा से कम हो जाता है तो लगातार हिलाते रहना बेहद जरूरी है। ऐसा इसलिए है क्योंकि गाढ़ा दूध पैन के नीचे और किनारों पर चिपक जाता है और जल जाता है; जिससे बहुत बुरा स्वाद आता है। दूध का जलना भी जहरीला होता है इसलिए आपको अतिरिक्त सावधानी बरतनी चाहिए। जब ​​इसकी मात्रा आधी से ज्यादा हो जाए तो इसमें चीनी डालकर तब तक हिलाएं जब तक यह पूरी तरह घुल न जाए केसर पिस्ता कुल्फी मिश्रण को सांचों में तब तक डालें जब तक वह 3/4 न भर जाए, उन्हें एयरटाइट सील करें और फ्रिज में जमा दें। केसर पिस्ता कुल्फी को जमने में पंद्रह घंटे या उससे अधिक समय लगता है। अगर आपको बाजार में लकड़ी की आइसक्रीम स्टिक मिलती है, तो आप उन्हें डाल सकते हैं और कुल्फी को जमा सकते हैं। जम जाने के बाद आप केसर पिस्ता कुल्फी के सांचों को पानी के नीचे चला सकते हैं ताकि प्लेट में आसानी से निकल सके और परोसें। केसर पिस्ता कुल्फी को अपनी होली या दिवाली पार्टी में परोसें या जब आपने अपनी पार्टियों के लिए एक विस्तृत भारतीय डिनर मेनू की योजना बनाई हो। आप इसे त्योहार के दौरान अपने मेहमानों को पनीर टिक्का और चाट आइटम जैसे कुछ स्वादिष्ट ऐपेटाइज़र के साथ भी परोस सकते हैं।</v>
      </c>
      <c r="J225" s="3" t="s">
        <v>31903</v>
      </c>
      <c r="L225" s="1" t="s">
        <v>31003</v>
      </c>
    </row>
    <row r="226" spans="1:12" ht="409.6">
      <c r="A226" s="1" t="s">
        <v>31904</v>
      </c>
      <c r="B226" s="1" t="str">
        <f ca="1">IFERROR(__xludf.dummyfunction("IF(A226="""", """", GOOGLETRANSLATE(A226, ""en"", ""hi""))"),"कुरकुरा पालक पकौड़ा रेसिपी - कुझी पनियारम पैन में बनाया गया")</f>
        <v>कुरकुरा पालक पकौड़ा रेसिपी - कुझी पनियारम पैन में बनाया गया</v>
      </c>
      <c r="C226" s="1" t="s">
        <v>14281</v>
      </c>
      <c r="D226" s="1" t="s">
        <v>14198</v>
      </c>
      <c r="E226" s="1">
        <v>30</v>
      </c>
      <c r="F226" s="1" t="s">
        <v>31905</v>
      </c>
      <c r="G226" s="1" t="str">
        <f ca="1">IFERROR(__xludf.dummyfunction("IF(F226="""", """", GOOGLETRANSLATE(F226, ""en"", ""hi""))"),"3/4 कप बेसन, 1/4 कप चावल का आटा, 1 कप पालक - कटा हुआ, 1 प्याज - बारीक कटा हुआ, 1 हरी मिर्च - बारीक कटी हुई, 2 लहसुन - कसा हुआ, 1 इंच अदरक - कसा हुआ, 1 चम्मच सौंफ, 1/4 चम्मच इनोस फ्रूट साल्ट, 1/4 चम्मच एसएसपी हींग, नमक - स्वादानुसार, सूरजमुखी तेल, चाट मसाल"&amp;"ा पाउडर - छिड़कने के लिए")</f>
        <v>3/4 कप बेसन, 1/4 कप चावल का आटा, 1 कप पालक - कटा हुआ, 1 प्याज - बारीक कटा हुआ, 1 हरी मिर्च - बारीक कटी हुई, 2 लहसुन - कसा हुआ, 1 इंच अदरक - कसा हुआ, 1 चम्मच सौंफ, 1/4 चम्मच इनोस फ्रूट साल्ट, 1/4 चम्मच एसएसपी हींग, नमक - स्वादानुसार, सूरजमुखी तेल, चाट मसाला पाउडर - छिड़कने के लिए</v>
      </c>
      <c r="H226" s="4" t="s">
        <v>31906</v>
      </c>
      <c r="I226" s="1" t="str">
        <f ca="1">IFERROR(__xludf.dummyfunction("IF(H226="""", """", GOOGLETRANSLATE(H226, ""en"", ""hi""))"),"पालक पकौड़ा रेसिपी बनाने के लिए सबसे पहले सारी सामग्री तैयार कर लें और एक तरफ रख दें। एक मिक्सिंग बाउल में बेसन, चावल का आटा, पालक, प्याज, हरी मिर्च, लहसुन, अदरक, सौंफ, इनो, हिंग और नमक मिलाएं। बाउल में थोड़ा-थोड़ा पानी डालकर गाढ़ा घोल बनाएं। मध्यम आंच पर"&amp;" कुझी पनियारम पैन गरम करें, पैन के हर गड्ढे में 1/2 चम्मच तेल डालें। प्रत्येक गड्ढे में एक बड़ा चम्मच पालक पकौड़ा बैटर डालें और भूरा और कुरकुरा होने तक तलें, दूसरी तरफ पलटें और भी पकाएं। पक जाने के बाद पालक पकौड़ों को तेल सोखने वाले कागज से ढकी प्लेट में "&amp;"निकाल लें और इन कुरकुरे पकौड़ों को गर्मागर्म सर्व करें। पालक पकौड़ों को पुदीने की चटनी और अदरक की चाय के साथ मानसून में चाय के समय के नाश्ते के रूप में परोसें।")</f>
        <v>पालक पकौड़ा रेसिपी बनाने के लिए सबसे पहले सारी सामग्री तैयार कर लें और एक तरफ रख दें। एक मिक्सिंग बाउल में बेसन, चावल का आटा, पालक, प्याज, हरी मिर्च, लहसुन, अदरक, सौंफ, इनो, हिंग और नमक मिलाएं। बाउल में थोड़ा-थोड़ा पानी डालकर गाढ़ा घोल बनाएं। मध्यम आंच पर कुझी पनियारम पैन गरम करें, पैन के हर गड्ढे में 1/2 चम्मच तेल डालें। प्रत्येक गड्ढे में एक बड़ा चम्मच पालक पकौड़ा बैटर डालें और भूरा और कुरकुरा होने तक तलें, दूसरी तरफ पलटें और भी पकाएं। पक जाने के बाद पालक पकौड़ों को तेल सोखने वाले कागज से ढकी प्लेट में निकाल लें और इन कुरकुरे पकौड़ों को गर्मागर्म सर्व करें। पालक पकौड़ों को पुदीने की चटनी और अदरक की चाय के साथ मानसून में चाय के समय के नाश्ते के रूप में परोसें।</v>
      </c>
      <c r="J226" s="3" t="s">
        <v>31907</v>
      </c>
      <c r="L226" s="1" t="s">
        <v>31003</v>
      </c>
    </row>
    <row r="227" spans="1:12" ht="13.8">
      <c r="A227" s="1" t="s">
        <v>31908</v>
      </c>
      <c r="B227" s="1" t="str">
        <f ca="1">IFERROR(__xludf.dummyfunction("IF(A227="""", """", GOOGLETRANSLATE(A227, ""en"", ""hi""))"),"दही वाले आलू")</f>
        <v>दही वाले आलू</v>
      </c>
      <c r="C227" s="1" t="s">
        <v>145</v>
      </c>
      <c r="D227" s="1" t="s">
        <v>14198</v>
      </c>
      <c r="E227" s="1">
        <v>55</v>
      </c>
      <c r="F227" s="1" t="s">
        <v>31909</v>
      </c>
      <c r="G227" s="1" t="str">
        <f ca="1">IFERROR(__xludf.dummyfunction("IF(F227="""", """", GOOGLETRANSLATE(F227, ""en"", ""hi""))"),"4 आलू - कटे हुए, 1-1/2 कप दही, 2 बड़े चम्मच बेसन, 1/3 छोटा चम्मच हींग, 1 छोटा चम्मच जीरा, 1 टहनी करी पत्ता, 1 प्याज - बारीक कटा हुआ, 1/2 छोटा चम्मच अदरक - बारीक कटा हुआ, 1/2 छोटा चम्मच लहसुन - बारीक कटा हुआ, 2 हरी मिर्च - कटी हुई, 1 छोटा चम्मच लाल मिर्च प"&amp;"ाउडर, 1-1/2 छोटा चम्मच धनिया पाउडर, 1/2 हल्दी पाउडर, नमक - स्वादानुसार, 4 बड़े चम्मच तेल, धनिया पत्ता - कटा हुआ (गार्निश के लिए)")</f>
        <v>4 आलू - कटे हुए, 1-1/2 कप दही, 2 बड़े चम्मच बेसन, 1/3 छोटा चम्मच हींग, 1 छोटा चम्मच जीरा, 1 टहनी करी पत्ता, 1 प्याज - बारीक कटा हुआ, 1/2 छोटा चम्मच अदरक - बारीक कटा हुआ, 1/2 छोटा चम्मच लहसुन - बारीक कटा हुआ, 2 हरी मिर्च - कटी हुई, 1 छोटा चम्मच लाल मिर्च पाउडर, 1-1/2 छोटा चम्मच धनिया पाउडर, 1/2 हल्दी पाउडर, नमक - स्वादानुसार, 4 बड़े चम्मच तेल, धनिया पत्ता - कटा हुआ (गार्निश के लिए)</v>
      </c>
      <c r="H227" s="1" t="s">
        <v>31910</v>
      </c>
      <c r="I227" s="1" t="str">
        <f ca="1">IFERROR(__xludf.dummyfunction("IF(H227="""", """", GOOGLETRANSLATE(H227, ""en"", ""hi""))"),"दही वाले आलू बनाने के लिए सबसे पहले आलू को धो लें। प्रेशर कुकर में आवश्यकतानुसार पानी और नमक डालें। 2 सीटी आने तक पकाएँ और गैस बंद कर दें। प्रेशर निकलने दें। आलू के ठंडा होने के बाद उन्हें छीलकर काट लें। एक बड़े बाउल में दही, बेसन और थोड़ा पानी डालें। अच्"&amp;"छी तरह मिलाएँ और ध्यान रखें कि गांठ न रहे। एक तरफ रख दें। अब एक पैन में तेल गर्म करें। उसमें जीरा और हींग डालें। 10 सेकंड बाद प्याज़ डालें और नरम होने तक पकाएँ। अब अदरक, लहसुन और हरी मिर्च डालें। करी पत्ता डालें और 2 मिनट तक पकने दें। अब लाल मिर्च पाउडर, "&amp;"धनिया पाउडर और हल्दी पाउडर डालें। 2 बड़े चम्मच पानी डालें और 3 से 4 मिनट तक पकने दें। अब आलू डालें और मिलाएँ। आँच धीमी करके उसमें दही और बेसन का मिश्रण डालें। मिलाएँ, नमक डालें और पैन को दबाएँ। इसे अगले 5 मिनट तक पकने दें और फिर हरे धनिये से गार्निश करें।"&amp;" दही वाले आलू को कचुम्बर सलाद और तवा पराठे के साथ लंच में सर्व करें।")</f>
        <v>दही वाले आलू बनाने के लिए सबसे पहले आलू को धो लें। प्रेशर कुकर में आवश्यकतानुसार पानी और नमक डालें। 2 सीटी आने तक पकाएँ और गैस बंद कर दें। प्रेशर निकलने दें। आलू के ठंडा होने के बाद उन्हें छीलकर काट लें। एक बड़े बाउल में दही, बेसन और थोड़ा पानी डालें। अच्छी तरह मिलाएँ और ध्यान रखें कि गांठ न रहे। एक तरफ रख दें। अब एक पैन में तेल गर्म करें। उसमें जीरा और हींग डालें। 10 सेकंड बाद प्याज़ डालें और नरम होने तक पकाएँ। अब अदरक, लहसुन और हरी मिर्च डालें। करी पत्ता डालें और 2 मिनट तक पकने दें। अब लाल मिर्च पाउडर, धनिया पाउडर और हल्दी पाउडर डालें। 2 बड़े चम्मच पानी डालें और 3 से 4 मिनट तक पकने दें। अब आलू डालें और मिलाएँ। आँच धीमी करके उसमें दही और बेसन का मिश्रण डालें। मिलाएँ, नमक डालें और पैन को दबाएँ। इसे अगले 5 मिनट तक पकने दें और फिर हरे धनिये से गार्निश करें। दही वाले आलू को कचुम्बर सलाद और तवा पराठे के साथ लंच में सर्व करें।</v>
      </c>
      <c r="J227" s="3" t="s">
        <v>31911</v>
      </c>
      <c r="L227" s="1" t="s">
        <v>31003</v>
      </c>
    </row>
    <row r="228" spans="1:12" ht="13.8">
      <c r="A228" s="1" t="s">
        <v>31912</v>
      </c>
      <c r="B228" s="1" t="str">
        <f ca="1">IFERROR(__xludf.dummyfunction("IF(A228="""", """", GOOGLETRANSLATE(A228, ""en"", ""hi""))"),"शाकाहारी नवरात्रि कोरमा")</f>
        <v>शाकाहारी नवरात्रि कोरमा</v>
      </c>
      <c r="C228" s="1" t="s">
        <v>145</v>
      </c>
      <c r="D228" s="1" t="s">
        <v>17937</v>
      </c>
      <c r="E228" s="1">
        <v>90</v>
      </c>
      <c r="F228" s="1" t="s">
        <v>31913</v>
      </c>
      <c r="G228" s="1" t="str">
        <f ca="1">IFERROR(__xludf.dummyfunction("IF(F228="""", """", GOOGLETRANSLATE(F228, ""en"", ""hi""))"),"2 गाजर - छोटे टुकड़ों में कटी हुई, 10 हरी फलियाँ - कटी हुई, 1/2 कप पत्तागोभी - कटी हुई, 2 आलू - उबले व कटे हुए, 1/2 कप टोफू - कटा हुआ, 2 प्याज - कटे हुए, 6 हरी मिर्च, 2 बड़े चम्मच अदरक लहसुन पेस्ट, 1/2 छोटा चम्मच हल्दी पाउडर, 1/2 छोटा चम्मच लाल मिर्च पाउड"&amp;"र, 1/4 छोटा चम्मच इलायची पाउडर, 1 बड़ी इलायची, 3 लौंग, 1 इंच अदरक, 1 कप नारियल दही, 1/2 कप नारियल का दूध - गाढ़ा, पुदीना - आवश्यकतानुसार, 8 केसर के रेशे, चांदी का वर्क - वैकल्पिक, अनानास - थोड़े (कटे हुए), 2 बड़े चम्मच किशमिश, 6-8 काजू - भुने हुए, 1 बड़ा "&amp;"चम्मच बादाम - पतले कटे हुए, 1 बड़ा चम्मच पिस्ता - पतले कटे हुए, 1/2 गरम मसाला पाउडर, नारियल तेल - आवश्यकतानुसार, 1-1/2 बड़ा चम्मच खसखस, 10 काजू, 15 बादाम")</f>
        <v>2 गाजर - छोटे टुकड़ों में कटी हुई, 10 हरी फलियाँ - कटी हुई, 1/2 कप पत्तागोभी - कटी हुई, 2 आलू - उबले व कटे हुए, 1/2 कप टोफू - कटा हुआ, 2 प्याज - कटे हुए, 6 हरी मिर्च, 2 बड़े चम्मच अदरक लहसुन पेस्ट, 1/2 छोटा चम्मच हल्दी पाउडर, 1/2 छोटा चम्मच लाल मिर्च पाउडर, 1/4 छोटा चम्मच इलायची पाउडर, 1 बड़ी इलायची, 3 लौंग, 1 इंच अदरक, 1 कप नारियल दही, 1/2 कप नारियल का दूध - गाढ़ा, पुदीना - आवश्यकतानुसार, 8 केसर के रेशे, चांदी का वर्क - वैकल्पिक, अनानास - थोड़े (कटे हुए), 2 बड़े चम्मच किशमिश, 6-8 काजू - भुने हुए, 1 बड़ा चम्मच बादाम - पतले कटे हुए, 1 बड़ा चम्मच पिस्ता - पतले कटे हुए, 1/2 गरम मसाला पाउडर, नारियल तेल - आवश्यकतानुसार, 1-1/2 बड़ा चम्मच खसखस, 10 काजू, 15 बादाम</v>
      </c>
      <c r="H228" s="1" t="s">
        <v>31914</v>
      </c>
      <c r="I228" s="1" t="str">
        <f ca="1">IFERROR(__xludf.dummyfunction("IF(H228="""", """", GOOGLETRANSLATE(H228, ""en"", ""hi""))"),"""वीगन नवरतन कोरमा बनाने के लिए सबसे पहले काजू और बादाम को 30 मिनट के लिए पानी में भिगो दें। इसे खसखस ​​के साथ मिक्सर ग्राइंडर में डालकर पेस्ट बना लें। इसे एक तरफ रख दें। सभी सब्जियों को नरम होने तक पकाएँ और एक तरफ रख दें। एक पैन में तेल गरम करें। इसमें ल"&amp;"ौंग, दालचीनी, इलायची और काली इलायची डालें। 15 सेकंड के बाद, प्याज, अदरक और लहसुन डालें। 2 मिनट तक पकाएँ और हरी मिर्च डालें। प्याज के नरम होने तक पकाएँ और ठंडा होने के लिए एक तरफ रख दें। ठंडा होने के बाद, इसे मिक्सर ग्राइंडर में डालें और पेस्ट बना लें। इस "&amp;"पेस्ट को फिर से पैन में डालें। लाल मिर्च पाउडर, हल्दी पाउडर और नमक डालें। 3 से 4 मिनट तक पकाएँ। 4 मिनट के बाद, नारियल दही, नारियल का दूध और बादाम, काजू और खसखस ​​का पेस्ट डालें। मिलाएँ और 5 मिनट तक पकाएँ। 5 मिनट के बाद, सब्जियाँ, टोफू और 1 कप पानी डालें। "&amp;"मिलाएँ और 5 मिनट तक पकने दें। 5 मिनट के बाद गरम मसाला डालें और अच्छी तरह मिलाएँ। अब एक छोटे पैन में नारियल का तेल गर्म करें। इसमें काजू, किशमिश, बादाम और पिस्ता डालें। 15 सेकंड के बाद इसे ग्रेवी में मिला दें। सब्जी को एक कटोरे में निकाल लें और इसे सिल्वर "&amp;"फॉयल से ढक दें। अनानास, केसर और पुदीने से सजाएँ और परोसें। शाकाहारी नवरन कोरमा को लहसुनी दाल, कचुम्बर सलाद और फुल्के के साथ दोपहर के भोजन में परोसें।")</f>
        <v>"वीगन नवरतन कोरमा बनाने के लिए सबसे पहले काजू और बादाम को 30 मिनट के लिए पानी में भिगो दें। इसे खसखस ​​के साथ मिक्सर ग्राइंडर में डालकर पेस्ट बना लें। इसे एक तरफ रख दें। सभी सब्जियों को नरम होने तक पकाएँ और एक तरफ रख दें। एक पैन में तेल गरम करें। इसमें लौंग, दालचीनी, इलायची और काली इलायची डालें। 15 सेकंड के बाद, प्याज, अदरक और लहसुन डालें। 2 मिनट तक पकाएँ और हरी मिर्च डालें। प्याज के नरम होने तक पकाएँ और ठंडा होने के लिए एक तरफ रख दें। ठंडा होने के बाद, इसे मिक्सर ग्राइंडर में डालें और पेस्ट बना लें। इस पेस्ट को फिर से पैन में डालें। लाल मिर्च पाउडर, हल्दी पाउडर और नमक डालें। 3 से 4 मिनट तक पकाएँ। 4 मिनट के बाद, नारियल दही, नारियल का दूध और बादाम, काजू और खसखस ​​का पेस्ट डालें। मिलाएँ और 5 मिनट तक पकाएँ। 5 मिनट के बाद, सब्जियाँ, टोफू और 1 कप पानी डालें। मिलाएँ और 5 मिनट तक पकने दें। 5 मिनट के बाद गरम मसाला डालें और अच्छी तरह मिलाएँ। अब एक छोटे पैन में नारियल का तेल गर्म करें। इसमें काजू, किशमिश, बादाम और पिस्ता डालें। 15 सेकंड के बाद इसे ग्रेवी में मिला दें। सब्जी को एक कटोरे में निकाल लें और इसे सिल्वर फॉयल से ढक दें। अनानास, केसर और पुदीने से सजाएँ और परोसें। शाकाहारी नवरन कोरमा को लहसुनी दाल, कचुम्बर सलाद और फुल्के के साथ दोपहर के भोजन में परोसें।</v>
      </c>
      <c r="J228" s="3" t="s">
        <v>31915</v>
      </c>
      <c r="L228" s="1" t="s">
        <v>31003</v>
      </c>
    </row>
    <row r="229" spans="1:12" ht="13.8">
      <c r="A229" s="1" t="s">
        <v>31916</v>
      </c>
      <c r="B229" s="1" t="str">
        <f ca="1">IFERROR(__xludf.dummyfunction("IF(A229="""", """", GOOGLETRANSLATE(A229, ""en"", ""hi""))"),"कीमा बनाया हुआ मांस और अंडा क्रोकेट रेसिपी")</f>
        <v>कीमा बनाया हुआ मांस और अंडा क्रोकेट रेसिपी</v>
      </c>
      <c r="C229" s="1" t="s">
        <v>14572</v>
      </c>
      <c r="D229" s="1" t="s">
        <v>14382</v>
      </c>
      <c r="E229" s="1">
        <v>55</v>
      </c>
      <c r="F229" s="1" t="s">
        <v>31917</v>
      </c>
      <c r="G229" s="1" t="str">
        <f ca="1">IFERROR(__xludf.dummyfunction("IF(F229="""", """", GOOGLETRANSLATE(F229, ""en"", ""hi""))"),"500 ग्राम मटन - बारीक कटा हुआ, 4 पूरे अंडे - उबले और छिलके उतारे हुए, 1 प्याज - बारीक कटा हुआ, 1 चम्मच अदरक लहसुन का पेस्ट, 1 बड़ा चम्मच लाल मिर्च पाउडर, 1 चम्मच हल्दी पाउडर (हल्दी), 1 चम्मच जीरा पाउडर (जीरा), 1-1/2 चम्मच धनिया पाउडर (धनिया), नमक - स्वादा"&amp;"नुसार, 1 बड़ा चम्मच सूरजमुखी तेल, पानी - यदि आवश्यक हो, 2 बड़े चम्मच सभी उद्देश्य आटा (मैदा), 2 पूरे अंडे - पीटा, 1/4 कप पूरे गेहूं की रोटी के टुकड़े, सूरजमुखी तेल - गहरी तलने के लिए")</f>
        <v>500 ग्राम मटन - बारीक कटा हुआ, 4 पूरे अंडे - उबले और छिलके उतारे हुए, 1 प्याज - बारीक कटा हुआ, 1 चम्मच अदरक लहसुन का पेस्ट, 1 बड़ा चम्मच लाल मिर्च पाउडर, 1 चम्मच हल्दी पाउडर (हल्दी), 1 चम्मच जीरा पाउडर (जीरा), 1-1/2 चम्मच धनिया पाउडर (धनिया), नमक - स्वादानुसार, 1 बड़ा चम्मच सूरजमुखी तेल, पानी - यदि आवश्यक हो, 2 बड़े चम्मच सभी उद्देश्य आटा (मैदा), 2 पूरे अंडे - पीटा, 1/4 कप पूरे गेहूं की रोटी के टुकड़े, सूरजमुखी तेल - गहरी तलने के लिए</v>
      </c>
      <c r="H229" s="1" t="s">
        <v>31918</v>
      </c>
      <c r="I229" s="1" t="str">
        <f ca="1">IFERROR(__xludf.dummyfunction("IF(H229="""", """", GOOGLETRANSLATE(H229, ""en"", ""hi""))"),"कीमा बनाया हुआ मांस और अंडा क्रोकेट बनाने की विधि शुरू करने के लिए, एक भारी तली वाले पैन में तेल गर्म करें। बारीक कटा हुआ प्याज़ डालें और प्याज़ के पारदर्शी होने तक भूनें। अदरक लहसुन का पेस्ट डालें और पेस्ट की कच्ची महक खत्म होने तक पकाएँ। मसाले पाउडर और "&amp;"नमक डालकर अच्छी तरह मिलाएँ। कीमा बनाया हुआ मटन डालें और 5 मिनट तक पकाएँ। मटन अपना रस छोड़ देगा। मैंने मांस को बिना पानी डाले उसके रस में पकाया। इसे पूरी तरह से पकने में लगभग 30 मिनट लगे। चूल्हे से उतारें और पूरी तरह से ठंडा करें। एक गहरे तलने वाले पैन में"&amp;" तलने के लिए तेल गर्म करें। कीमा बनाया हुआ मटन मिश्रण को 4 बराबर भागों में बाँट लें। एक भाग लें और इसे अपनी हथेली में रखें, दबाएँ और एक साथ मिलाने की कोशिश करें। इसे थोड़ा चपटा करें और बीच में एक पूरा उबला हुआ अंडा रखें और अंडे को पूरी तरह से ढकने के लिए "&amp;"मांस को इकट्ठा करें। इसे बेलनाकार आकार देने की कोशिश करें। अगर आपको इसे आकार देने के लिए मांस को संभालना बहुत मुश्किल लगता है, तो 1 या 2 चम्मच पीटा हुआ अंडा डालें और मांस के साथ काम करें। पहले क्रोकेट को आटे में रोल करें, फिर इसे अंडे में डुबोएं और फिर ब्"&amp;"रेड क्रम्ब्स के साथ रोल करें। सभी मांस के लिए इसे दोहराएं। तेल में सुनहरा भूरा होने तक क्रोकेट को डीप फ्राई करें। किचन पेपर हटा दें। टमाटर लहसुन चटनी या अपनी पसंद की किसी भी डिपिंग सॉस के साथ कीमा बनाया हुआ मांस और अंडा क्रोकेट गरम परोसें।")</f>
        <v>कीमा बनाया हुआ मांस और अंडा क्रोकेट बनाने की विधि शुरू करने के लिए, एक भारी तली वाले पैन में तेल गर्म करें। बारीक कटा हुआ प्याज़ डालें और प्याज़ के पारदर्शी होने तक भूनें। अदरक लहसुन का पेस्ट डालें और पेस्ट की कच्ची महक खत्म होने तक पकाएँ। मसाले पाउडर और नमक डालकर अच्छी तरह मिलाएँ। कीमा बनाया हुआ मटन डालें और 5 मिनट तक पकाएँ। मटन अपना रस छोड़ देगा। मैंने मांस को बिना पानी डाले उसके रस में पकाया। इसे पूरी तरह से पकने में लगभग 30 मिनट लगे। चूल्हे से उतारें और पूरी तरह से ठंडा करें। एक गहरे तलने वाले पैन में तलने के लिए तेल गर्म करें। कीमा बनाया हुआ मटन मिश्रण को 4 बराबर भागों में बाँट लें। एक भाग लें और इसे अपनी हथेली में रखें, दबाएँ और एक साथ मिलाने की कोशिश करें। इसे थोड़ा चपटा करें और बीच में एक पूरा उबला हुआ अंडा रखें और अंडे को पूरी तरह से ढकने के लिए मांस को इकट्ठा करें। इसे बेलनाकार आकार देने की कोशिश करें। अगर आपको इसे आकार देने के लिए मांस को संभालना बहुत मुश्किल लगता है, तो 1 या 2 चम्मच पीटा हुआ अंडा डालें और मांस के साथ काम करें। पहले क्रोकेट को आटे में रोल करें, फिर इसे अंडे में डुबोएं और फिर ब्रेड क्रम्ब्स के साथ रोल करें। सभी मांस के लिए इसे दोहराएं। तेल में सुनहरा भूरा होने तक क्रोकेट को डीप फ्राई करें। किचन पेपर हटा दें। टमाटर लहसुन चटनी या अपनी पसंद की किसी भी डिपिंग सॉस के साथ कीमा बनाया हुआ मांस और अंडा क्रोकेट गरम परोसें।</v>
      </c>
      <c r="J229" s="3" t="s">
        <v>31919</v>
      </c>
      <c r="L229" s="1" t="s">
        <v>31003</v>
      </c>
    </row>
    <row r="230" spans="1:12" ht="13.8">
      <c r="A230" s="1" t="s">
        <v>31920</v>
      </c>
      <c r="B230" s="1" t="str">
        <f ca="1">IFERROR(__xludf.dummyfunction("IF(A230="""", """", GOOGLETRANSLATE(A230, ""en"", ""hi""))"),"खट्टी मीठी मिर्ची की सब्जी रेसिपी")</f>
        <v>खट्टी मीठी मिर्ची की सब्जी रेसिपी</v>
      </c>
      <c r="C230" s="1" t="s">
        <v>145</v>
      </c>
      <c r="D230" s="1" t="s">
        <v>14208</v>
      </c>
      <c r="E230" s="1">
        <v>45</v>
      </c>
      <c r="F230" s="1" t="s">
        <v>31921</v>
      </c>
      <c r="G230" s="1" t="str">
        <f ca="1">IFERROR(__xludf.dummyfunction("IF(F230="""", """", GOOGLETRANSLATE(F230, ""en"", ""hi""))"),"10 हरी मिर्च, 1/2 चम्मच हींग, ठंडा पानी - आवश्यकतानुसार, 1/2 चम्मच लाल मिर्च पाउडर, 1/4 चम्मच हल्दी पाउडर, 1 चम्मच अमचूर, 1 चम्मच धनिया पाउडर, 1 चम्मच गरम मसाला पाउडर, 1 चम्मच नींबू का रस, 3 चम्मच कच्ची मूंगफली - कुटी हुई, नमक - आवश्यकतानुसार, सूरजमुखी ते"&amp;"ल - आवश्यकतानुसार, 2 टहनी धनिया - कटी हुई")</f>
        <v>10 हरी मिर्च, 1/2 चम्मच हींग, ठंडा पानी - आवश्यकतानुसार, 1/2 चम्मच लाल मिर्च पाउडर, 1/4 चम्मच हल्दी पाउडर, 1 चम्मच अमचूर, 1 चम्मच धनिया पाउडर, 1 चम्मच गरम मसाला पाउडर, 1 चम्मच नींबू का रस, 3 चम्मच कच्ची मूंगफली - कुटी हुई, नमक - आवश्यकतानुसार, सूरजमुखी तेल - आवश्यकतानुसार, 2 टहनी धनिया - कटी हुई</v>
      </c>
      <c r="H230" s="1" t="s">
        <v>31922</v>
      </c>
      <c r="I230" s="1" t="str">
        <f ca="1">IFERROR(__xludf.dummyfunction("IF(H230="""", """", GOOGLETRANSLATE(H230, ""en"", ""hi""))"),"खट्टी मीठी मिर्ची की सब्जी बनाने के लिए सबसे पहले मिर्च को आधा काट लें और बीज निकाल दें। एक कड़ाही में तेल गर्म करें और तेल गर्म होने पर हींग डालें। 5 से 10 सेकंड के बाद हरी मिर्च डालें और नरम होने तक पकाएं। लाल मिर्च पाउडर, हल्दी पाउडर, अमचूर, गरम मसाला,"&amp;" धनिया, नमक और नींबू का रस डालें। इसे अच्छी तरह मिलाएँ। हरी मिर्च पक जाने पर इसमें पिसी हुई मूंगफली डालें और अच्छी तरह मिलाएँ। हरी मिर्च के नरम और कुरकुरी हो जाने पर आँच बंद कर दें और इसे एक सर्विंग बाउल में निकाल लें और ताज़ा धनिया पत्ती से गार्निश करें।"&amp;" खट्टी मीठी मिर्ची की सब्जी को थेपला, लौकी रायता और पंचमेल दाल के साथ परोसें।")</f>
        <v>खट्टी मीठी मिर्ची की सब्जी बनाने के लिए सबसे पहले मिर्च को आधा काट लें और बीज निकाल दें। एक कड़ाही में तेल गर्म करें और तेल गर्म होने पर हींग डालें। 5 से 10 सेकंड के बाद हरी मिर्च डालें और नरम होने तक पकाएं। लाल मिर्च पाउडर, हल्दी पाउडर, अमचूर, गरम मसाला, धनिया, नमक और नींबू का रस डालें। इसे अच्छी तरह मिलाएँ। हरी मिर्च पक जाने पर इसमें पिसी हुई मूंगफली डालें और अच्छी तरह मिलाएँ। हरी मिर्च के नरम और कुरकुरी हो जाने पर आँच बंद कर दें और इसे एक सर्विंग बाउल में निकाल लें और ताज़ा धनिया पत्ती से गार्निश करें। खट्टी मीठी मिर्ची की सब्जी को थेपला, लौकी रायता और पंचमेल दाल के साथ परोसें।</v>
      </c>
      <c r="J230" s="3" t="s">
        <v>31923</v>
      </c>
      <c r="L230" s="1" t="s">
        <v>31003</v>
      </c>
    </row>
    <row r="231" spans="1:12" ht="13.8">
      <c r="A231" s="1" t="s">
        <v>31924</v>
      </c>
      <c r="B231" s="1" t="str">
        <f ca="1">IFERROR(__xludf.dummyfunction("IF(A231="""", """", GOOGLETRANSLATE(A231, ""en"", ""hi""))"),"बेसन मेथी पराठा रेसिपी")</f>
        <v>बेसन मेथी पराठा रेसिपी</v>
      </c>
      <c r="C231" s="1" t="s">
        <v>16424</v>
      </c>
      <c r="D231" s="1" t="s">
        <v>14198</v>
      </c>
      <c r="E231" s="1">
        <v>30</v>
      </c>
      <c r="F231" s="1" t="s">
        <v>31925</v>
      </c>
      <c r="G231" s="1" t="str">
        <f ca="1">IFERROR(__xludf.dummyfunction("IF(F231="""", """", GOOGLETRANSLATE(F231, ""en"", ""hi""))"),"2 बड़े चम्मच सूरजमुखी तेल, 1/2 कप बेसन, 1/4 चम्मच हींग, 1/2 चम्मच अजवाइन, 1 चम्मच जीरा, 1 चम्मच लाल मिर्च पाउडर, 1 चम्मच धनिया पाउडर, 1 चम्मच जीरा, 1 चम्मच आमचूर, 1 चम्मच गरम मसाला पाउडर, नमक - स्वादानुसार, 1-1/2 कप मेथी के पत्ते - बारीक कटे हुए, 2 कप गेह"&amp;"ूं का आटा, पानी - आटा गूंथने के लिए, नमक - स्वादानुसार, घी - पराठे पकाने के लिए")</f>
        <v>2 बड़े चम्मच सूरजमुखी तेल, 1/2 कप बेसन, 1/4 चम्मच हींग, 1/2 चम्मच अजवाइन, 1 चम्मच जीरा, 1 चम्मच लाल मिर्च पाउडर, 1 चम्मच धनिया पाउडर, 1 चम्मच जीरा, 1 चम्मच आमचूर, 1 चम्मच गरम मसाला पाउडर, नमक - स्वादानुसार, 1-1/2 कप मेथी के पत्ते - बारीक कटे हुए, 2 कप गेहूं का आटा, पानी - आटा गूंथने के लिए, नमक - स्वादानुसार, घी - पराठे पकाने के लिए</v>
      </c>
      <c r="H231" s="1" t="s">
        <v>31926</v>
      </c>
      <c r="I231" s="1" t="str">
        <f ca="1">IFERROR(__xludf.dummyfunction("IF(H231="""", """", GOOGLETRANSLATE(H231, ""en"", ""hi""))"),"बेसन मेथी पराठा रेसिपी बनाने के लिए सबसे पहले हम पराठे के लिए भरावन तैयार करेंगे। एक पैन में मध्यम आंच पर तेल गर्म करें, उसमें जीरा, अजवाइन और हींग डालकर तड़काएं। इसमें बेसन डालें और मध्यम-तेज आंच पर लगातार चलाते हुए भून लें। जब बेसन हल्का भूरा हो जाए तो "&amp;"इसमें सूखे मसाले - लाल मिर्च पाउडर, धनिया पाउडर, जीरा पाउडर, अमचूर पाउडर, गरम मसाला और स्वादानुसार नमक डालें। अच्छी तरह मिलाएं और कटी हुई मेथी की पत्तियां पैन में डालें। अच्छी तरह मिलाएं और मेथी की पत्तियों को गलने दें और बेसन के मिश्रण में अच्छी तरह मिल "&amp;"जाएं। आंच बंद कर दें, बेसन मेथी भराई मिश्रण को एक कटोरे में डालें और इसे कमरे के तापमान पर ठंडा होने दें। जब सारा आटा एक साथ मिल जाए, आटे के ऊपर एक चम्मच तेल छिड़कें और एक-दो मिनट के लिए गूंद लें। आटे को ढककर अलग रख दें। बेसन मेथी पराठा बनाने के लिए आगे ब"&amp;"ढ़ें रोटी तवा को मध्यम आंच पर गर्म करें। पराठे बनाने के लिए, अपने पराठे के आटे को 6-8 बराबर आकार की गेंदों में विभाजित करें। एक को लगभग 2 इंच व्यास के गोलाकार में बेलना शुरू करें। डिस्क के केंद्र में एक चम्मच बेसन मेथी डालें। सर्कल के किनारों को केंद्र मे"&amp;"ं लाएं, चुटकी से दबाएं और धीरे से सील करें। आटे को अपनी हथेली से फिर से हल्का सा चपटा करें। यदि आवश्यक हो तो हल्के से आटे के साथ धूल दें और इसे धीरे से एक सर्कल में रोल करें यह सुनिश्चित करते हुए कि भराई सील रहे। बेसन मेथी पराठे को गर्म तवे पर रखें और दोन"&amp;"ों तरफ से भूरे धब्बे आने तक पकाएं जब बेसन मेथी पराठा कुरकुरा और सुनहरा भूरा हो जाए, तो उसे एक प्लेट में निकाल लें और बाकी बचे बेसन मेथी पराठे को भी इसी तरह पका लें। बेसन मेथी पराठे को बूंदी रायता, आम चूंदा अचार रेसिपी - गुजराती आम चूंदा रेसिपी और उसके बाद"&amp;" अदरक चाय रेसिपी - भारतीय स्टाइल अदरक की चाय के साथ संपूर्ण नाश्ते के लिए परोसें।")</f>
        <v>बेसन मेथी पराठा रेसिपी बनाने के लिए सबसे पहले हम पराठे के लिए भरावन तैयार करेंगे। एक पैन में मध्यम आंच पर तेल गर्म करें, उसमें जीरा, अजवाइन और हींग डालकर तड़काएं। इसमें बेसन डालें और मध्यम-तेज आंच पर लगातार चलाते हुए भून लें। जब बेसन हल्का भूरा हो जाए तो इसमें सूखे मसाले - लाल मिर्च पाउडर, धनिया पाउडर, जीरा पाउडर, अमचूर पाउडर, गरम मसाला और स्वादानुसार नमक डालें। अच्छी तरह मिलाएं और कटी हुई मेथी की पत्तियां पैन में डालें। अच्छी तरह मिलाएं और मेथी की पत्तियों को गलने दें और बेसन के मिश्रण में अच्छी तरह मिल जाएं। आंच बंद कर दें, बेसन मेथी भराई मिश्रण को एक कटोरे में डालें और इसे कमरे के तापमान पर ठंडा होने दें। जब सारा आटा एक साथ मिल जाए, आटे के ऊपर एक चम्मच तेल छिड़कें और एक-दो मिनट के लिए गूंद लें। आटे को ढककर अलग रख दें। बेसन मेथी पराठा बनाने के लिए आगे बढ़ें रोटी तवा को मध्यम आंच पर गर्म करें। पराठे बनाने के लिए, अपने पराठे के आटे को 6-8 बराबर आकार की गेंदों में विभाजित करें। एक को लगभग 2 इंच व्यास के गोलाकार में बेलना शुरू करें। डिस्क के केंद्र में एक चम्मच बेसन मेथी डालें। सर्कल के किनारों को केंद्र में लाएं, चुटकी से दबाएं और धीरे से सील करें। आटे को अपनी हथेली से फिर से हल्का सा चपटा करें। यदि आवश्यक हो तो हल्के से आटे के साथ धूल दें और इसे धीरे से एक सर्कल में रोल करें यह सुनिश्चित करते हुए कि भराई सील रहे। बेसन मेथी पराठे को गर्म तवे पर रखें और दोनों तरफ से भूरे धब्बे आने तक पकाएं जब बेसन मेथी पराठा कुरकुरा और सुनहरा भूरा हो जाए, तो उसे एक प्लेट में निकाल लें और बाकी बचे बेसन मेथी पराठे को भी इसी तरह पका लें। बेसन मेथी पराठे को बूंदी रायता, आम चूंदा अचार रेसिपी - गुजराती आम चूंदा रेसिपी और उसके बाद अदरक चाय रेसिपी - भारतीय स्टाइल अदरक की चाय के साथ संपूर्ण नाश्ते के लिए परोसें।</v>
      </c>
      <c r="J231" s="3" t="s">
        <v>31927</v>
      </c>
      <c r="L231" s="1" t="s">
        <v>31003</v>
      </c>
    </row>
    <row r="232" spans="1:12" ht="13.8">
      <c r="A232" s="1" t="s">
        <v>31928</v>
      </c>
      <c r="B232" s="1" t="str">
        <f ca="1">IFERROR(__xludf.dummyfunction("IF(A232="""", """", GOOGLETRANSLATE(A232, ""en"", ""hi""))"),"पनीर प्याज़ पराठा रेसिपी")</f>
        <v>पनीर प्याज़ पराठा रेसिपी</v>
      </c>
      <c r="C232" s="1" t="s">
        <v>145</v>
      </c>
      <c r="D232" s="1" t="s">
        <v>14237</v>
      </c>
      <c r="E232" s="1">
        <v>45</v>
      </c>
      <c r="F232" s="1" t="s">
        <v>31929</v>
      </c>
      <c r="G232" s="1" t="str">
        <f ca="1">IFERROR(__xludf.dummyfunction("IF(F232="""", """", GOOGLETRANSLATE(F232, ""en"", ""hi""))"),"3 कप गेहूं का आटा, 2 कप पानी - गूंधने के लिए, 1 बड़ा चम्मच सूरजमुखी तेल, गेहूं का आटा - छिड़कने के लिए, नमक - स्वादानुसार, 1 कप पनीर (घर का बना पनीर) - कसा हुआ, 1/2 कप प्याज - बारीक कटा हुआ, 2 हरी मिर्च - बारीक कटी हुई, धनिया (धनिया) के पत्ते - कुछ, 1/2 ब"&amp;"ड़ा चम्मच धनिया पाउडर (धनिया), 1/2 बड़ा चम्मच लाल मिर्च पाउडर, 1/4 बड़ा चम्मच गरम मसाला पाउडर, 1/2 बड़ा चम्मच चाट मसाला पाउडर, नमक - स्वादानुसार, घी - भूनने के लिए")</f>
        <v>3 कप गेहूं का आटा, 2 कप पानी - गूंधने के लिए, 1 बड़ा चम्मच सूरजमुखी तेल, गेहूं का आटा - छिड़कने के लिए, नमक - स्वादानुसार, 1 कप पनीर (घर का बना पनीर) - कसा हुआ, 1/2 कप प्याज - बारीक कटा हुआ, 2 हरी मिर्च - बारीक कटी हुई, धनिया (धनिया) के पत्ते - कुछ, 1/2 बड़ा चम्मच धनिया पाउडर (धनिया), 1/2 बड़ा चम्मच लाल मिर्च पाउडर, 1/4 बड़ा चम्मच गरम मसाला पाउडर, 1/2 बड़ा चम्मच चाट मसाला पाउडर, नमक - स्वादानुसार, घी - भूनने के लिए</v>
      </c>
      <c r="H232" s="1" t="s">
        <v>31930</v>
      </c>
      <c r="I232" s="1" t="str">
        <f ca="1">IFERROR(__xludf.dummyfunction("IF(H232="""", """", GOOGLETRANSLATE(H232, ""en"", ""hi""))"),"पनीर प्याज पराठा रेसिपी बनाने के लिए सबसे पहले हम आटा गूंथेंगे। एक कटोरे में गेहूं का आटा, नमक और तेल मिला लें। थोड़ा-थोड़ा पानी डालते हुए नरम आटा गूंथ लें, जैसे हम चपातियों के लिए आटा गूंथते हैं। हाथों पर तेल लगाकर इसे अच्छी तरह गूंथ लें। इसे ढककर कुछ दे"&amp;"र के लिए रख दें। पनीर प्याज पराठा रेसिपी के लिए भरावन बनाने के लिए; एक मिक्सिंग बाउल में कद्दूकस किया हुआ पनीर, कटे हुए प्याज, बारीक कटी हरी मिर्च और ताजा धनिया मिलाएं। अब इसमें सारे सूखे मसाले - नमक, लाल मिर्च पाउडर, गरम मसाला, धनिया पाउडर, चाट मसाला डाल"&amp;"ें और सारी चीजों को अच्छी तरह मिला लें। अब पराठे के आटे की एक बराबर साइज की लोई बनाएं और इस पर गेहूं का आटा छिड़कते हुए छोटी सी लोई बेल लें। बीच में थोड़ा भरावन डालें मध्यम-तेज़ आंच पर एक तवा गरम करें और उस पर बेला हुआ पनीर प्याज़ पराठा डालें। इसे एक तरफ़"&amp;" से थोड़ा पकने दें। पनीर प्याज़ पराठे को दूसरी तरफ़ पलटें और आधे पके पराठे पर थोड़ा घी फैलाएँ। जब दूसरा भाग आधा पक जाए तो इसे फिर से पलटें और थोड़ा घी फैलाएँ। इसे फिर से पलटें, ऐसा दो-तीन बार करें जब तक कि पनीर प्याज़ पराठा भूरा न हो जाए और अच्छी तरह से प"&amp;"क न जाए। अंत में पनीर प्याज़ पराठे के ऊपर मक्खन डालें और गरमागरम परोसें। पनीर प्याज़ पराठा रेसिपी को आम का अचार और टमाटर प्याज़ तड़का रायता के साथ परोसें।")</f>
        <v>पनीर प्याज पराठा रेसिपी बनाने के लिए सबसे पहले हम आटा गूंथेंगे। एक कटोरे में गेहूं का आटा, नमक और तेल मिला लें। थोड़ा-थोड़ा पानी डालते हुए नरम आटा गूंथ लें, जैसे हम चपातियों के लिए आटा गूंथते हैं। हाथों पर तेल लगाकर इसे अच्छी तरह गूंथ लें। इसे ढककर कुछ देर के लिए रख दें। पनीर प्याज पराठा रेसिपी के लिए भरावन बनाने के लिए; एक मिक्सिंग बाउल में कद्दूकस किया हुआ पनीर, कटे हुए प्याज, बारीक कटी हरी मिर्च और ताजा धनिया मिलाएं। अब इसमें सारे सूखे मसाले - नमक, लाल मिर्च पाउडर, गरम मसाला, धनिया पाउडर, चाट मसाला डालें और सारी चीजों को अच्छी तरह मिला लें। अब पराठे के आटे की एक बराबर साइज की लोई बनाएं और इस पर गेहूं का आटा छिड़कते हुए छोटी सी लोई बेल लें। बीच में थोड़ा भरावन डालें मध्यम-तेज़ आंच पर एक तवा गरम करें और उस पर बेला हुआ पनीर प्याज़ पराठा डालें। इसे एक तरफ़ से थोड़ा पकने दें। पनीर प्याज़ पराठे को दूसरी तरफ़ पलटें और आधे पके पराठे पर थोड़ा घी फैलाएँ। जब दूसरा भाग आधा पक जाए तो इसे फिर से पलटें और थोड़ा घी फैलाएँ। इसे फिर से पलटें, ऐसा दो-तीन बार करें जब तक कि पनीर प्याज़ पराठा भूरा न हो जाए और अच्छी तरह से पक न जाए। अंत में पनीर प्याज़ पराठे के ऊपर मक्खन डालें और गरमागरम परोसें। पनीर प्याज़ पराठा रेसिपी को आम का अचार और टमाटर प्याज़ तड़का रायता के साथ परोसें।</v>
      </c>
      <c r="J232" s="3" t="s">
        <v>31931</v>
      </c>
      <c r="L232" s="1" t="s">
        <v>31003</v>
      </c>
    </row>
    <row r="233" spans="1:12" ht="13.8">
      <c r="A233" s="1" t="s">
        <v>31932</v>
      </c>
      <c r="B233" s="1" t="str">
        <f ca="1">IFERROR(__xludf.dummyfunction("IF(A233="""", """", GOOGLETRANSLATE(A233, ""en"", ""hi""))"),"अचारी आंवला मिर्ची की सब्जी रेसिपी - आंवले और हरी मिर्च की सब्जी")</f>
        <v>अचारी आंवला मिर्ची की सब्जी रेसिपी - आंवले और हरी मिर्च की सब्जी</v>
      </c>
      <c r="C233" s="1" t="s">
        <v>14207</v>
      </c>
      <c r="D233" s="1" t="s">
        <v>14198</v>
      </c>
      <c r="E233" s="1">
        <v>30</v>
      </c>
      <c r="F233" s="1" t="s">
        <v>31933</v>
      </c>
      <c r="G233" s="1" t="str">
        <f ca="1">IFERROR(__xludf.dummyfunction("IF(F233="""", """", GOOGLETRANSLATE(F233, ""en"", ""hi""))"),"10 आंवला - छोटे टुकड़ों में कटा हुआ, 3 हरी मिर्च - 1 इंच के टुकड़ों में कटी हुई, 1 बड़ा चम्मच अचारी मसाला, 1 छोटा चम्मच लाल मिर्च पाउडर, 1/2 छोटा चम्मच हल्दी पाउडर, 2 छोटे चम्मच गुड़, नमक - स्वादानुसार, 1 छोटा चम्मच सौंफ, 1 छोटा चम्मच मेथी, 1 छोटा चम्मच स"&amp;"रसों के बीज, सूरजमुखी तेल, 1 चुटकी हींग")</f>
        <v>10 आंवला - छोटे टुकड़ों में कटा हुआ, 3 हरी मिर्च - 1 इंच के टुकड़ों में कटी हुई, 1 बड़ा चम्मच अचारी मसाला, 1 छोटा चम्मच लाल मिर्च पाउडर, 1/2 छोटा चम्मच हल्दी पाउडर, 2 छोटे चम्मच गुड़, नमक - स्वादानुसार, 1 छोटा चम्मच सौंफ, 1 छोटा चम्मच मेथी, 1 छोटा चम्मच सरसों के बीज, सूरजमुखी तेल, 1 चुटकी हींग</v>
      </c>
      <c r="H233" s="1" t="s">
        <v>31934</v>
      </c>
      <c r="I233" s="1" t="str">
        <f ca="1">IFERROR(__xludf.dummyfunction("IF(H233="""", """", GOOGLETRANSLATE(H233, ""en"", ""hi""))"),"अचारी आंवला मिर्ची की सब्जी बनाने के लिए सबसे पहले एक प्रेशर कुकर में तेल गर्म करें, उसमें आंवला और हरी मिर्च के साथ-साथ अचारी मसाला, लाल मिर्च पाउडर, हल्दी पाउडर, नमक (गुड़ को छोड़कर) डालें। इसमें लगभग 1/4 कप पानी डालें और 2 सीटी आने तक प्रेशर कुक करें औ"&amp;"र इसे बंद कर दें। प्रेशर को अपने आप निकलने दें। ढक्कन खोलें और प्रेशर कुकर को वापस चूल्हे पर रख दें। इसमें गुड़ डालें और तब तक पकाते रहें जब तक आंवला मिर्ची की सब्जी सूख न जाए। हो जाने पर आंच बंद कर दें। इसे एक तरफ रख दें, एक तड़का पैन में तेल गर्म करें, "&amp;"इसमें सौंफ, मेथी दाना और राई डालकर चटकने दें। इसमें चुटकी भर हिंग डालें और इसे सब्जी के ऊपर डालें, अचारी आंवला मिर्ची की सब्जी डालें और गर्मागर्म सर्व करें")</f>
        <v>अचारी आंवला मिर्ची की सब्जी बनाने के लिए सबसे पहले एक प्रेशर कुकर में तेल गर्म करें, उसमें आंवला और हरी मिर्च के साथ-साथ अचारी मसाला, लाल मिर्च पाउडर, हल्दी पाउडर, नमक (गुड़ को छोड़कर) डालें। इसमें लगभग 1/4 कप पानी डालें और 2 सीटी आने तक प्रेशर कुक करें और इसे बंद कर दें। प्रेशर को अपने आप निकलने दें। ढक्कन खोलें और प्रेशर कुकर को वापस चूल्हे पर रख दें। इसमें गुड़ डालें और तब तक पकाते रहें जब तक आंवला मिर्ची की सब्जी सूख न जाए। हो जाने पर आंच बंद कर दें। इसे एक तरफ रख दें, एक तड़का पैन में तेल गर्म करें, इसमें सौंफ, मेथी दाना और राई डालकर चटकने दें। इसमें चुटकी भर हिंग डालें और इसे सब्जी के ऊपर डालें, अचारी आंवला मिर्ची की सब्जी डालें और गर्मागर्म सर्व करें</v>
      </c>
      <c r="J233" s="3" t="s">
        <v>31935</v>
      </c>
      <c r="L233" s="1" t="s">
        <v>31003</v>
      </c>
    </row>
    <row r="234" spans="1:12" ht="409.6">
      <c r="A234" s="1" t="s">
        <v>31936</v>
      </c>
      <c r="B234" s="1" t="str">
        <f ca="1">IFERROR(__xludf.dummyfunction("IF(A234="""", """", GOOGLETRANSLATE(A234, ""en"", ""hi""))"),"आलू सब्ज़ी दम बिरयानी रेसिपी")</f>
        <v>आलू सब्ज़ी दम बिरयानी रेसिपी</v>
      </c>
      <c r="C234" s="1" t="s">
        <v>145</v>
      </c>
      <c r="D234" s="1" t="s">
        <v>14198</v>
      </c>
      <c r="E234" s="1">
        <v>70</v>
      </c>
      <c r="F234" s="1" t="s">
        <v>31937</v>
      </c>
      <c r="G234" s="1" t="str">
        <f ca="1">IFERROR(__xludf.dummyfunction("IF(F234="""", """", GOOGLETRANSLATE(F234, ""en"", ""hi""))"),"2 आलू - छीलकर टुकड़ों में काटे हुए, 1 प्याज - कटा हुआ, 1 गाजर - छीलकर कटा हुआ, 1/2 कप हरी बीन्स (फ्रेंच बीन्स) - कटी हुई, डेल मोंटे साबुत मकई के दाने - धोकर उबाले हुए, 1 टमाटर - कटा हुआ, 2 लौंग, 1/2 इंच दालचीनी, 1 बड़ा चम्मच लाल मिर्च पाउडर, 1/2 बड़ा चम्म"&amp;"च हल्दी पाउडर, 1 हरी मिर्च - लम्बाई में चीरी हुई, 2 बड़े चम्मच दही - फेंटा हुआ, 1 बड़ा चम्मच गरम मसाला पाउडर, 1 बड़ा चम्मच अदरक लहसुन पेस्ट, नमक - स्वादानुसार, 1 बड़ा चम्मच घी, 2 कप बासमती चावल - धोकर 30 मिनट पानी में भिगोए हुए, 2 लौंग, 2 इलायची के दाने/ब"&amp;"ीज, 1/2 इंच दालचीनी, 1 बड़ा चम्मच अदरक लहसुन पेस्ट, नमक - स्वादानुसार स्वादानुसार, 2 बड़े चम्मच धनिया पत्ते - बारीक कटे हुए, 2 बड़े चम्मच नींबू का रस, 1/2 बड़ा चम्मच गरम मसाला पाउडर, केसर के रेशे - दूध में घुले हुए, 2 बड़े चम्मच कैरमेलाइज़्ड प्याज़, 2 बड़"&amp;"े चम्मच घी")</f>
        <v>2 आलू - छीलकर टुकड़ों में काटे हुए, 1 प्याज - कटा हुआ, 1 गाजर - छीलकर कटा हुआ, 1/2 कप हरी बीन्स (फ्रेंच बीन्स) - कटी हुई, डेल मोंटे साबुत मकई के दाने - धोकर उबाले हुए, 1 टमाटर - कटा हुआ, 2 लौंग, 1/2 इंच दालचीनी, 1 बड़ा चम्मच लाल मिर्च पाउडर, 1/2 बड़ा चम्मच हल्दी पाउडर, 1 हरी मिर्च - लम्बाई में चीरी हुई, 2 बड़े चम्मच दही - फेंटा हुआ, 1 बड़ा चम्मच गरम मसाला पाउडर, 1 बड़ा चम्मच अदरक लहसुन पेस्ट, नमक - स्वादानुसार, 1 बड़ा चम्मच घी, 2 कप बासमती चावल - धोकर 30 मिनट पानी में भिगोए हुए, 2 लौंग, 2 इलायची के दाने/बीज, 1/2 इंच दालचीनी, 1 बड़ा चम्मच अदरक लहसुन पेस्ट, नमक - स्वादानुसार स्वादानुसार, 2 बड़े चम्मच धनिया पत्ते - बारीक कटे हुए, 2 बड़े चम्मच नींबू का रस, 1/2 बड़ा चम्मच गरम मसाला पाउडर, केसर के रेशे - दूध में घुले हुए, 2 बड़े चम्मच कैरमेलाइज़्ड प्याज़, 2 बड़े चम्मच घी</v>
      </c>
      <c r="H234" s="4" t="s">
        <v>31938</v>
      </c>
      <c r="I234" s="1" t="str">
        <f ca="1">IFERROR(__xludf.dummyfunction("IF(H234="""", """", GOOGLETRANSLATE(H234, ""en"", ""hi""))"),"आलू दम बिरयानी बनाने के लिए सबसे पहले एक भारी तले के बर्तन में तेल डालें। इसके बाद उसी पैन में लौंग और दालचीनी डालें। कटे हुए प्याज डालें और पारदर्शी होने तक भूनें। एक बार जब यह हो जाए तो अदरक-लहसुन का पेस्ट डालें और लगभग 1 मिनट तक भूनें जब तक कि कच्ची मह"&amp;"क गायब न हो जाए। गाजर, बीन्स डालें और आधा पकने तक पकने दें। इसके बाद पैन में आलू के टुकड़े, लाल मिर्च पाउडर, हल्दी पाउडर और गरम मसाला डालें। लगभग एक मिनट तक भूनें और 1/2 कप पानी डालें। तब तक पकाएं जब तक आलू के टुकड़े नरम न हो जाएं। अब इसमें फेंटा हुआ दही "&amp;"डालें और धीमी आंच पर तब तक पकाएं जब तक कि ग्रेवी गाढ़ी न हो जाए। चावल की परत के लिए, चावल को पर्याप्त पानी में इलायची, दालचीनी, लौंग, नमक और अदरक-लहसुन के पेस्ट के साथ उबालें एक भारी खाना पकाने वाले बर्तन (जिसमें हम चावल पकाने के लिए उपयोग करते हैं) के नी"&amp;"चे घी डालें। चावल की एक परत डालें और समान रूप से फैलाएँ। अब चावल पर आलू की एक परत डालें और समान रूप से फैलाएँ। तले हुए प्याज का आधा हिस्सा, कटा हुआ हरा धनिया, 1 बड़ा चम्मच नींबू का रस, गरम मसाला और 1 बड़ा चम्मच केसर वाला दूध डालें। इसे चावल की एक और परत क"&amp;"े साथ कवर करें और शेष तले हुए प्याज, कटा हुआ हरा धनिया, 1 बड़ा चम्मच नींबू का रस, गरम मसाला और 1 बड़ा चम्मच केसर वाला दूध डालें। अब 1 बड़ा चम्मच घी डालें और बर्तन के किनारों और ढक्कन को एल्युमिनियम फॉयल से सील करके धीमी आंच पर छोड़ दें। बिरयानी की सुगंध क"&amp;"ो सील करने के लिए ढक्कन के ऊपर कुछ भारी चीज रखें। इसे लगभग 15-20 मिनट तक धीमी आंच पर छोड़ दें। जब आप खाना पकाने वाले बर्तन पर 1 बड़ा चम्मच पानी छिड़कते हैं तो इसे सिसकना चाहिए। परोसने से पहले ऊपर से ताज़ा कटा हुआ धनिया और तले हुए प्याज़ डालें। आलू सब्जी द"&amp;"म बिरयानी को लौकी रायता, कच्चे आम रायता या अपनी पसंद के किसी भी रायते के साथ परोसें।")</f>
        <v>आलू दम बिरयानी बनाने के लिए सबसे पहले एक भारी तले के बर्तन में तेल डालें। इसके बाद उसी पैन में लौंग और दालचीनी डालें। कटे हुए प्याज डालें और पारदर्शी होने तक भूनें। एक बार जब यह हो जाए तो अदरक-लहसुन का पेस्ट डालें और लगभग 1 मिनट तक भूनें जब तक कि कच्ची महक गायब न हो जाए। गाजर, बीन्स डालें और आधा पकने तक पकने दें। इसके बाद पैन में आलू के टुकड़े, लाल मिर्च पाउडर, हल्दी पाउडर और गरम मसाला डालें। लगभग एक मिनट तक भूनें और 1/2 कप पानी डालें। तब तक पकाएं जब तक आलू के टुकड़े नरम न हो जाएं। अब इसमें फेंटा हुआ दही डालें और धीमी आंच पर तब तक पकाएं जब तक कि ग्रेवी गाढ़ी न हो जाए। चावल की परत के लिए, चावल को पर्याप्त पानी में इलायची, दालचीनी, लौंग, नमक और अदरक-लहसुन के पेस्ट के साथ उबालें एक भारी खाना पकाने वाले बर्तन (जिसमें हम चावल पकाने के लिए उपयोग करते हैं) के नीचे घी डालें। चावल की एक परत डालें और समान रूप से फैलाएँ। अब चावल पर आलू की एक परत डालें और समान रूप से फैलाएँ। तले हुए प्याज का आधा हिस्सा, कटा हुआ हरा धनिया, 1 बड़ा चम्मच नींबू का रस, गरम मसाला और 1 बड़ा चम्मच केसर वाला दूध डालें। इसे चावल की एक और परत के साथ कवर करें और शेष तले हुए प्याज, कटा हुआ हरा धनिया, 1 बड़ा चम्मच नींबू का रस, गरम मसाला और 1 बड़ा चम्मच केसर वाला दूध डालें। अब 1 बड़ा चम्मच घी डालें और बर्तन के किनारों और ढक्कन को एल्युमिनियम फॉयल से सील करके धीमी आंच पर छोड़ दें। बिरयानी की सुगंध को सील करने के लिए ढक्कन के ऊपर कुछ भारी चीज रखें। इसे लगभग 15-20 मिनट तक धीमी आंच पर छोड़ दें। जब आप खाना पकाने वाले बर्तन पर 1 बड़ा चम्मच पानी छिड़कते हैं तो इसे सिसकना चाहिए। परोसने से पहले ऊपर से ताज़ा कटा हुआ धनिया और तले हुए प्याज़ डालें। आलू सब्जी दम बिरयानी को लौकी रायता, कच्चे आम रायता या अपनी पसंद के किसी भी रायते के साथ परोसें।</v>
      </c>
      <c r="J234" s="3" t="s">
        <v>31939</v>
      </c>
      <c r="L234" s="1" t="s">
        <v>31003</v>
      </c>
    </row>
    <row r="235" spans="1:12" ht="13.8">
      <c r="A235" s="1" t="s">
        <v>31940</v>
      </c>
      <c r="B235" s="1" t="str">
        <f ca="1">IFERROR(__xludf.dummyfunction("IF(A235="""", """", GOOGLETRANSLATE(A235, ""en"", ""hi""))"),"टमाटर पोहा मटर रेसिपी")</f>
        <v>टमाटर पोहा मटर रेसिपी</v>
      </c>
      <c r="C235" s="1" t="s">
        <v>16424</v>
      </c>
      <c r="D235" s="1" t="s">
        <v>14198</v>
      </c>
      <c r="E235" s="1">
        <v>20</v>
      </c>
      <c r="F235" s="1" t="s">
        <v>31941</v>
      </c>
      <c r="G235" s="1" t="str">
        <f ca="1">IFERROR(__xludf.dummyfunction("IF(F235="""", """", GOOGLETRANSLATE(F235, ""en"", ""hi""))"),"2 कप पोहा, 1/2 कप हरी मटर - उबालकर छान लीजिये, 1 प्याज - बारीक कटा हुआ, 3 टमाटर - बारीक कटा हुआ, 1 हरी मिर्च - बारीक कटी हुई, 2 लहसुन - मोटा कुटा हुआ, 1 छोटा चम्मच सौंफ - मोटा कुटा हुआ, 1 छोटा चम्मच सरसों के बीज, 1/4 छोटा चम्मच हींग, 1/2 छोटा चम्मच हल्दी,"&amp;" 1 छोटा चम्मच लाल मिर्च पाउडर, 1 छोटा चम्मच धनिया पाउडर, 1 टहनी करी पत्ता, 2 बड़े चम्मच धनिया - गार्निश के लिए बारीक कटा हुआ, 2 छोटे चम्मच सूरजमुखी तेल, 2 छोटे चम्मच नींबू का रस, नमक - स्वादानुसार")</f>
        <v>2 कप पोहा, 1/2 कप हरी मटर - उबालकर छान लीजिये, 1 प्याज - बारीक कटा हुआ, 3 टमाटर - बारीक कटा हुआ, 1 हरी मिर्च - बारीक कटी हुई, 2 लहसुन - मोटा कुटा हुआ, 1 छोटा चम्मच सौंफ - मोटा कुटा हुआ, 1 छोटा चम्मच सरसों के बीज, 1/4 छोटा चम्मच हींग, 1/2 छोटा चम्मच हल्दी, 1 छोटा चम्मच लाल मिर्च पाउडर, 1 छोटा चम्मच धनिया पाउडर, 1 टहनी करी पत्ता, 2 बड़े चम्मच धनिया - गार्निश के लिए बारीक कटा हुआ, 2 छोटे चम्मच सूरजमुखी तेल, 2 छोटे चम्मच नींबू का रस, नमक - स्वादानुसार</v>
      </c>
      <c r="H235" s="1" t="s">
        <v>31942</v>
      </c>
      <c r="I235" s="1" t="str">
        <f ca="1">IFERROR(__xludf.dummyfunction("IF(H235="""", """", GOOGLETRANSLATE(H235, ""en"", ""hi""))"),"टमाटर पोहा विद मटर रेसिपी बनाने के लिए, पोहा को बहते पानी में धो लें और छलनी का उपयोग करके छान लें और एक तरफ रख दें। हरे मटर को गर्म पानी में भिगोकर अलग रख दें। एक कड़ाही में तेल गरम करें, उसमें सरसों के दाने डालें और उसे चटकने दें। जब दाने चटकने लगें तो "&amp;"पैन में मोटे तौर पर पीसे हुए सौंफ के बीज और लहसुन डालें और लहसुन के सुनहरा भूरा होने तक भूनें। जब हो जाए तो हींग, करी पत्ता डालें और उसे चटकने दें। प्याज़ डालें और पारदर्शी होने तक भूनें। टमाटर, हरी मिर्च डालें और टमाटर के नरम होने तक भूनें। अब हल्दी, लाल"&amp;" मिर्च और धनिया पाउडर डालें और एक मिनट तक भूनें। इसमें पोहा डालें, नमक डालें और सभी चीजों को धीरे-धीरे मिलाएँ। इसे ढक्कन से ढक दें और इसे 10 मिनट तक पकने दें जब तक कि पोहा पूरी तरह से पक न जाए। जब ​​हो जाए तो इसमें नींबू का रस डालें, धनिया पत्ती से गार्नि"&amp;"श करें, अच्छी तरह मिलाएँ और आँच बंद कर दें। टमाटर पोहा को एक सर्विंग प्लेट में डालें और परोसें। टमाटर पोहा विद मटर रेसिपी को कोको केला बादाम खजूर स्मूदी के साथ एक त्वरित नाश्ते के लिए या बच्चों के लंच बॉक्स के साथ कुछ कटे हुए फलों और नट्स के साथ परोसें।")</f>
        <v>टमाटर पोहा विद मटर रेसिपी बनाने के लिए, पोहा को बहते पानी में धो लें और छलनी का उपयोग करके छान लें और एक तरफ रख दें। हरे मटर को गर्म पानी में भिगोकर अलग रख दें। एक कड़ाही में तेल गरम करें, उसमें सरसों के दाने डालें और उसे चटकने दें। जब दाने चटकने लगें तो पैन में मोटे तौर पर पीसे हुए सौंफ के बीज और लहसुन डालें और लहसुन के सुनहरा भूरा होने तक भूनें। जब हो जाए तो हींग, करी पत्ता डालें और उसे चटकने दें। प्याज़ डालें और पारदर्शी होने तक भूनें। टमाटर, हरी मिर्च डालें और टमाटर के नरम होने तक भूनें। अब हल्दी, लाल मिर्च और धनिया पाउडर डालें और एक मिनट तक भूनें। इसमें पोहा डालें, नमक डालें और सभी चीजों को धीरे-धीरे मिलाएँ। इसे ढक्कन से ढक दें और इसे 10 मिनट तक पकने दें जब तक कि पोहा पूरी तरह से पक न जाए। जब ​​हो जाए तो इसमें नींबू का रस डालें, धनिया पत्ती से गार्निश करें, अच्छी तरह मिलाएँ और आँच बंद कर दें। टमाटर पोहा को एक सर्विंग प्लेट में डालें और परोसें। टमाटर पोहा विद मटर रेसिपी को कोको केला बादाम खजूर स्मूदी के साथ एक त्वरित नाश्ते के लिए या बच्चों के लंच बॉक्स के साथ कुछ कटे हुए फलों और नट्स के साथ परोसें।</v>
      </c>
      <c r="J235" s="3" t="s">
        <v>31943</v>
      </c>
      <c r="L235" s="1" t="s">
        <v>31003</v>
      </c>
    </row>
    <row r="236" spans="1:12" ht="13.8">
      <c r="A236" s="1" t="s">
        <v>31944</v>
      </c>
      <c r="B236" s="1" t="str">
        <f ca="1">IFERROR(__xludf.dummyfunction("IF(A236="""", """", GOOGLETRANSLATE(A236, ""en"", ""hi""))"),"अंकुरित मूंग चाट रेसिपी")</f>
        <v>अंकुरित मूंग चाट रेसिपी</v>
      </c>
      <c r="C236" s="1" t="s">
        <v>14281</v>
      </c>
      <c r="D236" s="1" t="s">
        <v>14198</v>
      </c>
      <c r="E236" s="1">
        <v>35</v>
      </c>
      <c r="F236" s="1" t="s">
        <v>31945</v>
      </c>
      <c r="G236" s="1" t="str">
        <f ca="1">IFERROR(__xludf.dummyfunction("IF(F236="""", """", GOOGLETRANSLATE(F236, ""en"", ""hi""))"),"1 चम्मच सूरजमुखी तेल, 1/4 चम्मच सरसों के बीज, 1/4 चम्मच जीरा (जीरा), 2 इंच अदरक - बारीक कटा हुआ, 2 हरी मिर्च - बारीक कटी हुई, 1/4 चम्मच हल्दी पाउडर (हल्दी), 2 टहनी करी पत्ते - बारीक कटा हुआ, 2 कप हरे मूंग अंकुरित, 2 टहनी पुदीना के पत्ते (स्वादानुसार नमक),"&amp;" 2 टहनी धनिया (धनिया) के पत्ते - एक नींबू का रस, 3 टहनी धनिया (धनिया) के पत्ते - बारीक कटे हुए, 1 कप पुदीना के पत्ते (पुदीना), 1 हरी मिर्च - मोटे तौर पर कटा हुआ, 1 इंच अदरक - मोटे तौर पर कटा हुआ, 2 लहसुन के दाने, 2 बड़े चम्मच बादाम (बादाम), 1/2 नींबू - रस"&amp;" निचोड़ा हुआ, 1 बड़ा चम्मच गुड़, नमक - स्वादानुसार, 1 प्याज - बारीक कटा हुआ, 1 टमाटर - बारीक कटा हुआ, 1/2 कप ताजा अनार के फल की गिरी, 4 टहनी धनिया (धनिया) के पत्ते - बारीक कटा हुआ, चाट मसाला पाउडर - छिड़काव के लिए")</f>
        <v>1 चम्मच सूरजमुखी तेल, 1/4 चम्मच सरसों के बीज, 1/4 चम्मच जीरा (जीरा), 2 इंच अदरक - बारीक कटा हुआ, 2 हरी मिर्च - बारीक कटी हुई, 1/4 चम्मच हल्दी पाउडर (हल्दी), 2 टहनी करी पत्ते - बारीक कटा हुआ, 2 कप हरे मूंग अंकुरित, 2 टहनी पुदीना के पत्ते (स्वादानुसार नमक), 2 टहनी धनिया (धनिया) के पत्ते - एक नींबू का रस, 3 टहनी धनिया (धनिया) के पत्ते - बारीक कटे हुए, 1 कप पुदीना के पत्ते (पुदीना), 1 हरी मिर्च - मोटे तौर पर कटा हुआ, 1 इंच अदरक - मोटे तौर पर कटा हुआ, 2 लहसुन के दाने, 2 बड़े चम्मच बादाम (बादाम), 1/2 नींबू - रस निचोड़ा हुआ, 1 बड़ा चम्मच गुड़, नमक - स्वादानुसार, 1 प्याज - बारीक कटा हुआ, 1 टमाटर - बारीक कटा हुआ, 1/2 कप ताजा अनार के फल की गिरी, 4 टहनी धनिया (धनिया) के पत्ते - बारीक कटा हुआ, चाट मसाला पाउडर - छिड़काव के लिए</v>
      </c>
      <c r="H236" s="1" t="s">
        <v>31946</v>
      </c>
      <c r="I236" s="1" t="str">
        <f ca="1">IFERROR(__xludf.dummyfunction("IF(H236="""", """", GOOGLETRANSLATE(H236, ""en"", ""hi""))"),"अंकुरित मूंग चाट बनाने के लिए सबसे पहले सभी सामग्री तैयार कर लें और उन्हें तैयार रखें। अंकुरित मूंग के लिए एक चम्मच तेल गर्म करें एक पहले से गरम पैन में राई, जीरा डालें और इसे चटकने दें। तड़कने के बाद इसमें अदरक, करी पत्ता, हरी मिर्च और हल्दी पाउडर डालें।"&amp;" इसे कुछ सेकंड के लिए हिलाएं। इसमें अंकुरित हरी मूंग दाल, स्वादानुसार नमक और 2 से 3 बड़े चम्मच पानी डालें। पैन को ढक दें और अंकुरित मूंग को थोड़ा नरम होने दें। आप चाहते हैं कि अंकुरित नरम हो जाएं, फिर भी अपना आकार बनाए रखें और गूदेदार न हों। एक बार हो जान"&amp;"े पर, एक नींबू से रस निचोड़ें, कटा हुआ हरा धनिया डालकर हिलाएं और एक तरफ रख दें। पुदीना चटनी के लिए, एक ब्लेंडर में पुदीने के पत्ते, हरी मिर्च, अदरक, लहसुन, बादाम, नमक, गुड़ और एक नींबू का रस डालें एक तरफ रख दें। चाट बनाने के लिए, अलग-अलग सर्विंग बाउल में "&amp;"1/2 कप अंकुरित मूंग डालें, पुदीना चटनी डालें, प्याज़, टमाटर, धनिया पत्ती से गार्निश करें और अंत में ऊपर से थोड़ा चाट मसाला छिड़कें और तुरंत परोसें। अंकुरित मूंग चाट को चाय के समय नाश्ते के रूप में गरम मसाला चाय के साथ या अपनी अगली चाट पॉटलक पार्टी में मसा"&amp;"लेदार और चटपटी पकौड़ी चाट के साथ परोसें।")</f>
        <v>अंकुरित मूंग चाट बनाने के लिए सबसे पहले सभी सामग्री तैयार कर लें और उन्हें तैयार रखें। अंकुरित मूंग के लिए एक चम्मच तेल गर्म करें एक पहले से गरम पैन में राई, जीरा डालें और इसे चटकने दें। तड़कने के बाद इसमें अदरक, करी पत्ता, हरी मिर्च और हल्दी पाउडर डालें। इसे कुछ सेकंड के लिए हिलाएं। इसमें अंकुरित हरी मूंग दाल, स्वादानुसार नमक और 2 से 3 बड़े चम्मच पानी डालें। पैन को ढक दें और अंकुरित मूंग को थोड़ा नरम होने दें। आप चाहते हैं कि अंकुरित नरम हो जाएं, फिर भी अपना आकार बनाए रखें और गूदेदार न हों। एक बार हो जाने पर, एक नींबू से रस निचोड़ें, कटा हुआ हरा धनिया डालकर हिलाएं और एक तरफ रख दें। पुदीना चटनी के लिए, एक ब्लेंडर में पुदीने के पत्ते, हरी मिर्च, अदरक, लहसुन, बादाम, नमक, गुड़ और एक नींबू का रस डालें एक तरफ रख दें। चाट बनाने के लिए, अलग-अलग सर्विंग बाउल में 1/2 कप अंकुरित मूंग डालें, पुदीना चटनी डालें, प्याज़, टमाटर, धनिया पत्ती से गार्निश करें और अंत में ऊपर से थोड़ा चाट मसाला छिड़कें और तुरंत परोसें। अंकुरित मूंग चाट को चाय के समय नाश्ते के रूप में गरम मसाला चाय के साथ या अपनी अगली चाट पॉटलक पार्टी में मसालेदार और चटपटी पकौड़ी चाट के साथ परोसें।</v>
      </c>
      <c r="J236" s="3" t="s">
        <v>31947</v>
      </c>
      <c r="L236" s="1" t="s">
        <v>31003</v>
      </c>
    </row>
    <row r="237" spans="1:12" ht="13.8">
      <c r="A237" s="1" t="s">
        <v>31948</v>
      </c>
      <c r="B237" s="1" t="str">
        <f ca="1">IFERROR(__xludf.dummyfunction("IF(A237="""", """", GOOGLETRANSLATE(A237, ""en"", ""hi""))"),"मिक्स वेजिटेबल हांडी रेसिपी")</f>
        <v>मिक्स वेजिटेबल हांडी रेसिपी</v>
      </c>
      <c r="C237" s="1" t="s">
        <v>145</v>
      </c>
      <c r="D237" s="1" t="s">
        <v>14198</v>
      </c>
      <c r="E237" s="1">
        <v>45</v>
      </c>
      <c r="F237" s="1" t="s">
        <v>31949</v>
      </c>
      <c r="G237" s="1" t="str">
        <f ca="1">IFERROR(__xludf.dummyfunction("IF(F237="""", """", GOOGLETRANSLATE(F237, ""en"", ""hi""))"),"2 बड़े चम्मच सूरजमुखी तेल, 1 बड़ा चम्मच जीरा, 2 तेज पत्ता, 1 प्याज - 1/2 कटा हुआ और 1/2 पतला कटा हुआ, 1 चम्मच अदरक - बारीक कटा हुआ, 1 चम्मच लहसुन - बारीक कटा हुआ, 1 चम्मच हरी मिर्च - बारीक कटी हुई, 4 टमाटर, 7 काजू, 1 बड़ा चम्मच कश्मीरी लाल मिर्च पाउडर, 1 "&amp;"बड़ा चम्मच हल्दी पाउडर, 1/2 बड़ा चम्मच गरम मसाला पाउडर, 1/2 बड़ा चम्मच धनिया पाउडर, 1 बड़ा चम्मच मक्खन, नमक - स्वादानुसार, 1/2 कप गाजर - कटा हुआ, 1/4 कप स्वीट कॉर्न, 1/4 कप हरी मटर (मटर), 1/4 कप हरी बीन्स (फ्रेंच बीन्स) - कटी हुई, 1/2 कप हरी बेल मिर्च (शि"&amp;"मला मिर्च) - कटी हुई, 1/2 कप फूलगोभी (गोभी) - कटी हुई, 1/2 कप बटन मशरूम - कटा हुआ, 1/2 कप पनीर (घर का बना पनीर) - क्यूब्स में कटा हुआ, 1 कप पानी, 1 बड़ा चम्मच दही, 1 बड़ा चम्मच ताजा क्रीम, 1 बड़ा चम्मच कसूरी मेथी, 1 बड़ा चम्मच धनिया पत्ता - कटा हुआ, 1 बड़"&amp;"ा चम्मच पुदीना पत्ता - कटा हुआ, 1/2 नींबू - रस")</f>
        <v>2 बड़े चम्मच सूरजमुखी तेल, 1 बड़ा चम्मच जीरा, 2 तेज पत्ता, 1 प्याज - 1/2 कटा हुआ और 1/2 पतला कटा हुआ, 1 चम्मच अदरक - बारीक कटा हुआ, 1 चम्मच लहसुन - बारीक कटा हुआ, 1 चम्मच हरी मिर्च - बारीक कटी हुई, 4 टमाटर, 7 काजू, 1 बड़ा चम्मच कश्मीरी लाल मिर्च पाउडर, 1 बड़ा चम्मच हल्दी पाउडर, 1/2 बड़ा चम्मच गरम मसाला पाउडर, 1/2 बड़ा चम्मच धनिया पाउडर, 1 बड़ा चम्मच मक्खन, नमक - स्वादानुसार, 1/2 कप गाजर - कटा हुआ, 1/4 कप स्वीट कॉर्न, 1/4 कप हरी मटर (मटर), 1/4 कप हरी बीन्स (फ्रेंच बीन्स) - कटी हुई, 1/2 कप हरी बेल मिर्च (शिमला मिर्च) - कटी हुई, 1/2 कप फूलगोभी (गोभी) - कटी हुई, 1/2 कप बटन मशरूम - कटा हुआ, 1/2 कप पनीर (घर का बना पनीर) - क्यूब्स में कटा हुआ, 1 कप पानी, 1 बड़ा चम्मच दही, 1 बड़ा चम्मच ताजा क्रीम, 1 बड़ा चम्मच कसूरी मेथी, 1 बड़ा चम्मच धनिया पत्ता - कटा हुआ, 1 बड़ा चम्मच पुदीना पत्ता - कटा हुआ, 1/2 नींबू - रस</v>
      </c>
      <c r="H237" s="1" t="s">
        <v>31950</v>
      </c>
      <c r="I237" s="1" t="str">
        <f ca="1">IFERROR(__xludf.dummyfunction("IF(H237="""", """", GOOGLETRANSLATE(H237, ""en"", ""hi""))"),"मिक्स वेजिटेबल हांडी रेसिपी बनाने के लिए सबसे पहले एक मिक्सर ग्राइंडर में टमाटर और काजू डालें, उन्हें प्यूरी करें और एक तरफ रख दें। इसके बाद एक भारी तले की कड़ाही में तेल गर्म करें। उसमें तेजपत्ता, जीरा डालें और 15 सेकंड तक पकाएं। 15 सेकंड के बाद, कटा हुआ"&amp;" प्याज, हरी मिर्च, अदरक, लहसुन डालें और लगभग एक मिनट तक भूनें। एक मिनट के बाद, बारीक कटा हुआ प्याज डालें और तब तक पकाएं जब तक प्याज सुनहरे भूरे रंग का न हो जाए। इसके बाद, टमाटर प्यूरी डालें और लगभग 3 से 5 मिनट तक पकाएं। 5 मिनट के बाद, हल्दी पाउडर, लाल मिर"&amp;"्च पाउडर, धनिया पाउडर और गरम मसाला पाउडर डालें। मक्खन डालें और सभी चीजों को अच्छी तरह मिलाएँ, इसे लगभग एक मिनट तक पकने दें। एक मिनट के बाद, इसमें कटा हुआ प्याज, कटा हुआ गाजर, मक्का, मटर, फ्रेंच बीन्स, शिमला मिर्च, फूलगोभी, बटन मशरूम और पनीर डालें इसे मध्य"&amp;"म आंच पर 10 से 12 मिनट तक पकने दें, बीच-बीच में देखते रहें और चलाते रहें कि सब्जियां ठीक से पक गई हैं या नहीं। इस बीच, एक छोटा कटोरा लें, उसमें क्रीम और दही डालें। इसे अच्छे से मिलाएं और देखें कि कोई गांठ न बने। सब्जियां नरम हो जाने पर, क्रीम दही का मिश्र"&amp;"ण डालें और सब्जियों के साथ मिला दें। मिक्स वेजिटेबल हांडी को धीमी आंच पर 1-2 मिनट तक पकाएं, कौरी मेथी छिड़कें, नींबू का रस डालें और सभी चीजों को अच्छे से मिला लें। जब यह पक जाए, तो मिक्स वेजिटेबल हांडी को कटा हरा धनिया और पुदीने की पत्तियों से गार्निश करे"&amp;"ं। मिक्स वेजिटेबल हांडी परोसने के लिए तैयार है। मिक्स वेजिटेबल हांडी को तवा पराठे और बूंदी रायता के साथ दिन के खाने में परोसें।")</f>
        <v>मिक्स वेजिटेबल हांडी रेसिपी बनाने के लिए सबसे पहले एक मिक्सर ग्राइंडर में टमाटर और काजू डालें, उन्हें प्यूरी करें और एक तरफ रख दें। इसके बाद एक भारी तले की कड़ाही में तेल गर्म करें। उसमें तेजपत्ता, जीरा डालें और 15 सेकंड तक पकाएं। 15 सेकंड के बाद, कटा हुआ प्याज, हरी मिर्च, अदरक, लहसुन डालें और लगभग एक मिनट तक भूनें। एक मिनट के बाद, बारीक कटा हुआ प्याज डालें और तब तक पकाएं जब तक प्याज सुनहरे भूरे रंग का न हो जाए। इसके बाद, टमाटर प्यूरी डालें और लगभग 3 से 5 मिनट तक पकाएं। 5 मिनट के बाद, हल्दी पाउडर, लाल मिर्च पाउडर, धनिया पाउडर और गरम मसाला पाउडर डालें। मक्खन डालें और सभी चीजों को अच्छी तरह मिलाएँ, इसे लगभग एक मिनट तक पकने दें। एक मिनट के बाद, इसमें कटा हुआ प्याज, कटा हुआ गाजर, मक्का, मटर, फ्रेंच बीन्स, शिमला मिर्च, फूलगोभी, बटन मशरूम और पनीर डालें इसे मध्यम आंच पर 10 से 12 मिनट तक पकने दें, बीच-बीच में देखते रहें और चलाते रहें कि सब्जियां ठीक से पक गई हैं या नहीं। इस बीच, एक छोटा कटोरा लें, उसमें क्रीम और दही डालें। इसे अच्छे से मिलाएं और देखें कि कोई गांठ न बने। सब्जियां नरम हो जाने पर, क्रीम दही का मिश्रण डालें और सब्जियों के साथ मिला दें। मिक्स वेजिटेबल हांडी को धीमी आंच पर 1-2 मिनट तक पकाएं, कौरी मेथी छिड़कें, नींबू का रस डालें और सभी चीजों को अच्छे से मिला लें। जब यह पक जाए, तो मिक्स वेजिटेबल हांडी को कटा हरा धनिया और पुदीने की पत्तियों से गार्निश करें। मिक्स वेजिटेबल हांडी परोसने के लिए तैयार है। मिक्स वेजिटेबल हांडी को तवा पराठे और बूंदी रायता के साथ दिन के खाने में परोसें।</v>
      </c>
      <c r="J237" s="3" t="s">
        <v>31951</v>
      </c>
      <c r="L237" s="1" t="s">
        <v>31003</v>
      </c>
    </row>
    <row r="238" spans="1:12" ht="13.8">
      <c r="A238" s="1" t="s">
        <v>31952</v>
      </c>
      <c r="B238" s="1" t="str">
        <f ca="1">IFERROR(__xludf.dummyfunction("IF(A238="""", """", GOOGLETRANSLATE(A238, ""en"", ""hi""))"),"ठंडाई शाही टुकड़ा रेसिपी")</f>
        <v>ठंडाई शाही टुकड़ा रेसिपी</v>
      </c>
      <c r="C238" s="1" t="s">
        <v>8417</v>
      </c>
      <c r="D238" s="1" t="s">
        <v>14198</v>
      </c>
      <c r="E238" s="1">
        <v>40</v>
      </c>
      <c r="F238" s="1" t="s">
        <v>31953</v>
      </c>
      <c r="G238" s="1" t="str">
        <f ca="1">IFERROR(__xludf.dummyfunction("IF(F238="""", """", GOOGLETRANSLATE(F238, ""en"", ""hi""))"),"4 गेहूं की ब्राउन ब्रेड - गोल आकार में कटी हुई, 1/4 कप चीनी, 3/4 कप पानी, घी - तलने के लिए, 2 कप दूध, 1/4 कप कंडेंस्ड मिल्क - मीठा, 1 बड़ा चम्मच ठंडाई मसाला, बादाम - आवश्यकतानुसार, पिस्ता - आवश्यकतानुसार")</f>
        <v>4 गेहूं की ब्राउन ब्रेड - गोल आकार में कटी हुई, 1/4 कप चीनी, 3/4 कप पानी, घी - तलने के लिए, 2 कप दूध, 1/4 कप कंडेंस्ड मिल्क - मीठा, 1 बड़ा चम्मच ठंडाई मसाला, बादाम - आवश्यकतानुसार, पिस्ता - आवश्यकतानुसार</v>
      </c>
      <c r="H238" s="1" t="s">
        <v>31954</v>
      </c>
      <c r="I238" s="1" t="str">
        <f ca="1">IFERROR(__xludf.dummyfunction("IF(H238="""", """", GOOGLETRANSLATE(H238, ""en"", ""hi""))"),"ठंडाई शाही टुकड़ा बनाने के लिए सबसे पहले ब्रेड स्लाइस को कुकी कटर से गोल आकार में काट लें। एक चौड़े पैन में शुद्ध घी गर्म करें और ब्रेड के टुकड़ों को लगभग एक मिनट या हल्का भूरा और कुरकुरा होने तक तल लें। उन्हें सोखने वाले कागज़ के तौलिये पर निकाल लें। एक "&amp;"और छोटा पैन गर्म करें और उसमें चीनी और पानी डालें। इसे लगभग 4-5 मिनट तक उबलने दें। एक तार की चासनी बनाकर एक तरफ रख दें। एक और भारी तले वाले पैन में दूध गर्म करें और दूध को उबाल लें और उसमें मीठा गाढ़ा दूध डालें। लगातार हिलाते हुए 8-10 मिनट तक उबालें। अपने"&amp;" स्वाद के अनुसार चीनी को समायोजित करें। आँच बंद कर दें और इसे ठंडा होने दें। इसके बाद, इसमें ठंडाई मसाला डालें और मिलाएँ। सुनिश्चित करें कि सब कुछ ठीक से मिला हुआ है। तले हुए ब्रेड के टुकड़ों को चीनी की चासनी में डुबोएँ और तुरंत निकाल लें। तले हुए ब्रेड क"&amp;"े टुकड़ों को एक सर्विंग प्लेट में रखें, ठंडा ठंडाई वाला दूध डालें। इसे बादाम और पिस्ता के कुछ पतले टुकड़ों से सजाएँ। ठंडाई शाही टुकड़ा को अपने सप्ताहांत के दोपहर के भोजन के बाद अपने दोस्तों और परिवार के लिए मिठाई के रूप में परोसें।")</f>
        <v>ठंडाई शाही टुकड़ा बनाने के लिए सबसे पहले ब्रेड स्लाइस को कुकी कटर से गोल आकार में काट लें। एक चौड़े पैन में शुद्ध घी गर्म करें और ब्रेड के टुकड़ों को लगभग एक मिनट या हल्का भूरा और कुरकुरा होने तक तल लें। उन्हें सोखने वाले कागज़ के तौलिये पर निकाल लें। एक और छोटा पैन गर्म करें और उसमें चीनी और पानी डालें। इसे लगभग 4-5 मिनट तक उबलने दें। एक तार की चासनी बनाकर एक तरफ रख दें। एक और भारी तले वाले पैन में दूध गर्म करें और दूध को उबाल लें और उसमें मीठा गाढ़ा दूध डालें। लगातार हिलाते हुए 8-10 मिनट तक उबालें। अपने स्वाद के अनुसार चीनी को समायोजित करें। आँच बंद कर दें और इसे ठंडा होने दें। इसके बाद, इसमें ठंडाई मसाला डालें और मिलाएँ। सुनिश्चित करें कि सब कुछ ठीक से मिला हुआ है। तले हुए ब्रेड के टुकड़ों को चीनी की चासनी में डुबोएँ और तुरंत निकाल लें। तले हुए ब्रेड के टुकड़ों को एक सर्विंग प्लेट में रखें, ठंडा ठंडाई वाला दूध डालें। इसे बादाम और पिस्ता के कुछ पतले टुकड़ों से सजाएँ। ठंडाई शाही टुकड़ा को अपने सप्ताहांत के दोपहर के भोजन के बाद अपने दोस्तों और परिवार के लिए मिठाई के रूप में परोसें।</v>
      </c>
      <c r="J238" s="3" t="s">
        <v>31955</v>
      </c>
      <c r="L238" s="1" t="s">
        <v>31003</v>
      </c>
    </row>
    <row r="239" spans="1:12" ht="409.6">
      <c r="A239" s="1" t="s">
        <v>31956</v>
      </c>
      <c r="B239" s="1" t="str">
        <f ca="1">IFERROR(__xludf.dummyfunction("IF(A239="""", """", GOOGLETRANSLATE(A239, ""en"", ""hi""))"),"मटन दम बिरयानी रेसिपी")</f>
        <v>मटन दम बिरयानी रेसिपी</v>
      </c>
      <c r="C239" s="1" t="s">
        <v>145</v>
      </c>
      <c r="D239" s="1" t="s">
        <v>14382</v>
      </c>
      <c r="E239" s="1">
        <v>90</v>
      </c>
      <c r="F239" s="1" t="s">
        <v>31957</v>
      </c>
      <c r="G239" s="1" t="str">
        <f ca="1">IFERROR(__xludf.dummyfunction("IF(F239="""", """", GOOGLETRANSLATE(F239, ""en"", ""hi""))"),"8 प्याज - पतले कटे हुए, 1/4 कप अदरक - कटा हुआ, 1/4 कप लहसुन - कलियाँ, 7 हरी मिर्च, 1 तेज पत्ता - तोड़ा हुआ, 2 इलायची की फली/बीज, 1 इंच दालचीनी, 3 लौंग, 2 कप बासमती चावल - धोकर 30 मिनट तक भिगोए हुए, नमक - स्वादानुसार, 500 ग्राम मटन - कटा हुआ, 1 कप हंग कर्ड"&amp;" (ग्रीक योगर्ट), 1 बड़ा चम्मच अदरक लहसुन पेस्ट, 1 छोटा चम्मच लाल मिर्च पाउडर, 1/2 छोटा चम्मच हल्दी, 1 छोटा चम्मच गरम मसाला पाउडर, नमक - स्वादानुसार, 2 तेज पत्ता, 2 इंच दालचीनी, 4 लौंग, 1 जावित्री, 4 दगड़ फूल, 1 छोटा चम्मच लाल मिर्च पाउडर, 1/4 छोटा चम्मच ग"&amp;"रम मसाला पाउडर, 2 टमाटर - बारीक कटे हुए, 1/2 कप पुदीना - कटा हुआ, नमक - स्वादानुसार, 1/2 कप दूध, केसर के रेशे - थोड़े से, 4 बड़े चम्मच सूरजमुखी तेल, 4 घी, 2 कप गेहूं का आटा - बर्तन सील करने के लिए")</f>
        <v>8 प्याज - पतले कटे हुए, 1/4 कप अदरक - कटा हुआ, 1/4 कप लहसुन - कलियाँ, 7 हरी मिर्च, 1 तेज पत्ता - तोड़ा हुआ, 2 इलायची की फली/बीज, 1 इंच दालचीनी, 3 लौंग, 2 कप बासमती चावल - धोकर 30 मिनट तक भिगोए हुए, नमक - स्वादानुसार, 500 ग्राम मटन - कटा हुआ, 1 कप हंग कर्ड (ग्रीक योगर्ट), 1 बड़ा चम्मच अदरक लहसुन पेस्ट, 1 छोटा चम्मच लाल मिर्च पाउडर, 1/2 छोटा चम्मच हल्दी, 1 छोटा चम्मच गरम मसाला पाउडर, नमक - स्वादानुसार, 2 तेज पत्ता, 2 इंच दालचीनी, 4 लौंग, 1 जावित्री, 4 दगड़ फूल, 1 छोटा चम्मच लाल मिर्च पाउडर, 1/4 छोटा चम्मच गरम मसाला पाउडर, 2 टमाटर - बारीक कटे हुए, 1/2 कप पुदीना - कटा हुआ, नमक - स्वादानुसार, 1/2 कप दूध, केसर के रेशे - थोड़े से, 4 बड़े चम्मच सूरजमुखी तेल, 4 घी, 2 कप गेहूं का आटा - बर्तन सील करने के लिए</v>
      </c>
      <c r="H239" s="1" t="s">
        <v>31958</v>
      </c>
      <c r="I239" s="4" t="str">
        <f ca="1">IFERROR(__xludf.dummyfunction("IF(H239="""", """", GOOGLETRANSLATE(H239, ""en"", ""hi""))"),"मटन दम बिरयानी रेसिपी बनाने के लिए सबसे पहले हम अदरक, लहसुन और हरी मिर्च का पेस्ट बना लेंगे। एक मिक्सर ग्राइंडर में कटा हुआ अदरक, लहसुन लौंग और हरी मिर्च डालें। एक पेस्ट बनाने के लिए ब्लेंड करें और एक तरफ रख दें। अगला कदम मटन दम बिरयानी के लिए मटन को मैरी"&amp;"नेट करना है। मटन को अच्छी तरह से धो लें। धुले हुए मटन को मिक्सिंग बाउल में डालें और उसमें दही, 1 बड़ा चम्मच अदरक लहसुन और मिर्च का पेस्ट, लाल मिर्च पाउडर, हल्दी पाउडर, गरम मसाला और स्वादानुसार नमक डालें। मटन को ढककर फ्रिज में रखें और कम से कम 4 घंटे के लि"&amp;"ए मैरीनेट करें। एक बार जब हम तैयार हो जाते हैं, तो अगला कदम प्याज को कारमेल करना है। इस प्रक्रिया में समय लगता है इसलिए सही सुनहरे भूरे रंग के कारमेलाइज्ड प्याज प्राप्त करने के लिए धैर्य रखें। यदि आप उच्च गर्मी पर प्याज को भूरा करते हैं, तो प्याज समान रूप"&amp;" से कारमेल नहीं करेगा। एक बार बिरयानी मसाला के लिए कारमेलाइज्ड प्याज का 1/2 भाग और मटन दम बिरयानी को सजाने के लिए 1/2 भाग रखें। अगला कदम चावल को तब तक पकाना है जब तक कि यह 3/4 न हो जाए। एक सॉस पैन में 4 कप पानी, तेज पत्ता, इलायची की फली, दालचीनी की छड़ी, "&amp;"लौंग, स्वाद के लिए नमक और धुले बासमती चावल डालें। चावल को पानी में 3 से 4 मिनट तक उबलने दें। चावल को 3/4 पकने तक पकाएं। एक बार जब चावल से पानी निकल जाए, चावल में एक बड़ा चम्मच घी डालें और धीरे से मिलाएँ। ढककर एक तरफ रख दें। एक कटोरे में गेहूं का आटा डालें"&amp;" और पानी डालकर सख्त आटा गूंथ लें। ढककर एक तरफ रख दें। मटन दम बिरयानी बनाने के लिए एक बड़े बिरयानी पैन में 2 बड़े चम्मच घी डालें। घी गर्म हो जाने पर उसमें तेजपत्ता, दालचीनी, लौंग, जावित्री, पत्थर का फूल डालें और कुछ सेकेंड तक तब तक भूनें जब तक कि खुशबू न आ"&amp;"ने लगे। हो जाने पर बाकी अदरक लहसुन और मिर्च का पेस्ट डालें और एक मिनट तक भूनें। अब लाल मिर्च पाउडर, गरम मसाला डालें और प्याज लहसुन के पेस्ट में तब तक भूनें जब तक कि कच्ची महक न चली जाए। कटे हुए टमाटर, स्वादानुसार नमक डालें और तब तक भूनें जब तक कि टमाटर नर"&amp;"म और गूदेदार न हो जाएं। टमाटर नरम हो जाने पर कैरामेलाइज़्ड प्याज़ डालें और अच्छी तरह मिलाएँ। एक बार हो जाने पर मटन ग्रेवी के ऊपर 3/4 पका हुआ चावल डालें। चावल को ग्रेवी के ऊपर समान रूप से फैला दें। चावल के ऊपर केसर का दूध छिड़कें और कुछ कैरामेलाइज़्ड प्याज"&amp;"़ डालें। अंतिम गार्निश के लिए एक बड़ा चम्मच कैरामेलाइज़्ड प्याज़ अलग रख दें। अंत में कटे हुए पुदीने के पत्तों का एक छोटा गुच्छा। आँच को कम कर दें। पैन को ढक दें और आटे के आटे से ढक्कन को सील कर दें। 15 मिनट तक धीमी आँच पर पकाएं और आँच बंद कर दें। बर्तन खो"&amp;"लने से पहले मटन दम बिरयानी को 10 मिनट तक आराम करने दें। आटे के आटे को काट लें और आटा निकाल लें। बर्तन खोलें और मटन दम बिरयानी को धीरे से मिलाएँ और एक सर्विंग बाउल में डालें। बचे हुए कैरामेलाइज़्ड प्याज़ से गार्निश करें और परोसें
")</f>
        <v xml:space="preserve">मटन दम बिरयानी रेसिपी बनाने के लिए सबसे पहले हम अदरक, लहसुन और हरी मिर्च का पेस्ट बना लेंगे। एक मिक्सर ग्राइंडर में कटा हुआ अदरक, लहसुन लौंग और हरी मिर्च डालें। एक पेस्ट बनाने के लिए ब्लेंड करें और एक तरफ रख दें। अगला कदम मटन दम बिरयानी के लिए मटन को मैरीनेट करना है। मटन को अच्छी तरह से धो लें। धुले हुए मटन को मिक्सिंग बाउल में डालें और उसमें दही, 1 बड़ा चम्मच अदरक लहसुन और मिर्च का पेस्ट, लाल मिर्च पाउडर, हल्दी पाउडर, गरम मसाला और स्वादानुसार नमक डालें। मटन को ढककर फ्रिज में रखें और कम से कम 4 घंटे के लिए मैरीनेट करें। एक बार जब हम तैयार हो जाते हैं, तो अगला कदम प्याज को कारमेल करना है। इस प्रक्रिया में समय लगता है इसलिए सही सुनहरे भूरे रंग के कारमेलाइज्ड प्याज प्राप्त करने के लिए धैर्य रखें। यदि आप उच्च गर्मी पर प्याज को भूरा करते हैं, तो प्याज समान रूप से कारमेल नहीं करेगा। एक बार बिरयानी मसाला के लिए कारमेलाइज्ड प्याज का 1/2 भाग और मटन दम बिरयानी को सजाने के लिए 1/2 भाग रखें। अगला कदम चावल को तब तक पकाना है जब तक कि यह 3/4 न हो जाए। एक सॉस पैन में 4 कप पानी, तेज पत्ता, इलायची की फली, दालचीनी की छड़ी, लौंग, स्वाद के लिए नमक और धुले बासमती चावल डालें। चावल को पानी में 3 से 4 मिनट तक उबलने दें। चावल को 3/4 पकने तक पकाएं। एक बार जब चावल से पानी निकल जाए, चावल में एक बड़ा चम्मच घी डालें और धीरे से मिलाएँ। ढककर एक तरफ रख दें। एक कटोरे में गेहूं का आटा डालें और पानी डालकर सख्त आटा गूंथ लें। ढककर एक तरफ रख दें। मटन दम बिरयानी बनाने के लिए एक बड़े बिरयानी पैन में 2 बड़े चम्मच घी डालें। घी गर्म हो जाने पर उसमें तेजपत्ता, दालचीनी, लौंग, जावित्री, पत्थर का फूल डालें और कुछ सेकेंड तक तब तक भूनें जब तक कि खुशबू न आने लगे। हो जाने पर बाकी अदरक लहसुन और मिर्च का पेस्ट डालें और एक मिनट तक भूनें। अब लाल मिर्च पाउडर, गरम मसाला डालें और प्याज लहसुन के पेस्ट में तब तक भूनें जब तक कि कच्ची महक न चली जाए। कटे हुए टमाटर, स्वादानुसार नमक डालें और तब तक भूनें जब तक कि टमाटर नरम और गूदेदार न हो जाएं। टमाटर नरम हो जाने पर कैरामेलाइज़्ड प्याज़ डालें और अच्छी तरह मिलाएँ। एक बार हो जाने पर मटन ग्रेवी के ऊपर 3/4 पका हुआ चावल डालें। चावल को ग्रेवी के ऊपर समान रूप से फैला दें। चावल के ऊपर केसर का दूध छिड़कें और कुछ कैरामेलाइज़्ड प्याज़ डालें। अंतिम गार्निश के लिए एक बड़ा चम्मच कैरामेलाइज़्ड प्याज़ अलग रख दें। अंत में कटे हुए पुदीने के पत्तों का एक छोटा गुच्छा। आँच को कम कर दें। पैन को ढक दें और आटे के आटे से ढक्कन को सील कर दें। 15 मिनट तक धीमी आँच पर पकाएं और आँच बंद कर दें। बर्तन खोलने से पहले मटन दम बिरयानी को 10 मिनट तक आराम करने दें। आटे के आटे को काट लें और आटा निकाल लें। बर्तन खोलें और मटन दम बिरयानी को धीरे से मिलाएँ और एक सर्विंग बाउल में डालें। बचे हुए कैरामेलाइज़्ड प्याज़ से गार्निश करें और परोसें
</v>
      </c>
      <c r="J239" s="3" t="s">
        <v>31959</v>
      </c>
      <c r="L239" s="1" t="s">
        <v>31003</v>
      </c>
    </row>
    <row r="240" spans="1:12" ht="13.8">
      <c r="A240" s="1" t="s">
        <v>31960</v>
      </c>
      <c r="B240" s="1" t="str">
        <f ca="1">IFERROR(__xludf.dummyfunction("IF(A240="""", """", GOOGLETRANSLATE(A240, ""en"", ""hi""))"),"पालक मक्की की रोटी रेसिपी - मसालेदार पालक कॉर्नमील फ्लैटब्रेड रेसिपी)")</f>
        <v>पालक मक्की की रोटी रेसिपी - मसालेदार पालक कॉर्नमील फ्लैटब्रेड रेसिपी)</v>
      </c>
      <c r="C240" s="1" t="s">
        <v>16424</v>
      </c>
      <c r="D240" s="1" t="s">
        <v>17937</v>
      </c>
      <c r="E240" s="1">
        <v>35</v>
      </c>
      <c r="F240" s="1" t="s">
        <v>31961</v>
      </c>
      <c r="G240" s="1" t="str">
        <f ca="1">IFERROR(__xludf.dummyfunction("IF(F240="""", """", GOOGLETRANSLATE(F240, ""en"", ""hi""))"),"1-1/2 कप मक्की का आटा, 1/4 कप गेहूं का आटा, 1 कप पालक के पत्ते - कटे हुए, 1 इंच अदरक - कद्दूकस किया हुआ, 1 चम्मच लाल मिर्च पाउडर, 1 चम्मच जीरा पाउडर (जीरा), नमक - स्वादानुसार, सूरजमुखी तेल - पकाने के लिए")</f>
        <v>1-1/2 कप मक्की का आटा, 1/4 कप गेहूं का आटा, 1 कप पालक के पत्ते - कटे हुए, 1 इंच अदरक - कद्दूकस किया हुआ, 1 चम्मच लाल मिर्च पाउडर, 1 चम्मच जीरा पाउडर (जीरा), नमक - स्वादानुसार, सूरजमुखी तेल - पकाने के लिए</v>
      </c>
      <c r="H240" s="1" t="s">
        <v>31962</v>
      </c>
      <c r="I240" s="1" t="str">
        <f ca="1">IFERROR(__xludf.dummyfunction("IF(H240="""", """", GOOGLETRANSLATE(H240, ""en"", ""hi""))"),"पालक मक्की की रोटी रेसिपी - मसालेदार पालक कॉर्न मील फ्लैट ब्रेड रेसिपी बनाने के लिए एक मिक्सिंग बाउल में तेल को छोड़कर सभी सामग्री मिलाएँ। थोड़ा-थोड़ा पानी डालते हुए नरम आटा गूंथ लें। गूँथे हुए आटे के ऊपर थोड़ा-सा तेल छिड़कें और कुछ और मिनट तक गूंथें जब त"&amp;"क आटा चिकना न हो जाए। मक्की की रोटी के आटे को नींबू की गेंद के आकार के 10 भागों में विभाजित करें, ढककर एक तरफ रख दें। एक लोहे की कड़ाही को पहले से गरम कर लें; काम करने की सतह पर एक गीला मलमल का कपड़ा रखें; अपने हाथों की हथेलियों को गीला करें और गीले कपड़े"&amp;" पर आटे का एक हिस्सा रखें। एक सपाट चक्र बनाने के लिए अपनी उंगलियों से मक्की रोटी के आटे को थपथपाएँ। आप इसे लगभग 3 इंच व्यास में बेलने के लिए बेलन का उपयोग भी कर सकते हैं मक्की की रोटी पर भूरे रंग के धब्बे दिखाई देने तक पकाएं। जब आपको हल्के भूरे रंग के धब्"&amp;"बे दिखाई दें, तो एक चम्मच घी लगाएं और कुछ और मिनट तक हल्का कुरकुरा होने तक पकाएं। जब पराठा पक जाए, तो उसे एक प्लेट में रखें और बाकी के पराठे पकाने के लिए आगे बढ़ें। स्वादिष्ट पालक मक्की की रोटी रेसिपी को सरसों के साग के साथ परोसें और सर्दियों के महीनों मे"&amp;"ं इसे रात के खाने के रूप में परोसें।")</f>
        <v>पालक मक्की की रोटी रेसिपी - मसालेदार पालक कॉर्न मील फ्लैट ब्रेड रेसिपी बनाने के लिए एक मिक्सिंग बाउल में तेल को छोड़कर सभी सामग्री मिलाएँ। थोड़ा-थोड़ा पानी डालते हुए नरम आटा गूंथ लें। गूँथे हुए आटे के ऊपर थोड़ा-सा तेल छिड़कें और कुछ और मिनट तक गूंथें जब तक आटा चिकना न हो जाए। मक्की की रोटी के आटे को नींबू की गेंद के आकार के 10 भागों में विभाजित करें, ढककर एक तरफ रख दें। एक लोहे की कड़ाही को पहले से गरम कर लें; काम करने की सतह पर एक गीला मलमल का कपड़ा रखें; अपने हाथों की हथेलियों को गीला करें और गीले कपड़े पर आटे का एक हिस्सा रखें। एक सपाट चक्र बनाने के लिए अपनी उंगलियों से मक्की रोटी के आटे को थपथपाएँ। आप इसे लगभग 3 इंच व्यास में बेलने के लिए बेलन का उपयोग भी कर सकते हैं मक्की की रोटी पर भूरे रंग के धब्बे दिखाई देने तक पकाएं। जब आपको हल्के भूरे रंग के धब्बे दिखाई दें, तो एक चम्मच घी लगाएं और कुछ और मिनट तक हल्का कुरकुरा होने तक पकाएं। जब पराठा पक जाए, तो उसे एक प्लेट में रखें और बाकी के पराठे पकाने के लिए आगे बढ़ें। स्वादिष्ट पालक मक्की की रोटी रेसिपी को सरसों के साग के साथ परोसें और सर्दियों के महीनों में इसे रात के खाने के रूप में परोसें।</v>
      </c>
      <c r="J240" s="3" t="s">
        <v>31963</v>
      </c>
      <c r="L240" s="1" t="s">
        <v>31003</v>
      </c>
    </row>
    <row r="241" spans="1:12" ht="13.8">
      <c r="A241" s="1" t="s">
        <v>31964</v>
      </c>
      <c r="B241" s="1" t="str">
        <f ca="1">IFERROR(__xludf.dummyfunction("IF(A241="""", """", GOOGLETRANSLATE(A241, ""en"", ""hi""))"),"आलू दाल पकौड़े रेसिपी")</f>
        <v>आलू दाल पकौड़े रेसिपी</v>
      </c>
      <c r="C241" s="1" t="s">
        <v>14281</v>
      </c>
      <c r="D241" s="1" t="s">
        <v>14198</v>
      </c>
      <c r="E241" s="1">
        <v>80</v>
      </c>
      <c r="F241" s="1" t="s">
        <v>31965</v>
      </c>
      <c r="G241" s="1" t="str">
        <f ca="1">IFERROR(__xludf.dummyfunction("IF(F241="""", """", GOOGLETRANSLATE(F241, ""en"", ""hi""))"),"1 कप हरी मूंग दाल - 1 घंटे भिगोई हुई, 1/2 इंच अदरक, 3 हरी मिर्च - (मिर्च के तीखेपन के अनुसार समायोजित करें), नमक - स्वादानुसार, 3 आलू - उबले और मसले हुए, 1/2 चम्मच लाल मिर्च पाउडर, 1/2 चम्मच धनिया पाउडर, 1/8 चम्मच हल्दी पाउडर, 1 चम्मच सौंफ - दरदरा पिसी हु"&amp;"ई, 1 चम्मच नींबू का रस, धनिया पत्ते - मुट्ठी भर और बारीक कटे हुए (वैकल्पिक), हींग - चुटकी भर, नमक - स्वादानुसार, सूरजमुखी तेल - तलने के लिए")</f>
        <v>1 कप हरी मूंग दाल - 1 घंटे भिगोई हुई, 1/2 इंच अदरक, 3 हरी मिर्च - (मिर्च के तीखेपन के अनुसार समायोजित करें), नमक - स्वादानुसार, 3 आलू - उबले और मसले हुए, 1/2 चम्मच लाल मिर्च पाउडर, 1/2 चम्मच धनिया पाउडर, 1/8 चम्मच हल्दी पाउडर, 1 चम्मच सौंफ - दरदरा पिसी हुई, 1 चम्मच नींबू का रस, धनिया पत्ते - मुट्ठी भर और बारीक कटे हुए (वैकल्पिक), हींग - चुटकी भर, नमक - स्वादानुसार, सूरजमुखी तेल - तलने के लिए</v>
      </c>
      <c r="H241" s="1" t="s">
        <v>31966</v>
      </c>
      <c r="I241" s="1" t="str">
        <f ca="1">IFERROR(__xludf.dummyfunction("IF(H241="""", """", GOOGLETRANSLATE(H241, ""en"", ""hi""))"),"आलू दाल पकौड़े बनाने की विधि शुरू करने के लिए सबसे पहले हम स्टफिंग तैयार करेंगे। आलू की स्टफिंग तैयार करने के लिए एक मिक्सिंग बाउल में आलू, लाल मिर्च पाउडर, धनिया पाउडर, हल्दी पाउडर, सौंफ, नींबू का रस, धनिया पत्ती, हींग, नमक डालें। अच्छी तरह मिलाएँ। आलू क"&amp;"े मिश्रण से थोड़ा-थोड़ा मिश्रण लें, उन्हें बराबर आकार के गोले बना लें और एक तरफ रख दें। घोल तैयार करने के लिए मूंग दाल से अतिरिक्त पानी निकाल दें और इसे मिक्सर के जार में डालें। इसमें हरी मिर्च, अदरक, नमक डालें और बहुत कम पानी का उपयोग करके मुलायम घोल बना"&amp;" लें। पीसे हुए घोल को एक चौड़े बाउल में डालें। एक कढ़ाई में तेल गर्म करें। जब तेल गर्म हो जाए तो प्रत्येक आलू के गोले को दाल के घोल में डुबोएं और धीरे-धीरे तेल में डालें स्वादिष्ट आलू दाल पकौड़े गरमागरम परोसने के लिए तैयार हैं। आलू दाल पकौड़ों को धनिया पु"&amp;"दीना चटनी और खजूर इमली की चटनी के साथ चाय के समय नाश्ते के रूप में परोसें।")</f>
        <v>आलू दाल पकौड़े बनाने की विधि शुरू करने के लिए सबसे पहले हम स्टफिंग तैयार करेंगे। आलू की स्टफिंग तैयार करने के लिए एक मिक्सिंग बाउल में आलू, लाल मिर्च पाउडर, धनिया पाउडर, हल्दी पाउडर, सौंफ, नींबू का रस, धनिया पत्ती, हींग, नमक डालें। अच्छी तरह मिलाएँ। आलू के मिश्रण से थोड़ा-थोड़ा मिश्रण लें, उन्हें बराबर आकार के गोले बना लें और एक तरफ रख दें। घोल तैयार करने के लिए मूंग दाल से अतिरिक्त पानी निकाल दें और इसे मिक्सर के जार में डालें। इसमें हरी मिर्च, अदरक, नमक डालें और बहुत कम पानी का उपयोग करके मुलायम घोल बना लें। पीसे हुए घोल को एक चौड़े बाउल में डालें। एक कढ़ाई में तेल गर्म करें। जब तेल गर्म हो जाए तो प्रत्येक आलू के गोले को दाल के घोल में डुबोएं और धीरे-धीरे तेल में डालें स्वादिष्ट आलू दाल पकौड़े गरमागरम परोसने के लिए तैयार हैं। आलू दाल पकौड़ों को धनिया पुदीना चटनी और खजूर इमली की चटनी के साथ चाय के समय नाश्ते के रूप में परोसें।</v>
      </c>
      <c r="J241" s="3" t="s">
        <v>31967</v>
      </c>
      <c r="L241" s="1" t="s">
        <v>31003</v>
      </c>
    </row>
    <row r="242" spans="1:12" ht="13.8">
      <c r="A242" s="1" t="s">
        <v>31968</v>
      </c>
      <c r="B242" s="1" t="str">
        <f ca="1">IFERROR(__xludf.dummyfunction("IF(A242="""", """", GOOGLETRANSLATE(A242, ""en"", ""hi""))"),"पनीर कच्चे आम करी रेसिपी")</f>
        <v>पनीर कच्चे आम करी रेसिपी</v>
      </c>
      <c r="C242" s="1" t="s">
        <v>145</v>
      </c>
      <c r="D242" s="1" t="s">
        <v>14237</v>
      </c>
      <c r="E242" s="1">
        <v>40</v>
      </c>
      <c r="F242" s="1" t="s">
        <v>31969</v>
      </c>
      <c r="G242" s="1" t="str">
        <f ca="1">IFERROR(__xludf.dummyfunction("IF(F242="""", """", GOOGLETRANSLATE(F242, ""en"", ""hi""))"),"200 ग्राम पनीर - क्यूब्स में कटा हुआ, 1 आम (कच्चा) - छिला हुआ, 10 मोती प्याज (सांभर प्याज) - बारीक कटा हुआ, 1 ड्रमस्टिक - 2 इंच के टुकड़ों में कटा हुआ, 1 चम्मच सूरजमुखी तेल, 1 चम्मच हल्दी पाउडर (हल्दी), 1 चम्मच धनिया पाउडर (धनिया), 1 चम्मच लाल मिर्च पाउडर"&amp;", नमक - स्वादानुसार, 1/4 कप नारियल का दूध, 5 लहसुन की कलियां, 2 हरी मिर्च, 1 इंच अदरक, 1/3 कप ताजा नारियल, 1 चम्मच नारियल का तेल - या कोई अन्य तेल, 1/2 चम्मच सरसों के बीज, 2 सूखी लाल मिर्च, 1 प्याज - जुलिएन, 5 करी पत्ते")</f>
        <v>200 ग्राम पनीर - क्यूब्स में कटा हुआ, 1 आम (कच्चा) - छिला हुआ, 10 मोती प्याज (सांभर प्याज) - बारीक कटा हुआ, 1 ड्रमस्टिक - 2 इंच के टुकड़ों में कटा हुआ, 1 चम्मच सूरजमुखी तेल, 1 चम्मच हल्दी पाउडर (हल्दी), 1 चम्मच धनिया पाउडर (धनिया), 1 चम्मच लाल मिर्च पाउडर, नमक - स्वादानुसार, 1/4 कप नारियल का दूध, 5 लहसुन की कलियां, 2 हरी मिर्च, 1 इंच अदरक, 1/3 कप ताजा नारियल, 1 चम्मच नारियल का तेल - या कोई अन्य तेल, 1/2 चम्मच सरसों के बीज, 2 सूखी लाल मिर्च, 1 प्याज - जुलिएन, 5 करी पत्ते</v>
      </c>
      <c r="H242" s="1" t="s">
        <v>31970</v>
      </c>
      <c r="I242" s="1" t="str">
        <f ca="1">IFERROR(__xludf.dummyfunction("IF(H242="""", """", GOOGLETRANSLATE(H242, ""en"", ""hi""))"),"पनीर कच्चे आम की करी रेसिपी बनाने के लिए सबसे पहले एक मिक्सर में लहसुन की कलियां, हरी मिर्च, अदरक और ताजा कसा हुआ नारियल डालकर थोड़े पानी का उपयोग करके चिकना पेस्ट बना लें। इसे एक बाउल में डालें और आवश्यकता होने तक अलग रख दें। इसके बाद एक सॉस पैन में मध्य"&amp;"म आंच पर तेल गर्म करें। इसमें बेबी (मद्रास) प्याज डालें और कुछ मिनट तक भूनें, जब तक प्याज हल्का भूरा हो जाए और नरम हो जाए। इसमें सहजन की फली के साथ हल्दी पाउडर, धनिया और मिर्च पाउडर डालें, मिलाने के लिए हिलाएं और कुछ और मिनट के लिए भूनें। अब इसमें पहले से"&amp;" बनाया हुआ पेस्ट और थोड़ा पानी डालें। मिलाने के लिए हिलाएं और कुछ मिनट तक मिश्रण को तब तक भूनें, जब तक कि मसाला अच्छी तरह से मिल न जाए। करी के गाढ़ेपन को समायोजित करने के लिए इसमें कच्चे आम के टुकड़ों के साथ नारियल का दूध, नमक और थोड़ा और पानी डालें पनीर "&amp;"कच्चे आम की करी को मिलाने के लिए हिलाएँ और आँच बंद कर दें। करी को तड़का लगाने के लिए, एक तड़का पैन में तेल गरम करें, उसमें सरसों के दाने डालें और उन्हें फूटने दें। फिर लाल मिर्च डालें और कुछ सेकंड के लिए भूनें। प्याज़ और करी पत्ता डालें। प्याज़ के सुनहरा "&amp;"भूरा होने तक भूनें। आँच बंद कर दें। तड़के को पनीर कच्चे आम की करी पर डालें और मिलाने के लिए हिलाएँ। पनीर कच्चे आम की करी को फुल्के के साथ हल्के सप्ताह के दोपहर के भोजन के लिए परोसें।")</f>
        <v>पनीर कच्चे आम की करी रेसिपी बनाने के लिए सबसे पहले एक मिक्सर में लहसुन की कलियां, हरी मिर्च, अदरक और ताजा कसा हुआ नारियल डालकर थोड़े पानी का उपयोग करके चिकना पेस्ट बना लें। इसे एक बाउल में डालें और आवश्यकता होने तक अलग रख दें। इसके बाद एक सॉस पैन में मध्यम आंच पर तेल गर्म करें। इसमें बेबी (मद्रास) प्याज डालें और कुछ मिनट तक भूनें, जब तक प्याज हल्का भूरा हो जाए और नरम हो जाए। इसमें सहजन की फली के साथ हल्दी पाउडर, धनिया और मिर्च पाउडर डालें, मिलाने के लिए हिलाएं और कुछ और मिनट के लिए भूनें। अब इसमें पहले से बनाया हुआ पेस्ट और थोड़ा पानी डालें। मिलाने के लिए हिलाएं और कुछ मिनट तक मिश्रण को तब तक भूनें, जब तक कि मसाला अच्छी तरह से मिल न जाए। करी के गाढ़ेपन को समायोजित करने के लिए इसमें कच्चे आम के टुकड़ों के साथ नारियल का दूध, नमक और थोड़ा और पानी डालें पनीर कच्चे आम की करी को मिलाने के लिए हिलाएँ और आँच बंद कर दें। करी को तड़का लगाने के लिए, एक तड़का पैन में तेल गरम करें, उसमें सरसों के दाने डालें और उन्हें फूटने दें। फिर लाल मिर्च डालें और कुछ सेकंड के लिए भूनें। प्याज़ और करी पत्ता डालें। प्याज़ के सुनहरा भूरा होने तक भूनें। आँच बंद कर दें। तड़के को पनीर कच्चे आम की करी पर डालें और मिलाने के लिए हिलाएँ। पनीर कच्चे आम की करी को फुल्के के साथ हल्के सप्ताह के दोपहर के भोजन के लिए परोसें।</v>
      </c>
      <c r="J242" s="3" t="s">
        <v>31971</v>
      </c>
      <c r="L242" s="1" t="s">
        <v>31003</v>
      </c>
    </row>
    <row r="243" spans="1:12" ht="13.8">
      <c r="A243" s="1" t="s">
        <v>31972</v>
      </c>
      <c r="B243" s="1" t="str">
        <f ca="1">IFERROR(__xludf.dummyfunction("IF(A243="""", """", GOOGLETRANSLATE(A243, ""en"", ""hi""))"),"भुत जोलोकिया मुर्ग रेसिपी")</f>
        <v>भुत जोलोकिया मुर्ग रेसिपी</v>
      </c>
      <c r="C243" s="1" t="s">
        <v>14207</v>
      </c>
      <c r="D243" s="1" t="s">
        <v>14382</v>
      </c>
      <c r="E243" s="1">
        <v>70</v>
      </c>
      <c r="F243" s="1" t="s">
        <v>31973</v>
      </c>
      <c r="G243" s="1" t="str">
        <f ca="1">IFERROR(__xludf.dummyfunction("IF(F243="""", """", GOOGLETRANSLATE(F243, ""en"", ""hi""))"),"500 ग्राम चिकन - मध्यम टुकड़ों में कटा हुआ, 1 भूत मिर्च (भुत जोलोकिया) - 1/2 कप पानी में भिगोया हुआ, 2 प्याज - कटा हुआ और तला हुआ, 1 इंच अदरक - कटा हुआ, 4 लौंग लहसुन - कटा हुआ, 2 बड़े चम्मच घी, 1 बड़ा चम्मच घी, 1-1/2 चम्मच हल्दी पाउडर (हल्दी), 2 चम्मच जीर"&amp;"ा पाउडर (जीरा), 1 बड़ा चम्मच धनिया पाउडर (धनिया), 2 चम्मच गरम मसाला पाउडर, 1 चम्मच कश्मीरी लाल मिर्च पाउडर, 3 बड़े चम्मच घर का बना टमाटर प्यूरी, नमक - स्वादानुसार, 2 बड़े चम्मच धनिया पत्ती - कटी हुई")</f>
        <v>500 ग्राम चिकन - मध्यम टुकड़ों में कटा हुआ, 1 भूत मिर्च (भुत जोलोकिया) - 1/2 कप पानी में भिगोया हुआ, 2 प्याज - कटा हुआ और तला हुआ, 1 इंच अदरक - कटा हुआ, 4 लौंग लहसुन - कटा हुआ, 2 बड़े चम्मच घी, 1 बड़ा चम्मच घी, 1-1/2 चम्मच हल्दी पाउडर (हल्दी), 2 चम्मच जीरा पाउडर (जीरा), 1 बड़ा चम्मच धनिया पाउडर (धनिया), 2 चम्मच गरम मसाला पाउडर, 1 चम्मच कश्मीरी लाल मिर्च पाउडर, 3 बड़े चम्मच घर का बना टमाटर प्यूरी, नमक - स्वादानुसार, 2 बड़े चम्मच धनिया पत्ती - कटी हुई</v>
      </c>
      <c r="H243" s="1" t="s">
        <v>31974</v>
      </c>
      <c r="I243" s="1" t="str">
        <f ca="1">IFERROR(__xludf.dummyfunction("IF(H243="""", """", GOOGLETRANSLATE(H243, ""en"", ""hi""))"),"भूत जोलोकिया मुर्ग रेसिपी बनाने के लिए, भूत मिर्च को पानी में भिगोएँ। चिकन के टुकड़ों को धोकर साफ करें और अन्य सामग्री के साथ तैयार करें। भूत जोलोकिया प्यूरी बनाने के लिए, सबसे पहले एक पैन में घी गर्म करें, उसमें अदरक और लहसुन डालें, कुछ सेकंड के लिए भूने"&amp;"ं। पानी के साथ भिगोई हुई मिर्च डालें और लहसुन और अदरक के नरम होने तक पकाएँ। आँच से उतारें, ठंडा करें, तले हुए प्याज़ डालें और चिकनी प्यूरी बनाने के लिए मिलाएँ। प्यूरी को एक कटोरे में इकट्ठा करें और एक तरफ रख दें। करी बनाने के लिए, धीमी आँच पर एक पैन में घ"&amp;"ी गर्म करें। घी, हल्दी पाउडर, जीरा पाउडर, धनिया पाउडर, गरम मसाला पाउडर, लाल मिर्च पाउडर और टमाटर का पेस्ट डालें। मध्यम आंच पर एक मिनट या उससे अधिक समय तक भूनें और चिकन के टुकड़े डालें और अच्छी तरह मिलाएँ। अब मिर्च प्यूरी डालें और मसाले के साथ अच्छी तरह मि"&amp;"लाएँ ताकि सब कुछ अच्छी तरह से मिल जाए। कुछ मिनट के लिए भूनें और फिर लगभग 1 कप पानी डालें और अपने स्वाद के अनुसार नमक डालें। ढक्कन को ढकें और चिकन के नरम होने और ग्रेवी के गाढ़े होने तक पकाएँ। भुट जोलोकिया मुर्ग को ताजा कटा हरा धनिया से गार्निश करें और गर्"&amp;"मागर्म परोसें। भुट जोलोकिया मुर्ग रेसिपी को दोपहर के भोजन के लिए उबले हुए चावल और नान के साथ साइड डिश के रूप में परोसें।")</f>
        <v>भूत जोलोकिया मुर्ग रेसिपी बनाने के लिए, भूत मिर्च को पानी में भिगोएँ। चिकन के टुकड़ों को धोकर साफ करें और अन्य सामग्री के साथ तैयार करें। भूत जोलोकिया प्यूरी बनाने के लिए, सबसे पहले एक पैन में घी गर्म करें, उसमें अदरक और लहसुन डालें, कुछ सेकंड के लिए भूनें। पानी के साथ भिगोई हुई मिर्च डालें और लहसुन और अदरक के नरम होने तक पकाएँ। आँच से उतारें, ठंडा करें, तले हुए प्याज़ डालें और चिकनी प्यूरी बनाने के लिए मिलाएँ। प्यूरी को एक कटोरे में इकट्ठा करें और एक तरफ रख दें। करी बनाने के लिए, धीमी आँच पर एक पैन में घी गर्म करें। घी, हल्दी पाउडर, जीरा पाउडर, धनिया पाउडर, गरम मसाला पाउडर, लाल मिर्च पाउडर और टमाटर का पेस्ट डालें। मध्यम आंच पर एक मिनट या उससे अधिक समय तक भूनें और चिकन के टुकड़े डालें और अच्छी तरह मिलाएँ। अब मिर्च प्यूरी डालें और मसाले के साथ अच्छी तरह मिलाएँ ताकि सब कुछ अच्छी तरह से मिल जाए। कुछ मिनट के लिए भूनें और फिर लगभग 1 कप पानी डालें और अपने स्वाद के अनुसार नमक डालें। ढक्कन को ढकें और चिकन के नरम होने और ग्रेवी के गाढ़े होने तक पकाएँ। भुट जोलोकिया मुर्ग को ताजा कटा हरा धनिया से गार्निश करें और गर्मागर्म परोसें। भुट जोलोकिया मुर्ग रेसिपी को दोपहर के भोजन के लिए उबले हुए चावल और नान के साथ साइड डिश के रूप में परोसें।</v>
      </c>
      <c r="J243" s="3" t="s">
        <v>31975</v>
      </c>
      <c r="L243" s="1" t="s">
        <v>31003</v>
      </c>
    </row>
    <row r="244" spans="1:12" ht="13.8">
      <c r="A244" s="1" t="s">
        <v>31976</v>
      </c>
      <c r="B244" s="1" t="str">
        <f ca="1">IFERROR(__xludf.dummyfunction("IF(A244="""", """", GOOGLETRANSLATE(A244, ""en"", ""hi""))"),"शाही दाल रेसिपी")</f>
        <v>शाही दाल रेसिपी</v>
      </c>
      <c r="C244" s="1" t="s">
        <v>145</v>
      </c>
      <c r="D244" s="1" t="s">
        <v>14237</v>
      </c>
      <c r="E244" s="1">
        <v>45</v>
      </c>
      <c r="F244" s="1" t="s">
        <v>31977</v>
      </c>
      <c r="G244" s="1" t="str">
        <f ca="1">IFERROR(__xludf.dummyfunction("IF(F244="""", """", GOOGLETRANSLATE(F244, ""en"", ""hi""))"),"1 कप सफ़ेद उड़द दाल (साबुत) - कम से कम 8 घंटे भिगोई हुई, 15 बादाम - भिगोए हुए और छिलके उतारे हुए, 1/2 कप दूध, 1 चम्मच हल्दी पाउडर, नमक - स्वादानुसार, 1 प्याज - कटा हुआ, 1 टमाटर - कटा हुआ, 1 चम्मच जीरा, 1 चम्मच लाल मिर्च पाउडर, 1 हरी मिर्च - कटी हुई, सूरजम"&amp;"ुखी का तेल")</f>
        <v>1 कप सफ़ेद उड़द दाल (साबुत) - कम से कम 8 घंटे भिगोई हुई, 15 बादाम - भिगोए हुए और छिलके उतारे हुए, 1/2 कप दूध, 1 चम्मच हल्दी पाउडर, नमक - स्वादानुसार, 1 प्याज - कटा हुआ, 1 टमाटर - कटा हुआ, 1 चम्मच जीरा, 1 चम्मच लाल मिर्च पाउडर, 1 हरी मिर्च - कटी हुई, सूरजमुखी का तेल</v>
      </c>
      <c r="H244" s="1" t="s">
        <v>31978</v>
      </c>
      <c r="I244" s="1" t="str">
        <f ca="1">IFERROR(__xludf.dummyfunction("IF(H244="""", """", GOOGLETRANSLATE(H244, ""en"", ""hi""))"),"शाही दाल रेसिपी बनाने के लिए सबसे पहले हम भीगी हुई उड़द दाल, बादाम, हल्दी पाउडर और नमक को प्रेशर कुकर में डालेंगे। कम से कम 4 सीटी आने तक प्रेशर कुक करें। एक सॉस पैन में तेल गर्म करें, उसमें जीरा डालें और कुछ सेकंड के लिए उसे फूटने दें। प्याज़ डालें और उस"&amp;"े पारदर्शी होने तक भूनें। टमाटर डालें और थोड़ा नमक छिड़कें और उसे नरम होने तक पकाएँ। मिर्च पाउडर डालें और कम से कम 2 मिनट तक मिलाएँ। दाल पक जाने के बाद ढक्कन खोलें और एक कप दूध डालें और प्रेशर कुकर को वापस आँच पर रखें और 2 मिनट तक पकाएँ। नमक डालें और अच्छ"&amp;"े से मसाला मिलाएँ। ऊपर से तड़का हुआ प्याज़ और टमाटर डालें और गरमागरम परोसें। शाही दाल रेसिपी को फुल्का, मणिपुरी स्टाइल चना कंघौ और पालक रायता के साथ परोसें और स्वादिष्ट लंच बनाएँ।")</f>
        <v>शाही दाल रेसिपी बनाने के लिए सबसे पहले हम भीगी हुई उड़द दाल, बादाम, हल्दी पाउडर और नमक को प्रेशर कुकर में डालेंगे। कम से कम 4 सीटी आने तक प्रेशर कुक करें। एक सॉस पैन में तेल गर्म करें, उसमें जीरा डालें और कुछ सेकंड के लिए उसे फूटने दें। प्याज़ डालें और उसे पारदर्शी होने तक भूनें। टमाटर डालें और थोड़ा नमक छिड़कें और उसे नरम होने तक पकाएँ। मिर्च पाउडर डालें और कम से कम 2 मिनट तक मिलाएँ। दाल पक जाने के बाद ढक्कन खोलें और एक कप दूध डालें और प्रेशर कुकर को वापस आँच पर रखें और 2 मिनट तक पकाएँ। नमक डालें और अच्छे से मसाला मिलाएँ। ऊपर से तड़का हुआ प्याज़ और टमाटर डालें और गरमागरम परोसें। शाही दाल रेसिपी को फुल्का, मणिपुरी स्टाइल चना कंघौ और पालक रायता के साथ परोसें और स्वादिष्ट लंच बनाएँ।</v>
      </c>
      <c r="J244" s="3" t="s">
        <v>31979</v>
      </c>
      <c r="L244" s="1" t="s">
        <v>31003</v>
      </c>
    </row>
    <row r="245" spans="1:12" ht="409.6">
      <c r="A245" s="1" t="s">
        <v>31980</v>
      </c>
      <c r="B245" s="1" t="str">
        <f ca="1">IFERROR(__xludf.dummyfunction("IF(A245="""", """", GOOGLETRANSLATE(A245, ""en"", ""hi""))"),"पनीर कालीमिर्च रेसिपी (काली मिर्च के स्वाद वाली ग्रेवी में पनीर)")</f>
        <v>पनीर कालीमिर्च रेसिपी (काली मिर्च के स्वाद वाली ग्रेवी में पनीर)</v>
      </c>
      <c r="C245" s="1" t="s">
        <v>14207</v>
      </c>
      <c r="D245" s="1" t="s">
        <v>14237</v>
      </c>
      <c r="E245" s="1">
        <v>55</v>
      </c>
      <c r="F245" s="1" t="s">
        <v>31981</v>
      </c>
      <c r="G245" s="1" t="str">
        <f ca="1">IFERROR(__xludf.dummyfunction("IF(F245="""", """", GOOGLETRANSLATE(F245, ""en"", ""hi""))"),"250 ग्राम पनीर, 1/4 कप ताजा क्रीम, 2 बड़े चम्मच दूध, 1/4 चम्मच हल्दी पाउडर, 1 चम्मच गरम मसाला पाउडर, 2 चम्मच साबुत काली मिर्च - दरदरा कुटी हुई, नमक - स्वादानुसार, सूरजमुखी का तेल - पकाने के लिए, 1 प्याज - कटा हुआ, 1/4 कप काजू, 4 लहसुन की कलियाँ, 1 इंच अदर"&amp;"क - छिला और कटा हुआ, 4 लहसुन की कलियाँ - बारीक कटी हुई, 2 बड़े चम्मच सूरजमुखी का तेल, 1 चुटकी काली मिर्च पाउडर")</f>
        <v>250 ग्राम पनीर, 1/4 कप ताजा क्रीम, 2 बड़े चम्मच दूध, 1/4 चम्मच हल्दी पाउडर, 1 चम्मच गरम मसाला पाउडर, 2 चम्मच साबुत काली मिर्च - दरदरा कुटी हुई, नमक - स्वादानुसार, सूरजमुखी का तेल - पकाने के लिए, 1 प्याज - कटा हुआ, 1/4 कप काजू, 4 लहसुन की कलियाँ, 1 इंच अदरक - छिला और कटा हुआ, 4 लहसुन की कलियाँ - बारीक कटी हुई, 2 बड़े चम्मच सूरजमुखी का तेल, 1 चुटकी काली मिर्च पाउडर</v>
      </c>
      <c r="H245" s="4" t="s">
        <v>31982</v>
      </c>
      <c r="I245" s="1" t="str">
        <f ca="1">IFERROR(__xludf.dummyfunction("IF(H245="""", """", GOOGLETRANSLATE(H245, ""en"", ""hi""))"),"पनीर कालीमिर्च तैयार करने के लिए, हम पहले एक मिक्सर का उपयोग करके प्याज, काजू, लहसुन और अदरक का पेस्ट बना लेंगे। पेस्ट को एक कटोरे में डालें और आवश्यकता तक अलग रख दें। पनीर को बराबर आकार के चौकोर टुकड़ों में काट लें। अब मध्यम आँच पर तवे पर एक बड़ा चम्मच त"&amp;"ेल गर्म करें। तवे पर पनीर के टुकड़ों को व्यवस्थित करें और तब तक ग्रिल करें जब तक कि एक तरफ जले के निशान न दिखाई दें। पनीर के टुकड़ों के ऊपरी हिस्से पर तेल लगाएं और उन्हें उल्टा कर दें। पनीर को तब तक ग्रिल करें जब तक कि दोनों तरफ जले के निशान न दिखाई दें। "&amp;"इसमें प्रत्येक तरफ लगभग 5 मिनट लगते हैं। आँच बंद कर दें। एक प्लेट में पनीर के टुकड़ों को व्यवस्थित करें और एक तरफ रख दें। जब पनीर ग्रिल हो रहा है तो हम ग्रेवी तैयार करना शुरू कर देंगे। मध्यम आँच पर एक सॉस पैन में दो बड़े चम्मच तेल गर्म करें थोड़े पानी का "&amp;"उपयोग करके ग्रेवी की स्थिरता को समायोजित करें। पानी डालने के बाद स्वाद विकसित करने के लिए ग्रेवी को कुछ देर तक उबालें। अब ग्रेवी में कुटी हुई काली मिर्च और ग्रिल्ड पनीर डालें। मिलाने के लिए हिलाएं। अब मध्यम आंच पर ग्रेवी को 3 - 4 मिनट तक और पकाएं। आंच बंद"&amp;" कर दें। पनीर कालीमिर्च को एक सर्विंग बाउल में डालें। गार्निश के लिए, मध्यम आंच पर एक छोटे पैन में तेल गर्म करें। तेल गर्म हो जाने पर इसमें कटा हुआ लहसुन डालें। लहसुन को सुनहरा होने तक भूनें। एक चम्मच से पनीर कालीमिर्च के ऊपर तला हुआ लहसुन और तेल डालें। ऊ"&amp;"पर से एक चुटकी काली मिर्च छिड़कें। गर्मागर्म परोसें। पनीर कालीमिर्च (काली मिर्च के स्वाद वाली ग्रेवी में पनीर) को रात के खाने के रूप में या पराठे के साथ पार्टियों में परोसें।")</f>
        <v>पनीर कालीमिर्च तैयार करने के लिए, हम पहले एक मिक्सर का उपयोग करके प्याज, काजू, लहसुन और अदरक का पेस्ट बना लेंगे। पेस्ट को एक कटोरे में डालें और आवश्यकता तक अलग रख दें। पनीर को बराबर आकार के चौकोर टुकड़ों में काट लें। अब मध्यम आँच पर तवे पर एक बड़ा चम्मच तेल गर्म करें। तवे पर पनीर के टुकड़ों को व्यवस्थित करें और तब तक ग्रिल करें जब तक कि एक तरफ जले के निशान न दिखाई दें। पनीर के टुकड़ों के ऊपरी हिस्से पर तेल लगाएं और उन्हें उल्टा कर दें। पनीर को तब तक ग्रिल करें जब तक कि दोनों तरफ जले के निशान न दिखाई दें। इसमें प्रत्येक तरफ लगभग 5 मिनट लगते हैं। आँच बंद कर दें। एक प्लेट में पनीर के टुकड़ों को व्यवस्थित करें और एक तरफ रख दें। जब पनीर ग्रिल हो रहा है तो हम ग्रेवी तैयार करना शुरू कर देंगे। मध्यम आँच पर एक सॉस पैन में दो बड़े चम्मच तेल गर्म करें थोड़े पानी का उपयोग करके ग्रेवी की स्थिरता को समायोजित करें। पानी डालने के बाद स्वाद विकसित करने के लिए ग्रेवी को कुछ देर तक उबालें। अब ग्रेवी में कुटी हुई काली मिर्च और ग्रिल्ड पनीर डालें। मिलाने के लिए हिलाएं। अब मध्यम आंच पर ग्रेवी को 3 - 4 मिनट तक और पकाएं। आंच बंद कर दें। पनीर कालीमिर्च को एक सर्विंग बाउल में डालें। गार्निश के लिए, मध्यम आंच पर एक छोटे पैन में तेल गर्म करें। तेल गर्म हो जाने पर इसमें कटा हुआ लहसुन डालें। लहसुन को सुनहरा होने तक भूनें। एक चम्मच से पनीर कालीमिर्च के ऊपर तला हुआ लहसुन और तेल डालें। ऊपर से एक चुटकी काली मिर्च छिड़कें। गर्मागर्म परोसें। पनीर कालीमिर्च (काली मिर्च के स्वाद वाली ग्रेवी में पनीर) को रात के खाने के रूप में या पराठे के साथ पार्टियों में परोसें।</v>
      </c>
      <c r="J245" s="3" t="s">
        <v>31983</v>
      </c>
      <c r="L245" s="1" t="s">
        <v>31003</v>
      </c>
    </row>
    <row r="246" spans="1:12" ht="13.8">
      <c r="A246" s="1" t="s">
        <v>31984</v>
      </c>
      <c r="B246" s="1" t="str">
        <f ca="1">IFERROR(__xludf.dummyfunction("IF(A246="""", """", GOOGLETRANSLATE(A246, ""en"", ""hi""))"),"कढ़ाई अंडा मसाला रेसिपी")</f>
        <v>कढ़ाई अंडा मसाला रेसिपी</v>
      </c>
      <c r="C246" s="1" t="s">
        <v>145</v>
      </c>
      <c r="D246" s="1" t="s">
        <v>15314</v>
      </c>
      <c r="E246" s="1">
        <v>70</v>
      </c>
      <c r="F246" s="1" t="s">
        <v>31985</v>
      </c>
      <c r="G246" s="1" t="str">
        <f ca="1">IFERROR(__xludf.dummyfunction("IF(F246="""", """", GOOGLETRANSLATE(F246, ""en"", ""hi""))"),"4 पूरे अंडे, 1 प्याज - कटा हुआ, 1 हरी बेल मिर्च (शिमला मिर्च) - कटा हुआ, 1 चम्मच अदरक - कसा हुआ, 2 लौंग लहसुन - बारीक कटा हुआ, 1 कप घर का बना टमाटर प्यूरी, 1 इलायची (इलायची) फली / बीज, 1 चम्मच हल्दी पाउडर (हल्दी), 1 चम्मच जीरा पाउडर (जीरा), 1 चम्मच लाल मि"&amp;"र्च पाउडर, 1 चम्मच काली मिर्च पाउडर, 1 चम्मच कसूरी मेथी (सूखे मेथी के पत्ते), सूरजमुखी तेल, 1 बड़ा चम्मच मक्खन, नमक - स्वादानुसार")</f>
        <v>4 पूरे अंडे, 1 प्याज - कटा हुआ, 1 हरी बेल मिर्च (शिमला मिर्च) - कटा हुआ, 1 चम्मच अदरक - कसा हुआ, 2 लौंग लहसुन - बारीक कटा हुआ, 1 कप घर का बना टमाटर प्यूरी, 1 इलायची (इलायची) फली / बीज, 1 चम्मच हल्दी पाउडर (हल्दी), 1 चम्मच जीरा पाउडर (जीरा), 1 चम्मच लाल मिर्च पाउडर, 1 चम्मच काली मिर्च पाउडर, 1 चम्मच कसूरी मेथी (सूखे मेथी के पत्ते), सूरजमुखी तेल, 1 बड़ा चम्मच मक्खन, नमक - स्वादानुसार</v>
      </c>
      <c r="H246" s="1" t="s">
        <v>31986</v>
      </c>
      <c r="I246" s="1" t="str">
        <f ca="1">IFERROR(__xludf.dummyfunction("IF(H246="""", """", GOOGLETRANSLATE(H246, ""en"", ""hi""))"),"कढ़ाई अंडा मसाला रेसिपी बनाना शुरू करने के लिए, कृपया अंडे कैसे उबालें पर रेसिपी लिंक का पालन करें। उन्हें छीलें और इसे तैयार रखें। एक कढ़ाई में तेल गर्म करें, उसमें प्याज, हरी शिमला मिर्च, अदरक, लहसुन डालें और प्याज और मिर्च के नरम होने तक भूनें। जब प्या"&amp;"ज और मिर्च थोड़ी नरम हो जाए, तो टमाटर, हल्दी पाउडर, जीरा पाउडर, काली मिर्च पाउडर, लाल मिर्च पाउडर डालें और तब तक भूनें जब तक कि टमाटर का पानी सूख न जाए और एक गाढ़ा पेस्ट न बन जाए। मक्खन, नमक, इलायची पाउडर या बड़ी इलाइची डालें और कुछ और मिनट के लिए भूनें। "&amp;"अंडे को आधा काट लें और अंडे के टुकड़े और कसूरी मेथी डालें। पैन को ढक दें और कढ़ाई अंडे को धीमी आंच पर कुछ मिनट तक उबालें")</f>
        <v>कढ़ाई अंडा मसाला रेसिपी बनाना शुरू करने के लिए, कृपया अंडे कैसे उबालें पर रेसिपी लिंक का पालन करें। उन्हें छीलें और इसे तैयार रखें। एक कढ़ाई में तेल गर्म करें, उसमें प्याज, हरी शिमला मिर्च, अदरक, लहसुन डालें और प्याज और मिर्च के नरम होने तक भूनें। जब प्याज और मिर्च थोड़ी नरम हो जाए, तो टमाटर, हल्दी पाउडर, जीरा पाउडर, काली मिर्च पाउडर, लाल मिर्च पाउडर डालें और तब तक भूनें जब तक कि टमाटर का पानी सूख न जाए और एक गाढ़ा पेस्ट न बन जाए। मक्खन, नमक, इलायची पाउडर या बड़ी इलाइची डालें और कुछ और मिनट के लिए भूनें। अंडे को आधा काट लें और अंडे के टुकड़े और कसूरी मेथी डालें। पैन को ढक दें और कढ़ाई अंडे को धीमी आंच पर कुछ मिनट तक उबालें</v>
      </c>
      <c r="J246" s="3" t="s">
        <v>31987</v>
      </c>
      <c r="L246" s="1" t="s">
        <v>31003</v>
      </c>
    </row>
    <row r="247" spans="1:12" ht="13.8">
      <c r="A247" s="1" t="s">
        <v>31988</v>
      </c>
      <c r="B247" s="1" t="str">
        <f ca="1">IFERROR(__xludf.dummyfunction("IF(A247="""", """", GOOGLETRANSLATE(A247, ""en"", ""hi""))"),"प्याज़ की सब्ज़ी")</f>
        <v>प्याज़ की सब्ज़ी</v>
      </c>
      <c r="C247" s="1" t="s">
        <v>145</v>
      </c>
      <c r="D247" s="1" t="s">
        <v>14198</v>
      </c>
      <c r="E247" s="1">
        <v>40</v>
      </c>
      <c r="F247" s="1" t="s">
        <v>31989</v>
      </c>
      <c r="G247" s="1" t="str">
        <f ca="1">IFERROR(__xludf.dummyfunction("IF(F247="""", """", GOOGLETRANSLATE(F247, ""en"", ""hi""))"),"15 छोटे प्याज - छीलकर आधा काट लें, 1/2 छोटा चम्मच जीरा, 1/4 छोटा चम्मच हींग, 1 छोटा चम्मच सौंफ - पिसी हुई, 1 छोटा चम्मच लाल मिर्च पाउडर, 1 छोटा चम्मच अमचूर, 1 छोटा चम्मच धनिया पाउडर, नमक - स्वादानुसार, तेल - उपयोगानुसार")</f>
        <v>15 छोटे प्याज - छीलकर आधा काट लें, 1/2 छोटा चम्मच जीरा, 1/4 छोटा चम्मच हींग, 1 छोटा चम्मच सौंफ - पिसी हुई, 1 छोटा चम्मच लाल मिर्च पाउडर, 1 छोटा चम्मच अमचूर, 1 छोटा चम्मच धनिया पाउडर, नमक - स्वादानुसार, तेल - उपयोगानुसार</v>
      </c>
      <c r="H247" s="1" t="s">
        <v>31990</v>
      </c>
      <c r="I247" s="1" t="str">
        <f ca="1">IFERROR(__xludf.dummyfunction("IF(H247="""", """", GOOGLETRANSLATE(H247, ""en"", ""hi""))"),"प्याज की सब्जी बनाने के लिए सबसे पहले सारी सामग्री तैयार कर लें। प्याज को छीलकर आधा काट लें। अब एक पैन में तेल गर्म करें। इसमें हींग, जीरा और सौंफ डालें। इसे 15 सेकंड तक पकने दें। 15 सेकंड बाद इसमें प्याज, नमक डालें और प्याज के ब्राउन और मुलायम होने तक पक"&amp;"ाएं। प्याज के मुलायम होने के बाद इसमें सारे मसाले डालें और 2 मिनट तक पकने दें। पकने के बाद गैस बंद कर दें और सर्व करें। प्याज की सब्जी को राजस्थानी कढ़ी और फुल्के के साथ लंच में सर्व करें।")</f>
        <v>प्याज की सब्जी बनाने के लिए सबसे पहले सारी सामग्री तैयार कर लें। प्याज को छीलकर आधा काट लें। अब एक पैन में तेल गर्म करें। इसमें हींग, जीरा और सौंफ डालें। इसे 15 सेकंड तक पकने दें। 15 सेकंड बाद इसमें प्याज, नमक डालें और प्याज के ब्राउन और मुलायम होने तक पकाएं। प्याज के मुलायम होने के बाद इसमें सारे मसाले डालें और 2 मिनट तक पकने दें। पकने के बाद गैस बंद कर दें और सर्व करें। प्याज की सब्जी को राजस्थानी कढ़ी और फुल्के के साथ लंच में सर्व करें।</v>
      </c>
      <c r="J247" s="3" t="s">
        <v>31991</v>
      </c>
      <c r="L247" s="1" t="s">
        <v>31003</v>
      </c>
    </row>
    <row r="248" spans="1:12" ht="13.8">
      <c r="A248" s="1" t="s">
        <v>31992</v>
      </c>
      <c r="B248" s="1" t="str">
        <f ca="1">IFERROR(__xludf.dummyfunction("IF(A248="""", """", GOOGLETRANSLATE(A248, ""en"", ""hi""))"),"सिंघाड़े का अचार रेसिपी (सिंघाड़े का अचार)")</f>
        <v>सिंघाड़े का अचार रेसिपी (सिंघाड़े का अचार)</v>
      </c>
      <c r="C248" s="1" t="s">
        <v>14207</v>
      </c>
      <c r="D248" s="1" t="s">
        <v>14198</v>
      </c>
      <c r="E248" s="1">
        <v>40</v>
      </c>
      <c r="F248" s="1" t="s">
        <v>31993</v>
      </c>
      <c r="G248" s="1" t="str">
        <f ca="1">IFERROR(__xludf.dummyfunction("IF(F248="""", """", GOOGLETRANSLATE(F248, ""en"", ""hi""))"),"1 किलो सिंघाड़े - उबले हुए, 2 बड़े चम्मच नमक, 2 बड़े चम्मच हल्दी, 1 बड़ा चम्मच लाल मिर्च पाउडर, 1 बड़ा चम्मच सरसों पाउडर, 2 बड़े चम्मच सौंफ - पिसी हुई, 1 छोटा चम्मच चीनी, 2 बड़े चम्मच सूरजमुखी तेल, 1 छोटा चम्मच सिरका")</f>
        <v>1 किलो सिंघाड़े - उबले हुए, 2 बड़े चम्मच नमक, 2 बड़े चम्मच हल्दी, 1 बड़ा चम्मच लाल मिर्च पाउडर, 1 बड़ा चम्मच सरसों पाउडर, 2 बड़े चम्मच सौंफ - पिसी हुई, 1 छोटा चम्मच चीनी, 2 बड़े चम्मच सूरजमुखी तेल, 1 छोटा चम्मच सिरका</v>
      </c>
      <c r="H248" s="1" t="s">
        <v>31994</v>
      </c>
      <c r="I248" s="1" t="str">
        <f ca="1">IFERROR(__xludf.dummyfunction("IF(H248="""", """", GOOGLETRANSLATE(H248, ""en"", ""hi""))"),"सिंघाड़े का अचार बनाने के लिए, नुकीली सतह को छीलकर धो लें और दो भागों में काट लें। इसे एक सॉस पैन में एक गिलास पानी के साथ 10 से 12 मिनट तक उबालें, ठंडा करें और छलनी में रख दें। अब इसे 1 घंटे के लिए खुली जगह पर रख दें। एक बड़ा कटोरा लें और उबले हुए सिंघाड"&amp;"़े सहित सभी सामग्री को अच्छी तरह मिला लें। जार को 2 दिनों के लिए धूप में रखें और यह परोसने के लिए तैयार है। वीकेंड की सुबह नाश्ते के लिए पुदीना तवा पराठा या नटी आलू पराठा के साथ सिंघाड़े का अचार परोसें।")</f>
        <v>सिंघाड़े का अचार बनाने के लिए, नुकीली सतह को छीलकर धो लें और दो भागों में काट लें। इसे एक सॉस पैन में एक गिलास पानी के साथ 10 से 12 मिनट तक उबालें, ठंडा करें और छलनी में रख दें। अब इसे 1 घंटे के लिए खुली जगह पर रख दें। एक बड़ा कटोरा लें और उबले हुए सिंघाड़े सहित सभी सामग्री को अच्छी तरह मिला लें। जार को 2 दिनों के लिए धूप में रखें और यह परोसने के लिए तैयार है। वीकेंड की सुबह नाश्ते के लिए पुदीना तवा पराठा या नटी आलू पराठा के साथ सिंघाड़े का अचार परोसें।</v>
      </c>
      <c r="J248" s="3" t="s">
        <v>31995</v>
      </c>
      <c r="L248" s="1" t="s">
        <v>31003</v>
      </c>
    </row>
    <row r="249" spans="1:12" ht="13.8">
      <c r="A249" s="1" t="s">
        <v>31996</v>
      </c>
      <c r="B249" s="1" t="str">
        <f ca="1">IFERROR(__xludf.dummyfunction("IF(A249="""", """", GOOGLETRANSLATE(A249, ""en"", ""hi""))"),"दिल्ली स्टाइल फ्रूट चाट रेसिपी - उत्तर भारत की घर पर बनी कुल्ले चाट")</f>
        <v>दिल्ली स्टाइल फ्रूट चाट रेसिपी - उत्तर भारत की घर पर बनी कुल्ले चाट</v>
      </c>
      <c r="C249" s="1" t="s">
        <v>14281</v>
      </c>
      <c r="D249" s="1" t="s">
        <v>17937</v>
      </c>
      <c r="E249" s="1">
        <v>30</v>
      </c>
      <c r="F249" s="1" t="s">
        <v>31997</v>
      </c>
      <c r="G249" s="1" t="str">
        <f ca="1">IFERROR(__xludf.dummyfunction("IF(F249="""", """", GOOGLETRANSLATE(F249, ""en"", ""hi""))"),"1 सेब - छिला हुआ और टुकड़ों में कटा हुआ, 2 पके केले - छिला हुआ और टुकड़ों में कटा हुआ, 1/2 कप अनानास - टुकड़ों में कटा हुआ, 1/4 कप अनारदाना पाउडर, 1 आलू - उबला हुआ, 1 शकरकंद - छिला हुआ और टुकड़ों में कटा हुआ, 1 हरी मिर्च - बारीक कटी हुई, 2 टहनी धनिया - बा"&amp;"रीक कटी हुई, 1 चम्मच चाट मसाला पाउडर, 1/2 चम्मच जीरा पाउडर (जीरा) - भुना हुआ, 1/2 चम्मच लाल मिर्च पाउडर, नमक - स्वादानुसार, 1 नींबू का रस, घी - तलने के लिए")</f>
        <v>1 सेब - छिला हुआ और टुकड़ों में कटा हुआ, 2 पके केले - छिला हुआ और टुकड़ों में कटा हुआ, 1/2 कप अनानास - टुकड़ों में कटा हुआ, 1/4 कप अनारदाना पाउडर, 1 आलू - उबला हुआ, 1 शकरकंद - छिला हुआ और टुकड़ों में कटा हुआ, 1 हरी मिर्च - बारीक कटी हुई, 2 टहनी धनिया - बारीक कटी हुई, 1 चम्मच चाट मसाला पाउडर, 1/2 चम्मच जीरा पाउडर (जीरा) - भुना हुआ, 1/2 चम्मच लाल मिर्च पाउडर, नमक - स्वादानुसार, 1 नींबू का रस, घी - तलने के लिए</v>
      </c>
      <c r="H249" s="1" t="s">
        <v>31998</v>
      </c>
      <c r="I249" s="1" t="str">
        <f ca="1">IFERROR(__xludf.dummyfunction("IF(H249="""", """", GOOGLETRANSLATE(H249, ""en"", ""hi""))"),"दिल्ली स्टाइल फ्रूट चाट या उत्तर भारत की कुल्ले चाट बनाने के लिए सबसे पहले आलू उबालकर तैयार रखें। फलों को काटकर छील लें और उन्हें एक तरफ रख दें। एक भारी तले वाले पैन या कड़ाही में एक बड़ा चम्मच घी गर्म करें। मध्यम आँच पर कटे हुए और उबले हुए आलू को भूरा हो"&amp;"ने तक भूनें। भुन जाने के बाद आँच बंद कर दें और एक तरफ रख दें। एक बड़े मिक्सिंग बाउल में भुने हुए आलू, कटे हुए फल जैसे सेब, केला, अनानास और अनार डालें। कटोरे में चाट मसाला, लाल मिर्च पाउडर, जीरा पाउडर, हरी मिर्च, नींबू, धनिया पत्ती और नमक जैसी शेष सामग्री "&amp;"डालें और अच्छी तरह से मिलाएँ। नमक और मसाले की जाँच करें और अपने स्वाद के अनुसार समायोजित करें। दिल्ली स्टाइल फ्रूट चाट रेसिपी या कुल्ले चाट को शाम के नाश्ते के रूप में या पार्टियों के लिए ऐपेटाइज़र के रूप में पाव भाजी, दही वड़ा, पानी पुरी के साथ परोसें और"&amp;" अंत में मिठाई के रूप में पनीर खीर के साथ समाप्त करें।")</f>
        <v>दिल्ली स्टाइल फ्रूट चाट या उत्तर भारत की कुल्ले चाट बनाने के लिए सबसे पहले आलू उबालकर तैयार रखें। फलों को काटकर छील लें और उन्हें एक तरफ रख दें। एक भारी तले वाले पैन या कड़ाही में एक बड़ा चम्मच घी गर्म करें। मध्यम आँच पर कटे हुए और उबले हुए आलू को भूरा होने तक भूनें। भुन जाने के बाद आँच बंद कर दें और एक तरफ रख दें। एक बड़े मिक्सिंग बाउल में भुने हुए आलू, कटे हुए फल जैसे सेब, केला, अनानास और अनार डालें। कटोरे में चाट मसाला, लाल मिर्च पाउडर, जीरा पाउडर, हरी मिर्च, नींबू, धनिया पत्ती और नमक जैसी शेष सामग्री डालें और अच्छी तरह से मिलाएँ। नमक और मसाले की जाँच करें और अपने स्वाद के अनुसार समायोजित करें। दिल्ली स्टाइल फ्रूट चाट रेसिपी या कुल्ले चाट को शाम के नाश्ते के रूप में या पार्टियों के लिए ऐपेटाइज़र के रूप में पाव भाजी, दही वड़ा, पानी पुरी के साथ परोसें और अंत में मिठाई के रूप में पनीर खीर के साथ समाप्त करें।</v>
      </c>
      <c r="J249" s="3" t="s">
        <v>31999</v>
      </c>
      <c r="L249" s="1" t="s">
        <v>31003</v>
      </c>
    </row>
    <row r="250" spans="1:12" ht="13.8">
      <c r="A250" s="1" t="s">
        <v>32000</v>
      </c>
      <c r="B250" s="1" t="str">
        <f ca="1">IFERROR(__xludf.dummyfunction("IF(A250="""", """", GOOGLETRANSLATE(A250, ""en"", ""hi""))"),"आसान क्रीमी चिकन करी रेसिपी")</f>
        <v>आसान क्रीमी चिकन करी रेसिपी</v>
      </c>
      <c r="C250" s="1" t="s">
        <v>145</v>
      </c>
      <c r="D250" s="1" t="s">
        <v>14382</v>
      </c>
      <c r="E250" s="1">
        <v>42</v>
      </c>
      <c r="F250" s="1" t="s">
        <v>32001</v>
      </c>
      <c r="G250" s="1" t="str">
        <f ca="1">IFERROR(__xludf.dummyfunction("IF(F250="""", """", GOOGLETRANSLATE(F250, ""en"", ""hi""))"),"500 ग्राम चिकन - हड्डी सहित, 2 कप दही, 1 बड़ा चम्मच नींबू का रस, नमक - स्वादानुसार, 1 इंच अदरक - बारीक कटा हुआ, 8 लहसुन की कलियां - बारीक कटी हुई, 1 छोटा चम्मच काली मिर्च पाउडर, 1 छोटा चम्मच कसूरी मेथी, 1/2 कप क्रीम, 1 बड़ा चम्मच तेल")</f>
        <v>500 ग्राम चिकन - हड्डी सहित, 2 कप दही, 1 बड़ा चम्मच नींबू का रस, नमक - स्वादानुसार, 1 इंच अदरक - बारीक कटा हुआ, 8 लहसुन की कलियां - बारीक कटी हुई, 1 छोटा चम्मच काली मिर्च पाउडर, 1 छोटा चम्मच कसूरी मेथी, 1/2 कप क्रीम, 1 बड़ा चम्मच तेल</v>
      </c>
      <c r="H250" s="1" t="s">
        <v>32002</v>
      </c>
      <c r="I250" s="1" t="str">
        <f ca="1">IFERROR(__xludf.dummyfunction("IF(H250="""", """", GOOGLETRANSLATE(H250, ""en"", ""hi""))"),"""क्रीमी चिकन करी रेसिपी बनाने के लिए सबसे पहले एक बाउल में चिकन, नींबू का रस, नमक, दही लें और सारी चीजों को मिला लें। इसे 1 घंटे के लिए अलग रख दें। अब एक पैन में तेल गर्म करें। तेल गर्म होने के बाद इसमें अदरक, लहसुन, थोड़ा पानी डालें और 3 से 4 मिनट तक पक"&amp;"ाएं। 3 से 4 मिनट बाद इसमें बचे हुए मैरीनेशन के साथ चिकन के पीस डालें। 5 मिनट तक पकाएं। चिकन को पलटें और 5 मिनट तक पकने दें। चिकन को ढककर धीमी आंच पर 25 मिनट तक पकने दें। 25 मिनट बाद पैन से ढक्कन हटाकर अच्छी तरह मिला लें। चिकन पक जाने के बाद इसमें क्रीम, क"&amp;"ाली मिर्च पाउडर और कसूरी मेथी डालें। सारी चीजों को मिलाएं और उबलने दें। उबलने के बाद गैस बंद कर दें और सर्व करें")</f>
        <v>"क्रीमी चिकन करी रेसिपी बनाने के लिए सबसे पहले एक बाउल में चिकन, नींबू का रस, नमक, दही लें और सारी चीजों को मिला लें। इसे 1 घंटे के लिए अलग रख दें। अब एक पैन में तेल गर्म करें। तेल गर्म होने के बाद इसमें अदरक, लहसुन, थोड़ा पानी डालें और 3 से 4 मिनट तक पकाएं। 3 से 4 मिनट बाद इसमें बचे हुए मैरीनेशन के साथ चिकन के पीस डालें। 5 मिनट तक पकाएं। चिकन को पलटें और 5 मिनट तक पकने दें। चिकन को ढककर धीमी आंच पर 25 मिनट तक पकने दें। 25 मिनट बाद पैन से ढक्कन हटाकर अच्छी तरह मिला लें। चिकन पक जाने के बाद इसमें क्रीम, काली मिर्च पाउडर और कसूरी मेथी डालें। सारी चीजों को मिलाएं और उबलने दें। उबलने के बाद गैस बंद कर दें और सर्व करें</v>
      </c>
      <c r="J250" s="3" t="s">
        <v>32003</v>
      </c>
      <c r="L250" s="1" t="s">
        <v>31003</v>
      </c>
    </row>
    <row r="251" spans="1:12" ht="13.8">
      <c r="A251" s="1" t="s">
        <v>32004</v>
      </c>
      <c r="B251" s="1" t="str">
        <f ca="1">IFERROR(__xludf.dummyfunction("IF(A251="""", """", GOOGLETRANSLATE(A251, ""en"", ""hi""))"),"हरी चटनी रेसिपी - धनिया पुदीना चटनी रेसिपी")</f>
        <v>हरी चटनी रेसिपी - धनिया पुदीना चटनी रेसिपी</v>
      </c>
      <c r="C251" s="1" t="s">
        <v>14207</v>
      </c>
      <c r="D251" s="1" t="s">
        <v>14198</v>
      </c>
      <c r="E251" s="1">
        <v>30</v>
      </c>
      <c r="F251" s="1" t="s">
        <v>32005</v>
      </c>
      <c r="G251" s="1" t="str">
        <f ca="1">IFERROR(__xludf.dummyfunction("IF(F251="""", """", GOOGLETRANSLATE(F251, ""en"", ""hi""))"),"1 कप धनिया पत्ती - कटी हुई, 1 कप पुदीना पत्ती - कटी हुई, 1/4 कप करी पत्ता, 1/4 कप भुनी मूंगफली - या बादाम, 1 इंच अदरक - कटा हुआ, 2 हरी मिर्च - कटी हुई, 1 चम्मच चीनी, 1 नींबू का रस - निचोड़ा हुआ, नमक - स्वादानुसार, 1/4 कप पानी")</f>
        <v>1 कप धनिया पत्ती - कटी हुई, 1 कप पुदीना पत्ती - कटी हुई, 1/4 कप करी पत्ता, 1/4 कप भुनी मूंगफली - या बादाम, 1 इंच अदरक - कटा हुआ, 2 हरी मिर्च - कटी हुई, 1 चम्मच चीनी, 1 नींबू का रस - निचोड़ा हुआ, नमक - स्वादानुसार, 1/4 कप पानी</v>
      </c>
      <c r="H251" s="1" t="s">
        <v>32006</v>
      </c>
      <c r="I251" s="1" t="str">
        <f ca="1">IFERROR(__xludf.dummyfunction("IF(H251="""", """", GOOGLETRANSLATE(H251, ""en"", ""hi""))"),"हरे धनिये और पुदीने की चटनी रेसिपी बनाने के लिए सबसे पहले धनिया पत्ती, पुदीना पत्ती, करी पत्ता, मूंगफली, अदरक, हरी मिर्च, चीनी, नींबू का रस, स्वादानुसार नमक मिलाएं और ब्लेंडर में मुलायम पेस्ट बना लें। चटनी को अच्छी तरह मिलाने के लिए इसमें थोड़ा सा पानी मि"&amp;"लाएं। नींबू का रस मिलाने से पुदीना और धनिया का स्वाद बढ़ जाता है और साग का रंग खराब नहीं होता है। धनिया पुदीना चटनी- हरे धनिये और पुदीने की चटनी को एक बाउल में डालें और परोसें। आप हरे धनिये और पुदीने की चटनी को कुछ दिनों के लिए फ्रिज में रख सकते हैं। धनिय"&amp;"ा पुदीना चटनी रेसिपी को समोसा रेसिपी के साथ परोसें या हरी चटनी आलू चाट रेसिपी बनाकर एक कप मसाला चाय के साथ इसका आनंद लें।")</f>
        <v>हरे धनिये और पुदीने की चटनी रेसिपी बनाने के लिए सबसे पहले धनिया पत्ती, पुदीना पत्ती, करी पत्ता, मूंगफली, अदरक, हरी मिर्च, चीनी, नींबू का रस, स्वादानुसार नमक मिलाएं और ब्लेंडर में मुलायम पेस्ट बना लें। चटनी को अच्छी तरह मिलाने के लिए इसमें थोड़ा सा पानी मिलाएं। नींबू का रस मिलाने से पुदीना और धनिया का स्वाद बढ़ जाता है और साग का रंग खराब नहीं होता है। धनिया पुदीना चटनी- हरे धनिये और पुदीने की चटनी को एक बाउल में डालें और परोसें। आप हरे धनिये और पुदीने की चटनी को कुछ दिनों के लिए फ्रिज में रख सकते हैं। धनिया पुदीना चटनी रेसिपी को समोसा रेसिपी के साथ परोसें या हरी चटनी आलू चाट रेसिपी बनाकर एक कप मसाला चाय के साथ इसका आनंद लें।</v>
      </c>
      <c r="J251" s="3" t="s">
        <v>32007</v>
      </c>
      <c r="L251" s="1" t="s">
        <v>31003</v>
      </c>
    </row>
    <row r="252" spans="1:12" ht="13.8">
      <c r="A252" s="1" t="s">
        <v>32008</v>
      </c>
      <c r="B252" s="1" t="str">
        <f ca="1">IFERROR(__xludf.dummyfunction("IF(A252="""", """", GOOGLETRANSLATE(A252, ""en"", ""hi""))"),"लहसुनी पुदीना चटनी रेसिपी")</f>
        <v>लहसुनी पुदीना चटनी रेसिपी</v>
      </c>
      <c r="C252" s="1" t="s">
        <v>14207</v>
      </c>
      <c r="D252" s="1" t="s">
        <v>14198</v>
      </c>
      <c r="E252" s="1">
        <v>40</v>
      </c>
      <c r="F252" s="1" t="s">
        <v>32009</v>
      </c>
      <c r="G252" s="1" t="str">
        <f ca="1">IFERROR(__xludf.dummyfunction("IF(F252="""", """", GOOGLETRANSLATE(F252, ""en"", ""hi""))"),"2 कप पुदीना के पत्ते - कटे हुए, 3 लहसुन के दाने, 1 इंच अदरक - कटा हुआ, 1 हरी मिर्च - कटी हुई, 1 बड़ा चम्मच कच्ची मूंगफली, नमक - स्वादानुसार, 1 छोटा चम्मच चीनी, 3/4 छोटा चम्मच नींबू का रस")</f>
        <v>2 कप पुदीना के पत्ते - कटे हुए, 3 लहसुन के दाने, 1 इंच अदरक - कटा हुआ, 1 हरी मिर्च - कटी हुई, 1 बड़ा चम्मच कच्ची मूंगफली, नमक - स्वादानुसार, 1 छोटा चम्मच चीनी, 3/4 छोटा चम्मच नींबू का रस</v>
      </c>
      <c r="H252" s="1" t="s">
        <v>32010</v>
      </c>
      <c r="I252" s="1" t="str">
        <f ca="1">IFERROR(__xludf.dummyfunction("IF(H252="""", """", GOOGLETRANSLATE(H252, ""en"", ""hi""))"),"लहसुनी पुदीना चटनी बनाने के लिए सबसे पहले सारी सामग्री तैयार रखें। इसके बाद, एक मिक्सर ग्राइंडर जार लें और उसमें सारी सामग्री डालें। थोड़ा पानी डालें और इसे पीसकर चिकना पेस्ट बना लें। बहुत ज़्यादा पानी न डालें क्योंकि हमें गाढ़ा पेस्ट चाहिए न कि पानी वाली"&amp;" चटनी। तैयार होने के बाद, इसे एक कटोरे में निकाल लें और सर्व करें। लहसुनी पुदीना चटनी को पंजाबी आलू पराठा और तड़का रायता के साथ सप्ताह के दिनों में रात के खाने में परोसें।")</f>
        <v>लहसुनी पुदीना चटनी बनाने के लिए सबसे पहले सारी सामग्री तैयार रखें। इसके बाद, एक मिक्सर ग्राइंडर जार लें और उसमें सारी सामग्री डालें। थोड़ा पानी डालें और इसे पीसकर चिकना पेस्ट बना लें। बहुत ज़्यादा पानी न डालें क्योंकि हमें गाढ़ा पेस्ट चाहिए न कि पानी वाली चटनी। तैयार होने के बाद, इसे एक कटोरे में निकाल लें और सर्व करें। लहसुनी पुदीना चटनी को पंजाबी आलू पराठा और तड़का रायता के साथ सप्ताह के दिनों में रात के खाने में परोसें।</v>
      </c>
      <c r="J252" s="3" t="s">
        <v>32011</v>
      </c>
      <c r="L252" s="1" t="s">
        <v>31003</v>
      </c>
    </row>
    <row r="253" spans="1:12" ht="13.8">
      <c r="A253" s="1" t="s">
        <v>32012</v>
      </c>
      <c r="B253" s="1" t="str">
        <f ca="1">IFERROR(__xludf.dummyfunction("IF(A253="""", """", GOOGLETRANSLATE(A253, ""en"", ""hi""))"),"शकरकंद और मेथी भरवां पराठा रेसिपी")</f>
        <v>शकरकंद और मेथी भरवां पराठा रेसिपी</v>
      </c>
      <c r="C253" s="1" t="s">
        <v>16424</v>
      </c>
      <c r="D253" s="1" t="s">
        <v>14338</v>
      </c>
      <c r="E253" s="1">
        <v>90</v>
      </c>
      <c r="F253" s="1" t="s">
        <v>32013</v>
      </c>
      <c r="G253" s="1" t="str">
        <f ca="1">IFERROR(__xludf.dummyfunction("IF(F253="""", """", GOOGLETRANSLATE(F253, ""en"", ""hi""))"),"1 कप गेहूं का आटा, 1 बड़ा चम्मच सूरजमुखी तेल, नमक - स्वादानुसार, 2 शकरकंद - छिले और उबले हुए, 1 कप मेथी के पत्ते - कटे हुए, 1 छोटा चम्मच जीरा, 1 इंच अदरक - कटा हुआ, 1 हरी मिर्च - कटी हुई, 1 छोटा चम्मच हल्दी पाउडर, 1 छोटा चम्मच लाल मिर्च पाउडर, 1 छोटा चम्म"&amp;"च धनिया पाउडर, 2 बड़े चम्मच सरसों का तेल, नमक - स्वादानुसार")</f>
        <v>1 कप गेहूं का आटा, 1 बड़ा चम्मच सूरजमुखी तेल, नमक - स्वादानुसार, 2 शकरकंद - छिले और उबले हुए, 1 कप मेथी के पत्ते - कटे हुए, 1 छोटा चम्मच जीरा, 1 इंच अदरक - कटा हुआ, 1 हरी मिर्च - कटी हुई, 1 छोटा चम्मच हल्दी पाउडर, 1 छोटा चम्मच लाल मिर्च पाउडर, 1 छोटा चम्मच धनिया पाउडर, 2 बड़े चम्मच सरसों का तेल, नमक - स्वादानुसार</v>
      </c>
      <c r="H253" s="1" t="s">
        <v>32014</v>
      </c>
      <c r="I253" s="1" t="str">
        <f ca="1">IFERROR(__xludf.dummyfunction("IF(H253="""", """", GOOGLETRANSLATE(H253, ""en"", ""hi""))"),"शकरकंद और मेथी भरवां पराठा रेसिपी बनाने के लिए सबसे पहले शकरकंद को पानी के साथ लगभग 4 सीटी आने तक पका लें। प्रेशर को अपने आप छोड़ दें। एक बार जब वे ठंडे हो जाएं, तो आलू को छीलकर मैश कर लें। उन्हें एक तरफ रख दें। इस बीच मेथी को साफ करके तैयार कर लें। उन्हे"&amp;"ं धोकर मोटा-मोटा काट लें। इसमें गेहूं का आटा, नमक और तेल मिलाएं। चपाती या बाहरी परत के लिए थोड़ा पानी डालकर नरम आटा गूंथ लें। इसे ढककर एक तरफ रख दें। एक सॉस पैन में सरसों का तेल गर्म करें, उसमें जीरा डालें और कुछ सेकंड के लिए उसे तड़कने दें। उसमें अदरक डा"&amp;"लें और पारदर्शी होने तक भूनें। कटी हुई मेथी के पत्ते डालें और पत्तों के पकने तक भूनें। इसमें मसला हुआ आलू, हरी मिर्च और हल्दी पाउडर, लाल मिर्च पाउडर, धनिया पाउडर सहित सभी मसाले डालें। इसे मिलाएँ और नमक की जाँच करें। इसे थोड़ी देर के लिए ठंडा होने के लिए ए"&amp;"क तरफ रख दें। भरावन को 4 बराबर भागों में बाँट लें। आटे को भी 4 बराबर भागों में विभाजित करें, आटे की एक छोटी सी गेंद लें, आटे की गेंद को एक छोटे मोटे सपाट गोल आकार में रोल करें। केंद्र में भरावन रखें और सभी तरफ से बंद करें। इसे बहुत सावधानी से एक सेंटीमीटर"&amp;" मोटाई के गोल आकार की रोटी में रोल करें। यह थोड़ा मोटा भी हो सकता है। अब पराठा पकाने के लिए, पहले मध्यम आँच पर तवा गरम करें। बेले हुए पराठे को ऊपर रखें और इसे एक तरफ से पकने दें। लगभग 10 से 15 सेकंड के बाद पराठे को पलट दें। इस अवस्था में पराठे को पकाने के"&amp;" लिए थोड़ा तेल या घी लगाएँ। पराठे को पलट कर दोनों तरफ सुनहरे भूरे रंग के धब्बे आने तक पकाएँ। बचे हुए आटे के हिस्सों के साथ भी यही प्रक्रिया अपनाएँ और यह परोसने के लिए तैयार है। शकरकंद और मेथी भरवां पराठा रेसिपी को टमाटर प्याज ककड़ी रायता, गाजर ककड़ी टमाटर"&amp;" सलाद नींबू और धनिया के साथ परोसें")</f>
        <v>शकरकंद और मेथी भरवां पराठा रेसिपी बनाने के लिए सबसे पहले शकरकंद को पानी के साथ लगभग 4 सीटी आने तक पका लें। प्रेशर को अपने आप छोड़ दें। एक बार जब वे ठंडे हो जाएं, तो आलू को छीलकर मैश कर लें। उन्हें एक तरफ रख दें। इस बीच मेथी को साफ करके तैयार कर लें। उन्हें धोकर मोटा-मोटा काट लें। इसमें गेहूं का आटा, नमक और तेल मिलाएं। चपाती या बाहरी परत के लिए थोड़ा पानी डालकर नरम आटा गूंथ लें। इसे ढककर एक तरफ रख दें। एक सॉस पैन में सरसों का तेल गर्म करें, उसमें जीरा डालें और कुछ सेकंड के लिए उसे तड़कने दें। उसमें अदरक डालें और पारदर्शी होने तक भूनें। कटी हुई मेथी के पत्ते डालें और पत्तों के पकने तक भूनें। इसमें मसला हुआ आलू, हरी मिर्च और हल्दी पाउडर, लाल मिर्च पाउडर, धनिया पाउडर सहित सभी मसाले डालें। इसे मिलाएँ और नमक की जाँच करें। इसे थोड़ी देर के लिए ठंडा होने के लिए एक तरफ रख दें। भरावन को 4 बराबर भागों में बाँट लें। आटे को भी 4 बराबर भागों में विभाजित करें, आटे की एक छोटी सी गेंद लें, आटे की गेंद को एक छोटे मोटे सपाट गोल आकार में रोल करें। केंद्र में भरावन रखें और सभी तरफ से बंद करें। इसे बहुत सावधानी से एक सेंटीमीटर मोटाई के गोल आकार की रोटी में रोल करें। यह थोड़ा मोटा भी हो सकता है। अब पराठा पकाने के लिए, पहले मध्यम आँच पर तवा गरम करें। बेले हुए पराठे को ऊपर रखें और इसे एक तरफ से पकने दें। लगभग 10 से 15 सेकंड के बाद पराठे को पलट दें। इस अवस्था में पराठे को पकाने के लिए थोड़ा तेल या घी लगाएँ। पराठे को पलट कर दोनों तरफ सुनहरे भूरे रंग के धब्बे आने तक पकाएँ। बचे हुए आटे के हिस्सों के साथ भी यही प्रक्रिया अपनाएँ और यह परोसने के लिए तैयार है। शकरकंद और मेथी भरवां पराठा रेसिपी को टमाटर प्याज ककड़ी रायता, गाजर ककड़ी टमाटर सलाद नींबू और धनिया के साथ परोसें</v>
      </c>
      <c r="J253" s="3" t="s">
        <v>32015</v>
      </c>
      <c r="L253" s="1" t="s">
        <v>31003</v>
      </c>
    </row>
    <row r="254" spans="1:12" ht="13.8">
      <c r="A254" s="1" t="s">
        <v>32016</v>
      </c>
      <c r="B254" s="1" t="str">
        <f ca="1">IFERROR(__xludf.dummyfunction("IF(A254="""", """", GOOGLETRANSLATE(A254, ""en"", ""hi""))"),"पनीर मेथी पराठा रेसिपी")</f>
        <v>पनीर मेथी पराठा रेसिपी</v>
      </c>
      <c r="C254" s="1" t="s">
        <v>16424</v>
      </c>
      <c r="D254" s="1" t="s">
        <v>14237</v>
      </c>
      <c r="E254" s="1">
        <v>50</v>
      </c>
      <c r="F254" s="1" t="s">
        <v>32017</v>
      </c>
      <c r="G254" s="1" t="str">
        <f ca="1">IFERROR(__xludf.dummyfunction("IF(F254="""", """", GOOGLETRANSLATE(F254, ""en"", ""hi""))"),"2 कप गेहूं का आटा, 1/2 चम्मच नमक, 1 चम्मच सूरजमुखी तेल, 1 कप पनीर - टुकड़े टुकड़े, 1 चम्मच जीरा पाउडर (जीरा) - भुना हुआ और पीसा हुआ, 2 हरी मिर्च - बारीक कटी हुई, 1 प्याज - बारीक कटा हुआ, 1/2 कप मेथी के पत्ते (मेथी के पत्ते) - बारीक कटा हुआ, नमक - स्वादानु"&amp;"सार")</f>
        <v>2 कप गेहूं का आटा, 1/2 चम्मच नमक, 1 चम्मच सूरजमुखी तेल, 1 कप पनीर - टुकड़े टुकड़े, 1 चम्मच जीरा पाउडर (जीरा) - भुना हुआ और पीसा हुआ, 2 हरी मिर्च - बारीक कटी हुई, 1 प्याज - बारीक कटा हुआ, 1/2 कप मेथी के पत्ते (मेथी के पत्ते) - बारीक कटा हुआ, नमक - स्वादानुसार</v>
      </c>
      <c r="H254" s="1" t="s">
        <v>32018</v>
      </c>
      <c r="I254" s="1" t="str">
        <f ca="1">IFERROR(__xludf.dummyfunction("IF(H254="""", """", GOOGLETRANSLATE(H254, ""en"", ""hi""))"),"पनीर मेथी पराठा रेसिपी बनाने के लिए, हमें सबसे पहले पराठों के लिए आटा गूंथना होगा। एक बड़े कटोरे में 2 कप गेहूं का आटा और थोड़ा नमक डालें। अपनी उंगलियों का उपयोग करें और आटे में नमक मिलाएँ। थोड़ा-थोड़ा पानी डालें और नरम, लचीला आटा गूंथ लें। आटे को चिकना औ"&amp;"र लचीला होने तक कुछ मिनट तक गूंथें। आटे को चिकना बनाने के लिए फोल्ड प्रेस और गूंथने की गति का उपयोग करें। इसके बाद हम आटे को कोट करने के लिए एक चम्मच तेल डालेंगे और थोड़ा और गूंथेंगे। आपको ऐसा आटा चाहिए जो नरम चिकना हो और चिपचिपा न हो। इसके बाद हम आटे को "&amp;"14 से 16 बराबर भागों में बाँटेंगे। आटे को ढँक दें और आटे को तब तक आराम करने दें जब तक आपको लगे कि यह तैयार है। जब तक आटा आराम कर रहा है, तब तक पराठों के लिए भरावन तैयार करें। मैं घर का बना पनीर इस्तेमाल करने जा रहा हूँ क्योंकि यह पराठों को नरम बनाता है, ल"&amp;"ेकिन आप स्टोर से खरीदा हुआ पनीर भी इस्तेमाल कर सकते हैं। एक बड़े कटोरे में; घर का बना पनीर डालें। अपनी उंगलियों या कांटे का उपयोग करें और पनीर को तोड़ना शुरू करें। इसके बाद इसमें 1 बड़ा कटा हुआ प्याज, बहुत सारे कटे हुए मेथी के पत्ते, बारीक कटी हरी मिर्च, "&amp;"जीरा पाउडर और नमक डालें। सभी सामग्री को अच्छी तरह मिलाएं। भरावन को 10 से 12 बराबर भागों में विभाजित करें। आटे के हिस्सों को विभाजित करने और तैयार रखने की यह प्रक्रिया, आपको यह अनुमान लगाने में मदद करती है कि आप कितने पराठे बना सकते हैं और आपको अधिक या कम "&amp;"भरावन की आवश्यकता है। एक पराठा आटा भाग लें, इसे आटे में लपेटें और इसे रोलिंग बोर्ड पर दबाकर चपटा करें। आटे को सतह पर चिपकने से रोकने के लिए आटे के साथ लगभग 3 इंच व्यास के गोलों में बेल लें। इस बेले हुए आटे को एक तरफ रख दें। एक और आटा भाग लें, इसे फिर से आ"&amp;"टे से लपेटें और लगभग 3 इंच व्यास के गोले में बेल एक बार सील हो जाने के बाद पनीर पराठे को अपनी हथेलियों से दबाएँ ताकि हवा की जेबें निकल जाएँ। और इसे पिन से धीरे से रोल करके एक समान कर दें। बचे हुए पराठे के आटे और भरावन के हिस्सों के साथ भी इसी तरह आगे बढ़े"&amp;"ं। अब हम पनीर मेथी पराठा पकाने के अंतिम चरण में पहुँचेंगे, मध्यम आँच पर एक कड़ाही गरम करें और भरावन का आटा डालें। इसे मध्यम आँच पर लगभग 30 से 45 सेकंड तक पकने दें और पलट दें। इस चरण में एक चम्मच घी या तेल डालें और इसे पनीर पराठे के चारों ओर फैलाएँ। फिर से"&amp;" पलटें, ताकि तेल वाला भाग कड़ाही में पक सके। थोड़ा और घी लगाएँ और पनीर पराठे को कड़ाही में दबाते रहें ताकि पराठा अंदर से बाहर तक समान रूप से पक जाए। पलटने की प्रक्रिया को एक-दो बार तब तक करें जब तक कि दोनों तरफ से समान रूप से पककर भूरा और कुरकुरा न हो जाए"&amp;"। सुनिश्चित करें कि आप मध्यम आँच पर पकाएँ क्योंकि इससे पराठे बाहर से कुरकुरा और फिर भी नरम हो जाता है। जब पनीर पराठा पक जाए तो उसे एक प्लेट में निकाल लें। इसी तरह बाकी आटे के हिस्सों को भी तैयार करें। भरवां पनीर मेथी पराठा रेसिपी को रायते के साथ नाश्ते या"&amp;" रात के खाने के लिए परोसें।")</f>
        <v>पनीर मेथी पराठा रेसिपी बनाने के लिए, हमें सबसे पहले पराठों के लिए आटा गूंथना होगा। एक बड़े कटोरे में 2 कप गेहूं का आटा और थोड़ा नमक डालें। अपनी उंगलियों का उपयोग करें और आटे में नमक मिलाएँ। थोड़ा-थोड़ा पानी डालें और नरम, लचीला आटा गूंथ लें। आटे को चिकना और लचीला होने तक कुछ मिनट तक गूंथें। आटे को चिकना बनाने के लिए फोल्ड प्रेस और गूंथने की गति का उपयोग करें। इसके बाद हम आटे को कोट करने के लिए एक चम्मच तेल डालेंगे और थोड़ा और गूंथेंगे। आपको ऐसा आटा चाहिए जो नरम चिकना हो और चिपचिपा न हो। इसके बाद हम आटे को 14 से 16 बराबर भागों में बाँटेंगे। आटे को ढँक दें और आटे को तब तक आराम करने दें जब तक आपको लगे कि यह तैयार है। जब तक आटा आराम कर रहा है, तब तक पराठों के लिए भरावन तैयार करें। मैं घर का बना पनीर इस्तेमाल करने जा रहा हूँ क्योंकि यह पराठों को नरम बनाता है, लेकिन आप स्टोर से खरीदा हुआ पनीर भी इस्तेमाल कर सकते हैं। एक बड़े कटोरे में; घर का बना पनीर डालें। अपनी उंगलियों या कांटे का उपयोग करें और पनीर को तोड़ना शुरू करें। इसके बाद इसमें 1 बड़ा कटा हुआ प्याज, बहुत सारे कटे हुए मेथी के पत्ते, बारीक कटी हरी मिर्च, जीरा पाउडर और नमक डालें। सभी सामग्री को अच्छी तरह मिलाएं। भरावन को 10 से 12 बराबर भागों में विभाजित करें। आटे के हिस्सों को विभाजित करने और तैयार रखने की यह प्रक्रिया, आपको यह अनुमान लगाने में मदद करती है कि आप कितने पराठे बना सकते हैं और आपको अधिक या कम भरावन की आवश्यकता है। एक पराठा आटा भाग लें, इसे आटे में लपेटें और इसे रोलिंग बोर्ड पर दबाकर चपटा करें। आटे को सतह पर चिपकने से रोकने के लिए आटे के साथ लगभग 3 इंच व्यास के गोलों में बेल लें। इस बेले हुए आटे को एक तरफ रख दें। एक और आटा भाग लें, इसे फिर से आटे से लपेटें और लगभग 3 इंच व्यास के गोले में बेल एक बार सील हो जाने के बाद पनीर पराठे को अपनी हथेलियों से दबाएँ ताकि हवा की जेबें निकल जाएँ। और इसे पिन से धीरे से रोल करके एक समान कर दें। बचे हुए पराठे के आटे और भरावन के हिस्सों के साथ भी इसी तरह आगे बढ़ें। अब हम पनीर मेथी पराठा पकाने के अंतिम चरण में पहुँचेंगे, मध्यम आँच पर एक कड़ाही गरम करें और भरावन का आटा डालें। इसे मध्यम आँच पर लगभग 30 से 45 सेकंड तक पकने दें और पलट दें। इस चरण में एक चम्मच घी या तेल डालें और इसे पनीर पराठे के चारों ओर फैलाएँ। फिर से पलटें, ताकि तेल वाला भाग कड़ाही में पक सके। थोड़ा और घी लगाएँ और पनीर पराठे को कड़ाही में दबाते रहें ताकि पराठा अंदर से बाहर तक समान रूप से पक जाए। पलटने की प्रक्रिया को एक-दो बार तब तक करें जब तक कि दोनों तरफ से समान रूप से पककर भूरा और कुरकुरा न हो जाए। सुनिश्चित करें कि आप मध्यम आँच पर पकाएँ क्योंकि इससे पराठे बाहर से कुरकुरा और फिर भी नरम हो जाता है। जब पनीर पराठा पक जाए तो उसे एक प्लेट में निकाल लें। इसी तरह बाकी आटे के हिस्सों को भी तैयार करें। भरवां पनीर मेथी पराठा रेसिपी को रायते के साथ नाश्ते या रात के खाने के लिए परोसें।</v>
      </c>
      <c r="J254" s="3" t="s">
        <v>32019</v>
      </c>
      <c r="L254" s="1" t="s">
        <v>31003</v>
      </c>
    </row>
    <row r="255" spans="1:12" ht="13.8">
      <c r="A255" s="1" t="s">
        <v>32020</v>
      </c>
      <c r="B255" s="1" t="str">
        <f ca="1">IFERROR(__xludf.dummyfunction("IF(A255="""", """", GOOGLETRANSLATE(A255, ""en"", ""hi""))"),"अमृतसरी अजवाइनी पनीर")</f>
        <v>अमृतसरी अजवाइनी पनीर</v>
      </c>
      <c r="C255" s="1" t="s">
        <v>14207</v>
      </c>
      <c r="D255" s="1" t="s">
        <v>14198</v>
      </c>
      <c r="E255" s="1">
        <v>60</v>
      </c>
      <c r="F255" s="1" t="s">
        <v>32021</v>
      </c>
      <c r="G255" s="1" t="str">
        <f ca="1">IFERROR(__xludf.dummyfunction("IF(F255="""", """", GOOGLETRANSLATE(F255, ""en"", ""hi""))"),"1 कप पनीर, 1 कप टमाटर प्यूरी, 1 प्याज - बारीक कटा हुआ, 2 लहसुन की कलियां, 1 हरी मिर्च, 1 इंच अदरक, 5 काजू, 2 लौंग, 1 चम्मच अजवाइन, 1 चम्मच गरम मसाला पाउडर, 1 चम्मच हल्दी पाउडर, 1-1/2 चम्मच धनिया पाउडर, 1/2 चम्मच लाल मिर्च पाउडर, 1/2 चम्मच चीनी, नमक, 1 बड़"&amp;"ा चम्मच तेल, हरा धनिया - कटा हुआ")</f>
        <v>1 कप पनीर, 1 कप टमाटर प्यूरी, 1 प्याज - बारीक कटा हुआ, 2 लहसुन की कलियां, 1 हरी मिर्च, 1 इंच अदरक, 5 काजू, 2 लौंग, 1 चम्मच अजवाइन, 1 चम्मच गरम मसाला पाउडर, 1 चम्मच हल्दी पाउडर, 1-1/2 चम्मच धनिया पाउडर, 1/2 चम्मच लाल मिर्च पाउडर, 1/2 चम्मच चीनी, नमक, 1 बड़ा चम्मच तेल, हरा धनिया - कटा हुआ</v>
      </c>
      <c r="H255" s="1" t="s">
        <v>32022</v>
      </c>
      <c r="I255" s="1" t="str">
        <f ca="1">IFERROR(__xludf.dummyfunction("IF(H255="""", """", GOOGLETRANSLATE(H255, ""en"", ""hi""))"),"अमृतसरी अजवाइनी पनीर बनाने के लिए सबसे पहले प्याज, लहसुन, अदरक और हरी मिर्च को मिक्सर ग्राइंडर में डालकर पेस्ट बना लें। इसे एक तरफ रख दें। अब मिक्सर ग्राइंडर में काजू के साथ थोड़ा पानी डालकर पेस्ट बना लें। इसे एक तरफ रख दें। अब एक ओखली में अजवाइन और लौंग "&amp;"डालकर पीस लें। एक पैन में तेल गर्म करें। इसमें प्याज का पेस्ट डालकर 3 मिनट तक पकाएं। अब इसमें हल्दी पाउडर, पिसा मसाला और गरम मसाला डालकर 2 मिनट तक पकाएं। अब इसमें टमाटर प्यूरी, धनिया पाउडर, लाल मिर्च पाउडर और नमक डालें। पैन को ढककर 4 से 5 मिनट तक पकाएं। इ"&amp;"सके बाद इसमें काजू का पेस्ट, चीनी डालकर 1 मिनट तक पकाएं। अब इसमें पनीर डालकर मिलाएं और हरे धनिए से गार्निश करें। अमृतसरी अजवाइनी पनीर को प्याज के थेपले और धनिया पुदीने की चटनी के साथ सर्व करें।")</f>
        <v>अमृतसरी अजवाइनी पनीर बनाने के लिए सबसे पहले प्याज, लहसुन, अदरक और हरी मिर्च को मिक्सर ग्राइंडर में डालकर पेस्ट बना लें। इसे एक तरफ रख दें। अब मिक्सर ग्राइंडर में काजू के साथ थोड़ा पानी डालकर पेस्ट बना लें। इसे एक तरफ रख दें। अब एक ओखली में अजवाइन और लौंग डालकर पीस लें। एक पैन में तेल गर्म करें। इसमें प्याज का पेस्ट डालकर 3 मिनट तक पकाएं। अब इसमें हल्दी पाउडर, पिसा मसाला और गरम मसाला डालकर 2 मिनट तक पकाएं। अब इसमें टमाटर प्यूरी, धनिया पाउडर, लाल मिर्च पाउडर और नमक डालें। पैन को ढककर 4 से 5 मिनट तक पकाएं। इसके बाद इसमें काजू का पेस्ट, चीनी डालकर 1 मिनट तक पकाएं। अब इसमें पनीर डालकर मिलाएं और हरे धनिए से गार्निश करें। अमृतसरी अजवाइनी पनीर को प्याज के थेपले और धनिया पुदीने की चटनी के साथ सर्व करें।</v>
      </c>
      <c r="J255" s="3" t="s">
        <v>32023</v>
      </c>
      <c r="L255" s="1" t="s">
        <v>31003</v>
      </c>
    </row>
    <row r="256" spans="1:12" ht="13.8">
      <c r="A256" s="1" t="s">
        <v>32024</v>
      </c>
      <c r="B256" s="1" t="str">
        <f ca="1">IFERROR(__xludf.dummyfunction("IF(A256="""", """", GOOGLETRANSLATE(A256, ""en"", ""hi""))"),"क्रैनबेरी गेहूं नान रेसिपी")</f>
        <v>क्रैनबेरी गेहूं नान रेसिपी</v>
      </c>
      <c r="C256" s="1" t="s">
        <v>145</v>
      </c>
      <c r="D256" s="1" t="s">
        <v>14198</v>
      </c>
      <c r="E256" s="1">
        <v>70</v>
      </c>
      <c r="F256" s="1" t="s">
        <v>32025</v>
      </c>
      <c r="G256" s="1" t="str">
        <f ca="1">IFERROR(__xludf.dummyfunction("IF(F256="""", """", GOOGLETRANSLATE(F256, ""en"", ""hi""))"),"2-1/4 कप गेहूं का आटा - छिड़कने के लिए अतिरिक्त, 1-1/2 चम्मच सक्रिय सूखा खमीर, 1 चम्मच चीनी, 100 ग्राम दही, 150 मिलीलीटर गुनगुना पानी, 2 चम्मच नमक, 2 बड़े चम्मच सूरजमुखी तेल, घी - या मक्खन आवश्यकतानुसार, 1/4 कप प्रून स्प्रेड, 100 ग्राम क्रैनबेरी, 1 चम्मच "&amp;"काले तिल, 1 चम्मच बादाम - फ्लेक्स (वैकल्पिक)")</f>
        <v>2-1/4 कप गेहूं का आटा - छिड़कने के लिए अतिरिक्त, 1-1/2 चम्मच सक्रिय सूखा खमीर, 1 चम्मच चीनी, 100 ग्राम दही, 150 मिलीलीटर गुनगुना पानी, 2 चम्मच नमक, 2 बड़े चम्मच सूरजमुखी तेल, घी - या मक्खन आवश्यकतानुसार, 1/4 कप प्रून स्प्रेड, 100 ग्राम क्रैनबेरी, 1 चम्मच काले तिल, 1 चम्मच बादाम - फ्लेक्स (वैकल्पिक)</v>
      </c>
      <c r="H256" s="1" t="s">
        <v>32026</v>
      </c>
      <c r="I256" s="1" t="str">
        <f ca="1">IFERROR(__xludf.dummyfunction("IF(H256="""", """", GOOGLETRANSLATE(H256, ""en"", ""hi""))"),"क्रैनबेरी और प्रून चटनी होल व्हीट नान रेसिपी की तैयारी शुरू करने के लिए, एक कटोरे में खमीर और चीनी लें और उसमें गुनगुना पानी डालें और इसे 5 मिनट तक रहने दें जब तक कि खमीर उबलना शुरू न हो जाए। अगर खमीर प्रतिक्रिया नहीं करता है तो इसे फेंक दें और दूसरा बैच "&amp;"शुरू करें। दूसरे कटोरे में, आटा, नमक, तेल डालें और अपनी उंगलियों से मिलाएँ, बीच में एक गड्ढा बनाएँ और झागदार खमीर मिश्रण और दही डालें। अच्छी तरह मिलाएँ। हम चाहते हैं कि सारा सूखा आटा गीला रहे। आटा चिपचिपा होगा। काउंटर की सतह को अच्छी तरह से साफ करें, अपनी"&amp;" उंगलियों को थोड़ा आटा रगड़ें, आटे को काउंटर पर स्थानांतरित करें और गूंधना शुरू करें। शुरू में यह चिपचिपा होगा। चिकना, मुलायम और चमकदार होने तक गूंधें। गूंधने के लिए ""खिंचाव, मोड़ना"" आंदोलनों का उपयोग करना चाहिए। गूंधते समय बहुत अधिक आटा न डालें। हमें क"&amp;"ेवल अपनी उंगलियों को रगड़ने के लिए आटे की आवश्यकता होती है, अगर आटा संभालना बहुत मुश्किल हो। यदि आप अधिक आटा डालते हैं, तो नान नरम नहीं हो सकता है। आटे को एक कटोरे में रखें, आटे पर तेल लगाएँ और इसे एक नम कपड़े से ढँक दें। आटे को फूलने के लिए 1-1.5 घंटे के"&amp;" लिए अलग रख दें। 1-1.5 घंटे में आटा फूल जाएगा और उसका आकार दोगुना हो जाएगा। इस बीच, क्रैनबेरी को लगभग 30 मिनट के लिए पानी में भिगो दें। फिर छोटे टुकड़ों में काट लें। स्पाइस्ड प्रून चटनी रेसिपी लिंक पर क्लिक करके प्रून चटनी बनाने की विधि देखें। जब आटा फूल "&amp;"जाए तो उसे दबाएँ (मुट्ठी से मुक्का मारें), ऐसा इकट्ठी हुई सारी हवा बाहर निकालने के लिए किया जाता है। धीरे से एक और 2 मिनट के लिए गूंधें। आटे को बराबर भागों में विभाजित करें (मैंने 4 बड़ी गेंदें बनाईं)। आटे को रोल करने और दबाने के लिए यदि आवश्यक हो तो थोड़"&amp;"ा आटा छिड़कें। कटे हुए क्रैनबेरी छिड़कें और स्पाइस्ड प्रून चटनी फैलाएं। ऊपर से कुछ काले तिल और कुछ बादाम के टुकड़े छिड़कें। तवा गरम करें। इसे घी से अच्छी तरह चिकना करें। रोल किए हुए नान को रखें और धीमी आंच पर ढककर पकाएं। आप देखेंगे कि नान में बुलबुले उठ र"&amp;"हे हैं। नान को दूसरी तरफ पलटें और उदारतापूर्वक घी लगाएँ और पकाएँ। नान को दोनों तरफ से 30 सेकंड से 1 मिनट में एक बार पलटते रहें जब तक कि सभी किनारे पक न जाएँ और नान दोनों तरफ से भूरा न हो जाए। तवा से निकालें और फिर से ऊपर से उदारतापूर्वक घी लगाएँ। बचे हुए "&amp;"आटे के लिए प्रक्रिया को दोहराएं। क्रैनबेरी और प्रून चटनी होल व्हीट नान रेसिपी को स्मोक्ड दाल मखनी ढाबा स्टाइल रेसिपी के साथ परोसें और अपने शानदार रविवार के भोजन का आनंद लें।")</f>
        <v>क्रैनबेरी और प्रून चटनी होल व्हीट नान रेसिपी की तैयारी शुरू करने के लिए, एक कटोरे में खमीर और चीनी लें और उसमें गुनगुना पानी डालें और इसे 5 मिनट तक रहने दें जब तक कि खमीर उबलना शुरू न हो जाए। अगर खमीर प्रतिक्रिया नहीं करता है तो इसे फेंक दें और दूसरा बैच शुरू करें। दूसरे कटोरे में, आटा, नमक, तेल डालें और अपनी उंगलियों से मिलाएँ, बीच में एक गड्ढा बनाएँ और झागदार खमीर मिश्रण और दही डालें। अच्छी तरह मिलाएँ। हम चाहते हैं कि सारा सूखा आटा गीला रहे। आटा चिपचिपा होगा। काउंटर की सतह को अच्छी तरह से साफ करें, अपनी उंगलियों को थोड़ा आटा रगड़ें, आटे को काउंटर पर स्थानांतरित करें और गूंधना शुरू करें। शुरू में यह चिपचिपा होगा। चिकना, मुलायम और चमकदार होने तक गूंधें। गूंधने के लिए "खिंचाव, मोड़ना" आंदोलनों का उपयोग करना चाहिए। गूंधते समय बहुत अधिक आटा न डालें। हमें केवल अपनी उंगलियों को रगड़ने के लिए आटे की आवश्यकता होती है, अगर आटा संभालना बहुत मुश्किल हो। यदि आप अधिक आटा डालते हैं, तो नान नरम नहीं हो सकता है। आटे को एक कटोरे में रखें, आटे पर तेल लगाएँ और इसे एक नम कपड़े से ढँक दें। आटे को फूलने के लिए 1-1.5 घंटे के लिए अलग रख दें। 1-1.5 घंटे में आटा फूल जाएगा और उसका आकार दोगुना हो जाएगा। इस बीच, क्रैनबेरी को लगभग 30 मिनट के लिए पानी में भिगो दें। फिर छोटे टुकड़ों में काट लें। स्पाइस्ड प्रून चटनी रेसिपी लिंक पर क्लिक करके प्रून चटनी बनाने की विधि देखें। जब आटा फूल जाए तो उसे दबाएँ (मुट्ठी से मुक्का मारें), ऐसा इकट्ठी हुई सारी हवा बाहर निकालने के लिए किया जाता है। धीरे से एक और 2 मिनट के लिए गूंधें। आटे को बराबर भागों में विभाजित करें (मैंने 4 बड़ी गेंदें बनाईं)। आटे को रोल करने और दबाने के लिए यदि आवश्यक हो तो थोड़ा आटा छिड़कें। कटे हुए क्रैनबेरी छिड़कें और स्पाइस्ड प्रून चटनी फैलाएं। ऊपर से कुछ काले तिल और कुछ बादाम के टुकड़े छिड़कें। तवा गरम करें। इसे घी से अच्छी तरह चिकना करें। रोल किए हुए नान को रखें और धीमी आंच पर ढककर पकाएं। आप देखेंगे कि नान में बुलबुले उठ रहे हैं। नान को दूसरी तरफ पलटें और उदारतापूर्वक घी लगाएँ और पकाएँ। नान को दोनों तरफ से 30 सेकंड से 1 मिनट में एक बार पलटते रहें जब तक कि सभी किनारे पक न जाएँ और नान दोनों तरफ से भूरा न हो जाए। तवा से निकालें और फिर से ऊपर से उदारतापूर्वक घी लगाएँ। बचे हुए आटे के लिए प्रक्रिया को दोहराएं। क्रैनबेरी और प्रून चटनी होल व्हीट नान रेसिपी को स्मोक्ड दाल मखनी ढाबा स्टाइल रेसिपी के साथ परोसें और अपने शानदार रविवार के भोजन का आनंद लें।</v>
      </c>
      <c r="J256" s="3" t="s">
        <v>32027</v>
      </c>
      <c r="L256" s="1" t="s">
        <v>31003</v>
      </c>
    </row>
    <row r="257" spans="1:12" ht="13.8">
      <c r="A257" s="1" t="s">
        <v>32028</v>
      </c>
      <c r="B257" s="1" t="str">
        <f ca="1">IFERROR(__xludf.dummyfunction("IF(A257="""", """", GOOGLETRANSLATE(A257, ""en"", ""hi""))"),"साबुत मसूर के साथ मेथी मसूर दाल रेसिपी")</f>
        <v>साबुत मसूर के साथ मेथी मसूर दाल रेसिपी</v>
      </c>
      <c r="C257" s="1" t="s">
        <v>145</v>
      </c>
      <c r="D257" s="1" t="s">
        <v>14237</v>
      </c>
      <c r="E257" s="1">
        <v>40</v>
      </c>
      <c r="F257" s="1" t="s">
        <v>32029</v>
      </c>
      <c r="G257" s="1" t="str">
        <f ca="1">IFERROR(__xludf.dummyfunction("IF(F257="""", """", GOOGLETRANSLATE(F257, ""en"", ""hi""))"),"1 कप मसूर दाल (साबुत), 200 ग्राम मेथी के पत्ते - साफ़ करके कटे हुए, 1/4 छोटा चम्मच हींग, 1 छोटा चम्मच जीरा, 1 प्याज - पतला कटा हुआ, 1 टमाटर - कटा हुआ, 1 हरी मिर्च - कटी हुई, 2 छोटे चम्मच धनिया पाउडर, 1/2 छोटा चम्मच हल्दी, 1/2 छोटा चम्मच लाल मिर्च पाउडर, न"&amp;"मक - स्वादानुसार, 1 बड़ा चम्मच घी")</f>
        <v>1 कप मसूर दाल (साबुत), 200 ग्राम मेथी के पत्ते - साफ़ करके कटे हुए, 1/4 छोटा चम्मच हींग, 1 छोटा चम्मच जीरा, 1 प्याज - पतला कटा हुआ, 1 टमाटर - कटा हुआ, 1 हरी मिर्च - कटी हुई, 2 छोटे चम्मच धनिया पाउडर, 1/2 छोटा चम्मच हल्दी, 1/2 छोटा चम्मच लाल मिर्च पाउडर, नमक - स्वादानुसार, 1 बड़ा चम्मच घी</v>
      </c>
      <c r="H257" s="1" t="s">
        <v>32030</v>
      </c>
      <c r="I257" s="1" t="str">
        <f ca="1">IFERROR(__xludf.dummyfunction("IF(H257="""", """", GOOGLETRANSLATE(H257, ""en"", ""hi""))"),"मेथी मसूर दाल रेसिपी बनाने के लिए सबसे पहले मसूर दाल को धोकर 3 कप पानी में कम से कम 30 मिनट के लिए भिगो दें। जब तक दाल साफ हो जाए तब तक मेथी के पत्तों को धोकर सुखा लें। इसके बाद मेथी के पत्तों को बारीक काट लें। एक कड़ाही में एक चम्मच तेल गर्म करें और उसमे"&amp;"ं कटी हुई मेथी के पत्ते डालें। मेथी के पत्तों को नरम होने तक भूनें। मेथी के पत्ते बहुत जल्दी पक जाते हैं और इसे पकने में एक मिनट से भी कम समय लगता है। जब पत्ते नरम हो जाएं तो आंच बंद कर दें। इसे एक तरफ रख दें। अगले स्टेप में हम मसूर दाल को मसालों के साथ प"&amp;"काएंगे। मध्यम आंच पर प्रेशर कुकर में घी गर्म करें। इसमें हींग और जीरा डालें और इसे चटकने दें। इसके बाद प्याज डालें और उनके नरम होने तक भूनें। जब प्याज़ नरम हो जाए तो उसमें कटा हुआ टमाटर, हरी मिर्च के साथ धनिया पाउडर, हल्दी पाउडर, लाल मिर्च पाउडर डालें और "&amp;"मध्यम आँच पर एक मिनट तक भूनें। प्याज़ टमाटर के मिश्रण में भीगी हुई मसूर दाल को भीगे हुए पानी के साथ मिला दें। प्रेशर कुकर का ढक्कन बंद करें और वेट डाल दें। मसूर दाल को 3 सीटी आने तक पकाएं। एक-दो सीटी आने के बाद आँच धीमी कर दें और दाल को लगभग 5 मिनट तक पकन"&amp;"े दें। 5 मिनट बाद आँच बंद कर दें। प्रेशर कुकर से अपने आप प्रेशर निकलने दें। प्रेशर निकलने के बाद कुकर खोलें और मसूर दाल को चमचे के पिछले हिस्से से हल्का सा मैश करें। भूनी हुई मेथी की पत्तियाँ डालकर मिलाएँ और परोसें। मेथी मसूर दाल रेसिपी को तवा पराठा रेसिप"&amp;"ी, बेबी कॉर्न और गाजर की सब्जी रेसिपी के साथ परोसें")</f>
        <v>मेथी मसूर दाल रेसिपी बनाने के लिए सबसे पहले मसूर दाल को धोकर 3 कप पानी में कम से कम 30 मिनट के लिए भिगो दें। जब तक दाल साफ हो जाए तब तक मेथी के पत्तों को धोकर सुखा लें। इसके बाद मेथी के पत्तों को बारीक काट लें। एक कड़ाही में एक चम्मच तेल गर्म करें और उसमें कटी हुई मेथी के पत्ते डालें। मेथी के पत्तों को नरम होने तक भूनें। मेथी के पत्ते बहुत जल्दी पक जाते हैं और इसे पकने में एक मिनट से भी कम समय लगता है। जब पत्ते नरम हो जाएं तो आंच बंद कर दें। इसे एक तरफ रख दें। अगले स्टेप में हम मसूर दाल को मसालों के साथ पकाएंगे। मध्यम आंच पर प्रेशर कुकर में घी गर्म करें। इसमें हींग और जीरा डालें और इसे चटकने दें। इसके बाद प्याज डालें और उनके नरम होने तक भूनें। जब प्याज़ नरम हो जाए तो उसमें कटा हुआ टमाटर, हरी मिर्च के साथ धनिया पाउडर, हल्दी पाउडर, लाल मिर्च पाउडर डालें और मध्यम आँच पर एक मिनट तक भूनें। प्याज़ टमाटर के मिश्रण में भीगी हुई मसूर दाल को भीगे हुए पानी के साथ मिला दें। प्रेशर कुकर का ढक्कन बंद करें और वेट डाल दें। मसूर दाल को 3 सीटी आने तक पकाएं। एक-दो सीटी आने के बाद आँच धीमी कर दें और दाल को लगभग 5 मिनट तक पकने दें। 5 मिनट बाद आँच बंद कर दें। प्रेशर कुकर से अपने आप प्रेशर निकलने दें। प्रेशर निकलने के बाद कुकर खोलें और मसूर दाल को चमचे के पिछले हिस्से से हल्का सा मैश करें। भूनी हुई मेथी की पत्तियाँ डालकर मिलाएँ और परोसें। मेथी मसूर दाल रेसिपी को तवा पराठा रेसिपी, बेबी कॉर्न और गाजर की सब्जी रेसिपी के साथ परोसें</v>
      </c>
      <c r="J257" s="3" t="s">
        <v>32031</v>
      </c>
      <c r="L257" s="1" t="s">
        <v>31003</v>
      </c>
    </row>
    <row r="258" spans="1:12" ht="409.6">
      <c r="A258" s="1" t="s">
        <v>32032</v>
      </c>
      <c r="B258" s="1" t="str">
        <f ca="1">IFERROR(__xludf.dummyfunction("IF(A258="""", """", GOOGLETRANSLATE(A258, ""en"", ""hi""))"),"गेहूं मेथी लहसुन नान रेसिपी | खमीर के साथ ओवन विधि")</f>
        <v>गेहूं मेथी लहसुन नान रेसिपी | खमीर के साथ ओवन विधि</v>
      </c>
      <c r="C258" s="1" t="s">
        <v>429</v>
      </c>
      <c r="D258" s="1" t="s">
        <v>14198</v>
      </c>
      <c r="E258" s="1">
        <v>140</v>
      </c>
      <c r="F258" s="1" t="s">
        <v>32033</v>
      </c>
      <c r="G258" s="1" t="str">
        <f ca="1">IFERROR(__xludf.dummyfunction("IF(F258="""", """", GOOGLETRANSLATE(F258, ""en"", ""hi""))"),"2 कप गेहूं का आटा, 2 चम्मच सक्रिय सूखा खमीर, 1 चम्मच नमक, 1 चम्मच चीनी, 6 लहसुन की कलियां - बारीक कटा हुआ, 100 ग्राम मेथी के पत्ते (मेथी के पत्ते) - बारीक कटा हुआ, 1/4 कप दही (दही / योगर्ट), 1 बड़ा चम्मच सूरजमुखी तेल, मक्खन - नान को चिकना करने के लिए")</f>
        <v>2 कप गेहूं का आटा, 2 चम्मच सक्रिय सूखा खमीर, 1 चम्मच नमक, 1 चम्मच चीनी, 6 लहसुन की कलियां - बारीक कटा हुआ, 100 ग्राम मेथी के पत्ते (मेथी के पत्ते) - बारीक कटा हुआ, 1/4 कप दही (दही / योगर्ट), 1 बड़ा चम्मच सूरजमुखी तेल, मक्खन - नान को चिकना करने के लिए</v>
      </c>
      <c r="H258" s="4" t="s">
        <v>32034</v>
      </c>
      <c r="I258" s="1" t="str">
        <f ca="1">IFERROR(__xludf.dummyfunction("IF(H258="""", """", GOOGLETRANSLATE(H258, ""en"", ""hi""))"),"पूरे गेहूं मेथी लहसुन नान रेसिपी बनाने के लिए, सबसे पहले सभी सामग्री तैयार करके रख लें। एक बड़े मिक्सिंग बाउल में आटा, नमक, चीनी और खमीर डालें। सभी सूखी सामग्री को मिलाएँ। बीच में एक गड्ढा बनाएँ, उसमें मेथी के पत्ते, लहसुन, दही और थोड़ा गुनगुना पानी डालें"&amp;" और चिकना आटा गूंथ लें। ऊपर से थोड़ा तेल डालें और लगभग 3 से 4 मिनट तक आटा गूंथते रहें। आटे को ढक्कन या किचन टॉवल से ढक दें और आटे को कमरे के तापमान पर कम से कम 2 घंटे तक फूलने दें जब तक कि यह आकार में न बढ़ जाए। एक बार जब आटा फूल जाए, तो हम अब नान को बेक "&amp;"करने की तैयारी करेंगे। ओवन को लगभग 20 मिनट के लिए 250 डिग्री सेल्सियस पर प्रीहीट करें। इन 20 मिनट में, हम आटे को अंडाकार आकार में बेल लेंगे और इसे 15 मिनट के लिए आराम करने देंगे। आटे को 10 से 12 भागों में बाँट लें। आटे में छिड़कें और 1/4 इंच मोटाई के अंडा"&amp;"कार आकार में बेल लें। बेले हुए गेहूं मेथी लहसुन नान को एक चिकनी की हुई बेकिंग शीट पर रखें और बचे हुए आटे की बाकी प्रक्रिया जारी रखें। बेले हुए आटे को किचन टॉवल से ढक दें। आटे को बेकिंग शीट पर लगभग 15 से 20 मिनट तक आराम करने दें। एक बार आराम करने और ओवन के"&amp;" अच्छी तरह से गर्म होने के बाद, गेहूं मेथी लहसुन नान को ओवन में रखें और उच्च गर्मी पर लगभग 10 से 12 मिनट तक बेक करें जब तक कि आप शीर्ष पर सुनहरा क्रस्ट न देखें। जब गेहूं मेथी लहसुन नान पर सुनहरा क्रस्ट हो जाए, तो ओवन से निकालें और इसे मक्खन लगाकर गर्मागर्"&amp;"म परोसें। गेहूं मेथी लहसुन नान रेसिपी को मटर पनीर और दाल मखनी के साथ पौष्टिक लंच या डिनर के लिए परोसें।")</f>
        <v>पूरे गेहूं मेथी लहसुन नान रेसिपी बनाने के लिए, सबसे पहले सभी सामग्री तैयार करके रख लें। एक बड़े मिक्सिंग बाउल में आटा, नमक, चीनी और खमीर डालें। सभी सूखी सामग्री को मिलाएँ। बीच में एक गड्ढा बनाएँ, उसमें मेथी के पत्ते, लहसुन, दही और थोड़ा गुनगुना पानी डालें और चिकना आटा गूंथ लें। ऊपर से थोड़ा तेल डालें और लगभग 3 से 4 मिनट तक आटा गूंथते रहें। आटे को ढक्कन या किचन टॉवल से ढक दें और आटे को कमरे के तापमान पर कम से कम 2 घंटे तक फूलने दें जब तक कि यह आकार में न बढ़ जाए। एक बार जब आटा फूल जाए, तो हम अब नान को बेक करने की तैयारी करेंगे। ओवन को लगभग 20 मिनट के लिए 250 डिग्री सेल्सियस पर प्रीहीट करें। इन 20 मिनट में, हम आटे को अंडाकार आकार में बेल लेंगे और इसे 15 मिनट के लिए आराम करने देंगे। आटे को 10 से 12 भागों में बाँट लें। आटे में छिड़कें और 1/4 इंच मोटाई के अंडाकार आकार में बेल लें। बेले हुए गेहूं मेथी लहसुन नान को एक चिकनी की हुई बेकिंग शीट पर रखें और बचे हुए आटे की बाकी प्रक्रिया जारी रखें। बेले हुए आटे को किचन टॉवल से ढक दें। आटे को बेकिंग शीट पर लगभग 15 से 20 मिनट तक आराम करने दें। एक बार आराम करने और ओवन के अच्छी तरह से गर्म होने के बाद, गेहूं मेथी लहसुन नान को ओवन में रखें और उच्च गर्मी पर लगभग 10 से 12 मिनट तक बेक करें जब तक कि आप शीर्ष पर सुनहरा क्रस्ट न देखें। जब गेहूं मेथी लहसुन नान पर सुनहरा क्रस्ट हो जाए, तो ओवन से निकालें और इसे मक्खन लगाकर गर्मागर्म परोसें। गेहूं मेथी लहसुन नान रेसिपी को मटर पनीर और दाल मखनी के साथ पौष्टिक लंच या डिनर के लिए परोसें।</v>
      </c>
      <c r="J258" s="3" t="s">
        <v>32035</v>
      </c>
      <c r="L258" s="1" t="s">
        <v>31003</v>
      </c>
    </row>
    <row r="259" spans="1:12" ht="13.8">
      <c r="A259" s="1" t="s">
        <v>32036</v>
      </c>
      <c r="B259" s="1" t="str">
        <f ca="1">IFERROR(__xludf.dummyfunction("IF(A259="""", """", GOOGLETRANSLATE(A259, ""en"", ""hi""))"),"हरियाली पनीर टिक्का मसाला ग्रेवी रेसिपी - बिना प्याज, बिना लहसुन की रेसिपी")</f>
        <v>हरियाली पनीर टिक्का मसाला ग्रेवी रेसिपी - बिना प्याज, बिना लहसुन की रेसिपी</v>
      </c>
      <c r="C259" s="1" t="s">
        <v>145</v>
      </c>
      <c r="D259" s="1" t="s">
        <v>14237</v>
      </c>
      <c r="E259" s="1">
        <v>45</v>
      </c>
      <c r="F259" s="1" t="s">
        <v>32037</v>
      </c>
      <c r="G259" s="1" t="str">
        <f ca="1">IFERROR(__xludf.dummyfunction("IF(F259="""", """", GOOGLETRANSLATE(F259, ""en"", ""hi""))"),"250 ग्राम पनीर - एक इंच लंबाई में कटा हुआ, 1 छोटा चम्मच सौंफ, 2 हरी मिर्च - बारीक कटी हुई, 50 ग्राम धनिया - बारीक कटा हुआ, 20 ग्राम पुदीना - बारीक कटा हुआ, 2 टमाटर - प्यूरी किए हुए, 1 इंच अदरक - बारीक कटा हुआ, 1 इंच दालचीनी, 2 इलायची की फली/बीज, 1 तेज पत्"&amp;"ता, 1/2 छोटा चम्मच गरम मसाला पाउडर, 1/2 छोटा चम्मच चाट मसाला पाउडर, 1/4 कप ताजा क्रीम, नमक - स्वादानुसार, 1 बड़ा चम्मच मक्खन - पकाने के लिए")</f>
        <v>250 ग्राम पनीर - एक इंच लंबाई में कटा हुआ, 1 छोटा चम्मच सौंफ, 2 हरी मिर्च - बारीक कटी हुई, 50 ग्राम धनिया - बारीक कटा हुआ, 20 ग्राम पुदीना - बारीक कटा हुआ, 2 टमाटर - प्यूरी किए हुए, 1 इंच अदरक - बारीक कटा हुआ, 1 इंच दालचीनी, 2 इलायची की फली/बीज, 1 तेज पत्ता, 1/2 छोटा चम्मच गरम मसाला पाउडर, 1/2 छोटा चम्मच चाट मसाला पाउडर, 1/4 कप ताजा क्रीम, नमक - स्वादानुसार, 1 बड़ा चम्मच मक्खन - पकाने के लिए</v>
      </c>
      <c r="H259" s="1" t="s">
        <v>32038</v>
      </c>
      <c r="I259" s="1" t="str">
        <f ca="1">IFERROR(__xludf.dummyfunction("IF(H259="""", """", GOOGLETRANSLATE(H259, ""en"", ""hi""))"),"हरियाली पनीर टिक्का मसाला ग्रेवी बनाने के लिए सौंफ, धनिया, पुदीना, अदरक और हरी मिर्च को ब्लेंडर में डालकर थोड़ा पानी डालकर दरदरा पीस लें। एक पैन में मक्खन गर्म करें, उसमें मसाले डालें - दालचीनी, तेज पत्ता और इलायची के दाने और फिर टमाटर प्यूरी। टमाटर की कच"&amp;"्ची महक जाने तक पकाएँ। पिसी हुई हरी मसाला सामग्री, गरम मसाला और चाट मसाला डालें, धीमी आँच पर कुछ मिनट के लिए मसाला भूनें। पैन को ढक दें और हरियाली मसाला ग्रेवी को पकने दें। इसमें लगभग 4 से 5 मिनट का समय लगेगा। पक जाने के बाद, क्रीम और पनीर मिलाएँ। नमक और "&amp;"मसालों की जाँच करें और अपने स्वाद के अनुसार समायोजित करें। 3 मिनट तक और उबालें ताकि पनीर मसाले का स्वाद सोख ले। एक बार हो जाने पर, आँच बंद कर दें और परोसें। अपनी विदेशी हरियाली पनीर टिक्का मसाला ग्रेवी को फुल्का या लहसुन नान और काले नमक के साथ बूंदी रायता"&amp;" रेसिपी के साथ परोसें।")</f>
        <v>हरियाली पनीर टिक्का मसाला ग्रेवी बनाने के लिए सौंफ, धनिया, पुदीना, अदरक और हरी मिर्च को ब्लेंडर में डालकर थोड़ा पानी डालकर दरदरा पीस लें। एक पैन में मक्खन गर्म करें, उसमें मसाले डालें - दालचीनी, तेज पत्ता और इलायची के दाने और फिर टमाटर प्यूरी। टमाटर की कच्ची महक जाने तक पकाएँ। पिसी हुई हरी मसाला सामग्री, गरम मसाला और चाट मसाला डालें, धीमी आँच पर कुछ मिनट के लिए मसाला भूनें। पैन को ढक दें और हरियाली मसाला ग्रेवी को पकने दें। इसमें लगभग 4 से 5 मिनट का समय लगेगा। पक जाने के बाद, क्रीम और पनीर मिलाएँ। नमक और मसालों की जाँच करें और अपने स्वाद के अनुसार समायोजित करें। 3 मिनट तक और उबालें ताकि पनीर मसाले का स्वाद सोख ले। एक बार हो जाने पर, आँच बंद कर दें और परोसें। अपनी विदेशी हरियाली पनीर टिक्का मसाला ग्रेवी को फुल्का या लहसुन नान और काले नमक के साथ बूंदी रायता रेसिपी के साथ परोसें।</v>
      </c>
      <c r="J259" s="3" t="s">
        <v>32039</v>
      </c>
      <c r="L259" s="1" t="s">
        <v>31003</v>
      </c>
    </row>
    <row r="260" spans="1:12" ht="13.8">
      <c r="A260" s="1" t="s">
        <v>32040</v>
      </c>
      <c r="B260" s="1" t="str">
        <f ca="1">IFERROR(__xludf.dummyfunction("IF(A260="""", """", GOOGLETRANSLATE(A260, ""en"", ""hi""))"),"गोभी भुर्जी")</f>
        <v>गोभी भुर्जी</v>
      </c>
      <c r="C260" s="1" t="s">
        <v>16424</v>
      </c>
      <c r="D260" s="1" t="s">
        <v>15314</v>
      </c>
      <c r="E260" s="1">
        <v>30</v>
      </c>
      <c r="F260" s="1" t="s">
        <v>32041</v>
      </c>
      <c r="G260" s="1" t="str">
        <f ca="1">IFERROR(__xludf.dummyfunction("IF(F260="""", """", GOOGLETRANSLATE(F260, ""en"", ""hi""))"),"2 कप पत्तागोभी - कद्दूकस की हुई, 2 अंडे, 1 चम्मच जीरा, 1 इंच अदरक - कद्दूकस किया हुआ, 4 लहसुन की कलियाँ - कद्दूकस की हुई, 3 हरी मिर्च - कटी हुई, 1 चम्मच धनिया पाउडर, 1/8 चम्मच हल्दी पाउडर, 1/2 चम्मच लाल मिर्च पाउडर, 1/2 चम्मच काली मिर्च पाउडर, नमक - स्वाद"&amp;"ानुसार, 2 पुदीने की टहनियाँ - गार्निश के लिए, तेल - उपयोगानुसार")</f>
        <v>2 कप पत्तागोभी - कद्दूकस की हुई, 2 अंडे, 1 चम्मच जीरा, 1 इंच अदरक - कद्दूकस किया हुआ, 4 लहसुन की कलियाँ - कद्दूकस की हुई, 3 हरी मिर्च - कटी हुई, 1 चम्मच धनिया पाउडर, 1/8 चम्मच हल्दी पाउडर, 1/2 चम्मच लाल मिर्च पाउडर, 1/2 चम्मच काली मिर्च पाउडर, नमक - स्वादानुसार, 2 पुदीने की टहनियाँ - गार्निश के लिए, तेल - उपयोगानुसार</v>
      </c>
      <c r="H260" s="1" t="s">
        <v>32042</v>
      </c>
      <c r="I260" s="1" t="str">
        <f ca="1">IFERROR(__xludf.dummyfunction("IF(H260="""", """", GOOGLETRANSLATE(H260, ""en"", ""hi""))"),"""फूलगोभी की भुर्जी बनाने के लिए सबसे पहले एक पैन में तेल गर्म करें। उसमें अदरक, लहसुन, जीरा डालें और कुछ सेकंड तक पकने दें। अब इसमें गोभी, हरी मिर्च डालें और गोभी के नरम होने तक पकाएं। नरम होने के बाद इसमें नमक, काली मिर्च पाउडर, हल्दी पाउडर, लाल मिर्च प"&amp;"ाउडर, धनिया पाउडर और पुदीने के पत्ते डालकर मिक्स करें। मिक्स करने के बाद इसमें एक अंडा डालें और अच्छे से मिक्स करें। अंडे के अच्छे से पकने तक मिक्स करते रहें। पकने के बाद गैस बंद कर दें और सर्व करें। फूलगोभी की भुर्जी को तवा पराठा और बूंदी रायता के साथ ना"&amp;"श्ते में सर्व करें।""")</f>
        <v>"फूलगोभी की भुर्जी बनाने के लिए सबसे पहले एक पैन में तेल गर्म करें। उसमें अदरक, लहसुन, जीरा डालें और कुछ सेकंड तक पकने दें। अब इसमें गोभी, हरी मिर्च डालें और गोभी के नरम होने तक पकाएं। नरम होने के बाद इसमें नमक, काली मिर्च पाउडर, हल्दी पाउडर, लाल मिर्च पाउडर, धनिया पाउडर और पुदीने के पत्ते डालकर मिक्स करें। मिक्स करने के बाद इसमें एक अंडा डालें और अच्छे से मिक्स करें। अंडे के अच्छे से पकने तक मिक्स करते रहें। पकने के बाद गैस बंद कर दें और सर्व करें। फूलगोभी की भुर्जी को तवा पराठा और बूंदी रायता के साथ नाश्ते में सर्व करें।"</v>
      </c>
      <c r="J260" s="3" t="s">
        <v>32043</v>
      </c>
      <c r="L260" s="1" t="s">
        <v>31003</v>
      </c>
    </row>
    <row r="261" spans="1:12" ht="13.8">
      <c r="A261" s="1" t="s">
        <v>32044</v>
      </c>
      <c r="B261" s="1" t="str">
        <f ca="1">IFERROR(__xludf.dummyfunction("IF(A261="""", """", GOOGLETRANSLATE(A261, ""en"", ""hi""))"),"अचारी बैंगन भर्ता")</f>
        <v>अचारी बैंगन भर्ता</v>
      </c>
      <c r="C261" s="1" t="s">
        <v>145</v>
      </c>
      <c r="D261" s="1" t="s">
        <v>14198</v>
      </c>
      <c r="E261" s="1">
        <v>55</v>
      </c>
      <c r="F261" s="1" t="s">
        <v>32045</v>
      </c>
      <c r="G261" s="1" t="str">
        <f ca="1">IFERROR(__xludf.dummyfunction("IF(F261="""", """", GOOGLETRANSLATE(F261, ""en"", ""hi""))"),"1 बैंगन, 3 टमाटर, 1 प्याज, 5 लहसुन की कलियां - बारीक कटी हुई, 2 हरी मिर्च - बारीक कटी हुई, 1 इंच अदरक - कद्दूकस किया हुआ, 1/2 चम्मच हल्दी पाउडर, 2 बड़े चम्मच धनिया पत्ती - कटी हुई, 1 बड़ा चम्मच धनिया पाउडर, 1 चम्मच लाल मिर्च पाउडर, 1-1/2 चम्मच आम का अचार,"&amp;" 1-1/2 चम्मच अचार मसाला, तेल - आवश्यकतानुसार, हींग - चुटकी भर, नमक - स्वादानुसार, 1 चम्मच राई, 1 चम्मच जीरा, 1 चम्मच सौंफ, 1/4 चम्मच कलौंजी, 1/4 चम्मच मेथी दाना, 1/4 चम्मच अजवाइन, 2 सूखी लाल मिर्च, 1/2 चम्मच सूखा अमचूर")</f>
        <v>1 बैंगन, 3 टमाटर, 1 प्याज, 5 लहसुन की कलियां - बारीक कटी हुई, 2 हरी मिर्च - बारीक कटी हुई, 1 इंच अदरक - कद्दूकस किया हुआ, 1/2 चम्मच हल्दी पाउडर, 2 बड़े चम्मच धनिया पत्ती - कटी हुई, 1 बड़ा चम्मच धनिया पाउडर, 1 चम्मच लाल मिर्च पाउडर, 1-1/2 चम्मच आम का अचार, 1-1/2 चम्मच अचार मसाला, तेल - आवश्यकतानुसार, हींग - चुटकी भर, नमक - स्वादानुसार, 1 चम्मच राई, 1 चम्मच जीरा, 1 चम्मच सौंफ, 1/4 चम्मच कलौंजी, 1/4 चम्मच मेथी दाना, 1/4 चम्मच अजवाइन, 2 सूखी लाल मिर्च, 1/2 चम्मच सूखा अमचूर</v>
      </c>
      <c r="H261" s="1" t="s">
        <v>32046</v>
      </c>
      <c r="I261" s="1" t="str">
        <f ca="1">IFERROR(__xludf.dummyfunction("IF(H261="""", """", GOOGLETRANSLATE(H261, ""en"", ""hi""))"),"""अचारी बैंगन का भर्ता बनाने के लिए सबसे पहले एक पैन में अचारी मसाला के लिए दी गई सामग्री डालकर भून लें। अमचूर पाउडर न डालें। अब भुने हुए मसाले और अमचूर पाउडर को मिक्सर ग्राइंडर में डालकर पीस लें। अब बैंगन पर थोड़ा तेल लगा लें। अब एक बेकिंग ट्रे में प्याज"&amp;", बैंगन और टमाटर डालकर 200 डिग्री पर 30 मिनट तक पका लें। इसके बाद इसे ठंडा होने के लिए अलग रख दें। अब बैंगन को छीलकर मैश कर लें। प्याज को भी छीलकर बारीक काट लें। टमाटर को छीलकर बीज निकाल लें। इसे भी मैश कर लें। अब एक पैन में तेल डालें। इसमें अदरक, लहसुन, "&amp;"हरी मिर्च, हींग डालकर 1 मिनट तक पकने दें। 1 मिनट बाद इसमें प्याज, टमाटर, हल्दी पाउडर, धनिया पाउडर, लाल मिर्च पाउडर और नमक डालकर मिक्स करें और 3 मिनट तक पकने दें। 3 मिनट बाद इसमें अचारी मसाला, अचार, बैंगन डालकर सभी चीजों को अच्छे से मिला लें। पकने के बाद इ"&amp;"से हरे धनिये से सजाएं। गार्निश करें। अचारी को सर्व करें तवा पराठा और लसुनी दाल के साथ बैंगन भर्ता।")</f>
        <v>"अचारी बैंगन का भर्ता बनाने के लिए सबसे पहले एक पैन में अचारी मसाला के लिए दी गई सामग्री डालकर भून लें। अमचूर पाउडर न डालें। अब भुने हुए मसाले और अमचूर पाउडर को मिक्सर ग्राइंडर में डालकर पीस लें। अब बैंगन पर थोड़ा तेल लगा लें। अब एक बेकिंग ट्रे में प्याज, बैंगन और टमाटर डालकर 200 डिग्री पर 30 मिनट तक पका लें। इसके बाद इसे ठंडा होने के लिए अलग रख दें। अब बैंगन को छीलकर मैश कर लें। प्याज को भी छीलकर बारीक काट लें। टमाटर को छीलकर बीज निकाल लें। इसे भी मैश कर लें। अब एक पैन में तेल डालें। इसमें अदरक, लहसुन, हरी मिर्च, हींग डालकर 1 मिनट तक पकने दें। 1 मिनट बाद इसमें प्याज, टमाटर, हल्दी पाउडर, धनिया पाउडर, लाल मिर्च पाउडर और नमक डालकर मिक्स करें और 3 मिनट तक पकने दें। 3 मिनट बाद इसमें अचारी मसाला, अचार, बैंगन डालकर सभी चीजों को अच्छे से मिला लें। पकने के बाद इसे हरे धनिये से सजाएं। गार्निश करें। अचारी को सर्व करें तवा पराठा और लसुनी दाल के साथ बैंगन भर्ता।</v>
      </c>
      <c r="J261" s="3" t="s">
        <v>32047</v>
      </c>
      <c r="L261" s="1" t="s">
        <v>31003</v>
      </c>
    </row>
    <row r="262" spans="1:12" ht="13.8">
      <c r="A262" s="1" t="s">
        <v>32048</v>
      </c>
      <c r="B262" s="1" t="str">
        <f ca="1">IFERROR(__xludf.dummyfunction("IF(A262="""", """", GOOGLETRANSLATE(A262, ""en"", ""hi""))"),"दाल कबीला रेसिपी")</f>
        <v>दाल कबीला रेसिपी</v>
      </c>
      <c r="C262" s="1" t="s">
        <v>145</v>
      </c>
      <c r="D262" s="1" t="s">
        <v>14338</v>
      </c>
      <c r="E262" s="1">
        <v>30</v>
      </c>
      <c r="F262" s="1" t="s">
        <v>32049</v>
      </c>
      <c r="G262" s="1" t="str">
        <f ca="1">IFERROR(__xludf.dummyfunction("IF(F262="""", """", GOOGLETRANSLATE(F262, ""en"", ""hi""))"),"1 छोटा चम्मच घी, 1 कप सफेद उड़द दाल, 1 इंच दालचीनी, 3 लौंग, 3 सूखी लाल मिर्च, 1 प्याज - बारीक कटा हुआ, 3 लंबे लहसुन - बारीक कटा हुआ, 1/2 इंच अदरक - बारीक कटा हुआ, 1 टमाटर - बारीक कटा हुआ, 1 हरी मिर्च - कटी हुई, 1/4 छोटा चम्मच लाल मिर्च पाउडर, 1 छोटा चम्मच"&amp;" धनिया पाउडर, 1/4 छोटा चम्मच हल्दी पाउडर, 1/4 छोटा चम्मच गरम मसाला पाउडर, 3 टहनी धनिया - कटा हुआ, 3 कप पानी, 1 बड़ा चम्मच घी, 1 छोटा चम्मच जीरा, 1 छोटा चम्मच साबुत काली मिर्च - कुटी हुई")</f>
        <v>1 छोटा चम्मच घी, 1 कप सफेद उड़द दाल, 1 इंच दालचीनी, 3 लौंग, 3 सूखी लाल मिर्च, 1 प्याज - बारीक कटा हुआ, 3 लंबे लहसुन - बारीक कटा हुआ, 1/2 इंच अदरक - बारीक कटा हुआ, 1 टमाटर - बारीक कटा हुआ, 1 हरी मिर्च - कटी हुई, 1/4 छोटा चम्मच लाल मिर्च पाउडर, 1 छोटा चम्मच धनिया पाउडर, 1/4 छोटा चम्मच हल्दी पाउडर, 1/4 छोटा चम्मच गरम मसाला पाउडर, 3 टहनी धनिया - कटा हुआ, 3 कप पानी, 1 बड़ा चम्मच घी, 1 छोटा चम्मच जीरा, 1 छोटा चम्मच साबुत काली मिर्च - कुटी हुई</v>
      </c>
      <c r="H262" s="1" t="s">
        <v>32050</v>
      </c>
      <c r="I262" s="1" t="str">
        <f ca="1">IFERROR(__xludf.dummyfunction("IF(H262="""", """", GOOGLETRANSLATE(H262, ""en"", ""hi""))"),"""दाल कबीला बनाने के लिए सबसे पहले उड़द दाल को अच्छे से धोकर 2 घंटे के लिए भिगो दें। 2 घंटे बाद प्रेशर कुकर में घी गर्म करें। सूखी लाल मिर्च, दालचीनी, लौंग डालकर धीमी आंच पर 1 मिनट तक भूनें। अब प्याज, हरी मिर्च डालें और प्याज के नरम होने तक पकाएं। टमाटर, "&amp;"लाल मिर्च पाउडर, हल्दी पाउडर, धनिया पाउडर डालें और 2 मिनट तक पकाएं। अब उड़द दाल, 3 कप पानी डालें और कुकर बंद कर दें। 5 से 6 सीटी आने तक पकाएं। गैस बंद कर दें और प्रेशर अपने आप निकलने दें, कुकर खोलें और इसे एक प्याले में निकाल लें। तड़के के लिए एक पैन में "&amp;"घी गर्म करें। इसमें जीरा, काली मिर्च डालें और जीरा चटकने तक पकाएं। इसे दाल में डालें और अच्छी तरह मिलाएँ। परोसें। दाल कबीला रेसिपी को पालक रागी और ओट्स व्हीट थेपला और खमंग खीरे के साथ लंच में परोसें।""")</f>
        <v>"दाल कबीला बनाने के लिए सबसे पहले उड़द दाल को अच्छे से धोकर 2 घंटे के लिए भिगो दें। 2 घंटे बाद प्रेशर कुकर में घी गर्म करें। सूखी लाल मिर्च, दालचीनी, लौंग डालकर धीमी आंच पर 1 मिनट तक भूनें। अब प्याज, हरी मिर्च डालें और प्याज के नरम होने तक पकाएं। टमाटर, लाल मिर्च पाउडर, हल्दी पाउडर, धनिया पाउडर डालें और 2 मिनट तक पकाएं। अब उड़द दाल, 3 कप पानी डालें और कुकर बंद कर दें। 5 से 6 सीटी आने तक पकाएं। गैस बंद कर दें और प्रेशर अपने आप निकलने दें, कुकर खोलें और इसे एक प्याले में निकाल लें। तड़के के लिए एक पैन में घी गर्म करें। इसमें जीरा, काली मिर्च डालें और जीरा चटकने तक पकाएं। इसे दाल में डालें और अच्छी तरह मिलाएँ। परोसें। दाल कबीला रेसिपी को पालक रागी और ओट्स व्हीट थेपला और खमंग खीरे के साथ लंच में परोसें।"</v>
      </c>
      <c r="J262" s="3" t="s">
        <v>32051</v>
      </c>
      <c r="L262" s="1" t="s">
        <v>31003</v>
      </c>
    </row>
    <row r="263" spans="1:12" ht="13.8">
      <c r="A263" s="1" t="s">
        <v>32052</v>
      </c>
      <c r="B263" s="1" t="str">
        <f ca="1">IFERROR(__xludf.dummyfunction("IF(A263="""", """", GOOGLETRANSLATE(A263, ""en"", ""hi""))"),"लौकी पराठा रेसिपी - लौकी की रोटी")</f>
        <v>लौकी पराठा रेसिपी - लौकी की रोटी</v>
      </c>
      <c r="C263" s="1" t="s">
        <v>15760</v>
      </c>
      <c r="D263" s="1" t="s">
        <v>14338</v>
      </c>
      <c r="E263" s="1">
        <v>50</v>
      </c>
      <c r="F263" s="1" t="s">
        <v>32053</v>
      </c>
      <c r="G263" s="1" t="str">
        <f ca="1">IFERROR(__xludf.dummyfunction("IF(F263="""", """", GOOGLETRANSLATE(F263, ""en"", ""hi""))"),"1 लौकी - छीलकर कद्दूकस की हुई, 2 कप गेहूं का आटा, 1 हरी मिर्च - बारीक कटी हुई, 1 चम्मच अजवाइन, 2 चम्मच अदरक - कद्दूकस किया हुआ, 1/2 चम्मच लाल मिर्च पाउडर, 1/2 चम्मच गरम मसाला पाउडर, 1 बड़ा चम्मच घी - पराठों पर लगाने के लिए, नमक - स्वादानुसार")</f>
        <v>1 लौकी - छीलकर कद्दूकस की हुई, 2 कप गेहूं का आटा, 1 हरी मिर्च - बारीक कटी हुई, 1 चम्मच अजवाइन, 2 चम्मच अदरक - कद्दूकस किया हुआ, 1/2 चम्मच लाल मिर्च पाउडर, 1/2 चम्मच गरम मसाला पाउडर, 1 बड़ा चम्मच घी - पराठों पर लगाने के लिए, नमक - स्वादानुसार</v>
      </c>
      <c r="H263" s="1" t="s">
        <v>32054</v>
      </c>
      <c r="I263" s="1" t="str">
        <f ca="1">IFERROR(__xludf.dummyfunction("IF(H263="""", """", GOOGLETRANSLATE(H263, ""en"", ""hi""))"),"लौकी पराठा रेसिपी बनाने के लिए सबसे पहले लौकी को छील लें, कद्दूकस कर लें और अतिरिक्त पानी निचोड़ कर एक तरफ रख दें। एक भारी तले की कढ़ाई गरम करें, उसमें कद्दूकस की हुई लौकी डालें और तब तक भूनें जब तक कि लौकी से पानी पूरी तरह सूख न जाए। इसमें लगभग 10 से 15 "&amp;"मिनट का समय लगेगा। एक बड़ा कटोरा लें, उसमें गेहूं का आटा, कद्दूकस की हुई लौकी, हरी मिर्च, कद्दूकस किया हुआ अदरक, सभी मसाले पाउडर, नमक डालें और आवश्यक मात्रा में पानी का उपयोग करके नरम आटा गूंथ लें। आटे को बराबर भागों में बाँट लें और प्रत्येक गेंद को एक मो"&amp;"टे मध्यम आकार के पराठे में बेल लें। मध्यम आँच पर एक कड़ाही गरम करें और उसके ऊपर बेले हुए पराठे को रखें और इसे एक तरफ से पकने दें। लगभग 10 से 15 सेकंड के बाद पराठे को पलट दें। पराठे को दोनों तरफ से पकाने के लिए उस पर थोड़ा घी लगाएँ लौकी पराठा को बूंदी रायत"&amp;"ा और आम का अचार के साथ नाश्ते या हल्के खाने में परोसें।")</f>
        <v>लौकी पराठा रेसिपी बनाने के लिए सबसे पहले लौकी को छील लें, कद्दूकस कर लें और अतिरिक्त पानी निचोड़ कर एक तरफ रख दें। एक भारी तले की कढ़ाई गरम करें, उसमें कद्दूकस की हुई लौकी डालें और तब तक भूनें जब तक कि लौकी से पानी पूरी तरह सूख न जाए। इसमें लगभग 10 से 15 मिनट का समय लगेगा। एक बड़ा कटोरा लें, उसमें गेहूं का आटा, कद्दूकस की हुई लौकी, हरी मिर्च, कद्दूकस किया हुआ अदरक, सभी मसाले पाउडर, नमक डालें और आवश्यक मात्रा में पानी का उपयोग करके नरम आटा गूंथ लें। आटे को बराबर भागों में बाँट लें और प्रत्येक गेंद को एक मोटे मध्यम आकार के पराठे में बेल लें। मध्यम आँच पर एक कड़ाही गरम करें और उसके ऊपर बेले हुए पराठे को रखें और इसे एक तरफ से पकने दें। लगभग 10 से 15 सेकंड के बाद पराठे को पलट दें। पराठे को दोनों तरफ से पकाने के लिए उस पर थोड़ा घी लगाएँ लौकी पराठा को बूंदी रायता और आम का अचार के साथ नाश्ते या हल्के खाने में परोसें।</v>
      </c>
      <c r="J263" s="3" t="s">
        <v>32055</v>
      </c>
      <c r="L263" s="1" t="s">
        <v>31003</v>
      </c>
    </row>
    <row r="264" spans="1:12" ht="13.8">
      <c r="A264" s="1" t="s">
        <v>32056</v>
      </c>
      <c r="B264" s="1" t="str">
        <f ca="1">IFERROR(__xludf.dummyfunction("IF(A264="""", """", GOOGLETRANSLATE(A264, ""en"", ""hi""))"),"खमन ढोकला पोहा रेसिपी")</f>
        <v>खमन ढोकला पोहा रेसिपी</v>
      </c>
      <c r="C264" s="1" t="s">
        <v>16424</v>
      </c>
      <c r="D264" s="1" t="s">
        <v>14198</v>
      </c>
      <c r="E264" s="1">
        <v>45</v>
      </c>
      <c r="F264" s="1" t="s">
        <v>32057</v>
      </c>
      <c r="G264" s="1" t="str">
        <f ca="1">IFERROR(__xludf.dummyfunction("IF(F264="""", """", GOOGLETRANSLATE(F264, ""en"", ""hi""))"),"2 कप खमन ढोकला - टुकड़े टुकड़े, 1 प्याज - बारीक कटा हुआ, 1 बड़ा चम्मच सरसों के बीज, 2 हरी मिर्च - बारीक कटी हुई, 1/4 चम्मच हींग, 1/4 कप ताजा नारियल - कसा हुआ, धनिया (धनिया) के पत्ते - कुछ टहनियाँ बारीक कटी हुई, सूरजमुखी का तेल - पकाने के लिए")</f>
        <v>2 कप खमन ढोकला - टुकड़े टुकड़े, 1 प्याज - बारीक कटा हुआ, 1 बड़ा चम्मच सरसों के बीज, 2 हरी मिर्च - बारीक कटी हुई, 1/4 चम्मच हींग, 1/4 कप ताजा नारियल - कसा हुआ, धनिया (धनिया) के पत्ते - कुछ टहनियाँ बारीक कटी हुई, सूरजमुखी का तेल - पकाने के लिए</v>
      </c>
      <c r="H264" s="1" t="s">
        <v>32058</v>
      </c>
      <c r="I264" s="1" t="str">
        <f ca="1">IFERROR(__xludf.dummyfunction("IF(H264="""", """", GOOGLETRANSLATE(H264, ""en"", ""hi""))"),"खमन ढोकला पोहा रेसिपी बनाने के लिए, बचे हुए ढोकला का उपयोग करें। अगर आप इस रेसिपी को ताज़े खमन ढोकला के साथ बनाना चाहते हैं, तो यहाँ खमन ढोकला रेसिपी की रेसिपी दी गई है। ढोकले के ठंडा हो जाने पर, ढोकले को तोड़कर अलग रख दें। एक भारी तले की कड़ाही में तेल ग"&amp;"र्म करें और जब तेल गर्म हो जाए, तो उसमें राई डालें और उन्हें फूटने दें। जब राई फूटने लगे, तो उसमें हींग, करी पत्ता और हरी मिर्च डालें और कुछ सेकंड के लिए भूनें। इसके बाद, कुछ कटे हुए प्याज डालें और उन्हें एक मिनट तक भूनें जब तक कि वे नरम और पारभासी न हो ज"&amp;"ाएं। हो जाने के बाद, कसा हुआ नारियल, स्वादानुसार नमक डालें और एक मिनट के लिए भूनें। एक मिनट के बाद पैन में टूटे हुए ढोकले डालें, अच्छी तरह मिलाएँ। आँच बंद कर दें और धनिया पत्ती से गार्निश करें और परोसें। खमन ढोकला पोहा को पुदीना चटनी और एक कप मसाला चाय के"&amp;" साथ परोसें।")</f>
        <v>खमन ढोकला पोहा रेसिपी बनाने के लिए, बचे हुए ढोकला का उपयोग करें। अगर आप इस रेसिपी को ताज़े खमन ढोकला के साथ बनाना चाहते हैं, तो यहाँ खमन ढोकला रेसिपी की रेसिपी दी गई है। ढोकले के ठंडा हो जाने पर, ढोकले को तोड़कर अलग रख दें। एक भारी तले की कड़ाही में तेल गर्म करें और जब तेल गर्म हो जाए, तो उसमें राई डालें और उन्हें फूटने दें। जब राई फूटने लगे, तो उसमें हींग, करी पत्ता और हरी मिर्च डालें और कुछ सेकंड के लिए भूनें। इसके बाद, कुछ कटे हुए प्याज डालें और उन्हें एक मिनट तक भूनें जब तक कि वे नरम और पारभासी न हो जाएं। हो जाने के बाद, कसा हुआ नारियल, स्वादानुसार नमक डालें और एक मिनट के लिए भूनें। एक मिनट के बाद पैन में टूटे हुए ढोकले डालें, अच्छी तरह मिलाएँ। आँच बंद कर दें और धनिया पत्ती से गार्निश करें और परोसें। खमन ढोकला पोहा को पुदीना चटनी और एक कप मसाला चाय के साथ परोसें।</v>
      </c>
      <c r="J264" s="3" t="s">
        <v>32059</v>
      </c>
      <c r="L264" s="1" t="s">
        <v>31003</v>
      </c>
    </row>
    <row r="265" spans="1:12" ht="13.8">
      <c r="A265" s="1" t="s">
        <v>32060</v>
      </c>
      <c r="B265" s="1" t="str">
        <f ca="1">IFERROR(__xludf.dummyfunction("IF(A265="""", """", GOOGLETRANSLATE(A265, ""en"", ""hi""))"),"सिंघारे आटे का हलवा/शीरा रेसिपी (सिंघाड़े के आटे का हलवा रेसिपी)")</f>
        <v>सिंघारे आटे का हलवा/शीरा रेसिपी (सिंघाड़े के आटे का हलवा रेसिपी)</v>
      </c>
      <c r="C265" s="1" t="s">
        <v>8417</v>
      </c>
      <c r="D265" s="1" t="s">
        <v>14198</v>
      </c>
      <c r="E265" s="1">
        <v>45</v>
      </c>
      <c r="F265" s="1" t="s">
        <v>32061</v>
      </c>
      <c r="G265" s="1" t="str">
        <f ca="1">IFERROR(__xludf.dummyfunction("IF(F265="""", """", GOOGLETRANSLATE(F265, ""en"", ""hi""))"),"1 कप सिंघाड़े का आटा, 1 कप चीनी, 1 कप घी - + 1 बड़ा चम्मच, 3 कप पानी, 2 छोटे चम्मच इलायची पाउडर (इलायची) - ताज़ा पिसी हुई, 1/4 कप काजू - आधे कटे हुए")</f>
        <v>1 कप सिंघाड़े का आटा, 1 कप चीनी, 1 कप घी - + 1 बड़ा चम्मच, 3 कप पानी, 2 छोटे चम्मच इलायची पाउडर (इलायची) - ताज़ा पिसी हुई, 1/4 कप काजू - आधे कटे हुए</v>
      </c>
      <c r="H265" s="1" t="s">
        <v>32062</v>
      </c>
      <c r="I265" s="1" t="str">
        <f ca="1">IFERROR(__xludf.dummyfunction("IF(H265="""", """", GOOGLETRANSLATE(H265, ""en"", ""hi""))"),"सिंघाड़े के आटे का हलवा/शीरा रेसिपी (वाटर चेस्टनट आटा हलवा रेसिपी) बनाने के लिए एक सॉस पैन में पानी और चीनी गर्म करें, चीनी पिघलने तक लगातार चलाते रहें। आँच को कम कर दें और पानी को तब तक गर्म करना जारी रखें जब तक कि आप नीचे दिए गए चरणों का पालन करके गेहूं"&amp;" के आटे का मिश्रण तैयार न कर लें। मध्यम आँच पर एक भारी तले की कड़ाही गरम करें; एक कप घी पिघलाएं और सिंघाड़े का आटा डालकर मध्यम आँच पर मिश्रण को भूनें। तब तक भूनना जारी रखें जब तक कि मिश्रण से भुनी हुई सुगंध न आने लगे और इसका रंग भुने हुए भूरे रंग में न बद"&amp;"ल जाए; इस प्रक्रिया में लगभग पांच मिनट लगेंगे। भूनते समय लगातार हिलाते रहें। मिश्रण मोटे टुकड़ों जैसा दिखने लगेगा। आँच को कम कर दें और सिंघाड़े के आटे के मिश्रण में इलायची पाउडर मिला गाढ़ा होने के बाद मध्यम आंच पर 10-15 मिनट तक लगातार चलाते रहें। आंच बंद "&amp;"कर दें और सिंघाड़े के आटे का हलवा/शीरा रेसिपी (सिंघाड़े का आटा हलवा रेसिपी) को लगभग 5 मिनट तक ढककर रखें। दूसरे छोटे तड़का पैन में मध्यम आंच पर 1 बड़ा चम्मच घी गर्म करें, उसमें काजू डालें और काजू को सुनहरा भूरा होने तक भूनें। आंच बंद कर दें और इसे सिंघाड़े"&amp;" के आटे का हलवा/शीरा रेसिपी (सिंघाड़े का आटा हलवा रेसिपी) में मिलाएँ। सिंघाड़े के आटे का हलवा/शीरा रेसिपी (सिंघाड़े का आटा हलवा रेसिपी) को लंच के बाद या सर्दियों की छुट्टियों के मौसम में दोस्तों के साथ पार्टी में परोसें।")</f>
        <v>सिंघाड़े के आटे का हलवा/शीरा रेसिपी (वाटर चेस्टनट आटा हलवा रेसिपी) बनाने के लिए एक सॉस पैन में पानी और चीनी गर्म करें, चीनी पिघलने तक लगातार चलाते रहें। आँच को कम कर दें और पानी को तब तक गर्म करना जारी रखें जब तक कि आप नीचे दिए गए चरणों का पालन करके गेहूं के आटे का मिश्रण तैयार न कर लें। मध्यम आँच पर एक भारी तले की कड़ाही गरम करें; एक कप घी पिघलाएं और सिंघाड़े का आटा डालकर मध्यम आँच पर मिश्रण को भूनें। तब तक भूनना जारी रखें जब तक कि मिश्रण से भुनी हुई सुगंध न आने लगे और इसका रंग भुने हुए भूरे रंग में न बदल जाए; इस प्रक्रिया में लगभग पांच मिनट लगेंगे। भूनते समय लगातार हिलाते रहें। मिश्रण मोटे टुकड़ों जैसा दिखने लगेगा। आँच को कम कर दें और सिंघाड़े के आटे के मिश्रण में इलायची पाउडर मिला गाढ़ा होने के बाद मध्यम आंच पर 10-15 मिनट तक लगातार चलाते रहें। आंच बंद कर दें और सिंघाड़े के आटे का हलवा/शीरा रेसिपी (सिंघाड़े का आटा हलवा रेसिपी) को लगभग 5 मिनट तक ढककर रखें। दूसरे छोटे तड़का पैन में मध्यम आंच पर 1 बड़ा चम्मच घी गर्म करें, उसमें काजू डालें और काजू को सुनहरा भूरा होने तक भूनें। आंच बंद कर दें और इसे सिंघाड़े के आटे का हलवा/शीरा रेसिपी (सिंघाड़े का आटा हलवा रेसिपी) में मिलाएँ। सिंघाड़े के आटे का हलवा/शीरा रेसिपी (सिंघाड़े का आटा हलवा रेसिपी) को लंच के बाद या सर्दियों की छुट्टियों के मौसम में दोस्तों के साथ पार्टी में परोसें।</v>
      </c>
      <c r="J265" s="3" t="s">
        <v>32063</v>
      </c>
      <c r="L265" s="1" t="s">
        <v>31003</v>
      </c>
    </row>
    <row r="266" spans="1:12" ht="13.8">
      <c r="A266" s="1" t="s">
        <v>8130</v>
      </c>
      <c r="B266" s="1" t="str">
        <f ca="1">IFERROR(__xludf.dummyfunction("IF(A266="""", """", GOOGLETRANSLATE(A266, ""en"", ""hi""))"),"फुल्का")</f>
        <v>फुल्का</v>
      </c>
      <c r="C266" s="1" t="s">
        <v>14259</v>
      </c>
      <c r="D266" s="1" t="s">
        <v>14198</v>
      </c>
      <c r="E266" s="1">
        <v>40</v>
      </c>
      <c r="F266" s="1" t="s">
        <v>32064</v>
      </c>
      <c r="G266" s="1" t="str">
        <f ca="1">IFERROR(__xludf.dummyfunction("IF(F266="""", """", GOOGLETRANSLATE(F266, ""en"", ""hi""))"),"1 कप गेहूं का आटा, 1/2 छोटा चम्मच नमक - वैकल्पिक, 1 छोटा चम्मच तेल, घी - परोसने के लिए")</f>
        <v>1 कप गेहूं का आटा, 1/2 छोटा चम्मच नमक - वैकल्पिक, 1 छोटा चम्मच तेल, घी - परोसने के लिए</v>
      </c>
      <c r="H266" s="1" t="s">
        <v>32065</v>
      </c>
      <c r="I266" s="1" t="str">
        <f ca="1">IFERROR(__xludf.dummyfunction("IF(H266="""", """", GOOGLETRANSLATE(H266, ""en"", ""hi""))"),"फुल्का बनाने के लिए सबसे पहले एक बर्तन में मैदा और नमक डालकर अच्छे से मिला लें। अब इसमें थोड़ा पानी डालकर गूंद लें। इसमें तेल डालकर फिर से गूंद लें जब तक यह मुलायम न हो जाए। इसे ढककर 15 मिनट के लिए रख दें। अब इसकी छोटी-छोटी लोइयां बना लें। इन्हें बेलन की "&amp;"मदद से गोल आकार में बेल लें। रोटी को जितना बड़ा बेलना हो बेल लें। बीच-बीच में सूखा आटा डालते रहें ताकि आपकी रोटी चिपके नहीं। इसी तरह बचे हुए आटे से रोटियां बना लें। अब रोटी सेंकने के लिए तवा गरम करें। इस पर रोटी रख दें। कुछ सेकंड बाद आप देखेंगे कि रोटी पर"&amp;" छोटी-छोटी पॉकेट बन रही हैं। इस समय रोटी को दूसरी तरफ पलट दें। कुछ सेकंड बाद तवा हटा दें और रोटी को चिमटे की मदद से तेज आंच पर सेंक लें। आप देखेंगे कि आपकी रोटी फूल जाएगी। सेंकने के बाद रोटी पर घी लगाएं और सर्व करें। फुल्का को जयपुरी आलू प्याज की सब्जी और"&amp;" पालक रायता के साथ लंच में सर्व करें। आप इसे किसी भी सब्जी के साथ सर्व कर सकते हैं।")</f>
        <v>फुल्का बनाने के लिए सबसे पहले एक बर्तन में मैदा और नमक डालकर अच्छे से मिला लें। अब इसमें थोड़ा पानी डालकर गूंद लें। इसमें तेल डालकर फिर से गूंद लें जब तक यह मुलायम न हो जाए। इसे ढककर 15 मिनट के लिए रख दें। अब इसकी छोटी-छोटी लोइयां बना लें। इन्हें बेलन की मदद से गोल आकार में बेल लें। रोटी को जितना बड़ा बेलना हो बेल लें। बीच-बीच में सूखा आटा डालते रहें ताकि आपकी रोटी चिपके नहीं। इसी तरह बचे हुए आटे से रोटियां बना लें। अब रोटी सेंकने के लिए तवा गरम करें। इस पर रोटी रख दें। कुछ सेकंड बाद आप देखेंगे कि रोटी पर छोटी-छोटी पॉकेट बन रही हैं। इस समय रोटी को दूसरी तरफ पलट दें। कुछ सेकंड बाद तवा हटा दें और रोटी को चिमटे की मदद से तेज आंच पर सेंक लें। आप देखेंगे कि आपकी रोटी फूल जाएगी। सेंकने के बाद रोटी पर घी लगाएं और सर्व करें। फुल्का को जयपुरी आलू प्याज की सब्जी और पालक रायता के साथ लंच में सर्व करें। आप इसे किसी भी सब्जी के साथ सर्व कर सकते हैं।</v>
      </c>
      <c r="J266" s="3" t="s">
        <v>32066</v>
      </c>
      <c r="L266" s="1" t="s">
        <v>31003</v>
      </c>
    </row>
    <row r="267" spans="1:12" ht="13.8">
      <c r="A267" s="1" t="s">
        <v>32067</v>
      </c>
      <c r="B267" s="1" t="str">
        <f ca="1">IFERROR(__xludf.dummyfunction("IF(A267="""", """", GOOGLETRANSLATE(A267, ""en"", ""hi""))"),"पनीर भरवां रागी पराठा रेसिपी - उच्च प्रोटीन नाश्ता")</f>
        <v>पनीर भरवां रागी पराठा रेसिपी - उच्च प्रोटीन नाश्ता</v>
      </c>
      <c r="C267" s="1" t="s">
        <v>16424</v>
      </c>
      <c r="D267" s="1" t="s">
        <v>14338</v>
      </c>
      <c r="E267" s="1">
        <v>35</v>
      </c>
      <c r="F267" s="1" t="s">
        <v>32068</v>
      </c>
      <c r="G267" s="1" t="str">
        <f ca="1">IFERROR(__xludf.dummyfunction("IF(F267="""", """", GOOGLETRANSLATE(F267, ""en"", ""hi""))"),"1 कप रागी का आटा, 1 कप गेहूं का आटा, 1 चम्मच नमक, 1 बड़ा चम्मच सूरजमुखी तेल, 1 कप पनीर - कसा हुआ, 2 हरी मिर्च - बारीक कटी हुई, 1/4 कप पुदीना - बारीक कटा हुआ, 1 चम्मच जीरा पाउडर (जीरा), नमक - स्वादानुसार, घी - पराठा पकाने के लिए")</f>
        <v>1 कप रागी का आटा, 1 कप गेहूं का आटा, 1 चम्मच नमक, 1 बड़ा चम्मच सूरजमुखी तेल, 1 कप पनीर - कसा हुआ, 2 हरी मिर्च - बारीक कटी हुई, 1/4 कप पुदीना - बारीक कटा हुआ, 1 चम्मच जीरा पाउडर (जीरा), नमक - स्वादानुसार, घी - पराठा पकाने के लिए</v>
      </c>
      <c r="H267" s="1" t="s">
        <v>32069</v>
      </c>
      <c r="I267" s="1" t="str">
        <f ca="1">IFERROR(__xludf.dummyfunction("IF(H267="""", """", GOOGLETRANSLATE(H267, ""en"", ""hi""))"),"पनीर भरवां रागी पराठा रेसिपी बनाने के लिए सबसे पहले हम पराठे का आटा गूंथेंगे। आटे के लिए एक बड़े कटोरे में रागी का आटा, गेहूं का आटा और आवश्यकतानुसार नमक डालें। अपनी उंगलियों का उपयोग करें और आटे में नमक मिलाएँ। थोड़ा-थोड़ा करके पानी डालें और नरम, लचीला प"&amp;"राठा आटा गूंथ लें। पराठे के आटे को कुछ मिनट तक गूंथें जब तक कि पराठा का आटा चिकना और लचीला न हो जाए। आटे को चिकना बनाने के लिए फोल्ड प्रेस और गूंथने की गति का उपयोग करें। इसके बाद पराठे के आटे को कोट करने के लिए एक चम्मच तेल डालें और थोड़ा और गूंथें। आपको"&amp;" एक ऐसा पराठा आटा चाहिए जो नरम चिकना हो और चिपचिपा न हो। आटे को बराबर भागों में बाँट लें। रागी पराठे के आटे को ढँक दें और इसे तब तक आराम दें जब तक कि भरावन तैयार न हो जाए। अगला कदम रागी पराठे के लिए पनीर का भरावन बनाना है। एक मिक्सिंग बाउल में कद्दूकस किय"&amp;"ा हुआ पनीर, हरी मिर्च, ताज़े कटे हुए पुदीने के पत्ते, स्वादानुसार नमक, जीरा पाउडर डालें, अपनी उंगलियों का उपयोग करके फिर से सभी सामग्री को अच्छी तरह मिलाएँ। भरावन को बराबर भागों में बाँट लें। पराठे के आटे और भरावन के हिस्सों को बाँटने और रखने की यह प्रक्र"&amp;"िया आपको यह अनुमान लगाने में मदद करती है कि आप कितने पराठे बना सकते हैं और आपको भरावन की अधिक या कम आवश्यकता है। अंतिम चरण रागी पराठे के आटे में भरावन भरना है। रागी पराठे के आटे को आटे में लपेटें, इसे अपनी उंगली से चपटा करें और सपाट सतह पर रखें। इन्हें लग"&amp;"भग 3 इंच व्यास में पतला बेल लें। पनीर के भरावन का एक भाग लें और इसे बीच में रखें। इसके बाद पराठे के आटे के किनारों को इकट्ठा करें इसे वांछित मोटाई तक रोल करें और पराठे के आटे और भरने के शेष भागों के साथ इसी तरह आगे बढ़ें। मध्यम आंच पर तवा गरम करें और इसे "&amp;"थोड़े से तेल से चिकना करें। भरे हुए रागी पनीर पराठे को रखें। इसे मध्यम आँच पर लगभग 30 से 45 सेकंड तक पकने दें और पलट दें। पराठे के ऊपर थोड़ा सा तेल फैलाएं और पराठे को अंदर से बाहर तक समान रूप से पकाने के लिए तवे पर रागी पनीर भरवां पराठे को दबाते रहें। जब "&amp;"तक कि दोनों तरफ से पक कर भूरा और कुरकुरा न हो जाए, तब तक एक-दो बार पलटें। सुनिश्चित करें कि आप मध्यम आँच पर पकाएँ क्योंकि यह पनीर भरवां रागी पराठा रेसिपी को बाहर से कुरकुरा और फिर भी नरम बनावट देता है। शेष पराठों के साथ भी इसी प्रक्रिया को जारी रखें। इस प"&amp;"नीर भरवां रागी पराठा रेसिपी को स्प्रिंग अनियन और मूंगफली रायता रेसिपी और आंवला अचार रेसिपी के साथ एक हार्दिक और स्वस्थ उच्च प्रोटीन नाश्ते या भारतीय मधुमेह नाश्ते या दोपहर के भोजन के लिए परोसें।")</f>
        <v>पनीर भरवां रागी पराठा रेसिपी बनाने के लिए सबसे पहले हम पराठे का आटा गूंथेंगे। आटे के लिए एक बड़े कटोरे में रागी का आटा, गेहूं का आटा और आवश्यकतानुसार नमक डालें। अपनी उंगलियों का उपयोग करें और आटे में नमक मिलाएँ। थोड़ा-थोड़ा करके पानी डालें और नरम, लचीला पराठा आटा गूंथ लें। पराठे के आटे को कुछ मिनट तक गूंथें जब तक कि पराठा का आटा चिकना और लचीला न हो जाए। आटे को चिकना बनाने के लिए फोल्ड प्रेस और गूंथने की गति का उपयोग करें। इसके बाद पराठे के आटे को कोट करने के लिए एक चम्मच तेल डालें और थोड़ा और गूंथें। आपको एक ऐसा पराठा आटा चाहिए जो नरम चिकना हो और चिपचिपा न हो। आटे को बराबर भागों में बाँट लें। रागी पराठे के आटे को ढँक दें और इसे तब तक आराम दें जब तक कि भरावन तैयार न हो जाए। अगला कदम रागी पराठे के लिए पनीर का भरावन बनाना है। एक मिक्सिंग बाउल में कद्दूकस किया हुआ पनीर, हरी मिर्च, ताज़े कटे हुए पुदीने के पत्ते, स्वादानुसार नमक, जीरा पाउडर डालें, अपनी उंगलियों का उपयोग करके फिर से सभी सामग्री को अच्छी तरह मिलाएँ। भरावन को बराबर भागों में बाँट लें। पराठे के आटे और भरावन के हिस्सों को बाँटने और रखने की यह प्रक्रिया आपको यह अनुमान लगाने में मदद करती है कि आप कितने पराठे बना सकते हैं और आपको भरावन की अधिक या कम आवश्यकता है। अंतिम चरण रागी पराठे के आटे में भरावन भरना है। रागी पराठे के आटे को आटे में लपेटें, इसे अपनी उंगली से चपटा करें और सपाट सतह पर रखें। इन्हें लगभग 3 इंच व्यास में पतला बेल लें। पनीर के भरावन का एक भाग लें और इसे बीच में रखें। इसके बाद पराठे के आटे के किनारों को इकट्ठा करें इसे वांछित मोटाई तक रोल करें और पराठे के आटे और भरने के शेष भागों के साथ इसी तरह आगे बढ़ें। मध्यम आंच पर तवा गरम करें और इसे थोड़े से तेल से चिकना करें। भरे हुए रागी पनीर पराठे को रखें। इसे मध्यम आँच पर लगभग 30 से 45 सेकंड तक पकने दें और पलट दें। पराठे के ऊपर थोड़ा सा तेल फैलाएं और पराठे को अंदर से बाहर तक समान रूप से पकाने के लिए तवे पर रागी पनीर भरवां पराठे को दबाते रहें। जब तक कि दोनों तरफ से पक कर भूरा और कुरकुरा न हो जाए, तब तक एक-दो बार पलटें। सुनिश्चित करें कि आप मध्यम आँच पर पकाएँ क्योंकि यह पनीर भरवां रागी पराठा रेसिपी को बाहर से कुरकुरा और फिर भी नरम बनावट देता है। शेष पराठों के साथ भी इसी प्रक्रिया को जारी रखें। इस पनीर भरवां रागी पराठा रेसिपी को स्प्रिंग अनियन और मूंगफली रायता रेसिपी और आंवला अचार रेसिपी के साथ एक हार्दिक और स्वस्थ उच्च प्रोटीन नाश्ते या भारतीय मधुमेह नाश्ते या दोपहर के भोजन के लिए परोसें।</v>
      </c>
      <c r="J267" s="3" t="s">
        <v>32070</v>
      </c>
      <c r="L267" s="1" t="s">
        <v>31003</v>
      </c>
    </row>
    <row r="268" spans="1:12" ht="13.8">
      <c r="A268" s="1" t="s">
        <v>32071</v>
      </c>
      <c r="B268" s="1" t="str">
        <f ca="1">IFERROR(__xludf.dummyfunction("IF(A268="""", """", GOOGLETRANSLATE(A268, ""en"", ""hi""))"),"चटपटा मकई टमाटर भर्ता")</f>
        <v>चटपटा मकई टमाटर भर्ता</v>
      </c>
      <c r="C268" s="1" t="s">
        <v>429</v>
      </c>
      <c r="D268" s="1" t="s">
        <v>14198</v>
      </c>
      <c r="E268" s="1">
        <v>30</v>
      </c>
      <c r="F268" s="1" t="s">
        <v>32072</v>
      </c>
      <c r="G268" s="1" t="str">
        <f ca="1">IFERROR(__xludf.dummyfunction("IF(F268="""", """", GOOGLETRANSLATE(F268, ""en"", ""hi""))"),"1 कप कॉर्न - उबला हुआ (स्वीट कॉर्न), 4 टमाटर - बारीक कटे हुए, 1 प्याज - बारीक कटा हुआ, 1/2 कप धनिया पत्ती - बारीक कटी हुई, 1 हरी मिर्च - बारीक कटी हुई, 1 चम्मच अदरक लहसुन पेस्ट, 1 चम्मच जीरा, 1/2 चम्मच हल्दी पाउडर, 2 चम्मच धनिया पाउडर, 1 चम्मच लाल मिर्च प"&amp;"ाउडर, 1 चम्मच गरम मसाला पाउडर, 1 बड़ा चम्मच मक्खन, 1 चम्मच तेल, 1 चम्मच नींबू का रस, नमक - स्वादानुसार")</f>
        <v>1 कप कॉर्न - उबला हुआ (स्वीट कॉर्न), 4 टमाटर - बारीक कटे हुए, 1 प्याज - बारीक कटा हुआ, 1/2 कप धनिया पत्ती - बारीक कटी हुई, 1 हरी मिर्च - बारीक कटी हुई, 1 चम्मच अदरक लहसुन पेस्ट, 1 चम्मच जीरा, 1/2 चम्मच हल्दी पाउडर, 2 चम्मच धनिया पाउडर, 1 चम्मच लाल मिर्च पाउडर, 1 चम्मच गरम मसाला पाउडर, 1 बड़ा चम्मच मक्खन, 1 चम्मच तेल, 1 चम्मच नींबू का रस, नमक - स्वादानुसार</v>
      </c>
      <c r="H268" s="1" t="s">
        <v>32073</v>
      </c>
      <c r="I268" s="1" t="str">
        <f ca="1">IFERROR(__xludf.dummyfunction("IF(H268="""", """", GOOGLETRANSLATE(H268, ""en"", ""hi""))"),"""मक्का और टमाटर का भर्ता बनाने के लिए सबसे पहले सारी सामग्री तैयार कर लें। अब एक पैन में मक्खन और तेल गर्म करें। इसमें जीरा डालें और 10 सेकंड तक पकने दें। 10 सेकंड बाद इसमें कटे हुए प्याज डालें और नरम होने तक पकाएं। नरम होने के बाद इसमें टमाटर और हरी मिर"&amp;"्च डालें। टमाटर के नरम होने तक पकाएं। अब इसमें हल्दी पाउडर, धनिया पाउडर, गरम मसाला पाउडर डालें और 3 से 5 मिनट तक पकाएं। इसके बाद इसमें उबली हुई मक्का डालें और स्वादानुसार नमक डालकर मिलाएँ। थोड़ा पानी डालें और 1 मिनट तक पकने दें। अब इसमें हरा धनिया डालें, "&amp;"मिलाएँ और 2 मिनट तक पकने दें। गैस बंद कर दें, नींबू का रस डालें, मिलाएँ और गरमागरम सर्व करें। मक्के और टमाटर के भर्ते को दाल फ्राई, कचुम्बर सलाद और तवा पराठे के साथ दिन भर सर्व करें।""")</f>
        <v>"मक्का और टमाटर का भर्ता बनाने के लिए सबसे पहले सारी सामग्री तैयार कर लें। अब एक पैन में मक्खन और तेल गर्म करें। इसमें जीरा डालें और 10 सेकंड तक पकने दें। 10 सेकंड बाद इसमें कटे हुए प्याज डालें और नरम होने तक पकाएं। नरम होने के बाद इसमें टमाटर और हरी मिर्च डालें। टमाटर के नरम होने तक पकाएं। अब इसमें हल्दी पाउडर, धनिया पाउडर, गरम मसाला पाउडर डालें और 3 से 5 मिनट तक पकाएं। इसके बाद इसमें उबली हुई मक्का डालें और स्वादानुसार नमक डालकर मिलाएँ। थोड़ा पानी डालें और 1 मिनट तक पकने दें। अब इसमें हरा धनिया डालें, मिलाएँ और 2 मिनट तक पकने दें। गैस बंद कर दें, नींबू का रस डालें, मिलाएँ और गरमागरम सर्व करें। मक्के और टमाटर के भर्ते को दाल फ्राई, कचुम्बर सलाद और तवा पराठे के साथ दिन भर सर्व करें।"</v>
      </c>
      <c r="J268" s="3" t="s">
        <v>32074</v>
      </c>
      <c r="L268" s="1" t="s">
        <v>31003</v>
      </c>
    </row>
    <row r="269" spans="1:12" ht="13.8">
      <c r="A269" s="1" t="s">
        <v>32075</v>
      </c>
      <c r="B269" s="1" t="str">
        <f ca="1">IFERROR(__xludf.dummyfunction("IF(A269="""", """", GOOGLETRANSLATE(A269, ""en"", ""hi""))"),"सब्जी दाल पकौड़ा रेसिपी")</f>
        <v>सब्जी दाल पकौड़ा रेसिपी</v>
      </c>
      <c r="C269" s="1" t="s">
        <v>14281</v>
      </c>
      <c r="D269" s="1" t="s">
        <v>14237</v>
      </c>
      <c r="E269" s="1">
        <v>50</v>
      </c>
      <c r="F269" s="1" t="s">
        <v>32076</v>
      </c>
      <c r="G269" s="1" t="str">
        <f ca="1">IFERROR(__xludf.dummyfunction("IF(F269="""", """", GOOGLETRANSLATE(F269, ""en"", ""hi""))"),"1/2 कप चना दाल, 1/2 कप पीली मूंग दाल - फटी हुई, 2 हरी मिर्च - बारीक कटी हुई, 1 इंच अदरक - कद्दूकस किया हुआ, 1/4 कप गोभी - बारीक कटी हुई, 1 गाजर - कद्दूकस किया हुआ, 1 प्याज - बारीक कटा हुआ, 1 टहनी धनिया - बारीक कटा हुआ, 1 छोटा चम्मच नींबू का रस, 1 छोटा चम्"&amp;"मच जीरा पाउडर, 1/2 छोटा चम्मच चाट मसाला पाउडर, 1/4 छोटा चम्मच बेकिंग पाउडर, नमक - स्वादानुसार, तेल - उपयोगानुसार")</f>
        <v>1/2 कप चना दाल, 1/2 कप पीली मूंग दाल - फटी हुई, 2 हरी मिर्च - बारीक कटी हुई, 1 इंच अदरक - कद्दूकस किया हुआ, 1/4 कप गोभी - बारीक कटी हुई, 1 गाजर - कद्दूकस किया हुआ, 1 प्याज - बारीक कटा हुआ, 1 टहनी धनिया - बारीक कटा हुआ, 1 छोटा चम्मच नींबू का रस, 1 छोटा चम्मच जीरा पाउडर, 1/2 छोटा चम्मच चाट मसाला पाउडर, 1/4 छोटा चम्मच बेकिंग पाउडर, नमक - स्वादानुसार, तेल - उपयोगानुसार</v>
      </c>
      <c r="H269" s="1" t="s">
        <v>32077</v>
      </c>
      <c r="I269" s="1" t="str">
        <f ca="1">IFERROR(__xludf.dummyfunction("IF(H269="""", """", GOOGLETRANSLATE(H269, ""en"", ""hi""))"),"""दाल भजिया बनाने के लिए सबसे पहले दाल को 2 घंटे के लिए भिगो दें। पानी निथार लें और मिक्सर ग्राइंडर में अदरक, हरी मिर्च, थोड़ा पानी के साथ दाल डालें और पेस्ट बना लें। बैटर को एक बाउल में डालें और उसमें गोभी, गाजर, प्याज़, धनिया पत्ता, नींबू का रस, जीरा पा"&amp;"उडर, चाट मसाला पाउडर, बेकिंग पाउडर, नमक डालें और अच्छी तरह मिलाएँ। अब एक पैन में तेल गर्म करें। पैन में 1 बड़ा चम्मच बैटर डालें और डीप फ्राई करें। सुनहरा भूरा होने तक पकाएँ और किचन टॉवल पर निकाल लें ताकि यह अतिरिक्त तेल सोख ले। पैन में पनियारम बनाने के लि"&amp;"ए, पनियारम पैन के हर छेद में तेल डालें। बटेर डालें और तब तक पकाएँ जब तक यह सभी तरफ से सुनहरा भूरा न हो जाए। परोसें। दाल भजिया रेसिपी को धनिया पुदीना चटनी और एक कप गरम मसाला चाय के साथ बरसात के दिनों में परोसें।""")</f>
        <v>"दाल भजिया बनाने के लिए सबसे पहले दाल को 2 घंटे के लिए भिगो दें। पानी निथार लें और मिक्सर ग्राइंडर में अदरक, हरी मिर्च, थोड़ा पानी के साथ दाल डालें और पेस्ट बना लें। बैटर को एक बाउल में डालें और उसमें गोभी, गाजर, प्याज़, धनिया पत्ता, नींबू का रस, जीरा पाउडर, चाट मसाला पाउडर, बेकिंग पाउडर, नमक डालें और अच्छी तरह मिलाएँ। अब एक पैन में तेल गर्म करें। पैन में 1 बड़ा चम्मच बैटर डालें और डीप फ्राई करें। सुनहरा भूरा होने तक पकाएँ और किचन टॉवल पर निकाल लें ताकि यह अतिरिक्त तेल सोख ले। पैन में पनियारम बनाने के लिए, पनियारम पैन के हर छेद में तेल डालें। बटेर डालें और तब तक पकाएँ जब तक यह सभी तरफ से सुनहरा भूरा न हो जाए। परोसें। दाल भजिया रेसिपी को धनिया पुदीना चटनी और एक कप गरम मसाला चाय के साथ बरसात के दिनों में परोसें।"</v>
      </c>
      <c r="J269" s="3" t="s">
        <v>32078</v>
      </c>
      <c r="L269" s="1" t="s">
        <v>31003</v>
      </c>
    </row>
    <row r="270" spans="1:12" ht="13.8">
      <c r="A270" s="1" t="s">
        <v>5235</v>
      </c>
      <c r="B270" s="1" t="str">
        <f ca="1">IFERROR(__xludf.dummyfunction("IF(A270="""", """", GOOGLETRANSLATE(A270, ""en"", ""hi""))"),"गाजर का हलवा")</f>
        <v>गाजर का हलवा</v>
      </c>
      <c r="C270" s="1" t="s">
        <v>8417</v>
      </c>
      <c r="D270" s="1" t="s">
        <v>14198</v>
      </c>
      <c r="E270" s="1">
        <v>75</v>
      </c>
      <c r="F270" s="1" t="s">
        <v>32079</v>
      </c>
      <c r="G270" s="1" t="str">
        <f ca="1">IFERROR(__xludf.dummyfunction("IF(F270="""", """", GOOGLETRANSLATE(F270, ""en"", ""hi""))"),"500 ग्राम गाजर - कद्दूकस की हुई, 1/2 कप घी - या मक्खन, 3 कप दूध, 3/4 कप चीनी, 1 चम्मच इलायची पाउडर, 10 बादाम - कद्दूकस किए हुए")</f>
        <v>500 ग्राम गाजर - कद्दूकस की हुई, 1/2 कप घी - या मक्खन, 3 कप दूध, 3/4 कप चीनी, 1 चम्मच इलायची पाउडर, 10 बादाम - कद्दूकस किए हुए</v>
      </c>
      <c r="H270" s="1" t="s">
        <v>32080</v>
      </c>
      <c r="I270" s="1" t="str">
        <f ca="1">IFERROR(__xludf.dummyfunction("IF(H270="""", """", GOOGLETRANSLATE(H270, ""en"", ""hi""))"),"गाजर का हलवा बनाने के लिए सबसे पहले सारी सामग्री तैयार कर लें और एक तरफ रख दें। अब एक पैन में घी गर्म करें। इसमें कद्दूकस की हुई गाजर डालें और नरम होने तक पकाएं। जब गाजर नरम हो जाए तो इसमें दूध डालें और मध्यम आंच पर रखें। मिश्रण को उबलने दें। दूध के पूरी "&amp;"तरह से सूखने तक इसे पकने दें। इसके बाद इसमें चीनी, इलायची और बादाम डालें। हलवे को तब तक चलाते रहें जब तक चीनी अच्छी तरह से घुल न जाए। हो जाने पर गैस बंद कर दें और इसे गर्मागर्म सर्व करें। गाजर के हलवे को खाने के बाद मिठाई के तौर पर सर्व करें।")</f>
        <v>गाजर का हलवा बनाने के लिए सबसे पहले सारी सामग्री तैयार कर लें और एक तरफ रख दें। अब एक पैन में घी गर्म करें। इसमें कद्दूकस की हुई गाजर डालें और नरम होने तक पकाएं। जब गाजर नरम हो जाए तो इसमें दूध डालें और मध्यम आंच पर रखें। मिश्रण को उबलने दें। दूध के पूरी तरह से सूखने तक इसे पकने दें। इसके बाद इसमें चीनी, इलायची और बादाम डालें। हलवे को तब तक चलाते रहें जब तक चीनी अच्छी तरह से घुल न जाए। हो जाने पर गैस बंद कर दें और इसे गर्मागर्म सर्व करें। गाजर के हलवे को खाने के बाद मिठाई के तौर पर सर्व करें।</v>
      </c>
      <c r="J270" s="3" t="s">
        <v>32081</v>
      </c>
      <c r="L270" s="1" t="s">
        <v>31003</v>
      </c>
    </row>
    <row r="271" spans="1:12" ht="13.8">
      <c r="A271" s="1" t="s">
        <v>32082</v>
      </c>
      <c r="B271" s="1" t="str">
        <f ca="1">IFERROR(__xludf.dummyfunction("IF(A271="""", """", GOOGLETRANSLATE(A271, ""en"", ""hi""))"),"अंकुरित रागी और राजमा कटलेट रेसिपी")</f>
        <v>अंकुरित रागी और राजमा कटलेट रेसिपी</v>
      </c>
      <c r="C271" s="1" t="s">
        <v>14572</v>
      </c>
      <c r="D271" s="1" t="s">
        <v>14237</v>
      </c>
      <c r="E271" s="1">
        <v>55</v>
      </c>
      <c r="F271" s="1" t="s">
        <v>32083</v>
      </c>
      <c r="G271" s="1" t="str">
        <f ca="1">IFERROR(__xludf.dummyfunction("IF(F271="""", """", GOOGLETRANSLATE(F271, ""en"", ""hi""))"),"1 कप राजमा - पानी में भिगोया हुआ, 1/2 कप अंकुरित रागी, 2 आलू - छीले और उबले हुए, 2 हरी मिर्च, 1 चम्मच हल्दी, 1 चम्मच धनिया पाउडर, 1 चम्मच गरम मसाला पाउडर, 1 चम्मच आमचूर, 4 बड़े चम्मच मक्की का आटा, 2 टहनी धनिया - कटा हुआ, 1/4 कप दूध, 1/2 कप गेहूं की ब्रेड "&amp;"का चूरा, नमक - स्वादानुसार, सूरजमुखी का तेल")</f>
        <v>1 कप राजमा - पानी में भिगोया हुआ, 1/2 कप अंकुरित रागी, 2 आलू - छीले और उबले हुए, 2 हरी मिर्च, 1 चम्मच हल्दी, 1 चम्मच धनिया पाउडर, 1 चम्मच गरम मसाला पाउडर, 1 चम्मच आमचूर, 4 बड़े चम्मच मक्की का आटा, 2 टहनी धनिया - कटा हुआ, 1/4 कप दूध, 1/2 कप गेहूं की ब्रेड का चूरा, नमक - स्वादानुसार, सूरजमुखी का तेल</v>
      </c>
      <c r="H271" s="1" t="s">
        <v>32084</v>
      </c>
      <c r="I271" s="1" t="str">
        <f ca="1">IFERROR(__xludf.dummyfunction("IF(H271="""", """", GOOGLETRANSLATE(H271, ""en"", ""hi""))"),"अंकुरित रागी और राजमा कटलेट रेसिपी बनाने के लिए सबसे पहले हम रागी को अंकुरित करेंगे, रागी को रात भर पानी में भिगोकर रखें और सारा पानी निकाल दें। रागी को एक नम कपड़े पर फैलाएँ और इसे दूसरे नम कपड़े से ढँक दें और एक दिन के लिए अलग रख दें। आपको रागी को ऐसे व"&amp;"ातावरण में रखना होगा जो थोड़ा नम हो। यह रागी को अंकुरित करने में मदद करेगा। एक बार रागी अंकुरित हो जाने पर इसे कटलेट बनाने के लिए अलग रख दें। भिगोए हुए राजमा और आलू को प्रेशर कुकर में पर्याप्त पानी के साथ लगभग 5 सीटी आने तक पकाएँ। प्रेशर को स्वाभाविक रूप "&amp;"से निकलने दें और अतिरिक्त पानी निकाल दें। आलू और राजमा को आलू मैशर का उपयोग करके दरदरा पीस लें। अंकुरित रागी, हरी मिर्च और धनिया पत्ती को मिक्सर में दरदरा पीस लें और इसे भी मैश किए हुए मिश्रण में मिला दें। हल्दी पाउडर, धनिया पाउडर, गरम मसाला पाउडर, अमचूर,"&amp;" नमक और मकई का आटा सहित सभी मसाले पाउडर मिलाएँ। कटलेट मिश्रण बनाने के लिए मिलाएँ। उसी के गोल कटलेट बनाएँ और उन्हें एक तरफ रख दें। अब एक-एक करके उन्हें दूध में डुबोएँ और ब्रेड क्रम्ब्स से कोट करें। एक कड़ाही में तेल गरम करें। गोल कटलेट को तवे पर रखें और उन"&amp;"्हें दोनों तरफ से कुरकुरा और सुनहरा भूरा होने तक तलें। अंकुरित रागी और काली आंखों वाले मटर कटलेट रेसिपी को डिपिंग सॉस, टोमैटो केचप के साथ परोसें और कटलेट का आनंद लें। आप इसे मसाला चाय रेसिपी - भारतीय मसालेदार चाय के साथ भी परोस सकते हैं।")</f>
        <v>अंकुरित रागी और राजमा कटलेट रेसिपी बनाने के लिए सबसे पहले हम रागी को अंकुरित करेंगे, रागी को रात भर पानी में भिगोकर रखें और सारा पानी निकाल दें। रागी को एक नम कपड़े पर फैलाएँ और इसे दूसरे नम कपड़े से ढँक दें और एक दिन के लिए अलग रख दें। आपको रागी को ऐसे वातावरण में रखना होगा जो थोड़ा नम हो। यह रागी को अंकुरित करने में मदद करेगा। एक बार रागी अंकुरित हो जाने पर इसे कटलेट बनाने के लिए अलग रख दें। भिगोए हुए राजमा और आलू को प्रेशर कुकर में पर्याप्त पानी के साथ लगभग 5 सीटी आने तक पकाएँ। प्रेशर को स्वाभाविक रूप से निकलने दें और अतिरिक्त पानी निकाल दें। आलू और राजमा को आलू मैशर का उपयोग करके दरदरा पीस लें। अंकुरित रागी, हरी मिर्च और धनिया पत्ती को मिक्सर में दरदरा पीस लें और इसे भी मैश किए हुए मिश्रण में मिला दें। हल्दी पाउडर, धनिया पाउडर, गरम मसाला पाउडर, अमचूर, नमक और मकई का आटा सहित सभी मसाले पाउडर मिलाएँ। कटलेट मिश्रण बनाने के लिए मिलाएँ। उसी के गोल कटलेट बनाएँ और उन्हें एक तरफ रख दें। अब एक-एक करके उन्हें दूध में डुबोएँ और ब्रेड क्रम्ब्स से कोट करें। एक कड़ाही में तेल गरम करें। गोल कटलेट को तवे पर रखें और उन्हें दोनों तरफ से कुरकुरा और सुनहरा भूरा होने तक तलें। अंकुरित रागी और काली आंखों वाले मटर कटलेट रेसिपी को डिपिंग सॉस, टोमैटो केचप के साथ परोसें और कटलेट का आनंद लें। आप इसे मसाला चाय रेसिपी - भारतीय मसालेदार चाय के साथ भी परोस सकते हैं।</v>
      </c>
      <c r="J271" s="3" t="s">
        <v>32085</v>
      </c>
      <c r="L271" s="1" t="s">
        <v>31003</v>
      </c>
    </row>
    <row r="272" spans="1:12" ht="13.8">
      <c r="A272" s="1" t="s">
        <v>32086</v>
      </c>
      <c r="B272" s="1" t="str">
        <f ca="1">IFERROR(__xludf.dummyfunction("IF(A272="""", """", GOOGLETRANSLATE(A272, ""en"", ""hi""))"),"पनीर इन व्हाइट ग्रेवी रेसिपी - बिना प्याज़ और लहसुन वाली रेसिपी")</f>
        <v>पनीर इन व्हाइट ग्रेवी रेसिपी - बिना प्याज़ और लहसुन वाली रेसिपी</v>
      </c>
      <c r="C272" s="1" t="s">
        <v>145</v>
      </c>
      <c r="D272" s="1" t="s">
        <v>14198</v>
      </c>
      <c r="E272" s="1">
        <v>35</v>
      </c>
      <c r="F272" s="1" t="s">
        <v>32087</v>
      </c>
      <c r="G272" s="1" t="str">
        <f ca="1">IFERROR(__xludf.dummyfunction("IF(F272="""", """", GOOGLETRANSLATE(F272, ""en"", ""hi""))"),"250 ग्राम पनीर - छोटे क्यूब्स में कटा हुआ, 1 बड़ा चम्मच घी, 1 तेज पत्ता, 1 चक्र फूल, 1 बड़ी इलायची, 1 इंच दालचीनी, 2 हरी मिर्च - कटी हुई, 1 छोटा चम्मच कसूरी मेथी, 1/4 कप काजू, 1/4 कप दूध, 1/2 कप दही, नमक - स्वादानुसार")</f>
        <v>250 ग्राम पनीर - छोटे क्यूब्स में कटा हुआ, 1 बड़ा चम्मच घी, 1 तेज पत्ता, 1 चक्र फूल, 1 बड़ी इलायची, 1 इंच दालचीनी, 2 हरी मिर्च - कटी हुई, 1 छोटा चम्मच कसूरी मेथी, 1/4 कप काजू, 1/4 कप दूध, 1/2 कप दही, नमक - स्वादानुसार</v>
      </c>
      <c r="H272" s="1" t="s">
        <v>32088</v>
      </c>
      <c r="I272" s="1" t="str">
        <f ca="1">IFERROR(__xludf.dummyfunction("IF(H272="""", """", GOOGLETRANSLATE(H272, ""en"", ""hi""))"),"पनीर इन व्हाइट ग्रेवी रेसिपी बनाने के लिए, सभी सामग्री तैयार करके रख लें। काजू का पेस्ट बनाने के लिए, इसे मिक्सर ग्राइंडर में डालें, दूध डालें और चिकना पेस्ट बनाने के लिए ब्लेंड करें। एक पैन में घी गर्म करें; हरी मिर्च, तेज पत्ता, चक्र फूल, बड़ी इलाइची, द"&amp;"ालचीनी स्टिक डालें और कुछ सेकंड के लिए भूनें। कसूरी मेथी, काजू का पेस्ट, दही, नमक और पनीर डालें। पनीर इन व्हाइट ग्रेवी को हिलाएं और इसे तेज उबाल लें। एक बार हो जाने पर, नमक की जांच करें और स्वाद के अनुसार समायोजित करें और गर्मी बंद कर दें। पनीर इन व्हाइट "&amp;"ग्रेवी को एक सर्विंग बाउल में डालें और गर्मागर्म परोसें। चाहें तो और कसूरी मेथी छिड़कें। पनीर इन व्हाइट ग्रेवी रेसिपी को दाल मखनी, तवा पराठा और प्याज़ के साथ स्वादिष्ट डिनर या लंच के लिए परोसें।")</f>
        <v>पनीर इन व्हाइट ग्रेवी रेसिपी बनाने के लिए, सभी सामग्री तैयार करके रख लें। काजू का पेस्ट बनाने के लिए, इसे मिक्सर ग्राइंडर में डालें, दूध डालें और चिकना पेस्ट बनाने के लिए ब्लेंड करें। एक पैन में घी गर्म करें; हरी मिर्च, तेज पत्ता, चक्र फूल, बड़ी इलाइची, दालचीनी स्टिक डालें और कुछ सेकंड के लिए भूनें। कसूरी मेथी, काजू का पेस्ट, दही, नमक और पनीर डालें। पनीर इन व्हाइट ग्रेवी को हिलाएं और इसे तेज उबाल लें। एक बार हो जाने पर, नमक की जांच करें और स्वाद के अनुसार समायोजित करें और गर्मी बंद कर दें। पनीर इन व्हाइट ग्रेवी को एक सर्विंग बाउल में डालें और गर्मागर्म परोसें। चाहें तो और कसूरी मेथी छिड़कें। पनीर इन व्हाइट ग्रेवी रेसिपी को दाल मखनी, तवा पराठा और प्याज़ के साथ स्वादिष्ट डिनर या लंच के लिए परोसें।</v>
      </c>
      <c r="J272" s="3" t="s">
        <v>32089</v>
      </c>
      <c r="L272" s="1" t="s">
        <v>31003</v>
      </c>
    </row>
    <row r="273" spans="1:12" ht="13.8">
      <c r="A273" s="1" t="s">
        <v>32090</v>
      </c>
      <c r="B273" s="1" t="str">
        <f ca="1">IFERROR(__xludf.dummyfunction("IF(A273="""", """", GOOGLETRANSLATE(A273, ""en"", ""hi""))"),"पनीर टिक्का पुलाव रेसिपी")</f>
        <v>पनीर टिक्का पुलाव रेसिपी</v>
      </c>
      <c r="C273" s="1" t="s">
        <v>145</v>
      </c>
      <c r="D273" s="1" t="s">
        <v>14198</v>
      </c>
      <c r="E273" s="1">
        <v>50</v>
      </c>
      <c r="F273" s="1" t="s">
        <v>32091</v>
      </c>
      <c r="G273" s="1" t="str">
        <f ca="1">IFERROR(__xludf.dummyfunction("IF(F273="""", """", GOOGLETRANSLATE(F273, ""en"", ""hi""))"),"1-1/2 कप चावल, 1 प्याज, 1 हरी मिर्च, 1 छोटा चम्मच जीरा, 1 इलायची, 1 इंच दालचीनी, 2 लौंग, 1 तेज पत्ता, 1/4 छोटा चम्मच हल्दी पाउडर, 1/4 छोटा चम्मच गरम मसाला पाउडर, 2 छोटे चम्मच तेल, नमक - स्वादानुसार, 200 ग्राम पनीर - कटा हुआ, 2 बड़े चम्मच दही, 1 छोटा चम्मच"&amp;" लाल मिर्च पाउडर, 3 छोटे चम्मच बेसन, 1/2 छोटा चम्मच गरम मसाला पाउडर, 1/2 छोटा चम्मच कसूरी मेथी, 1 बड़ा चम्मच अदरक लहसुन पेस्ट, नारियल तेल - उपयोगानुसार")</f>
        <v>1-1/2 कप चावल, 1 प्याज, 1 हरी मिर्च, 1 छोटा चम्मच जीरा, 1 इलायची, 1 इंच दालचीनी, 2 लौंग, 1 तेज पत्ता, 1/4 छोटा चम्मच हल्दी पाउडर, 1/4 छोटा चम्मच गरम मसाला पाउडर, 2 छोटे चम्मच तेल, नमक - स्वादानुसार, 200 ग्राम पनीर - कटा हुआ, 2 बड़े चम्मच दही, 1 छोटा चम्मच लाल मिर्च पाउडर, 3 छोटे चम्मच बेसन, 1/2 छोटा चम्मच गरम मसाला पाउडर, 1/2 छोटा चम्मच कसूरी मेथी, 1 बड़ा चम्मच अदरक लहसुन पेस्ट, नारियल तेल - उपयोगानुसार</v>
      </c>
      <c r="H273" s="1" t="s">
        <v>32092</v>
      </c>
      <c r="I273" s="1" t="str">
        <f ca="1">IFERROR(__xludf.dummyfunction("IF(H273="""", """", GOOGLETRANSLATE(H273, ""en"", ""hi""))"),"""पनीर टिक्का पुलाव रेसिपी बनाने के लिए चावल को अच्छी तरह से धो लें। इसे 30 मिनट के लिए भिगो दें। पनीर को मैरीनेट करने के लिए सबसे पहले एक बाउल में दही, बेसन, अदरक लहसुन का पेस्ट, लाल मिर्च पाउडर, गरम मसाला पाउडर, नमक डालकर मिला लें। अब पनीर डालकर अच्छे स"&amp;"े मिला लें। 30 मिनट के लिए अलग रख दें। अब एक पैन गरम करें। इसमें तेल और पनीर के टुकड़े डालकर चारों तरफ से सुनहरा होने तक पकाएं। पैन से उतार लें और गैस बंद कर दें। अब एक पैन में तेल गरम करें। इसमें जीरा, दालचीनी, लौंग, इलायची, तेज पत्ता डालकर 1 मिनट तक पका"&amp;"एं। अब प्याज, हरी मिर्च डालें और प्याज के नरम होने तक पकाएं। प्याज के नरम होने के बाद इसमें पनीर टिक्का, हल्दी पाउडर, गरम मसाला पाउडर डालकर मिला लें। अब चावल, नमक डालकर मिला लें और 3 कप पानी डालें। गैस बंद कर दें और 2 से 3 सीटी आने तक पकाएं। गैस बंद कर दे"&amp;"ं और प्रेशर अपने आप निकल जाने दें। कुकर खोलें, मिलाएं और धनिया पत्ती से गार्निश करें। पनीर टिक्का पुलाव रेसिपी को सर्व करें रात के खाने के लिए बूंदी रायता, भिंडी रायता रेसिपी या अपनी पसंद का कोई भी रायता और पापड़। """)</f>
        <v>"पनीर टिक्का पुलाव रेसिपी बनाने के लिए चावल को अच्छी तरह से धो लें। इसे 30 मिनट के लिए भिगो दें। पनीर को मैरीनेट करने के लिए सबसे पहले एक बाउल में दही, बेसन, अदरक लहसुन का पेस्ट, लाल मिर्च पाउडर, गरम मसाला पाउडर, नमक डालकर मिला लें। अब पनीर डालकर अच्छे से मिला लें। 30 मिनट के लिए अलग रख दें। अब एक पैन गरम करें। इसमें तेल और पनीर के टुकड़े डालकर चारों तरफ से सुनहरा होने तक पकाएं। पैन से उतार लें और गैस बंद कर दें। अब एक पैन में तेल गरम करें। इसमें जीरा, दालचीनी, लौंग, इलायची, तेज पत्ता डालकर 1 मिनट तक पकाएं। अब प्याज, हरी मिर्च डालें और प्याज के नरम होने तक पकाएं। प्याज के नरम होने के बाद इसमें पनीर टिक्का, हल्दी पाउडर, गरम मसाला पाउडर डालकर मिला लें। अब चावल, नमक डालकर मिला लें और 3 कप पानी डालें। गैस बंद कर दें और 2 से 3 सीटी आने तक पकाएं। गैस बंद कर दें और प्रेशर अपने आप निकल जाने दें। कुकर खोलें, मिलाएं और धनिया पत्ती से गार्निश करें। पनीर टिक्का पुलाव रेसिपी को सर्व करें रात के खाने के लिए बूंदी रायता, भिंडी रायता रेसिपी या अपनी पसंद का कोई भी रायता और पापड़। "</v>
      </c>
      <c r="J273" s="3" t="s">
        <v>32093</v>
      </c>
      <c r="L273" s="1" t="s">
        <v>31003</v>
      </c>
    </row>
    <row r="274" spans="1:12" ht="13.8">
      <c r="A274" s="1" t="s">
        <v>32094</v>
      </c>
      <c r="B274" s="1" t="str">
        <f ca="1">IFERROR(__xludf.dummyfunction("IF(A274="""", """", GOOGLETRANSLATE(A274, ""en"", ""hi""))"),"थाई जैस्मिन स्टिकी राइस रेसिपी")</f>
        <v>थाई जैस्मिन स्टिकी राइस रेसिपी</v>
      </c>
      <c r="C274" s="1" t="s">
        <v>145</v>
      </c>
      <c r="D274" s="1" t="s">
        <v>14198</v>
      </c>
      <c r="E274" s="1">
        <v>50</v>
      </c>
      <c r="G274" s="1" t="str">
        <f ca="1">IFERROR(__xludf.dummyfunction("IF(F274="""", """", GOOGLETRANSLATE(F274, ""en"", ""hi""))"),"")</f>
        <v/>
      </c>
      <c r="H274" s="1" t="s">
        <v>32095</v>
      </c>
      <c r="I274" s="1" t="str">
        <f ca="1">IFERROR(__xludf.dummyfunction("IF(H274="""", """", GOOGLETRANSLATE(H274, ""en"", ""hi""))"),"थाई जैस्मिन राइस बनाने के लिए, हम चावल को सॉसपैन में पकाएंगे। सबसे पहले चावल को पानी से तीन से चार बार अच्छे से धो लें। चावल को सॉसपैन में डालें, नमक, एक चम्मच तेल और लगभग 2 कप पानी डालें। चावल को तेज उबाल आने दें। जैसे ही चावल में तेज उबाल आ जाए, आंच धीम"&amp;"ी कर दें, पैन को ढक दें और चावल को तब तक धीमी आंच पर पकाएं जब तक कि सारा पानी सोख न जाए। जब ​​पानी सोख लिया जाए, तो आंच बंद कर दें। चावल को अगले 10 मिनट तक पैन में ही रहने दें। इससे चावल को बैठने और फूलने में मदद मिलेगी। अपनी पसंदीदा थाई ग्रीन करी या थाई "&amp;"रेड करी के साथ गरमागरम या कमरे के तापमान पर परोसें।")</f>
        <v>थाई जैस्मिन राइस बनाने के लिए, हम चावल को सॉसपैन में पकाएंगे। सबसे पहले चावल को पानी से तीन से चार बार अच्छे से धो लें। चावल को सॉसपैन में डालें, नमक, एक चम्मच तेल और लगभग 2 कप पानी डालें। चावल को तेज उबाल आने दें। जैसे ही चावल में तेज उबाल आ जाए, आंच धीमी कर दें, पैन को ढक दें और चावल को तब तक धीमी आंच पर पकाएं जब तक कि सारा पानी सोख न जाए। जब ​​पानी सोख लिया जाए, तो आंच बंद कर दें। चावल को अगले 10 मिनट तक पैन में ही रहने दें। इससे चावल को बैठने और फूलने में मदद मिलेगी। अपनी पसंदीदा थाई ग्रीन करी या थाई रेड करी के साथ गरमागरम या कमरे के तापमान पर परोसें।</v>
      </c>
      <c r="J274" s="3" t="s">
        <v>32096</v>
      </c>
      <c r="L274" s="1" t="s">
        <v>31003</v>
      </c>
    </row>
    <row r="275" spans="1:12" ht="13.8">
      <c r="A275" s="1" t="s">
        <v>32097</v>
      </c>
      <c r="B275" s="1" t="str">
        <f ca="1">IFERROR(__xludf.dummyfunction("IF(A275="""", """", GOOGLETRANSLATE(A275, ""en"", ""hi""))"),"कच्चा केला और अजवाइन पराठा रेसिपी")</f>
        <v>कच्चा केला और अजवाइन पराठा रेसिपी</v>
      </c>
      <c r="C275" s="1" t="s">
        <v>16424</v>
      </c>
      <c r="D275" s="1" t="s">
        <v>14338</v>
      </c>
      <c r="E275" s="1">
        <v>40</v>
      </c>
      <c r="F275" s="1" t="s">
        <v>32098</v>
      </c>
      <c r="G275" s="1" t="str">
        <f ca="1">IFERROR(__xludf.dummyfunction("IF(F275="""", """", GOOGLETRANSLATE(F275, ""en"", ""hi""))"),"1 1/2 कप गेहूं का आटा, नमक - स्वादानुसार, 2 कच्चे केले - उबले और मसले हुए, 1 चम्मच अजवाइन, 2 चम्मच गरम मसाला पाउडर, 2 चम्मच आमचूर, 1 चम्मच धनिया पाउडर, 1/2 चम्मच हल्दी पाउडर, 2 हरी मिर्च - बारीक कटी हुई, 1 चम्मच चीनी, 2 टहनी धनिया - बारीक कटी हुई")</f>
        <v>1 1/2 कप गेहूं का आटा, नमक - स्वादानुसार, 2 कच्चे केले - उबले और मसले हुए, 1 चम्मच अजवाइन, 2 चम्मच गरम मसाला पाउडर, 2 चम्मच आमचूर, 1 चम्मच धनिया पाउडर, 1/2 चम्मच हल्दी पाउडर, 2 हरी मिर्च - बारीक कटी हुई, 1 चम्मच चीनी, 2 टहनी धनिया - बारीक कटी हुई</v>
      </c>
      <c r="H275" s="1" t="s">
        <v>32099</v>
      </c>
      <c r="I275" s="1" t="str">
        <f ca="1">IFERROR(__xludf.dummyfunction("IF(H275="""", """", GOOGLETRANSLATE(H275, ""en"", ""hi""))"),"हम प्रेशर कुकर में कच्चे केले को उबालकर कच्चे केले और अजवाइन पराठा रेसिपी बनाना शुरू करते हैं। केले को तीन टुकड़ों में काट लें, किनारों को हटा दें, इसे पानी और नमक के साथ लगभग 4 सीटी तक उबालें। एक बार हो जाने पर, दबाव को स्वाभाविक रूप से छोड़ दें, छिलका ह"&amp;"टा दें और इसे एक महीन पेस्ट में मैश कर लें। इसमें शेष सामग्री डालें और अच्छी तरह मिलाएँ। आटा गूंथने के लिए, सभी सामग्री को अच्छी तरह से नरम आटा गूंथ लें। अब पराठा बनाना शुरू करने के लिए, थोड़ा आटा छिड़कने के लिए अलग रख दें। आटे को बड़े नींबू की तरफ की गें"&amp;"दों में विभाजित करें। आटे के हिस्से को आटे में लपेटें, इसे चपटा करें और इसे 3 इंच व्यास के सर्कल में रोल करें। सर्कल के आधे हिस्से पर भरावन रखें और दूसरे आधे हिस्से से मोड़कर पराठे को बंद करें ध्यान रखें, अगर आटा बहुत पतला बेल लिया जाए तो भरावन बाहर निकल "&amp;"सकता है। अब पराठा पकाने के लिए, पहले मध्यम आँच पर तवे को गर्म करें। बेले हुए पराठे को उसके ऊपर रखें और एक तरफ से पकने दें। लगभग 10 से 15 सेकंड के बाद, पराठे को पलट दें। इस अवस्था में, पराठे को पकाने के लिए उस पर थोड़ा तेल या घी लगाएँ। पराठे को पलटते हुए त"&amp;"ब तक पकाएँ जब तक कि दोनों तरफ सुनहरे भूरे रंग के धब्बे न आ जाएँ। बचे हुए आटे के हिस्सों के साथ भी इसी तरह आगे बढ़ें और नाश्ते के लिए कच्चे केले और अजवाइन के पराठे की रेसिपी रायता और मीठे नींबू के अचार के साथ परोसें।")</f>
        <v>हम प्रेशर कुकर में कच्चे केले को उबालकर कच्चे केले और अजवाइन पराठा रेसिपी बनाना शुरू करते हैं। केले को तीन टुकड़ों में काट लें, किनारों को हटा दें, इसे पानी और नमक के साथ लगभग 4 सीटी तक उबालें। एक बार हो जाने पर, दबाव को स्वाभाविक रूप से छोड़ दें, छिलका हटा दें और इसे एक महीन पेस्ट में मैश कर लें। इसमें शेष सामग्री डालें और अच्छी तरह मिलाएँ। आटा गूंथने के लिए, सभी सामग्री को अच्छी तरह से नरम आटा गूंथ लें। अब पराठा बनाना शुरू करने के लिए, थोड़ा आटा छिड़कने के लिए अलग रख दें। आटे को बड़े नींबू की तरफ की गेंदों में विभाजित करें। आटे के हिस्से को आटे में लपेटें, इसे चपटा करें और इसे 3 इंच व्यास के सर्कल में रोल करें। सर्कल के आधे हिस्से पर भरावन रखें और दूसरे आधे हिस्से से मोड़कर पराठे को बंद करें ध्यान रखें, अगर आटा बहुत पतला बेल लिया जाए तो भरावन बाहर निकल सकता है। अब पराठा पकाने के लिए, पहले मध्यम आँच पर तवे को गर्म करें। बेले हुए पराठे को उसके ऊपर रखें और एक तरफ से पकने दें। लगभग 10 से 15 सेकंड के बाद, पराठे को पलट दें। इस अवस्था में, पराठे को पकाने के लिए उस पर थोड़ा तेल या घी लगाएँ। पराठे को पलटते हुए तब तक पकाएँ जब तक कि दोनों तरफ सुनहरे भूरे रंग के धब्बे न आ जाएँ। बचे हुए आटे के हिस्सों के साथ भी इसी तरह आगे बढ़ें और नाश्ते के लिए कच्चे केले और अजवाइन के पराठे की रेसिपी रायता और मीठे नींबू के अचार के साथ परोसें।</v>
      </c>
      <c r="J275" s="3" t="s">
        <v>32100</v>
      </c>
      <c r="L275" s="1" t="s">
        <v>31003</v>
      </c>
    </row>
    <row r="276" spans="1:12" ht="13.8">
      <c r="A276" s="1" t="s">
        <v>32101</v>
      </c>
      <c r="B276" s="1" t="str">
        <f ca="1">IFERROR(__xludf.dummyfunction("IF(A276="""", """", GOOGLETRANSLATE(A276, ""en"", ""hi""))"),"मसालेदार सोया कीमा मसाला रेसिपी")</f>
        <v>मसालेदार सोया कीमा मसाला रेसिपी</v>
      </c>
      <c r="C276" s="1" t="s">
        <v>429</v>
      </c>
      <c r="D276" s="1" t="s">
        <v>14237</v>
      </c>
      <c r="E276" s="1">
        <v>40</v>
      </c>
      <c r="F276" s="1" t="s">
        <v>32102</v>
      </c>
      <c r="G276" s="1" t="str">
        <f ca="1">IFERROR(__xludf.dummyfunction("IF(F276="""", """", GOOGLETRANSLATE(F276, ""en"", ""hi""))"),"2 कप सोया चंक्स (नगेट), 1 प्याज - कटा हुआ, 2 टमाटर - प्यूरी किए हुए, 3 हरी मिर्च - कटी हुई, 1 तेज पत्ता, 1 काली इलायची, 2 लौंग, 5 साबुत काली मिर्च, 1/2 इंच दालचीनी, 1 चम्मच अदरक लहसुन पेस्ट, 1 चम्मच हल्दी पाउडर, 1 चम्मच धनिया पाउडर, 1 चम्मच लाल मिर्च पाउड"&amp;"र, 1-1/2 बड़ा चम्मच गरम मसाला पाउडर, 1 बड़ा चम्मच नींबू का रस, नमक - स्वादानुसार, सूरजमुखी तेल - आवश्यकतानुसार")</f>
        <v>2 कप सोया चंक्स (नगेट), 1 प्याज - कटा हुआ, 2 टमाटर - प्यूरी किए हुए, 3 हरी मिर्च - कटी हुई, 1 तेज पत्ता, 1 काली इलायची, 2 लौंग, 5 साबुत काली मिर्च, 1/2 इंच दालचीनी, 1 चम्मच अदरक लहसुन पेस्ट, 1 चम्मच हल्दी पाउडर, 1 चम्मच धनिया पाउडर, 1 चम्मच लाल मिर्च पाउडर, 1-1/2 बड़ा चम्मच गरम मसाला पाउडर, 1 बड़ा चम्मच नींबू का रस, नमक - स्वादानुसार, सूरजमुखी तेल - आवश्यकतानुसार</v>
      </c>
      <c r="H276" s="1" t="s">
        <v>32103</v>
      </c>
      <c r="I276" s="1" t="str">
        <f ca="1">IFERROR(__xludf.dummyfunction("IF(H276="""", """", GOOGLETRANSLATE(H276, ""en"", ""hi""))"),"सोया कीमा मसाला रेसिपी बनाने के लिए सबसे पहले थोड़ा पानी उबालें और सोया चंक्स को 15 से 20 मिनट के लिए गर्म पानी में भिगो दें। जब चंक्स ने पानी पूरी तरह सोख लिया हो तो उन्हें बाहर निकालें और निचोड़ कर अतिरिक्त पानी निकाल दें। सभी सोया चंक्स को ग्राइंडर का "&amp;"उपयोग करके बारीक काट लें लेकिन ध्यान रहे कि चंक्स ज्यादा न पीसें। एक भारी तले की कड़ाही में तेल गर्म करें और जब तेल तैयार हो जाए तो उसमें जीरा डालें। जब जीरा चटकने लगे तो उसमें तेज पत्ता, बड़ी इलायची, लौंग, काली मिर्च, दालचीनी डालें और 2 मिनट तक भूनें। अब"&amp;" पैन में बारीक कटा प्याज डालें और 5-7 मिनट तक या जब तक वे सुनहरे गुलाबी रंग के न हो जाएं तब तक पकाएं। अगला कदम हल्दी पाउडर, धनिया पाउडर, लाल मिर्च पाउडर डालना इसके बाद, पैन में टमाटर प्यूरी डालें और धीमी आंच पर लगभग 5 मिनट तक पकाएं। पैन में कटा हुआ सोया, "&amp;"नमक और गरम मसाला पाउडर, नींबू का रस डालें और इसे अच्छी तरह हिलाएं। इसे 5 मिनट तक पकाएं और सुनिश्चित करें कि सोया नीचे चिपक नहीं रहा है। 1/2 कप पानी डालें, पैन को ढक दें और धीमी आंच पर 5 मिनट तक पकाएं। 5 मिनट के बाद, जांचें कि क्या सोया का कच्चा स्वाद चला "&amp;"गया है, अगर यह अभी भी है तो थोड़ा और पानी डालें और 5 मिनट तक पकाएं। इसे ताजे धनिया पत्तों से गार्निश करें और इसे कुछ चपाती या नान के साथ गर्मागर्म सर्व करें। सोया कीमा मसाला रेसिपी को पूरे गेहूं के लच्छा पराठे और टमाटर प्याज ककड़ी रायता के साथ सप्ताह के द"&amp;"िनों के भोजन के लिए परोसें।")</f>
        <v>सोया कीमा मसाला रेसिपी बनाने के लिए सबसे पहले थोड़ा पानी उबालें और सोया चंक्स को 15 से 20 मिनट के लिए गर्म पानी में भिगो दें। जब चंक्स ने पानी पूरी तरह सोख लिया हो तो उन्हें बाहर निकालें और निचोड़ कर अतिरिक्त पानी निकाल दें। सभी सोया चंक्स को ग्राइंडर का उपयोग करके बारीक काट लें लेकिन ध्यान रहे कि चंक्स ज्यादा न पीसें। एक भारी तले की कड़ाही में तेल गर्म करें और जब तेल तैयार हो जाए तो उसमें जीरा डालें। जब जीरा चटकने लगे तो उसमें तेज पत्ता, बड़ी इलायची, लौंग, काली मिर्च, दालचीनी डालें और 2 मिनट तक भूनें। अब पैन में बारीक कटा प्याज डालें और 5-7 मिनट तक या जब तक वे सुनहरे गुलाबी रंग के न हो जाएं तब तक पकाएं। अगला कदम हल्दी पाउडर, धनिया पाउडर, लाल मिर्च पाउडर डालना इसके बाद, पैन में टमाटर प्यूरी डालें और धीमी आंच पर लगभग 5 मिनट तक पकाएं। पैन में कटा हुआ सोया, नमक और गरम मसाला पाउडर, नींबू का रस डालें और इसे अच्छी तरह हिलाएं। इसे 5 मिनट तक पकाएं और सुनिश्चित करें कि सोया नीचे चिपक नहीं रहा है। 1/2 कप पानी डालें, पैन को ढक दें और धीमी आंच पर 5 मिनट तक पकाएं। 5 मिनट के बाद, जांचें कि क्या सोया का कच्चा स्वाद चला गया है, अगर यह अभी भी है तो थोड़ा और पानी डालें और 5 मिनट तक पकाएं। इसे ताजे धनिया पत्तों से गार्निश करें और इसे कुछ चपाती या नान के साथ गर्मागर्म सर्व करें। सोया कीमा मसाला रेसिपी को पूरे गेहूं के लच्छा पराठे और टमाटर प्याज ककड़ी रायता के साथ सप्ताह के दिनों के भोजन के लिए परोसें।</v>
      </c>
      <c r="J276" s="3" t="s">
        <v>32104</v>
      </c>
      <c r="L276" s="1" t="s">
        <v>31003</v>
      </c>
    </row>
    <row r="277" spans="1:12" ht="13.8">
      <c r="A277" s="1" t="s">
        <v>32105</v>
      </c>
      <c r="B277" s="1" t="str">
        <f ca="1">IFERROR(__xludf.dummyfunction("IF(A277="""", """", GOOGLETRANSLATE(A277, ""en"", ""hi""))"),"मेथी चमन रेसिपी - गहरे हरे पत्तेदार सब्जियों पर आधारित ग्रेवी में पनीर")</f>
        <v>मेथी चमन रेसिपी - गहरे हरे पत्तेदार सब्जियों पर आधारित ग्रेवी में पनीर</v>
      </c>
      <c r="C277" s="1" t="s">
        <v>14207</v>
      </c>
      <c r="D277" s="1" t="s">
        <v>14198</v>
      </c>
      <c r="E277" s="1">
        <v>40</v>
      </c>
      <c r="F277" s="1" t="s">
        <v>32106</v>
      </c>
      <c r="G277" s="1" t="str">
        <f ca="1">IFERROR(__xludf.dummyfunction("IF(F277="""", """", GOOGLETRANSLATE(F277, ""en"", ""hi""))"),"1 कप मेथी के पत्ते - कसकर पैक, 1 कप पालक के पत्ते (पालक) - कसकर पैक, 150 ग्राम पनीर - टुकड़ों में कटा हुआ, 2 हरी मिर्च, 1 प्याज - बारीक कटा हुआ, 1 चम्मच जीरा (जीरा), 3 बड़े चम्मच सरसों का तेल, 1/4 चम्मच हल्दी पाउडर (हल्दी), 1 चम्मच धनिया पाउडर (धनिया), 1/"&amp;"2 चम्मच गरम मसाला पाउडर, 1/3 कप ताजा क्रीम, पानी - आवश्यकतानुसार, नमक - स्वादानुसार")</f>
        <v>1 कप मेथी के पत्ते - कसकर पैक, 1 कप पालक के पत्ते (पालक) - कसकर पैक, 150 ग्राम पनीर - टुकड़ों में कटा हुआ, 2 हरी मिर्च, 1 प्याज - बारीक कटा हुआ, 1 चम्मच जीरा (जीरा), 3 बड़े चम्मच सरसों का तेल, 1/4 चम्मच हल्दी पाउडर (हल्दी), 1 चम्मच धनिया पाउडर (धनिया), 1/2 चम्मच गरम मसाला पाउडर, 1/3 कप ताजा क्रीम, पानी - आवश्यकतानुसार, नमक - स्वादानुसार</v>
      </c>
      <c r="H277" s="1" t="s">
        <v>32107</v>
      </c>
      <c r="I277" s="1" t="str">
        <f ca="1">IFERROR(__xludf.dummyfunction("IF(H277="""", """", GOOGLETRANSLATE(H277, ""en"", ""hi""))"),"मेथी चमन रेसिपी - पनीर इन डार्क लीफ़ी ग्रीन्स बेस्ड ग्रेवी बनाने के लिए, एक सॉस पैन में थोड़ा नमक डालकर पानी उबालें। जब पानी उबल जाए, तो स्टोव बंद कर दें। साफ की हुई मेथी, पालक के पत्ते सॉस पैन में डालें और 5 मिनट के लिए ढककर रख दें। 5 मिनट के बाद, मेथी औ"&amp;"र पालक के पत्तों को छान लें और उन्हें ठंडे पानी से धो लें। बाद में उपयोग के लिए लगभग 1/2 कप स्टॉक बचा कर रखें। एक ब्लेंडर लें और उसमें हरी मिर्च, उबाला हुआ पालक, मेथी के पत्ते डालें और बारीक प्यूरी होने तक पीस लें, एक तरफ रख दें। एक कढ़ाई गरम करें, उसमें "&amp;"सरसों का तेल डालें, जीरा, प्याज डालें और पारदर्शी होने तक भूनें। हल्दी पाउडर, धनिया पाउडर डालें और कच्ची महक जाने तक भूनें। अब मेथी पालक प्यूरी, आवश्यक नमक डालें और मध्यम आंच पर 3-4 मिनट तक भूनें। आरक्षित साग स्टॉक, लगभग 1/2 कप डालें और 2 मिनट या पकने तक "&amp;"धीमी आंच पर पकाएँ। पनीर के टुकड़े, गरम मसाला डालें और मिलाएँ, मेथी चमन को 3 मिनट तक ढककर पकाएँ। चूल्हे को बंद कर दें और अंत में मेथी में ताज़ा क्रीम मिलाएँ। मेथी चमन रेसिपी को शकरकंद की रोटी या बचे हुए दाल के पराठे")</f>
        <v>मेथी चमन रेसिपी - पनीर इन डार्क लीफ़ी ग्रीन्स बेस्ड ग्रेवी बनाने के लिए, एक सॉस पैन में थोड़ा नमक डालकर पानी उबालें। जब पानी उबल जाए, तो स्टोव बंद कर दें। साफ की हुई मेथी, पालक के पत्ते सॉस पैन में डालें और 5 मिनट के लिए ढककर रख दें। 5 मिनट के बाद, मेथी और पालक के पत्तों को छान लें और उन्हें ठंडे पानी से धो लें। बाद में उपयोग के लिए लगभग 1/2 कप स्टॉक बचा कर रखें। एक ब्लेंडर लें और उसमें हरी मिर्च, उबाला हुआ पालक, मेथी के पत्ते डालें और बारीक प्यूरी होने तक पीस लें, एक तरफ रख दें। एक कढ़ाई गरम करें, उसमें सरसों का तेल डालें, जीरा, प्याज डालें और पारदर्शी होने तक भूनें। हल्दी पाउडर, धनिया पाउडर डालें और कच्ची महक जाने तक भूनें। अब मेथी पालक प्यूरी, आवश्यक नमक डालें और मध्यम आंच पर 3-4 मिनट तक भूनें। आरक्षित साग स्टॉक, लगभग 1/2 कप डालें और 2 मिनट या पकने तक धीमी आंच पर पकाएँ। पनीर के टुकड़े, गरम मसाला डालें और मिलाएँ, मेथी चमन को 3 मिनट तक ढककर पकाएँ। चूल्हे को बंद कर दें और अंत में मेथी में ताज़ा क्रीम मिलाएँ। मेथी चमन रेसिपी को शकरकंद की रोटी या बचे हुए दाल के पराठे</v>
      </c>
      <c r="J277" s="3" t="s">
        <v>32108</v>
      </c>
      <c r="L277" s="1" t="s">
        <v>31003</v>
      </c>
    </row>
    <row r="278" spans="1:12" ht="13.8">
      <c r="A278" s="1" t="s">
        <v>32109</v>
      </c>
      <c r="B278" s="1" t="str">
        <f ca="1">IFERROR(__xludf.dummyfunction("IF(A278="""", """", GOOGLETRANSLATE(A278, ""en"", ""hi""))"),"मसालादार मूंगफली तिल वाले आलू रेसिपी")</f>
        <v>मसालादार मूंगफली तिल वाले आलू रेसिपी</v>
      </c>
      <c r="C278" s="1" t="s">
        <v>14207</v>
      </c>
      <c r="D278" s="1" t="s">
        <v>14198</v>
      </c>
      <c r="E278" s="1">
        <v>20</v>
      </c>
      <c r="F278" s="1" t="s">
        <v>32110</v>
      </c>
      <c r="G278" s="1" t="str">
        <f ca="1">IFERROR(__xludf.dummyfunction("IF(F278="""", """", GOOGLETRANSLATE(F278, ""en"", ""hi""))"),"2 छोटे चम्मच तिल, 3 बड़े चम्मच कच्ची मूंगफली, 15 छोटे आलू, नमक - स्वादानुसार, 1-1/2 बड़े चम्मच सूरजमुखी तेल, 1 छोटा चम्मच जीरा, 1 हरी मिर्च - कटी हुई, 1 इंच अदरक - कटा हुआ, 4 लहसुन - बारीक कटा हुआ, 1 छोटा चम्मच जीरा, 1 छोटा चम्मच लाल मिर्च पाउडर, 1 छोटा च"&amp;"म्मच गरम मसाला पाउडर, 2 छोटे चम्मच नींबू का रस, 1 बड़ा चम्मच धनिया - कटा हुआ, 1 बड़ा चम्मच पुदीना - कटा हुआ, 1 छोटा चम्मच चाट मसाला पाउडर")</f>
        <v>2 छोटे चम्मच तिल, 3 बड़े चम्मच कच्ची मूंगफली, 15 छोटे आलू, नमक - स्वादानुसार, 1-1/2 बड़े चम्मच सूरजमुखी तेल, 1 छोटा चम्मच जीरा, 1 हरी मिर्च - कटी हुई, 1 इंच अदरक - कटा हुआ, 4 लहसुन - बारीक कटा हुआ, 1 छोटा चम्मच जीरा, 1 छोटा चम्मच लाल मिर्च पाउडर, 1 छोटा चम्मच गरम मसाला पाउडर, 2 छोटे चम्मच नींबू का रस, 1 बड़ा चम्मच धनिया - कटा हुआ, 1 बड़ा चम्मच पुदीना - कटा हुआ, 1 छोटा चम्मच चाट मसाला पाउडर</v>
      </c>
      <c r="H278" s="1" t="s">
        <v>32111</v>
      </c>
      <c r="I278" s="1" t="str">
        <f ca="1">IFERROR(__xludf.dummyfunction("IF(H278="""", """", GOOGLETRANSLATE(H278, ""en"", ""hi""))"),"मसालेदार मूंगफली तिलवाले आलू रेसिपी बनाने के लिए, छोटे आलू को धोकर 1 सीटी आने तक पकाएँ और प्रेशर निकाल दें। पानी निथारकर अलग रख दें। एक पैन में मध्यम आँच पर तेल गरम करें, उसमें जीरा, हरी मिर्च और अदरक डालें। जब बीज रंग बदलने लगें, तो लहसुन का पेस्ट डालें "&amp;"और दो या तीन मिनट तक भूनें। अब छिलके सहित मूंगफली और उबले आलू डालें और मूंगफली और आलू के अच्छी तरह भुन जाने तक पैन में भूनें। जब आलू का छिलका अच्छा कुरकुरा हो जाए, तो उसमें तिल, जीरा पाउडर, मिर्च पाउडर, गरम मसाला पाउडर और नमक डालें। लगातार हिलाते हुए पाँच"&amp;" मिनट तक पकाएँ। अंत में नींबू का रस, धनिया और पुदीने के पत्ते डालकर हिलाएं और आंच बंद कर दें। आपका मसालेदार मूंगफली तिलवाले आलू परोसने के लिए तैयार है। इस मसालेदार मूंगफली तिलवाले आलू को दाल बंजारा रेसिपी (लंगर वाली दाल) और पुदीना तवा पराठा रेसिपी (पुदीना"&amp;" पत्ती स्किलेट फ्लैट ब्रेड) के साथ सप्ताह के दिनों के भोजन के लिए परोसें।")</f>
        <v>मसालेदार मूंगफली तिलवाले आलू रेसिपी बनाने के लिए, छोटे आलू को धोकर 1 सीटी आने तक पकाएँ और प्रेशर निकाल दें। पानी निथारकर अलग रख दें। एक पैन में मध्यम आँच पर तेल गरम करें, उसमें जीरा, हरी मिर्च और अदरक डालें। जब बीज रंग बदलने लगें, तो लहसुन का पेस्ट डालें और दो या तीन मिनट तक भूनें। अब छिलके सहित मूंगफली और उबले आलू डालें और मूंगफली और आलू के अच्छी तरह भुन जाने तक पैन में भूनें। जब आलू का छिलका अच्छा कुरकुरा हो जाए, तो उसमें तिल, जीरा पाउडर, मिर्च पाउडर, गरम मसाला पाउडर और नमक डालें। लगातार हिलाते हुए पाँच मिनट तक पकाएँ। अंत में नींबू का रस, धनिया और पुदीने के पत्ते डालकर हिलाएं और आंच बंद कर दें। आपका मसालेदार मूंगफली तिलवाले आलू परोसने के लिए तैयार है। इस मसालेदार मूंगफली तिलवाले आलू को दाल बंजारा रेसिपी (लंगर वाली दाल) और पुदीना तवा पराठा रेसिपी (पुदीना पत्ती स्किलेट फ्लैट ब्रेड) के साथ सप्ताह के दिनों के भोजन के लिए परोसें।</v>
      </c>
      <c r="J278" s="3" t="s">
        <v>32112</v>
      </c>
      <c r="L278" s="1" t="s">
        <v>31003</v>
      </c>
    </row>
    <row r="279" spans="1:12" ht="13.8">
      <c r="A279" s="1" t="s">
        <v>32113</v>
      </c>
      <c r="B279" s="1" t="str">
        <f ca="1">IFERROR(__xludf.dummyfunction("IF(A279="""", """", GOOGLETRANSLATE(A279, ""en"", ""hi""))"),"मेथी और पुदीना आलू सब्ज़ी रेसिपी")</f>
        <v>मेथी और पुदीना आलू सब्ज़ी रेसिपी</v>
      </c>
      <c r="C279" s="1" t="s">
        <v>145</v>
      </c>
      <c r="D279" s="1" t="s">
        <v>14198</v>
      </c>
      <c r="E279" s="1">
        <v>35</v>
      </c>
      <c r="F279" s="1" t="s">
        <v>32114</v>
      </c>
      <c r="G279" s="1" t="str">
        <f ca="1">IFERROR(__xludf.dummyfunction("IF(F279="""", """", GOOGLETRANSLATE(F279, ""en"", ""hi""))"),"3 आलू - छीलकर टुकड़ों में कटे हुए, 250 ग्राम मेथी के पत्ते - धोकर कटे हुए, 250 ग्राम पुदीना के पत्ते - धोकर कटे हुए, 1 प्याज - पतले टुकड़ों में कटा हुआ, 1 टमाटर - प्यूरी किया हुआ, 1 इंच अदरक - कद्दूकस किया हुआ, 1 चम्मच हल्दी पाउडर, 1 चम्मच गरम मसाला पाउडर"&amp;", 1 चम्मच धनिया पाउडर, नमक - स्वादानुसार, लाल मिर्च पाउडर - स्वादानुसार, 1 चम्मच जीरा, सूरजमुखी का तेल - पकाने के लिए")</f>
        <v>3 आलू - छीलकर टुकड़ों में कटे हुए, 250 ग्राम मेथी के पत्ते - धोकर कटे हुए, 250 ग्राम पुदीना के पत्ते - धोकर कटे हुए, 1 प्याज - पतले टुकड़ों में कटा हुआ, 1 टमाटर - प्यूरी किया हुआ, 1 इंच अदरक - कद्दूकस किया हुआ, 1 चम्मच हल्दी पाउडर, 1 चम्मच गरम मसाला पाउडर, 1 चम्मच धनिया पाउडर, नमक - स्वादानुसार, लाल मिर्च पाउडर - स्वादानुसार, 1 चम्मच जीरा, सूरजमुखी का तेल - पकाने के लिए</v>
      </c>
      <c r="H279" s="1" t="s">
        <v>32115</v>
      </c>
      <c r="I279" s="1" t="str">
        <f ca="1">IFERROR(__xludf.dummyfunction("IF(H279="""", """", GOOGLETRANSLATE(H279, ""en"", ""hi""))"),"आलू मेथी और पुदीना सब्ज़ी रेसिपी बनाने की शुरुआत दो चरणों में करें। सबसे पहले हम आलू को भूनकर अलग रख देंगे। हम प्याज़, टमाटर, पुदीना और मेथी के पत्तों को भून लेंगे और फिर इसे भुने हुए आलू में मिला देंगे। पहले चरण में; एक भारी तले की कड़ाही में एक बड़ा चम्"&amp;"मच तेल गर्म करें; उसमें जीरा और उबले हुए कटे हुए आलू डालें। थोड़ा नमक और एक चुटकी हल्दी पाउडर छिड़कें और मध्यम आँच पर तब तक भूनें जब तक आप देखें कि आलू सुनहरे भूरे रंग के होने लगे हैं।आलू को तब तक अलग रख दें जब तक आप देखें कि प्याज़ और पत्ते भुन न जाएँ। ए"&amp;"क छोटे पैन या कड़ाही में एक चम्मच तेल गर्म करें; उसमें प्याज़ और अदरक डालें। धीमी से मध्यम आँच पर तब तक भूनें जब तक आप देखें कि प्याज़ नरम हो गए हैं और हल्के भूरे हो गए हैं।कटे हुए टमाटर डालें, थोड़ा नमक छिड़कें मेथी के पत्ते और पुदीना डालें और तब तक भूने"&amp;"ं जब तक कि पत्ते मुरझाकर नरम न हो जाएँ। बहुत ज़्यादा न भूनें, क्योंकि इससे पत्ते अपना हरा रंग खो देंगे। भुने हुए आलू डालें और मध्यम आँच पर तब तक भूनें जब तक कि सभी सामग्री आलू के साथ अच्छी तरह से मिल न जाएँ। इस अवस्था में आँच बंद कर दें। भुने हुए आलू को उ"&amp;"सी पैन में अलग रख दें। आलू मेथी और पुदीना सब्ज़ी को एक सर्विंग डिश में डालें। मेथी और पुदीना आलू सब्ज़ी रेसिपी को तवा पराठा और पंजाबी कढ़ी पकौड़े के साथ रात के खाने के लिए परोसें।")</f>
        <v>आलू मेथी और पुदीना सब्ज़ी रेसिपी बनाने की शुरुआत दो चरणों में करें। सबसे पहले हम आलू को भूनकर अलग रख देंगे। हम प्याज़, टमाटर, पुदीना और मेथी के पत्तों को भून लेंगे और फिर इसे भुने हुए आलू में मिला देंगे। पहले चरण में; एक भारी तले की कड़ाही में एक बड़ा चम्मच तेल गर्म करें; उसमें जीरा और उबले हुए कटे हुए आलू डालें। थोड़ा नमक और एक चुटकी हल्दी पाउडर छिड़कें और मध्यम आँच पर तब तक भूनें जब तक आप देखें कि आलू सुनहरे भूरे रंग के होने लगे हैं।आलू को तब तक अलग रख दें जब तक आप देखें कि प्याज़ और पत्ते भुन न जाएँ। एक छोटे पैन या कड़ाही में एक चम्मच तेल गर्म करें; उसमें प्याज़ और अदरक डालें। धीमी से मध्यम आँच पर तब तक भूनें जब तक आप देखें कि प्याज़ नरम हो गए हैं और हल्के भूरे हो गए हैं।कटे हुए टमाटर डालें, थोड़ा नमक छिड़कें मेथी के पत्ते और पुदीना डालें और तब तक भूनें जब तक कि पत्ते मुरझाकर नरम न हो जाएँ। बहुत ज़्यादा न भूनें, क्योंकि इससे पत्ते अपना हरा रंग खो देंगे। भुने हुए आलू डालें और मध्यम आँच पर तब तक भूनें जब तक कि सभी सामग्री आलू के साथ अच्छी तरह से मिल न जाएँ। इस अवस्था में आँच बंद कर दें। भुने हुए आलू को उसी पैन में अलग रख दें। आलू मेथी और पुदीना सब्ज़ी को एक सर्विंग डिश में डालें। मेथी और पुदीना आलू सब्ज़ी रेसिपी को तवा पराठा और पंजाबी कढ़ी पकौड़े के साथ रात के खाने के लिए परोसें।</v>
      </c>
      <c r="J279" s="3" t="s">
        <v>32116</v>
      </c>
      <c r="L279" s="1" t="s">
        <v>31003</v>
      </c>
    </row>
    <row r="280" spans="1:12" ht="409.6">
      <c r="A280" s="1" t="s">
        <v>32117</v>
      </c>
      <c r="B280" s="1" t="str">
        <f ca="1">IFERROR(__xludf.dummyfunction("IF(A280="""", """", GOOGLETRANSLATE(A280, ""en"", ""hi""))"),"भुने प्याज का गोश्त रेसिपी - भुने प्याज और मसालों के साथ मटन करी")</f>
        <v>भुने प्याज का गोश्त रेसिपी - भुने प्याज और मसालों के साथ मटन करी</v>
      </c>
      <c r="C280" s="1" t="s">
        <v>14259</v>
      </c>
      <c r="D280" s="1" t="s">
        <v>14382</v>
      </c>
      <c r="E280" s="1">
        <v>60</v>
      </c>
      <c r="F280" s="1" t="s">
        <v>32118</v>
      </c>
      <c r="G280" s="1" t="str">
        <f ca="1">IFERROR(__xludf.dummyfunction("IF(F280="""", """", GOOGLETRANSLATE(F280, ""en"", ""hi""))"),"300 ग्राम मटन - हड्डी सहित, 3/4 कप दही, नमक - स्वादानुसार, 1/2 छोटा चम्मच हल्दी पाउडर, 2 बड़े चम्मच सूरजमुखी तेल, 1/2 इंच दालचीनी, 1 लौंग, 1 इलायची, 1/2 छोटा चम्मच जीरा, 3 प्याज - पतले कटे हुए, 2 इंच अदरक - बारीक कटा हुआ, 6 लहसुन - बारीक कटा हुआ, 1/2 कप घ"&amp;"र का बना टमाटर प्यूरी, नमक - स्वादानुसार, 1 हरी मिर्च, 1 छोटा चम्मच लाल मिर्च पाउडर, 1 छोटा चम्मच जीरा, 1 छोटा चम्मच धनिया, 2 बड़े चम्मच घी, 1 इंच दालचीनी पाउडर, 1 तेज पत्ता, 1 इलायची, 1 लौंग, 1 छोटा चम्मच गरम मसाला पाउडर,1/4 चम्मच जायफल पाउडर")</f>
        <v>300 ग्राम मटन - हड्डी सहित, 3/4 कप दही, नमक - स्वादानुसार, 1/2 छोटा चम्मच हल्दी पाउडर, 2 बड़े चम्मच सूरजमुखी तेल, 1/2 इंच दालचीनी, 1 लौंग, 1 इलायची, 1/2 छोटा चम्मच जीरा, 3 प्याज - पतले कटे हुए, 2 इंच अदरक - बारीक कटा हुआ, 6 लहसुन - बारीक कटा हुआ, 1/2 कप घर का बना टमाटर प्यूरी, नमक - स्वादानुसार, 1 हरी मिर्च, 1 छोटा चम्मच लाल मिर्च पाउडर, 1 छोटा चम्मच जीरा, 1 छोटा चम्मच धनिया, 2 बड़े चम्मच घी, 1 इंच दालचीनी पाउडर, 1 तेज पत्ता, 1 इलायची, 1 लौंग, 1 छोटा चम्मच गरम मसाला पाउडर,1/4 चम्मच जायफल पाउडर</v>
      </c>
      <c r="H280" s="1" t="s">
        <v>32119</v>
      </c>
      <c r="I280" s="4" t="str">
        <f ca="1">IFERROR(__xludf.dummyfunction("IF(H280="""", """", GOOGLETRANSLATE(H280, ""en"", ""hi""))"),"भुने प्याज़ का गोश्त बनाने के लिए सबसे पहले हम मटन को मैरीनेट करेंगे. मटन के टुकड़ों को अच्छे से धोकर साफ कर लें. पानी को पूरी तरह से निकाल दें. एक मिक्सिंग बाउल में मटन के टुकड़ों को नमक, हल्दी पाउडर और दही के साथ मिला लें. अच्छी तरह मिला लें और मैरीनेट "&amp;"को मटन में लगाकर ज़रूरत तक के लिए अलग रख दें. भुने प्याज़ के गोश्त की ग्रेवी बनाने के लिए एक पैन में मध्यम आँच पर तेल गर्म करें, इसमें दालचीनी, लौंग, इलायची और जीरा डालें. जब साबुत मसाले तड़कने लगें तो इसमें कटा हुआ प्याज़ और नमक डालें और हल्का भूरा होने "&amp;"तक भूनें. मध्यम आँच पर इसे पकाने में 3-4 मिनट का समय लगेगा. जब प्याज़ लगभग भूरा हो जाए तो इसमें अदरक, हरी मिर्च और लहसुन डालें इसे अच्छे से मिलाएं और टमाटर प्यूरी में डालें। भूने प्याज मसाला को लगभग एक या दो मिनट तक पकाएं और आंच बंद कर दें। भूने प्याज मसा"&amp;"ला को कमरे के तापमान पर आने दें। भूने प्याज मसाला को मिक्सर-जार में डालें और थोड़े पानी का उपयोग करके मुलायम पेस्ट बना लें। सुनिश्चित करें कि आपका मिश्रण गाढ़ा हो। मध्यम आंच पर घी के साथ प्रेशर कुकर गरम करें, कुकर में दालचीनी, तेज पत्ता, इलायची और लौंग डा"&amp;"लें। इसमें मैरिनेड के साथ मैरीनेट किया हुआ मटन डालें और 10 मिनट तक पकाते रहें। मटन को अपने रस में 10 मिनट पकाने के बाद, ताजा पीसा भूने प्याज मसाला और जायफल और गरम मसाला पाउडर डालें प्रेशर कुकर खोलें, भुने प्याज का गोश्त को हिलाएं, नमक और मसालों की जांच कर"&amp;"ें और स्वाद के अनुसार समायोजित करें। भुने प्याज का गोश्त को एक सर्विंग बाउल में डालें और गरमागरम परोसें। भुने प्याज का गोश्त को पनीर लहसुन नान रेसिपी, पुदीना धनिया मसाला पुलाव रेसिपी, मसालेदार प्याज और हांडी बिरयानी रेसिपी के साथ चिकन के साथ परोसें। ठंडाई"&amp;" कुल्फी रेसिपी - होली रेसिपी को मिठाई के रूप में परोसें। 
")</f>
        <v xml:space="preserve">भुने प्याज़ का गोश्त बनाने के लिए सबसे पहले हम मटन को मैरीनेट करेंगे. मटन के टुकड़ों को अच्छे से धोकर साफ कर लें. पानी को पूरी तरह से निकाल दें. एक मिक्सिंग बाउल में मटन के टुकड़ों को नमक, हल्दी पाउडर और दही के साथ मिला लें. अच्छी तरह मिला लें और मैरीनेट को मटन में लगाकर ज़रूरत तक के लिए अलग रख दें. भुने प्याज़ के गोश्त की ग्रेवी बनाने के लिए एक पैन में मध्यम आँच पर तेल गर्म करें, इसमें दालचीनी, लौंग, इलायची और जीरा डालें. जब साबुत मसाले तड़कने लगें तो इसमें कटा हुआ प्याज़ और नमक डालें और हल्का भूरा होने तक भूनें. मध्यम आँच पर इसे पकाने में 3-4 मिनट का समय लगेगा. जब प्याज़ लगभग भूरा हो जाए तो इसमें अदरक, हरी मिर्च और लहसुन डालें इसे अच्छे से मिलाएं और टमाटर प्यूरी में डालें। भूने प्याज मसाला को लगभग एक या दो मिनट तक पकाएं और आंच बंद कर दें। भूने प्याज मसाला को कमरे के तापमान पर आने दें। भूने प्याज मसाला को मिक्सर-जार में डालें और थोड़े पानी का उपयोग करके मुलायम पेस्ट बना लें। सुनिश्चित करें कि आपका मिश्रण गाढ़ा हो। मध्यम आंच पर घी के साथ प्रेशर कुकर गरम करें, कुकर में दालचीनी, तेज पत्ता, इलायची और लौंग डालें। इसमें मैरिनेड के साथ मैरीनेट किया हुआ मटन डालें और 10 मिनट तक पकाते रहें। मटन को अपने रस में 10 मिनट पकाने के बाद, ताजा पीसा भूने प्याज मसाला और जायफल और गरम मसाला पाउडर डालें प्रेशर कुकर खोलें, भुने प्याज का गोश्त को हिलाएं, नमक और मसालों की जांच करें और स्वाद के अनुसार समायोजित करें। भुने प्याज का गोश्त को एक सर्विंग बाउल में डालें और गरमागरम परोसें। भुने प्याज का गोश्त को पनीर लहसुन नान रेसिपी, पुदीना धनिया मसाला पुलाव रेसिपी, मसालेदार प्याज और हांडी बिरयानी रेसिपी के साथ चिकन के साथ परोसें। ठंडाई कुल्फी रेसिपी - होली रेसिपी को मिठाई के रूप में परोसें। 
</v>
      </c>
      <c r="J280" s="3" t="s">
        <v>32120</v>
      </c>
      <c r="L280" s="1" t="s">
        <v>31003</v>
      </c>
    </row>
    <row r="281" spans="1:12" ht="13.8">
      <c r="A281" s="1" t="s">
        <v>32121</v>
      </c>
      <c r="B281" s="1" t="str">
        <f ca="1">IFERROR(__xludf.dummyfunction("IF(A281="""", """", GOOGLETRANSLATE(A281, ""en"", ""hi""))"),"आलू ब्रेड पकौड़ा रेसिपी")</f>
        <v>आलू ब्रेड पकौड़ा रेसिपी</v>
      </c>
      <c r="C281" s="1" t="s">
        <v>14281</v>
      </c>
      <c r="D281" s="1" t="s">
        <v>14198</v>
      </c>
      <c r="E281" s="1">
        <v>40</v>
      </c>
      <c r="F281" s="1" t="s">
        <v>32122</v>
      </c>
      <c r="G281" s="1" t="str">
        <f ca="1">IFERROR(__xludf.dummyfunction("IF(F281="""", """", GOOGLETRANSLATE(F281, ""en"", ""hi""))"),"8 गेहूं की ब्राउन ब्रेड, 1 कप धनिया पत्ती, 1 कप पुदीना पत्ती, 1/4 कप करी पत्ता, 2 हरी मिर्च, 1 इंच अदरक - कटा हुआ, 1/4 कप भुनी हुई मूंगफली, 1 बड़ा चम्मच चीनी, 1 नींबू - रस निकाला हुआ, 1/4 कप पानी, नमक - स्वादानुसार, 4 आलू - उबले और मसले हुए, 2 प्याज - बार"&amp;"ीक कटे हुए, 3 हरी मिर्च - बारीक कटी हुई, 2 चम्मच जीरा पाउडर, 1 चम्मच लाल मिर्च पाउडर, 1/2 चम्मच हल्दी पाउडर, 1 चम्मच अमचूर, 2 चम्मच चाट मसाला पाउडर, धनिया पत्ती - छोटा गुच्छा, नमक - स्वादानुसार, 2 कप बेसन, 1/4 कप चावल का आटा, 2 चम्मच अजवाइन, 1 चम्मच लाल म"&amp;"िर्च पाउडर, 1/2 चम्मच हल्दी पाउडर (हल्दी), 1/4 चम्मच हींग, 1/2 चम्मच इनोस फ्रूट साल्ट, नमक - स्वादानुसार, पानी - आवश्यकतानुसार, सूरजमुखी तेल - तलने के लिए")</f>
        <v>8 गेहूं की ब्राउन ब्रेड, 1 कप धनिया पत्ती, 1 कप पुदीना पत्ती, 1/4 कप करी पत्ता, 2 हरी मिर्च, 1 इंच अदरक - कटा हुआ, 1/4 कप भुनी हुई मूंगफली, 1 बड़ा चम्मच चीनी, 1 नींबू - रस निकाला हुआ, 1/4 कप पानी, नमक - स्वादानुसार, 4 आलू - उबले और मसले हुए, 2 प्याज - बारीक कटे हुए, 3 हरी मिर्च - बारीक कटी हुई, 2 चम्मच जीरा पाउडर, 1 चम्मच लाल मिर्च पाउडर, 1/2 चम्मच हल्दी पाउडर, 1 चम्मच अमचूर, 2 चम्मच चाट मसाला पाउडर, धनिया पत्ती - छोटा गुच्छा, नमक - स्वादानुसार, 2 कप बेसन, 1/4 कप चावल का आटा, 2 चम्मच अजवाइन, 1 चम्मच लाल मिर्च पाउडर, 1/2 चम्मच हल्दी पाउडर (हल्दी), 1/4 चम्मच हींग, 1/2 चम्मच इनोस फ्रूट साल्ट, नमक - स्वादानुसार, पानी - आवश्यकतानुसार, सूरजमुखी तेल - तलने के लिए</v>
      </c>
      <c r="H281" s="1" t="s">
        <v>32123</v>
      </c>
      <c r="I281" s="1" t="str">
        <f ca="1">IFERROR(__xludf.dummyfunction("IF(H281="""", """", GOOGLETRANSLATE(H281, ""en"", ""hi""))"),"आलू ब्रेड पकौड़ा रेसिपी बनाने के लिए सबसे पहले हम हरी चटनी बनाएंगे। एक मिक्सर ग्राइंडर में धनिया पत्ती, पुदीना, करी पत्ता, भुनी मूंगफली, नींबू का रस, चीनी, स्वादानुसार नमक और पानी डालें। एक चिकनी चटनी बनाने के लिए ब्लेंड करें। एक कटोरे में डालें और एक तरफ"&amp;" रख दें। इसके बाद हम आलू का भरावन बनाएंगे। एक बड़े कटोरे में उबले और मसले हुए आलू, प्याज, हरी मिर्च, लाल मिर्च पाउडर, हल्दी पाउडर, जीरा पाउडर, अमचूर पाउडर, चाट मसाला, स्वादानुसार नमक और धनिया पत्ती डालें। अच्छी तरह मिलाएँ। इसे एक तरफ रख दें। अब हम पकौड़े "&amp;"का घोल बनाएंगे। एक मिक्सिंग बाउल में बेसन, चावल का आटा, नमक, लाल मिर्च पाउडर, हल्दी पाउडर, हींग, इनोस फ्रूट सॉल्ट, अजवाइन और स्वादानुसार नमक डालें आलू ब्रेड पकौड़ा बनाने के लिए एक गहरे फ्राइंग पैन में तेल गर्म करें। एक सपाट सतह पर 2 ब्रेड स्लाइस रखें। दोन"&amp;"ों स्लाइस पर थोड़ी हरी पुदीने की चटनी लगाएं। एक स्लाइस पर समान रूप से आलू का भरावन फैलाएं। दूसरे स्लाइस को सैंडविच की तरह ऊपर रखें और इसे एक साथ रखने के लिए धीरे से दबाएं। यदि आप चाहें तो ब्रेड स्लाइस के किनारों को ट्रिम करें और तिरछे त्रिकोण में काट लें।"&amp;" अब भरवां ब्रेड सैंडविच को बैटर में डुबोएं और सुनिश्चित करें कि यह सभी तरफ से अच्छी तरह से लेपित हो। सावधानी से गर्म तेल में डालें और आलू ब्रेड पकौड़े को सुनहरा भूरा और सभी तरफ से कुरकुरा होने तक तल लें। एक बार हो जाने पर अतिरिक्त तेल निकालने के लिए आलू ब"&amp;"्रेड पकौड़े को एक तेल सोखने वाले पेपर पर निकाल लें और गर्मागर्म परोसें")</f>
        <v>आलू ब्रेड पकौड़ा रेसिपी बनाने के लिए सबसे पहले हम हरी चटनी बनाएंगे। एक मिक्सर ग्राइंडर में धनिया पत्ती, पुदीना, करी पत्ता, भुनी मूंगफली, नींबू का रस, चीनी, स्वादानुसार नमक और पानी डालें। एक चिकनी चटनी बनाने के लिए ब्लेंड करें। एक कटोरे में डालें और एक तरफ रख दें। इसके बाद हम आलू का भरावन बनाएंगे। एक बड़े कटोरे में उबले और मसले हुए आलू, प्याज, हरी मिर्च, लाल मिर्च पाउडर, हल्दी पाउडर, जीरा पाउडर, अमचूर पाउडर, चाट मसाला, स्वादानुसार नमक और धनिया पत्ती डालें। अच्छी तरह मिलाएँ। इसे एक तरफ रख दें। अब हम पकौड़े का घोल बनाएंगे। एक मिक्सिंग बाउल में बेसन, चावल का आटा, नमक, लाल मिर्च पाउडर, हल्दी पाउडर, हींग, इनोस फ्रूट सॉल्ट, अजवाइन और स्वादानुसार नमक डालें आलू ब्रेड पकौड़ा बनाने के लिए एक गहरे फ्राइंग पैन में तेल गर्म करें। एक सपाट सतह पर 2 ब्रेड स्लाइस रखें। दोनों स्लाइस पर थोड़ी हरी पुदीने की चटनी लगाएं। एक स्लाइस पर समान रूप से आलू का भरावन फैलाएं। दूसरे स्लाइस को सैंडविच की तरह ऊपर रखें और इसे एक साथ रखने के लिए धीरे से दबाएं। यदि आप चाहें तो ब्रेड स्लाइस के किनारों को ट्रिम करें और तिरछे त्रिकोण में काट लें। अब भरवां ब्रेड सैंडविच को बैटर में डुबोएं और सुनिश्चित करें कि यह सभी तरफ से अच्छी तरह से लेपित हो। सावधानी से गर्म तेल में डालें और आलू ब्रेड पकौड़े को सुनहरा भूरा और सभी तरफ से कुरकुरा होने तक तल लें। एक बार हो जाने पर अतिरिक्त तेल निकालने के लिए आलू ब्रेड पकौड़े को एक तेल सोखने वाले पेपर पर निकाल लें और गर्मागर्म परोसें</v>
      </c>
      <c r="J281" s="3" t="s">
        <v>32124</v>
      </c>
      <c r="L281" s="1" t="s">
        <v>31003</v>
      </c>
    </row>
    <row r="282" spans="1:12" ht="409.6">
      <c r="A282" s="1" t="s">
        <v>32125</v>
      </c>
      <c r="B282" s="1" t="str">
        <f ca="1">IFERROR(__xludf.dummyfunction("IF(A282="""", """", GOOGLETRANSLATE(A282, ""en"", ""hi""))"),"अचारी कद्दू की सब्जी रेसिपी")</f>
        <v>अचारी कद्दू की सब्जी रेसिपी</v>
      </c>
      <c r="C282" s="1" t="s">
        <v>145</v>
      </c>
      <c r="D282" s="1" t="s">
        <v>14198</v>
      </c>
      <c r="E282" s="1">
        <v>40</v>
      </c>
      <c r="F282" s="1" t="s">
        <v>32126</v>
      </c>
      <c r="G282" s="1" t="str">
        <f ca="1">IFERROR(__xludf.dummyfunction("IF(F282="""", """", GOOGLETRANSLATE(F282, ""en"", ""hi""))"),"500 ग्राम कद्दू - 1 इंच के टुकड़ों में कटा हुआ, 1 इंच अदरक - बारीक कटा हुआ, 1 चम्मच लहसुन - बारीक कटा हुआ, 1/4 चम्मच मेथी के बीज (मेथी के बीज), 1/2 चम्मच सरसों के बीज, 1 चम्मच सौंफ (सौंफ), 1 चम्मच जीरा (जीरा), 1/4 चम्मच कलौंजी (प्याज निगेला बीज), 1 चुटकी "&amp;"हींग (हिंग), 2 हरी मिर्च - कटी हुई, 1 चम्मच लाल मिर्च पाउडर, 1 चम्मच आमचूर (सूखा आम पाउडर), 1 चम्मच हल्दी पाउडर (हल्दी), 1 चम्मच गरम मसाला पाउडर, सूरजमुखी तेल, नमक - स्वादानुसार, 1 चम्मच पंजाबी स्टाइल आम का अचार - केवल मसाला का उपयोग करें और टुकड़ों का नह"&amp;"ीं, 2 टहनी धनिया (धनिया) के पत्ते - बारीक कटा हुआ")</f>
        <v>500 ग्राम कद्दू - 1 इंच के टुकड़ों में कटा हुआ, 1 इंच अदरक - बारीक कटा हुआ, 1 चम्मच लहसुन - बारीक कटा हुआ, 1/4 चम्मच मेथी के बीज (मेथी के बीज), 1/2 चम्मच सरसों के बीज, 1 चम्मच सौंफ (सौंफ), 1 चम्मच जीरा (जीरा), 1/4 चम्मच कलौंजी (प्याज निगेला बीज), 1 चुटकी हींग (हिंग), 2 हरी मिर्च - कटी हुई, 1 चम्मच लाल मिर्च पाउडर, 1 चम्मच आमचूर (सूखा आम पाउडर), 1 चम्मच हल्दी पाउडर (हल्दी), 1 चम्मच गरम मसाला पाउडर, सूरजमुखी तेल, नमक - स्वादानुसार, 1 चम्मच पंजाबी स्टाइल आम का अचार - केवल मसाला का उपयोग करें और टुकड़ों का नहीं, 2 टहनी धनिया (धनिया) के पत्ते - बारीक कटा हुआ</v>
      </c>
      <c r="H282" s="1" t="s">
        <v>32127</v>
      </c>
      <c r="I282" s="4" t="str">
        <f ca="1">IFERROR(__xludf.dummyfunction("IF(H282="""", """", GOOGLETRANSLATE(H282, ""en"", ""hi""))"),"अचारी कद्दू की सब्जी बनाने के लिए सबसे पहले कद्दू को 1.4 कप पानी और नमक के साथ मिलाएं और 1 सीटी आने तक प्रेशर कुक करें। आंच बंद कर दें। बचा हुआ पानी निथार लें और कद्दू को एक कटोरे में निकाल लें। मध्यम आंच पर एक कड़ाही में तेल गर्म करें, उसमें राई, मेथी के"&amp;" दाने, सौंफ, प्याज के बीज और जीरा डालें और उन्हें तड़कने दें। एक चुटकी हींग डालें, फिर अदरक, लहसुन और हरी मिर्च डालें और कुछ सेकंड के लिए भूनें। थोड़ा नमक छिड़कें और अन्य मसाले- लाल मिर्च पाउडर, अमचूर पाउडर, हल्दी पाउडर और गरम मसाला डालें। केवल पंजाबी अचा"&amp;"र का मसाला/ग्रेवी डालें। अंत में पके हुए कद्दू के टुकड़े, धनिया पत्ती डालें और अचारी कद्दू की सब्जी को अच्छे से हिलाएं। अपने दोपहर के भोजन का आनंद लेने के लिए अचारी कद्दू की सब्जी रेसिपी को फुल्का और दाल बंजारा रेसिपी - लंगर वाली दाल के साथ परोसें।
")</f>
        <v xml:space="preserve">अचारी कद्दू की सब्जी बनाने के लिए सबसे पहले कद्दू को 1.4 कप पानी और नमक के साथ मिलाएं और 1 सीटी आने तक प्रेशर कुक करें। आंच बंद कर दें। बचा हुआ पानी निथार लें और कद्दू को एक कटोरे में निकाल लें। मध्यम आंच पर एक कड़ाही में तेल गर्म करें, उसमें राई, मेथी के दाने, सौंफ, प्याज के बीज और जीरा डालें और उन्हें तड़कने दें। एक चुटकी हींग डालें, फिर अदरक, लहसुन और हरी मिर्च डालें और कुछ सेकंड के लिए भूनें। थोड़ा नमक छिड़कें और अन्य मसाले- लाल मिर्च पाउडर, अमचूर पाउडर, हल्दी पाउडर और गरम मसाला डालें। केवल पंजाबी अचार का मसाला/ग्रेवी डालें। अंत में पके हुए कद्दू के टुकड़े, धनिया पत्ती डालें और अचारी कद्दू की सब्जी को अच्छे से हिलाएं। अपने दोपहर के भोजन का आनंद लेने के लिए अचारी कद्दू की सब्जी रेसिपी को फुल्का और दाल बंजारा रेसिपी - लंगर वाली दाल के साथ परोसें।
</v>
      </c>
      <c r="J282" s="3" t="s">
        <v>32128</v>
      </c>
      <c r="L282" s="1" t="s">
        <v>31003</v>
      </c>
    </row>
    <row r="283" spans="1:12" ht="13.8">
      <c r="A283" s="1" t="s">
        <v>32129</v>
      </c>
      <c r="B283" s="1" t="str">
        <f ca="1">IFERROR(__xludf.dummyfunction("IF(A283="""", """", GOOGLETRANSLATE(A283, ""en"", ""hi""))"),"वन पॉट बटर चिकन खिचड़ी रेसिपी")</f>
        <v>वन पॉट बटर चिकन खिचड़ी रेसिपी</v>
      </c>
      <c r="C283" s="1" t="s">
        <v>15208</v>
      </c>
      <c r="D283" s="1" t="s">
        <v>14382</v>
      </c>
      <c r="E283" s="1">
        <v>35</v>
      </c>
      <c r="F283" s="1" t="s">
        <v>32130</v>
      </c>
      <c r="G283" s="1" t="str">
        <f ca="1">IFERROR(__xludf.dummyfunction("IF(F283="""", """", GOOGLETRANSLATE(F283, ""en"", ""hi""))"),"2 बड़े चम्मच मक्खन, 1 तेज पत्ता, 4 साबुत काली मिर्च, 1 छोटा चम्मच जीरा, 1 इलायची, 2 लौंग, 1 चक्रफूल, 1 इंच दालचीनी, 2 इंच अदरक - बारीक कटा हुआ, 2 हरी मिर्च - लम्बाई में कटी हुई, 6 लहसुन की कलियाँ - कुटी हुई, 1 प्याज - पतला कटा हुआ, 1 टमाटर - बारीक कटा हुआ"&amp;", ¼ कप दही, ¼ कप टमाटर प्यूरी, 1 कप चिकन ब्रेस्ट - लम्बाई में कटा हुआ, 2 छोटा चम्मच कसूरी मेथी, नमक - स्वादानुसार, 2 छोटा चम्मच लाल मिर्च पाउडर, 2 छोटा चम्मच तंदूरी चिकन मसाला, 2 छोटा चम्मच जीरा पाउडर, 1 कप चावल - धोकर पानी में भिगोया हुआ, 3 1/2 कप पानी, "&amp;"2 छोटा चम्मच गरम मसाला पाउडर, धनिया पत्ती - बारीक कटी हुई, पुदीने की पत्ती - बारीक कटी हुई")</f>
        <v>2 बड़े चम्मच मक्खन, 1 तेज पत्ता, 4 साबुत काली मिर्च, 1 छोटा चम्मच जीरा, 1 इलायची, 2 लौंग, 1 चक्रफूल, 1 इंच दालचीनी, 2 इंच अदरक - बारीक कटा हुआ, 2 हरी मिर्च - लम्बाई में कटी हुई, 6 लहसुन की कलियाँ - कुटी हुई, 1 प्याज - पतला कटा हुआ, 1 टमाटर - बारीक कटा हुआ, ¼ कप दही, ¼ कप टमाटर प्यूरी, 1 कप चिकन ब्रेस्ट - लम्बाई में कटा हुआ, 2 छोटा चम्मच कसूरी मेथी, नमक - स्वादानुसार, 2 छोटा चम्मच लाल मिर्च पाउडर, 2 छोटा चम्मच तंदूरी चिकन मसाला, 2 छोटा चम्मच जीरा पाउडर, 1 कप चावल - धोकर पानी में भिगोया हुआ, 3 1/2 कप पानी, 2 छोटा चम्मच गरम मसाला पाउडर, धनिया पत्ती - बारीक कटी हुई, पुदीने की पत्ती - बारीक कटी हुई</v>
      </c>
      <c r="H283" s="1" t="s">
        <v>32131</v>
      </c>
      <c r="I283" s="1" t="str">
        <f ca="1">IFERROR(__xludf.dummyfunction("IF(H283="""", """", GOOGLETRANSLATE(H283, ""en"", ""hi""))"),"वन पॉट बटर चिकन खिचड़ी रेसिपी बनाने के लिए सबसे पहले चिकन को अच्छे से धोकर काट लें। अब धीमी आंच पर प्रेशर कुकर में मक्खन गर्म करें। इसमें तेजपत्ता, जीरा, इलायची, चक्र फूल, लौंग, दालचीनी डालकर अच्छे से मिला लें। 1 मिनट बाद इसमें अदरक, लहसुन, हरी मिर्च डालक"&amp;"र 1 मिनट तक पकाएं। अब इसमें प्याज डालकर नरम होने तक पकाएं। प्याज के नरम होने के बाद इसमें टमाटर, टमाटर प्यूरी डालकर 3 से 4 मिनट तक पकने दें। अब इसमें लाल मिर्च पाउडर, तंदूरी चिकन मसाला पाउडर, गरम मसाला पाउडर, धनिया पाउडर डालकर 2 से 3 मिनट तक पकने दें। अब "&amp;"इसमें दही, चिकन डालकर 3 से 4 मिनट तक पकाएं। 4 मिनट बाद इसमें चावल, आवश्यकतानुसार पानी, धनिया, पुदीना डालकर मिलाएं और कुकर बंद कर दें। 3 सीटी आने तक पकाएं और गैस बंद कर दें। प्रेशर अपने आप निकलने दें। कुकर खोलें, इसे एक बाउल में निकालें और सर्व करें। वन पॉ"&amp;"ट बटर चिकन खिचड़ी रेसिपी को बुरानी रायता और पापड़ के साथ डिनर में सर्व करें।")</f>
        <v>वन पॉट बटर चिकन खिचड़ी रेसिपी बनाने के लिए सबसे पहले चिकन को अच्छे से धोकर काट लें। अब धीमी आंच पर प्रेशर कुकर में मक्खन गर्म करें। इसमें तेजपत्ता, जीरा, इलायची, चक्र फूल, लौंग, दालचीनी डालकर अच्छे से मिला लें। 1 मिनट बाद इसमें अदरक, लहसुन, हरी मिर्च डालकर 1 मिनट तक पकाएं। अब इसमें प्याज डालकर नरम होने तक पकाएं। प्याज के नरम होने के बाद इसमें टमाटर, टमाटर प्यूरी डालकर 3 से 4 मिनट तक पकने दें। अब इसमें लाल मिर्च पाउडर, तंदूरी चिकन मसाला पाउडर, गरम मसाला पाउडर, धनिया पाउडर डालकर 2 से 3 मिनट तक पकने दें। अब इसमें दही, चिकन डालकर 3 से 4 मिनट तक पकाएं। 4 मिनट बाद इसमें चावल, आवश्यकतानुसार पानी, धनिया, पुदीना डालकर मिलाएं और कुकर बंद कर दें। 3 सीटी आने तक पकाएं और गैस बंद कर दें। प्रेशर अपने आप निकलने दें। कुकर खोलें, इसे एक बाउल में निकालें और सर्व करें। वन पॉट बटर चिकन खिचड़ी रेसिपी को बुरानी रायता और पापड़ के साथ डिनर में सर्व करें।</v>
      </c>
      <c r="J283" s="3" t="s">
        <v>32132</v>
      </c>
      <c r="L283" s="1" t="s">
        <v>31003</v>
      </c>
    </row>
    <row r="284" spans="1:12" ht="13.8">
      <c r="A284" s="1" t="s">
        <v>32133</v>
      </c>
      <c r="B284" s="1" t="str">
        <f ca="1">IFERROR(__xludf.dummyfunction("IF(A284="""", """", GOOGLETRANSLATE(A284, ""en"", ""hi""))"),"वेज मक्खनवाला रेसिपी - उत्तर भारतीय मिश्रित सब्जियों की ग्रेवी")</f>
        <v>वेज मक्खनवाला रेसिपी - उत्तर भारतीय मिश्रित सब्जियों की ग्रेवी</v>
      </c>
      <c r="C284" s="1" t="s">
        <v>145</v>
      </c>
      <c r="D284" s="1" t="s">
        <v>14198</v>
      </c>
      <c r="E284" s="1">
        <v>45</v>
      </c>
      <c r="F284" s="1" t="s">
        <v>32134</v>
      </c>
      <c r="G284" s="1" t="str">
        <f ca="1">IFERROR(__xludf.dummyfunction("IF(F284="""", """", GOOGLETRANSLATE(F284, ""en"", ""hi""))"),"1 बड़ा चम्मच मक्खन, नमक - स्वादानुसार, 1/4 कप गाजर - 1 इंच के विकर्ण में कटी हुई, 1/4 कप हरी बेल मिर्च (शिमला मिर्च) - 1 इंच के विकर्ण में कटी हुई, 1/4 कप हरी बीन्स (फ्रेंच बीन्स) - 1 इंच के विकर्ण में कटी हुई, 1/4 कप बेबी कॉर्न - 1 इंच के विकर्ण में कटी "&amp;"हुई, 1/4 कप फूलगोभी (गोबी) - छोटे फूल, 1 बड़ा चम्मच मक्खन, 2 लौंग, 1 इलायची की फली/बीज, 1 इंच दालचीनी पाउडर (दालचीनी), 2 कश्मीरी सूखी लाल मिर्च, 1 चम्मच धनिया के बीज, 1/2 चम्मच साबुत काली मिर्च, 6 काजू, 5 लहसुन की कलियां, 1 इंच अदरक, 1 हरी मिर्च, 2 प्याज "&amp;"- बारीक कटा हुआ, नमक - स्वादानुसार, 1 चम्मच कश्मीरी लाल मिर्च पाउडर, 1/4 चम्मच हल्दी पाउडर (हल्दी), 1 चम्मच जीरा पाउडर (जीरा), 1 चम्मच गरम मसाला पाउडर, 1 कप घर का बना टमाटर प्यूरी, 2 बड़े चम्मच ताजा क्रीम, मक्खन - परोसने के लिए")</f>
        <v>1 बड़ा चम्मच मक्खन, नमक - स्वादानुसार, 1/4 कप गाजर - 1 इंच के विकर्ण में कटी हुई, 1/4 कप हरी बेल मिर्च (शिमला मिर्च) - 1 इंच के विकर्ण में कटी हुई, 1/4 कप हरी बीन्स (फ्रेंच बीन्स) - 1 इंच के विकर्ण में कटी हुई, 1/4 कप बेबी कॉर्न - 1 इंच के विकर्ण में कटी हुई, 1/4 कप फूलगोभी (गोबी) - छोटे फूल, 1 बड़ा चम्मच मक्खन, 2 लौंग, 1 इलायची की फली/बीज, 1 इंच दालचीनी पाउडर (दालचीनी), 2 कश्मीरी सूखी लाल मिर्च, 1 चम्मच धनिया के बीज, 1/2 चम्मच साबुत काली मिर्च, 6 काजू, 5 लहसुन की कलियां, 1 इंच अदरक, 1 हरी मिर्च, 2 प्याज - बारीक कटा हुआ, नमक - स्वादानुसार, 1 चम्मच कश्मीरी लाल मिर्च पाउडर, 1/4 चम्मच हल्दी पाउडर (हल्दी), 1 चम्मच जीरा पाउडर (जीरा), 1 चम्मच गरम मसाला पाउडर, 1 कप घर का बना टमाटर प्यूरी, 2 बड़े चम्मच ताजा क्रीम, मक्खन - परोसने के लिए</v>
      </c>
      <c r="H284" s="1" t="s">
        <v>32135</v>
      </c>
      <c r="I284" s="1" t="str">
        <f ca="1">IFERROR(__xludf.dummyfunction("IF(H284="""", """", GOOGLETRANSLATE(H284, ""en"", ""hi""))"),"वेज मक्खनवाला रेसिपी बनाने के लिए सबसे पहले एक कड़ाही को साफ करके मध्यम आंच पर मक्खन लगाकर गर्म करें, उसमें सभी सब्जियां - गाजर, शिमला मिर्च, बेबीकॉर्न, बीन्स और फूलगोभी डालें। लगभग 5 मिनट तक भूनें, जब तक कि सब्जियां पक न जाएं फिर भी उनमें कुरकुरापन रह जा"&amp;"ए। आंच बंद कर दें और एक तरफ रख दें। मध्यम आंच पर एक भारी तले की कड़ाही में मक्खन गर्म करें, उसमें दालचीनी, लौंग, इलायची, काली मिर्च, साबुत सूखी लाल मिर्च, धनिया के बीज और काजू डालें। कुछ सेकंड के लिए भूनें, जब तक कि सुगंध हवा में न फैल जाए। इस स्तर पर लहस"&amp;"ुन, अदरक, हरी मिर्च, प्याज डालें और पकाते रहें। एक बार प्याज एक प्यारे भूरे रंग में बदल जाए, आंच बंद कर दें मध्यम आंच पर मक्खन के साथ एक कढ़ाई गरम करें, इस गर्म मक्खन में सूखे मसाले पाउडर डालें - नमक, हल्दी पाउडर, लाल मिर्च पाउडर, जीरा पाउडर, गरम मसाला पा"&amp;"उडर और इसे अच्छी तरह मिलाएँ। अब कढ़ाई में ताज़ा पिसा मसाला डालें, ढक दें और 3-4 मिनट तक पकाएँ। इसमें टमाटर प्यूरी डालें और इसे तेज़ उबाल लें। वेज मक्खनवाला ग्रेवी में बुलबुले उठने लगेंगे, अब इसमें क्रीम डालें और इसे अच्छे से हिलाएं। उबलती हुई वेज मक्खनवाल"&amp;"ा ग्रेवी में भूनी हुई सब्जियाँ डालें, ढक दें और पकाते रहें। कढ़ाई को ढक दें और वेज मक्खनवाला को धीमी आंच पर पांच मिनट तक पकाएं और आंच बंद कर दें वेज मक्खनवाला ग्रेवी की स्थिरता को थोड़े से दूध के साथ समायोजित करें। वेज मक्खनवाला को एक सर्विंग बाउल में डाल"&amp;"ें, ऊपर से मक्खन डालें और गरमागरम परोसें। वेज मक्खनवाला रेसिपी को क्रीमी दाल मखनी रेसिपी, तवा पराठा और काले नमक के साथ बूंदी रायता रेसिपी के साथ किसी खास पार्टी या वीकेंड डिनर के लिए परोसें। आप इस स्वादिष्ट उत्तर भारतीय भोजन का समापन रिच और स्वादिष्ट शाही"&amp;" टुकड़ा रेसिपी के साथ कर सकते हैं।")</f>
        <v>वेज मक्खनवाला रेसिपी बनाने के लिए सबसे पहले एक कड़ाही को साफ करके मध्यम आंच पर मक्खन लगाकर गर्म करें, उसमें सभी सब्जियां - गाजर, शिमला मिर्च, बेबीकॉर्न, बीन्स और फूलगोभी डालें। लगभग 5 मिनट तक भूनें, जब तक कि सब्जियां पक न जाएं फिर भी उनमें कुरकुरापन रह जाए। आंच बंद कर दें और एक तरफ रख दें। मध्यम आंच पर एक भारी तले की कड़ाही में मक्खन गर्म करें, उसमें दालचीनी, लौंग, इलायची, काली मिर्च, साबुत सूखी लाल मिर्च, धनिया के बीज और काजू डालें। कुछ सेकंड के लिए भूनें, जब तक कि सुगंध हवा में न फैल जाए। इस स्तर पर लहसुन, अदरक, हरी मिर्च, प्याज डालें और पकाते रहें। एक बार प्याज एक प्यारे भूरे रंग में बदल जाए, आंच बंद कर दें मध्यम आंच पर मक्खन के साथ एक कढ़ाई गरम करें, इस गर्म मक्खन में सूखे मसाले पाउडर डालें - नमक, हल्दी पाउडर, लाल मिर्च पाउडर, जीरा पाउडर, गरम मसाला पाउडर और इसे अच्छी तरह मिलाएँ। अब कढ़ाई में ताज़ा पिसा मसाला डालें, ढक दें और 3-4 मिनट तक पकाएँ। इसमें टमाटर प्यूरी डालें और इसे तेज़ उबाल लें। वेज मक्खनवाला ग्रेवी में बुलबुले उठने लगेंगे, अब इसमें क्रीम डालें और इसे अच्छे से हिलाएं। उबलती हुई वेज मक्खनवाला ग्रेवी में भूनी हुई सब्जियाँ डालें, ढक दें और पकाते रहें। कढ़ाई को ढक दें और वेज मक्खनवाला को धीमी आंच पर पांच मिनट तक पकाएं और आंच बंद कर दें वेज मक्खनवाला ग्रेवी की स्थिरता को थोड़े से दूध के साथ समायोजित करें। वेज मक्खनवाला को एक सर्विंग बाउल में डालें, ऊपर से मक्खन डालें और गरमागरम परोसें। वेज मक्खनवाला रेसिपी को क्रीमी दाल मखनी रेसिपी, तवा पराठा और काले नमक के साथ बूंदी रायता रेसिपी के साथ किसी खास पार्टी या वीकेंड डिनर के लिए परोसें। आप इस स्वादिष्ट उत्तर भारतीय भोजन का समापन रिच और स्वादिष्ट शाही टुकड़ा रेसिपी के साथ कर सकते हैं।</v>
      </c>
      <c r="J284" s="3" t="s">
        <v>32136</v>
      </c>
      <c r="L284" s="1" t="s">
        <v>31003</v>
      </c>
    </row>
    <row r="285" spans="1:12" ht="13.8">
      <c r="A285" s="1" t="s">
        <v>32137</v>
      </c>
      <c r="B285" s="1" t="str">
        <f ca="1">IFERROR(__xludf.dummyfunction("IF(A285="""", """", GOOGLETRANSLATE(A285, ""en"", ""hi""))"),"आलू मटर पुदीना टिक्की रेसिपी")</f>
        <v>आलू मटर पुदीना टिक्की रेसिपी</v>
      </c>
      <c r="C285" s="1" t="s">
        <v>14572</v>
      </c>
      <c r="D285" s="1" t="s">
        <v>14198</v>
      </c>
      <c r="E285" s="1">
        <v>50</v>
      </c>
      <c r="F285" s="1" t="s">
        <v>32138</v>
      </c>
      <c r="G285" s="1" t="str">
        <f ca="1">IFERROR(__xludf.dummyfunction("IF(F285="""", """", GOOGLETRANSLATE(F285, ""en"", ""hi""))"),"1 कप हरी मटर - भाप से पकी हुई, 3 आलू - उबालकर छील लें, 2 शकरकंद - उबालकर छील लें, 1 चम्मच अदरक - कद्दूकस कर लें, 2 हरी मिर्च - बारीक कटी हुई, 1 प्याज - बारीक कटा हुआ, 2 बड़े चम्मच हरी चटनी, 1 चम्मच मक्के का आटा, 3/4 कप ब्रेड क्रम्ब्स, तेल - आवश्यकतानुसार,"&amp;" नमक - स्वादानुसार")</f>
        <v>1 कप हरी मटर - भाप से पकी हुई, 3 आलू - उबालकर छील लें, 2 शकरकंद - उबालकर छील लें, 1 चम्मच अदरक - कद्दूकस कर लें, 2 हरी मिर्च - बारीक कटी हुई, 1 प्याज - बारीक कटा हुआ, 2 बड़े चम्मच हरी चटनी, 1 चम्मच मक्के का आटा, 3/4 कप ब्रेड क्रम्ब्स, तेल - आवश्यकतानुसार, नमक - स्वादानुसार</v>
      </c>
      <c r="H285" s="1" t="s">
        <v>32139</v>
      </c>
      <c r="I285" s="1" t="str">
        <f ca="1">IFERROR(__xludf.dummyfunction("IF(H285="""", """", GOOGLETRANSLATE(H285, ""en"", ""hi""))"),"""आलू मटर पुदीना टिक्की रेसिपी बनाने के लिए सबसे पहले एक फूड प्रोसेसर में आलू, शकरकंद, हरी मटर, अदरक, हरी मिर्च, प्याज़, हरी चटनी, नमक, कॉर्न फ्लोर डालकर पीस लें। बीच में एक बार अच्छे से मिलाएँ और फिर से पीस लें। अब इस मिश्रण को एक प्याले में निकाल लें। अ"&amp;"पनी हथेली पर थोड़ा तेल लगाकर कबाब बना लें। फिर इन कबाब को ब्रेड क्रम्ब्स में डुबोकर सींक पर लगाएँ। इन्हें बेकिंग ट्रे पर रखें और ग्रिलिंग के लिए पहले से गरम ओवन में रख दें। 200 डिग्री सेल्सियस पर 15 मिनट तक ग्रिल करें। सर्व करें। आलू मटर पुदीना टिक्की रेस"&amp;"िपी को हरी चटनी और इमली की चटनी के साथ सर्व करें। इसे एक कप अदरक की चाय के साथ सर्व करें।""")</f>
        <v>"आलू मटर पुदीना टिक्की रेसिपी बनाने के लिए सबसे पहले एक फूड प्रोसेसर में आलू, शकरकंद, हरी मटर, अदरक, हरी मिर्च, प्याज़, हरी चटनी, नमक, कॉर्न फ्लोर डालकर पीस लें। बीच में एक बार अच्छे से मिलाएँ और फिर से पीस लें। अब इस मिश्रण को एक प्याले में निकाल लें। अपनी हथेली पर थोड़ा तेल लगाकर कबाब बना लें। फिर इन कबाब को ब्रेड क्रम्ब्स में डुबोकर सींक पर लगाएँ। इन्हें बेकिंग ट्रे पर रखें और ग्रिलिंग के लिए पहले से गरम ओवन में रख दें। 200 डिग्री सेल्सियस पर 15 मिनट तक ग्रिल करें। सर्व करें। आलू मटर पुदीना टिक्की रेसिपी को हरी चटनी और इमली की चटनी के साथ सर्व करें। इसे एक कप अदरक की चाय के साथ सर्व करें।"</v>
      </c>
      <c r="J285" s="3" t="s">
        <v>32140</v>
      </c>
      <c r="L285" s="1" t="s">
        <v>31003</v>
      </c>
    </row>
    <row r="286" spans="1:12" ht="13.8">
      <c r="A286" s="1" t="s">
        <v>32141</v>
      </c>
      <c r="B286" s="1" t="str">
        <f ca="1">IFERROR(__xludf.dummyfunction("IF(A286="""", """", GOOGLETRANSLATE(A286, ""en"", ""hi""))"),"सोया कीमा आलू पराठा रेसिपी")</f>
        <v>सोया कीमा आलू पराठा रेसिपी</v>
      </c>
      <c r="C286" s="1" t="s">
        <v>15760</v>
      </c>
      <c r="D286" s="1" t="s">
        <v>14237</v>
      </c>
      <c r="E286" s="1">
        <v>55</v>
      </c>
      <c r="F286" s="1" t="s">
        <v>32142</v>
      </c>
      <c r="G286" s="1" t="str">
        <f ca="1">IFERROR(__xludf.dummyfunction("IF(F286="""", """", GOOGLETRANSLATE(F286, ""en"", ""hi""))"),"1-1/2 कप गेहूं का आटा, 1/4 कप बाजरा का आटा, 1/4 कप ज्वार का आटा, नमक - स्वादानुसार, 1 चम्मच सूरजमुखी का तेल, 1 कप सोया चंक्स (नगेट्स) - भिगोए और बारीक किए हुए, 3 आलू - उबले और मसले हुए, 1 प्याज - बारीक कटा हुआ, 2 हरी मिर्च - बारीक कटी हुई, 1/2 चम्मच लाल म"&amp;"िर्च पाउडर, 1 चम्मच गरम मसाला पाउडर, 1 चम्मच आमचूर, पुदीना के पत्ते - छोटा गुच्छा, नमक - स्वादानुसार, घी - आवश्यकतानुसार")</f>
        <v>1-1/2 कप गेहूं का आटा, 1/4 कप बाजरा का आटा, 1/4 कप ज्वार का आटा, नमक - स्वादानुसार, 1 चम्मच सूरजमुखी का तेल, 1 कप सोया चंक्स (नगेट्स) - भिगोए और बारीक किए हुए, 3 आलू - उबले और मसले हुए, 1 प्याज - बारीक कटा हुआ, 2 हरी मिर्च - बारीक कटी हुई, 1/2 चम्मच लाल मिर्च पाउडर, 1 चम्मच गरम मसाला पाउडर, 1 चम्मच आमचूर, पुदीना के पत्ते - छोटा गुच्छा, नमक - स्वादानुसार, घी - आवश्यकतानुसार</v>
      </c>
      <c r="H286" s="1" t="s">
        <v>32143</v>
      </c>
      <c r="I286" s="1" t="str">
        <f ca="1">IFERROR(__xludf.dummyfunction("IF(H286="""", """", GOOGLETRANSLATE(H286, ""en"", ""hi""))"),"सोया कीमा आलू पराठा रेसिपी बनाने के लिए हम सबसे पहले सोया ग्रैन्यूल्स को लगभग 20 मिनट के लिए गर्म पानी में भिगोकर पकाएंगे। जब यह भीग जाए और नरम हो जाए, तो छलनी का उपयोग करके अतिरिक्त पानी को छान लें। टर्बो चॉप का उपयोग करके सोया को पीसकर सोया कीमा बना लें"&amp;" - यह आपका सोया कीमा होगा। एक कटोरा लें, उसमें आटा, नमक डालें और थोड़ा-थोड़ा पानी डालकर नरम और सख्त आटा गूंथ लें। आटे को चिकना और चिपचिपा न बनाने के लिए ऊपर से थोड़ा तेल डालें। एक भारी तली वाला पैन या कढ़ाई लें और उसमें तेल डालें। प्याज़ डालें और नरम होने"&amp;" तक भूनें। हरी मिर्च डालें और कुछ सेकंड के लिए भूनें। सोया कीमा और नमक डालें और कुछ मिनट तक भूनें जब तक कि सारा पानी सूख न जाए। हो जाने पर, आलू, लाल मिर्च पाउडर, गरम मसाला पाउडर, अमचूर पाउडर और पुदीने के पत्ते डालें। आँच बंद करें और सोया कीमा आलू पराठा भर"&amp;"ने के मिश्रण को अच्छी तरह मिलाएँ। नमक की जाँच करें और स्वादानुसार मिलाएँ। पराठे के आटे को 6 बराबर भागों में बाँट लें। आटे के एक हिस्से को आटे में लपेटें और 3 इंच व्यास के गोले में बेल लें। सोया कीमा आलू पराठा की स्टफिंग का एक बड़ा चमचा बीच में रखें और स्ट"&amp;"फिंग को बंद करने के लिए आटे के किनारों को बीच की ओर लाएँ। सोया कीमा आलू पराठा को चपटा करें, फिर से आटे में लपेटें और मोटा पराठा बनाने के लिए बेल लें। बाकी पराठों के साथ भी यही प्रक्रिया दोहराएँ और एक तरफ रख दें। मध्यम आँच पर एक कड़ाही गरम करें और उस पर भर"&amp;"ा हुआ सोया कीमा आलू पराठा रखें, घी छिड़कें और दोनों तरफ से पकाएँ। जब तक भूरा और कुरकुरा न हो जाए। सोया कीमा आलू पराठा को नाश्ते या रात के खाने के लिए पका केला अनार रायता के साथ परोसें।")</f>
        <v>सोया कीमा आलू पराठा रेसिपी बनाने के लिए हम सबसे पहले सोया ग्रैन्यूल्स को लगभग 20 मिनट के लिए गर्म पानी में भिगोकर पकाएंगे। जब यह भीग जाए और नरम हो जाए, तो छलनी का उपयोग करके अतिरिक्त पानी को छान लें। टर्बो चॉप का उपयोग करके सोया को पीसकर सोया कीमा बना लें - यह आपका सोया कीमा होगा। एक कटोरा लें, उसमें आटा, नमक डालें और थोड़ा-थोड़ा पानी डालकर नरम और सख्त आटा गूंथ लें। आटे को चिकना और चिपचिपा न बनाने के लिए ऊपर से थोड़ा तेल डालें। एक भारी तली वाला पैन या कढ़ाई लें और उसमें तेल डालें। प्याज़ डालें और नरम होने तक भूनें। हरी मिर्च डालें और कुछ सेकंड के लिए भूनें। सोया कीमा और नमक डालें और कुछ मिनट तक भूनें जब तक कि सारा पानी सूख न जाए। हो जाने पर, आलू, लाल मिर्च पाउडर, गरम मसाला पाउडर, अमचूर पाउडर और पुदीने के पत्ते डालें। आँच बंद करें और सोया कीमा आलू पराठा भरने के मिश्रण को अच्छी तरह मिलाएँ। नमक की जाँच करें और स्वादानुसार मिलाएँ। पराठे के आटे को 6 बराबर भागों में बाँट लें। आटे के एक हिस्से को आटे में लपेटें और 3 इंच व्यास के गोले में बेल लें। सोया कीमा आलू पराठा की स्टफिंग का एक बड़ा चमचा बीच में रखें और स्टफिंग को बंद करने के लिए आटे के किनारों को बीच की ओर लाएँ। सोया कीमा आलू पराठा को चपटा करें, फिर से आटे में लपेटें और मोटा पराठा बनाने के लिए बेल लें। बाकी पराठों के साथ भी यही प्रक्रिया दोहराएँ और एक तरफ रख दें। मध्यम आँच पर एक कड़ाही गरम करें और उस पर भरा हुआ सोया कीमा आलू पराठा रखें, घी छिड़कें और दोनों तरफ से पकाएँ। जब तक भूरा और कुरकुरा न हो जाए। सोया कीमा आलू पराठा को नाश्ते या रात के खाने के लिए पका केला अनार रायता के साथ परोसें।</v>
      </c>
      <c r="J286" s="3" t="s">
        <v>32144</v>
      </c>
      <c r="L286" s="1" t="s">
        <v>31003</v>
      </c>
    </row>
    <row r="287" spans="1:12" ht="13.8">
      <c r="A287" s="1" t="s">
        <v>32145</v>
      </c>
      <c r="B287" s="1" t="str">
        <f ca="1">IFERROR(__xludf.dummyfunction("IF(A287="""", """", GOOGLETRANSLATE(A287, ""en"", ""hi""))"),"चटपटा लोबिया चाट रेसिपी - हेल्दी ब्लैक आईड बीन स्नैक")</f>
        <v>चटपटा लोबिया चाट रेसिपी - हेल्दी ब्लैक आईड बीन स्नैक</v>
      </c>
      <c r="C287" s="1" t="s">
        <v>14281</v>
      </c>
      <c r="D287" s="1" t="s">
        <v>14237</v>
      </c>
      <c r="E287" s="1">
        <v>20</v>
      </c>
      <c r="F287" s="1" t="s">
        <v>32146</v>
      </c>
      <c r="G287" s="1" t="str">
        <f ca="1">IFERROR(__xludf.dummyfunction("IF(F287="""", """", GOOGLETRANSLATE(F287, ""en"", ""hi""))"),"2 कप लोबिया - 4 घंटे भिगोए हुए, 2 टमाटर - बारीक कटे हुए, 2 प्याज - बारीक कटे हुए, 1 खीरा - बारीक कटा हुआ, 3 हरी मिर्च - बारीक कटी हुई, 3 टहनी धनिया - बारीक कटा हुआ, 2 चम्मच चाट मसाला पाउडर, 1/2 चम्मच आमचूर, 1/2 बड़ा चम्मच नींबू का रस, नमक - स्वादानुसार")</f>
        <v>2 कप लोबिया - 4 घंटे भिगोए हुए, 2 टमाटर - बारीक कटे हुए, 2 प्याज - बारीक कटे हुए, 1 खीरा - बारीक कटा हुआ, 3 हरी मिर्च - बारीक कटी हुई, 3 टहनी धनिया - बारीक कटा हुआ, 2 चम्मच चाट मसाला पाउडर, 1/2 चम्मच आमचूर, 1/2 बड़ा चम्मच नींबू का रस, नमक - स्वादानुसार</v>
      </c>
      <c r="H287" s="1" t="s">
        <v>32147</v>
      </c>
      <c r="I287" s="1" t="str">
        <f ca="1">IFERROR(__xludf.dummyfunction("IF(H287="""", """", GOOGLETRANSLATE(H287, ""en"", ""hi""))"),"चटपटा लोबिया चाट रेसिपी बनाने के लिए, लोबिया को 4 घंटे के लिए भिगो दें। लोबिया को थोड़े से नमक के साथ लगभग 25 से 30 मिनट तक प्रेशर कुकर में पकाएँ और एक तरफ रख दें। प्रेशर कुकर में फलियाँ कैसे पकाएँ, यह जानने के लिए यहाँ क्लिक करें। सलाद मिक्सिंग बाउल में,"&amp;" उबले और ठंडे लोबिया/लोबिया डालें। सुनिश्चित करें कि लोबिया पूरी तरह से सूख गया हो और उसमें कोई अतिरिक्त पानी न हो। इसमें कटा हुआ प्याज, टमाटर और खीरा डालें। लोबिया चाट को कटी हुई हरी मिर्च, ताजा कटा हरा धनिया, चाट मसाला, सूखा आम पाउडर और नींबू के रस से स"&amp;"जाएँ। स्वादानुसार नमक डालें। अंत में लोबिया चाट को अच्छी तरह मिलाएँ। अपने स्वाद के अनुसार नमक और चाट मसाला मिलाएँ। आप कटी हुई हरी मिर्च डालकर लोबिया चाट को और भी मसालेदार बना सकते हैं और इसे ठंडा-ठंडा परोस सकते हैं। लोबिया चाट को हेल्दी स्नैक के तौर पर या"&amp;" पार्टियों में ऐपेटाइज़र के तौर पर मिक्स वेजिटेबल पुलाव रेसिपी, पनीर जलफ्रेजी रेसिपी, पुदीना और अनार रायता रेसिपी और बूंदी की खीर रेसिपी के साथ सर्व करें।")</f>
        <v>चटपटा लोबिया चाट रेसिपी बनाने के लिए, लोबिया को 4 घंटे के लिए भिगो दें। लोबिया को थोड़े से नमक के साथ लगभग 25 से 30 मिनट तक प्रेशर कुकर में पकाएँ और एक तरफ रख दें। प्रेशर कुकर में फलियाँ कैसे पकाएँ, यह जानने के लिए यहाँ क्लिक करें। सलाद मिक्सिंग बाउल में, उबले और ठंडे लोबिया/लोबिया डालें। सुनिश्चित करें कि लोबिया पूरी तरह से सूख गया हो और उसमें कोई अतिरिक्त पानी न हो। इसमें कटा हुआ प्याज, टमाटर और खीरा डालें। लोबिया चाट को कटी हुई हरी मिर्च, ताजा कटा हरा धनिया, चाट मसाला, सूखा आम पाउडर और नींबू के रस से सजाएँ। स्वादानुसार नमक डालें। अंत में लोबिया चाट को अच्छी तरह मिलाएँ। अपने स्वाद के अनुसार नमक और चाट मसाला मिलाएँ। आप कटी हुई हरी मिर्च डालकर लोबिया चाट को और भी मसालेदार बना सकते हैं और इसे ठंडा-ठंडा परोस सकते हैं। लोबिया चाट को हेल्दी स्नैक के तौर पर या पार्टियों में ऐपेटाइज़र के तौर पर मिक्स वेजिटेबल पुलाव रेसिपी, पनीर जलफ्रेजी रेसिपी, पुदीना और अनार रायता रेसिपी और बूंदी की खीर रेसिपी के साथ सर्व करें।</v>
      </c>
      <c r="J287" s="3" t="s">
        <v>32148</v>
      </c>
      <c r="L287" s="1" t="s">
        <v>31003</v>
      </c>
    </row>
    <row r="288" spans="1:12" ht="13.8">
      <c r="A288" s="1" t="s">
        <v>32149</v>
      </c>
      <c r="B288" s="1" t="str">
        <f ca="1">IFERROR(__xludf.dummyfunction("IF(A288="""", """", GOOGLETRANSLATE(A288, ""en"", ""hi""))"),"इंदौरी पोहा रेसिपी")</f>
        <v>इंदौरी पोहा रेसिपी</v>
      </c>
      <c r="C288" s="1" t="s">
        <v>16424</v>
      </c>
      <c r="D288" s="1" t="s">
        <v>14198</v>
      </c>
      <c r="E288" s="1">
        <v>40</v>
      </c>
      <c r="F288" s="1" t="s">
        <v>32150</v>
      </c>
      <c r="G288" s="1" t="str">
        <f ca="1">IFERROR(__xludf.dummyfunction("IF(F288="""", """", GOOGLETRANSLATE(F288, ""en"", ""hi""))"),"2-1/2 कप पोहा, 2 बड़े चम्मच सूरजमुखी तेल, 1 चम्मच सरसों के बीज, 1/2 चम्मच जीरा, 1 चम्मच सौंफ, 1 बड़ा चम्मच कच्ची मूंगफली, 1 प्याज - कटा हुआ, 1/2 चम्मच अदरक - कसा हुआ, 2 हरी मिर्च - बारीक कटी हुई, 7-8 करी पत्ते, 1/2 चम्मच हल्दी पाउडर, 1/2 चम्मच लाल मिर्च प"&amp;"ाउडर, नमक - स्वादानुसार, 1 बड़ा चम्मच चीनी, 2 बड़े चम्मच धनिया (धनिया) के पत्ते - बारीक कटे हुए, 1 प्याज - कटा हुआ, 1/4 कप ताजे अनार के फल की गिरी")</f>
        <v>2-1/2 कप पोहा, 2 बड़े चम्मच सूरजमुखी तेल, 1 चम्मच सरसों के बीज, 1/2 चम्मच जीरा, 1 चम्मच सौंफ, 1 बड़ा चम्मच कच्ची मूंगफली, 1 प्याज - कटा हुआ, 1/2 चम्मच अदरक - कसा हुआ, 2 हरी मिर्च - बारीक कटी हुई, 7-8 करी पत्ते, 1/2 चम्मच हल्दी पाउडर, 1/2 चम्मच लाल मिर्च पाउडर, नमक - स्वादानुसार, 1 बड़ा चम्मच चीनी, 2 बड़े चम्मच धनिया (धनिया) के पत्ते - बारीक कटे हुए, 1 प्याज - कटा हुआ, 1/4 कप ताजे अनार के फल की गिरी</v>
      </c>
      <c r="H288" s="1" t="s">
        <v>32151</v>
      </c>
      <c r="I288" s="1" t="str">
        <f ca="1">IFERROR(__xludf.dummyfunction("IF(H288="""", """", GOOGLETRANSLATE(H288, ""en"", ""hi""))"),"इंदौरी पोहा बनाने के लिए सबसे पहले पोहा को 3 बार धोकर पानी निकाल कर अलग रख दें। जब पानी पूरी तरह निकल जाए तो पोहा में चीनी और नमक डालकर अच्छी तरह मिला लें। भीगे हुए पोहा को टूटने न दें। कढ़ाई में तेल गर्म करें, उसमें राई डालें और जब राई फूटने लगे तो मूंगफ"&amp;"ली डालकर एक मिनट तक भूनें जब तक कि मूंगफली भूरी न हो जाए। पक जाने पर उसमें प्याज, हरी मिर्च और करी पत्ता डालकर प्याज के हल्का भूरा होने तक पकाएं। इसके बाद उसमें सौंफ, कद्दूकस किया हुआ अदरक, हल्दी पाउडर, लाल मिर्च पाउडर डालें और कुछ सेकंड तक भूनें। पोहा डा"&amp;"लें और सभी चीजों को अच्छी तरह मिला लें। कढ़ाई को ढक्कन से ढक दें और धीमी आंच पर 5 मिनट तक पकाएं। 5 मिनट बाद आंच बंद कर दें और पोहा को कटी हुई धनिया पत्ती, प्याज और अनार से सजाएं और गरमागरम परोसें। इंदौरी पोहा को कुछ फलों और मसाला चाय के साथ नाश्ते में परो"&amp;"सें।")</f>
        <v>इंदौरी पोहा बनाने के लिए सबसे पहले पोहा को 3 बार धोकर पानी निकाल कर अलग रख दें। जब पानी पूरी तरह निकल जाए तो पोहा में चीनी और नमक डालकर अच्छी तरह मिला लें। भीगे हुए पोहा को टूटने न दें। कढ़ाई में तेल गर्म करें, उसमें राई डालें और जब राई फूटने लगे तो मूंगफली डालकर एक मिनट तक भूनें जब तक कि मूंगफली भूरी न हो जाए। पक जाने पर उसमें प्याज, हरी मिर्च और करी पत्ता डालकर प्याज के हल्का भूरा होने तक पकाएं। इसके बाद उसमें सौंफ, कद्दूकस किया हुआ अदरक, हल्दी पाउडर, लाल मिर्च पाउडर डालें और कुछ सेकंड तक भूनें। पोहा डालें और सभी चीजों को अच्छी तरह मिला लें। कढ़ाई को ढक्कन से ढक दें और धीमी आंच पर 5 मिनट तक पकाएं। 5 मिनट बाद आंच बंद कर दें और पोहा को कटी हुई धनिया पत्ती, प्याज और अनार से सजाएं और गरमागरम परोसें। इंदौरी पोहा को कुछ फलों और मसाला चाय के साथ नाश्ते में परोसें।</v>
      </c>
      <c r="J288" s="3" t="s">
        <v>32152</v>
      </c>
      <c r="L288" s="1" t="s">
        <v>31003</v>
      </c>
    </row>
    <row r="289" spans="1:12" ht="13.8">
      <c r="A289" s="1" t="s">
        <v>32153</v>
      </c>
      <c r="B289" s="1" t="str">
        <f ca="1">IFERROR(__xludf.dummyfunction("IF(A289="""", """", GOOGLETRANSLATE(A289, ""en"", ""hi""))"),"सिंघाड़ा आटा चीला रेसिपी")</f>
        <v>सिंघाड़ा आटा चीला रेसिपी</v>
      </c>
      <c r="C289" s="1" t="s">
        <v>145</v>
      </c>
      <c r="D289" s="1" t="s">
        <v>14198</v>
      </c>
      <c r="E289" s="1">
        <v>45</v>
      </c>
      <c r="F289" s="1" t="s">
        <v>32154</v>
      </c>
      <c r="G289" s="1" t="str">
        <f ca="1">IFERROR(__xludf.dummyfunction("IF(F289="""", """", GOOGLETRANSLATE(F289, ""en"", ""hi""))"),"3/4 कप सिंघाड़े का आटा, 1 हरी मिर्च - कटी हुई, 1/2 बड़ा चम्मच धनिया - बारीक कटा हुआ, 2 छोटे चम्मच जीरा, 1/2 छोटा चम्मच हल्दी, 2 छोटे चम्मच काली मिर्च पाउडर - दरदरा कुटा हुआ, सेंधा नमक - या स्वादानुसार नमक, घी - या पकाने के लिए तेल")</f>
        <v>3/4 कप सिंघाड़े का आटा, 1 हरी मिर्च - कटी हुई, 1/2 बड़ा चम्मच धनिया - बारीक कटा हुआ, 2 छोटे चम्मच जीरा, 1/2 छोटा चम्मच हल्दी, 2 छोटे चम्मच काली मिर्च पाउडर - दरदरा कुटा हुआ, सेंधा नमक - या स्वादानुसार नमक, घी - या पकाने के लिए तेल</v>
      </c>
      <c r="H289" s="1" t="s">
        <v>32155</v>
      </c>
      <c r="I289" s="1" t="str">
        <f ca="1">IFERROR(__xludf.dummyfunction("IF(H289="""", """", GOOGLETRANSLATE(H289, ""en"", ""hi""))"),"सिंघाड़ा आटा चीला रेसिपी (प्याज लहसुन नहीं नवरात्रि व्रत/व्रत रेसिपी) बनाने की शुरुआत हम एक मिक्सिंग बाउल लेकर उसमें सभी सामग्री डालकर करते हैं। सामग्री को पर्याप्त पानी के साथ तब तक मिलाएँ जब तक कि वह डालने लायक गाढ़ापन न बन जाए। एक फ्लैट नॉन-स्टिक पैन ग"&amp;"रम करें और उसमें एक करछुल घोल डालें और करछुल के पिछले हिस्से का इस्तेमाल करके थोड़ा फैलाएँ। बहुत ज़्यादा न फैलाएँ क्योंकि यह पैन से चिपक जाएगा। पैन को घुमाएँ ताकि चीला घोल अपने आप फैल जाए। एक चम्मच तेल या घी डालें और तिल छिड़कें और दोनों तरफ़ से 2 मिनट तक"&amp;" पकाएँ जब तक कि यह पक न जाए। अपने गरमागरम सिंघाड़ा आटा चीला को सेब टमाटर की सब्ज़ी या नारियल मूंगफली की चटनी के साथ परोसें।")</f>
        <v>सिंघाड़ा आटा चीला रेसिपी (प्याज लहसुन नहीं नवरात्रि व्रत/व्रत रेसिपी) बनाने की शुरुआत हम एक मिक्सिंग बाउल लेकर उसमें सभी सामग्री डालकर करते हैं। सामग्री को पर्याप्त पानी के साथ तब तक मिलाएँ जब तक कि वह डालने लायक गाढ़ापन न बन जाए। एक फ्लैट नॉन-स्टिक पैन गरम करें और उसमें एक करछुल घोल डालें और करछुल के पिछले हिस्से का इस्तेमाल करके थोड़ा फैलाएँ। बहुत ज़्यादा न फैलाएँ क्योंकि यह पैन से चिपक जाएगा। पैन को घुमाएँ ताकि चीला घोल अपने आप फैल जाए। एक चम्मच तेल या घी डालें और तिल छिड़कें और दोनों तरफ़ से 2 मिनट तक पकाएँ जब तक कि यह पक न जाए। अपने गरमागरम सिंघाड़ा आटा चीला को सेब टमाटर की सब्ज़ी या नारियल मूंगफली की चटनी के साथ परोसें।</v>
      </c>
      <c r="J289" s="3" t="s">
        <v>32156</v>
      </c>
      <c r="L289" s="1" t="s">
        <v>31003</v>
      </c>
    </row>
    <row r="290" spans="1:12" ht="409.6">
      <c r="A290" s="1" t="s">
        <v>32157</v>
      </c>
      <c r="B290" s="1" t="str">
        <f ca="1">IFERROR(__xludf.dummyfunction("IF(A290="""", """", GOOGLETRANSLATE(A290, ""en"", ""hi""))"),"भोपाली स्टाइल गोश्त का पुलाव रेसिपी")</f>
        <v>भोपाली स्टाइल गोश्त का पुलाव रेसिपी</v>
      </c>
      <c r="C290" s="1" t="s">
        <v>145</v>
      </c>
      <c r="D290" s="1" t="s">
        <v>14382</v>
      </c>
      <c r="E290" s="1">
        <v>95</v>
      </c>
      <c r="F290" s="1" t="s">
        <v>32158</v>
      </c>
      <c r="G290" s="1" t="str">
        <f ca="1">IFERROR(__xludf.dummyfunction("IF(F290="""", """", GOOGLETRANSLATE(F290, ""en"", ""hi""))"),"2 कप बासमती चावल, 250 ग्राम मटन, 1 प्याज, 4 लहसुन की कलियाँ, 1 इंच अदरक, 3 हरी मिर्च, 1/2 कप दही - (खट्टा दही), 1 तेज पत्ता, 2 काली इलायची, 2 इलायची की फली/बीज, 1/2 चम्मच जावित्री पाउडर, 3 साबुत काली मिर्च, 1/2 चम्मच काली मिर्च पाउडर - ताज़ा कुटी हुई, 1/2"&amp;" इंच दालचीनी, पुदीना - थोड़े, 1/2 बड़ा चम्मच धनिया पाउडर, 1/2 छोटा चम्मच लाल मिर्च पाउडर, धनिया - थोड़े, सूरजमुखी तेल - आवश्यकतानुसार, 1 बड़ा चम्मच घी")</f>
        <v>2 कप बासमती चावल, 250 ग्राम मटन, 1 प्याज, 4 लहसुन की कलियाँ, 1 इंच अदरक, 3 हरी मिर्च, 1/2 कप दही - (खट्टा दही), 1 तेज पत्ता, 2 काली इलायची, 2 इलायची की फली/बीज, 1/2 चम्मच जावित्री पाउडर, 3 साबुत काली मिर्च, 1/2 चम्मच काली मिर्च पाउडर - ताज़ा कुटी हुई, 1/2 इंच दालचीनी, पुदीना - थोड़े, 1/2 बड़ा चम्मच धनिया पाउडर, 1/2 छोटा चम्मच लाल मिर्च पाउडर, धनिया - थोड़े, सूरजमुखी तेल - आवश्यकतानुसार, 1 बड़ा चम्मच घी</v>
      </c>
      <c r="H290" s="4" t="s">
        <v>32159</v>
      </c>
      <c r="I290" s="1" t="str">
        <f ca="1">IFERROR(__xludf.dummyfunction("IF(H290="""", """", GOOGLETRANSLATE(H290, ""en"", ""hi""))"),"भोपाली स्टाइल गोश्त का पुलाव रेसिपी बनाने के लिए सबसे पहले चावल को अच्छे से धोकर साफ कर लें। पकाने से पहले साफ पानी में भिगो दें और कम से कम एक घंटे के लिए अलग रख दें। एक बड़े मोटे तले वाले बर्तन में तेल गर्म करें और उसमें तेज पत्ता, काली इलायची, इलायची क"&amp;"े दाने, जावित्री पाउडर, साबुत काली मिर्च और दालचीनी डालें। इसे लगभग 30 सेकंड तक पकने दें। 30 सेकंड के बाद, कटा हुआ अदरक, लहसुन डालें और थोड़ी देर के लिए भूनें। कटा हुआ प्याज डालें और पारदर्शी होने तक भूनें और कच्ची महक गायब हो जाए। इस बीच हरी मिर्च भी मिल"&amp;"ा दें। लगभग 2 मिनट तक पकने दें। इसके बाद, मटन के टुकड़े डालें और तेज़ आँच पर अच्छी तरह मिलाएँ। इसे तब तक तेज़ आँच पर रहने दें जब तक नमी अच्छी तरह से वाष्पित न हो जाए। इसे लगभग 3 से 4 मिनट तक पकाएं ढक्कन बंद करें और तब तक पकने दें जब तक मटन लगभग 80% नरम न "&amp;"हो जाए। जब ​​मटन आधा पक जाए तो उसमें लाल मिर्च पाउडर, धनिया पाउडर, काली मिर्च पाउडर और थोड़ा और सूखा पुदीना डालें। अच्छी तरह मिलाएँ। सभी चीजों को तब तक भूनें जब तक कि किनारों से तेल न निकलने लगे। आप जरूरत पड़ने पर तेल कम या ज्यादा कर सकते हैं। भिगोए हुए च"&amp;"ावल डालें और दो मिनट के लिए फिर से भूनें। अब चावल के ऊपर तक पानी डालें या चावल की मात्रा को दोगुना करें। (उदाहरण - अगर आप 10 कप चावल लेते हैं तो 20 कप पानी डालें) आवश्यकतानुसार नमक डालें और अच्छी तरह मिलाएँ। उबाल आने तक आंच तेज रखें। आंच धीमी करें और चावल"&amp;" को ढक्कन आधा बंद करके पकने दें। चावल पक जाने के बाद गैस बंद कर दें और चारों तरफ घी डालें। ताजा धनिया से गार्निश करें")</f>
        <v>भोपाली स्टाइल गोश्त का पुलाव रेसिपी बनाने के लिए सबसे पहले चावल को अच्छे से धोकर साफ कर लें। पकाने से पहले साफ पानी में भिगो दें और कम से कम एक घंटे के लिए अलग रख दें। एक बड़े मोटे तले वाले बर्तन में तेल गर्म करें और उसमें तेज पत्ता, काली इलायची, इलायची के दाने, जावित्री पाउडर, साबुत काली मिर्च और दालचीनी डालें। इसे लगभग 30 सेकंड तक पकने दें। 30 सेकंड के बाद, कटा हुआ अदरक, लहसुन डालें और थोड़ी देर के लिए भूनें। कटा हुआ प्याज डालें और पारदर्शी होने तक भूनें और कच्ची महक गायब हो जाए। इस बीच हरी मिर्च भी मिला दें। लगभग 2 मिनट तक पकने दें। इसके बाद, मटन के टुकड़े डालें और तेज़ आँच पर अच्छी तरह मिलाएँ। इसे तब तक तेज़ आँच पर रहने दें जब तक नमी अच्छी तरह से वाष्पित न हो जाए। इसे लगभग 3 से 4 मिनट तक पकाएं ढक्कन बंद करें और तब तक पकने दें जब तक मटन लगभग 80% नरम न हो जाए। जब ​​मटन आधा पक जाए तो उसमें लाल मिर्च पाउडर, धनिया पाउडर, काली मिर्च पाउडर और थोड़ा और सूखा पुदीना डालें। अच्छी तरह मिलाएँ। सभी चीजों को तब तक भूनें जब तक कि किनारों से तेल न निकलने लगे। आप जरूरत पड़ने पर तेल कम या ज्यादा कर सकते हैं। भिगोए हुए चावल डालें और दो मिनट के लिए फिर से भूनें। अब चावल के ऊपर तक पानी डालें या चावल की मात्रा को दोगुना करें। (उदाहरण - अगर आप 10 कप चावल लेते हैं तो 20 कप पानी डालें) आवश्यकतानुसार नमक डालें और अच्छी तरह मिलाएँ। उबाल आने तक आंच तेज रखें। आंच धीमी करें और चावल को ढक्कन आधा बंद करके पकने दें। चावल पक जाने के बाद गैस बंद कर दें और चारों तरफ घी डालें। ताजा धनिया से गार्निश करें</v>
      </c>
      <c r="J290" s="3" t="s">
        <v>32160</v>
      </c>
      <c r="L290" s="1" t="s">
        <v>31003</v>
      </c>
    </row>
    <row r="291" spans="1:12" ht="13.8">
      <c r="A291" s="1" t="s">
        <v>32161</v>
      </c>
      <c r="B291" s="1" t="str">
        <f ca="1">IFERROR(__xludf.dummyfunction("IF(A291="""", """", GOOGLETRANSLATE(A291, ""en"", ""hi""))"),"छोटी आलू दम रेसिपी - टमाटर की ग्रेवी में छोटे आलू")</f>
        <v>छोटी आलू दम रेसिपी - टमाटर की ग्रेवी में छोटे आलू</v>
      </c>
      <c r="C291" s="1" t="s">
        <v>145</v>
      </c>
      <c r="D291" s="1" t="s">
        <v>14198</v>
      </c>
      <c r="E291" s="1">
        <v>50</v>
      </c>
      <c r="F291" s="1" t="s">
        <v>32162</v>
      </c>
      <c r="G291" s="1" t="str">
        <f ca="1">IFERROR(__xludf.dummyfunction("IF(F291="""", """", GOOGLETRANSLATE(F291, ""en"", ""hi""))"),"15 छोटे आलू, 2 टमाटर, 1 चम्मच जीरा, 1-1/2 चम्मच लाल मिर्च पाउडर, 1/2 चम्मच धनिया, 1/4 चम्मच हल्दी, 1 बड़ा चम्मच सूरजमुखी तेल, 1/2 चम्मच नमक, 2 लौंग, 2 इलायची, 1 इंच दालचीनी, 250 मिली पानी")</f>
        <v>15 छोटे आलू, 2 टमाटर, 1 चम्मच जीरा, 1-1/2 चम्मच लाल मिर्च पाउडर, 1/2 चम्मच धनिया, 1/4 चम्मच हल्दी, 1 बड़ा चम्मच सूरजमुखी तेल, 1/2 चम्मच नमक, 2 लौंग, 2 इलायची, 1 इंच दालचीनी, 250 मिली पानी</v>
      </c>
      <c r="H291" s="1" t="s">
        <v>32163</v>
      </c>
      <c r="I291" s="1" t="str">
        <f ca="1">IFERROR(__xludf.dummyfunction("IF(H291="""", """", GOOGLETRANSLATE(H291, ""en"", ""hi""))"),"छोटी आलू दम रेसिपी बनाने के लिए सबसे पहले एक प्रेशर कुकर में बेबी पोटैटो को चुटकी भर नमक के साथ लगभग 2 सीटी आने तक उबालें। प्रेशर निकल जाने पर आलू से छिलका हटाकर उसे रख दें। एक ब्लेंडर में कटे हुए टमाटर डालें और उन्हें बारीक पीस लें। एक भारी तले की कड़ाही"&amp;" में तेल डालकर मध्यम आंच पर गर्म करें। तेल में इलायची, लौंग और दालचीनी डालकर कुछ सेकेंड के लिए भून लें। अब इसमें बेबी पोटैटो डालें और उन्हें तेल में समान रूप से टॉस करें। धीरे से टमाटर प्यूरी डालें, उसके बाद जीरा पाउडर, लाल मिर्च पाउडर, धनिया पाउडर और हल्"&amp;"दी पाउडर डालें। इन्हें अच्छे से मिला लें और मिश्रण में एक गिलास पानी डालें। इन्हें मध्यम आंच पर पकाएं और बीच-बीच में चलाते रहें जब तक कि आलू मसालों के साथ अच्छी तरह मिल न जाएं। ग्रेवी को आवश्यक मात्रा में नमक के साथ सीज करें। ग्रेवी को आंच से उतार लें और "&amp;"गर्मागर्म सर्व करें। छोटी आलू दम एक बहुमुखी व्यंजन है और इसे बंगाली लूची और बूंदी रायता के साथ स्वादिष्ट भोजन के लिए परोसा जा सकता है।")</f>
        <v>छोटी आलू दम रेसिपी बनाने के लिए सबसे पहले एक प्रेशर कुकर में बेबी पोटैटो को चुटकी भर नमक के साथ लगभग 2 सीटी आने तक उबालें। प्रेशर निकल जाने पर आलू से छिलका हटाकर उसे रख दें। एक ब्लेंडर में कटे हुए टमाटर डालें और उन्हें बारीक पीस लें। एक भारी तले की कड़ाही में तेल डालकर मध्यम आंच पर गर्म करें। तेल में इलायची, लौंग और दालचीनी डालकर कुछ सेकेंड के लिए भून लें। अब इसमें बेबी पोटैटो डालें और उन्हें तेल में समान रूप से टॉस करें। धीरे से टमाटर प्यूरी डालें, उसके बाद जीरा पाउडर, लाल मिर्च पाउडर, धनिया पाउडर और हल्दी पाउडर डालें। इन्हें अच्छे से मिला लें और मिश्रण में एक गिलास पानी डालें। इन्हें मध्यम आंच पर पकाएं और बीच-बीच में चलाते रहें जब तक कि आलू मसालों के साथ अच्छी तरह मिल न जाएं। ग्रेवी को आवश्यक मात्रा में नमक के साथ सीज करें। ग्रेवी को आंच से उतार लें और गर्मागर्म सर्व करें। छोटी आलू दम एक बहुमुखी व्यंजन है और इसे बंगाली लूची और बूंदी रायता के साथ स्वादिष्ट भोजन के लिए परोसा जा सकता है।</v>
      </c>
      <c r="J291" s="3" t="s">
        <v>32164</v>
      </c>
      <c r="L291" s="1" t="s">
        <v>31003</v>
      </c>
    </row>
    <row r="292" spans="1:12" ht="13.8">
      <c r="A292" s="1" t="s">
        <v>31566</v>
      </c>
      <c r="B292" s="1" t="str">
        <f ca="1">IFERROR(__xludf.dummyfunction("IF(A292="""", """", GOOGLETRANSLATE(A292, ""en"", ""hi""))"),"मूली भुर्जी रेसिपी")</f>
        <v>मूली भुर्जी रेसिपी</v>
      </c>
      <c r="C292" s="1" t="s">
        <v>429</v>
      </c>
      <c r="D292" s="1" t="s">
        <v>14198</v>
      </c>
      <c r="E292" s="1">
        <v>35</v>
      </c>
      <c r="F292" s="1" t="s">
        <v>32165</v>
      </c>
      <c r="G292" s="1" t="str">
        <f ca="1">IFERROR(__xludf.dummyfunction("IF(F292="""", """", GOOGLETRANSLATE(F292, ""en"", ""hi""))"),"1 कप मूली/मुलंगी (मूली) - कटी हुई, 3 कप मूली के पत्ते (मूली के साग) - कटे हुए, 4 हरी मिर्च, 2 बड़े चम्मच सरसों का तेल, 1 चम्मच सरसों के बीज, 3/4 चम्मच अजवायन (कैरम बीज), 1/4 चम्मच हींग (हिंग), 1/2 चम्मच हल्दी पाउडर (हल्दी), 1/2 चम्मच अमचूर (सूखा आम पाउडर)"&amp;", नमक - स्वादानुसार")</f>
        <v>1 कप मूली/मुलंगी (मूली) - कटी हुई, 3 कप मूली के पत्ते (मूली के साग) - कटे हुए, 4 हरी मिर्च, 2 बड़े चम्मच सरसों का तेल, 1 चम्मच सरसों के बीज, 3/4 चम्मच अजवायन (कैरम बीज), 1/4 चम्मच हींग (हिंग), 1/2 चम्मच हल्दी पाउडर (हल्दी), 1/2 चम्मच अमचूर (सूखा आम पाउडर), नमक - स्वादानुसार</v>
      </c>
      <c r="H292" s="1" t="s">
        <v>32166</v>
      </c>
      <c r="I292" s="1" t="str">
        <f ca="1">IFERROR(__xludf.dummyfunction("IF(H292="""", """", GOOGLETRANSLATE(H292, ""en"", ""hi""))"),"मूली भुर्जी रेसिपी बनाने के लिए सबसे पहले मूली और उसके पत्तों को धो लें। मूली को छीलकर बारीक काट लें। ताजा पत्ते भी काट लें। एक कड़ाही में तेल गर्म करें, उसमें राई डालें और जब वह फूटने लगे तो उसमें अजवायन, हींग, हल्दी पाउडर और हरी मिर्च डालें। इसके बाद कट"&amp;"ी हुई मूली और हरे पत्ते डालें। थोड़ा नमक डालें और भूनें। मध्यम आंच पर पकाते रहें और बीच-बीच में चलाते रहें। कुछ देर बाद आप देखेंगे कि सब्ज़ियाँ पानी छोड़ने लगी हैं। सब्ज़ियों को तब तक हिलाते रहें जब तक वे पक न जाएँ और पानी सूख न जाए। अंत में अमचूर पाउडर ड"&amp;"ालें, मिलाएँ और चूल्हा बंद कर दें। मूली भुर्जी को अपने परिवार के साथ पंचमेल दाल और फुल्के के साथ परोसें।")</f>
        <v>मूली भुर्जी रेसिपी बनाने के लिए सबसे पहले मूली और उसके पत्तों को धो लें। मूली को छीलकर बारीक काट लें। ताजा पत्ते भी काट लें। एक कड़ाही में तेल गर्म करें, उसमें राई डालें और जब वह फूटने लगे तो उसमें अजवायन, हींग, हल्दी पाउडर और हरी मिर्च डालें। इसके बाद कटी हुई मूली और हरे पत्ते डालें। थोड़ा नमक डालें और भूनें। मध्यम आंच पर पकाते रहें और बीच-बीच में चलाते रहें। कुछ देर बाद आप देखेंगे कि सब्ज़ियाँ पानी छोड़ने लगी हैं। सब्ज़ियों को तब तक हिलाते रहें जब तक वे पक न जाएँ और पानी सूख न जाए। अंत में अमचूर पाउडर डालें, मिलाएँ और चूल्हा बंद कर दें। मूली भुर्जी को अपने परिवार के साथ पंचमेल दाल और फुल्के के साथ परोसें।</v>
      </c>
      <c r="J292" s="3" t="s">
        <v>32167</v>
      </c>
      <c r="L292" s="1" t="s">
        <v>31003</v>
      </c>
    </row>
    <row r="293" spans="1:12" ht="13.8">
      <c r="A293" s="1" t="s">
        <v>32168</v>
      </c>
      <c r="B293" s="1" t="str">
        <f ca="1">IFERROR(__xludf.dummyfunction("IF(A293="""", """", GOOGLETRANSLATE(A293, ""en"", ""hi""))"),"अमृतसरी गोभी मटर रेसिपी (पंजाबी स्टाइल मलाईदार फूलगोभी और मटर करी)")</f>
        <v>अमृतसरी गोभी मटर रेसिपी (पंजाबी स्टाइल मलाईदार फूलगोभी और मटर करी)</v>
      </c>
      <c r="C293" s="1" t="s">
        <v>429</v>
      </c>
      <c r="D293" s="1" t="s">
        <v>14198</v>
      </c>
      <c r="E293" s="1">
        <v>71</v>
      </c>
      <c r="F293" s="1" t="s">
        <v>32169</v>
      </c>
      <c r="G293" s="1" t="str">
        <f ca="1">IFERROR(__xludf.dummyfunction("IF(F293="""", """", GOOGLETRANSLATE(F293, ""en"", ""hi""))"),"1 फूलगोभी - फूलगोभी में कटी हुई, 1/2 कप मटर, 1/8 छोटा चम्मच हल्दी, 1/2 छोटा चम्मच धनिया, 1 छोटा चम्मच लाल मिर्च पाउडर, 1/2 छोटा चम्मच गरम मसाला पाउडर, 2 प्याज, 4 टमाटर, 2 हरी मिर्च, 4 लहसुन की कलियां, 1/2 इंच अदरक, 20 बादाम - 15 मिनट तक गर्म पानी में भिगो"&amp;"एं और छिलका उतार लें, 15 काजू, 1 बड़ा चम्मच सूरजमुखी तेल, 1/2 छोटा चम्मच जीरा, धनिया पत्ते - कुछ टहनियां")</f>
        <v>1 फूलगोभी - फूलगोभी में कटी हुई, 1/2 कप मटर, 1/8 छोटा चम्मच हल्दी, 1/2 छोटा चम्मच धनिया, 1 छोटा चम्मच लाल मिर्च पाउडर, 1/2 छोटा चम्मच गरम मसाला पाउडर, 2 प्याज, 4 टमाटर, 2 हरी मिर्च, 4 लहसुन की कलियां, 1/2 इंच अदरक, 20 बादाम - 15 मिनट तक गर्म पानी में भिगोएं और छिलका उतार लें, 15 काजू, 1 बड़ा चम्मच सूरजमुखी तेल, 1/2 छोटा चम्मच जीरा, धनिया पत्ते - कुछ टहनियां</v>
      </c>
      <c r="H293" s="1" t="s">
        <v>32170</v>
      </c>
      <c r="I293" s="1" t="str">
        <f ca="1">IFERROR(__xludf.dummyfunction("IF(H293="""", """", GOOGLETRANSLATE(H293, ""en"", ""hi""))"),"अमृतसरी गोभी मटर रेसिपी बनाने के लिए, 'ग्रेवी के लिए' के ​​तहत दी गई सामग्री को मिक्सर ग्राइंडर का उपयोग करके प्यूरी में पीस लें। भिगोए और छिलके उतारे हुए बादाम और काजू को 1/4 कप पानी डालकर क्रीम की तरह पीस लें। पीसते समय आप स्थिरता को समायोजित कर सकते है"&amp;"ं। एक पैन/कड़ाही में तेल गरम करें और जीरा के साथ तड़का लगाएं। प्यूरी, हल्दी पाउडर, मिर्च पाउडर, धनिया पाउडर, नमक डालें और धीमी आंच पर 5 से 7 मिनट तक पकाएं। अब फूलगोभी, मटर डालें और अच्छी तरह मिलाएँ। 1/2 कप पानी (समायोजित करें) डालें और उन्हें ढककर तब तक प"&amp;"काएं जब तक कि फूलगोभी पक न जाए और नरम हो जाए लेकिन गूदेदार न हो। गरम मसाला पाउडर डालें और बादाम काजू क्रीम में हिलाएं और इसे उबलने दें")</f>
        <v>अमृतसरी गोभी मटर रेसिपी बनाने के लिए, 'ग्रेवी के लिए' के ​​तहत दी गई सामग्री को मिक्सर ग्राइंडर का उपयोग करके प्यूरी में पीस लें। भिगोए और छिलके उतारे हुए बादाम और काजू को 1/4 कप पानी डालकर क्रीम की तरह पीस लें। पीसते समय आप स्थिरता को समायोजित कर सकते हैं। एक पैन/कड़ाही में तेल गरम करें और जीरा के साथ तड़का लगाएं। प्यूरी, हल्दी पाउडर, मिर्च पाउडर, धनिया पाउडर, नमक डालें और धीमी आंच पर 5 से 7 मिनट तक पकाएं। अब फूलगोभी, मटर डालें और अच्छी तरह मिलाएँ। 1/2 कप पानी (समायोजित करें) डालें और उन्हें ढककर तब तक पकाएं जब तक कि फूलगोभी पक न जाए और नरम हो जाए लेकिन गूदेदार न हो। गरम मसाला पाउडर डालें और बादाम काजू क्रीम में हिलाएं और इसे उबलने दें</v>
      </c>
      <c r="J293" s="3" t="s">
        <v>32171</v>
      </c>
      <c r="L293" s="1" t="s">
        <v>31003</v>
      </c>
    </row>
    <row r="294" spans="1:12" ht="409.6">
      <c r="A294" s="1" t="s">
        <v>32172</v>
      </c>
      <c r="B294" s="1" t="str">
        <f ca="1">IFERROR(__xludf.dummyfunction("IF(A294="""", """", GOOGLETRANSLATE(A294, ""en"", ""hi""))"),"मेथी मूंग दाल रेसिपी - मधुमेह रोगियों के लिए स्वास्थ्यवर्धक रेसिपी")</f>
        <v>मेथी मूंग दाल रेसिपी - मधुमेह रोगियों के लिए स्वास्थ्यवर्धक रेसिपी</v>
      </c>
      <c r="C294" s="1" t="s">
        <v>145</v>
      </c>
      <c r="D294" s="1" t="s">
        <v>14198</v>
      </c>
      <c r="E294" s="1">
        <v>50</v>
      </c>
      <c r="F294" s="1" t="s">
        <v>32173</v>
      </c>
      <c r="G294" s="1" t="str">
        <f ca="1">IFERROR(__xludf.dummyfunction("IF(F294="""", """", GOOGLETRANSLATE(F294, ""en"", ""hi""))"),"1 कप मेथी के पत्ते - बारीक कटे हुए, 1/2 कप पीली मूंग दाल, 1 बड़ा चम्मच घी, 4 लहसुन - बारीक कटा हुआ, 1/2 जीरा, 1/4 बड़ा चम्मच हल्दी, 1/2 छोटा चम्मच लाल मिर्च पाउडर, नमक - स्वादानुसार, 1 बड़ा चम्मच नींबू का रस, 1 छोटा चम्मच चीनी - वैकल्पिक")</f>
        <v>1 कप मेथी के पत्ते - बारीक कटे हुए, 1/2 कप पीली मूंग दाल, 1 बड़ा चम्मच घी, 4 लहसुन - बारीक कटा हुआ, 1/2 जीरा, 1/4 बड़ा चम्मच हल्दी, 1/2 छोटा चम्मच लाल मिर्च पाउडर, नमक - स्वादानुसार, 1 बड़ा चम्मच नींबू का रस, 1 छोटा चम्मच चीनी - वैकल्पिक</v>
      </c>
      <c r="H294" s="4" t="s">
        <v>32174</v>
      </c>
      <c r="I294" s="1" t="str">
        <f ca="1">IFERROR(__xludf.dummyfunction("IF(H294="""", """", GOOGLETRANSLATE(H294, ""en"", ""hi""))"),"मेथी मूंग दाल रेसिपी बनाने के लिए सबसे पहले मूंग दाल को नमक, हल्दी पाउडर, 1 कप पानी के साथ 3 से 4 सीटी आने तक पकाएं और आंच बंद कर दें। प्रेशर को अपने आप निकलने दें। कटी हुई मेथी के पत्तों को धो लें, पानी निथार लें और एक तरफ रख दें। मध्यम आंच पर एक पैन में"&amp;" तेल गर्म करें। बारीक कटा हुआ लहसुन डालें और उन्हें सुनहरा भूरा होने दें। इसके बाद जीरा डालें और उन्हें भी भूनें। अब मेथी के पत्ते डालें और लगभग एक मिनट तक भूनें और पत्ते मुरझा जाएंगे। पकी हुई मूंग दाल, नमक और चीनी डालकर चलाएं और मेथी मूंग दाल के गाढ़ेपन "&amp;"को समायोजित करने के लिए थोड़ा पानी डालें। नमक और मसाले चैक करें और इसे तेज उबाल दें मेथी मूंग दाल रेसिपी को एक सर्विंग बाउल में डालें और गरमागरम परोसें। मेथी मूंग दाल रेसिपी को खूबा रोटी और टमाटर प्याज खीरा रायता के साथ सप्ताह के दिनों के भोजन के लिए परोस"&amp;"ें।")</f>
        <v>मेथी मूंग दाल रेसिपी बनाने के लिए सबसे पहले मूंग दाल को नमक, हल्दी पाउडर, 1 कप पानी के साथ 3 से 4 सीटी आने तक पकाएं और आंच बंद कर दें। प्रेशर को अपने आप निकलने दें। कटी हुई मेथी के पत्तों को धो लें, पानी निथार लें और एक तरफ रख दें। मध्यम आंच पर एक पैन में तेल गर्म करें। बारीक कटा हुआ लहसुन डालें और उन्हें सुनहरा भूरा होने दें। इसके बाद जीरा डालें और उन्हें भी भूनें। अब मेथी के पत्ते डालें और लगभग एक मिनट तक भूनें और पत्ते मुरझा जाएंगे। पकी हुई मूंग दाल, नमक और चीनी डालकर चलाएं और मेथी मूंग दाल के गाढ़ेपन को समायोजित करने के लिए थोड़ा पानी डालें। नमक और मसाले चैक करें और इसे तेज उबाल दें मेथी मूंग दाल रेसिपी को एक सर्विंग बाउल में डालें और गरमागरम परोसें। मेथी मूंग दाल रेसिपी को खूबा रोटी और टमाटर प्याज खीरा रायता के साथ सप्ताह के दिनों के भोजन के लिए परोसें।</v>
      </c>
      <c r="J294" s="3" t="s">
        <v>32175</v>
      </c>
      <c r="L294" s="1" t="s">
        <v>31003</v>
      </c>
    </row>
    <row r="295" spans="1:12" ht="13.8">
      <c r="A295" s="1" t="s">
        <v>32176</v>
      </c>
      <c r="B295" s="1" t="str">
        <f ca="1">IFERROR(__xludf.dummyfunction("IF(A295="""", """", GOOGLETRANSLATE(A295, ""en"", ""hi""))"),"हरी बीन्स अंडा भुनने की विधि")</f>
        <v>हरी बीन्स अंडा भुनने की विधि</v>
      </c>
      <c r="C295" s="1" t="s">
        <v>16424</v>
      </c>
      <c r="D295" s="1" t="s">
        <v>14208</v>
      </c>
      <c r="E295" s="1">
        <v>35</v>
      </c>
      <c r="F295" s="1" t="s">
        <v>32177</v>
      </c>
      <c r="G295" s="1" t="str">
        <f ca="1">IFERROR(__xludf.dummyfunction("IF(F295="""", """", GOOGLETRANSLATE(F295, ""en"", ""hi""))"),"3 अंडे, 300 ग्राम हरी बीन्स - कटी हुई, 1 चम्मच जीरा, 1/2 चम्मच हल्दी पाउडर, 1 चम्मच काली मिर्च पाउडर, 1 हरी मिर्च - कटी हुई, नमक - स्वादानुसार, तेल")</f>
        <v>3 अंडे, 300 ग्राम हरी बीन्स - कटी हुई, 1 चम्मच जीरा, 1/2 चम्मच हल्दी पाउडर, 1 चम्मच काली मिर्च पाउडर, 1 हरी मिर्च - कटी हुई, नमक - स्वादानुसार, तेल</v>
      </c>
      <c r="H295" s="1" t="s">
        <v>32178</v>
      </c>
      <c r="I295" s="1" t="str">
        <f ca="1">IFERROR(__xludf.dummyfunction("IF(H295="""", """", GOOGLETRANSLATE(H295, ""en"", ""hi""))"),"ग्रीन बीन्स एग स्क्रैम्बल रेसिपी बनाने के लिए सबसे पहले एक सॉसपैन में तेल गर्म करें। उसमें जीरा डालें और उसे चटकने दें। जीरा चटकने के बाद उसमें ग्रीन बीन्स, नमक डालें और बीन्स के नरम होने तक पकाएँ। बीन्स के पक जाने के बाद उसमें धीरे-धीरे अंडे डालें और मिल"&amp;"ाते रहें। अब हल्दी पाउडर, काली मिर्च पाउडर, हरी मिर्च, नमक डालें और मिलाते रहें। 3 से 4 मिनट तक या अंडे के अच्छी तरह से पकने तक पकाएँ। ग्रीन बीन्स एग स्क्रैम्बल रेसिपी को ब्रेड टोस्ट और फिल्टर कॉफी के साथ नाश्ते में सर्व करें।")</f>
        <v>ग्रीन बीन्स एग स्क्रैम्बल रेसिपी बनाने के लिए सबसे पहले एक सॉसपैन में तेल गर्म करें। उसमें जीरा डालें और उसे चटकने दें। जीरा चटकने के बाद उसमें ग्रीन बीन्स, नमक डालें और बीन्स के नरम होने तक पकाएँ। बीन्स के पक जाने के बाद उसमें धीरे-धीरे अंडे डालें और मिलाते रहें। अब हल्दी पाउडर, काली मिर्च पाउडर, हरी मिर्च, नमक डालें और मिलाते रहें। 3 से 4 मिनट तक या अंडे के अच्छी तरह से पकने तक पकाएँ। ग्रीन बीन्स एग स्क्रैम्बल रेसिपी को ब्रेड टोस्ट और फिल्टर कॉफी के साथ नाश्ते में सर्व करें।</v>
      </c>
      <c r="J295" s="3" t="s">
        <v>32179</v>
      </c>
      <c r="L295" s="1" t="s">
        <v>31003</v>
      </c>
    </row>
    <row r="296" spans="1:12" ht="409.6">
      <c r="A296" s="1" t="s">
        <v>32180</v>
      </c>
      <c r="B296" s="1" t="str">
        <f ca="1">IFERROR(__xludf.dummyfunction("IF(A296="""", """", GOOGLETRANSLATE(A296, ""en"", ""hi""))"),"लहसुन और प्याज के साथ ताड़केवाली मसूर दाल खिचड़ी रेसिपी")</f>
        <v>लहसुन और प्याज के साथ ताड़केवाली मसूर दाल खिचड़ी रेसिपी</v>
      </c>
      <c r="C296" s="1" t="s">
        <v>14259</v>
      </c>
      <c r="D296" s="1" t="s">
        <v>14198</v>
      </c>
      <c r="E296" s="1">
        <v>45</v>
      </c>
      <c r="F296" s="1" t="s">
        <v>32181</v>
      </c>
      <c r="G296" s="1" t="str">
        <f ca="1">IFERROR(__xludf.dummyfunction("IF(F296="""", """", GOOGLETRANSLATE(F296, ""en"", ""hi""))"),"1 कप चावल - धोया और भिगोया हुआ, 3/4 कप मसूर दाल (साबुत), 1 टमाटर - कटा हुआ, 2 इंच अदरक - कटा हुआ, 1 तेज पत्ता, 1 चम्मच हल्दी पाउडर (हल्दी), 2 हरी मिर्च - कटी हुई, नमक - स्वादानुसार, 2 बड़े चम्मच घी, 2 चम्मच जीरा, 2 सूखी लाल मिर्च, 6 लहसुन - कटा हुआ, 2 प्य"&amp;"ाज - पतले कटे हुए, नमक - स्वादानुसार, 1/3 कप धनिया पत्ती - कटी हुई")</f>
        <v>1 कप चावल - धोया और भिगोया हुआ, 3/4 कप मसूर दाल (साबुत), 1 टमाटर - कटा हुआ, 2 इंच अदरक - कटा हुआ, 1 तेज पत्ता, 1 चम्मच हल्दी पाउडर (हल्दी), 2 हरी मिर्च - कटी हुई, नमक - स्वादानुसार, 2 बड़े चम्मच घी, 2 चम्मच जीरा, 2 सूखी लाल मिर्च, 6 लहसुन - कटा हुआ, 2 प्याज - पतले कटे हुए, नमक - स्वादानुसार, 1/3 कप धनिया पत्ती - कटी हुई</v>
      </c>
      <c r="H296" s="1" t="s">
        <v>32182</v>
      </c>
      <c r="I296" s="4" t="str">
        <f ca="1">IFERROR(__xludf.dummyfunction("IF(H296="""", """", GOOGLETRANSLATE(H296, ""en"", ""hi""))"),"तड़के वाली मसूर दाल खिचड़ी रेसिपी लहसुन और प्याज के साथ बनाने के लिए सबसे पहले एक प्रेशर कुकर को मध्यम आंच पर गर्म करें, उसमें मसूर दाल, चावल, टमाटर, अदरक, हरी मिर्च, हल्दी पाउडर, नमक और तेज पत्ता डालें। 4 कप पानी डालें और मसूर दाल खिचड़ी को 4 सीटी आने तक"&amp;" पका लें और आंच बंद कर दें। प्रेशर को अपने आप निकलने दें। एक तरफ रख दें। एक कड़ाही में मध्यम आंच पर घी गर्म करें, उसमें जीरा और लाल मिर्च डालें और उन्हें तड़कने दें। अब इसमें कटा हुआ लहसुन डालें और इसे भूरा होने तक भूनें, इसमें 2-3 मिनट का समय लगेगा। लहसु"&amp;"न के भून जाने के बाद इसमें पतले कटे हुए प्याज डालें और लगभग 5 मिनट तक भूनें जब तक कि यह कैरामेलाइज़्ड न हो जाए। आंच बंद कर दें, धनिया पत्ती डालकर मिलाएँ और एक तरफ रख दें। प्रेशर कुकर खोलें और मसूर दाल खिचड़ी को अच्छे से चलाएँ। मसूर दाल खिचड़ी को एक सर्विं"&amp;"ग प्लेट में निकालें और मसूर दाल खिचड़ी में लहसुन और प्याज का तड़का चम्मच से डालें। इस ताड़केवाली मसूर दाल खिचड़ी रेसिपी को लहसुन और प्याज के साथ पुदीना और धनिया रायता रेसिपी और आम का अचार रेसिपी के साथ एक साधारण आरामदायक सप्ताहांत रात्रिभोज के लिए परोसें।"&amp;"
")</f>
        <v xml:space="preserve">तड़के वाली मसूर दाल खिचड़ी रेसिपी लहसुन और प्याज के साथ बनाने के लिए सबसे पहले एक प्रेशर कुकर को मध्यम आंच पर गर्म करें, उसमें मसूर दाल, चावल, टमाटर, अदरक, हरी मिर्च, हल्दी पाउडर, नमक और तेज पत्ता डालें। 4 कप पानी डालें और मसूर दाल खिचड़ी को 4 सीटी आने तक पका लें और आंच बंद कर दें। प्रेशर को अपने आप निकलने दें। एक तरफ रख दें। एक कड़ाही में मध्यम आंच पर घी गर्म करें, उसमें जीरा और लाल मिर्च डालें और उन्हें तड़कने दें। अब इसमें कटा हुआ लहसुन डालें और इसे भूरा होने तक भूनें, इसमें 2-3 मिनट का समय लगेगा। लहसुन के भून जाने के बाद इसमें पतले कटे हुए प्याज डालें और लगभग 5 मिनट तक भूनें जब तक कि यह कैरामेलाइज़्ड न हो जाए। आंच बंद कर दें, धनिया पत्ती डालकर मिलाएँ और एक तरफ रख दें। प्रेशर कुकर खोलें और मसूर दाल खिचड़ी को अच्छे से चलाएँ। मसूर दाल खिचड़ी को एक सर्विंग प्लेट में निकालें और मसूर दाल खिचड़ी में लहसुन और प्याज का तड़का चम्मच से डालें। इस ताड़केवाली मसूर दाल खिचड़ी रेसिपी को लहसुन और प्याज के साथ पुदीना और धनिया रायता रेसिपी और आम का अचार रेसिपी के साथ एक साधारण आरामदायक सप्ताहांत रात्रिभोज के लिए परोसें।
</v>
      </c>
      <c r="J296" s="3" t="s">
        <v>32183</v>
      </c>
      <c r="L296" s="1" t="s">
        <v>31003</v>
      </c>
    </row>
    <row r="297" spans="1:12" ht="13.8">
      <c r="A297" s="1" t="s">
        <v>32184</v>
      </c>
      <c r="B297" s="1" t="str">
        <f ca="1">IFERROR(__xludf.dummyfunction("IF(A297="""", """", GOOGLETRANSLATE(A297, ""en"", ""hi""))"),"केसर मलाई दूध रेसिपी")</f>
        <v>केसर मलाई दूध रेसिपी</v>
      </c>
      <c r="C297" s="1" t="s">
        <v>14281</v>
      </c>
      <c r="D297" s="1" t="s">
        <v>14198</v>
      </c>
      <c r="E297" s="1">
        <v>130</v>
      </c>
      <c r="F297" s="1" t="s">
        <v>32185</v>
      </c>
      <c r="G297" s="1" t="str">
        <f ca="1">IFERROR(__xludf.dummyfunction("IF(F297="""", """", GOOGLETRANSLATE(F297, ""en"", ""hi""))"),"1 लीटर दूध, 1 चम्मच इलायची पाउडर (इलायची), 10 केसर के रेशे, 2 बड़े चम्मच काजू - पाउडर, 3 बड़े चम्मच चीनी, केसर के रेशे - गार्निशिंग के लिए आवश्यकतानुसार, सूखे गुलाब की पंखुड़ियाँ - गार्निशिंग के लिए आवश्यकतानुसार, सूखे मेवे - चांदी के")</f>
        <v>1 लीटर दूध, 1 चम्मच इलायची पाउडर (इलायची), 10 केसर के रेशे, 2 बड़े चम्मच काजू - पाउडर, 3 बड़े चम्मच चीनी, केसर के रेशे - गार्निशिंग के लिए आवश्यकतानुसार, सूखे गुलाब की पंखुड़ियाँ - गार्निशिंग के लिए आवश्यकतानुसार, सूखे मेवे - चांदी के</v>
      </c>
      <c r="H297" s="1" t="s">
        <v>32186</v>
      </c>
      <c r="I297" s="1" t="str">
        <f ca="1">IFERROR(__xludf.dummyfunction("IF(H297="""", """", GOOGLETRANSLATE(H297, ""en"", ""hi""))"),"केसर मलाई दूध रेसिपी बनाने के लिए सबसे पहले एक भारी तले के पैन में दूध गर्म करें और उसमें केसर, इलायची पाउडर और काजू पाउडर डालें। जब दूध उबलने लगे तो आंच धीमी कर दें और दूध को 3-4 मिनट तक उबालें। आंच बंद कर दें और उबलते दूध के ऊपर क्रीम को इकट्ठा होने दें"&amp;"। धीरे से क्रीम को हटाकर एक कंटेनर में भर लें। दूध को फिर से गर्म करें और 3-4 मिनट तक उबालें। फिर से आंच बंद कर दें और क्रीम को ऊपर इकट्ठा होने दें। एक बार फिर से क्रीम को हटाकर पिछली क्रीम में मिला दें। इस प्रक्रिया को 2-3 बार दोहराएं। केसर मलाई दूध को प"&amp;"रोसने के लिए दूध को थोड़ी ऊंचाई से एक लंबे स्टील के गिलास में डालें और इकट्ठी क्रीम को दूध के ऊपर डालें। केसर के रेशे, सूखे गुलाब की पंखुड़ियों और मेवे के टुकड़ों से गार्निश करें यह एक प्रसिद्ध मिठाई है, खासकर राजस्थान, गुजरात और पंजाब में और सर्दियों के "&amp;"दौरान शादियों में भी परोसी जाती है।")</f>
        <v>केसर मलाई दूध रेसिपी बनाने के लिए सबसे पहले एक भारी तले के पैन में दूध गर्म करें और उसमें केसर, इलायची पाउडर और काजू पाउडर डालें। जब दूध उबलने लगे तो आंच धीमी कर दें और दूध को 3-4 मिनट तक उबालें। आंच बंद कर दें और उबलते दूध के ऊपर क्रीम को इकट्ठा होने दें। धीरे से क्रीम को हटाकर एक कंटेनर में भर लें। दूध को फिर से गर्म करें और 3-4 मिनट तक उबालें। फिर से आंच बंद कर दें और क्रीम को ऊपर इकट्ठा होने दें। एक बार फिर से क्रीम को हटाकर पिछली क्रीम में मिला दें। इस प्रक्रिया को 2-3 बार दोहराएं। केसर मलाई दूध को परोसने के लिए दूध को थोड़ी ऊंचाई से एक लंबे स्टील के गिलास में डालें और इकट्ठी क्रीम को दूध के ऊपर डालें। केसर के रेशे, सूखे गुलाब की पंखुड़ियों और मेवे के टुकड़ों से गार्निश करें यह एक प्रसिद्ध मिठाई है, खासकर राजस्थान, गुजरात और पंजाब में और सर्दियों के दौरान शादियों में भी परोसी जाती है।</v>
      </c>
      <c r="J297" s="3" t="s">
        <v>32187</v>
      </c>
      <c r="L297" s="1" t="s">
        <v>31003</v>
      </c>
    </row>
    <row r="298" spans="1:12" ht="13.8">
      <c r="A298" s="1" t="s">
        <v>32188</v>
      </c>
      <c r="B298" s="1" t="str">
        <f ca="1">IFERROR(__xludf.dummyfunction("IF(A298="""", """", GOOGLETRANSLATE(A298, ""en"", ""hi""))"),"स्वादिष्ट मेथी चिकन करी - मुर्ग मेथी करी रेसिपी")</f>
        <v>स्वादिष्ट मेथी चिकन करी - मुर्ग मेथी करी रेसिपी</v>
      </c>
      <c r="C298" s="1" t="s">
        <v>429</v>
      </c>
      <c r="D298" s="1" t="s">
        <v>14382</v>
      </c>
      <c r="E298" s="1">
        <v>100</v>
      </c>
      <c r="F298" s="1" t="s">
        <v>32189</v>
      </c>
      <c r="G298" s="1" t="str">
        <f ca="1">IFERROR(__xludf.dummyfunction("IF(F298="""", """", GOOGLETRANSLATE(F298, ""en"", ""hi""))"),"300 ग्राम बोनलेस चिकन - टुकड़ों में कटा हुआ, 1 कप मेथी के पत्ते (मेथी के पत्ते) - मोटे तौर पर कटे हुए, 3 प्याज - बारीक कटे हुए, 2 टमाटर - बारीक कटे हुए, 1 कप दही, 10 लहसुन के दाने, 2 इंच अदरक, 2 हरी मिर्च, 1/4 कप धनिया के पत्ते, 1 चम्मच हल्दी पाउडर (हल्दी"&amp;"), 1 चम्मच लाल मिर्च पाउडर, 1 चम्मच गरम मसाला पाउडर - एडजस्ट करने योग्य, 2 चम्मच धनिया पाउडर (धनिया), 2 चम्मच कसूरी मेथी (सूखी मेथी के पत्ते), 1 बड़ा चम्मच सूरजमुखी का तेल - प्याज को तलने के लिए, 1 चम्मच सूरजमुखी का तेल, 2 लौंग, 1 इंच दालचीनी, 2 इलायची की"&amp;" फली / बीज, 1 चम्मच साबुत काली मिर्च, 1 तेज पत्ता, धनिया के पत्ते - बारीक कटा हुआ")</f>
        <v>300 ग्राम बोनलेस चिकन - टुकड़ों में कटा हुआ, 1 कप मेथी के पत्ते (मेथी के पत्ते) - मोटे तौर पर कटे हुए, 3 प्याज - बारीक कटे हुए, 2 टमाटर - बारीक कटे हुए, 1 कप दही, 10 लहसुन के दाने, 2 इंच अदरक, 2 हरी मिर्च, 1/4 कप धनिया के पत्ते, 1 चम्मच हल्दी पाउडर (हल्दी), 1 चम्मच लाल मिर्च पाउडर, 1 चम्मच गरम मसाला पाउडर - एडजस्ट करने योग्य, 2 चम्मच धनिया पाउडर (धनिया), 2 चम्मच कसूरी मेथी (सूखी मेथी के पत्ते), 1 बड़ा चम्मच सूरजमुखी का तेल - प्याज को तलने के लिए, 1 चम्मच सूरजमुखी का तेल, 2 लौंग, 1 इंच दालचीनी, 2 इलायची की फली / बीज, 1 चम्मच साबुत काली मिर्च, 1 तेज पत्ता, धनिया के पत्ते - बारीक कटा हुआ</v>
      </c>
      <c r="H298" s="1" t="s">
        <v>32190</v>
      </c>
      <c r="I298" s="1" t="str">
        <f ca="1">IFERROR(__xludf.dummyfunction("IF(H298="""", """", GOOGLETRANSLATE(H298, ""en"", ""hi""))"),"मेथी चिकन करी रेसिपी बनाने के लिए सबसे पहले चिकन को साफ करें और पर्याप्त पानी में अच्छी तरह से धो लें। चिकन से पानी निकाल दें और मध्यम आकार के टुकड़ों में काट लें। इन्हें एक तरफ रख दें। लहसुन, अदरक, हरी मिर्च और धनिया पत्ती को मिक्सर ग्राइंडर में डालें और"&amp;" बहुत कम पानी का उपयोग करके उन्हें पेस्ट बना लें। इसे एक तरफ रख दें। एक कटोरा लें और उसमें दही, आधा हरा पेस्ट जो हमने ऊपर बनाया था और आधा हल्दी पाउडर डालें। इसे अच्छे से मिला लें। इसके बाद चिकन के टुकड़ों को कटोरे में डालें और चिकन को इस धनिया, अदरक और लह"&amp;"सुन के मिश्रण में लपेट दें। एक बार यह हो जाने के बाद चिकन को लगभग एक घंटे के लिए मैरिनेट होने के लिए रख दें। अगला कदम मेथी चिकन करी के लिए ग्रेवी बनाना है। मध्यम आंच पर एक भारी तले वाले पैन में तेल गर्म करें धीमी से मध्यम आंच पर लगातार चलाते रहें जब तक प्"&amp;"याज हल्का भूरा हो जाए। कैरामेलाइज़्ड प्याज मेथी चिकन करी को एक स्वादिष्ट स्वाद प्रदान करते हैं। आंच बंद कर दें और इन प्याज को थोड़ा ठंडा होने के लिए रख दें। ठंडा होने पर मिक्सर ग्राइंडर में बारीक पीस लें। मध्यम आंच पर उसी पैन में तेल गर्म करें। तड़के के ल"&amp;"िए बताए गए साबुत मसाले डालें जिसमें लौंग, दालचीनी, इलायची, काली मिर्च और तेज पत्ता शामिल हैं। तब तक भूनें जब तक मसालों की खुशबू हवा में न फैल जाए। इसके बाद बचा हुआ हरा धनिया पेस्ट, कैरामेलाइज़्ड प्याज का पेस्ट डालें और कुछ मिनट तक हिलाएं। अब बचा हुआ हल्दी"&amp;" पाउडर और कटे हुए टमाटर डालें। भूनें और पैन को ढक्कन से ढक दें और टमाटर को नरम होने तक पकाएं कटी हुई मेथी की पत्तियां डालें और तब तक भूनें जब तक कि पत्तियां नरम न हो जाएं। इस स्तर पर, पूरे मैरिनेड के साथ मैरीनेट किया हुआ चिकन डालें और 2 से 3 मिनट तक तेज आ"&amp;"ंच पर भूनें। जब चिकन का रंग बदल जाए, तो एक कप पानी डालें और मिश्रण को उबाल लें। स्वादानुसार नमक डालें। मेथी चिकन करी को ढककर मध्यम आंच पर बीच-बीच में हिलाते हुए पकाएं। चिकन को पूरी तरह पकने में लगभग 20 मिनट का समय लगेगा। जब चिकन पूरी तरह पक जाए, तो कसूरी "&amp;"मेथी डालें और मसाला जांचें। चाहें तो नमक और अन्य मसाले समायोजित करें। मेथी चिकन की ग्रेवी को गाढ़ा करने के लिए कुछ और मिनट के लिए तेज आंच पर खुला पकाएं। जब ग्रेवी गाढ़ी हो जाए, तो आंच बंद कर दें, एक सर्विंग बाउल में डालें और धनिया पत्ती से गार्निश करें")</f>
        <v>मेथी चिकन करी रेसिपी बनाने के लिए सबसे पहले चिकन को साफ करें और पर्याप्त पानी में अच्छी तरह से धो लें। चिकन से पानी निकाल दें और मध्यम आकार के टुकड़ों में काट लें। इन्हें एक तरफ रख दें। लहसुन, अदरक, हरी मिर्च और धनिया पत्ती को मिक्सर ग्राइंडर में डालें और बहुत कम पानी का उपयोग करके उन्हें पेस्ट बना लें। इसे एक तरफ रख दें। एक कटोरा लें और उसमें दही, आधा हरा पेस्ट जो हमने ऊपर बनाया था और आधा हल्दी पाउडर डालें। इसे अच्छे से मिला लें। इसके बाद चिकन के टुकड़ों को कटोरे में डालें और चिकन को इस धनिया, अदरक और लहसुन के मिश्रण में लपेट दें। एक बार यह हो जाने के बाद चिकन को लगभग एक घंटे के लिए मैरिनेट होने के लिए रख दें। अगला कदम मेथी चिकन करी के लिए ग्रेवी बनाना है। मध्यम आंच पर एक भारी तले वाले पैन में तेल गर्म करें धीमी से मध्यम आंच पर लगातार चलाते रहें जब तक प्याज हल्का भूरा हो जाए। कैरामेलाइज़्ड प्याज मेथी चिकन करी को एक स्वादिष्ट स्वाद प्रदान करते हैं। आंच बंद कर दें और इन प्याज को थोड़ा ठंडा होने के लिए रख दें। ठंडा होने पर मिक्सर ग्राइंडर में बारीक पीस लें। मध्यम आंच पर उसी पैन में तेल गर्म करें। तड़के के लिए बताए गए साबुत मसाले डालें जिसमें लौंग, दालचीनी, इलायची, काली मिर्च और तेज पत्ता शामिल हैं। तब तक भूनें जब तक मसालों की खुशबू हवा में न फैल जाए। इसके बाद बचा हुआ हरा धनिया पेस्ट, कैरामेलाइज़्ड प्याज का पेस्ट डालें और कुछ मिनट तक हिलाएं। अब बचा हुआ हल्दी पाउडर और कटे हुए टमाटर डालें। भूनें और पैन को ढक्कन से ढक दें और टमाटर को नरम होने तक पकाएं कटी हुई मेथी की पत्तियां डालें और तब तक भूनें जब तक कि पत्तियां नरम न हो जाएं। इस स्तर पर, पूरे मैरिनेड के साथ मैरीनेट किया हुआ चिकन डालें और 2 से 3 मिनट तक तेज आंच पर भूनें। जब चिकन का रंग बदल जाए, तो एक कप पानी डालें और मिश्रण को उबाल लें। स्वादानुसार नमक डालें। मेथी चिकन करी को ढककर मध्यम आंच पर बीच-बीच में हिलाते हुए पकाएं। चिकन को पूरी तरह पकने में लगभग 20 मिनट का समय लगेगा। जब चिकन पूरी तरह पक जाए, तो कसूरी मेथी डालें और मसाला जांचें। चाहें तो नमक और अन्य मसाले समायोजित करें। मेथी चिकन की ग्रेवी को गाढ़ा करने के लिए कुछ और मिनट के लिए तेज आंच पर खुला पकाएं। जब ग्रेवी गाढ़ी हो जाए, तो आंच बंद कर दें, एक सर्विंग बाउल में डालें और धनिया पत्ती से गार्निश करें</v>
      </c>
      <c r="J298" s="3" t="s">
        <v>32191</v>
      </c>
      <c r="L298" s="1" t="s">
        <v>31003</v>
      </c>
    </row>
    <row r="299" spans="1:12" ht="13.8">
      <c r="A299" s="1" t="s">
        <v>32192</v>
      </c>
      <c r="B299" s="1" t="str">
        <f ca="1">IFERROR(__xludf.dummyfunction("IF(A299="""", """", GOOGLETRANSLATE(A299, ""en"", ""hi""))"),"उत्तर भारतीय सूजी हलवा रेसिपी")</f>
        <v>उत्तर भारतीय सूजी हलवा रेसिपी</v>
      </c>
      <c r="C299" s="1" t="s">
        <v>8417</v>
      </c>
      <c r="D299" s="1" t="s">
        <v>14198</v>
      </c>
      <c r="E299" s="1">
        <v>40</v>
      </c>
      <c r="F299" s="1" t="s">
        <v>32193</v>
      </c>
      <c r="G299" s="1" t="str">
        <f ca="1">IFERROR(__xludf.dummyfunction("IF(F299="""", """", GOOGLETRANSLATE(F299, ""en"", ""hi""))"),"1 कप सूजी, 1/2 कप घी, 3/4 कप चीनी, 1 कप दूध, 2 कप पानी, 1 चम्मच इलायची पाउडर, 2 केसर के धागे, 1 बड़ा चम्मच घी, 10 काजू - आधे कटे हुए, 2 बड़े चम्मच किशमिश")</f>
        <v>1 कप सूजी, 1/2 कप घी, 3/4 कप चीनी, 1 कप दूध, 2 कप पानी, 1 चम्मच इलायची पाउडर, 2 केसर के धागे, 1 बड़ा चम्मच घी, 10 काजू - आधे कटे हुए, 2 बड़े चम्मच किशमिश</v>
      </c>
      <c r="H299" s="1" t="s">
        <v>32194</v>
      </c>
      <c r="I299" s="1" t="str">
        <f ca="1">IFERROR(__xludf.dummyfunction("IF(H299="""", """", GOOGLETRANSLATE(H299, ""en"", ""hi""))"),"सूजी का हलवा रेसिपी बनाना शुरू करने के लिए, हम सबसे पहले एक सॉस पैन में पानी, दूध, चीनी, केसर और इलायची को उबालेंगे और चीनी पिघलने तक हिलाते रहेंगे। तरल मिश्रण को दूसरे स्टोव पर धीमी आंच पर रख दें। एक चौड़े भारी तले वाले पैन में मध्यम आंच पर घी गर्म करें;"&amp;" सूजी (रवा / सूजी) डालें और तब तक भूनें जब तक सूजी से भुनी हुई सुगंध न आने लगे और रंग भी हल्का सुनहरा भूरा हो जाए। ध्यान रखें कि इसे ज्यादा भूरा न होने दें। पहले से तैयार गर्म तरल मिश्रण को धीरे-धीरे चलाना शुरू करें। ध्यान रखें कि आंच मध्यम रखें क्योंकि ज"&amp;"ब आप सूजी में गर्म तरल डालेंगे तो मिश्रण इधर-उधर बिखर जाएगा। मिश्रण को हिलाते रहें और सूजी गाढ़ा होना जारी रहेगा। इस स्तर पर, गर्मी बंद कर दें, पैन को ढक्कन से ढक दें और सूजी के हलवे को कुछ मिनट के लिए आराम दें। एक अन्य छोटे पैन में, मध्यम आँच पर घी गर्म "&amp;"करें; काजू और किशमिश डालें और उन्हें तब तक भूनें जब तक कि काजू सुनहरे भूरे रंग के न हो जाएँ। आँच बंद करें और इसे सूजी के हलवे में मिलाएँ। एक सरल और स्वादिष्ट रविवार के दोपहर के भोजन के लिए सूजी के हलवे को पूरी और अमृतसरी छोले के साथ काले चने के साथ परोसें"&amp;"।")</f>
        <v>सूजी का हलवा रेसिपी बनाना शुरू करने के लिए, हम सबसे पहले एक सॉस पैन में पानी, दूध, चीनी, केसर और इलायची को उबालेंगे और चीनी पिघलने तक हिलाते रहेंगे। तरल मिश्रण को दूसरे स्टोव पर धीमी आंच पर रख दें। एक चौड़े भारी तले वाले पैन में मध्यम आंच पर घी गर्म करें; सूजी (रवा / सूजी) डालें और तब तक भूनें जब तक सूजी से भुनी हुई सुगंध न आने लगे और रंग भी हल्का सुनहरा भूरा हो जाए। ध्यान रखें कि इसे ज्यादा भूरा न होने दें। पहले से तैयार गर्म तरल मिश्रण को धीरे-धीरे चलाना शुरू करें। ध्यान रखें कि आंच मध्यम रखें क्योंकि जब आप सूजी में गर्म तरल डालेंगे तो मिश्रण इधर-उधर बिखर जाएगा। मिश्रण को हिलाते रहें और सूजी गाढ़ा होना जारी रहेगा। इस स्तर पर, गर्मी बंद कर दें, पैन को ढक्कन से ढक दें और सूजी के हलवे को कुछ मिनट के लिए आराम दें। एक अन्य छोटे पैन में, मध्यम आँच पर घी गर्म करें; काजू और किशमिश डालें और उन्हें तब तक भूनें जब तक कि काजू सुनहरे भूरे रंग के न हो जाएँ। आँच बंद करें और इसे सूजी के हलवे में मिलाएँ। एक सरल और स्वादिष्ट रविवार के दोपहर के भोजन के लिए सूजी के हलवे को पूरी और अमृतसरी छोले के साथ काले चने के साथ परोसें।</v>
      </c>
      <c r="J299" s="3" t="s">
        <v>32195</v>
      </c>
      <c r="L299" s="1" t="s">
        <v>31003</v>
      </c>
    </row>
    <row r="300" spans="1:12" ht="13.8">
      <c r="A300" s="1" t="s">
        <v>32196</v>
      </c>
      <c r="B300" s="1" t="str">
        <f ca="1">IFERROR(__xludf.dummyfunction("IF(A300="""", """", GOOGLETRANSLATE(A300, ""en"", ""hi""))"),"मेथी और सोया चंक्स सूखी सब्जी रेसिपी")</f>
        <v>मेथी और सोया चंक्स सूखी सब्जी रेसिपी</v>
      </c>
      <c r="C300" s="1" t="s">
        <v>14207</v>
      </c>
      <c r="D300" s="1" t="s">
        <v>14198</v>
      </c>
      <c r="E300" s="1">
        <v>50</v>
      </c>
      <c r="F300" s="1" t="s">
        <v>32197</v>
      </c>
      <c r="G300" s="1" t="str">
        <f ca="1">IFERROR(__xludf.dummyfunction("IF(F300="""", """", GOOGLETRANSLATE(F300, ""en"", ""hi""))"),"1 कप सोया चंक्स - गरम पानी में भिगोएं, 1 कप मेथी - धोकर बारीक काट लें, 1 टमाटर, 1 प्याज, 2 चम्मच तेल, 1/2 चम्मच राई, 1/2 चम्मच हल्दी पाउडर, 2 चम्मच लाल मिर्च पाउडर, 1 चम्मच जीरा पाउडर, 1 चम्मच धनिया पाउडर, 1 चम्मच गरम मसाला पाउडर, नमक - स्वादानुसार")</f>
        <v>1 कप सोया चंक्स - गरम पानी में भिगोएं, 1 कप मेथी - धोकर बारीक काट लें, 1 टमाटर, 1 प्याज, 2 चम्मच तेल, 1/2 चम्मच राई, 1/2 चम्मच हल्दी पाउडर, 2 चम्मच लाल मिर्च पाउडर, 1 चम्मच जीरा पाउडर, 1 चम्मच धनिया पाउडर, 1 चम्मच गरम मसाला पाउडर, नमक - स्वादानुसार</v>
      </c>
      <c r="H300" s="1" t="s">
        <v>32198</v>
      </c>
      <c r="I300" s="1" t="str">
        <f ca="1">IFERROR(__xludf.dummyfunction("IF(H300="""", """", GOOGLETRANSLATE(H300, ""en"", ""hi""))"),"मेथी सोया चंक्स सब्ज़ी रेसिपी बनाने के लिए सबसे पहले एक बर्तन में गरम पानी लें। उसमें सोया चंक्स डालकर 20 मिनट के लिए रख दें। 20 मिनट बाद पानी निथार कर अलग रख दें। अब एक पैन में तेल गरम करें, उसमें राई डालें और चटकाएँ। अब प्याज़ डालें और सुनहरा भूरा होने "&amp;"तक पकाएँ। इसके बाद टमाटर डालें और नरम होने तक पकाएँ। अब मेथी डालें, मिलाएँ और पैन को ढक कर 2 मिनट तक पकाएँ। अब हल्दी पाउडर, लाल मिर्च पाउडर, जीरा पाउडर, धनिया पाउडर, गरम मसाला पाउडर डालकर मिलाएँ। 2 मिनट बाद सोया डालें, मिलाएँ और 2 मिनट तक पकाएँ। मेथी सोया"&amp;" चंक्स सब्ज़ी रेसिपी को पालक दाल, बूंदी रायता और फुल्के के साथ लंच में परोसें।")</f>
        <v>मेथी सोया चंक्स सब्ज़ी रेसिपी बनाने के लिए सबसे पहले एक बर्तन में गरम पानी लें। उसमें सोया चंक्स डालकर 20 मिनट के लिए रख दें। 20 मिनट बाद पानी निथार कर अलग रख दें। अब एक पैन में तेल गरम करें, उसमें राई डालें और चटकाएँ। अब प्याज़ डालें और सुनहरा भूरा होने तक पकाएँ। इसके बाद टमाटर डालें और नरम होने तक पकाएँ। अब मेथी डालें, मिलाएँ और पैन को ढक कर 2 मिनट तक पकाएँ। अब हल्दी पाउडर, लाल मिर्च पाउडर, जीरा पाउडर, धनिया पाउडर, गरम मसाला पाउडर डालकर मिलाएँ। 2 मिनट बाद सोया डालें, मिलाएँ और 2 मिनट तक पकाएँ। मेथी सोया चंक्स सब्ज़ी रेसिपी को पालक दाल, बूंदी रायता और फुल्के के साथ लंच में परोसें।</v>
      </c>
      <c r="J300" s="3" t="s">
        <v>32199</v>
      </c>
      <c r="L300" s="1" t="s">
        <v>31003</v>
      </c>
    </row>
    <row r="301" spans="1:12" ht="13.8">
      <c r="A301" s="1" t="s">
        <v>32200</v>
      </c>
      <c r="B301" s="1" t="str">
        <f ca="1">IFERROR(__xludf.dummyfunction("IF(A301="""", """", GOOGLETRANSLATE(A301, ""en"", ""hi""))"),"मुर्ग अनारदाना रेसिपी - दही ग्रेवी में अनार चिकन")</f>
        <v>मुर्ग अनारदाना रेसिपी - दही ग्रेवी में अनार चिकन</v>
      </c>
      <c r="C301" s="1" t="s">
        <v>14207</v>
      </c>
      <c r="D301" s="1" t="s">
        <v>14382</v>
      </c>
      <c r="E301" s="1">
        <v>40</v>
      </c>
      <c r="F301" s="1" t="s">
        <v>32201</v>
      </c>
      <c r="G301" s="1" t="str">
        <f ca="1">IFERROR(__xludf.dummyfunction("IF(F301="""", """", GOOGLETRANSLATE(F301, ""en"", ""hi""))"),"1 किलो बोनलेस चिकन - छोटे टुकड़ों में कटा हुआ, 1 बड़ा चम्मच अदरक लहसुन पेस्ट - 1 बड़ा चम्मच अदरक लहसुन पेस्ट, नमक - स्वादानुसार, 1 बड़ा चम्मच लाल मिर्च पाउडर, 2 बड़े चम्मच सूरजमुखी तेल, 1 बड़ा चम्मच घी, 4 बड़े चम्मच काजू - पेस्ट बनाने के लिए पीसे हुए (हमे"&amp;"ं 3 बड़े चम्मच पेस्ट चाहिए), 1/2 बड़ा चम्मच खसखस ​​- पेस्ट बनाने के लिए पीसे हुए, 3 बड़े चम्मच दही, 4 बड़े चम्मच घर का बना टमाटर प्यूरी, 3 प्याज - कटे हुए, 3 बड़े चम्मच ताजा क्रीम, 1 छोटा चम्मच गरम मसाला पाउडर, 1 छोटा चम्मच जीरा पाउडर (जीरा), 1 कप ताजे अन"&amp;"ार के फल की गिरी - मिश्रित")</f>
        <v>1 किलो बोनलेस चिकन - छोटे टुकड़ों में कटा हुआ, 1 बड़ा चम्मच अदरक लहसुन पेस्ट - 1 बड़ा चम्मच अदरक लहसुन पेस्ट, नमक - स्वादानुसार, 1 बड़ा चम्मच लाल मिर्च पाउडर, 2 बड़े चम्मच सूरजमुखी तेल, 1 बड़ा चम्मच घी, 4 बड़े चम्मच काजू - पेस्ट बनाने के लिए पीसे हुए (हमें 3 बड़े चम्मच पेस्ट चाहिए), 1/2 बड़ा चम्मच खसखस ​​- पेस्ट बनाने के लिए पीसे हुए, 3 बड़े चम्मच दही, 4 बड़े चम्मच घर का बना टमाटर प्यूरी, 3 प्याज - कटे हुए, 3 बड़े चम्मच ताजा क्रीम, 1 छोटा चम्मच गरम मसाला पाउडर, 1 छोटा चम्मच जीरा पाउडर (जीरा), 1 कप ताजे अनार के फल की गिरी - मिश्रित</v>
      </c>
      <c r="H301" s="1" t="s">
        <v>32202</v>
      </c>
      <c r="I301" s="1" t="str">
        <f ca="1">IFERROR(__xludf.dummyfunction("IF(H301="""", """", GOOGLETRANSLATE(H301, ""en"", ""hi""))"),"मुर्ग अनारदाना रेसिपी बनाने के लिए सबसे पहले एक मिक्सिंग बाउल लें और उसमें आधा अदरक लहसुन पेस्ट, आधा मिर्च पाउडर और नमक डालकर चिकन को मैरीनेट करें। चिकन के टुकड़ों को इन मसालों के साथ लगभग आधे घंटे तक मैरीनेट होने दें। इस बीच, एक कढ़ाई में लगभग 2 चम्मच ते"&amp;"ल गर्म करें, उसमें कटे हुए प्याज डालें और मध्यम आँच पर भूरा होने तक भूनें। जब प्याज भूरा हो जाए, तो मिक्सर ग्राइंडर में इसे पीसकर चिकना पेस्ट बना लें। एक तरफ रख दें। अनार के दानों को भी पीसकर जूस निकाल लें। यह वैकल्पिक है-आप गूदे को जूस में रख सकते हैं। ए"&amp;"क तरफ रख दें। एक बार जब चिकन मैरीनेट हो जाए, तो एक बड़ी कढ़ाई लें और उसमें 1-1/2 चम्मच तेल गर्म करें। जब तेल गरम हो जाए तो उसमें सभी मैरीनेट किए हुए चिकन के टुकड़े डालें और कुछ मिनट तक भूनें, जब तक कि चिकन थोड़ा नरम न हो जाए। इस बीच एक अन्य कढ़ाई में बचा "&amp;"हुआ तेल, घी, अदरक लहसुन का पेस्ट डालें और तब तक भूनें जब तक कि अदरक लहसुन के पेस्ट की कच्ची महक न चली जाए। जब ​​कच्ची महक चली जाए तो उसमें दही, टमाटर प्यूरी, प्याज का पेस्ट, जीरा पाउडर, लाल मिर्च पाउडर, काजू का पेस्ट, खसखस ​​का पेस्ट और गरम मसाला डालें। इ"&amp;"से तब तक पकने दें जब तक करी एक साथ न आ जाए और पक जाए। अब चिकन और थोड़ा पानी डालें, इसे 3/4 पकने तक पकने दें, मसालों की जाँच करें और समायोजित करें। ग्रेवी में चिकन में अनार का रस डालें और इसे पूरी तरह पकने तक पकने दें। आँच बंद कर दें, ताज़ी क्रीम मिलाएँ और"&amp;" आप चाहें तो परोसते समय और गरम मसाला छिड़क सकते हैं। मुर्ग अनारदाना रेसिपी को बटर गार्लिक नान रेसिपी (लहसुन के स्वाद वाली फ्लैट ब्रेड) या पुदीना लहसुन लच्छा पराठा के साथ परोसें और इसे दही के कबाब (दही/दही के पकौड़े - बिना तले) के साथ पौष्टिक दोपहर के भोजन"&amp;" के लिए परोसें।")</f>
        <v>मुर्ग अनारदाना रेसिपी बनाने के लिए सबसे पहले एक मिक्सिंग बाउल लें और उसमें आधा अदरक लहसुन पेस्ट, आधा मिर्च पाउडर और नमक डालकर चिकन को मैरीनेट करें। चिकन के टुकड़ों को इन मसालों के साथ लगभग आधे घंटे तक मैरीनेट होने दें। इस बीच, एक कढ़ाई में लगभग 2 चम्मच तेल गर्म करें, उसमें कटे हुए प्याज डालें और मध्यम आँच पर भूरा होने तक भूनें। जब प्याज भूरा हो जाए, तो मिक्सर ग्राइंडर में इसे पीसकर चिकना पेस्ट बना लें। एक तरफ रख दें। अनार के दानों को भी पीसकर जूस निकाल लें। यह वैकल्पिक है-आप गूदे को जूस में रख सकते हैं। एक तरफ रख दें। एक बार जब चिकन मैरीनेट हो जाए, तो एक बड़ी कढ़ाई लें और उसमें 1-1/2 चम्मच तेल गर्म करें। जब तेल गरम हो जाए तो उसमें सभी मैरीनेट किए हुए चिकन के टुकड़े डालें और कुछ मिनट तक भूनें, जब तक कि चिकन थोड़ा नरम न हो जाए। इस बीच एक अन्य कढ़ाई में बचा हुआ तेल, घी, अदरक लहसुन का पेस्ट डालें और तब तक भूनें जब तक कि अदरक लहसुन के पेस्ट की कच्ची महक न चली जाए। जब ​​कच्ची महक चली जाए तो उसमें दही, टमाटर प्यूरी, प्याज का पेस्ट, जीरा पाउडर, लाल मिर्च पाउडर, काजू का पेस्ट, खसखस ​​का पेस्ट और गरम मसाला डालें। इसे तब तक पकने दें जब तक करी एक साथ न आ जाए और पक जाए। अब चिकन और थोड़ा पानी डालें, इसे 3/4 पकने तक पकने दें, मसालों की जाँच करें और समायोजित करें। ग्रेवी में चिकन में अनार का रस डालें और इसे पूरी तरह पकने तक पकने दें। आँच बंद कर दें, ताज़ी क्रीम मिलाएँ और आप चाहें तो परोसते समय और गरम मसाला छिड़क सकते हैं। मुर्ग अनारदाना रेसिपी को बटर गार्लिक नान रेसिपी (लहसुन के स्वाद वाली फ्लैट ब्रेड) या पुदीना लहसुन लच्छा पराठा के साथ परोसें और इसे दही के कबाब (दही/दही के पकौड़े - बिना तले) के साथ पौष्टिक दोपहर के भोजन के लिए परोसें।</v>
      </c>
      <c r="J301" s="3" t="s">
        <v>32203</v>
      </c>
      <c r="L301" s="1" t="s">
        <v>31003</v>
      </c>
    </row>
    <row r="302" spans="1:12" ht="13.8">
      <c r="A302" s="1" t="s">
        <v>32204</v>
      </c>
      <c r="B302" s="1" t="str">
        <f ca="1">IFERROR(__xludf.dummyfunction("IF(A302="""", """", GOOGLETRANSLATE(A302, ""en"", ""hi""))"),"हरियाली तवा फिश फ्राई रेसिपी")</f>
        <v>हरियाली तवा फिश फ्राई रेसिपी</v>
      </c>
      <c r="C302" s="1" t="s">
        <v>14572</v>
      </c>
      <c r="D302" s="1" t="s">
        <v>14367</v>
      </c>
      <c r="E302" s="1">
        <v>30</v>
      </c>
      <c r="F302" s="1" t="s">
        <v>32205</v>
      </c>
      <c r="G302" s="1" t="str">
        <f ca="1">IFERROR(__xludf.dummyfunction("IF(F302="""", """", GOOGLETRANSLATE(F302, ""en"", ""hi""))"),"500 ग्राम मछली - (यहां रोहू मछली का उपयोग किया गया है), 1/2 बड़ा चम्मच हल्दी पाउडर, 2 छोटे चम्मच गरम मसाला पाउडर, 1 बड़ा चम्मच लाल मिर्च पाउडर, 2 बड़े चम्मच धनिया पत्ते - कटे हुए, 1-1/2 बड़े चम्मच पुदीना पत्ते (कटे हुए), 2 छोटे चम्मच नींबू का रस, 2 हरी मि"&amp;"र्च, 3 लहसुन के दाने, 1/2 प्याज, 1 बड़ा चम्मच दही, 1 छोटा चम्मच बेसन, सूरजमुखी तेल - तलने के लिए, नमक - स्वादानुसार")</f>
        <v>500 ग्राम मछली - (यहां रोहू मछली का उपयोग किया गया है), 1/2 बड़ा चम्मच हल्दी पाउडर, 2 छोटे चम्मच गरम मसाला पाउडर, 1 बड़ा चम्मच लाल मिर्च पाउडर, 2 बड़े चम्मच धनिया पत्ते - कटे हुए, 1-1/2 बड़े चम्मच पुदीना पत्ते (कटे हुए), 2 छोटे चम्मच नींबू का रस, 2 हरी मिर्च, 3 लहसुन के दाने, 1/2 प्याज, 1 बड़ा चम्मच दही, 1 छोटा चम्मच बेसन, सूरजमुखी तेल - तलने के लिए, नमक - स्वादानुसार</v>
      </c>
      <c r="H302" s="1" t="s">
        <v>32206</v>
      </c>
      <c r="I302" s="1" t="str">
        <f ca="1">IFERROR(__xludf.dummyfunction("IF(H302="""", """", GOOGLETRANSLATE(H302, ""en"", ""hi""))"),"हरियाली तवा फिश फ्राई रेसिपी बनाने के लिए सबसे पहले सभी सामग्री तैयार कर लें। आप मछली के टुकड़ों को साफ कर सकते हैं। एक ब्लेंडर में धनिया पत्ती, प्याज, पुदीना पत्ती, हरी मिर्च, लहसुन की कलियाँ और बेसन को थोड़े से पानी के साथ मिलाकर गाढ़ा पेस्ट बना लें। अब"&amp;" मछली के सभी टुकड़ों को एक बड़े मिक्सिंग बाउल में लें। पिसा हुआ मसाला पेस्ट, दही, नींबू का रस, नमक, गरम मसाला पाउडर, हल्दी पाउडर, लाल मिर्च पाउडर डालें और सभी चीजों को अच्छी तरह मिलाएँ। सुनिश्चित करें कि मछली के टुकड़े इस मिश्रण में अच्छी तरह से लिपटे हुए"&amp;" हों। इसे 10 मिनट के लिए मैरिनेट होने दें। एक बार जब मछली मैरिनेट हो जाए, तो एक उथले फ्राइंग पैन पर थोड़ा सरसों का तेल गर्म करें और मसाले के साथ उस पर मैरिनेट की गई मछली डालें। इसे तब तक फ्राई करें जब तक यह दोनों तरफ से पक न जाए। हरियाली तवा फिश फ्राई रेस"&amp;"िपी और धनिया पुदीना चटनी रेसिपी (हरी चटनी) को बटर गार्लिक नान रेसिपी (लहसुन फ्लेवर्ड फ्लैट ब्रेड), और क्रीमी बटर चिकन रेसिपी या दाल पालक रेसिपी (पालक और दाल करी) के साथ संपूर्ण भोजन के लिए परोसें।")</f>
        <v>हरियाली तवा फिश फ्राई रेसिपी बनाने के लिए सबसे पहले सभी सामग्री तैयार कर लें। आप मछली के टुकड़ों को साफ कर सकते हैं। एक ब्लेंडर में धनिया पत्ती, प्याज, पुदीना पत्ती, हरी मिर्च, लहसुन की कलियाँ और बेसन को थोड़े से पानी के साथ मिलाकर गाढ़ा पेस्ट बना लें। अब मछली के सभी टुकड़ों को एक बड़े मिक्सिंग बाउल में लें। पिसा हुआ मसाला पेस्ट, दही, नींबू का रस, नमक, गरम मसाला पाउडर, हल्दी पाउडर, लाल मिर्च पाउडर डालें और सभी चीजों को अच्छी तरह मिलाएँ। सुनिश्चित करें कि मछली के टुकड़े इस मिश्रण में अच्छी तरह से लिपटे हुए हों। इसे 10 मिनट के लिए मैरिनेट होने दें। एक बार जब मछली मैरिनेट हो जाए, तो एक उथले फ्राइंग पैन पर थोड़ा सरसों का तेल गर्म करें और मसाले के साथ उस पर मैरिनेट की गई मछली डालें। इसे तब तक फ्राई करें जब तक यह दोनों तरफ से पक न जाए। हरियाली तवा फिश फ्राई रेसिपी और धनिया पुदीना चटनी रेसिपी (हरी चटनी) को बटर गार्लिक नान रेसिपी (लहसुन फ्लेवर्ड फ्लैट ब्रेड), और क्रीमी बटर चिकन रेसिपी या दाल पालक रेसिपी (पालक और दाल करी) के साथ संपूर्ण भोजन के लिए परोसें।</v>
      </c>
      <c r="J302" s="3" t="s">
        <v>32207</v>
      </c>
      <c r="L302" s="1" t="s">
        <v>31003</v>
      </c>
    </row>
    <row r="303" spans="1:12" ht="13.8">
      <c r="A303" s="1" t="s">
        <v>32208</v>
      </c>
      <c r="B303" s="1" t="str">
        <f ca="1">IFERROR(__xludf.dummyfunction("IF(A303="""", """", GOOGLETRANSLATE(A303, ""en"", ""hi""))"),"मसूर दाल और राजमा मसाला रेसिपी")</f>
        <v>मसूर दाल और राजमा मसाला रेसिपी</v>
      </c>
      <c r="C303" s="1" t="s">
        <v>429</v>
      </c>
      <c r="D303" s="1" t="s">
        <v>14237</v>
      </c>
      <c r="E303" s="1">
        <v>35</v>
      </c>
      <c r="F303" s="1" t="s">
        <v>32209</v>
      </c>
      <c r="G303" s="1" t="str">
        <f ca="1">IFERROR(__xludf.dummyfunction("IF(F303="""", """", GOOGLETRANSLATE(F303, ""en"", ""hi""))"),"1 कप मसूर दाल (साबुत), 1/2 कप राजमा, 1 प्याज, 2 टमाटर - प्यूरी किए हुए, 1 हरी मिर्च - कटी हुई, 1 इंच अदरक, 2 छोटे चम्मच धनिया पाउडर, 1 छोटा चम्मच लाल मिर्च पाउडर, 1 छोटा चम्मच गरम मसाला पाउडर, 1 इंच दालचीनी, 1 छोटा चम्मच जीरा, 1 छोटा चम्मच अदरक - गार्निश "&amp;"के लिए, 2 छोटे चम्मच घी - या मक्खन, नमक - स्वादानुसार")</f>
        <v>1 कप मसूर दाल (साबुत), 1/2 कप राजमा, 1 प्याज, 2 टमाटर - प्यूरी किए हुए, 1 हरी मिर्च - कटी हुई, 1 इंच अदरक, 2 छोटे चम्मच धनिया पाउडर, 1 छोटा चम्मच लाल मिर्च पाउडर, 1 छोटा चम्मच गरम मसाला पाउडर, 1 इंच दालचीनी, 1 छोटा चम्मच जीरा, 1 छोटा चम्मच अदरक - गार्निश के लिए, 2 छोटे चम्मच घी - या मक्खन, नमक - स्वादानुसार</v>
      </c>
      <c r="H303" s="1" t="s">
        <v>32210</v>
      </c>
      <c r="I303" s="1" t="str">
        <f ca="1">IFERROR(__xludf.dummyfunction("IF(H303="""", """", GOOGLETRANSLATE(H303, ""en"", ""hi""))"),"मसूर दाल और राजमा मसाला रेसिपी बनाने के लिए, दाल को धोकर रात भर भिगो दें और फिर पानी और थोड़े नमक के साथ प्रेशर कुकर में 3 से 4 सीटी आने तक पका लें और एक तरफ रख दें। अब प्याज और अदरक का चिकना पेस्ट बना लें और एक तरफ रख दें। मध्यम आंच पर एक पैन में घी गर्म"&amp;" करें, उसमें दालचीनी और जीरा डालें और उसे चटकने दें। इसमें प्याज और अदरक का पेस्ट डालें और भूरा होने तक भूनें। कटी हुई हरी मिर्च और टमाटर प्यूरी डालें और 2 मिनट तक भूनें। अब, धनिया, लाल मिर्च और गरम मसाला पाउडर सहित सूखे मसाले डालें और कुछ मिनट तक भूनें ज"&amp;"ब तक कि कच्ची महक न चली जाए। पकी हुई पूरी मसूर दाल और राजमा को पैन में डालें, अपनी इच्छानुसार पानी डालें, नमक डालें और धीमी आँच पर 10 मिनट तक पकने दें। जब दाल गाढ़ी हो जाए, तो आँच बंद कर दें और अदरक के टुकड़ों से गार्निश करें। मसूर दाल और राजमा मसाला रेसि"&amp;"पी को रोटी या उबले चावल के साथ सप्ताह के रात के खाने में परोसें।")</f>
        <v>मसूर दाल और राजमा मसाला रेसिपी बनाने के लिए, दाल को धोकर रात भर भिगो दें और फिर पानी और थोड़े नमक के साथ प्रेशर कुकर में 3 से 4 सीटी आने तक पका लें और एक तरफ रख दें। अब प्याज और अदरक का चिकना पेस्ट बना लें और एक तरफ रख दें। मध्यम आंच पर एक पैन में घी गर्म करें, उसमें दालचीनी और जीरा डालें और उसे चटकने दें। इसमें प्याज और अदरक का पेस्ट डालें और भूरा होने तक भूनें। कटी हुई हरी मिर्च और टमाटर प्यूरी डालें और 2 मिनट तक भूनें। अब, धनिया, लाल मिर्च और गरम मसाला पाउडर सहित सूखे मसाले डालें और कुछ मिनट तक भूनें जब तक कि कच्ची महक न चली जाए। पकी हुई पूरी मसूर दाल और राजमा को पैन में डालें, अपनी इच्छानुसार पानी डालें, नमक डालें और धीमी आँच पर 10 मिनट तक पकने दें। जब दाल गाढ़ी हो जाए, तो आँच बंद कर दें और अदरक के टुकड़ों से गार्निश करें। मसूर दाल और राजमा मसाला रेसिपी को रोटी या उबले चावल के साथ सप्ताह के रात के खाने में परोसें।</v>
      </c>
      <c r="J303" s="3" t="s">
        <v>32211</v>
      </c>
      <c r="L303" s="1" t="s">
        <v>31003</v>
      </c>
    </row>
    <row r="304" spans="1:12" ht="13.8">
      <c r="A304" s="1" t="s">
        <v>32212</v>
      </c>
      <c r="B304" s="1" t="str">
        <f ca="1">IFERROR(__xludf.dummyfunction("IF(A304="""", """", GOOGLETRANSLATE(A304, ""en"", ""hi""))"),"ढाबा स्टाइल हरी मूंग दाल तड़का रेसिपी")</f>
        <v>ढाबा स्टाइल हरी मूंग दाल तड़का रेसिपी</v>
      </c>
      <c r="C304" s="1" t="s">
        <v>145</v>
      </c>
      <c r="D304" s="1" t="s">
        <v>14237</v>
      </c>
      <c r="E304" s="1">
        <v>50</v>
      </c>
      <c r="F304" s="1" t="s">
        <v>32213</v>
      </c>
      <c r="G304" s="1" t="str">
        <f ca="1">IFERROR(__xludf.dummyfunction("IF(F304="""", """", GOOGLETRANSLATE(F304, ""en"", ""hi""))"),"1 कप हरी मूंग दाल (साबुत), 1 इंच अदरक - कटा हुआ, 1 टमाटर - कटा हुआ, 1 हरी मिर्च - कटी हुई, 1 चम्मच हल्दी पाउडर, नमक - स्वादानुसार, 1 चम्मच गरम मसाला पाउडर, 4 टहनी धनिया - कटा हुआ, 2 चम्मच नींबू का रस - ताज़ा निचोड़ा हुआ, 1 बड़ा चम्मच घी, 1 चम्मच जीरा (जीर"&amp;"ा), 2 सूखी लाल मिर्च")</f>
        <v>1 कप हरी मूंग दाल (साबुत), 1 इंच अदरक - कटा हुआ, 1 टमाटर - कटा हुआ, 1 हरी मिर्च - कटी हुई, 1 चम्मच हल्दी पाउडर, नमक - स्वादानुसार, 1 चम्मच गरम मसाला पाउडर, 4 टहनी धनिया - कटा हुआ, 2 चम्मच नींबू का रस - ताज़ा निचोड़ा हुआ, 1 बड़ा चम्मच घी, 1 चम्मच जीरा (जीरा), 2 सूखी लाल मिर्च</v>
      </c>
      <c r="H304" s="1" t="s">
        <v>32214</v>
      </c>
      <c r="I304" s="1" t="str">
        <f ca="1">IFERROR(__xludf.dummyfunction("IF(H304="""", """", GOOGLETRANSLATE(H304, ""en"", ""hi""))"),"सबसे पहले, ढाबा स्टाइल हरी मूंग दाल तड़का रेसिपी, हरी मूंग दाल को कम से कम एक घंटे के लिए 3 कप पानी में भिगो दें। प्रेशर कुकर में घी डालें। घी गरम हो जाए तो उसमें अदरक, टमाटर और हरी मिर्च डालें और कुछ सेकेंड के लिए भूनें। कुछ सेकेंड बाद, भिगोई हुई हरी मूं"&amp;"ग दाल, नमक, हल्दी पाउडर, गरम मसाला और पानी डालें। प्रेशर कुकर को ढक दें। दाल को प्रेशर कुकर में 3 से 4 सीटी आने तक पकाएं। आंच धीमी कर दें और 10 मिनट तक पकाते रहें। 10 मिनट के बाद आंच बंद कर दें और प्रेशर को अपने आप निकलने दें। प्रेशर कुकर खोलें और इसमें क"&amp;"टा हरा धनिया और एक नींबू का रस डालकर चलाएं। जब यह चटकने लगे और लाल मिर्च अच्छी तरह से भुन जाए, तो आंच बंद कर दें। इस तड़के को पकी हुई हरी मूंग दाल में डालें। इसे अच्छे से चलाएँ। नमक और मसाले के स्तर की जाँच करें और अपने स्वाद के अनुसार समायोजित करें और दा"&amp;"ल को गरमागरम परोसें। हरी मूंग दाल तड़के को फुल्के, बूंदी रायता और कचुम्बर सलाद रेसिपी के साथ खीरा, प्याज और टमाटर के साथ परोसें।")</f>
        <v>सबसे पहले, ढाबा स्टाइल हरी मूंग दाल तड़का रेसिपी, हरी मूंग दाल को कम से कम एक घंटे के लिए 3 कप पानी में भिगो दें। प्रेशर कुकर में घी डालें। घी गरम हो जाए तो उसमें अदरक, टमाटर और हरी मिर्च डालें और कुछ सेकेंड के लिए भूनें। कुछ सेकेंड बाद, भिगोई हुई हरी मूंग दाल, नमक, हल्दी पाउडर, गरम मसाला और पानी डालें। प्रेशर कुकर को ढक दें। दाल को प्रेशर कुकर में 3 से 4 सीटी आने तक पकाएं। आंच धीमी कर दें और 10 मिनट तक पकाते रहें। 10 मिनट के बाद आंच बंद कर दें और प्रेशर को अपने आप निकलने दें। प्रेशर कुकर खोलें और इसमें कटा हरा धनिया और एक नींबू का रस डालकर चलाएं। जब यह चटकने लगे और लाल मिर्च अच्छी तरह से भुन जाए, तो आंच बंद कर दें। इस तड़के को पकी हुई हरी मूंग दाल में डालें। इसे अच्छे से चलाएँ। नमक और मसाले के स्तर की जाँच करें और अपने स्वाद के अनुसार समायोजित करें और दाल को गरमागरम परोसें। हरी मूंग दाल तड़के को फुल्के, बूंदी रायता और कचुम्बर सलाद रेसिपी के साथ खीरा, प्याज और टमाटर के साथ परोसें।</v>
      </c>
      <c r="J304" s="3" t="s">
        <v>32215</v>
      </c>
      <c r="L304" s="1" t="s">
        <v>31003</v>
      </c>
    </row>
    <row r="305" spans="1:12" ht="13.8">
      <c r="A305" s="1" t="s">
        <v>32216</v>
      </c>
      <c r="B305" s="1" t="str">
        <f ca="1">IFERROR(__xludf.dummyfunction("IF(A305="""", """", GOOGLETRANSLATE(A305, ""en"", ""hi""))"),"बिना प्याज और बिना लहसुन की आलू गाजर मटर की सब्जी रेसिपी")</f>
        <v>बिना प्याज और बिना लहसुन की आलू गाजर मटर की सब्जी रेसिपी</v>
      </c>
      <c r="C305" s="1" t="s">
        <v>145</v>
      </c>
      <c r="D305" s="1" t="s">
        <v>14198</v>
      </c>
      <c r="E305" s="1">
        <v>30</v>
      </c>
      <c r="F305" s="1" t="s">
        <v>32217</v>
      </c>
      <c r="G305" s="1" t="str">
        <f ca="1">IFERROR(__xludf.dummyfunction("IF(F305="""", """", GOOGLETRANSLATE(F305, ""en"", ""hi""))"),"2 आलू - छीलकर टुकड़ों में काटे हुए, 1 गाजर - छीलकर टुकड़ों में काटे हुए, 1/2 कप हरी मटर, 1 छोटा चम्मच सरसों के बीज, 1 छोटा चम्मच जीरा, 1 टहनी करी पत्ता, 1/2 छोटा चम्मच हल्दी पाउडर, 1 छोटा चम्मच लाल मिर्च पाउडर, 1/4 छोटा चम्मच हींग, 1 हरी मिर्च - कटी हुई, "&amp;"नमक - स्वादानुसार (यदि व्रत में उपयोग कर रहे हैं तो काला नमक), 2 छोटे चम्मच सूरजमुखी तेल, धनिया पत्ती - गार्निश के लिए आवश्यकतानुसार")</f>
        <v>2 आलू - छीलकर टुकड़ों में काटे हुए, 1 गाजर - छीलकर टुकड़ों में काटे हुए, 1/2 कप हरी मटर, 1 छोटा चम्मच सरसों के बीज, 1 छोटा चम्मच जीरा, 1 टहनी करी पत्ता, 1/2 छोटा चम्मच हल्दी पाउडर, 1 छोटा चम्मच लाल मिर्च पाउडर, 1/4 छोटा चम्मच हींग, 1 हरी मिर्च - कटी हुई, नमक - स्वादानुसार (यदि व्रत में उपयोग कर रहे हैं तो काला नमक), 2 छोटे चम्मच सूरजमुखी तेल, धनिया पत्ती - गार्निश के लिए आवश्यकतानुसार</v>
      </c>
      <c r="H305" s="1" t="s">
        <v>32218</v>
      </c>
      <c r="I305" s="1" t="str">
        <f ca="1">IFERROR(__xludf.dummyfunction("IF(H305="""", """", GOOGLETRANSLATE(H305, ""en"", ""hi""))"),"प्याज और लहसुन रहित आलू गाजर मटर की सब्जी बनाने के लिए सबसे पहले एक कढ़ाई में तेल गर्म करें। जब तेल गर्म हो जाए तो उसमें राई डालें। राई के तड़कने के बाद उसमें जीरा डालें। जीरा तड़कने के बाद उसमें हींग डालकर मिला लें। करी पत्ता डालकर 2 मिनट तक भूनें। कटी ह"&amp;"ुई हरी मिर्च डालें। अब इसमें कटे हुए आलू, कटे हुए गाजर और हरी मटर डालें। 1 कप पानी डालें और धीमी आंच पर ढक्कन बंद करके गाजर और आलू के उबलने तक पकाएं। इसमें लगभग 10-15 मिनट का समय लगेगा। ढक्कन खोलें और हल्दी पाउडर और लाल मिर्च पाउडर डालकर अच्छी तरह मिला ले"&amp;"ं। स्वादानुसार नमक डालें और कटी हुई धनिया पत्ती से गार्निश करें। प्याज और लहसुन रहित आलू गाजर मटर की सब्जी को पंचमेल दाल और फुल्के के साथ लंच या डिनर के लिए सर्व करें।")</f>
        <v>प्याज और लहसुन रहित आलू गाजर मटर की सब्जी बनाने के लिए सबसे पहले एक कढ़ाई में तेल गर्म करें। जब तेल गर्म हो जाए तो उसमें राई डालें। राई के तड़कने के बाद उसमें जीरा डालें। जीरा तड़कने के बाद उसमें हींग डालकर मिला लें। करी पत्ता डालकर 2 मिनट तक भूनें। कटी हुई हरी मिर्च डालें। अब इसमें कटे हुए आलू, कटे हुए गाजर और हरी मटर डालें। 1 कप पानी डालें और धीमी आंच पर ढक्कन बंद करके गाजर और आलू के उबलने तक पकाएं। इसमें लगभग 10-15 मिनट का समय लगेगा। ढक्कन खोलें और हल्दी पाउडर और लाल मिर्च पाउडर डालकर अच्छी तरह मिला लें। स्वादानुसार नमक डालें और कटी हुई धनिया पत्ती से गार्निश करें। प्याज और लहसुन रहित आलू गाजर मटर की सब्जी को पंचमेल दाल और फुल्के के साथ लंच या डिनर के लिए सर्व करें।</v>
      </c>
      <c r="J305" s="3" t="s">
        <v>32219</v>
      </c>
      <c r="L305" s="1" t="s">
        <v>31003</v>
      </c>
    </row>
    <row r="306" spans="1:12" ht="13.8">
      <c r="A306" s="1" t="s">
        <v>32220</v>
      </c>
      <c r="B306" s="1" t="str">
        <f ca="1">IFERROR(__xludf.dummyfunction("IF(A306="""", """", GOOGLETRANSLATE(A306, ""en"", ""hi""))"),"वेज चिली मिल्ली रेसिपी")</f>
        <v>वेज चिली मिल्ली रेसिपी</v>
      </c>
      <c r="C306" s="1" t="s">
        <v>429</v>
      </c>
      <c r="D306" s="1" t="s">
        <v>14198</v>
      </c>
      <c r="E306" s="1">
        <v>50</v>
      </c>
      <c r="F306" s="1" t="s">
        <v>32221</v>
      </c>
      <c r="G306" s="1" t="str">
        <f ca="1">IFERROR(__xludf.dummyfunction("IF(F306="""", """", GOOGLETRANSLATE(F306, ""en"", ""hi""))"),"1 कप पत्तागोभी - कद्दूकस की हुई, 1 गाजर - पतली स्ट्रिप्स में कटी हुई, 1 हरी बेल मिर्च - पतली कटी हुई, 4 टमाटर, 1/2 कप हरी मटर, 3 बड़े चम्मच काजू, 2 बड़े चम्मच सूरजमुखी का तेल, 1 तेज पत्ता, 2 इलायची की फली/बीज, 1 बड़ी इलायची, 2 लौंग, 1 इंच दालचीनी, 1 प्याज"&amp;" - बारीक कटा हुआ, 1 बड़ा चम्मच अदरक लहसुन पेस्ट, 1/2 बड़ा चम्मच हल्दी पाउडर, 1 बड़ा चम्मच कश्मीरी लाल मिर्च पाउडर, 1 बड़ा चम्मच धनिया पाउडर, 3 से 4 हरी मिर्च - कटी हुई, 1-1/2 कप पानी, 1/4 बड़ा चम्मच गरम मसाला पाउडर, धनिया के पत्ते - एक छोटा गुच्छा बारीक क"&amp;"टा हुआ, 1/4 बड़ा चम्मच चीनी, 3 बड़े चम्मच ताजा क्रीम, नमक - स्वादानुसार")</f>
        <v>1 कप पत्तागोभी - कद्दूकस की हुई, 1 गाजर - पतली स्ट्रिप्स में कटी हुई, 1 हरी बेल मिर्च - पतली कटी हुई, 4 टमाटर, 1/2 कप हरी मटर, 3 बड़े चम्मच काजू, 2 बड़े चम्मच सूरजमुखी का तेल, 1 तेज पत्ता, 2 इलायची की फली/बीज, 1 बड़ी इलायची, 2 लौंग, 1 इंच दालचीनी, 1 प्याज - बारीक कटा हुआ, 1 बड़ा चम्मच अदरक लहसुन पेस्ट, 1/2 बड़ा चम्मच हल्दी पाउडर, 1 बड़ा चम्मच कश्मीरी लाल मिर्च पाउडर, 1 बड़ा चम्मच धनिया पाउडर, 3 से 4 हरी मिर्च - कटी हुई, 1-1/2 कप पानी, 1/4 बड़ा चम्मच गरम मसाला पाउडर, धनिया के पत्ते - एक छोटा गुच्छा बारीक कटा हुआ, 1/4 बड़ा चम्मच चीनी, 3 बड़े चम्मच ताजा क्रीम, नमक - स्वादानुसार</v>
      </c>
      <c r="H306" s="1" t="s">
        <v>32222</v>
      </c>
      <c r="I306" s="1" t="str">
        <f ca="1">IFERROR(__xludf.dummyfunction("IF(H306="""", """", GOOGLETRANSLATE(H306, ""en"", ""hi""))"),"वेज चिली मिल्ली रेसिपी बनाने के लिए सबसे पहले काजू को 1/4 कप गर्म पानी में 20 से 25 मिनट के लिए भिगो दें। 25 मिनट बाद पानी निथार लें और काजू को अदरक और टमाटर के साथ मिक्सर ग्राइंडर में डालकर पीस लें। एक मुलायम पेस्ट बना लें और एक तरफ रख दें। अब हम ग्रेवी "&amp;"बनाएंगे। एक कड़ाही गरम करें और उसमें तेल डालें। उसमें तेज पत्ता, हरी इलायची, बड़ी इलायची, लौंग, दालचीनी डालें और तब तक भूनें जब तक कि सभी मसालों से अच्छी खुशबू न आने लगे। जब मसालों से अच्छी खुशबू आने लगे तो इसमें कटा हुआ प्याज और अदरक लहसुन का पेस्ट डालें"&amp;", मध्यम आंच पर तब तक भूनें जब तक कि अदरक लहसुन की खुशबू न चली जाए और प्याज का रंग हल्का भूरा न हो जाए। अब इसमें टमाटर काजू का पेस्ट, हरी मिर्च, हल्दी पाउडर, कश्मीरी लाल मिर्च पाउडर, धनिया पाउडर डालें सभी सब्जियों को मसाले के साथ मिलाएँ और 5 से 6 मिनट तक भ"&amp;"ूनें। जब सब्जियाँ आधी पक जाएँ तो उसमें पानी और स्वादानुसार नमक डालें। अच्छी तरह मिलाएँ और ढक्कन लगा दें। वेज चिली मिल्ली को मध्यम आँच पर 10 मिनट तक पकाएँ जब तक सब्जियाँ अच्छी तरह पक न जाएँ। ज़रूरत पड़ने पर और पानी डालें लेकिन ध्यान रखें कि ग्रेवी पतली न ह"&amp;"ो। सब्जियाँ पक जाने पर गरम मसाला, मेथी के पत्ते और चीनी डालें। सभी चीजों को अच्छी तरह मिलाएँ। वेज चिली मिल्ली को तेज़ उबाल लें और उसमें क्रीम डालें, धनिया पत्ती से सजाएँ और आँच बंद कर दें। वेज चिली मिल्ली को एक सर्विंग बाउल में डालें और गरमागरम परोसें। वे"&amp;"ज चिली मिल्ली को बूंदी रायता और पुदीना तवा पराठा के साथ लंच या डिनर में परोसें।")</f>
        <v>वेज चिली मिल्ली रेसिपी बनाने के लिए सबसे पहले काजू को 1/4 कप गर्म पानी में 20 से 25 मिनट के लिए भिगो दें। 25 मिनट बाद पानी निथार लें और काजू को अदरक और टमाटर के साथ मिक्सर ग्राइंडर में डालकर पीस लें। एक मुलायम पेस्ट बना लें और एक तरफ रख दें। अब हम ग्रेवी बनाएंगे। एक कड़ाही गरम करें और उसमें तेल डालें। उसमें तेज पत्ता, हरी इलायची, बड़ी इलायची, लौंग, दालचीनी डालें और तब तक भूनें जब तक कि सभी मसालों से अच्छी खुशबू न आने लगे। जब मसालों से अच्छी खुशबू आने लगे तो इसमें कटा हुआ प्याज और अदरक लहसुन का पेस्ट डालें, मध्यम आंच पर तब तक भूनें जब तक कि अदरक लहसुन की खुशबू न चली जाए और प्याज का रंग हल्का भूरा न हो जाए। अब इसमें टमाटर काजू का पेस्ट, हरी मिर्च, हल्दी पाउडर, कश्मीरी लाल मिर्च पाउडर, धनिया पाउडर डालें सभी सब्जियों को मसाले के साथ मिलाएँ और 5 से 6 मिनट तक भूनें। जब सब्जियाँ आधी पक जाएँ तो उसमें पानी और स्वादानुसार नमक डालें। अच्छी तरह मिलाएँ और ढक्कन लगा दें। वेज चिली मिल्ली को मध्यम आँच पर 10 मिनट तक पकाएँ जब तक सब्जियाँ अच्छी तरह पक न जाएँ। ज़रूरत पड़ने पर और पानी डालें लेकिन ध्यान रखें कि ग्रेवी पतली न हो। सब्जियाँ पक जाने पर गरम मसाला, मेथी के पत्ते और चीनी डालें। सभी चीजों को अच्छी तरह मिलाएँ। वेज चिली मिल्ली को तेज़ उबाल लें और उसमें क्रीम डालें, धनिया पत्ती से सजाएँ और आँच बंद कर दें। वेज चिली मिल्ली को एक सर्विंग बाउल में डालें और गरमागरम परोसें। वेज चिली मिल्ली को बूंदी रायता और पुदीना तवा पराठा के साथ लंच या डिनर में परोसें।</v>
      </c>
      <c r="J306" s="3" t="s">
        <v>32223</v>
      </c>
      <c r="L306" s="1" t="s">
        <v>31003</v>
      </c>
    </row>
    <row r="307" spans="1:12" ht="13.8">
      <c r="A307" s="1" t="s">
        <v>32224</v>
      </c>
      <c r="B307" s="1" t="str">
        <f ca="1">IFERROR(__xludf.dummyfunction("IF(A307="""", """", GOOGLETRANSLATE(A307, ""en"", ""hi""))"),"मलाई छोले कबाब रेसिपी")</f>
        <v>मलाई छोले कबाब रेसिपी</v>
      </c>
      <c r="C307" s="1" t="s">
        <v>14281</v>
      </c>
      <c r="D307" s="1" t="s">
        <v>14198</v>
      </c>
      <c r="E307" s="1">
        <v>525</v>
      </c>
      <c r="F307" s="1" t="s">
        <v>32225</v>
      </c>
      <c r="G307" s="1" t="str">
        <f ca="1">IFERROR(__xludf.dummyfunction("IF(F307="""", """", GOOGLETRANSLATE(F307, ""en"", ""hi""))"),"3/4 कप काला चना - भिगोया हुआ, 1/4 कप इंस्टेंट ओट्स (दलिया), 1 प्याज, 1 हरी मिर्च, 3 लहसुन की कलियाँ, 1/2 नींबू - रस, सूरजमुखी तेल - पकाने के लिए, 2 टहनी धनिया - कटा हुआ, नमक - स्वादानुसार")</f>
        <v>3/4 कप काला चना - भिगोया हुआ, 1/4 कप इंस्टेंट ओट्स (दलिया), 1 प्याज, 1 हरी मिर्च, 3 लहसुन की कलियाँ, 1/2 नींबू - रस, सूरजमुखी तेल - पकाने के लिए, 2 टहनी धनिया - कटा हुआ, नमक - स्वादानुसार</v>
      </c>
      <c r="H307" s="1" t="s">
        <v>32226</v>
      </c>
      <c r="I307" s="1" t="str">
        <f ca="1">IFERROR(__xludf.dummyfunction("IF(H307="""", """", GOOGLETRANSLATE(H307, ""en"", ""hi""))"),"मलाई छोले कबाब रेसिपी बनाने के लिए सबसे पहले छोले को प्रेशर कुकर में 4 सीटी आने तक उबालें। प्रेशर को अपने आप निकलने दें और फिर छोले से पानी छान लें। पके हुए छोले को प्याज, हरी मिर्च, लहसुन, धनिया पत्ती, नमक और नींबू के रस के साथ ब्लेंडर में डालें। सभी चीज"&amp;"ों को एक मुलायम पेस्ट बनने तक पीस लें। ब्लेंड किए हुए मिश्रण को एक बड़े बाउल में निकाल लें और अगर जरूरत हो तो मसाले डालकर देख लें। फिर बाउल में ओट्स डालकर मिश्रण को एक साथ बांध दें। एक पनियारम पैन गरम करें, उसमें तेल डालें और फिर प्रत्येक कैविटी में एक बड"&amp;"़ा चम्मच छोले और ओट्स का मिश्रण डालें और दोनों तरफ से ब्राउन होने तक तल लें। कोफ्ते को पलटते रहें ताकि वे जलें नहीं। मलाई छोले कबाब रेसिपी को हैदराबादी वेजिटेबल बिरयानी और टमाटर प्याज खीरा रायता रेसिपी के साथ परोसें")</f>
        <v>मलाई छोले कबाब रेसिपी बनाने के लिए सबसे पहले छोले को प्रेशर कुकर में 4 सीटी आने तक उबालें। प्रेशर को अपने आप निकलने दें और फिर छोले से पानी छान लें। पके हुए छोले को प्याज, हरी मिर्च, लहसुन, धनिया पत्ती, नमक और नींबू के रस के साथ ब्लेंडर में डालें। सभी चीजों को एक मुलायम पेस्ट बनने तक पीस लें। ब्लेंड किए हुए मिश्रण को एक बड़े बाउल में निकाल लें और अगर जरूरत हो तो मसाले डालकर देख लें। फिर बाउल में ओट्स डालकर मिश्रण को एक साथ बांध दें। एक पनियारम पैन गरम करें, उसमें तेल डालें और फिर प्रत्येक कैविटी में एक बड़ा चम्मच छोले और ओट्स का मिश्रण डालें और दोनों तरफ से ब्राउन होने तक तल लें। कोफ्ते को पलटते रहें ताकि वे जलें नहीं। मलाई छोले कबाब रेसिपी को हैदराबादी वेजिटेबल बिरयानी और टमाटर प्याज खीरा रायता रेसिपी के साथ परोसें</v>
      </c>
      <c r="J307" s="3" t="s">
        <v>32227</v>
      </c>
      <c r="L307" s="1" t="s">
        <v>31003</v>
      </c>
    </row>
    <row r="308" spans="1:12" ht="13.8">
      <c r="A308" s="1" t="s">
        <v>32228</v>
      </c>
      <c r="B308" s="1" t="str">
        <f ca="1">IFERROR(__xludf.dummyfunction("IF(A308="""", """", GOOGLETRANSLATE(A308, ""en"", ""hi""))"),"बेबी कॉर्न कैप्सिकम मसाला")</f>
        <v>बेबी कॉर्न कैप्सिकम मसाला</v>
      </c>
      <c r="C308" s="1" t="s">
        <v>14207</v>
      </c>
      <c r="D308" s="1" t="s">
        <v>14198</v>
      </c>
      <c r="E308" s="1">
        <v>60</v>
      </c>
      <c r="F308" s="1" t="s">
        <v>32229</v>
      </c>
      <c r="G308" s="1" t="str">
        <f ca="1">IFERROR(__xludf.dummyfunction("IF(F308="""", """", GOOGLETRANSLATE(F308, ""en"", ""hi""))"),"300 ग्राम बेबी कॉर्न - पतले व सीधे टुकड़ों में कटा हुआ, 1 शिमला मिर्च (हरा) - कटा हुआ, 1 प्याज - बारीक कटा हुआ, 1 इंच अदरक - कद्दूकस किया हुआ, 2 लहसुन के दाने - कद्दूकस किया हुआ, 1 हरी मिर्च - कटी हुई, 3 टमाटर - बारीक कटे हुए, 1 छोटा चम्मच जीरा, 1 छोटा चम"&amp;"्मच सौंफ, 1/4 छोटा चम्मच हल्दी पाउडर, 1 छोटा चम्मच धनिया पाउडर, 1/2 छोटा चम्मच इलायची पाउडर, लाल मिर्च पाउडर - स्वादानुसार, नमक - स्वादानुसार, हरा धनिया - थोड़ा सा, तेल - उपयोगानुसार")</f>
        <v>300 ग्राम बेबी कॉर्न - पतले व सीधे टुकड़ों में कटा हुआ, 1 शिमला मिर्च (हरा) - कटा हुआ, 1 प्याज - बारीक कटा हुआ, 1 इंच अदरक - कद्दूकस किया हुआ, 2 लहसुन के दाने - कद्दूकस किया हुआ, 1 हरी मिर्च - कटी हुई, 3 टमाटर - बारीक कटे हुए, 1 छोटा चम्मच जीरा, 1 छोटा चम्मच सौंफ, 1/4 छोटा चम्मच हल्दी पाउडर, 1 छोटा चम्मच धनिया पाउडर, 1/2 छोटा चम्मच इलायची पाउडर, लाल मिर्च पाउडर - स्वादानुसार, नमक - स्वादानुसार, हरा धनिया - थोड़ा सा, तेल - उपयोगानुसार</v>
      </c>
      <c r="H308" s="1" t="s">
        <v>32230</v>
      </c>
      <c r="I308" s="1" t="str">
        <f ca="1">IFERROR(__xludf.dummyfunction("IF(H308="""", """", GOOGLETRANSLATE(H308, ""en"", ""hi""))"),"""बेबी कॉर्न और कैप्सिकम मसाला बनाने के लिए सबसे पहले एक पैन में तेल गर्म करें। इसमें जीरा, सौंफ डालकर 15 सेकंड तक पकाएं। 15 सेकंड बाद इसमें प्याज, शिमला मिर्च, बेबी कॉर्न, अदरक, लहसुन डालें और बेबी कॉर्न के पकने तक पकाएं। बेबी कॉर्न के पकने के बाद इसमें "&amp;"टमाटर और बाकी मसाले डालें। आंच धीमी करके टमाटर के नरम होने तक पकाएं। इसमें नमक डालकर मिक्स करें। 1 मिनट तक पकाएं, गैस बंद कर दें और धनिया पत्ती से गार्निश करें। बेबी कॉर्न और कैप्सिकम मसाला को गार्लिक दाल और फुल्के के साथ लंच में सर्व करें।""")</f>
        <v>"बेबी कॉर्न और कैप्सिकम मसाला बनाने के लिए सबसे पहले एक पैन में तेल गर्म करें। इसमें जीरा, सौंफ डालकर 15 सेकंड तक पकाएं। 15 सेकंड बाद इसमें प्याज, शिमला मिर्च, बेबी कॉर्न, अदरक, लहसुन डालें और बेबी कॉर्न के पकने तक पकाएं। बेबी कॉर्न के पकने के बाद इसमें टमाटर और बाकी मसाले डालें। आंच धीमी करके टमाटर के नरम होने तक पकाएं। इसमें नमक डालकर मिक्स करें। 1 मिनट तक पकाएं, गैस बंद कर दें और धनिया पत्ती से गार्निश करें। बेबी कॉर्न और कैप्सिकम मसाला को गार्लिक दाल और फुल्के के साथ लंच में सर्व करें।"</v>
      </c>
      <c r="J308" s="3" t="s">
        <v>32231</v>
      </c>
      <c r="L308" s="1" t="s">
        <v>31003</v>
      </c>
    </row>
    <row r="309" spans="1:12" ht="13.8">
      <c r="A309" s="1" t="s">
        <v>32232</v>
      </c>
      <c r="B309" s="1" t="str">
        <f ca="1">IFERROR(__xludf.dummyfunction("IF(A309="""", """", GOOGLETRANSLATE(A309, ""en"", ""hi""))"),"पनीर कुल्चा रेसिपी- पनीर भरवां खमीरी चपटी रोटी")</f>
        <v>पनीर कुल्चा रेसिपी- पनीर भरवां खमीरी चपटी रोटी</v>
      </c>
      <c r="C309" s="1" t="s">
        <v>429</v>
      </c>
      <c r="D309" s="1" t="s">
        <v>14198</v>
      </c>
      <c r="E309" s="1">
        <v>170</v>
      </c>
      <c r="F309" s="1" t="s">
        <v>32233</v>
      </c>
      <c r="G309" s="1" t="str">
        <f ca="1">IFERROR(__xludf.dummyfunction("IF(F309="""", """", GOOGLETRANSLATE(F309, ""en"", ""hi""))"),"2 कप मैदा, 1 बड़ा चम्मच सूजी, 1/2 कप दही, 1 बड़ा चम्मच सूरजमुखी तेल, 1/2 छोटा चम्मच बेकिंग सोडा, 1 छोटा चम्मच चीनी, 1 छोटा चम्मच नमक, कलौंजी - छिड़कने के लिए, मक्खन - पिघला हुआ, 1/2 छोटा चम्मच सूरजमुखी तेल, 1 हरी मिर्च - कटी हुई, 1/4 कप प्याज - कटा हुआ, 1"&amp;" कप पनीर, 1/4 छोटा चम्मच जीरा पाउडर (जीरा), नमक - स्वादानुसार")</f>
        <v>2 कप मैदा, 1 बड़ा चम्मच सूजी, 1/2 कप दही, 1 बड़ा चम्मच सूरजमुखी तेल, 1/2 छोटा चम्मच बेकिंग सोडा, 1 छोटा चम्मच चीनी, 1 छोटा चम्मच नमक, कलौंजी - छिड़कने के लिए, मक्खन - पिघला हुआ, 1/2 छोटा चम्मच सूरजमुखी तेल, 1 हरी मिर्च - कटी हुई, 1/4 कप प्याज - कटा हुआ, 1 कप पनीर, 1/4 छोटा चम्मच जीरा पाउडर (जीरा), नमक - स्वादानुसार</v>
      </c>
      <c r="H309" s="1" t="s">
        <v>32234</v>
      </c>
      <c r="I309" s="1" t="str">
        <f ca="1">IFERROR(__xludf.dummyfunction("IF(H309="""", """", GOOGLETRANSLATE(H309, ""en"", ""hi""))"),"पनीर कुलचा रेसिपी बनाने के लिए सबसे पहले एक बड़े मिक्सिंग बाउल में सूजी और दही को मिला लें और दस मिनट के लिए अलग रख दें। जब सूजी दही में भीग जाए, तो उसमें मैदा, तेल, बेकिंग सोडा, चीनी और नमक डालें और एक साथ चिकना आटा गूंथ लें। आटा सख्त और एक साथ रहना चाहि"&amp;"ए, लेकिन छूने पर कोमल और मुलायम होना चाहिए। आटे को ढक्कन से ढक दें और दो घंटे के लिए फ्रिज में रख दें। इस बीच, स्टफिंग तैयार करें। एक पैन को आंच पर रखें और उसमें थोड़ा तेल गर्म करें। इसमें कटे हुए प्याज डालें और हरी मिर्च के साथ प्याज के नरम और पारदर्शी ह"&amp;"ोने तक भूनें। इसके बाद, नरम प्याज में पनीर, हल्दी पाउडर और नमक डालें और दो मिनट और पकाएँ। आँच बंद कर दें और भरावन को ठंडा होने के लिए अलग रख दें। जब आटा दो घंटे के लिए फ्रिज में रख दिया जाए, तो इसे बाहर निकाल कर कुल्चा बनाना शुरू करें। आटे को गोल्फ बॉल के"&amp;" आकार के टुकड़ों में बाँट लें। एक बार में एक भाग लेकर, आटे को लगभग 2.5-3 इंच व्यास के छोटे गोले में बेल लें। रोल किए गए गोले को अपनी हथेली में लें, बीच में पनीर के भरावन का एक चम्मच रखें, और इसे अपनी हथेली में कप की तरह बना लें। गोले के सभी किनारों को एक "&amp;"साथ लाएँ ताकि भरावन अंदर से सील हो जाए, जैसे कि एक टाइट थैली हो। सुनिश्चित करें कि अंदर कोई हवा की जेब न हो। बहुत ज़्यादा आटा डाले बिना, धीरे से भरे हुए गोले को दबाएँ, कुल्चा को एक मोटी डिस्क में बेल लें। इसके बाद, कुल्चा पर पानी छिड़कें, कलौंजी छिड़कें औ"&amp;"र दबाएँ ताकि वे चिपक जाएँ। एक जगह पर बहुत ज़्यादा दबाव न डालें, नहीं तो कुल्चा फट जाएगा और भरावन बाहर आ जाएगा। कुल्चा आम तौर पर पराठों से ज़्यादा मोटा होता है। कुल्चा को तवे पर रखें और तब तक पकाएँ जब तक कि सतह पर बुलबुले न दिखने लगें। ऊपर से थोड़ा तेल लगा"&amp;"एं और कुल्चे को पलट दें ताकि दूसरी तरफ भी भूरा हो जाए। दोहराएँ, घी, मक्खन या तेल लगाएँ और कुल्चे को तब तक पकाएँ जब तक कि यह कुछ भूरे धब्बों के साथ एक अच्छा भूरा रंग न प्राप्त कर ले। पनीर कुल्चा को तंदूरी फूलगोभी और छोले की सब्जी या ढाबेवाली दाल और गाजर कक"&amp;"ड़ी टमाटर सलाद के साथ नींबू और धनिया के साथ दोपहर या रात के खाने के लिए परोसें।")</f>
        <v>पनीर कुलचा रेसिपी बनाने के लिए सबसे पहले एक बड़े मिक्सिंग बाउल में सूजी और दही को मिला लें और दस मिनट के लिए अलग रख दें। जब सूजी दही में भीग जाए, तो उसमें मैदा, तेल, बेकिंग सोडा, चीनी और नमक डालें और एक साथ चिकना आटा गूंथ लें। आटा सख्त और एक साथ रहना चाहिए, लेकिन छूने पर कोमल और मुलायम होना चाहिए। आटे को ढक्कन से ढक दें और दो घंटे के लिए फ्रिज में रख दें। इस बीच, स्टफिंग तैयार करें। एक पैन को आंच पर रखें और उसमें थोड़ा तेल गर्म करें। इसमें कटे हुए प्याज डालें और हरी मिर्च के साथ प्याज के नरम और पारदर्शी होने तक भूनें। इसके बाद, नरम प्याज में पनीर, हल्दी पाउडर और नमक डालें और दो मिनट और पकाएँ। आँच बंद कर दें और भरावन को ठंडा होने के लिए अलग रख दें। जब आटा दो घंटे के लिए फ्रिज में रख दिया जाए, तो इसे बाहर निकाल कर कुल्चा बनाना शुरू करें। आटे को गोल्फ बॉल के आकार के टुकड़ों में बाँट लें। एक बार में एक भाग लेकर, आटे को लगभग 2.5-3 इंच व्यास के छोटे गोले में बेल लें। रोल किए गए गोले को अपनी हथेली में लें, बीच में पनीर के भरावन का एक चम्मच रखें, और इसे अपनी हथेली में कप की तरह बना लें। गोले के सभी किनारों को एक साथ लाएँ ताकि भरावन अंदर से सील हो जाए, जैसे कि एक टाइट थैली हो। सुनिश्चित करें कि अंदर कोई हवा की जेब न हो। बहुत ज़्यादा आटा डाले बिना, धीरे से भरे हुए गोले को दबाएँ, कुल्चा को एक मोटी डिस्क में बेल लें। इसके बाद, कुल्चा पर पानी छिड़कें, कलौंजी छिड़कें और दबाएँ ताकि वे चिपक जाएँ। एक जगह पर बहुत ज़्यादा दबाव न डालें, नहीं तो कुल्चा फट जाएगा और भरावन बाहर आ जाएगा। कुल्चा आम तौर पर पराठों से ज़्यादा मोटा होता है। कुल्चा को तवे पर रखें और तब तक पकाएँ जब तक कि सतह पर बुलबुले न दिखने लगें। ऊपर से थोड़ा तेल लगाएं और कुल्चे को पलट दें ताकि दूसरी तरफ भी भूरा हो जाए। दोहराएँ, घी, मक्खन या तेल लगाएँ और कुल्चे को तब तक पकाएँ जब तक कि यह कुछ भूरे धब्बों के साथ एक अच्छा भूरा रंग न प्राप्त कर ले। पनीर कुल्चा को तंदूरी फूलगोभी और छोले की सब्जी या ढाबेवाली दाल और गाजर ककड़ी टमाटर सलाद के साथ नींबू और धनिया के साथ दोपहर या रात के खाने के लिए परोसें।</v>
      </c>
      <c r="J309" s="3" t="s">
        <v>32235</v>
      </c>
      <c r="L309" s="1" t="s">
        <v>31003</v>
      </c>
    </row>
    <row r="310" spans="1:12" ht="13.8">
      <c r="A310" s="1" t="s">
        <v>32236</v>
      </c>
      <c r="B310" s="1" t="str">
        <f ca="1">IFERROR(__xludf.dummyfunction("IF(A310="""", """", GOOGLETRANSLATE(A310, ""en"", ""hi""))"),"पुदीना मूंग दाल")</f>
        <v>पुदीना मूंग दाल</v>
      </c>
      <c r="C310" s="1" t="s">
        <v>145</v>
      </c>
      <c r="D310" s="1" t="s">
        <v>14237</v>
      </c>
      <c r="E310" s="1">
        <v>35</v>
      </c>
      <c r="F310" s="1" t="s">
        <v>32237</v>
      </c>
      <c r="G310" s="1" t="str">
        <f ca="1">IFERROR(__xludf.dummyfunction("IF(F310="""", """", GOOGLETRANSLATE(F310, ""en"", ""hi""))"),"1/2 कप पीली मूंग दाल, 1/2 चम्मच लाल मिर्च पाउडर, 1/4 चम्मच हल्दी पाउडर, 1/4 चम्मच जीरा, हींग, 1 बड़ा चम्मच घी, 2 बड़े चम्मच पुदीना - कटा हुआ, पानी - आवश्यकतानुसार, नमक - स्वादानुसार")</f>
        <v>1/2 कप पीली मूंग दाल, 1/2 चम्मच लाल मिर्च पाउडर, 1/4 चम्मच हल्दी पाउडर, 1/4 चम्मच जीरा, हींग, 1 बड़ा चम्मच घी, 2 बड़े चम्मच पुदीना - कटा हुआ, पानी - आवश्यकतानुसार, नमक - स्वादानुसार</v>
      </c>
      <c r="H310" s="1" t="s">
        <v>32238</v>
      </c>
      <c r="I310" s="1" t="str">
        <f ca="1">IFERROR(__xludf.dummyfunction("IF(H310="""", """", GOOGLETRANSLATE(H310, ""en"", ""hi""))"),"""पुदीना मूंग दाल बनाने के लिए सबसे पहले प्रेशर कुकर में मूंग दाल, 1 कप पानी और हल्दी डालकर 2 सीटी आने तक पकाएं। प्रेशर खत्म होने के बाद कुकर खोलें और इसमें 1-1/2 कप पानी और नमक डालें। गैस चालू करें और इसे 3 से 4 मिनट तक उबलने दें। अब हम इसका तड़का लगाएंग"&amp;"े। एक छोटे पैन में घी या तेल गर्म करें। इसमें जीरा और हींग डालें। 10 सेकंड बाद इसमें पुदीना के पत्ते और लाल मिर्च पाउडर डालें। इस तड़के को दाल में डालें, मिलाएँ और 2 से 3 मिनट तक पकने दें। गैस बंद करें और गरमागरम परोसें। पुदीना मूंग दाल को बेसन अरबी रोस्ट"&amp;" और फुल्के के साथ लंच में सर्व करें।""")</f>
        <v>"पुदीना मूंग दाल बनाने के लिए सबसे पहले प्रेशर कुकर में मूंग दाल, 1 कप पानी और हल्दी डालकर 2 सीटी आने तक पकाएं। प्रेशर खत्म होने के बाद कुकर खोलें और इसमें 1-1/2 कप पानी और नमक डालें। गैस चालू करें और इसे 3 से 4 मिनट तक उबलने दें। अब हम इसका तड़का लगाएंगे। एक छोटे पैन में घी या तेल गर्म करें। इसमें जीरा और हींग डालें। 10 सेकंड बाद इसमें पुदीना के पत्ते और लाल मिर्च पाउडर डालें। इस तड़के को दाल में डालें, मिलाएँ और 2 से 3 मिनट तक पकने दें। गैस बंद करें और गरमागरम परोसें। पुदीना मूंग दाल को बेसन अरबी रोस्ट और फुल्के के साथ लंच में सर्व करें।"</v>
      </c>
      <c r="J310" s="3" t="s">
        <v>32239</v>
      </c>
      <c r="L310" s="1" t="s">
        <v>31003</v>
      </c>
    </row>
    <row r="311" spans="1:12" ht="13.8">
      <c r="A311" s="1" t="s">
        <v>32240</v>
      </c>
      <c r="B311" s="1" t="str">
        <f ca="1">IFERROR(__xludf.dummyfunction("IF(A311="""", """", GOOGLETRANSLATE(A311, ""en"", ""hi""))"),"मूंग दाल सूखी सब्जी")</f>
        <v>मूंग दाल सूखी सब्जी</v>
      </c>
      <c r="C311" s="1" t="s">
        <v>429</v>
      </c>
      <c r="D311" s="1" t="s">
        <v>14237</v>
      </c>
      <c r="E311" s="1">
        <v>30</v>
      </c>
      <c r="F311" s="1" t="s">
        <v>32241</v>
      </c>
      <c r="G311" s="1" t="str">
        <f ca="1">IFERROR(__xludf.dummyfunction("IF(F311="""", """", GOOGLETRANSLATE(F311, ""en"", ""hi""))"),"1 कप पीली मूंग दाल, 1 बड़ा चम्मच लाल मिर्च पाउडर, 1/2 छोटा चम्मच हल्दी पाउडर, 1 छोटा चम्मच गरम मसाला पाउडर, नमक - स्वादानुसार, 2 बड़े चम्मच तेल, 1 हरी मिर्च, 1 बड़ा चम्मच नींबू का रस, हरा धनिया - गार्निश के लिए (उपयोगानुसार)")</f>
        <v>1 कप पीली मूंग दाल, 1 बड़ा चम्मच लाल मिर्च पाउडर, 1/2 छोटा चम्मच हल्दी पाउडर, 1 छोटा चम्मच गरम मसाला पाउडर, नमक - स्वादानुसार, 2 बड़े चम्मच तेल, 1 हरी मिर्च, 1 बड़ा चम्मच नींबू का रस, हरा धनिया - गार्निश के लिए (उपयोगानुसार)</v>
      </c>
      <c r="H311" s="1" t="s">
        <v>32242</v>
      </c>
      <c r="I311" s="1" t="str">
        <f ca="1">IFERROR(__xludf.dummyfunction("IF(H311="""", """", GOOGLETRANSLATE(H311, ""en"", ""hi""))"),"""मूंग दाल सुखी सब्ज़ी बनाने के लिए सबसे पहले मूंग दाल को धोकर अलग रख लें। अब एक पैन में तेल गर्म करें और उसमें लाल मिर्च पाउडर, हल्दी पाउडर और नमक डालें। इसे 15 सेकंड तक पकने दें। 15 सेकंड बाद दाल डालें और मिलाएँ। ज़रूरत के हिसाब से पानी डालें, आँच धीमी "&amp;"कर दें। दाल पकने तक पकाएँ। दाल को ज़्यादा न पकाएँ। दाल पकने के बाद पैन खोलें, गरम मसाला डालें और मिलाएँ। गैस बंद कर दें, इसे एक प्याले में निकाल लें और ऊपर से हरा धनिया, हरी मिर्च और नींबू का रस डालकर गार्निश करें। मूंग दाल सब्ज़ी को रोटी और बूंदी रायते क"&amp;"े साथ लंच में सर्व करें।""")</f>
        <v>"मूंग दाल सुखी सब्ज़ी बनाने के लिए सबसे पहले मूंग दाल को धोकर अलग रख लें। अब एक पैन में तेल गर्म करें और उसमें लाल मिर्च पाउडर, हल्दी पाउडर और नमक डालें। इसे 15 सेकंड तक पकने दें। 15 सेकंड बाद दाल डालें और मिलाएँ। ज़रूरत के हिसाब से पानी डालें, आँच धीमी कर दें। दाल पकने तक पकाएँ। दाल को ज़्यादा न पकाएँ। दाल पकने के बाद पैन खोलें, गरम मसाला डालें और मिलाएँ। गैस बंद कर दें, इसे एक प्याले में निकाल लें और ऊपर से हरा धनिया, हरी मिर्च और नींबू का रस डालकर गार्निश करें। मूंग दाल सब्ज़ी को रोटी और बूंदी रायते के साथ लंच में सर्व करें।"</v>
      </c>
      <c r="J311" s="3" t="s">
        <v>32243</v>
      </c>
      <c r="L311" s="1" t="s">
        <v>31003</v>
      </c>
    </row>
    <row r="312" spans="1:12" ht="13.8">
      <c r="A312" s="1" t="s">
        <v>32244</v>
      </c>
      <c r="B312" s="1" t="str">
        <f ca="1">IFERROR(__xludf.dummyfunction("IF(A312="""", """", GOOGLETRANSLATE(A312, ""en"", ""hi""))"),"ढाबा स्टाइल हरी मूंग दाल तड़का")</f>
        <v>ढाबा स्टाइल हरी मूंग दाल तड़का</v>
      </c>
      <c r="C312" s="1" t="s">
        <v>145</v>
      </c>
      <c r="D312" s="1" t="s">
        <v>14237</v>
      </c>
      <c r="E312" s="1">
        <v>50</v>
      </c>
      <c r="F312" s="1" t="s">
        <v>32245</v>
      </c>
      <c r="G312" s="1" t="str">
        <f ca="1">IFERROR(__xludf.dummyfunction("IF(F312="""", """", GOOGLETRANSLATE(F312, ""en"", ""hi""))"),"1 कप हरी मूंग दाल, 1 अदरक - कद्दूकस किया हुआ, 1 टमाटर - कटा हुआ, 1 हरी मिर्च - कटा हुआ, 1 चम्मच हल्दी पाउडर, 1/2 चम्मच चीनी, नमक - स्वादानुसार, 4 हरी धनिया - कटा हुआ, 1 चम्मच नींबू का रस, 1 बड़ा चम्मच घी, 1 चम्मच जीरा, सूखी लाल मिर्च")</f>
        <v>1 कप हरी मूंग दाल, 1 अदरक - कद्दूकस किया हुआ, 1 टमाटर - कटा हुआ, 1 हरी मिर्च - कटा हुआ, 1 चम्मच हल्दी पाउडर, 1/2 चम्मच चीनी, नमक - स्वादानुसार, 4 हरी धनिया - कटा हुआ, 1 चम्मच नींबू का रस, 1 बड़ा चम्मच घी, 1 चम्मच जीरा, सूखी लाल मिर्च</v>
      </c>
      <c r="H312" s="1" t="s">
        <v>32246</v>
      </c>
      <c r="I312" s="1" t="str">
        <f ca="1">IFERROR(__xludf.dummyfunction("IF(H312="""", """", GOOGLETRANSLATE(H312, ""en"", ""hi""))"),"""ढाबा स्टाइल ग्रीन मूंग दाल तड़का बनाने के लिए सबसे पहले मूंग दाल को 1 घंटे के लिए 3 कप पानी में भिगो दें। अब दाल को अदरक, टमाटर, नमक, हल्दी पाउडर और हरी मिर्च के साथ प्रेशर कुकर में डालें। कुकर को ढककर 3 से 4 सीटी आने तक पकाएँ। आँच को कम करके 10 मिनट तक"&amp;" पकने दें। गैस बंद कर दें और प्रेशर को अपने आप निकलने दें। अब एक पैन में घी गर्म करें। इसमें जीरा और सूखी लाल मिर्च डालें और 10 सेकंड तक पकने दें। 10 सेकंड के बाद गैस बंद कर दें और इस तड़के को दाल में डालें। मिलाएँ, धनिया और नींबू का रस डालें। मिलाएँ और ग"&amp;"रमागरम परोसें। ढाबा स्टाइल ग्रीन मूंग दाल तड़का को सेव टमाटर की सब्ज़ी और फुल्के के साथ लंच में परोसें।""")</f>
        <v>"ढाबा स्टाइल ग्रीन मूंग दाल तड़का बनाने के लिए सबसे पहले मूंग दाल को 1 घंटे के लिए 3 कप पानी में भिगो दें। अब दाल को अदरक, टमाटर, नमक, हल्दी पाउडर और हरी मिर्च के साथ प्रेशर कुकर में डालें। कुकर को ढककर 3 से 4 सीटी आने तक पकाएँ। आँच को कम करके 10 मिनट तक पकने दें। गैस बंद कर दें और प्रेशर को अपने आप निकलने दें। अब एक पैन में घी गर्म करें। इसमें जीरा और सूखी लाल मिर्च डालें और 10 सेकंड तक पकने दें। 10 सेकंड के बाद गैस बंद कर दें और इस तड़के को दाल में डालें। मिलाएँ, धनिया और नींबू का रस डालें। मिलाएँ और गरमागरम परोसें। ढाबा स्टाइल ग्रीन मूंग दाल तड़का को सेव टमाटर की सब्ज़ी और फुल्के के साथ लंच में परोसें।"</v>
      </c>
      <c r="J312" s="3" t="s">
        <v>32247</v>
      </c>
      <c r="L312" s="1" t="s">
        <v>31003</v>
      </c>
    </row>
    <row r="313" spans="1:12" ht="13.8">
      <c r="A313" s="1" t="s">
        <v>32248</v>
      </c>
      <c r="B313" s="1" t="str">
        <f ca="1">IFERROR(__xludf.dummyfunction("IF(A313="""", """", GOOGLETRANSLATE(A313, ""en"", ""hi""))"),"चिकन मलाई कबाब रेसिपी")</f>
        <v>चिकन मलाई कबाब रेसिपी</v>
      </c>
      <c r="C313" s="1" t="s">
        <v>14572</v>
      </c>
      <c r="D313" s="1" t="s">
        <v>14382</v>
      </c>
      <c r="E313" s="1">
        <v>40</v>
      </c>
      <c r="F313" s="1" t="s">
        <v>32249</v>
      </c>
      <c r="G313" s="1" t="str">
        <f ca="1">IFERROR(__xludf.dummyfunction("IF(F313="""", """", GOOGLETRANSLATE(F313, ""en"", ""hi""))"),"4 चिकन - बोनलेस, 4 चम्मच अदरक लहसुन पेस्ट, 1/2 चम्मच हल्दी पाउडर (हल्दी) - चिकन पर रगड़ने के लिए, नमक - आवश्यकतानुसार, लाल मिर्च पाउडर - आवश्यकतानुसार, 3 चम्मच ताजा क्रीम")</f>
        <v>4 चिकन - बोनलेस, 4 चम्मच अदरक लहसुन पेस्ट, 1/2 चम्मच हल्दी पाउडर (हल्दी) - चिकन पर रगड़ने के लिए, नमक - आवश्यकतानुसार, लाल मिर्च पाउडर - आवश्यकतानुसार, 3 चम्मच ताजा क्रीम</v>
      </c>
      <c r="H313" s="1" t="s">
        <v>32250</v>
      </c>
      <c r="I313" s="1" t="str">
        <f ca="1">IFERROR(__xludf.dummyfunction("IF(H313="""", """", GOOGLETRANSLATE(H313, ""en"", ""hi""))"),"चिकन मलाई कबाब रेसिपी बनाने के लिए सबसे पहले चिकन को छोटे-छोटे टुकड़ों में काट लें। इसे धोकर साफ कर लें और बोनलेस चिकन पर नमक और हल्दी रगड़ें और 10 मिनट के लिए अलग रख दें। 10 मिनट के बाद अदरक लहसुन का पेस्ट, लाल मिर्च पाउडर और आवश्यकतानुसार नमक डालें। एक "&amp;"घंटे के लिए मैरिनेट करें। एक घंटे के बाद फ्रेश क्रीम डालें। जब यह पक जाए तो 3 टुकड़ों को छोटे-छोटे कटार पर डालें और पहले से गरम ग्रिल पैन पर रखें। इन कबाबों को फ्राइंग पैन पर भी पकाया जा सकता है। कबाब में तेल डालने की जरूरत नहीं है। धीमी आंच पर पकाएं। जब "&amp;"तक अच्छी तरह से पक न जाए। चिकन मलाई कबाब को रमज़ान के दौरान या सप्ताह के रात के खाने में धनिया पुदीना चटनी के साथ साइड डिश के रूप में परोसें।")</f>
        <v>चिकन मलाई कबाब रेसिपी बनाने के लिए सबसे पहले चिकन को छोटे-छोटे टुकड़ों में काट लें। इसे धोकर साफ कर लें और बोनलेस चिकन पर नमक और हल्दी रगड़ें और 10 मिनट के लिए अलग रख दें। 10 मिनट के बाद अदरक लहसुन का पेस्ट, लाल मिर्च पाउडर और आवश्यकतानुसार नमक डालें। एक घंटे के लिए मैरिनेट करें। एक घंटे के बाद फ्रेश क्रीम डालें। जब यह पक जाए तो 3 टुकड़ों को छोटे-छोटे कटार पर डालें और पहले से गरम ग्रिल पैन पर रखें। इन कबाबों को फ्राइंग पैन पर भी पकाया जा सकता है। कबाब में तेल डालने की जरूरत नहीं है। धीमी आंच पर पकाएं। जब तक अच्छी तरह से पक न जाए। चिकन मलाई कबाब को रमज़ान के दौरान या सप्ताह के रात के खाने में धनिया पुदीना चटनी के साथ साइड डिश के रूप में परोसें।</v>
      </c>
      <c r="J313" s="3" t="s">
        <v>32251</v>
      </c>
      <c r="L313" s="1" t="s">
        <v>31003</v>
      </c>
    </row>
    <row r="314" spans="1:12" ht="13.8">
      <c r="A314" s="1" t="s">
        <v>32252</v>
      </c>
      <c r="B314" s="1" t="str">
        <f ca="1">IFERROR(__xludf.dummyfunction("IF(A314="""", """", GOOGLETRANSLATE(A314, ""en"", ""hi""))"),"भरवां पीली मूंग दाल और प्याज पराठा रेसिपी")</f>
        <v>भरवां पीली मूंग दाल और प्याज पराठा रेसिपी</v>
      </c>
      <c r="C314" s="1" t="s">
        <v>16424</v>
      </c>
      <c r="D314" s="1" t="s">
        <v>14198</v>
      </c>
      <c r="E314" s="1">
        <v>40</v>
      </c>
      <c r="F314" s="1" t="s">
        <v>32253</v>
      </c>
      <c r="G314" s="1" t="str">
        <f ca="1">IFERROR(__xludf.dummyfunction("IF(F314="""", """", GOOGLETRANSLATE(F314, ""en"", ""hi""))"),"1-1/2 गेहूं का आटा, नमक - स्वादानुसार, 1 चम्मच सूरजमुखी तेल, घी - पकाने के लिए, 1/2 चम्मच सूरजमुखी तेल, 1/2 कप पीली मूंग दाल - धुली और भिगोई हुई, 1/2 कप हरी शिमला मिर्च - बारीक कटी हुई, 1 प्याज - बारीक कटा हुआ, 1 इंच अदरक - बारीक कटा हुआ, 3 लहसुन के दाने "&amp;"- बारीक कटा हुआ, 1 हरी मिर्च - बारीक कटी हुई, नमक - स्वादानुसार, 1 चम्मच लाल मिर्च पाउडर, 1 चम्मच जीरा पाउडर, 1/2 चम्मच हल्दी पाउडर")</f>
        <v>1-1/2 गेहूं का आटा, नमक - स्वादानुसार, 1 चम्मच सूरजमुखी तेल, घी - पकाने के लिए, 1/2 चम्मच सूरजमुखी तेल, 1/2 कप पीली मूंग दाल - धुली और भिगोई हुई, 1/2 कप हरी शिमला मिर्च - बारीक कटी हुई, 1 प्याज - बारीक कटा हुआ, 1 इंच अदरक - बारीक कटा हुआ, 3 लहसुन के दाने - बारीक कटा हुआ, 1 हरी मिर्च - बारीक कटी हुई, नमक - स्वादानुसार, 1 चम्मच लाल मिर्च पाउडर, 1 चम्मच जीरा पाउडर, 1/2 चम्मच हल्दी पाउडर</v>
      </c>
      <c r="H314" s="1" t="s">
        <v>32254</v>
      </c>
      <c r="I314" s="1" t="str">
        <f ca="1">IFERROR(__xludf.dummyfunction("IF(H314="""", """", GOOGLETRANSLATE(H314, ""en"", ""hi""))"),"भरवां पीली मूंग दाल और प्याज पराठा रेसिपी बनाने के लिए सबसे पहले हम आटा गूंथेंगे। *आटे के लिएएक बड़े मिक्सिंग बाउल में गेहूं का आटा और नमक मिलाएं और जिस पानी में दाल पकाई गई थी, उससे पराठे का आटा गूंथ लें। सख्त पर चिकना आटा गूंथ लें। लगभग 3 से 4 मिनट तक अ"&amp;"च्छी तरह गूंधें, इससे पराठे नरम बनेंगे। आटे पर एक चम्मच तेल छिड़कें और एक-दो मिनट के लिए गूंदें। एक तरफ रख दें और इसे आराम करने दें। *भुनी शिमला मिर्च और प्याज की फिलिंग वाली पीली मूंग दाल के लिएसबसे पहले मूंग दाल को धोकर 30 मिनट के लिए भिगो दें। भीगा हुआ"&amp;" पानी निकाल दें।एक पैन में धुली और भीगी हुई दाल, नमक, हल्दी और 1/2 कप पानी डालकर प्रेशर कुकर में डालें अगर दाल में अतिरिक्त पानी है तो उसे निकाल दें और पकी हुई पीली मूंग दाल को एक तरफ रख दें। एक छोटे पैन में मध्यम आंच पर तेल गर्म करें, उसमें अदरक, लहसुन ह"&amp;"री मिर्च डालें और 30 सेकंड के लिए भूनें। इसके बाद उसमें प्याज और शिमला मिर्च डालें और नरम होने तक 3-4 मिनट तक पकाएं। इस स्तर पर उबली हुई दाल, लाल मिर्च पाउडर, जीरा पाउडर, हल्दी पाउडर, नमक डालें और अच्छी तरह मिलाएँ और एक तरफ रख दें। *भरवां पीली मूंग दाल और"&amp;" प्याज पराठा बनाने के लिए थोड़ा आटा छिड़कने के लिए अलग रख दें। आटे को बड़े नींबू के आकार की गेंदों में विभाजित करें। आटे के हिस्से को आटे में लपेटें, इसे चपटा करें और इसे 3 इंच व्यास के सर्कल में रोल करें ध्यान से पराठे को 6-7 इंच व्यास में गोल आकार में ब"&amp;"ेल लें। मध्यम आंच पर एक कड़ाही गर्म करें और भरवां पीली मूंग दाल और प्याज पराठा को घी में तब तक पकाएं जब तक कि यह पक न जाए और दोनों तरफ सुनहरे भूरे रंग के धब्बे न आ जाएं। आटे के बचे हुए हिस्से और भुनी हुई शिमला मिर्च और प्याज की फिलिंग वाली पीली मूंग दाल क"&amp;"े साथ यही प्रक्रिया दोहराएं। इस भरवां पीली मूंग दाल और प्याज पराठा रेसिपी को धनिया तड़का रायता और हरी मिर्च के अचार के साथ एक सरल और पौष्टिक भोजन के लिए परोसें।")</f>
        <v>भरवां पीली मूंग दाल और प्याज पराठा रेसिपी बनाने के लिए सबसे पहले हम आटा गूंथेंगे। *आटे के लिएएक बड़े मिक्सिंग बाउल में गेहूं का आटा और नमक मिलाएं और जिस पानी में दाल पकाई गई थी, उससे पराठे का आटा गूंथ लें। सख्त पर चिकना आटा गूंथ लें। लगभग 3 से 4 मिनट तक अच्छी तरह गूंधें, इससे पराठे नरम बनेंगे। आटे पर एक चम्मच तेल छिड़कें और एक-दो मिनट के लिए गूंदें। एक तरफ रख दें और इसे आराम करने दें। *भुनी शिमला मिर्च और प्याज की फिलिंग वाली पीली मूंग दाल के लिएसबसे पहले मूंग दाल को धोकर 30 मिनट के लिए भिगो दें। भीगा हुआ पानी निकाल दें।एक पैन में धुली और भीगी हुई दाल, नमक, हल्दी और 1/2 कप पानी डालकर प्रेशर कुकर में डालें अगर दाल में अतिरिक्त पानी है तो उसे निकाल दें और पकी हुई पीली मूंग दाल को एक तरफ रख दें। एक छोटे पैन में मध्यम आंच पर तेल गर्म करें, उसमें अदरक, लहसुन हरी मिर्च डालें और 30 सेकंड के लिए भूनें। इसके बाद उसमें प्याज और शिमला मिर्च डालें और नरम होने तक 3-4 मिनट तक पकाएं। इस स्तर पर उबली हुई दाल, लाल मिर्च पाउडर, जीरा पाउडर, हल्दी पाउडर, नमक डालें और अच्छी तरह मिलाएँ और एक तरफ रख दें। *भरवां पीली मूंग दाल और प्याज पराठा बनाने के लिए थोड़ा आटा छिड़कने के लिए अलग रख दें। आटे को बड़े नींबू के आकार की गेंदों में विभाजित करें। आटे के हिस्से को आटे में लपेटें, इसे चपटा करें और इसे 3 इंच व्यास के सर्कल में रोल करें ध्यान से पराठे को 6-7 इंच व्यास में गोल आकार में बेल लें। मध्यम आंच पर एक कड़ाही गर्म करें और भरवां पीली मूंग दाल और प्याज पराठा को घी में तब तक पकाएं जब तक कि यह पक न जाए और दोनों तरफ सुनहरे भूरे रंग के धब्बे न आ जाएं। आटे के बचे हुए हिस्से और भुनी हुई शिमला मिर्च और प्याज की फिलिंग वाली पीली मूंग दाल के साथ यही प्रक्रिया दोहराएं। इस भरवां पीली मूंग दाल और प्याज पराठा रेसिपी को धनिया तड़का रायता और हरी मिर्च के अचार के साथ एक सरल और पौष्टिक भोजन के लिए परोसें।</v>
      </c>
      <c r="J314" s="3" t="s">
        <v>32255</v>
      </c>
      <c r="L314" s="1" t="s">
        <v>31003</v>
      </c>
    </row>
    <row r="315" spans="1:12" ht="13.8">
      <c r="A315" s="1" t="s">
        <v>32256</v>
      </c>
      <c r="B315" s="1" t="str">
        <f ca="1">IFERROR(__xludf.dummyfunction("IF(A315="""", """", GOOGLETRANSLATE(A315, ""en"", ""hi""))"),"बाजरा कद्दू की रोटी रेसिपी - बाजरा कद्दू की रोटी रेसिपी")</f>
        <v>बाजरा कद्दू की रोटी रेसिपी - बाजरा कद्दू की रोटी रेसिपी</v>
      </c>
      <c r="C315" s="1" t="s">
        <v>145</v>
      </c>
      <c r="D315" s="1" t="s">
        <v>14208</v>
      </c>
      <c r="E315" s="1">
        <v>40</v>
      </c>
      <c r="F315" s="1" t="s">
        <v>32257</v>
      </c>
      <c r="G315" s="1" t="str">
        <f ca="1">IFERROR(__xludf.dummyfunction("IF(F315="""", """", GOOGLETRANSLATE(F315, ""en"", ""hi""))"),"1/2 कप बाजरे का आटा, 1/2 कप गेहूं का आटा, 1 कप कद्दू - कसा हुआ, 1/2 चम्मच अदरक - कुचला हुआ, 1/2 चम्मच हरी मिर्च - कुचली हुई, 1/4 चम्मच अजवाइन, 1/4 चम्मच हल्दी पाउडर, 1/4 चम्मच हींग, 1 चम्मच नींबू का रस, 2 बड़े चम्मच धनिया पत्ती - कटी हुई, घी - आवश्यकतानुस"&amp;"ार")</f>
        <v>1/2 कप बाजरे का आटा, 1/2 कप गेहूं का आटा, 1 कप कद्दू - कसा हुआ, 1/2 चम्मच अदरक - कुचला हुआ, 1/2 चम्मच हरी मिर्च - कुचली हुई, 1/4 चम्मच अजवाइन, 1/4 चम्मच हल्दी पाउडर, 1/4 चम्मच हींग, 1 चम्मच नींबू का रस, 2 बड़े चम्मच धनिया पत्ती - कटी हुई, घी - आवश्यकतानुसार</v>
      </c>
      <c r="H315" s="1" t="s">
        <v>32258</v>
      </c>
      <c r="I315" s="1" t="str">
        <f ca="1">IFERROR(__xludf.dummyfunction("IF(H315="""", """", GOOGLETRANSLATE(H315, ""en"", ""hi""))"),"बाजरे के कद्दू की रोटी बनाने के लिए सबसे पहले एक मिक्सिंग बाउल लें और उसमें घी को छोड़कर सभी सामग्री डालें और पानी की मदद से नरम आटा गूंथ लें। बाजरे के कद्दू की रोटी के आटे को 10 मिनट के लिए रख दें। आटे को 8 बराबर भागों में बांट लें। टेबल टॉप पर थोड़ा सूख"&amp;"ा आटा छिड़कें, आटे का एक भाग लें और 5 से 6 इंच व्यास की रोटी बेल लें। आप अपनी पसंद के अनुसार रोटी की मोटाई को समायोजित कर सकते हैं। रोटी तवा गरम करें और बाजरे के कद्दू की रोटी को मध्यम आँच पर कुछ सेकंड के लिए पकाएँ जब तक कि आप इसका कच्चापन दूर न होते देखे"&amp;"ं। जब आपको लगे कि बाजरे के कद्दू की रोटी में छोटे-छोटे बुलबुले बन रहे हैं, तो रोटी पर घी लगाएं और मध्यम आंच पर दोनों तरफ से सुनहरा भूरा होने तक पकाएं। इसी तरह बाकी बाजरे के कद्दू की रोटी भी पकाएं और गर्मागर्म सर्व करें। बाजरे के कद्दू की रोटी रेसिपी को बै"&amp;"ंगन भर्ता, सब्जियों के साथ मसालेदार पनीर पुलाव, पंजाबी मेथी कढ़ी और उड़द दाल रायता के साथ एक पौष्टिक और सेहतमंद भारतीय लंच या डिनर के लिए परोसें।")</f>
        <v>बाजरे के कद्दू की रोटी बनाने के लिए सबसे पहले एक मिक्सिंग बाउल लें और उसमें घी को छोड़कर सभी सामग्री डालें और पानी की मदद से नरम आटा गूंथ लें। बाजरे के कद्दू की रोटी के आटे को 10 मिनट के लिए रख दें। आटे को 8 बराबर भागों में बांट लें। टेबल टॉप पर थोड़ा सूखा आटा छिड़कें, आटे का एक भाग लें और 5 से 6 इंच व्यास की रोटी बेल लें। आप अपनी पसंद के अनुसार रोटी की मोटाई को समायोजित कर सकते हैं। रोटी तवा गरम करें और बाजरे के कद्दू की रोटी को मध्यम आँच पर कुछ सेकंड के लिए पकाएँ जब तक कि आप इसका कच्चापन दूर न होते देखें। जब आपको लगे कि बाजरे के कद्दू की रोटी में छोटे-छोटे बुलबुले बन रहे हैं, तो रोटी पर घी लगाएं और मध्यम आंच पर दोनों तरफ से सुनहरा भूरा होने तक पकाएं। इसी तरह बाकी बाजरे के कद्दू की रोटी भी पकाएं और गर्मागर्म सर्व करें। बाजरे के कद्दू की रोटी रेसिपी को बैंगन भर्ता, सब्जियों के साथ मसालेदार पनीर पुलाव, पंजाबी मेथी कढ़ी और उड़द दाल रायता के साथ एक पौष्टिक और सेहतमंद भारतीय लंच या डिनर के लिए परोसें।</v>
      </c>
      <c r="J315" s="3" t="s">
        <v>32259</v>
      </c>
      <c r="L315" s="1" t="s">
        <v>31003</v>
      </c>
    </row>
    <row r="316" spans="1:12" ht="13.8">
      <c r="A316" s="1" t="s">
        <v>32260</v>
      </c>
      <c r="B316" s="1" t="str">
        <f ca="1">IFERROR(__xludf.dummyfunction("IF(A316="""", """", GOOGLETRANSLATE(A316, ""en"", ""hi""))"),"शेज़वान स्टाइल चाइनीज़ वेज समोसा रेसिपी - रोज़ का खाना फिगारो ऑलिव ऑयल के साथ")</f>
        <v>शेज़वान स्टाइल चाइनीज़ वेज समोसा रेसिपी - रोज़ का खाना फिगारो ऑलिव ऑयल के साथ</v>
      </c>
      <c r="C316" s="1" t="s">
        <v>14281</v>
      </c>
      <c r="D316" s="1" t="s">
        <v>14198</v>
      </c>
      <c r="E316" s="1">
        <v>55</v>
      </c>
      <c r="F316" s="1" t="s">
        <v>32261</v>
      </c>
      <c r="G316" s="1" t="str">
        <f ca="1">IFERROR(__xludf.dummyfunction("IF(F316="""", """", GOOGLETRANSLATE(F316, ""en"", ""hi""))"),"2 कप गेहूं का आटा, 1/4 कप सूजी, 1 चम्मच अजवाइन, 1 चुटकी नमक, 1/4 कप फिगारो शुद्ध जैतून का तेल, 1/2 कप गाजर - बारीक कटी हुई, 1/2 कप हरी बेल मिर्च - बारीक कटी हुई, 1/2 कप पत्तागोभी - बारीक कटी हुई, 1 इंच अदरक - कद्दूकस किया हुआ, 3 लहसुन के दाने - बारीक कटा "&amp;"हुआ, 2 हरी मिर्च - बारीक कटी हुई, 1/4 कप हरे प्याज के पत्ते - बारीक कटे हुए, 1 चम्मच शेजवान सॉस, नमक - स्वादानुसार, काली मिर्च पाउडर - स्वादानुसार")</f>
        <v>2 कप गेहूं का आटा, 1/4 कप सूजी, 1 चम्मच अजवाइन, 1 चुटकी नमक, 1/4 कप फिगारो शुद्ध जैतून का तेल, 1/2 कप गाजर - बारीक कटी हुई, 1/2 कप हरी बेल मिर्च - बारीक कटी हुई, 1/2 कप पत्तागोभी - बारीक कटी हुई, 1 इंच अदरक - कद्दूकस किया हुआ, 3 लहसुन के दाने - बारीक कटा हुआ, 2 हरी मिर्च - बारीक कटी हुई, 1/4 कप हरे प्याज के पत्ते - बारीक कटे हुए, 1 चम्मच शेजवान सॉस, नमक - स्वादानुसार, काली मिर्च पाउडर - स्वादानुसार</v>
      </c>
      <c r="H316" s="1" t="s">
        <v>32262</v>
      </c>
      <c r="I316" s="1" t="str">
        <f ca="1">IFERROR(__xludf.dummyfunction("IF(H316="""", """", GOOGLETRANSLATE(H316, ""en"", ""hi""))"),"सिचुआन स्टाइल चाइनीज समोसा रेसिपी बनाने के लिए सबसे पहले सारी सामग्री तैयार करके रख लें। सबसे पहले हम आटा गूंथेंगे और फिर उसमें भरकर चाइनीज वेज समोसा को शुद्ध जैतून के तेल में तल लेंगे। समोसे की परत के लिए आटा गूंथने के लिए एक बड़े कटोरे में सारी सामग्री "&amp;"मिला लें। आटे में जैतून का तेल तब तक मलें जब तक कि मोटे टुकड़े न दिखने लगें। थोड़ा-थोड़ा पानी डालते हुए सख्त और चिकना आटा गूंथ लें। आटे को ढककर अलग रख दें जब तक हम चाइनीज भरावन तैयार करते हैं। भरावन के लिए एक कड़ाही या भारी तले वाले पैन में जैतून का तेल ग"&amp;"र्म करें। उसमें अदरक, लहसुन, हरी मिर्च और हरे प्याज़ डालें और कुछ सेकंड के लिए तब तक भूनें जब तक कि आपको सुगंध आने न लगे। इसमें गाजर, बीन्स, शिमला मिर्च और पत्तागोभी डालें स्वाद की जांच करें और नमक और मिर्च को समायोजित करें। आँच बंद करें और भरावन को ठंडा "&amp;"होने के लिए अलग रख दें। समोसे को तलने के लिए तेल गरम करें। समोसे के आटे को 12 बराबर भागों में बाँट लें। इसे थोड़े से आटे में लपेटें और एक छोटे चौकोर आकार में बेल लें। चीनी भरावन का एक छोटा सा हिस्सा बेले हुए आटे में रखें। इस स्तर पर आप किनारों को एक साथ ल"&amp;"ाकर इसे वॉनटन की तरह मोड़ सकते हैं। किनारों को अच्छी तरह से चुटकी बजाते हुए सील करें, ताकि यह एक आकार दे और अलग दिखे। इसी तरह से सिचुआन स्टाइल चीनी समोसा बनाने के लिए आगे बढ़ें। चीनी समोसे को तेल में डालें और उन्हें कुरकुरा और सुनहरा भूरा होने तक तल लें। "&amp;"एक बार हो जाने के बाद, सिचुआन स्टाइल चीनी समोसे को ओवन से निकालें और परोसें।")</f>
        <v>सिचुआन स्टाइल चाइनीज समोसा रेसिपी बनाने के लिए सबसे पहले सारी सामग्री तैयार करके रख लें। सबसे पहले हम आटा गूंथेंगे और फिर उसमें भरकर चाइनीज वेज समोसा को शुद्ध जैतून के तेल में तल लेंगे। समोसे की परत के लिए आटा गूंथने के लिए एक बड़े कटोरे में सारी सामग्री मिला लें। आटे में जैतून का तेल तब तक मलें जब तक कि मोटे टुकड़े न दिखने लगें। थोड़ा-थोड़ा पानी डालते हुए सख्त और चिकना आटा गूंथ लें। आटे को ढककर अलग रख दें जब तक हम चाइनीज भरावन तैयार करते हैं। भरावन के लिए एक कड़ाही या भारी तले वाले पैन में जैतून का तेल गर्म करें। उसमें अदरक, लहसुन, हरी मिर्च और हरे प्याज़ डालें और कुछ सेकंड के लिए तब तक भूनें जब तक कि आपको सुगंध आने न लगे। इसमें गाजर, बीन्स, शिमला मिर्च और पत्तागोभी डालें स्वाद की जांच करें और नमक और मिर्च को समायोजित करें। आँच बंद करें और भरावन को ठंडा होने के लिए अलग रख दें। समोसे को तलने के लिए तेल गरम करें। समोसे के आटे को 12 बराबर भागों में बाँट लें। इसे थोड़े से आटे में लपेटें और एक छोटे चौकोर आकार में बेल लें। चीनी भरावन का एक छोटा सा हिस्सा बेले हुए आटे में रखें। इस स्तर पर आप किनारों को एक साथ लाकर इसे वॉनटन की तरह मोड़ सकते हैं। किनारों को अच्छी तरह से चुटकी बजाते हुए सील करें, ताकि यह एक आकार दे और अलग दिखे। इसी तरह से सिचुआन स्टाइल चीनी समोसा बनाने के लिए आगे बढ़ें। चीनी समोसे को तेल में डालें और उन्हें कुरकुरा और सुनहरा भूरा होने तक तल लें। एक बार हो जाने के बाद, सिचुआन स्टाइल चीनी समोसे को ओवन से निकालें और परोसें।</v>
      </c>
      <c r="J316" s="3" t="s">
        <v>32263</v>
      </c>
      <c r="L316" s="1" t="s">
        <v>31003</v>
      </c>
    </row>
    <row r="317" spans="1:12" ht="13.8">
      <c r="A317" s="1" t="s">
        <v>32264</v>
      </c>
      <c r="B317" s="1" t="str">
        <f ca="1">IFERROR(__xludf.dummyfunction("IF(A317="""", """", GOOGLETRANSLATE(A317, ""en"", ""hi""))"),"सूखी मूंग पालक दाल")</f>
        <v>सूखी मूंग पालक दाल</v>
      </c>
      <c r="C317" s="1" t="s">
        <v>14207</v>
      </c>
      <c r="D317" s="1" t="s">
        <v>14237</v>
      </c>
      <c r="E317" s="1">
        <v>65</v>
      </c>
      <c r="F317" s="1" t="s">
        <v>32265</v>
      </c>
      <c r="G317" s="1" t="str">
        <f ca="1">IFERROR(__xludf.dummyfunction("IF(F317="""", """", GOOGLETRANSLATE(F317, ""en"", ""hi""))"),"1 कप हरी मूंग दाल - रातभर भिगोई हुई, 1/2 कप पालक - काटकर उबालें, 2 टमाटर, 1-1/2 टेबल स्पून सरसों का तेल, 1 टी स्पून जीरा, 2 प्याज - कटे हुए, 5 लहसुन की कलियां - कद्दूकस की हुई, 1 इंच अदरक - कद्दूकस की हुई, 2 हरी मिर्च, नमक - स्वादानुसार, 1/4 प्याज - बारीक"&amp;" कटा हुआ, 1 हरी मिर्च - बारीक कटी हुई, हरा धनिया - थोड़ा सा")</f>
        <v>1 कप हरी मूंग दाल - रातभर भिगोई हुई, 1/2 कप पालक - काटकर उबालें, 2 टमाटर, 1-1/2 टेबल स्पून सरसों का तेल, 1 टी स्पून जीरा, 2 प्याज - कटे हुए, 5 लहसुन की कलियां - कद्दूकस की हुई, 1 इंच अदरक - कद्दूकस की हुई, 2 हरी मिर्च, नमक - स्वादानुसार, 1/4 प्याज - बारीक कटा हुआ, 1 हरी मिर्च - बारीक कटी हुई, हरा धनिया - थोड़ा सा</v>
      </c>
      <c r="H317" s="1" t="s">
        <v>32266</v>
      </c>
      <c r="I317" s="1" t="str">
        <f ca="1">IFERROR(__xludf.dummyfunction("IF(H317="""", """", GOOGLETRANSLATE(H317, ""en"", ""hi""))"),"""सूखी मूंग पालक दाल बनाने के लिए सबसे पहले दाल से पानी निकाल कर अलग रख दें। अब पालक, टमाटर को मिक्सर ग्राइंडर में डालकर प्यूरी बना लें। इसे अलग रख दें। अब एक पैन में सरसों का तेल गर्म करें। इसमें जीरा डालें और 10 सेकंड तक पकाएं। अब इसमें प्याज डालें और भ"&amp;"ूरा होने तक पकाएं। अब इसमें लहसुन, अदरक और हरी मिर्च डालें। 1 मिनट तक पकाएं। अब इसमें पालक प्यूरी, नमक डालें और 2 मिनट तक पकाएं। अब इसमें दाल डालें और तेज आंच पर 5 मिनट तक पकाएं। आंच कम कर दें, पैन को ढक दें और 20 मिनट तक पकाएं। दाल के पकने और पानी के सूख"&amp;"ने तक पकाएं। इसे एक बाउल में निकाल लें और प्याज, हरी मिर्च और धनिया से गार्निश करें। सूखी मूंग पालक दाल को गुजराती कढ़ी और फुल्के के साथ लंच में सर्व करें।""")</f>
        <v>"सूखी मूंग पालक दाल बनाने के लिए सबसे पहले दाल से पानी निकाल कर अलग रख दें। अब पालक, टमाटर को मिक्सर ग्राइंडर में डालकर प्यूरी बना लें। इसे अलग रख दें। अब एक पैन में सरसों का तेल गर्म करें। इसमें जीरा डालें और 10 सेकंड तक पकाएं। अब इसमें प्याज डालें और भूरा होने तक पकाएं। अब इसमें लहसुन, अदरक और हरी मिर्च डालें। 1 मिनट तक पकाएं। अब इसमें पालक प्यूरी, नमक डालें और 2 मिनट तक पकाएं। अब इसमें दाल डालें और तेज आंच पर 5 मिनट तक पकाएं। आंच कम कर दें, पैन को ढक दें और 20 मिनट तक पकाएं। दाल के पकने और पानी के सूखने तक पकाएं। इसे एक बाउल में निकाल लें और प्याज, हरी मिर्च और धनिया से गार्निश करें। सूखी मूंग पालक दाल को गुजराती कढ़ी और फुल्के के साथ लंच में सर्व करें।"</v>
      </c>
      <c r="J317" s="3" t="s">
        <v>32267</v>
      </c>
      <c r="L317" s="1" t="s">
        <v>31003</v>
      </c>
    </row>
    <row r="318" spans="1:12" ht="13.8">
      <c r="A318" s="1" t="s">
        <v>32268</v>
      </c>
      <c r="B318" s="1" t="str">
        <f ca="1">IFERROR(__xludf.dummyfunction("IF(A318="""", """", GOOGLETRANSLATE(A318, ""en"", ""hi""))"),"मखाना आलू टिक्की रेसिपी (मसालेदार कमल के बीज पैटीज़ रेसिपी)")</f>
        <v>मखाना आलू टिक्की रेसिपी (मसालेदार कमल के बीज पैटीज़ रेसिपी)</v>
      </c>
      <c r="C318" s="1" t="s">
        <v>14281</v>
      </c>
      <c r="D318" s="1" t="s">
        <v>14198</v>
      </c>
      <c r="E318" s="1">
        <v>30</v>
      </c>
      <c r="F318" s="1" t="s">
        <v>32269</v>
      </c>
      <c r="G318" s="1" t="str">
        <f ca="1">IFERROR(__xludf.dummyfunction("IF(F318="""", """", GOOGLETRANSLATE(F318, ""en"", ""hi""))"),"4 आलू - उबले हुए, 1 कप फूल मखाना - भुना हुआ, 2 हरी मिर्च - बारीक कटी हुई, 1 छोटा चम्मच सौंफ - कुटी हुई, 2 बड़े चम्मच भुनी हुई मूंगफली - कुटी हुई, 1 धनिया पत्ता - छोटा गुच्छा, 1 छोटा चम्मच चाट मसाला पाउडर, 1/2 छोटा चम्मच गरम मसाला पाउडर, 1/4 छोटा चम्मच लाल"&amp;" मिर्च पाउडर, काला नमक - स्वादानुसार, सूरजमुखी तेल")</f>
        <v>4 आलू - उबले हुए, 1 कप फूल मखाना - भुना हुआ, 2 हरी मिर्च - बारीक कटी हुई, 1 छोटा चम्मच सौंफ - कुटी हुई, 2 बड़े चम्मच भुनी हुई मूंगफली - कुटी हुई, 1 धनिया पत्ता - छोटा गुच्छा, 1 छोटा चम्मच चाट मसाला पाउडर, 1/2 छोटा चम्मच गरम मसाला पाउडर, 1/4 छोटा चम्मच लाल मिर्च पाउडर, काला नमक - स्वादानुसार, सूरजमुखी तेल</v>
      </c>
      <c r="H318" s="1" t="s">
        <v>32270</v>
      </c>
      <c r="I318" s="1" t="str">
        <f ca="1">IFERROR(__xludf.dummyfunction("IF(H318="""", """", GOOGLETRANSLATE(H318, ""en"", ""hi""))"),"हम मखाना आलू टिक्की रेसिपी (मसालेदार लोटस सीड पैटीज़ रेसिपी) बनाना शुरू करते हैं, मखाना को एक पैन में थोड़े से घी के साथ कुरकुरा होने तक भूनकर और दरदरा पीसकर। आलू को मैश करें और एक कटोरे में बाकी सभी सामग्री डालें। नमक और मसालों की जाँच करें और अपने स्वाद"&amp;" के अनुसार समायोजित करें। आलू मखाने के मिश्रण को छोटे कटलेट का आकार दें और उन्हें बहुत कम तेल में दोनों तरफ से सुनहरा भूरा होने तक तल लें। अपने मखाना आलू टिक्की (मसालेदार लोटस सीड पैटीज़) को धनिया पुदीना नो प्याज़ नो लहसुन चटनी के साथ परोसें और चाय के समय"&amp;" का मज़ा लें।")</f>
        <v>हम मखाना आलू टिक्की रेसिपी (मसालेदार लोटस सीड पैटीज़ रेसिपी) बनाना शुरू करते हैं, मखाना को एक पैन में थोड़े से घी के साथ कुरकुरा होने तक भूनकर और दरदरा पीसकर। आलू को मैश करें और एक कटोरे में बाकी सभी सामग्री डालें। नमक और मसालों की जाँच करें और अपने स्वाद के अनुसार समायोजित करें। आलू मखाने के मिश्रण को छोटे कटलेट का आकार दें और उन्हें बहुत कम तेल में दोनों तरफ से सुनहरा भूरा होने तक तल लें। अपने मखाना आलू टिक्की (मसालेदार लोटस सीड पैटीज़) को धनिया पुदीना नो प्याज़ नो लहसुन चटनी के साथ परोसें और चाय के समय का मज़ा लें।</v>
      </c>
      <c r="J318" s="3" t="s">
        <v>32271</v>
      </c>
      <c r="L318" s="1" t="s">
        <v>31003</v>
      </c>
    </row>
    <row r="319" spans="1:12" ht="13.8">
      <c r="A319" s="1" t="s">
        <v>32272</v>
      </c>
      <c r="B319" s="1" t="str">
        <f ca="1">IFERROR(__xludf.dummyfunction("IF(A319="""", """", GOOGLETRANSLATE(A319, ""en"", ""hi""))"),"हरियाली चिकन टिक्का रेसिपी")</f>
        <v>हरियाली चिकन टिक्का रेसिपी</v>
      </c>
      <c r="C319" s="1" t="s">
        <v>14572</v>
      </c>
      <c r="D319" s="1" t="s">
        <v>14367</v>
      </c>
      <c r="E319" s="1">
        <v>110</v>
      </c>
      <c r="F319" s="1" t="s">
        <v>32273</v>
      </c>
      <c r="G319" s="1" t="str">
        <f ca="1">IFERROR(__xludf.dummyfunction("IF(F319="""", """", GOOGLETRANSLATE(F319, ""en"", ""hi""))"),"2 चिकन ब्रेस्ट - क्यूब्स में कटे हुए, 1 चम्मच लाल मिर्च पाउडर, 1/2 चम्मच हल्दी पाउडर (हल्दी), 2 चम्मच गरम मसाला पाउडर, 1 चम्मच अमचूर (सूखा आम पाउडर), 1 चम्मच जीरा पाउडर (जीरा), 1/4 कप दही (दही), नमक - स्वादानुसार, 1 कप धनिया (धनिया) के पत्ते, 1 कप पुदीना "&amp;"के पत्ते (पुदीना), 1 हरी मिर्च")</f>
        <v>2 चिकन ब्रेस्ट - क्यूब्स में कटे हुए, 1 चम्मच लाल मिर्च पाउडर, 1/2 चम्मच हल्दी पाउडर (हल्दी), 2 चम्मच गरम मसाला पाउडर, 1 चम्मच अमचूर (सूखा आम पाउडर), 1 चम्मच जीरा पाउडर (जीरा), 1/4 कप दही (दही), नमक - स्वादानुसार, 1 कप धनिया (धनिया) के पत्ते, 1 कप पुदीना के पत्ते (पुदीना), 1 हरी मिर्च</v>
      </c>
      <c r="H319" s="1" t="s">
        <v>32274</v>
      </c>
      <c r="I319" s="1" t="str">
        <f ca="1">IFERROR(__xludf.dummyfunction("IF(H319="""", """", GOOGLETRANSLATE(H319, ""en"", ""hi""))"),"हरियाली चिकन टिक्का रेसिपी बनाने के लिए सबसे पहले चिकन को अच्छी तरह धोकर साफ कर लें। इन्हें 1 इंच के टुकड़ों में काट लें और अलग रख दें। एक मिक्सर जार में धनिया पत्ती, पुदीना पत्ती, हरी मिर्च डालें और थोड़ा पानी डालकर मुलायम पेस्ट बना लें। हरे मसाले को मिक"&amp;"्सिंग बाउल में डालें और उसमें दही और बाकी मसाले डालें, जिसमें लाल मिर्च पाउडर, हल्दी पाउडर, गरम मसाला पाउडर, अमचूर पाउडर, जीरा पाउडर और नमक शामिल हैं। अच्छी तरह मिलाएँ और इस हरियाली मसाले में चिकन के टुकड़े डालें। इसे लगभग 1 घंटे के लिए अलग रख दें। ग्रिल "&amp;"पैन गरम करें, थोड़ा तेल छिड़कें, मैरीनेट किए हुए चिकन के टुकड़े डालें और दोनों तरफ समान रूप से तब तक ग्रिल करें जब तक कि वे अच्छी तरह से जल न जाएं। चिकन को पकने में लगभग 10 मिनट लगेंगे। कटे हुए प्याज और नींबू के टुकड़ों के साथ गरमागरम परोसें। हरियाली चिकन"&amp;" टिक्का रेसिपी को नींबू के टुकड़ों, पुदीना दही चटनी रेसिपी के साथ परोसें और अपने डिनर पार्टियों में कलमी कबाब रेसिपी या चेट्टीनाड स्टाइल चिकन रोस्ट रेसिपी जैसे अन्य नॉन-वेज ऐपेटाइज़र परोसें।")</f>
        <v>हरियाली चिकन टिक्का रेसिपी बनाने के लिए सबसे पहले चिकन को अच्छी तरह धोकर साफ कर लें। इन्हें 1 इंच के टुकड़ों में काट लें और अलग रख दें। एक मिक्सर जार में धनिया पत्ती, पुदीना पत्ती, हरी मिर्च डालें और थोड़ा पानी डालकर मुलायम पेस्ट बना लें। हरे मसाले को मिक्सिंग बाउल में डालें और उसमें दही और बाकी मसाले डालें, जिसमें लाल मिर्च पाउडर, हल्दी पाउडर, गरम मसाला पाउडर, अमचूर पाउडर, जीरा पाउडर और नमक शामिल हैं। अच्छी तरह मिलाएँ और इस हरियाली मसाले में चिकन के टुकड़े डालें। इसे लगभग 1 घंटे के लिए अलग रख दें। ग्रिल पैन गरम करें, थोड़ा तेल छिड़कें, मैरीनेट किए हुए चिकन के टुकड़े डालें और दोनों तरफ समान रूप से तब तक ग्रिल करें जब तक कि वे अच्छी तरह से जल न जाएं। चिकन को पकने में लगभग 10 मिनट लगेंगे। कटे हुए प्याज और नींबू के टुकड़ों के साथ गरमागरम परोसें। हरियाली चिकन टिक्का रेसिपी को नींबू के टुकड़ों, पुदीना दही चटनी रेसिपी के साथ परोसें और अपने डिनर पार्टियों में कलमी कबाब रेसिपी या चेट्टीनाड स्टाइल चिकन रोस्ट रेसिपी जैसे अन्य नॉन-वेज ऐपेटाइज़र परोसें।</v>
      </c>
      <c r="J319" s="3" t="s">
        <v>32275</v>
      </c>
      <c r="L319" s="1" t="s">
        <v>31003</v>
      </c>
    </row>
    <row r="320" spans="1:12" ht="13.8">
      <c r="A320" s="1" t="s">
        <v>32276</v>
      </c>
      <c r="B320" s="1" t="str">
        <f ca="1">IFERROR(__xludf.dummyfunction("IF(A320="""", """", GOOGLETRANSLATE(A320, ""en"", ""hi""))"),"करेले के छिलके की पूरी रेसिपी")</f>
        <v>करेले के छिलके की पूरी रेसिपी</v>
      </c>
      <c r="C320" s="1" t="s">
        <v>14207</v>
      </c>
      <c r="D320" s="1" t="s">
        <v>14198</v>
      </c>
      <c r="E320" s="1">
        <v>35</v>
      </c>
      <c r="F320" s="1" t="s">
        <v>32277</v>
      </c>
      <c r="G320" s="1" t="str">
        <f ca="1">IFERROR(__xludf.dummyfunction("IF(F320="""", """", GOOGLETRANSLATE(F320, ""en"", ""hi""))"),"2 कप गेहूं का आटा, 1/2 कप बेसन, 1 कप करेला - छिला हुआ, 2 बड़े चम्मच अजवाइन, 2 छोटे चम्मच लाल मिर्च पाउडर, 1 छोटा चम्मच हल्दी, 1 छोटा चम्मच धनिया पाउडर, नमक - स्वादानुसार, सूरजमुखी तेल - तलने के लिए")</f>
        <v>2 कप गेहूं का आटा, 1/2 कप बेसन, 1 कप करेला - छिला हुआ, 2 बड़े चम्मच अजवाइन, 2 छोटे चम्मच लाल मिर्च पाउडर, 1 छोटा चम्मच हल्दी, 1 छोटा चम्मच धनिया पाउडर, नमक - स्वादानुसार, सूरजमुखी तेल - तलने के लिए</v>
      </c>
      <c r="H320" s="1" t="s">
        <v>32278</v>
      </c>
      <c r="I320" s="1" t="str">
        <f ca="1">IFERROR(__xludf.dummyfunction("IF(H320="""", """", GOOGLETRANSLATE(H320, ""en"", ""hi""))"),"करेले के छिलके की पूरी बनाने के लिए सबसे पहले एक बाउल में सारी सामग्री मिला लें, जिसमें गेहूं का आटा, बेसन, करेले के छिलके, जीरा, लाल मिर्च पाउडर, हल्दी पाउडर, धनिया पाउडर और नमक शामिल हैं। धीरे-धीरे पानी डालें और इसे नरम आटा गूंथ लें और इसे तैयार कर लें।"&amp;" आटे को कम से कम 30 मिनट के लिए रख दें। पूरी तलने के लिए कढ़ाई में तेल गर्म करें और इसे तैयार होने दें। आटे से छोटी-छोटी लोइयां बनाएं और चकले पर आटा छिड़कें और बेलन की मदद से पूरी को चपटा करें। ध्यान रहे कि आप आटे से छोटी मोटी लोइयां बनाएं। अब जब आपने सार"&amp;"ा आटा बेल लिया है, तो कढ़ाई गर्म करें और उसमें तेल डालें। जब तेल गर्म हो जाए, तो उसमें धीरे से चपटी पूरी डालें। फ्राइंग स्पून या स्लॉटेड स्पून का उपयोग करके पूरी को धीरे से दबाएं, ऊपर से थोड़ा गर्म तेल डालें और गोलाकार तरीके से घुमाएं। आप देखेंगे कि पूरी "&amp;"फूल कर ऊपर उठ जाती है। इस बिंदु पर, इसे दूसरी तरफ पलट दें और सुनहरा भूरा होने तक तलें। पूरी को 2 मिनट से अधिक तेल में न रखें, नहीं तो यह भंगुर हो जाएगी। इसे रसोई के तौलिये पर सूखा लें, अन्य सभी चपटी पूरियाँ तलने की प्रक्रिया जारी रखें। करेले के छिलके वाली"&amp;" पूरी रेसिपी को छोले मसाला, अचार वाले प्याज और बूंदी रायता के साथ नाश्ते के लिए परोसें।")</f>
        <v>करेले के छिलके की पूरी बनाने के लिए सबसे पहले एक बाउल में सारी सामग्री मिला लें, जिसमें गेहूं का आटा, बेसन, करेले के छिलके, जीरा, लाल मिर्च पाउडर, हल्दी पाउडर, धनिया पाउडर और नमक शामिल हैं। धीरे-धीरे पानी डालें और इसे नरम आटा गूंथ लें और इसे तैयार कर लें। आटे को कम से कम 30 मिनट के लिए रख दें। पूरी तलने के लिए कढ़ाई में तेल गर्म करें और इसे तैयार होने दें। आटे से छोटी-छोटी लोइयां बनाएं और चकले पर आटा छिड़कें और बेलन की मदद से पूरी को चपटा करें। ध्यान रहे कि आप आटे से छोटी मोटी लोइयां बनाएं। अब जब आपने सारा आटा बेल लिया है, तो कढ़ाई गर्म करें और उसमें तेल डालें। जब तेल गर्म हो जाए, तो उसमें धीरे से चपटी पूरी डालें। फ्राइंग स्पून या स्लॉटेड स्पून का उपयोग करके पूरी को धीरे से दबाएं, ऊपर से थोड़ा गर्म तेल डालें और गोलाकार तरीके से घुमाएं। आप देखेंगे कि पूरी फूल कर ऊपर उठ जाती है। इस बिंदु पर, इसे दूसरी तरफ पलट दें और सुनहरा भूरा होने तक तलें। पूरी को 2 मिनट से अधिक तेल में न रखें, नहीं तो यह भंगुर हो जाएगी। इसे रसोई के तौलिये पर सूखा लें, अन्य सभी चपटी पूरियाँ तलने की प्रक्रिया जारी रखें। करेले के छिलके वाली पूरी रेसिपी को छोले मसाला, अचार वाले प्याज और बूंदी रायता के साथ नाश्ते के लिए परोसें।</v>
      </c>
      <c r="J320" s="3" t="s">
        <v>32279</v>
      </c>
      <c r="L320" s="1" t="s">
        <v>31003</v>
      </c>
    </row>
    <row r="321" spans="1:12" ht="13.8">
      <c r="A321" s="1" t="s">
        <v>32280</v>
      </c>
      <c r="B321" s="1" t="str">
        <f ca="1">IFERROR(__xludf.dummyfunction("IF(A321="""", """", GOOGLETRANSLATE(A321, ""en"", ""hi""))"),"मशरूम करी रेसिपी")</f>
        <v>मशरूम करी रेसिपी</v>
      </c>
      <c r="C321" s="1" t="s">
        <v>429</v>
      </c>
      <c r="D321" s="1" t="s">
        <v>14198</v>
      </c>
      <c r="E321" s="1">
        <v>45</v>
      </c>
      <c r="F321" s="1" t="s">
        <v>32281</v>
      </c>
      <c r="G321" s="1" t="str">
        <f ca="1">IFERROR(__xludf.dummyfunction("IF(F321="""", """", GOOGLETRANSLATE(F321, ""en"", ""hi""))"),"200 ग्राम बटन मशरूम - आधा कटा हुआ, 1 प्याज - टुकड़ों में कटा हुआ, 1 हरी बेल मिर्च (शिमला मिर्च) - टुकड़ों में कटी हुई, 4 लहसुन - बारीक कटा हुआ, 1 इंच अदरक - बारीक कटा हुआ, 1 कप टमाटर - प्यूरी, 1/2 चम्मच हल्दी पाउडर (हल्दी), 1/2 चम्मच लाल मिर्च पाउडर, 1 चम"&amp;"्मच गरम मसाला पाउडर, 1 चम्मच सूरजमुखी तेल, पुदीना के पत्ते (बारीक कटा हुआ), नमक - स्वादानुसार")</f>
        <v>200 ग्राम बटन मशरूम - आधा कटा हुआ, 1 प्याज - टुकड़ों में कटा हुआ, 1 हरी बेल मिर्च (शिमला मिर्च) - टुकड़ों में कटी हुई, 4 लहसुन - बारीक कटा हुआ, 1 इंच अदरक - बारीक कटा हुआ, 1 कप टमाटर - प्यूरी, 1/2 चम्मच हल्दी पाउडर (हल्दी), 1/2 चम्मच लाल मिर्च पाउडर, 1 चम्मच गरम मसाला पाउडर, 1 चम्मच सूरजमुखी तेल, पुदीना के पत्ते (बारीक कटा हुआ), नमक - स्वादानुसार</v>
      </c>
      <c r="H321" s="1" t="s">
        <v>32282</v>
      </c>
      <c r="I321" s="1" t="str">
        <f ca="1">IFERROR(__xludf.dummyfunction("IF(H321="""", """", GOOGLETRANSLATE(H321, ""en"", ""hi""))"),"मशरूम करी बनाने के लिए सबसे पहले एक पैन या कड़ाही में तेल गर्म करें और उसमें प्याज़, अदरक, लहसुन और शिमला मिर्च डालकर प्याज़ के नरम होने तक भूनें। इसके बाद मशरूम डालें और मशरूम के पकने तक भूनें। जब पक जाए तो टमाटर प्यूरी और सूखे मसाले जैसे हल्दी पाउडर, ला"&amp;"ल मिर्च पाउडर, गरम मसाला और नमक डालें। मशरूम करी को दो से तीन मिनट तक उबालें। कटे हुए पुदीने के पत्ते डालकर चलाएँ और आँच बंद कर दें। नमक और मसाले की जाँच करें और अपने स्वाद के अनुसार समायोजित करें। मशरूम करी को एक सर्विंग बाउल में डालें। मशरूम करी को अपने"&amp;" लंच/वीक नाइट डिनर में या अपनी पार्टियों में पुदीना तवा पराठा, तड़केवाली मसूर दाल और रोज़ ग्रीक योगर्ट डेज़र्ट के साथ परोसें।")</f>
        <v>मशरूम करी बनाने के लिए सबसे पहले एक पैन या कड़ाही में तेल गर्म करें और उसमें प्याज़, अदरक, लहसुन और शिमला मिर्च डालकर प्याज़ के नरम होने तक भूनें। इसके बाद मशरूम डालें और मशरूम के पकने तक भूनें। जब पक जाए तो टमाटर प्यूरी और सूखे मसाले जैसे हल्दी पाउडर, लाल मिर्च पाउडर, गरम मसाला और नमक डालें। मशरूम करी को दो से तीन मिनट तक उबालें। कटे हुए पुदीने के पत्ते डालकर चलाएँ और आँच बंद कर दें। नमक और मसाले की जाँच करें और अपने स्वाद के अनुसार समायोजित करें। मशरूम करी को एक सर्विंग बाउल में डालें। मशरूम करी को अपने लंच/वीक नाइट डिनर में या अपनी पार्टियों में पुदीना तवा पराठा, तड़केवाली मसूर दाल और रोज़ ग्रीक योगर्ट डेज़र्ट के साथ परोसें।</v>
      </c>
      <c r="J321" s="3" t="s">
        <v>32283</v>
      </c>
      <c r="L321" s="1" t="s">
        <v>31003</v>
      </c>
    </row>
    <row r="322" spans="1:12" ht="409.6">
      <c r="A322" s="1" t="s">
        <v>32284</v>
      </c>
      <c r="B322" s="1" t="str">
        <f ca="1">IFERROR(__xludf.dummyfunction("IF(A322="""", """", GOOGLETRANSLATE(A322, ""en"", ""hi""))"),"परवल की मिठाई रेसिपी - परवल की मिठाई")</f>
        <v>परवल की मिठाई रेसिपी - परवल की मिठाई</v>
      </c>
      <c r="C322" s="1" t="s">
        <v>8417</v>
      </c>
      <c r="D322" s="1" t="s">
        <v>14198</v>
      </c>
      <c r="E322" s="1">
        <v>70</v>
      </c>
      <c r="F322" s="1" t="s">
        <v>32285</v>
      </c>
      <c r="G322" s="1" t="str">
        <f ca="1">IFERROR(__xludf.dummyfunction("IF(F322="""", """", GOOGLETRANSLATE(F322, ""en"", ""hi""))"),"15 परवल, चीनी - आवश्यकतानुसार, 1 कप पानी, 250 ग्राम मावा, 50 ग्राम चीनी - पीसी हुई, 30 बादाम, 1 बड़ा चम्मच पिस्ता, 8 इलायची की फली/बीज - छीलकर पीस लें")</f>
        <v>15 परवल, चीनी - आवश्यकतानुसार, 1 कप पानी, 250 ग्राम मावा, 50 ग्राम चीनी - पीसी हुई, 30 बादाम, 1 बड़ा चम्मच पिस्ता, 8 इलायची की फली/बीज - छीलकर पीस लें</v>
      </c>
      <c r="H322" s="1" t="s">
        <v>32286</v>
      </c>
      <c r="I322" s="4" t="str">
        <f ca="1">IFERROR(__xludf.dummyfunction("IF(H322="""", """", GOOGLETRANSLATE(H322, ""en"", ""hi""))"),"परवल की मिठाई बनाने के लिए सबसे पहले परवल को धोकर छील लें और फिर बीच से लम्बाई में काट लें। ध्यान रखें कि परवल को पूरी तरह से दो टुकड़ों में न काटें, यह पूरा ही रहना चाहिए। परवल से बीज सावधानी से निकाल लें। एक सॉस पैन में पानी गर्म करें और जब पानी उबलने ल"&amp;"गे तो इसमें परवल डाल दें। इन्हें करीब 3-4 मिनट तक उबलने दें और फिर आंच बंद कर दें। पैन को ढक्कन से ढककर आधे घंटे के लिए अलग रख दें। आधे घंटे के बाद परवल से सारा पानी छान लें। एक दूसरे सॉस पैन में पानी और चीनी डालकर चाशनी बनने तक उबलने दें। लगातार चलाते रह"&amp;"ें ताकि चीनी पानी में अच्छी तरह घुल जाए। इस चाशनी में सारे परवल डाल दें और रंग बदलने तक उबलने दें। उबलते समय परवल को पलट दें। आंच बंद कर दें और बर्तन को ढककर 1 घंटे के लिए चाशनी में ही रहने दें। उन्हें मीठा होने दें। अगला कदम भरावन तैयार करना है। एक चौड़े"&amp;" पैन में खोया डालें और मध्यम आंच पर इसे हल्का गुलाबी होने तक भून लें। इसे ठंडा होने दें। एक बार हो जाने पर बादाम को मिक्सी में पीस लें और पिस्ते को लम्बे टुकड़ों में काट लें। भुने हुए खोये में पिसे हुए बादाम, इलायची और चीनी मिला दें। परवल भरने के लिए भराव"&amp;"न तैयार है। परवल को चाशनी से निकाल कर एक प्लेट में रख लें। प्लेट को तिरछा करें ताकि परवल से अतिरिक्त चाशनी टपक जाए। अब प्रत्येक परवल में भरावन भरें और हल्के हाथों से भरावन को दबाएं ताकि वह परवल के अंदर बैठ जाए। सजाने के लिए पिस्ते डालें। बाकी के परवलों के"&amp;" लिए भी यही प्रक्रिया अपनाएं और आपकी परवल की मिठाई परोसने के लिए तैयार है
")</f>
        <v xml:space="preserve">परवल की मिठाई बनाने के लिए सबसे पहले परवल को धोकर छील लें और फिर बीच से लम्बाई में काट लें। ध्यान रखें कि परवल को पूरी तरह से दो टुकड़ों में न काटें, यह पूरा ही रहना चाहिए। परवल से बीज सावधानी से निकाल लें। एक सॉस पैन में पानी गर्म करें और जब पानी उबलने लगे तो इसमें परवल डाल दें। इन्हें करीब 3-4 मिनट तक उबलने दें और फिर आंच बंद कर दें। पैन को ढक्कन से ढककर आधे घंटे के लिए अलग रख दें। आधे घंटे के बाद परवल से सारा पानी छान लें। एक दूसरे सॉस पैन में पानी और चीनी डालकर चाशनी बनने तक उबलने दें। लगातार चलाते रहें ताकि चीनी पानी में अच्छी तरह घुल जाए। इस चाशनी में सारे परवल डाल दें और रंग बदलने तक उबलने दें। उबलते समय परवल को पलट दें। आंच बंद कर दें और बर्तन को ढककर 1 घंटे के लिए चाशनी में ही रहने दें। उन्हें मीठा होने दें। अगला कदम भरावन तैयार करना है। एक चौड़े पैन में खोया डालें और मध्यम आंच पर इसे हल्का गुलाबी होने तक भून लें। इसे ठंडा होने दें। एक बार हो जाने पर बादाम को मिक्सी में पीस लें और पिस्ते को लम्बे टुकड़ों में काट लें। भुने हुए खोये में पिसे हुए बादाम, इलायची और चीनी मिला दें। परवल भरने के लिए भरावन तैयार है। परवल को चाशनी से निकाल कर एक प्लेट में रख लें। प्लेट को तिरछा करें ताकि परवल से अतिरिक्त चाशनी टपक जाए। अब प्रत्येक परवल में भरावन भरें और हल्के हाथों से भरावन को दबाएं ताकि वह परवल के अंदर बैठ जाए। सजाने के लिए पिस्ते डालें। बाकी के परवलों के लिए भी यही प्रक्रिया अपनाएं और आपकी परवल की मिठाई परोसने के लिए तैयार है
</v>
      </c>
      <c r="J322" s="3" t="s">
        <v>32287</v>
      </c>
      <c r="L322" s="1" t="s">
        <v>31003</v>
      </c>
    </row>
    <row r="323" spans="1:12" ht="13.8">
      <c r="A323" s="1" t="s">
        <v>32288</v>
      </c>
      <c r="B323" s="1" t="str">
        <f ca="1">IFERROR(__xludf.dummyfunction("IF(A323="""", """", GOOGLETRANSLATE(A323, ""en"", ""hi""))"),"तमतारी छोले रेसिपी")</f>
        <v>तमतारी छोले रेसिपी</v>
      </c>
      <c r="C323" s="1" t="s">
        <v>145</v>
      </c>
      <c r="D323" s="1" t="s">
        <v>14237</v>
      </c>
      <c r="E323" s="1">
        <v>60</v>
      </c>
      <c r="F323" s="1" t="s">
        <v>32289</v>
      </c>
      <c r="G323" s="1" t="str">
        <f ca="1">IFERROR(__xludf.dummyfunction("IF(F323="""", """", GOOGLETRANSLATE(F323, ""en"", ""hi""))"),"1 कप काबुली चना, 1 प्याज - बारीक कटा हुआ, 1 टमाटर - टुकड़ों में कटा हुआ, 1 इंच अदरक - कसा हुआ, 2 लहसुन - मसला हुआ, 1 इंच दालचीनी, 1 इलायची की फली / बीज, 1 तेज पत्ता, 1/2 चम्मच हल्दी पाउडर, 1 चम्मच लाल मिर्च पाउडर, 1 चम्मच गरम मसाला पाउडर, 1 चम्मच धनिया पा"&amp;"उडर, 2 बड़े चम्मच सूरजमुखी तेल, नमक - स्वादानुसार, 4 टहनी धनिया (गार्निश के लिए) - मोटे तौर पर कटा हुआ, 1 प्याज - कटा हुआ, 2 टमाटर - कटा हुआ, 1 हरी मिर्च")</f>
        <v>1 कप काबुली चना, 1 प्याज - बारीक कटा हुआ, 1 टमाटर - टुकड़ों में कटा हुआ, 1 इंच अदरक - कसा हुआ, 2 लहसुन - मसला हुआ, 1 इंच दालचीनी, 1 इलायची की फली / बीज, 1 तेज पत्ता, 1/2 चम्मच हल्दी पाउडर, 1 चम्मच लाल मिर्च पाउडर, 1 चम्मच गरम मसाला पाउडर, 1 चम्मच धनिया पाउडर, 2 बड़े चम्मच सूरजमुखी तेल, नमक - स्वादानुसार, 4 टहनी धनिया (गार्निश के लिए) - मोटे तौर पर कटा हुआ, 1 प्याज - कटा हुआ, 2 टमाटर - कटा हुआ, 1 हरी मिर्च</v>
      </c>
      <c r="H323" s="1" t="s">
        <v>32290</v>
      </c>
      <c r="I323" s="1" t="str">
        <f ca="1">IFERROR(__xludf.dummyfunction("IF(H323="""", """", GOOGLETRANSLATE(H323, ""en"", ""hi""))"),"टमाटर छोले बनाने की विधि शुरू करने के लिए, सबसे पहले छोले को धोकर 2 कप पानी में 6 घंटे या रात भर के लिए भिगो दें। छोले को प्रेशर कुकर में 2-1/2 कप पानी के साथ डालें और 6 से 7 सीटी आने तक पकाएँ, आँच को कम करें और पकने तक 15 मिनट तक पकाएँ। सूची में बताई गई "&amp;"सभी सामग्री को पीसकर चिकना पेस्ट बनाएँ, आप थोड़ा पानी मिला सकते हैं और इसे एक कटोरे में निकाल सकते हैं। मध्यम आँच पर एक सॉस पैन में तेल गरम करें, उसमें कसा हुआ अदरक, प्याज़ और लहसुन डालें और कुछ सेकंड के लिए भूनें। पिसा हुआ पेस्ट, हल्दी पाउडर, धनिया पाउडर"&amp;", गरम मसाला, मिर्च पाउडर और नमक डालकर चलाएँ। मिश्रण को तब तक पकाएँ जब तक टमाटर और प्याज़ अच्छी तरह से पक न जाएँ और उसमें कच्ची महक न आ जाए। मिश्रण गाढ़ा हो जाएगा और एक साथ आ जाएगा। इस समय पके हुए छोले और टमाटर के टुकड़े डालें, लगभग 1 कप पानी डालें। मिलाने"&amp;" के लिए चलाएँ। मिश्रण को मध्यम आंच पर उबलने दें। जब मिश्रण उबलने लगे, तो आंच धीमी कर दें और मिश्रण को 20 से 30 मिनट तक उबालें। पानी और मसाले डालकर अपने स्वाद के अनुसार डिश की स्थिरता और स्वाद को समायोजित करें। अपने डिनर को खास बनाने के लिए टमाटर छोले रेसि"&amp;"पी को लहसुन नान, बुरानी रायता, गाजर खीरा टमाटर सलाद नींबू और धनिया के साथ परोसें।")</f>
        <v>टमाटर छोले बनाने की विधि शुरू करने के लिए, सबसे पहले छोले को धोकर 2 कप पानी में 6 घंटे या रात भर के लिए भिगो दें। छोले को प्रेशर कुकर में 2-1/2 कप पानी के साथ डालें और 6 से 7 सीटी आने तक पकाएँ, आँच को कम करें और पकने तक 15 मिनट तक पकाएँ। सूची में बताई गई सभी सामग्री को पीसकर चिकना पेस्ट बनाएँ, आप थोड़ा पानी मिला सकते हैं और इसे एक कटोरे में निकाल सकते हैं। मध्यम आँच पर एक सॉस पैन में तेल गरम करें, उसमें कसा हुआ अदरक, प्याज़ और लहसुन डालें और कुछ सेकंड के लिए भूनें। पिसा हुआ पेस्ट, हल्दी पाउडर, धनिया पाउडर, गरम मसाला, मिर्च पाउडर और नमक डालकर चलाएँ। मिश्रण को तब तक पकाएँ जब तक टमाटर और प्याज़ अच्छी तरह से पक न जाएँ और उसमें कच्ची महक न आ जाए। मिश्रण गाढ़ा हो जाएगा और एक साथ आ जाएगा। इस समय पके हुए छोले और टमाटर के टुकड़े डालें, लगभग 1 कप पानी डालें। मिलाने के लिए चलाएँ। मिश्रण को मध्यम आंच पर उबलने दें। जब मिश्रण उबलने लगे, तो आंच धीमी कर दें और मिश्रण को 20 से 30 मिनट तक उबालें। पानी और मसाले डालकर अपने स्वाद के अनुसार डिश की स्थिरता और स्वाद को समायोजित करें। अपने डिनर को खास बनाने के लिए टमाटर छोले रेसिपी को लहसुन नान, बुरानी रायता, गाजर खीरा टमाटर सलाद नींबू और धनिया के साथ परोसें।</v>
      </c>
      <c r="J323" s="3" t="s">
        <v>32291</v>
      </c>
      <c r="L323" s="1" t="s">
        <v>31003</v>
      </c>
    </row>
    <row r="324" spans="1:12" ht="13.8">
      <c r="A324" s="1" t="s">
        <v>32292</v>
      </c>
      <c r="B324" s="1" t="str">
        <f ca="1">IFERROR(__xludf.dummyfunction("IF(A324="""", """", GOOGLETRANSLATE(A324, ""en"", ""hi""))"),"मलाई कोफ्ता करी रेसिपी - मलाईदार और सेहतमंद पनीर आलू कोफ्ता करी")</f>
        <v>मलाई कोफ्ता करी रेसिपी - मलाईदार और सेहतमंद पनीर आलू कोफ्ता करी</v>
      </c>
      <c r="C324" s="1" t="s">
        <v>14259</v>
      </c>
      <c r="D324" s="1" t="s">
        <v>14198</v>
      </c>
      <c r="E324" s="1">
        <v>60</v>
      </c>
      <c r="F324" s="1" t="s">
        <v>32293</v>
      </c>
      <c r="G324" s="1" t="str">
        <f ca="1">IFERROR(__xludf.dummyfunction("IF(F324="""", """", GOOGLETRANSLATE(F324, ""en"", ""hi""))"),"3 आलू - उबले हुए, 1-1/2 कप पनीर - टुकड़े किए हुए, 1/2 चम्मच गरम मसाला पाउडर, 1/2 चम्मच लाल मिर्च पाउडर, 2 बड़े चम्मच बेसन, 1/4 कप धनिया पत्ते - बारीक कटे हुए, 1/2 कप किशमिश - मुट्ठी भर, नमक - स्वादानुसार, सूरजमुखी तेल - पकाने के लिए, 1 बड़ा चम्मच घी - पका"&amp;"ने के लिए, 1 इंच अदरक - बारीक कटा हुआ, 4 लहसुन के दाने - बारीक कटा हुआ, 1 प्याज - बारीक कटा हुआ, 2 कप घर का बना टमाटर प्यूरी, 2 चम्मच धनिया पाउडर, 1/2 चम्मच गरम मसाला पाउडर, 1/2 चम्मच हल्दी पाउडर, 1 चम्मच लाल मिर्च पाउडर, 1/2 चम्मच इलायची पाउडर, 1 बड़ा चम"&amp;"्मच शहद, 1/4 कप ताजा क्रीम, 1 बड़ा चम्मच कसूरी मेथी - गार्निश के लिए, नमक - स्वादानुसार")</f>
        <v>3 आलू - उबले हुए, 1-1/2 कप पनीर - टुकड़े किए हुए, 1/2 चम्मच गरम मसाला पाउडर, 1/2 चम्मच लाल मिर्च पाउडर, 2 बड़े चम्मच बेसन, 1/4 कप धनिया पत्ते - बारीक कटे हुए, 1/2 कप किशमिश - मुट्ठी भर, नमक - स्वादानुसार, सूरजमुखी तेल - पकाने के लिए, 1 बड़ा चम्मच घी - पकाने के लिए, 1 इंच अदरक - बारीक कटा हुआ, 4 लहसुन के दाने - बारीक कटा हुआ, 1 प्याज - बारीक कटा हुआ, 2 कप घर का बना टमाटर प्यूरी, 2 चम्मच धनिया पाउडर, 1/2 चम्मच गरम मसाला पाउडर, 1/2 चम्मच हल्दी पाउडर, 1 चम्मच लाल मिर्च पाउडर, 1/2 चम्मच इलायची पाउडर, 1 बड़ा चम्मच शहद, 1/4 कप ताजा क्रीम, 1 बड़ा चम्मच कसूरी मेथी - गार्निश के लिए, नमक - स्वादानुसार</v>
      </c>
      <c r="H324" s="1" t="s">
        <v>32294</v>
      </c>
      <c r="I324" s="1" t="str">
        <f ca="1">IFERROR(__xludf.dummyfunction("IF(H324="""", """", GOOGLETRANSLATE(H324, ""en"", ""hi""))"),"मलाई कोफ्ता रेसिपी बनाने के लिए, कोफ्ते की सभी सामग्री को एक कटोरे में मिलाएं और उन्हें नींबू के आकार की गेंदों में विभाजित करें। गेंदों को अपने हाथों की हथेली में दबाएं और केंद्र में कुछ किशमिश रखें। कोफ्ता के आटे को वापस एक गेंद में बंद करें और एक तरफ र"&amp;"ख दें। अगला कदम मलाई कोफ्ता को कुझी पनियारम पैन में पकाना है यदि आप कुझी पनियारम पैन का उपयोग करने की योजना बना रहे हैं; फिर कोफ्ता गेंदों को पैन के गुहाओं में रखें; कोफ्ते को थोड़ा तेल के साथ छिड़कें और उन्हें दोनों तरफ सुनहरा भूरा होने तक पैन से भूनें। "&amp;"आपको कोफ्ता गेंदों को पलटना होगा ताकि वे सभी तरफ समान रूप से तलें। अगला कदम कोफ्ता करी बनाना है इसमें कसा हुआ अदरक, लहसुन, प्याज डालें और कुछ सेकंड के लिए भूनें जब तक कि प्याज नरम न हो जाए। टमाटर प्यूरी, शहद, हल्दी पाउडर, इलायची पाउडर, गरम मसाला पाउडर, धन"&amp;"िया पाउडर, नमक और लाल मिर्च पाउडर स्वादानुसार डालें। कोफ्ता करी को उबाल लें और कुछ मिनट तक उबालें जब तक कि टमाटर पक न जाए। अंत में क्रीम और कसूरी मेथी डालें और इसे कोफ्ता करी में मिलाएँ। यदि आवश्यक हो तो पानी डालकर मलाई कोफ्ता करी का गाढ़ापन समायोजित करें"&amp;"। नमक और मसाले के स्तर की जांच करना सुनिश्चित करें और अपने स्वाद के अनुसार समायोजित करें। जब आप परोसने के लिए तैयार हों, तो कोफ्ता करी को सर्विंग बाउल में रखें और करी में गर्म मलाई कोफ्ता बॉल्स डालें, धनिया पत्ती से गार्निश करें और गर्मागर्म परोसें आप भार"&amp;"तीय डिनर पार्टी मेनू में मलाई कोफ्ता भी परोस सकते हैं।")</f>
        <v>मलाई कोफ्ता रेसिपी बनाने के लिए, कोफ्ते की सभी सामग्री को एक कटोरे में मिलाएं और उन्हें नींबू के आकार की गेंदों में विभाजित करें। गेंदों को अपने हाथों की हथेली में दबाएं और केंद्र में कुछ किशमिश रखें। कोफ्ता के आटे को वापस एक गेंद में बंद करें और एक तरफ रख दें। अगला कदम मलाई कोफ्ता को कुझी पनियारम पैन में पकाना है यदि आप कुझी पनियारम पैन का उपयोग करने की योजना बना रहे हैं; फिर कोफ्ता गेंदों को पैन के गुहाओं में रखें; कोफ्ते को थोड़ा तेल के साथ छिड़कें और उन्हें दोनों तरफ सुनहरा भूरा होने तक पैन से भूनें। आपको कोफ्ता गेंदों को पलटना होगा ताकि वे सभी तरफ समान रूप से तलें। अगला कदम कोफ्ता करी बनाना है इसमें कसा हुआ अदरक, लहसुन, प्याज डालें और कुछ सेकंड के लिए भूनें जब तक कि प्याज नरम न हो जाए। टमाटर प्यूरी, शहद, हल्दी पाउडर, इलायची पाउडर, गरम मसाला पाउडर, धनिया पाउडर, नमक और लाल मिर्च पाउडर स्वादानुसार डालें। कोफ्ता करी को उबाल लें और कुछ मिनट तक उबालें जब तक कि टमाटर पक न जाए। अंत में क्रीम और कसूरी मेथी डालें और इसे कोफ्ता करी में मिलाएँ। यदि आवश्यक हो तो पानी डालकर मलाई कोफ्ता करी का गाढ़ापन समायोजित करें। नमक और मसाले के स्तर की जांच करना सुनिश्चित करें और अपने स्वाद के अनुसार समायोजित करें। जब आप परोसने के लिए तैयार हों, तो कोफ्ता करी को सर्विंग बाउल में रखें और करी में गर्म मलाई कोफ्ता बॉल्स डालें, धनिया पत्ती से गार्निश करें और गर्मागर्म परोसें आप भारतीय डिनर पार्टी मेनू में मलाई कोफ्ता भी परोस सकते हैं।</v>
      </c>
      <c r="J324" s="3" t="s">
        <v>32295</v>
      </c>
      <c r="L324" s="1" t="s">
        <v>31003</v>
      </c>
    </row>
    <row r="325" spans="1:12" ht="13.8">
      <c r="A325" s="1" t="s">
        <v>31370</v>
      </c>
      <c r="B325" s="1" t="str">
        <f ca="1">IFERROR(__xludf.dummyfunction("IF(A325="""", """", GOOGLETRANSLATE(A325, ""en"", ""hi""))"),"अचारी मसाला पाउडर रेसिपी")</f>
        <v>अचारी मसाला पाउडर रेसिपी</v>
      </c>
      <c r="C325" s="1" t="s">
        <v>14259</v>
      </c>
      <c r="D325" s="1" t="s">
        <v>14198</v>
      </c>
      <c r="E325" s="1">
        <v>15</v>
      </c>
      <c r="F325" s="1" t="s">
        <v>32296</v>
      </c>
      <c r="G325" s="1" t="str">
        <f ca="1">IFERROR(__xludf.dummyfunction("IF(F325="""", """", GOOGLETRANSLATE(F325, ""en"", ""hi""))"),"2 बड़े चम्मच धनिया, 1 छोटा चम्मच मेथी, 1 छोटा चम्मच सरसों, 1 छोटा चम्मच कलौंजी, 1 छोटा चम्मच जीरा, 1 छोटा चम्मच सौंफ, 4 सूखी लाल मिर्च")</f>
        <v>2 बड़े चम्मच धनिया, 1 छोटा चम्मच मेथी, 1 छोटा चम्मच सरसों, 1 छोटा चम्मच कलौंजी, 1 छोटा चम्मच जीरा, 1 छोटा चम्मच सौंफ, 4 सूखी लाल मिर्च</v>
      </c>
      <c r="H325" s="1" t="s">
        <v>32297</v>
      </c>
      <c r="I325" s="1" t="str">
        <f ca="1">IFERROR(__xludf.dummyfunction("IF(H325="""", """", GOOGLETRANSLATE(H325, ""en"", ""hi""))"),"अचारी मसाला रेसिपी बनाने के लिए, हम सभी सामग्री को एक सपाट तवे पर सूखा भून लेंगे। मसालों को सूखा भूनने के बाद, पूरे मिश्रण को ग्राइंडर में पीसकर चिकना पाउडर बना लें। बाद में इस्तेमाल के लिए अचारी मसाला रेसिपी को एक एयरटाइट कंटेनर में भर लें। यह कम से कम ए"&amp;"क महीने तक अच्छा रह सकता है। आप स्वादिष्ट भोजन बनाने के लिए अचारी पनीर टिक्का रेसिपी या अचारी पराठा रोल रेसिपी के लिए अचारी मसाला पाउडर का उपयोग कर सकते हैं।")</f>
        <v>अचारी मसाला रेसिपी बनाने के लिए, हम सभी सामग्री को एक सपाट तवे पर सूखा भून लेंगे। मसालों को सूखा भूनने के बाद, पूरे मिश्रण को ग्राइंडर में पीसकर चिकना पाउडर बना लें। बाद में इस्तेमाल के लिए अचारी मसाला रेसिपी को एक एयरटाइट कंटेनर में भर लें। यह कम से कम एक महीने तक अच्छा रह सकता है। आप स्वादिष्ट भोजन बनाने के लिए अचारी पनीर टिक्का रेसिपी या अचारी पराठा रोल रेसिपी के लिए अचारी मसाला पाउडर का उपयोग कर सकते हैं।</v>
      </c>
      <c r="J325" s="3" t="s">
        <v>32298</v>
      </c>
      <c r="L325" s="1" t="s">
        <v>31003</v>
      </c>
    </row>
    <row r="326" spans="1:12" ht="13.8">
      <c r="A326" s="1" t="s">
        <v>32299</v>
      </c>
      <c r="B326" s="1" t="str">
        <f ca="1">IFERROR(__xludf.dummyfunction("IF(A326="""", """", GOOGLETRANSLATE(A326, ""en"", ""hi""))"),"ढाबा स्टाइल दाल फ्राई रेसिपी")</f>
        <v>ढाबा स्टाइल दाल फ्राई रेसिपी</v>
      </c>
      <c r="C326" s="1" t="s">
        <v>145</v>
      </c>
      <c r="D326" s="1" t="s">
        <v>14198</v>
      </c>
      <c r="E326" s="1">
        <v>30</v>
      </c>
      <c r="F326" s="1" t="s">
        <v>32300</v>
      </c>
      <c r="G326" s="1" t="str">
        <f ca="1">IFERROR(__xludf.dummyfunction("IF(F326="""", """", GOOGLETRANSLATE(F326, ""en"", ""hi""))"),"घी - आवश्यकतानुसार, 1 चम्मच हींग, 1 चम्मच जीरा, 1 चम्मच सरसों के बीज, 1 तेज पत्ता - तोड़ा हुआ, 3 हरी मिर्च - नमकीन, 4 लौंग, 1 काली इलायची, 1 चक्र फूल, 2 इलायची की फली / बीज, 2 प्याज - पतले कटा हुआ, 1 टमाटर - बारीक कटा हुआ, 1-1/2 चम्मच अदरक लहसुन पेस्ट, 1 "&amp;"चम्मच लाल मिर्च पाउडर, 1 चम्मच धनिया पाउडर, 3 चम्मच हरी मिर्च, 1 टहनी धनिया (धनिया) के पत्ते - बारीक कटा हुआ, 2 चम्मच अरहर दाल, 2 चम्मच चना दाल, 2 चम्मच मसूर दाल (साबुत), 2 चम्मच सफेद उड़द दाल, 2 चम्मच पीली मूंग दाल, पानी - आवश्यकतानुसार, नमक - स्वादानुसा"&amp;"र, 1-1/2 हल्दी हल्दी पाउडर")</f>
        <v>घी - आवश्यकतानुसार, 1 चम्मच हींग, 1 चम्मच जीरा, 1 चम्मच सरसों के बीज, 1 तेज पत्ता - तोड़ा हुआ, 3 हरी मिर्च - नमकीन, 4 लौंग, 1 काली इलायची, 1 चक्र फूल, 2 इलायची की फली / बीज, 2 प्याज - पतले कटा हुआ, 1 टमाटर - बारीक कटा हुआ, 1-1/2 चम्मच अदरक लहसुन पेस्ट, 1 चम्मच लाल मिर्च पाउडर, 1 चम्मच धनिया पाउडर, 3 चम्मच हरी मिर्च, 1 टहनी धनिया (धनिया) के पत्ते - बारीक कटा हुआ, 2 चम्मच अरहर दाल, 2 चम्मच चना दाल, 2 चम्मच मसूर दाल (साबुत), 2 चम्मच सफेद उड़द दाल, 2 चम्मच पीली मूंग दाल, पानी - आवश्यकतानुसार, नमक - स्वादानुसार, 1-1/2 हल्दी हल्दी पाउडर</v>
      </c>
      <c r="H326" s="1" t="s">
        <v>32301</v>
      </c>
      <c r="I326" s="1" t="str">
        <f ca="1">IFERROR(__xludf.dummyfunction("IF(H326="""", """", GOOGLETRANSLATE(H326, ""en"", ""hi""))"),"ढाबा स्टाइल दाल फ्राई बनाने के लिए सबसे पहले हम सभी दालों को एक साथ उबाल लेंगे। दाल को प्रेशर कुकर में 1/2 चम्मच हल्दी पाउडर और आवश्यकतानुसार नमक डालकर पकाएँ। इसे तब तक पकाएँ जब तक कि प्रेशर कुकर में 3 सीटी न आ जाएँ। जब दाल ठंडी हो जाए तो ढक्कन खोलें और द"&amp;"ाल को अच्छी तरह मिलाएँ। इसे एक तरफ रख दें। एक भारी तले वाली कड़ाही में तेल गरम करें और उसमें हींग, जीरा और सरसों के दाने डालें। जब यह चटकने लगे तो इसमें तेज पत्ता, बड़ी इलायची, हरी इलायची, चक्र फूल, लौंग और नमकीन सूखी हरी मिर्च डालें। 30 सेकंड के बाद, हरी"&amp;" मिर्च और अदरक-लहसुन का पेस्ट डालें। इसे लगभग एक मिनट तक पकाएं। इसके बाद, पतले कटे हुए प्याज डालें और उन्हें भूरा होने तक पकने दें। एक बार हो जाने पर, टमाटर और सभी मसाले, हल्दी पाउडर, लाल मिर्च पाउडर, धनिया पाउडर और आवश्यक नमक डालें। थोड़ा पानी डालें और इ"&amp;"से लगभग 5 से 8 मिनट तक या मसाला अच्छी तरह पकने तक पकाएं। अब, पकी हुई दाल डालें और अपने स्वाद और पसंद के अनुसार पानी की स्थिरता को समायोजित करें। इसे 8 से 10 मिनट तक उबलने दें, चूल्हे को बंद कर दें और ताजा धनिया पत्ती से गार्निश करें। ढाबा स्टाइल दाल फ्राई"&amp;" को सेव टमाटर की सब्जी, टमाटर प्याज ककड़ी रायता और फुल्के के साथ परोसिये और एक बेहतरीन राजस्थानी भोजन बनाइये।")</f>
        <v>ढाबा स्टाइल दाल फ्राई बनाने के लिए सबसे पहले हम सभी दालों को एक साथ उबाल लेंगे। दाल को प्रेशर कुकर में 1/2 चम्मच हल्दी पाउडर और आवश्यकतानुसार नमक डालकर पकाएँ। इसे तब तक पकाएँ जब तक कि प्रेशर कुकर में 3 सीटी न आ जाएँ। जब दाल ठंडी हो जाए तो ढक्कन खोलें और दाल को अच्छी तरह मिलाएँ। इसे एक तरफ रख दें। एक भारी तले वाली कड़ाही में तेल गरम करें और उसमें हींग, जीरा और सरसों के दाने डालें। जब यह चटकने लगे तो इसमें तेज पत्ता, बड़ी इलायची, हरी इलायची, चक्र फूल, लौंग और नमकीन सूखी हरी मिर्च डालें। 30 सेकंड के बाद, हरी मिर्च और अदरक-लहसुन का पेस्ट डालें। इसे लगभग एक मिनट तक पकाएं। इसके बाद, पतले कटे हुए प्याज डालें और उन्हें भूरा होने तक पकने दें। एक बार हो जाने पर, टमाटर और सभी मसाले, हल्दी पाउडर, लाल मिर्च पाउडर, धनिया पाउडर और आवश्यक नमक डालें। थोड़ा पानी डालें और इसे लगभग 5 से 8 मिनट तक या मसाला अच्छी तरह पकने तक पकाएं। अब, पकी हुई दाल डालें और अपने स्वाद और पसंद के अनुसार पानी की स्थिरता को समायोजित करें। इसे 8 से 10 मिनट तक उबलने दें, चूल्हे को बंद कर दें और ताजा धनिया पत्ती से गार्निश करें। ढाबा स्टाइल दाल फ्राई को सेव टमाटर की सब्जी, टमाटर प्याज ककड़ी रायता और फुल्के के साथ परोसिये और एक बेहतरीन राजस्थानी भोजन बनाइये।</v>
      </c>
      <c r="J326" s="3" t="s">
        <v>32302</v>
      </c>
      <c r="L326" s="1" t="s">
        <v>31003</v>
      </c>
    </row>
    <row r="327" spans="1:12" ht="13.8">
      <c r="A327" s="1" t="s">
        <v>31333</v>
      </c>
      <c r="B327" s="1" t="str">
        <f ca="1">IFERROR(__xludf.dummyfunction("IF(A327="""", """", GOOGLETRANSLATE(A327, ""en"", ""hi""))"),"ओट्स और वेजिटेबल कबाब रेसिपी")</f>
        <v>ओट्स और वेजिटेबल कबाब रेसिपी</v>
      </c>
      <c r="C327" s="1" t="s">
        <v>14281</v>
      </c>
      <c r="D327" s="1" t="s">
        <v>14198</v>
      </c>
      <c r="E327" s="1">
        <v>50</v>
      </c>
      <c r="F327" s="1" t="s">
        <v>32303</v>
      </c>
      <c r="G327" s="1" t="str">
        <f ca="1">IFERROR(__xludf.dummyfunction("IF(F327="""", """", GOOGLETRANSLATE(F327, ""en"", ""hi""))"),"1 कप सूरन/सेनाई/रतालू - कटा और उबला हुआ, 1 कप कच्चा केला - कटा और उबला हुआ, 1 कप गाजर - कटी हुई, 1 प्याज - कटा हुआ, 1 इंच अदरक - कटा हुआ, 4 लहसुन - कटा हुआ, 1 बड़ा चम्मच लाल मिर्च पाउडर, 1 चम्मच हल्दी पाउडर, 1 बड़ा चम्मच जीरा पाउडर, 1 बड़ा चम्मच धनिया पाउ"&amp;"डर, 1 बड़ा चम्मच आमचूर, 1/2 कप इंस्टेंट ओट्स - कोटिंग के लिए, 1/4 कप दूध, नमक और काली मिर्च - स्वादानुसार, सूरजमुखी का तेल")</f>
        <v>1 कप सूरन/सेनाई/रतालू - कटा और उबला हुआ, 1 कप कच्चा केला - कटा और उबला हुआ, 1 कप गाजर - कटी हुई, 1 प्याज - कटा हुआ, 1 इंच अदरक - कटा हुआ, 4 लहसुन - कटा हुआ, 1 बड़ा चम्मच लाल मिर्च पाउडर, 1 चम्मच हल्दी पाउडर, 1 बड़ा चम्मच जीरा पाउडर, 1 बड़ा चम्मच धनिया पाउडर, 1 बड़ा चम्मच आमचूर, 1/2 कप इंस्टेंट ओट्स - कोटिंग के लिए, 1/4 कप दूध, नमक और काली मिर्च - स्वादानुसार, सूरजमुखी का तेल</v>
      </c>
      <c r="H327" s="1" t="s">
        <v>32304</v>
      </c>
      <c r="I327" s="1" t="str">
        <f ca="1">IFERROR(__xludf.dummyfunction("IF(H327="""", """", GOOGLETRANSLATE(H327, ""en"", ""hi""))"),"हम ओट्स और वेजिटेबल कबाब रेसिपी बनाना शुरू करते हैं, रतालू और कच्चे केले को पानी, नमक और हल्दी के साथ पकाते हैं जब तक कि यह गूदेदार न हो जाए, इसे लगभग 6 सीटी आने तक उबालें। दबाव को स्वाभाविक रूप से छोड़ दें। किसी भी अतिरिक्त पानी को छान लें और इसे पूरी तर"&amp;"ह से मसल कर एक तरफ रख दें। एक कढ़ाई में तेल गर्म करें, उसमें प्याज, लहसुन और अदरक डालें और प्याज के पारदर्शी होने तक भूनें। फिर गाजर डालें और गाजर के पकने तक भूनते रहें। फिर सभी मसाले पाउडर डालें और अच्छी तरह मिलाएँ और तब तक भूनें जब तक कि मिर्च की कच्ची "&amp;"महक न चली जाए। इसे मसले हुए रतालू और कच्चे केले के मिश्रण में डालें और अच्छी तरह मिलाएँ, यदि आवश्यक हो तो मसाले की जाँच करें। उन्हें मध्यम आकार के गोले का आकार दें और उन्हें कटलेट में चपटा करें। एक प्लेट में ओट्स रखें। उन्हें दूध में डुबोएं और ओट्स के साथ"&amp;" अच्छी तरह से कोट करें। एक फ्लैट पैन गरम करें, थोड़ा तेल छिड़कें और उन्हें मध्यम आँच पर दोनों तरफ से सुनहरा भूरा होने तक सेंकें या परोसें। ओट्स और वेजिटेबल कबाब रेसिपी को एक स्वस्थ दोपहर के नाश्ते के रूप में परोसें")</f>
        <v>हम ओट्स और वेजिटेबल कबाब रेसिपी बनाना शुरू करते हैं, रतालू और कच्चे केले को पानी, नमक और हल्दी के साथ पकाते हैं जब तक कि यह गूदेदार न हो जाए, इसे लगभग 6 सीटी आने तक उबालें। दबाव को स्वाभाविक रूप से छोड़ दें। किसी भी अतिरिक्त पानी को छान लें और इसे पूरी तरह से मसल कर एक तरफ रख दें। एक कढ़ाई में तेल गर्म करें, उसमें प्याज, लहसुन और अदरक डालें और प्याज के पारदर्शी होने तक भूनें। फिर गाजर डालें और गाजर के पकने तक भूनते रहें। फिर सभी मसाले पाउडर डालें और अच्छी तरह मिलाएँ और तब तक भूनें जब तक कि मिर्च की कच्ची महक न चली जाए। इसे मसले हुए रतालू और कच्चे केले के मिश्रण में डालें और अच्छी तरह मिलाएँ, यदि आवश्यक हो तो मसाले की जाँच करें। उन्हें मध्यम आकार के गोले का आकार दें और उन्हें कटलेट में चपटा करें। एक प्लेट में ओट्स रखें। उन्हें दूध में डुबोएं और ओट्स के साथ अच्छी तरह से कोट करें। एक फ्लैट पैन गरम करें, थोड़ा तेल छिड़कें और उन्हें मध्यम आँच पर दोनों तरफ से सुनहरा भूरा होने तक सेंकें या परोसें। ओट्स और वेजिटेबल कबाब रेसिपी को एक स्वस्थ दोपहर के नाश्ते के रूप में परोसें</v>
      </c>
      <c r="J327" s="3" t="s">
        <v>32305</v>
      </c>
      <c r="L327" s="1" t="s">
        <v>31003</v>
      </c>
    </row>
    <row r="328" spans="1:12" ht="409.6">
      <c r="A328" s="1" t="s">
        <v>32306</v>
      </c>
      <c r="B328" s="1" t="str">
        <f ca="1">IFERROR(__xludf.dummyfunction("IF(A328="""", """", GOOGLETRANSLATE(A328, ""en"", ""hi""))"),"चना मेथी दाल")</f>
        <v>चना मेथी दाल</v>
      </c>
      <c r="C328" s="1" t="s">
        <v>14207</v>
      </c>
      <c r="D328" s="1" t="s">
        <v>14237</v>
      </c>
      <c r="E328" s="1">
        <v>45</v>
      </c>
      <c r="F328" s="1" t="s">
        <v>32307</v>
      </c>
      <c r="G328" s="1" t="str">
        <f ca="1">IFERROR(__xludf.dummyfunction("IF(F328="""", """", GOOGLETRANSLATE(F328, ""en"", ""hi""))"),"1 कप चना दाल, मेथी - एक गुच्छा (धोया हुआ), 1/4 चम्मच हींग, 1 चम्मच जीरा, 1 प्याज - बारीक कटा हुआ, 1 टमाटर - कटा हुआ, 2 चम्मच धनिया पाउडर, 1 चम्मच हल्दी पाउडर, 1 चम्मच लाल मिर्च पाउडर, नमक - स्वादानुसार, 2 चम्मच तेल")</f>
        <v>1 कप चना दाल, मेथी - एक गुच्छा (धोया हुआ), 1/4 चम्मच हींग, 1 चम्मच जीरा, 1 प्याज - बारीक कटा हुआ, 1 टमाटर - कटा हुआ, 2 चम्मच धनिया पाउडर, 1 चम्मच हल्दी पाउडर, 1 चम्मच लाल मिर्च पाउडर, नमक - स्वादानुसार, 2 चम्मच तेल</v>
      </c>
      <c r="H328" s="1" t="s">
        <v>32308</v>
      </c>
      <c r="I328" s="4" t="str">
        <f ca="1">IFERROR(__xludf.dummyfunction("IF(H328="""", """", GOOGLETRANSLATE(H328, ""en"", ""hi""))"),"चना मेथी दाल बनाने के लिए सबसे पहले चना दाल को धोकर 3 कप पानी में भिगो दें। मेथी को भी धोकर सुखा लें। मेथी सूखने के बाद उसे काट लें। अब एक कड़ाही में तेल गर्म करें। उसमें मेथी डालें और नरम होने तक पकाएं। पकने के बाद उसे अलग रख दें। अब एक प्रेशर कुकर में त"&amp;"ेल गर्म करें। उसमें हींग और जीरा डालकर 10 सेकेंड तक पकने दें। अब उसमें प्याज डालें और नरम होने तक पकाएं। प्याज के नरम होने के बाद उसमें टमाटर, धनिया पाउडर, हल्दी पाउडर, लाल मिर्च पाउडर डालकर मिला लें और टमाटर के नरम होने तक पका लें। अब उसमें चना दाल डालकर"&amp;" मिला लें और कुकर बंद कर दें। 2 से 3 सीटी आने तक पकाएं, आंच धीमी कर दें और 5 मिनट तक पकने दें
")</f>
        <v xml:space="preserve">चना मेथी दाल बनाने के लिए सबसे पहले चना दाल को धोकर 3 कप पानी में भिगो दें। मेथी को भी धोकर सुखा लें। मेथी सूखने के बाद उसे काट लें। अब एक कड़ाही में तेल गर्म करें। उसमें मेथी डालें और नरम होने तक पकाएं। पकने के बाद उसे अलग रख दें। अब एक प्रेशर कुकर में तेल गर्म करें। उसमें हींग और जीरा डालकर 10 सेकेंड तक पकने दें। अब उसमें प्याज डालें और नरम होने तक पकाएं। प्याज के नरम होने के बाद उसमें टमाटर, धनिया पाउडर, हल्दी पाउडर, लाल मिर्च पाउडर डालकर मिला लें और टमाटर के नरम होने तक पका लें। अब उसमें चना दाल डालकर मिला लें और कुकर बंद कर दें। 2 से 3 सीटी आने तक पकाएं, आंच धीमी कर दें और 5 मिनट तक पकने दें
</v>
      </c>
      <c r="J328" s="3" t="s">
        <v>32309</v>
      </c>
      <c r="L328" s="1" t="s">
        <v>31003</v>
      </c>
    </row>
    <row r="329" spans="1:12" ht="13.8">
      <c r="A329" s="1" t="s">
        <v>32310</v>
      </c>
      <c r="B329" s="1" t="str">
        <f ca="1">IFERROR(__xludf.dummyfunction("IF(A329="""", """", GOOGLETRANSLATE(A329, ""en"", ""hi""))"),"मसालेदार चना चाट फ्रेंकी रेसिपी")</f>
        <v>मसालेदार चना चाट फ्रेंकी रेसिपी</v>
      </c>
      <c r="C329" s="1" t="s">
        <v>14281</v>
      </c>
      <c r="D329" s="1" t="s">
        <v>14198</v>
      </c>
      <c r="E329" s="1">
        <v>55</v>
      </c>
      <c r="F329" s="1" t="s">
        <v>32311</v>
      </c>
      <c r="G329" s="1" t="str">
        <f ca="1">IFERROR(__xludf.dummyfunction("IF(F329="""", """", GOOGLETRANSLATE(F329, ""en"", ""hi""))"),"1 कप गेहूं का आटा, 1 चुटकी नमक, 1 कप काबुली चना (सफेद छोले) - रात भर भिगोए और उबले हुए, 1 इंच अदरक - कटा हुआ, 4 लहसुन के दाने - पाउंड, 1 बड़ा चम्मच लाल मिर्च पाउडर, 1 चम्मच हल्दी पाउडर (हल्दी), 2 बड़े चम्मच जीरा पाउडर (जीरा), 2 बड़े चम्मच चाट मसाला पाउडर,"&amp;" 1 चम्मच चीनी, नमक - स्वादानुसार, 1 प्याज - कटा हुआ, 1 टमाटर - कटा हुआ, 1 हरी मिर्च - कटी हुई, 2 टहनी धनिया (धनिया) के पत्ते - कटे हुए")</f>
        <v>1 कप गेहूं का आटा, 1 चुटकी नमक, 1 कप काबुली चना (सफेद छोले) - रात भर भिगोए और उबले हुए, 1 इंच अदरक - कटा हुआ, 4 लहसुन के दाने - पाउंड, 1 बड़ा चम्मच लाल मिर्च पाउडर, 1 चम्मच हल्दी पाउडर (हल्दी), 2 बड़े चम्मच जीरा पाउडर (जीरा), 2 बड़े चम्मच चाट मसाला पाउडर, 1 चम्मच चीनी, नमक - स्वादानुसार, 1 प्याज - कटा हुआ, 1 टमाटर - कटा हुआ, 1 हरी मिर्च - कटी हुई, 2 टहनी धनिया (धनिया) के पत्ते - कटे हुए</v>
      </c>
      <c r="H329" s="1" t="s">
        <v>32312</v>
      </c>
      <c r="I329" s="1" t="str">
        <f ca="1">IFERROR(__xludf.dummyfunction("IF(H329="""", """", GOOGLETRANSLATE(H329, ""en"", ""hi""))"),"मसालेदार चना चाट फ्रैंकी रेसिपी बनाने के लिए छोले को रात भर पानी में भिगो दें। छोले को प्रेशर कुकर में पानी के साथ उबालें, ताकि दाल पूरी तरह से डूब जाए। उन्हें 30 मिनट तक प्रेशर कुक करें जब तक वे पक न जाएं। आंच से उतार लें, तब तक प्रतीक्षा करें जब तक कि स"&amp;"ारा प्रेशर अपने आप निकल न जाए। छोले को छान लें और बाद में उपयोग के लिए 1 कप पका हुआ पानी रख लें। मध्यम आंच पर एक सॉस पैन में तेल गर्म करें, उसमें कटा हुआ अदरक लहसुन डालें और 1 मिनट तक नरम होने तक भूनें। पके हुए छोले, लाल मिर्च पाउडर, हल्दी पाउडर, चाट मसाल"&amp;"ा, जीरा पाउडर, चीनी और नमक डालें। इसे मिलाएँ। इस बिंदु पर संरक्षित पानी डालें और तब तक पकाएँ जब तक कि पानी सूख न जाए और आपको थोड़ी गीली ग्रेवी न मिल जाए। आंच बंद कर दें और धनिया पत्ती के साथ सभी कटी हुई सब्जियाँ डालें और मिलाएँ। नमक की जाँच करें और इसे एक"&amp;" तरफ रख दें। पराठे बनाने के लिए सख्त आटा गूंथने के लिए पानी के साथ आटा गूंधें। आटे से एक मध्यम आकार की लोई लें, अपने रोलिंग बोर्ड पर थोड़ा आटा छिड़कें और आटे को चपटा करें। आटे को चपटा करके बड़ा गोला बनाएँ। इसे बहुत पतला न बेलें। मध्यम तेज़ आँच पर तवे पर ए"&amp;"क बेले हुए पराठे को रखें। कुछ सेकंड के बाद आप देखेंगे कि हवा की एक थैली बाहर निकल रही है। इस बिंदु पर सादे पराठे को पलटें और लगभग 1/2 चम्मच घी लगाएँ। एक चपटे स्पैटुला का उपयोग करके पराठे को पकाने के लिए हल्का दबाएँ और घुमाएँ। दूसरी तरफ पलटें और पराठे को इ"&amp;"सी तरह दबाएँ और पलटें। आप पराठे के चारों ओर भूरे रंग के धब्बे देखेंगे और यह थोड़ा कुरकुरा होगा। गर्मी से निकालें और एक प्लेट पर रखें या गर्म परोसें। बचे हुए बेले हुए हिस्सों के साथ भी यही प्रक्रिया जारी रखें और पके हुए पराठे को एक के ऊपर एक करके रखें। इकट"&amp;"्ठा करने के लिए एक पराठा निकालें, सरसों की चटनी को समान रूप से फैलाएँ और स्टफिंग को चम्मच से भरकर पराठे के एक तरफ रखें और इसे कसकर रोल करना शुरू करें। आप इसे एल्युमिनियम फॉयल से कसकर लपेट सकते हैं और इसे कसकर कवर कर सकते हैं। इससे आपको रोल को अधिक सुविधाज"&amp;"नक तरीके से खाने में मदद मिलेगी। आप इसे बीच से काट सकते हैं और रैपर को छीलकर अपने लंच बॉक्स में भी रख सकते हैं। मसालेदार चना चाट फ्रेंकी को हरी चटनी और कुछ ताजा गाजर ककड़ी टमाटर सलाद के साथ परोसें और शाम के नाश्ते का आनंद लें।")</f>
        <v>मसालेदार चना चाट फ्रैंकी रेसिपी बनाने के लिए छोले को रात भर पानी में भिगो दें। छोले को प्रेशर कुकर में पानी के साथ उबालें, ताकि दाल पूरी तरह से डूब जाए। उन्हें 30 मिनट तक प्रेशर कुक करें जब तक वे पक न जाएं। आंच से उतार लें, तब तक प्रतीक्षा करें जब तक कि सारा प्रेशर अपने आप निकल न जाए। छोले को छान लें और बाद में उपयोग के लिए 1 कप पका हुआ पानी रख लें। मध्यम आंच पर एक सॉस पैन में तेल गर्म करें, उसमें कटा हुआ अदरक लहसुन डालें और 1 मिनट तक नरम होने तक भूनें। पके हुए छोले, लाल मिर्च पाउडर, हल्दी पाउडर, चाट मसाला, जीरा पाउडर, चीनी और नमक डालें। इसे मिलाएँ। इस बिंदु पर संरक्षित पानी डालें और तब तक पकाएँ जब तक कि पानी सूख न जाए और आपको थोड़ी गीली ग्रेवी न मिल जाए। आंच बंद कर दें और धनिया पत्ती के साथ सभी कटी हुई सब्जियाँ डालें और मिलाएँ। नमक की जाँच करें और इसे एक तरफ रख दें। पराठे बनाने के लिए सख्त आटा गूंथने के लिए पानी के साथ आटा गूंधें। आटे से एक मध्यम आकार की लोई लें, अपने रोलिंग बोर्ड पर थोड़ा आटा छिड़कें और आटे को चपटा करें। आटे को चपटा करके बड़ा गोला बनाएँ। इसे बहुत पतला न बेलें। मध्यम तेज़ आँच पर तवे पर एक बेले हुए पराठे को रखें। कुछ सेकंड के बाद आप देखेंगे कि हवा की एक थैली बाहर निकल रही है। इस बिंदु पर सादे पराठे को पलटें और लगभग 1/2 चम्मच घी लगाएँ। एक चपटे स्पैटुला का उपयोग करके पराठे को पकाने के लिए हल्का दबाएँ और घुमाएँ। दूसरी तरफ पलटें और पराठे को इसी तरह दबाएँ और पलटें। आप पराठे के चारों ओर भूरे रंग के धब्बे देखेंगे और यह थोड़ा कुरकुरा होगा। गर्मी से निकालें और एक प्लेट पर रखें या गर्म परोसें। बचे हुए बेले हुए हिस्सों के साथ भी यही प्रक्रिया जारी रखें और पके हुए पराठे को एक के ऊपर एक करके रखें। इकट्ठा करने के लिए एक पराठा निकालें, सरसों की चटनी को समान रूप से फैलाएँ और स्टफिंग को चम्मच से भरकर पराठे के एक तरफ रखें और इसे कसकर रोल करना शुरू करें। आप इसे एल्युमिनियम फॉयल से कसकर लपेट सकते हैं और इसे कसकर कवर कर सकते हैं। इससे आपको रोल को अधिक सुविधाजनक तरीके से खाने में मदद मिलेगी। आप इसे बीच से काट सकते हैं और रैपर को छीलकर अपने लंच बॉक्स में भी रख सकते हैं। मसालेदार चना चाट फ्रेंकी को हरी चटनी और कुछ ताजा गाजर ककड़ी टमाटर सलाद के साथ परोसें और शाम के नाश्ते का आनंद लें।</v>
      </c>
      <c r="J329" s="3" t="s">
        <v>32313</v>
      </c>
      <c r="L329" s="1" t="s">
        <v>31003</v>
      </c>
    </row>
    <row r="330" spans="1:12" ht="13.8">
      <c r="A330" s="1" t="s">
        <v>32314</v>
      </c>
      <c r="B330" s="1" t="str">
        <f ca="1">IFERROR(__xludf.dummyfunction("IF(A330="""", """", GOOGLETRANSLATE(A330, ""en"", ""hi""))"),"मटर पोहा")</f>
        <v>मटर पोहा</v>
      </c>
      <c r="C330" s="1" t="s">
        <v>16424</v>
      </c>
      <c r="D330" s="1" t="s">
        <v>14198</v>
      </c>
      <c r="E330" s="1">
        <v>25</v>
      </c>
      <c r="F330" s="1" t="s">
        <v>32315</v>
      </c>
      <c r="G330" s="1" t="str">
        <f ca="1">IFERROR(__xludf.dummyfunction("IF(F330="""", """", GOOGLETRANSLATE(F330, ""en"", ""hi""))"),"1 1/2 कप पोहा, 1 कप हरी मटर, 2 प्याज - बारीक कटे हुए, 3 हरी मिर्च - बारीक कटी हुई, 1/2 चम्मच हल्दी पाउडर, 1 चम्मच राई, 1 चम्मच जीरा, 2 टहनी करी पत्ता, 1/4 चम्मच हींग, नमक - स्वादानुसार, धनिया पत्ता - बारीक कटा हुआ, नींबू का रस - एक नींबू का रस")</f>
        <v>1 1/2 कप पोहा, 1 कप हरी मटर, 2 प्याज - बारीक कटे हुए, 3 हरी मिर्च - बारीक कटी हुई, 1/2 चम्मच हल्दी पाउडर, 1 चम्मच राई, 1 चम्मच जीरा, 2 टहनी करी पत्ता, 1/4 चम्मच हींग, नमक - स्वादानुसार, धनिया पत्ता - बारीक कटा हुआ, नींबू का रस - एक नींबू का रस</v>
      </c>
      <c r="H330" s="1" t="s">
        <v>32316</v>
      </c>
      <c r="I330" s="1" t="str">
        <f ca="1">IFERROR(__xludf.dummyfunction("IF(H330="""", """", GOOGLETRANSLATE(H330, ""en"", ""hi""))"),"मटर पोहा बनाने के लिए सबसे पहले एक सॉस पैन में पानी गर्म करें। इसमें मटर डालें और नरम होने तक पकाएं। मटर को छानकर अलग रख लें। अब पोहा को अच्छी तरह धो लें। छलनी से पानी छानकर अलग रख लें। एक पैन में तेल गर्म करें। इसमें हींग, जीरा, राई डालकर 30 सेकंड तक पका"&amp;"एं। 30 सेकंड बाद इसमें करी पत्ता, हरी मिर्च डालें और 1 मिनट तक पकाएं। 1 मिनट बाद इसमें प्याज डालें और प्याज के नरम होने तक पकाएं। प्याज के नरम होने के बाद इसमें हल्दी पाउडर, नमक, मटर और पोहा डालें। अच्छे से मिलाएं, थोड़ा पानी छिड़कें, पैन को ढक दें और 2 स"&amp;"े 3 मिनट तक पकाएं। गैस बंद कर दें और पैन को ढक दें। इसे 5 से 6 मिनट तक ढका रहने दें और धनिया पत्ती से गार्निश करें और नींबू का रस डालकर मिलाएँ। मटर पोहा को नाश्ते में मसाला चाय और अपनी पसंद के फल के साथ सर्व करें।")</f>
        <v>मटर पोहा बनाने के लिए सबसे पहले एक सॉस पैन में पानी गर्म करें। इसमें मटर डालें और नरम होने तक पकाएं। मटर को छानकर अलग रख लें। अब पोहा को अच्छी तरह धो लें। छलनी से पानी छानकर अलग रख लें। एक पैन में तेल गर्म करें। इसमें हींग, जीरा, राई डालकर 30 सेकंड तक पकाएं। 30 सेकंड बाद इसमें करी पत्ता, हरी मिर्च डालें और 1 मिनट तक पकाएं। 1 मिनट बाद इसमें प्याज डालें और प्याज के नरम होने तक पकाएं। प्याज के नरम होने के बाद इसमें हल्दी पाउडर, नमक, मटर और पोहा डालें। अच्छे से मिलाएं, थोड़ा पानी छिड़कें, पैन को ढक दें और 2 से 3 मिनट तक पकाएं। गैस बंद कर दें और पैन को ढक दें। इसे 5 से 6 मिनट तक ढका रहने दें और धनिया पत्ती से गार्निश करें और नींबू का रस डालकर मिलाएँ। मटर पोहा को नाश्ते में मसाला चाय और अपनी पसंद के फल के साथ सर्व करें।</v>
      </c>
      <c r="J330" s="3" t="s">
        <v>32317</v>
      </c>
      <c r="L330" s="1" t="s">
        <v>31003</v>
      </c>
    </row>
    <row r="331" spans="1:12" ht="13.8">
      <c r="A331" s="1" t="s">
        <v>32318</v>
      </c>
      <c r="B331" s="1" t="str">
        <f ca="1">IFERROR(__xludf.dummyfunction("IF(A331="""", """", GOOGLETRANSLATE(A331, ""en"", ""hi""))"),"पनीर लहसुन नान रेसिपी")</f>
        <v>पनीर लहसुन नान रेसिपी</v>
      </c>
      <c r="C331" s="1" t="s">
        <v>14259</v>
      </c>
      <c r="D331" s="1" t="s">
        <v>14198</v>
      </c>
      <c r="E331" s="1">
        <v>45</v>
      </c>
      <c r="F331" s="1" t="s">
        <v>32319</v>
      </c>
      <c r="G331" s="1" t="str">
        <f ca="1">IFERROR(__xludf.dummyfunction("IF(F331="""", """", GOOGLETRANSLATE(F331, ""en"", ""hi""))"),"1-1/2 कप मैदा, 1 कप गेहूं का आटा, 1/2 कप दही, 1 1/2 छोटा चम्मच सक्रिय सूखा खमीर, नमक - स्वादानुसार, 1 बड़ा चम्मच लहसुन - बारीक कटा हुआ, 1/4 कप धनिया पत्ती - बारीक कटा हुआ, 1 बड़ा चम्मच मक्खन, 1 छोटा चम्मच सूरजमुखी तेल, 1 कप पनीर - कद्दूकस किया हुआ, 2 बड़े"&amp;" चम्मच लहसुन - बारीक कटा हुआ, मक्खन - नान पर लगाने के लिए")</f>
        <v>1-1/2 कप मैदा, 1 कप गेहूं का आटा, 1/2 कप दही, 1 1/2 छोटा चम्मच सक्रिय सूखा खमीर, नमक - स्वादानुसार, 1 बड़ा चम्मच लहसुन - बारीक कटा हुआ, 1/4 कप धनिया पत्ती - बारीक कटा हुआ, 1 बड़ा चम्मच मक्खन, 1 छोटा चम्मच सूरजमुखी तेल, 1 कप पनीर - कद्दूकस किया हुआ, 2 बड़े चम्मच लहसुन - बारीक कटा हुआ, मक्खन - नान पर लगाने के लिए</v>
      </c>
      <c r="H331" s="1" t="s">
        <v>32320</v>
      </c>
      <c r="I331" s="1" t="str">
        <f ca="1">IFERROR(__xludf.dummyfunction("IF(H331="""", """", GOOGLETRANSLATE(H331, ""en"", ""hi""))"),"चीज़ गार्लिक नान रेसिपी बनाने के लिए, हमें यह सुनिश्चित करने के लिए आटा गूंथना होगा कि यह अच्छी तरह से आराम कर रहा है। एक मिक्सिंग बाउल में आटा गूंथने के लिए, पूरे गेहूं के आटे, सक्रिय सूखी खमीर, नमक, लहसुन, धनिया पत्ती, मक्खन के साथ सभी उद्देश्य के आटे क"&amp;"ो मिलाएं और अच्छी तरह से मिलाएं जब तक कि सामग्री अच्छी तरह से मिल न जाए। अब दही के साथ आटा गूंधें और नरम आटा गूंधने के लिए आवश्यक मात्रा में पानी का उपयोग करें। अंत में एक चम्मच तेल डालें और एक चिकना आटा गूंध लें और इसे एक बड़े आटे की गेंद का आकार दें। इस"&amp;"े एक चिकनाई लगे कटोरे में रखें, और एक नम कपड़े से ढक दें और इसे लगभग दो घंटे के लिए गर्म स्थान पर रख दें। जब नान का आटा आकार में दोगुना हो जाए तो आटे को दबाएं, एक मिनट के लिए गूंधें और बराबर भागों में विभाजित करें। मध्यम आंच पर एक कच्चे लोहे का तवा गर्म क"&amp;"रें और इसे तैयार रखें। प्रत्येक आटे की गेंद को 4 इंच व्यास में बेल लें, कसा हुआ पनीर रखें, और किनारों को साथ में लाकर एक पोटली बनाएं, अपनी हथेलियों के बीच चपटा करें, इसे आटे में लपेटें और इस तरह से रोल करना शुरू करें कि हमें लम्बे, अंडाकार नान मिलें। नान "&amp;"के एक तरफ पानी ब्रश करें, और इसे नान की पूरी सतह पर समान रूप से फैलाएं, अब इस नान को तवे पर रखें, पानी वाली तरफ नीचे की ओर, जल्दी से कुछ कटा हुआ लहसुन छिड़कें, और इसे नान पर दबाएं, एक तरह से यह पनीर लहसुन नान में समा जाए। इसके बाद, लगभग 40 सेकंड के बाद, त"&amp;"वा को उल्टा कर दें, इस तरह से कि तवा ऊपर हो और नान सीधे आंच के संपर्क में हो। धीरे-धीरे नान तवा से उतरने लगेगा, चिमटे की मदद से चीज़ गार्लिक नान को तवे से उतार लें और दूसरी तरफ सीधे आंच पर पकाएं। नान को समान रूप से पकाने के लिए उसे हिलाते रहें। आंच से उता"&amp;"र लें, थोड़ा मक्खन लगाएं और गरमागरम परोसें। गरमागरम चीज़ गार्लिक नान को पालक मशरूम चना करी या तड़केवाली मसूर दाल, पुदीना प्याज कचुम्बर सलाद और पुदीना और प्याज सलाद के साथ परोसें और उसके बाद मैंगो साबूदाना खीर और आम की मिठाई परोसें।")</f>
        <v>चीज़ गार्लिक नान रेसिपी बनाने के लिए, हमें यह सुनिश्चित करने के लिए आटा गूंथना होगा कि यह अच्छी तरह से आराम कर रहा है। एक मिक्सिंग बाउल में आटा गूंथने के लिए, पूरे गेहूं के आटे, सक्रिय सूखी खमीर, नमक, लहसुन, धनिया पत्ती, मक्खन के साथ सभी उद्देश्य के आटे को मिलाएं और अच्छी तरह से मिलाएं जब तक कि सामग्री अच्छी तरह से मिल न जाए। अब दही के साथ आटा गूंधें और नरम आटा गूंधने के लिए आवश्यक मात्रा में पानी का उपयोग करें। अंत में एक चम्मच तेल डालें और एक चिकना आटा गूंध लें और इसे एक बड़े आटे की गेंद का आकार दें। इसे एक चिकनाई लगे कटोरे में रखें, और एक नम कपड़े से ढक दें और इसे लगभग दो घंटे के लिए गर्म स्थान पर रख दें। जब नान का आटा आकार में दोगुना हो जाए तो आटे को दबाएं, एक मिनट के लिए गूंधें और बराबर भागों में विभाजित करें। मध्यम आंच पर एक कच्चे लोहे का तवा गर्म करें और इसे तैयार रखें। प्रत्येक आटे की गेंद को 4 इंच व्यास में बेल लें, कसा हुआ पनीर रखें, और किनारों को साथ में लाकर एक पोटली बनाएं, अपनी हथेलियों के बीच चपटा करें, इसे आटे में लपेटें और इस तरह से रोल करना शुरू करें कि हमें लम्बे, अंडाकार नान मिलें। नान के एक तरफ पानी ब्रश करें, और इसे नान की पूरी सतह पर समान रूप से फैलाएं, अब इस नान को तवे पर रखें, पानी वाली तरफ नीचे की ओर, जल्दी से कुछ कटा हुआ लहसुन छिड़कें, और इसे नान पर दबाएं, एक तरह से यह पनीर लहसुन नान में समा जाए। इसके बाद, लगभग 40 सेकंड के बाद, तवा को उल्टा कर दें, इस तरह से कि तवा ऊपर हो और नान सीधे आंच के संपर्क में हो। धीरे-धीरे नान तवा से उतरने लगेगा, चिमटे की मदद से चीज़ गार्लिक नान को तवे से उतार लें और दूसरी तरफ सीधे आंच पर पकाएं। नान को समान रूप से पकाने के लिए उसे हिलाते रहें। आंच से उतार लें, थोड़ा मक्खन लगाएं और गरमागरम परोसें। गरमागरम चीज़ गार्लिक नान को पालक मशरूम चना करी या तड़केवाली मसूर दाल, पुदीना प्याज कचुम्बर सलाद और पुदीना और प्याज सलाद के साथ परोसें और उसके बाद मैंगो साबूदाना खीर और आम की मिठाई परोसें।</v>
      </c>
      <c r="J331" s="3" t="s">
        <v>32321</v>
      </c>
      <c r="L331" s="1" t="s">
        <v>31003</v>
      </c>
    </row>
    <row r="332" spans="1:12" ht="13.8">
      <c r="A332" s="1" t="s">
        <v>32322</v>
      </c>
      <c r="B332" s="1" t="str">
        <f ca="1">IFERROR(__xludf.dummyfunction("IF(A332="""", """", GOOGLETRANSLATE(A332, ""en"", ""hi""))"),"पुदीना छाछ रेसिपी")</f>
        <v>पुदीना छाछ रेसिपी</v>
      </c>
      <c r="C332" s="1" t="s">
        <v>14572</v>
      </c>
      <c r="D332" s="1" t="s">
        <v>14198</v>
      </c>
      <c r="E332" s="1">
        <v>10</v>
      </c>
      <c r="F332" s="1" t="s">
        <v>32323</v>
      </c>
      <c r="G332" s="1" t="str">
        <f ca="1">IFERROR(__xludf.dummyfunction("IF(F332="""", """", GOOGLETRANSLATE(F332, ""en"", ""hi""))"),"1 कप दही, 2 टहनियाँ पुदीना - कटी हुई, 1 इंच अदरक - कटी हुई, 1/2 छोटा चम्मच जीरा - भुना और पिसा हुआ")</f>
        <v>1 कप दही, 2 टहनियाँ पुदीना - कटी हुई, 1 इंच अदरक - कटी हुई, 1/2 छोटा चम्मच जीरा - भुना और पिसा हुआ</v>
      </c>
      <c r="H332" s="1" t="s">
        <v>32324</v>
      </c>
      <c r="I332" s="1" t="str">
        <f ca="1">IFERROR(__xludf.dummyfunction("IF(H332="""", """", GOOGLETRANSLATE(H332, ""en"", ""hi""))"),"पुदीना बटरमिल्क रेसिपी बनाने के लिए, सबसे पहले दही को एक पतले मुंह वाले बर्तन या गिलास में अच्छी तरह से मथ लें। (ब्लेंडर या मिक्सर का भी इस्तेमाल किया जा सकता है) पानी डालें और फिर से मथ लें। अगर दही गाढ़ा नहीं है, तो रेसिपी में पानी की मात्रा को ज़रूरत क"&amp;"े हिसाब से एडजस्ट करें। पुदीना पाउडर, जीरा पाउडर, नमक डालें और सब कुछ अच्छी तरह से मिलाएँ। ठंडा होने के लिए फ्रिज में रखें और अपने खाने के साथ ठंडी छाछ परोसें। पुदीना बटरमिल्क को अपने लंच के साथ साइड डिश के तौर पर रोज़ाना परोसें।")</f>
        <v>पुदीना बटरमिल्क रेसिपी बनाने के लिए, सबसे पहले दही को एक पतले मुंह वाले बर्तन या गिलास में अच्छी तरह से मथ लें। (ब्लेंडर या मिक्सर का भी इस्तेमाल किया जा सकता है) पानी डालें और फिर से मथ लें। अगर दही गाढ़ा नहीं है, तो रेसिपी में पानी की मात्रा को ज़रूरत के हिसाब से एडजस्ट करें। पुदीना पाउडर, जीरा पाउडर, नमक डालें और सब कुछ अच्छी तरह से मिलाएँ। ठंडा होने के लिए फ्रिज में रखें और अपने खाने के साथ ठंडी छाछ परोसें। पुदीना बटरमिल्क को अपने लंच के साथ साइड डिश के तौर पर रोज़ाना परोसें।</v>
      </c>
      <c r="J332" s="3" t="s">
        <v>32325</v>
      </c>
      <c r="L332" s="1" t="s">
        <v>31003</v>
      </c>
    </row>
    <row r="333" spans="1:12" ht="13.8">
      <c r="A333" s="1" t="s">
        <v>32326</v>
      </c>
      <c r="B333" s="1" t="str">
        <f ca="1">IFERROR(__xludf.dummyfunction("IF(A333="""", """", GOOGLETRANSLATE(A333, ""en"", ""hi""))"),"चने का सूप रेसिपी")</f>
        <v>चने का सूप रेसिपी</v>
      </c>
      <c r="C333" s="1" t="s">
        <v>429</v>
      </c>
      <c r="D333" s="1" t="s">
        <v>14237</v>
      </c>
      <c r="E333" s="1">
        <v>35</v>
      </c>
      <c r="F333" s="1" t="s">
        <v>32327</v>
      </c>
      <c r="G333" s="1" t="str">
        <f ca="1">IFERROR(__xludf.dummyfunction("IF(F333="""", """", GOOGLETRANSLATE(F333, ""en"", ""hi""))"),"1/2 कप छोले या छोले, 1 प्याज़ - कटा हुआ, 1 चम्मच अदरक लहसुन पेस्ट, 1 चम्मच तुलसी पाउडर - या अजवायन, 1/2 चम्मच लाल मिर्च के गुच्छे, 1 चम्मच काली मिर्च पाउडर, हल्दी पाउडर - चुटकी भर, 1 चम्मच तेल, नींबू का रस - स्वादानुसार, नमक - स्वादानुसार")</f>
        <v>1/2 कप छोले या छोले, 1 प्याज़ - कटा हुआ, 1 चम्मच अदरक लहसुन पेस्ट, 1 चम्मच तुलसी पाउडर - या अजवायन, 1/2 चम्मच लाल मिर्च के गुच्छे, 1 चम्मच काली मिर्च पाउडर, हल्दी पाउडर - चुटकी भर, 1 चम्मच तेल, नींबू का रस - स्वादानुसार, नमक - स्वादानुसार</v>
      </c>
      <c r="H333" s="1" t="s">
        <v>32328</v>
      </c>
      <c r="I333" s="1" t="str">
        <f ca="1">IFERROR(__xludf.dummyfunction("IF(H333="""", """", GOOGLETRANSLATE(H333, ""en"", ""hi""))"),"काबुली चना सूप रेसिपी बनाने के लिए सबसे पहले चने को धोकर 8 से 10 घंटे के लिए पानी में भिगो दें। उसके बाद चने को प्रेशर कुकर में 1 कप पानी और हल्दी पाउडर के साथ डालकर 3 से 4 सीटी आने तक पकाएं। प्रेशर अपने आप निकलने दें और ठंडा होने के लिए अलग रख दें। ठंडा "&amp;"होने के बाद इसमें थोड़ा पानी डालें और मिक्सर ग्राइंडर में इसका पेस्ट बना लें। एक तरफ रख दें। एक पैन में तेल गर्म करें। तेल गर्म होने के बाद इसमें प्याज, अदरक, लहसुन का पेस्ट डालें और 3 से 4 मिनट तक पकाएं। इसमें चने की प्यूरी और आवश्यकतानुसार पानी डालें और"&amp;" 5 से 6 मिनट तक पकाएं। इसमें नमक, तुलसी पाउडर, लाल मिर्च के टुकड़े डालें, मिलाएँ और उबलने दें। उबलने के बाद इसमें काली मिर्च पाउडर, नींबू का रस डालें और 2 मिनट तक और पकाएँ। गरमागरम परोसें। रात में लहसुन की रोटी और सलाद के साथ काबुली चना सूप रेसिपी का आनंद"&amp;" लें। रात के खाने में परोसें।")</f>
        <v>काबुली चना सूप रेसिपी बनाने के लिए सबसे पहले चने को धोकर 8 से 10 घंटे के लिए पानी में भिगो दें। उसके बाद चने को प्रेशर कुकर में 1 कप पानी और हल्दी पाउडर के साथ डालकर 3 से 4 सीटी आने तक पकाएं। प्रेशर अपने आप निकलने दें और ठंडा होने के लिए अलग रख दें। ठंडा होने के बाद इसमें थोड़ा पानी डालें और मिक्सर ग्राइंडर में इसका पेस्ट बना लें। एक तरफ रख दें। एक पैन में तेल गर्म करें। तेल गर्म होने के बाद इसमें प्याज, अदरक, लहसुन का पेस्ट डालें और 3 से 4 मिनट तक पकाएं। इसमें चने की प्यूरी और आवश्यकतानुसार पानी डालें और 5 से 6 मिनट तक पकाएं। इसमें नमक, तुलसी पाउडर, लाल मिर्च के टुकड़े डालें, मिलाएँ और उबलने दें। उबलने के बाद इसमें काली मिर्च पाउडर, नींबू का रस डालें और 2 मिनट तक और पकाएँ। गरमागरम परोसें। रात में लहसुन की रोटी और सलाद के साथ काबुली चना सूप रेसिपी का आनंद लें। रात के खाने में परोसें।</v>
      </c>
      <c r="J333" s="3" t="s">
        <v>32329</v>
      </c>
      <c r="L333" s="1" t="s">
        <v>31003</v>
      </c>
    </row>
    <row r="334" spans="1:12" ht="13.8">
      <c r="A334" s="1" t="s">
        <v>32330</v>
      </c>
      <c r="B334" s="1" t="str">
        <f ca="1">IFERROR(__xludf.dummyfunction("IF(A334="""", """", GOOGLETRANSLATE(A334, ""en"", ""hi""))"),"टमाटर गोश्त रेसिपी-टमाटर करी में मटन")</f>
        <v>टमाटर गोश्त रेसिपी-टमाटर करी में मटन</v>
      </c>
      <c r="C334" s="1" t="s">
        <v>429</v>
      </c>
      <c r="D334" s="1" t="s">
        <v>14382</v>
      </c>
      <c r="E334" s="1">
        <v>50</v>
      </c>
      <c r="F334" s="1" t="s">
        <v>32331</v>
      </c>
      <c r="G334" s="1" t="str">
        <f ca="1">IFERROR(__xludf.dummyfunction("IF(F334="""", """", GOOGLETRANSLATE(F334, ""en"", ""hi""))"),"500 ग्राम मटन - मध्यम टुकड़ों में कटा हुआ, 2 प्याज - बारीक कटा हुआ, 1-1/2 बड़ा चम्मच लहसुन - पेस्ट, 1 बड़ा चम्मच अदरक - पेस्ट, 4 हरी मिर्च - कटी हुई, 3 टमाटर - चार टुकड़ों में कटे हुए, 1 बड़ा चम्मच धनिया पाउडर, 1 छोटा चम्मच लाल मिर्च पाउडर, 1/2 छोटा चम्मच"&amp;" हल्दी पाउडर, नमक - स्वादानुसार, 1/2 कप सरसों का तेल, 2 बड़े चम्मच धनिया पत्ते - कटे हुए, 2 तेज पत्ता, 1/2 दालचीनी, 2 लौंग, 4 साबुत काली मिर्च, 2 इलायची, 1 बड़ी इलायची, 1 छोटा चम्मच अजवाइन, 1 छोटा चम्मच जावित्री")</f>
        <v>500 ग्राम मटन - मध्यम टुकड़ों में कटा हुआ, 2 प्याज - बारीक कटा हुआ, 1-1/2 बड़ा चम्मच लहसुन - पेस्ट, 1 बड़ा चम्मच अदरक - पेस्ट, 4 हरी मिर्च - कटी हुई, 3 टमाटर - चार टुकड़ों में कटे हुए, 1 बड़ा चम्मच धनिया पाउडर, 1 छोटा चम्मच लाल मिर्च पाउडर, 1/2 छोटा चम्मच हल्दी पाउडर, नमक - स्वादानुसार, 1/2 कप सरसों का तेल, 2 बड़े चम्मच धनिया पत्ते - कटे हुए, 2 तेज पत्ता, 1/2 दालचीनी, 2 लौंग, 4 साबुत काली मिर्च, 2 इलायची, 1 बड़ी इलायची, 1 छोटा चम्मच अजवाइन, 1 छोटा चम्मच जावित्री</v>
      </c>
      <c r="H334" s="1" t="s">
        <v>32332</v>
      </c>
      <c r="I334" s="1" t="str">
        <f ca="1">IFERROR(__xludf.dummyfunction("IF(H334="""", """", GOOGLETRANSLATE(H334, ""en"", ""hi""))"),"टमाटर गोश्त रेसिपी बनाने के लिए सबसे पहले मटन को अच्छे से धोकर एक तरफ रख दें। तेजपत्ता और शाह जीरा को छोड़कर सभी साबुत मसालों को 1/2 कप पानी में 10 से 15 मिनट के लिए भिगो दें। जब मसाले अच्छी तरह से भीग जाएं तो इन्हें ग्राइंडर में बारीक पीस लें और एक कटोरी"&amp;" में इकट्ठा करके रख दें। एक प्रेशर कुकर (अधिमानतः चौड़े मुंह वाला) में तेल गर्म करें और उसमें शाही जीरा और तेजपत्ता डालें। जब शाही जीरा चटकने लगे तो इसमें बारीक कटा हुआ प्याज या प्याज का पेस्ट डालें और कच्ची महक जाने तक भूनें। अब इसमें अदरक लहसुन का पेस्ट"&amp;" डालें और सबको भूरा होने तक भूनें। इसमें कटी हुई हरी मिर्च, मटन के टुकड़े, टमाटर डालें और कुछ मिनट तक अच्छी तरह मिलाएँ जब तक कि मटन नमी खोने न लगे जब मटन अच्छे से भून जाए, तो उसमें 1 कप या उससे ज़्यादा पानी (करी की ज़रूरत के हिसाब से) डालें और अच्छी तरह स"&amp;"े चलाएँ। कुकर का ढक्कन बंद करें और 4 से 5 सीटी आने दें या जब तक मटन पक न जाए। मटन को ज़्यादा न पकाएँ, नहीं तो वह नरम हो जाएगा और करी में मिल जाएगा। जब करी पक जाए और कुकर से भाप निकल जाए, तो ढक्कन को ध्यान से खोलें और जल्दी से चलाएँ। करी को एक सर्विंग बाउल"&amp;" में डालें और ताज़ा धनिया से गार्निश करें। इस स्वादिष्ट टमाटर गोश्त को रोटी या चावल के साथ नींबू के रस की कुछ बूँदें डालकर परोसें।")</f>
        <v>टमाटर गोश्त रेसिपी बनाने के लिए सबसे पहले मटन को अच्छे से धोकर एक तरफ रख दें। तेजपत्ता और शाह जीरा को छोड़कर सभी साबुत मसालों को 1/2 कप पानी में 10 से 15 मिनट के लिए भिगो दें। जब मसाले अच्छी तरह से भीग जाएं तो इन्हें ग्राइंडर में बारीक पीस लें और एक कटोरी में इकट्ठा करके रख दें। एक प्रेशर कुकर (अधिमानतः चौड़े मुंह वाला) में तेल गर्म करें और उसमें शाही जीरा और तेजपत्ता डालें। जब शाही जीरा चटकने लगे तो इसमें बारीक कटा हुआ प्याज या प्याज का पेस्ट डालें और कच्ची महक जाने तक भूनें। अब इसमें अदरक लहसुन का पेस्ट डालें और सबको भूरा होने तक भूनें। इसमें कटी हुई हरी मिर्च, मटन के टुकड़े, टमाटर डालें और कुछ मिनट तक अच्छी तरह मिलाएँ जब तक कि मटन नमी खोने न लगे जब मटन अच्छे से भून जाए, तो उसमें 1 कप या उससे ज़्यादा पानी (करी की ज़रूरत के हिसाब से) डालें और अच्छी तरह से चलाएँ। कुकर का ढक्कन बंद करें और 4 से 5 सीटी आने दें या जब तक मटन पक न जाए। मटन को ज़्यादा न पकाएँ, नहीं तो वह नरम हो जाएगा और करी में मिल जाएगा। जब करी पक जाए और कुकर से भाप निकल जाए, तो ढक्कन को ध्यान से खोलें और जल्दी से चलाएँ। करी को एक सर्विंग बाउल में डालें और ताज़ा धनिया से गार्निश करें। इस स्वादिष्ट टमाटर गोश्त को रोटी या चावल के साथ नींबू के रस की कुछ बूँदें डालकर परोसें।</v>
      </c>
      <c r="J334" s="3" t="s">
        <v>32333</v>
      </c>
      <c r="L334" s="1" t="s">
        <v>31003</v>
      </c>
    </row>
    <row r="335" spans="1:12" ht="13.8">
      <c r="A335" s="1" t="s">
        <v>32334</v>
      </c>
      <c r="B335" s="1" t="str">
        <f ca="1">IFERROR(__xludf.dummyfunction("IF(A335="""", """", GOOGLETRANSLATE(A335, ""en"", ""hi""))"),"ओट्स, मटर और टोफू भरवां पराठा रेसिपी")</f>
        <v>ओट्स, मटर और टोफू भरवां पराठा रेसिपी</v>
      </c>
      <c r="C335" s="1" t="s">
        <v>145</v>
      </c>
      <c r="D335" s="1" t="s">
        <v>14237</v>
      </c>
      <c r="E335" s="1">
        <v>45</v>
      </c>
      <c r="F335" s="1" t="s">
        <v>32335</v>
      </c>
      <c r="G335" s="1" t="str">
        <f ca="1">IFERROR(__xludf.dummyfunction("IF(F335="""", """", GOOGLETRANSLATE(F335, ""en"", ""hi""))"),"1 कप टोफू - टुकड़े टुकड़े, 1 लाल शिमला मिर्च (शिमला मिर्च) - बारीक कटी हुई, 1/2 कप हरी मटर (मटर), 1/2 कप इंस्टेंट ओट्स (दलिया) - 2 बड़े चम्मच पानी में भिगोए हुए, 1 प्याज - कटा हुआ, 1 इंच अदरक - कटा हुआ, 4 लौंग लहसुन - कटा हुआ, 1 हरी मिर्च - कटी हुई, 1 चम्"&amp;"मच हल्दी पाउडर (हल्दी), 2 चम्मच लाल मिर्च पाउडर, 1 चम्मच आमचूर (सूखा आम पाउडर), 1 चम्मच धनिया पाउडर (धनिया), नमक - स्वादानुसार, 1 कप गेहूं का आटा, नमक - स्वादानुसार, सूरजमुखी तेल - गूंधने के लिए, पानी - गूंधने के लिए")</f>
        <v>1 कप टोफू - टुकड़े टुकड़े, 1 लाल शिमला मिर्च (शिमला मिर्च) - बारीक कटी हुई, 1/2 कप हरी मटर (मटर), 1/2 कप इंस्टेंट ओट्स (दलिया) - 2 बड़े चम्मच पानी में भिगोए हुए, 1 प्याज - कटा हुआ, 1 इंच अदरक - कटा हुआ, 4 लौंग लहसुन - कटा हुआ, 1 हरी मिर्च - कटी हुई, 1 चम्मच हल्दी पाउडर (हल्दी), 2 चम्मच लाल मिर्च पाउडर, 1 चम्मच आमचूर (सूखा आम पाउडर), 1 चम्मच धनिया पाउडर (धनिया), नमक - स्वादानुसार, 1 कप गेहूं का आटा, नमक - स्वादानुसार, सूरजमुखी तेल - गूंधने के लिए, पानी - गूंधने के लिए</v>
      </c>
      <c r="H335" s="1" t="s">
        <v>32336</v>
      </c>
      <c r="I335" s="1" t="str">
        <f ca="1">IFERROR(__xludf.dummyfunction("IF(H335="""", """", GOOGLETRANSLATE(H335, ""en"", ""hi""))"),"ओट्स, मटर और टोफू स्टफ्ड पराठा रेसिपी बनाने के लिए सबसे पहले हम सभी सामग्री तैयार कर लेंगे और उन्हें तैयार रख लेंगे। सबसे पहले हम पराठे के लिए आटा गूंथ लेंगे। एक बड़े मिक्सिंग बाउल में मैदा और नमक डालें। थोड़ा-थोड़ा पानी डालते हुए नरम और चिकना आटा गूंथ ले"&amp;"ं। जब सारा आटा एक साथ आ जाए तो आटे के ऊपर एक चम्मच तेल छिड़कें और दो मिनट के लिए गूंथ लें। आटे को ढककर रख दें। अब हम स्टफिंग बनाने के लिए आगे बढ़ेंगे। एक कड़ाही में मध्यम आंच पर थोड़ा तेल गर्म करें, उसमें लहसुन और अदरक डालें और अच्छे से भूनें। फिर उसमें क"&amp;"टा प्याज, हरी मिर्च, शिमला मिर्च और मटर डालें। इन्हें आधा पकने तक भूनें। इसमें टुकड़े किया हुआ टोफू, भिगोया हुआ ओट्स और सभी मसाले पाउडर डालें छिड़कने के लिए थोड़ा आटा अलग रख दें। आटे के हिस्से को थपथपाएं और इसे आटे में लपेटें। आटे को 5 इंच व्यास के गोले म"&amp;"ें बेल लें। गोले के केंद्र में भरने का एक बड़ा हिस्सा चम्मच से डालें। गोले के किनारों को केंद्र में लाएं, चुटकी से दबाएं और धीरे से सील करें। आटे को अपनी हथेली से फिर से हल्का सा चपटा करें। पराठे को बहुत कम दबाव डालते हुए बेलें ताकि भराई अंदर रहे और बाहर "&amp;"न निकले। बचे हुए ओट्स, मटर और टोफू स्टफ्ड पराठे को भरने के लिए उसी तरह आगे बढ़ें। अगला कदम पराठे को तवे या रोटी तवा पर पकाना है। तवे को पहले से गरम करें और फिर बेले हुए पराठे को तवे पर रखें। पलटें और दोनों तरफ से तब तक पकाएं जब तक भूरे धब्बे न दिखाई दें औ"&amp;"र पराठा पूरी तरह से पक न जाए। पराठे पर घी या तेल छिड़कें और धीमी से मध्यम आंच पर तब तक पकाएं जब तक कि पराठा दोनों तरफ से पक कर सुनहरा भूरा न हो जाए। पक जाने के बाद, पराठे को एक प्लेट में निकाल लें और बाकी बचे ओट्स, मटर और टोफू स्टफ्ड पराठों को भी इसी तरह "&amp;"पकाएं। ओट्स, मटर और टोफू स्टफ्ड पराठा रेसिपी को लहसुन वाली दही या अचार के साथ परोसें और अपने नाश्ते या दोपहर के भोजन का लुत्फ़ उठाएँ।")</f>
        <v>ओट्स, मटर और टोफू स्टफ्ड पराठा रेसिपी बनाने के लिए सबसे पहले हम सभी सामग्री तैयार कर लेंगे और उन्हें तैयार रख लेंगे। सबसे पहले हम पराठे के लिए आटा गूंथ लेंगे। एक बड़े मिक्सिंग बाउल में मैदा और नमक डालें। थोड़ा-थोड़ा पानी डालते हुए नरम और चिकना आटा गूंथ लें। जब सारा आटा एक साथ आ जाए तो आटे के ऊपर एक चम्मच तेल छिड़कें और दो मिनट के लिए गूंथ लें। आटे को ढककर रख दें। अब हम स्टफिंग बनाने के लिए आगे बढ़ेंगे। एक कड़ाही में मध्यम आंच पर थोड़ा तेल गर्म करें, उसमें लहसुन और अदरक डालें और अच्छे से भूनें। फिर उसमें कटा प्याज, हरी मिर्च, शिमला मिर्च और मटर डालें। इन्हें आधा पकने तक भूनें। इसमें टुकड़े किया हुआ टोफू, भिगोया हुआ ओट्स और सभी मसाले पाउडर डालें छिड़कने के लिए थोड़ा आटा अलग रख दें। आटे के हिस्से को थपथपाएं और इसे आटे में लपेटें। आटे को 5 इंच व्यास के गोले में बेल लें। गोले के केंद्र में भरने का एक बड़ा हिस्सा चम्मच से डालें। गोले के किनारों को केंद्र में लाएं, चुटकी से दबाएं और धीरे से सील करें। आटे को अपनी हथेली से फिर से हल्का सा चपटा करें। पराठे को बहुत कम दबाव डालते हुए बेलें ताकि भराई अंदर रहे और बाहर न निकले। बचे हुए ओट्स, मटर और टोफू स्टफ्ड पराठे को भरने के लिए उसी तरह आगे बढ़ें। अगला कदम पराठे को तवे या रोटी तवा पर पकाना है। तवे को पहले से गरम करें और फिर बेले हुए पराठे को तवे पर रखें। पलटें और दोनों तरफ से तब तक पकाएं जब तक भूरे धब्बे न दिखाई दें और पराठा पूरी तरह से पक न जाए। पराठे पर घी या तेल छिड़कें और धीमी से मध्यम आंच पर तब तक पकाएं जब तक कि पराठा दोनों तरफ से पक कर सुनहरा भूरा न हो जाए। पक जाने के बाद, पराठे को एक प्लेट में निकाल लें और बाकी बचे ओट्स, मटर और टोफू स्टफ्ड पराठों को भी इसी तरह पकाएं। ओट्स, मटर और टोफू स्टफ्ड पराठा रेसिपी को लहसुन वाली दही या अचार के साथ परोसें और अपने नाश्ते या दोपहर के भोजन का लुत्फ़ उठाएँ।</v>
      </c>
      <c r="J335" s="3" t="s">
        <v>32337</v>
      </c>
      <c r="L335" s="1" t="s">
        <v>31003</v>
      </c>
    </row>
    <row r="336" spans="1:12" ht="13.8">
      <c r="A336" s="1" t="s">
        <v>32338</v>
      </c>
      <c r="B336" s="1" t="str">
        <f ca="1">IFERROR(__xludf.dummyfunction("IF(A336="""", """", GOOGLETRANSLATE(A336, ""en"", ""hi""))"),"वेज मक्खनवाला रेसिपी")</f>
        <v>वेज मक्खनवाला रेसिपी</v>
      </c>
      <c r="C336" s="1" t="s">
        <v>145</v>
      </c>
      <c r="D336" s="1" t="s">
        <v>14198</v>
      </c>
      <c r="E336" s="1">
        <v>45</v>
      </c>
      <c r="F336" s="1" t="s">
        <v>32339</v>
      </c>
      <c r="G336" s="1" t="str">
        <f ca="1">IFERROR(__xludf.dummyfunction("IF(F336="""", """", GOOGLETRANSLATE(F336, ""en"", ""hi""))"),"1 बड़ा चम्मच मक्खन, नमक - स्वादानुसार, 1/4 कप गाजर - कटी हुई, 1/4 कप शिमला मिर्च (हरी) - कटी हुई, 1/4 कप हरी बीन्स - कटी हुई, 1/4 कप बेबी कॉर्न - कटी हुई, 1/4 कप गोभी - कटी हुई, 1 बड़ा चम्मच मक्खन, 2 लौंग, 1 इलायची, 1 इंच दालचीनी, 2 सूखी कश्मीरी मिर्च, 1 "&amp;"छोटा चम्मच धनिया के बीज, 1/2 छोटा चम्मच साबुत काली मिर्च, 6 काजू, 5 लंबा लहसुन, 1 इंच अदरक, 1 हरी मिर्च, 2 प्याज - बारीक कटा हुआ, नमक - स्वादानुसार, 1 छोटा चम्मच कश्मीरी लाल मिर्च पाउडर, 1/4 छोटा चम्मच हल्दी पाउडर, 1 छोटा चम्मच जीरा पाउडर, 1 छोटा चम्मच गर"&amp;"म मसाला पाउडर, 1 कप टमाटर प्यूरी, 2 बड़े चम्मच क्रीम, मक्खन - उपयोगानुसार")</f>
        <v>1 बड़ा चम्मच मक्खन, नमक - स्वादानुसार, 1/4 कप गाजर - कटी हुई, 1/4 कप शिमला मिर्च (हरी) - कटी हुई, 1/4 कप हरी बीन्स - कटी हुई, 1/4 कप बेबी कॉर्न - कटी हुई, 1/4 कप गोभी - कटी हुई, 1 बड़ा चम्मच मक्खन, 2 लौंग, 1 इलायची, 1 इंच दालचीनी, 2 सूखी कश्मीरी मिर्च, 1 छोटा चम्मच धनिया के बीज, 1/2 छोटा चम्मच साबुत काली मिर्च, 6 काजू, 5 लंबा लहसुन, 1 इंच अदरक, 1 हरी मिर्च, 2 प्याज - बारीक कटा हुआ, नमक - स्वादानुसार, 1 छोटा चम्मच कश्मीरी लाल मिर्च पाउडर, 1/4 छोटा चम्मच हल्दी पाउडर, 1 छोटा चम्मच जीरा पाउडर, 1 छोटा चम्मच गरम मसाला पाउडर, 1 कप टमाटर प्यूरी, 2 बड़े चम्मच क्रीम, मक्खन - उपयोगानुसार</v>
      </c>
      <c r="H336" s="1" t="s">
        <v>32340</v>
      </c>
      <c r="I336" s="1" t="str">
        <f ca="1">IFERROR(__xludf.dummyfunction("IF(H336="""", """", GOOGLETRANSLATE(H336, ""en"", ""hi""))"),"""वेज मक्खनवाला रेसिपी बनाने के लिए सबसे पहले एक पैन में मक्खन गर्म करें। इसमें गाजर, शिमला मिर्च, बेबी कॉर्न, बीन्स, फूलगोभी डालकर 5 मिनट तक पकाएं। नरम होने तक न पकाएं, सब्जियों में थोड़ा क्रंच होना चाहिए। गैस बंद करके एक तरफ रख दें। एक पैन में मक्खन गर्"&amp;"म करें। इसमें दालचीनी, लौंग, इलायची, काली मिर्च, सूखी लाल मिर्च, धनिया के बीज, काजू डालकर 2 मिनट तक पकाएं। 2 मिनट बाद इसमें लहसुन, अदरक, हरी मिर्च, प्याज डालें और प्याज के सुनहरा भूरा होने तक पकाएं। गैस बंद कर दें और मिश्रण को ठंडा होने दें। इस मिश्रण को "&amp;"मिक्सर जार में थोड़े पानी के साथ डालें और पीसकर पेस्ट बना लें। इसे एक बाउल में निकाल कर एक तरफ रख दें। एक पैन में मक्खन गर्म करें। इसमें नमक, हल्दी पाउडर, लाल मिर्च पाउडर, जीरा पाउडर, गरम मसाला पाउडर डालकर 2 मिनट तक पकाएं। अब पिसा हुआ मिश्रण डालें और 3 से"&amp;" 4 मिनट तक पकाएं। इसमें टमाटर प्यूरी डालें और उबलने दें। उबलने के बाद इसमें क्रीम डालकर मिक्स करें। 1 मिनट बाद इसमें सब्जियां डालें, पैन को ढक दें और 5 मिनट तक पकाएं मिनट। अगर आपको ज़्यादा ग्रेवी चाहिए तो थोड़ा दूध डालें और मिलाएँ। ऊपर से मक्खन डालें और प"&amp;"रोसें। वेज मक्खनवाला रेसिपी को लौकी रायता, दाल तड़का, जीरा राइस और फुल्के के साथ किसी ख़ास मौके पर परोसें।")</f>
        <v>"वेज मक्खनवाला रेसिपी बनाने के लिए सबसे पहले एक पैन में मक्खन गर्म करें। इसमें गाजर, शिमला मिर्च, बेबी कॉर्न, बीन्स, फूलगोभी डालकर 5 मिनट तक पकाएं। नरम होने तक न पकाएं, सब्जियों में थोड़ा क्रंच होना चाहिए। गैस बंद करके एक तरफ रख दें। एक पैन में मक्खन गर्म करें। इसमें दालचीनी, लौंग, इलायची, काली मिर्च, सूखी लाल मिर्च, धनिया के बीज, काजू डालकर 2 मिनट तक पकाएं। 2 मिनट बाद इसमें लहसुन, अदरक, हरी मिर्च, प्याज डालें और प्याज के सुनहरा भूरा होने तक पकाएं। गैस बंद कर दें और मिश्रण को ठंडा होने दें। इस मिश्रण को मिक्सर जार में थोड़े पानी के साथ डालें और पीसकर पेस्ट बना लें। इसे एक बाउल में निकाल कर एक तरफ रख दें। एक पैन में मक्खन गर्म करें। इसमें नमक, हल्दी पाउडर, लाल मिर्च पाउडर, जीरा पाउडर, गरम मसाला पाउडर डालकर 2 मिनट तक पकाएं। अब पिसा हुआ मिश्रण डालें और 3 से 4 मिनट तक पकाएं। इसमें टमाटर प्यूरी डालें और उबलने दें। उबलने के बाद इसमें क्रीम डालकर मिक्स करें। 1 मिनट बाद इसमें सब्जियां डालें, पैन को ढक दें और 5 मिनट तक पकाएं मिनट। अगर आपको ज़्यादा ग्रेवी चाहिए तो थोड़ा दूध डालें और मिलाएँ। ऊपर से मक्खन डालें और परोसें। वेज मक्खनवाला रेसिपी को लौकी रायता, दाल तड़का, जीरा राइस और फुल्के के साथ किसी ख़ास मौके पर परोसें।</v>
      </c>
      <c r="J336" s="3" t="s">
        <v>32341</v>
      </c>
      <c r="L336" s="1" t="s">
        <v>31003</v>
      </c>
    </row>
    <row r="337" spans="1:12" ht="13.8">
      <c r="A337" s="1" t="s">
        <v>32342</v>
      </c>
      <c r="B337" s="1" t="str">
        <f ca="1">IFERROR(__xludf.dummyfunction("IF(A337="""", """", GOOGLETRANSLATE(A337, ""en"", ""hi""))"),"पालक पूरी रेसिपी (कुरकुरी पालक पूरी स्नैक)")</f>
        <v>पालक पूरी रेसिपी (कुरकुरी पालक पूरी स्नैक)</v>
      </c>
      <c r="C337" s="1" t="s">
        <v>14281</v>
      </c>
      <c r="D337" s="1" t="s">
        <v>14198</v>
      </c>
      <c r="E337" s="1">
        <v>30</v>
      </c>
      <c r="F337" s="1" t="s">
        <v>32343</v>
      </c>
      <c r="G337" s="1" t="str">
        <f ca="1">IFERROR(__xludf.dummyfunction("IF(F337="""", """", GOOGLETRANSLATE(F337, ""en"", ""hi""))"),"3 कप गेहूं का आटा, 2 कप पालक के पत्ते (पालक) - बारीक कटा हुआ, 1 बड़ा चम्मच अदरक - पेस्ट, 1 बड़ा चम्मच हरी मिर्च - पेस्ट, 3 बड़े चम्मच घी - या मक्खन, नमक - स्वादानुसार")</f>
        <v>3 कप गेहूं का आटा, 2 कप पालक के पत्ते (पालक) - बारीक कटा हुआ, 1 बड़ा चम्मच अदरक - पेस्ट, 1 बड़ा चम्मच हरी मिर्च - पेस्ट, 3 बड़े चम्मच घी - या मक्खन, नमक - स्वादानुसार</v>
      </c>
      <c r="H337" s="1" t="s">
        <v>32344</v>
      </c>
      <c r="I337" s="1" t="str">
        <f ca="1">IFERROR(__xludf.dummyfunction("IF(H337="""", """", GOOGLETRANSLATE(H337, ""en"", ""hi""))"),"बारीक कटी पालक को धोकर सुखा लें। गेहूँ का आटा लें, उसमें नमक, घी, अदरक का पेस्ट, मिर्च का पेस्ट डालकर अच्छी तरह मिलाएँ। अब पालक डालें और बिना पानी डाले आटा गूंथ लें। मैंने आटा गूंथने में सिर्फ़ 4 से 5 बड़े चम्मच पानी का इस्तेमाल किया है। इससे सख्त आटा गूं"&amp;"थ लें। आटे को आराम न दें, तुरंत उसमें से मध्यम आकार की पूरी बेल लें। पतली पूरी बेल लें। इस बीच तलने के लिए तेल गरम करें। फिर पूरी को बहुत धीमी आँच पर तल लें। इसमें ज़्यादा समय लग सकता है, लेकिन पूरी को कुरकुरा बनाने के लिए यह ज़रूरी है। सुनहरा भूरा होने त"&amp;"क तलें। जब यह पूरी तरह ठंडा हो जाए, तो इसे एयर टाइट कंटेनर में भरकर रख लें। पालक पूरी को चाय के नाश्ते के तौर पर गरमागरम मसाला चाय के साथ सर्व करें।")</f>
        <v>बारीक कटी पालक को धोकर सुखा लें। गेहूँ का आटा लें, उसमें नमक, घी, अदरक का पेस्ट, मिर्च का पेस्ट डालकर अच्छी तरह मिलाएँ। अब पालक डालें और बिना पानी डाले आटा गूंथ लें। मैंने आटा गूंथने में सिर्फ़ 4 से 5 बड़े चम्मच पानी का इस्तेमाल किया है। इससे सख्त आटा गूंथ लें। आटे को आराम न दें, तुरंत उसमें से मध्यम आकार की पूरी बेल लें। पतली पूरी बेल लें। इस बीच तलने के लिए तेल गरम करें। फिर पूरी को बहुत धीमी आँच पर तल लें। इसमें ज़्यादा समय लग सकता है, लेकिन पूरी को कुरकुरा बनाने के लिए यह ज़रूरी है। सुनहरा भूरा होने तक तलें। जब यह पूरी तरह ठंडा हो जाए, तो इसे एयर टाइट कंटेनर में भरकर रख लें। पालक पूरी को चाय के नाश्ते के तौर पर गरमागरम मसाला चाय के साथ सर्व करें।</v>
      </c>
      <c r="J337" s="3" t="s">
        <v>32345</v>
      </c>
      <c r="L337" s="1" t="s">
        <v>31003</v>
      </c>
    </row>
    <row r="338" spans="1:12" ht="13.8">
      <c r="A338" s="1" t="s">
        <v>32346</v>
      </c>
      <c r="B338" s="1" t="str">
        <f ca="1">IFERROR(__xludf.dummyfunction("IF(A338="""", """", GOOGLETRANSLATE(A338, ""en"", ""hi""))"),"तंदूरी मेयो के साथ मलाईदार कुल्फी कबाब रेसिपी")</f>
        <v>तंदूरी मेयो के साथ मलाईदार कुल्फी कबाब रेसिपी</v>
      </c>
      <c r="C338" s="1" t="s">
        <v>14572</v>
      </c>
      <c r="D338" s="1" t="s">
        <v>14198</v>
      </c>
      <c r="E338" s="1">
        <v>60</v>
      </c>
      <c r="F338" s="1" t="s">
        <v>32347</v>
      </c>
      <c r="G338" s="1" t="str">
        <f ca="1">IFERROR(__xludf.dummyfunction("IF(F338="""", """", GOOGLETRANSLATE(F338, ""en"", ""hi""))"),"8 चिकन विंग्स, 1/4 कप डेल मोंटे तंदूरी मेयो, 1/4 बड़ा चम्मच पनीर - कसा हुआ, 1 बड़ा चम्मच ताजा क्रीम, 1 इंच अदरक - कसा हुआ, 3 लौंग लहसुन - कसा हुआ, 1 बड़ा चम्मच नींबू का रस, 1 बड़ा चम्मच दही (दही), 1 बड़ा चम्मच सरसों का तेल, नमक - स्वादानुसार, 1 केले का पत"&amp;"्ता")</f>
        <v>8 चिकन विंग्स, 1/4 कप डेल मोंटे तंदूरी मेयो, 1/4 बड़ा चम्मच पनीर - कसा हुआ, 1 बड़ा चम्मच ताजा क्रीम, 1 इंच अदरक - कसा हुआ, 3 लौंग लहसुन - कसा हुआ, 1 बड़ा चम्मच नींबू का रस, 1 बड़ा चम्मच दही (दही), 1 बड़ा चम्मच सरसों का तेल, नमक - स्वादानुसार, 1 केले का पत्ता</v>
      </c>
      <c r="H338" s="1" t="s">
        <v>32348</v>
      </c>
      <c r="I338" s="1" t="str">
        <f ca="1">IFERROR(__xludf.dummyfunction("IF(H338="""", """", GOOGLETRANSLATE(H338, ""en"", ""hi""))"),"तंदूरी मेयो के साथ क्रीमी कुल्फी कबाब बनाने के लिए चिकन विंग्स को धोकर साफ कर लें और एक तरफ रख दें। एक मिक्सिंग बाउल में डेल मोंटे तंदूरी मेयो, अदरक लहसुन पेस्ट, नींबू का रस, खट्टा दही, क्रीम, सरसों का तेल और नमक डालें। इन्हें मिलाकर एक महीन पेस्ट बना लें"&amp;"। चिकन विंग्स को मेयो मिक्स में डालें और अच्छी तरह से कोट करें। बाउल को क्लिंग रैप करें और मैरिनेट को लगभग 30 मिनट के लिए फ्रिज में रख दें। एक बड़ा केले का पत्ता लें और 10""x10"" इंच के 4 चौकोर टुकड़ों में काट लें। बीच की पसली/तना हटा दें। स्टोव चालू करें"&amp;" और केले के पत्ते के चौकोर टुकड़े को चिमटे से पकड़कर आंच पर रखें। कुछ सेकंड के लिए पलटते रहें। इससे पत्ता नरम हो जाएगा और मोड़ते समय फटेगा नहीं। दूसरे पत्तों के टुकड़ों के लिए भी यही स्टेप अपनाएँ और एक तरफ रख दें। मैरिनेट किए हुए चिकन विंग्स और थोड़ा कसा "&amp;"हुआ पनीर लें। एक केले के पत्ते में एक बार में दो पंख रखें। एक लिफाफा बनाने के लिए किनारों को अंदर की ओर मोड़ें, लिफाफे को दोनों तरफ से एक धागे से बांधें ताकि वह खुले नहीं। इसी तरह अधिक पैकेट तैयार करें और एक तरफ रख दें। एक नॉन स्टिक पैन गरम करें और इसे थो"&amp;"ड़े से तेल से अच्छी तरह चिकना करें। एक बार पैन गर्म हो जाने पर, तैयार केले के पैकेट (एक बार में दो) रखें, ढक्कन को ढक दें और धीमी आंच पर तब तक पकाएं जब तक कि पत्ते का रंग हल्का भूरा न हो जाए। केले के पत्ते के पैकेट को पलटें और इसी तरह दूसरी तरफ से भी पकाए"&amp;"ं। चिकन को अच्छी तरह से पकने में 15 से 20 मिनट लग सकते हैं। परोसने से पहले रैप को न खोलें, खाने से ठीक पहले रैप को खोलें।")</f>
        <v>तंदूरी मेयो के साथ क्रीमी कुल्फी कबाब बनाने के लिए चिकन विंग्स को धोकर साफ कर लें और एक तरफ रख दें। एक मिक्सिंग बाउल में डेल मोंटे तंदूरी मेयो, अदरक लहसुन पेस्ट, नींबू का रस, खट्टा दही, क्रीम, सरसों का तेल और नमक डालें। इन्हें मिलाकर एक महीन पेस्ट बना लें। चिकन विंग्स को मेयो मिक्स में डालें और अच्छी तरह से कोट करें। बाउल को क्लिंग रैप करें और मैरिनेट को लगभग 30 मिनट के लिए फ्रिज में रख दें। एक बड़ा केले का पत्ता लें और 10"x10" इंच के 4 चौकोर टुकड़ों में काट लें। बीच की पसली/तना हटा दें। स्टोव चालू करें और केले के पत्ते के चौकोर टुकड़े को चिमटे से पकड़कर आंच पर रखें। कुछ सेकंड के लिए पलटते रहें। इससे पत्ता नरम हो जाएगा और मोड़ते समय फटेगा नहीं। दूसरे पत्तों के टुकड़ों के लिए भी यही स्टेप अपनाएँ और एक तरफ रख दें। मैरिनेट किए हुए चिकन विंग्स और थोड़ा कसा हुआ पनीर लें। एक केले के पत्ते में एक बार में दो पंख रखें। एक लिफाफा बनाने के लिए किनारों को अंदर की ओर मोड़ें, लिफाफे को दोनों तरफ से एक धागे से बांधें ताकि वह खुले नहीं। इसी तरह अधिक पैकेट तैयार करें और एक तरफ रख दें। एक नॉन स्टिक पैन गरम करें और इसे थोड़े से तेल से अच्छी तरह चिकना करें। एक बार पैन गर्म हो जाने पर, तैयार केले के पैकेट (एक बार में दो) रखें, ढक्कन को ढक दें और धीमी आंच पर तब तक पकाएं जब तक कि पत्ते का रंग हल्का भूरा न हो जाए। केले के पत्ते के पैकेट को पलटें और इसी तरह दूसरी तरफ से भी पकाएं। चिकन को अच्छी तरह से पकने में 15 से 20 मिनट लग सकते हैं। परोसने से पहले रैप को न खोलें, खाने से ठीक पहले रैप को खोलें।</v>
      </c>
      <c r="J338" s="3" t="s">
        <v>32349</v>
      </c>
      <c r="L338" s="1" t="s">
        <v>31003</v>
      </c>
    </row>
    <row r="339" spans="1:12" ht="13.8">
      <c r="A339" s="1" t="s">
        <v>32350</v>
      </c>
      <c r="B339" s="1" t="str">
        <f ca="1">IFERROR(__xludf.dummyfunction("IF(A339="""", """", GOOGLETRANSLATE(A339, ""en"", ""hi""))"),"मूंग दाल सूखी सब्जी रेसिपी")</f>
        <v>मूंग दाल सूखी सब्जी रेसिपी</v>
      </c>
      <c r="C339" s="1" t="s">
        <v>429</v>
      </c>
      <c r="D339" s="1" t="s">
        <v>14237</v>
      </c>
      <c r="E339" s="1">
        <v>30</v>
      </c>
      <c r="F339" s="1" t="s">
        <v>32351</v>
      </c>
      <c r="G339" s="1" t="str">
        <f ca="1">IFERROR(__xludf.dummyfunction("IF(F339="""", """", GOOGLETRANSLATE(F339, ""en"", ""hi""))"),"1 कप पीली मूंग दाल, 1 बड़ा चम्मच लाल मिर्च पाउडर, 1/2 छोटा चम्मच हल्दी पाउडर, 1 छोटा चम्मच गरम मसाला पाउडर, नमक - स्वादानुसार, 2 बड़े चम्मच सूरजमुखी तेल, 1 हरी मिर्च, 1 बड़ा चम्मच नींबू का रस, धनिया पत्ती - गार्निश के लिए आवश्यकतानुसार")</f>
        <v>1 कप पीली मूंग दाल, 1 बड़ा चम्मच लाल मिर्च पाउडर, 1/2 छोटा चम्मच हल्दी पाउडर, 1 छोटा चम्मच गरम मसाला पाउडर, नमक - स्वादानुसार, 2 बड़े चम्मच सूरजमुखी तेल, 1 हरी मिर्च, 1 बड़ा चम्मच नींबू का रस, धनिया पत्ती - गार्निश के लिए आवश्यकतानुसार</v>
      </c>
      <c r="H339" s="1" t="s">
        <v>32352</v>
      </c>
      <c r="I339" s="1" t="str">
        <f ca="1">IFERROR(__xludf.dummyfunction("IF(H339="""", """", GOOGLETRANSLATE(H339, ""en"", ""hi""))"),"मूंग दाल सूखी सब्ज़ी बनाने के लिए सबसे पहले मूंग दाल को धोकर अलग रख दें। एक गहरे पैन में तेल गरम करें और उसमें लाल मिर्च पाउडर, हल्दी पाउडर और नमक डालें। इसे 10-12 सेकंड तक चलाएँ। मसाले जलने न दें। 10-12 सेकंड के बाद, इसमें धुली हुई दाल डालें और अच्छी तरह"&amp;" चलाएँ। दाल को ढकने के लिए पर्याप्त पानी डालें, आँच कम करें और पैन को ढक्कन से ढक दें। दाल को तब तक पकाएँ जब तक पानी सूख न जाए। जाँच करें कि दाल पक गई है या नहीं, अगर नहीं तो थोड़ा और पानी डालें और दाल के अच्छी तरह पकने तक पकाएँ। ध्यान रखें कि दाल ज़्यादा"&amp;" न पक जाए। पक जाने के बाद, ढक्कन खोलें, आँच तेज़ करें, गरम मसाला पाउडर डालें और अच्छी तरह चलाएँ। मूंग दाल सूखी सब्ज़ी को तब तक भूनें जब तक यह पूरी तरह सूख न जाए। दाल के पूरी तरह सूख जाने के बाद आंच बंद कर दें और इसे सर्विंग बाउल में डालें, ऊपर से कटी हरी "&amp;"मिर्च, धनिया पत्ती और नींबू का रस डालें। मूंग दाल सूखी सब्जी रेसिपी को लौकी रायता, फुल्के और कचुम्बर सलाद के साथ लंच या डिनर में परोसें।")</f>
        <v>मूंग दाल सूखी सब्ज़ी बनाने के लिए सबसे पहले मूंग दाल को धोकर अलग रख दें। एक गहरे पैन में तेल गरम करें और उसमें लाल मिर्च पाउडर, हल्दी पाउडर और नमक डालें। इसे 10-12 सेकंड तक चलाएँ। मसाले जलने न दें। 10-12 सेकंड के बाद, इसमें धुली हुई दाल डालें और अच्छी तरह चलाएँ। दाल को ढकने के लिए पर्याप्त पानी डालें, आँच कम करें और पैन को ढक्कन से ढक दें। दाल को तब तक पकाएँ जब तक पानी सूख न जाए। जाँच करें कि दाल पक गई है या नहीं, अगर नहीं तो थोड़ा और पानी डालें और दाल के अच्छी तरह पकने तक पकाएँ। ध्यान रखें कि दाल ज़्यादा न पक जाए। पक जाने के बाद, ढक्कन खोलें, आँच तेज़ करें, गरम मसाला पाउडर डालें और अच्छी तरह चलाएँ। मूंग दाल सूखी सब्ज़ी को तब तक भूनें जब तक यह पूरी तरह सूख न जाए। दाल के पूरी तरह सूख जाने के बाद आंच बंद कर दें और इसे सर्विंग बाउल में डालें, ऊपर से कटी हरी मिर्च, धनिया पत्ती और नींबू का रस डालें। मूंग दाल सूखी सब्जी रेसिपी को लौकी रायता, फुल्के और कचुम्बर सलाद के साथ लंच या डिनर में परोसें।</v>
      </c>
      <c r="J339" s="3" t="s">
        <v>32353</v>
      </c>
      <c r="L339" s="1" t="s">
        <v>31003</v>
      </c>
    </row>
    <row r="340" spans="1:12" ht="13.8">
      <c r="A340" s="1" t="s">
        <v>32354</v>
      </c>
      <c r="B340" s="1" t="str">
        <f ca="1">IFERROR(__xludf.dummyfunction("IF(A340="""", """", GOOGLETRANSLATE(A340, ""en"", ""hi""))"),"भिन्डी और पनीर मसाला रेसिपी")</f>
        <v>भिन्डी और पनीर मसाला रेसिपी</v>
      </c>
      <c r="C340" s="1" t="s">
        <v>14207</v>
      </c>
      <c r="D340" s="1" t="s">
        <v>14198</v>
      </c>
      <c r="E340" s="1">
        <v>40</v>
      </c>
      <c r="F340" s="1" t="s">
        <v>32355</v>
      </c>
      <c r="G340" s="1" t="str">
        <f ca="1">IFERROR(__xludf.dummyfunction("IF(F340="""", """", GOOGLETRANSLATE(F340, ""en"", ""hi""))"),"150 ग्राम भिंडी - इंच के टुकड़ों में कटी हुई, 1 कप पनीर - टुकड़ों में कटा हुआ, 1 प्याज - कटा हुआ, 1 तेज पत्ता, 1 चम्मच लाल मिर्च पाउडर, 1/2 चम्मच हल्दी पाउडर, 2 चम्मच धनिया पाउडर, 1 चम्मच चीनी, नमक - स्वादानुसार, सूरजमुखी तेल - पकाने के लिए, 2 टमाटर - कटे"&amp;" हुए, 2 लौंग, 1 इंच दालचीनी, 1 इलायची, 4 लहसुन के टुकड़े, 1 इंच अदरक, 1 बड़ा चम्मच हंग कर्ड (ग्रीक योगर्ट)")</f>
        <v>150 ग्राम भिंडी - इंच के टुकड़ों में कटी हुई, 1 कप पनीर - टुकड़ों में कटा हुआ, 1 प्याज - कटा हुआ, 1 तेज पत्ता, 1 चम्मच लाल मिर्च पाउडर, 1/2 चम्मच हल्दी पाउडर, 2 चम्मच धनिया पाउडर, 1 चम्मच चीनी, नमक - स्वादानुसार, सूरजमुखी तेल - पकाने के लिए, 2 टमाटर - कटे हुए, 2 लौंग, 1 इंच दालचीनी, 1 इलायची, 4 लहसुन के टुकड़े, 1 इंच अदरक, 1 बड़ा चम्मच हंग कर्ड (ग्रीक योगर्ट)</v>
      </c>
      <c r="H340" s="1" t="s">
        <v>32356</v>
      </c>
      <c r="I340" s="1" t="str">
        <f ca="1">IFERROR(__xludf.dummyfunction("IF(H340="""", """", GOOGLETRANSLATE(H340, ""en"", ""hi""))"),"भिंडी और पनीर मसाला रेसिपी बनाने के लिए सबसे पहले टमाटर को दालचीनी, इलायची, लौंग, लहसुन, अदरक और दही के साथ पीसकर मुलायम पेस्ट बना लें। एक कढ़ाई में तेल गर्म करें, उसमें कटी हुई भिंडी डालें और नरम और कुरकुरी होने तक भूनें। थोड़ा नमक भी छिड़कें और भूनें। इ"&amp;"से एक तरफ रख दें। उसी कढ़ाई में थोड़ा और तेल डालें, तेज पत्ता, कटा हुआ प्याज डालें और पारदर्शी होने तक भूनें। पिसा हुआ पेस्ट हल्दी पाउडर, लाल मिर्च पाउडर, धनिया पाउडर, चीनी और नमक के साथ डालें। अच्छी तरह मिलाएँ और टमाटर की कच्ची महक जाने तक भूनें। कटी हुई"&amp;" भिंडी और पनीर डालें और अच्छी तरह मिलाएँ। नमक की जाँच करें और ढक्कन से ढक दें और भिंडी और पनीर मसाला को 2 मिनट तक पकाएं")</f>
        <v>भिंडी और पनीर मसाला रेसिपी बनाने के लिए सबसे पहले टमाटर को दालचीनी, इलायची, लौंग, लहसुन, अदरक और दही के साथ पीसकर मुलायम पेस्ट बना लें। एक कढ़ाई में तेल गर्म करें, उसमें कटी हुई भिंडी डालें और नरम और कुरकुरी होने तक भूनें। थोड़ा नमक भी छिड़कें और भूनें। इसे एक तरफ रख दें। उसी कढ़ाई में थोड़ा और तेल डालें, तेज पत्ता, कटा हुआ प्याज डालें और पारदर्शी होने तक भूनें। पिसा हुआ पेस्ट हल्दी पाउडर, लाल मिर्च पाउडर, धनिया पाउडर, चीनी और नमक के साथ डालें। अच्छी तरह मिलाएँ और टमाटर की कच्ची महक जाने तक भूनें। कटी हुई भिंडी और पनीर डालें और अच्छी तरह मिलाएँ। नमक की जाँच करें और ढक्कन से ढक दें और भिंडी और पनीर मसाला को 2 मिनट तक पकाएं</v>
      </c>
      <c r="J340" s="3" t="s">
        <v>32357</v>
      </c>
      <c r="L340" s="1" t="s">
        <v>31003</v>
      </c>
    </row>
    <row r="341" spans="1:12" ht="13.8">
      <c r="A341" s="1" t="s">
        <v>32358</v>
      </c>
      <c r="B341" s="1" t="str">
        <f ca="1">IFERROR(__xludf.dummyfunction("IF(A341="""", """", GOOGLETRANSLATE(A341, ""en"", ""hi""))"),"लहसुन तड़का के साथ कद्दू दाल ")</f>
        <v xml:space="preserve">लहसुन तड़का के साथ कद्दू दाल </v>
      </c>
      <c r="C341" s="1" t="s">
        <v>429</v>
      </c>
      <c r="D341" s="1" t="s">
        <v>14338</v>
      </c>
      <c r="E341" s="1">
        <v>45</v>
      </c>
      <c r="F341" s="1" t="s">
        <v>32359</v>
      </c>
      <c r="G341" s="1" t="str">
        <f ca="1">IFERROR(__xludf.dummyfunction("IF(F341="""", """", GOOGLETRANSLATE(F341, ""en"", ""hi""))"),"1/4 कप अरहर दाल, 1/4 कप पीली मूंग दाल, 1/4 कप मसूर दाल, 1 इंच अदरक - कद्दूकस किया हुआ, 2 हरी मिर्च - कटी हुई, 1 इंच दालचीनी, 1 तेज पत्ता, 2 टमाटर - बारीक कटे हुए, 250 ग्राम कद्दू - छिला व कटा हुआ, नमक - स्वादानुसार, तेल - प्रयोगानुसार, 1 छोटा चम्मच हल्दी "&amp;"पाउडर, 1 छोटा चम्मच घी, 1 छोटा चम्मच जीरा, 4 लहसुन की कलियां, 2 सूखी लाल मिर्च")</f>
        <v>1/4 कप अरहर दाल, 1/4 कप पीली मूंग दाल, 1/4 कप मसूर दाल, 1 इंच अदरक - कद्दूकस किया हुआ, 2 हरी मिर्च - कटी हुई, 1 इंच दालचीनी, 1 तेज पत्ता, 2 टमाटर - बारीक कटे हुए, 250 ग्राम कद्दू - छिला व कटा हुआ, नमक - स्वादानुसार, तेल - प्रयोगानुसार, 1 छोटा चम्मच हल्दी पाउडर, 1 छोटा चम्मच घी, 1 छोटा चम्मच जीरा, 4 लहसुन की कलियां, 2 सूखी लाल मिर्च</v>
      </c>
      <c r="H341" s="1" t="s">
        <v>32360</v>
      </c>
      <c r="I341" s="1" t="str">
        <f ca="1">IFERROR(__xludf.dummyfunction("IF(H341="""", """", GOOGLETRANSLATE(H341, ""en"", ""hi""))"),"""कद्दू दाल लहसुन तड़का बनाने के लिए सबसे पहले दाल को प्रेशर कुकर में पका लें। तड़के की सामग्री को छोड़कर बाकी सारी सामग्री कुकर में डाल दें। 2-1/2 कप पानी और स्वादानुसार नमक डालें। मिलाएँ, कुकर बंद करें और 2 सीटी आने तक पकाएँ। 2 सीटी आने के बाद, आँच धीमी"&amp;" कर दें और 4 मिनट तक पकने दें। गैस बंद कर दें और प्रेशर निकलने दें। प्रेशर निकलने के बाद, कुकर खोलें और दाल को मिलाएँ। इसे एक प्याले में निकाल लें। अब हम दाल के लिए तड़का लगाएँगे। एक छोटे पैन में घी गरम करें। इसमें जीरा, लहसुन और सूखी लाल मिर्च डालें। 15 "&amp;"सेकंड तक पकाएँ और फिर इस तड़के को दाल के ऊपर डालें। मिलाएँ और परोसें। कद्दू दाल तड़का को बूंदी रायता और भाकरी के साथ लंच में परोसें।""")</f>
        <v>"कद्दू दाल लहसुन तड़का बनाने के लिए सबसे पहले दाल को प्रेशर कुकर में पका लें। तड़के की सामग्री को छोड़कर बाकी सारी सामग्री कुकर में डाल दें। 2-1/2 कप पानी और स्वादानुसार नमक डालें। मिलाएँ, कुकर बंद करें और 2 सीटी आने तक पकाएँ। 2 सीटी आने के बाद, आँच धीमी कर दें और 4 मिनट तक पकने दें। गैस बंद कर दें और प्रेशर निकलने दें। प्रेशर निकलने के बाद, कुकर खोलें और दाल को मिलाएँ। इसे एक प्याले में निकाल लें। अब हम दाल के लिए तड़का लगाएँगे। एक छोटे पैन में घी गरम करें। इसमें जीरा, लहसुन और सूखी लाल मिर्च डालें। 15 सेकंड तक पकाएँ और फिर इस तड़के को दाल के ऊपर डालें। मिलाएँ और परोसें। कद्दू दाल तड़का को बूंदी रायता और भाकरी के साथ लंच में परोसें।"</v>
      </c>
      <c r="J341" s="3" t="s">
        <v>32361</v>
      </c>
      <c r="L341" s="1" t="s">
        <v>31003</v>
      </c>
    </row>
    <row r="342" spans="1:12" ht="13.8">
      <c r="A342" s="1" t="s">
        <v>32362</v>
      </c>
      <c r="B342" s="1" t="str">
        <f ca="1">IFERROR(__xludf.dummyfunction("IF(A342="""", """", GOOGLETRANSLATE(A342, ""en"", ""hi""))"),"नवाबी मिक्स वेजिटेबल ग्रेवी रेसिपी")</f>
        <v>नवाबी मिक्स वेजिटेबल ग्रेवी रेसिपी</v>
      </c>
      <c r="C342" s="1" t="s">
        <v>145</v>
      </c>
      <c r="D342" s="1" t="s">
        <v>14198</v>
      </c>
      <c r="E342" s="1">
        <v>60</v>
      </c>
      <c r="F342" s="1" t="s">
        <v>32363</v>
      </c>
      <c r="G342" s="1" t="str">
        <f ca="1">IFERROR(__xludf.dummyfunction("IF(F342="""", """", GOOGLETRANSLATE(F342, ""en"", ""hi""))"),"1/2 कप फूलगोभी, 1/4 कप हरी बीन्स (फ्रेंच बीन्स) - एक इंच के टुकड़ों में कटी हुई, 1/4 कप गाजर - क्यूब्स में कटी हुई, 1/4 कप हरी मटर (मटर), 1 तेज पत्ता, 2 से 3 लौंग, 1 इंच दालचीनी, 1 प्याज - कटा हुआ, 1 टमाटर - मोटा कटा हुआ, 1 हरी मिर्च - कटी हुई, 2 चम्मच धन"&amp;"िया पाउडर, 1 चम्मच लाल मिर्च पाउडर, 1 चम्मच गरम मसाला पाउडर, धनिया (धनिया) के पत्ते - गार्निश के लिए बारीक कटे हुए, 2 बड़े चम्मच घी, 8 से 10 काजू - उबले हुए, 1 प्याज - उबले हुए, 1 टमाटर, 2 से 3 लहसुन, 2 इंच अदरक, 1/2 चम्मच जीरा")</f>
        <v>1/2 कप फूलगोभी, 1/4 कप हरी बीन्स (फ्रेंच बीन्स) - एक इंच के टुकड़ों में कटी हुई, 1/4 कप गाजर - क्यूब्स में कटी हुई, 1/4 कप हरी मटर (मटर), 1 तेज पत्ता, 2 से 3 लौंग, 1 इंच दालचीनी, 1 प्याज - कटा हुआ, 1 टमाटर - मोटा कटा हुआ, 1 हरी मिर्च - कटी हुई, 2 चम्मच धनिया पाउडर, 1 चम्मच लाल मिर्च पाउडर, 1 चम्मच गरम मसाला पाउडर, धनिया (धनिया) के पत्ते - गार्निश के लिए बारीक कटे हुए, 2 बड़े चम्मच घी, 8 से 10 काजू - उबले हुए, 1 प्याज - उबले हुए, 1 टमाटर, 2 से 3 लहसुन, 2 इंच अदरक, 1/2 चम्मच जीरा</v>
      </c>
      <c r="H342" s="1" t="s">
        <v>32364</v>
      </c>
      <c r="I342" s="1" t="str">
        <f ca="1">IFERROR(__xludf.dummyfunction("IF(H342="""", """", GOOGLETRANSLATE(H342, ""en"", ""hi""))"),"नवाबी मिक्स वेजिटेबल ग्रेवी बनाने के लिए, काजू और प्याज को 2 मिनट के लिए गर्म पानी में उबालें और फिर छान लें। एक मिक्सर ग्राइंडर में बहुत कम पानी का उपयोग करके, उबले हुए काजू और प्याज को कटे हुए टमाटर, अदरक, लहसुन और जीरा के साथ मुलायम पेस्ट बना लें और एक"&amp;" तरफ रख दें। एक कड़ाही में घी गर्म करें, उसमें तेज पत्ता, लौंग और दालचीनी सहित साबुत मसाले डालें और इसका स्वाद घी में आने दें। कटा हुआ प्याज डालें और सुनहरा भूरा होने तक भूनें। कटा हुआ टमाटर और हरी मिर्च डालें और कुछ मिनट तक चलाएँ। अब कटी हुई सब्जियाँ डाल"&amp;"ें और अच्छी तरह मिलाएँ। धनिया, मिर्च और गरम मसाला पाउडर सहित सूखे मसाले पाउडर डालें और अच्छी तरह मिलाएँ। थोड़ा नमक डालें, 1/2 कप पानी डालें और सब्जियों को ढक्कन बंद करके पकने दें। जब सब्जियाँ अच्छी तरह पक जाएँ तो पिसा हुआ मसाला पेस्ट पैन में डालें और अच्छ"&amp;"ी तरह मिलाएँ। नमक के मसाले की जाँच करें और 10 मिनट तक पकाएँ जब तक कि सब्जियाँ ग्रेवी में अच्छी तरह मिल न जाएँ। आँच बंद कर दें और बारीक कटे हरे धनिये से गार्निश करें। नवाबी मिक्स वेजिटेबल ग्रेवी को अपनी किसी हाउस पार्टी के लंच मेनू में रोटी, पुदीना तवा परा"&amp;"ठा या जीरा राइस के साथ परोसें।")</f>
        <v>नवाबी मिक्स वेजिटेबल ग्रेवी बनाने के लिए, काजू और प्याज को 2 मिनट के लिए गर्म पानी में उबालें और फिर छान लें। एक मिक्सर ग्राइंडर में बहुत कम पानी का उपयोग करके, उबले हुए काजू और प्याज को कटे हुए टमाटर, अदरक, लहसुन और जीरा के साथ मुलायम पेस्ट बना लें और एक तरफ रख दें। एक कड़ाही में घी गर्म करें, उसमें तेज पत्ता, लौंग और दालचीनी सहित साबुत मसाले डालें और इसका स्वाद घी में आने दें। कटा हुआ प्याज डालें और सुनहरा भूरा होने तक भूनें। कटा हुआ टमाटर और हरी मिर्च डालें और कुछ मिनट तक चलाएँ। अब कटी हुई सब्जियाँ डालें और अच्छी तरह मिलाएँ। धनिया, मिर्च और गरम मसाला पाउडर सहित सूखे मसाले पाउडर डालें और अच्छी तरह मिलाएँ। थोड़ा नमक डालें, 1/2 कप पानी डालें और सब्जियों को ढक्कन बंद करके पकने दें। जब सब्जियाँ अच्छी तरह पक जाएँ तो पिसा हुआ मसाला पेस्ट पैन में डालें और अच्छी तरह मिलाएँ। नमक के मसाले की जाँच करें और 10 मिनट तक पकाएँ जब तक कि सब्जियाँ ग्रेवी में अच्छी तरह मिल न जाएँ। आँच बंद कर दें और बारीक कटे हरे धनिये से गार्निश करें। नवाबी मिक्स वेजिटेबल ग्रेवी को अपनी किसी हाउस पार्टी के लंच मेनू में रोटी, पुदीना तवा पराठा या जीरा राइस के साथ परोसें।</v>
      </c>
      <c r="J342" s="3" t="s">
        <v>32365</v>
      </c>
      <c r="L342" s="1" t="s">
        <v>31003</v>
      </c>
    </row>
    <row r="343" spans="1:12" ht="13.8">
      <c r="A343" s="1" t="s">
        <v>32366</v>
      </c>
      <c r="B343" s="1" t="str">
        <f ca="1">IFERROR(__xludf.dummyfunction("IF(A343="""", """", GOOGLETRANSLATE(A343, ""en"", ""hi""))"),"लोबिया कबाब रेसिपी (ब्लैक आईड बीन पैटीज़)")</f>
        <v>लोबिया कबाब रेसिपी (ब्लैक आईड बीन पैटीज़)</v>
      </c>
      <c r="C343" s="1" t="s">
        <v>14572</v>
      </c>
      <c r="D343" s="1" t="s">
        <v>14198</v>
      </c>
      <c r="E343" s="1">
        <v>55</v>
      </c>
      <c r="F343" s="1" t="s">
        <v>32367</v>
      </c>
      <c r="G343" s="1" t="str">
        <f ca="1">IFERROR(__xludf.dummyfunction("IF(F343="""", """", GOOGLETRANSLATE(F343, ""en"", ""hi""))"),"1 कप लोबिया, 1/4 इंस्टेंट ओट्स (दलिया) - रोल करके पाउडर बनाया हुआ, 1 प्याज - बारीक कटा हुआ, 1/2 लाल शिमला मिर्च - बारीक कटी हुई, 2 हरी मिर्च - बारीक कटी हुई (वैकल्पिक), 2 बड़े चम्मच पुदीना, 2 बड़े चम्मच धनिया, 1 लहसुन - बारीक कटा हुआ, 2 छोटे चम्मच लाल मिर"&amp;"्च पाउडर - (सहनशीलता के अनुसार समायोजित करें), 1 छोटा चम्मच जीरा, 1/2 छोटा चम्मच गरम मसाला पाउडर, नमक - स्वादानुसार, 1 छोटा चम्मच एक्स्ट्रा वर्जिन ऑलिव ऑयल - तलने में सहायता के लिए")</f>
        <v>1 कप लोबिया, 1/4 इंस्टेंट ओट्स (दलिया) - रोल करके पाउडर बनाया हुआ, 1 प्याज - बारीक कटा हुआ, 1/2 लाल शिमला मिर्च - बारीक कटी हुई, 2 हरी मिर्च - बारीक कटी हुई (वैकल्पिक), 2 बड़े चम्मच पुदीना, 2 बड़े चम्मच धनिया, 1 लहसुन - बारीक कटा हुआ, 2 छोटे चम्मच लाल मिर्च पाउडर - (सहनशीलता के अनुसार समायोजित करें), 1 छोटा चम्मच जीरा, 1/2 छोटा चम्मच गरम मसाला पाउडर, नमक - स्वादानुसार, 1 छोटा चम्मच एक्स्ट्रा वर्जिन ऑलिव ऑयल - तलने में सहायता के लिए</v>
      </c>
      <c r="H343" s="1" t="s">
        <v>32368</v>
      </c>
      <c r="I343" s="1" t="str">
        <f ca="1">IFERROR(__xludf.dummyfunction("IF(H343="""", """", GOOGLETRANSLATE(H343, ""en"", ""hi""))"),"लोबिया कबाब रेसिपी (ब्लैक आईड बीन पैटीज) बनाना शुरू करने के लिए, हम सबसे पहले ब्लैक आईड बीन्स को अच्छे से धो लेंगे और रात भर ताजे पानी में भिगो देंगे। एक बार जब ब्लैक आईड बीन्स अच्छी तरह से भिगो जाए, तब बीन्स को तब तक पकाएं जब तक बीन्स नरम और मैश करने योग"&amp;"्य न हो जाएं। बीन्स पकाने के लिए आप सॉस पैन या प्रेशर कुकर का उपयोग कर सकते हैं। यदि आप प्रेशर कुकर का उपयोग कर रहे हैं, तो दो सीटी सुनने तक पकाएं। दो सीटी के बाद, आँच को कम कर दें और लगभग 5 मिनट तक उबालें और फिर आँच बंद कर दें। यदि प्रेशर कुकर का उपयोग क"&amp;"र रहे हैं, तो पहली सीटी आने तक पकाएं, फिर आँच बंद कर दें। प्रेशर कुकर को प्राकृतिक रूप से ठंडा होने दें। ठंडा होने के बाद, अतिरिक्त पानी निकाल दें और बीन्स को एक तरफ रख दें। इस बीच, रोल्ड ओट्स को ग्राइंडर में पीस लें और इसे तैयार रखें। पके हुए बीन्स को एक"&amp;" कटोरे में डालें, कुछ बड़े चम्मच अलग रखें। बीन्स को आलू मैशर या कांटे से मैश करें। एक बड़े मिक्सिंग बाउल में पाउडर ओट्स, बारीक कटा प्याज, लहसुन, ताजा धनिया, पुदीना, लाल और पीली मिर्च और बिना मसले बीन्स डालें। स्वादानुसार नमक, जीरा पाउडर, लाल मिर्च पाउडर औ"&amp;"र गरम मसाला पाउडर डालकर अच्छी तरह मिलाएँ। अपने साफ हाथों से सब कुछ अच्छी तरह मिलाएँ, इसे एक साथ मिलाएँ, थोड़ा सा मैश करें। नमक और मसाले के स्तर की जाँच करें और अपने स्वाद के अनुसार समायोजित करें। अगला कदम एक पैन में कबाब को आकार देना और पकाना है। मिश्रण क"&amp;"ो 2 इंच मोटाई और व्यास के मध्यम पैटी आकार के भागों में विभाजित करें। मध्यम आँच पर एक कड़ाही गरम करें। एक या दो चम्मच तेल डालें, एक साफ़ शोषक रसोई तौलिया का उपयोग करके इसे पूरे तवे पर फैलाएं, इस तरह से कि सतह अच्छी तरह से कोट हो जाए, लेकिन दिखाई न दे। आकार"&amp;" वाले ब्लैक आईड बीन कबाब को तवे पर रखें। कबाब के चारों ओर तेल की कुछ बूंदें छिड़कें। मध्यम आँच पर कबाब को पकाएँ। लगभग 2-3 मिनट के बाद या नीचे की तरफ भूरा होने के बाद, एक सपाट स्पैटुला का उपयोग करके सावधानी से पलटें। फिर से 2-3 मिनट तक या दोनों तरफ से भूरा"&amp;" और कुरकुरा होने तक पकाएं। ब्लैक आईड बीन कबाब को एक शोषक कागज तौलिया पर स्थानांतरित करें। बाकी मिश्रण के साथ भी यही प्रक्रिया दोहराएं। पार्टियों के लिए या बच्चों के स्कूल के बक्से के लिए नाश्ते के रूप में लोबिया कबाब रेसिपी (ब्लैक आईड बीन पैटीज़) को दही ड"&amp;"िप के साथ गरम परोसें।")</f>
        <v>लोबिया कबाब रेसिपी (ब्लैक आईड बीन पैटीज) बनाना शुरू करने के लिए, हम सबसे पहले ब्लैक आईड बीन्स को अच्छे से धो लेंगे और रात भर ताजे पानी में भिगो देंगे। एक बार जब ब्लैक आईड बीन्स अच्छी तरह से भिगो जाए, तब बीन्स को तब तक पकाएं जब तक बीन्स नरम और मैश करने योग्य न हो जाएं। बीन्स पकाने के लिए आप सॉस पैन या प्रेशर कुकर का उपयोग कर सकते हैं। यदि आप प्रेशर कुकर का उपयोग कर रहे हैं, तो दो सीटी सुनने तक पकाएं। दो सीटी के बाद, आँच को कम कर दें और लगभग 5 मिनट तक उबालें और फिर आँच बंद कर दें। यदि प्रेशर कुकर का उपयोग कर रहे हैं, तो पहली सीटी आने तक पकाएं, फिर आँच बंद कर दें। प्रेशर कुकर को प्राकृतिक रूप से ठंडा होने दें। ठंडा होने के बाद, अतिरिक्त पानी निकाल दें और बीन्स को एक तरफ रख दें। इस बीच, रोल्ड ओट्स को ग्राइंडर में पीस लें और इसे तैयार रखें। पके हुए बीन्स को एक कटोरे में डालें, कुछ बड़े चम्मच अलग रखें। बीन्स को आलू मैशर या कांटे से मैश करें। एक बड़े मिक्सिंग बाउल में पाउडर ओट्स, बारीक कटा प्याज, लहसुन, ताजा धनिया, पुदीना, लाल और पीली मिर्च और बिना मसले बीन्स डालें। स्वादानुसार नमक, जीरा पाउडर, लाल मिर्च पाउडर और गरम मसाला पाउडर डालकर अच्छी तरह मिलाएँ। अपने साफ हाथों से सब कुछ अच्छी तरह मिलाएँ, इसे एक साथ मिलाएँ, थोड़ा सा मैश करें। नमक और मसाले के स्तर की जाँच करें और अपने स्वाद के अनुसार समायोजित करें। अगला कदम एक पैन में कबाब को आकार देना और पकाना है। मिश्रण को 2 इंच मोटाई और व्यास के मध्यम पैटी आकार के भागों में विभाजित करें। मध्यम आँच पर एक कड़ाही गरम करें। एक या दो चम्मच तेल डालें, एक साफ़ शोषक रसोई तौलिया का उपयोग करके इसे पूरे तवे पर फैलाएं, इस तरह से कि सतह अच्छी तरह से कोट हो जाए, लेकिन दिखाई न दे। आकार वाले ब्लैक आईड बीन कबाब को तवे पर रखें। कबाब के चारों ओर तेल की कुछ बूंदें छिड़कें। मध्यम आँच पर कबाब को पकाएँ। लगभग 2-3 मिनट के बाद या नीचे की तरफ भूरा होने के बाद, एक सपाट स्पैटुला का उपयोग करके सावधानी से पलटें। फिर से 2-3 मिनट तक या दोनों तरफ से भूरा और कुरकुरा होने तक पकाएं। ब्लैक आईड बीन कबाब को एक शोषक कागज तौलिया पर स्थानांतरित करें। बाकी मिश्रण के साथ भी यही प्रक्रिया दोहराएं। पार्टियों के लिए या बच्चों के स्कूल के बक्से के लिए नाश्ते के रूप में लोबिया कबाब रेसिपी (ब्लैक आईड बीन पैटीज़) को दही डिप के साथ गरम परोसें।</v>
      </c>
      <c r="J343" s="3" t="s">
        <v>32369</v>
      </c>
      <c r="L343" s="1" t="s">
        <v>31003</v>
      </c>
    </row>
    <row r="344" spans="1:12" ht="13.8">
      <c r="A344" s="1" t="s">
        <v>32370</v>
      </c>
      <c r="B344" s="1" t="str">
        <f ca="1">IFERROR(__xludf.dummyfunction("IF(A344="""", """", GOOGLETRANSLATE(A344, ""en"", ""hi""))"),"डुबकी वाले आलू रेसिपी - मसालेदार उत्तर भारतीय ग्रेवी में आलू")</f>
        <v>डुबकी वाले आलू रेसिपी - मसालेदार उत्तर भारतीय ग्रेवी में आलू</v>
      </c>
      <c r="C344" s="1" t="s">
        <v>145</v>
      </c>
      <c r="D344" s="1" t="s">
        <v>14198</v>
      </c>
      <c r="E344" s="1">
        <v>45</v>
      </c>
      <c r="F344" s="1" t="s">
        <v>32371</v>
      </c>
      <c r="G344" s="1" t="str">
        <f ca="1">IFERROR(__xludf.dummyfunction("IF(F344="""", """", GOOGLETRANSLATE(F344, ""en"", ""hi""))"),"6 आलू - उबले हुए, 1 टमाटर - प्यूरी किया हुआ, 2 छोटे चम्मच धनिया - भूनकर दरदरा पिसा हुआ, 2 छोटे चम्मच लाल मिर्च पाउडर, 1/2 छोटे चम्मच हल्दी पाउडर, 1 छोटा चम्मच आमचूर, 2 छोटे चम्मच अदरक - कद्दूकस किया हुआ, 1/2 छोटा चम्मच मेथी - हल्का कुटा हुआ, 1 छोटा चम्मच "&amp;"जीरा, 4 सूखी लाल मिर्च - 2 टुकड़ों में तोड़ी हुई, 1 छोटा चम्मच कसूरी मेथी, हींग - चुटकी भर")</f>
        <v>6 आलू - उबले हुए, 1 टमाटर - प्यूरी किया हुआ, 2 छोटे चम्मच धनिया - भूनकर दरदरा पिसा हुआ, 2 छोटे चम्मच लाल मिर्च पाउडर, 1/2 छोटे चम्मच हल्दी पाउडर, 1 छोटा चम्मच आमचूर, 2 छोटे चम्मच अदरक - कद्दूकस किया हुआ, 1/2 छोटा चम्मच मेथी - हल्का कुटा हुआ, 1 छोटा चम्मच जीरा, 4 सूखी लाल मिर्च - 2 टुकड़ों में तोड़ी हुई, 1 छोटा चम्मच कसूरी मेथी, हींग - चुटकी भर</v>
      </c>
      <c r="H344" s="1" t="s">
        <v>32372</v>
      </c>
      <c r="I344" s="1" t="str">
        <f ca="1">IFERROR(__xludf.dummyfunction("IF(H344="""", """", GOOGLETRANSLATE(H344, ""en"", ""hi""))"),"डुबकी वाले आलू बनाने की विधि सबसे पहले उबले हुए आलू को छोटे-छोटे टुकड़ों में तोड़ लें। ध्यान रखें कि आलू को बहुत बारीक न मैश करें। सुनिश्चित करें कि आलू मोटे रहें। फिर, एक कढ़ाई या हांडी को आंच पर रखें। सरसों के तेल को धुआँ आने तक गर्म करें। फिर आंच को बह"&amp;"ुत कम कर दें, जीरा और टूटी हुई मिर्च डालें और उन्हें चटकने दें। इसके बाद, पिसी हुई मेथी और हींग डालें और उसके बाद कद्दूकस किया हुआ अदरक डालें। खुशबू आने तक कुछ सेकंड के लिए सबको मिलाएँ। जब टमाटर पक जाएँ तो उसमें भुना हुआ धनिया, लाल मिर्च पाउडर, हल्दी डाले"&amp;"ं और अच्छी तरह मिलाएँ। जब टमाटर के साथ मसाला मिल जाए तो आलू डालें और धीरे से मिलाएँ ताकि वे मसालों से लिपट जाएँ। जब आपको अपनी ज़रूरत के हिसाब से पानी डालना हो तो उसमें पानी डालें। इस रेसिपी में 3 कप पानी की आवश्यकता होती है, जिससे एक पतली ग्रेवी बनती है। "&amp;"डुबकी वाले आलू को उबाल लें और फिर आंच कम कर दें। इसे 5-6 मिनट तक उबलने दें। अंत में, कसूरी मेथी छिड़कें और एक और मिनट के लिए पकाएं। आंच बंद कर दें। डुबकी वाले आलू रेसिपी को एक सर्विंग बाउल में डालें और धनिया पत्ती से गार्निश करें और सर्व करें। नाश्ते के ल"&amp;"िए अपनी पसंद की बेड़मी पूरी, गेहूं की पूरी या बेड़मी पूरी या पराठों के साथ गरमागरम परोसें।")</f>
        <v>डुबकी वाले आलू बनाने की विधि सबसे पहले उबले हुए आलू को छोटे-छोटे टुकड़ों में तोड़ लें। ध्यान रखें कि आलू को बहुत बारीक न मैश करें। सुनिश्चित करें कि आलू मोटे रहें। फिर, एक कढ़ाई या हांडी को आंच पर रखें। सरसों के तेल को धुआँ आने तक गर्म करें। फिर आंच को बहुत कम कर दें, जीरा और टूटी हुई मिर्च डालें और उन्हें चटकने दें। इसके बाद, पिसी हुई मेथी और हींग डालें और उसके बाद कद्दूकस किया हुआ अदरक डालें। खुशबू आने तक कुछ सेकंड के लिए सबको मिलाएँ। जब टमाटर पक जाएँ तो उसमें भुना हुआ धनिया, लाल मिर्च पाउडर, हल्दी डालें और अच्छी तरह मिलाएँ। जब टमाटर के साथ मसाला मिल जाए तो आलू डालें और धीरे से मिलाएँ ताकि वे मसालों से लिपट जाएँ। जब आपको अपनी ज़रूरत के हिसाब से पानी डालना हो तो उसमें पानी डालें। इस रेसिपी में 3 कप पानी की आवश्यकता होती है, जिससे एक पतली ग्रेवी बनती है। डुबकी वाले आलू को उबाल लें और फिर आंच कम कर दें। इसे 5-6 मिनट तक उबलने दें। अंत में, कसूरी मेथी छिड़कें और एक और मिनट के लिए पकाएं। आंच बंद कर दें। डुबकी वाले आलू रेसिपी को एक सर्विंग बाउल में डालें और धनिया पत्ती से गार्निश करें और सर्व करें। नाश्ते के लिए अपनी पसंद की बेड़मी पूरी, गेहूं की पूरी या बेड़मी पूरी या पराठों के साथ गरमागरम परोसें।</v>
      </c>
      <c r="J344" s="3" t="s">
        <v>32373</v>
      </c>
      <c r="L344" s="1" t="s">
        <v>31003</v>
      </c>
    </row>
    <row r="345" spans="1:12" ht="13.8">
      <c r="A345" s="1" t="s">
        <v>32374</v>
      </c>
      <c r="B345" s="1" t="str">
        <f ca="1">IFERROR(__xludf.dummyfunction("IF(A345="""", """", GOOGLETRANSLATE(A345, ""en"", ""hi""))"),"मसाला ज्वार मेथी रोटी रेसिपी")</f>
        <v>मसाला ज्वार मेथी रोटी रेसिपी</v>
      </c>
      <c r="C345" s="1" t="s">
        <v>14207</v>
      </c>
      <c r="D345" s="1" t="s">
        <v>14198</v>
      </c>
      <c r="E345" s="1">
        <v>40</v>
      </c>
      <c r="F345" s="1" t="s">
        <v>32375</v>
      </c>
      <c r="G345" s="1" t="str">
        <f ca="1">IFERROR(__xludf.dummyfunction("IF(F345="""", """", GOOGLETRANSLATE(F345, ""en"", ""hi""))"),"1-1/2 कप ज्वार का आटा, 1/2 कप गेहूं का आटा, 1 कप मेथी के पत्ते - कटे हुए, 1 चम्मच लाल मिर्च पाउडर, 1 चम्मच हल्दी पाउडर, 1 कप गुनगुना पानी, 1 चम्मच नमक, 1 चम्मच सूरजमुखी का तेल")</f>
        <v>1-1/2 कप ज्वार का आटा, 1/2 कप गेहूं का आटा, 1 कप मेथी के पत्ते - कटे हुए, 1 चम्मच लाल मिर्च पाउडर, 1 चम्मच हल्दी पाउडर, 1 कप गुनगुना पानी, 1 चम्मच नमक, 1 चम्मच सूरजमुखी का तेल</v>
      </c>
      <c r="H345" s="1" t="s">
        <v>32376</v>
      </c>
      <c r="I345" s="1" t="str">
        <f ca="1">IFERROR(__xludf.dummyfunction("IF(H345="""", """", GOOGLETRANSLATE(H345, ""en"", ""hi""))"),"ज्वार मेथी रोटी बनाने के लिए सबसे पहले एक पैन में पानी गर्म करें और उसमें नमक और तेल डालें। इसे अच्छे से मिलाएँ। आटा गूंथने के लिए पानी गुनगुना होना चाहिए। एक मिक्सिंग बाउल में ज्वार का आटा, गेहूँ का आटा, मेथी के पत्ते, लाल मिर्च पाउडर, हल्दी पाउडर और नमक"&amp;" डालें और अच्छे से गूंथ लें। जब तक आटा नरम और चिपचिपा न हो जाए, तब तक थोड़ा-थोड़ा गुनगुना पानी मिलाते रहें। इसे ठीक से गूंथना चाहिए, क्योंकि हम आटे को आराम दिए बिना तुरंत रोटियाँ बनाएँगे। आटे को साफ नम कपड़े से ढककर रखें ताकि यह सूख न जाए। अगला चरण रोटिया"&amp;"ँ पकाना है। मध्यम आँच पर एक लोहे का तवा रखें। अपनी रोलिंग सतह पर थोड़ा सा गेहूं का आटा छिड़कें। अब हम अपने हाथों से रोटियाँ बनाना शुरू करेंगे। आटे को 6-8 बराबर भागों में बाँट लें और आटे के एक हिस्से को अपने हाथों से गोल और मोटी रोटी में बेल लें। आप अपनी उ"&amp;"ंगलियों से एक गोलाकार आकृति बनाकर रोटी को आकार दे सकते हैं। रोटी को पहले से गरम तवे पर रखें और इसे एक तरफ कुछ सेकंड के लिए पकाएँ या जब तक कि ऊपर कुछ बुलबुले न दिखाई दें। रोटी को पलट दें और दूसरी तरफ भी कुछ सेकंड के लिए पकाएँ। रोटी को चिमटे से उठाएँ और सीध"&amp;"ी आँच पर दोनों तरफ भूरे धब्बे आने तक सेकें। इसी तरह, बाकी रोटियाँ भी तैयार कर लें। मसाला ज्वार मेथी रोटी रेसिपी को स्मोक्ड दाल मखनी ढाबा स्टाइल, जैन स्टाइल साबुत हरी मूंग दाल सब्ज़ी और रायता के साथ परोसें और अपने लंच का आनंद लें।")</f>
        <v>ज्वार मेथी रोटी बनाने के लिए सबसे पहले एक पैन में पानी गर्म करें और उसमें नमक और तेल डालें। इसे अच्छे से मिलाएँ। आटा गूंथने के लिए पानी गुनगुना होना चाहिए। एक मिक्सिंग बाउल में ज्वार का आटा, गेहूँ का आटा, मेथी के पत्ते, लाल मिर्च पाउडर, हल्दी पाउडर और नमक डालें और अच्छे से गूंथ लें। जब तक आटा नरम और चिपचिपा न हो जाए, तब तक थोड़ा-थोड़ा गुनगुना पानी मिलाते रहें। इसे ठीक से गूंथना चाहिए, क्योंकि हम आटे को आराम दिए बिना तुरंत रोटियाँ बनाएँगे। आटे को साफ नम कपड़े से ढककर रखें ताकि यह सूख न जाए। अगला चरण रोटियाँ पकाना है। मध्यम आँच पर एक लोहे का तवा रखें। अपनी रोलिंग सतह पर थोड़ा सा गेहूं का आटा छिड़कें। अब हम अपने हाथों से रोटियाँ बनाना शुरू करेंगे। आटे को 6-8 बराबर भागों में बाँट लें और आटे के एक हिस्से को अपने हाथों से गोल और मोटी रोटी में बेल लें। आप अपनी उंगलियों से एक गोलाकार आकृति बनाकर रोटी को आकार दे सकते हैं। रोटी को पहले से गरम तवे पर रखें और इसे एक तरफ कुछ सेकंड के लिए पकाएँ या जब तक कि ऊपर कुछ बुलबुले न दिखाई दें। रोटी को पलट दें और दूसरी तरफ भी कुछ सेकंड के लिए पकाएँ। रोटी को चिमटे से उठाएँ और सीधी आँच पर दोनों तरफ भूरे धब्बे आने तक सेकें। इसी तरह, बाकी रोटियाँ भी तैयार कर लें। मसाला ज्वार मेथी रोटी रेसिपी को स्मोक्ड दाल मखनी ढाबा स्टाइल, जैन स्टाइल साबुत हरी मूंग दाल सब्ज़ी और रायता के साथ परोसें और अपने लंच का आनंद लें।</v>
      </c>
      <c r="J345" s="3" t="s">
        <v>32377</v>
      </c>
      <c r="L345" s="1" t="s">
        <v>31003</v>
      </c>
    </row>
    <row r="346" spans="1:12" ht="13.8">
      <c r="A346" s="1" t="s">
        <v>31801</v>
      </c>
      <c r="B346" s="1" t="str">
        <f ca="1">IFERROR(__xludf.dummyfunction("IF(A346="""", """", GOOGLETRANSLATE(A346, ""en"", ""hi""))"),"बूंदी की खीर रेसिपी")</f>
        <v>बूंदी की खीर रेसिपी</v>
      </c>
      <c r="C346" s="1" t="s">
        <v>8417</v>
      </c>
      <c r="D346" s="1" t="s">
        <v>14198</v>
      </c>
      <c r="E346" s="1">
        <v>30</v>
      </c>
      <c r="F346" s="1" t="s">
        <v>32378</v>
      </c>
      <c r="G346" s="1" t="str">
        <f ca="1">IFERROR(__xludf.dummyfunction("IF(F346="""", """", GOOGLETRANSLATE(F346, ""en"", ""hi""))"),"1 लीटर दूध, 1 कप मीठी बूंदी, 1/2 चम्मच इलायची पाउडर, 1 चम्मच गुलाब जल, केसर के रेशे - कुछ, 10 बादाम - उबाले हुए")</f>
        <v>1 लीटर दूध, 1 कप मीठी बूंदी, 1/2 चम्मच इलायची पाउडर, 1 चम्मच गुलाब जल, केसर के रेशे - कुछ, 10 बादाम - उबाले हुए</v>
      </c>
      <c r="H346" s="1" t="s">
        <v>32379</v>
      </c>
      <c r="I346" s="1" t="str">
        <f ca="1">IFERROR(__xludf.dummyfunction("IF(H346="""", """", GOOGLETRANSLATE(H346, ""en"", ""hi""))"),"बूंदी की खीर रेसिपी बनाने के लिए सबसे पहले बादाम को उबाल लें और उन्हें पतले पतले टुकड़ों में काट कर तैयार रख लें. बादाम को उबालने का तरीका यहां देखें. आप या तो दुकान से खरीदी हुई मीठी बूंदी का उपयोग कर सकते हैं या इसे घर पर बना सकते हैं. यहां बताया गया है"&amp;" कि घर पर मीठी बूंदी / मीठी बूंदी कैसे बनाई जाती है. बूंदी की खीर रेसिपी के साथ आगे बढ़ें एक सॉस पैन में मध्यम आंच पर दूध डालें और इसे उबाल लें. दूध में उबाल आने के बाद आंच को मध्यम-धीमी कर दें, इसमें केसर और इलायची डालें और दूध को आधी मात्रा में रहने दें"&amp;". हम एक मलाईदार, गाढ़ी खीर की तलाश कर रहे हैं. जब इसकी मात्रा आधी हो जाए तो आंच बंद कर दें. इस स्तर पर गुलाब जल, बादाम के टुकड़े और मीठी बूंदी डालें दाल बुखारा रेसिपी (पंजाबी स्टाइल काली उड़द दाल), पनीर लहसुन नान रेसिपी, मसालेदार प्याज, पुदीना मशरूम और सो"&amp;"या बिरयानी रेसिपी और धनिया तड़का रायता रेसिपी के भोजन के बाद मिठाई के रूप में बूंदी की खीर रेसिपी परोसें।")</f>
        <v>बूंदी की खीर रेसिपी बनाने के लिए सबसे पहले बादाम को उबाल लें और उन्हें पतले पतले टुकड़ों में काट कर तैयार रख लें. बादाम को उबालने का तरीका यहां देखें. आप या तो दुकान से खरीदी हुई मीठी बूंदी का उपयोग कर सकते हैं या इसे घर पर बना सकते हैं. यहां बताया गया है कि घर पर मीठी बूंदी / मीठी बूंदी कैसे बनाई जाती है. बूंदी की खीर रेसिपी के साथ आगे बढ़ें एक सॉस पैन में मध्यम आंच पर दूध डालें और इसे उबाल लें. दूध में उबाल आने के बाद आंच को मध्यम-धीमी कर दें, इसमें केसर और इलायची डालें और दूध को आधी मात्रा में रहने दें. हम एक मलाईदार, गाढ़ी खीर की तलाश कर रहे हैं. जब इसकी मात्रा आधी हो जाए तो आंच बंद कर दें. इस स्तर पर गुलाब जल, बादाम के टुकड़े और मीठी बूंदी डालें दाल बुखारा रेसिपी (पंजाबी स्टाइल काली उड़द दाल), पनीर लहसुन नान रेसिपी, मसालेदार प्याज, पुदीना मशरूम और सोया बिरयानी रेसिपी और धनिया तड़का रायता रेसिपी के भोजन के बाद मिठाई के रूप में बूंदी की खीर रेसिपी परोसें।</v>
      </c>
      <c r="J346" s="3" t="s">
        <v>32380</v>
      </c>
      <c r="L346" s="1" t="s">
        <v>31003</v>
      </c>
    </row>
    <row r="347" spans="1:12" ht="13.8">
      <c r="A347" s="1" t="s">
        <v>32381</v>
      </c>
      <c r="B347" s="1" t="str">
        <f ca="1">IFERROR(__xludf.dummyfunction("IF(A347="""", """", GOOGLETRANSLATE(A347, ""en"", ""hi""))"),"अचारी आलू गोभी")</f>
        <v>अचारी आलू गोभी</v>
      </c>
      <c r="C347" s="1" t="s">
        <v>145</v>
      </c>
      <c r="D347" s="1" t="s">
        <v>14198</v>
      </c>
      <c r="E347" s="1">
        <v>50</v>
      </c>
      <c r="F347" s="1" t="s">
        <v>32382</v>
      </c>
      <c r="G347" s="1" t="str">
        <f ca="1">IFERROR(__xludf.dummyfunction("IF(F347="""", """", GOOGLETRANSLATE(F347, ""en"", ""hi""))"),"1 गोभी - कटी हुई, 2 आलू - उबाल कर छीले हुए, 2 बड़े चम्मच सरसों का तेल, 2 हरी मिर्च - कटी हुई, 1 इंच अदरक - कद्दूकस किया हुआ, 1 प्याज - कटा हुआ, 1 छोटा चम्मच अचार मसाला, 1 छोटा चम्मच अमचूर, 1 छोटा चम्मच हल्दी पाउडर, नमक - स्वादानुसार, लाल मिर्च पाउडर - स्व"&amp;"ादानुसार, 1 सूखी लाल मिर्च, 1 छोटा चम्मच धनिया के बीज, 1/2 छोटा चम्मच कलौंजी, 2 छोटे चम्मच सौंफ, 1 छोटा चम्मच राई, 2 छोटे चम्मच जीरा, 1/2 छोटा चम्मच मेथी")</f>
        <v>1 गोभी - कटी हुई, 2 आलू - उबाल कर छीले हुए, 2 बड़े चम्मच सरसों का तेल, 2 हरी मिर्च - कटी हुई, 1 इंच अदरक - कद्दूकस किया हुआ, 1 प्याज - कटा हुआ, 1 छोटा चम्मच अचार मसाला, 1 छोटा चम्मच अमचूर, 1 छोटा चम्मच हल्दी पाउडर, नमक - स्वादानुसार, लाल मिर्च पाउडर - स्वादानुसार, 1 सूखी लाल मिर्च, 1 छोटा चम्मच धनिया के बीज, 1/2 छोटा चम्मच कलौंजी, 2 छोटे चम्मच सौंफ, 1 छोटा चम्मच राई, 2 छोटे चम्मच जीरा, 1/2 छोटा चम्मच मेथी</v>
      </c>
      <c r="H347" s="1" t="s">
        <v>32383</v>
      </c>
      <c r="I347" s="1" t="str">
        <f ca="1">IFERROR(__xludf.dummyfunction("IF(H347="""", """", GOOGLETRANSLATE(H347, ""en"", ""hi""))"),"अचारी आलू गोभी बनाने के लिए सबसे पहले आलू उबाल लें। आलू को प्रेशर कुकर में थोड़ा पानी और नमक डालकर 2 सीटी आने तक पकाएं। आलू पक जाने के बाद उन्हें छीलकर काट लें। गोभी को स्टीमर में डालकर तब तक पकाएं जब तक कि वे पक न जाएं। उन्हें एक तरफ रख दें। अब अचारी मसा"&amp;"ला में दी गई सभी सामग्री को एक पैन में डालकर 2 से 3 मिनट तक भूनें। पकने के बाद उन्हें ठंडा होने दें और मिक्सर ग्राइंडर में पीस लें। आपका अचारी मसाला तैयार है। अब एक पैन में सरसों का तेल डालें। उसमें हरी मिर्च, अदरक और प्याज डालें। प्याज के नरम होने तक पका"&amp;"एं। प्याज के नरम होने के बाद इसमें हल्दी पाउडर, अचारी मसाला पाउडर, नमक, अमचूर, गोभी और आलू डालें। थोड़ा पानी छिड़कें और अच्छी तरह मिलाएँ। पैन को ढक दें और धीमी आंच पर 5 से 8 मिनट तक पकने दें। पकने के बाद गैस बंद कर दें और हरे धनिये से गार्निश करें। अचारी "&amp;"आलू गोभी को गुजराती दाल और फुल्के के साथ सर्व करें। लंच के साथ सर्व करें।")</f>
        <v>अचारी आलू गोभी बनाने के लिए सबसे पहले आलू उबाल लें। आलू को प्रेशर कुकर में थोड़ा पानी और नमक डालकर 2 सीटी आने तक पकाएं। आलू पक जाने के बाद उन्हें छीलकर काट लें। गोभी को स्टीमर में डालकर तब तक पकाएं जब तक कि वे पक न जाएं। उन्हें एक तरफ रख दें। अब अचारी मसाला में दी गई सभी सामग्री को एक पैन में डालकर 2 से 3 मिनट तक भूनें। पकने के बाद उन्हें ठंडा होने दें और मिक्सर ग्राइंडर में पीस लें। आपका अचारी मसाला तैयार है। अब एक पैन में सरसों का तेल डालें। उसमें हरी मिर्च, अदरक और प्याज डालें। प्याज के नरम होने तक पकाएं। प्याज के नरम होने के बाद इसमें हल्दी पाउडर, अचारी मसाला पाउडर, नमक, अमचूर, गोभी और आलू डालें। थोड़ा पानी छिड़कें और अच्छी तरह मिलाएँ। पैन को ढक दें और धीमी आंच पर 5 से 8 मिनट तक पकने दें। पकने के बाद गैस बंद कर दें और हरे धनिये से गार्निश करें। अचारी आलू गोभी को गुजराती दाल और फुल्के के साथ सर्व करें। लंच के साथ सर्व करें।</v>
      </c>
      <c r="J347" s="3" t="s">
        <v>32384</v>
      </c>
      <c r="L347" s="1" t="s">
        <v>31003</v>
      </c>
    </row>
    <row r="348" spans="1:12" ht="13.8">
      <c r="A348" s="1" t="s">
        <v>32385</v>
      </c>
      <c r="B348" s="1" t="str">
        <f ca="1">IFERROR(__xludf.dummyfunction("IF(A348="""", """", GOOGLETRANSLATE(A348, ""en"", ""hi""))"),"भरवां मूली पराठा रेसिपी (मूली की रोटी)")</f>
        <v>भरवां मूली पराठा रेसिपी (मूली की रोटी)</v>
      </c>
      <c r="C348" s="1" t="s">
        <v>15760</v>
      </c>
      <c r="D348" s="1" t="s">
        <v>14338</v>
      </c>
      <c r="E348" s="1">
        <v>65</v>
      </c>
      <c r="F348" s="1" t="s">
        <v>32386</v>
      </c>
      <c r="G348" s="1" t="str">
        <f ca="1">IFERROR(__xludf.dummyfunction("IF(F348="""", """", GOOGLETRANSLATE(F348, ""en"", ""hi""))"),"3 मूली - बारीक कद्दूकस की हुई, 2 चम्मच फिगारो शुद्ध जैतून का तेल, 1 चम्मच जीरा, 1 चम्मच अदरक - कद्दूकस किया हुआ, 1-1/2 चम्मच बेसन - (वैकल्पिक), धनिया के पत्ते - मुट्ठी भर, 2 हरी मिर्च - बारीक कटी हुई, नमक - स्वादानुसार, 2 कप गेहूं का आटा, 1 चम्मच नमक, फिग"&amp;"ारो शुद्ध जैतून का तेल - या घी, 1 चम्मच नमक, सूरजमुखी का तेल - या घी,")</f>
        <v>3 मूली - बारीक कद्दूकस की हुई, 2 चम्मच फिगारो शुद्ध जैतून का तेल, 1 चम्मच जीरा, 1 चम्मच अदरक - कद्दूकस किया हुआ, 1-1/2 चम्मच बेसन - (वैकल्पिक), धनिया के पत्ते - मुट्ठी भर, 2 हरी मिर्च - बारीक कटी हुई, नमक - स्वादानुसार, 2 कप गेहूं का आटा, 1 चम्मच नमक, फिगारो शुद्ध जैतून का तेल - या घी, 1 चम्मच नमक, सूरजमुखी का तेल - या घी,</v>
      </c>
      <c r="H348" s="1" t="s">
        <v>32387</v>
      </c>
      <c r="I348" s="1" t="str">
        <f ca="1">IFERROR(__xludf.dummyfunction("IF(H348="""", """", GOOGLETRANSLATE(H348, ""en"", ""hi""))"),"भरवां मूली पराठा बनाने के लिए एक चौड़े पैन में जैतून का तेल गर्म करें। मूली, नमक डालें और तेज़ आँच पर तब तक भूनें जब तक कि मूली से सारा पानी वाष्पित न हो जाए। आँच बंद करें और भराई के लिए बची हुई सामग्री डालें और अच्छी तरह मिलाएँ। भराई के मिश्रण को ठंडा हो"&amp;"ने दें। एक मिक्सिंग बाउल में आटे की सारी सामग्री मिलाएँ, थोड़ा-थोड़ा पानी डालें और चिकना आटा गूंथ लें। आटे को 8 भागों में बाँट लें। एक सपाट सतह पर थोड़ा आटा छिड़कें। एक भाग को एक बॉल में रोल करें और अपनी उंगलियों का उपयोग करके इसे चपटा करें और इसे 3 इंच व"&amp;"्यास के सर्कल में रोल करें। बीच में लगभग 2 बड़े चम्मच भराई रखें, किनारे को इकट्ठा करें और इसे सील करें। ध्यान से इसे लगभग 6-7 इंच व्यास के एक सर्कल में रोल करें। मध्यम आंच पर एक कड़ाही गरम करें और मूली पराठे को जैतून के तेल में तब तक पकाएं जब तक कि यह पक "&amp;"न जाए और दोनों तरफ सुनहरे भूरे रंग के धब्बे न आ जाएं। आटे के शेष हिस्सों और मूली पराठा भरने के साथ दोहराएं। भरवां मूली पराठों को अपने आप या अपनी पसंद की चटनी, रायता या अचार के साथ परोसें।")</f>
        <v>भरवां मूली पराठा बनाने के लिए एक चौड़े पैन में जैतून का तेल गर्म करें। मूली, नमक डालें और तेज़ आँच पर तब तक भूनें जब तक कि मूली से सारा पानी वाष्पित न हो जाए। आँच बंद करें और भराई के लिए बची हुई सामग्री डालें और अच्छी तरह मिलाएँ। भराई के मिश्रण को ठंडा होने दें। एक मिक्सिंग बाउल में आटे की सारी सामग्री मिलाएँ, थोड़ा-थोड़ा पानी डालें और चिकना आटा गूंथ लें। आटे को 8 भागों में बाँट लें। एक सपाट सतह पर थोड़ा आटा छिड़कें। एक भाग को एक बॉल में रोल करें और अपनी उंगलियों का उपयोग करके इसे चपटा करें और इसे 3 इंच व्यास के सर्कल में रोल करें। बीच में लगभग 2 बड़े चम्मच भराई रखें, किनारे को इकट्ठा करें और इसे सील करें। ध्यान से इसे लगभग 6-7 इंच व्यास के एक सर्कल में रोल करें। मध्यम आंच पर एक कड़ाही गरम करें और मूली पराठे को जैतून के तेल में तब तक पकाएं जब तक कि यह पक न जाए और दोनों तरफ सुनहरे भूरे रंग के धब्बे न आ जाएं। आटे के शेष हिस्सों और मूली पराठा भरने के साथ दोहराएं। भरवां मूली पराठों को अपने आप या अपनी पसंद की चटनी, रायता या अचार के साथ परोसें।</v>
      </c>
      <c r="J348" s="3" t="s">
        <v>32388</v>
      </c>
      <c r="L348" s="1" t="s">
        <v>31003</v>
      </c>
    </row>
    <row r="349" spans="1:12" ht="13.8">
      <c r="A349" s="1" t="s">
        <v>32389</v>
      </c>
      <c r="B349" s="1" t="str">
        <f ca="1">IFERROR(__xludf.dummyfunction("IF(A349="""", """", GOOGLETRANSLATE(A349, ""en"", ""hi""))"),"पनीर आलू पराठा रेसिपी")</f>
        <v>पनीर आलू पराठा रेसिपी</v>
      </c>
      <c r="C349" s="1" t="s">
        <v>16424</v>
      </c>
      <c r="D349" s="1" t="s">
        <v>14198</v>
      </c>
      <c r="E349" s="1">
        <v>30</v>
      </c>
      <c r="F349" s="1" t="s">
        <v>32390</v>
      </c>
      <c r="G349" s="1" t="str">
        <f ca="1">IFERROR(__xludf.dummyfunction("IF(F349="""", """", GOOGLETRANSLATE(F349, ""en"", ""hi""))"),"1 कप गेहूं का आटा, 1 चम्मच सूरजमुखी तेल, 1/4 चम्मच नमक, पानी - गूंधने के लिए आवश्यक, 2 आलू - उबले हुए, 1 चम्मच सूरजमुखी तेल, 1 सूखी लाल मिर्च - टूटे और बीज निकाले हुए, 1/2 चम्मच जीरा, हींग - एक चुटकी, 1 हरी मिर्च - बारीक कटी हुई, 1 इंच अदरक - कसा हुआ, 1 प"&amp;"्याज - बारीक कटा हुआ, 1/4 चम्मच हल्दी पाउडर (हल्दी), 1/2 चम्मच धनिया पाउडर (धनिया), 1/2 चम्मच जीरा पाउडर (जीरा), 1/2 चम्मच गरम मसाला पाउडर, 1/2 चम्मच चाट मसाला पाउडर, 1/4 कप पनीर - संसाधित और कसा हुआ, 4 टहनी धनिया (धनिया) पत्तियां - बारीक कटी हुई, नमक - स"&amp;"्वाद के लिए")</f>
        <v>1 कप गेहूं का आटा, 1 चम्मच सूरजमुखी तेल, 1/4 चम्मच नमक, पानी - गूंधने के लिए आवश्यक, 2 आलू - उबले हुए, 1 चम्मच सूरजमुखी तेल, 1 सूखी लाल मिर्च - टूटे और बीज निकाले हुए, 1/2 चम्मच जीरा, हींग - एक चुटकी, 1 हरी मिर्च - बारीक कटी हुई, 1 इंच अदरक - कसा हुआ, 1 प्याज - बारीक कटा हुआ, 1/4 चम्मच हल्दी पाउडर (हल्दी), 1/2 चम्मच धनिया पाउडर (धनिया), 1/2 चम्मच जीरा पाउडर (जीरा), 1/2 चम्मच गरम मसाला पाउडर, 1/2 चम्मच चाट मसाला पाउडर, 1/4 कप पनीर - संसाधित और कसा हुआ, 4 टहनी धनिया (धनिया) पत्तियां - बारीक कटी हुई, नमक - स्वाद के लिए</v>
      </c>
      <c r="H349" s="1" t="s">
        <v>32391</v>
      </c>
      <c r="I349" s="1" t="str">
        <f ca="1">IFERROR(__xludf.dummyfunction("IF(H349="""", """", GOOGLETRANSLATE(H349, ""en"", ""hi""))"),"एक बड़े प्याले में गेहूं का आटा, नमक, तेल, आवश्यकतानुसार पानी डालकर नरम और मुलायम आटा गूंथ लें। इसे ढककर 15-20 मिनट के लिए रख दें। आटा बहुत सख्त नहीं होना चाहिए। अगला कदम भरावन तैयार करना है। आलू को 3 सीटी आने तक या नरम होने तक पकाएँ। छिलका उतारकर अच्छी त"&amp;"रह मसल लें। एक नॉन-स्टिक पैन में तेल गरम करें। सूखी लाल मिर्च और जीरा डालें। जब यह फूटने लगे, तो इसमें हिंग, बारीक कटा प्याज, हरी मिर्च, अदरक और चुटकी भर नमक डालें और प्याज के पारदर्शी होने तक भूनें। प्याज पकाते समय नमक डालने से यह चिपकता नहीं है और जलता "&amp;"नहीं है। फिर मसले हुए आलू, हल्दी पाउडर, धनिया पाउडर, जीरा पाउडर, किचन किंग मसाला पाउडर/गरम मसाला पाउडर, चाट मसाला और नमक डालें और 3-4 मिनट तक भूनें जब तक कि सब कुछ अच्छी तरह से मिल न जाए। इस स्तर पर नमक डालते समय सावधान रहें, क्योंकि हमने प्याज में एक चुट"&amp;"की नमक डाला है। साथ ही हम चाट मसाला और पनीर का उपयोग कर रहे हैं, इसलिए भराई में सामान्य से कम नमक की आवश्यकता होगी। नमक के स्तर की जाँच करें और उसी के अनुसार नमक डालें। अंत में, 1/4 कप कसा हुआ पनीर और बारीक कटा हरा धनिया डालें, अच्छी तरह मिलाएँ और ठंडा हो"&amp;"ने दें। पराठे बनाने से पहले, आटे को अच्छी तरह से गूंध लें। यदि आवश्यक हो, तो 1/2 चम्मच तेल का उपयोग करें और इसे चिकना और मुलायम होने तक गूंधें। आटे और भराई को बराबर भागों में विभाजित करें और इसकी गेंदें बनाएँ। इससे 4 पराठे बनेंगे। थोड़ा सा आटा छिड़कें और "&amp;"आटे को एक छोटे गोले में बेल लें। बीच में भराई रखें, सभी कोनों को इकट्ठा करें और भराई के साथ आटे को सील करें। इसे धीरे से दबाकर चपटा करें। थोड़ा सा धूल दें और इसे फिर से बहुत धीरे से रोल करें, ताकि भराई बाहर न आए। एक तवा / नॉन स्टिक पैन गरम करें और पराठा र"&amp;"खें। थोड़ा तेल / मक्खन / घी का उपयोग करके पराठे को दोनों तरफ से सुनहरे भूरे रंग के धब्बे दिखाई देने तक पकाएँ। अधिक पराठे बनाने के लिए समान चरणों को दोहराएं। पनीर आलू पराठा को बूंदी रायता और धनिया पुदीना चटनी के साथ नाश्ते के लिए परोसें या इसे सप्ताह के दि"&amp;"नों में रात के खाने के लिए परोसें।")</f>
        <v>एक बड़े प्याले में गेहूं का आटा, नमक, तेल, आवश्यकतानुसार पानी डालकर नरम और मुलायम आटा गूंथ लें। इसे ढककर 15-20 मिनट के लिए रख दें। आटा बहुत सख्त नहीं होना चाहिए। अगला कदम भरावन तैयार करना है। आलू को 3 सीटी आने तक या नरम होने तक पकाएँ। छिलका उतारकर अच्छी तरह मसल लें। एक नॉन-स्टिक पैन में तेल गरम करें। सूखी लाल मिर्च और जीरा डालें। जब यह फूटने लगे, तो इसमें हिंग, बारीक कटा प्याज, हरी मिर्च, अदरक और चुटकी भर नमक डालें और प्याज के पारदर्शी होने तक भूनें। प्याज पकाते समय नमक डालने से यह चिपकता नहीं है और जलता नहीं है। फिर मसले हुए आलू, हल्दी पाउडर, धनिया पाउडर, जीरा पाउडर, किचन किंग मसाला पाउडर/गरम मसाला पाउडर, चाट मसाला और नमक डालें और 3-4 मिनट तक भूनें जब तक कि सब कुछ अच्छी तरह से मिल न जाए। इस स्तर पर नमक डालते समय सावधान रहें, क्योंकि हमने प्याज में एक चुटकी नमक डाला है। साथ ही हम चाट मसाला और पनीर का उपयोग कर रहे हैं, इसलिए भराई में सामान्य से कम नमक की आवश्यकता होगी। नमक के स्तर की जाँच करें और उसी के अनुसार नमक डालें। अंत में, 1/4 कप कसा हुआ पनीर और बारीक कटा हरा धनिया डालें, अच्छी तरह मिलाएँ और ठंडा होने दें। पराठे बनाने से पहले, आटे को अच्छी तरह से गूंध लें। यदि आवश्यक हो, तो 1/2 चम्मच तेल का उपयोग करें और इसे चिकना और मुलायम होने तक गूंधें। आटे और भराई को बराबर भागों में विभाजित करें और इसकी गेंदें बनाएँ। इससे 4 पराठे बनेंगे। थोड़ा सा आटा छिड़कें और आटे को एक छोटे गोले में बेल लें। बीच में भराई रखें, सभी कोनों को इकट्ठा करें और भराई के साथ आटे को सील करें। इसे धीरे से दबाकर चपटा करें। थोड़ा सा धूल दें और इसे फिर से बहुत धीरे से रोल करें, ताकि भराई बाहर न आए। एक तवा / नॉन स्टिक पैन गरम करें और पराठा रखें। थोड़ा तेल / मक्खन / घी का उपयोग करके पराठे को दोनों तरफ से सुनहरे भूरे रंग के धब्बे दिखाई देने तक पकाएँ। अधिक पराठे बनाने के लिए समान चरणों को दोहराएं। पनीर आलू पराठा को बूंदी रायता और धनिया पुदीना चटनी के साथ नाश्ते के लिए परोसें या इसे सप्ताह के दिनों में रात के खाने के लिए परोसें।</v>
      </c>
      <c r="J349" s="3" t="s">
        <v>32392</v>
      </c>
      <c r="L349" s="1" t="s">
        <v>31003</v>
      </c>
    </row>
    <row r="350" spans="1:12" ht="13.8">
      <c r="A350" s="1" t="s">
        <v>32393</v>
      </c>
      <c r="B350" s="1" t="str">
        <f ca="1">IFERROR(__xludf.dummyfunction("IF(A350="""", """", GOOGLETRANSLATE(A350, ""en"", ""hi""))"),"तवा तंदूरी रोटी रेसिपी")</f>
        <v>तवा तंदूरी रोटी रेसिपी</v>
      </c>
      <c r="C350" s="1" t="s">
        <v>145</v>
      </c>
      <c r="D350" s="1" t="s">
        <v>14198</v>
      </c>
      <c r="E350" s="1">
        <v>60</v>
      </c>
      <c r="F350" s="1" t="s">
        <v>32394</v>
      </c>
      <c r="G350" s="1" t="str">
        <f ca="1">IFERROR(__xludf.dummyfunction("IF(F350="""", """", GOOGLETRANSLATE(F350, ""en"", ""hi""))"),"2 कप गेहूं का आटा, 1/4 कप दही, नमक - स्वादानुसार, सूरजमुखी तेल - गूंथने के लिए")</f>
        <v>2 कप गेहूं का आटा, 1/4 कप दही, नमक - स्वादानुसार, सूरजमुखी तेल - गूंथने के लिए</v>
      </c>
      <c r="H350" s="1" t="s">
        <v>32395</v>
      </c>
      <c r="I350" s="1" t="str">
        <f ca="1">IFERROR(__xludf.dummyfunction("IF(H350="""", """", GOOGLETRANSLATE(H350, ""en"", ""hi""))"),"तवा तंदूरी रोटी रेसिपी बनाने के लिए, हम सभी सामग्री को एक कटोरे में डालेंगे और अपनी ज़रूरत के हिसाब से धीरे-धीरे पानी डालकर इसे नरम और चिपचिपा न होने वाला आटा गूंथ लेंगे। अंत में थोड़ा सा तेल डालें और इसे कुछ और समय तक गूंथें जब तक कि आटा पूरी तरह से नरम "&amp;"न हो जाए। आटे को कम से कम 10 मिनट के लिए एक नम कपड़े से ढककर रख दें। आराम करने के बाद, एक कच्चा लोहे का तवा पैन गरम करें। आटे से एक मध्यम आकार की गेंद को चुटकी से काटें और इसे आटे से ढकी हुई सतह पर फैलाएँ। आटे को चपटा और गोल बेलें, मोटाई तवा पराठे के बराब"&amp;"र होनी चाहिए। एक कटोरी में थोड़ा पानी लें और इसे बेले हुए आटे के एक तरफ ब्रश करें। पानी वाली सतह वाले आटे को तवे पर रखें और इसे कुछ सेकंड के लिए छोड़ दें जब तक कि आप कुछ बुलबुले उठते न देखें। इसे 2 मिनट के लिए धीमी आंच पर छोड़ दें और एक स्पैटुला की मदद से"&amp;", रोटी को ध्यान से निकालने की कोशिश करें, यह थोड़ा सख्त होगा क्योंकि यह तवे से चिपक जाएगा लेकिन रोटी को हटाने के लिए पर्याप्त सावधानी बरतें और इसे फाड़ें नहीं। इसे पलट दें और फिर दूसरी तरफ भी पकाएं। आप तवे को पूरी तरह से उठाकर पलट भी सकते हैं, इससे पहले क"&amp;"ि आप रोटी को तवे से हटा दें और इसे सीधे आंच पर रखें। दूसरी तरफ भी 2 मिनट तक पकाएं और आप गर्मागर्म परोस सकते हैं। तवा तंदूरी रोटी को बिहारी करेला और आलू की सब्जी, पंजाबी दाल तड़का और रायता के साथ परोसें और अपने रविवार के लंच या रोजाना के लंच के लिए खाना बन"&amp;"ाएं।")</f>
        <v>तवा तंदूरी रोटी रेसिपी बनाने के लिए, हम सभी सामग्री को एक कटोरे में डालेंगे और अपनी ज़रूरत के हिसाब से धीरे-धीरे पानी डालकर इसे नरम और चिपचिपा न होने वाला आटा गूंथ लेंगे। अंत में थोड़ा सा तेल डालें और इसे कुछ और समय तक गूंथें जब तक कि आटा पूरी तरह से नरम न हो जाए। आटे को कम से कम 10 मिनट के लिए एक नम कपड़े से ढककर रख दें। आराम करने के बाद, एक कच्चा लोहे का तवा पैन गरम करें। आटे से एक मध्यम आकार की गेंद को चुटकी से काटें और इसे आटे से ढकी हुई सतह पर फैलाएँ। आटे को चपटा और गोल बेलें, मोटाई तवा पराठे के बराबर होनी चाहिए। एक कटोरी में थोड़ा पानी लें और इसे बेले हुए आटे के एक तरफ ब्रश करें। पानी वाली सतह वाले आटे को तवे पर रखें और इसे कुछ सेकंड के लिए छोड़ दें जब तक कि आप कुछ बुलबुले उठते न देखें। इसे 2 मिनट के लिए धीमी आंच पर छोड़ दें और एक स्पैटुला की मदद से, रोटी को ध्यान से निकालने की कोशिश करें, यह थोड़ा सख्त होगा क्योंकि यह तवे से चिपक जाएगा लेकिन रोटी को हटाने के लिए पर्याप्त सावधानी बरतें और इसे फाड़ें नहीं। इसे पलट दें और फिर दूसरी तरफ भी पकाएं। आप तवे को पूरी तरह से उठाकर पलट भी सकते हैं, इससे पहले कि आप रोटी को तवे से हटा दें और इसे सीधे आंच पर रखें। दूसरी तरफ भी 2 मिनट तक पकाएं और आप गर्मागर्म परोस सकते हैं। तवा तंदूरी रोटी को बिहारी करेला और आलू की सब्जी, पंजाबी दाल तड़का और रायता के साथ परोसें और अपने रविवार के लंच या रोजाना के लंच के लिए खाना बनाएं।</v>
      </c>
      <c r="J350" s="3" t="s">
        <v>32396</v>
      </c>
      <c r="L350" s="1" t="s">
        <v>31003</v>
      </c>
    </row>
    <row r="351" spans="1:12" ht="13.8">
      <c r="A351" s="1" t="s">
        <v>32397</v>
      </c>
      <c r="B351" s="1" t="str">
        <f ca="1">IFERROR(__xludf.dummyfunction("IF(A351="""", """", GOOGLETRANSLATE(A351, ""en"", ""hi""))"),"भरवां शिमला मिर्च मखनी रेसिपी")</f>
        <v>भरवां शिमला मिर्च मखनी रेसिपी</v>
      </c>
      <c r="C351" s="1" t="s">
        <v>145</v>
      </c>
      <c r="D351" s="1" t="s">
        <v>14198</v>
      </c>
      <c r="E351" s="1">
        <v>55</v>
      </c>
      <c r="F351" s="1" t="s">
        <v>32398</v>
      </c>
      <c r="G351" s="1" t="str">
        <f ca="1">IFERROR(__xludf.dummyfunction("IF(F351="""", """", GOOGLETRANSLATE(F351, ""en"", ""hi""))"),"4 टमाटर - कटे हुए, 1 प्याज - कटा हुआ, 4 लहसुन के दाने - कटे हुए, 1 छोटा चम्मच जीरा, 6 काजू, 4 सूखी लाल मिर्च, 2 हरी शिमला मिर्च - 1 इंच के गोल आकार में कटी हुई, 2 आलू - उबले और मसले हुए, 1/2 कप पनीर - टुकड़े किए हुए, 1 बड़ा चम्मच चाट मसाला पाउडर, 1 बड़ा च"&amp;"म्मच गरम मसाला पाउडर, 1 छोटा चम्मच लाल मिर्च पाउडर, 1 बड़ा चम्मच काली मिर्च पाउडर, नमक - स्वादानुसार, सूरजमुखी तेल, 5 धनिया पत्ते - कटे हुए, 1 इलायची, 1 इंच दालचीनी, 1 तेज पत्ता, 1 बड़ा चम्मच सूरजमुखी तेल, 1 छोटा चम्मच चीनी, 1-1/2 छोटा चम्मच लाल मिर्च पाउ"&amp;"डर, 1/4 छोटा चम्मच हल्दी पाउडर, 1 बड़ा चम्मच गरम मसाला पाउडर, 2 बड़े चम्मच ताजा क्रीम")</f>
        <v>4 टमाटर - कटे हुए, 1 प्याज - कटा हुआ, 4 लहसुन के दाने - कटे हुए, 1 छोटा चम्मच जीरा, 6 काजू, 4 सूखी लाल मिर्च, 2 हरी शिमला मिर्च - 1 इंच के गोल आकार में कटी हुई, 2 आलू - उबले और मसले हुए, 1/2 कप पनीर - टुकड़े किए हुए, 1 बड़ा चम्मच चाट मसाला पाउडर, 1 बड़ा चम्मच गरम मसाला पाउडर, 1 छोटा चम्मच लाल मिर्च पाउडर, 1 बड़ा चम्मच काली मिर्च पाउडर, नमक - स्वादानुसार, सूरजमुखी तेल, 5 धनिया पत्ते - कटे हुए, 1 इलायची, 1 इंच दालचीनी, 1 तेज पत्ता, 1 बड़ा चम्मच सूरजमुखी तेल, 1 छोटा चम्मच चीनी, 1-1/2 छोटा चम्मच लाल मिर्च पाउडर, 1/4 छोटा चम्मच हल्दी पाउडर, 1 बड़ा चम्मच गरम मसाला पाउडर, 2 बड़े चम्मच ताजा क्रीम</v>
      </c>
      <c r="H351" s="1" t="s">
        <v>32399</v>
      </c>
      <c r="I351" s="1" t="str">
        <f ca="1">IFERROR(__xludf.dummyfunction("IF(H351="""", """", GOOGLETRANSLATE(H351, ""en"", ""hi""))"),"भरवां शिमला मिर्च मखनी बनाने के लिए, हम प्रेशर कुकर में टमाटर को 1/4 कप पानी के साथ कम से कम 2 सीटी आने तक पकाएँगे। एक बार हो जाने पर प्रेशर को अपने आप निकलने दें और ढक्कन खोलें। आप देखेंगे कि त्वचा छिल गई है, इससे पता चलता है कि टमाटर पक गए हैं, ध्यान से"&amp;" त्वचा को छीलें और उन्हें बड़े टुकड़ों में काट लें और मिक्सर में डालें। साथ ही कुकर में बचा हुआ पानी भी मिलाएँ। एक चिकनी प्यूरी बनाने के लिए ब्लेंड करें और एक तरफ रख दें। काजू को 2 से 3 बड़े चम्मच पानी के साथ ब्लेंड करके पेस्ट बना लें और एक तरफ रख दें। कट"&amp;"े हुए प्याज, लहसुन, जीरा, सूखी लाल मिर्च का पेस्ट बना लें और एक तरफ रख दें। शिमला मिर्च को 1 इंच के आकार के छल्ले में काट लें और एक तरफ रख दें। किसी भी बीज और अतिरिक्त सफेद त्वचा को हटा दें। एक मिक्सिंग बाउल में, टुकड़े किए हुए पनीर, उबले आलू, चाट मसाला, "&amp;"गरम मसाला, लाल मिर्च पाउडर, काली मिर्च पाउडर, नमक और धनिया पत्ती डालें। इसे मिलाएँ और भरावन को शिमला मिर्च के साँचे में भरने के लिए खुद को पकड़ना होगा। पनीर मिश्रण का एक वांछित भाग लें और इसे शिमला मिर्च के छल्लों में भरें और इसे चपटा करें। एक सपाट नॉन-स्"&amp;"टिक पैन गरम करें, थोड़ा तेल छिड़कें और भरवां शिमला मिर्च रखें और दोनों तरफ से तब तक पकाएँ जब तक शिमला मिर्च पक न जाए। दोनों तरफ से लगभग 5 मिनट लगेंगे या एक बार हो जाने पर भरवां शिमला मिर्च को एक प्लेट पर रख दें जब तक आप मखनी की ग्रेवी बनाने के लिए आगे न ब"&amp;"ढ़ें। एक कढ़ाई में तेल गरम करें, उसमें दालचीनी, इलायची, तेज पत्ता जैसे साबुत मसाले डालें और इसे कुछ सेकंड के लिए तड़कने दें। प्याज का पेस्ट डालें और इसे लगभग एक मिनट तक भूनें। लाल मिर्च पाउडर, हल्दी पाउडर, गरम मसाला नमक और चीनी जैसे सभी मसाले छिड़कें और म"&amp;"िलाते रहें काजू और ताजा क्रीम डालकर चलाएँ। मध्यम आँच पर 10 मिनट तक ढक्कन से ढककर पकाएँ जब तक कि मखनी ग्रेवी मसालों और क्रीम के साथ अच्छी तरह से मिल न जाए। मखनी को चखें और नमक और मसालों को उसी हिसाब से समायोजित करें। एक बार हो जाने पर, आँच बंद कर दें और मख"&amp;"नी ग्रेवी को एक सर्विंग डिश में डालें और ग्रेवी के ऊपर भरी हुई शिमला मिर्च डालें और थोड़ी क्रीम डालें और गरमागरम परोसें। भरवां शिमला मिर्च मखनी रेसिपी को साबुत गेहूँ के नान, टमाटर प्याज खीरा रायता के साथ स्वादिष्ट भारतीय दोपहर के भोजन या रात के खाने के लि"&amp;"ए परोसें।")</f>
        <v>भरवां शिमला मिर्च मखनी बनाने के लिए, हम प्रेशर कुकर में टमाटर को 1/4 कप पानी के साथ कम से कम 2 सीटी आने तक पकाएँगे। एक बार हो जाने पर प्रेशर को अपने आप निकलने दें और ढक्कन खोलें। आप देखेंगे कि त्वचा छिल गई है, इससे पता चलता है कि टमाटर पक गए हैं, ध्यान से त्वचा को छीलें और उन्हें बड़े टुकड़ों में काट लें और मिक्सर में डालें। साथ ही कुकर में बचा हुआ पानी भी मिलाएँ। एक चिकनी प्यूरी बनाने के लिए ब्लेंड करें और एक तरफ रख दें। काजू को 2 से 3 बड़े चम्मच पानी के साथ ब्लेंड करके पेस्ट बना लें और एक तरफ रख दें। कटे हुए प्याज, लहसुन, जीरा, सूखी लाल मिर्च का पेस्ट बना लें और एक तरफ रख दें। शिमला मिर्च को 1 इंच के आकार के छल्ले में काट लें और एक तरफ रख दें। किसी भी बीज और अतिरिक्त सफेद त्वचा को हटा दें। एक मिक्सिंग बाउल में, टुकड़े किए हुए पनीर, उबले आलू, चाट मसाला, गरम मसाला, लाल मिर्च पाउडर, काली मिर्च पाउडर, नमक और धनिया पत्ती डालें। इसे मिलाएँ और भरावन को शिमला मिर्च के साँचे में भरने के लिए खुद को पकड़ना होगा। पनीर मिश्रण का एक वांछित भाग लें और इसे शिमला मिर्च के छल्लों में भरें और इसे चपटा करें। एक सपाट नॉन-स्टिक पैन गरम करें, थोड़ा तेल छिड़कें और भरवां शिमला मिर्च रखें और दोनों तरफ से तब तक पकाएँ जब तक शिमला मिर्च पक न जाए। दोनों तरफ से लगभग 5 मिनट लगेंगे या एक बार हो जाने पर भरवां शिमला मिर्च को एक प्लेट पर रख दें जब तक आप मखनी की ग्रेवी बनाने के लिए आगे न बढ़ें। एक कढ़ाई में तेल गरम करें, उसमें दालचीनी, इलायची, तेज पत्ता जैसे साबुत मसाले डालें और इसे कुछ सेकंड के लिए तड़कने दें। प्याज का पेस्ट डालें और इसे लगभग एक मिनट तक भूनें। लाल मिर्च पाउडर, हल्दी पाउडर, गरम मसाला नमक और चीनी जैसे सभी मसाले छिड़कें और मिलाते रहें काजू और ताजा क्रीम डालकर चलाएँ। मध्यम आँच पर 10 मिनट तक ढक्कन से ढककर पकाएँ जब तक कि मखनी ग्रेवी मसालों और क्रीम के साथ अच्छी तरह से मिल न जाए। मखनी को चखें और नमक और मसालों को उसी हिसाब से समायोजित करें। एक बार हो जाने पर, आँच बंद कर दें और मखनी ग्रेवी को एक सर्विंग डिश में डालें और ग्रेवी के ऊपर भरी हुई शिमला मिर्च डालें और थोड़ी क्रीम डालें और गरमागरम परोसें। भरवां शिमला मिर्च मखनी रेसिपी को साबुत गेहूँ के नान, टमाटर प्याज खीरा रायता के साथ स्वादिष्ट भारतीय दोपहर के भोजन या रात के खाने के लिए परोसें।</v>
      </c>
      <c r="J351" s="3" t="s">
        <v>32400</v>
      </c>
      <c r="L351" s="1" t="s">
        <v>31003</v>
      </c>
    </row>
    <row r="352" spans="1:12" ht="13.8">
      <c r="A352" s="1" t="s">
        <v>32401</v>
      </c>
      <c r="B352" s="1" t="str">
        <f ca="1">IFERROR(__xludf.dummyfunction("IF(A352="""", """", GOOGLETRANSLATE(A352, ""en"", ""hi""))"),"गेहूं और हरी मूंग खिचड़ी रेसिपी")</f>
        <v>गेहूं और हरी मूंग खिचड़ी रेसिपी</v>
      </c>
      <c r="C352" s="1" t="s">
        <v>429</v>
      </c>
      <c r="D352" s="1" t="s">
        <v>14237</v>
      </c>
      <c r="E352" s="1">
        <v>50</v>
      </c>
      <c r="F352" s="1" t="s">
        <v>32402</v>
      </c>
      <c r="G352" s="1" t="str">
        <f ca="1">IFERROR(__xludf.dummyfunction("IF(F352="""", """", GOOGLETRANSLATE(F352, ""en"", ""hi""))"),"1 कप दलिया - हल्का भुना हुआ, 1/2 कप हरी मूंग दाल (साबुत) - हल्का भुना हुआ और 30 मिनट के लिए पानी में भिगोया हुआ, 1 प्याज - बारीक कटा हुआ, 4 लहसुन, 1/4 कप हरी बीन्स (फ्रेंच बीन्स) - बारीक कटी हुई, 1 गाजर - बारीक कटी हुई, 1 बड़ा चम्मच घी, 1/2 चम्मच सरसों के"&amp;" बीज, 1/2 चम्मच जीरा, 5-6 करी पत्ते - हाथों से तोड़े हुए, 1/2 इंच अदरक - कसा हुआ, 1/2 चम्मच हल्दी पाउडर (हल्दी), 1/4 चम्मच हींग, 3-4 हरी मिर्च, पुदीना के पत्ते (पुदीना) - कुछ टहनियाँ कटी हुई, 1 चम्मच नींबू का रस")</f>
        <v>1 कप दलिया - हल्का भुना हुआ, 1/2 कप हरी मूंग दाल (साबुत) - हल्का भुना हुआ और 30 मिनट के लिए पानी में भिगोया हुआ, 1 प्याज - बारीक कटा हुआ, 4 लहसुन, 1/4 कप हरी बीन्स (फ्रेंच बीन्स) - बारीक कटी हुई, 1 गाजर - बारीक कटी हुई, 1 बड़ा चम्मच घी, 1/2 चम्मच सरसों के बीज, 1/2 चम्मच जीरा, 5-6 करी पत्ते - हाथों से तोड़े हुए, 1/2 इंच अदरक - कसा हुआ, 1/2 चम्मच हल्दी पाउडर (हल्दी), 1/4 चम्मच हींग, 3-4 हरी मिर्च, पुदीना के पत्ते (पुदीना) - कुछ टहनियाँ कटी हुई, 1 चम्मच नींबू का रस</v>
      </c>
      <c r="H352" s="1" t="s">
        <v>32403</v>
      </c>
      <c r="I352" s="1" t="str">
        <f ca="1">IFERROR(__xludf.dummyfunction("IF(H352="""", """", GOOGLETRANSLATE(H352, ""en"", ""hi""))"),"गेहूं और हरी मूंग की खिचड़ी बनाने के लिए, सबसे पहले लहसुन की कलियाँ, जीरा और हरी मिर्च को एक छोटे से मोर्टार और मूसल में पीस लें। इसे एक तरफ रख दें। प्रेशर कुकर में तेल या घी गरम करें और उसमें सरसों के दाने डालें। जब वे चटकने लगें, तो कुचला हुआ लहसुन-जीरा"&amp;"-मिर्च का पेस्ट और करी पत्ता डालें। कुछ सेकंड के लिए भूनें और फिर प्याज़ डालें। एक मिनट के लिए भूनें और फिर हल्दी पाउडर, हींग और अदरक डालें। इसे अच्छी तरह मिलाएँ और सभी सब्ज़ियाँ डालें। एक और मिनट के लिए भूनें और फिर दलिया और हरी मूंग डालें। पर्याप्त पानी"&amp;" डालें (आवश्यक स्थिरता के आधार पर) और अच्छी तरह मिलाएँ। दलिया जैसी स्थिरता के लिए लगभग 3 कप। थोड़ा नमक छिड़कें और इसे तब तक पकाएँ जब तक कुकर में 2 सीटी न आ जाएँ या अच्छी तरह पक न जाएँ। प्रेशर के अपने आप कम होने का इंतज़ार करें। खिचड़ी को कटे हुए पुदीना और"&amp;" धनिया, नींबू के रस (यदि उपयोग कर रहे हैं) से गार्निश करें और तुरंत परोसें। गेहूं और हरी मूंग की खिचड़ी को मूली रायता या गुजराती कढ़ी और पापड़ के साथ परोसें।")</f>
        <v>गेहूं और हरी मूंग की खिचड़ी बनाने के लिए, सबसे पहले लहसुन की कलियाँ, जीरा और हरी मिर्च को एक छोटे से मोर्टार और मूसल में पीस लें। इसे एक तरफ रख दें। प्रेशर कुकर में तेल या घी गरम करें और उसमें सरसों के दाने डालें। जब वे चटकने लगें, तो कुचला हुआ लहसुन-जीरा-मिर्च का पेस्ट और करी पत्ता डालें। कुछ सेकंड के लिए भूनें और फिर प्याज़ डालें। एक मिनट के लिए भूनें और फिर हल्दी पाउडर, हींग और अदरक डालें। इसे अच्छी तरह मिलाएँ और सभी सब्ज़ियाँ डालें। एक और मिनट के लिए भूनें और फिर दलिया और हरी मूंग डालें। पर्याप्त पानी डालें (आवश्यक स्थिरता के आधार पर) और अच्छी तरह मिलाएँ। दलिया जैसी स्थिरता के लिए लगभग 3 कप। थोड़ा नमक छिड़कें और इसे तब तक पकाएँ जब तक कुकर में 2 सीटी न आ जाएँ या अच्छी तरह पक न जाएँ। प्रेशर के अपने आप कम होने का इंतज़ार करें। खिचड़ी को कटे हुए पुदीना और धनिया, नींबू के रस (यदि उपयोग कर रहे हैं) से गार्निश करें और तुरंत परोसें। गेहूं और हरी मूंग की खिचड़ी को मूली रायता या गुजराती कढ़ी और पापड़ के साथ परोसें।</v>
      </c>
      <c r="J352" s="3" t="s">
        <v>32404</v>
      </c>
      <c r="L352" s="1" t="s">
        <v>31003</v>
      </c>
    </row>
    <row r="353" spans="1:12" ht="13.8">
      <c r="A353" s="1" t="s">
        <v>32405</v>
      </c>
      <c r="B353" s="1" t="str">
        <f ca="1">IFERROR(__xludf.dummyfunction("IF(A353="""", """", GOOGLETRANSLATE(A353, ""en"", ""hi""))"),"चना टिक्का मसाला रेसिपी")</f>
        <v>चना टिक्का मसाला रेसिपी</v>
      </c>
      <c r="C353" s="1" t="s">
        <v>145</v>
      </c>
      <c r="D353" s="1" t="s">
        <v>14237</v>
      </c>
      <c r="E353" s="1">
        <v>65</v>
      </c>
      <c r="F353" s="1" t="s">
        <v>32406</v>
      </c>
      <c r="G353" s="1" t="str">
        <f ca="1">IFERROR(__xludf.dummyfunction("IF(F353="""", """", GOOGLETRANSLATE(F353, ""en"", ""hi""))"),"1 कप काबुली चना - रातभर पानी में भिगोया हुआ, 1 प्याज - कटा हुआ, 2 टमाटर - कटे हुए, 1 इंच अदरक - कटा हुआ, 4 लहसुन - कटा हुआ, 1/2 छोटा चम्मच हल्दी, 1 बड़ा चम्मच लाल मिर्च पाउडर, 1 छोटा चम्मच जीरा, 1 छोटा चम्मच धनिया पाउडर, 2 बड़े चम्मच गरम मसाला पाउडर, 1/2 "&amp;"कप नारियल का दूध, नमक - स्वादानुसार")</f>
        <v>1 कप काबुली चना - रातभर पानी में भिगोया हुआ, 1 प्याज - कटा हुआ, 2 टमाटर - कटे हुए, 1 इंच अदरक - कटा हुआ, 4 लहसुन - कटा हुआ, 1/2 छोटा चम्मच हल्दी, 1 बड़ा चम्मच लाल मिर्च पाउडर, 1 छोटा चम्मच जीरा, 1 छोटा चम्मच धनिया पाउडर, 2 बड़े चम्मच गरम मसाला पाउडर, 1/2 कप नारियल का दूध, नमक - स्वादानुसार</v>
      </c>
      <c r="H353" s="1" t="s">
        <v>32407</v>
      </c>
      <c r="I353" s="1" t="str">
        <f ca="1">IFERROR(__xludf.dummyfunction("IF(H353="""", """", GOOGLETRANSLATE(H353, ""en"", ""hi""))"),"छोले टिक्का मसाला बनाने के लिए सबसे पहले हम छोले को रात भर पानी में भिगो देंगे. छोले को पानी के साथ लगभग 30 मिनट तक पकाएँ जब तक कि छोले पक न जाएँ. एक कढ़ाई में तेल गरम करें, उसमें प्याज़, लहसुन और अदरक डालें और उसे नरम और कुरकुरा होने तक भूनें. इसमें लगभग"&amp;" 2 मिनट का समय लगेगा. 2 मिनट के बाद, सूची में बताए गए सभी मसाले पाउडर डालें और अच्छी तरह से भूनें. कटे हुए टमाटर डालें और टमाटर के नरम होने तक भूनें और करछुल से मैश कर लें. थोड़ा नमक छिड़कें इससे यह तेजी से पकने में मदद करेगा. सभी सामग्री एक साथ मिल जाने "&amp;"के बाद, आप अपने पके हुए छोले डाल सकते हैं और अच्छी तरह मिला सकते हैं. नमक की जाँच करें और अंत में नारियल का दूध डालें और मिलाएँ. छोले टिक्का मसाला को उबले हुए चावल, जीरा पुलाव या तवा पराठे के साथ परोसें और अपने रोज़ाना के दोपहर के भोजन का आनंद लें.")</f>
        <v>छोले टिक्का मसाला बनाने के लिए सबसे पहले हम छोले को रात भर पानी में भिगो देंगे. छोले को पानी के साथ लगभग 30 मिनट तक पकाएँ जब तक कि छोले पक न जाएँ. एक कढ़ाई में तेल गरम करें, उसमें प्याज़, लहसुन और अदरक डालें और उसे नरम और कुरकुरा होने तक भूनें. इसमें लगभग 2 मिनट का समय लगेगा. 2 मिनट के बाद, सूची में बताए गए सभी मसाले पाउडर डालें और अच्छी तरह से भूनें. कटे हुए टमाटर डालें और टमाटर के नरम होने तक भूनें और करछुल से मैश कर लें. थोड़ा नमक छिड़कें इससे यह तेजी से पकने में मदद करेगा. सभी सामग्री एक साथ मिल जाने के बाद, आप अपने पके हुए छोले डाल सकते हैं और अच्छी तरह मिला सकते हैं. नमक की जाँच करें और अंत में नारियल का दूध डालें और मिलाएँ. छोले टिक्का मसाला को उबले हुए चावल, जीरा पुलाव या तवा पराठे के साथ परोसें और अपने रोज़ाना के दोपहर के भोजन का आनंद लें.</v>
      </c>
      <c r="J353" s="3" t="s">
        <v>32408</v>
      </c>
      <c r="L353" s="1" t="s">
        <v>31003</v>
      </c>
    </row>
    <row r="354" spans="1:12" ht="13.8">
      <c r="A354" s="1" t="s">
        <v>32409</v>
      </c>
      <c r="B354" s="1" t="str">
        <f ca="1">IFERROR(__xludf.dummyfunction("IF(A354="""", """", GOOGLETRANSLATE(A354, ""en"", ""hi""))"),"बथुआ आलू पराठा रेसिपी")</f>
        <v>बथुआ आलू पराठा रेसिपी</v>
      </c>
      <c r="C354" s="1" t="s">
        <v>16424</v>
      </c>
      <c r="D354" s="1" t="s">
        <v>14198</v>
      </c>
      <c r="E354" s="1">
        <v>70</v>
      </c>
      <c r="F354" s="1" t="s">
        <v>32410</v>
      </c>
      <c r="G354" s="1" t="str">
        <f ca="1">IFERROR(__xludf.dummyfunction("IF(F354="""", """", GOOGLETRANSLATE(F354, ""en"", ""hi""))"),"4 कप बथुआ के पत्ते - बारीक कटे हुए, 2 आलू (आलू) - उबले हुए, 3 लहसुन के दाने - बारीक कटे हुए, 2 हरी मिर्च - बारीक कटी हुई, 1/2 प्याज - बारीक कटा हुआ, घी - पकाने के लिए, 1 चम्मच गरम मसाला पाउडर, 1 चम्मच आमचूर (सूखा आम पाउडर), 2 कप गेहूं का आटा, 1 चम्मच नमक,"&amp;" पानी - आटा गूंधने के लिए")</f>
        <v>4 कप बथुआ के पत्ते - बारीक कटे हुए, 2 आलू (आलू) - उबले हुए, 3 लहसुन के दाने - बारीक कटे हुए, 2 हरी मिर्च - बारीक कटी हुई, 1/2 प्याज - बारीक कटा हुआ, घी - पकाने के लिए, 1 चम्मच गरम मसाला पाउडर, 1 चम्मच आमचूर (सूखा आम पाउडर), 2 कप गेहूं का आटा, 1 चम्मच नमक, पानी - आटा गूंधने के लिए</v>
      </c>
      <c r="H354" s="1" t="s">
        <v>32411</v>
      </c>
      <c r="I354" s="1" t="str">
        <f ca="1">IFERROR(__xludf.dummyfunction("IF(H354="""", """", GOOGLETRANSLATE(H354, ""en"", ""hi""))"),"आलू बथुआ पराठा बनाने के लिए सबसे पहले आलू को प्रेशर कुकर में पानी के साथ डालकर 3 से 4 सीटी आने तक पकाएं और आंच बंद कर दें। प्रेशर को अपने आप निकलने दें। प्रेशर निकल जाने पर आलू का छिलका उतार लें और मसल कर एक तरफ रख दें। इसके बाद पराठों के लिए आटा गूंथ लें"&amp;"। एक बाउल में गेहूं का आटा और नमक डालकर पानी मिलाते हुए नरम आटा गूंथ लें। भरावन तैयार होने तक एक तरफ रख दें। बथुआ के पत्तों को डंठल से अलग कर लें और डंठल निकाल दें। बथुआ के पत्तों को धोकर काट लें। एक पैन को तेज आंच पर गर्म करें, उसमें बथुआ के पत्ते डालें "&amp;"और बथुआ के पत्तों को नरम होने तक पकाएं और सारा पानी सूख जाए। सुनिश्चित करें कि बथुआ से नमी का कोई अवशेष न रह जाए। आंच बंद कर दें और बथुआ के पत्तों को ठंडा होने दें इसे चखें और स्वादानुसार मसाले डालें। एक तवा को मध्यम आंच पर गर्म करें और पराठे बनाना शुरू क"&amp;"रें। पराठा बनाने के लिए आलू बथुआ पराठे के आटे का आवश्यक भाग लें और उस पर सूखा गेहूं का आटा छिड़कें और तीन इंच व्यास में फैला लें। आलू बथुआ का मिश्रण लें जो आपके द्वारा लिए गए आटे के आकार से बड़ा होना चाहिए और बीच में रखें। किनारों को मोड़ें और गेंद को बंद"&amp;" करने के लिए आटे को केंद्र की ओर लाएं। ऊपर से अतिरिक्त आटा हटा दें। आलू बथुआ पराठे को गेहूं के आटे से धूली हुई सपाट सतह पर रखें और धीरे से बेलें। एक बार जब आप वांछित आकार और मोटाई तक पहुँच जाते हैं तो आलू बथुआ पराठे को पहले से गरम तवे पर रखें और तब तक पका"&amp;"एं जब तक कि आलू बथुआ पराठा दोनों तरफ से सुनहरा न हो जाए एक बार हो जाने पर, तवा से उतार लें और इसी तरह बाकी पराठे बनाने के लिए आगे बढ़ें और गरमागरम परोसें। बथुआ आलू पराठा रेसिपी को शलगम गाजर और गोभी का अचार, दही और एक कप अदरक चाय के साथ एक विशेष सप्ताहांत "&amp;"नाश्ते के लिए परोसें।")</f>
        <v>आलू बथुआ पराठा बनाने के लिए सबसे पहले आलू को प्रेशर कुकर में पानी के साथ डालकर 3 से 4 सीटी आने तक पकाएं और आंच बंद कर दें। प्रेशर को अपने आप निकलने दें। प्रेशर निकल जाने पर आलू का छिलका उतार लें और मसल कर एक तरफ रख दें। इसके बाद पराठों के लिए आटा गूंथ लें। एक बाउल में गेहूं का आटा और नमक डालकर पानी मिलाते हुए नरम आटा गूंथ लें। भरावन तैयार होने तक एक तरफ रख दें। बथुआ के पत्तों को डंठल से अलग कर लें और डंठल निकाल दें। बथुआ के पत्तों को धोकर काट लें। एक पैन को तेज आंच पर गर्म करें, उसमें बथुआ के पत्ते डालें और बथुआ के पत्तों को नरम होने तक पकाएं और सारा पानी सूख जाए। सुनिश्चित करें कि बथुआ से नमी का कोई अवशेष न रह जाए। आंच बंद कर दें और बथुआ के पत्तों को ठंडा होने दें इसे चखें और स्वादानुसार मसाले डालें। एक तवा को मध्यम आंच पर गर्म करें और पराठे बनाना शुरू करें। पराठा बनाने के लिए आलू बथुआ पराठे के आटे का आवश्यक भाग लें और उस पर सूखा गेहूं का आटा छिड़कें और तीन इंच व्यास में फैला लें। आलू बथुआ का मिश्रण लें जो आपके द्वारा लिए गए आटे के आकार से बड़ा होना चाहिए और बीच में रखें। किनारों को मोड़ें और गेंद को बंद करने के लिए आटे को केंद्र की ओर लाएं। ऊपर से अतिरिक्त आटा हटा दें। आलू बथुआ पराठे को गेहूं के आटे से धूली हुई सपाट सतह पर रखें और धीरे से बेलें। एक बार जब आप वांछित आकार और मोटाई तक पहुँच जाते हैं तो आलू बथुआ पराठे को पहले से गरम तवे पर रखें और तब तक पकाएं जब तक कि आलू बथुआ पराठा दोनों तरफ से सुनहरा न हो जाए एक बार हो जाने पर, तवा से उतार लें और इसी तरह बाकी पराठे बनाने के लिए आगे बढ़ें और गरमागरम परोसें। बथुआ आलू पराठा रेसिपी को शलगम गाजर और गोभी का अचार, दही और एक कप अदरक चाय के साथ एक विशेष सप्ताहांत नाश्ते के लिए परोसें।</v>
      </c>
      <c r="J354" s="3" t="s">
        <v>32412</v>
      </c>
      <c r="L354" s="1" t="s">
        <v>31003</v>
      </c>
    </row>
    <row r="355" spans="1:12" ht="13.8">
      <c r="A355" s="1" t="s">
        <v>32413</v>
      </c>
      <c r="B355" s="1" t="str">
        <f ca="1">IFERROR(__xludf.dummyfunction("IF(A355="""", """", GOOGLETRANSLATE(A355, ""en"", ""hi""))"),"केसर पुलाव रेसिपी")</f>
        <v>केसर पुलाव रेसिपी</v>
      </c>
      <c r="C355" s="1" t="s">
        <v>429</v>
      </c>
      <c r="D355" s="1" t="s">
        <v>14198</v>
      </c>
      <c r="E355" s="1">
        <v>25</v>
      </c>
      <c r="F355" s="1" t="s">
        <v>32414</v>
      </c>
      <c r="G355" s="1" t="str">
        <f ca="1">IFERROR(__xludf.dummyfunction("IF(F355="""", """", GOOGLETRANSLATE(F355, ""en"", ""hi""))"),"2 कप पानी, 1-1/2 कप चावल, 1 प्याज - बारीक कटा हुआ, 2 बड़े चम्मच मक्खन, 1/2 छोटा चम्मच केसर, 2 बड़े चम्मच दूध - गर्म, नमक - स्वादानुसार")</f>
        <v>2 कप पानी, 1-1/2 कप चावल, 1 प्याज - बारीक कटा हुआ, 2 बड़े चम्मच मक्खन, 1/2 छोटा चम्मच केसर, 2 बड़े चम्मच दूध - गर्म, नमक - स्वादानुसार</v>
      </c>
      <c r="H355" s="1" t="s">
        <v>32415</v>
      </c>
      <c r="I355" s="1" t="str">
        <f ca="1">IFERROR(__xludf.dummyfunction("IF(H355="""", """", GOOGLETRANSLATE(H355, ""en"", ""hi""))"),"केसर पुलाव रेसिपी बनाने के लिए सबसे पहले एक छोटे से बाउल में गर्म दूध और केसर डालकर एक तरफ रख दें। अब एक सॉस पैन में मक्खन गर्म करें। अब इसमें प्याज डालकर सुनहरा होने तक पकाएं। प्याज के पक जाने के बाद इसमें पानी, केसर वाला दूध, नमक डालकर उबलने दें। उबलने "&amp;"के बाद इसमें चावल डालकर ढककर धीमी आंच पर 25 मिनट तक पकने दें। चावल के पक जाने के बाद गैस बंद कर दें और पुलाव को 10 से 15 मिनट तक ऐसे ही रहने दें। 10 से 15 मिनट बाद ढक्कन हटाकर पुलाव को मिक्स करें और सर्व करें। केसर पुलाव रेसिपी को पनीर बटर मसाला, दाल फ्रा"&amp;"ई और फुल्के के साथ लंच में सर्व करें।")</f>
        <v>केसर पुलाव रेसिपी बनाने के लिए सबसे पहले एक छोटे से बाउल में गर्म दूध और केसर डालकर एक तरफ रख दें। अब एक सॉस पैन में मक्खन गर्म करें। अब इसमें प्याज डालकर सुनहरा होने तक पकाएं। प्याज के पक जाने के बाद इसमें पानी, केसर वाला दूध, नमक डालकर उबलने दें। उबलने के बाद इसमें चावल डालकर ढककर धीमी आंच पर 25 मिनट तक पकने दें। चावल के पक जाने के बाद गैस बंद कर दें और पुलाव को 10 से 15 मिनट तक ऐसे ही रहने दें। 10 से 15 मिनट बाद ढक्कन हटाकर पुलाव को मिक्स करें और सर्व करें। केसर पुलाव रेसिपी को पनीर बटर मसाला, दाल फ्राई और फुल्के के साथ लंच में सर्व करें।</v>
      </c>
      <c r="J355" s="3" t="s">
        <v>32416</v>
      </c>
      <c r="L355" s="1" t="s">
        <v>31003</v>
      </c>
    </row>
    <row r="356" spans="1:12" ht="13.8">
      <c r="A356" s="1" t="s">
        <v>32417</v>
      </c>
      <c r="B356" s="1" t="str">
        <f ca="1">IFERROR(__xludf.dummyfunction("IF(A356="""", """", GOOGLETRANSLATE(A356, ""en"", ""hi""))"),"उत्तर भारतीय चवली की सब्जी रेसिपी | यार्ड लॉन्ग बीन्स | बरबटी | करमनी")</f>
        <v>उत्तर भारतीय चवली की सब्जी रेसिपी | यार्ड लॉन्ग बीन्स | बरबटी | करमनी</v>
      </c>
      <c r="C356" s="1" t="s">
        <v>145</v>
      </c>
      <c r="D356" s="1" t="s">
        <v>14198</v>
      </c>
      <c r="E356" s="1">
        <v>40</v>
      </c>
      <c r="F356" s="1" t="s">
        <v>32418</v>
      </c>
      <c r="G356" s="1" t="str">
        <f ca="1">IFERROR(__xludf.dummyfunction("IF(F356="""", """", GOOGLETRANSLATE(F356, ""en"", ""hi""))"),"300 ग्राम हरी चवली बीन्स (यार्ड लॉन्ग बीन्स / करमनी / बरबटी) - बारीक कटी हुई, 1 अजवाइन (कैरम के बीज), 4 लहसुन के दाने - बारीक कटा हुआ, 2 टमाटर - बारीक कटे हुए, 1 चम्मच लाल मिर्च पाउडर, 1/2 चम्मच हल्दी पाउडर (हल्दी), 1/4 चम्मच गरम मसाला पाउडर, 2 चम्मच धनिय"&amp;"ा पाउडर (धनिया), 1 चम्मच अमचूर (सूखा आम पाउडर), 1 बड़ा चम्मच गुड़, नमक - स्वादानुसार, सरसों का तेल")</f>
        <v>300 ग्राम हरी चवली बीन्स (यार्ड लॉन्ग बीन्स / करमनी / बरबटी) - बारीक कटी हुई, 1 अजवाइन (कैरम के बीज), 4 लहसुन के दाने - बारीक कटा हुआ, 2 टमाटर - बारीक कटे हुए, 1 चम्मच लाल मिर्च पाउडर, 1/2 चम्मच हल्दी पाउडर (हल्दी), 1/4 चम्मच गरम मसाला पाउडर, 2 चम्मच धनिया पाउडर (धनिया), 1 चम्मच अमचूर (सूखा आम पाउडर), 1 बड़ा चम्मच गुड़, नमक - स्वादानुसार, सरसों का तेल</v>
      </c>
      <c r="H356" s="1" t="s">
        <v>32419</v>
      </c>
      <c r="I356" s="1" t="str">
        <f ca="1">IFERROR(__xludf.dummyfunction("IF(H356="""", """", GOOGLETRANSLATE(H356, ""en"", ""hi""))"),"उत्तर भारतीय चवली की सब्जी बनाने की विधि शुरू करने के लिए, बीन्स को काट लें और थोड़ा नमक और 2 बड़े चम्मच पानी के साथ दो सीटी आने तक पकाएँ और आँच बंद कर दें। बीन्स का ताज़ा हरा रंग बनाए रखने के लिए तुरंत प्रेशर छोड़ दें। एक कड़ाही में तेल गरम करें, उसमें अ"&amp;"जवाइन डालें और उसे चटकने दें। लहसुन डालें और कुछ सेकंड के लिए भूनें। टमाटर, हल्दी, लाल मिर्च, धनिया, अमचूर पाउडर डालें और टमाटर के नरम होने तक भूनें। अंत में पकी हुई हरी चवली, गुड़ डालें, यदि आवश्यक हो तो और नमक डालें और 3 से 4 मिनट तक अच्छी तरह मिलाएँ। ह"&amp;"ो जाने पर, स्वाद जाँचें और मसालों को तदनुसार समायोजित करें और चवली की सब्जी को एक सर्विंग बाउल में डालें। उत्तर भारतीय चवली की सब्जी रेसिपी को फुल्का, ढाबा स्टाइल दाल फ्राई और दही के साथ परोसें और एक हेल्दी लंच या डिनर बनाएँ।")</f>
        <v>उत्तर भारतीय चवली की सब्जी बनाने की विधि शुरू करने के लिए, बीन्स को काट लें और थोड़ा नमक और 2 बड़े चम्मच पानी के साथ दो सीटी आने तक पकाएँ और आँच बंद कर दें। बीन्स का ताज़ा हरा रंग बनाए रखने के लिए तुरंत प्रेशर छोड़ दें। एक कड़ाही में तेल गरम करें, उसमें अजवाइन डालें और उसे चटकने दें। लहसुन डालें और कुछ सेकंड के लिए भूनें। टमाटर, हल्दी, लाल मिर्च, धनिया, अमचूर पाउडर डालें और टमाटर के नरम होने तक भूनें। अंत में पकी हुई हरी चवली, गुड़ डालें, यदि आवश्यक हो तो और नमक डालें और 3 से 4 मिनट तक अच्छी तरह मिलाएँ। हो जाने पर, स्वाद जाँचें और मसालों को तदनुसार समायोजित करें और चवली की सब्जी को एक सर्विंग बाउल में डालें। उत्तर भारतीय चवली की सब्जी रेसिपी को फुल्का, ढाबा स्टाइल दाल फ्राई और दही के साथ परोसें और एक हेल्दी लंच या डिनर बनाएँ।</v>
      </c>
      <c r="J356" s="3" t="s">
        <v>32420</v>
      </c>
      <c r="L356" s="1" t="s">
        <v>31003</v>
      </c>
    </row>
    <row r="357" spans="1:12" ht="13.8">
      <c r="A357" s="1" t="s">
        <v>32421</v>
      </c>
      <c r="B357" s="1" t="str">
        <f ca="1">IFERROR(__xludf.dummyfunction("IF(A357="""", """", GOOGLETRANSLATE(A357, ""en"", ""hi""))"),"मेथी मखाना मटर कोरमा रेसिपी - मेथी, हरी मटर और कमल के बीज की करी")</f>
        <v>मेथी मखाना मटर कोरमा रेसिपी - मेथी, हरी मटर और कमल के बीज की करी</v>
      </c>
      <c r="C357" s="1" t="s">
        <v>145</v>
      </c>
      <c r="D357" s="1" t="s">
        <v>14338</v>
      </c>
      <c r="E357" s="1">
        <v>40</v>
      </c>
      <c r="F357" s="1" t="s">
        <v>32422</v>
      </c>
      <c r="G357" s="1" t="str">
        <f ca="1">IFERROR(__xludf.dummyfunction("IF(F357="""", """", GOOGLETRANSLATE(F357, ""en"", ""hi""))"),"1 कप मेथी के पत्ते - बारीक कटे हुए, 1 कप हरी मटर - उबले हुए, 1-1/2 कप कमल के बीज, 1 बड़ा चम्मच घी, 2 लहसुन के दाने, 1 इंच अदरक, 2 हरी मिर्च - कटी हुई, 1 छोटा चम्मच जीरा, 1 प्याज - बारीक कटा हुआ, 1/2 कप घर का बना टमाटर प्यूरी, 1 छोटा चम्मच जीरा, 2 छोटे चम्"&amp;"मच लाल मिर्च पाउडर, 1 छोटा चम्मच हल्दी, 1 छोटा चम्मच धनिया पाउडर, 1 छोटा चम्मच गरम मसाला पाउडर, 1 तेज पत्ता, 1/4 कप दूध, 1 बड़ा चम्मच सूरजमुखी तेल, नमक - स्वादानुसार")</f>
        <v>1 कप मेथी के पत्ते - बारीक कटे हुए, 1 कप हरी मटर - उबले हुए, 1-1/2 कप कमल के बीज, 1 बड़ा चम्मच घी, 2 लहसुन के दाने, 1 इंच अदरक, 2 हरी मिर्च - कटी हुई, 1 छोटा चम्मच जीरा, 1 प्याज - बारीक कटा हुआ, 1/2 कप घर का बना टमाटर प्यूरी, 1 छोटा चम्मच जीरा, 2 छोटे चम्मच लाल मिर्च पाउडर, 1 छोटा चम्मच हल्दी, 1 छोटा चम्मच धनिया पाउडर, 1 छोटा चम्मच गरम मसाला पाउडर, 1 तेज पत्ता, 1/4 कप दूध, 1 बड़ा चम्मच सूरजमुखी तेल, नमक - स्वादानुसार</v>
      </c>
      <c r="H357" s="1" t="s">
        <v>32423</v>
      </c>
      <c r="I357" s="1" t="str">
        <f ca="1">IFERROR(__xludf.dummyfunction("IF(H357="""", """", GOOGLETRANSLATE(H357, ""en"", ""hi""))"),"मेथी मखाना मटर कोरमा रेसिपी बनाने के लिए सभी सामग्री तैयार कर लें और उन्हें तैयार रख लें। पहला कदम मखाने को भूनना और उन्हें तैयार रखना है। एक चौड़े पैन में मध्यम आँच पर घी गर्म करें और उसमें मखाना डालें और कुरकुरा होने तक भूनें। सुनिश्चित करें कि आप धीमी "&amp;"से मध्यम आँच पर भूनें और मखाने के कुरकुरा होने तक हिलाते रहें। एक बार हो जाने पर इसे एक तरफ रख दें। इसके बाद एक मिक्सर ग्राइंडर में अदरक, लहसुन और हरी मिर्च डालें और उन्हें एक चिकने पेस्ट में पीस लें। इन्हें एक तरफ रख दें। एक भारी तले की कड़ाही में तेल गर"&amp;"्म करें और उसमें तेज पत्ता, जीरा और अदरक लहसुन हरी मिर्च का पेस्ट डालें। इसमें कटा हुआ प्याज डालें और प्याज के नरम होने और हल्के सुनहरे रंग का होने तक भूनें। मेथी के पत्ते बहुत जल्दी पक जाते हैं और इसमें लगभग एक मिनट या उससे भी कम समय लगता है। पक जाने के "&amp;"बाद, टमाटर प्यूरी, दूध, उबले हुए हरे मटर, नमक, जीरा पाउडर, गरम मसाला, धनिया पाउडर, हल्दी पाउडर और लाल मिर्च पाउडर डालकर चलाएँ। मेथी मटर कुर्मा को लगभग 2 से 3 मिनट तक उबलने दें, जब तक कि यह उबल न जाए। नमक और मसालों की जाँच करें और स्वाद के अनुसार समायोजित "&amp;"करें। अंत में मखाना/कमल के बीज और कटा हुआ धनिया पत्ता डालें और परोसें। मधुमेह के अनुकूल रात के खाने या दोपहर के भोजन के लिए पालक रायता और ज्वार की रोटी के साथ मेथी मखाना मटर कोरमा रेसिपी परोसें।")</f>
        <v>मेथी मखाना मटर कोरमा रेसिपी बनाने के लिए सभी सामग्री तैयार कर लें और उन्हें तैयार रख लें। पहला कदम मखाने को भूनना और उन्हें तैयार रखना है। एक चौड़े पैन में मध्यम आँच पर घी गर्म करें और उसमें मखाना डालें और कुरकुरा होने तक भूनें। सुनिश्चित करें कि आप धीमी से मध्यम आँच पर भूनें और मखाने के कुरकुरा होने तक हिलाते रहें। एक बार हो जाने पर इसे एक तरफ रख दें। इसके बाद एक मिक्सर ग्राइंडर में अदरक, लहसुन और हरी मिर्च डालें और उन्हें एक चिकने पेस्ट में पीस लें। इन्हें एक तरफ रख दें। एक भारी तले की कड़ाही में तेल गर्म करें और उसमें तेज पत्ता, जीरा और अदरक लहसुन हरी मिर्च का पेस्ट डालें। इसमें कटा हुआ प्याज डालें और प्याज के नरम होने और हल्के सुनहरे रंग का होने तक भूनें। मेथी के पत्ते बहुत जल्दी पक जाते हैं और इसमें लगभग एक मिनट या उससे भी कम समय लगता है। पक जाने के बाद, टमाटर प्यूरी, दूध, उबले हुए हरे मटर, नमक, जीरा पाउडर, गरम मसाला, धनिया पाउडर, हल्दी पाउडर और लाल मिर्च पाउडर डालकर चलाएँ। मेथी मटर कुर्मा को लगभग 2 से 3 मिनट तक उबलने दें, जब तक कि यह उबल न जाए। नमक और मसालों की जाँच करें और स्वाद के अनुसार समायोजित करें। अंत में मखाना/कमल के बीज और कटा हुआ धनिया पत्ता डालें और परोसें। मधुमेह के अनुकूल रात के खाने या दोपहर के भोजन के लिए पालक रायता और ज्वार की रोटी के साथ मेथी मखाना मटर कोरमा रेसिपी परोसें।</v>
      </c>
      <c r="J357" s="3" t="s">
        <v>32424</v>
      </c>
      <c r="L357" s="1" t="s">
        <v>31003</v>
      </c>
    </row>
    <row r="358" spans="1:12" ht="13.8">
      <c r="A358" s="1" t="s">
        <v>32425</v>
      </c>
      <c r="B358" s="1" t="str">
        <f ca="1">IFERROR(__xludf.dummyfunction("IF(A358="""", """", GOOGLETRANSLATE(A358, ""en"", ""hi""))"),"चिली पनीर रेसिपी - इंडो चाइनीज")</f>
        <v>चिली पनीर रेसिपी - इंडो चाइनीज</v>
      </c>
      <c r="C358" s="1" t="s">
        <v>14572</v>
      </c>
      <c r="D358" s="1" t="s">
        <v>14237</v>
      </c>
      <c r="E358" s="1">
        <v>40</v>
      </c>
      <c r="F358" s="1" t="s">
        <v>32426</v>
      </c>
      <c r="G358" s="1" t="str">
        <f ca="1">IFERROR(__xludf.dummyfunction("IF(F358="""", """", GOOGLETRANSLATE(F358, ""en"", ""hi""))"),"200 ग्राम पनीर (घर का बना पनीर) - क्यूब्स में कटा हुआ, 1/4 कप लाल बेल मिर्च (शिमला मिर्च) - कटा हुआ, 1/4 कप हरी बेल मिर्च (शिमला मिर्च) - कटा हुआ, 1/2 कप स्प्रिंग प्याज (बल्ब और ग्रीन्स) - कटा हुआ, 1 चम्मच लहसुन - बारीक कटा हुआ, 2 चम्मच अदरक - बारीक कटा ह"&amp;"ुआ, 2 थाई लाल मिर्च (बर्ड्स आई मिर्च) - कटा हुआ, 1 बड़ा चम्मच मकई का आटा, 1 बड़ा चम्मच सोया सॉस, 1 बड़ा चम्मच टमाटर केचप, 1 चम्मच लाल मिर्च सॉस, 1 बड़ा चम्मच तिल (जिंजेली) तेल, नमक - स्वादानुसार")</f>
        <v>200 ग्राम पनीर (घर का बना पनीर) - क्यूब्स में कटा हुआ, 1/4 कप लाल बेल मिर्च (शिमला मिर्च) - कटा हुआ, 1/4 कप हरी बेल मिर्च (शिमला मिर्च) - कटा हुआ, 1/2 कप स्प्रिंग प्याज (बल्ब और ग्रीन्स) - कटा हुआ, 1 चम्मच लहसुन - बारीक कटा हुआ, 2 चम्मच अदरक - बारीक कटा हुआ, 2 थाई लाल मिर्च (बर्ड्स आई मिर्च) - कटा हुआ, 1 बड़ा चम्मच मकई का आटा, 1 बड़ा चम्मच सोया सॉस, 1 बड़ा चम्मच टमाटर केचप, 1 चम्मच लाल मिर्च सॉस, 1 बड़ा चम्मच तिल (जिंजेली) तेल, नमक - स्वादानुसार</v>
      </c>
      <c r="H358" s="1" t="s">
        <v>32427</v>
      </c>
      <c r="I358" s="1" t="str">
        <f ca="1">IFERROR(__xludf.dummyfunction("IF(H358="""", """", GOOGLETRANSLATE(H358, ""en"", ""hi""))"),"चिली पनीर रेसिपी बनाने के लिए सबसे पहले कॉर्न फ्लोर को ¼ कप पानी के साथ मिला लें। कॉर्न फ्लोर के मिश्रण में सोया सॉस, केचप, चिली सॉस और नमक डालकर मिलाएँ। तेज़ आँच पर एक कड़ाही या फ्राइंग पैन में तेल गर्म करें; इसमें लहसुन, अदरक, थाई लाल मिर्च, हरे प्याज़ "&amp;"डालें और कुछ सेकंड के लिए भूनें। नरम होने तक मध्यम आँच पर शिमला मिर्च और सॉस डालें। जब मिर्च नरम हो जाए, तो ऊपर दिए गए मिश्रण में कॉर्न फ्लोर मिलाएँ और कुछ मिनट तक पकाएँ जब तक कि चिली सॉस गाढ़ा न हो जाए। इस अवस्था में पनीर के टुकड़े मिलाएँ, आँच तेज़ कर दे"&amp;"ं और सॉस के साथ अच्छी तरह मिल जाने तक कुछ मिनट तक भूनें। अगर आपको तीखा पसंद है तो चिली पनीर को हरे प्याज़ के पत्तों और अतिरिक्त हरी मिर्च से गार्निश करें। चिली पनीर को चिली धनिया फ्राइड राइस और सिचुआन सॉस में भुने बैंगन जैसे अन्य इंडो चाइनीज व्यंजनों के स"&amp;"ाथ परोसें।")</f>
        <v>चिली पनीर रेसिपी बनाने के लिए सबसे पहले कॉर्न फ्लोर को ¼ कप पानी के साथ मिला लें। कॉर्न फ्लोर के मिश्रण में सोया सॉस, केचप, चिली सॉस और नमक डालकर मिलाएँ। तेज़ आँच पर एक कड़ाही या फ्राइंग पैन में तेल गर्म करें; इसमें लहसुन, अदरक, थाई लाल मिर्च, हरे प्याज़ डालें और कुछ सेकंड के लिए भूनें। नरम होने तक मध्यम आँच पर शिमला मिर्च और सॉस डालें। जब मिर्च नरम हो जाए, तो ऊपर दिए गए मिश्रण में कॉर्न फ्लोर मिलाएँ और कुछ मिनट तक पकाएँ जब तक कि चिली सॉस गाढ़ा न हो जाए। इस अवस्था में पनीर के टुकड़े मिलाएँ, आँच तेज़ कर दें और सॉस के साथ अच्छी तरह मिल जाने तक कुछ मिनट तक भूनें। अगर आपको तीखा पसंद है तो चिली पनीर को हरे प्याज़ के पत्तों और अतिरिक्त हरी मिर्च से गार्निश करें। चिली पनीर को चिली धनिया फ्राइड राइस और सिचुआन सॉस में भुने बैंगन जैसे अन्य इंडो चाइनीज व्यंजनों के साथ परोसें।</v>
      </c>
      <c r="J358" s="3" t="s">
        <v>32428</v>
      </c>
      <c r="L358" s="1" t="s">
        <v>31003</v>
      </c>
    </row>
    <row r="359" spans="1:12" ht="13.8">
      <c r="A359" s="1" t="s">
        <v>32429</v>
      </c>
      <c r="B359" s="1" t="str">
        <f ca="1">IFERROR(__xludf.dummyfunction("IF(A359="""", """", GOOGLETRANSLATE(A359, ""en"", ""hi""))"),"मूंग दाल घुघरा रेसिपी (गुजिया/ करंजी)")</f>
        <v>मूंग दाल घुघरा रेसिपी (गुजिया/ करंजी)</v>
      </c>
      <c r="C359" s="1" t="s">
        <v>14281</v>
      </c>
      <c r="D359" s="1" t="s">
        <v>14198</v>
      </c>
      <c r="E359" s="1">
        <v>90</v>
      </c>
      <c r="F359" s="1" t="s">
        <v>32430</v>
      </c>
      <c r="G359" s="1" t="str">
        <f ca="1">IFERROR(__xludf.dummyfunction("IF(F359="""", """", GOOGLETRANSLATE(F359, ""en"", ""hi""))"),"2 कप विवत्ता मैदा, 1/2 कप घी, 1/4 चम्मच नमक, पानी - गूंधने के लिए, सूरजमुखी तेल - तलने के लिए, 2 कप हरी मूंग दाल (साबुत) - भिगोकर भाप में पकाई हुई, 1 चम्मच जीरा - दरदरा कुटा हुआ, 1 चम्मच सौंफ - दरदरा कुटा हुआ, 1 चम्मच तिल, 2 चम्मच चीनी, 1/2 चम्मच हींग, 1 "&amp;"चम्मच आमचूर, 1/2 चम्मच हल्दी, 1/2 चम्मच लाल मिर्च पाउडर, 2 हरी मिर्च - बारीक कटी हुई, 1 इंच अदरक - कसा हुआ, नमक - स्वादानुसार")</f>
        <v>2 कप विवत्ता मैदा, 1/2 कप घी, 1/4 चम्मच नमक, पानी - गूंधने के लिए, सूरजमुखी तेल - तलने के लिए, 2 कप हरी मूंग दाल (साबुत) - भिगोकर भाप में पकाई हुई, 1 चम्मच जीरा - दरदरा कुटा हुआ, 1 चम्मच सौंफ - दरदरा कुटा हुआ, 1 चम्मच तिल, 2 चम्मच चीनी, 1/2 चम्मच हींग, 1 चम्मच आमचूर, 1/2 चम्मच हल्दी, 1/2 चम्मच लाल मिर्च पाउडर, 2 हरी मिर्च - बारीक कटी हुई, 1 इंच अदरक - कसा हुआ, नमक - स्वादानुसार</v>
      </c>
      <c r="H359" s="1" t="s">
        <v>32431</v>
      </c>
      <c r="I359" s="1" t="str">
        <f ca="1">IFERROR(__xludf.dummyfunction("IF(H359="""", """", GOOGLETRANSLATE(H359, ""en"", ""hi""))"),"मूंग दाल घुघरा (करंजी/ गुजिया) रेसिपी बनाने के लिए सबसे पहले हम भरावन तैयार करेंगे। मूंग दाल को 2 कप पानी में लगभग 3 से 4 घंटे के लिए भिगो दें। भीगने के बाद अतिरिक्त पानी निकाल दें और एक तरफ रख दें। प्रेशर कुकर या स्टीमर का उपयोग करके दाल को नरम होने तक प"&amp;"काएं। मध्यम आंच पर एक नॉन स्टिक पैन में तेल गर्म करें; इसमें जीरा, सौंफ, तिल, हींग डालें और उन्हें चटकने दें। पकी हुई हरी मूंग दाल और शेष भरावन सामग्री - चीनी, हल्दी पाउडर, लाल मिर्च पाउडर, हरी मिर्च, अदरक और नमक डालकर चलाएं। तब तक हिलाएं जब तक सभी सामग्र"&amp;"ी अच्छी तरह से मिल न जाएं। मूंग दाल गुजिया मिश्रण को ठंडा होने दें और 20 भागों में बांटकर एक तरफ रख दें। अपनी उंगलियों से घी को आटे में तब तक मिलाएँ जब तक मिश्रण एक मोटे आटे जैसा न हो जाए। पानी को आटे पर छिड़कें और अपने हाथों से आटे को कटोरे के किनारों से"&amp;" बीच की ओर धकेलें ताकि एक गेंद बन जाए जो एक साथ चिपक जाए। एक बार में केवल थोड़ा पानी डालने का ध्यान रखें और आटे को गीला न होने दें। आटे को अपने हाथों से तब तक अच्छी तरह से गूंधें जब तक कि आटा एक ठोस गेंद जैसा न हो जाए। एक बार आराम करने के बाद, गुजिया के आ"&amp;"टे के 20 छोटे हिस्से बनाएं और एक छोटे से 3 इंच के गोले में बेल लें। गोले के एक आधे हिस्से पर मूंग दाल के मिश्रण से भरा एक चम्मच रखें। अपनी उंगलियों को पानी के कटोरे में गीला करें और गोले के किनारों के चारों ओर थोड़ा पानी फैलाएँ। गोले को धीरे से अर्धवृत्ता"&amp;"कार में मोड़ें, जिससे आधा चाँद का आकार बन जाए। किनारों को थोड़ा दबाकर सील करें, ताकि आटा एक दूसरे से चिपक जाए और सुनिश्चित करें कि सारा भरावन अंदर छिपा रहे। आटे के हिस्से को सावधानी से मोड़कर एक मुड़ी हुई आकृति बनाकर किनारों को सजाएँ। बचे हुए आटे और भरावन"&amp;" के साथ भी यही प्रक्रिया जारी रखें। आप इन गुझिया को बनाने के लिए कैलज़ोन मेकर का भी उपयोग कर सकते हैं और ये बहुत तेज़ और आसान हैं और आपको एक पूरी तरह से भरा हुआ घुघरा मिलेगा। तलने के लिए तेल गरम करें और इन गुझिया को मध्यम आँच पर सुनहरा भूरा होने तक तल लें"&amp;"। मूंग दाल की गुझिया को हरी चटनी और चाय के साथ चाय के समय के नाश्ते के रूप में या दिवाली या होली जैसे त्यौहारों या अपने परिवार के साथ किसी विशेष अवसर पर परोसें।")</f>
        <v>मूंग दाल घुघरा (करंजी/ गुजिया) रेसिपी बनाने के लिए सबसे पहले हम भरावन तैयार करेंगे। मूंग दाल को 2 कप पानी में लगभग 3 से 4 घंटे के लिए भिगो दें। भीगने के बाद अतिरिक्त पानी निकाल दें और एक तरफ रख दें। प्रेशर कुकर या स्टीमर का उपयोग करके दाल को नरम होने तक पकाएं। मध्यम आंच पर एक नॉन स्टिक पैन में तेल गर्म करें; इसमें जीरा, सौंफ, तिल, हींग डालें और उन्हें चटकने दें। पकी हुई हरी मूंग दाल और शेष भरावन सामग्री - चीनी, हल्दी पाउडर, लाल मिर्च पाउडर, हरी मिर्च, अदरक और नमक डालकर चलाएं। तब तक हिलाएं जब तक सभी सामग्री अच्छी तरह से मिल न जाएं। मूंग दाल गुजिया मिश्रण को ठंडा होने दें और 20 भागों में बांटकर एक तरफ रख दें। अपनी उंगलियों से घी को आटे में तब तक मिलाएँ जब तक मिश्रण एक मोटे आटे जैसा न हो जाए। पानी को आटे पर छिड़कें और अपने हाथों से आटे को कटोरे के किनारों से बीच की ओर धकेलें ताकि एक गेंद बन जाए जो एक साथ चिपक जाए। एक बार में केवल थोड़ा पानी डालने का ध्यान रखें और आटे को गीला न होने दें। आटे को अपने हाथों से तब तक अच्छी तरह से गूंधें जब तक कि आटा एक ठोस गेंद जैसा न हो जाए। एक बार आराम करने के बाद, गुजिया के आटे के 20 छोटे हिस्से बनाएं और एक छोटे से 3 इंच के गोले में बेल लें। गोले के एक आधे हिस्से पर मूंग दाल के मिश्रण से भरा एक चम्मच रखें। अपनी उंगलियों को पानी के कटोरे में गीला करें और गोले के किनारों के चारों ओर थोड़ा पानी फैलाएँ। गोले को धीरे से अर्धवृत्ताकार में मोड़ें, जिससे आधा चाँद का आकार बन जाए। किनारों को थोड़ा दबाकर सील करें, ताकि आटा एक दूसरे से चिपक जाए और सुनिश्चित करें कि सारा भरावन अंदर छिपा रहे। आटे के हिस्से को सावधानी से मोड़कर एक मुड़ी हुई आकृति बनाकर किनारों को सजाएँ। बचे हुए आटे और भरावन के साथ भी यही प्रक्रिया जारी रखें। आप इन गुझिया को बनाने के लिए कैलज़ोन मेकर का भी उपयोग कर सकते हैं और ये बहुत तेज़ और आसान हैं और आपको एक पूरी तरह से भरा हुआ घुघरा मिलेगा। तलने के लिए तेल गरम करें और इन गुझिया को मध्यम आँच पर सुनहरा भूरा होने तक तल लें। मूंग दाल की गुझिया को हरी चटनी और चाय के साथ चाय के समय के नाश्ते के रूप में या दिवाली या होली जैसे त्यौहारों या अपने परिवार के साथ किसी विशेष अवसर पर परोसें।</v>
      </c>
      <c r="J359" s="3" t="s">
        <v>32432</v>
      </c>
      <c r="L359" s="1" t="s">
        <v>31003</v>
      </c>
    </row>
    <row r="360" spans="1:12" ht="13.8">
      <c r="A360" s="1" t="s">
        <v>32433</v>
      </c>
      <c r="B360" s="1" t="str">
        <f ca="1">IFERROR(__xludf.dummyfunction("IF(A360="""", """", GOOGLETRANSLATE(A360, ""en"", ""hi""))"),"शाकाहारी चीनी समोसा रेसिपी")</f>
        <v>शाकाहारी चीनी समोसा रेसिपी</v>
      </c>
      <c r="C360" s="1" t="s">
        <v>14281</v>
      </c>
      <c r="D360" s="1" t="s">
        <v>14198</v>
      </c>
      <c r="E360" s="1">
        <v>55</v>
      </c>
      <c r="F360" s="1" t="s">
        <v>32434</v>
      </c>
      <c r="G360" s="1" t="str">
        <f ca="1">IFERROR(__xludf.dummyfunction("IF(F360="""", """", GOOGLETRANSLATE(F360, ""en"", ""hi""))"),"2 कप गेहूं का आटा, 1 चुटकी नमक, 1/4 कप घी, 1 कप चावल सेंवई नूडल्स (पतली) - पका हुआ, 2 गाजर (गज्जर) - बारीक कटी हुई, 12 हरी बीन्स (फ्रेंच बीन्स) - बारीक कटी हुई, 1 हरी बेल मिर्च (शिमला मिर्च) - बारीक कटी हुई, 1/2 कप गोभी (पत्ता गोभी / मुत्तिकोस) - बारीक कट"&amp;"ी हुई, 2 इंच अदरक - कसा हुआ, 3 लहसुन के दाने - बारीक कटा हुआ, 1 हरी मिर्च - बारीक कटी हुई, 3 हरे प्याज के पत्ते - डंठल, 1 चम्मच मीठी और तीखी लाल मिर्च सॉस (टमाटर मिर्च सॉस), नमक - स्वादानुसार, काली मिर्च पाउडर - स्वादानुसार")</f>
        <v>2 कप गेहूं का आटा, 1 चुटकी नमक, 1/4 कप घी, 1 कप चावल सेंवई नूडल्स (पतली) - पका हुआ, 2 गाजर (गज्जर) - बारीक कटी हुई, 12 हरी बीन्स (फ्रेंच बीन्स) - बारीक कटी हुई, 1 हरी बेल मिर्च (शिमला मिर्च) - बारीक कटी हुई, 1/2 कप गोभी (पत्ता गोभी / मुत्तिकोस) - बारीक कटी हुई, 2 इंच अदरक - कसा हुआ, 3 लहसुन के दाने - बारीक कटा हुआ, 1 हरी मिर्च - बारीक कटी हुई, 3 हरे प्याज के पत्ते - डंठल, 1 चम्मच मीठी और तीखी लाल मिर्च सॉस (टमाटर मिर्च सॉस), नमक - स्वादानुसार, काली मिर्च पाउडर - स्वादानुसार</v>
      </c>
      <c r="H360" s="1" t="s">
        <v>32435</v>
      </c>
      <c r="I360" s="1" t="str">
        <f ca="1">IFERROR(__xludf.dummyfunction("IF(H360="""", """", GOOGLETRANSLATE(H360, ""en"", ""hi""))"),"चाइनीज समोसा बनाने की विधि शुरू करने के लिए, सबसे पहले सभी सामग्री तैयार करके रख लें। हम पहले भरावन और आटा तैयार करेंगे और फिर चाइनीज वेज समोसा बेक करेंगे। समोसे के क्रस्ट के लिए आटा बनाने के लिए, एक बड़े मिक्सिंग बाउल में आटे की सभी सामग्री को मिलाएँ। घी"&amp;" को आटे में तब तक रगड़ें जब तक कि आपको मोटे टुकड़े न दिखाई दें। एक बार में थोड़ा पानी डालें और सख्त और चिकना आटा गूंथ लें। आटे को ढककर रख दें और जब तक हम चाइनीज भरावन तैयार करते हैं, तब तक इसे आराम दें। भरावन के लिए, एक कड़ाही या भारी तली वाले पैन में तेल"&amp;" गरम करें। अदरक, लहसुन, हरी मिर्च और हरे प्याज़ डालें और कुछ सेकंड के लिए भूनें जब तक कि आपको सुगंध न आने लगे। गाजर, बीन्स, शिमला मिर्च और गोभी डालें और तेज़ आँच पर तब तक भूनें जब तक कि यह पक न जाए। सब्जियाँ पक जाएँगी लेकिन सख्त होंगी। एक बार हो जाने पर, "&amp;"पके हुए नूडल्स, जो मोटे तौर पर कटे हुए हैं, चिली सॉस, नमक और काली मिर्च डालें। तब तक मिलाएँ जब तक कि भरावन सभी सामग्री के साथ मिल न जाए। स्वाद की जांच करें और नमक और मिर्च को समायोजित करें। गर्मी बंद करें और भरावन को ठंडा होने के लिए अलग रख दें। ओवन को पह"&amp;"ले से 170 डिग्री सेल्सियस तक गर्म करें और एक बेकिंग शीट पर तेल लगाएं। समोसे के आटे को 12 बराबर भागों में विभाजित करें। इसे थोड़े से आटे में लपेटें और एक छोटे चौकोर आकार में बेल लें। चीनी भरावन के एक छोटे हिस्से को बेले हुए आटे में रखें। इस स्तर पर आप किना"&amp;"रों को एक साथ लाकर इसे वॉनटन की तरह मोड़ सकते हैं। इसे अच्छी तरह से चुटकी बजाते हुए किनारों को सील करें, ताकि यह एक आकार दे और अलग दिखे। इसी तरह के चीनी वेज समोसे बनाने के लिए आगे बढ़ें। प्रत्येक समोसे के ऊपर तेल या घी लगाएं और इसे बेक करने के लिए बेकिंग "&amp;"ट्रे पर व्यवस्थित करें। चीनी वेज समोसे को ओवन में रखें और लगभग 20 से 25 मिनट तक पकाएं जब तक कि यह सभी तरफ से कुरकुरा और सुनहरा भूरा न हो जाए। बेकिंग का समय ओवन से ओवन में अलग-अलग होगा, इसलिए 15 मिनट के निशान पर जांच लें कि यह तैयार है या इसे और बेक करने क"&amp;"ी आवश्यकता है। तैयार होने के बाद, वेज चाइनीज समोसे को ओवन से निकालें और परोसें। वेज चाइनीज समोसे को शेजवान सॉस के साथ ऐपेटाइज़र या पार्टियों के लिए शाम की चाय के समय नाश्ते के रूप में परोसें।")</f>
        <v>चाइनीज समोसा बनाने की विधि शुरू करने के लिए, सबसे पहले सभी सामग्री तैयार करके रख लें। हम पहले भरावन और आटा तैयार करेंगे और फिर चाइनीज वेज समोसा बेक करेंगे। समोसे के क्रस्ट के लिए आटा बनाने के लिए, एक बड़े मिक्सिंग बाउल में आटे की सभी सामग्री को मिलाएँ। घी को आटे में तब तक रगड़ें जब तक कि आपको मोटे टुकड़े न दिखाई दें। एक बार में थोड़ा पानी डालें और सख्त और चिकना आटा गूंथ लें। आटे को ढककर रख दें और जब तक हम चाइनीज भरावन तैयार करते हैं, तब तक इसे आराम दें। भरावन के लिए, एक कड़ाही या भारी तली वाले पैन में तेल गरम करें। अदरक, लहसुन, हरी मिर्च और हरे प्याज़ डालें और कुछ सेकंड के लिए भूनें जब तक कि आपको सुगंध न आने लगे। गाजर, बीन्स, शिमला मिर्च और गोभी डालें और तेज़ आँच पर तब तक भूनें जब तक कि यह पक न जाए। सब्जियाँ पक जाएँगी लेकिन सख्त होंगी। एक बार हो जाने पर, पके हुए नूडल्स, जो मोटे तौर पर कटे हुए हैं, चिली सॉस, नमक और काली मिर्च डालें। तब तक मिलाएँ जब तक कि भरावन सभी सामग्री के साथ मिल न जाए। स्वाद की जांच करें और नमक और मिर्च को समायोजित करें। गर्मी बंद करें और भरावन को ठंडा होने के लिए अलग रख दें। ओवन को पहले से 170 डिग्री सेल्सियस तक गर्म करें और एक बेकिंग शीट पर तेल लगाएं। समोसे के आटे को 12 बराबर भागों में विभाजित करें। इसे थोड़े से आटे में लपेटें और एक छोटे चौकोर आकार में बेल लें। चीनी भरावन के एक छोटे हिस्से को बेले हुए आटे में रखें। इस स्तर पर आप किनारों को एक साथ लाकर इसे वॉनटन की तरह मोड़ सकते हैं। इसे अच्छी तरह से चुटकी बजाते हुए किनारों को सील करें, ताकि यह एक आकार दे और अलग दिखे। इसी तरह के चीनी वेज समोसे बनाने के लिए आगे बढ़ें। प्रत्येक समोसे के ऊपर तेल या घी लगाएं और इसे बेक करने के लिए बेकिंग ट्रे पर व्यवस्थित करें। चीनी वेज समोसे को ओवन में रखें और लगभग 20 से 25 मिनट तक पकाएं जब तक कि यह सभी तरफ से कुरकुरा और सुनहरा भूरा न हो जाए। बेकिंग का समय ओवन से ओवन में अलग-अलग होगा, इसलिए 15 मिनट के निशान पर जांच लें कि यह तैयार है या इसे और बेक करने की आवश्यकता है। तैयार होने के बाद, वेज चाइनीज समोसे को ओवन से निकालें और परोसें। वेज चाइनीज समोसे को शेजवान सॉस के साथ ऐपेटाइज़र या पार्टियों के लिए शाम की चाय के समय नाश्ते के रूप में परोसें।</v>
      </c>
      <c r="J360" s="3" t="s">
        <v>32436</v>
      </c>
      <c r="L360" s="1" t="s">
        <v>31003</v>
      </c>
    </row>
    <row r="361" spans="1:12" ht="13.8">
      <c r="A361" s="1" t="s">
        <v>32437</v>
      </c>
      <c r="B361" s="1" t="str">
        <f ca="1">IFERROR(__xludf.dummyfunction("IF(A361="""", """", GOOGLETRANSLATE(A361, ""en"", ""hi""))"),"बिना ओवन के बनाएं भरवां मसाला आलू नान रेसिपी")</f>
        <v>बिना ओवन के बनाएं भरवां मसाला आलू नान रेसिपी</v>
      </c>
      <c r="C361" s="1" t="s">
        <v>14259</v>
      </c>
      <c r="D361" s="1" t="s">
        <v>14198</v>
      </c>
      <c r="E361" s="1">
        <v>70</v>
      </c>
      <c r="F361" s="1" t="s">
        <v>32438</v>
      </c>
      <c r="G361" s="1" t="str">
        <f ca="1">IFERROR(__xludf.dummyfunction("IF(F361="""", """", GOOGLETRANSLATE(F361, ""en"", ""hi""))"),"2 कप गेहूं का आटा, 1 चम्मच नमक, 1 कप सोडा वाटर, 2 चम्मच घी, 3 आलू - उबले और मसले हुए, 1 प्याज - बारीक कटा हुआ, 2 हरी मिर्च - बारीक कटी हुई, 1 चम्मच गरम मसाला पाउडर, 1 चम्मच आमचूर, 1/2 चम्मच लाल मिर्च पाउडर, 1/2 चम्मच अजवाइन, नमक - स्वादानुसार, धनिया पत्ती"&amp;" - छोटा गुच्छा")</f>
        <v>2 कप गेहूं का आटा, 1 चम्मच नमक, 1 कप सोडा वाटर, 2 चम्मच घी, 3 आलू - उबले और मसले हुए, 1 प्याज - बारीक कटा हुआ, 2 हरी मिर्च - बारीक कटी हुई, 1 चम्मच गरम मसाला पाउडर, 1 चम्मच आमचूर, 1/2 चम्मच लाल मिर्च पाउडर, 1/2 चम्मच अजवाइन, नमक - स्वादानुसार, धनिया पत्ती - छोटा गुच्छा</v>
      </c>
      <c r="H361" s="1" t="s">
        <v>32439</v>
      </c>
      <c r="I361" s="1" t="str">
        <f ca="1">IFERROR(__xludf.dummyfunction("IF(H361="""", """", GOOGLETRANSLATE(H361, ""en"", ""hi""))"),"बिना ओवन के भरवां मसाला आलू नान बनाने की विधि शुरू करने के लिए, सबसे पहले सभी सामग्री तैयार करके एक तरफ रख दें। मैदा, नमक और घी मिलाएँ और सोडा पानी से चिकना आटा गूंथ लें। नान के आटे को 30 मिनट के लिए अलग रख दें। इस बीच भरवां मसाला नान के लिए सामग्री मिलाए"&amp;"ँ। एक बड़े मिक्सिंग बाउल में मसाला नान की स्टफिंग के लिए सभी सामग्री मिलाएँ। स्वाद की जाँच करें और तालू के अनुसार समायोजित करें। इसे एक तरफ रख दें। नान के आटे के आराम करने के बाद इसका एक छोटा हिस्सा लें, आटे में धूलें और उन्हें एक छोटे गोले में बेल लें। क"&amp;"ेंद्र में एक बड़ा चम्मच भराई रखें और आटे को सील करें। इसे चपटा करें और भरवां मसाला नान को अंडाकार या गोल आकार देने के लिए थोड़ा सा रोल करें। अगला कदम नान पकाना है। आप इसे ओवन में सेंक सकते हैं या कड़ाही/तवा में पका सकते हैं। भारी तले वाली कड़ाही/तवा लें औ"&amp;"र नान को एक तरफ से पकाएँ। जब आपको लगे कि एक तरफ पक रही है, तो भरवां नान के दूसरे कच्चे हिस्से को आंच पर रखें। भरवां मसाला नान को तब तक ग्रिल करें जब तक यह पक न जाए और थोड़ा जल न जाए। जब ​​मसाला नान पक जाए, तो आंच से उतार लें। नान पर थोड़ा मक्खन लगाएँ और ग"&amp;"रमागरम परोसें। बाकी भरवां मसाला नान के लिए भी यही प्रक्रिया दोहराएँ। भरवां मसाला आलू नान को तड़के वाली रायता रेसिपी (प्याज के साथ मसालेदार दही) के साथ नाश्ते या एक डिश रात के खाने के लिए परोसें।")</f>
        <v>बिना ओवन के भरवां मसाला आलू नान बनाने की विधि शुरू करने के लिए, सबसे पहले सभी सामग्री तैयार करके एक तरफ रख दें। मैदा, नमक और घी मिलाएँ और सोडा पानी से चिकना आटा गूंथ लें। नान के आटे को 30 मिनट के लिए अलग रख दें। इस बीच भरवां मसाला नान के लिए सामग्री मिलाएँ। एक बड़े मिक्सिंग बाउल में मसाला नान की स्टफिंग के लिए सभी सामग्री मिलाएँ। स्वाद की जाँच करें और तालू के अनुसार समायोजित करें। इसे एक तरफ रख दें। नान के आटे के आराम करने के बाद इसका एक छोटा हिस्सा लें, आटे में धूलें और उन्हें एक छोटे गोले में बेल लें। केंद्र में एक बड़ा चम्मच भराई रखें और आटे को सील करें। इसे चपटा करें और भरवां मसाला नान को अंडाकार या गोल आकार देने के लिए थोड़ा सा रोल करें। अगला कदम नान पकाना है। आप इसे ओवन में सेंक सकते हैं या कड़ाही/तवा में पका सकते हैं। भारी तले वाली कड़ाही/तवा लें और नान को एक तरफ से पकाएँ। जब आपको लगे कि एक तरफ पक रही है, तो भरवां नान के दूसरे कच्चे हिस्से को आंच पर रखें। भरवां मसाला नान को तब तक ग्रिल करें जब तक यह पक न जाए और थोड़ा जल न जाए। जब ​​मसाला नान पक जाए, तो आंच से उतार लें। नान पर थोड़ा मक्खन लगाएँ और गरमागरम परोसें। बाकी भरवां मसाला नान के लिए भी यही प्रक्रिया दोहराएँ। भरवां मसाला आलू नान को तड़के वाली रायता रेसिपी (प्याज के साथ मसालेदार दही) के साथ नाश्ते या एक डिश रात के खाने के लिए परोसें।</v>
      </c>
      <c r="J361" s="3" t="s">
        <v>32440</v>
      </c>
      <c r="L361" s="1" t="s">
        <v>31003</v>
      </c>
    </row>
    <row r="362" spans="1:12" ht="13.8">
      <c r="A362" s="1" t="s">
        <v>32441</v>
      </c>
      <c r="B362" s="1" t="str">
        <f ca="1">IFERROR(__xludf.dummyfunction("IF(A362="""", """", GOOGLETRANSLATE(A362, ""en"", ""hi""))"),"रोट रेसिपी | उत्तराखंड स्टाइल मीठी रोटी")</f>
        <v>रोट रेसिपी | उत्तराखंड स्टाइल मीठी रोटी</v>
      </c>
      <c r="C362" s="1" t="s">
        <v>8417</v>
      </c>
      <c r="D362" s="1" t="s">
        <v>14198</v>
      </c>
      <c r="E362" s="1">
        <v>45</v>
      </c>
      <c r="F362" s="1" t="s">
        <v>32442</v>
      </c>
      <c r="G362" s="1" t="str">
        <f ca="1">IFERROR(__xludf.dummyfunction("IF(F362="""", """", GOOGLETRANSLATE(F362, ""en"", ""hi""))"),"1 कप गेहूं का आटा, 1/4 कप दूध - ठंडा, 3 बड़े चम्मच घी - लगाने के लिए अधिक, 1/2 चम्मच इलायची पाउडर (इलायची), 1 चम्मच सौंफ (सौंफ), 1 कप गुड़")</f>
        <v>1 कप गेहूं का आटा, 1/4 कप दूध - ठंडा, 3 बड़े चम्मच घी - लगाने के लिए अधिक, 1/2 चम्मच इलायची पाउडर (इलायची), 1 चम्मच सौंफ (सौंफ), 1 कप गुड़</v>
      </c>
      <c r="H362" s="1" t="s">
        <v>32443</v>
      </c>
      <c r="I362" s="1" t="str">
        <f ca="1">IFERROR(__xludf.dummyfunction("IF(H362="""", """", GOOGLETRANSLATE(H362, ""en"", ""hi""))"),"रोट रेसिपी | उत्तराखंड स्टाइल स्वीटन्ड फ्लैटब्रेड बनाने के लिए, एक कटोरे में गेहूं का आटा, 3 बड़े चम्मच घी, सौंफ और इलायची पाउडर मिलाएं। दूसरे पैन में कद्दूकस किया हुआ गुड़ और बहुत कम पानी मिलाएं। एक बार गुड़ घुल जाने पर, अशुद्धियों को दूर करने के लिए इसे"&amp;" छान लें। और ठंडा होने दें। आटे में ठंडा दूध, गुड़ की चाशनी डालें और मिलाएँ। नरम आटा गूंथ लें। बराबर भागों में बाँट लें। प्रत्येक बॉल को एक मोटी रोटी में रोल करें। एक तवा गरम करें और रोट को दोनों तरफ से छोटे भूरे धब्बे दिखाई देने तक पकाएं। पकाते समय उदारत"&amp;"ापूर्वक घी लगाएं। दोनों तरफ से कुरकुरा होने तक पकाएं। रोट रेसिपी | उत्तराखंड स्टाइल स्वीटन्ड फ्लैटब्रेड को घी के साथ गरमागरम परोसें, साथ ही मक्की की रोटी, छोले पिंडी, घी चावल और रायता के साथ मिठाई के रूप में परोसें।")</f>
        <v>रोट रेसिपी | उत्तराखंड स्टाइल स्वीटन्ड फ्लैटब्रेड बनाने के लिए, एक कटोरे में गेहूं का आटा, 3 बड़े चम्मच घी, सौंफ और इलायची पाउडर मिलाएं। दूसरे पैन में कद्दूकस किया हुआ गुड़ और बहुत कम पानी मिलाएं। एक बार गुड़ घुल जाने पर, अशुद्धियों को दूर करने के लिए इसे छान लें। और ठंडा होने दें। आटे में ठंडा दूध, गुड़ की चाशनी डालें और मिलाएँ। नरम आटा गूंथ लें। बराबर भागों में बाँट लें। प्रत्येक बॉल को एक मोटी रोटी में रोल करें। एक तवा गरम करें और रोट को दोनों तरफ से छोटे भूरे धब्बे दिखाई देने तक पकाएं। पकाते समय उदारतापूर्वक घी लगाएं। दोनों तरफ से कुरकुरा होने तक पकाएं। रोट रेसिपी | उत्तराखंड स्टाइल स्वीटन्ड फ्लैटब्रेड को घी के साथ गरमागरम परोसें, साथ ही मक्की की रोटी, छोले पिंडी, घी चावल और रायता के साथ मिठाई के रूप में परोसें।</v>
      </c>
      <c r="J362" s="3" t="s">
        <v>32444</v>
      </c>
      <c r="L362" s="1" t="s">
        <v>31003</v>
      </c>
    </row>
    <row r="363" spans="1:12" ht="13.8">
      <c r="A363" s="1" t="s">
        <v>32445</v>
      </c>
      <c r="B363" s="1" t="str">
        <f ca="1">IFERROR(__xludf.dummyfunction("IF(A363="""", """", GOOGLETRANSLATE(A363, ""en"", ""hi""))"),"सूखी राजमा और पालक स्टिर फ्राई")</f>
        <v>सूखी राजमा और पालक स्टिर फ्राई</v>
      </c>
      <c r="C363" s="1" t="s">
        <v>145</v>
      </c>
      <c r="D363" s="1" t="s">
        <v>14198</v>
      </c>
      <c r="E363" s="1">
        <v>35</v>
      </c>
      <c r="F363" s="1" t="s">
        <v>32446</v>
      </c>
      <c r="G363" s="1" t="str">
        <f ca="1">IFERROR(__xludf.dummyfunction("IF(F363="""", """", GOOGLETRANSLATE(F363, ""en"", ""hi""))"),"1 कप राजमा - उबला हुआ, 2 कप पालक - कटा हुआ, तेल - आवश्यकतानुसार, 1 चम्मच जीरा, 1 प्याज - बारीक कटा हुआ, 5 लहसुन की कलियां - बारीक कटी हुई, 1 हरी मिर्च - बारीक कटी हुई, 1/4 चम्मच हल्दी पाउडर, 1/2 चम्मच गरम मसाला पाउडर, हींग - चुटकीभर, नमक - स्वादानुसार")</f>
        <v>1 कप राजमा - उबला हुआ, 2 कप पालक - कटा हुआ, तेल - आवश्यकतानुसार, 1 चम्मच जीरा, 1 प्याज - बारीक कटा हुआ, 5 लहसुन की कलियां - बारीक कटी हुई, 1 हरी मिर्च - बारीक कटी हुई, 1/4 चम्मच हल्दी पाउडर, 1/2 चम्मच गरम मसाला पाउडर, हींग - चुटकीभर, नमक - स्वादानुसार</v>
      </c>
      <c r="H363" s="1" t="s">
        <v>32447</v>
      </c>
      <c r="I363" s="1" t="str">
        <f ca="1">IFERROR(__xludf.dummyfunction("IF(H363="""", """", GOOGLETRANSLATE(H363, ""en"", ""hi""))"),"""राजमा सागवाला बनाने के लिए सबसे पहले राजमा को रात भर भिगोकर रखें। भिगोने के बाद इसे 2 सीटी आने तक प्रेशर कुक करें। इसे एक तरफ रख दें। अब एक पैन में तेल गर्म करें। इसमें जीरा, हींग डालें और 10 सेकंड तक पकने दें। अब इसमें कटा हुआ लहसुन डालें और 20 सेकंड त"&amp;"क पकाएं। 20 सेकंड बाद इसमें प्याज, हरी मिर्च डालें और प्याज के नरम होने तक पकाएं। प्याज के नरम होने के बाद इसमें कटा हुआ पालक, पका हुआ राजमा डालें और मिलाएँ। अब इसमें हल्दी पाउडर, गरम मसाला पाउडर, नमक डालें और मिलाएँ। 10 मिनट तक पकाएँ और बीच-बीच में चलाते"&amp;" रहें। इसके बाद गैस बंद कर दें और गरमागरम सर्व करें। राजमा सागवाला को गुजराती दाल, कचुम्बर सलाद और फुल्के के साथ लंच में सर्व करें।""")</f>
        <v>"राजमा सागवाला बनाने के लिए सबसे पहले राजमा को रात भर भिगोकर रखें। भिगोने के बाद इसे 2 सीटी आने तक प्रेशर कुक करें। इसे एक तरफ रख दें। अब एक पैन में तेल गर्म करें। इसमें जीरा, हींग डालें और 10 सेकंड तक पकने दें। अब इसमें कटा हुआ लहसुन डालें और 20 सेकंड तक पकाएं। 20 सेकंड बाद इसमें प्याज, हरी मिर्च डालें और प्याज के नरम होने तक पकाएं। प्याज के नरम होने के बाद इसमें कटा हुआ पालक, पका हुआ राजमा डालें और मिलाएँ। अब इसमें हल्दी पाउडर, गरम मसाला पाउडर, नमक डालें और मिलाएँ। 10 मिनट तक पकाएँ और बीच-बीच में चलाते रहें। इसके बाद गैस बंद कर दें और गरमागरम सर्व करें। राजमा सागवाला को गुजराती दाल, कचुम्बर सलाद और फुल्के के साथ लंच में सर्व करें।"</v>
      </c>
      <c r="J363" s="3" t="s">
        <v>32448</v>
      </c>
      <c r="L363" s="1" t="s">
        <v>31003</v>
      </c>
    </row>
    <row r="364" spans="1:12" ht="13.8">
      <c r="A364" s="1" t="s">
        <v>32449</v>
      </c>
      <c r="B364" s="1" t="str">
        <f ca="1">IFERROR(__xludf.dummyfunction("IF(A364="""", """", GOOGLETRANSLATE(A364, ""en"", ""hi""))"),"शकरकंद की खीर रेसिपी")</f>
        <v>शकरकंद की खीर रेसिपी</v>
      </c>
      <c r="C364" s="1" t="s">
        <v>8417</v>
      </c>
      <c r="D364" s="1" t="s">
        <v>14198</v>
      </c>
      <c r="E364" s="1">
        <v>35</v>
      </c>
      <c r="F364" s="1" t="s">
        <v>32450</v>
      </c>
      <c r="G364" s="1" t="str">
        <f ca="1">IFERROR(__xludf.dummyfunction("IF(F364="""", """", GOOGLETRANSLATE(F364, ""en"", ""hi""))"),"1 शकरकंद - छिलका हटाकर कद्दूकस किया हुआ, 1 कप ताजा नारियल - कद्दूकस किया हुआ, 2 इलायची की फली/बीज, 1/2 कप दूध, 2 बड़े चम्मच चीनी - या गुड़, 2 बड़े चम्मच सूजी (सूजी/रवा), 10 केसर के रेशे, 10 काजू - गार्निश के लिए")</f>
        <v>1 शकरकंद - छिलका हटाकर कद्दूकस किया हुआ, 1 कप ताजा नारियल - कद्दूकस किया हुआ, 2 इलायची की फली/बीज, 1/2 कप दूध, 2 बड़े चम्मच चीनी - या गुड़, 2 बड़े चम्मच सूजी (सूजी/रवा), 10 केसर के रेशे, 10 काजू - गार्निश के लिए</v>
      </c>
      <c r="H364" s="1" t="s">
        <v>32451</v>
      </c>
      <c r="I364" s="1" t="str">
        <f ca="1">IFERROR(__xludf.dummyfunction("IF(H364="""", """", GOOGLETRANSLATE(H364, ""en"", ""hi""))"),"शकरकंद की खीर बनाने की विधि सबसे पहले नारियल और इलायची को पानी के साथ मिक्सर में पीस लें, कोशिश करें कि गूदे से जितना हो सके उतना नारियल का दूध निकाल लें। एक बार जब आप गूदे से सारा नारियल का दूध निचोड़ लें, तो इसे कद्दूकस किए हुए शकरकंद, दूध, चीनी, केसर क"&amp;"े रेशे के साथ सॉस पैन में डालें और उबाल लें। मिठास को संतुलित करने के लिए आप इसमें चुटकी भर नमक भी डाल सकते हैं। खीर के गाढ़े होने पर आप इसमें सूजी डाल सकते हैं और सूजी के उबलने तक चलाते रहें। आंच बंद कर दें और इसे एक कटोरी में कटे हुए काजू के साथ सर्व कर"&amp;"ें। शकरकंद की खीर रेसिपी को लखनऊ मुर्ग बिरयानी (अवधी चिकन बिरयानी) रायता के साथ रविवार के लंच में सर्व करें।")</f>
        <v>शकरकंद की खीर बनाने की विधि सबसे पहले नारियल और इलायची को पानी के साथ मिक्सर में पीस लें, कोशिश करें कि गूदे से जितना हो सके उतना नारियल का दूध निकाल लें। एक बार जब आप गूदे से सारा नारियल का दूध निचोड़ लें, तो इसे कद्दूकस किए हुए शकरकंद, दूध, चीनी, केसर के रेशे के साथ सॉस पैन में डालें और उबाल लें। मिठास को संतुलित करने के लिए आप इसमें चुटकी भर नमक भी डाल सकते हैं। खीर के गाढ़े होने पर आप इसमें सूजी डाल सकते हैं और सूजी के उबलने तक चलाते रहें। आंच बंद कर दें और इसे एक कटोरी में कटे हुए काजू के साथ सर्व करें। शकरकंद की खीर रेसिपी को लखनऊ मुर्ग बिरयानी (अवधी चिकन बिरयानी) रायता के साथ रविवार के लंच में सर्व करें।</v>
      </c>
      <c r="J364" s="3" t="s">
        <v>32452</v>
      </c>
      <c r="L364" s="1" t="s">
        <v>31003</v>
      </c>
    </row>
    <row r="365" spans="1:12" ht="13.8">
      <c r="A365" s="1" t="s">
        <v>32453</v>
      </c>
      <c r="B365" s="1" t="str">
        <f ca="1">IFERROR(__xludf.dummyfunction("IF(A365="""", """", GOOGLETRANSLATE(A365, ""en"", ""hi""))"),"मुर्ग पालक रेसिपी - पालक ग्रेवी में चिकन")</f>
        <v>मुर्ग पालक रेसिपी - पालक ग्रेवी में चिकन</v>
      </c>
      <c r="C365" s="1" t="s">
        <v>14207</v>
      </c>
      <c r="D365" s="1" t="s">
        <v>14382</v>
      </c>
      <c r="E365" s="1">
        <v>75</v>
      </c>
      <c r="F365" s="1" t="s">
        <v>32454</v>
      </c>
      <c r="G365" s="1" t="str">
        <f ca="1">IFERROR(__xludf.dummyfunction("IF(F365="""", """", GOOGLETRANSLATE(F365, ""en"", ""hi""))"),"250 ग्राम पालक के पत्ते - साफ़ किये हुए, नमक - चुटकी भर, 5 लहसुन के दाने, 1/2 इंच अदरक, 2 हरी मिर्च, 500 ग्राम चिकन - हड्डी सहित मध्यम आकार के टुकड़े, 1 बड़ा चम्मच सूरजमुखी का तेल, 2 बड़े चम्मच दही, 1 तेज पत्ता, 3 इलायची के दाने, 1 इंच दालचीनी, 4 लहसुन के"&amp;" दाने, 1/4 छोटा चम्मच मेथी के दाने, 1 प्याज - कटा हुआ, 1 छोटा चम्मच अदरक लहसुन का पेस्ट, 1 टमाटर - कटा हुआ, 1 छोटा चम्मच लाल मिर्च पाउडर, 1/2 छोटा चम्मच हल्दी पाउडर, 1 छोटा चम्मच धनिया पाउडर, नमक - स्वादानुसार, 1/2 छोटा चम्मच गरम मसाला पाउडर, 1 बड़ा चम्मच"&amp;" मक्खन, 1/4 कप ताज़ा क्रीम, 1 छोटा चम्मच कसूरी मेथी (सूखी मेथी के पत्ते), 1/4 छोटा चम्मच मेथी के दाने (मेथी के बीज), 1 बड़ा चम्मच घी, 1 चम्मच जीरा, 2 कप पानी, 1 कप ठंडा पानी")</f>
        <v>250 ग्राम पालक के पत्ते - साफ़ किये हुए, नमक - चुटकी भर, 5 लहसुन के दाने, 1/2 इंच अदरक, 2 हरी मिर्च, 500 ग्राम चिकन - हड्डी सहित मध्यम आकार के टुकड़े, 1 बड़ा चम्मच सूरजमुखी का तेल, 2 बड़े चम्मच दही, 1 तेज पत्ता, 3 इलायची के दाने, 1 इंच दालचीनी, 4 लहसुन के दाने, 1/4 छोटा चम्मच मेथी के दाने, 1 प्याज - कटा हुआ, 1 छोटा चम्मच अदरक लहसुन का पेस्ट, 1 टमाटर - कटा हुआ, 1 छोटा चम्मच लाल मिर्च पाउडर, 1/2 छोटा चम्मच हल्दी पाउडर, 1 छोटा चम्मच धनिया पाउडर, नमक - स्वादानुसार, 1/2 छोटा चम्मच गरम मसाला पाउडर, 1 बड़ा चम्मच मक्खन, 1/4 कप ताज़ा क्रीम, 1 छोटा चम्मच कसूरी मेथी (सूखी मेथी के पत्ते), 1/4 छोटा चम्मच मेथी के दाने (मेथी के बीज), 1 बड़ा चम्मच घी, 1 चम्मच जीरा, 2 कप पानी, 1 कप ठंडा पानी</v>
      </c>
      <c r="H365" s="1" t="s">
        <v>32455</v>
      </c>
      <c r="I365" s="1" t="str">
        <f ca="1">IFERROR(__xludf.dummyfunction("IF(H365="""", """", GOOGLETRANSLATE(H365, ""en"", ""hi""))"),"मुर्ग पालक रेसिपी बनाने के लिए सबसे पहले हमें चिकन को मैरीनेट करना होगा। एक बाउल में दही, चिकन के टुकड़े डालकर अच्छी तरह मिला लें और कम से कम 30 मिनट के लिए रख दें। साफ किए हुए पालक के पत्तों को एक प्रेशर कुकर में एक चम्मच पानी और नमक के साथ डालें। 1 सीटी"&amp;" आने तक प्रेशर कुक करें और प्रेशर कुकर को नल के पानी के नीचे चलाकर तुरंत प्रेशर छोड़ दें। प्रेशर कुकर का ढक्कन हटा दें ताकि खाना पकने की प्रक्रिया बंद हो जाए। पानी को न निकालें। पालक की प्यूरी बनाने के लिए, पकी हुई पालक को अदरक, लहसुन, हरी मिर्च के साथ डा"&amp;"लें और मुर्ग पालक के लिए मुलायम पालक प्यूरी बना लें। इसे एक तरफ रख दें। एक कढ़ाई में 1 बड़ा चम्मच तेल डालें। तेल गर्म हो जाए तो इसमें तेज पत्ता, इलायची, दालचीनी डालें और एक या दो मिनट के लिए भूनें सब कुछ अच्छी तरह से मिलाएं और इसे लगभग एक मिनट तक पकने दें"&amp;"। इस मसाले में मैरीनेट किया हुआ चिकन डालें, अच्छी तरह मिलाएँ, नमक डालें और धीमी आँच पर तब तक चलाएँ जब तक कि मसाले से तेल अलग न हो जाए। इसमें 3 से 5 मिनट का समय लगेगा। आधा कप पानी डालें जिसमें पालक को प्रेशर कुक किया गया था, पानी को उबलने दें। जब पानी उबलन"&amp;"े लगे तो आँच कम कर दें और पैन का ढक्कन बंद कर दें। धीमी आँच पर तब तक पकाएँ जब तक चिकन लगभग पक न जाए और ज़्यादातर पानी सूख न जाए। जब ​​पानी सूख जाए तो इसमें पिसी हुई पालक प्यूरी, गरम मसाला, कसूरी मेथी डालें और अच्छी तरह मिलाएँ। अंत में मक्खन, क्रीम डालें औ"&amp;"र अच्छी तरह मिलाएँ। आँच बंद कर दें और एक सर्विंग डिश में डालें। एक तड़के वाले पैन में थोड़ा घी डालें आपकी मुर्ग पालक ग्रेवी परोसने के लिए तैयार है। मुर्ग पालक को बुरानी रायता, लहसुन नान, मटन बिरयानी और कचुम्बर सलाद के साथ अपने परिवार के साथ सप्ताहांत के भ"&amp;"ोजन के लिए परोसें।")</f>
        <v>मुर्ग पालक रेसिपी बनाने के लिए सबसे पहले हमें चिकन को मैरीनेट करना होगा। एक बाउल में दही, चिकन के टुकड़े डालकर अच्छी तरह मिला लें और कम से कम 30 मिनट के लिए रख दें। साफ किए हुए पालक के पत्तों को एक प्रेशर कुकर में एक चम्मच पानी और नमक के साथ डालें। 1 सीटी आने तक प्रेशर कुक करें और प्रेशर कुकर को नल के पानी के नीचे चलाकर तुरंत प्रेशर छोड़ दें। प्रेशर कुकर का ढक्कन हटा दें ताकि खाना पकने की प्रक्रिया बंद हो जाए। पानी को न निकालें। पालक की प्यूरी बनाने के लिए, पकी हुई पालक को अदरक, लहसुन, हरी मिर्च के साथ डालें और मुर्ग पालक के लिए मुलायम पालक प्यूरी बना लें। इसे एक तरफ रख दें। एक कढ़ाई में 1 बड़ा चम्मच तेल डालें। तेल गर्म हो जाए तो इसमें तेज पत्ता, इलायची, दालचीनी डालें और एक या दो मिनट के लिए भूनें सब कुछ अच्छी तरह से मिलाएं और इसे लगभग एक मिनट तक पकने दें। इस मसाले में मैरीनेट किया हुआ चिकन डालें, अच्छी तरह मिलाएँ, नमक डालें और धीमी आँच पर तब तक चलाएँ जब तक कि मसाले से तेल अलग न हो जाए। इसमें 3 से 5 मिनट का समय लगेगा। आधा कप पानी डालें जिसमें पालक को प्रेशर कुक किया गया था, पानी को उबलने दें। जब पानी उबलने लगे तो आँच कम कर दें और पैन का ढक्कन बंद कर दें। धीमी आँच पर तब तक पकाएँ जब तक चिकन लगभग पक न जाए और ज़्यादातर पानी सूख न जाए। जब ​​पानी सूख जाए तो इसमें पिसी हुई पालक प्यूरी, गरम मसाला, कसूरी मेथी डालें और अच्छी तरह मिलाएँ। अंत में मक्खन, क्रीम डालें और अच्छी तरह मिलाएँ। आँच बंद कर दें और एक सर्विंग डिश में डालें। एक तड़के वाले पैन में थोड़ा घी डालें आपकी मुर्ग पालक ग्रेवी परोसने के लिए तैयार है। मुर्ग पालक को बुरानी रायता, लहसुन नान, मटन बिरयानी और कचुम्बर सलाद के साथ अपने परिवार के साथ सप्ताहांत के भोजन के लिए परोसें।</v>
      </c>
      <c r="J365" s="3" t="s">
        <v>32456</v>
      </c>
      <c r="L365" s="1" t="s">
        <v>31003</v>
      </c>
    </row>
    <row r="366" spans="1:12" ht="13.8">
      <c r="A366" s="1" t="s">
        <v>32457</v>
      </c>
      <c r="B366" s="1" t="str">
        <f ca="1">IFERROR(__xludf.dummyfunction("IF(A366="""", """", GOOGLETRANSLATE(A366, ""en"", ""hi""))"),"चना और आलू की सूखी सब्जी")</f>
        <v>चना और आलू की सूखी सब्जी</v>
      </c>
      <c r="C366" s="1" t="s">
        <v>145</v>
      </c>
      <c r="D366" s="1" t="s">
        <v>14237</v>
      </c>
      <c r="E366" s="1">
        <v>30</v>
      </c>
      <c r="F366" s="1" t="s">
        <v>32458</v>
      </c>
      <c r="G366" s="1" t="str">
        <f ca="1">IFERROR(__xludf.dummyfunction("IF(F366="""", """", GOOGLETRANSLATE(F366, ""en"", ""hi""))"),"1 कप काबुली चना - उबला हुआ, 3 आलू - उबले हुए, 1 प्याज - बारीक कटा हुआ, 1 टमाटर - बारीक कटा हुआ, 1 हरी मिर्च - बारीक कटी हुई, 1 बड़ा चम्मच अदरक लहसुन पेस्ट, 1 छोटा चम्मच लाल मिर्च पाउडर, 1/2 छोटा चम्मच हल्दी पाउडर, 2 छोटे चम्मच धनिया पाउडर, 1 छोटा चम्मच गर"&amp;"म मसाला पाउडर, 1 छोटा चम्मच अमचूर, 1 छोटा चम्मच जीरा, 4 टहनी धनिया पाउडर - बारीक कटा हुआ (गार्निश के लिए), 1 इंच अदरक - पतला कटा हुआ (गार्निश के लिए), नमक - स्वादानुसार, 1 बड़ा चम्मच तेल")</f>
        <v>1 कप काबुली चना - उबला हुआ, 3 आलू - उबले हुए, 1 प्याज - बारीक कटा हुआ, 1 टमाटर - बारीक कटा हुआ, 1 हरी मिर्च - बारीक कटी हुई, 1 बड़ा चम्मच अदरक लहसुन पेस्ट, 1 छोटा चम्मच लाल मिर्च पाउडर, 1/2 छोटा चम्मच हल्दी पाउडर, 2 छोटे चम्मच धनिया पाउडर, 1 छोटा चम्मच गरम मसाला पाउडर, 1 छोटा चम्मच अमचूर, 1 छोटा चम्मच जीरा, 4 टहनी धनिया पाउडर - बारीक कटा हुआ (गार्निश के लिए), 1 इंच अदरक - पतला कटा हुआ (गार्निश के लिए), नमक - स्वादानुसार, 1 बड़ा चम्मच तेल</v>
      </c>
      <c r="H366" s="1" t="s">
        <v>32459</v>
      </c>
      <c r="I366" s="1" t="str">
        <f ca="1">IFERROR(__xludf.dummyfunction("IF(H366="""", """", GOOGLETRANSLATE(H366, ""en"", ""hi""))"),"""सूखे चने और आलू की सब्जी बनाने के लिए चने को रात भर भिगोकर रखें और फिर 3 सीटी आने तक प्रेशर कुकर में पकाएँ। पानी निथार लें और एक तरफ रख दें। इसी तरह आलू को भी प्रेशर कुकर में 2 सीटी आने तक पकाएँ। पानी निथार लें, छील लें और काट लें। अब एक पैन में तेल गरम"&amp;" करें, उसमें जीरा डालें और 10 सेकंड तक पकने दें। 10 सेकंड बाद उसमें बारीक कटा प्याज डालें और नरम होने तक पकाएँ। नरम होने के बाद उसमें अदरक लहसुन का पेस्ट डालें और 3 से 5 मिनट तक पकाएँ। उसके बाद कटे हुए टमाटर और हरी मिर्च डालें। टमाटर के नरम होने तक पकाएँ।"&amp;" अब लाल मिर्च पाउडर, धनिया पाउडर और गरम मसाला डालें। 3 से 5 मिनट तक पकाने के बाद आलू और चने डालें और अच्छी तरह मिलाएँ। नमक डालें और मिलाएँ। इसे अगले 5 से 8 मिनट तक पकने दें और फिर सूखा अमचूर पाउडर डालें। मिलाएँ और हरे धनिये से गार्निश करें। दोपहर के भोजन "&amp;"के लिए पंचमेल दाल और रोटी के साथ सूखी सब्जी परोसें।")</f>
        <v>"सूखे चने और आलू की सब्जी बनाने के लिए चने को रात भर भिगोकर रखें और फिर 3 सीटी आने तक प्रेशर कुकर में पकाएँ। पानी निथार लें और एक तरफ रख दें। इसी तरह आलू को भी प्रेशर कुकर में 2 सीटी आने तक पकाएँ। पानी निथार लें, छील लें और काट लें। अब एक पैन में तेल गरम करें, उसमें जीरा डालें और 10 सेकंड तक पकने दें। 10 सेकंड बाद उसमें बारीक कटा प्याज डालें और नरम होने तक पकाएँ। नरम होने के बाद उसमें अदरक लहसुन का पेस्ट डालें और 3 से 5 मिनट तक पकाएँ। उसके बाद कटे हुए टमाटर और हरी मिर्च डालें। टमाटर के नरम होने तक पकाएँ। अब लाल मिर्च पाउडर, धनिया पाउडर और गरम मसाला डालें। 3 से 5 मिनट तक पकाने के बाद आलू और चने डालें और अच्छी तरह मिलाएँ। नमक डालें और मिलाएँ। इसे अगले 5 से 8 मिनट तक पकने दें और फिर सूखा अमचूर पाउडर डालें। मिलाएँ और हरे धनिये से गार्निश करें। दोपहर के भोजन के लिए पंचमेल दाल और रोटी के साथ सूखी सब्जी परोसें।</v>
      </c>
      <c r="J366" s="3" t="s">
        <v>32460</v>
      </c>
      <c r="L366" s="1" t="s">
        <v>31003</v>
      </c>
    </row>
    <row r="367" spans="1:12" ht="13.8">
      <c r="A367" s="1" t="s">
        <v>32461</v>
      </c>
      <c r="B367" s="1" t="str">
        <f ca="1">IFERROR(__xludf.dummyfunction("IF(A367="""", """", GOOGLETRANSLATE(A367, ""en"", ""hi""))"),"मुर्ग और मसूर दाल रेसिपी-दाल के साथ बॉम्बे स्टाइल चिकन")</f>
        <v>मुर्ग और मसूर दाल रेसिपी-दाल के साथ बॉम्बे स्टाइल चिकन</v>
      </c>
      <c r="C367" s="1" t="s">
        <v>145</v>
      </c>
      <c r="D367" s="1" t="s">
        <v>14367</v>
      </c>
      <c r="E367" s="1">
        <v>55</v>
      </c>
      <c r="F367" s="1" t="s">
        <v>32462</v>
      </c>
      <c r="G367" s="1" t="str">
        <f ca="1">IFERROR(__xludf.dummyfunction("IF(F367="""", """", GOOGLETRANSLATE(F367, ""en"", ""hi""))"),"300 ग्राम चिकन - हड्डी सहित, 1 कप मसूर दाल (साबुत), 2 प्याज - कटे हुए, 1 हरी मिर्च - कटी हुई, 1 इंच अदरक - कटा हुआ, 5 लहसुन - कटा हुआ, 1 चम्मच हल्दी पाउडर, 2 चम्मच जीरा पाउडर, 1 चम्मच लाल मिर्च पाउडर, 2 चम्मच गरम मसाला पाउडर, 1 नींबू का रस, नमक - स्वादानु"&amp;"सार, सूरजमुखी तेल")</f>
        <v>300 ग्राम चिकन - हड्डी सहित, 1 कप मसूर दाल (साबुत), 2 प्याज - कटे हुए, 1 हरी मिर्च - कटी हुई, 1 इंच अदरक - कटा हुआ, 5 लहसुन - कटा हुआ, 1 चम्मच हल्दी पाउडर, 2 चम्मच जीरा पाउडर, 1 चम्मच लाल मिर्च पाउडर, 2 चम्मच गरम मसाला पाउडर, 1 नींबू का रस, नमक - स्वादानुसार, सूरजमुखी तेल</v>
      </c>
      <c r="H367" s="1" t="s">
        <v>32463</v>
      </c>
      <c r="I367" s="1" t="str">
        <f ca="1">IFERROR(__xludf.dummyfunction("IF(H367="""", """", GOOGLETRANSLATE(H367, ""en"", ""hi""))"),"मुर्ग और मसूर दाल रेसिपी बनाने के लिए, साबुत मसूर दाल को धोकर 3-4 घंटे के लिए भिगो दें। एक प्रेशर कुकर में मध्यम आंच पर तेल गर्म करें। अदरक, लहसुन डालें और कच्ची महक जाने तक भूनें। आधे प्याज़ डालें और पारदर्शी होने तक भूनें। हल्दी पाउडर, जीरा पाउडर, नमक, "&amp;"मसूर दाल और 2 कप पानी डालें और लगभग 5 सीटी तक दाल पकने तक पकाएँ। जब प्रेशर अपने आप निकल जाए, तो कुकर खोलें और दाल को मैशर से मैश करें। एक बाउल में डालें और अलग रख दें। उसी प्रेशर कुकर में मध्यम आंच पर तेल गर्म करें, बचा हुआ प्याज़ डालें और पारदर्शी होने त"&amp;"क भूनें। मसली हुई दाल डालें और अच्छे से चलाएँ। बचा हुआ मसाला पाउडर - गरम मसाला, लाल मिर्च पाउडर डालें आंच बंद कर दें। प्रेशर को स्वाभाविक रूप से निकलने दें। गरमागरम परोसें। अपने संपूर्ण भोजन को समृद्ध और स्वादिष्ट बनाने के लिए मुर्ग और मसूर दाल रेसिपी को "&amp;"उबले हुए चावल या फुल्का, गाजर, मूली और मूंगफली का सलाद नींबू रेसिपी और प्याज का रायता रेसिपी के साथ परोसें।")</f>
        <v>मुर्ग और मसूर दाल रेसिपी बनाने के लिए, साबुत मसूर दाल को धोकर 3-4 घंटे के लिए भिगो दें। एक प्रेशर कुकर में मध्यम आंच पर तेल गर्म करें। अदरक, लहसुन डालें और कच्ची महक जाने तक भूनें। आधे प्याज़ डालें और पारदर्शी होने तक भूनें। हल्दी पाउडर, जीरा पाउडर, नमक, मसूर दाल और 2 कप पानी डालें और लगभग 5 सीटी तक दाल पकने तक पकाएँ। जब प्रेशर अपने आप निकल जाए, तो कुकर खोलें और दाल को मैशर से मैश करें। एक बाउल में डालें और अलग रख दें। उसी प्रेशर कुकर में मध्यम आंच पर तेल गर्म करें, बचा हुआ प्याज़ डालें और पारदर्शी होने तक भूनें। मसली हुई दाल डालें और अच्छे से चलाएँ। बचा हुआ मसाला पाउडर - गरम मसाला, लाल मिर्च पाउडर डालें आंच बंद कर दें। प्रेशर को स्वाभाविक रूप से निकलने दें। गरमागरम परोसें। अपने संपूर्ण भोजन को समृद्ध और स्वादिष्ट बनाने के लिए मुर्ग और मसूर दाल रेसिपी को उबले हुए चावल या फुल्का, गाजर, मूली और मूंगफली का सलाद नींबू रेसिपी और प्याज का रायता रेसिपी के साथ परोसें।</v>
      </c>
      <c r="J367" s="3" t="s">
        <v>32464</v>
      </c>
      <c r="L367" s="1" t="s">
        <v>31003</v>
      </c>
    </row>
    <row r="368" spans="1:12" ht="13.8">
      <c r="A368" s="1" t="s">
        <v>32465</v>
      </c>
      <c r="B368" s="1" t="str">
        <f ca="1">IFERROR(__xludf.dummyfunction("IF(A368="""", """", GOOGLETRANSLATE(A368, ""en"", ""hi""))"),"चुकंदर और अंजीर की चटनी रेसिपी")</f>
        <v>चुकंदर और अंजीर की चटनी रेसिपी</v>
      </c>
      <c r="C368" s="1" t="s">
        <v>14207</v>
      </c>
      <c r="D368" s="1" t="s">
        <v>14198</v>
      </c>
      <c r="E368" s="1">
        <v>35</v>
      </c>
      <c r="F368" s="1" t="s">
        <v>32466</v>
      </c>
      <c r="G368" s="1" t="str">
        <f ca="1">IFERROR(__xludf.dummyfunction("IF(F368="""", """", GOOGLETRANSLATE(F368, ""en"", ""hi""))"),"1 कप अंजीर - कटा हुआ, 1 चम्मच अजवाइन, 1 कप चुकंदर, 1 चम्मच जायफल, 2 चम्मच लाल मिर्च पाउडर, 4 लहसुन की कलियाँ - कटी हुई, 3 हरी मिर्च - कटी हुई")</f>
        <v>1 कप अंजीर - कटा हुआ, 1 चम्मच अजवाइन, 1 कप चुकंदर, 1 चम्मच जायफल, 2 चम्मच लाल मिर्च पाउडर, 4 लहसुन की कलियाँ - कटी हुई, 3 हरी मिर्च - कटी हुई</v>
      </c>
      <c r="H368" s="1" t="s">
        <v>32467</v>
      </c>
      <c r="I368" s="1" t="str">
        <f ca="1">IFERROR(__xludf.dummyfunction("IF(H368="""", """", GOOGLETRANSLATE(H368, ""en"", ""hi""))"),"""चुकंदर और अंजीर की चटनी रेसिपी बनाने के लिए सबसे पहले एक सॉस पैन में तेल गर्म करें। उसमें अजवाइन डालें और 10 सेकंड तक पकाएं। 10 सेकंड बाद लहसुन डालें और सुनहरा होने तक पकाएं। अब चुकंदर और अंजीर डालें और 20 मिनट तक पकाएं। 20 मिनट बाद जायफल पाउडर, लाल मिर"&amp;"्च पाउडर, हरी मिर्च और 1/4 कप पानी डालें और 2 मिनट तक और पकाएं। पकने के बाद गैस बंद कर दें और सर्व करें। चुकंदर और अंजीर की चटनी रेसिपी को तवा पराठा और लहसुनी दाल के साथ लंच में सर्व करें।""")</f>
        <v>"चुकंदर और अंजीर की चटनी रेसिपी बनाने के लिए सबसे पहले एक सॉस पैन में तेल गर्म करें। उसमें अजवाइन डालें और 10 सेकंड तक पकाएं। 10 सेकंड बाद लहसुन डालें और सुनहरा होने तक पकाएं। अब चुकंदर और अंजीर डालें और 20 मिनट तक पकाएं। 20 मिनट बाद जायफल पाउडर, लाल मिर्च पाउडर, हरी मिर्च और 1/4 कप पानी डालें और 2 मिनट तक और पकाएं। पकने के बाद गैस बंद कर दें और सर्व करें। चुकंदर और अंजीर की चटनी रेसिपी को तवा पराठा और लहसुनी दाल के साथ लंच में सर्व करें।"</v>
      </c>
      <c r="J368" s="3" t="s">
        <v>32468</v>
      </c>
      <c r="L368" s="1" t="s">
        <v>31003</v>
      </c>
    </row>
    <row r="369" spans="1:12" ht="13.8">
      <c r="A369" s="1" t="s">
        <v>32469</v>
      </c>
      <c r="B369" s="1" t="str">
        <f ca="1">IFERROR(__xludf.dummyfunction("IF(A369="""", """", GOOGLETRANSLATE(A369, ""en"", ""hi""))"),"केला मटर की सब्जी रेसिपी - कच्चे केले हरी मटर को भूनिये")</f>
        <v>केला मटर की सब्जी रेसिपी - कच्चे केले हरी मटर को भूनिये</v>
      </c>
      <c r="C369" s="1" t="s">
        <v>145</v>
      </c>
      <c r="D369" s="1" t="s">
        <v>14208</v>
      </c>
      <c r="E369" s="1">
        <v>35</v>
      </c>
      <c r="F369" s="1" t="s">
        <v>32470</v>
      </c>
      <c r="G369" s="1" t="str">
        <f ca="1">IFERROR(__xludf.dummyfunction("IF(F369="""", """", GOOGLETRANSLATE(F369, ""en"", ""hi""))"),"2 कच्चे केले, 1/2 कप हरी मटर - उबली हुई, 1/2 छोटा चम्मच जीरा, 2 हरी मिर्च - कटी हुई, 1/2 छोटा चम्मच हल्दी, 1 छोटा चम्मच धनिया पाउडर, 1 छोटा चम्मच जीरा, 1 छोटा चम्मच आमचूर, 2 छोटे चम्मच नींबू, 1 छोटा चम्मच गरम मसाला पाउडर, 1 बड़ा चम्मच सूरजमुखी तेल, 2 टहनी"&amp;" धनिया - कटी हुई, नमक - स्वादानुसार")</f>
        <v>2 कच्चे केले, 1/2 कप हरी मटर - उबली हुई, 1/2 छोटा चम्मच जीरा, 2 हरी मिर्च - कटी हुई, 1/2 छोटा चम्मच हल्दी, 1 छोटा चम्मच धनिया पाउडर, 1 छोटा चम्मच जीरा, 1 छोटा चम्मच आमचूर, 2 छोटे चम्मच नींबू, 1 छोटा चम्मच गरम मसाला पाउडर, 1 बड़ा चम्मच सूरजमुखी तेल, 2 टहनी धनिया - कटी हुई, नमक - स्वादानुसार</v>
      </c>
      <c r="H369" s="1" t="s">
        <v>32471</v>
      </c>
      <c r="I369" s="1" t="str">
        <f ca="1">IFERROR(__xludf.dummyfunction("IF(H369="""", """", GOOGLETRANSLATE(H369, ""en"", ""hi""))"),"केला मटर की सब्जी बनाने के लिए सबसे पहले कच्चे केले को आधा काट लें और केले को 1/4 कप पानी के साथ 2 से 3 सीटी आने तक पका लें। आंच बंद कर दें और प्रेशर को अपने आप निकलने दें। प्रेशर निकल जाने पर कच्चे केले से छिलका उतार लें और उन्हें गोल टुकड़ों में काट लें"&amp;"। मध्यम आंच पर एक कढ़ाई में तेल गर्म करें। तेल गर्म हो जाए तो उसमें जीरा डालें, जब वे तड़कने लगें तो हरी मिर्च डालें। नमक, धनिया पाउडर, जीरा पाउडर, अमचूर पाउडर, गरम मसाला पाउडर और हल्दी पाउडर डालें और अच्छी तरह मिलाएँ। इसके बाद उबले मटर और पके हुए कच्चे क"&amp;"ेले के टुकड़े डालें और अच्छी तरह मिलाएँ। थोड़ा पानी छिड़कें, ढककर केला मटर की सब्जी को तब तक पकाएं जब तक कि सभी मसाले अच्छी तरह से लेपित न हो जाएं - लगभग 4 से 5 मिनट के लिए अंत में नींबू का रस डालें और कटा हुआ धनिया पत्ता डालकर मिलाएँ और परोसें। इस पौष्टि"&amp;"क, स्वादिष्ट और बनाने में आसान केला मटर की सब्जी को नींबू और धनिया के स्वाद वाली दाल तड़का रेसिपी, फुल्का रेसिपी (रोटी/चपाती), फूलगोभी और खीरे का रायता और उबले हुए चावल के साथ परोसें। मधुमेह के अनुकूल व्यंजन, इस केला मटर की सब्जी को रागी तवा पराठा, लहसुनी"&amp;" पालक दाल रेसिपी (लहसुन के साथ पालक और दाल की करी) और चुकंदर रायता रेसिपी (ठंडा चुकंदर और दही का सूप/सलाद) के साथ मधुमेह के अनुकूल भोजन के लिए परोसें।")</f>
        <v>केला मटर की सब्जी बनाने के लिए सबसे पहले कच्चे केले को आधा काट लें और केले को 1/4 कप पानी के साथ 2 से 3 सीटी आने तक पका लें। आंच बंद कर दें और प्रेशर को अपने आप निकलने दें। प्रेशर निकल जाने पर कच्चे केले से छिलका उतार लें और उन्हें गोल टुकड़ों में काट लें। मध्यम आंच पर एक कढ़ाई में तेल गर्म करें। तेल गर्म हो जाए तो उसमें जीरा डालें, जब वे तड़कने लगें तो हरी मिर्च डालें। नमक, धनिया पाउडर, जीरा पाउडर, अमचूर पाउडर, गरम मसाला पाउडर और हल्दी पाउडर डालें और अच्छी तरह मिलाएँ। इसके बाद उबले मटर और पके हुए कच्चे केले के टुकड़े डालें और अच्छी तरह मिलाएँ। थोड़ा पानी छिड़कें, ढककर केला मटर की सब्जी को तब तक पकाएं जब तक कि सभी मसाले अच्छी तरह से लेपित न हो जाएं - लगभग 4 से 5 मिनट के लिए अंत में नींबू का रस डालें और कटा हुआ धनिया पत्ता डालकर मिलाएँ और परोसें। इस पौष्टिक, स्वादिष्ट और बनाने में आसान केला मटर की सब्जी को नींबू और धनिया के स्वाद वाली दाल तड़का रेसिपी, फुल्का रेसिपी (रोटी/चपाती), फूलगोभी और खीरे का रायता और उबले हुए चावल के साथ परोसें। मधुमेह के अनुकूल व्यंजन, इस केला मटर की सब्जी को रागी तवा पराठा, लहसुनी पालक दाल रेसिपी (लहसुन के साथ पालक और दाल की करी) और चुकंदर रायता रेसिपी (ठंडा चुकंदर और दही का सूप/सलाद) के साथ मधुमेह के अनुकूल भोजन के लिए परोसें।</v>
      </c>
      <c r="J369" s="3" t="s">
        <v>32472</v>
      </c>
      <c r="L369" s="1" t="s">
        <v>31003</v>
      </c>
    </row>
    <row r="370" spans="1:12" ht="13.8">
      <c r="A370" s="1" t="s">
        <v>32473</v>
      </c>
      <c r="B370" s="1" t="str">
        <f ca="1">IFERROR(__xludf.dummyfunction("IF(A370="""", """", GOOGLETRANSLATE(A370, ""en"", ""hi""))"),"जैन स्टाइल पनीर मखनी")</f>
        <v>जैन स्टाइल पनीर मखनी</v>
      </c>
      <c r="C370" s="1" t="s">
        <v>14207</v>
      </c>
      <c r="D370" s="1" t="s">
        <v>14208</v>
      </c>
      <c r="E370" s="1">
        <v>50</v>
      </c>
      <c r="F370" s="1" t="s">
        <v>32474</v>
      </c>
      <c r="G370" s="1" t="str">
        <f ca="1">IFERROR(__xludf.dummyfunction("IF(F370="""", """", GOOGLETRANSLATE(F370, ""en"", ""hi""))"),"250 ग्राम पनीर - कटा हुआ, 1 कप हरी मटर - उबले हुए, 2 टमाटर - उबले हुए, 1 शिमला मिर्च (लाल) - कटी हुई, 1 हरी मिर्च, 2 बड़े चम्मच घी - या मक्खन, नमक - स्वादानुसार, 1/4 कप क्रीम - या दही, 1/4 कप दूध, 1 चम्मच चीनी, 1 चम्मच लाल मिर्च पाउडर, 1 चम्मच गरम मसाला प"&amp;"ाउडर, 2 बड़े चम्मच कसूरी मेथी, 3 टहनियाँ धनिया पत्ती - गार्निश के लिए")</f>
        <v>250 ग्राम पनीर - कटा हुआ, 1 कप हरी मटर - उबले हुए, 2 टमाटर - उबले हुए, 1 शिमला मिर्च (लाल) - कटी हुई, 1 हरी मिर्च, 2 बड़े चम्मच घी - या मक्खन, नमक - स्वादानुसार, 1/4 कप क्रीम - या दही, 1/4 कप दूध, 1 चम्मच चीनी, 1 चम्मच लाल मिर्च पाउडर, 1 चम्मच गरम मसाला पाउडर, 2 बड़े चम्मच कसूरी मेथी, 3 टहनियाँ धनिया पत्ती - गार्निश के लिए</v>
      </c>
      <c r="H370" s="1" t="s">
        <v>32475</v>
      </c>
      <c r="I370" s="1" t="str">
        <f ca="1">IFERROR(__xludf.dummyfunction("IF(H370="""", """", GOOGLETRANSLATE(H370, ""en"", ""hi""))"),"""जैन स्टाइल पनीर मखनी बनाने के लिए सबसे पहले एक पैन में घी गर्म करें। अब इसमें शिमला मिर्च और हरी मिर्च डालें। शिमला मिर्च के नरम होने तक पकाएँ। पकने के बाद इसे ठंडा होने दें और फिर इसे थोड़े पानी के साथ मिक्सी में पीस लें। अब उसी पैन में थोड़ा और घी गर्"&amp;"म करें। इसमें टमाटर प्यूरी डालें और 3 मिनट तक पकने दें। 3 मिनट बाद इसमें शिमला मिर्च का पेस्ट, चीनी, नमक, गरम मसाला पाउडर, हरी मटर और लाल मिर्च पाउडर डालें। इसे 4 से 5 मिनट तक पकने दें। अब इसमें दूध और क्रीम डालें। 1/4 कप पानी डालें, मिलाएँ और 10 मिनट तक "&amp;"पकने दें। अब इसमें पनीर के टुकड़े डालें, आँच धीमी करें और 5 मिनट तक पकने दें। आखिर में गैस बंद कर दें, हरा धनिया और कसूरी मेथी से गार्निश करें। जैन स्टाइल पनीर मखनी को दाल फ्राई, बूंदी रायता और फुल्के के साथ दिन या रात के खाने में सर्व करें।""")</f>
        <v>"जैन स्टाइल पनीर मखनी बनाने के लिए सबसे पहले एक पैन में घी गर्म करें। अब इसमें शिमला मिर्च और हरी मिर्च डालें। शिमला मिर्च के नरम होने तक पकाएँ। पकने के बाद इसे ठंडा होने दें और फिर इसे थोड़े पानी के साथ मिक्सी में पीस लें। अब उसी पैन में थोड़ा और घी गर्म करें। इसमें टमाटर प्यूरी डालें और 3 मिनट तक पकने दें। 3 मिनट बाद इसमें शिमला मिर्च का पेस्ट, चीनी, नमक, गरम मसाला पाउडर, हरी मटर और लाल मिर्च पाउडर डालें। इसे 4 से 5 मिनट तक पकने दें। अब इसमें दूध और क्रीम डालें। 1/4 कप पानी डालें, मिलाएँ और 10 मिनट तक पकने दें। अब इसमें पनीर के टुकड़े डालें, आँच धीमी करें और 5 मिनट तक पकने दें। आखिर में गैस बंद कर दें, हरा धनिया और कसूरी मेथी से गार्निश करें। जैन स्टाइल पनीर मखनी को दाल फ्राई, बूंदी रायता और फुल्के के साथ दिन या रात के खाने में सर्व करें।"</v>
      </c>
      <c r="J370" s="3" t="s">
        <v>32476</v>
      </c>
      <c r="L370" s="1" t="s">
        <v>31003</v>
      </c>
    </row>
    <row r="371" spans="1:12" ht="13.8">
      <c r="A371" s="1" t="s">
        <v>32477</v>
      </c>
      <c r="B371" s="1" t="str">
        <f ca="1">IFERROR(__xludf.dummyfunction("IF(A371="""", """", GOOGLETRANSLATE(A371, ""en"", ""hi""))"),"भट्ट की दाल रेसिपी")</f>
        <v>भट्ट की दाल रेसिपी</v>
      </c>
      <c r="C371" s="1" t="s">
        <v>145</v>
      </c>
      <c r="D371" s="1" t="s">
        <v>14198</v>
      </c>
      <c r="E371" s="1">
        <v>35</v>
      </c>
      <c r="F371" s="1" t="s">
        <v>32478</v>
      </c>
      <c r="G371" s="1" t="str">
        <f ca="1">IFERROR(__xludf.dummyfunction("IF(F371="""", """", GOOGLETRANSLATE(F371, ""en"", ""hi""))"),"1 कप काली दाल - रातभर भिगोई हुई, 1 प्याज - बारीक कटा हुआ, 4 लहसुन की कलियां - बारीक कटा हुआ, 1 छोटा चम्मच जीरा, 1 छोटा चम्मच हल्दी पाउडर, 2 छोटे चम्मच लाल मिर्च पाउडर, 2 छोटे चम्मच धनिया पाउडर, 2 छोटे चम्मच गरम मसाला पाउडर, नमक - स्वादानुसार, तेल, 1 बड़ा "&amp;"चम्मच घी")</f>
        <v>1 कप काली दाल - रातभर भिगोई हुई, 1 प्याज - बारीक कटा हुआ, 4 लहसुन की कलियां - बारीक कटा हुआ, 1 छोटा चम्मच जीरा, 1 छोटा चम्मच हल्दी पाउडर, 2 छोटे चम्मच लाल मिर्च पाउडर, 2 छोटे चम्मच धनिया पाउडर, 2 छोटे चम्मच गरम मसाला पाउडर, नमक - स्वादानुसार, तेल, 1 बड़ा चम्मच घी</v>
      </c>
      <c r="H371" s="1" t="s">
        <v>32479</v>
      </c>
      <c r="I371" s="1" t="str">
        <f ca="1">IFERROR(__xludf.dummyfunction("IF(H371="""", """", GOOGLETRANSLATE(H371, ""en"", ""hi""))"),"भट्ट की दाल रेसिपी बनाने के लिए सबसे पहले उड़द की दाल को रात भर पानी में भिगोकर रखें। एक पैन में आवश्यकतानुसार घी गर्म करें। इसमें गेहूं का आटा डालकर हल्का भूरा होने तक भूनें। जब यह पक जाए तो गैस बंद कर दें और एक तरफ रख दें। अब प्रेशर कुकर में तेल गर्म कर"&amp;"ें, इसमें जीरा डालकर चटकाएं। अब इसमें प्याज, लहसुन डालें और प्याज के नरम होने तक पकाएं। अब इसमें उड़द की दाल, आवश्यकतानुसार पानी, हल्दी पाउडर, लाल मिर्च पाउडर, गरम मसाला पाउडर, धनिया पाउडर, नमक डालकर अच्छी तरह मिला लें। कुकर बंद करके 5 से 8 सीटी आने तक या"&amp;" 30 मिनट तक पकाएं। जब यह पक जाए तो गैस बंद कर दें और प्रेशर अपने आप निकल जाने दें। प्रेशर निकल जाने के बाद कुकर खोलें और इसमें भुना हुआ आटा डालें। थोड़ा पानी डालें, फिर से गैस चालू करें और मिला लें। 3 से 4 मिनट तक पकाएं और गैस बंद कर दें। एक बाउल में निका"&amp;"ल कर सर्व करें। भट्ट की दाल रेसिपी को मुगलई भी कहते हैं। इसे लंच में भिंडी और फुल्के के साथ सर्व करें।")</f>
        <v>भट्ट की दाल रेसिपी बनाने के लिए सबसे पहले उड़द की दाल को रात भर पानी में भिगोकर रखें। एक पैन में आवश्यकतानुसार घी गर्म करें। इसमें गेहूं का आटा डालकर हल्का भूरा होने तक भूनें। जब यह पक जाए तो गैस बंद कर दें और एक तरफ रख दें। अब प्रेशर कुकर में तेल गर्म करें, इसमें जीरा डालकर चटकाएं। अब इसमें प्याज, लहसुन डालें और प्याज के नरम होने तक पकाएं। अब इसमें उड़द की दाल, आवश्यकतानुसार पानी, हल्दी पाउडर, लाल मिर्च पाउडर, गरम मसाला पाउडर, धनिया पाउडर, नमक डालकर अच्छी तरह मिला लें। कुकर बंद करके 5 से 8 सीटी आने तक या 30 मिनट तक पकाएं। जब यह पक जाए तो गैस बंद कर दें और प्रेशर अपने आप निकल जाने दें। प्रेशर निकल जाने के बाद कुकर खोलें और इसमें भुना हुआ आटा डालें। थोड़ा पानी डालें, फिर से गैस चालू करें और मिला लें। 3 से 4 मिनट तक पकाएं और गैस बंद कर दें। एक बाउल में निकाल कर सर्व करें। भट्ट की दाल रेसिपी को मुगलई भी कहते हैं। इसे लंच में भिंडी और फुल्के के साथ सर्व करें।</v>
      </c>
      <c r="J371" s="3" t="s">
        <v>32480</v>
      </c>
      <c r="L371" s="1" t="s">
        <v>31003</v>
      </c>
    </row>
    <row r="372" spans="1:12" ht="13.8">
      <c r="A372" s="1" t="s">
        <v>32481</v>
      </c>
      <c r="B372" s="1" t="str">
        <f ca="1">IFERROR(__xludf.dummyfunction("IF(A372="""", """", GOOGLETRANSLATE(A372, ""en"", ""hi""))"),"ढाबा स्टाइल दाल पालक")</f>
        <v>ढाबा स्टाइल दाल पालक</v>
      </c>
      <c r="C372" s="1" t="s">
        <v>145</v>
      </c>
      <c r="D372" s="1" t="s">
        <v>14237</v>
      </c>
      <c r="E372" s="1">
        <v>40</v>
      </c>
      <c r="F372" s="1" t="s">
        <v>32482</v>
      </c>
      <c r="G372" s="1" t="str">
        <f ca="1">IFERROR(__xludf.dummyfunction("IF(F372="""", """", GOOGLETRANSLATE(F372, ""en"", ""hi""))"),"1 कप अरहर दाल, 1 कप पालक, 1 प्याज, 1 टमाटर, 3 हरी मिर्च, 1 बड़ा चम्मच अदरक - कसा हुआ, 1 बड़ा चम्मच लहसुन - 1 बड़ा चम्मच अतिरिक्त, 1 बड़ा चम्मच तेल, 1 बड़ा चम्मच घी, 1 चम्मच जीरा, 1/2 चम्मच सरसों के बीज, 2 सूखी लाल मिर्च, 1/4 चम्मच हल्दी पाउडर, 1 चम्मच लाल"&amp;" मिर्च पाउडर, नमक - स्वादानुसार, हींग - एक चुटकी")</f>
        <v>1 कप अरहर दाल, 1 कप पालक, 1 प्याज, 1 टमाटर, 3 हरी मिर्च, 1 बड़ा चम्मच अदरक - कसा हुआ, 1 बड़ा चम्मच लहसुन - 1 बड़ा चम्मच अतिरिक्त, 1 बड़ा चम्मच तेल, 1 बड़ा चम्मच घी, 1 चम्मच जीरा, 1/2 चम्मच सरसों के बीज, 2 सूखी लाल मिर्च, 1/4 चम्मच हल्दी पाउडर, 1 चम्मच लाल मिर्च पाउडर, नमक - स्वादानुसार, हींग - एक चुटकी</v>
      </c>
      <c r="H372" s="1" t="s">
        <v>32483</v>
      </c>
      <c r="I372" s="1" t="str">
        <f ca="1">IFERROR(__xludf.dummyfunction("IF(H372="""", """", GOOGLETRANSLATE(H372, ""en"", ""hi""))"),"""ढाबा स्टाइल दाल पालक बनाने के लिए सबसे पहले दाल को 2 से 3 बार धो लें। अब दाल को 20 मिनट के लिए पानी में भिगो दें। अब इसे प्रेशर कुकर में पानी, नमक और हल्दी पाउडर के साथ डालकर 2 से 3 सीटी आने तक पकाएं। अब पालक के पत्ते लें और उन्हें अच्छे से धो लें। धोने"&amp;" के बाद उन्हें बारीक काट कर अलग रख लें। अब एक पैन में 1 छोटा चम्मच घी और 1/2 छोटा चम्मच तेल डालें। जीरा डालें और 10 सेकंड तक पकाएं। अब लहसुन और अदरक डालें और 1 मिनट तक पकने दें। 1 मिनट बाद प्याज और हरी मिर्च डालें। प्याज के नरम और भूरे होने तक पकाएं। अब ब"&amp;"ारीक कटे टमाटर डालें और उनके नरम होने तक पकाएं। नरम होने के बाद पालक डालें, मिलाएँ और पकाएँ। पकने के बाद हल्दी पाउडर, लाल मिर्च पाउडर, नमक डालें और अच्छी तरह मिलाएँ और 1 मिनट तक पकने दें। 1 मिनट बाद दाल डालें और मिलाएँ। पैन को धो लें और 4 से 5 मिनट तक पका"&amp;"एँ। 10 मिनट तक पकने दें। फिर गैस बंद कर दें और एक तरफ रख दें। अब एक छोटे पैन में तेल गर्म करें। सरसों के बीज डालें और 10 सेकंड के लिए भूनें। बचा हुआ लहसुन डालें और सुनहरा भूरा होने तक पकाएँ। हींग और सूखी लाल मिर्च डालें, 20 सेकंड के लिए पकाएँ और गैस बंद क"&amp;"र दें। इस मसाले को दाल में डालें और परोसें। ढाबा स्टाइल दाल पालक को सेव टमाटर की सब्ज़ी और खूबा रोटी के साथ दोपहर के भोजन में परोसें।")</f>
        <v>"ढाबा स्टाइल दाल पालक बनाने के लिए सबसे पहले दाल को 2 से 3 बार धो लें। अब दाल को 20 मिनट के लिए पानी में भिगो दें। अब इसे प्रेशर कुकर में पानी, नमक और हल्दी पाउडर के साथ डालकर 2 से 3 सीटी आने तक पकाएं। अब पालक के पत्ते लें और उन्हें अच्छे से धो लें। धोने के बाद उन्हें बारीक काट कर अलग रख लें। अब एक पैन में 1 छोटा चम्मच घी और 1/2 छोटा चम्मच तेल डालें। जीरा डालें और 10 सेकंड तक पकाएं। अब लहसुन और अदरक डालें और 1 मिनट तक पकने दें। 1 मिनट बाद प्याज और हरी मिर्च डालें। प्याज के नरम और भूरे होने तक पकाएं। अब बारीक कटे टमाटर डालें और उनके नरम होने तक पकाएं। नरम होने के बाद पालक डालें, मिलाएँ और पकाएँ। पकने के बाद हल्दी पाउडर, लाल मिर्च पाउडर, नमक डालें और अच्छी तरह मिलाएँ और 1 मिनट तक पकने दें। 1 मिनट बाद दाल डालें और मिलाएँ। पैन को धो लें और 4 से 5 मिनट तक पकाएँ। 10 मिनट तक पकने दें। फिर गैस बंद कर दें और एक तरफ रख दें। अब एक छोटे पैन में तेल गर्म करें। सरसों के बीज डालें और 10 सेकंड के लिए भूनें। बचा हुआ लहसुन डालें और सुनहरा भूरा होने तक पकाएँ। हींग और सूखी लाल मिर्च डालें, 20 सेकंड के लिए पकाएँ और गैस बंद कर दें। इस मसाले को दाल में डालें और परोसें। ढाबा स्टाइल दाल पालक को सेव टमाटर की सब्ज़ी और खूबा रोटी के साथ दोपहर के भोजन में परोसें।</v>
      </c>
      <c r="J372" s="3" t="s">
        <v>32484</v>
      </c>
      <c r="L372" s="1" t="s">
        <v>31003</v>
      </c>
    </row>
    <row r="373" spans="1:12" ht="13.8">
      <c r="A373" s="1" t="s">
        <v>32485</v>
      </c>
      <c r="B373" s="1" t="str">
        <f ca="1">IFERROR(__xludf.dummyfunction("IF(A373="""", """", GOOGLETRANSLATE(A373, ""en"", ""hi""))"),"ढाबा मटन रेसिपी- मसालेदार मटन ग्रेवी")</f>
        <v>ढाबा मटन रेसिपी- मसालेदार मटन ग्रेवी</v>
      </c>
      <c r="C373" s="1" t="s">
        <v>429</v>
      </c>
      <c r="D373" s="1" t="s">
        <v>14382</v>
      </c>
      <c r="E373" s="1">
        <v>190</v>
      </c>
      <c r="F373" s="1" t="s">
        <v>32486</v>
      </c>
      <c r="G373" s="1" t="str">
        <f ca="1">IFERROR(__xludf.dummyfunction("IF(F373="""", """", GOOGLETRANSLATE(F373, ""en"", ""hi""))"),"500 ग्राम मटन - टुकड़ों में कटा हुआ, 5 लहसुन की कलियाँ - बारीक कटा हुआ, 2 प्याज़ - बारीक कटा हुआ, 3/4 कप दही, 1 बड़ा चम्मच जीरा, 1 बड़ा चम्मच धनिया पाउडर, 4 लौंग, सूरजमुखी का तेल - आवश्यकतानुसार, 3 हरी मिर्च - (अपने स्वादानुसार), 1 छोटा चम्मच अदरक - कद्दू"&amp;"कस किया हुआ, धनिया के पत्ते - कुछ टहनियाँ, 2 टमाटर - बारीक कटा हुआ, 2 तेज पत्ता, 3 इलायची, 1 बड़ा चम्मच लाल मिर्च पाउडर, 1 बड़ा चम्मच हल्दी, नमक - स्वादानुसार")</f>
        <v>500 ग्राम मटन - टुकड़ों में कटा हुआ, 5 लहसुन की कलियाँ - बारीक कटा हुआ, 2 प्याज़ - बारीक कटा हुआ, 3/4 कप दही, 1 बड़ा चम्मच जीरा, 1 बड़ा चम्मच धनिया पाउडर, 4 लौंग, सूरजमुखी का तेल - आवश्यकतानुसार, 3 हरी मिर्च - (अपने स्वादानुसार), 1 छोटा चम्मच अदरक - कद्दूकस किया हुआ, धनिया के पत्ते - कुछ टहनियाँ, 2 टमाटर - बारीक कटा हुआ, 2 तेज पत्ता, 3 इलायची, 1 बड़ा चम्मच लाल मिर्च पाउडर, 1 बड़ा चम्मच हल्दी, नमक - स्वादानुसार</v>
      </c>
      <c r="H373" s="1" t="s">
        <v>32487</v>
      </c>
      <c r="I373" s="1" t="str">
        <f ca="1">IFERROR(__xludf.dummyfunction("IF(H373="""", """", GOOGLETRANSLATE(H373, ""en"", ""hi""))"),"ढाबा मटन रेसिपी बनाने के लिए सबसे पहले मेमने को दही, लाल मिर्च पाउडर, हल्दी पाउडर, जीरा पाउडर, धनिया पाउडर और नमक के साथ मैरीनेट करें। सभी चीजों को अच्छे से मिलाएं और लगभग 2 घंटे के लिए अलग रख दें। एक भारी तले की कड़ाही में तेल गर्म करें और उसमें लौंग, इल"&amp;"ायची, तेज पत्ता, लहसुन, अदरक डालें और कुछ सेकंड के लिए भूनें। इसमें कटा हुआ प्याज, हरी मिर्च डालें और सुनहरा भूरा होने तक भूनें। इसमें मैरीनेट किया हुआ मेमना डालें और इसे तब तक पकाएं जब तक कि मेमना पक कर नरम न हो जाए। एक बार जब यह हो जाए तो इसमें टमाटर और"&amp;" हरी मिर्च डालें। इसे लगभग 15 से 20 मिनट तक पकाएं। 15 से 20 मिनट के बाद इसमें आवश्यक पानी डालें और इसे 5 मिनट और पकने दें। गरम मसाला छिड़कें और 3-4 मिनट तक पकाएं")</f>
        <v>ढाबा मटन रेसिपी बनाने के लिए सबसे पहले मेमने को दही, लाल मिर्च पाउडर, हल्दी पाउडर, जीरा पाउडर, धनिया पाउडर और नमक के साथ मैरीनेट करें। सभी चीजों को अच्छे से मिलाएं और लगभग 2 घंटे के लिए अलग रख दें। एक भारी तले की कड़ाही में तेल गर्म करें और उसमें लौंग, इलायची, तेज पत्ता, लहसुन, अदरक डालें और कुछ सेकंड के लिए भूनें। इसमें कटा हुआ प्याज, हरी मिर्च डालें और सुनहरा भूरा होने तक भूनें। इसमें मैरीनेट किया हुआ मेमना डालें और इसे तब तक पकाएं जब तक कि मेमना पक कर नरम न हो जाए। एक बार जब यह हो जाए तो इसमें टमाटर और हरी मिर्च डालें। इसे लगभग 15 से 20 मिनट तक पकाएं। 15 से 20 मिनट के बाद इसमें आवश्यक पानी डालें और इसे 5 मिनट और पकने दें। गरम मसाला छिड़कें और 3-4 मिनट तक पकाएं</v>
      </c>
      <c r="J373" s="3" t="s">
        <v>32488</v>
      </c>
      <c r="L373" s="1" t="s">
        <v>31003</v>
      </c>
    </row>
    <row r="374" spans="1:12" ht="13.8">
      <c r="A374" s="1" t="s">
        <v>32489</v>
      </c>
      <c r="B374" s="1" t="str">
        <f ca="1">IFERROR(__xludf.dummyfunction("IF(A374="""", """", GOOGLETRANSLATE(A374, ""en"", ""hi""))"),"शाही पराठा रेसिपी")</f>
        <v>शाही पराठा रेसिपी</v>
      </c>
      <c r="C374" s="1" t="s">
        <v>16424</v>
      </c>
      <c r="D374" s="1" t="s">
        <v>14198</v>
      </c>
      <c r="E374" s="1">
        <v>60</v>
      </c>
      <c r="F374" s="1" t="s">
        <v>32490</v>
      </c>
      <c r="G374" s="1" t="str">
        <f ca="1">IFERROR(__xludf.dummyfunction("IF(F374="""", """", GOOGLETRANSLATE(F374, ""en"", ""hi""))"),"1 कप गेहूं का आटा, 1 कप मैदा, सूरजमुखी तेल - आवश्यकतानुसार, नमक - स्वादानुसार, 3 आलू - उबले और मसले हुए, 1/2 कप बेसन, नमक - स्वादानुसार, 1 चम्मच हल्दी पाउडर, 1 चम्मच लाल मिर्च पाउडर, 1 चम्मच अजवाइन, 1 कप मीठी चटनी (खजूर और इमली), 1/2 कप हरी चटनी (धनिया और"&amp;" पुदीना), 1/2 कप दही - (वैकल्पिक), 1 प्याज - बारीक कटा हुआ, 1 टमाटर - बारीक कटा हुआ, 2 हरी मिर्च - बारीक कटी हुई, धनिया पत्ती - छोटा गुच्छा, 1/2 कप सेव - गार्निश के लिए")</f>
        <v>1 कप गेहूं का आटा, 1 कप मैदा, सूरजमुखी तेल - आवश्यकतानुसार, नमक - स्वादानुसार, 3 आलू - उबले और मसले हुए, 1/2 कप बेसन, नमक - स्वादानुसार, 1 चम्मच हल्दी पाउडर, 1 चम्मच लाल मिर्च पाउडर, 1 चम्मच अजवाइन, 1 कप मीठी चटनी (खजूर और इमली), 1/2 कप हरी चटनी (धनिया और पुदीना), 1/2 कप दही - (वैकल्पिक), 1 प्याज - बारीक कटा हुआ, 1 टमाटर - बारीक कटा हुआ, 2 हरी मिर्च - बारीक कटी हुई, धनिया पत्ती - छोटा गुच्छा, 1/2 कप सेव - गार्निश के लिए</v>
      </c>
      <c r="H374" s="1" t="s">
        <v>32491</v>
      </c>
      <c r="I374" s="1" t="str">
        <f ca="1">IFERROR(__xludf.dummyfunction("IF(H374="""", """", GOOGLETRANSLATE(H374, ""en"", ""hi""))"),"शाही पराठा बनाने के लिए सबसे पहले हमें लच्छा पराठा बनाना होगा जो कि बेस का काम करेगा और बाद में हम लच्छा पराठे के ऊपर अन्य सामग्री डालकर आगे बढ़ेंगे। लच्छा पराठा बनाने के लिए हमें गेहूं का आटा, मैदा, नमक और तेल मिलाना होगा। धीरे-धीरे पानी डालते हुए चिकना "&amp;"आटा गूंथ लें। आटे को ढककर 15-20 मिनट के लिए रख दें। आटे को आराम देने के बाद, आटे को 4 भागों में बांट लें और उसकी लोइयां बना लें। आटे की एक लोई लें और उसे धूल लगे चकले पर 6 से 7 इंच व्यास की चकती में बेल लें। पराठे के चकले पर किनारों से उदारतापूर्वक तेल लग"&amp;"ाएं और पराठे को मोड़ना और मोड़ना शुरू करें। प्लीटेड किनारों को कसकर रोल करें। किनारों को जोड़ें। अब लगभग 4 से 5 इंच व्यास के गोल पराठे बेल पराठों को तब तक पलटते रहें जब तक वह भूरा और हल्का कुरकुरा न हो जाए। इसी तरह सारे पराठे बनाकर एक तरफ रख दें। ठंडा होन"&amp;"े दें। टॉपिंग के लिए सबसे पहले उबले आलू को छीलकर मैश कर लें। इसमें नमक, हल्दी और लाल मिर्च पाउडर डालें। एक पैन में तेल डालें और जैसे ही यह गर्म हो जाए इसमें मसले हुए आलू का मिश्रण डालें और मिला लें। आंच बंद कर दें और आलू को ठंडा होने दें। एक बाउल में बेसन"&amp;" लें, उसमें नमक और अजवाइन डालें। इसमें धीरे-धीरे पानी डालें और गाढ़ा पेस्ट बनाने के लिए मिला लें। अब लच्छा पराठे बनकर तैयार हैं और इन्हें शाही पराठों में बदल दें। पराठा लें और उस पर चमच्च से आलू का मिश्रण फैलाएं और फिर उस पर बेसन के घोल का थोड़ा सा हिस्सा"&amp;" फैलाएं। एक बार हो जाने पर, तवे से उतार लें और इसे कड़ाही में रखें। इसी तरह बाकी तीनों पराठे तैयार कर लें। शाही पराठे को बनाने के लिए, प्रत्येक पराठे को आलू की तरफ ऊपर की तरफ करके प्लेट पर रखें। कटे हुए प्याज, टमाटर और हरी मिर्च छिड़कें। इसके ऊपर चटनी और "&amp;"दही डालें और आखिर में ऊपर से सेव और धनिया पत्ती डालें। शाही पराठे को ऐसे ही परोसें और यह एक झटपट और स्वादिष्ट वीक नाइट डिनर बन जाएगा।")</f>
        <v>शाही पराठा बनाने के लिए सबसे पहले हमें लच्छा पराठा बनाना होगा जो कि बेस का काम करेगा और बाद में हम लच्छा पराठे के ऊपर अन्य सामग्री डालकर आगे बढ़ेंगे। लच्छा पराठा बनाने के लिए हमें गेहूं का आटा, मैदा, नमक और तेल मिलाना होगा। धीरे-धीरे पानी डालते हुए चिकना आटा गूंथ लें। आटे को ढककर 15-20 मिनट के लिए रख दें। आटे को आराम देने के बाद, आटे को 4 भागों में बांट लें और उसकी लोइयां बना लें। आटे की एक लोई लें और उसे धूल लगे चकले पर 6 से 7 इंच व्यास की चकती में बेल लें। पराठे के चकले पर किनारों से उदारतापूर्वक तेल लगाएं और पराठे को मोड़ना और मोड़ना शुरू करें। प्लीटेड किनारों को कसकर रोल करें। किनारों को जोड़ें। अब लगभग 4 से 5 इंच व्यास के गोल पराठे बेल पराठों को तब तक पलटते रहें जब तक वह भूरा और हल्का कुरकुरा न हो जाए। इसी तरह सारे पराठे बनाकर एक तरफ रख दें। ठंडा होने दें। टॉपिंग के लिए सबसे पहले उबले आलू को छीलकर मैश कर लें। इसमें नमक, हल्दी और लाल मिर्च पाउडर डालें। एक पैन में तेल डालें और जैसे ही यह गर्म हो जाए इसमें मसले हुए आलू का मिश्रण डालें और मिला लें। आंच बंद कर दें और आलू को ठंडा होने दें। एक बाउल में बेसन लें, उसमें नमक और अजवाइन डालें। इसमें धीरे-धीरे पानी डालें और गाढ़ा पेस्ट बनाने के लिए मिला लें। अब लच्छा पराठे बनकर तैयार हैं और इन्हें शाही पराठों में बदल दें। पराठा लें और उस पर चमच्च से आलू का मिश्रण फैलाएं और फिर उस पर बेसन के घोल का थोड़ा सा हिस्सा फैलाएं। एक बार हो जाने पर, तवे से उतार लें और इसे कड़ाही में रखें। इसी तरह बाकी तीनों पराठे तैयार कर लें। शाही पराठे को बनाने के लिए, प्रत्येक पराठे को आलू की तरफ ऊपर की तरफ करके प्लेट पर रखें। कटे हुए प्याज, टमाटर और हरी मिर्च छिड़कें। इसके ऊपर चटनी और दही डालें और आखिर में ऊपर से सेव और धनिया पत्ती डालें। शाही पराठे को ऐसे ही परोसें और यह एक झटपट और स्वादिष्ट वीक नाइट डिनर बन जाएगा।</v>
      </c>
      <c r="J374" s="3" t="s">
        <v>32492</v>
      </c>
      <c r="L374" s="1" t="s">
        <v>31003</v>
      </c>
    </row>
    <row r="375" spans="1:12" ht="13.8">
      <c r="A375" s="1" t="s">
        <v>32493</v>
      </c>
      <c r="B375" s="1" t="str">
        <f ca="1">IFERROR(__xludf.dummyfunction("IF(A375="""", """", GOOGLETRANSLATE(A375, ""en"", ""hi""))"),"मशरूम, पनीर और सोया चंक समोसा रेसिपी")</f>
        <v>मशरूम, पनीर और सोया चंक समोसा रेसिपी</v>
      </c>
      <c r="C375" s="1" t="s">
        <v>14572</v>
      </c>
      <c r="D375" s="1" t="s">
        <v>14237</v>
      </c>
      <c r="E375" s="1">
        <v>60</v>
      </c>
      <c r="F375" s="1" t="s">
        <v>32494</v>
      </c>
      <c r="G375" s="1" t="str">
        <f ca="1">IFERROR(__xludf.dummyfunction("IF(F375="""", """", GOOGLETRANSLATE(F375, ""en"", ""hi""))"),"250 ग्राम बटन मशरूम - बारीक कटा हुआ, 1 कप सोया ग्रैन्यूल्स, 100 ग्राम पनीर (घर का बना पनीर) - बारीक कटा हुआ, 1 प्याज - बारीक कटा हुआ, 2 बड़े चम्मच सूरजमुखी तेल, 1 हरी मिर्च - बारीक कटी हुई, 1 चम्मच सौंफ के बीज (सौंफ), 20 स्प्रिंग रोल रैपर - पेस्ट्री शीट्स"&amp;", 1/2 चम्मच काली मिर्च पाउडर, 1/2 चम्मच कश्मीरी लाल मिर्च पाउडर, 1/4 चम्मच हल्दी पाउडर (हल्दी), 1/2 चम्मच धनिया पाउडर (धनिया), 1/4 चम्मच गरम मसाला पाउडर, 1/4 चम्मच चाट मसाला पाउडर, नमक - आवश्यकतानुसार, सूरजमुखी तेल - तलने के लिए पर्याप्त")</f>
        <v>250 ग्राम बटन मशरूम - बारीक कटा हुआ, 1 कप सोया ग्रैन्यूल्स, 100 ग्राम पनीर (घर का बना पनीर) - बारीक कटा हुआ, 1 प्याज - बारीक कटा हुआ, 2 बड़े चम्मच सूरजमुखी तेल, 1 हरी मिर्च - बारीक कटी हुई, 1 चम्मच सौंफ के बीज (सौंफ), 20 स्प्रिंग रोल रैपर - पेस्ट्री शीट्स, 1/2 चम्मच काली मिर्च पाउडर, 1/2 चम्मच कश्मीरी लाल मिर्च पाउडर, 1/4 चम्मच हल्दी पाउडर (हल्दी), 1/2 चम्मच धनिया पाउडर (धनिया), 1/4 चम्मच गरम मसाला पाउडर, 1/4 चम्मच चाट मसाला पाउडर, नमक - आवश्यकतानुसार, सूरजमुखी तेल - तलने के लिए पर्याप्त</v>
      </c>
      <c r="H375" s="1" t="s">
        <v>32495</v>
      </c>
      <c r="I375" s="1" t="str">
        <f ca="1">IFERROR(__xludf.dummyfunction("IF(H375="""", """", GOOGLETRANSLATE(H375, ""en"", ""hi""))"),"मशरूम, पनीर और सोया चंक समोसा रेसिपी बनाने के लिए सबसे पहले एक सॉस पैन में नमक के साथ थोड़ा पानी उबालें। इसमें सोया चंक्स/ग्रेन्यूल्स मिला दें। आंच बंद कर दें और सॉस पैन को ढककर 15 मिनट के लिए अलग रख दें जब तक कि चंक्स/ग्रेन्यूल्स आकार में दोगुने न हो जाए"&amp;"ं। फिर एक बड़ी छलनी का उपयोग करके सारा पानी निकाल दें। सोया चंक्स/ग्रेन्यूल्स को एक कटोरे में रखें और ठंडा होने के लिए अलग रख दें। मशरूम को फूड प्रोसेसर में एक-दो बार पल्से करके बारीक काट लें। पके हुए सोया चंक्स को भी फूड प्रोसेसर में डालें और अच्छे से मि"&amp;"ल जाने तक एक-दो बार और पल्से करें। इस मिश्रण को एक तरफ रख दें। एक पैन में तेल गर्म करें। इसमें सौंफ के बीज डालें। कुछ सेकंड के बाद कटा हुआ प्याज और कटी हुई हरी मिर्च भी डालें थोड़ा नमक छिड़कें और इसे तब तक पकाएं जब तक पानी पूरी तरह से सूख न जाए। इसमें पिस"&amp;"ी हुई काली मिर्च, कश्मीरी मिर्च पाउडर, हल्दी, धनिया पाउडर, गरम मसाला और चाट पाउडर डालें और अच्छी तरह मिलाएँ। मसालों की जाँच करें और यदि आवश्यक हो तो कुछ और नमक डालें और तब तक पकाएं जब तक मिश्रण पूरी तरह से सूख न जाए। मशरूम, पनीर और सोया चंक्स के मिश्रण को"&amp;" आँच से उतार लें, इसे एक तरफ रख दें और इसे पूरी तरह से ठंडा होने दें। मिश्रण को कमरे के तापमान पर आ जाना चाहिए ताकि यह संभालने के लिए पर्याप्त गर्म हो। अगला कदम समोसे तैयार करना है। ऐसा करने के लिए, स्प्रिंग रोल पेस्ट्री की एक शीट लें और इसे एक बोर्ड या क"&amp;"ाम की सतह पर लंबवत रखें। एक चम्मच भराई रखें और शीट को एक त्रिकोण में मोड़ो शेष शीट के साथ भी इसी तरह आगे बढ़ें, जब तक कि समोसे का पूरा भरावन इस्तेमाल न हो जाए। तैयार समोसों को एक बोर्ड पर व्यवस्थित करें और एक नम कपड़े से ढक कर रखें जब तक कि आप उन्हें तलने"&amp;" के लिए तैयार न हों। एक कढ़ाई में तलने के लिए थोड़ा तेल गर्म करें। जब तेल पर्याप्त गर्म हो जाए, तो धीरे से 2-3 समोसे उसमें डालें। ध्यान रखें कि कढ़ाई में ज्यादा समोसे न हों, ताकि समोसे समान रूप से तलें और सुनहरे भूरे रंग के हो जाएं। तैयार होने पर, उन्हें "&amp;"एक छिद्रित चम्मच से धीरे से बाहर निकालें, ध्यान रखें कि कढ़ाई के किनारों से सारा अतिरिक्त तेल निकल जाए। समोसों को तेल सोखने वाले कागज पर रखें और तेल को पूरी तरह से सूखने दें। शाम के नाश्ते के लिए मशरूम, पनीर और सोया चंक समोसा को हरी चटनी या खजूर और इमली क"&amp;"ी चटनी और अदरक इलायची चाय के साथ परोसें।")</f>
        <v>मशरूम, पनीर और सोया चंक समोसा रेसिपी बनाने के लिए सबसे पहले एक सॉस पैन में नमक के साथ थोड़ा पानी उबालें। इसमें सोया चंक्स/ग्रेन्यूल्स मिला दें। आंच बंद कर दें और सॉस पैन को ढककर 15 मिनट के लिए अलग रख दें जब तक कि चंक्स/ग्रेन्यूल्स आकार में दोगुने न हो जाएं। फिर एक बड़ी छलनी का उपयोग करके सारा पानी निकाल दें। सोया चंक्स/ग्रेन्यूल्स को एक कटोरे में रखें और ठंडा होने के लिए अलग रख दें। मशरूम को फूड प्रोसेसर में एक-दो बार पल्से करके बारीक काट लें। पके हुए सोया चंक्स को भी फूड प्रोसेसर में डालें और अच्छे से मिल जाने तक एक-दो बार और पल्से करें। इस मिश्रण को एक तरफ रख दें। एक पैन में तेल गर्म करें। इसमें सौंफ के बीज डालें। कुछ सेकंड के बाद कटा हुआ प्याज और कटी हुई हरी मिर्च भी डालें थोड़ा नमक छिड़कें और इसे तब तक पकाएं जब तक पानी पूरी तरह से सूख न जाए। इसमें पिसी हुई काली मिर्च, कश्मीरी मिर्च पाउडर, हल्दी, धनिया पाउडर, गरम मसाला और चाट पाउडर डालें और अच्छी तरह मिलाएँ। मसालों की जाँच करें और यदि आवश्यक हो तो कुछ और नमक डालें और तब तक पकाएं जब तक मिश्रण पूरी तरह से सूख न जाए। मशरूम, पनीर और सोया चंक्स के मिश्रण को आँच से उतार लें, इसे एक तरफ रख दें और इसे पूरी तरह से ठंडा होने दें। मिश्रण को कमरे के तापमान पर आ जाना चाहिए ताकि यह संभालने के लिए पर्याप्त गर्म हो। अगला कदम समोसे तैयार करना है। ऐसा करने के लिए, स्प्रिंग रोल पेस्ट्री की एक शीट लें और इसे एक बोर्ड या काम की सतह पर लंबवत रखें। एक चम्मच भराई रखें और शीट को एक त्रिकोण में मोड़ो शेष शीट के साथ भी इसी तरह आगे बढ़ें, जब तक कि समोसे का पूरा भरावन इस्तेमाल न हो जाए। तैयार समोसों को एक बोर्ड पर व्यवस्थित करें और एक नम कपड़े से ढक कर रखें जब तक कि आप उन्हें तलने के लिए तैयार न हों। एक कढ़ाई में तलने के लिए थोड़ा तेल गर्म करें। जब तेल पर्याप्त गर्म हो जाए, तो धीरे से 2-3 समोसे उसमें डालें। ध्यान रखें कि कढ़ाई में ज्यादा समोसे न हों, ताकि समोसे समान रूप से तलें और सुनहरे भूरे रंग के हो जाएं। तैयार होने पर, उन्हें एक छिद्रित चम्मच से धीरे से बाहर निकालें, ध्यान रखें कि कढ़ाई के किनारों से सारा अतिरिक्त तेल निकल जाए। समोसों को तेल सोखने वाले कागज पर रखें और तेल को पूरी तरह से सूखने दें। शाम के नाश्ते के लिए मशरूम, पनीर और सोया चंक समोसा को हरी चटनी या खजूर और इमली की चटनी और अदरक इलायची चाय के साथ परोसें।</v>
      </c>
      <c r="J375" s="3" t="s">
        <v>32496</v>
      </c>
      <c r="L375" s="1" t="s">
        <v>31003</v>
      </c>
    </row>
    <row r="376" spans="1:12" ht="13.8">
      <c r="A376" s="1" t="s">
        <v>32497</v>
      </c>
      <c r="B376" s="1" t="str">
        <f ca="1">IFERROR(__xludf.dummyfunction("IF(A376="""", """", GOOGLETRANSLATE(A376, ""en"", ""hi""))"),"मूली के साग के साथ भरवां मूली पराठा रेसिपी")</f>
        <v>मूली के साग के साथ भरवां मूली पराठा रेसिपी</v>
      </c>
      <c r="C376" s="1" t="s">
        <v>15760</v>
      </c>
      <c r="D376" s="1" t="s">
        <v>14338</v>
      </c>
      <c r="E376" s="1">
        <v>60</v>
      </c>
      <c r="F376" s="1" t="s">
        <v>32498</v>
      </c>
      <c r="G376" s="1" t="str">
        <f ca="1">IFERROR(__xludf.dummyfunction("IF(F376="""", """", GOOGLETRANSLATE(F376, ""en"", ""hi""))"),"2 मूली - बारीक कद्दूकस की हुई, 2 चम्मच सूरजमुखी तेल, 2 चम्मच जीरा, 1 चम्मच अदरक - कद्दूकस किया हुआ, 2 चम्मच अजवाइन, 1-1/2 चम्मच बेसन - (वैकल्पिक), धनिया पत्ती - मुट्ठी भर, 2 चम्मच लाल मिर्च पाउडर - या हरी मिर्च का पेस्ट, नमक - स्वादानुसार, 2-2 गेहूं का आट"&amp;"ा, मूली के पत्ते - मुट्ठी भर, 1 चम्मच नमक, सूरजमुखी तेल - या घी, जिसे पकाते समय लगाया जा सके")</f>
        <v>2 मूली - बारीक कद्दूकस की हुई, 2 चम्मच सूरजमुखी तेल, 2 चम्मच जीरा, 1 चम्मच अदरक - कद्दूकस किया हुआ, 2 चम्मच अजवाइन, 1-1/2 चम्मच बेसन - (वैकल्पिक), धनिया पत्ती - मुट्ठी भर, 2 चम्मच लाल मिर्च पाउडर - या हरी मिर्च का पेस्ट, नमक - स्वादानुसार, 2-2 गेहूं का आटा, मूली के पत्ते - मुट्ठी भर, 1 चम्मच नमक, सूरजमुखी तेल - या घी, जिसे पकाते समय लगाया जा सके</v>
      </c>
      <c r="H376" s="1" t="s">
        <v>32499</v>
      </c>
      <c r="I376" s="1" t="str">
        <f ca="1">IFERROR(__xludf.dummyfunction("IF(H376="""", """", GOOGLETRANSLATE(H376, ""en"", ""hi""))"),"मूली के साग के साथ भरवां मूली पराठा रेसिपी बनाने के लिए, सबसे पहले भराई तैयार करें। भराई के लिए: कद्दूकस की हुई मूली पर थोड़ा नमक छिड़कें और जितना संभव हो उतना रस निचोड़ लें। इसे फेंके नहीं, इसे कवर के लिए आटा गूंधने के लिए इस्तेमाल करें। एक चौड़े नॉन-स्ट"&amp;"िक पैन में तेल गरम करें। जीरा डालें और जब वे चटकने लगें, तो मिर्च पाउडर या हरी मिर्च का पेस्ट और हल्दी पाउडर डालें। यदि आवश्यक हो तो मूली और नमक डालें। धीमी आँच पर तब तक भूनें जब तक कि मूली से सारा पानी वाष्पित न हो जाए। अक्सर हिलाएँ। जब नमी पूरी तरह से व"&amp;"ाष्पित हो जाए, तो इसे आँच से उतार लें और ठंडा करें। अजवाइन, कटा हुआ धनिया बीज, बेसन (यदि इस्तेमाल कर रहे हैं) डालें और मिलाएँ। आटे के लिए: सभी सामग्री को मिक्सिंग बाउल या फूड प्रोसेसर के बाउल में मिलाएँ। मूली से निचोड़ने के बाद बचे हुए तरल का उपयोग करके न"&amp;"रम और मुलायम आटा गूंध लें। यदि आवश्यक हो तो पानी का उपयोग करें। ढककर 15-20 मिनट के लिए अलग रख दें। भरवां मूली पराठे बनाना एक सपाट सतह पर थोड़ा आटा छिड़कें। आटे को 8-10 भागों में विभाजित करें। एक भाग को एक गेंद में रोल करें और अपनी उंगलियों का उपयोग करके इ"&amp;"से चपटा करें। दबाएं और केंद्र में एक गुहा बनाएं। गुहा में लगभग 2 बड़े चम्मच भराई रखें, किनारे को इकट्ठा करें और इसे सील करें। ध्यान से इसे लगभग 6-7 इंच व्यास के सर्कल में रोल करें। भूरे रंग के धब्बे दिखाई देने तक तेल का उपयोग करके एक गर्म नॉन-स्टिक तवे पर"&amp;" पकाएं। अन्य आटे की गेंदों और शेष भराई के साथ दोहराएं। भरवां मूली पराठों को अपने आप या चटनी, रायता या पसंद के अचार के साथ परोसें।")</f>
        <v>मूली के साग के साथ भरवां मूली पराठा रेसिपी बनाने के लिए, सबसे पहले भराई तैयार करें। भराई के लिए: कद्दूकस की हुई मूली पर थोड़ा नमक छिड़कें और जितना संभव हो उतना रस निचोड़ लें। इसे फेंके नहीं, इसे कवर के लिए आटा गूंधने के लिए इस्तेमाल करें। एक चौड़े नॉन-स्टिक पैन में तेल गरम करें। जीरा डालें और जब वे चटकने लगें, तो मिर्च पाउडर या हरी मिर्च का पेस्ट और हल्दी पाउडर डालें। यदि आवश्यक हो तो मूली और नमक डालें। धीमी आँच पर तब तक भूनें जब तक कि मूली से सारा पानी वाष्पित न हो जाए। अक्सर हिलाएँ। जब नमी पूरी तरह से वाष्पित हो जाए, तो इसे आँच से उतार लें और ठंडा करें। अजवाइन, कटा हुआ धनिया बीज, बेसन (यदि इस्तेमाल कर रहे हैं) डालें और मिलाएँ। आटे के लिए: सभी सामग्री को मिक्सिंग बाउल या फूड प्रोसेसर के बाउल में मिलाएँ। मूली से निचोड़ने के बाद बचे हुए तरल का उपयोग करके नरम और मुलायम आटा गूंध लें। यदि आवश्यक हो तो पानी का उपयोग करें। ढककर 15-20 मिनट के लिए अलग रख दें। भरवां मूली पराठे बनाना एक सपाट सतह पर थोड़ा आटा छिड़कें। आटे को 8-10 भागों में विभाजित करें। एक भाग को एक गेंद में रोल करें और अपनी उंगलियों का उपयोग करके इसे चपटा करें। दबाएं और केंद्र में एक गुहा बनाएं। गुहा में लगभग 2 बड़े चम्मच भराई रखें, किनारे को इकट्ठा करें और इसे सील करें। ध्यान से इसे लगभग 6-7 इंच व्यास के सर्कल में रोल करें। भूरे रंग के धब्बे दिखाई देने तक तेल का उपयोग करके एक गर्म नॉन-स्टिक तवे पर पकाएं। अन्य आटे की गेंदों और शेष भराई के साथ दोहराएं। भरवां मूली पराठों को अपने आप या चटनी, रायता या पसंद के अचार के साथ परोसें।</v>
      </c>
      <c r="J376" s="3" t="s">
        <v>32500</v>
      </c>
      <c r="L376" s="1" t="s">
        <v>31003</v>
      </c>
    </row>
    <row r="377" spans="1:12" ht="13.8">
      <c r="A377" s="1" t="s">
        <v>32501</v>
      </c>
      <c r="B377" s="1" t="str">
        <f ca="1">IFERROR(__xludf.dummyfunction("IF(A377="""", """", GOOGLETRANSLATE(A377, ""en"", ""hi""))"),"परवल मसाला रेसिपी - बिना प्याज, बिना लहसुन की रेसिपी")</f>
        <v>परवल मसाला रेसिपी - बिना प्याज, बिना लहसुन की रेसिपी</v>
      </c>
      <c r="C377" s="1" t="s">
        <v>145</v>
      </c>
      <c r="D377" s="1" t="s">
        <v>14198</v>
      </c>
      <c r="E377" s="1">
        <v>30</v>
      </c>
      <c r="F377" s="1" t="s">
        <v>32502</v>
      </c>
      <c r="G377" s="1" t="str">
        <f ca="1">IFERROR(__xludf.dummyfunction("IF(F377="""", """", GOOGLETRANSLATE(F377, ""en"", ""hi""))"),"300 ग्राम परवल - छीलकर लम्बाई में कटा हुआ, 2 टमाटर - कटे हुए, 3 चम्मच तरबूज के बीज, 1 इंच अदरक - बारीक कटा हुआ, 1 चम्मच लाल मिर्च पाउडर, 1 चम्मच धनिया पाउडर, 1/2 चम्मच जीरा पाउडर, 1/2 चम्मच गरम मसाला पाउडर, 1 तेज पत्ता, नमक - स्वादानुसार, 1 चम्मच सूरजमुखी"&amp;" तेल")</f>
        <v>300 ग्राम परवल - छीलकर लम्बाई में कटा हुआ, 2 टमाटर - कटे हुए, 3 चम्मच तरबूज के बीज, 1 इंच अदरक - बारीक कटा हुआ, 1 चम्मच लाल मिर्च पाउडर, 1 चम्मच धनिया पाउडर, 1/2 चम्मच जीरा पाउडर, 1/2 चम्मच गरम मसाला पाउडर, 1 तेज पत्ता, नमक - स्वादानुसार, 1 चम्मच सूरजमुखी तेल</v>
      </c>
      <c r="H377" s="1" t="s">
        <v>32503</v>
      </c>
      <c r="I377" s="1" t="str">
        <f ca="1">IFERROR(__xludf.dummyfunction("IF(H377="""", """", GOOGLETRANSLATE(H377, ""en"", ""hi""))"),"बिना प्याज और लहसुन वाला परवल मसाला बनाने के लिए परवल को धोकर तैयार कर लें। परवल का छिलका उतार लें। छीलकर एक के बाद एक स्ट्रिप्स में काटें ताकि परवल पक जाए और उसका आकार भी बना रहे। आधा काट लें और एक तरफ रख दें। अदरक, टमाटर और तरबूज के बीज को पीसकर मुलायम "&amp;"मिश्रण बना लें। अब एक कड़ाही में तेल गर्म करें और परवल को मध्यम आंच पर लगभग पकने तक भूनें। निकाल कर एक तरफ रख दें। अब उसी कड़ाही में थोड़ा और तेल डालें यदि आवश्यक हो और तेज पत्ता डालें और पिसा हुआ टमाटर और अदरक का पेस्ट डालें और तब तक भूनें जब तक टमाटर की"&amp;" कच्ची महक न चली जाए। सूखे मसाले, लाल मिर्च पाउडर, धनिया पाउडर, जीरा पाउडर और गरम मसाला पाउडर डालें और परवल मसाला ग्रेवी में मिलाएँ। पके हुए परवल को ग्रेवी में डालें और थोड़ा पानी डालें परवल मसाला को एक सर्विंग बाउल में डालें और गरमागरम परोसें। प्याज़ लहस"&amp;"ुन रहित परवल मसाला को जैन स्टाइल साबुत हरी मूंग दाल सब्ज़ी, तवा पराठा और कसा हुआ गाजर के साथ डांगर पचड़ी के साथ परोसें।")</f>
        <v>बिना प्याज और लहसुन वाला परवल मसाला बनाने के लिए परवल को धोकर तैयार कर लें। परवल का छिलका उतार लें। छीलकर एक के बाद एक स्ट्रिप्स में काटें ताकि परवल पक जाए और उसका आकार भी बना रहे। आधा काट लें और एक तरफ रख दें। अदरक, टमाटर और तरबूज के बीज को पीसकर मुलायम मिश्रण बना लें। अब एक कड़ाही में तेल गर्म करें और परवल को मध्यम आंच पर लगभग पकने तक भूनें। निकाल कर एक तरफ रख दें। अब उसी कड़ाही में थोड़ा और तेल डालें यदि आवश्यक हो और तेज पत्ता डालें और पिसा हुआ टमाटर और अदरक का पेस्ट डालें और तब तक भूनें जब तक टमाटर की कच्ची महक न चली जाए। सूखे मसाले, लाल मिर्च पाउडर, धनिया पाउडर, जीरा पाउडर और गरम मसाला पाउडर डालें और परवल मसाला ग्रेवी में मिलाएँ। पके हुए परवल को ग्रेवी में डालें और थोड़ा पानी डालें परवल मसाला को एक सर्विंग बाउल में डालें और गरमागरम परोसें। प्याज़ लहसुन रहित परवल मसाला को जैन स्टाइल साबुत हरी मूंग दाल सब्ज़ी, तवा पराठा और कसा हुआ गाजर के साथ डांगर पचड़ी के साथ परोसें।</v>
      </c>
      <c r="J377" s="3" t="s">
        <v>32504</v>
      </c>
      <c r="L377" s="1" t="s">
        <v>31003</v>
      </c>
    </row>
    <row r="378" spans="1:12" ht="13.8">
      <c r="A378" s="1" t="s">
        <v>32505</v>
      </c>
      <c r="B378" s="1" t="str">
        <f ca="1">IFERROR(__xludf.dummyfunction("IF(A378="""", """", GOOGLETRANSLATE(A378, ""en"", ""hi""))"),"गन्ने के रस की खीर रेसिपी - गन्ने की खीर रेसिपी")</f>
        <v>गन्ने के रस की खीर रेसिपी - गन्ने की खीर रेसिपी</v>
      </c>
      <c r="C378" s="1" t="s">
        <v>8417</v>
      </c>
      <c r="D378" s="1" t="s">
        <v>14198</v>
      </c>
      <c r="E378" s="1">
        <v>50</v>
      </c>
      <c r="F378" s="1" t="s">
        <v>32506</v>
      </c>
      <c r="G378" s="1" t="str">
        <f ca="1">IFERROR(__xludf.dummyfunction("IF(F378="""", """", GOOGLETRANSLATE(F378, ""en"", ""hi""))"),"1 लीटर गन्ने का रस, 250 ग्राम फॉक्सटेल बाजरा, 2 बड़े चम्मच दूध, 2 बड़े चम्मच काजू - कुचल, 2 बड़े चम्मच बादाम - कुचल, 2 बड़े चम्मच घी")</f>
        <v>1 लीटर गन्ने का रस, 250 ग्राम फॉक्सटेल बाजरा, 2 बड़े चम्मच दूध, 2 बड़े चम्मच काजू - कुचल, 2 बड़े चम्मच बादाम - कुचल, 2 बड़े चम्मच घी</v>
      </c>
      <c r="H378" s="1" t="s">
        <v>32507</v>
      </c>
      <c r="I378" s="1" t="str">
        <f ca="1">IFERROR(__xludf.dummyfunction("IF(H378="""", """", GOOGLETRANSLATE(H378, ""en"", ""hi""))"),"गन्ने के रस की खीर रेसिपी बनाने के लिए सबसे पहले बाजरे को लगभग आधे घंटे के लिए भिगो दें। प्रेशर कुकर गरम करें और उसमें गन्ने का रस डालें, इसे मध्यम आंच पर रखें और रस को उबाल लें। अशुद्धियों को दूर करने के लिए 2 बड़े चम्मच दूध डालें, एक करछुल का उपयोग करके"&amp;" ऊपर से झाग हटाकर फेंक दें। एक बार जब यह हो जाए तो आप बाजरा डाल सकते हैं और ढककर इसे पकने दें। नियमित अंतराल पर हिलाते रहें और तब तक पकाएं जब तक आपको अपनी इच्छित स्थिरता न मिल जाए। इसे 3 सीटी आने तक पकाएं और आंच बंद कर दें और एक तरफ रख दें। प्रेशर को स्वा"&amp;"भाविक रूप से छोड़ दें। एक बार जब आप खोल लें, तो स्थिरता को समायोजित करने के लिए पानी डालें। एक बार हो जाने के बाद, इसे अलग रख दें। तड़के के लिए, एक तड़के वाले पैन में घी डालें। काजू, बादाम डालें और उन्हें सुनहरा भूरा होने तक पकाएं। इसे खीर पर डालें और मिल"&amp;"ाएँ। सर्दियों के दिनों के भोजन के लिए सरसों का साग और मक्की की रोटी के स्वादिष्ट भोजन के बाद गन्ने के रस की खीर को घर के बने मक्खन के साथ परोसें।")</f>
        <v>गन्ने के रस की खीर रेसिपी बनाने के लिए सबसे पहले बाजरे को लगभग आधे घंटे के लिए भिगो दें। प्रेशर कुकर गरम करें और उसमें गन्ने का रस डालें, इसे मध्यम आंच पर रखें और रस को उबाल लें। अशुद्धियों को दूर करने के लिए 2 बड़े चम्मच दूध डालें, एक करछुल का उपयोग करके ऊपर से झाग हटाकर फेंक दें। एक बार जब यह हो जाए तो आप बाजरा डाल सकते हैं और ढककर इसे पकने दें। नियमित अंतराल पर हिलाते रहें और तब तक पकाएं जब तक आपको अपनी इच्छित स्थिरता न मिल जाए। इसे 3 सीटी आने तक पकाएं और आंच बंद कर दें और एक तरफ रख दें। प्रेशर को स्वाभाविक रूप से छोड़ दें। एक बार जब आप खोल लें, तो स्थिरता को समायोजित करने के लिए पानी डालें। एक बार हो जाने के बाद, इसे अलग रख दें। तड़के के लिए, एक तड़के वाले पैन में घी डालें। काजू, बादाम डालें और उन्हें सुनहरा भूरा होने तक पकाएं। इसे खीर पर डालें और मिलाएँ। सर्दियों के दिनों के भोजन के लिए सरसों का साग और मक्की की रोटी के स्वादिष्ट भोजन के बाद गन्ने के रस की खीर को घर के बने मक्खन के साथ परोसें।</v>
      </c>
      <c r="J378" s="3" t="s">
        <v>32508</v>
      </c>
      <c r="L378" s="1" t="s">
        <v>31003</v>
      </c>
    </row>
    <row r="379" spans="1:12" ht="13.8">
      <c r="A379" s="1" t="s">
        <v>32509</v>
      </c>
      <c r="B379" s="1" t="str">
        <f ca="1">IFERROR(__xludf.dummyfunction("IF(A379="""", """", GOOGLETRANSLATE(A379, ""en"", ""hi""))"),"पालक पूरी रेसिपी")</f>
        <v>पालक पूरी रेसिपी</v>
      </c>
      <c r="C379" s="1" t="s">
        <v>14281</v>
      </c>
      <c r="D379" s="1" t="s">
        <v>14198</v>
      </c>
      <c r="E379" s="1">
        <v>30</v>
      </c>
      <c r="F379" s="1" t="s">
        <v>32510</v>
      </c>
      <c r="G379" s="1" t="str">
        <f ca="1">IFERROR(__xludf.dummyfunction("IF(F379="""", """", GOOGLETRANSLATE(F379, ""en"", ""hi""))"),"3 कप गेहूं का आटा, 2 कप पालक - बारीक कटा हुआ, 1 बड़ा चम्मच अदरक - पेस्ट बना लें, 1 बड़ा चम्मच हरी मिर्च - पेस्ट बना लें, 3 बड़े चम्मच घी - या मक्खन, नमक - स्वादानुसार")</f>
        <v>3 कप गेहूं का आटा, 2 कप पालक - बारीक कटा हुआ, 1 बड़ा चम्मच अदरक - पेस्ट बना लें, 1 बड़ा चम्मच हरी मिर्च - पेस्ट बना लें, 3 बड़े चम्मच घी - या मक्खन, नमक - स्वादानुसार</v>
      </c>
      <c r="H379" s="1" t="s">
        <v>32511</v>
      </c>
      <c r="I379" s="1" t="str">
        <f ca="1">IFERROR(__xludf.dummyfunction("IF(H379="""", """", GOOGLETRANSLATE(H379, ""en"", ""hi""))"),"""पालक पूरी बनाने के लिए सबसे पहले पालक को धोकर काट लें। इसे अच्छे से सुखा लें। एक बर्तन में गेहूं का आटा, घी, अदरक का पेस्ट, मिर्च का पेस्ट डालकर अच्छी तरह मिला लें। पालक और थोड़ा पानी डालकर गूंद लें। छोटे-छोटे टुकड़े लें, उन्हें बेल लें और छोटी-छोटी पूर"&amp;"ियाँ बना लें। एक पैन में तेल गर्म करें। इसे धीमी आंच पर रखें। तेल गर्म होने के बाद इसमें पूरियाँ डालें और सुनहरा भूरा होने तक पकाएँ। अतिरिक्त तेल सोखने के लिए किचन टॉवल पर निकाल लें। ठंडा होने के बाद परोसें। शाम के नाश्ते के लिए पालक पूरी को मसाला चाय के "&amp;"साथ परोसें।""")</f>
        <v>"पालक पूरी बनाने के लिए सबसे पहले पालक को धोकर काट लें। इसे अच्छे से सुखा लें। एक बर्तन में गेहूं का आटा, घी, अदरक का पेस्ट, मिर्च का पेस्ट डालकर अच्छी तरह मिला लें। पालक और थोड़ा पानी डालकर गूंद लें। छोटे-छोटे टुकड़े लें, उन्हें बेल लें और छोटी-छोटी पूरियाँ बना लें। एक पैन में तेल गर्म करें। इसे धीमी आंच पर रखें। तेल गर्म होने के बाद इसमें पूरियाँ डालें और सुनहरा भूरा होने तक पकाएँ। अतिरिक्त तेल सोखने के लिए किचन टॉवल पर निकाल लें। ठंडा होने के बाद परोसें। शाम के नाश्ते के लिए पालक पूरी को मसाला चाय के साथ परोसें।"</v>
      </c>
      <c r="J379" s="3" t="s">
        <v>32512</v>
      </c>
      <c r="L379" s="1" t="s">
        <v>31003</v>
      </c>
    </row>
    <row r="380" spans="1:12" ht="13.8">
      <c r="A380" s="1" t="s">
        <v>32513</v>
      </c>
      <c r="B380" s="1" t="str">
        <f ca="1">IFERROR(__xludf.dummyfunction("IF(A380="""", """", GOOGLETRANSLATE(A380, ""en"", ""hi""))"),"मसालेदार आलू और भिंडी स्टिर फ्राई")</f>
        <v>मसालेदार आलू और भिंडी स्टिर फ्राई</v>
      </c>
      <c r="C380" s="1" t="s">
        <v>145</v>
      </c>
      <c r="D380" s="1" t="s">
        <v>14198</v>
      </c>
      <c r="E380" s="1">
        <v>45</v>
      </c>
      <c r="F380" s="1" t="s">
        <v>32514</v>
      </c>
      <c r="G380" s="1" t="str">
        <f ca="1">IFERROR(__xludf.dummyfunction("IF(F380="""", """", GOOGLETRANSLATE(F380, ""en"", ""hi""))"),"500 ग्राम भिंडी (ओखरा), 2 आलू - उबले और कटे हुए, 2 चम्मच जीरा, 4 करी पत्ते - Curry Leaves, 1/2 चम्मच हींग - Asafoetida, 2 चम्मच लाल मिर्च पाउडर - Red chilli powder, 1 चम्मच हल्दी पाउडर, 1 चम्मच धनिया पाउडर, नमक - स्वादानुसार, तेल - उपयोगानुसार")</f>
        <v>500 ग्राम भिंडी (ओखरा), 2 आलू - उबले और कटे हुए, 2 चम्मच जीरा, 4 करी पत्ते - Curry Leaves, 1/2 चम्मच हींग - Asafoetida, 2 चम्मच लाल मिर्च पाउडर - Red chilli powder, 1 चम्मच हल्दी पाउडर, 1 चम्मच धनिया पाउडर, नमक - स्वादानुसार, तेल - उपयोगानुसार</v>
      </c>
      <c r="H380" s="1" t="s">
        <v>32515</v>
      </c>
      <c r="I380" s="1" t="str">
        <f ca="1">IFERROR(__xludf.dummyfunction("IF(H380="""", """", GOOGLETRANSLATE(H380, ""en"", ""hi""))"),"आलू भिंडी की सब्जी बनाने के लिए सबसे पहले एक पैन में तेल गर्म करें। इसमें जीरा डालकर 10 से 15 सेकंड तक पकाएं। इसके बाद इसमें करी पत्ता, कटे हुए आलू, नमक और हल्दी पाउडर डालकर सभी चीजों को अच्छे से मिला लें। पैन को ढक दें और आलू को पकने दें। जब आलू नरम हो ज"&amp;"ाएं तो इसमें धनिया पाउडर, लाल मिर्च पाउडर डालकर कुछ देर और पकाएं। पकने के बाद इसे अलग रख दें। जब आलू पक जाएं तो हम भिंडी को पकाएंगे। एक पैन में तेल गर्म करें और इसमें जीरा डालें। 10 सेकंड बाद इसमें कटी हुई भिंडी, हींग और नमक डालें। पैन को ढक दें और भिंडी "&amp;"को पकने दें। जब भिंडी थोड़ी पक जाए तो इसमें धनिया पाउडर और लाल मिर्च पाउडर डालें। भिंडी का रंग बदलने तक पकाएं। जब भिंडी पक जाए तो इसमें पके हुए आलू डालें और अच्छे से मिलाएं। 2 से 3 मिनट और पकाएं और गरमागरम सर्व करें। आलू भिंडी की सब्जी को गुजराती कढ़ी और "&amp;"चपाती के साथ सर्व किया जा सकता है।")</f>
        <v>आलू भिंडी की सब्जी बनाने के लिए सबसे पहले एक पैन में तेल गर्म करें। इसमें जीरा डालकर 10 से 15 सेकंड तक पकाएं। इसके बाद इसमें करी पत्ता, कटे हुए आलू, नमक और हल्दी पाउडर डालकर सभी चीजों को अच्छे से मिला लें। पैन को ढक दें और आलू को पकने दें। जब आलू नरम हो जाएं तो इसमें धनिया पाउडर, लाल मिर्च पाउडर डालकर कुछ देर और पकाएं। पकने के बाद इसे अलग रख दें। जब आलू पक जाएं तो हम भिंडी को पकाएंगे। एक पैन में तेल गर्म करें और इसमें जीरा डालें। 10 सेकंड बाद इसमें कटी हुई भिंडी, हींग और नमक डालें। पैन को ढक दें और भिंडी को पकने दें। जब भिंडी थोड़ी पक जाए तो इसमें धनिया पाउडर और लाल मिर्च पाउडर डालें। भिंडी का रंग बदलने तक पकाएं। जब भिंडी पक जाए तो इसमें पके हुए आलू डालें और अच्छे से मिलाएं। 2 से 3 मिनट और पकाएं और गरमागरम सर्व करें। आलू भिंडी की सब्जी को गुजराती कढ़ी और चपाती के साथ सर्व किया जा सकता है।</v>
      </c>
      <c r="J380" s="3" t="s">
        <v>32516</v>
      </c>
      <c r="L380" s="1" t="s">
        <v>31003</v>
      </c>
    </row>
    <row r="381" spans="1:12" ht="13.8">
      <c r="A381" s="1" t="s">
        <v>32517</v>
      </c>
      <c r="B381" s="1" t="str">
        <f ca="1">IFERROR(__xludf.dummyfunction("IF(A381="""", """", GOOGLETRANSLATE(A381, ""en"", ""hi""))"),"अरबी शिमला मिर्च सब्ज़ी रेसिपी - कोलोकैसिया शिमला मिर्च सब्ज़ी")</f>
        <v>अरबी शिमला मिर्च सब्ज़ी रेसिपी - कोलोकैसिया शिमला मिर्च सब्ज़ी</v>
      </c>
      <c r="C381" s="1" t="s">
        <v>14259</v>
      </c>
      <c r="D381" s="1" t="s">
        <v>14208</v>
      </c>
      <c r="E381" s="1">
        <v>55</v>
      </c>
      <c r="F381" s="1" t="s">
        <v>32518</v>
      </c>
      <c r="G381" s="1" t="str">
        <f ca="1">IFERROR(__xludf.dummyfunction("IF(F381="""", """", GOOGLETRANSLATE(F381, ""en"", ""hi""))"),"300 ग्राम अरबी, 1 शिमला मिर्च - टुकड़ों में कटी हुई, 1 टमाटर - कटा हुआ, 1 इंच अदरक - कद्दूकस किया हुआ, 1 छोटा चम्मच धनिया, 1/2 छोटा चम्मच हल्दी, 1/2 छोटा चम्मच लाल मिर्च पाउडर, 1 छोटा चम्मच गरम मसाला पाउडर, नमक - स्वादानुसार, सूरजमुखी तेल - पकाने के लिए")</f>
        <v>300 ग्राम अरबी, 1 शिमला मिर्च - टुकड़ों में कटी हुई, 1 टमाटर - कटा हुआ, 1 इंच अदरक - कद्दूकस किया हुआ, 1 छोटा चम्मच धनिया, 1/2 छोटा चम्मच हल्दी, 1/2 छोटा चम्मच लाल मिर्च पाउडर, 1 छोटा चम्मच गरम मसाला पाउडर, नमक - स्वादानुसार, सूरजमुखी तेल - पकाने के लिए</v>
      </c>
      <c r="H381" s="1" t="s">
        <v>32519</v>
      </c>
      <c r="I381" s="1" t="str">
        <f ca="1">IFERROR(__xludf.dummyfunction("IF(H381="""", """", GOOGLETRANSLATE(H381, ""en"", ""hi""))"),"अरबी शिमला मिर्च की सब्जी बनाने के लिए सबसे पहले हम अरबी को प्रेशर कुकर में पकाएंगे। प्रेशर कुकर में अरबी और 1/2 कप पानी डालें और 4 से 5 सीटी आने तक पका लें और आंच बंद कर दें। प्रेशर को अपने आप निकलने दें। प्रेशर निकल जाने पर अरबी को छीलकर टुकड़ों में काट"&amp;" लें और एक तरफ रख दें। इसे पूरी तरह से ठंडा होने दें और सख्त होने दें। अरबी शिमला मिर्च की सब्जी बनाने का अगला कदम, एक भारी तले की कड़ाही में लगभग एक बड़ा चम्मच तेल गर्म करें; इसमें अदरक और शिमला मिर्च डालें। कुछ मिनट तक भूनें जब तक कि शिमला मिर्च नरम न ह"&amp;"ो जाए और रंग बदलना शुरू न हो जाए। शिमला मिर्च के किनारे हल्के भूरे रंग के हो जाएंगे और नरम भी हो जाएंगे। शिमला मिर्च के नरम हो जाने पर इसमें टमाटर डालें और थोड़ा नमक छिड़कें और तब तक भूनें जब तक कि टमाटर गूदेदार न हो जाए। इस समय, उबली हुई अरबी, हल्दी पाउड"&amp;"र, धनिया पाउडर और गरम मसाला पाउडर, लाल मिर्च पाउडर और नमक डालकर चलाएँ। अरबी शिमला मिर्च सब्ज़ी को मसालों के साथ अच्छी तरह मिलाएँ जब तक कि यह अच्छी तरह से मिल न जाए। नमक की जाँच करें और उसके अनुसार समायोजित करें। पैन को ढक दें, आँच को कम कर दें और अरबी शिम"&amp;"ला मिर्च सब्ज़ी रेसिपी को लगभग 5 मिनट तक पकाएँ, बीच-बीच में हिलाते रहें। एक बार हो जाने पर, आँच बंद कर दें, ताज़ी कटी हुई धनिया पत्ती मिलाएँ और अरबी शिमला मिर्च सब्ज़ी को एक सर्विंग प्लेट में डालें और गरमागरम परोसें। अरबी शिमला मिर्च सब्ज़ी रेसिपी को पंजा"&amp;"बी दाल तड़का, मिस्सी रोटी, चुकंदर, गाजर और खीरे के सलाद के साथ मूंगफली और चावल के साथ अपने परिवार के साथ स्वादिष्ट लंच या डिनर के लिए परोसें।")</f>
        <v>अरबी शिमला मिर्च की सब्जी बनाने के लिए सबसे पहले हम अरबी को प्रेशर कुकर में पकाएंगे। प्रेशर कुकर में अरबी और 1/2 कप पानी डालें और 4 से 5 सीटी आने तक पका लें और आंच बंद कर दें। प्रेशर को अपने आप निकलने दें। प्रेशर निकल जाने पर अरबी को छीलकर टुकड़ों में काट लें और एक तरफ रख दें। इसे पूरी तरह से ठंडा होने दें और सख्त होने दें। अरबी शिमला मिर्च की सब्जी बनाने का अगला कदम, एक भारी तले की कड़ाही में लगभग एक बड़ा चम्मच तेल गर्म करें; इसमें अदरक और शिमला मिर्च डालें। कुछ मिनट तक भूनें जब तक कि शिमला मिर्च नरम न हो जाए और रंग बदलना शुरू न हो जाए। शिमला मिर्च के किनारे हल्के भूरे रंग के हो जाएंगे और नरम भी हो जाएंगे। शिमला मिर्च के नरम हो जाने पर इसमें टमाटर डालें और थोड़ा नमक छिड़कें और तब तक भूनें जब तक कि टमाटर गूदेदार न हो जाए। इस समय, उबली हुई अरबी, हल्दी पाउडर, धनिया पाउडर और गरम मसाला पाउडर, लाल मिर्च पाउडर और नमक डालकर चलाएँ। अरबी शिमला मिर्च सब्ज़ी को मसालों के साथ अच्छी तरह मिलाएँ जब तक कि यह अच्छी तरह से मिल न जाए। नमक की जाँच करें और उसके अनुसार समायोजित करें। पैन को ढक दें, आँच को कम कर दें और अरबी शिमला मिर्च सब्ज़ी रेसिपी को लगभग 5 मिनट तक पकाएँ, बीच-बीच में हिलाते रहें। एक बार हो जाने पर, आँच बंद कर दें, ताज़ी कटी हुई धनिया पत्ती मिलाएँ और अरबी शिमला मिर्च सब्ज़ी को एक सर्विंग प्लेट में डालें और गरमागरम परोसें। अरबी शिमला मिर्च सब्ज़ी रेसिपी को पंजाबी दाल तड़का, मिस्सी रोटी, चुकंदर, गाजर और खीरे के सलाद के साथ मूंगफली और चावल के साथ अपने परिवार के साथ स्वादिष्ट लंच या डिनर के लिए परोसें।</v>
      </c>
      <c r="J381" s="3" t="s">
        <v>32520</v>
      </c>
      <c r="L381" s="1" t="s">
        <v>31003</v>
      </c>
    </row>
    <row r="382" spans="1:12" ht="13.8">
      <c r="A382" s="1" t="s">
        <v>32521</v>
      </c>
      <c r="B382" s="1" t="str">
        <f ca="1">IFERROR(__xludf.dummyfunction("IF(A382="""", """", GOOGLETRANSLATE(A382, ""en"", ""hi""))"),"कढ़ाई छोले रेसिपी")</f>
        <v>कढ़ाई छोले रेसिपी</v>
      </c>
      <c r="C382" s="1" t="s">
        <v>145</v>
      </c>
      <c r="D382" s="1" t="s">
        <v>14198</v>
      </c>
      <c r="E382" s="1">
        <v>55</v>
      </c>
      <c r="F382" s="1" t="s">
        <v>32522</v>
      </c>
      <c r="G382" s="1" t="str">
        <f ca="1">IFERROR(__xludf.dummyfunction("IF(F382="""", """", GOOGLETRANSLATE(F382, ""en"", ""hi""))"),"1 कप छोले या छोले - रातभर भिगोएं, 2 प्याज - काट लें, 1 शिमला मिर्च (हरी) - काट लें, 4 लहसुन की कलियां - बारीक काट लें, 1 इंच अदरक - बारीक काट लें, 2 हरी मिर्च - सीधी काट लें, 1 टमाटर - प्यूरी बना लें, 1 दालचीनी, 3 लौंग, 1 तेज पत्ता, 1 बड़ी इलायची, 1 चम्मच"&amp;" धनिया पाउडर, 1/2 चम्मच जीरा पाउडर, 1 चम्मच कश्मीरी लाल मिर्च पाउडर, 1/2 चम्मच अमचूर, 1/2 चम्मच गरम मसाला पाउडर, 1/2 चम्मच अजवाइन, 2 बड़े चम्मच घी, नमक - स्वादानुसार")</f>
        <v>1 कप छोले या छोले - रातभर भिगोएं, 2 प्याज - काट लें, 1 शिमला मिर्च (हरी) - काट लें, 4 लहसुन की कलियां - बारीक काट लें, 1 इंच अदरक - बारीक काट लें, 2 हरी मिर्च - सीधी काट लें, 1 टमाटर - प्यूरी बना लें, 1 दालचीनी, 3 लौंग, 1 तेज पत्ता, 1 बड़ी इलायची, 1 चम्मच धनिया पाउडर, 1/2 चम्मच जीरा पाउडर, 1 चम्मच कश्मीरी लाल मिर्च पाउडर, 1/2 चम्मच अमचूर, 1/2 चम्मच गरम मसाला पाउडर, 1/2 चम्मच अजवाइन, 2 बड़े चम्मच घी, नमक - स्वादानुसार</v>
      </c>
      <c r="H382" s="1" t="s">
        <v>32523</v>
      </c>
      <c r="I382" s="1" t="str">
        <f ca="1">IFERROR(__xludf.dummyfunction("IF(H382="""", """", GOOGLETRANSLATE(H382, ""en"", ""hi""))"),"""कढ़ाई छोले बनाने के लिए सबसे पहले छोले को 6 घंटे के लिए पानी में भिगो दें। 6 घंटे बाद इन्हें प्रेशर कुकर में नमक और 3 कप पानी के साथ डालकर मध्यम आंच पर 30 मिनट तक पकाएं। अब एक पैन में घी गर्म करें। इसमें अजवाइन, प्याज, अदरक, लहसुन, हरी मिर्च, दालचीनी, ल"&amp;"ौंग, इलायची, तेज पत्ता डालें और प्याज के नरम होने तक पकाएं। प्याज के नरम होने के बाद इसमें शिमला मिर्च डालें और शिमला मिर्च के नरम होने तक पकाएं। अब इसमें टमाटर, धनिया पाउडर, लाल मिर्च पाउडर, जीरा पाउडर, गरम मसाला पाउडर, अमचूर पाउडर, नमक डालकर अच्छी तरह म"&amp;"िलाएं। अब इसमें छोले, थोड़ा घी डालें और 5 मिनट तक पकाएं। दोपहर के खाने में कढ़ाई छोले को तवा पराठा और बूंदी रायता के साथ सर्व करें।""")</f>
        <v>"कढ़ाई छोले बनाने के लिए सबसे पहले छोले को 6 घंटे के लिए पानी में भिगो दें। 6 घंटे बाद इन्हें प्रेशर कुकर में नमक और 3 कप पानी के साथ डालकर मध्यम आंच पर 30 मिनट तक पकाएं। अब एक पैन में घी गर्म करें। इसमें अजवाइन, प्याज, अदरक, लहसुन, हरी मिर्च, दालचीनी, लौंग, इलायची, तेज पत्ता डालें और प्याज के नरम होने तक पकाएं। प्याज के नरम होने के बाद इसमें शिमला मिर्च डालें और शिमला मिर्च के नरम होने तक पकाएं। अब इसमें टमाटर, धनिया पाउडर, लाल मिर्च पाउडर, जीरा पाउडर, गरम मसाला पाउडर, अमचूर पाउडर, नमक डालकर अच्छी तरह मिलाएं। अब इसमें छोले, थोड़ा घी डालें और 5 मिनट तक पकाएं। दोपहर के खाने में कढ़ाई छोले को तवा पराठा और बूंदी रायता के साथ सर्व करें।"</v>
      </c>
      <c r="J382" s="3" t="s">
        <v>32524</v>
      </c>
      <c r="L382" s="1" t="s">
        <v>31003</v>
      </c>
    </row>
    <row r="383" spans="1:12" ht="409.6">
      <c r="A383" s="1" t="s">
        <v>32525</v>
      </c>
      <c r="B383" s="1" t="str">
        <f ca="1">IFERROR(__xludf.dummyfunction("IF(A383="""", """", GOOGLETRANSLATE(A383, ""en"", ""hi""))"),"मखाना मूंगफली की कढ़ी रेसिपी - नवरात्रि व्रत/व्रत रेसिपी")</f>
        <v>मखाना मूंगफली की कढ़ी रेसिपी - नवरात्रि व्रत/व्रत रेसिपी</v>
      </c>
      <c r="C383" s="1" t="s">
        <v>145</v>
      </c>
      <c r="D383" s="1" t="s">
        <v>14208</v>
      </c>
      <c r="E383" s="1">
        <v>50</v>
      </c>
      <c r="F383" s="1" t="s">
        <v>32526</v>
      </c>
      <c r="G383" s="1" t="str">
        <f ca="1">IFERROR(__xludf.dummyfunction("IF(F383="""", """", GOOGLETRANSLATE(F383, ""en"", ""hi""))"),"1/2 कप फूल मखाना - घी में भुना हुआ, 2 बड़े चम्मच कच्ची मूंगफली - उबली हुई, 1 कप दही, 1 बड़ा चम्मच राजगिरा आटा, 1 हरी मिर्च - कटी हुई, 1/2 चम्मच चीनी, 2 टहनी धनिया - बारीक कटा हुआ, नमक - या स्वादानुसार सेंधा नमक, 1 चम्मच घी, 1/2 चम्मच जीरा, 1 इंच दालचीनी")</f>
        <v>1/2 कप फूल मखाना - घी में भुना हुआ, 2 बड़े चम्मच कच्ची मूंगफली - उबली हुई, 1 कप दही, 1 बड़ा चम्मच राजगिरा आटा, 1 हरी मिर्च - कटी हुई, 1/2 चम्मच चीनी, 2 टहनी धनिया - बारीक कटा हुआ, नमक - या स्वादानुसार सेंधा नमक, 1 चम्मच घी, 1/2 चम्मच जीरा, 1 इंच दालचीनी</v>
      </c>
      <c r="H383" s="1" t="s">
        <v>32527</v>
      </c>
      <c r="I383" s="4" t="str">
        <f ca="1">IFERROR(__xludf.dummyfunction("IF(H383="""", """", GOOGLETRANSLATE(H383, ""en"", ""hi""))"),"हम अपनी सारी सामग्री तैयार करके मखाना मूंगफली की कढ़ी रेसिपी (नवरात्रि उपवास/व्रत रेसिपी) बनाना शुरू करते हैं। एक सॉस पैन में दही, राजगिरा आटा, नमक और चीनी को 2 कप पानी के साथ मिलाएं। अच्छी तरह से फेंटें और बाद में अलग रख दें। मध्यम आंच पर एक पैन रखें और "&amp;"घी डालें। घी गर्म हो जाने पर इसमें मखाना डालें, इसे तब तक भूनें जब तक यह पॉपकॉर्न की तरह बाहर न आ जाए। आंच बंद कर दें और इसे ठंडा होने के लिए अलग रख दें। उसी पैन में थोड़ा और घी डालें और जीरा, हरी मिर्च और दालचीनी तड़काएं। एक तरफ रख दें। आपका तड़का तैयार "&amp;"है। दही के मिश्रण वाले सॉस पैन को आंच पर रखें और धीमी आंच पर 4 से 5 मिनट तक पकाएं आपकी मखाना मूंगफली परोसने के लिए तैयार है। स्वादिष्ट भोजन बनाने के लिए अपनी मखाना मूंगफली की कढ़ी को सामा खिचड़ी या पालक खिचड़ी और सात्विक गाजर स्प्राउट्स सलाद के साथ परोसें"&amp;"।
")</f>
        <v xml:space="preserve">हम अपनी सारी सामग्री तैयार करके मखाना मूंगफली की कढ़ी रेसिपी (नवरात्रि उपवास/व्रत रेसिपी) बनाना शुरू करते हैं। एक सॉस पैन में दही, राजगिरा आटा, नमक और चीनी को 2 कप पानी के साथ मिलाएं। अच्छी तरह से फेंटें और बाद में अलग रख दें। मध्यम आंच पर एक पैन रखें और घी डालें। घी गर्म हो जाने पर इसमें मखाना डालें, इसे तब तक भूनें जब तक यह पॉपकॉर्न की तरह बाहर न आ जाए। आंच बंद कर दें और इसे ठंडा होने के लिए अलग रख दें। उसी पैन में थोड़ा और घी डालें और जीरा, हरी मिर्च और दालचीनी तड़काएं। एक तरफ रख दें। आपका तड़का तैयार है। दही के मिश्रण वाले सॉस पैन को आंच पर रखें और धीमी आंच पर 4 से 5 मिनट तक पकाएं आपकी मखाना मूंगफली परोसने के लिए तैयार है। स्वादिष्ट भोजन बनाने के लिए अपनी मखाना मूंगफली की कढ़ी को सामा खिचड़ी या पालक खिचड़ी और सात्विक गाजर स्प्राउट्स सलाद के साथ परोसें।
</v>
      </c>
      <c r="J383" s="3" t="s">
        <v>32528</v>
      </c>
      <c r="L383" s="1" t="s">
        <v>31003</v>
      </c>
    </row>
    <row r="384" spans="1:12" ht="13.8">
      <c r="A384" s="1" t="s">
        <v>32529</v>
      </c>
      <c r="B384" s="1" t="str">
        <f ca="1">IFERROR(__xludf.dummyfunction("IF(A384="""", """", GOOGLETRANSLATE(A384, ""en"", ""hi""))"),"भारतीय स्टाइल काला चना सलाद रेसिपी")</f>
        <v>भारतीय स्टाइल काला चना सलाद रेसिपी</v>
      </c>
      <c r="C384" s="1" t="s">
        <v>14572</v>
      </c>
      <c r="D384" s="1" t="s">
        <v>14237</v>
      </c>
      <c r="E384" s="1">
        <v>30</v>
      </c>
      <c r="F384" s="1" t="s">
        <v>32530</v>
      </c>
      <c r="G384" s="1" t="str">
        <f ca="1">IFERROR(__xludf.dummyfunction("IF(F384="""", """", GOOGLETRANSLATE(F384, ""en"", ""hi""))"),"2 कप काला चना - रात भर भिगोकर उबाल लें, 1 प्याज - बारीक कटा हुआ, 1 टमाटर - बारीक कटा हुआ, 2 हरी मिर्च - बारीक कटी हुई (एडजस्टेबल), धनिया पत्ती -, नमक - आवश्यकतानुसार, 1/2 चम्मच काली मिर्च पाउडर, 1 नींबू का रस, 1/2 चम्मच लाल मिर्च पाउडर, 1/2 चम्मच काली मिर"&amp;"्च पाउडर, 1 नींबू का रस")</f>
        <v>2 कप काला चना - रात भर भिगोकर उबाल लें, 1 प्याज - बारीक कटा हुआ, 1 टमाटर - बारीक कटा हुआ, 2 हरी मिर्च - बारीक कटी हुई (एडजस्टेबल), धनिया पत्ती -, नमक - आवश्यकतानुसार, 1/2 चम्मच काली मिर्च पाउडर, 1 नींबू का रस, 1/2 चम्मच लाल मिर्च पाउडर, 1/2 चम्मच काली मिर्च पाउडर, 1 नींबू का रस</v>
      </c>
      <c r="H384" s="1" t="s">
        <v>32531</v>
      </c>
      <c r="I384" s="1" t="str">
        <f ca="1">IFERROR(__xludf.dummyfunction("IF(H384="""", """", GOOGLETRANSLATE(H384, ""en"", ""hi""))"),"भारतीय स्टाइल का काला चना सलाद रेसिपी बनाने के लिए, चने को धोकर पानी में भिगो दें और रात भर के लिए छोड़ दें। एक प्रेशर कुकर में चना और पानी डालें और तेज आंच पर 6 सीटी आने तक पकाएं, आंच कम करें और 15 मिनट तक पकाते रहें। आंच बंद कर दें। प्रेशर को स्वाभाविक "&amp;"रूप से निकलने दें, पानी निथार लें और चने को एक कटोरे में डालकर अलग रख दें। एक मिक्सिंग बाउल में काला चना, प्याज, टमाटर और हरी मिर्च डालें और सारी चीजों को अच्छी तरह मिला लें और इसमें काली मिर्च पाउडर, नमक, नींबू का रस और धनिया पत्ती डालें। सारी चीजों को अ"&amp;"च्छी तरह मिला लें और तुरंत परोसें। भारतीय स्टाइल का काला चना सलाद गुजराती दाल, रोटी और भिंडी मसाला रेसिपी (भिंडी टमाटर की सब्जी) चावल के साथ दिन के खाने के लिए परोसें।")</f>
        <v>भारतीय स्टाइल का काला चना सलाद रेसिपी बनाने के लिए, चने को धोकर पानी में भिगो दें और रात भर के लिए छोड़ दें। एक प्रेशर कुकर में चना और पानी डालें और तेज आंच पर 6 सीटी आने तक पकाएं, आंच कम करें और 15 मिनट तक पकाते रहें। आंच बंद कर दें। प्रेशर को स्वाभाविक रूप से निकलने दें, पानी निथार लें और चने को एक कटोरे में डालकर अलग रख दें। एक मिक्सिंग बाउल में काला चना, प्याज, टमाटर और हरी मिर्च डालें और सारी चीजों को अच्छी तरह मिला लें और इसमें काली मिर्च पाउडर, नमक, नींबू का रस और धनिया पत्ती डालें। सारी चीजों को अच्छी तरह मिला लें और तुरंत परोसें। भारतीय स्टाइल का काला चना सलाद गुजराती दाल, रोटी और भिंडी मसाला रेसिपी (भिंडी टमाटर की सब्जी) चावल के साथ दिन के खाने के लिए परोसें।</v>
      </c>
      <c r="J384" s="3" t="s">
        <v>32532</v>
      </c>
      <c r="L384" s="1" t="s">
        <v>31003</v>
      </c>
    </row>
    <row r="385" spans="1:12" ht="13.8">
      <c r="A385" s="1" t="s">
        <v>32533</v>
      </c>
      <c r="B385" s="1" t="str">
        <f ca="1">IFERROR(__xludf.dummyfunction("IF(A385="""", """", GOOGLETRANSLATE(A385, ""en"", ""hi""))"),"पुदीना और धनिया रायता रेसिपी")</f>
        <v>पुदीना और धनिया रायता रेसिपी</v>
      </c>
      <c r="C385" s="1" t="s">
        <v>14207</v>
      </c>
      <c r="D385" s="1" t="s">
        <v>14198</v>
      </c>
      <c r="E385" s="1">
        <v>15</v>
      </c>
      <c r="F385" s="1" t="s">
        <v>32534</v>
      </c>
      <c r="G385" s="1" t="str">
        <f ca="1">IFERROR(__xludf.dummyfunction("IF(F385="""", """", GOOGLETRANSLATE(F385, ""en"", ""hi""))"),"1 कप दही, 4 टहनी धनिया पत्ती - धोकर कटी हुई, 4 टहनी पुदीना पत्ती - धोकर कटी हुई, नमक - स्वादानुसार, 1 छोटा चम्मच सरसों के बीज, 1 छोटा चम्मच जीरा, 1 टहनी करी पत्ता, 1 चुटकी हींग, सूरजमुखी तेल")</f>
        <v>1 कप दही, 4 टहनी धनिया पत्ती - धोकर कटी हुई, 4 टहनी पुदीना पत्ती - धोकर कटी हुई, नमक - स्वादानुसार, 1 छोटा चम्मच सरसों के बीज, 1 छोटा चम्मच जीरा, 1 टहनी करी पत्ता, 1 चुटकी हींग, सूरजमुखी तेल</v>
      </c>
      <c r="H385" s="1" t="s">
        <v>32535</v>
      </c>
      <c r="I385" s="1" t="str">
        <f ca="1">IFERROR(__xludf.dummyfunction("IF(H385="""", """", GOOGLETRANSLATE(H385, ""en"", ""hi""))"),"पुदीना और धनिया रायता रेसिपी बनाने के लिए, हम दही को कटा हुआ धनिया पत्ता, पुदीना पत्ता और स्वादानुसार नमक डालकर फेंटेंगे। अच्छी तरह से मिलाएँ। एक तड़का पैन में तेल गरम करें, उसमें सरसों के बीज और जीरा डालें और कुछ सेकंड के लिए इसे चटकने दें। एक बार हो जान"&amp;"े पर, करी पत्ता और हींग डालें और इसे चटकने दें। तड़के के लिए तेल को रायते पर डालें और परोसें। पुडियन और धनिया रायता रेसिपी को मसालेदार गोभी चावल या पनीर पुलाव के साथ हरी मटर और आलू परवल की सब्जी के साथ परोसें और इसे अपने रोज़ाना के लंच में शामिल करें।")</f>
        <v>पुदीना और धनिया रायता रेसिपी बनाने के लिए, हम दही को कटा हुआ धनिया पत्ता, पुदीना पत्ता और स्वादानुसार नमक डालकर फेंटेंगे। अच्छी तरह से मिलाएँ। एक तड़का पैन में तेल गरम करें, उसमें सरसों के बीज और जीरा डालें और कुछ सेकंड के लिए इसे चटकने दें। एक बार हो जाने पर, करी पत्ता और हींग डालें और इसे चटकने दें। तड़के के लिए तेल को रायते पर डालें और परोसें। पुडियन और धनिया रायता रेसिपी को मसालेदार गोभी चावल या पनीर पुलाव के साथ हरी मटर और आलू परवल की सब्जी के साथ परोसें और इसे अपने रोज़ाना के लंच में शामिल करें।</v>
      </c>
      <c r="J385" s="3" t="s">
        <v>32536</v>
      </c>
      <c r="L385" s="1" t="s">
        <v>31003</v>
      </c>
    </row>
    <row r="386" spans="1:12" ht="13.8">
      <c r="A386" s="1" t="s">
        <v>32537</v>
      </c>
      <c r="B386" s="1" t="str">
        <f ca="1">IFERROR(__xludf.dummyfunction("IF(A386="""", """", GOOGLETRANSLATE(A386, ""en"", ""hi""))"),"दाल फ्राई रेसिपी")</f>
        <v>दाल फ्राई रेसिपी</v>
      </c>
      <c r="C386" s="1" t="s">
        <v>145</v>
      </c>
      <c r="D386" s="1" t="s">
        <v>14237</v>
      </c>
      <c r="E386" s="1">
        <v>30</v>
      </c>
      <c r="F386" s="1" t="s">
        <v>32538</v>
      </c>
      <c r="G386" s="1" t="str">
        <f ca="1">IFERROR(__xludf.dummyfunction("IF(F386="""", """", GOOGLETRANSLATE(F386, ""en"", ""hi""))"),"1 कप चना दाल, पानी - आवश्यकतानुसार, 1 प्याज - बारीक कटा हुआ, 2 टमाटर - बारीक कटे हुए, 2 हरी मिर्च - बारीक कटी हुई, 2 इंच अदरक, 5 लहसुन की कलियां, 2 बड़े चम्मच कसूरी मेथी, 1/2 छोटा चम्मच हल्दी पाउडर, नमक - स्वादानुसार, नींबू के टुकड़े - आवश्यकतानुसार, धनिय"&amp;"ा पत्ते - गार्निश के लिए कटे हुए, 1 छोटा चम्मच कश्मीरी लाल मिर्च पाउडर, 1/2 छोटा चम्मच हींग, 1 बड़ा चम्मच सरसों के बीज, 1 बड़ा चम्मच सौंफ, 1 बड़ा चम्मच जीरा, 2 सूखी लाल मिर्च, घी - आवश्यकतानुसार")</f>
        <v>1 कप चना दाल, पानी - आवश्यकतानुसार, 1 प्याज - बारीक कटा हुआ, 2 टमाटर - बारीक कटे हुए, 2 हरी मिर्च - बारीक कटी हुई, 2 इंच अदरक, 5 लहसुन की कलियां, 2 बड़े चम्मच कसूरी मेथी, 1/2 छोटा चम्मच हल्दी पाउडर, नमक - स्वादानुसार, नींबू के टुकड़े - आवश्यकतानुसार, धनिया पत्ते - गार्निश के लिए कटे हुए, 1 छोटा चम्मच कश्मीरी लाल मिर्च पाउडर, 1/2 छोटा चम्मच हींग, 1 बड़ा चम्मच सरसों के बीज, 1 बड़ा चम्मच सौंफ, 1 बड़ा चम्मच जीरा, 2 सूखी लाल मिर्च, घी - आवश्यकतानुसार</v>
      </c>
      <c r="H386" s="1" t="s">
        <v>32539</v>
      </c>
      <c r="I386" s="1" t="str">
        <f ca="1">IFERROR(__xludf.dummyfunction("IF(H386="""", """", GOOGLETRANSLATE(H386, ""en"", ""hi""))"),"दाल फ्राई रेसिपी बनाने के लिए, दाल को धोकर लगभग 20 से 30 मिनट के लिए पानी में भिगो दें। पानी, नमक और हल्दी पाउडर के साथ दाल को 5-6 सीटी आने तक पकाएँ। प्रेशर के अपने आप निकलने का इंतज़ार करें। हो जाने पर, ढक्कन खोलें और इसे एक तरफ़ रख दें। पानी निथार लें औ"&amp;"र अलग रख दें। एक कढ़ाई में तेल और घी गरम करें। गरम होने पर, इसमें कद्दूकस किया हुआ अदरक, लहसुन और हरी मिर्च डालें। कुछ सेकंड के लिए भूनें और कटा हुआ प्याज़ डालें। प्याज़ के नरम और सुनहरे भूरे रंग के होने तक 3-4 मिनट तक भूनें। पक जाने के बाद इसमें टमाटर डा"&amp;"लें और 2 मिनट तक पकने दें जब तक कि टमाटर नरम और गूदेदार न हो जाएँ। टमाटर के नरम होने के बाद, मसाले में पकी हुई दाल डालें और अच्छी तरह मिलाएँ। इसमें 1 कप बचा हुआ दाल का पानी डालें, नमक अपने हिसाब से मिलाएँ। दाल को उबलने दें, फिर 10 मिनट तक पकाएँ जब तक कि य"&amp;"ह मनचाही स्थिरता तक न पहुँच जाए। अपनी पसंद की स्थिरता पाने के लिए ज़रूरत पड़ने पर पानी डालें। मैं इसे थोड़ा गाढ़ा पसंद करता हूं। अगला कदम दाल को तड़का लगाना है। एक छोटे तड़के वाले पैन में घी गर्म करें। गर्म होने पर उसमें जीरा, सौंफ, राई और सूखी लाल मिर्च "&amp;"डालें, इसके बाद हिंग और लाल मिर्च पाउडर डालें। 15 सेकंड तक भूनें जब तक कि सब कुछ चटकने और सुगंधित न हो जाए। सुनिश्चित करें कि आप उन्हें जला न दें। तड़के को दाल पर डालें। दाल फ्राई को 10 मिनट के लिए रख दें फिर इसे चलाएँ और परोसें। धनिया पत्ती और नींबू के र"&amp;"स से गार्निश करके गरमागरम परोसें। स्वादिष्ट भोजन के लिए दाल फ्राई रेसिपी को स्टीम्ड राइस या जीरा राइस या फुल्का और आलू मेथी मसाला के साथ परोसें।")</f>
        <v>दाल फ्राई रेसिपी बनाने के लिए, दाल को धोकर लगभग 20 से 30 मिनट के लिए पानी में भिगो दें। पानी, नमक और हल्दी पाउडर के साथ दाल को 5-6 सीटी आने तक पकाएँ। प्रेशर के अपने आप निकलने का इंतज़ार करें। हो जाने पर, ढक्कन खोलें और इसे एक तरफ़ रख दें। पानी निथार लें और अलग रख दें। एक कढ़ाई में तेल और घी गरम करें। गरम होने पर, इसमें कद्दूकस किया हुआ अदरक, लहसुन और हरी मिर्च डालें। कुछ सेकंड के लिए भूनें और कटा हुआ प्याज़ डालें। प्याज़ के नरम और सुनहरे भूरे रंग के होने तक 3-4 मिनट तक भूनें। पक जाने के बाद इसमें टमाटर डालें और 2 मिनट तक पकने दें जब तक कि टमाटर नरम और गूदेदार न हो जाएँ। टमाटर के नरम होने के बाद, मसाले में पकी हुई दाल डालें और अच्छी तरह मिलाएँ। इसमें 1 कप बचा हुआ दाल का पानी डालें, नमक अपने हिसाब से मिलाएँ। दाल को उबलने दें, फिर 10 मिनट तक पकाएँ जब तक कि यह मनचाही स्थिरता तक न पहुँच जाए। अपनी पसंद की स्थिरता पाने के लिए ज़रूरत पड़ने पर पानी डालें। मैं इसे थोड़ा गाढ़ा पसंद करता हूं। अगला कदम दाल को तड़का लगाना है। एक छोटे तड़के वाले पैन में घी गर्म करें। गर्म होने पर उसमें जीरा, सौंफ, राई और सूखी लाल मिर्च डालें, इसके बाद हिंग और लाल मिर्च पाउडर डालें। 15 सेकंड तक भूनें जब तक कि सब कुछ चटकने और सुगंधित न हो जाए। सुनिश्चित करें कि आप उन्हें जला न दें। तड़के को दाल पर डालें। दाल फ्राई को 10 मिनट के लिए रख दें फिर इसे चलाएँ और परोसें। धनिया पत्ती और नींबू के रस से गार्निश करके गरमागरम परोसें। स्वादिष्ट भोजन के लिए दाल फ्राई रेसिपी को स्टीम्ड राइस या जीरा राइस या फुल्का और आलू मेथी मसाला के साथ परोसें।</v>
      </c>
      <c r="J386" s="3" t="s">
        <v>32540</v>
      </c>
      <c r="L386" s="1" t="s">
        <v>31003</v>
      </c>
    </row>
    <row r="387" spans="1:12" ht="13.8">
      <c r="A387" s="1" t="s">
        <v>32541</v>
      </c>
      <c r="B387" s="1" t="str">
        <f ca="1">IFERROR(__xludf.dummyfunction("IF(A387="""", """", GOOGLETRANSLATE(A387, ""en"", ""hi""))"),"गेहूं की सब्जी चीला (चीला) रेसिपी")</f>
        <v>गेहूं की सब्जी चीला (चीला) रेसिपी</v>
      </c>
      <c r="C387" s="1" t="s">
        <v>16424</v>
      </c>
      <c r="D387" s="1" t="s">
        <v>14237</v>
      </c>
      <c r="E387" s="1">
        <v>50</v>
      </c>
      <c r="F387" s="1" t="s">
        <v>32542</v>
      </c>
      <c r="G387" s="1" t="str">
        <f ca="1">IFERROR(__xludf.dummyfunction("IF(F387="""", """", GOOGLETRANSLATE(F387, ""en"", ""hi""))"),"1 कप गेहूं का आटा, 2 कप पानी, 1 प्याज - बारीक कटा हुआ, 2 टमाटर - बारीक कटा हुआ, 1 हरी शिमला मिर्च (कैप्सिकम) - बारीक कटी हुई, 1 चम्मच हल्दी पाउडर (हल्दी), 1 चम्मच जीरा (जीरा), 1 चम्मच लाल मिर्च पाउडर, धनिया (धनिया) के पत्ते - एक छोटा गुच्छा बारीक कटा हुआ,"&amp;" नमक - स्वादानुसार, सूरजमुखी का तेल - तलने के लिए")</f>
        <v>1 कप गेहूं का आटा, 2 कप पानी, 1 प्याज - बारीक कटा हुआ, 2 टमाटर - बारीक कटा हुआ, 1 हरी शिमला मिर्च (कैप्सिकम) - बारीक कटी हुई, 1 चम्मच हल्दी पाउडर (हल्दी), 1 चम्मच जीरा (जीरा), 1 चम्मच लाल मिर्च पाउडर, धनिया (धनिया) के पत्ते - एक छोटा गुच्छा बारीक कटा हुआ, नमक - स्वादानुसार, सूरजमुखी का तेल - तलने के लिए</v>
      </c>
      <c r="H387" s="1" t="s">
        <v>32543</v>
      </c>
      <c r="I387" s="1" t="str">
        <f ca="1">IFERROR(__xludf.dummyfunction("IF(H387="""", """", GOOGLETRANSLATE(H387, ""en"", ""hi""))"),"गेहूं की सब्जी चीला (चीला) रेसिपी बनाने के लिए सबसे पहले एक मिक्सिंग बाउल में विवत्ता गेहूं का आटा और पानी मिलाएँ और एक गाढ़ा घोल बनाएँ। यह पेस्ट डोसा बैटर से ज़्यादा गाढ़ा होना चाहिए। घोल बनाने के बाद, कटी हुई प्याज़, कटे हुए टमाटर, कटी हुई शिमला मिर्च, "&amp;"कटी हुई धनिया पत्ती, जीरा, हल्दी पाउडर, लाल मिर्च पाउडर और स्वादानुसार नमक जैसी सब्ज़ियाँ मिलाएँ। अच्छी तरह मिलाएँ। एक तवा गरम करें और उस पर 1 बड़ा चम्मच तेल लगाएँ। जब तेल गरम हो जाए, तो गरम तवे पर एक करछुल बैटर डालें। अगर सब्ज़ियाँ बीच में जम जाती हैं, त"&amp;"ो अपनी उँगलियों की मदद से सब्ज़ियों को चीले के चारों ओर फैलाएँ। तवे को 3 से 4 मिनट के लिए ढक दें और मध्यम आँच पर गेहूं के चीले को पकाएँ। बनने वाली भाप चीले को समान रूप से पकाने में मदद करेगी। ढक्कन खोलें और तवे पर तलते समय चीले के ऊपर 1 चम्मच तेल फैलाएं औ"&amp;"र तब तक पकाते रहें जब तक कि आप यह न देख लें कि चीले के किनारे और निचला भाग पूरी तरह से पक गया है और हल्का भूरा हो गया है। दूसरी तरफ पलटें और इसे कुछ और मिनटों के लिए पकने दें या जब तक कि किनारे कुरकुरे न दिखने लगें। नाश्ते, चाय के समय के नाश्ते या रात के "&amp;"खाने के लिए मूंगफली की चटनी के साथ साबुत गेहूं की सब्जी का चीला (चीला) परोसें।")</f>
        <v>गेहूं की सब्जी चीला (चीला) रेसिपी बनाने के लिए सबसे पहले एक मिक्सिंग बाउल में विवत्ता गेहूं का आटा और पानी मिलाएँ और एक गाढ़ा घोल बनाएँ। यह पेस्ट डोसा बैटर से ज़्यादा गाढ़ा होना चाहिए। घोल बनाने के बाद, कटी हुई प्याज़, कटे हुए टमाटर, कटी हुई शिमला मिर्च, कटी हुई धनिया पत्ती, जीरा, हल्दी पाउडर, लाल मिर्च पाउडर और स्वादानुसार नमक जैसी सब्ज़ियाँ मिलाएँ। अच्छी तरह मिलाएँ। एक तवा गरम करें और उस पर 1 बड़ा चम्मच तेल लगाएँ। जब तेल गरम हो जाए, तो गरम तवे पर एक करछुल बैटर डालें। अगर सब्ज़ियाँ बीच में जम जाती हैं, तो अपनी उँगलियों की मदद से सब्ज़ियों को चीले के चारों ओर फैलाएँ। तवे को 3 से 4 मिनट के लिए ढक दें और मध्यम आँच पर गेहूं के चीले को पकाएँ। बनने वाली भाप चीले को समान रूप से पकाने में मदद करेगी। ढक्कन खोलें और तवे पर तलते समय चीले के ऊपर 1 चम्मच तेल फैलाएं और तब तक पकाते रहें जब तक कि आप यह न देख लें कि चीले के किनारे और निचला भाग पूरी तरह से पक गया है और हल्का भूरा हो गया है। दूसरी तरफ पलटें और इसे कुछ और मिनटों के लिए पकने दें या जब तक कि किनारे कुरकुरे न दिखने लगें। नाश्ते, चाय के समय के नाश्ते या रात के खाने के लिए मूंगफली की चटनी के साथ साबुत गेहूं की सब्जी का चीला (चीला) परोसें।</v>
      </c>
      <c r="J387" s="3" t="s">
        <v>32544</v>
      </c>
      <c r="L387" s="1" t="s">
        <v>31003</v>
      </c>
    </row>
    <row r="388" spans="1:12" ht="13.8">
      <c r="A388" s="1" t="s">
        <v>31046</v>
      </c>
      <c r="B388" s="1" t="str">
        <f ca="1">IFERROR(__xludf.dummyfunction("IF(A388="""", """", GOOGLETRANSLATE(A388, ""en"", ""hi""))"),"लेयर्ड पनीर बटर मसाला बिरयानी रेसिपी")</f>
        <v>लेयर्ड पनीर बटर मसाला बिरयानी रेसिपी</v>
      </c>
      <c r="C388" s="1" t="s">
        <v>14259</v>
      </c>
      <c r="D388" s="1" t="s">
        <v>14198</v>
      </c>
      <c r="E388" s="1">
        <v>45</v>
      </c>
      <c r="F388" s="1" t="s">
        <v>32545</v>
      </c>
      <c r="G388" s="1" t="str">
        <f ca="1">IFERROR(__xludf.dummyfunction("IF(F388="""", """", GOOGLETRANSLATE(F388, ""en"", ""hi""))"),"1 कप चावल, 2 कप पानी, 1 चम्मच घी, 1 इलायची की फली/बीज, 2 लौंग, 1 चक्र फूल, 1/2 इंच दालचीनी, 2 साबुत काली मिर्च, नमक - स्वादानुसार, 1 तेज पत्ता, 1/4 कप तले हुए प्याज, 1 टहनी धनिया, 1 टहनी पुदीना, 200 ग्राम पनीर - 1/2 इंच के टुकड़ों में कटा हुआ, 2 टमाटर, 2 "&amp;"बड़े चम्मच ताजा क्रीम, 1 प्याज - मोटा कटा हुआ, 1 इंच अदरक, 3 लहसुन के दाने, 1 हरी मिर्च, 1 चम्मच इलायची पाउडर, 1/2 चम्मच जीरा, 1/2 चम्मच गरम मसाला, 1/2 चम्मच लाल मिर्च पाउडर, 1 चम्मच कसूरी मेथी, 1 चम्मच शहद, नमक - स्वादानुसार स्वादानुसार,सूरजमुखी तेल - खा"&amp;"ना पकाने का तेल,1 बड़ा चम्मच काजू - गार्निश के लिए तले हुए")</f>
        <v>1 कप चावल, 2 कप पानी, 1 चम्मच घी, 1 इलायची की फली/बीज, 2 लौंग, 1 चक्र फूल, 1/2 इंच दालचीनी, 2 साबुत काली मिर्च, नमक - स्वादानुसार, 1 तेज पत्ता, 1/4 कप तले हुए प्याज, 1 टहनी धनिया, 1 टहनी पुदीना, 200 ग्राम पनीर - 1/2 इंच के टुकड़ों में कटा हुआ, 2 टमाटर, 2 बड़े चम्मच ताजा क्रीम, 1 प्याज - मोटा कटा हुआ, 1 इंच अदरक, 3 लहसुन के दाने, 1 हरी मिर्च, 1 चम्मच इलायची पाउडर, 1/2 चम्मच जीरा, 1/2 चम्मच गरम मसाला, 1/2 चम्मच लाल मिर्च पाउडर, 1 चम्मच कसूरी मेथी, 1 चम्मच शहद, नमक - स्वादानुसार स्वादानुसार,सूरजमुखी तेल - खाना पकाने का तेल,1 बड़ा चम्मच काजू - गार्निश के लिए तले हुए</v>
      </c>
      <c r="H388" s="1" t="s">
        <v>32546</v>
      </c>
      <c r="I388" s="1" t="str">
        <f ca="1">IFERROR(__xludf.dummyfunction("IF(H388="""", """", GOOGLETRANSLATE(H388, ""en"", ""hi""))"),"लेयर्ड पनीर बटर मसाला बिरयानी रेसिपी बनाने के लिए सबसे पहले चावल को धोकर 30 मिनट के लिए पानी में भिगो दें। लेयर्ड पनीर बटर मसाला बिरयानी के लिए चावल बनाने हेतु एक प्रेशर कुकर में धीमी आंच पर घी गर्म करें, उसमें साबुत मसाले- इलायची, लौंग, चक्र फूल, दालचीनी"&amp;", साबुत काली मिर्च और एक तेज पत्ता डालें, इन मसालों को चटकने दें, इसके बाद इसमें छाना हुआ चावल, नमक और 2 कप पानी डालें। प्रेशर कुकर को बंद करें और दो सीटी आने तक पकाएं और आंच बंद कर दें। प्रेशर को अपने आप निकलने दें। चावल को एक प्लेट में फैलाएं और ठंडा हो"&amp;"ने दें। ठंडा होने पर इसमें तले हुए प्याज और कटा हरा धनिया और पुदीने के पत्ते मिलाएं। लेयर्ड पनीर बटर मसाला बिरयानी रेसिपी के लिए पनीर बटर मसाला बनाने के लिए, एक कढ़ाई में मध्यम आंच पर एक चम्मच तेल गर्म करें, उसमें जीरा, इलायची, हरी मिर्च, अदरक, लहसुन और प"&amp;"्याज डालें और 4-6 मिनट तक भूनें, जब प्याज भूरा हो जाए तो कटे हुए टमाटर डालें। तब तक पकाते रहें जब तक सभी सब्जियां नरम न हो जाएं, नमक डालें और आंच बंद कर दें। इसे ठंडा होने दें। ठंडा होने के बाद, प्याज-टमाटर के मिश्रण को मिक्सर-जार में डालें और एक चिकने पे"&amp;"स्ट में पीस लें। धीमी आंच पर एक पैन गरम करें, पीसा हुआ मसाला पेस्ट प्याज-टमाटर मिश्रण पैन में डालें और धीमी आंच पर पकाते रहें। अब जीरा पाउडर, गरम मसाला पाउडर, लाल मिर्च पाउडर, शहद और कसूरी मेथी डालें अच्छी तरह मिलाएं, और सुनिश्चित करें कि पनीर पर एक मोटी "&amp;"अर्ध कोटिंग मसाला बचा हो और आंच बंद कर दें। हम ग्रेवी स्टाइल - पनीर बटर मसाला नहीं ढूंढ रहे हैं, हम चाहते हैं कि मसाला पनीर के टुकड़ों पर अच्छी तरह से लेपित हो। लेयर्ड पनीर बटर मसाला बिरयानी रेसिपी बनाने के लिए, एक बड़े कांच के कटोरे में थोड़ा पिघला हुआ म"&amp;"क्खन लगाएं, कुछ धनिया-पुदीने के पत्ते और तले हुए प्याज डालें, पहली परत से शुरू करें, 1/3 कप चावल फैलाएं, अच्छी तरह से दबाते हुए, फिर पनीर बटर मसाला की एक परत लगाएं, इन परतों को तब तक दोहराएं जब तक कि अंतिम परत चावल न बन जाए। इस लेयर्ड पनीर बटर मसाला बिरया"&amp;"नी बाउल के ऊपर एक सर्विंग प्लेट रखें और इसे प्लेट पर उल्टा कर दें। लेयर्ड पनीर बटर मसाला बिरयानी रेसिपी इस सरल लेकिन स्वादिष्ट भोजन को केसर शाही टुकड़ा विद रबड़ी रेसिपी (केसर ब्रेड पुडिंग विद स्पाइस्ड मिल्क कस्टर्ड) के साथ समाप्त करें।")</f>
        <v>लेयर्ड पनीर बटर मसाला बिरयानी रेसिपी बनाने के लिए सबसे पहले चावल को धोकर 30 मिनट के लिए पानी में भिगो दें। लेयर्ड पनीर बटर मसाला बिरयानी के लिए चावल बनाने हेतु एक प्रेशर कुकर में धीमी आंच पर घी गर्म करें, उसमें साबुत मसाले- इलायची, लौंग, चक्र फूल, दालचीनी, साबुत काली मिर्च और एक तेज पत्ता डालें, इन मसालों को चटकने दें, इसके बाद इसमें छाना हुआ चावल, नमक और 2 कप पानी डालें। प्रेशर कुकर को बंद करें और दो सीटी आने तक पकाएं और आंच बंद कर दें। प्रेशर को अपने आप निकलने दें। चावल को एक प्लेट में फैलाएं और ठंडा होने दें। ठंडा होने पर इसमें तले हुए प्याज और कटा हरा धनिया और पुदीने के पत्ते मिलाएं। लेयर्ड पनीर बटर मसाला बिरयानी रेसिपी के लिए पनीर बटर मसाला बनाने के लिए, एक कढ़ाई में मध्यम आंच पर एक चम्मच तेल गर्म करें, उसमें जीरा, इलायची, हरी मिर्च, अदरक, लहसुन और प्याज डालें और 4-6 मिनट तक भूनें, जब प्याज भूरा हो जाए तो कटे हुए टमाटर डालें। तब तक पकाते रहें जब तक सभी सब्जियां नरम न हो जाएं, नमक डालें और आंच बंद कर दें। इसे ठंडा होने दें। ठंडा होने के बाद, प्याज-टमाटर के मिश्रण को मिक्सर-जार में डालें और एक चिकने पेस्ट में पीस लें। धीमी आंच पर एक पैन गरम करें, पीसा हुआ मसाला पेस्ट प्याज-टमाटर मिश्रण पैन में डालें और धीमी आंच पर पकाते रहें। अब जीरा पाउडर, गरम मसाला पाउडर, लाल मिर्च पाउडर, शहद और कसूरी मेथी डालें अच्छी तरह मिलाएं, और सुनिश्चित करें कि पनीर पर एक मोटी अर्ध कोटिंग मसाला बचा हो और आंच बंद कर दें। हम ग्रेवी स्टाइल - पनीर बटर मसाला नहीं ढूंढ रहे हैं, हम चाहते हैं कि मसाला पनीर के टुकड़ों पर अच्छी तरह से लेपित हो। लेयर्ड पनीर बटर मसाला बिरयानी रेसिपी बनाने के लिए, एक बड़े कांच के कटोरे में थोड़ा पिघला हुआ मक्खन लगाएं, कुछ धनिया-पुदीने के पत्ते और तले हुए प्याज डालें, पहली परत से शुरू करें, 1/3 कप चावल फैलाएं, अच्छी तरह से दबाते हुए, फिर पनीर बटर मसाला की एक परत लगाएं, इन परतों को तब तक दोहराएं जब तक कि अंतिम परत चावल न बन जाए। इस लेयर्ड पनीर बटर मसाला बिरयानी बाउल के ऊपर एक सर्विंग प्लेट रखें और इसे प्लेट पर उल्टा कर दें। लेयर्ड पनीर बटर मसाला बिरयानी रेसिपी इस सरल लेकिन स्वादिष्ट भोजन को केसर शाही टुकड़ा विद रबड़ी रेसिपी (केसर ब्रेड पुडिंग विद स्पाइस्ड मिल्क कस्टर्ड) के साथ समाप्त करें।</v>
      </c>
      <c r="J388" s="3" t="s">
        <v>32547</v>
      </c>
      <c r="L388" s="1" t="s">
        <v>31003</v>
      </c>
    </row>
    <row r="389" spans="1:12" ht="13.8">
      <c r="A389" s="1" t="s">
        <v>32548</v>
      </c>
      <c r="B389" s="1" t="str">
        <f ca="1">IFERROR(__xludf.dummyfunction("IF(A389="""", """", GOOGLETRANSLATE(A389, ""en"", ""hi""))"),"मसालेदार आलू नान रेसिपी")</f>
        <v>मसालेदार आलू नान रेसिपी</v>
      </c>
      <c r="C389" s="1" t="s">
        <v>145</v>
      </c>
      <c r="D389" s="1" t="s">
        <v>14198</v>
      </c>
      <c r="E389" s="1">
        <v>80</v>
      </c>
      <c r="F389" s="1" t="s">
        <v>32549</v>
      </c>
      <c r="G389" s="1" t="str">
        <f ca="1">IFERROR(__xludf.dummyfunction("IF(F389="""", """", GOOGLETRANSLATE(F389, ""en"", ""hi""))"),"2 कप मैदा, 2 छोटे चम्मच सक्रिय सूखा खमीर, 1/4 कप दही, 2 छोटे चम्मच चीनी, 2 छोटे चम्मच सूरजमुखी तेल, नमक - स्वादानुसार, 3 आलू - उबले और मसले हुए, 1 प्याज - बारीक कटा हुआ, 2 हरी मिर्च - बारीक कटी हुई, 1/2 छोटा चम्मच हल्दी, 1/2 छोटा चम्मच गरम मसाला पाउडर, धन"&amp;"िया पत्ती - थोड़े, 1/2 छोटा चम्मच आमचूर, नमक - स्वादानुसार, 2 लहसुन - बारीक कटा हुआ")</f>
        <v>2 कप मैदा, 2 छोटे चम्मच सक्रिय सूखा खमीर, 1/4 कप दही, 2 छोटे चम्मच चीनी, 2 छोटे चम्मच सूरजमुखी तेल, नमक - स्वादानुसार, 3 आलू - उबले और मसले हुए, 1 प्याज - बारीक कटा हुआ, 2 हरी मिर्च - बारीक कटी हुई, 1/2 छोटा चम्मच हल्दी, 1/2 छोटा चम्मच गरम मसाला पाउडर, धनिया पत्ती - थोड़े, 1/2 छोटा चम्मच आमचूर, नमक - स्वादानुसार, 2 लहसुन - बारीक कटा हुआ</v>
      </c>
      <c r="H389" s="1" t="s">
        <v>32550</v>
      </c>
      <c r="I389" s="1" t="str">
        <f ca="1">IFERROR(__xludf.dummyfunction("IF(H389="""", """", GOOGLETRANSLATE(H389, ""en"", ""hi""))"),"मसालेदार आलू नान रेसिपी बनाने के लिए सबसे पहले एक बड़े प्याले में आटे की सारी सामग्री डालकर 4 कप मैदा डालिये और थोड़ा-थोड़ा पानी डालते हुए सख्त और चिकना आटा गूंथ लीजिये. आटे के ऊपर थोड़ा सा तेल लगाकर चिकना कर लीजिये और इसे किसी गर्म जगह पर रख दीजिये जब तक"&amp;" इसका आकार दोगुना न हो जाये. नान के आटे के दोगुना हो जाने पर, आटे को दबाइये, एक मिनट तक गूंथिये और 5 से 6 भागों में बांट लीजिये. अगला कदम नान के लिए तीखा आलू मसाला बनाना है. एक बड़े मिक्सिंग बाउल में मसले हुए आलू और बची हुई सामग्री डालकर अच्छी तरह मिलाइये"&amp;". नमक की जांच कीजिये और अपने स्वादानुसार नमक मिला लीजिये. नान के आटे का एक भाग लीजिये, इसे आटे में लपेटिये और 2 इंच व्यास के गोले में बेल लीजिये. एक चम्मच तीखा आलू मसाला रखिये और आटे को इसके ऊपर खींचकर भरावन को ढक दीजिये आटे और आलू के मिश्रण के बचे हुए हि"&amp;"स्से के साथ भी यही प्रक्रिया अपनाएँ। ओवन को 15 मिनट के लिए 200 डिग्री सेल्सियस पर गर्म करें। मसालेदार आलू नान को पहले से गरम ओवन में लगभग 10 मिनट तक पकाएँ जब तक कि यह फूल न जाए और इसका रंग सुनहरा न हो जाए। हो जाने पर, ओवन से निकालें और ऊपर से थोड़ा मक्खन "&amp;"लगाएँ और परोसें। मसालेदार आलू नान को अपनी पार्टियों के लिए ऐपेटाइज़र के रूप में या सप्ताह के रात के खाने के लिए पनीर मखनी के साथ परोसें।")</f>
        <v>मसालेदार आलू नान रेसिपी बनाने के लिए सबसे पहले एक बड़े प्याले में आटे की सारी सामग्री डालकर 4 कप मैदा डालिये और थोड़ा-थोड़ा पानी डालते हुए सख्त और चिकना आटा गूंथ लीजिये. आटे के ऊपर थोड़ा सा तेल लगाकर चिकना कर लीजिये और इसे किसी गर्म जगह पर रख दीजिये जब तक इसका आकार दोगुना न हो जाये. नान के आटे के दोगुना हो जाने पर, आटे को दबाइये, एक मिनट तक गूंथिये और 5 से 6 भागों में बांट लीजिये. अगला कदम नान के लिए तीखा आलू मसाला बनाना है. एक बड़े मिक्सिंग बाउल में मसले हुए आलू और बची हुई सामग्री डालकर अच्छी तरह मिलाइये. नमक की जांच कीजिये और अपने स्वादानुसार नमक मिला लीजिये. नान के आटे का एक भाग लीजिये, इसे आटे में लपेटिये और 2 इंच व्यास के गोले में बेल लीजिये. एक चम्मच तीखा आलू मसाला रखिये और आटे को इसके ऊपर खींचकर भरावन को ढक दीजिये आटे और आलू के मिश्रण के बचे हुए हिस्से के साथ भी यही प्रक्रिया अपनाएँ। ओवन को 15 मिनट के लिए 200 डिग्री सेल्सियस पर गर्म करें। मसालेदार आलू नान को पहले से गरम ओवन में लगभग 10 मिनट तक पकाएँ जब तक कि यह फूल न जाए और इसका रंग सुनहरा न हो जाए। हो जाने पर, ओवन से निकालें और ऊपर से थोड़ा मक्खन लगाएँ और परोसें। मसालेदार आलू नान को अपनी पार्टियों के लिए ऐपेटाइज़र के रूप में या सप्ताह के रात के खाने के लिए पनीर मखनी के साथ परोसें।</v>
      </c>
      <c r="J389" s="3" t="s">
        <v>32551</v>
      </c>
      <c r="L389" s="1" t="s">
        <v>31003</v>
      </c>
    </row>
    <row r="390" spans="1:12" ht="13.8">
      <c r="A390" s="1" t="s">
        <v>32552</v>
      </c>
      <c r="B390" s="1" t="str">
        <f ca="1">IFERROR(__xludf.dummyfunction("IF(A390="""", """", GOOGLETRANSLATE(A390, ""en"", ""hi""))"),"छोले पिंडी रेसिपी (मसालेदार चने की सब्जी)")</f>
        <v>छोले पिंडी रेसिपी (मसालेदार चने की सब्जी)</v>
      </c>
      <c r="C390" s="1" t="s">
        <v>145</v>
      </c>
      <c r="D390" s="1" t="s">
        <v>14198</v>
      </c>
      <c r="E390" s="1">
        <v>620</v>
      </c>
      <c r="F390" s="1" t="s">
        <v>32553</v>
      </c>
      <c r="G390" s="1" t="str">
        <f ca="1">IFERROR(__xludf.dummyfunction("IF(F390="""", """", GOOGLETRANSLATE(F390, ""en"", ""hi""))"),"1 कप काला चना - रातभर भिगोया हुआ, 2 इलायची की फली/बीज, 1 प्याज - बारीक कटा हुआ, 1 दालचीनी, 1 इंच अदरक - बारीक कटा हुआ और गार्निश के लिए अधिक, 2 हरी मिर्च - कटी हुई, 1/2 कप घर का बना टमाटर प्यूरी, 1/2 चम्मच हल्दी पाउडर, 1 चम्मच अनारदाना पाउडर (अनार के बीज "&amp;"का पाउडर), 1 चम्मच धनिया पाउडर, 1/2 चम्मच गरम मसाला पाउडर, 1/2 चम्मच आमचूर - (या एक नींबू का रस), 1/2 चम्मच लाल मिर्च पाउडर, सूरजमुखी तेल - पकाने के लिए या घी, नमक - स्वादानुसार, 1 इंच अदरक - पतले टुकड़ों में कटा हुआ, नींबू - परोसने के लिए")</f>
        <v>1 कप काला चना - रातभर भिगोया हुआ, 2 इलायची की फली/बीज, 1 प्याज - बारीक कटा हुआ, 1 दालचीनी, 1 इंच अदरक - बारीक कटा हुआ और गार्निश के लिए अधिक, 2 हरी मिर्च - कटी हुई, 1/2 कप घर का बना टमाटर प्यूरी, 1/2 चम्मच हल्दी पाउडर, 1 चम्मच अनारदाना पाउडर (अनार के बीज का पाउडर), 1 चम्मच धनिया पाउडर, 1/2 चम्मच गरम मसाला पाउडर, 1/2 चम्मच आमचूर - (या एक नींबू का रस), 1/2 चम्मच लाल मिर्च पाउडर, सूरजमुखी तेल - पकाने के लिए या घी, नमक - स्वादानुसार, 1 इंच अदरक - पतले टुकड़ों में कटा हुआ, नींबू - परोसने के लिए</v>
      </c>
      <c r="H390" s="1" t="s">
        <v>32554</v>
      </c>
      <c r="I390" s="1" t="str">
        <f ca="1">IFERROR(__xludf.dummyfunction("IF(H390="""", """", GOOGLETRANSLATE(H390, ""en"", ""hi""))"),"छोले पिंडी रेसिपी बनाने के लिए सबसे पहले हम प्रेशर कुकर में भीगे हुए काले चने के छोले पकाएंगे। प्रेशर कुकर में छोले जैसी फलियां पकाने की वीडियो रेसिपी देखने के लिए क्लिक करें। छोले को थोड़े से नमक के साथ पकाना सुनिश्चित करें। पकने के बाद जब आप इसे अपनी उं"&amp;"गलियों के बीच रखेंगे तो यह आसानी से मैश हो जाना चाहिए। तभी आपको पता चलेगा कि पके हुए छोले की बनावट एकदम सही है। अगला कदम पिंडी छोले के लिए मसाला बनाना है। मध्यम आंच पर एक भारी तले की कड़ाही में एक चम्मच तेल गर्म करें। उसमें प्याज, अदरक, हरी मिर्च, टमाटर, "&amp;"हल्दी पाउडर, धनिया पाउडर, गरम मसाला पाउडर, अमचूर पाउडर, लाल मिर्च पाउडर, दालचीनी और इलायची डालें। मसाले को टमाटर के साथ तब तक भूनें जब तक प्याज और टमाटर नरम न हो जाएं। जब प्याज और टमाटर नरम हो जाएं तो इसमें पका हुआ काला चना डालें और अच्छे से हिलाएं। पैन क"&amp;"ो ढक दें और पिंडी छोले को लगभग 5 मिनट तक धीमी आंच पर पकने दें ताकि छोले में सारे मसाले समा जाएं और इसका स्वाद और खुशबू अच्छी हो जाए। आंच बंद कर दें और कटी हुई धनिया पत्ती डालकर चलाएँ। पिंडी छोले को एक सर्विंग बाउल में डालें, पतले कटे हुए अदरक और नींबू के "&amp;"रस से गार्निश करें। एक मजेदार लंच मील के लिए फुल्के के साथ पिंडी छोले की रेसिपी परोसें।")</f>
        <v>छोले पिंडी रेसिपी बनाने के लिए सबसे पहले हम प्रेशर कुकर में भीगे हुए काले चने के छोले पकाएंगे। प्रेशर कुकर में छोले जैसी फलियां पकाने की वीडियो रेसिपी देखने के लिए क्लिक करें। छोले को थोड़े से नमक के साथ पकाना सुनिश्चित करें। पकने के बाद जब आप इसे अपनी उंगलियों के बीच रखेंगे तो यह आसानी से मैश हो जाना चाहिए। तभी आपको पता चलेगा कि पके हुए छोले की बनावट एकदम सही है। अगला कदम पिंडी छोले के लिए मसाला बनाना है। मध्यम आंच पर एक भारी तले की कड़ाही में एक चम्मच तेल गर्म करें। उसमें प्याज, अदरक, हरी मिर्च, टमाटर, हल्दी पाउडर, धनिया पाउडर, गरम मसाला पाउडर, अमचूर पाउडर, लाल मिर्च पाउडर, दालचीनी और इलायची डालें। मसाले को टमाटर के साथ तब तक भूनें जब तक प्याज और टमाटर नरम न हो जाएं। जब प्याज और टमाटर नरम हो जाएं तो इसमें पका हुआ काला चना डालें और अच्छे से हिलाएं। पैन को ढक दें और पिंडी छोले को लगभग 5 मिनट तक धीमी आंच पर पकने दें ताकि छोले में सारे मसाले समा जाएं और इसका स्वाद और खुशबू अच्छी हो जाए। आंच बंद कर दें और कटी हुई धनिया पत्ती डालकर चलाएँ। पिंडी छोले को एक सर्विंग बाउल में डालें, पतले कटे हुए अदरक और नींबू के रस से गार्निश करें। एक मजेदार लंच मील के लिए फुल्के के साथ पिंडी छोले की रेसिपी परोसें।</v>
      </c>
      <c r="J390" s="3" t="s">
        <v>32555</v>
      </c>
      <c r="L390" s="1" t="s">
        <v>31003</v>
      </c>
    </row>
    <row r="391" spans="1:12" ht="13.8">
      <c r="A391" s="1" t="s">
        <v>32556</v>
      </c>
      <c r="B391" s="1" t="str">
        <f ca="1">IFERROR(__xludf.dummyfunction("IF(A391="""", """", GOOGLETRANSLATE(A391, ""en"", ""hi""))"),"बेसन और हरी मटर का चीला रेसिपी")</f>
        <v>बेसन और हरी मटर का चीला रेसिपी</v>
      </c>
      <c r="C391" s="1" t="s">
        <v>14281</v>
      </c>
      <c r="D391" s="1" t="s">
        <v>14198</v>
      </c>
      <c r="E391" s="1">
        <v>40</v>
      </c>
      <c r="F391" s="1" t="s">
        <v>32557</v>
      </c>
      <c r="G391" s="1" t="str">
        <f ca="1">IFERROR(__xludf.dummyfunction("IF(F391="""", """", GOOGLETRANSLATE(F391, ""en"", ""hi""))"),"1/4 कप बेसन, 1/2 कप हरी मटर, 1 प्याज, 3 लहसुन के दाने, 2 हरी मिर्च - बारीक कटी हुई, अदरक - एक छोटा टुकड़ा, 1/4 कप धनिया के पत्ते, 1/2 चम्मच अजवाइन, 1/4 चम्मच सौंफ - पिसी हुई, 1/4 चम्मच तिल, 1/4 चम्मच लाल मिर्च पाउडर, गरम मसाला पाउडर - चुटकीभर, नमक - स्वाद"&amp;"ानुसार, 1 चम्मच सूरजमुखी तेल, पानी - आवश्यकतानुसार")</f>
        <v>1/4 कप बेसन, 1/2 कप हरी मटर, 1 प्याज, 3 लहसुन के दाने, 2 हरी मिर्च - बारीक कटी हुई, अदरक - एक छोटा टुकड़ा, 1/4 कप धनिया के पत्ते, 1/2 चम्मच अजवाइन, 1/4 चम्मच सौंफ - पिसी हुई, 1/4 चम्मच तिल, 1/4 चम्मच लाल मिर्च पाउडर, गरम मसाला पाउडर - चुटकीभर, नमक - स्वादानुसार, 1 चम्मच सूरजमुखी तेल, पानी - आवश्यकतानुसार</v>
      </c>
      <c r="H391" s="1" t="s">
        <v>32558</v>
      </c>
      <c r="I391" s="1" t="str">
        <f ca="1">IFERROR(__xludf.dummyfunction("IF(H391="""", """", GOOGLETRANSLATE(H391, ""en"", ""hi""))"),"बेसन और हरी मटर चीला बनाने के लिए सबसे पहले एक मिक्सर जार लें और उसमें हरी मटर, लहसुन, प्याज, अदरक, धनिया पत्ती, थोड़ा पानी डालकर पेस्ट बना लें। एक मिक्सिंग बाउल लें और उसमें बेसन, हरी मटर का पेस्ट, सौंफ पाउडर, तिल, अजवायन, नमक और सभी मसाले डालें। इन्हें "&amp;"अच्छे से मिला लें। इसके बाद, बैटर बनाने के लिए आवश्यकतानुसार पानी डालें। बैटर तैयार हो जाने पर, एक कड़ाही गरम करें और बैटर डालें और गोल आकार दें जैसे हम डोसा बनाते समय करते हैं। चीले पर आवश्यकतानुसार तेल लगाएं और दोनों तरफ से पकाएं। बेसन और हरी मटर चीला क"&amp;"ो धनिया पुदीना चटनी या अपनी पसंद की किसी भी चटनी के साथ परोसें।")</f>
        <v>बेसन और हरी मटर चीला बनाने के लिए सबसे पहले एक मिक्सर जार लें और उसमें हरी मटर, लहसुन, प्याज, अदरक, धनिया पत्ती, थोड़ा पानी डालकर पेस्ट बना लें। एक मिक्सिंग बाउल लें और उसमें बेसन, हरी मटर का पेस्ट, सौंफ पाउडर, तिल, अजवायन, नमक और सभी मसाले डालें। इन्हें अच्छे से मिला लें। इसके बाद, बैटर बनाने के लिए आवश्यकतानुसार पानी डालें। बैटर तैयार हो जाने पर, एक कड़ाही गरम करें और बैटर डालें और गोल आकार दें जैसे हम डोसा बनाते समय करते हैं। चीले पर आवश्यकतानुसार तेल लगाएं और दोनों तरफ से पकाएं। बेसन और हरी मटर चीला को धनिया पुदीना चटनी या अपनी पसंद की किसी भी चटनी के साथ परोसें।</v>
      </c>
      <c r="J391" s="3" t="s">
        <v>32559</v>
      </c>
      <c r="L391" s="1" t="s">
        <v>31003</v>
      </c>
    </row>
    <row r="392" spans="1:12" ht="13.8">
      <c r="A392" s="1" t="s">
        <v>32560</v>
      </c>
      <c r="B392" s="1" t="str">
        <f ca="1">IFERROR(__xludf.dummyfunction("IF(A392="""", """", GOOGLETRANSLATE(A392, ""en"", ""hi""))"),"गाजर और शकरकंद भरवां पराठा रेसिपी")</f>
        <v>गाजर और शकरकंद भरवां पराठा रेसिपी</v>
      </c>
      <c r="C392" s="1" t="s">
        <v>15760</v>
      </c>
      <c r="D392" s="1" t="s">
        <v>14198</v>
      </c>
      <c r="E392" s="1">
        <v>45</v>
      </c>
      <c r="F392" s="1" t="s">
        <v>32561</v>
      </c>
      <c r="G392" s="1" t="str">
        <f ca="1">IFERROR(__xludf.dummyfunction("IF(F392="""", """", GOOGLETRANSLATE(F392, ""en"", ""hi""))"),"2 कप गेहूं का आटा, 1/2 चम्मच नमक, 1 चम्मच सूरजमुखी तेल, 1 कप गाजर - बारीक कद्दूकस किया हुआ, 1/2 कप शकरकंद - उबले और मसले हुए, 1 चम्मच जीरा पाउडर - (भुना हुआ), 1 हरी मिर्च - कटी हुई (समायोजित करें), 1/4 कप धनिया पत्ती - कटी हुई, नमक - स्वादानुसार")</f>
        <v>2 कप गेहूं का आटा, 1/2 चम्मच नमक, 1 चम्मच सूरजमुखी तेल, 1 कप गाजर - बारीक कद्दूकस किया हुआ, 1/2 कप शकरकंद - उबले और मसले हुए, 1 चम्मच जीरा पाउडर - (भुना हुआ), 1 हरी मिर्च - कटी हुई (समायोजित करें), 1/4 कप धनिया पत्ती - कटी हुई, नमक - स्वादानुसार</v>
      </c>
      <c r="H392" s="1" t="s">
        <v>32562</v>
      </c>
      <c r="I392" s="1" t="str">
        <f ca="1">IFERROR(__xludf.dummyfunction("IF(H392="""", """", GOOGLETRANSLATE(H392, ""en"", ""hi""))"),"शकरकंद के पराठे बनाने के लिए सबसे पहले हम आटा गूंथेंगे। एक बड़े प्याले में मैदा और नमक डालें, थोड़ा-थोड़ा पानी डालते हुए नरम, लचीला आटा गूंथ लें। आटे को तब तक गूंथें जब तक वह चिकना और लचीला न हो जाए। आटे को कोट करने के लिए तेल डालें और थोड़ा और गूंथें। आट"&amp;"ा नरम और चिपचिपा नहीं होगा। आटे को लगभग 15 मिनट के लिए ढककर रख दें। आटे को तब तक गूंथें जब तक वह चिकना और लचीला न हो जाए। आटे को कोट करने के लिए तेल डालें और थोड़ा और गूंथें। आटा नरम और चिपचिपा नहीं होगा। आटे को लगभग 15 मिनट के लिए ढककर रख दें। आटे को नीं"&amp;"बू के आकार की गेंदों में बांट लें और उन्हें लगभग 3 इंच व्यास में पतला बेल लें। ध्यान रहे कि बेलते समय आटे को सूखे आटे में मिलाना चाहिए थोड़ा अतिरिक्त आटा हटा दें जो उन्हें एक साथ रखने पर बाहर निकल आया था। भरवां आटे को दबाएं। इसे थोड़े से आटे में मिलाएं और"&amp;" इसे धीरे से रोल करें, रोल करने के लिए समान दबाव डालें। इसे मनचाही मोटाई और अपनी सुविधानुसार रोल करें। भरवां शकरकंद गाजर के पराठों को गर्म तवे/कड़ाही पर रखें। मध्यम आँच पर पकाएँ और थोड़ा तेल या घी डालकर पराठों को तब तक पकाएँ जब तक कि आप देखें कि इसके दोनो"&amp;"ं तरफ भूरे धब्बे नहीं पड़ गए हैं और बाहरी परत हल्की कुरकुरी हो गई है। गाजर और शकरकंद भरवां पराठा रेसिपी को काले नमक के साथ बूंदी रायता रेसिपी, इंस्टेंट गोर कैरी लोन्चे रेसिपी - मीठे कच्चे आम का अचार और सेब, कीवी, अनानास जूस रेसिपी के साथ संपूर्ण नाश्ते के"&amp;" लिए परोसें।")</f>
        <v>शकरकंद के पराठे बनाने के लिए सबसे पहले हम आटा गूंथेंगे। एक बड़े प्याले में मैदा और नमक डालें, थोड़ा-थोड़ा पानी डालते हुए नरम, लचीला आटा गूंथ लें। आटे को तब तक गूंथें जब तक वह चिकना और लचीला न हो जाए। आटे को कोट करने के लिए तेल डालें और थोड़ा और गूंथें। आटा नरम और चिपचिपा नहीं होगा। आटे को लगभग 15 मिनट के लिए ढककर रख दें। आटे को तब तक गूंथें जब तक वह चिकना और लचीला न हो जाए। आटे को कोट करने के लिए तेल डालें और थोड़ा और गूंथें। आटा नरम और चिपचिपा नहीं होगा। आटे को लगभग 15 मिनट के लिए ढककर रख दें। आटे को नींबू के आकार की गेंदों में बांट लें और उन्हें लगभग 3 इंच व्यास में पतला बेल लें। ध्यान रहे कि बेलते समय आटे को सूखे आटे में मिलाना चाहिए थोड़ा अतिरिक्त आटा हटा दें जो उन्हें एक साथ रखने पर बाहर निकल आया था। भरवां आटे को दबाएं। इसे थोड़े से आटे में मिलाएं और इसे धीरे से रोल करें, रोल करने के लिए समान दबाव डालें। इसे मनचाही मोटाई और अपनी सुविधानुसार रोल करें। भरवां शकरकंद गाजर के पराठों को गर्म तवे/कड़ाही पर रखें। मध्यम आँच पर पकाएँ और थोड़ा तेल या घी डालकर पराठों को तब तक पकाएँ जब तक कि आप देखें कि इसके दोनों तरफ भूरे धब्बे नहीं पड़ गए हैं और बाहरी परत हल्की कुरकुरी हो गई है। गाजर और शकरकंद भरवां पराठा रेसिपी को काले नमक के साथ बूंदी रायता रेसिपी, इंस्टेंट गोर कैरी लोन्चे रेसिपी - मीठे कच्चे आम का अचार और सेब, कीवी, अनानास जूस रेसिपी के साथ संपूर्ण नाश्ते के लिए परोसें।</v>
      </c>
      <c r="J392" s="3" t="s">
        <v>32563</v>
      </c>
      <c r="L392" s="1" t="s">
        <v>31003</v>
      </c>
    </row>
    <row r="393" spans="1:12" ht="13.8">
      <c r="A393" s="1" t="s">
        <v>31446</v>
      </c>
      <c r="B393" s="1" t="str">
        <f ca="1">IFERROR(__xludf.dummyfunction("IF(A393="""", """", GOOGLETRANSLATE(A393, ""en"", ""hi""))"),"अचारी पनीर मसाला रेसिपी")</f>
        <v>अचारी पनीर मसाला रेसिपी</v>
      </c>
      <c r="C393" s="1" t="s">
        <v>145</v>
      </c>
      <c r="D393" s="1" t="s">
        <v>14237</v>
      </c>
      <c r="E393" s="1">
        <v>30</v>
      </c>
      <c r="F393" s="1" t="s">
        <v>32564</v>
      </c>
      <c r="G393" s="1" t="str">
        <f ca="1">IFERROR(__xludf.dummyfunction("IF(F393="""", """", GOOGLETRANSLATE(F393, ""en"", ""hi""))"),"250 ग्राम पनीर, 2 प्याज - बारीक कटा हुआ, 4 टमाटर, 1 हरी बेल मिर्च (शिमला मिर्च), 4 साबुत काजू, 1 बड़ा चम्मच सरसों का तेल, 1 हरी मिर्च, चुटकी भर हींग, नमक - स्वादानुसार, 1 बड़ा चम्मच धनिया के बीज, 1 बड़ा चम्मच सौंफ, 1 चम्मच सरसों के बीज, 1/2 चम्मच मेथी के "&amp;"बीज (मेथी के बीज), 2 कश्मीरी सूखी लाल मिर्च, 1/4 चम्मच कलौंजी (प्याज निगेला बीज), 1 चम्मच जीरा (जीरा)")</f>
        <v>250 ग्राम पनीर, 2 प्याज - बारीक कटा हुआ, 4 टमाटर, 1 हरी बेल मिर्च (शिमला मिर्च), 4 साबुत काजू, 1 बड़ा चम्मच सरसों का तेल, 1 हरी मिर्च, चुटकी भर हींग, नमक - स्वादानुसार, 1 बड़ा चम्मच धनिया के बीज, 1 बड़ा चम्मच सौंफ, 1 चम्मच सरसों के बीज, 1/2 चम्मच मेथी के बीज (मेथी के बीज), 2 कश्मीरी सूखी लाल मिर्च, 1/4 चम्मच कलौंजी (प्याज निगेला बीज), 1 चम्मच जीरा (जीरा)</v>
      </c>
      <c r="H393" s="1" t="s">
        <v>32565</v>
      </c>
      <c r="I393" s="1" t="str">
        <f ca="1">IFERROR(__xludf.dummyfunction("IF(H393="""", """", GOOGLETRANSLATE(H393, ""en"", ""hi""))"),"अचारी पनीर मसाला रेसिपी बनाने के लिए सबसे पहले काजू को लगभग 15-20 मिनट के लिए गर्म पानी में भिगो दें। मसाले के नीचे दी गई सामग्री जैसे धनिया के बीज, सौंफ के बीज, सरसों के बीज, मेथी के बीज, कश्मीरी सूखी लाल मिर्च, कलौंजी, जीरा को धीमी आंच पर लगभग 5-10 मिनट"&amp;" तक भूनें जब तक कि मसाले अपनी सुगंध न छोड़ दें। उन्हें ठंडा होने दें और मिक्सर ग्राइंडर का उपयोग करके पाउडर बना लें। हरी शिमला मिर्च, काजू और टमाटर को एक साथ पीस लें और एक तरफ रख दें। एक भारी तले की कड़ाही में सरसों के तेल को उसके धुंए निकलने तक गर्म करें"&amp;"। हरी मिर्च, हींग डालें और 10-15 सेकंड के लिए भूनें। 10 से 15 सेकंड के बाद, कटे हुए प्याज डालें और हल्का सुनहरा भूरा होने तक पकाएं। प्याज के भूरा होने पर, पाउडर मसाला डालें और लगभग 15-20 सेकंड के लिए एक साथ भूनें। प्यूरी किए हुए टमाटर और शिमला मिर्च डालें"&amp;" और तब तक पकाएं जब तक कि ग्रेवी गाढ़ी न हो जाए और तेल अलग न हो जाए और किनारों पर तैरने न लगे। इसमें लगभग 5 से 7 मिनट का समय लगेगा। 5 से 7 मिनट के बाद, पनीर डालें और सिर्फ 2 मिनट तक पकाएं जब तक कि अचारी पनीर मसाला ग्रेवी के तापमान तक न आ जाए। एक बार हो जान"&amp;"े पर, नमक और मसाले की जांच करें और स्वाद के अनुसार समायोजित करें। आंच बंद कर दें और अचारी पनीर मसाला को एक सर्विंग बाउल में डालें और गरमागरम परोसें")</f>
        <v>अचारी पनीर मसाला रेसिपी बनाने के लिए सबसे पहले काजू को लगभग 15-20 मिनट के लिए गर्म पानी में भिगो दें। मसाले के नीचे दी गई सामग्री जैसे धनिया के बीज, सौंफ के बीज, सरसों के बीज, मेथी के बीज, कश्मीरी सूखी लाल मिर्च, कलौंजी, जीरा को धीमी आंच पर लगभग 5-10 मिनट तक भूनें जब तक कि मसाले अपनी सुगंध न छोड़ दें। उन्हें ठंडा होने दें और मिक्सर ग्राइंडर का उपयोग करके पाउडर बना लें। हरी शिमला मिर्च, काजू और टमाटर को एक साथ पीस लें और एक तरफ रख दें। एक भारी तले की कड़ाही में सरसों के तेल को उसके धुंए निकलने तक गर्म करें। हरी मिर्च, हींग डालें और 10-15 सेकंड के लिए भूनें। 10 से 15 सेकंड के बाद, कटे हुए प्याज डालें और हल्का सुनहरा भूरा होने तक पकाएं। प्याज के भूरा होने पर, पाउडर मसाला डालें और लगभग 15-20 सेकंड के लिए एक साथ भूनें। प्यूरी किए हुए टमाटर और शिमला मिर्च डालें और तब तक पकाएं जब तक कि ग्रेवी गाढ़ी न हो जाए और तेल अलग न हो जाए और किनारों पर तैरने न लगे। इसमें लगभग 5 से 7 मिनट का समय लगेगा। 5 से 7 मिनट के बाद, पनीर डालें और सिर्फ 2 मिनट तक पकाएं जब तक कि अचारी पनीर मसाला ग्रेवी के तापमान तक न आ जाए। एक बार हो जाने पर, नमक और मसाले की जांच करें और स्वाद के अनुसार समायोजित करें। आंच बंद कर दें और अचारी पनीर मसाला को एक सर्विंग बाउल में डालें और गरमागरम परोसें</v>
      </c>
      <c r="J393" s="3" t="s">
        <v>32566</v>
      </c>
      <c r="L393" s="1" t="s">
        <v>31003</v>
      </c>
    </row>
    <row r="394" spans="1:12" ht="13.8">
      <c r="A394" s="1" t="s">
        <v>32567</v>
      </c>
      <c r="B394" s="1" t="str">
        <f ca="1">IFERROR(__xludf.dummyfunction("IF(A394="""", """", GOOGLETRANSLATE(A394, ""en"", ""hi""))"),"मटर कचौरी रेसिपी")</f>
        <v>मटर कचौरी रेसिपी</v>
      </c>
      <c r="C394" s="1" t="s">
        <v>14281</v>
      </c>
      <c r="D394" s="1" t="s">
        <v>14198</v>
      </c>
      <c r="E394" s="1">
        <v>120</v>
      </c>
      <c r="F394" s="1" t="s">
        <v>32568</v>
      </c>
      <c r="G394" s="1" t="str">
        <f ca="1">IFERROR(__xludf.dummyfunction("IF(F394="""", """", GOOGLETRANSLATE(F394, ""en"", ""hi""))"),"1 कप गेहूं का आटा, 2 बड़े चम्मच घी, 1/4 चम्मच नमक, 1 कप हरी मटर (मटर) - उबले हुए, 2 हरी मिर्च - कटी हुई, 4 लहसुन के दाने - बारीक कटे हुए, 1 इंच अदरक - बारीक कटा हुआ, 1 चम्मच लाल मिर्च पाउडर, 1/2 चम्मच गरम मसाला पाउडर, 1 चम्मच आमचूर (सूखा आम पाउडर), 1/2 चम"&amp;"्मच चाट मसाला पाउडर, 2 चम्मच सौंफ (सौंफ), 1/2 चम्मच कलौंजी (प्याज निगेला बीज), 1/4 चम्मच हल्दी पाउडर (हल्दी), 2 बड़े चम्मच घी, नमक - स्वादानुसार, 2 बड़े चम्मच बेसन, सरसों का तेल - डीप फ्राई करने के लिए")</f>
        <v>1 कप गेहूं का आटा, 2 बड़े चम्मच घी, 1/4 चम्मच नमक, 1 कप हरी मटर (मटर) - उबले हुए, 2 हरी मिर्च - कटी हुई, 4 लहसुन के दाने - बारीक कटे हुए, 1 इंच अदरक - बारीक कटा हुआ, 1 चम्मच लाल मिर्च पाउडर, 1/2 चम्मच गरम मसाला पाउडर, 1 चम्मच आमचूर (सूखा आम पाउडर), 1/2 चम्मच चाट मसाला पाउडर, 2 चम्मच सौंफ (सौंफ), 1/2 चम्मच कलौंजी (प्याज निगेला बीज), 1/4 चम्मच हल्दी पाउडर (हल्दी), 2 बड़े चम्मच घी, नमक - स्वादानुसार, 2 बड़े चम्मच बेसन, सरसों का तेल - डीप फ्राई करने के लिए</v>
      </c>
      <c r="H394" s="1" t="s">
        <v>32569</v>
      </c>
      <c r="I394" s="1" t="str">
        <f ca="1">IFERROR(__xludf.dummyfunction("IF(H394="""", """", GOOGLETRANSLATE(H394, ""en"", ""hi""))"),"मटर कचौरी बनाने के लिए सबसे पहले हम आटा गूंथेंगे। एक मिक्सिंग बाउल में मैदा, घी और नमक डालें। मिलाकर दरदरा मिश्रण तैयार करें। थोड़ा-थोड़ा पानी डालकर नरम चिकना आटा गूंथ लें। कचौरी के आटे को ढककर 15 मिनिट के लिए रख दीजिए। इसे एक तरफ रख दीजिए। मटर कचौरी का भ"&amp;"रावन बनाने के लिए एक ब्लेंडर में हरे मटर, अदरक, लहसुन, हरी मिर्च डालें और दरदरा मिश्रण तैयार करने के लिए पीस लें। एक भारी तले की कड़ाही में एक चम्मच सरसों का तेल गर्म करें, उसमें सौंफ और कलौंजी डालकर दो सेकेंड तक भूनें। मटर कचौरी मिश्रण, मिर्च पाउडर, गरम "&amp;"मसाला, अमचूर पाउडर, चाट मसाला पाउडर, स्वादानुसार नमक डालें और सारी सामग्री अच्छी तरह मिल जाने तक भूनें। हो जाने पर आंच बंद कर दें बीच में कचौरी मिश्रण डालें और किनारों को साथ लाकर गेंद बना लें। एक डिस्क बनाने के लिए नीचे दबाएं और इसी तरह सभी कचौरी बना लें"&amp;"। कचौरी तलने के लिए एक भारी तले वाले पैन में आवश्यक तेल गरम करें। कचौरी डालें और दोनों तरफ से सुनहरा भूरा होने तक तलें। एक बार जब यह हो जाए, तो उन्हें एक रसोई के तौलिये पर निकाल लें ताकि यह अतिरिक्त तेल सोख ले और मटर कचौरी को गर्मागर्म परोसें। इस स्वादिष्"&amp;"ट मटर कचौरी को इमली की चटनी या धनिया पुदीना चटनी और एक गर्म कप मसाला चाय या अपने शाम के नाश्ते के साथ परोसें, पॉटलक के लिए एक भारतीय ऐपेटाइज़र और डिनर पार्टियों के लिए स्टार्टर के रूप में।")</f>
        <v>मटर कचौरी बनाने के लिए सबसे पहले हम आटा गूंथेंगे। एक मिक्सिंग बाउल में मैदा, घी और नमक डालें। मिलाकर दरदरा मिश्रण तैयार करें। थोड़ा-थोड़ा पानी डालकर नरम चिकना आटा गूंथ लें। कचौरी के आटे को ढककर 15 मिनिट के लिए रख दीजिए। इसे एक तरफ रख दीजिए। मटर कचौरी का भरावन बनाने के लिए एक ब्लेंडर में हरे मटर, अदरक, लहसुन, हरी मिर्च डालें और दरदरा मिश्रण तैयार करने के लिए पीस लें। एक भारी तले की कड़ाही में एक चम्मच सरसों का तेल गर्म करें, उसमें सौंफ और कलौंजी डालकर दो सेकेंड तक भूनें। मटर कचौरी मिश्रण, मिर्च पाउडर, गरम मसाला, अमचूर पाउडर, चाट मसाला पाउडर, स्वादानुसार नमक डालें और सारी सामग्री अच्छी तरह मिल जाने तक भूनें। हो जाने पर आंच बंद कर दें बीच में कचौरी मिश्रण डालें और किनारों को साथ लाकर गेंद बना लें। एक डिस्क बनाने के लिए नीचे दबाएं और इसी तरह सभी कचौरी बना लें। कचौरी तलने के लिए एक भारी तले वाले पैन में आवश्यक तेल गरम करें। कचौरी डालें और दोनों तरफ से सुनहरा भूरा होने तक तलें। एक बार जब यह हो जाए, तो उन्हें एक रसोई के तौलिये पर निकाल लें ताकि यह अतिरिक्त तेल सोख ले और मटर कचौरी को गर्मागर्म परोसें। इस स्वादिष्ट मटर कचौरी को इमली की चटनी या धनिया पुदीना चटनी और एक गर्म कप मसाला चाय या अपने शाम के नाश्ते के साथ परोसें, पॉटलक के लिए एक भारतीय ऐपेटाइज़र और डिनर पार्टियों के लिए स्टार्टर के रूप में।</v>
      </c>
      <c r="J394" s="3" t="s">
        <v>32570</v>
      </c>
      <c r="L394" s="1" t="s">
        <v>31003</v>
      </c>
    </row>
    <row r="395" spans="1:12" ht="13.8">
      <c r="A395" s="1" t="s">
        <v>32571</v>
      </c>
      <c r="B395" s="1" t="str">
        <f ca="1">IFERROR(__xludf.dummyfunction("IF(A395="""", """", GOOGLETRANSLATE(A395, ""en"", ""hi""))"),"तंदूरी आलू टिक्का रेसिपी - भारतीय मसालेदार भुना हुआ स्मोक्ड आलू")</f>
        <v>तंदूरी आलू टिक्का रेसिपी - भारतीय मसालेदार भुना हुआ स्मोक्ड आलू</v>
      </c>
      <c r="C395" s="1" t="s">
        <v>14572</v>
      </c>
      <c r="D395" s="1" t="s">
        <v>14198</v>
      </c>
      <c r="E395" s="1">
        <v>60</v>
      </c>
      <c r="F395" s="1" t="s">
        <v>32572</v>
      </c>
      <c r="G395" s="1" t="str">
        <f ca="1">IFERROR(__xludf.dummyfunction("IF(F395="""", """", GOOGLETRANSLATE(F395, ""en"", ""hi""))"),"1 बड़ा चम्मच घी - पकाने के लिए, 300 ग्राम बेबी आलू - उबले और छिलके उतारे हुए, 1/4 कप हंग कर्ड (ग्रीक योगर्ट), 2 बड़े चम्मच बेसन, 1 इंच अदरक - बारीक कटा हुआ, 4 लहसुन के दाने - बारीक कटा हुआ, 1 बड़ा चम्मच कसूरी मेथी (सूखी मेथी के पत्ते), 1/2 चम्मच हल्दी पाउ"&amp;"डर (हल्दी), 1 चम्मच चाट मसाला पाउडर, 1 चम्मच गरम मसाला पाउडर, 1/4 कप पुदीना के पत्ते - बारीक कटे हुए, नमक - स्वादानुसार, 1 कोयला - स्मोक्ड फ्लेवर देने के लिए, 1 चम्मच चाट मसाला पाउडर, 1 चम्मच गरम मसाला पाउडर, 1/4 कप पुदीना के पत्ते - बारीक कटे हुए, नमक - "&amp;"स्वादानुसार, 1 कोयला - स्मोक्ड फ्लेवर देने के लिए")</f>
        <v>1 बड़ा चम्मच घी - पकाने के लिए, 300 ग्राम बेबी आलू - उबले और छिलके उतारे हुए, 1/4 कप हंग कर्ड (ग्रीक योगर्ट), 2 बड़े चम्मच बेसन, 1 इंच अदरक - बारीक कटा हुआ, 4 लहसुन के दाने - बारीक कटा हुआ, 1 बड़ा चम्मच कसूरी मेथी (सूखी मेथी के पत्ते), 1/2 चम्मच हल्दी पाउडर (हल्दी), 1 चम्मच चाट मसाला पाउडर, 1 चम्मच गरम मसाला पाउडर, 1/4 कप पुदीना के पत्ते - बारीक कटे हुए, नमक - स्वादानुसार, 1 कोयला - स्मोक्ड फ्लेवर देने के लिए, 1 चम्मच चाट मसाला पाउडर, 1 चम्मच गरम मसाला पाउडर, 1/4 कप पुदीना के पत्ते - बारीक कटे हुए, नमक - स्वादानुसार, 1 कोयला - स्मोक्ड फ्लेवर देने के लिए</v>
      </c>
      <c r="H395" s="1" t="s">
        <v>32573</v>
      </c>
      <c r="I395" s="1" t="str">
        <f ca="1">IFERROR(__xludf.dummyfunction("IF(H395="""", """", GOOGLETRANSLATE(H395, ""en"", ""hi""))"),"तंदूरी आलू टिक्का रेसिपी बनाने के लिए सभी सामग्री तैयार कर लें। एक बड़े कटोरे में उबले आलू और घी को छोड़कर तंदूरी आलू की सारी सामग्री डालें और अच्छी तरह मिलाएँ। इसमें उबले हुए छोटे आलू डालें और इसे 30 मिनट के लिए मैरीनेट होने दें। एक कड़ाही या कड़ाही में "&amp;"एक बड़ा चम्मच तेल या घी गर्म करें और तंदूरी आलू का मिश्रण डालें। तेज़ आँच पर चार से पाँच मिनट तक भूनें, बीच-बीच में हिलाते रहें और आलू को तब तक भूनें जब तक कि मैरीनेट किया हुआ पदार्थ गाढ़ा न हो जाए और आलू के ऊपर एक परत न बन जाए। आलू/ आलू अच्छी तरह से क्रस"&amp;"्टेड और सुनहरे भूरे रंग के होने चाहिए। एक बार हो जाने पर, नमक और मसाले की जाँच करें और तंदूरी आलू के अपने स्वाद के अनुसार समायोजित करें गैस की आंच पर कोयले का एक बड़ा टुकड़ा रखें और इसे लाल गर्म होने दें। तंदूरी आलू टिक्का पैन के बीच में एक कटोरी रखें, कट"&amp;"ोरी/कप में लाल गर्म कोयला रखें और कोयले के ऊपर थोड़ा सा घी डालें। इससे धुआँ निकलना शुरू हो जाएगा। पैन को ढक दें और तंदूरी आलू टिक्का को धुएँदार स्वाद आने दें। लगभग 30 सेकंड के बाद, कोयले का कप हटा दें और धुएँ से भरा तंदूरी आलू टिक्का तैयार है। तंदूरी आलू "&amp;"टिक्का को लच्छा प्याज़ और हरी चटनी के साथ पार्टियों में ऐपेटाइज़र के रूप में परोसें।")</f>
        <v>तंदूरी आलू टिक्का रेसिपी बनाने के लिए सभी सामग्री तैयार कर लें। एक बड़े कटोरे में उबले आलू और घी को छोड़कर तंदूरी आलू की सारी सामग्री डालें और अच्छी तरह मिलाएँ। इसमें उबले हुए छोटे आलू डालें और इसे 30 मिनट के लिए मैरीनेट होने दें। एक कड़ाही या कड़ाही में एक बड़ा चम्मच तेल या घी गर्म करें और तंदूरी आलू का मिश्रण डालें। तेज़ आँच पर चार से पाँच मिनट तक भूनें, बीच-बीच में हिलाते रहें और आलू को तब तक भूनें जब तक कि मैरीनेट किया हुआ पदार्थ गाढ़ा न हो जाए और आलू के ऊपर एक परत न बन जाए। आलू/ आलू अच्छी तरह से क्रस्टेड और सुनहरे भूरे रंग के होने चाहिए। एक बार हो जाने पर, नमक और मसाले की जाँच करें और तंदूरी आलू के अपने स्वाद के अनुसार समायोजित करें गैस की आंच पर कोयले का एक बड़ा टुकड़ा रखें और इसे लाल गर्म होने दें। तंदूरी आलू टिक्का पैन के बीच में एक कटोरी रखें, कटोरी/कप में लाल गर्म कोयला रखें और कोयले के ऊपर थोड़ा सा घी डालें। इससे धुआँ निकलना शुरू हो जाएगा। पैन को ढक दें और तंदूरी आलू टिक्का को धुएँदार स्वाद आने दें। लगभग 30 सेकंड के बाद, कोयले का कप हटा दें और धुएँ से भरा तंदूरी आलू टिक्का तैयार है। तंदूरी आलू टिक्का को लच्छा प्याज़ और हरी चटनी के साथ पार्टियों में ऐपेटाइज़र के रूप में परोसें।</v>
      </c>
      <c r="J395" s="3" t="s">
        <v>32574</v>
      </c>
      <c r="L395" s="1" t="s">
        <v>31003</v>
      </c>
    </row>
    <row r="396" spans="1:12" ht="13.8">
      <c r="A396" s="1" t="s">
        <v>32575</v>
      </c>
      <c r="B396" s="1" t="str">
        <f ca="1">IFERROR(__xludf.dummyfunction("IF(A396="""", """", GOOGLETRANSLATE(A396, ""en"", ""hi""))"),"केला बेसनी सब्ज़ी रेसिपी")</f>
        <v>केला बेसनी सब्ज़ी रेसिपी</v>
      </c>
      <c r="C396" s="1" t="s">
        <v>145</v>
      </c>
      <c r="D396" s="1" t="s">
        <v>14208</v>
      </c>
      <c r="E396" s="1">
        <v>40</v>
      </c>
      <c r="F396" s="1" t="s">
        <v>32576</v>
      </c>
      <c r="G396" s="1" t="str">
        <f ca="1">IFERROR(__xludf.dummyfunction("IF(F396="""", """", GOOGLETRANSLATE(F396, ""en"", ""hi""))"),"1 कच्चा केला, 1 कप चम्मच बेसन, हींग- चुटकीभर, 1 बड़ा चम्मच जीरा, 1/2 छोटा चम्मच हल्दी पाउडर, 1/2 छोटा चम्मच लाल मिर्च पाउडर, 1 छोटा चम्मच धनिया पाउडर, 1/2 छोटा चम्मच गरम मसाला पाउडर, 1 कप दही, 1/2 कप पानी, नमक- स्वादानुसार, 1 बड़ा चम्मच तेल-, हरा धनिया- क"&amp;"टा हुआ, हरी मिर्च- कटी हुई, तेल- प्रयोगानुसार")</f>
        <v>1 कच्चा केला, 1 कप चम्मच बेसन, हींग- चुटकीभर, 1 बड़ा चम्मच जीरा, 1/2 छोटा चम्मच हल्दी पाउडर, 1/2 छोटा चम्मच लाल मिर्च पाउडर, 1 छोटा चम्मच धनिया पाउडर, 1/2 छोटा चम्मच गरम मसाला पाउडर, 1 कप दही, 1/2 कप पानी, नमक- स्वादानुसार, 1 बड़ा चम्मच तेल-, हरा धनिया- कटा हुआ, हरी मिर्च- कटी हुई, तेल- प्रयोगानुसार</v>
      </c>
      <c r="H396" s="1" t="s">
        <v>32577</v>
      </c>
      <c r="I396" s="1" t="str">
        <f ca="1">IFERROR(__xludf.dummyfunction("IF(H396="""", """", GOOGLETRANSLATE(H396, ""en"", ""hi""))"),"""केलों को अच्छी तरह धोकर छील लें। उन्हें गोल-गोल टुकड़ों में काट लें और पानी में कुछ देर तक उबालें। अब बेसन का घोल तैयार करें। बेसन के घोल के लिए बेसन में थोड़ा सा नमक, चुटकी भर हल्दी और पानी मिलाकर घोल बना लें। अब उबले हुए केलों को पानी से निकाल लें और "&amp;"बेसन के घोल में गूंथकर गरम तेल में तल लें। अब एक पैन में एक बड़ा चम्मच तेल गर्म करें। इसमें हींग और जीरा डालें। सारे मसाले यानी हल्दी, लाल मिर्च और धनिया डालकर भूनें। अब दही और पानी डालकर अच्छी तरह मिलाएँ। तले हुए केले और नमक को तेल में डालकर चलाएँ और ढकक"&amp;"र धीमी आँच पर पकाएँ। 15-20 मिनट बाद जब दही, मसाले और केले अच्छी तरह मिल जाएँ तो गैस बंद कर दें। ऊपर से कटा हरा धनिया और हरी मिर्च और गरम मसाला डालकर गार्निश करें और अगले दिन गरमागरम पराठे या फुल्के के साथ परोसें।""")</f>
        <v>"केलों को अच्छी तरह धोकर छील लें। उन्हें गोल-गोल टुकड़ों में काट लें और पानी में कुछ देर तक उबालें। अब बेसन का घोल तैयार करें। बेसन के घोल के लिए बेसन में थोड़ा सा नमक, चुटकी भर हल्दी और पानी मिलाकर घोल बना लें। अब उबले हुए केलों को पानी से निकाल लें और बेसन के घोल में गूंथकर गरम तेल में तल लें। अब एक पैन में एक बड़ा चम्मच तेल गर्म करें। इसमें हींग और जीरा डालें। सारे मसाले यानी हल्दी, लाल मिर्च और धनिया डालकर भूनें। अब दही और पानी डालकर अच्छी तरह मिलाएँ। तले हुए केले और नमक को तेल में डालकर चलाएँ और ढककर धीमी आँच पर पकाएँ। 15-20 मिनट बाद जब दही, मसाले और केले अच्छी तरह मिल जाएँ तो गैस बंद कर दें। ऊपर से कटा हरा धनिया और हरी मिर्च और गरम मसाला डालकर गार्निश करें और अगले दिन गरमागरम पराठे या फुल्के के साथ परोसें।"</v>
      </c>
      <c r="J396" s="3" t="s">
        <v>32578</v>
      </c>
      <c r="L396" s="1" t="s">
        <v>31003</v>
      </c>
    </row>
    <row r="397" spans="1:12" ht="13.8">
      <c r="A397" s="1" t="s">
        <v>32579</v>
      </c>
      <c r="B397" s="1" t="str">
        <f ca="1">IFERROR(__xludf.dummyfunction("IF(A397="""", """", GOOGLETRANSLATE(A397, ""en"", ""hi""))"),"हरी चटनी आलू चाट रेसिपी")</f>
        <v>हरी चटनी आलू चाट रेसिपी</v>
      </c>
      <c r="C397" s="1" t="s">
        <v>14281</v>
      </c>
      <c r="D397" s="1" t="s">
        <v>14198</v>
      </c>
      <c r="E397" s="1">
        <v>30</v>
      </c>
      <c r="F397" s="1" t="s">
        <v>32580</v>
      </c>
      <c r="G397" s="1" t="str">
        <f ca="1">IFERROR(__xludf.dummyfunction("IF(F397="""", """", GOOGLETRANSLATE(F397, ""en"", ""hi""))"),"4 आलू - उबले हुए, 1/2 कप धनिया पत्ती, 1/2 कप पुदीना पत्ती, 4 हरी मिर्च, 1/2 इंच अदरक - कटा हुआ, 1 नींबू - रस निकाला हुआ, 1 बड़ा चम्मच मूंगफली, चीनी - एक चुटकी, नमक - स्वादानुसार, 1 चम्मच जीरा, 1/2 चम्मच गरम मसाला पाउडर, 1/2 चम्मच जीरा पाउडर, ताजे अनार के "&amp;"फल की गिरी - गार्निश के लिए, सेव - गार्निश के लिए, चाट मसाला पाउडर, सूरजमुखी तेल - पकाने के लिए")</f>
        <v>4 आलू - उबले हुए, 1/2 कप धनिया पत्ती, 1/2 कप पुदीना पत्ती, 4 हरी मिर्च, 1/2 इंच अदरक - कटा हुआ, 1 नींबू - रस निकाला हुआ, 1 बड़ा चम्मच मूंगफली, चीनी - एक चुटकी, नमक - स्वादानुसार, 1 चम्मच जीरा, 1/2 चम्मच गरम मसाला पाउडर, 1/2 चम्मच जीरा पाउडर, ताजे अनार के फल की गिरी - गार्निश के लिए, सेव - गार्निश के लिए, चाट मसाला पाउडर, सूरजमुखी तेल - पकाने के लिए</v>
      </c>
      <c r="H397" s="1" t="s">
        <v>32581</v>
      </c>
      <c r="I397" s="1" t="str">
        <f ca="1">IFERROR(__xludf.dummyfunction("IF(H397="""", """", GOOGLETRANSLATE(H397, ""en"", ""hi""))"),"हरी चटनी आलू चाट रेसिपी बनाने के लिए सबसे पहले आलू को धोकर एक प्रेशर कुकर में पर्याप्त पानी के साथ डालकर ढक्कन लगा दें। प्रेशर कुकर को आंच पर रखें और आलू को तीन सीटी आने तक पकाएं। आंच बंद कर दें और प्रेशर को अपने आप निकलने दें। प्रेशर निकलने के बाद पानी न"&amp;"िकाल दें और आलू को ठंडा होने दें। ठंडा होने पर आलू को छील लें और आलू को बराबर टुकड़ों में काट कर अलग रख दें। जब तक आलू के ठंडा होने का इंतजार करेंगे, हम हरी चटनी बनाएंगे। हरी चटनी के लिए नीचे दी गई सभी सामग्री - धनिया पत्ती, पुदीना पत्ती, अदरक, हरी मिर्च,"&amp;" नमक, चीनी, नींबू और मूंगफली को मिक्सर ग्राइंडर में डालें, थोड़ा पानी डालें और हरी चटनी को चिकना होने तक पीस लें। अब हम आलू को पैन में तलेंगे। एक पैन गरम करें और उसमें थोड़ा तेल जीरा पाउडर, गरम मसाला पाउडर डालें और अच्छी तरह मिलाएँ। आँच बंद कर दें। जब आलू"&amp;" थोड़ा ठंडा हो जाए, तो हरी चटनी को आलू के साथ मिलाएँ और सभी आलू के टुकड़ों को हरी चटनी से अच्छी तरह कोट करें। चाट मसाला छिड़कें और मिलाएँ। हरी चटनी आलू चाट को सर्विंग बाउल में डालें। अनार के दानों और सेव से गार्निश करें और सर्व करें। आप चाहें तो हरी चटनी "&amp;"आलू चाट में थोड़ा नींबू का रस भी मिला सकते हैं। अपनी अगली चाट पार्टी के लिए हरी चटनी आलू चाट रेसिपी को राजमा कटलेट (किडनी बीन्स पैटीज़), दही भल्ला पापड़ी चाट और मसाला सोडा शिकंजी के साथ परोसें।")</f>
        <v>हरी चटनी आलू चाट रेसिपी बनाने के लिए सबसे पहले आलू को धोकर एक प्रेशर कुकर में पर्याप्त पानी के साथ डालकर ढक्कन लगा दें। प्रेशर कुकर को आंच पर रखें और आलू को तीन सीटी आने तक पकाएं। आंच बंद कर दें और प्रेशर को अपने आप निकलने दें। प्रेशर निकलने के बाद पानी निकाल दें और आलू को ठंडा होने दें। ठंडा होने पर आलू को छील लें और आलू को बराबर टुकड़ों में काट कर अलग रख दें। जब तक आलू के ठंडा होने का इंतजार करेंगे, हम हरी चटनी बनाएंगे। हरी चटनी के लिए नीचे दी गई सभी सामग्री - धनिया पत्ती, पुदीना पत्ती, अदरक, हरी मिर्च, नमक, चीनी, नींबू और मूंगफली को मिक्सर ग्राइंडर में डालें, थोड़ा पानी डालें और हरी चटनी को चिकना होने तक पीस लें। अब हम आलू को पैन में तलेंगे। एक पैन गरम करें और उसमें थोड़ा तेल जीरा पाउडर, गरम मसाला पाउडर डालें और अच्छी तरह मिलाएँ। आँच बंद कर दें। जब आलू थोड़ा ठंडा हो जाए, तो हरी चटनी को आलू के साथ मिलाएँ और सभी आलू के टुकड़ों को हरी चटनी से अच्छी तरह कोट करें। चाट मसाला छिड़कें और मिलाएँ। हरी चटनी आलू चाट को सर्विंग बाउल में डालें। अनार के दानों और सेव से गार्निश करें और सर्व करें। आप चाहें तो हरी चटनी आलू चाट में थोड़ा नींबू का रस भी मिला सकते हैं। अपनी अगली चाट पार्टी के लिए हरी चटनी आलू चाट रेसिपी को राजमा कटलेट (किडनी बीन्स पैटीज़), दही भल्ला पापड़ी चाट और मसाला सोडा शिकंजी के साथ परोसें।</v>
      </c>
      <c r="J397" s="3" t="s">
        <v>32582</v>
      </c>
      <c r="L397" s="1" t="s">
        <v>31003</v>
      </c>
    </row>
    <row r="398" spans="1:12" ht="13.8">
      <c r="A398" s="1" t="s">
        <v>32583</v>
      </c>
      <c r="B398" s="1" t="str">
        <f ca="1">IFERROR(__xludf.dummyfunction("IF(A398="""", """", GOOGLETRANSLATE(A398, ""en"", ""hi""))"),"रेस्टोरेंट स्टाइल हरी मटर मसाला रेसिपी")</f>
        <v>रेस्टोरेंट स्टाइल हरी मटर मसाला रेसिपी</v>
      </c>
      <c r="C398" s="1" t="s">
        <v>14259</v>
      </c>
      <c r="D398" s="1" t="s">
        <v>14198</v>
      </c>
      <c r="E398" s="1">
        <v>50</v>
      </c>
      <c r="F398" s="1" t="s">
        <v>32584</v>
      </c>
      <c r="G398" s="1" t="str">
        <f ca="1">IFERROR(__xludf.dummyfunction("IF(F398="""", """", GOOGLETRANSLATE(F398, ""en"", ""hi""))"),"1 कप हरी मटर, 3 प्याज - पेस्ट में पीसे हुए, 5 लहसुन के दाने - बारीक कटा हुआ, 2 हरी मिर्च, 1-1/2 चम्मच अदरक - बारीक कटा हुआ, 2 टमाटर - प्यूरी किए हुए, 1/2 चम्मच लाल मिर्च पाउडर, 1 चम्मच धनिया पाउडर, 1 चम्मच जीरा, 1 चम्मच हल्दी, 1/2 चम्मच गरम मसाला पाउडर, न"&amp;"मक - स्वादानुसार, 1/2 चम्मच चीनी, धनिया के पत्ते - बारीक कटे हुए, 6 काजू, 2 बड़े चम्मच दही, 1/2 इंच दालचीनी, 2 इलायची के दाने, 2 लौंग, 1 तेज पत्ता, 2 बड़े चम्मच सूरजमुखी का तेल, 1 बड़ा चम्मच मक्खन")</f>
        <v>1 कप हरी मटर, 3 प्याज - पेस्ट में पीसे हुए, 5 लहसुन के दाने - बारीक कटा हुआ, 2 हरी मिर्च, 1-1/2 चम्मच अदरक - बारीक कटा हुआ, 2 टमाटर - प्यूरी किए हुए, 1/2 चम्मच लाल मिर्च पाउडर, 1 चम्मच धनिया पाउडर, 1 चम्मच जीरा, 1 चम्मच हल्दी, 1/2 चम्मच गरम मसाला पाउडर, नमक - स्वादानुसार, 1/2 चम्मच चीनी, धनिया के पत्ते - बारीक कटे हुए, 6 काजू, 2 बड़े चम्मच दही, 1/2 इंच दालचीनी, 2 इलायची के दाने, 2 लौंग, 1 तेज पत्ता, 2 बड़े चम्मच सूरजमुखी का तेल, 1 बड़ा चम्मच मक्खन</v>
      </c>
      <c r="H398" s="1" t="s">
        <v>32585</v>
      </c>
      <c r="I398" s="1" t="str">
        <f ca="1">IFERROR(__xludf.dummyfunction("IF(H398="""", """", GOOGLETRANSLATE(H398, ""en"", ""hi""))"),"रेस्टोरेंट स्टाइल हरी मटर मसाला बनाने के लिए सबसे पहले हमें मटर को पकाना होगा। हरी मटर को 2 बड़े चम्मच पानी के साथ 1 सीटी आने तक पका लें। कुकर का प्रेशर तुरंत छोड़ दें। पकी हुई मटर को एक तरफ रख दें। इस बीच काजू को 15 मिनट के लिए गर्म पानी में भिगो दें। का"&amp;"जू के नरम हो जाने पर इन्हें मिक्सर में डालें और दही के साथ पीसकर मुलायम पेस्ट बना लें। एक भारी तले की कड़ाही में मध्यम आंच पर तेल गर्म करें। तेल गर्म हो जाने पर आंच धीमी कर दें, इसमें तेज पत्ता, दालचीनी, इलायची और लौंग डालें। जब मसालों की खुशबू हवा में फै"&amp;"लने लगे तो इसमें कटा हुआ लहसुन और अदरक डालें और कच्ची महक जाने तक भूनें। इसमें एक या दो मिनट का समय लगेगा। फिर हल्दी पाउडर, जीरा पाउडर, धनिया पाउडर, गरम मसाला पाउडर, लाल मिर्च पाउडर और स्वादानुसार नमक सहित सभी सूखे मसाले पाउडर डालें। इन्हें अच्छी तरह मिला"&amp;"एँ और मसाले को जलने से बचाने के लिए मिश्रण में 2 बड़े चम्मच पानी डालें। मसाले अच्छी तरह पक जाने के बाद, अपनी पसंद की आवश्यक स्थिरता प्राप्त करने के लिए आवश्यक पानी डालें। 3 से 4 मिनट तक उबालें। इसके बाद, काजू-दही का मिश्रण (पेस्ट) डालें और सामग्री के उचित"&amp;" मिश्रण के लिए लगातार हिलाएँ। अब, पके हुए मटर डालें और हरी मटर मसाला को 5 मिनट तक धीमी आँच पर पकने दें। अंत में, गैस बंद कर दें और ऊपर से मक्खन और कटी हुई धनिया पत्ती डालें। अपने रोज़मर्रा के खाने के लिए रेस्टोरेंट स्टाइल हरी मटर मसाला को फुल्के या तवा पर"&amp;"ाठे के साथ फूलगोभी और खीरे के रायते के साथ परोसें।")</f>
        <v>रेस्टोरेंट स्टाइल हरी मटर मसाला बनाने के लिए सबसे पहले हमें मटर को पकाना होगा। हरी मटर को 2 बड़े चम्मच पानी के साथ 1 सीटी आने तक पका लें। कुकर का प्रेशर तुरंत छोड़ दें। पकी हुई मटर को एक तरफ रख दें। इस बीच काजू को 15 मिनट के लिए गर्म पानी में भिगो दें। काजू के नरम हो जाने पर इन्हें मिक्सर में डालें और दही के साथ पीसकर मुलायम पेस्ट बना लें। एक भारी तले की कड़ाही में मध्यम आंच पर तेल गर्म करें। तेल गर्म हो जाने पर आंच धीमी कर दें, इसमें तेज पत्ता, दालचीनी, इलायची और लौंग डालें। जब मसालों की खुशबू हवा में फैलने लगे तो इसमें कटा हुआ लहसुन और अदरक डालें और कच्ची महक जाने तक भूनें। इसमें एक या दो मिनट का समय लगेगा। फिर हल्दी पाउडर, जीरा पाउडर, धनिया पाउडर, गरम मसाला पाउडर, लाल मिर्च पाउडर और स्वादानुसार नमक सहित सभी सूखे मसाले पाउडर डालें। इन्हें अच्छी तरह मिलाएँ और मसाले को जलने से बचाने के लिए मिश्रण में 2 बड़े चम्मच पानी डालें। मसाले अच्छी तरह पक जाने के बाद, अपनी पसंद की आवश्यक स्थिरता प्राप्त करने के लिए आवश्यक पानी डालें। 3 से 4 मिनट तक उबालें। इसके बाद, काजू-दही का मिश्रण (पेस्ट) डालें और सामग्री के उचित मिश्रण के लिए लगातार हिलाएँ। अब, पके हुए मटर डालें और हरी मटर मसाला को 5 मिनट तक धीमी आँच पर पकने दें। अंत में, गैस बंद कर दें और ऊपर से मक्खन और कटी हुई धनिया पत्ती डालें। अपने रोज़मर्रा के खाने के लिए रेस्टोरेंट स्टाइल हरी मटर मसाला को फुल्के या तवा पराठे के साथ फूलगोभी और खीरे के रायते के साथ परोसें।</v>
      </c>
      <c r="J398" s="3" t="s">
        <v>32586</v>
      </c>
      <c r="L398" s="1" t="s">
        <v>31003</v>
      </c>
    </row>
    <row r="399" spans="1:12" ht="13.8">
      <c r="A399" s="1" t="s">
        <v>32587</v>
      </c>
      <c r="B399" s="1" t="str">
        <f ca="1">IFERROR(__xludf.dummyfunction("IF(A399="""", """", GOOGLETRANSLATE(A399, ""en"", ""hi""))"),"ढाबा स्टाइल दाल फ्राई")</f>
        <v>ढाबा स्टाइल दाल फ्राई</v>
      </c>
      <c r="C399" s="1" t="s">
        <v>145</v>
      </c>
      <c r="D399" s="1" t="s">
        <v>14198</v>
      </c>
      <c r="E399" s="1">
        <v>30</v>
      </c>
      <c r="F399" s="1" t="s">
        <v>32588</v>
      </c>
      <c r="G399" s="1" t="str">
        <f ca="1">IFERROR(__xludf.dummyfunction("IF(F399="""", """", GOOGLETRANSLATE(F399, ""en"", ""hi""))"),"घी - प्रयोगानुसार, 1 छोटा चम्मच हींग, 1 छोटा चम्मच जीरा, 1 छोटा चम्मच राई, 1 तेज पत्ता - टुटा हुआ, 3 हरी मिर्च - नमक के साथ, 4 लौंग, 1 बड़ी इलायची, 1 चक्र फूल, 2 इलायची, 2 प्याज - पतले कटे हुए, 1 टमाटर - बारीक कटा हुआ, 1-1/2 बड़ा चम्मच अदरक लहसुन पेस्ट, 1"&amp;" छोटा चम्मच लाल मिर्च पाउडर, 1 छोटा चम्मच धनिया पाउडर, 3 छोटे चम्मच हरी मिर्च, 1 टहनी धनिया - बारीक कटा हुआ, 2 बड़े चम्मच अरहर दाल, 2 बड़े चम्मच चना दाल, 2 बड़े चम्मच मसूर दाल, 2 बड़े चम्मच सफेद उड़द दाल (विभाजित), 2 बड़े चम्मच पीली मूंग दाल, पानी - प्रयो"&amp;"गानुसार, नमक - स्वादानुसार, 1-1/2 हल्दी पाउडर")</f>
        <v>घी - प्रयोगानुसार, 1 छोटा चम्मच हींग, 1 छोटा चम्मच जीरा, 1 छोटा चम्मच राई, 1 तेज पत्ता - टुटा हुआ, 3 हरी मिर्च - नमक के साथ, 4 लौंग, 1 बड़ी इलायची, 1 चक्र फूल, 2 इलायची, 2 प्याज - पतले कटे हुए, 1 टमाटर - बारीक कटा हुआ, 1-1/2 बड़ा चम्मच अदरक लहसुन पेस्ट, 1 छोटा चम्मच लाल मिर्च पाउडर, 1 छोटा चम्मच धनिया पाउडर, 3 छोटे चम्मच हरी मिर्च, 1 टहनी धनिया - बारीक कटा हुआ, 2 बड़े चम्मच अरहर दाल, 2 बड़े चम्मच चना दाल, 2 बड़े चम्मच मसूर दाल, 2 बड़े चम्मच सफेद उड़द दाल (विभाजित), 2 बड़े चम्मच पीली मूंग दाल, पानी - प्रयोगानुसार, नमक - स्वादानुसार, 1-1/2 हल्दी पाउडर</v>
      </c>
      <c r="H399" s="1" t="s">
        <v>32589</v>
      </c>
      <c r="I399" s="1" t="str">
        <f ca="1">IFERROR(__xludf.dummyfunction("IF(H399="""", """", GOOGLETRANSLATE(H399, ""en"", ""hi""))"),"""ढाबा स्टाइल दाल फ्राई बनाने के लिए सबसे पहले सभी दालों को उबाल लें। दालों को प्रेशर कुकर में डालें और उसमें 1/2 चम्मच हल्दी पाउडर और नमक डालें। दालों को 3 सीटी आने तक पकाएं। प्रेशर निकल जाने पर कुकर खोलें और दालों को मिला लें। एक तरफ रख दें। एक पैन में "&amp;"तेल गर्म करें। उसमें हींग, जीरा, राई डालें और 10 सेकंड तक पकने दें। 10 सेकंड बाद उसमें करी पत्ता, बड़ी इलायची, इलायची, चक्र फूल, लौंग और हरी मिर्च नमक के साथ डालें। इसे 30 सेकंड तक पकने दें और फिर हरी मिर्च और अदरक लहसुन का पेस्ट डालें। इसे 1 मिनट तक पकने"&amp;" दें। 1 मिनट बाद उसमें प्याज डालें और भूरा होने तक पकाएं। भूरा होने के बाद उसमें टमाटर, हल्दी पाउडर, लाल मिर्च पाउडर, धनिया पाउडर और नमक डालें। थोड़ा पानी डालें और 5 से 8 मिनट तक पकाएं। मसाला अच्छी तरह पक जाने के बाद उसमें पकी हुई दाल डालें। 8 से 10 मिनट "&amp;"तक पकाएं। इसे ठंडा होने दें, गैस बंद कर दें और धनिया से गार्निश करें पत्ते। ढाबा स्टाइल दाल फ्राई को सेव टमाटर सब्ज़ी और फुल्के के साथ रात के खाने के लिए परोसें।")</f>
        <v>"ढाबा स्टाइल दाल फ्राई बनाने के लिए सबसे पहले सभी दालों को उबाल लें। दालों को प्रेशर कुकर में डालें और उसमें 1/2 चम्मच हल्दी पाउडर और नमक डालें। दालों को 3 सीटी आने तक पकाएं। प्रेशर निकल जाने पर कुकर खोलें और दालों को मिला लें। एक तरफ रख दें। एक पैन में तेल गर्म करें। उसमें हींग, जीरा, राई डालें और 10 सेकंड तक पकने दें। 10 सेकंड बाद उसमें करी पत्ता, बड़ी इलायची, इलायची, चक्र फूल, लौंग और हरी मिर्च नमक के साथ डालें। इसे 30 सेकंड तक पकने दें और फिर हरी मिर्च और अदरक लहसुन का पेस्ट डालें। इसे 1 मिनट तक पकने दें। 1 मिनट बाद उसमें प्याज डालें और भूरा होने तक पकाएं। भूरा होने के बाद उसमें टमाटर, हल्दी पाउडर, लाल मिर्च पाउडर, धनिया पाउडर और नमक डालें। थोड़ा पानी डालें और 5 से 8 मिनट तक पकाएं। मसाला अच्छी तरह पक जाने के बाद उसमें पकी हुई दाल डालें। 8 से 10 मिनट तक पकाएं। इसे ठंडा होने दें, गैस बंद कर दें और धनिया से गार्निश करें पत्ते। ढाबा स्टाइल दाल फ्राई को सेव टमाटर सब्ज़ी और फुल्के के साथ रात के खाने के लिए परोसें।</v>
      </c>
      <c r="J399" s="3" t="s">
        <v>32590</v>
      </c>
      <c r="L399" s="1" t="s">
        <v>31003</v>
      </c>
    </row>
    <row r="400" spans="1:12" ht="13.8">
      <c r="A400" s="1" t="s">
        <v>32591</v>
      </c>
      <c r="B400" s="1" t="str">
        <f ca="1">IFERROR(__xludf.dummyfunction("IF(A400="""", """", GOOGLETRANSLATE(A400, ""en"", ""hi""))"),"अचारी लच्छा पराठा रेसिपी-मसालेदार भारतीय स्टाइल परतदार ब्रेड")</f>
        <v>अचारी लच्छा पराठा रेसिपी-मसालेदार भारतीय स्टाइल परतदार ब्रेड</v>
      </c>
      <c r="C400" s="1" t="s">
        <v>14259</v>
      </c>
      <c r="D400" s="1" t="s">
        <v>14198</v>
      </c>
      <c r="E400" s="1">
        <v>25</v>
      </c>
      <c r="F400" s="1" t="s">
        <v>32592</v>
      </c>
      <c r="G400" s="1" t="str">
        <f ca="1">IFERROR(__xludf.dummyfunction("IF(F400="""", """", GOOGLETRANSLATE(F400, ""en"", ""hi""))"),"1 कप गेहूं का आटा, 1 चम्मच नमक, 1 बड़ा चम्मच सूरजमुखी तेल, पानी - आटा गूंधने के लिए, 1/2 कप पंजाबी स्टाइल आम का अचार, घी - पराठे सेकने के लिए")</f>
        <v>1 कप गेहूं का आटा, 1 चम्मच नमक, 1 बड़ा चम्मच सूरजमुखी तेल, पानी - आटा गूंधने के लिए, 1/2 कप पंजाबी स्टाइल आम का अचार, घी - पराठे सेकने के लिए</v>
      </c>
      <c r="H400" s="1" t="s">
        <v>32593</v>
      </c>
      <c r="I400" s="1" t="str">
        <f ca="1">IFERROR(__xludf.dummyfunction("IF(H400="""", """", GOOGLETRANSLATE(H400, ""en"", ""hi""))"),"अचारी लच्छा पराठा बनाने के लिए सबसे पहले हम आटा गूंथेंगे। एक बड़े कटोरे में गेहूं का आटा, नमक डालें और अच्छी तरह मिलाएँ। एक बड़ा चम्मच तेल डालें और इसे आटे में तब तक मलें जब तक कि मोटे टुकड़े न दिखने लगें। थोड़ा-थोड़ा पानी डालते हुए अच्छी तरह गूंथ कर चिकन"&amp;"ा और मुलायम पराठा आटा गूंथ लें। आटे को ढककर 10 मिनट के लिए रख दें। 10 मिनट के बाद, फिर से एक मिनट के लिए गूंथ लें जब तक कि पराठा आटा नरम और लचीला न हो जाए। आटे को बराबर भागों में बाँट लें। मध्यम आँच पर एक तवा गरम करें। अगर आप कच्चे लोहे की कड़ाही का उपयोग"&amp;" कर रहे हैं, तो तवे को अच्छी तरह चिकना करें और इसे पहले से गरम होने दें। आटा गूंथते समय छिड़कने के लिए थोड़ा आटा अलग रख दें। प्रत्येक आटे के हिस्से को गोल बॉल का आकार दें, इसे अपने हाथों की हथेलियों के बीच दबाएं अचार से मिला यह आटा और तेल लच्छा पराठे को प"&amp;"रतों में विभाजित करने में मदद करेगा। लच्छा पराठे के आटे को साड़ी की तह की तरह मोड़ना शुरू करें। बेले हुए आटे के एक छोर से शुरू करें और अंत तक पहुँचें। मूल रूप से, इसे अपनी ओर की तरफ से शुरू करते हुए मोड़ें और दूर ले जाएं जिस तरह से आप एक हाथ के पंखे को मो"&amp;"ड़ते हैं। एक छोटी परत को दूसरे के ऊपर मोड़ना और इसी तरह। आटे को अनिवार्य रूप से एक तह का आकार दिया गया है। एक बार जब आप सभी तहों को एक के ऊपर एक रख देते हैं, तो इसे स्विस रोल की तरह एक तंग सर्कल में रोल करना शुरू करें। अपने हाथों की हथेली के बीच प्लीटेड स"&amp;"्विस रोल को चपटा करें, आटे में धूल करें और 4 से 5 इंच व्यास के सर्कल में रोल करें। आप परतों को बहुत स्पष्ट रूप से देख पाएंगे। पहले से गरम किए हुए तवे पर बेले हुए परतदार अचारी लच्छा पराठे को रखें। मध्यम आंच पर दोनों तरफ से कुछ सेकंड के लिए पकाएं, फिर घी लग"&amp;"ाएं और सुनहरा भूरा होने तक और पूरी तरह से पकने तक पकाएं। पराठे के आटे के बाकी हिस्सों के साथ भी यही प्रक्रिया अपनाएं। अचारी लच्छा पराठा को मलाईदार दाल मखनी रेसिपी और मसाला छाछ रेसिपी (भारतीय मसालेदार छाछ) के साथ रविवार के लंच के लिए परोसें।")</f>
        <v>अचारी लच्छा पराठा बनाने के लिए सबसे पहले हम आटा गूंथेंगे। एक बड़े कटोरे में गेहूं का आटा, नमक डालें और अच्छी तरह मिलाएँ। एक बड़ा चम्मच तेल डालें और इसे आटे में तब तक मलें जब तक कि मोटे टुकड़े न दिखने लगें। थोड़ा-थोड़ा पानी डालते हुए अच्छी तरह गूंथ कर चिकना और मुलायम पराठा आटा गूंथ लें। आटे को ढककर 10 मिनट के लिए रख दें। 10 मिनट के बाद, फिर से एक मिनट के लिए गूंथ लें जब तक कि पराठा आटा नरम और लचीला न हो जाए। आटे को बराबर भागों में बाँट लें। मध्यम आँच पर एक तवा गरम करें। अगर आप कच्चे लोहे की कड़ाही का उपयोग कर रहे हैं, तो तवे को अच्छी तरह चिकना करें और इसे पहले से गरम होने दें। आटा गूंथते समय छिड़कने के लिए थोड़ा आटा अलग रख दें। प्रत्येक आटे के हिस्से को गोल बॉल का आकार दें, इसे अपने हाथों की हथेलियों के बीच दबाएं अचार से मिला यह आटा और तेल लच्छा पराठे को परतों में विभाजित करने में मदद करेगा। लच्छा पराठे के आटे को साड़ी की तह की तरह मोड़ना शुरू करें। बेले हुए आटे के एक छोर से शुरू करें और अंत तक पहुँचें। मूल रूप से, इसे अपनी ओर की तरफ से शुरू करते हुए मोड़ें और दूर ले जाएं जिस तरह से आप एक हाथ के पंखे को मोड़ते हैं। एक छोटी परत को दूसरे के ऊपर मोड़ना और इसी तरह। आटे को अनिवार्य रूप से एक तह का आकार दिया गया है। एक बार जब आप सभी तहों को एक के ऊपर एक रख देते हैं, तो इसे स्विस रोल की तरह एक तंग सर्कल में रोल करना शुरू करें। अपने हाथों की हथेली के बीच प्लीटेड स्विस रोल को चपटा करें, आटे में धूल करें और 4 से 5 इंच व्यास के सर्कल में रोल करें। आप परतों को बहुत स्पष्ट रूप से देख पाएंगे। पहले से गरम किए हुए तवे पर बेले हुए परतदार अचारी लच्छा पराठे को रखें। मध्यम आंच पर दोनों तरफ से कुछ सेकंड के लिए पकाएं, फिर घी लगाएं और सुनहरा भूरा होने तक और पूरी तरह से पकने तक पकाएं। पराठे के आटे के बाकी हिस्सों के साथ भी यही प्रक्रिया अपनाएं। अचारी लच्छा पराठा को मलाईदार दाल मखनी रेसिपी और मसाला छाछ रेसिपी (भारतीय मसालेदार छाछ) के साथ रविवार के लंच के लिए परोसें।</v>
      </c>
      <c r="J400" s="3" t="s">
        <v>32594</v>
      </c>
      <c r="L400" s="1" t="s">
        <v>31003</v>
      </c>
    </row>
    <row r="401" spans="1:12" ht="13.8">
      <c r="A401" s="1" t="s">
        <v>32595</v>
      </c>
      <c r="B401" s="1" t="str">
        <f ca="1">IFERROR(__xludf.dummyfunction("IF(A401="""", """", GOOGLETRANSLATE(A401, ""en"", ""hi""))"),"मुल्तानी काली अरबी रेसिपी (अरबी ग्रेवी स्टाइल)")</f>
        <v>मुल्तानी काली अरबी रेसिपी (अरबी ग्रेवी स्टाइल)</v>
      </c>
      <c r="C401" s="1" t="s">
        <v>145</v>
      </c>
      <c r="D401" s="1" t="s">
        <v>14198</v>
      </c>
      <c r="E401" s="1">
        <v>40</v>
      </c>
      <c r="F401" s="1" t="s">
        <v>32596</v>
      </c>
      <c r="G401" s="1" t="str">
        <f ca="1">IFERROR(__xludf.dummyfunction("IF(F401="""", """", GOOGLETRANSLATE(F401, ""en"", ""hi""))"),"500 ग्राम अरबी, सूरजमुखी तेल - आवश्यकतानुसार, नमक - स्वादानुसार, 1/4 चम्मच लाल मिर्च पाउडर, 3 टहनियाँ धनिया पत्ती - कटी हुई")</f>
        <v>500 ग्राम अरबी, सूरजमुखी तेल - आवश्यकतानुसार, नमक - स्वादानुसार, 1/4 चम्मच लाल मिर्च पाउडर, 3 टहनियाँ धनिया पत्ती - कटी हुई</v>
      </c>
      <c r="H401" s="1" t="s">
        <v>32597</v>
      </c>
      <c r="I401" s="1" t="str">
        <f ca="1">IFERROR(__xludf.dummyfunction("IF(H401="""", """", GOOGLETRANSLATE(H401, ""en"", ""hi""))"),"मुल्तानी काली अरबी बनाने के लिए अरबी को धोकर छील लें। 2 या 3 बार धोकर सुनिश्चित करें कि गंदगी पूरी तरह से निकल गई है। अरबी को छीलकर गोल आकार में पतले-पतले टुकड़े काट लें। कढ़ाई में तेल गर्म करें। अरबी डालकर तेज़ आँच पर भूरा होने तक पकाएँ। मिर्च पाउडर, नमक"&amp;" डालें और अच्छी तरह मिलाएँ। 3-4 कप पानी डालें और उबलने दें। जब पानी उबलने लगे, तो आँच धीमी कर दें और मध्यम आँच पर लगभग 20 मिनट तक पकाएँ जब तक कि अरबी नरम न हो जाए। इस समय तक, आधा पानी सोख लिया गया होगा। अब तक अरबी का रंग भूरा हो गया होगा। अगर करी बहुत गाढ"&amp;"़ी है, तो आवश्यक मात्रा में पानी डालें और तेज़ आँच पर उबालें। जब आवश्यक गाढ़ापन आ जाए, तो चूल्हे को बंद कर दें और करी को लगभग 25 मिनट तक कढ़ाई में ही रहने दें। करी का रंग बैंगनी हो गया होगा। इसे धनिया से गार्निश करें और यह परोसने के लिए तैयार है। मुल्तानी"&amp;" काली अरबी रेसिपी को गर्म फुल्के या उबले हुए चावल के साथ सप्ताह के दिनों में परोसें।")</f>
        <v>मुल्तानी काली अरबी बनाने के लिए अरबी को धोकर छील लें। 2 या 3 बार धोकर सुनिश्चित करें कि गंदगी पूरी तरह से निकल गई है। अरबी को छीलकर गोल आकार में पतले-पतले टुकड़े काट लें। कढ़ाई में तेल गर्म करें। अरबी डालकर तेज़ आँच पर भूरा होने तक पकाएँ। मिर्च पाउडर, नमक डालें और अच्छी तरह मिलाएँ। 3-4 कप पानी डालें और उबलने दें। जब पानी उबलने लगे, तो आँच धीमी कर दें और मध्यम आँच पर लगभग 20 मिनट तक पकाएँ जब तक कि अरबी नरम न हो जाए। इस समय तक, आधा पानी सोख लिया गया होगा। अब तक अरबी का रंग भूरा हो गया होगा। अगर करी बहुत गाढ़ी है, तो आवश्यक मात्रा में पानी डालें और तेज़ आँच पर उबालें। जब आवश्यक गाढ़ापन आ जाए, तो चूल्हे को बंद कर दें और करी को लगभग 25 मिनट तक कढ़ाई में ही रहने दें। करी का रंग बैंगनी हो गया होगा। इसे धनिया से गार्निश करें और यह परोसने के लिए तैयार है। मुल्तानी काली अरबी रेसिपी को गर्म फुल्के या उबले हुए चावल के साथ सप्ताह के दिनों में परोसें।</v>
      </c>
      <c r="J401" s="3" t="s">
        <v>32598</v>
      </c>
      <c r="L401" s="1" t="s">
        <v>31003</v>
      </c>
    </row>
    <row r="402" spans="1:12" ht="13.8">
      <c r="A402" s="1" t="s">
        <v>32599</v>
      </c>
      <c r="B402" s="1" t="str">
        <f ca="1">IFERROR(__xludf.dummyfunction("IF(A402="""", """", GOOGLETRANSLATE(A402, ""en"", ""hi""))"),"जीरा आलू सब्ज़ी")</f>
        <v>जीरा आलू सब्ज़ी</v>
      </c>
      <c r="C402" s="1" t="s">
        <v>145</v>
      </c>
      <c r="D402" s="1" t="s">
        <v>14198</v>
      </c>
      <c r="E402" s="1">
        <v>40</v>
      </c>
      <c r="F402" s="1" t="s">
        <v>32600</v>
      </c>
      <c r="G402" s="1" t="str">
        <f ca="1">IFERROR(__xludf.dummyfunction("IF(F402="""", """", GOOGLETRANSLATE(F402, ""en"", ""hi""))"),"3 आलू - उबले हुए, 2 हरी मिर्च, 1 चम्मच हल्दी पाउडर, 1 चम्मच जीरा, नमक - स्वादानुसार, 1 टहनी करी पत्ता - कटा हुआ, तेल - उपयोगानुसार")</f>
        <v>3 आलू - उबले हुए, 2 हरी मिर्च, 1 चम्मच हल्दी पाउडर, 1 चम्मच जीरा, नमक - स्वादानुसार, 1 टहनी करी पत्ता - कटा हुआ, तेल - उपयोगानुसार</v>
      </c>
      <c r="H402" s="1" t="s">
        <v>32601</v>
      </c>
      <c r="I402" s="1" t="str">
        <f ca="1">IFERROR(__xludf.dummyfunction("IF(H402="""", """", GOOGLETRANSLATE(H402, ""en"", ""hi""))"),"जीरा आलू की सब्जी बनाने के लिए सबसे पहले एक पैन में तेल गर्म करें। इसमें जीरा और हरी मिर्च डालकर 15 सेकंड तक पकने दें। इसके बाद आलू, हल्दी पाउडर और करी पत्ता डालें। नमक डालें और आलू के सुनहरा होने तक पकाएँ। हरी मिर्च और नींबू का रस डालकर मिलाएँ। गरमागरम प"&amp;"रोसें। जीरा आलू की सब्जी को दाल पालक और फुल्के के साथ लंच में परोसें।")</f>
        <v>जीरा आलू की सब्जी बनाने के लिए सबसे पहले एक पैन में तेल गर्म करें। इसमें जीरा और हरी मिर्च डालकर 15 सेकंड तक पकने दें। इसके बाद आलू, हल्दी पाउडर और करी पत्ता डालें। नमक डालें और आलू के सुनहरा होने तक पकाएँ। हरी मिर्च और नींबू का रस डालकर मिलाएँ। गरमागरम परोसें। जीरा आलू की सब्जी को दाल पालक और फुल्के के साथ लंच में परोसें।</v>
      </c>
      <c r="J402" s="3" t="s">
        <v>32602</v>
      </c>
      <c r="L402" s="1" t="s">
        <v>31003</v>
      </c>
    </row>
    <row r="403" spans="1:12" ht="13.8">
      <c r="A403" s="1" t="s">
        <v>32603</v>
      </c>
      <c r="B403" s="1" t="str">
        <f ca="1">IFERROR(__xludf.dummyfunction("IF(A403="""", """", GOOGLETRANSLATE(A403, ""en"", ""hi""))"),"मूंगफली भिंडी रेसिपी - भिंडी और मूंगफली को स्टर फ्राई करें")</f>
        <v>मूंगफली भिंडी रेसिपी - भिंडी और मूंगफली को स्टर फ्राई करें</v>
      </c>
      <c r="C403" s="1" t="s">
        <v>145</v>
      </c>
      <c r="D403" s="1" t="s">
        <v>14237</v>
      </c>
      <c r="E403" s="1">
        <v>40</v>
      </c>
      <c r="F403" s="1" t="s">
        <v>32604</v>
      </c>
      <c r="G403" s="1" t="str">
        <f ca="1">IFERROR(__xludf.dummyfunction("IF(F403="""", """", GOOGLETRANSLATE(F403, ""en"", ""hi""))"),"500 ग्राम भिंडी, 4 बड़े चम्मच सूरजमुखी तेल, 4 सूखी लाल मिर्च, 1 प्याज - बारीक कटा हुआ, 1 कप भुनी मूंगफली - दरदरी पिसी हुई, 2 छोटे चम्मच धनिया, 1/2 छोटा चम्मच हल्दी, 1 छोटा चम्मच लाल मिर्च पाउडर, 1 छोटा चम्मच आमचूर, नमक - स्वादानुसार")</f>
        <v>500 ग्राम भिंडी, 4 बड़े चम्मच सूरजमुखी तेल, 4 सूखी लाल मिर्च, 1 प्याज - बारीक कटा हुआ, 1 कप भुनी मूंगफली - दरदरी पिसी हुई, 2 छोटे चम्मच धनिया, 1/2 छोटा चम्मच हल्दी, 1 छोटा चम्मच लाल मिर्च पाउडर, 1 छोटा चम्मच आमचूर, नमक - स्वादानुसार</v>
      </c>
      <c r="H403" s="1" t="s">
        <v>32605</v>
      </c>
      <c r="I403" s="1" t="str">
        <f ca="1">IFERROR(__xludf.dummyfunction("IF(H403="""", """", GOOGLETRANSLATE(H403, ""en"", ""hi""))"),"मूंगफली भिंडी बनाने के लिए सबसे पहले भिंडी को धोकर सुखा लें। भिंडी को डंठल हटाकर लंबाई में आधा काट लें। एक भारी तले की कड़ाही में मध्यम आंच पर तेल गर्म करें। तेल गर्म हो जाने पर इसमें सूखी लाल मिर्च और कटे हुए प्याज डालें। प्याज को मध्यम आंच पर सुनहरा भूर"&amp;"ा होने तक भूनें। अब इसमें कटी हुई भिंडी के साथ-साथ पिसी हुई मूंगफली, धनिया पाउडर, लाल मिर्च पाउडर, हल्दी पाउडर और नमक डालें। सभी सामग्री को अच्छी तरह मिलाने के लिए हिलाएं। पैन को ढक्कन से ढक दें और सब्जी को धीमी आंच पर तब तक पकाएं जब तक वह पक कर नरम न हो "&amp;"जाए। जब ​​भिंडी आधी पक जाए तो ढक्कन खोलें और इसे हल्के हाथों से हिलाएं। कढ़ाई में एक लंबी करछुल रखें और पैन को आंशिक रूप से ढक दें हम कढ़ाई में एक करछुल रखते हैं ताकि पैन थोड़ा सा खुला रहे और इससे कुछ नमी बाहर निकलने में मदद मिलेगी और भिंडी को गीला और गूद"&amp;"ेदार होने से रोका जा सकेगा। कुछ मिनट बाद ढक्कन हटाएँ और मूंगफली भिंडी की जाँच करें कि वह पक गई है या नहीं। सूखा आम पाउडर डालें, मिलाने के लिए हिलाएँ और एक या दो मिनट के लिए पकाएँ। नमक और मसाले के स्तर की जाँच करें, अपने स्वाद के अनुसार समायोजित करें और आँ"&amp;"च बंद कर दें। मूंगफली भिंडी को एक सर्विंग बाउल में डालें और रात के खाने या दोपहर के भोजन के लिए तवा पराठा या फुल्का के साथ परोसें। आप इस भिंडी को अपने काम के लंच या बच्चों के लंच बॉक्स में भी पैक कर सकते हैं।")</f>
        <v>मूंगफली भिंडी बनाने के लिए सबसे पहले भिंडी को धोकर सुखा लें। भिंडी को डंठल हटाकर लंबाई में आधा काट लें। एक भारी तले की कड़ाही में मध्यम आंच पर तेल गर्म करें। तेल गर्म हो जाने पर इसमें सूखी लाल मिर्च और कटे हुए प्याज डालें। प्याज को मध्यम आंच पर सुनहरा भूरा होने तक भूनें। अब इसमें कटी हुई भिंडी के साथ-साथ पिसी हुई मूंगफली, धनिया पाउडर, लाल मिर्च पाउडर, हल्दी पाउडर और नमक डालें। सभी सामग्री को अच्छी तरह मिलाने के लिए हिलाएं। पैन को ढक्कन से ढक दें और सब्जी को धीमी आंच पर तब तक पकाएं जब तक वह पक कर नरम न हो जाए। जब ​​भिंडी आधी पक जाए तो ढक्कन खोलें और इसे हल्के हाथों से हिलाएं। कढ़ाई में एक लंबी करछुल रखें और पैन को आंशिक रूप से ढक दें हम कढ़ाई में एक करछुल रखते हैं ताकि पैन थोड़ा सा खुला रहे और इससे कुछ नमी बाहर निकलने में मदद मिलेगी और भिंडी को गीला और गूदेदार होने से रोका जा सकेगा। कुछ मिनट बाद ढक्कन हटाएँ और मूंगफली भिंडी की जाँच करें कि वह पक गई है या नहीं। सूखा आम पाउडर डालें, मिलाने के लिए हिलाएँ और एक या दो मिनट के लिए पकाएँ। नमक और मसाले के स्तर की जाँच करें, अपने स्वाद के अनुसार समायोजित करें और आँच बंद कर दें। मूंगफली भिंडी को एक सर्विंग बाउल में डालें और रात के खाने या दोपहर के भोजन के लिए तवा पराठा या फुल्का के साथ परोसें। आप इस भिंडी को अपने काम के लंच या बच्चों के लंच बॉक्स में भी पैक कर सकते हैं।</v>
      </c>
      <c r="J403" s="3" t="s">
        <v>32606</v>
      </c>
      <c r="L403" s="1" t="s">
        <v>31003</v>
      </c>
    </row>
    <row r="404" spans="1:12" ht="13.8">
      <c r="A404" s="1" t="s">
        <v>32607</v>
      </c>
      <c r="B404" s="1" t="str">
        <f ca="1">IFERROR(__xludf.dummyfunction("IF(A404="""", """", GOOGLETRANSLATE(A404, ""en"", ""hi""))"),"मुर्ग मुसल्लम रेसिपी - मसाला भुना हुआ चिकन")</f>
        <v>मुर्ग मुसल्लम रेसिपी - मसाला भुना हुआ चिकन</v>
      </c>
      <c r="C404" s="1" t="s">
        <v>14572</v>
      </c>
      <c r="D404" s="1" t="s">
        <v>14382</v>
      </c>
      <c r="E404" s="1">
        <v>105</v>
      </c>
      <c r="F404" s="1" t="s">
        <v>32608</v>
      </c>
      <c r="G404" s="1" t="str">
        <f ca="1">IFERROR(__xludf.dummyfunction("IF(F404="""", """", GOOGLETRANSLATE(F404, ""en"", ""hi""))"),"2 चिकन ड्रमस्टिक, 1 इंच अदरक - कटा हुआ, 4 लहसुन के दाने - कटे हुए, 2 प्याज - कटे हुए, 4 बड़े चम्मच काजू - गुनगुने पानी में भिगोए हुए, 1 छोटा चम्मच लाल मिर्च पाउडर, 1/2 छोटा चम्मच हल्दी पाउडर, 1 छोटा चम्मच काली मिर्च पाउडर, 1 कप दही, नमक - स्वादानुसार, सूर"&amp;"जमुखी तेल, 1 बड़ा चम्मच धनिया के बीज, 1 छोटा चम्मच जीरा, 1 इलायची के दाने, 2 लौंग, 1 बड़ी इलायची, 1 इलायची के दाने, 1 जावित्री, 1/4 छोटा चम्मच जायफल")</f>
        <v>2 चिकन ड्रमस्टिक, 1 इंच अदरक - कटा हुआ, 4 लहसुन के दाने - कटे हुए, 2 प्याज - कटे हुए, 4 बड़े चम्मच काजू - गुनगुने पानी में भिगोए हुए, 1 छोटा चम्मच लाल मिर्च पाउडर, 1/2 छोटा चम्मच हल्दी पाउडर, 1 छोटा चम्मच काली मिर्च पाउडर, 1 कप दही, नमक - स्वादानुसार, सूरजमुखी तेल, 1 बड़ा चम्मच धनिया के बीज, 1 छोटा चम्मच जीरा, 1 इलायची के दाने, 2 लौंग, 1 बड़ी इलायची, 1 इलायची के दाने, 1 जावित्री, 1/4 छोटा चम्मच जायफल</v>
      </c>
      <c r="H404" s="1" t="s">
        <v>32609</v>
      </c>
      <c r="I404" s="1" t="str">
        <f ca="1">IFERROR(__xludf.dummyfunction("IF(H404="""", """", GOOGLETRANSLATE(H404, ""en"", ""hi""))"),"मुर्ग मुसल्लम रेसिपी बनाने के लिए सबसे पहले चिकन को अच्छे से धोकर साफ कर लें। काजू को गर्म पानी में भिगोकर अलग रख दें। एक छोटी कड़ाही में साबुत मसाले जिसमें धनिया के बीज, जीरा, इलायची, लौंग, बड़ी इलायची, हरी इलायची, जावित्री, जायफल शामिल हैं, को धीमी आंच "&amp;"पर 4-6 मिनट तक भूनें। आंच बंद कर दें और इसे ठंडा होने दें। साबुत मसालों को भीगे हुए काजू, अदरक और लहसुन के साथ ग्राइंडर में डालें और इसे एक चिकने पेस्ट में पीस लें। मध्यम आंच पर एक कढ़ाई में तेल गर्म करें, उसमें प्याज डालें और सुनहरा भूरा होने तक भूनें। इ"&amp;"समें लगभग 6-8 मिनट का समय लगेगा। आंच बंद कर दें और इसे ठंडा होने दें। प्याज को मिक्सर में डालकर बारीक पीस लें और एक तरफ रख दें। एक मिक्सिंग बाउल में ड्रमस्टिक, पिसे हुए काजू का मिश्रण, प्याज का पेस्ट और दही डालकर चिकन के साथ अच्छी तरह मिला लें। चिकन को कम"&amp;" से कम 1 घंटे के लिए मैरीनेट करें और फ्रिज में रख दें। मध्यम आंच पर एक तवे पर तेल गर्म करें, मैरीनेट किए हुए चिकन के टुकड़े डालें और पकाते रहें, चिकन नरम और मुलायम हो जाता है। आप थोड़ा नमक मिला सकते हैं और 20 मिनट तक पका सकते हैं। इसे ढक्कन से ढक दें ताकि"&amp;" चिकन तेजी से पक जाए। मुर्ग मुसल्लम रेसिपी को पुदीना दही चटनी रेसिपी- मिंट योगर्ट डिप और अचार वाले प्याज रेसिपी के साथ सेब और अदरक कॉकटेल रेसिपी के साथ परोसें।")</f>
        <v>मुर्ग मुसल्लम रेसिपी बनाने के लिए सबसे पहले चिकन को अच्छे से धोकर साफ कर लें। काजू को गर्म पानी में भिगोकर अलग रख दें। एक छोटी कड़ाही में साबुत मसाले जिसमें धनिया के बीज, जीरा, इलायची, लौंग, बड़ी इलायची, हरी इलायची, जावित्री, जायफल शामिल हैं, को धीमी आंच पर 4-6 मिनट तक भूनें। आंच बंद कर दें और इसे ठंडा होने दें। साबुत मसालों को भीगे हुए काजू, अदरक और लहसुन के साथ ग्राइंडर में डालें और इसे एक चिकने पेस्ट में पीस लें। मध्यम आंच पर एक कढ़ाई में तेल गर्म करें, उसमें प्याज डालें और सुनहरा भूरा होने तक भूनें। इसमें लगभग 6-8 मिनट का समय लगेगा। आंच बंद कर दें और इसे ठंडा होने दें। प्याज को मिक्सर में डालकर बारीक पीस लें और एक तरफ रख दें। एक मिक्सिंग बाउल में ड्रमस्टिक, पिसे हुए काजू का मिश्रण, प्याज का पेस्ट और दही डालकर चिकन के साथ अच्छी तरह मिला लें। चिकन को कम से कम 1 घंटे के लिए मैरीनेट करें और फ्रिज में रख दें। मध्यम आंच पर एक तवे पर तेल गर्म करें, मैरीनेट किए हुए चिकन के टुकड़े डालें और पकाते रहें, चिकन नरम और मुलायम हो जाता है। आप थोड़ा नमक मिला सकते हैं और 20 मिनट तक पका सकते हैं। इसे ढक्कन से ढक दें ताकि चिकन तेजी से पक जाए। मुर्ग मुसल्लम रेसिपी को पुदीना दही चटनी रेसिपी- मिंट योगर्ट डिप और अचार वाले प्याज रेसिपी के साथ सेब और अदरक कॉकटेल रेसिपी के साथ परोसें।</v>
      </c>
      <c r="J404" s="3" t="s">
        <v>32610</v>
      </c>
      <c r="L404" s="1" t="s">
        <v>31003</v>
      </c>
    </row>
    <row r="405" spans="1:12" ht="13.8">
      <c r="A405" s="1" t="s">
        <v>32611</v>
      </c>
      <c r="B405" s="1" t="str">
        <f ca="1">IFERROR(__xludf.dummyfunction("IF(A405="""", """", GOOGLETRANSLATE(A405, ""en"", ""hi""))"),"नींबू और धनिया के स्वाद वाली दाल तड़का रेसिपी")</f>
        <v>नींबू और धनिया के स्वाद वाली दाल तड़का रेसिपी</v>
      </c>
      <c r="C405" s="1" t="s">
        <v>145</v>
      </c>
      <c r="D405" s="1" t="s">
        <v>14237</v>
      </c>
      <c r="E405" s="1">
        <v>40</v>
      </c>
      <c r="F405" s="1" t="s">
        <v>32612</v>
      </c>
      <c r="G405" s="1" t="str">
        <f ca="1">IFERROR(__xludf.dummyfunction("IF(F405="""", """", GOOGLETRANSLATE(F405, ""en"", ""hi""))"),"1 कप पीली मूंग दाल, 1 बड़ा चम्मच मक्खन, 1 छोटा चम्मच घी, 1 इंच अदरक - कद्दूकस किया हुआ, 1/4 छोटा चम्मच जीरा, 1/2 छोटा चम्मच हल्दी पाउडर, 1 तेज पत्ता - तोड़ा हुआ, 2 हरी मिर्च - पतली और सीधी कटी हुई, 4 धनिया पत्ती - बारीक कटी हुई, नींबू का रस - आवश्यकतानुसा"&amp;"र, नमक - स्वादानुसार")</f>
        <v>1 कप पीली मूंग दाल, 1 बड़ा चम्मच मक्खन, 1 छोटा चम्मच घी, 1 इंच अदरक - कद्दूकस किया हुआ, 1/4 छोटा चम्मच जीरा, 1/2 छोटा चम्मच हल्दी पाउडर, 1 तेज पत्ता - तोड़ा हुआ, 2 हरी मिर्च - पतली और सीधी कटी हुई, 4 धनिया पत्ती - बारीक कटी हुई, नींबू का रस - आवश्यकतानुसार, नमक - स्वादानुसार</v>
      </c>
      <c r="H405" s="1" t="s">
        <v>32613</v>
      </c>
      <c r="I405" s="1" t="str">
        <f ca="1">IFERROR(__xludf.dummyfunction("IF(H405="""", """", GOOGLETRANSLATE(H405, ""en"", ""hi""))"),"""सबसे पहले दाल को 2-1/2 कप पानी, हल्दी पाउडर और नमक के साथ नरम होने तक पकाएं। 3 सीटी आने तक पकाएं और फिर गैस बंद कर दें। प्रेशर अपने आप निकल जाने दें। एक पैन में घी गर्म करें। उसमें जीरा डालें और उसे चटकने दें। जीरा चटकने के बाद, अदरक, हरी मिर्च, तेज पत्"&amp;"ता डालें और 30 सेकंड तक पकाएं। इस तड़के को दाल में डालें और मिलाएँ। इसे उबलने दें और मक्खन डालें। 3 से 4 मिनट बाद गैस बंद कर दें और नींबू का रस और धनिया पत्ता डालें। परोसें। दाल तड़का को पनीर बटर मसाला, लौकी रायता, जीरा राइस और फुल्के के साथ लंच में परोसे"&amp;"ं।""")</f>
        <v>"सबसे पहले दाल को 2-1/2 कप पानी, हल्दी पाउडर और नमक के साथ नरम होने तक पकाएं। 3 सीटी आने तक पकाएं और फिर गैस बंद कर दें। प्रेशर अपने आप निकल जाने दें। एक पैन में घी गर्म करें। उसमें जीरा डालें और उसे चटकने दें। जीरा चटकने के बाद, अदरक, हरी मिर्च, तेज पत्ता डालें और 30 सेकंड तक पकाएं। इस तड़के को दाल में डालें और मिलाएँ। इसे उबलने दें और मक्खन डालें। 3 से 4 मिनट बाद गैस बंद कर दें और नींबू का रस और धनिया पत्ता डालें। परोसें। दाल तड़का को पनीर बटर मसाला, लौकी रायता, जीरा राइस और फुल्के के साथ लंच में परोसें।"</v>
      </c>
      <c r="J405" s="3" t="s">
        <v>32614</v>
      </c>
      <c r="L405" s="1" t="s">
        <v>31003</v>
      </c>
    </row>
    <row r="406" spans="1:12" ht="13.8">
      <c r="A406" s="1" t="s">
        <v>32615</v>
      </c>
      <c r="B406" s="1" t="str">
        <f ca="1">IFERROR(__xludf.dummyfunction("IF(A406="""", """", GOOGLETRANSLATE(A406, ""en"", ""hi""))"),"मकई भरवां पराठा रेसिपी")</f>
        <v>मकई भरवां पराठा रेसिपी</v>
      </c>
      <c r="C406" s="1" t="s">
        <v>145</v>
      </c>
      <c r="D406" s="1" t="s">
        <v>14198</v>
      </c>
      <c r="E406" s="1">
        <v>60</v>
      </c>
      <c r="F406" s="1" t="s">
        <v>32616</v>
      </c>
      <c r="G406" s="1" t="str">
        <f ca="1">IFERROR(__xludf.dummyfunction("IF(F406="""", """", GOOGLETRANSLATE(F406, ""en"", ""hi""))"),"2 कप गेहूं का आटा, पानी - गूंधने के लिए, 1/2 चम्मच नमक - आटे के लिए, 1 कप स्वीट कॉर्न, 4 आलू - उबले हुए, 1 हरी मिर्च, धनिया (धनिया) के पत्ते - एक मुट्ठी कटे हुए, 1 प्याज - कटा हुआ, 2 चम्मच आम का अचार - या अपनी पसंद का कोई भी अचार, 3 बड़े चम्मच सूरजमुखी का"&amp;" तेल - बेलने और तलने के लिए")</f>
        <v>2 कप गेहूं का आटा, पानी - गूंधने के लिए, 1/2 चम्मच नमक - आटे के लिए, 1 कप स्वीट कॉर्न, 4 आलू - उबले हुए, 1 हरी मिर्च, धनिया (धनिया) के पत्ते - एक मुट्ठी कटे हुए, 1 प्याज - कटा हुआ, 2 चम्मच आम का अचार - या अपनी पसंद का कोई भी अचार, 3 बड़े चम्मच सूरजमुखी का तेल - बेलने और तलने के लिए</v>
      </c>
      <c r="H406" s="1" t="s">
        <v>32617</v>
      </c>
      <c r="I406" s="1" t="str">
        <f ca="1">IFERROR(__xludf.dummyfunction("IF(H406="""", """", GOOGLETRANSLATE(H406, ""en"", ""hi""))"),"कॉर्न स्टफ्ड पराठा बनाने के लिए सबसे पहले हमें कॉर्न को धोना है और आलू को पका कर रखना है. आप आलू को 2 सीटी आने तक प्रेशर कुकर में पका सकते हैं या फिर उन्हें पानी के साथ सॉस पैन में डालकर 15 मिनट तक उबाल सकते हैं/जब तक कि वे पक न जाएं. आलू पक जाने के बाद उ"&amp;"नका छिलका उतार कर एक प्याले में डालकर मैश कर लें. मैश हो जाने के बाद इसमें कटा हरा धनिया, स्वीट कॉर्न और घर का बना टमाटर का अचार डालें. अच्छी तरह मिलाएँ. आवश्यक मात्रा में नमक डालें और मिश्रण को अच्छी तरह मिलाएँ. एक तरफ रख दें. कॉर्न स्टफिंग तैयार है. अब "&amp;"हमें पराठे के लिए आटा गूंथना है. एक सपाट प्याले में गेहूं का आटा, नमक डालें और मिलाएँ. थोड़ा-थोड़ा करके पानी डालते हुए आटे को तब तक गूंथें जब तक यह चिकना और एकसमान न हो जाए. आटे की लोई के ऊपर तेल की एक परत लगाएँ बीच में एक बड़ा चम्मच भरावन रखें और पराठे क"&amp;"े आटे के सिरों को इस तरह से जोड़ें कि भरावन आटे में समा जाए। बाकी आटे और मकई के मिश्रण के साथ भी ऐसा ही करें। मध्यम आँच पर तवा रखें और थोड़ा तेल डालें। भरे हुए पराठे को तवे पर रखें और दोनों तरफ़ से पकने तक पकाएँ। दोनों तरफ़ से पकाते समय पराठे के ऊपर थोड़ा"&amp;" तेल डालें। तवे से उतारें और बाकी बेले हुए पराठों को पकाएँ। कॉर्न स्टफ्ड पराठा रेसिपी को पिसरना मंगा रेसिपी और घर पर बने दही के साथ परोसें।")</f>
        <v>कॉर्न स्टफ्ड पराठा बनाने के लिए सबसे पहले हमें कॉर्न को धोना है और आलू को पका कर रखना है. आप आलू को 2 सीटी आने तक प्रेशर कुकर में पका सकते हैं या फिर उन्हें पानी के साथ सॉस पैन में डालकर 15 मिनट तक उबाल सकते हैं/जब तक कि वे पक न जाएं. आलू पक जाने के बाद उनका छिलका उतार कर एक प्याले में डालकर मैश कर लें. मैश हो जाने के बाद इसमें कटा हरा धनिया, स्वीट कॉर्न और घर का बना टमाटर का अचार डालें. अच्छी तरह मिलाएँ. आवश्यक मात्रा में नमक डालें और मिश्रण को अच्छी तरह मिलाएँ. एक तरफ रख दें. कॉर्न स्टफिंग तैयार है. अब हमें पराठे के लिए आटा गूंथना है. एक सपाट प्याले में गेहूं का आटा, नमक डालें और मिलाएँ. थोड़ा-थोड़ा करके पानी डालते हुए आटे को तब तक गूंथें जब तक यह चिकना और एकसमान न हो जाए. आटे की लोई के ऊपर तेल की एक परत लगाएँ बीच में एक बड़ा चम्मच भरावन रखें और पराठे के आटे के सिरों को इस तरह से जोड़ें कि भरावन आटे में समा जाए। बाकी आटे और मकई के मिश्रण के साथ भी ऐसा ही करें। मध्यम आँच पर तवा रखें और थोड़ा तेल डालें। भरे हुए पराठे को तवे पर रखें और दोनों तरफ़ से पकने तक पकाएँ। दोनों तरफ़ से पकाते समय पराठे के ऊपर थोड़ा तेल डालें। तवे से उतारें और बाकी बेले हुए पराठों को पकाएँ। कॉर्न स्टफ्ड पराठा रेसिपी को पिसरना मंगा रेसिपी और घर पर बने दही के साथ परोसें।</v>
      </c>
      <c r="J406" s="3" t="s">
        <v>32618</v>
      </c>
      <c r="L406" s="1" t="s">
        <v>31003</v>
      </c>
    </row>
    <row r="407" spans="1:12" ht="13.8">
      <c r="A407" s="1" t="s">
        <v>32619</v>
      </c>
      <c r="B407" s="1" t="str">
        <f ca="1">IFERROR(__xludf.dummyfunction("IF(A407="""", """", GOOGLETRANSLATE(A407, ""en"", ""hi""))"),"प्याज़ लहसुन रहित काली आंखों वाली बीन्स करी")</f>
        <v>प्याज़ लहसुन रहित काली आंखों वाली बीन्स करी</v>
      </c>
      <c r="C407" s="1" t="s">
        <v>145</v>
      </c>
      <c r="D407" s="1" t="s">
        <v>14237</v>
      </c>
      <c r="E407" s="1">
        <v>40</v>
      </c>
      <c r="F407" s="1" t="s">
        <v>32620</v>
      </c>
      <c r="G407" s="1" t="str">
        <f ca="1">IFERROR(__xludf.dummyfunction("IF(F407="""", """", GOOGLETRANSLATE(F407, ""en"", ""hi""))"),"1 कप लोबिया - रातभर भिगोया हुआ, 1 बड़ा चम्मच तेल, 1 छोटा चम्मच राई, 1 छोटा चम्मच जीरा, 1/2 छोटा चम्मच हींग, 1/2 छोटा चम्मच हल्दी पाउडर, 1 बड़ा चम्मच नारियल, 1 बड़ा चम्मच मूंगफली - पिसी हुई, 3 कोकम - सूखी या 1 छोटा चम्मच इमली का पेस्ट, 1 छोटा चम्मच गुड़ - "&amp;"कद्दूकस किया हुआ, 1/2 छोटा चम्मच गोडा मसाला, 1/2 छोटा चम्मच लाल मिर्च पाउडर, नमक - स्वादानुसार")</f>
        <v>1 कप लोबिया - रातभर भिगोया हुआ, 1 बड़ा चम्मच तेल, 1 छोटा चम्मच राई, 1 छोटा चम्मच जीरा, 1/2 छोटा चम्मच हींग, 1/2 छोटा चम्मच हल्दी पाउडर, 1 बड़ा चम्मच नारियल, 1 बड़ा चम्मच मूंगफली - पिसी हुई, 3 कोकम - सूखी या 1 छोटा चम्मच इमली का पेस्ट, 1 छोटा चम्मच गुड़ - कद्दूकस किया हुआ, 1/2 छोटा चम्मच गोडा मसाला, 1/2 छोटा चम्मच लाल मिर्च पाउडर, नमक - स्वादानुसार</v>
      </c>
      <c r="H407" s="1" t="s">
        <v>32621</v>
      </c>
      <c r="I407" s="1" t="str">
        <f ca="1">IFERROR(__xludf.dummyfunction("IF(H407="""", """", GOOGLETRANSLATE(H407, ""en"", ""hi""))"),"प्याज लहसुन लोबिया सब्ज़ी बनाने के लिए सबसे पहले लोबिया को 2 कप पानी के साथ 1 सीटी आने तक पका लें और 10 मिनट तक धीमी आंच पर पकाएं। पकने के बाद पानी निथार कर अलग रख दें। पानी भी अलग रख दें। अब एक पैन में तेल गर्म करें। उसमें राई और जीरा डालकर 10 सेकंड तक प"&amp;"काएं। इसके बाद हींग, हल्दी पाउडर, लाल मिर्च पाउडर, गोडा मसाला डालकर सभी चीजों को अच्छे से मिला लें। 1 मिनट बाद लोबिया डालें और बचा हुआ पानी भी मिला दें। अब इसमें कोकम, गुड़, मूंगफली पाउडर, नारियल और नमक डालें। 3 से 4 मिनट तक पकाएं और फिर गैस बंद कर दें। प"&amp;"्याज लहसुन लोबिया सब्ज़ी को प्याज टमाटर खीरा रायता और रोटी के साथ लंच में सर्व करें।")</f>
        <v>प्याज लहसुन लोबिया सब्ज़ी बनाने के लिए सबसे पहले लोबिया को 2 कप पानी के साथ 1 सीटी आने तक पका लें और 10 मिनट तक धीमी आंच पर पकाएं। पकने के बाद पानी निथार कर अलग रख दें। पानी भी अलग रख दें। अब एक पैन में तेल गर्म करें। उसमें राई और जीरा डालकर 10 सेकंड तक पकाएं। इसके बाद हींग, हल्दी पाउडर, लाल मिर्च पाउडर, गोडा मसाला डालकर सभी चीजों को अच्छे से मिला लें। 1 मिनट बाद लोबिया डालें और बचा हुआ पानी भी मिला दें। अब इसमें कोकम, गुड़, मूंगफली पाउडर, नारियल और नमक डालें। 3 से 4 मिनट तक पकाएं और फिर गैस बंद कर दें। प्याज लहसुन लोबिया सब्ज़ी को प्याज टमाटर खीरा रायता और रोटी के साथ लंच में सर्व करें।</v>
      </c>
      <c r="J407" s="3" t="s">
        <v>32622</v>
      </c>
      <c r="L407" s="1" t="s">
        <v>31003</v>
      </c>
    </row>
    <row r="408" spans="1:12" ht="13.8">
      <c r="A408" s="1" t="s">
        <v>32623</v>
      </c>
      <c r="B408" s="1" t="str">
        <f ca="1">IFERROR(__xludf.dummyfunction("IF(A408="""", """", GOOGLETRANSLATE(A408, ""en"", ""hi""))"),"बादाम इलायची कुल्फी रेसिपी")</f>
        <v>बादाम इलायची कुल्फी रेसिपी</v>
      </c>
      <c r="C408" s="1" t="s">
        <v>8417</v>
      </c>
      <c r="D408" s="1" t="s">
        <v>14198</v>
      </c>
      <c r="E408" s="1">
        <v>630</v>
      </c>
      <c r="F408" s="1" t="s">
        <v>32624</v>
      </c>
      <c r="G408" s="1" t="str">
        <f ca="1">IFERROR(__xludf.dummyfunction("IF(F408="""", """", GOOGLETRANSLATE(F408, ""en"", ""hi""))"),"2 लीटर दूध - फुल फैट + 1 कप, 1 कप बादाम - भिगोया हुआ, 1 कप चीनी, 1/4 केसर, 1 बड़ा चम्मच इलायची पाउडर (इलायची), 1/2 कप पिस्ता - कटा हुआ")</f>
        <v>2 लीटर दूध - फुल फैट + 1 कप, 1 कप बादाम - भिगोया हुआ, 1 कप चीनी, 1/4 केसर, 1 बड़ा चम्मच इलायची पाउडर (इलायची), 1/2 कप पिस्ता - कटा हुआ</v>
      </c>
      <c r="H408" s="1" t="s">
        <v>32625</v>
      </c>
      <c r="I408" s="1" t="str">
        <f ca="1">IFERROR(__xludf.dummyfunction("IF(H408="""", """", GOOGLETRANSLATE(H408, ""en"", ""hi""))"),"बादाम इलायची कुल्फी बनाने के लिए सबसे पहले हम बादाम का पेस्ट बनाएंगे। भीगे हुए बादाम का छिलका उतार कर उन्हें एक ब्लेंडर में 1 कप दूध के साथ डालकर मुलायम पेस्ट बना लें। एक तरफ रख दें। अब एक भारी तले वाले पैन में दूध डालकर उबाल लें। दूध में उबाल आने पर आंच "&amp;"धीमी कर दें और दूध को मध्यम आंच पर तब तक पकाएं जब तक पैन में दूध की मात्रा आधी न हो जाए। बीच-बीच में चलाते रहें और दूध को जलने और पैन से चिपकने से बचाने के लिए किनारों को खुरचें। दूध के गाढ़ा होने में 20-25 मिनट का समय लगेगा। दूध के गाढ़ा होने पर इसमें के"&amp;"सर और इलायची पाउडर मिलाएं। पिसा हुआ बादाम दूध और चीनी डालें और तब तक मिलाएं जब तक चीनी पूरी तरह घुल न जाए। हो जाने पर आंच बंद कर दें ढक्कन बंद करें और कुल्फी के जमने तक 8 घंटे के लिए फ्रीज़र में रखें। बादाम इलायची कुल्फी को घर पर बने बटर नान, पनीर मखनी और"&amp;" टमाटर प्याज खीरा रायता रेसिपी के साथ पार्टी मील के साथ परोसें।")</f>
        <v>बादाम इलायची कुल्फी बनाने के लिए सबसे पहले हम बादाम का पेस्ट बनाएंगे। भीगे हुए बादाम का छिलका उतार कर उन्हें एक ब्लेंडर में 1 कप दूध के साथ डालकर मुलायम पेस्ट बना लें। एक तरफ रख दें। अब एक भारी तले वाले पैन में दूध डालकर उबाल लें। दूध में उबाल आने पर आंच धीमी कर दें और दूध को मध्यम आंच पर तब तक पकाएं जब तक पैन में दूध की मात्रा आधी न हो जाए। बीच-बीच में चलाते रहें और दूध को जलने और पैन से चिपकने से बचाने के लिए किनारों को खुरचें। दूध के गाढ़ा होने में 20-25 मिनट का समय लगेगा। दूध के गाढ़ा होने पर इसमें केसर और इलायची पाउडर मिलाएं। पिसा हुआ बादाम दूध और चीनी डालें और तब तक मिलाएं जब तक चीनी पूरी तरह घुल न जाए। हो जाने पर आंच बंद कर दें ढक्कन बंद करें और कुल्फी के जमने तक 8 घंटे के लिए फ्रीज़र में रखें। बादाम इलायची कुल्फी को घर पर बने बटर नान, पनीर मखनी और टमाटर प्याज खीरा रायता रेसिपी के साथ पार्टी मील के साथ परोसें।</v>
      </c>
      <c r="J408" s="3" t="s">
        <v>32626</v>
      </c>
      <c r="L408" s="1" t="s">
        <v>31003</v>
      </c>
    </row>
    <row r="409" spans="1:12" ht="13.8">
      <c r="A409" s="1" t="s">
        <v>32627</v>
      </c>
      <c r="B409" s="1" t="str">
        <f ca="1">IFERROR(__xludf.dummyfunction("IF(A409="""", """", GOOGLETRANSLATE(A409, ""en"", ""hi""))"),"नागोरी पूरी रेसिपी (सूजी पुरी)")</f>
        <v>नागोरी पूरी रेसिपी (सूजी पुरी)</v>
      </c>
      <c r="C409" s="1" t="s">
        <v>145</v>
      </c>
      <c r="D409" s="1" t="s">
        <v>14198</v>
      </c>
      <c r="E409" s="1">
        <v>30</v>
      </c>
      <c r="F409" s="1" t="s">
        <v>32628</v>
      </c>
      <c r="G409" s="1" t="str">
        <f ca="1">IFERROR(__xludf.dummyfunction("IF(F409="""", """", GOOGLETRANSLATE(F409, ""en"", ""hi""))"),"1 कप सूजी, 1/2 कप गेहूं का आटा, 1 चम्मच जीरा, 2 बड़े चम्मच घी, पानी - आवश्यकतानुसार, नमक - स्वादानुसार, सूरजमुखी तेल - आवश्यकतानुसार")</f>
        <v>1 कप सूजी, 1/2 कप गेहूं का आटा, 1 चम्मच जीरा, 2 बड़े चम्मच घी, पानी - आवश्यकतानुसार, नमक - स्वादानुसार, सूरजमुखी तेल - आवश्यकतानुसार</v>
      </c>
      <c r="H409" s="1" t="s">
        <v>32629</v>
      </c>
      <c r="I409" s="1" t="str">
        <f ca="1">IFERROR(__xludf.dummyfunction("IF(H409="""", """", GOOGLETRANSLATE(H409, ""en"", ""hi""))"),"नागोरी पूरी रेसिपी बनाने के लिए सबसे पहले एक मिक्सिंग बाउल में गेहूं का आटा छान लें। इसमें रवा, नमक, जीरा और पिघला हुआ घी डालें। सारी चीजों को मिलाकर मसल लें ताकि यह भुरभुरा हो जाए। थोड़ा-थोड़ा करके पानी डालें और सख्त आटा गूंथना शुरू करें। आटे को छोटी-छोट"&amp;"ी लोइयां बना लें। लोइयां लें और बेलन की मदद से इन्हें पतले गोल आकार में बेल लें। तलने के लिए तेल गर्म करें, जब यह गर्म हो जाए तो इसमें पूरी डालें और मध्यम आंच पर दोनों तरफ से फूलने और हल्का ब्राउन होने तक तल लें। तेल से निकालकर अतिरिक्त तेल किचन टिश्यू मे"&amp;"ं निकाल लें। एक-एक करके पूरी तलें और गरमागरम परोसें। नागोरी पूरी को गुजराती लसनिया बटाटा और पालक रायता के साथ अपने परिवार के साथ वीकेंड लंच में परोसें।")</f>
        <v>नागोरी पूरी रेसिपी बनाने के लिए सबसे पहले एक मिक्सिंग बाउल में गेहूं का आटा छान लें। इसमें रवा, नमक, जीरा और पिघला हुआ घी डालें। सारी चीजों को मिलाकर मसल लें ताकि यह भुरभुरा हो जाए। थोड़ा-थोड़ा करके पानी डालें और सख्त आटा गूंथना शुरू करें। आटे को छोटी-छोटी लोइयां बना लें। लोइयां लें और बेलन की मदद से इन्हें पतले गोल आकार में बेल लें। तलने के लिए तेल गर्म करें, जब यह गर्म हो जाए तो इसमें पूरी डालें और मध्यम आंच पर दोनों तरफ से फूलने और हल्का ब्राउन होने तक तल लें। तेल से निकालकर अतिरिक्त तेल किचन टिश्यू में निकाल लें। एक-एक करके पूरी तलें और गरमागरम परोसें। नागोरी पूरी को गुजराती लसनिया बटाटा और पालक रायता के साथ अपने परिवार के साथ वीकेंड लंच में परोसें।</v>
      </c>
      <c r="J409" s="3" t="s">
        <v>32630</v>
      </c>
      <c r="L409" s="1" t="s">
        <v>31003</v>
      </c>
    </row>
    <row r="410" spans="1:12" ht="13.8">
      <c r="A410" s="1" t="s">
        <v>32631</v>
      </c>
      <c r="B410" s="1" t="str">
        <f ca="1">IFERROR(__xludf.dummyfunction("IF(A410="""", """", GOOGLETRANSLATE(A410, ""en"", ""hi""))"),"पालक मटर रेसिपी - पालक और हरी मटर की सब्जी")</f>
        <v>पालक मटर रेसिपी - पालक और हरी मटर की सब्जी</v>
      </c>
      <c r="C410" s="1" t="s">
        <v>145</v>
      </c>
      <c r="D410" s="1" t="s">
        <v>14198</v>
      </c>
      <c r="E410" s="1">
        <v>50</v>
      </c>
      <c r="F410" s="1" t="s">
        <v>32632</v>
      </c>
      <c r="G410" s="1" t="str">
        <f ca="1">IFERROR(__xludf.dummyfunction("IF(F410="""", """", GOOGLETRANSLATE(F410, ""en"", ""hi""))"),"2 डंठल पालक के पत्ते, 1 कप हरी मटर, 1 प्याज - बारीक कटा हुआ, 1 टमाटर - बारीक कटा हुआ, 2 इंच अदरक - कसा हुआ, 3 लहसुन - बारीक कटा हुआ, 1/2 चम्मच लाल मिर्च पाउडर, 1 चम्मच गरम मसाला पाउडर, 1 चम्मच धनिया पाउडर, 1 बड़ा चम्मच सूरजमुखी तेल, 1 बड़ा चम्मच घी, 1 चम्"&amp;"मच जीरा, 2 लहसुन - बारीक कटा हुआ, 3 चम्मच प्याज - बारीक कटा हुआ, 1 सूखी लाल मिर्च, 1/4 चम्मच गरम मसाला पाउडर")</f>
        <v>2 डंठल पालक के पत्ते, 1 कप हरी मटर, 1 प्याज - बारीक कटा हुआ, 1 टमाटर - बारीक कटा हुआ, 2 इंच अदरक - कसा हुआ, 3 लहसुन - बारीक कटा हुआ, 1/2 चम्मच लाल मिर्च पाउडर, 1 चम्मच गरम मसाला पाउडर, 1 चम्मच धनिया पाउडर, 1 बड़ा चम्मच सूरजमुखी तेल, 1 बड़ा चम्मच घी, 1 चम्मच जीरा, 2 लहसुन - बारीक कटा हुआ, 3 चम्मच प्याज - बारीक कटा हुआ, 1 सूखी लाल मिर्च, 1/4 चम्मच गरम मसाला पाउडर</v>
      </c>
      <c r="H410" s="1" t="s">
        <v>32633</v>
      </c>
      <c r="I410" s="1" t="str">
        <f ca="1">IFERROR(__xludf.dummyfunction("IF(H410="""", """", GOOGLETRANSLATE(H410, ""en"", ""hi""))"),"पालक मटर रेसिपी बनाने के लिए, पालक को धोकर पर्याप्त पानी में थोड़ा नमक डालकर ब्लांच करें और हैंड ब्लेंडर का उपयोग करके इसे प्यूरी बना लें और एक तरफ रख दें। मध्यम आंच पर एक कड़ाही में तेल गर्म करें, उसमें प्याज डालें और पारदर्शी होने तक भूनें। कटा हुआ लहसु"&amp;"न, अदरक डालें और लहसुन की कच्ची महक जाने तक पकाएँ। बारीक कटे टमाटर डालें और नरम होने तक पकाएँ। अब, हरी मटर और आधा कप पानी डालें और हरी मटर के पूरी तरह पकने तक पकाएँ। धनिया पाउडर, लाल मिर्च पाउडर, गरम मसाला पाउडर सहित मसाले डालें और दो मिनट तक या तेल के कि"&amp;"नारों को छोड़ने तक पकाएँ। प्यूरी किया हुआ पालक डालें, नमक डालें और 10 मिनट तक उबालें और आंच बंद कर दें। अब, एक छोटे तड़का पैन में घी गर्म करें, उसमें जीरा, लाल मिर्च डालें और उसे चटकने दें। प्याज और लहसुन डालें और भूरा होने तक भूनें। गरम मसाला पाउडर डालें"&amp;", आंच बंद कर दें और इस तड़के को पालक के ऊपर डालें। मटर रेसिपी। पालक मटर रेसिपी को मालाबारी पराठों और ग्रीन सलाद के साथ सप्ताह के रात के खाने में परोसें।")</f>
        <v>पालक मटर रेसिपी बनाने के लिए, पालक को धोकर पर्याप्त पानी में थोड़ा नमक डालकर ब्लांच करें और हैंड ब्लेंडर का उपयोग करके इसे प्यूरी बना लें और एक तरफ रख दें। मध्यम आंच पर एक कड़ाही में तेल गर्म करें, उसमें प्याज डालें और पारदर्शी होने तक भूनें। कटा हुआ लहसुन, अदरक डालें और लहसुन की कच्ची महक जाने तक पकाएँ। बारीक कटे टमाटर डालें और नरम होने तक पकाएँ। अब, हरी मटर और आधा कप पानी डालें और हरी मटर के पूरी तरह पकने तक पकाएँ। धनिया पाउडर, लाल मिर्च पाउडर, गरम मसाला पाउडर सहित मसाले डालें और दो मिनट तक या तेल के किनारों को छोड़ने तक पकाएँ। प्यूरी किया हुआ पालक डालें, नमक डालें और 10 मिनट तक उबालें और आंच बंद कर दें। अब, एक छोटे तड़का पैन में घी गर्म करें, उसमें जीरा, लाल मिर्च डालें और उसे चटकने दें। प्याज और लहसुन डालें और भूरा होने तक भूनें। गरम मसाला पाउडर डालें, आंच बंद कर दें और इस तड़के को पालक के ऊपर डालें। मटर रेसिपी। पालक मटर रेसिपी को मालाबारी पराठों और ग्रीन सलाद के साथ सप्ताह के रात के खाने में परोसें।</v>
      </c>
      <c r="J410" s="3" t="s">
        <v>32634</v>
      </c>
      <c r="L410" s="1" t="s">
        <v>31003</v>
      </c>
    </row>
    <row r="411" spans="1:12" ht="13.8">
      <c r="A411" s="1" t="s">
        <v>32635</v>
      </c>
      <c r="B411" s="1" t="str">
        <f ca="1">IFERROR(__xludf.dummyfunction("IF(A411="""", """", GOOGLETRANSLATE(A411, ""en"", ""hi""))"),"अंगूर रायता रेसिपी")</f>
        <v>अंगूर रायता रेसिपी</v>
      </c>
      <c r="C411" s="1" t="s">
        <v>14207</v>
      </c>
      <c r="D411" s="1" t="s">
        <v>14198</v>
      </c>
      <c r="E411" s="1">
        <v>10</v>
      </c>
      <c r="F411" s="1" t="s">
        <v>32636</v>
      </c>
      <c r="G411" s="1" t="str">
        <f ca="1">IFERROR(__xludf.dummyfunction("IF(F411="""", """", GOOGLETRANSLATE(F411, ""en"", ""hi""))"),"2 कप दही, 1 कप हरे अंगूर - दो हिस्सों में कटे हुए, 1-1/2 चम्मच चीनी, नमक - आवश्यकतानुसार, 1/4 चम्मच जीरा - भुना हुआ, 1/4 चम्मच लाल मिर्च पाउडर, पुदीना - गार्निश के लिए कुछ पत्ते")</f>
        <v>2 कप दही, 1 कप हरे अंगूर - दो हिस्सों में कटे हुए, 1-1/2 चम्मच चीनी, नमक - आवश्यकतानुसार, 1/4 चम्मच जीरा - भुना हुआ, 1/4 चम्मच लाल मिर्च पाउडर, पुदीना - गार्निश के लिए कुछ पत्ते</v>
      </c>
      <c r="H411" s="1" t="s">
        <v>32637</v>
      </c>
      <c r="I411" s="1" t="str">
        <f ca="1">IFERROR(__xludf.dummyfunction("IF(H411="""", """", GOOGLETRANSLATE(H411, ""en"", ""hi""))"),"बनाने की शुरुआत करने के लिए एक बड़े मिक्सिंग बाउल में दही/गाढ़ा दही लें और उसे चिकना और मलाईदार बनाने के लिए फेंटें। आवश्यकतानुसार नमक और मीठा डालें और चीनी घुलने तक फिर से फेंटें। कटे हुए अंगूर डालें और इस तरह मिलाएँ कि अंगूर दही के साथ अच्छी तरह मिल जाए"&amp;"ँ। भुना जीरा पाउडर और लाल मिर्च पाउडर डालें और पुदीने की पत्तियों और कुछ कटे हुए अंगूर के टुकड़ों से गार्निश करें। कश्मीरी पुलाव या वेज बिरयानी के साथ ठंडा परोसें।")</f>
        <v>बनाने की शुरुआत करने के लिए एक बड़े मिक्सिंग बाउल में दही/गाढ़ा दही लें और उसे चिकना और मलाईदार बनाने के लिए फेंटें। आवश्यकतानुसार नमक और मीठा डालें और चीनी घुलने तक फिर से फेंटें। कटे हुए अंगूर डालें और इस तरह मिलाएँ कि अंगूर दही के साथ अच्छी तरह मिल जाएँ। भुना जीरा पाउडर और लाल मिर्च पाउडर डालें और पुदीने की पत्तियों और कुछ कटे हुए अंगूर के टुकड़ों से गार्निश करें। कश्मीरी पुलाव या वेज बिरयानी के साथ ठंडा परोसें।</v>
      </c>
      <c r="J411" s="3" t="s">
        <v>32638</v>
      </c>
      <c r="L411" s="1" t="s">
        <v>31003</v>
      </c>
    </row>
    <row r="412" spans="1:12" ht="13.8">
      <c r="A412" s="1" t="s">
        <v>32639</v>
      </c>
      <c r="B412" s="1" t="str">
        <f ca="1">IFERROR(__xludf.dummyfunction("IF(A412="""", """", GOOGLETRANSLATE(A412, ""en"", ""hi""))"),"कसूरी मलाई मुर्ग टिक्का रेसिपी")</f>
        <v>कसूरी मलाई मुर्ग टिक्का रेसिपी</v>
      </c>
      <c r="C412" s="1" t="s">
        <v>14572</v>
      </c>
      <c r="D412" s="1" t="s">
        <v>14367</v>
      </c>
      <c r="E412" s="1">
        <v>75</v>
      </c>
      <c r="F412" s="1" t="s">
        <v>32640</v>
      </c>
      <c r="G412" s="1" t="str">
        <f ca="1">IFERROR(__xludf.dummyfunction("IF(F412="""", """", GOOGLETRANSLATE(F412, ""en"", ""hi""))"),"300 ग्राम चिकन - टुकड़ों में कटा हुआ, 1 कप फूलगोभी - बड़े टुकड़ों में कटी हुई, 1/2 कप दही, 1/2 कप ताजा क्रीम, 1/4 कप काजू - पेस्ट, 2 बड़े चम्मच कसूरी मेथी, 1 चम्मच साबुत काली मिर्च - ताजा पिसी हुई, 2 बड़े चम्मच धनिया पाउडर, 1-1/2 चम्मच लाल मिर्च पाउडर, 1 "&amp;"चुटकी हल्दी पाउडर, नमक - आवश्यकतानुसार, सूरजमुखी तेल - आवश्यकतानुसार, 1 चम्मच अजवाइन, 4 इलायची, 2 बड़ी इलायची, 4 लौंग, 1 इंच दालचीनी, 2 तेज पत्ता, 1/2 चम्मच जावित्री, 2 प्याज - बारीक कटा हुआ, 7 लहसुन - बारीक कटा हुआ, 1-1/2 इंच अदरक - कद्दूकस किया हुआ")</f>
        <v>300 ग्राम चिकन - टुकड़ों में कटा हुआ, 1 कप फूलगोभी - बड़े टुकड़ों में कटी हुई, 1/2 कप दही, 1/2 कप ताजा क्रीम, 1/4 कप काजू - पेस्ट, 2 बड़े चम्मच कसूरी मेथी, 1 चम्मच साबुत काली मिर्च - ताजा पिसी हुई, 2 बड़े चम्मच धनिया पाउडर, 1-1/2 चम्मच लाल मिर्च पाउडर, 1 चुटकी हल्दी पाउडर, नमक - आवश्यकतानुसार, सूरजमुखी तेल - आवश्यकतानुसार, 1 चम्मच अजवाइन, 4 इलायची, 2 बड़ी इलायची, 4 लौंग, 1 इंच दालचीनी, 2 तेज पत्ता, 1/2 चम्मच जावित्री, 2 प्याज - बारीक कटा हुआ, 7 लहसुन - बारीक कटा हुआ, 1-1/2 इंच अदरक - कद्दूकस किया हुआ</v>
      </c>
      <c r="H412" s="1" t="s">
        <v>32641</v>
      </c>
      <c r="I412" s="1" t="str">
        <f ca="1">IFERROR(__xludf.dummyfunction("IF(H412="""", """", GOOGLETRANSLATE(H412, ""en"", ""hi""))"),"कसूरी मलाई मुर्ग टिक्का बनाने के लिए सबसे पहले एक कड़ाही में ज़रूरत के हिसाब से और तेल डालें और सभी खड़े मसाले डालकर चटकने दें। अब इसमें बारीक कटा प्याज़ डालें और कच्ची महक आने तक भूनें। बारीक कटा हुआ लहसुन और अदरक डालें और सुनहरा होने तक भूनें। इसे भिगोए"&amp;" हुए काजू और पानी के साथ पीसकर चिकना पेस्ट बना लें। इसे मिक्सिंग बाउल में डालें। इसमें चिकन डालें और अच्छी तरह से मैरीनेट करें, आप इसमें धनिया पाउडर, कसूरी मेथी, हल्दी, लाल मिर्च पाउडर और नमक भी डाल सकते हैं। फूलगोभी को वेजिटेबल स्टीमर में स्टीम करें और उ"&amp;"न्हें भी मैरीनेट में डालकर अच्छी तरह मिलाएँ। एक लकड़ी की कटार में चिकन के टुकड़े, मिर्च और फूलगोभी को एक के बाद एक पिरोएँ। लकड़ी की कटार को गर्म ग्रिल में व्यवस्थित करें और उन्हें लगभग 15 मिनट तक पकाएँ, हर 5 मिनट में पलट दें। पकाते समय चिकन के ऊपर बचा हुआ"&amp;" मैरीनेट ब्रश करें। चिकन पकाते समय ट्रे पर पानी छोड़ देगा और यह अपेक्षित है। ऊपर से थोड़ा तेल डालें और पलटते रहें और दोनों तरफ समान रूप से पकाएँ। चिकन पक जाने के बाद, कटार को ग्रिल से हटाएँ और ठंडा होने दें। ज़्यादा न पकाएँ क्योंकि चिकन सख्त हो सकता है और"&amp;" उसका रस खो सकता है। कसूरी मलाई मुर्ग टिक्का रेसिपी को बुरानी रायता और हैदराबादी वेजिटेबल बिरयानी के साथ परोसें ताकि यह एक संपूर्ण भोजन बन जाए।")</f>
        <v>कसूरी मलाई मुर्ग टिक्का बनाने के लिए सबसे पहले एक कड़ाही में ज़रूरत के हिसाब से और तेल डालें और सभी खड़े मसाले डालकर चटकने दें। अब इसमें बारीक कटा प्याज़ डालें और कच्ची महक आने तक भूनें। बारीक कटा हुआ लहसुन और अदरक डालें और सुनहरा होने तक भूनें। इसे भिगोए हुए काजू और पानी के साथ पीसकर चिकना पेस्ट बना लें। इसे मिक्सिंग बाउल में डालें। इसमें चिकन डालें और अच्छी तरह से मैरीनेट करें, आप इसमें धनिया पाउडर, कसूरी मेथी, हल्दी, लाल मिर्च पाउडर और नमक भी डाल सकते हैं। फूलगोभी को वेजिटेबल स्टीमर में स्टीम करें और उन्हें भी मैरीनेट में डालकर अच्छी तरह मिलाएँ। एक लकड़ी की कटार में चिकन के टुकड़े, मिर्च और फूलगोभी को एक के बाद एक पिरोएँ। लकड़ी की कटार को गर्म ग्रिल में व्यवस्थित करें और उन्हें लगभग 15 मिनट तक पकाएँ, हर 5 मिनट में पलट दें। पकाते समय चिकन के ऊपर बचा हुआ मैरीनेट ब्रश करें। चिकन पकाते समय ट्रे पर पानी छोड़ देगा और यह अपेक्षित है। ऊपर से थोड़ा तेल डालें और पलटते रहें और दोनों तरफ समान रूप से पकाएँ। चिकन पक जाने के बाद, कटार को ग्रिल से हटाएँ और ठंडा होने दें। ज़्यादा न पकाएँ क्योंकि चिकन सख्त हो सकता है और उसका रस खो सकता है। कसूरी मलाई मुर्ग टिक्का रेसिपी को बुरानी रायता और हैदराबादी वेजिटेबल बिरयानी के साथ परोसें ताकि यह एक संपूर्ण भोजन बन जाए।</v>
      </c>
      <c r="J412" s="3" t="s">
        <v>32642</v>
      </c>
      <c r="L412" s="1" t="s">
        <v>31003</v>
      </c>
    </row>
    <row r="413" spans="1:12" ht="13.8">
      <c r="A413" s="1" t="s">
        <v>32643</v>
      </c>
      <c r="B413" s="1" t="str">
        <f ca="1">IFERROR(__xludf.dummyfunction("IF(A413="""", """", GOOGLETRANSLATE(A413, ""en"", ""hi""))"),"मूली और मूंग दाल की सब्जी रेसिपी")</f>
        <v>मूली और मूंग दाल की सब्जी रेसिपी</v>
      </c>
      <c r="C413" s="1" t="s">
        <v>145</v>
      </c>
      <c r="D413" s="1" t="s">
        <v>14237</v>
      </c>
      <c r="E413" s="1">
        <v>25</v>
      </c>
      <c r="F413" s="1" t="s">
        <v>32644</v>
      </c>
      <c r="G413" s="1" t="str">
        <f ca="1">IFERROR(__xludf.dummyfunction("IF(F413="""", """", GOOGLETRANSLATE(F413, ""en"", ""hi""))"),"2 मूली - छीलकर मोटा-मोटा कद्दूकस कर लें, मूली के पत्ते - कटे हुए (मुट्ठी भर), 1/2 कप पीली मूंग दाल - 30 मिनट तक गर्म पानी में भिगोई हुई, 4 लहसुन की कलियां - कटी हुई (वैकल्पिक), 1 बड़ा चम्मच सूरजमुखी तेल, 1 छोटा चम्मच सरसों के बीज, 1/2 छोटा चम्मच जीरा, 1/2"&amp;" छोटा चम्मच हल्दी, 1/4 छोटा चम्मच हींग, 4 हरी मिर्च - कटी हुई, 1/2 छोटा चम्मच चीनी - (वैकल्पिक), नमक - आवश्यकतानुसार")</f>
        <v>2 मूली - छीलकर मोटा-मोटा कद्दूकस कर लें, मूली के पत्ते - कटे हुए (मुट्ठी भर), 1/2 कप पीली मूंग दाल - 30 मिनट तक गर्म पानी में भिगोई हुई, 4 लहसुन की कलियां - कटी हुई (वैकल्पिक), 1 बड़ा चम्मच सूरजमुखी तेल, 1 छोटा चम्मच सरसों के बीज, 1/2 छोटा चम्मच जीरा, 1/2 छोटा चम्मच हल्दी, 1/4 छोटा चम्मच हींग, 4 हरी मिर्च - कटी हुई, 1/2 छोटा चम्मच चीनी - (वैकल्पिक), नमक - आवश्यकतानुसार</v>
      </c>
      <c r="H413" s="1" t="s">
        <v>32645</v>
      </c>
      <c r="I413" s="1" t="str">
        <f ca="1">IFERROR(__xludf.dummyfunction("IF(H413="""", """", GOOGLETRANSLATE(H413, ""en"", ""hi""))"),"मूली और मूंग दाल की सब्जी बनाने की विधि सबसे पहले एक भारी तले की कड़ाही में तेल गर्म करें। उसमें राई डालें और जब वह फूटने लगे तो उसमें जीरा डालें। इसे 30 सेकंड तक पकने दें। 30 सेकंड के बाद, लहसुन, हींग, हल्दी पाउडर, हरी मिर्च डालें और कुछ सेकंड के लिए भून"&amp;"ें। पानी निथार लें, मूंग दाल डालें और मिलाएँ। 2-3 मिनट तक ढककर पकाएँ जब तक दाल लगभग पक न जाए। यदि आवश्यक हो तो एक बड़ा चम्मच पानी डालें। मूली और साग डालें। नमक, चीनी डालें, मिलाएँ और 1-2 मिनट तक पकाएँ जब तक कि मूली थोड़ी नरम न हो जाए। ज़्यादा न पकाएँ। यह "&amp;"परोसने के लिए तैयार है। मूली और मूंग दाल की सब्जी को गुजराती कढ़ी, कचुम्बर सलाद और फुल्के के साथ सप्ताह के दिनों में दोपहर के भोजन के लिए परोसें।")</f>
        <v>मूली और मूंग दाल की सब्जी बनाने की विधि सबसे पहले एक भारी तले की कड़ाही में तेल गर्म करें। उसमें राई डालें और जब वह फूटने लगे तो उसमें जीरा डालें। इसे 30 सेकंड तक पकने दें। 30 सेकंड के बाद, लहसुन, हींग, हल्दी पाउडर, हरी मिर्च डालें और कुछ सेकंड के लिए भूनें। पानी निथार लें, मूंग दाल डालें और मिलाएँ। 2-3 मिनट तक ढककर पकाएँ जब तक दाल लगभग पक न जाए। यदि आवश्यक हो तो एक बड़ा चम्मच पानी डालें। मूली और साग डालें। नमक, चीनी डालें, मिलाएँ और 1-2 मिनट तक पकाएँ जब तक कि मूली थोड़ी नरम न हो जाए। ज़्यादा न पकाएँ। यह परोसने के लिए तैयार है। मूली और मूंग दाल की सब्जी को गुजराती कढ़ी, कचुम्बर सलाद और फुल्के के साथ सप्ताह के दिनों में दोपहर के भोजन के लिए परोसें।</v>
      </c>
      <c r="J413" s="3" t="s">
        <v>32646</v>
      </c>
      <c r="L413" s="1" t="s">
        <v>31003</v>
      </c>
    </row>
    <row r="414" spans="1:12" ht="13.8">
      <c r="A414" s="1" t="s">
        <v>32647</v>
      </c>
      <c r="B414" s="1" t="str">
        <f ca="1">IFERROR(__xludf.dummyfunction("IF(A414="""", """", GOOGLETRANSLATE(A414, ""en"", ""hi""))"),"आलू मेथी की सब्जी रेसिपी - आलू मेथी के पत्तों की सब्जी")</f>
        <v>आलू मेथी की सब्जी रेसिपी - आलू मेथी के पत्तों की सब्जी</v>
      </c>
      <c r="C414" s="1" t="s">
        <v>145</v>
      </c>
      <c r="D414" s="1" t="s">
        <v>14198</v>
      </c>
      <c r="E414" s="1">
        <v>50</v>
      </c>
      <c r="F414" s="1" t="s">
        <v>32648</v>
      </c>
      <c r="G414" s="1" t="str">
        <f ca="1">IFERROR(__xludf.dummyfunction("IF(F414="""", """", GOOGLETRANSLATE(F414, ""en"", ""hi""))"),"500 ग्राम बेबी आलू - उबले हुए, 2 कप मेथी के पत्ते (मेथी के पत्ते) - धोए और कटे हुए, 2 बड़े चम्मच सूरजमुखी तेल, 1 चम्मच जीरा (जीरा), 2 प्याज - पतले कटे हुए, 1 इंच अदरक - बारीक कटा हुआ, 4 लौंग लहसुन - बारीक कटा हुआ, 1 तेज पत्ता (तेज पत्ता) - फटा हुआ, 1 इंच "&amp;"दालचीनी स्टिक (दालचीनी) - टूटी हुई, 1/2 चम्मच हल्दी पाउडर (हल्दी), 1/2 चम्मच गरम मसाला पाउडर, 1/2 चम्मच धनिया पाउडर (धनिया), 1/4 चम्मच लाल मिर्च पाउडर, 1 चम्मच आमचूर (सूखा आम पाउडर), नमक - स्वादानुसार")</f>
        <v>500 ग्राम बेबी आलू - उबले हुए, 2 कप मेथी के पत्ते (मेथी के पत्ते) - धोए और कटे हुए, 2 बड़े चम्मच सूरजमुखी तेल, 1 चम्मच जीरा (जीरा), 2 प्याज - पतले कटे हुए, 1 इंच अदरक - बारीक कटा हुआ, 4 लौंग लहसुन - बारीक कटा हुआ, 1 तेज पत्ता (तेज पत्ता) - फटा हुआ, 1 इंच दालचीनी स्टिक (दालचीनी) - टूटी हुई, 1/2 चम्मच हल्दी पाउडर (हल्दी), 1/2 चम्मच गरम मसाला पाउडर, 1/2 चम्मच धनिया पाउडर (धनिया), 1/4 चम्मच लाल मिर्च पाउडर, 1 चम्मच आमचूर (सूखा आम पाउडर), नमक - स्वादानुसार</v>
      </c>
      <c r="H414" s="1" t="s">
        <v>32649</v>
      </c>
      <c r="I414" s="1" t="str">
        <f ca="1">IFERROR(__xludf.dummyfunction("IF(H414="""", """", GOOGLETRANSLATE(H414, ""en"", ""hi""))"),"आलू मेथी की सब्जी बनाने के लिए सबसे पहले हम आलू को पका लेंगे। मैं उबले हुए आलू को एक दो घंटे के लिए फ्रिज में रखना पसंद करता हूं फिर उन्हें एक पैन में भून लेता हूं। आलू मेथी की सब्जी बनाने की प्रक्रिया तीन चरण की है। पहले मेथी के पत्तों को पकाएं और फिर आल"&amp;"ू को मसालों के साथ भूनें और अंत में मेथी और आलू को एक साथ मिलाएं। मध्यम आंच पर एक पैन में तेल गर्म करें, उसमें कटी हुई मेथी के पत्ते डालें और तब तक भूनें जब तक कि मेथी के पत्ते नरम न हो जाएं और मुरझा न जाएं। थोड़ा नमक छिड़कें और एक तरफ रख दें। इसके बाद, म"&amp;"ध्यम आंच पर एक पैन में तेल गर्म करें, उसमें जीरा डालें और उसे चटकने दें। इसमें प्याज, अदरक और लहसुन डालें और प्याज के नरम होने तक भूनें। उबले और छिले हुए आलू, तेजपत्ता, दालचीनी, हल्दी पाउडर, लाल मिर्च पाउडर, अमचूर, धनिया पाउडर, गरम मसाला पाउडर और नमक डाले"&amp;"ं। सभी सामग्री को अच्छी तरह मिलाने के लिए हिलाएं और आलू को मसालों के साथ 10 मिनट तक भूनने के लिए आंच धीमी कर दें। 10 मिनट के बाद, जब आलू ने सारा मसाला सोख लिया हो, तो पकी हुई मेथी की पत्तियां डालें और स्वादिष्ट आलू मेथी की सब्जी बनाने के लिए एक मिनट से भी"&amp;" कम समय तक मिलाएं। इसे चखें और मसालों को अपने हिसाब से समायोजित करें। हो जाने के बाद, आंच बंद कर दें और आलू मेथी की सब्जी को एक सर्विंग बाउल में डालें और गर्मागर्म परोसें। अपने परिवार के साथ त्वरित सप्ताह की रात के खाने के लिए आलू मेथी की सब्जी को तवा परा"&amp;"ठा और कढ़ी के साथ परोसें। इसे अधिक भरने और पौष्टिक बनाने के लिए आप इस भोजन के साथ कचुम्बर सलाद भी परोस सकते हैं।")</f>
        <v>आलू मेथी की सब्जी बनाने के लिए सबसे पहले हम आलू को पका लेंगे। मैं उबले हुए आलू को एक दो घंटे के लिए फ्रिज में रखना पसंद करता हूं फिर उन्हें एक पैन में भून लेता हूं। आलू मेथी की सब्जी बनाने की प्रक्रिया तीन चरण की है। पहले मेथी के पत्तों को पकाएं और फिर आलू को मसालों के साथ भूनें और अंत में मेथी और आलू को एक साथ मिलाएं। मध्यम आंच पर एक पैन में तेल गर्म करें, उसमें कटी हुई मेथी के पत्ते डालें और तब तक भूनें जब तक कि मेथी के पत्ते नरम न हो जाएं और मुरझा न जाएं। थोड़ा नमक छिड़कें और एक तरफ रख दें। इसके बाद, मध्यम आंच पर एक पैन में तेल गर्म करें, उसमें जीरा डालें और उसे चटकने दें। इसमें प्याज, अदरक और लहसुन डालें और प्याज के नरम होने तक भूनें। उबले और छिले हुए आलू, तेजपत्ता, दालचीनी, हल्दी पाउडर, लाल मिर्च पाउडर, अमचूर, धनिया पाउडर, गरम मसाला पाउडर और नमक डालें। सभी सामग्री को अच्छी तरह मिलाने के लिए हिलाएं और आलू को मसालों के साथ 10 मिनट तक भूनने के लिए आंच धीमी कर दें। 10 मिनट के बाद, जब आलू ने सारा मसाला सोख लिया हो, तो पकी हुई मेथी की पत्तियां डालें और स्वादिष्ट आलू मेथी की सब्जी बनाने के लिए एक मिनट से भी कम समय तक मिलाएं। इसे चखें और मसालों को अपने हिसाब से समायोजित करें। हो जाने के बाद, आंच बंद कर दें और आलू मेथी की सब्जी को एक सर्विंग बाउल में डालें और गर्मागर्म परोसें। अपने परिवार के साथ त्वरित सप्ताह की रात के खाने के लिए आलू मेथी की सब्जी को तवा पराठा और कढ़ी के साथ परोसें। इसे अधिक भरने और पौष्टिक बनाने के लिए आप इस भोजन के साथ कचुम्बर सलाद भी परोस सकते हैं।</v>
      </c>
      <c r="J414" s="3" t="s">
        <v>32650</v>
      </c>
      <c r="L414" s="1" t="s">
        <v>31003</v>
      </c>
    </row>
    <row r="415" spans="1:12" ht="13.8">
      <c r="A415" s="1" t="s">
        <v>32651</v>
      </c>
      <c r="B415" s="1" t="str">
        <f ca="1">IFERROR(__xludf.dummyfunction("IF(A415="""", """", GOOGLETRANSLATE(A415, ""en"", ""hi""))"),"शाकाहारी मलाई गोभी रेसिपी")</f>
        <v>शाकाहारी मलाई गोभी रेसिपी</v>
      </c>
      <c r="C415" s="1" t="s">
        <v>145</v>
      </c>
      <c r="D415" s="1" t="s">
        <v>14198</v>
      </c>
      <c r="E415" s="1">
        <v>30</v>
      </c>
      <c r="F415" s="1" t="s">
        <v>32652</v>
      </c>
      <c r="G415" s="1" t="str">
        <f ca="1">IFERROR(__xludf.dummyfunction("IF(F415="""", """", GOOGLETRANSLATE(F415, ""en"", ""hi""))"),"2 कप फूलगोभी - छोटे फूलों में कटी हुई, 1/4 कप काजू - बारीक पीस लें, 1/4 कप नारियल का दूध, 1 प्याज - मोटा कटा हुआ, 2 लहसुन के दाने, 1 इंच अदरक, 1 हरी मिर्च, 2 लौंग, 1 तेज पत्ता, 1/2 छोटा चम्मच गरम मसाला पाउडर, 1/2 छोटा चम्मच काली मिर्च पाउडर, इलायची पाउडर "&amp;"- चुटकी भर, 2 छोटे चम्मच कसूरी मेथी, 1 हरी मिर्च - सजाने के लिए कटी हुई, 2 छोटे चम्मच सूरजमुखी तेल, नमक - स्वादानुसार")</f>
        <v>2 कप फूलगोभी - छोटे फूलों में कटी हुई, 1/4 कप काजू - बारीक पीस लें, 1/4 कप नारियल का दूध, 1 प्याज - मोटा कटा हुआ, 2 लहसुन के दाने, 1 इंच अदरक, 1 हरी मिर्च, 2 लौंग, 1 तेज पत्ता, 1/2 छोटा चम्मच गरम मसाला पाउडर, 1/2 छोटा चम्मच काली मिर्च पाउडर, इलायची पाउडर - चुटकी भर, 2 छोटे चम्मच कसूरी मेथी, 1 हरी मिर्च - सजाने के लिए कटी हुई, 2 छोटे चम्मच सूरजमुखी तेल, नमक - स्वादानुसार</v>
      </c>
      <c r="H415" s="1" t="s">
        <v>32653</v>
      </c>
      <c r="I415" s="1" t="str">
        <f ca="1">IFERROR(__xludf.dummyfunction("IF(H415="""", """", GOOGLETRANSLATE(H415, ""en"", ""hi""))"),"वेगन मलाई गोभी रेसिपी बनाने के लिए, फूलगोभी को साफ करके छोटे-छोटे टुकड़ों में काट लें। इसे गर्म पानी में थोड़ा नमक डालकर भिगो दें और एक तरफ रख दें। मिक्सर ग्राइंडर का उपयोग करके थोड़े पानी के साथ काजू का बारीक पेस्ट बना लें और एक तरफ रख दें। एक भारी तली व"&amp;"ाले पैन में तेल गरम करें, उसमें लौंग, तेज पत्ता डालें और तेल को खुशबूदार होने दें। ब्लेंडर का उपयोग करके प्याज, अदरक, लहसुन और हरी मिर्च का बारीक पेस्ट बना लें और इसे पैन में डालें। इसे तब तक पकने दें जब तक कि कच्ची महक न चली जाए। गर्म पानी से फूलगोभी के "&amp;"फूलों को निकाल लें और पैन में डालें। एक मिनट तक भूनें। गरम मसाला, इलायची और काली मिर्च पाउडर, 1 कप पानी डालें और फूलगोभी के फूलों को ढक्कन बंद करके 3/4 तक पकने दें। इसमें लगभग 8 से 10 मिनट का समय लगेगा। काजू का पेस्ट डालें, नमक डालें और 2 मिनट तक उबालें। "&amp;"नारियल का दूध डालें और थोड़ा पानी डालकर गाढ़ापन समायोजित करें और इसे 5 मिनट तक उबलने दें और आँच बंद कर दें। कसूरी मेथी को अपनी हथेलियों के बीच हल्का सा मसल लें और इसे मलाई गोभी में हरी मिर्च के साथ गार्निश के रूप में मिला दें। शाकाहारी मलाई गोभी रेसिपी को"&amp;" फुल्के और टमाटर प्याज ककड़ी रायता के साथ सप्ताह के दिनों में दोपहर के भोजन या रात के खाने के लिए परोसें।")</f>
        <v>वेगन मलाई गोभी रेसिपी बनाने के लिए, फूलगोभी को साफ करके छोटे-छोटे टुकड़ों में काट लें। इसे गर्म पानी में थोड़ा नमक डालकर भिगो दें और एक तरफ रख दें। मिक्सर ग्राइंडर का उपयोग करके थोड़े पानी के साथ काजू का बारीक पेस्ट बना लें और एक तरफ रख दें। एक भारी तली वाले पैन में तेल गरम करें, उसमें लौंग, तेज पत्ता डालें और तेल को खुशबूदार होने दें। ब्लेंडर का उपयोग करके प्याज, अदरक, लहसुन और हरी मिर्च का बारीक पेस्ट बना लें और इसे पैन में डालें। इसे तब तक पकने दें जब तक कि कच्ची महक न चली जाए। गर्म पानी से फूलगोभी के फूलों को निकाल लें और पैन में डालें। एक मिनट तक भूनें। गरम मसाला, इलायची और काली मिर्च पाउडर, 1 कप पानी डालें और फूलगोभी के फूलों को ढक्कन बंद करके 3/4 तक पकने दें। इसमें लगभग 8 से 10 मिनट का समय लगेगा। काजू का पेस्ट डालें, नमक डालें और 2 मिनट तक उबालें। नारियल का दूध डालें और थोड़ा पानी डालकर गाढ़ापन समायोजित करें और इसे 5 मिनट तक उबलने दें और आँच बंद कर दें। कसूरी मेथी को अपनी हथेलियों के बीच हल्का सा मसल लें और इसे मलाई गोभी में हरी मिर्च के साथ गार्निश के रूप में मिला दें। शाकाहारी मलाई गोभी रेसिपी को फुल्के और टमाटर प्याज ककड़ी रायता के साथ सप्ताह के दिनों में दोपहर के भोजन या रात के खाने के लिए परोसें।</v>
      </c>
      <c r="J415" s="3" t="s">
        <v>32654</v>
      </c>
      <c r="L415" s="1" t="s">
        <v>31003</v>
      </c>
    </row>
    <row r="416" spans="1:12" ht="13.8">
      <c r="A416" s="1" t="s">
        <v>32655</v>
      </c>
      <c r="B416" s="1" t="str">
        <f ca="1">IFERROR(__xludf.dummyfunction("IF(A416="""", """", GOOGLETRANSLATE(A416, ""en"", ""hi""))"),"खट्टी मीठी पालक खिचड़ी रेसिपी")</f>
        <v>खट्टी मीठी पालक खिचड़ी रेसिपी</v>
      </c>
      <c r="C416" s="1" t="s">
        <v>429</v>
      </c>
      <c r="D416" s="1" t="s">
        <v>14198</v>
      </c>
      <c r="E416" s="1">
        <v>30</v>
      </c>
      <c r="F416" s="1" t="s">
        <v>32656</v>
      </c>
      <c r="G416" s="1" t="str">
        <f ca="1">IFERROR(__xludf.dummyfunction("IF(F416="""", """", GOOGLETRANSLATE(F416, ""en"", ""hi""))"),"1 बड़ा चम्मच घी, 1/2 छोटा चम्मच सरसों के बीज, 1/2 छोटा चम्मच जीरा, 1 टमाटर - बारीक कटा हुआ, 2 इंच अदरक - बारीक कटा हुआ, 1 इंच दालचीनी - टूटी हुई, 1 तेज पत्ता - फटा हुआ, 1/2 छोटा चम्मच हल्दी पाउडर, 1/2 छोटा चम्मच लाल मिर्च पाउडर, 1/4 छोटा चम्मच हींग, 1 बड़"&amp;"ा चम्मच गुड़, 1 नींबू - रस निकाला हुआ, नमक - स्वादानुसार, 3/4 कप चावल, 3/4 कप अरहर दाल, 300 ग्राम पालक - कटा हुआ, 2 बड़े चम्मच घी - खिचड़ी पकने के बाद डालने के लिए")</f>
        <v>1 बड़ा चम्मच घी, 1/2 छोटा चम्मच सरसों के बीज, 1/2 छोटा चम्मच जीरा, 1 टमाटर - बारीक कटा हुआ, 2 इंच अदरक - बारीक कटा हुआ, 1 इंच दालचीनी - टूटी हुई, 1 तेज पत्ता - फटा हुआ, 1/2 छोटा चम्मच हल्दी पाउडर, 1/2 छोटा चम्मच लाल मिर्च पाउडर, 1/4 छोटा चम्मच हींग, 1 बड़ा चम्मच गुड़, 1 नींबू - रस निकाला हुआ, नमक - स्वादानुसार, 3/4 कप चावल, 3/4 कप अरहर दाल, 300 ग्राम पालक - कटा हुआ, 2 बड़े चम्मच घी - खिचड़ी पकने के बाद डालने के लिए</v>
      </c>
      <c r="H416" s="1" t="s">
        <v>32657</v>
      </c>
      <c r="I416" s="1" t="str">
        <f ca="1">IFERROR(__xludf.dummyfunction("IF(H416="""", """", GOOGLETRANSLATE(H416, ""en"", ""hi""))"),"खट्टी मीठी पालक खिचड़ी बनाने के लिए सबसे पहले सभी सामग्री तैयार कर लें और उन्हें रख लें। हम पालक को अलग से पकाएंगे और फिर इसे खिचड़ी में मिला देंगे। यह पालक के पोषण और ताजा हरा रंग बरकरार रखने में मदद करेगा। कटी हुई पालक को प्रेशर कुकर में डालें, 2 बड़े च"&amp;"म्मच पानी डालें, प्रेशर कुकर को ढक दें और 2 सीटी आने तक पकाएं। 2 सीटी आने के बाद आंच बंद कर दें। प्रेशर कुकर को या तो ठंडे पानी से धोकर या प्रेशर छोड़ने के लिए कांटे की मदद से वजन उठाकर इसकी आंच कम करें। प्रेशर तुरंत छोड़ने से पालक का ताजा हरा रंग बरकरार "&amp;"रखने में मदद मिलती है। प्रेशर कुकर खोलें और पालक को एक तरफ रख दें। अगला कदम खट्टी मीठी पालक खिचड़ी बनाना है। चावल और तुअर दाल को पानी से धो लें, अतिरिक्त पानी निकाल दें और एक तरफ रख दें अदरक, टमाटर, हरी मिर्च, हल्दी पाउडर, लाल मिर्च पाउडर, हींग डालें और ट"&amp;"माटर के नरम होने तक भूनें। धुले हुए चावल और दाल, नमक, गुड़, 4 कप पानी डालें और प्रेशर कुकर को ढक दें। खिचड़ी को लगभग 4 से 5 सीटी आने तक पकाएँ और आँच बंद कर दें। प्रेशर को स्वाभाविक रूप से निकलने दें क्योंकि प्रेशर के रहते खिचड़ी पकती रहेगी। प्रेशर निकल जा"&amp;"ने के बाद, कुकर खोलें और पका हुआ पालक डालकर चलाएँ। नींबू का रस और अतिरिक्त घी डालकर चलाएँ और 2 मिनट तक उबालें। आँच बंद कर दें और स्वाद जाँचें और नमक और मसाले अपने हिसाब से डालें। पक जाने के बाद, खट्टी मीठी पालक खिचड़ी को एक सर्विंग बाउल में डालें और गरमाग"&amp;"रम परोसें। खट्टी मीठी पालक खिचड़ी को घी, कटे हुए प्याज़ और पापड़ के साथ परोसें।")</f>
        <v>खट्टी मीठी पालक खिचड़ी बनाने के लिए सबसे पहले सभी सामग्री तैयार कर लें और उन्हें रख लें। हम पालक को अलग से पकाएंगे और फिर इसे खिचड़ी में मिला देंगे। यह पालक के पोषण और ताजा हरा रंग बरकरार रखने में मदद करेगा। कटी हुई पालक को प्रेशर कुकर में डालें, 2 बड़े चम्मच पानी डालें, प्रेशर कुकर को ढक दें और 2 सीटी आने तक पकाएं। 2 सीटी आने के बाद आंच बंद कर दें। प्रेशर कुकर को या तो ठंडे पानी से धोकर या प्रेशर छोड़ने के लिए कांटे की मदद से वजन उठाकर इसकी आंच कम करें। प्रेशर तुरंत छोड़ने से पालक का ताजा हरा रंग बरकरार रखने में मदद मिलती है। प्रेशर कुकर खोलें और पालक को एक तरफ रख दें। अगला कदम खट्टी मीठी पालक खिचड़ी बनाना है। चावल और तुअर दाल को पानी से धो लें, अतिरिक्त पानी निकाल दें और एक तरफ रख दें अदरक, टमाटर, हरी मिर्च, हल्दी पाउडर, लाल मिर्च पाउडर, हींग डालें और टमाटर के नरम होने तक भूनें। धुले हुए चावल और दाल, नमक, गुड़, 4 कप पानी डालें और प्रेशर कुकर को ढक दें। खिचड़ी को लगभग 4 से 5 सीटी आने तक पकाएँ और आँच बंद कर दें। प्रेशर को स्वाभाविक रूप से निकलने दें क्योंकि प्रेशर के रहते खिचड़ी पकती रहेगी। प्रेशर निकल जाने के बाद, कुकर खोलें और पका हुआ पालक डालकर चलाएँ। नींबू का रस और अतिरिक्त घी डालकर चलाएँ और 2 मिनट तक उबालें। आँच बंद कर दें और स्वाद जाँचें और नमक और मसाले अपने हिसाब से डालें। पक जाने के बाद, खट्टी मीठी पालक खिचड़ी को एक सर्विंग बाउल में डालें और गरमागरम परोसें। खट्टी मीठी पालक खिचड़ी को घी, कटे हुए प्याज़ और पापड़ के साथ परोसें।</v>
      </c>
      <c r="J416" s="3" t="s">
        <v>32658</v>
      </c>
      <c r="L416" s="1" t="s">
        <v>31003</v>
      </c>
    </row>
    <row r="417" spans="1:12" ht="13.8">
      <c r="A417" s="1" t="s">
        <v>32659</v>
      </c>
      <c r="B417" s="1" t="str">
        <f ca="1">IFERROR(__xludf.dummyfunction("IF(A417="""", """", GOOGLETRANSLATE(A417, ""en"", ""hi""))"),"लहसुनी पालक दाल रेसिपी (लहसुन के साथ पालक और दाल की सब्जी)")</f>
        <v>लहसुनी पालक दाल रेसिपी (लहसुन के साथ पालक और दाल की सब्जी)</v>
      </c>
      <c r="C417" s="1" t="s">
        <v>145</v>
      </c>
      <c r="D417" s="1" t="s">
        <v>14237</v>
      </c>
      <c r="E417" s="1">
        <v>50</v>
      </c>
      <c r="F417" s="1" t="s">
        <v>32660</v>
      </c>
      <c r="G417" s="1" t="str">
        <f ca="1">IFERROR(__xludf.dummyfunction("IF(F417="""", """", GOOGLETRANSLATE(F417, ""en"", ""hi""))"),"1/2 कप पीली मूंग दाल, 150 ग्राम पालक - बारीक कटा हुआ, 1/2 छोटा चम्मच हल्दी, 1/2 छोटा चम्मच लाल मिर्च पाउडर, 1 छोटा चम्मच जीरा, नमक - स्वादानुसार, 1 छोटा चम्मच सूरजमुखी तेल, 1 छोटा चम्मच घी, 1/2 छोटा चम्मच जीरा, 5 लहसुन - बारीक कटा हुआ")</f>
        <v>1/2 कप पीली मूंग दाल, 150 ग्राम पालक - बारीक कटा हुआ, 1/2 छोटा चम्मच हल्दी, 1/2 छोटा चम्मच लाल मिर्च पाउडर, 1 छोटा चम्मच जीरा, नमक - स्वादानुसार, 1 छोटा चम्मच सूरजमुखी तेल, 1 छोटा चम्मच घी, 1/2 छोटा चम्मच जीरा, 5 लहसुन - बारीक कटा हुआ</v>
      </c>
      <c r="H417" s="1" t="s">
        <v>32661</v>
      </c>
      <c r="I417" s="1" t="str">
        <f ca="1">IFERROR(__xludf.dummyfunction("IF(H417="""", """", GOOGLETRANSLATE(H417, ""en"", ""hi""))"),"लहसुनी पालक दाल रेसिपी बनाने के लिए सबसे पहले हम दाल को नरम होने तक पकाएंगे। मूंग दाल को धोकर प्रेशर कुकर में रखें। नमक और 3 कप पानी डालें, पैन को ढक दें, वजन रखें और एक सीटी आने तक प्रेशर कुक करें। पहली सीटी आने के बाद, आँच धीमी कर दें और दाल को 3 से 4 म"&amp;"िनट तक धीमी आंच पर पकाएं। लगभग 3 से 4 मिनट के बाद, आँच बंद कर दें और प्रेशर को अपने आप निकलने दें। आँच बंद करने के बाद भी दाल प्रेशर में पकती रहती है। दाल पक जाने के बाद, इसे चिकना होने तक फेंटें और एक तरफ रख दें। हमारा अगला कदम पालक को पकाना है। मध्यम आँ"&amp;"च पर एक भारी तले की कड़ाही में घी गर्म करें; कटा हुआ पालक, हल्दी पाउडर, लाल मिर्च पाउडर, जीरा पाउडर और नमक डालें आंच बंद कर दें और दाल पालक को एक सर्विंग बाउल में डालें। एक छोटे पैन में घी गरम करें, उसमें जीरा और लहसुन डालें। लहसुन के हल्के भूरे होने और ख"&amp;"ुशबू आने तक भूनें। दाल पालक पर लहसुन तड़का डालें और परोसें। लहसुन पालक दाल को फुल्का या उबले चावल के साथ परोसें।")</f>
        <v>लहसुनी पालक दाल रेसिपी बनाने के लिए सबसे पहले हम दाल को नरम होने तक पकाएंगे। मूंग दाल को धोकर प्रेशर कुकर में रखें। नमक और 3 कप पानी डालें, पैन को ढक दें, वजन रखें और एक सीटी आने तक प्रेशर कुक करें। पहली सीटी आने के बाद, आँच धीमी कर दें और दाल को 3 से 4 मिनट तक धीमी आंच पर पकाएं। लगभग 3 से 4 मिनट के बाद, आँच बंद कर दें और प्रेशर को अपने आप निकलने दें। आँच बंद करने के बाद भी दाल प्रेशर में पकती रहती है। दाल पक जाने के बाद, इसे चिकना होने तक फेंटें और एक तरफ रख दें। हमारा अगला कदम पालक को पकाना है। मध्यम आँच पर एक भारी तले की कड़ाही में घी गर्म करें; कटा हुआ पालक, हल्दी पाउडर, लाल मिर्च पाउडर, जीरा पाउडर और नमक डालें आंच बंद कर दें और दाल पालक को एक सर्विंग बाउल में डालें। एक छोटे पैन में घी गरम करें, उसमें जीरा और लहसुन डालें। लहसुन के हल्के भूरे होने और खुशबू आने तक भूनें। दाल पालक पर लहसुन तड़का डालें और परोसें। लहसुन पालक दाल को फुल्का या उबले चावल के साथ परोसें।</v>
      </c>
      <c r="J417" s="3" t="s">
        <v>32662</v>
      </c>
      <c r="L417" s="1" t="s">
        <v>31003</v>
      </c>
    </row>
    <row r="418" spans="1:12" ht="13.8">
      <c r="A418" s="1" t="s">
        <v>32663</v>
      </c>
      <c r="B418" s="1" t="str">
        <f ca="1">IFERROR(__xludf.dummyfunction("IF(A418="""", """", GOOGLETRANSLATE(A418, ""en"", ""hi""))"),"खजूर इमली की चटनी रेसिपी")</f>
        <v>खजूर इमली की चटनी रेसिपी</v>
      </c>
      <c r="C418" s="1" t="s">
        <v>14207</v>
      </c>
      <c r="D418" s="1" t="s">
        <v>14198</v>
      </c>
      <c r="E418" s="1">
        <v>90</v>
      </c>
      <c r="F418" s="1" t="s">
        <v>32664</v>
      </c>
      <c r="G418" s="1" t="str">
        <f ca="1">IFERROR(__xludf.dummyfunction("IF(F418="""", """", GOOGLETRANSLATE(F418, ""en"", ""hi""))"),"250 ग्राम खजूर - बीज निकाले हुए, 75 ग्राम इमली - बीज निकाले हुए, 4 बड़े चम्मच गुड़ - टुकडे़ किए हुए, 1 बड़ा चम्मच तेल, 4 सूखी लाल मिर्च, 1 बड़ा चम्मच पंच फोरन मसाला, नमक - स्वादानुसार")</f>
        <v>250 ग्राम खजूर - बीज निकाले हुए, 75 ग्राम इमली - बीज निकाले हुए, 4 बड़े चम्मच गुड़ - टुकडे़ किए हुए, 1 बड़ा चम्मच तेल, 4 सूखी लाल मिर्च, 1 बड़ा चम्मच पंच फोरन मसाला, नमक - स्वादानुसार</v>
      </c>
      <c r="H418" s="1" t="s">
        <v>32665</v>
      </c>
      <c r="I418" s="1" t="str">
        <f ca="1">IFERROR(__xludf.dummyfunction("IF(H418="""", """", GOOGLETRANSLATE(H418, ""en"", ""hi""))"),"खजूर इमली की चटनी बनाने के लिए सबसे पहले इमली को 1 घंटे के लिए पानी में भिगो दें। इमली के पानी को छानकर अलग रख लें। दूसरे बर्तन में गुड़ को 1 घंटे के लिए पानी में भिगो दें। गुड़ को कांटे की मदद से तोड़कर अच्छे से छान लें और एक बर्तन में निकाल लें। ब्लेंडर"&amp;" में खजूर और थोड़ा पानी डालकर पेस्ट बना लें। पैन गरम करें और उसमें इमली का पानी डालकर उबलने दें। उबलने के बाद गुड़, खजूर का पेस्ट, नमक डालकर अच्छे से मिला लें। अगर आपको पतली चटनी चाहिए तो इसमें थोड़ा पानी और मिला सकते हैं। अब दूसरे बर्तन में तेल गरम करें।"&amp;" इसमें सूखी लाल मिर्च, पंच तुरई मसाला डालकर 10 सेकंड तक पकने दें। इस तड़के को चटनी में डालें, गैस बंद कर दें और ठंडा होने दें। सर्व करें। खजूर इमली की चटनी को बारिश के मौसम में प्याज के पकौड़े और मसाला चाय के साथ सर्व करें।")</f>
        <v>खजूर इमली की चटनी बनाने के लिए सबसे पहले इमली को 1 घंटे के लिए पानी में भिगो दें। इमली के पानी को छानकर अलग रख लें। दूसरे बर्तन में गुड़ को 1 घंटे के लिए पानी में भिगो दें। गुड़ को कांटे की मदद से तोड़कर अच्छे से छान लें और एक बर्तन में निकाल लें। ब्लेंडर में खजूर और थोड़ा पानी डालकर पेस्ट बना लें। पैन गरम करें और उसमें इमली का पानी डालकर उबलने दें। उबलने के बाद गुड़, खजूर का पेस्ट, नमक डालकर अच्छे से मिला लें। अगर आपको पतली चटनी चाहिए तो इसमें थोड़ा पानी और मिला सकते हैं। अब दूसरे बर्तन में तेल गरम करें। इसमें सूखी लाल मिर्च, पंच तुरई मसाला डालकर 10 सेकंड तक पकने दें। इस तड़के को चटनी में डालें, गैस बंद कर दें और ठंडा होने दें। सर्व करें। खजूर इमली की चटनी को बारिश के मौसम में प्याज के पकौड़े और मसाला चाय के साथ सर्व करें।</v>
      </c>
      <c r="J418" s="3" t="s">
        <v>32666</v>
      </c>
      <c r="L418" s="1" t="s">
        <v>31003</v>
      </c>
    </row>
    <row r="419" spans="1:12" ht="13.8">
      <c r="A419" s="1" t="s">
        <v>32667</v>
      </c>
      <c r="B419" s="1" t="str">
        <f ca="1">IFERROR(__xludf.dummyfunction("IF(A419="""", """", GOOGLETRANSLATE(A419, ""en"", ""hi""))"),"काला देसी चना (रेसिपी इन हिंदी)")</f>
        <v>काला देसी चना (रेसिपी इन हिंदी)</v>
      </c>
      <c r="C419" s="1" t="s">
        <v>429</v>
      </c>
      <c r="D419" s="1" t="s">
        <v>14237</v>
      </c>
      <c r="E419" s="1">
        <v>45</v>
      </c>
      <c r="F419" s="1" t="s">
        <v>32668</v>
      </c>
      <c r="G419" s="1" t="str">
        <f ca="1">IFERROR(__xludf.dummyfunction("IF(F419="""", """", GOOGLETRANSLATE(F419, ""en"", ""hi""))"),"1 कप काले चने, 1 चम्मच जीरा, 1 इंच अदरक - छीलकर कद्दूकस किया हुआ, 1 चम्मच हल्दी पाउडर, 1 चम्मच लाल मिर्च पाउडर, 1 चम्मच गरम मसाला पाउडर, 1 चम्मच धनिया पाउडर, 2 बड़े चम्मच तेल, नमक - स्वादानुसार, 4 टहनियाँ धनिया पत्ती - गार्निश के लिए मोटे तौर पर कटी हुई, "&amp;"4 टहनियाँ धनिया पत्ती - गार्निश के लिए मोटे तौर पर कटी हुई")</f>
        <v>1 कप काले चने, 1 चम्मच जीरा, 1 इंच अदरक - छीलकर कद्दूकस किया हुआ, 1 चम्मच हल्दी पाउडर, 1 चम्मच लाल मिर्च पाउडर, 1 चम्मच गरम मसाला पाउडर, 1 चम्मच धनिया पाउडर, 2 बड़े चम्मच तेल, नमक - स्वादानुसार, 4 टहनियाँ धनिया पत्ती - गार्निश के लिए मोटे तौर पर कटी हुई, 4 टहनियाँ धनिया पत्ती - गार्निश के लिए मोटे तौर पर कटी हुई</v>
      </c>
      <c r="H419" s="1" t="s">
        <v>32669</v>
      </c>
      <c r="I419" s="1" t="str">
        <f ca="1">IFERROR(__xludf.dummyfunction("IF(H419="""", """", GOOGLETRANSLATE(H419, ""en"", ""hi""))"),"""काला देसी चना बनाने के लिए सबसे पहले छोले को 2 कप पानी में 6 घंटे के लिए भिगो दें। फिर पानी निथार लें। अब इन्हें 2-1/2 कप पानी के साथ प्रेशर कुकर में डालें। 4 सीटी आने तक पकाएँ, गैस बंद कर दें और प्रेशर अपने आप निकलने दें। इसे एक तरफ रख दें। अब एक सॉसपै"&amp;"न में तेल गर्म करें। इसमें जीरा डालें और 15 सेकंड तक पकने दें। अब इसमें अदरक डालें और 10 सेकंड तक पकने दें। इसके बाद इसमें हल्दी पाउडर, धनिया पाउडर, गरम मसाला, लाल मिर्च पाउडर, नमक और छोले डालें। मिलाएँ। मिलाएँ और पकने दें। उबाल आने के बाद आंच धीमी कर दें"&amp;" और 20 से 30 मिनट तक पकने दें। पकने के बाद हरे धनिये से गार्निश करें और सर्व करें। काला देसी चना को पूरी और बूंदी रायता के साथ लंच में सर्व करें।""")</f>
        <v>"काला देसी चना बनाने के लिए सबसे पहले छोले को 2 कप पानी में 6 घंटे के लिए भिगो दें। फिर पानी निथार लें। अब इन्हें 2-1/2 कप पानी के साथ प्रेशर कुकर में डालें। 4 सीटी आने तक पकाएँ, गैस बंद कर दें और प्रेशर अपने आप निकलने दें। इसे एक तरफ रख दें। अब एक सॉसपैन में तेल गर्म करें। इसमें जीरा डालें और 15 सेकंड तक पकने दें। अब इसमें अदरक डालें और 10 सेकंड तक पकने दें। इसके बाद इसमें हल्दी पाउडर, धनिया पाउडर, गरम मसाला, लाल मिर्च पाउडर, नमक और छोले डालें। मिलाएँ। मिलाएँ और पकने दें। उबाल आने के बाद आंच धीमी कर दें और 20 से 30 मिनट तक पकने दें। पकने के बाद हरे धनिये से गार्निश करें और सर्व करें। काला देसी चना को पूरी और बूंदी रायता के साथ लंच में सर्व करें।"</v>
      </c>
      <c r="J419" s="3" t="s">
        <v>32670</v>
      </c>
      <c r="L419" s="1" t="s">
        <v>31003</v>
      </c>
    </row>
    <row r="420" spans="1:12" ht="409.6">
      <c r="A420" s="1" t="s">
        <v>32671</v>
      </c>
      <c r="B420" s="1" t="str">
        <f ca="1">IFERROR(__xludf.dummyfunction("IF(A420="""", """", GOOGLETRANSLATE(A420, ""en"", ""hi""))"),"मूंग दाल तड़का")</f>
        <v>मूंग दाल तड़का</v>
      </c>
      <c r="C420" s="1" t="s">
        <v>145</v>
      </c>
      <c r="D420" s="1" t="s">
        <v>14237</v>
      </c>
      <c r="E420" s="1">
        <v>80</v>
      </c>
      <c r="F420" s="1" t="s">
        <v>32672</v>
      </c>
      <c r="G420" s="1" t="str">
        <f ca="1">IFERROR(__xludf.dummyfunction("IF(F420="""", """", GOOGLETRANSLATE(F420, ""en"", ""hi""))"),"1-1/2 कप पीली मूंग दाल, 4 टमाटर, 2 इंच अदरक, 4 हरी मिर्च, 1 चम्मच लाल मिर्च पाउडर, 2 चम्मच जीरा पाउडर, 2 चम्मच धनिया पाउडर, 2 चम्मच हल्दी पाउडर, 1 चम्मच जीरा, नमक - स्वादानुसार, पानी - उपयोगानुसार, तेल - उपयोगानुसार, 2 बड़े चम्मच घी, 2 चम्मच जीरा, 1 चम्मच"&amp;" लाल मिर्च पाउडर")</f>
        <v>1-1/2 कप पीली मूंग दाल, 4 टमाटर, 2 इंच अदरक, 4 हरी मिर्च, 1 चम्मच लाल मिर्च पाउडर, 2 चम्मच जीरा पाउडर, 2 चम्मच धनिया पाउडर, 2 चम्मच हल्दी पाउडर, 1 चम्मच जीरा, नमक - स्वादानुसार, पानी - उपयोगानुसार, तेल - उपयोगानुसार, 2 बड़े चम्मच घी, 2 चम्मच जीरा, 1 चम्मच लाल मिर्च पाउडर</v>
      </c>
      <c r="H420" s="1" t="s">
        <v>32673</v>
      </c>
      <c r="I420" s="4" t="str">
        <f ca="1">IFERROR(__xludf.dummyfunction("IF(H420="""", """", GOOGLETRANSLATE(H420, ""en"", ""hi""))"),"मूंग दाल तड़का बनाने के लिए सबसे पहले टमाटर, अदरक, हरी मिर्च को ब्लेंडर में डालकर पेस्ट बना लें। इसे एक तरफ रख दें। अब एक पैन में 1 बड़ा चम्मच तेल गर्म करें। इसमें जीरा डालें और इसे 30 सेकंड तक पकने दें। अब इसमें टमाटर, अदरक और हरी मिर्च का पेस्ट डालें। 5"&amp;" मिनट पकाने के बाद इसमें हल्दी पाउडर, लाल मिर्च पाउडर, जीरा पाउडर, धनिया पाउडर और नमक डालें। इसे 5 मिनट तक पकाएं और फिर दाल डालें। इसे 2 मिनट तक पकने दें। अब इसमें 1-1/2 कप पानी डालें, मिलाएँ और 20 से 30 मिनट तक पकने दें। इसे बीच-बीच में चेक करते रहें। यद"&amp;"ि आवश्यक हो तो पानी डालें और मिलाएँ। दाल पकने तक पकाएं। अब एक तड़का पैन में 2 बड़े चम्मच घी गर्म करें।
")</f>
        <v xml:space="preserve">मूंग दाल तड़का बनाने के लिए सबसे पहले टमाटर, अदरक, हरी मिर्च को ब्लेंडर में डालकर पेस्ट बना लें। इसे एक तरफ रख दें। अब एक पैन में 1 बड़ा चम्मच तेल गर्म करें। इसमें जीरा डालें और इसे 30 सेकंड तक पकने दें। अब इसमें टमाटर, अदरक और हरी मिर्च का पेस्ट डालें। 5 मिनट पकाने के बाद इसमें हल्दी पाउडर, लाल मिर्च पाउडर, जीरा पाउडर, धनिया पाउडर और नमक डालें। इसे 5 मिनट तक पकाएं और फिर दाल डालें। इसे 2 मिनट तक पकने दें। अब इसमें 1-1/2 कप पानी डालें, मिलाएँ और 20 से 30 मिनट तक पकने दें। इसे बीच-बीच में चेक करते रहें। यदि आवश्यक हो तो पानी डालें और मिलाएँ। दाल पकने तक पकाएं। अब एक तड़का पैन में 2 बड़े चम्मच घी गर्म करें।
</v>
      </c>
      <c r="J420" s="3" t="s">
        <v>32674</v>
      </c>
      <c r="L420" s="1" t="s">
        <v>31003</v>
      </c>
    </row>
    <row r="421" spans="1:12" ht="13.8">
      <c r="A421" s="1" t="s">
        <v>32675</v>
      </c>
      <c r="B421" s="1" t="str">
        <f ca="1">IFERROR(__xludf.dummyfunction("IF(A421="""", """", GOOGLETRANSLATE(A421, ""en"", ""hi""))"),"ढाबा स्टाइल उड़द दाल रेसिपी")</f>
        <v>ढाबा स्टाइल उड़द दाल रेसिपी</v>
      </c>
      <c r="C421" s="1" t="s">
        <v>145</v>
      </c>
      <c r="D421" s="1" t="s">
        <v>14237</v>
      </c>
      <c r="E421" s="1">
        <v>55</v>
      </c>
      <c r="F421" s="1" t="s">
        <v>32676</v>
      </c>
      <c r="G421" s="1" t="str">
        <f ca="1">IFERROR(__xludf.dummyfunction("IF(F421="""", """", GOOGLETRANSLATE(F421, ""en"", ""hi""))"),"1 कप सफेद उड़द दाल, 2 प्याज - पतले कटे हुए, 8 हरी मिर्च - अपनी आवश्यकता अनुसार संख्या बढ़ाएँ या घटाएँ, 6 लम्बे, 2 इंच अदरक, 1 बड़ा चम्मच धनिया पाउडर, 1/2 छोटा चम्मच हल्दी पाउडर, नमक - स्वादानुसार, 2 बड़े चम्मच तेल, पानी - आवश्यकता अनुसार, 1 बड़ा चम्मच तेल"&amp;", 1 प्याज - पतले कटे हुए, 1 छोटा चम्मच जीरा, 2 लहसुन की कलियाँ - कटी हुई, अदरक - पतले कटे हुए")</f>
        <v>1 कप सफेद उड़द दाल, 2 प्याज - पतले कटे हुए, 8 हरी मिर्च - अपनी आवश्यकता अनुसार संख्या बढ़ाएँ या घटाएँ, 6 लम्बे, 2 इंच अदरक, 1 बड़ा चम्मच धनिया पाउडर, 1/2 छोटा चम्मच हल्दी पाउडर, नमक - स्वादानुसार, 2 बड़े चम्मच तेल, पानी - आवश्यकता अनुसार, 1 बड़ा चम्मच तेल, 1 प्याज - पतले कटे हुए, 1 छोटा चम्मच जीरा, 2 लहसुन की कलियाँ - कटी हुई, अदरक - पतले कटे हुए</v>
      </c>
      <c r="H421" s="1" t="s">
        <v>32677</v>
      </c>
      <c r="I421" s="1" t="str">
        <f ca="1">IFERROR(__xludf.dummyfunction("IF(H421="""", """", GOOGLETRANSLATE(H421, ""en"", ""hi""))"),"ढाबा स्टाइल उड़द दाल रेसिपी बनाने के लिए उड़द दाल को अच्छी तरह से धोकर रात भर पानी में भिगो दें। अगले दिन दाल को धो लें। एक पैन में तेल गरम करें और दाल डालें। दाल को 4 से 5 मिनट तक भूनें। गर्म पानी, नमक डालें और दाल पकने तक पकाएँ। गैस बंद कर दें और एक तरफ"&amp;" रख दें। दाल को नरम होने तक न पकाएँ। एक मोर्टार में अदरक, हरी मिर्च, लहसुन को पीस लें। एक तरफ रख दें। एक पैन में तेल गरम करें। प्याज डालें और नरम होने तक पकाएँ। अदरक, लहसुन, हरी मिर्च का पेस्ट डालें और 3 से 4 मिनट तक पकाएँ। इसके बाद, धनिया पाउडर, हल्दी पा"&amp;"उडर, नमक डालें और 3 मिनट तक पकाएँ। पकी हुई दाल डालें और फिर से मिलाएँ। 2 मिनट बाद गैस बंद कर दें और दाल को एक कटोरे में निकाल लें। तड़के के लिए एक तड़का पैन गरम करें। जीरा डालें और उन्हें चटकने दें। जीरा चटकने के बाद प्याज, लहसुन डालें और प्याज के भूरे हो"&amp;"ने तक पकाएँ। इस चटकने को दाल में डालें, अच्छी तरह मिलाएँ और धनिया पत्ती और अदरक से गार्निश करें। गरमागरम परोसें। ढाबा स्टाइल उड़द दाल रेसिपी को दोपहर के खाने में राजस्थानी स्टाइल सेव टमाटर की सब्जी और फुल्के के साथ परोसें। """)</f>
        <v>ढाबा स्टाइल उड़द दाल रेसिपी बनाने के लिए उड़द दाल को अच्छी तरह से धोकर रात भर पानी में भिगो दें। अगले दिन दाल को धो लें। एक पैन में तेल गरम करें और दाल डालें। दाल को 4 से 5 मिनट तक भूनें। गर्म पानी, नमक डालें और दाल पकने तक पकाएँ। गैस बंद कर दें और एक तरफ रख दें। दाल को नरम होने तक न पकाएँ। एक मोर्टार में अदरक, हरी मिर्च, लहसुन को पीस लें। एक तरफ रख दें। एक पैन में तेल गरम करें। प्याज डालें और नरम होने तक पकाएँ। अदरक, लहसुन, हरी मिर्च का पेस्ट डालें और 3 से 4 मिनट तक पकाएँ। इसके बाद, धनिया पाउडर, हल्दी पाउडर, नमक डालें और 3 मिनट तक पकाएँ। पकी हुई दाल डालें और फिर से मिलाएँ। 2 मिनट बाद गैस बंद कर दें और दाल को एक कटोरे में निकाल लें। तड़के के लिए एक तड़का पैन गरम करें। जीरा डालें और उन्हें चटकने दें। जीरा चटकने के बाद प्याज, लहसुन डालें और प्याज के भूरे होने तक पकाएँ। इस चटकने को दाल में डालें, अच्छी तरह मिलाएँ और धनिया पत्ती और अदरक से गार्निश करें। गरमागरम परोसें। ढाबा स्टाइल उड़द दाल रेसिपी को दोपहर के खाने में राजस्थानी स्टाइल सेव टमाटर की सब्जी और फुल्के के साथ परोसें। "</v>
      </c>
      <c r="J421" s="3" t="s">
        <v>32678</v>
      </c>
      <c r="L421" s="1" t="s">
        <v>31003</v>
      </c>
    </row>
    <row r="422" spans="1:12" ht="13.8">
      <c r="A422" s="1" t="s">
        <v>32679</v>
      </c>
      <c r="B422" s="1" t="str">
        <f ca="1">IFERROR(__xludf.dummyfunction("IF(A422="""", """", GOOGLETRANSLATE(A422, ""en"", ""hi""))"),"हरियाली दम आलू रेसिपी - पालक पुदीना करी में आलू")</f>
        <v>हरियाली दम आलू रेसिपी - पालक पुदीना करी में आलू</v>
      </c>
      <c r="C422" s="1" t="s">
        <v>145</v>
      </c>
      <c r="D422" s="1" t="s">
        <v>14198</v>
      </c>
      <c r="E422" s="1">
        <v>40</v>
      </c>
      <c r="F422" s="1" t="s">
        <v>32680</v>
      </c>
      <c r="G422" s="1" t="str">
        <f ca="1">IFERROR(__xludf.dummyfunction("IF(F422="""", """", GOOGLETRANSLATE(F422, ""en"", ""hi""))"),"200 ग्राम बेबी आलू - उबले और कटे हुए (नियमित आलू भी काम करते हैं), 1 चम्मच लाल मिर्च पाउडर, 1 चम्मच हल्दी पाउडर (हल्दी), नमक - स्वादानुसार, 2 हरी मिर्च, 4 लहसुन के दाने, 1 इंच अदरक, 500 ग्राम पालक, 1/2 कप पुदीना के पत्ते (पुदीना), नमक - स्वादानुसार, 1 बड़"&amp;"ा चम्मच घी, 1 इंच दालचीनी स्टिक (दालचीनी), 2 लहसुन के दाने - बारीक कटे हुए, 1 प्याज का दाना - बारीक कटा हुआ, 1/8 चम्मच गरम मसाला पाउडर, 1 बड़ा चम्मच ताजा क्रीम")</f>
        <v>200 ग्राम बेबी आलू - उबले और कटे हुए (नियमित आलू भी काम करते हैं), 1 चम्मच लाल मिर्च पाउडर, 1 चम्मच हल्दी पाउडर (हल्दी), नमक - स्वादानुसार, 2 हरी मिर्च, 4 लहसुन के दाने, 1 इंच अदरक, 500 ग्राम पालक, 1/2 कप पुदीना के पत्ते (पुदीना), नमक - स्वादानुसार, 1 बड़ा चम्मच घी, 1 इंच दालचीनी स्टिक (दालचीनी), 2 लहसुन के दाने - बारीक कटे हुए, 1 प्याज का दाना - बारीक कटा हुआ, 1/8 चम्मच गरम मसाला पाउडर, 1 बड़ा चम्मच ताजा क्रीम</v>
      </c>
      <c r="H422" s="1" t="s">
        <v>32681</v>
      </c>
      <c r="I422" s="1" t="str">
        <f ca="1">IFERROR(__xludf.dummyfunction("IF(H422="""", """", GOOGLETRANSLATE(H422, ""en"", ""hi""))"),"हरियाली दम आलू रेसिपी बनाने के लिए सबसे पहले एक ढक्कन वाले सॉस पैन में आलू को आवश्यक नमक के साथ उबालें। पकने के बाद, छिलका छीलें और अगर आप नियमित आलू का उपयोग कर रहे हैं तो 2 इंच के छोटे क्यूब्स में काट लें। यदि आप बेबी आलू का उपयोग कर रहे हैं, तो आप केवल"&amp;" बहुत बड़े आलू ही काट सकते हैं। हरियाली दम आलू के लिए अगला कदम पालक और पुदीना पकाना है। प्रेशर कुकर में पालक, पुदीने के पत्ते, हरी मिर्च, लहसुन, अदरक, नमक और 3 बड़े चम्मच पानी डालें। 2 सीटी आने तक प्रेशर कुक करें और आंच बंद कर दें। पालक के पत्तों का रंग ब"&amp;"दलने से बचाने के लिए इसे ठंडे पानी के नीचे चलाकर तुरंत प्रेशर छोड़ दें। ठंडा होने पर पालक और पुदीने से बने हरियाली बेस को मिक्सर ग्राइंडर में डालें। एक स्मूद प्यूरी बनाने के लिए ब्लेंड करें और एक तरफ रख दें। दालचीनी की छड़ी, लहसुन, प्याज डालें और प्याज के"&amp;" नरम होने तक भूनें। प्याज के नरम होने पर, गरम मसाला पाउडर, पिसी हुई हरियाली पालक और पुदीना बेस और भुने हुए आलू डालें। एक बड़ा चम्मच क्रीम डालें। हरियाली दम आलू रेसिपी को 3 से 4 मिनट तक उबालें और आँच बंद कर दें। दम आलू को एक सर्विंग बाउल में डालें और गरमाग"&amp;"रम परोसें। हरियाली दम आलू को जीरा राइस, पेशावरी नान और काले नमक के साथ बूंदी रायता रेसिपी के साथ परोसें और इसे एक संपूर्ण भोजन बनाएँ।")</f>
        <v>हरियाली दम आलू रेसिपी बनाने के लिए सबसे पहले एक ढक्कन वाले सॉस पैन में आलू को आवश्यक नमक के साथ उबालें। पकने के बाद, छिलका छीलें और अगर आप नियमित आलू का उपयोग कर रहे हैं तो 2 इंच के छोटे क्यूब्स में काट लें। यदि आप बेबी आलू का उपयोग कर रहे हैं, तो आप केवल बहुत बड़े आलू ही काट सकते हैं। हरियाली दम आलू के लिए अगला कदम पालक और पुदीना पकाना है। प्रेशर कुकर में पालक, पुदीने के पत्ते, हरी मिर्च, लहसुन, अदरक, नमक और 3 बड़े चम्मच पानी डालें। 2 सीटी आने तक प्रेशर कुक करें और आंच बंद कर दें। पालक के पत्तों का रंग बदलने से बचाने के लिए इसे ठंडे पानी के नीचे चलाकर तुरंत प्रेशर छोड़ दें। ठंडा होने पर पालक और पुदीने से बने हरियाली बेस को मिक्सर ग्राइंडर में डालें। एक स्मूद प्यूरी बनाने के लिए ब्लेंड करें और एक तरफ रख दें। दालचीनी की छड़ी, लहसुन, प्याज डालें और प्याज के नरम होने तक भूनें। प्याज के नरम होने पर, गरम मसाला पाउडर, पिसी हुई हरियाली पालक और पुदीना बेस और भुने हुए आलू डालें। एक बड़ा चम्मच क्रीम डालें। हरियाली दम आलू रेसिपी को 3 से 4 मिनट तक उबालें और आँच बंद कर दें। दम आलू को एक सर्विंग बाउल में डालें और गरमागरम परोसें। हरियाली दम आलू को जीरा राइस, पेशावरी नान और काले नमक के साथ बूंदी रायता रेसिपी के साथ परोसें और इसे एक संपूर्ण भोजन बनाएँ।</v>
      </c>
      <c r="J422" s="3" t="s">
        <v>32682</v>
      </c>
      <c r="L422" s="1" t="s">
        <v>31003</v>
      </c>
    </row>
    <row r="423" spans="1:12" ht="13.8">
      <c r="A423" s="1" t="s">
        <v>32683</v>
      </c>
      <c r="B423" s="1" t="str">
        <f ca="1">IFERROR(__xludf.dummyfunction("IF(A423="""", """", GOOGLETRANSLATE(A423, ""en"", ""hi""))"),"भरवा करेला मखनी रेसिपी - भरवा करेला मसाला ग्रेवी")</f>
        <v>भरवा करेला मखनी रेसिपी - भरवा करेला मसाला ग्रेवी</v>
      </c>
      <c r="C423" s="1" t="s">
        <v>14259</v>
      </c>
      <c r="D423" s="1" t="s">
        <v>14338</v>
      </c>
      <c r="E423" s="1">
        <v>35</v>
      </c>
      <c r="F423" s="1" t="s">
        <v>32684</v>
      </c>
      <c r="G423" s="1" t="str">
        <f ca="1">IFERROR(__xludf.dummyfunction("IF(F423="""", """", GOOGLETRANSLATE(F423, ""en"", ""hi""))"),"3 करेला, 1/2 कप पनीर - कद्दूकस किया हुआ, 2 आलू - उबले और मसले हुए, नमक - स्वादानुसार, 1/2 छोटा चम्मच काली मिर्च पाउडर, 1 टहनी धनिया - कटी हुई, 1 टहनी पुदीना - कटी हुई, 1 छोटा चम्मच सूरजमुखी तेल, 1 चम्मच सूरजमुखी तेल, 2 प्याज - बारीक कटे हुए, 1 कप घर का बन"&amp;"ा टमाटर प्यूरी, 1 इंच अदरक - कटा हुआ, 4 लहसुन के दाने - कटा हुआ, 1 हरी मिर्च - कटी हुई, 1/2 छोटा चम्मच लाल मिर्च पाउडर, 1 छोटा चम्मच धनिया पाउडर, 1 छोटा चम्मच जीरा पाउडर, 1 छोटा चम्मच गरम मसाला पाउडर, 1 चुटकी चीनी, 2 बड़े चम्मच ताजा क्रीम, नमक - स्वादानुस"&amp;"ार")</f>
        <v>3 करेला, 1/2 कप पनीर - कद्दूकस किया हुआ, 2 आलू - उबले और मसले हुए, नमक - स्वादानुसार, 1/2 छोटा चम्मच काली मिर्च पाउडर, 1 टहनी धनिया - कटी हुई, 1 टहनी पुदीना - कटी हुई, 1 छोटा चम्मच सूरजमुखी तेल, 1 चम्मच सूरजमुखी तेल, 2 प्याज - बारीक कटे हुए, 1 कप घर का बना टमाटर प्यूरी, 1 इंच अदरक - कटा हुआ, 4 लहसुन के दाने - कटा हुआ, 1 हरी मिर्च - कटी हुई, 1/2 छोटा चम्मच लाल मिर्च पाउडर, 1 छोटा चम्मच धनिया पाउडर, 1 छोटा चम्मच जीरा पाउडर, 1 छोटा चम्मच गरम मसाला पाउडर, 1 चुटकी चीनी, 2 बड़े चम्मच ताजा क्रीम, नमक - स्वादानुसार</v>
      </c>
      <c r="H423" s="1" t="s">
        <v>32685</v>
      </c>
      <c r="I423" s="1" t="str">
        <f ca="1">IFERROR(__xludf.dummyfunction("IF(H423="""", """", GOOGLETRANSLATE(H423, ""en"", ""hi""))"),"भरवा करेला मखनी रेसिपी बनाने के लिए, करेला को अच्छे से धो लें, और बहुत हल्का सा छिलका उतार लें, करेले का हरा भाग वैसे ही रहने दें, क्योंकि यह स्वास्थ्य के लिए महत्वपूर्ण है। करेला को क्षैतिज रूप से तीन टुकड़ों में काट लें। करेला के अंदर से धीरे से गूदा और"&amp;" बीज निकालें, इस तरह से कि आपको करेला के टुकड़ों के खोखले सिलेंडर छोड़ने चाहिए। प्रेशर कुकर में करेला के टुकड़े और दो बड़े चम्मच पानी डालें और एक सीटी आने तक पका लें। आंच बंद कर दें और प्रेशर को स्वाभाविक रूप से निकलने दें। अगर कोई पानी हो तो उसे निकाल दे"&amp;"ं और करेला को एक कटोरे में डालकर अलग रख दें। *भरवा करेला स्टफिंग के लिए एक मिक्सिंग बाउल में कद्दूकस किया हुआ पनीर, मसले हुए आलू, नमक और काली मिर्च, कटा हरा धनिया और पुदीने के पत्ते मिलाएं। अच्छी तरह मिला लें। करेला स्टफिंग मिश्रण को करेला सिलेंडर में उदा"&amp;"रतापूर्वक भरें। एक पैन में मध्यम आंच पर तेल गर्म करें, उसमें भरवा करेला डालें और हल्का भुनने तक पका लें, बीच-बीच में उन्हें पलटते रहें। इसमें लगभग 5-7 मिनट का समय लगेगा। जब भरवा करेला का रंग अच्छा भूरा हो जाए तो आंच बंद कर दें और एक तरफ रख दें। *भरवा करेल"&amp;"ा मखनी ग्रेवी के लिए एक सॉस पैन में मध्यम आंच पर तेल गर्म करें, उसमें कटा हुआ अदरक लहसुन डालें और दो मिनट तक भूनें। इसके बाद उसमें प्याज डालें और तब तक भूनें जब तक वह हल्के भूरे रंग का न हो जाए। इसमें लगभग 6-8 मिनट का समय लगेगा। जब प्याज-अदरक-लहसुन अच्छी "&amp;"तरह से पक जाए तो उसमें हरी मिर्च और टमाटर प्यूरी डालें, ढककर 5 मिनट तक पकाएं। 5 मिनट बाद ढक्कन खोलें और सारे सूखे मसाले- लाल मिर्च पाउडर, धनिया पाउडर, जीरा पाउडर, गरम मसाला पाउडर, चीनी और नमक डालें जब क्रीम अच्छी तरह मिल जाए, तो आंच बंद कर दें। एक सर्विंग"&amp;" प्लेट में भरवा करेला रखें और फिर उस पर मखनी ग्रेवी डालें। भरवा करेला मखनी को गरमागरम परोसें। भरवा करेला मखनी रेसिपी को रागी तवा पराठा, चुकंदर रायता रेसिपी, गाजर, खीरा और टमाटर के साथ काला चना सलाद रेसिपी के साथ परोसें, यह एक सरल मधुमेह अनुकूल भोजन है।")</f>
        <v>भरवा करेला मखनी रेसिपी बनाने के लिए, करेला को अच्छे से धो लें, और बहुत हल्का सा छिलका उतार लें, करेले का हरा भाग वैसे ही रहने दें, क्योंकि यह स्वास्थ्य के लिए महत्वपूर्ण है। करेला को क्षैतिज रूप से तीन टुकड़ों में काट लें। करेला के अंदर से धीरे से गूदा और बीज निकालें, इस तरह से कि आपको करेला के टुकड़ों के खोखले सिलेंडर छोड़ने चाहिए। प्रेशर कुकर में करेला के टुकड़े और दो बड़े चम्मच पानी डालें और एक सीटी आने तक पका लें। आंच बंद कर दें और प्रेशर को स्वाभाविक रूप से निकलने दें। अगर कोई पानी हो तो उसे निकाल दें और करेला को एक कटोरे में डालकर अलग रख दें। *भरवा करेला स्टफिंग के लिए एक मिक्सिंग बाउल में कद्दूकस किया हुआ पनीर, मसले हुए आलू, नमक और काली मिर्च, कटा हरा धनिया और पुदीने के पत्ते मिलाएं। अच्छी तरह मिला लें। करेला स्टफिंग मिश्रण को करेला सिलेंडर में उदारतापूर्वक भरें। एक पैन में मध्यम आंच पर तेल गर्म करें, उसमें भरवा करेला डालें और हल्का भुनने तक पका लें, बीच-बीच में उन्हें पलटते रहें। इसमें लगभग 5-7 मिनट का समय लगेगा। जब भरवा करेला का रंग अच्छा भूरा हो जाए तो आंच बंद कर दें और एक तरफ रख दें। *भरवा करेला मखनी ग्रेवी के लिए एक सॉस पैन में मध्यम आंच पर तेल गर्म करें, उसमें कटा हुआ अदरक लहसुन डालें और दो मिनट तक भूनें। इसके बाद उसमें प्याज डालें और तब तक भूनें जब तक वह हल्के भूरे रंग का न हो जाए। इसमें लगभग 6-8 मिनट का समय लगेगा। जब प्याज-अदरक-लहसुन अच्छी तरह से पक जाए तो उसमें हरी मिर्च और टमाटर प्यूरी डालें, ढककर 5 मिनट तक पकाएं। 5 मिनट बाद ढक्कन खोलें और सारे सूखे मसाले- लाल मिर्च पाउडर, धनिया पाउडर, जीरा पाउडर, गरम मसाला पाउडर, चीनी और नमक डालें जब क्रीम अच्छी तरह मिल जाए, तो आंच बंद कर दें। एक सर्विंग प्लेट में भरवा करेला रखें और फिर उस पर मखनी ग्रेवी डालें। भरवा करेला मखनी को गरमागरम परोसें। भरवा करेला मखनी रेसिपी को रागी तवा पराठा, चुकंदर रायता रेसिपी, गाजर, खीरा और टमाटर के साथ काला चना सलाद रेसिपी के साथ परोसें, यह एक सरल मधुमेह अनुकूल भोजन है।</v>
      </c>
      <c r="J423" s="3" t="s">
        <v>32686</v>
      </c>
      <c r="L423" s="1" t="s">
        <v>31003</v>
      </c>
    </row>
    <row r="424" spans="1:12" ht="13.8">
      <c r="A424" s="1" t="s">
        <v>32687</v>
      </c>
      <c r="B424" s="1" t="str">
        <f ca="1">IFERROR(__xludf.dummyfunction("IF(A424="""", """", GOOGLETRANSLATE(A424, ""en"", ""hi""))"),"ग्लूटेन फ्री राजगिरा बर्फी रेसिपी")</f>
        <v>ग्लूटेन फ्री राजगिरा बर्फी रेसिपी</v>
      </c>
      <c r="C424" s="1" t="s">
        <v>14281</v>
      </c>
      <c r="D424" s="1" t="s">
        <v>14198</v>
      </c>
      <c r="E424" s="1">
        <v>40</v>
      </c>
      <c r="F424" s="1" t="s">
        <v>32688</v>
      </c>
      <c r="G424" s="1" t="str">
        <f ca="1">IFERROR(__xludf.dummyfunction("IF(F424="""", """", GOOGLETRANSLATE(F424, ""en"", ""hi""))"),"1/2 कप राजगिरा आटा (अमरनाथ आटा), 1/2 कप गुड़, 1/2 कप घी - पिघला हुआ, 1/2 चम्मच इलायची पाउडर (इलायची), 1/4 कप काजू - आधा कटा हुआ")</f>
        <v>1/2 कप राजगिरा आटा (अमरनाथ आटा), 1/2 कप गुड़, 1/2 कप घी - पिघला हुआ, 1/2 चम्मच इलायची पाउडर (इलायची), 1/4 कप काजू - आधा कटा हुआ</v>
      </c>
      <c r="H424" s="1" t="s">
        <v>32689</v>
      </c>
      <c r="I424" s="1" t="str">
        <f ca="1">IFERROR(__xludf.dummyfunction("IF(H424="""", """", GOOGLETRANSLATE(H424, ""en"", ""hi""))"),"ग्लूटेन फ्री राजगिरा बर्फी रेसिपी बनाने के लिए सबसे पहले एक भारी तले की कड़ाही में राजगिरा/ऐमरैन्थ के आटे को तब तक भून लें जब तक उसका रंग हल्का सुनहरा भूरा न हो जाए। आंच से उतार लें और एक तरफ रख दें। एक सपाट प्लेट में घी लगाकर चिकना कर लें और एक तरफ रख दे"&amp;"ं। आधे काजू को थोड़े से घी में कुरकुरा और सुनहरा भूरा होने तक भून लें। इसे समान रूप से भूनने के लिए धीमी आंच पर ही भूनना है। इसके बाद एक भारी तले की कड़ाही में गुड़ और 1/4 कप पानी मिलाएं और धीमी आंच पर रखें। (पानी की मात्रा बस इतनी होनी चाहिए कि गुड़ या च"&amp;"ीनी सोख ले)। आधी तार की चाशनी बनाएं। गुड़ की चाशनी में भुना हुआ आटा और पिसी हुई इलायची डालें और अच्छी तरह मिलाएँ। लगातार हिलाते रहें। मिश्रण को चलाते हुए थोड़ा-थोड़ा करके पिघला हुआ घी डालें। इस मिश्रण को तुरंत चिकनी की हुई ट्रे में डालें और इसे समान रूप स"&amp;"े फैलाएँ ताकि यह जम जाए। भुने हुए काजू को ऊपर से छिड़कें और राजगिरा बर्फी मिश्रण के गरम रहते हुए धीरे से दबाएँ। राजगिरा बर्फी को ठंडा होने दें और फिर मनचाहे आकार में काट लें। राजगिरा बर्फी को एक एयरटाइट डिब्बे में एक सप्ताह तक स्टोर करें। दिवाली, रक्षा बं"&amp;"धन या परिवार में किसी अन्य विशेष अवसर पर ग्लूटेन-फ्री राजगिरा बर्फी परोसें। पालक दाल, भरवा भिंडी, फुल्का और लौकी रायता के अपने रोज़ाना के खाने के बाद ग्लूटेन फ्री राजगिरा बर्फी रेसिपी परोसें।")</f>
        <v>ग्लूटेन फ्री राजगिरा बर्फी रेसिपी बनाने के लिए सबसे पहले एक भारी तले की कड़ाही में राजगिरा/ऐमरैन्थ के आटे को तब तक भून लें जब तक उसका रंग हल्का सुनहरा भूरा न हो जाए। आंच से उतार लें और एक तरफ रख दें। एक सपाट प्लेट में घी लगाकर चिकना कर लें और एक तरफ रख दें। आधे काजू को थोड़े से घी में कुरकुरा और सुनहरा भूरा होने तक भून लें। इसे समान रूप से भूनने के लिए धीमी आंच पर ही भूनना है। इसके बाद एक भारी तले की कड़ाही में गुड़ और 1/4 कप पानी मिलाएं और धीमी आंच पर रखें। (पानी की मात्रा बस इतनी होनी चाहिए कि गुड़ या चीनी सोख ले)। आधी तार की चाशनी बनाएं। गुड़ की चाशनी में भुना हुआ आटा और पिसी हुई इलायची डालें और अच्छी तरह मिलाएँ। लगातार हिलाते रहें। मिश्रण को चलाते हुए थोड़ा-थोड़ा करके पिघला हुआ घी डालें। इस मिश्रण को तुरंत चिकनी की हुई ट्रे में डालें और इसे समान रूप से फैलाएँ ताकि यह जम जाए। भुने हुए काजू को ऊपर से छिड़कें और राजगिरा बर्फी मिश्रण के गरम रहते हुए धीरे से दबाएँ। राजगिरा बर्फी को ठंडा होने दें और फिर मनचाहे आकार में काट लें। राजगिरा बर्फी को एक एयरटाइट डिब्बे में एक सप्ताह तक स्टोर करें। दिवाली, रक्षा बंधन या परिवार में किसी अन्य विशेष अवसर पर ग्लूटेन-फ्री राजगिरा बर्फी परोसें। पालक दाल, भरवा भिंडी, फुल्का और लौकी रायता के अपने रोज़ाना के खाने के बाद ग्लूटेन फ्री राजगिरा बर्फी रेसिपी परोसें।</v>
      </c>
      <c r="J424" s="3" t="s">
        <v>32690</v>
      </c>
      <c r="L424" s="1" t="s">
        <v>31003</v>
      </c>
    </row>
    <row r="425" spans="1:12" ht="13.8">
      <c r="A425" s="1" t="s">
        <v>32691</v>
      </c>
      <c r="B425" s="1" t="str">
        <f ca="1">IFERROR(__xludf.dummyfunction("IF(A425="""", """", GOOGLETRANSLATE(A425, ""en"", ""hi""))"),"गोभी के कोफ्ते रेसिपी (मसालेदार ग्रेवी में फूलगोभी के पकौड़े)")</f>
        <v>गोभी के कोफ्ते रेसिपी (मसालेदार ग्रेवी में फूलगोभी के पकौड़े)</v>
      </c>
      <c r="C425" s="1" t="s">
        <v>145</v>
      </c>
      <c r="D425" s="1" t="s">
        <v>14198</v>
      </c>
      <c r="E425" s="1">
        <v>75</v>
      </c>
      <c r="F425" s="1" t="s">
        <v>32692</v>
      </c>
      <c r="G425" s="1" t="str">
        <f ca="1">IFERROR(__xludf.dummyfunction("IF(F425="""", """", GOOGLETRANSLATE(F425, ""en"", ""hi""))"),"1 बड़ा चम्मच अदरक लहसुन का पेस्ट, 1/2 कप दही, 2 प्याज - पेस्ट, 2 तेज पत्ता, 2 बड़ी इलायची, 1/2 इंच दालचीनी, 1 चम्मच लाल मिर्च पाउडर, 1/2 चम्मच हल्दी पाउडर, 1 चम्मच धनिया पाउडर, नमक - आवश्यकतानुसार, सूरजमुखी तेल - आवश्यकतानुसार, पानी - आवश्यकतानुसार, 2 टहन"&amp;"ी धनिया (धनिया) के पत्ते - बारीक कटे हुए, 250 ग्राम फूलगोभी - कद्दूकस की हुई, 1/2 कप बेसन, 1 चम्मच लाल मिर्च पाउडर, 2 हरी मिर्च - बारीक कटी हुई, नमक - आवश्यकतानुसार, पानी - आवश्यकतानुसार, सूरजमुखी तेल - आवश्यकतानुसार")</f>
        <v>1 बड़ा चम्मच अदरक लहसुन का पेस्ट, 1/2 कप दही, 2 प्याज - पेस्ट, 2 तेज पत्ता, 2 बड़ी इलायची, 1/2 इंच दालचीनी, 1 चम्मच लाल मिर्च पाउडर, 1/2 चम्मच हल्दी पाउडर, 1 चम्मच धनिया पाउडर, नमक - आवश्यकतानुसार, सूरजमुखी तेल - आवश्यकतानुसार, पानी - आवश्यकतानुसार, 2 टहनी धनिया (धनिया) के पत्ते - बारीक कटे हुए, 250 ग्राम फूलगोभी - कद्दूकस की हुई, 1/2 कप बेसन, 1 चम्मच लाल मिर्च पाउडर, 2 हरी मिर्च - बारीक कटी हुई, नमक - आवश्यकतानुसार, पानी - आवश्यकतानुसार, सूरजमुखी तेल - आवश्यकतानुसार</v>
      </c>
      <c r="H425" s="1" t="s">
        <v>32693</v>
      </c>
      <c r="I425" s="1" t="str">
        <f ca="1">IFERROR(__xludf.dummyfunction("IF(H425="""", """", GOOGLETRANSLATE(H425, ""en"", ""hi""))"),"गोभी के कोफ्ते बनाने की विधि शुरू करने के लिए, सबसे पहले हम कोफ्ते तैयार करेंगे। एक मिक्सिंग बाउल में ‘कोफ्ते बनाने के लिए’ के अंतर्गत बताई गई सभी सामग्री को मिला लें। इन्हें अच्छी तरह मिला लें। मिश्रण को एक साथ लाने के लिए थोड़ा पानी डालें। जब यह हो जाए,"&amp;" तो इसके गोल आकार के पकौड़े बनाएं और उन्हें एक गहरे फ्राइंग पैन में तल लें। जब वे दोनों तरफ से भूरे हो जाएं, तो उन्हें अतिरिक्त तेल को सोखने के लिए किचन टॉवल पर निकाल लें। शेष मिश्रण के लिए भी यही प्रक्रिया अपनाएँ और उन्हें एक तरफ रख दें। एक भारी तले की क"&amp;"ड़ाही में तेल गर्म करें और उसमें लौंग, बड़ी इलाइची, तेज पत्ता और दाल चीनी डालें। एक मिनट के बाद अदरक लहसुन का पेस्ट डालें और इसे तब तक पकाएँ जब तक कि मिश्रण से कच्ची महक न चली जाए। एक बार जब यह हो जाए तो इसमें प्याज का पेस्ट डालें और इसे 5 से 8 मिनट तक पक"&amp;"ने दें इसे 5 मिनट तक पकने दें। 5 मिनट के बाद, आंच धीमी कर दें और दही डालें। अच्छी तरह मिलाएँ और ज़रूरत के हिसाब से पानी डालें। अच्छी तरह मिलाएँ और तब तक पकाएँ जब तक ग्रेवी थोड़ी गाढ़ी न हो जाए। जब ​​यह पक जाए, तो तले हुए कोफ्ते डालें और 2 से 3 मिनट तक और "&amp;"पकने दें। 2 से 3 मिनट के बाद, चूल्हा बंद कर दें और इसे कटी हुई धनिया पत्ती से सजाएँ।")</f>
        <v>गोभी के कोफ्ते बनाने की विधि शुरू करने के लिए, सबसे पहले हम कोफ्ते तैयार करेंगे। एक मिक्सिंग बाउल में ‘कोफ्ते बनाने के लिए’ के अंतर्गत बताई गई सभी सामग्री को मिला लें। इन्हें अच्छी तरह मिला लें। मिश्रण को एक साथ लाने के लिए थोड़ा पानी डालें। जब यह हो जाए, तो इसके गोल आकार के पकौड़े बनाएं और उन्हें एक गहरे फ्राइंग पैन में तल लें। जब वे दोनों तरफ से भूरे हो जाएं, तो उन्हें अतिरिक्त तेल को सोखने के लिए किचन टॉवल पर निकाल लें। शेष मिश्रण के लिए भी यही प्रक्रिया अपनाएँ और उन्हें एक तरफ रख दें। एक भारी तले की कड़ाही में तेल गर्म करें और उसमें लौंग, बड़ी इलाइची, तेज पत्ता और दाल चीनी डालें। एक मिनट के बाद अदरक लहसुन का पेस्ट डालें और इसे तब तक पकाएँ जब तक कि मिश्रण से कच्ची महक न चली जाए। एक बार जब यह हो जाए तो इसमें प्याज का पेस्ट डालें और इसे 5 से 8 मिनट तक पकने दें इसे 5 मिनट तक पकने दें। 5 मिनट के बाद, आंच धीमी कर दें और दही डालें। अच्छी तरह मिलाएँ और ज़रूरत के हिसाब से पानी डालें। अच्छी तरह मिलाएँ और तब तक पकाएँ जब तक ग्रेवी थोड़ी गाढ़ी न हो जाए। जब ​​यह पक जाए, तो तले हुए कोफ्ते डालें और 2 से 3 मिनट तक और पकने दें। 2 से 3 मिनट के बाद, चूल्हा बंद कर दें और इसे कटी हुई धनिया पत्ती से सजाएँ।</v>
      </c>
      <c r="J425" s="3" t="s">
        <v>32694</v>
      </c>
      <c r="L425" s="1" t="s">
        <v>31003</v>
      </c>
    </row>
    <row r="426" spans="1:12" ht="13.8">
      <c r="A426" s="1" t="s">
        <v>32695</v>
      </c>
      <c r="B426" s="1" t="str">
        <f ca="1">IFERROR(__xludf.dummyfunction("IF(A426="""", """", GOOGLETRANSLATE(A426, ""en"", ""hi""))"),"गाजर फूलगोभी मटर सब्ज़ी रेसिपी - गाजर गोभी मटर सब्ज़ी")</f>
        <v>गाजर फूलगोभी मटर सब्ज़ी रेसिपी - गाजर गोभी मटर सब्ज़ी</v>
      </c>
      <c r="C426" s="1" t="s">
        <v>145</v>
      </c>
      <c r="D426" s="1" t="s">
        <v>14338</v>
      </c>
      <c r="E426" s="1">
        <v>25</v>
      </c>
      <c r="F426" s="1" t="s">
        <v>32696</v>
      </c>
      <c r="G426" s="1" t="str">
        <f ca="1">IFERROR(__xludf.dummyfunction("IF(F426="""", """", GOOGLETRANSLATE(F426, ""en"", ""hi""))"),"1 चम्मच नारियल तेल - पकाने के लिए, 1/2 चम्मच अजवाइन, 2 तेजपत्ता, 2 इंच दालचीनी, 2 गाजर - 1/2 इंच के टुकड़ों में कटी हुई, 2 कप फूलगोभी, 1 कप हरी मटर, 1 चम्मच काली मिर्च पाउडर, नमक - स्वादानुसार")</f>
        <v>1 चम्मच नारियल तेल - पकाने के लिए, 1/2 चम्मच अजवाइन, 2 तेजपत्ता, 2 इंच दालचीनी, 2 गाजर - 1/2 इंच के टुकड़ों में कटी हुई, 2 कप फूलगोभी, 1 कप हरी मटर, 1 चम्मच काली मिर्च पाउडर, नमक - स्वादानुसार</v>
      </c>
      <c r="H426" s="1" t="s">
        <v>32697</v>
      </c>
      <c r="I426" s="1" t="str">
        <f ca="1">IFERROR(__xludf.dummyfunction("IF(H426="""", """", GOOGLETRANSLATE(H426, ""en"", ""hi""))"),"गाजर फूलगोभी मटर सब्ज़ी रेसिपी बनाने के लिए सबसे पहले सभी आवश्यक सामग्री तैयार कर लें। एक पैन में नारियल का तेल गर्म करें और एक बार तेल गर्म हो जाने पर उसमें सभी साबुत मसाले, अजवाइन, तेज पत्ता, दालचीनी डालें और तब तक भूनें जब तक कि साबुत मसाले अच्छी खुशबू"&amp;" न छोड़ दें। इसमें गाजर, फूलगोभी के फूल और हरे मटर डालें। एक मिनट के लिए भूनें। नमक डालें और पैन में थोड़ा पानी छिड़कें और मिलाएँ। ढककर तब तक पकाएँ जब तक गाजर और गोभी लगभग पक न जाएँ और जब तक कि सभी स्वाद गाजर फूलगोभी मटर सब्ज़ी रेसिपी में शामिल न हो जाएँ।"&amp;" अंत में एक बार हो जाने पर, काली मिर्च पाउडर डालें और अच्छी तरह मिलाएँ। एक बार हो जाने पर, गाजर गोभी मटर सब्ज़ी का स्वाद जाँचें और नमक को तदनुसार समायोजित करें। इस स्वादिष्ट स्वाद वाली गाजर फूलगोभी मटर सब्ज़ी रेसिपी को लहसुनी पालक दाल, रागी गेहूं फुल्का औ"&amp;"र लहसुन के स्वाद वाले मेथी रायता के साथ एक अच्छे आरामदायक मधुमेह भोजन के लिए परोसें।")</f>
        <v>गाजर फूलगोभी मटर सब्ज़ी रेसिपी बनाने के लिए सबसे पहले सभी आवश्यक सामग्री तैयार कर लें। एक पैन में नारियल का तेल गर्म करें और एक बार तेल गर्म हो जाने पर उसमें सभी साबुत मसाले, अजवाइन, तेज पत्ता, दालचीनी डालें और तब तक भूनें जब तक कि साबुत मसाले अच्छी खुशबू न छोड़ दें। इसमें गाजर, फूलगोभी के फूल और हरे मटर डालें। एक मिनट के लिए भूनें। नमक डालें और पैन में थोड़ा पानी छिड़कें और मिलाएँ। ढककर तब तक पकाएँ जब तक गाजर और गोभी लगभग पक न जाएँ और जब तक कि सभी स्वाद गाजर फूलगोभी मटर सब्ज़ी रेसिपी में शामिल न हो जाएँ। अंत में एक बार हो जाने पर, काली मिर्च पाउडर डालें और अच्छी तरह मिलाएँ। एक बार हो जाने पर, गाजर गोभी मटर सब्ज़ी का स्वाद जाँचें और नमक को तदनुसार समायोजित करें। इस स्वादिष्ट स्वाद वाली गाजर फूलगोभी मटर सब्ज़ी रेसिपी को लहसुनी पालक दाल, रागी गेहूं फुल्का और लहसुन के स्वाद वाले मेथी रायता के साथ एक अच्छे आरामदायक मधुमेह भोजन के लिए परोसें।</v>
      </c>
      <c r="J426" s="3" t="s">
        <v>32698</v>
      </c>
      <c r="L426" s="1" t="s">
        <v>31003</v>
      </c>
    </row>
    <row r="427" spans="1:12" ht="13.8">
      <c r="A427" s="1" t="s">
        <v>32699</v>
      </c>
      <c r="B427" s="1" t="str">
        <f ca="1">IFERROR(__xludf.dummyfunction("IF(A427="""", """", GOOGLETRANSLATE(A427, ""en"", ""hi""))"),"मछली तंदूरी रेसिपी")</f>
        <v>मछली तंदूरी रेसिपी</v>
      </c>
      <c r="C427" s="1" t="s">
        <v>14572</v>
      </c>
      <c r="D427" s="1" t="s">
        <v>14367</v>
      </c>
      <c r="E427" s="1">
        <v>80</v>
      </c>
      <c r="F427" s="1" t="s">
        <v>32700</v>
      </c>
      <c r="G427" s="1" t="str">
        <f ca="1">IFERROR(__xludf.dummyfunction("IF(F427="""", """", GOOGLETRANSLATE(F427, ""en"", ""hi""))"),"1 मछली - हड्डियों के साथ अच्छी तरह से धोया (मैंने पोम्पानो का इस्तेमाल किया), 2 बड़े चम्मच दही (दही), 1/4 कप प्याज - बारीक कटा हुआ, 2 हरी मिर्च - कटी हुई, 1 बड़ा चम्मच तंदूरी मसाला, 1 चम्मच अदरक लहसुन पेस्ट, 1 चम्मच लाल मिर्च पाउडर, 1 चम्मच गरम मसाला पाउड"&amp;"र, 1 चम्मच धनिया पाउडर (धनिया), 1/2 चम्मच जीरा पाउडर (जीरा), 1 बड़ा चम्मच धनिया (धनिया) पत्तियां - बारीक कटा हुआ, 1 बड़ा चम्मच सूरजमुखी तेल, नमक - स्वादानुसार")</f>
        <v>1 मछली - हड्डियों के साथ अच्छी तरह से धोया (मैंने पोम्पानो का इस्तेमाल किया), 2 बड़े चम्मच दही (दही), 1/4 कप प्याज - बारीक कटा हुआ, 2 हरी मिर्च - कटी हुई, 1 बड़ा चम्मच तंदूरी मसाला, 1 चम्मच अदरक लहसुन पेस्ट, 1 चम्मच लाल मिर्च पाउडर, 1 चम्मच गरम मसाला पाउडर, 1 चम्मच धनिया पाउडर (धनिया), 1/2 चम्मच जीरा पाउडर (जीरा), 1 बड़ा चम्मच धनिया (धनिया) पत्तियां - बारीक कटा हुआ, 1 बड़ा चम्मच सूरजमुखी तेल, नमक - स्वादानुसार</v>
      </c>
      <c r="H427" s="1" t="s">
        <v>32701</v>
      </c>
      <c r="I427" s="1" t="str">
        <f ca="1">IFERROR(__xludf.dummyfunction("IF(H427="""", """", GOOGLETRANSLATE(H427, ""en"", ""hi""))"),"मछली तंदूरी रेसिपी बनाने के लिए, सिर और पूंछ को छोड़ दें और मछली के पंख और अंदरूनी हिस्से को हटा दें। दोनों तरफ से मछली पर जितना संभव हो सके उतने क्षैतिज स्लिट बनाएं ताकि मैरिनेड अंदर तक जा सके। इसे अच्छी तरह से धो लें और दोनों तरफ नमक लगाएँ। लगभग 10 मिनट"&amp;" तक रखें। एक कटोरे में, दही, प्याज, हरी मिर्च, तंदूरी मसाला, अदरक लहसुन का पेस्ट, लाल मिर्च पाउडर, गरम मसाला पाउडर, जीरा पाउडर, धनिया पत्ती, नमक सहित सभी मैरिनेशन सामग्री को एक साथ अच्छी तरह से मिलाएँ और इसे मछली के दोनों तरफ लगाएँ, मिश्रण को स्लिट के अंद"&amp;"र अच्छी तरह से दबाएँ। मैरिनेशन के लिए इसे लगभग 40 से 50 मिनट तक ढककर रखें। जितना लंबा समय उतना अच्छा। अपने ओवन को 400 डिग्री फारेनहाइट पर प्रीहीट करें। ग्रिल पर हल्का तेल लगाएँ और मछली को ग्रिल पर रखें। अपनी ग्रिल को बेकिंग ट्रे पर रखें और लगभग 20 मिनट तक"&amp;" बेक करें। यह जाँचने के लिए कि मछली अच्छी तरह से बेक हुई है या नहीं, एक टूथपिक डालें और देखें कि क्या यह नरम और हल्का लग रहा है। अगर ऐसा है, तो स्टिक को बाहर निकालें और गरमागरम परोसें। फिश तंदूरी रेसिपी को ऐपेटाइज़र के रूप में या अपने वीकडे डिनर के लिए पो"&amp;"स्तो चिकन और स्टीम्ड राइस के साथ साइड डिश के रूप में परोसें।")</f>
        <v>मछली तंदूरी रेसिपी बनाने के लिए, सिर और पूंछ को छोड़ दें और मछली के पंख और अंदरूनी हिस्से को हटा दें। दोनों तरफ से मछली पर जितना संभव हो सके उतने क्षैतिज स्लिट बनाएं ताकि मैरिनेड अंदर तक जा सके। इसे अच्छी तरह से धो लें और दोनों तरफ नमक लगाएँ। लगभग 10 मिनट तक रखें। एक कटोरे में, दही, प्याज, हरी मिर्च, तंदूरी मसाला, अदरक लहसुन का पेस्ट, लाल मिर्च पाउडर, गरम मसाला पाउडर, जीरा पाउडर, धनिया पत्ती, नमक सहित सभी मैरिनेशन सामग्री को एक साथ अच्छी तरह से मिलाएँ और इसे मछली के दोनों तरफ लगाएँ, मिश्रण को स्लिट के अंदर अच्छी तरह से दबाएँ। मैरिनेशन के लिए इसे लगभग 40 से 50 मिनट तक ढककर रखें। जितना लंबा समय उतना अच्छा। अपने ओवन को 400 डिग्री फारेनहाइट पर प्रीहीट करें। ग्रिल पर हल्का तेल लगाएँ और मछली को ग्रिल पर रखें। अपनी ग्रिल को बेकिंग ट्रे पर रखें और लगभग 20 मिनट तक बेक करें। यह जाँचने के लिए कि मछली अच्छी तरह से बेक हुई है या नहीं, एक टूथपिक डालें और देखें कि क्या यह नरम और हल्का लग रहा है। अगर ऐसा है, तो स्टिक को बाहर निकालें और गरमागरम परोसें। फिश तंदूरी रेसिपी को ऐपेटाइज़र के रूप में या अपने वीकडे डिनर के लिए पोस्तो चिकन और स्टीम्ड राइस के साथ साइड डिश के रूप में परोसें।</v>
      </c>
      <c r="J427" s="3" t="s">
        <v>32702</v>
      </c>
      <c r="L427" s="1" t="s">
        <v>31003</v>
      </c>
    </row>
    <row r="428" spans="1:12" ht="409.6">
      <c r="A428" s="1" t="s">
        <v>32703</v>
      </c>
      <c r="B428" s="1" t="str">
        <f ca="1">IFERROR(__xludf.dummyfunction("IF(A428="""", """", GOOGLETRANSLATE(A428, ""en"", ""hi""))"),"बनारसी टमाटर चाट रेसिपी - मसालेदार टमाटर चाट")</f>
        <v>बनारसी टमाटर चाट रेसिपी - मसालेदार टमाटर चाट</v>
      </c>
      <c r="C428" s="1" t="s">
        <v>14572</v>
      </c>
      <c r="D428" s="1" t="s">
        <v>14198</v>
      </c>
      <c r="E428" s="1">
        <v>30</v>
      </c>
      <c r="F428" s="1" t="s">
        <v>32704</v>
      </c>
      <c r="G428" s="1" t="str">
        <f ca="1">IFERROR(__xludf.dummyfunction("IF(F428="""", """", GOOGLETRANSLATE(F428, ""en"", ""hi""))"),"1 बड़ा चम्मच सूरजमुखी तेल, 1 प्याज - बारीक कटा हुआ, 2 आलू (आलू) - उबले और मैश किए हुए, 4 टमाटर - बारीक कटे हुए, 1 इंच अदरक - बारीक कटा हुआ, 1 हरी मिर्च - बारीक कटी हुई, 2 चम्मच पाव भाजी मसाला, 1 चम्मच गरम मसाला पाउडर, 1 चम्मच जीरा पाउडर (जीरा), 1 चम्मच ला"&amp;"ल मिर्च पाउडर, 1 चम्मच चाट मसाला पाउडर, 1/2 चम्मच काला नमक (काला नमक), नमक - स्वादानुसार, 1 चम्मच नींबू का रस, 1/2 कप नमक पारा - गार्निश करने के लिए, 1/2 कप सेव - पीसने के लिए, 1/4 कप धनिया (धनिया) के पत्ते - गार्निश करने के लिए")</f>
        <v>1 बड़ा चम्मच सूरजमुखी तेल, 1 प्याज - बारीक कटा हुआ, 2 आलू (आलू) - उबले और मैश किए हुए, 4 टमाटर - बारीक कटे हुए, 1 इंच अदरक - बारीक कटा हुआ, 1 हरी मिर्च - बारीक कटी हुई, 2 चम्मच पाव भाजी मसाला, 1 चम्मच गरम मसाला पाउडर, 1 चम्मच जीरा पाउडर (जीरा), 1 चम्मच लाल मिर्च पाउडर, 1 चम्मच चाट मसाला पाउडर, 1/2 चम्मच काला नमक (काला नमक), नमक - स्वादानुसार, 1 चम्मच नींबू का रस, 1/2 कप नमक पारा - गार्निश करने के लिए, 1/2 कप सेव - पीसने के लिए, 1/4 कप धनिया (धनिया) के पत्ते - गार्निश करने के लिए</v>
      </c>
      <c r="H428" s="1" t="s">
        <v>32705</v>
      </c>
      <c r="I428" s="4" t="str">
        <f ca="1">IFERROR(__xludf.dummyfunction("IF(H428="""", """", GOOGLETRANSLATE(H428, ""en"", ""hi""))"),"बनारसी टमाटर चाट रेसिपी बनाने के लिए सबसे पहले सभी सामग्री तैयार रखें. एक कढ़ाई में मध्यम आंच पर तेल गर्म करें, उसमें प्याज, हरी मिर्च और अदरक डालें और 3 से 4 मिनट तक या प्याज के पारदर्शी होने तक भूनें। जब प्याज अच्छे और नरम हो जाए तो इसमें कटे हुए टमाटर "&amp;"डालें और मिलाएँ। ढककर लगभग 5 मिनट तक पकाएँ, जब तक कि टमाटर नरम न हो जाए और पूरी तरह से गूदेदार न हो जाए। अब जब प्याज-टमाटर का मिश्रण एक साथ आ गया है, तो मसले हुए आलू डालें और मिश्रण के एक साथ आने तक अच्छी तरह मिलाएँ। प्याज-टमाटर-आलू के मिश्रण को सूखे मसाल"&amp;"े - पाव भाजी मसाला, गरम मसाला, जीरा पाउडर, लाल मिर्च पाउडर, चाट मसाला, काला नमक और नमक के साथ सीज करें। बनारसी टमाटर चाट को अच्छे से चलाएँ, इसे और 2 मिनट तक पकने दें और आँच बंद कर दें। ताज़ा निचोड़ा हुआ नींबू का रस डालें और बनारसी टमाटर चाट को नमक पारा, स"&amp;"ेव और धनिया पत्ती से गार्निश करें। इस बनारसी टमाटर चाट रेसिपी को अपनी चाट पार्टी में दही भल्ला पापड़ी (पूरी) चाट रेसिपी और छोले आलू टिक्की चाट रेसिपी (एक भारतीय स्ट्रीट फूड स्नैक) के साथ परोसें।
")</f>
        <v xml:space="preserve">बनारसी टमाटर चाट रेसिपी बनाने के लिए सबसे पहले सभी सामग्री तैयार रखें. एक कढ़ाई में मध्यम आंच पर तेल गर्म करें, उसमें प्याज, हरी मिर्च और अदरक डालें और 3 से 4 मिनट तक या प्याज के पारदर्शी होने तक भूनें। जब प्याज अच्छे और नरम हो जाए तो इसमें कटे हुए टमाटर डालें और मिलाएँ। ढककर लगभग 5 मिनट तक पकाएँ, जब तक कि टमाटर नरम न हो जाए और पूरी तरह से गूदेदार न हो जाए। अब जब प्याज-टमाटर का मिश्रण एक साथ आ गया है, तो मसले हुए आलू डालें और मिश्रण के एक साथ आने तक अच्छी तरह मिलाएँ। प्याज-टमाटर-आलू के मिश्रण को सूखे मसाले - पाव भाजी मसाला, गरम मसाला, जीरा पाउडर, लाल मिर्च पाउडर, चाट मसाला, काला नमक और नमक के साथ सीज करें। बनारसी टमाटर चाट को अच्छे से चलाएँ, इसे और 2 मिनट तक पकने दें और आँच बंद कर दें। ताज़ा निचोड़ा हुआ नींबू का रस डालें और बनारसी टमाटर चाट को नमक पारा, सेव और धनिया पत्ती से गार्निश करें। इस बनारसी टमाटर चाट रेसिपी को अपनी चाट पार्टी में दही भल्ला पापड़ी (पूरी) चाट रेसिपी और छोले आलू टिक्की चाट रेसिपी (एक भारतीय स्ट्रीट फूड स्नैक) के साथ परोसें।
</v>
      </c>
      <c r="J428" s="3" t="s">
        <v>32706</v>
      </c>
      <c r="L428" s="1" t="s">
        <v>31003</v>
      </c>
    </row>
    <row r="429" spans="1:12" ht="13.8">
      <c r="A429" s="1" t="s">
        <v>32707</v>
      </c>
      <c r="B429" s="1" t="str">
        <f ca="1">IFERROR(__xludf.dummyfunction("IF(A429="""", """", GOOGLETRANSLATE(A429, ""en"", ""hi""))"),"मलाईदार ग्रेवी में मेथी पनीर भुर्जी रेसिपी")</f>
        <v>मलाईदार ग्रेवी में मेथी पनीर भुर्जी रेसिपी</v>
      </c>
      <c r="C429" s="1" t="s">
        <v>145</v>
      </c>
      <c r="D429" s="1" t="s">
        <v>14237</v>
      </c>
      <c r="E429" s="1">
        <v>55</v>
      </c>
      <c r="F429" s="1" t="s">
        <v>32708</v>
      </c>
      <c r="G429" s="1" t="str">
        <f ca="1">IFERROR(__xludf.dummyfunction("IF(F429="""", """", GOOGLETRANSLATE(F429, ""en"", ""hi""))"),"1 कप घर का बना टमाटर प्यूरी, 1 प्याज - मोटे तौर पर कटा हुआ, 2 लहसुन के दाने, 1 इंच अदरक, 1/4 चम्मच हल्दी पाउडर (हल्दी), 1/4 चम्मच लाल मिर्च पाउडर, 1/4 चम्मच गरम मसाला पाउडर, नमक - स्वादानुसार, सूरजमुखी तेल - पकाने के लिए, 2 बड़े चम्मच ताजा क्रीम, 1/2 चम्म"&amp;"च जीरा (जीरा), 1/4 चम्मच हल्दी पाउडर (हल्दी), 1 प्याज - बारीक कटा हुआ, 2 हरी मिर्च - बारीक कटी हुई, 1 इंच अदरक - कसा हुआ, 1 हरी बेल मिर्च (शिमला मिर्च) - बारीक कटी हुई, 1 टमाटर - बारीक कटा हुआ, 3/4 कप मेथी के पत्ते (मेथी के पत्ते) - बारीक कटे हुए, 2 चम्मच"&amp;" कसूरी मेथी (सूखी मेथी के पत्ते), 200 ग्राम पनीर (घर का बना पनीर) - टुकड़ों में कटा हुआ, नमक - स्वादानुसार, लाल मिर्च पाउडर - स्वादानुसार, सूरजमुखी तेल - पकाने के लिए, 4 टहनी धनिया (धनिया) के पत्ते - बारीक कटे")</f>
        <v>1 कप घर का बना टमाटर प्यूरी, 1 प्याज - मोटे तौर पर कटा हुआ, 2 लहसुन के दाने, 1 इंच अदरक, 1/4 चम्मच हल्दी पाउडर (हल्दी), 1/4 चम्मच लाल मिर्च पाउडर, 1/4 चम्मच गरम मसाला पाउडर, नमक - स्वादानुसार, सूरजमुखी तेल - पकाने के लिए, 2 बड़े चम्मच ताजा क्रीम, 1/2 चम्मच जीरा (जीरा), 1/4 चम्मच हल्दी पाउडर (हल्दी), 1 प्याज - बारीक कटा हुआ, 2 हरी मिर्च - बारीक कटी हुई, 1 इंच अदरक - कसा हुआ, 1 हरी बेल मिर्च (शिमला मिर्च) - बारीक कटी हुई, 1 टमाटर - बारीक कटा हुआ, 3/4 कप मेथी के पत्ते (मेथी के पत्ते) - बारीक कटे हुए, 2 चम्मच कसूरी मेथी (सूखी मेथी के पत्ते), 200 ग्राम पनीर (घर का बना पनीर) - टुकड़ों में कटा हुआ, नमक - स्वादानुसार, लाल मिर्च पाउडर - स्वादानुसार, सूरजमुखी तेल - पकाने के लिए, 4 टहनी धनिया (धनिया) के पत्ते - बारीक कटे</v>
      </c>
      <c r="H429" s="1" t="s">
        <v>32709</v>
      </c>
      <c r="I429" s="1" t="str">
        <f ca="1">IFERROR(__xludf.dummyfunction("IF(H429="""", """", GOOGLETRANSLATE(H429, ""en"", ""hi""))"),"मलाईदार ग्रेवी में मेथी पनीर भुर्जी रेसिपी बनाने के लिए सबसे पहले निर्देशों के अनुसार सभी सामग्री तैयार कर लें और उन्हें पकाने के लिए तैयार रख लें। घर का बना टमाटर प्यूरी और घर का बना पनीर बनाएं। पनीर को तोड़कर एक तरफ रख दें। अगला कदम ग्रेवी बनाना है। एक "&amp;"भारी तले की कड़ाही में मध्यम आंच पर एक चम्मच तेल गर्म करें। इसमें प्याज, लहसुन और अदरक डालें और प्याज को हल्का भूरा और कैरामेलाइज़्ड होने तक भूनें। एक बार जब प्याज कैरामेलाइज़ हो जाए तो आंच बंद कर दें। इसे थोड़ा ठंडा होने दें और मिक्सर ग्राइंडर की छोटी जा"&amp;"र में पीसकर चिकना प्याज का पेस्ट बना लें। उसी भारी तले की कड़ाही में थोड़ा तेल डालें और प्याज का पेस्ट वापस डालें और आंच को मध्यम कर दें नमक डालें और अपने स्वादानुसार मसाले डालें। क्रीम डालकर चलाएँ, आँच बंद कर दें और ग्रेवी के मिश्रण को एक तरफ रख दें। अगल"&amp;"ा कदम पनीर भुर्जी बनाना है। एक भारी तले की कड़ाही में तेल गर्म करें, उसमें जीरा डालें और उसे चटकने दें। जब जीरा चटकने लगे तो उसमें कटा हुआ प्याज, शिमला मिर्च, अदरक, हरी मिर्च डालें और उनके नरम होने तक पकाएँ। जब हो जाए तो उसमें टमाटर, हल्दी पाउडर, मेथी के "&amp;"पत्ते, कसूरी मेथी डालें और 3 से 4 मिनट तक भूनें, जब तक कि मेथी के पत्ते मुरझाकर नरम न हो जाएँ। इसमें टुकड़े किया हुआ पनीर, नमक और मिर्च पाउडर डालकर सारी सामग्री अच्छी तरह मिलाएँ। जब पनीर भुर्जी बन जाए तो इसे मसालेदार मलाईदार टमाटर की ग्रेवी में मिला दें न"&amp;"मक और मसालों को एक बार फिर से जांच लें और अपने स्वाद के अनुसार समायोजित करें। एक बार हो जाने पर, मेथी पनीर भुर्जी में कटा हुआ धनिया पत्ता डालें और गर्म परोसें। मेथी पनीर भुर्जी को मलाईदार ग्रेवी में फुल्के और समर लेट्यूस सलाद के साथ परोसें, जो पूरे सप्ताह"&amp;" के खाने के लिए एक पौष्टिक व्यंजन है या जब आपके दोस्त और परिवार के लोग आएं तो पार्टियों के लिए भी इसे बनाएं।")</f>
        <v>मलाईदार ग्रेवी में मेथी पनीर भुर्जी रेसिपी बनाने के लिए सबसे पहले निर्देशों के अनुसार सभी सामग्री तैयार कर लें और उन्हें पकाने के लिए तैयार रख लें। घर का बना टमाटर प्यूरी और घर का बना पनीर बनाएं। पनीर को तोड़कर एक तरफ रख दें। अगला कदम ग्रेवी बनाना है। एक भारी तले की कड़ाही में मध्यम आंच पर एक चम्मच तेल गर्म करें। इसमें प्याज, लहसुन और अदरक डालें और प्याज को हल्का भूरा और कैरामेलाइज़्ड होने तक भूनें। एक बार जब प्याज कैरामेलाइज़ हो जाए तो आंच बंद कर दें। इसे थोड़ा ठंडा होने दें और मिक्सर ग्राइंडर की छोटी जार में पीसकर चिकना प्याज का पेस्ट बना लें। उसी भारी तले की कड़ाही में थोड़ा तेल डालें और प्याज का पेस्ट वापस डालें और आंच को मध्यम कर दें नमक डालें और अपने स्वादानुसार मसाले डालें। क्रीम डालकर चलाएँ, आँच बंद कर दें और ग्रेवी के मिश्रण को एक तरफ रख दें। अगला कदम पनीर भुर्जी बनाना है। एक भारी तले की कड़ाही में तेल गर्म करें, उसमें जीरा डालें और उसे चटकने दें। जब जीरा चटकने लगे तो उसमें कटा हुआ प्याज, शिमला मिर्च, अदरक, हरी मिर्च डालें और उनके नरम होने तक पकाएँ। जब हो जाए तो उसमें टमाटर, हल्दी पाउडर, मेथी के पत्ते, कसूरी मेथी डालें और 3 से 4 मिनट तक भूनें, जब तक कि मेथी के पत्ते मुरझाकर नरम न हो जाएँ। इसमें टुकड़े किया हुआ पनीर, नमक और मिर्च पाउडर डालकर सारी सामग्री अच्छी तरह मिलाएँ। जब पनीर भुर्जी बन जाए तो इसे मसालेदार मलाईदार टमाटर की ग्रेवी में मिला दें नमक और मसालों को एक बार फिर से जांच लें और अपने स्वाद के अनुसार समायोजित करें। एक बार हो जाने पर, मेथी पनीर भुर्जी में कटा हुआ धनिया पत्ता डालें और गर्म परोसें। मेथी पनीर भुर्जी को मलाईदार ग्रेवी में फुल्के और समर लेट्यूस सलाद के साथ परोसें, जो पूरे सप्ताह के खाने के लिए एक पौष्टिक व्यंजन है या जब आपके दोस्त और परिवार के लोग आएं तो पार्टियों के लिए भी इसे बनाएं।</v>
      </c>
      <c r="J429" s="3" t="s">
        <v>32710</v>
      </c>
      <c r="L429" s="1" t="s">
        <v>31003</v>
      </c>
    </row>
    <row r="430" spans="1:12" ht="13.8">
      <c r="A430" s="1" t="s">
        <v>32711</v>
      </c>
      <c r="B430" s="1" t="str">
        <f ca="1">IFERROR(__xludf.dummyfunction("IF(A430="""", """", GOOGLETRANSLATE(A430, ""en"", ""hi""))"),"गुलाब गुलकंद फिरनी रेसिपी")</f>
        <v>गुलाब गुलकंद फिरनी रेसिपी</v>
      </c>
      <c r="C430" s="1" t="s">
        <v>8417</v>
      </c>
      <c r="D430" s="1" t="s">
        <v>14198</v>
      </c>
      <c r="E430" s="1">
        <v>70</v>
      </c>
      <c r="F430" s="1" t="s">
        <v>32712</v>
      </c>
      <c r="G430" s="1" t="str">
        <f ca="1">IFERROR(__xludf.dummyfunction("IF(F430="""", """", GOOGLETRANSLATE(F430, ""en"", ""hi""))"),"2 लीटर दूध - (फुल फैट), 1/2 कप चावल - 30 मिनट के लिए 1/4 कप पानी में भिगोए हुए, 400 मिली गाढ़ा दूध - (1 कैन), 4 बड़े चम्मच सूखी गुलाब की पंखुड़ियाँ - 4 बड़े चम्मच गर्म दूध में भिगोई हुई, 2 बड़े चम्मच गुलकंद, 2 बड़े चम्मच चीनी - (वैकल्पिक), 2 बड़े चम्मच गु"&amp;"लाब जल - या रूह अफज़ा, 1/2 चम्मच इलायची पाउडर (इलायची), 1/2 चम्मच सौंफ पाउडर, 1 चम्मच गुलाब जल, 12 पिस्ते - कटे हुए, 12 बादाम - कटे हुए, 12 काजू - कटे हुए, सूखे गुलाब की पंखुड़ियाँ - कुछ")</f>
        <v>2 लीटर दूध - (फुल फैट), 1/2 कप चावल - 30 मिनट के लिए 1/4 कप पानी में भिगोए हुए, 400 मिली गाढ़ा दूध - (1 कैन), 4 बड़े चम्मच सूखी गुलाब की पंखुड़ियाँ - 4 बड़े चम्मच गर्म दूध में भिगोई हुई, 2 बड़े चम्मच गुलकंद, 2 बड़े चम्मच चीनी - (वैकल्पिक), 2 बड़े चम्मच गुलाब जल - या रूह अफज़ा, 1/2 चम्मच इलायची पाउडर (इलायची), 1/2 चम्मच सौंफ पाउडर, 1 चम्मच गुलाब जल, 12 पिस्ते - कटे हुए, 12 बादाम - कटे हुए, 12 काजू - कटे हुए, सूखे गुलाब की पंखुड़ियाँ - कुछ</v>
      </c>
      <c r="H430" s="1" t="s">
        <v>32713</v>
      </c>
      <c r="I430" s="1" t="str">
        <f ca="1">IFERROR(__xludf.dummyfunction("IF(H430="""", """", GOOGLETRANSLATE(H430, ""en"", ""hi""))"),"गुलाब गुलकंद फिरनी रेसिपी बनाने के लिए सबसे पहले भीगे हुए चावल से पानी पूरी तरह निकाल लें और चावल को मिक्सर में दरदरा पीस लें। पेस्ट को 1/4 कप पानी में मिलाकर पतला कर लें और तैयार कर लें। एक सॉस पैन में दूध उबालें। जब दूध उबलने लगे तो आंच धीमी कर दें और प"&amp;"िसा हुआ चावल का पेस्ट मिला दें। धीमी या मध्यम आंच पर लगातार चलाते हुए तब तक पकाएं जब तक दूध दलिया जैसा गाढ़ा न हो जाए और चावल का पेस्ट पूरी तरह पक न जाए। पैन के किनारों पर जमा हुए सूखे दूध को खुरचते रहें ताकि दूध-चावल के मिश्रण की मलाई फिरनी में एक अच्छी "&amp;"बनावट जोड़ दे। जब चावल पूरी तरह पक जाए और दलिया जैसा हो जाए तो बाकी सामग्री जैसे कंडेंस्ड मिल्क, सूखी गुलाब की पंखुड़ियां, गुलकंद, चीनी, गुलाब जल, इलायची पाउडर, सौंफ पाउडर, गुलाब जल डालें आप गुलकंद फिरनी को 3-4 घंटे या अच्छी तरह से ठंडा होने तक फ्रिज में "&amp;"रख सकते हैं। गुलाब गुलकंद फिरनी रेसिपी को मेवे और सूखे गुलाब की पंखुड़ियों से सजाकर मिठाई के रूप में परोसें। सप्ताहांत में ब्रंच या भोजन के लिए आलू गोभी की सब्जी, अजवाइन पूरी और बूंदी रायता के स्वादिष्ट भोजन के बाद गुलाब गुलकंद फिरनी परोसें।")</f>
        <v>गुलाब गुलकंद फिरनी रेसिपी बनाने के लिए सबसे पहले भीगे हुए चावल से पानी पूरी तरह निकाल लें और चावल को मिक्सर में दरदरा पीस लें। पेस्ट को 1/4 कप पानी में मिलाकर पतला कर लें और तैयार कर लें। एक सॉस पैन में दूध उबालें। जब दूध उबलने लगे तो आंच धीमी कर दें और पिसा हुआ चावल का पेस्ट मिला दें। धीमी या मध्यम आंच पर लगातार चलाते हुए तब तक पकाएं जब तक दूध दलिया जैसा गाढ़ा न हो जाए और चावल का पेस्ट पूरी तरह पक न जाए। पैन के किनारों पर जमा हुए सूखे दूध को खुरचते रहें ताकि दूध-चावल के मिश्रण की मलाई फिरनी में एक अच्छी बनावट जोड़ दे। जब चावल पूरी तरह पक जाए और दलिया जैसा हो जाए तो बाकी सामग्री जैसे कंडेंस्ड मिल्क, सूखी गुलाब की पंखुड़ियां, गुलकंद, चीनी, गुलाब जल, इलायची पाउडर, सौंफ पाउडर, गुलाब जल डालें आप गुलकंद फिरनी को 3-4 घंटे या अच्छी तरह से ठंडा होने तक फ्रिज में रख सकते हैं। गुलाब गुलकंद फिरनी रेसिपी को मेवे और सूखे गुलाब की पंखुड़ियों से सजाकर मिठाई के रूप में परोसें। सप्ताहांत में ब्रंच या भोजन के लिए आलू गोभी की सब्जी, अजवाइन पूरी और बूंदी रायता के स्वादिष्ट भोजन के बाद गुलाब गुलकंद फिरनी परोसें।</v>
      </c>
      <c r="J430" s="3" t="s">
        <v>32714</v>
      </c>
      <c r="L430" s="1" t="s">
        <v>31003</v>
      </c>
    </row>
    <row r="431" spans="1:12" ht="13.8">
      <c r="A431" s="1" t="s">
        <v>32715</v>
      </c>
      <c r="B431" s="1" t="str">
        <f ca="1">IFERROR(__xludf.dummyfunction("IF(A431="""", """", GOOGLETRANSLATE(A431, ""en"", ""hi""))"),"प्याज़ की सब्जी रेसिपी")</f>
        <v>प्याज़ की सब्जी रेसिपी</v>
      </c>
      <c r="C431" s="1" t="s">
        <v>145</v>
      </c>
      <c r="D431" s="1" t="s">
        <v>14198</v>
      </c>
      <c r="E431" s="1">
        <v>40</v>
      </c>
      <c r="F431" s="1" t="s">
        <v>32716</v>
      </c>
      <c r="G431" s="1" t="str">
        <f ca="1">IFERROR(__xludf.dummyfunction("IF(F431="""", """", GOOGLETRANSLATE(F431, ""en"", ""hi""))"),"15 सांबर प्याज - छिले और कटे हुए, 1/2 छोटा चम्मच जीरा, 1/4 छोटा चम्मच हींग, 1 छोटा चम्मच सौंफ - पीसी हुई, 1 छोटा चम्मच लाल मिर्च पाउडर, 1 छोटा चम्मच आमचूर, 1 छोटा चम्मच धनिया पाउडर, नमक - स्वादानुसार, सूरजमुखी तेल - पकाने के लिए")</f>
        <v>15 सांबर प्याज - छिले और कटे हुए, 1/2 छोटा चम्मच जीरा, 1/4 छोटा चम्मच हींग, 1 छोटा चम्मच सौंफ - पीसी हुई, 1 छोटा चम्मच लाल मिर्च पाउडर, 1 छोटा चम्मच आमचूर, 1 छोटा चम्मच धनिया पाउडर, नमक - स्वादानुसार, सूरजमुखी तेल - पकाने के लिए</v>
      </c>
      <c r="H431" s="1" t="s">
        <v>32717</v>
      </c>
      <c r="I431" s="1" t="str">
        <f ca="1">IFERROR(__xludf.dummyfunction("IF(H431="""", """", GOOGLETRANSLATE(H431, ""en"", ""hi""))"),"प्याज़ की सब्ज़ी बनाने के लिए सबसे पहले सभी सामग्री तैयार कर लें। प्याज़ को छीलकर आधा या बड़ा काट लें। एक कड़ाही में एक बड़ा चम्मच तेल गरम करें, उसमें हींग, जीरा और सौंफ डालें। उन्हें चटकने दें। जब वे चटकने लगें, तो उसमें प्याज़ डालें, थोड़ा नमक छिड़कें औ"&amp;"र मध्यम आँच पर प्याज़ को अच्छी तरह से भुनने, कैरमेलाइज़ होने और नरम होने तक पकाएँ। जब प्याज़ का रंग अच्छा हो जाए और वह पक जाए, तो उसमें बचा हुआ मसाला डालें और प्याज़ को तब तक मिलाएँ जब तक कि सभी मसाले उस पर अच्छी तरह से न लग जाएँ। जब यह पक जाए, तो नमक और "&amp;"मसाले की मात्रा जाँच लें और अपने स्वाद के अनुसार इसे मिलाएँ। आँच बंद कर दें और प्याज़ की सब्ज़ी को एक सर्विंग बाउल में डालें। प्याज़ की सब्ज़ी को कढ़ी और चावल या फुल्के और रायते के साथ लंच या डिनर में परोसें।")</f>
        <v>प्याज़ की सब्ज़ी बनाने के लिए सबसे पहले सभी सामग्री तैयार कर लें। प्याज़ को छीलकर आधा या बड़ा काट लें। एक कड़ाही में एक बड़ा चम्मच तेल गरम करें, उसमें हींग, जीरा और सौंफ डालें। उन्हें चटकने दें। जब वे चटकने लगें, तो उसमें प्याज़ डालें, थोड़ा नमक छिड़कें और मध्यम आँच पर प्याज़ को अच्छी तरह से भुनने, कैरमेलाइज़ होने और नरम होने तक पकाएँ। जब प्याज़ का रंग अच्छा हो जाए और वह पक जाए, तो उसमें बचा हुआ मसाला डालें और प्याज़ को तब तक मिलाएँ जब तक कि सभी मसाले उस पर अच्छी तरह से न लग जाएँ। जब यह पक जाए, तो नमक और मसाले की मात्रा जाँच लें और अपने स्वाद के अनुसार इसे मिलाएँ। आँच बंद कर दें और प्याज़ की सब्ज़ी को एक सर्विंग बाउल में डालें। प्याज़ की सब्ज़ी को कढ़ी और चावल या फुल्के और रायते के साथ लंच या डिनर में परोसें।</v>
      </c>
      <c r="J431" s="3" t="s">
        <v>32718</v>
      </c>
      <c r="L431" s="1" t="s">
        <v>31003</v>
      </c>
    </row>
    <row r="432" spans="1:12" ht="13.8">
      <c r="A432" s="1" t="s">
        <v>32719</v>
      </c>
      <c r="B432" s="1" t="str">
        <f ca="1">IFERROR(__xludf.dummyfunction("IF(A432="""", """", GOOGLETRANSLATE(A432, ""en"", ""hi""))"),"दाल बंजारा रेसिपी")</f>
        <v>दाल बंजारा रेसिपी</v>
      </c>
      <c r="C432" s="1" t="s">
        <v>145</v>
      </c>
      <c r="D432" s="1" t="s">
        <v>14237</v>
      </c>
      <c r="E432" s="1">
        <v>50</v>
      </c>
      <c r="F432" s="1" t="s">
        <v>32720</v>
      </c>
      <c r="G432" s="1" t="str">
        <f ca="1">IFERROR(__xludf.dummyfunction("IF(F432="""", """", GOOGLETRANSLATE(F432, ""en"", ""hi""))"),"3/4 कप काली उड़द दाल (विभाजित), 1/4 कप चना दाल, 1 इंच अदरक - कसा हुआ, 1 हरी मिर्च - पतले टुकड़ों में कटी हुई, 1 टमाटर - बारीक कटा हुआ, 1 तेज पत्ता, 1 इंच दालचीनी, 1 छोटा चम्मच हल्दी पाउडर, 1 छोटा चम्मच गरम मसाला पाउडर, 5 टहनियां धनिया पत्ती - कटी हुई, 1 छ"&amp;"ोटा चम्मच घी, 1 छोटा चम्मच जीरा, 2 सूखी लाल मिर्च - टूटी हुई")</f>
        <v>3/4 कप काली उड़द दाल (विभाजित), 1/4 कप चना दाल, 1 इंच अदरक - कसा हुआ, 1 हरी मिर्च - पतले टुकड़ों में कटी हुई, 1 टमाटर - बारीक कटा हुआ, 1 तेज पत्ता, 1 इंच दालचीनी, 1 छोटा चम्मच हल्दी पाउडर, 1 छोटा चम्मच गरम मसाला पाउडर, 5 टहनियां धनिया पत्ती - कटी हुई, 1 छोटा चम्मच घी, 1 छोटा चम्मच जीरा, 2 सूखी लाल मिर्च - टूटी हुई</v>
      </c>
      <c r="H432" s="1" t="s">
        <v>32721</v>
      </c>
      <c r="I432" s="1" t="str">
        <f ca="1">IFERROR(__xludf.dummyfunction("IF(H432="""", """", GOOGLETRANSLATE(H432, ""en"", ""hi""))"),"""दाल बंजारा रेसिपी बनाने के लिए सबसे पहले एक प्रेशर कुकर लें और उसमें काली उड़द दाल, चना दाल, अदरक, हरी मिर्च, टमाटर, तेज पत्ता, दालचीनी, हल्दी पाउडर, गरम मसाला पाउडर डालें। 2-1/2 कप पानी डालें और कुकर को बंद कर दें। 2 से 3 सीटी आने तक पकाएँ और फिर धीमी "&amp;"आँच पर 10 मिनट तक पकाएँ। गैस बंद कर दें। प्रेशर निकलने के बाद कुकर खोलें और आपकी दाल तैयार है। इसे एक सर्विंग बाउल में निकाल लें। अब तड़के के लिए एक तड़का पैन में घी गर्म करें। इसमें जीरा, सूखी लाल मिर्च डालें और जीरा चटकने तक पकाएँ। इस तड़के को दाल में ड"&amp;"ालें और मिलाएँ। धनिया पत्ती डालें और मिलाएँ। दाल बंजारा रेसिपी को लौकी रायता, भिंडी मसाला और फुल्के के साथ लंच में परोसें।""")</f>
        <v>"दाल बंजारा रेसिपी बनाने के लिए सबसे पहले एक प्रेशर कुकर लें और उसमें काली उड़द दाल, चना दाल, अदरक, हरी मिर्च, टमाटर, तेज पत्ता, दालचीनी, हल्दी पाउडर, गरम मसाला पाउडर डालें। 2-1/2 कप पानी डालें और कुकर को बंद कर दें। 2 से 3 सीटी आने तक पकाएँ और फिर धीमी आँच पर 10 मिनट तक पकाएँ। गैस बंद कर दें। प्रेशर निकलने के बाद कुकर खोलें और आपकी दाल तैयार है। इसे एक सर्विंग बाउल में निकाल लें। अब तड़के के लिए एक तड़का पैन में घी गर्म करें। इसमें जीरा, सूखी लाल मिर्च डालें और जीरा चटकने तक पकाएँ। इस तड़के को दाल में डालें और मिलाएँ। धनिया पत्ती डालें और मिलाएँ। दाल बंजारा रेसिपी को लौकी रायता, भिंडी मसाला और फुल्के के साथ लंच में परोसें।"</v>
      </c>
      <c r="J432" s="3" t="s">
        <v>32722</v>
      </c>
      <c r="L432" s="1" t="s">
        <v>31003</v>
      </c>
    </row>
    <row r="433" spans="1:12" ht="13.8">
      <c r="A433" s="1" t="s">
        <v>32723</v>
      </c>
      <c r="B433" s="1" t="str">
        <f ca="1">IFERROR(__xludf.dummyfunction("IF(A433="""", """", GOOGLETRANSLATE(A433, ""en"", ""hi""))"),"उत्तराखंड स्टाइल सिंघल रेसिपी")</f>
        <v>उत्तराखंड स्टाइल सिंघल रेसिपी</v>
      </c>
      <c r="C433" s="1" t="s">
        <v>14281</v>
      </c>
      <c r="D433" s="1" t="s">
        <v>14198</v>
      </c>
      <c r="E433" s="1">
        <v>260</v>
      </c>
      <c r="F433" s="1" t="s">
        <v>32724</v>
      </c>
      <c r="G433" s="1" t="str">
        <f ca="1">IFERROR(__xludf.dummyfunction("IF(F433="""", """", GOOGLETRANSLATE(F433, ""en"", ""hi""))"),"1 कप सूजी, 1/2 कप हंग कर्ड (ग्रीक योगर्ट), 1/2 पके केले - मसले हुए, 1/2 कप चीनी, 1/2 चम्मच इलायची पाउडर (इलायची), दूध - आवश्यकतानुसार, सूरजमुखी तेल - तलने के लिए")</f>
        <v>1 कप सूजी, 1/2 कप हंग कर्ड (ग्रीक योगर्ट), 1/2 पके केले - मसले हुए, 1/2 कप चीनी, 1/2 चम्मच इलायची पाउडर (इलायची), दूध - आवश्यकतानुसार, सूरजमुखी तेल - तलने के लिए</v>
      </c>
      <c r="H433" s="1" t="s">
        <v>32725</v>
      </c>
      <c r="I433" s="1" t="str">
        <f ca="1">IFERROR(__xludf.dummyfunction("IF(H433="""", """", GOOGLETRANSLATE(H433, ""en"", ""hi""))"),"उत्तराखंड स्टाइल सिंघल रेसिपी बनाने के लिए एक बड़ा कटोरा लें। इसमें सूजी, गाढ़ा दही, मसला हुआ केला, चीनी और हरी इलायची पाउडर डालें। अच्छी तरह मिलाएँ। पर्याप्त दूध डालें और एक चिकना घोल बनाएँ। इसे ढककर 3-4 घंटे के लिए अलग रख दें। एक कढ़ाई में तेल गर्म करें"&amp;"। एक साफ प्लास्टिक बैग लें और अंत में एक कट लगाएँ। बैग को सूजी के घोल से भरें और बैग को दबाएँ ताकि घोल उस बिंदु तक पहुँच जाए, जहाँ बैग में कट है। घोल को जलेबी की तरह सर्पिल आकार में तेल में डालें। इसे सुनहरा भूरा होने तक तलें। एक सोखने वाले कागज पर निकाले"&amp;"ं और प्रक्रिया को दोहराएं। उत्तराखंड स्टाइल सिंघल रेसिपी को मिठाई के रूप में रबड़ी के साथ या नाश्ते के रूप में चाय के साथ परोसें।")</f>
        <v>उत्तराखंड स्टाइल सिंघल रेसिपी बनाने के लिए एक बड़ा कटोरा लें। इसमें सूजी, गाढ़ा दही, मसला हुआ केला, चीनी और हरी इलायची पाउडर डालें। अच्छी तरह मिलाएँ। पर्याप्त दूध डालें और एक चिकना घोल बनाएँ। इसे ढककर 3-4 घंटे के लिए अलग रख दें। एक कढ़ाई में तेल गर्म करें। एक साफ प्लास्टिक बैग लें और अंत में एक कट लगाएँ। बैग को सूजी के घोल से भरें और बैग को दबाएँ ताकि घोल उस बिंदु तक पहुँच जाए, जहाँ बैग में कट है। घोल को जलेबी की तरह सर्पिल आकार में तेल में डालें। इसे सुनहरा भूरा होने तक तलें। एक सोखने वाले कागज पर निकालें और प्रक्रिया को दोहराएं। उत्तराखंड स्टाइल सिंघल रेसिपी को मिठाई के रूप में रबड़ी के साथ या नाश्ते के रूप में चाय के साथ परोसें।</v>
      </c>
      <c r="J433" s="3" t="s">
        <v>32726</v>
      </c>
      <c r="L433" s="1" t="s">
        <v>31003</v>
      </c>
    </row>
    <row r="434" spans="1:12" ht="13.8">
      <c r="A434" s="1" t="s">
        <v>32727</v>
      </c>
      <c r="B434" s="1" t="str">
        <f ca="1">IFERROR(__xludf.dummyfunction("IF(A434="""", """", GOOGLETRANSLATE(A434, ""en"", ""hi""))"),"मेथी मशरूम मसाला रेसिपी")</f>
        <v>मेथी मशरूम मसाला रेसिपी</v>
      </c>
      <c r="C434" s="1" t="s">
        <v>145</v>
      </c>
      <c r="D434" s="1" t="s">
        <v>14198</v>
      </c>
      <c r="E434" s="1">
        <v>25</v>
      </c>
      <c r="F434" s="1" t="s">
        <v>32728</v>
      </c>
      <c r="G434" s="1" t="str">
        <f ca="1">IFERROR(__xludf.dummyfunction("IF(F434="""", """", GOOGLETRANSLATE(F434, ""en"", ""hi""))"),"200 ग्राम बटन मशरूम, 1 बड़ा चम्मच दही, 1/2 चम्मच कश्मीरी लाल मिर्च पाउडर, 1/2 चम्मच अदरक - पेस्ट, 4 चम्मच सूरजमुखी तेल - आवश्यकतानुसार, 1 प्याज - कटा हुआ, 1/4 कप घर का बना टमाटर प्यूरी, 1 चम्मच अदरक लहसुन पेस्ट, 1 तेज पत्ता, 1/4 चम्मच हल्दी पाउडर (हल्दी),"&amp;" 1/4 चम्मच लाल मिर्च पाउडर, 1/4 चम्मच गरम मसाला पाउडर, 1/4 चम्मच कलौंजी (प्याज निगेला बीज), 1 चम्मच कसूरी मेथी (सूखे मेथी के पत्ते), 1 चम्मच नींबू का रस, 2 सूखी लाल मिर्च, नमक - स्वादानुसार, 3/4 कप गुनगुना पानी")</f>
        <v>200 ग्राम बटन मशरूम, 1 बड़ा चम्मच दही, 1/2 चम्मच कश्मीरी लाल मिर्च पाउडर, 1/2 चम्मच अदरक - पेस्ट, 4 चम्मच सूरजमुखी तेल - आवश्यकतानुसार, 1 प्याज - कटा हुआ, 1/4 कप घर का बना टमाटर प्यूरी, 1 चम्मच अदरक लहसुन पेस्ट, 1 तेज पत्ता, 1/4 चम्मच हल्दी पाउडर (हल्दी), 1/4 चम्मच लाल मिर्च पाउडर, 1/4 चम्मच गरम मसाला पाउडर, 1/4 चम्मच कलौंजी (प्याज निगेला बीज), 1 चम्मच कसूरी मेथी (सूखे मेथी के पत्ते), 1 चम्मच नींबू का रस, 2 सूखी लाल मिर्च, नमक - स्वादानुसार, 3/4 कप गुनगुना पानी</v>
      </c>
      <c r="H434" s="1" t="s">
        <v>32729</v>
      </c>
      <c r="I434" s="1" t="str">
        <f ca="1">IFERROR(__xludf.dummyfunction("IF(H434="""", """", GOOGLETRANSLATE(H434, ""en"", ""hi""))"),"मेथी मशरूम मसाला रेसिपी बनाने के लिए सबसे पहले मशरूम को धो लें, एक कटोरी में दही, लाल मिर्च पाउडर और अदरक के पेस्ट के साथ मिला लें। 5 मिनट के लिए मैरिनेट करें। पत्तियों को 5 मिनट के लिए पानी में भिगो दें, छान लें और अलग रख दें। एक छोटी कड़ाही में तेल गर्म"&amp;" करें, मशरूम को भूनें और 2 मिनट बाद निकाल लें। उसी पैन में तेज पत्ता, कलौंजी और अदरक और लहसुन का पेस्ट डालें। 1 मिनट तक भूनें। प्याज को कुछ मिनट या उनके नरम होने तक भूनें। इसके बाद टमाटर प्यूरी, लाल मिर्च पाउडर और हल्दी पाउडर डालें। इसे लगभग एक मिनट तक पक"&amp;"ने दें। एक मिनट के बाद, गर्म पानी, नमक और गरम मसाला पाउडर डालें। इसे आधा गाढ़ा होने तक उबलने दें, अब इसमें मशरूम और भिगोए और छानी हुई सूखी मेथी की पत्तियां डालें")</f>
        <v>मेथी मशरूम मसाला रेसिपी बनाने के लिए सबसे पहले मशरूम को धो लें, एक कटोरी में दही, लाल मिर्च पाउडर और अदरक के पेस्ट के साथ मिला लें। 5 मिनट के लिए मैरिनेट करें। पत्तियों को 5 मिनट के लिए पानी में भिगो दें, छान लें और अलग रख दें। एक छोटी कड़ाही में तेल गर्म करें, मशरूम को भूनें और 2 मिनट बाद निकाल लें। उसी पैन में तेज पत्ता, कलौंजी और अदरक और लहसुन का पेस्ट डालें। 1 मिनट तक भूनें। प्याज को कुछ मिनट या उनके नरम होने तक भूनें। इसके बाद टमाटर प्यूरी, लाल मिर्च पाउडर और हल्दी पाउडर डालें। इसे लगभग एक मिनट तक पकने दें। एक मिनट के बाद, गर्म पानी, नमक और गरम मसाला पाउडर डालें। इसे आधा गाढ़ा होने तक उबलने दें, अब इसमें मशरूम और भिगोए और छानी हुई सूखी मेथी की पत्तियां डालें</v>
      </c>
      <c r="J434" s="3" t="s">
        <v>32730</v>
      </c>
      <c r="L434" s="1" t="s">
        <v>31003</v>
      </c>
    </row>
    <row r="435" spans="1:12" ht="13.8">
      <c r="A435" s="1" t="s">
        <v>32731</v>
      </c>
      <c r="B435" s="1" t="str">
        <f ca="1">IFERROR(__xludf.dummyfunction("IF(A435="""", """", GOOGLETRANSLATE(A435, ""en"", ""hi""))"),"पालक और मूंग दाल पकौड़े की रेसिपी")</f>
        <v>पालक और मूंग दाल पकौड़े की रेसिपी</v>
      </c>
      <c r="C435" s="1" t="s">
        <v>14281</v>
      </c>
      <c r="D435" s="1" t="s">
        <v>14237</v>
      </c>
      <c r="E435" s="1">
        <v>35</v>
      </c>
      <c r="F435" s="1" t="s">
        <v>32732</v>
      </c>
      <c r="G435" s="1" t="str">
        <f ca="1">IFERROR(__xludf.dummyfunction("IF(F435="""", """", GOOGLETRANSLATE(F435, ""en"", ""hi""))"),"1 कप पीली मूंग दाल - 2 घंटे भिगोई हुई, 1 कप पालक - बारीक कटा हुआ, 1 प्याज - बारीक कटा हुआ, 1 हरी मिर्च - बारीक कटी हुई, 1 चम्मच अजवाइन, 1 बड़ा चम्मच धनिया - दरदरा कुटा हुआ, 1/2 चम्मच लाल मिर्च पाउडर, 1/2 चम्मच गरम मसाला पाउडर, 1/4 चम्मच हल्दी पाउडर, 1/2 च"&amp;"म्मच जीरा पाउडर, 1 चम्मच नींबू का रस, नमक - स्वादानुसार, सूरजमुखी तेल - तलने के लिए")</f>
        <v>1 कप पीली मूंग दाल - 2 घंटे भिगोई हुई, 1 कप पालक - बारीक कटा हुआ, 1 प्याज - बारीक कटा हुआ, 1 हरी मिर्च - बारीक कटी हुई, 1 चम्मच अजवाइन, 1 बड़ा चम्मच धनिया - दरदरा कुटा हुआ, 1/2 चम्मच लाल मिर्च पाउडर, 1/2 चम्मच गरम मसाला पाउडर, 1/4 चम्मच हल्दी पाउडर, 1/2 चम्मच जीरा पाउडर, 1 चम्मच नींबू का रस, नमक - स्वादानुसार, सूरजमुखी तेल - तलने के लिए</v>
      </c>
      <c r="H435" s="1" t="s">
        <v>32733</v>
      </c>
      <c r="I435" s="1" t="str">
        <f ca="1">IFERROR(__xludf.dummyfunction("IF(H435="""", """", GOOGLETRANSLATE(H435, ""en"", ""hi""))"),"पालक और मूंग दाल पकौड़े बनाने की विधि सबसे पहले मूंग दाल को धोकर 2 घंटे के लिए भिगो दें और फिर मिक्सर ग्राइंडर का उपयोग करके इसे पीसकर पेस्ट बना लें। पिसी हुई मूंग दाल को एक कटोरे में निकाल लें। अब पिसी हुई मूंग दाल के पेस्ट को कुछ मिनट तक अच्छी तरह से फे"&amp;"ंटें ताकि मिश्रण में हवा मिल जाए और घोल हल्का हो जाए। इसमें कटी हुई पालक, प्याज़ और हरी मिर्च डालें। इसमें बताए गए मसाले जैसे अजवाइन, धनिया के बीज, लाल मिर्च पाउडर, गरम मसाला पाउडर, हल्दी पाउडर, जीरा पाउडर, नमक डालें और अच्छी तरह मिलाएँ। अब एक पनियारम पैन"&amp;" में तेल गर्म करें और हर छेद में तेल डालें। एक बार जब यह गर्म हो जाए तो एक चम्मच घोल को तेल में डालकर छोटे-छोटे पकौड़े बना लें और मध्यम आंच पर 2 मिनट तक पकने दें। जब पकौड़े एक तरफ से पक जाएं और सुनहरे भूरे रंग के हो जाएं, तो पलट दें और दूसरी तरफ से भी पका"&amp;"एं। एक बार जब पकौड़े सभी तरफ से समान रूप से भूरे हो जाएं और पूरी तरह से पक जाएं तो उन्हें पैन से निकालकर एक तेल सोखने वाले कागज पर रख दें और बचे हुए घोल से पकौड़ों की अगली खेप बनाने के लिए आगे बढ़ें। पालक और मूंग दाल पकौड़े रेसिपी को चाय के समय के नाश्ते "&amp;"के रूप में मसालेदार धनिया पुदीना चटनी और मसाला चाय के साथ परोसें और अपने मेहमानों को प्रभावित करें।")</f>
        <v>पालक और मूंग दाल पकौड़े बनाने की विधि सबसे पहले मूंग दाल को धोकर 2 घंटे के लिए भिगो दें और फिर मिक्सर ग्राइंडर का उपयोग करके इसे पीसकर पेस्ट बना लें। पिसी हुई मूंग दाल को एक कटोरे में निकाल लें। अब पिसी हुई मूंग दाल के पेस्ट को कुछ मिनट तक अच्छी तरह से फेंटें ताकि मिश्रण में हवा मिल जाए और घोल हल्का हो जाए। इसमें कटी हुई पालक, प्याज़ और हरी मिर्च डालें। इसमें बताए गए मसाले जैसे अजवाइन, धनिया के बीज, लाल मिर्च पाउडर, गरम मसाला पाउडर, हल्दी पाउडर, जीरा पाउडर, नमक डालें और अच्छी तरह मिलाएँ। अब एक पनियारम पैन में तेल गर्म करें और हर छेद में तेल डालें। एक बार जब यह गर्म हो जाए तो एक चम्मच घोल को तेल में डालकर छोटे-छोटे पकौड़े बना लें और मध्यम आंच पर 2 मिनट तक पकने दें। जब पकौड़े एक तरफ से पक जाएं और सुनहरे भूरे रंग के हो जाएं, तो पलट दें और दूसरी तरफ से भी पकाएं। एक बार जब पकौड़े सभी तरफ से समान रूप से भूरे हो जाएं और पूरी तरह से पक जाएं तो उन्हें पैन से निकालकर एक तेल सोखने वाले कागज पर रख दें और बचे हुए घोल से पकौड़ों की अगली खेप बनाने के लिए आगे बढ़ें। पालक और मूंग दाल पकौड़े रेसिपी को चाय के समय के नाश्ते के रूप में मसालेदार धनिया पुदीना चटनी और मसाला चाय के साथ परोसें और अपने मेहमानों को प्रभावित करें।</v>
      </c>
      <c r="J435" s="3" t="s">
        <v>32734</v>
      </c>
      <c r="L435" s="1" t="s">
        <v>31003</v>
      </c>
    </row>
    <row r="436" spans="1:12" ht="13.8">
      <c r="A436" s="1" t="s">
        <v>32735</v>
      </c>
      <c r="B436" s="1" t="str">
        <f ca="1">IFERROR(__xludf.dummyfunction("IF(A436="""", """", GOOGLETRANSLATE(A436, ""en"", ""hi""))"),"अचारी आलू परवल सब्ज़ी रेसिपी (अचार मसाले में लौकी और आलू डालकर भूनिये)")</f>
        <v>अचारी आलू परवल सब्ज़ी रेसिपी (अचार मसाले में लौकी और आलू डालकर भूनिये)</v>
      </c>
      <c r="C436" s="1" t="s">
        <v>145</v>
      </c>
      <c r="D436" s="1" t="s">
        <v>14198</v>
      </c>
      <c r="E436" s="1">
        <v>50</v>
      </c>
      <c r="F436" s="1" t="s">
        <v>32736</v>
      </c>
      <c r="G436" s="1" t="str">
        <f ca="1">IFERROR(__xludf.dummyfunction("IF(F436="""", """", GOOGLETRANSLATE(F436, ""en"", ""hi""))"),"400 ग्राम परवल - लम्बाई में कटा हुआ, 3 आलू - लम्बाई में कटा हुआ, 1 प्याज - बारीक कटा हुआ, 1 टमाटर - बारीक कटा हुआ, 2 बड़े चम्मच सरसों का तेल, 1/2 छोटा चम्मच कलौंजी, 1/2 छोटा चम्मच हल्दी, 1/2 छोटा चम्मच आमचूर, नमक - स्वादानुसार, 1 छोटा चम्मच धनिया, 1/2 छोट"&amp;"ा चम्मच जीरा, 1/2 छोटा चम्मच सरसों, 1/2 छोटा चम्मच सौंफ, 1/2 छोटा चम्मच कलौंजी, 1/4 छोटा चम्मच मेथी, 3 सूखी लाल मिर्च - 2 टुकड़ों में तोड़ी हुई")</f>
        <v>400 ग्राम परवल - लम्बाई में कटा हुआ, 3 आलू - लम्बाई में कटा हुआ, 1 प्याज - बारीक कटा हुआ, 1 टमाटर - बारीक कटा हुआ, 2 बड़े चम्मच सरसों का तेल, 1/2 छोटा चम्मच कलौंजी, 1/2 छोटा चम्मच हल्दी, 1/2 छोटा चम्मच आमचूर, नमक - स्वादानुसार, 1 छोटा चम्मच धनिया, 1/2 छोटा चम्मच जीरा, 1/2 छोटा चम्मच सरसों, 1/2 छोटा चम्मच सौंफ, 1/2 छोटा चम्मच कलौंजी, 1/4 छोटा चम्मच मेथी, 3 सूखी लाल मिर्च - 2 टुकड़ों में तोड़ी हुई</v>
      </c>
      <c r="H436" s="1" t="s">
        <v>32737</v>
      </c>
      <c r="I436" s="1" t="str">
        <f ca="1">IFERROR(__xludf.dummyfunction("IF(H436="""", """", GOOGLETRANSLATE(H436, ""en"", ""hi""))"),"अचारी आलू परवल सब्ज़ी रेसिपी बनाने के लिए एक पैन को मध्यम आँच पर रखें और “सूखा भूनकर दरदरा पीस लें” के तहत सभी सामग्री को सूखा भून लें और उन्हें एक साथ ग्राइंडर में पीसकर मसाला मिश्रण बना लें। बाद में इस्तेमाल करने के लिए अलग रख दें। प्रेशर कुकर को आँच पर"&amp;" रखें और उसमें सरसों का तेल डालें। इसे तब तक गर्म करें जब तक कि यह धुआँ न छोड़ने लगे, फिर आँच को कम कर दें, कलौंजी डालें और उन्हें चटकने दें। प्याज़ डालें और हल्का सुनहरा भूरा होने तक भूनें। उन्हें जलाएँ नहीं। फिर, आलू, परवल और कटे हुए टमाटर डालें और तेज़"&amp;" आँच पर 4-5 मिनट तक भूनें। हल्दी, पिसा मसाला मिश्रण, अमचूर डालें और सब्ज़ियों को अच्छी तरह मिलाएँ। सब्ज़ियों को पकाने के लिए पर्याप्त पानी छिड़कें, लेकिन ग्रेवी बहुत ज़्यादा न बनाएँ, कुकर पर ढक्कन लगाएँ और 2 सीटी आने तक पकाएँ। आँच बंद कर दें और कुकर को ठं"&amp;"डा होने दें जब तक कि प्रेशर अपने आप निकल न जाए। कुकर खोलें, नमक डालें, मिलाएँ और एक और मिनट के लिए उबालें ताकि अतिरिक्त पानी सूख जाए। इसे एक डिश में परोसें और ताज़े धनिया पत्तों से गार्निश करें। फुल्के, मटर की पूरी और दाल बंजारा के साथ गरमागरम परोसें और प"&amp;"ूरे हफ़्ते की रात का खाना खाएँ।")</f>
        <v>अचारी आलू परवल सब्ज़ी रेसिपी बनाने के लिए एक पैन को मध्यम आँच पर रखें और “सूखा भूनकर दरदरा पीस लें” के तहत सभी सामग्री को सूखा भून लें और उन्हें एक साथ ग्राइंडर में पीसकर मसाला मिश्रण बना लें। बाद में इस्तेमाल करने के लिए अलग रख दें। प्रेशर कुकर को आँच पर रखें और उसमें सरसों का तेल डालें। इसे तब तक गर्म करें जब तक कि यह धुआँ न छोड़ने लगे, फिर आँच को कम कर दें, कलौंजी डालें और उन्हें चटकने दें। प्याज़ डालें और हल्का सुनहरा भूरा होने तक भूनें। उन्हें जलाएँ नहीं। फिर, आलू, परवल और कटे हुए टमाटर डालें और तेज़ आँच पर 4-5 मिनट तक भूनें। हल्दी, पिसा मसाला मिश्रण, अमचूर डालें और सब्ज़ियों को अच्छी तरह मिलाएँ। सब्ज़ियों को पकाने के लिए पर्याप्त पानी छिड़कें, लेकिन ग्रेवी बहुत ज़्यादा न बनाएँ, कुकर पर ढक्कन लगाएँ और 2 सीटी आने तक पकाएँ। आँच बंद कर दें और कुकर को ठंडा होने दें जब तक कि प्रेशर अपने आप निकल न जाए। कुकर खोलें, नमक डालें, मिलाएँ और एक और मिनट के लिए उबालें ताकि अतिरिक्त पानी सूख जाए। इसे एक डिश में परोसें और ताज़े धनिया पत्तों से गार्निश करें। फुल्के, मटर की पूरी और दाल बंजारा के साथ गरमागरम परोसें और पूरे हफ़्ते की रात का खाना खाएँ।</v>
      </c>
      <c r="J436" s="3" t="s">
        <v>32738</v>
      </c>
      <c r="L436" s="1" t="s">
        <v>31003</v>
      </c>
    </row>
    <row r="437" spans="1:12" ht="13.8">
      <c r="A437" s="1" t="s">
        <v>32739</v>
      </c>
      <c r="B437" s="1" t="str">
        <f ca="1">IFERROR(__xludf.dummyfunction("IF(A437="""", """", GOOGLETRANSLATE(A437, ""en"", ""hi""))"),"पंजाबी साबुत मूंग की दाल रेसिपी (पंजाबी मसालों के साथ पकाई गई साबुत हरी दाल)")</f>
        <v>पंजाबी साबुत मूंग की दाल रेसिपी (पंजाबी मसालों के साथ पकाई गई साबुत हरी दाल)</v>
      </c>
      <c r="C437" s="1" t="s">
        <v>145</v>
      </c>
      <c r="D437" s="1" t="s">
        <v>14237</v>
      </c>
      <c r="E437" s="1">
        <v>40</v>
      </c>
      <c r="F437" s="1" t="s">
        <v>32740</v>
      </c>
      <c r="G437" s="1" t="str">
        <f ca="1">IFERROR(__xludf.dummyfunction("IF(F437="""", """", GOOGLETRANSLATE(F437, ""en"", ""hi""))"),"1 कप हरी मूंग दाल (साबुत), 2 प्याज - कटे हुए, 2 टमाटर - कटे हुए, 1 इंच अदरक - कुटा हुआ, 4 लहसुन - कुटा हुआ, 2 हरी मिर्च, 1 चम्मच सूरजमुखी तेल, 1 चम्मच जीरा, 1/4 चम्मच गरम मसाला पाउडर, नमक - स्वादानुसार, 1/2 चम्मच हल्दी, 1 चम्मच घी, 1/2 चम्मच कश्मीरी लाल म"&amp;"िर्च पाउडर, धनिया पत्ती - कटी हुई")</f>
        <v>1 कप हरी मूंग दाल (साबुत), 2 प्याज - कटे हुए, 2 टमाटर - कटे हुए, 1 इंच अदरक - कुटा हुआ, 4 लहसुन - कुटा हुआ, 2 हरी मिर्च, 1 चम्मच सूरजमुखी तेल, 1 चम्मच जीरा, 1/4 चम्मच गरम मसाला पाउडर, नमक - स्वादानुसार, 1/2 चम्मच हल्दी, 1 चम्मच घी, 1/2 चम्मच कश्मीरी लाल मिर्च पाउडर, धनिया पत्ती - कटी हुई</v>
      </c>
      <c r="H437" s="1" t="s">
        <v>32741</v>
      </c>
      <c r="I437" s="1" t="str">
        <f ca="1">IFERROR(__xludf.dummyfunction("IF(H437="""", """", GOOGLETRANSLATE(H437, ""en"", ""hi""))"),"पंजाबी साबुत मूंग की दाल बनाने के लिए सबसे पहले हरी मूंग की दाल को बहते पानी में अच्छी तरह से धो लें और दाल को 3-4 घंटे या रात भर के लिए भिगो दें। सुनिश्चित करें कि बर्तन में दाल को पूरी तरह से डुबाने के लिए पर्याप्त पानी हो। जब दाल को ठंडा करने के लिए तै"&amp;"यार हो जाए, तो प्रेशर कुकर को आंच पर रखें। इसमें साबुत मूंग दाल, 3 कप पानी, नमक और हल्दी पाउडर डालें। ढक्कन बंद करें और इसे तेज़ आँच पर पकने दें। जब प्रेशर कुकर में एक सीटी आ जाए, तो आँच को कम कर दें और आँच बंद करने से पहले 6 मिनट तक पकाते रहें। प्रेशर अप"&amp;"ने आप निकल जाने तक कुकर को आराम दें और वज़न को खींचकर निकालना आसान हो जाए। जब ​​ढक्कन बिना किसी प्रतिरोध के खुल जाए, तो आपको पता चल जाएगा कि प्रेशर पूरी तरह से निकल गया है और कुकर खोला जा सकता है। पके हुए मूंग को एक तरफ रख दें। एक कढ़ाई को आँच पर रखें, उस"&amp;"में थोड़ा तेल डालें और उसे हल्का गर्म करें। इसमें जीरा डालें और हल्का भूरा होने तक मिलाएँ। कटे हुए प्याज, हरी मिर्च, अदरक और लहसुन को तेल में डालें और प्याज के सुनहरा भूरा होने तक भूनें। जब प्याज भूरा हो जाए, तो टमाटर डालें और कुछ मिनट तक भूनें जब तक कि ट"&amp;"माटर पूरी तरह से पक न जाए। इस स्तर पर पकी हुई दाल और गरम मसाला डालें और 2-3 मिनट तक उबालें। एक तड़के वाले पैन या करछुल में घी पिघलाएँ। जब यह गर्म हो जाए, तो इसमें कश्मीरी मिर्च पाउडर डालें, 30 सेकंड के लिए भूनें और परोसने से ठीक पहले दाल के ऊपर तड़का डाले"&amp;"ं। थोड़ा नींबू का रस डालें और धनिया पत्ती से गार्निश करें और गरमागरम परोसें। पंजाबी साबुत मूंग की दाल को ताज़े फुल्के या लच्छा पराठों के साथ परोसें, कटे हुए प्याज और थोड़ा नींबू डालकर एक साधारण आरामदायक भोजन के लिए परोसें।")</f>
        <v>पंजाबी साबुत मूंग की दाल बनाने के लिए सबसे पहले हरी मूंग की दाल को बहते पानी में अच्छी तरह से धो लें और दाल को 3-4 घंटे या रात भर के लिए भिगो दें। सुनिश्चित करें कि बर्तन में दाल को पूरी तरह से डुबाने के लिए पर्याप्त पानी हो। जब दाल को ठंडा करने के लिए तैयार हो जाए, तो प्रेशर कुकर को आंच पर रखें। इसमें साबुत मूंग दाल, 3 कप पानी, नमक और हल्दी पाउडर डालें। ढक्कन बंद करें और इसे तेज़ आँच पर पकने दें। जब प्रेशर कुकर में एक सीटी आ जाए, तो आँच को कम कर दें और आँच बंद करने से पहले 6 मिनट तक पकाते रहें। प्रेशर अपने आप निकल जाने तक कुकर को आराम दें और वज़न को खींचकर निकालना आसान हो जाए। जब ​​ढक्कन बिना किसी प्रतिरोध के खुल जाए, तो आपको पता चल जाएगा कि प्रेशर पूरी तरह से निकल गया है और कुकर खोला जा सकता है। पके हुए मूंग को एक तरफ रख दें। एक कढ़ाई को आँच पर रखें, उसमें थोड़ा तेल डालें और उसे हल्का गर्म करें। इसमें जीरा डालें और हल्का भूरा होने तक मिलाएँ। कटे हुए प्याज, हरी मिर्च, अदरक और लहसुन को तेल में डालें और प्याज के सुनहरा भूरा होने तक भूनें। जब प्याज भूरा हो जाए, तो टमाटर डालें और कुछ मिनट तक भूनें जब तक कि टमाटर पूरी तरह से पक न जाए। इस स्तर पर पकी हुई दाल और गरम मसाला डालें और 2-3 मिनट तक उबालें। एक तड़के वाले पैन या करछुल में घी पिघलाएँ। जब यह गर्म हो जाए, तो इसमें कश्मीरी मिर्च पाउडर डालें, 30 सेकंड के लिए भूनें और परोसने से ठीक पहले दाल के ऊपर तड़का डालें। थोड़ा नींबू का रस डालें और धनिया पत्ती से गार्निश करें और गरमागरम परोसें। पंजाबी साबुत मूंग की दाल को ताज़े फुल्के या लच्छा पराठों के साथ परोसें, कटे हुए प्याज और थोड़ा नींबू डालकर एक साधारण आरामदायक भोजन के लिए परोसें।</v>
      </c>
      <c r="J437" s="3" t="s">
        <v>32742</v>
      </c>
      <c r="L437" s="1" t="s">
        <v>31003</v>
      </c>
    </row>
    <row r="438" spans="1:12" ht="13.8">
      <c r="A438" s="1" t="s">
        <v>32743</v>
      </c>
      <c r="B438" s="1" t="str">
        <f ca="1">IFERROR(__xludf.dummyfunction("IF(A438="""", """", GOOGLETRANSLATE(A438, ""en"", ""hi""))"),"काली मिर्च आलू भिंडी सब्जी - आलू भिंडी मिर्च फ्राई रेसिपी")</f>
        <v>काली मिर्च आलू भिंडी सब्जी - आलू भिंडी मिर्च फ्राई रेसिपी</v>
      </c>
      <c r="C438" s="1" t="s">
        <v>145</v>
      </c>
      <c r="D438" s="1" t="s">
        <v>14198</v>
      </c>
      <c r="E438" s="1">
        <v>30</v>
      </c>
      <c r="F438" s="1" t="s">
        <v>32744</v>
      </c>
      <c r="G438" s="1" t="str">
        <f ca="1">IFERROR(__xludf.dummyfunction("IF(F438="""", """", GOOGLETRANSLATE(F438, ""en"", ""hi""))"),"3 आलू - उबले हुए, 2 कप भिंडी - 1/2 इंच के टुकड़ों में कटी हुई, 1/2 छोटा चम्मच हल्दी, 1 छोटा चम्मच जीरा, 1 प्याज - बारीक कटा हुआ, 2 बड़े चम्मच सूरजमुखी तेल, नमक - स्वादानुसार, 2 छोटे चम्मच जीरा, 2 छोटे चम्मच साबुत काली मिर्च")</f>
        <v>3 आलू - उबले हुए, 2 कप भिंडी - 1/2 इंच के टुकड़ों में कटी हुई, 1/2 छोटा चम्मच हल्दी, 1 छोटा चम्मच जीरा, 1 प्याज - बारीक कटा हुआ, 2 बड़े चम्मच सूरजमुखी तेल, नमक - स्वादानुसार, 2 छोटे चम्मच जीरा, 2 छोटे चम्मच साबुत काली मिर्च</v>
      </c>
      <c r="H438" s="1" t="s">
        <v>32745</v>
      </c>
      <c r="I438" s="1" t="str">
        <f ca="1">IFERROR(__xludf.dummyfunction("IF(H438="""", """", GOOGLETRANSLATE(H438, ""en"", ""hi""))"),"काली मिर्च आलू भिंडी रेसिपी बनाने के लिए, आलू को 1 कप पानी के साथ प्रेशर कुकर में डालें और 3 से 4 सीटी आने तक पकाएं। कुकर का प्रेशर अपने आप निकलने दें। आलू के ठंडे हो जाने पर आलू को छीलकर छोटे-छोटे क्यूब्स में काट लें। इसे एक तरफ रख दें। मिक्सर ग्राइंडर क"&amp;"ा उपयोग करके जीरा और काली मिर्च का बारीक पाउडर बना लें। एक तरफ रख दें। एक भारी तले की कड़ाही में तेल गर्म करें। तेल गर्म हो जाए तो उसमें जीरा डालें और उसे चटकने दें। बारीक कटा प्याज डालें और तब तक भूनें जब तक वह नरम और पारभासी न हो जाए - लगभग एक मिनट। प्य"&amp;"ाज के नरम हो जाने पर उसमें भिंडी डालें, थोड़ा नमक छिड़कें और तब तक भूनें जब तक कि चिपचिपापन दूर न हो जाए। भिंडी को हल्का ढककर रखें जब भिन्डी पक जाए तो उसमें उबले आलू, हल्दी पाउडर और पिसी काली मिर्च और जीरा पाउडर डालें और तब तक भूनें जब तक कि काली मिर्च आल"&amp;"ू भिन्डी सब्ज़ी थोड़ी कुरकुरी न हो जाए। इसमें लगभग 3 से 4 मिनट का समय लगेगा। नमक की जाँच करें और उसके अनुसार समायोजित करें। जब आलू भिन्डी थोड़ी कुरकुरी हो जाए और जीरा-काली मिर्च पाउडर से अच्छी तरह लिपट जाए तो आँच बंद कर दें और गरमागरम परोसें। काली मिर्च आ"&amp;"लू भिन्डी सब्ज़ी को उबले हुए चावल, लहसुन रसम, इलायची वड़म और गाजर ककड़ी टमाटर सलाद नींबू और धनिया रेसिपी के साथ परोसें, यह एक सरल लेकिन स्वादिष्ट रात का खाना है।")</f>
        <v>काली मिर्च आलू भिंडी रेसिपी बनाने के लिए, आलू को 1 कप पानी के साथ प्रेशर कुकर में डालें और 3 से 4 सीटी आने तक पकाएं। कुकर का प्रेशर अपने आप निकलने दें। आलू के ठंडे हो जाने पर आलू को छीलकर छोटे-छोटे क्यूब्स में काट लें। इसे एक तरफ रख दें। मिक्सर ग्राइंडर का उपयोग करके जीरा और काली मिर्च का बारीक पाउडर बना लें। एक तरफ रख दें। एक भारी तले की कड़ाही में तेल गर्म करें। तेल गर्म हो जाए तो उसमें जीरा डालें और उसे चटकने दें। बारीक कटा प्याज डालें और तब तक भूनें जब तक वह नरम और पारभासी न हो जाए - लगभग एक मिनट। प्याज के नरम हो जाने पर उसमें भिंडी डालें, थोड़ा नमक छिड़कें और तब तक भूनें जब तक कि चिपचिपापन दूर न हो जाए। भिंडी को हल्का ढककर रखें जब भिन्डी पक जाए तो उसमें उबले आलू, हल्दी पाउडर और पिसी काली मिर्च और जीरा पाउडर डालें और तब तक भूनें जब तक कि काली मिर्च आलू भिन्डी सब्ज़ी थोड़ी कुरकुरी न हो जाए। इसमें लगभग 3 से 4 मिनट का समय लगेगा। नमक की जाँच करें और उसके अनुसार समायोजित करें। जब आलू भिन्डी थोड़ी कुरकुरी हो जाए और जीरा-काली मिर्च पाउडर से अच्छी तरह लिपट जाए तो आँच बंद कर दें और गरमागरम परोसें। काली मिर्च आलू भिन्डी सब्ज़ी को उबले हुए चावल, लहसुन रसम, इलायची वड़म और गाजर ककड़ी टमाटर सलाद नींबू और धनिया रेसिपी के साथ परोसें, यह एक सरल लेकिन स्वादिष्ट रात का खाना है।</v>
      </c>
      <c r="J438" s="3" t="s">
        <v>32746</v>
      </c>
      <c r="L438" s="1" t="s">
        <v>31003</v>
      </c>
    </row>
    <row r="439" spans="1:12" ht="13.8">
      <c r="A439" s="1" t="s">
        <v>32747</v>
      </c>
      <c r="B439" s="1" t="str">
        <f ca="1">IFERROR(__xludf.dummyfunction("IF(A439="""", """", GOOGLETRANSLATE(A439, ""en"", ""hi""))"),"खट्टी मीठी लौकी दाल रेसिपी - मीठी और मसालेदार लौकी दाल")</f>
        <v>खट्टी मीठी लौकी दाल रेसिपी - मीठी और मसालेदार लौकी दाल</v>
      </c>
      <c r="C439" s="1" t="s">
        <v>429</v>
      </c>
      <c r="D439" s="1" t="s">
        <v>14198</v>
      </c>
      <c r="E439" s="1">
        <v>50</v>
      </c>
      <c r="F439" s="1" t="s">
        <v>32748</v>
      </c>
      <c r="G439" s="1" t="str">
        <f ca="1">IFERROR(__xludf.dummyfunction("IF(F439="""", """", GOOGLETRANSLATE(F439, ""en"", ""hi""))"),"1 चम्मच सूरजमुखी तेल - पकाने के लिए, 1/2 चम्मच जीरा, 1 टहनी करी पत्ता - बारीक कटा हुआ, 1 इंच दालचीनी - टूटी हुई, 1 तेज पत्ता - आधा तोड़ा हुआ, 1 इंच अदरक - बारीक कटा हुआ, 1 टमाटर - बारीक कटा हुआ, 1/2 चम्मच हल्दी, 1/2 चम्मच लाल मिर्च पाउडर, 1 कप अरहर दाल - "&amp;"पानी में अच्छी तरह से धुली हुई, 2 कप लौकी - छीली और कटी हुई, नमक - स्वादानुसार, 1 चम्मच गुड़ - पीसा हुआ, 1 नींबू - रस निकाला हुआ, 4 टहनी धनिया (धनिया) के पत्ते - बारीक कटे हुए, 1 चम्मच अमचूर, 1 चम्मच गुड़ - पाउडर, 1 चम्मच नींबू का रस, धनिया (धनिया) के पत्"&amp;"ते - एक छोटा गुच्छा बारीक कटा हुआ, सूरजमुखी तेल - पकाने के लिए")</f>
        <v>1 चम्मच सूरजमुखी तेल - पकाने के लिए, 1/2 चम्मच जीरा, 1 टहनी करी पत्ता - बारीक कटा हुआ, 1 इंच दालचीनी - टूटी हुई, 1 तेज पत्ता - आधा तोड़ा हुआ, 1 इंच अदरक - बारीक कटा हुआ, 1 टमाटर - बारीक कटा हुआ, 1/2 चम्मच हल्दी, 1/2 चम्मच लाल मिर्च पाउडर, 1 कप अरहर दाल - पानी में अच्छी तरह से धुली हुई, 2 कप लौकी - छीली और कटी हुई, नमक - स्वादानुसार, 1 चम्मच गुड़ - पीसा हुआ, 1 नींबू - रस निकाला हुआ, 4 टहनी धनिया (धनिया) के पत्ते - बारीक कटे हुए, 1 चम्मच अमचूर, 1 चम्मच गुड़ - पाउडर, 1 चम्मच नींबू का रस, धनिया (धनिया) के पत्ते - एक छोटा गुच्छा बारीक कटा हुआ, सूरजमुखी तेल - पकाने के लिए</v>
      </c>
      <c r="H439" s="1" t="s">
        <v>32749</v>
      </c>
      <c r="I439" s="1" t="str">
        <f ca="1">IFERROR(__xludf.dummyfunction("IF(H439="""", """", GOOGLETRANSLATE(H439, ""en"", ""hi""))"),"हम खट्टी मीठी लौकी दाल रेसिपी बनाना शुरू करते हैं, सभी सामग्री तैयार करके रख देते हैं। मध्यम आँच पर एक प्रेशर कुकर में तेल गरम करें। उसमें जीरा डालें और उसे चटकने दें। दालचीनी, तेज पत्ता, अदरक, टमाटर और करी पत्ता डालें। टमाटर के नरम होने तक लगभग एक मिनट त"&amp;"क भूनें। हल्दी पाउडर, लाल मिर्च पाउडर, नमक, धुली हुई तुअर दाल, कटी हुई लौकी, स्वादानुसार नमक, गुड़ और 2-1/2 कप पानी डालें। प्रेशर कुकर को ढक दें और खट्टी मीठी लौकी दाल को 3 सीटी आने तक पकाएँ। 3 सीटी आने के बाद आँच धीमी कर दें और 3 मिनट तक पकाएँ और आँच बंद"&amp;" कर दें। प्रेशर को अपने आप निकलने दें। प्रेशर निकल जाने के बाद, स्वाद जाँचें, यदि आवश्यक हो तो नमक डालें और मिर्च और गुड़ को भी उसी के अनुसार समायोजित करें। जब आप परोसने के लिए तैयार हों, तो इसे तेज़ उबालें और एक नींबू का रस निचोड़ें और कटा हुआ धनिया पत्त"&amp;"ी मिलाएँ। खट्टी मीठी लौकी दाल को एक सर्विंग बाउल में डालें। खट्टी मीठी लौकी दाल रेसिपी को लाल गोभी पोरियल और मेथी थेपला के साथ एक पौष्टिक लंच या डिनर के लिए परोसें।")</f>
        <v>हम खट्टी मीठी लौकी दाल रेसिपी बनाना शुरू करते हैं, सभी सामग्री तैयार करके रख देते हैं। मध्यम आँच पर एक प्रेशर कुकर में तेल गरम करें। उसमें जीरा डालें और उसे चटकने दें। दालचीनी, तेज पत्ता, अदरक, टमाटर और करी पत्ता डालें। टमाटर के नरम होने तक लगभग एक मिनट तक भूनें। हल्दी पाउडर, लाल मिर्च पाउडर, नमक, धुली हुई तुअर दाल, कटी हुई लौकी, स्वादानुसार नमक, गुड़ और 2-1/2 कप पानी डालें। प्रेशर कुकर को ढक दें और खट्टी मीठी लौकी दाल को 3 सीटी आने तक पकाएँ। 3 सीटी आने के बाद आँच धीमी कर दें और 3 मिनट तक पकाएँ और आँच बंद कर दें। प्रेशर को अपने आप निकलने दें। प्रेशर निकल जाने के बाद, स्वाद जाँचें, यदि आवश्यक हो तो नमक डालें और मिर्च और गुड़ को भी उसी के अनुसार समायोजित करें। जब आप परोसने के लिए तैयार हों, तो इसे तेज़ उबालें और एक नींबू का रस निचोड़ें और कटा हुआ धनिया पत्ती मिलाएँ। खट्टी मीठी लौकी दाल को एक सर्विंग बाउल में डालें। खट्टी मीठी लौकी दाल रेसिपी को लाल गोभी पोरियल और मेथी थेपला के साथ एक पौष्टिक लंच या डिनर के लिए परोसें।</v>
      </c>
      <c r="J439" s="3" t="s">
        <v>32750</v>
      </c>
      <c r="L439" s="1" t="s">
        <v>31003</v>
      </c>
    </row>
    <row r="440" spans="1:12" ht="13.8">
      <c r="A440" s="1" t="s">
        <v>32751</v>
      </c>
      <c r="B440" s="1" t="str">
        <f ca="1">IFERROR(__xludf.dummyfunction("IF(A440="""", """", GOOGLETRANSLATE(A440, ""en"", ""hi""))"),"चुकंदर मूंग फली सब्ज़ी रेसिपी- भुनी हुई मूंगफली के साथ चुकंदर स्टिर फ्राई")</f>
        <v>चुकंदर मूंग फली सब्ज़ी रेसिपी- भुनी हुई मूंगफली के साथ चुकंदर स्टिर फ्राई</v>
      </c>
      <c r="C440" s="1" t="s">
        <v>14207</v>
      </c>
      <c r="D440" s="1" t="s">
        <v>14198</v>
      </c>
      <c r="E440" s="1">
        <v>30</v>
      </c>
      <c r="F440" s="1" t="s">
        <v>32752</v>
      </c>
      <c r="G440" s="1" t="str">
        <f ca="1">IFERROR(__xludf.dummyfunction("IF(F440="""", """", GOOGLETRANSLATE(F440, ""en"", ""hi""))"),"3 चुकंदर - छीलकर छोटे-छोटे टुकड़ों में कटा हुआ, 10 मोती प्याज (सांभर प्याज) - बारीक कटा हुआ, 4 लहसुन - बारीक कटा हुआ, 2 हरी मिर्च - बारीक कटी हुई, 1 इंच अदरक - बारीक कटा हुआ, 1/2 चम्मच हल्दी पाउडर (हल्दी), 1 चम्मच धनिया पाउडर (धनिया), 1/2 चम्मच अमचूर (सूख"&amp;"ा आम पाउडर), 1/2 कप भुनी हुई मूंगफली (मूंगफली) - कुचली हुई, 1 चम्मच सूरजमुखी तेल, नमक - स्वादानुसार")</f>
        <v>3 चुकंदर - छीलकर छोटे-छोटे टुकड़ों में कटा हुआ, 10 मोती प्याज (सांभर प्याज) - बारीक कटा हुआ, 4 लहसुन - बारीक कटा हुआ, 2 हरी मिर्च - बारीक कटी हुई, 1 इंच अदरक - बारीक कटा हुआ, 1/2 चम्मच हल्दी पाउडर (हल्दी), 1 चम्मच धनिया पाउडर (धनिया), 1/2 चम्मच अमचूर (सूखा आम पाउडर), 1/2 कप भुनी हुई मूंगफली (मूंगफली) - कुचली हुई, 1 चम्मच सूरजमुखी तेल, नमक - स्वादानुसार</v>
      </c>
      <c r="H440" s="1" t="s">
        <v>32753</v>
      </c>
      <c r="I440" s="1" t="str">
        <f ca="1">IFERROR(__xludf.dummyfunction("IF(H440="""", """", GOOGLETRANSLATE(H440, ""en"", ""hi""))"),"चुकंदर मूंग फली सब्ज़ी रेसिपी बनाने के लिए सबसे पहले सारी सामग्री तैयार करके रख लें। चुकंदर को प्रेशर कुकर में डालें, 3 बड़े चम्मच पानी, नमक डालें और 2 सीटी आने तक प्रेशर कुकर में रखें और आँच बंद कर दें। प्रेशर को अपने आप निकलने दें। एक स्टिर फ्राई पैन मे"&amp;"ं तेल गरम करें, उसमें प्याज़, अदरक, लहसुन, हरी मिर्च डालें और प्याज़ के नरम होने तक भूनें। हल्दी पाउडर, अमचूर पाउडर, धनिया पाउडर और पका हुआ चुकंदर डालें। सारी सामग्री मिलने तक कुछ मिनट तक भूनें। पक जाने पर इसमें भुनी हुई मूंग फली डालें और स्वादानुसार नमक "&amp;"चखें। आँच बंद कर दें और चुकंदर मूंग फली सब्ज़ी को एक सर्विंग बाउल में डालें। चुकंदर मूंग फली सब्ज़ी को लोबिया मसाला, फुल्का, हरी चटनी और हेसरुकालू बेले कोसंबारी रेसिपी के साथ पौष्टिक लंच के लिए परोसें।")</f>
        <v>चुकंदर मूंग फली सब्ज़ी रेसिपी बनाने के लिए सबसे पहले सारी सामग्री तैयार करके रख लें। चुकंदर को प्रेशर कुकर में डालें, 3 बड़े चम्मच पानी, नमक डालें और 2 सीटी आने तक प्रेशर कुकर में रखें और आँच बंद कर दें। प्रेशर को अपने आप निकलने दें। एक स्टिर फ्राई पैन में तेल गरम करें, उसमें प्याज़, अदरक, लहसुन, हरी मिर्च डालें और प्याज़ के नरम होने तक भूनें। हल्दी पाउडर, अमचूर पाउडर, धनिया पाउडर और पका हुआ चुकंदर डालें। सारी सामग्री मिलने तक कुछ मिनट तक भूनें। पक जाने पर इसमें भुनी हुई मूंग फली डालें और स्वादानुसार नमक चखें। आँच बंद कर दें और चुकंदर मूंग फली सब्ज़ी को एक सर्विंग बाउल में डालें। चुकंदर मूंग फली सब्ज़ी को लोबिया मसाला, फुल्का, हरी चटनी और हेसरुकालू बेले कोसंबारी रेसिपी के साथ पौष्टिक लंच के लिए परोसें।</v>
      </c>
      <c r="J440" s="3" t="s">
        <v>32754</v>
      </c>
      <c r="L440" s="1" t="s">
        <v>31003</v>
      </c>
    </row>
    <row r="441" spans="1:12" ht="13.8">
      <c r="A441" s="1" t="s">
        <v>32755</v>
      </c>
      <c r="B441" s="1" t="str">
        <f ca="1">IFERROR(__xludf.dummyfunction("IF(A441="""", """", GOOGLETRANSLATE(A441, ""en"", ""hi""))"),"ढाबा स्टाइल देशी चिकन रेसिपी")</f>
        <v>ढाबा स्टाइल देशी चिकन रेसिपी</v>
      </c>
      <c r="C441" s="1" t="s">
        <v>145</v>
      </c>
      <c r="D441" s="1" t="s">
        <v>14367</v>
      </c>
      <c r="E441" s="1">
        <v>70</v>
      </c>
      <c r="F441" s="1" t="s">
        <v>32756</v>
      </c>
      <c r="G441" s="1" t="str">
        <f ca="1">IFERROR(__xludf.dummyfunction("IF(F441="""", """", GOOGLETRANSLATE(F441, ""en"", ""hi""))"),"750 ग्राम चिकन - करी कटा हुआ, 2 बड़े चम्मच प्याज - पेस्ट, 2 बड़े चम्मच अदरक - पेस्ट, 2 बड़े चम्मच लहसुन - पेस्ट, 1 बड़ा चम्मच ताजा लाल मिर्च - पेस्ट, सरसों का तेल - आवश्यकतानुसार, 1 प्याज - कटा हुआ, 4 तेज पत्ता, 2 दालचीनी, 1 इंच इलायची की फली / बीज, 1-1/2"&amp;" बड़ा चम्मच धनिया, 1 बड़ा चम्मच हल्दी, 1 बड़ा चम्मच जीरा, 1 बड़ा चम्मच कश्मीरी लाल मिर्च पाउडर, नमक - आवश्यकतानुसार, पानी - आवश्यकतानुसार")</f>
        <v>750 ग्राम चिकन - करी कटा हुआ, 2 बड़े चम्मच प्याज - पेस्ट, 2 बड़े चम्मच अदरक - पेस्ट, 2 बड़े चम्मच लहसुन - पेस्ट, 1 बड़ा चम्मच ताजा लाल मिर्च - पेस्ट, सरसों का तेल - आवश्यकतानुसार, 1 प्याज - कटा हुआ, 4 तेज पत्ता, 2 दालचीनी, 1 इंच इलायची की फली / बीज, 1-1/2 बड़ा चम्मच धनिया, 1 बड़ा चम्मच हल्दी, 1 बड़ा चम्मच जीरा, 1 बड़ा चम्मच कश्मीरी लाल मिर्च पाउडर, नमक - आवश्यकतानुसार, पानी - आवश्यकतानुसार</v>
      </c>
      <c r="H441" s="1" t="s">
        <v>32757</v>
      </c>
      <c r="I441" s="1" t="str">
        <f ca="1">IFERROR(__xludf.dummyfunction("IF(H441="""", """", GOOGLETRANSLATE(H441, ""en"", ""hi""))"),"ढाबा स्टाइल कंट्री चिकन रेसिपी बनाने के लिए सबसे पहले चिकन को हल्दी, नमक, अदरक का पेस्ट, लहसुन का पेस्ट, लाल मिर्च का पेस्ट, 1 बड़ा चम्मच प्याज का पेस्ट और 1 बड़ा चम्मच सरसों के तेल में लगभग 30 मिनट के लिए मैरीनेट कर लें। मसालों को उंगलियों से अच्छी तरह म"&amp;"सल लें। एक भारी तले की कड़ाही में 3 बड़े चम्मच तेल गर्म करें। जब तेल धुंआ निकलने लगे तो उसे थोड़ा ठंडा कर लें। फिर इसे गर्म करें, इसमें तेज पत्ता, दालचीनी और इलायची डालें। एक मिनट बाद इसमें कटा हुआ प्याज डालें और सुनहरा भूरा होने तक भूनें। इसमें प्याज का "&amp;"पेस्ट डालें और 2 मिनट तक भूनें। इसमें चिकन डालें और तेज आंच पर कम से कम 5 मिनट तक भूनें। सभी मसाला पाउडर में 2 बड़े चम्मच पानी मिलाकर पेस्ट बना लें। इस पेस्ट को चिकन में डालें और अच्छी तरह मिला लें। अपने स्वादानुसार नमक डालें। इसमें 2 कप गुनगुना पानी डाले"&amp;"ं और इसे तब तक ढककर पकाएं जब तक यह पक न जाए। अगर आपको ज्यादा ग्रेवी चाहिए तो आप और पानी डाल सकते हैं। स्वादिष्ट खाने के लिए ढाबा स्टाइल कंट्री चिकन को गरमागरम फुल्के और जीरा राइस के साथ परोसें।")</f>
        <v>ढाबा स्टाइल कंट्री चिकन रेसिपी बनाने के लिए सबसे पहले चिकन को हल्दी, नमक, अदरक का पेस्ट, लहसुन का पेस्ट, लाल मिर्च का पेस्ट, 1 बड़ा चम्मच प्याज का पेस्ट और 1 बड़ा चम्मच सरसों के तेल में लगभग 30 मिनट के लिए मैरीनेट कर लें। मसालों को उंगलियों से अच्छी तरह मसल लें। एक भारी तले की कड़ाही में 3 बड़े चम्मच तेल गर्म करें। जब तेल धुंआ निकलने लगे तो उसे थोड़ा ठंडा कर लें। फिर इसे गर्म करें, इसमें तेज पत्ता, दालचीनी और इलायची डालें। एक मिनट बाद इसमें कटा हुआ प्याज डालें और सुनहरा भूरा होने तक भूनें। इसमें प्याज का पेस्ट डालें और 2 मिनट तक भूनें। इसमें चिकन डालें और तेज आंच पर कम से कम 5 मिनट तक भूनें। सभी मसाला पाउडर में 2 बड़े चम्मच पानी मिलाकर पेस्ट बना लें। इस पेस्ट को चिकन में डालें और अच्छी तरह मिला लें। अपने स्वादानुसार नमक डालें। इसमें 2 कप गुनगुना पानी डालें और इसे तब तक ढककर पकाएं जब तक यह पक न जाए। अगर आपको ज्यादा ग्रेवी चाहिए तो आप और पानी डाल सकते हैं। स्वादिष्ट खाने के लिए ढाबा स्टाइल कंट्री चिकन को गरमागरम फुल्के और जीरा राइस के साथ परोसें।</v>
      </c>
      <c r="J441" s="3" t="s">
        <v>32758</v>
      </c>
      <c r="L441" s="1" t="s">
        <v>31003</v>
      </c>
    </row>
    <row r="442" spans="1:12" ht="13.8">
      <c r="A442" s="1" t="s">
        <v>32759</v>
      </c>
      <c r="B442" s="1" t="str">
        <f ca="1">IFERROR(__xludf.dummyfunction("IF(A442="""", """", GOOGLETRANSLATE(A442, ""en"", ""hi""))"),"रेस्टोरेंट स्टाइल पनीर लबाबदार रेसिपी")</f>
        <v>रेस्टोरेंट स्टाइल पनीर लबाबदार रेसिपी</v>
      </c>
      <c r="C442" s="1" t="s">
        <v>429</v>
      </c>
      <c r="D442" s="1" t="s">
        <v>14237</v>
      </c>
      <c r="E442" s="1">
        <v>30</v>
      </c>
      <c r="F442" s="1" t="s">
        <v>32760</v>
      </c>
      <c r="G442" s="1" t="str">
        <f ca="1">IFERROR(__xludf.dummyfunction("IF(F442="""", """", GOOGLETRANSLATE(F442, ""en"", ""hi""))"),"200 ग्राम पनीर - त्रिकोण में कटा हुआ, 1 प्याज - बारीक कटा हुआ, 1 इंच अदरक - कसा हुआ, 3 टमाटर - प्यूरी किए हुए, 1 चम्मच जीरा (जीरा), 1 चम्मच कश्मीरी लाल मिर्च पाउडर, 1 चम्मच गरम मसाला पाउडर, 1/2 चम्मच जीरा पाउडर (जीरा), 2 चम्मच कसूरी मेथी (सूखी मेथी के पत्"&amp;"ते), 2 चम्मच मक्खन, 2 बड़े चम्मच ताजा क्रीम, 1 इंच अदरक - गार्निश के लिए जूलिएन में कटा हुआ, 2 चम्मच सूरजमुखी तेल, नमक - स्वादानुसार")</f>
        <v>200 ग्राम पनीर - त्रिकोण में कटा हुआ, 1 प्याज - बारीक कटा हुआ, 1 इंच अदरक - कसा हुआ, 3 टमाटर - प्यूरी किए हुए, 1 चम्मच जीरा (जीरा), 1 चम्मच कश्मीरी लाल मिर्च पाउडर, 1 चम्मच गरम मसाला पाउडर, 1/2 चम्मच जीरा पाउडर (जीरा), 2 चम्मच कसूरी मेथी (सूखी मेथी के पत्ते), 2 चम्मच मक्खन, 2 बड़े चम्मच ताजा क्रीम, 1 इंच अदरक - गार्निश के लिए जूलिएन में कटा हुआ, 2 चम्मच सूरजमुखी तेल, नमक - स्वादानुसार</v>
      </c>
      <c r="H442" s="1" t="s">
        <v>32761</v>
      </c>
      <c r="I442" s="1" t="str">
        <f ca="1">IFERROR(__xludf.dummyfunction("IF(H442="""", """", GOOGLETRANSLATE(H442, ""en"", ""hi""))"),"रेस्टोरेंट स्टाइल पनीर लबाबदार रेसिपी बनाने के लिए सबसे पहले मिक्सर ग्राइंडर का इस्तेमाल करके टमाटर की प्यूरी बना लें और एक तरफ रख दें। एक पैन में तेल और मक्खन गर्म करें, उसमें जीरा डालें और उसे चटकने दें। उसमें प्याज़ डालें और पारदर्शी होने तक भूनें। उसम"&amp;"ें कसा हुआ अदरक, टमाटर प्यूरी डालें और कच्ची महक जाने तक पकाएँ। इसमें कश्मीरी लाल मिर्च पाउडर, जीरा पाउडर, गरम मसाला डालें और अच्छी तरह मिलाएँ। आधा कप पानी डालें और ग्रेवी को 5 मिनट तक उबलने दें। अब इसमें पनीर के त्रिकोण, क्रश की हुई कसूरी मेथी डालें, अच्"&amp;"छी तरह मिलाएँ और इसे और 5 मिनट तक उबलने दें। आँच बंद कर दें, ताज़ा क्रीम डालें और अच्छी तरह मिलाएँ। बारीक़ कटे अदरक से गार्निश करें और गरमागरम परोसें। वीकेंड ब्रंच के लिए रेस्टोरेंट स्टाइल पनीर लबाबदार रेसिपी को पराठे, आलू गोभी की सब्ज़ी और मेथी मटर पुलाव"&amp;" के साथ परोसें।")</f>
        <v>रेस्टोरेंट स्टाइल पनीर लबाबदार रेसिपी बनाने के लिए सबसे पहले मिक्सर ग्राइंडर का इस्तेमाल करके टमाटर की प्यूरी बना लें और एक तरफ रख दें। एक पैन में तेल और मक्खन गर्म करें, उसमें जीरा डालें और उसे चटकने दें। उसमें प्याज़ डालें और पारदर्शी होने तक भूनें। उसमें कसा हुआ अदरक, टमाटर प्यूरी डालें और कच्ची महक जाने तक पकाएँ। इसमें कश्मीरी लाल मिर्च पाउडर, जीरा पाउडर, गरम मसाला डालें और अच्छी तरह मिलाएँ। आधा कप पानी डालें और ग्रेवी को 5 मिनट तक उबलने दें। अब इसमें पनीर के त्रिकोण, क्रश की हुई कसूरी मेथी डालें, अच्छी तरह मिलाएँ और इसे और 5 मिनट तक उबलने दें। आँच बंद कर दें, ताज़ा क्रीम डालें और अच्छी तरह मिलाएँ। बारीक़ कटे अदरक से गार्निश करें और गरमागरम परोसें। वीकेंड ब्रंच के लिए रेस्टोरेंट स्टाइल पनीर लबाबदार रेसिपी को पराठे, आलू गोभी की सब्ज़ी और मेथी मटर पुलाव के साथ परोसें।</v>
      </c>
      <c r="J442" s="3" t="s">
        <v>32762</v>
      </c>
      <c r="L442" s="1" t="s">
        <v>31003</v>
      </c>
    </row>
    <row r="443" spans="1:12" ht="13.8">
      <c r="A443" s="1" t="s">
        <v>32763</v>
      </c>
      <c r="B443" s="1" t="str">
        <f ca="1">IFERROR(__xludf.dummyfunction("IF(A443="""", """", GOOGLETRANSLATE(A443, ""en"", ""hi""))"),"पटा गोभी और केले कोफ्ता करी रेसिपी - कोई प्याज नहीं, कोई लहसुन नहीं")</f>
        <v>पटा गोभी और केले कोफ्ता करी रेसिपी - कोई प्याज नहीं, कोई लहसुन नहीं</v>
      </c>
      <c r="C443" s="1" t="s">
        <v>145</v>
      </c>
      <c r="D443" s="1" t="s">
        <v>14208</v>
      </c>
      <c r="E443" s="1">
        <v>40</v>
      </c>
      <c r="F443" s="1" t="s">
        <v>32764</v>
      </c>
      <c r="G443" s="1" t="str">
        <f ca="1">IFERROR(__xludf.dummyfunction("IF(F443="""", """", GOOGLETRANSLATE(F443, ""en"", ""hi""))"),"1 कच्चा केला - उबला और मसला हुआ, 1 कप पत्ता गोभी - कटा हुआ, 1/2 कप बेसन (बेसन), 1 हरी मिर्च - कटी हुई, 1 चम्मच जीरा (जीरा), 2 बड़े चम्मच धनिया पत्ती - कटी हुई, 1/2 चम्मच जीरा पाउडर (जीरा), 1/2 चम्मच लाल मिर्च पाउडर, 1/2 चम्मच गरम मसाला पाउडर, 1 चुटकी हल्द"&amp;"ी पाउडर (हल्दी), 1/2 चम्मच नमक - स्वादानुसार, 1 कप सूरजमुखी तेल - तलने के लिए, 3 टमाटर - बड़े टमाटर, 1 बड़ा चम्मच अदरक - पेस्ट बनाया हुआ, 1 हरी मिर्च - चीरा हुआ, 1/2 कप बेसन (बेसन), 3 से 4 बड़े चम्मच ताजा क्रीम, 2 बड़े चम्मच दही (दही), 1-1/2 बड़े चम्मच धन"&amp;"िया पाउडर (धनिया), 1/2 चम्मच हल्दी पाउडर (हल्दी), 1/2 चम्मच जीरा पाउडर (जीरा),1/2 चम्मच गरम मसाला पाउडर,1 2 तेज पत्ता, 1/2 चम्मच इलायची के दाने/बीज - ताजा कुटी हुई, नमक - स्वादानुसार, सूरजमुखी तेल - आवश्यकतानुसार")</f>
        <v>1 कच्चा केला - उबला और मसला हुआ, 1 कप पत्ता गोभी - कटा हुआ, 1/2 कप बेसन (बेसन), 1 हरी मिर्च - कटी हुई, 1 चम्मच जीरा (जीरा), 2 बड़े चम्मच धनिया पत्ती - कटी हुई, 1/2 चम्मच जीरा पाउडर (जीरा), 1/2 चम्मच लाल मिर्च पाउडर, 1/2 चम्मच गरम मसाला पाउडर, 1 चुटकी हल्दी पाउडर (हल्दी), 1/2 चम्मच नमक - स्वादानुसार, 1 कप सूरजमुखी तेल - तलने के लिए, 3 टमाटर - बड़े टमाटर, 1 बड़ा चम्मच अदरक - पेस्ट बनाया हुआ, 1 हरी मिर्च - चीरा हुआ, 1/2 कप बेसन (बेसन), 3 से 4 बड़े चम्मच ताजा क्रीम, 2 बड़े चम्मच दही (दही), 1-1/2 बड़े चम्मच धनिया पाउडर (धनिया), 1/2 चम्मच हल्दी पाउडर (हल्दी), 1/2 चम्मच जीरा पाउडर (जीरा),1/2 चम्मच गरम मसाला पाउडर,1 2 तेज पत्ता, 1/2 चम्मच इलायची के दाने/बीज - ताजा कुटी हुई, नमक - स्वादानुसार, सूरजमुखी तेल - आवश्यकतानुसार</v>
      </c>
      <c r="H443" s="1" t="s">
        <v>32765</v>
      </c>
      <c r="I443" s="1" t="str">
        <f ca="1">IFERROR(__xludf.dummyfunction("IF(H443="""", """", GOOGLETRANSLATE(H443, ""en"", ""hi""))"),"पाटा गोभी और केले कोफ्ता करी रेसिपी बनाने के लिए, गोभी को काट लें और अतिरिक्त पानी निकालने के लिए बैचों में दबाएं। एक बड़े मिश्रण के कटोरे में सूखी कसा हुआ गोभी इकट्ठा करें। कच्चे केले को आधा काट लें और नरम होने तक पानी और नमक के साथ प्रेशर कुक करें। दबाव"&amp;" को स्वाभाविक रूप से निकलने दें और छिलका उतार दें। इसे पूरी तरह से मैश करें और इसे गोभी के साथ कटोरे में जोड़ें। गोभी और केले के मैश में बेसन, हरी मिर्च, धनिया, जीरा पाउडर, हल्दी, गरम मसाला, लाल मिर्च पाउडर और नमक डालें। सूखा मिश्रण बनाने के लिए अच्छी तरह"&amp;" से हिलाएं। एक कुझी पनियारम पैन में तेल गर्म करें और इस बीच मिश्रण से मध्यम नींबू के आकार के कोफ्ता बॉल्स बनाएं और एक प्लेट में रख दें। तले हुए कोफ्ते बॉल्स को अतिरिक्त तेल सोखने के लिए एक तेल सोखने वाले कागज पर निकाल लें। एक अलग कढ़ाई/कड़ाही में करी बनान"&amp;"े के लिए तेल गर्म करें। उसमें तेज पत्ता डालें और कुछ सेकंड के भीतर कसा हुआ अदरक डालें और अदरक की खुशबू आने तक कुछ सेकंड के लिए भूनें। एक बार हो जाने पर उसमें बेसन डालें और कुछ सेकंड के लिए भूनें और तुरंत उसमें टमाटर प्यूरी डालें और लगभग एक मिनट तक अच्छी त"&amp;"रह से हिलाएं। एक मिनट के बाद धनिया पाउडर, लाल मिर्च पाउडर, हल्दी पाउडर, जीरा पाउडर और गरम मसाला पाउडर डालें और मसाले को तब तक भूनें जब तक कि किनारों से तेल न छोड़ने लगे। अब 2 बड़े चम्मच दही डालें और एक या दो मिनट के लिए और भूनें। जब मसाले से अच्छी खुशबू आ"&amp;"ने लगे, तो ताजा क्रीम डालें और अच्छी तरह मिलाएँ। 2-3 मिनट और पकाएँ धीमी आंच पर करी को 5 मिनट तक और पकाएं। पांच मिनट बाद तले हुए कोफ्ते बॉल्स डालें और आंच बंद कर दें। करी को एक सर्विंग बाउल में डालें और ऊपर से ताजा क्रीम और कुछ ताजा धनिया पत्ती डालकर गार्न"&amp;"िश करें। पाटा गोभी और केले कोफ्ता करी रेसिपी को फुल्का या नान के साथ खीरा, प्याज और टमाटर के साथ कचुम्बर सलाद रेसिपी के साथ परोसें।")</f>
        <v>पाटा गोभी और केले कोफ्ता करी रेसिपी बनाने के लिए, गोभी को काट लें और अतिरिक्त पानी निकालने के लिए बैचों में दबाएं। एक बड़े मिश्रण के कटोरे में सूखी कसा हुआ गोभी इकट्ठा करें। कच्चे केले को आधा काट लें और नरम होने तक पानी और नमक के साथ प्रेशर कुक करें। दबाव को स्वाभाविक रूप से निकलने दें और छिलका उतार दें। इसे पूरी तरह से मैश करें और इसे गोभी के साथ कटोरे में जोड़ें। गोभी और केले के मैश में बेसन, हरी मिर्च, धनिया, जीरा पाउडर, हल्दी, गरम मसाला, लाल मिर्च पाउडर और नमक डालें। सूखा मिश्रण बनाने के लिए अच्छी तरह से हिलाएं। एक कुझी पनियारम पैन में तेल गर्म करें और इस बीच मिश्रण से मध्यम नींबू के आकार के कोफ्ता बॉल्स बनाएं और एक प्लेट में रख दें। तले हुए कोफ्ते बॉल्स को अतिरिक्त तेल सोखने के लिए एक तेल सोखने वाले कागज पर निकाल लें। एक अलग कढ़ाई/कड़ाही में करी बनाने के लिए तेल गर्म करें। उसमें तेज पत्ता डालें और कुछ सेकंड के भीतर कसा हुआ अदरक डालें और अदरक की खुशबू आने तक कुछ सेकंड के लिए भूनें। एक बार हो जाने पर उसमें बेसन डालें और कुछ सेकंड के लिए भूनें और तुरंत उसमें टमाटर प्यूरी डालें और लगभग एक मिनट तक अच्छी तरह से हिलाएं। एक मिनट के बाद धनिया पाउडर, लाल मिर्च पाउडर, हल्दी पाउडर, जीरा पाउडर और गरम मसाला पाउडर डालें और मसाले को तब तक भूनें जब तक कि किनारों से तेल न छोड़ने लगे। अब 2 बड़े चम्मच दही डालें और एक या दो मिनट के लिए और भूनें। जब मसाले से अच्छी खुशबू आने लगे, तो ताजा क्रीम डालें और अच्छी तरह मिलाएँ। 2-3 मिनट और पकाएँ धीमी आंच पर करी को 5 मिनट तक और पकाएं। पांच मिनट बाद तले हुए कोफ्ते बॉल्स डालें और आंच बंद कर दें। करी को एक सर्विंग बाउल में डालें और ऊपर से ताजा क्रीम और कुछ ताजा धनिया पत्ती डालकर गार्निश करें। पाटा गोभी और केले कोफ्ता करी रेसिपी को फुल्का या नान के साथ खीरा, प्याज और टमाटर के साथ कचुम्बर सलाद रेसिपी के साथ परोसें।</v>
      </c>
      <c r="J443" s="3" t="s">
        <v>32766</v>
      </c>
      <c r="L443" s="1" t="s">
        <v>31003</v>
      </c>
    </row>
    <row r="444" spans="1:12" ht="13.8">
      <c r="A444" s="1" t="s">
        <v>32767</v>
      </c>
      <c r="B444" s="1" t="str">
        <f ca="1">IFERROR(__xludf.dummyfunction("IF(A444="""", """", GOOGLETRANSLATE(A444, ""en"", ""hi""))"),"गेहूं प्याज भरवां कुल्चा रेसिपी")</f>
        <v>गेहूं प्याज भरवां कुल्चा रेसिपी</v>
      </c>
      <c r="C444" s="1" t="s">
        <v>429</v>
      </c>
      <c r="D444" s="1" t="s">
        <v>14198</v>
      </c>
      <c r="E444" s="1">
        <v>190</v>
      </c>
      <c r="F444" s="1" t="s">
        <v>32768</v>
      </c>
      <c r="G444" s="1" t="str">
        <f ca="1">IFERROR(__xludf.dummyfunction("IF(F444="""", """", GOOGLETRANSLATE(F444, ""en"", ""hi""))"),"4 कप गेहूं का आटा, 1 बड़ा चम्मच एक्टिव ड्राई यीस्ट, 1 छोटा चम्मच चीनी, 2 लहसुन की कलियां - बारीक कटी हुई, नमक - स्वादानुसार, पानी - गुनगुना, 1 प्याज, हरा धनिया - थोड़ा सा, 5 - 6 पुदीना, 6 लहसुन की कलियां, नमक - स्वादानुसार, 1/2 छोटा चम्मच लाल मिर्च पाउडर,"&amp;" 1/2 छोटा चम्मच हल्दी पाउडर")</f>
        <v>4 कप गेहूं का आटा, 1 बड़ा चम्मच एक्टिव ड्राई यीस्ट, 1 छोटा चम्मच चीनी, 2 लहसुन की कलियां - बारीक कटी हुई, नमक - स्वादानुसार, पानी - गुनगुना, 1 प्याज, हरा धनिया - थोड़ा सा, 5 - 6 पुदीना, 6 लहसुन की कलियां, नमक - स्वादानुसार, 1/2 छोटा चम्मच लाल मिर्च पाउडर, 1/2 छोटा चम्मच हल्दी पाउडर</v>
      </c>
      <c r="H444" s="1" t="s">
        <v>32769</v>
      </c>
      <c r="I444" s="1" t="str">
        <f ca="1">IFERROR(__xludf.dummyfunction("IF(H444="""", """", GOOGLETRANSLATE(H444, ""en"", ""hi""))"),"प्याज कुल्चा रेसिपी के लिए सबसे पहले आटा गूंथ लें। एक बाउल में मैदा, नमक, यीस्ट, नमक, चीनी, लहसुन डालकर सभी चीजों को अच्छे से मिला लें। अब इसमें धीरे-धीरे गर्म पानी डालें और इसे अच्छे से गूंथ लें जब तक यह मुलायम न हो जाए। इसे 5 मिनट तक गूंथते रहें। इस आटे"&amp;" को 2 से 3 घंटे के लिए ढककर रख दें। 2 से 3 घंटे बाद फूड प्रोसेसर में प्याज, पुदीना, धनिया पत्ता, लहसुन डालकर पीस लें। आटे को बाहर निकालें और फिर से गूंथ लें। अब कुल्चा बनाने के लिए एक पैन गरम करें। इसमें से थोड़ा मिश्रण निकाल कर गोल बॉल जैसा बना लें। अब इ"&amp;"से 2 इंच व्यास में बेल लें। इसके बीच में 1 चम्मच प्याज मसाला डालकर चारों तरफ से बंद कर दें। अब अपने हाथों से दबा कर गोल बॉल को चपटा कर लें। थोड़ा सा मैदा छिड़कें और हल्के हाथों से गोल आकार में बेल लें। इस कुल्चे को पैन पर डालें। इसे दोनों तरफ से थोड़ा सा "&amp;"पकाएं और फिर सीधे गैस की आंच पर पकाएं। दोनों तरफ से अच्छे से पकाएं और सर्व करें। प्याज कुल्चा रेसिपी को छोले मसाला, बूंदी रायता और पुदीना प्याज कचुम्बर के साथ सर्व करें। सलाद.")</f>
        <v>प्याज कुल्चा रेसिपी के लिए सबसे पहले आटा गूंथ लें। एक बाउल में मैदा, नमक, यीस्ट, नमक, चीनी, लहसुन डालकर सभी चीजों को अच्छे से मिला लें। अब इसमें धीरे-धीरे गर्म पानी डालें और इसे अच्छे से गूंथ लें जब तक यह मुलायम न हो जाए। इसे 5 मिनट तक गूंथते रहें। इस आटे को 2 से 3 घंटे के लिए ढककर रख दें। 2 से 3 घंटे बाद फूड प्रोसेसर में प्याज, पुदीना, धनिया पत्ता, लहसुन डालकर पीस लें। आटे को बाहर निकालें और फिर से गूंथ लें। अब कुल्चा बनाने के लिए एक पैन गरम करें। इसमें से थोड़ा मिश्रण निकाल कर गोल बॉल जैसा बना लें। अब इसे 2 इंच व्यास में बेल लें। इसके बीच में 1 चम्मच प्याज मसाला डालकर चारों तरफ से बंद कर दें। अब अपने हाथों से दबा कर गोल बॉल को चपटा कर लें। थोड़ा सा मैदा छिड़कें और हल्के हाथों से गोल आकार में बेल लें। इस कुल्चे को पैन पर डालें। इसे दोनों तरफ से थोड़ा सा पकाएं और फिर सीधे गैस की आंच पर पकाएं। दोनों तरफ से अच्छे से पकाएं और सर्व करें। प्याज कुल्चा रेसिपी को छोले मसाला, बूंदी रायता और पुदीना प्याज कचुम्बर के साथ सर्व करें। सलाद.</v>
      </c>
      <c r="J444" s="3" t="s">
        <v>32770</v>
      </c>
      <c r="L444" s="1" t="s">
        <v>31003</v>
      </c>
    </row>
    <row r="445" spans="1:12" ht="13.8">
      <c r="A445" s="1" t="s">
        <v>32771</v>
      </c>
      <c r="B445" s="1" t="str">
        <f ca="1">IFERROR(__xludf.dummyfunction("IF(A445="""", """", GOOGLETRANSLATE(A445, ""en"", ""hi""))"),"साबुत गेहूं पालक नान रेसिपी")</f>
        <v>साबुत गेहूं पालक नान रेसिपी</v>
      </c>
      <c r="C445" s="1" t="s">
        <v>429</v>
      </c>
      <c r="D445" s="1" t="s">
        <v>14237</v>
      </c>
      <c r="E445" s="1">
        <v>50</v>
      </c>
      <c r="F445" s="1" t="s">
        <v>32772</v>
      </c>
      <c r="G445" s="1" t="str">
        <f ca="1">IFERROR(__xludf.dummyfunction("IF(F445="""", """", GOOGLETRANSLATE(F445, ""en"", ""hi""))"),"2 कप गेहूं का आटा, 1/2 कप पालक के पत्ते (पालक) - बारीक कटे हुए (कसकर पैक किए हुए), 1 चम्मच बेकिंग सोडा, 1-1/2 चम्मच नमक - (स्वादानुसार समायोजित करें), 1/2 चम्मच चीनी, 1 बड़ा चम्मच सूरजमुखी तेल, 1 कप दही (दही), घी - नान पर फैलाने के लिए, कलौंजी (प्याज निगे"&amp;"ला बीज) - या तिल के बीज छिड़कने के लिए")</f>
        <v>2 कप गेहूं का आटा, 1/2 कप पालक के पत्ते (पालक) - बारीक कटे हुए (कसकर पैक किए हुए), 1 चम्मच बेकिंग सोडा, 1-1/2 चम्मच नमक - (स्वादानुसार समायोजित करें), 1/2 चम्मच चीनी, 1 बड़ा चम्मच सूरजमुखी तेल, 1 कप दही (दही), घी - नान पर फैलाने के लिए, कलौंजी (प्याज निगेला बीज) - या तिल के बीज छिड़कने के लिए</v>
      </c>
      <c r="H445" s="1" t="s">
        <v>32773</v>
      </c>
      <c r="I445" s="1" t="str">
        <f ca="1">IFERROR(__xludf.dummyfunction("IF(H445="""", """", GOOGLETRANSLATE(H445, ""en"", ""hi""))"),"पूरे गेहूं के पालक नान बनाने के लिए, सबसे पहले एक मिक्सिंग बाउल में आटा, पालक, नमक, चीनी, बेकिंग सोडा, तेल डालें और मिलाएँ। बीच में एक गड्ढा बनाएँ और सारा दही डालें और आटे को एक साथ गूंथना शुरू करें। इसे तब तक गूंथें जब तक यह चिकना आटा न बन जाए। ज़रूरत पड"&amp;"़ने पर पानी मिलाएँ ताकि यह नरम और थोड़ा चिपचिपा आटा बन जाए। ज़्यादा आटा डालने का लालच न करें, आटा गीला/चिपचिपा होना चाहिए। आटे पर तेल लगाएँ, ढँक दें और लगभग 30 मिनट के लिए रख दें। जब नान बनाने के लिए तैयार हो जाएँ, तो आटे को 6-8 बराबर भागों में बाँट लें। "&amp;"एक-एक करके हर भाग लें, अगर ज़रूरत हो तो बेलने के लिए थोड़ा आटा छिड़कें और बेलन या उँगलियों का इस्तेमाल करके भाग को नान के आकार की मोटी, चपटी डिस्क में दबाएँ। बेले हुए नान पर पानी लगाएँ और तिल, कलौंजी और बारीक कटे हुए पालक के पत्ते छिड़कें। एक तवा गरम करें"&amp;" और जब यह पर्याप्त गरम हो जाए, तो बेले हुए नान को गरम तवे पर इस तरह रखें कि कलौंजी वाला भाग ऊपर की तरफ़ हो। ढककर मध्यम धीमी आँच पर लगभग एक मिनट तक पकाएँ। अब तवा को आँच से उतार लें और नान को पलट दें, सीधे आँच पर। इससे नान में जले हुए धुएँ जैसा स्वाद आएगा, "&amp;"जो तंदूरी स्वाद जैसा होगा। एक बार हो जाने पर नान को आंच/तवा से उतार लें और घी लगाकर रगड़ें। बाकी आटे के साथ यही प्रक्रिया दोहराएँ और मशरूम पसंदा या हरी मूंग दाल मखनी के साथ गरमागरम नान परोसें।")</f>
        <v>पूरे गेहूं के पालक नान बनाने के लिए, सबसे पहले एक मिक्सिंग बाउल में आटा, पालक, नमक, चीनी, बेकिंग सोडा, तेल डालें और मिलाएँ। बीच में एक गड्ढा बनाएँ और सारा दही डालें और आटे को एक साथ गूंथना शुरू करें। इसे तब तक गूंथें जब तक यह चिकना आटा न बन जाए। ज़रूरत पड़ने पर पानी मिलाएँ ताकि यह नरम और थोड़ा चिपचिपा आटा बन जाए। ज़्यादा आटा डालने का लालच न करें, आटा गीला/चिपचिपा होना चाहिए। आटे पर तेल लगाएँ, ढँक दें और लगभग 30 मिनट के लिए रख दें। जब नान बनाने के लिए तैयार हो जाएँ, तो आटे को 6-8 बराबर भागों में बाँट लें। एक-एक करके हर भाग लें, अगर ज़रूरत हो तो बेलने के लिए थोड़ा आटा छिड़कें और बेलन या उँगलियों का इस्तेमाल करके भाग को नान के आकार की मोटी, चपटी डिस्क में दबाएँ। बेले हुए नान पर पानी लगाएँ और तिल, कलौंजी और बारीक कटे हुए पालक के पत्ते छिड़कें। एक तवा गरम करें और जब यह पर्याप्त गरम हो जाए, तो बेले हुए नान को गरम तवे पर इस तरह रखें कि कलौंजी वाला भाग ऊपर की तरफ़ हो। ढककर मध्यम धीमी आँच पर लगभग एक मिनट तक पकाएँ। अब तवा को आँच से उतार लें और नान को पलट दें, सीधे आँच पर। इससे नान में जले हुए धुएँ जैसा स्वाद आएगा, जो तंदूरी स्वाद जैसा होगा। एक बार हो जाने पर नान को आंच/तवा से उतार लें और घी लगाकर रगड़ें। बाकी आटे के साथ यही प्रक्रिया दोहराएँ और मशरूम पसंदा या हरी मूंग दाल मखनी के साथ गरमागरम नान परोसें।</v>
      </c>
      <c r="J445" s="3" t="s">
        <v>32774</v>
      </c>
      <c r="L445" s="1" t="s">
        <v>31003</v>
      </c>
    </row>
    <row r="446" spans="1:12" ht="13.8">
      <c r="A446" s="1" t="s">
        <v>32775</v>
      </c>
      <c r="B446" s="1" t="str">
        <f ca="1">IFERROR(__xludf.dummyfunction("IF(A446="""", """", GOOGLETRANSLATE(A446, ""en"", ""hi""))"),"पालक छोले")</f>
        <v>पालक छोले</v>
      </c>
      <c r="C446" s="1" t="s">
        <v>145</v>
      </c>
      <c r="D446" s="1" t="s">
        <v>14237</v>
      </c>
      <c r="E446" s="1">
        <v>60</v>
      </c>
      <c r="F446" s="1" t="s">
        <v>32776</v>
      </c>
      <c r="G446" s="1" t="str">
        <f ca="1">IFERROR(__xludf.dummyfunction("IF(F446="""", """", GOOGLETRANSLATE(F446, ""en"", ""hi""))"),"1 कप छोले - रातभर भिगोए हुए, 1 कप पालक - धोया और कटा हुआ, 1 प्याज - बारीक कटा हुआ, 1 टमाटर - बारीक कटा हुआ, 1 हरी मिर्च - कटी हुई, 1 इंच अदरक - कद्दूकस किया हुआ, 2 लहसुन की कलियाँ - कद्दूकस की हुई, नमक - स्वादानुसार, 2 चम्मच गरम मसाला पाउडर, 1 चम्मच हल्दी"&amp;" पाउडर, 1 चम्मच लाल मिर्च पाउडर, 1 चम्मच धनिया पाउडर, 1 तेज पत्ता, 2 इलायची")</f>
        <v>1 कप छोले - रातभर भिगोए हुए, 1 कप पालक - धोया और कटा हुआ, 1 प्याज - बारीक कटा हुआ, 1 टमाटर - बारीक कटा हुआ, 1 हरी मिर्च - कटी हुई, 1 इंच अदरक - कद्दूकस किया हुआ, 2 लहसुन की कलियाँ - कद्दूकस की हुई, नमक - स्वादानुसार, 2 चम्मच गरम मसाला पाउडर, 1 चम्मच हल्दी पाउडर, 1 चम्मच लाल मिर्च पाउडर, 1 चम्मच धनिया पाउडर, 1 तेज पत्ता, 2 इलायची</v>
      </c>
      <c r="H446" s="1" t="s">
        <v>32777</v>
      </c>
      <c r="I446" s="1" t="str">
        <f ca="1">IFERROR(__xludf.dummyfunction("IF(H446="""", """", GOOGLETRANSLATE(H446, ""en"", ""hi""))"),"पालक छोले बनाने के लिए सबसे पहले छोले को धोकर 5 से 6 घंटे के लिए पानी में भिगो दें। अब मिक्सर ग्राइंडर में टमाटर, हरी मिर्च और थोड़ा पानी डालकर पीस लें और एक तरफ रख दें। अब एक पैन में तेल गर्म करें। इसमें पालक डालें और पालक के नरम होने तक पकाएं। अब प्रेशर"&amp;" कुकर में तेल गर्म करें। तेल गर्म होने के बाद इसमें तेजपत्ता और इलायची डालें। 1 मिनट तक पकाएं। 1 मिनट बाद इसमें प्याज, अदरक, लहसुन डालें और प्याज के सुनहरा होने तक पकाएं। प्याज के सुनहरा होने के बाद इसमें टमाटर प्यूरी, नमक, हल्दी पाउडर, गरम मसाला पाउडर, ध"&amp;"निया पाउडर, लाल मिर्च पाउडर डालें और 1 मिनट तक पकाएं। अब इसमें छोले डालकर मिलाएं। आवश्यकतानुसार पानी डालें, अच्छी तरह मिलाएं और कुकर बंद कर दें। 4 से 5 सीटी आने तक पकाएं और फिर आंच धीमी कर दें। इसे 15 मिनट तक पकने दें और गैस बंद कर दें। प्रेशर खत्म होने क"&amp;"े बाद इसमें पालक डालें और मिलाएं। इसे थोड़ा मैश करें और मिलाएं। 1 मिनट और पकाएं और गरमागरम सर्व करें। पालक छोले को लसुनी दाल के साथ सर्व करें। दोपहर के भोजन के लिए फुल्का, जीरा चावल और कचुम्बर सलाद। """)</f>
        <v>पालक छोले बनाने के लिए सबसे पहले छोले को धोकर 5 से 6 घंटे के लिए पानी में भिगो दें। अब मिक्सर ग्राइंडर में टमाटर, हरी मिर्च और थोड़ा पानी डालकर पीस लें और एक तरफ रख दें। अब एक पैन में तेल गर्म करें। इसमें पालक डालें और पालक के नरम होने तक पकाएं। अब प्रेशर कुकर में तेल गर्म करें। तेल गर्म होने के बाद इसमें तेजपत्ता और इलायची डालें। 1 मिनट तक पकाएं। 1 मिनट बाद इसमें प्याज, अदरक, लहसुन डालें और प्याज के सुनहरा होने तक पकाएं। प्याज के सुनहरा होने के बाद इसमें टमाटर प्यूरी, नमक, हल्दी पाउडर, गरम मसाला पाउडर, धनिया पाउडर, लाल मिर्च पाउडर डालें और 1 मिनट तक पकाएं। अब इसमें छोले डालकर मिलाएं। आवश्यकतानुसार पानी डालें, अच्छी तरह मिलाएं और कुकर बंद कर दें। 4 से 5 सीटी आने तक पकाएं और फिर आंच धीमी कर दें। इसे 15 मिनट तक पकने दें और गैस बंद कर दें। प्रेशर खत्म होने के बाद इसमें पालक डालें और मिलाएं। इसे थोड़ा मैश करें और मिलाएं। 1 मिनट और पकाएं और गरमागरम सर्व करें। पालक छोले को लसुनी दाल के साथ सर्व करें। दोपहर के भोजन के लिए फुल्का, जीरा चावल और कचुम्बर सलाद। "</v>
      </c>
      <c r="J446" s="3" t="s">
        <v>32778</v>
      </c>
      <c r="L446" s="1" t="s">
        <v>31003</v>
      </c>
    </row>
    <row r="447" spans="1:12" ht="13.8">
      <c r="A447" s="1" t="s">
        <v>32779</v>
      </c>
      <c r="B447" s="1" t="str">
        <f ca="1">IFERROR(__xludf.dummyfunction("IF(A447="""", """", GOOGLETRANSLATE(A447, ""en"", ""hi""))"),"मलाई मटर पनीर रेसिपी (पनीर और मटर के साथ मलाईदार ग्रेवी)")</f>
        <v>मलाई मटर पनीर रेसिपी (पनीर और मटर के साथ मलाईदार ग्रेवी)</v>
      </c>
      <c r="C447" s="1" t="s">
        <v>429</v>
      </c>
      <c r="D447" s="1" t="s">
        <v>14237</v>
      </c>
      <c r="E447" s="1">
        <v>45</v>
      </c>
      <c r="F447" s="1" t="s">
        <v>32780</v>
      </c>
      <c r="G447" s="1" t="str">
        <f ca="1">IFERROR(__xludf.dummyfunction("IF(F447="""", """", GOOGLETRANSLATE(F447, ""en"", ""hi""))"),"1 कप हरी मटर, 1 बड़ा चम्मच काजू - पेस्ट, 1/2 बड़ा चम्मच खसखस ​​- पेस्ट, 1/2 कप दही, 1 बड़ा चम्मच हरी मिर्च - पेस्ट, 1/2 कप प्याज - कटा हुआ, 1 छोटा चम्मच लहसुन - पेस्ट, 1 छोटा चम्मच धनिया पाउडर, 1 बड़ा चम्मच धनिया पत्ता - कटा हुआ")</f>
        <v>1 कप हरी मटर, 1 बड़ा चम्मच काजू - पेस्ट, 1/2 बड़ा चम्मच खसखस ​​- पेस्ट, 1/2 कप दही, 1 बड़ा चम्मच हरी मिर्च - पेस्ट, 1/2 कप प्याज - कटा हुआ, 1 छोटा चम्मच लहसुन - पेस्ट, 1 छोटा चम्मच धनिया पाउडर, 1 बड़ा चम्मच धनिया पत्ता - कटा हुआ</v>
      </c>
      <c r="H447" s="1" t="s">
        <v>32781</v>
      </c>
      <c r="I447" s="1" t="str">
        <f ca="1">IFERROR(__xludf.dummyfunction("IF(H447="""", """", GOOGLETRANSLATE(H447, ""en"", ""hi""))"),"मलाई मटर पनीर रेसिपी बनाने के लिए सबसे पहले एक कढ़ाई में तेल गर्म करें और उसमें लहसुन का पेस्ट डालें। जब इसका रंग हल्का भूरा हो जाए तो इसमें कटा हुआ प्याज डालें। प्याज को तब तक भूनें जब तक प्याज नरम और पारदर्शी न हो जाए। इसके बाद इसमें खसखस ​​का पेस्ट, हर"&amp;"ी मिर्च का पेस्ट, धनिया पाउडर, नमक, चीनी डालें और इसे लगभग 5 मिनट तक पकाएं। 5 मिनट बाद इसमें हरी मटर और दही डालें। इसे लगभग 3 से 4 मिनट तक पकाएं। हरी मटर के नरम हो जाने पर इसमें पनीर के टुकड़े डालें और हिलाएं। 1/2 कप गर्म पानी डालें और इसे 5 मिनट तक पकने "&amp;"दें। 5 मिनट बाद इसमें काजू का पेस्ट डालें और लगभग 7 से 8 मिनट तक पकाएं। मसाले को चेक करें और इसे कुछ कटे हुए धनिए के पत्तों से गार्निश करें और हिलाएं। मलाई मटर पनीर परोसने के लिए तैयार है। मलाई मटर पनीर को अपने परिवार के साथ सप्ताह के दिनों के खाने में लौ"&amp;"की रायता, कचुंबर सलाद और फुल्के के साथ परोसें।")</f>
        <v>मलाई मटर पनीर रेसिपी बनाने के लिए सबसे पहले एक कढ़ाई में तेल गर्म करें और उसमें लहसुन का पेस्ट डालें। जब इसका रंग हल्का भूरा हो जाए तो इसमें कटा हुआ प्याज डालें। प्याज को तब तक भूनें जब तक प्याज नरम और पारदर्शी न हो जाए। इसके बाद इसमें खसखस ​​का पेस्ट, हरी मिर्च का पेस्ट, धनिया पाउडर, नमक, चीनी डालें और इसे लगभग 5 मिनट तक पकाएं। 5 मिनट बाद इसमें हरी मटर और दही डालें। इसे लगभग 3 से 4 मिनट तक पकाएं। हरी मटर के नरम हो जाने पर इसमें पनीर के टुकड़े डालें और हिलाएं। 1/2 कप गर्म पानी डालें और इसे 5 मिनट तक पकने दें। 5 मिनट बाद इसमें काजू का पेस्ट डालें और लगभग 7 से 8 मिनट तक पकाएं। मसाले को चेक करें और इसे कुछ कटे हुए धनिए के पत्तों से गार्निश करें और हिलाएं। मलाई मटर पनीर परोसने के लिए तैयार है। मलाई मटर पनीर को अपने परिवार के साथ सप्ताह के दिनों के खाने में लौकी रायता, कचुंबर सलाद और फुल्के के साथ परोसें।</v>
      </c>
      <c r="J447" s="3" t="s">
        <v>32782</v>
      </c>
      <c r="L447" s="1" t="s">
        <v>31003</v>
      </c>
    </row>
    <row r="448" spans="1:12" ht="13.8">
      <c r="A448" s="1" t="s">
        <v>32783</v>
      </c>
      <c r="B448" s="1" t="str">
        <f ca="1">IFERROR(__xludf.dummyfunction("IF(A448="""", """", GOOGLETRANSLATE(A448, ""en"", ""hi""))"),"आलू और नारियल की कचौरी रेसिपी (पैन फ्राइड फराली आलू वड़ा)")</f>
        <v>आलू और नारियल की कचौरी रेसिपी (पैन फ्राइड फराली आलू वड़ा)</v>
      </c>
      <c r="C448" s="1" t="s">
        <v>14281</v>
      </c>
      <c r="D448" s="1" t="s">
        <v>14198</v>
      </c>
      <c r="E448" s="1">
        <v>60</v>
      </c>
      <c r="F448" s="1" t="s">
        <v>32784</v>
      </c>
      <c r="G448" s="1" t="str">
        <f ca="1">IFERROR(__xludf.dummyfunction("IF(F448="""", """", GOOGLETRANSLATE(F448, ""en"", ""hi""))"),"4 आलू - उबले और छिले हुए, 4 बड़े चम्मच अरारोट का आटा - या मकई का आटा, 1/2 कप ताजा नारियल - कद्दूकस किया हुआ, 1/3 कप धनिया के पत्ते - बारीक कटे हुए, 2 हरी मिर्च - बारीक कटी हुई, 1 इंच अदरक - कद्दूकस किया हुआ, 1/4 कप काजू - कटे हुए, 2 बड़े चम्मच भुनी हुई मू"&amp;"ंगफली - कुटी हुई, 1 बड़ा चम्मच किशमिश - कटी हुई, 1-1/2 बड़े चम्मच नींबू का रस, 1-1/2 छोटा चम्मच चीनी, 1 छोटा चम्मच जीरा")</f>
        <v>4 आलू - उबले और छिले हुए, 4 बड़े चम्मच अरारोट का आटा - या मकई का आटा, 1/2 कप ताजा नारियल - कद्दूकस किया हुआ, 1/3 कप धनिया के पत्ते - बारीक कटे हुए, 2 हरी मिर्च - बारीक कटी हुई, 1 इंच अदरक - कद्दूकस किया हुआ, 1/4 कप काजू - कटे हुए, 2 बड़े चम्मच भुनी हुई मूंगफली - कुटी हुई, 1 बड़ा चम्मच किशमिश - कटी हुई, 1-1/2 बड़े चम्मच नींबू का रस, 1-1/2 छोटा चम्मच चीनी, 1 छोटा चम्मच जीरा</v>
      </c>
      <c r="H448" s="1" t="s">
        <v>32785</v>
      </c>
      <c r="I448" s="1" t="str">
        <f ca="1">IFERROR(__xludf.dummyfunction("IF(H448="""", """", GOOGLETRANSLATE(H448, ""en"", ""hi""))"),"नारियल की कचौरी रेसिपी (फराली आलू वड़ा) बनाने के लिए सबसे पहले एक बड़े मिक्सिंग बाउल में उबले आलू को क्रीमी होने तक मैश कर लें। आलू में अरारोट पाउडर, नमक और जीरा डालकर अच्छी तरह मिला लें। इसके बाद हम आलू के मिश्रण के लिए भरावन तैयार करेंगे। एक बाउल में ता"&amp;"जा नारियल, धनिया, हरी मिर्च, अदरक, नींबू का रस, चीनी, काजू, मूंगफली, किशमिश और स्वादानुसार नमक मिलाएं। अपनी उंगलियों का इस्तेमाल करें और सभी सामग्री को अच्छी तरह मिला लें। आलू के मिश्रण को नींबू के आकार की गेंदों का आकार दें। अपनी हथेलियों और उंगलियों पर "&amp;"तेल लगाएं और एक आलू की गेंद लें और अपनी उंगलियों से दबाकर उसे चपटा करें। बीच में लगभग एक बड़ा चम्मच नारियल का मिश्रण डालें। आलू को किनारों से बीच में लाकर नारियल के मिश्रण को ढक दें भरवां फटाली आलू वड़ा को सभी तरफ से सुनहरा भूरा और कुरकुरा होने तक तलें। स"&amp;"ुनिश्चित करें कि आप वड़ों को मध्यम आंच पर तलें ताकि वे समान रूप से पक जाएं। नारियल की कचौरी (फराली आलू वड़ा) को नवरात्रि उत्सव या परिवार में किसी अन्य विशेष अवसर पर नारियल की चटनी या हरी चटनी के साथ परोसें। वे एक स्वस्थ चाय के समय का नाश्ता या पार्टियों क"&amp;"े लिए ऐपेटाइज़र भी बनाते हैं")</f>
        <v>नारियल की कचौरी रेसिपी (फराली आलू वड़ा) बनाने के लिए सबसे पहले एक बड़े मिक्सिंग बाउल में उबले आलू को क्रीमी होने तक मैश कर लें। आलू में अरारोट पाउडर, नमक और जीरा डालकर अच्छी तरह मिला लें। इसके बाद हम आलू के मिश्रण के लिए भरावन तैयार करेंगे। एक बाउल में ताजा नारियल, धनिया, हरी मिर्च, अदरक, नींबू का रस, चीनी, काजू, मूंगफली, किशमिश और स्वादानुसार नमक मिलाएं। अपनी उंगलियों का इस्तेमाल करें और सभी सामग्री को अच्छी तरह मिला लें। आलू के मिश्रण को नींबू के आकार की गेंदों का आकार दें। अपनी हथेलियों और उंगलियों पर तेल लगाएं और एक आलू की गेंद लें और अपनी उंगलियों से दबाकर उसे चपटा करें। बीच में लगभग एक बड़ा चम्मच नारियल का मिश्रण डालें। आलू को किनारों से बीच में लाकर नारियल के मिश्रण को ढक दें भरवां फटाली आलू वड़ा को सभी तरफ से सुनहरा भूरा और कुरकुरा होने तक तलें। सुनिश्चित करें कि आप वड़ों को मध्यम आंच पर तलें ताकि वे समान रूप से पक जाएं। नारियल की कचौरी (फराली आलू वड़ा) को नवरात्रि उत्सव या परिवार में किसी अन्य विशेष अवसर पर नारियल की चटनी या हरी चटनी के साथ परोसें। वे एक स्वस्थ चाय के समय का नाश्ता या पार्टियों के लिए ऐपेटाइज़र भी बनाते हैं</v>
      </c>
      <c r="J448" s="3" t="s">
        <v>32786</v>
      </c>
      <c r="L448" s="1" t="s">
        <v>31003</v>
      </c>
    </row>
    <row r="449" spans="1:12" ht="13.8">
      <c r="A449" s="1" t="s">
        <v>32787</v>
      </c>
      <c r="B449" s="1" t="str">
        <f ca="1">IFERROR(__xludf.dummyfunction("IF(A449="""", """", GOOGLETRANSLATE(A449, ""en"", ""hi""))"),"पालक पनीर कोफ्ता करी रेसिपी")</f>
        <v>पालक पनीर कोफ्ता करी रेसिपी</v>
      </c>
      <c r="C449" s="1" t="s">
        <v>145</v>
      </c>
      <c r="D449" s="1" t="s">
        <v>14237</v>
      </c>
      <c r="E449" s="1">
        <v>100</v>
      </c>
      <c r="F449" s="1" t="s">
        <v>32788</v>
      </c>
      <c r="G449" s="1" t="str">
        <f ca="1">IFERROR(__xludf.dummyfunction("IF(F449="""", """", GOOGLETRANSLATE(F449, ""en"", ""hi""))"),"1 कप पनीर - टुकड़े टुकड़े किया हुआ, 5 कप पालक के पत्ते (पालक) - कटे हुए, 1/4 कप बेसन, 1 चम्मच जीरा पाउडर (जीरा), नमक - स्वादानुसार, सूरजमुखी का तेल - पैन तलने के लिए, 1/2 कप गेहूं की ब्रेड के टुकड़े, 3-4 लौंग लहसुन - कसा हुआ, 1 इंच अदरक - कसा हुआ, 1 बड़ा "&amp;"चम्मच शहद, 1/2 चम्मच इलायची पाउडर (इलायची), 1 चम्मच गरम मसाला पाउडर - 1 चम्मच घर का बना गरम मसाला, नमक - स्वादानुसार, लाल मिर्च पाउडर - स्वादानुसार, 1/2 कप ताजा क्रीम, कसूरी मेथी (सूखे मेथी के पत्ते) - स्वाद और गार्निश के लिए")</f>
        <v>1 कप पनीर - टुकड़े टुकड़े किया हुआ, 5 कप पालक के पत्ते (पालक) - कटे हुए, 1/4 कप बेसन, 1 चम्मच जीरा पाउडर (जीरा), नमक - स्वादानुसार, सूरजमुखी का तेल - पैन तलने के लिए, 1/2 कप गेहूं की ब्रेड के टुकड़े, 3-4 लौंग लहसुन - कसा हुआ, 1 इंच अदरक - कसा हुआ, 1 बड़ा चम्मच शहद, 1/2 चम्मच इलायची पाउडर (इलायची), 1 चम्मच गरम मसाला पाउडर - 1 चम्मच घर का बना गरम मसाला, नमक - स्वादानुसार, लाल मिर्च पाउडर - स्वादानुसार, 1/2 कप ताजा क्रीम, कसूरी मेथी (सूखे मेथी के पत्ते) - स्वाद और गार्निश के लिए</v>
      </c>
      <c r="H449" s="1" t="s">
        <v>32789</v>
      </c>
      <c r="I449" s="1" t="str">
        <f ca="1">IFERROR(__xludf.dummyfunction("IF(H449="""", """", GOOGLETRANSLATE(H449, ""en"", ""hi""))"),"कोफ्ते बनाने की विधिएक पैन में 1 चम्मच तेल गर्म करें; पालक को तेज आंच पर तब तक भूनें जब तक वह पर्याप्त नरम न हो जाए और जब तक सारा पानी वाष्पित न हो जाए। इस बिंदु पर आंच बंद कर दें।पालक को पूरी तरह से ठंडा होने दें। पालक के ठंडा होने पर इसमें बेसन और स्वाद"&amp;"ानुसार नमक डालें और अच्छी तरह मिलाएँ। पालक को 8 बराबर भागों में बाँट लें।पनीर, जीरा पाउडर और नमक मिलाएँ; 8 बॉल्स में बाँट लें और एक तरफ रख दें।पालक का एक भाग लें, इसे अपनी हथेली पर फैलाएँ और पनीर बॉल्स को इसमें भरें। इसे बॉल (कोफ्ता) का आकार दें। ऐसा करते"&amp;" समय, आपको लग सकता है कि पालक का मिश्रण इतना लचीला नहीं है कि वह आसानी से पनीर पर मुड़ जाए और बॉल बन जाए। यह सही एहसास है। उन्हें संभालना बहुत आसान नहीं है। अगर आपको लगता है कि पालक पनीर को ठीक से नहीं ढक रहा अब आप कोफ्ते को ओवन या कुझीपनियारम पैन में पका"&amp;" सकते हैं। यदि आप कोफ्ते बेक करने के लिए ओवन का उपयोग करने की योजना बना रहे हैं; तो कोफ्ता बॉल्स को एक चुपड़ी हुई बेकिंग शीट पर रखें। कोफ्ता बॉल्स पर थोड़ा तेल लगाएं और पहले से गरम ओवन (200 डिग्री सेल्सियस) में कोफ्ते सुनहरे भूरे रंग के होने तक बेक करें। "&amp;"बेक होने के बाद कोफ्ते को ओवन से निकालें और एक तरफ रख दें। यदि आप कुझीपनियारम पैन का उपयोग करने की योजना बना रहे हैं; तो कोफ्ता बॉल्स को पैन की गुहाओं में रखें; कोफ्ते पर थोड़ा तेल छिड़कें और उन्हें दोनों तरफ से सुनहरा भूरा होने तक पैन में तल लें। आपको को"&amp;"फ्ता बॉल्स को पलटना होगा ताकि वे सभी तरफ समान रूप से सिक जाएं। अगला कदम पालक कोफ्ता करी बनाना है टमाटर प्यूरी, हल्दी पाउडर, इलायची पाउडर, गरम मसाला पाउडर, नमक और लाल मिर्च पाउडर स्वादानुसार डालें। मिश्रण को उबालें और कुछ मिनट तक उबालें जब तक कि टमाटर पक न"&amp;" जाए। अंत में क्रीम, शहद और कसूरी मेथी डालें और इसे कोफ्ता करी में मिलाएँ। पैन में तले हुए पालक पनीर कोफ्ते डालें, पैन को ढक दें और तब तक पकाएँ जब तक कि करी और स्वाद कोफ्ते में समा न जाएँ। यदि आवश्यक हो तो पानी डालकर पालक पनीर कोफ्ते का गाढ़ापन समायोजित क"&amp;"रें। नमक और मसाले के स्तर की जांच करना सुनिश्चित करें और अपने स्वाद के अनुसार समायोजित करें। इस स्वादिष्ट पालक पनीर कोफ्ता करी को अपनी पसंद की पूरी गेहूं की नान या जीरा चावल के साथ त्वरित और स्वस्थ सप्ताह की रात के खाने या पार्टियों के लिए परोसें।")</f>
        <v>कोफ्ते बनाने की विधिएक पैन में 1 चम्मच तेल गर्म करें; पालक को तेज आंच पर तब तक भूनें जब तक वह पर्याप्त नरम न हो जाए और जब तक सारा पानी वाष्पित न हो जाए। इस बिंदु पर आंच बंद कर दें।पालक को पूरी तरह से ठंडा होने दें। पालक के ठंडा होने पर इसमें बेसन और स्वादानुसार नमक डालें और अच्छी तरह मिलाएँ। पालक को 8 बराबर भागों में बाँट लें।पनीर, जीरा पाउडर और नमक मिलाएँ; 8 बॉल्स में बाँट लें और एक तरफ रख दें।पालक का एक भाग लें, इसे अपनी हथेली पर फैलाएँ और पनीर बॉल्स को इसमें भरें। इसे बॉल (कोफ्ता) का आकार दें। ऐसा करते समय, आपको लग सकता है कि पालक का मिश्रण इतना लचीला नहीं है कि वह आसानी से पनीर पर मुड़ जाए और बॉल बन जाए। यह सही एहसास है। उन्हें संभालना बहुत आसान नहीं है। अगर आपको लगता है कि पालक पनीर को ठीक से नहीं ढक रहा अब आप कोफ्ते को ओवन या कुझीपनियारम पैन में पका सकते हैं। यदि आप कोफ्ते बेक करने के लिए ओवन का उपयोग करने की योजना बना रहे हैं; तो कोफ्ता बॉल्स को एक चुपड़ी हुई बेकिंग शीट पर रखें। कोफ्ता बॉल्स पर थोड़ा तेल लगाएं और पहले से गरम ओवन (200 डिग्री सेल्सियस) में कोफ्ते सुनहरे भूरे रंग के होने तक बेक करें। बेक होने के बाद कोफ्ते को ओवन से निकालें और एक तरफ रख दें। यदि आप कुझीपनियारम पैन का उपयोग करने की योजना बना रहे हैं; तो कोफ्ता बॉल्स को पैन की गुहाओं में रखें; कोफ्ते पर थोड़ा तेल छिड़कें और उन्हें दोनों तरफ से सुनहरा भूरा होने तक पैन में तल लें। आपको कोफ्ता बॉल्स को पलटना होगा ताकि वे सभी तरफ समान रूप से सिक जाएं। अगला कदम पालक कोफ्ता करी बनाना है टमाटर प्यूरी, हल्दी पाउडर, इलायची पाउडर, गरम मसाला पाउडर, नमक और लाल मिर्च पाउडर स्वादानुसार डालें। मिश्रण को उबालें और कुछ मिनट तक उबालें जब तक कि टमाटर पक न जाए। अंत में क्रीम, शहद और कसूरी मेथी डालें और इसे कोफ्ता करी में मिलाएँ। पैन में तले हुए पालक पनीर कोफ्ते डालें, पैन को ढक दें और तब तक पकाएँ जब तक कि करी और स्वाद कोफ्ते में समा न जाएँ। यदि आवश्यक हो तो पानी डालकर पालक पनीर कोफ्ते का गाढ़ापन समायोजित करें। नमक और मसाले के स्तर की जांच करना सुनिश्चित करें और अपने स्वाद के अनुसार समायोजित करें। इस स्वादिष्ट पालक पनीर कोफ्ता करी को अपनी पसंद की पूरी गेहूं की नान या जीरा चावल के साथ त्वरित और स्वस्थ सप्ताह की रात के खाने या पार्टियों के लिए परोसें।</v>
      </c>
      <c r="J449" s="3" t="s">
        <v>32790</v>
      </c>
      <c r="L449" s="1" t="s">
        <v>31003</v>
      </c>
    </row>
    <row r="450" spans="1:12" ht="13.8">
      <c r="A450" s="1" t="s">
        <v>32791</v>
      </c>
      <c r="B450" s="1" t="str">
        <f ca="1">IFERROR(__xludf.dummyfunction("IF(A450="""", """", GOOGLETRANSLATE(A450, ""en"", ""hi""))"),"अनानास और सूजी शीरा रेसिपी")</f>
        <v>अनानास और सूजी शीरा रेसिपी</v>
      </c>
      <c r="C450" s="1" t="s">
        <v>8417</v>
      </c>
      <c r="D450" s="1" t="s">
        <v>14198</v>
      </c>
      <c r="E450" s="1">
        <v>35</v>
      </c>
      <c r="F450" s="1" t="s">
        <v>32792</v>
      </c>
      <c r="G450" s="1" t="str">
        <f ca="1">IFERROR(__xludf.dummyfunction("IF(F450="""", """", GOOGLETRANSLATE(F450, ""en"", ""hi""))"),"1/2 कप सूजी, 1/2 कप घी, 1/2 कप चीनी, 1/2 कप अनानास - कटा हुआ, 7 किशमिश, 7 पिस्ता - कटे हुए, 7 काजू - कटे हुए, पानी - आवश्यकतानुसार, 1/2 चम्मच इलायची की फली/बीज - पाउडर, केसर के रेशे - 1 बड़ा चम्मच गर्म पानी में डूबे हुए")</f>
        <v>1/2 कप सूजी, 1/2 कप घी, 1/2 कप चीनी, 1/2 कप अनानास - कटा हुआ, 7 किशमिश, 7 पिस्ता - कटे हुए, 7 काजू - कटे हुए, पानी - आवश्यकतानुसार, 1/2 चम्मच इलायची की फली/बीज - पाउडर, केसर के रेशे - 1 बड़ा चम्मच गर्म पानी में डूबे हुए</v>
      </c>
      <c r="H450" s="1" t="s">
        <v>32793</v>
      </c>
      <c r="I450" s="1" t="str">
        <f ca="1">IFERROR(__xludf.dummyfunction("IF(H450="""", """", GOOGLETRANSLATE(H450, ""en"", ""hi""))"),"अनानास और सूजी का शीरा बनाने की विधि शुरू करने के लिए सबसे पहले कढ़ाई में घी गर्म करें और सूजी डालें। इसे लगातार चलाते रहें जब तक यह सुनहरा भूरा न हो जाए। अब इसमें कटा हुआ अनानास डालें और अच्छी तरह मिलाएँ, कढ़ाई को ढक्कन से ढक दें और इसे 2 - 3 मिनट तक पकन"&amp;"े दें। अब इसमें पानी डालें और इसे चलाएँ ताकि सूजी में गांठ न बने। जैसे-जैसे आप चलाते रहेंगे मिश्रण पकने लगेगा, इसे मध्यम आँच पर 2 - 3 मिनट के लिए छोड़ दें। पकने के बाद इसमें चीनी डालें, शीरा को लगातार चलाते रहें ताकि नमी न रहे। आंच कम करने से पहले इसमें क"&amp;"ेसर का पानी, थोड़ा इलायची पाउडर और किशमिश डालें, इसे अच्छी तरह मिलाएँ और चखें कि चीनी ठीक है या नहीं और अगर सब कुछ सही लगता है तो कढ़ाई को आँच से उतार लें। अनानास और सूजी के शीरा को एक सर्विंग बाउल में डालें और इसे कटे हुए काजू और पिस्ता से गार्निश करें।")</f>
        <v>अनानास और सूजी का शीरा बनाने की विधि शुरू करने के लिए सबसे पहले कढ़ाई में घी गर्म करें और सूजी डालें। इसे लगातार चलाते रहें जब तक यह सुनहरा भूरा न हो जाए। अब इसमें कटा हुआ अनानास डालें और अच्छी तरह मिलाएँ, कढ़ाई को ढक्कन से ढक दें और इसे 2 - 3 मिनट तक पकने दें। अब इसमें पानी डालें और इसे चलाएँ ताकि सूजी में गांठ न बने। जैसे-जैसे आप चलाते रहेंगे मिश्रण पकने लगेगा, इसे मध्यम आँच पर 2 - 3 मिनट के लिए छोड़ दें। पकने के बाद इसमें चीनी डालें, शीरा को लगातार चलाते रहें ताकि नमी न रहे। आंच कम करने से पहले इसमें केसर का पानी, थोड़ा इलायची पाउडर और किशमिश डालें, इसे अच्छी तरह मिलाएँ और चखें कि चीनी ठीक है या नहीं और अगर सब कुछ सही लगता है तो कढ़ाई को आँच से उतार लें। अनानास और सूजी के शीरा को एक सर्विंग बाउल में डालें और इसे कटे हुए काजू और पिस्ता से गार्निश करें।</v>
      </c>
      <c r="J450" s="3" t="s">
        <v>32794</v>
      </c>
      <c r="L450" s="1" t="s">
        <v>31003</v>
      </c>
    </row>
    <row r="451" spans="1:12" ht="13.8">
      <c r="A451" s="1" t="s">
        <v>32795</v>
      </c>
      <c r="B451" s="1" t="str">
        <f ca="1">IFERROR(__xludf.dummyfunction("IF(A451="""", """", GOOGLETRANSLATE(A451, ""en"", ""hi""))"),"मखनी ग्रेवी में चिकन मीटबॉल रेसिपी")</f>
        <v>मखनी ग्रेवी में चिकन मीटबॉल रेसिपी</v>
      </c>
      <c r="C451" s="1" t="s">
        <v>14259</v>
      </c>
      <c r="D451" s="1" t="s">
        <v>14382</v>
      </c>
      <c r="E451" s="1">
        <v>45</v>
      </c>
      <c r="F451" s="1" t="s">
        <v>32796</v>
      </c>
      <c r="G451" s="1" t="str">
        <f ca="1">IFERROR(__xludf.dummyfunction("IF(F451="""", """", GOOGLETRANSLATE(F451, ""en"", ""hi""))"),"500 ग्राम चिकन - साफ करके बारीक किया हुआ, 1 प्याज, 8 लहसुन के दाने - बारीक कटा हुआ, 3 हरी मिर्च - बारीक कटी हुई, 1/4 कप गेहूं की ब्रेड का चूरा, नमक - स्वादानुसार, सूरजमुखी का तेल - मीटबॉल को हल्का तलने के लिए, 1 प्याज - कटा हुआ, 5 टमाटर, 2 बड़े चम्मच अदरक"&amp;" लहसुन का पेस्ट, 5 सूखी लाल मिर्च, 2 इलायची के दाने/बीज, 1 जावित्री, 1 तेज पत्ता, 2 बड़े चम्मच शहद, 3 बड़े चम्मच ताजा क्रीम, 1 छोटा चम्मच गरम मसाला पाउडर, 1 बड़ा चम्मच कसूरी मेथी, 1 बड़ा चम्मच सूरजमुखी का तेल, 2 बड़े चम्मच मक्खन, 2 टहनी धनिया पत्ती, 3/4 क"&amp;"प पानी")</f>
        <v>500 ग्राम चिकन - साफ करके बारीक किया हुआ, 1 प्याज, 8 लहसुन के दाने - बारीक कटा हुआ, 3 हरी मिर्च - बारीक कटी हुई, 1/4 कप गेहूं की ब्रेड का चूरा, नमक - स्वादानुसार, सूरजमुखी का तेल - मीटबॉल को हल्का तलने के लिए, 1 प्याज - कटा हुआ, 5 टमाटर, 2 बड़े चम्मच अदरक लहसुन का पेस्ट, 5 सूखी लाल मिर्च, 2 इलायची के दाने/बीज, 1 जावित्री, 1 तेज पत्ता, 2 बड़े चम्मच शहद, 3 बड़े चम्मच ताजा क्रीम, 1 छोटा चम्मच गरम मसाला पाउडर, 1 बड़ा चम्मच कसूरी मेथी, 1 बड़ा चम्मच सूरजमुखी का तेल, 2 बड़े चम्मच मक्खन, 2 टहनी धनिया पत्ती, 3/4 कप पानी</v>
      </c>
      <c r="H451" s="1" t="s">
        <v>32797</v>
      </c>
      <c r="I451" s="1" t="str">
        <f ca="1">IFERROR(__xludf.dummyfunction("IF(H451="""", """", GOOGLETRANSLATE(H451, ""en"", ""hi""))"),"मखनी ग्रेवी में चिकन मीटबॉल बनाने के लिए सबसे पहले हम मीटबॉल बनाएंगे। एक मिक्सिंग बाउल में कीमा बनाया हुआ चिकन, प्याज, लहसुन, हरी मिर्च और नमक डालें। एक समान मिश्रण बनाने के लिए अच्छी तरह मिलाएं। नींबू के आकार के मीटबॉल तैयार करें और इसे एक तरफ रख दें। एक"&amp;" कड़ाही में 3 बड़े चम्मच तेल डालें, तैयार मीटबॉल डालें और चिकन के पकने और मीटबॉल का बाहरी हिस्सा कुरकुरा होने तक उन्हें शैलो फ्राई करें। अतिरिक्त तेल को सोखने के लिए मीटबॉल को एक पेपर नैपकिन पर निकालें और एक तरफ रख दें। अगला स्टेप ग्रेवी तैयार करना है। धी"&amp;"मी आंच पर एक भारी तले वाले पैन में 2 बड़े चम्मच मक्खन गर्म करें। मक्खन पिघल जाए तो इसमें इलायची के दाने, जावित्री डालें और इसे लगभग 15 सेकंड तक भूनें। इसमें लगभग 2 मिनट का समय लगेगा। 2 मिनट के बाद, टमाटर, काजू, नमक और थोड़ा पानी डालें। ढककर तब तक पकाएं जब"&amp;" तक टमाटर गूदेदार और नरम न हो जाए। आंच बंद कर दें और मिश्रण को ठंडा होने दें। ठंडा होने के बाद, मिक्सर ग्राइंडर जार में डालें और थोड़े पानी के साथ मुलायम पेस्ट बना लें। उसी कढ़ाई में थोड़ा और तेल डालें। एक बार जब यह गर्म हो जाए तो इसमें तेजपत्ता, टमाटर प्"&amp;"याज मसाला डालें और लगभग 5 से 7 मिनट तक पकाएं। इसके बाद, क्रीम, कसूरी मेथी, नमक और गरम मसाला डालें। लगभग एक मिनट तक पकाएं। मीठे और खट्टे का संतुलन समायोजित करते हुए थोड़ा-थोड़ा करके शहद मिलाते रहें। सब कुछ ठीक से मिला लें। मीटबॉल डालें, पैन को ढक दें और धी"&amp;"मी आंच पर 5 मिनट तक पकाएं चिकन मीटबॉल को मक्खनी ग्रेवी में फुल्के या जीरा राइस के साथ परोसें और साथ में कद्दूकस की हुई गाजर और खीरे के साथ मूंग स्प्राउट्स सलाद भी परोसें।")</f>
        <v>मखनी ग्रेवी में चिकन मीटबॉल बनाने के लिए सबसे पहले हम मीटबॉल बनाएंगे। एक मिक्सिंग बाउल में कीमा बनाया हुआ चिकन, प्याज, लहसुन, हरी मिर्च और नमक डालें। एक समान मिश्रण बनाने के लिए अच्छी तरह मिलाएं। नींबू के आकार के मीटबॉल तैयार करें और इसे एक तरफ रख दें। एक कड़ाही में 3 बड़े चम्मच तेल डालें, तैयार मीटबॉल डालें और चिकन के पकने और मीटबॉल का बाहरी हिस्सा कुरकुरा होने तक उन्हें शैलो फ्राई करें। अतिरिक्त तेल को सोखने के लिए मीटबॉल को एक पेपर नैपकिन पर निकालें और एक तरफ रख दें। अगला स्टेप ग्रेवी तैयार करना है। धीमी आंच पर एक भारी तले वाले पैन में 2 बड़े चम्मच मक्खन गर्म करें। मक्खन पिघल जाए तो इसमें इलायची के दाने, जावित्री डालें और इसे लगभग 15 सेकंड तक भूनें। इसमें लगभग 2 मिनट का समय लगेगा। 2 मिनट के बाद, टमाटर, काजू, नमक और थोड़ा पानी डालें। ढककर तब तक पकाएं जब तक टमाटर गूदेदार और नरम न हो जाए। आंच बंद कर दें और मिश्रण को ठंडा होने दें। ठंडा होने के बाद, मिक्सर ग्राइंडर जार में डालें और थोड़े पानी के साथ मुलायम पेस्ट बना लें। उसी कढ़ाई में थोड़ा और तेल डालें। एक बार जब यह गर्म हो जाए तो इसमें तेजपत्ता, टमाटर प्याज मसाला डालें और लगभग 5 से 7 मिनट तक पकाएं। इसके बाद, क्रीम, कसूरी मेथी, नमक और गरम मसाला डालें। लगभग एक मिनट तक पकाएं। मीठे और खट्टे का संतुलन समायोजित करते हुए थोड़ा-थोड़ा करके शहद मिलाते रहें। सब कुछ ठीक से मिला लें। मीटबॉल डालें, पैन को ढक दें और धीमी आंच पर 5 मिनट तक पकाएं चिकन मीटबॉल को मक्खनी ग्रेवी में फुल्के या जीरा राइस के साथ परोसें और साथ में कद्दूकस की हुई गाजर और खीरे के साथ मूंग स्प्राउट्स सलाद भी परोसें।</v>
      </c>
      <c r="J451" s="3" t="s">
        <v>32798</v>
      </c>
      <c r="L451" s="1" t="s">
        <v>31003</v>
      </c>
    </row>
    <row r="452" spans="1:12" ht="13.8">
      <c r="A452" s="1" t="s">
        <v>32799</v>
      </c>
      <c r="B452" s="1" t="str">
        <f ca="1">IFERROR(__xludf.dummyfunction("IF(A452="""", """", GOOGLETRANSLATE(A452, ""en"", ""hi""))"),"सूखी मेथी मलाई मटर (रेसिपी हिंदी में)")</f>
        <v>सूखी मेथी मलाई मटर (रेसिपी हिंदी में)</v>
      </c>
      <c r="C452" s="1" t="s">
        <v>429</v>
      </c>
      <c r="D452" s="1" t="s">
        <v>14198</v>
      </c>
      <c r="E452" s="1">
        <v>40</v>
      </c>
      <c r="F452" s="1" t="s">
        <v>32800</v>
      </c>
      <c r="G452" s="1" t="str">
        <f ca="1">IFERROR(__xludf.dummyfunction("IF(F452="""", """", GOOGLETRANSLATE(F452, ""en"", ""hi""))"),"300 ग्राम मेथी - बारीक कटी हुई, 1/2 कप हरी मटर, 2 बड़े चम्मच क्रीम, 1-1/2 बड़े चम्मच तेल, 1 तेज पत्ता, 1/2 दालचीनी, 1/2 चम्मच जीरा, 1/2 कप प्याज - बारीक कटा हुआ, 1 बड़ा चम्मच लहसुन - बारीक कटा हुआ, 1/4 चम्मच अदरक - पेस्ट, 2 हरी मिर्च - कटी हुई, 1/2 कप टमा"&amp;"टर - बारीक कटा हुआ, 1 बड़ा चम्मच टोमैटो केचप, 1/4 चम्मच गरम मसाला पाउडर, 1/4 चम्मच लाल मिर्च पाउडर, नमक - स्वादानुसार")</f>
        <v>300 ग्राम मेथी - बारीक कटी हुई, 1/2 कप हरी मटर, 2 बड़े चम्मच क्रीम, 1-1/2 बड़े चम्मच तेल, 1 तेज पत्ता, 1/2 दालचीनी, 1/2 चम्मच जीरा, 1/2 कप प्याज - बारीक कटा हुआ, 1 बड़ा चम्मच लहसुन - बारीक कटा हुआ, 1/4 चम्मच अदरक - पेस्ट, 2 हरी मिर्च - कटी हुई, 1/2 कप टमाटर - बारीक कटा हुआ, 1 बड़ा चम्मच टोमैटो केचप, 1/4 चम्मच गरम मसाला पाउडर, 1/4 चम्मच लाल मिर्च पाउडर, नमक - स्वादानुसार</v>
      </c>
      <c r="H452" s="1" t="s">
        <v>32801</v>
      </c>
      <c r="I452" s="1" t="str">
        <f ca="1">IFERROR(__xludf.dummyfunction("IF(H452="""", """", GOOGLETRANSLATE(H452, ""en"", ""hi""))"),"""सूखी मेथी मलाई मटर बनाने के लिए सबसे पहले मेथी के पत्तों को धोकर बारीक काट लें। हरी मटर लें और उन्हें 2 मिनट के लिए गर्म पानी में उबालें। अब एक पैन में तेल गर्म करें। मेथी के पत्ते डालें और उन्हें नरम होने तक पकाएँ। निकालकर एक अलग कटोरे में रख लें। थोड़"&amp;"ा और तेल डालें। तेज पत्ता, दालचीनी, जीरा डालें और पकाएँ। 30 सेकंड के बाद, लहसुन, प्याज़ और हरी मिर्च डालें। प्याज़ के नरम होने तक पकाएँ। नरम होने के बाद, टमाटर डालें और 2 मिनट तक पकाएँ। अब सभी मसाले डालें और कुछ सेकंड और पकाएँ। कुछ सेकंड के बाद, क्रीम डाल"&amp;"ें और 2 मिनट तक पकाएँ। उसके बाद मेथी और मटर डालें और 1 मिनट तक मिलाएँ। थोड़ा टोमैटो केचप डालें और अच्छी तरह मिलाएँ। ढककर अगले 5 मिनट तक पकाएँ। 5 मिनट बाद गैस बंद कर दें और परोसें। मेथी मलाई मटर को लहसुन दाल और फुल्के के साथ परोसें। दोपहर के भोजन के लिए पर"&amp;"ोसें।""")</f>
        <v>"सूखी मेथी मलाई मटर बनाने के लिए सबसे पहले मेथी के पत्तों को धोकर बारीक काट लें। हरी मटर लें और उन्हें 2 मिनट के लिए गर्म पानी में उबालें। अब एक पैन में तेल गर्म करें। मेथी के पत्ते डालें और उन्हें नरम होने तक पकाएँ। निकालकर एक अलग कटोरे में रख लें। थोड़ा और तेल डालें। तेज पत्ता, दालचीनी, जीरा डालें और पकाएँ। 30 सेकंड के बाद, लहसुन, प्याज़ और हरी मिर्च डालें। प्याज़ के नरम होने तक पकाएँ। नरम होने के बाद, टमाटर डालें और 2 मिनट तक पकाएँ। अब सभी मसाले डालें और कुछ सेकंड और पकाएँ। कुछ सेकंड के बाद, क्रीम डालें और 2 मिनट तक पकाएँ। उसके बाद मेथी और मटर डालें और 1 मिनट तक मिलाएँ। थोड़ा टोमैटो केचप डालें और अच्छी तरह मिलाएँ। ढककर अगले 5 मिनट तक पकाएँ। 5 मिनट बाद गैस बंद कर दें और परोसें। मेथी मलाई मटर को लहसुन दाल और फुल्के के साथ परोसें। दोपहर के भोजन के लिए परोसें।"</v>
      </c>
      <c r="J452" s="3" t="s">
        <v>32802</v>
      </c>
      <c r="L452" s="1" t="s">
        <v>31003</v>
      </c>
    </row>
    <row r="453" spans="1:12" ht="13.8">
      <c r="A453" s="1" t="s">
        <v>32803</v>
      </c>
      <c r="B453" s="1" t="str">
        <f ca="1">IFERROR(__xludf.dummyfunction("IF(A453="""", """", GOOGLETRANSLATE(A453, ""en"", ""hi""))"),"वन पॉट आलू गोभी")</f>
        <v>वन पॉट आलू गोभी</v>
      </c>
      <c r="C453" s="1" t="s">
        <v>14259</v>
      </c>
      <c r="D453" s="1" t="s">
        <v>15314</v>
      </c>
      <c r="E453" s="1">
        <v>40</v>
      </c>
      <c r="F453" s="1" t="s">
        <v>32804</v>
      </c>
      <c r="G453" s="1" t="str">
        <f ca="1">IFERROR(__xludf.dummyfunction("IF(F453="""", """", GOOGLETRANSLATE(F453, ""en"", ""hi""))"),"2 आलू - छीलकर काट लें, 1 पत्तागोभी - धोकर काट लें, 1 इंच अदरक - कद्दूकस कर लें, 2 टमाटर - प्यूरी बना लें, 1/2 चम्मच जीरा, 1 चम्मच हल्दी पाउडर, 1 चम्मच गरम मसाला पाउडर, 2 इलायची, 1/4 चम्मच लाल मिर्च पाउडर, 2 धनिया - बारीक कटा हुआ, तेल - आवश्यकतानुसार, नमक "&amp;"- स्वादानुसार")</f>
        <v>2 आलू - छीलकर काट लें, 1 पत्तागोभी - धोकर काट लें, 1 इंच अदरक - कद्दूकस कर लें, 2 टमाटर - प्यूरी बना लें, 1/2 चम्मच जीरा, 1 चम्मच हल्दी पाउडर, 1 चम्मच गरम मसाला पाउडर, 2 इलायची, 1/4 चम्मच लाल मिर्च पाउडर, 2 धनिया - बारीक कटा हुआ, तेल - आवश्यकतानुसार, नमक - स्वादानुसार</v>
      </c>
      <c r="H453" s="1" t="s">
        <v>32805</v>
      </c>
      <c r="I453" s="1" t="str">
        <f ca="1">IFERROR(__xludf.dummyfunction("IF(H453="""", """", GOOGLETRANSLATE(H453, ""en"", ""hi""))"),"""वन पॉट आलू गोभी बनाने के लिए सबसे पहले कुकर में तेल गर्म करें। इसमें जीरा, अदरक, इलायची डालें और 10 सेकंड तक पकाएँ। 10 सेकंड के बाद, टमाटर, आलू, फूलगोभी, नमक, लाल मिर्च पाउडर, हल्दी पाउडर, गरम मसाला और 1/4 कप पानी डालें। सब कुछ अच्छी तरह से मिलाएँ, कुकर"&amp;" बंद करें और 3 सीटी आने तक पकाएँ। प्रेशर निकलने दें और परोसें। वन पॉट आलू गोभी सब्ज़ी को बूंदी रायता और तवा पराठा के साथ लंच में परोसें।""")</f>
        <v>"वन पॉट आलू गोभी बनाने के लिए सबसे पहले कुकर में तेल गर्म करें। इसमें जीरा, अदरक, इलायची डालें और 10 सेकंड तक पकाएँ। 10 सेकंड के बाद, टमाटर, आलू, फूलगोभी, नमक, लाल मिर्च पाउडर, हल्दी पाउडर, गरम मसाला और 1/4 कप पानी डालें। सब कुछ अच्छी तरह से मिलाएँ, कुकर बंद करें और 3 सीटी आने तक पकाएँ। प्रेशर निकलने दें और परोसें। वन पॉट आलू गोभी सब्ज़ी को बूंदी रायता और तवा पराठा के साथ लंच में परोसें।"</v>
      </c>
      <c r="J453" s="3" t="s">
        <v>32806</v>
      </c>
      <c r="L453" s="1" t="s">
        <v>31003</v>
      </c>
    </row>
    <row r="454" spans="1:12" ht="13.8">
      <c r="A454" s="1" t="s">
        <v>32807</v>
      </c>
      <c r="B454" s="1" t="str">
        <f ca="1">IFERROR(__xludf.dummyfunction("IF(A454="""", """", GOOGLETRANSLATE(A454, ""en"", ""hi""))"),"दही सूरन की सब्जी")</f>
        <v>दही सूरन की सब्जी</v>
      </c>
      <c r="C454" s="1" t="s">
        <v>145</v>
      </c>
      <c r="D454" s="1" t="s">
        <v>14198</v>
      </c>
      <c r="E454" s="1">
        <v>40</v>
      </c>
      <c r="F454" s="1" t="s">
        <v>32808</v>
      </c>
      <c r="G454" s="1" t="str">
        <f ca="1">IFERROR(__xludf.dummyfunction("IF(F454="""", """", GOOGLETRANSLATE(F454, ""en"", ""hi""))"),"300 ग्राम रतालू - छीलकर काट लें, 3 बड़े चम्मच दही, 1/2 छोटा चम्मच जीरा, 1/2 छोटा चम्मच हल्दी पाउडर, 1/2 छोटा चम्मच लाल मिर्च पाउडर, 1 छोटा चम्मच गरम मसाला पाउडर, 1 छोटा चम्मच अमचूर, नमक - स्वादानुसार, तेल - प्रयोगानुसार, 2 धनिया - कटा हुआ (सजावट के लिए)")</f>
        <v>300 ग्राम रतालू - छीलकर काट लें, 3 बड़े चम्मच दही, 1/2 छोटा चम्मच जीरा, 1/2 छोटा चम्मच हल्दी पाउडर, 1/2 छोटा चम्मच लाल मिर्च पाउडर, 1 छोटा चम्मच गरम मसाला पाउडर, 1 छोटा चम्मच अमचूर, नमक - स्वादानुसार, तेल - प्रयोगानुसार, 2 धनिया - कटा हुआ (सजावट के लिए)</v>
      </c>
      <c r="H454" s="1" t="s">
        <v>32809</v>
      </c>
      <c r="I454" s="1" t="str">
        <f ca="1">IFERROR(__xludf.dummyfunction("IF(H454="""", """", GOOGLETRANSLATE(H454, ""en"", ""hi""))"),"""दही सूरन की सब्जी बनाने के लिए सबसे पहले सूरन को छीलकर काट लें। अब इसे प्रेशर कुकर में डालें और साथ में ज़रूरत के हिसाब से पानी भी डालें। कुकर बंद करके 4 सीटी आने तक पकाएँ। कुकर बंद करके प्रेशर निकलने दें। अब एक पैन में तेल गरम करें। इसमें जीरा डालकर 10"&amp;" सेकंड तक पकाएँ। इसके बाद इसमें सूरन डालकर मिलाएँ। अब इसमें सारे सूखे मसाले डालकर मिलाएँ। गैस की आंच धीमी करके इसमें दही डालें। थोड़ा पानी डालकर मिलाएँ। 2 से 3 मिनट तक पकने दें और गैस बंद कर दें। ऊपर से हरा धनिया डालकर गार्निश करें और सर्व करें। दही सूरन "&amp;"की सब्जी को पंचमेल दाल और फुल्के के साथ लंच में सर्व करें।""")</f>
        <v>"दही सूरन की सब्जी बनाने के लिए सबसे पहले सूरन को छीलकर काट लें। अब इसे प्रेशर कुकर में डालें और साथ में ज़रूरत के हिसाब से पानी भी डालें। कुकर बंद करके 4 सीटी आने तक पकाएँ। कुकर बंद करके प्रेशर निकलने दें। अब एक पैन में तेल गरम करें। इसमें जीरा डालकर 10 सेकंड तक पकाएँ। इसके बाद इसमें सूरन डालकर मिलाएँ। अब इसमें सारे सूखे मसाले डालकर मिलाएँ। गैस की आंच धीमी करके इसमें दही डालें। थोड़ा पानी डालकर मिलाएँ। 2 से 3 मिनट तक पकने दें और गैस बंद कर दें। ऊपर से हरा धनिया डालकर गार्निश करें और सर्व करें। दही सूरन की सब्जी को पंचमेल दाल और फुल्के के साथ लंच में सर्व करें।"</v>
      </c>
      <c r="J454" s="3" t="s">
        <v>32810</v>
      </c>
      <c r="L454" s="1" t="s">
        <v>31003</v>
      </c>
    </row>
    <row r="455" spans="1:12" ht="13.8">
      <c r="A455" s="1" t="s">
        <v>32811</v>
      </c>
      <c r="B455" s="1" t="str">
        <f ca="1">IFERROR(__xludf.dummyfunction("IF(A455="""", """", GOOGLETRANSLATE(A455, ""en"", ""hi""))"),"गोभी भुर्जी रेसिपी")</f>
        <v>गोभी भुर्जी रेसिपी</v>
      </c>
      <c r="C455" s="1" t="s">
        <v>16424</v>
      </c>
      <c r="D455" s="1" t="s">
        <v>15314</v>
      </c>
      <c r="E455" s="1">
        <v>30</v>
      </c>
      <c r="F455" s="1" t="s">
        <v>32812</v>
      </c>
      <c r="G455" s="1" t="str">
        <f ca="1">IFERROR(__xludf.dummyfunction("IF(F455="""", """", GOOGLETRANSLATE(F455, ""en"", ""hi""))"),"2 कप पत्तागोभी - कद्दूकस की हुई, 2 पूरे अंडे, 1 छोटा चम्मच जीरा, 1 इंच अदरक - कद्दूकस किया हुआ, 4 लहसुन - बारीक कटा हुआ, 3 हरी मिर्च - कटी हुई, 1 छोटा चम्मच धनिया पाउडर, 1/8 छोटा चम्मच हल्दी, 1/2 छोटा चम्मच लाल मिर्च पाउडर, 1/2 छोटा चम्मच काली मिर्च पाउडर"&amp;", नमक - स्वादानुसार, 2 टहनी पुदीना - गार्निश के लिए")</f>
        <v>2 कप पत्तागोभी - कद्दूकस की हुई, 2 पूरे अंडे, 1 छोटा चम्मच जीरा, 1 इंच अदरक - कद्दूकस किया हुआ, 4 लहसुन - बारीक कटा हुआ, 3 हरी मिर्च - कटी हुई, 1 छोटा चम्मच धनिया पाउडर, 1/8 छोटा चम्मच हल्दी, 1/2 छोटा चम्मच लाल मिर्च पाउडर, 1/2 छोटा चम्मच काली मिर्च पाउडर, नमक - स्वादानुसार, 2 टहनी पुदीना - गार्निश के लिए</v>
      </c>
      <c r="H455" s="1" t="s">
        <v>32813</v>
      </c>
      <c r="I455" s="1" t="str">
        <f ca="1">IFERROR(__xludf.dummyfunction("IF(H455="""", """", GOOGLETRANSLATE(H455, ""en"", ""hi""))"),"गोभी भुर्जी रेसिपी बनाने के लिए सबसे पहले एक पैन में तेल गर्म करें और उसमें अदरक, लहसुन और जीरा डालकर चटकने दें। जब यह पक जाए तो इसमें बारीक कटी गोभी और हरी मिर्च डालें और नरम होने तक पकाएं। अब इसमें नमक, काली मिर्च पाउडर, हल्दी पाउडर, लाल मिर्च पाउडर, धन"&amp;"िया पाउडर और पुदीने के पत्ते डालें। दूसरी तरफ अंडे तोड़कर फेंट लें। एक मिनट बाद इसमें फेंटा हुआ अंडा डालें और लगातार चलाते रहें, अंडे को ज्यादा न पकाएं। तब तक पकाएं जब तक कि सारा मसाला अच्छी तरह से न लग जाए और एक भुर्जी का रूप न ले ले। गोभी भुर्जी रेसिपी "&amp;"को टोस्टेड ब्रेड के साथ या सिर्फ रागी व्हीट फुल्का और पालक रायता के साथ लंच या ब्रेकफास्ट में सर्व करें।")</f>
        <v>गोभी भुर्जी रेसिपी बनाने के लिए सबसे पहले एक पैन में तेल गर्म करें और उसमें अदरक, लहसुन और जीरा डालकर चटकने दें। जब यह पक जाए तो इसमें बारीक कटी गोभी और हरी मिर्च डालें और नरम होने तक पकाएं। अब इसमें नमक, काली मिर्च पाउडर, हल्दी पाउडर, लाल मिर्च पाउडर, धनिया पाउडर और पुदीने के पत्ते डालें। दूसरी तरफ अंडे तोड़कर फेंट लें। एक मिनट बाद इसमें फेंटा हुआ अंडा डालें और लगातार चलाते रहें, अंडे को ज्यादा न पकाएं। तब तक पकाएं जब तक कि सारा मसाला अच्छी तरह से न लग जाए और एक भुर्जी का रूप न ले ले। गोभी भुर्जी रेसिपी को टोस्टेड ब्रेड के साथ या सिर्फ रागी व्हीट फुल्का और पालक रायता के साथ लंच या ब्रेकफास्ट में सर्व करें।</v>
      </c>
      <c r="J455" s="3" t="s">
        <v>32814</v>
      </c>
      <c r="L455" s="1" t="s">
        <v>31003</v>
      </c>
    </row>
    <row r="456" spans="1:12" ht="13.8">
      <c r="A456" s="1" t="s">
        <v>32815</v>
      </c>
      <c r="B456" s="1" t="str">
        <f ca="1">IFERROR(__xludf.dummyfunction("IF(A456="""", """", GOOGLETRANSLATE(A456, ""en"", ""hi""))"),"पालक मखाना")</f>
        <v>पालक मखाना</v>
      </c>
      <c r="C456" s="1" t="s">
        <v>429</v>
      </c>
      <c r="D456" s="1" t="s">
        <v>14208</v>
      </c>
      <c r="E456" s="1">
        <v>50</v>
      </c>
      <c r="F456" s="1" t="s">
        <v>32816</v>
      </c>
      <c r="G456" s="1" t="str">
        <f ca="1">IFERROR(__xludf.dummyfunction("IF(F456="""", """", GOOGLETRANSLATE(F456, ""en"", ""hi""))"),"300 ग्राम पालक, 2 टमाटर - कटे हुए, 1 कप मखाना, 1 चम्मच जीरा, 1 चम्मच गरम मसाला पाउडर, 1/2 चम्मच लाल मिर्च पाउडर, 1/2 चम्मच हल्दी पाउडर, 1 दालचीनी, 2 बड़े चम्मच दूध, 1 बड़ा चम्मच घी, नमक - स्वादानुसार")</f>
        <v>300 ग्राम पालक, 2 टमाटर - कटे हुए, 1 कप मखाना, 1 चम्मच जीरा, 1 चम्मच गरम मसाला पाउडर, 1/2 चम्मच लाल मिर्च पाउडर, 1/2 चम्मच हल्दी पाउडर, 1 दालचीनी, 2 बड़े चम्मच दूध, 1 बड़ा चम्मच घी, नमक - स्वादानुसार</v>
      </c>
      <c r="H456" s="1" t="s">
        <v>32817</v>
      </c>
      <c r="I456" s="1" t="str">
        <f ca="1">IFERROR(__xludf.dummyfunction("IF(H456="""", """", GOOGLETRANSLATE(H456, ""en"", ""hi""))"),"पालक मखाना बनाने के लिए सबसे पहले पालक को अच्छे से धो लें। पालक को निकाल कर प्रेशर कुकर में हल्दी पाउडर, जीरा, 1 बड़ा चम्मच पानी और हरी मिर्च के साथ डाल दें। कुकर बंद कर दें और 2 सीटी आने तक पकाएं। प्रेशर निकाल कर पालक को ठंडा होने दें। ठंडा होने के बाद प"&amp;"ालक को ब्लेंडर में डालकर प्यूरी बना लें। इसे एक तरफ रख दें। अब एक पैन लें और उसमें घी गर्म करें। इसमें मखाना डालें और अच्छे से कुरकुरा होने तक भूनें। मखाना निकाल कर एक तरफ रख दें। अब उसी पैन में तेल गर्म करें। इसमें जीरा और टमाटर डालें। टमाटर के नरम होने "&amp;"के बाद इसमें सारे मसाले डाल दें। थोड़ा पानी डालें और 2 मिनट तक पकाएं। अब इसमें पालक प्यूरी, दूध डालें और 3 मिनट तक पकने दें। 3 मिनट बाद इसमें मखाना डालें और उबलने दें। उबलने के बाद गैस बंद कर दें और सर्व करें। पालक मखाना को बूंदी रायता और तवा पराठा के साथ"&amp;" सर्व करें। लंच के साथ सर्व करें।")</f>
        <v>पालक मखाना बनाने के लिए सबसे पहले पालक को अच्छे से धो लें। पालक को निकाल कर प्रेशर कुकर में हल्दी पाउडर, जीरा, 1 बड़ा चम्मच पानी और हरी मिर्च के साथ डाल दें। कुकर बंद कर दें और 2 सीटी आने तक पकाएं। प्रेशर निकाल कर पालक को ठंडा होने दें। ठंडा होने के बाद पालक को ब्लेंडर में डालकर प्यूरी बना लें। इसे एक तरफ रख दें। अब एक पैन लें और उसमें घी गर्म करें। इसमें मखाना डालें और अच्छे से कुरकुरा होने तक भूनें। मखाना निकाल कर एक तरफ रख दें। अब उसी पैन में तेल गर्म करें। इसमें जीरा और टमाटर डालें। टमाटर के नरम होने के बाद इसमें सारे मसाले डाल दें। थोड़ा पानी डालें और 2 मिनट तक पकाएं। अब इसमें पालक प्यूरी, दूध डालें और 3 मिनट तक पकने दें। 3 मिनट बाद इसमें मखाना डालें और उबलने दें। उबलने के बाद गैस बंद कर दें और सर्व करें। पालक मखाना को बूंदी रायता और तवा पराठा के साथ सर्व करें। लंच के साथ सर्व करें।</v>
      </c>
      <c r="J456" s="3" t="s">
        <v>32818</v>
      </c>
      <c r="L456" s="1" t="s">
        <v>31003</v>
      </c>
    </row>
    <row r="457" spans="1:12" ht="13.8">
      <c r="A457" s="1" t="s">
        <v>32819</v>
      </c>
      <c r="B457" s="1" t="str">
        <f ca="1">IFERROR(__xludf.dummyfunction("IF(A457="""", """", GOOGLETRANSLATE(A457, ""en"", ""hi""))"),"सुखी उड़द दाल सब्जी रेसिपी")</f>
        <v>सुखी उड़द दाल सब्जी रेसिपी</v>
      </c>
      <c r="C457" s="1" t="s">
        <v>145</v>
      </c>
      <c r="D457" s="1" t="s">
        <v>14237</v>
      </c>
      <c r="E457" s="1">
        <v>40</v>
      </c>
      <c r="F457" s="1" t="s">
        <v>32820</v>
      </c>
      <c r="G457" s="1" t="str">
        <f ca="1">IFERROR(__xludf.dummyfunction("IF(F457="""", """", GOOGLETRANSLATE(F457, ""en"", ""hi""))"),"1 कप सफ़ेद उड़द दाल (साबुत), 1/4 कप पानी, 1 प्याज - कटा हुआ, 1 इंच अदरक - बारीक कटा हुआ, 1 हरी मिर्च - बारीक कटी हुई, 1 छोटा चम्मच जीरा, 1/4 छोटा चम्मच हींग, 1/2 छोटा चम्मच हल्दी, 1/2 छोटा चम्मच धनिया पाउडर, 1/2 छोटा चम्मच गरम मसाला पाउडर, नमक - स्वादानुस"&amp;"ार, 1 छोटा चम्मच घी, 1 नींबू का रस, धनिया पत्ते - थोड़े से")</f>
        <v>1 कप सफ़ेद उड़द दाल (साबुत), 1/4 कप पानी, 1 प्याज - कटा हुआ, 1 इंच अदरक - बारीक कटा हुआ, 1 हरी मिर्च - बारीक कटी हुई, 1 छोटा चम्मच जीरा, 1/4 छोटा चम्मच हींग, 1/2 छोटा चम्मच हल्दी, 1/2 छोटा चम्मच धनिया पाउडर, 1/2 छोटा चम्मच गरम मसाला पाउडर, नमक - स्वादानुसार, 1 छोटा चम्मच घी, 1 नींबू का रस, धनिया पत्ते - थोड़े से</v>
      </c>
      <c r="H457" s="1" t="s">
        <v>32821</v>
      </c>
      <c r="I457" s="1" t="str">
        <f ca="1">IFERROR(__xludf.dummyfunction("IF(H457="""", """", GOOGLETRANSLATE(H457, ""en"", ""hi""))"),"सुखी उड़द दाल की सब्जी बनाने के लिए सबसे पहले उड़द की दाल को साफ करके पानी से अच्छी तरह धो लें. दाल को कम से कम 4-5 घंटे के लिए पर्याप्त पानी में भिगो दें. भीगने के बाद पानी निकाल दें. एक प्रेशर कुकर में थोड़ा पानी डालकर गर्म करने के लिए रखें. छानी हुई उड"&amp;"़द दाल को प्रेशर कुकर के स्टीमर पैन में रखें. उड़द दाल में पानी डालें और तीन सीटी आने तक प्रेशर कुक करें. आंच बंद कर दें. प्रेशर को अपने आप निकलने दें. प्रेशर निकल जाने के बाद हम सुखी उड़द दाल की सब्जी बनाएंगे. पहले से गरम पैन में घी डालें. घी गरम हो जाने"&amp;" पर उसमें जीरा और हींग डालें और जीरे को चटकने दें. हो जाने पर उसमें प्याज, अदरक और हरी मिर्च डालें और प्याज के नरम और पारभासी होने तक भूनें. ढककर 3 से 4 मिनट तक पकाएँ जब तक दाल थोड़ी और फूल न जाए। जब ​​पक जाए तो आँच बंद कर दें और एक नींबू का रस मिलाएँ। धन"&amp;"िया पत्ती मिलाएँ और सुखी उड़द दाल रेसिपी को एक सर्विंग बाउल में डालें और गरमागरम परोसें। सुखी उड़द दाल रेसिपी को फुल्के, बिना प्याज़ और लहसुन वाली आलू गाजर मटर की सब्ज़ी और लौकी रायता के साथ लंच या डिनर में परोसें।")</f>
        <v>सुखी उड़द दाल की सब्जी बनाने के लिए सबसे पहले उड़द की दाल को साफ करके पानी से अच्छी तरह धो लें. दाल को कम से कम 4-5 घंटे के लिए पर्याप्त पानी में भिगो दें. भीगने के बाद पानी निकाल दें. एक प्रेशर कुकर में थोड़ा पानी डालकर गर्म करने के लिए रखें. छानी हुई उड़द दाल को प्रेशर कुकर के स्टीमर पैन में रखें. उड़द दाल में पानी डालें और तीन सीटी आने तक प्रेशर कुक करें. आंच बंद कर दें. प्रेशर को अपने आप निकलने दें. प्रेशर निकल जाने के बाद हम सुखी उड़द दाल की सब्जी बनाएंगे. पहले से गरम पैन में घी डालें. घी गरम हो जाने पर उसमें जीरा और हींग डालें और जीरे को चटकने दें. हो जाने पर उसमें प्याज, अदरक और हरी मिर्च डालें और प्याज के नरम और पारभासी होने तक भूनें. ढककर 3 से 4 मिनट तक पकाएँ जब तक दाल थोड़ी और फूल न जाए। जब ​​पक जाए तो आँच बंद कर दें और एक नींबू का रस मिलाएँ। धनिया पत्ती मिलाएँ और सुखी उड़द दाल रेसिपी को एक सर्विंग बाउल में डालें और गरमागरम परोसें। सुखी उड़द दाल रेसिपी को फुल्के, बिना प्याज़ और लहसुन वाली आलू गाजर मटर की सब्ज़ी और लौकी रायता के साथ लंच या डिनर में परोसें।</v>
      </c>
      <c r="J457" s="3" t="s">
        <v>32822</v>
      </c>
      <c r="L457" s="1" t="s">
        <v>31003</v>
      </c>
    </row>
    <row r="458" spans="1:12" ht="13.8">
      <c r="A458" s="1" t="s">
        <v>32823</v>
      </c>
      <c r="B458" s="1" t="str">
        <f ca="1">IFERROR(__xludf.dummyfunction("IF(A458="""", """", GOOGLETRANSLATE(A458, ""en"", ""hi""))"),"अंकुरित मूंग और मेथी चीला रेसिपी - एक स्वस्थ नाश्ता")</f>
        <v>अंकुरित मूंग और मेथी चीला रेसिपी - एक स्वस्थ नाश्ता</v>
      </c>
      <c r="C458" s="1" t="s">
        <v>16424</v>
      </c>
      <c r="D458" s="1" t="s">
        <v>14338</v>
      </c>
      <c r="E458" s="1">
        <v>290</v>
      </c>
      <c r="F458" s="1" t="s">
        <v>32824</v>
      </c>
      <c r="G458" s="1" t="str">
        <f ca="1">IFERROR(__xludf.dummyfunction("IF(F458="""", """", GOOGLETRANSLATE(F458, ""en"", ""hi""))"),"1 कप अंकुरित हरे मूंग, 1/2 कप सफ़ेद उड़द दाल - 4 घंटे भिगोई हुई, 2 हरी मिर्च, 1 छोटा चम्मच सौंफ, 1 इंच अदरक, 1 कप मेथी के पत्ते - बारीक कटे हुए, नमक - स्वादानुसार, 1/4 छोटा चम्मच हल्दी, सूरजमुखी का तेल - पकाने के लिए")</f>
        <v>1 कप अंकुरित हरे मूंग, 1/2 कप सफ़ेद उड़द दाल - 4 घंटे भिगोई हुई, 2 हरी मिर्च, 1 छोटा चम्मच सौंफ, 1 इंच अदरक, 1 कप मेथी के पत्ते - बारीक कटे हुए, नमक - स्वादानुसार, 1/4 छोटा चम्मच हल्दी, सूरजमुखी का तेल - पकाने के लिए</v>
      </c>
      <c r="H458" s="1" t="s">
        <v>32825</v>
      </c>
      <c r="I458" s="1" t="str">
        <f ca="1">IFERROR(__xludf.dummyfunction("IF(H458="""", """", GOOGLETRANSLATE(H458, ""en"", ""hi""))"),"अंकुरित मूंग और मेथी चीला बनाने के लिए, हमें अंकुरित अनाज तैयार रखने की जरूरत है। आप या तो स्टोर से खरीदे गए स्प्राउट्स का उपयोग कर सकते हैं या घर पर अंकुरित अनाज बना सकते हैं। घर पर स्प्राउट्स बनाने के लिए, घर पर स्प्राउट्स बनाने की विधि का पालन करें। एक"&amp;" मिक्सर जार में मूंग स्प्राउट्स, भिगोई और निथारी हुई उड़द दाल, हरी मिर्च, सौंफ और अदरक को मिलाएं, थोड़े पानी के साथ मुलायम पेस्ट बनाएं। एक मिक्सिंग बाउल में डालें, बारीक कटी हुई मेथी की पत्तियां, नमक और हल्दी पाउडर मिलाएँ। नमक और मसाले के स्तर की जाँच करे"&amp;"ं और अपने स्वाद के अनुसार समायोजित करें। अंकुरित मूंग और मेथी चीला का घोल डोसा बैटर या पैनकेक बैटर की स्थिरता के समान होगा। चीला बैटर चम्मच के पिछले हिस्से पर अच्छी तरह लग जाना चाहिए। मध्यम आंच पर एक कड़ाही गरम करें, पैन पर अंकुरित मूंग और मेथी चीला बैटर "&amp;"का एक करछुल डालें और इसे गोलाकार गति में फैलाकर पतला चीला बनाएं। चीला के चारों ओर थोड़ा तेल छिड़कें और इसे तब तक पकाएं जब तक कि ऊपरी हिस्सा कच्चा न लगे और आप देखें कि किनारे भूरे हो रहे हैं। पलटें और कुछ सेकंड के लिए दूसरी तरफ भी पकाएं। एक बार हो जाने पर,"&amp;" अंकुरित मूंग और मेथी चीला को एक प्लेट में निकाल लें और बचे हुए बैटर से चीला बनाना शुरू करें। अंकुरित मूंग और मेथी चीला को धनिया पुदीना चटनी, कुछ फलों और गुलकंद चाय रेसिपी के साथ परोसें - रविवार के नाश्ते के लिए एक स्वादिष्ट गुलाब के स्वाद वाली भारतीय चाय"&amp;"।")</f>
        <v>अंकुरित मूंग और मेथी चीला बनाने के लिए, हमें अंकुरित अनाज तैयार रखने की जरूरत है। आप या तो स्टोर से खरीदे गए स्प्राउट्स का उपयोग कर सकते हैं या घर पर अंकुरित अनाज बना सकते हैं। घर पर स्प्राउट्स बनाने के लिए, घर पर स्प्राउट्स बनाने की विधि का पालन करें। एक मिक्सर जार में मूंग स्प्राउट्स, भिगोई और निथारी हुई उड़द दाल, हरी मिर्च, सौंफ और अदरक को मिलाएं, थोड़े पानी के साथ मुलायम पेस्ट बनाएं। एक मिक्सिंग बाउल में डालें, बारीक कटी हुई मेथी की पत्तियां, नमक और हल्दी पाउडर मिलाएँ। नमक और मसाले के स्तर की जाँच करें और अपने स्वाद के अनुसार समायोजित करें। अंकुरित मूंग और मेथी चीला का घोल डोसा बैटर या पैनकेक बैटर की स्थिरता के समान होगा। चीला बैटर चम्मच के पिछले हिस्से पर अच्छी तरह लग जाना चाहिए। मध्यम आंच पर एक कड़ाही गरम करें, पैन पर अंकुरित मूंग और मेथी चीला बैटर का एक करछुल डालें और इसे गोलाकार गति में फैलाकर पतला चीला बनाएं। चीला के चारों ओर थोड़ा तेल छिड़कें और इसे तब तक पकाएं जब तक कि ऊपरी हिस्सा कच्चा न लगे और आप देखें कि किनारे भूरे हो रहे हैं। पलटें और कुछ सेकंड के लिए दूसरी तरफ भी पकाएं। एक बार हो जाने पर, अंकुरित मूंग और मेथी चीला को एक प्लेट में निकाल लें और बचे हुए बैटर से चीला बनाना शुरू करें। अंकुरित मूंग और मेथी चीला को धनिया पुदीना चटनी, कुछ फलों और गुलकंद चाय रेसिपी के साथ परोसें - रविवार के नाश्ते के लिए एक स्वादिष्ट गुलाब के स्वाद वाली भारतीय चाय।</v>
      </c>
      <c r="J458" s="3" t="s">
        <v>32826</v>
      </c>
      <c r="L458" s="1" t="s">
        <v>31003</v>
      </c>
    </row>
    <row r="459" spans="1:12" ht="13.8">
      <c r="A459" s="1" t="s">
        <v>32827</v>
      </c>
      <c r="B459" s="1" t="str">
        <f ca="1">IFERROR(__xludf.dummyfunction("IF(A459="""", """", GOOGLETRANSLATE(A459, ""en"", ""hi""))"),"बार्नयार्ड बाजरा और रागी खिचड़ी रेसिपी")</f>
        <v>बार्नयार्ड बाजरा और रागी खिचड़ी रेसिपी</v>
      </c>
      <c r="C459" s="1" t="s">
        <v>429</v>
      </c>
      <c r="D459" s="1" t="s">
        <v>14198</v>
      </c>
      <c r="E459" s="1">
        <v>65</v>
      </c>
      <c r="F459" s="1" t="s">
        <v>32828</v>
      </c>
      <c r="G459" s="1" t="str">
        <f ca="1">IFERROR(__xludf.dummyfunction("IF(F459="""", """", GOOGLETRANSLATE(F459, ""en"", ""hi""))"),"1/2 कप बाजरा, 1/4 कप पीली मूंग दाल, 1/4 कप रागी के बीज, 1 इंच अदरक - कसा हुआ, 1 चम्मच हल्दी, 1 इंच दालचीनी, 1 बड़ा चम्मच घी, 1/4 चम्मच हींग, 1 चम्मच साबुत काली मिर्च - कुटी हुई, 1 चम्मच जीरा")</f>
        <v>1/2 कप बाजरा, 1/4 कप पीली मूंग दाल, 1/4 कप रागी के बीज, 1 इंच अदरक - कसा हुआ, 1 चम्मच हल्दी, 1 इंच दालचीनी, 1 बड़ा चम्मच घी, 1/4 चम्मच हींग, 1 चम्मच साबुत काली मिर्च - कुटी हुई, 1 चम्मच जीरा</v>
      </c>
      <c r="H459" s="1" t="s">
        <v>32829</v>
      </c>
      <c r="I459" s="1" t="str">
        <f ca="1">IFERROR(__xludf.dummyfunction("IF(H459="""", """", GOOGLETRANSLATE(H459, ""en"", ""hi""))"),"नोट: नीचे दी गई विधि से खिचड़ी गूदेदार बनेगी; आप अपनी पसंद के अनुसार पकाने के लिए पानी का गाढ़ापन समायोजित कर सकते हैं। बार्नयार्ड बाजरा और रागी खिचड़ी रेसिपी बनाना शुरू करने के लिए, बार्नयार्ड बाजरा, रागी और दाल को कम से कम 4 घंटे के लिए पानी में भिगोएँ।"&amp;" रागी को भिगोने से यह तेजी से पकता है। भिगोने के बाद, इसे प्रेशर कुकर में रखें। इसमें 3-1/2 कप पानी, हल्दी पाउडर, अदरक, नमक और दालचीनी डालें और तीन से चार सीटी आने तक पकाएं। आंच बंद कर दें और प्रेशर को अपने आप निकलने दें। प्रेशर निकल जाने के बाद, कुकर खोल"&amp;"ें और खिचड़ी को सभी सामग्री को मिलाने के लिए हिलाएं और हम तड़का बनाने के लिए आगे बढ़ेंगे। एक बार हो जाने पर, नमक की जाँच करें और अपने स्वाद के अनुसार नमक मिलाएँ। बार्नयार्ड मिलेट और रागी खिचड़ी के लिए, एक छोटे तड़का पैन में घी गरम करें। इसमें जीरा, कुटी ह"&amp;"ुई काली मिर्च और हींग डालें। कुछ सेकंड के लिए हिलाएँ और इसे खिचड़ी में मिला दें। बार्नयार्ड मिलेट और रागी खिचड़ी को बटाटा नू शाक (आलू टमाटर सब्ज़ी) के साथ गरमागरम और पौष्टिक रात के खाने के लिए परोसें।")</f>
        <v>नोट: नीचे दी गई विधि से खिचड़ी गूदेदार बनेगी; आप अपनी पसंद के अनुसार पकाने के लिए पानी का गाढ़ापन समायोजित कर सकते हैं। बार्नयार्ड बाजरा और रागी खिचड़ी रेसिपी बनाना शुरू करने के लिए, बार्नयार्ड बाजरा, रागी और दाल को कम से कम 4 घंटे के लिए पानी में भिगोएँ। रागी को भिगोने से यह तेजी से पकता है। भिगोने के बाद, इसे प्रेशर कुकर में रखें। इसमें 3-1/2 कप पानी, हल्दी पाउडर, अदरक, नमक और दालचीनी डालें और तीन से चार सीटी आने तक पकाएं। आंच बंद कर दें और प्रेशर को अपने आप निकलने दें। प्रेशर निकल जाने के बाद, कुकर खोलें और खिचड़ी को सभी सामग्री को मिलाने के लिए हिलाएं और हम तड़का बनाने के लिए आगे बढ़ेंगे। एक बार हो जाने पर, नमक की जाँच करें और अपने स्वाद के अनुसार नमक मिलाएँ। बार्नयार्ड मिलेट और रागी खिचड़ी के लिए, एक छोटे तड़का पैन में घी गरम करें। इसमें जीरा, कुटी हुई काली मिर्च और हींग डालें। कुछ सेकंड के लिए हिलाएँ और इसे खिचड़ी में मिला दें। बार्नयार्ड मिलेट और रागी खिचड़ी को बटाटा नू शाक (आलू टमाटर सब्ज़ी) के साथ गरमागरम और पौष्टिक रात के खाने के लिए परोसें।</v>
      </c>
      <c r="J459" s="3" t="s">
        <v>32830</v>
      </c>
      <c r="L459" s="1" t="s">
        <v>31003</v>
      </c>
    </row>
    <row r="460" spans="1:12" ht="13.8">
      <c r="A460" s="1" t="s">
        <v>32831</v>
      </c>
      <c r="B460" s="1" t="str">
        <f ca="1">IFERROR(__xludf.dummyfunction("IF(A460="""", """", GOOGLETRANSLATE(A460, ""en"", ""hi""))"),"हरियाली पनीर टिक्का मसाला ग्रेवी")</f>
        <v>हरियाली पनीर टिक्का मसाला ग्रेवी</v>
      </c>
      <c r="C460" s="1" t="s">
        <v>145</v>
      </c>
      <c r="D460" s="1" t="s">
        <v>14237</v>
      </c>
      <c r="E460" s="1">
        <v>45</v>
      </c>
      <c r="F460" s="1" t="s">
        <v>32832</v>
      </c>
      <c r="G460" s="1" t="str">
        <f ca="1">IFERROR(__xludf.dummyfunction("IF(F460="""", """", GOOGLETRANSLATE(F460, ""en"", ""hi""))"),"250 ग्राम पनीर - कटा हुआ, 1 चम्मच सौंफ, 2 हरी मिर्च - बारीक कटी हुई, 50 ग्राम धनिया पत्ता - बारीक कटा हुआ, 20 ग्राम पुदीना - बारीक कटा हुआ, 2 टमाटर - प्यूरी बना लें, 1 इंच अदरक - बारीक कटा हुआ, 1 इंच दालचीनी, 2 इलायची, 1/2 चम्मच गरम मसाला पाउडर, 1 तेज पत्"&amp;"ता, 1/2 चम्मच चाट मसाला पाउडर, 1/4 कप क्रीम, नमक - स्वादानुसार, 1 बड़ा चम्मच मक्खन - उपयोगानुसार")</f>
        <v>250 ग्राम पनीर - कटा हुआ, 1 चम्मच सौंफ, 2 हरी मिर्च - बारीक कटी हुई, 50 ग्राम धनिया पत्ता - बारीक कटा हुआ, 20 ग्राम पुदीना - बारीक कटा हुआ, 2 टमाटर - प्यूरी बना लें, 1 इंच अदरक - बारीक कटा हुआ, 1 इंच दालचीनी, 2 इलायची, 1/2 चम्मच गरम मसाला पाउडर, 1 तेज पत्ता, 1/2 चम्मच चाट मसाला पाउडर, 1/4 कप क्रीम, नमक - स्वादानुसार, 1 बड़ा चम्मच मक्खन - उपयोगानुसार</v>
      </c>
      <c r="H460" s="1" t="s">
        <v>32833</v>
      </c>
      <c r="I460" s="1" t="str">
        <f ca="1">IFERROR(__xludf.dummyfunction("IF(H460="""", """", GOOGLETRANSLATE(H460, ""en"", ""hi""))"),"हरियाली पनीर टिक्का मसाला बनाने के लिए सबसे पहले सौंफ, धनिया, पुदीना, अदरक, हरी मिर्च को ब्लेंडर में डालकर थोड़े से पानी के साथ पीस लें। अब एक पैन में मक्खन गर्म करें। इसमें तेज पत्ता, दालचीनी, इलायची डालकर 15 सेकंड तक पकाएं। अब इसमें टमाटर प्यूरी डालकर 3"&amp;" से 4 मिनट तक पकाएं। अब इसमें पिसा हुआ मसाला, नमक, सभी मसाले पाउडर डालकर मिला लें। पैन को ढककर 5 से 6 मिनट तक पकाएं। 6 मिनट बाद इसमें क्रीम और चीज़ डालें। 2 से 3 मिनट तक और पकाएं, गैस बंद कर दें और सर्व करें। हरियाली पनीर टिक्का मसाला को लहसुन दाल और फुल्"&amp;"के के साथ लंच में सर्व करें।")</f>
        <v>हरियाली पनीर टिक्का मसाला बनाने के लिए सबसे पहले सौंफ, धनिया, पुदीना, अदरक, हरी मिर्च को ब्लेंडर में डालकर थोड़े से पानी के साथ पीस लें। अब एक पैन में मक्खन गर्म करें। इसमें तेज पत्ता, दालचीनी, इलायची डालकर 15 सेकंड तक पकाएं। अब इसमें टमाटर प्यूरी डालकर 3 से 4 मिनट तक पकाएं। अब इसमें पिसा हुआ मसाला, नमक, सभी मसाले पाउडर डालकर मिला लें। पैन को ढककर 5 से 6 मिनट तक पकाएं। 6 मिनट बाद इसमें क्रीम और चीज़ डालें। 2 से 3 मिनट तक और पकाएं, गैस बंद कर दें और सर्व करें। हरियाली पनीर टिक्का मसाला को लहसुन दाल और फुल्के के साथ लंच में सर्व करें।</v>
      </c>
      <c r="J460" s="3" t="s">
        <v>32834</v>
      </c>
      <c r="L460" s="1" t="s">
        <v>31003</v>
      </c>
    </row>
    <row r="461" spans="1:12" ht="13.8">
      <c r="A461" s="1" t="s">
        <v>32835</v>
      </c>
      <c r="B461" s="1" t="str">
        <f ca="1">IFERROR(__xludf.dummyfunction("IF(A461="""", """", GOOGLETRANSLATE(A461, ""en"", ""hi""))"),"शिमला मिर्च और पनीर के साथ ढोकला सैंडविच रेसिपी")</f>
        <v>शिमला मिर्च और पनीर के साथ ढोकला सैंडविच रेसिपी</v>
      </c>
      <c r="C461" s="1" t="s">
        <v>14281</v>
      </c>
      <c r="D461" s="1" t="s">
        <v>14198</v>
      </c>
      <c r="E461" s="1">
        <v>55</v>
      </c>
      <c r="F461" s="1" t="s">
        <v>32836</v>
      </c>
      <c r="G461" s="1" t="str">
        <f ca="1">IFERROR(__xludf.dummyfunction("IF(F461="""", """", GOOGLETRANSLATE(F461, ""en"", ""hi""))"),"1 कप पोहा - पाउडर बना लें, 1 कप दही, 1/2 कप सूजी, 1/2 कप बेसन, 1 हरी मिर्च - कटी हुई, 1 छोटा चम्मच जीरा, 1 इंच अदरक - कटा हुआ, 1 छोटा चम्मच इनोस फ्रूट सॉल्ट, नमक - स्वादानुसार, सूरजमुखी तेल, 1 छोटा चम्मच जीरा, 1 छोटा चम्मच सरसों, 1 टहनी करी पत्ता, 1 चुटकी"&amp;" हींग, सूरजमुखी तेल, 1 लाल शिमला मिर्च - कटी हुई, 1 पीली शिमला मिर्च - कटी हुई, 1 हरी शिमला मिर्च - कटी हुई, 1 कप पनीर - टुकड़े किए हुए, 1/2 कप हरी चटनी (धनिया और पुदीना), 2 बड़े चम्मच लाल मिर्च सॉस")</f>
        <v>1 कप पोहा - पाउडर बना लें, 1 कप दही, 1/2 कप सूजी, 1/2 कप बेसन, 1 हरी मिर्च - कटी हुई, 1 छोटा चम्मच जीरा, 1 इंच अदरक - कटा हुआ, 1 छोटा चम्मच इनोस फ्रूट सॉल्ट, नमक - स्वादानुसार, सूरजमुखी तेल, 1 छोटा चम्मच जीरा, 1 छोटा चम्मच सरसों, 1 टहनी करी पत्ता, 1 चुटकी हींग, सूरजमुखी तेल, 1 लाल शिमला मिर्च - कटी हुई, 1 पीली शिमला मिर्च - कटी हुई, 1 हरी शिमला मिर्च - कटी हुई, 1 कप पनीर - टुकड़े किए हुए, 1/2 कप हरी चटनी (धनिया और पुदीना), 2 बड़े चम्मच लाल मिर्च सॉस</v>
      </c>
      <c r="H461" s="1" t="s">
        <v>32837</v>
      </c>
      <c r="I461" s="1" t="str">
        <f ca="1">IFERROR(__xludf.dummyfunction("IF(H461="""", """", GOOGLETRANSLATE(H461, ""en"", ""hi""))"),"शिमला मिर्च और पनीर के साथ ढोकला सैंडविच रेसिपी बनाने के लिए सबसे पहले एक स्टीमर में पानी भर लें और ढोकला प्लेट्स को चिकना कर लें। एक तरफ रख दें। पोहा को मिक्सर ग्राइंडर में बारीक पीस लें और एक तरफ रख दें। उसी मिक्सर में हरी मिर्च, अदरक और जीरा डालें और द"&amp;"रदरा पीस लें। इस पेस्ट को मिक्सिंग बाउल में डालें और बाकी सारी सामग्री - सूजी, पाउडर पोहा, बेसन, नमक, इनोस फ्रूट सॉल्ट डालकर अच्छी तरह मिला लें। दही और पर्याप्त पानी डालकर गाढ़ा घोल बना लें। बैटर को 15 मिनट के लिए रख दें, जब तक कि आप स्टफिंग के लिए सामग्र"&amp;"ी काटना शुरू न कर दें। ढोकला बैटर को चिकनाई लगी ढोकला प्लेट्स में डालें। स्टीमर को पानी से गर्म करें और ढोकला बैटर को स्टीम करने के लिए रख दें ठंडा होने के लिए अलग रख दें। एक पैन में तेल गर्म करें, शिमला मिर्च डालें और 10 मिनट तक नरम होने तक भूनें। बाद मे"&amp;"ं इसमें टुकड़े किए हुए पनीर डालें और पनीर के पकने तक भूनें। एक बार जब यह पक जाए, तो आप पुदीने और धनिया की चटनी, लाल मिर्च लहसुन की चटनी डाल सकते हैं और नमक की जाँच कर सकते हैं। जब तक मिश्रण मसाले से समान रूप से लेपित न हो जाए, तब तक अच्छी तरह हिलाएँ। ठंडा"&amp;" होने के लिए अलग रख दें। ढोकला को अपनी इच्छानुसार त्रिकोण या आयताकार आकार में काटें और पलट दें। एक ग्रिलिंग पैन गरम करें, एक बार जब पैन गरम हो जाए तो थोड़ा तेल डालें और ढोकला को ऊपर से ग्रिल किए हुए निशान बनाने के लिए रखें। ढोकला के टुकड़ों को पलटें और उन"&amp;"्हें दूसरी तरफ से भी ग्रिल करें और बाहर निकाल लें। ढोकला के दो ग्रिल्ड टुकड़े लें और उन्हें भरावन से भरें और उन्हें सर्विंग प्लेट पर रखें। बाकी के टुकड़ों के लिए भी ऐसा ही करें। एक पैन में तेल गरम करें, उसमें सरसों के बीज, जीरा, हींग और करी पत्ता डालें और"&amp;" उसे चटकने दें। आंच बंद कर दें और ढोकले के ऊपर मसाला डालें और गरमागरम परोसें। ढोकला सैंडविच विद कैप्सिकम एंड पनीर रेसिपी को सेब बादाम खजूर स्मूदी या मसाला चाय के साथ परोसें ताकि यह एक संपूर्ण नाश्ता बन जाए या आप इसे अपने शाम के नाश्ते का आनंद लेने के लिए "&amp;"फलों के कटोरे के साथ परोस सकते हैं।")</f>
        <v>शिमला मिर्च और पनीर के साथ ढोकला सैंडविच रेसिपी बनाने के लिए सबसे पहले एक स्टीमर में पानी भर लें और ढोकला प्लेट्स को चिकना कर लें। एक तरफ रख दें। पोहा को मिक्सर ग्राइंडर में बारीक पीस लें और एक तरफ रख दें। उसी मिक्सर में हरी मिर्च, अदरक और जीरा डालें और दरदरा पीस लें। इस पेस्ट को मिक्सिंग बाउल में डालें और बाकी सारी सामग्री - सूजी, पाउडर पोहा, बेसन, नमक, इनोस फ्रूट सॉल्ट डालकर अच्छी तरह मिला लें। दही और पर्याप्त पानी डालकर गाढ़ा घोल बना लें। बैटर को 15 मिनट के लिए रख दें, जब तक कि आप स्टफिंग के लिए सामग्री काटना शुरू न कर दें। ढोकला बैटर को चिकनाई लगी ढोकला प्लेट्स में डालें। स्टीमर को पानी से गर्म करें और ढोकला बैटर को स्टीम करने के लिए रख दें ठंडा होने के लिए अलग रख दें। एक पैन में तेल गर्म करें, शिमला मिर्च डालें और 10 मिनट तक नरम होने तक भूनें। बाद में इसमें टुकड़े किए हुए पनीर डालें और पनीर के पकने तक भूनें। एक बार जब यह पक जाए, तो आप पुदीने और धनिया की चटनी, लाल मिर्च लहसुन की चटनी डाल सकते हैं और नमक की जाँच कर सकते हैं। जब तक मिश्रण मसाले से समान रूप से लेपित न हो जाए, तब तक अच्छी तरह हिलाएँ। ठंडा होने के लिए अलग रख दें। ढोकला को अपनी इच्छानुसार त्रिकोण या आयताकार आकार में काटें और पलट दें। एक ग्रिलिंग पैन गरम करें, एक बार जब पैन गरम हो जाए तो थोड़ा तेल डालें और ढोकला को ऊपर से ग्रिल किए हुए निशान बनाने के लिए रखें। ढोकला के टुकड़ों को पलटें और उन्हें दूसरी तरफ से भी ग्रिल करें और बाहर निकाल लें। ढोकला के दो ग्रिल्ड टुकड़े लें और उन्हें भरावन से भरें और उन्हें सर्विंग प्लेट पर रखें। बाकी के टुकड़ों के लिए भी ऐसा ही करें। एक पैन में तेल गरम करें, उसमें सरसों के बीज, जीरा, हींग और करी पत्ता डालें और उसे चटकने दें। आंच बंद कर दें और ढोकले के ऊपर मसाला डालें और गरमागरम परोसें। ढोकला सैंडविच विद कैप्सिकम एंड पनीर रेसिपी को सेब बादाम खजूर स्मूदी या मसाला चाय के साथ परोसें ताकि यह एक संपूर्ण नाश्ता बन जाए या आप इसे अपने शाम के नाश्ते का आनंद लेने के लिए फलों के कटोरे के साथ परोस सकते हैं।</v>
      </c>
      <c r="J461" s="3" t="s">
        <v>32838</v>
      </c>
      <c r="L461" s="1" t="s">
        <v>31003</v>
      </c>
    </row>
    <row r="462" spans="1:12" ht="13.8">
      <c r="A462" s="1" t="s">
        <v>32839</v>
      </c>
      <c r="B462" s="1" t="str">
        <f ca="1">IFERROR(__xludf.dummyfunction("IF(A462="""", """", GOOGLETRANSLATE(A462, ""en"", ""hi""))"),"फूल मखाना खीर रेसिपी - गुड़ से मीठी")</f>
        <v>फूल मखाना खीर रेसिपी - गुड़ से मीठी</v>
      </c>
      <c r="C462" s="1" t="s">
        <v>8417</v>
      </c>
      <c r="D462" s="1" t="s">
        <v>14198</v>
      </c>
      <c r="E462" s="1">
        <v>35</v>
      </c>
      <c r="F462" s="1" t="s">
        <v>32840</v>
      </c>
      <c r="G462" s="1" t="str">
        <f ca="1">IFERROR(__xludf.dummyfunction("IF(F462="""", """", GOOGLETRANSLATE(F462, ""en"", ""hi""))"),"1 लीटर दूध, 1-1/4 कप कमल के बीज, 1/2 कप गुड़ - पाउडर, 3 बड़े चम्मच बादाम - कटा हुआ, 2 बड़े चम्मच पिस्ता - कटा हुआ, 1 चम्मच इलायची पाउडर (इलायची), 2 चम्मच सूखे गुलाब की पंखुड़ियाँ - गार्निश के लिए, 1 बड़ा चम्मच घी")</f>
        <v>1 लीटर दूध, 1-1/4 कप कमल के बीज, 1/2 कप गुड़ - पाउडर, 3 बड़े चम्मच बादाम - कटा हुआ, 2 बड़े चम्मच पिस्ता - कटा हुआ, 1 चम्मच इलायची पाउडर (इलायची), 2 चम्मच सूखे गुलाब की पंखुड़ियाँ - गार्निश के लिए, 1 बड़ा चम्मच घी</v>
      </c>
      <c r="H462" s="1" t="s">
        <v>32841</v>
      </c>
      <c r="I462" s="1" t="str">
        <f ca="1">IFERROR(__xludf.dummyfunction("IF(H462="""", """", GOOGLETRANSLATE(H462, ""en"", ""hi""))"),"फूल मखाना खीर रेसिपी बनाने के लिए सबसे पहले हम मखानों को भून लेंगे। एक भारी तले की कड़ाही में घी गर्म करें, उसमें मखाने डालें और इसे सुनहरा और कुरकुरा होने तक धीमी आंच पर भूनें। इसे एक तरफ रख दें। अब, इस भुने हुए मखानों में से एक मुट्ठी बचा लें और बाकी को"&amp;" ओखली और मूसल का उपयोग करके मोटा-मोटा पीस लें। एक भारी तले की कड़ाही में दूध डालें और मध्यम आंच पर उबाल लें। दूध को 10 मिनट तक उबालें, जब तक कि यह थोड़ा गाढ़ा न हो जाए। अब, पीसे हुए और साबुत भुने हुए मखाने डालें और अच्छी तरह मिलाएँ। इस मिश्रण को 5 मिनट तक"&amp;" उबालें, जब तक यह मलाईदार और नरम न हो जाए। 5 मिनट के बाद, पीसा हुआ गुड़, इलायची पाउडर डालें, अच्छी तरह मिलाएँ और तब तक उबालें जब तक कि गुड़ पिघल न जाए और खीर में अच्छी तरह से शामिल न हो जाए। आँच बंद कर दें, चांदी के मेवे, सूखे गुलाब की पंखुड़ियों से गार्न"&amp;"िश करें और फूल मखाना खीर रेसिपी (गुड़ से मीठी) परोसने के लिए तैयार है। इस दिवाली उत्सव मेनू के एक हिस्से के रूप में फूल मखाना खीर रेसिपी परोसें और अपने मेहमानों को उत्सव की भावना में आनंदित होने दें। आप इसे पनीर बटर मसाला, कचुम्बर सलाद और तवा पराठा के अपन"&amp;"े रोज़ाना के भोजन के बाद मिठाई के रूप में भी परोस सकते हैं।")</f>
        <v>फूल मखाना खीर रेसिपी बनाने के लिए सबसे पहले हम मखानों को भून लेंगे। एक भारी तले की कड़ाही में घी गर्म करें, उसमें मखाने डालें और इसे सुनहरा और कुरकुरा होने तक धीमी आंच पर भूनें। इसे एक तरफ रख दें। अब, इस भुने हुए मखानों में से एक मुट्ठी बचा लें और बाकी को ओखली और मूसल का उपयोग करके मोटा-मोटा पीस लें। एक भारी तले की कड़ाही में दूध डालें और मध्यम आंच पर उबाल लें। दूध को 10 मिनट तक उबालें, जब तक कि यह थोड़ा गाढ़ा न हो जाए। अब, पीसे हुए और साबुत भुने हुए मखाने डालें और अच्छी तरह मिलाएँ। इस मिश्रण को 5 मिनट तक उबालें, जब तक यह मलाईदार और नरम न हो जाए। 5 मिनट के बाद, पीसा हुआ गुड़, इलायची पाउडर डालें, अच्छी तरह मिलाएँ और तब तक उबालें जब तक कि गुड़ पिघल न जाए और खीर में अच्छी तरह से शामिल न हो जाए। आँच बंद कर दें, चांदी के मेवे, सूखे गुलाब की पंखुड़ियों से गार्निश करें और फूल मखाना खीर रेसिपी (गुड़ से मीठी) परोसने के लिए तैयार है। इस दिवाली उत्सव मेनू के एक हिस्से के रूप में फूल मखाना खीर रेसिपी परोसें और अपने मेहमानों को उत्सव की भावना में आनंदित होने दें। आप इसे पनीर बटर मसाला, कचुम्बर सलाद और तवा पराठा के अपने रोज़ाना के भोजन के बाद मिठाई के रूप में भी परोस सकते हैं।</v>
      </c>
      <c r="J462" s="3" t="s">
        <v>32842</v>
      </c>
      <c r="L462" s="1" t="s">
        <v>31003</v>
      </c>
    </row>
    <row r="463" spans="1:12" ht="13.8">
      <c r="A463" s="1" t="s">
        <v>32843</v>
      </c>
      <c r="B463" s="1" t="str">
        <f ca="1">IFERROR(__xludf.dummyfunction("IF(A463="""", """", GOOGLETRANSLATE(A463, ""en"", ""hi""))"),"पत्तागोभी चना दाल सब्ज़ी - गोभी चना दाल रेसिपी")</f>
        <v>पत्तागोभी चना दाल सब्ज़ी - गोभी चना दाल रेसिपी</v>
      </c>
      <c r="C463" s="1" t="s">
        <v>14207</v>
      </c>
      <c r="D463" s="1" t="s">
        <v>14338</v>
      </c>
      <c r="E463" s="1">
        <v>54</v>
      </c>
      <c r="F463" s="1" t="s">
        <v>32844</v>
      </c>
      <c r="G463" s="1" t="str">
        <f ca="1">IFERROR(__xludf.dummyfunction("IF(F463="""", """", GOOGLETRANSLATE(F463, ""en"", ""hi""))"),"3 कप पत्ता गोभी - कटी हुई, 2 हरी मिर्च - कटी हुई, 1/2 कप चना दाल (बंगाल चना दाल) - धोकर भिगोई हुई, 2 टहनी करी पत्ता, 1 चम्मच सूरजमुखी तेल, 1/2 चम्मच जीरा, 1/2 चम्मच सरसों के बीज, 1/4 चम्मच हींग, 1 चम्मच हल्दी पाउडर (हल्दी), नमक - स्वादानुसार, 1 चम्मच कश्म"&amp;"ीरी लाल मिर्च पाउडर, 1 चम्मच जीरा पाउडर, 1 चम्मच गरम मसाला पाउडर")</f>
        <v>3 कप पत्ता गोभी - कटी हुई, 2 हरी मिर्च - कटी हुई, 1/2 कप चना दाल (बंगाल चना दाल) - धोकर भिगोई हुई, 2 टहनी करी पत्ता, 1 चम्मच सूरजमुखी तेल, 1/2 चम्मच जीरा, 1/2 चम्मच सरसों के बीज, 1/4 चम्मच हींग, 1 चम्मच हल्दी पाउडर (हल्दी), नमक - स्वादानुसार, 1 चम्मच कश्मीरी लाल मिर्च पाउडर, 1 चम्मच जीरा पाउडर, 1 चम्मच गरम मसाला पाउडर</v>
      </c>
      <c r="H463" s="1" t="s">
        <v>32845</v>
      </c>
      <c r="I463" s="1" t="str">
        <f ca="1">IFERROR(__xludf.dummyfunction("IF(H463="""", """", GOOGLETRANSLATE(H463, ""en"", ""hi""))"),"गोभी चना दाल की सब्जी बनाने के लिए, हमें चना दाल को धोकर लगभग एक घंटे के लिए गर्म पानी में भिगोना होगा। मध्यम आंच पर एक कड़ाही में तेल गर्म करें, इस गर्म तेल में जीरा और राई डालें और उन्हें तड़कने दें। इसके बाद करी पत्ता, हींग और भिगोई और निथारी हुई चना द"&amp;"ाल डालें। चना दाल के ऊपर थोड़ा पानी डालें, ढककर तब तक पकाएं जब तक चना दाल अच्छी तरह से पक न जाए। इसमें लगभग 15 मिनट का समय लगेगा। चना दाल पक जाने के बाद, ढक्कन खोलें, हल्दी पाउडर, कश्मीरी लाल मिर्च पाउडर, जीरा पाउडर और गरम मसाला पाउडर डालें। इसे अच्छी तरह"&amp;" मिलाएँ, कटी हुई हरी मिर्च और कसा हुआ गोभी डालें, ढककर पकाएँ। लगभग 5 मिनट के बाद, जाँचें कि गोभी पक गई है नमक और अन्य मसालों की जांच करें और स्वाद के अनुसार समायोजित करें। एक बार हो जाने पर, गोभी चना दाल सब्ज़ी को एक सर्विंग बाउल में डालें और गरमागरम परोस"&amp;"ें। गोभी चना दाल सब्ज़ी को बाजरे की रोटी रेसिपी, पीले कद्दू दाल रेसिपी, उबले हुए ब्राउन राइस के साथ एक पौष्टिक भारतीय मधुमेह दोपहर के भोजन या रात के खाने के लिए परोसें।")</f>
        <v>गोभी चना दाल की सब्जी बनाने के लिए, हमें चना दाल को धोकर लगभग एक घंटे के लिए गर्म पानी में भिगोना होगा। मध्यम आंच पर एक कड़ाही में तेल गर्म करें, इस गर्म तेल में जीरा और राई डालें और उन्हें तड़कने दें। इसके बाद करी पत्ता, हींग और भिगोई और निथारी हुई चना दाल डालें। चना दाल के ऊपर थोड़ा पानी डालें, ढककर तब तक पकाएं जब तक चना दाल अच्छी तरह से पक न जाए। इसमें लगभग 15 मिनट का समय लगेगा। चना दाल पक जाने के बाद, ढक्कन खोलें, हल्दी पाउडर, कश्मीरी लाल मिर्च पाउडर, जीरा पाउडर और गरम मसाला पाउडर डालें। इसे अच्छी तरह मिलाएँ, कटी हुई हरी मिर्च और कसा हुआ गोभी डालें, ढककर पकाएँ। लगभग 5 मिनट के बाद, जाँचें कि गोभी पक गई है नमक और अन्य मसालों की जांच करें और स्वाद के अनुसार समायोजित करें। एक बार हो जाने पर, गोभी चना दाल सब्ज़ी को एक सर्विंग बाउल में डालें और गरमागरम परोसें। गोभी चना दाल सब्ज़ी को बाजरे की रोटी रेसिपी, पीले कद्दू दाल रेसिपी, उबले हुए ब्राउन राइस के साथ एक पौष्टिक भारतीय मधुमेह दोपहर के भोजन या रात के खाने के लिए परोसें।</v>
      </c>
      <c r="J463" s="3" t="s">
        <v>32846</v>
      </c>
      <c r="L463" s="1" t="s">
        <v>31003</v>
      </c>
    </row>
    <row r="464" spans="1:12" ht="13.8">
      <c r="A464" s="1" t="s">
        <v>32847</v>
      </c>
      <c r="B464" s="1" t="str">
        <f ca="1">IFERROR(__xludf.dummyfunction("IF(A464="""", """", GOOGLETRANSLATE(A464, ""en"", ""hi""))"),"पनीर जलफ्रेजी रेसिपी")</f>
        <v>पनीर जलफ्रेजी रेसिपी</v>
      </c>
      <c r="C464" s="1" t="s">
        <v>14207</v>
      </c>
      <c r="D464" s="1" t="s">
        <v>14198</v>
      </c>
      <c r="E464" s="1">
        <v>60</v>
      </c>
      <c r="F464" s="1" t="s">
        <v>32848</v>
      </c>
      <c r="G464" s="1" t="str">
        <f ca="1">IFERROR(__xludf.dummyfunction("IF(F464="""", """", GOOGLETRANSLATE(F464, ""en"", ""hi""))"),"250 ग्राम पनीर, 1 प्याज - कटा हुआ, 1 लाल शिमला मिर्च - कटा हुआ, 1 हरी शिमला मिर्च - कटा हुआ, 2 गाजर - पतले टुकड़ों में कटी हुई, 1 इंच अदरक - कसा हुआ, 2 लहसुन के दाने - कसा हुआ, 1 टमाटर - कटा हुआ, 1 कप घर का बना टमाटर प्यूरी, 1 चम्मच शहद, 1/2 चम्मच हल्दी प"&amp;"ाउडर (हल्दी), 1 चम्मच गरम मसाला पाउडर, 1 चम्मच धनिया पाउडर (धनिया), 1 डंठल धनिया (धनिया) के पत्ते - बारीक कटा हुआ, 1 बड़ा चम्मच मक्खन - नरम")</f>
        <v>250 ग्राम पनीर, 1 प्याज - कटा हुआ, 1 लाल शिमला मिर्च - कटा हुआ, 1 हरी शिमला मिर्च - कटा हुआ, 2 गाजर - पतले टुकड़ों में कटी हुई, 1 इंच अदरक - कसा हुआ, 2 लहसुन के दाने - कसा हुआ, 1 टमाटर - कटा हुआ, 1 कप घर का बना टमाटर प्यूरी, 1 चम्मच शहद, 1/2 चम्मच हल्दी पाउडर (हल्दी), 1 चम्मच गरम मसाला पाउडर, 1 चम्मच धनिया पाउडर (धनिया), 1 डंठल धनिया (धनिया) के पत्ते - बारीक कटा हुआ, 1 बड़ा चम्मच मक्खन - नरम</v>
      </c>
      <c r="H464" s="1" t="s">
        <v>32849</v>
      </c>
      <c r="I464" s="1" t="str">
        <f ca="1">IFERROR(__xludf.dummyfunction("IF(H464="""", """", GOOGLETRANSLATE(H464, ""en"", ""hi""))"),"पनीर जल्फ्रेजी रेसिपी बनाने के लिए सबसे पहले पनीर, टमाटर प्यूरी और बची हुई सब्जियों को काट कर तैयार कर लें। एक बर्तन में तेल गर्म करें। जब यह गर्म हो जाए तो इसमें जीरा डालें और इन्हें चटकने दें। इसमें कटे हुए प्याज डालें और 5 मिनट तक भूनें। एक भारी तले की"&amp;" कड़ाही या कढ़ाई में तेल गर्म करें, एक चम्मच तेल गर्म करें। इसमें प्याज, अदरक, लहसुन, शिमला मिर्च और गाजर डालें और मध्यम आंच पर इनके नरम होने तक भूनें। इसके बाद इसमें टमाटर, टमाटर प्यूरी, हल्दी पाउडर, गरम मसाला पाउडर, धनिया पाउडर, नमक, लाल मिर्च पाउडर डाल"&amp;"ें। पनीर जल्फ्रेजी को 4 से 5 मिनट तक भूनें, जब तक कि आपको यह न लगे कि एक गाढ़ी ग्रेवी बन गई है और सभी मसाले सब्जियों में अच्छी तरह से समा गए हैं। जलफ्रेजी को 3 से 4 मिनट तक धीमी आंच पर पकने दें और आंच बंद कर दें। इसे एक सर्विंग बाउल में डालें और पनीर जलफ्"&amp;"रेजी को रायते के साथ रात के खाने में परोसें।")</f>
        <v>पनीर जल्फ्रेजी रेसिपी बनाने के लिए सबसे पहले पनीर, टमाटर प्यूरी और बची हुई सब्जियों को काट कर तैयार कर लें। एक बर्तन में तेल गर्म करें। जब यह गर्म हो जाए तो इसमें जीरा डालें और इन्हें चटकने दें। इसमें कटे हुए प्याज डालें और 5 मिनट तक भूनें। एक भारी तले की कड़ाही या कढ़ाई में तेल गर्म करें, एक चम्मच तेल गर्म करें। इसमें प्याज, अदरक, लहसुन, शिमला मिर्च और गाजर डालें और मध्यम आंच पर इनके नरम होने तक भूनें। इसके बाद इसमें टमाटर, टमाटर प्यूरी, हल्दी पाउडर, गरम मसाला पाउडर, धनिया पाउडर, नमक, लाल मिर्च पाउडर डालें। पनीर जल्फ्रेजी को 4 से 5 मिनट तक भूनें, जब तक कि आपको यह न लगे कि एक गाढ़ी ग्रेवी बन गई है और सभी मसाले सब्जियों में अच्छी तरह से समा गए हैं। जलफ्रेजी को 3 से 4 मिनट तक धीमी आंच पर पकने दें और आंच बंद कर दें। इसे एक सर्विंग बाउल में डालें और पनीर जलफ्रेजी को रायते के साथ रात के खाने में परोसें।</v>
      </c>
      <c r="J464" s="3" t="s">
        <v>32850</v>
      </c>
      <c r="L464" s="1" t="s">
        <v>31003</v>
      </c>
    </row>
    <row r="465" spans="1:12" ht="13.8">
      <c r="A465" s="1" t="s">
        <v>32851</v>
      </c>
      <c r="B465" s="1" t="str">
        <f ca="1">IFERROR(__xludf.dummyfunction("IF(A465="""", """", GOOGLETRANSLATE(A465, ""en"", ""hi""))"),"सोया और पालक करी रेसिपी")</f>
        <v>सोया और पालक करी रेसिपी</v>
      </c>
      <c r="C465" s="1" t="s">
        <v>14207</v>
      </c>
      <c r="D465" s="1" t="s">
        <v>14237</v>
      </c>
      <c r="E465" s="1">
        <v>50</v>
      </c>
      <c r="F465" s="1" t="s">
        <v>32852</v>
      </c>
      <c r="G465" s="1" t="str">
        <f ca="1">IFERROR(__xludf.dummyfunction("IF(F465="""", """", GOOGLETRANSLATE(F465, ""en"", ""hi""))"),"2 डंठल पालक के पत्ते (पालक) - मोटे तौर पर कटा हुआ, 100 ग्राम सोया चंक्स (नगेट्स), 1 कप टमाटर - कटा हुआ, 1/2 कप प्याज - कटा हुआ, 2 लहसुन के दाने - बारीक कटा हुआ, 1 इंच अदरक - बारीक कटा हुआ, 1-2 हरी मिर्च - लंबाई में कटी हुई, 1 बड़ा चम्मच बाजरे का आटा (पर्ल"&amp;" मिलिट), 1 बड़ा चम्मच दही (दही) - फेंटा हुआ, नमक - स्वादानुसार, 2 लहसुन - पतले कटे हुए, 3 सूखी लाल मिर्च, 1 बड़ा चम्मच सूरजमुखी का तेल")</f>
        <v>2 डंठल पालक के पत्ते (पालक) - मोटे तौर पर कटा हुआ, 100 ग्राम सोया चंक्स (नगेट्स), 1 कप टमाटर - कटा हुआ, 1/2 कप प्याज - कटा हुआ, 2 लहसुन के दाने - बारीक कटा हुआ, 1 इंच अदरक - बारीक कटा हुआ, 1-2 हरी मिर्च - लंबाई में कटी हुई, 1 बड़ा चम्मच बाजरे का आटा (पर्ल मिलिट), 1 बड़ा चम्मच दही (दही) - फेंटा हुआ, नमक - स्वादानुसार, 2 लहसुन - पतले कटे हुए, 3 सूखी लाल मिर्च, 1 बड़ा चम्मच सूरजमुखी का तेल</v>
      </c>
      <c r="H465" s="1" t="s">
        <v>32853</v>
      </c>
      <c r="I465" s="1" t="str">
        <f ca="1">IFERROR(__xludf.dummyfunction("IF(H465="""", """", GOOGLETRANSLATE(H465, ""en"", ""hi""))"),"सोया पालक करी रेसिपी बनाने के लिए सबसे पहले एक सॉस पैन में पानी गर्म करें। इसमें थोड़ा नमक और सोया डालें। सोया को उबालें और नरम होने तक पकाएं। सोया से पानी अच्छी तरह से निकाल लें और पानी और सोया दोनों को अलग रख लें। अब एक पैन में तेल गर्म करें। इसमें प्या"&amp;"ज, अदरक, लहसुन, हरी मिर्च डालें और प्याज के नरम होने तक पकाएं। प्याज के नरम होने के बाद इसमें टमाटर, नमक, काली मिर्च, पालक डालें। पैन को ढक दें और पालक और टमाटर के नरम होने तक पकाएं। गैस बंद कर दें और इस मिश्रण को ठंडा होने दें। ठंडा होने के बाद इस मिश्रण"&amp;" को बाजरे के आटे के साथ मिक्सर ग्राइंडर में डालें और पीस लें। अब एक पैन में तेल गर्म करें। इसमें पिसी हुई पालक प्यूरी और सोया डालें। नमक, 1/2 कप सोया पानी और 1 बड़ा चम्मच दही डालें। मिक्स करें और 5 से 7 मिनट तक पकने दें। पकने के बाद इसे एक बाउल में निकाल "&amp;"लें। अब तड़के के लिए एक तड़का पैन में 1 बड़ा चम्मच तेल गर्म करें। इसमें लहसुन डालें और भूरा होने तक पकाएं। भूरा होने के बाद इसमें सूखी लाल मिर्च डालें और 10 सेकंड तक पकाएं। गैस बंद कर दें गैस बंद करें और इस तड़के को ग्रेवी में डालें और मिलाएँ। गरमागरम परो"&amp;"सें। सोया पालक करी को तवा पराठा, बूंदी रायता और सात्विक गाजर स्प्राउट्स सलाद के साथ लंच में परोसें।")</f>
        <v>सोया पालक करी रेसिपी बनाने के लिए सबसे पहले एक सॉस पैन में पानी गर्म करें। इसमें थोड़ा नमक और सोया डालें। सोया को उबालें और नरम होने तक पकाएं। सोया से पानी अच्छी तरह से निकाल लें और पानी और सोया दोनों को अलग रख लें। अब एक पैन में तेल गर्म करें। इसमें प्याज, अदरक, लहसुन, हरी मिर्च डालें और प्याज के नरम होने तक पकाएं। प्याज के नरम होने के बाद इसमें टमाटर, नमक, काली मिर्च, पालक डालें। पैन को ढक दें और पालक और टमाटर के नरम होने तक पकाएं। गैस बंद कर दें और इस मिश्रण को ठंडा होने दें। ठंडा होने के बाद इस मिश्रण को बाजरे के आटे के साथ मिक्सर ग्राइंडर में डालें और पीस लें। अब एक पैन में तेल गर्म करें। इसमें पिसी हुई पालक प्यूरी और सोया डालें। नमक, 1/2 कप सोया पानी और 1 बड़ा चम्मच दही डालें। मिक्स करें और 5 से 7 मिनट तक पकने दें। पकने के बाद इसे एक बाउल में निकाल लें। अब तड़के के लिए एक तड़का पैन में 1 बड़ा चम्मच तेल गर्म करें। इसमें लहसुन डालें और भूरा होने तक पकाएं। भूरा होने के बाद इसमें सूखी लाल मिर्च डालें और 10 सेकंड तक पकाएं। गैस बंद कर दें गैस बंद करें और इस तड़के को ग्रेवी में डालें और मिलाएँ। गरमागरम परोसें। सोया पालक करी को तवा पराठा, बूंदी रायता और सात्विक गाजर स्प्राउट्स सलाद के साथ लंच में परोसें।</v>
      </c>
      <c r="J465" s="3" t="s">
        <v>32854</v>
      </c>
      <c r="L465" s="1" t="s">
        <v>31003</v>
      </c>
    </row>
    <row r="466" spans="1:12" ht="13.8">
      <c r="A466" s="1" t="s">
        <v>32855</v>
      </c>
      <c r="B466" s="1" t="str">
        <f ca="1">IFERROR(__xludf.dummyfunction("IF(A466="""", """", GOOGLETRANSLATE(A466, ""en"", ""hi""))"),"पंजाबी गरम मसाला पाउडर रेसिपी")</f>
        <v>पंजाबी गरम मसाला पाउडर रेसिपी</v>
      </c>
      <c r="C466" s="1" t="s">
        <v>14198</v>
      </c>
      <c r="D466" s="1" t="s">
        <v>14198</v>
      </c>
      <c r="E466" s="1">
        <v>30</v>
      </c>
      <c r="F466" s="1" t="s">
        <v>32856</v>
      </c>
      <c r="G466" s="1" t="str">
        <f ca="1">IFERROR(__xludf.dummyfunction("IF(F466="""", """", GOOGLETRANSLATE(F466, ""en"", ""hi""))"),"50 ग्राम जीरा, 50 ग्राम इलायची, 30 ग्राम धनिया, 30 ग्राम साबुत काली मिर्च, 20 ग्राम सौंफ, 10 ग्राम दालचीनी, 10 ग्राम लौंग, 10 ग्राम तेज पत्ता, 10 ग्राम सूखा अदरक पाउडर, 2 जायफल - साबुत जायफल")</f>
        <v>50 ग्राम जीरा, 50 ग्राम इलायची, 30 ग्राम धनिया, 30 ग्राम साबुत काली मिर्च, 20 ग्राम सौंफ, 10 ग्राम दालचीनी, 10 ग्राम लौंग, 10 ग्राम तेज पत्ता, 10 ग्राम सूखा अदरक पाउडर, 2 जायफल - साबुत जायफल</v>
      </c>
      <c r="H466" s="1" t="s">
        <v>32857</v>
      </c>
      <c r="I466" s="1" t="str">
        <f ca="1">IFERROR(__xludf.dummyfunction("IF(H466="""", """", GOOGLETRANSLATE(H466, ""en"", ""hi""))"),"पंजाबी गरम मसाला पाउडर रेसिपी बनाने के लिए सबसे पहले हम सभी सामग्री को एक साथ मिलाकर तैयार कर लेंगे। एक कड़ाही को मध्यम आंच पर गर्म करें और अदरक पाउडर को छोड़कर सभी सामग्री को एक साथ धीमी से मध्यम आंच पर तब तक भूनें जब तक आपको खुशबू आने न लगे। ध्यान रहे क"&amp;"ि आप लगातार चलाते रहें, ताकि मसाले जल न जाएं। जब मसाले अच्छे से भुन जाएं (लगभग 4 से 5 मिनट), आंच बंद कर दें और इसे ठंडा होने दें। जब मसाले ठंडे हो जाएं, तो फूड ग्राइंडर का इस्तेमाल करके मसालों का बारीक पाउडर बना लें। पंजाबी गरम मसाला पाउडर अब तैयार है। गर"&amp;"म मसाले को एक एयरटाइट कांच के जार में भरकर रख दें और जब भी जरूरत हो इस्तेमाल करें। लंबे समय तक रखने के लिए, आप बोतल को फ्रीज कर सकते हैं और अपनी इच्छानुसार इस्तेमाल कर सकते हैं।")</f>
        <v>पंजाबी गरम मसाला पाउडर रेसिपी बनाने के लिए सबसे पहले हम सभी सामग्री को एक साथ मिलाकर तैयार कर लेंगे। एक कड़ाही को मध्यम आंच पर गर्म करें और अदरक पाउडर को छोड़कर सभी सामग्री को एक साथ धीमी से मध्यम आंच पर तब तक भूनें जब तक आपको खुशबू आने न लगे। ध्यान रहे कि आप लगातार चलाते रहें, ताकि मसाले जल न जाएं। जब मसाले अच्छे से भुन जाएं (लगभग 4 से 5 मिनट), आंच बंद कर दें और इसे ठंडा होने दें। जब मसाले ठंडे हो जाएं, तो फूड ग्राइंडर का इस्तेमाल करके मसालों का बारीक पाउडर बना लें। पंजाबी गरम मसाला पाउडर अब तैयार है। गरम मसाले को एक एयरटाइट कांच के जार में भरकर रख दें और जब भी जरूरत हो इस्तेमाल करें। लंबे समय तक रखने के लिए, आप बोतल को फ्रीज कर सकते हैं और अपनी इच्छानुसार इस्तेमाल कर सकते हैं।</v>
      </c>
      <c r="J466" s="3" t="s">
        <v>32858</v>
      </c>
      <c r="L466" s="1" t="s">
        <v>31003</v>
      </c>
    </row>
    <row r="467" spans="1:12" ht="13.8">
      <c r="A467" s="1" t="s">
        <v>32859</v>
      </c>
      <c r="B467" s="1" t="str">
        <f ca="1">IFERROR(__xludf.dummyfunction("IF(A467="""", """", GOOGLETRANSLATE(A467, ""en"", ""hi""))"),"आलू भजिया रेसिपी - आलू बज्जी")</f>
        <v>आलू भजिया रेसिपी - आलू बज्जी</v>
      </c>
      <c r="C467" s="1" t="s">
        <v>14281</v>
      </c>
      <c r="D467" s="1" t="s">
        <v>14198</v>
      </c>
      <c r="E467" s="1">
        <v>30</v>
      </c>
      <c r="F467" s="1" t="s">
        <v>32860</v>
      </c>
      <c r="G467" s="1" t="str">
        <f ca="1">IFERROR(__xludf.dummyfunction("IF(F467="""", """", GOOGLETRANSLATE(F467, ""en"", ""hi""))"),"4 आलू, 1/2 कप बेसन, 2 बड़े चम्मच मैदा, 2 छोटे चम्मच लाल मिर्च पाउडर, 1/2 छोटा चम्मच अजवाइन, नमक - स्वादानुसार, सूरजमुखी तेल - आवश्यकतानुसार")</f>
        <v>4 आलू, 1/2 कप बेसन, 2 बड़े चम्मच मैदा, 2 छोटे चम्मच लाल मिर्च पाउडर, 1/2 छोटा चम्मच अजवाइन, नमक - स्वादानुसार, सूरजमुखी तेल - आवश्यकतानुसार</v>
      </c>
      <c r="H467" s="1" t="s">
        <v>32861</v>
      </c>
      <c r="I467" s="1" t="str">
        <f ca="1">IFERROR(__xludf.dummyfunction("IF(H467="""", """", GOOGLETRANSLATE(H467, ""en"", ""hi""))"),"आलू बाजिया बनाने के लिए सबसे पहले आलू को धोकर छील लें। उन्हें पतले-पतले टुकड़ों में काट लें और उन्हें पानी के एक कटोरे में तब तक डुबोकर रखें जब तक कि आप बाजिया के लिए घोल तैयार न कर लें। मध्यम आंच पर एक कढ़ाई में तेल गर्म करें। बाजिया का घोल बनाने के लिए "&amp;"एक मिक्सिंग बाउल में बेसन, मैदा, लाल मिर्च पाउडर, अजवाइन और नमक को 1/3 कप पानी के साथ मिलाएँ। अच्छी तरह से मिलाकर चिकना घोल बना लें। इसमें एक बड़ा चम्मच गर्म तेल डालें और अच्छी तरह मिलाएँ। यह कदम सुनिश्चित करेगा कि बाजिया कुरकुरे हों। बैटर में आलू के कुछ "&amp;"स्लाइस डालें और सुनिश्चित करें कि आलू बैटर से ढके हुए हों। एक बार जब तेल गर्म हो जाए, तो बैटर से प्रत्येक आलू के स्लाइस को उठाएँ, अतिरिक्त बैटर हटाएँ और उन्हें ध्यान से तेल में डालें। उन्हें दोनों तरफ से सुनहरा होने तक तलें। उन्हें पानी से निकालें और अतिर"&amp;"िक्त तेल निकालने के लिए उन्हें किचन टॉवल पर रखें। तले हुए बाजिया को एक सर्विंग प्लेट में डालें और परोसें। आलू बाजिया को हरी चटनी और मसाला चाय के साथ चाय के समय नाश्ते के रूप में परोसें।")</f>
        <v>आलू बाजिया बनाने के लिए सबसे पहले आलू को धोकर छील लें। उन्हें पतले-पतले टुकड़ों में काट लें और उन्हें पानी के एक कटोरे में तब तक डुबोकर रखें जब तक कि आप बाजिया के लिए घोल तैयार न कर लें। मध्यम आंच पर एक कढ़ाई में तेल गर्म करें। बाजिया का घोल बनाने के लिए एक मिक्सिंग बाउल में बेसन, मैदा, लाल मिर्च पाउडर, अजवाइन और नमक को 1/3 कप पानी के साथ मिलाएँ। अच्छी तरह से मिलाकर चिकना घोल बना लें। इसमें एक बड़ा चम्मच गर्म तेल डालें और अच्छी तरह मिलाएँ। यह कदम सुनिश्चित करेगा कि बाजिया कुरकुरे हों। बैटर में आलू के कुछ स्लाइस डालें और सुनिश्चित करें कि आलू बैटर से ढके हुए हों। एक बार जब तेल गर्म हो जाए, तो बैटर से प्रत्येक आलू के स्लाइस को उठाएँ, अतिरिक्त बैटर हटाएँ और उन्हें ध्यान से तेल में डालें। उन्हें दोनों तरफ से सुनहरा होने तक तलें। उन्हें पानी से निकालें और अतिरिक्त तेल निकालने के लिए उन्हें किचन टॉवल पर रखें। तले हुए बाजिया को एक सर्विंग प्लेट में डालें और परोसें। आलू बाजिया को हरी चटनी और मसाला चाय के साथ चाय के समय नाश्ते के रूप में परोसें।</v>
      </c>
      <c r="J467" s="3" t="s">
        <v>32862</v>
      </c>
      <c r="L467" s="1" t="s">
        <v>31003</v>
      </c>
    </row>
    <row r="468" spans="1:12" ht="13.8">
      <c r="A468" s="1" t="s">
        <v>32863</v>
      </c>
      <c r="B468" s="1" t="str">
        <f ca="1">IFERROR(__xludf.dummyfunction("IF(A468="""", """", GOOGLETRANSLATE(A468, ""en"", ""hi""))"),"मसालेदार कीमा चिकन कीमा बॉल्स करी रेसिपी")</f>
        <v>मसालेदार कीमा चिकन कीमा बॉल्स करी रेसिपी</v>
      </c>
      <c r="C468" s="1" t="s">
        <v>429</v>
      </c>
      <c r="D468" s="1" t="s">
        <v>14382</v>
      </c>
      <c r="E468" s="1">
        <v>30</v>
      </c>
      <c r="F468" s="1" t="s">
        <v>32864</v>
      </c>
      <c r="G468" s="1" t="str">
        <f ca="1">IFERROR(__xludf.dummyfunction("IF(F468="""", """", GOOGLETRANSLATE(F468, ""en"", ""hi""))"),"250 ग्राम चिकन - हड्डी रहित और बारीक कटा हुआ (साफ और धोया हुआ), 1 प्याज - कटा हुआ, 1 चम्मच अदरक लहसुन का पेस्ट, 5 धनिया पत्ते, 6 काजू, 3 हरी मिर्च, 1 पूरा अंडा, नमक - आवश्यकतानुसार, 1 बड़ा चम्मच सूरजमुखी तेल, 2 प्याज - बारीक कटे हुए, 1 टमाटर - बारीक कटा ह"&amp;"ुआ, 5 पुदीना पत्ते (कटे हुए), 1 चम्मच हल्दी पाउडर (हल्दी), 1 चम्मच अदरक लहसुन का पेस्ट, 1 चम्मच लाल मिर्च पाउडर - (अपनी पसंद के अनुसार समायोजित करें), 1 चम्मच गरम मसाला पाउडर, 1/4 चम्मच काली मिर्च पाउडर, नमक - आवश्यकतानुसार, 1 चम्मच नींबू का रस, 5 टहनी धन"&amp;"िया (धनिया) पत्ते - गार्निश के लिए बारीक कटे")</f>
        <v>250 ग्राम चिकन - हड्डी रहित और बारीक कटा हुआ (साफ और धोया हुआ), 1 प्याज - कटा हुआ, 1 चम्मच अदरक लहसुन का पेस्ट, 5 धनिया पत्ते, 6 काजू, 3 हरी मिर्च, 1 पूरा अंडा, नमक - आवश्यकतानुसार, 1 बड़ा चम्मच सूरजमुखी तेल, 2 प्याज - बारीक कटे हुए, 1 टमाटर - बारीक कटा हुआ, 5 पुदीना पत्ते (कटे हुए), 1 चम्मच हल्दी पाउडर (हल्दी), 1 चम्मच अदरक लहसुन का पेस्ट, 1 चम्मच लाल मिर्च पाउडर - (अपनी पसंद के अनुसार समायोजित करें), 1 चम्मच गरम मसाला पाउडर, 1/4 चम्मच काली मिर्च पाउडर, नमक - आवश्यकतानुसार, 1 चम्मच नींबू का रस, 5 टहनी धनिया (धनिया) पत्ते - गार्निश के लिए बारीक कटे</v>
      </c>
      <c r="H468" s="1" t="s">
        <v>32865</v>
      </c>
      <c r="I468" s="1" t="str">
        <f ca="1">IFERROR(__xludf.dummyfunction("IF(H468="""", """", GOOGLETRANSLATE(H468, ""en"", ""hi""))"),"कीमा बॉल्स रेसिपी बनाने के लिए सबसे पहले हम कीमा बॉल्स बनाएंगे। कीमा बॉल्स बनाने के लिए एक मिक्सर जार में बोनलेस चिकन के टुकड़ों के साथ ताजा धनिया पत्ती, हरी मिर्च, अदरक लहसुन का पेस्ट, काजू, अंडे की जर्दी और नमक डालकर मिक्सी में चिकना पेस्ट बना लें। कीमा"&amp;" मिश्रण को एक कटोरे में डालें और कीमा को नींबू के आकार के बॉल्स का आकार दें। एक कढ़ाई में तेल गर्म करें, मध्यम आंच पर कीमा बॉल्स को गरम तेल में तब तक तलें जब तक कि उनका रंग अच्छा भूरा न हो जाए। अब्सॉर्बेंट पेपर पर निकाल कर अलग रख दें। मसाले के लिए एक पैन "&amp;"में मध्यम आंच पर तेल गर्म करें, उसमें प्याज डालें और सुनहरा भूरा होने तक भूनें। इसमें 4-5 मिनट का समय लगेगा। जब प्याज भूरा हो जाए तो उसमें अदरक लहसुन का पेस्ट डालें और कच्ची महक जाने तक भूनें। अब जब प्याज़ और मसाला एक साथ मिल गए हैं, तो कटे हुए टमाटर डाले"&amp;"ं और उन्हें नरम होने तक पकाएँ। तैयार कीमा बॉल्स डालें, थोड़ा पानी छिड़कें और ढककर 5 मिनट तक पकाएँ। आंच बंद कर दें, गार्निश के लिए नींबू का रस और कटा हरा धनिया डालें। आपके पास कीमा बॉल्स रेसिपी के लिए एक सेमी-ग्रेवी होगी। कीमा बॉल्स रेसिपी को फुल्के या पूर"&amp;"े गेहूं के लच्छा पराठे के साथ रात के खाने के लिए परोसें।")</f>
        <v>कीमा बॉल्स रेसिपी बनाने के लिए सबसे पहले हम कीमा बॉल्स बनाएंगे। कीमा बॉल्स बनाने के लिए एक मिक्सर जार में बोनलेस चिकन के टुकड़ों के साथ ताजा धनिया पत्ती, हरी मिर्च, अदरक लहसुन का पेस्ट, काजू, अंडे की जर्दी और नमक डालकर मिक्सी में चिकना पेस्ट बना लें। कीमा मिश्रण को एक कटोरे में डालें और कीमा को नींबू के आकार के बॉल्स का आकार दें। एक कढ़ाई में तेल गर्म करें, मध्यम आंच पर कीमा बॉल्स को गरम तेल में तब तक तलें जब तक कि उनका रंग अच्छा भूरा न हो जाए। अब्सॉर्बेंट पेपर पर निकाल कर अलग रख दें। मसाले के लिए एक पैन में मध्यम आंच पर तेल गर्म करें, उसमें प्याज डालें और सुनहरा भूरा होने तक भूनें। इसमें 4-5 मिनट का समय लगेगा। जब प्याज भूरा हो जाए तो उसमें अदरक लहसुन का पेस्ट डालें और कच्ची महक जाने तक भूनें। अब जब प्याज़ और मसाला एक साथ मिल गए हैं, तो कटे हुए टमाटर डालें और उन्हें नरम होने तक पकाएँ। तैयार कीमा बॉल्स डालें, थोड़ा पानी छिड़कें और ढककर 5 मिनट तक पकाएँ। आंच बंद कर दें, गार्निश के लिए नींबू का रस और कटा हरा धनिया डालें। आपके पास कीमा बॉल्स रेसिपी के लिए एक सेमी-ग्रेवी होगी। कीमा बॉल्स रेसिपी को फुल्के या पूरे गेहूं के लच्छा पराठे के साथ रात के खाने के लिए परोसें।</v>
      </c>
      <c r="J468" s="3" t="s">
        <v>32866</v>
      </c>
      <c r="L468" s="1" t="s">
        <v>31003</v>
      </c>
    </row>
    <row r="469" spans="1:12" ht="13.8">
      <c r="A469" s="1" t="s">
        <v>32867</v>
      </c>
      <c r="B469" s="1" t="str">
        <f ca="1">IFERROR(__xludf.dummyfunction("IF(A469="""", """", GOOGLETRANSLATE(A469, ""en"", ""hi""))"),"केसर पनीर की खीर रेसिपी - कॉटेज चीज़ मिल्क पुडिंग")</f>
        <v>केसर पनीर की खीर रेसिपी - कॉटेज चीज़ मिल्क पुडिंग</v>
      </c>
      <c r="C469" s="1" t="s">
        <v>8417</v>
      </c>
      <c r="D469" s="1" t="s">
        <v>14198</v>
      </c>
      <c r="E469" s="1">
        <v>60</v>
      </c>
      <c r="F469" s="1" t="s">
        <v>32868</v>
      </c>
      <c r="G469" s="1" t="str">
        <f ca="1">IFERROR(__xludf.dummyfunction("IF(F469="""", """", GOOGLETRANSLATE(F469, ""en"", ""hi""))"),"1 लीटर दूध, 1 कप पनीर (घर का बना पनीर) - टुकड़े टुकड़े, 15 केसर के रेशे, 1/4 कप चीनी, 1/2 चम्मच इलायची पाउडर (इलायची), 4 बादाम - पाउंड, 4 पिस्ता - पाउंड, 1 खाद्य चांदी का वर्क / पत्ता - गार्निश के लिए")</f>
        <v>1 लीटर दूध, 1 कप पनीर (घर का बना पनीर) - टुकड़े टुकड़े, 15 केसर के रेशे, 1/4 कप चीनी, 1/2 चम्मच इलायची पाउडर (इलायची), 4 बादाम - पाउंड, 4 पिस्ता - पाउंड, 1 खाद्य चांदी का वर्क / पत्ता - गार्निश के लिए</v>
      </c>
      <c r="H469" s="1" t="s">
        <v>32869</v>
      </c>
      <c r="I469" s="1" t="str">
        <f ca="1">IFERROR(__xludf.dummyfunction("IF(H469="""", """", GOOGLETRANSLATE(H469, ""en"", ""hi""))"),"पनीर की खीर रेसिपी बनाने के लिए, एक भारी तले वाले पैन में दूध गर्म करें और दूध को उबाल लें। एक बार जब दूध उबलने लगे, तो आँच को कम कर दें और दूध को तब तक गाढ़ा करना शुरू करें जब तक कि उसकी गुणवत्ता आधी न हो जाए। दूध को गाढ़ा करने की इस प्रक्रिया में मध्यम "&amp;"आँच पर लगभग 25 से 30 मिनट लगेंगे। लगभग 25 से 30 मिनट के बाद, जब दूध आधी मात्रा में गाढ़ा हो जाए, तो केसर के रेशे, चीनी, इलायची और टुकड़े किए हुए छेना डालें। पनीर की खीर को तब तक उबालें जब तक कि यह मनचाही स्थिरता तक गाढ़ा न हो जाए, लगभग 5 मिनट। हो जाने के "&amp;"बाद, आँच बंद कर दें। पनीर की खीर को सर्विंग बाउल में डालें, बादाम और पिस्ता और चाँदी के पत्ते से गार्निश करें। केसर पनीर की खीर को अपने रोज़ाना के खाने जोधपुरी आलू, अजवाइन पूरी, बूंदी रायता और सात्विक गाजर स्प्राउट सलाद के बाद मिठाई के रूप में परोसें।")</f>
        <v>पनीर की खीर रेसिपी बनाने के लिए, एक भारी तले वाले पैन में दूध गर्म करें और दूध को उबाल लें। एक बार जब दूध उबलने लगे, तो आँच को कम कर दें और दूध को तब तक गाढ़ा करना शुरू करें जब तक कि उसकी गुणवत्ता आधी न हो जाए। दूध को गाढ़ा करने की इस प्रक्रिया में मध्यम आँच पर लगभग 25 से 30 मिनट लगेंगे। लगभग 25 से 30 मिनट के बाद, जब दूध आधी मात्रा में गाढ़ा हो जाए, तो केसर के रेशे, चीनी, इलायची और टुकड़े किए हुए छेना डालें। पनीर की खीर को तब तक उबालें जब तक कि यह मनचाही स्थिरता तक गाढ़ा न हो जाए, लगभग 5 मिनट। हो जाने के बाद, आँच बंद कर दें। पनीर की खीर को सर्विंग बाउल में डालें, बादाम और पिस्ता और चाँदी के पत्ते से गार्निश करें। केसर पनीर की खीर को अपने रोज़ाना के खाने जोधपुरी आलू, अजवाइन पूरी, बूंदी रायता और सात्विक गाजर स्प्राउट सलाद के बाद मिठाई के रूप में परोसें।</v>
      </c>
      <c r="J469" s="3" t="s">
        <v>32870</v>
      </c>
      <c r="L469" s="1" t="s">
        <v>31003</v>
      </c>
    </row>
    <row r="470" spans="1:12" ht="13.8">
      <c r="A470" s="1" t="s">
        <v>32871</v>
      </c>
      <c r="B470" s="1" t="str">
        <f ca="1">IFERROR(__xludf.dummyfunction("IF(A470="""", """", GOOGLETRANSLATE(A470, ""en"", ""hi""))"),"बाजरा के साथ हरा भरा कबाब रेसिपी")</f>
        <v>बाजरा के साथ हरा भरा कबाब रेसिपी</v>
      </c>
      <c r="C470" s="1" t="s">
        <v>14281</v>
      </c>
      <c r="D470" s="1" t="s">
        <v>14198</v>
      </c>
      <c r="E470" s="1">
        <v>60</v>
      </c>
      <c r="F470" s="1" t="s">
        <v>32872</v>
      </c>
      <c r="G470" s="1" t="str">
        <f ca="1">IFERROR(__xludf.dummyfunction("IF(F470="""", """", GOOGLETRANSLATE(F470, ""en"", ""hi""))"),"1/4 कप हरी मटर - उबली हुई, 8 पुदीना के पत्ते, 1 इंच अदरक - कद्दूकस किया हुआ, 1 हरी मिर्च, 1 कप बर्नयार्ड बाजरा - पका हुआ (आप बाजरा, फॉक्सटेल या कोई अन्य स्थानीय बाजरा भी ले सकते हैं), 2 आलू - उबले और मसले हुए, 50 ग्राम पनीर, 2 बड़े चम्मच बेसन, 1 प्याज - ब"&amp;"ारीक कटा हुआ, 1 छोटा चम्मच चाट मसाला पाउडर, 1/2 छोटा चम्मच गरम मसाला पाउडर, नमक - स्वादानुसार, सूरजमुखी तेल - पकाने के लिए")</f>
        <v>1/4 कप हरी मटर - उबली हुई, 8 पुदीना के पत्ते, 1 इंच अदरक - कद्दूकस किया हुआ, 1 हरी मिर्च, 1 कप बर्नयार्ड बाजरा - पका हुआ (आप बाजरा, फॉक्सटेल या कोई अन्य स्थानीय बाजरा भी ले सकते हैं), 2 आलू - उबले और मसले हुए, 50 ग्राम पनीर, 2 बड़े चम्मच बेसन, 1 प्याज - बारीक कटा हुआ, 1 छोटा चम्मच चाट मसाला पाउडर, 1/2 छोटा चम्मच गरम मसाला पाउडर, नमक - स्वादानुसार, सूरजमुखी तेल - पकाने के लिए</v>
      </c>
      <c r="H470" s="1" t="s">
        <v>32873</v>
      </c>
      <c r="I470" s="1" t="str">
        <f ca="1">IFERROR(__xludf.dummyfunction("IF(H470="""", """", GOOGLETRANSLATE(H470, ""en"", ""hi""))"),"बाजरा के साथ हरा भरा कबाब रेसिपी बनाना शुरू करने के लिए, हम सबसे पहले यह सुनिश्चित करेंगे कि हमारे पास इन कबाबों को बनाने के लिए जरूरी सारी सामग्री मौजूद है। इसमें उबले और मसले हुए आलू, पनीर और पका हुआ बाजरा शामिल है। ध्यान दें कि विभिन्न प्रकार के बाजरा "&amp;"के पकने का समय अलग-अलग होता है। इसलिए उन्हें पकाने के लिए अपना समय लें और बाजरा को दानेदार बनावट के साथ तैयार करें। हमारा अगला कदम एक फूड प्रोसेसर में सामग्री के पहले सेट को प्रोसेस करना है। प्रोसेसर में हरे मटर, पुदीना, अदरक और हरी मिर्च डालें और दरदरा प"&amp;"ेस्ट बनाने के लिए ब्लेंड करें। इसे एक बड़े मिक्सिंग बाउल में डालें, तेल को छोड़कर बाकी सामग्री बाउल में डालें। सभी सामग्री को अच्छी तरह मिलाएँ। नमक और मसाले के स्तर की जाँच करें और अपने स्वाद के अनुसार समायोजित करें। अच्छी तरह मिल जाने के बाद, कबाब को गोल"&amp;"ाकार डिस्क का आकार दें पैन पर बाजरे के साथ हरे भरे कबाब रखें। प्रत्येक कबाब पर थोड़ा सा तेल डालें और तब तक पकाएं जब तक कि कबाब दोनों तरफ से समान रूप से भूरे न हो जाएं। शाम के नाश्ते के लिए बाजरे के साथ हरे भरे कबाब को हरी चटनी और एक कप मसाला चाय के साथ पर"&amp;"ोसें।")</f>
        <v>बाजरा के साथ हरा भरा कबाब रेसिपी बनाना शुरू करने के लिए, हम सबसे पहले यह सुनिश्चित करेंगे कि हमारे पास इन कबाबों को बनाने के लिए जरूरी सारी सामग्री मौजूद है। इसमें उबले और मसले हुए आलू, पनीर और पका हुआ बाजरा शामिल है। ध्यान दें कि विभिन्न प्रकार के बाजरा के पकने का समय अलग-अलग होता है। इसलिए उन्हें पकाने के लिए अपना समय लें और बाजरा को दानेदार बनावट के साथ तैयार करें। हमारा अगला कदम एक फूड प्रोसेसर में सामग्री के पहले सेट को प्रोसेस करना है। प्रोसेसर में हरे मटर, पुदीना, अदरक और हरी मिर्च डालें और दरदरा पेस्ट बनाने के लिए ब्लेंड करें। इसे एक बड़े मिक्सिंग बाउल में डालें, तेल को छोड़कर बाकी सामग्री बाउल में डालें। सभी सामग्री को अच्छी तरह मिलाएँ। नमक और मसाले के स्तर की जाँच करें और अपने स्वाद के अनुसार समायोजित करें। अच्छी तरह मिल जाने के बाद, कबाब को गोलाकार डिस्क का आकार दें पैन पर बाजरे के साथ हरे भरे कबाब रखें। प्रत्येक कबाब पर थोड़ा सा तेल डालें और तब तक पकाएं जब तक कि कबाब दोनों तरफ से समान रूप से भूरे न हो जाएं। शाम के नाश्ते के लिए बाजरे के साथ हरे भरे कबाब को हरी चटनी और एक कप मसाला चाय के साथ परोसें।</v>
      </c>
      <c r="J470" s="3" t="s">
        <v>32874</v>
      </c>
      <c r="L470" s="1" t="s">
        <v>31003</v>
      </c>
    </row>
    <row r="471" spans="1:12" ht="13.8">
      <c r="A471" s="1" t="s">
        <v>32875</v>
      </c>
      <c r="B471" s="1" t="str">
        <f ca="1">IFERROR(__xludf.dummyfunction("IF(A471="""", """", GOOGLETRANSLATE(A471, ""en"", ""hi""))"),"मसूर दाल मखनी रेसिपी")</f>
        <v>मसूर दाल मखनी रेसिपी</v>
      </c>
      <c r="C471" s="1" t="s">
        <v>145</v>
      </c>
      <c r="D471" s="1" t="s">
        <v>14237</v>
      </c>
      <c r="E471" s="1">
        <v>30</v>
      </c>
      <c r="F471" s="1" t="s">
        <v>32876</v>
      </c>
      <c r="G471" s="1" t="str">
        <f ca="1">IFERROR(__xludf.dummyfunction("IF(F471="""", """", GOOGLETRANSLATE(F471, ""en"", ""hi""))"),"1 कप मसूर दाल, 1 प्याज - बारीक कटा हुआ, 1 टमाटर, 6 लहसुन, 2 इंच अदरक, 1 तेज पत्ता, 2 लौंग, 1 चम्मच जीरा, 1 दालचीनी, 2 चम्मच गरम मसाला पाउडर, 1 चम्मच लाल मिर्च पाउडर, 2 चम्मच धनिया पाउडर, 2 बड़े चम्मच घी, 2 चम्मच क्रीम, नमक - स्वादानुसार")</f>
        <v>1 कप मसूर दाल, 1 प्याज - बारीक कटा हुआ, 1 टमाटर, 6 लहसुन, 2 इंच अदरक, 1 तेज पत्ता, 2 लौंग, 1 चम्मच जीरा, 1 दालचीनी, 2 चम्मच गरम मसाला पाउडर, 1 चम्मच लाल मिर्च पाउडर, 2 चम्मच धनिया पाउडर, 2 बड़े चम्मच घी, 2 चम्मच क्रीम, नमक - स्वादानुसार</v>
      </c>
      <c r="H471" s="1" t="s">
        <v>32877</v>
      </c>
      <c r="I471" s="1" t="str">
        <f ca="1">IFERROR(__xludf.dummyfunction("IF(H471="""", """", GOOGLETRANSLATE(H471, ""en"", ""hi""))"),"""मसूर दाल मखनी रेसिपी बनाने के लिए सबसे पहले मसूर दाल को अच्छे से धो लें। मसूर दाल को 30 मिनट के लिए भिगो दें। प्रेशर कुकर में घी गर्म करें। उसमें दालचीनी, लौंग, जीरा डालें और चटकने दें। प्याज़ डालें और भूरा होने तक पकाएँ। अदरक और लहसुन को एक मोर्टार में"&amp;" पीस लें। इस मिश्रण को प्याज़ में डालें और 3 से 4 मिनट तक पकाएँ। टमाटर, धनिया पाउडर, लाल मिर्च पाउडर, गरम मसाला पाउडर डालें और टमाटर के नरम होने तक पकाएँ। मसूर दाल डालें और 30 सेकंड तक पकाएँ। पानी और स्वादानुसार नमक डालें और कुकर को बंद कर दें। 4 से 5 सीट"&amp;"ी आने तक पकाएँ और प्रेशर अपने आप निकल जाने दें। कुकर खोलें, मिलाएँ और परोसें। मसूर दाल मखनी रेसिपी को प्याज़ भिंडी, लौकी रायता और फुल्के के साथ लंच में परोसें।""")</f>
        <v>"मसूर दाल मखनी रेसिपी बनाने के लिए सबसे पहले मसूर दाल को अच्छे से धो लें। मसूर दाल को 30 मिनट के लिए भिगो दें। प्रेशर कुकर में घी गर्म करें। उसमें दालचीनी, लौंग, जीरा डालें और चटकने दें। प्याज़ डालें और भूरा होने तक पकाएँ। अदरक और लहसुन को एक मोर्टार में पीस लें। इस मिश्रण को प्याज़ में डालें और 3 से 4 मिनट तक पकाएँ। टमाटर, धनिया पाउडर, लाल मिर्च पाउडर, गरम मसाला पाउडर डालें और टमाटर के नरम होने तक पकाएँ। मसूर दाल डालें और 30 सेकंड तक पकाएँ। पानी और स्वादानुसार नमक डालें और कुकर को बंद कर दें। 4 से 5 सीटी आने तक पकाएँ और प्रेशर अपने आप निकल जाने दें। कुकर खोलें, मिलाएँ और परोसें। मसूर दाल मखनी रेसिपी को प्याज़ भिंडी, लौकी रायता और फुल्के के साथ लंच में परोसें।"</v>
      </c>
      <c r="J471" s="3" t="s">
        <v>32878</v>
      </c>
      <c r="L471" s="1" t="s">
        <v>31003</v>
      </c>
    </row>
    <row r="472" spans="1:12" ht="13.8">
      <c r="A472" s="1" t="s">
        <v>32879</v>
      </c>
      <c r="B472" s="1" t="str">
        <f ca="1">IFERROR(__xludf.dummyfunction("IF(A472="""", """", GOOGLETRANSLATE(A472, ""en"", ""hi""))"),"काजू पिस्ता रोल रेसिपी - काजू पिस्ता फ़ज")</f>
        <v>काजू पिस्ता रोल रेसिपी - काजू पिस्ता फ़ज</v>
      </c>
      <c r="C472" s="1" t="s">
        <v>8417</v>
      </c>
      <c r="D472" s="1" t="s">
        <v>14198</v>
      </c>
      <c r="E472" s="1">
        <v>55</v>
      </c>
      <c r="F472" s="1" t="s">
        <v>32880</v>
      </c>
      <c r="G472" s="1" t="str">
        <f ca="1">IFERROR(__xludf.dummyfunction("IF(F472="""", """", GOOGLETRANSLATE(F472, ""en"", ""hi""))"),"1 कप काजू, 1 कप पिस्ता, 3/4 कप मीठा गाढ़ा दूध, 2 चम्मच घी, 2 बड़े चम्मच मिल्क पाउडर, 1/2 कप पिसी चीनी, 1 चम्मच गुलाब जल, 1 चम्मच इलायची पाउडर")</f>
        <v>1 कप काजू, 1 कप पिस्ता, 3/4 कप मीठा गाढ़ा दूध, 2 चम्मच घी, 2 बड़े चम्मच मिल्क पाउडर, 1/2 कप पिसी चीनी, 1 चम्मच गुलाब जल, 1 चम्मच इलायची पाउडर</v>
      </c>
      <c r="H472" s="1" t="s">
        <v>32881</v>
      </c>
      <c r="I472" s="1" t="str">
        <f ca="1">IFERROR(__xludf.dummyfunction("IF(H472="""", """", GOOGLETRANSLATE(H472, ""en"", ""hi""))"),"काजू पिस्ता रोल रेसिपी (काजू नट पिस्ता फज) बनाना शुरू करने के लिए सबसे पहले काजू और पिस्ता को अलग-अलग बारीक पीस लें। एक मोटे और भारी तले वाले पैन में घी, कंडेंस्ड मिल्क और पाउडर किए हुए काजू डालें। अच्छी तरह मिलाने के लिए हिलाएं। इसमें मिल्क पाउडर, गुलाब "&amp;"जल डालें और इस मिश्रण को मध्यम आंच पर तब तक पकाएँ जब तक यह पैन के किनारों को छोड़ने न लगे और नरम आटा गूंथ ले। पैन के तले में किसी भी तरह की जलन से बचने के लिए लगातार हिलाते रहें। इसमें 10 से 12 मिनट लग सकते हैं। अब आंच बंद कर दें और इसे एक प्लेट में ठंडा "&amp;"होने के लिए रख दें। इस बीच एक बाउल में पिसा हुआ पिस्ता लें और इसे पाउडर चीनी, इलायची पाउडर के साथ मिलाएँ और थोड़ा-थोड़ा पानी डालते हुए नरम आटा गूंथ लें कोशिश करें कि इसे ज़्यादा न गूंथें, क्योंकि यह नरम हो जाएगा और तेल छोड़ देगा। काजू पिस्ता रोल बनाने का "&amp;"अंतिम चरण इसे आकार देना है। एक रोलिंग बोर्ड लें और उस पर चर्मपत्र फैलाएँ। चर्मपत्र कागज़ पर काजू का आटा रखें और उसके ऊपर एक और चर्मपत्र कागज़ रखें। रोलिंग पिन का उपयोग करके काजू को एक आयताकार शीट में रोल करें। काजू को कवर करने वाले चर्मपत्र कागज़ को हटाएँ"&amp;" और लुढ़के काजू पर पिस्ता मिश्रण फैलाएँ। काजू पिस्ता रोल बनाने के लिए पूरी शीट को 2 इंच चौड़ी पट्टियों में काटें। प्रत्येक पट्टी को एक लॉग में रोल करें। काजू पिस्ता रोल बनाने के लिए उसी तरह आगे बढ़ें।")</f>
        <v>काजू पिस्ता रोल रेसिपी (काजू नट पिस्ता फज) बनाना शुरू करने के लिए सबसे पहले काजू और पिस्ता को अलग-अलग बारीक पीस लें। एक मोटे और भारी तले वाले पैन में घी, कंडेंस्ड मिल्क और पाउडर किए हुए काजू डालें। अच्छी तरह मिलाने के लिए हिलाएं। इसमें मिल्क पाउडर, गुलाब जल डालें और इस मिश्रण को मध्यम आंच पर तब तक पकाएँ जब तक यह पैन के किनारों को छोड़ने न लगे और नरम आटा गूंथ ले। पैन के तले में किसी भी तरह की जलन से बचने के लिए लगातार हिलाते रहें। इसमें 10 से 12 मिनट लग सकते हैं। अब आंच बंद कर दें और इसे एक प्लेट में ठंडा होने के लिए रख दें। इस बीच एक बाउल में पिसा हुआ पिस्ता लें और इसे पाउडर चीनी, इलायची पाउडर के साथ मिलाएँ और थोड़ा-थोड़ा पानी डालते हुए नरम आटा गूंथ लें कोशिश करें कि इसे ज़्यादा न गूंथें, क्योंकि यह नरम हो जाएगा और तेल छोड़ देगा। काजू पिस्ता रोल बनाने का अंतिम चरण इसे आकार देना है। एक रोलिंग बोर्ड लें और उस पर चर्मपत्र फैलाएँ। चर्मपत्र कागज़ पर काजू का आटा रखें और उसके ऊपर एक और चर्मपत्र कागज़ रखें। रोलिंग पिन का उपयोग करके काजू को एक आयताकार शीट में रोल करें। काजू को कवर करने वाले चर्मपत्र कागज़ को हटाएँ और लुढ़के काजू पर पिस्ता मिश्रण फैलाएँ। काजू पिस्ता रोल बनाने के लिए पूरी शीट को 2 इंच चौड़ी पट्टियों में काटें। प्रत्येक पट्टी को एक लॉग में रोल करें। काजू पिस्ता रोल बनाने के लिए उसी तरह आगे बढ़ें।</v>
      </c>
      <c r="J472" s="3" t="s">
        <v>32882</v>
      </c>
      <c r="L472" s="1" t="s">
        <v>31003</v>
      </c>
    </row>
    <row r="473" spans="1:12" ht="13.8">
      <c r="A473" s="1" t="s">
        <v>32883</v>
      </c>
      <c r="B473" s="1" t="str">
        <f ca="1">IFERROR(__xludf.dummyfunction("IF(A473="""", """", GOOGLETRANSLATE(A473, ""en"", ""hi""))"),"कोल्हापुरी पालक अंडा करी रेसिपी")</f>
        <v>कोल्हापुरी पालक अंडा करी रेसिपी</v>
      </c>
      <c r="C473" s="1" t="s">
        <v>145</v>
      </c>
      <c r="D473" s="1" t="s">
        <v>15314</v>
      </c>
      <c r="E473" s="1">
        <v>55</v>
      </c>
      <c r="F473" s="1" t="s">
        <v>32884</v>
      </c>
      <c r="G473" s="1" t="str">
        <f ca="1">IFERROR(__xludf.dummyfunction("IF(F473="""", """", GOOGLETRANSLATE(F473, ""en"", ""hi""))"),"4 अंडे - उबले और कटे हुए, 1 छोटा चम्मच जीरा, 1 तेज पत्ता, 2 लौंग, 3 सूखी लाल मिर्च, 1 छोटा चम्मच हल्दी पाउडर, 2 बड़े चम्मच गरम मसाला पाउडर, 2 बड़े चम्मच खसखस, 4 बड़े चम्मच नारियल - कद्दूकस किया हुआ, 2 टमाटर - कटे हुए, 1 कप पालक, नमक - स्वादानुसार, तेल, 2 "&amp;"प्याज - कटे हुए, 1 इंच अदरक - कटा हुआ, 4 लहसुन के दाने - कटे हुए, 2 हरी मिर्च - कटी हुई, 10 बादाम")</f>
        <v>4 अंडे - उबले और कटे हुए, 1 छोटा चम्मच जीरा, 1 तेज पत्ता, 2 लौंग, 3 सूखी लाल मिर्च, 1 छोटा चम्मच हल्दी पाउडर, 2 बड़े चम्मच गरम मसाला पाउडर, 2 बड़े चम्मच खसखस, 4 बड़े चम्मच नारियल - कद्दूकस किया हुआ, 2 टमाटर - कटे हुए, 1 कप पालक, नमक - स्वादानुसार, तेल, 2 प्याज - कटे हुए, 1 इंच अदरक - कटा हुआ, 4 लहसुन के दाने - कटे हुए, 2 हरी मिर्च - कटी हुई, 10 बादाम</v>
      </c>
      <c r="H473" s="1" t="s">
        <v>32885</v>
      </c>
      <c r="I473" s="1" t="str">
        <f ca="1">IFERROR(__xludf.dummyfunction("IF(H473="""", """", GOOGLETRANSLATE(H473, ""en"", ""hi""))"),"कोल्हापुरी पालक अंडा करी रेसिपी बनाने के लिए सबसे पहले एक सॉस पैन में जरूरत के हिसाब से पानी उबलने के लिए रख दें। जब पानी उबल जाए तो इसमें अंडे डालकर 12 से 15 मिनट तक उबालें। अंडे निकालकर ठंडा होने के लिए अलग रख दें। अब इन्हें छीलकर आधा काट लें। एक तरफ रख"&amp;" दें। मिक्सर ग्राइंडर में प्याज, अदरक, लहसुन, हरी मिर्च, बादाम, थोड़ा पानी डालकर पेस्ट बना लें। एक तरफ रख दें। अब एक पैन में तेल गर्म करें। इसमें जीरा, लौंग, तेजपत्ता, सूखी लाल मिर्च डालें और जीरा चटकने दें। जीरा चटकने के बाद इसमें पिसा हुआ मसाला डालें और"&amp;" 3 से 4 मिनट तक पकाएं। अब इसमें खसखस, नारियल डालें और 15 मिनट तक पकने दें। 15 मिनट बाद इसमें टमाटर, नमक, हल्दी पाउडर डालें और अच्छे से मिला लें। टमाटर के नरम हो जाने के बाद इसमें पालक, गरम मसाला पाउडर डालकर मिला लें। गैस की आंच धीमी कर दें और 10 मिनट तक प"&amp;"का लें। गैस बंद कर दें और इस मिश्रण को ठंडा होने दें। ठंडा होने के बाद इसे मिक्सर ग्राइंडर में डालकर पीस लें। दूसरा पैन लें और उसमें तेल गर्म करें। इसमें अंडे डालें और दोनों तरफ से भून लें। भूनने के बाद उन्हें निकाल कर अलग रख दें। इसमें पिसा हुआ पालक मिश्"&amp;"रण डालें और 4 से 5 मिनट तक पकने दें। नमक, अंडे डालें, मिलाएँ और परोसें। कोल्हापुरी पालक अंडा करी रेसिपी को तवा पराठा और बुरानी रायता के साथ अपने रोज़ाना के खाने में परोसें।")</f>
        <v>कोल्हापुरी पालक अंडा करी रेसिपी बनाने के लिए सबसे पहले एक सॉस पैन में जरूरत के हिसाब से पानी उबलने के लिए रख दें। जब पानी उबल जाए तो इसमें अंडे डालकर 12 से 15 मिनट तक उबालें। अंडे निकालकर ठंडा होने के लिए अलग रख दें। अब इन्हें छीलकर आधा काट लें। एक तरफ रख दें। मिक्सर ग्राइंडर में प्याज, अदरक, लहसुन, हरी मिर्च, बादाम, थोड़ा पानी डालकर पेस्ट बना लें। एक तरफ रख दें। अब एक पैन में तेल गर्म करें। इसमें जीरा, लौंग, तेजपत्ता, सूखी लाल मिर्च डालें और जीरा चटकने दें। जीरा चटकने के बाद इसमें पिसा हुआ मसाला डालें और 3 से 4 मिनट तक पकाएं। अब इसमें खसखस, नारियल डालें और 15 मिनट तक पकने दें। 15 मिनट बाद इसमें टमाटर, नमक, हल्दी पाउडर डालें और अच्छे से मिला लें। टमाटर के नरम हो जाने के बाद इसमें पालक, गरम मसाला पाउडर डालकर मिला लें। गैस की आंच धीमी कर दें और 10 मिनट तक पका लें। गैस बंद कर दें और इस मिश्रण को ठंडा होने दें। ठंडा होने के बाद इसे मिक्सर ग्राइंडर में डालकर पीस लें। दूसरा पैन लें और उसमें तेल गर्म करें। इसमें अंडे डालें और दोनों तरफ से भून लें। भूनने के बाद उन्हें निकाल कर अलग रख दें। इसमें पिसा हुआ पालक मिश्रण डालें और 4 से 5 मिनट तक पकने दें। नमक, अंडे डालें, मिलाएँ और परोसें। कोल्हापुरी पालक अंडा करी रेसिपी को तवा पराठा और बुरानी रायता के साथ अपने रोज़ाना के खाने में परोसें।</v>
      </c>
      <c r="J473" s="3" t="s">
        <v>32886</v>
      </c>
      <c r="L473" s="1" t="s">
        <v>31003</v>
      </c>
    </row>
    <row r="474" spans="1:12" ht="13.8">
      <c r="A474" s="1" t="s">
        <v>32887</v>
      </c>
      <c r="B474" s="1" t="str">
        <f ca="1">IFERROR(__xludf.dummyfunction("IF(A474="""", """", GOOGLETRANSLATE(A474, ""en"", ""hi""))"),"पत्तागोभी शिमला मिर्च की सब्जी रेसिपी - शिमला मिर्च पत्ता गोभी की सब्जी")</f>
        <v>पत्तागोभी शिमला मिर्च की सब्जी रेसिपी - शिमला मिर्च पत्ता गोभी की सब्जी</v>
      </c>
      <c r="C474" s="1" t="s">
        <v>14259</v>
      </c>
      <c r="D474" s="1" t="s">
        <v>14208</v>
      </c>
      <c r="E474" s="1">
        <v>20</v>
      </c>
      <c r="F474" s="1" t="s">
        <v>32888</v>
      </c>
      <c r="G474" s="1" t="str">
        <f ca="1">IFERROR(__xludf.dummyfunction("IF(F474="""", """", GOOGLETRANSLATE(F474, ""en"", ""hi""))"),"3 कप पत्तागोभी - पतले टुकड़ों में कटी हुई, 1 हरी शिमला मिर्च - पतले टुकड़ों में कटी हुई, 1 छोटा चम्मच सूरजमुखी तेल, 1 छोटा चम्मच सरसों के बीज, 1 छोटा चम्मच जीरा, 2 सूखी लाल मिर्च, हींग - चुटकी भर, 1/4 छोटा चम्मच हल्दी, 1 छोटा चम्मच धनिया, 1/4 छोटा चम्मच ल"&amp;"ाल मिर्च पाउडर, नमक - स्वादानुसार, 1 छोटा चम्मच नींबू का रस")</f>
        <v>3 कप पत्तागोभी - पतले टुकड़ों में कटी हुई, 1 हरी शिमला मिर्च - पतले टुकड़ों में कटी हुई, 1 छोटा चम्मच सूरजमुखी तेल, 1 छोटा चम्मच सरसों के बीज, 1 छोटा चम्मच जीरा, 2 सूखी लाल मिर्च, हींग - चुटकी भर, 1/4 छोटा चम्मच हल्दी, 1 छोटा चम्मच धनिया, 1/4 छोटा चम्मच लाल मिर्च पाउडर, नमक - स्वादानुसार, 1 छोटा चम्मच नींबू का रस</v>
      </c>
      <c r="H474" s="1" t="s">
        <v>32889</v>
      </c>
      <c r="I474" s="1" t="str">
        <f ca="1">IFERROR(__xludf.dummyfunction("IF(H474="""", """", GOOGLETRANSLATE(H474, ""en"", ""hi""))"),"गोभी शिमला मिर्च की सब्जी बनाने के लिए हमें सब्जियों को तैयार करके अलग रखना होगा। गोभी को 2 बड़े चम्मच पानी और नमक के साथ 1 सीटी आने तक पका लें, आंच बंद कर दें। तुरंत प्रेशर छोड़ दें। ढक्कन खोलें और अलग रख दें। मध्यम आंच पर एक पैन रखें और थोड़ा तेल डालें।"&amp;" तेल गर्म हो जाने पर इसमें राई और जीरा डालें। जब ये फूटने लगे तो इसमें हींग, हल्दी पाउडर और सूखी मिर्च डालें। धीमी आंच पर एक मिनट तक भूनें। इसके बाद इसमें शिमला मिर्च डालें और तब तक हिलाएं जब तक शिमला मिर्च नरम न हो जाए। शिमला मिर्च के नरम हो जाने पर इसमे"&amp;"ं पकी हुई गोभी डालें। इसके बाद गोभी शिमला मिर्च की सब्जी में मसाले डालें - धनिया पाउडर, मिर्च पाउडर और स्वादानुसार नमक ऊपर से नींबू का रस निचोड़ें और गोभी शिमला मिर्च की सब्जी को धनिया पत्ती से गार्निश करें। गोभी और शिमला मिर्च की सब्जी को एक सर्विंग बाउल"&amp;" में डालें और गरमागरम परोसें। गोभी शिमला मिर्च की सब्जी को साइड डिश के रूप में कच्चे पपीता मोर कूटू रेसिपी - आयुर्वेदिक नो प्याज नो लहसुन रेसिपी और उबले हुए चावल के साथ सात्विक भोजन के रूप में परोसें।")</f>
        <v>गोभी शिमला मिर्च की सब्जी बनाने के लिए हमें सब्जियों को तैयार करके अलग रखना होगा। गोभी को 2 बड़े चम्मच पानी और नमक के साथ 1 सीटी आने तक पका लें, आंच बंद कर दें। तुरंत प्रेशर छोड़ दें। ढक्कन खोलें और अलग रख दें। मध्यम आंच पर एक पैन रखें और थोड़ा तेल डालें। तेल गर्म हो जाने पर इसमें राई और जीरा डालें। जब ये फूटने लगे तो इसमें हींग, हल्दी पाउडर और सूखी मिर्च डालें। धीमी आंच पर एक मिनट तक भूनें। इसके बाद इसमें शिमला मिर्च डालें और तब तक हिलाएं जब तक शिमला मिर्च नरम न हो जाए। शिमला मिर्च के नरम हो जाने पर इसमें पकी हुई गोभी डालें। इसके बाद गोभी शिमला मिर्च की सब्जी में मसाले डालें - धनिया पाउडर, मिर्च पाउडर और स्वादानुसार नमक ऊपर से नींबू का रस निचोड़ें और गोभी शिमला मिर्च की सब्जी को धनिया पत्ती से गार्निश करें। गोभी और शिमला मिर्च की सब्जी को एक सर्विंग बाउल में डालें और गरमागरम परोसें। गोभी शिमला मिर्च की सब्जी को साइड डिश के रूप में कच्चे पपीता मोर कूटू रेसिपी - आयुर्वेदिक नो प्याज नो लहसुन रेसिपी और उबले हुए चावल के साथ सात्विक भोजन के रूप में परोसें।</v>
      </c>
      <c r="J474" s="3" t="s">
        <v>32890</v>
      </c>
      <c r="L474" s="1" t="s">
        <v>31003</v>
      </c>
    </row>
    <row r="475" spans="1:12" ht="13.8">
      <c r="A475" s="1" t="s">
        <v>32891</v>
      </c>
      <c r="B475" s="1" t="str">
        <f ca="1">IFERROR(__xludf.dummyfunction("IF(A475="""", """", GOOGLETRANSLATE(A475, ""en"", ""hi""))"),"चुकंदर और तिल का थेपला रेसिपी")</f>
        <v>चुकंदर और तिल का थेपला रेसिपी</v>
      </c>
      <c r="C475" s="1" t="s">
        <v>14207</v>
      </c>
      <c r="D475" s="1" t="s">
        <v>14198</v>
      </c>
      <c r="E475" s="1">
        <v>40</v>
      </c>
      <c r="F475" s="1" t="s">
        <v>32892</v>
      </c>
      <c r="G475" s="1" t="str">
        <f ca="1">IFERROR(__xludf.dummyfunction("IF(F475="""", """", GOOGLETRANSLATE(F475, ""en"", ""hi""))"),"1 चुकंदर - कद्दूकस किया हुआ, 2 कप गेहूं का आटा, 1 चम्मच जीरा पाउडर, 1 चम्मच आमचूर, 1 चम्मच गरम मसाला पाउडर, 1 चम्मच लाल मिर्च पाउडर, 3 हरी मिर्च, 1 चम्मच घी, 3 चम्मच तिल, नमक - स्वादानुसार, ठंडा पानी - आवश्यकतानुसार")</f>
        <v>1 चुकंदर - कद्दूकस किया हुआ, 2 कप गेहूं का आटा, 1 चम्मच जीरा पाउडर, 1 चम्मच आमचूर, 1 चम्मच गरम मसाला पाउडर, 1 चम्मच लाल मिर्च पाउडर, 3 हरी मिर्च, 1 चम्मच घी, 3 चम्मच तिल, नमक - स्वादानुसार, ठंडा पानी - आवश्यकतानुसार</v>
      </c>
      <c r="H475" s="1" t="s">
        <v>32893</v>
      </c>
      <c r="I475" s="1" t="str">
        <f ca="1">IFERROR(__xludf.dummyfunction("IF(H475="""", """", GOOGLETRANSLATE(H475, ""en"", ""hi""))"),"चुकंदर और तिल के थेपले की रेसिपी बनाने के लिए सबसे पहले चुकंदर को धोकर छील लें। सब्जी को बारीक कद्दूकस कर लें। एक मिक्सिंग बाउल लें और उसमें कद्दूकस किया हुआ चुकंदर डालें। सभी मसाला पाउडर, नमक और घी डालें। सभी सामग्री को मिला लें। मिक्सिंग बाउल में गेहूं "&amp;"का आटा डालें और पर्याप्त पानी के साथ चिकना आटा गूंथ लें। गेहूं के आटे का एक छोटा सा हिस्सा लें और इसे बेलन की मदद से चपटा करके गोल आटा गूंथ लें। तवा को मध्यम आंच पर गर्म करें और गर्म तवे पर थेपला डालें। चुकंदर के थेपले को लगभग एक मिनट तक पकाएं और फिर पलट "&amp;"दें और दूसरी तरफ एक मिनट या पकने तक पकाएं। पकाते समय इसे चिकना करने के लिए आवश्यकतानुसार मक्खन या तेल लगाएं। चुकंदर और तिल के थेपले की रेसिपी को बेसन केला सब्ज़ी, गुजराती दाल और सलाद के साथ परोसें, यह एक पौष्टिक भोजन है।")</f>
        <v>चुकंदर और तिल के थेपले की रेसिपी बनाने के लिए सबसे पहले चुकंदर को धोकर छील लें। सब्जी को बारीक कद्दूकस कर लें। एक मिक्सिंग बाउल लें और उसमें कद्दूकस किया हुआ चुकंदर डालें। सभी मसाला पाउडर, नमक और घी डालें। सभी सामग्री को मिला लें। मिक्सिंग बाउल में गेहूं का आटा डालें और पर्याप्त पानी के साथ चिकना आटा गूंथ लें। गेहूं के आटे का एक छोटा सा हिस्सा लें और इसे बेलन की मदद से चपटा करके गोल आटा गूंथ लें। तवा को मध्यम आंच पर गर्म करें और गर्म तवे पर थेपला डालें। चुकंदर के थेपले को लगभग एक मिनट तक पकाएं और फिर पलट दें और दूसरी तरफ एक मिनट या पकने तक पकाएं। पकाते समय इसे चिकना करने के लिए आवश्यकतानुसार मक्खन या तेल लगाएं। चुकंदर और तिल के थेपले की रेसिपी को बेसन केला सब्ज़ी, गुजराती दाल और सलाद के साथ परोसें, यह एक पौष्टिक भोजन है।</v>
      </c>
      <c r="J475" s="3" t="s">
        <v>32894</v>
      </c>
      <c r="L475" s="1" t="s">
        <v>31003</v>
      </c>
    </row>
    <row r="476" spans="1:12" ht="13.8">
      <c r="A476" s="1" t="s">
        <v>32895</v>
      </c>
      <c r="B476" s="1" t="str">
        <f ca="1">IFERROR(__xludf.dummyfunction("IF(A476="""", """", GOOGLETRANSLATE(A476, ""en"", ""hi""))"),"मटन कीमा रेसिपी")</f>
        <v>मटन कीमा रेसिपी</v>
      </c>
      <c r="C476" s="1" t="s">
        <v>429</v>
      </c>
      <c r="D476" s="1" t="s">
        <v>14382</v>
      </c>
      <c r="E476" s="1">
        <v>40</v>
      </c>
      <c r="F476" s="1" t="s">
        <v>32896</v>
      </c>
      <c r="G476" s="1" t="str">
        <f ca="1">IFERROR(__xludf.dummyfunction("IF(F476="""", """", GOOGLETRANSLATE(F476, ""en"", ""hi""))"),"2 कप मटन - बारीक कटा हुआ, सूरजमुखी तेल - आवश्यकतानुसार, 1 छोटा चम्मच जीरा, 2 तेजपत्ता, 1 छोटा चम्मच साबुत काली मिर्च, 5 इलायची, 3 प्याज - बारीक कटा हुआ, 2 बड़े चम्मच अदरक लहसुन पेस्ट, 2 हरी मिर्च - बारीक कटी हुई, 3 टमाटर - बारीक कटे हुए, 1-1/2 छोटा चम्मच "&amp;"धनिया पाउडर - कटा हुआ, 1 बड़ा चम्मच कश्मीरी लाल मिर्च पाउडर, 1/2 छोटा चम्मच जीरा, नमक - आवश्यकतानुसार, 1/2 छोटा चम्मच गरम मसाला पाउडर, पुदीना - कटा हुआ")</f>
        <v>2 कप मटन - बारीक कटा हुआ, सूरजमुखी तेल - आवश्यकतानुसार, 1 छोटा चम्मच जीरा, 2 तेजपत्ता, 1 छोटा चम्मच साबुत काली मिर्च, 5 इलायची, 3 प्याज - बारीक कटा हुआ, 2 बड़े चम्मच अदरक लहसुन पेस्ट, 2 हरी मिर्च - बारीक कटी हुई, 3 टमाटर - बारीक कटे हुए, 1-1/2 छोटा चम्मच धनिया पाउडर - कटा हुआ, 1 बड़ा चम्मच कश्मीरी लाल मिर्च पाउडर, 1/2 छोटा चम्मच जीरा, नमक - आवश्यकतानुसार, 1/2 छोटा चम्मच गरम मसाला पाउडर, पुदीना - कटा हुआ</v>
      </c>
      <c r="H476" s="1" t="s">
        <v>32897</v>
      </c>
      <c r="I476" s="1" t="str">
        <f ca="1">IFERROR(__xludf.dummyfunction("IF(H476="""", """", GOOGLETRANSLATE(H476, ""en"", ""hi""))"),"मटन कीमा रेसिपी बनाने के लिए सबसे पहले एक चौड़े पैन में तेल गर्म करें और उसमें जीरा, तेज पत्ता, काली मिर्च और इलायची डालें। कटे हुए प्याज डालें और उन्हें भूरा होने तक भूनें। लहसुन और अदरक का पेस्ट, हरी मिर्च, टमाटर प्यूरी डालें और सभी चीजों को अच्छी तरह म"&amp;"िलाएँ। इसे मध्यम आंच पर लगभग 5 मिनट तक पकने दें। जब यह पक जाए तो इसमें धनिया पाउडर, लाल मिर्च पाउडर, जीरा पाउडर और नमक डालें। धीमी आंच पर लगभग 5-8 मिनट तक पकाएँ। 5-8 मिनट के बाद, कीमा बनाया हुआ मटन डालें और इसे लगभग 2-3 मिनट तक पकाएँ। आवश्यकतानुसार पानी ड"&amp;"ालें और इसे सूखने तक पकाएँ। मटन पक जाने के बाद, चूल्हे को बंद कर दें और गरम मसाला डालें। अच्छी तरह मिलाएँ और पुदीने की पत्तियों से गार्निश करें। महाराष्ट्र में, इस मटन कीमा को पाव के साथ परोसा जाता है। आप इसे फुल्के या पक्की मटन बिरयानी के साथ भी परोस सकत"&amp;"े हैं।")</f>
        <v>मटन कीमा रेसिपी बनाने के लिए सबसे पहले एक चौड़े पैन में तेल गर्म करें और उसमें जीरा, तेज पत्ता, काली मिर्च और इलायची डालें। कटे हुए प्याज डालें और उन्हें भूरा होने तक भूनें। लहसुन और अदरक का पेस्ट, हरी मिर्च, टमाटर प्यूरी डालें और सभी चीजों को अच्छी तरह मिलाएँ। इसे मध्यम आंच पर लगभग 5 मिनट तक पकने दें। जब यह पक जाए तो इसमें धनिया पाउडर, लाल मिर्च पाउडर, जीरा पाउडर और नमक डालें। धीमी आंच पर लगभग 5-8 मिनट तक पकाएँ। 5-8 मिनट के बाद, कीमा बनाया हुआ मटन डालें और इसे लगभग 2-3 मिनट तक पकाएँ। आवश्यकतानुसार पानी डालें और इसे सूखने तक पकाएँ। मटन पक जाने के बाद, चूल्हे को बंद कर दें और गरम मसाला डालें। अच्छी तरह मिलाएँ और पुदीने की पत्तियों से गार्निश करें। महाराष्ट्र में, इस मटन कीमा को पाव के साथ परोसा जाता है। आप इसे फुल्के या पक्की मटन बिरयानी के साथ भी परोस सकते हैं।</v>
      </c>
      <c r="J476" s="3" t="s">
        <v>32898</v>
      </c>
      <c r="L476" s="1" t="s">
        <v>31003</v>
      </c>
    </row>
    <row r="477" spans="1:12" ht="13.8">
      <c r="A477" s="1" t="s">
        <v>32899</v>
      </c>
      <c r="B477" s="1" t="str">
        <f ca="1">IFERROR(__xludf.dummyfunction("IF(A477="""", """", GOOGLETRANSLATE(A477, ""en"", ""hi""))"),"धनिया पुदीना चिकन टिक्का रेसिपी")</f>
        <v>धनिया पुदीना चिकन टिक्का रेसिपी</v>
      </c>
      <c r="C477" s="1" t="s">
        <v>14572</v>
      </c>
      <c r="D477" s="1" t="s">
        <v>14367</v>
      </c>
      <c r="E477" s="1">
        <v>40</v>
      </c>
      <c r="F477" s="1" t="s">
        <v>32900</v>
      </c>
      <c r="G477" s="1" t="str">
        <f ca="1">IFERROR(__xludf.dummyfunction("IF(F477="""", """", GOOGLETRANSLATE(F477, ""en"", ""hi""))"),"250 ग्राम चिकन - कटा हुआ, 2 चम्मच नींबू का रस, चाट मसाला पाउडर - आवश्यकतानुसार, तेल - आवश्यकतानुसार, 5 टहनियाँ धनिया पत्ती, 3 टहनियाँ पुदीना, 2 बड़े चम्मच दही, 2 हरी मिर्च, 1/2 चम्मच अदरक - कसा हुआ, 4 लहसुन की कलियाँ, नमक - स्वादानुसार")</f>
        <v>250 ग्राम चिकन - कटा हुआ, 2 चम्मच नींबू का रस, चाट मसाला पाउडर - आवश्यकतानुसार, तेल - आवश्यकतानुसार, 5 टहनियाँ धनिया पत्ती, 3 टहनियाँ पुदीना, 2 बड़े चम्मच दही, 2 हरी मिर्च, 1/2 चम्मच अदरक - कसा हुआ, 4 लहसुन की कलियाँ, नमक - स्वादानुसार</v>
      </c>
      <c r="H477" s="1" t="s">
        <v>32901</v>
      </c>
      <c r="I477" s="1" t="str">
        <f ca="1">IFERROR(__xludf.dummyfunction("IF(H477="""", """", GOOGLETRANSLATE(H477, ""en"", ""hi""))"),"धनिया पुदीना चिकन टिक्का रेसिपी बनाने के लिए सबसे पहले चिकन को साफ करके धो लें। इसे छोटे-छोटे टुकड़ों में काट लें और कांटे की मदद से छेद कर लें। इसे एक तरफ रख दें। मैरिनेशन मसाला बनाने के लिए मिक्सर ग्राइंडर में धनिया पत्ता, पुदीना, दही, हरी मिर्च, अदरक, "&amp;"लहसुन, नमक डालकर पेस्ट बना लें। इसमें चिकन डालकर अच्छे से मिला लें। इसे 1 घंटे के लिए फ्रिज में रख दें। अब ग्रिल पैन में तेल गर्म करें। इसमें मैरिनेटेड चिकन डालकर अच्छे से मिला लें। सभी तरफ से अच्छे से पकाएं। चिकन पर हल्की भूरी परत दिखने लगेगी और चिकन भी "&amp;"मुलायम हो जाएगा। पकने के बाद इसे एक बाउल में निकाल लें, इसमें चाट मसाला, नींबू का रस डालें और अच्छे से मिला लें। धनिया पुदीना चिकन टिक्का रेसिपी को दही पुदीना चटनी और विनेगर वाले प्याज के साथ घर पर पार्टी के लिए सर्व करें।")</f>
        <v>धनिया पुदीना चिकन टिक्का रेसिपी बनाने के लिए सबसे पहले चिकन को साफ करके धो लें। इसे छोटे-छोटे टुकड़ों में काट लें और कांटे की मदद से छेद कर लें। इसे एक तरफ रख दें। मैरिनेशन मसाला बनाने के लिए मिक्सर ग्राइंडर में धनिया पत्ता, पुदीना, दही, हरी मिर्च, अदरक, लहसुन, नमक डालकर पेस्ट बना लें। इसमें चिकन डालकर अच्छे से मिला लें। इसे 1 घंटे के लिए फ्रिज में रख दें। अब ग्रिल पैन में तेल गर्म करें। इसमें मैरिनेटेड चिकन डालकर अच्छे से मिला लें। सभी तरफ से अच्छे से पकाएं। चिकन पर हल्की भूरी परत दिखने लगेगी और चिकन भी मुलायम हो जाएगा। पकने के बाद इसे एक बाउल में निकाल लें, इसमें चाट मसाला, नींबू का रस डालें और अच्छे से मिला लें। धनिया पुदीना चिकन टिक्का रेसिपी को दही पुदीना चटनी और विनेगर वाले प्याज के साथ घर पर पार्टी के लिए सर्व करें।</v>
      </c>
      <c r="J477" s="3" t="s">
        <v>32902</v>
      </c>
      <c r="L477" s="1" t="s">
        <v>31003</v>
      </c>
    </row>
    <row r="478" spans="1:12" ht="13.8">
      <c r="A478" s="1" t="s">
        <v>32903</v>
      </c>
      <c r="B478" s="1" t="str">
        <f ca="1">IFERROR(__xludf.dummyfunction("IF(A478="""", """", GOOGLETRANSLATE(A478, ""en"", ""hi""))"),"ओट्स और हरी मूंग दाल दही वड़ा रेसिपी")</f>
        <v>ओट्स और हरी मूंग दाल दही वड़ा रेसिपी</v>
      </c>
      <c r="C478" s="1" t="s">
        <v>14281</v>
      </c>
      <c r="D478" s="1" t="s">
        <v>14198</v>
      </c>
      <c r="E478" s="1">
        <v>560</v>
      </c>
      <c r="F478" s="1" t="s">
        <v>32904</v>
      </c>
      <c r="G478" s="1" t="str">
        <f ca="1">IFERROR(__xludf.dummyfunction("IF(F478="""", """", GOOGLETRANSLATE(F478, ""en"", ""hi""))"),"1 कप हरी मूंग दाल (साबुत), 1/2 कप सफ़ेद उड़द दाल (साबुत), 1/2 कप इंस्टेंट ओट्स (दलिया) - भुना हुआ, 1 चम्मच बेकिंग सोडा, नमक - स्वादानुसार, 1 कप दही, 2 बड़े चम्मच चीनी, पानी - आवश्यकतानुसार, 1 चम्मच लाल मिर्च पाउडर, 1 चम्मच धनिया पाउडर, 4 बड़े चम्मच हरी मू"&amp;"ंग स्प्राउट्स")</f>
        <v>1 कप हरी मूंग दाल (साबुत), 1/2 कप सफ़ेद उड़द दाल (साबुत), 1/2 कप इंस्टेंट ओट्स (दलिया) - भुना हुआ, 1 चम्मच बेकिंग सोडा, नमक - स्वादानुसार, 1 कप दही, 2 बड़े चम्मच चीनी, पानी - आवश्यकतानुसार, 1 चम्मच लाल मिर्च पाउडर, 1 चम्मच धनिया पाउडर, 4 बड़े चम्मच हरी मूंग स्प्राउट्स</v>
      </c>
      <c r="H478" s="1" t="s">
        <v>32905</v>
      </c>
      <c r="I478" s="1" t="str">
        <f ca="1">IFERROR(__xludf.dummyfunction("IF(H478="""", """", GOOGLETRANSLATE(H478, ""en"", ""hi""))"),"हम ओट्स और हरी मूंग दाल दही वड़ा बनाना शुरू करते हैं, काली मूंग दाल और उड़द दाल को लगभग 8 घंटे या रात भर पानी में भिगोकर रखते हैं। एक बार जब यह हो जाए तो दोनों दालों को मिक्सर में एक मुलायम पेस्ट बनने तक पीस लें। आप भुने हुए ओट्स को बैटर में मिला सकते हैं"&amp;" और दही मिश्रण बनने तक इसे आराम करने के लिए छोड़ सकते हैं। एक कटोरे में दही/दही और पानी मिलाएं, चीनी डालें और इसे अच्छी तरह से चिकना होने तक फेंटें। इसे फ्रिज में रख दें। वड़ा तलने के लिए, एक कुझी पनियारम पैन गरम करें, बैटर को बाहर निकालें, इसमें नमक और ब"&amp;"ेकिंग सोडा डालें और अच्छी तरह मिलाएँ। तेल डालें और प्रत्येक छेद में दही वड़ा बैटर का एक बड़ा चमचा डालें और ढक दें फिर लगभग 2 मिनट तक फिर से पकाएं जब तक कि यह कुरकुरा न हो जाए। एक बार हो जाने पर उन्हें बाहर निकालें और दही मिश्रण में डालें और परोसने से पहले"&amp;" लगभग 20 मिनट के लिए ठंडा करें। परोसने के लिए, ऊपर से इमली और खजूर की चटनी और धनिया पुदीना की चटनी डालें और साथ में थोड़ा चाट पाउडर डालें। ओट्स और हरी मूंग दाल दही वड़ा रेसिपी को स्टार्टर के रूप में या होली जैसे किसी भी उत्सव के अवसर पर नाश्ते के रूप में "&amp;"या चाट पार्टी में भेल पुरी, पानी पुरी और सेव पुरी के साथ परोसें।")</f>
        <v>हम ओट्स और हरी मूंग दाल दही वड़ा बनाना शुरू करते हैं, काली मूंग दाल और उड़द दाल को लगभग 8 घंटे या रात भर पानी में भिगोकर रखते हैं। एक बार जब यह हो जाए तो दोनों दालों को मिक्सर में एक मुलायम पेस्ट बनने तक पीस लें। आप भुने हुए ओट्स को बैटर में मिला सकते हैं और दही मिश्रण बनने तक इसे आराम करने के लिए छोड़ सकते हैं। एक कटोरे में दही/दही और पानी मिलाएं, चीनी डालें और इसे अच्छी तरह से चिकना होने तक फेंटें। इसे फ्रिज में रख दें। वड़ा तलने के लिए, एक कुझी पनियारम पैन गरम करें, बैटर को बाहर निकालें, इसमें नमक और बेकिंग सोडा डालें और अच्छी तरह मिलाएँ। तेल डालें और प्रत्येक छेद में दही वड़ा बैटर का एक बड़ा चमचा डालें और ढक दें फिर लगभग 2 मिनट तक फिर से पकाएं जब तक कि यह कुरकुरा न हो जाए। एक बार हो जाने पर उन्हें बाहर निकालें और दही मिश्रण में डालें और परोसने से पहले लगभग 20 मिनट के लिए ठंडा करें। परोसने के लिए, ऊपर से इमली और खजूर की चटनी और धनिया पुदीना की चटनी डालें और साथ में थोड़ा चाट पाउडर डालें। ओट्स और हरी मूंग दाल दही वड़ा रेसिपी को स्टार्टर के रूप में या होली जैसे किसी भी उत्सव के अवसर पर नाश्ते के रूप में या चाट पार्टी में भेल पुरी, पानी पुरी और सेव पुरी के साथ परोसें।</v>
      </c>
      <c r="J478" s="3" t="s">
        <v>32906</v>
      </c>
      <c r="L478" s="1" t="s">
        <v>31003</v>
      </c>
    </row>
    <row r="479" spans="1:12" ht="13.8">
      <c r="A479" s="1" t="s">
        <v>32907</v>
      </c>
      <c r="B479" s="1" t="str">
        <f ca="1">IFERROR(__xludf.dummyfunction("IF(A479="""", """", GOOGLETRANSLATE(A479, ""en"", ""hi""))"),"हरियाली चिकन टिक्का रैप रेसिपी")</f>
        <v>हरियाली चिकन टिक्का रैप रेसिपी</v>
      </c>
      <c r="C479" s="1" t="s">
        <v>14281</v>
      </c>
      <c r="D479" s="1" t="s">
        <v>14367</v>
      </c>
      <c r="E479" s="1">
        <v>125</v>
      </c>
      <c r="F479" s="1" t="s">
        <v>32908</v>
      </c>
      <c r="G479" s="1" t="str">
        <f ca="1">IFERROR(__xludf.dummyfunction("IF(F479="""", """", GOOGLETRANSLATE(F479, ""en"", ""hi""))"),"2 गेहूं के तवा पराठे, 1 प्याज - कटा हुआ, 2 बड़े चम्मच लहसुन की चटनी, 300 ग्राम चिकन ब्रेस्ट - छोटे टुकड़ों में कटा हुआ, 1 चम्मच लाल मिर्च पाउडर, 1/2 चम्मच हल्दी पाउडर, 2 चम्मच गरम मसाला पाउडर, 1 चम्मच आमचूर, 1 चम्मच जीरा पाउडर, 1/4 कप दही, नमक - स्वादानुस"&amp;"ार, 1 कप धनिया पत्ती, 1 कप पुदीना पत्ती, 1 हरी मिर्च")</f>
        <v>2 गेहूं के तवा पराठे, 1 प्याज - कटा हुआ, 2 बड़े चम्मच लहसुन की चटनी, 300 ग्राम चिकन ब्रेस्ट - छोटे टुकड़ों में कटा हुआ, 1 चम्मच लाल मिर्च पाउडर, 1/2 चम्मच हल्दी पाउडर, 2 चम्मच गरम मसाला पाउडर, 1 चम्मच आमचूर, 1 चम्मच जीरा पाउडर, 1/4 कप दही, नमक - स्वादानुसार, 1 कप धनिया पत्ती, 1 कप पुदीना पत्ती, 1 हरी मिर्च</v>
      </c>
      <c r="H479" s="1" t="s">
        <v>32909</v>
      </c>
      <c r="I479" s="1" t="str">
        <f ca="1">IFERROR(__xludf.dummyfunction("IF(H479="""", """", GOOGLETRANSLATE(H479, ""en"", ""hi""))"),"हरियाली चिकन टिक्का रेसिपी बनाने के लिए सबसे पहले चिकन को अच्छी तरह धोकर साफ कर लें। फिर इन्हें 1 इंच के क्यूब्स में काट लें और एक तरफ रख दें। हरियाली टिक्का मैरिनेड के लिए एक मिक्सर जार में धनिया पत्ती, पुदीना पत्ती, हरी मिर्च डालें और मुलायम पेस्ट बनने "&amp;"तक पीस लें। मैरिनेड को मिक्सिंग बाउल में डालें और उसमें दही के साथ लाल मिर्च पाउडर, हल्दी पाउडर, गरम मसाला पाउडर, अमचूर पाउडर, नमक और जीरा पाउडर डालें। अच्छी तरह मिलाएं और इसमें चिकन के टुकड़े डालें। लगभग 1 घंटे के लिए अलग रख दें। मध्यम आंच पर ग्रिल पैन ग"&amp;"रम करें, थोड़ा तेल छिड़कें, मैरिनेट किए हुए चिकन के टुकड़े रखें और दोनों तरफ समान रूप से तब तक ग्रिल करें जब तक कि यह अच्छी तरह से भुन न जाए। चिकन को पकने में लगभग 10 मिनट का समय लगेगा। वैकल्पिक रूप से आप रागी तवा पराठा बनाकर पराठे का एक स्वस्थ संस्करण भी"&amp;" बना सकते हैं या पुदीना तवा पराठा रेसिपी जैसे मसालेदार विकल्प चुन सकते हैं। लहसुन की चटनी बनाना सीखें, जिसे रैप पर फैलाना आवश्यक है। तवा पराठे को बेलन पर रखें, पहले लहसुन की चटनी फैलाएं और अचार वाले प्याज व्यवस्थित करें, पराठे के एक तरफ चिकन के टुकड़े रखे"&amp;"ं। उन्हें कसकर रोल करना शुरू करें और एक पन्नी का उपयोग करके इसे लपेटें और परोसें। हरियाली चिकन टिक्का रैप को नाश्ते के साथ मुल्ड एप्पल जूस रेसिपी या चीकू केला खजूर स्मूदी रेसिपी के साथ परोसें।")</f>
        <v>हरियाली चिकन टिक्का रेसिपी बनाने के लिए सबसे पहले चिकन को अच्छी तरह धोकर साफ कर लें। फिर इन्हें 1 इंच के क्यूब्स में काट लें और एक तरफ रख दें। हरियाली टिक्का मैरिनेड के लिए एक मिक्सर जार में धनिया पत्ती, पुदीना पत्ती, हरी मिर्च डालें और मुलायम पेस्ट बनने तक पीस लें। मैरिनेड को मिक्सिंग बाउल में डालें और उसमें दही के साथ लाल मिर्च पाउडर, हल्दी पाउडर, गरम मसाला पाउडर, अमचूर पाउडर, नमक और जीरा पाउडर डालें। अच्छी तरह मिलाएं और इसमें चिकन के टुकड़े डालें। लगभग 1 घंटे के लिए अलग रख दें। मध्यम आंच पर ग्रिल पैन गरम करें, थोड़ा तेल छिड़कें, मैरिनेट किए हुए चिकन के टुकड़े रखें और दोनों तरफ समान रूप से तब तक ग्रिल करें जब तक कि यह अच्छी तरह से भुन न जाए। चिकन को पकने में लगभग 10 मिनट का समय लगेगा। वैकल्पिक रूप से आप रागी तवा पराठा बनाकर पराठे का एक स्वस्थ संस्करण भी बना सकते हैं या पुदीना तवा पराठा रेसिपी जैसे मसालेदार विकल्प चुन सकते हैं। लहसुन की चटनी बनाना सीखें, जिसे रैप पर फैलाना आवश्यक है। तवा पराठे को बेलन पर रखें, पहले लहसुन की चटनी फैलाएं और अचार वाले प्याज व्यवस्थित करें, पराठे के एक तरफ चिकन के टुकड़े रखें। उन्हें कसकर रोल करना शुरू करें और एक पन्नी का उपयोग करके इसे लपेटें और परोसें। हरियाली चिकन टिक्का रैप को नाश्ते के साथ मुल्ड एप्पल जूस रेसिपी या चीकू केला खजूर स्मूदी रेसिपी के साथ परोसें।</v>
      </c>
      <c r="J479" s="3" t="s">
        <v>32910</v>
      </c>
      <c r="L479" s="1" t="s">
        <v>31003</v>
      </c>
    </row>
    <row r="480" spans="1:12" ht="13.8">
      <c r="A480" s="1" t="s">
        <v>32911</v>
      </c>
      <c r="B480" s="1" t="str">
        <f ca="1">IFERROR(__xludf.dummyfunction("IF(A480="""", """", GOOGLETRANSLATE(A480, ""en"", ""hi""))"),"ओट्स और राजमा कटलेट रेसिपी")</f>
        <v>ओट्स और राजमा कटलेट रेसिपी</v>
      </c>
      <c r="C480" s="1" t="s">
        <v>14281</v>
      </c>
      <c r="D480" s="1" t="s">
        <v>14237</v>
      </c>
      <c r="E480" s="1">
        <v>55</v>
      </c>
      <c r="F480" s="1" t="s">
        <v>32912</v>
      </c>
      <c r="G480" s="1" t="str">
        <f ca="1">IFERROR(__xludf.dummyfunction("IF(F480="""", """", GOOGLETRANSLATE(F480, ""en"", ""hi""))"),"1 कप राजमा - भिगोकर पका हुआ, 1 कप पनीर - टुकड़े टुकड़े किया हुआ, 80 ग्राम ओट्स या इंस्टेंट ओट्स, 2 हरी मिर्च - बारीक कटी हुई, 1 इंच अदरक - कद्दूकस किया हुआ, 3 लहसुन के दाने - कद्दूकस किया हुआ, 1/2 छोटा चम्मच गरम मसाला पाउडर, 1/2 छोटा चम्मच सौंफ - पाउडर, 4"&amp;" धनिया पत्ते - बारीक कटे हुए, नमक - स्वादानुसार, सूरजमुखी तेल - आवश्यकतानुसार, 2 अंडे का सफेद भाग - फेंटा हुआ, 1 कप गेहूं की ब्रेड का चूर्ण - कोटिंग के लिए (अतिरिक्त)")</f>
        <v>1 कप राजमा - भिगोकर पका हुआ, 1 कप पनीर - टुकड़े टुकड़े किया हुआ, 80 ग्राम ओट्स या इंस्टेंट ओट्स, 2 हरी मिर्च - बारीक कटी हुई, 1 इंच अदरक - कद्दूकस किया हुआ, 3 लहसुन के दाने - कद्दूकस किया हुआ, 1/2 छोटा चम्मच गरम मसाला पाउडर, 1/2 छोटा चम्मच सौंफ - पाउडर, 4 धनिया पत्ते - बारीक कटे हुए, नमक - स्वादानुसार, सूरजमुखी तेल - आवश्यकतानुसार, 2 अंडे का सफेद भाग - फेंटा हुआ, 1 कप गेहूं की ब्रेड का चूर्ण - कोटिंग के लिए (अतिरिक्त)</v>
      </c>
      <c r="H480" s="1" t="s">
        <v>32913</v>
      </c>
      <c r="I480" s="1" t="str">
        <f ca="1">IFERROR(__xludf.dummyfunction("IF(H480="""", """", GOOGLETRANSLATE(H480, ""en"", ""hi""))"),"ओट्स और राजमा कटलेट रेसिपी बनाने के लिए सबसे पहले राजमा को कम से कम 8 घंटे के लिए भिगो दें। भीगने के बाद राजमा को नमक के साथ प्रेशर कुकर में बहुत नरम होने तक पकाएं। पकने के बाद अतिरिक्त पानी निकाल दें। एक बड़े मिक्सिंग बाउल में राजमा डालें और आलू मैशर का "&amp;"उपयोग करके या फूड प्रोसेसर में पल्स करके अच्छी तरह मैश करें। इसमें पनीर, सफोला क्लासिक मसाला ओट्स और बची हुई सामग्री डालकर अच्छी तरह मिला लें। नमक की जांच करें और अपने स्वादानुसार नमक डालें। हो जाने पर राजमा कटलेट मिश्रण को छोटी गोल डिस्क का आकार दें। कटल"&amp;"ेट को अंडे के सफेद भाग के मिश्रण में डुबोएं और फिर ब्रेडक्रंब मिश्रण में कटलेट को रोल करें। एक कड़ाही को मध्यम आंच पर गर्म करें और ओट्स और राजमा कटलेट को दोनों तरफ से पकाएं तेल सोखने वाले कागज पर निकालें और गरमागरम परोसें। राजमा कटलेट को अपनी अगली पार्टी "&amp;"में स्टार्टर के रूप में परोसें, साथ ही मुंबई स्टाइल तवा पुलाव रेसिपी विद मूंग स्प्राउट्स, पनीर पसंदा और केसर पनीर की खीर भी परोसें।")</f>
        <v>ओट्स और राजमा कटलेट रेसिपी बनाने के लिए सबसे पहले राजमा को कम से कम 8 घंटे के लिए भिगो दें। भीगने के बाद राजमा को नमक के साथ प्रेशर कुकर में बहुत नरम होने तक पकाएं। पकने के बाद अतिरिक्त पानी निकाल दें। एक बड़े मिक्सिंग बाउल में राजमा डालें और आलू मैशर का उपयोग करके या फूड प्रोसेसर में पल्स करके अच्छी तरह मैश करें। इसमें पनीर, सफोला क्लासिक मसाला ओट्स और बची हुई सामग्री डालकर अच्छी तरह मिला लें। नमक की जांच करें और अपने स्वादानुसार नमक डालें। हो जाने पर राजमा कटलेट मिश्रण को छोटी गोल डिस्क का आकार दें। कटलेट को अंडे के सफेद भाग के मिश्रण में डुबोएं और फिर ब्रेडक्रंब मिश्रण में कटलेट को रोल करें। एक कड़ाही को मध्यम आंच पर गर्म करें और ओट्स और राजमा कटलेट को दोनों तरफ से पकाएं तेल सोखने वाले कागज पर निकालें और गरमागरम परोसें। राजमा कटलेट को अपनी अगली पार्टी में स्टार्टर के रूप में परोसें, साथ ही मुंबई स्टाइल तवा पुलाव रेसिपी विद मूंग स्प्राउट्स, पनीर पसंदा और केसर पनीर की खीर भी परोसें।</v>
      </c>
      <c r="J480" s="3" t="s">
        <v>32914</v>
      </c>
      <c r="L480" s="1" t="s">
        <v>31003</v>
      </c>
    </row>
    <row r="481" spans="1:12" ht="13.8">
      <c r="A481" s="1" t="s">
        <v>32915</v>
      </c>
      <c r="B481" s="1" t="str">
        <f ca="1">IFERROR(__xludf.dummyfunction("IF(A481="""", """", GOOGLETRANSLATE(A481, ""en"", ""hi""))"),"दम के शामी कबाब रेसिपी")</f>
        <v>दम के शामी कबाब रेसिपी</v>
      </c>
      <c r="C481" s="1" t="s">
        <v>14572</v>
      </c>
      <c r="D481" s="1" t="s">
        <v>14382</v>
      </c>
      <c r="E481" s="1">
        <v>55</v>
      </c>
      <c r="F481" s="1" t="s">
        <v>32916</v>
      </c>
      <c r="G481" s="1" t="str">
        <f ca="1">IFERROR(__xludf.dummyfunction("IF(F481="""", """", GOOGLETRANSLATE(F481, ""en"", ""hi""))"),"500 ग्राम मटन, 1/4 कप चना दाल, 4 साबुत काली मिर्च - कुटी हुई, 3 कबाबचीनी - कुटी हुई, 1/2 छोटा चम्मच जीरा, 1 बड़ा चम्मच अदरक लहसुन पेस्ट, 2 प्याज - बारीक कटे हुए, 1/4 कप धनिया पत्ते - कटे हुए, सूरजमुखी तेल - हल्का भूनने के लिए, 1 पूरा अंडा - फेंटा हुआ, चार"&amp;"कोल - दम के लिए, 1 छोटा चम्मच लाल मिर्च पाउडर - (स्वादानुसार), नमक - स्वादानुसार, 1/2 छोटा चम्मच जीरा पाउडर - 14 जीरा पाउडर 1 छोटा चम्मच, 1 बड़ा चम्मच कच्चा पपीता - कटा हुआ")</f>
        <v>500 ग्राम मटन, 1/4 कप चना दाल, 4 साबुत काली मिर्च - कुटी हुई, 3 कबाबचीनी - कुटी हुई, 1/2 छोटा चम्मच जीरा, 1 बड़ा चम्मच अदरक लहसुन पेस्ट, 2 प्याज - बारीक कटे हुए, 1/4 कप धनिया पत्ते - कटे हुए, सूरजमुखी तेल - हल्का भूनने के लिए, 1 पूरा अंडा - फेंटा हुआ, चारकोल - दम के लिए, 1 छोटा चम्मच लाल मिर्च पाउडर - (स्वादानुसार), नमक - स्वादानुसार, 1/2 छोटा चम्मच जीरा पाउडर - 14 जीरा पाउडर 1 छोटा चम्मच, 1 बड़ा चम्मच कच्चा पपीता - कटा हुआ</v>
      </c>
      <c r="H481" s="1" t="s">
        <v>32917</v>
      </c>
      <c r="I481" s="1" t="str">
        <f ca="1">IFERROR(__xludf.dummyfunction("IF(H481="""", """", GOOGLETRANSLATE(H481, ""en"", ""hi""))"),"दम के शामी कबाब बनाने के लिए सबसे पहले एक बड़े मिक्सिंग बाउल में काली मिर्च, कबाबचीनी, जीरा, अदरक लहसुन पेस्ट, लाल मिर्च पाउडर, नमक, जीरा पाउडर, कच्चा पपीता सहित सभी मसालों को मटन के साथ मिला लें और लगभग 30 मिनट के लिए मैरीनेट कर लें। मीट के मिश्रण को चना"&amp;" दाल के साथ मिला लें, लगभग आधा कप पानी मिला लें और प्रेस कुकर में 20 मिनट या मटन के पकने तक पका लें। प्रेशर कुकर का ढक्कन खोलें और तब तक पकाएँ जब तक सारा पानी सूख न जाए। जब ​​मटन पूरी तरह पक जाए तो मीट को बारीक काट लें। पके हुए कीमे में कटा हुआ प्याज, धनि"&amp;"या और अंडा मिला लें और छोटे कबाब बना लें। उथले तलने के लिए एक उथले फ्राइंग पैन में थोड़ा तेल गर्म करें। शामी कबाब को मध्यम आंच पर तब तक तलें जब तक कि बाहरी परत सुनहरी और कुरकुरी न हो जाए। कबाब तैयार हो जाने के बाद, कोयले के कुछ टुकड़ों को तब तक गर्म करें "&amp;"जब तक कि कोयला लाल न हो जाए। उथले फ्राइंग पैन में बचा हुआ तेल निकाल दें, बीच में एक स्टील का कप रखें, कप के चारों ओर पैन में सभी कबाब व्यवस्थित करें। कप में लाल गर्म धुआँ उगलते कोयले के टुकड़े डालें और पैन का ढक्कन बंद कर दें। 2 मिनट तक प्रतीक्षा करें। दम"&amp;" के शामी कबाब रेसिपी को कटे हुए टमाटर और प्याज़ के स्लाइस के साथ धनिया पुदीना चटनी रेसिपी (हरी चटनी) या घर पर बनी लाल मिर्च लहसुन सॉस रेसिपी के साथ परोसें।")</f>
        <v>दम के शामी कबाब बनाने के लिए सबसे पहले एक बड़े मिक्सिंग बाउल में काली मिर्च, कबाबचीनी, जीरा, अदरक लहसुन पेस्ट, लाल मिर्च पाउडर, नमक, जीरा पाउडर, कच्चा पपीता सहित सभी मसालों को मटन के साथ मिला लें और लगभग 30 मिनट के लिए मैरीनेट कर लें। मीट के मिश्रण को चना दाल के साथ मिला लें, लगभग आधा कप पानी मिला लें और प्रेस कुकर में 20 मिनट या मटन के पकने तक पका लें। प्रेशर कुकर का ढक्कन खोलें और तब तक पकाएँ जब तक सारा पानी सूख न जाए। जब ​​मटन पूरी तरह पक जाए तो मीट को बारीक काट लें। पके हुए कीमे में कटा हुआ प्याज, धनिया और अंडा मिला लें और छोटे कबाब बना लें। उथले तलने के लिए एक उथले फ्राइंग पैन में थोड़ा तेल गर्म करें। शामी कबाब को मध्यम आंच पर तब तक तलें जब तक कि बाहरी परत सुनहरी और कुरकुरी न हो जाए। कबाब तैयार हो जाने के बाद, कोयले के कुछ टुकड़ों को तब तक गर्म करें जब तक कि कोयला लाल न हो जाए। उथले फ्राइंग पैन में बचा हुआ तेल निकाल दें, बीच में एक स्टील का कप रखें, कप के चारों ओर पैन में सभी कबाब व्यवस्थित करें। कप में लाल गर्म धुआँ उगलते कोयले के टुकड़े डालें और पैन का ढक्कन बंद कर दें। 2 मिनट तक प्रतीक्षा करें। दम के शामी कबाब रेसिपी को कटे हुए टमाटर और प्याज़ के स्लाइस के साथ धनिया पुदीना चटनी रेसिपी (हरी चटनी) या घर पर बनी लाल मिर्च लहसुन सॉस रेसिपी के साथ परोसें।</v>
      </c>
      <c r="J481" s="3" t="s">
        <v>32918</v>
      </c>
      <c r="L481" s="1" t="s">
        <v>31003</v>
      </c>
    </row>
    <row r="482" spans="1:12" ht="13.8">
      <c r="A482" s="1" t="s">
        <v>32919</v>
      </c>
      <c r="B482" s="1" t="str">
        <f ca="1">IFERROR(__xludf.dummyfunction("IF(A482="""", """", GOOGLETRANSLATE(A482, ""en"", ""hi""))"),"पुदीना चटनी")</f>
        <v>पुदीना चटनी</v>
      </c>
      <c r="C482" s="1" t="s">
        <v>14207</v>
      </c>
      <c r="D482" s="1" t="s">
        <v>14198</v>
      </c>
      <c r="E482" s="1">
        <v>30</v>
      </c>
      <c r="F482" s="1" t="s">
        <v>32920</v>
      </c>
      <c r="G482" s="1" t="str">
        <f ca="1">IFERROR(__xludf.dummyfunction("IF(F482="""", """", GOOGLETRANSLATE(F482, ""en"", ""hi""))"),"2 कप पुदीना - धोया हुआ, 1/3 कप नारियल - कद्दूकस किया हुआ, 1 छोटा चम्मच धनिया के बीज, 3 सूखी लाल मिर्च, 2 छोटे चम्मच इमली का पेस्ट, 2 छोटे चम्मच सफेद उड़द दाल, 1/2 बड़ा चम्मच गुड़, 1/4 छोटा चम्मच हल्दी पाउडर, नमक - स्वादानुसार, 1 छोटा चम्मच तेल, 1/2 छोटा च"&amp;"म्मच राई, 1 छोटा चम्मच सफेद उड़द दाल, 2 सूखी लाल मिर्च, 1/4 छोटा चम्मच हींग, 5 से 6 करी पत्ते")</f>
        <v>2 कप पुदीना - धोया हुआ, 1/3 कप नारियल - कद्दूकस किया हुआ, 1 छोटा चम्मच धनिया के बीज, 3 सूखी लाल मिर्च, 2 छोटे चम्मच इमली का पेस्ट, 2 छोटे चम्मच सफेद उड़द दाल, 1/2 बड़ा चम्मच गुड़, 1/4 छोटा चम्मच हल्दी पाउडर, नमक - स्वादानुसार, 1 छोटा चम्मच तेल, 1/2 छोटा चम्मच राई, 1 छोटा चम्मच सफेद उड़द दाल, 2 सूखी लाल मिर्च, 1/4 छोटा चम्मच हींग, 5 से 6 करी पत्ते</v>
      </c>
      <c r="H482" s="1" t="s">
        <v>32921</v>
      </c>
      <c r="I482" s="1" t="str">
        <f ca="1">IFERROR(__xludf.dummyfunction("IF(H482="""", """", GOOGLETRANSLATE(H482, ""en"", ""hi""))"),"""पुदीना चटनी बनाने के लिए सबसे पहले पुदीने के पत्तों को अच्छे से धो लें। उन्हें किचन टॉवल में सूखने के लिए रख दें। अब एक पैन में तेल गरम करें, उसमें धनिया के बीज, उड़द दाल, सूखी लाल मिर्च, नारियल, हल्दी पाउडर और पुदीना डालें। अब इस मिश्रण को ग्राइंडर में"&amp;" डालें, इमली, नमक और गुड़ डालें। थोड़ा पानी डालकर पीस लें। इसे एक सर्विंग बाउल में निकाल लें। अब तड़के के लिए एक छोटे पैन में तेल गरम करें। उसमें सरसों के बीज, उड़द दाल, सूखी लाल मिर्च, हींग और करी पत्ता डालें। इस तड़के को चटनी पर डालें और मिलाएँ। पुदीना "&amp;"चटनी को प्याज़ या मिर्ची के पकौड़े के साथ शाम की मसाला चाय के साथ परोसें।""")</f>
        <v>"पुदीना चटनी बनाने के लिए सबसे पहले पुदीने के पत्तों को अच्छे से धो लें। उन्हें किचन टॉवल में सूखने के लिए रख दें। अब एक पैन में तेल गरम करें, उसमें धनिया के बीज, उड़द दाल, सूखी लाल मिर्च, नारियल, हल्दी पाउडर और पुदीना डालें। अब इस मिश्रण को ग्राइंडर में डालें, इमली, नमक और गुड़ डालें। थोड़ा पानी डालकर पीस लें। इसे एक सर्विंग बाउल में निकाल लें। अब तड़के के लिए एक छोटे पैन में तेल गरम करें। उसमें सरसों के बीज, उड़द दाल, सूखी लाल मिर्च, हींग और करी पत्ता डालें। इस तड़के को चटनी पर डालें और मिलाएँ। पुदीना चटनी को प्याज़ या मिर्ची के पकौड़े के साथ शाम की मसाला चाय के साथ परोसें।"</v>
      </c>
      <c r="J482" s="3" t="s">
        <v>32922</v>
      </c>
      <c r="L482" s="1" t="s">
        <v>31003</v>
      </c>
    </row>
    <row r="483" spans="1:12" ht="13.8">
      <c r="A483" s="1" t="s">
        <v>31354</v>
      </c>
      <c r="B483" s="1" t="str">
        <f ca="1">IFERROR(__xludf.dummyfunction("IF(A483="""", """", GOOGLETRANSLATE(A483, ""en"", ""hi""))"),"कच्चे आम दाल फ्राई रेसिपी")</f>
        <v>कच्चे आम दाल फ्राई रेसिपी</v>
      </c>
      <c r="C483" s="1" t="s">
        <v>14207</v>
      </c>
      <c r="D483" s="1" t="s">
        <v>14237</v>
      </c>
      <c r="E483" s="1">
        <v>40</v>
      </c>
      <c r="F483" s="1" t="s">
        <v>32923</v>
      </c>
      <c r="G483" s="1" t="str">
        <f ca="1">IFERROR(__xludf.dummyfunction("IF(F483="""", """", GOOGLETRANSLATE(F483, ""en"", ""hi""))"),"1 कप अरहर दाल, 2 बड़े चम्मच कच्चा आम - कद्दूकस किया हुआ, 1/2 छोटा चम्मच हल्दी पाउडर, 1/2 छोटा चम्मच लाल मिर्च पाउडर, 1 टमाटर - कटा हुआ, 2 हरी मिर्च - पतली और सीधी कटी हुई, 1 टहनी करी पत्ता, 1 प्याज - कटा हुआ, 2 सूखी लाल मिर्च, 4 लहसुन की कलियां - कद्दूकस "&amp;"की हुई, नमक - स्वादानुसार, 1 छोटा चम्मच घी - तड़के के लिए")</f>
        <v>1 कप अरहर दाल, 2 बड़े चम्मच कच्चा आम - कद्दूकस किया हुआ, 1/2 छोटा चम्मच हल्दी पाउडर, 1/2 छोटा चम्मच लाल मिर्च पाउडर, 1 टमाटर - कटा हुआ, 2 हरी मिर्च - पतली और सीधी कटी हुई, 1 टहनी करी पत्ता, 1 प्याज - कटा हुआ, 2 सूखी लाल मिर्च, 4 लहसुन की कलियां - कद्दूकस की हुई, नमक - स्वादानुसार, 1 छोटा चम्मच घी - तड़के के लिए</v>
      </c>
      <c r="H483" s="1" t="s">
        <v>32924</v>
      </c>
      <c r="I483" s="1" t="str">
        <f ca="1">IFERROR(__xludf.dummyfunction("IF(H483="""", """", GOOGLETRANSLATE(H483, ""en"", ""hi""))"),"""कच्चे आम की दाल फ्राई रेसिपी बनाने के लिए सबसे पहले सारी सामग्री तैयार कर लें। प्रेशर कुकर में दाल, नमक, लाल मिर्च पाउडर, हल्दी पाउडर, हरी मिर्च, टमाटर, कच्चा आम और 2 कप पानी डालें। अच्छी तरह मिलाएँ और कुकर बंद कर दें। 3 से 4 सीटी आने तक पकाएँ। गैस बंद "&amp;"कर दें और प्रेशर अपने आप निकलने दें। कुकर खोलें, अच्छी तरह मिलाएँ और एक तरफ रख दें। अब एक पैन में घी गर्म करें। उसमें सूखी लाल मिर्च, प्याज़ डालें और प्याज़ के नरम होने तक पकाएँ। अब उसमें लहसुन, करी पत्ता डालें और 1 मिनट तक पकाएँ। अब दाल का मिश्रण डालें औ"&amp;"र 5 से 7 मिनट तक पकाएँ। गैस बंद करें और परोसें। कच्चे आम की दाल फ्राई रेसिपी को भिंडी मसाला, फुल्का और लौकी रायता के साथ लंच में परोसें।""")</f>
        <v>"कच्चे आम की दाल फ्राई रेसिपी बनाने के लिए सबसे पहले सारी सामग्री तैयार कर लें। प्रेशर कुकर में दाल, नमक, लाल मिर्च पाउडर, हल्दी पाउडर, हरी मिर्च, टमाटर, कच्चा आम और 2 कप पानी डालें। अच्छी तरह मिलाएँ और कुकर बंद कर दें। 3 से 4 सीटी आने तक पकाएँ। गैस बंद कर दें और प्रेशर अपने आप निकलने दें। कुकर खोलें, अच्छी तरह मिलाएँ और एक तरफ रख दें। अब एक पैन में घी गर्म करें। उसमें सूखी लाल मिर्च, प्याज़ डालें और प्याज़ के नरम होने तक पकाएँ। अब उसमें लहसुन, करी पत्ता डालें और 1 मिनट तक पकाएँ। अब दाल का मिश्रण डालें और 5 से 7 मिनट तक पकाएँ। गैस बंद करें और परोसें। कच्चे आम की दाल फ्राई रेसिपी को भिंडी मसाला, फुल्का और लौकी रायता के साथ लंच में परोसें।"</v>
      </c>
      <c r="J483" s="3" t="s">
        <v>32925</v>
      </c>
      <c r="L483" s="1" t="s">
        <v>31003</v>
      </c>
    </row>
    <row r="484" spans="1:12" ht="13.8">
      <c r="A484" s="1" t="s">
        <v>32926</v>
      </c>
      <c r="B484" s="1" t="str">
        <f ca="1">IFERROR(__xludf.dummyfunction("IF(A484="""", """", GOOGLETRANSLATE(A484, ""en"", ""hi""))"),"मशरूम दो प्याजा रेसिपी")</f>
        <v>मशरूम दो प्याजा रेसिपी</v>
      </c>
      <c r="C484" s="1" t="s">
        <v>145</v>
      </c>
      <c r="D484" s="1" t="s">
        <v>14198</v>
      </c>
      <c r="E484" s="1">
        <v>40</v>
      </c>
      <c r="F484" s="1" t="s">
        <v>32927</v>
      </c>
      <c r="G484" s="1" t="str">
        <f ca="1">IFERROR(__xludf.dummyfunction("IF(F484="""", """", GOOGLETRANSLATE(F484, ""en"", ""hi""))"),"500 ग्राम बटन मशरूम, 1 प्याज - क्यूब्स में कटा हुआ, 1 प्याज - बारीक कटा हुआ, 1 टमाटर - बारीक कटा हुआ, 1 इंच अदरक - कटा हुआ, 4 लहसुन - कटा हुआ, 1 हरी मिर्च - कटी हुई, 1 चम्मच लाल मिर्च पाउडर, 1/4 चम्मच हल्दी पाउडर, 2 चम्मच धनिया पाउडर, 1 चम्मच जीरा पाउडर, "&amp;"1 चम्मच गरम मसाला पाउडर, नमक - स्वादानुसार, सूरजमुखी तेल")</f>
        <v>500 ग्राम बटन मशरूम, 1 प्याज - क्यूब्स में कटा हुआ, 1 प्याज - बारीक कटा हुआ, 1 टमाटर - बारीक कटा हुआ, 1 इंच अदरक - कटा हुआ, 4 लहसुन - कटा हुआ, 1 हरी मिर्च - कटी हुई, 1 चम्मच लाल मिर्च पाउडर, 1/4 चम्मच हल्दी पाउडर, 2 चम्मच धनिया पाउडर, 1 चम्मच जीरा पाउडर, 1 चम्मच गरम मसाला पाउडर, नमक - स्वादानुसार, सूरजमुखी तेल</v>
      </c>
      <c r="H484" s="1" t="s">
        <v>32928</v>
      </c>
      <c r="I484" s="1" t="str">
        <f ca="1">IFERROR(__xludf.dummyfunction("IF(H484="""", """", GOOGLETRANSLATE(H484, ""en"", ""hi""))"),"मशरूम दो प्याजा रेसिपी बनाने के लिए सबसे पहले एक कढ़ाई में तेल गर्म करें, उसमें सबसे पहले कटे हुए प्याज और शिमला मिर्च डालें और तब तक भूनें जब तक वे नरम और कैरामेलाइज़्ड न हो जाएं। इन्हें निकाल कर अलग रख दें। अदरक और लहसुन डालें, इसे नरम होने दें। हो जाने"&amp;" पर कटे हुए प्याज डालें और उन्हें पारदर्शी होने तक पकाएं। कटे हुए टमाटर डालें और थोड़ा नमक छिड़कें ताकि टमाटर गूदेदार और नरम हो जाएं। इस समय आप लाल मिर्च पाउडर, हल्दी पाउडर, धनिया पाउडर, जीरा पाउडर, गरम मसाला पाउडर, नमक सहित सभी मसाले पाउडर डाल सकते हैं औ"&amp;"र अच्छी तरह से भूनें। कटे हुए मशरूम डालें और तब तक पकाएं जब तक कि सारा पानी सूख न जाए। नमक की जांच करें और यदि आवश्यक हो तो डालें। अंत में भूना हुआ प्याज और शिमला मिर्च डालें और अच्छी तरह मिलाएँ")</f>
        <v>मशरूम दो प्याजा रेसिपी बनाने के लिए सबसे पहले एक कढ़ाई में तेल गर्म करें, उसमें सबसे पहले कटे हुए प्याज और शिमला मिर्च डालें और तब तक भूनें जब तक वे नरम और कैरामेलाइज़्ड न हो जाएं। इन्हें निकाल कर अलग रख दें। अदरक और लहसुन डालें, इसे नरम होने दें। हो जाने पर कटे हुए प्याज डालें और उन्हें पारदर्शी होने तक पकाएं। कटे हुए टमाटर डालें और थोड़ा नमक छिड़कें ताकि टमाटर गूदेदार और नरम हो जाएं। इस समय आप लाल मिर्च पाउडर, हल्दी पाउडर, धनिया पाउडर, जीरा पाउडर, गरम मसाला पाउडर, नमक सहित सभी मसाले पाउडर डाल सकते हैं और अच्छी तरह से भूनें। कटे हुए मशरूम डालें और तब तक पकाएं जब तक कि सारा पानी सूख न जाए। नमक की जांच करें और यदि आवश्यक हो तो डालें। अंत में भूना हुआ प्याज और शिमला मिर्च डालें और अच्छी तरह मिलाएँ</v>
      </c>
      <c r="J484" s="3" t="s">
        <v>32929</v>
      </c>
      <c r="L484" s="1" t="s">
        <v>31003</v>
      </c>
    </row>
    <row r="485" spans="1:12" ht="13.8">
      <c r="A485" s="1" t="s">
        <v>32930</v>
      </c>
      <c r="B485" s="1" t="str">
        <f ca="1">IFERROR(__xludf.dummyfunction("IF(A485="""", """", GOOGLETRANSLATE(A485, ""en"", ""hi""))"),"साग टोफू रेसिपी (मसालेदार सरसों और पालक के पत्तों में पकाया गया टोफू)")</f>
        <v>साग टोफू रेसिपी (मसालेदार सरसों और पालक के पत्तों में पकाया गया टोफू)</v>
      </c>
      <c r="C485" s="1" t="s">
        <v>145</v>
      </c>
      <c r="D485" s="1" t="s">
        <v>14237</v>
      </c>
      <c r="E485" s="1">
        <v>60</v>
      </c>
      <c r="F485" s="1" t="s">
        <v>32931</v>
      </c>
      <c r="G485" s="1" t="str">
        <f ca="1">IFERROR(__xludf.dummyfunction("IF(F485="""", """", GOOGLETRANSLATE(F485, ""en"", ""hi""))"),"250 ग्राम टोफू - क्यूब्स में कटा हुआ, 300 ग्राम पालक, 300 ग्राम सरसों के पत्ते, 2 इंच अदरक, 4 हरी मिर्च - कटी हुई, 1/4 कप घर का बना टमाटर प्यूरी, 8 लहसुन - बारीक कटा हुआ, 1 चम्मच जीरा, हींग - एक चुटकी, 1/2 चम्मच हल्दी, 1 चम्मच गरम मसाला पाउडर, नमक - स्वाद"&amp;"ानुसार, 2 चम्मच मक्की का आटा, 3 सूखी लाल मिर्च, 1 चम्मच सूरजमुखी तेल, 1 चम्मच घी, पानी - आवश्यकतानुसार")</f>
        <v>250 ग्राम टोफू - क्यूब्स में कटा हुआ, 300 ग्राम पालक, 300 ग्राम सरसों के पत्ते, 2 इंच अदरक, 4 हरी मिर्च - कटी हुई, 1/4 कप घर का बना टमाटर प्यूरी, 8 लहसुन - बारीक कटा हुआ, 1 चम्मच जीरा, हींग - एक चुटकी, 1/2 चम्मच हल्दी, 1 चम्मच गरम मसाला पाउडर, नमक - स्वादानुसार, 2 चम्मच मक्की का आटा, 3 सूखी लाल मिर्च, 1 चम्मच सूरजमुखी तेल, 1 चम्मच घी, पानी - आवश्यकतानुसार</v>
      </c>
      <c r="H485" s="1" t="s">
        <v>32932</v>
      </c>
      <c r="I485" s="1" t="str">
        <f ca="1">IFERROR(__xludf.dummyfunction("IF(H485="""", """", GOOGLETRANSLATE(H485, ""en"", ""hi""))"),"साग टोफू रेसिपी बनाने के लिए सबसे पहले हम साग को पानी से अच्छे से धो लेंगे। दोनों साग को काट लें और स्टीमर में 4 से 5 मिनट तक स्टीम करें या प्रेशर कुकर में दो सीटी आने तक पकाएं। अगर आप प्रेशर कुकर में पकाने की योजना बना रहे हैं, तो सुनिश्चित करें कि आप एक"&amp;" दो सीटी आने के बाद आंच बंद कर दें और प्रेशर तुरंत छोड़ने के लिए कुकर को ठंडे पानी के नीचे चलाएं। प्रेशर तुरंत छोड़ने से साग का हरा रंग बरकरार रहता है। साग (सरसों और पालक के पत्ते) पक जाने के बाद इन्हें थोड़ा ठंडा होने दें। ठंडा होने पर पके हुए पालक और सर"&amp;"सों (साग) को ब्लेंडर में डालकर प्यूरी बना लें और एक तरफ रख दें। मध्यम आंच पर भारी तले के पैन में एक चम्मच तेल गर्म करें। इसमें कटे हुए टोफू डालें जब वे चटकने लगें तो उसमें हींग, लहसुन, हरी मिर्च डालें और कुछ सेकंड के लिए हिलाएं। टमाटर प्यूरी, हल्दी पाउडर,"&amp;" गरम मसाला पाउडर डालें और साग मसाला मिश्रण को उबाल लें। एक बार जब यह उबलने लगे तो इसमें पका हुआ और प्यूरी किया हुआ साग, मकई का आटा और पैन फ्राइड टोफू डालें। नमक डालें और हिलाएं। लगभग 5 मिनट तक उबालें जब तक कि साग टोफू गाढ़ा न हो जाए और सभी मसालों को सोख न"&amp;" ले। नमक और मसाले की जांच करें और अपने स्वाद के अनुसार समायोजित करें। आंच बंद कर दें, एक सर्विंग बाउल में डालें और परोसें। साग टोफू को अचार प्याज और तवा पराठा या मक्की रोटी के साथ लंच या डिनर में परोसें।")</f>
        <v>साग टोफू रेसिपी बनाने के लिए सबसे पहले हम साग को पानी से अच्छे से धो लेंगे। दोनों साग को काट लें और स्टीमर में 4 से 5 मिनट तक स्टीम करें या प्रेशर कुकर में दो सीटी आने तक पकाएं। अगर आप प्रेशर कुकर में पकाने की योजना बना रहे हैं, तो सुनिश्चित करें कि आप एक दो सीटी आने के बाद आंच बंद कर दें और प्रेशर तुरंत छोड़ने के लिए कुकर को ठंडे पानी के नीचे चलाएं। प्रेशर तुरंत छोड़ने से साग का हरा रंग बरकरार रहता है। साग (सरसों और पालक के पत्ते) पक जाने के बाद इन्हें थोड़ा ठंडा होने दें। ठंडा होने पर पके हुए पालक और सरसों (साग) को ब्लेंडर में डालकर प्यूरी बना लें और एक तरफ रख दें। मध्यम आंच पर भारी तले के पैन में एक चम्मच तेल गर्म करें। इसमें कटे हुए टोफू डालें जब वे चटकने लगें तो उसमें हींग, लहसुन, हरी मिर्च डालें और कुछ सेकंड के लिए हिलाएं। टमाटर प्यूरी, हल्दी पाउडर, गरम मसाला पाउडर डालें और साग मसाला मिश्रण को उबाल लें। एक बार जब यह उबलने लगे तो इसमें पका हुआ और प्यूरी किया हुआ साग, मकई का आटा और पैन फ्राइड टोफू डालें। नमक डालें और हिलाएं। लगभग 5 मिनट तक उबालें जब तक कि साग टोफू गाढ़ा न हो जाए और सभी मसालों को सोख न ले। नमक और मसाले की जांच करें और अपने स्वाद के अनुसार समायोजित करें। आंच बंद कर दें, एक सर्विंग बाउल में डालें और परोसें। साग टोफू को अचार प्याज और तवा पराठा या मक्की रोटी के साथ लंच या डिनर में परोसें।</v>
      </c>
      <c r="J485" s="3" t="s">
        <v>32933</v>
      </c>
      <c r="L485" s="1" t="s">
        <v>31003</v>
      </c>
    </row>
    <row r="486" spans="1:12" ht="13.8">
      <c r="A486" s="1" t="s">
        <v>32934</v>
      </c>
      <c r="B486" s="1" t="str">
        <f ca="1">IFERROR(__xludf.dummyfunction("IF(A486="""", """", GOOGLETRANSLATE(A486, ""en"", ""hi""))"),"खुंब काकुरी पोटली कबाब रेसिपी सैंडविच स्प्रेड के साथ")</f>
        <v>खुंब काकुरी पोटली कबाब रेसिपी सैंडविच स्प्रेड के साथ</v>
      </c>
      <c r="C486" s="1" t="s">
        <v>14572</v>
      </c>
      <c r="D486" s="1" t="s">
        <v>14198</v>
      </c>
      <c r="E486" s="1">
        <v>40</v>
      </c>
      <c r="F486" s="1" t="s">
        <v>32935</v>
      </c>
      <c r="G486" s="1" t="str">
        <f ca="1">IFERROR(__xludf.dummyfunction("IF(F486="""", """", GOOGLETRANSLATE(F486, ""en"", ""hi""))"),"2 रूमाली रोटी, 200 ग्राम बटन मशरूम - बारीक कटा हुआ, 1/4 कप डेल मोंटे सैंडविच स्प्रेड, 2 बड़े चम्मच काजू - बारीक कटा हुआ, 1 बड़ा चम्मच ताजा क्रीम, 2 बड़े चम्मच पनीर - कसा हुआ, 1/2 चम्मच साबुत काली मिर्च - मोटे तौर पर कुटी हुई, नमक - स्वादानुसार")</f>
        <v>2 रूमाली रोटी, 200 ग्राम बटन मशरूम - बारीक कटा हुआ, 1/4 कप डेल मोंटे सैंडविच स्प्रेड, 2 बड़े चम्मच काजू - बारीक कटा हुआ, 1 बड़ा चम्मच ताजा क्रीम, 2 बड़े चम्मच पनीर - कसा हुआ, 1/2 चम्मच साबुत काली मिर्च - मोटे तौर पर कुटी हुई, नमक - स्वादानुसार</v>
      </c>
      <c r="H486" s="1" t="s">
        <v>32936</v>
      </c>
      <c r="I486" s="1" t="str">
        <f ca="1">IFERROR(__xludf.dummyfunction("IF(H486="""", """", GOOGLETRANSLATE(H486, ""en"", ""hi""))"),"सैंडविच स्प्रेड के साथ खुम्ब ककुरी पोटली कबाब रेसिपी बनाने के लिए, कटे हुए मशरूम को काजू, डेल मोंटे सैंडविच स्प्रेड, ताज़ी क्रीम, नमक और काली मिर्च के साथ मिलाएँ। मैरिनेट होने के लिए अलग रख दें। रूमाली रोटी लें और बीच से दो हिस्सों में काट लें। मैरिनेट कि"&amp;"या हुआ मशरूम लें और रोटी के टुकड़े के बीच मिश्रण का एक चम्मच रखें। रोटी के किनारों को एक साथ इकट्ठा करें और उन्हें टूथपिक से इस तरह सील करें कि कोने खुले नहीं। बची हुई खुम्ब ककुरी पोटली तैयार करें और अलग रख दें। ओवन को 180 डिग्री सेल्सियस पर 10 मिनट के लि"&amp;"ए पहले से गरम कर लें। बेकिंग ट्रे पर पार्चमेंट पेपर बिछाएँ। खुम्ब ककुरी पोटली के बाहरी कवर पर थोड़ा मक्खन या तेल लगाएँ और उन्हें बेकिंग ट्रे पर रख दें। 180 डिग्री सेल्सियस पर 12-15 मिनट तक बेक करें जब तक कि रोटी कुरकुरी न हो जाए। खुंब ककुरी पोटली को ओवन स"&amp;"े बाहर निकालें और पुदीने की चटनी के साथ गरमागरम परोसें। खुंब ककुरी पोटली को पुदीने की चटनी के साथ नाश्ते के लिए या पार्टी ऐपेटाइज़र के रूप में परोसें।")</f>
        <v>सैंडविच स्प्रेड के साथ खुम्ब ककुरी पोटली कबाब रेसिपी बनाने के लिए, कटे हुए मशरूम को काजू, डेल मोंटे सैंडविच स्प्रेड, ताज़ी क्रीम, नमक और काली मिर्च के साथ मिलाएँ। मैरिनेट होने के लिए अलग रख दें। रूमाली रोटी लें और बीच से दो हिस्सों में काट लें। मैरिनेट किया हुआ मशरूम लें और रोटी के टुकड़े के बीच मिश्रण का एक चम्मच रखें। रोटी के किनारों को एक साथ इकट्ठा करें और उन्हें टूथपिक से इस तरह सील करें कि कोने खुले नहीं। बची हुई खुम्ब ककुरी पोटली तैयार करें और अलग रख दें। ओवन को 180 डिग्री सेल्सियस पर 10 मिनट के लिए पहले से गरम कर लें। बेकिंग ट्रे पर पार्चमेंट पेपर बिछाएँ। खुम्ब ककुरी पोटली के बाहरी कवर पर थोड़ा मक्खन या तेल लगाएँ और उन्हें बेकिंग ट्रे पर रख दें। 180 डिग्री सेल्सियस पर 12-15 मिनट तक बेक करें जब तक कि रोटी कुरकुरी न हो जाए। खुंब ककुरी पोटली को ओवन से बाहर निकालें और पुदीने की चटनी के साथ गरमागरम परोसें। खुंब ककुरी पोटली को पुदीने की चटनी के साथ नाश्ते के लिए या पार्टी ऐपेटाइज़र के रूप में परोसें।</v>
      </c>
      <c r="J486" s="3" t="s">
        <v>32937</v>
      </c>
      <c r="L486" s="1" t="s">
        <v>31003</v>
      </c>
    </row>
    <row r="487" spans="1:12" ht="13.8">
      <c r="A487" s="1" t="s">
        <v>32938</v>
      </c>
      <c r="B487" s="1" t="str">
        <f ca="1">IFERROR(__xludf.dummyfunction("IF(A487="""", """", GOOGLETRANSLATE(A487, ""en"", ""hi""))"),"शिमला मिर्च करी")</f>
        <v>शिमला मिर्च करी</v>
      </c>
      <c r="C487" s="1" t="s">
        <v>429</v>
      </c>
      <c r="D487" s="1" t="s">
        <v>14198</v>
      </c>
      <c r="E487" s="1">
        <v>60</v>
      </c>
      <c r="F487" s="1" t="s">
        <v>32939</v>
      </c>
      <c r="G487" s="1" t="str">
        <f ca="1">IFERROR(__xludf.dummyfunction("IF(F487="""", """", GOOGLETRANSLATE(F487, ""en"", ""hi""))"),"1 शिमला मिर्च (लाल) - कटी हुई, 1 शिमला मिर्च (हरी) - कटी हुई, 1/2 शिमला मिर्च (पीली) - कटी हुई, 2 प्याज - बारीक कटे हुए, 2 टमाटर - बारीक कटे हुए, 2 हरी मिर्च - कटी हुई, 5 लहसुन की कलियां - कटी हुई, 1 तेज पत्ता, 1 चम्मच धनिया के बीज - पिसे हुए, 5 साबुत काल"&amp;"ी मिर्च, 1-1/2 चम्मच काजू - कटे हुए, 1-1/2 चम्मच पीनट बटर, 1/2 चम्मच लाल मिर्च पाउडर, 1 चम्मच गरम मसाला पाउडर, 1 चम्मच कसूरी मेथी")</f>
        <v>1 शिमला मिर्च (लाल) - कटी हुई, 1 शिमला मिर्च (हरी) - कटी हुई, 1/2 शिमला मिर्च (पीली) - कटी हुई, 2 प्याज - बारीक कटे हुए, 2 टमाटर - बारीक कटे हुए, 2 हरी मिर्च - कटी हुई, 5 लहसुन की कलियां - कटी हुई, 1 तेज पत्ता, 1 चम्मच धनिया के बीज - पिसे हुए, 5 साबुत काली मिर्च, 1-1/2 चम्मच काजू - कटे हुए, 1-1/2 चम्मच पीनट बटर, 1/2 चम्मच लाल मिर्च पाउडर, 1 चम्मच गरम मसाला पाउडर, 1 चम्मच कसूरी मेथी</v>
      </c>
      <c r="H487" s="1" t="s">
        <v>32940</v>
      </c>
      <c r="I487" s="1" t="str">
        <f ca="1">IFERROR(__xludf.dummyfunction("IF(H487="""", """", GOOGLETRANSLATE(H487, ""en"", ""hi""))"),"शिमला मिर्च की सब्जी बनाने के लिए सबसे पहले एक पैन में तेल गर्म करें। इसमें शिमला मिर्च डालकर 2 मिनट तक पकाएं। पैन से निकालकर अलग रख दें। उसी पैन में काजू और मूंगफली डालकर 2 मिनट तक भूनें। गैस बंद कर दें और इन्हें ठंडा होने दें। ठंडा होने के बाद इन्हें ग्"&amp;"राइंडर में डालकर पीस लें। अलग रख दें। अब एक पैन में तेल गर्म करें। इसमें तेजपत्ता और धनिया के बीज डालें। इसे 1 मिनट तक पकने दें। 1 मिनट बाद इसमें प्याज डालें और इसे नरम होने तक पकाएं। नरम होने के बाद इसमें लहसुन डालें और 2 मिनट और पकाएं। 2 मिनट बाद इसमें "&amp;"हरी मिर्च और टमाटर डालकर टमाटर के नरम होने तक पकाएं। गैस बंद कर दें और ठंडा होने के लिए अलग रख दें। ठंडा होने के बाद इसे मिक्सर ग्राइंडर में 1/4 कप पानी के साथ डालकर पीस लें। उसी पैन में थोड़ा और तेल गर्म करें। इसमें टमाटर की ग्रेवी डालें और इसे 5 मिनट तक"&amp;" पकने दें। इसमें मूंगफली और काजू के टुकड़े डालकर मिला लें। इसके बाद इसमें गरम मसाला पाउडर, लाल मिर्च पाउडर डालकर मिलाते रहें। शिमला मिर्च डालकर अच्छे से मिला लें। ग्रेवी गाढ़ी होने पर 1/2 कप और पानी डालें और 10 से 15 मिनट तक पकाएँ। सूखे मेथी के पत्तों से "&amp;"गार्निश करें। शिमला मिर्च करी को पालक रायता, लच्छा पराठा और कचुम्बर सलाद के साथ लंच में परोसें।")</f>
        <v>शिमला मिर्च की सब्जी बनाने के लिए सबसे पहले एक पैन में तेल गर्म करें। इसमें शिमला मिर्च डालकर 2 मिनट तक पकाएं। पैन से निकालकर अलग रख दें। उसी पैन में काजू और मूंगफली डालकर 2 मिनट तक भूनें। गैस बंद कर दें और इन्हें ठंडा होने दें। ठंडा होने के बाद इन्हें ग्राइंडर में डालकर पीस लें। अलग रख दें। अब एक पैन में तेल गर्म करें। इसमें तेजपत्ता और धनिया के बीज डालें। इसे 1 मिनट तक पकने दें। 1 मिनट बाद इसमें प्याज डालें और इसे नरम होने तक पकाएं। नरम होने के बाद इसमें लहसुन डालें और 2 मिनट और पकाएं। 2 मिनट बाद इसमें हरी मिर्च और टमाटर डालकर टमाटर के नरम होने तक पकाएं। गैस बंद कर दें और ठंडा होने के लिए अलग रख दें। ठंडा होने के बाद इसे मिक्सर ग्राइंडर में 1/4 कप पानी के साथ डालकर पीस लें। उसी पैन में थोड़ा और तेल गर्म करें। इसमें टमाटर की ग्रेवी डालें और इसे 5 मिनट तक पकने दें। इसमें मूंगफली और काजू के टुकड़े डालकर मिला लें। इसके बाद इसमें गरम मसाला पाउडर, लाल मिर्च पाउडर डालकर मिलाते रहें। शिमला मिर्च डालकर अच्छे से मिला लें। ग्रेवी गाढ़ी होने पर 1/2 कप और पानी डालें और 10 से 15 मिनट तक पकाएँ। सूखे मेथी के पत्तों से गार्निश करें। शिमला मिर्च करी को पालक रायता, लच्छा पराठा और कचुम्बर सलाद के साथ लंच में परोसें।</v>
      </c>
      <c r="J487" s="3" t="s">
        <v>32941</v>
      </c>
      <c r="L487" s="1" t="s">
        <v>31003</v>
      </c>
    </row>
    <row r="488" spans="1:12" ht="13.8">
      <c r="A488" s="1" t="s">
        <v>32942</v>
      </c>
      <c r="B488" s="1" t="str">
        <f ca="1">IFERROR(__xludf.dummyfunction("IF(A488="""", """", GOOGLETRANSLATE(A488, ""en"", ""hi""))"),"बनारसी चूड़ा मटर/चूरा मटर रेसिपी")</f>
        <v>बनारसी चूड़ा मटर/चूरा मटर रेसिपी</v>
      </c>
      <c r="C488" s="1" t="s">
        <v>16424</v>
      </c>
      <c r="D488" s="1" t="s">
        <v>14382</v>
      </c>
      <c r="E488" s="1">
        <v>30</v>
      </c>
      <c r="F488" s="1" t="s">
        <v>32943</v>
      </c>
      <c r="G488" s="1" t="str">
        <f ca="1">IFERROR(__xludf.dummyfunction("IF(F488="""", """", GOOGLETRANSLATE(F488, ""en"", ""hi""))"),"1 कप पोहा, 1/2 कप दूध, 1/2 कप ताजा क्रीम, 1 हरी मिर्च - बारीक कटी हुई, 3/4 कप हरी मटर - छिली हुई, 1 छोटा चम्मच जीरा, 1 इंच अदरक - कद्दूकस किया हुआ, 1 छोटा चम्मच गरम मसाला पाउडर, 1/4 छोटा चम्मच काली मिर्च पाउडर, 1/2 कप धनिया के पत्ते - बारीक कटे हुए, 1 छोट"&amp;"ा चम्मच नींबू का रस, 2 छोटे चम्मच घी - या मक्खन, नमक - स्वादानुसार")</f>
        <v>1 कप पोहा, 1/2 कप दूध, 1/2 कप ताजा क्रीम, 1 हरी मिर्च - बारीक कटी हुई, 3/4 कप हरी मटर - छिली हुई, 1 छोटा चम्मच जीरा, 1 इंच अदरक - कद्दूकस किया हुआ, 1 छोटा चम्मच गरम मसाला पाउडर, 1/4 छोटा चम्मच काली मिर्च पाउडर, 1/2 कप धनिया के पत्ते - बारीक कटे हुए, 1 छोटा चम्मच नींबू का रस, 2 छोटे चम्मच घी - या मक्खन, नमक - स्वादानुसार</v>
      </c>
      <c r="H488" s="1" t="s">
        <v>32944</v>
      </c>
      <c r="I488" s="1" t="str">
        <f ca="1">IFERROR(__xludf.dummyfunction("IF(H488="""", """", GOOGLETRANSLATE(H488, ""en"", ""hi""))"),"बनारसी चूड़ा मटर बनाने के लिए सबसे पहले पोहे को नल के बहते पानी में धोकर क्रीम और दूध के मिश्रण में 10 मिनट के लिए भिगोकर रख दें। अब एक कड़ाही लें, उसमें घी डालें और गर्म होने दें। अब इसमें जीरा डालें और चटकने दें। इसमें बारीक कटी हरी मिर्च और अदरक डालकर "&amp;"कुछ देर भूनें, इसमें धुले हुए हरे मटर डालें। मटर को मिला लें और अब इसमें गरम मसाला और काली मिर्च पाउडर डालें। ढककर मटर को पकने दें। मटर के पक जाने पर इसमें नमक और बारीक कटा हरा धनिया डालकर अच्छे से चलाएँ। इस मिश्रण में भिगोया हुआ पोहा डालें और हल्के हाथ स"&amp;"े चलाएँ और ढक्कन से ढककर कुछ मिनट के लिए पकने दें। नींबू का रस डालकर खत्म करें, एक बार फिर से चलाएँ और एक कप अदरक की चाय के साथ गरमागरम परोसें। बनारसी चूड़ा मटर/चूरा मटर को गरम मसाला चाय के साथ शाही नाश्ते के लिए परोसें।")</f>
        <v>बनारसी चूड़ा मटर बनाने के लिए सबसे पहले पोहे को नल के बहते पानी में धोकर क्रीम और दूध के मिश्रण में 10 मिनट के लिए भिगोकर रख दें। अब एक कड़ाही लें, उसमें घी डालें और गर्म होने दें। अब इसमें जीरा डालें और चटकने दें। इसमें बारीक कटी हरी मिर्च और अदरक डालकर कुछ देर भूनें, इसमें धुले हुए हरे मटर डालें। मटर को मिला लें और अब इसमें गरम मसाला और काली मिर्च पाउडर डालें। ढककर मटर को पकने दें। मटर के पक जाने पर इसमें नमक और बारीक कटा हरा धनिया डालकर अच्छे से चलाएँ। इस मिश्रण में भिगोया हुआ पोहा डालें और हल्के हाथ से चलाएँ और ढक्कन से ढककर कुछ मिनट के लिए पकने दें। नींबू का रस डालकर खत्म करें, एक बार फिर से चलाएँ और एक कप अदरक की चाय के साथ गरमागरम परोसें। बनारसी चूड़ा मटर/चूरा मटर को गरम मसाला चाय के साथ शाही नाश्ते के लिए परोसें।</v>
      </c>
      <c r="J488" s="3" t="s">
        <v>32945</v>
      </c>
      <c r="L488" s="1" t="s">
        <v>31003</v>
      </c>
    </row>
    <row r="489" spans="1:12" ht="13.8">
      <c r="A489" s="1" t="s">
        <v>32883</v>
      </c>
      <c r="B489" s="1" t="str">
        <f ca="1">IFERROR(__xludf.dummyfunction("IF(A489="""", """", GOOGLETRANSLATE(A489, ""en"", ""hi""))"),"कोल्हापुरी पालक अंडा करी रेसिपी")</f>
        <v>कोल्हापुरी पालक अंडा करी रेसिपी</v>
      </c>
      <c r="C489" s="1" t="s">
        <v>145</v>
      </c>
      <c r="D489" s="1" t="s">
        <v>15314</v>
      </c>
      <c r="E489" s="1">
        <v>55</v>
      </c>
      <c r="F489" s="1" t="s">
        <v>32946</v>
      </c>
      <c r="G489" s="1" t="str">
        <f ca="1">IFERROR(__xludf.dummyfunction("IF(F489="""", """", GOOGLETRANSLATE(F489, ""en"", ""hi""))"),"4 साबुत अंडे - उबले हुए, 1 चम्मच जीरा, 1 तेज पत्ता, 2 लौंग, 3 सूखी लाल मिर्च, 1 चम्मच हल्दी, 2 बड़े चम्मच गरम मसाला, 2 बड़े चम्मच खसखस, 4 बड़े चम्मच ताजा नारियल - कसा हुआ, 2 टमाटर - कटे हुए, 1 कप पालक, नमक - स्वादानुसार, सूरजमुखी तेल, 2 प्याज - कटा हुआ, 1"&amp;" इंच अदरक - कटा हुआ, 4 लहसुन के दाने - कटा हुआ, 2 हरी मिर्च - कटी हुई, 10 बादाम")</f>
        <v>4 साबुत अंडे - उबले हुए, 1 चम्मच जीरा, 1 तेज पत्ता, 2 लौंग, 3 सूखी लाल मिर्च, 1 चम्मच हल्दी, 2 बड़े चम्मच गरम मसाला, 2 बड़े चम्मच खसखस, 4 बड़े चम्मच ताजा नारियल - कसा हुआ, 2 टमाटर - कटे हुए, 1 कप पालक, नमक - स्वादानुसार, सूरजमुखी तेल, 2 प्याज - कटा हुआ, 1 इंच अदरक - कटा हुआ, 4 लहसुन के दाने - कटा हुआ, 2 हरी मिर्च - कटी हुई, 10 बादाम</v>
      </c>
      <c r="H489" s="1" t="s">
        <v>32947</v>
      </c>
      <c r="I489" s="1" t="str">
        <f ca="1">IFERROR(__xludf.dummyfunction("IF(H489="""", """", GOOGLETRANSLATE(H489, ""en"", ""hi""))"),"खोलापुरी पालक अंडा करी रेसिपी बनाने के लिए सबसे पहले हम कड़े उबले अंडे तैयार करेंगे, उनके छिलके उतारेंगे और उन्हें आधा करके एक तरफ रख देंगे। ""पीसने के लिए"" सूची में बताई गई सामग्री जैसे प्याज, अदरक, लहसुन, हरी मिर्च, बादाम को एक मुलायम पेस्ट में पीस लें"&amp;" और इसे तैयार रखें। एक कढ़ाई में तेल गरम करें, उसमें जीरा, लौंग, तेज पत्ता, सूखी लाल मिर्च डालें और उसे चटकने दें। पीसा हुआ पेस्ट डालें और तब तक भूनें जब तक प्याज की कच्ची महक न चली जाए। इसमें खसखस ​​और ताजा कसा हुआ नारियल डालें, उन्हें कम से कम 15 मिनट त"&amp;"क भूरा होने तक भूनें। एक बार जब नारियल भूरा हो जाए, तो आप कटे हुए टमाटर, नमक और हल्दी पाउडर डाल सकते हैं और तब तक मिलाएँ जब तक कि सभी सामग्री अच्छी तरह से मिल न जाए इस मिश्रण को ठंडा होने दें और इसे दरदरा पीस लें। एक फ्लैट पैन में तेल गरम करें, कटे हुए अं"&amp;"डे को फ्लैट साइड पर रखें और कम से कम 2 मिनट तक भूनें जब तक कि वे जली हुई सतह न बन जाएँ। उन्हें पलटें नहीं, एक बार पक जाने के बाद उन्हें एक तरफ रख दें। उसी पैन में पिसा हुआ पेस्ट डालें और तब तक पकाएँ जब तक कि ग्रेवी में थोड़ा तेल न रह जाए और नमक की जाँच कर"&amp;"ें। भुने हुए अंडे को ग्रेवी में डालें और गरमागरम परोसें। कोल्हापुरी पालक अंडा करी रेसिपी को लहसुन नान, जीरा चावल और टमाटर प्याज खीरा रायता के साथ परोसें और इसे एक संपूर्ण भोजन बनाएँ।")</f>
        <v>खोलापुरी पालक अंडा करी रेसिपी बनाने के लिए सबसे पहले हम कड़े उबले अंडे तैयार करेंगे, उनके छिलके उतारेंगे और उन्हें आधा करके एक तरफ रख देंगे। "पीसने के लिए" सूची में बताई गई सामग्री जैसे प्याज, अदरक, लहसुन, हरी मिर्च, बादाम को एक मुलायम पेस्ट में पीस लें और इसे तैयार रखें। एक कढ़ाई में तेल गरम करें, उसमें जीरा, लौंग, तेज पत्ता, सूखी लाल मिर्च डालें और उसे चटकने दें। पीसा हुआ पेस्ट डालें और तब तक भूनें जब तक प्याज की कच्ची महक न चली जाए। इसमें खसखस ​​और ताजा कसा हुआ नारियल डालें, उन्हें कम से कम 15 मिनट तक भूरा होने तक भूनें। एक बार जब नारियल भूरा हो जाए, तो आप कटे हुए टमाटर, नमक और हल्दी पाउडर डाल सकते हैं और तब तक मिलाएँ जब तक कि सभी सामग्री अच्छी तरह से मिल न जाए इस मिश्रण को ठंडा होने दें और इसे दरदरा पीस लें। एक फ्लैट पैन में तेल गरम करें, कटे हुए अंडे को फ्लैट साइड पर रखें और कम से कम 2 मिनट तक भूनें जब तक कि वे जली हुई सतह न बन जाएँ। उन्हें पलटें नहीं, एक बार पक जाने के बाद उन्हें एक तरफ रख दें। उसी पैन में पिसा हुआ पेस्ट डालें और तब तक पकाएँ जब तक कि ग्रेवी में थोड़ा तेल न रह जाए और नमक की जाँच करें। भुने हुए अंडे को ग्रेवी में डालें और गरमागरम परोसें। कोल्हापुरी पालक अंडा करी रेसिपी को लहसुन नान, जीरा चावल और टमाटर प्याज खीरा रायता के साथ परोसें और इसे एक संपूर्ण भोजन बनाएँ।</v>
      </c>
      <c r="J489" s="3" t="s">
        <v>32948</v>
      </c>
      <c r="L489" s="1" t="s">
        <v>31003</v>
      </c>
    </row>
    <row r="490" spans="1:12" ht="13.8">
      <c r="A490" s="1" t="s">
        <v>32949</v>
      </c>
      <c r="B490" s="1" t="str">
        <f ca="1">IFERROR(__xludf.dummyfunction("IF(A490="""", """", GOOGLETRANSLATE(A490, ""en"", ""hi""))"),"कीमा भिंडी मसाला रेसिपी - भिंडी और कीमा करी")</f>
        <v>कीमा भिंडी मसाला रेसिपी - भिंडी और कीमा करी</v>
      </c>
      <c r="C490" s="1" t="s">
        <v>429</v>
      </c>
      <c r="D490" s="1" t="s">
        <v>14367</v>
      </c>
      <c r="E490" s="1">
        <v>45</v>
      </c>
      <c r="F490" s="1" t="s">
        <v>32950</v>
      </c>
      <c r="G490" s="1" t="str">
        <f ca="1">IFERROR(__xludf.dummyfunction("IF(F490="""", """", GOOGLETRANSLATE(F490, ""en"", ""hi""))"),"250 ग्राम भिंडी - 1/2 इंच के टुकड़ों में कटी हुई, नमक - स्वादानुसार, 1 बड़ा चम्मच सरसों का तेल, 500 ग्राम चिकन - 1/2 इंच के टुकड़ों में कटा हुआ, 2 बड़े चम्मच सरसों का तेल, 2 हरी मिर्च - कटी हुई, 2 प्याज - बारीक कटा हुआ, 1 इंच अदरक - बारीक कटा हुआ, 8 लहसुन"&amp;" - बारीक कटा हुआ, 1 कप घर का बना टमाटर प्यूरी, 1/2 चम्मच हल्दी पाउडर, 1 चम्मच लाल मिर्च पाउडर, 2 चम्मच धनिया पाउडर, 2 चम्मच गरम मसाला पाउडर, नमक - स्वादानुसार, 1 बड़ा चम्मच कसूरी मेथी, धनिया पत्ती - छोटा गुच्छा")</f>
        <v>250 ग्राम भिंडी - 1/2 इंच के टुकड़ों में कटी हुई, नमक - स्वादानुसार, 1 बड़ा चम्मच सरसों का तेल, 500 ग्राम चिकन - 1/2 इंच के टुकड़ों में कटा हुआ, 2 बड़े चम्मच सरसों का तेल, 2 हरी मिर्च - कटी हुई, 2 प्याज - बारीक कटा हुआ, 1 इंच अदरक - बारीक कटा हुआ, 8 लहसुन - बारीक कटा हुआ, 1 कप घर का बना टमाटर प्यूरी, 1/2 चम्मच हल्दी पाउडर, 1 चम्मच लाल मिर्च पाउडर, 2 चम्मच धनिया पाउडर, 2 चम्मच गरम मसाला पाउडर, नमक - स्वादानुसार, 1 बड़ा चम्मच कसूरी मेथी, धनिया पत्ती - छोटा गुच्छा</v>
      </c>
      <c r="H490" s="1" t="s">
        <v>32951</v>
      </c>
      <c r="I490" s="1" t="str">
        <f ca="1">IFERROR(__xludf.dummyfunction("IF(H490="""", """", GOOGLETRANSLATE(H490, ""en"", ""hi""))"),"कीमा भिन्डी मसाला रेसिपी - भिंडी और कीमा करी बनाने के लिए सबसे पहले हम भिन्डी को भूनेंगे। भुनी हुई भिन्डी बनाने के लिए एक पैन में सरसों का तेल डालें। तेल गरम हो जाने पर भिन्डी डालें और स्वादानुसार नमक छिड़कें। मिलाने के लिए रखें। करछुल को पैन में रखें और "&amp;"ढक्कन से ढक दें। करछुल को पैन के अंदर रखने से ढक्कन को थोड़ा खुला रखने में मदद मिलती है। इससे भिन्डी अच्छी तरह से पकने में भी मदद मिलती है और चिपचिपी भी नहीं होती। भिन्डी को सभी तरफ से पकाने के लिए नियमित अंतराल पर भूनें। जब भिन्डी अच्छी तरह से भुन जाए और"&amp;" पक जाए तो आंच बंद कर दें और एक तरफ रख दें। चिकन को बारीक काटने के लिए चिकन को बारीक काटने के लिए चॉपिंग ब्लेड को जार में लगाएं। चिकन के टुकड़ों को जार में डालें और जार को ढक्कन से बंद कर दें कीमा मसाला बनाने के लिए एक पैन में तेल डालें और तेल गर्म हो जान"&amp;"े पर उसमें प्याज, हरी मिर्च, अदरक, लहसुन डालें। प्याज के नरम होने और सुनहरे भूरे रंग के होने तक भूनें। एक बार हो जाने पर इसमें चिकन कीमा और स्वादानुसार नमक डालें। 3-4 मिनट तक तेज आंच पर भूनें, जब तक कि चिकन आधा पक न जाए और उसका रंग न बदल जाए। इस स्तर पर ट"&amp;"माटर प्यूरी, हल्दी पाउडर, लाल मिर्च पाउडर, धनिया पाउडर, गरम मसाला डालें और अच्छी तरह मिलाएँ। 1/4 कप पानी डालें। नमक की जाँच करें और यदि आवश्यक हो तो और डालें। कीमा को ढककर तब तक पकाएं जब तक चिकन पूरी तरह से पक न जाए। इसमें लगभग 5 मिनट का समय लगेगा। चिकन प"&amp;"क जाने के बाद इसमें भुनी हुई भिंडी और कसूरी मेथी डालकर चलाएं। अच्छी तरह मिलाने के लिए टॉस करें। कीमा भिंडी मसाला रेसिपी - भिंडी और कीमा करी को पराठों या पूरी के साथ गरमागरम परोसें और गाजर खीरा टमाटर सलाद नींबू और धनिया के साथ एक संतोषजनक भोजन के लिए परोसे"&amp;"ं।")</f>
        <v>कीमा भिन्डी मसाला रेसिपी - भिंडी और कीमा करी बनाने के लिए सबसे पहले हम भिन्डी को भूनेंगे। भुनी हुई भिन्डी बनाने के लिए एक पैन में सरसों का तेल डालें। तेल गरम हो जाने पर भिन्डी डालें और स्वादानुसार नमक छिड़कें। मिलाने के लिए रखें। करछुल को पैन में रखें और ढक्कन से ढक दें। करछुल को पैन के अंदर रखने से ढक्कन को थोड़ा खुला रखने में मदद मिलती है। इससे भिन्डी अच्छी तरह से पकने में भी मदद मिलती है और चिपचिपी भी नहीं होती। भिन्डी को सभी तरफ से पकाने के लिए नियमित अंतराल पर भूनें। जब भिन्डी अच्छी तरह से भुन जाए और पक जाए तो आंच बंद कर दें और एक तरफ रख दें। चिकन को बारीक काटने के लिए चिकन को बारीक काटने के लिए चॉपिंग ब्लेड को जार में लगाएं। चिकन के टुकड़ों को जार में डालें और जार को ढक्कन से बंद कर दें कीमा मसाला बनाने के लिए एक पैन में तेल डालें और तेल गर्म हो जाने पर उसमें प्याज, हरी मिर्च, अदरक, लहसुन डालें। प्याज के नरम होने और सुनहरे भूरे रंग के होने तक भूनें। एक बार हो जाने पर इसमें चिकन कीमा और स्वादानुसार नमक डालें। 3-4 मिनट तक तेज आंच पर भूनें, जब तक कि चिकन आधा पक न जाए और उसका रंग न बदल जाए। इस स्तर पर टमाटर प्यूरी, हल्दी पाउडर, लाल मिर्च पाउडर, धनिया पाउडर, गरम मसाला डालें और अच्छी तरह मिलाएँ। 1/4 कप पानी डालें। नमक की जाँच करें और यदि आवश्यक हो तो और डालें। कीमा को ढककर तब तक पकाएं जब तक चिकन पूरी तरह से पक न जाए। इसमें लगभग 5 मिनट का समय लगेगा। चिकन पक जाने के बाद इसमें भुनी हुई भिंडी और कसूरी मेथी डालकर चलाएं। अच्छी तरह मिलाने के लिए टॉस करें। कीमा भिंडी मसाला रेसिपी - भिंडी और कीमा करी को पराठों या पूरी के साथ गरमागरम परोसें और गाजर खीरा टमाटर सलाद नींबू और धनिया के साथ एक संतोषजनक भोजन के लिए परोसें।</v>
      </c>
      <c r="J490" s="3" t="s">
        <v>32952</v>
      </c>
      <c r="L490" s="1" t="s">
        <v>31003</v>
      </c>
    </row>
    <row r="491" spans="1:12" ht="13.8">
      <c r="A491" s="1" t="s">
        <v>32953</v>
      </c>
      <c r="B491" s="1" t="str">
        <f ca="1">IFERROR(__xludf.dummyfunction("IF(A491="""", """", GOOGLETRANSLATE(A491, ""en"", ""hi""))"),"उत्तराखंड शैली मिश्रित भड्डू दाल रेसिपी")</f>
        <v>उत्तराखंड शैली मिश्रित भड्डू दाल रेसिपी</v>
      </c>
      <c r="C491" s="1" t="s">
        <v>145</v>
      </c>
      <c r="D491" s="1" t="s">
        <v>14237</v>
      </c>
      <c r="E491" s="1">
        <v>340</v>
      </c>
      <c r="F491" s="1" t="s">
        <v>32954</v>
      </c>
      <c r="G491" s="1" t="str">
        <f ca="1">IFERROR(__xludf.dummyfunction("IF(F491="""", """", GOOGLETRANSLATE(F491, ""en"", ""hi""))"),"1/4 कप राजमा, 1/4 कप सफेद उड़द दाल, 3 चम्मच सूरजमुखी तेल, 1 चम्मच अदरक लहसुन पेस्ट, 2 इलायची, 1 तेज पत्ता, 1/4 चम्मच साबुत काली मिर्च, 2 लौंग, 1 इंच दालचीनी, 1/4 चम्मच धनिया बीज, 1/2 कप घर का बना टमाटर प्यूरी, 1/4 चम्मच जीरा, 2 चम्मच ताजा क्रीम, नमक - स्व"&amp;"ादानुसार")</f>
        <v>1/4 कप राजमा, 1/4 कप सफेद उड़द दाल, 3 चम्मच सूरजमुखी तेल, 1 चम्मच अदरक लहसुन पेस्ट, 2 इलायची, 1 तेज पत्ता, 1/4 चम्मच साबुत काली मिर्च, 2 लौंग, 1 इंच दालचीनी, 1/4 चम्मच धनिया बीज, 1/2 कप घर का बना टमाटर प्यूरी, 1/4 चम्मच जीरा, 2 चम्मच ताजा क्रीम, नमक - स्वादानुसार</v>
      </c>
      <c r="H491" s="1" t="s">
        <v>32955</v>
      </c>
      <c r="I491" s="1" t="str">
        <f ca="1">IFERROR(__xludf.dummyfunction("IF(H491="""", """", GOOGLETRANSLATE(H491, ""en"", ""hi""))"),"उत्तराखंड स्टाइल मिक्स भड्डू दाल रेसिपी बनाने के लिए सबसे पहले उड़द दाल और राजमा को अलग-अलग रात भर या कम से कम 5 घंटे के लिए भिगो दें। एक प्रेशर कुकर में पानी, दालचीनी, इलायची और दाल डालकर गर्म करें, इसे ढक दें और तब तक पकाएं जब तक कुकर में 4 सीटी न आ जाए"&amp;"। एक मध्यम कड़ाही लें, 2 चम्मच तेल गर्म करें, उसमें तेज पत्ता, लौंग, साबुत काली मिर्च, हल्दी पाउडर और लाल मिर्च पाउडर डालें। लगभग एक मिनट तक पकने दें। टमाटर प्यूरी डालें और इसे 3 मिनट तक पकने दें। 3 मिनट बाद अदरक लहसुन का पेस्ट डालें। कच्ची महक खत्म होने "&amp;"तक इसे पकने दें। इसके बाद उबली हुई दाल को कड़ाही में डालें और 8 मिनट तक उबालें इसे दाल के ऊपर डालें, मिलाएँ और गरमागरम परोसें। अपने साप्ताहिक भोजन योजना के लिए उत्तराखंड स्टाइल मिक्स भड्डू दाल को भरवा भिंडी और तवा पराठा के साथ परोसें।")</f>
        <v>उत्तराखंड स्टाइल मिक्स भड्डू दाल रेसिपी बनाने के लिए सबसे पहले उड़द दाल और राजमा को अलग-अलग रात भर या कम से कम 5 घंटे के लिए भिगो दें। एक प्रेशर कुकर में पानी, दालचीनी, इलायची और दाल डालकर गर्म करें, इसे ढक दें और तब तक पकाएं जब तक कुकर में 4 सीटी न आ जाए। एक मध्यम कड़ाही लें, 2 चम्मच तेल गर्म करें, उसमें तेज पत्ता, लौंग, साबुत काली मिर्च, हल्दी पाउडर और लाल मिर्च पाउडर डालें। लगभग एक मिनट तक पकने दें। टमाटर प्यूरी डालें और इसे 3 मिनट तक पकने दें। 3 मिनट बाद अदरक लहसुन का पेस्ट डालें। कच्ची महक खत्म होने तक इसे पकने दें। इसके बाद उबली हुई दाल को कड़ाही में डालें और 8 मिनट तक उबालें इसे दाल के ऊपर डालें, मिलाएँ और गरमागरम परोसें। अपने साप्ताहिक भोजन योजना के लिए उत्तराखंड स्टाइल मिक्स भड्डू दाल को भरवा भिंडी और तवा पराठा के साथ परोसें।</v>
      </c>
      <c r="J491" s="3" t="s">
        <v>32956</v>
      </c>
      <c r="L491" s="1" t="s">
        <v>31003</v>
      </c>
    </row>
    <row r="492" spans="1:12" ht="13.8">
      <c r="A492" s="1" t="s">
        <v>32957</v>
      </c>
      <c r="B492" s="1" t="str">
        <f ca="1">IFERROR(__xludf.dummyfunction("IF(A492="""", """", GOOGLETRANSLATE(A492, ""en"", ""hi""))"),"क्रिस्प बेक्ड तंदूरी मेयो चेडर चिकन रेसिपी")</f>
        <v>क्रिस्प बेक्ड तंदूरी मेयो चेडर चिकन रेसिपी</v>
      </c>
      <c r="C492" s="1" t="s">
        <v>429</v>
      </c>
      <c r="D492" s="1" t="s">
        <v>14382</v>
      </c>
      <c r="E492" s="1">
        <v>70</v>
      </c>
      <c r="F492" s="1" t="s">
        <v>32958</v>
      </c>
      <c r="G492" s="1" t="str">
        <f ca="1">IFERROR(__xludf.dummyfunction("IF(F492="""", """", GOOGLETRANSLATE(F492, ""en"", ""hi""))"),"500 ग्राम बोनलेस चिकन - छोटे टुकड़ों में कटा हुआ, 5 बड़े चम्मच डेल मोंटे तंदूरी मेयो, 100 ग्राम चेडर चीज़ - कद्दूकस किया हुआ, 1 अंडे का सफ़ेद भाग - हल्का फेंटा हुआ, 2 हरी मिर्च - कटी हुई (आप अपनी ज़रूरत के हिसाब से घटा सकते हैं), 1/4 कप धनिया के पत्ते - ब"&amp;"ारीक कटे हुए, 1 बड़ा चम्मच एक्स्ट्रा वर्जिन ऑलिव ऑयल, नमक - स्वादानुसार, काली मिर्च पाउडर - स्वादानुसार, कॉर्न फ्लेक्स - कुचले हुए")</f>
        <v>500 ग्राम बोनलेस चिकन - छोटे टुकड़ों में कटा हुआ, 5 बड़े चम्मच डेल मोंटे तंदूरी मेयो, 100 ग्राम चेडर चीज़ - कद्दूकस किया हुआ, 1 अंडे का सफ़ेद भाग - हल्का फेंटा हुआ, 2 हरी मिर्च - कटी हुई (आप अपनी ज़रूरत के हिसाब से घटा सकते हैं), 1/4 कप धनिया के पत्ते - बारीक कटे हुए, 1 बड़ा चम्मच एक्स्ट्रा वर्जिन ऑलिव ऑयल, नमक - स्वादानुसार, काली मिर्च पाउडर - स्वादानुसार, कॉर्न फ्लेक्स - कुचले हुए</v>
      </c>
      <c r="H492" s="1" t="s">
        <v>32959</v>
      </c>
      <c r="I492" s="1" t="str">
        <f ca="1">IFERROR(__xludf.dummyfunction("IF(H492="""", """", GOOGLETRANSLATE(H492, ""en"", ""hi""))"),"क्रिस्प बेक्ड तंदूरी मेयो चेडर चिकन रेसिपी बनाने के लिए एक बड़े कटोरे में चिकन, मेयोनीज, चेडर चीज, अंडे का सफेद भाग, हरी मिर्च, धनिया पत्ती, नींबू का रस, जैतून का तेल, नमक और काली मिर्च डालें। चिकन को मेयो के साथ 20 मिनट के लिए ढककर फ्रिज में रख दें। ओवन "&amp;"को 200 डिग्री सेल्सियस पर पहले से गरम कर लें। एक बेकिंग ट्रे को जैतून के तेल या मक्खन से चिकना करें। मैरीनेट किए हुए चिकन को बाहर निकालें और टुकड़ों पर कुचले हुए कॉर्नफ्लेक्स लगाएं। बेकिंग ट्रे पर प्रत्येक टुकड़े के बीच थोड़ा अंतर रखते हुए लेपित मेयो चिकन"&amp;" को समान रूप से रखें। चिकन को 20-25 मिनट या सुनहरा और कुरकुरा होने तक बेक करें। हो जाने पर क्रिस्प बेक्ड तंदूरी मेयो चेडर चिकन को ओवन से निकालें और इसे कुछ मिनट के लिए आराम दें और परोसें")</f>
        <v>क्रिस्प बेक्ड तंदूरी मेयो चेडर चिकन रेसिपी बनाने के लिए एक बड़े कटोरे में चिकन, मेयोनीज, चेडर चीज, अंडे का सफेद भाग, हरी मिर्च, धनिया पत्ती, नींबू का रस, जैतून का तेल, नमक और काली मिर्च डालें। चिकन को मेयो के साथ 20 मिनट के लिए ढककर फ्रिज में रख दें। ओवन को 200 डिग्री सेल्सियस पर पहले से गरम कर लें। एक बेकिंग ट्रे को जैतून के तेल या मक्खन से चिकना करें। मैरीनेट किए हुए चिकन को बाहर निकालें और टुकड़ों पर कुचले हुए कॉर्नफ्लेक्स लगाएं। बेकिंग ट्रे पर प्रत्येक टुकड़े के बीच थोड़ा अंतर रखते हुए लेपित मेयो चिकन को समान रूप से रखें। चिकन को 20-25 मिनट या सुनहरा और कुरकुरा होने तक बेक करें। हो जाने पर क्रिस्प बेक्ड तंदूरी मेयो चेडर चिकन को ओवन से निकालें और इसे कुछ मिनट के लिए आराम दें और परोसें</v>
      </c>
      <c r="J492" s="3" t="s">
        <v>32960</v>
      </c>
      <c r="L492" s="1" t="s">
        <v>31003</v>
      </c>
    </row>
    <row r="493" spans="1:12" ht="13.8">
      <c r="A493" s="1" t="s">
        <v>32961</v>
      </c>
      <c r="B493" s="1" t="str">
        <f ca="1">IFERROR(__xludf.dummyfunction("IF(A493="""", """", GOOGLETRANSLATE(A493, ""en"", ""hi""))"),"शाही टिन्डोरा रेसिपी - काजू की ग्रेवी में टिन्डोरा")</f>
        <v>शाही टिन्डोरा रेसिपी - काजू की ग्रेवी में टिन्डोरा</v>
      </c>
      <c r="C493" s="1" t="s">
        <v>145</v>
      </c>
      <c r="D493" s="1" t="s">
        <v>14198</v>
      </c>
      <c r="E493" s="1">
        <v>55</v>
      </c>
      <c r="F493" s="1" t="s">
        <v>32962</v>
      </c>
      <c r="G493" s="1" t="str">
        <f ca="1">IFERROR(__xludf.dummyfunction("IF(F493="""", """", GOOGLETRANSLATE(F493, ""en"", ""hi""))"),"300 ग्राम टिंडोरा (डोंडाकाया / कोवक्काई) - 1 इंच लंबाई में कटा हुआ, 1/2 चम्मच लाल मिर्च पाउडर, 1/4 चम्मच हल्दी पाउडर (हल्दी), 1/2 चम्मच गरम मसाला पाउडर, 2 बड़े चम्मच ताजा क्रीम, 1/2 चम्मच कसूरी मेथी (सूखी मेथी के पत्ते), 2 चम्मच सूरजमुखी तेल, 1 बड़ा चम्मच"&amp;" घी, 1 प्याज - मोटे तौर पर कटा हुआ, 1/4 कप काजू, 1 टमाटर - कटा हुआ, 4 लहसुन, 1 चम्मच अदरक - कसा हुआ, 2 इलायची (इलायची) फली / बीज, 2 लौंग (लौंग), 1/2 इंच दालचीनी (दालचीनी), 1 हरी मिर्च, 1 चम्मच अजवाइन (कैरम के बीज)")</f>
        <v>300 ग्राम टिंडोरा (डोंडाकाया / कोवक्काई) - 1 इंच लंबाई में कटा हुआ, 1/2 चम्मच लाल मिर्च पाउडर, 1/4 चम्मच हल्दी पाउडर (हल्दी), 1/2 चम्मच गरम मसाला पाउडर, 2 बड़े चम्मच ताजा क्रीम, 1/2 चम्मच कसूरी मेथी (सूखी मेथी के पत्ते), 2 चम्मच सूरजमुखी तेल, 1 बड़ा चम्मच घी, 1 प्याज - मोटे तौर पर कटा हुआ, 1/4 कप काजू, 1 टमाटर - कटा हुआ, 4 लहसुन, 1 चम्मच अदरक - कसा हुआ, 2 इलायची (इलायची) फली / बीज, 2 लौंग (लौंग), 1/2 इंच दालचीनी (दालचीनी), 1 हरी मिर्च, 1 चम्मच अजवाइन (कैरम के बीज)</v>
      </c>
      <c r="H493" s="1" t="s">
        <v>32963</v>
      </c>
      <c r="I493" s="1" t="str">
        <f ca="1">IFERROR(__xludf.dummyfunction("IF(H493="""", """", GOOGLETRANSLATE(H493, ""en"", ""hi""))"),"शाही टिंडोरा रेसिपी (काजू करी में टिंडोरा) बनाने के लिए सबसे पहले टिंडोरा तैयार करें और सभी सामग्री तैयार करके एक तरफ रख दें। एक भारी तले की कड़ाही या कड़ाही में एक चम्मच तेल गर्म करें। शाही जीरा डालें और इसे चटकने दें। इलायची, दालचीनी स्टिक, लौंग डालें औ"&amp;"र कुछ सेकंड के लिए चलाएँ। कुछ सेकंड के बाद, प्याज, लहसुन, अदरक डालें और प्याज के गुलाबी और नरम होने तक पकाएँ। प्याज के नरम होने पर, काजू, हरी मिर्च डालें और प्याज के साथ एक मिनट के लिए भूनें। टमाटर डालें और तब तक अच्छी तरह से भूनें जब तक कि सारी कच्ची महक"&amp;" न चली जाए, टमाटर नरम न हो जाए और मसाले भुने हुए सुगंध न छोड़ दें। जब सभी सामग्री नरम हो जाए और पक जाए, तो आँच बंद कर दें और इसे ठंडा होने दें। ठंडा होने पर, इस शाही मसाला मिश्रण को मिक्सर ग्राइंडर का उपयोग करके एक चिकने पेस्ट में पीस लें थोड़ा नमक छिड़के"&amp;"ं और उन्हें मध्यम आँच पर लगभग 5 मिनट तक पकाएँ जब तक वे पक न जाएँ। उन्हें जलने न दें, बल्कि उन्हें अच्छे से भून लें। पके हुए टिंडोरा को दूसरे कटोरे में डालें। उसी पैन में 1 बड़ा चम्मच तेल गर्म करें। पीसा हुआ शाही मसाला पेस्ट, लाल मिर्च पाउडर, हल्दी पाउडर, "&amp;"गरम मसाला पाउडर डालें और तब तक भूनें जब तक मसाला अच्छी तरह से पक न जाए और मसालों से पकने की खुशबू न आने लगे। तले हुए टिंडोरा डालें और टिंडोरा को शाही मसाले में अच्छी तरह मिलाने के लिए हिलाएँ। अपनी ज़रूरत के अनुसार ग्रेवी की स्थिरता के आधार पर थोड़ा गर्म प"&amp;"ानी डालें। शाही भिंडी को तेज़ उबाल लें और 2 से 3 मिनट तक पकाएं। अंत में 2 बड़े चम्मच क्रीम और कसूरी मेथी डालें। हिलाएँ और एक और मिनट तक पकाएँ और आँच बंद कर दें आप शाही टिंडोरा को दाल मखनी, बटर नान और जीरा राइस के साथ भी परोस सकते हैं, जो एक बेहतरीन वीकेंड"&amp;" मील है।")</f>
        <v>शाही टिंडोरा रेसिपी (काजू करी में टिंडोरा) बनाने के लिए सबसे पहले टिंडोरा तैयार करें और सभी सामग्री तैयार करके एक तरफ रख दें। एक भारी तले की कड़ाही या कड़ाही में एक चम्मच तेल गर्म करें। शाही जीरा डालें और इसे चटकने दें। इलायची, दालचीनी स्टिक, लौंग डालें और कुछ सेकंड के लिए चलाएँ। कुछ सेकंड के बाद, प्याज, लहसुन, अदरक डालें और प्याज के गुलाबी और नरम होने तक पकाएँ। प्याज के नरम होने पर, काजू, हरी मिर्च डालें और प्याज के साथ एक मिनट के लिए भूनें। टमाटर डालें और तब तक अच्छी तरह से भूनें जब तक कि सारी कच्ची महक न चली जाए, टमाटर नरम न हो जाए और मसाले भुने हुए सुगंध न छोड़ दें। जब सभी सामग्री नरम हो जाए और पक जाए, तो आँच बंद कर दें और इसे ठंडा होने दें। ठंडा होने पर, इस शाही मसाला मिश्रण को मिक्सर ग्राइंडर का उपयोग करके एक चिकने पेस्ट में पीस लें थोड़ा नमक छिड़कें और उन्हें मध्यम आँच पर लगभग 5 मिनट तक पकाएँ जब तक वे पक न जाएँ। उन्हें जलने न दें, बल्कि उन्हें अच्छे से भून लें। पके हुए टिंडोरा को दूसरे कटोरे में डालें। उसी पैन में 1 बड़ा चम्मच तेल गर्म करें। पीसा हुआ शाही मसाला पेस्ट, लाल मिर्च पाउडर, हल्दी पाउडर, गरम मसाला पाउडर डालें और तब तक भूनें जब तक मसाला अच्छी तरह से पक न जाए और मसालों से पकने की खुशबू न आने लगे। तले हुए टिंडोरा डालें और टिंडोरा को शाही मसाले में अच्छी तरह मिलाने के लिए हिलाएँ। अपनी ज़रूरत के अनुसार ग्रेवी की स्थिरता के आधार पर थोड़ा गर्म पानी डालें। शाही भिंडी को तेज़ उबाल लें और 2 से 3 मिनट तक पकाएं। अंत में 2 बड़े चम्मच क्रीम और कसूरी मेथी डालें। हिलाएँ और एक और मिनट तक पकाएँ और आँच बंद कर दें आप शाही टिंडोरा को दाल मखनी, बटर नान और जीरा राइस के साथ भी परोस सकते हैं, जो एक बेहतरीन वीकेंड मील है।</v>
      </c>
      <c r="J493" s="3" t="s">
        <v>32964</v>
      </c>
      <c r="L493" s="1" t="s">
        <v>31003</v>
      </c>
    </row>
    <row r="494" spans="1:12" ht="13.8">
      <c r="A494" s="1" t="s">
        <v>32965</v>
      </c>
      <c r="B494" s="1" t="str">
        <f ca="1">IFERROR(__xludf.dummyfunction("IF(A494="""", """", GOOGLETRANSLATE(A494, ""en"", ""hi""))"),"कढ़ाई छोले रेसिपी- शिमला मिर्च के साथ सूखे चने का मसाला")</f>
        <v>कढ़ाई छोले रेसिपी- शिमला मिर्च के साथ सूखे चने का मसाला</v>
      </c>
      <c r="C494" s="1" t="s">
        <v>145</v>
      </c>
      <c r="D494" s="1" t="s">
        <v>14198</v>
      </c>
      <c r="E494" s="1">
        <v>55</v>
      </c>
      <c r="F494" s="1" t="s">
        <v>32966</v>
      </c>
      <c r="G494" s="1" t="str">
        <f ca="1">IFERROR(__xludf.dummyfunction("IF(F494="""", """", GOOGLETRANSLATE(F494, ""en"", ""hi""))"),"1 कप काबुली चना - रातभर भिगोया हुआ, 2 प्याज - टुकड़ों में कटा हुआ, 1 हरी शिमला मिर्च - टुकड़ों में कटी हुई, 4 लहसुन - बारीक कटा हुआ, 1 इंच अदरक - बारीक कटा हुआ, 2 हरी मिर्च - कटी हुई, 1 टमाटर - प्यूरी किया हुआ, 1 दालचीनी, 3 लौंग, 1 तेज पत्ता, 1 बड़ी इलायच"&amp;"ी, 1 छोटा चम्मच धनिया पाउडर, 1/2 छोटा चम्मच जीरा, 1 छोटा चम्मच कश्मीरी लाल मिर्च पाउडर, 1/2 छोटा चम्मच आमचूर, 1/2 छोटा चम्मच गरम मसाला पाउडर, 1/2 छोटा चम्मच अजवाइन, 2 बड़े चम्मच घी, नमक - स्वादानुसार")</f>
        <v>1 कप काबुली चना - रातभर भिगोया हुआ, 2 प्याज - टुकड़ों में कटा हुआ, 1 हरी शिमला मिर्च - टुकड़ों में कटी हुई, 4 लहसुन - बारीक कटा हुआ, 1 इंच अदरक - बारीक कटा हुआ, 2 हरी मिर्च - कटी हुई, 1 टमाटर - प्यूरी किया हुआ, 1 दालचीनी, 3 लौंग, 1 तेज पत्ता, 1 बड़ी इलायची, 1 छोटा चम्मच धनिया पाउडर, 1/2 छोटा चम्मच जीरा, 1 छोटा चम्मच कश्मीरी लाल मिर्च पाउडर, 1/2 छोटा चम्मच आमचूर, 1/2 छोटा चम्मच गरम मसाला पाउडर, 1/2 छोटा चम्मच अजवाइन, 2 बड़े चम्मच घी, नमक - स्वादानुसार</v>
      </c>
      <c r="H494" s="1" t="s">
        <v>32967</v>
      </c>
      <c r="I494" s="1" t="str">
        <f ca="1">IFERROR(__xludf.dummyfunction("IF(H494="""", """", GOOGLETRANSLATE(H494, ""en"", ""hi""))"),"कढ़ाई छोले रेसिपी बनाने के लिए सबसे पहले छोले को धोकर 6 घंटे या रात भर पानी में भिगो दें। चने को प्रेशर कुकर में नमक और 3 कप पानी के साथ लगभग 30 मिनट तक नरम होने तक पकाएं। एक बड़ी कढ़ाई में मध्यम आंच पर घी गर्म करें; इसमें अजवाइन, प्याज, अदरक, लहसुन, हरी "&amp;"मिर्च, दालचीनी, लौंग, इलायची, तेज पत्ता डालें और प्याज के नरम होने तक भूनें। इसमें शिमला मिर्च डालें और शिमला मिर्च को तेज आंच पर तब तक भूनें जब तक कि शिमला मिर्च लगभग नरम न हो जाए। इसका हरा रंग बरकरार रहना चाहिए। इसमें टमाटर और सारे सूखे मसाले - धनिया पा"&amp;"उडर, लाल मिर्च पाउडर, जीरा पाउडर, गरम मसाला पाउडर, अमचूर पाउडर और नमक डालकर चलाएं। इसे चलाएं और अंत में पका हुआ चना मसाला कढ़ाई में डालें। इस अवस्था में थोड़ा और घी डालें और कढ़ाई छोले को मसालों के साथ तब तक पकाएं जब तक कि यह मसालों से अच्छी तरह न भर जाए।"&amp;" आँच धीमी रखें और पैन को ढक दें और कढ़ाई छोले को लगभग 5 मिनट तक पकाएँ जब तक कि सभी स्वाद एक दूसरे के साथ अच्छी तरह से मिल न जाएँ और आँच बंद कर दें। स्वाद की जाँच करें और नमक और मसालों को तदनुसार समायोजित करें। एक बार हो जाने पर, कढ़ाई छोले को एक सर्विंग ब"&amp;"ाउल में डालें और गरमागरम परोसें। एक बेहतरीन वीकेंड डिनर के लिए कढ़ाई छोले को मिक्स वेजिटेबल हांडी, पुदीना तवा पराठा और मूली रायता रेसिपी के साथ परोसें। आप इसमें गोभी बिरयानी, दाल मखनी और मूंग दाल हलवा भी मिला सकते हैं और पार्टियों के लिए एक बेहतरीन उत्तर "&amp;"भारतीय मेनू बना सकते हैं।")</f>
        <v>कढ़ाई छोले रेसिपी बनाने के लिए सबसे पहले छोले को धोकर 6 घंटे या रात भर पानी में भिगो दें। चने को प्रेशर कुकर में नमक और 3 कप पानी के साथ लगभग 30 मिनट तक नरम होने तक पकाएं। एक बड़ी कढ़ाई में मध्यम आंच पर घी गर्म करें; इसमें अजवाइन, प्याज, अदरक, लहसुन, हरी मिर्च, दालचीनी, लौंग, इलायची, तेज पत्ता डालें और प्याज के नरम होने तक भूनें। इसमें शिमला मिर्च डालें और शिमला मिर्च को तेज आंच पर तब तक भूनें जब तक कि शिमला मिर्च लगभग नरम न हो जाए। इसका हरा रंग बरकरार रहना चाहिए। इसमें टमाटर और सारे सूखे मसाले - धनिया पाउडर, लाल मिर्च पाउडर, जीरा पाउडर, गरम मसाला पाउडर, अमचूर पाउडर और नमक डालकर चलाएं। इसे चलाएं और अंत में पका हुआ चना मसाला कढ़ाई में डालें। इस अवस्था में थोड़ा और घी डालें और कढ़ाई छोले को मसालों के साथ तब तक पकाएं जब तक कि यह मसालों से अच्छी तरह न भर जाए। आँच धीमी रखें और पैन को ढक दें और कढ़ाई छोले को लगभग 5 मिनट तक पकाएँ जब तक कि सभी स्वाद एक दूसरे के साथ अच्छी तरह से मिल न जाएँ और आँच बंद कर दें। स्वाद की जाँच करें और नमक और मसालों को तदनुसार समायोजित करें। एक बार हो जाने पर, कढ़ाई छोले को एक सर्विंग बाउल में डालें और गरमागरम परोसें। एक बेहतरीन वीकेंड डिनर के लिए कढ़ाई छोले को मिक्स वेजिटेबल हांडी, पुदीना तवा पराठा और मूली रायता रेसिपी के साथ परोसें। आप इसमें गोभी बिरयानी, दाल मखनी और मूंग दाल हलवा भी मिला सकते हैं और पार्टियों के लिए एक बेहतरीन उत्तर भारतीय मेनू बना सकते हैं।</v>
      </c>
      <c r="J494" s="3" t="s">
        <v>32968</v>
      </c>
      <c r="L494" s="1" t="s">
        <v>31003</v>
      </c>
    </row>
    <row r="495" spans="1:12" ht="13.8">
      <c r="A495" s="1" t="s">
        <v>32969</v>
      </c>
      <c r="B495" s="1" t="str">
        <f ca="1">IFERROR(__xludf.dummyfunction("IF(A495="""", """", GOOGLETRANSLATE(A495, ""en"", ""hi""))"),"फूलगोभी और आलू का स्टर फ्राई निगेला बीज के साथ")</f>
        <v>फूलगोभी और आलू का स्टर फ्राई निगेला बीज के साथ</v>
      </c>
      <c r="C495" s="1" t="s">
        <v>145</v>
      </c>
      <c r="D495" s="1" t="s">
        <v>14198</v>
      </c>
      <c r="E495" s="1">
        <v>45</v>
      </c>
      <c r="F495" s="1" t="s">
        <v>32970</v>
      </c>
      <c r="G495" s="1" t="str">
        <f ca="1">IFERROR(__xludf.dummyfunction("IF(F495="""", """", GOOGLETRANSLATE(F495, ""en"", ""hi""))"),"1 फूलगोभी - बड़े टुकड़ों में कटी हुई, 2 आलू - छिले और कटे हुए, 2 बड़े चम्मच सरसों का तेल, 1 छोटा चम्मच कलौंजी, 1/2 छोटा चम्मच राई - 1/2 छोटा चम्मच राई, 3 हरी मिर्च - लम्बाई में कटी हुई, 1/2 छोटा चम्मच चीनी - 1/2 छोटा चम्मच चीनी, नमक - स्वादानुसार, 1 छोटा "&amp;"चम्मच टमाटर - पतला कटा हुआ, हरा धनिया - थोड़ा सा हरा धनिया")</f>
        <v>1 फूलगोभी - बड़े टुकड़ों में कटी हुई, 2 आलू - छिले और कटे हुए, 2 बड़े चम्मच सरसों का तेल, 1 छोटा चम्मच कलौंजी, 1/2 छोटा चम्मच राई - 1/2 छोटा चम्मच राई, 3 हरी मिर्च - लम्बाई में कटी हुई, 1/2 छोटा चम्मच चीनी - 1/2 छोटा चम्मच चीनी, नमक - स्वादानुसार, 1 छोटा चम्मच टमाटर - पतला कटा हुआ, हरा धनिया - थोड़ा सा हरा धनिया</v>
      </c>
      <c r="H495" s="1" t="s">
        <v>32971</v>
      </c>
      <c r="I495" s="1" t="str">
        <f ca="1">IFERROR(__xludf.dummyfunction("IF(H495="""", """", GOOGLETRANSLATE(H495, ""en"", ""hi""))"),"""कलौंजी वाली आलू गोभी की सब्जी बनाने के लिए एक पैन में तेल गर्म करें। इसमें कलौंजी डालकर 20 से 25 सेकंड तक पकाएं। फिर इसमें राई और हरी मिर्च डालें। 10 से 15 सेकंड के बाद इसमें फूलगोभी, आलू, नमक और चीनी डालें। अच्छे से मिलाएँ। जब आलू और फूलगोभी हल्के भूरे"&amp;" हो जाएँ तो इसमें थोड़ा पानी डालें। पैन को ऊपर से दबाएँ और सब्जी को अच्छे से पकने दें। 15 मिनट बाद चेक करें कि सब्जी नरम हुई है या नहीं। जब सारा पानी सूख जाए तो इसमें एक चम्मच सरसों का तेल डालें और मिलाएँ। गरमागरम परोसें। कलौंजी वाली आलू गोभी की सब्जी एक "&amp;"सरल और स्वादिष्ट रेसिपी है जिसे चपाती और छोले की दाल के साथ परोसा जा सकता है।""")</f>
        <v>"कलौंजी वाली आलू गोभी की सब्जी बनाने के लिए एक पैन में तेल गर्म करें। इसमें कलौंजी डालकर 20 से 25 सेकंड तक पकाएं। फिर इसमें राई और हरी मिर्च डालें। 10 से 15 सेकंड के बाद इसमें फूलगोभी, आलू, नमक और चीनी डालें। अच्छे से मिलाएँ। जब आलू और फूलगोभी हल्के भूरे हो जाएँ तो इसमें थोड़ा पानी डालें। पैन को ऊपर से दबाएँ और सब्जी को अच्छे से पकने दें। 15 मिनट बाद चेक करें कि सब्जी नरम हुई है या नहीं। जब सारा पानी सूख जाए तो इसमें एक चम्मच सरसों का तेल डालें और मिलाएँ। गरमागरम परोसें। कलौंजी वाली आलू गोभी की सब्जी एक सरल और स्वादिष्ट रेसिपी है जिसे चपाती और छोले की दाल के साथ परोसा जा सकता है।"</v>
      </c>
      <c r="J495" s="3" t="s">
        <v>32972</v>
      </c>
      <c r="L495" s="1" t="s">
        <v>31003</v>
      </c>
    </row>
    <row r="496" spans="1:12" ht="13.8">
      <c r="A496" s="1" t="s">
        <v>32973</v>
      </c>
      <c r="B496" s="1" t="str">
        <f ca="1">IFERROR(__xludf.dummyfunction("IF(A496="""", """", GOOGLETRANSLATE(A496, ""en"", ""hi""))"),"हरियाली मटर रेसिपी")</f>
        <v>हरियाली मटर रेसिपी</v>
      </c>
      <c r="C496" s="1" t="s">
        <v>14207</v>
      </c>
      <c r="D496" s="1" t="s">
        <v>14237</v>
      </c>
      <c r="E496" s="1">
        <v>20</v>
      </c>
      <c r="F496" s="1" t="s">
        <v>32974</v>
      </c>
      <c r="G496" s="1" t="str">
        <f ca="1">IFERROR(__xludf.dummyfunction("IF(F496="""", """", GOOGLETRANSLATE(F496, ""en"", ""hi""))"),"2 कप हरी मटर - उबले हुए, 1/2 कप पनीर - छोटे क्यूब्स में कटा हुआ, 1 चम्मच जीरा, 1 चुटकी हींग, 1 बड़ा चम्मच सूरजमुखी तेल, नमक - स्वादानुसार, 2 कप धनिया के पत्ते - कसकर भरे हुए, 2 हरी मिर्च, 5 लहसुन के टुकड़े, 1 इंच अदरक, 1 बड़ा चम्मच नींबू का रस")</f>
        <v>2 कप हरी मटर - उबले हुए, 1/2 कप पनीर - छोटे क्यूब्स में कटा हुआ, 1 चम्मच जीरा, 1 चुटकी हींग, 1 बड़ा चम्मच सूरजमुखी तेल, नमक - स्वादानुसार, 2 कप धनिया के पत्ते - कसकर भरे हुए, 2 हरी मिर्च, 5 लहसुन के टुकड़े, 1 इंच अदरक, 1 बड़ा चम्मच नींबू का रस</v>
      </c>
      <c r="H496" s="1" t="s">
        <v>32975</v>
      </c>
      <c r="I496" s="1" t="str">
        <f ca="1">IFERROR(__xludf.dummyfunction("IF(H496="""", """", GOOGLETRANSLATE(H496, ""en"", ""hi""))"),"हरियाली मटर रेसिपी बनाने के लिए, हरे मटर को छील लें, धो लें और स्टीमर का उपयोग करके भाप में पका लें और एक तरफ रख दें। हरे मसाले, धनिया पत्ती, हरी मिर्च, लहसुन, अदरक और नींबू के रस में सूचीबद्ध सामग्री का एक महीन पेस्ट बनाएं, एक मिक्सर ग्राइंडर का उपयोग कर"&amp;"के बहुत कम पानी डालें और एक तरफ रख दें। एक चौड़े पैन में तेल गरम करें, हींग, जीरा डालें और जीरा को चटकने दें। पीसा हुआ हरा मसाला डालें और 2 मिनट तक भूनें जब तक कि मसाला अच्छी तरह से पक न जाए और एक साथ न आ जाए। उबले हुए हरे मटर डालें, नमक के साथ सीज़न करें"&amp;", 1 कप पानी डालें, इसे हिलाएं और 2 से 3 मिनट तक उबलने दें। जब ग्रेवी गाढ़ी हो जाए, तो पनीर के टुकड़े डालें और अच्छी तरह मिलाएँ एक सर्विंग बाउल में निकालें। हरियाली मटर रेसिपी को तवा पराठों और गाजर शिमला मिर्च संभारो के साथ रात के खाने में परोसें या अपने ल"&amp;"ंच बॉक्स में पैक कर लें।")</f>
        <v>हरियाली मटर रेसिपी बनाने के लिए, हरे मटर को छील लें, धो लें और स्टीमर का उपयोग करके भाप में पका लें और एक तरफ रख दें। हरे मसाले, धनिया पत्ती, हरी मिर्च, लहसुन, अदरक और नींबू के रस में सूचीबद्ध सामग्री का एक महीन पेस्ट बनाएं, एक मिक्सर ग्राइंडर का उपयोग करके बहुत कम पानी डालें और एक तरफ रख दें। एक चौड़े पैन में तेल गरम करें, हींग, जीरा डालें और जीरा को चटकने दें। पीसा हुआ हरा मसाला डालें और 2 मिनट तक भूनें जब तक कि मसाला अच्छी तरह से पक न जाए और एक साथ न आ जाए। उबले हुए हरे मटर डालें, नमक के साथ सीज़न करें, 1 कप पानी डालें, इसे हिलाएं और 2 से 3 मिनट तक उबलने दें। जब ग्रेवी गाढ़ी हो जाए, तो पनीर के टुकड़े डालें और अच्छी तरह मिलाएँ एक सर्विंग बाउल में निकालें। हरियाली मटर रेसिपी को तवा पराठों और गाजर शिमला मिर्च संभारो के साथ रात के खाने में परोसें या अपने लंच बॉक्स में पैक कर लें।</v>
      </c>
      <c r="J496" s="3" t="s">
        <v>32976</v>
      </c>
      <c r="L496" s="1" t="s">
        <v>31003</v>
      </c>
    </row>
    <row r="497" spans="1:12" ht="13.8">
      <c r="A497" s="1" t="s">
        <v>32977</v>
      </c>
      <c r="B497" s="1" t="str">
        <f ca="1">IFERROR(__xludf.dummyfunction("IF(A497="""", """", GOOGLETRANSLATE(A497, ""en"", ""hi""))"),"गोभी बिरयानी")</f>
        <v>गोभी बिरयानी</v>
      </c>
      <c r="C497" s="1" t="s">
        <v>145</v>
      </c>
      <c r="D497" s="1" t="s">
        <v>14198</v>
      </c>
      <c r="E497" s="1">
        <v>75</v>
      </c>
      <c r="F497" s="1" t="s">
        <v>32978</v>
      </c>
      <c r="G497" s="1" t="str">
        <f ca="1">IFERROR(__xludf.dummyfunction("IF(F497="""", """", GOOGLETRANSLATE(F497, ""en"", ""hi""))"),"1 कप चावल, 1-1/2 कप पानी, 1 बड़ा चम्मच घी, 1 प्याज - पतले टुकड़ों में कटा हुआ, 1/4 छोटा चम्मच जीरा, 1/4 छोटा चम्मच सौंफ, 2 इलायची - कुटी हुई, 2 लौंग, 1 इंच दालचीनी, नमक - चुटकी भर, 1 छोटा चम्मच लाल मिर्च पाउडर, 1/2 छोटा चम्मच हल्दी पाउडर, नमक - चुटकी भर, "&amp;"1 गोभी - कटी हुई, 3 प्याज - पतले टुकड़ों में कटे हुए, 2 टमाटर - पतले टुकड़ों में कटे हुए, 1/2 छोटा चम्मच अदरक - कटा हुआ, 1/2 छोटा चम्मच लहसुन - कटा हुआ, 4 हरी मिर्च - कुटी हुई, 1/2 छोटा चम्मच गरम मसाला पाउडर, 1/2 छोटा चम्मच जीरा पाउडर, 1/2 कप पुदीना - पतल"&amp;"े टुकड़ों में कटा हुआ, 1/2 कप धनिया पत्ता - पतले टुकड़ों में कटा हुआ, नमक - स्वादानुसार, 10 काजू, 10 किशमिश, 1 प्याज - पतले टुकड़ों में कटा हुआ")</f>
        <v>1 कप चावल, 1-1/2 कप पानी, 1 बड़ा चम्मच घी, 1 प्याज - पतले टुकड़ों में कटा हुआ, 1/4 छोटा चम्मच जीरा, 1/4 छोटा चम्मच सौंफ, 2 इलायची - कुटी हुई, 2 लौंग, 1 इंच दालचीनी, नमक - चुटकी भर, 1 छोटा चम्मच लाल मिर्च पाउडर, 1/2 छोटा चम्मच हल्दी पाउडर, नमक - चुटकी भर, 1 गोभी - कटी हुई, 3 प्याज - पतले टुकड़ों में कटे हुए, 2 टमाटर - पतले टुकड़ों में कटे हुए, 1/2 छोटा चम्मच अदरक - कटा हुआ, 1/2 छोटा चम्मच लहसुन - कटा हुआ, 4 हरी मिर्च - कुटी हुई, 1/2 छोटा चम्मच गरम मसाला पाउडर, 1/2 छोटा चम्मच जीरा पाउडर, 1/2 कप पुदीना - पतले टुकड़ों में कटा हुआ, 1/2 कप धनिया पत्ता - पतले टुकड़ों में कटा हुआ, नमक - स्वादानुसार, 10 काजू, 10 किशमिश, 1 प्याज - पतले टुकड़ों में कटा हुआ</v>
      </c>
      <c r="H497" s="1" t="s">
        <v>32979</v>
      </c>
      <c r="I497" s="1" t="str">
        <f ca="1">IFERROR(__xludf.dummyfunction("IF(H497="""", """", GOOGLETRANSLATE(H497, ""en"", ""hi""))"),"""गोबी बिरयानी बनाने के लिए सबसे पहले एक पैन में घी गर्म करें। इसमें काजू और किशमिश डालें और इसे भूरा होने तक पकने दें। इसे एक तरफ रख दें। अब इस पैन में प्याज़ डालें और इसे भूरा होने तक पकने दें। पकने के बाद इसे एक तरफ रख दें। चावल को आधे घंटे के लिए भिगो"&amp;" दें। पानी निथार कर अलग रख दें। इसी पैन में थोड़ा और घी डालें। इसमें जीरा, सौंफ, इलायची, लौंग और दालचीनी डालें और 15 सेकंड तक पकाएँ। अब इसमें प्याज़ डालें और इसे नरम होने तक पकाएँ। अब इसमें चावल डालें और 1 मिनट तक पकाएँ। अब इसमें 2 कप पानी और थोड़ा नमक डा"&amp;"लें। पैन को धक्का दें और पानी के सूखने तक पकाएँ। गैस बंद कर दें। पैन को आधे घंटे के लिए ढक कर रख दें। अब हम गोभी मसाला बनाएंगे। गोभी और मैरिनेशन के लिए बताई गई सामग्री को एक बाउल में डालें। इसे मिलाएँ और 10 मिनट के लिए अलग रख दें। एक पैन में तेल गरम करें।"&amp;" इसमें गोभी डालें और इसे कुरकुरा होने तक पकाएँ। दूसरे पैन में तेल या घी गरम करें। पतले कटे हुए प्याज़ डालें और भूरा होने तक पकाएँ। हरी मिर्च, अदरक और लहसुन डालें और 2 मिनट तक पकाएँ। गरम मसाला और जीरा पाउडर डालें और अच्छी तरह मिलाएँ। टमाटर और नमक डालें और "&amp;"टमाटर के नरम होने तक पकाएँ। टमाटर के नरम होने के बाद, फूलगोभी डालें और अच्छी तरह मिलाएँ। धनिया पत्ती और पुदीने की पत्तियाँ डालें और फिर से अच्छी तरह मिलाएँ। पका हुआ बासमती चावल डालें, पैन को ढक दें और धीमी आँच पर 5 मिनट तक पकाएँ। पैन खोलें और पके हुए प्या"&amp;"ज़, काजू और किशमिश से गार्निश करें। गोभी बिरयानी को बूंदी रायता और कचुम्बर सलाद के साथ रात के खाने में परोसें।")</f>
        <v>"गोबी बिरयानी बनाने के लिए सबसे पहले एक पैन में घी गर्म करें। इसमें काजू और किशमिश डालें और इसे भूरा होने तक पकने दें। इसे एक तरफ रख दें। अब इस पैन में प्याज़ डालें और इसे भूरा होने तक पकने दें। पकने के बाद इसे एक तरफ रख दें। चावल को आधे घंटे के लिए भिगो दें। पानी निथार कर अलग रख दें। इसी पैन में थोड़ा और घी डालें। इसमें जीरा, सौंफ, इलायची, लौंग और दालचीनी डालें और 15 सेकंड तक पकाएँ। अब इसमें प्याज़ डालें और इसे नरम होने तक पकाएँ। अब इसमें चावल डालें और 1 मिनट तक पकाएँ। अब इसमें 2 कप पानी और थोड़ा नमक डालें। पैन को धक्का दें और पानी के सूखने तक पकाएँ। गैस बंद कर दें। पैन को आधे घंटे के लिए ढक कर रख दें। अब हम गोभी मसाला बनाएंगे। गोभी और मैरिनेशन के लिए बताई गई सामग्री को एक बाउल में डालें। इसे मिलाएँ और 10 मिनट के लिए अलग रख दें। एक पैन में तेल गरम करें। इसमें गोभी डालें और इसे कुरकुरा होने तक पकाएँ। दूसरे पैन में तेल या घी गरम करें। पतले कटे हुए प्याज़ डालें और भूरा होने तक पकाएँ। हरी मिर्च, अदरक और लहसुन डालें और 2 मिनट तक पकाएँ। गरम मसाला और जीरा पाउडर डालें और अच्छी तरह मिलाएँ। टमाटर और नमक डालें और टमाटर के नरम होने तक पकाएँ। टमाटर के नरम होने के बाद, फूलगोभी डालें और अच्छी तरह मिलाएँ। धनिया पत्ती और पुदीने की पत्तियाँ डालें और फिर से अच्छी तरह मिलाएँ। पका हुआ बासमती चावल डालें, पैन को ढक दें और धीमी आँच पर 5 मिनट तक पकाएँ। पैन खोलें और पके हुए प्याज़, काजू और किशमिश से गार्निश करें। गोभी बिरयानी को बूंदी रायता और कचुम्बर सलाद के साथ रात के खाने में परोसें।</v>
      </c>
      <c r="J497" s="3" t="s">
        <v>32980</v>
      </c>
      <c r="L497" s="1" t="s">
        <v>31003</v>
      </c>
    </row>
    <row r="498" spans="1:12" ht="13.8">
      <c r="A498" s="1" t="s">
        <v>31037</v>
      </c>
      <c r="B498" s="1" t="str">
        <f ca="1">IFERROR(__xludf.dummyfunction("IF(A498="""", """", GOOGLETRANSLATE(A498, ""en"", ""hi""))"),"पनीर और हरी मटर पराठा रेसिपी")</f>
        <v>पनीर और हरी मटर पराठा रेसिपी</v>
      </c>
      <c r="C498" s="1" t="s">
        <v>16424</v>
      </c>
      <c r="D498" s="1" t="s">
        <v>14237</v>
      </c>
      <c r="E498" s="1">
        <v>65</v>
      </c>
      <c r="F498" s="1" t="s">
        <v>32981</v>
      </c>
      <c r="G498" s="1" t="str">
        <f ca="1">IFERROR(__xludf.dummyfunction("IF(F498="""", """", GOOGLETRANSLATE(F498, ""en"", ""hi""))"),"1/2 कप हरी मटर - पेस्ट में पिसी हुई, 1 कप पनीर - टुकड़े किए हुए, 1 इंच अदरक - कटा हुआ, 1 हरी मिर्च - कटी हुई, 1 चम्मच हल्दी पाउडर, 2 चम्मच लाल मिर्च पाउडर, 1 चम्मच आमचूर, 1 चम्मच धनिया पाउडर, नमक - स्वादानुसार, 1 कप गेहूं का आटा, नमक - स्वादानुसार, सूरजमु"&amp;"खी तेल - गूंथने के लिए, गुनगुना पानी - गूंथने के लिए")</f>
        <v>1/2 कप हरी मटर - पेस्ट में पिसी हुई, 1 कप पनीर - टुकड़े किए हुए, 1 इंच अदरक - कटा हुआ, 1 हरी मिर्च - कटी हुई, 1 चम्मच हल्दी पाउडर, 2 चम्मच लाल मिर्च पाउडर, 1 चम्मच आमचूर, 1 चम्मच धनिया पाउडर, नमक - स्वादानुसार, 1 कप गेहूं का आटा, नमक - स्वादानुसार, सूरजमुखी तेल - गूंथने के लिए, गुनगुना पानी - गूंथने के लिए</v>
      </c>
      <c r="H498" s="1" t="s">
        <v>32982</v>
      </c>
      <c r="I498" s="1" t="str">
        <f ca="1">IFERROR(__xludf.dummyfunction("IF(H498="""", """", GOOGLETRANSLATE(H498, ""en"", ""hi""))"),"पनीर और हरी मटर के पराठे बनाने के लिए सभी सामग्री तैयार करके रख लें। पराठे के लिए आटा गूंथने के लिए एक बड़े कटोरे में मैदा और नमक डालें। थोड़ा-थोड़ा पानी डालते हुए नरम और चिकना आटा गूंथ लें। जब सारा आटा एक साथ आ जाए तो आटे के ऊपर एक चम्मच तेल छिड़कें और द"&amp;"ो मिनट के लिए गूंथ लें। आटे को ढक दें और हम भरावन बनाने के लिए आगे बढ़ेंगे। एक कड़ाही में मध्यम आंच पर थोड़ा तेल गर्म करें, उसमें जीरा डालें और कुछ सेकंड के लिए उसे फूटने दें। उसमें अदरक डालें और अच्छे से भूनें। फिर मटर डालें। उन्हें आधा पकने तक भूनें। इस"&amp;"में टुकड़े किया हुआ पनीर डालें और सभी मसाले पाउडर डालें आटे के बीच में भरावन का एक बड़ा हिस्सा चम्मच से डालें। किनारों को एक साथ लाकर सील करें। पराठे को फिर से हल्के से मैदा में लपेटें और हवा की जेबों को हटाने के लिए धीरे से रोल करें। पराठे को बहुत कम दबा"&amp;"व डालते हुए रोल करें ताकि भरावन अंदर रहे और बाहर न निकले। बचे हुए पनीर और हरी मटर के भरवां पराठे को भरने के लिए उसी तरह आगे बढ़ें। अगला कदम पराठे को तवे या रोटी तवे पर पकाना है। तवे को पहले से गरम करें और फिर बेले हुए पराठे को तवे पर रखें। पलटें और दोनों "&amp;"तरफ से तब तक पकाएं जब तक कि आपको बाहर की तरफ भूरे रंग के धब्बे दिखाई न दें। पराठे पर घी या तेल छिड़कें और धीमी से मध्यम आंच पर तब तक पकाएं जब तक कि पराठा दोनों तरफ से पक कर सुनहरा भूरा न हो जाए। पक जाने के बाद पराठे को एक प्लेट में निकाल लें और बचे हुए पन"&amp;"ीर और हरी मटर के पराठों को भी इसी तरह सेंक लें। पनीर और हरी मटर की रेसिपी को पालक रायता या सिर्फ आम का चूड़ा के साथ नाश्ते और दोपहर के भोजन के लिए परोसें।")</f>
        <v>पनीर और हरी मटर के पराठे बनाने के लिए सभी सामग्री तैयार करके रख लें। पराठे के लिए आटा गूंथने के लिए एक बड़े कटोरे में मैदा और नमक डालें। थोड़ा-थोड़ा पानी डालते हुए नरम और चिकना आटा गूंथ लें। जब सारा आटा एक साथ आ जाए तो आटे के ऊपर एक चम्मच तेल छिड़कें और दो मिनट के लिए गूंथ लें। आटे को ढक दें और हम भरावन बनाने के लिए आगे बढ़ेंगे। एक कड़ाही में मध्यम आंच पर थोड़ा तेल गर्म करें, उसमें जीरा डालें और कुछ सेकंड के लिए उसे फूटने दें। उसमें अदरक डालें और अच्छे से भूनें। फिर मटर डालें। उन्हें आधा पकने तक भूनें। इसमें टुकड़े किया हुआ पनीर डालें और सभी मसाले पाउडर डालें आटे के बीच में भरावन का एक बड़ा हिस्सा चम्मच से डालें। किनारों को एक साथ लाकर सील करें। पराठे को फिर से हल्के से मैदा में लपेटें और हवा की जेबों को हटाने के लिए धीरे से रोल करें। पराठे को बहुत कम दबाव डालते हुए रोल करें ताकि भरावन अंदर रहे और बाहर न निकले। बचे हुए पनीर और हरी मटर के भरवां पराठे को भरने के लिए उसी तरह आगे बढ़ें। अगला कदम पराठे को तवे या रोटी तवे पर पकाना है। तवे को पहले से गरम करें और फिर बेले हुए पराठे को तवे पर रखें। पलटें और दोनों तरफ से तब तक पकाएं जब तक कि आपको बाहर की तरफ भूरे रंग के धब्बे दिखाई न दें। पराठे पर घी या तेल छिड़कें और धीमी से मध्यम आंच पर तब तक पकाएं जब तक कि पराठा दोनों तरफ से पक कर सुनहरा भूरा न हो जाए। पक जाने के बाद पराठे को एक प्लेट में निकाल लें और बचे हुए पनीर और हरी मटर के पराठों को भी इसी तरह सेंक लें। पनीर और हरी मटर की रेसिपी को पालक रायता या सिर्फ आम का चूड़ा के साथ नाश्ते और दोपहर के भोजन के लिए परोसें।</v>
      </c>
      <c r="J498" s="3" t="s">
        <v>32983</v>
      </c>
      <c r="L498" s="1" t="s">
        <v>31003</v>
      </c>
    </row>
    <row r="499" spans="1:12" ht="13.8">
      <c r="A499" s="1" t="s">
        <v>32984</v>
      </c>
      <c r="B499" s="1" t="str">
        <f ca="1">IFERROR(__xludf.dummyfunction("IF(A499="""", """", GOOGLETRANSLATE(A499, ""en"", ""hi""))"),"कच्चे आम के साथ भेल पूरी रेसिपी")</f>
        <v>कच्चे आम के साथ भेल पूरी रेसिपी</v>
      </c>
      <c r="C499" s="1" t="s">
        <v>14281</v>
      </c>
      <c r="D499" s="1" t="s">
        <v>14198</v>
      </c>
      <c r="E499" s="1">
        <v>15</v>
      </c>
      <c r="F499" s="1" t="s">
        <v>32985</v>
      </c>
      <c r="G499" s="1" t="str">
        <f ca="1">IFERROR(__xludf.dummyfunction("IF(F499="""", """", GOOGLETRANSLATE(F499, ""en"", ""hi""))"),"2 कप मुरमुरे, 1 प्याज - छिला और बारीक कटा हुआ, 1 टमाटर - बीज निकालकर बारीक कटा हुआ, 1/2 कप आम (कच्चा) - कटा हुआ, 3 टहनी धनिया (कटा हुआ), 3 बड़े चम्मच कच्ची मूंगफली (मूंगफली) - भुनी हुई, 2 बड़े चम्मच पीली मूंग दाल (विभाजित) - तली हुई (वैकल्पिक), 1 1/2 बड़ा"&amp;" चम्मच लहसुन की चटनी (लाल लहसुन की चटनी), 1 बड़ा चम्मच हरी चटनी (धनिया और पुदीना), 1 1/2 बड़ा चम्मच मीठी चटनी (खजूर और इमली), नमक - आवश्यकतानुसार")</f>
        <v>2 कप मुरमुरे, 1 प्याज - छिला और बारीक कटा हुआ, 1 टमाटर - बीज निकालकर बारीक कटा हुआ, 1/2 कप आम (कच्चा) - कटा हुआ, 3 टहनी धनिया (कटा हुआ), 3 बड़े चम्मच कच्ची मूंगफली (मूंगफली) - भुनी हुई, 2 बड़े चम्मच पीली मूंग दाल (विभाजित) - तली हुई (वैकल्पिक), 1 1/2 बड़ा चम्मच लहसुन की चटनी (लाल लहसुन की चटनी), 1 बड़ा चम्मच हरी चटनी (धनिया और पुदीना), 1 1/2 बड़ा चम्मच मीठी चटनी (खजूर और इमली), नमक - आवश्यकतानुसार</v>
      </c>
      <c r="H499" s="1" t="s">
        <v>32986</v>
      </c>
      <c r="I499" s="1" t="str">
        <f ca="1">IFERROR(__xludf.dummyfunction("IF(H499="""", """", GOOGLETRANSLATE(H499, ""en"", ""hi""))"),"कच्चे आम के साथ भेल पुरी बनाने के लिए, कटे हुए कच्चे आम पर एक चुटकी नमक और लाल मिर्च पाउडर छिड़कें और एक तरफ रख दें। एक चौड़े मिक्सिंग बाउल में कटा हुआ प्याज, कटा हुआ टमाटर, मुरमुरे, मूंगफली, लहसुन की चटनी, हरी चटनी और खजूर और इमली की चटनी मिलाएँ। अब मसाल"&amp;"ा कच्चे आम के टुकड़े डालें और धीरे से टॉस करें। यदि आवश्यक हो तो नमक डालें। भेल में ताजा कटा हरा धनिया, सेव और तली हुई मूंग दाल डालें। टॉस करें और तुरंत परोसें। कच्चे आम के साथ भेल पुरी को अपने चाय ब्रेक के दौरान एक कप मसाला चाय के साथ परोसें या आप इसे वी"&amp;"केंड चाट पार्टी के लिए सेव पुरी और दही भल्ला पुरी जैसी अन्य चाट के साथ भी बना सकते हैं और परोस सकते हैं।")</f>
        <v>कच्चे आम के साथ भेल पुरी बनाने के लिए, कटे हुए कच्चे आम पर एक चुटकी नमक और लाल मिर्च पाउडर छिड़कें और एक तरफ रख दें। एक चौड़े मिक्सिंग बाउल में कटा हुआ प्याज, कटा हुआ टमाटर, मुरमुरे, मूंगफली, लहसुन की चटनी, हरी चटनी और खजूर और इमली की चटनी मिलाएँ। अब मसाला कच्चे आम के टुकड़े डालें और धीरे से टॉस करें। यदि आवश्यक हो तो नमक डालें। भेल में ताजा कटा हरा धनिया, सेव और तली हुई मूंग दाल डालें। टॉस करें और तुरंत परोसें। कच्चे आम के साथ भेल पुरी को अपने चाय ब्रेक के दौरान एक कप मसाला चाय के साथ परोसें या आप इसे वीकेंड चाट पार्टी के लिए सेव पुरी और दही भल्ला पुरी जैसी अन्य चाट के साथ भी बना सकते हैं और परोस सकते हैं।</v>
      </c>
      <c r="J499" s="3" t="s">
        <v>32987</v>
      </c>
      <c r="L499" s="1" t="s">
        <v>31003</v>
      </c>
    </row>
    <row r="500" spans="1:12" ht="13.8">
      <c r="A500" s="1" t="s">
        <v>32988</v>
      </c>
      <c r="B500" s="1" t="str">
        <f ca="1">IFERROR(__xludf.dummyfunction("IF(A500="""", """", GOOGLETRANSLATE(A500, ""en"", ""hi""))"),"ब्रोकली पकौड़ा मसाला रेसिपी - मसालेदार दही ग्रेवी में ब्रोकली")</f>
        <v>ब्रोकली पकौड़ा मसाला रेसिपी - मसालेदार दही ग्रेवी में ब्रोकली</v>
      </c>
      <c r="C500" s="1" t="s">
        <v>145</v>
      </c>
      <c r="D500" s="1" t="s">
        <v>14198</v>
      </c>
      <c r="E500" s="1">
        <v>30</v>
      </c>
      <c r="F500" s="1" t="s">
        <v>32989</v>
      </c>
      <c r="G500" s="1" t="str">
        <f ca="1">IFERROR(__xludf.dummyfunction("IF(F500="""", """", GOOGLETRANSLATE(F500, ""en"", ""hi""))"),"1 कप ब्रोकली - बारीक कटी हुई, 1 कप प्याज - पतले कटे हुए, 1 बड़ा चम्मच चावल का आटा, 3 बड़े चम्मच बेसन, 1/2 छोटा चम्मच बेकिंग सोडा, 1/2 छोटा चम्मच नींबू का रस, 1/4 छोटा चम्मच हल्दी पाउडर, 1/2 छोटा चम्मच लाल मिर्च पाउडर, 1/4 छोटा चम्मच गरम मसाला पाउडर, 3 बड़"&amp;"े चम्मच पानी, नमक - स्वादानुसार, 1 कप दही - फेंटा हुआ, 3/4 कप पानी, 1 बड़ा चम्मच बेसन, 1 छोटा चम्मच सरसों के बीज, 1 छोटा चम्मच जीरा, हींग - चुटकीभर, 2 बड़े चम्मच सूरजमुखी का तेल, 1/4 छोटा चम्मच हल्दी पाउडर, 1 छोटा चम्मच लाल मिर्च पाउडर, 1 छोटा चम्मच धनिया"&amp;" पाउडर, नमक - स्वादानुसार")</f>
        <v>1 कप ब्रोकली - बारीक कटी हुई, 1 कप प्याज - पतले कटे हुए, 1 बड़ा चम्मच चावल का आटा, 3 बड़े चम्मच बेसन, 1/2 छोटा चम्मच बेकिंग सोडा, 1/2 छोटा चम्मच नींबू का रस, 1/4 छोटा चम्मच हल्दी पाउडर, 1/2 छोटा चम्मच लाल मिर्च पाउडर, 1/4 छोटा चम्मच गरम मसाला पाउडर, 3 बड़े चम्मच पानी, नमक - स्वादानुसार, 1 कप दही - फेंटा हुआ, 3/4 कप पानी, 1 बड़ा चम्मच बेसन, 1 छोटा चम्मच सरसों के बीज, 1 छोटा चम्मच जीरा, हींग - चुटकीभर, 2 बड़े चम्मच सूरजमुखी का तेल, 1/4 छोटा चम्मच हल्दी पाउडर, 1 छोटा चम्मच लाल मिर्च पाउडर, 1 छोटा चम्मच धनिया पाउडर, नमक - स्वादानुसार</v>
      </c>
      <c r="H500" s="1" t="s">
        <v>32990</v>
      </c>
      <c r="I500" s="1" t="str">
        <f ca="1">IFERROR(__xludf.dummyfunction("IF(H500="""", """", GOOGLETRANSLATE(H500, ""en"", ""hi""))"),"ब्रोकली पकौड़ा मसाला रेसिपी बनाने के लिए सबसे पहले ओवन को 400°F/204°C पर गर्म करें और एक बेकिंग ट्रे पर नॉन स्टिक कुकिंग ऑयल छिड़कें और एक तरफ रख दें। एक कटोरे में पकौड़े के नीचे की सामग्री डालें जिसमें ब्रोकली, प्याज, चावल का आटा, बेसन, बेकिंग सोडा, नींब"&amp;"ू का रस, हल्दी पाउडर, लाल मिर्च पाउडर, गरम मसाला पाउडर, नमक और थोड़ा पानी डालें। अच्छी तरह मिलाकर गाढ़ा गाढ़ापन तैयार कर लें। एक चाय का चम्मच मिश्रण लें और गीले हाथों से उन्हें गोल करके बेकिंग ट्रे पर रख दें। 400°F पर 20 मिनट तक बेक करें, जब तक कि ऊपर की "&amp;"परतें हल्के भूरे रंग की न हो जाएं। इन्हें बाहर निकालकर एक तरफ रख दें। अगर आप पके हुए पकौड़े नहीं चाहते हैं तो आप इन्हें तल भी सकते हैं। तलने के लिए एक भारी तले की कड़ाही में तेल गर्म करें अगला कदम ब्रोकली के पकौड़ों के लिए दही की ग्रेवी बनाना है। एक चौड़े"&amp;" पैन में तेल गर्म करें और उसमें राई, जीरा, हींग डालें और इसे लगभग 15 से 20 सेकंड तक पकने दें। आंच कम करें और बेसन डालें। धीमी आंच पर तब तक चलाते रहें जब तक कि यह सुगंधित और हल्के सुनहरे रंग का न हो जाए। एक बार जब यह सुनहरे रंग का हो जाए तो इसमें दही, हल्द"&amp;"ी पाउडर, लाल मिर्च पाउडर, धनिया पाउडर डालें और धीमी आंच पर लगभग 4 से 5 मिनट तक अच्छी तरह हिलाएं। अपनी पसंद के हिसाब से पानी डालें। नमक डालें और अच्छी तरह मिलाएँ। फिर पकौड़े डालें और 2 मिनट तक उबलने दें। मसालेदार दही की ग्रेवी में ब्रोकली के पकौड़े परोसने "&amp;"के लिए तैयार हैं। आनंद लें! ब्रोकली पकौड़ा मसाला को टमाटर प्याज ककड़ी रायता, जीरा राइस और फुल्का के साथ सप्ताह के दिनों के भोजन के लिए परोसें।")</f>
        <v>ब्रोकली पकौड़ा मसाला रेसिपी बनाने के लिए सबसे पहले ओवन को 400°F/204°C पर गर्म करें और एक बेकिंग ट्रे पर नॉन स्टिक कुकिंग ऑयल छिड़कें और एक तरफ रख दें। एक कटोरे में पकौड़े के नीचे की सामग्री डालें जिसमें ब्रोकली, प्याज, चावल का आटा, बेसन, बेकिंग सोडा, नींबू का रस, हल्दी पाउडर, लाल मिर्च पाउडर, गरम मसाला पाउडर, नमक और थोड़ा पानी डालें। अच्छी तरह मिलाकर गाढ़ा गाढ़ापन तैयार कर लें। एक चाय का चम्मच मिश्रण लें और गीले हाथों से उन्हें गोल करके बेकिंग ट्रे पर रख दें। 400°F पर 20 मिनट तक बेक करें, जब तक कि ऊपर की परतें हल्के भूरे रंग की न हो जाएं। इन्हें बाहर निकालकर एक तरफ रख दें। अगर आप पके हुए पकौड़े नहीं चाहते हैं तो आप इन्हें तल भी सकते हैं। तलने के लिए एक भारी तले की कड़ाही में तेल गर्म करें अगला कदम ब्रोकली के पकौड़ों के लिए दही की ग्रेवी बनाना है। एक चौड़े पैन में तेल गर्म करें और उसमें राई, जीरा, हींग डालें और इसे लगभग 15 से 20 सेकंड तक पकने दें। आंच कम करें और बेसन डालें। धीमी आंच पर तब तक चलाते रहें जब तक कि यह सुगंधित और हल्के सुनहरे रंग का न हो जाए। एक बार जब यह सुनहरे रंग का हो जाए तो इसमें दही, हल्दी पाउडर, लाल मिर्च पाउडर, धनिया पाउडर डालें और धीमी आंच पर लगभग 4 से 5 मिनट तक अच्छी तरह हिलाएं। अपनी पसंद के हिसाब से पानी डालें। नमक डालें और अच्छी तरह मिलाएँ। फिर पकौड़े डालें और 2 मिनट तक उबलने दें। मसालेदार दही की ग्रेवी में ब्रोकली के पकौड़े परोसने के लिए तैयार हैं। आनंद लें! ब्रोकली पकौड़ा मसाला को टमाटर प्याज ककड़ी रायता, जीरा राइस और फुल्का के साथ सप्ताह के दिनों के भोजन के लिए परोसें।</v>
      </c>
      <c r="J500" s="3" t="s">
        <v>32991</v>
      </c>
      <c r="L500" s="1" t="s">
        <v>31003</v>
      </c>
    </row>
    <row r="501" spans="1:12" ht="13.8">
      <c r="A501" s="1" t="s">
        <v>32992</v>
      </c>
      <c r="B501" s="1" t="str">
        <f ca="1">IFERROR(__xludf.dummyfunction("IF(A501="""", """", GOOGLETRANSLATE(A501, ""en"", ""hi""))"),"स्वास्थ्यवर्धक लौकी कोफ्ता करी रेसिपी | बिना तली हुई लौकी कोफ्ता करी | धूडी कोफ्ता")</f>
        <v>स्वास्थ्यवर्धक लौकी कोफ्ता करी रेसिपी | बिना तली हुई लौकी कोफ्ता करी | धूडी कोफ्ता</v>
      </c>
      <c r="C501" s="1" t="s">
        <v>429</v>
      </c>
      <c r="D501" s="1" t="s">
        <v>14198</v>
      </c>
      <c r="E501" s="1">
        <v>60</v>
      </c>
      <c r="F501" s="1" t="s">
        <v>32993</v>
      </c>
      <c r="G501" s="1" t="str">
        <f ca="1">IFERROR(__xludf.dummyfunction("IF(F501="""", """", GOOGLETRANSLATE(F501, ""en"", ""hi""))"),"1 लौकी - छीलकर कद्दूकस की हुई (लगभग 3 कप), 1/4 कप बेसन, 1/2 छोटा चम्मच लाल मिर्च पाउडर, 1 छोटा चम्मच धनिया पाउडर, 1/2 छोटा चम्मच हल्दी पाउडर, 1/2 छोटा चम्मच गरम मसाला पाउडर, नमक - स्वादानुसार, सूरजमुखी का तेल - पकाने के लिए, 4 लहसुन - बारीक कटा हुआ, 1 इंच"&amp;" अदरक - बारीक कटा हुआ, 1 हरी मिर्च - फूटी हुई, 1 प्याज - बारीक कटा हुआ, 1 इंच दालचीनी - टूटी हुई, 1 तेज पत्ता - फटा हुआ, 2 बड़ी इलायची, 1 बड़ा चम्मच पत्थर फूल, 8 टमाटर - टुकड़ों में काटकर प्यूरी बना लें, 1/2 छोटा चम्मच हल्दी पाउडर, 1 छोटा चम्मच धनिया पाउड"&amp;"र, 1 छोटा चम्मच लाल मिर्च पाउडर, 1/2 छोटा चम्मच गरम मसाला पाउडर, 1 बड़ा चम्मच शहद, 8 टहनी धनिया (धनिया) पत्तियां - कटा हुआ,नमक - स्वादानुसार,1 बड़ा चम्मच घी")</f>
        <v>1 लौकी - छीलकर कद्दूकस की हुई (लगभग 3 कप), 1/4 कप बेसन, 1/2 छोटा चम्मच लाल मिर्च पाउडर, 1 छोटा चम्मच धनिया पाउडर, 1/2 छोटा चम्मच हल्दी पाउडर, 1/2 छोटा चम्मच गरम मसाला पाउडर, नमक - स्वादानुसार, सूरजमुखी का तेल - पकाने के लिए, 4 लहसुन - बारीक कटा हुआ, 1 इंच अदरक - बारीक कटा हुआ, 1 हरी मिर्च - फूटी हुई, 1 प्याज - बारीक कटा हुआ, 1 इंच दालचीनी - टूटी हुई, 1 तेज पत्ता - फटा हुआ, 2 बड़ी इलायची, 1 बड़ा चम्मच पत्थर फूल, 8 टमाटर - टुकड़ों में काटकर प्यूरी बना लें, 1/2 छोटा चम्मच हल्दी पाउडर, 1 छोटा चम्मच धनिया पाउडर, 1 छोटा चम्मच लाल मिर्च पाउडर, 1/2 छोटा चम्मच गरम मसाला पाउडर, 1 बड़ा चम्मच शहद, 8 टहनी धनिया (धनिया) पत्तियां - कटा हुआ,नमक - स्वादानुसार,1 बड़ा चम्मच घी</v>
      </c>
      <c r="H501" s="1" t="s">
        <v>32994</v>
      </c>
      <c r="I501" s="1" t="str">
        <f ca="1">IFERROR(__xludf.dummyfunction("IF(H501="""", """", GOOGLETRANSLATE(H501, ""en"", ""hi""))"),"लौकी कोफ्ता रेसिपी बनाने के लिए सबसे पहले सारी सामग्री तैयार करके रख लें। लौकी को छीलकर कद्दूकस कर लें और कद्दूकस की हुई लौकी से अतिरिक्त पानी निचोड़ कर अलग रख दें। कोफ्ते की सारी सामग्री मिला लें और 12 से 15 भागों में बांट लें। एक बड़े कटोरे में कद्दूकस "&amp;"की हुई लौकी, हल्दी, लाल मिर्च, धनिया पाउडर, गरम मसाला, बेसन और स्वादानुसार नमक डालें। सारी चीजों को अच्छे से मिला लें। एक कुझी पनियारम को पहले से गरम कर लें और प्रत्येक गड्ढे में थोड़ा तेल छिड़कें, फिर कोफ्ते के गोले को पैन के गड्ढे में रखें, कोफ्ते पर थो"&amp;"ड़ा तेल छिड़कें और दोनों तरफ से सुनहरा भूरा होने तक तल लें। आपको कोफ्ते के गोलों को पलटना होगा ताकि वे सभी तरफ से समान रूप से तल जाएं। एक बार हो जाने पर, लौकी कोफ्ता बॉल्स को एक तरफ रख दें और हम उनका उपयोग तभी करेंगे जब हम परोसने के लिए तैयार होंगे। कोफ्त"&amp;"ा करी के लिए, कटे हुए टमाटरों को मिक्सर ग्राइंडर में डालें और उसकी प्यूरी बना लें। एक तरफ रख दें। एक भारी तले की कड़ाही में घी गर्म करें; उसमें अदरक, लहसुन, हरी मिर्च और प्याज डालें और प्याज के नरम होने तक भूनें। इसमें 3 से 4 मिनट का समय लगेगा। एक बार जब "&amp;"प्याज नरम हो जाए और हल्का सुनहरा भूरा हो जाए तो मसाले डालें; दालचीनी, तेज पत्ता, बड़ी इलाइची और पत्थर का आटा। कुछ सेकंड के लिए हिलाएँ जब तक कि आपको सुगंध आने न लगे। टमाटर प्यूरी, हल्दी पाउडर, गरम मसाला पाउडर, मिर्च पाउडर, धनिया पाउडर, नमक शहद डालें और कोफ"&amp;"्ते की ग्रेवी को लगभग 5 से 7 मिनट तक उबालें जब तक कि टमाटर से कच्ची गंध चली न जाए। पैन फ्राई किए हुए लौकी कोफ्ता डालें और ऊपर से ताजा धनिया पत्ती छिड़कें और गरमागरम परोसें। लौकी कोफ्ता करी को पालक दाल, फुल्का और पनीर पुलाव के साथ लच्छा प्याज़ और लस्सी के "&amp;"साथ स्वादिष्ट डिनर के लिए परोसें।")</f>
        <v>लौकी कोफ्ता रेसिपी बनाने के लिए सबसे पहले सारी सामग्री तैयार करके रख लें। लौकी को छीलकर कद्दूकस कर लें और कद्दूकस की हुई लौकी से अतिरिक्त पानी निचोड़ कर अलग रख दें। कोफ्ते की सारी सामग्री मिला लें और 12 से 15 भागों में बांट लें। एक बड़े कटोरे में कद्दूकस की हुई लौकी, हल्दी, लाल मिर्च, धनिया पाउडर, गरम मसाला, बेसन और स्वादानुसार नमक डालें। सारी चीजों को अच्छे से मिला लें। एक कुझी पनियारम को पहले से गरम कर लें और प्रत्येक गड्ढे में थोड़ा तेल छिड़कें, फिर कोफ्ते के गोले को पैन के गड्ढे में रखें, कोफ्ते पर थोड़ा तेल छिड़कें और दोनों तरफ से सुनहरा भूरा होने तक तल लें। आपको कोफ्ते के गोलों को पलटना होगा ताकि वे सभी तरफ से समान रूप से तल जाएं। एक बार हो जाने पर, लौकी कोफ्ता बॉल्स को एक तरफ रख दें और हम उनका उपयोग तभी करेंगे जब हम परोसने के लिए तैयार होंगे। कोफ्ता करी के लिए, कटे हुए टमाटरों को मिक्सर ग्राइंडर में डालें और उसकी प्यूरी बना लें। एक तरफ रख दें। एक भारी तले की कड़ाही में घी गर्म करें; उसमें अदरक, लहसुन, हरी मिर्च और प्याज डालें और प्याज के नरम होने तक भूनें। इसमें 3 से 4 मिनट का समय लगेगा। एक बार जब प्याज नरम हो जाए और हल्का सुनहरा भूरा हो जाए तो मसाले डालें; दालचीनी, तेज पत्ता, बड़ी इलाइची और पत्थर का आटा। कुछ सेकंड के लिए हिलाएँ जब तक कि आपको सुगंध आने न लगे। टमाटर प्यूरी, हल्दी पाउडर, गरम मसाला पाउडर, मिर्च पाउडर, धनिया पाउडर, नमक शहद डालें और कोफ्ते की ग्रेवी को लगभग 5 से 7 मिनट तक उबालें जब तक कि टमाटर से कच्ची गंध चली न जाए। पैन फ्राई किए हुए लौकी कोफ्ता डालें और ऊपर से ताजा धनिया पत्ती छिड़कें और गरमागरम परोसें। लौकी कोफ्ता करी को पालक दाल, फुल्का और पनीर पुलाव के साथ लच्छा प्याज़ और लस्सी के साथ स्वादिष्ट डिनर के लिए परोसें।</v>
      </c>
      <c r="J501" s="3" t="s">
        <v>32995</v>
      </c>
      <c r="L501" s="1" t="s">
        <v>31003</v>
      </c>
    </row>
    <row r="502" spans="1:12" ht="13.8">
      <c r="A502" s="1" t="s">
        <v>32996</v>
      </c>
      <c r="B502" s="1" t="str">
        <f ca="1">IFERROR(__xludf.dummyfunction("IF(A502="""", """", GOOGLETRANSLATE(A502, ""en"", ""hi""))"),"बादाम और पिस्ता के साथ मावा गुजिया रेसिपी")</f>
        <v>बादाम और पिस्ता के साथ मावा गुजिया रेसिपी</v>
      </c>
      <c r="C502" s="1" t="s">
        <v>14281</v>
      </c>
      <c r="D502" s="1" t="s">
        <v>14198</v>
      </c>
      <c r="E502" s="1">
        <v>60</v>
      </c>
      <c r="F502" s="1" t="s">
        <v>32997</v>
      </c>
      <c r="G502" s="1" t="str">
        <f ca="1">IFERROR(__xludf.dummyfunction("IF(F502="""", """", GOOGLETRANSLATE(F502, ""en"", ""hi""))"),"2 कप मैदा, 1-1/2 बड़ा चम्मच सूजी, 1-1/2 बड़ा चम्मच चीनी, 1/8 छोटा चम्मच बेकिंग सोडा, 1/4 कप घी, पानी - आवश्यकतानुसार, 1/4 छोटा चम्मच केसर, 1 बड़ा चम्मच दूध - केसर भिगोने के लिए (गर्म दूध), 300 ग्राम खोया (मावा), 3 बड़े चम्मच नारियल, 2 बड़े चम्मच बादाम - द"&amp;"रदरा पीसा हुआ, 2 बड़े चम्मच पिस्ता - दरदरा पीसा हुआ, 1/3 कप चीनी, 1/4 कप दूध - या पेस्ट्री के लिए अंडा, बादाम - कटा हुआ, 1/4 कप चीनी, 1/4 कप पानी, केसर के रेशे - चुटकी भर")</f>
        <v>2 कप मैदा, 1-1/2 बड़ा चम्मच सूजी, 1-1/2 बड़ा चम्मच चीनी, 1/8 छोटा चम्मच बेकिंग सोडा, 1/4 कप घी, पानी - आवश्यकतानुसार, 1/4 छोटा चम्मच केसर, 1 बड़ा चम्मच दूध - केसर भिगोने के लिए (गर्म दूध), 300 ग्राम खोया (मावा), 3 बड़े चम्मच नारियल, 2 बड़े चम्मच बादाम - दरदरा पीसा हुआ, 2 बड़े चम्मच पिस्ता - दरदरा पीसा हुआ, 1/3 कप चीनी, 1/4 कप दूध - या पेस्ट्री के लिए अंडा, बादाम - कटा हुआ, 1/4 कप चीनी, 1/4 कप पानी, केसर के रेशे - चुटकी भर</v>
      </c>
      <c r="H502" s="1" t="s">
        <v>32998</v>
      </c>
      <c r="I502" s="1" t="str">
        <f ca="1">IFERROR(__xludf.dummyfunction("IF(H502="""", """", GOOGLETRANSLATE(H502, ""en"", ""hi""))"),"मावा गुझिया रेसिपी बनाने के लिए एक कटोरी में गर्म दूध में केसर मिलाएं। इसे 15 मिनट के लिए अलग रख दें। अगला कदम गुझिया के लिए भरावन तैयार करना है। खोया/मावा को तोड़कर या कद्दूकस कर लें। एक मोटे तले वाले पैन में खोया/मावा डालें और धीमी आंच पर इसे तब तक भूने"&amp;"ं जब तक इसका रंग हल्का भूरा न हो जाए (लगभग 25 मिनट या ऐसा ही कुछ)। इसके बाद, सूखा नारियल डालें और 2 मिनट के लिए और भूनें। खोया/मावा में बादाम और पिस्ता डालें, अच्छी तरह मिलाएँ, आँच से उतार लें और एक तरफ रख दें। जब भुना हुआ खोया/मावा अभी भी गर्म हो, तो इसम"&amp;"ें चीनी डालें और अच्छी तरह मिलाएँ। इसे एक तरफ रख दें। भूनने की प्रक्रिया के अंत में सावधानी बरतें ताकि खोया/मावा बहुत सूखा न हो जाए। यह नम लेकिन थोड़ा भूरा रंग का होना चाहिए एक कटोरे में मैदा, सूजी, चीनी और बेकिंग सोडा को एक साथ मिला लें। घी डालें और आटे "&amp;"के मिश्रण को उंगलियों की नोक से रगड़ना शुरू करें। मध्यम नरम आटा गूंथने के लिए धीरे-धीरे और आवश्यकतानुसार पानी डालें। आटे को 2 मिनट तक चिकना होने तक गूंथ लें। मावा गुझिया के आटे को दो भागों में बांट लें और दो साफ बॉल्स बना लें। आधे घंटे के लिए एक नम कपड़े "&amp;"से ढककर रख दें ताकि आटा सूखें नहीं। अंत में, हम गुझिया में मावा भरेंगे। ओवन को 180 डिग्री सेल्सियस पर पहले से गरम कर लें। एक बॉल को पतला रोल करें और कुकी कटर का उपयोग करके आटे को वांछित आकार में काट लें। गुझिया आमतौर पर अर्धवृत्ताकार होती हैं, लेकिन आप अल"&amp;"ग-अलग आकृतियों के लिए कुकी कटर का उपयोग भी कर सकते हैं। आटे को आयताकार आकार में रोल करें प्रत्येक कटे हुए चौकोर आटे को बेकिंग ट्रे पर एक इंच की दूरी पर रखें। प्रत्येक चौकोर आटे के बीच में एक चम्मच ठंडा मावा भरें और कटे हुए चौकोर आटे की दूसरी परत से ढक दें"&amp;"। कांटे से किनारों को दबाकर मावा गुजिया के किनारों को चारों ओर से सील कर दें। इस प्रक्रिया को तब तक दोहराएं जब तक कि सभी गुजिया का आटा इस्तेमाल न हो जाए और भर न जाए। गुजिया के ऊपर दूध या फेंटा हुआ अंडा लगाएं और कटे हुए बादाम छिड़क दें। लगभग 15 मिनट के लिए"&amp;" ओवन में बेक करें या जब तक यह सुनहरा भूरा न होने लगे। ओवन से निकालें और उन्हें एक वायर रैक पर ठंडा होने दें। वैकल्पिक रूप से, आप भरे हुए चौकोर गुजिया भी तैयार कर सकते हैं और गुजिया को तेल में तल सकते हैं। मावा गुजिया बेक या फ्राई हो जाने के बाद, उन्हें एक"&amp;" तरफ रख दें। चीनी की चाशनी बनाने के लिए, जब चीनी पूरी तरह पिघल जाए तो उसमें केसर वाला मिश्रण डालें, एक मिनट तक अच्छे से हिलाएं और आंच बंद कर दें। जब मावा गुजिया गर्म हो तो उन पर केसर की चाशनी लगाएं या आप उन्हें उसमें डुबा भी सकते हैं। जब मावा गुजिया पूरी "&amp;"तरह से ठंडी हो जाएं तो चाशनी उनमें अच्छी चमक लाएगी। होली या दिवाली पर इन मावा गुजिया को एक गिलास ठंडाई और दही वड़े की स्वादिष्ट प्लेट के साथ परोसें।")</f>
        <v>मावा गुझिया रेसिपी बनाने के लिए एक कटोरी में गर्म दूध में केसर मिलाएं। इसे 15 मिनट के लिए अलग रख दें। अगला कदम गुझिया के लिए भरावन तैयार करना है। खोया/मावा को तोड़कर या कद्दूकस कर लें। एक मोटे तले वाले पैन में खोया/मावा डालें और धीमी आंच पर इसे तब तक भूनें जब तक इसका रंग हल्का भूरा न हो जाए (लगभग 25 मिनट या ऐसा ही कुछ)। इसके बाद, सूखा नारियल डालें और 2 मिनट के लिए और भूनें। खोया/मावा में बादाम और पिस्ता डालें, अच्छी तरह मिलाएँ, आँच से उतार लें और एक तरफ रख दें। जब भुना हुआ खोया/मावा अभी भी गर्म हो, तो इसमें चीनी डालें और अच्छी तरह मिलाएँ। इसे एक तरफ रख दें। भूनने की प्रक्रिया के अंत में सावधानी बरतें ताकि खोया/मावा बहुत सूखा न हो जाए। यह नम लेकिन थोड़ा भूरा रंग का होना चाहिए एक कटोरे में मैदा, सूजी, चीनी और बेकिंग सोडा को एक साथ मिला लें। घी डालें और आटे के मिश्रण को उंगलियों की नोक से रगड़ना शुरू करें। मध्यम नरम आटा गूंथने के लिए धीरे-धीरे और आवश्यकतानुसार पानी डालें। आटे को 2 मिनट तक चिकना होने तक गूंथ लें। मावा गुझिया के आटे को दो भागों में बांट लें और दो साफ बॉल्स बना लें। आधे घंटे के लिए एक नम कपड़े से ढककर रख दें ताकि आटा सूखें नहीं। अंत में, हम गुझिया में मावा भरेंगे। ओवन को 180 डिग्री सेल्सियस पर पहले से गरम कर लें। एक बॉल को पतला रोल करें और कुकी कटर का उपयोग करके आटे को वांछित आकार में काट लें। गुझिया आमतौर पर अर्धवृत्ताकार होती हैं, लेकिन आप अलग-अलग आकृतियों के लिए कुकी कटर का उपयोग भी कर सकते हैं। आटे को आयताकार आकार में रोल करें प्रत्येक कटे हुए चौकोर आटे को बेकिंग ट्रे पर एक इंच की दूरी पर रखें। प्रत्येक चौकोर आटे के बीच में एक चम्मच ठंडा मावा भरें और कटे हुए चौकोर आटे की दूसरी परत से ढक दें। कांटे से किनारों को दबाकर मावा गुजिया के किनारों को चारों ओर से सील कर दें। इस प्रक्रिया को तब तक दोहराएं जब तक कि सभी गुजिया का आटा इस्तेमाल न हो जाए और भर न जाए। गुजिया के ऊपर दूध या फेंटा हुआ अंडा लगाएं और कटे हुए बादाम छिड़क दें। लगभग 15 मिनट के लिए ओवन में बेक करें या जब तक यह सुनहरा भूरा न होने लगे। ओवन से निकालें और उन्हें एक वायर रैक पर ठंडा होने दें। वैकल्पिक रूप से, आप भरे हुए चौकोर गुजिया भी तैयार कर सकते हैं और गुजिया को तेल में तल सकते हैं। मावा गुजिया बेक या फ्राई हो जाने के बाद, उन्हें एक तरफ रख दें। चीनी की चाशनी बनाने के लिए, जब चीनी पूरी तरह पिघल जाए तो उसमें केसर वाला मिश्रण डालें, एक मिनट तक अच्छे से हिलाएं और आंच बंद कर दें। जब मावा गुजिया गर्म हो तो उन पर केसर की चाशनी लगाएं या आप उन्हें उसमें डुबा भी सकते हैं। जब मावा गुजिया पूरी तरह से ठंडी हो जाएं तो चाशनी उनमें अच्छी चमक लाएगी। होली या दिवाली पर इन मावा गुजिया को एक गिलास ठंडाई और दही वड़े की स्वादिष्ट प्लेट के साथ परोसें।</v>
      </c>
      <c r="J502" s="3" t="s">
        <v>32999</v>
      </c>
      <c r="L502" s="1" t="s">
        <v>31003</v>
      </c>
    </row>
    <row r="503" spans="1:12" ht="13.8">
      <c r="A503" s="1" t="s">
        <v>33000</v>
      </c>
      <c r="B503" s="1" t="str">
        <f ca="1">IFERROR(__xludf.dummyfunction("IF(A503="""", """", GOOGLETRANSLATE(A503, ""en"", ""hi""))"),"अजवाइन टमाटर ग्रेवी में पनीर भरवां भिन्डी रेसिपी")</f>
        <v>अजवाइन टमाटर ग्रेवी में पनीर भरवां भिन्डी रेसिपी</v>
      </c>
      <c r="C503" s="1" t="s">
        <v>145</v>
      </c>
      <c r="D503" s="1" t="s">
        <v>14198</v>
      </c>
      <c r="E503" s="1">
        <v>35</v>
      </c>
      <c r="F503" s="1" t="s">
        <v>33001</v>
      </c>
      <c r="G503" s="1" t="str">
        <f ca="1">IFERROR(__xludf.dummyfunction("IF(F503="""", """", GOOGLETRANSLATE(F503, ""en"", ""hi""))"),"250 ग्राम भिंडी, 1 कप पनीर - टुकड़े किए हुए, 1/2 चम्मच लाल मिर्च पाउडर, 1/2 चम्मच धनिया पाउडर, 1/2 चम्मच चाट मसाला पाउडर, नमक - स्वादानुसार, 1 प्याज - कटा हुआ, 1/2 चम्मच अदरक - बारीक कटा हुआ, 1/2 चम्मच लहसुन - बारीक कटा हुआ, 1 चम्मच अजवाइन, 1 हरी मिर्च, 1"&amp;" चम्मच लाल मिर्च पाउडर, 2 चम्मच धनिया पाउडर, 1/2 चम्मच हल्दी पाउडर, 1/2 चम्मच गरम मसाला पाउडर, 2 कप घर का बना टमाटर प्यूरी, कसूरी मेथी - गार्निश के लिए, 2 चम्मच सूरजमुखी तेल, नमक - स्वादानुसार")</f>
        <v>250 ग्राम भिंडी, 1 कप पनीर - टुकड़े किए हुए, 1/2 चम्मच लाल मिर्च पाउडर, 1/2 चम्मच धनिया पाउडर, 1/2 चम्मच चाट मसाला पाउडर, नमक - स्वादानुसार, 1 प्याज - कटा हुआ, 1/2 चम्मच अदरक - बारीक कटा हुआ, 1/2 चम्मच लहसुन - बारीक कटा हुआ, 1 चम्मच अजवाइन, 1 हरी मिर्च, 1 चम्मच लाल मिर्च पाउडर, 2 चम्मच धनिया पाउडर, 1/2 चम्मच हल्दी पाउडर, 1/2 चम्मच गरम मसाला पाउडर, 2 कप घर का बना टमाटर प्यूरी, कसूरी मेथी - गार्निश के लिए, 2 चम्मच सूरजमुखी तेल, नमक - स्वादानुसार</v>
      </c>
      <c r="H503" s="1" t="s">
        <v>33002</v>
      </c>
      <c r="I503" s="1" t="str">
        <f ca="1">IFERROR(__xludf.dummyfunction("IF(H503="""", """", GOOGLETRANSLATE(H503, ""en"", ""hi""))"),"अजवाइन टमाटर ग्रेवी में पनीर भरवां भिंडी बनाने के लिए सबसे पहले भिंडी को धोकर सूखे कपड़े से थपथपाएं और डंठल काट लें। भिंडी में लंबवत कट लगाएं, ध्यान रखें कि वे दो अलग-अलग हिस्से न बन जाएं। पनीर का भरावन तैयार करने के लिए एक कटोरे में पनीर, नमक, लाल मिर्च "&amp;"पाउडर, चाट मसाला पाउडर, धनिया पाउडर डालें। इसे अच्छे से मिला लें। प्रत्येक भिंडी में छेद करके उसमें आधा चम्मच मिश्रण भरें। जब सभी भिंडियों में मिश्रण भर जाए तो उन्हें एक तरफ रख दें। एक कड़ाही में तेल गर्म करें। तेल गर्म हो जाए तो उसमें भिंडी डालें और भिंड"&amp;"ी के लगभग पकने तक ढककर पकाएं। बीच-बीच में हिलाते रहें। पकने के बाद निकाल कर एक कटोरे में रख दें। एक मिनट के लिए भूनें और अदरक और लहसुन डालें। तब तक भूनें जब तक अदरक की कच्ची महक न चली जाए और लहसुन सुनहरे भूरे रंग का न हो जाए। इसके बाद लाल मिर्च पाउडर, धनि"&amp;"या पाउडर, हल्दी पाउडर और गरम मसाला पाउडर सहित सभी सूखे मसाले डालें और जल्दी से टमाटर प्यूरी डालें। कभी-कभी हिलाएं और तब तक पकाएं जब तक कि टमाटर प्यूरी एक साथ न आने लगे और किनारों पर तेल न छोड़ने लगे। अपनी आवश्यकता के अनुसार पानी और सभी भरी हुई भिंडी डालें"&amp;"। 5 मिनट तक ढककर पकाएं। जब हो जाए, तो आँच बंद कर दें और कसूरी मेथी से गार्निश करें। अजवाइन टमाटर ग्रेवी रेसिपी में पनीर भरवां भिंडी को पंजाबी दाल तड़का, फुल्का और लाल गोभी गाजर, अंकुरित और प्याज सलाद के साथ परोसें।")</f>
        <v>अजवाइन टमाटर ग्रेवी में पनीर भरवां भिंडी बनाने के लिए सबसे पहले भिंडी को धोकर सूखे कपड़े से थपथपाएं और डंठल काट लें। भिंडी में लंबवत कट लगाएं, ध्यान रखें कि वे दो अलग-अलग हिस्से न बन जाएं। पनीर का भरावन तैयार करने के लिए एक कटोरे में पनीर, नमक, लाल मिर्च पाउडर, चाट मसाला पाउडर, धनिया पाउडर डालें। इसे अच्छे से मिला लें। प्रत्येक भिंडी में छेद करके उसमें आधा चम्मच मिश्रण भरें। जब सभी भिंडियों में मिश्रण भर जाए तो उन्हें एक तरफ रख दें। एक कड़ाही में तेल गर्म करें। तेल गर्म हो जाए तो उसमें भिंडी डालें और भिंडी के लगभग पकने तक ढककर पकाएं। बीच-बीच में हिलाते रहें। पकने के बाद निकाल कर एक कटोरे में रख दें। एक मिनट के लिए भूनें और अदरक और लहसुन डालें। तब तक भूनें जब तक अदरक की कच्ची महक न चली जाए और लहसुन सुनहरे भूरे रंग का न हो जाए। इसके बाद लाल मिर्च पाउडर, धनिया पाउडर, हल्दी पाउडर और गरम मसाला पाउडर सहित सभी सूखे मसाले डालें और जल्दी से टमाटर प्यूरी डालें। कभी-कभी हिलाएं और तब तक पकाएं जब तक कि टमाटर प्यूरी एक साथ न आने लगे और किनारों पर तेल न छोड़ने लगे। अपनी आवश्यकता के अनुसार पानी और सभी भरी हुई भिंडी डालें। 5 मिनट तक ढककर पकाएं। जब हो जाए, तो आँच बंद कर दें और कसूरी मेथी से गार्निश करें। अजवाइन टमाटर ग्रेवी रेसिपी में पनीर भरवां भिंडी को पंजाबी दाल तड़का, फुल्का और लाल गोभी गाजर, अंकुरित और प्याज सलाद के साथ परोसें।</v>
      </c>
      <c r="J503" s="3" t="s">
        <v>33003</v>
      </c>
      <c r="L503" s="1" t="s">
        <v>31003</v>
      </c>
    </row>
    <row r="504" spans="1:12" ht="13.8">
      <c r="A504" s="1" t="s">
        <v>33004</v>
      </c>
      <c r="B504" s="1" t="str">
        <f ca="1">IFERROR(__xludf.dummyfunction("IF(A504="""", """", GOOGLETRANSLATE(A504, ""en"", ""hi""))"),"मेथी मूंग दाल पालक रेसिपी")</f>
        <v>मेथी मूंग दाल पालक रेसिपी</v>
      </c>
      <c r="C504" s="1" t="s">
        <v>145</v>
      </c>
      <c r="D504" s="1" t="s">
        <v>14237</v>
      </c>
      <c r="E504" s="1">
        <v>45</v>
      </c>
      <c r="F504" s="1" t="s">
        <v>33005</v>
      </c>
      <c r="G504" s="1" t="str">
        <f ca="1">IFERROR(__xludf.dummyfunction("IF(F504="""", """", GOOGLETRANSLATE(F504, ""en"", ""hi""))"),"1 कप पीली मूंग दाल, मेथी के पत्ते - एक गुच्छा, 1/4 चम्मच हींग, 1 चम्मच जीरा, 1 प्याज - पतले टुकड़ों में कटा हुआ, 1 टमाटर - कटा हुआ, 2 चम्मच धनिया पाउडर, 1 चम्मच हल्दी, 1 चम्मच लाल मिर्च पाउडर, नमक - स्वादानुसार, 2 चम्मच सूरजमुखी तेल")</f>
        <v>1 कप पीली मूंग दाल, मेथी के पत्ते - एक गुच्छा, 1/4 चम्मच हींग, 1 चम्मच जीरा, 1 प्याज - पतले टुकड़ों में कटा हुआ, 1 टमाटर - कटा हुआ, 2 चम्मच धनिया पाउडर, 1 चम्मच हल्दी, 1 चम्मच लाल मिर्च पाउडर, नमक - स्वादानुसार, 2 चम्मच सूरजमुखी तेल</v>
      </c>
      <c r="H504" s="1" t="s">
        <v>33006</v>
      </c>
      <c r="I504" s="1" t="str">
        <f ca="1">IFERROR(__xludf.dummyfunction("IF(H504="""", """", GOOGLETRANSLATE(H504, ""en"", ""hi""))"),"मेथी मूंग दाल रेसिपी बनाने के लिए सबसे पहले मूंग दाल को धोकर 3 कप पानी में कम से कम 30 मिनट के लिए भिगो दें। जब तक दाल साफ हो जाए तब तक मेथी के पत्तों को धोकर सुखा लें। इसके बाद मेथी के पत्तों को बारीक काट लें। एक कड़ाही में एक चम्मच तेल गर्म करें और उसमे"&amp;"ं कटी हुई मेथी के पत्ते डालें। मेथी के पत्तों को नरम होने तक भूनें। मेथी के पत्ते बहुत जल्दी पक जाते हैं और इसे पकने में 3 मिनट से भी कम समय लगता है। जब पत्ते नरम हो जाएं तो आंच बंद कर दें। इसे एक तरफ रख दें। अगले स्टेप में हम मूंग दाल को मसालों के साथ पक"&amp;"ाएंगे। एक प्रेशर कुकर में मध्यम आंच पर एक चम्मच तेल गर्म करें इसके बाद इसमें प्याज डालें और नरम होने तक भूनें। जब प्याज नरम हो जाए तो इसमें कटे हुए टमाटर के साथ धनिया पाउडर, हल्दी पाउडर, लाल मिर्च पाउडर डालें और मध्यम आंच पर एक मिनट तक भूनें। प्याज टमाटर "&amp;"के मिश्रण में भीगी हुई मूंग दाल और भिगोया हुआ पानी डालें। प्रेशर कुकर का ढक्कन बंद करें और वेट डाल दें। मूंग दाल को 2 से 3 सीटी आने तक पकाएं। एक दो सीटी आने के बाद आंच धीमी कर दें और दाल को करीब 5 मिनट तक पकने दें। 5 मिनट बाद आंच बंद कर दें। प्रेशर कुकर स"&amp;"े प्रेशर को अपने आप निकलने दें। प्रेशर निकलने के बाद कुकर खोलें और दाल को चमच्च के पिछले हिस्से से हल्का सा मैश करें। भूनी हुई मेथी की पत्तियां डालकर चलाएं और सर्व करें। मेथी मूंग दाल को बैंगन का भर्ता, फुल्का और चुकंदर रायता रेसिपी के साथ पूरे सप्ताह के "&amp;"लंच के लिए परोसें।")</f>
        <v>मेथी मूंग दाल रेसिपी बनाने के लिए सबसे पहले मूंग दाल को धोकर 3 कप पानी में कम से कम 30 मिनट के लिए भिगो दें। जब तक दाल साफ हो जाए तब तक मेथी के पत्तों को धोकर सुखा लें। इसके बाद मेथी के पत्तों को बारीक काट लें। एक कड़ाही में एक चम्मच तेल गर्म करें और उसमें कटी हुई मेथी के पत्ते डालें। मेथी के पत्तों को नरम होने तक भूनें। मेथी के पत्ते बहुत जल्दी पक जाते हैं और इसे पकने में 3 मिनट से भी कम समय लगता है। जब पत्ते नरम हो जाएं तो आंच बंद कर दें। इसे एक तरफ रख दें। अगले स्टेप में हम मूंग दाल को मसालों के साथ पकाएंगे। एक प्रेशर कुकर में मध्यम आंच पर एक चम्मच तेल गर्म करें इसके बाद इसमें प्याज डालें और नरम होने तक भूनें। जब प्याज नरम हो जाए तो इसमें कटे हुए टमाटर के साथ धनिया पाउडर, हल्दी पाउडर, लाल मिर्च पाउडर डालें और मध्यम आंच पर एक मिनट तक भूनें। प्याज टमाटर के मिश्रण में भीगी हुई मूंग दाल और भिगोया हुआ पानी डालें। प्रेशर कुकर का ढक्कन बंद करें और वेट डाल दें। मूंग दाल को 2 से 3 सीटी आने तक पकाएं। एक दो सीटी आने के बाद आंच धीमी कर दें और दाल को करीब 5 मिनट तक पकने दें। 5 मिनट बाद आंच बंद कर दें। प्रेशर कुकर से प्रेशर को अपने आप निकलने दें। प्रेशर निकलने के बाद कुकर खोलें और दाल को चमच्च के पिछले हिस्से से हल्का सा मैश करें। भूनी हुई मेथी की पत्तियां डालकर चलाएं और सर्व करें। मेथी मूंग दाल को बैंगन का भर्ता, फुल्का और चुकंदर रायता रेसिपी के साथ पूरे सप्ताह के लंच के लिए परोसें।</v>
      </c>
      <c r="J504" s="3" t="s">
        <v>33007</v>
      </c>
      <c r="L504" s="1" t="s">
        <v>31003</v>
      </c>
    </row>
    <row r="505" spans="1:12" ht="13.8">
      <c r="A505" s="1" t="s">
        <v>33008</v>
      </c>
      <c r="B505" s="1" t="str">
        <f ca="1">IFERROR(__xludf.dummyfunction("IF(A505="""", """", GOOGLETRANSLATE(A505, ""en"", ""hi""))"),"पुदीना मूंग दाल रेसिपी (पुदीना मूंग दाल)")</f>
        <v>पुदीना मूंग दाल रेसिपी (पुदीना मूंग दाल)</v>
      </c>
      <c r="C505" s="1" t="s">
        <v>145</v>
      </c>
      <c r="D505" s="1" t="s">
        <v>14237</v>
      </c>
      <c r="E505" s="1">
        <v>35</v>
      </c>
      <c r="F505" s="1" t="s">
        <v>33009</v>
      </c>
      <c r="G505" s="1" t="str">
        <f ca="1">IFERROR(__xludf.dummyfunction("IF(F505="""", """", GOOGLETRANSLATE(F505, ""en"", ""hi""))"),"1/2 कप पीली मूंग दाल, 1/2 छोटा चम्मच लाल मिर्च पाउडर, 1/4 छोटा चम्मच हल्दी पाउडर, 1/4 छोटा चम्मच जीरा, 1 चुटकी हींग, 1 बड़ा चम्मच घी, 2 बड़े चम्मच पुदीना - कटा हुआ, पानी - आवश्यकतानुसार, नमक - आवश्यकतानुसार")</f>
        <v>1/2 कप पीली मूंग दाल, 1/2 छोटा चम्मच लाल मिर्च पाउडर, 1/4 छोटा चम्मच हल्दी पाउडर, 1/4 छोटा चम्मच जीरा, 1 चुटकी हींग, 1 बड़ा चम्मच घी, 2 बड़े चम्मच पुदीना - कटा हुआ, पानी - आवश्यकतानुसार, नमक - आवश्यकतानुसार</v>
      </c>
      <c r="H505" s="1" t="s">
        <v>33010</v>
      </c>
      <c r="I505" s="1" t="str">
        <f ca="1">IFERROR(__xludf.dummyfunction("IF(H505="""", """", GOOGLETRANSLATE(H505, ""en"", ""hi""))"),"पुदीना मूंग दाल रेसिपी बनाने के लिए सबसे पहले एक स्टेनलेस स्टील के बर्तन में 1 कप पानी, हल्दी पाउडर और धुली मूंग दाल डालें और दाल के नरम होने तक पकाएँ। वैकल्पिक रूप से, बस 2 सीटी आने तक प्रेशर कुक करें। दाल पक जाने के बाद, 1 और 1/2 कप पानी, नमक डालें। उबा"&amp;"ल आने दें और फिर धीमी आँच पर पकाएँ। जब दाल उबल रही हो, तो तड़का तैयार करें। तड़का पैन में घी/तेल गर्म करें। सबसे पहले जीरा भूनें और फिर हींग डालें। पुदीने के पत्ते डालें और कुछ सेकंड के लिए भूनें। अंत में लाल मिर्च पाउडर डालें। तुरंत इस तड़के/तड़के के मिश"&amp;"्रण को दाल में डालें और अच्छी तरह मिलाएँ। दाल को 2 से 3 मिनट तक उबालें। पुदीना मूंग दाल को शिमला मिर्च उसिली और फुल्के के साथ सप्ताह के दिनों में दोपहर के भोजन या रात के खाने के लिए परोसें।")</f>
        <v>पुदीना मूंग दाल रेसिपी बनाने के लिए सबसे पहले एक स्टेनलेस स्टील के बर्तन में 1 कप पानी, हल्दी पाउडर और धुली मूंग दाल डालें और दाल के नरम होने तक पकाएँ। वैकल्पिक रूप से, बस 2 सीटी आने तक प्रेशर कुक करें। दाल पक जाने के बाद, 1 और 1/2 कप पानी, नमक डालें। उबाल आने दें और फिर धीमी आँच पर पकाएँ। जब दाल उबल रही हो, तो तड़का तैयार करें। तड़का पैन में घी/तेल गर्म करें। सबसे पहले जीरा भूनें और फिर हींग डालें। पुदीने के पत्ते डालें और कुछ सेकंड के लिए भूनें। अंत में लाल मिर्च पाउडर डालें। तुरंत इस तड़के/तड़के के मिश्रण को दाल में डालें और अच्छी तरह मिलाएँ। दाल को 2 से 3 मिनट तक उबालें। पुदीना मूंग दाल को शिमला मिर्च उसिली और फुल्के के साथ सप्ताह के दिनों में दोपहर के भोजन या रात के खाने के लिए परोसें।</v>
      </c>
      <c r="J505" s="3" t="s">
        <v>33011</v>
      </c>
      <c r="L505" s="1" t="s">
        <v>31003</v>
      </c>
    </row>
    <row r="506" spans="1:12" ht="13.8">
      <c r="A506" s="1" t="s">
        <v>33012</v>
      </c>
      <c r="B506" s="1" t="str">
        <f ca="1">IFERROR(__xludf.dummyfunction("IF(A506="""", """", GOOGLETRANSLATE(A506, ""en"", ""hi""))"),"मटर पोहा रेसिपी (चावल और हरी मटर की सब्जी)")</f>
        <v>मटर पोहा रेसिपी (चावल और हरी मटर की सब्जी)</v>
      </c>
      <c r="C506" s="1" t="s">
        <v>16424</v>
      </c>
      <c r="D506" s="1" t="s">
        <v>14198</v>
      </c>
      <c r="E506" s="1">
        <v>25</v>
      </c>
      <c r="F506" s="1" t="s">
        <v>33013</v>
      </c>
      <c r="G506" s="1" t="str">
        <f ca="1">IFERROR(__xludf.dummyfunction("IF(F506="""", """", GOOGLETRANSLATE(F506, ""en"", ""hi""))"),"1 1/2 कप पोहा, 1 कप हरी मटर, 2 प्याज - बारीक कटा हुआ, 3 हरी मिर्च - बारीक कटी हुई, 1/2 चम्मच हल्दी, 1 चम्मच सरसों के बीज, 1 चम्मच जीरा, 2 टहनी करी पत्ता, 1/4 चम्मच हींग, नमक - स्वादानुसार, धनिया पत्ती - बारीक कटी हुई, नींबू का रस - एक नींबू से")</f>
        <v>1 1/2 कप पोहा, 1 कप हरी मटर, 2 प्याज - बारीक कटा हुआ, 3 हरी मिर्च - बारीक कटी हुई, 1/2 चम्मच हल्दी, 1 चम्मच सरसों के बीज, 1 चम्मच जीरा, 2 टहनी करी पत्ता, 1/4 चम्मच हींग, नमक - स्वादानुसार, धनिया पत्ती - बारीक कटी हुई, नींबू का रस - एक नींबू से</v>
      </c>
      <c r="H506" s="1" t="s">
        <v>33014</v>
      </c>
      <c r="I506" s="1" t="str">
        <f ca="1">IFERROR(__xludf.dummyfunction("IF(H506="""", """", GOOGLETRANSLATE(H506, ""en"", ""hi""))"),"मटर पोहा रेसिपी बनाने के लिए, एक बड़े पैन में ताज़े मटर को थोड़े से नमक के साथ उबालें। उबलने के बाद, पानी निथार लें और हरी मटर को अलग रख दें। पोहा को एक बार ताज़े पानी से धो लें, पानी निथार लें और पोहा को अलग रख दें। पोहा में बहुत ज़्यादा पानी न छोड़ें, न"&amp;"हीं तो यह नरम हो जाएगा। एक भारी तले की कढ़ाई में तेल गरम करें। हींग डालें और इसे लगभग एक मिनट तक भूनें। जीरा और राई डालें और 2 मिनट तक भूनें, जब तक कि राई चटकने न लगे और जीरा सुनहरा भूरा न हो जाए। तेल में करी पत्ता और हरी मिर्च डालें, एक मिनट तक भूनें। अब"&amp;" प्याज़ डालें और उन्हें पारदर्शी और हल्का सुनहरा होने तक भूनें। हल्दी, नमक, उबले हुए मटर और धुले हुए पोहा को मिलाएँ। अच्छी तरह मिलाएँ। थोड़ा पानी छिड़कें, पैन को ढक दें और स्वाद को मटर पोहा में अच्छी तरह से मिल जाने दें। कुछ मिनटों के बाद, नमक और मसाले के"&amp;" स्तर की जाँच करें और अपने स्वाद के अनुसार समायोजित करें। आंच बंद कर दें और पैन को 5-6 मिनट के लिए ढक दें। पोहा भाप में पक जाएगा। अंत में कटा हुआ हरा धनिया डालकर हिलाएं और एक नींबू का रस निचोड़ लें। मटर पोहा को नाश्ते में या शाम की चाय के साथ भुजिया के सा"&amp;"थ परोसें।")</f>
        <v>मटर पोहा रेसिपी बनाने के लिए, एक बड़े पैन में ताज़े मटर को थोड़े से नमक के साथ उबालें। उबलने के बाद, पानी निथार लें और हरी मटर को अलग रख दें। पोहा को एक बार ताज़े पानी से धो लें, पानी निथार लें और पोहा को अलग रख दें। पोहा में बहुत ज़्यादा पानी न छोड़ें, नहीं तो यह नरम हो जाएगा। एक भारी तले की कढ़ाई में तेल गरम करें। हींग डालें और इसे लगभग एक मिनट तक भूनें। जीरा और राई डालें और 2 मिनट तक भूनें, जब तक कि राई चटकने न लगे और जीरा सुनहरा भूरा न हो जाए। तेल में करी पत्ता और हरी मिर्च डालें, एक मिनट तक भूनें। अब प्याज़ डालें और उन्हें पारदर्शी और हल्का सुनहरा होने तक भूनें। हल्दी, नमक, उबले हुए मटर और धुले हुए पोहा को मिलाएँ। अच्छी तरह मिलाएँ। थोड़ा पानी छिड़कें, पैन को ढक दें और स्वाद को मटर पोहा में अच्छी तरह से मिल जाने दें। कुछ मिनटों के बाद, नमक और मसाले के स्तर की जाँच करें और अपने स्वाद के अनुसार समायोजित करें। आंच बंद कर दें और पैन को 5-6 मिनट के लिए ढक दें। पोहा भाप में पक जाएगा। अंत में कटा हुआ हरा धनिया डालकर हिलाएं और एक नींबू का रस निचोड़ लें। मटर पोहा को नाश्ते में या शाम की चाय के साथ भुजिया के साथ परोसें।</v>
      </c>
      <c r="J506" s="3" t="s">
        <v>33015</v>
      </c>
      <c r="L506" s="1" t="s">
        <v>31003</v>
      </c>
    </row>
    <row r="507" spans="1:12" ht="13.8">
      <c r="A507" s="1" t="s">
        <v>33016</v>
      </c>
      <c r="B507" s="1" t="str">
        <f ca="1">IFERROR(__xludf.dummyfunction("IF(A507="""", """", GOOGLETRANSLATE(A507, ""en"", ""hi""))"),"अरबी का अचार रेसिपी (झटपट अरबी का अचार)")</f>
        <v>अरबी का अचार रेसिपी (झटपट अरबी का अचार)</v>
      </c>
      <c r="C507" s="1" t="s">
        <v>14207</v>
      </c>
      <c r="D507" s="1" t="s">
        <v>14198</v>
      </c>
      <c r="E507" s="1">
        <v>35</v>
      </c>
      <c r="F507" s="1" t="s">
        <v>33017</v>
      </c>
      <c r="G507" s="1" t="str">
        <f ca="1">IFERROR(__xludf.dummyfunction("IF(F507="""", """", GOOGLETRANSLATE(F507, ""en"", ""hi""))"),"500 ग्राम अरबी - आंशिक रूप से उबली हुई और गोल टुकड़ों में कटी हुई, 2 छोटे चम्मच अजवाइन, 1 छोटा चम्मच जीरा, 1/2 छोटा चम्मच मेथी, 1/2 छोटा चम्मच कलौंजी, 1 छोटा चम्मच मेथी पाउडर, 1 छोटा चम्मच सरसों पाउडर - (पीला), 1.5 छोटा चम्मच लाल मिर्च पाउडर, 1/2 छोटा चम्"&amp;"मच हल्दी, 1/2 छोटा चम्मच हींग, 3 बड़े चम्मच सिरका, 3 बड़े चम्मच सरसों का तेल, नमक - स्वादानुसार")</f>
        <v>500 ग्राम अरबी - आंशिक रूप से उबली हुई और गोल टुकड़ों में कटी हुई, 2 छोटे चम्मच अजवाइन, 1 छोटा चम्मच जीरा, 1/2 छोटा चम्मच मेथी, 1/2 छोटा चम्मच कलौंजी, 1 छोटा चम्मच मेथी पाउडर, 1 छोटा चम्मच सरसों पाउडर - (पीला), 1.5 छोटा चम्मच लाल मिर्च पाउडर, 1/2 छोटा चम्मच हल्दी, 1/2 छोटा चम्मच हींग, 3 बड़े चम्मच सिरका, 3 बड़े चम्मच सरसों का तेल, नमक - स्वादानुसार</v>
      </c>
      <c r="H507" s="1" t="s">
        <v>33018</v>
      </c>
      <c r="I507" s="1" t="str">
        <f ca="1">IFERROR(__xludf.dummyfunction("IF(H507="""", """", GOOGLETRANSLATE(H507, ""en"", ""hi""))"),"अरबी का अचार बनाने के लिए सबसे पहले प्रेशर कुकर में अरबी को एक सीटी आने तक पका लें। छिलका उतारकर मोटे-मोटे टुकड़ों में काट लें और एक तरफ रख दें। एक चौड़े पैन में सरसों का तेल गर्म करें और उसे धुआँ निकलने दें। धुआँ निकलने पर उसमें हींग, जीरा, मेथी और कलौंज"&amp;"ी डालें और कुछ सेकंड के लिए उसे फूटने दें। अजवाइन को अपनी हथेलियों के बीच में हल्का सा मसल लें और पैन में डालें। कटे हुए अरबी के टुकड़े डालें और धीरे से तड़के वाले मसालों से कोट करें। अरबी को तब तक पकाएँ जब तक वह बाहर से थोड़ी कुरकुरी न हो जाए, बीच-बीच मे"&amp;"ं उसे चलाते रहें। इसमें 10 मिनट का समय लगेगा। लाल मिर्च, हल्दी, पीली सरसों पाउडर, नमक डालें और अरबी को पकने तक पकाएँ। जब अरबी पूरी तरह पक जाए, तो आँच बंद कर दें और इसे कमरे के तापमान पर लाएँ। सिरका डालें, अच्छी तरह मिलाएँ और परोसने से पहले अरबी/अरबी के सभ"&amp;"ी मसालों को भिगोने के लिए 2 घंटे तक छोड़ दें। इस अरबी का अचार रेसिपी (इंस्टेंट अरबी का अचार) को गोभी पनीर पराठा रेसिपी या मशरूम पराठा रेसिपी के साथ नाश्ते में परोसें।")</f>
        <v>अरबी का अचार बनाने के लिए सबसे पहले प्रेशर कुकर में अरबी को एक सीटी आने तक पका लें। छिलका उतारकर मोटे-मोटे टुकड़ों में काट लें और एक तरफ रख दें। एक चौड़े पैन में सरसों का तेल गर्म करें और उसे धुआँ निकलने दें। धुआँ निकलने पर उसमें हींग, जीरा, मेथी और कलौंजी डालें और कुछ सेकंड के लिए उसे फूटने दें। अजवाइन को अपनी हथेलियों के बीच में हल्का सा मसल लें और पैन में डालें। कटे हुए अरबी के टुकड़े डालें और धीरे से तड़के वाले मसालों से कोट करें। अरबी को तब तक पकाएँ जब तक वह बाहर से थोड़ी कुरकुरी न हो जाए, बीच-बीच में उसे चलाते रहें। इसमें 10 मिनट का समय लगेगा। लाल मिर्च, हल्दी, पीली सरसों पाउडर, नमक डालें और अरबी को पकने तक पकाएँ। जब अरबी पूरी तरह पक जाए, तो आँच बंद कर दें और इसे कमरे के तापमान पर लाएँ। सिरका डालें, अच्छी तरह मिलाएँ और परोसने से पहले अरबी/अरबी के सभी मसालों को भिगोने के लिए 2 घंटे तक छोड़ दें। इस अरबी का अचार रेसिपी (इंस्टेंट अरबी का अचार) को गोभी पनीर पराठा रेसिपी या मशरूम पराठा रेसिपी के साथ नाश्ते में परोसें।</v>
      </c>
      <c r="J507" s="3" t="s">
        <v>33019</v>
      </c>
      <c r="L507" s="1" t="s">
        <v>31003</v>
      </c>
    </row>
    <row r="508" spans="1:12" ht="13.8">
      <c r="A508" s="1" t="s">
        <v>33020</v>
      </c>
      <c r="B508" s="1" t="str">
        <f ca="1">IFERROR(__xludf.dummyfunction("IF(A508="""", """", GOOGLETRANSLATE(A508, ""en"", ""hi""))"),"पुदीना मूंग दाल रेसिपी")</f>
        <v>पुदीना मूंग दाल रेसिपी</v>
      </c>
      <c r="C508" s="1" t="s">
        <v>145</v>
      </c>
      <c r="D508" s="1" t="s">
        <v>14237</v>
      </c>
      <c r="E508" s="1">
        <v>35</v>
      </c>
      <c r="F508" s="1" t="s">
        <v>33021</v>
      </c>
      <c r="G508" s="1" t="str">
        <f ca="1">IFERROR(__xludf.dummyfunction("IF(F508="""", """", GOOGLETRANSLATE(F508, ""en"", ""hi""))"),"1/2 कप पीली मूंग दाल, 1/2 छोटा चम्मच लाल मिर्च पाउडर, 1/4 छोटा चम्मच हल्दी पाउडर, 1/4 छोटा चम्मच जीरा, 1 हींग - चुटकी भर, 1 बड़ा चम्मच घी, 2 बड़े चम्मच पुदीना - कटा हुआ, पानी - आवश्यकतानुसार, नमक - आवश्यकतानुसार")</f>
        <v>1/2 कप पीली मूंग दाल, 1/2 छोटा चम्मच लाल मिर्च पाउडर, 1/4 छोटा चम्मच हल्दी पाउडर, 1/4 छोटा चम्मच जीरा, 1 हींग - चुटकी भर, 1 बड़ा चम्मच घी, 2 बड़े चम्मच पुदीना - कटा हुआ, पानी - आवश्यकतानुसार, नमक - आवश्यकतानुसार</v>
      </c>
      <c r="H508" s="1" t="s">
        <v>33022</v>
      </c>
      <c r="I508" s="1" t="str">
        <f ca="1">IFERROR(__xludf.dummyfunction("IF(H508="""", """", GOOGLETRANSLATE(H508, ""en"", ""hi""))"),"""पुदीना मूंग दाल रेसिपी बनाने के लिए सबसे पहले मूंग दाल को प्रेशर कुकर में डालें, उसमें 1 कप पानी, हल्दी पाउडर डालें और 2 सीटी आने तक पकाएँ। गैस बंद कर दें और प्रेशर अपने आप निकलने दें। कुकर खोलें, 1-1/2 कप पानी, नमक डालें और उबाल आने दें। उबलने के बाद ग"&amp;"ैस बंद कर दें। तड़के के लिए, तड़का पैन में घी गर्म करें। उसमें जीरा, हींग डालें और चटकने दें। अब पुदीना डालें और 10 सेकंड तक पकाएँ। अब लाल मिर्च पाउडर डालें और 10 सेकंड तक पकाएँ। इस तड़के को दाल में डालें और मिलाएँ। इसे 2 से 3 मिनट तक उबलने दें। परोसें। प"&amp;"ुदीना मूंग दाल रेसिपी को भिंडी मसाला, बूंदी रायता और फुल्के के साथ लंच में परोसें।""")</f>
        <v>"पुदीना मूंग दाल रेसिपी बनाने के लिए सबसे पहले मूंग दाल को प्रेशर कुकर में डालें, उसमें 1 कप पानी, हल्दी पाउडर डालें और 2 सीटी आने तक पकाएँ। गैस बंद कर दें और प्रेशर अपने आप निकलने दें। कुकर खोलें, 1-1/2 कप पानी, नमक डालें और उबाल आने दें। उबलने के बाद गैस बंद कर दें। तड़के के लिए, तड़का पैन में घी गर्म करें। उसमें जीरा, हींग डालें और चटकने दें। अब पुदीना डालें और 10 सेकंड तक पकाएँ। अब लाल मिर्च पाउडर डालें और 10 सेकंड तक पकाएँ। इस तड़के को दाल में डालें और मिलाएँ। इसे 2 से 3 मिनट तक उबलने दें। परोसें। पुदीना मूंग दाल रेसिपी को भिंडी मसाला, बूंदी रायता और फुल्के के साथ लंच में परोसें।"</v>
      </c>
      <c r="J508" s="3" t="s">
        <v>33023</v>
      </c>
      <c r="L508" s="1" t="s">
        <v>31003</v>
      </c>
    </row>
    <row r="509" spans="1:12" ht="13.8">
      <c r="A509" s="1" t="s">
        <v>33024</v>
      </c>
      <c r="B509" s="1" t="str">
        <f ca="1">IFERROR(__xludf.dummyfunction("IF(A509="""", """", GOOGLETRANSLATE(A509, ""en"", ""hi""))"),"दिल्ली स्टाइल मटर चाट रेसिपी - मसालेदार और चटपटी हरी मटर चाट")</f>
        <v>दिल्ली स्टाइल मटर चाट रेसिपी - मसालेदार और चटपटी हरी मटर चाट</v>
      </c>
      <c r="C509" s="1" t="s">
        <v>14281</v>
      </c>
      <c r="D509" s="1" t="s">
        <v>14198</v>
      </c>
      <c r="E509" s="1">
        <v>545</v>
      </c>
      <c r="F509" s="1" t="s">
        <v>33025</v>
      </c>
      <c r="G509" s="1" t="str">
        <f ca="1">IFERROR(__xludf.dummyfunction("IF(F509="""", """", GOOGLETRANSLATE(F509, ""en"", ""hi""))"),"1 कप सूखी हरी मटर - 1 घंटे के लिए भिगोई हुई, 1 इंच अदरक - बारीक कटा हुआ, 1 चम्मच लाल मिर्च पाउडर, 1/2 कप टमाटर - कटा हुआ, 1/2 चम्मच जीरा, 1 चम्मच आमचूर, 1/2 चम्मच हल्दी, 1 चम्मच सौंफ, 1/2 इंच दालचीनी, 2 तेज पत्ता, नमक - स्वादानुसार, नींबू - नींबू का रस, 1"&amp;" प्याज - बारीक कटा हुआ, 2 इंच अदरक - पतली स्ट्रिप्स में कटा हुआ, 1 हरी मिर्च - बारीक कटी हुई, 2 टहनी धनिया - बारीक कटी हुई, 2 टहनी धनिया - बारीक कटी हुई")</f>
        <v>1 कप सूखी हरी मटर - 1 घंटे के लिए भिगोई हुई, 1 इंच अदरक - बारीक कटा हुआ, 1 चम्मच लाल मिर्च पाउडर, 1/2 कप टमाटर - कटा हुआ, 1/2 चम्मच जीरा, 1 चम्मच आमचूर, 1/2 चम्मच हल्दी, 1 चम्मच सौंफ, 1/2 इंच दालचीनी, 2 तेज पत्ता, नमक - स्वादानुसार, नींबू - नींबू का रस, 1 प्याज - बारीक कटा हुआ, 2 इंच अदरक - पतली स्ट्रिप्स में कटा हुआ, 1 हरी मिर्च - बारीक कटी हुई, 2 टहनी धनिया - बारीक कटी हुई, 2 टहनी धनिया - बारीक कटी हुई</v>
      </c>
      <c r="H509" s="1" t="s">
        <v>33026</v>
      </c>
      <c r="I509" s="1" t="str">
        <f ca="1">IFERROR(__xludf.dummyfunction("IF(H509="""", """", GOOGLETRANSLATE(H509, ""en"", ""hi""))"),"हम दिल्ली स्टाइल मटर चाट रेसिपी बनाना शुरू करते हैं सूखे हरे मटर / मटर को कम से कम 5 से 6 घंटे या रात भर भिगोकर एक तरफ रख देते हैं। एक प्रेशर कुकर में तेल गर्म करें, उसमें तेज पत्ता, दालचीनी और सौंफ डालें। खुशबू आने तक भूनें। फिर अदरक डालें और कुछ सेकंड क"&amp;"े लिए भूनें। टमाटर डालें, नरम होने तक पकाएं। अंत में बाकी मसाले पाउडर डालें और चाट के लिए मसाला दें। कच्ची महक जाने तक पकाएं। इसमें लगभग 3 से 4 मिनट का समय लगेगा। इस स्तर पर भिगोए हुए सूखे हरे मटर डालें और इसे हिलाएं। 2 कप पानी डालें और इसे 4 से 5 सीटी या"&amp;" कम से कम 20 से 25 मिनट तक पकाएं और आंच बंद कर दें। एक बार हो जाने पर, दबाव को स्वाभाविक रूप से छोड़ दें दिल्ली स्टाइल मटर चाट रेसिपी को छोटे सर्विंग बाउल में डालें। प्याज, अदरक, हरी मिर्च छिड़कें, पुदीने की चटनी छिड़कें और ऊपर से कटा हरा धनिया डालकर गरमा"&amp;"गरम परोसें। दिल्ली स्टाइल मटर चाट रेसिपी को ऐसे ही या बेक्ड अमृतसरी कुल्चा या पूरी के साथ एक गिलास गुलाब लस्सी रेसिपी के साथ परोसें और अपने लंच का आनंद लें।")</f>
        <v>हम दिल्ली स्टाइल मटर चाट रेसिपी बनाना शुरू करते हैं सूखे हरे मटर / मटर को कम से कम 5 से 6 घंटे या रात भर भिगोकर एक तरफ रख देते हैं। एक प्रेशर कुकर में तेल गर्म करें, उसमें तेज पत्ता, दालचीनी और सौंफ डालें। खुशबू आने तक भूनें। फिर अदरक डालें और कुछ सेकंड के लिए भूनें। टमाटर डालें, नरम होने तक पकाएं। अंत में बाकी मसाले पाउडर डालें और चाट के लिए मसाला दें। कच्ची महक जाने तक पकाएं। इसमें लगभग 3 से 4 मिनट का समय लगेगा। इस स्तर पर भिगोए हुए सूखे हरे मटर डालें और इसे हिलाएं। 2 कप पानी डालें और इसे 4 से 5 सीटी या कम से कम 20 से 25 मिनट तक पकाएं और आंच बंद कर दें। एक बार हो जाने पर, दबाव को स्वाभाविक रूप से छोड़ दें दिल्ली स्टाइल मटर चाट रेसिपी को छोटे सर्विंग बाउल में डालें। प्याज, अदरक, हरी मिर्च छिड़कें, पुदीने की चटनी छिड़कें और ऊपर से कटा हरा धनिया डालकर गरमागरम परोसें। दिल्ली स्टाइल मटर चाट रेसिपी को ऐसे ही या बेक्ड अमृतसरी कुल्चा या पूरी के साथ एक गिलास गुलाब लस्सी रेसिपी के साथ परोसें और अपने लंच का आनंद लें।</v>
      </c>
      <c r="J509" s="3" t="s">
        <v>33027</v>
      </c>
      <c r="L509" s="1" t="s">
        <v>31003</v>
      </c>
    </row>
    <row r="510" spans="1:12" ht="13.8">
      <c r="A510" s="1" t="s">
        <v>33028</v>
      </c>
      <c r="B510" s="1" t="str">
        <f ca="1">IFERROR(__xludf.dummyfunction("IF(A510="""", """", GOOGLETRANSLATE(A510, ""en"", ""hi""))"),"साबुत गेहूं नान रेसिपी")</f>
        <v>साबुत गेहूं नान रेसिपी</v>
      </c>
      <c r="C510" s="1" t="s">
        <v>429</v>
      </c>
      <c r="D510" s="1" t="s">
        <v>14338</v>
      </c>
      <c r="E510" s="1">
        <v>170</v>
      </c>
      <c r="F510" s="1" t="s">
        <v>33029</v>
      </c>
      <c r="G510" s="1" t="str">
        <f ca="1">IFERROR(__xludf.dummyfunction("IF(F510="""", """", GOOGLETRANSLATE(F510, ""en"", ""hi""))"),"2 कप गेहूं का आटा, 1-1/2 चम्मच सक्रिय सूखा खमीर, 3/4 कप गुनगुना पानी, 1 चम्मच चीनी, 2 बड़े चम्मच दही, नमक - स्वादानुसार")</f>
        <v>2 कप गेहूं का आटा, 1-1/2 चम्मच सक्रिय सूखा खमीर, 3/4 कप गुनगुना पानी, 1 चम्मच चीनी, 2 बड़े चम्मच दही, नमक - स्वादानुसार</v>
      </c>
      <c r="H510" s="1" t="s">
        <v>33030</v>
      </c>
      <c r="I510" s="1" t="str">
        <f ca="1">IFERROR(__xludf.dummyfunction("IF(H510="""", """", GOOGLETRANSLATE(H510, ""en"", ""hi""))"),"होल व्हीट नान रेसिपी बनाने के लिए सबसे पहले एक बड़े मिक्सिंग बाउल में मैदा, चीनी, नमक और यीस्ट मिला लें। इसमें दही और थोड़ा गुनगुना पानी डालकर चिकना आटा गूंथ लें। कम से कम 4 से 5 मिनट तक अच्छी तरह गूंथ लें ताकि पकने के बाद आटे की बनावट अच्छी हो जाए। आटे क"&amp;"ो ढककर कम से कम 2 घंटे के लिए गर्म जगह पर रख दें जब तक कि इसका आकार दोगुना न हो जाए। जब ​​आटे का आकार दोगुना हो जाए तो आटे को दबाएँ और कुछ और मिनटों के लिए गूंथ लें। इस आटे के 6 से 8 भाग बना लें और इसे 10 मिनट के लिए और रख दें। आटे के हिस्से फिर से थोड़े "&amp;"फूल जाएँगे। एक काम करने वाली सतह पर मैदा छिड़कें और उन्हें अंडाकार या गोल आकार में रोल करें और ध्यान रखें कि उन्हें बहुत पतला न रोल करें। मध्यम आँच पर एक कड़ाही गरम करें, रोल किए हुए होल व्हीट नान को गरम कड़ाही पर रखें और दोनों तरफ से पकाएँ। आप देखेंगे कि"&amp;" ऊपर भूरे रंग के धब्बे आ गए हैं और नान हवा की जेबों के साथ फूल गए हैं। यदि आपके पास गैस की लौ है, तो आप वैकल्पिक रूप से इसे सीधे लौ पर पका सकते हैं, जब यह कड़ाही में आंशिक रूप से पक जाए। एक बार पक जाने पर, कड़ाही से निकालें, थोड़ा मक्खन लगाएँ और गर्म परोस"&amp;"ें। स्वस्थ और स्वादिष्ट साबुत गेहूं नान को अपने पनीर बटर मसाला या कड़ाही पनीर के साथ सलाद और रायता के साथ रात के खाने या पार्टियों के लिए परोसें।")</f>
        <v>होल व्हीट नान रेसिपी बनाने के लिए सबसे पहले एक बड़े मिक्सिंग बाउल में मैदा, चीनी, नमक और यीस्ट मिला लें। इसमें दही और थोड़ा गुनगुना पानी डालकर चिकना आटा गूंथ लें। कम से कम 4 से 5 मिनट तक अच्छी तरह गूंथ लें ताकि पकने के बाद आटे की बनावट अच्छी हो जाए। आटे को ढककर कम से कम 2 घंटे के लिए गर्म जगह पर रख दें जब तक कि इसका आकार दोगुना न हो जाए। जब ​​आटे का आकार दोगुना हो जाए तो आटे को दबाएँ और कुछ और मिनटों के लिए गूंथ लें। इस आटे के 6 से 8 भाग बना लें और इसे 10 मिनट के लिए और रख दें। आटे के हिस्से फिर से थोड़े फूल जाएँगे। एक काम करने वाली सतह पर मैदा छिड़कें और उन्हें अंडाकार या गोल आकार में रोल करें और ध्यान रखें कि उन्हें बहुत पतला न रोल करें। मध्यम आँच पर एक कड़ाही गरम करें, रोल किए हुए होल व्हीट नान को गरम कड़ाही पर रखें और दोनों तरफ से पकाएँ। आप देखेंगे कि ऊपर भूरे रंग के धब्बे आ गए हैं और नान हवा की जेबों के साथ फूल गए हैं। यदि आपके पास गैस की लौ है, तो आप वैकल्पिक रूप से इसे सीधे लौ पर पका सकते हैं, जब यह कड़ाही में आंशिक रूप से पक जाए। एक बार पक जाने पर, कड़ाही से निकालें, थोड़ा मक्खन लगाएँ और गर्म परोसें। स्वस्थ और स्वादिष्ट साबुत गेहूं नान को अपने पनीर बटर मसाला या कड़ाही पनीर के साथ सलाद और रायता के साथ रात के खाने या पार्टियों के लिए परोसें।</v>
      </c>
      <c r="J510" s="3" t="s">
        <v>33031</v>
      </c>
      <c r="L510" s="1" t="s">
        <v>31003</v>
      </c>
    </row>
    <row r="511" spans="1:12" ht="13.8">
      <c r="A511" s="1" t="s">
        <v>33032</v>
      </c>
      <c r="B511" s="1" t="str">
        <f ca="1">IFERROR(__xludf.dummyfunction("IF(A511="""", """", GOOGLETRANSLATE(A511, ""en"", ""hi""))"),"अमृतसरी मुर्ग मखनी रेसिपी- चिकन मखनी रेसिपी")</f>
        <v>अमृतसरी मुर्ग मखनी रेसिपी- चिकन मखनी रेसिपी</v>
      </c>
      <c r="C511" s="1" t="s">
        <v>429</v>
      </c>
      <c r="D511" s="1" t="s">
        <v>14382</v>
      </c>
      <c r="E511" s="1">
        <v>55</v>
      </c>
      <c r="F511" s="1" t="s">
        <v>33033</v>
      </c>
      <c r="G511" s="1" t="str">
        <f ca="1">IFERROR(__xludf.dummyfunction("IF(F511="""", """", GOOGLETRANSLATE(F511, ""en"", ""hi""))"),"1 चम्मच लाल मिर्च पाउडर, 1/2 चम्मच हल्दी पाउडर, 1 कप घर का बना टमाटर प्यूरी, 2 बड़े चम्मच ताजा क्रीम, 5 काजू - गार्निश के लिए, धनिया (धनिया) पत्तियां - कुछ कटा हुआ, नमक - स्वादानुसार, सूरजमुखी तेल, 1 चम्मच धनिया (धनिया) के बीज, 1/2 चम्मच जीरा (जीरा), 1 इं"&amp;"च दालचीनी स्टिक (दालचीनी), 3 लौंग (लौंग), 1 तेज पत्ता (तेज पत्ता), 2 इलायची (इलायची) फली / बीज, 1 काली इलायची (बड़ी इलायची), 1 चम्मच साबुत काली मिर्च, 1 चम्मच सूखा अदरक पाउडर, 1/4 चम्मच जायफल पाउडर, 300 ग्राम चिकन ब्रेस्ट - टुकड़ों में कटा हुआ, 1 चम्मच हल"&amp;"्दी पाउडर (हल्दी), 1/2 कप दही (दही), 1 चम्मच नींबू का रस, 2 प्याज - मोटे तौर पर कटा हुआ, 1 हरी मिर्च - मोटे तौर पर कटा हुआ, 1 इंच अदरक - मोटे तौर पर कटा हुआ, 4 लहसुन लौंग")</f>
        <v>1 चम्मच लाल मिर्च पाउडर, 1/2 चम्मच हल्दी पाउडर, 1 कप घर का बना टमाटर प्यूरी, 2 बड़े चम्मच ताजा क्रीम, 5 काजू - गार्निश के लिए, धनिया (धनिया) पत्तियां - कुछ कटा हुआ, नमक - स्वादानुसार, सूरजमुखी तेल, 1 चम्मच धनिया (धनिया) के बीज, 1/2 चम्मच जीरा (जीरा), 1 इंच दालचीनी स्टिक (दालचीनी), 3 लौंग (लौंग), 1 तेज पत्ता (तेज पत्ता), 2 इलायची (इलायची) फली / बीज, 1 काली इलायची (बड़ी इलायची), 1 चम्मच साबुत काली मिर्च, 1 चम्मच सूखा अदरक पाउडर, 1/4 चम्मच जायफल पाउडर, 300 ग्राम चिकन ब्रेस्ट - टुकड़ों में कटा हुआ, 1 चम्मच हल्दी पाउडर (हल्दी), 1/2 कप दही (दही), 1 चम्मच नींबू का रस, 2 प्याज - मोटे तौर पर कटा हुआ, 1 हरी मिर्च - मोटे तौर पर कटा हुआ, 1 इंच अदरक - मोटे तौर पर कटा हुआ, 4 लहसुन लौंग</v>
      </c>
      <c r="H511" s="1" t="s">
        <v>33034</v>
      </c>
      <c r="I511" s="1" t="str">
        <f ca="1">IFERROR(__xludf.dummyfunction("IF(H511="""", """", GOOGLETRANSLATE(H511, ""en"", ""hi""))"),"अमृतसरी मुर्ग मखनी रेसिपी बनाने के लिए सबसे पहले अमृतसरी गरम मसाला पाउडर बनाकर तैयार रख लें। अमृतसर गरम मसाला पाउडर बनाने के लिए एक तवे पर सारे साबुत मसाले- धनिया, जीरा, दालचीनी, लौंग, तेज पत्ता, हरी इलायची, बड़ी इलायची, साबुत काली मिर्च, सोंठ पाउडर, जायफ"&amp;"ल पाउडर डालकर धीमी आंच पर 6-8 मिनट तक भून लें। आंच बंद कर दें। मसालों को ठंडा होने दें, मिक्सर जार में डालें और बारीक पाउडर बनाने के लिए पीस लें। चिकन को मैरीनेट करने के लिए एक मिक्सिंग बाउल में चिकन के टुकड़े, हल्दी पाउडर, अमृतसरी गरम मसाला पाउडर, दही और"&amp;" नमक डालें। अच्छे से मिलाएं और कम से कम 30 मिनट के लिए मैरीनेट करें। बिना पानी डाले चिकना पेस्ट बनाने के लिए पीस लें। अमृतसरी मुर्ग मखनी ग्रेवी बनाने के लिए मध्यम आंच पर एक कढ़ाई में तेल गर्म करें, उसमें प्याज अदरक लहसुन मसाला डालें और तब तक भूनें जब तक प"&amp;"्याज पक न जाए और कच्ची महक न चली जाए। इसमें लगभग 3-4 मिनट का समय लगेगा। इसके बाद लाल मिर्च पाउडर, हल्दी पाउडर और नमक डालें और एक मिनट के लिए भूनें। प्यूरी किए हुए टमाटर डालें और थोड़ा नमक छिड़कें और तब तक पकाएं जब तक टमाटर एक उबाल न आ जाए। इसे चलाएं और मै"&amp;"रीनेट किए हुए चिकन के टुकड़ों को इसके मैरिनेड के साथ डालें और तब तक पकाएं जब तक चिकन अच्छी तरह से पक न जाए। चिकन को धीमी से मध्यम आंच पर पकाने में लगभग 20 मिनट लगते हैं। सुनिश्चित करें कि आपने पैन को ढक दिया है, थोड़ा पानी डालें और फिर चिकन को पकाएं नमक क"&amp;"ी जांच करें और इसे काजू और धनिया पत्ती से गार्निश करके गर्मागर्म सर्व करें। अमृतसरी मुर्ग मखनी रेसिपी को पुदीना पराठा, मटर की तहरी और मूली रायता के साथ भारतीय लंच या डिनर में परोसें या मुख्य कोर्स के लिए पार्टी के रूप में परोसें।")</f>
        <v>अमृतसरी मुर्ग मखनी रेसिपी बनाने के लिए सबसे पहले अमृतसरी गरम मसाला पाउडर बनाकर तैयार रख लें। अमृतसर गरम मसाला पाउडर बनाने के लिए एक तवे पर सारे साबुत मसाले- धनिया, जीरा, दालचीनी, लौंग, तेज पत्ता, हरी इलायची, बड़ी इलायची, साबुत काली मिर्च, सोंठ पाउडर, जायफल पाउडर डालकर धीमी आंच पर 6-8 मिनट तक भून लें। आंच बंद कर दें। मसालों को ठंडा होने दें, मिक्सर जार में डालें और बारीक पाउडर बनाने के लिए पीस लें। चिकन को मैरीनेट करने के लिए एक मिक्सिंग बाउल में चिकन के टुकड़े, हल्दी पाउडर, अमृतसरी गरम मसाला पाउडर, दही और नमक डालें। अच्छे से मिलाएं और कम से कम 30 मिनट के लिए मैरीनेट करें। बिना पानी डाले चिकना पेस्ट बनाने के लिए पीस लें। अमृतसरी मुर्ग मखनी ग्रेवी बनाने के लिए मध्यम आंच पर एक कढ़ाई में तेल गर्म करें, उसमें प्याज अदरक लहसुन मसाला डालें और तब तक भूनें जब तक प्याज पक न जाए और कच्ची महक न चली जाए। इसमें लगभग 3-4 मिनट का समय लगेगा। इसके बाद लाल मिर्च पाउडर, हल्दी पाउडर और नमक डालें और एक मिनट के लिए भूनें। प्यूरी किए हुए टमाटर डालें और थोड़ा नमक छिड़कें और तब तक पकाएं जब तक टमाटर एक उबाल न आ जाए। इसे चलाएं और मैरीनेट किए हुए चिकन के टुकड़ों को इसके मैरिनेड के साथ डालें और तब तक पकाएं जब तक चिकन अच्छी तरह से पक न जाए। चिकन को धीमी से मध्यम आंच पर पकाने में लगभग 20 मिनट लगते हैं। सुनिश्चित करें कि आपने पैन को ढक दिया है, थोड़ा पानी डालें और फिर चिकन को पकाएं नमक की जांच करें और इसे काजू और धनिया पत्ती से गार्निश करके गर्मागर्म सर्व करें। अमृतसरी मुर्ग मखनी रेसिपी को पुदीना पराठा, मटर की तहरी और मूली रायता के साथ भारतीय लंच या डिनर में परोसें या मुख्य कोर्स के लिए पार्टी के रूप में परोसें।</v>
      </c>
      <c r="J511" s="3" t="s">
        <v>33035</v>
      </c>
      <c r="L511" s="1" t="s">
        <v>31003</v>
      </c>
    </row>
    <row r="512" spans="1:12" ht="13.8">
      <c r="A512" s="1" t="s">
        <v>33036</v>
      </c>
      <c r="B512" s="1" t="str">
        <f ca="1">IFERROR(__xludf.dummyfunction("IF(A512="""", """", GOOGLETRANSLATE(A512, ""en"", ""hi""))"),"दाल फ्राई ")</f>
        <v xml:space="preserve">दाल फ्राई </v>
      </c>
      <c r="C512" s="1" t="s">
        <v>145</v>
      </c>
      <c r="D512" s="1" t="s">
        <v>14237</v>
      </c>
      <c r="E512" s="1">
        <v>30</v>
      </c>
      <c r="F512" s="1" t="s">
        <v>33037</v>
      </c>
      <c r="G512" s="1" t="str">
        <f ca="1">IFERROR(__xludf.dummyfunction("IF(F512="""", """", GOOGLETRANSLATE(F512, ""en"", ""hi""))"),"1 कप चना दाल, पानी- आवश्यकतानुसार, 1 प्याज- बारीक कटा हुआ, 2 टमाटर- बारीक कटे हुए, 2 हरी मिर्च- बारीक कटी हुई, 2 इंच अदरक, 5 लहसुन, 2 बड़े चम्मच कसूरी मेथी, 1/2 छोटा चम्मच हल्दी पाउडर, नमक- स्वादानुसार, नींबू- आवश्यकतानुसार, हरा धनिया- कटा हुआ व सजाकर, 1 "&amp;"छोटा चम्मच कश्मीरी लाल मिर्च पाउडर, 1/2 छोटा चम्मच हींग, 1 बड़ा चम्मच राई, 1 बड़ा चम्मच सौंफ, 1 बड़ा चम्मच जीरा, 2 सूखी लाल मिर्च, घी- आवश्यकतानुसार")</f>
        <v>1 कप चना दाल, पानी- आवश्यकतानुसार, 1 प्याज- बारीक कटा हुआ, 2 टमाटर- बारीक कटे हुए, 2 हरी मिर्च- बारीक कटी हुई, 2 इंच अदरक, 5 लहसुन, 2 बड़े चम्मच कसूरी मेथी, 1/2 छोटा चम्मच हल्दी पाउडर, नमक- स्वादानुसार, नींबू- आवश्यकतानुसार, हरा धनिया- कटा हुआ व सजाकर, 1 छोटा चम्मच कश्मीरी लाल मिर्च पाउडर, 1/2 छोटा चम्मच हींग, 1 बड़ा चम्मच राई, 1 बड़ा चम्मच सौंफ, 1 बड़ा चम्मच जीरा, 2 सूखी लाल मिर्च, घी- आवश्यकतानुसार</v>
      </c>
      <c r="H512" s="1" t="s">
        <v>33038</v>
      </c>
      <c r="I512" s="1" t="str">
        <f ca="1">IFERROR(__xludf.dummyfunction("IF(H512="""", """", GOOGLETRANSLATE(H512, ""en"", ""hi""))"),"""दाल फ्राई बनाने के लिए सबसे पहले दाल को धोकर 20 से 30 मिनट के लिए पानी में भिगो दें। अब दाल को कुकर में पानी, नमक और हल्दी पाउडर के साथ डालकर 5 सीटी आने तक पकाएं। कुकर खोलकर दाल से पानी निकालकर अलग रख लें। अब एक पैन में घी और तेल गर्म करें। इसमें अदरक, "&amp;"लहसुन और हरी मिर्च डालें। इसे 2 मिनट तक पकने दें। 2 मिनट बाद इसमें प्याज डालें और प्याज के नरम और भूरे होने तक पकाएं। इसके नरम होने के बाद इसमें टमाटर डालें और टमाटर के नरम होने तक पकाएं। टमाटर के नरम होने के बाद इसमें दाल डालें और अच्छे से मिला लें। मिला"&amp;"ने के बाद इसमें दाल का पानी और स्वादानुसार नमक डालें। इसे 10 मिनट तक पकने दें और गाढ़ा होने तक पकाएं। अब इसमें तड़का लगाने की तैयारी करें। तड़का पैन में घी गर्म करें। इसमें राई, सौंफ और जीरा डालें। 15 सेकंड बाद इसमें हींग, सूखी लाल मिर्च और कश्मीरी लाल मि"&amp;"र्च पाउडर डालें। 15 सेकंड और इसे दाल में मिला दें। दाल को दबा कर 10 मिनट के लिए अलग रख दें। 10 मिनट बाद धनिया पत्ती से गार्निश करें और सर्व करें। दाल फ्राई को सेव टमाटर की सब्जी और भाकरी के साथ लंच में सर्व करें।")</f>
        <v>"दाल फ्राई बनाने के लिए सबसे पहले दाल को धोकर 20 से 30 मिनट के लिए पानी में भिगो दें। अब दाल को कुकर में पानी, नमक और हल्दी पाउडर के साथ डालकर 5 सीटी आने तक पकाएं। कुकर खोलकर दाल से पानी निकालकर अलग रख लें। अब एक पैन में घी और तेल गर्म करें। इसमें अदरक, लहसुन और हरी मिर्च डालें। इसे 2 मिनट तक पकने दें। 2 मिनट बाद इसमें प्याज डालें और प्याज के नरम और भूरे होने तक पकाएं। इसके नरम होने के बाद इसमें टमाटर डालें और टमाटर के नरम होने तक पकाएं। टमाटर के नरम होने के बाद इसमें दाल डालें और अच्छे से मिला लें। मिलाने के बाद इसमें दाल का पानी और स्वादानुसार नमक डालें। इसे 10 मिनट तक पकने दें और गाढ़ा होने तक पकाएं। अब इसमें तड़का लगाने की तैयारी करें। तड़का पैन में घी गर्म करें। इसमें राई, सौंफ और जीरा डालें। 15 सेकंड बाद इसमें हींग, सूखी लाल मिर्च और कश्मीरी लाल मिर्च पाउडर डालें। 15 सेकंड और इसे दाल में मिला दें। दाल को दबा कर 10 मिनट के लिए अलग रख दें। 10 मिनट बाद धनिया पत्ती से गार्निश करें और सर्व करें। दाल फ्राई को सेव टमाटर की सब्जी और भाकरी के साथ लंच में सर्व करें।</v>
      </c>
      <c r="J512" s="3" t="s">
        <v>33039</v>
      </c>
      <c r="L512" s="1" t="s">
        <v>31003</v>
      </c>
    </row>
    <row r="513" spans="1:12" ht="13.8">
      <c r="A513" s="1" t="s">
        <v>33040</v>
      </c>
      <c r="B513" s="1" t="str">
        <f ca="1">IFERROR(__xludf.dummyfunction("IF(A513="""", """", GOOGLETRANSLATE(A513, ""en"", ""hi""))"),"अचारी आलू")</f>
        <v>अचारी आलू</v>
      </c>
      <c r="C513" s="1" t="s">
        <v>429</v>
      </c>
      <c r="D513" s="1" t="s">
        <v>14198</v>
      </c>
      <c r="E513" s="1">
        <v>30</v>
      </c>
      <c r="F513" s="1" t="s">
        <v>31611</v>
      </c>
      <c r="G513" s="1" t="str">
        <f ca="1">IFERROR(__xludf.dummyfunction("IF(F513="""", """", GOOGLETRANSLATE(F513, ""en"", ""hi""))"),"4 आलू, 1/2 चम्मच हींग, 1 चम्मच जीरा, 3 सूखी लाल मिर्च, 3 बड़े चम्मच अचार, 2 बड़े चम्मच सिरका, 1/2 चम्मच चीनी, तेल - आवश्यकतानुसार")</f>
        <v>4 आलू, 1/2 चम्मच हींग, 1 चम्मच जीरा, 3 सूखी लाल मिर्च, 3 बड़े चम्मच अचार, 2 बड़े चम्मच सिरका, 1/2 चम्मच चीनी, तेल - आवश्यकतानुसार</v>
      </c>
      <c r="H513" s="1" t="s">
        <v>33041</v>
      </c>
      <c r="I513" s="1" t="str">
        <f ca="1">IFERROR(__xludf.dummyfunction("IF(H513="""", """", GOOGLETRANSLATE(H513, ""en"", ""hi""))"),"""अचारी आलू बनाने के लिए सबसे पहले आलू को धोकर आधा पकने तक उबालें। अब आलू को छीलकर छोटे-छोटे टुकड़ों में काट लें। अब एक पैन में तेल गर्म करें। इसमें आलू डालकर हल्का भूरा और कुरकुरा होने तक पकाएं। आलू को निकालकर अलग रख लें। अब उसी पैन में हींग, जीरा और सूख"&amp;"ी लाल मिर्च डालें। 20 सेकंड बाद आलू डालकर अच्छे से मिला लें। 30 सेकंड बाद अचार डालकर मिला लें। 1 मिनट बाद सिरका डालकर 2 मिनट तक पकने दें। थोड़ी चीनी डालकर मिला लें। 1 मिनट बाद गैस बंद कर दें और सर्व करें। अचारी आलू को गुजराती दाल, फुल्का और कचुम्बर सलाद क"&amp;"े साथ सर्व करें।""")</f>
        <v>"अचारी आलू बनाने के लिए सबसे पहले आलू को धोकर आधा पकने तक उबालें। अब आलू को छीलकर छोटे-छोटे टुकड़ों में काट लें। अब एक पैन में तेल गर्म करें। इसमें आलू डालकर हल्का भूरा और कुरकुरा होने तक पकाएं। आलू को निकालकर अलग रख लें। अब उसी पैन में हींग, जीरा और सूखी लाल मिर्च डालें। 20 सेकंड बाद आलू डालकर अच्छे से मिला लें। 30 सेकंड बाद अचार डालकर मिला लें। 1 मिनट बाद सिरका डालकर 2 मिनट तक पकने दें। थोड़ी चीनी डालकर मिला लें। 1 मिनट बाद गैस बंद कर दें और सर्व करें। अचारी आलू को गुजराती दाल, फुल्का और कचुम्बर सलाद के साथ सर्व करें।"</v>
      </c>
      <c r="J513" s="3" t="s">
        <v>33042</v>
      </c>
      <c r="L513" s="1" t="s">
        <v>31003</v>
      </c>
    </row>
    <row r="514" spans="1:12" ht="13.8">
      <c r="A514" s="1" t="s">
        <v>33043</v>
      </c>
      <c r="B514" s="1" t="str">
        <f ca="1">IFERROR(__xludf.dummyfunction("IF(A514="""", """", GOOGLETRANSLATE(A514, ""en"", ""hi""))"),"मैंगो फिरनी रेसिपी - मैंगो राइस पुडिंग रेसिपी")</f>
        <v>मैंगो फिरनी रेसिपी - मैंगो राइस पुडिंग रेसिपी</v>
      </c>
      <c r="C514" s="1" t="s">
        <v>8417</v>
      </c>
      <c r="D514" s="1" t="s">
        <v>14198</v>
      </c>
      <c r="E514" s="1">
        <v>55</v>
      </c>
      <c r="F514" s="1" t="s">
        <v>33044</v>
      </c>
      <c r="G514" s="1" t="str">
        <f ca="1">IFERROR(__xludf.dummyfunction("IF(F514="""", """", GOOGLETRANSLATE(F514, ""en"", ""hi""))"),"2 आम (पके) - छीलकर टुकड़ों में कटे हुए, 1 लीटर दूध, 1/4 कप चावल, 1/2 कप चीनी, 2 बड़े चम्मच पिस्ता - पतले कटे हुए, 2 बड़े चम्मच बादाम - पतले कटे हुए, 1/2 छोटा चम्मच इलायची पाउडर (इलायची), 5 केसर के रेशे")</f>
        <v>2 आम (पके) - छीलकर टुकड़ों में कटे हुए, 1 लीटर दूध, 1/4 कप चावल, 1/2 कप चीनी, 2 बड़े चम्मच पिस्ता - पतले कटे हुए, 2 बड़े चम्मच बादाम - पतले कटे हुए, 1/2 छोटा चम्मच इलायची पाउडर (इलायची), 5 केसर के रेशे</v>
      </c>
      <c r="H514" s="1" t="s">
        <v>33045</v>
      </c>
      <c r="I514" s="1" t="str">
        <f ca="1">IFERROR(__xludf.dummyfunction("IF(H514="""", """", GOOGLETRANSLATE(H514, ""en"", ""hi""))"),"मैंगो फिरनी रेसिपी बनाने के लिए सबसे पहले चावल को धोकर 2-3 घंटे के लिए भिगो दें। पानी निकाल कर सोखने वाले कपड़े पर थपथपा कर सुखा लें। चावल सूख जाने पर इसे दरदरा पाउडर बना लें- इसका बनावट सूजी के समान होगा। आधे आमों की प्यूरी बना लें और बाकी आधे को टुकड़ों"&amp;" में काट कर रख दें। एक भारी तले की कड़ाही में दूध डालकर उबाल आने दें। जब यह उबलने लगे तो आंच धीमी कर दें और दूध को तब तक उबालें जब तक यह आधी मात्रा में न रह जाए। दूध को धीमी आंच पर चलाते रहें। दूध की मात्रा कम करने की यह प्रक्रिया फिरनी को और स्वादिष्ट बन"&amp;"ाती है। जब दूध आधा रह जाए तो उसमें पिसा हुआ चावल मिला दें। आप देखेंगे कि दूध गाढ़ा होना शुरू हो गया है अपनी पसंद के अनुसार स्थिरता को समायोजित करें। मिश्रण को अपना पूरा स्वाद मिलने तक और पुडिंग जैसी स्थिरता प्राप्त होने तक फिरनी को 5 से 10 मिनट तक हिलाते "&amp;"रहें। आँच बंद कर दें और फिरनी को पूरी तरह से ठंडा होने दें। ठंडा होने के बाद, प्यूरी किए हुए आम को फिरनी में मिलाएँ और कम से कम 5 घंटे के लिए फ्रिज में रख दें। जब आप परोसने के लिए तैयार हों, तो मैंगो फिरनी को छोटे गिलास या कप में डालें, कटे हुए पिस्ता और "&amp;"बादाम छिड़कें और परोसें। स्वादिष्ट उत्तर भारतीय भोजन के बाद या परिवार के लिए एक साधारण रविवार के दोपहर के भोजन के बाद मैंगो फिरनी को मिठाई के रूप में परोसें।")</f>
        <v>मैंगो फिरनी रेसिपी बनाने के लिए सबसे पहले चावल को धोकर 2-3 घंटे के लिए भिगो दें। पानी निकाल कर सोखने वाले कपड़े पर थपथपा कर सुखा लें। चावल सूख जाने पर इसे दरदरा पाउडर बना लें- इसका बनावट सूजी के समान होगा। आधे आमों की प्यूरी बना लें और बाकी आधे को टुकड़ों में काट कर रख दें। एक भारी तले की कड़ाही में दूध डालकर उबाल आने दें। जब यह उबलने लगे तो आंच धीमी कर दें और दूध को तब तक उबालें जब तक यह आधी मात्रा में न रह जाए। दूध को धीमी आंच पर चलाते रहें। दूध की मात्रा कम करने की यह प्रक्रिया फिरनी को और स्वादिष्ट बनाती है। जब दूध आधा रह जाए तो उसमें पिसा हुआ चावल मिला दें। आप देखेंगे कि दूध गाढ़ा होना शुरू हो गया है अपनी पसंद के अनुसार स्थिरता को समायोजित करें। मिश्रण को अपना पूरा स्वाद मिलने तक और पुडिंग जैसी स्थिरता प्राप्त होने तक फिरनी को 5 से 10 मिनट तक हिलाते रहें। आँच बंद कर दें और फिरनी को पूरी तरह से ठंडा होने दें। ठंडा होने के बाद, प्यूरी किए हुए आम को फिरनी में मिलाएँ और कम से कम 5 घंटे के लिए फ्रिज में रख दें। जब आप परोसने के लिए तैयार हों, तो मैंगो फिरनी को छोटे गिलास या कप में डालें, कटे हुए पिस्ता और बादाम छिड़कें और परोसें। स्वादिष्ट उत्तर भारतीय भोजन के बाद या परिवार के लिए एक साधारण रविवार के दोपहर के भोजन के बाद मैंगो फिरनी को मिठाई के रूप में परोसें।</v>
      </c>
      <c r="J514" s="3" t="s">
        <v>33046</v>
      </c>
      <c r="L514" s="1" t="s">
        <v>31003</v>
      </c>
    </row>
    <row r="515" spans="1:12" ht="13.8">
      <c r="A515" s="1" t="s">
        <v>33047</v>
      </c>
      <c r="B515" s="1" t="str">
        <f ca="1">IFERROR(__xludf.dummyfunction("IF(A515="""", """", GOOGLETRANSLATE(A515, ""en"", ""hi""))"),"राजगिरा पूरी रेसिपी (नवरात्रि व्रत/व्रत रेसिपी)")</f>
        <v>राजगिरा पूरी रेसिपी (नवरात्रि व्रत/व्रत रेसिपी)</v>
      </c>
      <c r="C515" s="1" t="s">
        <v>15760</v>
      </c>
      <c r="D515" s="1" t="s">
        <v>14198</v>
      </c>
      <c r="E515" s="1">
        <v>55</v>
      </c>
      <c r="F515" s="1" t="s">
        <v>33048</v>
      </c>
      <c r="G515" s="1" t="str">
        <f ca="1">IFERROR(__xludf.dummyfunction("IF(F515="""", """", GOOGLETRANSLATE(F515, ""en"", ""hi""))"),"2 कप राजगिरा आटा, 1 आलू - उबला हुआ, 1/2 चम्मच काली मिर्च पाउडर, सेंधा नमक - या स्वादानुसार नमक, सूरजमुखी तेल - तलने के लिए")</f>
        <v>2 कप राजगिरा आटा, 1 आलू - उबला हुआ, 1/2 चम्मच काली मिर्च पाउडर, सेंधा नमक - या स्वादानुसार नमक, सूरजमुखी तेल - तलने के लिए</v>
      </c>
      <c r="H515" s="1" t="s">
        <v>33049</v>
      </c>
      <c r="I515" s="1" t="str">
        <f ca="1">IFERROR(__xludf.dummyfunction("IF(H515="""", """", GOOGLETRANSLATE(H515, ""en"", ""hi""))"),"हम एक कटोरे में सभी सामग्री मिलाकर राजगिरा पुरी (नवरात्रि उपवास / व्रत रेसिपी) बनाना शुरू करते हैं। राजगिरा आटे में कम ग्लूटेन होता है इसलिए इसे काम करना थोड़ा मुश्किल हो सकता है। इसे एक आटे में गूंधें जो नम हो और बहुत चिपचिपा न हो। आटे से छोटी-छोटी गेंदे"&amp;"ं बनाएं और रोलिंग टेबल पर राजगिरा आटा छिड़कें और बेलन से पूरियां चपटा करें। ध्यान रखें कि आप आटे से छोटे मोटे आकार की गोल लोई बनाएं। जैसा कि आपने अब सारा आटा बेल लिया है, एक कढ़ाई गरम करें और तेल डालें। जब तेल गर्म हो जाए, तो धीरे से एक चपटी पूरी डालें। ए"&amp;"क फ्राइंग चम्मच या स्लॉटेड चम्मच का उपयोग करके धीरे से पूरी को दबाएं, ऊपर से कुछ गर्म तेल डालें और गोलाकार तरीके से घुमाएं। आप देखेंगे कि पूरी फूल कर ऊपर आ पूरी को 2 मिनट से अधिक तेल में न रखें अन्यथा यह भंगुर हो जाएगी। इसे रसोई के तौलिये पर सूखा लें। अन्"&amp;"य सभी चपटी पूरियाँ तलने की प्रक्रिया जारी रखें। अपनी नरम राजगिरा पूरी (नवरात्रि व्रत / व्रत रेसिपी) को सेब टमाटर की सब्जी या लौकी पनीर कोफ्ता करी के साथ परोसें।")</f>
        <v>हम एक कटोरे में सभी सामग्री मिलाकर राजगिरा पुरी (नवरात्रि उपवास / व्रत रेसिपी) बनाना शुरू करते हैं। राजगिरा आटे में कम ग्लूटेन होता है इसलिए इसे काम करना थोड़ा मुश्किल हो सकता है। इसे एक आटे में गूंधें जो नम हो और बहुत चिपचिपा न हो। आटे से छोटी-छोटी गेंदें बनाएं और रोलिंग टेबल पर राजगिरा आटा छिड़कें और बेलन से पूरियां चपटा करें। ध्यान रखें कि आप आटे से छोटे मोटे आकार की गोल लोई बनाएं। जैसा कि आपने अब सारा आटा बेल लिया है, एक कढ़ाई गरम करें और तेल डालें। जब तेल गर्म हो जाए, तो धीरे से एक चपटी पूरी डालें। एक फ्राइंग चम्मच या स्लॉटेड चम्मच का उपयोग करके धीरे से पूरी को दबाएं, ऊपर से कुछ गर्म तेल डालें और गोलाकार तरीके से घुमाएं। आप देखेंगे कि पूरी फूल कर ऊपर आ पूरी को 2 मिनट से अधिक तेल में न रखें अन्यथा यह भंगुर हो जाएगी। इसे रसोई के तौलिये पर सूखा लें। अन्य सभी चपटी पूरियाँ तलने की प्रक्रिया जारी रखें। अपनी नरम राजगिरा पूरी (नवरात्रि व्रत / व्रत रेसिपी) को सेब टमाटर की सब्जी या लौकी पनीर कोफ्ता करी के साथ परोसें।</v>
      </c>
      <c r="J515" s="3" t="s">
        <v>33050</v>
      </c>
      <c r="L515" s="1" t="s">
        <v>31003</v>
      </c>
    </row>
    <row r="516" spans="1:12" ht="13.8">
      <c r="A516" s="1" t="s">
        <v>33051</v>
      </c>
      <c r="B516" s="1" t="str">
        <f ca="1">IFERROR(__xludf.dummyfunction("IF(A516="""", """", GOOGLETRANSLATE(A516, ""en"", ""hi""))"),"हरे चने का पुलाव रेसिपी")</f>
        <v>हरे चने का पुलाव रेसिपी</v>
      </c>
      <c r="C516" s="1" t="s">
        <v>145</v>
      </c>
      <c r="D516" s="1" t="s">
        <v>14198</v>
      </c>
      <c r="E516" s="1">
        <v>60</v>
      </c>
      <c r="F516" s="1" t="s">
        <v>33052</v>
      </c>
      <c r="G516" s="1" t="str">
        <f ca="1">IFERROR(__xludf.dummyfunction("IF(F516="""", """", GOOGLETRANSLATE(F516, ""en"", ""hi""))"),"1 बड़ा चम्मच घी, 1 छोटा चम्मच जीरा, 2 लौंग, 2 सूखी लाल मिर्च, 1 आलू - छीलकर छोटे टुकड़ों में कटा हुआ, 2 प्याज - पतले कटे हुए, 1 हरी मिर्च - बारीक कटी हुई, 1 कप चावल, 1 कप हरा चना, 1 छोटा चम्मच हल्दी, 1 छोटा चम्मच लाल मिर्च पाउडर, नमक - स्वादानुसार, 1 छोटा"&amp;" चम्मच नींबू का रस - आधे नींबू का रस, धनिया पत्ती - कुछ टहनियाँ बारीक कटी हुई")</f>
        <v>1 बड़ा चम्मच घी, 1 छोटा चम्मच जीरा, 2 लौंग, 2 सूखी लाल मिर्च, 1 आलू - छीलकर छोटे टुकड़ों में कटा हुआ, 2 प्याज - पतले कटे हुए, 1 हरी मिर्च - बारीक कटी हुई, 1 कप चावल, 1 कप हरा चना, 1 छोटा चम्मच हल्दी, 1 छोटा चम्मच लाल मिर्च पाउडर, नमक - स्वादानुसार, 1 छोटा चम्मच नींबू का रस - आधे नींबू का रस, धनिया पत्ती - कुछ टहनियाँ बारीक कटी हुई</v>
      </c>
      <c r="H516" s="1" t="s">
        <v>33053</v>
      </c>
      <c r="I516" s="1" t="str">
        <f ca="1">IFERROR(__xludf.dummyfunction("IF(H516="""", """", GOOGLETRANSLATE(H516, ""en"", ""hi""))"),"हरे चने का पुलाव बनाने के लिए सबसे पहले एक कड़ाही में घी गर्म करें। इसमें जीरा, लौंग, सूखी लाल मिर्च डालें और इसे लगभग 15-20 सेकंड तक पकने दें। 15-20 सेकंड के बाद, प्याज़ और हरी मिर्च डालें और इसे तब तक पकने दें जब तक कि प्याज़ नरम और पारदर्शी न हो जाए। ए"&amp;"क बार जब यह हो जाए, तो मध्यम आँच पर लगभग 2 मिनट के लिए आलू डालें। 2 मिनट के बाद हरे चने डालें। ढक्कन को ढक दें और आलू के आधे पकने तक पकाएँ। इसके बाद, चावल, लाल मिर्च पाउडर, हल्दी पाउडर, नींबू का रस और नमक डालें। सभी चीजों को अच्छी तरह मिलाएँ और लगभग 2-3 म"&amp;"िनट तक पकाएँ। ज़रूरत के हिसाब से पानी डालें, ढक्कन को ढक दें और इसे मध्यम आँच पर तब तक पकने दें जब तक कि पानी सोख न ले। अगर चावल अभी भी नहीं पके हैं, तो और पानी डालें और इसे कुछ और मिनट तक पकाएँ। एक बार हो जाने पर, आँच बंद कर दें और इसे कटी हुई धनिया पत्त"&amp;"ी से गार्निश करें। हरे चने के पुलाव को बुरानी रायता के साथ परोसें, यह एक सेहतमंद और हल्का भोजन है।")</f>
        <v>हरे चने का पुलाव बनाने के लिए सबसे पहले एक कड़ाही में घी गर्म करें। इसमें जीरा, लौंग, सूखी लाल मिर्च डालें और इसे लगभग 15-20 सेकंड तक पकने दें। 15-20 सेकंड के बाद, प्याज़ और हरी मिर्च डालें और इसे तब तक पकने दें जब तक कि प्याज़ नरम और पारदर्शी न हो जाए। एक बार जब यह हो जाए, तो मध्यम आँच पर लगभग 2 मिनट के लिए आलू डालें। 2 मिनट के बाद हरे चने डालें। ढक्कन को ढक दें और आलू के आधे पकने तक पकाएँ। इसके बाद, चावल, लाल मिर्च पाउडर, हल्दी पाउडर, नींबू का रस और नमक डालें। सभी चीजों को अच्छी तरह मिलाएँ और लगभग 2-3 मिनट तक पकाएँ। ज़रूरत के हिसाब से पानी डालें, ढक्कन को ढक दें और इसे मध्यम आँच पर तब तक पकने दें जब तक कि पानी सोख न ले। अगर चावल अभी भी नहीं पके हैं, तो और पानी डालें और इसे कुछ और मिनट तक पकाएँ। एक बार हो जाने पर, आँच बंद कर दें और इसे कटी हुई धनिया पत्ती से गार्निश करें। हरे चने के पुलाव को बुरानी रायता के साथ परोसें, यह एक सेहतमंद और हल्का भोजन है।</v>
      </c>
      <c r="J516" s="3" t="s">
        <v>33054</v>
      </c>
      <c r="L516" s="1" t="s">
        <v>31003</v>
      </c>
    </row>
    <row r="517" spans="1:12" ht="409.6">
      <c r="A517" s="1" t="s">
        <v>33055</v>
      </c>
      <c r="B517" s="1" t="str">
        <f ca="1">IFERROR(__xludf.dummyfunction("IF(A517="""", """", GOOGLETRANSLATE(A517, ""en"", ""hi""))"),"दही सूरन की कढ़ी रेसिपी - रतालू को दही में पकाया जाता है")</f>
        <v>दही सूरन की कढ़ी रेसिपी - रतालू को दही में पकाया जाता है</v>
      </c>
      <c r="C517" s="1" t="s">
        <v>429</v>
      </c>
      <c r="D517" s="1" t="s">
        <v>14198</v>
      </c>
      <c r="E517" s="1">
        <v>45</v>
      </c>
      <c r="F517" s="1" t="s">
        <v>33056</v>
      </c>
      <c r="G517" s="1" t="str">
        <f ca="1">IFERROR(__xludf.dummyfunction("IF(F517="""", """", GOOGLETRANSLATE(F517, ""en"", ""hi""))"),"300 ग्राम सुरन / सेनई / रतालू - छीलकर और टुकड़ों में कटा हुआ, 1/2 कप दही, 1 बड़ा चम्मच बेसन, 1/2 छोटा चम्मच सरसों के बीज, 1/4 छोटा चम्मच मेथी के बीज, 1/2 छोटा चम्मच हल्दी पाउडर, 1/2 छोटा चम्मच लाल मिर्च पाउडर, 1/2 छोटा चम्मच धनिया पाउडर, 1/2 छोटा चम्मच सा"&amp;"बुत काली मिर्च - कुटी हुई, 1 इंच दालचीनी, 1 तेज पत्ता, नमक - स्वादानुसार, सूरजमुखी का तेल - पकाने के लिए")</f>
        <v>300 ग्राम सुरन / सेनई / रतालू - छीलकर और टुकड़ों में कटा हुआ, 1/2 कप दही, 1 बड़ा चम्मच बेसन, 1/2 छोटा चम्मच सरसों के बीज, 1/4 छोटा चम्मच मेथी के बीज, 1/2 छोटा चम्मच हल्दी पाउडर, 1/2 छोटा चम्मच लाल मिर्च पाउडर, 1/2 छोटा चम्मच धनिया पाउडर, 1/2 छोटा चम्मच साबुत काली मिर्च - कुटी हुई, 1 इंच दालचीनी, 1 तेज पत्ता, नमक - स्वादानुसार, सूरजमुखी का तेल - पकाने के लिए</v>
      </c>
      <c r="H517" s="1" t="s">
        <v>33057</v>
      </c>
      <c r="I517" s="4" t="str">
        <f ca="1">IFERROR(__xludf.dummyfunction("IF(H517="""", """", GOOGLETRANSLATE(H517, ""en"", ""hi""))"),"हम प्रेशर कुकर में 1/2 कप पानी और थोड़े नमक के साथ कटे हुए रतालू को पकाकर दही सूरन की कढ़ी रेसिपी (यम कुक्ड इन योगर्ट करी रेसिपी) बनाना शुरू करते हैं, इसे 4 सीटी आने तक पकाते हैं जब तक यह नरम और सख्त न हो जाए। प्रेशर को अपने आप निकलने दें। अगला कदम कढ़ी ब"&amp;"नाना है इसके लिए एक सॉस पैन में दही डालें और फिर उसमें 2 कप पानी और बेसन डालें। इसे धीमी आंच पर मिलाते रहें और उबाल लें। थोड़ा नमक, लाल मिर्च पाउडर, हल्दी पाउडर, धनिया के बीज डालें, अच्छी तरह मिलाएँ और इसे कुछ और मिनट के लिए धीमी आंच पर पकने दें। बाद में "&amp;"कढ़ी में उबला हुआ रतालू डालें। एक बार जब यह हो जाए, तो कढ़ी के लिए तड़का बनाने का समय आ गया है। एक छोटे से उथले पैन में तेल गर्म करें और फिर उसमें जीरा, दालचीनी, तेज पत्ता, मेथी दाना और ताजी पिसी काली मिर्च डालें दही सूरन की सब्जी रेसिपी (दही में पकाई गई "&amp;"रतालू करी रेसिपी) को भिंडी मसाला, जीरा चावल और फुल्के के साथ दिन के खाने के लिए परोसें।
")</f>
        <v xml:space="preserve">हम प्रेशर कुकर में 1/2 कप पानी और थोड़े नमक के साथ कटे हुए रतालू को पकाकर दही सूरन की कढ़ी रेसिपी (यम कुक्ड इन योगर्ट करी रेसिपी) बनाना शुरू करते हैं, इसे 4 सीटी आने तक पकाते हैं जब तक यह नरम और सख्त न हो जाए। प्रेशर को अपने आप निकलने दें। अगला कदम कढ़ी बनाना है इसके लिए एक सॉस पैन में दही डालें और फिर उसमें 2 कप पानी और बेसन डालें। इसे धीमी आंच पर मिलाते रहें और उबाल लें। थोड़ा नमक, लाल मिर्च पाउडर, हल्दी पाउडर, धनिया के बीज डालें, अच्छी तरह मिलाएँ और इसे कुछ और मिनट के लिए धीमी आंच पर पकने दें। बाद में कढ़ी में उबला हुआ रतालू डालें। एक बार जब यह हो जाए, तो कढ़ी के लिए तड़का बनाने का समय आ गया है। एक छोटे से उथले पैन में तेल गर्म करें और फिर उसमें जीरा, दालचीनी, तेज पत्ता, मेथी दाना और ताजी पिसी काली मिर्च डालें दही सूरन की सब्जी रेसिपी (दही में पकाई गई रतालू करी रेसिपी) को भिंडी मसाला, जीरा चावल और फुल्के के साथ दिन के खाने के लिए परोसें।
</v>
      </c>
      <c r="J517" s="3" t="s">
        <v>33058</v>
      </c>
      <c r="L517" s="1" t="s">
        <v>31003</v>
      </c>
    </row>
    <row r="518" spans="1:12" ht="13.8">
      <c r="A518" s="1" t="s">
        <v>33059</v>
      </c>
      <c r="B518" s="1" t="str">
        <f ca="1">IFERROR(__xludf.dummyfunction("IF(A518="""", """", GOOGLETRANSLATE(A518, ""en"", ""hi""))"),"प्याज़ की कचौरी रेसिपी")</f>
        <v>प्याज़ की कचौरी रेसिपी</v>
      </c>
      <c r="C518" s="1" t="s">
        <v>14281</v>
      </c>
      <c r="D518" s="1" t="s">
        <v>14198</v>
      </c>
      <c r="E518" s="1">
        <v>60</v>
      </c>
      <c r="F518" s="1" t="s">
        <v>33060</v>
      </c>
      <c r="G518" s="1" t="str">
        <f ca="1">IFERROR(__xludf.dummyfunction("IF(F518="""", """", GOOGLETRANSLATE(F518, ""en"", ""hi""))"),"3 प्याज - बारीक कटा हुआ, 1-1/2 कप मैदा, 1/2 कप गेहूं का आटा, 1 छोटा चम्मच जीरा, 1/2 छोटा चम्मच कलौंजी, 1/2 छोटा चम्मच सौंफ - कुटी हुई, 1 बड़ा चम्मच कसूरी मेथी, 1/4 छोटा चम्मच हींग, 1 छोटा चम्मच गरम मसाला पाउडर, 1 छोटा चम्मच धनिया पाउडर, 1 छोटा चम्मच लाल म"&amp;"िर्च पाउडर, 1/2 छोटा चम्मच आमचूर, 2 छोटे चम्मच अदरक लहसुन पेस्ट, 1 छोटा चम्मच साबुत काली मिर्च - कुटी हुई, 1 चुटकी बेकिंग सोडा, 2 बड़े चम्मच सूरजमुखी तेल, सूरजमुखी तेल - तलने के लिए, नमक - स्वादानुसार, 2 टहनी धनिया - बारीक कटी")</f>
        <v>3 प्याज - बारीक कटा हुआ, 1-1/2 कप मैदा, 1/2 कप गेहूं का आटा, 1 छोटा चम्मच जीरा, 1/2 छोटा चम्मच कलौंजी, 1/2 छोटा चम्मच सौंफ - कुटी हुई, 1 बड़ा चम्मच कसूरी मेथी, 1/4 छोटा चम्मच हींग, 1 छोटा चम्मच गरम मसाला पाउडर, 1 छोटा चम्मच धनिया पाउडर, 1 छोटा चम्मच लाल मिर्च पाउडर, 1/2 छोटा चम्मच आमचूर, 2 छोटे चम्मच अदरक लहसुन पेस्ट, 1 छोटा चम्मच साबुत काली मिर्च - कुटी हुई, 1 चुटकी बेकिंग सोडा, 2 बड़े चम्मच सूरजमुखी तेल, सूरजमुखी तेल - तलने के लिए, नमक - स्वादानुसार, 2 टहनी धनिया - बारीक कटी</v>
      </c>
      <c r="H518" s="1" t="s">
        <v>33061</v>
      </c>
      <c r="I518" s="1" t="str">
        <f ca="1">IFERROR(__xludf.dummyfunction("IF(H518="""", """", GOOGLETRANSLATE(H518, ""en"", ""hi""))"),"प्याज की कचौरी रेसिपी बनाने के लिए सबसे पहले एक कच्चे लोहे के पैन में 2 बड़े चम्मच तेल गर्म करें। तेल गर्म हो जाए तो उसमें हींग डालें और कुछ सेकेंड के लिए भूनें। जीरा डालें और भूरा होने तक भूनें। इसके बाद अदरक का पेस्ट, लहसुन का पेस्ट, लाल मिर्च पाउडर, प्"&amp;"याज डालें और प्याज को हल्का भूरा और पारदर्शी होने तक भूनें। जब प्याज भूरा हो जाए तो उसमें अमचूर पाउडर, दरदरा कुटा हुआ सौंफ, कलौंजी, धनिया पाउडर, कुटी हुई काली मिर्च, गरम मसाला डालें और अच्छी तरह मिलाएँ। अंत में कसूरी मेथी, कटा हुआ ताजा धनिया डालें और अच्छ"&amp;"ी तरह मिलाने के लिए फिर से मिलाएँ। मिश्रण को ठंडा होने दें और भरावन से ठीक पहले नमक डालें। कचौरी का भरावन तैयार है। अगला कदम आटा गूंथना है। एक प्याले में मैदा, गेहूं का आटा और बेकिंग सोडा छान आटे को लगभग 20 मिनट के लिए एक साफ रसोई तौलिया से ढक दें। अपनी ह"&amp;"थेलियों को चिकना करें और आटे की छोटी-छोटी गेंदें बनाएं। गेंदों को थोड़ा चपटा करें और अपनी उंगलियों से छोटे कटोरी/कप का आकार दें। केंद्र में कुछ प्याज का भरावन रखें और सभी किनारों को इकट्ठा करके सील कर दें। कचौरियों को अपने हाथों से चपटा करें और इसी तरह सभ"&amp;"ी कचौरियां बना लें। इसके बाद, हम इन कचौरियों को तलेंगे। एक भारी तले की कड़ाही में आवश्यक मात्रा में तेल गर्म करें और तेल गर्म होने के बाद, एक-एक करके कचौरियां डालें। उन्हें दोनों तरफ से सुनहरा और कुरकुरा होने तक तलें। एक बार हो जाने के बाद, उन्हें एक टिशू"&amp;" पेपर पर निकाल लें। इस कुरकुरी और मुंह में पानी लाने वाली प्याज की कचौरी को धनिया पुदीना चटनी और खजूर और इमली की चटनी के साथ अपने शाम के नाश्ते या चाय पार्टी के नाश्ते के लिए परोसें")</f>
        <v>प्याज की कचौरी रेसिपी बनाने के लिए सबसे पहले एक कच्चे लोहे के पैन में 2 बड़े चम्मच तेल गर्म करें। तेल गर्म हो जाए तो उसमें हींग डालें और कुछ सेकेंड के लिए भूनें। जीरा डालें और भूरा होने तक भूनें। इसके बाद अदरक का पेस्ट, लहसुन का पेस्ट, लाल मिर्च पाउडर, प्याज डालें और प्याज को हल्का भूरा और पारदर्शी होने तक भूनें। जब प्याज भूरा हो जाए तो उसमें अमचूर पाउडर, दरदरा कुटा हुआ सौंफ, कलौंजी, धनिया पाउडर, कुटी हुई काली मिर्च, गरम मसाला डालें और अच्छी तरह मिलाएँ। अंत में कसूरी मेथी, कटा हुआ ताजा धनिया डालें और अच्छी तरह मिलाने के लिए फिर से मिलाएँ। मिश्रण को ठंडा होने दें और भरावन से ठीक पहले नमक डालें। कचौरी का भरावन तैयार है। अगला कदम आटा गूंथना है। एक प्याले में मैदा, गेहूं का आटा और बेकिंग सोडा छान आटे को लगभग 20 मिनट के लिए एक साफ रसोई तौलिया से ढक दें। अपनी हथेलियों को चिकना करें और आटे की छोटी-छोटी गेंदें बनाएं। गेंदों को थोड़ा चपटा करें और अपनी उंगलियों से छोटे कटोरी/कप का आकार दें। केंद्र में कुछ प्याज का भरावन रखें और सभी किनारों को इकट्ठा करके सील कर दें। कचौरियों को अपने हाथों से चपटा करें और इसी तरह सभी कचौरियां बना लें। इसके बाद, हम इन कचौरियों को तलेंगे। एक भारी तले की कड़ाही में आवश्यक मात्रा में तेल गर्म करें और तेल गर्म होने के बाद, एक-एक करके कचौरियां डालें। उन्हें दोनों तरफ से सुनहरा और कुरकुरा होने तक तलें। एक बार हो जाने के बाद, उन्हें एक टिशू पेपर पर निकाल लें। इस कुरकुरी और मुंह में पानी लाने वाली प्याज की कचौरी को धनिया पुदीना चटनी और खजूर और इमली की चटनी के साथ अपने शाम के नाश्ते या चाय पार्टी के नाश्ते के लिए परोसें</v>
      </c>
      <c r="J518" s="3" t="s">
        <v>33062</v>
      </c>
      <c r="L518" s="1" t="s">
        <v>31003</v>
      </c>
    </row>
    <row r="519" spans="1:12" ht="13.8">
      <c r="A519" s="1" t="s">
        <v>33063</v>
      </c>
      <c r="B519" s="1" t="str">
        <f ca="1">IFERROR(__xludf.dummyfunction("IF(A519="""", """", GOOGLETRANSLATE(A519, ""en"", ""hi""))"),"पालक और मटर कचौरी रेसिपी")</f>
        <v>पालक और मटर कचौरी रेसिपी</v>
      </c>
      <c r="C519" s="1" t="s">
        <v>14281</v>
      </c>
      <c r="D519" s="1" t="s">
        <v>14198</v>
      </c>
      <c r="E519" s="1">
        <v>45</v>
      </c>
      <c r="F519" s="1" t="s">
        <v>33064</v>
      </c>
      <c r="G519" s="1" t="str">
        <f ca="1">IFERROR(__xludf.dummyfunction("IF(F519="""", """", GOOGLETRANSLATE(F519, ""en"", ""hi""))"),"1-1/2 कप गेहूं का आटा - (सभी उद्देश्यों के लिए आटा), 1 बड़ा चम्मच सूजी (सूजी / रवा), 1/4 कप पालक के पत्ते (पालक) - प्यूरी, 1/4 चम्मच अजवाइन (कैरम के बीज), सूरजमुखी का तेल - आवश्यकतानुसार (घी), नमक - स्वादानुसार, ठंडा पानी - गूंधने के लिए आवश्यक, 1 कप हरी "&amp;"मटर (मटर), हींग (हिंग) - एक चुटकी, 1/2 चम्मच लाल मिर्च पाउडर, 1/2 चम्मच अमचूर (सूखा आम पाउडर), 1/2 चम्मच सौंफ (सौंफ) - कुचल, 1/4 चम्मच गरम मसाला पाउडर, नमक - स्वादानुसार, सूरजमुखी का तेल - गहरी तलने के लिए आवश्यक")</f>
        <v>1-1/2 कप गेहूं का आटा - (सभी उद्देश्यों के लिए आटा), 1 बड़ा चम्मच सूजी (सूजी / रवा), 1/4 कप पालक के पत्ते (पालक) - प्यूरी, 1/4 चम्मच अजवाइन (कैरम के बीज), सूरजमुखी का तेल - आवश्यकतानुसार (घी), नमक - स्वादानुसार, ठंडा पानी - गूंधने के लिए आवश्यक, 1 कप हरी मटर (मटर), हींग (हिंग) - एक चुटकी, 1/2 चम्मच लाल मिर्च पाउडर, 1/2 चम्मच अमचूर (सूखा आम पाउडर), 1/2 चम्मच सौंफ (सौंफ) - कुचल, 1/4 चम्मच गरम मसाला पाउडर, नमक - स्वादानुसार, सूरजमुखी का तेल - गहरी तलने के लिए आवश्यक</v>
      </c>
      <c r="H519" s="1" t="s">
        <v>33065</v>
      </c>
      <c r="I519" s="1" t="str">
        <f ca="1">IFERROR(__xludf.dummyfunction("IF(H519="""", """", GOOGLETRANSLATE(H519, ""en"", ""hi""))"),"पालक और मटर की कचौरी बनाने की विधि शुरू करने के लिए, हम सबसे पहले कचौरी के लिए आटा गूंथेंगे। एक मिक्सिंग बाउल में मैदा, सूजी, पालक प्यूरी, नमक, अजवाइन और तेल लें। इसे अपनी उंगलियों की मदद से अच्छी तरह मिलाएँ और ब्रेडक्रंब जैसा टेक्सचर बनाएँ। कड़ा आटा गूंथ"&amp;"ने के लिए इसमें थोड़ा-थोड़ा करके बर्फ का ठंडा पानी मिलाएँ। (यह ध्यान रखने वाली एक महत्वपूर्ण बात है। अगर आटा नरम है, तो बाहरी त्वचा की बनावट अच्छी नहीं आएगी)। इसे गीले कपड़े से ढँक दें और आटे को 15 से 20 मिनट के लिए अलग रख दें। अगला स्टेप है कचौरी के लिए "&amp;"भरावन तैयार करना। मिक्सी में हरी मटर डालें और इसे दरदरा पीस लें। एक भारी तले वाली कड़ाही में थोड़ा तेल गरम करें। तेल गरम होने पर इसमें हींग डालें। बाद में इसमें हरी मटर का दरदरा पेस्ट मिलाएँ। इसे 2 से 3 मिनट तक भूनें ताकि नमी सूख जाए। यह कदम महत्वपूर्ण है"&amp;" अन्यथा कचौरी नरम हो जाएगी। सूखी मटर के मिश्रण में नमक, लाल मिर्च पाउडर, कुटी सौंफ, अमचूर पाउडर और गरम मसाला डालें। अच्छी तरह मिलाएँ ताकि सब कुछ अच्छी तरह मिल जाए। पालक कचौरी के लिए भरावन तैयार है। अगला कदम कचौरी बनाना है। कचौरी के आटे को छोटे नींबू के आक"&amp;"ार की गेंदों में विभाजित करें। प्रत्येक गेंद को हल्का सा धूल कर मोटी गोलाकार पूरी में बेल लें। इसे पतला न करें। पूरी के बीच में 1-2 चम्मच भरावन मिश्रण डालें, इसके सिरों को एक साथ लाएं और इसके किनारों को अच्छी तरह से सील करें। हाथ से थोड़ा दबाएं या हल्के स"&amp;"े रोल करके भरी हुई गेंदों को चपटा करें। कचौरी को तलने के लिए मध्यम आंच पर तेल गर्म करें जब यह पक जाए तो इसे गरमागरम सर्व करें। इस स्वादिष्ट पालक और मटर की कचौरी को धनिया पुदीना चटनी और खजूर इमली की चटनी के साथ चाय के समय या शाम के नाश्ते के रूप में परोसें"&amp;"। आप इन कचौरियों को पालक मटर की फिलिंग के साथ अपने पॉटलक या अपने घर की पार्टियों के लिए स्टार्टर के रूप में भी परोस सकते हैं।")</f>
        <v>पालक और मटर की कचौरी बनाने की विधि शुरू करने के लिए, हम सबसे पहले कचौरी के लिए आटा गूंथेंगे। एक मिक्सिंग बाउल में मैदा, सूजी, पालक प्यूरी, नमक, अजवाइन और तेल लें। इसे अपनी उंगलियों की मदद से अच्छी तरह मिलाएँ और ब्रेडक्रंब जैसा टेक्सचर बनाएँ। कड़ा आटा गूंथने के लिए इसमें थोड़ा-थोड़ा करके बर्फ का ठंडा पानी मिलाएँ। (यह ध्यान रखने वाली एक महत्वपूर्ण बात है। अगर आटा नरम है, तो बाहरी त्वचा की बनावट अच्छी नहीं आएगी)। इसे गीले कपड़े से ढँक दें और आटे को 15 से 20 मिनट के लिए अलग रख दें। अगला स्टेप है कचौरी के लिए भरावन तैयार करना। मिक्सी में हरी मटर डालें और इसे दरदरा पीस लें। एक भारी तले वाली कड़ाही में थोड़ा तेल गरम करें। तेल गरम होने पर इसमें हींग डालें। बाद में इसमें हरी मटर का दरदरा पेस्ट मिलाएँ। इसे 2 से 3 मिनट तक भूनें ताकि नमी सूख जाए। यह कदम महत्वपूर्ण है अन्यथा कचौरी नरम हो जाएगी। सूखी मटर के मिश्रण में नमक, लाल मिर्च पाउडर, कुटी सौंफ, अमचूर पाउडर और गरम मसाला डालें। अच्छी तरह मिलाएँ ताकि सब कुछ अच्छी तरह मिल जाए। पालक कचौरी के लिए भरावन तैयार है। अगला कदम कचौरी बनाना है। कचौरी के आटे को छोटे नींबू के आकार की गेंदों में विभाजित करें। प्रत्येक गेंद को हल्का सा धूल कर मोटी गोलाकार पूरी में बेल लें। इसे पतला न करें। पूरी के बीच में 1-2 चम्मच भरावन मिश्रण डालें, इसके सिरों को एक साथ लाएं और इसके किनारों को अच्छी तरह से सील करें। हाथ से थोड़ा दबाएं या हल्के से रोल करके भरी हुई गेंदों को चपटा करें। कचौरी को तलने के लिए मध्यम आंच पर तेल गर्म करें जब यह पक जाए तो इसे गरमागरम सर्व करें। इस स्वादिष्ट पालक और मटर की कचौरी को धनिया पुदीना चटनी और खजूर इमली की चटनी के साथ चाय के समय या शाम के नाश्ते के रूप में परोसें। आप इन कचौरियों को पालक मटर की फिलिंग के साथ अपने पॉटलक या अपने घर की पार्टियों के लिए स्टार्टर के रूप में भी परोस सकते हैं।</v>
      </c>
      <c r="J519" s="3" t="s">
        <v>33066</v>
      </c>
      <c r="L519" s="1" t="s">
        <v>31003</v>
      </c>
    </row>
    <row r="520" spans="1:12" ht="13.8">
      <c r="A520" s="1" t="s">
        <v>33067</v>
      </c>
      <c r="B520" s="1" t="str">
        <f ca="1">IFERROR(__xludf.dummyfunction("IF(A520="""", """", GOOGLETRANSLATE(A520, ""en"", ""hi""))"),"फ्राइड पोहा चिवड़ा रेसिपी - चपटा चावल मसालेदार मिश्रण")</f>
        <v>फ्राइड पोहा चिवड़ा रेसिपी - चपटा चावल मसालेदार मिश्रण</v>
      </c>
      <c r="C520" s="1" t="s">
        <v>14281</v>
      </c>
      <c r="D520" s="1" t="s">
        <v>14198</v>
      </c>
      <c r="E520" s="1">
        <v>30</v>
      </c>
      <c r="F520" s="1" t="s">
        <v>33068</v>
      </c>
      <c r="G520" s="1" t="str">
        <f ca="1">IFERROR(__xludf.dummyfunction("IF(F520="""", """", GOOGLETRANSLATE(F520, ""en"", ""hi""))"),"2 कप पोहा, 1/2 कप भुनी मूंगफली, 1/2 कप भुनी चना दाल, 1/2 कप बूंदी - मसाला, 2 चम्मच लाल मिर्च पाउडर - अपनी पसंद के अनुसार, 10 से 12 करी पत्ते, सूखा नारियल (कोपरा) - टुकड़े (वैकल्पिक), नमक - स्वादानुसार")</f>
        <v>2 कप पोहा, 1/2 कप भुनी मूंगफली, 1/2 कप भुनी चना दाल, 1/2 कप बूंदी - मसाला, 2 चम्मच लाल मिर्च पाउडर - अपनी पसंद के अनुसार, 10 से 12 करी पत्ते, सूखा नारियल (कोपरा) - टुकड़े (वैकल्पिक), नमक - स्वादानुसार</v>
      </c>
      <c r="H520" s="1" t="s">
        <v>33069</v>
      </c>
      <c r="I520" s="1" t="str">
        <f ca="1">IFERROR(__xludf.dummyfunction("IF(H520="""", """", GOOGLETRANSLATE(H520, ""en"", ""hi""))"),"फ्राइड पोहा चिवड़ा रेसिपी बनाने के लिए सबसे पहले एक कढ़ाई में तेल गर्म करें। मध्यम आंच पर पोहा को तेल में तल लें और मोटे टिशू पेपर पर निकाल लें। इसके बाद उसी कढ़ाई में मूंगफली को तल लें और पोहा में मिला दें। पुताना दाल को तल लें और करी पत्तों को भी जल्दी "&amp;"से तल लें और मिश्रण में मिला दें। तेल को सूखने दें। इस मिश्रण को दूसरे टिशू पेपर (मोटे टिशू पेपर) पर निकाल लें। अब इसमें मिर्च पाउडर और नमक डालें। अच्छे से मिलाएं। इसे ठंडा होने दें। एयर टाइट कंटेनर में स्टोर करें। अपने 'कुरकुरे नाश्ते-भूख की पीड़ा' को शा"&amp;"ंत करने के लिए एक कप गर्म मसाला चाय के साथ इस पोहा चिवड़ा का स्वाद कभी भी लें।")</f>
        <v>फ्राइड पोहा चिवड़ा रेसिपी बनाने के लिए सबसे पहले एक कढ़ाई में तेल गर्म करें। मध्यम आंच पर पोहा को तेल में तल लें और मोटे टिशू पेपर पर निकाल लें। इसके बाद उसी कढ़ाई में मूंगफली को तल लें और पोहा में मिला दें। पुताना दाल को तल लें और करी पत्तों को भी जल्दी से तल लें और मिश्रण में मिला दें। तेल को सूखने दें। इस मिश्रण को दूसरे टिशू पेपर (मोटे टिशू पेपर) पर निकाल लें। अब इसमें मिर्च पाउडर और नमक डालें। अच्छे से मिलाएं। इसे ठंडा होने दें। एयर टाइट कंटेनर में स्टोर करें। अपने 'कुरकुरे नाश्ते-भूख की पीड़ा' को शांत करने के लिए एक कप गर्म मसाला चाय के साथ इस पोहा चिवड़ा का स्वाद कभी भी लें।</v>
      </c>
      <c r="J520" s="3" t="s">
        <v>33070</v>
      </c>
      <c r="L520" s="1" t="s">
        <v>31003</v>
      </c>
    </row>
    <row r="521" spans="1:12" ht="13.8">
      <c r="A521" s="1" t="s">
        <v>33071</v>
      </c>
      <c r="B521" s="1" t="str">
        <f ca="1">IFERROR(__xludf.dummyfunction("IF(A521="""", """", GOOGLETRANSLATE(A521, ""en"", ""hi""))"),"ज्वार आटा प्याज थेपला रेसिपी - ज्वार गेहूं प्याज थेपला")</f>
        <v>ज्वार आटा प्याज थेपला रेसिपी - ज्वार गेहूं प्याज थेपला</v>
      </c>
      <c r="C521" s="1" t="s">
        <v>14207</v>
      </c>
      <c r="D521" s="1" t="s">
        <v>14338</v>
      </c>
      <c r="E521" s="1">
        <v>35</v>
      </c>
      <c r="F521" s="1" t="s">
        <v>33072</v>
      </c>
      <c r="G521" s="1" t="str">
        <f ca="1">IFERROR(__xludf.dummyfunction("IF(F521="""", """", GOOGLETRANSLATE(F521, ""en"", ""hi""))"),"1 कप गेहूं का आटा, 1-1/2 कप ज्वार का आटा, 2 प्याज - बारीक कटा हुआ, 1 हरी मिर्च - बारीक कटी हुई, 1 चम्मच धनिया पाउडर, 2 चम्मच गरम मसाला पाउडर, 2 चम्मच आमचूर, 1 चम्मच हल्दी पाउडर, नमक - स्वादानुसार, सूरजमुखी तेल")</f>
        <v>1 कप गेहूं का आटा, 1-1/2 कप ज्वार का आटा, 2 प्याज - बारीक कटा हुआ, 1 हरी मिर्च - बारीक कटी हुई, 1 चम्मच धनिया पाउडर, 2 चम्मच गरम मसाला पाउडर, 2 चम्मच आमचूर, 1 चम्मच हल्दी पाउडर, नमक - स्वादानुसार, सूरजमुखी तेल</v>
      </c>
      <c r="H521" s="1" t="s">
        <v>33073</v>
      </c>
      <c r="I521" s="1" t="str">
        <f ca="1">IFERROR(__xludf.dummyfunction("IF(H521="""", """", GOOGLETRANSLATE(H521, ""en"", ""hi""))"),"ज्वार आटा प्याज़ थेपला रेसिपी बनाने के लिए सबसे पहले एक बड़े कटोरे में कटा हुआ प्याज़, हरी मिर्च, धनिया पाउडर, गरम मसाला, अमचूर और हल्दी, नमक, गेहूं का आटा और ज्वार का आटा डालें। थोड़ा-थोड़ा करके पानी डालें और सख्त आटा गूंथ लें जो चिपचिपा न हो। आटे की तरह"&amp;" इसे अच्छी तरह गूंथ लें। थेपला के आटे को कम से कम 10 मिनट के लिए रख दें और उनसे मध्यम आकार की गेंदें बना लें। इस पर गेहूं का आटा छिड़कें और ज्वार आटा प्याज़ थेपला के आटे को धीरे से बेलकर पतला गोलाकार थेपला बना लें। ज्वार आटा प्याज़ थेपला का व्यास इस बात प"&amp;"र निर्भर करता है कि आप इसे कितना पतला या मोटा बनाना चाहते हैं। बचे हुए आटे के हिस्सों के साथ भी यही प्रक्रिया दोहराएँ। तवे को मध्यम आँच पर गरम कर लें। बेली हुई ज्वार आटा प्याज़ थेपला को तवे पर धीरे से रखें और दोनों तरफ से पकाएँ, तेल या घी छिड़कें और तब तक"&amp;" पकाएँ जब तक थेपला के दोनों तरफ भूरे धब्बे न आ जाएँ। एक बार हो जाने पर, थेपला को एक के ऊपर एक रखें और गरमागरम परोसें। ज्वार आटा प्याज़ थेपला रेसिपी को दाल पालक, आलू परवल सब्ज़ी, गोर केरी अचार, पालक रायता रेसिपी के साथ पौष्टिक लंच या डिनर के लिए परोसें।")</f>
        <v>ज्वार आटा प्याज़ थेपला रेसिपी बनाने के लिए सबसे पहले एक बड़े कटोरे में कटा हुआ प्याज़, हरी मिर्च, धनिया पाउडर, गरम मसाला, अमचूर और हल्दी, नमक, गेहूं का आटा और ज्वार का आटा डालें। थोड़ा-थोड़ा करके पानी डालें और सख्त आटा गूंथ लें जो चिपचिपा न हो। आटे की तरह इसे अच्छी तरह गूंथ लें। थेपला के आटे को कम से कम 10 मिनट के लिए रख दें और उनसे मध्यम आकार की गेंदें बना लें। इस पर गेहूं का आटा छिड़कें और ज्वार आटा प्याज़ थेपला के आटे को धीरे से बेलकर पतला गोलाकार थेपला बना लें। ज्वार आटा प्याज़ थेपला का व्यास इस बात पर निर्भर करता है कि आप इसे कितना पतला या मोटा बनाना चाहते हैं। बचे हुए आटे के हिस्सों के साथ भी यही प्रक्रिया दोहराएँ। तवे को मध्यम आँच पर गरम कर लें। बेली हुई ज्वार आटा प्याज़ थेपला को तवे पर धीरे से रखें और दोनों तरफ से पकाएँ, तेल या घी छिड़कें और तब तक पकाएँ जब तक थेपला के दोनों तरफ भूरे धब्बे न आ जाएँ। एक बार हो जाने पर, थेपला को एक के ऊपर एक रखें और गरमागरम परोसें। ज्वार आटा प्याज़ थेपला रेसिपी को दाल पालक, आलू परवल सब्ज़ी, गोर केरी अचार, पालक रायता रेसिपी के साथ पौष्टिक लंच या डिनर के लिए परोसें।</v>
      </c>
      <c r="J521" s="3" t="s">
        <v>33074</v>
      </c>
      <c r="L521" s="1" t="s">
        <v>31003</v>
      </c>
    </row>
    <row r="522" spans="1:12" ht="13.8">
      <c r="A522" s="1" t="s">
        <v>33075</v>
      </c>
      <c r="B522" s="1" t="str">
        <f ca="1">IFERROR(__xludf.dummyfunction("IF(A522="""", """", GOOGLETRANSLATE(A522, ""en"", ""hi""))"),"अरबी कटलेट रेसिपी (मसालेदार अरबी पैटीज़)")</f>
        <v>अरबी कटलेट रेसिपी (मसालेदार अरबी पैटीज़)</v>
      </c>
      <c r="C522" s="1" t="s">
        <v>14281</v>
      </c>
      <c r="D522" s="1" t="s">
        <v>14198</v>
      </c>
      <c r="E522" s="1">
        <v>40</v>
      </c>
      <c r="F522" s="1" t="s">
        <v>33076</v>
      </c>
      <c r="G522" s="1" t="str">
        <f ca="1">IFERROR(__xludf.dummyfunction("IF(F522="""", """", GOOGLETRANSLATE(F522, ""en"", ""hi""))"),"150 ग्राम अरबी, 1 प्याज - बारीक कटा हुआ, 1 हरी मिर्च - बारीक कटी हुई, 1/2 चम्मच लाल मिर्च पाउडर, 1 चम्मच हल्दी पाउडर, 1/2 चम्मच जीरा पाउडर, 1 चम्मच गरम मसाला पाउडर, 1 चम्मच चीनी, 1 बड़ा चम्मच बेसन, 2 टहनी धनिया - बारीक कटा हुआ, 4 बड़े चम्मच गेहूं की ब्रेड"&amp;" का चूरा, नमक - स्वादानुसार, सूरजमुखी का तेल - तलने के लिए")</f>
        <v>150 ग्राम अरबी, 1 प्याज - बारीक कटा हुआ, 1 हरी मिर्च - बारीक कटी हुई, 1/2 चम्मच लाल मिर्च पाउडर, 1 चम्मच हल्दी पाउडर, 1/2 चम्मच जीरा पाउडर, 1 चम्मच गरम मसाला पाउडर, 1 चम्मच चीनी, 1 बड़ा चम्मच बेसन, 2 टहनी धनिया - बारीक कटा हुआ, 4 बड़े चम्मच गेहूं की ब्रेड का चूरा, नमक - स्वादानुसार, सूरजमुखी का तेल - तलने के लिए</v>
      </c>
      <c r="H522" s="1" t="s">
        <v>33077</v>
      </c>
      <c r="I522" s="1" t="str">
        <f ca="1">IFERROR(__xludf.dummyfunction("IF(H522="""", """", GOOGLETRANSLATE(H522, ""en"", ""hi""))"),"हम अरबी कटलेट (मसालेदार अरबी पैटीज) बनाना शुरू करते हैं, अरबी को प्रेशर कुकर में 1/2 कप पानी के साथ लगभग 4 सीटी आने तक पकाते हैं। साथ ही अन्य सामग्री के साथ तैयारी शुरू करते हैं और इसे तैयार रखते हैं। एक बार अरबी पक जाने पर, प्रेशर कुकर को स्वाभाविक रूप स"&amp;"े सारा प्रेशर निकलने दें। फिर बाद में तरल को निथार लें और छिलका उतार लें। आलू मैशर की मदद से सारी अरबी को मैश करके पेस्ट बना लें। एक मिक्सिंग बाउल में सभी कटी हुई सामग्री, मसाले, स्वादानुसार नमक और मैश की हुई अरबी को बेसन के साथ डालें और अच्छी तरह मिलाएँ।"&amp;" मिश्रण को समान रूप से मध्यम आकार की पैटीज़ में विभाजित करें और इसे समान रूप से ब्रेड क्रम्ब्स से कोट करें। पैटीज़ को तलने के लिए पर्याप्त तेल के साथ एक नॉन-स्टिक फ्लैट तली वाला पैन गरम करें। पैटीज़ को रखें और उन्हें दोनों तरफ से सुनहरा भूरा होने तक तलें।"&amp;" आप अरबी कटलेट (मसालेदार कोलोकेसिया पैटीज़) को धनिया पुदीना चटनी (बिना प्याज़ और लहसुन) के साथ खा सकते हैं।")</f>
        <v>हम अरबी कटलेट (मसालेदार अरबी पैटीज) बनाना शुरू करते हैं, अरबी को प्रेशर कुकर में 1/2 कप पानी के साथ लगभग 4 सीटी आने तक पकाते हैं। साथ ही अन्य सामग्री के साथ तैयारी शुरू करते हैं और इसे तैयार रखते हैं। एक बार अरबी पक जाने पर, प्रेशर कुकर को स्वाभाविक रूप से सारा प्रेशर निकलने दें। फिर बाद में तरल को निथार लें और छिलका उतार लें। आलू मैशर की मदद से सारी अरबी को मैश करके पेस्ट बना लें। एक मिक्सिंग बाउल में सभी कटी हुई सामग्री, मसाले, स्वादानुसार नमक और मैश की हुई अरबी को बेसन के साथ डालें और अच्छी तरह मिलाएँ। मिश्रण को समान रूप से मध्यम आकार की पैटीज़ में विभाजित करें और इसे समान रूप से ब्रेड क्रम्ब्स से कोट करें। पैटीज़ को तलने के लिए पर्याप्त तेल के साथ एक नॉन-स्टिक फ्लैट तली वाला पैन गरम करें। पैटीज़ को रखें और उन्हें दोनों तरफ से सुनहरा भूरा होने तक तलें। आप अरबी कटलेट (मसालेदार कोलोकेसिया पैटीज़) को धनिया पुदीना चटनी (बिना प्याज़ और लहसुन) के साथ खा सकते हैं।</v>
      </c>
      <c r="J522" s="3" t="s">
        <v>33078</v>
      </c>
      <c r="L522" s="1" t="s">
        <v>31003</v>
      </c>
    </row>
    <row r="523" spans="1:12" ht="13.8">
      <c r="A523" s="1" t="s">
        <v>33079</v>
      </c>
      <c r="B523" s="1" t="str">
        <f ca="1">IFERROR(__xludf.dummyfunction("IF(A523="""", """", GOOGLETRANSLATE(A523, ""en"", ""hi""))"),"मेथी मलाई मटर रेसिपी - मेथी मटर करी क्रीम के साथ")</f>
        <v>मेथी मलाई मटर रेसिपी - मेथी मटर करी क्रीम के साथ</v>
      </c>
      <c r="C523" s="1" t="s">
        <v>429</v>
      </c>
      <c r="D523" s="1" t="s">
        <v>14198</v>
      </c>
      <c r="E523" s="1">
        <v>40</v>
      </c>
      <c r="F523" s="1" t="s">
        <v>33080</v>
      </c>
      <c r="G523" s="1" t="str">
        <f ca="1">IFERROR(__xludf.dummyfunction("IF(F523="""", """", GOOGLETRANSLATE(F523, ""en"", ""hi""))"),"3 कप मेथी के पत्ते - कटे हुए, 1 कप हरी मटर, 3 प्याज - चार टुकड़ों में कटे हुए, 2 हरी मिर्च - आवश्यकतानुसार, 10 काजू, 4 लहसुन के दाने, 1 इंच अदरक, 1/2 कप दूध, 1/2 बड़ा चम्मच धनिया पाउडर, 1/2 कप ताजा क्रीम, 1/4 बड़ा चम्मच इलायची पाउडर, 1/2 बड़ा चम्मच चीनी, "&amp;"1 बड़ा चम्मच कसूरी मेथी, नमक - स्वादानुसार, 3 बड़े चम्मच घी - या तेल, 2 इलायची के दाने/बीज, 3 लौंग, 1 बड़ा चम्मच जीरा, 5 साबुत काली मिर्च, 1/2 इंच दालचीनी, 1/2 जावित्री, 1 बड़ी इलायची")</f>
        <v>3 कप मेथी के पत्ते - कटे हुए, 1 कप हरी मटर, 3 प्याज - चार टुकड़ों में कटे हुए, 2 हरी मिर्च - आवश्यकतानुसार, 10 काजू, 4 लहसुन के दाने, 1 इंच अदरक, 1/2 कप दूध, 1/2 बड़ा चम्मच धनिया पाउडर, 1/2 कप ताजा क्रीम, 1/4 बड़ा चम्मच इलायची पाउडर, 1/2 बड़ा चम्मच चीनी, 1 बड़ा चम्मच कसूरी मेथी, नमक - स्वादानुसार, 3 बड़े चम्मच घी - या तेल, 2 इलायची के दाने/बीज, 3 लौंग, 1 बड़ा चम्मच जीरा, 5 साबुत काली मिर्च, 1/2 इंच दालचीनी, 1/2 जावित्री, 1 बड़ी इलायची</v>
      </c>
      <c r="H523" s="1" t="s">
        <v>33081</v>
      </c>
      <c r="I523" s="1" t="str">
        <f ca="1">IFERROR(__xludf.dummyfunction("IF(H523="""", """", GOOGLETRANSLATE(H523, ""en"", ""hi""))"),"मेथी मलाई मटर रेसिपी बनाने के लिए सबसे पहले हम सूखा मसाला बनाएंगे। एक ब्लेंडर में हरी इलायची, लौंग, जीरा, साबुत काली मिर्च, दालचीनी, जावित्री और काली इलायची डालकर पिसा हुआ मसाला पाउडर बना लें और एक तरफ रख दें। इसके बाद, एक भारी तले वाले पैन में थोड़ा पानी"&amp;" डालें और उबलने दें। जब यह उबलने लगे तो उबलते पानी में प्याज, काजू, हरी मिर्च, लहसुन और अदरक डालें। उबलने के बाद, पानी को निथार लें और उबले हुए प्याज, काजू, हरी मिर्च, अदरक और लहसुन की कलियों का पिसा हुआ पेस्ट बना लें और एक तरफ रख दें। इसके बाद, हम डिश के"&amp;" रंग को निखारने के लिए मेथी के पत्तों को ब्लांच करेंगे। एक पैन में गर्म पानी में मेथी के पत्ते डालें। एक मिनट के बाद, इसे लगभग 2 मिनट के लिए ठंडे पानी में मिला दें। अब पानी निथार लें और मेथी में बचा हुआ पानी निचोड़ कर अलग रख दें। एक कड़ाही या भारी तले की "&amp;"कड़ाही में घी गर्म करें, उसमें गीला पिसा हुआ पेस्ट डालें और इसे 5 मिनट तक पकाएँ जब तक कि मसाला तेल न छोड़ने लगे। अब इसमें हरी मटर और दूध डालें, इसे एक और मिनट के लिए पकने दें। सूखा मसाला पाउडर जो हमने पहले बनाया था और धनिया पाउडर डालें। इसे अच्छे से मिलाए"&amp;"ँ और मध्यम आँच पर 3 से 4 मिनट तक पकाएँ। अब इसमें उबली हुई मेथी, नमक, चीनी डालें, अच्छे से मिलाएँ और 2 मिनट और पकाएँ। अगर आपको गाढ़ापन ज्यादा गाढ़ा लगे तो आप दूध डालकर इसे ठीक कर सकते हैं। इलायची पाउडर, कसूरी मेथी और क्रीम डालें, अच्छे से मिलाएँ और 2 से 3 "&amp;"मिनट और पकाएँ। गरमागरम परोसें। मेथी मलाई मटर रेसिपी को चुकंदर थोरन, बूंदी रायता और तवा पराठा के साथ अपने सप्ताह के लंच या डिनर के लिए परोसें।")</f>
        <v>मेथी मलाई मटर रेसिपी बनाने के लिए सबसे पहले हम सूखा मसाला बनाएंगे। एक ब्लेंडर में हरी इलायची, लौंग, जीरा, साबुत काली मिर्च, दालचीनी, जावित्री और काली इलायची डालकर पिसा हुआ मसाला पाउडर बना लें और एक तरफ रख दें। इसके बाद, एक भारी तले वाले पैन में थोड़ा पानी डालें और उबलने दें। जब यह उबलने लगे तो उबलते पानी में प्याज, काजू, हरी मिर्च, लहसुन और अदरक डालें। उबलने के बाद, पानी को निथार लें और उबले हुए प्याज, काजू, हरी मिर्च, अदरक और लहसुन की कलियों का पिसा हुआ पेस्ट बना लें और एक तरफ रख दें। इसके बाद, हम डिश के रंग को निखारने के लिए मेथी के पत्तों को ब्लांच करेंगे। एक पैन में गर्म पानी में मेथी के पत्ते डालें। एक मिनट के बाद, इसे लगभग 2 मिनट के लिए ठंडे पानी में मिला दें। अब पानी निथार लें और मेथी में बचा हुआ पानी निचोड़ कर अलग रख दें। एक कड़ाही या भारी तले की कड़ाही में घी गर्म करें, उसमें गीला पिसा हुआ पेस्ट डालें और इसे 5 मिनट तक पकाएँ जब तक कि मसाला तेल न छोड़ने लगे। अब इसमें हरी मटर और दूध डालें, इसे एक और मिनट के लिए पकने दें। सूखा मसाला पाउडर जो हमने पहले बनाया था और धनिया पाउडर डालें। इसे अच्छे से मिलाएँ और मध्यम आँच पर 3 से 4 मिनट तक पकाएँ। अब इसमें उबली हुई मेथी, नमक, चीनी डालें, अच्छे से मिलाएँ और 2 मिनट और पकाएँ। अगर आपको गाढ़ापन ज्यादा गाढ़ा लगे तो आप दूध डालकर इसे ठीक कर सकते हैं। इलायची पाउडर, कसूरी मेथी और क्रीम डालें, अच्छे से मिलाएँ और 2 से 3 मिनट और पकाएँ। गरमागरम परोसें। मेथी मलाई मटर रेसिपी को चुकंदर थोरन, बूंदी रायता और तवा पराठा के साथ अपने सप्ताह के लंच या डिनर के लिए परोसें।</v>
      </c>
      <c r="J523" s="3" t="s">
        <v>33082</v>
      </c>
      <c r="L523" s="1" t="s">
        <v>31003</v>
      </c>
    </row>
    <row r="524" spans="1:12" ht="13.8">
      <c r="A524" s="1" t="s">
        <v>32767</v>
      </c>
      <c r="B524" s="1" t="str">
        <f ca="1">IFERROR(__xludf.dummyfunction("IF(A524="""", """", GOOGLETRANSLATE(A524, ""en"", ""hi""))"),"गेहूं प्याज भरवां कुल्चा रेसिपी")</f>
        <v>गेहूं प्याज भरवां कुल्चा रेसिपी</v>
      </c>
      <c r="C524" s="1" t="s">
        <v>429</v>
      </c>
      <c r="D524" s="1" t="s">
        <v>14198</v>
      </c>
      <c r="E524" s="1">
        <v>190</v>
      </c>
      <c r="F524" s="1" t="s">
        <v>33083</v>
      </c>
      <c r="G524" s="1" t="str">
        <f ca="1">IFERROR(__xludf.dummyfunction("IF(F524="""", """", GOOGLETRANSLATE(F524, ""en"", ""hi""))"),"4 कप गेहूं का आटा, 1 बड़ा चम्मच सक्रिय सूखा खमीर, 1 चम्मच चीनी, 2 लहसुन की कलियाँ - बारीक कटा हुआ (या एक चम्मच लहसुन पाउडर), नमक - स्वादानुसार, गुनगुना पानी, 1 प्याज, धनिया के पत्ते - छोटे गुच्छे, 5-6 पुदीना के पत्ते, 6 लहसुन की कलियाँ, नमक - स्वादानुसार,"&amp;" 1/2 चम्मच लाल मिर्च पाउडर, 1/2 चम्मच हल्दी पाउडर")</f>
        <v>4 कप गेहूं का आटा, 1 बड़ा चम्मच सक्रिय सूखा खमीर, 1 चम्मच चीनी, 2 लहसुन की कलियाँ - बारीक कटा हुआ (या एक चम्मच लहसुन पाउडर), नमक - स्वादानुसार, गुनगुना पानी, 1 प्याज, धनिया के पत्ते - छोटे गुच्छे, 5-6 पुदीना के पत्ते, 6 लहसुन की कलियाँ, नमक - स्वादानुसार, 1/2 चम्मच लाल मिर्च पाउडर, 1/2 चम्मच हल्दी पाउडर</v>
      </c>
      <c r="H524" s="1" t="s">
        <v>33084</v>
      </c>
      <c r="I524" s="1" t="str">
        <f ca="1">IFERROR(__xludf.dummyfunction("IF(H524="""", """", GOOGLETRANSLATE(H524, ""en"", ""hi""))"),"गेहूं प्याज कुलचा रेसिपी बनाने के लिए सबसे पहले हम आटा गूंथ कर उसे फूलने के लिए रख देंगे। कुलचा का आटा गूंथने के लिए एक बड़े प्याले में मैदा और नमक छान लीजिये. इसमें यीस्ट, नमक, चीनी, लहसुन पाउडर या कटा हुआ लहसुन डालकर सारी सामग्री मिला दीजिये. इसमें थोड़"&amp;"ा-थोड़ा करके गुनगुना पानी डालते हुए नरम और चिकना आटा गूंथ लीजिये. 5 मिनट तक अच्छे से गूंथिये ताकि आटा हल्का और फूला हुआ हो जाये. आटे को ढँक कर किसी गरम जगह पर कुछ घंटों के लिए या जब तक उसका आकार दोगुना न हो जाये तब तक रख दीजिये. जब आटा फूल कर तैयार हो जाय"&amp;"े या उसके तैयार होने के करीब हो जाये तब हम कुलचा के लिए भरावन तैयार करेंगे. एक फूड प्रोसेसर में प्याज, पुदीना, धनिया, लहसुन डालकर बारीक काट लीजिये. अगर आप फूड प्रोसेसर का इस्तेमाल नहीं कर रहे हैं तो चारों सामग्री को बारीक काट लीजिये. जब आटा आकार में दोगुन"&amp;"ा हो जाये तो इसे बाहर निकालिये और अपनी अंगुलियों से दबा कर फँसी हवा को बाहर निकालिये. कुलचे बनाने के लिए, मध्यम आंच पर लोहे की कड़ाही गर्म करें, आटे से थोड़ा सा भाग निकालें और उसे गोल आकार दें। गेंद को लगभग 2 इंच व्यास के गोलाकार में बेल लें। केंद्र में ए"&amp;"क बड़ा चम्मच भरावन डालें। कुलचे के आटे को सील करने के लिए आटे के कोनों को केंद्र में लाएं। एक बार फिर अपनी हथेली के हल्के दबाव से गेंद को धीरे से चपटा करें। हल्के से आटे को छिड़कें और इसे बिना ज्यादा दबाव डाले गोलाकार में बेल लें वरना भरावन किनारों से बाह"&amp;"र निकल जाएगा। बेले हुए कुलचे के आटे को गर्म कड़ाही में डालें। दोनों तरफ से तब तक पकाएं जब तक कि यह फूलना शुरू न हो जाए। एक बार जब यह फूल जाए, तो इसे कुलचे को फुलाने के लिए सीधी आंच पर रखें। सीधी आंच पर पकाते समय सुनिश्चित करें कि कुलचे को लगातार पलटें ताक"&amp;"ि यह सभी तरफ से समान रूप से पक जाए बचे हुए आटे और भरावन के साथ भी इसी तरह आगे बढ़ें। गेहूं के प्याज कुल्चे को छोले पिंडी रेसिपी, या अमृतसरी छोले रेसिपी और पालक रायता के साथ परोसें।")</f>
        <v>गेहूं प्याज कुलचा रेसिपी बनाने के लिए सबसे पहले हम आटा गूंथ कर उसे फूलने के लिए रख देंगे। कुलचा का आटा गूंथने के लिए एक बड़े प्याले में मैदा और नमक छान लीजिये. इसमें यीस्ट, नमक, चीनी, लहसुन पाउडर या कटा हुआ लहसुन डालकर सारी सामग्री मिला दीजिये. इसमें थोड़ा-थोड़ा करके गुनगुना पानी डालते हुए नरम और चिकना आटा गूंथ लीजिये. 5 मिनट तक अच्छे से गूंथिये ताकि आटा हल्का और फूला हुआ हो जाये. आटे को ढँक कर किसी गरम जगह पर कुछ घंटों के लिए या जब तक उसका आकार दोगुना न हो जाये तब तक रख दीजिये. जब आटा फूल कर तैयार हो जाये या उसके तैयार होने के करीब हो जाये तब हम कुलचा के लिए भरावन तैयार करेंगे. एक फूड प्रोसेसर में प्याज, पुदीना, धनिया, लहसुन डालकर बारीक काट लीजिये. अगर आप फूड प्रोसेसर का इस्तेमाल नहीं कर रहे हैं तो चारों सामग्री को बारीक काट लीजिये. जब आटा आकार में दोगुना हो जाये तो इसे बाहर निकालिये और अपनी अंगुलियों से दबा कर फँसी हवा को बाहर निकालिये. कुलचे बनाने के लिए, मध्यम आंच पर लोहे की कड़ाही गर्म करें, आटे से थोड़ा सा भाग निकालें और उसे गोल आकार दें। गेंद को लगभग 2 इंच व्यास के गोलाकार में बेल लें। केंद्र में एक बड़ा चम्मच भरावन डालें। कुलचे के आटे को सील करने के लिए आटे के कोनों को केंद्र में लाएं। एक बार फिर अपनी हथेली के हल्के दबाव से गेंद को धीरे से चपटा करें। हल्के से आटे को छिड़कें और इसे बिना ज्यादा दबाव डाले गोलाकार में बेल लें वरना भरावन किनारों से बाहर निकल जाएगा। बेले हुए कुलचे के आटे को गर्म कड़ाही में डालें। दोनों तरफ से तब तक पकाएं जब तक कि यह फूलना शुरू न हो जाए। एक बार जब यह फूल जाए, तो इसे कुलचे को फुलाने के लिए सीधी आंच पर रखें। सीधी आंच पर पकाते समय सुनिश्चित करें कि कुलचे को लगातार पलटें ताकि यह सभी तरफ से समान रूप से पक जाए बचे हुए आटे और भरावन के साथ भी इसी तरह आगे बढ़ें। गेहूं के प्याज कुल्चे को छोले पिंडी रेसिपी, या अमृतसरी छोले रेसिपी और पालक रायता के साथ परोसें।</v>
      </c>
      <c r="J524" s="3" t="s">
        <v>33085</v>
      </c>
      <c r="L524" s="1" t="s">
        <v>31003</v>
      </c>
    </row>
    <row r="525" spans="1:12" ht="13.8">
      <c r="A525" s="1" t="s">
        <v>33086</v>
      </c>
      <c r="B525" s="1" t="str">
        <f ca="1">IFERROR(__xludf.dummyfunction("IF(A525="""", """", GOOGLETRANSLATE(A525, ""en"", ""hi""))"),"आलू भिंडी मसाला ग्रेवी रेसिपी")</f>
        <v>आलू भिंडी मसाला ग्रेवी रेसिपी</v>
      </c>
      <c r="C525" s="1" t="s">
        <v>145</v>
      </c>
      <c r="D525" s="1" t="s">
        <v>14198</v>
      </c>
      <c r="E525" s="1">
        <v>35</v>
      </c>
      <c r="F525" s="1" t="s">
        <v>33087</v>
      </c>
      <c r="G525" s="1" t="str">
        <f ca="1">IFERROR(__xludf.dummyfunction("IF(F525="""", """", GOOGLETRANSLATE(F525, ""en"", ""hi""))"),"200 ग्राम भिंडी, 1 आलू - उबालकर काट लें, 1 प्याज - बारीक काट लें, 2 टमाटर - बारीक काटकर प्यूरी बना लें, 4 लहसुन - बारीक काट लें, 1 इंच अदरक - बारीक काट लें, 2 हरी मिर्च - बारीक काट लें, 1 टहनी करी पत्ता, 1 छोटा चम्मच धनिया पाउडर, 1/2 छोटा चम्मच जीरा पाउडर"&amp;", 1/2 छोटा चम्मच हल्दी पाउडर, 1 छोटा चम्मच लाल मिर्च पाउडर, 1/2 छोटा चम्मच राई, 1/2 छोटा चम्मच जीरा, पानी - आवश्यकतानुसार, 1/4 छोटा चम्मच चीनी, नमक - स्वादानुसार, हींग - चुटकी भर, तेल - आवश्यकतानुसार, हरा धनिया - आवश्यकतानुसार, नींबू का रस - आवश्यकतानुसार")</f>
        <v>200 ग्राम भिंडी, 1 आलू - उबालकर काट लें, 1 प्याज - बारीक काट लें, 2 टमाटर - बारीक काटकर प्यूरी बना लें, 4 लहसुन - बारीक काट लें, 1 इंच अदरक - बारीक काट लें, 2 हरी मिर्च - बारीक काट लें, 1 टहनी करी पत्ता, 1 छोटा चम्मच धनिया पाउडर, 1/2 छोटा चम्मच जीरा पाउडर, 1/2 छोटा चम्मच हल्दी पाउडर, 1 छोटा चम्मच लाल मिर्च पाउडर, 1/2 छोटा चम्मच राई, 1/2 छोटा चम्मच जीरा, पानी - आवश्यकतानुसार, 1/4 छोटा चम्मच चीनी, नमक - स्वादानुसार, हींग - चुटकी भर, तेल - आवश्यकतानुसार, हरा धनिया - आवश्यकतानुसार, नींबू का रस - आवश्यकतानुसार</v>
      </c>
      <c r="H525" s="1" t="s">
        <v>33088</v>
      </c>
      <c r="I525" s="1" t="str">
        <f ca="1">IFERROR(__xludf.dummyfunction("IF(H525="""", """", GOOGLETRANSLATE(H525, ""en"", ""hi""))"),"आलू भिंडी मसाला ग्रेवी रेसिपी बनाने के लिए सबसे पहले प्रेशर कुकर में आलू और आवश्यकतानुसार पानी डालकर 2 से 4 सीटी आने तक पकाएं। गैस बंद कर दें। प्रेशर खत्म होने के बाद कुकर खोलें, आलू छीलें और काट लें। एक तरफ रख दें। एक पैन में तेल गर्म करें। इसमें भिंडी, "&amp;"थोड़ा नमक डालें और भिंडी के नरम होने तक पकाएं। भिंडी को एक तरफ रख दें। अब एक पैन में तेल गर्म करें। इसमें जीरा, राई, हींग डालें और चटकने दें। अब इसमें करी पत्ता, अदरक, लहसुन, हरी मिर्च डालें और 1 से 2 मिनट तक पकाएं। अब इसमें प्याज डालें और नरम होने तक पका"&amp;"एं। प्याज के नरम होने के बाद इसमें टमाटर डालें और टमाटर के नरम होने तक पकाएं। टमाटर के नरम होने के बाद इसमें धनिया पाउडर, जीरा पाउडर, हल्दी पाउडर, लाल मिर्च पाउडर डालें और 2 मिनट तक पकाएं। अब 2 मिनट बाद इसमें पके हुए आलू, भिंडी डालें और मिलाएं, नमक डालें "&amp;"और मिलाएं। इसे उबलने दें। थोड़ा पानी डालें और अच्छी तरह से पकाएं। इसमें 2 से 3 मिनट का समय लगेगा। नींबू का रस, धनिया पत्ता डालें और मिलाएं कुंआ। गैस बंद कर दें और सर्व करें. आलू भिंडी मसाला ग्रेवी रेसिपी को रात के खाने के लिए अमृतसरी दाल, तड़का रायता और फ"&amp;"ुल्के के साथ परोसें। """)</f>
        <v>आलू भिंडी मसाला ग्रेवी रेसिपी बनाने के लिए सबसे पहले प्रेशर कुकर में आलू और आवश्यकतानुसार पानी डालकर 2 से 4 सीटी आने तक पकाएं। गैस बंद कर दें। प्रेशर खत्म होने के बाद कुकर खोलें, आलू छीलें और काट लें। एक तरफ रख दें। एक पैन में तेल गर्म करें। इसमें भिंडी, थोड़ा नमक डालें और भिंडी के नरम होने तक पकाएं। भिंडी को एक तरफ रख दें। अब एक पैन में तेल गर्म करें। इसमें जीरा, राई, हींग डालें और चटकने दें। अब इसमें करी पत्ता, अदरक, लहसुन, हरी मिर्च डालें और 1 से 2 मिनट तक पकाएं। अब इसमें प्याज डालें और नरम होने तक पकाएं। प्याज के नरम होने के बाद इसमें टमाटर डालें और टमाटर के नरम होने तक पकाएं। टमाटर के नरम होने के बाद इसमें धनिया पाउडर, जीरा पाउडर, हल्दी पाउडर, लाल मिर्च पाउडर डालें और 2 मिनट तक पकाएं। अब 2 मिनट बाद इसमें पके हुए आलू, भिंडी डालें और मिलाएं, नमक डालें और मिलाएं। इसे उबलने दें। थोड़ा पानी डालें और अच्छी तरह से पकाएं। इसमें 2 से 3 मिनट का समय लगेगा। नींबू का रस, धनिया पत्ता डालें और मिलाएं कुंआ। गैस बंद कर दें और सर्व करें. आलू भिंडी मसाला ग्रेवी रेसिपी को रात के खाने के लिए अमृतसरी दाल, तड़का रायता और फुल्के के साथ परोसें। "</v>
      </c>
      <c r="J525" s="3" t="s">
        <v>33089</v>
      </c>
      <c r="L525" s="1" t="s">
        <v>31003</v>
      </c>
    </row>
    <row r="526" spans="1:12" ht="13.8">
      <c r="A526" s="1" t="s">
        <v>33090</v>
      </c>
      <c r="B526" s="1" t="str">
        <f ca="1">IFERROR(__xludf.dummyfunction("IF(A526="""", """", GOOGLETRANSLATE(A526, ""en"", ""hi""))"),"सूखा नवरतन कोरमा रेसिपी")</f>
        <v>सूखा नवरतन कोरमा रेसिपी</v>
      </c>
      <c r="C526" s="1" t="s">
        <v>145</v>
      </c>
      <c r="D526" s="1" t="s">
        <v>14198</v>
      </c>
      <c r="E526" s="1">
        <v>40</v>
      </c>
      <c r="F526" s="1" t="s">
        <v>33091</v>
      </c>
      <c r="G526" s="1" t="str">
        <f ca="1">IFERROR(__xludf.dummyfunction("IF(F526="""", """", GOOGLETRANSLATE(F526, ""en"", ""hi""))"),"1 फूलगोभी - फूलों में कटी हुई, 2 गाजर - छोटे टुकड़ों में कटी हुई, 5 हरी बीन्स (फ्रेंच बीन्स) - छोटे टुकड़ों में कटी हुई, 1/2 कप हरी मटर (मटर), 1 हरी बेल मिर्च (शिमला मिर्च) - छोटे टुकड़ों में कटी हुई, 2 आलू - छोटे टुकड़ों में कटे हुए, 2 प्याज - कटे हुए, 1"&amp;" इंच अदरक - कटा हुआ, 4 लहसुन के दाने - कटे हुए, 2 हरी मिर्च - कटी हुई, 2 टमाटर - प्यूरी किए हुए, 1-1/5 बड़े चम्मच धनिया पाउडर, 1/2 बड़ा चम्मच गरम मसाला पाउडर - (या किचन किंग मसाला), 1 छोटा चम्मच लाल मिर्च पाउडर, नमक - आवश्यकतानुसार, सूरजमुखी तेल - आवश्यकत"&amp;"ानुसार, 2 तेज पत्ता, 1 दालचीनी, 2 इलायची की फली/बीज, 1 छोटा चम्मच अजवाइन, 100 ग्राम पनीर (घर का बना) पनीर) - टुकड़ों में कटा हुआ, 1 कप ताजा क्रीम, 1/2 कप काजू - पेस्ट बनाने के लिए पीसा हुआ, 1/2 कप अनानास - छोटे टुकड़ों में कटा हुआ, 1/2 कप अनारदाना पाउडर ("&amp;"अनार के बीज का पाउडर), 2 बड़े चम्मच किशमिश, काजू - टुकड़े, धनिया (धनिया) के पत्ते - गार्निश के लिए कुछ, धनिया (धनिया) के पत्ते - गार्निश के लिए कुछ")</f>
        <v>1 फूलगोभी - फूलों में कटी हुई, 2 गाजर - छोटे टुकड़ों में कटी हुई, 5 हरी बीन्स (फ्रेंच बीन्स) - छोटे टुकड़ों में कटी हुई, 1/2 कप हरी मटर (मटर), 1 हरी बेल मिर्च (शिमला मिर्च) - छोटे टुकड़ों में कटी हुई, 2 आलू - छोटे टुकड़ों में कटे हुए, 2 प्याज - कटे हुए, 1 इंच अदरक - कटा हुआ, 4 लहसुन के दाने - कटे हुए, 2 हरी मिर्च - कटी हुई, 2 टमाटर - प्यूरी किए हुए, 1-1/5 बड़े चम्मच धनिया पाउडर, 1/2 बड़ा चम्मच गरम मसाला पाउडर - (या किचन किंग मसाला), 1 छोटा चम्मच लाल मिर्च पाउडर, नमक - आवश्यकतानुसार, सूरजमुखी तेल - आवश्यकतानुसार, 2 तेज पत्ता, 1 दालचीनी, 2 इलायची की फली/बीज, 1 छोटा चम्मच अजवाइन, 100 ग्राम पनीर (घर का बना) पनीर) - टुकड़ों में कटा हुआ, 1 कप ताजा क्रीम, 1/2 कप काजू - पेस्ट बनाने के लिए पीसा हुआ, 1/2 कप अनानास - छोटे टुकड़ों में कटा हुआ, 1/2 कप अनारदाना पाउडर (अनार के बीज का पाउडर), 2 बड़े चम्मच किशमिश, काजू - टुकड़े, धनिया (धनिया) के पत्ते - गार्निश के लिए कुछ, धनिया (धनिया) के पत्ते - गार्निश के लिए कुछ</v>
      </c>
      <c r="H526" s="1" t="s">
        <v>33092</v>
      </c>
      <c r="I526" s="1" t="str">
        <f ca="1">IFERROR(__xludf.dummyfunction("IF(H526="""", """", GOOGLETRANSLATE(H526, ""en"", ""hi""))"),"सूखा नवरतन कोरमा रेसिपी बनाने के लिए सबसे पहले सारी सामग्री तैयार करके रसोई में रख लें। एक कड़ाही में थोड़ा तेल गर्म करें और पनीर के टुकड़ों को चारों तरफ से कुरकुरा होने तक तल लें और एक रसोई के तौलिये पर रख दें ताकि अतिरिक्त तेल निकल जाए। यदि आवश्यक हो तो"&amp;" और तेल डालें, बताए गए साबुत मसाले डालें और जैसे ही वे चटकने लगें, प्याज डालें और उन्हें नरम और पारदर्शी होने तक भूनें। अब कटा हुआ अदरक, लहसुन और हरी मिर्च डालें और कच्ची महक जाने तक और रंग में भूरा होने तक भूनें। अब टमाटर प्यूरी डालें और कच्ची महक जाने त"&amp;"क भूनें। पनीर, मेवे और फलों को छोड़कर सभी कटी हुई सब्जियाँ और मटर डालें। अच्छी तरह मिलाएँ और धनिया पाउडर, लाल मिर्च पाउडर और किचन किंग मसाला या गरम मसाला डालें आप देखेंगे कि करी गाढ़ी हो रही है, इसलिए थोड़ा पानी डालें, लगभग 1/2 कप और हिलाएं और सब्जियों को"&amp;" धीमी आंच पर पकने दें। ढक्कन बंद रखें। इसमें लगभग 7-8 मिनट लग सकते हैं। जब आप देखें कि सब्जियां नरम हो रही हैं, तो किशमिश और काजू डालें और अच्छी तरह मिलाएँ। कुछ और मिनट तक पकाएँ जब तक काजू और किशमिश स्वाद के साथ मिल न जाएँ। सभी सब्जियों को नरम होने दें, औ"&amp;"र नरम न होने दें। अब अनानास के टुकड़े और अनार का आधा हिस्सा डालें, मिलाएँ और गैस की आँच बंद कर दें। ऊपर से तले हुए पनीर के टुकड़े डालें और ताज़ा कटा हरा धनिया, कुछ काजू और अनार के दानों से गार्निश करें। सूखे नवरतन कोरमा को दाल बंजारा रेसिपी और फुल्के के स"&amp;"ाथ रोज़ाना के खाने के लिए परोसें")</f>
        <v>सूखा नवरतन कोरमा रेसिपी बनाने के लिए सबसे पहले सारी सामग्री तैयार करके रसोई में रख लें। एक कड़ाही में थोड़ा तेल गर्म करें और पनीर के टुकड़ों को चारों तरफ से कुरकुरा होने तक तल लें और एक रसोई के तौलिये पर रख दें ताकि अतिरिक्त तेल निकल जाए। यदि आवश्यक हो तो और तेल डालें, बताए गए साबुत मसाले डालें और जैसे ही वे चटकने लगें, प्याज डालें और उन्हें नरम और पारदर्शी होने तक भूनें। अब कटा हुआ अदरक, लहसुन और हरी मिर्च डालें और कच्ची महक जाने तक और रंग में भूरा होने तक भूनें। अब टमाटर प्यूरी डालें और कच्ची महक जाने तक भूनें। पनीर, मेवे और फलों को छोड़कर सभी कटी हुई सब्जियाँ और मटर डालें। अच्छी तरह मिलाएँ और धनिया पाउडर, लाल मिर्च पाउडर और किचन किंग मसाला या गरम मसाला डालें आप देखेंगे कि करी गाढ़ी हो रही है, इसलिए थोड़ा पानी डालें, लगभग 1/2 कप और हिलाएं और सब्जियों को धीमी आंच पर पकने दें। ढक्कन बंद रखें। इसमें लगभग 7-8 मिनट लग सकते हैं। जब आप देखें कि सब्जियां नरम हो रही हैं, तो किशमिश और काजू डालें और अच्छी तरह मिलाएँ। कुछ और मिनट तक पकाएँ जब तक काजू और किशमिश स्वाद के साथ मिल न जाएँ। सभी सब्जियों को नरम होने दें, और नरम न होने दें। अब अनानास के टुकड़े और अनार का आधा हिस्सा डालें, मिलाएँ और गैस की आँच बंद कर दें। ऊपर से तले हुए पनीर के टुकड़े डालें और ताज़ा कटा हरा धनिया, कुछ काजू और अनार के दानों से गार्निश करें। सूखे नवरतन कोरमा को दाल बंजारा रेसिपी और फुल्के के साथ रोज़ाना के खाने के लिए परोसें</v>
      </c>
      <c r="J526" s="3" t="s">
        <v>33093</v>
      </c>
      <c r="L526" s="1" t="s">
        <v>31003</v>
      </c>
    </row>
    <row r="527" spans="1:12" ht="13.8">
      <c r="A527" s="1" t="s">
        <v>33094</v>
      </c>
      <c r="B527" s="1" t="str">
        <f ca="1">IFERROR(__xludf.dummyfunction("IF(A527="""", """", GOOGLETRANSLATE(A527, ""en"", ""hi""))"),"आमरस रेसिपी")</f>
        <v>आमरस रेसिपी</v>
      </c>
      <c r="C527" s="1" t="s">
        <v>14207</v>
      </c>
      <c r="D527" s="1" t="s">
        <v>17937</v>
      </c>
      <c r="E527" s="1">
        <v>15</v>
      </c>
      <c r="F527" s="1" t="s">
        <v>33095</v>
      </c>
      <c r="G527" s="1" t="str">
        <f ca="1">IFERROR(__xludf.dummyfunction("IF(F527="""", """", GOOGLETRANSLATE(F527, ""en"", ""hi""))"),"3 कप आम - छिला और कटा हुआ, 1/4 कप पानी, चीनी - वैकल्पिक")</f>
        <v>3 कप आम - छिला और कटा हुआ, 1/4 कप पानी, चीनी - वैकल्पिक</v>
      </c>
      <c r="H527" s="1" t="s">
        <v>33096</v>
      </c>
      <c r="I527" s="1" t="str">
        <f ca="1">IFERROR(__xludf.dummyfunction("IF(H527="""", """", GOOGLETRANSLATE(H527, ""en"", ""hi""))"),"""आमरस रेसिपी बनाने के लिए सबसे पहले सारी सामग्री तैयार कर लें। आम को छीलकर काट लें। आम को पानी और चीनी के साथ ब्लेंडर में पीस लें। इसे एक बाउल में निकाल लें और सर्व करें। आप इसे ठंडा भी परोस सकते हैं क्योंकि ठंडा होने पर इसका स्वाद और भी अच्छा लगता है। द"&amp;"ोपहर के भोजन के लिए आमरस रेसिपी को गुजराती दाल, गुजराती टिंडोरा नू शाक और फुल्के के साथ परोसें।""")</f>
        <v>"आमरस रेसिपी बनाने के लिए सबसे पहले सारी सामग्री तैयार कर लें। आम को छीलकर काट लें। आम को पानी और चीनी के साथ ब्लेंडर में पीस लें। इसे एक बाउल में निकाल लें और सर्व करें। आप इसे ठंडा भी परोस सकते हैं क्योंकि ठंडा होने पर इसका स्वाद और भी अच्छा लगता है। दोपहर के भोजन के लिए आमरस रेसिपी को गुजराती दाल, गुजराती टिंडोरा नू शाक और फुल्के के साथ परोसें।"</v>
      </c>
      <c r="J527" s="3" t="s">
        <v>33097</v>
      </c>
      <c r="L527" s="1" t="s">
        <v>31003</v>
      </c>
    </row>
    <row r="528" spans="1:12" ht="13.8">
      <c r="A528" s="1" t="s">
        <v>33098</v>
      </c>
      <c r="B528" s="1" t="str">
        <f ca="1">IFERROR(__xludf.dummyfunction("IF(A528="""", """", GOOGLETRANSLATE(A528, ""en"", ""hi""))"),"चिकन दम बिरयानी रेसिपी")</f>
        <v>चिकन दम बिरयानी रेसिपी</v>
      </c>
      <c r="C528" s="1" t="s">
        <v>15208</v>
      </c>
      <c r="D528" s="1" t="s">
        <v>14367</v>
      </c>
      <c r="E528" s="1">
        <v>150</v>
      </c>
      <c r="F528" s="1" t="s">
        <v>33099</v>
      </c>
      <c r="G528" s="1" t="str">
        <f ca="1">IFERROR(__xludf.dummyfunction("IF(F528="""", """", GOOGLETRANSLATE(F528, ""en"", ""hi""))"),"1 किलो चिकन - हड्डी सहित, 4 कप बासमती चावल, 3 प्याज - पतले कटे हुए, 4 टमाटर - बारीक कटे हुए, 4 हरी मिर्च - बीच से चीर कर निकाली हुई, 20 ग्राम अदरक - पेस्ट बनाने के लिए पीसा हुआ, 20 ग्राम लहसुन - पेस्ट बनाने के लिए पीसा हुआ, 2 बड़े चम्मच लाल मिर्च पाउडर, 2"&amp;" बड़े चम्मच धनिया पाउडर, 1 बड़ा चम्मच गरम मसाला पाउडर, 1/2 कप धनिया पत्ते - बारीक कटे हुए, 1/2 कप पुदीना पत्ते (बारीक कटे हुए), सूरजमुखी तेल - आवश्यकतानुसार, घी - आवश्यकतानुसार, नमक - स्वादानुसार, 1/2 कप हंग कर्ड (ग्रीक योगर्ट), 1 बड़ा चम्मच लाल मिर्च पाउ"&amp;"डर, 1 छोटा चम्मच हल्दी पाउडर (हल्दी), नमक - आवश्यकतानुसार")</f>
        <v>1 किलो चिकन - हड्डी सहित, 4 कप बासमती चावल, 3 प्याज - पतले कटे हुए, 4 टमाटर - बारीक कटे हुए, 4 हरी मिर्च - बीच से चीर कर निकाली हुई, 20 ग्राम अदरक - पेस्ट बनाने के लिए पीसा हुआ, 20 ग्राम लहसुन - पेस्ट बनाने के लिए पीसा हुआ, 2 बड़े चम्मच लाल मिर्च पाउडर, 2 बड़े चम्मच धनिया पाउडर, 1 बड़ा चम्मच गरम मसाला पाउडर, 1/2 कप धनिया पत्ते - बारीक कटे हुए, 1/2 कप पुदीना पत्ते (बारीक कटे हुए), सूरजमुखी तेल - आवश्यकतानुसार, घी - आवश्यकतानुसार, नमक - स्वादानुसार, 1/2 कप हंग कर्ड (ग्रीक योगर्ट), 1 बड़ा चम्मच लाल मिर्च पाउडर, 1 छोटा चम्मच हल्दी पाउडर (हल्दी), नमक - आवश्यकतानुसार</v>
      </c>
      <c r="H528" s="1" t="s">
        <v>33100</v>
      </c>
      <c r="I528" s="1" t="str">
        <f ca="1">IFERROR(__xludf.dummyfunction("IF(H528="""", """", GOOGLETRANSLATE(H528, ""en"", ""hi""))"),"चिकन बिरयानी रेसिपी बनाने के लिए, हम सबसे पहले चावल की तैयारी करेंगे। बासमती चावल को अलग से पकाने के लिए, बासमती चावल को धोकर 20 मिनट के लिए पानी में भिगो दें।इस बीच एक बड़े बर्तन में लगभग 3 लीटर पानी डालें और इसे उबाल लें।जब पानी उबलने लगे तो इसमें लगभग "&amp;"1 चम्मच खाना पकाने का तेल और 1 चम्मच नमक डालें। भिगोए और पानी निकाला हुआ चावल डालें, धीरे से हिलाएं और लगभग 3 से 5 मिनट तक पकाएं (मैं आमतौर पर इसे 3-1/2 मिनट तक आंच से उतार लेता हूं)।चावल पर नज़र रखें क्योंकि बासमती चावल के कुछ ब्रांड बहुत तेजी से पकते है"&amp;"ं और कुछ को समय लगता है। मेरे चावल 5 मिनट में पक गए। तुरंत पानी निथार लें और चावल को एक बड़ी प्लेट में फैला दें।एक गहरे तले वाले पैन में, मध्यम आंच पर तेल गर्म करें इसका इस्तेमाल गार्निशिंग और परतें बनाने के लिए किया जाएगा। अगला कदम चिकन दम बिरयानी रेसिपी"&amp;" के लिए चिकन को मैरीनेट करना है। चिकन को अच्छी तरह से साफ करके धो लें। एक मिक्सिंग बाउल में चिकन को गाढ़े दही, लाल मिर्च पाउडर, हल्दी पाउडर और नमक के साथ मैरीनेट करें। कम से कम 30 मिनट के लिए मैरीनेट करें। एक बड़े पैन में तेल डालें और मध्यम आंच पर गर्म कर"&amp;"ें, बचे हुए कटे हुए प्याज डालें और 3 मिनट तक या प्याज के पारदर्शी होने तक भूनें। इसके बाद अदरक-लहसुन का पेस्ट डालें और कच्ची महक जाने तक भूनें। इसमें कटी हुई हरी मिर्च डालें और एक मिनट के लिए मिलाएँ। इसमें कटे हुए टमाटर डालें और टमाटर को हल्का गूदेदार होन"&amp;"े तक भूनें। टमाटर के गूदेदार हो जाने पर लाल मिर्च पाउडर, धनिया पाउडर और नमक डालें और इसे लगभग 2 मिनट तक भूनें एक बार चिकन पक जाए तो अगर उसमें ज्यादा पानी लगे तो आंच तेज कर दें और मसाला गाढ़ा करें। हमें सिर्फ चिकन को कोट करने के लिए मसाले की जरूरत है। एक ब"&amp;"ड़ा, चौड़ा, गहरा बर्तन लें, उसमें घी डालें और इसे पैन के नीचे और किनारे पर फैला दें, आंच को कम कर दें। लगभग 2 बड़े चम्मच गाढ़ा चिकन बिरयानी मसाला डालें और इसे नीचे फैला दें। इसके बाद, चिकन बिरयानी मसाले के ऊपर पका हुआ बासमती चावल डालें और चिकन को ढकने के "&amp;"लिए चावल को धीरे से फैला दें। एक चाय के चम्मच का उपयोग करें और मसाले से ऊपरी तैलीय परत को हटा दें और चावल के ऊपर छिड़क दें, इससे चावल में स्वाद आएगा और रंग भी आएगा। जब तक आप सभी चावल और चिकन का उपयोग नहीं कर लेते, तब तक परत लगाने की प्रक्रिया को दोहराएं। "&amp;"ऊपर से धनिया और पुदीने के पत्ते और भूरा प्याज छिड़कें और ढक्कन से बंद कर दें दम बिरयानी को 10 मिनट के लिए अलग रख दें जब तक कि सारा स्वाद उसमें समा न जाए। चिकन दम बिरयानी को पैन के किनारों से निकालें, ध्यान रखें कि चावल के दाने न टूटे। चिकन दम बिरयानी रेसि"&amp;"पी को मसालेदार प्याज, बुरानी रायता और मिर्ची का सालन रेसिपी (तीखी मसालेदार मूंगफली तिल की करी में मिर्च) के साथ रविवार दोपहर के भोजन के लिए परोसें।")</f>
        <v>चिकन बिरयानी रेसिपी बनाने के लिए, हम सबसे पहले चावल की तैयारी करेंगे। बासमती चावल को अलग से पकाने के लिए, बासमती चावल को धोकर 20 मिनट के लिए पानी में भिगो दें।इस बीच एक बड़े बर्तन में लगभग 3 लीटर पानी डालें और इसे उबाल लें।जब पानी उबलने लगे तो इसमें लगभग 1 चम्मच खाना पकाने का तेल और 1 चम्मच नमक डालें। भिगोए और पानी निकाला हुआ चावल डालें, धीरे से हिलाएं और लगभग 3 से 5 मिनट तक पकाएं (मैं आमतौर पर इसे 3-1/2 मिनट तक आंच से उतार लेता हूं)।चावल पर नज़र रखें क्योंकि बासमती चावल के कुछ ब्रांड बहुत तेजी से पकते हैं और कुछ को समय लगता है। मेरे चावल 5 मिनट में पक गए। तुरंत पानी निथार लें और चावल को एक बड़ी प्लेट में फैला दें।एक गहरे तले वाले पैन में, मध्यम आंच पर तेल गर्म करें इसका इस्तेमाल गार्निशिंग और परतें बनाने के लिए किया जाएगा। अगला कदम चिकन दम बिरयानी रेसिपी के लिए चिकन को मैरीनेट करना है। चिकन को अच्छी तरह से साफ करके धो लें। एक मिक्सिंग बाउल में चिकन को गाढ़े दही, लाल मिर्च पाउडर, हल्दी पाउडर और नमक के साथ मैरीनेट करें। कम से कम 30 मिनट के लिए मैरीनेट करें। एक बड़े पैन में तेल डालें और मध्यम आंच पर गर्म करें, बचे हुए कटे हुए प्याज डालें और 3 मिनट तक या प्याज के पारदर्शी होने तक भूनें। इसके बाद अदरक-लहसुन का पेस्ट डालें और कच्ची महक जाने तक भूनें। इसमें कटी हुई हरी मिर्च डालें और एक मिनट के लिए मिलाएँ। इसमें कटे हुए टमाटर डालें और टमाटर को हल्का गूदेदार होने तक भूनें। टमाटर के गूदेदार हो जाने पर लाल मिर्च पाउडर, धनिया पाउडर और नमक डालें और इसे लगभग 2 मिनट तक भूनें एक बार चिकन पक जाए तो अगर उसमें ज्यादा पानी लगे तो आंच तेज कर दें और मसाला गाढ़ा करें। हमें सिर्फ चिकन को कोट करने के लिए मसाले की जरूरत है। एक बड़ा, चौड़ा, गहरा बर्तन लें, उसमें घी डालें और इसे पैन के नीचे और किनारे पर फैला दें, आंच को कम कर दें। लगभग 2 बड़े चम्मच गाढ़ा चिकन बिरयानी मसाला डालें और इसे नीचे फैला दें। इसके बाद, चिकन बिरयानी मसाले के ऊपर पका हुआ बासमती चावल डालें और चिकन को ढकने के लिए चावल को धीरे से फैला दें। एक चाय के चम्मच का उपयोग करें और मसाले से ऊपरी तैलीय परत को हटा दें और चावल के ऊपर छिड़क दें, इससे चावल में स्वाद आएगा और रंग भी आएगा। जब तक आप सभी चावल और चिकन का उपयोग नहीं कर लेते, तब तक परत लगाने की प्रक्रिया को दोहराएं। ऊपर से धनिया और पुदीने के पत्ते और भूरा प्याज छिड़कें और ढक्कन से बंद कर दें दम बिरयानी को 10 मिनट के लिए अलग रख दें जब तक कि सारा स्वाद उसमें समा न जाए। चिकन दम बिरयानी को पैन के किनारों से निकालें, ध्यान रखें कि चावल के दाने न टूटे। चिकन दम बिरयानी रेसिपी को मसालेदार प्याज, बुरानी रायता और मिर्ची का सालन रेसिपी (तीखी मसालेदार मूंगफली तिल की करी में मिर्च) के साथ रविवार दोपहर के भोजन के लिए परोसें।</v>
      </c>
      <c r="J528" s="3" t="s">
        <v>33101</v>
      </c>
      <c r="L528" s="1" t="s">
        <v>31003</v>
      </c>
    </row>
    <row r="529" spans="1:12" ht="13.8">
      <c r="A529" s="1" t="s">
        <v>33102</v>
      </c>
      <c r="B529" s="1" t="str">
        <f ca="1">IFERROR(__xludf.dummyfunction("IF(A529="""", """", GOOGLETRANSLATE(A529, ""en"", ""hi""))"),"मटन दो प्याजा रेसिपी")</f>
        <v>मटन दो प्याजा रेसिपी</v>
      </c>
      <c r="C529" s="1" t="s">
        <v>429</v>
      </c>
      <c r="D529" s="1" t="s">
        <v>14382</v>
      </c>
      <c r="E529" s="1">
        <v>85</v>
      </c>
      <c r="F529" s="1" t="s">
        <v>33103</v>
      </c>
      <c r="G529" s="1" t="str">
        <f ca="1">IFERROR(__xludf.dummyfunction("IF(F529="""", """", GOOGLETRANSLATE(F529, ""en"", ""hi""))"),"450 ग्राम मटन - साफ करके छोटे टुकड़ों में कटा हुआ, 1 प्याज - पतले टुकड़ों में कटा हुआ, 1 बड़ा चम्मच अदरक लहसुन का पेस्ट, 1/2 छोटा चम्मच हल्दी पाउडर, 1/2 कप दही, 1 बड़ा चम्मच लाल मिर्च पाउडर - स्वादानुसार, 1 छोटा चम्मच जीरा, 1 छोटा चम्मच धनिया पाउडर, 1 बड़"&amp;"ा चम्मच गरम मसाला पाउडर, 2 हरी मिर्च - बारीक कटी हुई, 2 बड़े चम्मच एक्स्ट्रा वर्जिन जैतून का तेल, धनिया के पत्ते - थोड़े कटे हुए, नमक - स्वादानुसार, 1/2 छोटा चम्मच नींबू का रस, 1 बड़ा चम्मच एक्स्ट्रा वर्जिन जैतून का तेल, 1 प्याज - मोटे टुकड़ों में कटा हुआ"&amp;", 6 सूखी लाल मिर्च")</f>
        <v>450 ग्राम मटन - साफ करके छोटे टुकड़ों में कटा हुआ, 1 प्याज - पतले टुकड़ों में कटा हुआ, 1 बड़ा चम्मच अदरक लहसुन का पेस्ट, 1/2 छोटा चम्मच हल्दी पाउडर, 1/2 कप दही, 1 बड़ा चम्मच लाल मिर्च पाउडर - स्वादानुसार, 1 छोटा चम्मच जीरा, 1 छोटा चम्मच धनिया पाउडर, 1 बड़ा चम्मच गरम मसाला पाउडर, 2 हरी मिर्च - बारीक कटी हुई, 2 बड़े चम्मच एक्स्ट्रा वर्जिन जैतून का तेल, धनिया के पत्ते - थोड़े कटे हुए, नमक - स्वादानुसार, 1/2 छोटा चम्मच नींबू का रस, 1 बड़ा चम्मच एक्स्ट्रा वर्जिन जैतून का तेल, 1 प्याज - मोटे टुकड़ों में कटा हुआ, 6 सूखी लाल मिर्च</v>
      </c>
      <c r="H529" s="1" t="s">
        <v>33104</v>
      </c>
      <c r="I529" s="1" t="str">
        <f ca="1">IFERROR(__xludf.dummyfunction("IF(H529="""", """", GOOGLETRANSLATE(H529, ""en"", ""hi""))"),"मटन दो प्याजा रेसिपी तैयार करने के लिए सभी सामग्री तैयार रखें। एक सॉस पैन में मध्यम आंच पर एक बड़ा चम्मच तेल डालकर कटे हुए प्याज को भूरा होने तक लगभग 2-3 मिनट तक भूनें। भूनते समय थोड़ा नमक छिड़कने से खाना तेजी से पकने में मदद मिलती है। स्वाद बरकरार रखने क"&amp;"े लिए प्याज का भूरा होना जरूरी है। अदरक लहसुन का पेस्ट डालें। मिलाएँ। कच्ची महक के गायब होने तक मध्यम आंच पर लगभग 2-3 मिनट तक भूनें। हल्दी पाउडर, बकरे का मांस डालें और अच्छी तरह मिलाएँ। थोड़ा पानी डालें, ढककर मध्यम आंच पर 30 मिनट तक पकाएं। बीच-बीच में चेक"&amp;" करते रहें कि आवश्यकतानुसार और पानी डालें और भूनें। सूखे मसाले जैसे धनिया, जीरा पाउडर, लाल मिर्च पाउडर और दही डालें कुछ सेकंड के लिए भूनें जब तक कि वे भूरे न हो जाएं। फिर मोटे तौर पर कटा हुआ प्याज डालें। नरम और भूरा होने तक 2-3 मिनट तक भूनें। इसे मटन पर ड"&amp;"ालें। अच्छी तरह मिलाएँ। ढककर धीमी आँच पर 10 मिनट तक पकाएँ। आधे नींबू का रस निचोड़ें। मटन दो प्याजा को गरम रोटी, बटर नान या पके हुए चावल के साथ अपने प्रियजनों के साथ आनंद लेने के लिए एक बढ़िया रविवार का भोजन बनाएँ।")</f>
        <v>मटन दो प्याजा रेसिपी तैयार करने के लिए सभी सामग्री तैयार रखें। एक सॉस पैन में मध्यम आंच पर एक बड़ा चम्मच तेल डालकर कटे हुए प्याज को भूरा होने तक लगभग 2-3 मिनट तक भूनें। भूनते समय थोड़ा नमक छिड़कने से खाना तेजी से पकने में मदद मिलती है। स्वाद बरकरार रखने के लिए प्याज का भूरा होना जरूरी है। अदरक लहसुन का पेस्ट डालें। मिलाएँ। कच्ची महक के गायब होने तक मध्यम आंच पर लगभग 2-3 मिनट तक भूनें। हल्दी पाउडर, बकरे का मांस डालें और अच्छी तरह मिलाएँ। थोड़ा पानी डालें, ढककर मध्यम आंच पर 30 मिनट तक पकाएं। बीच-बीच में चेक करते रहें कि आवश्यकतानुसार और पानी डालें और भूनें। सूखे मसाले जैसे धनिया, जीरा पाउडर, लाल मिर्च पाउडर और दही डालें कुछ सेकंड के लिए भूनें जब तक कि वे भूरे न हो जाएं। फिर मोटे तौर पर कटा हुआ प्याज डालें। नरम और भूरा होने तक 2-3 मिनट तक भूनें। इसे मटन पर डालें। अच्छी तरह मिलाएँ। ढककर धीमी आँच पर 10 मिनट तक पकाएँ। आधे नींबू का रस निचोड़ें। मटन दो प्याजा को गरम रोटी, बटर नान या पके हुए चावल के साथ अपने प्रियजनों के साथ आनंद लेने के लिए एक बढ़िया रविवार का भोजन बनाएँ।</v>
      </c>
      <c r="J529" s="3" t="s">
        <v>33105</v>
      </c>
      <c r="L529" s="1" t="s">
        <v>31003</v>
      </c>
    </row>
    <row r="530" spans="1:12" ht="13.8">
      <c r="A530" s="1" t="s">
        <v>33106</v>
      </c>
      <c r="B530" s="1" t="str">
        <f ca="1">IFERROR(__xludf.dummyfunction("IF(A530="""", """", GOOGLETRANSLATE(A530, ""en"", ""hi""))"),"मटर बटर मसाला रेसिपी")</f>
        <v>मटर बटर मसाला रेसिपी</v>
      </c>
      <c r="C530" s="1" t="s">
        <v>145</v>
      </c>
      <c r="D530" s="1" t="s">
        <v>14198</v>
      </c>
      <c r="E530" s="1">
        <v>25</v>
      </c>
      <c r="F530" s="1" t="s">
        <v>33107</v>
      </c>
      <c r="G530" s="1" t="str">
        <f ca="1">IFERROR(__xludf.dummyfunction("IF(F530="""", """", GOOGLETRANSLATE(F530, ""en"", ""hi""))"),"2 कप हरी मटर, 2 टमाटर - प्यूरी किए हुए, 1 इंच अदरक, 4 लहसुन के दाने, 1 हरी मिर्च - कटी हुई, 12 काजू, 1 बड़ा चम्मच धनिया पाउडर, 3/4 छोटा चम्मच कश्मीरी लाल मिर्च पाउडर, 2 छोटे चम्मच कसूरी मेथी, 2 तेज पत्ता, 1 बड़ा चम्मच मक्खन, 1/2 छोटा चम्मच चीनी - वैकल्पिक"&amp;", नमक - स्वादानुसार")</f>
        <v>2 कप हरी मटर, 2 टमाटर - प्यूरी किए हुए, 1 इंच अदरक, 4 लहसुन के दाने, 1 हरी मिर्च - कटी हुई, 12 काजू, 1 बड़ा चम्मच धनिया पाउडर, 3/4 छोटा चम्मच कश्मीरी लाल मिर्च पाउडर, 2 छोटे चम्मच कसूरी मेथी, 2 तेज पत्ता, 1 बड़ा चम्मच मक्खन, 1/2 छोटा चम्मच चीनी - वैकल्पिक, नमक - स्वादानुसार</v>
      </c>
      <c r="H530" s="1" t="s">
        <v>33108</v>
      </c>
      <c r="I530" s="1" t="str">
        <f ca="1">IFERROR(__xludf.dummyfunction("IF(H530="""", """", GOOGLETRANSLATE(H530, ""en"", ""hi""))"),"मटर बटर मसाला रेसिपी बनाने के लिए, काजू को 20 मिनट के लिए गर्म पानी में भिगोएँ और फिर इसे मिक्सर ग्राइंडर का उपयोग करके एक चिकने पेस्ट में पीस लें और एक तरफ रख दें। इसी तरह टमाटर को प्यूरी करें और एक तरफ रख दें। मध्यम आंच पर एक पैन में मक्खन गरम करें, तेज"&amp;" पत्ता डालें और इसे मक्खन में अपना स्वाद छोड़ने दें। अब लहसुन और अदरक को एक मोर्टार और मूसल का उपयोग करके एक अर्ध-मोटे पेस्ट में पीस लें और इसे पैन में जोड़ें। कच्ची महक जाने तक 2 मिनट तक भूनें। टमाटर प्यूरी डालें, अच्छी तरह मिलाएँ और मिश्रण को कुछ मिनट त"&amp;"क पकने दें। धनिया पाउडर, गरम मसाला और कश्मीरी लाल मिर्च पाउडर और सॉस डालें जब तक कि तेल अलग न हो जाए। अब काजू का पेस्ट, हरी मिर्च डालें और 2 मिनट तक पकाएँ। अपनी ज़रूरत के हिसाब से पानी डालें, नमक, चीनी डालें और उबाल आने दें। अब हरी मटर डालें और ढक्कन बंद "&amp;"करके तब तक पकने दें जब तक कि हरी मटर अच्छी तरह पक न जाए। आंच बंद कर दें और कसूरी मेथी को हथेलियों के बीच हल्का सा मसल कर गार्निश करें। मटर बटर मसाला रेसिपी को पराठों या फुल्कों और हरी शकरकंद और हरी बीन्स के सलाद के साथ रात के खाने में परोसें।")</f>
        <v>मटर बटर मसाला रेसिपी बनाने के लिए, काजू को 20 मिनट के लिए गर्म पानी में भिगोएँ और फिर इसे मिक्सर ग्राइंडर का उपयोग करके एक चिकने पेस्ट में पीस लें और एक तरफ रख दें। इसी तरह टमाटर को प्यूरी करें और एक तरफ रख दें। मध्यम आंच पर एक पैन में मक्खन गरम करें, तेज पत्ता डालें और इसे मक्खन में अपना स्वाद छोड़ने दें। अब लहसुन और अदरक को एक मोर्टार और मूसल का उपयोग करके एक अर्ध-मोटे पेस्ट में पीस लें और इसे पैन में जोड़ें। कच्ची महक जाने तक 2 मिनट तक भूनें। टमाटर प्यूरी डालें, अच्छी तरह मिलाएँ और मिश्रण को कुछ मिनट तक पकने दें। धनिया पाउडर, गरम मसाला और कश्मीरी लाल मिर्च पाउडर और सॉस डालें जब तक कि तेल अलग न हो जाए। अब काजू का पेस्ट, हरी मिर्च डालें और 2 मिनट तक पकाएँ। अपनी ज़रूरत के हिसाब से पानी डालें, नमक, चीनी डालें और उबाल आने दें। अब हरी मटर डालें और ढक्कन बंद करके तब तक पकने दें जब तक कि हरी मटर अच्छी तरह पक न जाए। आंच बंद कर दें और कसूरी मेथी को हथेलियों के बीच हल्का सा मसल कर गार्निश करें। मटर बटर मसाला रेसिपी को पराठों या फुल्कों और हरी शकरकंद और हरी बीन्स के सलाद के साथ रात के खाने में परोसें।</v>
      </c>
      <c r="J530" s="3" t="s">
        <v>33109</v>
      </c>
      <c r="L530" s="1" t="s">
        <v>31003</v>
      </c>
    </row>
    <row r="531" spans="1:12" ht="13.8">
      <c r="A531" s="1" t="s">
        <v>33110</v>
      </c>
      <c r="B531" s="1" t="str">
        <f ca="1">IFERROR(__xludf.dummyfunction("IF(A531="""", """", GOOGLETRANSLATE(A531, ""en"", ""hi""))"),"पंजाबी मेथी कढ़ी रेसिपी")</f>
        <v>पंजाबी मेथी कढ़ी रेसिपी</v>
      </c>
      <c r="C531" s="1" t="s">
        <v>145</v>
      </c>
      <c r="D531" s="1" t="s">
        <v>14198</v>
      </c>
      <c r="E531" s="1">
        <v>40</v>
      </c>
      <c r="F531" s="1" t="s">
        <v>33111</v>
      </c>
      <c r="G531" s="1" t="str">
        <f ca="1">IFERROR(__xludf.dummyfunction("IF(F531="""", """", GOOGLETRANSLATE(F531, ""en"", ""hi""))"),"1 कप दही, 1/4 कप बेसन, 1/2 चम्मच हल्दी पाउडर, 1 चम्मच धनिया पाउडर, 1/4 चम्मच लाल मिर्च पाउडर, नमक - स्वादानुसार, 100 ग्राम मेथी - धोकर काट लें, 1 प्याज - पतला और सीधा काट लें, 1/4 चम्मच जीरा, 1/4 राई, 2 सूखी लाल मिर्च, 1-1/2 बड़ा चम्मच घी, 1-1/2 बड़ा चम्म"&amp;"च घी")</f>
        <v>1 कप दही, 1/4 कप बेसन, 1/2 चम्मच हल्दी पाउडर, 1 चम्मच धनिया पाउडर, 1/4 चम्मच लाल मिर्च पाउडर, नमक - स्वादानुसार, 100 ग्राम मेथी - धोकर काट लें, 1 प्याज - पतला और सीधा काट लें, 1/4 चम्मच जीरा, 1/4 राई, 2 सूखी लाल मिर्च, 1-1/2 बड़ा चम्मच घी, 1-1/2 बड़ा चम्मच घी</v>
      </c>
      <c r="H531" s="1" t="s">
        <v>33112</v>
      </c>
      <c r="I531" s="1" t="str">
        <f ca="1">IFERROR(__xludf.dummyfunction("IF(H531="""", """", GOOGLETRANSLATE(H531, ""en"", ""hi""))"),"पंजाबी मेथी कढ़ी रेसिपी बनाने के लिए सबसे पहले एक सॉस पैन में बेसन, दही, हल्दी पाउडर, धनिया पाउडर, लाल मिर्च पाउडर, नमक डालकर अच्छे से मिला लें। अब इसमें 2 कप पानी डालकर फेंट लें। ध्यान रखें कि इसमें गांठें न पड़ें। गैस चालू करें और मिश्रण को उबलने दें। क"&amp;"ढ़ी को बीच-बीच में चलाते रहें ताकि यह जले नहीं। कढ़ी में उबाल आने के बाद गैस की आंच धीमी कर दें और इसे 6 से 8 मिनट तक पकने दें। अब तड़के के लिए एक तड़का पैन में तेल गर्म करें। इसमें प्याज़ डालें और नरम होने तक पकाएँ। अब इसमें मेथी डालें और नरम होने तक पका"&amp;"एँ। गैस बंद कर दें। इस प्याज़ और मेथी के मिश्रण को कढ़ी में डालें, मिलाएँ और 5 से 7 मिनट तक पकाएँ। गैस बंद कर दें। अब तड़के के लिए एक तड़का पैन में घी गर्म करें। इसमें राई, जीरा डालें और चटकने तक पकाएँ। चटकने के बाद सूखी लाल मिर्च डालें और 30 सेकंड तक पका"&amp;"एँ। इस मसाले को कढ़ी में डालें, मिलाएँ और परोसें। दोपहर के भोजन के लिए भिंडी मसाला और फुल्के के साथ पंजाबी मेथी कढ़ी रेसिपी। """)</f>
        <v>पंजाबी मेथी कढ़ी रेसिपी बनाने के लिए सबसे पहले एक सॉस पैन में बेसन, दही, हल्दी पाउडर, धनिया पाउडर, लाल मिर्च पाउडर, नमक डालकर अच्छे से मिला लें। अब इसमें 2 कप पानी डालकर फेंट लें। ध्यान रखें कि इसमें गांठें न पड़ें। गैस चालू करें और मिश्रण को उबलने दें। कढ़ी को बीच-बीच में चलाते रहें ताकि यह जले नहीं। कढ़ी में उबाल आने के बाद गैस की आंच धीमी कर दें और इसे 6 से 8 मिनट तक पकने दें। अब तड़के के लिए एक तड़का पैन में तेल गर्म करें। इसमें प्याज़ डालें और नरम होने तक पकाएँ। अब इसमें मेथी डालें और नरम होने तक पकाएँ। गैस बंद कर दें। इस प्याज़ और मेथी के मिश्रण को कढ़ी में डालें, मिलाएँ और 5 से 7 मिनट तक पकाएँ। गैस बंद कर दें। अब तड़के के लिए एक तड़का पैन में घी गर्म करें। इसमें राई, जीरा डालें और चटकने तक पकाएँ। चटकने के बाद सूखी लाल मिर्च डालें और 30 सेकंड तक पकाएँ। इस मसाले को कढ़ी में डालें, मिलाएँ और परोसें। दोपहर के भोजन के लिए भिंडी मसाला और फुल्के के साथ पंजाबी मेथी कढ़ी रेसिपी। "</v>
      </c>
      <c r="J531" s="3" t="s">
        <v>33113</v>
      </c>
      <c r="L531" s="1" t="s">
        <v>31003</v>
      </c>
    </row>
    <row r="532" spans="1:12" ht="13.8">
      <c r="A532" s="1" t="s">
        <v>33114</v>
      </c>
      <c r="B532" s="1" t="str">
        <f ca="1">IFERROR(__xludf.dummyfunction("IF(A532="""", """", GOOGLETRANSLATE(A532, ""en"", ""hi""))"),"बादाम और बेसन लड्डू रेसिपी")</f>
        <v>बादाम और बेसन लड्डू रेसिपी</v>
      </c>
      <c r="C532" s="1" t="s">
        <v>8417</v>
      </c>
      <c r="D532" s="1" t="s">
        <v>14198</v>
      </c>
      <c r="E532" s="1">
        <v>70</v>
      </c>
      <c r="F532" s="1" t="s">
        <v>33115</v>
      </c>
      <c r="G532" s="1" t="str">
        <f ca="1">IFERROR(__xludf.dummyfunction("IF(F532="""", """", GOOGLETRANSLATE(F532, ""en"", ""hi""))"),"4 बड़े चम्मच बेसन, 2 छोटे चम्मच सूजी, 2 बड़े चम्मच बादाम, 5 बड़े चम्मच चीनी, 4 बड़े चम्मच घी, 1 छोटा चम्मच इलायची, 1 बड़ा चम्मच किशमिश, 1 बड़ा चम्मच सूखी गुलाब की पंखुड़ियां")</f>
        <v>4 बड़े चम्मच बेसन, 2 छोटे चम्मच सूजी, 2 बड़े चम्मच बादाम, 5 बड़े चम्मच चीनी, 4 बड़े चम्मच घी, 1 छोटा चम्मच इलायची, 1 बड़ा चम्मच किशमिश, 1 बड़ा चम्मच सूखी गुलाब की पंखुड़ियां</v>
      </c>
      <c r="H532" s="1" t="s">
        <v>33116</v>
      </c>
      <c r="I532" s="1" t="str">
        <f ca="1">IFERROR(__xludf.dummyfunction("IF(H532="""", """", GOOGLETRANSLATE(H532, ""en"", ""hi""))"),"बादाम और बेसन के लड्डू बनाने की विधि सबसे पहले एक कड़ाही या कड़ाही में घी पिघलाएँ, ध्यान रखें कि आँच धीमी हो। इसमें बेसन और सूजी डालें और लगभग 8-10 मिनट तक हिलाते रहें जब तक कि मिश्रण सुनहरा भूरा न हो जाए और उसमें बुलबुले न बनने लगें। इस प्रक्रिया के दौरा"&amp;"न आँच धीमी रखें और जलने से बचाने के लिए लगातार हिलाते रहें। मिश्रण में थोड़ा पानी डालें और अच्छी तरह मिलाएँ, इससे बेसन के लड्डू के मिश्रण की छोटी-छोटी गांठें बन जाएँगी। बंद करें और इलायची और किशमिश डालें। मिश्रण के ठंडा होने तक अच्छी तरह मिलाएँ। गर्म मिश्"&amp;"रण में इलायची डालने से इसकी खुशबू अच्छी तरह फैल जाएगी। मिश्रण को सामान्य स्थिति में पूरी तरह ठंडा होने दें। इसमें 30 मिनट या उससे ज़्यादा समय लगता है। आप मिश्रण को दूसरी कढ़ाई में डाल सकते हैं। इस बीच, कढ़ाई को फिर से धीमी आंच पर गर्म करें और बादाम को खुश"&amp;"बूदार और समान रूप से भुनने तक सूखा भून लें। एक बार बादाम थोड़ा ठंडा हो जाए तो उसे ग्राइंडर में सूखा पीसकर आटा बना लें। मिश्रण में चीनी और बादाम का आटा डालें और सुनिश्चित करें कि यह समान रूप से मिला हुआ है। अंत में आटे की बॉल्स बना लें, मिट्टी के स्पर्श के"&amp;" लिए कुछ गुलाब की पंखुड़ियाँ मिलाएँ और बादाम और बेसन के लड्डू खाने से पहले 10 मिनट के लिए चर्मपत्र पर रख दें। इन बादाम और बेसन के लड्डू को चाय के समय हल्दी वाले दूध की रेसिपी और बेक्ड पालक की मठरी या खारा बिस्किट रेसिपी के साथ परोसें।")</f>
        <v>बादाम और बेसन के लड्डू बनाने की विधि सबसे पहले एक कड़ाही या कड़ाही में घी पिघलाएँ, ध्यान रखें कि आँच धीमी हो। इसमें बेसन और सूजी डालें और लगभग 8-10 मिनट तक हिलाते रहें जब तक कि मिश्रण सुनहरा भूरा न हो जाए और उसमें बुलबुले न बनने लगें। इस प्रक्रिया के दौरान आँच धीमी रखें और जलने से बचाने के लिए लगातार हिलाते रहें। मिश्रण में थोड़ा पानी डालें और अच्छी तरह मिलाएँ, इससे बेसन के लड्डू के मिश्रण की छोटी-छोटी गांठें बन जाएँगी। बंद करें और इलायची और किशमिश डालें। मिश्रण के ठंडा होने तक अच्छी तरह मिलाएँ। गर्म मिश्रण में इलायची डालने से इसकी खुशबू अच्छी तरह फैल जाएगी। मिश्रण को सामान्य स्थिति में पूरी तरह ठंडा होने दें। इसमें 30 मिनट या उससे ज़्यादा समय लगता है। आप मिश्रण को दूसरी कढ़ाई में डाल सकते हैं। इस बीच, कढ़ाई को फिर से धीमी आंच पर गर्म करें और बादाम को खुशबूदार और समान रूप से भुनने तक सूखा भून लें। एक बार बादाम थोड़ा ठंडा हो जाए तो उसे ग्राइंडर में सूखा पीसकर आटा बना लें। मिश्रण में चीनी और बादाम का आटा डालें और सुनिश्चित करें कि यह समान रूप से मिला हुआ है। अंत में आटे की बॉल्स बना लें, मिट्टी के स्पर्श के लिए कुछ गुलाब की पंखुड़ियाँ मिलाएँ और बादाम और बेसन के लड्डू खाने से पहले 10 मिनट के लिए चर्मपत्र पर रख दें। इन बादाम और बेसन के लड्डू को चाय के समय हल्दी वाले दूध की रेसिपी और बेक्ड पालक की मठरी या खारा बिस्किट रेसिपी के साथ परोसें।</v>
      </c>
      <c r="J532" s="3" t="s">
        <v>33117</v>
      </c>
      <c r="L532" s="1" t="s">
        <v>31003</v>
      </c>
    </row>
    <row r="533" spans="1:12" ht="13.8">
      <c r="A533" s="1" t="s">
        <v>33118</v>
      </c>
      <c r="B533" s="1" t="str">
        <f ca="1">IFERROR(__xludf.dummyfunction("IF(A533="""", """", GOOGLETRANSLATE(A533, ""en"", ""hi""))"),"दाल शोरबा रेसिपी - भारतीय स्टाइल दाल सूप")</f>
        <v>दाल शोरबा रेसिपी - भारतीय स्टाइल दाल सूप</v>
      </c>
      <c r="C533" s="1" t="s">
        <v>14572</v>
      </c>
      <c r="D533" s="1" t="s">
        <v>14198</v>
      </c>
      <c r="E533" s="1">
        <v>25</v>
      </c>
      <c r="F533" s="1" t="s">
        <v>33119</v>
      </c>
      <c r="G533" s="1" t="str">
        <f ca="1">IFERROR(__xludf.dummyfunction("IF(F533="""", """", GOOGLETRANSLATE(F533, ""en"", ""hi""))"),"1/4 कप पीली मूंग दाल, 1 प्याज, 6 लहसुन के दाने, 1/2 छोटा चम्मच सूखा अदरक पाउडर, 1/4 छोटा चम्मच हल्दी पाउडर, 1/3 छोटा चम्मच लाल मिर्च पाउडर, 1/2 छोटा चम्मच काली मिर्च पाउडर, 1 छोटा चम्मच जीरा, 2 छोटे चम्मच नारियल का तेल, नमक - आवश्यकतानुसार, 2 कप पानी, 1 छ"&amp;"ोटा चम्मच नींबू का रस, धनिया पत्ती - गार्निश के लिए")</f>
        <v>1/4 कप पीली मूंग दाल, 1 प्याज, 6 लहसुन के दाने, 1/2 छोटा चम्मच सूखा अदरक पाउडर, 1/4 छोटा चम्मच हल्दी पाउडर, 1/3 छोटा चम्मच लाल मिर्च पाउडर, 1/2 छोटा चम्मच काली मिर्च पाउडर, 1 छोटा चम्मच जीरा, 2 छोटे चम्मच नारियल का तेल, नमक - आवश्यकतानुसार, 2 कप पानी, 1 छोटा चम्मच नींबू का रस, धनिया पत्ती - गार्निश के लिए</v>
      </c>
      <c r="H533" s="1" t="s">
        <v>33120</v>
      </c>
      <c r="I533" s="1" t="str">
        <f ca="1">IFERROR(__xludf.dummyfunction("IF(H533="""", """", GOOGLETRANSLATE(H533, ""en"", ""hi""))"),"दाल शोरबा (दाल का सूप) बनाने के लिए सबसे पहले हमें मूंग दाल को धोना होगा। इसके बाद मूंग दाल को 2 सीटी आने तक पका लें या पर्याप्त पानी डालकर तब तक उबालें जब तक कि यह नरम न हो जाए। प्रेशर को स्वाभाविक रूप से छोड़ दें। पक जाने के बाद दाल को अच्छे से मैश कर ल"&amp;"ें या हैंड ब्लेंडर से प्यूरी बना लें। एक तरफ रख दें। एक पैन में एक चम्मच तेल गर्म करें, उसमें बारीक कटा प्याज और लहसुन डालें। पारदर्शी होने तक भूनें। मसली हुई दाल को 2 कप पानी के साथ डालें। आवश्यक मात्रा में नमक, हल्दी पाउडर, अदरक पाउडर, काली मिर्च पाउडर "&amp;"और लाल मिर्च पाउडर डालें। अच्छी तरह मिलाएँ और आंच को 2-3 मिनट तक धीमी कर दें, बीच-बीच में इसे चलाते रहें और यह सुनिश्चित करें कि दाल नीचे से चिपक न रही हो। हो जाने के बाद, बंद कर दें और नींबू का रस डालें। अच्छी तरह मिलाएँ और एक तरफ रख दें। तड़का तैयार करन"&amp;"े के लिए आंच बंद कर दें। इस तड़के को दाल शोरबा पर डालें और कटी हुई धनिया पत्ती से सजाएँ। सूप को एक कटोरे में डालें और इसे क्रीम या कुचले हुए जीरे से सजाएँ। दाल शोरबा को सूप के रूप में परोसें और साथ में अचारी पनीर टिक्का जैसे स्टार्टर भी परोसें और रविवार क"&amp;"ो तवा पराठा और आलू बैंगन की सब्जी के साथ अपने उत्तर भारतीय स्टाइल लंच को पूरा करें।")</f>
        <v>दाल शोरबा (दाल का सूप) बनाने के लिए सबसे पहले हमें मूंग दाल को धोना होगा। इसके बाद मूंग दाल को 2 सीटी आने तक पका लें या पर्याप्त पानी डालकर तब तक उबालें जब तक कि यह नरम न हो जाए। प्रेशर को स्वाभाविक रूप से छोड़ दें। पक जाने के बाद दाल को अच्छे से मैश कर लें या हैंड ब्लेंडर से प्यूरी बना लें। एक तरफ रख दें। एक पैन में एक चम्मच तेल गर्म करें, उसमें बारीक कटा प्याज और लहसुन डालें। पारदर्शी होने तक भूनें। मसली हुई दाल को 2 कप पानी के साथ डालें। आवश्यक मात्रा में नमक, हल्दी पाउडर, अदरक पाउडर, काली मिर्च पाउडर और लाल मिर्च पाउडर डालें। अच्छी तरह मिलाएँ और आंच को 2-3 मिनट तक धीमी कर दें, बीच-बीच में इसे चलाते रहें और यह सुनिश्चित करें कि दाल नीचे से चिपक न रही हो। हो जाने के बाद, बंद कर दें और नींबू का रस डालें। अच्छी तरह मिलाएँ और एक तरफ रख दें। तड़का तैयार करने के लिए आंच बंद कर दें। इस तड़के को दाल शोरबा पर डालें और कटी हुई धनिया पत्ती से सजाएँ। सूप को एक कटोरे में डालें और इसे क्रीम या कुचले हुए जीरे से सजाएँ। दाल शोरबा को सूप के रूप में परोसें और साथ में अचारी पनीर टिक्का जैसे स्टार्टर भी परोसें और रविवार को तवा पराठा और आलू बैंगन की सब्जी के साथ अपने उत्तर भारतीय स्टाइल लंच को पूरा करें।</v>
      </c>
      <c r="J533" s="3" t="s">
        <v>33121</v>
      </c>
      <c r="L533" s="1" t="s">
        <v>31003</v>
      </c>
    </row>
    <row r="534" spans="1:12" ht="13.8">
      <c r="A534" s="1" t="s">
        <v>33122</v>
      </c>
      <c r="B534" s="1" t="str">
        <f ca="1">IFERROR(__xludf.dummyfunction("IF(A534="""", """", GOOGLETRANSLATE(A534, ""en"", ""hi""))"),"अरबी गोश्त मसाला रेसिपी - इलेक्ट्रिक प्रेशर कुकर में मटन अरबी करी")</f>
        <v>अरबी गोश्त मसाला रेसिपी - इलेक्ट्रिक प्रेशर कुकर में मटन अरबी करी</v>
      </c>
      <c r="C534" s="1" t="s">
        <v>429</v>
      </c>
      <c r="D534" s="1" t="s">
        <v>14382</v>
      </c>
      <c r="E534" s="1">
        <v>50</v>
      </c>
      <c r="F534" s="1" t="s">
        <v>33123</v>
      </c>
      <c r="G534" s="1" t="str">
        <f ca="1">IFERROR(__xludf.dummyfunction("IF(F534="""", """", GOOGLETRANSLATE(F534, ""en"", ""hi""))"),"300 ग्राम मटन, 6 अरबी - छीली हुई, 1 इंच दालचीनी, 10 काली मिर्च, 2 लौंग, 2 बड़ी इलायची, 1 प्याज - बारीक कटा हुआ, 1 इंच अदरक - बारीक कटा हुआ, 6 लहसुन - पेस्ट या बारीक कटा हुआ, 2 हरी मिर्च - कटी हुई, 3 टमाटर - प्यूरी, 2 चम्मच लाल मिर्च पाउडर, 2 चम्मच धनिया प"&amp;"ाउडर, 1 चम्मच हल्दी पाउडर, 1 चम्मच गरम मसाला पाउडर, धनिया पत्ते - एक छोटा टुकड़ा कटा हुआ, 2 चम्मच सरसों का तेल, नमक - स्वादानुसार")</f>
        <v>300 ग्राम मटन, 6 अरबी - छीली हुई, 1 इंच दालचीनी, 10 काली मिर्च, 2 लौंग, 2 बड़ी इलायची, 1 प्याज - बारीक कटा हुआ, 1 इंच अदरक - बारीक कटा हुआ, 6 लहसुन - पेस्ट या बारीक कटा हुआ, 2 हरी मिर्च - कटी हुई, 3 टमाटर - प्यूरी, 2 चम्मच लाल मिर्च पाउडर, 2 चम्मच धनिया पाउडर, 1 चम्मच हल्दी पाउडर, 1 चम्मच गरम मसाला पाउडर, धनिया पत्ते - एक छोटा टुकड़ा कटा हुआ, 2 चम्मच सरसों का तेल, नमक - स्वादानुसार</v>
      </c>
      <c r="H534" s="1" t="s">
        <v>33124</v>
      </c>
      <c r="I534" s="1" t="str">
        <f ca="1">IFERROR(__xludf.dummyfunction("IF(H534="""", """", GOOGLETRANSLATE(H534, ""en"", ""hi""))"),"इलेक्ट्रिक प्रेशर कुकर में अरबी गोश्त मसाला/मटन अरबी करी रेसिपी बनाने के लिए सबसे पहले सारी सामग्री तैयार कर लें। अरबी लें और उन्हें पीलर या चाकू से छील लें। छिलका हटाने के बाद पूरी अरबी पर चार चीरे लगाएँ और धोकर अलग रख दें। इलेक्ट्रिक प्रेशर कुकर का मोड "&amp;"बदलकर सॉते मोड पर रखें और पैन को 3 से 4 मिनट के लिए पहले से गरम कर लें। पैन गरम हो जाने पर उसमें सरसों का तेल, साबुत मसाले, अदरक, लहसुन, हरी मिर्च और कटा हुआ प्याज़ डालें और प्याज़ के सुनहरे भूरे होने तक भूनें। जब प्याज़ सुनहरे भूरे रंग के हो जाएँ तो उसमे"&amp;"ं धुले और कटे हुए मटन के टुकड़े, अरबी, धनिया पाउडर, हल्दी, लाल मिर्च पाउडर, गरम मसाला पाउडर और नमक डालें। मटन को मसाले में 3 से 4 मिनट तक भूनें और अंत में टमाटर प्यूरी, 1/4 कप पानी डालें और इसे हिलाएं। इलेक्ट्रिक प्रेशर कुकर को ढंक दें और मोड को चिकन मोड "&amp;"में बदल दें और मटन अरबी करी को तब तक पकने दें जब तक प्रेशर कुकर गर्म रखने के मोड में न चला जाए। लाल नोजल या प्रेशर इंडिकेटर को अपने आप नीचे जाने दें। इसमें लगभग 10 मिनट का समय लगेगा। एक बार हो जाने पर, इलेक्ट्रिक प्रेशर कुकर खोलें और नमक को स्वादानुसार जा"&amp;"ंचें और तदनुसार समायोजित करें। कटा हुआ हरा धनिया भी मिलाएँ। अरबी गोश्त मसाला / मटन अरबी करी को एक सर्विंग बाउल में डालें और गर्मागर्म परोसें। अरबी गोश्त मसाला / मटन अरबी करी को बटर गार्लिक नान रेसिपी, जीरा राइस, कचुंबर सलाद, मूली रायता के साथ परफेक्ट वीके"&amp;"ंड लंच या डिनर के लिए परोसें")</f>
        <v>इलेक्ट्रिक प्रेशर कुकर में अरबी गोश्त मसाला/मटन अरबी करी रेसिपी बनाने के लिए सबसे पहले सारी सामग्री तैयार कर लें। अरबी लें और उन्हें पीलर या चाकू से छील लें। छिलका हटाने के बाद पूरी अरबी पर चार चीरे लगाएँ और धोकर अलग रख दें। इलेक्ट्रिक प्रेशर कुकर का मोड बदलकर सॉते मोड पर रखें और पैन को 3 से 4 मिनट के लिए पहले से गरम कर लें। पैन गरम हो जाने पर उसमें सरसों का तेल, साबुत मसाले, अदरक, लहसुन, हरी मिर्च और कटा हुआ प्याज़ डालें और प्याज़ के सुनहरे भूरे होने तक भूनें। जब प्याज़ सुनहरे भूरे रंग के हो जाएँ तो उसमें धुले और कटे हुए मटन के टुकड़े, अरबी, धनिया पाउडर, हल्दी, लाल मिर्च पाउडर, गरम मसाला पाउडर और नमक डालें। मटन को मसाले में 3 से 4 मिनट तक भूनें और अंत में टमाटर प्यूरी, 1/4 कप पानी डालें और इसे हिलाएं। इलेक्ट्रिक प्रेशर कुकर को ढंक दें और मोड को चिकन मोड में बदल दें और मटन अरबी करी को तब तक पकने दें जब तक प्रेशर कुकर गर्म रखने के मोड में न चला जाए। लाल नोजल या प्रेशर इंडिकेटर को अपने आप नीचे जाने दें। इसमें लगभग 10 मिनट का समय लगेगा। एक बार हो जाने पर, इलेक्ट्रिक प्रेशर कुकर खोलें और नमक को स्वादानुसार जांचें और तदनुसार समायोजित करें। कटा हुआ हरा धनिया भी मिलाएँ। अरबी गोश्त मसाला / मटन अरबी करी को एक सर्विंग बाउल में डालें और गर्मागर्म परोसें। अरबी गोश्त मसाला / मटन अरबी करी को बटर गार्लिक नान रेसिपी, जीरा राइस, कचुंबर सलाद, मूली रायता के साथ परफेक्ट वीकेंड लंच या डिनर के लिए परोसें</v>
      </c>
      <c r="J534" s="3" t="s">
        <v>33125</v>
      </c>
      <c r="L534" s="1" t="s">
        <v>31003</v>
      </c>
    </row>
    <row r="535" spans="1:12" ht="13.8">
      <c r="A535" s="1" t="s">
        <v>33126</v>
      </c>
      <c r="B535" s="1" t="str">
        <f ca="1">IFERROR(__xludf.dummyfunction("IF(A535="""", """", GOOGLETRANSLATE(A535, ""en"", ""hi""))"),"पनीर शाशलिक रेसिपी")</f>
        <v>पनीर शाशलिक रेसिपी</v>
      </c>
      <c r="C535" s="1" t="s">
        <v>145</v>
      </c>
      <c r="D535" s="1" t="s">
        <v>14237</v>
      </c>
      <c r="E535" s="1">
        <v>80</v>
      </c>
      <c r="F535" s="1" t="s">
        <v>33127</v>
      </c>
      <c r="G535" s="1" t="str">
        <f ca="1">IFERROR(__xludf.dummyfunction("IF(F535="""", """", GOOGLETRANSLATE(F535, ""en"", ""hi""))"),"500 ग्राम पनीर - टुकड़ों में कटा हुआ, 1 हरी शिमला मिर्च - बड़े चौकोर टुकड़ों में कटी हुई, 1 पीली शिमला मिर्च - (वैकल्पिक), 1 प्याज - बड़े टुकड़ों में कटा हुआ, 2 टमाटर - गूदा निकालकर टुकड़ों में कटा हुआ, 1 बड़ा चम्मच धनिया - बारीक कटा हुआ, 1 चम्मच अनारदाना"&amp;" पाउडर, 100 मिली ताजा क्रीम, 1 चम्मच नींबू का रस, 100 ग्राम दही, 2 चम्मच सूरजमुखी तेल, 1/4 चम्मच काली मिर्च पाउडर, 1 चम्मच नमक, 1 चम्मच जीरा पाउडर, 1 चम्मच गरम मसाला पाउडर, 1 चम्मच चाट मसाला पाउडर, 1 बड़ा चम्मच लहसुन - पेस्ट, 1 बड़ा चम्मच अदरक - पेस्ट, 1 "&amp;"बड़ा चम्मच मकई का आटा, सूरजमुखी तेल - आवश्यकतानुसार, नींबू का रस - आवश्यकतानुसार, प्याज - छल्ले में कटा हुआ (गार्निश के लिए), गोभी (पत्ता गोभी) - बारीक कटी हुई गोभी गार्निश)")</f>
        <v>500 ग्राम पनीर - टुकड़ों में कटा हुआ, 1 हरी शिमला मिर्च - बड़े चौकोर टुकड़ों में कटी हुई, 1 पीली शिमला मिर्च - (वैकल्पिक), 1 प्याज - बड़े टुकड़ों में कटा हुआ, 2 टमाटर - गूदा निकालकर टुकड़ों में कटा हुआ, 1 बड़ा चम्मच धनिया - बारीक कटा हुआ, 1 चम्मच अनारदाना पाउडर, 100 मिली ताजा क्रीम, 1 चम्मच नींबू का रस, 100 ग्राम दही, 2 चम्मच सूरजमुखी तेल, 1/4 चम्मच काली मिर्च पाउडर, 1 चम्मच नमक, 1 चम्मच जीरा पाउडर, 1 चम्मच गरम मसाला पाउडर, 1 चम्मच चाट मसाला पाउडर, 1 बड़ा चम्मच लहसुन - पेस्ट, 1 बड़ा चम्मच अदरक - पेस्ट, 1 बड़ा चम्मच मकई का आटा, सूरजमुखी तेल - आवश्यकतानुसार, नींबू का रस - आवश्यकतानुसार, प्याज - छल्ले में कटा हुआ (गार्निश के लिए), गोभी (पत्ता गोभी) - बारीक कटी हुई गोभी गार्निश)</v>
      </c>
      <c r="H535" s="1" t="s">
        <v>33128</v>
      </c>
      <c r="I535" s="1" t="str">
        <f ca="1">IFERROR(__xludf.dummyfunction("IF(H535="""", """", GOOGLETRANSLATE(H535, ""en"", ""hi""))"),"पनीर शशलिक रेसिपी बनाने के लिए, हम सबसे पहले पनीर को मैरिनेड करेंगे। एक बड़े कांच के मिक्सिंग बाउल में “मैरिनेड के लिए” के तहत सूचीबद्ध सामग्री को एक साथ मिलाएँ और सभी मैरिनेड सामग्री को अच्छी तरह से मिलाएँ। मैरिनेड में पनीर, शिमला मिर्च, प्याज़, टमाटर और"&amp;" धनिया डालें। सुनिश्चित करें कि सब्ज़ियाँ और पनीर मैरिनेड से अच्छी तरह से लिपटे हुए हैं। फिर बाउल को क्लिंग रैप से ढक दें और 2 घंटे के लिए फ्रिज में रख दें। ओवन को 250 डिग्री सेल्सियस पर 10 मिनट के लिए पहले से गरम करें। और बांस की कटार को पानी के एक कटोरे"&amp;" में भिगोएँ। एक बार में एक बांस की कटार लें और उसमें बारी-बारी से मैरीनेट की गई सब्ज़ियाँ और पनीर डालें। कटार को वायर ग्रिल ट्रे पर रखें और इसे ओवन में सबसे ऊपर की रैक पर रखें। कटार से गिरने वाले किसी भी रस को इकट्ठा करने के लिए नीचे एक ड्रिप/क्रम्ब ट्रे "&amp;"रखें। ओवन को ब्रॉयल/रोस्ट/ग्रिल मोड पर सेट करें और कटार को तेल और नींबू के रस से सजाने से पहले 6-7 मिनट के लिए 250 डिग्री सेल्सियस पर ग्रिल होने दें। सुनिश्चित करें कि आप कटार को हर 2 मिनट में सावधानी से, दस्ताने का उपयोग करके पलट दें, जब तक कि वे सभी तरफ"&amp;" से समान रूप से पक न जाएं। एक बार समान रूप से पकने के बाद, ट्रे को ओवन से निकालें और कटार को धीरे से बाहर निकालें और परोसें। इस डिश को अपने परिवार या किसी पार्टी के लिए एक पौष्टिक डिनर के लिए फार्म फ्रेश वेजिटेरियन पास्ता सलाद और मेथी मटर पुलाव के साथ परो"&amp;"सें।")</f>
        <v>पनीर शशलिक रेसिपी बनाने के लिए, हम सबसे पहले पनीर को मैरिनेड करेंगे। एक बड़े कांच के मिक्सिंग बाउल में “मैरिनेड के लिए” के तहत सूचीबद्ध सामग्री को एक साथ मिलाएँ और सभी मैरिनेड सामग्री को अच्छी तरह से मिलाएँ। मैरिनेड में पनीर, शिमला मिर्च, प्याज़, टमाटर और धनिया डालें। सुनिश्चित करें कि सब्ज़ियाँ और पनीर मैरिनेड से अच्छी तरह से लिपटे हुए हैं। फिर बाउल को क्लिंग रैप से ढक दें और 2 घंटे के लिए फ्रिज में रख दें। ओवन को 250 डिग्री सेल्सियस पर 10 मिनट के लिए पहले से गरम करें। और बांस की कटार को पानी के एक कटोरे में भिगोएँ। एक बार में एक बांस की कटार लें और उसमें बारी-बारी से मैरीनेट की गई सब्ज़ियाँ और पनीर डालें। कटार को वायर ग्रिल ट्रे पर रखें और इसे ओवन में सबसे ऊपर की रैक पर रखें। कटार से गिरने वाले किसी भी रस को इकट्ठा करने के लिए नीचे एक ड्रिप/क्रम्ब ट्रे रखें। ओवन को ब्रॉयल/रोस्ट/ग्रिल मोड पर सेट करें और कटार को तेल और नींबू के रस से सजाने से पहले 6-7 मिनट के लिए 250 डिग्री सेल्सियस पर ग्रिल होने दें। सुनिश्चित करें कि आप कटार को हर 2 मिनट में सावधानी से, दस्ताने का उपयोग करके पलट दें, जब तक कि वे सभी तरफ से समान रूप से पक न जाएं। एक बार समान रूप से पकने के बाद, ट्रे को ओवन से निकालें और कटार को धीरे से बाहर निकालें और परोसें। इस डिश को अपने परिवार या किसी पार्टी के लिए एक पौष्टिक डिनर के लिए फार्म फ्रेश वेजिटेरियन पास्ता सलाद और मेथी मटर पुलाव के साथ परोसें।</v>
      </c>
      <c r="J535" s="3" t="s">
        <v>33129</v>
      </c>
      <c r="L535" s="1" t="s">
        <v>31003</v>
      </c>
    </row>
    <row r="536" spans="1:12" ht="13.8">
      <c r="A536" s="1" t="s">
        <v>32579</v>
      </c>
      <c r="B536" s="1" t="str">
        <f ca="1">IFERROR(__xludf.dummyfunction("IF(A536="""", """", GOOGLETRANSLATE(A536, ""en"", ""hi""))"),"हरी चटनी आलू चाट रेसिपी")</f>
        <v>हरी चटनी आलू चाट रेसिपी</v>
      </c>
      <c r="C536" s="1" t="s">
        <v>14281</v>
      </c>
      <c r="D536" s="1" t="s">
        <v>14198</v>
      </c>
      <c r="E536" s="1">
        <v>30</v>
      </c>
      <c r="F536" s="1" t="s">
        <v>33130</v>
      </c>
      <c r="G536" s="1" t="str">
        <f ca="1">IFERROR(__xludf.dummyfunction("IF(F536="""", """", GOOGLETRANSLATE(F536, ""en"", ""hi""))"),"4 आलू - उबले हुए, 1/2 कप धनिया पत्ती, 1/2 कप पुदीना पत्ती, 4 हरी मिर्च, 1/2 इंच अदरक - कटा हुआ, 1 नींबू - रस निचोड़ लें, 1 बड़ा चम्मच मूंगफली, चीनी - चुटकी भर, नमक - स्वादानुसार, 1 छोटा चम्मच जीरा, 1/2 छोटा चम्मच गरम मसाला पाउडर, 1/2 छोटा चम्मच जीरा पाउडर"&amp;", अनार - गार्निश के लिए, सेव - गार्निश के लिए, चाट मसाला पाउडर, तेल - उपयोगानुसार")</f>
        <v>4 आलू - उबले हुए, 1/2 कप धनिया पत्ती, 1/2 कप पुदीना पत्ती, 4 हरी मिर्च, 1/2 इंच अदरक - कटा हुआ, 1 नींबू - रस निचोड़ लें, 1 बड़ा चम्मच मूंगफली, चीनी - चुटकी भर, नमक - स्वादानुसार, 1 छोटा चम्मच जीरा, 1/2 छोटा चम्मच गरम मसाला पाउडर, 1/2 छोटा चम्मच जीरा पाउडर, अनार - गार्निश के लिए, सेव - गार्निश के लिए, चाट मसाला पाउडर, तेल - उपयोगानुसार</v>
      </c>
      <c r="H536" s="1" t="s">
        <v>33131</v>
      </c>
      <c r="I536" s="1" t="str">
        <f ca="1">IFERROR(__xludf.dummyfunction("IF(H536="""", """", GOOGLETRANSLATE(H536, ""en"", ""hi""))"),"""हरी चटनी आलू चाट रेसिपी बनाने के लिए सबसे पहले आलू को प्रेशर कुकर में आवश्यकतानुसार पानी के साथ डालकर कुकर को बंद कर दें। अब कुकर को गैस पर रखें और 3 सीटी आने तक पकाएं। 3 सीटी आने के बाद गैस बंद कर दें और प्रेशर अपने आप निकल जाने दें। कुकर खोलकर पानी नि"&amp;"काल दें और आलू को ठंडा होने दें। आलू के ठंडा होने के बाद उन्हें छीलकर काट लें और अलग रख दें। अब जब आलू ठंडा हो रहा है तो हम हरी चटनी बनाएंगे। हरी चटनी बनाने के लिए सबसे पहले मिक्सर ग्राइंडर में हरा धनिया, पुदीना, अदरक, हरी मिर्च, नमक, चीनी, नींबू का रस, म"&amp;"ूंगफली, थोड़ा पानी डालकर अच्छे से पीस लें। अब एक तरफ रख दें। अब एक पैन में तेल गर्म करें। उसमें जीरा डालें और उसे चटकने दें। जीरा चटकने के बाद आलू, नमक डालें और सुनहरा भूरा होने तक पकाएं। अब जीरा पाउडर, गरम मसाला पाउडर डालें और अच्छे से मिलाएँ। गैस बंद कर"&amp;" दें। आलू के ठंडा होने के बाद आलू में हरा धनिया डालें। चटनी डालें और सारी चीजें मिलाएँ। चाट मसाला डालें और मिलाएँ अब आलू को एक सर्विंग बाउल में डालें और अनार और सेव से सजाएँ। इस पर नींबू का रस डालें और मिलाएँ। हरी चटनी आलू चाट रेसिपी को मसाला सोडा शिकंजी "&amp;"या मसाला चाय के साथ शाम के नाश्ते के लिए परोसें।")</f>
        <v>"हरी चटनी आलू चाट रेसिपी बनाने के लिए सबसे पहले आलू को प्रेशर कुकर में आवश्यकतानुसार पानी के साथ डालकर कुकर को बंद कर दें। अब कुकर को गैस पर रखें और 3 सीटी आने तक पकाएं। 3 सीटी आने के बाद गैस बंद कर दें और प्रेशर अपने आप निकल जाने दें। कुकर खोलकर पानी निकाल दें और आलू को ठंडा होने दें। आलू के ठंडा होने के बाद उन्हें छीलकर काट लें और अलग रख दें। अब जब आलू ठंडा हो रहा है तो हम हरी चटनी बनाएंगे। हरी चटनी बनाने के लिए सबसे पहले मिक्सर ग्राइंडर में हरा धनिया, पुदीना, अदरक, हरी मिर्च, नमक, चीनी, नींबू का रस, मूंगफली, थोड़ा पानी डालकर अच्छे से पीस लें। अब एक तरफ रख दें। अब एक पैन में तेल गर्म करें। उसमें जीरा डालें और उसे चटकने दें। जीरा चटकने के बाद आलू, नमक डालें और सुनहरा भूरा होने तक पकाएं। अब जीरा पाउडर, गरम मसाला पाउडर डालें और अच्छे से मिलाएँ। गैस बंद कर दें। आलू के ठंडा होने के बाद आलू में हरा धनिया डालें। चटनी डालें और सारी चीजें मिलाएँ। चाट मसाला डालें और मिलाएँ अब आलू को एक सर्विंग बाउल में डालें और अनार और सेव से सजाएँ। इस पर नींबू का रस डालें और मिलाएँ। हरी चटनी आलू चाट रेसिपी को मसाला सोडा शिकंजी या मसाला चाय के साथ शाम के नाश्ते के लिए परोसें।</v>
      </c>
      <c r="J536" s="3" t="s">
        <v>33132</v>
      </c>
      <c r="L536" s="1" t="s">
        <v>31003</v>
      </c>
    </row>
    <row r="537" spans="1:12" ht="13.8">
      <c r="A537" s="1" t="s">
        <v>33133</v>
      </c>
      <c r="B537" s="1" t="str">
        <f ca="1">IFERROR(__xludf.dummyfunction("IF(A537="""", """", GOOGLETRANSLATE(A537, ""en"", ""hi""))"),"कोल्हापुरी मिसल पाव रेसिपी")</f>
        <v>कोल्हापुरी मिसल पाव रेसिपी</v>
      </c>
      <c r="C537" s="1" t="s">
        <v>14281</v>
      </c>
      <c r="D537" s="1" t="s">
        <v>14198</v>
      </c>
      <c r="E537" s="1">
        <v>150</v>
      </c>
      <c r="F537" s="1" t="s">
        <v>33134</v>
      </c>
      <c r="G537" s="1" t="str">
        <f ca="1">IFERROR(__xludf.dummyfunction("IF(F537="""", """", GOOGLETRANSLATE(F537, ""en"", ""hi""))"),"2 बड़े चम्मच धनिया के बीज, 2 बड़े चम्मच जीरा, 2 बड़े चम्मच सूखा नारियल (खोपरा) - कसा हुआ, 1 चम्मच साबुत काली मिर्च, 1/2 चम्मच सौंफ, 1 बड़ा चम्मच तिल, 1 कप अंकुरित फलियां, 1/2 चम्मच सरसों के बीज, 1/2 चम्मच जीरा, 1/4 चम्मच हींग, 1/2 चम्मच लाल मिर्च पाउडर, 2"&amp;" हरी मिर्च - कटी हुई, 5 करी पत्ते, नमक - स्वादानुसार, 2 बड़े चम्मच कोल्हापुरी मसाला, 1 बड़ा चम्मच कच्ची मूंगफली - भुनी हुई, 1 आलू - उबला हुआ, 1/2 चम्मच इमली का पेस्ट, सूरजमुखी का तेल - आवश्यकतानुसार, 2 प्याज - बारीक कटा हुआ, 1 टमाटर - बारीक कटा हुआ, 1 चुट"&amp;"की हींग, 1 चम्मच इमली का पेस्ट, 2 लहसुन के दाने, 1 चम्मच अदरक - बारीक कटा हुआ, 1 इंच दालचीनी (दालचीनी), 3 बड़े चम्मच सूरजमुखी तेल, 2 चम्मच कोल्हापुरी मसाला, 1 बड़ा चम्मच ताजा नारियल - कसा हुआ, 1/2 चम्मच जीरा (जीरा), 1/2 चम्मच हल्दी पाउडर (हल्दी), 1/2 चम्म"&amp;"च लाल मिर्च पाउडर, 1 प्याज - बारीक कटा हुआ, 1 टमाटर - बारीक कटा हुआ, 3 चम्मच कच्ची मूंगफली (मूंगफली) - तली हुई, 1/2 कप सेव")</f>
        <v>2 बड़े चम्मच धनिया के बीज, 2 बड़े चम्मच जीरा, 2 बड़े चम्मच सूखा नारियल (खोपरा) - कसा हुआ, 1 चम्मच साबुत काली मिर्च, 1/2 चम्मच सौंफ, 1 बड़ा चम्मच तिल, 1 कप अंकुरित फलियां, 1/2 चम्मच सरसों के बीज, 1/2 चम्मच जीरा, 1/4 चम्मच हींग, 1/2 चम्मच लाल मिर्च पाउडर, 2 हरी मिर्च - कटी हुई, 5 करी पत्ते, नमक - स्वादानुसार, 2 बड़े चम्मच कोल्हापुरी मसाला, 1 बड़ा चम्मच कच्ची मूंगफली - भुनी हुई, 1 आलू - उबला हुआ, 1/2 चम्मच इमली का पेस्ट, सूरजमुखी का तेल - आवश्यकतानुसार, 2 प्याज - बारीक कटा हुआ, 1 टमाटर - बारीक कटा हुआ, 1 चुटकी हींग, 1 चम्मच इमली का पेस्ट, 2 लहसुन के दाने, 1 चम्मच अदरक - बारीक कटा हुआ, 1 इंच दालचीनी (दालचीनी), 3 बड़े चम्मच सूरजमुखी तेल, 2 चम्मच कोल्हापुरी मसाला, 1 बड़ा चम्मच ताजा नारियल - कसा हुआ, 1/2 चम्मच जीरा (जीरा), 1/2 चम्मच हल्दी पाउडर (हल्दी), 1/2 चम्मच लाल मिर्च पाउडर, 1 प्याज - बारीक कटा हुआ, 1 टमाटर - बारीक कटा हुआ, 3 चम्मच कच्ची मूंगफली (मूंगफली) - तली हुई, 1/2 कप सेव</v>
      </c>
      <c r="H537" s="1" t="s">
        <v>33135</v>
      </c>
      <c r="I537" s="1" t="str">
        <f ca="1">IFERROR(__xludf.dummyfunction("IF(H537="""", """", GOOGLETRANSLATE(H537, ""en"", ""hi""))"),"कोल्हापुरी मिसल पाव बनाने के लिए सबसे पहले हमें कोल्हापुरी मसाला बनाना है, धनिया, जीरा, सूखा कसा हुआ नारियल, काली मिर्च, लौंग, सौंफ, तिल को सूखा भून लें। इन्हें थोड़ी देर ठंडा होने दें और बारीक पीस लें। अब उसल के लिए एक पैन में तेल डालें और जब यह गर्म हो "&amp;"जाए तो इसमें राई, जीरा डालें और जब यह फूटने लगे तो हींग और करी पत्ता डालें। अब इसमें प्याज़ डालें और जब प्याज़ सुनहरा हो जाए तो इसमें मूंगफली, अंकुरित मटकी, आलू, हरी मिर्च, हल्दी पाउडर, लाल मिर्च पाउडर, नमक और कोल्हापुरी मसाला डालें। अच्छी तरह मिलाएं और 5"&amp;"-6 कप पानी डालें और मध्यम आंच पर पकाएं। देखें कि स्प्राउट्स पक गए हैं और नरम हैं, जब सब कुछ पक जाए तो इमली का गूदा डालें और इसे 2 मिनट के लिए धीमी आंच पर रखें। रस्सा या कट (मसालेदार ग्रेवी) के लिए, एक पैन में तेल गरम करें और जीरा डालें और जब वे फूटने लगें"&amp;" तो दालचीनी, हींग, लहसुन, अदरक, कटा हुआ प्याज और कसा हुआ नारियल डालें। इसे तब तक भूनें जब तक प्याज पारदर्शी न हो जाए। टमाटर, लाल मिर्च पाउडर, कोल्हापुरी मसाला डालें और इसे 2 मिनट तक पकाएं। मिश्रण को पूरी तरह से ठंडा करें और एक मुलायम पेस्ट बना लें। अगर जर"&amp;"ूरत हो तो थोड़ा पानी डालें। एक अन्य पैन में तेल गरम करें; इसमें हल्दी पाउडर, कट पेस्ट, इमली का गूदा, नमक और 1 से 1 1/2 कप पानी डालें। अच्छी तरह से मिलाएं और इसे उबालें और 5 मिनट तक उबालें। अब कोल्हापुरी उसल पाव को परोसने के लिए, एक सर्विंग बाउल में ग्रेवी"&amp;" डालें और कुछ फरसाण और स्प्राउट्स डालें, अब ग्रेवी डालें और ऊपर से कटा हुआ प्याज, टमाटर, धनिया डालें और बचा लें। कोल्हापुरी उसल को मक्खन में टोस्ट किए हुए कुछ गर्म पाव के साथ बच्चों को स्कूल के बाद चाय के समय के स्वादिष्ट नाश्ते के रूप में परोसें।")</f>
        <v>कोल्हापुरी मिसल पाव बनाने के लिए सबसे पहले हमें कोल्हापुरी मसाला बनाना है, धनिया, जीरा, सूखा कसा हुआ नारियल, काली मिर्च, लौंग, सौंफ, तिल को सूखा भून लें। इन्हें थोड़ी देर ठंडा होने दें और बारीक पीस लें। अब उसल के लिए एक पैन में तेल डालें और जब यह गर्म हो जाए तो इसमें राई, जीरा डालें और जब यह फूटने लगे तो हींग और करी पत्ता डालें। अब इसमें प्याज़ डालें और जब प्याज़ सुनहरा हो जाए तो इसमें मूंगफली, अंकुरित मटकी, आलू, हरी मिर्च, हल्दी पाउडर, लाल मिर्च पाउडर, नमक और कोल्हापुरी मसाला डालें। अच्छी तरह मिलाएं और 5-6 कप पानी डालें और मध्यम आंच पर पकाएं। देखें कि स्प्राउट्स पक गए हैं और नरम हैं, जब सब कुछ पक जाए तो इमली का गूदा डालें और इसे 2 मिनट के लिए धीमी आंच पर रखें। रस्सा या कट (मसालेदार ग्रेवी) के लिए, एक पैन में तेल गरम करें और जीरा डालें और जब वे फूटने लगें तो दालचीनी, हींग, लहसुन, अदरक, कटा हुआ प्याज और कसा हुआ नारियल डालें। इसे तब तक भूनें जब तक प्याज पारदर्शी न हो जाए। टमाटर, लाल मिर्च पाउडर, कोल्हापुरी मसाला डालें और इसे 2 मिनट तक पकाएं। मिश्रण को पूरी तरह से ठंडा करें और एक मुलायम पेस्ट बना लें। अगर जरूरत हो तो थोड़ा पानी डालें। एक अन्य पैन में तेल गरम करें; इसमें हल्दी पाउडर, कट पेस्ट, इमली का गूदा, नमक और 1 से 1 1/2 कप पानी डालें। अच्छी तरह से मिलाएं और इसे उबालें और 5 मिनट तक उबालें। अब कोल्हापुरी उसल पाव को परोसने के लिए, एक सर्विंग बाउल में ग्रेवी डालें और कुछ फरसाण और स्प्राउट्स डालें, अब ग्रेवी डालें और ऊपर से कटा हुआ प्याज, टमाटर, धनिया डालें और बचा लें। कोल्हापुरी उसल को मक्खन में टोस्ट किए हुए कुछ गर्म पाव के साथ बच्चों को स्कूल के बाद चाय के समय के स्वादिष्ट नाश्ते के रूप में परोसें।</v>
      </c>
      <c r="J537" s="3" t="s">
        <v>33136</v>
      </c>
      <c r="L537" s="1" t="s">
        <v>31003</v>
      </c>
    </row>
    <row r="538" spans="1:12" ht="13.8">
      <c r="A538" s="1" t="s">
        <v>33137</v>
      </c>
      <c r="B538" s="1" t="str">
        <f ca="1">IFERROR(__xludf.dummyfunction("IF(A538="""", """", GOOGLETRANSLATE(A538, ""en"", ""hi""))"),"मटर बाजरा पुलाव रेसिपी - मटर पुलाव रेसिपी")</f>
        <v>मटर बाजरा पुलाव रेसिपी - मटर पुलाव रेसिपी</v>
      </c>
      <c r="C538" s="1" t="s">
        <v>145</v>
      </c>
      <c r="D538" s="1" t="s">
        <v>14198</v>
      </c>
      <c r="E538" s="1">
        <v>30</v>
      </c>
      <c r="F538" s="1" t="s">
        <v>33138</v>
      </c>
      <c r="G538" s="1" t="str">
        <f ca="1">IFERROR(__xludf.dummyfunction("IF(F538="""", """", GOOGLETRANSLATE(F538, ""en"", ""hi""))"),"1 कप बाजरा का आटा - 30 मिनट तक पानी में भिगोया हुआ, 1 कप हरी मटर, 2 इलायची, 1 इंच दालचीनी, 1 तेज पत्ता, 2 छोटे चम्मच जीरा, नमक - स्वादानुसार, घी - पकाने के लिए")</f>
        <v>1 कप बाजरा का आटा - 30 मिनट तक पानी में भिगोया हुआ, 1 कप हरी मटर, 2 इलायची, 1 इंच दालचीनी, 1 तेज पत्ता, 2 छोटे चम्मच जीरा, नमक - स्वादानुसार, घी - पकाने के लिए</v>
      </c>
      <c r="H538" s="1" t="s">
        <v>33139</v>
      </c>
      <c r="I538" s="1" t="str">
        <f ca="1">IFERROR(__xludf.dummyfunction("IF(H538="""", """", GOOGLETRANSLATE(H538, ""en"", ""hi""))"),"मटर बाजरा पुलाव रेसिपी (मटर पुलाव रेसिपी) बनाना शुरू करने के लिए, बाजरे को 1-1/2 कप पानी के साथ प्रेशर कुकर में लगभग 2 सीटी आने तक पकाएं जब तक कि वे पक न जाएं। एक भारी तले की कड़ाही में घी गर्म करें। घी गर्म हो जाने पर इसमें इलायची की फली, दालचीनी, तेज पत"&amp;"्ता, जीरा जैसे साबुत मसाले डालें और उन्हें फूटने दें। एक बार हो जाने पर, पका हुआ बाजरा डालें और सारी चीजों को अच्छी तरह मिला लें। एक मिनट बाद, नमक डालें, फिर से मिलाएँ और आँच बंद कर दें। इसके बाद, मटर को उबालने के लिए पर्याप्त पानी के साथ एक सॉस पैन गर्म "&amp;"करें। जब पानी उबलने लगे तो इसमें मटर डालें और 30 सेकंड तक पकाएं और पानी निथार लें। टॉस किए हुए बाजरे के ऊपर मटर छिड़कें, इसे हिलाएं और गर्मागर्म परोसें")</f>
        <v>मटर बाजरा पुलाव रेसिपी (मटर पुलाव रेसिपी) बनाना शुरू करने के लिए, बाजरे को 1-1/2 कप पानी के साथ प्रेशर कुकर में लगभग 2 सीटी आने तक पकाएं जब तक कि वे पक न जाएं। एक भारी तले की कड़ाही में घी गर्म करें। घी गर्म हो जाने पर इसमें इलायची की फली, दालचीनी, तेज पत्ता, जीरा जैसे साबुत मसाले डालें और उन्हें फूटने दें। एक बार हो जाने पर, पका हुआ बाजरा डालें और सारी चीजों को अच्छी तरह मिला लें। एक मिनट बाद, नमक डालें, फिर से मिलाएँ और आँच बंद कर दें। इसके बाद, मटर को उबालने के लिए पर्याप्त पानी के साथ एक सॉस पैन गर्म करें। जब पानी उबलने लगे तो इसमें मटर डालें और 30 सेकंड तक पकाएं और पानी निथार लें। टॉस किए हुए बाजरे के ऊपर मटर छिड़कें, इसे हिलाएं और गर्मागर्म परोसें</v>
      </c>
      <c r="J538" s="3" t="s">
        <v>33140</v>
      </c>
      <c r="L538" s="1" t="s">
        <v>31003</v>
      </c>
    </row>
    <row r="539" spans="1:12" ht="13.8">
      <c r="A539" s="1" t="s">
        <v>32000</v>
      </c>
      <c r="B539" s="1" t="str">
        <f ca="1">IFERROR(__xludf.dummyfunction("IF(A539="""", """", GOOGLETRANSLATE(A539, ""en"", ""hi""))"),"आसान क्रीमी चिकन करी रेसिपी")</f>
        <v>आसान क्रीमी चिकन करी रेसिपी</v>
      </c>
      <c r="C539" s="1" t="s">
        <v>145</v>
      </c>
      <c r="D539" s="1" t="s">
        <v>14382</v>
      </c>
      <c r="E539" s="1">
        <v>42</v>
      </c>
      <c r="F539" s="1" t="s">
        <v>33141</v>
      </c>
      <c r="G539" s="1" t="str">
        <f ca="1">IFERROR(__xludf.dummyfunction("IF(F539="""", """", GOOGLETRANSLATE(F539, ""en"", ""hi""))"),"500 ग्राम चिकन - हड्डियों के साथ, 2 कप दही (दही), 1 बड़ा चम्मच नींबू का रस, नमक - स्वादानुसार, 1 इंच अदरक - बारीक कटा हुआ, 8 लहसुन की कलियाँ - बारीक कटा हुआ, 1 छोटा चम्मच काली मिर्च पाउडर, 1 छोटा चम्मच कसूरी मेथी (सूखी मेथी के पत्ते), 1/2 कप ताजा क्रीम, 1"&amp;" बड़ा चम्मच सूरजमुखी का तेल")</f>
        <v>500 ग्राम चिकन - हड्डियों के साथ, 2 कप दही (दही), 1 बड़ा चम्मच नींबू का रस, नमक - स्वादानुसार, 1 इंच अदरक - बारीक कटा हुआ, 8 लहसुन की कलियाँ - बारीक कटा हुआ, 1 छोटा चम्मच काली मिर्च पाउडर, 1 छोटा चम्मच कसूरी मेथी (सूखी मेथी के पत्ते), 1/2 कप ताजा क्रीम, 1 बड़ा चम्मच सूरजमुखी का तेल</v>
      </c>
      <c r="H539" s="1" t="s">
        <v>33142</v>
      </c>
      <c r="I539" s="1" t="str">
        <f ca="1">IFERROR(__xludf.dummyfunction("IF(H539="""", """", GOOGLETRANSLATE(H539, ""en"", ""hi""))"),"आसान क्रीमी चिकन करी रेसिपी बनाने के लिए सबसे पहले हम चिकन को मैरीनेट करेंगे। एक कटोरे में नींबू का रस, नमक और दही डालें और अच्छी तरह मिलाएँ। चिकन के टुकड़े डालें, अच्छी तरह मिलाएँ ताकि चिकन अच्छी तरह से मैरीनेशन में लिपट जाए। हो जाने के बाद इसे एक घंटे क"&amp;"े लिए अलग रख दें। आप इसे रात भर भी रख सकते हैं। करी बनाने के लिए, एक भारी तले की कड़ाही में आवश्यक तेल गर्म करें। जब तेल थोड़ा गर्म हो जाए तो उसमें लहसुन, अदरक, थोड़ा पानी डालें और 3 से 4 मिनट तक पकने दें। इसके बाद, अतिरिक्त मैरिनेड को हिलाते हुए एक-एक कर"&amp;"के चिकन के टुकड़े डालें। चिकन को बिना हिलाए इसे एक तरफ से लगभग 5 मिनट तक तेज़ आँच पर पकाएँ ताकि यह थोड़ा भूरा हो जाए। यह कदम दिखने और स्वाद की गहराई में सुधार करेगा। चिकन के टुकड़ों को पलटें और बिना हिलाए 5 मिनट तक पकाते रहें अगर ज़रूरत हो तो और पानी डाले"&amp;"ं। चिकन पक जाने के बाद, क्रीम, काली मिर्च पाउडर और कसूरी मेथी डालें। सब कुछ मिलाएँ और क्रीमी चिकन करी को उबलने दें। जब यह उबलने लगे, तो आँच बंद कर दें और गरमागरम परोसें। आसान क्रीमी चिकन करी को तवा पराठा, टमाटर प्याज खीरा रायता और जीरा राइस के साथ अपने पर"&amp;"िवार के साथ रोज़ाना के खाने के लिए परोसें।")</f>
        <v>आसान क्रीमी चिकन करी रेसिपी बनाने के लिए सबसे पहले हम चिकन को मैरीनेट करेंगे। एक कटोरे में नींबू का रस, नमक और दही डालें और अच्छी तरह मिलाएँ। चिकन के टुकड़े डालें, अच्छी तरह मिलाएँ ताकि चिकन अच्छी तरह से मैरीनेशन में लिपट जाए। हो जाने के बाद इसे एक घंटे के लिए अलग रख दें। आप इसे रात भर भी रख सकते हैं। करी बनाने के लिए, एक भारी तले की कड़ाही में आवश्यक तेल गर्म करें। जब तेल थोड़ा गर्म हो जाए तो उसमें लहसुन, अदरक, थोड़ा पानी डालें और 3 से 4 मिनट तक पकने दें। इसके बाद, अतिरिक्त मैरिनेड को हिलाते हुए एक-एक करके चिकन के टुकड़े डालें। चिकन को बिना हिलाए इसे एक तरफ से लगभग 5 मिनट तक तेज़ आँच पर पकाएँ ताकि यह थोड़ा भूरा हो जाए। यह कदम दिखने और स्वाद की गहराई में सुधार करेगा। चिकन के टुकड़ों को पलटें और बिना हिलाए 5 मिनट तक पकाते रहें अगर ज़रूरत हो तो और पानी डालें। चिकन पक जाने के बाद, क्रीम, काली मिर्च पाउडर और कसूरी मेथी डालें। सब कुछ मिलाएँ और क्रीमी चिकन करी को उबलने दें। जब यह उबलने लगे, तो आँच बंद कर दें और गरमागरम परोसें। आसान क्रीमी चिकन करी को तवा पराठा, टमाटर प्याज खीरा रायता और जीरा राइस के साथ अपने परिवार के साथ रोज़ाना के खाने के लिए परोसें।</v>
      </c>
      <c r="J539" s="3" t="s">
        <v>33143</v>
      </c>
      <c r="L539" s="1" t="s">
        <v>31003</v>
      </c>
    </row>
    <row r="540" spans="1:12" ht="13.8">
      <c r="A540" s="1" t="s">
        <v>33144</v>
      </c>
      <c r="B540" s="1" t="str">
        <f ca="1">IFERROR(__xludf.dummyfunction("IF(A540="""", """", GOOGLETRANSLATE(A540, ""en"", ""hi""))"),"पुदीना दही चटनी रेसिपी")</f>
        <v>पुदीना दही चटनी रेसिपी</v>
      </c>
      <c r="C540" s="1" t="s">
        <v>14207</v>
      </c>
      <c r="D540" s="1" t="s">
        <v>14198</v>
      </c>
      <c r="E540" s="1">
        <v>15</v>
      </c>
      <c r="F540" s="1" t="s">
        <v>33145</v>
      </c>
      <c r="G540" s="1" t="str">
        <f ca="1">IFERROR(__xludf.dummyfunction("IF(F540="""", """", GOOGLETRANSLATE(F540, ""en"", ""hi""))"),"1 कप दही, 1 कप पुदीना - कटा हुआ, 1/2 कप धनिया पत्ता - कटा हुआ, 1 हरी मिर्च - कटी हुई, 1 इंच अदरक - कटा हुआ, नमक - स्वादानुसार, तेल")</f>
        <v>1 कप दही, 1 कप पुदीना - कटा हुआ, 1/2 कप धनिया पत्ता - कटा हुआ, 1 हरी मिर्च - कटी हुई, 1 इंच अदरक - कटा हुआ, नमक - स्वादानुसार, तेल</v>
      </c>
      <c r="H540" s="1" t="s">
        <v>33146</v>
      </c>
      <c r="I540" s="1" t="str">
        <f ca="1">IFERROR(__xludf.dummyfunction("IF(H540="""", """", GOOGLETRANSLATE(H540, ""en"", ""hi""))"),"""पुदीना दही चटनी रेसिपी बनाने के लिए सबसे पहले धनिया और पुदीने की पत्तियों को हरी मिर्च और अदरक के साथ मिक्सर ग्राइंडर में पीस लें। पीसते समय थोड़ा पानी डालें और पेस्ट बना लें। इस पेस्ट को दही में डालकर फेंट लें। स्वादानुसार नमक डालें और मिलाएँ। परोसें। "&amp;"पुदीना दही चटनी रेसिपी को दही कबाब, चिकन टिक्का या तंदूरी चिकन के साथ परोसें।""")</f>
        <v>"पुदीना दही चटनी रेसिपी बनाने के लिए सबसे पहले धनिया और पुदीने की पत्तियों को हरी मिर्च और अदरक के साथ मिक्सर ग्राइंडर में पीस लें। पीसते समय थोड़ा पानी डालें और पेस्ट बना लें। इस पेस्ट को दही में डालकर फेंट लें। स्वादानुसार नमक डालें और मिलाएँ। परोसें। पुदीना दही चटनी रेसिपी को दही कबाब, चिकन टिक्का या तंदूरी चिकन के साथ परोसें।"</v>
      </c>
      <c r="J540" s="3" t="s">
        <v>33147</v>
      </c>
      <c r="L540" s="1" t="s">
        <v>31003</v>
      </c>
    </row>
    <row r="541" spans="1:12" ht="13.8">
      <c r="A541" s="1" t="s">
        <v>33148</v>
      </c>
      <c r="B541" s="1" t="str">
        <f ca="1">IFERROR(__xludf.dummyfunction("IF(A541="""", """", GOOGLETRANSLATE(A541, ""en"", ""hi""))"),"काला चना मसाला रेसिपी")</f>
        <v>काला चना मसाला रेसिपी</v>
      </c>
      <c r="C541" s="1" t="s">
        <v>429</v>
      </c>
      <c r="D541" s="1" t="s">
        <v>14237</v>
      </c>
      <c r="E541" s="1">
        <v>155</v>
      </c>
      <c r="F541" s="1" t="s">
        <v>33149</v>
      </c>
      <c r="G541" s="1" t="str">
        <f ca="1">IFERROR(__xludf.dummyfunction("IF(F541="""", """", GOOGLETRANSLATE(F541, ""en"", ""hi""))"),"1 कप काला चना, 1 प्याज - बारीक कटा हुआ, 1 इंच अदरक - कसा हुआ, 2 लहसुन - मसला हुआ, 1 इंच दालचीनी, 1/4 कप घर का बना टमाटर प्यूरी, 1/2 चम्मच हल्दी, 1 चम्मच लाल मिर्च पाउडर, 1 चम्मच गरम मसाला पाउडर, 1 चम्मच धनिया पाउडर, 2 चम्मच फिगारो शुद्ध जैतून का तेल, नमक "&amp;"- स्वादानुसार, 4 टहनी धनिया - गार्निश के लिए मोटे तौर पर कटा हुआ")</f>
        <v>1 कप काला चना, 1 प्याज - बारीक कटा हुआ, 1 इंच अदरक - कसा हुआ, 2 लहसुन - मसला हुआ, 1 इंच दालचीनी, 1/4 कप घर का बना टमाटर प्यूरी, 1/2 चम्मच हल्दी, 1 चम्मच लाल मिर्च पाउडर, 1 चम्मच गरम मसाला पाउडर, 1 चम्मच धनिया पाउडर, 2 चम्मच फिगारो शुद्ध जैतून का तेल, नमक - स्वादानुसार, 4 टहनी धनिया - गार्निश के लिए मोटे तौर पर कटा हुआ</v>
      </c>
      <c r="H541" s="1" t="s">
        <v>33150</v>
      </c>
      <c r="I541" s="1" t="str">
        <f ca="1">IFERROR(__xludf.dummyfunction("IF(H541="""", """", GOOGLETRANSLATE(H541, ""en"", ""hi""))"),"काला चना मसाला बनाने के लिए सबसे पहले छोले को धोकर 6 घंटे या रात भर के लिए 2 कप पानी में भिगो दें। छोले को 2-1/2 कप पानी के साथ प्रेशर कुकर में डालें और 6 से 7 सीटी आने तक पकाएं, आंच धीमी कर दें और पकने तक 15 मिनट तक पकाएं। मध्यम आंच पर एक सॉस पैन में शुद"&amp;"्ध जैतून का तेल गर्म करें, उसमें कसा हुआ अदरक, प्याज और लहसुन डालें और कुछ सेकंड के लिए भूनें। टमाटर प्यूरी, हल्दी पाउडर, धनिया पाउडर, गरम मसाला, मिर्च पाउडर, नमक और पके हुए छोले डालकर चलाएं। मिलाने के लिए हिलाएं। मिश्रण को मध्यम आंच पर उबलने दें। जब मिश्"&amp;"रण उबलने लगे तो आंच धीमी कर दें पूरी/पराठे के साथ गरमागरम परोसें।")</f>
        <v>काला चना मसाला बनाने के लिए सबसे पहले छोले को धोकर 6 घंटे या रात भर के लिए 2 कप पानी में भिगो दें। छोले को 2-1/2 कप पानी के साथ प्रेशर कुकर में डालें और 6 से 7 सीटी आने तक पकाएं, आंच धीमी कर दें और पकने तक 15 मिनट तक पकाएं। मध्यम आंच पर एक सॉस पैन में शुद्ध जैतून का तेल गर्म करें, उसमें कसा हुआ अदरक, प्याज और लहसुन डालें और कुछ सेकंड के लिए भूनें। टमाटर प्यूरी, हल्दी पाउडर, धनिया पाउडर, गरम मसाला, मिर्च पाउडर, नमक और पके हुए छोले डालकर चलाएं। मिलाने के लिए हिलाएं। मिश्रण को मध्यम आंच पर उबलने दें। जब मिश्रण उबलने लगे तो आंच धीमी कर दें पूरी/पराठे के साथ गरमागरम परोसें।</v>
      </c>
      <c r="J541" s="3" t="s">
        <v>33151</v>
      </c>
      <c r="L541" s="1" t="s">
        <v>31003</v>
      </c>
    </row>
    <row r="542" spans="1:12" ht="13.8">
      <c r="A542" s="1" t="s">
        <v>33152</v>
      </c>
      <c r="B542" s="1" t="str">
        <f ca="1">IFERROR(__xludf.dummyfunction("IF(A542="""", """", GOOGLETRANSLATE(A542, ""en"", ""hi""))"),"मलाईदार दाल मखनी")</f>
        <v>मलाईदार दाल मखनी</v>
      </c>
      <c r="C542" s="1" t="s">
        <v>145</v>
      </c>
      <c r="D542" s="1" t="s">
        <v>14237</v>
      </c>
      <c r="E542" s="1">
        <v>65</v>
      </c>
      <c r="F542" s="1" t="s">
        <v>33153</v>
      </c>
      <c r="G542" s="1" t="str">
        <f ca="1">IFERROR(__xludf.dummyfunction("IF(F542="""", """", GOOGLETRANSLATE(F542, ""en"", ""hi""))"),"1 कप काली उड़द दाल, 1/2 कप राजमा, 3 बड़े चम्मच क्रीम, 4 बड़े चम्मच मक्खन, 1/2 छोटा चम्मच लाल मिर्च पाउडर, 1/2 छोटा चम्मच हल्दी पाउडर, 1/2 छोटा चम्मच जीरा, 4 कप पानी, 1 प्याज - बारीक कटा हुआ, 1/2 कप टमाटर प्यूरी, 1 छोटा चम्मच अदरक - कद्दूकस किया हुआ, 1 छोट"&amp;"ा चम्मच गरम मसाला पाउडर, 1/8 छोटा चम्मच हींग, 1 बड़ी इलायची, 2 लौंग, 2 हरी मिर्च - कटी हुई, 1 छोटा चम्मच धनिया पाउडर, नमक - स्वादानुसार")</f>
        <v>1 कप काली उड़द दाल, 1/2 कप राजमा, 3 बड़े चम्मच क्रीम, 4 बड़े चम्मच मक्खन, 1/2 छोटा चम्मच लाल मिर्च पाउडर, 1/2 छोटा चम्मच हल्दी पाउडर, 1/2 छोटा चम्मच जीरा, 4 कप पानी, 1 प्याज - बारीक कटा हुआ, 1/2 कप टमाटर प्यूरी, 1 छोटा चम्मच अदरक - कद्दूकस किया हुआ, 1 छोटा चम्मच गरम मसाला पाउडर, 1/8 छोटा चम्मच हींग, 1 बड़ी इलायची, 2 लौंग, 2 हरी मिर्च - कटी हुई, 1 छोटा चम्मच धनिया पाउडर, नमक - स्वादानुसार</v>
      </c>
      <c r="H542" s="1" t="s">
        <v>33154</v>
      </c>
      <c r="I542" s="1" t="str">
        <f ca="1">IFERROR(__xludf.dummyfunction("IF(H542="""", """", GOOGLETRANSLATE(H542, ""en"", ""hi""))"),"दाल मखनी बनाने के लिए दाल और राजमा को धो लें। धोने के बाद इन्हें 8 घंटे के लिए पानी में भिगो दें। पानी निथार लें और 5 से 6 बार और धो लें। अब प्रेशर कुकर में दाल, राजमा, हींग, हल्दी पाउडर, नमक, पानी, बड़ी इलायची और लौंग डालकर 2 से 3 सीटी आने तक पकाएं और फि"&amp;"र धीमी आंच पर 15 मिनट तक पकने दें। गैस बंद कर दें और प्रेशर निकलने दें। प्रेशर निकलने के बाद कुकर खोलकर अलग रख दें। अगर दाल और राजमा नहीं पके हैं तो 2 सीटी और आने दें। अब एक पैन में मक्खन गर्म करें। इसमें जीरा डालें और 10 सेकंड तक पकने दें। 10 सेकंड बाद प"&amp;"्याज डालें। प्याज के नरम होने तक पकाएं। प्याज के नरम होने के बाद इसमें टमाटर प्यूरी, हरी मिर्च और कद्दूकस किया हुआ अदरक डालें। 1 मिनट बाद इसमें लाल मिर्च पाउडर, धनिया पाउडर डालें और 2 मिनट तक पकाएं। 2 मिनट बाद इसमें दाल डालें और 15 मिनट तक पकने दें। 15 मि"&amp;"नट बाद इसमें गरम मसाला डालें मसाला, क्रीम और 1 बड़ा चम्मच मक्खन डालें। अगले 5 मिनट तक पकाएँ। 5 मिनट बाद गैस बंद कर दें और गरमागरम परोसें।""")</f>
        <v>दाल मखनी बनाने के लिए दाल और राजमा को धो लें। धोने के बाद इन्हें 8 घंटे के लिए पानी में भिगो दें। पानी निथार लें और 5 से 6 बार और धो लें। अब प्रेशर कुकर में दाल, राजमा, हींग, हल्दी पाउडर, नमक, पानी, बड़ी इलायची और लौंग डालकर 2 से 3 सीटी आने तक पकाएं और फिर धीमी आंच पर 15 मिनट तक पकने दें। गैस बंद कर दें और प्रेशर निकलने दें। प्रेशर निकलने के बाद कुकर खोलकर अलग रख दें। अगर दाल और राजमा नहीं पके हैं तो 2 सीटी और आने दें। अब एक पैन में मक्खन गर्म करें। इसमें जीरा डालें और 10 सेकंड तक पकने दें। 10 सेकंड बाद प्याज डालें। प्याज के नरम होने तक पकाएं। प्याज के नरम होने के बाद इसमें टमाटर प्यूरी, हरी मिर्च और कद्दूकस किया हुआ अदरक डालें। 1 मिनट बाद इसमें लाल मिर्च पाउडर, धनिया पाउडर डालें और 2 मिनट तक पकाएं। 2 मिनट बाद इसमें दाल डालें और 15 मिनट तक पकने दें। 15 मिनट बाद इसमें गरम मसाला डालें मसाला, क्रीम और 1 बड़ा चम्मच मक्खन डालें। अगले 5 मिनट तक पकाएँ। 5 मिनट बाद गैस बंद कर दें और गरमागरम परोसें।"</v>
      </c>
      <c r="J542" s="3" t="s">
        <v>33155</v>
      </c>
      <c r="L542" s="1" t="s">
        <v>31003</v>
      </c>
    </row>
    <row r="543" spans="1:12" ht="13.8">
      <c r="A543" s="1" t="s">
        <v>33156</v>
      </c>
      <c r="B543" s="1" t="str">
        <f ca="1">IFERROR(__xludf.dummyfunction("IF(A543="""", """", GOOGLETRANSLATE(A543, ""en"", ""hi""))"),"पनीर भरवां मशरूम मसाला रेसिपी")</f>
        <v>पनीर भरवां मशरूम मसाला रेसिपी</v>
      </c>
      <c r="C543" s="1" t="s">
        <v>14259</v>
      </c>
      <c r="D543" s="1" t="s">
        <v>14198</v>
      </c>
      <c r="E543" s="1">
        <v>45</v>
      </c>
      <c r="F543" s="1" t="s">
        <v>33157</v>
      </c>
      <c r="G543" s="1" t="str">
        <f ca="1">IFERROR(__xludf.dummyfunction("IF(F543="""", """", GOOGLETRANSLATE(F543, ""en"", ""hi""))"),"400 ग्राम बटन मशरूम - धोया और साफ किया हुआ, नमक - स्वादानुसार, 1 बड़ा चम्मच सूरजमुखी तेल, 100 ग्राम पनीर (घर का बना पनीर) - टुकड़े टुकड़े, नमक - स्वादानुसार, 1 चम्मच काली मिर्च पाउडर, 1 चम्मच गरम मसाला पाउडर, 1 चम्मच जीरा पाउडर (जीरा), 1/3 कप प्याज - बारी"&amp;"क कटा हुआ, 2 टहनी पुदीना - बारीक कटा हुआ, 1 चम्मच साबुत काली मिर्च, 4 सूखी लाल मिर्च, 1 चम्मच जीरा (जीरा), 1 चम्मच धनिया के बीज, 1 इलायची (इलायची) की फली / बीज, 2 लौंग (लौंग), 1 इंच दालचीनी छड़ी, 1 चक्र फूल, 1 बड़ा चम्मच सूरजमुखी तेल, 1/2 कप दूध, 1 कप घर "&amp;"का बना टमाटर प्यूरी, 6 लौंग लहसुन - बारीक कटा हुआ, 1 इंच अदरक - बारीक कटा हुआ, पानी - आवश्यकतानुसार, नमक - स्वादानुसार, 1/4 चम्मच हल्दी पाउडर (हल्दी), 1 टहनी धनिया (धनिया) पत्ते - गार्निश के लिए बारीक कटे हुए")</f>
        <v>400 ग्राम बटन मशरूम - धोया और साफ किया हुआ, नमक - स्वादानुसार, 1 बड़ा चम्मच सूरजमुखी तेल, 100 ग्राम पनीर (घर का बना पनीर) - टुकड़े टुकड़े, नमक - स्वादानुसार, 1 चम्मच काली मिर्च पाउडर, 1 चम्मच गरम मसाला पाउडर, 1 चम्मच जीरा पाउडर (जीरा), 1/3 कप प्याज - बारीक कटा हुआ, 2 टहनी पुदीना - बारीक कटा हुआ, 1 चम्मच साबुत काली मिर्च, 4 सूखी लाल मिर्च, 1 चम्मच जीरा (जीरा), 1 चम्मच धनिया के बीज, 1 इलायची (इलायची) की फली / बीज, 2 लौंग (लौंग), 1 इंच दालचीनी छड़ी, 1 चक्र फूल, 1 बड़ा चम्मच सूरजमुखी तेल, 1/2 कप दूध, 1 कप घर का बना टमाटर प्यूरी, 6 लौंग लहसुन - बारीक कटा हुआ, 1 इंच अदरक - बारीक कटा हुआ, पानी - आवश्यकतानुसार, नमक - स्वादानुसार, 1/4 चम्मच हल्दी पाउडर (हल्दी), 1 टहनी धनिया (धनिया) पत्ते - गार्निश के लिए बारीक कटे हुए</v>
      </c>
      <c r="H543" s="1" t="s">
        <v>33158</v>
      </c>
      <c r="I543" s="1" t="str">
        <f ca="1">IFERROR(__xludf.dummyfunction("IF(H543="""", """", GOOGLETRANSLATE(H543, ""en"", ""hi""))"),"पनीर स्टफ्ड मशरूम मसाला रेसिपी बनाने के लिए सबसे पहले हम भरवां मशरूम के लिए फिलिंग बनाएंगे। पनीर स्टफ्ड मशरूम मसाला के लिए पनीर फिलिंग बनाने के लिए एक मिक्सिंग बाउल में, टुकड़े किए हुए पनीर को नमक, काली मिर्च पाउडर, जीरा पाउडर, गरम मसाला पाउडर, प्याज और प"&amp;"ुदीने के पत्तों के साथ मिलाएं। अच्छी तरह मिलाएँ। पनीर स्टफ्ड मशरूम मसाला के लिए मशरूम में स्टफिंग करने के लिए मशरूम के अर्धवृत्ताकार आधार को बरकरार रखते हुए, मशरूम के तने को धीरे से हटा दें। एक कटोरे में, इन मशरूम को नमक और तेल के साथ टॉस करें। मशरूम में "&amp;"चेरी के आकार के छोटे पनीर फिलिंग बॉल्स भरें और ऊपर से चिकना करें। एक कड़ाही में तेल की कुछ बूँदें मध्यम-तेज़ आँच पर गर्म करें मशरूम पक जाने के बाद आंच बंद कर दें और उसे ठंडा होने दें। पनीर स्टफ्ड मशरूम मसाला रेसिपी के लिए टमाटर की ग्रेवी बनाने के लिए, एक "&amp;"कड़ाही को मध्यम आंच पर गर्म करें, इसमें साबुत मसाले - साबुत काली मिर्च, सूखी लाल मिर्च, जीरा, धनिया के बीज, इलायची, लौंग, दालचीनी और चक्र फूल डालकर 4-5 मिनट तक पकाएं जब तक कि सुगंध हवा में न फैल जाए। आंच बंद कर दें और साबुत मसालों को ठंडा होने दें। मिक्सर"&amp;" जार में डालें और दरदरा पीस लें। मध्यम आंच पर एक कढ़ाई गर्म करें, उसमें तेल डालें, तेल गर्म हो जाने पर उसमें अदरक, लहसुन डालें और लगभग एक मिनट तक भूनें। इस कढ़ाई में टमाटर की प्यूरी डालें और उबाल आने दें। एक बार जब यह तेज उबाल आ जाए तो आंच कम कर दें जब ग्"&amp;"रेवी उबल रही हो, तो पनीर से भरे मशरूम को टमाटर के बेस में धीरे से डालें और करी तैयार है। इसे चखें और नमक और मसालों को अपने हिसाब से एडजस्ट करें। आँच बंद करें और पनीर भरवां मशरूम मसाला रेसिपी को एक सर्विंग बाउल में डालें। पनीर भरवां मशरूम मसाला रेसिपी को प"&amp;"नीर लहसुन नान रेसिपी, पुदीना प्याज कचूमर सलाद रेसिपी - पुदीना और प्याज सलाद, काले नमक के साथ मसालेदार बूंदी रायता रेसिपी के साथ परोसें और उसके बाद पान मटका कुल्फी रेसिपी की मिठाई खाएँ।")</f>
        <v>पनीर स्टफ्ड मशरूम मसाला रेसिपी बनाने के लिए सबसे पहले हम भरवां मशरूम के लिए फिलिंग बनाएंगे। पनीर स्टफ्ड मशरूम मसाला के लिए पनीर फिलिंग बनाने के लिए एक मिक्सिंग बाउल में, टुकड़े किए हुए पनीर को नमक, काली मिर्च पाउडर, जीरा पाउडर, गरम मसाला पाउडर, प्याज और पुदीने के पत्तों के साथ मिलाएं। अच्छी तरह मिलाएँ। पनीर स्टफ्ड मशरूम मसाला के लिए मशरूम में स्टफिंग करने के लिए मशरूम के अर्धवृत्ताकार आधार को बरकरार रखते हुए, मशरूम के तने को धीरे से हटा दें। एक कटोरे में, इन मशरूम को नमक और तेल के साथ टॉस करें। मशरूम में चेरी के आकार के छोटे पनीर फिलिंग बॉल्स भरें और ऊपर से चिकना करें। एक कड़ाही में तेल की कुछ बूँदें मध्यम-तेज़ आँच पर गर्म करें मशरूम पक जाने के बाद आंच बंद कर दें और उसे ठंडा होने दें। पनीर स्टफ्ड मशरूम मसाला रेसिपी के लिए टमाटर की ग्रेवी बनाने के लिए, एक कड़ाही को मध्यम आंच पर गर्म करें, इसमें साबुत मसाले - साबुत काली मिर्च, सूखी लाल मिर्च, जीरा, धनिया के बीज, इलायची, लौंग, दालचीनी और चक्र फूल डालकर 4-5 मिनट तक पकाएं जब तक कि सुगंध हवा में न फैल जाए। आंच बंद कर दें और साबुत मसालों को ठंडा होने दें। मिक्सर जार में डालें और दरदरा पीस लें। मध्यम आंच पर एक कढ़ाई गर्म करें, उसमें तेल डालें, तेल गर्म हो जाने पर उसमें अदरक, लहसुन डालें और लगभग एक मिनट तक भूनें। इस कढ़ाई में टमाटर की प्यूरी डालें और उबाल आने दें। एक बार जब यह तेज उबाल आ जाए तो आंच कम कर दें जब ग्रेवी उबल रही हो, तो पनीर से भरे मशरूम को टमाटर के बेस में धीरे से डालें और करी तैयार है। इसे चखें और नमक और मसालों को अपने हिसाब से एडजस्ट करें। आँच बंद करें और पनीर भरवां मशरूम मसाला रेसिपी को एक सर्विंग बाउल में डालें। पनीर भरवां मशरूम मसाला रेसिपी को पनीर लहसुन नान रेसिपी, पुदीना प्याज कचूमर सलाद रेसिपी - पुदीना और प्याज सलाद, काले नमक के साथ मसालेदार बूंदी रायता रेसिपी के साथ परोसें और उसके बाद पान मटका कुल्फी रेसिपी की मिठाई खाएँ।</v>
      </c>
      <c r="J543" s="3" t="s">
        <v>33159</v>
      </c>
      <c r="L543" s="1" t="s">
        <v>31003</v>
      </c>
    </row>
    <row r="544" spans="1:12" ht="13.8">
      <c r="A544" s="1" t="s">
        <v>33160</v>
      </c>
      <c r="B544" s="1" t="str">
        <f ca="1">IFERROR(__xludf.dummyfunction("IF(A544="""", """", GOOGLETRANSLATE(A544, ""en"", ""hi""))"),"अंडा भुर्जी रेसिपी")</f>
        <v>अंडा भुर्जी रेसिपी</v>
      </c>
      <c r="C544" s="1" t="s">
        <v>16424</v>
      </c>
      <c r="D544" s="1" t="s">
        <v>15314</v>
      </c>
      <c r="E544" s="1">
        <v>30</v>
      </c>
      <c r="F544" s="1" t="s">
        <v>33161</v>
      </c>
      <c r="G544" s="1" t="str">
        <f ca="1">IFERROR(__xludf.dummyfunction("IF(F544="""", """", GOOGLETRANSLATE(F544, ""en"", ""hi""))"),"6 पूरे अंडे - फेंटे हुए, 2 बड़े चम्मच दूध - या नारियल का दूध, 2 चम्मच घी - या तेल, 2 प्याज - बारीक कटे हुए, 3 टमाटर - बारीक कटे हुए, 2 हरी मिर्च - बारीक कटी हुई, 1 चम्मच जीरा, धनिया पत्ती - बारीक कटी हुई, नमक - स्वादानुसार")</f>
        <v>6 पूरे अंडे - फेंटे हुए, 2 बड़े चम्मच दूध - या नारियल का दूध, 2 चम्मच घी - या तेल, 2 प्याज - बारीक कटे हुए, 3 टमाटर - बारीक कटे हुए, 2 हरी मिर्च - बारीक कटी हुई, 1 चम्मच जीरा, धनिया पत्ती - बारीक कटी हुई, नमक - स्वादानुसार</v>
      </c>
      <c r="H544" s="1" t="s">
        <v>33162</v>
      </c>
      <c r="I544" s="1" t="str">
        <f ca="1">IFERROR(__xludf.dummyfunction("IF(H544="""", """", GOOGLETRANSLATE(H544, ""en"", ""hi""))"),"अंडा भुर्जी रेसिपी - मसालेदार भारतीय स्टाइल तले हुए अंडे बनाने की विधि शुरू करने के लिए एक कटोरी में दूध और स्वादानुसार नमक के साथ अंडे को फेंटें जब तक कि यह हल्का और फूला हुआ न हो जाए और एक तरफ रख दें। एक पहले से गरम किए हुए पैन में घी, जीरा, प्याज़ और क"&amp;"टी हुई हरी मिर्च डालें और प्याज़ के हल्के से कैरमलाइज़ होने तक भूनें। हो जाने पर टमाटर डालकर चलाएँ और उन्हें नरम होने तक भूनें। जब टमाटर नरम हो जाएँ, तो फेंटे हुए अंडे डालें। आँच को कम कर दें और अंडे को तब तक हिलाते रहें जब तक कि यह फट न जाए। हल्के और फूल"&amp;"े हुए अंडे भुर्जी के लिए धीमी आँच पर पकाना ज़रूरी है। जब अंडा भुर्जी पक जाए, तो उसमें कटा हुआ हरा धनिया डालकर चलाएँ और आँच बंद कर दें। अंडा भुर्जी को एक सर्विंग प्लेट में डालें और गरमागरम परोसें। अंडे भुर्जी को नाश्ते में मक्खन लगे घर का बना गेहूं का पाव "&amp;"/ लड़ी पाव और घर का बना ताज़ा संतरे का जूस के साथ परोसें या फिर एक पौष्टिक और स्वादिष्ट लंच या डिनर के साथ तवा पराठा रेसिपी - सादा पराठा")</f>
        <v>अंडा भुर्जी रेसिपी - मसालेदार भारतीय स्टाइल तले हुए अंडे बनाने की विधि शुरू करने के लिए एक कटोरी में दूध और स्वादानुसार नमक के साथ अंडे को फेंटें जब तक कि यह हल्का और फूला हुआ न हो जाए और एक तरफ रख दें। एक पहले से गरम किए हुए पैन में घी, जीरा, प्याज़ और कटी हुई हरी मिर्च डालें और प्याज़ के हल्के से कैरमलाइज़ होने तक भूनें। हो जाने पर टमाटर डालकर चलाएँ और उन्हें नरम होने तक भूनें। जब टमाटर नरम हो जाएँ, तो फेंटे हुए अंडे डालें। आँच को कम कर दें और अंडे को तब तक हिलाते रहें जब तक कि यह फट न जाए। हल्के और फूले हुए अंडे भुर्जी के लिए धीमी आँच पर पकाना ज़रूरी है। जब अंडा भुर्जी पक जाए, तो उसमें कटा हुआ हरा धनिया डालकर चलाएँ और आँच बंद कर दें। अंडा भुर्जी को एक सर्विंग प्लेट में डालें और गरमागरम परोसें। अंडे भुर्जी को नाश्ते में मक्खन लगे घर का बना गेहूं का पाव / लड़ी पाव और घर का बना ताज़ा संतरे का जूस के साथ परोसें या फिर एक पौष्टिक और स्वादिष्ट लंच या डिनर के साथ तवा पराठा रेसिपी - सादा पराठा</v>
      </c>
      <c r="J544" s="3" t="s">
        <v>33163</v>
      </c>
      <c r="L544" s="1" t="s">
        <v>31003</v>
      </c>
    </row>
    <row r="545" spans="1:12" ht="409.6">
      <c r="A545" s="1" t="s">
        <v>33164</v>
      </c>
      <c r="B545" s="1" t="str">
        <f ca="1">IFERROR(__xludf.dummyfunction("IF(A545="""", """", GOOGLETRANSLATE(A545, ""en"", ""hi""))"),"सूरन कोफ्ता करी रेसिपी - रतालू कोफ्ता करी")</f>
        <v>सूरन कोफ्ता करी रेसिपी - रतालू कोफ्ता करी</v>
      </c>
      <c r="C545" s="1" t="s">
        <v>14259</v>
      </c>
      <c r="D545" s="1" t="s">
        <v>14208</v>
      </c>
      <c r="E545" s="1">
        <v>40</v>
      </c>
      <c r="F545" s="1" t="s">
        <v>33165</v>
      </c>
      <c r="G545" s="1" t="str">
        <f ca="1">IFERROR(__xludf.dummyfunction("IF(F545="""", """", GOOGLETRANSLATE(F545, ""en"", ""hi""))"),"2 कप हाथी रतालू (सूरन / सेनई / रतालू) - धोया हुआ, ¼ कप बेसन, 1 हरी मिर्च - बारीक कटी हुई, नमक - स्वादानुसार, 1 इंच अदरक - बारीक कटा हुआ, 3 टमाटर - बारीक कटा हुआ, 1 इंच अदरक - बारीक कटा हुआ, 1 हरी मिर्च - बारीक कटी हुई, ¼ कप पुदीना के पत्ते (धोए हुए), नमक "&amp;"- स्वादानुसार, 1 चम्मच गरम मसाला पाउडर, 2 चम्मच जीरा पाउडर (जीरा), 1 चुटकी चीनी")</f>
        <v>2 कप हाथी रतालू (सूरन / सेनई / रतालू) - धोया हुआ, ¼ कप बेसन, 1 हरी मिर्च - बारीक कटी हुई, नमक - स्वादानुसार, 1 इंच अदरक - बारीक कटा हुआ, 3 टमाटर - बारीक कटा हुआ, 1 इंच अदरक - बारीक कटा हुआ, 1 हरी मिर्च - बारीक कटी हुई, ¼ कप पुदीना के पत्ते (धोए हुए), नमक - स्वादानुसार, 1 चम्मच गरम मसाला पाउडर, 2 चम्मच जीरा पाउडर (जीरा), 1 चुटकी चीनी</v>
      </c>
      <c r="H545" s="4" t="s">
        <v>33166</v>
      </c>
      <c r="I545" s="1" t="str">
        <f ca="1">IFERROR(__xludf.dummyfunction("IF(H545="""", """", GOOGLETRANSLATE(H545, ""en"", ""hi""))"),"सूरन कोफ्ता करी रेसिपी बनाने के लिए सबसे पहले कोफ्ते की सारी सामग्री तैयार कर लें और एक तरफ रख दें। सबसे पहले हम सूरन कोफ्ते की करी बनाएँगे। सूरन कोफ्ते के लिए करी बेस एक मिक्सर जार में टमाटर, अदरक, हरी मिर्च और पुदीना के पत्तों को मिलाएँ और थोड़े पानी के"&amp;" साथ बारीक पीस लें। मध्यम आँच पर एक कढ़ाई गरम करें, उसमें जीरा डालें। जब जीरा चटकने लगे तो उसमें टमाटर प्यूरी डालें और टमाटर प्यूरी को कुछ मिनट तक चलाएँ। इसमें सूखे मसाले - जीरा पाउडर, गरम मसाला पाउडर, नमक और एक चुटकी चीनी डालें। टमाटर प्यूरी मसाला को उबा"&amp;"ल लें, आँच को कम कर दें और टमाटर कोफ्ता करी को 4 से 5 मिनट तक पकाएँ जब तक कि कच्चा स्वाद चला न जाए और पकने लगे। सूरन कोफ्ता करी रेसिपी की ग्रेवी तैयार है। सूरन कोफ्ता बनाने के लिए रतालू को धोकर छील लें, टुकड़ों में काट लें और एक तरफ रख दें। एक प्रेशर कुकर"&amp;" में कटे हुए रतालू, 1/4 कप पानी डालें और 4 सीटी आने तक प्रेशर कुक करें और आंच बंद कर दें। प्रेशर को अपने आप निकलने दें। कुकर खोलें, पानी निथार लें और रतालू/सूरन को एक मिक्सिंग बाउल में डालें और सूरन को आलू मैशर का उपयोग करके मुलायम मिश्रण में मैश कर लें। "&amp;"मसले हुए सूरन में बेसन, हरी मिर्च, अदरक और नमक डालें। सूरन कोफ्ता मिश्रण को एक साथ मिलाएं। नमक की जांच करें और स्वाद को तदनुसार समायोजित करें। कोफ्ता मिश्रण के छोटे-छोटे गोले बना लें। एक पनियारम पैन को आंच पर रखें। प्रत्येक गड्ढे में थोड़ा-थोड़ा तेल डालें"&amp;"। जब सूरन कोफ्ते सुनहरे भूरे रंग के हो जाएं और कुरकुरे दिखें तो समझिए कि वे पक गए हैं। कोफ्ते तैयार हैं। इन सूरन कोफ्तों को तैयार कोफ्ता करी में डालें और परोसने से पहले कम से कम 5 मिनट तक बैठने दें। सूरन कोफ्ता करी रेसिपी को तवा पराठा रेसिपी (सादा पराठा) "&amp;"और पापड़ रायता रेसिपी के साथ स्वादिष्ट शनिवार रात के खाने के लिए परोसें।")</f>
        <v>सूरन कोफ्ता करी रेसिपी बनाने के लिए सबसे पहले कोफ्ते की सारी सामग्री तैयार कर लें और एक तरफ रख दें। सबसे पहले हम सूरन कोफ्ते की करी बनाएँगे। सूरन कोफ्ते के लिए करी बेस एक मिक्सर जार में टमाटर, अदरक, हरी मिर्च और पुदीना के पत्तों को मिलाएँ और थोड़े पानी के साथ बारीक पीस लें। मध्यम आँच पर एक कढ़ाई गरम करें, उसमें जीरा डालें। जब जीरा चटकने लगे तो उसमें टमाटर प्यूरी डालें और टमाटर प्यूरी को कुछ मिनट तक चलाएँ। इसमें सूखे मसाले - जीरा पाउडर, गरम मसाला पाउडर, नमक और एक चुटकी चीनी डालें। टमाटर प्यूरी मसाला को उबाल लें, आँच को कम कर दें और टमाटर कोफ्ता करी को 4 से 5 मिनट तक पकाएँ जब तक कि कच्चा स्वाद चला न जाए और पकने लगे। सूरन कोफ्ता करी रेसिपी की ग्रेवी तैयार है। सूरन कोफ्ता बनाने के लिए रतालू को धोकर छील लें, टुकड़ों में काट लें और एक तरफ रख दें। एक प्रेशर कुकर में कटे हुए रतालू, 1/4 कप पानी डालें और 4 सीटी आने तक प्रेशर कुक करें और आंच बंद कर दें। प्रेशर को अपने आप निकलने दें। कुकर खोलें, पानी निथार लें और रतालू/सूरन को एक मिक्सिंग बाउल में डालें और सूरन को आलू मैशर का उपयोग करके मुलायम मिश्रण में मैश कर लें। मसले हुए सूरन में बेसन, हरी मिर्च, अदरक और नमक डालें। सूरन कोफ्ता मिश्रण को एक साथ मिलाएं। नमक की जांच करें और स्वाद को तदनुसार समायोजित करें। कोफ्ता मिश्रण के छोटे-छोटे गोले बना लें। एक पनियारम पैन को आंच पर रखें। प्रत्येक गड्ढे में थोड़ा-थोड़ा तेल डालें। जब सूरन कोफ्ते सुनहरे भूरे रंग के हो जाएं और कुरकुरे दिखें तो समझिए कि वे पक गए हैं। कोफ्ते तैयार हैं। इन सूरन कोफ्तों को तैयार कोफ्ता करी में डालें और परोसने से पहले कम से कम 5 मिनट तक बैठने दें। सूरन कोफ्ता करी रेसिपी को तवा पराठा रेसिपी (सादा पराठा) और पापड़ रायता रेसिपी के साथ स्वादिष्ट शनिवार रात के खाने के लिए परोसें।</v>
      </c>
      <c r="J545" s="3" t="s">
        <v>33167</v>
      </c>
      <c r="L545" s="1" t="s">
        <v>31003</v>
      </c>
    </row>
    <row r="546" spans="1:12" ht="13.8">
      <c r="A546" s="1" t="s">
        <v>33168</v>
      </c>
      <c r="B546" s="1" t="str">
        <f ca="1">IFERROR(__xludf.dummyfunction("IF(A546="""", """", GOOGLETRANSLATE(A546, ""en"", ""hi""))"),"चुकंदर और पालक निमकी रेसिपी (नमक पारा)")</f>
        <v>चुकंदर और पालक निमकी रेसिपी (नमक पारा)</v>
      </c>
      <c r="C546" s="1" t="s">
        <v>14281</v>
      </c>
      <c r="D546" s="1" t="s">
        <v>14198</v>
      </c>
      <c r="E546" s="1">
        <v>60</v>
      </c>
      <c r="F546" s="1" t="s">
        <v>33169</v>
      </c>
      <c r="G546" s="1" t="str">
        <f ca="1">IFERROR(__xludf.dummyfunction("IF(F546="""", """", GOOGLETRANSLATE(F546, ""en"", ""hi""))"),"2 कप मैदा, 1 चम्मच नमक, 1 चम्मच चाट मसाला पाउडर, 1 बड़ा चम्मच अजवाइन, 1 कप पालक के पत्ते - कटे हुए, 1 कप चुकंदर, सूरजमुखी का तेल - तलने के लिए")</f>
        <v>2 कप मैदा, 1 चम्मच नमक, 1 चम्मच चाट मसाला पाउडर, 1 बड़ा चम्मच अजवाइन, 1 कप पालक के पत्ते - कटे हुए, 1 कप चुकंदर, सूरजमुखी का तेल - तलने के लिए</v>
      </c>
      <c r="H546" s="1" t="s">
        <v>33170</v>
      </c>
      <c r="I546" s="1" t="str">
        <f ca="1">IFERROR(__xludf.dummyfunction("IF(H546="""", """", GOOGLETRANSLATE(H546, ""en"", ""hi""))"),"चुकंदर और पालक की निमकी रेसिपी बनाने के लिए सबसे पहले हम निमकी बनाने के लिए चुकंदर और पालक तैयार करेंगे। जूसर में चुकंदर को थोड़े पानी के साथ डालें और जूस निकाल लें। इसी तरह पालक को थोड़े पानी के साथ डालें और जूस निकाल लें। आप चाहें तो पालक को सीधे मिक्सर"&amp;" ग्राइंडर में पानी के साथ ब्लेंड कर सकते हैं और फिर एक छलनी का उपयोग करके जूस निकाल सकते हैं। जूस को एक तरफ रख दें। अगला कदम चुकंदर और पालक की निमकी का आटा बनाना है। फूड प्रोसेसर के मास्टर शेफ जार में 1 कप मैदा, अजवाइन, नमक डालें और सख्त आटा गूंथने के लिए"&amp;" एक बार में थोड़ा चुकंदर का रस डालें। इसी तरह पालक का आटा गूंथ लें। इसके बाद आटे को अच्छी तरह धूल लगी सतह पर लगभग 1/4 इंच मोटाई के बड़े गोले में बेल लें तेल गरम होने के बाद इसमें चुकंदर और पालक की निमकी डालें और उन्हें छोटे-छोटे बैचों में तब तक तलें जब तक"&amp;" वे कुरकुरे न हो जाएं। सुनिश्चित करें कि आप मध्यम आँच पर तलें, नहीं तो वे जल्दी भूरे हो जाएँगे और कुरकुरे नहीं बनेंगे। एक बार हो जाने के बाद चुकंदर और पालक की निमकी को कागज़ के तौलिये में निकाल लें। ठंडा होने के बाद उन्हें एयर टाइट कंटेनर में रखें और अपनी"&amp;" पसंद के अनुसार परोसें। चुकंदर और पालक की निमकी को शाम के नाश्ते के रूप में एक कप चाय या किसी पसंदीदा डिप के साथ परोसें।")</f>
        <v>चुकंदर और पालक की निमकी रेसिपी बनाने के लिए सबसे पहले हम निमकी बनाने के लिए चुकंदर और पालक तैयार करेंगे। जूसर में चुकंदर को थोड़े पानी के साथ डालें और जूस निकाल लें। इसी तरह पालक को थोड़े पानी के साथ डालें और जूस निकाल लें। आप चाहें तो पालक को सीधे मिक्सर ग्राइंडर में पानी के साथ ब्लेंड कर सकते हैं और फिर एक छलनी का उपयोग करके जूस निकाल सकते हैं। जूस को एक तरफ रख दें। अगला कदम चुकंदर और पालक की निमकी का आटा बनाना है। फूड प्रोसेसर के मास्टर शेफ जार में 1 कप मैदा, अजवाइन, नमक डालें और सख्त आटा गूंथने के लिए एक बार में थोड़ा चुकंदर का रस डालें। इसी तरह पालक का आटा गूंथ लें। इसके बाद आटे को अच्छी तरह धूल लगी सतह पर लगभग 1/4 इंच मोटाई के बड़े गोले में बेल लें तेल गरम होने के बाद इसमें चुकंदर और पालक की निमकी डालें और उन्हें छोटे-छोटे बैचों में तब तक तलें जब तक वे कुरकुरे न हो जाएं। सुनिश्चित करें कि आप मध्यम आँच पर तलें, नहीं तो वे जल्दी भूरे हो जाएँगे और कुरकुरे नहीं बनेंगे। एक बार हो जाने के बाद चुकंदर और पालक की निमकी को कागज़ के तौलिये में निकाल लें। ठंडा होने के बाद उन्हें एयर टाइट कंटेनर में रखें और अपनी पसंद के अनुसार परोसें। चुकंदर और पालक की निमकी को शाम के नाश्ते के रूप में एक कप चाय या किसी पसंदीदा डिप के साथ परोसें।</v>
      </c>
      <c r="J546" s="3" t="s">
        <v>33171</v>
      </c>
      <c r="L546" s="1" t="s">
        <v>31003</v>
      </c>
    </row>
    <row r="547" spans="1:12" ht="13.8">
      <c r="A547" s="1" t="s">
        <v>33172</v>
      </c>
      <c r="B547" s="1" t="str">
        <f ca="1">IFERROR(__xludf.dummyfunction("IF(A547="""", """", GOOGLETRANSLATE(A547, ""en"", ""hi""))"),"माश की दाल खासगी रेसिपी (ढाबा स्टाइल उड़द दाल)")</f>
        <v>माश की दाल खासगी रेसिपी (ढाबा स्टाइल उड़द दाल)</v>
      </c>
      <c r="C547" s="1" t="s">
        <v>145</v>
      </c>
      <c r="D547" s="1" t="s">
        <v>14237</v>
      </c>
      <c r="E547" s="1">
        <v>55</v>
      </c>
      <c r="F547" s="1" t="s">
        <v>33173</v>
      </c>
      <c r="G547" s="1" t="str">
        <f ca="1">IFERROR(__xludf.dummyfunction("IF(F547="""", """", GOOGLETRANSLATE(F547, ""en"", ""hi""))"),"1 कप सफेद उड़द दाल, 2 प्याज - पतले कटे हुए, 8 हरी मिर्च - (मसालों के अनुसार समायोजित करें), 6 लौंग, 2 इंच अदरक, 1 बड़ा चम्मच धनिया, 1/2 छोटा चम्मच हल्दी, नमक - स्वादानुसार, 2 बड़े चम्मच सूरजमुखी तेल, पानी - आवश्यकतानुसार, 1 बड़ा चम्मच सूरजमुखी तेल, 1 प्या"&amp;"ज - पतले कटे हुए, 1 छोटा चम्मच जीरा, 2 लहसुन के दाने - कटे हुए, अदरक - आवश्यकतानुसार")</f>
        <v>1 कप सफेद उड़द दाल, 2 प्याज - पतले कटे हुए, 8 हरी मिर्च - (मसालों के अनुसार समायोजित करें), 6 लौंग, 2 इंच अदरक, 1 बड़ा चम्मच धनिया, 1/2 छोटा चम्मच हल्दी, नमक - स्वादानुसार, 2 बड़े चम्मच सूरजमुखी तेल, पानी - आवश्यकतानुसार, 1 बड़ा चम्मच सूरजमुखी तेल, 1 प्याज - पतले कटे हुए, 1 छोटा चम्मच जीरा, 2 लहसुन के दाने - कटे हुए, अदरक - आवश्यकतानुसार</v>
      </c>
      <c r="H547" s="1" t="s">
        <v>33174</v>
      </c>
      <c r="I547" s="1" t="str">
        <f ca="1">IFERROR(__xludf.dummyfunction("IF(H547="""", """", GOOGLETRANSLATE(H547, ""en"", ""hi""))"),"माश की दाल खासगी रेसिपी बनाने के लिए, उड़द दाल को अच्छी तरह से धो लें, रात भर पर्याप्त पानी में भिगो दें। अगले दिन, दाल को अच्छी तरह से धो लें। एक गहरे तले वाले पैन में, 1 चम्मच तेल डालें और भिगोई हुई दाल को लगभग 3 मिनट तक भूनें। फिर पर्याप्त मात्रा में ग"&amp;"र्म और थोड़ा नमक डालें और दाल को नरम होने तक पकाएँ। हम चाहते हैं कि दाल पक्की और पकी हुई हो। अगर दाल में बहुत अधिक पानी है, तो अतिरिक्त पानी निकाल दें। आंच बंद कर दें और पकी हुई दाल को एक तरफ रख दें। अब एक मोर्टार और मूसल में अदरक-लहसुन-हरी मिर्च को अच्छी"&amp;" तरह से पीस लें। एक हांडी (या कड़ाही) में बचा हुआ तेल डालें। कटा हुआ प्याज डालें और प्याज के पारदर्शी होने तक पकाएँ। पिसा हुआ अदरक-लहसुन-हरी मिर्च का पेस्ट डालें और तब तक पकाएँ जब तक पेस्ट की कच्ची महक न चली जाए। मसाले पाउडर डालें, अच्छी तरह मिलाएँ। पकी ह"&amp;"ुई दाल डालें, इसे चलाएँ। मसाले की जाँच करें और आवश्यकतानुसार नमक डालें। एक और छोटे पैन में तेल गरम करें। जीरा डालें, इसे फूटने दें। फिर कटे हुए प्याज़ और लहसुन डालें, प्याज़ और लहसुन के भूरा होने तक भूनें। जब दाल मनचाही स्थिरता पर पहुँच जाए तो आँच बंद कर "&amp;"दें। दाल के ऊपर तड़का डालें। धनिया पत्ती और अदरक के छोटे-छोटे टुकड़ों से गार्निश करें। माश की दाल खासगी को गरम फुल्के और पालक रायता के साथ सप्ताह के दिनों में खाने के लिए परोसें।")</f>
        <v>माश की दाल खासगी रेसिपी बनाने के लिए, उड़द दाल को अच्छी तरह से धो लें, रात भर पर्याप्त पानी में भिगो दें। अगले दिन, दाल को अच्छी तरह से धो लें। एक गहरे तले वाले पैन में, 1 चम्मच तेल डालें और भिगोई हुई दाल को लगभग 3 मिनट तक भूनें। फिर पर्याप्त मात्रा में गर्म और थोड़ा नमक डालें और दाल को नरम होने तक पकाएँ। हम चाहते हैं कि दाल पक्की और पकी हुई हो। अगर दाल में बहुत अधिक पानी है, तो अतिरिक्त पानी निकाल दें। आंच बंद कर दें और पकी हुई दाल को एक तरफ रख दें। अब एक मोर्टार और मूसल में अदरक-लहसुन-हरी मिर्च को अच्छी तरह से पीस लें। एक हांडी (या कड़ाही) में बचा हुआ तेल डालें। कटा हुआ प्याज डालें और प्याज के पारदर्शी होने तक पकाएँ। पिसा हुआ अदरक-लहसुन-हरी मिर्च का पेस्ट डालें और तब तक पकाएँ जब तक पेस्ट की कच्ची महक न चली जाए। मसाले पाउडर डालें, अच्छी तरह मिलाएँ। पकी हुई दाल डालें, इसे चलाएँ। मसाले की जाँच करें और आवश्यकतानुसार नमक डालें। एक और छोटे पैन में तेल गरम करें। जीरा डालें, इसे फूटने दें। फिर कटे हुए प्याज़ और लहसुन डालें, प्याज़ और लहसुन के भूरा होने तक भूनें। जब दाल मनचाही स्थिरता पर पहुँच जाए तो आँच बंद कर दें। दाल के ऊपर तड़का डालें। धनिया पत्ती और अदरक के छोटे-छोटे टुकड़ों से गार्निश करें। माश की दाल खासगी को गरम फुल्के और पालक रायता के साथ सप्ताह के दिनों में खाने के लिए परोसें।</v>
      </c>
      <c r="J547" s="3" t="s">
        <v>33175</v>
      </c>
      <c r="L547" s="1" t="s">
        <v>31003</v>
      </c>
    </row>
    <row r="548" spans="1:12" ht="13.8">
      <c r="A548" s="1" t="s">
        <v>33176</v>
      </c>
      <c r="B548" s="1" t="str">
        <f ca="1">IFERROR(__xludf.dummyfunction("IF(A548="""", """", GOOGLETRANSLATE(A548, ""en"", ""hi""))"),"चुकंदर, गाजर और ककड़ी का सलाद मूंगफली के साथ रेसिपी")</f>
        <v>चुकंदर, गाजर और ककड़ी का सलाद मूंगफली के साथ रेसिपी</v>
      </c>
      <c r="C548" s="1" t="s">
        <v>14207</v>
      </c>
      <c r="D548" s="1" t="s">
        <v>14198</v>
      </c>
      <c r="E548" s="1">
        <v>30</v>
      </c>
      <c r="F548" s="1" t="s">
        <v>33177</v>
      </c>
      <c r="G548" s="1" t="str">
        <f ca="1">IFERROR(__xludf.dummyfunction("IF(F548="""", """", GOOGLETRANSLATE(F548, ""en"", ""hi""))"),"2 चुकंदर - कद्दूकस किया हुआ, 2 गाजर - कद्दूकस किया हुआ, 1 खीरा - बीज निकालकर कटा हुआ, 4 बड़े चम्मच भुनी हुई मूंगफली, 1 हरी मिर्च - कटी हुई, 4 टहनी धनिया - कटी हुई, 1 छोटा चम्मच नींबू का रस, 1 छोटा चम्मच काली मिर्च पाउडर, 1 छोटा चम्मच चाट मसाला पाउडर, नमक "&amp;"- स्वादानुसार")</f>
        <v>2 चुकंदर - कद्दूकस किया हुआ, 2 गाजर - कद्दूकस किया हुआ, 1 खीरा - बीज निकालकर कटा हुआ, 4 बड़े चम्मच भुनी हुई मूंगफली, 1 हरी मिर्च - कटी हुई, 4 टहनी धनिया - कटी हुई, 1 छोटा चम्मच नींबू का रस, 1 छोटा चम्मच काली मिर्च पाउडर, 1 छोटा चम्मच चाट मसाला पाउडर, नमक - स्वादानुसार</v>
      </c>
      <c r="H548" s="1" t="s">
        <v>33178</v>
      </c>
      <c r="I548" s="1" t="str">
        <f ca="1">IFERROR(__xludf.dummyfunction("IF(H548="""", """", GOOGLETRANSLATE(H548, ""en"", ""hi""))"),"चुकंदर, गाजर और खीरे का सलाद मूंगफली रेसिपी के साथ बनाने के लिए सबसे पहले हम सब्ज़ियों को कद्दूकस करके एक कटोरे में तैयार रखेंगे। एक मिक्सिंग बाउल में सभी सामग्री- चुकंदर, गाजर, खीरा, भुनी हुई मूंगफली, हरी मिर्च, धनिया पत्ती, नींबू का रस, काली मिर्च पाउडर"&amp;", चाट मसाला पाउडर, स्वादानुसार नमक डालकर अच्छी तरह मिलाएँ। मसाले की जाँच करें और अपने स्वाद के अनुसार समायोजित करें और परोसें। चुकंदर, गाजर और खीरे का सलाद मूंगफली रेसिपी के साथ साइड डिश के रूप में तहरी पुलाव और पालक रायता रेसिपी के साथ परोसें।")</f>
        <v>चुकंदर, गाजर और खीरे का सलाद मूंगफली रेसिपी के साथ बनाने के लिए सबसे पहले हम सब्ज़ियों को कद्दूकस करके एक कटोरे में तैयार रखेंगे। एक मिक्सिंग बाउल में सभी सामग्री- चुकंदर, गाजर, खीरा, भुनी हुई मूंगफली, हरी मिर्च, धनिया पत्ती, नींबू का रस, काली मिर्च पाउडर, चाट मसाला पाउडर, स्वादानुसार नमक डालकर अच्छी तरह मिलाएँ। मसाले की जाँच करें और अपने स्वाद के अनुसार समायोजित करें और परोसें। चुकंदर, गाजर और खीरे का सलाद मूंगफली रेसिपी के साथ साइड डिश के रूप में तहरी पुलाव और पालक रायता रेसिपी के साथ परोसें।</v>
      </c>
      <c r="J548" s="3" t="s">
        <v>33179</v>
      </c>
      <c r="L548" s="1" t="s">
        <v>31003</v>
      </c>
    </row>
    <row r="549" spans="1:12" ht="13.8">
      <c r="A549" s="1" t="s">
        <v>33180</v>
      </c>
      <c r="B549" s="1" t="str">
        <f ca="1">IFERROR(__xludf.dummyfunction("IF(A549="""", """", GOOGLETRANSLATE(A549, ""en"", ""hi""))"),"काजू बटर मसाला रेसिपी")</f>
        <v>काजू बटर मसाला रेसिपी</v>
      </c>
      <c r="C549" s="1" t="s">
        <v>145</v>
      </c>
      <c r="D549" s="1" t="s">
        <v>14198</v>
      </c>
      <c r="E549" s="1">
        <v>30</v>
      </c>
      <c r="F549" s="1" t="s">
        <v>33181</v>
      </c>
      <c r="G549" s="1" t="str">
        <f ca="1">IFERROR(__xludf.dummyfunction("IF(F549="""", """", GOOGLETRANSLATE(F549, ""en"", ""hi""))"),"1 कप साबुत काजू, 4 टमाटर, 1 बड़ा चम्मच अदरक लहसुन पेस्ट, 1 हरी मिर्च - कटी हुई, 1 चम्मच कश्मीरी लाल मिर्च पाउडर, 1 चम्मच गरम मसाला पाउडर, 1 तेज पत्ता, 1 चम्मच कसूरी मेथी - सजाने के लिए कुचली हुई, 3 बड़े चम्मच ताजा क्रीम, 1 बड़ा चम्मच मक्खन, नमक - स्वादानु"&amp;"सार")</f>
        <v>1 कप साबुत काजू, 4 टमाटर, 1 बड़ा चम्मच अदरक लहसुन पेस्ट, 1 हरी मिर्च - कटी हुई, 1 चम्मच कश्मीरी लाल मिर्च पाउडर, 1 चम्मच गरम मसाला पाउडर, 1 तेज पत्ता, 1 चम्मच कसूरी मेथी - सजाने के लिए कुचली हुई, 3 बड़े चम्मच ताजा क्रीम, 1 बड़ा चम्मच मक्खन, नमक - स्वादानुसार</v>
      </c>
      <c r="H549" s="1" t="s">
        <v>33182</v>
      </c>
      <c r="I549" s="1" t="str">
        <f ca="1">IFERROR(__xludf.dummyfunction("IF(H549="""", """", GOOGLETRANSLATE(H549, ""en"", ""hi""))"),"काजू बटर मसाला रेसिपी बनाने के लिए सबसे पहले टमाटर को धोकर पर्याप्त पानी में उबाल लें, ठंडा होने पर छिलका हटा दें और मिक्सर ग्राइंडर का उपयोग करके 8 काजू के साथ चिकना पेस्ट बना लें। एक तरफ रख दें। एक भारी तले की कड़ाही में मक्खन गर्म करें, उसमें साबूत काज"&amp;"ू डालें और सुनहरा होने तक तल लें और एक प्लेट में निकाल लें। आगे इस्तेमाल होने तक एक तरफ रख दें। उसी पैन में तेज पत्ता, अदरक लहसुन का पेस्ट डालें और एक मिनट के लिए भूनें। टमाटर काजू प्यूरी, हरी मिर्च डालें और 2 मिनट तक पकाएं। लाल मिर्च पाउडर, 2 कप पानी, नम"&amp;"क डालें और इसे 5 मिनट तक उबलने दें जब तक कि ग्रेवी गाढ़ी न हो जाए और एक साथ न आ जाए। तले हुए काजू, गरम मसाला पाउडर डालें 2 मिनट तक और उबालें और आँच बंद कर दें। कसूरी मेथी को अपनी हथेलियों के बीच हल्का सा मसल लें और इसे तैयार काजू बटर मसाला के ऊपर गार्निश "&amp;"के रूप में डालें। काजू बटर मसाला रेसिपी को बटर नान, तंदूरी आलू, सलाद के साथ स्वादिष्ट वीकेंड लंच के लिए परोसें।")</f>
        <v>काजू बटर मसाला रेसिपी बनाने के लिए सबसे पहले टमाटर को धोकर पर्याप्त पानी में उबाल लें, ठंडा होने पर छिलका हटा दें और मिक्सर ग्राइंडर का उपयोग करके 8 काजू के साथ चिकना पेस्ट बना लें। एक तरफ रख दें। एक भारी तले की कड़ाही में मक्खन गर्म करें, उसमें साबूत काजू डालें और सुनहरा होने तक तल लें और एक प्लेट में निकाल लें। आगे इस्तेमाल होने तक एक तरफ रख दें। उसी पैन में तेज पत्ता, अदरक लहसुन का पेस्ट डालें और एक मिनट के लिए भूनें। टमाटर काजू प्यूरी, हरी मिर्च डालें और 2 मिनट तक पकाएं। लाल मिर्च पाउडर, 2 कप पानी, नमक डालें और इसे 5 मिनट तक उबलने दें जब तक कि ग्रेवी गाढ़ी न हो जाए और एक साथ न आ जाए। तले हुए काजू, गरम मसाला पाउडर डालें 2 मिनट तक और उबालें और आँच बंद कर दें। कसूरी मेथी को अपनी हथेलियों के बीच हल्का सा मसल लें और इसे तैयार काजू बटर मसाला के ऊपर गार्निश के रूप में डालें। काजू बटर मसाला रेसिपी को बटर नान, तंदूरी आलू, सलाद के साथ स्वादिष्ट वीकेंड लंच के लिए परोसें।</v>
      </c>
      <c r="J549" s="3" t="s">
        <v>33183</v>
      </c>
      <c r="L549" s="1" t="s">
        <v>31003</v>
      </c>
    </row>
    <row r="550" spans="1:12" ht="13.8">
      <c r="A550" s="1" t="s">
        <v>33184</v>
      </c>
      <c r="B550" s="1" t="str">
        <f ca="1">IFERROR(__xludf.dummyfunction("IF(A550="""", """", GOOGLETRANSLATE(A550, ""en"", ""hi""))"),"आलू पत्ता गोभी की सब्जी रेसिपी - आलू पत्ता गोभी की सब्जी")</f>
        <v>आलू पत्ता गोभी की सब्जी रेसिपी - आलू पत्ता गोभी की सब्जी</v>
      </c>
      <c r="C550" s="1" t="s">
        <v>145</v>
      </c>
      <c r="D550" s="1" t="s">
        <v>14198</v>
      </c>
      <c r="E550" s="1">
        <v>20</v>
      </c>
      <c r="F550" s="1" t="s">
        <v>33185</v>
      </c>
      <c r="G550" s="1" t="str">
        <f ca="1">IFERROR(__xludf.dummyfunction("IF(F550="""", """", GOOGLETRANSLATE(F550, ""en"", ""hi""))"),"2 आलू, 2 कप पत्ता गोभी, 1 प्याज - कटा हुआ, 1/4 चम्मच हल्दी पाउडर, 1/2 चम्मच लाल मिर्च पाउडर, 1 चम्मच धनिया पाउडर, 1/2 इंच दालचीनी स्टिक (दालचीनी), 2 लौंग, 1 तेज पत्ता, 1/2 चम्मच सौंफ, 1 चम्मच जीरा (जीरा), नमक - स्वादानुसार, 1 चम्मच सूरजमुखी तेल, धनिया पत्"&amp;"ती - आवश्यकतानुसार")</f>
        <v>2 आलू, 2 कप पत्ता गोभी, 1 प्याज - कटा हुआ, 1/4 चम्मच हल्दी पाउडर, 1/2 चम्मच लाल मिर्च पाउडर, 1 चम्मच धनिया पाउडर, 1/2 इंच दालचीनी स्टिक (दालचीनी), 2 लौंग, 1 तेज पत्ता, 1/2 चम्मच सौंफ, 1 चम्मच जीरा (जीरा), नमक - स्वादानुसार, 1 चम्मच सूरजमुखी तेल, धनिया पत्ती - आवश्यकतानुसार</v>
      </c>
      <c r="H550" s="1" t="s">
        <v>33186</v>
      </c>
      <c r="I550" s="1" t="str">
        <f ca="1">IFERROR(__xludf.dummyfunction("IF(H550="""", """", GOOGLETRANSLATE(H550, ""en"", ""hi""))"),"आलू पत्ता गोभी सब्ज़ी रेसिपी बनाने के लिए सबसे पहले आलू और पत्तागोभी को धो लें। आलू को लम्बाई में काट लें और रंग बदलने से बचाने के लिए उन्हें पानी में डुबोकर रखें। एक भारी तले की कड़ाही में तेल गरम करें। तेल गरम होने पर उसमें दालचीनी, लौंग, तेज पत्ता, सौं"&amp;"फ और जीरा डालें। एक मिनट तक भूनें। कटा हुआ प्याज़ डालें और नरम और पारदर्शी होने तक भूनें। जब प्याज़ नरम और पारदर्शी हो जाए, तो उसमें कटी हुई पत्तागोभी, आलू डालें और एक मिनट तक भूनें। हल्दी पाउडर, लाल मिर्च पाउडर, धनिया पाउडर और आवश्यकतानुसार नमक डालें। अच"&amp;"्छी तरह से भूनें और आलू पत्ता गोभी की सब्जी पकाने के लिए 2 से 3 बड़े चम्मच पानी डालें। आलू पत्ता गोभी की सब्जी को चलाएँ, नमक की जाँच करें और मध्यम आँच पर ढककर तब तक पकाएँ जब तक कि सब्जी नरम न हो जाए। जब ​​आलू पत्ता गोभी की सब्जी अच्छी तरह से पक जाए, तो आँ"&amp;"च बंद कर दें, नमक और मसाले की जाँच करें और स्वादानुसार समायोजित करें। आलू पत्ता गोभी की सब्जी को धनिया पत्ती से गार्निश करें और गरमागरम परोसें। आलू पत्ता गोभी की सब्जी रेसिपी को पालक दाल, बूंदी रायता और फुल्का के साथ अपने भारतीय शाकाहारी डिनर के लिए परोसे"&amp;"ं।")</f>
        <v>आलू पत्ता गोभी सब्ज़ी रेसिपी बनाने के लिए सबसे पहले आलू और पत्तागोभी को धो लें। आलू को लम्बाई में काट लें और रंग बदलने से बचाने के लिए उन्हें पानी में डुबोकर रखें। एक भारी तले की कड़ाही में तेल गरम करें। तेल गरम होने पर उसमें दालचीनी, लौंग, तेज पत्ता, सौंफ और जीरा डालें। एक मिनट तक भूनें। कटा हुआ प्याज़ डालें और नरम और पारदर्शी होने तक भूनें। जब प्याज़ नरम और पारदर्शी हो जाए, तो उसमें कटी हुई पत्तागोभी, आलू डालें और एक मिनट तक भूनें। हल्दी पाउडर, लाल मिर्च पाउडर, धनिया पाउडर और आवश्यकतानुसार नमक डालें। अच्छी तरह से भूनें और आलू पत्ता गोभी की सब्जी पकाने के लिए 2 से 3 बड़े चम्मच पानी डालें। आलू पत्ता गोभी की सब्जी को चलाएँ, नमक की जाँच करें और मध्यम आँच पर ढककर तब तक पकाएँ जब तक कि सब्जी नरम न हो जाए। जब ​​आलू पत्ता गोभी की सब्जी अच्छी तरह से पक जाए, तो आँच बंद कर दें, नमक और मसाले की जाँच करें और स्वादानुसार समायोजित करें। आलू पत्ता गोभी की सब्जी को धनिया पत्ती से गार्निश करें और गरमागरम परोसें। आलू पत्ता गोभी की सब्जी रेसिपी को पालक दाल, बूंदी रायता और फुल्का के साथ अपने भारतीय शाकाहारी डिनर के लिए परोसें।</v>
      </c>
      <c r="J550" s="3" t="s">
        <v>33187</v>
      </c>
      <c r="L550" s="1" t="s">
        <v>31003</v>
      </c>
    </row>
    <row r="551" spans="1:12" ht="13.8">
      <c r="A551" s="1" t="s">
        <v>33188</v>
      </c>
      <c r="B551" s="1" t="str">
        <f ca="1">IFERROR(__xludf.dummyfunction("IF(A551="""", """", GOOGLETRANSLATE(A551, ""en"", ""hi""))"),"भरवां मटर और गोभी पराठा रेसिपी (हरी मटर और फूलगोभी की चपटी रोटी)")</f>
        <v>भरवां मटर और गोभी पराठा रेसिपी (हरी मटर और फूलगोभी की चपटी रोटी)</v>
      </c>
      <c r="C551" s="1" t="s">
        <v>16424</v>
      </c>
      <c r="D551" s="1" t="s">
        <v>14198</v>
      </c>
      <c r="E551" s="1">
        <v>30</v>
      </c>
      <c r="F551" s="1" t="s">
        <v>33189</v>
      </c>
      <c r="G551" s="1" t="str">
        <f ca="1">IFERROR(__xludf.dummyfunction("IF(F551="""", """", GOOGLETRANSLATE(F551, ""en"", ""hi""))"),"2 कप हरी मटर - छिली हुई, 1 कप फूलगोभी - कद्दूकस की हुई, 1 छोटा चम्मच जीरा, 3 लहसुन की कलियाँ, 2 कप गेहूं का आटा, नमक - स्वादानुसार, 1 छोटा चम्मच लाल मिर्च पाउडर, सूरजमुखी तेल - आवश्यकतानुसार, पानी - आवश्यकतानुसार")</f>
        <v>2 कप हरी मटर - छिली हुई, 1 कप फूलगोभी - कद्दूकस की हुई, 1 छोटा चम्मच जीरा, 3 लहसुन की कलियाँ, 2 कप गेहूं का आटा, नमक - स्वादानुसार, 1 छोटा चम्मच लाल मिर्च पाउडर, सूरजमुखी तेल - आवश्यकतानुसार, पानी - आवश्यकतानुसार</v>
      </c>
      <c r="H551" s="1" t="s">
        <v>33190</v>
      </c>
      <c r="I551" s="1" t="str">
        <f ca="1">IFERROR(__xludf.dummyfunction("IF(H551="""", """", GOOGLETRANSLATE(H551, ""en"", ""hi""))"),"मटर गोभी पराठा रेसिपी बनाने के लिए सबसे पहले हमें पराठों के लिए आटा तैयार करना होगा. गेहूं का आटा, पानी और 2 चम्मच तेल मिलाएं और इसे अच्छी तरह से गूंथ लें. आटा तैयार होने के बाद इसे गीले किचन टॉवल से ढककर रख दें. इसके बाद मटर लें और मिक्सी की मदद से गाढ़ा"&amp;" पेस्ट बना लें. अगर यह ज्यादा गाढ़ा हो जाए तो आप इसमें थोड़ा पानी मिला सकते हैं. फूलगोभी को अच्छी तरह धो लें और कद्दूकस कर लें. अब एक भारी तले की कड़ाही में तेल गर्म करें और उसमें जीरा डालें. जब जीरा चटकने लगे तो इसमें कटा हुआ लहसुन डालें. इसे कुछ सेकंड क"&amp;"े लिए पकने दें और फिर इसमें मसले हुए मटर, कद्दूकस की हुई फूलगोभी, लाल मिर्च पाउडर और नमक डालें. सारी चीजों को अच्छे से मिलाएं और धीमी आंच पर 10 से 15 मिनट तक पकाएं लेकिन ध्यान रखें कि यह जले नहीं. गोभी और मटर दोनों ही सूखी होनी चाहिए मटर और गोभी का मिश्रण"&amp;" तैयार हो जाने के बाद इसे थोड़ा ठंडा होने दें। मिश्रण के ठंडा हो जाने के बाद हम पराठे बनाएंगे। आटे से नींबू के आकार की एक लोई लें और उसे छोटी पूरी की तरह बेल लें। बीच में 1 बड़ा चम्मच मटर और गोभी का मिश्रण रखें और इसे चारों तरफ से ढक दें। इसे थपथपाएँ और फ"&amp;"िर से पराठा बनाने के लिए बेल लें। एक तवा गरम करें और उस पर पराठा डालें। चारों तरफ़ थोड़ा तेल छिड़कें और पराठे को तब तक पकाएँ जब तक कि यह दोनों तरफ़ से अच्छी तरह से पक न जाए। मटर गोभी के पराठे को हरी मिर्च के अचार और तड़का रायता के साथ सप्ताह के दिनों में "&amp;"नाश्ते के लिए परोसें।")</f>
        <v>मटर गोभी पराठा रेसिपी बनाने के लिए सबसे पहले हमें पराठों के लिए आटा तैयार करना होगा. गेहूं का आटा, पानी और 2 चम्मच तेल मिलाएं और इसे अच्छी तरह से गूंथ लें. आटा तैयार होने के बाद इसे गीले किचन टॉवल से ढककर रख दें. इसके बाद मटर लें और मिक्सी की मदद से गाढ़ा पेस्ट बना लें. अगर यह ज्यादा गाढ़ा हो जाए तो आप इसमें थोड़ा पानी मिला सकते हैं. फूलगोभी को अच्छी तरह धो लें और कद्दूकस कर लें. अब एक भारी तले की कड़ाही में तेल गर्म करें और उसमें जीरा डालें. जब जीरा चटकने लगे तो इसमें कटा हुआ लहसुन डालें. इसे कुछ सेकंड के लिए पकने दें और फिर इसमें मसले हुए मटर, कद्दूकस की हुई फूलगोभी, लाल मिर्च पाउडर और नमक डालें. सारी चीजों को अच्छे से मिलाएं और धीमी आंच पर 10 से 15 मिनट तक पकाएं लेकिन ध्यान रखें कि यह जले नहीं. गोभी और मटर दोनों ही सूखी होनी चाहिए मटर और गोभी का मिश्रण तैयार हो जाने के बाद इसे थोड़ा ठंडा होने दें। मिश्रण के ठंडा हो जाने के बाद हम पराठे बनाएंगे। आटे से नींबू के आकार की एक लोई लें और उसे छोटी पूरी की तरह बेल लें। बीच में 1 बड़ा चम्मच मटर और गोभी का मिश्रण रखें और इसे चारों तरफ से ढक दें। इसे थपथपाएँ और फिर से पराठा बनाने के लिए बेल लें। एक तवा गरम करें और उस पर पराठा डालें। चारों तरफ़ थोड़ा तेल छिड़कें और पराठे को तब तक पकाएँ जब तक कि यह दोनों तरफ़ से अच्छी तरह से पक न जाए। मटर गोभी के पराठे को हरी मिर्च के अचार और तड़का रायता के साथ सप्ताह के दिनों में नाश्ते के लिए परोसें।</v>
      </c>
      <c r="J551" s="3" t="s">
        <v>33191</v>
      </c>
      <c r="L551" s="1" t="s">
        <v>31003</v>
      </c>
    </row>
    <row r="552" spans="1:12" ht="13.8">
      <c r="A552" s="1" t="s">
        <v>33192</v>
      </c>
      <c r="B552" s="1" t="str">
        <f ca="1">IFERROR(__xludf.dummyfunction("IF(A552="""", """", GOOGLETRANSLATE(A552, ""en"", ""hi""))"),"अंडा भुर्जी")</f>
        <v>अंडा भुर्जी</v>
      </c>
      <c r="C552" s="1" t="s">
        <v>16424</v>
      </c>
      <c r="D552" s="1" t="s">
        <v>15314</v>
      </c>
      <c r="E552" s="1">
        <v>30</v>
      </c>
      <c r="F552" s="1" t="s">
        <v>33193</v>
      </c>
      <c r="G552" s="1" t="str">
        <f ca="1">IFERROR(__xludf.dummyfunction("IF(F552="""", """", GOOGLETRANSLATE(F552, ""en"", ""hi""))"),"6 अंडे - तोड़कर फेंट लें, 2 प्याज़ - बारीक कटे हुए, 3 टमाटर - बारीक कटे हुए, 2 हरी मिर्च - बारीक कटी हुई, 1 छोटा चम्मच जीरा, 2 छोटे चम्मच घी, हरा धनिया - बारीक कटा हुआ, 2 बड़े चम्मच दूध - या नारियल का दूध, नमक - स्वादानुसार")</f>
        <v>6 अंडे - तोड़कर फेंट लें, 2 प्याज़ - बारीक कटे हुए, 3 टमाटर - बारीक कटे हुए, 2 हरी मिर्च - बारीक कटी हुई, 1 छोटा चम्मच जीरा, 2 छोटे चम्मच घी, हरा धनिया - बारीक कटा हुआ, 2 बड़े चम्मच दूध - या नारियल का दूध, नमक - स्वादानुसार</v>
      </c>
      <c r="H552" s="1" t="s">
        <v>33194</v>
      </c>
      <c r="I552" s="1" t="str">
        <f ca="1">IFERROR(__xludf.dummyfunction("IF(H552="""", """", GOOGLETRANSLATE(H552, ""en"", ""hi""))"),"""अंडा भुर्जी बनाने के लिए सबसे पहले एक पैन में घी गर्म करें। घी गर्म होने के बाद इसमें जीरा डालें और 10 सेकंड तक पकने दें। इसमें प्याज और हरी मिर्च डालें। प्याज के नरम होने तक पकाएं। प्याज के नरम होने के बाद इसमें टमाटर डालें और नरम होने तक पकाएं। टमाटर "&amp;"के नरम होने के बाद इसमें अंडे का मिश्रण और नमक डालें। आंच धीमी कर दें और मिश्रण को चलाते रहें। जब अंडे 80% पक जाएं तो इसमें दूध या नारियल का दूध डालें। चलाते रहें और पकने के बाद इसमें कटा हरा धनिया डालें। गैस बंद कर दें और गरमागरम सर्व करें। नाश्ते में अं"&amp;"डा भुर्जी को बटर टोस्ट और संतरे के जूस के साथ सर्व करें।""")</f>
        <v>"अंडा भुर्जी बनाने के लिए सबसे पहले एक पैन में घी गर्म करें। घी गर्म होने के बाद इसमें जीरा डालें और 10 सेकंड तक पकने दें। इसमें प्याज और हरी मिर्च डालें। प्याज के नरम होने तक पकाएं। प्याज के नरम होने के बाद इसमें टमाटर डालें और नरम होने तक पकाएं। टमाटर के नरम होने के बाद इसमें अंडे का मिश्रण और नमक डालें। आंच धीमी कर दें और मिश्रण को चलाते रहें। जब अंडे 80% पक जाएं तो इसमें दूध या नारियल का दूध डालें। चलाते रहें और पकने के बाद इसमें कटा हरा धनिया डालें। गैस बंद कर दें और गरमागरम सर्व करें। नाश्ते में अंडा भुर्जी को बटर टोस्ट और संतरे के जूस के साथ सर्व करें।"</v>
      </c>
      <c r="J552" s="3" t="s">
        <v>33195</v>
      </c>
      <c r="L552" s="1" t="s">
        <v>31003</v>
      </c>
    </row>
    <row r="553" spans="1:12" ht="13.8">
      <c r="A553" s="1" t="s">
        <v>33196</v>
      </c>
      <c r="B553" s="1" t="str">
        <f ca="1">IFERROR(__xludf.dummyfunction("IF(A553="""", """", GOOGLETRANSLATE(A553, ""en"", ""hi""))"),"आलू गोभी की सब्जी")</f>
        <v>आलू गोभी की सब्जी</v>
      </c>
      <c r="C553" s="1" t="s">
        <v>145</v>
      </c>
      <c r="D553" s="1" t="s">
        <v>14198</v>
      </c>
      <c r="E553" s="1">
        <v>40</v>
      </c>
      <c r="F553" s="1" t="s">
        <v>33197</v>
      </c>
      <c r="G553" s="1" t="str">
        <f ca="1">IFERROR(__xludf.dummyfunction("IF(F553="""", """", GOOGLETRANSLATE(F553, ""en"", ""hi""))"),"2 आलू - छीलकर काट लें, 1 पत्तागोभी - धोकर काट लें, 1 इंच अदरक - कद्दूकस कर लें, 2 टमाटर - प्यूरी बना लें, 1/2 चम्मच जीरा, 1 चम्मच हल्दी पाउडर, 1 चम्मच गरम मसाला पाउडर, 2 इलायची, 1/4 चम्मच लाल मिर्च पाउडर, 4 धनिया - बारीक कटा हुआ, तेल - आवश्यकतानुसार, नमक "&amp;"- स्वादानुसार")</f>
        <v>2 आलू - छीलकर काट लें, 1 पत्तागोभी - धोकर काट लें, 1 इंच अदरक - कद्दूकस कर लें, 2 टमाटर - प्यूरी बना लें, 1/2 चम्मच जीरा, 1 चम्मच हल्दी पाउडर, 1 चम्मच गरम मसाला पाउडर, 2 इलायची, 1/4 चम्मच लाल मिर्च पाउडर, 4 धनिया - बारीक कटा हुआ, तेल - आवश्यकतानुसार, नमक - स्वादानुसार</v>
      </c>
      <c r="H553" s="1" t="s">
        <v>33198</v>
      </c>
      <c r="I553" s="1" t="str">
        <f ca="1">IFERROR(__xludf.dummyfunction("IF(H553="""", """", GOOGLETRANSLATE(H553, ""en"", ""hi""))"),"आलू गोभी की सब्ज़ी बनाने के लिए सबसे पहले एक पैन में तेल गर्म करें। इसमें जीरा, अदरक, इलायची डालें और 10 सेकंड तक पकने दें। 10 सेकंड बाद इसमें टमाटर, आलू, पत्तागोभी, नमक, लाल मिर्च पाउडर, हल्दी पाउडर, गरम मसाला पाउडर और 1/4 कप पानी डालकर मिलाएँ। पैन को ढक"&amp;" दें और सब्ज़ी को 15 से 20 मिनट तक पकने दें। बीच-बीच में चलाते रहें। पकने के बाद गैस बंद कर दें और धनिया पत्ती से गार्निश करें। आलू गोभी की सब्ज़ी को बूंदी रायता और तवा पराठे के साथ लंच में सर्व करें।")</f>
        <v>आलू गोभी की सब्ज़ी बनाने के लिए सबसे पहले एक पैन में तेल गर्म करें। इसमें जीरा, अदरक, इलायची डालें और 10 सेकंड तक पकने दें। 10 सेकंड बाद इसमें टमाटर, आलू, पत्तागोभी, नमक, लाल मिर्च पाउडर, हल्दी पाउडर, गरम मसाला पाउडर और 1/4 कप पानी डालकर मिलाएँ। पैन को ढक दें और सब्ज़ी को 15 से 20 मिनट तक पकने दें। बीच-बीच में चलाते रहें। पकने के बाद गैस बंद कर दें और धनिया पत्ती से गार्निश करें। आलू गोभी की सब्ज़ी को बूंदी रायता और तवा पराठे के साथ लंच में सर्व करें।</v>
      </c>
      <c r="J553" s="3" t="s">
        <v>33199</v>
      </c>
      <c r="L553" s="1" t="s">
        <v>31003</v>
      </c>
    </row>
    <row r="554" spans="1:12" ht="13.8">
      <c r="A554" s="1" t="s">
        <v>33200</v>
      </c>
      <c r="B554" s="1" t="str">
        <f ca="1">IFERROR(__xludf.dummyfunction("IF(A554="""", """", GOOGLETRANSLATE(A554, ""en"", ""hi""))"),"मछली टिक्का मसाला ग्रेवी रेसिपी")</f>
        <v>मछली टिक्का मसाला ग्रेवी रेसिपी</v>
      </c>
      <c r="C554" s="1" t="s">
        <v>145</v>
      </c>
      <c r="D554" s="1" t="s">
        <v>14367</v>
      </c>
      <c r="E554" s="1">
        <v>40</v>
      </c>
      <c r="F554" s="1" t="s">
        <v>33201</v>
      </c>
      <c r="G554" s="1" t="str">
        <f ca="1">IFERROR(__xludf.dummyfunction("IF(F554="""", """", GOOGLETRANSLATE(F554, ""en"", ""hi""))"),"2 बासा मछली - छोटे टुकड़ों में कटी हुई, 1 नींबू का रस, 1/4 चम्मच हल्दी पाउडर, नमक और काली मिर्च - चुटकी भर, 1 इलायची, 1 तेज पत्ता, 1 चम्मच जीरा, 1-1/2 चम्मच धनिया पाउडर, 1/2 चम्मच हल्दी पाउडर, 1 चम्मच अदरक लहसुन पेस्ट, 1/2 चम्मच लाल मिर्च पाउडर, 1 बड़ा चम"&amp;"्मच कसूरी मेथी, 1 कप गुनगुना पानी, 2 बड़े चम्मच ताजा क्रीम, नमक - स्वादानुसार, 1 प्याज - कटा हुआ, 1/2 टमाटर - कटा हुआ, 5 काजू, 2 लौंग, 1/4 चम्मच दालचीनी पाउडर")</f>
        <v>2 बासा मछली - छोटे टुकड़ों में कटी हुई, 1 नींबू का रस, 1/4 चम्मच हल्दी पाउडर, नमक और काली मिर्च - चुटकी भर, 1 इलायची, 1 तेज पत्ता, 1 चम्मच जीरा, 1-1/2 चम्मच धनिया पाउडर, 1/2 चम्मच हल्दी पाउडर, 1 चम्मच अदरक लहसुन पेस्ट, 1/2 चम्मच लाल मिर्च पाउडर, 1 बड़ा चम्मच कसूरी मेथी, 1 कप गुनगुना पानी, 2 बड़े चम्मच ताजा क्रीम, नमक - स्वादानुसार, 1 प्याज - कटा हुआ, 1/2 टमाटर - कटा हुआ, 5 काजू, 2 लौंग, 1/4 चम्मच दालचीनी पाउडर</v>
      </c>
      <c r="H554" s="1" t="s">
        <v>33202</v>
      </c>
      <c r="I554" s="1" t="str">
        <f ca="1">IFERROR(__xludf.dummyfunction("IF(H554="""", """", GOOGLETRANSLATE(H554, ""en"", ""hi""))"),"फिश टिक्का मसाला ग्रेवी रेसिपी बनाने के लिए सबसे पहले मछली को नींबू के रस, नमक, काली मिर्च और हल्दी पाउडर के साथ मैरीनेट करें और 30 मिनट के लिए अलग रख दें। प्याज, टमाटर, लौंग, दालचीनी पाउडर, काजू को थोड़े पानी के साथ प्रेशर कुक करें। एक बार हो जाने पर प्र"&amp;"ेशर को स्वाभाविक रूप से रिलीज होने दें, इसे इसके रस के साथ एक चिकने पेस्ट में पीस लें। एक कढ़ाई में तेल गर्म करें, उसमें इलायची की फली, तेज पत्ता डालें और इसे तड़कने दें। इसमें पिसा हुआ टमाटर का पेस्ट डालें, थोड़ा नमक छिड़कें और कच्ची महक जाने तक पकाएं। इ"&amp;"समें जीरा पाउडर, धनिया पाउडर, हल्दी पाउडर, लाल मिर्च पाउडर सहित ऊपर बताए गए सभी मसाले डालें और अच्छी तरह मिलाएँ, इसे ढक्कन से ढक दें और फिर से 5 मिनट के लिए पकाएं अपने भोजन को पूरा करने के लिए बगल में रायता रखें।")</f>
        <v>फिश टिक्का मसाला ग्रेवी रेसिपी बनाने के लिए सबसे पहले मछली को नींबू के रस, नमक, काली मिर्च और हल्दी पाउडर के साथ मैरीनेट करें और 30 मिनट के लिए अलग रख दें। प्याज, टमाटर, लौंग, दालचीनी पाउडर, काजू को थोड़े पानी के साथ प्रेशर कुक करें। एक बार हो जाने पर प्रेशर को स्वाभाविक रूप से रिलीज होने दें, इसे इसके रस के साथ एक चिकने पेस्ट में पीस लें। एक कढ़ाई में तेल गर्म करें, उसमें इलायची की फली, तेज पत्ता डालें और इसे तड़कने दें। इसमें पिसा हुआ टमाटर का पेस्ट डालें, थोड़ा नमक छिड़कें और कच्ची महक जाने तक पकाएं। इसमें जीरा पाउडर, धनिया पाउडर, हल्दी पाउडर, लाल मिर्च पाउडर सहित ऊपर बताए गए सभी मसाले डालें और अच्छी तरह मिलाएँ, इसे ढक्कन से ढक दें और फिर से 5 मिनट के लिए पकाएं अपने भोजन को पूरा करने के लिए बगल में रायता रखें।</v>
      </c>
      <c r="J554" s="3" t="s">
        <v>33203</v>
      </c>
      <c r="L554" s="1" t="s">
        <v>31003</v>
      </c>
    </row>
    <row r="555" spans="1:12" ht="13.8">
      <c r="A555" s="1" t="s">
        <v>33204</v>
      </c>
      <c r="B555" s="1" t="str">
        <f ca="1">IFERROR(__xludf.dummyfunction("IF(A555="""", """", GOOGLETRANSLATE(A555, ""en"", ""hi""))"),"अचारी पनीर टिक्का रेसिपी")</f>
        <v>अचारी पनीर टिक्का रेसिपी</v>
      </c>
      <c r="C555" s="1" t="s">
        <v>14572</v>
      </c>
      <c r="D555" s="1" t="s">
        <v>14237</v>
      </c>
      <c r="E555" s="1">
        <v>50</v>
      </c>
      <c r="F555" s="1" t="s">
        <v>33205</v>
      </c>
      <c r="G555" s="1" t="str">
        <f ca="1">IFERROR(__xludf.dummyfunction("IF(F555="""", """", GOOGLETRANSLATE(F555, ""en"", ""hi""))"),"250 ग्राम पनीर - कटा हुआ, 2 शिमला मिर्च (हरी) - कटी हुई, 1/2 चम्मच गरम मसाला पाउडर, 2 बड़े चम्मच दही, 3 लहसुन की कलियां, 1 इंच अदरक, नमक - स्वादानुसार, 1 चम्मच लाल मिर्च पाउडर, 1 चम्मच राई, 1 चम्मच जीरा, 1 चम्मच सौंफ, 1 चम्मच कलौंजी, 1 चम्मच अजवाइन, 1/4 च"&amp;"म्मच मेथी दाना, 4 सूखी लाल मिर्च, 1 नींबू का रस, तेल - उपयोगानुसार")</f>
        <v>250 ग्राम पनीर - कटा हुआ, 2 शिमला मिर्च (हरी) - कटी हुई, 1/2 चम्मच गरम मसाला पाउडर, 2 बड़े चम्मच दही, 3 लहसुन की कलियां, 1 इंच अदरक, नमक - स्वादानुसार, 1 चम्मच लाल मिर्च पाउडर, 1 चम्मच राई, 1 चम्मच जीरा, 1 चम्मच सौंफ, 1 चम्मच कलौंजी, 1 चम्मच अजवाइन, 1/4 चम्मच मेथी दाना, 4 सूखी लाल मिर्च, 1 नींबू का रस, तेल - उपयोगानुसार</v>
      </c>
      <c r="H555" s="1" t="s">
        <v>33206</v>
      </c>
      <c r="I555" s="1" t="str">
        <f ca="1">IFERROR(__xludf.dummyfunction("IF(H555="""", """", GOOGLETRANSLATE(H555, ""en"", ""hi""))"),"""अचारी पनीर टिक्का रेसिपी बनाने के लिए सबसे पहले हम पनीर को मैरीनेट करने के लिए मसाला बनाएंगे। मैरीनेट करने के लिए सबसे पहले एक पैन में राई, जीरा, सौंफ, कलौंजी, अजवाइन, मेथी दाना, सूखी लाल मिर्च डालकर ब्राउन होने तक भून लें। गैस बंद कर दें। ठंडा होने के "&amp;"बाद इसे मिक्सर ग्राइंडर में डालकर पीसकर पाउडर बना लें। एक तरफ रख दें। अब एक ओखली में अदरक, लहसुन का पेस्ट, गरम मसाला, नमक, नींबू का रस और पिसा मसाला डालकर पेस्ट बना लें। एक तरफ रख दें। एक बड़े बाउल में दही, अदरक लहसुन का पेस्ट, गरम मसाला, नमक, नींबू का रस"&amp;" और पिसा मसाला डालकर मिला लें। इसमें पनीर और शिमला मिर्च डालकर मिला लें। बाउल को ढककर 30 मिनट के लिए अलग रख दें। अब पनीर टिक्का पकाने के बाद, कटार को कुछ घंटों के लिए पानी में भिगो दें। अब इसे पानी से निकाल कर अच्छे से सुखा लें। पनीर और शिमला मिर्च को इसम"&amp;"ें डाल दें। कटार। गरम हिस्से पर थोड़ा तेल लगाएँ और दोनों तरफ से अच्छी तरह भूरा होने तक ग्रिल करें। ग्रिल करने के बाद परोसें। शुरुआत के लिए धनिया पुदीना चटनी के साथ अचारी पनीर टिक्का रेसिपी परोसें।")</f>
        <v>"अचारी पनीर टिक्का रेसिपी बनाने के लिए सबसे पहले हम पनीर को मैरीनेट करने के लिए मसाला बनाएंगे। मैरीनेट करने के लिए सबसे पहले एक पैन में राई, जीरा, सौंफ, कलौंजी, अजवाइन, मेथी दाना, सूखी लाल मिर्च डालकर ब्राउन होने तक भून लें। गैस बंद कर दें। ठंडा होने के बाद इसे मिक्सर ग्राइंडर में डालकर पीसकर पाउडर बना लें। एक तरफ रख दें। अब एक ओखली में अदरक, लहसुन का पेस्ट, गरम मसाला, नमक, नींबू का रस और पिसा मसाला डालकर पेस्ट बना लें। एक तरफ रख दें। एक बड़े बाउल में दही, अदरक लहसुन का पेस्ट, गरम मसाला, नमक, नींबू का रस और पिसा मसाला डालकर मिला लें। इसमें पनीर और शिमला मिर्च डालकर मिला लें। बाउल को ढककर 30 मिनट के लिए अलग रख दें। अब पनीर टिक्का पकाने के बाद, कटार को कुछ घंटों के लिए पानी में भिगो दें। अब इसे पानी से निकाल कर अच्छे से सुखा लें। पनीर और शिमला मिर्च को इसमें डाल दें। कटार। गरम हिस्से पर थोड़ा तेल लगाएँ और दोनों तरफ से अच्छी तरह भूरा होने तक ग्रिल करें। ग्रिल करने के बाद परोसें। शुरुआत के लिए धनिया पुदीना चटनी के साथ अचारी पनीर टिक्का रेसिपी परोसें।</v>
      </c>
      <c r="J555" s="3" t="s">
        <v>33207</v>
      </c>
      <c r="L555" s="1" t="s">
        <v>31003</v>
      </c>
    </row>
    <row r="556" spans="1:12" ht="13.8">
      <c r="A556" s="1" t="s">
        <v>33208</v>
      </c>
      <c r="B556" s="1" t="str">
        <f ca="1">IFERROR(__xludf.dummyfunction("IF(A556="""", """", GOOGLETRANSLATE(A556, ""en"", ""hi""))"),"हेल्दी वेजिटेबल पराठा रोल रेसिपी")</f>
        <v>हेल्दी वेजिटेबल पराठा रोल रेसिपी</v>
      </c>
      <c r="C556" s="1" t="s">
        <v>14281</v>
      </c>
      <c r="D556" s="1" t="s">
        <v>14198</v>
      </c>
      <c r="E556" s="1">
        <v>40</v>
      </c>
      <c r="F556" s="1" t="s">
        <v>33209</v>
      </c>
      <c r="G556" s="1" t="str">
        <f ca="1">IFERROR(__xludf.dummyfunction("IF(F556="""", """", GOOGLETRANSLATE(F556, ""en"", ""hi""))"),"4 तवा पराठा, 1 प्याज - कटा हुआ, 2 कप पत्तागोभी - पतले कटे हुए, 1 कप गाजर - कसा हुआ, 1/2 कप हरी मटर (मटर), 3/4 कप आलू (आलू) - उबले और मसले हुए, 1/2 हरी बेल मिर्च (शिमला मिर्च) - पतले कटे हुए, 1 कप टमाटर - कटा हुआ, 1 इंच अदरक - बारीक कटा हुआ, 1 हरी मिर्च - "&amp;"बारीक कटी हुई, 2 टहनी धनिया (धनिया) के पत्ते - कटे हुए, 2 बड़े चम्मच सूरजमुखी का तेल, 1 चम्मच जीरा (जीरा), 1 चम्मच नमक, 1/2 चम्मच गरम मसाला पाउडर")</f>
        <v>4 तवा पराठा, 1 प्याज - कटा हुआ, 2 कप पत्तागोभी - पतले कटे हुए, 1 कप गाजर - कसा हुआ, 1/2 कप हरी मटर (मटर), 3/4 कप आलू (आलू) - उबले और मसले हुए, 1/2 हरी बेल मिर्च (शिमला मिर्च) - पतले कटे हुए, 1 कप टमाटर - कटा हुआ, 1 इंच अदरक - बारीक कटा हुआ, 1 हरी मिर्च - बारीक कटी हुई, 2 टहनी धनिया (धनिया) के पत्ते - कटे हुए, 2 बड़े चम्मच सूरजमुखी का तेल, 1 चम्मच जीरा (जीरा), 1 चम्मच नमक, 1/2 चम्मच गरम मसाला पाउडर</v>
      </c>
      <c r="H556" s="1" t="s">
        <v>33210</v>
      </c>
      <c r="I556" s="1" t="str">
        <f ca="1">IFERROR(__xludf.dummyfunction("IF(H556="""", """", GOOGLETRANSLATE(H556, ""en"", ""hi""))"),"हेल्दी वेजिटेबल पराठा रोल रेसिपी बनाने के लिए सुनिश्चित करें कि आपके पास ताज़े बने गरम तवा पराठे तैयार हैं। आप रोल के लिए फिलिंग बनाने के बाद भी इन्हें बना सकते हैं। एक भारी तले वाले पैन में मध्यम आंच पर एक चम्मच तेल गर्म करें। इसमें प्याज, लहसुन, अदरक, ग"&amp;"ाजर और मटर डालें, थोड़ा नमक छिड़कें और मध्यम आंच पर गाजर के पकने तक भूनें। इस बीच, छिलके वाले आलू को लगभग 4 सीटी आने तक पका लें और प्रेशर को स्वाभाविक रूप से छोड़ दें और इसे पूरी तरह से मैश कर लें। जब सब्जियां लगभग पक जाएं, तो इसमें कटी हुई गोभी, टमाटर और"&amp;" शिमला मिर्च डालें और गोभी के लगभग नरम होने तक इसे भूनें। मसाले पाउडर और उबले और मसले हुए आलू को कढ़ाई में डालें और मसाले के स्तर की जांच करें और अपने स्वाद के अनुसार समायोजित करें। अगला कदम रैप बनाना है पराठे को एक खुले सिरे से दो मुड़े हुए किनारों पर रो"&amp;"ल करना शुरू करें। पूरे पराठे को कसकर रोल करें और उसके चारों ओर एक पन्नी या बटर पेपर लपेटें। रैप को रोल करने के कई अलग-अलग तरीके हैं, आप इंटरनेट पर खोज सकते हैं और रैपिंग का अपना पसंदीदा तरीका पा सकते हैं। बच्चों के लंच बॉक्स के लिए स्वादिष्ट हेल्दी वेजिटे"&amp;"बल पराठा रोल या यात्रा के दौरान नाश्ते के रूप में या सिर्फ़ हफ़्ते के रात के खाने के साथ चीकू केला खजूर स्मूदी रेसिपी के साथ परोसें।")</f>
        <v>हेल्दी वेजिटेबल पराठा रोल रेसिपी बनाने के लिए सुनिश्चित करें कि आपके पास ताज़े बने गरम तवा पराठे तैयार हैं। आप रोल के लिए फिलिंग बनाने के बाद भी इन्हें बना सकते हैं। एक भारी तले वाले पैन में मध्यम आंच पर एक चम्मच तेल गर्म करें। इसमें प्याज, लहसुन, अदरक, गाजर और मटर डालें, थोड़ा नमक छिड़कें और मध्यम आंच पर गाजर के पकने तक भूनें। इस बीच, छिलके वाले आलू को लगभग 4 सीटी आने तक पका लें और प्रेशर को स्वाभाविक रूप से छोड़ दें और इसे पूरी तरह से मैश कर लें। जब सब्जियां लगभग पक जाएं, तो इसमें कटी हुई गोभी, टमाटर और शिमला मिर्च डालें और गोभी के लगभग नरम होने तक इसे भूनें। मसाले पाउडर और उबले और मसले हुए आलू को कढ़ाई में डालें और मसाले के स्तर की जांच करें और अपने स्वाद के अनुसार समायोजित करें। अगला कदम रैप बनाना है पराठे को एक खुले सिरे से दो मुड़े हुए किनारों पर रोल करना शुरू करें। पूरे पराठे को कसकर रोल करें और उसके चारों ओर एक पन्नी या बटर पेपर लपेटें। रैप को रोल करने के कई अलग-अलग तरीके हैं, आप इंटरनेट पर खोज सकते हैं और रैपिंग का अपना पसंदीदा तरीका पा सकते हैं। बच्चों के लंच बॉक्स के लिए स्वादिष्ट हेल्दी वेजिटेबल पराठा रोल या यात्रा के दौरान नाश्ते के रूप में या सिर्फ़ हफ़्ते के रात के खाने के साथ चीकू केला खजूर स्मूदी रेसिपी के साथ परोसें।</v>
      </c>
      <c r="J556" s="3" t="s">
        <v>33211</v>
      </c>
      <c r="L556" s="1" t="s">
        <v>31003</v>
      </c>
    </row>
    <row r="557" spans="1:12" ht="409.6">
      <c r="A557" s="1" t="s">
        <v>33212</v>
      </c>
      <c r="B557" s="1" t="str">
        <f ca="1">IFERROR(__xludf.dummyfunction("IF(A557="""", """", GOOGLETRANSLATE(A557, ""en"", ""hi""))"),"शाकाहारी मलाई कबाब रेसिपी")</f>
        <v>शाकाहारी मलाई कबाब रेसिपी</v>
      </c>
      <c r="C557" s="1" t="s">
        <v>14281</v>
      </c>
      <c r="D557" s="1" t="s">
        <v>14198</v>
      </c>
      <c r="E557" s="1">
        <v>35</v>
      </c>
      <c r="F557" s="1" t="s">
        <v>33213</v>
      </c>
      <c r="G557" s="1" t="str">
        <f ca="1">IFERROR(__xludf.dummyfunction("IF(F557="""", """", GOOGLETRANSLATE(F557, ""en"", ""hi""))"),"1 कप पनीर (घर का बना पनीर) - कसा हुआ, 1 आलू (आलू) - उबला और कसा हुआ, 1/2 कप दूध पाउडर, 1 इंच अदरक - बारीक कटा हुआ, 1 हरी मिर्च - बारीक कटी हुई (समायोज्य), 1 प्याज - बारीक कटा हुआ, 1 गरम मसाला पाउडर, 1 चाट मसाला पाउडर, 3 धनिया (धनिया) पत्तियां - बारीक कटा "&amp;"हुआ, 1 चावल का आटा - चावल पाउडर, नमक - स्वादानुसार, सूरजमुखी तेल - आवश्यकतानुसार")</f>
        <v>1 कप पनीर (घर का बना पनीर) - कसा हुआ, 1 आलू (आलू) - उबला और कसा हुआ, 1/2 कप दूध पाउडर, 1 इंच अदरक - बारीक कटा हुआ, 1 हरी मिर्च - बारीक कटी हुई (समायोज्य), 1 प्याज - बारीक कटा हुआ, 1 गरम मसाला पाउडर, 1 चाट मसाला पाउडर, 3 धनिया (धनिया) पत्तियां - बारीक कटा हुआ, 1 चावल का आटा - चावल पाउडर, नमक - स्वादानुसार, सूरजमुखी तेल - आवश्यकतानुसार</v>
      </c>
      <c r="H557" s="4" t="s">
        <v>33214</v>
      </c>
      <c r="I557" s="1" t="str">
        <f ca="1">IFERROR(__xludf.dummyfunction("IF(H557="""", """", GOOGLETRANSLATE(H557, ""en"", ""hi""))"),"शाकाहारी मलाई कबाब रेसिपी बनाने के लिए ऊपर दी गई सभी चीजें तैयार रखें। अब एक मिक्सिंग बाउल लें, उसमें पनीर, आलू, मिल्क पाउडर, अदरक, हरी मिर्च, प्याज, गरम मसाला पाउडर, चाट मसाला पाउडर, धनिया पत्ती, चावल का आटा, नमक सहित ऊपर बताई गई सभी सामग्री डालें और अच्"&amp;"छी तरह मिला लें। सुनिश्चित करें कि सारे मसाले पनीर और आलू के साथ मिल गए हों। इसके बाद मिश्रण से छोटे-छोटे हिस्से लें और छोटे गोल आकार के कबाब बना लें। उन्हें थपथपाएं ताकि वे चपटे हो जाएं। एक कड़ाही में तेल गर्म करें और उन्हें दोनों तरफ से सुनहरा भूरा होने"&amp;" तक तल लें। अतिरिक्त तेल निकालने के लिए उन्हें एक सोखने वाले कागज पर निकाल लें। गरमागरम परोसें। शाकाहारी मलाई कबाब रेसिपी को धनिया पुदीना चटनी और मसाला चाय के साथ चाय के समय के नाश्ते के लिए परोसें")</f>
        <v>शाकाहारी मलाई कबाब रेसिपी बनाने के लिए ऊपर दी गई सभी चीजें तैयार रखें। अब एक मिक्सिंग बाउल लें, उसमें पनीर, आलू, मिल्क पाउडर, अदरक, हरी मिर्च, प्याज, गरम मसाला पाउडर, चाट मसाला पाउडर, धनिया पत्ती, चावल का आटा, नमक सहित ऊपर बताई गई सभी सामग्री डालें और अच्छी तरह मिला लें। सुनिश्चित करें कि सारे मसाले पनीर और आलू के साथ मिल गए हों। इसके बाद मिश्रण से छोटे-छोटे हिस्से लें और छोटे गोल आकार के कबाब बना लें। उन्हें थपथपाएं ताकि वे चपटे हो जाएं। एक कड़ाही में तेल गर्म करें और उन्हें दोनों तरफ से सुनहरा भूरा होने तक तल लें। अतिरिक्त तेल निकालने के लिए उन्हें एक सोखने वाले कागज पर निकाल लें। गरमागरम परोसें। शाकाहारी मलाई कबाब रेसिपी को धनिया पुदीना चटनी और मसाला चाय के साथ चाय के समय के नाश्ते के लिए परोसें</v>
      </c>
      <c r="J557" s="3" t="s">
        <v>33215</v>
      </c>
      <c r="L557" s="1" t="s">
        <v>31003</v>
      </c>
    </row>
    <row r="558" spans="1:12" ht="409.6">
      <c r="A558" s="1" t="s">
        <v>33216</v>
      </c>
      <c r="B558" s="1" t="str">
        <f ca="1">IFERROR(__xludf.dummyfunction("IF(A558="""", """", GOOGLETRANSLATE(A558, ""en"", ""hi""))"),"पनीर पाव भाजी रेसिपी - पौष्टिक सप्ताहांत रात का खाना")</f>
        <v>पनीर पाव भाजी रेसिपी - पौष्टिक सप्ताहांत रात का खाना</v>
      </c>
      <c r="C558" s="1" t="s">
        <v>429</v>
      </c>
      <c r="D558" s="1" t="s">
        <v>14237</v>
      </c>
      <c r="E558" s="1">
        <v>50</v>
      </c>
      <c r="F558" s="1" t="s">
        <v>33217</v>
      </c>
      <c r="G558" s="1" t="str">
        <f ca="1">IFERROR(__xludf.dummyfunction("IF(F558="""", """", GOOGLETRANSLATE(F558, ""en"", ""hi""))"),"2 बड़े चम्मच मक्खन, 1 प्याज - बारीक कटा हुआ, 4 लहसुन के दाने - बारीक कटा हुआ, 1 हरी शिमला मिर्च (शिमला मिर्च) - बारीक कटी हुई, 1/2 कप घर का बना टमाटर प्यूरी, 4 आलू - छीलकर कटे हुए, 1/2 कप फूलगोभी, 2 गाजर (गज्जर) - बारीक कटी हुई, 2 चम्मच पाव भाजी मसाला, 1 "&amp;"बड़ा चम्मच चाट मसाला पाउडर, 1 कप पनीर (घर का बना पनीर) - कसा हुआ, 1 नींबू - रस, नमक - स्वादानुसार, 12 पाव बन्स - (हैम बर्गर बन्स का उपयोग किया जा सकता है), मक्खन - टोस्टिंग के लिए, धनिया (धनिया) के पत्ते - छोटे गुच्छा बारीक कटे हुए, 1 प्याज - परोसने के लि"&amp;"ए बारीक कटा हुआ, 1 नींबू - रस निकाला हुआ")</f>
        <v>2 बड़े चम्मच मक्खन, 1 प्याज - बारीक कटा हुआ, 4 लहसुन के दाने - बारीक कटा हुआ, 1 हरी शिमला मिर्च (शिमला मिर्च) - बारीक कटी हुई, 1/2 कप घर का बना टमाटर प्यूरी, 4 आलू - छीलकर कटे हुए, 1/2 कप फूलगोभी, 2 गाजर (गज्जर) - बारीक कटी हुई, 2 चम्मच पाव भाजी मसाला, 1 बड़ा चम्मच चाट मसाला पाउडर, 1 कप पनीर (घर का बना पनीर) - कसा हुआ, 1 नींबू - रस, नमक - स्वादानुसार, 12 पाव बन्स - (हैम बर्गर बन्स का उपयोग किया जा सकता है), मक्खन - टोस्टिंग के लिए, धनिया (धनिया) के पत्ते - छोटे गुच्छा बारीक कटे हुए, 1 प्याज - परोसने के लिए बारीक कटा हुआ, 1 नींबू - रस निकाला हुआ</v>
      </c>
      <c r="H558" s="4" t="s">
        <v>33218</v>
      </c>
      <c r="I558" s="1" t="str">
        <f ca="1">IFERROR(__xludf.dummyfunction("IF(H558="""", """", GOOGLETRANSLATE(H558, ""en"", ""hi""))"),"पनीर पाव भाजी रेसिपी बनाने के लिए सबसे पहले सभी सामग्री तैयार कर लें और इसे तैयार रखें। प्रेशर कुकर को मध्यम आंच पर रखें। इसमें मक्खन डालें और इसे पिघलने दें। एक बार जब यह पिघल जाए तो इसमें प्याज, शिमला मिर्च और लहसुन डालें और प्याज और शिमला मिर्च के नरम "&amp;"होने तक भूनें। एक बार जब यह नरम हो जाए तो इसमें टमाटर प्यूरी, आलू, गाजर, फूलगोभी, पाव भाजी मसाला और चाट मसाला पाउडर डालें। कुछ सेकंड के लिए भूनें। एक प्रेशर कुकर में आधा कप पानी डालें और 5 से 6 सीटी आने तक पका लें। सब्जियों को बिल्कुल नरम और गूदेदार होना "&amp;"चाहिए। आंच बंद कर दें और प्रेशर को अपने आप निकलने दें। पक जाने के बाद कुकर खोलें और सब्जियों को अच्छे से मैश कर लें, फिर इसमें पनीर डालें और अच्छी तरह मिलाएँ। एक बार हो जाने पर इसमें धनिया पत्ती और नींबू का रस डालें और अच्छी तरह मिलाएँ मध्यम तेज़ आँच पर ए"&amp;"क कड़ाही गरम करें। कटे हुए पाव बन्स पर मक्खन लगाएँ और उन्हें तवे पर सुनहरा भूरा और कुरकुरा होने तक सेंकें। भाजी के साथ परोसें और आनंद लें। पाव भाजी रेसिपी को दही वड़ा या पापड़ी चाट के साथ रात के खाने या घर पर चाट पार्टी के लिए परोसें। आपके दोस्तों और परिव"&amp;"ार को यह डिश ज़रूर पसंद आएगी।")</f>
        <v>पनीर पाव भाजी रेसिपी बनाने के लिए सबसे पहले सभी सामग्री तैयार कर लें और इसे तैयार रखें। प्रेशर कुकर को मध्यम आंच पर रखें। इसमें मक्खन डालें और इसे पिघलने दें। एक बार जब यह पिघल जाए तो इसमें प्याज, शिमला मिर्च और लहसुन डालें और प्याज और शिमला मिर्च के नरम होने तक भूनें। एक बार जब यह नरम हो जाए तो इसमें टमाटर प्यूरी, आलू, गाजर, फूलगोभी, पाव भाजी मसाला और चाट मसाला पाउडर डालें। कुछ सेकंड के लिए भूनें। एक प्रेशर कुकर में आधा कप पानी डालें और 5 से 6 सीटी आने तक पका लें। सब्जियों को बिल्कुल नरम और गूदेदार होना चाहिए। आंच बंद कर दें और प्रेशर को अपने आप निकलने दें। पक जाने के बाद कुकर खोलें और सब्जियों को अच्छे से मैश कर लें, फिर इसमें पनीर डालें और अच्छी तरह मिलाएँ। एक बार हो जाने पर इसमें धनिया पत्ती और नींबू का रस डालें और अच्छी तरह मिलाएँ मध्यम तेज़ आँच पर एक कड़ाही गरम करें। कटे हुए पाव बन्स पर मक्खन लगाएँ और उन्हें तवे पर सुनहरा भूरा और कुरकुरा होने तक सेंकें। भाजी के साथ परोसें और आनंद लें। पाव भाजी रेसिपी को दही वड़ा या पापड़ी चाट के साथ रात के खाने या घर पर चाट पार्टी के लिए परोसें। आपके दोस्तों और परिवार को यह डिश ज़रूर पसंद आएगी।</v>
      </c>
      <c r="J558" s="3" t="s">
        <v>33219</v>
      </c>
      <c r="L558" s="1" t="s">
        <v>31003</v>
      </c>
    </row>
    <row r="559" spans="1:12" ht="13.8">
      <c r="A559" s="1" t="s">
        <v>33220</v>
      </c>
      <c r="B559" s="1" t="str">
        <f ca="1">IFERROR(__xludf.dummyfunction("IF(A559="""", """", GOOGLETRANSLATE(A559, ""en"", ""hi""))"),"पंजाबी राजमा मसाला")</f>
        <v>पंजाबी राजमा मसाला</v>
      </c>
      <c r="C559" s="1" t="s">
        <v>14259</v>
      </c>
      <c r="D559" s="1" t="s">
        <v>14198</v>
      </c>
      <c r="E559" s="1">
        <v>105</v>
      </c>
      <c r="F559" s="1" t="s">
        <v>33221</v>
      </c>
      <c r="G559" s="1" t="str">
        <f ca="1">IFERROR(__xludf.dummyfunction("IF(F559="""", """", GOOGLETRANSLATE(F559, ""en"", ""hi""))"),"1 कप राजमा, 1 इंच अदरक - कद्दूकस किया हुआ, 2 लहसुन की कलियां - कद्दूकस किया हुआ, 1 प्याज - कटा हुआ, 1 टमाटर - प्यूरी, 1 चम्मच हल्दी पाउडर, 1 चम्मच जीरा पाउडर - भुना हुआ, 1 चम्मच गरम मसाला पाउडर, 4 इलायची - पाउडर, 1 बड़ा चम्मच मक्खन, 2 धनिया पत्ती - कटा हु"&amp;"आ, 1 चम्मच तेल, नमक - स्वादानुसार")</f>
        <v>1 कप राजमा, 1 इंच अदरक - कद्दूकस किया हुआ, 2 लहसुन की कलियां - कद्दूकस किया हुआ, 1 प्याज - कटा हुआ, 1 टमाटर - प्यूरी, 1 चम्मच हल्दी पाउडर, 1 चम्मच जीरा पाउडर - भुना हुआ, 1 चम्मच गरम मसाला पाउडर, 4 इलायची - पाउडर, 1 बड़ा चम्मच मक्खन, 2 धनिया पत्ती - कटा हुआ, 1 चम्मच तेल, नमक - स्वादानुसार</v>
      </c>
      <c r="H559" s="1" t="s">
        <v>33222</v>
      </c>
      <c r="I559" s="1" t="str">
        <f ca="1">IFERROR(__xludf.dummyfunction("IF(H559="""", """", GOOGLETRANSLATE(H559, ""en"", ""hi""))"),"""पंजाबी राजमा मसाला बनाने के लिए सबसे पहले राजमा को 8 से 10 घंटे के लिए भिगोकर रख दें। मिक्सर ग्राइंडर में प्याज, अदरक और लहसुन डालें। इसे पीसकर अलग रख दें। अब प्रेशर कुकर में तेल गर्म करें। इसमें प्याज, अदरक और लहसुन का पेस्ट डालें। इसे 2 से 4 मिनट तक प"&amp;"कने दें। 4 मिनट बाद टमाटर, हल्दी पाउडर, जीरा पाउडर, गरम मसाला पाउडर और इलायची पाउडर डालें। 2 मिनट तक पकाएँ और फिर भिगोए हुए राजमा डालकर मिलाएँ। ज़रूरत के हिसाब से पानी डालें और मिलाएँ। कुकर को ढक दें और 6 से 8 सीटी आने तक पकने दें। 8 मिनट बाद आंच कम कर दे"&amp;"ं और 15 मिनट तक पकने दें। गैस बंद कर दें। प्रेशर अपने आप निकलने दें और जाँच करें कि राजमा पका है या नहीं। अगर नहीं, तो कुछ और देर पकाएँ। पकने के बाद गरमागरम परोसें। पंजाबी राजमा मसाला को चावल और कचुम्बर सलाद के साथ डिनर में परोसें।""")</f>
        <v>"पंजाबी राजमा मसाला बनाने के लिए सबसे पहले राजमा को 8 से 10 घंटे के लिए भिगोकर रख दें। मिक्सर ग्राइंडर में प्याज, अदरक और लहसुन डालें। इसे पीसकर अलग रख दें। अब प्रेशर कुकर में तेल गर्म करें। इसमें प्याज, अदरक और लहसुन का पेस्ट डालें। इसे 2 से 4 मिनट तक पकने दें। 4 मिनट बाद टमाटर, हल्दी पाउडर, जीरा पाउडर, गरम मसाला पाउडर और इलायची पाउडर डालें। 2 मिनट तक पकाएँ और फिर भिगोए हुए राजमा डालकर मिलाएँ। ज़रूरत के हिसाब से पानी डालें और मिलाएँ। कुकर को ढक दें और 6 से 8 सीटी आने तक पकने दें। 8 मिनट बाद आंच कम कर दें और 15 मिनट तक पकने दें। गैस बंद कर दें। प्रेशर अपने आप निकलने दें और जाँच करें कि राजमा पका है या नहीं। अगर नहीं, तो कुछ और देर पकाएँ। पकने के बाद गरमागरम परोसें। पंजाबी राजमा मसाला को चावल और कचुम्बर सलाद के साथ डिनर में परोसें।"</v>
      </c>
      <c r="J559" s="3" t="s">
        <v>33223</v>
      </c>
      <c r="L559" s="1" t="s">
        <v>31003</v>
      </c>
    </row>
    <row r="560" spans="1:12" ht="13.8">
      <c r="A560" s="1" t="s">
        <v>33224</v>
      </c>
      <c r="B560" s="1" t="str">
        <f ca="1">IFERROR(__xludf.dummyfunction("IF(A560="""", """", GOOGLETRANSLATE(A560, ""en"", ""hi""))"),"बेबी कॉर्न और टमाटर मसाला बाथ-चावल पाव भाजी मसाला के साथ मसालेदार")</f>
        <v>बेबी कॉर्न और टमाटर मसाला बाथ-चावल पाव भाजी मसाला के साथ मसालेदार</v>
      </c>
      <c r="C560" s="1" t="s">
        <v>145</v>
      </c>
      <c r="D560" s="1" t="s">
        <v>14198</v>
      </c>
      <c r="E560" s="1">
        <v>30</v>
      </c>
      <c r="F560" s="1" t="s">
        <v>33225</v>
      </c>
      <c r="G560" s="1" t="str">
        <f ca="1">IFERROR(__xludf.dummyfunction("IF(F560="""", """", GOOGLETRANSLATE(F560, ""en"", ""hi""))"),"1-1/2 कप बेबी कॉर्न - कटा हुआ, 1 बड़ा चम्मच सूरजमुखी तेल, 1 छोटा चम्मच जीरा, 1 इंच अदरक - बारीक कटा हुआ, 4 लहसुन - बारीक कटा हुआ, 1 प्याज - बारीक कटा हुआ, 1 टमाटर - बारीक कटा हुआ, 1 बड़ा चम्मच पाव भाजी मसाला, 2 छोटे चम्मच गरम मसाला पाउडर, 2 छोटे चम्मच जीर"&amp;"ा पाउडर, नमक - स्वादानुसार, 1-1/2 कप पके हुए चावल - पूरी तरह से ठंडे किए हुए, 1 बड़ा चम्मच नींबू का रस, 1/4 कप धनिया पत्ती - बारीक कटी हुई")</f>
        <v>1-1/2 कप बेबी कॉर्न - कटा हुआ, 1 बड़ा चम्मच सूरजमुखी तेल, 1 छोटा चम्मच जीरा, 1 इंच अदरक - बारीक कटा हुआ, 4 लहसुन - बारीक कटा हुआ, 1 प्याज - बारीक कटा हुआ, 1 टमाटर - बारीक कटा हुआ, 1 बड़ा चम्मच पाव भाजी मसाला, 2 छोटे चम्मच गरम मसाला पाउडर, 2 छोटे चम्मच जीरा पाउडर, नमक - स्वादानुसार, 1-1/2 कप पके हुए चावल - पूरी तरह से ठंडे किए हुए, 1 बड़ा चम्मच नींबू का रस, 1/4 कप धनिया पत्ती - बारीक कटी हुई</v>
      </c>
      <c r="H560" s="1" t="s">
        <v>33226</v>
      </c>
      <c r="I560" s="1" t="str">
        <f ca="1">IFERROR(__xludf.dummyfunction("IF(H560="""", """", GOOGLETRANSLATE(H560, ""en"", ""hi""))"),"बेबी कॉर्न और टमाटर मसाला बाथ बनाने के लिए सबसे पहले प्रेशर कुकर में बेबी कॉर्न के साथ 2 बड़े चम्मच पानी डालें और दो सीटी आने तक पकाएं। ठंडे पानी के नीचे चलाकर तुरंत प्रेशर छोड़ दें। तुरंत प्रेशर छोड़ने से हम बेबी कॉर्न को ज्यादा पकने से रोकते हैं। मध्यम "&amp;"आंच पर एक पैन में तेल गर्म करें; इसमें जीरा, अदरक, लहसुन डालें और कुछ मिनट के लिए भूनें। इसमें प्याज डालें और हल्का नरम होने तक पकाएं। टमाटर डालकर नरम होने तक पकाएं। टमाटर के नरम होने के बाद इसमें पाव भाजी मसाला, गरम मसाला और जीरा पाउडर डालें और टॉस करें।"&amp;" इस स्तर पर, आंच को तेज कर दें, इसमें बेबी कॉर्न, पके हुए चावल, स्वादानुसार नमक डालें नमक और मसालों का स्वाद जाँचें और उसके अनुसार समायोजित करें। एक बार हो जाने पर, आँच बंद कर दें और धनिया पत्ती और ताज़ा नींबू का रस मिलाएँ। बेबी कॉर्न और टमाटर मसाला भात क"&amp;"ो सर्विंग बाउल में डालें और गरमागरम परोसें। इस बेबी कॉर्न और टमाटर मसाला भात को बूंदी रायता रेसिपी के साथ काला नमक और प्याज़ टमाटर मिक्स बीन स्प्राउट सलाद रेसिपी के साथ परोसें, जो एक त्वरित और स्वस्थ डिनर है। आप इसे चावल के साथ बच्चों के लंच बॉक्स में भी "&amp;"रख सकते हैं। उन्हें यह बहुत पसंद आएगा।")</f>
        <v>बेबी कॉर्न और टमाटर मसाला बाथ बनाने के लिए सबसे पहले प्रेशर कुकर में बेबी कॉर्न के साथ 2 बड़े चम्मच पानी डालें और दो सीटी आने तक पकाएं। ठंडे पानी के नीचे चलाकर तुरंत प्रेशर छोड़ दें। तुरंत प्रेशर छोड़ने से हम बेबी कॉर्न को ज्यादा पकने से रोकते हैं। मध्यम आंच पर एक पैन में तेल गर्म करें; इसमें जीरा, अदरक, लहसुन डालें और कुछ मिनट के लिए भूनें। इसमें प्याज डालें और हल्का नरम होने तक पकाएं। टमाटर डालकर नरम होने तक पकाएं। टमाटर के नरम होने के बाद इसमें पाव भाजी मसाला, गरम मसाला और जीरा पाउडर डालें और टॉस करें। इस स्तर पर, आंच को तेज कर दें, इसमें बेबी कॉर्न, पके हुए चावल, स्वादानुसार नमक डालें नमक और मसालों का स्वाद जाँचें और उसके अनुसार समायोजित करें। एक बार हो जाने पर, आँच बंद कर दें और धनिया पत्ती और ताज़ा नींबू का रस मिलाएँ। बेबी कॉर्न और टमाटर मसाला भात को सर्विंग बाउल में डालें और गरमागरम परोसें। इस बेबी कॉर्न और टमाटर मसाला भात को बूंदी रायता रेसिपी के साथ काला नमक और प्याज़ टमाटर मिक्स बीन स्प्राउट सलाद रेसिपी के साथ परोसें, जो एक त्वरित और स्वस्थ डिनर है। आप इसे चावल के साथ बच्चों के लंच बॉक्स में भी रख सकते हैं। उन्हें यह बहुत पसंद आएगा।</v>
      </c>
      <c r="J560" s="3" t="s">
        <v>33227</v>
      </c>
      <c r="L560" s="1" t="s">
        <v>31003</v>
      </c>
    </row>
    <row r="561" spans="1:12" ht="409.6">
      <c r="A561" s="1" t="s">
        <v>33228</v>
      </c>
      <c r="B561" s="1" t="str">
        <f ca="1">IFERROR(__xludf.dummyfunction("IF(A561="""", """", GOOGLETRANSLATE(A561, ""en"", ""hi""))"),"मूंगफली केसर बर्फी रेसिपी")</f>
        <v>मूंगफली केसर बर्फी रेसिपी</v>
      </c>
      <c r="C561" s="1" t="s">
        <v>8417</v>
      </c>
      <c r="D561" s="1" t="s">
        <v>14198</v>
      </c>
      <c r="E561" s="1">
        <v>40</v>
      </c>
      <c r="F561" s="1" t="s">
        <v>33229</v>
      </c>
      <c r="G561" s="1" t="str">
        <f ca="1">IFERROR(__xludf.dummyfunction("IF(F561="""", """", GOOGLETRANSLATE(F561, ""en"", ""hi""))"),"1 कप कच्ची मूंगफली - बिना नमक की, 1 कप चीनी, 1/2 कप दूध पाउडर - वैकल्पिक, 1/8 चम्मच केसर, पीला खाद्य रंग - एक चुटकी (वैकल्पिक), 1/2 चम्मच मक्खन - स्पष्ट, 2 बड़े चम्मच दूध - गुनगुना, 5 इलायची की फली/बीज, 1 बड़ा चम्मच पिस्ता - कटा हुआ")</f>
        <v>1 कप कच्ची मूंगफली - बिना नमक की, 1 कप चीनी, 1/2 कप दूध पाउडर - वैकल्पिक, 1/8 चम्मच केसर, पीला खाद्य रंग - एक चुटकी (वैकल्पिक), 1/2 चम्मच मक्खन - स्पष्ट, 2 बड़े चम्मच दूध - गुनगुना, 5 इलायची की फली/बीज, 1 बड़ा चम्मच पिस्ता - कटा हुआ</v>
      </c>
      <c r="H561" s="1" t="s">
        <v>33230</v>
      </c>
      <c r="I561" s="4" t="str">
        <f ca="1">IFERROR(__xludf.dummyfunction("IF(H561="""", """", GOOGLETRANSLATE(H561, ""en"", ""hi""))"),"मूंगफली केसर बर्फी रेसिपी बनाने के लिए सबसे पहले एक चौड़े पैन को गर्म करें और मूंगफली को 5 से 6 मिनट तक सूखा भून लें और अलग रख दें। अब चीनी और इलायची को एक साथ या अलग से अपनी सुविधानुसार पाउडर बना लें। एक मध्यम आकार की प्लेट में थोडा घी लगाकर अलग रख दें। "&amp;"अब मूंगफली को ग्राइंडर की मदद से दरदरा पीस लें। अब उसी पैन में पिसी हुई मूंगफली, पाउडर चीनी, केसर, पीला खाने वाला रंग, मिल्क पाउडर, दूध डालें और धीमी आंच पर पकाएं। लगातार चलाते रहें। 8 से 10 मिनट के बाद यह थोड़ा गाढ़ा हो जाएगा और लगातार चलाते रहें। कुछ मि"&amp;"नटों के बाद मूंगफली का मिश्रण गाढ़ा हो जाएगा और पैन के किनारों को छोड़ने लगेगा। अब आंच बंद कर दें और मिश्रण को तुरंत तैयार प्लेट में डालें। इसके ऊपर कुछ कटे हुए पिस्ते और केसर डालें। जब यह अभी भी गर्म हो तो स्लाइस करने के लिए निशान बना लें। 2 घंटे बाद या "&amp;"जब यह पूरी तरह से ठंडा हो जाए तो इसे स्लाइस करें और परोसें। मूंगफली केसर बर्फी को पंचमेल दाल, राबोडी की सब्जी और फुल्के के साथ पूरे सप्ताहांत के भोजन के लिए परोसें।
")</f>
        <v xml:space="preserve">मूंगफली केसर बर्फी रेसिपी बनाने के लिए सबसे पहले एक चौड़े पैन को गर्म करें और मूंगफली को 5 से 6 मिनट तक सूखा भून लें और अलग रख दें। अब चीनी और इलायची को एक साथ या अलग से अपनी सुविधानुसार पाउडर बना लें। एक मध्यम आकार की प्लेट में थोडा घी लगाकर अलग रख दें। अब मूंगफली को ग्राइंडर की मदद से दरदरा पीस लें। अब उसी पैन में पिसी हुई मूंगफली, पाउडर चीनी, केसर, पीला खाने वाला रंग, मिल्क पाउडर, दूध डालें और धीमी आंच पर पकाएं। लगातार चलाते रहें। 8 से 10 मिनट के बाद यह थोड़ा गाढ़ा हो जाएगा और लगातार चलाते रहें। कुछ मिनटों के बाद मूंगफली का मिश्रण गाढ़ा हो जाएगा और पैन के किनारों को छोड़ने लगेगा। अब आंच बंद कर दें और मिश्रण को तुरंत तैयार प्लेट में डालें। इसके ऊपर कुछ कटे हुए पिस्ते और केसर डालें। जब यह अभी भी गर्म हो तो स्लाइस करने के लिए निशान बना लें। 2 घंटे बाद या जब यह पूरी तरह से ठंडा हो जाए तो इसे स्लाइस करें और परोसें। मूंगफली केसर बर्फी को पंचमेल दाल, राबोडी की सब्जी और फुल्के के साथ पूरे सप्ताहांत के भोजन के लिए परोसें।
</v>
      </c>
      <c r="J561" s="3" t="s">
        <v>33231</v>
      </c>
      <c r="L561" s="1" t="s">
        <v>31003</v>
      </c>
    </row>
    <row r="562" spans="1:12" ht="13.8">
      <c r="A562" s="1" t="s">
        <v>33232</v>
      </c>
      <c r="B562" s="1" t="str">
        <f ca="1">IFERROR(__xludf.dummyfunction("IF(A562="""", """", GOOGLETRANSLATE(A562, ""en"", ""hi""))"),"अंडे का सालन रेसिपी - मूंगफली की ग्रेवी में तीखा अंडा मसाला")</f>
        <v>अंडे का सालन रेसिपी - मूंगफली की ग्रेवी में तीखा अंडा मसाला</v>
      </c>
      <c r="C562" s="1" t="s">
        <v>145</v>
      </c>
      <c r="D562" s="1" t="s">
        <v>15314</v>
      </c>
      <c r="E562" s="1">
        <v>45</v>
      </c>
      <c r="F562" s="1" t="s">
        <v>33233</v>
      </c>
      <c r="G562" s="1" t="str">
        <f ca="1">IFERROR(__xludf.dummyfunction("IF(F562="""", """", GOOGLETRANSLATE(F562, ""en"", ""hi""))"),"6 साबुत अंडे - उबले हुए, 1/4 कप ताजा नारियल - ताजा कसा हुआ, 2 बड़े चम्मच मूंगफली - भुनी हुई, 2 बड़े चम्मच तिल के बीज (तिल के बीज), 1/2 कप पानी - गुनगुना, 1/2 चम्मच सरसों के बीज, 1/2 चम्मच जीरा (जीरा), 1/4 चम्मच मेथी के बीज (मेथी के बीज), 1 टहनी करी पत्ता,"&amp;" 2 प्याज - बारीक कटा हुआ, 1 इंच अदरक - बारीक कटा हुआ, 6 लौंग लहसुन - बारीक कटा हुआ, 2 हरी मिर्च - कटी हुई, 1 कप घर का बना टमाटर प्यूरी, 1/4 चम्मच हल्दी पाउडर (हल्दी), 1 चम्मच लाल मिर्च पाउडर, 1 1/2 चम्मच धनिया (धनिया) पाउडर, 1 कप इमली का पानी, 1 बड़ा चम्म"&amp;"च सूरजमुखी का तेल, 2 बड़े चम्मच धनिया (धनिया) पत्ते - कटा हुआ")</f>
        <v>6 साबुत अंडे - उबले हुए, 1/4 कप ताजा नारियल - ताजा कसा हुआ, 2 बड़े चम्मच मूंगफली - भुनी हुई, 2 बड़े चम्मच तिल के बीज (तिल के बीज), 1/2 कप पानी - गुनगुना, 1/2 चम्मच सरसों के बीज, 1/2 चम्मच जीरा (जीरा), 1/4 चम्मच मेथी के बीज (मेथी के बीज), 1 टहनी करी पत्ता, 2 प्याज - बारीक कटा हुआ, 1 इंच अदरक - बारीक कटा हुआ, 6 लौंग लहसुन - बारीक कटा हुआ, 2 हरी मिर्च - कटी हुई, 1 कप घर का बना टमाटर प्यूरी, 1/4 चम्मच हल्दी पाउडर (हल्दी), 1 चम्मच लाल मिर्च पाउडर, 1 1/2 चम्मच धनिया (धनिया) पाउडर, 1 कप इमली का पानी, 1 बड़ा चम्मच सूरजमुखी का तेल, 2 बड़े चम्मच धनिया (धनिया) पत्ते - कटा हुआ</v>
      </c>
      <c r="H562" s="1" t="s">
        <v>33234</v>
      </c>
      <c r="I562" s="1" t="str">
        <f ca="1">IFERROR(__xludf.dummyfunction("IF(H562="""", """", GOOGLETRANSLATE(H562, ""en"", ""hi""))"),"अंडे का सालन रेसिपी बनाने के लिए सबसे पहले एक पहले से गरम किए हुए पैन में भुनी हुई मूंगफली, तिल डालें और एक मिनट तक भूनें जब तक कि तिल चटकने न लगे। एक बार हो जाने पर आँच बंद कर दें और इसे ठंडा होने दें। भुनी हुई मूंगफली और तिल को मिक्सर ग्राइंडर में नारिय"&amp;"ल, गर्म पानी के साथ डालें और एक मुलायम पेस्ट बना लें। एक तरफ रख दें। अब हम ग्रेवी बनाने के लिए आगे बढ़ेंगे। एक पहले से गरम किए हुए पैन में तेल डालें, तेल गरम हो जाने पर उसमें राई, जीरा, मेथी डालें और बीजों को चटकने दें। जब बीज चटकने लगे तब उसमें करी पत्ता"&amp;", प्याज, लहसुन, अदरक, हरी मिर्च डालें और प्याज को सुनहरा भूरा होने तक भूनें। जब हो जाए तब उसमें टमाटर प्यूरी, हल्दी पाउडर, लाल मिर्च पाउडर, धनिया पाउडर, नारियल मूंगफली तिल का मिश्रण, इमली का पानी और स्वादानुसार नमक डालें 5 से 7 मिनट के बाद, कटी हुई धनिया "&amp;"पत्ती डालकर चलाएँ, कटे हुए उबले अंडे ग्रेवी में डालें, तेज़ उबाल आने दें और आँच बंद कर दें। अंडे का सालन को एक सर्विंग डिश में डालें और गरमागरम परोसें। अपने वीकेंड डिनर के लिए अंडे का सालन रेसिपी को चिकन बिरयानी या तवा पराठा और बुरानी रायता के साथ परोसें।")</f>
        <v>अंडे का सालन रेसिपी बनाने के लिए सबसे पहले एक पहले से गरम किए हुए पैन में भुनी हुई मूंगफली, तिल डालें और एक मिनट तक भूनें जब तक कि तिल चटकने न लगे। एक बार हो जाने पर आँच बंद कर दें और इसे ठंडा होने दें। भुनी हुई मूंगफली और तिल को मिक्सर ग्राइंडर में नारियल, गर्म पानी के साथ डालें और एक मुलायम पेस्ट बना लें। एक तरफ रख दें। अब हम ग्रेवी बनाने के लिए आगे बढ़ेंगे। एक पहले से गरम किए हुए पैन में तेल डालें, तेल गरम हो जाने पर उसमें राई, जीरा, मेथी डालें और बीजों को चटकने दें। जब बीज चटकने लगे तब उसमें करी पत्ता, प्याज, लहसुन, अदरक, हरी मिर्च डालें और प्याज को सुनहरा भूरा होने तक भूनें। जब हो जाए तब उसमें टमाटर प्यूरी, हल्दी पाउडर, लाल मिर्च पाउडर, धनिया पाउडर, नारियल मूंगफली तिल का मिश्रण, इमली का पानी और स्वादानुसार नमक डालें 5 से 7 मिनट के बाद, कटी हुई धनिया पत्ती डालकर चलाएँ, कटे हुए उबले अंडे ग्रेवी में डालें, तेज़ उबाल आने दें और आँच बंद कर दें। अंडे का सालन को एक सर्विंग डिश में डालें और गरमागरम परोसें। अपने वीकेंड डिनर के लिए अंडे का सालन रेसिपी को चिकन बिरयानी या तवा पराठा और बुरानी रायता के साथ परोसें।</v>
      </c>
      <c r="J562" s="3" t="s">
        <v>33235</v>
      </c>
      <c r="L562" s="1" t="s">
        <v>31003</v>
      </c>
    </row>
    <row r="563" spans="1:12" ht="409.6">
      <c r="A563" s="1" t="s">
        <v>33236</v>
      </c>
      <c r="B563" s="1" t="str">
        <f ca="1">IFERROR(__xludf.dummyfunction("IF(A563="""", """", GOOGLETRANSLATE(A563, ""en"", ""hi""))"),"चास दही वड़ा रेसिपी - ताज़ा छाछ में दही वड़ा")</f>
        <v>चास दही वड़ा रेसिपी - ताज़ा छाछ में दही वड़ा</v>
      </c>
      <c r="C563" s="1" t="s">
        <v>14281</v>
      </c>
      <c r="D563" s="1" t="s">
        <v>14198</v>
      </c>
      <c r="E563" s="1">
        <v>60</v>
      </c>
      <c r="F563" s="1" t="s">
        <v>33237</v>
      </c>
      <c r="G563" s="1" t="str">
        <f ca="1">IFERROR(__xludf.dummyfunction("IF(F563="""", """", GOOGLETRANSLATE(F563, ""en"", ""hi""))"),"1 कप सफ़ेद उड़द दाल (साबुत), नमक - स्वादानुसार, 2 हरी मिर्च - बारीक कटी हुई, फिगारो शुद्ध जैतून का तेल - पैन तलने के लिए, 3 कप दही (दही), 3 कप पानी, 1/4 कप पुदीना - कटा हुआ, 1 चम्मच चाट मसाला पाउडर, 2 हरी मिर्च - कटी हुई (या पेस्ट के अनुसार अधिक), 1 चम्मच"&amp;" जीरा (जीरा), 2 चम्मच चीनी - (वैकल्पिक), नमक - स्वादानुसार")</f>
        <v>1 कप सफ़ेद उड़द दाल (साबुत), नमक - स्वादानुसार, 2 हरी मिर्च - बारीक कटी हुई, फिगारो शुद्ध जैतून का तेल - पैन तलने के लिए, 3 कप दही (दही), 3 कप पानी, 1/4 कप पुदीना - कटा हुआ, 1 चम्मच चाट मसाला पाउडर, 2 हरी मिर्च - कटी हुई (या पेस्ट के अनुसार अधिक), 1 चम्मच जीरा (जीरा), 2 चम्मच चीनी - (वैकल्पिक), नमक - स्वादानुसार</v>
      </c>
      <c r="H563" s="4" t="s">
        <v>33238</v>
      </c>
      <c r="I563" s="1" t="str">
        <f ca="1">IFERROR(__xludf.dummyfunction("IF(H563="""", """", GOOGLETRANSLATE(H563, ""en"", ""hi""))"),"दही वड़ा रेसिपी बनाने के लिए, हमें सबसे पहले उड़द दाल को 2 कप पानी में 2 घंटे के लिए भिगोना होगा। दाल को नमक के साथ पीस लें और गाढ़ा और चिकना घोल बनाने के लिए पर्याप्त पानी डालें। कुझी पनियारम पैन को पहले से गरम कर लें और हर छेद में एक चुटकी तेल डालें। हर"&amp;" छेद में दही वड़ा घोल की एक छोटी सी मात्रा डालें, पैन को ढक दें और मध्यम आँच पर भाप बनने दें। आप चाहें तो हर छेद में थोड़ा और तेल डाल सकते हैं ताकि यह थोड़ा और कुरकुरा हो जाए। जब ​​वड़ा ऊपर से भाप से पक जाए, तो वड़ा को पलट दें और इसे दोनों तरफ से सुनहरा भ"&amp;"ूरा होने दें। दही वड़ा घोल के बचे हुए हिस्सों के साथ भी यही प्रक्रिया दोहराएँ। अब एक बड़े चौड़े बर्तन में पानी गर्म करें; जब यह उबलने लगे, तो आँच बंद कर दें। पैन में तले हुए वड़े को गर्म पानी में डालें। एक बार में बहुत ज़्यादा न डालें। वड़ों को सांस लेने "&amp;"के लिए पर्याप्त जगह दें, क्योंकि वे पानी में ज़्यादा फैलते हैं। वड़ों को लगभग 5 मिनट तक या नरम होने तक पानी में भिगो दें। जब सारे वड़े भीग जाएं और नरम हो जाएं तो उन्हें निचोड़े बिना, अतिरिक्त पानी निकाल दें। उन्हें एक सर्विंग डिश में अलग रख दें। वड़ों को "&amp;"पानी में भिगोने की प्रक्रिया उन्हें नरम, फूला हुआ और रसदार बनाती है साथ ही उन्हें छिद्रपूर्ण भी बनाती है। दही वड़े के लिए छाछ बनाने के लिए। मिक्सर ग्राइंडर के लंबे जार में दही, नमक, हरी मिर्च, जीरा और पुदीने के पत्ते डालें। चिकना मिश्रण बनाने के लिए इसे द"&amp;"रदरा पीस लें। पिसी हुई दही को एक बड़े कटोरे में डालें- पानी डालें और अच्छी तरह फेंटें। नमक और मसालों की जांच करें और स्वाद के अनुसार समायोजित करें। एक बार हो जाने पर, भिगोए हुए वड़ों को छाछ में डाल दें")</f>
        <v>दही वड़ा रेसिपी बनाने के लिए, हमें सबसे पहले उड़द दाल को 2 कप पानी में 2 घंटे के लिए भिगोना होगा। दाल को नमक के साथ पीस लें और गाढ़ा और चिकना घोल बनाने के लिए पर्याप्त पानी डालें। कुझी पनियारम पैन को पहले से गरम कर लें और हर छेद में एक चुटकी तेल डालें। हर छेद में दही वड़ा घोल की एक छोटी सी मात्रा डालें, पैन को ढक दें और मध्यम आँच पर भाप बनने दें। आप चाहें तो हर छेद में थोड़ा और तेल डाल सकते हैं ताकि यह थोड़ा और कुरकुरा हो जाए। जब ​​वड़ा ऊपर से भाप से पक जाए, तो वड़ा को पलट दें और इसे दोनों तरफ से सुनहरा भूरा होने दें। दही वड़ा घोल के बचे हुए हिस्सों के साथ भी यही प्रक्रिया दोहराएँ। अब एक बड़े चौड़े बर्तन में पानी गर्म करें; जब यह उबलने लगे, तो आँच बंद कर दें। पैन में तले हुए वड़े को गर्म पानी में डालें। एक बार में बहुत ज़्यादा न डालें। वड़ों को सांस लेने के लिए पर्याप्त जगह दें, क्योंकि वे पानी में ज़्यादा फैलते हैं। वड़ों को लगभग 5 मिनट तक या नरम होने तक पानी में भिगो दें। जब सारे वड़े भीग जाएं और नरम हो जाएं तो उन्हें निचोड़े बिना, अतिरिक्त पानी निकाल दें। उन्हें एक सर्विंग डिश में अलग रख दें। वड़ों को पानी में भिगोने की प्रक्रिया उन्हें नरम, फूला हुआ और रसदार बनाती है साथ ही उन्हें छिद्रपूर्ण भी बनाती है। दही वड़े के लिए छाछ बनाने के लिए। मिक्सर ग्राइंडर के लंबे जार में दही, नमक, हरी मिर्च, जीरा और पुदीने के पत्ते डालें। चिकना मिश्रण बनाने के लिए इसे दरदरा पीस लें। पिसी हुई दही को एक बड़े कटोरे में डालें- पानी डालें और अच्छी तरह फेंटें। नमक और मसालों की जांच करें और स्वाद के अनुसार समायोजित करें। एक बार हो जाने पर, भिगोए हुए वड़ों को छाछ में डाल दें</v>
      </c>
      <c r="J563" s="3" t="s">
        <v>33239</v>
      </c>
      <c r="L563" s="1" t="s">
        <v>31003</v>
      </c>
    </row>
    <row r="564" spans="1:12" ht="13.8">
      <c r="A564" s="1" t="s">
        <v>33240</v>
      </c>
      <c r="B564" s="1" t="str">
        <f ca="1">IFERROR(__xludf.dummyfunction("IF(A564="""", """", GOOGLETRANSLATE(A564, ""en"", ""hi""))"),"भट्ट की दाल रेसिपी - पारंपरिक कुमाऊंनी ब्लैक बीन दाल")</f>
        <v>भट्ट की दाल रेसिपी - पारंपरिक कुमाऊंनी ब्लैक बीन दाल</v>
      </c>
      <c r="C564" s="1" t="s">
        <v>145</v>
      </c>
      <c r="D564" s="1" t="s">
        <v>14198</v>
      </c>
      <c r="E564" s="1">
        <v>35</v>
      </c>
      <c r="F564" s="1" t="s">
        <v>33241</v>
      </c>
      <c r="G564" s="1" t="str">
        <f ca="1">IFERROR(__xludf.dummyfunction("IF(F564="""", """", GOOGLETRANSLATE(F564, ""en"", ""hi""))"),"1 कप काली दाल - रातभर भिगोई हुई, 1 प्याज - बारीक कटा हुआ, 4 लहसुन की कलियाँ - बारीक कटा हुआ, 1 छोटा चम्मच जीरा, 1/4 कप गेहूं का आटा, 1 छोटा चम्मच हल्दी, 2 छोटे चम्मच लाल मिर्च पाउडर, 2 छोटे चम्मच धनिया पाउडर, 2 छोटे चम्मच गरम मसाला पाउडर, नमक - स्वादानुसा"&amp;"र, सूरजमुखी तेल, 1 बड़ा चम्मच घी")</f>
        <v>1 कप काली दाल - रातभर भिगोई हुई, 1 प्याज - बारीक कटा हुआ, 4 लहसुन की कलियाँ - बारीक कटा हुआ, 1 छोटा चम्मच जीरा, 1/4 कप गेहूं का आटा, 1 छोटा चम्मच हल्दी, 2 छोटे चम्मच लाल मिर्च पाउडर, 2 छोटे चम्मच धनिया पाउडर, 2 छोटे चम्मच गरम मसाला पाउडर, नमक - स्वादानुसार, सूरजमुखी तेल, 1 बड़ा चम्मच घी</v>
      </c>
      <c r="H564" s="1" t="s">
        <v>33242</v>
      </c>
      <c r="I564" s="1" t="str">
        <f ca="1">IFERROR(__xludf.dummyfunction("IF(H564="""", """", GOOGLETRANSLATE(H564, ""en"", ""hi""))"),"कुमानी भट्ट की दाल रेसिपी बनाने के लिए सबसे पहले उड़द की दाल को रात भर पानी में भिगोकर रखें। एक कढ़ाई को मध्यम आंच पर गर्म करें, उसमें एक बड़ा चम्मच घी डालें और जब वह पिघलने लगे तो उसमें गेहूं का आटा डालें। आटे को तब तक भूनते रहें जब तक उसका रंग हल्का भूर"&amp;"ा न हो जाए। जब ​​यह हल्का भूरा हो जाए तो इसे निकाल कर एक तरफ रख दें। एक प्रेशर कुकर में मध्यम आंच पर तेल गर्म करें, उसमें जीरा डालें और उसे चटकने दें। उसमें कटा हुआ प्याज और लहसुन डालें और प्याज के पारदर्शी होने तक भूनें। जब प्याज हल्का भूरा हो जाए तो उसम"&amp;"ें भीगी हुई उड़द की दाल को पानी के साथ डालें, मसाले जैसे हल्दी, लाल मिर्च पाउडर, गरम मसाला पाउडर, धनिया पाउडर, स्वादानुसार नमक डालें और अच्छी तरह मिलाएँ। जब तक दालें कम से कम 2 इंच नीचे पानी में अच्छी तरह से डूब न जाएं तब तक थोड़ा और पानी डालें। भट्ट की द"&amp;"ाल को 5 से 8 सीटी आने पर लगभग 30 मिनट तक पकाएं जब तक कि यह पूरी तरह से पक न जाए। हो जाने पर आंच बंद कर दें और प्रेशर को स्वाभाविक रूप से निकलने दें। निकल जाने के बाद उसमें गेहूं का आटा डालें और तब तक मिलाते रहें जब तक कुमानी भट्ट की दाल अच्छी तरह मिल न जा"&amp;"ए। यदि आवश्यक हो तो थोड़ा पानी डालें और कुमानी भट्ट की दाल के गाढ़ा होने तक हिलाते रहें। नमक की जांच करें यदि कुमानी भट्ट की दाल को किसी स्वाद की आवश्यकता है तो आप इसे अब समायोजित कर सकते हैं। हो जाने पर आंच बंद कर दें और कुमानी भट्ट की दाल को एक सर्विंग "&amp;"बाउल में डालें। कुमानी भट्ट की दाल रेसिपी को फुल्का रेसिपी और आलू गोभी की सब्जी के साथ परोसें और अपने और परिवार के लिए एक साधारण भारतीय लंच या डिनर बनाएं।")</f>
        <v>कुमानी भट्ट की दाल रेसिपी बनाने के लिए सबसे पहले उड़द की दाल को रात भर पानी में भिगोकर रखें। एक कढ़ाई को मध्यम आंच पर गर्म करें, उसमें एक बड़ा चम्मच घी डालें और जब वह पिघलने लगे तो उसमें गेहूं का आटा डालें। आटे को तब तक भूनते रहें जब तक उसका रंग हल्का भूरा न हो जाए। जब ​​यह हल्का भूरा हो जाए तो इसे निकाल कर एक तरफ रख दें। एक प्रेशर कुकर में मध्यम आंच पर तेल गर्म करें, उसमें जीरा डालें और उसे चटकने दें। उसमें कटा हुआ प्याज और लहसुन डालें और प्याज के पारदर्शी होने तक भूनें। जब प्याज हल्का भूरा हो जाए तो उसमें भीगी हुई उड़द की दाल को पानी के साथ डालें, मसाले जैसे हल्दी, लाल मिर्च पाउडर, गरम मसाला पाउडर, धनिया पाउडर, स्वादानुसार नमक डालें और अच्छी तरह मिलाएँ। जब तक दालें कम से कम 2 इंच नीचे पानी में अच्छी तरह से डूब न जाएं तब तक थोड़ा और पानी डालें। भट्ट की दाल को 5 से 8 सीटी आने पर लगभग 30 मिनट तक पकाएं जब तक कि यह पूरी तरह से पक न जाए। हो जाने पर आंच बंद कर दें और प्रेशर को स्वाभाविक रूप से निकलने दें। निकल जाने के बाद उसमें गेहूं का आटा डालें और तब तक मिलाते रहें जब तक कुमानी भट्ट की दाल अच्छी तरह मिल न जाए। यदि आवश्यक हो तो थोड़ा पानी डालें और कुमानी भट्ट की दाल के गाढ़ा होने तक हिलाते रहें। नमक की जांच करें यदि कुमानी भट्ट की दाल को किसी स्वाद की आवश्यकता है तो आप इसे अब समायोजित कर सकते हैं। हो जाने पर आंच बंद कर दें और कुमानी भट्ट की दाल को एक सर्विंग बाउल में डालें। कुमानी भट्ट की दाल रेसिपी को फुल्का रेसिपी और आलू गोभी की सब्जी के साथ परोसें और अपने और परिवार के लिए एक साधारण भारतीय लंच या डिनर बनाएं।</v>
      </c>
      <c r="J564" s="3" t="s">
        <v>33243</v>
      </c>
      <c r="L564" s="1" t="s">
        <v>31003</v>
      </c>
    </row>
    <row r="565" spans="1:12" ht="13.8">
      <c r="A565" s="1" t="s">
        <v>33244</v>
      </c>
      <c r="B565" s="1" t="str">
        <f ca="1">IFERROR(__xludf.dummyfunction("IF(A565="""", """", GOOGLETRANSLATE(A565, ""en"", ""hi""))"),"सुखी दही वाली लौकी रेसिपी - दही आधारित लौकी की सब्जी")</f>
        <v>सुखी दही वाली लौकी रेसिपी - दही आधारित लौकी की सब्जी</v>
      </c>
      <c r="C565" s="1" t="s">
        <v>145</v>
      </c>
      <c r="D565" s="1" t="s">
        <v>14338</v>
      </c>
      <c r="E565" s="1">
        <v>45</v>
      </c>
      <c r="F565" s="1" t="s">
        <v>33245</v>
      </c>
      <c r="G565" s="1" t="str">
        <f ca="1">IFERROR(__xludf.dummyfunction("IF(F565="""", """", GOOGLETRANSLATE(F565, ""en"", ""hi""))"),"1-1/2 कप लौकी - छीलकर कटी हुई, 1/2 छोटा चम्मच जीरा, 1/2 छोटा चम्मच राई, 5 करी पत्ते, 1 हरी मिर्च - बारीक कटी हुई, 3 लहसुन के दाने - बारीक कटा हुआ, 1 प्याज - बारीक कटा हुआ, 1 टमाटर - कटा हुआ, 1/4 कप दही, 1 छोटा चम्मच लाल मिर्च पाउडर, 1/2 छोटा चम्मच हल्दी, "&amp;"1/2 छोटा चम्मच धनिया पाउडर, नमक - आवश्यकतानुसार, पानी - आवश्यकतानुसार, सूरजमुखी तेल - आवश्यकतानुसार")</f>
        <v>1-1/2 कप लौकी - छीलकर कटी हुई, 1/2 छोटा चम्मच जीरा, 1/2 छोटा चम्मच राई, 5 करी पत्ते, 1 हरी मिर्च - बारीक कटी हुई, 3 लहसुन के दाने - बारीक कटा हुआ, 1 प्याज - बारीक कटा हुआ, 1 टमाटर - कटा हुआ, 1/4 कप दही, 1 छोटा चम्मच लाल मिर्च पाउडर, 1/2 छोटा चम्मच हल्दी, 1/2 छोटा चम्मच धनिया पाउडर, नमक - आवश्यकतानुसार, पानी - आवश्यकतानुसार, सूरजमुखी तेल - आवश्यकतानुसार</v>
      </c>
      <c r="H565" s="1" t="s">
        <v>33246</v>
      </c>
      <c r="I565" s="1" t="str">
        <f ca="1">IFERROR(__xludf.dummyfunction("IF(H565="""", """", GOOGLETRANSLATE(H565, ""en"", ""hi""))"),"सुखी दही वाली लौकी रेसिपी (दही आधारित लौकी की सब्जी) बनाने के लिए सबसे पहले एक कढ़ाई में तेल गर्म करें। इसमें जीरा, राई, करी पत्ता और हरी मिर्च डालें। जब राई चटकने लगे, तो लहसुन और प्याज डालें। प्याज के नरम और पारदर्शी होने तक पकाएँ। इसके बाद कटी हुई लौकी"&amp;" डालें और इसे चलाएँ। नमक, हल्दी पाउडर डालें और पैन को ढक्कन से ढक दें। इसे लगभग 3 से 4 मिनट तक पकने दें। इसके बाद टमाटर, लाल मिर्च पाउडर और धनिया पाउडर डालें। सब कुछ मिलाएं और पैन को फिर से ढक दें। इस बीच, एक कटोरे में दही को आवश्यक पानी के साथ फेंट लें औ"&amp;"र एक तरफ रख दें। जब लौकी नरम हो जाए, तो आंच धीमी कर दें, दही डालें और लगातार हिलाएं। एक बार जब सुखी दही वाली लौकी अच्छी तरह से मिल जाए, तो पैन को फिर से ढक दें और इसे लगभग 6 से 8 मिनट तक पकने दें, जब तक कि अधिकांश तरल वाष्पित न हो जाए। जब ​​सुखी दही वाली "&amp;"लौकी रेसिपी (दही आधारित लौकी की सब्जी) अच्छी तरह से पक जाए, तो आंच बंद कर दें और गर्मागर्म परोसें। सुखी दही वाली लौकी को पालक दाल, बूंदी रायता और फुल्के के साथ रोजाना के खाने में परोसें।")</f>
        <v>सुखी दही वाली लौकी रेसिपी (दही आधारित लौकी की सब्जी) बनाने के लिए सबसे पहले एक कढ़ाई में तेल गर्म करें। इसमें जीरा, राई, करी पत्ता और हरी मिर्च डालें। जब राई चटकने लगे, तो लहसुन और प्याज डालें। प्याज के नरम और पारदर्शी होने तक पकाएँ। इसके बाद कटी हुई लौकी डालें और इसे चलाएँ। नमक, हल्दी पाउडर डालें और पैन को ढक्कन से ढक दें। इसे लगभग 3 से 4 मिनट तक पकने दें। इसके बाद टमाटर, लाल मिर्च पाउडर और धनिया पाउडर डालें। सब कुछ मिलाएं और पैन को फिर से ढक दें। इस बीच, एक कटोरे में दही को आवश्यक पानी के साथ फेंट लें और एक तरफ रख दें। जब लौकी नरम हो जाए, तो आंच धीमी कर दें, दही डालें और लगातार हिलाएं। एक बार जब सुखी दही वाली लौकी अच्छी तरह से मिल जाए, तो पैन को फिर से ढक दें और इसे लगभग 6 से 8 मिनट तक पकने दें, जब तक कि अधिकांश तरल वाष्पित न हो जाए। जब ​​सुखी दही वाली लौकी रेसिपी (दही आधारित लौकी की सब्जी) अच्छी तरह से पक जाए, तो आंच बंद कर दें और गर्मागर्म परोसें। सुखी दही वाली लौकी को पालक दाल, बूंदी रायता और फुल्के के साथ रोजाना के खाने में परोसें।</v>
      </c>
      <c r="J565" s="3" t="s">
        <v>33247</v>
      </c>
      <c r="L565" s="1" t="s">
        <v>31003</v>
      </c>
    </row>
    <row r="566" spans="1:12" ht="409.6">
      <c r="A566" s="1" t="s">
        <v>33248</v>
      </c>
      <c r="B566" s="1" t="str">
        <f ca="1">IFERROR(__xludf.dummyfunction("IF(A566="""", """", GOOGLETRANSLATE(A566, ""en"", ""hi""))"),"मसालेदार दही के साथ मूंगफली चाट रेसिपी")</f>
        <v>मसालेदार दही के साथ मूंगफली चाट रेसिपी</v>
      </c>
      <c r="C566" s="1" t="s">
        <v>14281</v>
      </c>
      <c r="D566" s="1" t="s">
        <v>14237</v>
      </c>
      <c r="E566" s="1">
        <v>40</v>
      </c>
      <c r="F566" s="1" t="s">
        <v>33249</v>
      </c>
      <c r="G566" s="1" t="str">
        <f ca="1">IFERROR(__xludf.dummyfunction("IF(F566="""", """", GOOGLETRANSLATE(F566, ""en"", ""hi""))"),"1 कप मूंगफली - उबली हुई, 1/2 छोटा चम्मच हल्दी पाउडर, 1 टमाटर - बारीक कटा हुआ, 1 खीरा - बारीक कटा हुआ, 1 हरी मिर्च - कद्दूकस की हुई, 2 बड़े चम्मच नींबू का रस, 1 छोटा चम्मच चाट मसाला पाउडर, 1/2 छोटा चम्मच जीरा पाउडर, 1 छोटा चम्मच चीनी, 1/2 छोटा चम्मच नमक, 1"&amp;" कप दही, 1/2 छोटा चम्मच काली मिर्च पाउडर, 1/4 छोटा चम्मच नमक, 1/2 छोटा चम्मच मिक्स हर्ब्स")</f>
        <v>1 कप मूंगफली - उबली हुई, 1/2 छोटा चम्मच हल्दी पाउडर, 1 टमाटर - बारीक कटा हुआ, 1 खीरा - बारीक कटा हुआ, 1 हरी मिर्च - कद्दूकस की हुई, 2 बड़े चम्मच नींबू का रस, 1 छोटा चम्मच चाट मसाला पाउडर, 1/2 छोटा चम्मच जीरा पाउडर, 1 छोटा चम्मच चीनी, 1/2 छोटा चम्मच नमक, 1 कप दही, 1/2 छोटा चम्मच काली मिर्च पाउडर, 1/4 छोटा चम्मच नमक, 1/2 छोटा चम्मच मिक्स हर्ब्स</v>
      </c>
      <c r="H566" s="4" t="s">
        <v>33250</v>
      </c>
      <c r="I566" s="1" t="str">
        <f ca="1">IFERROR(__xludf.dummyfunction("IF(H566="""", """", GOOGLETRANSLATE(H566, ""en"", ""hi""))"),"दही वाली मूंगफली चाट रेसिपी बनाने के लिए सबसे पहले हम दही की ड्रेसिंग बनाएंगे। एक बाउल में दही, काली मिर्च पाउडर, नमक, मिक्स हर्ब्स डालकर अच्छे से मिलाएँ। इस बाउल को 1/2 घंटे के लिए फ्रिज में रख दें। दूसरे बाउल में मूंगफली, हल्दी पाउडर, टमाटर, खीरा, नमक, "&amp;"हरी मिर्च, चाट मसाला, जीरा पाउडर, चीनी, नींबू का रस डालकर अच्छे से मिलाएँ। अब एक बाउल में दही डालें, उसके ऊपर मूंगफली का मिश्रण डालें और सर्व करें। दही वाली मूंगफली चाट रेसिपी को पालक दाल, भिंडी मसाला और फुल्के के साथ सर्व करें। आप इसे शाम की मसाला चाय के"&amp;" साथ भी सर्व कर सकते हैं।")</f>
        <v>दही वाली मूंगफली चाट रेसिपी बनाने के लिए सबसे पहले हम दही की ड्रेसिंग बनाएंगे। एक बाउल में दही, काली मिर्च पाउडर, नमक, मिक्स हर्ब्स डालकर अच्छे से मिलाएँ। इस बाउल को 1/2 घंटे के लिए फ्रिज में रख दें। दूसरे बाउल में मूंगफली, हल्दी पाउडर, टमाटर, खीरा, नमक, हरी मिर्च, चाट मसाला, जीरा पाउडर, चीनी, नींबू का रस डालकर अच्छे से मिलाएँ। अब एक बाउल में दही डालें, उसके ऊपर मूंगफली का मिश्रण डालें और सर्व करें। दही वाली मूंगफली चाट रेसिपी को पालक दाल, भिंडी मसाला और फुल्के के साथ सर्व करें। आप इसे शाम की मसाला चाय के साथ भी सर्व कर सकते हैं।</v>
      </c>
      <c r="J566" s="3" t="s">
        <v>33251</v>
      </c>
      <c r="L566" s="1" t="s">
        <v>31003</v>
      </c>
    </row>
    <row r="567" spans="1:12" ht="13.8">
      <c r="A567" s="1" t="s">
        <v>33252</v>
      </c>
      <c r="B567" s="1" t="str">
        <f ca="1">IFERROR(__xludf.dummyfunction("IF(A567="""", """", GOOGLETRANSLATE(A567, ""en"", ""hi""))"),"साबुत गेहूं सोंठ के लड्डू रेसिपी")</f>
        <v>साबुत गेहूं सोंठ के लड्डू रेसिपी</v>
      </c>
      <c r="C567" s="1" t="s">
        <v>14281</v>
      </c>
      <c r="D567" s="1" t="s">
        <v>14198</v>
      </c>
      <c r="E567" s="1">
        <v>40</v>
      </c>
      <c r="F567" s="1" t="s">
        <v>33253</v>
      </c>
      <c r="G567" s="1" t="str">
        <f ca="1">IFERROR(__xludf.dummyfunction("IF(F567="""", """", GOOGLETRANSLATE(F567, ""en"", ""hi""))"),"1 कप गेहूं का आटा, 1/4 कप सोंठ पाउडर, 3/4 कप गुड़, 1/3 कप गोंद, 1/2 कप सूखा नारियल (कोपरा) - कसा हुआ, 1/2 कप मिले-जुले मेवे - बादाम, 1/3 कप घी")</f>
        <v>1 कप गेहूं का आटा, 1/4 कप सोंठ पाउडर, 3/4 कप गुड़, 1/3 कप गोंद, 1/2 कप सूखा नारियल (कोपरा) - कसा हुआ, 1/2 कप मिले-जुले मेवे - बादाम, 1/3 कप घी</v>
      </c>
      <c r="H567" s="1" t="s">
        <v>33254</v>
      </c>
      <c r="I567" s="1" t="str">
        <f ca="1">IFERROR(__xludf.dummyfunction("IF(H567="""", """", GOOGLETRANSLATE(H567, ""en"", ""hi""))"),"गेहूं के सोंठ के लड्डू बनाने की विधि शुरू करने के लिए एक भारी तले की कड़ाही में 1 बड़ा चम्मच घी गर्म करें। उसमें गोंद डालकर धीमी आंच पर तब तक भूनें जब तक वह फूल कर हल्का भूरा न हो जाए। पैन से निकालकर एक प्लेट में रख लें। उसी पैन में बचा हुआ घी डालें। विवत"&amp;"्ता गेहूं के आटे को धीमी आंच पर तब तक भूनें जब तक आटे से अच्छी खुशबू न आने लगे और घी आटे से अलग न हो जाए। इसे एक चौड़े प्याले में निकाल लें। इसमें अदरक पाउडर डालें और लगभग एक मिनट तक या पाउडर से अच्छी खुशबू आने तक भूनें। पैन से निकालें और गेहूं के आटे वाल"&amp;"े प्याले में डाल दें। इसके बाद कद्दूकस किया हुआ सूखा नारियल एक मिनट तक भून लें और फिर गेहूं के आटे वाले प्याले में डाल दें। उसी पैन में टूटे हुए गुड़ के टुकड़े डालें और पिघलने तक गर्म करें इसे भी कटोरे में डालें। सभी सामग्री को अच्छी तरह से मिलाएँ। तब तक "&amp;"प्रतीक्षा करें जब तक कि गर्मी सहन करने लायक न हो जाए। नींबू के आकार की गेंदें बनाएँ और उन्हें गोल आकार दें। साबुत गेहूं के सोंठ के लड्डू को एक एयरटाइट कंटेनर में स्टोर करें, क्योंकि वे लगभग 3 से 4 महीने तक अच्छे रहते हैं। साबुत गेहूं के सोंठ के लड्डू आमतौ"&amp;"र पर सर्दियों के मौसम में शरीर को गर्माहट देने के लिए बनाए और खाए जाते हैं। आप इन्हें एक कप मसाला चाय के साथ चाय के नाश्ते के रूप में भी परोस सकते हैं।")</f>
        <v>गेहूं के सोंठ के लड्डू बनाने की विधि शुरू करने के लिए एक भारी तले की कड़ाही में 1 बड़ा चम्मच घी गर्म करें। उसमें गोंद डालकर धीमी आंच पर तब तक भूनें जब तक वह फूल कर हल्का भूरा न हो जाए। पैन से निकालकर एक प्लेट में रख लें। उसी पैन में बचा हुआ घी डालें। विवत्ता गेहूं के आटे को धीमी आंच पर तब तक भूनें जब तक आटे से अच्छी खुशबू न आने लगे और घी आटे से अलग न हो जाए। इसे एक चौड़े प्याले में निकाल लें। इसमें अदरक पाउडर डालें और लगभग एक मिनट तक या पाउडर से अच्छी खुशबू आने तक भूनें। पैन से निकालें और गेहूं के आटे वाले प्याले में डाल दें। इसके बाद कद्दूकस किया हुआ सूखा नारियल एक मिनट तक भून लें और फिर गेहूं के आटे वाले प्याले में डाल दें। उसी पैन में टूटे हुए गुड़ के टुकड़े डालें और पिघलने तक गर्म करें इसे भी कटोरे में डालें। सभी सामग्री को अच्छी तरह से मिलाएँ। तब तक प्रतीक्षा करें जब तक कि गर्मी सहन करने लायक न हो जाए। नींबू के आकार की गेंदें बनाएँ और उन्हें गोल आकार दें। साबुत गेहूं के सोंठ के लड्डू को एक एयरटाइट कंटेनर में स्टोर करें, क्योंकि वे लगभग 3 से 4 महीने तक अच्छे रहते हैं। साबुत गेहूं के सोंठ के लड्डू आमतौर पर सर्दियों के मौसम में शरीर को गर्माहट देने के लिए बनाए और खाए जाते हैं। आप इन्हें एक कप मसाला चाय के साथ चाय के नाश्ते के रूप में भी परोस सकते हैं।</v>
      </c>
      <c r="J567" s="3" t="s">
        <v>33255</v>
      </c>
      <c r="L567" s="1" t="s">
        <v>31003</v>
      </c>
    </row>
    <row r="568" spans="1:12" ht="13.8">
      <c r="A568" s="1" t="s">
        <v>33256</v>
      </c>
      <c r="B568" s="1" t="str">
        <f ca="1">IFERROR(__xludf.dummyfunction("IF(A568="""", """", GOOGLETRANSLATE(A568, ""en"", ""hi""))"),"शाही पनीर रेसिपी")</f>
        <v>शाही पनीर रेसिपी</v>
      </c>
      <c r="C568" s="1" t="s">
        <v>145</v>
      </c>
      <c r="D568" s="1" t="s">
        <v>14237</v>
      </c>
      <c r="E568" s="1">
        <v>50</v>
      </c>
      <c r="F568" s="1" t="s">
        <v>33257</v>
      </c>
      <c r="G568" s="1" t="str">
        <f ca="1">IFERROR(__xludf.dummyfunction("IF(F568="""", """", GOOGLETRANSLATE(F568, ""en"", ""hi""))"),"1 प्याज - बारीक कटा हुआ, 250 ग्राम पनीर - छोटे टुकड़ों में कटा हुआ, 1 हरी मिर्च - सीधी कटी हुई, 1 कप टमाटर प्यूरी, 3/4 कप क्रीम, 1 चम्मच जीरा, 1 चम्मच जीरा पाउडर, 1/2 चम्मच इलायची पाउडर, 1/2 चम्मच हल्दी पाउडर, 1/2 चम्मच लाल मिर्च पाउडर, नमक - स्वादानुसार,"&amp;" 2 बड़े चम्मच तेल, हरा धनिया - उपयोगानुसार")</f>
        <v>1 प्याज - बारीक कटा हुआ, 250 ग्राम पनीर - छोटे टुकड़ों में कटा हुआ, 1 हरी मिर्च - सीधी कटी हुई, 1 कप टमाटर प्यूरी, 3/4 कप क्रीम, 1 चम्मच जीरा, 1 चम्मच जीरा पाउडर, 1/2 चम्मच इलायची पाउडर, 1/2 चम्मच हल्दी पाउडर, 1/2 चम्मच लाल मिर्च पाउडर, नमक - स्वादानुसार, 2 बड़े चम्मच तेल, हरा धनिया - उपयोगानुसार</v>
      </c>
      <c r="H568" s="1" t="s">
        <v>33258</v>
      </c>
      <c r="I568" s="1" t="str">
        <f ca="1">IFERROR(__xludf.dummyfunction("IF(H568="""", """", GOOGLETRANSLATE(H568, ""en"", ""hi""))"),"शाही पनीर बनाने के लिए सबसे पहले एक पैन में तेल गर्म करें। उसमें जीरा डालकर चटकने दें। चटकने के बाद हरी मिर्च, प्याज़ डालें और प्याज़ के नरम होने तक पकाएँ। प्याज़ के नरम होने के बाद इसमें टमाटर प्यूरी, हल्दी पाउडर, लाल मिर्च पाउडर, जीरा पाउडर, इलायची पाउड"&amp;"र और नमक डालें। इसे 5 से 6 मिनट तक पकने दें। इसके बाद इसमें क्रीम डालें और अच्छे से मिलाएँ। 2 मिनट तक पकाएँ। 2 मिनट बाद इसमें पनीर, हरा धनिया डालें और 3 से 4 मिनट तक पकने दें। गैस बंद कर दें और सर्व करें। शाही पनीर रेसिपी को गार्लिक दाल, पालक रायता, जीरा "&amp;"राइस और फुल्के के साथ अपने रोज़ाना के खाने में परोसिए।")</f>
        <v>शाही पनीर बनाने के लिए सबसे पहले एक पैन में तेल गर्म करें। उसमें जीरा डालकर चटकने दें। चटकने के बाद हरी मिर्च, प्याज़ डालें और प्याज़ के नरम होने तक पकाएँ। प्याज़ के नरम होने के बाद इसमें टमाटर प्यूरी, हल्दी पाउडर, लाल मिर्च पाउडर, जीरा पाउडर, इलायची पाउडर और नमक डालें। इसे 5 से 6 मिनट तक पकने दें। इसके बाद इसमें क्रीम डालें और अच्छे से मिलाएँ। 2 मिनट तक पकाएँ। 2 मिनट बाद इसमें पनीर, हरा धनिया डालें और 3 से 4 मिनट तक पकने दें। गैस बंद कर दें और सर्व करें। शाही पनीर रेसिपी को गार्लिक दाल, पालक रायता, जीरा राइस और फुल्के के साथ अपने रोज़ाना के खाने में परोसिए।</v>
      </c>
      <c r="J568" s="3" t="s">
        <v>33259</v>
      </c>
      <c r="L568" s="1" t="s">
        <v>31003</v>
      </c>
    </row>
    <row r="569" spans="1:12" ht="13.8">
      <c r="A569" s="1" t="s">
        <v>33260</v>
      </c>
      <c r="B569" s="1" t="str">
        <f ca="1">IFERROR(__xludf.dummyfunction("IF(A569="""", """", GOOGLETRANSLATE(A569, ""en"", ""hi""))"),"दाल कबीला रेसिपी - मधुमेह रोगी उड़द दाल तड़का")</f>
        <v>दाल कबीला रेसिपी - मधुमेह रोगी उड़द दाल तड़का</v>
      </c>
      <c r="C569" s="1" t="s">
        <v>145</v>
      </c>
      <c r="D569" s="1" t="s">
        <v>14338</v>
      </c>
      <c r="E569" s="1">
        <v>30</v>
      </c>
      <c r="F569" s="1" t="s">
        <v>33261</v>
      </c>
      <c r="G569" s="1" t="str">
        <f ca="1">IFERROR(__xludf.dummyfunction("IF(F569="""", """", GOOGLETRANSLATE(F569, ""en"", ""hi""))"),"1 चम्मच घी, 1 कप सफेद उड़द दाल, 1 इंच दालचीनी, 3 लौंग, 3 सूखी लाल मिर्च, 1 प्याज - बारीक कटा हुआ, 3 लहसुन के दाने - बारीक कटा हुआ, 1/2 इंच अदरक - बारीक कटा हुआ, 1 टमाटर - बारीक कटा हुआ, 1 हरी मिर्च - कटी हुई, 1/4 चम्मच लाल मिर्च पाउडर, 1 चम्मच धनिया पाउडर"&amp;", 1/4 चम्मच हल्दी पाउडर, 1/4 चम्मच गरम मसाला पाउडर, 3 धनिया पत्ते - कटे हुए, 3 कप पानी, 1 बड़ा चम्मच घी, 1 चम्मच जीरा, 1 चम्मच काली मिर्च के दाने - हल्के से कुचले")</f>
        <v>1 चम्मच घी, 1 कप सफेद उड़द दाल, 1 इंच दालचीनी, 3 लौंग, 3 सूखी लाल मिर्च, 1 प्याज - बारीक कटा हुआ, 3 लहसुन के दाने - बारीक कटा हुआ, 1/2 इंच अदरक - बारीक कटा हुआ, 1 टमाटर - बारीक कटा हुआ, 1 हरी मिर्च - कटी हुई, 1/4 चम्मच लाल मिर्च पाउडर, 1 चम्मच धनिया पाउडर, 1/4 चम्मच हल्दी पाउडर, 1/4 चम्मच गरम मसाला पाउडर, 3 धनिया पत्ते - कटे हुए, 3 कप पानी, 1 बड़ा चम्मच घी, 1 चम्मच जीरा, 1 चम्मच काली मिर्च के दाने - हल्के से कुचले</v>
      </c>
      <c r="H569" s="1" t="s">
        <v>33262</v>
      </c>
      <c r="I569" s="1" t="str">
        <f ca="1">IFERROR(__xludf.dummyfunction("IF(H569="""", """", GOOGLETRANSLATE(H569, ""en"", ""hi""))"),"दाल कबीला रेसिपी बनाने के लिए सबसे पहले उड़द दाल को धोकर 2 घंटे के लिए भिगो दें। सभी सामग्री तैयार कर लें। प्रेशर कुकर में घी डालकर मध्यम आंच पर रखें। सूखी लाल मिर्च, दालचीनी, लौंग डालें और तब तक भूनें जब तक कि मसालों की खुशबू न आने लगे। प्याज़ और कटी हुई"&amp;" हरी मिर्च डालें और तब तक भूनें जब तक प्याज़ नरम न हो जाए और उसका रंग न बदल जाए। टमाटर, लाल मिर्च पाउडर, हल्दी पाउडर, धनिया पाउडर डालकर चलाएँ। अंत में उड़द दाल, नमक और 3 कप पानी डालकर 5 से 6 सीटी आने तक (लगभग 15 मिनट) पकाएँ। हो जाने पर आँच बंद कर दें और प"&amp;"्रेशर को अपने आप निकलने दें। प्रेशर निकल जाने पर नमक चैक करें और स्वादानुसार समायोजित करें। दाल कबीला/ उड़द दाल तड़का को एक सर्विंग बाउल में निकाल जीरा, कुटी काली मिर्च और सॉस डालकर कुछ सेकंड तक पकाएं जब तक कि जीरा चटकने न लगे। तकड़ा को दाल कबीला के ऊपर ड"&amp;"ालें और गरमागरम परोसें। दाल कबीला/ उड़द दाल तड़का को पालक रागी और ओट्स व्हीट थेपला और कचुम्बर सलाद रेसिपी के साथ खीरा, प्याज और टमाटर के साथ एक पौष्टिक सप्ताह की रात के मधुमेह भारतीय डिनर या लंच के लिए परोसें।")</f>
        <v>दाल कबीला रेसिपी बनाने के लिए सबसे पहले उड़द दाल को धोकर 2 घंटे के लिए भिगो दें। सभी सामग्री तैयार कर लें। प्रेशर कुकर में घी डालकर मध्यम आंच पर रखें। सूखी लाल मिर्च, दालचीनी, लौंग डालें और तब तक भूनें जब तक कि मसालों की खुशबू न आने लगे। प्याज़ और कटी हुई हरी मिर्च डालें और तब तक भूनें जब तक प्याज़ नरम न हो जाए और उसका रंग न बदल जाए। टमाटर, लाल मिर्च पाउडर, हल्दी पाउडर, धनिया पाउडर डालकर चलाएँ। अंत में उड़द दाल, नमक और 3 कप पानी डालकर 5 से 6 सीटी आने तक (लगभग 15 मिनट) पकाएँ। हो जाने पर आँच बंद कर दें और प्रेशर को अपने आप निकलने दें। प्रेशर निकल जाने पर नमक चैक करें और स्वादानुसार समायोजित करें। दाल कबीला/ उड़द दाल तड़का को एक सर्विंग बाउल में निकाल जीरा, कुटी काली मिर्च और सॉस डालकर कुछ सेकंड तक पकाएं जब तक कि जीरा चटकने न लगे। तकड़ा को दाल कबीला के ऊपर डालें और गरमागरम परोसें। दाल कबीला/ उड़द दाल तड़का को पालक रागी और ओट्स व्हीट थेपला और कचुम्बर सलाद रेसिपी के साथ खीरा, प्याज और टमाटर के साथ एक पौष्टिक सप्ताह की रात के मधुमेह भारतीय डिनर या लंच के लिए परोसें।</v>
      </c>
      <c r="J569" s="3" t="s">
        <v>33263</v>
      </c>
      <c r="L569" s="1" t="s">
        <v>31003</v>
      </c>
    </row>
    <row r="570" spans="1:12" ht="13.8">
      <c r="A570" s="1" t="s">
        <v>33264</v>
      </c>
      <c r="B570" s="1" t="str">
        <f ca="1">IFERROR(__xludf.dummyfunction("IF(A570="""", """", GOOGLETRANSLATE(A570, ""en"", ""hi""))"),"हरी बीन्स और तले हुए अंडे की रेसिपी")</f>
        <v>हरी बीन्स और तले हुए अंडे की रेसिपी</v>
      </c>
      <c r="C570" s="1" t="s">
        <v>16424</v>
      </c>
      <c r="D570" s="1" t="s">
        <v>14208</v>
      </c>
      <c r="E570" s="1">
        <v>35</v>
      </c>
      <c r="F570" s="1" t="s">
        <v>33265</v>
      </c>
      <c r="G570" s="1" t="str">
        <f ca="1">IFERROR(__xludf.dummyfunction("IF(F570="""", """", GOOGLETRANSLATE(F570, ""en"", ""hi""))"),"3 पूरे अंडे, 300 ग्राम हरी बीन्स (फ्रेंच बीन्स) - कटी हुई, 1 चम्मच जीरा (जीरा), 1/2 चम्मच हल्दी पाउडर (हल्दी), 1 चम्मच काली मिर्च पाउडर, 1 हरी मिर्च - कटी हुई, नमक - स्वादानुसार, सूरजमुखी तेल")</f>
        <v>3 पूरे अंडे, 300 ग्राम हरी बीन्स (फ्रेंच बीन्स) - कटी हुई, 1 चम्मच जीरा (जीरा), 1/2 चम्मच हल्दी पाउडर (हल्दी), 1 चम्मच काली मिर्च पाउडर, 1 हरी मिर्च - कटी हुई, नमक - स्वादानुसार, सूरजमुखी तेल</v>
      </c>
      <c r="H570" s="1" t="s">
        <v>33266</v>
      </c>
      <c r="I570" s="1" t="str">
        <f ca="1">IFERROR(__xludf.dummyfunction("IF(H570="""", """", GOOGLETRANSLATE(H570, ""en"", ""hi""))"),"ग्रीन बीन्स और स्क्रैम्बल्ड एग रेसिपी बनाना शुरू करने के लिए, एक सॉस पैन में तेल गर्म करें, जब यह पर्याप्त गर्म हो जाए तो इसमें जीरा डालें और इसे तड़कने दें। जब जीरा तड़क जाए तो इसमें कटी हुई हरी बीन्स डालें और नमक छिड़कें। एक मिनट के लिए भूनें और इसे कुछ"&amp;" मिनट तक पकने दें जब तक कि बीन्स नरम न हो जाएं। जब बीन्स पक जाएं तो अंडे को एक-एक करके धीरे-धीरे तोड़ें, हल्दी, काली मिर्च पाउडर, हरी मिर्च और स्वादानुसार नमक छिड़कें। तब तक हिलाते रहें जब तक अंडे और हरी बीन्स एक साथ न आ जाएं और स्क्रैम्बल्ड एग अच्छी तरह "&amp;"से पक न जाए। जब ​​अंडा पक जाए तो आंच बंद कर दें। एक सर्विंग बाउल में डालें और ग्रीन बीन्स और स्क्रैम्बल्ड एग रेसिपी को गर्मागर्म सर्व करें")</f>
        <v>ग्रीन बीन्स और स्क्रैम्बल्ड एग रेसिपी बनाना शुरू करने के लिए, एक सॉस पैन में तेल गर्म करें, जब यह पर्याप्त गर्म हो जाए तो इसमें जीरा डालें और इसे तड़कने दें। जब जीरा तड़क जाए तो इसमें कटी हुई हरी बीन्स डालें और नमक छिड़कें। एक मिनट के लिए भूनें और इसे कुछ मिनट तक पकने दें जब तक कि बीन्स नरम न हो जाएं। जब बीन्स पक जाएं तो अंडे को एक-एक करके धीरे-धीरे तोड़ें, हल्दी, काली मिर्च पाउडर, हरी मिर्च और स्वादानुसार नमक छिड़कें। तब तक हिलाते रहें जब तक अंडे और हरी बीन्स एक साथ न आ जाएं और स्क्रैम्बल्ड एग अच्छी तरह से पक न जाए। जब ​​अंडा पक जाए तो आंच बंद कर दें। एक सर्विंग बाउल में डालें और ग्रीन बीन्स और स्क्रैम्बल्ड एग रेसिपी को गर्मागर्म सर्व करें</v>
      </c>
      <c r="J570" s="3" t="s">
        <v>33267</v>
      </c>
      <c r="L570" s="1" t="s">
        <v>31003</v>
      </c>
    </row>
    <row r="571" spans="1:12" ht="13.8">
      <c r="A571" s="1" t="s">
        <v>33268</v>
      </c>
      <c r="B571" s="1" t="str">
        <f ca="1">IFERROR(__xludf.dummyfunction("IF(A571="""", """", GOOGLETRANSLATE(A571, ""en"", ""hi""))"),"मिर्ची और आलू करी रेसिपी - लंबी हरी मिर्च और आलू करी")</f>
        <v>मिर्ची और आलू करी रेसिपी - लंबी हरी मिर्च और आलू करी</v>
      </c>
      <c r="C571" s="1" t="s">
        <v>145</v>
      </c>
      <c r="D571" s="1" t="s">
        <v>14198</v>
      </c>
      <c r="E571" s="1">
        <v>40</v>
      </c>
      <c r="F571" s="1" t="s">
        <v>33269</v>
      </c>
      <c r="G571" s="1" t="str">
        <f ca="1">IFERROR(__xludf.dummyfunction("IF(F571="""", """", GOOGLETRANSLATE(F571, ""en"", ""hi""))"),"6 बड़ी हरी मिर्च - बीज निकालकर कटी हुई, 2 आलू - छीलकर छोटे-छोटे टुकड़ों में कटे हुए, 1 तेज पत्ता, 1 इलायची के दाने, 1 दालचीनी, 1 छोटा चम्मच जीरा, 1 बड़ा चम्मच लाल मिर्च पाउडर, 1 बड़ा चम्मच धनिया पाउडर, 1 बड़ा चम्मच गरम मसाला पाउडर, 1/2 छोटा चम्मच हल्दी पा"&amp;"उडर, नमक - स्वादानुसार, 2 प्याज - कटे हुए, 1 टमाटर - कटा हुआ, 4 लौंग - लहसुन, 2 हरी मिर्च - कटी हुई, 2 टहनी डिल के पत्ते - सजाने के लिए कटे हुए")</f>
        <v>6 बड़ी हरी मिर्च - बीज निकालकर कटी हुई, 2 आलू - छीलकर छोटे-छोटे टुकड़ों में कटे हुए, 1 तेज पत्ता, 1 इलायची के दाने, 1 दालचीनी, 1 छोटा चम्मच जीरा, 1 बड़ा चम्मच लाल मिर्च पाउडर, 1 बड़ा चम्मच धनिया पाउडर, 1 बड़ा चम्मच गरम मसाला पाउडर, 1/2 छोटा चम्मच हल्दी पाउडर, नमक - स्वादानुसार, 2 प्याज - कटे हुए, 1 टमाटर - कटा हुआ, 4 लौंग - लहसुन, 2 हरी मिर्च - कटी हुई, 2 टहनी डिल के पत्ते - सजाने के लिए कटे हुए</v>
      </c>
      <c r="H571" s="1" t="s">
        <v>33270</v>
      </c>
      <c r="I571" s="1" t="str">
        <f ca="1">IFERROR(__xludf.dummyfunction("IF(H571="""", """", GOOGLETRANSLATE(H571, ""en"", ""hi""))"),"मिर्ची और आलू करी रेसिपी (लंबी हरी मिर्च और आलू करी रेसिपी) बनाने के लिए सबसे पहले प्याज, टमाटर, लौंग, हरी मिर्च और डिल के पत्तों जैसी ग्रेवी के लिए जरूरी सभी सामग्री को एक मुलायम पेस्ट में पीस लें। अब प्रेशर कुकर में तेल गर्म करें, उसमें जीरा डालें और उस"&amp;"े चटकने दें। जब वह चटकने लगे तो उसमें तेज पत्ता, दालचीनी और इलायची जैसे मसाले डालें। सुगंध आने दें। इसमें कटी हुई हरी मिर्च, आलू डालें और कुछ मिनट के लिए भूनें। अब इसमें पिसी हुई ग्रेवी डालें और साथ ही हल्दी पाउडर, गरम मसाला पाउडर, लाल मिर्च पाउडर, धनिया "&amp;"पाउडर, नमक जैसे मसाले डालें और अच्छी तरह से भूनें। नमक चैक करें और लगभग 1 कप पानी डालें मिर्ची और आलू करी रेसिपी (लंबी हरी मिर्च और आलू करी रेसिपी) को फुल्का रेसिपी (रोटी/चपाती) - फूली हुई भारतीय रोटी और बिहारी करेला और आलू की सब्जी रेसिपी के साथ परोसें औ"&amp;"र अपने प्रियजनों के साथ दोपहर या रात के खाने का आनंद लें।")</f>
        <v>मिर्ची और आलू करी रेसिपी (लंबी हरी मिर्च और आलू करी रेसिपी) बनाने के लिए सबसे पहले प्याज, टमाटर, लौंग, हरी मिर्च और डिल के पत्तों जैसी ग्रेवी के लिए जरूरी सभी सामग्री को एक मुलायम पेस्ट में पीस लें। अब प्रेशर कुकर में तेल गर्म करें, उसमें जीरा डालें और उसे चटकने दें। जब वह चटकने लगे तो उसमें तेज पत्ता, दालचीनी और इलायची जैसे मसाले डालें। सुगंध आने दें। इसमें कटी हुई हरी मिर्च, आलू डालें और कुछ मिनट के लिए भूनें। अब इसमें पिसी हुई ग्रेवी डालें और साथ ही हल्दी पाउडर, गरम मसाला पाउडर, लाल मिर्च पाउडर, धनिया पाउडर, नमक जैसे मसाले डालें और अच्छी तरह से भूनें। नमक चैक करें और लगभग 1 कप पानी डालें मिर्ची और आलू करी रेसिपी (लंबी हरी मिर्च और आलू करी रेसिपी) को फुल्का रेसिपी (रोटी/चपाती) - फूली हुई भारतीय रोटी और बिहारी करेला और आलू की सब्जी रेसिपी के साथ परोसें और अपने प्रियजनों के साथ दोपहर या रात के खाने का आनंद लें।</v>
      </c>
      <c r="J571" s="3" t="s">
        <v>33271</v>
      </c>
      <c r="L571" s="1" t="s">
        <v>31003</v>
      </c>
    </row>
    <row r="572" spans="1:12" ht="13.8">
      <c r="A572" s="1" t="s">
        <v>33272</v>
      </c>
      <c r="B572" s="1" t="str">
        <f ca="1">IFERROR(__xludf.dummyfunction("IF(A572="""", """", GOOGLETRANSLATE(A572, ""en"", ""hi""))"),"भरवां मकई पराठा रेसिपी (मकई और धनिया से भरी रोटी)")</f>
        <v>भरवां मकई पराठा रेसिपी (मकई और धनिया से भरी रोटी)</v>
      </c>
      <c r="C572" s="1" t="s">
        <v>429</v>
      </c>
      <c r="D572" s="1" t="s">
        <v>14338</v>
      </c>
      <c r="E572" s="1">
        <v>60</v>
      </c>
      <c r="F572" s="1" t="s">
        <v>33273</v>
      </c>
      <c r="G572" s="1" t="str">
        <f ca="1">IFERROR(__xludf.dummyfunction("IF(F572="""", """", GOOGLETRANSLATE(F572, ""en"", ""hi""))"),"2 कप गेहूं का आटा, 1/2 चम्मच नमक, 1 चम्मच सूरजमुखी तेल, 2 कप स्वीट कॉर्न - उबले हुए, 2 हरी मिर्च - बारीक कटी हुई, 1 बड़ा चम्मच धनिया पत्ती - बारीक कटी हुई, 1 चम्मच जीरा पाउडर (जीरा) - (भुना और पिसा हुआ), नमक - स्वादानुसार")</f>
        <v>2 कप गेहूं का आटा, 1/2 चम्मच नमक, 1 चम्मच सूरजमुखी तेल, 2 कप स्वीट कॉर्न - उबले हुए, 2 हरी मिर्च - बारीक कटी हुई, 1 बड़ा चम्मच धनिया पत्ती - बारीक कटी हुई, 1 चम्मच जीरा पाउडर (जीरा) - (भुना और पिसा हुआ), नमक - स्वादानुसार</v>
      </c>
      <c r="H572" s="1" t="s">
        <v>33274</v>
      </c>
      <c r="I572" s="1" t="str">
        <f ca="1">IFERROR(__xludf.dummyfunction("IF(H572="""", """", GOOGLETRANSLATE(H572, ""en"", ""hi""))"),"भरवां मकई पराठा रेसिपी बनाने के लिए, हमें सबसे पहले पराठों के लिए आटा गूंथना होगा। एक बड़े कटोरे में 2 कप गेहूं का आटा और थोड़ा नमक डालें। अपनी उंगलियों का उपयोग करें और आटे में नमक मिलाएँ। एक बार में थोड़ा पानी डालें और नरम, लचीला आटा गूंथ लें। आटे को चि"&amp;"कना और लचीला होने तक कुछ मिनट तक गूंथें। आटे को चिकना बनाने के लिए फोल्ड प्रेस और गूंथने की गति का उपयोग करें। इसके बाद हम आटे को कोट करने के लिए एक चम्मच तेल डालेंगे और थोड़ा और गूंथेंगे। आपको ऐसा आटा चाहिए जो नरम चिकना हो और चिपचिपा न हो। इसके बाद हम आट"&amp;"े को 8 से 10 बराबर भागों में बाँट लेंगे। आटे को ढँक दें और जब तक भरावन तैयार न हो जाए, तब तक आटे को आराम दें। जब तक आटा आराम कर रहा है, हम पराठे के लिए भरावन तैयार करेंगे। एक फूड प्रोसेसर में, स्टीम्ड स्वीट कॉर्न, कटी हुई हरी मिर्च, कटी हुई धनिया पत्ती डा"&amp;"लें और मोटा मिश्रण बनाने के लिए पल्स करें। इस मिश्रण को मिक्सिंग बाउल में डालें; नमक और जीरा पाउडर डालें और अच्छी तरह मिलाएँ। नमक और मसाले की जांच करें और अपने स्वाद के अनुसार समायोजित करें। भरावन को 8 से 10 बराबर भागों में विभाजित करें। आटे और भरावन के ह"&amp;"िस्सों को विभाजित करने और तैयार रखने की यह प्रक्रिया आपको यह अनुमान लगाने में मदद करती है कि आप कितने मकाई पराठे बना सकते हैं और आपको भरावन की अधिक या कम आवश्यकता है। आटे का एक भाग लें, इसे आटे में लपेटें और इसे रोलिंग बोर्ड पर दबाकर चपटा करें। आटे को लगभ"&amp;"ग 3 इंच व्यास के गोल आकार में बेल लें और आटे को सतह पर चिपकने से रोकने के लिए बीच में आटा छिड़कते रहें। अब भरावन के एक भाग को गोल आकार में रखें और आटे को किनारों से बीच की तरफ लाकर भरावन को ढक दें। जब भरावन अंदर से सील हो जाए, तो आटे को चपटा करें, इसे आटे"&amp;" में लपेटें और इसे पराठा बनाने के लिए धीरे से बेलें। इसे एक समान करने के लिए पिन से इसे धीरे से रोल करें, बचे हुए आटे और भरावन के हिस्सों के साथ भी इसी तरह आगे बढ़ें। अब हम मकाई पराठा पकाने के अंतिम चरण में पहुँचेंगे, मध्यम आँच पर एक कड़ाही को पहले से गरम"&amp;" करें और भरा हुआ आटा डालें। इसे मध्यम आँच पर लगभग 30 से 45 सेकंड तक पकने दें और पलट दें। इस चरण में एक चम्मच घी या तेल डालें और इसे चारों ओर फैलाएँ। फिर से पलटें, ताकि तेल वाला भाग कड़ाही में पक सके। थोड़ा और घी फैलाएं और पराठे को अंदर से बाहर तक समान रूप"&amp;" से पकाने के लिए तवे पर पराठे को दबाते रहें। जब तक दोनों तरफ से समान रूप से पक कर भूरा और कुरकुरा न हो जाए, तब तक एक-दो बार पलटने की प्रक्रिया करें। सुनिश्चित करें कि आप मध्यम आँच पर पकाएँ क्योंकि इससे मकाई पराठे बाहर से कुरकुरे और फिर भी नरम बनावट वाले ह"&amp;"ो जाते हैं।")</f>
        <v>भरवां मकई पराठा रेसिपी बनाने के लिए, हमें सबसे पहले पराठों के लिए आटा गूंथना होगा। एक बड़े कटोरे में 2 कप गेहूं का आटा और थोड़ा नमक डालें। अपनी उंगलियों का उपयोग करें और आटे में नमक मिलाएँ। एक बार में थोड़ा पानी डालें और नरम, लचीला आटा गूंथ लें। आटे को चिकना और लचीला होने तक कुछ मिनट तक गूंथें। आटे को चिकना बनाने के लिए फोल्ड प्रेस और गूंथने की गति का उपयोग करें। इसके बाद हम आटे को कोट करने के लिए एक चम्मच तेल डालेंगे और थोड़ा और गूंथेंगे। आपको ऐसा आटा चाहिए जो नरम चिकना हो और चिपचिपा न हो। इसके बाद हम आटे को 8 से 10 बराबर भागों में बाँट लेंगे। आटे को ढँक दें और जब तक भरावन तैयार न हो जाए, तब तक आटे को आराम दें। जब तक आटा आराम कर रहा है, हम पराठे के लिए भरावन तैयार करेंगे। एक फूड प्रोसेसर में, स्टीम्ड स्वीट कॉर्न, कटी हुई हरी मिर्च, कटी हुई धनिया पत्ती डालें और मोटा मिश्रण बनाने के लिए पल्स करें। इस मिश्रण को मिक्सिंग बाउल में डालें; नमक और जीरा पाउडर डालें और अच्छी तरह मिलाएँ। नमक और मसाले की जांच करें और अपने स्वाद के अनुसार समायोजित करें। भरावन को 8 से 10 बराबर भागों में विभाजित करें। आटे और भरावन के हिस्सों को विभाजित करने और तैयार रखने की यह प्रक्रिया आपको यह अनुमान लगाने में मदद करती है कि आप कितने मकाई पराठे बना सकते हैं और आपको भरावन की अधिक या कम आवश्यकता है। आटे का एक भाग लें, इसे आटे में लपेटें और इसे रोलिंग बोर्ड पर दबाकर चपटा करें। आटे को लगभग 3 इंच व्यास के गोल आकार में बेल लें और आटे को सतह पर चिपकने से रोकने के लिए बीच में आटा छिड़कते रहें। अब भरावन के एक भाग को गोल आकार में रखें और आटे को किनारों से बीच की तरफ लाकर भरावन को ढक दें। जब भरावन अंदर से सील हो जाए, तो आटे को चपटा करें, इसे आटे में लपेटें और इसे पराठा बनाने के लिए धीरे से बेलें। इसे एक समान करने के लिए पिन से इसे धीरे से रोल करें, बचे हुए आटे और भरावन के हिस्सों के साथ भी इसी तरह आगे बढ़ें। अब हम मकाई पराठा पकाने के अंतिम चरण में पहुँचेंगे, मध्यम आँच पर एक कड़ाही को पहले से गरम करें और भरा हुआ आटा डालें। इसे मध्यम आँच पर लगभग 30 से 45 सेकंड तक पकने दें और पलट दें। इस चरण में एक चम्मच घी या तेल डालें और इसे चारों ओर फैलाएँ। फिर से पलटें, ताकि तेल वाला भाग कड़ाही में पक सके। थोड़ा और घी फैलाएं और पराठे को अंदर से बाहर तक समान रूप से पकाने के लिए तवे पर पराठे को दबाते रहें। जब तक दोनों तरफ से समान रूप से पक कर भूरा और कुरकुरा न हो जाए, तब तक एक-दो बार पलटने की प्रक्रिया करें। सुनिश्चित करें कि आप मध्यम आँच पर पकाएँ क्योंकि इससे मकाई पराठे बाहर से कुरकुरे और फिर भी नरम बनावट वाले हो जाते हैं।</v>
      </c>
      <c r="J572" s="3" t="s">
        <v>33275</v>
      </c>
      <c r="L572" s="1" t="s">
        <v>31003</v>
      </c>
    </row>
    <row r="573" spans="1:12" ht="13.8">
      <c r="A573" s="1" t="s">
        <v>33276</v>
      </c>
      <c r="B573" s="1" t="str">
        <f ca="1">IFERROR(__xludf.dummyfunction("IF(A573="""", """", GOOGLETRANSLATE(A573, ""en"", ""hi""))"),"कांजी रेसिपी - गाजर और चुकंदर से बना प्रोबायोटिक ड्रिंक")</f>
        <v>कांजी रेसिपी - गाजर और चुकंदर से बना प्रोबायोटिक ड्रिंक</v>
      </c>
      <c r="C573" s="1" t="s">
        <v>14281</v>
      </c>
      <c r="D573" s="1" t="s">
        <v>14198</v>
      </c>
      <c r="E573" s="1">
        <v>5</v>
      </c>
      <c r="F573" s="1" t="s">
        <v>33277</v>
      </c>
      <c r="G573" s="1" t="str">
        <f ca="1">IFERROR(__xludf.dummyfunction("IF(F573="""", """", GOOGLETRANSLATE(F573, ""en"", ""hi""))"),"2 बैंगनी गाजर, 1 चुकंदर, 2 बड़े चम्मच सरसों पाउडर - मोटा पिसा हुआ, 1 1/2 छोटा चम्मच लाल मिर्च पाउडर, 10-12 कप पानी, नमक - स्वादानुसार")</f>
        <v>2 बैंगनी गाजर, 1 चुकंदर, 2 बड़े चम्मच सरसों पाउडर - मोटा पिसा हुआ, 1 1/2 छोटा चम्मच लाल मिर्च पाउडर, 10-12 कप पानी, नमक - स्वादानुसार</v>
      </c>
      <c r="H573" s="1" t="s">
        <v>33278</v>
      </c>
      <c r="I573" s="1" t="str">
        <f ca="1">IFERROR(__xludf.dummyfunction("IF(H573="""", """", GOOGLETRANSLATE(H573, ""en"", ""hi""))"),"कांजी रेसिपी बनाने के लिए सबसे पहले गाजर और चुकंदर को धोकर छील लें। इन्हें मोटी और लंबी पट्टियों में काट लें। गाजर और चुकंदर को एक बड़े मिक्सिंग बाउल में डालें, उसमें नमक, मिर्च पाउडर और सरसों पाउडर डालें और अच्छी तरह मिलाएँ। इसमें 10-12 कप पानी डालें (यह"&amp;" इस बात पर निर्भर करता है कि आपको कांजी कितनी तीखी चाहिए) और कांजी को कांच या चीनी मिट्टी के जार में किण्वन के लिए रख दें। जार को मलमल के कपड़े से ढक दें और इसे धागे से रिम के चारों ओर कसकर बांध दें, ताकि जार का मुंह पूरी तरह से सील हो जाए। कांजी से भरे ज"&amp;"ार को लगभग 3 से 4 दिनों के लिए धूप में रखें, ताकि यह किण्वित हो सके। इसे रात भर के लिए वापस अंदर ले आएं और इसे वापस धूप में रखने से पहले, मलमल का कपड़ा खोलें, कांजी को अच्छी तरह हिलाएं एक बार जब यह किण्वित हो जाए, तो तरल को छान लें और कांजी परोसने के लिए "&amp;"तैयार है। कांजी को छानने के बाद बचे गाजर और चुकंदर के टुकड़ों को मसालेदार बनाकर अचार के रूप में इस्तेमाल किया जा सकता है। स्वस्थ आंत और उनके समग्र कल्याण के लिए अपने परिवार को कांजी परोसें।")</f>
        <v>कांजी रेसिपी बनाने के लिए सबसे पहले गाजर और चुकंदर को धोकर छील लें। इन्हें मोटी और लंबी पट्टियों में काट लें। गाजर और चुकंदर को एक बड़े मिक्सिंग बाउल में डालें, उसमें नमक, मिर्च पाउडर और सरसों पाउडर डालें और अच्छी तरह मिलाएँ। इसमें 10-12 कप पानी डालें (यह इस बात पर निर्भर करता है कि आपको कांजी कितनी तीखी चाहिए) और कांजी को कांच या चीनी मिट्टी के जार में किण्वन के लिए रख दें। जार को मलमल के कपड़े से ढक दें और इसे धागे से रिम के चारों ओर कसकर बांध दें, ताकि जार का मुंह पूरी तरह से सील हो जाए। कांजी से भरे जार को लगभग 3 से 4 दिनों के लिए धूप में रखें, ताकि यह किण्वित हो सके। इसे रात भर के लिए वापस अंदर ले आएं और इसे वापस धूप में रखने से पहले, मलमल का कपड़ा खोलें, कांजी को अच्छी तरह हिलाएं एक बार जब यह किण्वित हो जाए, तो तरल को छान लें और कांजी परोसने के लिए तैयार है। कांजी को छानने के बाद बचे गाजर और चुकंदर के टुकड़ों को मसालेदार बनाकर अचार के रूप में इस्तेमाल किया जा सकता है। स्वस्थ आंत और उनके समग्र कल्याण के लिए अपने परिवार को कांजी परोसें।</v>
      </c>
      <c r="J573" s="3" t="s">
        <v>33279</v>
      </c>
      <c r="L573" s="1" t="s">
        <v>31003</v>
      </c>
    </row>
    <row r="574" spans="1:12" ht="13.8">
      <c r="A574" s="1" t="s">
        <v>33280</v>
      </c>
      <c r="B574" s="1" t="str">
        <f ca="1">IFERROR(__xludf.dummyfunction("IF(A574="""", """", GOOGLETRANSLATE(A574, ""en"", ""hi""))"),"शाही अंडा करी रेसिपी टमाटर और काजू ग्रेवी में")</f>
        <v>शाही अंडा करी रेसिपी टमाटर और काजू ग्रेवी में</v>
      </c>
      <c r="C574" s="1" t="s">
        <v>429</v>
      </c>
      <c r="D574" s="1" t="s">
        <v>15314</v>
      </c>
      <c r="E574" s="1">
        <v>90</v>
      </c>
      <c r="F574" s="1" t="s">
        <v>33281</v>
      </c>
      <c r="G574" s="1" t="str">
        <f ca="1">IFERROR(__xludf.dummyfunction("IF(F574="""", """", GOOGLETRANSLATE(F574, ""en"", ""hi""))"),"4 पूरे अंडे, 1-1/2 कप घर का बना टमाटर प्यूरी, 2 प्याज - बारीक कटा हुआ, 6 लहसुन लौंग, 1 इंच अदरक, 1 बे पत्ती (तेज पत्ता), 1/2 चम्मच हल्दी पाउडर (हल्दी), 1 चम्मच लाल मिर्च पाउडर, 1 चम्मच गरम मसाला पाउडर, 1 चम्मच कसूरी मेथी (सूखे मेथी के पत्ते), 1/4 कप काजू "&amp;"- पेस्ट में पीसा हुआ, फिगारो शुद्ध जैतून का तेल - पकाने के लिए, 2 नमक - स्वाद के लिए")</f>
        <v>4 पूरे अंडे, 1-1/2 कप घर का बना टमाटर प्यूरी, 2 प्याज - बारीक कटा हुआ, 6 लहसुन लौंग, 1 इंच अदरक, 1 बे पत्ती (तेज पत्ता), 1/2 चम्मच हल्दी पाउडर (हल्दी), 1 चम्मच लाल मिर्च पाउडर, 1 चम्मच गरम मसाला पाउडर, 1 चम्मच कसूरी मेथी (सूखे मेथी के पत्ते), 1/4 कप काजू - पेस्ट में पीसा हुआ, फिगारो शुद्ध जैतून का तेल - पकाने के लिए, 2 नमक - स्वाद के लिए</v>
      </c>
      <c r="H574" s="1" t="s">
        <v>33282</v>
      </c>
      <c r="I574" s="1" t="str">
        <f ca="1">IFERROR(__xludf.dummyfunction("IF(H574="""", """", GOOGLETRANSLATE(H574, ""en"", ""hi""))"),"शाही अंडा करी रेसिपी बनाने के लिए, सभी सामग्री तैयार करके रख लें, अंडे को कड़ा उबाल लें, टमाटर की प्यूरी तैयार करें। अनुसरण करें - टमाटर की प्यूरी कैसे बनाएं एक मूसल और मोर्टार में, अदरक और लहसुन डालें और मोटा मिश्रण बनाने के लिए पीस लें। एक पैन में, जैतू"&amp;"न का तेल डालें, प्याज़, पिसा हुआ अदरक और लहसुन डालें और कुछ सेकंड के लिए भूनें जब तक कि प्याज़ नरम न हो जाए। ध्यान रखें कि प्याज़ कैरामेलाइज़ न हो जाए। प्याज़ के नरम हो जाने पर, टमाटर प्यूरी, तेज पत्ता, हल्दी पाउडर, लाल मिर्च पाउडर और गरम मसाला पाउडर डाले"&amp;"ं। काजू के पेस्ट और उबले अंडे को मिलाएँ। पैन को ढक दें और लगभग 5 से 10 मिनट तक पकाएं जब तक कि मसाले एक साथ मिलकर स्वादिष्ट अंडा करी न बना लें। एक बार हो जाने पर, शाही अंडा करी में कसूरी मेथी मिलाएं और परोसें। इस शाही अंडा करी रेसिपी को हैदराबादी वेजिटेबल "&amp;"बिरयानी या पुदीना लहसुन लच्छा पराठा और बुरानी रायता के साथ अपने सप्ताहांत के भोजन के लिए परोसें।")</f>
        <v>शाही अंडा करी रेसिपी बनाने के लिए, सभी सामग्री तैयार करके रख लें, अंडे को कड़ा उबाल लें, टमाटर की प्यूरी तैयार करें। अनुसरण करें - टमाटर की प्यूरी कैसे बनाएं एक मूसल और मोर्टार में, अदरक और लहसुन डालें और मोटा मिश्रण बनाने के लिए पीस लें। एक पैन में, जैतून का तेल डालें, प्याज़, पिसा हुआ अदरक और लहसुन डालें और कुछ सेकंड के लिए भूनें जब तक कि प्याज़ नरम न हो जाए। ध्यान रखें कि प्याज़ कैरामेलाइज़ न हो जाए। प्याज़ के नरम हो जाने पर, टमाटर प्यूरी, तेज पत्ता, हल्दी पाउडर, लाल मिर्च पाउडर और गरम मसाला पाउडर डालें। काजू के पेस्ट और उबले अंडे को मिलाएँ। पैन को ढक दें और लगभग 5 से 10 मिनट तक पकाएं जब तक कि मसाले एक साथ मिलकर स्वादिष्ट अंडा करी न बना लें। एक बार हो जाने पर, शाही अंडा करी में कसूरी मेथी मिलाएं और परोसें। इस शाही अंडा करी रेसिपी को हैदराबादी वेजिटेबल बिरयानी या पुदीना लहसुन लच्छा पराठा और बुरानी रायता के साथ अपने सप्ताहांत के भोजन के लिए परोसें।</v>
      </c>
      <c r="J574" s="3" t="s">
        <v>33283</v>
      </c>
      <c r="L574" s="1" t="s">
        <v>31003</v>
      </c>
    </row>
    <row r="575" spans="1:12" ht="13.8">
      <c r="A575" s="1" t="s">
        <v>33284</v>
      </c>
      <c r="B575" s="1" t="str">
        <f ca="1">IFERROR(__xludf.dummyfunction("IF(A575="""", """", GOOGLETRANSLATE(A575, ""en"", ""hi""))"),"भरवा लौकी")</f>
        <v>भरवा लौकी</v>
      </c>
      <c r="C575" s="1" t="s">
        <v>145</v>
      </c>
      <c r="D575" s="1" t="s">
        <v>14198</v>
      </c>
      <c r="E575" s="1">
        <v>50</v>
      </c>
      <c r="F575" s="1" t="s">
        <v>33285</v>
      </c>
      <c r="G575" s="1" t="str">
        <f ca="1">IFERROR(__xludf.dummyfunction("IF(F575="""", """", GOOGLETRANSLATE(F575, ""en"", ""hi""))"),"1 लौकी, 2 प्याज - कटे हुए, 2 टमाटर - बारीक कटे हुए, 1 छोटा चम्मच लाल मिर्च पाउडर, 1/4 छोटा चम्मच हल्दी पाउडर, 1 छोटा चम्मच धनिया पाउडर, 1 छोटा चम्मच जीरा, 4 बड़े चम्मच तेल, 1 बड़ा चम्मच चीनी, 1 बड़ा चम्मच कसूरी मेथी, नमक - स्वादानुसार, 3 धनिया पत्ती - बार"&amp;"ीक कटी हुई, 1 कप पनीर - टुकड़े किए हुए, 1 छोटा चम्मच जीरा - जीरा, 1 प्याज - बारीक कटा हुआ, 1/2 शिमला मिर्च (हरा) - बारीक कटी हुई, 1 हरी मिर्च - बारीक कटी हुई, 1 छोटा चम्मच धनिया पाउडर, 1 छोटा चम्मच लाल मिर्च के टुकड़े, नमक - स्वादानुसार, 1 छोटा चम्मच क्री"&amp;"म")</f>
        <v>1 लौकी, 2 प्याज - कटे हुए, 2 टमाटर - बारीक कटे हुए, 1 छोटा चम्मच लाल मिर्च पाउडर, 1/4 छोटा चम्मच हल्दी पाउडर, 1 छोटा चम्मच धनिया पाउडर, 1 छोटा चम्मच जीरा, 4 बड़े चम्मच तेल, 1 बड़ा चम्मच चीनी, 1 बड़ा चम्मच कसूरी मेथी, नमक - स्वादानुसार, 3 धनिया पत्ती - बारीक कटी हुई, 1 कप पनीर - टुकड़े किए हुए, 1 छोटा चम्मच जीरा - जीरा, 1 प्याज - बारीक कटा हुआ, 1/2 शिमला मिर्च (हरा) - बारीक कटी हुई, 1 हरी मिर्च - बारीक कटी हुई, 1 छोटा चम्मच धनिया पाउडर, 1 छोटा चम्मच लाल मिर्च के टुकड़े, नमक - स्वादानुसार, 1 छोटा चम्मच क्रीम</v>
      </c>
      <c r="H575" s="1" t="s">
        <v>33286</v>
      </c>
      <c r="I575" s="1" t="str">
        <f ca="1">IFERROR(__xludf.dummyfunction("IF(H575="""", """", GOOGLETRANSLATE(H575, ""en"", ""hi""))"),"""भरवां लौकी बनाने के लिए सबसे पहले पनीर मसाला बनाएंगे. एक पैन में तेल गर्म करें और उसमें जीरा डालें. 10 सेकंड बाद प्याज डालें और प्याज के नरम होने तक पकाएं. नरम होने के बाद इसमें पनीर, नमक, धनिया पाउडर, लाल मिर्च के टुकड़े डालें और मिला लें. 1 से 2 मिनट "&amp;"तक पकाएं, गैस बंद कर दें और इसे एक तरफ रख दें. इसे ठंडा होने दें. अब हम इस मसाले को लौकी में भरेंगे. सबसे पहले लौकी को छील लें और एक बड़े पैन में पानी और नमक डालकर लौकी के पकने तक पकाएं. अब लौकी को ठंडा होने दें. ठंडा होने के बाद लौकी के अंदर से बड़ा निका"&amp;"ल लें. अब एक पैन में तेल गर्म करें और उसमें लौकी को रखें. इसे चारों तरफ से ब्राउन और क्रिस्पी होने तक पकाएं. पकने के बाद इसमें पनीर मसाला भरें और इसे 1 इंच के स्लाइस में काट लें प्याज़ के नरम होने के बाद टमाटर डालें और उन्हें नरम होने तक पकाएँ। प्याज़ के "&amp;"नरम होने के बाद हल्दी पाउडर, धनिया पाउडर, नमक, बचा हुआ पनीर मसाला, लौकी के बीज डालें और 5 मिनट तक पकाएँ। अब हैंड ब्लेंडर की मदद से पेस्ट बनाएँ और 1 कप पानी डालें। 2 से 3 मिनट बाद चीनी, कसूरी मेथी और लौकी डालें। 3 मिनट तक पकाएँ और धनिया पत्ती और क्रीम से ग"&amp;"ार्निश करें। भरवां लौकी को तवा पराठा और टमाटर प्याज खीरा रायता के साथ डिनर में सर्व करें।")</f>
        <v>"भरवां लौकी बनाने के लिए सबसे पहले पनीर मसाला बनाएंगे. एक पैन में तेल गर्म करें और उसमें जीरा डालें. 10 सेकंड बाद प्याज डालें और प्याज के नरम होने तक पकाएं. नरम होने के बाद इसमें पनीर, नमक, धनिया पाउडर, लाल मिर्च के टुकड़े डालें और मिला लें. 1 से 2 मिनट तक पकाएं, गैस बंद कर दें और इसे एक तरफ रख दें. इसे ठंडा होने दें. अब हम इस मसाले को लौकी में भरेंगे. सबसे पहले लौकी को छील लें और एक बड़े पैन में पानी और नमक डालकर लौकी के पकने तक पकाएं. अब लौकी को ठंडा होने दें. ठंडा होने के बाद लौकी के अंदर से बड़ा निकाल लें. अब एक पैन में तेल गर्म करें और उसमें लौकी को रखें. इसे चारों तरफ से ब्राउन और क्रिस्पी होने तक पकाएं. पकने के बाद इसमें पनीर मसाला भरें और इसे 1 इंच के स्लाइस में काट लें प्याज़ के नरम होने के बाद टमाटर डालें और उन्हें नरम होने तक पकाएँ। प्याज़ के नरम होने के बाद हल्दी पाउडर, धनिया पाउडर, नमक, बचा हुआ पनीर मसाला, लौकी के बीज डालें और 5 मिनट तक पकाएँ। अब हैंड ब्लेंडर की मदद से पेस्ट बनाएँ और 1 कप पानी डालें। 2 से 3 मिनट बाद चीनी, कसूरी मेथी और लौकी डालें। 3 मिनट तक पकाएँ और धनिया पत्ती और क्रीम से गार्निश करें। भरवां लौकी को तवा पराठा और टमाटर प्याज खीरा रायता के साथ डिनर में सर्व करें।</v>
      </c>
      <c r="J575" s="3" t="s">
        <v>33287</v>
      </c>
      <c r="L575" s="1" t="s">
        <v>31003</v>
      </c>
    </row>
    <row r="576" spans="1:12" ht="13.8">
      <c r="A576" s="1" t="s">
        <v>33288</v>
      </c>
      <c r="B576" s="1" t="str">
        <f ca="1">IFERROR(__xludf.dummyfunction("IF(A576="""", """", GOOGLETRANSLATE(A576, ""en"", ""hi""))"),"प्याज़ कचौरी चाट रेसिपी")</f>
        <v>प्याज़ कचौरी चाट रेसिपी</v>
      </c>
      <c r="C576" s="1" t="s">
        <v>14281</v>
      </c>
      <c r="D576" s="1" t="s">
        <v>14198</v>
      </c>
      <c r="E576" s="1">
        <v>50</v>
      </c>
      <c r="F576" s="1" t="s">
        <v>33289</v>
      </c>
      <c r="G576" s="1" t="str">
        <f ca="1">IFERROR(__xludf.dummyfunction("IF(F576="""", """", GOOGLETRANSLATE(F576, ""en"", ""hi""))"),"2 कप मैदा, 2 बड़े चम्मच घी, 1 छोटा चम्मच नमक, पानी - आवश्यकतानुसार, 3 प्याज - बारीक कटे हुए, 2 आलू - उबले और मसले हुए, 1/4 छोटा चम्मच हींग, 1 छोटा चम्मच सौंफ, 1 छोटा चम्मच धनिया पाउडर, 1/4 छोटा चम्मच हल्दी, 1 छोटा चम्मच लाल मिर्च पाउडर, 1 छोटा चम्मच आमचूर"&amp;", 1 छोटा चम्मच गरम मसाला पाउडर, 4 धनिया पत्ते - कटे हुए, नमक - स्वादानुसार, सरसों का तेल, 1/2 कप दही, 1/2 छोटा चम्मच जीरा, 1/2 छोटा चम्मच नमक, 1/2 छोटा चम्मच चीनी, 1/4 कप हरी चटनी (धनिया और पुदीना), 1/4 कप मीठी चटनी (खजूर और इमली), 1/2 कप सेव, 1 प्याज - ब"&amp;"ारीक कटा हुआ, धनिया धनिया पत्ते - गार्निश के लिए")</f>
        <v>2 कप मैदा, 2 बड़े चम्मच घी, 1 छोटा चम्मच नमक, पानी - आवश्यकतानुसार, 3 प्याज - बारीक कटे हुए, 2 आलू - उबले और मसले हुए, 1/4 छोटा चम्मच हींग, 1 छोटा चम्मच सौंफ, 1 छोटा चम्मच धनिया पाउडर, 1/4 छोटा चम्मच हल्दी, 1 छोटा चम्मच लाल मिर्च पाउडर, 1 छोटा चम्मच आमचूर, 1 छोटा चम्मच गरम मसाला पाउडर, 4 धनिया पत्ते - कटे हुए, नमक - स्वादानुसार, सरसों का तेल, 1/2 कप दही, 1/2 छोटा चम्मच जीरा, 1/2 छोटा चम्मच नमक, 1/2 छोटा चम्मच चीनी, 1/4 कप हरी चटनी (धनिया और पुदीना), 1/4 कप मीठी चटनी (खजूर और इमली), 1/2 कप सेव, 1 प्याज - बारीक कटा हुआ, धनिया धनिया पत्ते - गार्निश के लिए</v>
      </c>
      <c r="H576" s="1" t="s">
        <v>33290</v>
      </c>
      <c r="I576" s="1" t="str">
        <f ca="1">IFERROR(__xludf.dummyfunction("IF(H576="""", """", GOOGLETRANSLATE(H576, ""en"", ""hi""))"),"प्याज़ कचौरी चाट रेसिपी बनाने के लिए सबसे पहले हम कचौरी बनाएंगे। एक मिक्सिंग बाउल में आटा, नमक और घी डालें और अच्छी तरह मिलाएँ। तब तक मिलाएँ जब तक आपको एक ऐसा मिश्रण न मिल जाए जो एक बॉल की तरह चिपक जाए और जब बचा हो तो टूट जाए। ज़रूरत हो तो और घी डालें। फि"&amp;"र, धीरे-धीरे पानी डालें और नरम आटा गूंथ लें। अच्छी तरह गूंथें जब तक यह चिकना और मुलायम आटा न बन जाए। इसे ढककर लगभग 1 से 2 घंटे के लिए रख दें। जब तक आटा आराम कर रहा है, हम कचौरी के लिए भरावन तैयार करेंगे। एक भारी तले वाला पैन गरम करें और उसमें 1 बड़ा चम्मच"&amp;" सरसों का तेल डालें। तेल गरम हो जाए तो उसमें हिंग और सौंफ डालकर तड़कने दें। इसके बाद उसमें बारीक कटा प्याज, अदरक, लहसुन और हरी मिर्च डालें और प्याज के पारदर्शी होने तक भूनें। एक बार हो जाने पर उसमें मसले हुए आलू और सारे मसाले जैसे कि लाल मिर्च पाउडर, हल्द"&amp;"ी पाउडर, धनिया पाउडर, गरम मसाला पाउडर, अमचूर पाउडर, स्वादानुसार नमक डालकर अच्छी तरह मिला लें। धनिया पत्ती डालकर चलाएँ और आँच बंद कर दें और कचौरियों के भरावन को पूरी तरह से ठंडा होने दें। कचौरियाँ बनाने के लिए बचा हुआ आटा लें और उसे साफ़ सपाट सतह पर हल्का "&amp;"सा मसल कर चिकना होने तक गूंद लें। आटे और भरावन को बराबर भागों में बाँट लें। कचौरियों को तलने के लिए एक भारी तले वाले पैन में पर्याप्त तेल डालकर आँच पर रखें और उसे गर्म होने दें सभी किनारों को इकट्ठा करने के लिए लाएं और इसे कसकर सील करें। इस भरी हुई गेंद क"&amp;"ो अपनी उंगलियों से 3 इंच के सर्कल में चपटा करें, भरावन को बरकरार रखने के लिए धीरे से दबाएं। एक तरफ रख दें और बाकी आटे के लिए इस चरण को दोहराएं जब तक कि आटा और भरावन के सभी हिस्से इस्तेमाल न हो जाएं। अब तक कचौरियों को तलने के लिए तेल गर्म हो जाना चाहिए। कच"&amp;"ौरियों के छोटे बैच (2-3 से अधिक नहीं) को मध्यम आँच पर लगभग 3 मिनट के लिए दोनों तरफ से सुनहरा, फूला हुआ और कुरकुरा होने तक तल लें। उन्हें बाहर निकालें और इसे एक रसोई के तौलिये पर रख दें ताकि अतिरिक्त तेल सोख लिया जाए और एक तरफ रख दें। दही, नमक, जीरा पाउडर "&amp;"और चीनी को अच्छी तरह मिलाएँ और एक तरफ रख दें। कचौरी के ऊपर थोड़ा दही, हरी चटनी और इमली की चटनी डालें। ऊपर से कुछ कटे हुए प्याज़ छिड़कें। फिर कुछ सेव डालें और अंत में धनिया पत्ती से गार्निश करें। प्याज़ कचौरी चाट रेसिपी को शाम के नाश्ते के तौर पर एक कप मसा"&amp;"ला चाय के साथ परोसें। आप इसे अपनी अगली चाट पार्टी में मूंगफली चाट और घर पर बनी कैनापे पापड़ी चाट के साथ भी परोस सकते हैं।")</f>
        <v>प्याज़ कचौरी चाट रेसिपी बनाने के लिए सबसे पहले हम कचौरी बनाएंगे। एक मिक्सिंग बाउल में आटा, नमक और घी डालें और अच्छी तरह मिलाएँ। तब तक मिलाएँ जब तक आपको एक ऐसा मिश्रण न मिल जाए जो एक बॉल की तरह चिपक जाए और जब बचा हो तो टूट जाए। ज़रूरत हो तो और घी डालें। फिर, धीरे-धीरे पानी डालें और नरम आटा गूंथ लें। अच्छी तरह गूंथें जब तक यह चिकना और मुलायम आटा न बन जाए। इसे ढककर लगभग 1 से 2 घंटे के लिए रख दें। जब तक आटा आराम कर रहा है, हम कचौरी के लिए भरावन तैयार करेंगे। एक भारी तले वाला पैन गरम करें और उसमें 1 बड़ा चम्मच सरसों का तेल डालें। तेल गरम हो जाए तो उसमें हिंग और सौंफ डालकर तड़कने दें। इसके बाद उसमें बारीक कटा प्याज, अदरक, लहसुन और हरी मिर्च डालें और प्याज के पारदर्शी होने तक भूनें। एक बार हो जाने पर उसमें मसले हुए आलू और सारे मसाले जैसे कि लाल मिर्च पाउडर, हल्दी पाउडर, धनिया पाउडर, गरम मसाला पाउडर, अमचूर पाउडर, स्वादानुसार नमक डालकर अच्छी तरह मिला लें। धनिया पत्ती डालकर चलाएँ और आँच बंद कर दें और कचौरियों के भरावन को पूरी तरह से ठंडा होने दें। कचौरियाँ बनाने के लिए बचा हुआ आटा लें और उसे साफ़ सपाट सतह पर हल्का सा मसल कर चिकना होने तक गूंद लें। आटे और भरावन को बराबर भागों में बाँट लें। कचौरियों को तलने के लिए एक भारी तले वाले पैन में पर्याप्त तेल डालकर आँच पर रखें और उसे गर्म होने दें सभी किनारों को इकट्ठा करने के लिए लाएं और इसे कसकर सील करें। इस भरी हुई गेंद को अपनी उंगलियों से 3 इंच के सर्कल में चपटा करें, भरावन को बरकरार रखने के लिए धीरे से दबाएं। एक तरफ रख दें और बाकी आटे के लिए इस चरण को दोहराएं जब तक कि आटा और भरावन के सभी हिस्से इस्तेमाल न हो जाएं। अब तक कचौरियों को तलने के लिए तेल गर्म हो जाना चाहिए। कचौरियों के छोटे बैच (2-3 से अधिक नहीं) को मध्यम आँच पर लगभग 3 मिनट के लिए दोनों तरफ से सुनहरा, फूला हुआ और कुरकुरा होने तक तल लें। उन्हें बाहर निकालें और इसे एक रसोई के तौलिये पर रख दें ताकि अतिरिक्त तेल सोख लिया जाए और एक तरफ रख दें। दही, नमक, जीरा पाउडर और चीनी को अच्छी तरह मिलाएँ और एक तरफ रख दें। कचौरी के ऊपर थोड़ा दही, हरी चटनी और इमली की चटनी डालें। ऊपर से कुछ कटे हुए प्याज़ छिड़कें। फिर कुछ सेव डालें और अंत में धनिया पत्ती से गार्निश करें। प्याज़ कचौरी चाट रेसिपी को शाम के नाश्ते के तौर पर एक कप मसाला चाय के साथ परोसें। आप इसे अपनी अगली चाट पार्टी में मूंगफली चाट और घर पर बनी कैनापे पापड़ी चाट के साथ भी परोस सकते हैं।</v>
      </c>
      <c r="J576" s="3" t="s">
        <v>33291</v>
      </c>
      <c r="L576" s="1" t="s">
        <v>31003</v>
      </c>
    </row>
    <row r="577" spans="1:12" ht="409.6">
      <c r="A577" s="1" t="s">
        <v>33292</v>
      </c>
      <c r="B577" s="1" t="str">
        <f ca="1">IFERROR(__xludf.dummyfunction("IF(A577="""", """", GOOGLETRANSLATE(A577, ""en"", ""hi""))"),"दही वाले टिंडा की सब्जी रेसिपी - दही वाली सब्जी में सेब लौकी")</f>
        <v>दही वाले टिंडा की सब्जी रेसिपी - दही वाली सब्जी में सेब लौकी</v>
      </c>
      <c r="C577" s="1" t="s">
        <v>145</v>
      </c>
      <c r="D577" s="1" t="s">
        <v>14198</v>
      </c>
      <c r="E577" s="1">
        <v>30</v>
      </c>
      <c r="F577" s="1" t="s">
        <v>33293</v>
      </c>
      <c r="G577" s="1" t="str">
        <f ca="1">IFERROR(__xludf.dummyfunction("IF(F577="""", """", GOOGLETRANSLATE(F577, ""en"", ""hi""))"),"500 ग्राम टिंडा - छिला और कटा हुआ, 1 बड़ा चम्मच सरसों का तेल, 1/2 छोटा चम्मच सरसों के बीज, 1/2 छोटा चम्मच मेथी के बीज (मेथी के बीज), 2 हरी मिर्च - कटी हुई, 1/4 छोटा चम्मच हींग, 1/2 छोटा चम्मच हल्दी पाउडर (हल्दी), 1 छोटा चम्मच नमक - या स्वादानुसार, 3/4 कप "&amp;"दही (दही), 1 बड़ा चम्मच बेसन, 1/2 छोटा चम्मच धनिया पाउडर, 1/4 छोटा चम्मच गरम मसाला पाउडर, 1/2 छोटा चम्मच लाल मिर्च पाउडर, 1 बड़ा चम्मच कसूरी मेथी (सूखी मेथी के पत्ते), 6 टहनी धनिया (धनिया) के पत्ते - बारीक कटे हुए")</f>
        <v>500 ग्राम टिंडा - छिला और कटा हुआ, 1 बड़ा चम्मच सरसों का तेल, 1/2 छोटा चम्मच सरसों के बीज, 1/2 छोटा चम्मच मेथी के बीज (मेथी के बीज), 2 हरी मिर्च - कटी हुई, 1/4 छोटा चम्मच हींग, 1/2 छोटा चम्मच हल्दी पाउडर (हल्दी), 1 छोटा चम्मच नमक - या स्वादानुसार, 3/4 कप दही (दही), 1 बड़ा चम्मच बेसन, 1/2 छोटा चम्मच धनिया पाउडर, 1/4 छोटा चम्मच गरम मसाला पाउडर, 1/2 छोटा चम्मच लाल मिर्च पाउडर, 1 बड़ा चम्मच कसूरी मेथी (सूखी मेथी के पत्ते), 6 टहनी धनिया (धनिया) के पत्ते - बारीक कटे हुए</v>
      </c>
      <c r="H577" s="4" t="s">
        <v>33294</v>
      </c>
      <c r="I577" s="1" t="str">
        <f ca="1">IFERROR(__xludf.dummyfunction("IF(H577="""", """", GOOGLETRANSLATE(H577, ""en"", ""hi""))"),"दही वाले टिंडे की सब्जी बनाने के लिए सभी सामग्री तैयार करके रख लें। एक भारी तले की कड़ाही में मध्यम आंच पर सरसों का तेल गर्म करें। इसमें जीरा, मेथी दाना डालें और कुछ सेकेंड्स तक चटकने दें। इसमें कटा हुआ टिंडा, हरी मिर्च, हींग, थोड़ा नमक और हल्दी पाउडर डाल"&amp;"कर मिला लें। आंच को मध्यम कर दें और पैन को ढक दें। टिंडे को नरम होने तक पकने दें। इसमें लगभग 5 मिनट का समय लगेगा। इसे बीच में चलाकर देखें कि यह पका है या नहीं। एक छोटे से मिक्सिंग बाउल में दही, बेसन, मिर्च पाउडर, धनिया पाउडर, कसूरी मेथी और गरम मसाला डालें"&amp;"। अच्छी तरह मिला लें। यदि आवश्यक हो तो 1/4 कप पानी डालें और अच्छी तरह मिलाएँ दही मिश्रण को टिंडे में डालें और तब तक पकाएँ जब तक करी गाढ़ी न हो जाए और दही वाले टिंडे की सब्जी नरम होकर सभी मसालों को सोख न ले। इसमें 3 से 5 मिनट का समय और लगेगा। एक बार हो जान"&amp;"े पर, स्वाद की जाँच करें और नमक को उसी हिसाब से समायोजित करें। आँच बंद कर दें और धनिया पत्ती डालकर चलाएँ और दही वाले टिंडे की सब्जी को एक सर्विंग बाउल में डालें। दही वाले टिंडे की सब्जी को फुल्का और पिंडी छोले के साथ गरमागरम परोसें और दोपहर या रात का खाना"&amp;" खाएँ।")</f>
        <v>दही वाले टिंडे की सब्जी बनाने के लिए सभी सामग्री तैयार करके रख लें। एक भारी तले की कड़ाही में मध्यम आंच पर सरसों का तेल गर्म करें। इसमें जीरा, मेथी दाना डालें और कुछ सेकेंड्स तक चटकने दें। इसमें कटा हुआ टिंडा, हरी मिर्च, हींग, थोड़ा नमक और हल्दी पाउडर डालकर मिला लें। आंच को मध्यम कर दें और पैन को ढक दें। टिंडे को नरम होने तक पकने दें। इसमें लगभग 5 मिनट का समय लगेगा। इसे बीच में चलाकर देखें कि यह पका है या नहीं। एक छोटे से मिक्सिंग बाउल में दही, बेसन, मिर्च पाउडर, धनिया पाउडर, कसूरी मेथी और गरम मसाला डालें। अच्छी तरह मिला लें। यदि आवश्यक हो तो 1/4 कप पानी डालें और अच्छी तरह मिलाएँ दही मिश्रण को टिंडे में डालें और तब तक पकाएँ जब तक करी गाढ़ी न हो जाए और दही वाले टिंडे की सब्जी नरम होकर सभी मसालों को सोख न ले। इसमें 3 से 5 मिनट का समय और लगेगा। एक बार हो जाने पर, स्वाद की जाँच करें और नमक को उसी हिसाब से समायोजित करें। आँच बंद कर दें और धनिया पत्ती डालकर चलाएँ और दही वाले टिंडे की सब्जी को एक सर्विंग बाउल में डालें। दही वाले टिंडे की सब्जी को फुल्का और पिंडी छोले के साथ गरमागरम परोसें और दोपहर या रात का खाना खाएँ।</v>
      </c>
      <c r="J577" s="3" t="s">
        <v>33295</v>
      </c>
      <c r="L577" s="1" t="s">
        <v>31003</v>
      </c>
    </row>
    <row r="578" spans="1:12" ht="13.8">
      <c r="A578" s="1" t="s">
        <v>33296</v>
      </c>
      <c r="B578" s="1" t="str">
        <f ca="1">IFERROR(__xludf.dummyfunction("IF(A578="""", """", GOOGLETRANSLATE(A578, ""en"", ""hi""))"),"आलू पफ पेस्ट्री रेसिपी")</f>
        <v>आलू पफ पेस्ट्री रेसिपी</v>
      </c>
      <c r="C578" s="1" t="s">
        <v>14281</v>
      </c>
      <c r="D578" s="1" t="s">
        <v>14198</v>
      </c>
      <c r="E578" s="1">
        <v>130</v>
      </c>
      <c r="F578" s="1" t="s">
        <v>33297</v>
      </c>
      <c r="G578" s="1" t="str">
        <f ca="1">IFERROR(__xludf.dummyfunction("IF(F578="""", """", GOOGLETRANSLATE(F578, ""en"", ""hi""))"),"2 आलू - उबले हुए, 1/2 कप पनीर - छोटे क्यूब्स, 1 प्याज - बारीक कटा हुआ, 2 टहनी धनिया (धनिया) पत्तियां - बारीक कटी हुई, 1 चम्मच अदरक - कसा हुआ, 1 चम्मच लाल मिर्च पाउडर, 1/2 चम्मच गरम मसाला पाउडर, 1 चम्मच चाट मसाला पाउडर, 1/2 चम्मच जीरा (जीरा), 1 चम्मच धनिया"&amp;" (धनिया) बीज - कुचला हुआ, 2 हरी मिर्च - कुचली हुई, 1 चम्मच सूरजमुखी तेल, नमक - आवश्यकतानुसार, 2 कप मैदा, 2 बड़े चम्मच मैदा - छिड़कने के लिए, 250 ग्राम मक्खन (बिना नमक वाला), 1/4 कप ठंडा पानी, 2 चम्मच सफेद सिरका - या नींबू का रस, नमक - आवश्यकतानुसार")</f>
        <v>2 आलू - उबले हुए, 1/2 कप पनीर - छोटे क्यूब्स, 1 प्याज - बारीक कटा हुआ, 2 टहनी धनिया (धनिया) पत्तियां - बारीक कटी हुई, 1 चम्मच अदरक - कसा हुआ, 1 चम्मच लाल मिर्च पाउडर, 1/2 चम्मच गरम मसाला पाउडर, 1 चम्मच चाट मसाला पाउडर, 1/2 चम्मच जीरा (जीरा), 1 चम्मच धनिया (धनिया) बीज - कुचला हुआ, 2 हरी मिर्च - कुचली हुई, 1 चम्मच सूरजमुखी तेल, नमक - आवश्यकतानुसार, 2 कप मैदा, 2 बड़े चम्मच मैदा - छिड़कने के लिए, 250 ग्राम मक्खन (बिना नमक वाला), 1/4 कप ठंडा पानी, 2 चम्मच सफेद सिरका - या नींबू का रस, नमक - आवश्यकतानुसार</v>
      </c>
      <c r="H578" s="1" t="s">
        <v>33298</v>
      </c>
      <c r="I578" s="1" t="str">
        <f ca="1">IFERROR(__xludf.dummyfunction("IF(H578="""", """", GOOGLETRANSLATE(H578, ""en"", ""hi""))"),"आलू पफ पेस्ट्री बनाने के लिए सबसे पहले एक मिक्सिंग बाउल में मैदा, 1/4 चम्मच नमक, सफेद सिरका या नींबू का रस डालकर अच्छी तरह मिला लें। इसमें 60 ग्राम अनसाल्टेड मक्खन डालकर हाथों से मसल लें। सभी सामग्री को हथेलियों से रगड़कर मिला लें। अब थोड़ा-थोड़ा करके ठंड"&amp;"ा पानी डालकर आटा गूंथ लें। काम करने वाली सतह पर थोड़ा मैदा छिड़कें और बिना पानी डाले 7 मिनट तक आटा गूंथ लें। आटे को प्लास्टिक या क्लिंग रैप में डालकर लगभग 20 मिनट के लिए फ्रिज में रख दें। अनसाल्टेड मक्खन की 2 स्टिक लें (लगभग 200 ग्राम और सुनिश्चित करें कि"&amp;" मक्खन ठंडा हो पर कमरे के तापमान पर न हो) हो सके तो क्लिंग रैप पर लें और इसे बेलन की मदद से रोल करें और एक आयताकार शीट बनाएं (लगभग 12 इंच चौड़ी और 14 इंच लंबी)। आटे की शीट के बीच में बटर शीट रखें और चिपकने वाला ताना हटाएँ। आटे की शीट को बटर शीट के ऊपर सभी"&amp;" तरफ से मोड़कर बटर शीट को आटे से ढक दें। शीट पर थोड़ा सा मैदा छिड़कें और इसे पलट दें। थोड़ा और मैदा छिड़कें और शीट को फिर से रोल करें। जितना हो सके उतना एक समान रोल करने की कोशिश करें। अब ब्रश का उपयोग करके शीट से अतिरिक्त मैदा हटाएँ। शीट को बाएँ से बीच क"&amp;"ी ओर मोड़ें और फिर शीट को दाएँ से बीच की ओर एक दूसरे को ओवरलैप करते हुए मोड़ें (अतिरिक्त मैदा हटाएँ)। इसे क्लिंग रैप से ढकें, इसे एक ट्रे में रखें और 20 मिनट के लिए फ्रिज में रख दें। शीट को रेफ्रिजरेटर से बाहर निकालें, क्लिंग रैप हटाएँ, वर्किंग स्टेशन पर "&amp;"थोड़ा सा मैदा छिड़कें, शीट रखें और इसे फिर से रोल करें। ब्रश का उपयोग करके अतिरिक्त मैदा हटाएँ। शीट को बाएँ से बीच की ओर मोड़ें और फिर शीट को दाएँ से बीच की ओर एक दूसरे को ओवरलैप करते हुए मोड़ें। इसे क्लिंग रैप से ढकें और 20 मिनट के लिए फ्रिज में रख दें। "&amp;"इस चरण को 3 बार और दोहराएँ। अगला चरण भरावन तैयार करना है। मध्यम आँच पर एक चौड़े पैन को गर्म करें और उसमें तेल डालें। गरम तेल में जीरा, कुटा हुआ धनिया, कटा हुआ अदरक और हरी मिर्च डालें। लगभग 30 सेकंड तक भूनें और कटा हुआ प्याज डालें। प्याज के पारदर्शी होने त"&amp;"क सब कुछ फिर से भूनें। हल्दी पाउडर, गरम मसाला, चाट मसाला डालें और अच्छी तरह मिलाएँ। पनीर के छोटे-छोटे टुकड़े डालें और सब कुछ अच्छी तरह मिलाएँ। स्वादानुसार 1/4 चम्मच काला नमक और कुछ चुटकी सादा नमक डालें। 30 सेकंड तक हिलाएँ और उबले हुए आलू डालें। उबले हुए आ"&amp;"लू को छोटे-छोटे टुकड़ों में कुचलें और अच्छी तरह मिलाएँ। आँच बंद करें और कटा हुआ हरा धनिया डालें। सब कुछ अच्छी तरह मिलाएँ और भरावन तैयार है। शीट को रेफ्रिजरेटर से बाहर निकालें, क्लिंग रैप हटाएँ, वर्किंग स्टेशन पर थोड़ा सा मैदा छिड़कें, शीट रखें, शीट पर थोड"&amp;"़ा सा मैदा डालें और इसे फिर से रोल करें। इसे जितना संभव हो उतना समतल रोल करने का प्रयास करें। एक बार जब शीट पूरी तरह से रोल हो जाए, तो इसे एक चाकू या पिज्जा कटर का उपयोग करके किनारों को काट लें ताकि यह एक पूर्ण वर्ग/आयताकार जैसा दिखे। चाकू/पिज्जा कटर का उ"&amp;"पयोग करके, आपको शीट से नौ बराबर टुकड़े काटने में सक्षम होना चाहिए। अब नौ टुकड़ों में से एक लें और केंद्र में 1 बड़ा चम्मच भरावन डालें। ऊपरी दायाँ कोना उठाएँ और इसे बाएँ निचले कोने से जोड़ दें। किनारों को एक साथ दबाकर इसे पूरी तरह से सील कर दें। एक बेकिंग "&amp;"ट्रे निकालें और बेक करने के लिए तैयार पफ्स को ट्रे पर रख दें। इसे पहले 6 मिनट के लिए 450F/230C पर ओवन में बेक करें। फिर, इसे 350F/175C पर 14 मिनट तक बेक करें। 20 मिनट के बाद, कुरकुरी, परतदार और फूली हुई आलू पैटी परोसने के लिए तैयार हैं")</f>
        <v>आलू पफ पेस्ट्री बनाने के लिए सबसे पहले एक मिक्सिंग बाउल में मैदा, 1/4 चम्मच नमक, सफेद सिरका या नींबू का रस डालकर अच्छी तरह मिला लें। इसमें 60 ग्राम अनसाल्टेड मक्खन डालकर हाथों से मसल लें। सभी सामग्री को हथेलियों से रगड़कर मिला लें। अब थोड़ा-थोड़ा करके ठंडा पानी डालकर आटा गूंथ लें। काम करने वाली सतह पर थोड़ा मैदा छिड़कें और बिना पानी डाले 7 मिनट तक आटा गूंथ लें। आटे को प्लास्टिक या क्लिंग रैप में डालकर लगभग 20 मिनट के लिए फ्रिज में रख दें। अनसाल्टेड मक्खन की 2 स्टिक लें (लगभग 200 ग्राम और सुनिश्चित करें कि मक्खन ठंडा हो पर कमरे के तापमान पर न हो) हो सके तो क्लिंग रैप पर लें और इसे बेलन की मदद से रोल करें और एक आयताकार शीट बनाएं (लगभग 12 इंच चौड़ी और 14 इंच लंबी)। आटे की शीट के बीच में बटर शीट रखें और चिपकने वाला ताना हटाएँ। आटे की शीट को बटर शीट के ऊपर सभी तरफ से मोड़कर बटर शीट को आटे से ढक दें। शीट पर थोड़ा सा मैदा छिड़कें और इसे पलट दें। थोड़ा और मैदा छिड़कें और शीट को फिर से रोल करें। जितना हो सके उतना एक समान रोल करने की कोशिश करें। अब ब्रश का उपयोग करके शीट से अतिरिक्त मैदा हटाएँ। शीट को बाएँ से बीच की ओर मोड़ें और फिर शीट को दाएँ से बीच की ओर एक दूसरे को ओवरलैप करते हुए मोड़ें (अतिरिक्त मैदा हटाएँ)। इसे क्लिंग रैप से ढकें, इसे एक ट्रे में रखें और 20 मिनट के लिए फ्रिज में रख दें। शीट को रेफ्रिजरेटर से बाहर निकालें, क्लिंग रैप हटाएँ, वर्किंग स्टेशन पर थोड़ा सा मैदा छिड़कें, शीट रखें और इसे फिर से रोल करें। ब्रश का उपयोग करके अतिरिक्त मैदा हटाएँ। शीट को बाएँ से बीच की ओर मोड़ें और फिर शीट को दाएँ से बीच की ओर एक दूसरे को ओवरलैप करते हुए मोड़ें। इसे क्लिंग रैप से ढकें और 20 मिनट के लिए फ्रिज में रख दें। इस चरण को 3 बार और दोहराएँ। अगला चरण भरावन तैयार करना है। मध्यम आँच पर एक चौड़े पैन को गर्म करें और उसमें तेल डालें। गरम तेल में जीरा, कुटा हुआ धनिया, कटा हुआ अदरक और हरी मिर्च डालें। लगभग 30 सेकंड तक भूनें और कटा हुआ प्याज डालें। प्याज के पारदर्शी होने तक सब कुछ फिर से भूनें। हल्दी पाउडर, गरम मसाला, चाट मसाला डालें और अच्छी तरह मिलाएँ। पनीर के छोटे-छोटे टुकड़े डालें और सब कुछ अच्छी तरह मिलाएँ। स्वादानुसार 1/4 चम्मच काला नमक और कुछ चुटकी सादा नमक डालें। 30 सेकंड तक हिलाएँ और उबले हुए आलू डालें। उबले हुए आलू को छोटे-छोटे टुकड़ों में कुचलें और अच्छी तरह मिलाएँ। आँच बंद करें और कटा हुआ हरा धनिया डालें। सब कुछ अच्छी तरह मिलाएँ और भरावन तैयार है। शीट को रेफ्रिजरेटर से बाहर निकालें, क्लिंग रैप हटाएँ, वर्किंग स्टेशन पर थोड़ा सा मैदा छिड़कें, शीट रखें, शीट पर थोड़ा सा मैदा डालें और इसे फिर से रोल करें। इसे जितना संभव हो उतना समतल रोल करने का प्रयास करें। एक बार जब शीट पूरी तरह से रोल हो जाए, तो इसे एक चाकू या पिज्जा कटर का उपयोग करके किनारों को काट लें ताकि यह एक पूर्ण वर्ग/आयताकार जैसा दिखे। चाकू/पिज्जा कटर का उपयोग करके, आपको शीट से नौ बराबर टुकड़े काटने में सक्षम होना चाहिए। अब नौ टुकड़ों में से एक लें और केंद्र में 1 बड़ा चम्मच भरावन डालें। ऊपरी दायाँ कोना उठाएँ और इसे बाएँ निचले कोने से जोड़ दें। किनारों को एक साथ दबाकर इसे पूरी तरह से सील कर दें। एक बेकिंग ट्रे निकालें और बेक करने के लिए तैयार पफ्स को ट्रे पर रख दें। इसे पहले 6 मिनट के लिए 450F/230C पर ओवन में बेक करें। फिर, इसे 350F/175C पर 14 मिनट तक बेक करें। 20 मिनट के बाद, कुरकुरी, परतदार और फूली हुई आलू पैटी परोसने के लिए तैयार हैं</v>
      </c>
      <c r="J578" s="3" t="s">
        <v>33299</v>
      </c>
      <c r="L578" s="1" t="s">
        <v>31003</v>
      </c>
    </row>
    <row r="579" spans="1:12" ht="13.8">
      <c r="A579" s="1" t="s">
        <v>33300</v>
      </c>
      <c r="B579" s="1" t="str">
        <f ca="1">IFERROR(__xludf.dummyfunction("IF(A579="""", """", GOOGLETRANSLATE(A579, ""en"", ""hi""))"),"टोफू और शिमला मिर्च पराठा रेसिपी (भरवां टोफू फ्लैटब्रेड)")</f>
        <v>टोफू और शिमला मिर्च पराठा रेसिपी (भरवां टोफू फ्लैटब्रेड)</v>
      </c>
      <c r="C579" s="1" t="s">
        <v>145</v>
      </c>
      <c r="D579" s="1" t="s">
        <v>14237</v>
      </c>
      <c r="E579" s="1">
        <v>60</v>
      </c>
      <c r="F579" s="1" t="s">
        <v>33301</v>
      </c>
      <c r="G579" s="1" t="str">
        <f ca="1">IFERROR(__xludf.dummyfunction("IF(F579="""", """", GOOGLETRANSLATE(F579, ""en"", ""hi""))"),"2 कप गेहूं का आटा, 1/2 चम्मच नमक, 1 चम्मच सूरजमुखी तेल, 1 कप टोफू - टुकड़े टुकड़े, 1 हरी बेल मिर्च (शिमला मिर्च) - बारीक कटी हुई, 1 चम्मच जीरा पाउडर (जीरा), 2 हरी मिर्च - बारीक कटी हुई, 1 बड़ा चम्मच धनिया (धनिया) के पत्ते - बारीक कटा हुआ, नमक - स्वादानुसा"&amp;"र")</f>
        <v>2 कप गेहूं का आटा, 1/2 चम्मच नमक, 1 चम्मच सूरजमुखी तेल, 1 कप टोफू - टुकड़े टुकड़े, 1 हरी बेल मिर्च (शिमला मिर्च) - बारीक कटी हुई, 1 चम्मच जीरा पाउडर (जीरा), 2 हरी मिर्च - बारीक कटी हुई, 1 बड़ा चम्मच धनिया (धनिया) के पत्ते - बारीक कटा हुआ, नमक - स्वादानुसार</v>
      </c>
      <c r="H579" s="1" t="s">
        <v>33302</v>
      </c>
      <c r="I579" s="1" t="str">
        <f ca="1">IFERROR(__xludf.dummyfunction("IF(H579="""", """", GOOGLETRANSLATE(H579, ""en"", ""hi""))"),"टोफू शिमला मिर्च पराठा रेसिपी बनाने के लिए सबसे पहले हमें पराठों के लिए आटा गूंथना होगा। एक बड़े कटोरे में 2 कप गेहूं का आटा और थोड़ा नमक डालें। अपनी उँगलियों का प्रयोग करें और आटे में नमक मिलाएँ। थोड़ा-थोड़ा करके पानी डालें और नरम, लचीला आटा गूंथने के लि"&amp;"ए गूंथें। आटे को कुछ मिनट तक गूंथें जब तक कि आटा चिकना और लचीला न हो जाए। आटे को चिकना करने के लिए फोल्ड प्रेस और गूंथने की गति का प्रयोग करें। अब हम आटे को कोट करने के लिए एक चम्मच तेल डालेंगे और थोड़ा और गूंथेंगे। आपको ऐसा आटा चाहिए जो नरम चिकना हो और च"&amp;"िपचिपा न हो। अब हम आटे को 14 से 16 बराबर भागों में बाँट लेंगे। आटे को ढँक दें और आटे को तब तक आराम करने दें जब तक कि भरावन तैयार न हो जाए। जब ​​तक आटा आराम कर रहा है, हम टोफू पराठों के लिए भरावन तैयार करेंगे। फिर इसमें बारीक कटी हरी मिर्च, एक बड़ा चम्मच ज"&amp;"ीरा पाउडर और अंत में थोड़ा नमक डालें। सभी सामग्री को अच्छी तरह मिला लें। भरावन को 10 से 12 बराबर भागों में बांट लें। आटे और भरावन के हिस्सों को बांटने और तैयार रखने की यह प्रक्रिया आपको यह अनुमान लगाने में मदद करती है कि आप कितने टोफू पराठे बना सकते हैं औ"&amp;"र आपको भरावन की अधिक या कम आवश्यकता है। आटे का एक भाग लें, इसे आटे में लपेटें और इसे चकले पर दबाकर चपटा करें। आटे को लगभग 3 इंच व्यास के गोल आकार में बेल लें और बीच-बीच में आटा छिड़कते रहें ताकि आटा सतह पर चिपके नहीं। इस बेले हुए आटे को एक तरफ रख दें। आटे"&amp;" का दूसरा भाग लें, इसे फिर से आटे में लपेटें और लगभग 3 इंच व्यास के गोल आकार में बेल लें। अब भरावन के एक भाग को गोल आकार में रखें सील हो जाने के बाद पराठे को अपनी हथेलियों से दबाएँ ताकि हवा की जेबें निकल जाएँ। और इसे पिन से धीरे से रोल करके एक समान कर दें"&amp;"। बचे हुए आटे और भरावन के हिस्सों के साथ भी यही प्रक्रिया अपनाएँ। अब हम टोफू पराठा पकाने के अंतिम चरण में आएँगे, मध्यम आँच पर एक कड़ाही गरम करें और भरा हुआ आटा डालें। इसे मध्यम आँच पर लगभग 30 से 45 सेकंड तक पकने दें और पलट दें। इस चरण में एक चम्मच घी या त"&amp;"ेल डालें और इसे चारों ओर फैलाएँ। फिर से पलटें, ताकि तेल वाला भाग कड़ाही में पक जाए। थोड़ा और घी फैलाएँ और टोफू पराठे को अंदर से बाहर तक समान रूप से पकाने के लिए तवे पर पराठों को दबाते रहें। पलटने की प्रक्रिया को एक-दो बार तब तक दोहराएँ जब तक कि दोनों तरफ "&amp;"से समान रूप से पककर भूरा और कुरकुरा न हो जाए। सुनिश्चित करें कि आप मध्यम आँच पर पकाएँ क्योंकि इससे टोफू पराठे बाहर से कुरकुरा और फिर भी नरम बनावट वाले हो जाते हैं। पराठा पक जाने के बाद उसे एक प्लेट में निकाल लें। बाकी बचे आटे के हिस्सों को भी इसी तरह से ब"&amp;"ना लें। भरवां टोफू कैप्सिकम पराठा रेसिपी को अचार के साथ परोसें। आप इन्हें अपने बच्चों के लंच बॉक्स में पैक कर सकते हैं या फिर यात्रा के दौरान नाश्ते के तौर पर ले जा सकते हैं। यह पेट भरने वाला और पौष्टिक होता है।")</f>
        <v>टोफू शिमला मिर्च पराठा रेसिपी बनाने के लिए सबसे पहले हमें पराठों के लिए आटा गूंथना होगा। एक बड़े कटोरे में 2 कप गेहूं का आटा और थोड़ा नमक डालें। अपनी उँगलियों का प्रयोग करें और आटे में नमक मिलाएँ। थोड़ा-थोड़ा करके पानी डालें और नरम, लचीला आटा गूंथने के लिए गूंथें। आटे को कुछ मिनट तक गूंथें जब तक कि आटा चिकना और लचीला न हो जाए। आटे को चिकना करने के लिए फोल्ड प्रेस और गूंथने की गति का प्रयोग करें। अब हम आटे को कोट करने के लिए एक चम्मच तेल डालेंगे और थोड़ा और गूंथेंगे। आपको ऐसा आटा चाहिए जो नरम चिकना हो और चिपचिपा न हो। अब हम आटे को 14 से 16 बराबर भागों में बाँट लेंगे। आटे को ढँक दें और आटे को तब तक आराम करने दें जब तक कि भरावन तैयार न हो जाए। जब ​​तक आटा आराम कर रहा है, हम टोफू पराठों के लिए भरावन तैयार करेंगे। फिर इसमें बारीक कटी हरी मिर्च, एक बड़ा चम्मच जीरा पाउडर और अंत में थोड़ा नमक डालें। सभी सामग्री को अच्छी तरह मिला लें। भरावन को 10 से 12 बराबर भागों में बांट लें। आटे और भरावन के हिस्सों को बांटने और तैयार रखने की यह प्रक्रिया आपको यह अनुमान लगाने में मदद करती है कि आप कितने टोफू पराठे बना सकते हैं और आपको भरावन की अधिक या कम आवश्यकता है। आटे का एक भाग लें, इसे आटे में लपेटें और इसे चकले पर दबाकर चपटा करें। आटे को लगभग 3 इंच व्यास के गोल आकार में बेल लें और बीच-बीच में आटा छिड़कते रहें ताकि आटा सतह पर चिपके नहीं। इस बेले हुए आटे को एक तरफ रख दें। आटे का दूसरा भाग लें, इसे फिर से आटे में लपेटें और लगभग 3 इंच व्यास के गोल आकार में बेल लें। अब भरावन के एक भाग को गोल आकार में रखें सील हो जाने के बाद पराठे को अपनी हथेलियों से दबाएँ ताकि हवा की जेबें निकल जाएँ। और इसे पिन से धीरे से रोल करके एक समान कर दें। बचे हुए आटे और भरावन के हिस्सों के साथ भी यही प्रक्रिया अपनाएँ। अब हम टोफू पराठा पकाने के अंतिम चरण में आएँगे, मध्यम आँच पर एक कड़ाही गरम करें और भरा हुआ आटा डालें। इसे मध्यम आँच पर लगभग 30 से 45 सेकंड तक पकने दें और पलट दें। इस चरण में एक चम्मच घी या तेल डालें और इसे चारों ओर फैलाएँ। फिर से पलटें, ताकि तेल वाला भाग कड़ाही में पक जाए। थोड़ा और घी फैलाएँ और टोफू पराठे को अंदर से बाहर तक समान रूप से पकाने के लिए तवे पर पराठों को दबाते रहें। पलटने की प्रक्रिया को एक-दो बार तब तक दोहराएँ जब तक कि दोनों तरफ से समान रूप से पककर भूरा और कुरकुरा न हो जाए। सुनिश्चित करें कि आप मध्यम आँच पर पकाएँ क्योंकि इससे टोफू पराठे बाहर से कुरकुरा और फिर भी नरम बनावट वाले हो जाते हैं। पराठा पक जाने के बाद उसे एक प्लेट में निकाल लें। बाकी बचे आटे के हिस्सों को भी इसी तरह से बना लें। भरवां टोफू कैप्सिकम पराठा रेसिपी को अचार के साथ परोसें। आप इन्हें अपने बच्चों के लंच बॉक्स में पैक कर सकते हैं या फिर यात्रा के दौरान नाश्ते के तौर पर ले जा सकते हैं। यह पेट भरने वाला और पौष्टिक होता है।</v>
      </c>
      <c r="J579" s="3" t="s">
        <v>33303</v>
      </c>
      <c r="L579" s="1" t="s">
        <v>31003</v>
      </c>
    </row>
    <row r="580" spans="1:12" ht="13.8">
      <c r="A580" s="1" t="s">
        <v>33304</v>
      </c>
      <c r="B580" s="1" t="str">
        <f ca="1">IFERROR(__xludf.dummyfunction("IF(A580="""", """", GOOGLETRANSLATE(A580, ""en"", ""hi""))"),"बादामी पनीर मसाला रेसिपी - बादाम ग्रेवी में पनीर")</f>
        <v>बादामी पनीर मसाला रेसिपी - बादाम ग्रेवी में पनीर</v>
      </c>
      <c r="C580" s="1" t="s">
        <v>14207</v>
      </c>
      <c r="D580" s="1" t="s">
        <v>14237</v>
      </c>
      <c r="E580" s="1">
        <v>30</v>
      </c>
      <c r="F580" s="1" t="s">
        <v>33305</v>
      </c>
      <c r="G580" s="1" t="str">
        <f ca="1">IFERROR(__xludf.dummyfunction("IF(F580="""", """", GOOGLETRANSLATE(F580, ""en"", ""hi""))"),"300 ग्राम पनीर - त्रिकोण में कटा हुआ, 1/2 कप बादाम, 2 प्याज - मोटे तौर पर कटा हुआ, 4 टमाटर - मोटे तौर पर कटा हुआ, 1 बड़ा चम्मच अदरक - मोटे तौर पर कटा हुआ, 4 लहसुन की कलियां, 3 सूखी लाल मिर्च, 2 चम्मच धनिया पाउडर, 2 चम्मच कश्मीरी लाल मिर्च पाउडर, 1 चम्मच ग"&amp;"रम मसाला पाउडर, 1/2 चम्मच हल्दी पाउडर, 1/2 चम्मच चीनी, 1 तेज पत्ता, 1 बड़ा चम्मच घी - या तेल, नमक - स्वादानुसार")</f>
        <v>300 ग्राम पनीर - त्रिकोण में कटा हुआ, 1/2 कप बादाम, 2 प्याज - मोटे तौर पर कटा हुआ, 4 टमाटर - मोटे तौर पर कटा हुआ, 1 बड़ा चम्मच अदरक - मोटे तौर पर कटा हुआ, 4 लहसुन की कलियां, 3 सूखी लाल मिर्च, 2 चम्मच धनिया पाउडर, 2 चम्मच कश्मीरी लाल मिर्च पाउडर, 1 चम्मच गरम मसाला पाउडर, 1/2 चम्मच हल्दी पाउडर, 1/2 चम्मच चीनी, 1 तेज पत्ता, 1 बड़ा चम्मच घी - या तेल, नमक - स्वादानुसार</v>
      </c>
      <c r="H580" s="1" t="s">
        <v>33306</v>
      </c>
      <c r="I580" s="1" t="str">
        <f ca="1">IFERROR(__xludf.dummyfunction("IF(H580="""", """", GOOGLETRANSLATE(H580, ""en"", ""hi""))"),"बादामी पनीर मसाला रेसिपी बनाने के लिए, बादाम को एक कटोरी गर्म पानी में लगभग 10 मिनट के लिए भिगोएँ, छिलका उतारें और उन्हें एक तरफ रख दें (या आप उन्हें माइक्रोवेव ओवन में भी उबाल सकते हैं) पनीर को हल्दी और एक चम्मच कश्मीरी लाल मिर्च पाउडर में मिलाकर लगभग 5 "&amp;"मिनट के लिए मैरीनेट करें। एक मिक्सर ग्राइंडर का उपयोग करके कच्चे कटे टमाटरों को प्यूरी करें और एक तरफ रख दें। एक मिक्सर ग्राइंडर का उपयोग करके 1/4 कप बादाम, अदरक, लहसुन, प्याज और लाल मिर्च का बारीक पेस्ट बनाएं और एक तरफ रख दें। एक पैन में एक बड़ा चम्मच घी"&amp;" या तेल गर्म करें और मैरीनेट किए हुए पनीर को तब तक भूनें जब तक कि वे लगभग 3/4 तक पक न जाएं और एक तरफ रख दें। उसी पैन में मध्यम आंच पर, बचा हुआ घी डालें, तेज पत्ता डालें और इसे घी में लगभग आधे मिनट तक साथ ही। धनिया पाउडर, कश्मीरी लाल मिर्च पाउडर, गरम मसाला"&amp;" डालें और अच्छी तरह मिलाएँ। 1.5 कप पानी डालें, नमक डालें और उबाल आने दें। अब, आंशिक रूप से तले हुए पनीर के त्रिकोण और बचे हुए बादाम डालें, 10 मिनट तक उबालें। आँच बंद कर दें और प्याज के छल्लों से गार्निश करें। बादामी पनीर मसाला रेसिपी को बटर नान रेसिपी, भि"&amp;"ंडी मसाला रेसिपी, मूली रायता रेसिपी और खट्टी मीठी दाल चावल रेसिपी के साथ शुक्रवार रात के खाने के लिए परोसें।")</f>
        <v>बादामी पनीर मसाला रेसिपी बनाने के लिए, बादाम को एक कटोरी गर्म पानी में लगभग 10 मिनट के लिए भिगोएँ, छिलका उतारें और उन्हें एक तरफ रख दें (या आप उन्हें माइक्रोवेव ओवन में भी उबाल सकते हैं) पनीर को हल्दी और एक चम्मच कश्मीरी लाल मिर्च पाउडर में मिलाकर लगभग 5 मिनट के लिए मैरीनेट करें। एक मिक्सर ग्राइंडर का उपयोग करके कच्चे कटे टमाटरों को प्यूरी करें और एक तरफ रख दें। एक मिक्सर ग्राइंडर का उपयोग करके 1/4 कप बादाम, अदरक, लहसुन, प्याज और लाल मिर्च का बारीक पेस्ट बनाएं और एक तरफ रख दें। एक पैन में एक बड़ा चम्मच घी या तेल गर्म करें और मैरीनेट किए हुए पनीर को तब तक भूनें जब तक कि वे लगभग 3/4 तक पक न जाएं और एक तरफ रख दें। उसी पैन में मध्यम आंच पर, बचा हुआ घी डालें, तेज पत्ता डालें और इसे घी में लगभग आधे मिनट तक साथ ही। धनिया पाउडर, कश्मीरी लाल मिर्च पाउडर, गरम मसाला डालें और अच्छी तरह मिलाएँ। 1.5 कप पानी डालें, नमक डालें और उबाल आने दें। अब, आंशिक रूप से तले हुए पनीर के त्रिकोण और बचे हुए बादाम डालें, 10 मिनट तक उबालें। आँच बंद कर दें और प्याज के छल्लों से गार्निश करें। बादामी पनीर मसाला रेसिपी को बटर नान रेसिपी, भिंडी मसाला रेसिपी, मूली रायता रेसिपी और खट्टी मीठी दाल चावल रेसिपी के साथ शुक्रवार रात के खाने के लिए परोसें।</v>
      </c>
      <c r="J580" s="3" t="s">
        <v>33307</v>
      </c>
      <c r="L580" s="1" t="s">
        <v>31003</v>
      </c>
    </row>
    <row r="581" spans="1:12" ht="13.8">
      <c r="A581" s="1" t="s">
        <v>33308</v>
      </c>
      <c r="B581" s="1" t="str">
        <f ca="1">IFERROR(__xludf.dummyfunction("IF(A581="""", """", GOOGLETRANSLATE(A581, ""en"", ""hi""))"),"दही वाली सिंघाड़े की सब्जी रेसिपी")</f>
        <v>दही वाली सिंघाड़े की सब्जी रेसिपी</v>
      </c>
      <c r="C581" s="1" t="s">
        <v>14207</v>
      </c>
      <c r="D581" s="1" t="s">
        <v>14208</v>
      </c>
      <c r="E581" s="1">
        <v>40</v>
      </c>
      <c r="F581" s="1" t="s">
        <v>33309</v>
      </c>
      <c r="G581" s="1" t="str">
        <f ca="1">IFERROR(__xludf.dummyfunction("IF(F581="""", """", GOOGLETRANSLATE(F581, ""en"", ""hi""))"),"300 ग्राम सिंघाड़े, 1 छोटा चम्मच जीरा, 1 छोटा चम्मच राई, 1 टमाटर - कटा हुआ, 1 हरी मिर्च - कटी हुई, 1/2 कप दही, 1 छोटा चम्मच बेसन, 1/2 छोटा चम्मच हल्दी, 1 छोटा चम्मच धनिया पाउडर, 1 छोटा चम्मच काली मिर्च पाउडर, 1 छोटा चम्मच आमचूर, नमक - स्वादानुसार, सूरजमुख"&amp;"ी तेल, 1 टहनी धनिया - कटी हुई")</f>
        <v>300 ग्राम सिंघाड़े, 1 छोटा चम्मच जीरा, 1 छोटा चम्मच राई, 1 टमाटर - कटा हुआ, 1 हरी मिर्च - कटी हुई, 1/2 कप दही, 1 छोटा चम्मच बेसन, 1/2 छोटा चम्मच हल्दी, 1 छोटा चम्मच धनिया पाउडर, 1 छोटा चम्मच काली मिर्च पाउडर, 1 छोटा चम्मच आमचूर, नमक - स्वादानुसार, सूरजमुखी तेल, 1 टहनी धनिया - कटी हुई</v>
      </c>
      <c r="H581" s="1" t="s">
        <v>33310</v>
      </c>
      <c r="I581" s="1" t="str">
        <f ca="1">IFERROR(__xludf.dummyfunction("IF(H581="""", """", GOOGLETRANSLATE(H581, ""en"", ""hi""))"),"दही वाली सिंघाड़े की सब्जी बनाने के लिए सबसे पहले सिंघाड़े को उनकी बाहरी परत के साथ प्रेशर कुकर में पकाएं। लगभग 1 कप पानी डालें और कम से कम 4 सीटी आने तक पकाएं। एक बार हो जाने पर छिलका उतार दें और उन्हें छोटे टुकड़ों में काट लें। एक कढ़ाई में तेल गर्म करे"&amp;"ं, उसमें राई, जीरा डालें और उन्हें चटकने दें। एक अलग कटोरे में दही के साथ बेसन, हल्दी पाउडर, धनिया पाउडर, काली मिर्च पाउडर, अमचूर डालकर मिला लें और एक तरफ रख दें। गर्म पैन में कटे हुए टमाटर डालें और थोड़ा नमक छिड़कें और तब तक पकाएं जब तक कि यह नरम न हो जा"&amp;"ए। दही का मिश्रण, पके हुए सिंघाड़े डालें और अच्छी तरह मिला लें। गाढ़ापन ठीक करने के लिए थोड़ा पानी डालें। मसाले चेक करें और कटी हुई धनिया पत्ती के साथ गरमागरम परोसें। दही वाली सिंघाड़े की सब्जी को थेपला और गुजराती दाल के साथ परोसें, यह व्रत के बाद एक अच्छ"&amp;"ा भोजन होगा।")</f>
        <v>दही वाली सिंघाड़े की सब्जी बनाने के लिए सबसे पहले सिंघाड़े को उनकी बाहरी परत के साथ प्रेशर कुकर में पकाएं। लगभग 1 कप पानी डालें और कम से कम 4 सीटी आने तक पकाएं। एक बार हो जाने पर छिलका उतार दें और उन्हें छोटे टुकड़ों में काट लें। एक कढ़ाई में तेल गर्म करें, उसमें राई, जीरा डालें और उन्हें चटकने दें। एक अलग कटोरे में दही के साथ बेसन, हल्दी पाउडर, धनिया पाउडर, काली मिर्च पाउडर, अमचूर डालकर मिला लें और एक तरफ रख दें। गर्म पैन में कटे हुए टमाटर डालें और थोड़ा नमक छिड़कें और तब तक पकाएं जब तक कि यह नरम न हो जाए। दही का मिश्रण, पके हुए सिंघाड़े डालें और अच्छी तरह मिला लें। गाढ़ापन ठीक करने के लिए थोड़ा पानी डालें। मसाले चेक करें और कटी हुई धनिया पत्ती के साथ गरमागरम परोसें। दही वाली सिंघाड़े की सब्जी को थेपला और गुजराती दाल के साथ परोसें, यह व्रत के बाद एक अच्छा भोजन होगा।</v>
      </c>
      <c r="J581" s="3" t="s">
        <v>33311</v>
      </c>
      <c r="L581" s="1" t="s">
        <v>31003</v>
      </c>
    </row>
    <row r="582" spans="1:12" ht="13.8">
      <c r="A582" s="1" t="s">
        <v>32090</v>
      </c>
      <c r="B582" s="1" t="str">
        <f ca="1">IFERROR(__xludf.dummyfunction("IF(A582="""", """", GOOGLETRANSLATE(A582, ""en"", ""hi""))"),"पनीर टिक्का पुलाव रेसिपी")</f>
        <v>पनीर टिक्का पुलाव रेसिपी</v>
      </c>
      <c r="C582" s="1" t="s">
        <v>145</v>
      </c>
      <c r="D582" s="1" t="s">
        <v>14198</v>
      </c>
      <c r="E582" s="1">
        <v>50</v>
      </c>
      <c r="F582" s="1" t="s">
        <v>33312</v>
      </c>
      <c r="G582" s="1" t="str">
        <f ca="1">IFERROR(__xludf.dummyfunction("IF(F582="""", """", GOOGLETRANSLATE(F582, ""en"", ""hi""))"),"1-1/2 कप बासमती चावल, 1 प्याज, 1 हरी मिर्च, 1 चम्मच जीरा, 1 इलायची, 1 इंच दालचीनी, 2 लौंग, 1 तेज पत्ता, 1/4 चम्मच हल्दी, 1/4 चम्मच गरम मसाला पाउडर, 2 चम्मच सूरजमुखी तेल, नमक - आवश्यकतानुसार, 200 ग्राम पनीर - 1 इंच मोटे टुकड़ों में कटा हुआ, 2 बड़े चम्मच दह"&amp;"ी, 3 चम्मच बेसन, 1 चम्मच लाल मिर्च पाउडर, 1/2 चम्मच गरम मसाला पाउडर, 1/2 चम्मच कसूरी मेथी, 1 बड़ा चम्मच अदरक लहसुन पेस्ट, नारियल तेल - आवश्यकतानुसार")</f>
        <v>1-1/2 कप बासमती चावल, 1 प्याज, 1 हरी मिर्च, 1 चम्मच जीरा, 1 इलायची, 1 इंच दालचीनी, 2 लौंग, 1 तेज पत्ता, 1/4 चम्मच हल्दी, 1/4 चम्मच गरम मसाला पाउडर, 2 चम्मच सूरजमुखी तेल, नमक - आवश्यकतानुसार, 200 ग्राम पनीर - 1 इंच मोटे टुकड़ों में कटा हुआ, 2 बड़े चम्मच दही, 3 चम्मच बेसन, 1 चम्मच लाल मिर्च पाउडर, 1/2 चम्मच गरम मसाला पाउडर, 1/2 चम्मच कसूरी मेथी, 1 बड़ा चम्मच अदरक लहसुन पेस्ट, नारियल तेल - आवश्यकतानुसार</v>
      </c>
      <c r="H582" s="1" t="s">
        <v>33313</v>
      </c>
      <c r="I582" s="1" t="str">
        <f ca="1">IFERROR(__xludf.dummyfunction("IF(H582="""", """", GOOGLETRANSLATE(H582, ""en"", ""hi""))"),"पनीर टिक्का पुलाव बनाने के लिए हम बासमती चावल को धोकर 30 मिनट के लिए पानी में भिगो देंगे। अगला कदम पनीर के लिए मैरिनेड बनाना है। एक बड़े कटोरे में दही, बेसन, अदरक लहसुन का पेस्ट, लाल मिर्च पाउडर, गरम मसाला पाउडर और थोड़ा नमक मिलाएं। सभी चीजों को एक साथ मि"&amp;"लाकर गाढ़ा पेस्ट बना लें। पेस्ट में पनीर के टुकड़े डालें और अच्छी तरह मिला लें ताकि पेस्ट हर पनीर के टुकड़े पर अच्छी तरह लग जाए। ढककर 30 मिनट के लिए फ्रिज में रख दें। एक तवा गरम करें और उसमें दो चम्मच खाना पकाने का तेल डालें, पनीर के टुकड़े डालें और सभी त"&amp;"रफ से हल्का सुनहरा होने तक तल लें। तवा से उतार लें और एक तरफ रख दें। अगला कदम पुलाव बनाना है। प्रेशर कुकर में एक चम्मच तेल गरम करें और उसमें जीरा, दालचीनी, लौंग, इलायची और तेज पत्ता डालें प्याज के नरम और पारदर्शी होने तक भूनें। प्याज के नरम हो जाने पर, पन"&amp;"ीर टिक्का, हल्दी पाउडर, गरम मसाला पाउडर डालें और पनीर के टुकड़ों को तोड़े बिना हल्के से मिलाएँ। भिगोए हुए बासमती चावल को पानी से निकाल लें और प्रेशर कुकर में डालें। एक मिनट तक भूनें जब तक कि मसाला चावल पर न लग जाए। आवश्यक मात्रा में नमक के साथ 3 कप पानी ड"&amp;"ालें। अच्छी तरह मिलाएँ और पानी को उबाल लें। कुकर को बंद करें और एक सीटी आने तक प्रेशर कुक करें। जब प्रेशर अपने आप निकल जाए, तो चावल को कांटे से धीरे से फुलाएँ। धनिया पत्ती से गार्निश करें। पनीर टिक्का पुलाव को टमाटर प्याज रायता या तड़का रायता के साथ एक सा"&amp;"धारण रविवार के दोपहर के भोजन के लिए परोसें या इसे सप्ताह के दिनों में लंच बॉक्स में पैक करें।")</f>
        <v>पनीर टिक्का पुलाव बनाने के लिए हम बासमती चावल को धोकर 30 मिनट के लिए पानी में भिगो देंगे। अगला कदम पनीर के लिए मैरिनेड बनाना है। एक बड़े कटोरे में दही, बेसन, अदरक लहसुन का पेस्ट, लाल मिर्च पाउडर, गरम मसाला पाउडर और थोड़ा नमक मिलाएं। सभी चीजों को एक साथ मिलाकर गाढ़ा पेस्ट बना लें। पेस्ट में पनीर के टुकड़े डालें और अच्छी तरह मिला लें ताकि पेस्ट हर पनीर के टुकड़े पर अच्छी तरह लग जाए। ढककर 30 मिनट के लिए फ्रिज में रख दें। एक तवा गरम करें और उसमें दो चम्मच खाना पकाने का तेल डालें, पनीर के टुकड़े डालें और सभी तरफ से हल्का सुनहरा होने तक तल लें। तवा से उतार लें और एक तरफ रख दें। अगला कदम पुलाव बनाना है। प्रेशर कुकर में एक चम्मच तेल गरम करें और उसमें जीरा, दालचीनी, लौंग, इलायची और तेज पत्ता डालें प्याज के नरम और पारदर्शी होने तक भूनें। प्याज के नरम हो जाने पर, पनीर टिक्का, हल्दी पाउडर, गरम मसाला पाउडर डालें और पनीर के टुकड़ों को तोड़े बिना हल्के से मिलाएँ। भिगोए हुए बासमती चावल को पानी से निकाल लें और प्रेशर कुकर में डालें। एक मिनट तक भूनें जब तक कि मसाला चावल पर न लग जाए। आवश्यक मात्रा में नमक के साथ 3 कप पानी डालें। अच्छी तरह मिलाएँ और पानी को उबाल लें। कुकर को बंद करें और एक सीटी आने तक प्रेशर कुक करें। जब प्रेशर अपने आप निकल जाए, तो चावल को कांटे से धीरे से फुलाएँ। धनिया पत्ती से गार्निश करें। पनीर टिक्का पुलाव को टमाटर प्याज रायता या तड़का रायता के साथ एक साधारण रविवार के दोपहर के भोजन के लिए परोसें या इसे सप्ताह के दिनों में लंच बॉक्स में पैक करें।</v>
      </c>
      <c r="J582" s="3" t="s">
        <v>33314</v>
      </c>
      <c r="L582" s="1" t="s">
        <v>31003</v>
      </c>
    </row>
    <row r="583" spans="1:12" ht="13.8">
      <c r="A583" s="1" t="s">
        <v>33315</v>
      </c>
      <c r="B583" s="1" t="str">
        <f ca="1">IFERROR(__xludf.dummyfunction("IF(A583="""", """", GOOGLETRANSLATE(A583, ""en"", ""hi""))"),"पालक गोभी सब्ज़ी")</f>
        <v>पालक गोभी सब्ज़ी</v>
      </c>
      <c r="C583" s="1" t="s">
        <v>145</v>
      </c>
      <c r="D583" s="1" t="s">
        <v>14198</v>
      </c>
      <c r="E583" s="1">
        <v>40</v>
      </c>
      <c r="F583" s="1" t="s">
        <v>33316</v>
      </c>
      <c r="G583" s="1" t="str">
        <f ca="1">IFERROR(__xludf.dummyfunction("IF(F583="""", """", GOOGLETRANSLATE(F583, ""en"", ""hi""))"),"2 कप पालक - बारीक कटा हुआ, 1 पत्तागोभी - छोटे टुकड़ों में कटी हुई, 2 टमाटर - प्यूरी बना लें, 1 इंच अदरक - छीलकर कद्दूकस कर लें, 1/2 चम्मच जीरा, 1 चम्मच हल्दी पाउडर, 1-1/2 चम्मच गरम मसाला पाउडर, नमक - स्वादानुसार, 1 बड़ा चम्मच तेल, 4 धनिया - कटा हुआ (सजावट"&amp;" के लिए)")</f>
        <v>2 कप पालक - बारीक कटा हुआ, 1 पत्तागोभी - छोटे टुकड़ों में कटी हुई, 2 टमाटर - प्यूरी बना लें, 1 इंच अदरक - छीलकर कद्दूकस कर लें, 1/2 चम्मच जीरा, 1 चम्मच हल्दी पाउडर, 1-1/2 चम्मच गरम मसाला पाउडर, नमक - स्वादानुसार, 1 बड़ा चम्मच तेल, 4 धनिया - कटा हुआ (सजावट के लिए)</v>
      </c>
      <c r="H583" s="1" t="s">
        <v>33317</v>
      </c>
      <c r="I583" s="1" t="str">
        <f ca="1">IFERROR(__xludf.dummyfunction("IF(H583="""", """", GOOGLETRANSLATE(H583, ""en"", ""hi""))"),"""पालक गोभी की सब्जी बनाने के लिए सबसे पहले पालक और पत्तागोभी को काट लें। उन्हें एक तरफ रख दें। अब एक पैन में तेल गर्म करें। उसमें पालक और थोड़ा नमक डालें। पालक के नरम होने तक पकाएँ। गैस बंद कर दें और पालक को एक अलग बर्तन में रख लें। उसी पैन में थोड़ा और "&amp;"तेल डालें। इसमें अदरक और जीरा डालें। 10 सेकंड बाद इसमें टमाटर प्यूरी, हल्दी पाउडर, गरम मसाला पाउडर, नमक डालें और 2 से 3 मिनट तक पकने दें। अब इसमें पत्तागोभी डालें, थोड़ा पानी डालें, ढककर पत्तागोभी के पकने तक पकाएँ। पत्तागोभी के पकने के बाद इसमें पका हुआ प"&amp;"ालक डालें और मिलाएँ। इसे 1 मिनट तक पकने दें और हरे धनिये से गार्निश करें। पालक गोभी की सब्जी को लहसुन दाल और फुल्के के साथ लंच में सर्व करें।""")</f>
        <v>"पालक गोभी की सब्जी बनाने के लिए सबसे पहले पालक और पत्तागोभी को काट लें। उन्हें एक तरफ रख दें। अब एक पैन में तेल गर्म करें। उसमें पालक और थोड़ा नमक डालें। पालक के नरम होने तक पकाएँ। गैस बंद कर दें और पालक को एक अलग बर्तन में रख लें। उसी पैन में थोड़ा और तेल डालें। इसमें अदरक और जीरा डालें। 10 सेकंड बाद इसमें टमाटर प्यूरी, हल्दी पाउडर, गरम मसाला पाउडर, नमक डालें और 2 से 3 मिनट तक पकने दें। अब इसमें पत्तागोभी डालें, थोड़ा पानी डालें, ढककर पत्तागोभी के पकने तक पकाएँ। पत्तागोभी के पकने के बाद इसमें पका हुआ पालक डालें और मिलाएँ। इसे 1 मिनट तक पकने दें और हरे धनिये से गार्निश करें। पालक गोभी की सब्जी को लहसुन दाल और फुल्के के साथ लंच में सर्व करें।"</v>
      </c>
      <c r="J583" s="3" t="s">
        <v>33318</v>
      </c>
      <c r="L583" s="1" t="s">
        <v>31003</v>
      </c>
    </row>
    <row r="584" spans="1:12" ht="13.8">
      <c r="A584" s="1" t="s">
        <v>33319</v>
      </c>
      <c r="B584" s="1" t="str">
        <f ca="1">IFERROR(__xludf.dummyfunction("IF(A584="""", """", GOOGLETRANSLATE(A584, ""en"", ""hi""))"),"तंदूरी चिकन करी रेसिपी")</f>
        <v>तंदूरी चिकन करी रेसिपी</v>
      </c>
      <c r="C584" s="1" t="s">
        <v>14259</v>
      </c>
      <c r="D584" s="1" t="s">
        <v>14367</v>
      </c>
      <c r="E584" s="1">
        <v>55</v>
      </c>
      <c r="F584" s="1" t="s">
        <v>33320</v>
      </c>
      <c r="G584" s="1" t="str">
        <f ca="1">IFERROR(__xludf.dummyfunction("IF(F584="""", """", GOOGLETRANSLATE(F584, ""en"", ""hi""))"),"750 किलो चिकन, 1 बड़ा चम्मच सूरजमुखी तेल, 1 टमाटर - बारीक कटा हुआ, 1 प्याज - बारीक कटा हुआ, 2 हरी मिर्च - कटी हुई, 1/2 बड़ा चम्मच अदरक लहसुन पेस्ट, धनिया पत्ती - छोटा गुच्छा, 1 बड़ा चम्मच दही, 1 बड़ा चम्मच ताजा क्रीम - (ग्रेवी को गाढ़ा करने के लिए वैकल्पि"&amp;"क), 3/4 कप पानी, नमक - स्वादानुसार, 3 लौंग, 3 साबुत काली मिर्च, 1 तेज पत्ता, 1 इंच दालचीनी, 1/2 छोटा चम्मच सौंफ, 1 छोटा चम्मच कसूरी मेथी, 1 बड़ा चम्मच कश्मीरी लाल मिर्च पाउडर, 1 छोटा चम्मच हल्दी, 1/2 बड़ा चम्मच तंदूरी मसाला, 1/2 बड़ा चम्मच प्याज पाउडर")</f>
        <v>750 किलो चिकन, 1 बड़ा चम्मच सूरजमुखी तेल, 1 टमाटर - बारीक कटा हुआ, 1 प्याज - बारीक कटा हुआ, 2 हरी मिर्च - कटी हुई, 1/2 बड़ा चम्मच अदरक लहसुन पेस्ट, धनिया पत्ती - छोटा गुच्छा, 1 बड़ा चम्मच दही, 1 बड़ा चम्मच ताजा क्रीम - (ग्रेवी को गाढ़ा करने के लिए वैकल्पिक), 3/4 कप पानी, नमक - स्वादानुसार, 3 लौंग, 3 साबुत काली मिर्च, 1 तेज पत्ता, 1 इंच दालचीनी, 1/2 छोटा चम्मच सौंफ, 1 छोटा चम्मच कसूरी मेथी, 1 बड़ा चम्मच कश्मीरी लाल मिर्च पाउडर, 1 छोटा चम्मच हल्दी, 1/2 बड़ा चम्मच तंदूरी मसाला, 1/2 बड़ा चम्मच प्याज पाउडर</v>
      </c>
      <c r="H584" s="1" t="s">
        <v>33321</v>
      </c>
      <c r="I584" s="1" t="str">
        <f ca="1">IFERROR(__xludf.dummyfunction("IF(H584="""", """", GOOGLETRANSLATE(H584, ""en"", ""hi""))"),"तंदूरी चिकन करी रेसिपी बनाने के लिए सबसे पहले चिकन के टुकड़ों को अच्छी तरह धोकर साफ कर लें। इन्हें मध्यम आकार के टुकड़ों में काट लें। मध्यम आंच पर एक कढ़ाई गरम करें, तेल डालें, तेल गरम होने पर सभी खड़े मसाले - लौंग, काली मिर्च, तेज पत्ता, दालचीनी और सौंफ "&amp;"डालें और खुशबू आने तक पकाएं। इसमें कुछ मिनट लगेंगे। इसके बाद कटे हुए प्याज डालें, ऊपर से थोड़ा नमक छिड़कें और प्याज के अच्छे से भूरे होने तक भूनें। इसमें मध्यम तेज आंच पर 5-6 मिनट लगेंगे। इस अवस्था में अदरक लहसुन का पेस्ट डालें और कच्ची महक जाने तक धीमी आ"&amp;"ंच पर कुछ मिनट के लिए भूनें। कटी हुई हरी मिर्च और टमाटर डालें, मिलाएँ, ढक दें और नरम और गूदेदार होने तक पकने दें ढककर मध्यम आंच पर तब तक पकाएं जब तक चिकन अच्छी तरह पक न जाए। ढक्कन खोलें और थोड़ा नमक और कसूरी मेथी छिड़कें। धीमी आंच पर 10 मिनट तक पकाएं। पक "&amp;"जाने पर आंच बंद कर दें। दूध की मलाई डालें और कटी धनिया पत्ती से गार्निश करके सर्व करें। तंदूरी चिकन करी रेसिपी को बटर गार्लिक नान रेसिपी (लहसुन के स्वाद वाली रोटी), इंडियन वेजिटेबल सलाद रेसिपी और बुरानी रायता रेसिपी (लहसुन आधारित दही) के साथ संपूर्ण भोजन "&amp;"के लिए परोसें।")</f>
        <v>तंदूरी चिकन करी रेसिपी बनाने के लिए सबसे पहले चिकन के टुकड़ों को अच्छी तरह धोकर साफ कर लें। इन्हें मध्यम आकार के टुकड़ों में काट लें। मध्यम आंच पर एक कढ़ाई गरम करें, तेल डालें, तेल गरम होने पर सभी खड़े मसाले - लौंग, काली मिर्च, तेज पत्ता, दालचीनी और सौंफ डालें और खुशबू आने तक पकाएं। इसमें कुछ मिनट लगेंगे। इसके बाद कटे हुए प्याज डालें, ऊपर से थोड़ा नमक छिड़कें और प्याज के अच्छे से भूरे होने तक भूनें। इसमें मध्यम तेज आंच पर 5-6 मिनट लगेंगे। इस अवस्था में अदरक लहसुन का पेस्ट डालें और कच्ची महक जाने तक धीमी आंच पर कुछ मिनट के लिए भूनें। कटी हुई हरी मिर्च और टमाटर डालें, मिलाएँ, ढक दें और नरम और गूदेदार होने तक पकने दें ढककर मध्यम आंच पर तब तक पकाएं जब तक चिकन अच्छी तरह पक न जाए। ढक्कन खोलें और थोड़ा नमक और कसूरी मेथी छिड़कें। धीमी आंच पर 10 मिनट तक पकाएं। पक जाने पर आंच बंद कर दें। दूध की मलाई डालें और कटी धनिया पत्ती से गार्निश करके सर्व करें। तंदूरी चिकन करी रेसिपी को बटर गार्लिक नान रेसिपी (लहसुन के स्वाद वाली रोटी), इंडियन वेजिटेबल सलाद रेसिपी और बुरानी रायता रेसिपी (लहसुन आधारित दही) के साथ संपूर्ण भोजन के लिए परोसें।</v>
      </c>
      <c r="J584" s="3" t="s">
        <v>33322</v>
      </c>
      <c r="L584" s="1" t="s">
        <v>31003</v>
      </c>
    </row>
    <row r="585" spans="1:12" ht="13.8">
      <c r="A585" s="1" t="s">
        <v>33323</v>
      </c>
      <c r="B585" s="1" t="str">
        <f ca="1">IFERROR(__xludf.dummyfunction("IF(A585="""", """", GOOGLETRANSLATE(A585, ""en"", ""hi""))"),"बेक्ड मठरी रेसिपी (बिना फ्राइड चाय के समय का नाश्ता)")</f>
        <v>बेक्ड मठरी रेसिपी (बिना फ्राइड चाय के समय का नाश्ता)</v>
      </c>
      <c r="C585" s="1" t="s">
        <v>14281</v>
      </c>
      <c r="D585" s="1" t="s">
        <v>14198</v>
      </c>
      <c r="E585" s="1">
        <v>60</v>
      </c>
      <c r="F585" s="1" t="s">
        <v>33324</v>
      </c>
      <c r="G585" s="1" t="str">
        <f ca="1">IFERROR(__xludf.dummyfunction("IF(F585="""", """", GOOGLETRANSLATE(F585, ""en"", ""hi""))"),"1-1/2 कप गेहूं का आटा, 1 चम्मच नमक, 1/4 कप ठंडा मक्खन - बारीक कटा हुआ, 1/2 चम्मच साबुत काली मिर्च - मोटे तौर पर कुचल, 1/2 चम्मच अजवाइन (कैरम के बीज) - या जीरा, 2 बड़े चम्मच ठंडा पानी - (समायोजित)")</f>
        <v>1-1/2 कप गेहूं का आटा, 1 चम्मच नमक, 1/4 कप ठंडा मक्खन - बारीक कटा हुआ, 1/2 चम्मच साबुत काली मिर्च - मोटे तौर पर कुचल, 1/2 चम्मच अजवाइन (कैरम के बीज) - या जीरा, 2 बड़े चम्मच ठंडा पानी - (समायोजित)</v>
      </c>
      <c r="H585" s="1" t="s">
        <v>33325</v>
      </c>
      <c r="I585" s="1" t="str">
        <f ca="1">IFERROR(__xludf.dummyfunction("IF(H585="""", """", GOOGLETRANSLATE(H585, ""en"", ""hi""))"),"ओवन को 180 डिग्री सेल्सियस पर पहले से गरम कर लें। बेक्ड मठरी रेसिपी बनाने के लिए, मैदा, नमक, काली मिर्च और कलौंजी को मिलाएँ। अपनी उंगलियों से मैदा में मक्खन मिलाएँ जब तक कि मिश्रण एक मोटे आटे जैसा न हो जाए। टुकड़े टुकड़े हो चुके आटे पर बर्फ का पानी छिड़के"&amp;"ं और अपने हाथों से आटे को किनारों से कटोरे के बीच में दबाएँ ताकि एक गेंद बन जाए जो एक साथ चिपक जाए और एक सख्त, फिर भी लचीला आटा बन जाए। मठरी के आटे को गीले कपड़े से ढँक दें और 15 मिनट के लिए अलग रख दें। मठरी के आटे को छोटी-छोटी बॉल्स में बाँट लें और सभी ब"&amp;"ॉल्स को 2 इंच व्यास और लगभग 1/2 इंच मोटाई के छोटे-छोटे गोल आकार में बेल लें। आप चाहें तो आटे को एक बड़े गोल आकार में भी बेल सकते हैं और उन्हें गोल आकार में काटने के लिए कुकी कटर का उपयोग कर सकते हैं। मठरी के आटे के गोलों को एक ग्रीस की हुई बेकिंग शीट पर व"&amp;"्यवस्थित करें और उन्हें कांटे से समान रूप से चुभोएँ, ताकि वे ओवन में फूलने से बच जाएँ। मठरी को लगभग 20 मिनट या सुनहरा भूरा और कुरकुरा होने तक बेक करें। मठरियों को ओवन से बाहर निकालें और परोसने से पहले उन्हें पूरी तरह से ठंडा होने दें। पूरी तरह से ठंडा होन"&amp;"े के बाद, बेक्ड मठरियों को एक एयरटाइट कंटेनर में स्टोर करें। इन स्वादिष्ट बेक्ड मठरियों को मसालेदार आम पंजाबी अचार के साथ चाय के समय नाश्ते के रूप में चखें।")</f>
        <v>ओवन को 180 डिग्री सेल्सियस पर पहले से गरम कर लें। बेक्ड मठरी रेसिपी बनाने के लिए, मैदा, नमक, काली मिर्च और कलौंजी को मिलाएँ। अपनी उंगलियों से मैदा में मक्खन मिलाएँ जब तक कि मिश्रण एक मोटे आटे जैसा न हो जाए। टुकड़े टुकड़े हो चुके आटे पर बर्फ का पानी छिड़कें और अपने हाथों से आटे को किनारों से कटोरे के बीच में दबाएँ ताकि एक गेंद बन जाए जो एक साथ चिपक जाए और एक सख्त, फिर भी लचीला आटा बन जाए। मठरी के आटे को गीले कपड़े से ढँक दें और 15 मिनट के लिए अलग रख दें। मठरी के आटे को छोटी-छोटी बॉल्स में बाँट लें और सभी बॉल्स को 2 इंच व्यास और लगभग 1/2 इंच मोटाई के छोटे-छोटे गोल आकार में बेल लें। आप चाहें तो आटे को एक बड़े गोल आकार में भी बेल सकते हैं और उन्हें गोल आकार में काटने के लिए कुकी कटर का उपयोग कर सकते हैं। मठरी के आटे के गोलों को एक ग्रीस की हुई बेकिंग शीट पर व्यवस्थित करें और उन्हें कांटे से समान रूप से चुभोएँ, ताकि वे ओवन में फूलने से बच जाएँ। मठरी को लगभग 20 मिनट या सुनहरा भूरा और कुरकुरा होने तक बेक करें। मठरियों को ओवन से बाहर निकालें और परोसने से पहले उन्हें पूरी तरह से ठंडा होने दें। पूरी तरह से ठंडा होने के बाद, बेक्ड मठरियों को एक एयरटाइट कंटेनर में स्टोर करें। इन स्वादिष्ट बेक्ड मठरियों को मसालेदार आम पंजाबी अचार के साथ चाय के समय नाश्ते के रूप में चखें।</v>
      </c>
      <c r="J585" s="3" t="s">
        <v>33326</v>
      </c>
      <c r="L585" s="1" t="s">
        <v>31003</v>
      </c>
    </row>
    <row r="586" spans="1:12" ht="409.6">
      <c r="A586" s="1" t="s">
        <v>33327</v>
      </c>
      <c r="B586" s="1" t="str">
        <f ca="1">IFERROR(__xludf.dummyfunction("IF(A586="""", """", GOOGLETRANSLATE(A586, ""en"", ""hi""))"),"गवारफली की सब्जी रेसिपी -क्लस्टर बीन्स सब्जी")</f>
        <v>गवारफली की सब्जी रेसिपी -क्लस्टर बीन्स सब्जी</v>
      </c>
      <c r="C586" s="1" t="s">
        <v>145</v>
      </c>
      <c r="D586" s="1" t="s">
        <v>14198</v>
      </c>
      <c r="E586" s="1">
        <v>25</v>
      </c>
      <c r="F586" s="1" t="s">
        <v>33328</v>
      </c>
      <c r="G586" s="1" t="str">
        <f ca="1">IFERROR(__xludf.dummyfunction("IF(F586="""", """", GOOGLETRANSLATE(F586, ""en"", ""hi""))"),"250 ग्राम ग्वार फली, 1 हरी मिर्च, 4 लहसुन के दाने, 1 बड़ा चम्मच बेसन, 1/2 छोटा चम्मच सरसों, 1/2 छोटा चम्मच जीरा, हींग - चुटकी भर, 1/4 छोटा चम्मच हल्दी, 1/2 छोटा चम्मच धनिया, 1/2 छोटा चम्मच आमचूर, नमक - स्वादानुसार, 1 छोटा चम्मच सूरजमुखी तेल")</f>
        <v>250 ग्राम ग्वार फली, 1 हरी मिर्च, 4 लहसुन के दाने, 1 बड़ा चम्मच बेसन, 1/2 छोटा चम्मच सरसों, 1/2 छोटा चम्मच जीरा, हींग - चुटकी भर, 1/4 छोटा चम्मच हल्दी, 1/2 छोटा चम्मच धनिया, 1/2 छोटा चम्मच आमचूर, नमक - स्वादानुसार, 1 छोटा चम्मच सूरजमुखी तेल</v>
      </c>
      <c r="H586" s="4" t="s">
        <v>33329</v>
      </c>
      <c r="I586" s="4" t="str">
        <f ca="1">IFERROR(__xludf.dummyfunction("IF(H586="""", """", GOOGLETRANSLATE(H586, ""en"", ""hi""))"),"ग्वारफली की सब्जी बनाने के लिए सबसे पहले ग्वारफली को धोकर एक इंच के आकार में काट लें। इसे आवश्यक पानी के साथ प्रेशर कुकर में डालें और 2 सीटी आने तक पकाएं। प्रेशर निकल जाने पर कुकर का ढक्कन खोलें। अतिरिक्त पानी निथार लें और पकी हुई ग्वारफली को अलग रख दें। "&amp;"एक भारी तले की कड़ाही में तेल गर्म करें, उसमें राई और जीरा डालें। जब जीरा चटकने लगे तो उसमें हींग, कुटा हुआ लहसुन और हरी मिर्च डालें। एक मिनट तक अच्छे से भूनें। एक मिनट बाद इसमें बेसन डालें और धीमी आंच पर अच्छी तरह मिलाएँ। इसे लगभग 2 से 3 मिनट तक पकने दें"&amp;"। अब पकी हुई ग्वारफली के साथ आवश्यक नमक, हल्दी पाउडर, धनिया पाउडर और अमचूर पाउडर डालें। अच्छी तरह मिलाएँ और एक मिनट तक भूनें ग्वारफली की सब्जी को गरमागरम परोसें। ग्वारफली की सब्जी को पंचमेल दाल, बूंदी रायता और फुल्के के साथ दिन के दोपहर के भोजन के लिए परो"&amp;"सें।
")</f>
        <v xml:space="preserve">ग्वारफली की सब्जी बनाने के लिए सबसे पहले ग्वारफली को धोकर एक इंच के आकार में काट लें। इसे आवश्यक पानी के साथ प्रेशर कुकर में डालें और 2 सीटी आने तक पकाएं। प्रेशर निकल जाने पर कुकर का ढक्कन खोलें। अतिरिक्त पानी निथार लें और पकी हुई ग्वारफली को अलग रख दें। एक भारी तले की कड़ाही में तेल गर्म करें, उसमें राई और जीरा डालें। जब जीरा चटकने लगे तो उसमें हींग, कुटा हुआ लहसुन और हरी मिर्च डालें। एक मिनट तक अच्छे से भूनें। एक मिनट बाद इसमें बेसन डालें और धीमी आंच पर अच्छी तरह मिलाएँ। इसे लगभग 2 से 3 मिनट तक पकने दें। अब पकी हुई ग्वारफली के साथ आवश्यक नमक, हल्दी पाउडर, धनिया पाउडर और अमचूर पाउडर डालें। अच्छी तरह मिलाएँ और एक मिनट तक भूनें ग्वारफली की सब्जी को गरमागरम परोसें। ग्वारफली की सब्जी को पंचमेल दाल, बूंदी रायता और फुल्के के साथ दिन के दोपहर के भोजन के लिए परोसें।
</v>
      </c>
      <c r="J586" s="3" t="s">
        <v>33330</v>
      </c>
      <c r="L586" s="1" t="s">
        <v>31003</v>
      </c>
    </row>
    <row r="587" spans="1:12" ht="13.8">
      <c r="A587" s="1" t="s">
        <v>33331</v>
      </c>
      <c r="B587" s="1" t="str">
        <f ca="1">IFERROR(__xludf.dummyfunction("IF(A587="""", """", GOOGLETRANSLATE(A587, ""en"", ""hi""))"),"टमाटर ग्रेवी में छोटे आलू")</f>
        <v>टमाटर ग्रेवी में छोटे आलू</v>
      </c>
      <c r="C587" s="1" t="s">
        <v>145</v>
      </c>
      <c r="D587" s="1" t="s">
        <v>14198</v>
      </c>
      <c r="E587" s="1">
        <v>50</v>
      </c>
      <c r="F587" s="1" t="s">
        <v>33332</v>
      </c>
      <c r="G587" s="1" t="str">
        <f ca="1">IFERROR(__xludf.dummyfunction("IF(F587="""", """", GOOGLETRANSLATE(F587, ""en"", ""hi""))"),"15 छोटे आलू, 2 टमाटर, 1 छोटा चम्मच जीरा पाउडर, 1-1/2 छोटा चम्मच लाल मिर्च पाउडर, 1/2 छोटा चम्मच धनिया पाउडर, 1/4 छोटा चम्मच हल्दी पाउडर, 1 बड़ा चम्मच तेल, 1/2 छोटा चम्मच नमक, 2 लौंग, 2 इलायची, 1 इंच दालचीनी, 1 कप पानी")</f>
        <v>15 छोटे आलू, 2 टमाटर, 1 छोटा चम्मच जीरा पाउडर, 1-1/2 छोटा चम्मच लाल मिर्च पाउडर, 1/2 छोटा चम्मच धनिया पाउडर, 1/4 छोटा चम्मच हल्दी पाउडर, 1 बड़ा चम्मच तेल, 1/2 छोटा चम्मच नमक, 2 लौंग, 2 इलायची, 1 इंच दालचीनी, 1 कप पानी</v>
      </c>
      <c r="H587" s="1" t="s">
        <v>33333</v>
      </c>
      <c r="I587" s="1" t="str">
        <f ca="1">IFERROR(__xludf.dummyfunction("IF(H587="""", """", GOOGLETRANSLATE(H587, ""en"", ""hi""))"),"""छोटी आलू दम बनाने के लिए सबसे पहले प्रेशर कुकर में आलू, पानी और नमक डालकर 2 सीटी आने तक पकाएं। 2 सीटी आने के बाद प्रेशर छोड़ दें। आलू छीलकर अलग रख दें। अब ब्लेंडर लें, उसमें टमाटर डालकर पीस लें। अब एक पैन में तेल गर्म करें। उसमें इलायची, लौंग और दालचीनी"&amp;" डालें। 10 सेकंड तक पकाएं। 10 सेकंड बाद आलू डालें और अच्छी तरह से मिलाएँ। 1 मिनट बाद टमाटर प्यूरी और सभी मसाले डालें। अच्छी तरह से मिलाएँ, 1 गिलास पानी डालें और मिलाएँ। आलू के पकने तक पकाएँ और फिर स्वादानुसार नमक डालें। 1 मिनट तक पकाएँ और गरमागरम परोसें। "&amp;"छोटी आलू दम को बंगाली दाल और बंगाली लुच्ची के साथ लंच में परोसें।""")</f>
        <v>"छोटी आलू दम बनाने के लिए सबसे पहले प्रेशर कुकर में आलू, पानी और नमक डालकर 2 सीटी आने तक पकाएं। 2 सीटी आने के बाद प्रेशर छोड़ दें। आलू छीलकर अलग रख दें। अब ब्लेंडर लें, उसमें टमाटर डालकर पीस लें। अब एक पैन में तेल गर्म करें। उसमें इलायची, लौंग और दालचीनी डालें। 10 सेकंड तक पकाएं। 10 सेकंड बाद आलू डालें और अच्छी तरह से मिलाएँ। 1 मिनट बाद टमाटर प्यूरी और सभी मसाले डालें। अच्छी तरह से मिलाएँ, 1 गिलास पानी डालें और मिलाएँ। आलू के पकने तक पकाएँ और फिर स्वादानुसार नमक डालें। 1 मिनट तक पकाएँ और गरमागरम परोसें। छोटी आलू दम को बंगाली दाल और बंगाली लुच्ची के साथ लंच में परोसें।"</v>
      </c>
      <c r="J587" s="3" t="s">
        <v>33334</v>
      </c>
      <c r="L587" s="1" t="s">
        <v>31003</v>
      </c>
    </row>
    <row r="588" spans="1:12" ht="13.8">
      <c r="A588" s="1" t="s">
        <v>33335</v>
      </c>
      <c r="B588" s="1" t="str">
        <f ca="1">IFERROR(__xludf.dummyfunction("IF(A588="""", """", GOOGLETRANSLATE(A588, ""en"", ""hi""))"),"नवरतन कोरमा")</f>
        <v>नवरतन कोरमा</v>
      </c>
      <c r="C588" s="1" t="s">
        <v>145</v>
      </c>
      <c r="D588" s="1" t="s">
        <v>14198</v>
      </c>
      <c r="E588" s="1">
        <v>65</v>
      </c>
      <c r="F588" s="1" t="s">
        <v>33336</v>
      </c>
      <c r="G588" s="1" t="str">
        <f ca="1">IFERROR(__xludf.dummyfunction("IF(F588="""", """", GOOGLETRANSLATE(F588, ""en"", ""hi""))"),"5 काजू, 5 बादाम, 1 बड़ा चम्मच खरबूजे के बीज, 1 प्याज - बारीक कटा हुआ, 1 टमाटर - कटा हुआ, 1-1/2 कप मिली-जुली सब्जियां - (आलू, 1/2 बड़ा चम्मच अदरक लहसुन पेस्ट, 3/4 कप नारियल का दूध, 1/2 छोटा चम्मच हल्दी पाउडर, 1/2 छोटा चम्मच लाल मिर्च पाउडर, 1 छोटा चम्मच धन"&amp;"िया पाउडर, 1 छोटा चम्मच गरम मसाला पाउडर, नमक - स्वादानुसार, 2 बड़े चम्मच घी - या तेल, 2 बड़े चम्मच अनार, 1 बड़ा चम्मच काजू, 1 बड़ा चम्मच किशमिश, 1 बड़ा चम्मच घी")</f>
        <v>5 काजू, 5 बादाम, 1 बड़ा चम्मच खरबूजे के बीज, 1 प्याज - बारीक कटा हुआ, 1 टमाटर - कटा हुआ, 1-1/2 कप मिली-जुली सब्जियां - (आलू, 1/2 बड़ा चम्मच अदरक लहसुन पेस्ट, 3/4 कप नारियल का दूध, 1/2 छोटा चम्मच हल्दी पाउडर, 1/2 छोटा चम्मच लाल मिर्च पाउडर, 1 छोटा चम्मच धनिया पाउडर, 1 छोटा चम्मच गरम मसाला पाउडर, नमक - स्वादानुसार, 2 बड़े चम्मच घी - या तेल, 2 बड़े चम्मच अनार, 1 बड़ा चम्मच काजू, 1 बड़ा चम्मच किशमिश, 1 बड़ा चम्मच घी</v>
      </c>
      <c r="H588" s="1" t="s">
        <v>33337</v>
      </c>
      <c r="I588" s="1" t="str">
        <f ca="1">IFERROR(__xludf.dummyfunction("IF(H588="""", """", GOOGLETRANSLATE(H588, ""en"", ""hi""))"),"""नवरतन कोरमा बनाने के लिए सबसे पहले काजू, बादाम, खरबूजे के बीज को 30 मिनट के लिए पानी में भिगो दें। 30 मिनट बाद पानी निथार लें। बादाम के छिलके उतार लें। इन सभी सामग्रियों को मिक्सर ग्राइंडर में डालकर पेस्ट बना लें। इसे एक तरफ रख दें। अब एक पैन में तेल गर"&amp;"्म करें। इसमें प्याज़ डालकर नरम होने तक पकाएँ। प्याज़ के नरम होने के बाद इसमें अदरक लहसुन का पेस्ट डालकर मिलाएँ। अब इसमें टमाटर, हल्दी पाउडर, लाल मिर्च पाउडर, धनिया पाउडर, पिसा हुआ पेस्ट और 1/4 कप पानी डालकर मिलाएँ। इसे 2 से 3 मिनट तक पकने दें। अब इसमें स"&amp;"ब्ज़ियाँ और 1 कप पानी डालें। पैन को ढककर 10 से 15 मिनट तक पकने दें। एक छोटे पैन में घी डालकर इसमें काजू को अच्छे से भून लें। इसे सब्ज़ी में डालकर अनार से गार्निश करें। नवरतन कोरमा को बूंदी रायता और तवा पराठे के साथ लंच में सर्व करें।""")</f>
        <v>"नवरतन कोरमा बनाने के लिए सबसे पहले काजू, बादाम, खरबूजे के बीज को 30 मिनट के लिए पानी में भिगो दें। 30 मिनट बाद पानी निथार लें। बादाम के छिलके उतार लें। इन सभी सामग्रियों को मिक्सर ग्राइंडर में डालकर पेस्ट बना लें। इसे एक तरफ रख दें। अब एक पैन में तेल गर्म करें। इसमें प्याज़ डालकर नरम होने तक पकाएँ। प्याज़ के नरम होने के बाद इसमें अदरक लहसुन का पेस्ट डालकर मिलाएँ। अब इसमें टमाटर, हल्दी पाउडर, लाल मिर्च पाउडर, धनिया पाउडर, पिसा हुआ पेस्ट और 1/4 कप पानी डालकर मिलाएँ। इसे 2 से 3 मिनट तक पकने दें। अब इसमें सब्ज़ियाँ और 1 कप पानी डालें। पैन को ढककर 10 से 15 मिनट तक पकने दें। एक छोटे पैन में घी डालकर इसमें काजू को अच्छे से भून लें। इसे सब्ज़ी में डालकर अनार से गार्निश करें। नवरतन कोरमा को बूंदी रायता और तवा पराठे के साथ लंच में सर्व करें।"</v>
      </c>
      <c r="J588" s="3" t="s">
        <v>33338</v>
      </c>
      <c r="L588" s="1" t="s">
        <v>31003</v>
      </c>
    </row>
    <row r="589" spans="1:12" ht="13.8">
      <c r="A589" s="1" t="s">
        <v>33339</v>
      </c>
      <c r="B589" s="1" t="str">
        <f ca="1">IFERROR(__xludf.dummyfunction("IF(A589="""", """", GOOGLETRANSLATE(A589, ""en"", ""hi""))"),"शिमला मिर्च की लौंजी रेसिपी")</f>
        <v>शिमला मिर्च की लौंजी रेसिपी</v>
      </c>
      <c r="C589" s="1" t="s">
        <v>14207</v>
      </c>
      <c r="D589" s="1" t="s">
        <v>14198</v>
      </c>
      <c r="E589" s="1">
        <v>20</v>
      </c>
      <c r="F589" s="1" t="s">
        <v>33340</v>
      </c>
      <c r="G589" s="1" t="str">
        <f ca="1">IFERROR(__xludf.dummyfunction("IF(F589="""", """", GOOGLETRANSLATE(F589, ""en"", ""hi""))"),"1 कप हरी शिमला मिर्च - कटी हुई, 2 बड़े चम्मच सूरजमुखी तेल, 1/2 छोटा चम्मच कलौंजी, 1 छोटा चम्मच सौंफ, 1 छोटा चम्मच हरी मिर्च - बारीक कटी हुई, हल्दी - चुटकी भर, 2 छोटे चम्मच धनिया, 1/2 छोटा चम्मच लाल मिर्च पाउडर, 3/4 छोटा चम्मच आमचूर, 2-1/2 बड़ा चम्मच गुड़,"&amp;" नमक - स्वादानुसार")</f>
        <v>1 कप हरी शिमला मिर्च - कटी हुई, 2 बड़े चम्मच सूरजमुखी तेल, 1/2 छोटा चम्मच कलौंजी, 1 छोटा चम्मच सौंफ, 1 छोटा चम्मच हरी मिर्च - बारीक कटी हुई, हल्दी - चुटकी भर, 2 छोटे चम्मच धनिया, 1/2 छोटा चम्मच लाल मिर्च पाउडर, 3/4 छोटा चम्मच आमचूर, 2-1/2 बड़ा चम्मच गुड़, नमक - स्वादानुसार</v>
      </c>
      <c r="H589" s="1" t="s">
        <v>33341</v>
      </c>
      <c r="I589" s="1" t="str">
        <f ca="1">IFERROR(__xludf.dummyfunction("IF(H589="""", """", GOOGLETRANSLATE(H589, ""en"", ""hi""))"),"शिमला मिर्च की लौंजी रेसिपी बनाने के लिए सबसे पहले एक चौड़े नॉन-स्टिक पैन में तेल गर्म करें, उसमें कलौंजी, सौंफ और हरी मिर्च डालें और मध्यम आंच पर तब तक भूनें जब तक कि बीजों की खुशबू न आने लगे और मिर्च पक न जाए। अब इसमें शिमला मिर्च डालें और मध्यम आंच पर "&amp;"कुछ और सेकेंड के लिए भूनें। हल्दी पाउडर, धनिया पाउडर, लाल मिर्च पाउडर और अमचूर पाउडर डालें, अच्छी तरह मिलाएँ और मध्यम आंच पर 1 मिनट तक पकाएँ। 1/2 कप पानी, गुड़ और नमक डालें, अच्छी तरह मिलाएँ और मध्यम आंच पर 4 से 5 मिनट तक या शिमला मिर्च के नरम होने तक पका"&amp;"एँ, बीच-बीच में हिलाते रहें। लौंजी को तुरंत परोसें या एयर-टाइट कंटेनर में भरकर फ्रिज में 2 से 3 दिनों तक स्टोर करें। शिमला मिर्च की लौंजी को तवा पराठा, दाल पालक और घर के बने दही के साथ सप्ताह के दिनों में लंच के लिए परोसें।")</f>
        <v>शिमला मिर्च की लौंजी रेसिपी बनाने के लिए सबसे पहले एक चौड़े नॉन-स्टिक पैन में तेल गर्म करें, उसमें कलौंजी, सौंफ और हरी मिर्च डालें और मध्यम आंच पर तब तक भूनें जब तक कि बीजों की खुशबू न आने लगे और मिर्च पक न जाए। अब इसमें शिमला मिर्च डालें और मध्यम आंच पर कुछ और सेकेंड के लिए भूनें। हल्दी पाउडर, धनिया पाउडर, लाल मिर्च पाउडर और अमचूर पाउडर डालें, अच्छी तरह मिलाएँ और मध्यम आंच पर 1 मिनट तक पकाएँ। 1/2 कप पानी, गुड़ और नमक डालें, अच्छी तरह मिलाएँ और मध्यम आंच पर 4 से 5 मिनट तक या शिमला मिर्च के नरम होने तक पकाएँ, बीच-बीच में हिलाते रहें। लौंजी को तुरंत परोसें या एयर-टाइट कंटेनर में भरकर फ्रिज में 2 से 3 दिनों तक स्टोर करें। शिमला मिर्च की लौंजी को तवा पराठा, दाल पालक और घर के बने दही के साथ सप्ताह के दिनों में लंच के लिए परोसें।</v>
      </c>
      <c r="J589" s="3" t="s">
        <v>33342</v>
      </c>
      <c r="L589" s="1" t="s">
        <v>31003</v>
      </c>
    </row>
    <row r="590" spans="1:12" ht="13.8">
      <c r="A590" s="1" t="s">
        <v>33343</v>
      </c>
      <c r="B590" s="1" t="str">
        <f ca="1">IFERROR(__xludf.dummyfunction("IF(A590="""", """", GOOGLETRANSLATE(A590, ""en"", ""hi""))"),"बेसन और दही वाली कच्चे केले की सब्जी रेसिपी")</f>
        <v>बेसन और दही वाली कच्चे केले की सब्जी रेसिपी</v>
      </c>
      <c r="C590" s="1" t="s">
        <v>145</v>
      </c>
      <c r="D590" s="1" t="s">
        <v>14198</v>
      </c>
      <c r="E590" s="1">
        <v>45</v>
      </c>
      <c r="F590" s="1" t="s">
        <v>33344</v>
      </c>
      <c r="G590" s="1" t="str">
        <f ca="1">IFERROR(__xludf.dummyfunction("IF(F590="""", """", GOOGLETRANSLATE(F590, ""en"", ""hi""))"),"2 कच्चे केले - छिले और उबले हुए, 1/2 कप बेसन, 1 चुटकी हींग, 1 बड़ा चम्मच जीरा, 1/2 छोटा चम्मच हल्दी, 1/2 छोटा चम्मच लाल मिर्च पाउडर, 1 छोटा चम्मच धनिया पाउडर, 1/2 छोटा चम्मच गरम मसाला पाउडर, 1 कप हंग कर्ड (ग्रीक योगर्ट), 1/2 कप गुनगुना पानी, नमक - आवश्यकत"&amp;"ानुसार, 1 बड़ा चम्मच सूरजमुखी तेल, 2 टहनी धनिया (धनिया) के पत्ते - कटे हुए, सूरजमुखी तेल - तलने के लिए आवश्यकतानुसार, 1 हरी मिर्च - बारीक कटी हुई")</f>
        <v>2 कच्चे केले - छिले और उबले हुए, 1/2 कप बेसन, 1 चुटकी हींग, 1 बड़ा चम्मच जीरा, 1/2 छोटा चम्मच हल्दी, 1/2 छोटा चम्मच लाल मिर्च पाउडर, 1 छोटा चम्मच धनिया पाउडर, 1/2 छोटा चम्मच गरम मसाला पाउडर, 1 कप हंग कर्ड (ग्रीक योगर्ट), 1/2 कप गुनगुना पानी, नमक - आवश्यकतानुसार, 1 बड़ा चम्मच सूरजमुखी तेल, 2 टहनी धनिया (धनिया) के पत्ते - कटे हुए, सूरजमुखी तेल - तलने के लिए आवश्यकतानुसार, 1 हरी मिर्च - बारीक कटी हुई</v>
      </c>
      <c r="H590" s="1" t="s">
        <v>33345</v>
      </c>
      <c r="I590" s="1" t="str">
        <f ca="1">IFERROR(__xludf.dummyfunction("IF(H590="""", """", GOOGLETRANSLATE(H590, ""en"", ""hi""))"),"बेसन और दही वाली कच्चे केले की सब्जी बनाने के लिए सबसे पहले कच्चे केले को छील लें और उन्हें गोल आकार में या किसी भी मनचाहे आकार में काट लें। कच्चे केले को पानी और नमक के साथ लगभग 1 सीटी आने तक पका लें और आंच से उतार लें। कुकर खोलें और केले को एक तरफ रख दे"&amp;"ं। अब हम बेसन का मिश्रण बनाएंगे। एक कटोरे में बेसन, नमक, हल्दी पाउडर और पानी डालें और इसे ठीक से मिलाएँ। अब केले के स्लाइस लें, इसे बेसन के मिश्रण में डालें और अच्छी तरह से कोट करें। एक तवे को 2 बड़े चम्मच तेल के साथ गर्म करें और केले कोटेड बेसन मिश्रण डा"&amp;"लें और उन्हें भूरा और कुरकुरा होने तक भूनें। उन्हें बाहर निकालें और एक कागज़ के कपड़े पर रख दें और एक तरफ रख दें। अब एक भारी तले की कड़ाही में तेल गर्म करें। हींग और जीरा डालें इसे मिलाते रहें और 10 से 15 मिनट तक पकने दें। गैस बंद कर दें और हरी मिर्च और ध"&amp;"निया पत्ती से गार्निश करें। बेसन और दही वाली कच्चे केले की सब्जी रेसिपी को स्मोक्ड दाल मखनी ढाबा स्टाइल रेसिपी और फुल्का रेसिपी (रोटी/चपाती) - फूली हुई भारतीय रोटी के साथ परोसें।")</f>
        <v>बेसन और दही वाली कच्चे केले की सब्जी बनाने के लिए सबसे पहले कच्चे केले को छील लें और उन्हें गोल आकार में या किसी भी मनचाहे आकार में काट लें। कच्चे केले को पानी और नमक के साथ लगभग 1 सीटी आने तक पका लें और आंच से उतार लें। कुकर खोलें और केले को एक तरफ रख दें। अब हम बेसन का मिश्रण बनाएंगे। एक कटोरे में बेसन, नमक, हल्दी पाउडर और पानी डालें और इसे ठीक से मिलाएँ। अब केले के स्लाइस लें, इसे बेसन के मिश्रण में डालें और अच्छी तरह से कोट करें। एक तवे को 2 बड़े चम्मच तेल के साथ गर्म करें और केले कोटेड बेसन मिश्रण डालें और उन्हें भूरा और कुरकुरा होने तक भूनें। उन्हें बाहर निकालें और एक कागज़ के कपड़े पर रख दें और एक तरफ रख दें। अब एक भारी तले की कड़ाही में तेल गर्म करें। हींग और जीरा डालें इसे मिलाते रहें और 10 से 15 मिनट तक पकने दें। गैस बंद कर दें और हरी मिर्च और धनिया पत्ती से गार्निश करें। बेसन और दही वाली कच्चे केले की सब्जी रेसिपी को स्मोक्ड दाल मखनी ढाबा स्टाइल रेसिपी और फुल्का रेसिपी (रोटी/चपाती) - फूली हुई भारतीय रोटी के साथ परोसें।</v>
      </c>
      <c r="J590" s="3" t="s">
        <v>33346</v>
      </c>
      <c r="L590" s="1" t="s">
        <v>31003</v>
      </c>
    </row>
    <row r="591" spans="1:12" ht="13.8">
      <c r="A591" s="1" t="s">
        <v>33347</v>
      </c>
      <c r="B591" s="1" t="str">
        <f ca="1">IFERROR(__xludf.dummyfunction("IF(A591="""", """", GOOGLETRANSLATE(A591, ""en"", ""hi""))"),"स्वीट कॉर्न और शिमला मिर्च ग्रेवी रेसिपी")</f>
        <v>स्वीट कॉर्न और शिमला मिर्च ग्रेवी रेसिपी</v>
      </c>
      <c r="C591" s="1" t="s">
        <v>14207</v>
      </c>
      <c r="D591" s="1" t="s">
        <v>14198</v>
      </c>
      <c r="E591" s="1">
        <v>30</v>
      </c>
      <c r="F591" s="1" t="s">
        <v>33348</v>
      </c>
      <c r="G591" s="1" t="str">
        <f ca="1">IFERROR(__xludf.dummyfunction("IF(F591="""", """", GOOGLETRANSLATE(F591, ""en"", ""hi""))"),"1 कप स्वीट कॉर्न, 1 लाल, पीली और हरी शिमला मिर्च, 2 मध्यम आकार के प्याज, 1 टमाटर, 1 हरी मिर्च, 1 चम्मच अदरक का पेस्ट, 1/2 कप दही, 2 बड़े चम्मच काजू, 1 कप पानी, 4 चम्मच सूरजमुखी तेल, नमक - स्वादानुसार")</f>
        <v>1 कप स्वीट कॉर्न, 1 लाल, पीली और हरी शिमला मिर्च, 2 मध्यम आकार के प्याज, 1 टमाटर, 1 हरी मिर्च, 1 चम्मच अदरक का पेस्ट, 1/2 कप दही, 2 बड़े चम्मच काजू, 1 कप पानी, 4 चम्मच सूरजमुखी तेल, नमक - स्वादानुसार</v>
      </c>
      <c r="H591" s="1" t="s">
        <v>33349</v>
      </c>
      <c r="I591" s="1" t="str">
        <f ca="1">IFERROR(__xludf.dummyfunction("IF(H591="""", """", GOOGLETRANSLATE(H591, ""en"", ""hi""))"),"स्वीट कॉर्न और शिमला मिर्च करी रेसिपी बनाने के लिए सबसे पहले काजू को गर्म पानी में भिगो दें। एक कढ़ाई में 2 चम्मच तेल गर्म करें, उसमें प्याज और अदरक डालें और प्याज के नरम होने तक पकाएँ। जब प्याज नरम हो जाए तो उसमें टमाटर डालें और टमाटर के नरम होने तक पकाए"&amp;"ँ। आंच बंद कर दें और इसे ठंडा होने दें। ठंडा होने के बाद मिक्सर ग्राइंडर में टमाटर प्याज का मिश्रण, काजू, दही, 1 कप पानी डालें और बारीक पेस्ट बना लें। कढ़ाई में तेल गर्म करें, उसमें जीरा डालें और एक मिनट तक चलाएँ। काजू, प्याज और टमाटर का मिश्रण डालें और म"&amp;"िलाएँ। 5 मिनट तक लगातार चलाएँ। मिश्रण में कॉर्न और शिमला मिर्च डालें। नमक डालें और मिश्रण को हिलाएं और आंच बंद कर दें, इसे एक या दो मिनट के लिए ढककर रखें ताकि यह ठंडा हो जाए। स्वीट कॉर्न और शिमला मिर्च ग्रेवी रेसिपी को काजू के साथ परोसें और यह परोसने के ल"&amp;"िए तैयार है। स्वीट कॉर्न और शिमला मिर्च ग्रेवी रेसिपी को गर्म फुल्के या तवा पराठे और भिंडी रायता रेसिपी (ओकरा सलाद) के साथ रात के खाने के लिए परोसें।")</f>
        <v>स्वीट कॉर्न और शिमला मिर्च करी रेसिपी बनाने के लिए सबसे पहले काजू को गर्म पानी में भिगो दें। एक कढ़ाई में 2 चम्मच तेल गर्म करें, उसमें प्याज और अदरक डालें और प्याज के नरम होने तक पकाएँ। जब प्याज नरम हो जाए तो उसमें टमाटर डालें और टमाटर के नरम होने तक पकाएँ। आंच बंद कर दें और इसे ठंडा होने दें। ठंडा होने के बाद मिक्सर ग्राइंडर में टमाटर प्याज का मिश्रण, काजू, दही, 1 कप पानी डालें और बारीक पेस्ट बना लें। कढ़ाई में तेल गर्म करें, उसमें जीरा डालें और एक मिनट तक चलाएँ। काजू, प्याज और टमाटर का मिश्रण डालें और मिलाएँ। 5 मिनट तक लगातार चलाएँ। मिश्रण में कॉर्न और शिमला मिर्च डालें। नमक डालें और मिश्रण को हिलाएं और आंच बंद कर दें, इसे एक या दो मिनट के लिए ढककर रखें ताकि यह ठंडा हो जाए। स्वीट कॉर्न और शिमला मिर्च ग्रेवी रेसिपी को काजू के साथ परोसें और यह परोसने के लिए तैयार है। स्वीट कॉर्न और शिमला मिर्च ग्रेवी रेसिपी को गर्म फुल्के या तवा पराठे और भिंडी रायता रेसिपी (ओकरा सलाद) के साथ रात के खाने के लिए परोसें।</v>
      </c>
      <c r="J591" s="3" t="s">
        <v>33350</v>
      </c>
      <c r="L591" s="1" t="s">
        <v>31003</v>
      </c>
    </row>
    <row r="592" spans="1:12" ht="13.8">
      <c r="A592" s="1" t="s">
        <v>33351</v>
      </c>
      <c r="B592" s="1" t="str">
        <f ca="1">IFERROR(__xludf.dummyfunction("IF(A592="""", """", GOOGLETRANSLATE(A592, ""en"", ""hi""))"),"गाजर फूलगोभी मटर सब्ज़ी रेसिपी")</f>
        <v>गाजर फूलगोभी मटर सब्ज़ी रेसिपी</v>
      </c>
      <c r="C592" s="1" t="s">
        <v>145</v>
      </c>
      <c r="D592" s="1" t="s">
        <v>14338</v>
      </c>
      <c r="E592" s="1">
        <v>25</v>
      </c>
      <c r="F592" s="1" t="s">
        <v>33352</v>
      </c>
      <c r="G592" s="1" t="str">
        <f ca="1">IFERROR(__xludf.dummyfunction("IF(F592="""", """", GOOGLETRANSLATE(F592, ""en"", ""hi""))"),"2 गाजर - 1/2 इंच की छड़ियों में कटा हुआ, 2 कप गोभी, 1 कप हरा मटर, 2 हरी मिर्च - स्लिट, 1/2 छोटा गाजर का टुकड़ा, 2 तेज पत्ता, 2 दालचीनी, 2 इलाइची, 7 पूरी काली मिर्च, सरसों का तेल - प्रयोग")</f>
        <v>2 गाजर - 1/2 इंच की छड़ियों में कटा हुआ, 2 कप गोभी, 1 कप हरा मटर, 2 हरी मिर्च - स्लिट, 1/2 छोटा गाजर का टुकड़ा, 2 तेज पत्ता, 2 दालचीनी, 2 इलाइची, 7 पूरी काली मिर्च, सरसों का तेल - प्रयोग</v>
      </c>
      <c r="H592" s="1" t="s">
        <v>33353</v>
      </c>
      <c r="I592" s="1" t="str">
        <f ca="1">IFERROR(__xludf.dummyfunction("IF(H592="""", """", GOOGLETRANSLATE(H592, ""en"", ""hi""))"),"""गाजर गोभी मटर सब्ज़ी रेसिपी बनाने के लिए सबसे पहले सारी सामग्री तैयार कर लें। अब एक पैन में सरसों का तेल गर्म करें। इसमें अजवाइन, तेज पत्ता, दालचीनी, इलायची डालकर 10 से 20 सेकंड तक पकाएँ। अब हरी मिर्च, गाजर डालकर 1 मिनट तक पकाएँ। 1 मिनट बाद इसमें गोभी, "&amp;"नमक, थोड़ा पानी डालकर पैन को ढक दें और गोभी के नरम होने तक पकाएँ। गोभी के नरम होने के बाद इसमें मटर डालें, ढककर 3 से 4 मिनट तक पकाएँ। गैस बंद कर दें और सर्व करें। गाजर गोभी मटर सब्ज़ी रेसिपी को दाल फ्राई और फुल्के के साथ लंच में सर्व करें।""")</f>
        <v>"गाजर गोभी मटर सब्ज़ी रेसिपी बनाने के लिए सबसे पहले सारी सामग्री तैयार कर लें। अब एक पैन में सरसों का तेल गर्म करें। इसमें अजवाइन, तेज पत्ता, दालचीनी, इलायची डालकर 10 से 20 सेकंड तक पकाएँ। अब हरी मिर्च, गाजर डालकर 1 मिनट तक पकाएँ। 1 मिनट बाद इसमें गोभी, नमक, थोड़ा पानी डालकर पैन को ढक दें और गोभी के नरम होने तक पकाएँ। गोभी के नरम होने के बाद इसमें मटर डालें, ढककर 3 से 4 मिनट तक पकाएँ। गैस बंद कर दें और सर्व करें। गाजर गोभी मटर सब्ज़ी रेसिपी को दाल फ्राई और फुल्के के साथ लंच में सर्व करें।"</v>
      </c>
      <c r="J592" s="3" t="s">
        <v>33354</v>
      </c>
      <c r="L592" s="1" t="s">
        <v>31003</v>
      </c>
    </row>
    <row r="593" spans="1:12" ht="409.6">
      <c r="A593" s="1" t="s">
        <v>33355</v>
      </c>
      <c r="B593" s="1" t="str">
        <f ca="1">IFERROR(__xludf.dummyfunction("IF(A593="""", """", GOOGLETRANSLATE(A593, ""en"", ""hi""))"),"सूखा आलू मटर मेथी सब्जी रेसिपी")</f>
        <v>सूखा आलू मटर मेथी सब्जी रेसिपी</v>
      </c>
      <c r="C593" s="1" t="s">
        <v>145</v>
      </c>
      <c r="D593" s="1" t="s">
        <v>14198</v>
      </c>
      <c r="E593" s="1">
        <v>25</v>
      </c>
      <c r="F593" s="1" t="s">
        <v>33356</v>
      </c>
      <c r="G593" s="1" t="str">
        <f ca="1">IFERROR(__xludf.dummyfunction("IF(F593="""", """", GOOGLETRANSLATE(F593, ""en"", ""hi""))"),"4 आलू - उबले हुए, 3/4 कप हरी मटर, 1 कप मेथी के पत्ते - मोटे तौर पर कटे हुए, 1 प्याज - बारीक कटा हुआ, 1 चम्मच लाल मिर्च पाउडर, 2 चम्मच धनिया पाउडर, 1/2 चम्मच हल्दी पाउडर, 1 चम्मच गरम मसाला पाउडर, 2 चम्मच सूरजमुखी तेल, नमक - स्वादानुसार")</f>
        <v>4 आलू - उबले हुए, 3/4 कप हरी मटर, 1 कप मेथी के पत्ते - मोटे तौर पर कटे हुए, 1 प्याज - बारीक कटा हुआ, 1 चम्मच लाल मिर्च पाउडर, 2 चम्मच धनिया पाउडर, 1/2 चम्मच हल्दी पाउडर, 1 चम्मच गरम मसाला पाउडर, 2 चम्मच सूरजमुखी तेल, नमक - स्वादानुसार</v>
      </c>
      <c r="H593" s="4" t="s">
        <v>33357</v>
      </c>
      <c r="I593" s="1" t="str">
        <f ca="1">IFERROR(__xludf.dummyfunction("IF(H593="""", """", GOOGLETRANSLATE(H593, ""en"", ""hi""))"),"सूखा आलू मटर मेथी सब्ज़ी रेसिपी बनाने के लिए सबसे पहले आलू को प्रेशर कुकर में 2 सीटी आने तक पका लें। जब प्रेशर अपने आप निकल जाए तो प्रेशर कुकर खोलें। आलू का छिलका उतार कर बड़े क्यूब्स में काट लें और एक तरफ रख दें। इसी तरह मटर को भी भाप में पका लें और एक त"&amp;"रफ रख दें। एक भारी तले की कड़ाही में तेल गर्म करें, उसमें प्याज़ डालें और उसे पारदर्शी होने तक भूनें। जब प्याज़ पारदर्शी हो जाए तो उसमें मेथी के पत्ते डालें और 2 मिनट तक भूनें, जब तक कि मेथी के पत्ते थोड़े से मुरझा न जाएं और अच्छी खुशबू न आने लगे। उसमें ल"&amp;"ाल मिर्च पाउडर, हल्दी, धनिया पाउडर डालें और कच्ची महक जाने तक भूनें। उसमें मटर और उबले आलू के क्यूब्स डालें, नमक डालें और अच्छी तरह मिलाएँ। सूखा आलू मटर मेथी सब्ज़ी को तब तक भूनें आंच बंद कर दें। सूखा आलू मटर मेथी सब्ज़ी रेसिपी को फुल्का या पराठा और घर पर"&amp;" बने दही के साथ बच्चों के लंच बॉक्स में परोसें या रात के लंच में फुल्का, दाल तड़का और सलाद के साथ परोसें।")</f>
        <v>सूखा आलू मटर मेथी सब्ज़ी रेसिपी बनाने के लिए सबसे पहले आलू को प्रेशर कुकर में 2 सीटी आने तक पका लें। जब प्रेशर अपने आप निकल जाए तो प्रेशर कुकर खोलें। आलू का छिलका उतार कर बड़े क्यूब्स में काट लें और एक तरफ रख दें। इसी तरह मटर को भी भाप में पका लें और एक तरफ रख दें। एक भारी तले की कड़ाही में तेल गर्म करें, उसमें प्याज़ डालें और उसे पारदर्शी होने तक भूनें। जब प्याज़ पारदर्शी हो जाए तो उसमें मेथी के पत्ते डालें और 2 मिनट तक भूनें, जब तक कि मेथी के पत्ते थोड़े से मुरझा न जाएं और अच्छी खुशबू न आने लगे। उसमें लाल मिर्च पाउडर, हल्दी, धनिया पाउडर डालें और कच्ची महक जाने तक भूनें। उसमें मटर और उबले आलू के क्यूब्स डालें, नमक डालें और अच्छी तरह मिलाएँ। सूखा आलू मटर मेथी सब्ज़ी को तब तक भूनें आंच बंद कर दें। सूखा आलू मटर मेथी सब्ज़ी रेसिपी को फुल्का या पराठा और घर पर बने दही के साथ बच्चों के लंच बॉक्स में परोसें या रात के लंच में फुल्का, दाल तड़का और सलाद के साथ परोसें।</v>
      </c>
      <c r="J593" s="3" t="s">
        <v>33358</v>
      </c>
      <c r="L593" s="1" t="s">
        <v>31003</v>
      </c>
    </row>
    <row r="594" spans="1:12" ht="13.8">
      <c r="A594" s="1" t="s">
        <v>33359</v>
      </c>
      <c r="B594" s="1" t="str">
        <f ca="1">IFERROR(__xludf.dummyfunction("IF(A594="""", """", GOOGLETRANSLATE(A594, ""en"", ""hi""))"),"उड़द की सूखी दाल")</f>
        <v>उड़द की सूखी दाल</v>
      </c>
      <c r="C594" s="1" t="s">
        <v>145</v>
      </c>
      <c r="D594" s="1" t="s">
        <v>14237</v>
      </c>
      <c r="E594" s="1">
        <v>40</v>
      </c>
      <c r="F594" s="1" t="s">
        <v>33360</v>
      </c>
      <c r="G594" s="1" t="str">
        <f ca="1">IFERROR(__xludf.dummyfunction("IF(F594="""", """", GOOGLETRANSLATE(F594, ""en"", ""hi""))"),"1 कप सफेद उड़द दाल, 1 छोटा चम्मच हल्दी पाउडर, 1 छोटा चम्मच लाल मिर्च पाउडर, नमक - स्वादानुसार, 1 प्याज - पतला कटा हुआ, 1 अदरक - कसा हुआ, 1 हरी मिर्च - बारीक कटी हुई, 1 छोटा चम्मच जीरा, 1 छोटा चम्मच धनिया पाउडर, 1/4 छोटा चम्मच हींग, 1 छोटा चम्मच गरम मसाला "&amp;"पाउडर, नमक - स्वादानुसार, 2 बड़े चम्मच घी, 1 छोटा चम्मच नींबू का रस, धनिया पत्ती - कुछ (कटी हुई)")</f>
        <v>1 कप सफेद उड़द दाल, 1 छोटा चम्मच हल्दी पाउडर, 1 छोटा चम्मच लाल मिर्च पाउडर, नमक - स्वादानुसार, 1 प्याज - पतला कटा हुआ, 1 अदरक - कसा हुआ, 1 हरी मिर्च - बारीक कटी हुई, 1 छोटा चम्मच जीरा, 1 छोटा चम्मच धनिया पाउडर, 1/4 छोटा चम्मच हींग, 1 छोटा चम्मच गरम मसाला पाउडर, नमक - स्वादानुसार, 2 बड़े चम्मच घी, 1 छोटा चम्मच नींबू का रस, धनिया पत्ती - कुछ (कटी हुई)</v>
      </c>
      <c r="H594" s="1" t="s">
        <v>33361</v>
      </c>
      <c r="I594" s="1" t="str">
        <f ca="1">IFERROR(__xludf.dummyfunction("IF(H594="""", """", GOOGLETRANSLATE(H594, ""en"", ""hi""))"),"सूखी उड़द दाल बनाने के लिए सबसे पहले उड़द दाल को धोकर 4 से 5 घंटे के लिए पानी में भिगो दें। पानी निथार लें और दाल को प्रेशर कुकर में डाल दें। इसमें नमक, हल्दी पाउडर, लाल मिर्च पाउडर और पानी डालें। पानी बहुत ज़्यादा न डालें, बस इतना डालें कि दाल पक जाए। 2 "&amp;"सीटी आने तक पकाएँ और दाल को प्याले में निकाल लें। अब एक सॉसपैन में घी गर्म करें। इसमें जीरा, हींग डालें और 10 सेकंड तक पकने दें। 10 सेकंड बाद इसमें प्याज़, हरी मिर्च और कद्दूकस किया हुआ अदरक डालें। प्याज़ के सुनहरा होने तक पकाएँ। एक सॉसपैन में घी गर्म करे"&amp;"ं। इसमें जीरा, हींग डालें और 10 सेकंड तक पकने दें। अब इसमें प्याज़, हरी मिर्च और कद्दूकस किया हुआ अदरक डालें। इसे भूरा होने तक पकने दें। प्याज़ के पकने के बाद इसमें पकी हुई दाल, गरम मसाला, धनिया पाउडर डालें और मिलाएँ। 1 मिनट तक पकाएँ और गरमागरम परोसें। सू"&amp;"खी उड़द दाल को बूंदी रायता और तवा परांठे के साथ लंच में सर्व करें।")</f>
        <v>सूखी उड़द दाल बनाने के लिए सबसे पहले उड़द दाल को धोकर 4 से 5 घंटे के लिए पानी में भिगो दें। पानी निथार लें और दाल को प्रेशर कुकर में डाल दें। इसमें नमक, हल्दी पाउडर, लाल मिर्च पाउडर और पानी डालें। पानी बहुत ज़्यादा न डालें, बस इतना डालें कि दाल पक जाए। 2 सीटी आने तक पकाएँ और दाल को प्याले में निकाल लें। अब एक सॉसपैन में घी गर्म करें। इसमें जीरा, हींग डालें और 10 सेकंड तक पकने दें। 10 सेकंड बाद इसमें प्याज़, हरी मिर्च और कद्दूकस किया हुआ अदरक डालें। प्याज़ के सुनहरा होने तक पकाएँ। एक सॉसपैन में घी गर्म करें। इसमें जीरा, हींग डालें और 10 सेकंड तक पकने दें। अब इसमें प्याज़, हरी मिर्च और कद्दूकस किया हुआ अदरक डालें। इसे भूरा होने तक पकने दें। प्याज़ के पकने के बाद इसमें पकी हुई दाल, गरम मसाला, धनिया पाउडर डालें और मिलाएँ। 1 मिनट तक पकाएँ और गरमागरम परोसें। सूखी उड़द दाल को बूंदी रायता और तवा परांठे के साथ लंच में सर्व करें।</v>
      </c>
      <c r="J594" s="3" t="s">
        <v>33362</v>
      </c>
      <c r="L594" s="1" t="s">
        <v>31003</v>
      </c>
    </row>
    <row r="595" spans="1:12" ht="409.6">
      <c r="A595" s="1" t="s">
        <v>33363</v>
      </c>
      <c r="B595" s="1" t="str">
        <f ca="1">IFERROR(__xludf.dummyfunction("IF(A595="""", """", GOOGLETRANSLATE(A595, ""en"", ""hi""))"),"तवा पराठा रेसिपी - सादा पराठा")</f>
        <v>तवा पराठा रेसिपी - सादा पराठा</v>
      </c>
      <c r="C595" s="1" t="s">
        <v>14259</v>
      </c>
      <c r="D595" s="1" t="s">
        <v>14198</v>
      </c>
      <c r="E595" s="1">
        <v>40</v>
      </c>
      <c r="F595" s="1" t="s">
        <v>33364</v>
      </c>
      <c r="G595" s="1" t="str">
        <f ca="1">IFERROR(__xludf.dummyfunction("IF(F595="""", """", GOOGLETRANSLATE(F595, ""en"", ""hi""))"),"1 कप गेहूं का आटा, 1/2 चम्मच नमक, सूरजमुखी तेल - गूंधने के लिए, घी - या खाना पकाने के लिए तेल (आवश्यकतानुसार)")</f>
        <v>1 कप गेहूं का आटा, 1/2 चम्मच नमक, सूरजमुखी तेल - गूंधने के लिए, घी - या खाना पकाने के लिए तेल (आवश्यकतानुसार)</v>
      </c>
      <c r="H595" s="4" t="s">
        <v>33365</v>
      </c>
      <c r="I595" s="1" t="str">
        <f ca="1">IFERROR(__xludf.dummyfunction("IF(H595="""", """", GOOGLETRANSLATE(H595, ""en"", ""hi""))"),"तवा पराठा बनाने के लिए, एक बड़े कटोरे में आटा, नमक, एक बड़ा चम्मच तेल मिलाएँ और थोड़ा-थोड़ा पानी डालते हुए सख्त और मुलायम आटा गूंथ लें। आटे को कोट करने के लिए एक बड़ा चम्मच तेल डालें और फिर से गूंथ लें। 15 मिनट के लिए ढककर अलग रख दें। एक बार फिर गूंथ लें "&amp;"और आटे को 8 भागों में बाँट लें। मध्यम आँच पर लोहे की कड़ाही को पहले से गरम कर लें। आटे के हिस्सों को बॉल्स में रोल करें और उन्हें अपने हाथ की हथेली से चपटा करें। उन्हें आटे में डालें और उन्हें लगभग 3 इंच व्यास के गोल आकार में बेल लें। 1/4 चम्मच तेल डालें "&amp;"और इसे बेले हुए आटे पर फैलाएँ। हमें एक त्रिभुज आकार प्राप्त करने की आवश्यकता है, ऐसा करने के लिए, पहले एक अर्धवृत्ताकार में मोड़ें, फिर अर्धवृत्त को फिर से आधा मोड़ें। आपको एक छोटा त्रिभुज आकार मिलता है। त्रिभुज को थोड़े से आटे में मिलाते हुए, इसे धीरे से"&amp;" एक बड़े त्रिभुज में बेल लें। शेष आटे के हिस्सों के साथ बेलने की समान प्रक्रिया जारी रखें। मध्यम उच्च आँच पर तवे को रखें और एक बेले हुए पराठे को तवे पर रखें। कुछ सेकंड के बाद आप देखेंगे कि हवा की एक थैली बाहर निकल रही है। इस बिंदु पर सादे पराठे को पलटें औ"&amp;"र लगभग 1/2 चम्मच घी लगाएँ। एक सपाट स्पैटुला का उपयोग करके पराठे को पकाने के लिए हल्का दबाव और मोड़ें। दूसरी तरफ पलटें और पराठे को उसी तरह दबाएं और मोड़ें। आप पराठे के चारों ओर भूरे रंग के धब्बे देखेंगे और यह थोड़ा कुरकुरा होगा। गर्मी से निकालें और एक प्ले"&amp;"ट पर रखें या गर्म परोसें। शेष लुढ़का भागों के साथ समान प्रक्रिया जारी रखें और पके हुए पराठे को एक के ऊपर एक रखें। सादे या तवा पराठे को रात के खाने के लिए बटाटा नू शाक या बैंगन भर्ता और पालक दाल के साथ सप्ताह के दिनों में परोसें।")</f>
        <v>तवा पराठा बनाने के लिए, एक बड़े कटोरे में आटा, नमक, एक बड़ा चम्मच तेल मिलाएँ और थोड़ा-थोड़ा पानी डालते हुए सख्त और मुलायम आटा गूंथ लें। आटे को कोट करने के लिए एक बड़ा चम्मच तेल डालें और फिर से गूंथ लें। 15 मिनट के लिए ढककर अलग रख दें। एक बार फिर गूंथ लें और आटे को 8 भागों में बाँट लें। मध्यम आँच पर लोहे की कड़ाही को पहले से गरम कर लें। आटे के हिस्सों को बॉल्स में रोल करें और उन्हें अपने हाथ की हथेली से चपटा करें। उन्हें आटे में डालें और उन्हें लगभग 3 इंच व्यास के गोल आकार में बेल लें। 1/4 चम्मच तेल डालें और इसे बेले हुए आटे पर फैलाएँ। हमें एक त्रिभुज आकार प्राप्त करने की आवश्यकता है, ऐसा करने के लिए, पहले एक अर्धवृत्ताकार में मोड़ें, फिर अर्धवृत्त को फिर से आधा मोड़ें। आपको एक छोटा त्रिभुज आकार मिलता है। त्रिभुज को थोड़े से आटे में मिलाते हुए, इसे धीरे से एक बड़े त्रिभुज में बेल लें। शेष आटे के हिस्सों के साथ बेलने की समान प्रक्रिया जारी रखें। मध्यम उच्च आँच पर तवे को रखें और एक बेले हुए पराठे को तवे पर रखें। कुछ सेकंड के बाद आप देखेंगे कि हवा की एक थैली बाहर निकल रही है। इस बिंदु पर सादे पराठे को पलटें और लगभग 1/2 चम्मच घी लगाएँ। एक सपाट स्पैटुला का उपयोग करके पराठे को पकाने के लिए हल्का दबाव और मोड़ें। दूसरी तरफ पलटें और पराठे को उसी तरह दबाएं और मोड़ें। आप पराठे के चारों ओर भूरे रंग के धब्बे देखेंगे और यह थोड़ा कुरकुरा होगा। गर्मी से निकालें और एक प्लेट पर रखें या गर्म परोसें। शेष लुढ़का भागों के साथ समान प्रक्रिया जारी रखें और पके हुए पराठे को एक के ऊपर एक रखें। सादे या तवा पराठे को रात के खाने के लिए बटाटा नू शाक या बैंगन भर्ता और पालक दाल के साथ सप्ताह के दिनों में परोसें।</v>
      </c>
      <c r="J595" s="3" t="s">
        <v>33366</v>
      </c>
      <c r="L595" s="1" t="s">
        <v>31003</v>
      </c>
    </row>
    <row r="596" spans="1:12" ht="13.8">
      <c r="A596" s="1" t="s">
        <v>33367</v>
      </c>
      <c r="B596" s="1" t="str">
        <f ca="1">IFERROR(__xludf.dummyfunction("IF(A596="""", """", GOOGLETRANSLATE(A596, ""en"", ""hi""))"),"मसूर दाल मखनी रेसिपी")</f>
        <v>मसूर दाल मखनी रेसिपी</v>
      </c>
      <c r="C596" s="1" t="s">
        <v>145</v>
      </c>
      <c r="D596" s="1" t="s">
        <v>14237</v>
      </c>
      <c r="E596" s="1">
        <v>30</v>
      </c>
      <c r="F596" s="1" t="s">
        <v>33368</v>
      </c>
      <c r="G596" s="1" t="str">
        <f ca="1">IFERROR(__xludf.dummyfunction("IF(F596="""", """", GOOGLETRANSLATE(F596, ""en"", ""hi""))"),"1 कप मसूर दाल (साबुत), 1 प्याज - बारीक कटा हुआ, 1 टमाटर, 6 लहसुन के दाने, 2 इंच अदरक, 1 तेज पत्ता, 2 लौंग, 1 छोटा चम्मच जीरा, 1 दालचीनी, 2 छोटे चम्मच गरम मसाला पाउडर, 1 छोटा चम्मच लाल मिर्च पाउडर, 2 छोटे चम्मच धनिया पाउडर, 2 बड़े चम्मच घी, 2 छोटे चम्मच ता"&amp;"जा क्रीम, नमक - स्वादानुसार")</f>
        <v>1 कप मसूर दाल (साबुत), 1 प्याज - बारीक कटा हुआ, 1 टमाटर, 6 लहसुन के दाने, 2 इंच अदरक, 1 तेज पत्ता, 2 लौंग, 1 छोटा चम्मच जीरा, 1 दालचीनी, 2 छोटे चम्मच गरम मसाला पाउडर, 1 छोटा चम्मच लाल मिर्च पाउडर, 2 छोटे चम्मच धनिया पाउडर, 2 बड़े चम्मच घी, 2 छोटे चम्मच ताजा क्रीम, नमक - स्वादानुसार</v>
      </c>
      <c r="H596" s="1" t="s">
        <v>33369</v>
      </c>
      <c r="I596" s="1" t="str">
        <f ca="1">IFERROR(__xludf.dummyfunction("IF(H596="""", """", GOOGLETRANSLATE(H596, ""en"", ""hi""))"),"मसूर दाल मखनी रेसिपी बनाने के लिए, पूरी मसूर दाल को नल के पानी में तब तक धोएँ जब तक पानी साफ न हो जाए। धुली हुई मसूर दाल को गुनगुने पानी में लगभग 30 मिनट के लिए भिगोएँ। प्रेशर कुकर में घी गरम करें, उसमें साबुत मसाले, दालचीनी, लौंग, दालचीनी, जीरा डालें और "&amp;"उसे चटकने दें। बारीक कटा हुआ प्याज़ डालें और भूरा होने तक भूनें। अब अदरक और लहसुन की फलियों को हलके से एक मोर्टार में कुचलें और मिश्रण को प्रेशर पैन में डालें। अदरक और लहसुन की कच्ची महक जाने तक भूनें। कटे हुए टमाटर और सूखे मसाले धनिया पाउडर, लाल मिर्च और"&amp;" गरम मसाला डालें और तब तक पकाएँ जब तक टमाटर नरम न हो जाएँ और घी किनारों से अलग न होने लगे। इसमें भीगी हुई मसूर दाल, पकाने के लिए पर्याप्त पानी और स्वादानुसार नमक डालें। धीमी आँच पर 4-5 सीटी आने तक इसे पकाएँ। स्विच ऑफ करें और प्रेशर कम होने दें। ढक्कन को ध"&amp;"ीरे से खोलें और क्रीम डालकर इसे और गाढ़ा करें। मसूर दाल मखनी को चावल या पराठे और हरी सलाद के साथ सर्व किया जाता है।")</f>
        <v>मसूर दाल मखनी रेसिपी बनाने के लिए, पूरी मसूर दाल को नल के पानी में तब तक धोएँ जब तक पानी साफ न हो जाए। धुली हुई मसूर दाल को गुनगुने पानी में लगभग 30 मिनट के लिए भिगोएँ। प्रेशर कुकर में घी गरम करें, उसमें साबुत मसाले, दालचीनी, लौंग, दालचीनी, जीरा डालें और उसे चटकने दें। बारीक कटा हुआ प्याज़ डालें और भूरा होने तक भूनें। अब अदरक और लहसुन की फलियों को हलके से एक मोर्टार में कुचलें और मिश्रण को प्रेशर पैन में डालें। अदरक और लहसुन की कच्ची महक जाने तक भूनें। कटे हुए टमाटर और सूखे मसाले धनिया पाउडर, लाल मिर्च और गरम मसाला डालें और तब तक पकाएँ जब तक टमाटर नरम न हो जाएँ और घी किनारों से अलग न होने लगे। इसमें भीगी हुई मसूर दाल, पकाने के लिए पर्याप्त पानी और स्वादानुसार नमक डालें। धीमी आँच पर 4-5 सीटी आने तक इसे पकाएँ। स्विच ऑफ करें और प्रेशर कम होने दें। ढक्कन को धीरे से खोलें और क्रीम डालकर इसे और गाढ़ा करें। मसूर दाल मखनी को चावल या पराठे और हरी सलाद के साथ सर्व किया जाता है।</v>
      </c>
      <c r="J596" s="3" t="s">
        <v>33370</v>
      </c>
      <c r="L596" s="1" t="s">
        <v>31003</v>
      </c>
    </row>
    <row r="597" spans="1:12" ht="13.8">
      <c r="A597" s="1" t="s">
        <v>33371</v>
      </c>
      <c r="B597" s="1" t="str">
        <f ca="1">IFERROR(__xludf.dummyfunction("IF(A597="""", """", GOOGLETRANSLATE(A597, ""en"", ""hi""))"),"आलू रसवाला सब्जी रेसिपी")</f>
        <v>आलू रसवाला सब्जी रेसिपी</v>
      </c>
      <c r="C597" s="1" t="s">
        <v>16424</v>
      </c>
      <c r="D597" s="1" t="s">
        <v>14198</v>
      </c>
      <c r="E597" s="1">
        <v>40</v>
      </c>
      <c r="F597" s="1" t="s">
        <v>33372</v>
      </c>
      <c r="G597" s="1" t="str">
        <f ca="1">IFERROR(__xludf.dummyfunction("IF(F597="""", """", GOOGLETRANSLATE(F597, ""en"", ""hi""))"),"1 बड़ा चम्मच सूरजमुखी तेल, 1/4 चम्मच मेथी के बीज (मेथी के बीज), 1/2 चम्मच जीरा (जीरा), 1 चुटकी हींग (हिंग), 1 प्याज - बारीक कटा हुआ, 4 लहसुन के दाने - बारीक कटा हुआ, 1 इंच अदरक - बारीक कटा हुआ, 1 हरी मिर्च - कटी हुई, 2 टमाटर - कटे हुए, 4 आलू (आलू), 1/4 चम"&amp;"्मच हल्दी पाउडर (हल्दी), 1 चम्मच गरम मसाला पाउडर - (या किचन किंग मसाला), लाल मिर्च पाउडर, नमक - स्वादानुसार, धनिया पत्ती - गार्निश करने के लिए")</f>
        <v>1 बड़ा चम्मच सूरजमुखी तेल, 1/4 चम्मच मेथी के बीज (मेथी के बीज), 1/2 चम्मच जीरा (जीरा), 1 चुटकी हींग (हिंग), 1 प्याज - बारीक कटा हुआ, 4 लहसुन के दाने - बारीक कटा हुआ, 1 इंच अदरक - बारीक कटा हुआ, 1 हरी मिर्च - कटी हुई, 2 टमाटर - कटे हुए, 4 आलू (आलू), 1/4 चम्मच हल्दी पाउडर (हल्दी), 1 चम्मच गरम मसाला पाउडर - (या किचन किंग मसाला), लाल मिर्च पाउडर, नमक - स्वादानुसार, धनिया पत्ती - गार्निश करने के लिए</v>
      </c>
      <c r="H597" s="1" t="s">
        <v>33373</v>
      </c>
      <c r="I597" s="1" t="str">
        <f ca="1">IFERROR(__xludf.dummyfunction("IF(H597="""", """", GOOGLETRANSLATE(H597, ""en"", ""hi""))"),"आलू रसवाला सब्जी रेसिपी बनाने के लिए सबसे पहले हम आलू उबालेंगे। आलू को प्रेशर कुकर में थोड़े पानी के साथ डालें और लगभग 5-6 सीटी आने तक पका लें। प्रेशर कुकर को बंद कर दें और प्रेशर को अपने आप निकलने दें। आलू को कुकर से निकालें, छीलें और मध्यम आकार के क्यूब"&amp;"्स में काट लें और एक तरफ रख दें। मध्यम आंच पर एक पैन में तेल गर्म करें, उसमें जीरा और मेथी के बीज डालें। जब बीज तड़कने लगे तो उसमें प्याज, अदरक और लहसुन डालें और तब तक भूनें जब तक प्याज नरम और मुलायम न हो जाए। हरी मिर्च, हींग डालकर कुछ सेकंड के लिए भूनें।"&amp;" जब प्याज नरम हो जाए तो उसमें टमाटर डालें और अच्छी तरह मिलाएँ। हल्दी पाउडर और लाल मिर्च पाउडर डालें। टमाटर के नरम होने तक पकाते रहें। गरम मसाला पाउडर छिड़कें पानी को इस तरह से समायोजित करें कि स्थिरता न तो बहुत मोटी हो और न ही बहुत पतली हो। गर्मी कम करें "&amp;"और आलू रसवाला सब्ज़ी को लगभग 10 मिनट तक उबालें जब तक कि यह मसालेदार ग्रेवी न बन जाए। एक बार हो जाने पर, नमक और मसालों की जाँच करें और अपने स्वाद के अनुसार समायोजित करें और आँच बंद कर दें। आलू रसवाला सब्ज़ी को एक सर्विंग बाउल में डालें और गरमागरम परोसें। आ"&amp;"लू रसवाला सब्ज़ी रेसिपी को चुन्नी की पूरी रेसिपी- मूंग दाल और बेसन फ्राइड पूरी रेसिपी और साबूदाना खीर रेसिपी- टैपिओका मिल्क पुडिंग के साथ एक साधारण संडे ब्रंच के लिए परोसें।")</f>
        <v>आलू रसवाला सब्जी रेसिपी बनाने के लिए सबसे पहले हम आलू उबालेंगे। आलू को प्रेशर कुकर में थोड़े पानी के साथ डालें और लगभग 5-6 सीटी आने तक पका लें। प्रेशर कुकर को बंद कर दें और प्रेशर को अपने आप निकलने दें। आलू को कुकर से निकालें, छीलें और मध्यम आकार के क्यूब्स में काट लें और एक तरफ रख दें। मध्यम आंच पर एक पैन में तेल गर्म करें, उसमें जीरा और मेथी के बीज डालें। जब बीज तड़कने लगे तो उसमें प्याज, अदरक और लहसुन डालें और तब तक भूनें जब तक प्याज नरम और मुलायम न हो जाए। हरी मिर्च, हींग डालकर कुछ सेकंड के लिए भूनें। जब प्याज नरम हो जाए तो उसमें टमाटर डालें और अच्छी तरह मिलाएँ। हल्दी पाउडर और लाल मिर्च पाउडर डालें। टमाटर के नरम होने तक पकाते रहें। गरम मसाला पाउडर छिड़कें पानी को इस तरह से समायोजित करें कि स्थिरता न तो बहुत मोटी हो और न ही बहुत पतली हो। गर्मी कम करें और आलू रसवाला सब्ज़ी को लगभग 10 मिनट तक उबालें जब तक कि यह मसालेदार ग्रेवी न बन जाए। एक बार हो जाने पर, नमक और मसालों की जाँच करें और अपने स्वाद के अनुसार समायोजित करें और आँच बंद कर दें। आलू रसवाला सब्ज़ी को एक सर्विंग बाउल में डालें और गरमागरम परोसें। आलू रसवाला सब्ज़ी रेसिपी को चुन्नी की पूरी रेसिपी- मूंग दाल और बेसन फ्राइड पूरी रेसिपी और साबूदाना खीर रेसिपी- टैपिओका मिल्क पुडिंग के साथ एक साधारण संडे ब्रंच के लिए परोसें।</v>
      </c>
      <c r="J597" s="3" t="s">
        <v>33374</v>
      </c>
      <c r="L597" s="1" t="s">
        <v>31003</v>
      </c>
    </row>
    <row r="598" spans="1:12" ht="13.8">
      <c r="A598" s="1" t="s">
        <v>33375</v>
      </c>
      <c r="B598" s="1" t="str">
        <f ca="1">IFERROR(__xludf.dummyfunction("IF(A598="""", """", GOOGLETRANSLATE(A598, ""en"", ""hi""))"),"अवल मिश्रण रेसिपी - पोहा चिवड़ा")</f>
        <v>अवल मिश्रण रेसिपी - पोहा चिवड़ा</v>
      </c>
      <c r="C598" s="1" t="s">
        <v>14281</v>
      </c>
      <c r="D598" s="1" t="s">
        <v>14198</v>
      </c>
      <c r="E598" s="1">
        <v>40</v>
      </c>
      <c r="F598" s="1" t="s">
        <v>33376</v>
      </c>
      <c r="G598" s="1" t="str">
        <f ca="1">IFERROR(__xludf.dummyfunction("IF(F598="""", """", GOOGLETRANSLATE(F598, ""en"", ""hi""))"),"2 कप पोहा, 1/2 कप लाल खारा सेव, 1/2 कप बूंदी, 1/4 कप भुनी हुई मूंगफली, 1/4 कप चना दाल - भुनी हुई, 20 करी पत्ते, 1/2 चम्मच हल्दी, 1/2 चम्मच हींग, 1/2 चम्मच लाल मिर्च पाउडर - मिलाया हुआ, नमक - स्वादानुसार, सूरजमुखी तेल - तलने के लिए")</f>
        <v>2 कप पोहा, 1/2 कप लाल खारा सेव, 1/2 कप बूंदी, 1/4 कप भुनी हुई मूंगफली, 1/4 कप चना दाल - भुनी हुई, 20 करी पत्ते, 1/2 चम्मच हल्दी, 1/2 चम्मच हींग, 1/2 चम्मच लाल मिर्च पाउडर - मिलाया हुआ, नमक - स्वादानुसार, सूरजमुखी तेल - तलने के लिए</v>
      </c>
      <c r="H598" s="1" t="s">
        <v>33377</v>
      </c>
      <c r="I598" s="1" t="str">
        <f ca="1">IFERROR(__xludf.dummyfunction("IF(H598="""", """", GOOGLETRANSLATE(H598, ""en"", ""hi""))"),"अवल मिश्रण रेसिपी बनाने के लिए सबसे पहले एक छोटी कड़ाही में तेल गर्म करें। पोहा को एक मध्यम आकार की छलनी में रखें और गर्म तेल में डुबोएं। जब पोहा तड़कने लगे तो उसे तेल से निकाल लें, पानी में से निथार लें और एक टिशू पेपर पर रख दें। यह बैचों में करें, एक बा"&amp;"र में 1/2 कप। उसी तेल में मूंगफली, भुनी हुई चना दाल, करी पत्ता को अलग-अलग तल लें और टिशू पेपर पर निकाल लें। तेल को आंच से उतार लें। कड़ाही में 1 बड़ा चम्मच तेल रखें और बाकी तेल निकाल लें। कड़ाही में गर्म तेल में हींग, हल्दी पाउडर और लाल मिर्च पाउडर डालें।"&amp;" इसे पोहा के ऊपर डालें। एक बड़े मिक्सिंग बाउल में पोहा, मूंगफली, भुनी हुई चना दाल, करी पत्ता, सेव, बूंदी डालें और मिलाएँ। त्योहारों और विशेष अवसरों पर अपने मेहमानों को केसरी गुजिया और मसाला चाय के साथ अवल मिश्रण परोसें।")</f>
        <v>अवल मिश्रण रेसिपी बनाने के लिए सबसे पहले एक छोटी कड़ाही में तेल गर्म करें। पोहा को एक मध्यम आकार की छलनी में रखें और गर्म तेल में डुबोएं। जब पोहा तड़कने लगे तो उसे तेल से निकाल लें, पानी में से निथार लें और एक टिशू पेपर पर रख दें। यह बैचों में करें, एक बार में 1/2 कप। उसी तेल में मूंगफली, भुनी हुई चना दाल, करी पत्ता को अलग-अलग तल लें और टिशू पेपर पर निकाल लें। तेल को आंच से उतार लें। कड़ाही में 1 बड़ा चम्मच तेल रखें और बाकी तेल निकाल लें। कड़ाही में गर्म तेल में हींग, हल्दी पाउडर और लाल मिर्च पाउडर डालें। इसे पोहा के ऊपर डालें। एक बड़े मिक्सिंग बाउल में पोहा, मूंगफली, भुनी हुई चना दाल, करी पत्ता, सेव, बूंदी डालें और मिलाएँ। त्योहारों और विशेष अवसरों पर अपने मेहमानों को केसरी गुजिया और मसाला चाय के साथ अवल मिश्रण परोसें।</v>
      </c>
      <c r="J598" s="3" t="s">
        <v>33378</v>
      </c>
      <c r="L598" s="1" t="s">
        <v>31003</v>
      </c>
    </row>
    <row r="599" spans="1:12" ht="13.8">
      <c r="A599" s="1" t="s">
        <v>33379</v>
      </c>
      <c r="B599" s="1" t="str">
        <f ca="1">IFERROR(__xludf.dummyfunction("IF(A599="""", """", GOOGLETRANSLATE(A599, ""en"", ""hi""))"),"बादाम और काजू मशरूम करी रेसिपी")</f>
        <v>बादाम और काजू मशरूम करी रेसिपी</v>
      </c>
      <c r="C599" s="1" t="s">
        <v>14207</v>
      </c>
      <c r="D599" s="1" t="s">
        <v>14237</v>
      </c>
      <c r="E599" s="1">
        <v>45</v>
      </c>
      <c r="F599" s="1" t="s">
        <v>33380</v>
      </c>
      <c r="G599" s="1" t="str">
        <f ca="1">IFERROR(__xludf.dummyfunction("IF(F599="""", """", GOOGLETRANSLATE(F599, ""en"", ""hi""))"),"500 ग्राम बटन मशरूम - चौथाई या पूरे, 1 प्याज - बारीक कटा हुआ, 4 लहसुन के दाने - बारीक कटा हुआ, 1 इंच अदरक - बारीक कटा हुआ, 2 हरी मिर्च - बारीक कटी हुई, 1 बड़ा चम्मच तिल, 1 चम्मच खसखस, 5 बादाम, 5 काजू, 1/2 चम्मच काली मिर्च पाउडर, सूरजमुखी तेल - या पकाने के"&amp;" लिए मक्खन, 1 चम्मच गरम मसाला पाउडर, 1 धनिया पत्ती, नमक - स्वादानुसार")</f>
        <v>500 ग्राम बटन मशरूम - चौथाई या पूरे, 1 प्याज - बारीक कटा हुआ, 4 लहसुन के दाने - बारीक कटा हुआ, 1 इंच अदरक - बारीक कटा हुआ, 2 हरी मिर्च - बारीक कटी हुई, 1 बड़ा चम्मच तिल, 1 चम्मच खसखस, 5 बादाम, 5 काजू, 1/2 चम्मच काली मिर्च पाउडर, सूरजमुखी तेल - या पकाने के लिए मक्खन, 1 चम्मच गरम मसाला पाउडर, 1 धनिया पत्ती, नमक - स्वादानुसार</v>
      </c>
      <c r="H599" s="1" t="s">
        <v>33381</v>
      </c>
      <c r="I599" s="1" t="str">
        <f ca="1">IFERROR(__xludf.dummyfunction("IF(H599="""", """", GOOGLETRANSLATE(H599, ""en"", ""hi""))"),"बादाम और काजू मशरूम करी रेसिपी बनाने के लिए सबसे पहले सभी सामग्री तैयार कर लें और उन्हें एक तरफ रख दें, ताकि पकवान पकाने के लिए चीजें व्यवस्थित हो जाएं। सबसे पहले एक फूड ग्राइंडर में प्याज, अदरक, हरी मिर्च और लहसुन का पेस्ट बनाकर एक तरफ रख दें। इसके बाद उ"&amp;"सी फूड ग्राइंडर में बादाम, काजू और खसखस ​​को थोड़ा पानी डालकर चिकना पेस्ट बना लें। इसे एक तरफ रख दें। एक भारी तले वाले पैन में एक चम्मच मक्खन और प्याज का पेस्ट डालें और तब तक भूनें जब तक प्याज की कच्ची महक न चली जाए। इसमें काली मिर्च पाउडर और गरम मसाला पा"&amp;"उडर डालें और इसे अच्छे से हिलाएं। मशरूम डालें, थोड़ा नमक छिड़कें और मशरूम को तब तक भूनें जब तक कि वे आंशिक रूप से पक न जाएं। आपको यह तब पता चलेगा जब यह अपना तरल पदार्थ छोड़ना शुरू कर देगा। नमक और मसाले के स्तर की जाँच करें और अपने स्वाद के अनुसार समायोजित"&amp;" करें। मिश्रण को तेज़ उबालें और आप पाएंगे कि उबालने पर मिश्रण गाढ़ा हो जाता है। आप पानी डालकर बादाम मशरूम करी की स्थिरता को समायोजित कर सकते हैं। जब करी में तेज़ उबाल आ जाए और वह गाढ़ी होने लगे, तो आँच बंद कर दें। कटा हुआ हरा धनिया डालकर मिलाएँ और परोसें।"&amp;" बादाम और काजू मशरूम करी को ब्रोकली मिर्च पुलाव, पापड़ के साथ रात के खाने में परोसें या अपनी पार्टियों में भी बनाएँ।")</f>
        <v>बादाम और काजू मशरूम करी रेसिपी बनाने के लिए सबसे पहले सभी सामग्री तैयार कर लें और उन्हें एक तरफ रख दें, ताकि पकवान पकाने के लिए चीजें व्यवस्थित हो जाएं। सबसे पहले एक फूड ग्राइंडर में प्याज, अदरक, हरी मिर्च और लहसुन का पेस्ट बनाकर एक तरफ रख दें। इसके बाद उसी फूड ग्राइंडर में बादाम, काजू और खसखस ​​को थोड़ा पानी डालकर चिकना पेस्ट बना लें। इसे एक तरफ रख दें। एक भारी तले वाले पैन में एक चम्मच मक्खन और प्याज का पेस्ट डालें और तब तक भूनें जब तक प्याज की कच्ची महक न चली जाए। इसमें काली मिर्च पाउडर और गरम मसाला पाउडर डालें और इसे अच्छे से हिलाएं। मशरूम डालें, थोड़ा नमक छिड़कें और मशरूम को तब तक भूनें जब तक कि वे आंशिक रूप से पक न जाएं। आपको यह तब पता चलेगा जब यह अपना तरल पदार्थ छोड़ना शुरू कर देगा। नमक और मसाले के स्तर की जाँच करें और अपने स्वाद के अनुसार समायोजित करें। मिश्रण को तेज़ उबालें और आप पाएंगे कि उबालने पर मिश्रण गाढ़ा हो जाता है। आप पानी डालकर बादाम मशरूम करी की स्थिरता को समायोजित कर सकते हैं। जब करी में तेज़ उबाल आ जाए और वह गाढ़ी होने लगे, तो आँच बंद कर दें। कटा हुआ हरा धनिया डालकर मिलाएँ और परोसें। बादाम और काजू मशरूम करी को ब्रोकली मिर्च पुलाव, पापड़ के साथ रात के खाने में परोसें या अपनी पार्टियों में भी बनाएँ।</v>
      </c>
      <c r="J599" s="3" t="s">
        <v>33382</v>
      </c>
      <c r="L599" s="1" t="s">
        <v>31003</v>
      </c>
    </row>
    <row r="600" spans="1:12" ht="13.8">
      <c r="A600" s="1" t="s">
        <v>33383</v>
      </c>
      <c r="B600" s="1" t="str">
        <f ca="1">IFERROR(__xludf.dummyfunction("IF(A600="""", """", GOOGLETRANSLATE(A600, ""en"", ""hi""))"),"गोभी शिमला मिर्च सब्जी रेसिपी")</f>
        <v>गोभी शिमला मिर्च सब्जी रेसिपी</v>
      </c>
      <c r="C600" s="1" t="s">
        <v>14259</v>
      </c>
      <c r="D600" s="1" t="s">
        <v>14208</v>
      </c>
      <c r="E600" s="1">
        <v>20</v>
      </c>
      <c r="F600" s="1" t="s">
        <v>33384</v>
      </c>
      <c r="G600" s="1" t="str">
        <f ca="1">IFERROR(__xludf.dummyfunction("IF(F600="""", """", GOOGLETRANSLATE(F600, ""en"", ""hi""))"),"3 कप पत्तागोभी - बारीक कटी हुई, 1 छोटा चम्मच तेल, 1 शिमला मिर्च (हरी) - पतली कटी हुई, 1 छोटा चम्मच राई, 1 छोटा चम्मच जीरा, 2 सूखी लाल मिर्च, हींग - चुटकीभर, 1/4 छोटा चम्मच हल्दी पाउडर, 1 छोटा चम्मच धनिया पाउडर, 1/4 छोटा चम्मच लाल मिर्च पाउडर, नमक - स्वादा"&amp;"नुसार, 1 छोटा चम्मच नींबू का रस")</f>
        <v>3 कप पत्तागोभी - बारीक कटी हुई, 1 छोटा चम्मच तेल, 1 शिमला मिर्च (हरी) - पतली कटी हुई, 1 छोटा चम्मच राई, 1 छोटा चम्मच जीरा, 2 सूखी लाल मिर्च, हींग - चुटकीभर, 1/4 छोटा चम्मच हल्दी पाउडर, 1 छोटा चम्मच धनिया पाउडर, 1/4 छोटा चम्मच लाल मिर्च पाउडर, नमक - स्वादानुसार, 1 छोटा चम्मच नींबू का रस</v>
      </c>
      <c r="H600" s="1" t="s">
        <v>33385</v>
      </c>
      <c r="I600" s="1" t="str">
        <f ca="1">IFERROR(__xludf.dummyfunction("IF(H600="""", """", GOOGLETRANSLATE(H600, ""en"", ""hi""))"),"गोभी शिमला मिर्च की सब्जी बनाने के लिए सबसे पहले प्रेशर कुकर में 2 टेबल स्पून पानी डालकर गोभी डालकर 1 सीटी आने तक पकाएं। प्रेशर निकाल कर कुकर खोलें और एक तरफ रख दें। एक पैन में तेल गर्म करें। उसमें राई, जीरा डालकर चटकने दें। अब इसमें हींग, हल्दी पाउडर और "&amp;"सूखी लाल मिर्च डालें। 10 सेकंड बाद इसमें शिमला मिर्च डालें और नरम होने तक पकाएं। अब इसमें पकी हुई गोभी डालकर मिक्स करें। इसमें धनिया पाउडर, लाल मिर्च पाउडर, नमक डालकर मिक्स करें। पैन को ढककर 2 मिनट तक पकने दें। गैस बंद कर दें, नींबू का रस डालें और हरे धनि"&amp;"ए से गार्निश करें। गोभी शिमला मिर्च की सब्जी को पंचमेल दाल, बूंदी रायता और फुल्के के साथ सर्व करें।")</f>
        <v>गोभी शिमला मिर्च की सब्जी बनाने के लिए सबसे पहले प्रेशर कुकर में 2 टेबल स्पून पानी डालकर गोभी डालकर 1 सीटी आने तक पकाएं। प्रेशर निकाल कर कुकर खोलें और एक तरफ रख दें। एक पैन में तेल गर्म करें। उसमें राई, जीरा डालकर चटकने दें। अब इसमें हींग, हल्दी पाउडर और सूखी लाल मिर्च डालें। 10 सेकंड बाद इसमें शिमला मिर्च डालें और नरम होने तक पकाएं। अब इसमें पकी हुई गोभी डालकर मिक्स करें। इसमें धनिया पाउडर, लाल मिर्च पाउडर, नमक डालकर मिक्स करें। पैन को ढककर 2 मिनट तक पकने दें। गैस बंद कर दें, नींबू का रस डालें और हरे धनिए से गार्निश करें। गोभी शिमला मिर्च की सब्जी को पंचमेल दाल, बूंदी रायता और फुल्के के साथ सर्व करें।</v>
      </c>
      <c r="J600" s="3" t="s">
        <v>33386</v>
      </c>
      <c r="L600" s="1" t="s">
        <v>31003</v>
      </c>
    </row>
    <row r="601" spans="1:12" ht="13.8">
      <c r="A601" s="1" t="s">
        <v>33387</v>
      </c>
      <c r="B601" s="1" t="str">
        <f ca="1">IFERROR(__xludf.dummyfunction("IF(A601="""", """", GOOGLETRANSLATE(A601, ""en"", ""hi""))"),"मखमली राजमा कबाब रेसिपी")</f>
        <v>मखमली राजमा कबाब रेसिपी</v>
      </c>
      <c r="C601" s="1" t="s">
        <v>14572</v>
      </c>
      <c r="D601" s="1" t="s">
        <v>14198</v>
      </c>
      <c r="E601" s="1">
        <v>55</v>
      </c>
      <c r="F601" s="1" t="s">
        <v>33388</v>
      </c>
      <c r="G601" s="1" t="str">
        <f ca="1">IFERROR(__xludf.dummyfunction("IF(F601="""", """", GOOGLETRANSLATE(F601, ""en"", ""hi""))"),"250 ग्राम राजमा - नरम होने तक पकाए हुए, 2 प्याज - बारीक कटे हुए, 3 लहसुन के दाने - बारीक कटे हुए, 1 इंच अदरक - कद्दूकस किया हुआ, 4 हरी मिर्च - बारीक कटी हुई, 1 टहनी धनिया - बारीक कटी हुई, 2 छोटे चम्मच जीरा - भुना हुआ, 2 छोटे चम्मच धनिया पाउडर, 1 छोटा चम्म"&amp;"च आमचूर, 1 छोटा चम्मच लाल मिर्च पाउडर, 1 छोटा चम्मच गरम मसाला पाउडर, 1 बड़ा चम्मच भुना हुआ सत्तू का आटा, 1 छोटा चम्मच चीनी, नमक, सूरजमुखी का तेल, 3 बड़े चम्मच खोया - कद्दूकस किया हुआ")</f>
        <v>250 ग्राम राजमा - नरम होने तक पकाए हुए, 2 प्याज - बारीक कटे हुए, 3 लहसुन के दाने - बारीक कटे हुए, 1 इंच अदरक - कद्दूकस किया हुआ, 4 हरी मिर्च - बारीक कटी हुई, 1 टहनी धनिया - बारीक कटी हुई, 2 छोटे चम्मच जीरा - भुना हुआ, 2 छोटे चम्मच धनिया पाउडर, 1 छोटा चम्मच आमचूर, 1 छोटा चम्मच लाल मिर्च पाउडर, 1 छोटा चम्मच गरम मसाला पाउडर, 1 बड़ा चम्मच भुना हुआ सत्तू का आटा, 1 छोटा चम्मच चीनी, नमक, सूरजमुखी का तेल, 3 बड़े चम्मच खोया - कद्दूकस किया हुआ</v>
      </c>
      <c r="H601" s="1" t="s">
        <v>33389</v>
      </c>
      <c r="I601" s="1" t="str">
        <f ca="1">IFERROR(__xludf.dummyfunction("IF(H601="""", """", GOOGLETRANSLATE(H601, ""en"", ""hi""))"),"मखमली राजमा कबाब रेसिपी बनाने के लिए सबसे पहले पके हुए राजमा से अतिरिक्त पानी निकाल दें। पके हुए राजमा को लगभग मुलायम होने तक मैश करें। खोया और तेल को छोड़कर सारी सामग्री डालें और कबाब का आटा गूंथने के लिए अच्छी तरह मिलाएँ। नमक और मसाले चैक करें और अपने स"&amp;"्वादानुसार समायोजित करें। आटे को 15 बराबर भागों में बाँट लें (या अपनी पसंद के अनुसार) और इसे गोल आकार दें और राजमा कबाब को थोड़ा चपटा करें। एक कड़ाही को मध्यम आँच पर गर्म करें, उस पर मखमली राजमा कबाब रखें, कबाब के ऊपर थोड़ा तेल छिड़कें और दोनों तरफ से भूर"&amp;"ा और कुरकुरा होने तक पकाएँ। एक बार भूरा और कुरकुरा हो जाने पर, आँच को कम कर दें और प्रत्येक कबाब पर थोड़ा खोया छिड़कें। मखमली राजमा कबाब को प्याज़ के सलाद और नींबू के टुकड़ों के साथ परोसें। गार्निश के लिए थोड़ा कसा हुआ खोया छिड़कें और पार्टियों में ऐपेटाइ"&amp;"ज़र के रूप में गरमागरम परोसें, साथ में रेड पिकांटे साल्सा रेसिपी या देसी धनिया पुदीना चटनी जैसी डिप्स भी खाएँ।")</f>
        <v>मखमली राजमा कबाब रेसिपी बनाने के लिए सबसे पहले पके हुए राजमा से अतिरिक्त पानी निकाल दें। पके हुए राजमा को लगभग मुलायम होने तक मैश करें। खोया और तेल को छोड़कर सारी सामग्री डालें और कबाब का आटा गूंथने के लिए अच्छी तरह मिलाएँ। नमक और मसाले चैक करें और अपने स्वादानुसार समायोजित करें। आटे को 15 बराबर भागों में बाँट लें (या अपनी पसंद के अनुसार) और इसे गोल आकार दें और राजमा कबाब को थोड़ा चपटा करें। एक कड़ाही को मध्यम आँच पर गर्म करें, उस पर मखमली राजमा कबाब रखें, कबाब के ऊपर थोड़ा तेल छिड़कें और दोनों तरफ से भूरा और कुरकुरा होने तक पकाएँ। एक बार भूरा और कुरकुरा हो जाने पर, आँच को कम कर दें और प्रत्येक कबाब पर थोड़ा खोया छिड़कें। मखमली राजमा कबाब को प्याज़ के सलाद और नींबू के टुकड़ों के साथ परोसें। गार्निश के लिए थोड़ा कसा हुआ खोया छिड़कें और पार्टियों में ऐपेटाइज़र के रूप में गरमागरम परोसें, साथ में रेड पिकांटे साल्सा रेसिपी या देसी धनिया पुदीना चटनी जैसी डिप्स भी खाएँ।</v>
      </c>
      <c r="J601" s="3" t="s">
        <v>33390</v>
      </c>
      <c r="L601" s="1" t="s">
        <v>31003</v>
      </c>
    </row>
    <row r="602" spans="1:12" ht="13.8">
      <c r="A602" s="1" t="s">
        <v>33391</v>
      </c>
      <c r="B602" s="1" t="str">
        <f ca="1">IFERROR(__xludf.dummyfunction("IF(A602="""", """", GOOGLETRANSLATE(A602, ""en"", ""hi""))"),"गोंद पानी रेसिपी - स्वीट गम ट्री बादाम ड्रिंक रेसिपी")</f>
        <v>गोंद पानी रेसिपी - स्वीट गम ट्री बादाम ड्रिंक रेसिपी</v>
      </c>
      <c r="C602" s="1" t="s">
        <v>14281</v>
      </c>
      <c r="D602" s="1" t="s">
        <v>14198</v>
      </c>
      <c r="E602" s="1">
        <v>30</v>
      </c>
      <c r="F602" s="1" t="s">
        <v>33392</v>
      </c>
      <c r="G602" s="1" t="str">
        <f ca="1">IFERROR(__xludf.dummyfunction("IF(F602="""", """", GOOGLETRANSLATE(F602, ""en"", ""hi""))"),"1 चम्मच घी, 2 बड़े चम्मच गोंद, 2 बड़े चम्मच गुड़ - पाउडर, 5 बादाम - कटे हुए")</f>
        <v>1 चम्मच घी, 2 बड़े चम्मच गोंद, 2 बड़े चम्मच गुड़ - पाउडर, 5 बादाम - कटे हुए</v>
      </c>
      <c r="H602" s="1" t="s">
        <v>33393</v>
      </c>
      <c r="I602" s="1" t="str">
        <f ca="1">IFERROR(__xludf.dummyfunction("IF(H602="""", """", GOOGLETRANSLATE(H602, ""en"", ""hi""))"),"हम गोंद पानी रेसिपी (स्वीट गम ट्री बादाम ड्रिंक रेसिपी) बनाना शुरू करते हैं एक फ्लैट नॉनस्टिक पैन में घी गर्म करके गोंद के पेड़ को लगभग 10 मिनट तक भूनते हैं। तब तक भूनें जब तक गोंद का पेड़ अपारदर्शी न हो जाए और आकार में बढ़ न जाए। फिर बाद में धीरे-धीरे गु"&amp;"ड़ के साथ 1 कप पानी डालें और तब तक मिलाते रहें जब तक गोंद का पेड़ धीरे-धीरे पानी में घुल न जाए। जब ​​पानी गाढ़ा हो जाए तो इसमें कटे हुए बादाम डालें और इसे हिलाएं। आपका गोंद पानी (स्वीट गम ट्री बादाम ड्रिंक) गर्म परोसने के लिए तैयार है।")</f>
        <v>हम गोंद पानी रेसिपी (स्वीट गम ट्री बादाम ड्रिंक रेसिपी) बनाना शुरू करते हैं एक फ्लैट नॉनस्टिक पैन में घी गर्म करके गोंद के पेड़ को लगभग 10 मिनट तक भूनते हैं। तब तक भूनें जब तक गोंद का पेड़ अपारदर्शी न हो जाए और आकार में बढ़ न जाए। फिर बाद में धीरे-धीरे गुड़ के साथ 1 कप पानी डालें और तब तक मिलाते रहें जब तक गोंद का पेड़ धीरे-धीरे पानी में घुल न जाए। जब ​​पानी गाढ़ा हो जाए तो इसमें कटे हुए बादाम डालें और इसे हिलाएं। आपका गोंद पानी (स्वीट गम ट्री बादाम ड्रिंक) गर्म परोसने के लिए तैयार है।</v>
      </c>
      <c r="J602" s="3" t="s">
        <v>33394</v>
      </c>
      <c r="L602" s="1" t="s">
        <v>31003</v>
      </c>
    </row>
    <row r="603" spans="1:12" ht="13.8">
      <c r="A603" s="1" t="s">
        <v>33395</v>
      </c>
      <c r="B603" s="1" t="str">
        <f ca="1">IFERROR(__xludf.dummyfunction("IF(A603="""", """", GOOGLETRANSLATE(A603, ""en"", ""hi""))"),"दही तुरई की सब्जी रेसिपी (दही करी में उबली लौकी की सब्जी रेसिपी)")</f>
        <v>दही तुरई की सब्जी रेसिपी (दही करी में उबली लौकी की सब्जी रेसिपी)</v>
      </c>
      <c r="C603" s="1" t="s">
        <v>145</v>
      </c>
      <c r="D603" s="1" t="s">
        <v>14198</v>
      </c>
      <c r="E603" s="1">
        <v>35</v>
      </c>
      <c r="F603" s="1" t="s">
        <v>33396</v>
      </c>
      <c r="G603" s="1" t="str">
        <f ca="1">IFERROR(__xludf.dummyfunction("IF(F603="""", """", GOOGLETRANSLATE(F603, ""en"", ""hi""))"),"300 ग्राम तुरई - छीलकर टुकड़ों में कटी हुई, 1 बड़ा चम्मच बेसन, 1/2 छोटा चम्मच चीनी, 1/2 छोटा चम्मच हल्दी, 2 हरी मिर्च - कटी हुई, 1/2 कप दही - फेंटा हुआ, 2 टमाटर - कद्दूकस किया हुआ, 1 तेज पत्ता, 1 छोटा चम्मच कलौंजी, 1/2 छोटा चम्मच सूरजमुखी तेल, नमक - स्वाद"&amp;"ानुसार, 1 छोटा चम्मच घी, 1/2 छोटा चम्मच जीरा, 1 सूखी लाल मिर्च - टूटी हुई, 1 इंच दालचीनी - टूटी हुई")</f>
        <v>300 ग्राम तुरई - छीलकर टुकड़ों में कटी हुई, 1 बड़ा चम्मच बेसन, 1/2 छोटा चम्मच चीनी, 1/2 छोटा चम्मच हल्दी, 2 हरी मिर्च - कटी हुई, 1/2 कप दही - फेंटा हुआ, 2 टमाटर - कद्दूकस किया हुआ, 1 तेज पत्ता, 1 छोटा चम्मच कलौंजी, 1/2 छोटा चम्मच सूरजमुखी तेल, नमक - स्वादानुसार, 1 छोटा चम्मच घी, 1/2 छोटा चम्मच जीरा, 1 सूखी लाल मिर्च - टूटी हुई, 1 इंच दालचीनी - टूटी हुई</v>
      </c>
      <c r="H603" s="1" t="s">
        <v>33397</v>
      </c>
      <c r="I603" s="1" t="str">
        <f ca="1">IFERROR(__xludf.dummyfunction("IF(H603="""", """", GOOGLETRANSLATE(H603, ""en"", ""hi""))"),"दही तुरई की सब्ज़ी बनाने के लिए सबसे पहले सारी सामग्री तैयार करके रख लें। दही, नमक और बेसन को एक छोटे से मिक्सिंग बाउल में डालकर चिकना होने तक फेंटें। इसमें 1 कप पानी डालें और फिर से अच्छी तरह फेंटें। मध्यम आँच पर भारी तले की कड़ाही में तेल गर्म करें। इसम"&amp;"ें कलौंजी डालें और इसे चटकने दें। इसमें कसा हुआ टमाटर, हरी मिर्च, तेज पत्ता और हल्दी पाउडर डालें। कुछ मिनट तक भूनें, जब तक कि टमाटर में बुलबुले न आने लगें। इसमें कटी हुई तुरई, फेंटा हुआ दही, चीनी डालकर अच्छी तरह मिलाएँ। मिश्रण को तब तक हिलाते रहें, जब तक "&amp;"कि करी में बुलबुले न आने लगें। ऐसा इसलिए करना है ताकि दही करी में गांठ न बने। जब आपको मिश्रण में बुलबुले दिखने लगें, तो आँच को धीमा कर दें और 3 से 4 मिनट तक उबालें, ताकि स्वाद अच्छी तरह मिल जाए और तुरई अच्छी तरह पक जाए। हो जाने पर, नमक की जाँच करें और अपन"&amp;"े स्वादानुसार नमक मिला लें। आँच बंद कर दें और एक सर्विंग बाउल में निकाल लें। तड़का पैन में घी गरम करें, जीरा, दालचीनी और लाल मिर्च चटकाएँ। दही तुरई की सब्ज़ी में मसाला डालें और गरमागरम परोसें। दही तुरई की सब्ज़ी को फुल्के, आलू रोस्ट और गाजर सलाद के साथ पर"&amp;"ोसें और एक पौष्टिक डिनर का आनंद लें।")</f>
        <v>दही तुरई की सब्ज़ी बनाने के लिए सबसे पहले सारी सामग्री तैयार करके रख लें। दही, नमक और बेसन को एक छोटे से मिक्सिंग बाउल में डालकर चिकना होने तक फेंटें। इसमें 1 कप पानी डालें और फिर से अच्छी तरह फेंटें। मध्यम आँच पर भारी तले की कड़ाही में तेल गर्म करें। इसमें कलौंजी डालें और इसे चटकने दें। इसमें कसा हुआ टमाटर, हरी मिर्च, तेज पत्ता और हल्दी पाउडर डालें। कुछ मिनट तक भूनें, जब तक कि टमाटर में बुलबुले न आने लगें। इसमें कटी हुई तुरई, फेंटा हुआ दही, चीनी डालकर अच्छी तरह मिलाएँ। मिश्रण को तब तक हिलाते रहें, जब तक कि करी में बुलबुले न आने लगें। ऐसा इसलिए करना है ताकि दही करी में गांठ न बने। जब आपको मिश्रण में बुलबुले दिखने लगें, तो आँच को धीमा कर दें और 3 से 4 मिनट तक उबालें, ताकि स्वाद अच्छी तरह मिल जाए और तुरई अच्छी तरह पक जाए। हो जाने पर, नमक की जाँच करें और अपने स्वादानुसार नमक मिला लें। आँच बंद कर दें और एक सर्विंग बाउल में निकाल लें। तड़का पैन में घी गरम करें, जीरा, दालचीनी और लाल मिर्च चटकाएँ। दही तुरई की सब्ज़ी में मसाला डालें और गरमागरम परोसें। दही तुरई की सब्ज़ी को फुल्के, आलू रोस्ट और गाजर सलाद के साथ परोसें और एक पौष्टिक डिनर का आनंद लें।</v>
      </c>
      <c r="J603" s="3" t="s">
        <v>33398</v>
      </c>
      <c r="L603" s="1" t="s">
        <v>31003</v>
      </c>
    </row>
    <row r="604" spans="1:12" ht="13.8">
      <c r="A604" s="1" t="s">
        <v>33399</v>
      </c>
      <c r="B604" s="1" t="str">
        <f ca="1">IFERROR(__xludf.dummyfunction("IF(A604="""", """", GOOGLETRANSLATE(A604, ""en"", ""hi""))"),"मुर्ग बादामी रेसिपी - बादाम ग्रेवी में चिकन")</f>
        <v>मुर्ग बादामी रेसिपी - बादाम ग्रेवी में चिकन</v>
      </c>
      <c r="C604" s="1" t="s">
        <v>14207</v>
      </c>
      <c r="D604" s="1" t="s">
        <v>14382</v>
      </c>
      <c r="E604" s="1">
        <v>95</v>
      </c>
      <c r="F604" s="1" t="s">
        <v>33400</v>
      </c>
      <c r="G604" s="1" t="str">
        <f ca="1">IFERROR(__xludf.dummyfunction("IF(F604="""", """", GOOGLETRANSLATE(F604, ""en"", ""hi""))"),"1 किलो चिकन, 30 बादाम - उबालकर, 2 प्याज - मोटा कटा हुआ और पेस्ट बनाया हुआ (4 बड़े चम्मच की आवश्यकता), 1-1/2 बड़ा चम्मच अदरक लहसुन पेस्ट, 2 छोटे चम्मच लाल मिर्च पाउडर, 4 सूखी लाल मिर्च, 1/2 छोटा चम्मच हल्दी पाउडर, नमक - स्वादानुसार, 4 बड़े चम्मच खसखस ​​- भ"&amp;"िगोया हुआ, 2 दालचीनी, 6 लौंग, 1 तेज पत्ता, 1 बड़ा चम्मच इलायची, 1 छोटा चम्मच सफेद मिर्च पाउडर, 1/4 छोटा चम्मच जीरा, 1 कप दही, 4 बड़े चम्मच घी, 1 बड़ा चम्मच ताजा क्रीम - (वैकल्पिक), धनिया पत्ती - गार्निश के लिए")</f>
        <v>1 किलो चिकन, 30 बादाम - उबालकर, 2 प्याज - मोटा कटा हुआ और पेस्ट बनाया हुआ (4 बड़े चम्मच की आवश्यकता), 1-1/2 बड़ा चम्मच अदरक लहसुन पेस्ट, 2 छोटे चम्मच लाल मिर्च पाउडर, 4 सूखी लाल मिर्च, 1/2 छोटा चम्मच हल्दी पाउडर, नमक - स्वादानुसार, 4 बड़े चम्मच खसखस ​​- भिगोया हुआ, 2 दालचीनी, 6 लौंग, 1 तेज पत्ता, 1 बड़ा चम्मच इलायची, 1 छोटा चम्मच सफेद मिर्च पाउडर, 1/4 छोटा चम्मच जीरा, 1 कप दही, 4 बड़े चम्मच घी, 1 बड़ा चम्मच ताजा क्रीम - (वैकल्पिक), धनिया पत्ती - गार्निश के लिए</v>
      </c>
      <c r="H604" s="1" t="s">
        <v>33401</v>
      </c>
      <c r="I604" s="1" t="str">
        <f ca="1">IFERROR(__xludf.dummyfunction("IF(H604="""", """", GOOGLETRANSLATE(H604, ""en"", ""hi""))"),"मुर्ग बादामी रेसिपी बनाने के लिए, सभी जरूरी सामग्री तैयार कर लें। साफ किए हुए चिकन को एक बड़े बाउल में डालें, उसमें दही, अदरक, लहसुन का पेस्ट, आधा लाल मिर्च पाउडर, नमक और हल्दी पाउडर डालें। अच्छी तरह मिलाएँ और 1/2 घंटे के लिए मैरीनेट होने के लिए रख दें। उ"&amp;"बले हुए बादाम को छील लें। 5 बादाम को बारीक काट लें और उन्हें गार्निश करने के लिए रख दें। एक चौड़े मोटे तले वाले पैन में लौंग, सफेद काली मिर्च, लाल मिर्च, दालचीनी, जीरा को सूखा भून लें, ठंडा करें और बारीक पाउडर बना लें। एक मिक्सर में भिगोए हुए खसखस ​​और उब"&amp;"ले हुए बादाम को एक साथ पीसकर चिकना, बारीक पेस्ट बना लें। एक भारी तले वाले पैन में घी गर्म करें और उसमें प्याज का पेस्ट डालें। हल्का भूरा होने तक और कच्ची महक गायब होने तक भूनें। बादाम के टुकड़े और धनिया से गार्निश करें। मुर्ग बादामी रेसिपी को लच्छा पराठा "&amp;"रेसिपी के साथ और कचुम्बर सलाद रेसिपी को खीरा, प्याज और टमाटर के साथ संपूर्ण भोजन के लिए परोसें।")</f>
        <v>मुर्ग बादामी रेसिपी बनाने के लिए, सभी जरूरी सामग्री तैयार कर लें। साफ किए हुए चिकन को एक बड़े बाउल में डालें, उसमें दही, अदरक, लहसुन का पेस्ट, आधा लाल मिर्च पाउडर, नमक और हल्दी पाउडर डालें। अच्छी तरह मिलाएँ और 1/2 घंटे के लिए मैरीनेट होने के लिए रख दें। उबले हुए बादाम को छील लें। 5 बादाम को बारीक काट लें और उन्हें गार्निश करने के लिए रख दें। एक चौड़े मोटे तले वाले पैन में लौंग, सफेद काली मिर्च, लाल मिर्च, दालचीनी, जीरा को सूखा भून लें, ठंडा करें और बारीक पाउडर बना लें। एक मिक्सर में भिगोए हुए खसखस ​​और उबले हुए बादाम को एक साथ पीसकर चिकना, बारीक पेस्ट बना लें। एक भारी तले वाले पैन में घी गर्म करें और उसमें प्याज का पेस्ट डालें। हल्का भूरा होने तक और कच्ची महक गायब होने तक भूनें। बादाम के टुकड़े और धनिया से गार्निश करें। मुर्ग बादामी रेसिपी को लच्छा पराठा रेसिपी के साथ और कचुम्बर सलाद रेसिपी को खीरा, प्याज और टमाटर के साथ संपूर्ण भोजन के लिए परोसें।</v>
      </c>
      <c r="J604" s="3" t="s">
        <v>33402</v>
      </c>
      <c r="L604" s="1" t="s">
        <v>31003</v>
      </c>
    </row>
    <row r="605" spans="1:12" ht="13.8">
      <c r="A605" s="1" t="s">
        <v>33403</v>
      </c>
      <c r="B605" s="1" t="str">
        <f ca="1">IFERROR(__xludf.dummyfunction("IF(A605="""", """", GOOGLETRANSLATE(A605, ""en"", ""hi""))"),"मसालेदार दलिया पुलाव रेसिपी - टूटे हुए गेहूं पुलाव")</f>
        <v>मसालेदार दलिया पुलाव रेसिपी - टूटे हुए गेहूं पुलाव</v>
      </c>
      <c r="C605" s="1" t="s">
        <v>145</v>
      </c>
      <c r="D605" s="1" t="s">
        <v>14198</v>
      </c>
      <c r="E605" s="1">
        <v>50</v>
      </c>
      <c r="F605" s="1" t="s">
        <v>33404</v>
      </c>
      <c r="G605" s="1" t="str">
        <f ca="1">IFERROR(__xludf.dummyfunction("IF(F605="""", """", GOOGLETRANSLATE(F605, ""en"", ""hi""))"),"1 कप टूटा हुआ गेहूं (दलिया / गोदुमई रवा), पानी - आवश्यकतानुसार, 2 प्याज - बारीक कटा हुआ, 1 गाजर (गज्जर) - बारीक कटा हुआ, 5 हरी बीन्स (फ्रेंच बीन्स) - बारीक कटी हुई, 2 हरी मिर्च - बारीक कटी हुई, 1/2 चम्मच हल्दी पाउडर (हल्दी), 1/2 चम्मच जीरा (जीरा), नमक - स"&amp;"्वादानुसार, 1/2 चम्मच गरम मसाला पाउडर, 1 चम्मच लाल मिर्च पाउडर, 2 टमाटर - कटा हुआ, 1 चम्मच अदरक लहसुन पेस्ट, 1 तेज पत्ता (तेज पत्ता), 1 चम्मच लाल मिर्च पाउडर, 2 टमाटर - कटा हुआ, 1 चम्मच अदरक लहसुन पेस्ट, धनिया (धनिया) के पत्ते - गार्निश के लिए बारीक कटा ह"&amp;"ुआ")</f>
        <v>1 कप टूटा हुआ गेहूं (दलिया / गोदुमई रवा), पानी - आवश्यकतानुसार, 2 प्याज - बारीक कटा हुआ, 1 गाजर (गज्जर) - बारीक कटा हुआ, 5 हरी बीन्स (फ्रेंच बीन्स) - बारीक कटी हुई, 2 हरी मिर्च - बारीक कटी हुई, 1/2 चम्मच हल्दी पाउडर (हल्दी), 1/2 चम्मच जीरा (जीरा), नमक - स्वादानुसार, 1/2 चम्मच गरम मसाला पाउडर, 1 चम्मच लाल मिर्च पाउडर, 2 टमाटर - कटा हुआ, 1 चम्मच अदरक लहसुन पेस्ट, 1 तेज पत्ता (तेज पत्ता), 1 चम्मच लाल मिर्च पाउडर, 2 टमाटर - कटा हुआ, 1 चम्मच अदरक लहसुन पेस्ट, धनिया (धनिया) के पत्ते - गार्निश के लिए बारीक कटा हुआ</v>
      </c>
      <c r="H605" s="1" t="s">
        <v>33405</v>
      </c>
      <c r="I605" s="1" t="str">
        <f ca="1">IFERROR(__xludf.dummyfunction("IF(H605="""", """", GOOGLETRANSLATE(H605, ""en"", ""hi""))"),"मसालेदार दलिया पुलाव रेसिपी बनाने के लिए सबसे पहले हमें दलिया को अच्छी खुशबू आने तक भूनना होगा। इसके लिए एक कड़ाही में धीमी आंच पर 1 चम्मच घी गर्म करें, उसमें दलिया डालें और उसे गहरा भूरा होने तक भूनें। इसमें 5 मिनट का समय लगेगा। अब आंच बंद कर दें और अलग "&amp;"रख दें। प्रेशर कुकर में 1 चम्मच तेल डालें और मध्यम आंच पर गर्म करें, अब उसमें तेज पत्ता और जीरा डालें और उसे तड़कने दें। इसके बाद कटा हुआ प्याज डालें और उसे पारभासी होने तक भूनें। इसमें अदरक लहसुन का पेस्ट, हरी मिर्च, गाजर, बीन्स और कटे हुए टमाटर डालें और"&amp;" दो मिनट तक भूनें। 3 - 4 मिनट तक भूनना जारी रखें। नमक, मसाले- हल्दी पाउडर, गरम मसाला पाउडर और लाल मिर्च पाउडर डालें और मिलाएँ गरमागरम परोसें। मसालेदार दलिया पुलाव को बुरानी रायता के साथ परोसा जा सकता है और इस साधारण भोजन को मिक्स नट्स रबड़ी के साथ डबल का "&amp;"मीठा रेसिपी के साथ समाप्त करें।")</f>
        <v>मसालेदार दलिया पुलाव रेसिपी बनाने के लिए सबसे पहले हमें दलिया को अच्छी खुशबू आने तक भूनना होगा। इसके लिए एक कड़ाही में धीमी आंच पर 1 चम्मच घी गर्म करें, उसमें दलिया डालें और उसे गहरा भूरा होने तक भूनें। इसमें 5 मिनट का समय लगेगा। अब आंच बंद कर दें और अलग रख दें। प्रेशर कुकर में 1 चम्मच तेल डालें और मध्यम आंच पर गर्म करें, अब उसमें तेज पत्ता और जीरा डालें और उसे तड़कने दें। इसके बाद कटा हुआ प्याज डालें और उसे पारभासी होने तक भूनें। इसमें अदरक लहसुन का पेस्ट, हरी मिर्च, गाजर, बीन्स और कटे हुए टमाटर डालें और दो मिनट तक भूनें। 3 - 4 मिनट तक भूनना जारी रखें। नमक, मसाले- हल्दी पाउडर, गरम मसाला पाउडर और लाल मिर्च पाउडर डालें और मिलाएँ गरमागरम परोसें। मसालेदार दलिया पुलाव को बुरानी रायता के साथ परोसा जा सकता है और इस साधारण भोजन को मिक्स नट्स रबड़ी के साथ डबल का मीठा रेसिपी के साथ समाप्त करें।</v>
      </c>
      <c r="J605" s="3" t="s">
        <v>33406</v>
      </c>
      <c r="L605" s="1" t="s">
        <v>31003</v>
      </c>
    </row>
    <row r="606" spans="1:12" ht="13.8">
      <c r="A606" s="1" t="s">
        <v>33407</v>
      </c>
      <c r="B606" s="1" t="str">
        <f ca="1">IFERROR(__xludf.dummyfunction("IF(A606="""", """", GOOGLETRANSLATE(A606, ""en"", ""hi""))"),"पनीर कालीमिर्च")</f>
        <v>पनीर कालीमिर्च</v>
      </c>
      <c r="C606" s="1" t="s">
        <v>14207</v>
      </c>
      <c r="D606" s="1" t="s">
        <v>14237</v>
      </c>
      <c r="E606" s="1">
        <v>55</v>
      </c>
      <c r="F606" s="1" t="s">
        <v>33408</v>
      </c>
      <c r="G606" s="1" t="str">
        <f ca="1">IFERROR(__xludf.dummyfunction("IF(F606="""", """", GOOGLETRANSLATE(F606, ""en"", ""hi""))"),"250 ग्राम पनीर, 1/4 कप क्रीम, 2 बड़े चम्मच दूध, 1/4 चम्मच हल्दी पाउडर, 1 चम्मच गरम मसाला पाउडर, 2 चम्मच साबुत काली मिर्च - पिसी हुई, नमक - स्वादानुसार, तेल - प्रयोगानुसार, 1 प्याज - कटा हुआ, 1/4 कप काजू, 4 लहसुन की कलियां, 1 इंच अदरक - छिला व कटा हुआ, 4 ल"&amp;"हसुन की कलियां - बारीक कटी हुई, 2 बड़े चम्मच तेल, काली मिर्च पाउडर - चुटकीभर")</f>
        <v>250 ग्राम पनीर, 1/4 कप क्रीम, 2 बड़े चम्मच दूध, 1/4 चम्मच हल्दी पाउडर, 1 चम्मच गरम मसाला पाउडर, 2 चम्मच साबुत काली मिर्च - पिसी हुई, नमक - स्वादानुसार, तेल - प्रयोगानुसार, 1 प्याज - कटा हुआ, 1/4 कप काजू, 4 लहसुन की कलियां, 1 इंच अदरक - छिला व कटा हुआ, 4 लहसुन की कलियां - बारीक कटी हुई, 2 बड़े चम्मच तेल, काली मिर्च पाउडर - चुटकीभर</v>
      </c>
      <c r="H606" s="1" t="s">
        <v>33409</v>
      </c>
      <c r="I606" s="1" t="str">
        <f ca="1">IFERROR(__xludf.dummyfunction("IF(H606="""", """", GOOGLETRANSLATE(H606, ""en"", ""hi""))"),"""पनीर काली मिर्च बनाने के लिए सबसे पहले प्याज, काजू, लहसुन, अदरक को मिक्सर ग्राइंडर में डालकर पेस्ट बना लें। इसे एक तरफ रख दें। पनीर को टुकड़ों में काट लें। एक पैन पर एक चम्मच तेल गर्म करें और उस पर पनीर के टुकड़े डालें। दोनों तरफ से सुनहरा होने तक पकाएँ"&amp;" और एक तरफ रख दें। अब एक पैन में तेल गर्म करें। इसमें प्याज का मिश्रण डालें और 2 मिनट तक पकने दें। इसके बाद इसमें क्रीम और दूध डालें। इसे मिलाएँ। इसमें नमक, हल्दी पाउडर, गरम मसाला पाउडर डालें और 3 मिनट तक पकने दें। थोड़ा पानी डालें और 1 मिनट और पकाएँ। अब "&amp;"इसमें काली मिर्च और पनीर डालें। इसे मिलाएँ और 3 से 4 मिनट तक पकने दें। गैस बंद कर दें और इसे एक बाउल में निकाल लें। अब एक तड़का पैन में तेल गर्म करें। इसमें लहसुन डालें और सुनहरा होने तक पकाएँ। इस तड़के को एक बाउल में डालें और ऊपर से थोड़ी काली मिर्च छिड़"&amp;"कें। परोसें। पनीर काली मिर्च को रात में पालक रायता और तवा पराठा के साथ परोसें। रात के खाने में परोसें।")</f>
        <v>"पनीर काली मिर्च बनाने के लिए सबसे पहले प्याज, काजू, लहसुन, अदरक को मिक्सर ग्राइंडर में डालकर पेस्ट बना लें। इसे एक तरफ रख दें। पनीर को टुकड़ों में काट लें। एक पैन पर एक चम्मच तेल गर्म करें और उस पर पनीर के टुकड़े डालें। दोनों तरफ से सुनहरा होने तक पकाएँ और एक तरफ रख दें। अब एक पैन में तेल गर्म करें। इसमें प्याज का मिश्रण डालें और 2 मिनट तक पकने दें। इसके बाद इसमें क्रीम और दूध डालें। इसे मिलाएँ। इसमें नमक, हल्दी पाउडर, गरम मसाला पाउडर डालें और 3 मिनट तक पकने दें। थोड़ा पानी डालें और 1 मिनट और पकाएँ। अब इसमें काली मिर्च और पनीर डालें। इसे मिलाएँ और 3 से 4 मिनट तक पकने दें। गैस बंद कर दें और इसे एक बाउल में निकाल लें। अब एक तड़का पैन में तेल गर्म करें। इसमें लहसुन डालें और सुनहरा होने तक पकाएँ। इस तड़के को एक बाउल में डालें और ऊपर से थोड़ी काली मिर्च छिड़कें। परोसें। पनीर काली मिर्च को रात में पालक रायता और तवा पराठा के साथ परोसें। रात के खाने में परोसें।</v>
      </c>
      <c r="J606" s="3" t="s">
        <v>33410</v>
      </c>
      <c r="L606" s="1" t="s">
        <v>31003</v>
      </c>
    </row>
    <row r="607" spans="1:12" ht="409.6">
      <c r="A607" s="1" t="s">
        <v>33411</v>
      </c>
      <c r="B607" s="1" t="str">
        <f ca="1">IFERROR(__xludf.dummyfunction("IF(A607="""", """", GOOGLETRANSLATE(A607, ""en"", ""hi""))"),"तंदूरी मसाला के साथ अनानास मशरूम टिक्का रेसिपी")</f>
        <v>तंदूरी मसाला के साथ अनानास मशरूम टिक्का रेसिपी</v>
      </c>
      <c r="C607" s="1" t="s">
        <v>14572</v>
      </c>
      <c r="D607" s="1" t="s">
        <v>14198</v>
      </c>
      <c r="E607" s="1">
        <v>90</v>
      </c>
      <c r="F607" s="1" t="s">
        <v>33412</v>
      </c>
      <c r="G607" s="1" t="str">
        <f ca="1">IFERROR(__xludf.dummyfunction("IF(F607="""", """", GOOGLETRANSLATE(F607, ""en"", ""hi""))"),"250 ग्राम बटन मशरूम, 2 हरी शिमला मिर्च - कटे हुए, 1 कप अनानास - कटे हुए, 1 प्याज - कटे हुए, 3 बड़े चम्मच बेसन, 1/4 कप दही, 1 चम्मच अदरक लहसुन पेस्ट, 1/4 चम्मच हल्दी पाउडर, 1 चम्मच लाल मिर्च पाउडर, 1 बड़ा चम्मच तंदूरी मसाला, 1 चम्मच कसूरी मेथी, 1 चम्मच नीं"&amp;"बू का रस, नमक - स्वादानुसार, 2 बड़े चम्मच सूरजमुखी तेल")</f>
        <v>250 ग्राम बटन मशरूम, 2 हरी शिमला मिर्च - कटे हुए, 1 कप अनानास - कटे हुए, 1 प्याज - कटे हुए, 3 बड़े चम्मच बेसन, 1/4 कप दही, 1 चम्मच अदरक लहसुन पेस्ट, 1/4 चम्मच हल्दी पाउडर, 1 चम्मच लाल मिर्च पाउडर, 1 बड़ा चम्मच तंदूरी मसाला, 1 चम्मच कसूरी मेथी, 1 चम्मच नींबू का रस, नमक - स्वादानुसार, 2 बड़े चम्मच सूरजमुखी तेल</v>
      </c>
      <c r="H607" s="4" t="s">
        <v>33413</v>
      </c>
      <c r="I607" s="1" t="str">
        <f ca="1">IFERROR(__xludf.dummyfunction("IF(H607="""", """", GOOGLETRANSLATE(H607, ""en"", ""hi""))"),"पाइनएप्पल मशरूम टिक्का बनाने के लिए सबसे पहले मशरूम को अच्छे से धो लें, शिमला मिर्च के बीज निकालकर चौकोर टुकड़ों में काट लें। प्याज़ और पाइनएप्पल को पतले चौकोर टुकड़ों में काट लें - एक तरफ रख दें। सभी कटी हुई शिमला मिर्च, प्याज़, पाइनएप्पल और मशरूम के टुक"&amp;"ड़ों को एक चौड़े कटोरे में लें। इसमें बेसन, दही, नमक, अदरक लहसुन का पेस्ट, हल्दी पाउडर, लाल मिर्च पाउडर, तंदूरी मसाला पाउडर, कसूरी मेथी, नींबू का रस और एक छोटा चम्मच तेल डालें। मिलाएँ और मैरीनेट करें ताकि तंदूरी मसाला पेस्ट अच्छी तरह से कोट हो जाए। ढककर ए"&amp;"क घंटे के लिए फ्रिज में रख दें। एक घंटे के बाद, अच्छी तरह मिलाएँ और मैरीनेट किए हुए मशरूम, शिमला मिर्च, पाइनएप्पल और प्याज़ को बारी-बारी से लकड़ी के सीख में डालें। तवा गरम करें और थोड़ा तेल छिड़कें पलटते समय ऊपर से थोड़ा तेल डालें। जब अनानास मशरूम टिक्का "&amp;"चारों तरफ से सुनहरा हो जाए, तो तवे से उतार लें और सर्विंग प्लेट में सजाएँ। स्वादिष्ट तंदूरी अनानास मशरूम टिक्का परोसने के लिए तैयार है। इस अनानास मशरूम टिक्का रेसिपी को धनिया पुदीना चटनी जैसी क्लासिक डिप या पुदीना दही चटनी रेसिपी- मिंट योगर्ट डिप के साथ अ"&amp;"पनी पार्टियों में स्टार्टर के तौर पर या शाम के नाश्ते के तौर पर परोसें।")</f>
        <v>पाइनएप्पल मशरूम टिक्का बनाने के लिए सबसे पहले मशरूम को अच्छे से धो लें, शिमला मिर्च के बीज निकालकर चौकोर टुकड़ों में काट लें। प्याज़ और पाइनएप्पल को पतले चौकोर टुकड़ों में काट लें - एक तरफ रख दें। सभी कटी हुई शिमला मिर्च, प्याज़, पाइनएप्पल और मशरूम के टुकड़ों को एक चौड़े कटोरे में लें। इसमें बेसन, दही, नमक, अदरक लहसुन का पेस्ट, हल्दी पाउडर, लाल मिर्च पाउडर, तंदूरी मसाला पाउडर, कसूरी मेथी, नींबू का रस और एक छोटा चम्मच तेल डालें। मिलाएँ और मैरीनेट करें ताकि तंदूरी मसाला पेस्ट अच्छी तरह से कोट हो जाए। ढककर एक घंटे के लिए फ्रिज में रख दें। एक घंटे के बाद, अच्छी तरह मिलाएँ और मैरीनेट किए हुए मशरूम, शिमला मिर्च, पाइनएप्पल और प्याज़ को बारी-बारी से लकड़ी के सीख में डालें। तवा गरम करें और थोड़ा तेल छिड़कें पलटते समय ऊपर से थोड़ा तेल डालें। जब अनानास मशरूम टिक्का चारों तरफ से सुनहरा हो जाए, तो तवे से उतार लें और सर्विंग प्लेट में सजाएँ। स्वादिष्ट तंदूरी अनानास मशरूम टिक्का परोसने के लिए तैयार है। इस अनानास मशरूम टिक्का रेसिपी को धनिया पुदीना चटनी जैसी क्लासिक डिप या पुदीना दही चटनी रेसिपी- मिंट योगर्ट डिप के साथ अपनी पार्टियों में स्टार्टर के तौर पर या शाम के नाश्ते के तौर पर परोसें।</v>
      </c>
      <c r="J607" s="3" t="s">
        <v>33414</v>
      </c>
      <c r="L607" s="1" t="s">
        <v>31003</v>
      </c>
    </row>
    <row r="608" spans="1:12" ht="13.8">
      <c r="A608" s="1" t="s">
        <v>33415</v>
      </c>
      <c r="B608" s="1" t="str">
        <f ca="1">IFERROR(__xludf.dummyfunction("IF(A608="""", """", GOOGLETRANSLATE(A608, ""en"", ""hi""))"),"चना दाल और मेथी की सब्जी")</f>
        <v>चना दाल और मेथी की सब्जी</v>
      </c>
      <c r="C608" s="1" t="s">
        <v>14207</v>
      </c>
      <c r="D608" s="1" t="s">
        <v>14198</v>
      </c>
      <c r="E608" s="1">
        <v>50</v>
      </c>
      <c r="F608" s="1" t="s">
        <v>33416</v>
      </c>
      <c r="G608" s="1" t="str">
        <f ca="1">IFERROR(__xludf.dummyfunction("IF(F608="""", """", GOOGLETRANSLATE(F608, ""en"", ""hi""))"),"1 कप चना दाल, 1/4 कप मेथी दाना, पानी - आवश्यकतानुसार, 1/2 चम्मच जीरा, 1/2 चम्मच राई, 1/2 चम्मच हींग, 4 करी पत्ते, 1 चम्मच लाल मिर्च पाउडर, 1/2 चम्मच हल्दी पाउडर, 1/2 चम्मच अमचूर, 1/2 चम्मच धनिया पाउडर, नमक - आवश्यकतानुसार, तेल - आवश्यकतानुसार")</f>
        <v>1 कप चना दाल, 1/4 कप मेथी दाना, पानी - आवश्यकतानुसार, 1/2 चम्मच जीरा, 1/2 चम्मच राई, 1/2 चम्मच हींग, 4 करी पत्ते, 1 चम्मच लाल मिर्च पाउडर, 1/2 चम्मच हल्दी पाउडर, 1/2 चम्मच अमचूर, 1/2 चम्मच धनिया पाउडर, नमक - आवश्यकतानुसार, तेल - आवश्यकतानुसार</v>
      </c>
      <c r="H608" s="1" t="s">
        <v>33417</v>
      </c>
      <c r="I608" s="1" t="str">
        <f ca="1">IFERROR(__xludf.dummyfunction("IF(H608="""", """", GOOGLETRANSLATE(H608, ""en"", ""hi""))"),"""चना दाल और मेथी की सब्जी बनाने के लिए सबसे पहले चना दाल और मेथी के दानों को एक साथ उबालें। इन्हें नरम होने तक पकाएं। पानी निथार कर अलग रख लें। अब एक पैन में तेल गर्म करें। इसमें जीरा, राई, हींग और करी पत्ता डालें। 10 सेकंड के बाद चना और मेथी डालें। 1 मि"&amp;"नट के बाद लाल मिर्च पाउडर, हल्दी पाउडर, अमचूर, धनिया पाउडर और नमक डालें। सभी चीजों को अच्छे से मिलाएं और अगले 3 से 5 मिनट तक पकाएं। अंत में गैस बंद कर दें और सब्जी को हरे धनिये से गार्निश करें। चना दाल और मेथी की सब्जी को गुजराती कढ़ी और फुल्के के साथ सर्"&amp;"व करें।""")</f>
        <v>"चना दाल और मेथी की सब्जी बनाने के लिए सबसे पहले चना दाल और मेथी के दानों को एक साथ उबालें। इन्हें नरम होने तक पकाएं। पानी निथार कर अलग रख लें। अब एक पैन में तेल गर्म करें। इसमें जीरा, राई, हींग और करी पत्ता डालें। 10 सेकंड के बाद चना और मेथी डालें। 1 मिनट के बाद लाल मिर्च पाउडर, हल्दी पाउडर, अमचूर, धनिया पाउडर और नमक डालें। सभी चीजों को अच्छे से मिलाएं और अगले 3 से 5 मिनट तक पकाएं। अंत में गैस बंद कर दें और सब्जी को हरे धनिये से गार्निश करें। चना दाल और मेथी की सब्जी को गुजराती कढ़ी और फुल्के के साथ सर्व करें।"</v>
      </c>
      <c r="J608" s="3" t="s">
        <v>33418</v>
      </c>
      <c r="L608" s="1" t="s">
        <v>31003</v>
      </c>
    </row>
    <row r="609" spans="1:12" ht="409.6">
      <c r="A609" s="1" t="s">
        <v>33419</v>
      </c>
      <c r="B609" s="1" t="str">
        <f ca="1">IFERROR(__xludf.dummyfunction("IF(A609="""", """", GOOGLETRANSLATE(A609, ""en"", ""hi""))"),"आंवला मेथी सुखी सब्ज़ी रेसिपी - स्वास्थ्यवर्धक मधुमेह सब्ज़ी")</f>
        <v>आंवला मेथी सुखी सब्ज़ी रेसिपी - स्वास्थ्यवर्धक मधुमेह सब्ज़ी</v>
      </c>
      <c r="C609" s="1" t="s">
        <v>14207</v>
      </c>
      <c r="D609" s="1" t="s">
        <v>14338</v>
      </c>
      <c r="E609" s="1">
        <v>45</v>
      </c>
      <c r="F609" s="1" t="s">
        <v>33420</v>
      </c>
      <c r="G609" s="1" t="str">
        <f ca="1">IFERROR(__xludf.dummyfunction("IF(F609="""", """", GOOGLETRANSLATE(F609, ""en"", ""hi""))"),"200 ग्राम आंवला, पानी - आवश्यकतानुसार, 1 बड़ा चम्मच सूरजमुखी तेल, 1/2 छोटा चम्मच जीरा, 1/2 छोटा चम्मच सौंफ, 1/3 छोटा चम्मच अजवाइन, 1 हींग - चुटकीभर, 2 हरी मिर्च - बारीक कटी हुई, 1 इंच अदरक - बारीक कटा हुआ, 5 लहसुन - बारीक कटा हुआ, 2 प्याज - पतले कटे हुए, "&amp;"2 टमाटर - बारीक कटे हुए, नमक - स्वादानुसार, 1/2 छोटा चम्मच हल्दी पाउडर, 100 ग्राम मेथी - धोकर बारीक कटी हुई, 1 छोटा चम्मच गरम मसाला पाउडर, 1 छोटा चम्मच धनिया पाउडर, 1 छोटा चम्मच जीरा पाउडर, 1 टहनी धनिया - बारीक कटी हुई")</f>
        <v>200 ग्राम आंवला, पानी - आवश्यकतानुसार, 1 बड़ा चम्मच सूरजमुखी तेल, 1/2 छोटा चम्मच जीरा, 1/2 छोटा चम्मच सौंफ, 1/3 छोटा चम्मच अजवाइन, 1 हींग - चुटकीभर, 2 हरी मिर्च - बारीक कटी हुई, 1 इंच अदरक - बारीक कटा हुआ, 5 लहसुन - बारीक कटा हुआ, 2 प्याज - पतले कटे हुए, 2 टमाटर - बारीक कटे हुए, नमक - स्वादानुसार, 1/2 छोटा चम्मच हल्दी पाउडर, 100 ग्राम मेथी - धोकर बारीक कटी हुई, 1 छोटा चम्मच गरम मसाला पाउडर, 1 छोटा चम्मच धनिया पाउडर, 1 छोटा चम्मच जीरा पाउडर, 1 टहनी धनिया - बारीक कटी हुई</v>
      </c>
      <c r="H609" s="1" t="s">
        <v>33421</v>
      </c>
      <c r="I609" s="4" t="str">
        <f ca="1">IFERROR(__xludf.dummyfunction("IF(H609="""", """", GOOGLETRANSLATE(H609, ""en"", ""hi""))"),"आंवला मेथी सूखी सब्जी रेसिपी बनाने के लिए सबसे पहले हमें आंवले को उबालना होगा। एक सॉस पैन में पानी डालकर उबाल लें। उबलते पानी में साबूत, धुले और साफ आंवले डालें। लगभग 4-5 मिनट के बाद आंच बंद कर दें। अतिरिक्त पानी निथार लें और आंवले को एक कटोरे में डालकर ठ"&amp;"ंडा होने दें। ठंडा होने पर आंवले के एक तरफ चीरा लगाकर उसके बीज निकाल दें और आप देखेंगे कि उसके चौथाई हिस्से अलग हो गए हैं। चाकू का उपयोग करके आंवले को चौथाई भागों में काट लें और एक तरफ रख दें। एक कढ़ाई में मध्यम आंच पर तेल गर्म करें और उसमें तेल डालें। ते"&amp;"ल गर्म हो जाए तो उसमें जीरा, सौंफ और अजवाइन डालें। जब वे तड़कने लगें तो उसमें हरी मिर्च, अदरक और लहसुन डालें और कुछ सेकंड के लिए भूनें। इसी अवस्था में उसमें प्याज डालें और पारदर्शी होने तक भूनें, इसमें मध्यम-तेज आंच पर लगभग 3-4 मिनट का समय लगेगा। जब प्याज"&amp;" नरम होकर पक जाए तो उसमें टमाटर डालें और पानी की कुछ बूंदें छिड़कें, ढककर पकाएं। नमक और हल्दी पाउडर डालें और मिश्रण को तब तक पकाते रहें जब तक वह गूदेदार न हो जाए। इसमें लगभग 5 मिनट का समय लगेगा। जब प्याज-टमाटर का मिश्रण एक साथ आ जाए तो इसे पैन में एक तरफ "&amp;"धकेल दें और मेथी के पत्ते पैन में डाल दें। धीरे से मिलाएँ और पकने दें क्योंकि पत्ते मुरझा जाएंगे। जब मेथी के पत्ते मुरझा जाएं तो इसे प्याज टमाटर बेस के साथ मिलाएँ और सूखे मसाले पाउडर - गरम मसाला, जीरा पाउडर और धनिया पाउडर डालें। पके हुए आंवले के टुकड़े डा"&amp;"लें, लगभग 2 बड़े चम्मच पानी डालें, मिलाएँ और ढक दें। आंवला मेथी सुखी सब्जी को धीमी आंच पर 2-3 मिनट तक पकने दें आंवला मेथी सुखी सब्जी रेसिपी को हॉर्सग्राम दाल रेसिपी - कुलीथ/कोल्लू दाल, रागी तवा पराठा - स्वस्थ विटामिन युक्त और मधुमेह के अनुकूल पराठा, खमंग "&amp;"काकड़ी रेसिपी - महाराष्ट्रीयन ककड़ी सलाद और मूली रायता रेसिपी (मूली के साथ मसालेदार दही सलाद) के साथ मधुमेह के अनुकूल भोजन के लिए परोसें।                                                                                                                      "&amp;"                                                                                                                                                                                                                                                               "&amp;"                                                                                                                                       
")</f>
        <v xml:space="preserve">आंवला मेथी सूखी सब्जी रेसिपी बनाने के लिए सबसे पहले हमें आंवले को उबालना होगा। एक सॉस पैन में पानी डालकर उबाल लें। उबलते पानी में साबूत, धुले और साफ आंवले डालें। लगभग 4-5 मिनट के बाद आंच बंद कर दें। अतिरिक्त पानी निथार लें और आंवले को एक कटोरे में डालकर ठंडा होने दें। ठंडा होने पर आंवले के एक तरफ चीरा लगाकर उसके बीज निकाल दें और आप देखेंगे कि उसके चौथाई हिस्से अलग हो गए हैं। चाकू का उपयोग करके आंवले को चौथाई भागों में काट लें और एक तरफ रख दें। एक कढ़ाई में मध्यम आंच पर तेल गर्म करें और उसमें तेल डालें। तेल गर्म हो जाए तो उसमें जीरा, सौंफ और अजवाइन डालें। जब वे तड़कने लगें तो उसमें हरी मिर्च, अदरक और लहसुन डालें और कुछ सेकंड के लिए भूनें। इसी अवस्था में उसमें प्याज डालें और पारदर्शी होने तक भूनें, इसमें मध्यम-तेज आंच पर लगभग 3-4 मिनट का समय लगेगा। जब प्याज नरम होकर पक जाए तो उसमें टमाटर डालें और पानी की कुछ बूंदें छिड़कें, ढककर पकाएं। नमक और हल्दी पाउडर डालें और मिश्रण को तब तक पकाते रहें जब तक वह गूदेदार न हो जाए। इसमें लगभग 5 मिनट का समय लगेगा। जब प्याज-टमाटर का मिश्रण एक साथ आ जाए तो इसे पैन में एक तरफ धकेल दें और मेथी के पत्ते पैन में डाल दें। धीरे से मिलाएँ और पकने दें क्योंकि पत्ते मुरझा जाएंगे। जब मेथी के पत्ते मुरझा जाएं तो इसे प्याज टमाटर बेस के साथ मिलाएँ और सूखे मसाले पाउडर - गरम मसाला, जीरा पाउडर और धनिया पाउडर डालें। पके हुए आंवले के टुकड़े डालें, लगभग 2 बड़े चम्मच पानी डालें, मिलाएँ और ढक दें। आंवला मेथी सुखी सब्जी को धीमी आंच पर 2-3 मिनट तक पकने दें आंवला मेथी सुखी सब्जी रेसिपी को हॉर्सग्राम दाल रेसिपी - कुलीथ/कोल्लू दाल, रागी तवा पराठा - स्वस्थ विटामिन युक्त और मधुमेह के अनुकूल पराठा, खमंग काकड़ी रेसिपी - महाराष्ट्रीयन ककड़ी सलाद और मूली रायता रेसिपी (मूली के साथ मसालेदार दही सलाद) के साथ मधुमेह के अनुकूल भोजन के लिए परोसें।                                                                                                                                                                                                                                                                                                                                                                                                                                                                                                                            
</v>
      </c>
      <c r="J609" s="3" t="s">
        <v>33422</v>
      </c>
      <c r="L609" s="1" t="s">
        <v>31003</v>
      </c>
    </row>
    <row r="610" spans="1:12" ht="13.8">
      <c r="A610" s="1" t="s">
        <v>33423</v>
      </c>
      <c r="B610" s="1" t="str">
        <f ca="1">IFERROR(__xludf.dummyfunction("IF(A610="""", """", GOOGLETRANSLATE(A610, ""en"", ""hi""))"),"अनानास चिकन टिक्का रेसिपी")</f>
        <v>अनानास चिकन टिक्का रेसिपी</v>
      </c>
      <c r="C610" s="1" t="s">
        <v>14572</v>
      </c>
      <c r="D610" s="1" t="s">
        <v>14367</v>
      </c>
      <c r="E610" s="1">
        <v>45</v>
      </c>
      <c r="F610" s="1" t="s">
        <v>33424</v>
      </c>
      <c r="G610" s="1" t="str">
        <f ca="1">IFERROR(__xludf.dummyfunction("IF(F610="""", """", GOOGLETRANSLATE(F610, ""en"", ""hi""))"),"200 ग्राम चिकन ब्रेस्ट - 1-½ इंच के आकार में कटे हुए, 1 अनानास - त्रिकोण में कटे हुए, सूरजमुखी तेल - मिलाने के लिए, 1 कप हंग कर्ड (ग्रीक योगर्ट), 3 बड़े चम्मच बेसन, 3 लहसुन के दाने - पेस्ट बनाने के लिए, 1 इंच अदरक - पेस्ट बनाने के लिए पिसी हुई, 1 बड़ा चम्"&amp;"मच कसूरी मेथी - पाउडर, 1 चम्मच सौंफ - भूनी हुई पाउडर, 1/2 चम्मच अजवाइन, 1/2 चम्मच जीरा, 1/2 चम्मच धनिया, 3/4 चम्मच काली मिर्च पाउडर, 3/4 चम्मच हल्दी, 1 चम्मच लाल मिर्च पाउडर, 2 चम्मच गरम मसाला पाउडर, 1/4 चम्मच काला नमक, नमक - स्वादानुसार")</f>
        <v>200 ग्राम चिकन ब्रेस्ट - 1-½ इंच के आकार में कटे हुए, 1 अनानास - त्रिकोण में कटे हुए, सूरजमुखी तेल - मिलाने के लिए, 1 कप हंग कर्ड (ग्रीक योगर्ट), 3 बड़े चम्मच बेसन, 3 लहसुन के दाने - पेस्ट बनाने के लिए, 1 इंच अदरक - पेस्ट बनाने के लिए पिसी हुई, 1 बड़ा चम्मच कसूरी मेथी - पाउडर, 1 चम्मच सौंफ - भूनी हुई पाउडर, 1/2 चम्मच अजवाइन, 1/2 चम्मच जीरा, 1/2 चम्मच धनिया, 3/4 चम्मच काली मिर्च पाउडर, 3/4 चम्मच हल्दी, 1 चम्मच लाल मिर्च पाउडर, 2 चम्मच गरम मसाला पाउडर, 1/4 चम्मच काला नमक, नमक - स्वादानुसार</v>
      </c>
      <c r="H610" s="1" t="s">
        <v>33425</v>
      </c>
      <c r="I610" s="1" t="str">
        <f ca="1">IFERROR(__xludf.dummyfunction("IF(H610="""", """", GOOGLETRANSLATE(H610, ""en"", ""hi""))"),"पाइनएप्पल चिकन टिक्का रेसिपी बनाने के लिए दही और बेसन को मिलाकर चिकना पेस्ट बना लें। एक मूसल और खरल का उपयोग करके अदरक, लहसुन और कसूरी मेथी के पत्तों को पीसकर मोटा पेस्ट बना लें। इसमें सौंफ और अजवाइन डालकर अच्छी तरह मिलाएँ। इसे दही के मिश्रण में मिलाएँ। द"&amp;"ही के मिश्रण में बची हुई मैरिनेड सामग्री डालें और अच्छी तरह मिलाएँ। चिकन के टुकड़ों और अनानास को एक बड़े कटोरे में रखें, मैरिनेड डालें और इसे लगभग आधे घंटे से एक घंटे या रात भर के लिए ढककर रख दें। एक कटार लें और उसमें चिकन के टुकड़े और अनानास डालें और इसे"&amp;" ऊपर तक लाइन करें। बाकी की कटार के लिए भी ऐसा ही करें। मध्यम आँच पर एक ग्रिल पैन गरम करें, थोड़ा तेल डालें और ऊपर से थोड़ा मैरिनेड के साथ कुछ मैरिनेटेड पनीर की कटार रखें। कटार पर एक चम्मच घी या तेल डालें। इससे थोड़ा धुआँ निकलने लगेगा, आँच को कम कर दें और "&amp;"इसे हर तरफ़ से लगभग एक मिनट तक बैठने दें। इसे पलटते रहें और सभी तरफ से समान रूप से पकाएँ जब तक कि यह जल न जाए। कम से कम 10 मिनट के लिए कटार को ग्रिल पर छोड़ दें और गरमागरम परोसें। चिकन पनीर टिक्का रेसिपी को जीरा राइस, रायता और गाजर के हलवे के साथ परोसें त"&amp;"ाकि यह एक संपूर्ण भोजन बन जाए।")</f>
        <v>पाइनएप्पल चिकन टिक्का रेसिपी बनाने के लिए दही और बेसन को मिलाकर चिकना पेस्ट बना लें। एक मूसल और खरल का उपयोग करके अदरक, लहसुन और कसूरी मेथी के पत्तों को पीसकर मोटा पेस्ट बना लें। इसमें सौंफ और अजवाइन डालकर अच्छी तरह मिलाएँ। इसे दही के मिश्रण में मिलाएँ। दही के मिश्रण में बची हुई मैरिनेड सामग्री डालें और अच्छी तरह मिलाएँ। चिकन के टुकड़ों और अनानास को एक बड़े कटोरे में रखें, मैरिनेड डालें और इसे लगभग आधे घंटे से एक घंटे या रात भर के लिए ढककर रख दें। एक कटार लें और उसमें चिकन के टुकड़े और अनानास डालें और इसे ऊपर तक लाइन करें। बाकी की कटार के लिए भी ऐसा ही करें। मध्यम आँच पर एक ग्रिल पैन गरम करें, थोड़ा तेल डालें और ऊपर से थोड़ा मैरिनेड के साथ कुछ मैरिनेटेड पनीर की कटार रखें। कटार पर एक चम्मच घी या तेल डालें। इससे थोड़ा धुआँ निकलने लगेगा, आँच को कम कर दें और इसे हर तरफ़ से लगभग एक मिनट तक बैठने दें। इसे पलटते रहें और सभी तरफ से समान रूप से पकाएँ जब तक कि यह जल न जाए। कम से कम 10 मिनट के लिए कटार को ग्रिल पर छोड़ दें और गरमागरम परोसें। चिकन पनीर टिक्का रेसिपी को जीरा राइस, रायता और गाजर के हलवे के साथ परोसें ताकि यह एक संपूर्ण भोजन बन जाए।</v>
      </c>
      <c r="J610" s="3" t="s">
        <v>33426</v>
      </c>
      <c r="L610" s="1" t="s">
        <v>31003</v>
      </c>
    </row>
    <row r="611" spans="1:12" ht="13.8">
      <c r="A611" s="1" t="s">
        <v>33427</v>
      </c>
      <c r="B611" s="1" t="str">
        <f ca="1">IFERROR(__xludf.dummyfunction("IF(A611="""", """", GOOGLETRANSLATE(A611, ""en"", ""hi""))"),"तवा पनीर मसाला")</f>
        <v>तवा पनीर मसाला</v>
      </c>
      <c r="C611" s="1" t="s">
        <v>429</v>
      </c>
      <c r="D611" s="1" t="s">
        <v>14198</v>
      </c>
      <c r="E611" s="1">
        <v>50</v>
      </c>
      <c r="F611" s="1" t="s">
        <v>33428</v>
      </c>
      <c r="G611" s="1" t="str">
        <f ca="1">IFERROR(__xludf.dummyfunction("IF(F611="""", """", GOOGLETRANSLATE(F611, ""en"", ""hi""))"),"3 कप पनीर - टुकड़ों में कटा हुआ, 1 छोटा चम्मच कसूरी मेथी, 1 छोटा चम्मच लाल मिर्च पाउडर, 1/4 छोटा चम्मच हल्दी पाउडर, नमक - स्वादानुसार, तेल - उपयोगानुसार, 1/2 छोटा चम्मच जीरा, 1/2 छोटा चम्मच अजवाइन, 1/2 कप प्याज - बारीक कटा हुआ, 2 छोटे चम्मच लहसुन - पेस्ट "&amp;"बना लें, 1 छोटा चम्मच धनिया पाउडर, 1 कप टमाटर प्यूरी, 1/2 छोटा चम्मच शाही जीरा - भुना हुआ, 2 बड़े चम्मच क्रीम, 1 छोटा चम्मच हरी मिर्च - बारीक कटी हुई, 1/2 छोटा चम्मच गरम मसाला पाउडर")</f>
        <v>3 कप पनीर - टुकड़ों में कटा हुआ, 1 छोटा चम्मच कसूरी मेथी, 1 छोटा चम्मच लाल मिर्च पाउडर, 1/4 छोटा चम्मच हल्दी पाउडर, नमक - स्वादानुसार, तेल - उपयोगानुसार, 1/2 छोटा चम्मच जीरा, 1/2 छोटा चम्मच अजवाइन, 1/2 कप प्याज - बारीक कटा हुआ, 2 छोटे चम्मच लहसुन - पेस्ट बना लें, 1 छोटा चम्मच धनिया पाउडर, 1 कप टमाटर प्यूरी, 1/2 छोटा चम्मच शाही जीरा - भुना हुआ, 2 बड़े चम्मच क्रीम, 1 छोटा चम्मच हरी मिर्च - बारीक कटी हुई, 1/2 छोटा चम्मच गरम मसाला पाउडर</v>
      </c>
      <c r="H611" s="1" t="s">
        <v>33429</v>
      </c>
      <c r="I611" s="1" t="str">
        <f ca="1">IFERROR(__xludf.dummyfunction("IF(H611="""", """", GOOGLETRANSLATE(H611, ""en"", ""hi""))"),"""तवा पनीर मसाला बनाने के लिए सबसे पहले सारी सामग्री तैयार कर लें। पनीर को एक बाउल में डालें। उसमें हल्दी पाउडर, लाल मिर्च पाउडर, कसूरी मेथी और नमक डालें। अच्छे से मिलाएँ और 20 मिनट के लिए अलग रख दें। अब एक पैन में तेल गर्म करें। पनीर को दोनों तरफ से तल ल"&amp;"ें। 2 से 3 मिनट तक पकाएँ और अलग रख दें। पैन में बचा हुआ तेल डालें। उसमें जीरा और शाही जीरा डालें। 15 सेकंड बाद प्याज़ डालें और नरम होने तक पकाएँ। नरम होने के बाद लहसुन, मिर्च, धनिया पाउडर डालें और अच्छे से मिलाएँ। टमाटर प्यूरी, अजवाइन डालें और 3 मिनट तक प"&amp;"कने दें। बीच-बीच में हिलाते रहें। 3 मिनट बाद पनीर, क्रीम, गरम मसाला डालें और अच्छे से मिलाएँ। 2 से 3 मिनट तक और पकाएँ। उसके बाद गैस बंद कर दें और हरे धनिये से गार्निश करें। तवा पनीर मसाला को तवा पराठा और पालक रायता के साथ लंच में सर्व करें।""")</f>
        <v>"तवा पनीर मसाला बनाने के लिए सबसे पहले सारी सामग्री तैयार कर लें। पनीर को एक बाउल में डालें। उसमें हल्दी पाउडर, लाल मिर्च पाउडर, कसूरी मेथी और नमक डालें। अच्छे से मिलाएँ और 20 मिनट के लिए अलग रख दें। अब एक पैन में तेल गर्म करें। पनीर को दोनों तरफ से तल लें। 2 से 3 मिनट तक पकाएँ और अलग रख दें। पैन में बचा हुआ तेल डालें। उसमें जीरा और शाही जीरा डालें। 15 सेकंड बाद प्याज़ डालें और नरम होने तक पकाएँ। नरम होने के बाद लहसुन, मिर्च, धनिया पाउडर डालें और अच्छे से मिलाएँ। टमाटर प्यूरी, अजवाइन डालें और 3 मिनट तक पकने दें। बीच-बीच में हिलाते रहें। 3 मिनट बाद पनीर, क्रीम, गरम मसाला डालें और अच्छे से मिलाएँ। 2 से 3 मिनट तक और पकाएँ। उसके बाद गैस बंद कर दें और हरे धनिये से गार्निश करें। तवा पनीर मसाला को तवा पराठा और पालक रायता के साथ लंच में सर्व करें।"</v>
      </c>
      <c r="J611" s="3" t="s">
        <v>33430</v>
      </c>
      <c r="L611" s="1" t="s">
        <v>31003</v>
      </c>
    </row>
    <row r="612" spans="1:12" ht="13.8">
      <c r="A612" s="1" t="s">
        <v>33431</v>
      </c>
      <c r="B612" s="1" t="str">
        <f ca="1">IFERROR(__xludf.dummyfunction("IF(A612="""", """", GOOGLETRANSLATE(A612, ""en"", ""hi""))"),"फूलगोभी और सोया चंक्स सब्ज़ी रेसिपी")</f>
        <v>फूलगोभी और सोया चंक्स सब्ज़ी रेसिपी</v>
      </c>
      <c r="C612" s="1" t="s">
        <v>14207</v>
      </c>
      <c r="D612" s="1" t="s">
        <v>14198</v>
      </c>
      <c r="E612" s="1">
        <v>45</v>
      </c>
      <c r="F612" s="1" t="s">
        <v>33432</v>
      </c>
      <c r="G612" s="1" t="str">
        <f ca="1">IFERROR(__xludf.dummyfunction("IF(F612="""", """", GOOGLETRANSLATE(F612, ""en"", ""hi""))"),"1 फूलगोभी - फूलों में कटी हुई, 1 कप सोया चंक्स (नगेट्स) - गर्म पानी में भिगोए हुए, 1 प्याज - बारीक कटा हुआ, 1/2 चम्मच सरसों के बीज, 1 चम्मच जीरा (जीरा), 1/4 कप ताजा नारियल - कसा हुआ, 1 हरी मिर्च - बारीक कटी हुई या चीरी हुई, 1 चम्मच लाल मिर्च पाउडर, 1 चम्म"&amp;"च गरम मसाला पाउडर, 1/2 चम्मच हल्दी पाउडर (हल्दी), धनिया (धनिया) के पत्ते - बारीक कटे हुए, 1 टहनी करी पत्ता, 1 चम्मच सूरजमुखी तेल, नमक - अपने स्वाद के अनुसार, पानी - आवश्यकतानुसार, 2 चम्मच नींबू का रस - वैकल्पिक")</f>
        <v>1 फूलगोभी - फूलों में कटी हुई, 1 कप सोया चंक्स (नगेट्स) - गर्म पानी में भिगोए हुए, 1 प्याज - बारीक कटा हुआ, 1/2 चम्मच सरसों के बीज, 1 चम्मच जीरा (जीरा), 1/4 कप ताजा नारियल - कसा हुआ, 1 हरी मिर्च - बारीक कटी हुई या चीरी हुई, 1 चम्मच लाल मिर्च पाउडर, 1 चम्मच गरम मसाला पाउडर, 1/2 चम्मच हल्दी पाउडर (हल्दी), धनिया (धनिया) के पत्ते - बारीक कटे हुए, 1 टहनी करी पत्ता, 1 चम्मच सूरजमुखी तेल, नमक - अपने स्वाद के अनुसार, पानी - आवश्यकतानुसार, 2 चम्मच नींबू का रस - वैकल्पिक</v>
      </c>
      <c r="H612" s="1" t="s">
        <v>33433</v>
      </c>
      <c r="I612" s="1" t="str">
        <f ca="1">IFERROR(__xludf.dummyfunction("IF(H612="""", """", GOOGLETRANSLATE(H612, ""en"", ""hi""))"),"फूलगोभी और सोया चंक्स करी रेसिपी बनाने के लिए सबसे पहले एक बड़े सॉस पैन में पानी लें और उसमें नमक, 1/4 चम्मच हल्दी पाउडर डालकर उबाल लें। उबलते पानी में फूलगोभी के फूल डालें और 5 से 6 मिनट तक उबालें और आंच बंद कर दें। फूलगोभी के फूलों से पानी निकाल दें और "&amp;"उन्हें एक तरफ रख दें। इस प्रक्रिया से फूलगोभी से सारे कीड़े निकल जाएंगे और इसे हल्का भाप से पका भी लेंगे। इस बीच, एक दूसरे पैन में पानी डालें और इसे उबाल लें। सोया चंक्स डालें और इसे 10 मिनट तक भीगने दें। 10 मिनट के बाद सोया ग्रैन्यूल्स से पानी निचोड़ें औ"&amp;"र इसे ठंडे नल के पानी के नीचे चलाएं। यह सोया चंक्स से गंध को दूर करने में मदद करता है। पानी निकालने के लिए इसे फिर से निचोड़ें। इसमें राई, जीरा डालें और इसे चटकने दें। एक बार जब वे तड़क जाएं, तो कटा हुआ प्याज डालें और इसे पारभासी होने तक भूनें। करी पत्ता,"&amp;" लाल मिर्च पाउडर, हल्दी पाउडर, गरम मसाला और नमक डालें। इसे कुछ सेकंड के लिए भूनें। अब, कढ़ाई में पिसा हुआ नारियल और हरी मिर्च का पेस्ट डालें। कुछ सेकंड के लिए अच्छी तरह से हिलाएं। इस स्तर पर आंशिक रूप से उबले हुए फूलगोभी के फूल और सोया चंक्स डालें। फूलगोभ"&amp;"ी और सोया चंक्स की सब्जी को अच्छी तरह से हिलाएं ताकि मसाला फूलगोभी के फूल और सोया चंक्स पर अच्छी तरह से लिपट जाए। कड़ाई/पैन को ढक दें और फूलगोभी और सोया चंक्स की सब्जी को 10 मिनट तक पकाएं जब तक कि फूलगोभी और सोया चक्स पक न जाएं फूलगोभी और सोया चंक्स करी र"&amp;"ेसिपी को थोड़ा तीखा बनाने के लिए ऊपर से नींबू का रस डालें। फूलगोभी और सोया चंक्स करी को उबले हुए चावल और पालक दाल के साथ एक साधारण रात के खाने के लिए परोसें। इसके अलावा, आप इस रेसिपी में कम मिर्च डाल सकते हैं और रोटी का उपयोग करके फ्रेंकी रोल बना सकते हैं"&amp;" और इसे अपने बच्चे के लंच बॉक्स में भी पैक कर सकते हैं।")</f>
        <v>फूलगोभी और सोया चंक्स करी रेसिपी बनाने के लिए सबसे पहले एक बड़े सॉस पैन में पानी लें और उसमें नमक, 1/4 चम्मच हल्दी पाउडर डालकर उबाल लें। उबलते पानी में फूलगोभी के फूल डालें और 5 से 6 मिनट तक उबालें और आंच बंद कर दें। फूलगोभी के फूलों से पानी निकाल दें और उन्हें एक तरफ रख दें। इस प्रक्रिया से फूलगोभी से सारे कीड़े निकल जाएंगे और इसे हल्का भाप से पका भी लेंगे। इस बीच, एक दूसरे पैन में पानी डालें और इसे उबाल लें। सोया चंक्स डालें और इसे 10 मिनट तक भीगने दें। 10 मिनट के बाद सोया ग्रैन्यूल्स से पानी निचोड़ें और इसे ठंडे नल के पानी के नीचे चलाएं। यह सोया चंक्स से गंध को दूर करने में मदद करता है। पानी निकालने के लिए इसे फिर से निचोड़ें। इसमें राई, जीरा डालें और इसे चटकने दें। एक बार जब वे तड़क जाएं, तो कटा हुआ प्याज डालें और इसे पारभासी होने तक भूनें। करी पत्ता, लाल मिर्च पाउडर, हल्दी पाउडर, गरम मसाला और नमक डालें। इसे कुछ सेकंड के लिए भूनें। अब, कढ़ाई में पिसा हुआ नारियल और हरी मिर्च का पेस्ट डालें। कुछ सेकंड के लिए अच्छी तरह से हिलाएं। इस स्तर पर आंशिक रूप से उबले हुए फूलगोभी के फूल और सोया चंक्स डालें। फूलगोभी और सोया चंक्स की सब्जी को अच्छी तरह से हिलाएं ताकि मसाला फूलगोभी के फूल और सोया चंक्स पर अच्छी तरह से लिपट जाए। कड़ाई/पैन को ढक दें और फूलगोभी और सोया चंक्स की सब्जी को 10 मिनट तक पकाएं जब तक कि फूलगोभी और सोया चक्स पक न जाएं फूलगोभी और सोया चंक्स करी रेसिपी को थोड़ा तीखा बनाने के लिए ऊपर से नींबू का रस डालें। फूलगोभी और सोया चंक्स करी को उबले हुए चावल और पालक दाल के साथ एक साधारण रात के खाने के लिए परोसें। इसके अलावा, आप इस रेसिपी में कम मिर्च डाल सकते हैं और रोटी का उपयोग करके फ्रेंकी रोल बना सकते हैं और इसे अपने बच्चे के लंच बॉक्स में भी पैक कर सकते हैं।</v>
      </c>
      <c r="J612" s="3" t="s">
        <v>33434</v>
      </c>
      <c r="L612" s="1" t="s">
        <v>31003</v>
      </c>
    </row>
    <row r="613" spans="1:12" ht="13.8">
      <c r="A613" s="1" t="s">
        <v>33435</v>
      </c>
      <c r="B613" s="1" t="str">
        <f ca="1">IFERROR(__xludf.dummyfunction("IF(A613="""", """", GOOGLETRANSLATE(A613, ""en"", ""hi""))"),"कोलकाता क्लब स्टाइल बेक्ड कचौरी आलू रेसिपी")</f>
        <v>कोलकाता क्लब स्टाइल बेक्ड कचौरी आलू रेसिपी</v>
      </c>
      <c r="C613" s="1" t="s">
        <v>14281</v>
      </c>
      <c r="D613" s="1" t="s">
        <v>14198</v>
      </c>
      <c r="E613" s="1">
        <v>60</v>
      </c>
      <c r="F613" s="1" t="s">
        <v>33436</v>
      </c>
      <c r="G613" s="1" t="str">
        <f ca="1">IFERROR(__xludf.dummyfunction("IF(F613="""", """", GOOGLETRANSLATE(F613, ""en"", ""hi""))"),"2 कप मैदा, 1 चम्मच अजवाइन, 1 बड़ा चम्मच सूरजमुखी तेल, नमक - स्वादानुसार, पानी - आवश्यकतानुसार, 1 चम्मच सूरजमुखी तेल, 1 चम्मच लाल मिर्च पाउडर, 1 चम्मच जीरा, 1 चम्मच धनिया पत्ते, 1 चम्मच गरम मसाला पाउडर, 1/4 चम्मच आमचूर, 1/4 चम्मच हल्दी पाउडर, 1 कप पीली मूं"&amp;"ग दाल - 2 घंटे भिगोई हुई, नमक - स्वादानुसार, 1/2 कप धनिया पत्ते - कटे हुए, सूरजमुखी तेल - ब्रश करने के लिए, 2 आलू - छीलकर छोटे क्यूब्स में काटे हुए, 2 चम्मच सूरजमुखी तेल, 1 सूखी लाल मिर्च - टुकड़ों में तोड़ी हुई, 1/2 चम्मच सरसों के बीज, 1/4 चम्मच जीरा, 1 "&amp;"बड़ा चम्मच अदरक लहसुन पेस्ट, 2 प्याज - कटा हुआ, 3 टमाटर - कटा हुआ, 2 हरे प्याज मिर्च - कटी हुई, 1 चम्मच गरम मसाला पाउडर, 2 चम्मच धनिया पत्ती, 1/4 चम्मच हल्दी पाउडर, 1 चम्मच जीरा पाउडर, 1/2 चम्मच लाल मिर्च पाउडर, नमक - स्वादानुसार, 1/4 कप धनिया पत्ती - कटी"&amp;" हुई, 2 टहनी धनिया पत्ती - गार्निश के लिए")</f>
        <v>2 कप मैदा, 1 चम्मच अजवाइन, 1 बड़ा चम्मच सूरजमुखी तेल, नमक - स्वादानुसार, पानी - आवश्यकतानुसार, 1 चम्मच सूरजमुखी तेल, 1 चम्मच लाल मिर्च पाउडर, 1 चम्मच जीरा, 1 चम्मच धनिया पत्ते, 1 चम्मच गरम मसाला पाउडर, 1/4 चम्मच आमचूर, 1/4 चम्मच हल्दी पाउडर, 1 कप पीली मूंग दाल - 2 घंटे भिगोई हुई, नमक - स्वादानुसार, 1/2 कप धनिया पत्ते - कटे हुए, सूरजमुखी तेल - ब्रश करने के लिए, 2 आलू - छीलकर छोटे क्यूब्स में काटे हुए, 2 चम्मच सूरजमुखी तेल, 1 सूखी लाल मिर्च - टुकड़ों में तोड़ी हुई, 1/2 चम्मच सरसों के बीज, 1/4 चम्मच जीरा, 1 बड़ा चम्मच अदरक लहसुन पेस्ट, 2 प्याज - कटा हुआ, 3 टमाटर - कटा हुआ, 2 हरे प्याज मिर्च - कटी हुई, 1 चम्मच गरम मसाला पाउडर, 2 चम्मच धनिया पत्ती, 1/4 चम्मच हल्दी पाउडर, 1 चम्मच जीरा पाउडर, 1/2 चम्मच लाल मिर्च पाउडर, नमक - स्वादानुसार, 1/4 कप धनिया पत्ती - कटी हुई, 2 टहनी धनिया पत्ती - गार्निश के लिए</v>
      </c>
      <c r="H613" s="1" t="s">
        <v>33437</v>
      </c>
      <c r="I613" s="1" t="str">
        <f ca="1">IFERROR(__xludf.dummyfunction("IF(H613="""", """", GOOGLETRANSLATE(H613, ""en"", ""hi""))"),"कोलकाता स्टाइल कचौरी आलू रेसिपी बनाने के लिए सबसे पहले एक कढ़ाई में तेल गर्म करें और उसमें सारे मसाले डालें जिसमें लाल मिर्च पाउडर, धनिया पाउडर, जीरा पाउडर, गरम मसाला पाउडर, अमचूर, हल्दी पाउडर शामिल हैं और अच्छी तरह मिलाएँ। 30 सेकंड के लिए हिलाएं और पानी "&amp;"डालें ताकि यह जल न जाए। लगभग 3 मिनट तक हिलाते रहें। अब भिगोई हुई मूंग दाल डालें और 5 से 7 मिनट तक हिलाएं ताकि यह हल्का उबल जाए या आधा उबल जाए। अब स्वादानुसार नमक और धनिया पत्ती डालें, अच्छी तरह मिलाएँ और एक तरफ रख दें। कचौरी के लिए भरावन तैयार है*कचौरी बन"&amp;"ाने की विधि। कोलकाता स्टाइल कचौरी तैयार करने के लिए एक मिक्सिंग बाउल में मैदा, अजवाइन, नमक और तेल डालें और उंगलियों और हथेली से अच्छी तरह मिलाएँ अब आटे में भरावन भरने के लिए एक लोई लें और आटे के किनारों को उंगलियों से दबाएं ताकि कचौरी का केंद्र थोड़ा मोटा"&amp;" हो जाए। केंद्र में एक बड़ा चम्मच भरावन भरें और इसे सभी तरफ से सील करके कचौरी बना लें। बाकी की कचौरियों के लिए भी यही दोहराएं। इस बीच, ओवन को 180 डिग्री सेल्सियस पर 10 मिनट के लिए पहले से गरम कर लें। एक बेकिंग ट्रे पर एल्युमिनियम फॉयल रखें और उस पर तेल लग"&amp;"ाएं। कचौरियों को एक दूसरे से आधा इंच की दूरी पर रखें और कचौरियों के ऊपरी हिस्से पर तेल लगाएं। 180 डिग्री सेल्सियस पर 20 मिनट के लिए ओवन में बेक करें। *कचौरी के लिए आलू की सब्जी बनाने की विधिप्रेशर कुकर में 2 चम्मच तेल गर्म करें। आंच धीमी कर दें अब इसमें अ"&amp;"दरक-लहसुन का पेस्ट डालें और तब तक भूनें जब तक अदरक लहसुन की कच्ची महक न चली जाए। कटे हुए टमाटर डालें और उनके नरम और गूदेदार होने तक पकाएं। अब आलू को सभी मसालों के साथ डालें और अच्छी तरह मिलाएँ। 2 कप गर्म पानी डालें और तेज़ आँच पर 1 सीटी आने तक पकाएँ। बंद "&amp;"करें और दबाव को स्वाभाविक रूप से छोड़ दें। जब दबाव अपने आप निकल जाए, तो ढक्कन हटाएँ और करी को अच्छी तरह चलाएँ। कटा हुआ हरा धनिया डालें और अच्छी तरह मिलाएँ। बेक्ड मूंग दाल कचौरी को आलू की सब्जी (कोलकाता स्टाइल क्लब कचौरी रेसिपी) के साथ परोसें और धनिया पत्त"&amp;"ी, नींबू के टुकड़े और भूनी हुई नमकीन हरी मिर्च से गार्निश करें। इसे खजूर और इमली की चटनी और मसाला चाय के साथ परोसें।")</f>
        <v>कोलकाता स्टाइल कचौरी आलू रेसिपी बनाने के लिए सबसे पहले एक कढ़ाई में तेल गर्म करें और उसमें सारे मसाले डालें जिसमें लाल मिर्च पाउडर, धनिया पाउडर, जीरा पाउडर, गरम मसाला पाउडर, अमचूर, हल्दी पाउडर शामिल हैं और अच्छी तरह मिलाएँ। 30 सेकंड के लिए हिलाएं और पानी डालें ताकि यह जल न जाए। लगभग 3 मिनट तक हिलाते रहें। अब भिगोई हुई मूंग दाल डालें और 5 से 7 मिनट तक हिलाएं ताकि यह हल्का उबल जाए या आधा उबल जाए। अब स्वादानुसार नमक और धनिया पत्ती डालें, अच्छी तरह मिलाएँ और एक तरफ रख दें। कचौरी के लिए भरावन तैयार है*कचौरी बनाने की विधि। कोलकाता स्टाइल कचौरी तैयार करने के लिए एक मिक्सिंग बाउल में मैदा, अजवाइन, नमक और तेल डालें और उंगलियों और हथेली से अच्छी तरह मिलाएँ अब आटे में भरावन भरने के लिए एक लोई लें और आटे के किनारों को उंगलियों से दबाएं ताकि कचौरी का केंद्र थोड़ा मोटा हो जाए। केंद्र में एक बड़ा चम्मच भरावन भरें और इसे सभी तरफ से सील करके कचौरी बना लें। बाकी की कचौरियों के लिए भी यही दोहराएं। इस बीच, ओवन को 180 डिग्री सेल्सियस पर 10 मिनट के लिए पहले से गरम कर लें। एक बेकिंग ट्रे पर एल्युमिनियम फॉयल रखें और उस पर तेल लगाएं। कचौरियों को एक दूसरे से आधा इंच की दूरी पर रखें और कचौरियों के ऊपरी हिस्से पर तेल लगाएं। 180 डिग्री सेल्सियस पर 20 मिनट के लिए ओवन में बेक करें। *कचौरी के लिए आलू की सब्जी बनाने की विधिप्रेशर कुकर में 2 चम्मच तेल गर्म करें। आंच धीमी कर दें अब इसमें अदरक-लहसुन का पेस्ट डालें और तब तक भूनें जब तक अदरक लहसुन की कच्ची महक न चली जाए। कटे हुए टमाटर डालें और उनके नरम और गूदेदार होने तक पकाएं। अब आलू को सभी मसालों के साथ डालें और अच्छी तरह मिलाएँ। 2 कप गर्म पानी डालें और तेज़ आँच पर 1 सीटी आने तक पकाएँ। बंद करें और दबाव को स्वाभाविक रूप से छोड़ दें। जब दबाव अपने आप निकल जाए, तो ढक्कन हटाएँ और करी को अच्छी तरह चलाएँ। कटा हुआ हरा धनिया डालें और अच्छी तरह मिलाएँ। बेक्ड मूंग दाल कचौरी को आलू की सब्जी (कोलकाता स्टाइल क्लब कचौरी रेसिपी) के साथ परोसें और धनिया पत्ती, नींबू के टुकड़े और भूनी हुई नमकीन हरी मिर्च से गार्निश करें। इसे खजूर और इमली की चटनी और मसाला चाय के साथ परोसें।</v>
      </c>
      <c r="J613" s="3" t="s">
        <v>33438</v>
      </c>
      <c r="L613" s="1" t="s">
        <v>31003</v>
      </c>
    </row>
    <row r="614" spans="1:12" ht="13.8">
      <c r="A614" s="1" t="s">
        <v>33439</v>
      </c>
      <c r="B614" s="1" t="str">
        <f ca="1">IFERROR(__xludf.dummyfunction("IF(A614="""", """", GOOGLETRANSLATE(A614, ""en"", ""hi""))"),"हलीम के कबाब रेसिपी")</f>
        <v>हलीम के कबाब रेसिपी</v>
      </c>
      <c r="C614" s="1" t="s">
        <v>14572</v>
      </c>
      <c r="D614" s="1" t="s">
        <v>14367</v>
      </c>
      <c r="E614" s="1">
        <v>75</v>
      </c>
      <c r="F614" s="1" t="s">
        <v>33440</v>
      </c>
      <c r="G614" s="1" t="str">
        <f ca="1">IFERROR(__xludf.dummyfunction("IF(F614="""", """", GOOGLETRANSLATE(F614, ""en"", ""hi""))"),"1/4 कप टूटा हुआ गेहूं (दलिया / गोदुमई रवा) - 4 घंटे के लिए भिगोया हुआ, 1/4 कप सफेद उड़द दाल (पूरी) - 4 घंटे के लिए भिगोया हुआ, 1/4 कप पीली मूंग दाल (विभाजित) - 4 घंटे के लिए भिगोया हुआ, 1/4 कप चना दाल (बंगाल ग्राम दाल) - 4 घंटे के लिए भिगोया हुआ, 500 ग्रा"&amp;"म मटन - करी कटा हुआ, 2 इंच अदरक - बारीक कटा हुआ, 10 लहसुन की कलियां - बारीक कटा हुआ, नमक - स्वादानुसार, केसर के रेशे - थोड़े, 2 हरी मिर्च - बारीक कटी हुई, 1 चम्मच लाल मिर्च पाउडर, 1/2 चम्मच हल्दी पाउडर (हल्दी), 1 1/2 चम्मच धनिया पाउडर, 1 चम्मच जीरा पाउडर "&amp;"(जीरा), 2 चम्मच चाट मसाला पाउडर, 2 बड़े चम्मच बेसन, पुदीना के पत्ते (छोटा गुच्छा), घी - आवश्यकतानुसार")</f>
        <v>1/4 कप टूटा हुआ गेहूं (दलिया / गोदुमई रवा) - 4 घंटे के लिए भिगोया हुआ, 1/4 कप सफेद उड़द दाल (पूरी) - 4 घंटे के लिए भिगोया हुआ, 1/4 कप पीली मूंग दाल (विभाजित) - 4 घंटे के लिए भिगोया हुआ, 1/4 कप चना दाल (बंगाल ग्राम दाल) - 4 घंटे के लिए भिगोया हुआ, 500 ग्राम मटन - करी कटा हुआ, 2 इंच अदरक - बारीक कटा हुआ, 10 लहसुन की कलियां - बारीक कटा हुआ, नमक - स्वादानुसार, केसर के रेशे - थोड़े, 2 हरी मिर्च - बारीक कटी हुई, 1 चम्मच लाल मिर्च पाउडर, 1/2 चम्मच हल्दी पाउडर (हल्दी), 1 1/2 चम्मच धनिया पाउडर, 1 चम्मच जीरा पाउडर (जीरा), 2 चम्मच चाट मसाला पाउडर, 2 बड़े चम्मच बेसन, पुदीना के पत्ते (छोटा गुच्छा), घी - आवश्यकतानुसार</v>
      </c>
      <c r="H614" s="1" t="s">
        <v>33441</v>
      </c>
      <c r="I614" s="1" t="str">
        <f ca="1">IFERROR(__xludf.dummyfunction("IF(H614="""", """", GOOGLETRANSLATE(H614, ""en"", ""hi""))"),"हलीम के कबाब रेसिपी बनाने के लिए सबसे पहले एक प्रेशर कुकर में सूखा और भिगोया हुआ गेहूं का आटा, चना दाल, उड़द दाल, मूंग दाल, मटन, अदरक, लहसुन और स्वादानुसार नमक डालें। प्रेशर कुकर में सभी सामग्री डुबाने के लिए पर्याप्त पानी डालें और 5 से 6 सीटी आने तक प्रे"&amp;"शर कुक करें। जब हो जाए तो आंच धीमी कर दें और 5 मिनट तक धीमी आंच पर पकाएं। 5 मिनट के बाद आंच बंद कर दें और प्रेशर को अपने आप निकलने दें। प्रेशर निकल जाने के बाद प्रेशर कुकर खोलें। एक चम्मच या थांग्स की मदद से मटन के टुकड़ों को एक प्लेट में निकालें और ठंडा "&amp;"होने दें। मटन के ठंडा होने पर मांस को हड्डियों से अलग कर लें। दाल को भी एक तरफ रख दें। मांस को चॉपिंग ब्लेड अटैचमेंट के साथ फूड प्रोसेसर जार में डालें घी गर्म हो जाने पर इसमें केसर, हरी मिर्च, लाल मिर्च पाउडर, हल्दी पाउडर, धनिया पाउडर, जीरा पाउडर, चाट मसा"&amp;"ला पाउडर डालें और इसे जल्दी से मिला लें। पकी हुई दाल और पिसा हुआ मटन पैन में डालें। तब तक हिलाते रहें जब तक मिश्रण गाढ़ा न हो जाए और पैन के किनारों से अलग न हो जाए। हलीन के कबाब मिश्रण को ठंडा होने दें और फिर इसे मिक्सिंग बाउल में डालें। मिक्सिंग बाउल में"&amp;" बेसन और पुदीने के पत्ते डालें और हलीम के कबाब मिश्रण को अच्छी तरह मिलाएँ। अपनी हथेलियों पर तेल लगाकर मिश्रण को गोल कबाब का आकार दें। हलीम के कबाब को पहले से गरम किए हुए तवे पर रखें। कबाब के ऊपर और चारों ओर घी छिड़कें और दोनों तरफ से सुनहरा भूरा होने तक प"&amp;"काएँ। हलीम के कबाब को सर्विंग प्लेट में डालें और गरमागरम परोसें। हलीम के कबाब रेसिपी को ऐपेटाइज़र के रूप में हरी चटनी और चिकन के साथ हांडी बिरयानी रेसिपी, लौकी का सालन, टमाटर प्याज खीरा रायता और गुलाब के स्वाद वाले शाही टुकड़े के साथ परोसें।")</f>
        <v>हलीम के कबाब रेसिपी बनाने के लिए सबसे पहले एक प्रेशर कुकर में सूखा और भिगोया हुआ गेहूं का आटा, चना दाल, उड़द दाल, मूंग दाल, मटन, अदरक, लहसुन और स्वादानुसार नमक डालें। प्रेशर कुकर में सभी सामग्री डुबाने के लिए पर्याप्त पानी डालें और 5 से 6 सीटी आने तक प्रेशर कुक करें। जब हो जाए तो आंच धीमी कर दें और 5 मिनट तक धीमी आंच पर पकाएं। 5 मिनट के बाद आंच बंद कर दें और प्रेशर को अपने आप निकलने दें। प्रेशर निकल जाने के बाद प्रेशर कुकर खोलें। एक चम्मच या थांग्स की मदद से मटन के टुकड़ों को एक प्लेट में निकालें और ठंडा होने दें। मटन के ठंडा होने पर मांस को हड्डियों से अलग कर लें। दाल को भी एक तरफ रख दें। मांस को चॉपिंग ब्लेड अटैचमेंट के साथ फूड प्रोसेसर जार में डालें घी गर्म हो जाने पर इसमें केसर, हरी मिर्च, लाल मिर्च पाउडर, हल्दी पाउडर, धनिया पाउडर, जीरा पाउडर, चाट मसाला पाउडर डालें और इसे जल्दी से मिला लें। पकी हुई दाल और पिसा हुआ मटन पैन में डालें। तब तक हिलाते रहें जब तक मिश्रण गाढ़ा न हो जाए और पैन के किनारों से अलग न हो जाए। हलीन के कबाब मिश्रण को ठंडा होने दें और फिर इसे मिक्सिंग बाउल में डालें। मिक्सिंग बाउल में बेसन और पुदीने के पत्ते डालें और हलीम के कबाब मिश्रण को अच्छी तरह मिलाएँ। अपनी हथेलियों पर तेल लगाकर मिश्रण को गोल कबाब का आकार दें। हलीम के कबाब को पहले से गरम किए हुए तवे पर रखें। कबाब के ऊपर और चारों ओर घी छिड़कें और दोनों तरफ से सुनहरा भूरा होने तक पकाएँ। हलीम के कबाब को सर्विंग प्लेट में डालें और गरमागरम परोसें। हलीम के कबाब रेसिपी को ऐपेटाइज़र के रूप में हरी चटनी और चिकन के साथ हांडी बिरयानी रेसिपी, लौकी का सालन, टमाटर प्याज खीरा रायता और गुलाब के स्वाद वाले शाही टुकड़े के साथ परोसें।</v>
      </c>
      <c r="J614" s="3" t="s">
        <v>33442</v>
      </c>
      <c r="L614" s="1" t="s">
        <v>31003</v>
      </c>
    </row>
    <row r="615" spans="1:12" ht="13.8">
      <c r="A615" s="1" t="s">
        <v>33443</v>
      </c>
      <c r="B615" s="1" t="str">
        <f ca="1">IFERROR(__xludf.dummyfunction("IF(A615="""", """", GOOGLETRANSLATE(A615, ""en"", ""hi""))"),"पनीर बटर मसाला रेसिपी")</f>
        <v>पनीर बटर मसाला रेसिपी</v>
      </c>
      <c r="C615" s="1" t="s">
        <v>145</v>
      </c>
      <c r="D615" s="1" t="s">
        <v>14198</v>
      </c>
      <c r="E615" s="1">
        <v>60</v>
      </c>
      <c r="F615" s="1" t="s">
        <v>33444</v>
      </c>
      <c r="G615" s="1" t="str">
        <f ca="1">IFERROR(__xludf.dummyfunction("IF(F615="""", """", GOOGLETRANSLATE(F615, ""en"", ""hi""))"),"200 ग्राम पनीर (घर का बना पनीर) - क्यूब्स में कटा हुआ, 3 टमाटर - प्यूरी किए हुए, 1 चम्मच लाल मिर्च पाउडर, 1 चम्मच जीरा पाउडर (जीरा), 1 चम्मच गरम मसाला पाउडर, 1/4 कप ताजा क्रीम, 2 बड़े चम्मच मक्खन, नमक - स्वादानुसार, 1 चम्मच कसूरी मेथी (सूखी मेथी के पत्ते)"&amp;", 1 प्याज, 1 इंच अदरक - छिला हुआ, 6 लहसुन के टुकड़े, 2 बड़े चम्मच काजू")</f>
        <v>200 ग्राम पनीर (घर का बना पनीर) - क्यूब्स में कटा हुआ, 3 टमाटर - प्यूरी किए हुए, 1 चम्मच लाल मिर्च पाउडर, 1 चम्मच जीरा पाउडर (जीरा), 1 चम्मच गरम मसाला पाउडर, 1/4 कप ताजा क्रीम, 2 बड़े चम्मच मक्खन, नमक - स्वादानुसार, 1 चम्मच कसूरी मेथी (सूखी मेथी के पत्ते), 1 प्याज, 1 इंच अदरक - छिला हुआ, 6 लहसुन के टुकड़े, 2 बड़े चम्मच काजू</v>
      </c>
      <c r="H615" s="1" t="s">
        <v>33445</v>
      </c>
      <c r="I615" s="1" t="str">
        <f ca="1">IFERROR(__xludf.dummyfunction("IF(H615="""", """", GOOGLETRANSLATE(H615, ""en"", ""hi""))"),"पनीर बटर मसाला बनाने के लिए सबसे पहले एक मिक्सर में प्याज, अदरक, लहसुन और काजू जैसी 'पीसने वाली सामग्री' को थोड़े पानी का उपयोग करते हुए मुलायम होने तक पीस लें। इसे एक बाउल में निकाल लें और आवश्यकता होने तक अलग रख दें। एक पैन में मध्यम आंच पर मक्खन गर्म क"&amp;"रें। इसमें प्याज का पेस्ट डालें और मध्यम आंच पर तब तक भूनें जब तक यह हल्का भूरा न हो जाए और मसाले से तेल अलग न होने लगे। इसमें लाल मिर्च पाउडर और टमाटर प्यूरी डालें और मध्यम आंच पर एक बार फिर से कुछ और मिनट के लिए भूनें। जैसे ही मसाला भुन जाएगा इसका रंग ब"&amp;"दलकर चमकीला लाल हो जाएगा। जब मसाला अच्छी तरह भुन जाए तो इसमें जीरा पाउडर, गरम मसाला और 1 कप पानी डालें। अच्छी तरह मिलाएँ और बटर मसाला ग्रेवी को मध्यम आंच पर 10 से 15 मिनट तक या गाढ़ा होने तक पकने दें। जब बटर मसाला गाढ़ा हो जाए तो इसमें क्रीम, नमक और पनीर "&amp;"डालें। मिश्रण को हिलाएँ और अगले 5 - 10 मिनट तक पकाएँ और पनीर को ग्रेवी का स्वाद सोखने दें। अगर पनीर बटर मसाला अभी भी थोड़ा पतला लग रहा है तो इसे कुछ और मिनट तक पकने दें। आँच बंद कर दें। पनीर बटर मसाला पर कुटी हुई कसूरी मेथी छिड़कें और मिलाएँ। पनीर बटर मसा"&amp;"ला को पंजाबी स्टाइल डिनर के लिए नान, कुल्चा या तवा पराठा के साथ गरमागरम परोसें।")</f>
        <v>पनीर बटर मसाला बनाने के लिए सबसे पहले एक मिक्सर में प्याज, अदरक, लहसुन और काजू जैसी 'पीसने वाली सामग्री' को थोड़े पानी का उपयोग करते हुए मुलायम होने तक पीस लें। इसे एक बाउल में निकाल लें और आवश्यकता होने तक अलग रख दें। एक पैन में मध्यम आंच पर मक्खन गर्म करें। इसमें प्याज का पेस्ट डालें और मध्यम आंच पर तब तक भूनें जब तक यह हल्का भूरा न हो जाए और मसाले से तेल अलग न होने लगे। इसमें लाल मिर्च पाउडर और टमाटर प्यूरी डालें और मध्यम आंच पर एक बार फिर से कुछ और मिनट के लिए भूनें। जैसे ही मसाला भुन जाएगा इसका रंग बदलकर चमकीला लाल हो जाएगा। जब मसाला अच्छी तरह भुन जाए तो इसमें जीरा पाउडर, गरम मसाला और 1 कप पानी डालें। अच्छी तरह मिलाएँ और बटर मसाला ग्रेवी को मध्यम आंच पर 10 से 15 मिनट तक या गाढ़ा होने तक पकने दें। जब बटर मसाला गाढ़ा हो जाए तो इसमें क्रीम, नमक और पनीर डालें। मिश्रण को हिलाएँ और अगले 5 - 10 मिनट तक पकाएँ और पनीर को ग्रेवी का स्वाद सोखने दें। अगर पनीर बटर मसाला अभी भी थोड़ा पतला लग रहा है तो इसे कुछ और मिनट तक पकने दें। आँच बंद कर दें। पनीर बटर मसाला पर कुटी हुई कसूरी मेथी छिड़कें और मिलाएँ। पनीर बटर मसाला को पंजाबी स्टाइल डिनर के लिए नान, कुल्चा या तवा पराठा के साथ गरमागरम परोसें।</v>
      </c>
      <c r="J615" s="3" t="s">
        <v>33446</v>
      </c>
      <c r="L615" s="1" t="s">
        <v>31003</v>
      </c>
    </row>
    <row r="616" spans="1:12" ht="13.8">
      <c r="A616" s="1" t="s">
        <v>33447</v>
      </c>
      <c r="B616" s="1" t="str">
        <f ca="1">IFERROR(__xludf.dummyfunction("IF(A616="""", """", GOOGLETRANSLATE(A616, ""en"", ""hi""))"),"तंदूरी पनीर टिक्का मसाला रेसिपी")</f>
        <v>तंदूरी पनीर टिक्का मसाला रेसिपी</v>
      </c>
      <c r="C616" s="1" t="s">
        <v>14207</v>
      </c>
      <c r="D616" s="1" t="s">
        <v>14237</v>
      </c>
      <c r="E616" s="1">
        <v>60</v>
      </c>
      <c r="F616" s="1" t="s">
        <v>33448</v>
      </c>
      <c r="G616" s="1" t="str">
        <f ca="1">IFERROR(__xludf.dummyfunction("IF(F616="""", """", GOOGLETRANSLATE(F616, ""en"", ""hi""))"),"250 ग्राम पनीर - क्यूब्स में कटा हुआ, 2 कोयला - कोयले से पकाने की विधि के लिए, 2 कप घर का बना टमाटर प्यूरी, 3 बड़े चम्मच हैवी व्हिपिंग क्रीम, 5 पुदीना, 3 लहसुन के दाने, 1 अदरक, 1 चम्मच सौंफ, 1/2 चम्मच अजवाइन, 1 केसर - कुछ, 1/2 चम्मच जीरा, 1 चम्मच धनिया, 1"&amp;" चम्मच चाट मसाला पाउडर, 1/2 चम्मच गरम मसाला पाउडर, 1/2 चम्मच काली मिर्च पाउडर, 1/4 चम्मच लाल मिर्च पाउडर, 1/4 चम्मच काला नमक, 1 चम्मच हल्दी, नमक - स्वादानुसार")</f>
        <v>250 ग्राम पनीर - क्यूब्स में कटा हुआ, 2 कोयला - कोयले से पकाने की विधि के लिए, 2 कप घर का बना टमाटर प्यूरी, 3 बड़े चम्मच हैवी व्हिपिंग क्रीम, 5 पुदीना, 3 लहसुन के दाने, 1 अदरक, 1 चम्मच सौंफ, 1/2 चम्मच अजवाइन, 1 केसर - कुछ, 1/2 चम्मच जीरा, 1 चम्मच धनिया, 1 चम्मच चाट मसाला पाउडर, 1/2 चम्मच गरम मसाला पाउडर, 1/2 चम्मच काली मिर्च पाउडर, 1/4 चम्मच लाल मिर्च पाउडर, 1/4 चम्मच काला नमक, 1 चम्मच हल्दी, नमक - स्वादानुसार</v>
      </c>
      <c r="H616" s="1" t="s">
        <v>33449</v>
      </c>
      <c r="I616" s="1" t="str">
        <f ca="1">IFERROR(__xludf.dummyfunction("IF(H616="""", """", GOOGLETRANSLATE(H616, ""en"", ""hi""))"),"तंदूरी पनीर टिक्का मसाला रेसिपी बनाने के लिए सबसे पहले हम टिक्का मसाला बनाएंगे। एक कटोरे में क्रीम और कटे हुए पुदीने के पत्ते मिलाएं। सौंफ और अजवाइन को पीसकर दही के मिश्रण में मिला दें। क्रीम मिश्रण में बाकी टिक्का मसाला सामग्री डालें और अच्छी तरह मिलाएँ।"&amp;" पनीर के टुकड़ों को एक बड़े कटोरे में रखें, उसमें मैरिनेड डालें और इसे लगभग आधे से एक घंटे या रात भर के लिए ढककर रख दें। एक मूसल और खरल का उपयोग करके अदरक और लहसुन का पेस्ट बना लें। एक भारी तले की कड़ाही में तेल गर्म करें; उसमें पिसा हुआ अदरक, लहसुन डालें"&amp;" और कुछ सेकंड के लिए भूनें। टमाटर डालें और इसे तेजी से उबालें। पनीर के साथ मैरिनेड डालें और सभी सामग्री को मिलाने के लिए इसे अच्छी तरह हिलाएँ पैन को ढक दें और पनीर टिक्का मसाला को लगभग 3 से 4 मिनट तक उबलने दें। उबलने के दौरान, हम कोयले को धूम्रपान विधि के"&amp;" लिए तैयार कर सकते हैं। कोयले का एक या दो टुकड़ा (लगभग 3 इंच बड़ा) लें और इसे चिमटे की मदद से गैस की आंच पर रखें। कोयला लगभग 5 मिनट में लाल गर्म और भूरा होने लगेगा। यह दर्शाता है कि कोयले का उपयोग धूम्रपान के लिए किया जा सकता है। इस गर्म कोयले को एक दरार-"&amp;"प्रूफ कटोरे में रखें। इस बिंदु पर एक बड़े कड़ाही या रिम के साथ एक कड़ाही को मध्यम आँच पर गरम करें। पनीर के ऊपर कटोरे के साथ कोयला रखें। पनीर टिक्का मसाला के ऊपर कटोरे के साथ कोयला रखें। कोयले पर एक चम्मच घी या तेल डालें। यह धुआं उठने लगेगा। तुरंत पैन को ढ"&amp;"क दें और गर्मी को कम कर दें पनीर टिक्का मसाला को अपनी पसंदीदा भारतीय रोटी, जीरा पुलाव, पापड़ और रायता के साथ परोसें और अपने परिवार के लिए एक संपूर्ण रात्रिभोज तैयार करें।")</f>
        <v>तंदूरी पनीर टिक्का मसाला रेसिपी बनाने के लिए सबसे पहले हम टिक्का मसाला बनाएंगे। एक कटोरे में क्रीम और कटे हुए पुदीने के पत्ते मिलाएं। सौंफ और अजवाइन को पीसकर दही के मिश्रण में मिला दें। क्रीम मिश्रण में बाकी टिक्का मसाला सामग्री डालें और अच्छी तरह मिलाएँ। पनीर के टुकड़ों को एक बड़े कटोरे में रखें, उसमें मैरिनेड डालें और इसे लगभग आधे से एक घंटे या रात भर के लिए ढककर रख दें। एक मूसल और खरल का उपयोग करके अदरक और लहसुन का पेस्ट बना लें। एक भारी तले की कड़ाही में तेल गर्म करें; उसमें पिसा हुआ अदरक, लहसुन डालें और कुछ सेकंड के लिए भूनें। टमाटर डालें और इसे तेजी से उबालें। पनीर के साथ मैरिनेड डालें और सभी सामग्री को मिलाने के लिए इसे अच्छी तरह हिलाएँ पैन को ढक दें और पनीर टिक्का मसाला को लगभग 3 से 4 मिनट तक उबलने दें। उबलने के दौरान, हम कोयले को धूम्रपान विधि के लिए तैयार कर सकते हैं। कोयले का एक या दो टुकड़ा (लगभग 3 इंच बड़ा) लें और इसे चिमटे की मदद से गैस की आंच पर रखें। कोयला लगभग 5 मिनट में लाल गर्म और भूरा होने लगेगा। यह दर्शाता है कि कोयले का उपयोग धूम्रपान के लिए किया जा सकता है। इस गर्म कोयले को एक दरार-प्रूफ कटोरे में रखें। इस बिंदु पर एक बड़े कड़ाही या रिम के साथ एक कड़ाही को मध्यम आँच पर गरम करें। पनीर के ऊपर कटोरे के साथ कोयला रखें। पनीर टिक्का मसाला के ऊपर कटोरे के साथ कोयला रखें। कोयले पर एक चम्मच घी या तेल डालें। यह धुआं उठने लगेगा। तुरंत पैन को ढक दें और गर्मी को कम कर दें पनीर टिक्का मसाला को अपनी पसंदीदा भारतीय रोटी, जीरा पुलाव, पापड़ और रायता के साथ परोसें और अपने परिवार के लिए एक संपूर्ण रात्रिभोज तैयार करें।</v>
      </c>
      <c r="J616" s="3" t="s">
        <v>33450</v>
      </c>
      <c r="L616" s="1" t="s">
        <v>31003</v>
      </c>
    </row>
    <row r="617" spans="1:12" ht="13.8">
      <c r="A617" s="1" t="s">
        <v>33451</v>
      </c>
      <c r="B617" s="1" t="str">
        <f ca="1">IFERROR(__xludf.dummyfunction("IF(A617="""", """", GOOGLETRANSLATE(A617, ""en"", ""hi""))"),"हरी आम मसूर दाल रेसिपी")</f>
        <v>हरी आम मसूर दाल रेसिपी</v>
      </c>
      <c r="C617" s="1" t="s">
        <v>429</v>
      </c>
      <c r="D617" s="1" t="s">
        <v>14237</v>
      </c>
      <c r="E617" s="1">
        <v>30</v>
      </c>
      <c r="F617" s="1" t="s">
        <v>33452</v>
      </c>
      <c r="G617" s="1" t="str">
        <f ca="1">IFERROR(__xludf.dummyfunction("IF(F617="""", """", GOOGLETRANSLATE(F617, ""en"", ""hi""))"),"1 कप मसूर दाल (साबुत), 1/2 कप आम (कच्चा) - टुकड़ों में कटा हुआ, 2 हरी मिर्च - कटी हुई, 1/2 छोटा चम्मच हल्दी पाउडर, नमक - स्वादानुसार, 2 बड़े चम्मच सरसों का तेल, 1/2 छोटा चम्मच जीरा, 1/2 छोटा चम्मच सरसों के बीज, 1/4 छोटा चम्मच कलौंजी, 1/2 छोटा चम्मच सौंफ, "&amp;"1/4 छोटा चम्मच मेथी के बीज, 3-4 सूखी लाल मिर्च")</f>
        <v>1 कप मसूर दाल (साबुत), 1/2 कप आम (कच्चा) - टुकड़ों में कटा हुआ, 2 हरी मिर्च - कटी हुई, 1/2 छोटा चम्मच हल्दी पाउडर, नमक - स्वादानुसार, 2 बड़े चम्मच सरसों का तेल, 1/2 छोटा चम्मच जीरा, 1/2 छोटा चम्मच सरसों के बीज, 1/4 छोटा चम्मच कलौंजी, 1/2 छोटा चम्मच सौंफ, 1/4 छोटा चम्मच मेथी के बीज, 3-4 सूखी लाल मिर्च</v>
      </c>
      <c r="H617" s="1" t="s">
        <v>33453</v>
      </c>
      <c r="I617" s="1" t="str">
        <f ca="1">IFERROR(__xludf.dummyfunction("IF(H617="""", """", GOOGLETRANSLATE(H617, ""en"", ""hi""))"),"ग्रीन मैंगो मसूर दाल रेसिपी बनाने के लिए सबसे पहले मसूर दाल को अच्छे से साफ करके धो लें। मध्यम आंच पर एक प्रेशर कुकर रखें। प्रेशर कुकर में दाल के साथ ढाई कप पानी, नमक, हल्दी और कटी हुई हरी मिर्च डालें। आप अपनी पसंद के अनुसार हरी मिर्च का स्वाद कम या ज्याद"&amp;"ा कर सकते हैं। इसे उबाल आने दें। इसमें कटे हुए कच्चे आम डालें। प्रेशर कुकर का ढक्कन ढक दें और एक या दो सीटी आने तक या पकने तक पकाएं।इस स्तर पर, कटे हुए कच्चे आम डालें। प्रेशर कुकर का ढक्कन ढक दें और एक या दो सीटी आने तक या पकने तक पकाएं।जब कुकर का प्रेशर "&amp;"अपने आप निकल जाए, तो थोड़ा पानी डालकर दाल का गाढ़ापन अपनी पसंद के अनुसार एडजस्ट करें। इसे वापस आंच पर रखें। इसे उबालें और 2 से 3 मिनट तक उबालें। कुछ सेकंड के लिए उन्हें चटकने दें। टूटी हुई लाल मिर्च डालें और कुछ सेकंड के लिए भूनें। इस तड़के को दाल पर डाले"&amp;"ं। आँच बंद कर दें। ग्रीन मैंगो मसूर दाल रेसिपी को स्टीम्ड राइस या गरम तवा पराठों के साथ गरमागरम परोसें।")</f>
        <v>ग्रीन मैंगो मसूर दाल रेसिपी बनाने के लिए सबसे पहले मसूर दाल को अच्छे से साफ करके धो लें। मध्यम आंच पर एक प्रेशर कुकर रखें। प्रेशर कुकर में दाल के साथ ढाई कप पानी, नमक, हल्दी और कटी हुई हरी मिर्च डालें। आप अपनी पसंद के अनुसार हरी मिर्च का स्वाद कम या ज्यादा कर सकते हैं। इसे उबाल आने दें। इसमें कटे हुए कच्चे आम डालें। प्रेशर कुकर का ढक्कन ढक दें और एक या दो सीटी आने तक या पकने तक पकाएं।इस स्तर पर, कटे हुए कच्चे आम डालें। प्रेशर कुकर का ढक्कन ढक दें और एक या दो सीटी आने तक या पकने तक पकाएं।जब कुकर का प्रेशर अपने आप निकल जाए, तो थोड़ा पानी डालकर दाल का गाढ़ापन अपनी पसंद के अनुसार एडजस्ट करें। इसे वापस आंच पर रखें। इसे उबालें और 2 से 3 मिनट तक उबालें। कुछ सेकंड के लिए उन्हें चटकने दें। टूटी हुई लाल मिर्च डालें और कुछ सेकंड के लिए भूनें। इस तड़के को दाल पर डालें। आँच बंद कर दें। ग्रीन मैंगो मसूर दाल रेसिपी को स्टीम्ड राइस या गरम तवा पराठों के साथ गरमागरम परोसें।</v>
      </c>
      <c r="J617" s="3" t="s">
        <v>33454</v>
      </c>
      <c r="L617" s="1" t="s">
        <v>31003</v>
      </c>
    </row>
    <row r="618" spans="1:12" ht="13.8">
      <c r="A618" s="1" t="s">
        <v>33455</v>
      </c>
      <c r="B618" s="1" t="str">
        <f ca="1">IFERROR(__xludf.dummyfunction("IF(A618="""", """", GOOGLETRANSLATE(A618, ""en"", ""hi""))"),"आलू टमाटर")</f>
        <v>आलू टमाटर</v>
      </c>
      <c r="C618" s="1" t="s">
        <v>145</v>
      </c>
      <c r="D618" s="1" t="s">
        <v>14198</v>
      </c>
      <c r="E618" s="1">
        <v>35</v>
      </c>
      <c r="F618" s="1" t="s">
        <v>33456</v>
      </c>
      <c r="G618" s="1" t="str">
        <f ca="1">IFERROR(__xludf.dummyfunction("IF(F618="""", """", GOOGLETRANSLATE(F618, ""en"", ""hi""))"),"3 आलू - कटे हुए, 3 टमाटर - बारीक कटे हुए, 2 बड़े चम्मच घी, 1 सूखी लाल मिर्च, 1-1/2 छोटा चम्मच जीरा, 1/4 छोटा चम्मच हींग, 1/2 छोटा चम्मच लाल मिर्च पाउडर, 1/4 छोटा चम्मच हल्दी पाउडर, 1/2 छोटा चम्मच धनिया पाउडर, 1/2 छोटा चम्मच अमचूर, 2 कप पानी - आवश्यकतानुसा"&amp;"र, नमक - स्वादानुसार, हरा धनिया - आवश्यकतानुसार (सजावट के लिए)")</f>
        <v>3 आलू - कटे हुए, 3 टमाटर - बारीक कटे हुए, 2 बड़े चम्मच घी, 1 सूखी लाल मिर्च, 1-1/2 छोटा चम्मच जीरा, 1/4 छोटा चम्मच हींग, 1/2 छोटा चम्मच लाल मिर्च पाउडर, 1/4 छोटा चम्मच हल्दी पाउडर, 1/2 छोटा चम्मच धनिया पाउडर, 1/2 छोटा चम्मच अमचूर, 2 कप पानी - आवश्यकतानुसार, नमक - स्वादानुसार, हरा धनिया - आवश्यकतानुसार (सजावट के लिए)</v>
      </c>
      <c r="H618" s="1" t="s">
        <v>33457</v>
      </c>
      <c r="I618" s="1" t="str">
        <f ca="1">IFERROR(__xludf.dummyfunction("IF(H618="""", """", GOOGLETRANSLATE(H618, ""en"", ""hi""))"),"आलू टमाटर बनाने के लिए सबसे पहले आलू को अच्छे से धो लें। अब आलू को छीलकर काट लें। आलू को एक बड़े बर्तन में पानी के साथ रख लें। अब हम इस सब्जी को बनाने के लिए बाकी सामग्री तैयार करेंगे। टमाटर को धोकर छोटे-छोटे टुकड़ों में काट लें। कश्मीरी मिर्च के बीच में "&amp;"चीरा लगाकर बीज निकाल दें। धनिया को बारीक काट कर अलग रख लें। प्रेशर कुकर में घी गर्म करें। इसमें जीरा, हींग, कश्मीरी मिर्च डालकर 20 सेकंड तक पकने दें। 20 सेकंड बाद इसमें आलू डालकर पकाएं। 1 मिनट बाद इसमें लाल मिर्च पाउडर और हल्दी पाउडर डालें। सभी चीजों को अ"&amp;"च्छे से मिला लें। अब इसमें टमाटर डालकर 3 मिनट तक पकाएं। 3 मिनट बाद इसमें धनिया पाउडर, नमक और अमचूर पाउडर डालें। इसे मिला लें। जरूरत के हिसाब से पानी डालकर मिला लें और कुकर बंद कर दें। 2 सीटी आने तक पकाएं और गैस बंद कर दें। प्रेशर निकलने दें और फिर कुकर खो"&amp;"लें। इसमें कुछ आलू मिलाएं। इसे चमचे से मैश करें ताकि ग्रेवी थोड़ी गाढ़ी हो जाए। इसे मिला लें, गैस बंद कर दें और हरे धनिए से गार्निश करें। सर्व करें रात के खाने में बूंदी रायता, कचुम्बर सलाद और पुरी के साथ आलू टमाटरी।")</f>
        <v>आलू टमाटर बनाने के लिए सबसे पहले आलू को अच्छे से धो लें। अब आलू को छीलकर काट लें। आलू को एक बड़े बर्तन में पानी के साथ रख लें। अब हम इस सब्जी को बनाने के लिए बाकी सामग्री तैयार करेंगे। टमाटर को धोकर छोटे-छोटे टुकड़ों में काट लें। कश्मीरी मिर्च के बीच में चीरा लगाकर बीज निकाल दें। धनिया को बारीक काट कर अलग रख लें। प्रेशर कुकर में घी गर्म करें। इसमें जीरा, हींग, कश्मीरी मिर्च डालकर 20 सेकंड तक पकने दें। 20 सेकंड बाद इसमें आलू डालकर पकाएं। 1 मिनट बाद इसमें लाल मिर्च पाउडर और हल्दी पाउडर डालें। सभी चीजों को अच्छे से मिला लें। अब इसमें टमाटर डालकर 3 मिनट तक पकाएं। 3 मिनट बाद इसमें धनिया पाउडर, नमक और अमचूर पाउडर डालें। इसे मिला लें। जरूरत के हिसाब से पानी डालकर मिला लें और कुकर बंद कर दें। 2 सीटी आने तक पकाएं और गैस बंद कर दें। प्रेशर निकलने दें और फिर कुकर खोलें। इसमें कुछ आलू मिलाएं। इसे चमचे से मैश करें ताकि ग्रेवी थोड़ी गाढ़ी हो जाए। इसे मिला लें, गैस बंद कर दें और हरे धनिए से गार्निश करें। सर्व करें रात के खाने में बूंदी रायता, कचुम्बर सलाद और पुरी के साथ आलू टमाटरी।</v>
      </c>
      <c r="J618" s="3" t="s">
        <v>33458</v>
      </c>
      <c r="L618" s="1" t="s">
        <v>31003</v>
      </c>
    </row>
    <row r="619" spans="1:12" ht="13.8">
      <c r="A619" s="1" t="s">
        <v>33459</v>
      </c>
      <c r="B619" s="1" t="str">
        <f ca="1">IFERROR(__xludf.dummyfunction("IF(A619="""", """", GOOGLETRANSLATE(A619, ""en"", ""hi""))"),"धनिया चिकन रोस्ट रेसिपी")</f>
        <v>धनिया चिकन रोस्ट रेसिपी</v>
      </c>
      <c r="C619" s="1" t="s">
        <v>14572</v>
      </c>
      <c r="D619" s="1" t="s">
        <v>14367</v>
      </c>
      <c r="E619" s="1">
        <v>75</v>
      </c>
      <c r="F619" s="1" t="s">
        <v>33460</v>
      </c>
      <c r="G619" s="1" t="str">
        <f ca="1">IFERROR(__xludf.dummyfunction("IF(F619="""", """", GOOGLETRANSLATE(F619, ""en"", ""hi""))"),"500 ग्राम चिकन, 1 बड़ा चम्मच लाल मिर्च पाउडर, 1 छोटा चम्मच गरम मसाला पाउडर, 1/4 छोटा चम्मच हल्दी पाउडर, नमक - आवश्यकतानुसार, 1 बड़ा चम्मच अदरक लहसुन पेस्ट, 3/4 कप धनिया पत्ते - बारीक कटे हुए, 2 बड़े चम्मच सूरजमुखी तेल")</f>
        <v>500 ग्राम चिकन, 1 बड़ा चम्मच लाल मिर्च पाउडर, 1 छोटा चम्मच गरम मसाला पाउडर, 1/4 छोटा चम्मच हल्दी पाउडर, नमक - आवश्यकतानुसार, 1 बड़ा चम्मच अदरक लहसुन पेस्ट, 3/4 कप धनिया पत्ते - बारीक कटे हुए, 2 बड़े चम्मच सूरजमुखी तेल</v>
      </c>
      <c r="H619" s="1" t="s">
        <v>33461</v>
      </c>
      <c r="I619" s="1" t="str">
        <f ca="1">IFERROR(__xludf.dummyfunction("IF(H619="""", """", GOOGLETRANSLATE(H619, ""en"", ""hi""))"),"धनिया चिकन रोस्ट रेसिपी बनाने के लिए सबसे पहले एक कटोरे में बारीक धोया और साफ किया हुआ चिकन लें। इस कटोरे में लाल मिर्च पाउडर, गरम मसाला, हल्दी पाउडर, नमक, अदरक लहसुन का पेस्ट, धनिया पत्ती डालें। सभी चीजों को अच्छे से मिलाएं और इसे 1 घंटे के लिए मैरीनेट ह"&amp;"ोने दें। फिर एक पैन गर्म करें और तेल डालें जब यह गर्म हो जाए तो इसमें मैरीनेट किया हुआ चिकन डालें और धीमी आंच पर पकाना शुरू करें। खाना पकाना जारी रखें और बर्तन के तले में जलने से बचाने के लिए बीच-बीच में हिलाते रहें। चिकन पक जाने के बाद आंच बंद कर दें और "&amp;"गर्मागर्म सर्व करें। धनिया चिकन रोस्ट को उबले हुए चावल और जीरा रसम के साथ सप्ताह के दिनों के खाने के लिए परोसें।")</f>
        <v>धनिया चिकन रोस्ट रेसिपी बनाने के लिए सबसे पहले एक कटोरे में बारीक धोया और साफ किया हुआ चिकन लें। इस कटोरे में लाल मिर्च पाउडर, गरम मसाला, हल्दी पाउडर, नमक, अदरक लहसुन का पेस्ट, धनिया पत्ती डालें। सभी चीजों को अच्छे से मिलाएं और इसे 1 घंटे के लिए मैरीनेट होने दें। फिर एक पैन गर्म करें और तेल डालें जब यह गर्म हो जाए तो इसमें मैरीनेट किया हुआ चिकन डालें और धीमी आंच पर पकाना शुरू करें। खाना पकाना जारी रखें और बर्तन के तले में जलने से बचाने के लिए बीच-बीच में हिलाते रहें। चिकन पक जाने के बाद आंच बंद कर दें और गर्मागर्म सर्व करें। धनिया चिकन रोस्ट को उबले हुए चावल और जीरा रसम के साथ सप्ताह के दिनों के खाने के लिए परोसें।</v>
      </c>
      <c r="J619" s="3" t="s">
        <v>33462</v>
      </c>
      <c r="L619" s="1" t="s">
        <v>31003</v>
      </c>
    </row>
    <row r="620" spans="1:12" ht="13.8">
      <c r="A620" s="1" t="s">
        <v>33463</v>
      </c>
      <c r="B620" s="1" t="str">
        <f ca="1">IFERROR(__xludf.dummyfunction("IF(A620="""", """", GOOGLETRANSLATE(A620, ""en"", ""hi""))"),"मीठी और तीखी आंवला चटनी रेसिपी")</f>
        <v>मीठी और तीखी आंवला चटनी रेसिपी</v>
      </c>
      <c r="C620" s="1" t="s">
        <v>14207</v>
      </c>
      <c r="D620" s="1" t="s">
        <v>14198</v>
      </c>
      <c r="E620" s="1">
        <v>55</v>
      </c>
      <c r="F620" s="1" t="s">
        <v>33464</v>
      </c>
      <c r="G620" s="1" t="str">
        <f ca="1">IFERROR(__xludf.dummyfunction("IF(F620="""", """", GOOGLETRANSLATE(F620, ""en"", ""hi""))"),"100 ग्राम आंवला, 1 चम्मच जीरा, 1 चम्मच सरसों के बीज, 1 टहनी करी पत्ता, 2 चम्मच लाल मिर्च पाउडर, 1 चुटकी हींग, 1/4 कप गुड़, नमक - स्वादानुसार, सूरजमुखी तेल")</f>
        <v>100 ग्राम आंवला, 1 चम्मच जीरा, 1 चम्मच सरसों के बीज, 1 टहनी करी पत्ता, 2 चम्मच लाल मिर्च पाउडर, 1 चुटकी हींग, 1/4 कप गुड़, नमक - स्वादानुसार, सूरजमुखी तेल</v>
      </c>
      <c r="H620" s="1" t="s">
        <v>33465</v>
      </c>
      <c r="I620" s="1" t="str">
        <f ca="1">IFERROR(__xludf.dummyfunction("IF(H620="""", """", GOOGLETRANSLATE(H620, ""en"", ""hi""))"),"मीठी और तीखी आंवला चटनी रेसिपी बनाने के लिए, आंवले को थोड़े पानी के साथ तीन सीटी आने तक पकाएँ। प्रेशर निकलने के बाद, कुकर खोलें और आंवले के बीज निकाल दें। पके हुए आंवले को थोड़े पानी के साथ मिक्सर में पीस लें और चिकना पेस्ट बना लें। एक कढ़ाई में तेल गरम क"&amp;"रें, उसमें जीरा, राई और हींग डालें, उसे चटकने दें। लाल मिर्च पाउडर डालें और चलाएँ, पिसा हुआ आंवला पेस्ट डालें और अच्छी तरह मिलाएँ। गुड़ और नमक डालें और मिश्रण के एक साथ आने तक कुछ मिनट तक पकाएँ। मीठी और तीखी आंवला चटनी रेसिपी को क्रिस्पी डोसा या थालीपीठ क"&amp;"े साथ परोसें और अपने नाश्ते के साथ इसका आनंद लें।")</f>
        <v>मीठी और तीखी आंवला चटनी रेसिपी बनाने के लिए, आंवले को थोड़े पानी के साथ तीन सीटी आने तक पकाएँ। प्रेशर निकलने के बाद, कुकर खोलें और आंवले के बीज निकाल दें। पके हुए आंवले को थोड़े पानी के साथ मिक्सर में पीस लें और चिकना पेस्ट बना लें। एक कढ़ाई में तेल गरम करें, उसमें जीरा, राई और हींग डालें, उसे चटकने दें। लाल मिर्च पाउडर डालें और चलाएँ, पिसा हुआ आंवला पेस्ट डालें और अच्छी तरह मिलाएँ। गुड़ और नमक डालें और मिश्रण के एक साथ आने तक कुछ मिनट तक पकाएँ। मीठी और तीखी आंवला चटनी रेसिपी को क्रिस्पी डोसा या थालीपीठ के साथ परोसें और अपने नाश्ते के साथ इसका आनंद लें।</v>
      </c>
      <c r="J620" s="3" t="s">
        <v>33466</v>
      </c>
      <c r="L620" s="1" t="s">
        <v>31003</v>
      </c>
    </row>
    <row r="621" spans="1:12" ht="13.8">
      <c r="A621" s="1" t="s">
        <v>33467</v>
      </c>
      <c r="B621" s="1" t="str">
        <f ca="1">IFERROR(__xludf.dummyfunction("IF(A621="""", """", GOOGLETRANSLATE(A621, ""en"", ""hi""))"),"चॉकलेट बादाम बर्फी / चॉकलेट बादाम फज रेसिपी")</f>
        <v>चॉकलेट बादाम बर्फी / चॉकलेट बादाम फज रेसिपी</v>
      </c>
      <c r="C621" s="1" t="s">
        <v>8417</v>
      </c>
      <c r="D621" s="1" t="s">
        <v>14198</v>
      </c>
      <c r="E621" s="1">
        <v>30</v>
      </c>
      <c r="F621" s="1" t="s">
        <v>33468</v>
      </c>
      <c r="G621" s="1" t="str">
        <f ca="1">IFERROR(__xludf.dummyfunction("IF(F621="""", """", GOOGLETRANSLATE(F621, ""en"", ""hi""))"),"1 कप खोया (मावा), 1/2 कप चीनी - दानेदार, 1/2 कप बादाम आटा (बादाम पाउडर), 2 बड़े चम्मच कोको पाउडर - बिना चीनी वाला, घी - प्लेट को चिकना करने के लिए")</f>
        <v>1 कप खोया (मावा), 1/2 कप चीनी - दानेदार, 1/2 कप बादाम आटा (बादाम पाउडर), 2 बड़े चम्मच कोको पाउडर - बिना चीनी वाला, घी - प्लेट को चिकना करने के लिए</v>
      </c>
      <c r="H621" s="1" t="s">
        <v>33469</v>
      </c>
      <c r="I621" s="1" t="str">
        <f ca="1">IFERROR(__xludf.dummyfunction("IF(H621="""", """", GOOGLETRANSLATE(H621, ""en"", ""hi""))"),"चोको बादाम बर्फी / चोको बादाम फज रेसिपी बनाने के लिए, एक मध्यम कढ़ाई में मावा या खोया लें और उसमें चीनी डालें। मध्यम आँच पर इसे अच्छी तरह मिलाएँ। चीनी के पिघलने और मावा में अच्छी तरह मिल जाने तक मिलाते रहें और पकाएँ। इसमें अधिकतम 5 मिनट का समय लगेगा। मीठा"&amp;" मावा आँच से उतार लें और इसमें बादाम पाउडर मिलाएँ। मिश्रण को 2 बराबर भागों में बाँट लें। एक प्लेट को थोड़े से घी से चिकना करें। तैयार बर्फी मिश्रण का एक भाग प्लेट पर लें और इसे चम्मच या अपनी उंगलियों से दबाते हुए समान रूप से फैलाएँ। इसे लगभग 1/2 इंच मोटाई"&amp;" के चौकोर आकार में बनाएँ। बचे हुए बर्फी मिश्रण में कोको पाउडर मिलाएँ और इसे अच्छी तरह से गूंद लें ताकि कोको अच्छी तरह से मिल जाए। इस मिश्रण को पहले से प्लेट पर फैले बर्फी मिश्रण के ऊपर रखें और इसी तरह, इस कोको मिश्रण को उंगलियों से दबाते हुए फैलाएँ। अब पि"&amp;"ज्जा कटर या चाकू की मदद से बर्फी को चौकोर या डायमंड शेप में काट लें। टुकड़ों को पूरी तरह से ठंडा होने दें और फिर उन्हें बाहर निकाल लें। एयरटाइट कंटेनर में स्टोर करें और एक सप्ताह के भीतर उपभोग करें।")</f>
        <v>चोको बादाम बर्फी / चोको बादाम फज रेसिपी बनाने के लिए, एक मध्यम कढ़ाई में मावा या खोया लें और उसमें चीनी डालें। मध्यम आँच पर इसे अच्छी तरह मिलाएँ। चीनी के पिघलने और मावा में अच्छी तरह मिल जाने तक मिलाते रहें और पकाएँ। इसमें अधिकतम 5 मिनट का समय लगेगा। मीठा मावा आँच से उतार लें और इसमें बादाम पाउडर मिलाएँ। मिश्रण को 2 बराबर भागों में बाँट लें। एक प्लेट को थोड़े से घी से चिकना करें। तैयार बर्फी मिश्रण का एक भाग प्लेट पर लें और इसे चम्मच या अपनी उंगलियों से दबाते हुए समान रूप से फैलाएँ। इसे लगभग 1/2 इंच मोटाई के चौकोर आकार में बनाएँ। बचे हुए बर्फी मिश्रण में कोको पाउडर मिलाएँ और इसे अच्छी तरह से गूंद लें ताकि कोको अच्छी तरह से मिल जाए। इस मिश्रण को पहले से प्लेट पर फैले बर्फी मिश्रण के ऊपर रखें और इसी तरह, इस कोको मिश्रण को उंगलियों से दबाते हुए फैलाएँ। अब पिज्जा कटर या चाकू की मदद से बर्फी को चौकोर या डायमंड शेप में काट लें। टुकड़ों को पूरी तरह से ठंडा होने दें और फिर उन्हें बाहर निकाल लें। एयरटाइट कंटेनर में स्टोर करें और एक सप्ताह के भीतर उपभोग करें।</v>
      </c>
      <c r="J621" s="3" t="s">
        <v>33470</v>
      </c>
      <c r="L621" s="1" t="s">
        <v>31003</v>
      </c>
    </row>
    <row r="622" spans="1:12" ht="13.8">
      <c r="A622" s="1" t="s">
        <v>33471</v>
      </c>
      <c r="B622" s="1" t="str">
        <f ca="1">IFERROR(__xludf.dummyfunction("IF(A622="""", """", GOOGLETRANSLATE(A622, ""en"", ""hi""))"),"चना दाल और मेथी की सब्जी रेसिपी")</f>
        <v>चना दाल और मेथी की सब्जी रेसिपी</v>
      </c>
      <c r="C622" s="1" t="s">
        <v>14207</v>
      </c>
      <c r="D622" s="1" t="s">
        <v>14198</v>
      </c>
      <c r="E622" s="1">
        <v>50</v>
      </c>
      <c r="F622" s="1" t="s">
        <v>33472</v>
      </c>
      <c r="G622" s="1" t="str">
        <f ca="1">IFERROR(__xludf.dummyfunction("IF(F622="""", """", GOOGLETRANSLATE(F622, ""en"", ""hi""))"),"1 कप चना दाल, 1/4 कप मेथी दाना, पानी - आवश्यकतानुसार, 1/2 छोटा चम्मच जीरा, 1/2 छोटा चम्मच सरसों के दाने, 1/2 छोटा चम्मच हींग, 5 करी पत्ते, 1 छोटा चम्मच लाल मिर्च पाउडर, 1/2 छोटा चम्मच हल्दी, 1/2 छोटा चम्मच आमचूर, 1/2 छोटा चम्मच धनिया पाउडर, नमक - आवश्यकता"&amp;"नुसार, सूरजमुखी तेल - आवश्यकतानुसार तेल")</f>
        <v>1 कप चना दाल, 1/4 कप मेथी दाना, पानी - आवश्यकतानुसार, 1/2 छोटा चम्मच जीरा, 1/2 छोटा चम्मच सरसों के दाने, 1/2 छोटा चम्मच हींग, 5 करी पत्ते, 1 छोटा चम्मच लाल मिर्च पाउडर, 1/2 छोटा चम्मच हल्दी, 1/2 छोटा चम्मच आमचूर, 1/2 छोटा चम्मच धनिया पाउडर, नमक - आवश्यकतानुसार, सूरजमुखी तेल - आवश्यकतानुसार तेल</v>
      </c>
      <c r="H622" s="1" t="s">
        <v>33473</v>
      </c>
      <c r="I622" s="1" t="str">
        <f ca="1">IFERROR(__xludf.dummyfunction("IF(H622="""", """", GOOGLETRANSLATE(H622, ""en"", ""hi""))"),"चना दाल और मेथी की सब्जी बनाने के लिए सबसे पहले चना दाल और मेथी के दानों को पानी के साथ नरम होने तक उबालें, लेकिन गूदेदार न हों। उबाल आने के बाद पानी निथार लें और एक तरफ रख दें। एक भारी तले की कड़ाही में तेल गरम करें और उसमें जीरा, राई, हींग और करी पत्ता "&amp;"डालें। जब यह चटकने लगे तो इसमें लाल मिर्च पाउडर, हल्दी पाउडर, अमचूर पाउडर, धनिया पाउडर और आवश्यकतानुसार नमक सहित सभी मसाले डालें। चना दाल और मेथी की सब्जी को मसालों के साथ अच्छी तरह मिलाएँ और 3 से 5 मिनट तक पकाएँ। जब यह पक जाए तो चना दाल और मेथी की सब्जी "&amp;"को धनिया पत्ती से गार्निश करें। चना दाल और मेथी की सब्जी को गुजराती कढ़ी और फुल्के के साथ रोज़ाना के खाने के लिए परोसें।")</f>
        <v>चना दाल और मेथी की सब्जी बनाने के लिए सबसे पहले चना दाल और मेथी के दानों को पानी के साथ नरम होने तक उबालें, लेकिन गूदेदार न हों। उबाल आने के बाद पानी निथार लें और एक तरफ रख दें। एक भारी तले की कड़ाही में तेल गरम करें और उसमें जीरा, राई, हींग और करी पत्ता डालें। जब यह चटकने लगे तो इसमें लाल मिर्च पाउडर, हल्दी पाउडर, अमचूर पाउडर, धनिया पाउडर और आवश्यकतानुसार नमक सहित सभी मसाले डालें। चना दाल और मेथी की सब्जी को मसालों के साथ अच्छी तरह मिलाएँ और 3 से 5 मिनट तक पकाएँ। जब यह पक जाए तो चना दाल और मेथी की सब्जी को धनिया पत्ती से गार्निश करें। चना दाल और मेथी की सब्जी को गुजराती कढ़ी और फुल्के के साथ रोज़ाना के खाने के लिए परोसें।</v>
      </c>
      <c r="J622" s="3" t="s">
        <v>33474</v>
      </c>
      <c r="L622" s="1" t="s">
        <v>31003</v>
      </c>
    </row>
    <row r="623" spans="1:12" ht="13.8">
      <c r="A623" s="1" t="s">
        <v>33475</v>
      </c>
      <c r="B623" s="1" t="str">
        <f ca="1">IFERROR(__xludf.dummyfunction("IF(A623="""", """", GOOGLETRANSLATE(A623, ""en"", ""hi""))"),"तवा पनीर मसाला रेसिपी")</f>
        <v>तवा पनीर मसाला रेसिपी</v>
      </c>
      <c r="C623" s="1" t="s">
        <v>429</v>
      </c>
      <c r="D623" s="1" t="s">
        <v>14198</v>
      </c>
      <c r="E623" s="1">
        <v>50</v>
      </c>
      <c r="F623" s="1" t="s">
        <v>33476</v>
      </c>
      <c r="G623" s="1" t="str">
        <f ca="1">IFERROR(__xludf.dummyfunction("IF(F623="""", """", GOOGLETRANSLATE(F623, ""en"", ""hi""))"),"3 कप पनीर - क्यूब्स, 1 चम्मच कसूरी मेथी, 1 चम्मच लाल मिर्च पाउडर, 1/4 चम्मच हल्दी पाउडर, नमक - स्वादानुसार, सूरजमुखी तेल - पकाने के लिए, 1/2 चम्मच जीरा, 1/2 चम्मच अजवाइन, 1/2 कप प्याज - बारीक कटा हुआ, 2 चम्मच लहसुन - पेस्ट, 1 चम्मच हरी मिर्च - बारीक कटी ह"&amp;"ुई, 1 चम्मच धनिया पाउडर, 1 कप घर का बना टमाटर प्यूरी, 1/2 चम्मच अजवाइन - भुना हुआ, 2 बड़े चम्मच ताजा क्रीम, 1/2 चम्मच गरम मसाला पाउडर")</f>
        <v>3 कप पनीर - क्यूब्स, 1 चम्मच कसूरी मेथी, 1 चम्मच लाल मिर्च पाउडर, 1/4 चम्मच हल्दी पाउडर, नमक - स्वादानुसार, सूरजमुखी तेल - पकाने के लिए, 1/2 चम्मच जीरा, 1/2 चम्मच अजवाइन, 1/2 कप प्याज - बारीक कटा हुआ, 2 चम्मच लहसुन - पेस्ट, 1 चम्मच हरी मिर्च - बारीक कटी हुई, 1 चम्मच धनिया पाउडर, 1 कप घर का बना टमाटर प्यूरी, 1/2 चम्मच अजवाइन - भुना हुआ, 2 बड़े चम्मच ताजा क्रीम, 1/2 चम्मच गरम मसाला पाउडर</v>
      </c>
      <c r="H623" s="1" t="s">
        <v>33477</v>
      </c>
      <c r="I623" s="1" t="str">
        <f ca="1">IFERROR(__xludf.dummyfunction("IF(H623="""", """", GOOGLETRANSLATE(H623, ""en"", ""hi""))"),"तवा पनीर मसाला रेसिपी बनाने के लिए सबसे पहले सभी सामग्री तैयार कर लें। एक बाउल में हल्दी, मिर्च पाउडर, मेथी के पत्ते और नमक के साथ पनीर को मैरीनेट करें। 20 मिनट के लिए छोड़ दें। एक फ्राइंग पैन में तेल गरम करें और पनीर को दोनों तरफ से 2-3 मिनट के लिए तल ले"&amp;"ं, बीच-बीच में पलटते रहें। तले हुए पनीर को अलग रख दें। एक नॉन-स्टिक पैन में बचा हुआ तेल गरम करें, उसमें जीरा और अजवायन डालें। मध्यम आँच पर कुछ सेकंड के लिए भूनें। प्याज़ डालें और 2-3 मिनट के लिए भूनें। लहसुन का पेस्ट, मिर्च और धनिया पाउडर डालें और अच्छी त"&amp;"रह मिलाएँ। टमाटर का गूदा, अजवायन डालें और मध्यम आँच पर 3 मिनट तक पकाएँ। बीच-बीच में हिलाएँ। जब ग्रेवी गाढ़ी हो जाए, तो पनीर, ताज़ा क्रीम, गरम मसाला डालें और अच्छी तरह मिलाएँ। मसालों को मिलाएँ और 2 मिनट तक पकने दें। ताज़ा धनिया पत्ती से गार्निश करें। गरम र"&amp;"ोटी/चपाती/फुल्के और अपनी पसंद के रायते के साथ तवा पनीर मसाला का आनंद लें और इसे एक संपूर्ण भोजन बनाएं।")</f>
        <v>तवा पनीर मसाला रेसिपी बनाने के लिए सबसे पहले सभी सामग्री तैयार कर लें। एक बाउल में हल्दी, मिर्च पाउडर, मेथी के पत्ते और नमक के साथ पनीर को मैरीनेट करें। 20 मिनट के लिए छोड़ दें। एक फ्राइंग पैन में तेल गरम करें और पनीर को दोनों तरफ से 2-3 मिनट के लिए तल लें, बीच-बीच में पलटते रहें। तले हुए पनीर को अलग रख दें। एक नॉन-स्टिक पैन में बचा हुआ तेल गरम करें, उसमें जीरा और अजवायन डालें। मध्यम आँच पर कुछ सेकंड के लिए भूनें। प्याज़ डालें और 2-3 मिनट के लिए भूनें। लहसुन का पेस्ट, मिर्च और धनिया पाउडर डालें और अच्छी तरह मिलाएँ। टमाटर का गूदा, अजवायन डालें और मध्यम आँच पर 3 मिनट तक पकाएँ। बीच-बीच में हिलाएँ। जब ग्रेवी गाढ़ी हो जाए, तो पनीर, ताज़ा क्रीम, गरम मसाला डालें और अच्छी तरह मिलाएँ। मसालों को मिलाएँ और 2 मिनट तक पकने दें। ताज़ा धनिया पत्ती से गार्निश करें। गरम रोटी/चपाती/फुल्के और अपनी पसंद के रायते के साथ तवा पनीर मसाला का आनंद लें और इसे एक संपूर्ण भोजन बनाएं।</v>
      </c>
      <c r="J623" s="3" t="s">
        <v>33478</v>
      </c>
      <c r="L623" s="1" t="s">
        <v>31003</v>
      </c>
    </row>
    <row r="624" spans="1:12" ht="13.8">
      <c r="A624" s="1" t="s">
        <v>33479</v>
      </c>
      <c r="B624" s="1" t="str">
        <f ca="1">IFERROR(__xludf.dummyfunction("IF(A624="""", """", GOOGLETRANSLATE(A624, ""en"", ""hi""))"),"प्याज़ लहसुन रहित काली आंखों वाली बीन्स करी रेसिपी")</f>
        <v>प्याज़ लहसुन रहित काली आंखों वाली बीन्स करी रेसिपी</v>
      </c>
      <c r="C624" s="1" t="s">
        <v>145</v>
      </c>
      <c r="D624" s="1" t="s">
        <v>14237</v>
      </c>
      <c r="E624" s="1">
        <v>40</v>
      </c>
      <c r="F624" s="1" t="s">
        <v>33480</v>
      </c>
      <c r="G624" s="1" t="str">
        <f ca="1">IFERROR(__xludf.dummyfunction("IF(F624="""", """", GOOGLETRANSLATE(F624, ""en"", ""hi""))"),"1 कप लोबिया - 7 से 8 घंटे पानी में भिगोया हुआ, 1 बड़ा चम्मच सूरजमुखी तेल, 1 छोटा चम्मच सरसों के बीज, 1 छोटा चम्मच जीरा, 1/2 छोटा चम्मच हींग, 1/2 छोटा चम्मच हल्दी पाउडर, 1 बड़ा चम्मच ताजा नारियल, 1 बड़ा चम्मच मूंगफली पाउडर, 3 कोकम (मालाबार इमली) - या 1/2-1"&amp;" छोटा चम्मच इमली का गूदा, 1 छोटा चम्मच गुड़ - कसा हुआ, 1/2 छोटा चम्मच महाराष्ट्रीयन गोडा मसाला, 1/2 छोटा चम्मच लाल मिर्च पाउडर, नमक - स्वादानुसार")</f>
        <v>1 कप लोबिया - 7 से 8 घंटे पानी में भिगोया हुआ, 1 बड़ा चम्मच सूरजमुखी तेल, 1 छोटा चम्मच सरसों के बीज, 1 छोटा चम्मच जीरा, 1/2 छोटा चम्मच हींग, 1/2 छोटा चम्मच हल्दी पाउडर, 1 बड़ा चम्मच ताजा नारियल, 1 बड़ा चम्मच मूंगफली पाउडर, 3 कोकम (मालाबार इमली) - या 1/2-1 छोटा चम्मच इमली का गूदा, 1 छोटा चम्मच गुड़ - कसा हुआ, 1/2 छोटा चम्मच महाराष्ट्रीयन गोडा मसाला, 1/2 छोटा चम्मच लाल मिर्च पाउडर, नमक - स्वादानुसार</v>
      </c>
      <c r="H624" s="1" t="s">
        <v>33481</v>
      </c>
      <c r="I624" s="1" t="str">
        <f ca="1">IFERROR(__xludf.dummyfunction("IF(H624="""", """", GOOGLETRANSLATE(H624, ""en"", ""hi""))"),"प्याज-लहसुन रहित ब्लैक आइड बीन्स करी बनाने के लिए सबसे पहले एक प्रेशर कुकर में 2 कप पानी के साथ बीन्स को 1 सीटी आने तक और 10 से 15 मिनट तक धीमी आंच पर पकाएं (या जब तक बीन्स नरम हो जाएं लेकिन गूदेदार न हों)। एक भारी तले की कड़ाही में तेल गर्म करें। उसमें र"&amp;"ाई डालें और जब वे चटकने लगे तो जीरा डालें। हिंग, हल्दी पाउडर, लाल मिर्च पाउडर, गोडा मसाला डालें। सारी चीजों को अच्छे से मिला लें। खाना पकाने के लिए इस्तेमाल किए गए पानी के साथ ब्लैक आइड बीन्स डालें। कोकम का छिलका, गुड़, मूंगफली पाउडर, नारियल और नमक डालें।"&amp;" एक या दो बार हिलाते हुए 3 से 4 मिनट तक उबालें। प्याज-लहसुन रहित ब्लैक आइड बीन्स करी को रोटी या चावल के साथ परोसें और साथ में कचुम्बर सलाद भी खा सकते हैं।")</f>
        <v>प्याज-लहसुन रहित ब्लैक आइड बीन्स करी बनाने के लिए सबसे पहले एक प्रेशर कुकर में 2 कप पानी के साथ बीन्स को 1 सीटी आने तक और 10 से 15 मिनट तक धीमी आंच पर पकाएं (या जब तक बीन्स नरम हो जाएं लेकिन गूदेदार न हों)। एक भारी तले की कड़ाही में तेल गर्म करें। उसमें राई डालें और जब वे चटकने लगे तो जीरा डालें। हिंग, हल्दी पाउडर, लाल मिर्च पाउडर, गोडा मसाला डालें। सारी चीजों को अच्छे से मिला लें। खाना पकाने के लिए इस्तेमाल किए गए पानी के साथ ब्लैक आइड बीन्स डालें। कोकम का छिलका, गुड़, मूंगफली पाउडर, नारियल और नमक डालें। एक या दो बार हिलाते हुए 3 से 4 मिनट तक उबालें। प्याज-लहसुन रहित ब्लैक आइड बीन्स करी को रोटी या चावल के साथ परोसें और साथ में कचुम्बर सलाद भी खा सकते हैं।</v>
      </c>
      <c r="J624" s="3" t="s">
        <v>33482</v>
      </c>
      <c r="L624" s="1" t="s">
        <v>31003</v>
      </c>
    </row>
    <row r="625" spans="1:12" ht="13.8">
      <c r="A625" s="1" t="s">
        <v>33483</v>
      </c>
      <c r="B625" s="1" t="str">
        <f ca="1">IFERROR(__xludf.dummyfunction("IF(A625="""", """", GOOGLETRANSLATE(A625, ""en"", ""hi""))"),"डोली की रोटी रेसिपी | मुल्तान की क्लासिक खट्टी रोटी रेसिपी")</f>
        <v>डोली की रोटी रेसिपी | मुल्तान की क्लासिक खट्टी रोटी रेसिपी</v>
      </c>
      <c r="C625" s="1" t="s">
        <v>15760</v>
      </c>
      <c r="D625" s="1" t="s">
        <v>14198</v>
      </c>
      <c r="E625" s="1">
        <v>50</v>
      </c>
      <c r="F625" s="1" t="s">
        <v>33484</v>
      </c>
      <c r="G625" s="1" t="str">
        <f ca="1">IFERROR(__xludf.dummyfunction("IF(F625="""", """", GOOGLETRANSLATE(F625, ""en"", ""hi""))"),"12 बड़ी इलायची, 1/2 कप सौंफ, 1/2 कप चना दाल, 1/2 कप खसखस, 1/2 कप चीनी, 500 मिली पानी, 3 छोटे चम्मच गेहूं का आटा, 4 कप गेहूं का आटा, 2 छोटे चम्मच चीनी, 1 छोटा चम्मच नमक, गुनगुना पानी - गूंथने के लिए, सूरजमुखी का तेल - तलने के लिए, 2 कप चना दाल, नमक - स्वाद"&amp;"ानुसार, 1 छोटा चम्मच लाल मिर्च पाउडर - (समायोजित करें), 2 छोटे चम्मच धनिया, 1/2 छोटा चम्मच गरम मसाला पाउडर, 1/4 छोटा चम्मच हल्दी पाउडर, 2 इंच अदरक - कुटा हुआ, 1/4 कप प्याज - बारीक कटा हुआ, पानी - आवश्यकतानुसार")</f>
        <v>12 बड़ी इलायची, 1/2 कप सौंफ, 1/2 कप चना दाल, 1/2 कप खसखस, 1/2 कप चीनी, 500 मिली पानी, 3 छोटे चम्मच गेहूं का आटा, 4 कप गेहूं का आटा, 2 छोटे चम्मच चीनी, 1 छोटा चम्मच नमक, गुनगुना पानी - गूंथने के लिए, सूरजमुखी का तेल - तलने के लिए, 2 कप चना दाल, नमक - स्वादानुसार, 1 छोटा चम्मच लाल मिर्च पाउडर - (समायोजित करें), 2 छोटे चम्मच धनिया, 1/2 छोटा चम्मच गरम मसाला पाउडर, 1/4 छोटा चम्मच हल्दी पाउडर, 2 इंच अदरक - कुटा हुआ, 1/4 कप प्याज - बारीक कटा हुआ, पानी - आवश्यकतानुसार</v>
      </c>
      <c r="H625" s="1" t="s">
        <v>33485</v>
      </c>
      <c r="I625" s="1" t="str">
        <f ca="1">IFERROR(__xludf.dummyfunction("IF(H625="""", """", GOOGLETRANSLATE(H625, ""en"", ""hi""))"),"डोली की रोटी रेसिपी बनाने के लिए, आवश्यक सभी सामग्री के साथ तैयार हो जाएं और सबसे पहले घर का बना खमीर वाला पानी तैयार करें। एक सॉस पैन में, पानी (500 मिली) डालें और इसे उबाल लें। ""यीस्ट वॉटर"" में सूचीबद्ध सभी सामग्री डालें, जैसे इलायची, सौंफ, चना दाल, ख"&amp;"सखस ​​(या खसखस) और चीनी। ढककर 2 मिनट तक उबालें जब तक कि चीनी घुल न जाए और चना दाल थोड़ी नरम न हो जाए। इसे ढका रहने दें। इस सॉस पैन को एक सूखे और गर्म कपड़े में लपेटें और अपने किचन के सबसे गर्म कोने में रख दें। इसे ठीक 24 घंटे तक ऐसे ही रहने दें। खमीर तैया"&amp;"र करने के लिए, घर का बना खमीर तैयार करने के लिए 24 घंटे बाद झागदार पानी लें (केवल अगर यह झागदार है, या आपको प्रक्रिया दोहराने की आवश्यकता है)। इसे फिर से ढक्कन से ढक दें और गर्म कपड़े से लपेट कर 3 और घंटों के लिए गर्म स्थान पर रख दें। ठीक 3 घंटे बाद, मिश्"&amp;"रण में बुलबुले और झाग आना चाहिए। अब आप आटा गूंथना शुरू कर सकते हैं। घर में बने खमीर वाले मिश्रण का आधा हिस्सा लें और ""रोटी बनाने के लिए"" सामग्री (आटा, चीनी, नमक, पानी) डालें और चिकना आटा गूंथ लें। आटा गूंथने के लिए केवल गर्म पानी का प्रयोग करें। इसे पहल"&amp;"े की तरह 3 घंटे या सिर्फ आधा घंटा और ढक कर रख दें, ताकि यह फूल जाए। भरावन बनाने के लिए: चना दाल को साफ करें और चना दाल, नमक, हल्दी, अदरक को थोड़े पानी के साथ 2 सीटी आने तक या नरम होने तक पका लें। बचा हुआ पानी पूरी तरह से निथार लें और फेंक दें। दाल के थोड़"&amp;"ा ठंडा होने पर इसमें मसाले और प्याज़ डालें और अच्छी तरह मिलाएँ। इसे हाथों से तब तक चपटा करें जब तक कि यह हथेली के आकार की एक डिस्क न बन जाए। यह सुनिश्चित करें, क्योंकि आटा रोलिंग पिन से रोल करने के लिए नरम है। यदि आपको नरम आटा संभालना मुश्किल लगता है, तो "&amp;"आप गेहूं के आटे का उपयोग कर सकते हैं। डोली की रोटी के चपटे भरे हुए आटे को गर्म तेल में डालें और इसे दोनों तरफ से फूलने और समान रूप से सुनहरा होने तक पकाएं। आवश्यकतानुसार पलटते रहें, जब तक कि यह पक न जाए। एक रसोई के तौलिये पर निकालें। तब तक दोहराएं जब तक क"&amp;"ि सारा आटा और भरावन इस्तेमाल न हो जाए। डोली की रोटी रेसिपी को एक कटोरी दही या कसूरी मेथी और आलू रसेदार के साथ नाश्ते के लिए परोसें।")</f>
        <v>डोली की रोटी रेसिपी बनाने के लिए, आवश्यक सभी सामग्री के साथ तैयार हो जाएं और सबसे पहले घर का बना खमीर वाला पानी तैयार करें। एक सॉस पैन में, पानी (500 मिली) डालें और इसे उबाल लें। "यीस्ट वॉटर" में सूचीबद्ध सभी सामग्री डालें, जैसे इलायची, सौंफ, चना दाल, खसखस ​​(या खसखस) और चीनी। ढककर 2 मिनट तक उबालें जब तक कि चीनी घुल न जाए और चना दाल थोड़ी नरम न हो जाए। इसे ढका रहने दें। इस सॉस पैन को एक सूखे और गर्म कपड़े में लपेटें और अपने किचन के सबसे गर्म कोने में रख दें। इसे ठीक 24 घंटे तक ऐसे ही रहने दें। खमीर तैयार करने के लिए, घर का बना खमीर तैयार करने के लिए 24 घंटे बाद झागदार पानी लें (केवल अगर यह झागदार है, या आपको प्रक्रिया दोहराने की आवश्यकता है)। इसे फिर से ढक्कन से ढक दें और गर्म कपड़े से लपेट कर 3 और घंटों के लिए गर्म स्थान पर रख दें। ठीक 3 घंटे बाद, मिश्रण में बुलबुले और झाग आना चाहिए। अब आप आटा गूंथना शुरू कर सकते हैं। घर में बने खमीर वाले मिश्रण का आधा हिस्सा लें और "रोटी बनाने के लिए" सामग्री (आटा, चीनी, नमक, पानी) डालें और चिकना आटा गूंथ लें। आटा गूंथने के लिए केवल गर्म पानी का प्रयोग करें। इसे पहले की तरह 3 घंटे या सिर्फ आधा घंटा और ढक कर रख दें, ताकि यह फूल जाए। भरावन बनाने के लिए: चना दाल को साफ करें और चना दाल, नमक, हल्दी, अदरक को थोड़े पानी के साथ 2 सीटी आने तक या नरम होने तक पका लें। बचा हुआ पानी पूरी तरह से निथार लें और फेंक दें। दाल के थोड़ा ठंडा होने पर इसमें मसाले और प्याज़ डालें और अच्छी तरह मिलाएँ। इसे हाथों से तब तक चपटा करें जब तक कि यह हथेली के आकार की एक डिस्क न बन जाए। यह सुनिश्चित करें, क्योंकि आटा रोलिंग पिन से रोल करने के लिए नरम है। यदि आपको नरम आटा संभालना मुश्किल लगता है, तो आप गेहूं के आटे का उपयोग कर सकते हैं। डोली की रोटी के चपटे भरे हुए आटे को गर्म तेल में डालें और इसे दोनों तरफ से फूलने और समान रूप से सुनहरा होने तक पकाएं। आवश्यकतानुसार पलटते रहें, जब तक कि यह पक न जाए। एक रसोई के तौलिये पर निकालें। तब तक दोहराएं जब तक कि सारा आटा और भरावन इस्तेमाल न हो जाए। डोली की रोटी रेसिपी को एक कटोरी दही या कसूरी मेथी और आलू रसेदार के साथ नाश्ते के लिए परोसें।</v>
      </c>
      <c r="J625" s="3" t="s">
        <v>33486</v>
      </c>
      <c r="L625" s="1" t="s">
        <v>31003</v>
      </c>
    </row>
    <row r="626" spans="1:12" ht="13.8">
      <c r="A626" s="1" t="s">
        <v>33487</v>
      </c>
      <c r="B626" s="1" t="str">
        <f ca="1">IFERROR(__xludf.dummyfunction("IF(A626="""", """", GOOGLETRANSLATE(A626, ""en"", ""hi""))"),"भुना मुर्ग रेसिपी")</f>
        <v>भुना मुर्ग रेसिपी</v>
      </c>
      <c r="C626" s="1" t="s">
        <v>145</v>
      </c>
      <c r="D626" s="1" t="s">
        <v>14367</v>
      </c>
      <c r="E626" s="1">
        <v>40</v>
      </c>
      <c r="F626" s="1" t="s">
        <v>33488</v>
      </c>
      <c r="G626" s="1" t="str">
        <f ca="1">IFERROR(__xludf.dummyfunction("IF(F626="""", """", GOOGLETRANSLATE(F626, ""en"", ""hi""))"),"750 ग्राम चिकन, 2 प्याज - बारीक कटा हुआ, 3 टमाटर - बारीक कटा हुआ या प्यूरी किया हुआ, 1 बड़ा चम्मच काजू - पेस्ट (वैकल्पिक), 8 लहसुन - मोटा-मोटा कुटा हुआ, 2 इंच अदरक - बारीक कटा हुआ, 4 हरी मिर्च - कटी हुई, 1 चम्मच लाल मिर्च पाउडर, 2 चम्मच धनिया पाउडर, 1/2 च"&amp;"म्मच हल्दी पाउडर, 1 चम्मच गरम मसाला पाउडर, 1 बड़ा चम्मच नींबू का रस - आवश्यकतानुसार, 1 तेज पत्ता, 1/2 चम्मच अजवाइन, 2 इलायची, 1 चक्र फूल, 4 साबुत काली मिर्च, 4 लौंग, 2 बड़ी इलायची, 1 इंच दालचीनी, 1 चम्मच कसूरी मेथी, 2 बड़े चम्मच घी - या तेल, नमक - स्वादान"&amp;"ुसार")</f>
        <v>750 ग्राम चिकन, 2 प्याज - बारीक कटा हुआ, 3 टमाटर - बारीक कटा हुआ या प्यूरी किया हुआ, 1 बड़ा चम्मच काजू - पेस्ट (वैकल्पिक), 8 लहसुन - मोटा-मोटा कुटा हुआ, 2 इंच अदरक - बारीक कटा हुआ, 4 हरी मिर्च - कटी हुई, 1 चम्मच लाल मिर्च पाउडर, 2 चम्मच धनिया पाउडर, 1/2 चम्मच हल्दी पाउडर, 1 चम्मच गरम मसाला पाउडर, 1 बड़ा चम्मच नींबू का रस - आवश्यकतानुसार, 1 तेज पत्ता, 1/2 चम्मच अजवाइन, 2 इलायची, 1 चक्र फूल, 4 साबुत काली मिर्च, 4 लौंग, 2 बड़ी इलायची, 1 इंच दालचीनी, 1 चम्मच कसूरी मेथी, 2 बड़े चम्मच घी - या तेल, नमक - स्वादानुसार</v>
      </c>
      <c r="H626" s="1" t="s">
        <v>33489</v>
      </c>
      <c r="I626" s="1" t="str">
        <f ca="1">IFERROR(__xludf.dummyfunction("IF(H626="""", """", GOOGLETRANSLATE(H626, ""en"", ""hi""))"),"भुना मुर्ग रेसिपी बनाने के लिए सबसे पहले चिकन के टुकड़ों को पानी से धोकर साफ कर लें और चिकन के टुकड़ों पर मैरिनेड की तरह नमक और नींबू का रस लगा लें। मैरिनेड किए हुए चिकन के कटोरे को क्लिंग रैप से ढककर फ्रिज में रख दें। एक नॉन-स्टिक पैन में घी या तेल गर्म "&amp;"करें और उसमें तेजपत्ता, लौंग, जीरा, हरी और काली इलायची, दालचीनी, काली मिर्च और सौंफ डालें और उनके चटकने का इंतज़ार करें। बारीक कटा हुआ प्याज डालें और लगातार चलाते रहें। हरी मिर्च, बारीक कटा हुआ अदरक और कुटा हुआ लहसुन डालें और तब तक भूनें जब तक तेल अलग न ह"&amp;"ोने लगे। अब बारीक कटे टमाटर या प्यूरी किए हुए टमाटर डालें और उन्हें हल्दी, धनिया पाउडर, लाल मिर्च पाउडर और गरम मसाला पाउडर के साथ सीज करें। आंच धीमी करें और पैन को 3-4 मिनट के लिए ढक दें। ढक्कन हटाकर तब तक हिलाते रहें जब तक प्याज-टमाटर का मिश्रण नरम न हो "&amp;"जाए और भूने के पेस्ट जैसा न दिखने लगे। अब चिकन के टुकड़े डालें और भूने के मिश्रण के साथ अच्छी तरह से भूनें। 2 कप पानी डालें, पैन को ढक दें इस डिश को बारीक कटे धनिया पत्तों से सजाएं। वीकेंड नाइट डिनर के लिए भूना मुर्ग को गार्लिक नान के साथ परोसें।")</f>
        <v>भुना मुर्ग रेसिपी बनाने के लिए सबसे पहले चिकन के टुकड़ों को पानी से धोकर साफ कर लें और चिकन के टुकड़ों पर मैरिनेड की तरह नमक और नींबू का रस लगा लें। मैरिनेड किए हुए चिकन के कटोरे को क्लिंग रैप से ढककर फ्रिज में रख दें। एक नॉन-स्टिक पैन में घी या तेल गर्म करें और उसमें तेजपत्ता, लौंग, जीरा, हरी और काली इलायची, दालचीनी, काली मिर्च और सौंफ डालें और उनके चटकने का इंतज़ार करें। बारीक कटा हुआ प्याज डालें और लगातार चलाते रहें। हरी मिर्च, बारीक कटा हुआ अदरक और कुटा हुआ लहसुन डालें और तब तक भूनें जब तक तेल अलग न होने लगे। अब बारीक कटे टमाटर या प्यूरी किए हुए टमाटर डालें और उन्हें हल्दी, धनिया पाउडर, लाल मिर्च पाउडर और गरम मसाला पाउडर के साथ सीज करें। आंच धीमी करें और पैन को 3-4 मिनट के लिए ढक दें। ढक्कन हटाकर तब तक हिलाते रहें जब तक प्याज-टमाटर का मिश्रण नरम न हो जाए और भूने के पेस्ट जैसा न दिखने लगे। अब चिकन के टुकड़े डालें और भूने के मिश्रण के साथ अच्छी तरह से भूनें। 2 कप पानी डालें, पैन को ढक दें इस डिश को बारीक कटे धनिया पत्तों से सजाएं। वीकेंड नाइट डिनर के लिए भूना मुर्ग को गार्लिक नान के साथ परोसें।</v>
      </c>
      <c r="J626" s="3" t="s">
        <v>33490</v>
      </c>
      <c r="L626" s="1" t="s">
        <v>31003</v>
      </c>
    </row>
    <row r="627" spans="1:12" ht="13.8">
      <c r="A627" s="1" t="s">
        <v>33491</v>
      </c>
      <c r="B627" s="1" t="str">
        <f ca="1">IFERROR(__xludf.dummyfunction("IF(A627="""", """", GOOGLETRANSLATE(A627, ""en"", ""hi""))"),"राम लड्डू रेसिपी")</f>
        <v>राम लड्डू रेसिपी</v>
      </c>
      <c r="C627" s="1" t="s">
        <v>14281</v>
      </c>
      <c r="D627" s="1" t="s">
        <v>14198</v>
      </c>
      <c r="E627" s="1">
        <v>230</v>
      </c>
      <c r="F627" s="1" t="s">
        <v>33492</v>
      </c>
      <c r="G627" s="1" t="str">
        <f ca="1">IFERROR(__xludf.dummyfunction("IF(F627="""", """", GOOGLETRANSLATE(F627, ""en"", ""hi""))"),"3/4 कप पीली मूंग दाल, 1/4 कप चना दाल, 2 हरी मिर्च, 1 इंच अदरक, 2 बड़े चम्मच धनिया पत्ता - कटा हुआ, नमक - स्वादानुसार, 1/2 कप मूली - कद्दूकस किया हुआ, चाट मसाला पाउडर - स्वादानुसार, 1/2 कप पुदीना पत्ता, 1/2 कप धनिया पत्ता, 1 कप लहसुन - कटा हुआ, 1 छोटा चम्म"&amp;"च अदरक - कद्दूकस किया हुआ, 1 बड़ा चम्मच आमचूर, नमक - स्वादानुसार, 1 हरी मिर्च")</f>
        <v>3/4 कप पीली मूंग दाल, 1/4 कप चना दाल, 2 हरी मिर्च, 1 इंच अदरक, 2 बड़े चम्मच धनिया पत्ता - कटा हुआ, नमक - स्वादानुसार, 1/2 कप मूली - कद्दूकस किया हुआ, चाट मसाला पाउडर - स्वादानुसार, 1/2 कप पुदीना पत्ता, 1/2 कप धनिया पत्ता, 1 कप लहसुन - कटा हुआ, 1 छोटा चम्मच अदरक - कद्दूकस किया हुआ, 1 बड़ा चम्मच आमचूर, नमक - स्वादानुसार, 1 हरी मिर्च</v>
      </c>
      <c r="H627" s="1" t="s">
        <v>33493</v>
      </c>
      <c r="I627" s="1" t="str">
        <f ca="1">IFERROR(__xludf.dummyfunction("IF(H627="""", """", GOOGLETRANSLATE(H627, ""en"", ""hi""))"),"राम लड्डू रेसिपी बनाने के लिए, मूंग दाल और चना दाल को 2-3 घंटे के लिए पर्याप्त पानी में अलग-अलग भिगोएँ। चना दाल, हरी मिर्च और अदरक को मिक्सर-ग्राइंडर में बिना पानी डाले चिकना पेस्ट होने तक पीस लें। इसी तरह, मूंग दाल को भी मिक्सर-ग्राइंडर में चिकना पेस्ट ह"&amp;"ोने तक पीस लें। दोनों पेस्ट को नमक और कटी हुई धनिया पत्ती के साथ मिलाएँ। इसे एक तरफ रख दें। अगला स्टेप है हरी चटनी तैयार करना। 'चटनी के लिए' के ​​तहत बताई गई सभी सामग्री को थोड़ा पानी डालकर चिकना पेस्ट होने तक पीस लें। इसे एक कटोरे में डालें और एक तरफ रख "&amp;"दें। राम लड्डू रेसिपी बनाने के लिए, पनियारम पैन को धीमी-मध्यम आंच पर गर्म करें। पैन के प्रत्येक गड्ढे में 1 चम्मच तेल डालें। इसके बाद प्रत्येक गड्ढे में 1 बड़ा चम्मच घोल डालें जब तक कि यह आधा न भर जाए। पैन को ढक्कन से बंद करें और धीमी-मध्यम आंच पर पकाएं। "&amp;"2 या 3 मिनट के बाद, ढक्कन खोलें और प्रत्येक लड्डू को पकने दें। एक बार जब हर लड्डू पक जाए, तो उसे पैन से निकाल लें और उस पर एक और बैटर डालें। परोसने के समय, राम लड्डू को एक प्लेट या कटोरे में इकट्ठा करें। हरी चटनी डालें और कद्दूकस की हुई मूली से गार्निश कर"&amp;"ें और थोड़ा चाट मसाला या काला नमक छिड़कें। राम लड्डू को गरम मसाला चाय के साथ परिवार और दोस्तों के साथ चाय के समय नाश्ते के रूप में परोसें। अपने पार्टी मील के साथ ऐपेटाइज़र के रूप में राम लड्डू परोसें, जो गेहूं के पालक नान, मलाईदार दाल मखनी और बूंदी रायता "&amp;"से बना है।")</f>
        <v>राम लड्डू रेसिपी बनाने के लिए, मूंग दाल और चना दाल को 2-3 घंटे के लिए पर्याप्त पानी में अलग-अलग भिगोएँ। चना दाल, हरी मिर्च और अदरक को मिक्सर-ग्राइंडर में बिना पानी डाले चिकना पेस्ट होने तक पीस लें। इसी तरह, मूंग दाल को भी मिक्सर-ग्राइंडर में चिकना पेस्ट होने तक पीस लें। दोनों पेस्ट को नमक और कटी हुई धनिया पत्ती के साथ मिलाएँ। इसे एक तरफ रख दें। अगला स्टेप है हरी चटनी तैयार करना। 'चटनी के लिए' के ​​तहत बताई गई सभी सामग्री को थोड़ा पानी डालकर चिकना पेस्ट होने तक पीस लें। इसे एक कटोरे में डालें और एक तरफ रख दें। राम लड्डू रेसिपी बनाने के लिए, पनियारम पैन को धीमी-मध्यम आंच पर गर्म करें। पैन के प्रत्येक गड्ढे में 1 चम्मच तेल डालें। इसके बाद प्रत्येक गड्ढे में 1 बड़ा चम्मच घोल डालें जब तक कि यह आधा न भर जाए। पैन को ढक्कन से बंद करें और धीमी-मध्यम आंच पर पकाएं। 2 या 3 मिनट के बाद, ढक्कन खोलें और प्रत्येक लड्डू को पकने दें। एक बार जब हर लड्डू पक जाए, तो उसे पैन से निकाल लें और उस पर एक और बैटर डालें। परोसने के समय, राम लड्डू को एक प्लेट या कटोरे में इकट्ठा करें। हरी चटनी डालें और कद्दूकस की हुई मूली से गार्निश करें और थोड़ा चाट मसाला या काला नमक छिड़कें। राम लड्डू को गरम मसाला चाय के साथ परिवार और दोस्तों के साथ चाय के समय नाश्ते के रूप में परोसें। अपने पार्टी मील के साथ ऐपेटाइज़र के रूप में राम लड्डू परोसें, जो गेहूं के पालक नान, मलाईदार दाल मखनी और बूंदी रायता से बना है।</v>
      </c>
      <c r="J627" s="3" t="s">
        <v>33494</v>
      </c>
      <c r="L627" s="1" t="s">
        <v>31003</v>
      </c>
    </row>
    <row r="628" spans="1:12" ht="13.8">
      <c r="A628" s="1" t="s">
        <v>33495</v>
      </c>
      <c r="B628" s="1" t="str">
        <f ca="1">IFERROR(__xludf.dummyfunction("IF(A628="""", """", GOOGLETRANSLATE(A628, ""en"", ""hi""))"),"मटन गलौटी कबाब रेसिपी")</f>
        <v>मटन गलौटी कबाब रेसिपी</v>
      </c>
      <c r="C628" s="1" t="s">
        <v>14572</v>
      </c>
      <c r="D628" s="1" t="s">
        <v>14382</v>
      </c>
      <c r="E628" s="1">
        <v>570</v>
      </c>
      <c r="F628" s="1" t="s">
        <v>33496</v>
      </c>
      <c r="G628" s="1" t="str">
        <f ca="1">IFERROR(__xludf.dummyfunction("IF(F628="""", """", GOOGLETRANSLATE(F628, ""en"", ""hi""))"),"500 ग्राम मटन - बारीक कटा हुआ, 3 चम्मच पपीता - पेस्ट, 2 चम्मच जीरा पाउडर, 1 चम्मच धनिया पाउडर, 1 चम्मच गरम मसाला पाउडर, 1 प्याज - कटा हुआ, 2 चम्मच अदरक लहसुन पेस्ट, 1/4 चम्मच काली मिर्च पाउडर, 2 चम्मच बेसन, पुदीना - मुट्ठी भर, 1 चम्मच नींबू का रस -, नमक -"&amp;" स्वादानुसार, 1 चम्मच घी, सूरजमुखी तेल - आवश्यकतानुसार")</f>
        <v>500 ग्राम मटन - बारीक कटा हुआ, 3 चम्मच पपीता - पेस्ट, 2 चम्मच जीरा पाउडर, 1 चम्मच धनिया पाउडर, 1 चम्मच गरम मसाला पाउडर, 1 प्याज - कटा हुआ, 2 चम्मच अदरक लहसुन पेस्ट, 1/4 चम्मच काली मिर्च पाउडर, 2 चम्मच बेसन, पुदीना - मुट्ठी भर, 1 चम्मच नींबू का रस -, नमक - स्वादानुसार, 1 चम्मच घी, सूरजमुखी तेल - आवश्यकतानुसार</v>
      </c>
      <c r="H628" s="1" t="s">
        <v>33497</v>
      </c>
      <c r="I628" s="1" t="str">
        <f ca="1">IFERROR(__xludf.dummyfunction("IF(H628="""", """", GOOGLETRANSLATE(H628, ""en"", ""hi""))"),"मटन गलौटी कबाब बनाने के लिए सबसे पहले एक बड़ा कटोरा लें और उसमें कीमा बनाया हुआ मटन, नींबू का रस, पपीते का पेस्ट, घी और नमक डालकर मिला लें और 10 मिनट के लिए रख दें। एक ब्लेंडर में बाकी सामग्री एक-एक करके डालें - प्याज, अदरक लहसुन का पेस्ट, बेसन, पुदीने के"&amp;" पत्ते, जीरा पाउडर, धनिया पाउडर, गरम मसाला और काली मिर्च पाउडर। इसे थोड़े या बिना पानी के अच्छी तरह ब्लेंड करें। जब सभी सामग्री अच्छी तरह से मिल जाए तो इसमें कीमा बनाया हुआ मांस डालें और दूसरी बार अच्छी तरह ब्लेंड करें जब तक कि सभी सामग्री अच्छी तरह से मि"&amp;"ल न जाए और एक चिकनी बनावट न बन जाए। इसे एक ढक्कन वाले कंटेनर में डालें और रात भर या 8 घंटे के लिए फ्रिज में रख दें। यह मटन को मसालों के सभी स्वादों को अवशोषित करने में मदद करता है। कबाब/पैटीज़ को मध्यम से धीमी आंच पर प्रत्येक तरफ़ से लगभग 10 मिनट तक तलें।"&amp;" बचे हुए कबाब भी तलें और गरमागरम परोसें। पार्टी ऐपेटाइज़र के लिए मटन गलौटी कबाब को धनिया पुदीना चटनी के साथ परोसें।")</f>
        <v>मटन गलौटी कबाब बनाने के लिए सबसे पहले एक बड़ा कटोरा लें और उसमें कीमा बनाया हुआ मटन, नींबू का रस, पपीते का पेस्ट, घी और नमक डालकर मिला लें और 10 मिनट के लिए रख दें। एक ब्लेंडर में बाकी सामग्री एक-एक करके डालें - प्याज, अदरक लहसुन का पेस्ट, बेसन, पुदीने के पत्ते, जीरा पाउडर, धनिया पाउडर, गरम मसाला और काली मिर्च पाउडर। इसे थोड़े या बिना पानी के अच्छी तरह ब्लेंड करें। जब सभी सामग्री अच्छी तरह से मिल जाए तो इसमें कीमा बनाया हुआ मांस डालें और दूसरी बार अच्छी तरह ब्लेंड करें जब तक कि सभी सामग्री अच्छी तरह से मिल न जाए और एक चिकनी बनावट न बन जाए। इसे एक ढक्कन वाले कंटेनर में डालें और रात भर या 8 घंटे के लिए फ्रिज में रख दें। यह मटन को मसालों के सभी स्वादों को अवशोषित करने में मदद करता है। कबाब/पैटीज़ को मध्यम से धीमी आंच पर प्रत्येक तरफ़ से लगभग 10 मिनट तक तलें। बचे हुए कबाब भी तलें और गरमागरम परोसें। पार्टी ऐपेटाइज़र के लिए मटन गलौटी कबाब को धनिया पुदीना चटनी के साथ परोसें।</v>
      </c>
      <c r="J628" s="3" t="s">
        <v>33498</v>
      </c>
      <c r="L628" s="1" t="s">
        <v>31003</v>
      </c>
    </row>
    <row r="629" spans="1:12" ht="13.8">
      <c r="A629" s="1" t="s">
        <v>33499</v>
      </c>
      <c r="B629" s="1" t="str">
        <f ca="1">IFERROR(__xludf.dummyfunction("IF(A629="""", """", GOOGLETRANSLATE(A629, ""en"", ""hi""))"),"निम्बू चूंदा रेसिपी (नींबू चटनी) - बिना पकाए और बिना तेल के")</f>
        <v>निम्बू चूंदा रेसिपी (नींबू चटनी) - बिना पकाए और बिना तेल के</v>
      </c>
      <c r="C629" s="1" t="s">
        <v>14572</v>
      </c>
      <c r="D629" s="1" t="s">
        <v>14198</v>
      </c>
      <c r="E629" s="1">
        <v>15</v>
      </c>
      <c r="F629" s="1" t="s">
        <v>33500</v>
      </c>
      <c r="G629" s="1" t="str">
        <f ca="1">IFERROR(__xludf.dummyfunction("IF(F629="""", """", GOOGLETRANSLATE(F629, ""en"", ""hi""))"),"350 ग्राम नींबू - (समायोजित), 400 ग्राम चीनी - (समायोजित), नमक - स्वादानुसार, 2 चम्मच लाल मिर्च पाउडर - (समायोजित)")</f>
        <v>350 ग्राम नींबू - (समायोजित), 400 ग्राम चीनी - (समायोजित), नमक - स्वादानुसार, 2 चम्मच लाल मिर्च पाउडर - (समायोजित)</v>
      </c>
      <c r="H629" s="1" t="s">
        <v>33501</v>
      </c>
      <c r="I629" s="1" t="str">
        <f ca="1">IFERROR(__xludf.dummyfunction("IF(H629="""", """", GOOGLETRANSLATE(H629, ""en"", ""hi""))"),"नींबू चूंदा रेसिपी (नींबू की चटनी) बनाने के लिए सबसे पहले ऐसे नींबू चुनें जिनका छिलका पतला हो और हल्का दबाने पर छूने पर मुलायम हो। नींबू को अच्छे से धोकर साफ करें। नींबू के प्राकृतिक तेल से छुटकारा पाने के लिए उन्हें लगभग 8-10 घंटे तक पानी में भिगोकर रखें"&amp;"। नींबू को अच्छे से पोंछकर 4 टुकड़ों में काट लें। बीज निकाल दें। उन्हें मिक्सर ग्राइंडर में डालें और तब तक पीसें जब तक कि वे मोटे तौर पर प्यूरी न हो जाएं। (हालांकि कोई टुकड़ा नहीं होना चाहिए)। एक ग्लास जार या नॉन-रिएक्टिव कंटेनर में डालें और चीनी, नमक और "&amp;"लाल मिर्च पाउडर डालें। जार के मुंह को ढक दें और इसे कुछ घंटों के लिए धूप में 10-15 दिनों के लिए रख दें। इस अवधि के दौरान एक या दो बार सूखे चम्मच या स्पैटुला का उपयोग करके इसे हिलाएँ। नींबू चूंदा रेसिपी (नींबू की चटनी) एक बार जब तरल सिरप बन जाए तो तैयार है"&amp;"। इसके स्वाद का आनंद लेने के लिए इसे मुख्य भोजन के साथ परोसें।")</f>
        <v>नींबू चूंदा रेसिपी (नींबू की चटनी) बनाने के लिए सबसे पहले ऐसे नींबू चुनें जिनका छिलका पतला हो और हल्का दबाने पर छूने पर मुलायम हो। नींबू को अच्छे से धोकर साफ करें। नींबू के प्राकृतिक तेल से छुटकारा पाने के लिए उन्हें लगभग 8-10 घंटे तक पानी में भिगोकर रखें। नींबू को अच्छे से पोंछकर 4 टुकड़ों में काट लें। बीज निकाल दें। उन्हें मिक्सर ग्राइंडर में डालें और तब तक पीसें जब तक कि वे मोटे तौर पर प्यूरी न हो जाएं। (हालांकि कोई टुकड़ा नहीं होना चाहिए)। एक ग्लास जार या नॉन-रिएक्टिव कंटेनर में डालें और चीनी, नमक और लाल मिर्च पाउडर डालें। जार के मुंह को ढक दें और इसे कुछ घंटों के लिए धूप में 10-15 दिनों के लिए रख दें। इस अवधि के दौरान एक या दो बार सूखे चम्मच या स्पैटुला का उपयोग करके इसे हिलाएँ। नींबू चूंदा रेसिपी (नींबू की चटनी) एक बार जब तरल सिरप बन जाए तो तैयार है। इसके स्वाद का आनंद लेने के लिए इसे मुख्य भोजन के साथ परोसें।</v>
      </c>
      <c r="J629" s="3" t="s">
        <v>33502</v>
      </c>
      <c r="L629" s="1" t="s">
        <v>31003</v>
      </c>
    </row>
    <row r="630" spans="1:12" ht="13.8">
      <c r="A630" s="1" t="s">
        <v>33503</v>
      </c>
      <c r="B630" s="1" t="str">
        <f ca="1">IFERROR(__xludf.dummyfunction("IF(A630="""", """", GOOGLETRANSLATE(A630, ""en"", ""hi""))"),"मिक्स वेजिटेबल नूडल कटलेट रेसिपी")</f>
        <v>मिक्स वेजिटेबल नूडल कटलेट रेसिपी</v>
      </c>
      <c r="C630" s="1" t="s">
        <v>14572</v>
      </c>
      <c r="D630" s="1" t="s">
        <v>14198</v>
      </c>
      <c r="E630" s="1">
        <v>45</v>
      </c>
      <c r="F630" s="1" t="s">
        <v>33504</v>
      </c>
      <c r="G630" s="1" t="str">
        <f ca="1">IFERROR(__xludf.dummyfunction("IF(F630="""", """", GOOGLETRANSLATE(F630, ""en"", ""hi""))"),"1 कप चावल सेंवई नूडल्स (पतले) - पके हुए, 1 आलू (आलू) - उबला हुआ, 1 गाजर (गज्जर) - कसा हुआ, 1/2 हरी बेल मिर्च (शिमला मिर्च) - कसा हुआ, 2 चम्मच क्लासिक मेयोनेज़ (अंडे के साथ), 2 बड़े चम्मच टमाटर साल्सा, 2 पनीर - कसा हुआ, नमक - स्वाद के लिए, काली मिर्च पाउडर"&amp;" - स्वाद के लिए, 1 पूरे गेहूं ब्राउन ब्रेड - (ताजा ब्रेड क्रम्ब्स पाने के लिए पीसा हुआ), 2 बड़े चम्मच जई चोकर, अतिरिक्त वर्जिन जैतून का तेल - उथले तलने के लिए")</f>
        <v>1 कप चावल सेंवई नूडल्स (पतले) - पके हुए, 1 आलू (आलू) - उबला हुआ, 1 गाजर (गज्जर) - कसा हुआ, 1/2 हरी बेल मिर्च (शिमला मिर्च) - कसा हुआ, 2 चम्मच क्लासिक मेयोनेज़ (अंडे के साथ), 2 बड़े चम्मच टमाटर साल्सा, 2 पनीर - कसा हुआ, नमक - स्वाद के लिए, काली मिर्च पाउडर - स्वाद के लिए, 1 पूरे गेहूं ब्राउन ब्रेड - (ताजा ब्रेड क्रम्ब्स पाने के लिए पीसा हुआ), 2 बड़े चम्मच जई चोकर, अतिरिक्त वर्जिन जैतून का तेल - उथले तलने के लिए</v>
      </c>
      <c r="H630" s="1" t="s">
        <v>33505</v>
      </c>
      <c r="I630" s="1" t="str">
        <f ca="1">IFERROR(__xludf.dummyfunction("IF(H630="""", """", GOOGLETRANSLATE(H630, ""en"", ""hi""))"),"मिक्स वेजिटेबल नूडल कटलेट रेसिपी बनाना शुरू करने के लिए, पैकेट पर दिए निर्देशों के अनुसार बिना टेस्टमेकर के अपने इंस्टेंट नूडल्स पकाएं। नूडल्स पक जाने के बाद, अतिरिक्त पानी निकाल दें और नूडल्स को ठंडा होने के लिए अलग रख दें। एक बड़े कटोरे में उबले आलू को "&amp;"मैश करें और कद्दूकस की हुई गाजर और शिमला मिर्च के साथ मिलाएँ। पके हुए नूडल्स और क्रम्ब्स और ओट ब्रान को छोड़कर कटलेट की बाकी सभी सामग्री डालें और अच्छी तरह मिलाएँ। नमक और मसाले की जाँच करें और अपने स्वाद के अनुसार समायोजित करें। कटलेट मिश्रण को बराबर भागो"&amp;"ं में विभाजित करें और उन्हें लगभग एक इंच मोटाई के गोल डिस्क में आकार दें। ब्रेडक्रंब और ओट ब्रान को एक प्लेट में मिलाएं। वेजिटेबल नूडल कटलेट को क्रम्ब-ब्रान मिश्रण में डुबोएं। मध्यम आँच पर एक कड़ाही गरम करें इसे क्लासिक टोमैटो केचप या दही डिप के साथ परोसे"&amp;"ं।")</f>
        <v>मिक्स वेजिटेबल नूडल कटलेट रेसिपी बनाना शुरू करने के लिए, पैकेट पर दिए निर्देशों के अनुसार बिना टेस्टमेकर के अपने इंस्टेंट नूडल्स पकाएं। नूडल्स पक जाने के बाद, अतिरिक्त पानी निकाल दें और नूडल्स को ठंडा होने के लिए अलग रख दें। एक बड़े कटोरे में उबले आलू को मैश करें और कद्दूकस की हुई गाजर और शिमला मिर्च के साथ मिलाएँ। पके हुए नूडल्स और क्रम्ब्स और ओट ब्रान को छोड़कर कटलेट की बाकी सभी सामग्री डालें और अच्छी तरह मिलाएँ। नमक और मसाले की जाँच करें और अपने स्वाद के अनुसार समायोजित करें। कटलेट मिश्रण को बराबर भागों में विभाजित करें और उन्हें लगभग एक इंच मोटाई के गोल डिस्क में आकार दें। ब्रेडक्रंब और ओट ब्रान को एक प्लेट में मिलाएं। वेजिटेबल नूडल कटलेट को क्रम्ब-ब्रान मिश्रण में डुबोएं। मध्यम आँच पर एक कड़ाही गरम करें इसे क्लासिक टोमैटो केचप या दही डिप के साथ परोसें।</v>
      </c>
      <c r="J630" s="3" t="s">
        <v>33506</v>
      </c>
      <c r="L630" s="1" t="s">
        <v>31003</v>
      </c>
    </row>
    <row r="631" spans="1:12" ht="13.8">
      <c r="A631" s="1" t="s">
        <v>33507</v>
      </c>
      <c r="B631" s="1" t="str">
        <f ca="1">IFERROR(__xludf.dummyfunction("IF(A631="""", """", GOOGLETRANSLATE(A631, ""en"", ""hi""))"),"चीज़ी पनीर मसाला करी रेसिपी")</f>
        <v>चीज़ी पनीर मसाला करी रेसिपी</v>
      </c>
      <c r="C631" s="1" t="s">
        <v>14207</v>
      </c>
      <c r="D631" s="1" t="s">
        <v>14237</v>
      </c>
      <c r="E631" s="1">
        <v>65</v>
      </c>
      <c r="F631" s="1" t="s">
        <v>33508</v>
      </c>
      <c r="G631" s="1" t="str">
        <f ca="1">IFERROR(__xludf.dummyfunction("IF(F631="""", """", GOOGLETRANSLATE(F631, ""en"", ""hi""))"),"200 ग्राम पनीर (घर का बना पनीर) - टुकड़ों में कटा हुआ, 2 कप टमाटर - प्यूरी, 2 बड़े चम्मच ब्रिटानिया चीज़ स्प्रेड - क्लासिक, 2 प्याज - बारीक कटे हुए, 1 इंच अदरक, 6 लहसुन के दाने, 2 काली इलायची (बड़ी इलायची), 1/2 चम्मच हल्दी पाउडर (हल्दी), 1 चम्मच लाल मिर्च"&amp;" पाउडर, 1 चम्मच गरम मसाला पाउडर, 1 बड़ा चम्मच शहद, नमक - स्वादानुसार, 1 बड़ा चम्मच कसूरी मेथी (सूखी मेथी के पत्ते), 1 बड़ा चम्मच सूरजमुखी का तेल")</f>
        <v>200 ग्राम पनीर (घर का बना पनीर) - टुकड़ों में कटा हुआ, 2 कप टमाटर - प्यूरी, 2 बड़े चम्मच ब्रिटानिया चीज़ स्प्रेड - क्लासिक, 2 प्याज - बारीक कटे हुए, 1 इंच अदरक, 6 लहसुन के दाने, 2 काली इलायची (बड़ी इलायची), 1/2 चम्मच हल्दी पाउडर (हल्दी), 1 चम्मच लाल मिर्च पाउडर, 1 चम्मच गरम मसाला पाउडर, 1 बड़ा चम्मच शहद, नमक - स्वादानुसार, 1 बड़ा चम्मच कसूरी मेथी (सूखी मेथी के पत्ते), 1 बड़ा चम्मच सूरजमुखी का तेल</v>
      </c>
      <c r="H631" s="1" t="s">
        <v>33509</v>
      </c>
      <c r="I631" s="1" t="str">
        <f ca="1">IFERROR(__xludf.dummyfunction("IF(H631="""", """", GOOGLETRANSLATE(H631, ""en"", ""hi""))"),"चीज़ी पनीर मसाला करी रेसिपी बनाने के लिए सबसे पहले मिक्सर ग्राइंडर में टोमैटो प्यूरी और ब्रिटानिया क्लासिक चीज़ स्प्रेड डालें। एक स्मूद प्यूरी बनाने के लिए ब्लेंड करें और एक तरफ रख दें। इसके बाद एक प्रीहीट पैन में तेल, प्याज, अदरक, लहसुन, बड़ी इलाइची डाले"&amp;"ं और प्याज के नरम होने और सुनहरे भूरे रंग का होने तक भूनें। एक बार हो जाने पर टमाटर चीज़ प्यूरी, हल्दी पाउडर, गरम मसाला पाउडर, लाल मिर्च पाउडर, शहद और स्वादानुसार नमक डालें। अच्छी तरह मिलाएँ और टमाटर के मिश्रण को उबलने दें। ग्रेवी में उबाल आने के बाद इसमे"&amp;"ं पनीर और कसूरी मेथी डालें। 3 से 4 मिनट तक उबालें और आँच बंद कर दें। चीज़ी पनीर मसाला करी रेसिपी को होममेड बटर नान रेसिपी, ढाबा स्टाइल दाल पालक रेसिपी और लच्छा प्याज़ के साथ संपूर्ण भोजन के लिए परोसें।")</f>
        <v>चीज़ी पनीर मसाला करी रेसिपी बनाने के लिए सबसे पहले मिक्सर ग्राइंडर में टोमैटो प्यूरी और ब्रिटानिया क्लासिक चीज़ स्प्रेड डालें। एक स्मूद प्यूरी बनाने के लिए ब्लेंड करें और एक तरफ रख दें। इसके बाद एक प्रीहीट पैन में तेल, प्याज, अदरक, लहसुन, बड़ी इलाइची डालें और प्याज के नरम होने और सुनहरे भूरे रंग का होने तक भूनें। एक बार हो जाने पर टमाटर चीज़ प्यूरी, हल्दी पाउडर, गरम मसाला पाउडर, लाल मिर्च पाउडर, शहद और स्वादानुसार नमक डालें। अच्छी तरह मिलाएँ और टमाटर के मिश्रण को उबलने दें। ग्रेवी में उबाल आने के बाद इसमें पनीर और कसूरी मेथी डालें। 3 से 4 मिनट तक उबालें और आँच बंद कर दें। चीज़ी पनीर मसाला करी रेसिपी को होममेड बटर नान रेसिपी, ढाबा स्टाइल दाल पालक रेसिपी और लच्छा प्याज़ के साथ संपूर्ण भोजन के लिए परोसें।</v>
      </c>
      <c r="J631" s="3" t="s">
        <v>33510</v>
      </c>
      <c r="L631" s="1" t="s">
        <v>31003</v>
      </c>
    </row>
    <row r="632" spans="1:12" ht="13.8">
      <c r="A632" s="1" t="s">
        <v>33511</v>
      </c>
      <c r="B632" s="1" t="str">
        <f ca="1">IFERROR(__xludf.dummyfunction("IF(A632="""", """", GOOGLETRANSLATE(A632, ""en"", ""hi""))"),"चिकन टिक्का मसाला रेसिपी")</f>
        <v>चिकन टिक्का मसाला रेसिपी</v>
      </c>
      <c r="C632" s="1" t="s">
        <v>145</v>
      </c>
      <c r="D632" s="1" t="s">
        <v>14367</v>
      </c>
      <c r="E632" s="1">
        <v>60</v>
      </c>
      <c r="F632" s="1" t="s">
        <v>33512</v>
      </c>
      <c r="G632" s="1" t="str">
        <f ca="1">IFERROR(__xludf.dummyfunction("IF(F632="""", """", GOOGLETRANSLATE(F632, ""en"", ""hi""))"),"300 ग्राम चिकन - छोटे टुकड़ों में कटा हुआ, 1/2 कप दही, 1 चम्मच जीरा, 1-1/2 चम्मच धनिया, 1/2 चम्मच हल्दी, 1 इंच अदरक - बारीक कटा हुआ, 6 लहसुन - बारीक कटा हुआ, 1/2 चम्मच लाल मिर्च पाउडर, 1 बड़ा चम्मच कसूरी मेथी, नमक - स्वादानुसार, 1 प्याज, 1 टमाटर, 5 काजू, "&amp;"1 चम्मच जीरा, 1 चम्मच धनिया, 1 लौंग, 1/4 चम्मच दालचीनी, 1/4 चम्मच इलायची, 1/2 कप ताजा क्रीम, 1 बड़ा चम्मच मक्खन (बिना नमक वाला), सूरजमुखी तेल - आवश्यकतानुसार, नमक - स्वादानुसार")</f>
        <v>300 ग्राम चिकन - छोटे टुकड़ों में कटा हुआ, 1/2 कप दही, 1 चम्मच जीरा, 1-1/2 चम्मच धनिया, 1/2 चम्मच हल्दी, 1 इंच अदरक - बारीक कटा हुआ, 6 लहसुन - बारीक कटा हुआ, 1/2 चम्मच लाल मिर्च पाउडर, 1 बड़ा चम्मच कसूरी मेथी, नमक - स्वादानुसार, 1 प्याज, 1 टमाटर, 5 काजू, 1 चम्मच जीरा, 1 चम्मच धनिया, 1 लौंग, 1/4 चम्मच दालचीनी, 1/4 चम्मच इलायची, 1/2 कप ताजा क्रीम, 1 बड़ा चम्मच मक्खन (बिना नमक वाला), सूरजमुखी तेल - आवश्यकतानुसार, नमक - स्वादानुसार</v>
      </c>
      <c r="H632" s="1" t="s">
        <v>33513</v>
      </c>
      <c r="I632" s="1" t="str">
        <f ca="1">IFERROR(__xludf.dummyfunction("IF(H632="""", """", GOOGLETRANSLATE(H632, ""en"", ""hi""))"),"चिकन टिक्का मसाला बनाने के लिए चिकन के टुकड़ों को अच्छी तरह साफ करके धो लें। चिकन टिक्का मसाला के लिए चिकन को मैरीनेट करने के लिए एक मिक्सिंग बाउल में दही, जीरा पाउडर, धनिया पाउडर, हल्दी पाउडर, अदरक, लहसुन, मिर्च पाउडर, कसूरी मेथी और नमक को चिकन के साथ मि"&amp;"ला लें। चिकन को कम से कम 30 मिनट के लिए मैरीनेट होने दें। चिकन के मैरीनेट हो जाने के बाद एक पैन में एक चम्मच तेल डालें और मैरीनेट किए हुए चिकन के टुकड़ों को लगभग 8 मिनट तक अच्छी तरह पकने तक पकाएं। चिकन के टुकड़े रसदार और कोमल होने चाहिए। चिकन को ज्यादा दे"&amp;"र तक पकाने से वे सख्त और रबड़ जैसे हो जाएंगे। पानी न डालें। अगला कदम टिक्का मसाला ग्रेवी बनाना है। मध्यम आंच पर एक चम्मच तेल गर्म करें। प्याज डालें और पारदर्शी होने तक पकाएं प्याज़ टमाटर मसाला को ठंडा होने दें। ठंडा होने पर प्याज़, टमाटर और काजू को बारीक "&amp;"पीस लें। एक कड़ाही में एक बड़ा चम्मच मक्खन डालकर गर्म करें। मक्खन पिघलने पर इसमें लौंग, दालचीनी पाउडर और इलायची पाउडर डालें और खुशबू आने तक भूनें। जीरा पाउडर और धनिया पाउडर डालें और अच्छी तरह मिलाएँ। पैन में प्याज़-टमाटर-काजू की प्यूरी डालें, अच्छी तरह मि"&amp;"लाएँ और कुछ मिनट तक भूनें। कसूरी मेथी को हाथ से मसलकर टिक्का मसाला ग्रेवी में मिला दें। मैरीनेट किए हुए चिकन के टुकड़े, ज़रूरत अनुसार नमक और क्रीम डालें। चिकन टिक्का मसाला को अच्छी तरह मिलाएँ ताकि ये अच्छी तरह मिल जाएँ। चिकन टिक्का मसाला को लगभग 5 मिनट तक"&amp;" उबालें। अगर टिक्का मसाला गाढ़ा हो, तो अपनी ज़रूरत के हिसाब से पानी की मात्रा कम-ज़्यादा कर लें। आंच बंद कर दें और चिकन टिक्का मसाला को धनिया पत्ती से गार्निश करें और यह परोसने के लिए तैयार है। चिकन टिक्का मसाला को साबुत मसालों से बनी ढाबा स्टाइल मसालेदार"&amp;" घी चावल रेसिपी या बटर गार्लिक नान रेसिपी (लहसुन के स्वाद वाली चपटी रोटी) और मसालेदार प्याज़ के साथ एक संपूर्ण वीकेंड डिनर के लिए परोसें।")</f>
        <v>चिकन टिक्का मसाला बनाने के लिए चिकन के टुकड़ों को अच्छी तरह साफ करके धो लें। चिकन टिक्का मसाला के लिए चिकन को मैरीनेट करने के लिए एक मिक्सिंग बाउल में दही, जीरा पाउडर, धनिया पाउडर, हल्दी पाउडर, अदरक, लहसुन, मिर्च पाउडर, कसूरी मेथी और नमक को चिकन के साथ मिला लें। चिकन को कम से कम 30 मिनट के लिए मैरीनेट होने दें। चिकन के मैरीनेट हो जाने के बाद एक पैन में एक चम्मच तेल डालें और मैरीनेट किए हुए चिकन के टुकड़ों को लगभग 8 मिनट तक अच्छी तरह पकने तक पकाएं। चिकन के टुकड़े रसदार और कोमल होने चाहिए। चिकन को ज्यादा देर तक पकाने से वे सख्त और रबड़ जैसे हो जाएंगे। पानी न डालें। अगला कदम टिक्का मसाला ग्रेवी बनाना है। मध्यम आंच पर एक चम्मच तेल गर्म करें। प्याज डालें और पारदर्शी होने तक पकाएं प्याज़ टमाटर मसाला को ठंडा होने दें। ठंडा होने पर प्याज़, टमाटर और काजू को बारीक पीस लें। एक कड़ाही में एक बड़ा चम्मच मक्खन डालकर गर्म करें। मक्खन पिघलने पर इसमें लौंग, दालचीनी पाउडर और इलायची पाउडर डालें और खुशबू आने तक भूनें। जीरा पाउडर और धनिया पाउडर डालें और अच्छी तरह मिलाएँ। पैन में प्याज़-टमाटर-काजू की प्यूरी डालें, अच्छी तरह मिलाएँ और कुछ मिनट तक भूनें। कसूरी मेथी को हाथ से मसलकर टिक्का मसाला ग्रेवी में मिला दें। मैरीनेट किए हुए चिकन के टुकड़े, ज़रूरत अनुसार नमक और क्रीम डालें। चिकन टिक्का मसाला को अच्छी तरह मिलाएँ ताकि ये अच्छी तरह मिल जाएँ। चिकन टिक्का मसाला को लगभग 5 मिनट तक उबालें। अगर टिक्का मसाला गाढ़ा हो, तो अपनी ज़रूरत के हिसाब से पानी की मात्रा कम-ज़्यादा कर लें। आंच बंद कर दें और चिकन टिक्का मसाला को धनिया पत्ती से गार्निश करें और यह परोसने के लिए तैयार है। चिकन टिक्का मसाला को साबुत मसालों से बनी ढाबा स्टाइल मसालेदार घी चावल रेसिपी या बटर गार्लिक नान रेसिपी (लहसुन के स्वाद वाली चपटी रोटी) और मसालेदार प्याज़ के साथ एक संपूर्ण वीकेंड डिनर के लिए परोसें।</v>
      </c>
      <c r="J632" s="3" t="s">
        <v>33514</v>
      </c>
      <c r="L632" s="1" t="s">
        <v>31003</v>
      </c>
    </row>
    <row r="633" spans="1:12" ht="13.8">
      <c r="A633" s="1" t="s">
        <v>33515</v>
      </c>
      <c r="B633" s="1" t="str">
        <f ca="1">IFERROR(__xludf.dummyfunction("IF(A633="""", """", GOOGLETRANSLATE(A633, ""en"", ""hi""))"),"उत्तराखंड मूली थेचुआ रेसिपी")</f>
        <v>उत्तराखंड मूली थेचुआ रेसिपी</v>
      </c>
      <c r="C633" s="1" t="s">
        <v>14207</v>
      </c>
      <c r="D633" s="1" t="s">
        <v>14198</v>
      </c>
      <c r="E633" s="1">
        <v>20</v>
      </c>
      <c r="F633" s="1" t="s">
        <v>33516</v>
      </c>
      <c r="G633" s="1" t="str">
        <f ca="1">IFERROR(__xludf.dummyfunction("IF(F633="""", """", GOOGLETRANSLATE(F633, ""en"", ""hi""))"),"4 मूली - छीलकर कद्दूकस कर लें, 3/4 कप धनिया पत्ती - बारीक कटी हुई, 4 हरी मिर्च, नमक - स्वादानुसार")</f>
        <v>4 मूली - छीलकर कद्दूकस कर लें, 3/4 कप धनिया पत्ती - बारीक कटी हुई, 4 हरी मिर्च, नमक - स्वादानुसार</v>
      </c>
      <c r="H633" s="1" t="s">
        <v>33517</v>
      </c>
      <c r="I633" s="1" t="str">
        <f ca="1">IFERROR(__xludf.dummyfunction("IF(H633="""", """", GOOGLETRANSLATE(H633, ""en"", ""hi""))"),"""उत्तराखंड मूली थेचुआ रेसिपी बनाने के लिए, एक ब्लेंडर में धनिया, हरी मिर्च, नमक डालें और पेस्ट बना लें। मूली को कद्दूकस करके एक तरफ रख दें। एक मिक्सिंग बाउल में कद्दूकस की हुई मूली, पिसा हुआ पेस्ट, नमक डालें और अच्छी तरह मिलाएँ। परोसें। दोपहर के भोजन के "&amp;"लिए पंचमेल दाल और फुल्के के साथ उत्तराखंड मूली थेचुआ रेसिपी परोसें।""")</f>
        <v>"उत्तराखंड मूली थेचुआ रेसिपी बनाने के लिए, एक ब्लेंडर में धनिया, हरी मिर्च, नमक डालें और पेस्ट बना लें। मूली को कद्दूकस करके एक तरफ रख दें। एक मिक्सिंग बाउल में कद्दूकस की हुई मूली, पिसा हुआ पेस्ट, नमक डालें और अच्छी तरह मिलाएँ। परोसें। दोपहर के भोजन के लिए पंचमेल दाल और फुल्के के साथ उत्तराखंड मूली थेचुआ रेसिपी परोसें।"</v>
      </c>
      <c r="J633" s="3" t="s">
        <v>33518</v>
      </c>
      <c r="L633" s="1" t="s">
        <v>31003</v>
      </c>
    </row>
    <row r="634" spans="1:12" ht="13.8">
      <c r="A634" s="1" t="s">
        <v>33519</v>
      </c>
      <c r="B634" s="1" t="str">
        <f ca="1">IFERROR(__xludf.dummyfunction("IF(A634="""", """", GOOGLETRANSLATE(A634, ""en"", ""hi""))"),"गोलगप्पे चाट रेसिपी")</f>
        <v>गोलगप्पे चाट रेसिपी</v>
      </c>
      <c r="C634" s="1" t="s">
        <v>14281</v>
      </c>
      <c r="D634" s="1" t="s">
        <v>14198</v>
      </c>
      <c r="E634" s="1">
        <v>100</v>
      </c>
      <c r="F634" s="1" t="s">
        <v>33520</v>
      </c>
      <c r="G634" s="1" t="str">
        <f ca="1">IFERROR(__xludf.dummyfunction("IF(F634="""", """", GOOGLETRANSLATE(F634, ""en"", ""hi""))"),"1 कप सूजी, 1/2 कप मैदा, सूरजमुखी का तेल - आटा गूंथने और तलने के लिए, 1/2 छोटा चम्मच जीरा - भुना हुआ, 1/2 छोटा चम्मच लाल मिर्च पाउडर, 1/2 कप हरी चटनी (धनिया और पुदीना) - स्वादानुसार, 1/2 कप मीठी चटनी (खजूर और इमली) - स्वादानुसार, 1 टहनी धनिया पत्ता - कटा ह"&amp;"ुआ, 1 टहनी पुदीना पत्ता - कटा हुआ, 1 आलू - उबाल कर छिला हुआ, 1/2 कप काला चना - अंकुरित कर उबाला हुआ (वैकल्पिक), 2 बड़े चम्मच बूंदी, 2 कप दही, चीनी - स्वादानुसार")</f>
        <v>1 कप सूजी, 1/2 कप मैदा, सूरजमुखी का तेल - आटा गूंथने और तलने के लिए, 1/2 छोटा चम्मच जीरा - भुना हुआ, 1/2 छोटा चम्मच लाल मिर्च पाउडर, 1/2 कप हरी चटनी (धनिया और पुदीना) - स्वादानुसार, 1/2 कप मीठी चटनी (खजूर और इमली) - स्वादानुसार, 1 टहनी धनिया पत्ता - कटा हुआ, 1 टहनी पुदीना पत्ता - कटा हुआ, 1 आलू - उबाल कर छिला हुआ, 1/2 कप काला चना - अंकुरित कर उबाला हुआ (वैकल्पिक), 2 बड़े चम्मच बूंदी, 2 कप दही, चीनी - स्वादानुसार</v>
      </c>
      <c r="H634" s="1" t="s">
        <v>33521</v>
      </c>
      <c r="I634" s="1" t="str">
        <f ca="1">IFERROR(__xludf.dummyfunction("IF(H634="""", """", GOOGLETRANSLATE(H634, ""en"", ""hi""))"),"आइए गोल गप्पे बनाने की विधि देखकर गोल गप्पे चाट रेसिपी बनाना शुरू करें: गोल गप्पे बनाने की विधि एक बर्तन में मैदा, सूजी और तेल लें और इन सभी सामग्रियों को अच्छी तरह मिला लें। पानी की सहायता से सख्त पूरी के लिए आटा गूंथ लें (गूंथते समय आटे को अच्छी तरह दबा"&amp;" दें)। आटे को ढककर 15-20 मिनट के लिए अलग रख दें ताकि यह फूल जाए। आटे से एक बड़ा गोल (अमरूद के आकार का) टुकड़ा तोड़ें, इस गोल टुकड़े को एक गोलाकार में रोल करें। एक छोटे ढक्कन की सहायता से, जितनी हो सके उतनी गोल पूरियां काट लें, छोटी गोलियां लें और उन्हें ए"&amp;"क प्लेट में रखते जाएं। बचे हुए आटे को मुख्य आटे में मिला दें और यही प्रक्रिया तब तक दोहराएं जब तक कि पूरे आटे की पूरियां न बन जाएं। अब एक बार में एक पूरी लें और इसे थोड़ा पतला बेलें पूरी तलना शुरू करें, सबसे पहले उस पूरी से शुरू करें जिसे आपने पहले बेल लि"&amp;"या था। एक पूरी को तेल में डालें और हल्का सा दबाएँ। जब यह फूल जाए तो पलट दें और दूसरी पूरी तेल में डालें। एक बार में 6-8 पूरी डालें। पूरी को पलटते हुए चारों ओर से सुनहरा भूरा होने तक तलें। तलते समय आप ज़रूरत के हिसाब से आँच को कम या ज़्यादा कर सकते हैं। पू"&amp;"री को बाहर निकालें और एक कागज़ के तौलिये पर रखें, ताकि अतिरिक्त तेल सोख लिया जाए। चाट बनाने की विधि उबले हुए आलू को छीलकर छोटे-छोटे टुकड़ों में काट लें। इसमें थोड़ा नमक डालें और अच्छी तरह मिलाएँ। उंगली की मदद से हर गोलगप्पे में छेद करें और आलू के टुकड़े भ"&amp;"र दें। आप गोलगप्पों में अंकुरित अनाज और उबले हुए काले चने भी भर सकते हैं। दही को चीनी और स्वादानुसार नमक के साथ अच्छी तरह फेंट लें। गोलगप्पों को एक प्लेट में रखें और दही से ढक दें। पुदीने की चटनी और इमली की चटनी छिड़कें। लाल मिर्च पाउडर, बूंदी, जीरा पाउडर"&amp;" छिड़कें। धनिया/पुदीने की पत्तियों, लाल मिर्च पाउडर और चाट मसाला से गार्निश करें और आपकी गोल गप्पे चाट तुरंत परोसने और खाने के लिए तैयार है। गोलगप्पे चाट रेसिपी को किसी भी पार्टी के लिए एक बेहतरीन ऐपेटाइज़र आइडिया के रूप में पालक पनीर कोफ्ता करी, गेहूं पा"&amp;"लक नान, चना पुलाव, टमाटर प्याज ककड़ी रायता और चिरौंजी और मखाने की खीर के साथ परोसें।")</f>
        <v>आइए गोल गप्पे बनाने की विधि देखकर गोल गप्पे चाट रेसिपी बनाना शुरू करें: गोल गप्पे बनाने की विधि एक बर्तन में मैदा, सूजी और तेल लें और इन सभी सामग्रियों को अच्छी तरह मिला लें। पानी की सहायता से सख्त पूरी के लिए आटा गूंथ लें (गूंथते समय आटे को अच्छी तरह दबा दें)। आटे को ढककर 15-20 मिनट के लिए अलग रख दें ताकि यह फूल जाए। आटे से एक बड़ा गोल (अमरूद के आकार का) टुकड़ा तोड़ें, इस गोल टुकड़े को एक गोलाकार में रोल करें। एक छोटे ढक्कन की सहायता से, जितनी हो सके उतनी गोल पूरियां काट लें, छोटी गोलियां लें और उन्हें एक प्लेट में रखते जाएं। बचे हुए आटे को मुख्य आटे में मिला दें और यही प्रक्रिया तब तक दोहराएं जब तक कि पूरे आटे की पूरियां न बन जाएं। अब एक बार में एक पूरी लें और इसे थोड़ा पतला बेलें पूरी तलना शुरू करें, सबसे पहले उस पूरी से शुरू करें जिसे आपने पहले बेल लिया था। एक पूरी को तेल में डालें और हल्का सा दबाएँ। जब यह फूल जाए तो पलट दें और दूसरी पूरी तेल में डालें। एक बार में 6-8 पूरी डालें। पूरी को पलटते हुए चारों ओर से सुनहरा भूरा होने तक तलें। तलते समय आप ज़रूरत के हिसाब से आँच को कम या ज़्यादा कर सकते हैं। पूरी को बाहर निकालें और एक कागज़ के तौलिये पर रखें, ताकि अतिरिक्त तेल सोख लिया जाए। चाट बनाने की विधि उबले हुए आलू को छीलकर छोटे-छोटे टुकड़ों में काट लें। इसमें थोड़ा नमक डालें और अच्छी तरह मिलाएँ। उंगली की मदद से हर गोलगप्पे में छेद करें और आलू के टुकड़े भर दें। आप गोलगप्पों में अंकुरित अनाज और उबले हुए काले चने भी भर सकते हैं। दही को चीनी और स्वादानुसार नमक के साथ अच्छी तरह फेंट लें। गोलगप्पों को एक प्लेट में रखें और दही से ढक दें। पुदीने की चटनी और इमली की चटनी छिड़कें। लाल मिर्च पाउडर, बूंदी, जीरा पाउडर छिड़कें। धनिया/पुदीने की पत्तियों, लाल मिर्च पाउडर और चाट मसाला से गार्निश करें और आपकी गोल गप्पे चाट तुरंत परोसने और खाने के लिए तैयार है। गोलगप्पे चाट रेसिपी को किसी भी पार्टी के लिए एक बेहतरीन ऐपेटाइज़र आइडिया के रूप में पालक पनीर कोफ्ता करी, गेहूं पालक नान, चना पुलाव, टमाटर प्याज ककड़ी रायता और चिरौंजी और मखाने की खीर के साथ परोसें।</v>
      </c>
      <c r="J634" s="3" t="s">
        <v>33522</v>
      </c>
      <c r="L634" s="1" t="s">
        <v>31003</v>
      </c>
    </row>
    <row r="635" spans="1:12" ht="13.8">
      <c r="A635" s="1" t="s">
        <v>33523</v>
      </c>
      <c r="B635" s="1" t="str">
        <f ca="1">IFERROR(__xludf.dummyfunction("IF(A635="""", """", GOOGLETRANSLATE(A635, ""en"", ""hi""))"),"पत्ता गोभी सब्ज़ी रेसिपी - पत्ता गोभी टमाटर सब्ज़ी")</f>
        <v>पत्ता गोभी सब्ज़ी रेसिपी - पत्ता गोभी टमाटर सब्ज़ी</v>
      </c>
      <c r="C635" s="1" t="s">
        <v>145</v>
      </c>
      <c r="D635" s="1" t="s">
        <v>14198</v>
      </c>
      <c r="E635" s="1">
        <v>25</v>
      </c>
      <c r="F635" s="1" t="s">
        <v>33524</v>
      </c>
      <c r="G635" s="1" t="str">
        <f ca="1">IFERROR(__xludf.dummyfunction("IF(F635="""", """", GOOGLETRANSLATE(F635, ""en"", ""hi""))"),"300 ग्राम पत्तागोभी - पतले टुकड़ों में कटी हुई, 1/4 छोटा चम्मच सरसों के बीज, 1/4 छोटा चम्मच जीरा, 2 हरी मिर्च - कटी हुई, 2 टमाटर - बारीक कटे हुए, 1/2 छोटा चम्मच हल्दी, 1 छोटा चम्मच धनिया पाउडर, 1 छोटा चम्मच लाल मिर्च पाउडर - स्वादानुसार, नमक - स्वादानुसार"&amp;", 1/2 छोटा चम्मच सूरजमुखी तेल, 4 टहनी धनिया - सजाने के लिए कटी हुई")</f>
        <v>300 ग्राम पत्तागोभी - पतले टुकड़ों में कटी हुई, 1/4 छोटा चम्मच सरसों के बीज, 1/4 छोटा चम्मच जीरा, 2 हरी मिर्च - कटी हुई, 2 टमाटर - बारीक कटे हुए, 1/2 छोटा चम्मच हल्दी, 1 छोटा चम्मच धनिया पाउडर, 1 छोटा चम्मच लाल मिर्च पाउडर - स्वादानुसार, नमक - स्वादानुसार, 1/2 छोटा चम्मच सूरजमुखी तेल, 4 टहनी धनिया - सजाने के लिए कटी हुई</v>
      </c>
      <c r="H635" s="1" t="s">
        <v>33525</v>
      </c>
      <c r="I635" s="1" t="str">
        <f ca="1">IFERROR(__xludf.dummyfunction("IF(H635="""", """", GOOGLETRANSLATE(H635, ""en"", ""hi""))"),"पत्ता गोभी की सब्जी बनाने के लिए सभी सामग्री तैयार करके रख लें। प्रेशर कुकर में तेल गरम करें, उसमें राई और जीरा डालें और चटकने दें। जब वे चटकने लगें, तो हरी मिर्च और टमाटर डालें और टमाटर को हल्का नरम होने तक भूनें। जब टमाटर हल्का नरम हो जाए, तो उसमें हल्द"&amp;"ी पाउडर, नमक, धनिया पाउडर, लाल मिर्च पाउडर डालें और चलाएँ। गोभी को मिलाएँ और कुकर में एक बड़ा चम्मच पानी डालें। प्रेशर कुकर को ढककर 3 से 4 सीटी आने तक पकाएँ और आँच बंद कर दें। प्रेशर को तुरंत ठंडे पानी के नीचे चलाकर या सीटी के नीचे रखे कांटे से प्रेशर को "&amp;"हटाएँ। प्रेशर निकल जाने के बाद, कटी हुई धनिया पत्ती डालकर चलाएँ, नमक, मसाले के स्तर की जाँच करें और पत्ता गोभी की सब्जी परोसने के लिए तैयार है। यदि आप पकाने के लिए सॉस पैन विधि का उपयोग कर रहे हैं, तो पैन को ढककर रखें और तब तक पकाएँ जब तक पत्ता गोभी की सब"&amp;"्जी नरम न हो जाए और आपको मनचाहा बनावट न मिल जाए। पौष्टिक भोजन बनाने के लिए पत्ता गोभी की सब्जी को थेपला और गुजराती दाल के साथ परोसें।")</f>
        <v>पत्ता गोभी की सब्जी बनाने के लिए सभी सामग्री तैयार करके रख लें। प्रेशर कुकर में तेल गरम करें, उसमें राई और जीरा डालें और चटकने दें। जब वे चटकने लगें, तो हरी मिर्च और टमाटर डालें और टमाटर को हल्का नरम होने तक भूनें। जब टमाटर हल्का नरम हो जाए, तो उसमें हल्दी पाउडर, नमक, धनिया पाउडर, लाल मिर्च पाउडर डालें और चलाएँ। गोभी को मिलाएँ और कुकर में एक बड़ा चम्मच पानी डालें। प्रेशर कुकर को ढककर 3 से 4 सीटी आने तक पकाएँ और आँच बंद कर दें। प्रेशर को तुरंत ठंडे पानी के नीचे चलाकर या सीटी के नीचे रखे कांटे से प्रेशर को हटाएँ। प्रेशर निकल जाने के बाद, कटी हुई धनिया पत्ती डालकर चलाएँ, नमक, मसाले के स्तर की जाँच करें और पत्ता गोभी की सब्जी परोसने के लिए तैयार है। यदि आप पकाने के लिए सॉस पैन विधि का उपयोग कर रहे हैं, तो पैन को ढककर रखें और तब तक पकाएँ जब तक पत्ता गोभी की सब्जी नरम न हो जाए और आपको मनचाहा बनावट न मिल जाए। पौष्टिक भोजन बनाने के लिए पत्ता गोभी की सब्जी को थेपला और गुजराती दाल के साथ परोसें।</v>
      </c>
      <c r="J635" s="3" t="s">
        <v>33526</v>
      </c>
      <c r="L635" s="1" t="s">
        <v>31003</v>
      </c>
    </row>
    <row r="636" spans="1:12" ht="13.8">
      <c r="A636" s="1" t="s">
        <v>33527</v>
      </c>
      <c r="B636" s="1" t="str">
        <f ca="1">IFERROR(__xludf.dummyfunction("IF(A636="""", """", GOOGLETRANSLATE(A636, ""en"", ""hi""))"),"आलू गोभी मटर की सब्जी")</f>
        <v>आलू गोभी मटर की सब्जी</v>
      </c>
      <c r="C636" s="1" t="s">
        <v>145</v>
      </c>
      <c r="D636" s="1" t="s">
        <v>14198</v>
      </c>
      <c r="E636" s="1">
        <v>50</v>
      </c>
      <c r="F636" s="1" t="s">
        <v>33528</v>
      </c>
      <c r="G636" s="1" t="str">
        <f ca="1">IFERROR(__xludf.dummyfunction("IF(F636="""", """", GOOGLETRANSLATE(F636, ""en"", ""hi""))"),"1/2 किलो गोभी - छोटे टुकड़ों में कटी हुई, 2 आलू, 1 कप हरी मटर, 2 छोटे चम्मच लाल मिर्च पाउडर, 1 बड़ा चम्मच धनिया पाउडर, 1 बड़ा चम्मच हल्दी पाउडर, 2 बड़े चम्मच प्याज - बारीक कटा हुआ, 1 छोटा चम्मच अदरक - बारीक कटा हुआ, 1 छोटा चम्मच मेथी दाना, 1 टहनी धनिया - "&amp;"गार्निश के लिए, तेल - आवश्यकतानुसार, नमक - स्वादानुसार")</f>
        <v>1/2 किलो गोभी - छोटे टुकड़ों में कटी हुई, 2 आलू, 1 कप हरी मटर, 2 छोटे चम्मच लाल मिर्च पाउडर, 1 बड़ा चम्मच धनिया पाउडर, 1 बड़ा चम्मच हल्दी पाउडर, 2 बड़े चम्मच प्याज - बारीक कटा हुआ, 1 छोटा चम्मच अदरक - बारीक कटा हुआ, 1 छोटा चम्मच मेथी दाना, 1 टहनी धनिया - गार्निश के लिए, तेल - आवश्यकतानुसार, नमक - स्वादानुसार</v>
      </c>
      <c r="H636" s="1" t="s">
        <v>33529</v>
      </c>
      <c r="I636" s="1" t="str">
        <f ca="1">IFERROR(__xludf.dummyfunction("IF(H636="""", """", GOOGLETRANSLATE(H636, ""en"", ""hi""))"),"""आलू गोभी मटर की सब्ज़ी बनाने के लिए सबसे पहले गोभी को गरम पानी में भिगो दें। इसमें नमक डालकर मिलाएँ और 10 मिनट के लिए ढककर रख दें। अब आलू छील लें। उन्हें धोकर काट लें और ठंडे पानी में भिगो दें। अब एक पैन में तेल गरम करें। उसमें मेथी के दाने डालें और 10 "&amp;"सेकंड बाद अदरक और प्याज़ डालें। प्याज़ के नरम होने तक पकाएँ और फिर उसमें गोभी, आलू और मटर डालें। मिलाएँ, पैन को ढक दें और 3 से 4 मिनट तक पकाएँ। 4 मिनट बाद लाल मिर्च पाउडर, धनिया पाउडर, नमक डालकर मिलाएँ। सब कुछ अच्छी तरह मिलाएँ, ढककर 6 मिनट तक पकने दें। आल"&amp;"ू गोभी मटर की सब्ज़ी को दाल तड़का, कचुम्बर सलाद और फुल्के के साथ लंच में परोसें।""")</f>
        <v>"आलू गोभी मटर की सब्ज़ी बनाने के लिए सबसे पहले गोभी को गरम पानी में भिगो दें। इसमें नमक डालकर मिलाएँ और 10 मिनट के लिए ढककर रख दें। अब आलू छील लें। उन्हें धोकर काट लें और ठंडे पानी में भिगो दें। अब एक पैन में तेल गरम करें। उसमें मेथी के दाने डालें और 10 सेकंड बाद अदरक और प्याज़ डालें। प्याज़ के नरम होने तक पकाएँ और फिर उसमें गोभी, आलू और मटर डालें। मिलाएँ, पैन को ढक दें और 3 से 4 मिनट तक पकाएँ। 4 मिनट बाद लाल मिर्च पाउडर, धनिया पाउडर, नमक डालकर मिलाएँ। सब कुछ अच्छी तरह मिलाएँ, ढककर 6 मिनट तक पकने दें। आलू गोभी मटर की सब्ज़ी को दाल तड़का, कचुम्बर सलाद और फुल्के के साथ लंच में परोसें।"</v>
      </c>
      <c r="J636" s="3" t="s">
        <v>33530</v>
      </c>
      <c r="L636" s="1" t="s">
        <v>31003</v>
      </c>
    </row>
    <row r="637" spans="1:12" ht="13.8">
      <c r="A637" s="1" t="s">
        <v>33531</v>
      </c>
      <c r="B637" s="1" t="str">
        <f ca="1">IFERROR(__xludf.dummyfunction("IF(A637="""", """", GOOGLETRANSLATE(A637, ""en"", ""hi""))"),"आलू चुकंदर और बेबी कॉर्न मिक्स सब्जी रेसिपी")</f>
        <v>आलू चुकंदर और बेबी कॉर्न मिक्स सब्जी रेसिपी</v>
      </c>
      <c r="C637" s="1" t="s">
        <v>14259</v>
      </c>
      <c r="D637" s="1" t="s">
        <v>14198</v>
      </c>
      <c r="E637" s="1">
        <v>30</v>
      </c>
      <c r="F637" s="1" t="s">
        <v>33532</v>
      </c>
      <c r="G637" s="1" t="str">
        <f ca="1">IFERROR(__xludf.dummyfunction("IF(F637="""", """", GOOGLETRANSLATE(F637, ""en"", ""hi""))"),"1/2 कप आलू - स्ट्रिप्स में कटा हुआ, 1/2 कप चुकंदर - स्ट्रिप्स में कटा हुआ, 1/2 कप बेबी कॉर्न - स्ट्रिप्स में कटा हुआ, 1/2 कप गाजर - स्ट्रिप्स में कटा हुआ, 1/2 कप हरी बीन्स (फ्रेंच बीन्स) - स्ट्रिप्स में कटा हुआ, 4 हरी मिर्च - (बड़ी) कटी हुई, 2 बड़े चम्मच "&amp;"सरसों का तेल, 1 छोटा चम्मच सरसों के बीज, 6 लहसुन - स्ट्रिप्स में कटा हुआ, 1 इंच अदरक - स्ट्रिप्स में कटा हुआ, नमक - स्वादानुसार, धनिया पत्ती - कटा हुआ")</f>
        <v>1/2 कप आलू - स्ट्रिप्स में कटा हुआ, 1/2 कप चुकंदर - स्ट्रिप्स में कटा हुआ, 1/2 कप बेबी कॉर्न - स्ट्रिप्स में कटा हुआ, 1/2 कप गाजर - स्ट्रिप्स में कटा हुआ, 1/2 कप हरी बीन्स (फ्रेंच बीन्स) - स्ट्रिप्स में कटा हुआ, 4 हरी मिर्च - (बड़ी) कटी हुई, 2 बड़े चम्मच सरसों का तेल, 1 छोटा चम्मच सरसों के बीज, 6 लहसुन - स्ट्रिप्स में कटा हुआ, 1 इंच अदरक - स्ट्रिप्स में कटा हुआ, नमक - स्वादानुसार, धनिया पत्ती - कटा हुआ</v>
      </c>
      <c r="H637" s="1" t="s">
        <v>33533</v>
      </c>
      <c r="I637" s="1" t="str">
        <f ca="1">IFERROR(__xludf.dummyfunction("IF(H637="""", """", GOOGLETRANSLATE(H637, ""en"", ""hi""))"),"आलू, चुकंदर और बेबी कॉर्न मिक्स सब्जी बनाने के लिए सबसे पहले सब्जियों को स्ट्रिप्स में काट लें और एक तरफ रख दें। प्रेशर कुकर में चुकंदर, बेबी कॉर्न, गाजर और बीन्स को मिलाएं, ¼ कप पानी डालें और 1 सीटी आने तक प्रेशर कुक करें, आंच बंद कर दें। प्रेशर को तुरंत"&amp;" छोड़ दें। एक पैन में मध्यम-तेज़ आँच पर सरसों का तेल गर्म करें, उसमें राई डालें और उन्हें चटकने दें। लहसुन और अदरक डालें, कुछ मिनट तक भूनें जब तक कि लहसुन सुनहरा भूरा न हो जाए। इसके बाद इसमें कटी हुई हरी मिर्च और कच्चे आलू के स्ट्रिप्स डालें, ढक दें और आल"&amp;"ू के नरम होने तक पकाते रहें। कभी-कभी ढक्कन खोलें और इसे मिलाएँ। अंत में प्रेशर कुक की हुई सब्ज़ियाँ- चुकंदर, गाजर, बीन्स, बेबी कॉर्न और नमक और हल्दी डालें आलू, चुकंदर और बेबी कॉर्न मिक्स सब्जी को गरमागरम परोसें। इस आलू चुकंदर और बेबी कॉर्न मिक्स सब्जी रेस"&amp;"िपी को पुदीना तवा पराठा रेसिपी (पुदीना पत्ती स्किलेट फ्लैट ब्रेड) और तड़केवाली मसूर दाल रेसिपी और पालक रायता रेसिपी (पालक दही सलाद) के साथ परोसें।")</f>
        <v>आलू, चुकंदर और बेबी कॉर्न मिक्स सब्जी बनाने के लिए सबसे पहले सब्जियों को स्ट्रिप्स में काट लें और एक तरफ रख दें। प्रेशर कुकर में चुकंदर, बेबी कॉर्न, गाजर और बीन्स को मिलाएं, ¼ कप पानी डालें और 1 सीटी आने तक प्रेशर कुक करें, आंच बंद कर दें। प्रेशर को तुरंत छोड़ दें। एक पैन में मध्यम-तेज़ आँच पर सरसों का तेल गर्म करें, उसमें राई डालें और उन्हें चटकने दें। लहसुन और अदरक डालें, कुछ मिनट तक भूनें जब तक कि लहसुन सुनहरा भूरा न हो जाए। इसके बाद इसमें कटी हुई हरी मिर्च और कच्चे आलू के स्ट्रिप्स डालें, ढक दें और आलू के नरम होने तक पकाते रहें। कभी-कभी ढक्कन खोलें और इसे मिलाएँ। अंत में प्रेशर कुक की हुई सब्ज़ियाँ- चुकंदर, गाजर, बीन्स, बेबी कॉर्न और नमक और हल्दी डालें आलू, चुकंदर और बेबी कॉर्न मिक्स सब्जी को गरमागरम परोसें। इस आलू चुकंदर और बेबी कॉर्न मिक्स सब्जी रेसिपी को पुदीना तवा पराठा रेसिपी (पुदीना पत्ती स्किलेट फ्लैट ब्रेड) और तड़केवाली मसूर दाल रेसिपी और पालक रायता रेसिपी (पालक दही सलाद) के साथ परोसें।</v>
      </c>
      <c r="J637" s="3" t="s">
        <v>33534</v>
      </c>
      <c r="L637" s="1" t="s">
        <v>31003</v>
      </c>
    </row>
    <row r="638" spans="1:12" ht="13.8">
      <c r="A638" s="1" t="s">
        <v>33535</v>
      </c>
      <c r="B638" s="1" t="str">
        <f ca="1">IFERROR(__xludf.dummyfunction("IF(A638="""", """", GOOGLETRANSLATE(A638, ""en"", ""hi""))"),"पनीर बटर मसाला")</f>
        <v>पनीर बटर मसाला</v>
      </c>
      <c r="C638" s="1" t="s">
        <v>145</v>
      </c>
      <c r="D638" s="1" t="s">
        <v>14198</v>
      </c>
      <c r="E638" s="1">
        <v>60</v>
      </c>
      <c r="F638" s="1" t="s">
        <v>33536</v>
      </c>
      <c r="G638" s="1" t="str">
        <f ca="1">IFERROR(__xludf.dummyfunction("IF(F638="""", """", GOOGLETRANSLATE(F638, ""en"", ""hi""))"),"200 ग्राम पनीर - कटा हुआ, 3 टमाटर - प्यूरी बना लें, 1 चम्मच लाल मिर्च पाउडर, 1 चम्मच जीरा पाउडर, 1 चम्मच गरम मसाला पाउडर, 1/4 कप क्रीम, 2 बड़े चम्मच मक्खन, नमक - स्वादानुसार, 1 चम्मच कसूरी मेथी, 1 प्याज, 1 इंच अदरक - छीलकर कद्दूकस कर लें, 6 लहसुन, 2 बड़े "&amp;"चम्मच काजू")</f>
        <v>200 ग्राम पनीर - कटा हुआ, 3 टमाटर - प्यूरी बना लें, 1 चम्मच लाल मिर्च पाउडर, 1 चम्मच जीरा पाउडर, 1 चम्मच गरम मसाला पाउडर, 1/4 कप क्रीम, 2 बड़े चम्मच मक्खन, नमक - स्वादानुसार, 1 चम्मच कसूरी मेथी, 1 प्याज, 1 इंच अदरक - छीलकर कद्दूकस कर लें, 6 लहसुन, 2 बड़े चम्मच काजू</v>
      </c>
      <c r="H638" s="1" t="s">
        <v>33537</v>
      </c>
      <c r="I638" s="1" t="str">
        <f ca="1">IFERROR(__xludf.dummyfunction("IF(H638="""", """", GOOGLETRANSLATE(H638, ""en"", ""hi""))"),"""पनीर बटर मसाला बनाने के लिए सबसे पहले मिक्सर ग्राइंडर में पेस्ट बनाने की सामग्री डालकर पीस लें। पेस्ट को एक बाउल में निकाल कर रख लें। अब एक पैन में मक्खन गर्म करें। उसमें प्याज़ का पेस्ट डालें और हल्का भूरा होने तक पकाएँ। लाल मिर्च पाउडर और टमाटर प्यूरी"&amp;" डालें और कुछ मिनट तक पकाएँ। उसके बाद जीरा पाउडर, गरम मसाला पाउडर और 1 कप पानी डालें। इसे मिलाएँ और 10 से 15 मिनट तक पकाएँ। 15 मिनट बाद क्रीम, नमक और पनीर डालें। इसे मिलाएँ और 5 से 10 मिनट तक पकाएँ। कसूरी मेथी डालें और 2 मिनट तक पकाएँ। 2 मिनट बाद गैस बंद "&amp;"कर दें और गरमागरम परोसें। पनीर बटर मसाला को दाल मखनी, पालक रायता और फुल्के के साथ रविवार के लंच में परोसें।""")</f>
        <v>"पनीर बटर मसाला बनाने के लिए सबसे पहले मिक्सर ग्राइंडर में पेस्ट बनाने की सामग्री डालकर पीस लें। पेस्ट को एक बाउल में निकाल कर रख लें। अब एक पैन में मक्खन गर्म करें। उसमें प्याज़ का पेस्ट डालें और हल्का भूरा होने तक पकाएँ। लाल मिर्च पाउडर और टमाटर प्यूरी डालें और कुछ मिनट तक पकाएँ। उसके बाद जीरा पाउडर, गरम मसाला पाउडर और 1 कप पानी डालें। इसे मिलाएँ और 10 से 15 मिनट तक पकाएँ। 15 मिनट बाद क्रीम, नमक और पनीर डालें। इसे मिलाएँ और 5 से 10 मिनट तक पकाएँ। कसूरी मेथी डालें और 2 मिनट तक पकाएँ। 2 मिनट बाद गैस बंद कर दें और गरमागरम परोसें। पनीर बटर मसाला को दाल मखनी, पालक रायता और फुल्के के साथ रविवार के लंच में परोसें।"</v>
      </c>
      <c r="J638" s="3" t="s">
        <v>33538</v>
      </c>
      <c r="L638" s="1" t="s">
        <v>31003</v>
      </c>
    </row>
    <row r="639" spans="1:12" ht="13.8">
      <c r="A639" s="1" t="s">
        <v>33539</v>
      </c>
      <c r="B639" s="1" t="str">
        <f ca="1">IFERROR(__xludf.dummyfunction("IF(A639="""", """", GOOGLETRANSLATE(A639, ""en"", ""hi""))"),"आलू ब्रोकोली सब्ज़ी")</f>
        <v>आलू ब्रोकोली सब्ज़ी</v>
      </c>
      <c r="C639" s="1" t="s">
        <v>145</v>
      </c>
      <c r="D639" s="1" t="s">
        <v>14198</v>
      </c>
      <c r="E639" s="1">
        <v>40</v>
      </c>
      <c r="F639" s="1" t="s">
        <v>33540</v>
      </c>
      <c r="G639" s="1" t="str">
        <f ca="1">IFERROR(__xludf.dummyfunction("IF(F639="""", """", GOOGLETRANSLATE(F639, ""en"", ""hi""))"),"1 ब्रोकली - कटी हुई, 2 आलू - छिले और कटे हुए, 1 चम्मच हल्दी पाउडर, नमक - स्वादानुसार, 1/2 चम्मच कलौंजी, 1 बड़ा चम्मच तेल")</f>
        <v>1 ब्रोकली - कटी हुई, 2 आलू - छिले और कटे हुए, 1 चम्मच हल्दी पाउडर, नमक - स्वादानुसार, 1/2 चम्मच कलौंजी, 1 बड़ा चम्मच तेल</v>
      </c>
      <c r="H639" s="1" t="s">
        <v>33541</v>
      </c>
      <c r="I639" s="1" t="str">
        <f ca="1">IFERROR(__xludf.dummyfunction("IF(H639="""", """", GOOGLETRANSLATE(H639, ""en"", ""hi""))"),"आलू ब्रोकली की सब्ज़ी बनाने के लिए सबसे पहले ब्रोकली को छोटे-छोटे टुकड़ों में काट लें। इसे धोकर सुखा लें और एक तरफ रख दें। आलू को धोकर छील लें और अपने स्वादानुसार काट लें। आलू को एक प्याले में भिगो दें। ब्रोकली को स्टीमर में डालकर पकाएँ। इसे एक अलग प्याले"&amp;" में निकाल लें। अब एक पैन में तेल गर्म करें। इसमें कलौंजी (काला जीरा) डालें और 10 सेकंड तक पकने दें। अब इसमें आलू, नमक और हल्दी पाउडर डालें। पैन को ढक दें और आलू के पकने तक पकाएँ। अब इसमें ब्रोकली डालें और अगले 1 मिनट तक पकाएँ। 1 मिनट बाद गैस बंद कर दें औ"&amp;"र गरमागरम सर्व करें। आलू ब्रोकली की सब्ज़ी को पंचमेल दाल और फुल्के के साथ लंच में बनाया जा सकता है।")</f>
        <v>आलू ब्रोकली की सब्ज़ी बनाने के लिए सबसे पहले ब्रोकली को छोटे-छोटे टुकड़ों में काट लें। इसे धोकर सुखा लें और एक तरफ रख दें। आलू को धोकर छील लें और अपने स्वादानुसार काट लें। आलू को एक प्याले में भिगो दें। ब्रोकली को स्टीमर में डालकर पकाएँ। इसे एक अलग प्याले में निकाल लें। अब एक पैन में तेल गर्म करें। इसमें कलौंजी (काला जीरा) डालें और 10 सेकंड तक पकने दें। अब इसमें आलू, नमक और हल्दी पाउडर डालें। पैन को ढक दें और आलू के पकने तक पकाएँ। अब इसमें ब्रोकली डालें और अगले 1 मिनट तक पकाएँ। 1 मिनट बाद गैस बंद कर दें और गरमागरम सर्व करें। आलू ब्रोकली की सब्ज़ी को पंचमेल दाल और फुल्के के साथ लंच में बनाया जा सकता है।</v>
      </c>
      <c r="J639" s="3" t="s">
        <v>33542</v>
      </c>
      <c r="L639" s="1" t="s">
        <v>31003</v>
      </c>
    </row>
    <row r="640" spans="1:12" ht="13.8">
      <c r="A640" s="1" t="s">
        <v>33543</v>
      </c>
      <c r="B640" s="1" t="str">
        <f ca="1">IFERROR(__xludf.dummyfunction("IF(A640="""", """", GOOGLETRANSLATE(A640, ""en"", ""hi""))"),"दाल शोरबा रेसिपी")</f>
        <v>दाल शोरबा रेसिपी</v>
      </c>
      <c r="C640" s="1" t="s">
        <v>14572</v>
      </c>
      <c r="D640" s="1" t="s">
        <v>14198</v>
      </c>
      <c r="E640" s="1">
        <v>25</v>
      </c>
      <c r="F640" s="1" t="s">
        <v>33544</v>
      </c>
      <c r="G640" s="1" t="str">
        <f ca="1">IFERROR(__xludf.dummyfunction("IF(F640="""", """", GOOGLETRANSLATE(F640, ""en"", ""hi""))"),"1/4 कप पीली मूंग दाल, 1 प्याज, 6 लहसुन की कलियां, 1/2 चम्मच अदरक पाउडर, 1/4 चम्मच हल्दी पाउडर, 1/3 चम्मच लाल मिर्च पाउडर, 1/2 चम्मच काली मिर्च पाउडर, 1 चम्मच जीरा, 2 चम्मच नारियल तेल, नमक- स्वादानुसार, 2 कप पानी, हरा धनिया- गार्निश के लिए, 1 चम्मच नींबू क"&amp;"ा रस")</f>
        <v>1/4 कप पीली मूंग दाल, 1 प्याज, 6 लहसुन की कलियां, 1/2 चम्मच अदरक पाउडर, 1/4 चम्मच हल्दी पाउडर, 1/3 चम्मच लाल मिर्च पाउडर, 1/2 चम्मच काली मिर्च पाउडर, 1 चम्मच जीरा, 2 चम्मच नारियल तेल, नमक- स्वादानुसार, 2 कप पानी, हरा धनिया- गार्निश के लिए, 1 चम्मच नींबू का रस</v>
      </c>
      <c r="H640" s="1" t="s">
        <v>33545</v>
      </c>
      <c r="I640" s="1" t="str">
        <f ca="1">IFERROR(__xludf.dummyfunction("IF(H640="""", """", GOOGLETRANSLATE(H640, ""en"", ""hi""))"),"""दाल शोरबा रेसिपी बनाने के लिए सबसे पहले मूंग दाल को धो लें। इस दाल को प्रेशर कुकर में ज़रूरत के हिसाब से पानी डालकर 2 सीटी आने तक पकाएँ। प्रेशर अपने आप निकल जाने दें। कुकर खोलें, हैंड ब्लेंडर की मदद से दाल को ब्लेंड करें। एक तरफ़ रख दें। एक पैन में तेल "&amp;"गरम करें। इसमें प्याज़ और लहसुन डालें और प्याज़ के नरम होने तक पकाएँ। मसली हुई दाल के साथ 2 कप पानी डालें। अब नमक, हल्दी पाउडर, अदरक पाउडर, काली मिर्च पाउडर, लाल मिर्च पाउडर डालें और मिलाएँ। 2 से 3 मिनट तक पकाएँ और बीच-बीच में चलाते रहें। पकने के बाद गैस "&amp;"बंद कर दें और इसमें नींबू का रस मिलाएँ। इसे एक तरफ़ रख दें। तड़के के लिए तड़का पैन में तेल गरम करें। तेल गरम होने के बाद इसमें जीरा डालें और इसे चटकने दें। गैस बंद कर दें। इस तड़के को दाल शोरबा में मिलाएँ और धनिया पत्ती से गार्निश करें। इस शोरबा को एक बाउ"&amp;"ल में डालें और क्रीम और जीरे से गार्निश करें। गार्निश करें।""")</f>
        <v>"दाल शोरबा रेसिपी बनाने के लिए सबसे पहले मूंग दाल को धो लें। इस दाल को प्रेशर कुकर में ज़रूरत के हिसाब से पानी डालकर 2 सीटी आने तक पकाएँ। प्रेशर अपने आप निकल जाने दें। कुकर खोलें, हैंड ब्लेंडर की मदद से दाल को ब्लेंड करें। एक तरफ़ रख दें। एक पैन में तेल गरम करें। इसमें प्याज़ और लहसुन डालें और प्याज़ के नरम होने तक पकाएँ। मसली हुई दाल के साथ 2 कप पानी डालें। अब नमक, हल्दी पाउडर, अदरक पाउडर, काली मिर्च पाउडर, लाल मिर्च पाउडर डालें और मिलाएँ। 2 से 3 मिनट तक पकाएँ और बीच-बीच में चलाते रहें। पकने के बाद गैस बंद कर दें और इसमें नींबू का रस मिलाएँ। इसे एक तरफ़ रख दें। तड़के के लिए तड़का पैन में तेल गरम करें। तेल गरम होने के बाद इसमें जीरा डालें और इसे चटकने दें। गैस बंद कर दें। इस तड़के को दाल शोरबा में मिलाएँ और धनिया पत्ती से गार्निश करें। इस शोरबा को एक बाउल में डालें और क्रीम और जीरे से गार्निश करें। गार्निश करें।"</v>
      </c>
      <c r="J640" s="3" t="s">
        <v>33546</v>
      </c>
      <c r="L640" s="1" t="s">
        <v>31003</v>
      </c>
    </row>
    <row r="641" spans="1:12" ht="13.8">
      <c r="A641" s="1" t="s">
        <v>32208</v>
      </c>
      <c r="B641" s="1" t="str">
        <f ca="1">IFERROR(__xludf.dummyfunction("IF(A641="""", """", GOOGLETRANSLATE(A641, ""en"", ""hi""))"),"मसूर दाल और राजमा मसाला रेसिपी")</f>
        <v>मसूर दाल और राजमा मसाला रेसिपी</v>
      </c>
      <c r="C641" s="1" t="s">
        <v>429</v>
      </c>
      <c r="D641" s="1" t="s">
        <v>14237</v>
      </c>
      <c r="E641" s="1">
        <v>35</v>
      </c>
      <c r="F641" s="1" t="s">
        <v>33547</v>
      </c>
      <c r="G641" s="1" t="str">
        <f ca="1">IFERROR(__xludf.dummyfunction("IF(F641="""", """", GOOGLETRANSLATE(F641, ""en"", ""hi""))"),"1 कप मसूर दाल, 1/2 कप राजमा, 1 प्याज, 2 टमाटर - प्यूरी बनाएं, 1 हरी मिर्च - कटी हुई, 2 चम्मच धनिया पाउडर, 1 इंच अदरक, 1 चम्मच लाल मिर्च पाउडर, 1 चम्मच गरम मसाला पाउडर, 1 इंच दालचीनी, 1 चम्मच जीरा, 1 चम्मच अदरक - सीधा और पतला कटा हुआ, 2 चम्मच घी - या मक्खन"&amp;", नमक - स्वादानुसार")</f>
        <v>1 कप मसूर दाल, 1/2 कप राजमा, 1 प्याज, 2 टमाटर - प्यूरी बनाएं, 1 हरी मिर्च - कटी हुई, 2 चम्मच धनिया पाउडर, 1 इंच अदरक, 1 चम्मच लाल मिर्च पाउडर, 1 चम्मच गरम मसाला पाउडर, 1 इंच दालचीनी, 1 चम्मच जीरा, 1 चम्मच अदरक - सीधा और पतला कटा हुआ, 2 चम्मच घी - या मक्खन, नमक - स्वादानुसार</v>
      </c>
      <c r="H641" s="1" t="s">
        <v>33548</v>
      </c>
      <c r="I641" s="1" t="str">
        <f ca="1">IFERROR(__xludf.dummyfunction("IF(H641="""", """", GOOGLETRANSLATE(H641, ""en"", ""hi""))"),"""मसूर दाल और राजमा मसाला रेसिपी बनाने के लिए सबसे पहले दाल और राजमा को धोकर रात भर पानी में भिगो दें। अब इसे प्रेशर कुकर में पानी और नमक के साथ डालकर 3 से 4 सीटी आने तक पकाएं। गैस बंद कर दें और प्रेशर अपने आप निकलने दें। अब प्याज, अदरक को मिक्सर ग्राइंडर"&amp;" में डालकर पीस लें। इसे एक तरफ रख दें। अब एक पैन में घी गर्म करें। इसमें दालचीनी, जीरा डालकर 15 सेकंड तक पकाएं। अब इसमें प्याज अदरक का पेस्ट डालें और भूरा-सुनहरा होने तक पकाएं। अब इसमें हरी मिर्च, टमाटर प्यूरी डालें और 2 मिनट तक पकाएं। 2 मिनट बाद इसमें धन"&amp;"िया पाउडर, लाल मिर्च पाउडर, गरम मसाला पाउडर डालें और 3 से 4 मिनट तक पकाएं। अब इसमें मसूर दाल, राजमा, आवश्यकतानुसार पानी, नमक डालें और धीमी आंच पर 10 मिनट तक पकाएं। गैस बंद कर दें और अदरक से गार्निश करें। सर्व करें। मसूर दाल और राजमा मसाला रेसिपी को जीरा र"&amp;"ाइस, भिंडी मसाला और फुल्के के साथ अपने रोजाना के खाने में सर्व करें।""")</f>
        <v>"मसूर दाल और राजमा मसाला रेसिपी बनाने के लिए सबसे पहले दाल और राजमा को धोकर रात भर पानी में भिगो दें। अब इसे प्रेशर कुकर में पानी और नमक के साथ डालकर 3 से 4 सीटी आने तक पकाएं। गैस बंद कर दें और प्रेशर अपने आप निकलने दें। अब प्याज, अदरक को मिक्सर ग्राइंडर में डालकर पीस लें। इसे एक तरफ रख दें। अब एक पैन में घी गर्म करें। इसमें दालचीनी, जीरा डालकर 15 सेकंड तक पकाएं। अब इसमें प्याज अदरक का पेस्ट डालें और भूरा-सुनहरा होने तक पकाएं। अब इसमें हरी मिर्च, टमाटर प्यूरी डालें और 2 मिनट तक पकाएं। 2 मिनट बाद इसमें धनिया पाउडर, लाल मिर्च पाउडर, गरम मसाला पाउडर डालें और 3 से 4 मिनट तक पकाएं। अब इसमें मसूर दाल, राजमा, आवश्यकतानुसार पानी, नमक डालें और धीमी आंच पर 10 मिनट तक पकाएं। गैस बंद कर दें और अदरक से गार्निश करें। सर्व करें। मसूर दाल और राजमा मसाला रेसिपी को जीरा राइस, भिंडी मसाला और फुल्के के साथ अपने रोजाना के खाने में सर्व करें।"</v>
      </c>
      <c r="J641" s="3" t="s">
        <v>33549</v>
      </c>
      <c r="L641" s="1" t="s">
        <v>31003</v>
      </c>
    </row>
    <row r="642" spans="1:12" ht="13.8">
      <c r="A642" s="1" t="s">
        <v>33550</v>
      </c>
      <c r="B642" s="1" t="str">
        <f ca="1">IFERROR(__xludf.dummyfunction("IF(A642="""", """", GOOGLETRANSLATE(A642, ""en"", ""hi""))"),"स्वीट कॉर्न, मेथी और टमाटर चावल रेसिपी")</f>
        <v>स्वीट कॉर्न, मेथी और टमाटर चावल रेसिपी</v>
      </c>
      <c r="C642" s="1" t="s">
        <v>145</v>
      </c>
      <c r="D642" s="1" t="s">
        <v>14198</v>
      </c>
      <c r="E642" s="1">
        <v>45</v>
      </c>
      <c r="F642" s="1" t="s">
        <v>33551</v>
      </c>
      <c r="G642" s="1" t="str">
        <f ca="1">IFERROR(__xludf.dummyfunction("IF(F642="""", """", GOOGLETRANSLATE(F642, ""en"", ""hi""))"),"2 कप पके हुए चावल, 2 टमाटर - कटे हुए, 2 प्याज - कटे हुए, 1 इंच लहसुन - कटा हुआ, 4 लहसुन के दाने - कटा हुआ, 1 कप स्वीट कॉर्न, 1 हरी मिर्च - कटी हुई, 2 कप मेथी के पत्ते - धुले और कटे हुए, नमक - स्वादानुसार, सूरजमुखी का तेल, 1 चम्मच जीरा, 1 इंच दालचीनी, 1 इल"&amp;"ायची, 1 चक्र फूल, 1 तेज पत्ता, 1 चम्मच हल्दी, 2 चम्मच धनिया पाउडर, 2 चम्मच गरम मसाला पाउडर, 1 चम्मच लाल मिर्च पाउडर")</f>
        <v>2 कप पके हुए चावल, 2 टमाटर - कटे हुए, 2 प्याज - कटे हुए, 1 इंच लहसुन - कटा हुआ, 4 लहसुन के दाने - कटा हुआ, 1 कप स्वीट कॉर्न, 1 हरी मिर्च - कटी हुई, 2 कप मेथी के पत्ते - धुले और कटे हुए, नमक - स्वादानुसार, सूरजमुखी का तेल, 1 चम्मच जीरा, 1 इंच दालचीनी, 1 इलायची, 1 चक्र फूल, 1 तेज पत्ता, 1 चम्मच हल्दी, 2 चम्मच धनिया पाउडर, 2 चम्मच गरम मसाला पाउडर, 1 चम्मच लाल मिर्च पाउडर</v>
      </c>
      <c r="H642" s="1" t="s">
        <v>33552</v>
      </c>
      <c r="I642" s="1" t="str">
        <f ca="1">IFERROR(__xludf.dummyfunction("IF(H642="""", """", GOOGLETRANSLATE(H642, ""en"", ""hi""))"),"स्वीट कॉर्न, मेथी और टमाटर चावल बनाने की विधि शुरू करने के लिए, हम चावल को पकाकर तैयार रखेंगे। प्रेशर कुकर में चावल पकाने का तरीका जानने के लिए कृपया “प्रेशर कुकर में चावल पकाने के लिए” लिंक पर क्लिक करें और प्रक्रिया का पालन करें। पर्याप्त तेल के साथ एक "&amp;"कढ़ाई गरम करें, सूची में बताए गए सभी साबुत मसाले जैसे, तेज पत्ता, जीरा, इलायची की फली, दालचीनी और चक्र फूल डालें। इसे कुछ सेकंड के लिए तड़कने दें। प्याज, अदरक और लहसुन डालें और पारदर्शी होने तक भूनें। प्याज को सुनहरा भूरा होने दें और फिर कटे हुए टमाटर डाल"&amp;"ें। थोड़ा नमक छिड़कें और उन्हें नरम होने तक भूनें। मेथी के पत्ते डालें और तब तक पकाएँ जब तक कि पत्ते मुरझा न जाएँ और चमकीले हरे न हो जाएँ। स्वीट कॉर्न और ऊपर बताए गए सभी मसाले पाउडर (हल्दी पाउडर, धनिया पाउडर, गरम मसाला पाउडर, लाल मिर्च पाउडर) डालें। मसाले"&amp;" को कम से कम 10 मिनट तक पकाएँ और पके हुए चावल डालें। आंच धीमी कर दें और चावल को मसाले के साथ मिला लें और नमक की जांच करें। मसाले को उसी हिसाब से एडजस्ट करें और अच्छी तरह मिलाएँ। जब हो जाए तो आंच बंद कर दें और गरमागरम परोसें। स्वीट कॉर्न, मेथी और टमाटर चाव"&amp;"ल की रेसिपी को कच्चे आम के रायते और सलाद के साथ परोसें ताकि यह एक संपूर्ण भोजन बन जाए।")</f>
        <v>स्वीट कॉर्न, मेथी और टमाटर चावल बनाने की विधि शुरू करने के लिए, हम चावल को पकाकर तैयार रखेंगे। प्रेशर कुकर में चावल पकाने का तरीका जानने के लिए कृपया “प्रेशर कुकर में चावल पकाने के लिए” लिंक पर क्लिक करें और प्रक्रिया का पालन करें। पर्याप्त तेल के साथ एक कढ़ाई गरम करें, सूची में बताए गए सभी साबुत मसाले जैसे, तेज पत्ता, जीरा, इलायची की फली, दालचीनी और चक्र फूल डालें। इसे कुछ सेकंड के लिए तड़कने दें। प्याज, अदरक और लहसुन डालें और पारदर्शी होने तक भूनें। प्याज को सुनहरा भूरा होने दें और फिर कटे हुए टमाटर डालें। थोड़ा नमक छिड़कें और उन्हें नरम होने तक भूनें। मेथी के पत्ते डालें और तब तक पकाएँ जब तक कि पत्ते मुरझा न जाएँ और चमकीले हरे न हो जाएँ। स्वीट कॉर्न और ऊपर बताए गए सभी मसाले पाउडर (हल्दी पाउडर, धनिया पाउडर, गरम मसाला पाउडर, लाल मिर्च पाउडर) डालें। मसाले को कम से कम 10 मिनट तक पकाएँ और पके हुए चावल डालें। आंच धीमी कर दें और चावल को मसाले के साथ मिला लें और नमक की जांच करें। मसाले को उसी हिसाब से एडजस्ट करें और अच्छी तरह मिलाएँ। जब हो जाए तो आंच बंद कर दें और गरमागरम परोसें। स्वीट कॉर्न, मेथी और टमाटर चावल की रेसिपी को कच्चे आम के रायते और सलाद के साथ परोसें ताकि यह एक संपूर्ण भोजन बन जाए।</v>
      </c>
      <c r="J642" s="3" t="s">
        <v>33553</v>
      </c>
      <c r="L642" s="1" t="s">
        <v>31003</v>
      </c>
    </row>
    <row r="643" spans="1:12" ht="13.8">
      <c r="A643" s="1" t="s">
        <v>33554</v>
      </c>
      <c r="B643" s="1" t="str">
        <f ca="1">IFERROR(__xludf.dummyfunction("IF(A643="""", """", GOOGLETRANSLATE(A643, ""en"", ""hi""))"),"पनीर ब्रेड बॉल्स रेसिपी - कॉटेज चीज़ और ब्रेड क्रोकेट्स")</f>
        <v>पनीर ब्रेड बॉल्स रेसिपी - कॉटेज चीज़ और ब्रेड क्रोकेट्स</v>
      </c>
      <c r="C643" s="1" t="s">
        <v>14572</v>
      </c>
      <c r="D643" s="1" t="s">
        <v>14198</v>
      </c>
      <c r="E643" s="1">
        <v>40</v>
      </c>
      <c r="F643" s="1" t="s">
        <v>33555</v>
      </c>
      <c r="G643" s="1" t="str">
        <f ca="1">IFERROR(__xludf.dummyfunction("IF(F643="""", """", GOOGLETRANSLATE(F643, ""en"", ""hi""))"),"250 ग्राम पनीर, 2 आलू - उबले और मसले हुए, 4 गेहूं की ब्राउन ब्रेड, 1/2 चम्मच जीरा पाउडर, 1 चम्मच गरम मसाला पाउडर, 1/2 चम्मच काली मिर्च पाउडर, 4 टहनी धनिया - बारीक कटा हुआ, नमक - आवश्यकतानुसार, सूरजमुखी तेल - पकाने के लिए")</f>
        <v>250 ग्राम पनीर, 2 आलू - उबले और मसले हुए, 4 गेहूं की ब्राउन ब्रेड, 1/2 चम्मच जीरा पाउडर, 1 चम्मच गरम मसाला पाउडर, 1/2 चम्मच काली मिर्च पाउडर, 4 टहनी धनिया - बारीक कटा हुआ, नमक - आवश्यकतानुसार, सूरजमुखी तेल - पकाने के लिए</v>
      </c>
      <c r="H643" s="1" t="s">
        <v>33556</v>
      </c>
      <c r="I643" s="1" t="str">
        <f ca="1">IFERROR(__xludf.dummyfunction("IF(H643="""", """", GOOGLETRANSLATE(H643, ""en"", ""hi""))"),"पनीर ब्रेड बॉल्स रेसिपी बनाने के लिए सभी सामग्री तैयार कर लें। हम इन ब्रेड रोल्स को बनाने के लिए कुझी पनियारम पैन का उपयोग करेंगे। लेकिन आप इसे थोड़े तेल के साथ और भी अधिक स्वस्थ बनाने के लिए एयर फ्रायर का भी उपयोग कर सकते हैं। ब्रेड को दूध या पानी में भि"&amp;"गोएँ और अतिरिक्त तरल को निचोड़ दें। एक बड़े मिश्रण के कटोरे में पनीर, आलू, भिगोई हुई ब्रेड और तेल को छोड़कर शेष सभी सामग्री डालें। सभी सामग्री को अच्छी तरह से मिलाएं और आटे जैसा मिश्रण बनाने के लिए अच्छी तरह से गूंधें। नमक और मसाले की जांच करें और अपने स्"&amp;"वाद के अनुसार समायोजित करें। उन्हें छोटे काटने के आकार के गेंदों का आकार दें और एक तरफ रख दें। मध्यम आँच पर कुझी पनियारम पैन को पहले से गरम करें, प्रत्येक कैविटी में थोड़ा तेल डालें एक बार हो जाने पर, उन्हें एक तेल सोखने वाले कागज पर निकालें और फिर परोसें"&amp;"। पनीर ब्रेड बॉल्स को ऐपेटाइज़र के रूप में ग्रीक योगर्ट डिप या हरी चटनी और कुछ मसाला चाय के साथ परोसें और आपके दोस्तों या परिवार को यह ज़रूर पसंद आएगा।")</f>
        <v>पनीर ब्रेड बॉल्स रेसिपी बनाने के लिए सभी सामग्री तैयार कर लें। हम इन ब्रेड रोल्स को बनाने के लिए कुझी पनियारम पैन का उपयोग करेंगे। लेकिन आप इसे थोड़े तेल के साथ और भी अधिक स्वस्थ बनाने के लिए एयर फ्रायर का भी उपयोग कर सकते हैं। ब्रेड को दूध या पानी में भिगोएँ और अतिरिक्त तरल को निचोड़ दें। एक बड़े मिश्रण के कटोरे में पनीर, आलू, भिगोई हुई ब्रेड और तेल को छोड़कर शेष सभी सामग्री डालें। सभी सामग्री को अच्छी तरह से मिलाएं और आटे जैसा मिश्रण बनाने के लिए अच्छी तरह से गूंधें। नमक और मसाले की जांच करें और अपने स्वाद के अनुसार समायोजित करें। उन्हें छोटे काटने के आकार के गेंदों का आकार दें और एक तरफ रख दें। मध्यम आँच पर कुझी पनियारम पैन को पहले से गरम करें, प्रत्येक कैविटी में थोड़ा तेल डालें एक बार हो जाने पर, उन्हें एक तेल सोखने वाले कागज पर निकालें और फिर परोसें। पनीर ब्रेड बॉल्स को ऐपेटाइज़र के रूप में ग्रीक योगर्ट डिप या हरी चटनी और कुछ मसाला चाय के साथ परोसें और आपके दोस्तों या परिवार को यह ज़रूर पसंद आएगा।</v>
      </c>
      <c r="J643" s="3" t="s">
        <v>33557</v>
      </c>
      <c r="L643" s="1" t="s">
        <v>31003</v>
      </c>
    </row>
    <row r="644" spans="1:12" ht="13.8">
      <c r="A644" s="1" t="s">
        <v>33558</v>
      </c>
      <c r="B644" s="1" t="str">
        <f ca="1">IFERROR(__xludf.dummyfunction("IF(A644="""", """", GOOGLETRANSLATE(A644, ""en"", ""hi""))"),"वर्की पराठा रेसिपी")</f>
        <v>वर्की पराठा रेसिपी</v>
      </c>
      <c r="C644" s="1" t="s">
        <v>145</v>
      </c>
      <c r="D644" s="1" t="s">
        <v>14198</v>
      </c>
      <c r="E644" s="1">
        <v>145</v>
      </c>
      <c r="F644" s="1" t="s">
        <v>33559</v>
      </c>
      <c r="G644" s="1" t="str">
        <f ca="1">IFERROR(__xludf.dummyfunction("IF(F644="""", """", GOOGLETRANSLATE(F644, ""en"", ""hi""))"),"4 कप मैदा, 3/4 कप घी, नमक - स्वादानुसार, 2 चम्मच चीनी, 1 कप दूध, 1/3 कप घी - पिघला हुआ, पानी - आवश्यकतानुसार, मैदा - छिड़कने के लिए, घी - पराठों को तलने के लिए")</f>
        <v>4 कप मैदा, 3/4 कप घी, नमक - स्वादानुसार, 2 चम्मच चीनी, 1 कप दूध, 1/3 कप घी - पिघला हुआ, पानी - आवश्यकतानुसार, मैदा - छिड़कने के लिए, घी - पराठों को तलने के लिए</v>
      </c>
      <c r="H644" s="1" t="s">
        <v>33560</v>
      </c>
      <c r="I644" s="1" t="str">
        <f ca="1">IFERROR(__xludf.dummyfunction("IF(H644="""", """", GOOGLETRANSLATE(H644, ""en"", ""hi""))"),"वारकी पराठा रेसिपी बनाने के लिए सबसे पहले हमें आटा गूंथना होगा। एक मिक्सिंग बाउल में मैदा, नमक, चीनी, घी और दूध डालें और अच्छी तरह मिलाएँ। आटा गूंथने के लिए पर्याप्त पानी का प्रयोग करें और वारकी के आटे की लोई बना लें और अच्छी तरह गूंथ लें। एक बार जब आपके "&amp;"पास अच्छी चिकनी वारकी आटे की लोई तैयार हो जाए तो उसे गीले मलमल के कपड़े से ढक दें और 30 मिनट के लिए अलग रख दें। 30 मिनट के बाद वारकी के आटे को काम की सतह पर रखें और पूरे आटे को अपनी हथेलियों से चपटा करें, आटे के दोनों तरफ थोड़ा आटा छिड़कें और अब इसे बेलन "&amp;"से चपटा करना शुरू करें। एक बार जब आपके पास अच्छा बड़ा आयताकार चपटा आटा तैयार हो जाए तो पेस्ट्री ब्रश का उपयोग करके उदारतापूर्वक सतह पर पिघला हुआ आटा फैलाएं। अब इसके ऊपर थोड़ा आटा छिड़कें अब आटे के दूसरे भाग को पहले मोड़ के ऊपर इस तरह मोड़ें कि एक लंबवत आय"&amp;"त प्राप्त हो जाए। एक बार फिर से घी लगाएं और आटा छिड़कें और एक वर्गाकार आकार में मोड़ें। उदारतापूर्वक, आटे से धूलें, एक प्लेट में निकालें और इसे 20 मिनट के लिए रेफ्रिजरेटर में रख दें। अब इस चौकोर आटे को एक आयताकार आटे की शीट में रोल करके और पहले की तरह मोड"&amp;"़कर, घी और आटे की परतों के साथ मोड़कर प्रक्रिया को दो बार दोहराएं। प्रत्येक मोड़ने की प्रक्रिया के बाद पराठे को फ्रिज में रखें। अब आटे से धूल कर मध्यम मोटाई तक बेल लें और कुकी कटर या केक रिंग का उपयोग करके काट लें। वरकी पराठे काटने के लिए, रिंग को आटे में"&amp;" डुबोएं और दबाव डालते हुए चपटे आटे के ऊपर रखें। मध्यम-तेज आंच पर एक लोहे के तवा को पहले से गरम करें अब वरकी पराठे को तवे से उतारकर कागज़ के तौलिये पर निकाल लें, वरकी पराठे को अपनी हथेलियों में पकड़ें और परतों को देखने के लिए इसे हल्का सा कुचलें। वरकी पराठ"&amp;"े को शाही पनीर रेसिपी, मलाईदार दाल मखनी रेसिपी, पुदीना प्याज कचुम्बर सलाद रेसिपी - पुदीना और प्याज का सलाद, कश्मीरी पुलाव रेसिपी - केसर, साबुत मसाले और मेवे से मसालेदार पुलाव, धनिया तड़का रायता रेसिपी के साथ परोसें।")</f>
        <v>वारकी पराठा रेसिपी बनाने के लिए सबसे पहले हमें आटा गूंथना होगा। एक मिक्सिंग बाउल में मैदा, नमक, चीनी, घी और दूध डालें और अच्छी तरह मिलाएँ। आटा गूंथने के लिए पर्याप्त पानी का प्रयोग करें और वारकी के आटे की लोई बना लें और अच्छी तरह गूंथ लें। एक बार जब आपके पास अच्छी चिकनी वारकी आटे की लोई तैयार हो जाए तो उसे गीले मलमल के कपड़े से ढक दें और 30 मिनट के लिए अलग रख दें। 30 मिनट के बाद वारकी के आटे को काम की सतह पर रखें और पूरे आटे को अपनी हथेलियों से चपटा करें, आटे के दोनों तरफ थोड़ा आटा छिड़कें और अब इसे बेलन से चपटा करना शुरू करें। एक बार जब आपके पास अच्छा बड़ा आयताकार चपटा आटा तैयार हो जाए तो पेस्ट्री ब्रश का उपयोग करके उदारतापूर्वक सतह पर पिघला हुआ आटा फैलाएं। अब इसके ऊपर थोड़ा आटा छिड़कें अब आटे के दूसरे भाग को पहले मोड़ के ऊपर इस तरह मोड़ें कि एक लंबवत आयत प्राप्त हो जाए। एक बार फिर से घी लगाएं और आटा छिड़कें और एक वर्गाकार आकार में मोड़ें। उदारतापूर्वक, आटे से धूलें, एक प्लेट में निकालें और इसे 20 मिनट के लिए रेफ्रिजरेटर में रख दें। अब इस चौकोर आटे को एक आयताकार आटे की शीट में रोल करके और पहले की तरह मोड़कर, घी और आटे की परतों के साथ मोड़कर प्रक्रिया को दो बार दोहराएं। प्रत्येक मोड़ने की प्रक्रिया के बाद पराठे को फ्रिज में रखें। अब आटे से धूल कर मध्यम मोटाई तक बेल लें और कुकी कटर या केक रिंग का उपयोग करके काट लें। वरकी पराठे काटने के लिए, रिंग को आटे में डुबोएं और दबाव डालते हुए चपटे आटे के ऊपर रखें। मध्यम-तेज आंच पर एक लोहे के तवा को पहले से गरम करें अब वरकी पराठे को तवे से उतारकर कागज़ के तौलिये पर निकाल लें, वरकी पराठे को अपनी हथेलियों में पकड़ें और परतों को देखने के लिए इसे हल्का सा कुचलें। वरकी पराठे को शाही पनीर रेसिपी, मलाईदार दाल मखनी रेसिपी, पुदीना प्याज कचुम्बर सलाद रेसिपी - पुदीना और प्याज का सलाद, कश्मीरी पुलाव रेसिपी - केसर, साबुत मसाले और मेवे से मसालेदार पुलाव, धनिया तड़का रायता रेसिपी के साथ परोसें।</v>
      </c>
      <c r="J644" s="3" t="s">
        <v>33561</v>
      </c>
      <c r="L644" s="1" t="s">
        <v>31003</v>
      </c>
    </row>
    <row r="645" spans="1:12" ht="13.8">
      <c r="A645" s="1" t="s">
        <v>33562</v>
      </c>
      <c r="B645" s="1" t="str">
        <f ca="1">IFERROR(__xludf.dummyfunction("IF(A645="""", """", GOOGLETRANSLATE(A645, ""en"", ""hi""))"),"मसूर मूंग फली की दाल रेसिपी")</f>
        <v>मसूर मूंग फली की दाल रेसिपी</v>
      </c>
      <c r="C645" s="1" t="s">
        <v>145</v>
      </c>
      <c r="D645" s="1" t="s">
        <v>14237</v>
      </c>
      <c r="E645" s="1">
        <v>45</v>
      </c>
      <c r="F645" s="1" t="s">
        <v>33563</v>
      </c>
      <c r="G645" s="1" t="str">
        <f ca="1">IFERROR(__xludf.dummyfunction("IF(F645="""", """", GOOGLETRANSLATE(F645, ""en"", ""hi""))"),"3/4 कप मसूर दाल, 1/2 कप मूंगफली, 1 इंच अदरक - कद्दूकस किया हुआ, 2 हरी मिर्च - सीधी कटी हुई, 1 प्याज - बारीक कटा हुआ, 1 टमाटर - बारीक कटा हुआ, 1 तेज पत्ता - तोड़ा हुआ, 1 छोटा चम्मच हल्दी पाउडर, 1 छोटा चम्मच गरम मसाला पाउडर, नमक - स्वादानुसार, 1 छोटा चम्मच "&amp;"घी, 1/2 छोटा चम्मच जीरा, 1 इंच दालचीनी - कटी हुई, हरा धनिया - थोड़ा सा, 1 छोटा चम्मच नींबू का रस")</f>
        <v>3/4 कप मसूर दाल, 1/2 कप मूंगफली, 1 इंच अदरक - कद्दूकस किया हुआ, 2 हरी मिर्च - सीधी कटी हुई, 1 प्याज - बारीक कटा हुआ, 1 टमाटर - बारीक कटा हुआ, 1 तेज पत्ता - तोड़ा हुआ, 1 छोटा चम्मच हल्दी पाउडर, 1 छोटा चम्मच गरम मसाला पाउडर, नमक - स्वादानुसार, 1 छोटा चम्मच घी, 1/2 छोटा चम्मच जीरा, 1 इंच दालचीनी - कटी हुई, हरा धनिया - थोड़ा सा, 1 छोटा चम्मच नींबू का रस</v>
      </c>
      <c r="H645" s="1" t="s">
        <v>33564</v>
      </c>
      <c r="I645" s="1" t="str">
        <f ca="1">IFERROR(__xludf.dummyfunction("IF(H645="""", """", GOOGLETRANSLATE(H645, ""en"", ""hi""))"),"मसूर मूंगफली दाल रेसिपी बनाने के लिए सबसे पहले सारी सामग्री तैयार कर लें। अब प्रेशर कुकर में तेल गर्म करें। अदरक, प्याज़ डालें और प्याज़ के नरम होने तक पकाएँ। टमाटर, हरी मिर्च, तेज़ पत्ता, मसूर दाल, मूंगफली, हल्दी पाउडर, गरम मसाला पाउडर, नमक डालें और अच्छ"&amp;"ी तरह मिलाएँ। 2-1/2 कप पानी डालें, अच्छी तरह मिलाएँ और कुकर बंद कर दें। 2 सीटी आने तक पकाएँ और फिर धीमी आँच पर 4 से 5 मिनट तक पकाएँ। गैस बंद कर दें और प्रेशर अपने आप निकलने दें। अब तड़का पैन में घी गर्म करें। उसमें जीरा, दालचीनी डालें और 10 सेकंड तक पकाएँ"&amp;"। दाल को कुकर से निकालकर सर्विंग बाउल में डालें। तड़का, नींबू का रस डालें और अच्छी तरह मिलाएँ। धनिया पत्ती से गार्निश करें और परोसें। मसूर मूंगफली दाल रेसिपी को स्प्रिंग अनियन और आलू सुखी सब्ज़ी, टमाटर प्याज तड़का रायता और फुल्के के साथ लंच में परोसें।")</f>
        <v>मसूर मूंगफली दाल रेसिपी बनाने के लिए सबसे पहले सारी सामग्री तैयार कर लें। अब प्रेशर कुकर में तेल गर्म करें। अदरक, प्याज़ डालें और प्याज़ के नरम होने तक पकाएँ। टमाटर, हरी मिर्च, तेज़ पत्ता, मसूर दाल, मूंगफली, हल्दी पाउडर, गरम मसाला पाउडर, नमक डालें और अच्छी तरह मिलाएँ। 2-1/2 कप पानी डालें, अच्छी तरह मिलाएँ और कुकर बंद कर दें। 2 सीटी आने तक पकाएँ और फिर धीमी आँच पर 4 से 5 मिनट तक पकाएँ। गैस बंद कर दें और प्रेशर अपने आप निकलने दें। अब तड़का पैन में घी गर्म करें। उसमें जीरा, दालचीनी डालें और 10 सेकंड तक पकाएँ। दाल को कुकर से निकालकर सर्विंग बाउल में डालें। तड़का, नींबू का रस डालें और अच्छी तरह मिलाएँ। धनिया पत्ती से गार्निश करें और परोसें। मसूर मूंगफली दाल रेसिपी को स्प्रिंग अनियन और आलू सुखी सब्ज़ी, टमाटर प्याज तड़का रायता और फुल्के के साथ लंच में परोसें।</v>
      </c>
      <c r="J645" s="3" t="s">
        <v>33565</v>
      </c>
      <c r="L645" s="1" t="s">
        <v>31003</v>
      </c>
    </row>
    <row r="646" spans="1:12" ht="13.8">
      <c r="A646" s="1" t="s">
        <v>33566</v>
      </c>
      <c r="B646" s="1" t="str">
        <f ca="1">IFERROR(__xludf.dummyfunction("IF(A646="""", """", GOOGLETRANSLATE(A646, ""en"", ""hi""))"),"अंडा मसूर दाल")</f>
        <v>अंडा मसूर दाल</v>
      </c>
      <c r="C646" s="1" t="s">
        <v>429</v>
      </c>
      <c r="D646" s="1" t="s">
        <v>15314</v>
      </c>
      <c r="E646" s="1">
        <v>45</v>
      </c>
      <c r="F646" s="1" t="s">
        <v>33567</v>
      </c>
      <c r="G646" s="1" t="str">
        <f ca="1">IFERROR(__xludf.dummyfunction("IF(F646="""", """", GOOGLETRANSLATE(F646, ""en"", ""hi""))"),"2 अंडे, 1/2 कप मसूर दाल, 1/2 कप नारियल का दूध - गाढ़ा, 1 प्याज - बारीक कटा हुआ, 1 टमाटर - बारीक कटा हुआ, 3 हरी मिर्च - कटी हुई, 1/4 कप पुदीना - कटा हुआ, 1 चम्मच अदरक लहसुन पेस्ट, 1/2 चम्मच हल्दी पाउडर, 1 चम्मच गरम मसाला पाउडर, 1/4 चम्मच जीरा पाउडर, 1 हींग"&amp;" - चुटकीभर, नमक - स्वादानुसार, 1 चम्मच राई, 6 करी पत्ते")</f>
        <v>2 अंडे, 1/2 कप मसूर दाल, 1/2 कप नारियल का दूध - गाढ़ा, 1 प्याज - बारीक कटा हुआ, 1 टमाटर - बारीक कटा हुआ, 3 हरी मिर्च - कटी हुई, 1/4 कप पुदीना - कटा हुआ, 1 चम्मच अदरक लहसुन पेस्ट, 1/2 चम्मच हल्दी पाउडर, 1 चम्मच गरम मसाला पाउडर, 1/4 चम्मच जीरा पाउडर, 1 हींग - चुटकीभर, नमक - स्वादानुसार, 1 चम्मच राई, 6 करी पत्ते</v>
      </c>
      <c r="H646" s="1" t="s">
        <v>33568</v>
      </c>
      <c r="I646" s="1" t="str">
        <f ca="1">IFERROR(__xludf.dummyfunction("IF(H646="""", """", GOOGLETRANSLATE(H646, ""en"", ""hi""))"),"""अंडा मसूर दाल बनाने के लिए सबसे पहले मसूर दाल को अच्छे से धो लें। अब प्रेशर कुकर में 1-1/2 कप पानी और दाल डालें। कुकर बंद करके 3 सीटी आने तक पकाएं। कुकर बंद करके प्रेशर अपने आप निकलने दें। कुकर खोलें और दाल को मैश कर लें। एक तरफ रख दें। अब एक पैन में 2 "&amp;"चम्मच तेल गर्म करें। इसमें राई, करी पत्ता डालें और 15 सेकंड तक पकाएं। 15 सेकंड बाद इसमें हरा प्याज, हरी मिर्च डालें और 2 मिनट तक पकाएं। 2 मिनट बाद इसमें टमाटर डालें और नरम होने तक पकाएं। नरम होने के बाद इसमें पुदीने के पत्ते डालें और मिला लें। 30 सेकंड बा"&amp;"द इसमें हल्दी पाउडर, गरम मसाला और जीरा पाउडर डालें। मिला लें और 3 से 4 मिनट तक पकाएं। अब एक-एक करके अंडे तोड़ें और पैन में डालें। अंडे के अच्छी तरह पकने तक मिलाते रहें। अंडे के पकने के बाद इसमें मैश की हुई दाल, हींग डालें और मिला लें। पकने के बाद इसमें 1/"&amp;"2 कप पानी डालें और अच्छी तरह मिला लें। दाल को ढककर 5 मिनट तक पकने दें। आखिर में इसमें नारियल डालें दूध, नमक डालें और 7 से 10 मिनट तक पकाएँ। गरमागरम परोसें। दोपहर के भोजन के लिए आलू अमृतसरी और तवा पराठा के साथ अंडा मसूर दाल परोसें।")</f>
        <v>"अंडा मसूर दाल बनाने के लिए सबसे पहले मसूर दाल को अच्छे से धो लें। अब प्रेशर कुकर में 1-1/2 कप पानी और दाल डालें। कुकर बंद करके 3 सीटी आने तक पकाएं। कुकर बंद करके प्रेशर अपने आप निकलने दें। कुकर खोलें और दाल को मैश कर लें। एक तरफ रख दें। अब एक पैन में 2 चम्मच तेल गर्म करें। इसमें राई, करी पत्ता डालें और 15 सेकंड तक पकाएं। 15 सेकंड बाद इसमें हरा प्याज, हरी मिर्च डालें और 2 मिनट तक पकाएं। 2 मिनट बाद इसमें टमाटर डालें और नरम होने तक पकाएं। नरम होने के बाद इसमें पुदीने के पत्ते डालें और मिला लें। 30 सेकंड बाद इसमें हल्दी पाउडर, गरम मसाला और जीरा पाउडर डालें। मिला लें और 3 से 4 मिनट तक पकाएं। अब एक-एक करके अंडे तोड़ें और पैन में डालें। अंडे के अच्छी तरह पकने तक मिलाते रहें। अंडे के पकने के बाद इसमें मैश की हुई दाल, हींग डालें और मिला लें। पकने के बाद इसमें 1/2 कप पानी डालें और अच्छी तरह मिला लें। दाल को ढककर 5 मिनट तक पकने दें। आखिर में इसमें नारियल डालें दूध, नमक डालें और 7 से 10 मिनट तक पकाएँ। गरमागरम परोसें। दोपहर के भोजन के लिए आलू अमृतसरी और तवा पराठा के साथ अंडा मसूर दाल परोसें।</v>
      </c>
      <c r="J646" s="3" t="s">
        <v>33569</v>
      </c>
      <c r="L646" s="1" t="s">
        <v>31003</v>
      </c>
    </row>
    <row r="647" spans="1:12" ht="13.8">
      <c r="A647" s="1" t="s">
        <v>33570</v>
      </c>
      <c r="B647" s="1" t="str">
        <f ca="1">IFERROR(__xludf.dummyfunction("IF(A647="""", """", GOOGLETRANSLATE(A647, ""en"", ""hi""))"),"त्वरित झींगा टिक्का मसाला रेसिपी")</f>
        <v>त्वरित झींगा टिक्का मसाला रेसिपी</v>
      </c>
      <c r="C647" s="1" t="s">
        <v>429</v>
      </c>
      <c r="D647" s="1" t="s">
        <v>14382</v>
      </c>
      <c r="E647" s="1">
        <v>30</v>
      </c>
      <c r="F647" s="1" t="s">
        <v>33571</v>
      </c>
      <c r="G647" s="1" t="str">
        <f ca="1">IFERROR(__xludf.dummyfunction("IF(F647="""", """", GOOGLETRANSLATE(F647, ""en"", ""hi""))"),"10 झींगे - साफ़ किए हुए, 1/2 चम्मच नींबू का रस, 1 बड़ा चम्मच लाल मिर्च पाउडर, नमक - स्वादानुसार, 1 बड़ा चम्मच अदरक लहसुन पेस्ट, 1/2 कप हंग कर्ड (ग्रीक योगर्ट), 1/4 कप ताज़ा क्रीम, 2 प्याज - कटे हुए, 3 टमाटर - प्यूरी किए हुए, 1 बड़ा चम्मच कश्मीरी लाल मिर्च"&amp;" पाउडर, नमक - स्वादानुसार, 1 चम्मच हल्दी पाउडर (हल्दी), 1 चम्मच जीरा (जीरा), 1 बड़ा चम्मच गरम मसाला पाउडर, 1 चम्मच अदरक लहसुन पेस्ट, 1 बड़ा चम्मच मक्खन, सूरजमुखी तेल - आवश्यकतानुसार, 1 चम्मच तंदूरी मसाला - (वैकल्पिक)")</f>
        <v>10 झींगे - साफ़ किए हुए, 1/2 चम्मच नींबू का रस, 1 बड़ा चम्मच लाल मिर्च पाउडर, नमक - स्वादानुसार, 1 बड़ा चम्मच अदरक लहसुन पेस्ट, 1/2 कप हंग कर्ड (ग्रीक योगर्ट), 1/4 कप ताज़ा क्रीम, 2 प्याज - कटे हुए, 3 टमाटर - प्यूरी किए हुए, 1 बड़ा चम्मच कश्मीरी लाल मिर्च पाउडर, नमक - स्वादानुसार, 1 चम्मच हल्दी पाउडर (हल्दी), 1 चम्मच जीरा (जीरा), 1 बड़ा चम्मच गरम मसाला पाउडर, 1 चम्मच अदरक लहसुन पेस्ट, 1 बड़ा चम्मच मक्खन, सूरजमुखी तेल - आवश्यकतानुसार, 1 चम्मच तंदूरी मसाला - (वैकल्पिक)</v>
      </c>
      <c r="H647" s="1" t="s">
        <v>33572</v>
      </c>
      <c r="I647" s="1" t="str">
        <f ca="1">IFERROR(__xludf.dummyfunction("IF(H647="""", """", GOOGLETRANSLATE(H647, ""en"", ""hi""))"),"क्विक प्रॉन टिक्का मसाला रेसिपी बनाने के लिए सबसे पहले एक बड़ा कटोरा लें और उसमें नींबू का रस, नमक, मिर्च पाउडर और अदरक लहसुन का पेस्ट डालें और सभी चीजों को मिला लें। झींगा डालें और सुनिश्चित करें कि प्रत्येक टुकड़ा अच्छी तरह से लेपित हो। 15 से 20 मिनट के"&amp;" लिए मैरिनेट करें। एक भारी तली वाले पैन में मक्खन गरम करें और उसमें मैरिनेट किए हुए झींगे डालें। लगभग 4 से 5 मिनट तक पकाएँ जब तक कि वे थोड़े नरम न दिखने लगें। याद रखें कि ज़्यादा पकाने से वे खराब हो जाएँगे। पके हुए झींगों को दूसरे कटोरे में अलग रख दें। उस"&amp;"ी पैन में 2 बड़े चम्मच तेल डालें और जीरा डालें। जब वे तड़कने लगें, तो कटा हुआ प्याज़ डालें और लगभग 4-5 मिनट तक भूनें जब तक कि प्याज़ गहरे भूरे रंग के न हो जाएँ। अदरक लहसुन का पेस्ट, मिर्च पाउडर, हल्दी पाउडर, नमक डालें और एक मिनट तक भूनें जब तक कि मिश्रण ख"&amp;"ुशबूदार न हो जाए। इसके बाद पैन में प्यूरी किए हुए टमाटर डालें और अच्छी तरह मिलाएँ। धीमी आँच पर 3 से 4 मिनट तक पकाएँ, जब तक कि मिश्रण गाढ़ा न हो जाए। अब क्रीम, दही और गरम मसाला डालें। अच्छी तरह से मिलाएँ और धीमी आँच पर पकने दें। अंत में पके हुए झींगे, तंदू"&amp;"री मसाला पाउडर और स्वादानुसार नमक डालें। गरमागरम परोसें और कुछ प्याज़ के टुकड़ों और धनिया पत्ती से गार्निश करें। क्विक प्रॉन टिक्का मसाला को स्टीम्ड राइस और चुकंदर पचड़ी के साथ सप्ताह के दिनों में दोपहर के भोजन या रात के खाने के लिए परोसें।")</f>
        <v>क्विक प्रॉन टिक्का मसाला रेसिपी बनाने के लिए सबसे पहले एक बड़ा कटोरा लें और उसमें नींबू का रस, नमक, मिर्च पाउडर और अदरक लहसुन का पेस्ट डालें और सभी चीजों को मिला लें। झींगा डालें और सुनिश्चित करें कि प्रत्येक टुकड़ा अच्छी तरह से लेपित हो। 15 से 20 मिनट के लिए मैरिनेट करें। एक भारी तली वाले पैन में मक्खन गरम करें और उसमें मैरिनेट किए हुए झींगे डालें। लगभग 4 से 5 मिनट तक पकाएँ जब तक कि वे थोड़े नरम न दिखने लगें। याद रखें कि ज़्यादा पकाने से वे खराब हो जाएँगे। पके हुए झींगों को दूसरे कटोरे में अलग रख दें। उसी पैन में 2 बड़े चम्मच तेल डालें और जीरा डालें। जब वे तड़कने लगें, तो कटा हुआ प्याज़ डालें और लगभग 4-5 मिनट तक भूनें जब तक कि प्याज़ गहरे भूरे रंग के न हो जाएँ। अदरक लहसुन का पेस्ट, मिर्च पाउडर, हल्दी पाउडर, नमक डालें और एक मिनट तक भूनें जब तक कि मिश्रण खुशबूदार न हो जाए। इसके बाद पैन में प्यूरी किए हुए टमाटर डालें और अच्छी तरह मिलाएँ। धीमी आँच पर 3 से 4 मिनट तक पकाएँ, जब तक कि मिश्रण गाढ़ा न हो जाए। अब क्रीम, दही और गरम मसाला डालें। अच्छी तरह से मिलाएँ और धीमी आँच पर पकने दें। अंत में पके हुए झींगे, तंदूरी मसाला पाउडर और स्वादानुसार नमक डालें। गरमागरम परोसें और कुछ प्याज़ के टुकड़ों और धनिया पत्ती से गार्निश करें। क्विक प्रॉन टिक्का मसाला को स्टीम्ड राइस और चुकंदर पचड़ी के साथ सप्ताह के दिनों में दोपहर के भोजन या रात के खाने के लिए परोसें।</v>
      </c>
      <c r="J647" s="3" t="s">
        <v>33573</v>
      </c>
      <c r="L647" s="1" t="s">
        <v>31003</v>
      </c>
    </row>
    <row r="648" spans="1:12" ht="13.8">
      <c r="A648" s="1" t="s">
        <v>33574</v>
      </c>
      <c r="B648" s="1" t="str">
        <f ca="1">IFERROR(__xludf.dummyfunction("IF(A648="""", """", GOOGLETRANSLATE(A648, ""en"", ""hi""))"),"खट्टी मीठी टिंडा मसाला रेसिपी")</f>
        <v>खट्टी मीठी टिंडा मसाला रेसिपी</v>
      </c>
      <c r="C648" s="1" t="s">
        <v>14207</v>
      </c>
      <c r="D648" s="1" t="s">
        <v>14198</v>
      </c>
      <c r="E648" s="1">
        <v>40</v>
      </c>
      <c r="F648" s="1" t="s">
        <v>33575</v>
      </c>
      <c r="G648" s="1" t="str">
        <f ca="1">IFERROR(__xludf.dummyfunction("IF(F648="""", """", GOOGLETRANSLATE(F648, ""en"", ""hi""))"),"300 ग्राम टिंडा - छीलकर टुकड़ों में कटा हुआ, 1 चम्मच अजवाइन, 1 टमाटर - बारीक कटा हुआ, 1 इंच अदरक - कद्दूकस किया हुआ, 2 हरी मिर्च - कटी हुई, 1/2 चम्मच हल्दी, 1/2 चम्मच लाल मिर्च पाउडर, 1/2 चम्मच आमचूर, 1 बड़ा चम्मच गुड़, नमक - स्वादानुसार, 1 चम्मच सूरजमुखी"&amp;" तेल - पकाने के लिए, 1 चम्मच कसूरी मेथी - गार्निश के लिए")</f>
        <v>300 ग्राम टिंडा - छीलकर टुकड़ों में कटा हुआ, 1 चम्मच अजवाइन, 1 टमाटर - बारीक कटा हुआ, 1 इंच अदरक - कद्दूकस किया हुआ, 2 हरी मिर्च - कटी हुई, 1/2 चम्मच हल्दी, 1/2 चम्मच लाल मिर्च पाउडर, 1/2 चम्मच आमचूर, 1 बड़ा चम्मच गुड़, नमक - स्वादानुसार, 1 चम्मच सूरजमुखी तेल - पकाने के लिए, 1 चम्मच कसूरी मेथी - गार्निश के लिए</v>
      </c>
      <c r="H648" s="1" t="s">
        <v>33576</v>
      </c>
      <c r="I648" s="1" t="str">
        <f ca="1">IFERROR(__xludf.dummyfunction("IF(H648="""", """", GOOGLETRANSLATE(H648, ""en"", ""hi""))"),"खट्टी मीठी टिंडा मसाला रेसिपी बनाने के लिए सबसे पहले सारी सामग्री तैयार कर लें और उसे एक तरफ रख दें। प्रेशर कुकर में तेल गर्म करें, उसमें अजवाइन डालें और उसे चटकने दें। अदरक और टमाटर डालें और टमाटर के नरम होने तक भूनें। कटे हुए टिंडा और कसूरी मेथी को छोड़"&amp;"कर हरी मिर्च, हल्दी पाउडर, लाल मिर्च पाउडर, अमचूर, गुड़ और नमक जैसी बाकी सामग्री डालें। 1/4 कप पानी डालें, प्रेशर कुकर को ढक दें, तीन सीटी आने तक पकाएं और आंच बंद कर दें। प्रेशर को अपने आप निकलने दें। प्रेशर निकलने के बाद, कुकर खोलें और कसूरी मेथी डालकर च"&amp;"लाएँ। नमक और मसालों की जाँच करें और अपने स्वाद के अनुसार समायोजित करें। एक सर्विंग बाउल में डालें और गर्मागर्म परोसें। खट्टी मीठी टिंडा मसाला को मेथी थेपला, बूंदी कढ़ी और आम के अचार के साथ एक आरामदायक रविवार के लंच या रात के खाने के लिए परोसें।")</f>
        <v>खट्टी मीठी टिंडा मसाला रेसिपी बनाने के लिए सबसे पहले सारी सामग्री तैयार कर लें और उसे एक तरफ रख दें। प्रेशर कुकर में तेल गर्म करें, उसमें अजवाइन डालें और उसे चटकने दें। अदरक और टमाटर डालें और टमाटर के नरम होने तक भूनें। कटे हुए टिंडा और कसूरी मेथी को छोड़कर हरी मिर्च, हल्दी पाउडर, लाल मिर्च पाउडर, अमचूर, गुड़ और नमक जैसी बाकी सामग्री डालें। 1/4 कप पानी डालें, प्रेशर कुकर को ढक दें, तीन सीटी आने तक पकाएं और आंच बंद कर दें। प्रेशर को अपने आप निकलने दें। प्रेशर निकलने के बाद, कुकर खोलें और कसूरी मेथी डालकर चलाएँ। नमक और मसालों की जाँच करें और अपने स्वाद के अनुसार समायोजित करें। एक सर्विंग बाउल में डालें और गर्मागर्म परोसें। खट्टी मीठी टिंडा मसाला को मेथी थेपला, बूंदी कढ़ी और आम के अचार के साथ एक आरामदायक रविवार के लंच या रात के खाने के लिए परोसें।</v>
      </c>
      <c r="J648" s="3" t="s">
        <v>33577</v>
      </c>
      <c r="L648" s="1" t="s">
        <v>31003</v>
      </c>
    </row>
    <row r="649" spans="1:12" ht="13.8">
      <c r="A649" s="1" t="s">
        <v>33578</v>
      </c>
      <c r="B649" s="1" t="str">
        <f ca="1">IFERROR(__xludf.dummyfunction("IF(A649="""", """", GOOGLETRANSLATE(A649, ""en"", ""hi""))"),"मसूर मूंग फली की दाल रेसिपी (मूंगफली के साथ मसूर दाल रेसिपी)")</f>
        <v>मसूर मूंग फली की दाल रेसिपी (मूंगफली के साथ मसूर दाल रेसिपी)</v>
      </c>
      <c r="C649" s="1" t="s">
        <v>145</v>
      </c>
      <c r="D649" s="1" t="s">
        <v>14237</v>
      </c>
      <c r="E649" s="1">
        <v>45</v>
      </c>
      <c r="F649" s="1" t="s">
        <v>33579</v>
      </c>
      <c r="G649" s="1" t="str">
        <f ca="1">IFERROR(__xludf.dummyfunction("IF(F649="""", """", GOOGLETRANSLATE(F649, ""en"", ""hi""))"),"3/4 कप मसूर दाल (साबुत), 1/2 कप कच्ची मूंगफली, 1 इंच अदरक - कद्दूकस किया हुआ, 2 हरी मिर्च - कटी हुई, 1 प्याज - बारीक कटा हुआ, 1 टमाटर - बारीक कटा हुआ, 1 तेज पत्ता - फटा हुआ, 1 चम्मच हल्दी, 1 चम्मच गरम मसाला पाउडर, नमक - स्वादानुसार, 1 चम्मच घी, 1/2 चम्मच "&amp;"जीरा, 1 इंच दालचीनी - टूटी हुई, धनिया पत्ती - एक छोटा गुच्छा कटा हुआ, 1 चम्मच नींबू का रस")</f>
        <v>3/4 कप मसूर दाल (साबुत), 1/2 कप कच्ची मूंगफली, 1 इंच अदरक - कद्दूकस किया हुआ, 2 हरी मिर्च - कटी हुई, 1 प्याज - बारीक कटा हुआ, 1 टमाटर - बारीक कटा हुआ, 1 तेज पत्ता - फटा हुआ, 1 चम्मच हल्दी, 1 चम्मच गरम मसाला पाउडर, नमक - स्वादानुसार, 1 चम्मच घी, 1/2 चम्मच जीरा, 1 इंच दालचीनी - टूटी हुई, धनिया पत्ती - एक छोटा गुच्छा कटा हुआ, 1 चम्मच नींबू का रस</v>
      </c>
      <c r="H649" s="1" t="s">
        <v>33580</v>
      </c>
      <c r="I649" s="1" t="str">
        <f ca="1">IFERROR(__xludf.dummyfunction("IF(H649="""", """", GOOGLETRANSLATE(H649, ""en"", ""hi""))"),"मसूर मूंग फली की दाल रेसिपी बनाने के लिए सबसे पहले सभी सामग्री तैयार करके रख लें। प्रेशर कुकर में तेल गर्म करें, उसमें अदरक, प्याज डालें और प्याज के नरम होने तक भूनें। इसमें टमाटर, मिर्च, तेज पत्ता, मसूर दाल, मूंगफली, हल्दी पाउडर, गरम मसाला पाउडर और स्वाद"&amp;"ानुसार नमक डालें। 2-1/2 कप पानी डालें और 2 सीटी आने तक प्रेशर कुक करें। कुछ सीटी आने के बाद आंच धीमी कर दें और 4 से 5 मिनट तक धीमी आंच पर पकाएं। आंच बंद कर दें और प्रेशर को अपने आप निकलने दें। तड़के के लिए एक तड़के वाले पैन में घी गर्म करें, उसमें जीरा, द"&amp;"ालचीनी डालें और कुछ सेकेंड के लिए फ्लेवर को घुलने दें। कुकर खोलें और एक सर्विंग बाउल में निकाल लें। इसमें कटा हरा धनिया और नींबू का रस डालकर चलाएं। नमक चैक करें और स्वादानुसार नमक मिला लें। अंत में मसाला डालें और परोसें। मसूर मूंग फली की दाल को तवा पराठा,"&amp;" गोभी की सब्जी और रायता के साथ लंच या डिनर के लिए परोसें।")</f>
        <v>मसूर मूंग फली की दाल रेसिपी बनाने के लिए सबसे पहले सभी सामग्री तैयार करके रख लें। प्रेशर कुकर में तेल गर्म करें, उसमें अदरक, प्याज डालें और प्याज के नरम होने तक भूनें। इसमें टमाटर, मिर्च, तेज पत्ता, मसूर दाल, मूंगफली, हल्दी पाउडर, गरम मसाला पाउडर और स्वादानुसार नमक डालें। 2-1/2 कप पानी डालें और 2 सीटी आने तक प्रेशर कुक करें। कुछ सीटी आने के बाद आंच धीमी कर दें और 4 से 5 मिनट तक धीमी आंच पर पकाएं। आंच बंद कर दें और प्रेशर को अपने आप निकलने दें। तड़के के लिए एक तड़के वाले पैन में घी गर्म करें, उसमें जीरा, दालचीनी डालें और कुछ सेकेंड के लिए फ्लेवर को घुलने दें। कुकर खोलें और एक सर्विंग बाउल में निकाल लें। इसमें कटा हरा धनिया और नींबू का रस डालकर चलाएं। नमक चैक करें और स्वादानुसार नमक मिला लें। अंत में मसाला डालें और परोसें। मसूर मूंग फली की दाल को तवा पराठा, गोभी की सब्जी और रायता के साथ लंच या डिनर के लिए परोसें।</v>
      </c>
      <c r="J649" s="3" t="s">
        <v>33581</v>
      </c>
      <c r="L649" s="1" t="s">
        <v>31003</v>
      </c>
    </row>
    <row r="650" spans="1:12" ht="13.8">
      <c r="A650" s="1" t="s">
        <v>33582</v>
      </c>
      <c r="B650" s="1" t="str">
        <f ca="1">IFERROR(__xludf.dummyfunction("IF(A650="""", """", GOOGLETRANSLATE(A650, ""en"", ""hi""))"),"मिक्स वेजिटेबल जलफ्रेजी रेसिपी")</f>
        <v>मिक्स वेजिटेबल जलफ्रेजी रेसिपी</v>
      </c>
      <c r="C650" s="1" t="s">
        <v>14207</v>
      </c>
      <c r="D650" s="1" t="s">
        <v>14198</v>
      </c>
      <c r="E650" s="1">
        <v>30</v>
      </c>
      <c r="F650" s="1" t="s">
        <v>33583</v>
      </c>
      <c r="G650" s="1" t="str">
        <f ca="1">IFERROR(__xludf.dummyfunction("IF(F650="""", """", GOOGLETRANSLATE(F650, ""en"", ""hi""))"),"1 कप गाजर - कटा हुआ, 1 कप हरी बीन्स (फ्रेंच बीन्स) - कटी हुई, 1 हरी बेल मिर्च (शिमला मिर्च) - कटी हुई, 1/2 कप स्वीट कॉर्न, 1 कप हरी मटर (मटर), 1 प्याज, 2 टमाटर, 1 चम्मच अदरक लहसुन पेस्ट, 1/4 चम्मच हल्दी पाउडर (हल्दी), 1/2 चम्मच लाल मिर्च पाउडर, 1 चम्मच धन"&amp;"िया पाउडर (धनिया), 1/2 चम्मच गरम मसाला पाउडर, 1 बड़ा चम्मच कसूरी मेथी (सूखी मेथी के पत्ते), धनिया (धनिया) के पत्ते - गार्निश के लिए, नमक - आवश्यकतानुसार, 1/2 चम्मच चीनी, 1 चम्मच जीरा (जीरा), 2 चम्मच सूरजमुखी का तेल")</f>
        <v>1 कप गाजर - कटा हुआ, 1 कप हरी बीन्स (फ्रेंच बीन्स) - कटी हुई, 1 हरी बेल मिर्च (शिमला मिर्च) - कटी हुई, 1/2 कप स्वीट कॉर्न, 1 कप हरी मटर (मटर), 1 प्याज, 2 टमाटर, 1 चम्मच अदरक लहसुन पेस्ट, 1/4 चम्मच हल्दी पाउडर (हल्दी), 1/2 चम्मच लाल मिर्च पाउडर, 1 चम्मच धनिया पाउडर (धनिया), 1/2 चम्मच गरम मसाला पाउडर, 1 बड़ा चम्मच कसूरी मेथी (सूखी मेथी के पत्ते), धनिया (धनिया) के पत्ते - गार्निश के लिए, नमक - आवश्यकतानुसार, 1/2 चम्मच चीनी, 1 चम्मच जीरा (जीरा), 2 चम्मच सूरजमुखी का तेल</v>
      </c>
      <c r="H650" s="1" t="s">
        <v>33584</v>
      </c>
      <c r="I650" s="1" t="str">
        <f ca="1">IFERROR(__xludf.dummyfunction("IF(H650="""", """", GOOGLETRANSLATE(H650, ""en"", ""hi""))"),"मिक्स वेजिटेबल जलफ्रेजी रेसिपी बनाने के लिए सबसे पहले सभी सब्जियों को धोकर पतली स्ट्रिप्स में काट लें। प्याज को लम्बाई में काट लें और टमाटर की प्यूरी तैयार कर लें। एक कढ़ाई में थोड़ा तेल डालें। तेल गर्म हो जाने पर इसमें अदरक लहसुन का पेस्ट डालें और एक मिन"&amp;"ट तक भूनें। तेल में डालने पर पेस्ट फूटने लगेगा, इसलिए चूल्हे को धीमी-मध्यम आंच पर रखें। इसके बाद कटे हुए प्याज डालें और पारभासी होने तक भूनें। पक जाने के बाद इसमें टमाटर प्यूरी डालें और टमाटर के गूदेदार होने तक पकाएं। टमाटर के नरम होने के बाद इसमें हल्दी "&amp;"पाउडर, लाल मिर्च पाउडर, धनिया पाउडर और गरम मसाला पाउडर डालें। तेल अलग होने तक भूनें। अब इसमें कटी हुई सब्जियां और ताजे हरे मटर डालें और एक मिनट तक भूनें। एक मिनट बाद इसमें नमक और सब्जियां पकाने के लिए आवश्यक पानी डालें मिक्स वेजिटेबल जलफ्रेजी को एक सर्विं"&amp;"ग बाउल में डालें और धनिया पत्ती से गार्निश करें। मिक्स वेजिटेबल जलफ्रेजी को फुल्के और पालक रायता के साथ रात के खाने में परोसें।")</f>
        <v>मिक्स वेजिटेबल जलफ्रेजी रेसिपी बनाने के लिए सबसे पहले सभी सब्जियों को धोकर पतली स्ट्रिप्स में काट लें। प्याज को लम्बाई में काट लें और टमाटर की प्यूरी तैयार कर लें। एक कढ़ाई में थोड़ा तेल डालें। तेल गर्म हो जाने पर इसमें अदरक लहसुन का पेस्ट डालें और एक मिनट तक भूनें। तेल में डालने पर पेस्ट फूटने लगेगा, इसलिए चूल्हे को धीमी-मध्यम आंच पर रखें। इसके बाद कटे हुए प्याज डालें और पारभासी होने तक भूनें। पक जाने के बाद इसमें टमाटर प्यूरी डालें और टमाटर के गूदेदार होने तक पकाएं। टमाटर के नरम होने के बाद इसमें हल्दी पाउडर, लाल मिर्च पाउडर, धनिया पाउडर और गरम मसाला पाउडर डालें। तेल अलग होने तक भूनें। अब इसमें कटी हुई सब्जियां और ताजे हरे मटर डालें और एक मिनट तक भूनें। एक मिनट बाद इसमें नमक और सब्जियां पकाने के लिए आवश्यक पानी डालें मिक्स वेजिटेबल जलफ्रेजी को एक सर्विंग बाउल में डालें और धनिया पत्ती से गार्निश करें। मिक्स वेजिटेबल जलफ्रेजी को फुल्के और पालक रायता के साथ रात के खाने में परोसें।</v>
      </c>
      <c r="J650" s="3" t="s">
        <v>33585</v>
      </c>
      <c r="L650" s="1" t="s">
        <v>31003</v>
      </c>
    </row>
    <row r="651" spans="1:12" ht="13.8">
      <c r="A651" s="1" t="s">
        <v>33586</v>
      </c>
      <c r="B651" s="1" t="str">
        <f ca="1">IFERROR(__xludf.dummyfunction("IF(A651="""", """", GOOGLETRANSLATE(A651, ""en"", ""hi""))"),"कच्चा केला और भिन्डी की सब्जी रेसिपी")</f>
        <v>कच्चा केला और भिन्डी की सब्जी रेसिपी</v>
      </c>
      <c r="C651" s="1" t="s">
        <v>14207</v>
      </c>
      <c r="D651" s="1" t="s">
        <v>14338</v>
      </c>
      <c r="E651" s="1">
        <v>40</v>
      </c>
      <c r="F651" s="1" t="s">
        <v>33587</v>
      </c>
      <c r="G651" s="1" t="str">
        <f ca="1">IFERROR(__xludf.dummyfunction("IF(F651="""", """", GOOGLETRANSLATE(F651, ""en"", ""hi""))"),"300 ग्राम भिंडी- कटी हुई, 2 कच्चे केले, 1 चम्मच हल्दी पाउडर, 1 चम्मच काली मिर्च पाउडर, 1/2 चम्मच हींग, 1 चम्मच अमचूर, नमक- स्वादानुसार, तेल, 1/4 चम्मच लाल मिर्च पाउडर, 1/2 चम्मच गरम मसाला पाउडर, 1/2 चम्मच धनिया पाउडर")</f>
        <v>300 ग्राम भिंडी- कटी हुई, 2 कच्चे केले, 1 चम्मच हल्दी पाउडर, 1 चम्मच काली मिर्च पाउडर, 1/2 चम्मच हींग, 1 चम्मच अमचूर, नमक- स्वादानुसार, तेल, 1/4 चम्मच लाल मिर्च पाउडर, 1/2 चम्मच गरम मसाला पाउडर, 1/2 चम्मच धनिया पाउडर</v>
      </c>
      <c r="H651" s="1" t="s">
        <v>33588</v>
      </c>
      <c r="I651" s="1" t="str">
        <f ca="1">IFERROR(__xludf.dummyfunction("IF(H651="""", """", GOOGLETRANSLATE(H651, ""en"", ""hi""))"),"कच्चे केले और भिन्डी की सब्जी बनाने के लिए सबसे पहले हम कच्चे केले बनाएंगे। सबसे पहले कच्चे केले को छीलकर काट लें और एक तरफ रख दें। अब एक प्रेशर कुकर में कच्चा केला, 1/2 कप पानी, हल्दी पाउडर, नमक डालकर कुकर बंद कर दें। 3 सीटी आने तक पकाएं और गैस बंद कर दे"&amp;"ं। कुकर खोलें, कच्चे केले को ठंडा होने के लिए अलग रख दें। अब एक पैन में तेल गर्म करें। उसमें जीरा, हींग डालकर चटकने दें। जीरा चटकने के बाद उसमें भिन्डी, नमक डालें और भिन्डी के नरम होने तक पकाएं। इसमें कम से कम 10 मिनट का समय लगेगा। भिन्डी पक जाने के बाद उ"&amp;"समें कच्चा केला, अमचूर पाउडर, काली मिर्च पाउडर, लाल मिर्च पाउडर, धनिया पाउडर, गरम मसाला पाउडर डालकर 4 से 5 मिनट तक पकाएं और गैस बंद कर दें। 4 से 5 मिनट बाद गैस बंद कर दें और इसे एक सर्विंग बाउल में निकाल लें। हरे धनिये से गार्निश करें और सर्व करें। कच्चे "&amp;"केले और भिन्डी की सब्जी को दाल पालक, लौकी रायता और रात के खाने के लिए फुल्के।""")</f>
        <v>कच्चे केले और भिन्डी की सब्जी बनाने के लिए सबसे पहले हम कच्चे केले बनाएंगे। सबसे पहले कच्चे केले को छीलकर काट लें और एक तरफ रख दें। अब एक प्रेशर कुकर में कच्चा केला, 1/2 कप पानी, हल्दी पाउडर, नमक डालकर कुकर बंद कर दें। 3 सीटी आने तक पकाएं और गैस बंद कर दें। कुकर खोलें, कच्चे केले को ठंडा होने के लिए अलग रख दें। अब एक पैन में तेल गर्म करें। उसमें जीरा, हींग डालकर चटकने दें। जीरा चटकने के बाद उसमें भिन्डी, नमक डालें और भिन्डी के नरम होने तक पकाएं। इसमें कम से कम 10 मिनट का समय लगेगा। भिन्डी पक जाने के बाद उसमें कच्चा केला, अमचूर पाउडर, काली मिर्च पाउडर, लाल मिर्च पाउडर, धनिया पाउडर, गरम मसाला पाउडर डालकर 4 से 5 मिनट तक पकाएं और गैस बंद कर दें। 4 से 5 मिनट बाद गैस बंद कर दें और इसे एक सर्विंग बाउल में निकाल लें। हरे धनिये से गार्निश करें और सर्व करें। कच्चे केले और भिन्डी की सब्जी को दाल पालक, लौकी रायता और रात के खाने के लिए फुल्के।"</v>
      </c>
      <c r="J651" s="3" t="s">
        <v>33589</v>
      </c>
      <c r="L651" s="1" t="s">
        <v>31003</v>
      </c>
    </row>
    <row r="652" spans="1:12" ht="13.8">
      <c r="A652" s="1" t="s">
        <v>33590</v>
      </c>
      <c r="B652" s="1" t="str">
        <f ca="1">IFERROR(__xludf.dummyfunction("IF(A652="""", """", GOOGLETRANSLATE(A652, ""en"", ""hi""))"),"ढाबा स्टाइल अंडा करी")</f>
        <v>ढाबा स्टाइल अंडा करी</v>
      </c>
      <c r="C652" s="1" t="s">
        <v>429</v>
      </c>
      <c r="D652" s="1" t="s">
        <v>15314</v>
      </c>
      <c r="E652" s="1">
        <v>90</v>
      </c>
      <c r="F652" s="1" t="s">
        <v>33591</v>
      </c>
      <c r="G652" s="1" t="str">
        <f ca="1">IFERROR(__xludf.dummyfunction("IF(F652="""", """", GOOGLETRANSLATE(F652, ""en"", ""hi""))"),"4 अंडे - उबालें, तेल - आवश्यकतानुसार, 1/2 छोटा चम्मच जीरा, 1/2 छोटा चम्मच राई, 1/4 छोटा चम्मच हींग, 3 लौंग, 1 तेज पत्ता, 1 बड़ी इलायची, 2 इलायची, 7 सूखी लाल मिर्च, 1 बड़ा चम्मच अदरक लहसुन पेस्ट, 1 प्याज - बारीक कटा हुआ, 2 टमाटर - प्यूरी, 1 बड़ा चम्मच दही,"&amp;" 1 छोटा चम्मच कश्मीरी लाल मिर्च पाउडर, 1/2 छोटा चम्मच हल्दी पाउडर, 1 छोटा चम्मच धनिया पाउडर, नमक - स्वादानुसार, पानी - आवश्यकतानुसार, हरा धनिया - थोड़ा सा")</f>
        <v>4 अंडे - उबालें, तेल - आवश्यकतानुसार, 1/2 छोटा चम्मच जीरा, 1/2 छोटा चम्मच राई, 1/4 छोटा चम्मच हींग, 3 लौंग, 1 तेज पत्ता, 1 बड़ी इलायची, 2 इलायची, 7 सूखी लाल मिर्च, 1 बड़ा चम्मच अदरक लहसुन पेस्ट, 1 प्याज - बारीक कटा हुआ, 2 टमाटर - प्यूरी, 1 बड़ा चम्मच दही, 1 छोटा चम्मच कश्मीरी लाल मिर्च पाउडर, 1/2 छोटा चम्मच हल्दी पाउडर, 1 छोटा चम्मच धनिया पाउडर, नमक - स्वादानुसार, पानी - आवश्यकतानुसार, हरा धनिया - थोड़ा सा</v>
      </c>
      <c r="H652" s="1" t="s">
        <v>33592</v>
      </c>
      <c r="I652" s="1" t="str">
        <f ca="1">IFERROR(__xludf.dummyfunction("IF(H652="""", """", GOOGLETRANSLATE(H652, ""en"", ""hi""))"),"""ढाबा स्टाइल अंडा करी बनाने के लिए सबसे पहले एक पैन में तेल गर्म करें। इसमें सूखी लाल मिर्च डालकर 2 से 3 मिनट तक पकाएं। ठंडा होने के बाद इसे मिक्सर ग्राइंडर में डालकर पीस लें। एक तरफ रख दें। अब एक पैन में थोड़ा और तेल डालें। इसमें हल्दी पाउडर और उबले अंड"&amp;"े डालें। इसे चारों तरफ से फ्राई करके एक तरफ रख दें। अब एक पैन में तेल गर्म करें। इसमें जीरा, राई, हींग, तेजपत्ता, बड़ी इलायची, इलायची और लौंग डालें। 20 सेकंड बाद इसमें लाल मिर्च का पेस्ट डालें और 30 सेकंड तक पकने दें। 30 सेकंड बाद इसमें बारीक कटा प्याज डा"&amp;"लें और नरम होने तक पकने दें। नरम होने के बाद इसमें अदरक लहसुन का पेस्ट डालें और 2 मिनट तक पकाएं। 2 मिनट बाद इसमें कश्मीरी लाल मिर्च पाउडर, हल्दी पाउडर, धनिया पाउडर और नमक डालें। इसे 3 से 4 मिनट तक पकने दें। 3 से 4 मिनट बाद इसमें टमाटर प्यूरी डालें और 5 मि"&amp;"नट तक पकाएं। 5 मिनट बाद इसमें दही और थोड़ा पानी डालें। अच्छे से मिलाएं, ढककर रख दें पैन में डालें और 8 से 10 मिनट तक पकने दें। पकने के बाद, अंडे डालें और अच्छी तरह मिलाएँ। धनिया पत्ती से सजाएँ और गरमागरम परोसें। ढाबा स्टाइल अंडा करी को बुरानी रायता और तवा"&amp;" पराठा के साथ लंच में परोसें।")</f>
        <v>"ढाबा स्टाइल अंडा करी बनाने के लिए सबसे पहले एक पैन में तेल गर्म करें। इसमें सूखी लाल मिर्च डालकर 2 से 3 मिनट तक पकाएं। ठंडा होने के बाद इसे मिक्सर ग्राइंडर में डालकर पीस लें। एक तरफ रख दें। अब एक पैन में थोड़ा और तेल डालें। इसमें हल्दी पाउडर और उबले अंडे डालें। इसे चारों तरफ से फ्राई करके एक तरफ रख दें। अब एक पैन में तेल गर्म करें। इसमें जीरा, राई, हींग, तेजपत्ता, बड़ी इलायची, इलायची और लौंग डालें। 20 सेकंड बाद इसमें लाल मिर्च का पेस्ट डालें और 30 सेकंड तक पकने दें। 30 सेकंड बाद इसमें बारीक कटा प्याज डालें और नरम होने तक पकने दें। नरम होने के बाद इसमें अदरक लहसुन का पेस्ट डालें और 2 मिनट तक पकाएं। 2 मिनट बाद इसमें कश्मीरी लाल मिर्च पाउडर, हल्दी पाउडर, धनिया पाउडर और नमक डालें। इसे 3 से 4 मिनट तक पकने दें। 3 से 4 मिनट बाद इसमें टमाटर प्यूरी डालें और 5 मिनट तक पकाएं। 5 मिनट बाद इसमें दही और थोड़ा पानी डालें। अच्छे से मिलाएं, ढककर रख दें पैन में डालें और 8 से 10 मिनट तक पकने दें। पकने के बाद, अंडे डालें और अच्छी तरह मिलाएँ। धनिया पत्ती से सजाएँ और गरमागरम परोसें। ढाबा स्टाइल अंडा करी को बुरानी रायता और तवा पराठा के साथ लंच में परोसें।</v>
      </c>
      <c r="J652" s="3" t="s">
        <v>33593</v>
      </c>
      <c r="L652" s="1" t="s">
        <v>31003</v>
      </c>
    </row>
    <row r="653" spans="1:12" ht="13.8">
      <c r="A653" s="1" t="s">
        <v>33594</v>
      </c>
      <c r="B653" s="1" t="str">
        <f ca="1">IFERROR(__xludf.dummyfunction("IF(A653="""", """", GOOGLETRANSLATE(A653, ""en"", ""hi""))"),"हरी चटनी रेसिपी")</f>
        <v>हरी चटनी रेसिपी</v>
      </c>
      <c r="C653" s="1" t="s">
        <v>14207</v>
      </c>
      <c r="D653" s="1" t="s">
        <v>14198</v>
      </c>
      <c r="E653" s="1">
        <v>30</v>
      </c>
      <c r="F653" s="1" t="s">
        <v>33595</v>
      </c>
      <c r="G653" s="1" t="str">
        <f ca="1">IFERROR(__xludf.dummyfunction("IF(F653="""", """", GOOGLETRANSLATE(F653, ""en"", ""hi""))"),"1 कप धनिया पत्ता - कटा हुआ, 1 कप पुदीना पत्ता - कटा हुआ, 1/2 कप करी पत्ता, 1/4 कप मूंगफली - या बादाम, 1 बड़ा चम्मच अदरक - कटा हुआ, 2 हरी मिर्च, 1 छोटा चम्मच चीनी, 2 बड़े चम्मच नींबू का रस, नमक - स्वादानुसार")</f>
        <v>1 कप धनिया पत्ता - कटा हुआ, 1 कप पुदीना पत्ता - कटा हुआ, 1/2 कप करी पत्ता, 1/4 कप मूंगफली - या बादाम, 1 बड़ा चम्मच अदरक - कटा हुआ, 2 हरी मिर्च, 1 छोटा चम्मच चीनी, 2 बड़े चम्मच नींबू का रस, नमक - स्वादानुसार</v>
      </c>
      <c r="H653" s="1" t="s">
        <v>33596</v>
      </c>
      <c r="I653" s="1" t="str">
        <f ca="1">IFERROR(__xludf.dummyfunction("IF(H653="""", """", GOOGLETRANSLATE(H653, ""en"", ""hi""))"),"""धनिया पुदीना चटनी बनाने के लिए सबसे पहले सारी सामग्री तैयार कर लें। सामग्री को मिक्सर ग्राइंडर में डालें। इसमें थोड़ा पानी डालकर पीस लें। इसे अच्छे से पीसकर एयर टाइट कंटेनर में भर लें। धनिया पुदीना चटनी को प्याज के पकौड़े या मिर्ची के पकौड़े के साथ सर्व"&amp;" करें।""")</f>
        <v>"धनिया पुदीना चटनी बनाने के लिए सबसे पहले सारी सामग्री तैयार कर लें। सामग्री को मिक्सर ग्राइंडर में डालें। इसमें थोड़ा पानी डालकर पीस लें। इसे अच्छे से पीसकर एयर टाइट कंटेनर में भर लें। धनिया पुदीना चटनी को प्याज के पकौड़े या मिर्ची के पकौड़े के साथ सर्व करें।"</v>
      </c>
      <c r="J653" s="3" t="s">
        <v>33597</v>
      </c>
      <c r="L653" s="1" t="s">
        <v>31003</v>
      </c>
    </row>
    <row r="654" spans="1:12" ht="13.8">
      <c r="A654" s="1" t="s">
        <v>32819</v>
      </c>
      <c r="B654" s="1" t="str">
        <f ca="1">IFERROR(__xludf.dummyfunction("IF(A654="""", """", GOOGLETRANSLATE(A654, ""en"", ""hi""))"),"सुखी उड़द दाल सब्जी रेसिपी")</f>
        <v>सुखी उड़द दाल सब्जी रेसिपी</v>
      </c>
      <c r="C654" s="1" t="s">
        <v>145</v>
      </c>
      <c r="D654" s="1" t="s">
        <v>14237</v>
      </c>
      <c r="E654" s="1">
        <v>40</v>
      </c>
      <c r="F654" s="1" t="s">
        <v>33598</v>
      </c>
      <c r="G654" s="1" t="str">
        <f ca="1">IFERROR(__xludf.dummyfunction("IF(F654="""", """", GOOGLETRANSLATE(F654, ""en"", ""hi""))"),"1 कप सफेद उड़द दाल, 1/4 कप पानी, 1 प्याज - कटा हुआ, 1 इंच अदरक - बारीक कटा हुआ, 1 हरी मिर्च - बारीक कटी हुई, 1 छोटा चम्मच जीरा, 1/4 छोटा चम्मच हींग, 1/2 छोटा चम्मच हल्दी पाउडर, 1/2 छोटा चम्मच धनिया पाउडर, 1/2 छोटा चम्मच गरम मसाला पाउडर, नमक - स्वादानुसार,"&amp;" 1 छोटा चम्मच घी, 1 नींबू - रस निचोड़ा हुआ, हरा धनिया - थोड़ा सा")</f>
        <v>1 कप सफेद उड़द दाल, 1/4 कप पानी, 1 प्याज - कटा हुआ, 1 इंच अदरक - बारीक कटा हुआ, 1 हरी मिर्च - बारीक कटी हुई, 1 छोटा चम्मच जीरा, 1/4 छोटा चम्मच हींग, 1/2 छोटा चम्मच हल्दी पाउडर, 1/2 छोटा चम्मच धनिया पाउडर, 1/2 छोटा चम्मच गरम मसाला पाउडर, नमक - स्वादानुसार, 1 छोटा चम्मच घी, 1 नींबू - रस निचोड़ा हुआ, हरा धनिया - थोड़ा सा</v>
      </c>
      <c r="H654" s="1" t="s">
        <v>33599</v>
      </c>
      <c r="I654" s="1" t="str">
        <f ca="1">IFERROR(__xludf.dummyfunction("IF(H654="""", """", GOOGLETRANSLATE(H654, ""en"", ""hi""))"),"""सूखी उड़द दाल रेसिपी बनाने के लिए सबसे पहले उड़द दाल को पानी से अच्छी तरह धो लें। अब दाल को 4 से 5 घंटे के लिए पानी में भिगो दें। 4 से 5 घंटे बाद पानी निथार लें और दाल को अलग रख दें। अब प्रेशर कुकर में थोड़ा पानी डालें। इसमें स्टीमर पैन रखें और दाल डाले"&amp;"ं। कुकर बंद करके 3 सीटी आने तक पकाएं। गैस बंद कर दें और प्रेशर निकलने दें। कुकर खोलें और दाल को अलग रख दें। अब एक पैन में घी गर्म करें। इसमें जीरा, हींग डालें और जीरा चटकने तक पकाएं। जीरा चटकने के बाद इसमें प्याज, अदरक, हरी मिर्च डालें और प्याज के नरम होन"&amp;"े तक पकाएं। अब इसमें पकी हुई उड़द दाल, हल्दी पाउडर, नमक, गरम मसाला पाउडर, धनिया पाउडर डालें और अच्छी तरह मिलाएँ। पैन को ढककर 3 से 4 मिनट तक पकने दें। अब इसमें नींबू का रस डालें और मिलाएँ। हरे धनिये से गार्निश करें और सर्व करें। सूखी उड़द दाल रेसिपी को गुज"&amp;"राती कढ़ी, फुल्का और आमरस के साथ लंच में सर्व करें।""")</f>
        <v>"सूखी उड़द दाल रेसिपी बनाने के लिए सबसे पहले उड़द दाल को पानी से अच्छी तरह धो लें। अब दाल को 4 से 5 घंटे के लिए पानी में भिगो दें। 4 से 5 घंटे बाद पानी निथार लें और दाल को अलग रख दें। अब प्रेशर कुकर में थोड़ा पानी डालें। इसमें स्टीमर पैन रखें और दाल डालें। कुकर बंद करके 3 सीटी आने तक पकाएं। गैस बंद कर दें और प्रेशर निकलने दें। कुकर खोलें और दाल को अलग रख दें। अब एक पैन में घी गर्म करें। इसमें जीरा, हींग डालें और जीरा चटकने तक पकाएं। जीरा चटकने के बाद इसमें प्याज, अदरक, हरी मिर्च डालें और प्याज के नरम होने तक पकाएं। अब इसमें पकी हुई उड़द दाल, हल्दी पाउडर, नमक, गरम मसाला पाउडर, धनिया पाउडर डालें और अच्छी तरह मिलाएँ। पैन को ढककर 3 से 4 मिनट तक पकने दें। अब इसमें नींबू का रस डालें और मिलाएँ। हरे धनिये से गार्निश करें और सर्व करें। सूखी उड़द दाल रेसिपी को गुजराती कढ़ी, फुल्का और आमरस के साथ लंच में सर्व करें।"</v>
      </c>
      <c r="J654" s="3" t="s">
        <v>33600</v>
      </c>
      <c r="L654" s="1" t="s">
        <v>31003</v>
      </c>
    </row>
    <row r="655" spans="1:12" ht="13.8">
      <c r="A655" s="1" t="s">
        <v>33601</v>
      </c>
      <c r="B655" s="1" t="str">
        <f ca="1">IFERROR(__xludf.dummyfunction("IF(A655="""", """", GOOGLETRANSLATE(A655, ""en"", ""hi""))"),"टैंगी कॉर्न टमाटर भर्ता रेसिपी")</f>
        <v>टैंगी कॉर्न टमाटर भर्ता रेसिपी</v>
      </c>
      <c r="C655" s="1" t="s">
        <v>429</v>
      </c>
      <c r="D655" s="1" t="s">
        <v>14198</v>
      </c>
      <c r="E655" s="1">
        <v>30</v>
      </c>
      <c r="F655" s="1" t="s">
        <v>33602</v>
      </c>
      <c r="G655" s="1" t="str">
        <f ca="1">IFERROR(__xludf.dummyfunction("IF(F655="""", """", GOOGLETRANSLATE(F655, ""en"", ""hi""))"),"1 कप स्वीट कॉर्न - उबले हुए, 4 टमाटर - पके हुए, 1 प्याज - बारीक कटा हुआ, 1/2 कप धनिया पत्ती - बारीक कटी हुई, 1 हरी मिर्च - बारीक कटी हुई, 1 चम्मच अदरक लहसुन पेस्ट, 1 चम्मच जीरा, 1/2 चम्मच हल्दी, 2 चम्मच धनिया पाउडर, 1 चम्मच लाल मिर्च पाउडर, 1 चम्मच गरम मस"&amp;"ाला पाउडर, 1 बड़ा चम्मच मक्खन, 1 चम्मच सूरजमुखी तेल, 1 चम्मच नींबू का रस, नमक - स्वादानुसार")</f>
        <v>1 कप स्वीट कॉर्न - उबले हुए, 4 टमाटर - पके हुए, 1 प्याज - बारीक कटा हुआ, 1/2 कप धनिया पत्ती - बारीक कटी हुई, 1 हरी मिर्च - बारीक कटी हुई, 1 चम्मच अदरक लहसुन पेस्ट, 1 चम्मच जीरा, 1/2 चम्मच हल्दी, 2 चम्मच धनिया पाउडर, 1 चम्मच लाल मिर्च पाउडर, 1 चम्मच गरम मसाला पाउडर, 1 बड़ा चम्मच मक्खन, 1 चम्मच सूरजमुखी तेल, 1 चम्मच नींबू का रस, नमक - स्वादानुसार</v>
      </c>
      <c r="H655" s="1" t="s">
        <v>33603</v>
      </c>
      <c r="I655" s="1" t="str">
        <f ca="1">IFERROR(__xludf.dummyfunction("IF(H655="""", """", GOOGLETRANSLATE(H655, ""en"", ""hi""))"),"कॉर्न टमाटर भर्ता रेसिपी बनाने के लिए सबसे पहले सभी सामग्री तैयार कर लें। मध्यम आंच पर एक कड़ाही गरम करें, उसमें मक्खन और तेल डालें, जब मक्खन पिघल जाए तो उसमें जीरा डालें और उसे फूटने दें। बारीक कटा हुआ प्याज डालें और उसे पारदर्शी होने तक पकाएं। बारीक कटे"&amp;" टमाटर और हरी मिर्च डालें और तब तक पकाएं जब तक टमाटर अच्छी तरह पक कर नरम न हो जाए। इसके बाद, सूखे मसाले पाउडर - हल्दी, धनिया और गरम मसाला पाउडर डालें और तब तक भूनें जब तक कि मक्खन किनारों से अलग न हो जाए। अब, उबले हुए स्वीट कॉर्न डालें और नमक के साथ सीज़न"&amp;" करें। इस स्तर पर, आप भर्ता के लिए अपनी पसंद की स्थिरता के आधार पर पैन में थोड़ा पानी डाल सकते हैं। बारीक कटा हरा धनिया डालें और 2 मिनट तक उबालें। आंच बंद कर दें, नींबू का रस डालें और अच्छी तरह मिलाएँ। कॉर्न टमाटर भर्ता रेसिपी को हल्के फुल्के के साथ रात क"&amp;"े खाने में चनार दालना रेसिपी (बंगाली स्टाइल पनीर और आलू की ग्रेवी) और उबले हुए चावल के साथ परोसें इसे एक संपूर्ण भोजन बनाएं।")</f>
        <v>कॉर्न टमाटर भर्ता रेसिपी बनाने के लिए सबसे पहले सभी सामग्री तैयार कर लें। मध्यम आंच पर एक कड़ाही गरम करें, उसमें मक्खन और तेल डालें, जब मक्खन पिघल जाए तो उसमें जीरा डालें और उसे फूटने दें। बारीक कटा हुआ प्याज डालें और उसे पारदर्शी होने तक पकाएं। बारीक कटे टमाटर और हरी मिर्च डालें और तब तक पकाएं जब तक टमाटर अच्छी तरह पक कर नरम न हो जाए। इसके बाद, सूखे मसाले पाउडर - हल्दी, धनिया और गरम मसाला पाउडर डालें और तब तक भूनें जब तक कि मक्खन किनारों से अलग न हो जाए। अब, उबले हुए स्वीट कॉर्न डालें और नमक के साथ सीज़न करें। इस स्तर पर, आप भर्ता के लिए अपनी पसंद की स्थिरता के आधार पर पैन में थोड़ा पानी डाल सकते हैं। बारीक कटा हरा धनिया डालें और 2 मिनट तक उबालें। आंच बंद कर दें, नींबू का रस डालें और अच्छी तरह मिलाएँ। कॉर्न टमाटर भर्ता रेसिपी को हल्के फुल्के के साथ रात के खाने में चनार दालना रेसिपी (बंगाली स्टाइल पनीर और आलू की ग्रेवी) और उबले हुए चावल के साथ परोसें इसे एक संपूर्ण भोजन बनाएं।</v>
      </c>
      <c r="J655" s="3" t="s">
        <v>33604</v>
      </c>
      <c r="L655" s="1" t="s">
        <v>31003</v>
      </c>
    </row>
    <row r="656" spans="1:12" ht="13.8">
      <c r="A656" s="1" t="s">
        <v>33605</v>
      </c>
      <c r="B656" s="1" t="str">
        <f ca="1">IFERROR(__xludf.dummyfunction("IF(A656="""", """", GOOGLETRANSLATE(A656, ""en"", ""hi""))"),"स्वादिष्ट दाल मखनी रेसिपी बिना प्याज और लहसुन के (जैन)")</f>
        <v>स्वादिष्ट दाल मखनी रेसिपी बिना प्याज और लहसुन के (जैन)</v>
      </c>
      <c r="C656" s="1" t="s">
        <v>145</v>
      </c>
      <c r="D656" s="1" t="s">
        <v>14237</v>
      </c>
      <c r="E656" s="1">
        <v>55</v>
      </c>
      <c r="F656" s="1" t="s">
        <v>33606</v>
      </c>
      <c r="G656" s="1" t="str">
        <f ca="1">IFERROR(__xludf.dummyfunction("IF(F656="""", """", GOOGLETRANSLATE(F656, ""en"", ""hi""))"),"1 कप काली उड़द दाल (साबुत), 1/2 कप राजमा, 1 छोटा चम्मच जीरा, 1-1/2 कप घर का बना टमाटर प्यूरी, 1 छोटा चम्मच कश्मीरी लाल मिर्च पाउडर, 2 बड़े चम्मच ताजा क्रीम, 2 बड़े चम्मच मक्खन, 1 कप दूध, 2 चम्मच गरम मसाला पाउडर, 1/2 चम्मच इलायची पाउडर, 1 चम्मच कसूरी मेथी "&amp;"(सूखी मेथी के पत्ते)")</f>
        <v>1 कप काली उड़द दाल (साबुत), 1/2 कप राजमा, 1 छोटा चम्मच जीरा, 1-1/2 कप घर का बना टमाटर प्यूरी, 1 छोटा चम्मच कश्मीरी लाल मिर्च पाउडर, 2 बड़े चम्मच ताजा क्रीम, 2 बड़े चम्मच मक्खन, 1 कप दूध, 2 चम्मच गरम मसाला पाउडर, 1/2 चम्मच इलायची पाउडर, 1 चम्मच कसूरी मेथी (सूखी मेथी के पत्ते)</v>
      </c>
      <c r="H656" s="1" t="s">
        <v>33607</v>
      </c>
      <c r="I656" s="1" t="str">
        <f ca="1">IFERROR(__xludf.dummyfunction("IF(H656="""", """", GOOGLETRANSLATE(H656, ""en"", ""hi""))"),"प्याज और लहसुन के बिना दाल मखनी रेसिपी बनाने के लिए, काली दाल और राजमा को रात भर पानी में भिगोएँ या कम से कम 8 घंटे के लिए। एक प्रेशर कुकर लें, उसमें भिगोई हुई दाल डालें फिर उसमें 1 कप दूध, 2 कप पानी और गरम मसाला, इलायची पाउडर, नमक, मिर्च पाउडर डालें। इसे"&amp;" 5 से 6 सीटी आने तक पकने दें। 5 से 6 सीटी आने के बाद, आँच धीमी कर दें और इसे धीमी आँच पर 20 से 25 मिनट तक पकने दें। लगभग 25 मिनट के बाद, आँच बंद कर दें। दबाव को स्वाभाविक रूप से निकलने दें। एक भारी तले वाले पैन में, मध्यम आँच पर 2 बड़े चम्मच मक्खन गर्म कर"&amp;"ें, उसमें जीरा डालें और इसे चटकने दें। अगले स्टेप में टमाटर प्यूरी डालें, जब टमाटर अच्छी तरह से पक जाए, अंत में क्रीम डालकर धीमी आंच पर 5 मिनट तक पकाएं और फिर आंच बंद कर दें। स्वादिष्ट दाल मखनी रेसिपी को प्याज और लहसुन के बिना नान, तंदूरी पनीर टिक्का मसाल"&amp;"ा रेसिपी और रायता के साथ वीकेंड लंच या डिनर के लिए परोसें।")</f>
        <v>प्याज और लहसुन के बिना दाल मखनी रेसिपी बनाने के लिए, काली दाल और राजमा को रात भर पानी में भिगोएँ या कम से कम 8 घंटे के लिए। एक प्रेशर कुकर लें, उसमें भिगोई हुई दाल डालें फिर उसमें 1 कप दूध, 2 कप पानी और गरम मसाला, इलायची पाउडर, नमक, मिर्च पाउडर डालें। इसे 5 से 6 सीटी आने तक पकने दें। 5 से 6 सीटी आने के बाद, आँच धीमी कर दें और इसे धीमी आँच पर 20 से 25 मिनट तक पकने दें। लगभग 25 मिनट के बाद, आँच बंद कर दें। दबाव को स्वाभाविक रूप से निकलने दें। एक भारी तले वाले पैन में, मध्यम आँच पर 2 बड़े चम्मच मक्खन गर्म करें, उसमें जीरा डालें और इसे चटकने दें। अगले स्टेप में टमाटर प्यूरी डालें, जब टमाटर अच्छी तरह से पक जाए, अंत में क्रीम डालकर धीमी आंच पर 5 मिनट तक पकाएं और फिर आंच बंद कर दें। स्वादिष्ट दाल मखनी रेसिपी को प्याज और लहसुन के बिना नान, तंदूरी पनीर टिक्का मसाला रेसिपी और रायता के साथ वीकेंड लंच या डिनर के लिए परोसें।</v>
      </c>
      <c r="J656" s="3" t="s">
        <v>33608</v>
      </c>
      <c r="L656" s="1" t="s">
        <v>31003</v>
      </c>
    </row>
    <row r="657" spans="1:12" ht="13.8">
      <c r="A657" s="1" t="s">
        <v>33609</v>
      </c>
      <c r="B657" s="1" t="str">
        <f ca="1">IFERROR(__xludf.dummyfunction("IF(A657="""", """", GOOGLETRANSLATE(A657, ""en"", ""hi""))"),"दही सूरन की कढ़ी रेसिपी")</f>
        <v>दही सूरन की कढ़ी रेसिपी</v>
      </c>
      <c r="C657" s="1" t="s">
        <v>429</v>
      </c>
      <c r="D657" s="1" t="s">
        <v>14198</v>
      </c>
      <c r="E657" s="1">
        <v>45</v>
      </c>
      <c r="F657" s="1" t="s">
        <v>33610</v>
      </c>
      <c r="G657" s="1" t="str">
        <f ca="1">IFERROR(__xludf.dummyfunction("IF(F657="""", """", GOOGLETRANSLATE(F657, ""en"", ""hi""))"),"300 ग्राम रतालू - छीलकर काट लें, 1 बड़ा चम्मच बेसन, 1/2 कप दही, 1/2 छोटा चम्मच राई, 1/4 छोटा चम्मच मेथी, 1/2 छोटा चम्मच हल्दी पाउडर, 1/2 छोटा चम्मच लाल मिर्च पाउडर, 1/2 छोटा चम्मच धनिया पाउडर, 1/2 छोटा चम्मच साबुत काली मिर्च - कुटी हुई, 1 इंच दालचीनी, 1 त"&amp;"ेज पत्ता, नमक - स्वादानुसार, तेल - प्रयोगानुसार")</f>
        <v>300 ग्राम रतालू - छीलकर काट लें, 1 बड़ा चम्मच बेसन, 1/2 कप दही, 1/2 छोटा चम्मच राई, 1/4 छोटा चम्मच मेथी, 1/2 छोटा चम्मच हल्दी पाउडर, 1/2 छोटा चम्मच लाल मिर्च पाउडर, 1/2 छोटा चम्मच धनिया पाउडर, 1/2 छोटा चम्मच साबुत काली मिर्च - कुटी हुई, 1 इंच दालचीनी, 1 तेज पत्ता, नमक - स्वादानुसार, तेल - प्रयोगानुसार</v>
      </c>
      <c r="H657" s="1" t="s">
        <v>33611</v>
      </c>
      <c r="I657" s="1" t="str">
        <f ca="1">IFERROR(__xludf.dummyfunction("IF(H657="""", """", GOOGLETRANSLATE(H657, ""en"", ""hi""))"),"""दही सूरन की कढ़ी बनाने के लिए सबसे पहले सूरन को प्रेशर कुकर में 1/2 कप पानी, नमक के साथ डालें और 4 सीटी आने तक पकने दें। प्रेशर अपने आप निकल जाने दें और एक तरफ रख दें। अब एक सॉस पैन में दही और 2 सूप का पानी डालें। बेसन डालें और अच्छी तरह मिलाएँ। अच्छी त"&amp;"रह मिलाएँ ताकि दही दिखाई न दे और उबलने दें। अब नमक, लाल मिर्च पाउडर, हल्दी पाउडर, धनिया डालें और धीमी आँच पर पकने दें। 6 से 8 मिनट बाद सूरन डालें और 3 मिनट और पकाएँ। अब तड़के के लिए एक पैन लें और उसमें जीरा, दालचीनी, तेज पत्ता, मेथी और काली मिर्च डालें। 3"&amp;"0 सेकंड के बाद इसे करी में डालें और मिलाएँ। गरमागरम परोसें। दही सूरन की कढ़ी को मसाला भिंडी और फुल्के के साथ लंच में परोसें।""")</f>
        <v>"दही सूरन की कढ़ी बनाने के लिए सबसे पहले सूरन को प्रेशर कुकर में 1/2 कप पानी, नमक के साथ डालें और 4 सीटी आने तक पकने दें। प्रेशर अपने आप निकल जाने दें और एक तरफ रख दें। अब एक सॉस पैन में दही और 2 सूप का पानी डालें। बेसन डालें और अच्छी तरह मिलाएँ। अच्छी तरह मिलाएँ ताकि दही दिखाई न दे और उबलने दें। अब नमक, लाल मिर्च पाउडर, हल्दी पाउडर, धनिया डालें और धीमी आँच पर पकने दें। 6 से 8 मिनट बाद सूरन डालें और 3 मिनट और पकाएँ। अब तड़के के लिए एक पैन लें और उसमें जीरा, दालचीनी, तेज पत्ता, मेथी और काली मिर्च डालें। 30 सेकंड के बाद इसे करी में डालें और मिलाएँ। गरमागरम परोसें। दही सूरन की कढ़ी को मसाला भिंडी और फुल्के के साथ लंच में परोसें।"</v>
      </c>
      <c r="J657" s="3" t="s">
        <v>33612</v>
      </c>
      <c r="L657" s="1" t="s">
        <v>31003</v>
      </c>
    </row>
    <row r="658" spans="1:12" ht="13.8">
      <c r="A658" s="1" t="s">
        <v>33613</v>
      </c>
      <c r="B658" s="1" t="str">
        <f ca="1">IFERROR(__xludf.dummyfunction("IF(A658="""", """", GOOGLETRANSLATE(A658, ""en"", ""hi""))"),"स्वादिष्ट वन पॉट बटर चिकन खिचड़ी रेसिपी")</f>
        <v>स्वादिष्ट वन पॉट बटर चिकन खिचड़ी रेसिपी</v>
      </c>
      <c r="C658" s="1" t="s">
        <v>15208</v>
      </c>
      <c r="D658" s="1" t="s">
        <v>14382</v>
      </c>
      <c r="E658" s="1">
        <v>35</v>
      </c>
      <c r="F658" s="1" t="s">
        <v>33614</v>
      </c>
      <c r="G658" s="1" t="str">
        <f ca="1">IFERROR(__xludf.dummyfunction("IF(F658="""", """", GOOGLETRANSLATE(F658, ""en"", ""hi""))"),"2 बड़े चम्मच मक्खन, 1 तेज पत्ता, 4 साबुत काली मिर्च, 1 छोटा चम्मच जीरा, 1 इलायची, 1 चक्र फूल, 2 लौंग, 1 इंच दालचीनी, 2 इंच अदरक - बारीक कटा हुआ, 2 हरी मिर्च - लम्बाई में चीरी हुई, 6 लहसुन - कुचला हुआ, 1 प्याज - पतला कटा हुआ, 1 टमाटर - बारीक कटा हुआ, ¼ कप "&amp;"घर का बना टमाटर प्यूरी, ¼ कप दही, 1 कप चिकन ब्रेस्ट - स्ट्रिप्स में कटा हुआ, 2 छोटे चम्मच कसूरी मेथी, नमक - स्वादानुसार, 2 छोटे चम्मच लाल मिर्च पाउडर, 2 छोटे चम्मच तंदूरी चिकन मसाला - एवरेस्ट ब्रांड, 2 छोटे चम्मच जीरा पाउडर, 2 छोटे चम्मच गरम मसाला पाउडर, "&amp;"1 कप चावल - धोया हुआ, 3 1/2 कप पानी, धनिया पत्ते - गार्निश के लिए बारीक कटे हुए, पुदीना के पत्ते (गार्निश के लिए बारीक कटे हुए)")</f>
        <v>2 बड़े चम्मच मक्खन, 1 तेज पत्ता, 4 साबुत काली मिर्च, 1 छोटा चम्मच जीरा, 1 इलायची, 1 चक्र फूल, 2 लौंग, 1 इंच दालचीनी, 2 इंच अदरक - बारीक कटा हुआ, 2 हरी मिर्च - लम्बाई में चीरी हुई, 6 लहसुन - कुचला हुआ, 1 प्याज - पतला कटा हुआ, 1 टमाटर - बारीक कटा हुआ, ¼ कप घर का बना टमाटर प्यूरी, ¼ कप दही, 1 कप चिकन ब्रेस्ट - स्ट्रिप्स में कटा हुआ, 2 छोटे चम्मच कसूरी मेथी, नमक - स्वादानुसार, 2 छोटे चम्मच लाल मिर्च पाउडर, 2 छोटे चम्मच तंदूरी चिकन मसाला - एवरेस्ट ब्रांड, 2 छोटे चम्मच जीरा पाउडर, 2 छोटे चम्मच गरम मसाला पाउडर, 1 कप चावल - धोया हुआ, 3 1/2 कप पानी, धनिया पत्ते - गार्निश के लिए बारीक कटे हुए, पुदीना के पत्ते (गार्निश के लिए बारीक कटे हुए)</v>
      </c>
      <c r="H658" s="1" t="s">
        <v>33615</v>
      </c>
      <c r="I658" s="1" t="str">
        <f ca="1">IFERROR(__xludf.dummyfunction("IF(H658="""", """", GOOGLETRANSLATE(H658, ""en"", ""hi""))"),"वन पॉट बटर चिकन खिचड़ी बनाने के लिए सबसे पहले चिकन को अच्छे से धो लें, पानी निकाल दें और लंबी स्ट्रिप्स में काट लें। एक प्रेशर कुकर में धीमी आंच पर मक्खन गर्म करें, उसमें तेज पत्ता, जीरा, इलायची, चक्र फूल, लौंग और दालचीनी जैसे साबुत मसाले डालें। इसमें अदर"&amp;"क, लहसुन और हरी मिर्च डालें और कुछ सेकंड के लिए भूनें, अब कटे हुए प्याज डालें। कटे हुए प्याज को तब तक पकाते रहें जब तक वे पारदर्शी न हो जाएं, फिर कटे हुए टमाटर और टमाटर प्यूरी डालें, ढककर कुछ मिनट के लिए पकाएं। कुछ मिनट बाद मसाले मिलाएँ- लाल मिर्च पाउडर, "&amp;"तंदूरी चिकन मसाला, जीरा पाउडर, गरम मसाला और धनिया पाउडर। ढककर इसे लगभग 2 से 3 मिनट तक पकने दें। इसे लगभग 3 से 4 मिनट तक पकने दें। अंत में, धुले और सूखे चावल, पानी और कटा हुआ धनिया, पुदीने के पत्ते डालें और प्रेशर कुकर को बंद कर दें। वन पॉट बटर चिकन खिचड़ी"&amp;" को 3 सीटी आने तक प्रेशर कुक करें और आँच बंद कर दें। प्रेशर को स्वाभाविक रूप से निकलने दें। बटर चिकन खिचड़ी को मक्खन या घी के साथ गरमागरम परोसें। इस वन पॉट बटर चिकन खिचड़ी रेसिपी को टमाटर प्याज तड़का रायता और पापड़ के साथ खास डिनर के लिए परोसें।")</f>
        <v>वन पॉट बटर चिकन खिचड़ी बनाने के लिए सबसे पहले चिकन को अच्छे से धो लें, पानी निकाल दें और लंबी स्ट्रिप्स में काट लें। एक प्रेशर कुकर में धीमी आंच पर मक्खन गर्म करें, उसमें तेज पत्ता, जीरा, इलायची, चक्र फूल, लौंग और दालचीनी जैसे साबुत मसाले डालें। इसमें अदरक, लहसुन और हरी मिर्च डालें और कुछ सेकंड के लिए भूनें, अब कटे हुए प्याज डालें। कटे हुए प्याज को तब तक पकाते रहें जब तक वे पारदर्शी न हो जाएं, फिर कटे हुए टमाटर और टमाटर प्यूरी डालें, ढककर कुछ मिनट के लिए पकाएं। कुछ मिनट बाद मसाले मिलाएँ- लाल मिर्च पाउडर, तंदूरी चिकन मसाला, जीरा पाउडर, गरम मसाला और धनिया पाउडर। ढककर इसे लगभग 2 से 3 मिनट तक पकने दें। इसे लगभग 3 से 4 मिनट तक पकने दें। अंत में, धुले और सूखे चावल, पानी और कटा हुआ धनिया, पुदीने के पत्ते डालें और प्रेशर कुकर को बंद कर दें। वन पॉट बटर चिकन खिचड़ी को 3 सीटी आने तक प्रेशर कुक करें और आँच बंद कर दें। प्रेशर को स्वाभाविक रूप से निकलने दें। बटर चिकन खिचड़ी को मक्खन या घी के साथ गरमागरम परोसें। इस वन पॉट बटर चिकन खिचड़ी रेसिपी को टमाटर प्याज तड़का रायता और पापड़ के साथ खास डिनर के लिए परोसें।</v>
      </c>
      <c r="J658" s="3" t="s">
        <v>33616</v>
      </c>
      <c r="L658" s="1" t="s">
        <v>31003</v>
      </c>
    </row>
    <row r="659" spans="1:12" ht="13.8">
      <c r="A659" s="1" t="s">
        <v>33617</v>
      </c>
      <c r="B659" s="1" t="str">
        <f ca="1">IFERROR(__xludf.dummyfunction("IF(A659="""", """", GOOGLETRANSLATE(A659, ""en"", ""hi""))"),"पंजाबी साबुत मूंग की दाल रेसिपी")</f>
        <v>पंजाबी साबुत मूंग की दाल रेसिपी</v>
      </c>
      <c r="C659" s="1" t="s">
        <v>145</v>
      </c>
      <c r="D659" s="1" t="s">
        <v>14237</v>
      </c>
      <c r="E659" s="1">
        <v>40</v>
      </c>
      <c r="F659" s="1" t="s">
        <v>33618</v>
      </c>
      <c r="G659" s="1" t="str">
        <f ca="1">IFERROR(__xludf.dummyfunction("IF(F659="""", """", GOOGLETRANSLATE(F659, ""en"", ""hi""))"),"1 कप हरी मूंग दाल, 2 प्याज़ - कटे हुए, 2 टमाटर - कटे हुए, 1 इंच अदरक - कद्दूकस किया हुआ, 4 लहसुन - कटे हुए, 2 हरी मिर्च, 1 छोटा चम्मच तेल, 1 छोटा चम्मच जीरा, 1/4 छोटा चम्मच गरम मसाला पाउडर, नमक - स्वादानुसार, 1/2 छोटा चम्मच हल्दी पाउडर, 1 छोटा चम्मच घी, 1"&amp;"/2 छोटा चम्मच कश्मीरी लाल मिर्च पाउडर, हरा धनिया - कटा हुआ")</f>
        <v>1 कप हरी मूंग दाल, 2 प्याज़ - कटे हुए, 2 टमाटर - कटे हुए, 1 इंच अदरक - कद्दूकस किया हुआ, 4 लहसुन - कटे हुए, 2 हरी मिर्च, 1 छोटा चम्मच तेल, 1 छोटा चम्मच जीरा, 1/4 छोटा चम्मच गरम मसाला पाउडर, नमक - स्वादानुसार, 1/2 छोटा चम्मच हल्दी पाउडर, 1 छोटा चम्मच घी, 1/2 छोटा चम्मच कश्मीरी लाल मिर्च पाउडर, हरा धनिया - कटा हुआ</v>
      </c>
      <c r="H659" s="1" t="s">
        <v>33619</v>
      </c>
      <c r="I659" s="1" t="str">
        <f ca="1">IFERROR(__xludf.dummyfunction("IF(H659="""", """", GOOGLETRANSLATE(H659, ""en"", ""hi""))"),"""पंजाबी साबुत मूंग दाल रेसिपी बनाने के लिए सबसे पहले हरी मूंग दाल को अच्छे से धोकर 3 से 4 घंटे के लिए भिगो दें। अब दाल को प्रेशर कुकर में 3 कप पानी, नमक, हल्दी पाउडर के साथ डालकर कुकर बंद कर दें। 1 सीटी आने के बाद आंच धीमी कर दें और 6 मिनट तक पकाएं। गैस "&amp;"बंद कर दें और प्रेशर निकलने दें। कुकर खोलकर अलग रख दें। अब एक पैन में तेल गर्म करें। जीरा डालें और चटकने दें। अब प्याज, हरी मिर्च, लहसुन डालें और प्याज के ब्राउन होने तक पकाएं। प्याज के ब्राउन होने के बाद टमाटर डालें और उनके नरम होने तक पकाएं। अब पकी हुई "&amp;"दाल डालें और 2 से 3 मिनट तक पकाएं। तड़के के लिए एक तड़का पैन में घी गर्म करें। इसमें कश्मीरी लाल मिर्च पाउडर डालें और 30 सेकंड तक पकाएं। इस तड़के को दाल में नींबू के रस के साथ डालें और अच्छी तरह मिलाएँ। हरे धनिये से गार्निश करें और सर्व करें। पंजाबी साबुत"&amp;" मूंग दाल रेसिपी को सेव टमाटर की सब्जी, लौकी रायता और फुल्के के साथ डिनर में परोसें।""")</f>
        <v>"पंजाबी साबुत मूंग दाल रेसिपी बनाने के लिए सबसे पहले हरी मूंग दाल को अच्छे से धोकर 3 से 4 घंटे के लिए भिगो दें। अब दाल को प्रेशर कुकर में 3 कप पानी, नमक, हल्दी पाउडर के साथ डालकर कुकर बंद कर दें। 1 सीटी आने के बाद आंच धीमी कर दें और 6 मिनट तक पकाएं। गैस बंद कर दें और प्रेशर निकलने दें। कुकर खोलकर अलग रख दें। अब एक पैन में तेल गर्म करें। जीरा डालें और चटकने दें। अब प्याज, हरी मिर्च, लहसुन डालें और प्याज के ब्राउन होने तक पकाएं। प्याज के ब्राउन होने के बाद टमाटर डालें और उनके नरम होने तक पकाएं। अब पकी हुई दाल डालें और 2 से 3 मिनट तक पकाएं। तड़के के लिए एक तड़का पैन में घी गर्म करें। इसमें कश्मीरी लाल मिर्च पाउडर डालें और 30 सेकंड तक पकाएं। इस तड़के को दाल में नींबू के रस के साथ डालें और अच्छी तरह मिलाएँ। हरे धनिये से गार्निश करें और सर्व करें। पंजाबी साबुत मूंग दाल रेसिपी को सेव टमाटर की सब्जी, लौकी रायता और फुल्के के साथ डिनर में परोसें।"</v>
      </c>
      <c r="J659" s="3" t="s">
        <v>33620</v>
      </c>
      <c r="L659" s="1" t="s">
        <v>31003</v>
      </c>
    </row>
    <row r="660" spans="1:12" ht="13.8">
      <c r="A660" s="1" t="s">
        <v>33621</v>
      </c>
      <c r="B660" s="1" t="str">
        <f ca="1">IFERROR(__xludf.dummyfunction("IF(A660="""", """", GOOGLETRANSLATE(A660, ""en"", ""hi""))"),"चीज़ी आलू पराठा")</f>
        <v>चीज़ी आलू पराठा</v>
      </c>
      <c r="C660" s="1" t="s">
        <v>16424</v>
      </c>
      <c r="D660" s="1" t="s">
        <v>14198</v>
      </c>
      <c r="E660" s="1">
        <v>30</v>
      </c>
      <c r="F660" s="1" t="s">
        <v>33622</v>
      </c>
      <c r="G660" s="1" t="str">
        <f ca="1">IFERROR(__xludf.dummyfunction("IF(F660="""", """", GOOGLETRANSLATE(F660, ""en"", ""hi""))"),"1 कप गेहूं का आटा, 1 छोटा चम्मच तेल, 1/4 छोटा चम्मच नमक, पानी- आवश्यकतानुसार, 2 आलू- उबले हुए, 1 छोटा चम्मच तेल, 1 सूखी लाल मिर्च- टूटी हुई, 1/2 छोटा चम्मच जीरा, हींग- चुटकीभर, 1 हरी मिर्च- बारीक कटी हुई, 1 इंच अदरक- कद्दूकस किया हुआ, 1 प्याज- बारीक कटा ह"&amp;"ुआ, 1/4 छोटा चम्मच हल्दी पाउडर, 1/2 छोटा चम्मच धनिया पाउडर, 1/2 छोटा चम्मच जीरा पाउडर, 1/2 छोटा चम्मच गरम मसाला पाउडर, 1/2 छोटा चम्मच चाट मसाला पाउडर, 1/4 कप पनीर- कद्दूकस किया हुआ, 4 पत्ते धनिया- बारीक कटा हुआ, नमक- स्वादानुसार")</f>
        <v>1 कप गेहूं का आटा, 1 छोटा चम्मच तेल, 1/4 छोटा चम्मच नमक, पानी- आवश्यकतानुसार, 2 आलू- उबले हुए, 1 छोटा चम्मच तेल, 1 सूखी लाल मिर्च- टूटी हुई, 1/2 छोटा चम्मच जीरा, हींग- चुटकीभर, 1 हरी मिर्च- बारीक कटी हुई, 1 इंच अदरक- कद्दूकस किया हुआ, 1 प्याज- बारीक कटा हुआ, 1/4 छोटा चम्मच हल्दी पाउडर, 1/2 छोटा चम्मच धनिया पाउडर, 1/2 छोटा चम्मच जीरा पाउडर, 1/2 छोटा चम्मच गरम मसाला पाउडर, 1/2 छोटा चम्मच चाट मसाला पाउडर, 1/4 कप पनीर- कद्दूकस किया हुआ, 4 पत्ते धनिया- बारीक कटा हुआ, नमक- स्वादानुसार</v>
      </c>
      <c r="H660" s="1" t="s">
        <v>33623</v>
      </c>
      <c r="I660" s="1" t="str">
        <f ca="1">IFERROR(__xludf.dummyfunction("IF(H660="""", """", GOOGLETRANSLATE(H660, ""en"", ""hi""))"),"""चीज़ आलू पराठा बनाने के लिए सबसे पहले एक बड़ा कटोरा लें। इसमें आटा, नमक, तेल, पानी डालकर गूंथ लें। इसे ढक्कन से ढककर 15-20 मिनट के लिए रख दें। इसके बाद हम भरावन के लिए मसाला तैयार करेंगे। आलू को प्रेशर कुकर में पानी और नमक के साथ डालकर 3 सीटी आने तक पका"&amp;"एं। इसके बाद इसे छीलकर मैश कर लें। अब एक पैन में तेल गर्म करें। इसमें सूखी लाल मिर्च और जीरा डालें। 10 सेकंड बाद इसमें हींग, बारीक कटा प्याज, हरी मिर्च, अदरक और नमक डालें। प्याज के नरम होने तक पकाएं। अब इस मसाले में मैश किए हुए आलू, हल्दी पाउडर, धनिया पाउ"&amp;"डर, जीरा पाउडर, गरम मसाला पाउडर, चाट मसाला, नमक डालें और 3 से 4 मिनट तक पकाएं। आखिर में कद्दूकस किया हुआ पनीर, धनिया पत्ता डालें और अच्छी तरह मिला लें। पराठे बनाने से पहले आटे को एक बार फिर से गूंथ लें। और इस आटे से छोटी-छोटी लोइयां बना लें। थोड़ा आटा छिड"&amp;"़कें और एक छोटी रोटी बनाएं। बीच में मसाला डालकर बंद कर दें सभी तरफ से। बीच से दबाएँ और इसे रोटी में रोल करना शुरू करें। धीरे-धीरे रोल करें ताकि मसाला बाहर न आए। अब एक तवा गरम करें और उस पर पराठा रखें। घी या तेल लगाएँ और दोनों तरफ से अच्छी तरह से पकाएँ और "&amp;"गरमागरम परोसें। चीज़ी आलू पराठा को बूंदी रायता, तड़का रायता या किसी भी अन्य रायते के साथ गरमागरम परोसें।")</f>
        <v>"चीज़ आलू पराठा बनाने के लिए सबसे पहले एक बड़ा कटोरा लें। इसमें आटा, नमक, तेल, पानी डालकर गूंथ लें। इसे ढक्कन से ढककर 15-20 मिनट के लिए रख दें। इसके बाद हम भरावन के लिए मसाला तैयार करेंगे। आलू को प्रेशर कुकर में पानी और नमक के साथ डालकर 3 सीटी आने तक पकाएं। इसके बाद इसे छीलकर मैश कर लें। अब एक पैन में तेल गर्म करें। इसमें सूखी लाल मिर्च और जीरा डालें। 10 सेकंड बाद इसमें हींग, बारीक कटा प्याज, हरी मिर्च, अदरक और नमक डालें। प्याज के नरम होने तक पकाएं। अब इस मसाले में मैश किए हुए आलू, हल्दी पाउडर, धनिया पाउडर, जीरा पाउडर, गरम मसाला पाउडर, चाट मसाला, नमक डालें और 3 से 4 मिनट तक पकाएं। आखिर में कद्दूकस किया हुआ पनीर, धनिया पत्ता डालें और अच्छी तरह मिला लें। पराठे बनाने से पहले आटे को एक बार फिर से गूंथ लें। और इस आटे से छोटी-छोटी लोइयां बना लें। थोड़ा आटा छिड़कें और एक छोटी रोटी बनाएं। बीच में मसाला डालकर बंद कर दें सभी तरफ से। बीच से दबाएँ और इसे रोटी में रोल करना शुरू करें। धीरे-धीरे रोल करें ताकि मसाला बाहर न आए। अब एक तवा गरम करें और उस पर पराठा रखें। घी या तेल लगाएँ और दोनों तरफ से अच्छी तरह से पकाएँ और गरमागरम परोसें। चीज़ी आलू पराठा को बूंदी रायता, तड़का रायता या किसी भी अन्य रायते के साथ गरमागरम परोसें।</v>
      </c>
      <c r="J660" s="3" t="s">
        <v>33624</v>
      </c>
      <c r="L660" s="1" t="s">
        <v>31003</v>
      </c>
    </row>
    <row r="661" spans="1:12" ht="13.8">
      <c r="A661" s="1" t="s">
        <v>33625</v>
      </c>
      <c r="B661" s="1" t="str">
        <f ca="1">IFERROR(__xludf.dummyfunction("IF(A661="""", """", GOOGLETRANSLATE(A661, ""en"", ""hi""))"),"दही गुजिया रेसिपी")</f>
        <v>दही गुजिया रेसिपी</v>
      </c>
      <c r="C661" s="1" t="s">
        <v>14281</v>
      </c>
      <c r="D661" s="1" t="s">
        <v>14198</v>
      </c>
      <c r="E661" s="1">
        <v>50</v>
      </c>
      <c r="F661" s="1" t="s">
        <v>33626</v>
      </c>
      <c r="G661" s="1" t="str">
        <f ca="1">IFERROR(__xludf.dummyfunction("IF(F661="""", """", GOOGLETRANSLATE(F661, ""en"", ""hi""))"),"1 कप सफेद उड़द दाल, 3 कप हंग कर्ड (ग्रीक योगर्ट), 1/3 कप जीरा, 1/3 कप काली मिर्च पाउडर, नमक - स्वादानुसार, सूरजमुखी तेल, 1 लीटर पानी, 1 चम्मच इनोस फ्रूट साल्ट - या कुकिंग सोडा, 1 बड़ा चम्मच चीनी, 1/2 कप हरी चटनी (धनिया और पुदीना), 1/2 कप मीठी चटनी (खजूर औ"&amp;"र इमली), 1 चम्मच लाल मिर्च पाउडर, 1 चम्मच काला नमक, 2 चम्मच चीनी")</f>
        <v>1 कप सफेद उड़द दाल, 3 कप हंग कर्ड (ग्रीक योगर्ट), 1/3 कप जीरा, 1/3 कप काली मिर्च पाउडर, नमक - स्वादानुसार, सूरजमुखी तेल, 1 लीटर पानी, 1 चम्मच इनोस फ्रूट साल्ट - या कुकिंग सोडा, 1 बड़ा चम्मच चीनी, 1/2 कप हरी चटनी (धनिया और पुदीना), 1/2 कप मीठी चटनी (खजूर और इमली), 1 चम्मच लाल मिर्च पाउडर, 1 चम्मच काला नमक, 2 चम्मच चीनी</v>
      </c>
      <c r="H661" s="1" t="s">
        <v>33627</v>
      </c>
      <c r="I661" s="1" t="str">
        <f ca="1">IFERROR(__xludf.dummyfunction("IF(H661="""", """", GOOGLETRANSLATE(H661, ""en"", ""hi""))"),"दही गुजिया बनाने के लिए सबसे पहले उड़द की दाल को 4 घंटे के लिए भिगो दें। भिगोने के बाद सारा पानी निकाल दें और मिक्सर की मदद से इसे गाढ़ा पेस्ट बना लें। पीसते समय बिल्कुल भी पानी न डालें। बैटर की स्थिरता थोड़ी मोटी हो सकती है, लेकिन सुनिश्चित करें कि बैटर "&amp;"गाढ़ा हो। बैटर को एक कटोरे में निकाल लें। बैटर में लगभग 1 चम्मच नमक डालें और बैटर को अपने हाथों से लगभग 10 मिनट तक ब्लेंड करें। इससे बैटर नरम और फूला हुआ बनेगा और गुजिया अच्छी, मुलायम और फूली हुई बनेंगी। अगर आपका बैटर बहुत पतला हो जाता है या अगर आप बैटर क"&amp;"ो अपने हाथों से नहीं फेंटते हैं, तो गुजिया नरम नहीं बनेंगी। एक गहरे फ्राई पैन में तलने के लिए तेल गर्म करें। एक छोटी प्लास्टिक शीट लें और इसे पानी से रगड़ें। अपनी उंगलियों को पानी से गीला करें प्लास्टिक शीट को पकड़कर गोले को आधा मोड़ें। ध्यान से प्लास्टिक"&amp;" शीट को खींचें और सुनिश्चित करें कि आकार की गुजिया न टूटे। गुजिया को अपनी गीली हथेली पर रखें और अब गुजिया के दूसरी तरफ से प्लास्टिक शीट को खींचें। ध्यान से गुजिया को गरम तेल में डालें और दोनों तरफ से सुनहरा भूरा होने तक तल लें। सुनिश्चित करें कि आंच मध्यम"&amp;" धीमी हो। एक चौड़े कटोरे में, 1 लीटर पानी, इनोस फ्रूट सॉल्ट/कुकिंग सोडा और चीनी डालें। सब कुछ अच्छी तरह से मिलाएँ और एक तरफ रख दें। जब गुजिया सुनहरे भूरे रंग की हो जाएँ, तो गुजिया को पानी वाले कटोरे में डालें। बाकी बैटर के लिए भी यही करें। तली हुई गुजिया "&amp;"को 1 से 2 घंटे तक पानी में भिगोकर रखें। 1-2 घंटे बाद, भीगी हुई गुजिया को पानी से निकाल लें, इसे अपनी हथेली के बीच रखें और धीरे से दबाकर पानी निचोड़ लें। गुजिया को सर्विंग प्लेट में रखें। गुजिया के ऊपर अच्छी मात्रा में फेंटा हुआ दही डालें, थोड़ा लाल मिर्च "&amp;"पाउडर, काला नमक, थोड़ी चीनी, भुना जीरा पाउडर और कुछ चम्मच इमली और पुदीने की चटनी छिड़कें और यह परोसने के लिए तैयार है। होली या दिवाली के दौरान दही गुजिया को एक शानदार त्यौहारी नाश्ते के रूप में एक कप ठंडाई या अदरक चाय/अदरक चाय के साथ परोसें।")</f>
        <v>दही गुजिया बनाने के लिए सबसे पहले उड़द की दाल को 4 घंटे के लिए भिगो दें। भिगोने के बाद सारा पानी निकाल दें और मिक्सर की मदद से इसे गाढ़ा पेस्ट बना लें। पीसते समय बिल्कुल भी पानी न डालें। बैटर की स्थिरता थोड़ी मोटी हो सकती है, लेकिन सुनिश्चित करें कि बैटर गाढ़ा हो। बैटर को एक कटोरे में निकाल लें। बैटर में लगभग 1 चम्मच नमक डालें और बैटर को अपने हाथों से लगभग 10 मिनट तक ब्लेंड करें। इससे बैटर नरम और फूला हुआ बनेगा और गुजिया अच्छी, मुलायम और फूली हुई बनेंगी। अगर आपका बैटर बहुत पतला हो जाता है या अगर आप बैटर को अपने हाथों से नहीं फेंटते हैं, तो गुजिया नरम नहीं बनेंगी। एक गहरे फ्राई पैन में तलने के लिए तेल गर्म करें। एक छोटी प्लास्टिक शीट लें और इसे पानी से रगड़ें। अपनी उंगलियों को पानी से गीला करें प्लास्टिक शीट को पकड़कर गोले को आधा मोड़ें। ध्यान से प्लास्टिक शीट को खींचें और सुनिश्चित करें कि आकार की गुजिया न टूटे। गुजिया को अपनी गीली हथेली पर रखें और अब गुजिया के दूसरी तरफ से प्लास्टिक शीट को खींचें। ध्यान से गुजिया को गरम तेल में डालें और दोनों तरफ से सुनहरा भूरा होने तक तल लें। सुनिश्चित करें कि आंच मध्यम धीमी हो। एक चौड़े कटोरे में, 1 लीटर पानी, इनोस फ्रूट सॉल्ट/कुकिंग सोडा और चीनी डालें। सब कुछ अच्छी तरह से मिलाएँ और एक तरफ रख दें। जब गुजिया सुनहरे भूरे रंग की हो जाएँ, तो गुजिया को पानी वाले कटोरे में डालें। बाकी बैटर के लिए भी यही करें। तली हुई गुजिया को 1 से 2 घंटे तक पानी में भिगोकर रखें। 1-2 घंटे बाद, भीगी हुई गुजिया को पानी से निकाल लें, इसे अपनी हथेली के बीच रखें और धीरे से दबाकर पानी निचोड़ लें। गुजिया को सर्विंग प्लेट में रखें। गुजिया के ऊपर अच्छी मात्रा में फेंटा हुआ दही डालें, थोड़ा लाल मिर्च पाउडर, काला नमक, थोड़ी चीनी, भुना जीरा पाउडर और कुछ चम्मच इमली और पुदीने की चटनी छिड़कें और यह परोसने के लिए तैयार है। होली या दिवाली के दौरान दही गुजिया को एक शानदार त्यौहारी नाश्ते के रूप में एक कप ठंडाई या अदरक चाय/अदरक चाय के साथ परोसें।</v>
      </c>
      <c r="J661" s="3" t="s">
        <v>33628</v>
      </c>
      <c r="L661" s="1" t="s">
        <v>31003</v>
      </c>
    </row>
    <row r="662" spans="1:12" ht="13.8">
      <c r="A662" s="1" t="s">
        <v>33629</v>
      </c>
      <c r="B662" s="1" t="str">
        <f ca="1">IFERROR(__xludf.dummyfunction("IF(A662="""", """", GOOGLETRANSLATE(A662, ""en"", ""hi""))"),"ओट्स एप्पल फिरनी रेसिपी")</f>
        <v>ओट्स एप्पल फिरनी रेसिपी</v>
      </c>
      <c r="C662" s="1" t="s">
        <v>8417</v>
      </c>
      <c r="D662" s="1" t="s">
        <v>14198</v>
      </c>
      <c r="E662" s="1">
        <v>15</v>
      </c>
      <c r="F662" s="1" t="s">
        <v>33630</v>
      </c>
      <c r="G662" s="1" t="str">
        <f ca="1">IFERROR(__xludf.dummyfunction("IF(F662="""", """", GOOGLETRANSLATE(F662, ""en"", ""hi""))"),"1/2 कप इंस्टेंट ओट्स (दलिया), 2 सेब, 2 कप दूध, 3 चम्मच चीनी, 2 इलायची की फली/बीज, 2 चम्मच पिस्ता")</f>
        <v>1/2 कप इंस्टेंट ओट्स (दलिया), 2 सेब, 2 कप दूध, 3 चम्मच चीनी, 2 इलायची की फली/बीज, 2 चम्मच पिस्ता</v>
      </c>
      <c r="H662" s="1" t="s">
        <v>33631</v>
      </c>
      <c r="I662" s="1" t="str">
        <f ca="1">IFERROR(__xludf.dummyfunction("IF(H662="""", """", GOOGLETRANSLATE(H662, ""en"", ""hi""))"),"ओट्स एप्पल फिरनी रेसिपी बनाने के लिए, ब्लेंडर में ओट्स लें और इसे दरदरा पीस लें। इसे एक तरफ रख दें। इसके बाद, सेब को धो लें, बीज निकाल दें और कद्दूकस कर लें। सॉस पैन में दूध उबालें। जब यह उबलने लगे, तो आंच धीमी कर दें, इसमें दरदरा पीसा हुआ ओट्स और चीनी डा"&amp;"लें। इसे लगातार चलाते हुए तब तक पकाएँ जब तक यह दलिया जैसा गाढ़ा न हो जाए। बंद करें, कद्दूकस किया हुआ सेब और कुटी हुई इलायची डालें। हिलाएँ और मिलाएँ। इसे ठंडा होने दें, छोटे मिट्टी के बर्तनों में डालें और पिस्ते से सजाएँ। एक घंटे के लिए फ्रिज में रखें और ठ"&amp;"ंडा परोसें। रविवार के लंच में गुजराती कढ़ी, आलू भिंडी सब्ज़ी और मेथी थेपला के साधारण लंच के बाद ओट्स एप्पल फिरनी को मिठाई के रूप में परोसें।")</f>
        <v>ओट्स एप्पल फिरनी रेसिपी बनाने के लिए, ब्लेंडर में ओट्स लें और इसे दरदरा पीस लें। इसे एक तरफ रख दें। इसके बाद, सेब को धो लें, बीज निकाल दें और कद्दूकस कर लें। सॉस पैन में दूध उबालें। जब यह उबलने लगे, तो आंच धीमी कर दें, इसमें दरदरा पीसा हुआ ओट्स और चीनी डालें। इसे लगातार चलाते हुए तब तक पकाएँ जब तक यह दलिया जैसा गाढ़ा न हो जाए। बंद करें, कद्दूकस किया हुआ सेब और कुटी हुई इलायची डालें। हिलाएँ और मिलाएँ। इसे ठंडा होने दें, छोटे मिट्टी के बर्तनों में डालें और पिस्ते से सजाएँ। एक घंटे के लिए फ्रिज में रखें और ठंडा परोसें। रविवार के लंच में गुजराती कढ़ी, आलू भिंडी सब्ज़ी और मेथी थेपला के साधारण लंच के बाद ओट्स एप्पल फिरनी को मिठाई के रूप में परोसें।</v>
      </c>
      <c r="J662" s="3" t="s">
        <v>33632</v>
      </c>
      <c r="L662" s="1" t="s">
        <v>31003</v>
      </c>
    </row>
    <row r="663" spans="1:12" ht="13.8">
      <c r="A663" s="1" t="s">
        <v>33633</v>
      </c>
      <c r="B663" s="1" t="str">
        <f ca="1">IFERROR(__xludf.dummyfunction("IF(A663="""", """", GOOGLETRANSLATE(A663, ""en"", ""hi""))"),"फ्यूजन पालक पराठा प्याज टमाटर साल्सा रेसिपी के साथ")</f>
        <v>फ्यूजन पालक पराठा प्याज टमाटर साल्सा रेसिपी के साथ</v>
      </c>
      <c r="C663" s="1" t="s">
        <v>429</v>
      </c>
      <c r="D663" s="1" t="s">
        <v>14198</v>
      </c>
      <c r="E663" s="1">
        <v>50</v>
      </c>
      <c r="F663" s="1" t="s">
        <v>33634</v>
      </c>
      <c r="G663" s="1" t="str">
        <f ca="1">IFERROR(__xludf.dummyfunction("IF(F663="""", """", GOOGLETRANSLATE(F663, ""en"", ""hi""))"),"1-1/2 कप गेहूं का आटा, 2 कप पालक के पत्ते (पालक) - प्यूरी किए हुए, 1-1/2 चम्मच नमक, 1/2 चम्मच अदरक लहसुन का पेस्ट, 1/2 चम्मच हरी मिर्च का पेस्ट, 2 चम्मच मिश्रित जड़ी बूटियाँ (सूखी), 1/2 चम्मच सूखा अजवायन, 1/2 चम्मच जीरा पाउडर (जीरा), 1/2 कप दूध, 2 बड़े चम"&amp;"्मच अजमोद के पत्ते - बारीक कटे हुए, 1/2 कप अतिरिक्त वर्जिन जैतून का तेल - (आवश्यकता पड़ने पर अधिक), 1/2 कप चेडर चीज़ - कसा हुआ, 1 प्याज, 1 टमाटर, 2 हरी मिर्च, धनिया (धनिया) के पत्ते - कुछ टहनियाँ, 1 चम्मच नींबू का रस, 1/2 चम्मच जीरा पाउडर (जीरा), नमक - स्"&amp;"वादानुसार")</f>
        <v>1-1/2 कप गेहूं का आटा, 2 कप पालक के पत्ते (पालक) - प्यूरी किए हुए, 1-1/2 चम्मच नमक, 1/2 चम्मच अदरक लहसुन का पेस्ट, 1/2 चम्मच हरी मिर्च का पेस्ट, 2 चम्मच मिश्रित जड़ी बूटियाँ (सूखी), 1/2 चम्मच सूखा अजवायन, 1/2 चम्मच जीरा पाउडर (जीरा), 1/2 कप दूध, 2 बड़े चम्मच अजमोद के पत्ते - बारीक कटे हुए, 1/2 कप अतिरिक्त वर्जिन जैतून का तेल - (आवश्यकता पड़ने पर अधिक), 1/2 कप चेडर चीज़ - कसा हुआ, 1 प्याज, 1 टमाटर, 2 हरी मिर्च, धनिया (धनिया) के पत्ते - कुछ टहनियाँ, 1 चम्मच नींबू का रस, 1/2 चम्मच जीरा पाउडर (जीरा), नमक - स्वादानुसार</v>
      </c>
      <c r="H663" s="1" t="s">
        <v>33635</v>
      </c>
      <c r="I663" s="1" t="str">
        <f ca="1">IFERROR(__xludf.dummyfunction("IF(H663="""", """", GOOGLETRANSLATE(H663, ""en"", ""hi""))"),"फ्यूज़न पालक पराठे विद अनियन टोमैटो साल्सा बनाने के लिए सबसे पहले अदरक लहसुन का पेस्ट, हरी मिर्च का पेस्ट, नमक, सूखा अजवायन, मिले-जुले हर्ब, जीरा पाउडर, कटा हुआ अजमोद और पालक की प्यूरी को गेहूं के आटे में मिलाएँ। आवश्यकतानुसार दूध मिलाते हुए आटे को नरम गू"&amp;"ंथ लें। आटे पर जैतून का तेल लगाएँ और इसे क्लिंग रैप से ढक दें। 20 मिनट के लिए अलग रख दें। आटे को लें और बराबर 10 भागों में विभाजित करें। प्रत्येक भाग को चपाती की तरह बेल लें और अच्छी तरह से पकने तक एक पैन में जैतून के तेल के साथ तल लें। ऊपर से कसा हुआ चेड"&amp;"र चीज़ छिड़कें। अगला कदम साल्सा बनाना है। प्याज, टमाटर, हरी मिर्च और धनिया पत्ती को बहुत बारीक काट लें प्याज टमाटर साल्सा की जगह आप इसे धनिया पुदीना चटनी के साथ भी खा सकते हैं।")</f>
        <v>फ्यूज़न पालक पराठे विद अनियन टोमैटो साल्सा बनाने के लिए सबसे पहले अदरक लहसुन का पेस्ट, हरी मिर्च का पेस्ट, नमक, सूखा अजवायन, मिले-जुले हर्ब, जीरा पाउडर, कटा हुआ अजमोद और पालक की प्यूरी को गेहूं के आटे में मिलाएँ। आवश्यकतानुसार दूध मिलाते हुए आटे को नरम गूंथ लें। आटे पर जैतून का तेल लगाएँ और इसे क्लिंग रैप से ढक दें। 20 मिनट के लिए अलग रख दें। आटे को लें और बराबर 10 भागों में विभाजित करें। प्रत्येक भाग को चपाती की तरह बेल लें और अच्छी तरह से पकने तक एक पैन में जैतून के तेल के साथ तल लें। ऊपर से कसा हुआ चेडर चीज़ छिड़कें। अगला कदम साल्सा बनाना है। प्याज, टमाटर, हरी मिर्च और धनिया पत्ती को बहुत बारीक काट लें प्याज टमाटर साल्सा की जगह आप इसे धनिया पुदीना चटनी के साथ भी खा सकते हैं।</v>
      </c>
      <c r="J663" s="3" t="s">
        <v>33636</v>
      </c>
      <c r="L663" s="1" t="s">
        <v>31003</v>
      </c>
    </row>
    <row r="664" spans="1:12" ht="409.6">
      <c r="A664" s="1" t="s">
        <v>33637</v>
      </c>
      <c r="B664" s="1" t="str">
        <f ca="1">IFERROR(__xludf.dummyfunction("IF(A664="""", """", GOOGLETRANSLATE(A664, ""en"", ""hi""))"),"शिमला मिर्च करी रेसिपी")</f>
        <v>शिमला मिर्च करी रेसिपी</v>
      </c>
      <c r="C664" s="1" t="s">
        <v>429</v>
      </c>
      <c r="D664" s="1" t="s">
        <v>14198</v>
      </c>
      <c r="E664" s="1">
        <v>60</v>
      </c>
      <c r="F664" s="1" t="s">
        <v>33638</v>
      </c>
      <c r="G664" s="1" t="str">
        <f ca="1">IFERROR(__xludf.dummyfunction("IF(F664="""", """", GOOGLETRANSLATE(F664, ""en"", ""hi""))"),"2-1/2 लाल, पीली या हरी शिमला मिर्च - 1 हरी, 2 प्याज - बारीक कटा हुआ, 2 टमाटर - बारीक कटा हुआ, 2 हरी मिर्च - कटी हुई, 5 लहसुन - कटा हुआ, 1 तेज पत्ता, 1 छोटा चम्मच धनिया - मोटा कुटा हुआ, 5 साबुत काली मिर्च, 1-1/2 बड़ा चम्मच काजू - कटा हुआ, 1-1/2 बड़ा चम्मच "&amp;"पीनट बटर - कटा हुआ, 1/2 छोटा चम्मच लाल मिर्च पाउडर, 1 छोटा चम्मच गरम मसाला पाउडर, 1 बड़ा चम्मच कसूरी मेथी (सूखी मेथी के पत्ते)")</f>
        <v>2-1/2 लाल, पीली या हरी शिमला मिर्च - 1 हरी, 2 प्याज - बारीक कटा हुआ, 2 टमाटर - बारीक कटा हुआ, 2 हरी मिर्च - कटी हुई, 5 लहसुन - कटा हुआ, 1 तेज पत्ता, 1 छोटा चम्मच धनिया - मोटा कुटा हुआ, 5 साबुत काली मिर्च, 1-1/2 बड़ा चम्मच काजू - कटा हुआ, 1-1/2 बड़ा चम्मच पीनट बटर - कटा हुआ, 1/2 छोटा चम्मच लाल मिर्च पाउडर, 1 छोटा चम्मच गरम मसाला पाउडर, 1 बड़ा चम्मच कसूरी मेथी (सूखी मेथी के पत्ते)</v>
      </c>
      <c r="H664" s="4" t="s">
        <v>33639</v>
      </c>
      <c r="I664" s="1" t="str">
        <f ca="1">IFERROR(__xludf.dummyfunction("IF(H664="""", """", GOOGLETRANSLATE(H664, ""en"", ""hi""))"),"शिमला मिर्च की सब्जी बनाने के लिए सबसे पहले एक पैन में 2 टेबलस्पून तेल डालें और कटे हुए शिमला मिर्च को कुछ मिनट के लिए भूनें। शिमला मिर्च को ज़्यादा न भूनें और उसे थोड़ा कुरकुरा होने दें। उसे पैन से निकाल कर एक अलग प्लेट में रख लें। उसी पैन में काजू और मू"&amp;"ंगफली को लगभग 2 मिनट तक भूनें। गैस बंद कर दें और मेवों को ठंडा होने दें। ठंडा होने के बाद भुने हुए मेवों को ग्राइंडर में डालकर पीस लें। उसे निकाल कर एक अलग बाउल में रख लें। एक कढ़ाई गरम करें और उसमें 1 टेबलस्पून तेल डालें। तेल गरम होने के बाद उसमें तेज पत"&amp;"्ता और धनिया के बीज डालें और 1 मिनट तक भूनें। कटा हुआ प्याज़ डालें और प्याज़ के गुलाबी होने तक भूनें। अब कटा हुआ लहसुन डालें और लहसुन की कच्ची महक जाने तक भूनें। कटी हुई हरी मिर्च और टमाटर डालें और टमाटर के गूदेदार होने तक भूनें। गैस बंद कर दें। ठंडा होने"&amp;" के बाद, प्याज़-टमाटर के मिश्रण को ग्राइंडर में डालें और 1/4 कप पानी डालकर गाढ़ा ग्रेवी बनाएँ। अब फिर से कढ़ाई गरम करें और 1 चम्मच तेल डालें। फिर ग्रेवी डालें और लगभग 5 मिनट तक भूनें। ग्रेवी में पिसे हुए मेवे डालकर अच्छी तरह मिलाएँ। जब यह हो जाए, तो गरम म"&amp;"साला और लाल मिर्च पाउडर डालें। तली हुई शिमला मिर्च डालें और अच्छी तरह मिलाएँ। अगर ग्रेवी बहुत गाढ़ी हो, तो 1/2 कप पानी डालें और लगभग 10-15 मिनट तक पकाएँ। अपने स्वादानुसार नमक डालें और कसूरी मेथी और कटी हुई शिमला मिर्च से गार्निश करें। शिमला मिर्च करी को फ"&amp;"ुल्के या पूरे गेहूं के लच्छा पराठे और बुरानी रायता के साथ परोसें।")</f>
        <v>शिमला मिर्च की सब्जी बनाने के लिए सबसे पहले एक पैन में 2 टेबलस्पून तेल डालें और कटे हुए शिमला मिर्च को कुछ मिनट के लिए भूनें। शिमला मिर्च को ज़्यादा न भूनें और उसे थोड़ा कुरकुरा होने दें। उसे पैन से निकाल कर एक अलग प्लेट में रख लें। उसी पैन में काजू और मूंगफली को लगभग 2 मिनट तक भूनें। गैस बंद कर दें और मेवों को ठंडा होने दें। ठंडा होने के बाद भुने हुए मेवों को ग्राइंडर में डालकर पीस लें। उसे निकाल कर एक अलग बाउल में रख लें। एक कढ़ाई गरम करें और उसमें 1 टेबलस्पून तेल डालें। तेल गरम होने के बाद उसमें तेज पत्ता और धनिया के बीज डालें और 1 मिनट तक भूनें। कटा हुआ प्याज़ डालें और प्याज़ के गुलाबी होने तक भूनें। अब कटा हुआ लहसुन डालें और लहसुन की कच्ची महक जाने तक भूनें। कटी हुई हरी मिर्च और टमाटर डालें और टमाटर के गूदेदार होने तक भूनें। गैस बंद कर दें। ठंडा होने के बाद, प्याज़-टमाटर के मिश्रण को ग्राइंडर में डालें और 1/4 कप पानी डालकर गाढ़ा ग्रेवी बनाएँ। अब फिर से कढ़ाई गरम करें और 1 चम्मच तेल डालें। फिर ग्रेवी डालें और लगभग 5 मिनट तक भूनें। ग्रेवी में पिसे हुए मेवे डालकर अच्छी तरह मिलाएँ। जब यह हो जाए, तो गरम मसाला और लाल मिर्च पाउडर डालें। तली हुई शिमला मिर्च डालें और अच्छी तरह मिलाएँ। अगर ग्रेवी बहुत गाढ़ी हो, तो 1/2 कप पानी डालें और लगभग 10-15 मिनट तक पकाएँ। अपने स्वादानुसार नमक डालें और कसूरी मेथी और कटी हुई शिमला मिर्च से गार्निश करें। शिमला मिर्च करी को फुल्के या पूरे गेहूं के लच्छा पराठे और बुरानी रायता के साथ परोसें।</v>
      </c>
      <c r="J664" s="3" t="s">
        <v>33640</v>
      </c>
      <c r="L664" s="1" t="s">
        <v>31003</v>
      </c>
    </row>
    <row r="665" spans="1:12" ht="13.8">
      <c r="A665" s="1" t="s">
        <v>33641</v>
      </c>
      <c r="B665" s="1" t="str">
        <f ca="1">IFERROR(__xludf.dummyfunction("IF(A665="""", """", GOOGLETRANSLATE(A665, ""en"", ""hi""))"),"फलाहारी राजगिरा आलू टिक्की रेसिपी (ग्लूटेन फ्री ऐमारैंथ आलू पैटी)")</f>
        <v>फलाहारी राजगिरा आलू टिक्की रेसिपी (ग्लूटेन फ्री ऐमारैंथ आलू पैटी)</v>
      </c>
      <c r="C665" s="1" t="s">
        <v>14572</v>
      </c>
      <c r="D665" s="1" t="s">
        <v>14208</v>
      </c>
      <c r="E665" s="1">
        <v>50</v>
      </c>
      <c r="F665" s="1" t="s">
        <v>33642</v>
      </c>
      <c r="G665" s="1" t="str">
        <f ca="1">IFERROR(__xludf.dummyfunction("IF(F665="""", """", GOOGLETRANSLATE(F665, ""en"", ""hi""))"),"6 आलू - उबले और छिलके उतारे हुए, 150 ग्राम राजगिरा आटा (अमरनाथ का आटा), 2 हरी मिर्च - कटी हुई, 2 चम्मच अदरक - कसा हुआ, 1/4 कप धनिया (धनिया) के पत्ते - कटे हुए, सेंधा नमक - स्वादानुसार, 1/2 चम्मच जीरा (जीरा), 1/2 चम्मच लाल मिर्च पाउडर, 1 चम्मच धनिया पाउडर "&amp;"(धनिया), 1 चम्मच गरम मसाला पाउडर, सूरजमुखी तेल - आवश्यकतानुसार")</f>
        <v>6 आलू - उबले और छिलके उतारे हुए, 150 ग्राम राजगिरा आटा (अमरनाथ का आटा), 2 हरी मिर्च - कटी हुई, 2 चम्मच अदरक - कसा हुआ, 1/4 कप धनिया (धनिया) के पत्ते - कटे हुए, सेंधा नमक - स्वादानुसार, 1/2 चम्मच जीरा (जीरा), 1/2 चम्मच लाल मिर्च पाउडर, 1 चम्मच धनिया पाउडर (धनिया), 1 चम्मच गरम मसाला पाउडर, सूरजमुखी तेल - आवश्यकतानुसार</v>
      </c>
      <c r="H665" s="1" t="s">
        <v>33643</v>
      </c>
      <c r="I665" s="1" t="str">
        <f ca="1">IFERROR(__xludf.dummyfunction("IF(H665="""", """", GOOGLETRANSLATE(H665, ""en"", ""hi""))"),"फलाहारी राजगिरा आलू टिक्की रेसिपी बनाने के लिए सबसे पहले सभी सामग्री तैयार कर लें और आलू को भी उबालकर छील लें। एक मिक्सिंग बाउल में तेल को छोड़कर सभी सामग्री डालें। आलू को मैश करें और टिक्की बनाने के लिए सभी सामग्री को एक साथ मिलाएँ और आटे जैसा गाढ़ापन बन"&amp;"ाएँ। हाथ में एक मुट्ठी आटा लें, एक रोल बनाएँ और हथेलियों के बीच दबाएँ ताकि टिक्की को गोलाकार डिस्क का आकार दें। बचे हुए राजगिरा टिक्की मिश्रण से भी आकृतियाँ बनाएँ। एक भारी तले की कड़ाही में तेल गरम करें, एक बार में 3-4 टिक्की डालें और राजगिरा आलू टिक्की क"&amp;"ो मध्यम आँच पर दोनों तरफ से सुनहरा भूरा होने तक पकाएँ। आप टिक्की को बाहर से थोड़ा और कुरकुरा और स्वादिष्ट बनाने के लिए ऊपर से थोड़ा और तेल छिड़क सकते हैं। एक बार पक जाने के बाद, राजगिरा आलू टिक्की को कागज़ के तौलिये पर निकाल लें और गरमागरम परोसें। स्वादिष"&amp;"्ट राजगिरा आलू टिक्की को हरी चटनी और दही के साथ चाय पार्टी में परोसें या बच्चों के स्कूल के लिए स्नैक बॉक्स के रूप में भी पैक करें।")</f>
        <v>फलाहारी राजगिरा आलू टिक्की रेसिपी बनाने के लिए सबसे पहले सभी सामग्री तैयार कर लें और आलू को भी उबालकर छील लें। एक मिक्सिंग बाउल में तेल को छोड़कर सभी सामग्री डालें। आलू को मैश करें और टिक्की बनाने के लिए सभी सामग्री को एक साथ मिलाएँ और आटे जैसा गाढ़ापन बनाएँ। हाथ में एक मुट्ठी आटा लें, एक रोल बनाएँ और हथेलियों के बीच दबाएँ ताकि टिक्की को गोलाकार डिस्क का आकार दें। बचे हुए राजगिरा टिक्की मिश्रण से भी आकृतियाँ बनाएँ। एक भारी तले की कड़ाही में तेल गरम करें, एक बार में 3-4 टिक्की डालें और राजगिरा आलू टिक्की को मध्यम आँच पर दोनों तरफ से सुनहरा भूरा होने तक पकाएँ। आप टिक्की को बाहर से थोड़ा और कुरकुरा और स्वादिष्ट बनाने के लिए ऊपर से थोड़ा और तेल छिड़क सकते हैं। एक बार पक जाने के बाद, राजगिरा आलू टिक्की को कागज़ के तौलिये पर निकाल लें और गरमागरम परोसें। स्वादिष्ट राजगिरा आलू टिक्की को हरी चटनी और दही के साथ चाय पार्टी में परोसें या बच्चों के स्कूल के लिए स्नैक बॉक्स के रूप में भी पैक करें।</v>
      </c>
      <c r="J665" s="3" t="s">
        <v>33644</v>
      </c>
      <c r="L665" s="1" t="s">
        <v>31003</v>
      </c>
    </row>
    <row r="666" spans="1:12" ht="13.8">
      <c r="A666" s="1" t="s">
        <v>33645</v>
      </c>
      <c r="B666" s="1" t="str">
        <f ca="1">IFERROR(__xludf.dummyfunction("IF(A666="""", """", GOOGLETRANSLATE(A666, ""en"", ""hi""))"),"पनीर मखनी")</f>
        <v>पनीर मखनी</v>
      </c>
      <c r="C666" s="1" t="s">
        <v>429</v>
      </c>
      <c r="D666" s="1" t="s">
        <v>14198</v>
      </c>
      <c r="E666" s="1">
        <v>45</v>
      </c>
      <c r="F666" s="1" t="s">
        <v>33646</v>
      </c>
      <c r="G666" s="1" t="str">
        <f ca="1">IFERROR(__xludf.dummyfunction("IF(F666="""", """", GOOGLETRANSLATE(F666, ""en"", ""hi""))"),"250 ग्राम पनीर - घर का बना, 2 कप टमाटर प्यूरी, 1/4 कप क्रीम - (यहां अमूल क्रीम का उपयोग किया गया है), 1 प्याज - कटा हुआ, 1 इंच अदरक, 3 लहसुन की कलियां -, 1 छोटा चम्मच इलायची पाउडर, 1 छोटा चम्मच हल्दी पाउडर, 1/2 छोटा चम्मच जीरा पाउडर, 1/2 छोटा चम्मच गरम मस"&amp;"ाला पाउडर, 1/2 छोटा चम्मच लाल मिर्च पाउडर, 1 बड़ा चम्मच कसूरी मेथी, 2 छोटे चम्मच शहद, नमक - स्वादानुसार, तेल - पकाने के लिए")</f>
        <v>250 ग्राम पनीर - घर का बना, 2 कप टमाटर प्यूरी, 1/4 कप क्रीम - (यहां अमूल क्रीम का उपयोग किया गया है), 1 प्याज - कटा हुआ, 1 इंच अदरक, 3 लहसुन की कलियां -, 1 छोटा चम्मच इलायची पाउडर, 1 छोटा चम्मच हल्दी पाउडर, 1/2 छोटा चम्मच जीरा पाउडर, 1/2 छोटा चम्मच गरम मसाला पाउडर, 1/2 छोटा चम्मच लाल मिर्च पाउडर, 1 बड़ा चम्मच कसूरी मेथी, 2 छोटे चम्मच शहद, नमक - स्वादानुसार, तेल - पकाने के लिए</v>
      </c>
      <c r="H666" s="1" t="s">
        <v>33647</v>
      </c>
      <c r="I666" s="1" t="str">
        <f ca="1">IFERROR(__xludf.dummyfunction("IF(H666="""", """", GOOGLETRANSLATE(H666, ""en"", ""hi""))"),"पनीर मखनी बनाने के लिए सबसे पहले टमाटर की प्यूरी तैयार कर लें। अब एक मिक्सी में प्याज, लहसुन और अदरक का पेस्ट बना लें। अब एक पैन में तेल गर्म करके उसमें प्याज के पेस्ट को अच्छे से पकने तक भूनें। अब इसमें हल्दी पाउडर, जीरा पाउडर, इलायची पाउडर, गरम मसाला डा"&amp;"लकर 2 मिनट तक अच्छे से भूनें। अब जब यह अच्छे से पक जाए तो इसमें टमाटर की प्यूरी या टमाटर का पेस्ट डालकर उबाल आने तक पकाएं। जब प्याज और टमाटर का पेस्ट और बाकी मसाले पक जाएं तो इसमें क्रीम, लाल मिर्च पाउडर, नमक, कसूरी मेथी और पनीर डालकर मिक्स करें। इसे 3 से"&amp;" 5 मिनट तक पकने दें। जब यह पक जाए तो इसमें अपने स्वादानुसार मसाले और नमक चखें। अब पनीर मखनी को एक सर्विंग बाउल में निकाल लें। इस चटपटी स्वादिष्ट पनीर मखनी को आप नान या कुल्चा और बुरानी रायता के साथ सर्व कर सकते हैं।")</f>
        <v>पनीर मखनी बनाने के लिए सबसे पहले टमाटर की प्यूरी तैयार कर लें। अब एक मिक्सी में प्याज, लहसुन और अदरक का पेस्ट बना लें। अब एक पैन में तेल गर्म करके उसमें प्याज के पेस्ट को अच्छे से पकने तक भूनें। अब इसमें हल्दी पाउडर, जीरा पाउडर, इलायची पाउडर, गरम मसाला डालकर 2 मिनट तक अच्छे से भूनें। अब जब यह अच्छे से पक जाए तो इसमें टमाटर की प्यूरी या टमाटर का पेस्ट डालकर उबाल आने तक पकाएं। जब प्याज और टमाटर का पेस्ट और बाकी मसाले पक जाएं तो इसमें क्रीम, लाल मिर्च पाउडर, नमक, कसूरी मेथी और पनीर डालकर मिक्स करें। इसे 3 से 5 मिनट तक पकने दें। जब यह पक जाए तो इसमें अपने स्वादानुसार मसाले और नमक चखें। अब पनीर मखनी को एक सर्विंग बाउल में निकाल लें। इस चटपटी स्वादिष्ट पनीर मखनी को आप नान या कुल्चा और बुरानी रायता के साथ सर्व कर सकते हैं।</v>
      </c>
      <c r="J666" s="3" t="s">
        <v>33648</v>
      </c>
      <c r="L666" s="1" t="s">
        <v>31003</v>
      </c>
    </row>
    <row r="667" spans="1:12" ht="13.8">
      <c r="A667" s="1" t="s">
        <v>33649</v>
      </c>
      <c r="B667" s="1" t="str">
        <f ca="1">IFERROR(__xludf.dummyfunction("IF(A667="""", """", GOOGLETRANSLATE(A667, ""en"", ""hi""))"),"उत्तर भारतीय शैली हरा कच्चा पपीता करी रेसिपी")</f>
        <v>उत्तर भारतीय शैली हरा कच्चा पपीता करी रेसिपी</v>
      </c>
      <c r="C667" s="1" t="s">
        <v>14207</v>
      </c>
      <c r="D667" s="1" t="s">
        <v>14198</v>
      </c>
      <c r="E667" s="1">
        <v>35</v>
      </c>
      <c r="F667" s="1" t="s">
        <v>33650</v>
      </c>
      <c r="G667" s="1" t="str">
        <f ca="1">IFERROR(__xludf.dummyfunction("IF(F667="""", """", GOOGLETRANSLATE(F667, ""en"", ""hi""))"),"500 ग्राम कच्चा पपीता, 1 प्याज - कटा हुआ, 1 टमाटर - कटा हुआ, 1 इंच अदरक - कटा हुआ, 4 लहसुन - कटा हुआ, 1 चम्मच सौंफ, 1 चम्मच लाल मिर्च पाउडर, 1 1/2 चम्मच धनिया पाउडर, 1/4 चम्मच हल्दी पाउडर, 2 टहनी धनिया पत्ती - कटी हुई, नमक - स्वादानुसार, सूरजमुखी तेल")</f>
        <v>500 ग्राम कच्चा पपीता, 1 प्याज - कटा हुआ, 1 टमाटर - कटा हुआ, 1 इंच अदरक - कटा हुआ, 4 लहसुन - कटा हुआ, 1 चम्मच सौंफ, 1 चम्मच लाल मिर्च पाउडर, 1 1/2 चम्मच धनिया पाउडर, 1/4 चम्मच हल्दी पाउडर, 2 टहनी धनिया पत्ती - कटी हुई, नमक - स्वादानुसार, सूरजमुखी तेल</v>
      </c>
      <c r="H667" s="1" t="s">
        <v>33651</v>
      </c>
      <c r="I667" s="1" t="str">
        <f ca="1">IFERROR(__xludf.dummyfunction("IF(H667="""", """", GOOGLETRANSLATE(H667, ""en"", ""hi""))"),"उत्तर भारतीय स्टाइल हरे कच्चे पपीते की करी रेसिपी बनाने के लिए सबसे पहले हम प्रेशर कुकर में तेल गर्म करते हैं। इसमें सौंफ डालें और इसे चटकने दें। इसमें अदरक और लहसुन डालें और इसे नरम होने तक भूनें। इसमें प्याज डालें और इसे पारदर्शी होने तक भूनें। आप कटे ह"&amp;"ुए टमाटर डाल सकते हैं और थोड़ा नमक छिड़क सकते हैं और टमाटर के नरम होने तक भूनते रहें। इसमें बचे हुए मसाले पाउडर डालें और इसे चलाएँ। अंत में कटा हुआ हरा पपीता, नमक और लगभग 1 कप पानी डालें, एक बार फिर से चलाएँ। इसे ढक्कन से बंद कर दें। कम से कम 3 सीटी आने त"&amp;"क प्रेशर कुक करें और इसे बंद कर दें। प्रेशर को स्वाभाविक रूप से निकलने दें और ढक्कन खोलें, धनिया पत्ती डालें और इसे चलाएँ और गर्मागर्म परोसें। उत्तर भारतीय स्टाइल हरे कच्चे पपीते की करी रेसिपी को तवा पराठा या फुल्का और रायते के साथ परोसें।")</f>
        <v>उत्तर भारतीय स्टाइल हरे कच्चे पपीते की करी रेसिपी बनाने के लिए सबसे पहले हम प्रेशर कुकर में तेल गर्म करते हैं। इसमें सौंफ डालें और इसे चटकने दें। इसमें अदरक और लहसुन डालें और इसे नरम होने तक भूनें। इसमें प्याज डालें और इसे पारदर्शी होने तक भूनें। आप कटे हुए टमाटर डाल सकते हैं और थोड़ा नमक छिड़क सकते हैं और टमाटर के नरम होने तक भूनते रहें। इसमें बचे हुए मसाले पाउडर डालें और इसे चलाएँ। अंत में कटा हुआ हरा पपीता, नमक और लगभग 1 कप पानी डालें, एक बार फिर से चलाएँ। इसे ढक्कन से बंद कर दें। कम से कम 3 सीटी आने तक प्रेशर कुक करें और इसे बंद कर दें। प्रेशर को स्वाभाविक रूप से निकलने दें और ढक्कन खोलें, धनिया पत्ती डालें और इसे चलाएँ और गर्मागर्म परोसें। उत्तर भारतीय स्टाइल हरे कच्चे पपीते की करी रेसिपी को तवा पराठा या फुल्का और रायते के साथ परोसें।</v>
      </c>
      <c r="J667" s="3" t="s">
        <v>33652</v>
      </c>
      <c r="L667" s="1" t="s">
        <v>31003</v>
      </c>
    </row>
    <row r="668" spans="1:12" ht="13.8">
      <c r="A668" s="1" t="s">
        <v>33653</v>
      </c>
      <c r="B668" s="1" t="str">
        <f ca="1">IFERROR(__xludf.dummyfunction("IF(A668="""", """", GOOGLETRANSLATE(A668, ""en"", ""hi""))"),"मलाईदार फिरनी रेसिपी - उत्तर भारतीय चावल का हलवा")</f>
        <v>मलाईदार फिरनी रेसिपी - उत्तर भारतीय चावल का हलवा</v>
      </c>
      <c r="C668" s="1" t="s">
        <v>8417</v>
      </c>
      <c r="D668" s="1" t="s">
        <v>14198</v>
      </c>
      <c r="E668" s="1">
        <v>90</v>
      </c>
      <c r="F668" s="1" t="s">
        <v>33654</v>
      </c>
      <c r="G668" s="1" t="str">
        <f ca="1">IFERROR(__xludf.dummyfunction("IF(F668="""", """", GOOGLETRANSLATE(F668, ""en"", ""hi""))"),"250 ग्राम दूध - फुल क्रीम, 1/2 कप चावल - कम से कम 3 घंटे पानी में भिगोया हुआ, 2 इलायची की फली / बीज - कुचल, 1 कप चीनी - समायोज्य, 2 बड़े चम्मच बादाम (बादाम) - पतले कटा हुआ")</f>
        <v>250 ग्राम दूध - फुल क्रीम, 1/2 कप चावल - कम से कम 3 घंटे पानी में भिगोया हुआ, 2 इलायची की फली / बीज - कुचल, 1 कप चीनी - समायोज्य, 2 बड़े चम्मच बादाम (बादाम) - पतले कटा हुआ</v>
      </c>
      <c r="H668" s="1" t="s">
        <v>33655</v>
      </c>
      <c r="I668" s="1" t="str">
        <f ca="1">IFERROR(__xludf.dummyfunction("IF(H668="""", """", GOOGLETRANSLATE(H668, ""en"", ""hi""))"),"क्रीमी फिरनी रेसिपी बनाने के लिए, भिगोए हुए चावल को छान लें और इसे मिक्सर ग्राइंडर में डालें। थोड़ा पानी या दूध डालकर चावल को ग्राइंडर में दरदरा पीस लें। बनावट बारीक दाने की होनी चाहिए और पेस्ट नहीं बनना चाहिए। एक भारी तले की कड़ाही में दूध उबालें। जब यह "&amp;"उबलने लगे तो दूध में हरी इलायची डालें। उबलते दूध में चीनी डालें और फिर इसमें चावल डालें। इसे कम से कम 20 मिनट तक या चावल के पकने और मिश्रण के थोड़ा गाढ़ा होने तक लगातार हिलाएँ। जब यह गाढ़ा होने लगे तो आँच बंद कर दें और फिरनी को ठीक से ठंडा होने दें। क्रीम"&amp;"ी फिरनी को कुल्लड़ (मिट्टी के बर्तन) में डालें, ऊपर से पिस्ता डालें और बर्तनों को ढक दें अब इसे बाहर निकालें, कटे हुए बादाम या पिस्ता से गार्निश करें और ठंडा-ठंडा सर्व करें। अपने लजीज खाने के बाद मिठाई के रूप में क्रीमी फिरनी परोसें या त्योहार मनाने के लि"&amp;"ए रमजान के दौरान इसे बनाएं। वीकेंड पर ब्रंच या भोजन के लिए आलू गोभी की सब्जी, अजवाइन पूरी और बूंदी रायता के स्वादिष्ट भोजन के साथ क्रीमी फिरनी परोसें।")</f>
        <v>क्रीमी फिरनी रेसिपी बनाने के लिए, भिगोए हुए चावल को छान लें और इसे मिक्सर ग्राइंडर में डालें। थोड़ा पानी या दूध डालकर चावल को ग्राइंडर में दरदरा पीस लें। बनावट बारीक दाने की होनी चाहिए और पेस्ट नहीं बनना चाहिए। एक भारी तले की कड़ाही में दूध उबालें। जब यह उबलने लगे तो दूध में हरी इलायची डालें। उबलते दूध में चीनी डालें और फिर इसमें चावल डालें। इसे कम से कम 20 मिनट तक या चावल के पकने और मिश्रण के थोड़ा गाढ़ा होने तक लगातार हिलाएँ। जब यह गाढ़ा होने लगे तो आँच बंद कर दें और फिरनी को ठीक से ठंडा होने दें। क्रीमी फिरनी को कुल्लड़ (मिट्टी के बर्तन) में डालें, ऊपर से पिस्ता डालें और बर्तनों को ढक दें अब इसे बाहर निकालें, कटे हुए बादाम या पिस्ता से गार्निश करें और ठंडा-ठंडा सर्व करें। अपने लजीज खाने के बाद मिठाई के रूप में क्रीमी फिरनी परोसें या त्योहार मनाने के लिए रमजान के दौरान इसे बनाएं। वीकेंड पर ब्रंच या भोजन के लिए आलू गोभी की सब्जी, अजवाइन पूरी और बूंदी रायता के स्वादिष्ट भोजन के साथ क्रीमी फिरनी परोसें।</v>
      </c>
      <c r="J668" s="3" t="s">
        <v>33656</v>
      </c>
      <c r="L668" s="1" t="s">
        <v>31003</v>
      </c>
    </row>
    <row r="669" spans="1:12" ht="13.8">
      <c r="A669" s="1" t="s">
        <v>33657</v>
      </c>
      <c r="B669" s="1" t="str">
        <f ca="1">IFERROR(__xludf.dummyfunction("IF(A669="""", """", GOOGLETRANSLATE(A669, ""en"", ""hi""))"),"भिन्डी मसाला ग्रेवी रेसिपी")</f>
        <v>भिन्डी मसाला ग्रेवी रेसिपी</v>
      </c>
      <c r="C669" s="1" t="s">
        <v>14207</v>
      </c>
      <c r="D669" s="1" t="s">
        <v>14198</v>
      </c>
      <c r="E669" s="1">
        <v>50</v>
      </c>
      <c r="F669" s="1" t="s">
        <v>33658</v>
      </c>
      <c r="G669" s="1" t="str">
        <f ca="1">IFERROR(__xludf.dummyfunction("IF(F669="""", """", GOOGLETRANSLATE(F669, ""en"", ""hi""))"),"250 ग्राम भिंडी - पतले और सीधे टुकड़ों में कटी हुई, 1 प्याज - टुकड़ों में कटा हुआ, 1 इंच अदरक, 5 लहसुन की कलियां, 2 हरी मिर्च - टुकड़ों में कटी हुई, 2 लौंग, 1 इलायची, 1 इंच दालचीनी, 1 जावित्री, 3 टमाटर - टुकड़ों में कटे हुए, 2 बड़े चम्मच दही, 1 बड़ा चम्मच"&amp;" कसूरी मेथी, 1 तेज पत्ता, 1/2 छोटा चम्मच हल्दी पाउडर, 1/2 छोटा चम्मच लाल मिर्च पाउडर, 1 छोटा चम्मच धनिया पाउडर, तेल - आवश्यकतानुसार, नमक - स्वादानुसार")</f>
        <v>250 ग्राम भिंडी - पतले और सीधे टुकड़ों में कटी हुई, 1 प्याज - टुकड़ों में कटा हुआ, 1 इंच अदरक, 5 लहसुन की कलियां, 2 हरी मिर्च - टुकड़ों में कटी हुई, 2 लौंग, 1 इलायची, 1 इंच दालचीनी, 1 जावित्री, 3 टमाटर - टुकड़ों में कटे हुए, 2 बड़े चम्मच दही, 1 बड़ा चम्मच कसूरी मेथी, 1 तेज पत्ता, 1/2 छोटा चम्मच हल्दी पाउडर, 1/2 छोटा चम्मच लाल मिर्च पाउडर, 1 छोटा चम्मच धनिया पाउडर, तेल - आवश्यकतानुसार, नमक - स्वादानुसार</v>
      </c>
      <c r="H669" s="1" t="s">
        <v>33659</v>
      </c>
      <c r="I669" s="1" t="str">
        <f ca="1">IFERROR(__xludf.dummyfunction("IF(H669="""", """", GOOGLETRANSLATE(H669, ""en"", ""hi""))"),"""भिंडी मसाला रेसिपी बनाने के लिए सबसे पहले भिंडी को अच्छे से धोकर साफ कर लें। भिंडी को सुखाने के बाद भिंडी के ऊपरी हिस्से को काट लें और नीचे तक चार कट लगा दें। ध्यान रहे कि पूरी तरह से कट न जाए। अब एक पैन में तेल गर्म करें। इसमें भिंडी, नमक डालें और भिंड"&amp;"ी के पकने तक पकाएं। पैन को ढक दें और भिंडी के नरम होने तक पकाएं। गैस बंद कर दें और एक तरफ रख दें। ग्रेवी बनाने के लिए सबसे पहले एक टमाटर को मिक्सर ग्राइंडर में थोड़े से पानी के साथ डालकर प्यूरी बना लें। इसे एक तरफ रख दें। अब एक मिक्सर ग्राइंडर में लहसुन, "&amp;"प्याज, अदरक, हरी मिर्च, लौंग, इलायची, दालचीनी डालकर पेस्ट बना लें। इसे एक तरफ रख दें। अब एक पैन में तेल गर्म करें। इसमें तेजपत्ता डालें और 10 सेकंड तक पकाएं। 10 सेकंड बाद इसमें प्याज अदरक का पेस्ट डालें और 2 से 3 मिनट तक पकाएं। 3 मिनट बाद इसमें भिंडी डाले"&amp;"ं, आंच तेज करें और 1 मिनट और पकाएं। अब इसमें कसूरी मेथी डालकर मिलाएं और गैस बंद कर दें। धनिया पत्ती से गार्निश करें और सर्व करें। भिंडी मसाला रेसिपी को दाल मखनी, बूंदी के साथ सर्व करें दोपहर के भोजन के लिए रायता और फुल्के। """)</f>
        <v>"भिंडी मसाला रेसिपी बनाने के लिए सबसे पहले भिंडी को अच्छे से धोकर साफ कर लें। भिंडी को सुखाने के बाद भिंडी के ऊपरी हिस्से को काट लें और नीचे तक चार कट लगा दें। ध्यान रहे कि पूरी तरह से कट न जाए। अब एक पैन में तेल गर्म करें। इसमें भिंडी, नमक डालें और भिंडी के पकने तक पकाएं। पैन को ढक दें और भिंडी के नरम होने तक पकाएं। गैस बंद कर दें और एक तरफ रख दें। ग्रेवी बनाने के लिए सबसे पहले एक टमाटर को मिक्सर ग्राइंडर में थोड़े से पानी के साथ डालकर प्यूरी बना लें। इसे एक तरफ रख दें। अब एक मिक्सर ग्राइंडर में लहसुन, प्याज, अदरक, हरी मिर्च, लौंग, इलायची, दालचीनी डालकर पेस्ट बना लें। इसे एक तरफ रख दें। अब एक पैन में तेल गर्म करें। इसमें तेजपत्ता डालें और 10 सेकंड तक पकाएं। 10 सेकंड बाद इसमें प्याज अदरक का पेस्ट डालें और 2 से 3 मिनट तक पकाएं। 3 मिनट बाद इसमें भिंडी डालें, आंच तेज करें और 1 मिनट और पकाएं। अब इसमें कसूरी मेथी डालकर मिलाएं और गैस बंद कर दें। धनिया पत्ती से गार्निश करें और सर्व करें। भिंडी मसाला रेसिपी को दाल मखनी, बूंदी के साथ सर्व करें दोपहर के भोजन के लिए रायता और फुल्के। "</v>
      </c>
      <c r="J669" s="3" t="s">
        <v>33660</v>
      </c>
      <c r="L669" s="1" t="s">
        <v>31003</v>
      </c>
    </row>
    <row r="670" spans="1:12" ht="13.8">
      <c r="A670" s="1" t="s">
        <v>33661</v>
      </c>
      <c r="B670" s="1" t="str">
        <f ca="1">IFERROR(__xludf.dummyfunction("IF(A670="""", """", GOOGLETRANSLATE(A670, ""en"", ""hi""))"),"सिंघाड़ा पुलाव रेसिपी - सिंघाड़ा मिक्स चावल")</f>
        <v>सिंघाड़ा पुलाव रेसिपी - सिंघाड़ा मिक्स चावल</v>
      </c>
      <c r="C670" s="1" t="s">
        <v>145</v>
      </c>
      <c r="D670" s="1" t="s">
        <v>14208</v>
      </c>
      <c r="E670" s="1">
        <v>30</v>
      </c>
      <c r="F670" s="1" t="s">
        <v>33662</v>
      </c>
      <c r="G670" s="1" t="str">
        <f ca="1">IFERROR(__xludf.dummyfunction("IF(F670="""", """", GOOGLETRANSLATE(F670, ""en"", ""hi""))"),"300 ग्राम सिंघाड़े - पकाकर छिला हुआ, 2 कप पके हुए चावल, 1 तेज पत्ता, 1 चक्र फूल, 2 लौंग, 2 चम्मच जीरा, 1 चम्मच हल्दी, नमक - स्वादानुसार, 2 चम्मच काली मिर्च पाउडर, सूरजमुखी तेल, 2 टहनी धनिया - कटी हुई")</f>
        <v>300 ग्राम सिंघाड़े - पकाकर छिला हुआ, 2 कप पके हुए चावल, 1 तेज पत्ता, 1 चक्र फूल, 2 लौंग, 2 चम्मच जीरा, 1 चम्मच हल्दी, नमक - स्वादानुसार, 2 चम्मच काली मिर्च पाउडर, सूरजमुखी तेल, 2 टहनी धनिया - कटी हुई</v>
      </c>
      <c r="H670" s="1" t="s">
        <v>33663</v>
      </c>
      <c r="I670" s="1" t="str">
        <f ca="1">IFERROR(__xludf.dummyfunction("IF(H670="""", """", GOOGLETRANSLATE(H670, ""en"", ""hi""))"),"सिंघाड़ा पुलाव रेसिपी (वाटर चेस्टनट राइस रेसिपी) बनाना शुरू करने के लिए, पके हुए चावल तैयार रखें। पानी के साथ सिंघाड़ा को कम से कम 8 सीटी तक पकाएं और इसे कुछ सेकंड के लिए आराम दें जब तक कि यह स्वाभाविक रूप से दबाव न छोड़ दे। एक बार हो जाने पर, सिंघाड़ा को"&amp;" बाहर निकालें और काली त्वचा को छील लें और बीज को एक तरफ रख दें। उन्हें आधा काट लें। एक कड़ाही में थोड़ा तेल गर्म करें, उसमें जीरा, तेज पत्ता, लौंग और चक्र फूल डालें और इसे तड़कने दें। पके हुए सिंघाड़ा, स्वादानुसार नमक, हल्दी पाउडर और काली मिर्च पाउडर डाले"&amp;"ं। अच्छी तरह से मिल जाने तक भूनें। इसमें लगभग 2 मिनट का समय लगेगा। 2 मिनट के बाद, पके हुए चावल डालें और इसे धीरे से टॉस करें जब तक कि चावल समान रूप से लेपित न हो जाए और ऊपर से कुछ कटा हुआ धनिया छिड़क कर गरमागरम परोसें")</f>
        <v>सिंघाड़ा पुलाव रेसिपी (वाटर चेस्टनट राइस रेसिपी) बनाना शुरू करने के लिए, पके हुए चावल तैयार रखें। पानी के साथ सिंघाड़ा को कम से कम 8 सीटी तक पकाएं और इसे कुछ सेकंड के लिए आराम दें जब तक कि यह स्वाभाविक रूप से दबाव न छोड़ दे। एक बार हो जाने पर, सिंघाड़ा को बाहर निकालें और काली त्वचा को छील लें और बीज को एक तरफ रख दें। उन्हें आधा काट लें। एक कड़ाही में थोड़ा तेल गर्म करें, उसमें जीरा, तेज पत्ता, लौंग और चक्र फूल डालें और इसे तड़कने दें। पके हुए सिंघाड़ा, स्वादानुसार नमक, हल्दी पाउडर और काली मिर्च पाउडर डालें। अच्छी तरह से मिल जाने तक भूनें। इसमें लगभग 2 मिनट का समय लगेगा। 2 मिनट के बाद, पके हुए चावल डालें और इसे धीरे से टॉस करें जब तक कि चावल समान रूप से लेपित न हो जाए और ऊपर से कुछ कटा हुआ धनिया छिड़क कर गरमागरम परोसें</v>
      </c>
      <c r="J670" s="3" t="s">
        <v>33664</v>
      </c>
      <c r="L670" s="1" t="s">
        <v>31003</v>
      </c>
    </row>
    <row r="671" spans="1:12" ht="13.8">
      <c r="A671" s="1" t="s">
        <v>32008</v>
      </c>
      <c r="B671" s="1" t="str">
        <f ca="1">IFERROR(__xludf.dummyfunction("IF(A671="""", """", GOOGLETRANSLATE(A671, ""en"", ""hi""))"),"लहसुनी पुदीना चटनी रेसिपी")</f>
        <v>लहसुनी पुदीना चटनी रेसिपी</v>
      </c>
      <c r="C671" s="1" t="s">
        <v>14207</v>
      </c>
      <c r="D671" s="1" t="s">
        <v>14198</v>
      </c>
      <c r="E671" s="1">
        <v>45</v>
      </c>
      <c r="F671" s="1" t="s">
        <v>33665</v>
      </c>
      <c r="G671" s="1" t="str">
        <f ca="1">IFERROR(__xludf.dummyfunction("IF(F671="""", """", GOOGLETRANSLATE(F671, ""en"", ""hi""))"),"2 कप पुदीना - कटा हुआ, 3 लहसुन की कलियाँ, 1 इंच अदरक - कटा हुआ, 1 हरी मिर्च - कटी हुई, 1 बड़ा चम्मच मूंगफली, नमक - स्वादानुसार, 1 छोटा चम्मच चीनी, 3/4 छोटा चम्मच नींबू का रस")</f>
        <v>2 कप पुदीना - कटा हुआ, 3 लहसुन की कलियाँ, 1 इंच अदरक - कटा हुआ, 1 हरी मिर्च - कटी हुई, 1 बड़ा चम्मच मूंगफली, नमक - स्वादानुसार, 1 छोटा चम्मच चीनी, 3/4 छोटा चम्मच नींबू का रस</v>
      </c>
      <c r="H671" s="1" t="s">
        <v>33666</v>
      </c>
      <c r="I671" s="1" t="str">
        <f ca="1">IFERROR(__xludf.dummyfunction("IF(H671="""", """", GOOGLETRANSLATE(H671, ""en"", ""hi""))"),"""लहसुन पुदीना चटनी रेसिपी बनाने के लिए सबसे पहले एक मिक्सर ग्राइंडर लें और उसमें पुदीना, लहसुन, अदरक, हरी मिर्च, मूंगफली, नमक, चीनी, नींबू का रस डालकर पीस लें। अब इसमें थोड़ा पानी डालें और फिर से पीस लें। बहुत अधिक पानी न डालें, हमें गाढ़ी चटनी चाहिए इसल"&amp;"िए थोड़ा पानी डालें। इसे एक कटोरे में निकालें और परोसें। लहसुन पुदीना चटनी रेसिपी को आलू पराठा और तड़का रायता के साथ रात के खाने में परोसें।""")</f>
        <v>"लहसुन पुदीना चटनी रेसिपी बनाने के लिए सबसे पहले एक मिक्सर ग्राइंडर लें और उसमें पुदीना, लहसुन, अदरक, हरी मिर्च, मूंगफली, नमक, चीनी, नींबू का रस डालकर पीस लें। अब इसमें थोड़ा पानी डालें और फिर से पीस लें। बहुत अधिक पानी न डालें, हमें गाढ़ी चटनी चाहिए इसलिए थोड़ा पानी डालें। इसे एक कटोरे में निकालें और परोसें। लहसुन पुदीना चटनी रेसिपी को आलू पराठा और तड़का रायता के साथ रात के खाने में परोसें।"</v>
      </c>
      <c r="J671" s="3" t="s">
        <v>33667</v>
      </c>
      <c r="L671" s="1" t="s">
        <v>31003</v>
      </c>
    </row>
    <row r="672" spans="1:12" ht="13.8">
      <c r="A672" s="1" t="s">
        <v>33668</v>
      </c>
      <c r="B672" s="1" t="str">
        <f ca="1">IFERROR(__xludf.dummyfunction("IF(A672="""", """", GOOGLETRANSLATE(A672, ""en"", ""hi""))"),"पालक और मूंग दाल पकोड़ा")</f>
        <v>पालक और मूंग दाल पकोड़ा</v>
      </c>
      <c r="C672" s="1" t="s">
        <v>14281</v>
      </c>
      <c r="D672" s="1" t="s">
        <v>14237</v>
      </c>
      <c r="E672" s="1">
        <v>35</v>
      </c>
      <c r="F672" s="1" t="s">
        <v>33669</v>
      </c>
      <c r="G672" s="1" t="str">
        <f ca="1">IFERROR(__xludf.dummyfunction("IF(F672="""", """", GOOGLETRANSLATE(F672, ""en"", ""hi""))"),"1 कप हरी मूंग दाल - 2 घंटे भिगोएं, 1 कप पालक - बारीक कटा हुआ, 1 प्याज - बारीक कटा हुआ, 1 हरी मिर्च - बारीक कटी हुई, 1 चम्मच अजवाइन, 1 बड़ा चम्मच धनिया के बीज - पीस लें, 1/2 चम्मच लाल मिर्च पाउडर, 1/2 चम्मच गरम मसाला पाउडर, 1/4 चम्मच हल्दी पाउडर, 1/2 चम्मच"&amp;" जीरा पाउडर, 1 चम्मच नींबू का रस, नमक - स्वादानुसार, तेल - तलने के लिए")</f>
        <v>1 कप हरी मूंग दाल - 2 घंटे भिगोएं, 1 कप पालक - बारीक कटा हुआ, 1 प्याज - बारीक कटा हुआ, 1 हरी मिर्च - बारीक कटी हुई, 1 चम्मच अजवाइन, 1 बड़ा चम्मच धनिया के बीज - पीस लें, 1/2 चम्मच लाल मिर्च पाउडर, 1/2 चम्मच गरम मसाला पाउडर, 1/4 चम्मच हल्दी पाउडर, 1/2 चम्मच जीरा पाउडर, 1 चम्मच नींबू का रस, नमक - स्वादानुसार, तेल - तलने के लिए</v>
      </c>
      <c r="H672" s="1" t="s">
        <v>33670</v>
      </c>
      <c r="I672" s="1" t="str">
        <f ca="1">IFERROR(__xludf.dummyfunction("IF(H672="""", """", GOOGLETRANSLATE(H672, ""en"", ""hi""))"),"पालक और मूंग दाल के पकौड़े बनाने के लिए सबसे पहले मूंग दाल को धोकर 2 घंटे के लिए पानी में भिगो दें। भिगोने के बाद इसे मिक्सर ग्राइंडर में डालकर पेस्ट बना लें। इसे एक बाउल में निकाल लें। अब इस मिश्रण को व्हिस्क की मदद से कुछ देर तक अच्छे से फेंटें। अब इसमे"&amp;"ं पालक, प्याज़, हरी मिर्च, अजवाइन, धनिया के बीज, लाल मिर्च पाउडर, गरम मसाला पाउडर, हल्दी पाउडर, जीरा पाउडर, नमक डालकर अच्छे से मिलाएँ। एक पैन में तेल गर्म करें। तेल गर्म होने के बाद इसमें मिश्रण से बने पकौड़े डालें। इसे 2 मिनट तक पकने दें। एक तरफ से पकने "&amp;"के बाद पकौड़ों को दूसरी तरफ पलट दें और गोल्डन ब्राउन होने तक पकाएँ। पकौड़ों को किचन टॉवल पर निकाल लें ताकि अतिरिक्त तेल निकल जाए। गरमागरम परोसें। शाम के नाश्ते के लिए पालक और मूंग दाल के पकौड़े को इमली की चटनी और मसाला चाय के साथ परोसें।")</f>
        <v>पालक और मूंग दाल के पकौड़े बनाने के लिए सबसे पहले मूंग दाल को धोकर 2 घंटे के लिए पानी में भिगो दें। भिगोने के बाद इसे मिक्सर ग्राइंडर में डालकर पेस्ट बना लें। इसे एक बाउल में निकाल लें। अब इस मिश्रण को व्हिस्क की मदद से कुछ देर तक अच्छे से फेंटें। अब इसमें पालक, प्याज़, हरी मिर्च, अजवाइन, धनिया के बीज, लाल मिर्च पाउडर, गरम मसाला पाउडर, हल्दी पाउडर, जीरा पाउडर, नमक डालकर अच्छे से मिलाएँ। एक पैन में तेल गर्म करें। तेल गर्म होने के बाद इसमें मिश्रण से बने पकौड़े डालें। इसे 2 मिनट तक पकने दें। एक तरफ से पकने के बाद पकौड़ों को दूसरी तरफ पलट दें और गोल्डन ब्राउन होने तक पकाएँ। पकौड़ों को किचन टॉवल पर निकाल लें ताकि अतिरिक्त तेल निकल जाए। गरमागरम परोसें। शाम के नाश्ते के लिए पालक और मूंग दाल के पकौड़े को इमली की चटनी और मसाला चाय के साथ परोसें।</v>
      </c>
      <c r="J672" s="3" t="s">
        <v>33671</v>
      </c>
      <c r="L672" s="1" t="s">
        <v>31003</v>
      </c>
    </row>
    <row r="673" spans="1:12" ht="13.8">
      <c r="A673" s="1" t="s">
        <v>33672</v>
      </c>
      <c r="B673" s="1" t="str">
        <f ca="1">IFERROR(__xludf.dummyfunction("IF(A673="""", """", GOOGLETRANSLATE(A673, ""en"", ""hi""))"),"भिन्डी मसाला रेसिपी")</f>
        <v>भिन्डी मसाला रेसिपी</v>
      </c>
      <c r="C673" s="1" t="s">
        <v>14207</v>
      </c>
      <c r="D673" s="1" t="s">
        <v>14198</v>
      </c>
      <c r="E673" s="1">
        <v>35</v>
      </c>
      <c r="F673" s="1" t="s">
        <v>33673</v>
      </c>
      <c r="G673" s="1" t="str">
        <f ca="1">IFERROR(__xludf.dummyfunction("IF(F673="""", """", GOOGLETRANSLATE(F673, ""en"", ""hi""))"),"350 ग्राम भिंडी, 1 प्याज - पतले कटे हुए, 2 टमाटर - बारीक कटे हुए, 1 चम्मच हल्दी पाउडर, 1 चम्मच धनिया पाउडर, 1 चम्मच लाल मिर्च पाउडर, नमक - स्वादानुसार")</f>
        <v>350 ग्राम भिंडी, 1 प्याज - पतले कटे हुए, 2 टमाटर - बारीक कटे हुए, 1 चम्मच हल्दी पाउडर, 1 चम्मच धनिया पाउडर, 1 चम्मच लाल मिर्च पाउडर, नमक - स्वादानुसार</v>
      </c>
      <c r="H673" s="1" t="s">
        <v>33674</v>
      </c>
      <c r="I673" s="1" t="str">
        <f ca="1">IFERROR(__xludf.dummyfunction("IF(H673="""", """", GOOGLETRANSLATE(H673, ""en"", ""hi""))"),"""भिंडी मसाला रेसिपी बनाने के लिए सबसे पहले भिंडी के किनारे काट कर पतले 1 इंच के स्लाइस में काट लें। एक पैन में तेल गर्म करें। इसमें प्याज़ डालें और प्याज़ के नरम होने तक पकाएँ। इसमें भिंडी, नमक डालें और भिंडी के नरम होने तक पकाएँ। इसमें कम से कम 10 मिनट "&amp;"का समय लगेगा। 10 मिनट बाद टमाटर डालें और टमाटर के नरम होने तक पकाएँ। टमाटर के नरम होने के बाद हल्दी पाउडर, लाल मिर्च पाउडर, धनिया पाउडर, नमक डालें और अच्छी तरह मिलाएँ। अच्छी तरह मिलाएँ और 3 से 4 मिनट तक पकाएँ। गैस बंद कर दें और परोसें। भिंडी मसाला रेसिपी "&amp;"को पंचमेल दाल, लौकी रायता और फुल्के के साथ लंच में परोसें।""")</f>
        <v>"भिंडी मसाला रेसिपी बनाने के लिए सबसे पहले भिंडी के किनारे काट कर पतले 1 इंच के स्लाइस में काट लें। एक पैन में तेल गर्म करें। इसमें प्याज़ डालें और प्याज़ के नरम होने तक पकाएँ। इसमें भिंडी, नमक डालें और भिंडी के नरम होने तक पकाएँ। इसमें कम से कम 10 मिनट का समय लगेगा। 10 मिनट बाद टमाटर डालें और टमाटर के नरम होने तक पकाएँ। टमाटर के नरम होने के बाद हल्दी पाउडर, लाल मिर्च पाउडर, धनिया पाउडर, नमक डालें और अच्छी तरह मिलाएँ। अच्छी तरह मिलाएँ और 3 से 4 मिनट तक पकाएँ। गैस बंद कर दें और परोसें। भिंडी मसाला रेसिपी को पंचमेल दाल, लौकी रायता और फुल्के के साथ लंच में परोसें।"</v>
      </c>
      <c r="J673" s="3" t="s">
        <v>33675</v>
      </c>
      <c r="L673" s="1" t="s">
        <v>31003</v>
      </c>
    </row>
    <row r="674" spans="1:12" ht="409.6">
      <c r="A674" s="1" t="s">
        <v>33676</v>
      </c>
      <c r="B674" s="1" t="str">
        <f ca="1">IFERROR(__xludf.dummyfunction("IF(A674="""", """", GOOGLETRANSLATE(A674, ""en"", ""hi""))"),"पालक फॉक्सटेल बाजरा ढोकला रेसिपी")</f>
        <v>पालक फॉक्सटेल बाजरा ढोकला रेसिपी</v>
      </c>
      <c r="C674" s="1" t="s">
        <v>16424</v>
      </c>
      <c r="D674" s="1" t="s">
        <v>14198</v>
      </c>
      <c r="E674" s="1">
        <v>65</v>
      </c>
      <c r="F674" s="1" t="s">
        <v>33677</v>
      </c>
      <c r="G674" s="1" t="str">
        <f ca="1">IFERROR(__xludf.dummyfunction("IF(F674="""", """", GOOGLETRANSLATE(F674, ""en"", ""hi""))"),"1 कप बाजरा - पिसा हुआ, 1 कप बेसन, 1 कप दही, 1 छोटा चम्मच इनोस फ्रूट सॉल्ट - या 1/2 छोटा चम्मच बेकिंग पाउडर, 1 बड़ा चम्मच सूरजमुखी तेल, 1 छोटा चम्मच सूरजमुखी तेल - मसाले के लिए, 1 टहनी करी पत्ता - बारीक कटा हुआ, 1 छोटा चम्मच सरसों के बीज, 1 बड़ा चम्मच तिल "&amp;"के बीज, 2 टहनी धनिया - बारीक कटा हुआ, नमक - स्वादानुसार, 2 कप पालक, 1 हरी मिर्च, 1 इंच अदरक, 1 छोटा चम्मच जीरा")</f>
        <v>1 कप बाजरा - पिसा हुआ, 1 कप बेसन, 1 कप दही, 1 छोटा चम्मच इनोस फ्रूट सॉल्ट - या 1/2 छोटा चम्मच बेकिंग पाउडर, 1 बड़ा चम्मच सूरजमुखी तेल, 1 छोटा चम्मच सूरजमुखी तेल - मसाले के लिए, 1 टहनी करी पत्ता - बारीक कटा हुआ, 1 छोटा चम्मच सरसों के बीज, 1 बड़ा चम्मच तिल के बीज, 2 टहनी धनिया - बारीक कटा हुआ, नमक - स्वादानुसार, 2 कप पालक, 1 हरी मिर्च, 1 इंच अदरक, 1 छोटा चम्मच जीरा</v>
      </c>
      <c r="H674" s="4" t="s">
        <v>33678</v>
      </c>
      <c r="I674" s="1" t="str">
        <f ca="1">IFERROR(__xludf.dummyfunction("IF(H674="""", """", GOOGLETRANSLATE(H674, ""en"", ""hi""))"),"पालक फॉक्सटेल मिलेट ढोकला रेसिपी बनाने के लिए सबसे पहले एक ढोकला स्टीमर तैयार करें, उसमें पानी भरें और ढोकला प्लेटों को चिकना कर लें। एक तरफ रख दें। पालक, जीरा, हरी मिर्च और अदरक को मिक्सर में पीस लें और इसमें थोड़ा पानी मिलाकर मुलायम प्यूरी बना लें। एक ब"&amp;"ड़े कटोरे में फॉक्सटेल मिलेट का आटा, बेसन, पालक प्यूरी, दही और थोड़ा नमक मिलाएं। थोड़ा-थोड़ा पानी डालकर गाढ़ा घोल (लगभग 1- 1/2 कप) बना लें। मिश्रण को 5 मिनट के लिए रख दें। इसमें एनोस फ्रूट सॉल्ट मिलाएं और ढोकला घोल को चिकनी की हुई ढोकला प्लेटों में डालें।"&amp;" एक स्टीमर में पानी डालकर गरम करें और ढोकला घोल को भाप में पकाने के लिए रख दें। तेज आंच पर लगभग 10 मिनट तक भाप में पकाएं जब तक कि बीच में डाली गई टूथपिक साफ बाहर न आ जाए। भाप में पक जाने के बाद, पालक फॉक्सटेल मिलेट ढोकला को स्टीमर से निकालें और 5 मिनट के "&amp;"लिए एक तरफ रख दें। तड़का पैन में तेल गरम करें; इसमें सरसों के बीज, तिल और करी पत्ता डालें और इसे चटकने दें। आंच बंद कर दें और ढोकले पर मसाला डालें और उन्हें चौकोर या हीरे के आकार में काट लें। रागी रवा ढोकला रेसिपी को हरी चटनी और इडली मिलागई पोडी के साथ पर"&amp;"ोसें। मैं इसे स्कूल के लंच बॉक्स में भी भेजती हूँ और बच्चे इसे बहुत पसंद करते हैं।")</f>
        <v>पालक फॉक्सटेल मिलेट ढोकला रेसिपी बनाने के लिए सबसे पहले एक ढोकला स्टीमर तैयार करें, उसमें पानी भरें और ढोकला प्लेटों को चिकना कर लें। एक तरफ रख दें। पालक, जीरा, हरी मिर्च और अदरक को मिक्सर में पीस लें और इसमें थोड़ा पानी मिलाकर मुलायम प्यूरी बना लें। एक बड़े कटोरे में फॉक्सटेल मिलेट का आटा, बेसन, पालक प्यूरी, दही और थोड़ा नमक मिलाएं। थोड़ा-थोड़ा पानी डालकर गाढ़ा घोल (लगभग 1- 1/2 कप) बना लें। मिश्रण को 5 मिनट के लिए रख दें। इसमें एनोस फ्रूट सॉल्ट मिलाएं और ढोकला घोल को चिकनी की हुई ढोकला प्लेटों में डालें। एक स्टीमर में पानी डालकर गरम करें और ढोकला घोल को भाप में पकाने के लिए रख दें। तेज आंच पर लगभग 10 मिनट तक भाप में पकाएं जब तक कि बीच में डाली गई टूथपिक साफ बाहर न आ जाए। भाप में पक जाने के बाद, पालक फॉक्सटेल मिलेट ढोकला को स्टीमर से निकालें और 5 मिनट के लिए एक तरफ रख दें। तड़का पैन में तेल गरम करें; इसमें सरसों के बीज, तिल और करी पत्ता डालें और इसे चटकने दें। आंच बंद कर दें और ढोकले पर मसाला डालें और उन्हें चौकोर या हीरे के आकार में काट लें। रागी रवा ढोकला रेसिपी को हरी चटनी और इडली मिलागई पोडी के साथ परोसें। मैं इसे स्कूल के लंच बॉक्स में भी भेजती हूँ और बच्चे इसे बहुत पसंद करते हैं।</v>
      </c>
      <c r="J674" s="3" t="s">
        <v>33679</v>
      </c>
      <c r="L674" s="1" t="s">
        <v>31003</v>
      </c>
    </row>
    <row r="675" spans="1:12" ht="409.6">
      <c r="A675" s="1" t="s">
        <v>33680</v>
      </c>
      <c r="B675" s="1" t="str">
        <f ca="1">IFERROR(__xludf.dummyfunction("IF(A675="""", """", GOOGLETRANSLATE(A675, ""en"", ""hi""))"),"हरा चना मसाला रेसिपी")</f>
        <v>हरा चना मसाला रेसिपी</v>
      </c>
      <c r="C675" s="1" t="s">
        <v>145</v>
      </c>
      <c r="D675" s="1" t="s">
        <v>14198</v>
      </c>
      <c r="E675" s="1">
        <v>50</v>
      </c>
      <c r="F675" s="1" t="s">
        <v>33681</v>
      </c>
      <c r="G675" s="1" t="str">
        <f ca="1">IFERROR(__xludf.dummyfunction("IF(F675="""", """", GOOGLETRANSLATE(F675, ""en"", ""hi""))"),"200 ग्राम हरा चना - रातभर भिगोया हुआ, 1 प्याज - बारीक कटा हुआ, 1 टमाटर - बारीक कटा हुआ, 1 दालचीनी, 2 चम्मच धनिया पाउडर, 1 चम्मच लाल मिर्च पाउडर, 1 चम्मच गरम मसाला पाउडर, 2 चम्मच घी, 2 चम्मच धनिया पत्ते - बारीक कटा हुआ, नमक - स्वादानुसार, 2 इंच अदरक, 5 लहस"&amp;"ुन के टुकड़े, 1 हरी मिर्च, 1 इंच दालचीनी, 3 लौंग")</f>
        <v>200 ग्राम हरा चना - रातभर भिगोया हुआ, 1 प्याज - बारीक कटा हुआ, 1 टमाटर - बारीक कटा हुआ, 1 दालचीनी, 2 चम्मच धनिया पाउडर, 1 चम्मच लाल मिर्च पाउडर, 1 चम्मच गरम मसाला पाउडर, 2 चम्मच घी, 2 चम्मच धनिया पत्ते - बारीक कटा हुआ, नमक - स्वादानुसार, 2 इंच अदरक, 5 लहसुन के टुकड़े, 1 हरी मिर्च, 1 इंच दालचीनी, 3 लौंग</v>
      </c>
      <c r="H675" s="4" t="s">
        <v>33682</v>
      </c>
      <c r="I675" s="4" t="str">
        <f ca="1">IFERROR(__xludf.dummyfunction("IF(H675="""", """", GOOGLETRANSLATE(H675, ""en"", ""hi""))"),"हरा चना मसाला रेसिपी बनाने के लिए, सूखे हरे छोले को रात भर भिगो दें और सुबह इसे नमक के साथ प्रेशर कुकर में 3 सीटी आने तक पकाएं और एक तरफ रख दें। अब, 'एक चिकने पेस्ट में पीसने के लिए' तालिका में बताई गई सामग्री को हैंड मिक्सर या ब्लेंडर का उपयोग करके थोड़ा"&amp;" पानी डालकर पीस लें और एक तरफ रख दें। धीमी आंच पर एक भारी तले की कड़ाही में हरा चना गर्म करें, उसमें दालचीनी और बारीक कटा प्याज डालें और तब तक भूनें जब तक वह पारभासी न हो जाए। पीसा हुआ मसाला पेस्ट डालें और तब तक भूनें जब तक कि अदरक-लहसुन की कच्ची महक न चल"&amp;"ी जाए। बारीक कटे टमाटर डालें और तब तक पकाएं जब तक वह नरम और गूदेदार न हो जाए। अब मसाला पाउडर - धनिया, मिर्च और गरम मसाला पाउडर डालें और तब तक पकाएं जब तक कि पूरा मिश्रण एक साथ न आ जाए और तेल अलग न हो जाए।
")</f>
        <v xml:space="preserve">हरा चना मसाला रेसिपी बनाने के लिए, सूखे हरे छोले को रात भर भिगो दें और सुबह इसे नमक के साथ प्रेशर कुकर में 3 सीटी आने तक पकाएं और एक तरफ रख दें। अब, 'एक चिकने पेस्ट में पीसने के लिए' तालिका में बताई गई सामग्री को हैंड मिक्सर या ब्लेंडर का उपयोग करके थोड़ा पानी डालकर पीस लें और एक तरफ रख दें। धीमी आंच पर एक भारी तले की कड़ाही में हरा चना गर्म करें, उसमें दालचीनी और बारीक कटा प्याज डालें और तब तक भूनें जब तक वह पारभासी न हो जाए। पीसा हुआ मसाला पेस्ट डालें और तब तक भूनें जब तक कि अदरक-लहसुन की कच्ची महक न चली जाए। बारीक कटे टमाटर डालें और तब तक पकाएं जब तक वह नरम और गूदेदार न हो जाए। अब मसाला पाउडर - धनिया, मिर्च और गरम मसाला पाउडर डालें और तब तक पकाएं जब तक कि पूरा मिश्रण एक साथ न आ जाए और तेल अलग न हो जाए।
</v>
      </c>
      <c r="J675" s="3" t="s">
        <v>33683</v>
      </c>
      <c r="L675" s="1" t="s">
        <v>31003</v>
      </c>
    </row>
    <row r="676" spans="1:12" ht="13.8">
      <c r="A676" s="1" t="s">
        <v>33684</v>
      </c>
      <c r="B676" s="1" t="str">
        <f ca="1">IFERROR(__xludf.dummyfunction("IF(A676="""", """", GOOGLETRANSLATE(A676, ""en"", ""hi""))"),"बेसन के लड्डू रेसिपी")</f>
        <v>बेसन के लड्डू रेसिपी</v>
      </c>
      <c r="C676" s="1" t="s">
        <v>8417</v>
      </c>
      <c r="D676" s="1" t="s">
        <v>14198</v>
      </c>
      <c r="E676" s="1">
        <v>50</v>
      </c>
      <c r="F676" s="1" t="s">
        <v>33685</v>
      </c>
      <c r="G676" s="1" t="str">
        <f ca="1">IFERROR(__xludf.dummyfunction("IF(F676="""", """", GOOGLETRANSLATE(F676, ""en"", ""hi""))"),"1-1/2 कप बेसन, चीनी - (आवश्यकतानुसार पिसी हुई), 2 बड़े चम्मच बादाम, 2 बड़े चम्मच पिस्ता, 1 बड़ा चम्मच चिरौंजी, 1 बड़ा चम्मच खरबूजे के बीज, 1/2 कप मखाने, 1/4 कप ताजा नारियल - कसा हुआ, 1-1/2 कप घी, 6 इलायची की फली/बीज, 2 बड़े चम्मच काजू")</f>
        <v>1-1/2 कप बेसन, चीनी - (आवश्यकतानुसार पिसी हुई), 2 बड़े चम्मच बादाम, 2 बड़े चम्मच पिस्ता, 1 बड़ा चम्मच चिरौंजी, 1 बड़ा चम्मच खरबूजे के बीज, 1/2 कप मखाने, 1/4 कप ताजा नारियल - कसा हुआ, 1-1/2 कप घी, 6 इलायची की फली/बीज, 2 बड़े चम्मच काजू</v>
      </c>
      <c r="H676" s="1" t="s">
        <v>33686</v>
      </c>
      <c r="I676" s="1" t="str">
        <f ca="1">IFERROR(__xludf.dummyfunction("IF(H676="""", """", GOOGLETRANSLATE(H676, ""en"", ""hi""))"),"बेसन के लड्डू बनाने के लिए सबसे पहले एक मोटे तले वाले पैन में 1 बड़ा चम्मच घी गर्म करें, उसमें काजू और बादाम डालकर सुनहरा भूरा होने तक भून लें और एक तरफ रख दें। उसी पैन में 2 बड़े चम्मच घी गर्म करें। इसमें मखाने डालकर कुरकुरे होने तक भून लें। इसी तरह 1 बड"&amp;"़ा चम्मच घी डालकर पिस्ता, खरबूजा, चिरौंजी के बीज और कसा हुआ नारियल भून लें और एक तरफ रख दें। इन्हें ठंडा होने दें और फिर ग्राइंडर में दरदरा पीस लें (चिरौंजी और खरबूजे के बीज को छोड़कर)। अब एक भारी तले वाले पैन या कढ़ाई में बचा हुआ घी गर्म करें। इसमें बेसन"&amp;" डालें और इसे मध्यम आंच पर (लगातार हिलाते हुए) तब तक भूनें जब तक आपको इसमें से अच्छी खुशबू न आने लगे जब मिश्रण इतना गरम हो जाए कि आप उसे संभाल सकें, तो मिश्रण में से थोड़ा सा मिश्रण अपने हाथों में लें और मिश्रण से मध्यम आकार के बेसन के लड्डू (छोटी गेंदों "&amp;"की तरह) बनाएं। स्वादिष्ट बेसन के लड्डू तैयार हैं। खरबूजे के बीज या अपनी पसंद के अनुसार सजाएँ। बेसन के लड्डू को तुरंत परोसें या एयरटाइट कंटेनर में स्टोर करें। अपने स्वादिष्ट भोजन के बाद बेसन के लड्डू को मीठे व्यंजन के रूप में परोसें।")</f>
        <v>बेसन के लड्डू बनाने के लिए सबसे पहले एक मोटे तले वाले पैन में 1 बड़ा चम्मच घी गर्म करें, उसमें काजू और बादाम डालकर सुनहरा भूरा होने तक भून लें और एक तरफ रख दें। उसी पैन में 2 बड़े चम्मच घी गर्म करें। इसमें मखाने डालकर कुरकुरे होने तक भून लें। इसी तरह 1 बड़ा चम्मच घी डालकर पिस्ता, खरबूजा, चिरौंजी के बीज और कसा हुआ नारियल भून लें और एक तरफ रख दें। इन्हें ठंडा होने दें और फिर ग्राइंडर में दरदरा पीस लें (चिरौंजी और खरबूजे के बीज को छोड़कर)। अब एक भारी तले वाले पैन या कढ़ाई में बचा हुआ घी गर्म करें। इसमें बेसन डालें और इसे मध्यम आंच पर (लगातार हिलाते हुए) तब तक भूनें जब तक आपको इसमें से अच्छी खुशबू न आने लगे जब मिश्रण इतना गरम हो जाए कि आप उसे संभाल सकें, तो मिश्रण में से थोड़ा सा मिश्रण अपने हाथों में लें और मिश्रण से मध्यम आकार के बेसन के लड्डू (छोटी गेंदों की तरह) बनाएं। स्वादिष्ट बेसन के लड्डू तैयार हैं। खरबूजे के बीज या अपनी पसंद के अनुसार सजाएँ। बेसन के लड्डू को तुरंत परोसें या एयरटाइट कंटेनर में स्टोर करें। अपने स्वादिष्ट भोजन के बाद बेसन के लड्डू को मीठे व्यंजन के रूप में परोसें।</v>
      </c>
      <c r="J676" s="3" t="s">
        <v>33687</v>
      </c>
      <c r="L676" s="1" t="s">
        <v>31003</v>
      </c>
    </row>
    <row r="677" spans="1:12" ht="409.6">
      <c r="A677" s="1" t="s">
        <v>33688</v>
      </c>
      <c r="B677" s="1" t="str">
        <f ca="1">IFERROR(__xludf.dummyfunction("IF(A677="""", """", GOOGLETRANSLATE(A677, ""en"", ""hi""))"),"खट्टी मीठी मूली की सब्जी रेसिपी-मीठी और तीखी मूली की सूखी रेसिपी")</f>
        <v>खट्टी मीठी मूली की सब्जी रेसिपी-मीठी और तीखी मूली की सूखी रेसिपी</v>
      </c>
      <c r="C677" s="1" t="s">
        <v>145</v>
      </c>
      <c r="D677" s="1" t="s">
        <v>14198</v>
      </c>
      <c r="E677" s="1">
        <v>45</v>
      </c>
      <c r="F677" s="1" t="s">
        <v>33689</v>
      </c>
      <c r="G677" s="1" t="str">
        <f ca="1">IFERROR(__xludf.dummyfunction("IF(F677="""", """", GOOGLETRANSLATE(F677, ""en"", ""hi""))"),"3 मूली - कटी हुई, 1 टहनी करी पत्ता, 1 चम्मच अजवाइन, 1 चम्मच सौंफ, 1 प्याज - बारीक कटा हुआ, 4 लहसुन - बारीक कटा हुआ, 3 सूखी लाल मिर्च, 1 बड़ा चम्मच गुड़, 1 चम्मच धनिया पाउडर, 1/2 चम्मच लाल मिर्च पाउडर, 1 चम्मच आमचूर, नमक - स्वादानुसार")</f>
        <v>3 मूली - कटी हुई, 1 टहनी करी पत्ता, 1 चम्मच अजवाइन, 1 चम्मच सौंफ, 1 प्याज - बारीक कटा हुआ, 4 लहसुन - बारीक कटा हुआ, 3 सूखी लाल मिर्च, 1 बड़ा चम्मच गुड़, 1 चम्मच धनिया पाउडर, 1/2 चम्मच लाल मिर्च पाउडर, 1 चम्मच आमचूर, नमक - स्वादानुसार</v>
      </c>
      <c r="H677" s="4" t="s">
        <v>33690</v>
      </c>
      <c r="I677" s="1" t="str">
        <f ca="1">IFERROR(__xludf.dummyfunction("IF(H677="""", """", GOOGLETRANSLATE(H677, ""en"", ""hi""))"),"खट्टी मीठी मूली की सब्ज़ी बनाने के लिए सबसे पहले सभी सामग्री तैयार कर लें और उन्हें एक तरफ़ रख दें। मध्यम आँच पर प्रेशर कुकर में तेल गरम करें, सौंफ़ के बीज, अजवाइन, करी पत्ता और लाल मिर्च को चटकाएँ। बीज चटकने के बाद प्याज़ और लहसुन डालें और प्याज़ के सुनह"&amp;"रे भूरे होने तक भूनें। प्याज़ के अच्छी तरह भुन जाने के बाद, मूली और बाकी सामग्री जैसे लाल मिर्च पाउडर, धनिया पाउडर और अमचूर पाउडर और गुड़ डालकर चलाएँ। 1/4 कप पानी डालें, प्रेशर कुकर को ढक दें और दो सीटी आने तक पकाएँ। आंच बंद कर दें और प्रेशर को स्वाभाविक "&amp;"रूप से निकलने दें। कुकर खोलें और खट्टी मीठी मूली की सब्जी को चलाएँ और नमक की जाँच करें और तदनुसार समायोजित करें। एक बार हो जाने पर, खट्टी मीठी मूली की सब्जी को एक सर्विंग डिश में डालें और गर्म परोसें। खट्टी मीठी मूली की सब्जी रेसिपी को दाल पालक रेसिपी और "&amp;"उबले हुए चावल या मालाबारी परोटा बिना अंडे की रेसिपी के साथ रात के खाने या यहाँ तक कि एक आरामदायक सप्ताहांत के दोपहर के भोजन के लिए परोसें।")</f>
        <v>खट्टी मीठी मूली की सब्ज़ी बनाने के लिए सबसे पहले सभी सामग्री तैयार कर लें और उन्हें एक तरफ़ रख दें। मध्यम आँच पर प्रेशर कुकर में तेल गरम करें, सौंफ़ के बीज, अजवाइन, करी पत्ता और लाल मिर्च को चटकाएँ। बीज चटकने के बाद प्याज़ और लहसुन डालें और प्याज़ के सुनहरे भूरे होने तक भूनें। प्याज़ के अच्छी तरह भुन जाने के बाद, मूली और बाकी सामग्री जैसे लाल मिर्च पाउडर, धनिया पाउडर और अमचूर पाउडर और गुड़ डालकर चलाएँ। 1/4 कप पानी डालें, प्रेशर कुकर को ढक दें और दो सीटी आने तक पकाएँ। आंच बंद कर दें और प्रेशर को स्वाभाविक रूप से निकलने दें। कुकर खोलें और खट्टी मीठी मूली की सब्जी को चलाएँ और नमक की जाँच करें और तदनुसार समायोजित करें। एक बार हो जाने पर, खट्टी मीठी मूली की सब्जी को एक सर्विंग डिश में डालें और गर्म परोसें। खट्टी मीठी मूली की सब्जी रेसिपी को दाल पालक रेसिपी और उबले हुए चावल या मालाबारी परोटा बिना अंडे की रेसिपी के साथ रात के खाने या यहाँ तक कि एक आरामदायक सप्ताहांत के दोपहर के भोजन के लिए परोसें।</v>
      </c>
      <c r="J677" s="3" t="s">
        <v>33691</v>
      </c>
      <c r="L677" s="1" t="s">
        <v>31003</v>
      </c>
    </row>
    <row r="678" spans="1:12" ht="409.6">
      <c r="A678" s="1" t="s">
        <v>33692</v>
      </c>
      <c r="B678" s="1" t="str">
        <f ca="1">IFERROR(__xludf.dummyfunction("IF(A678="""", """", GOOGLETRANSLATE(A678, ""en"", ""hi""))"),"शाकाहारी छोले और ब्रोकोली करी रेसिपी")</f>
        <v>शाकाहारी छोले और ब्रोकोली करी रेसिपी</v>
      </c>
      <c r="C678" s="1" t="s">
        <v>145</v>
      </c>
      <c r="D678" s="1" t="s">
        <v>17937</v>
      </c>
      <c r="E678" s="1">
        <v>65</v>
      </c>
      <c r="F678" s="1" t="s">
        <v>33693</v>
      </c>
      <c r="G678" s="1" t="str">
        <f ca="1">IFERROR(__xludf.dummyfunction("IF(F678="""", """", GOOGLETRANSLATE(F678, ""en"", ""hi""))"),"1 बड़ा चम्मच सूरजमुखी तेल, 1 इंच दालचीनी, 2 लौंग, 1 कप काबुली चना, 1 कप ब्रोकली, 1 प्याज - कटा हुआ, 1 टमाटर - कटा हुआ, 1 चम्मच अदरक लहसुन पेस्ट, 1 चम्मच जीरा पाउडर, 1 चम्मच लाल मिर्च पाउडर, नमक - आवश्यकतानुसार, 1 कप पानी, धनिया पत्ती - मुट्ठी भर")</f>
        <v>1 बड़ा चम्मच सूरजमुखी तेल, 1 इंच दालचीनी, 2 लौंग, 1 कप काबुली चना, 1 कप ब्रोकली, 1 प्याज - कटा हुआ, 1 टमाटर - कटा हुआ, 1 चम्मच अदरक लहसुन पेस्ट, 1 चम्मच जीरा पाउडर, 1 चम्मच लाल मिर्च पाउडर, नमक - आवश्यकतानुसार, 1 कप पानी, धनिया पत्ती - मुट्ठी भर</v>
      </c>
      <c r="H678" s="4" t="s">
        <v>33694</v>
      </c>
      <c r="I678" s="1" t="str">
        <f ca="1">IFERROR(__xludf.dummyfunction("IF(H678="""", """", GOOGLETRANSLATE(H678, ""en"", ""hi""))"),"शाकाहारी छोले और ब्रोकली करी रेसिपी बनाने के लिए सबसे पहले छोले को लगभग एक घंटे के लिए पानी में भिगो दें। कुकर में छोले को लगभग 3 सीटी आने तक पकाएँ। 1/4 कप पके हुए छोले लें और उन्हें बारीक पीस लें। एक छोटी कड़ाही में तेल डालें और मध्यम आँच पर गर्म करें। त"&amp;"ेल गर्म होने पर इसमें दालचीनी और लौंग डालें। प्याज़ डालें और पारदर्शी होने तक पकाएँ। प्याज़ में अदरक लहसुन डालें और कच्ची महक जाने तक पकाएँ। कटे हुए टमाटर डालें और नरम होने तक पकाएँ। मिर्च पाउडर, जीरा पाउडर और नमक डालें। इन्हें अच्छी तरह मिलाएँ। पके हुए छ"&amp;"ोले और मसले हुए छोले पैन में डालें। एक कप पानी डालें और तेज़ आँच पर उबालें। आँच कम करें और ग्रेवी के गाढ़ा होने तक पकाएँ। एक बर्तन में पानी उबालें। उबलते पानी में ब्रोकली के फूल डालें और दो मिनट तक रहने दें। पानी निथार लें और फूलों को ठंडे पानी से धो लें।"&amp;" पानी को पूरी तरह से निथार लें और अलग रख दें। करी में ब्लांच की हुई ब्रोकली के फूल डालें और उन्हें अच्छी तरह से हिलाएँ। वैकल्पिक रूप से, आप ब्रोकली के फूलों को तेल में तल सकते हैं और तले हुए फूलों को करी में मिला सकते हैं। लगभग दो मिनट तक पकाएँ, आँच बंद क"&amp;"र दें और धनिया पत्ती से गार्निश करें। शाकाहारी छोले और ब्रोकली करी को टॉर्टिला के अंदर लपेटकर परोसें या सादे सफेद उबले चावल के साथ इसका आनंद लें।")</f>
        <v>शाकाहारी छोले और ब्रोकली करी रेसिपी बनाने के लिए सबसे पहले छोले को लगभग एक घंटे के लिए पानी में भिगो दें। कुकर में छोले को लगभग 3 सीटी आने तक पकाएँ। 1/4 कप पके हुए छोले लें और उन्हें बारीक पीस लें। एक छोटी कड़ाही में तेल डालें और मध्यम आँच पर गर्म करें। तेल गर्म होने पर इसमें दालचीनी और लौंग डालें। प्याज़ डालें और पारदर्शी होने तक पकाएँ। प्याज़ में अदरक लहसुन डालें और कच्ची महक जाने तक पकाएँ। कटे हुए टमाटर डालें और नरम होने तक पकाएँ। मिर्च पाउडर, जीरा पाउडर और नमक डालें। इन्हें अच्छी तरह मिलाएँ। पके हुए छोले और मसले हुए छोले पैन में डालें। एक कप पानी डालें और तेज़ आँच पर उबालें। आँच कम करें और ग्रेवी के गाढ़ा होने तक पकाएँ। एक बर्तन में पानी उबालें। उबलते पानी में ब्रोकली के फूल डालें और दो मिनट तक रहने दें। पानी निथार लें और फूलों को ठंडे पानी से धो लें। पानी को पूरी तरह से निथार लें और अलग रख दें। करी में ब्लांच की हुई ब्रोकली के फूल डालें और उन्हें अच्छी तरह से हिलाएँ। वैकल्पिक रूप से, आप ब्रोकली के फूलों को तेल में तल सकते हैं और तले हुए फूलों को करी में मिला सकते हैं। लगभग दो मिनट तक पकाएँ, आँच बंद कर दें और धनिया पत्ती से गार्निश करें। शाकाहारी छोले और ब्रोकली करी को टॉर्टिला के अंदर लपेटकर परोसें या सादे सफेद उबले चावल के साथ इसका आनंद लें।</v>
      </c>
      <c r="J678" s="3" t="s">
        <v>33695</v>
      </c>
      <c r="L678" s="1" t="s">
        <v>31003</v>
      </c>
    </row>
    <row r="679" spans="1:12" ht="13.8">
      <c r="A679" s="1" t="s">
        <v>33696</v>
      </c>
      <c r="B679" s="1" t="str">
        <f ca="1">IFERROR(__xludf.dummyfunction("IF(A679="""", """", GOOGLETRANSLATE(A679, ""en"", ""hi""))"),"पनीर कोफ्ता करी रेसिपी - नॉन फ्राइड")</f>
        <v>पनीर कोफ्ता करी रेसिपी - नॉन फ्राइड</v>
      </c>
      <c r="C679" s="1" t="s">
        <v>14207</v>
      </c>
      <c r="D679" s="1" t="s">
        <v>14198</v>
      </c>
      <c r="E679" s="1">
        <v>60</v>
      </c>
      <c r="F679" s="1" t="s">
        <v>33697</v>
      </c>
      <c r="G679" s="1" t="str">
        <f ca="1">IFERROR(__xludf.dummyfunction("IF(F679="""", """", GOOGLETRANSLATE(F679, ""en"", ""hi""))"),"250 ग्राम पनीर, 3 बड़े चम्मच मैदा, 1 चुटकी नमक, धनिया पत्ती - छोटा गुच्छा, 1 चम्मच जीरा, 1 अदरक - कसा हुआ, 1 बड़ा चम्मच शहद, 2 कप घर का बना टमाटर प्यूरी, 1 चम्मच धनिया पाउडर, 1/2 चम्मच गरम मसाला पाउडर, 1/4 चम्मच हल्दी पाउडर, 1/4 कप हंग कर्ड (ग्रीक योगर्ट)"&amp;" - (या क्रीम), कसूरी मेथी - गार्निश के लिए, नमक - स्वादानुसार, सूरजमुखी तेल - पकाने के लिए")</f>
        <v>250 ग्राम पनीर, 3 बड़े चम्मच मैदा, 1 चुटकी नमक, धनिया पत्ती - छोटा गुच्छा, 1 चम्मच जीरा, 1 अदरक - कसा हुआ, 1 बड़ा चम्मच शहद, 2 कप घर का बना टमाटर प्यूरी, 1 चम्मच धनिया पाउडर, 1/2 चम्मच गरम मसाला पाउडर, 1/4 चम्मच हल्दी पाउडर, 1/4 कप हंग कर्ड (ग्रीक योगर्ट) - (या क्रीम), कसूरी मेथी - गार्निश के लिए, नमक - स्वादानुसार, सूरजमुखी तेल - पकाने के लिए</v>
      </c>
      <c r="H679" s="1" t="s">
        <v>33698</v>
      </c>
      <c r="I679" s="1" t="str">
        <f ca="1">IFERROR(__xludf.dummyfunction("IF(H679="""", """", GOOGLETRANSLATE(H679, ""en"", ""hi""))"),"पनीर कोफ्ता बनाने की विधिकोफ्ते की सारी सामग्री को एक बाउल में मिला लें और पनीर का आटा गूंथने तक अच्छी तरह गूंथ लें। आटा सख्त और फिर भी इतना नरम होगा कि उससे बॉल्स बनाए जा सकें। हमारा अगला कदम उन्हें कुझी पनियारम पैन में बेक करना या पैन फ्राई करना है।ओवन "&amp;"विधिअगर आप कोफ्ते बेक करने की योजना बना रहे हैं; तो पनीर बॉल्स को एक चुपड़ी हुई बेकिंग शीट पर रखें। पनीर बॉल्स पर थोड़ा तेल लगाएं और पहले से गरम ओवन (200 डिग्री सेल्सियस) में कोफ्ते सुनहरे भूरे रंग के होने तक बेक करें। बेक होने के बाद कोफ्ते को ओवन से निक"&amp;"ालें और एक तरफ रख दें।कुझी पनियारम पैन विधिअगर आप कुझी पनियारम पैन का उपयोग करने की योजना बना रहे हैं; तो कोफ्ते बॉल्स को पैन की कैविटी में रखें; कोफ्ते पर थोड़ा तेल छिड़कें और उन्हें दोनों तरफ से सुनहरा भूरा होने तक पैन फ्राई करें कोफ्ते को बेक/पैन फ्राई"&amp;" करने के बाद हम करी बेस बनाने की प्रक्रिया शुरू करेंगे। कोफ्ता करी बनाने की विधि एक भारी तले वाले पैन में तेल गरम करें; इसमें कसा हुआ अदरक और शहद डालें, शहद में बुलबुले आने तक भूनें। टमाटर प्यूरी, हल्दी पाउडर, इलायची पाउडर, गरम मसाला पाउडर, नमक और मिर्च प"&amp;"ाउडर स्वादानुसार डालकर चलाएँ। मिश्रण को उबाल लें और टमाटर के पूरी तरह से पकने तक कुछ मिनट तक पकाएँ। अंत में क्रीम और कसूरी मेथी डालें और कोफ्ता करी में मिलाएँ। पैन में तले/बेक किए हुए पनीर कोफ्ता बॉल्स को करी में डालें, पैन को ढक दें और तब तक पकाएं जब तक "&amp;"कि करी और स्वाद कोफ्ते में समा न जाएं। नमक और मसाले के स्तर की जांच करना सुनिश्चित करें और अपने स्वाद के अनुसार समायोजित करें। पनीर कोफ्ता करी रेसिपी को गेहूं की नान रेसिपी या अंकुरित मूंग और मेथी पुलाव के साथ गाजर ककड़ी टमाटर सलाद के साथ परोसें।")</f>
        <v>पनीर कोफ्ता बनाने की विधिकोफ्ते की सारी सामग्री को एक बाउल में मिला लें और पनीर का आटा गूंथने तक अच्छी तरह गूंथ लें। आटा सख्त और फिर भी इतना नरम होगा कि उससे बॉल्स बनाए जा सकें। हमारा अगला कदम उन्हें कुझी पनियारम पैन में बेक करना या पैन फ्राई करना है।ओवन विधिअगर आप कोफ्ते बेक करने की योजना बना रहे हैं; तो पनीर बॉल्स को एक चुपड़ी हुई बेकिंग शीट पर रखें। पनीर बॉल्स पर थोड़ा तेल लगाएं और पहले से गरम ओवन (200 डिग्री सेल्सियस) में कोफ्ते सुनहरे भूरे रंग के होने तक बेक करें। बेक होने के बाद कोफ्ते को ओवन से निकालें और एक तरफ रख दें।कुझी पनियारम पैन विधिअगर आप कुझी पनियारम पैन का उपयोग करने की योजना बना रहे हैं; तो कोफ्ते बॉल्स को पैन की कैविटी में रखें; कोफ्ते पर थोड़ा तेल छिड़कें और उन्हें दोनों तरफ से सुनहरा भूरा होने तक पैन फ्राई करें कोफ्ते को बेक/पैन फ्राई करने के बाद हम करी बेस बनाने की प्रक्रिया शुरू करेंगे। कोफ्ता करी बनाने की विधि एक भारी तले वाले पैन में तेल गरम करें; इसमें कसा हुआ अदरक और शहद डालें, शहद में बुलबुले आने तक भूनें। टमाटर प्यूरी, हल्दी पाउडर, इलायची पाउडर, गरम मसाला पाउडर, नमक और मिर्च पाउडर स्वादानुसार डालकर चलाएँ। मिश्रण को उबाल लें और टमाटर के पूरी तरह से पकने तक कुछ मिनट तक पकाएँ। अंत में क्रीम और कसूरी मेथी डालें और कोफ्ता करी में मिलाएँ। पैन में तले/बेक किए हुए पनीर कोफ्ता बॉल्स को करी में डालें, पैन को ढक दें और तब तक पकाएं जब तक कि करी और स्वाद कोफ्ते में समा न जाएं। नमक और मसाले के स्तर की जांच करना सुनिश्चित करें और अपने स्वाद के अनुसार समायोजित करें। पनीर कोफ्ता करी रेसिपी को गेहूं की नान रेसिपी या अंकुरित मूंग और मेथी पुलाव के साथ गाजर ककड़ी टमाटर सलाद के साथ परोसें।</v>
      </c>
      <c r="J679" s="3" t="s">
        <v>33699</v>
      </c>
      <c r="L679" s="1" t="s">
        <v>31003</v>
      </c>
    </row>
    <row r="680" spans="1:12" ht="409.6">
      <c r="A680" s="1" t="s">
        <v>33700</v>
      </c>
      <c r="B680" s="1" t="str">
        <f ca="1">IFERROR(__xludf.dummyfunction("IF(A680="""", """", GOOGLETRANSLATE(A680, ""en"", ""hi""))"),"डिल पत्तियां तूर दाल रेसिपी - शेपू/सुवा दाल रेसिपी")</f>
        <v>डिल पत्तियां तूर दाल रेसिपी - शेपू/सुवा दाल रेसिपी</v>
      </c>
      <c r="C680" s="1" t="s">
        <v>145</v>
      </c>
      <c r="D680" s="1" t="s">
        <v>14198</v>
      </c>
      <c r="E680" s="1">
        <v>35</v>
      </c>
      <c r="F680" s="1" t="s">
        <v>33701</v>
      </c>
      <c r="G680" s="1" t="str">
        <f ca="1">IFERROR(__xludf.dummyfunction("IF(F680="""", """", GOOGLETRANSLATE(F680, ""en"", ""hi""))"),"1-1/2 कप अरहर दाल, 1 कप डिल के पत्ते - कटे हुए, 1 बड़ा चम्मच घी, 1 छोटा चम्मच सरसों के बीज, 1 छोटा चम्मच जीरा, 1 तेज पत्ता, 1 प्याज - बारीक कटा हुआ, 4 लहसुन के दाने, 1 इंच अदरक, 2 टमाटर - बारीक कटे हुए, 1 हरी मिर्च - बारीक कटी हुई, 1 छोटा चम्मच लाल मिर्च "&amp;"पाउडर, 1/2 छोटा चम्मच हल्दी पाउडर, नमक - स्वादानुसार, 1 नींबू - रस निकाला हुआ")</f>
        <v>1-1/2 कप अरहर दाल, 1 कप डिल के पत्ते - कटे हुए, 1 बड़ा चम्मच घी, 1 छोटा चम्मच सरसों के बीज, 1 छोटा चम्मच जीरा, 1 तेज पत्ता, 1 प्याज - बारीक कटा हुआ, 4 लहसुन के दाने, 1 इंच अदरक, 2 टमाटर - बारीक कटे हुए, 1 हरी मिर्च - बारीक कटी हुई, 1 छोटा चम्मच लाल मिर्च पाउडर, 1/2 छोटा चम्मच हल्दी पाउडर, नमक - स्वादानुसार, 1 नींबू - रस निकाला हुआ</v>
      </c>
      <c r="H680" s="4" t="s">
        <v>33702</v>
      </c>
      <c r="I680" s="1" t="str">
        <f ca="1">IFERROR(__xludf.dummyfunction("IF(H680="""", """", GOOGLETRANSLATE(H680, ""en"", ""hi""))"),"डिल लीव्स तुअर दाल रेसिपी बनाने के लिए, डिल लीव्स को धोकर बारीक काट लें और तैयार रखें। सभी सामग्री तैयार कर लें। प्रेशर कुकर में एक चम्मच घी डालें और मध्यम आँच पर रखें। इसमें राई और जीरा डालें। इसे चटकने दें। एक बार जब यह चटकने लगे, तो इसमें कटा हुआ प्याज"&amp;", अदरक और लहसुन डालें। प्याज के नरम होने तक भूनें। प्याज के नरम होने पर, टमाटर, हरी मिर्च, हल्दी पाउडर, लाल मिर्च पाउडर, नमक, डिल लीव्स, तुअर दाल और 3 कप पानी डालें और कम से कम 4 से 5 सीटी आने तक पकाएँ और आँच बंद कर दें। प्रेशर को अपने आप निकलने दें। प्रे"&amp;"शर निकल जाने पर, ढक्कन खोलें और दाल को मसलकर मैश करें और मसाले जाँचें। इस अवस्था में इसे समायोजित करें और इसे कुछ मिनट तक उबालें और डिल लीव्स दाल को एक सर्विंग बाउल में परोसें। ऊपर से नींबू निचोड़ें और कोई अतिरिक्त घी डालें। आंच बंद कर दें। डिल लीव्स तुअर"&amp;" दाल को एक सर्विंग बाउल में डालें और गरमागरम परोसें। डिल लीव्स तुअर दाल रेसिपी को फुल्का रेसिपी और रिंगना बटाटा नू शाक रेसिपी के साथ परोसें और एक पौष्टिक वीकेंड या वीक नाइट लंच या डिनर बनाएं।")</f>
        <v>डिल लीव्स तुअर दाल रेसिपी बनाने के लिए, डिल लीव्स को धोकर बारीक काट लें और तैयार रखें। सभी सामग्री तैयार कर लें। प्रेशर कुकर में एक चम्मच घी डालें और मध्यम आँच पर रखें। इसमें राई और जीरा डालें। इसे चटकने दें। एक बार जब यह चटकने लगे, तो इसमें कटा हुआ प्याज, अदरक और लहसुन डालें। प्याज के नरम होने तक भूनें। प्याज के नरम होने पर, टमाटर, हरी मिर्च, हल्दी पाउडर, लाल मिर्च पाउडर, नमक, डिल लीव्स, तुअर दाल और 3 कप पानी डालें और कम से कम 4 से 5 सीटी आने तक पकाएँ और आँच बंद कर दें। प्रेशर को अपने आप निकलने दें। प्रेशर निकल जाने पर, ढक्कन खोलें और दाल को मसलकर मैश करें और मसाले जाँचें। इस अवस्था में इसे समायोजित करें और इसे कुछ मिनट तक उबालें और डिल लीव्स दाल को एक सर्विंग बाउल में परोसें। ऊपर से नींबू निचोड़ें और कोई अतिरिक्त घी डालें। आंच बंद कर दें। डिल लीव्स तुअर दाल को एक सर्विंग बाउल में डालें और गरमागरम परोसें। डिल लीव्स तुअर दाल रेसिपी को फुल्का रेसिपी और रिंगना बटाटा नू शाक रेसिपी के साथ परोसें और एक पौष्टिक वीकेंड या वीक नाइट लंच या डिनर बनाएं।</v>
      </c>
      <c r="J680" s="3" t="s">
        <v>33703</v>
      </c>
      <c r="L680" s="1" t="s">
        <v>31003</v>
      </c>
    </row>
    <row r="681" spans="1:12" ht="13.8">
      <c r="A681" s="1" t="s">
        <v>33704</v>
      </c>
      <c r="B681" s="1" t="str">
        <f ca="1">IFERROR(__xludf.dummyfunction("IF(A681="""", """", GOOGLETRANSLATE(A681, ""en"", ""hi""))"),"जैन स्टाइल कॉर्न पालक")</f>
        <v>जैन स्टाइल कॉर्न पालक</v>
      </c>
      <c r="C681" s="1" t="s">
        <v>145</v>
      </c>
      <c r="D681" s="1" t="s">
        <v>14198</v>
      </c>
      <c r="E681" s="1">
        <v>45</v>
      </c>
      <c r="F681" s="1" t="s">
        <v>33705</v>
      </c>
      <c r="G681" s="1" t="str">
        <f ca="1">IFERROR(__xludf.dummyfunction("IF(F681="""", """", GOOGLETRANSLATE(F681, ""en"", ""hi""))"),"1 कप पालक, 1/2 कप स्वीट कॉर्न - उबला हुआ, नमक - स्वादानुसार, 1 बड़ा चम्मच चीनी, 1/2 बड़ा चम्मच कसूरी मेथी, 1 छोटा चम्मच नींबू का रस, 1 बड़ा चम्मच गरम मसाला पाउडर, 1/2 छोटा चम्मच लाल मिर्च पाउडर, तेल - आवश्यकतानुसार, 1/2 छोटा चम्मच जीरा, 2 टमाटर, 2 हरी मिर"&amp;"्च, 8 काजू, तेल - आवश्यकतानुसार, 1/2 छोटा चम्मच जीरा, हींग, 1/2 छोटा चम्मच लाल मिर्च पाउडर")</f>
        <v>1 कप पालक, 1/2 कप स्वीट कॉर्न - उबला हुआ, नमक - स्वादानुसार, 1 बड़ा चम्मच चीनी, 1/2 बड़ा चम्मच कसूरी मेथी, 1 छोटा चम्मच नींबू का रस, 1 बड़ा चम्मच गरम मसाला पाउडर, 1/2 छोटा चम्मच लाल मिर्च पाउडर, तेल - आवश्यकतानुसार, 1/2 छोटा चम्मच जीरा, 2 टमाटर, 2 हरी मिर्च, 8 काजू, तेल - आवश्यकतानुसार, 1/2 छोटा चम्मच जीरा, हींग, 1/2 छोटा चम्मच लाल मिर्च पाउडर</v>
      </c>
      <c r="H681" s="1" t="s">
        <v>33706</v>
      </c>
      <c r="I681" s="1" t="str">
        <f ca="1">IFERROR(__xludf.dummyfunction("IF(H681="""", """", GOOGLETRANSLATE(H681, ""en"", ""hi""))"),"""जैन स्टाइल कॉर्न पालक बनाने के लिए सबसे पहले पालक को उबाल लें और फिर ठंडे पानी में डाल दें। पानी निथार लें और मिक्सर ग्राइंडर में इसकी प्यूरी बना लें। पीसने के लिए दी गई सामग्री को 1 चम्मच तेल में पकाएँ। टमाटर के नरम होने तक पकाएँ। ठंडा होने के बाद थोड़"&amp;"ा पानी डालें और पीस लें। अब एक पैन में तेल गरम करें। जीरा डालें और 15 सेकंड बाद पालक प्यूरी, हल्दी पाउडर, लाल मिर्च पाउडर और नमक डालें। इसे 3 से 4 मिनट तक पकने दें। 4 मिनट बाद टमाटर प्यूरी, सूखे मसाले और कॉर्न डालें। अच्छी तरह मिलाएँ और 8 से 10 मिनट तक पक"&amp;"ने दें। थोड़ा पानी, कसूरी मेथी, नमक और नींबू का रस डालें। सभी चीजों को अच्छी तरह मिलाएँ और 2 मिनट बाद सर्व करें। जैन स्टाइल कॉर्न पालक को बूंदी रायता और फुल्के के साथ लंच में सर्व करें।""")</f>
        <v>"जैन स्टाइल कॉर्न पालक बनाने के लिए सबसे पहले पालक को उबाल लें और फिर ठंडे पानी में डाल दें। पानी निथार लें और मिक्सर ग्राइंडर में इसकी प्यूरी बना लें। पीसने के लिए दी गई सामग्री को 1 चम्मच तेल में पकाएँ। टमाटर के नरम होने तक पकाएँ। ठंडा होने के बाद थोड़ा पानी डालें और पीस लें। अब एक पैन में तेल गरम करें। जीरा डालें और 15 सेकंड बाद पालक प्यूरी, हल्दी पाउडर, लाल मिर्च पाउडर और नमक डालें। इसे 3 से 4 मिनट तक पकने दें। 4 मिनट बाद टमाटर प्यूरी, सूखे मसाले और कॉर्न डालें। अच्छी तरह मिलाएँ और 8 से 10 मिनट तक पकने दें। थोड़ा पानी, कसूरी मेथी, नमक और नींबू का रस डालें। सभी चीजों को अच्छी तरह मिलाएँ और 2 मिनट बाद सर्व करें। जैन स्टाइल कॉर्न पालक को बूंदी रायता और फुल्के के साथ लंच में सर्व करें।"</v>
      </c>
      <c r="J681" s="3" t="s">
        <v>33707</v>
      </c>
      <c r="L681" s="1" t="s">
        <v>31003</v>
      </c>
    </row>
    <row r="682" spans="1:12" ht="13.8">
      <c r="A682" s="1" t="s">
        <v>33708</v>
      </c>
      <c r="B682" s="1" t="str">
        <f ca="1">IFERROR(__xludf.dummyfunction("IF(A682="""", """", GOOGLETRANSLATE(A682, ""en"", ""hi""))"),"शकरकंद और गाजर की सब्जी रेसिपी")</f>
        <v>शकरकंद और गाजर की सब्जी रेसिपी</v>
      </c>
      <c r="C682" s="1" t="s">
        <v>145</v>
      </c>
      <c r="D682" s="1" t="s">
        <v>14198</v>
      </c>
      <c r="E682" s="1">
        <v>40</v>
      </c>
      <c r="F682" s="1" t="s">
        <v>33709</v>
      </c>
      <c r="G682" s="1" t="str">
        <f ca="1">IFERROR(__xludf.dummyfunction("IF(F682="""", """", GOOGLETRANSLATE(F682, ""en"", ""hi""))"),"2 गाजर - छीलकर क्यूब्स में कटी हुई, 2 शकरकंद - छीलकर क्यूब्स में कटी हुई, 1 प्याज - कटा हुआ, 1 टमाटर - कटा हुआ, 1 इंच अदरक - कटा हुआ, 4 लहसुन - कटा हुआ, 1 हरी मिर्च - कटी हुई, 1 चम्मच सौंफ, 1 चम्मच लाल मिर्च पाउडर, 1/2 चम्मच हल्दी पाउडर, 2 चम्मच गरम मसाला"&amp;" पाउडर, 2 टहनी धनिया - कटी हुई, नमक - स्वादानुसार, सूरजमुखी का तेल")</f>
        <v>2 गाजर - छीलकर क्यूब्स में कटी हुई, 2 शकरकंद - छीलकर क्यूब्स में कटी हुई, 1 प्याज - कटा हुआ, 1 टमाटर - कटा हुआ, 1 इंच अदरक - कटा हुआ, 4 लहसुन - कटा हुआ, 1 हरी मिर्च - कटी हुई, 1 चम्मच सौंफ, 1 चम्मच लाल मिर्च पाउडर, 1/2 चम्मच हल्दी पाउडर, 2 चम्मच गरम मसाला पाउडर, 2 टहनी धनिया - कटी हुई, नमक - स्वादानुसार, सूरजमुखी का तेल</v>
      </c>
      <c r="H682" s="1" t="s">
        <v>33710</v>
      </c>
      <c r="I682" s="1" t="str">
        <f ca="1">IFERROR(__xludf.dummyfunction("IF(H682="""", """", GOOGLETRANSLATE(H682, ""en"", ""hi""))"),"शकरकंद और गाजर की सब्ज़ी बनाने की विधि शुरू करने के लिए, हम एक प्रेशर कुकर में तेल गर्म करेंगे, उसमें सौंफ़ के बीज डालेंगे और उसे चटकने देंगे। अदरक, लहसुन डालें और उन्हें नरम होने तक भूनें। एक बार जब वह नरम हो जाए, तो प्याज़ डालें और उन्हें पारदर्शी होने "&amp;"तक भूनें। 5 मिनट के बाद आप कटे हुए टमाटर डाल सकते हैं और नमक छिड़क सकते हैं और टमाटर को गूदेदार होने दें। लाल मिर्च पाउडर, हल्दी पाउडर, गरम मसाला पाउडर के साथ-साथ जड़ वाली सब्ज़ी, नमक और लगभग 1 कप पानी डालें और उन्हें कम से कम 4 सीटी आने तक पकाएँ। प्रेशर "&amp;"को स्वाभाविक रूप से निकलने दें, धनिया पत्ती डालें और एक आखिरी बार चलाएँ और गर्मागर्म परोसें। शकरकंद और गाजर की सब्ज़ी रेसिपी को गुजराती कढ़ी और फुल्के के साथ अपने रोज़मर्रा के खाने में परोसें।")</f>
        <v>शकरकंद और गाजर की सब्ज़ी बनाने की विधि शुरू करने के लिए, हम एक प्रेशर कुकर में तेल गर्म करेंगे, उसमें सौंफ़ के बीज डालेंगे और उसे चटकने देंगे। अदरक, लहसुन डालें और उन्हें नरम होने तक भूनें। एक बार जब वह नरम हो जाए, तो प्याज़ डालें और उन्हें पारदर्शी होने तक भूनें। 5 मिनट के बाद आप कटे हुए टमाटर डाल सकते हैं और नमक छिड़क सकते हैं और टमाटर को गूदेदार होने दें। लाल मिर्च पाउडर, हल्दी पाउडर, गरम मसाला पाउडर के साथ-साथ जड़ वाली सब्ज़ी, नमक और लगभग 1 कप पानी डालें और उन्हें कम से कम 4 सीटी आने तक पकाएँ। प्रेशर को स्वाभाविक रूप से निकलने दें, धनिया पत्ती डालें और एक आखिरी बार चलाएँ और गर्मागर्म परोसें। शकरकंद और गाजर की सब्ज़ी रेसिपी को गुजराती कढ़ी और फुल्के के साथ अपने रोज़मर्रा के खाने में परोसें।</v>
      </c>
      <c r="J682" s="3" t="s">
        <v>33711</v>
      </c>
      <c r="L682" s="1" t="s">
        <v>31003</v>
      </c>
    </row>
    <row r="683" spans="1:12" ht="13.8">
      <c r="A683" s="1" t="s">
        <v>33712</v>
      </c>
      <c r="B683" s="1" t="str">
        <f ca="1">IFERROR(__xludf.dummyfunction("IF(A683="""", """", GOOGLETRANSLATE(A683, ""en"", ""hi""))"),"मिक्स्ड वेजिटेबल कॉर्न पकोड़ा रेसिपी - कुझी पनियारम पैन में बनाई गई")</f>
        <v>मिक्स्ड वेजिटेबल कॉर्न पकोड़ा रेसिपी - कुझी पनियारम पैन में बनाई गई</v>
      </c>
      <c r="C683" s="1" t="s">
        <v>14281</v>
      </c>
      <c r="D683" s="1" t="s">
        <v>14198</v>
      </c>
      <c r="E683" s="1">
        <v>30</v>
      </c>
      <c r="F683" s="1" t="s">
        <v>33713</v>
      </c>
      <c r="G683" s="1" t="str">
        <f ca="1">IFERROR(__xludf.dummyfunction("IF(F683="""", """", GOOGLETRANSLATE(F683, ""en"", ""hi""))"),"3/4 कप बेसन, 1/4 कप चावल का आटा, 1/4 कप हरी शिमला मिर्च - बारीक कटी हुई, 1 प्याज - बारीक कटा हुआ, 1 गाजर - कद्दूकस की हुई, 1 चम्मच अजवाइन, नमक - स्वादानुसार, 1/2 चम्मच इनोस फ्रूट सॉल्ट, 1 चम्मच लाल मिर्च पाउडर, सूरजमुखी तेल, चाट मसाला पाउडर - छिड़कने के ल"&amp;"िए")</f>
        <v>3/4 कप बेसन, 1/4 कप चावल का आटा, 1/4 कप हरी शिमला मिर्च - बारीक कटी हुई, 1 प्याज - बारीक कटा हुआ, 1 गाजर - कद्दूकस की हुई, 1 चम्मच अजवाइन, नमक - स्वादानुसार, 1/2 चम्मच इनोस फ्रूट सॉल्ट, 1 चम्मच लाल मिर्च पाउडर, सूरजमुखी तेल, चाट मसाला पाउडर - छिड़कने के लिए</v>
      </c>
      <c r="H683" s="1" t="s">
        <v>33714</v>
      </c>
      <c r="I683" s="1" t="str">
        <f ca="1">IFERROR(__xludf.dummyfunction("IF(H683="""", """", GOOGLETRANSLATE(H683, ""en"", ""hi""))"),"मिक्स वेजिटेबल कॉर्न पकौड़ा रेसिपी बनाने के लिए सबसे पहले सभी सामग्री तैयार कर लें और एक तरफ रख दें। एक मिक्सिंग बाउल में बेसन, चावल का आटा, गाजर, शिमला मिर्च, प्याज, अजवाइन, लाल मिर्च पाउडर, इनोस फ्रूट सॉल्ट और नमक मिलाएं। इस बाउल में थोड़ा पानी डालकर चि"&amp;"कना और गाढ़ा पकौड़ा बैटर बनाएं। मध्यम आंच पर कुझी पनियारम पैन गरम करें, पैन के प्रत्येक डिब्बे में 1/4 चम्मच तेल डालें। प्रत्येक डिब्बे में एक बड़ा चम्मच मिक्स वेजिटेबल कॉर्न पकौड़ा बैटर डालें और भूरा और कुरकुरा होने तक पैन में तलें, दूसरी तरफ भी पलटें और"&amp;" पकाएं। मानसून के दौरान चाय के समय नाश्ते के लिए हेल्दी मिक्स वेजिटेबल कॉर्न पकौड़ा रेसिपी को पुदीने की चटनी और अदरक की चाय के साथ परोसें।")</f>
        <v>मिक्स वेजिटेबल कॉर्न पकौड़ा रेसिपी बनाने के लिए सबसे पहले सभी सामग्री तैयार कर लें और एक तरफ रख दें। एक मिक्सिंग बाउल में बेसन, चावल का आटा, गाजर, शिमला मिर्च, प्याज, अजवाइन, लाल मिर्च पाउडर, इनोस फ्रूट सॉल्ट और नमक मिलाएं। इस बाउल में थोड़ा पानी डालकर चिकना और गाढ़ा पकौड़ा बैटर बनाएं। मध्यम आंच पर कुझी पनियारम पैन गरम करें, पैन के प्रत्येक डिब्बे में 1/4 चम्मच तेल डालें। प्रत्येक डिब्बे में एक बड़ा चम्मच मिक्स वेजिटेबल कॉर्न पकौड़ा बैटर डालें और भूरा और कुरकुरा होने तक पैन में तलें, दूसरी तरफ भी पलटें और पकाएं। मानसून के दौरान चाय के समय नाश्ते के लिए हेल्दी मिक्स वेजिटेबल कॉर्न पकौड़ा रेसिपी को पुदीने की चटनी और अदरक की चाय के साथ परोसें।</v>
      </c>
      <c r="J683" s="3" t="s">
        <v>33715</v>
      </c>
      <c r="L683" s="1" t="s">
        <v>31003</v>
      </c>
    </row>
    <row r="684" spans="1:12" ht="409.6">
      <c r="A684" s="1" t="s">
        <v>31078</v>
      </c>
      <c r="B684" s="1" t="str">
        <f ca="1">IFERROR(__xludf.dummyfunction("IF(A684="""", """", GOOGLETRANSLATE(A684, ""en"", ""hi""))"),"सुखी सूरन मसाला सब्जी रेसिपी")</f>
        <v>सुखी सूरन मसाला सब्जी रेसिपी</v>
      </c>
      <c r="C684" s="1" t="s">
        <v>14207</v>
      </c>
      <c r="D684" s="1" t="s">
        <v>14198</v>
      </c>
      <c r="E684" s="1">
        <v>35</v>
      </c>
      <c r="F684" s="1" t="s">
        <v>33716</v>
      </c>
      <c r="G684" s="1" t="str">
        <f ca="1">IFERROR(__xludf.dummyfunction("IF(F684="""", """", GOOGLETRANSLATE(F684, ""en"", ""hi""))"),"250 ग्राम रतालू - 1 इंच के चौकोर टुकड़ों में कटा हुआ, 1 प्याज - सीधा और पतला कटा हुआ, 2 हरी मिर्च - कटी हुई, 1 छोटा चम्मच अदरक - बारीक कटा हुआ, 1 छोटा चम्मच लहसुन - बारीक कटा हुआ, 1 टहनी करी पत्ता, 1/2 छोटा चम्मच जीरा, 1/2 छोटा चम्मच हल्दी पाउडर, 1 छोटा च"&amp;"म्मच धनिया पाउडर, 1/2 छोटा चम्मच जीरा पाउडर, 1/2 छोटा चम्मच लाल मिर्च पाउडर, 1/2 छोटा चम्मच गरम मसाला पाउडर, नमक - स्वादानुसार, 2 छोटे चम्मच तेल, 1/2 छोटा चम्मच काली मिर्च पाउडर")</f>
        <v>250 ग्राम रतालू - 1 इंच के चौकोर टुकड़ों में कटा हुआ, 1 प्याज - सीधा और पतला कटा हुआ, 2 हरी मिर्च - कटी हुई, 1 छोटा चम्मच अदरक - बारीक कटा हुआ, 1 छोटा चम्मच लहसुन - बारीक कटा हुआ, 1 टहनी करी पत्ता, 1/2 छोटा चम्मच जीरा, 1/2 छोटा चम्मच हल्दी पाउडर, 1 छोटा चम्मच धनिया पाउडर, 1/2 छोटा चम्मच जीरा पाउडर, 1/2 छोटा चम्मच लाल मिर्च पाउडर, 1/2 छोटा चम्मच गरम मसाला पाउडर, नमक - स्वादानुसार, 2 छोटे चम्मच तेल, 1/2 छोटा चम्मच काली मिर्च पाउडर</v>
      </c>
      <c r="H684" s="4" t="s">
        <v>33717</v>
      </c>
      <c r="I684" s="1" t="str">
        <f ca="1">IFERROR(__xludf.dummyfunction("IF(H684="""", """", GOOGLETRANSLATE(H684, ""en"", ""hi""))"),"सुखी सूरन मसाला सब्जी बनाने के लिए सबसे पहले हम रतालू का बाहरी छिलका उतार देंगे। अब रतालू को काट कर पानी में भिगो कर रख दें। अब एक पैन में तेल गर्म करें। इसमें करी पत्ता, जीरा डालें और जीरा चटकने तक पकाएं। अब इसमें प्याज, अदरक, लहसुन डालें और प्याज के नरम"&amp;" होने तक पकाएं। अब इसमें रतालू डालें और 1 मिनट तक पकाएं। इसमें पानी और नमक डालें, पैन को ढक दें और 10 मिनट तक पकाएं। 10 मिनट बाद इसमें लाल मिर्च पाउडर, धनिया पाउडर, जीरा पाउडर, काली मिर्च पाउडर, गरम मसाला पाउडर डालें और 3 से 4 मिनट तक पकाएं। पकने के बाद ग"&amp;"ैस बंद कर दें और सर्व करें। सुखी सूरन मसाला सब्जी रेसिपी को दाल पालक, लौकी रायता और फुल्के के साथ लंच में सर्व करें।")</f>
        <v>सुखी सूरन मसाला सब्जी बनाने के लिए सबसे पहले हम रतालू का बाहरी छिलका उतार देंगे। अब रतालू को काट कर पानी में भिगो कर रख दें। अब एक पैन में तेल गर्म करें। इसमें करी पत्ता, जीरा डालें और जीरा चटकने तक पकाएं। अब इसमें प्याज, अदरक, लहसुन डालें और प्याज के नरम होने तक पकाएं। अब इसमें रतालू डालें और 1 मिनट तक पकाएं। इसमें पानी और नमक डालें, पैन को ढक दें और 10 मिनट तक पकाएं। 10 मिनट बाद इसमें लाल मिर्च पाउडर, धनिया पाउडर, जीरा पाउडर, काली मिर्च पाउडर, गरम मसाला पाउडर डालें और 3 से 4 मिनट तक पकाएं। पकने के बाद गैस बंद कर दें और सर्व करें। सुखी सूरन मसाला सब्जी रेसिपी को दाल पालक, लौकी रायता और फुल्के के साथ लंच में सर्व करें।</v>
      </c>
      <c r="J684" s="3" t="s">
        <v>33718</v>
      </c>
      <c r="L684" s="1" t="s">
        <v>31003</v>
      </c>
    </row>
    <row r="685" spans="1:12" ht="13.8">
      <c r="A685" s="1" t="s">
        <v>33719</v>
      </c>
      <c r="B685" s="1" t="str">
        <f ca="1">IFERROR(__xludf.dummyfunction("IF(A685="""", """", GOOGLETRANSLATE(A685, ""en"", ""hi""))"),"अचारी आलू परवल सब्जी")</f>
        <v>अचारी आलू परवल सब्जी</v>
      </c>
      <c r="C685" s="1" t="s">
        <v>145</v>
      </c>
      <c r="D685" s="1" t="s">
        <v>14198</v>
      </c>
      <c r="E685" s="1">
        <v>50</v>
      </c>
      <c r="F685" s="1" t="s">
        <v>33720</v>
      </c>
      <c r="G685" s="1" t="str">
        <f ca="1">IFERROR(__xludf.dummyfunction("IF(F685="""", """", GOOGLETRANSLATE(F685, ""en"", ""hi""))"),"400 ग्राम परवल - पतले और सीधे टुकड़ों में कटे हुए, 3 आलू - पतले और सीधे टुकड़ों में कटे हुए, 1 प्याज - बारीक कटा हुआ, 1 टमाटर - पतले और सीधे टुकड़ों में कटा हुआ, 2 बड़े चम्मच सरसों का तेल, 1/2 छोटा चम्मच कलौंजी, 1/2 छोटा चम्मच हल्दी पाउडर, 1/2 छोटा चम्मच "&amp;"अमचूर, नमक - स्वादानुसार, 1 छोटा चम्मच धनिया, 1/2 छोटा चम्मच जीरा, 1/2 छोटा चम्मच राई, 1/2 छोटा चम्मच सौंफ, 1/2 छोटा चम्मच कलौंजी, 1/4 छोटा चम्मच मेथी दाना, 3 सूखी लाल मिर्च - तोड़ी हुई")</f>
        <v>400 ग्राम परवल - पतले और सीधे टुकड़ों में कटे हुए, 3 आलू - पतले और सीधे टुकड़ों में कटे हुए, 1 प्याज - बारीक कटा हुआ, 1 टमाटर - पतले और सीधे टुकड़ों में कटा हुआ, 2 बड़े चम्मच सरसों का तेल, 1/2 छोटा चम्मच कलौंजी, 1/2 छोटा चम्मच हल्दी पाउडर, 1/2 छोटा चम्मच अमचूर, नमक - स्वादानुसार, 1 छोटा चम्मच धनिया, 1/2 छोटा चम्मच जीरा, 1/2 छोटा चम्मच राई, 1/2 छोटा चम्मच सौंफ, 1/2 छोटा चम्मच कलौंजी, 1/4 छोटा चम्मच मेथी दाना, 3 सूखी लाल मिर्च - तोड़ी हुई</v>
      </c>
      <c r="H685" s="1" t="s">
        <v>33721</v>
      </c>
      <c r="I685" s="1" t="str">
        <f ca="1">IFERROR(__xludf.dummyfunction("IF(H685="""", """", GOOGLETRANSLATE(H685, ""en"", ""hi""))"),"""अचारी आलू परवल की सब्जी को एक पैन में डालें और सारे मसाले डालें। इसे भूनकर पाउडर बना लें। इसे एक तरफ रख दें। अब प्रेशर कुकर में सरसों का तेल गर्म करें। अब इसमें कलौंजी डालें और 30 सेकंड तक पकाएँ। अब इसमें प्याज़ डालें और सुनहरा होने तक पकाएँ। अब इसमें आ"&amp;"लू, परवल, टमाटर डालें और 4 से 5 मिनट तक पकाएँ। अब इसमें हल्दी, पिसा मसाला, अमचूर पाउडर डालें और सारी चीज़ें मिलाएँ। थोड़ा पानी डालें, कुकर को ढक दें और 2 सीटी आने तक पकाएँ। अब गैस बंद कर दें और कुकर का प्रेशर निकलने दें। प्रेशर निकलने के बाद कुकर खोलें और"&amp;" हरे धनिये से गार्निश करें। दोपहर के खाने में अचारी आलू परवल को पंचमेल दाल और फुल्के के साथ परोसें।""")</f>
        <v>"अचारी आलू परवल की सब्जी को एक पैन में डालें और सारे मसाले डालें। इसे भूनकर पाउडर बना लें। इसे एक तरफ रख दें। अब प्रेशर कुकर में सरसों का तेल गर्म करें। अब इसमें कलौंजी डालें और 30 सेकंड तक पकाएँ। अब इसमें प्याज़ डालें और सुनहरा होने तक पकाएँ। अब इसमें आलू, परवल, टमाटर डालें और 4 से 5 मिनट तक पकाएँ। अब इसमें हल्दी, पिसा मसाला, अमचूर पाउडर डालें और सारी चीज़ें मिलाएँ। थोड़ा पानी डालें, कुकर को ढक दें और 2 सीटी आने तक पकाएँ। अब गैस बंद कर दें और कुकर का प्रेशर निकलने दें। प्रेशर निकलने के बाद कुकर खोलें और हरे धनिये से गार्निश करें। दोपहर के खाने में अचारी आलू परवल को पंचमेल दाल और फुल्के के साथ परोसें।"</v>
      </c>
      <c r="J685" s="3" t="s">
        <v>33722</v>
      </c>
      <c r="L685" s="1" t="s">
        <v>31003</v>
      </c>
    </row>
    <row r="686" spans="1:12" ht="13.8">
      <c r="A686" s="1" t="s">
        <v>33723</v>
      </c>
      <c r="B686" s="1" t="str">
        <f ca="1">IFERROR(__xludf.dummyfunction("IF(A686="""", """", GOOGLETRANSLATE(A686, ""en"", ""hi""))"),"आंवला मेथी सुखी सब्जी रेसिपी")</f>
        <v>आंवला मेथी सुखी सब्जी रेसिपी</v>
      </c>
      <c r="C686" s="1" t="s">
        <v>14207</v>
      </c>
      <c r="D686" s="1" t="s">
        <v>14338</v>
      </c>
      <c r="E686" s="1">
        <v>45</v>
      </c>
      <c r="F686" s="1" t="s">
        <v>33724</v>
      </c>
      <c r="G686" s="1" t="str">
        <f ca="1">IFERROR(__xludf.dummyfunction("IF(F686="""", """", GOOGLETRANSLATE(F686, ""en"", ""hi""))"),"200 ग्राम आंवला, पानी - आवश्यकतानुसार, 1 बड़ा चम्मच तेल, 1/2 छोटा चम्मच जीरा, 1/2 छोटा चम्मच सौंफ, 1/3 छोटा चम्मच अजवाइन, 1 हींग - चुटकी भर, 2 हरी मिर्च - बारीक कटी हुई, 1 इंच अदरक - बारीक कटा हुआ, 5 लहसुन की कलियां - बारीक कटी हुई, 2 प्याज - पतले कटे हुए"&amp;", 2 टमाटर - बारीक कटे हुए, नमक - स्वादानुसार, 1/2 छोटा चम्मच हल्दी पाउडर, 100 ग्राम मेथी - धोकर बारीक कटी हुई, 1 छोटा चम्मच गरम मसाला पाउडर, 1 छोटा चम्मच धनिया पाउडर, 1 छोटा चम्मच जीरा पाउडर, 1 टहनी धनिया - बारीक कटी हुई")</f>
        <v>200 ग्राम आंवला, पानी - आवश्यकतानुसार, 1 बड़ा चम्मच तेल, 1/2 छोटा चम्मच जीरा, 1/2 छोटा चम्मच सौंफ, 1/3 छोटा चम्मच अजवाइन, 1 हींग - चुटकी भर, 2 हरी मिर्च - बारीक कटी हुई, 1 इंच अदरक - बारीक कटा हुआ, 5 लहसुन की कलियां - बारीक कटी हुई, 2 प्याज - पतले कटे हुए, 2 टमाटर - बारीक कटे हुए, नमक - स्वादानुसार, 1/2 छोटा चम्मच हल्दी पाउडर, 100 ग्राम मेथी - धोकर बारीक कटी हुई, 1 छोटा चम्मच गरम मसाला पाउडर, 1 छोटा चम्मच धनिया पाउडर, 1 छोटा चम्मच जीरा पाउडर, 1 टहनी धनिया - बारीक कटी हुई</v>
      </c>
      <c r="H686" s="1" t="s">
        <v>33725</v>
      </c>
      <c r="I686" s="1" t="str">
        <f ca="1">IFERROR(__xludf.dummyfunction("IF(H686="""", """", GOOGLETRANSLATE(H686, ""en"", ""hi""))"),"""आंवला मेथी सूखी सब्जी बनाने के लिए सबसे पहले आंवले को उबाल लें। एक सॉस पैन में पानी डालकर उसे अच्छे से उबाल लें। उबले हुए पानी में आंवले डालकर 4 से 5 मिनट तक उबालें। गैस बंद कर दें। अतिरिक्त पानी निकाल दें और इसे ठंडा होने दें। ठंडा होने के बाद आंवले मे"&amp;"ं चीरा लगाकर बीज निकाल दें। अब आंवले को सीधा काट कर अलग रख लें। एक पैन में तेल गर्म करें। इसमें जीरा, सौंफ, अजवाइन डालकर चटकने दें। चटकने के बाद हरी मिर्च, अदरक, लहसुन डालकर कुछ सेकंड के लिए पकाएं। कुछ सेकंड के बाद प्याज डालकर 3 से 4 मिनट तक पकाएं। अब टमा"&amp;"टर और थोड़ा पानी डालकर पैन को ढक दें और पकने दें। नमक, हल्दी पाउडर, मेथी के पत्ते डालकर अच्छी तरह पकाएं। मेथी के नरम होने के बाद इसमें गरम मसाला पाउडर, जीरा पाउडर, धनिया पाउडर, नमक, आंवला, 2 टेबलस्पून पानी डालकर अच्छी तरह मिलाएं और ढक दें। इसे 2 से 3 मिनट"&amp;" तक पकने दें। गैस बंद कर दें और गरमागरम सर्व करें। आंवले सर्व करें दोपहर के भोजन के लिए गुजराती कढ़ी, आमरस और फुल्के के साथ मेथी सुखी सब्ज़ी रेसिपी। """)</f>
        <v>"आंवला मेथी सूखी सब्जी बनाने के लिए सबसे पहले आंवले को उबाल लें। एक सॉस पैन में पानी डालकर उसे अच्छे से उबाल लें। उबले हुए पानी में आंवले डालकर 4 से 5 मिनट तक उबालें। गैस बंद कर दें। अतिरिक्त पानी निकाल दें और इसे ठंडा होने दें। ठंडा होने के बाद आंवले में चीरा लगाकर बीज निकाल दें। अब आंवले को सीधा काट कर अलग रख लें। एक पैन में तेल गर्म करें। इसमें जीरा, सौंफ, अजवाइन डालकर चटकने दें। चटकने के बाद हरी मिर्च, अदरक, लहसुन डालकर कुछ सेकंड के लिए पकाएं। कुछ सेकंड के बाद प्याज डालकर 3 से 4 मिनट तक पकाएं। अब टमाटर और थोड़ा पानी डालकर पैन को ढक दें और पकने दें। नमक, हल्दी पाउडर, मेथी के पत्ते डालकर अच्छी तरह पकाएं। मेथी के नरम होने के बाद इसमें गरम मसाला पाउडर, जीरा पाउडर, धनिया पाउडर, नमक, आंवला, 2 टेबलस्पून पानी डालकर अच्छी तरह मिलाएं और ढक दें। इसे 2 से 3 मिनट तक पकने दें। गैस बंद कर दें और गरमागरम सर्व करें। आंवले सर्व करें दोपहर के भोजन के लिए गुजराती कढ़ी, आमरस और फुल्के के साथ मेथी सुखी सब्ज़ी रेसिपी। "</v>
      </c>
      <c r="J686" s="3" t="s">
        <v>33726</v>
      </c>
      <c r="L686" s="1" t="s">
        <v>31003</v>
      </c>
    </row>
    <row r="687" spans="1:12" ht="13.8">
      <c r="A687" s="1" t="s">
        <v>33727</v>
      </c>
      <c r="B687" s="1" t="str">
        <f ca="1">IFERROR(__xludf.dummyfunction("IF(A687="""", """", GOOGLETRANSLATE(A687, ""en"", ""hi""))"),"बटर चिकन रेसिपी - क्लासिक भारतीय चिकन ग्रेवी")</f>
        <v>बटर चिकन रेसिपी - क्लासिक भारतीय चिकन ग्रेवी</v>
      </c>
      <c r="C687" s="1" t="s">
        <v>429</v>
      </c>
      <c r="D687" s="1" t="s">
        <v>14367</v>
      </c>
      <c r="E687" s="1">
        <v>45</v>
      </c>
      <c r="F687" s="1" t="s">
        <v>33728</v>
      </c>
      <c r="G687" s="1" t="str">
        <f ca="1">IFERROR(__xludf.dummyfunction("IF(F687="""", """", GOOGLETRANSLATE(F687, ""en"", ""hi""))"),"300 ग्राम बोनलेस चिकन - टुकड़ों में कटा हुआ, 1/2 कप दही, 2 चम्मच अदरक लहसुन पेस्ट, 1/2 चम्मच हल्दी पाउडर, 1/2 चम्मच गरम मसाला पाउडर, 1 चम्मच कश्मीरी लाल मिर्च पाउडर, 1 चम्मच नमक, 1 बड़ा चम्मच मक्खन, 1 चम्मच लाल मिर्च पाउडर, 1 चम्मच धनिया पाउडर, 1/2 चम्मच "&amp;"गरम मसाला पाउडर, 1 कप घर का बना टमाटर प्यूरी, 1 चम्मच शहद, 1/4 कप ताजा क्रीम, 1 बड़ा चम्मच कसूरी मेथी, नमक - स्वादानुसार, 1/4 कप ताजा क्रीम, 1 बड़ा चम्मच कसूरी मेथी, नमक - स्वादानुसार")</f>
        <v>300 ग्राम बोनलेस चिकन - टुकड़ों में कटा हुआ, 1/2 कप दही, 2 चम्मच अदरक लहसुन पेस्ट, 1/2 चम्मच हल्दी पाउडर, 1/2 चम्मच गरम मसाला पाउडर, 1 चम्मच कश्मीरी लाल मिर्च पाउडर, 1 चम्मच नमक, 1 बड़ा चम्मच मक्खन, 1 चम्मच लाल मिर्च पाउडर, 1 चम्मच धनिया पाउडर, 1/2 चम्मच गरम मसाला पाउडर, 1 कप घर का बना टमाटर प्यूरी, 1 चम्मच शहद, 1/4 कप ताजा क्रीम, 1 बड़ा चम्मच कसूरी मेथी, नमक - स्वादानुसार, 1/4 कप ताजा क्रीम, 1 बड़ा चम्मच कसूरी मेथी, नमक - स्वादानुसार</v>
      </c>
      <c r="H687" s="1" t="s">
        <v>33729</v>
      </c>
      <c r="I687" s="1" t="str">
        <f ca="1">IFERROR(__xludf.dummyfunction("IF(H687="""", """", GOOGLETRANSLATE(H687, ""en"", ""hi""))"),"बटर चिकन रेसिपी बनाने के लिए सबसे पहले चिकन को अच्छे से धो लें। एक मिक्सिंग बाउल में दही, गरम मसाला, अदरक और लहसुन का पेस्ट, नमक, लाल मिर्च पाउडर, हल्दी पाउडर और चिकन डालें। बटर चिकन को कम से कम 1 घंटे के लिए मैरीनेट करें। मध्यम आँच पर एक चम्मच मक्खन गरम "&amp;"करें, मैरीनेट किए हुए चिकन को मैरीनेड के साथ मिलाएँ और चिकन को अपने ही मसाले में 4 मिनट तक पकने दें। उसी पैन में टमाटर प्यूरी, नमक, धनिया पाउडर, लाल मिर्च पाउडर और गरम मसाला डालें। बटर चिकन को ढककर 5 मिनट तक पकाएँ। अंत में ताजा क्रीम, शहद और पानी (यदि ग्र"&amp;"ेवी की स्थिरता को समायोजित करने के लिए आवश्यक हो) डालें और बटर चिकन मसाला को तब तक उबालें जब तक चिकन पूरी तरह से पक न जाए। कसूरी मेथी डालकर हिलाएं और बटर चिकन को गर्मागर्म परोसें। बटर चिकन मसाला रेसिपी को बटर नान और स्मोक्ड दाल मखनी ढाबा स्टाइल रेसिपी और "&amp;"अचार वाले प्याज और काले नमक के साथ बूंदी रायता रेसिपी के साथ स्वादिष्ट पंजाबी स्टाइल डिनर के लिए परोसें।")</f>
        <v>बटर चिकन रेसिपी बनाने के लिए सबसे पहले चिकन को अच्छे से धो लें। एक मिक्सिंग बाउल में दही, गरम मसाला, अदरक और लहसुन का पेस्ट, नमक, लाल मिर्च पाउडर, हल्दी पाउडर और चिकन डालें। बटर चिकन को कम से कम 1 घंटे के लिए मैरीनेट करें। मध्यम आँच पर एक चम्मच मक्खन गरम करें, मैरीनेट किए हुए चिकन को मैरीनेड के साथ मिलाएँ और चिकन को अपने ही मसाले में 4 मिनट तक पकने दें। उसी पैन में टमाटर प्यूरी, नमक, धनिया पाउडर, लाल मिर्च पाउडर और गरम मसाला डालें। बटर चिकन को ढककर 5 मिनट तक पकाएँ। अंत में ताजा क्रीम, शहद और पानी (यदि ग्रेवी की स्थिरता को समायोजित करने के लिए आवश्यक हो) डालें और बटर चिकन मसाला को तब तक उबालें जब तक चिकन पूरी तरह से पक न जाए। कसूरी मेथी डालकर हिलाएं और बटर चिकन को गर्मागर्म परोसें। बटर चिकन मसाला रेसिपी को बटर नान और स्मोक्ड दाल मखनी ढाबा स्टाइल रेसिपी और अचार वाले प्याज और काले नमक के साथ बूंदी रायता रेसिपी के साथ स्वादिष्ट पंजाबी स्टाइल डिनर के लिए परोसें।</v>
      </c>
      <c r="J687" s="3" t="s">
        <v>33730</v>
      </c>
      <c r="L687" s="1" t="s">
        <v>31003</v>
      </c>
    </row>
    <row r="688" spans="1:12" ht="13.8">
      <c r="A688" s="1" t="s">
        <v>33731</v>
      </c>
      <c r="B688" s="1" t="str">
        <f ca="1">IFERROR(__xludf.dummyfunction("IF(A688="""", """", GOOGLETRANSLATE(A688, ""en"", ""hi""))"),"ब्राउन राइस और भुनी मूंगफली के साथ पालक खिचड़ी")</f>
        <v>ब्राउन राइस और भुनी मूंगफली के साथ पालक खिचड़ी</v>
      </c>
      <c r="C688" s="1" t="s">
        <v>429</v>
      </c>
      <c r="D688" s="1" t="s">
        <v>14198</v>
      </c>
      <c r="E688" s="1">
        <v>50</v>
      </c>
      <c r="F688" s="1" t="s">
        <v>33732</v>
      </c>
      <c r="G688" s="1" t="str">
        <f ca="1">IFERROR(__xludf.dummyfunction("IF(F688="""", """", GOOGLETRANSLATE(F688, ""en"", ""hi""))"),"1 कप ब्राउन राइस - 30 मिनट के लिए भिगोएं, 1 कप पीली मूंग दाल - 30 मिनट के लिए भिगोएं, 1 कप छोटा प्याज - कटा हुआ, 1 चम्मच सौंफ, 1/4 कप नारियल का दूध, नमक - स्वादानुसार, 1 कप पालक, 1 हरी मिर्च, 1 इंच अदरक, 2 लहसुन की कलियां, 1 चम्मच जीरा, 1 टहनी करी पत्ता, "&amp;"1 इंच दालचीनी, 3 बड़े चम्मच मूंगफली, 2 सूखी लाल मिर्च, हींग - चुटकी भर")</f>
        <v>1 कप ब्राउन राइस - 30 मिनट के लिए भिगोएं, 1 कप पीली मूंग दाल - 30 मिनट के लिए भिगोएं, 1 कप छोटा प्याज - कटा हुआ, 1 चम्मच सौंफ, 1/4 कप नारियल का दूध, नमक - स्वादानुसार, 1 कप पालक, 1 हरी मिर्च, 1 इंच अदरक, 2 लहसुन की कलियां, 1 चम्मच जीरा, 1 टहनी करी पत्ता, 1 इंच दालचीनी, 3 बड़े चम्मच मूंगफली, 2 सूखी लाल मिर्च, हींग - चुटकी भर</v>
      </c>
      <c r="H688" s="1" t="s">
        <v>33733</v>
      </c>
      <c r="I688" s="1" t="str">
        <f ca="1">IFERROR(__xludf.dummyfunction("IF(H688="""", """", GOOGLETRANSLATE(H688, ""en"", ""hi""))"),"""पालक खिचड़ी बनाने के लिए सबसे पहले पालक को 1/2 कप पानी में डालकर प्यूरी बना लें। अब प्रेशर कुकर में तेल डालें। इसमें प्याज़ और सौंफ़ के बीज डालें और प्याज़ के नरम होने तक पकाएँ। पालक डालें और 5 से 6 मिनट तक पकाएँ। अब चावल, 2 कप पानी डालें और मिलाएँ। 1 म"&amp;"िनट बाद नारियल का दूध और नमक डालें। कुकर बंद करें और 3 सीटी आने तक पकाएँ। प्रेशर अपने आप निकल जाने दें। अब तड़का लगाने के लिए तड़का पैन में तेल डालें। अब इसमें जीरा, करी पत्ता, हींग, दालचीनी स्टिक डालें। अब सूखी लाल मिर्च और मूंगफली डालें और मूंगफली के सु"&amp;"नहरे होने तक पकाएँ। इस तड़के को खिचड़ी में डालें और परोसें। पालक खिचड़ी को बूंदी रायता और पापड़ के साथ डिनर में परोसें।""")</f>
        <v>"पालक खिचड़ी बनाने के लिए सबसे पहले पालक को 1/2 कप पानी में डालकर प्यूरी बना लें। अब प्रेशर कुकर में तेल डालें। इसमें प्याज़ और सौंफ़ के बीज डालें और प्याज़ के नरम होने तक पकाएँ। पालक डालें और 5 से 6 मिनट तक पकाएँ। अब चावल, 2 कप पानी डालें और मिलाएँ। 1 मिनट बाद नारियल का दूध और नमक डालें। कुकर बंद करें और 3 सीटी आने तक पकाएँ। प्रेशर अपने आप निकल जाने दें। अब तड़का लगाने के लिए तड़का पैन में तेल डालें। अब इसमें जीरा, करी पत्ता, हींग, दालचीनी स्टिक डालें। अब सूखी लाल मिर्च और मूंगफली डालें और मूंगफली के सुनहरे होने तक पकाएँ। इस तड़के को खिचड़ी में डालें और परोसें। पालक खिचड़ी को बूंदी रायता और पापड़ के साथ डिनर में परोसें।"</v>
      </c>
      <c r="J688" s="3" t="s">
        <v>33734</v>
      </c>
      <c r="L688" s="1" t="s">
        <v>31003</v>
      </c>
    </row>
    <row r="689" spans="1:12" ht="13.8">
      <c r="A689" s="1" t="s">
        <v>33735</v>
      </c>
      <c r="B689" s="1" t="str">
        <f ca="1">IFERROR(__xludf.dummyfunction("IF(A689="""", """", GOOGLETRANSLATE(A689, ""en"", ""hi""))"),"गोभी टमाटर सब्ज़ी")</f>
        <v>गोभी टमाटर सब्ज़ी</v>
      </c>
      <c r="C689" s="1" t="s">
        <v>145</v>
      </c>
      <c r="D689" s="1" t="s">
        <v>14198</v>
      </c>
      <c r="E689" s="1">
        <v>25</v>
      </c>
      <c r="F689" s="1" t="s">
        <v>33736</v>
      </c>
      <c r="G689" s="1" t="str">
        <f ca="1">IFERROR(__xludf.dummyfunction("IF(F689="""", """", GOOGLETRANSLATE(F689, ""en"", ""hi""))"),"300 ग्राम गोभी - बारीक कटी हुई, 2 टमाटर - बारीक कटे हुए, 1 चम्मच हल्दी पाउडर, 1 चम्मच धनिया पाउडर, नमक - स्वादानुसार, लाल मिर्च पाउडर - स्वादानुसार, 1 चम्मच तेल, 1/2 चम्मच राई, 1/2 चम्मच जीरा, 4 धनिया - कटी हुई (गार्निश के लिए)")</f>
        <v>300 ग्राम गोभी - बारीक कटी हुई, 2 टमाटर - बारीक कटे हुए, 1 चम्मच हल्दी पाउडर, 1 चम्मच धनिया पाउडर, नमक - स्वादानुसार, लाल मिर्च पाउडर - स्वादानुसार, 1 चम्मच तेल, 1/2 चम्मच राई, 1/2 चम्मच जीरा, 4 धनिया - कटी हुई (गार्निश के लिए)</v>
      </c>
      <c r="H689" s="1" t="s">
        <v>33737</v>
      </c>
      <c r="I689" s="1" t="str">
        <f ca="1">IFERROR(__xludf.dummyfunction("IF(H689="""", """", GOOGLETRANSLATE(H689, ""en"", ""hi""))"),"गोभी की सब्जी बनाने के लिए सबसे पहले प्रेशर कुकर में तेल गर्म करें। इसमें राई और जीरा डालकर 10 सेकंड तक पकने दें। 10 सेकंड बाद टमाटर डालकर नरम होने तक पकाएं। टमाटर के नरम होने के बाद हल्दी पाउडर, नमक, धनिया पाउडर, लाल मिर्च पाउडर डालकर मिला लें। गोभी और थ"&amp;"ोड़ा पानी डालकर मिक्स करें और प्रेशर कुकर में 2 सीटी आने तक पकाएं। 2 सीटी आने के बाद गैस बंद कर दें और प्रेशर निकलने दें। कुकर खोलें और मिक्स करें और हरे धनिये से गार्निश करें। गोभी की सब्जी को पंचमेल दाल और फुल्के के साथ लंच में सर्व करें।")</f>
        <v>गोभी की सब्जी बनाने के लिए सबसे पहले प्रेशर कुकर में तेल गर्म करें। इसमें राई और जीरा डालकर 10 सेकंड तक पकने दें। 10 सेकंड बाद टमाटर डालकर नरम होने तक पकाएं। टमाटर के नरम होने के बाद हल्दी पाउडर, नमक, धनिया पाउडर, लाल मिर्च पाउडर डालकर मिला लें। गोभी और थोड़ा पानी डालकर मिक्स करें और प्रेशर कुकर में 2 सीटी आने तक पकाएं। 2 सीटी आने के बाद गैस बंद कर दें और प्रेशर निकलने दें। कुकर खोलें और मिक्स करें और हरे धनिये से गार्निश करें। गोभी की सब्जी को पंचमेल दाल और फुल्के के साथ लंच में सर्व करें।</v>
      </c>
      <c r="J689" s="3" t="s">
        <v>33738</v>
      </c>
      <c r="L689" s="1" t="s">
        <v>31003</v>
      </c>
    </row>
    <row r="690" spans="1:12" ht="13.8">
      <c r="A690" s="1" t="s">
        <v>33739</v>
      </c>
      <c r="B690" s="1" t="str">
        <f ca="1">IFERROR(__xludf.dummyfunction("IF(A690="""", """", GOOGLETRANSLATE(A690, ""en"", ""hi""))"),"शाकाहारी काली दाल भरवां पराठा रेसिपी")</f>
        <v>शाकाहारी काली दाल भरवां पराठा रेसिपी</v>
      </c>
      <c r="C690" s="1" t="s">
        <v>145</v>
      </c>
      <c r="D690" s="1" t="s">
        <v>14237</v>
      </c>
      <c r="E690" s="1">
        <v>60</v>
      </c>
      <c r="F690" s="1" t="s">
        <v>33740</v>
      </c>
      <c r="G690" s="1" t="str">
        <f ca="1">IFERROR(__xludf.dummyfunction("IF(F690="""", """", GOOGLETRANSLATE(F690, ""en"", ""hi""))"),"3 कप गेहूं का आटा, मैदा - सभी उद्देश्यों के लिए आटा (डस्टिंग के लिए), नमक - स्वादानुसार, 1 कप लोबिया - रात भर भिगोकर पकाया हुआ, 1/2 चम्मच लाल मिर्च पाउडर, 1/4 चम्मच गरम मसाला पाउडर, 1/4 चम्मच जीरा, नमक - आवश्यकतानुसार, सूरजमुखी तेल - आवश्यकतानुसार")</f>
        <v>3 कप गेहूं का आटा, मैदा - सभी उद्देश्यों के लिए आटा (डस्टिंग के लिए), नमक - स्वादानुसार, 1 कप लोबिया - रात भर भिगोकर पकाया हुआ, 1/2 चम्मच लाल मिर्च पाउडर, 1/4 चम्मच गरम मसाला पाउडर, 1/4 चम्मच जीरा, नमक - आवश्यकतानुसार, सूरजमुखी तेल - आवश्यकतानुसार</v>
      </c>
      <c r="H690" s="1" t="s">
        <v>33741</v>
      </c>
      <c r="I690" s="1" t="str">
        <f ca="1">IFERROR(__xludf.dummyfunction("IF(H690="""", """", GOOGLETRANSLATE(H690, ""en"", ""hi""))"),"वेगन ब्लैक बीन्स स्टफ्ड पराठा बनाने के लिए सबसे पहले एक बड़े मिक्सिंग बाउल में गेहूं का आटा और नमक लें। धीरे-धीरे पानी डालते हुए सभी चीजों को नरम और मुलायम आटे की तरह गूंथ लें। इसे एक तरफ रख दें। इस बीच, पके हुए ब्लैक बीन्स को थोड़ा मोटा पीस लें। पर्याप्त"&amp;" तेल गरम करें और जीरा डालें। जब यह फूटने लगे, तो इसमें पिसा हुआ उड़द का पेस्ट डालें, चलाएँ और तुरंत लाल मिर्च पाउडर, गरम मसाला पाउडर और नमक डालें। कुछ मिनट के लिए धीमी आँच पर सब कुछ पकाएँ और फिर आँच बंद कर दें। जब भरावन तैयार हो जाए, तो पराठे के आटे से 5-"&amp;"6 लोइयाँ बना लें। लोइयों पर मैदा छिड़कें और उन्हें बेलन की मदद से चपटा करें। चपटे आटे पर 1-2 बड़े चम्मच उड़द का मसाला डालें और मसाले को आटे से ढक दें और उन्हें फिर से अपनी हथेलियों में रखकर लोइयाँ बना लें। उन्हें पराठों की तरह बेलें, इन पराठों को गर्म तवे"&amp;" पर पर्याप्त तेल डालकर तब तक पकाएँ जब तक वे अच्छी तरह से पक न जाएँ। वेगन उड़द का भरवां पराठा को बुरानी रायता या अपनी पसंद के किसी भी रायते और अचार के साथ परोसें।")</f>
        <v>वेगन ब्लैक बीन्स स्टफ्ड पराठा बनाने के लिए सबसे पहले एक बड़े मिक्सिंग बाउल में गेहूं का आटा और नमक लें। धीरे-धीरे पानी डालते हुए सभी चीजों को नरम और मुलायम आटे की तरह गूंथ लें। इसे एक तरफ रख दें। इस बीच, पके हुए ब्लैक बीन्स को थोड़ा मोटा पीस लें। पर्याप्त तेल गरम करें और जीरा डालें। जब यह फूटने लगे, तो इसमें पिसा हुआ उड़द का पेस्ट डालें, चलाएँ और तुरंत लाल मिर्च पाउडर, गरम मसाला पाउडर और नमक डालें। कुछ मिनट के लिए धीमी आँच पर सब कुछ पकाएँ और फिर आँच बंद कर दें। जब भरावन तैयार हो जाए, तो पराठे के आटे से 5-6 लोइयाँ बना लें। लोइयों पर मैदा छिड़कें और उन्हें बेलन की मदद से चपटा करें। चपटे आटे पर 1-2 बड़े चम्मच उड़द का मसाला डालें और मसाले को आटे से ढक दें और उन्हें फिर से अपनी हथेलियों में रखकर लोइयाँ बना लें। उन्हें पराठों की तरह बेलें, इन पराठों को गर्म तवे पर पर्याप्त तेल डालकर तब तक पकाएँ जब तक वे अच्छी तरह से पक न जाएँ। वेगन उड़द का भरवां पराठा को बुरानी रायता या अपनी पसंद के किसी भी रायते और अचार के साथ परोसें।</v>
      </c>
      <c r="J690" s="3" t="s">
        <v>33742</v>
      </c>
      <c r="L690" s="1" t="s">
        <v>31003</v>
      </c>
    </row>
    <row r="691" spans="1:12" ht="13.8">
      <c r="A691" s="1" t="s">
        <v>33743</v>
      </c>
      <c r="B691" s="1" t="str">
        <f ca="1">IFERROR(__xludf.dummyfunction("IF(A691="""", """", GOOGLETRANSLATE(A691, ""en"", ""hi""))"),"सुखा काला चना मसाला रेसिपी - अष्टमी प्रसाद")</f>
        <v>सुखा काला चना मसाला रेसिपी - अष्टमी प्रसाद</v>
      </c>
      <c r="C691" s="1" t="s">
        <v>14259</v>
      </c>
      <c r="D691" s="1" t="s">
        <v>14237</v>
      </c>
      <c r="E691" s="1">
        <v>425</v>
      </c>
      <c r="F691" s="1" t="s">
        <v>33744</v>
      </c>
      <c r="G691" s="1" t="str">
        <f ca="1">IFERROR(__xludf.dummyfunction("IF(F691="""", """", GOOGLETRANSLATE(F691, ""en"", ""hi""))"),"1 कप काला चना - रातभर भिगोया हुआ, नमक - स्वादानुसार, 1 बड़ा चम्मच घी, 1/2 छोटा चम्मच जीरा, 1 छोटा चम्मच आमचूर, 1 छोटा चम्मच चाट मसाला पाउडर, 1 छोटा चम्मच लाल मिर्च पाउडर, 1 छोटा चम्मच जीरा पाउडर")</f>
        <v>1 कप काला चना - रातभर भिगोया हुआ, नमक - स्वादानुसार, 1 बड़ा चम्मच घी, 1/2 छोटा चम्मच जीरा, 1 छोटा चम्मच आमचूर, 1 छोटा चम्मच चाट मसाला पाउडर, 1 छोटा चम्मच लाल मिर्च पाउडर, 1 छोटा चम्मच जीरा पाउडर</v>
      </c>
      <c r="H691" s="1" t="s">
        <v>33745</v>
      </c>
      <c r="I691" s="1" t="str">
        <f ca="1">IFERROR(__xludf.dummyfunction("IF(H691="""", """", GOOGLETRANSLATE(H691, ""en"", ""hi""))"),"सूखा काला चना मसाला रेसिपी बनाना शुरू करने के लिए, सुनिश्चित करें कि काला चना रात भर या कम से कम 6-8 घंटे के लिए भिगोया गया हो। काला चना भिगोने के बाद, इसे 1 कप पानी और स्वादानुसार नमक के साथ प्रेशर कुकर में डालें। लगभग 5-6 सीटी आने तक प्रेशर कुक करें और "&amp;"आंच बंद कर दें। प्रेशर को अपने आप निकलने दें। प्रेशर निकल जाने के बाद, प्रेशर कुकर खोलें और काले चने से अतिरिक्त पानी निकाल दें। एक पैन में मध्यम आंच पर घी गर्म करें, घी गर्म हो जाने पर उसमें जीरा डालें और उन्हें तड़कने दें। इसके बाद आंच कम कर दें, अदरक औ"&amp;"र हरी मिर्च डालें। अब सभी सूखे मसाले - अमचूर पाउडर, धनिया पाउडर, चाट मसाला और जीरा पाउडर डालें। इसे अच्छी तरह से हिलाएँ और 3 से 4 मिनट तक पैन में सुखा काला चना को तब तक पकाएँ जब तक कि मसाला अच्छे से काला चना में न मिल जाए। एक बार हो जाने पर, आँच बंद कर दे"&amp;"ं, जाँचें कि आपको और नमक डालने की ज़रूरत है या नहीं और स्वाद के अनुसार समायोजित करें। सुखा काला चना को एक सर्विंग बाउल में डालें और नवरात्रि जैसे त्यौहारों पर प्रसाद के रूप में परोसें। सुखा काला चना मसाला रेसिपी को रवा केसरी भात/सूजी हलवा रेसिपी और पूरी र"&amp;"ेसिपी के साथ अष्टमी के प्रसाद के रूप में या रविवार के नाश्ते के रूप में परोसें।")</f>
        <v>सूखा काला चना मसाला रेसिपी बनाना शुरू करने के लिए, सुनिश्चित करें कि काला चना रात भर या कम से कम 6-8 घंटे के लिए भिगोया गया हो। काला चना भिगोने के बाद, इसे 1 कप पानी और स्वादानुसार नमक के साथ प्रेशर कुकर में डालें। लगभग 5-6 सीटी आने तक प्रेशर कुक करें और आंच बंद कर दें। प्रेशर को अपने आप निकलने दें। प्रेशर निकल जाने के बाद, प्रेशर कुकर खोलें और काले चने से अतिरिक्त पानी निकाल दें। एक पैन में मध्यम आंच पर घी गर्म करें, घी गर्म हो जाने पर उसमें जीरा डालें और उन्हें तड़कने दें। इसके बाद आंच कम कर दें, अदरक और हरी मिर्च डालें। अब सभी सूखे मसाले - अमचूर पाउडर, धनिया पाउडर, चाट मसाला और जीरा पाउडर डालें। इसे अच्छी तरह से हिलाएँ और 3 से 4 मिनट तक पैन में सुखा काला चना को तब तक पकाएँ जब तक कि मसाला अच्छे से काला चना में न मिल जाए। एक बार हो जाने पर, आँच बंद कर दें, जाँचें कि आपको और नमक डालने की ज़रूरत है या नहीं और स्वाद के अनुसार समायोजित करें। सुखा काला चना को एक सर्विंग बाउल में डालें और नवरात्रि जैसे त्यौहारों पर प्रसाद के रूप में परोसें। सुखा काला चना मसाला रेसिपी को रवा केसरी भात/सूजी हलवा रेसिपी और पूरी रेसिपी के साथ अष्टमी के प्रसाद के रूप में या रविवार के नाश्ते के रूप में परोसें।</v>
      </c>
      <c r="J691" s="3" t="s">
        <v>33746</v>
      </c>
      <c r="L691" s="1" t="s">
        <v>31003</v>
      </c>
    </row>
    <row r="692" spans="1:12" ht="13.8">
      <c r="A692" s="1" t="s">
        <v>33747</v>
      </c>
      <c r="B692" s="1" t="str">
        <f ca="1">IFERROR(__xludf.dummyfunction("IF(A692="""", """", GOOGLETRANSLATE(A692, ""en"", ""hi""))"),"चना मेथी दाल रेसिपी")</f>
        <v>चना मेथी दाल रेसिपी</v>
      </c>
      <c r="C692" s="1" t="s">
        <v>145</v>
      </c>
      <c r="D692" s="1" t="s">
        <v>14237</v>
      </c>
      <c r="E692" s="1">
        <v>45</v>
      </c>
      <c r="F692" s="1" t="s">
        <v>33748</v>
      </c>
      <c r="G692" s="1" t="str">
        <f ca="1">IFERROR(__xludf.dummyfunction("IF(F692="""", """", GOOGLETRANSLATE(F692, ""en"", ""hi""))"),"1 कप चना दाल, 1 कप मेथी - साफ करके काट लें, 1/4 छोटा चम्मच हींग, 1 प्याज - पतले टुकड़ों में कटा हुआ, 1 टमाटर - कटा हुआ, 1 छोटा चम्मच धनिया पत्ता, 1 छोटा चम्मच हल्दी पाउडर, 1 छोटा चम्मच लाल मिर्च पाउडर, नमक - स्वादानुसार, 1 बड़ा चम्मच घी, 1 छोटा चम्मच जीरा"&amp;", 2 सूखी लाल मिर्च")</f>
        <v>1 कप चना दाल, 1 कप मेथी - साफ करके काट लें, 1/4 छोटा चम्मच हींग, 1 प्याज - पतले टुकड़ों में कटा हुआ, 1 टमाटर - कटा हुआ, 1 छोटा चम्मच धनिया पत्ता, 1 छोटा चम्मच हल्दी पाउडर, 1 छोटा चम्मच लाल मिर्च पाउडर, नमक - स्वादानुसार, 1 बड़ा चम्मच घी, 1 छोटा चम्मच जीरा, 2 सूखी लाल मिर्च</v>
      </c>
      <c r="H692" s="1" t="s">
        <v>33749</v>
      </c>
      <c r="I692" s="1" t="str">
        <f ca="1">IFERROR(__xludf.dummyfunction("IF(H692="""", """", GOOGLETRANSLATE(H692, ""en"", ""hi""))"),"""चना मेथी दाल रेसिपी बनाने के लिए सबसे पहले चना दाल को 3 कप पानी में 30 मिनट के लिए भिगो दें। अब मेथी को पानी से धोकर काट लें। एक पैन में तेल गर्म करें। इसमें मेथी डालें और मेथी के नरम होने तक पकाएं। मेथी के नरम होने के बाद गैस बंद कर दें और इसे एक तरफ र"&amp;"ख दें। अब प्रेशर कुकर में तेल गर्म करें। इसमें हींग डालें और 10 सेकंड तक पकाएं। 10 सेकंड बाद प्याज डालें और नरम होने तक पकाएं। प्याज के नरम होने के बाद इसमें टमाटर के साथ धनिया पाउडर, हल्दी पाउडर, लाल मिर्च पाउडर, नमक डालें और पकने दें। अब इसमें पानी के स"&amp;"ाथ चना दाल डालें। कुकर बंद करके 6 से 8 सीटी आने तक पकाएं। प्रेशर अपने आप निकलने दें। कुकर खोलें, दाल को मैश करें और मेथी डालें। मिक्स करें और एक बाउल में निकाल लें। अब तड़के के लिए एक तड़के वाले पैन में घी गर्म करें। इसमें जीरा, सूखी लाल मिर्च डालें और 15"&amp;" सेकंड तक पकाएं। तड़के को दाल में डालें और अच्छे से मिला लें। चना मेथी दाल सर्व करें दोपहर के भोजन के लिए टमाटर प्याज ककड़ी रायता, टमाटर प्याज ककड़ी रायता और फुल्के के साथ रेसिपी।""")</f>
        <v>"चना मेथी दाल रेसिपी बनाने के लिए सबसे पहले चना दाल को 3 कप पानी में 30 मिनट के लिए भिगो दें। अब मेथी को पानी से धोकर काट लें। एक पैन में तेल गर्म करें। इसमें मेथी डालें और मेथी के नरम होने तक पकाएं। मेथी के नरम होने के बाद गैस बंद कर दें और इसे एक तरफ रख दें। अब प्रेशर कुकर में तेल गर्म करें। इसमें हींग डालें और 10 सेकंड तक पकाएं। 10 सेकंड बाद प्याज डालें और नरम होने तक पकाएं। प्याज के नरम होने के बाद इसमें टमाटर के साथ धनिया पाउडर, हल्दी पाउडर, लाल मिर्च पाउडर, नमक डालें और पकने दें। अब इसमें पानी के साथ चना दाल डालें। कुकर बंद करके 6 से 8 सीटी आने तक पकाएं। प्रेशर अपने आप निकलने दें। कुकर खोलें, दाल को मैश करें और मेथी डालें। मिक्स करें और एक बाउल में निकाल लें। अब तड़के के लिए एक तड़के वाले पैन में घी गर्म करें। इसमें जीरा, सूखी लाल मिर्च डालें और 15 सेकंड तक पकाएं। तड़के को दाल में डालें और अच्छे से मिला लें। चना मेथी दाल सर्व करें दोपहर के भोजन के लिए टमाटर प्याज ककड़ी रायता, टमाटर प्याज ककड़ी रायता और फुल्के के साथ रेसिपी।"</v>
      </c>
      <c r="J692" s="3" t="s">
        <v>33750</v>
      </c>
      <c r="L692" s="1" t="s">
        <v>31003</v>
      </c>
    </row>
    <row r="693" spans="1:12" ht="13.8">
      <c r="A693" s="1" t="s">
        <v>33280</v>
      </c>
      <c r="B693" s="1" t="str">
        <f ca="1">IFERROR(__xludf.dummyfunction("IF(A693="""", """", GOOGLETRANSLATE(A693, ""en"", ""hi""))"),"शाही अंडा करी रेसिपी टमाटर और काजू ग्रेवी में")</f>
        <v>शाही अंडा करी रेसिपी टमाटर और काजू ग्रेवी में</v>
      </c>
      <c r="C693" s="1" t="s">
        <v>429</v>
      </c>
      <c r="D693" s="1" t="s">
        <v>15314</v>
      </c>
      <c r="E693" s="1">
        <v>90</v>
      </c>
      <c r="F693" s="1" t="s">
        <v>33751</v>
      </c>
      <c r="G693" s="1" t="str">
        <f ca="1">IFERROR(__xludf.dummyfunction("IF(F693="""", """", GOOGLETRANSLATE(F693, ""en"", ""hi""))"),"4 अंडे, 1-1/2 कप टमाटर प्यूरी, 2 प्याज - बारीक कटा हुआ, 6 लहसुन की कलियां, 1 इंच अदरक, 1 तेज पत्ता, 1/2 चम्मच हल्दी पाउडर, 1 चम्मच लाल मिर्च पाउडर, 1 चम्मच गरम मसाला पाउडर, 1 चम्मच कसूरी मेथी, 1/4 कप काजू - पेस्ट बनाएं, जैतून का तेल - आवश्यकतानुसार, 2 नमक"&amp;" - स्वादानुसार")</f>
        <v>4 अंडे, 1-1/2 कप टमाटर प्यूरी, 2 प्याज - बारीक कटा हुआ, 6 लहसुन की कलियां, 1 इंच अदरक, 1 तेज पत्ता, 1/2 चम्मच हल्दी पाउडर, 1 चम्मच लाल मिर्च पाउडर, 1 चम्मच गरम मसाला पाउडर, 1 चम्मच कसूरी मेथी, 1/4 कप काजू - पेस्ट बनाएं, जैतून का तेल - आवश्यकतानुसार, 2 नमक - स्वादानुसार</v>
      </c>
      <c r="H693" s="1" t="s">
        <v>33752</v>
      </c>
      <c r="I693" s="1" t="str">
        <f ca="1">IFERROR(__xludf.dummyfunction("IF(H693="""", """", GOOGLETRANSLATE(H693, ""en"", ""hi""))"),"शाही अंडा करी रेसिपी बनाने के लिए सबसे पहले एक सॉस पैन में पानी के साथ अंडे डालें और 15 मिनट तक उबालें। अब गैस बंद कर दें और अंडे को ठंडा होने के लिए अलग रख दें। अदरक और लहसुन को एक मोर्टार में पीस लें। एक पैन में जैतून का तेल गर्म करें। प्याज, अदरक, लहसु"&amp;"न डालें और प्याज के नरम होने तक पकाएँ। प्याज के नरम होने के बाद, टमाटर प्यूरी, तेज पत्ता, हल्दी पाउडर, लाल मिर्च पाउडर, गरम मसाला पाउडर डालें और अच्छी तरह मिलाएँ। 2 मिनट के बाद काजू का पेस्ट, उबले अंडे डालें और मिलाएँ। पैन को ढक दें और इसे 5 से 10 मिनट तक"&amp;" पकने दें। इसके बाद कसूरी मेथी डालें और मिलाएँ। परोसें। शाही अंडा करी रेसिपी को हैदराबादी वेजिटेबल बिरयानी, लच्छा पराठा और बुरानी रायता के साथ अपने वीकेंड डिनर के लिए परोसें।")</f>
        <v>शाही अंडा करी रेसिपी बनाने के लिए सबसे पहले एक सॉस पैन में पानी के साथ अंडे डालें और 15 मिनट तक उबालें। अब गैस बंद कर दें और अंडे को ठंडा होने के लिए अलग रख दें। अदरक और लहसुन को एक मोर्टार में पीस लें। एक पैन में जैतून का तेल गर्म करें। प्याज, अदरक, लहसुन डालें और प्याज के नरम होने तक पकाएँ। प्याज के नरम होने के बाद, टमाटर प्यूरी, तेज पत्ता, हल्दी पाउडर, लाल मिर्च पाउडर, गरम मसाला पाउडर डालें और अच्छी तरह मिलाएँ। 2 मिनट के बाद काजू का पेस्ट, उबले अंडे डालें और मिलाएँ। पैन को ढक दें और इसे 5 से 10 मिनट तक पकने दें। इसके बाद कसूरी मेथी डालें और मिलाएँ। परोसें। शाही अंडा करी रेसिपी को हैदराबादी वेजिटेबल बिरयानी, लच्छा पराठा और बुरानी रायता के साथ अपने वीकेंड डिनर के लिए परोसें।</v>
      </c>
      <c r="J693" s="3" t="s">
        <v>33753</v>
      </c>
      <c r="L693" s="1" t="s">
        <v>31003</v>
      </c>
    </row>
    <row r="694" spans="1:12" ht="13.8">
      <c r="A694" s="1" t="s">
        <v>33754</v>
      </c>
      <c r="B694" s="1" t="str">
        <f ca="1">IFERROR(__xludf.dummyfunction("IF(A694="""", """", GOOGLETRANSLATE(A694, ""en"", ""hi""))"),"प्याज और लहसुन के बिना दाल मखनी")</f>
        <v>प्याज और लहसुन के बिना दाल मखनी</v>
      </c>
      <c r="C694" s="1" t="s">
        <v>145</v>
      </c>
      <c r="D694" s="1" t="s">
        <v>14237</v>
      </c>
      <c r="E694" s="1">
        <v>55</v>
      </c>
      <c r="F694" s="1" t="s">
        <v>33755</v>
      </c>
      <c r="G694" s="1" t="str">
        <f ca="1">IFERROR(__xludf.dummyfunction("IF(F694="""", """", GOOGLETRANSLATE(F694, ""en"", ""hi""))"),"1 कप काली उड़द दाल, 1/2 कप राजमा, 1 चम्मच जीरा, 1 चम्मच कश्मीरी लाल मिर्च पाउडर, 1-1/2 कप टमाटर प्यूरी, 2 बड़े चम्मच क्रीम, 2 बड़े चम्मच मक्खन, 1 कप दूध, 2 चम्मच गरम मसाला पाउडर, 1/2 चम्मच इलायची पाउडर, 1 चम्मच कसूरी मेथी")</f>
        <v>1 कप काली उड़द दाल, 1/2 कप राजमा, 1 चम्मच जीरा, 1 चम्मच कश्मीरी लाल मिर्च पाउडर, 1-1/2 कप टमाटर प्यूरी, 2 बड़े चम्मच क्रीम, 2 बड़े चम्मच मक्खन, 1 कप दूध, 2 चम्मच गरम मसाला पाउडर, 1/2 चम्मच इलायची पाउडर, 1 चम्मच कसूरी मेथी</v>
      </c>
      <c r="H694" s="1" t="s">
        <v>33756</v>
      </c>
      <c r="I694" s="1" t="str">
        <f ca="1">IFERROR(__xludf.dummyfunction("IF(H694="""", """", GOOGLETRANSLATE(H694, ""en"", ""hi""))"),"""दाल मखनी बनाने के लिए सबसे पहले काली दाल और राजमा को रात भर भिगोकर रखें। अब एक प्रेशर कुकर लें और उसमें दाल, 1 कप दूध, 2 कप पानी, गरम मसाला, इलायची पाउडर, नमक, लाल मिर्च पाउडर डालें और अच्छी तरह मिलाएँ। 5 से 6 सीटी आने तक पकाएँ। अब आंच धीमी करके 20 से 2"&amp;"5 मिनट तक पकने दें। इसके बाद गैस बंद कर दें। प्रेशर को अपने आप निकलने दें। अब एक पैन में 2 बड़े चम्मच मक्खन गर्म करें। इसमें जीरा डालें और 10 सेकंड तक पकने दें। इसमें टमाटर प्यूरी डालें और 3 से 5 मिनट तक पकने दें। अब इसमें दाल, नमक डालें और पकने दें। अब इ"&amp;"समें क्रीम डालें और धीमी आंच पर 5 मिनट तक पकाएँ। गैस बंद कर दें। दाल मखनी को अजवाइन टमाटर भिंडी और तवा पराठे के साथ लंच में सर्व करें।""")</f>
        <v>"दाल मखनी बनाने के लिए सबसे पहले काली दाल और राजमा को रात भर भिगोकर रखें। अब एक प्रेशर कुकर लें और उसमें दाल, 1 कप दूध, 2 कप पानी, गरम मसाला, इलायची पाउडर, नमक, लाल मिर्च पाउडर डालें और अच्छी तरह मिलाएँ। 5 से 6 सीटी आने तक पकाएँ। अब आंच धीमी करके 20 से 25 मिनट तक पकने दें। इसके बाद गैस बंद कर दें। प्रेशर को अपने आप निकलने दें। अब एक पैन में 2 बड़े चम्मच मक्खन गर्म करें। इसमें जीरा डालें और 10 सेकंड तक पकने दें। इसमें टमाटर प्यूरी डालें और 3 से 5 मिनट तक पकने दें। अब इसमें दाल, नमक डालें और पकने दें। अब इसमें क्रीम डालें और धीमी आंच पर 5 मिनट तक पकाएँ। गैस बंद कर दें। दाल मखनी को अजवाइन टमाटर भिंडी और तवा पराठे के साथ लंच में सर्व करें।"</v>
      </c>
      <c r="J694" s="3" t="s">
        <v>33757</v>
      </c>
      <c r="L694" s="1" t="s">
        <v>31003</v>
      </c>
    </row>
    <row r="695" spans="1:12" ht="409.6">
      <c r="A695" s="1" t="s">
        <v>33758</v>
      </c>
      <c r="B695" s="1" t="str">
        <f ca="1">IFERROR(__xludf.dummyfunction("IF(A695="""", """", GOOGLETRANSLATE(A695, ""en"", ""hi""))"),"काला चना चाट रेसिपी-चटपटा हेल्दी स्ट्रीट फूड")</f>
        <v>काला चना चाट रेसिपी-चटपटा हेल्दी स्ट्रीट फूड</v>
      </c>
      <c r="C695" s="1" t="s">
        <v>14572</v>
      </c>
      <c r="D695" s="1" t="s">
        <v>14237</v>
      </c>
      <c r="E695" s="1">
        <v>505</v>
      </c>
      <c r="F695" s="1" t="s">
        <v>33759</v>
      </c>
      <c r="G695" s="1" t="str">
        <f ca="1">IFERROR(__xludf.dummyfunction("IF(F695="""", """", GOOGLETRANSLATE(F695, ""en"", ""hi""))"),"1 कप काला चना, 1/2 ताजे अनार के फल की गिरी - ½ कप अनार के दाने, 1 आलू - उबला और टुकड़ों में कटा हुआ, 1 टमाटर - बारीक कटा हुआ, 1 प्याज - बारीक कटा हुआ, 1 हरी मिर्च - बारीक कटी हुई, 1 चम्मच लाल मिर्च पाउडर, 1 चम्मच जीरा पाउडर (जीरा), 1 चम्मच चाट मसाला पाउडर"&amp;", 1 चम्मच अमचूर (सूखा आम पाउडर), काला नमक (काला नमक) - स्वादानुसार, 1/2 बड़ा चम्मच नींबू का रस - ताजा निचोड़ा हुआ, सेव - गार्निश करने के लिए, 1 कप खजूर - बीज निकालकर कटे हुए, 1/4 कप इमली का पेस्ट, 1/4 कप गुड़, 1 चम्मच लाल मिर्च पाउडर, 1 चम्मच जीरा पाउडर ("&amp;"जीरा), 1/2 चम्मच सूखा अदरक पाउडर, 1/2 चम्मच काला नमक (काला नमक), नमक - स्वादानुसार, 1/2 कप धनिया (धनिया) पत्तियां - कटी हुई, 1/2 कप पुदीना पत्तियां (पुदीना) - कटा हुआ, 1/2 बड़ा चम्मच अदरक - कटा हुआ, 1 हरी मिर्च, 1 चम्मच चीनी, 1 बड़ा चम्मच नींबू का रस, नमक"&amp;" - स्वादानुसार")</f>
        <v>1 कप काला चना, 1/2 ताजे अनार के फल की गिरी - ½ कप अनार के दाने, 1 आलू - उबला और टुकड़ों में कटा हुआ, 1 टमाटर - बारीक कटा हुआ, 1 प्याज - बारीक कटा हुआ, 1 हरी मिर्च - बारीक कटी हुई, 1 चम्मच लाल मिर्च पाउडर, 1 चम्मच जीरा पाउडर (जीरा), 1 चम्मच चाट मसाला पाउडर, 1 चम्मच अमचूर (सूखा आम पाउडर), काला नमक (काला नमक) - स्वादानुसार, 1/2 बड़ा चम्मच नींबू का रस - ताजा निचोड़ा हुआ, सेव - गार्निश करने के लिए, 1 कप खजूर - बीज निकालकर कटे हुए, 1/4 कप इमली का पेस्ट, 1/4 कप गुड़, 1 चम्मच लाल मिर्च पाउडर, 1 चम्मच जीरा पाउडर (जीरा), 1/2 चम्मच सूखा अदरक पाउडर, 1/2 चम्मच काला नमक (काला नमक), नमक - स्वादानुसार, 1/2 कप धनिया (धनिया) पत्तियां - कटी हुई, 1/2 कप पुदीना पत्तियां (पुदीना) - कटा हुआ, 1/2 बड़ा चम्मच अदरक - कटा हुआ, 1 हरी मिर्च, 1 चम्मच चीनी, 1 बड़ा चम्मच नींबू का रस, नमक - स्वादानुसार</v>
      </c>
      <c r="H695" s="4" t="s">
        <v>33760</v>
      </c>
      <c r="I695" s="1" t="str">
        <f ca="1">IFERROR(__xludf.dummyfunction("IF(H695="""", """", GOOGLETRANSLATE(H695, ""en"", ""hi""))"),"काला चना चाट रेसिपी बनाने के लिए सबसे पहले काले चने को धोकर रात भर भिगो दें। भिगोए हुए चने को प्रेशर कुकर में डालें। भिगोए हुए चने का पानी निकाल दें और आधा कप ताज़ा पानी और स्वादानुसार नमक डालें। प्रेशर कुकर को बंद करके 6 सीटी आने तक पकाएँ, आँच धीमी कर दे"&amp;"ं और 5 मिनट तक पकाएँ। आँच बंद कर दें। प्रेशर को अपने आप निकलने दें। प्रेशर निकल जाने पर अगर पानी बचा हो तो निकाल दें और चने को एक मिक्सिंग बाउल में डालें। उसी मिक्सिंग बाउल में अनार, उबले आलू, टमाटर, प्याज, हरी मिर्च, लाल मिर्च पाउडर, जीरा पाउडर, चाट मसाल"&amp;"ा, काला नमक, अमचूर, 2 बड़े चम्मच धनिया पुदीना चटनी और 1 बड़ा चम्मच इमली की चटनी और नींबू का रस काले चने के साथ मिलाएँ। अच्छी तरह मिलाएँ। वैकल्पिक रूप से, अगर आप हरी चटनी और मीठी चटनी नहीं डालना चाहते मसाले और नमक को अपने स्वाद और पसंद के अनुसार समायोजित क"&amp;"रें। सेव से गार्निश करें और परोसें। इस काला चना चाट को अन्य चाट व्यंजनों जैसे पार्टी सेव पुरी रेसिपी आलू और अनार पुदीना मेयो से भरी रेसिपी और दिल्ली स्टाइल हेल्दी आलू चाट रेसिपी (मसालेदार और टैंगी आलू स्टिर फ्राई रेसिपी) और दही बटाटा पुरी चाट रेसिपी क्लास"&amp;"िक भारतीय चाय के समय का नाश्ता चाट पार्टी की शाम के लिए परोसें। अगर आप इस काला चना चाट को भारतीय सलाद के रूप में परोसना चाहते हैं, तो इसे अरहर की दाल के साथ लहसुन तड़का और फुल्के के साथ परोसें या इसे ऐसे ही एक हेल्दी स्नैक के रूप में खाएं।")</f>
        <v>काला चना चाट रेसिपी बनाने के लिए सबसे पहले काले चने को धोकर रात भर भिगो दें। भिगोए हुए चने को प्रेशर कुकर में डालें। भिगोए हुए चने का पानी निकाल दें और आधा कप ताज़ा पानी और स्वादानुसार नमक डालें। प्रेशर कुकर को बंद करके 6 सीटी आने तक पकाएँ, आँच धीमी कर दें और 5 मिनट तक पकाएँ। आँच बंद कर दें। प्रेशर को अपने आप निकलने दें। प्रेशर निकल जाने पर अगर पानी बचा हो तो निकाल दें और चने को एक मिक्सिंग बाउल में डालें। उसी मिक्सिंग बाउल में अनार, उबले आलू, टमाटर, प्याज, हरी मिर्च, लाल मिर्च पाउडर, जीरा पाउडर, चाट मसाला, काला नमक, अमचूर, 2 बड़े चम्मच धनिया पुदीना चटनी और 1 बड़ा चम्मच इमली की चटनी और नींबू का रस काले चने के साथ मिलाएँ। अच्छी तरह मिलाएँ। वैकल्पिक रूप से, अगर आप हरी चटनी और मीठी चटनी नहीं डालना चाहते मसाले और नमक को अपने स्वाद और पसंद के अनुसार समायोजित करें। सेव से गार्निश करें और परोसें। इस काला चना चाट को अन्य चाट व्यंजनों जैसे पार्टी सेव पुरी रेसिपी आलू और अनार पुदीना मेयो से भरी रेसिपी और दिल्ली स्टाइल हेल्दी आलू चाट रेसिपी (मसालेदार और टैंगी आलू स्टिर फ्राई रेसिपी) और दही बटाटा पुरी चाट रेसिपी क्लासिक भारतीय चाय के समय का नाश्ता चाट पार्टी की शाम के लिए परोसें। अगर आप इस काला चना चाट को भारतीय सलाद के रूप में परोसना चाहते हैं, तो इसे अरहर की दाल के साथ लहसुन तड़का और फुल्के के साथ परोसें या इसे ऐसे ही एक हेल्दी स्नैक के रूप में खाएं।</v>
      </c>
      <c r="J695" s="3" t="s">
        <v>33761</v>
      </c>
      <c r="L695" s="1" t="s">
        <v>31003</v>
      </c>
    </row>
    <row r="696" spans="1:12" ht="13.8">
      <c r="A696" s="1" t="s">
        <v>33762</v>
      </c>
      <c r="B696" s="1" t="str">
        <f ca="1">IFERROR(__xludf.dummyfunction("IF(A696="""", """", GOOGLETRANSLATE(A696, ""en"", ""hi""))"),"पनीर दो प्याज़ा")</f>
        <v>पनीर दो प्याज़ा</v>
      </c>
      <c r="C696" s="1" t="s">
        <v>429</v>
      </c>
      <c r="D696" s="1" t="s">
        <v>14198</v>
      </c>
      <c r="E696" s="1">
        <v>40</v>
      </c>
      <c r="F696" s="1" t="s">
        <v>33763</v>
      </c>
      <c r="G696" s="1" t="str">
        <f ca="1">IFERROR(__xludf.dummyfunction("IF(F696="""", """", GOOGLETRANSLATE(F696, ""en"", ""hi""))"),"1 कप पनीर - कटा हुआ, तेल - आवश्यकतानुसार, 1-1/2 प्याज - कटा हुआ, 1 प्याज - कटा हुआ, 2-1/2 टमाटर - बारीक कटा हुआ, 1 छोटा चम्मच जीरा, 2 इलायची, 1-1/2 छोटा चम्मच अदरक लहसुन पेस्ट, 1/4 छोटा चम्मच हल्दी पाउडर, 1 छोटा चम्मच धनिया पाउडर, 1-1/2 छोटा चम्मच लाल मिर"&amp;"्च पाउडर, 1 छोटा चम्मच कसूरी मेथी, 1/2 छोटा चम्मच गरम मसाला पाउडर, 1/4 कप क्रीम - हैवी व्हिपिंग, नमक - स्वादानुसार")</f>
        <v>1 कप पनीर - कटा हुआ, तेल - आवश्यकतानुसार, 1-1/2 प्याज - कटा हुआ, 1 प्याज - कटा हुआ, 2-1/2 टमाटर - बारीक कटा हुआ, 1 छोटा चम्मच जीरा, 2 इलायची, 1-1/2 छोटा चम्मच अदरक लहसुन पेस्ट, 1/4 छोटा चम्मच हल्दी पाउडर, 1 छोटा चम्मच धनिया पाउडर, 1-1/2 छोटा चम्मच लाल मिर्च पाउडर, 1 छोटा चम्मच कसूरी मेथी, 1/2 छोटा चम्मच गरम मसाला पाउडर, 1/4 कप क्रीम - हैवी व्हिपिंग, नमक - स्वादानुसार</v>
      </c>
      <c r="H696" s="1" t="s">
        <v>33764</v>
      </c>
      <c r="I696" s="1" t="str">
        <f ca="1">IFERROR(__xludf.dummyfunction("IF(H696="""", """", GOOGLETRANSLATE(H696, ""en"", ""hi""))"),"""पनीर दो प्याज़ा बनाने के लिए सबसे पहले एक पैन में तेल गर्म करें। उसमें प्याज़ डालें और नरम होने तक पकाएँ। नरम होने के बाद उसे निकाल कर अलग रख दें। एक पैन में अलग से तेल गर्म करें। उसमें जीरा और इलायची डालकर 10 सेकंड तक पकाएँ। अब कटे हुए प्याज़ डालें और "&amp;"नरम होने तक पकाएँ। लहसुन अदरक का पेस्ट डालें और 1 मिनट तक पकाएँ। 1 मिनट बाद टमाटर डालें और नरम होने तक पकाएँ। मसाले, कसूरी मेथी, नमक डालें और अच्छी तरह मिलाएँ। ग्रेवी को 5 मिनट तक पकाएँ। 5 मिनट बाद पनीर, पका हुआ प्याज़ डालें और मिलाएँ। अब थोड़ी क्रीम डाले"&amp;"ं और 3 से 4 मिनट तक पकाएँ।""")</f>
        <v>"पनीर दो प्याज़ा बनाने के लिए सबसे पहले एक पैन में तेल गर्म करें। उसमें प्याज़ डालें और नरम होने तक पकाएँ। नरम होने के बाद उसे निकाल कर अलग रख दें। एक पैन में अलग से तेल गर्म करें। उसमें जीरा और इलायची डालकर 10 सेकंड तक पकाएँ। अब कटे हुए प्याज़ डालें और नरम होने तक पकाएँ। लहसुन अदरक का पेस्ट डालें और 1 मिनट तक पकाएँ। 1 मिनट बाद टमाटर डालें और नरम होने तक पकाएँ। मसाले, कसूरी मेथी, नमक डालें और अच्छी तरह मिलाएँ। ग्रेवी को 5 मिनट तक पकाएँ। 5 मिनट बाद पनीर, पका हुआ प्याज़ डालें और मिलाएँ। अब थोड़ी क्रीम डालें और 3 से 4 मिनट तक पकाएँ।"</v>
      </c>
      <c r="J696" s="3" t="s">
        <v>33765</v>
      </c>
      <c r="L696" s="1" t="s">
        <v>31003</v>
      </c>
    </row>
    <row r="697" spans="1:12" ht="13.8">
      <c r="A697" s="1" t="s">
        <v>33766</v>
      </c>
      <c r="B697" s="1" t="str">
        <f ca="1">IFERROR(__xludf.dummyfunction("IF(A697="""", """", GOOGLETRANSLATE(A697, ""en"", ""hi""))"),"दही वाले मखाने रेसिपी - दही की ग्रेवी में कमल के बीज")</f>
        <v>दही वाले मखाने रेसिपी - दही की ग्रेवी में कमल के बीज</v>
      </c>
      <c r="C697" s="1" t="s">
        <v>145</v>
      </c>
      <c r="D697" s="1" t="s">
        <v>14198</v>
      </c>
      <c r="E697" s="1">
        <v>30</v>
      </c>
      <c r="F697" s="1" t="s">
        <v>33767</v>
      </c>
      <c r="G697" s="1" t="str">
        <f ca="1">IFERROR(__xludf.dummyfunction("IF(F697="""", """", GOOGLETRANSLATE(F697, ""en"", ""hi""))"),"1 प्याज - कटा हुआ, 4 लहसुन के दाने - कटा हुआ, 1 चम्मच सूरजमुखी तेल, 1/4 चम्मच हल्दी, 1/2 चम्मच लाल मिर्च पाउडर, 1/2 चम्मच धनिया पाउडर, 1/2 चम्मच गरम मसाला पाउडर, 1 इलायची, 1 लौंग, 1/3 कप दही - कमरे के तापमान पर, 1/3 कप पानी, नमक - स्वादानुसार, 2 चम्मच बेस"&amp;"न, 1/2 इंच अदरक - कटा हुआ, 1 हरी मिर्च - कटी हुई, 1 कप फूल मखाना, 1/2 चम्मच घी, 1/2 चम्मच चाट मसाला पाउडर, 1/2 चम्मच जीरा, 1 चम्मच तंदूरी मसाला, 1/2 चम्मच लाल मिर्च पाउडर, 1/2 चम्मच नींबू का रस")</f>
        <v>1 प्याज - कटा हुआ, 4 लहसुन के दाने - कटा हुआ, 1 चम्मच सूरजमुखी तेल, 1/4 चम्मच हल्दी, 1/2 चम्मच लाल मिर्च पाउडर, 1/2 चम्मच धनिया पाउडर, 1/2 चम्मच गरम मसाला पाउडर, 1 इलायची, 1 लौंग, 1/3 कप दही - कमरे के तापमान पर, 1/3 कप पानी, नमक - स्वादानुसार, 2 चम्मच बेसन, 1/2 इंच अदरक - कटा हुआ, 1 हरी मिर्च - कटी हुई, 1 कप फूल मखाना, 1/2 चम्मच घी, 1/2 चम्मच चाट मसाला पाउडर, 1/2 चम्मच जीरा, 1 चम्मच तंदूरी मसाला, 1/2 चम्मच लाल मिर्च पाउडर, 1/2 चम्मच नींबू का रस</v>
      </c>
      <c r="H697" s="1" t="s">
        <v>33768</v>
      </c>
      <c r="I697" s="1" t="str">
        <f ca="1">IFERROR(__xludf.dummyfunction("IF(H697="""", """", GOOGLETRANSLATE(H697, ""en"", ""hi""))"),"दही वाले मखाने बनाने के लिए सबसे पहले हम मखानों को भून लेंगे और बाद में ग्रेवी में डालेंगे। मध्यम आंच पर एक भारी तले की कड़ाही में घी गर्म करें। इसमें मखाने डालें और तब तक भूनें जब तक इसका रंग न बदल जाए और यह कुरकुरे न हो जाएं। एक बार जब यह हो जाए तो इसमे"&amp;"ं चाट मसाला, जीरा पाउडर, तंदूरी मसाला और लाल मिर्च पाउडर सहित सभी मसाले डालें। 30 सेकंड के लिए भूनें, सब कुछ अच्छी तरह से मिलाएं और आंच बंद कर दें। ताजा निचोड़ा हुआ नींबू का रस डालें, इसे हिलाएं और एक तरफ रख दें। एक मिक्सर जार में प्याज और लहसुन डालें, थो"&amp;"ड़े पानी के साथ एक मुलायम पेस्ट बना लें। एक तरफ रख दें एक मिक्सिंग बाउल में दही, पानी, नमक, बेसन, अदरक, हरी मिर्च डालकर ग्रेवी के लिए दही का बेस बनाएं इसके बाद, इसमें प्याज लहसुन का पेस्ट डालें और इसे लगभग 3 से 4 मिनट तक पकने दें। 3 से 4 मिनट के बाद, हल्द"&amp;"ी पाउडर, लाल मिर्च पाउडर, धनिया पाउडर, गरम मसाला पाउडर डालें और इसे अच्छी तरह से हिलाएं। आंच धीमी कर दें और दही का मिश्रण डालें, लगातार मिलाते रहें। ग्रेवी की स्थिरता को समायोजित करने के लिए पानी डालें। आंच को मध्यम कर दें, प्रेशर कुकर को बंद करें और 1 सी"&amp;"टी आने तक प्रेशर कुक करें। आंच बंद कर दें। कुकर को तुरंत ठंडे पानी के नीचे रखकर प्रेशर को छोड़ दें। कुकर खोलें, ग्रेवी दें और हिलाएं और भुने हुए मखाने डालें। आपके दही वाले मखाने परोसने के लिए तैयार हैं। दही वाले मखाने को अपने परिवार के साथ पंचमेल दाल, फुल"&amp;"्का और पापड़ के साथ परोसें")</f>
        <v>दही वाले मखाने बनाने के लिए सबसे पहले हम मखानों को भून लेंगे और बाद में ग्रेवी में डालेंगे। मध्यम आंच पर एक भारी तले की कड़ाही में घी गर्म करें। इसमें मखाने डालें और तब तक भूनें जब तक इसका रंग न बदल जाए और यह कुरकुरे न हो जाएं। एक बार जब यह हो जाए तो इसमें चाट मसाला, जीरा पाउडर, तंदूरी मसाला और लाल मिर्च पाउडर सहित सभी मसाले डालें। 30 सेकंड के लिए भूनें, सब कुछ अच्छी तरह से मिलाएं और आंच बंद कर दें। ताजा निचोड़ा हुआ नींबू का रस डालें, इसे हिलाएं और एक तरफ रख दें। एक मिक्सर जार में प्याज और लहसुन डालें, थोड़े पानी के साथ एक मुलायम पेस्ट बना लें। एक तरफ रख दें एक मिक्सिंग बाउल में दही, पानी, नमक, बेसन, अदरक, हरी मिर्च डालकर ग्रेवी के लिए दही का बेस बनाएं इसके बाद, इसमें प्याज लहसुन का पेस्ट डालें और इसे लगभग 3 से 4 मिनट तक पकने दें। 3 से 4 मिनट के बाद, हल्दी पाउडर, लाल मिर्च पाउडर, धनिया पाउडर, गरम मसाला पाउडर डालें और इसे अच्छी तरह से हिलाएं। आंच धीमी कर दें और दही का मिश्रण डालें, लगातार मिलाते रहें। ग्रेवी की स्थिरता को समायोजित करने के लिए पानी डालें। आंच को मध्यम कर दें, प्रेशर कुकर को बंद करें और 1 सीटी आने तक प्रेशर कुक करें। आंच बंद कर दें। कुकर को तुरंत ठंडे पानी के नीचे रखकर प्रेशर को छोड़ दें। कुकर खोलें, ग्रेवी दें और हिलाएं और भुने हुए मखाने डालें। आपके दही वाले मखाने परोसने के लिए तैयार हैं। दही वाले मखाने को अपने परिवार के साथ पंचमेल दाल, फुल्का और पापड़ के साथ परोसें</v>
      </c>
      <c r="J697" s="3" t="s">
        <v>33769</v>
      </c>
      <c r="L697" s="1" t="s">
        <v>31003</v>
      </c>
    </row>
    <row r="698" spans="1:12" ht="13.8">
      <c r="A698" s="1" t="s">
        <v>33770</v>
      </c>
      <c r="B698" s="1" t="str">
        <f ca="1">IFERROR(__xludf.dummyfunction("IF(A698="""", """", GOOGLETRANSLATE(A698, ""en"", ""hi""))"),"फ्राइड पोहा चिवड़ा रेसिपी")</f>
        <v>फ्राइड पोहा चिवड़ा रेसिपी</v>
      </c>
      <c r="C698" s="1" t="s">
        <v>14281</v>
      </c>
      <c r="D698" s="1" t="s">
        <v>14198</v>
      </c>
      <c r="E698" s="1">
        <v>30</v>
      </c>
      <c r="F698" s="1" t="s">
        <v>33771</v>
      </c>
      <c r="G698" s="1" t="str">
        <f ca="1">IFERROR(__xludf.dummyfunction("IF(F698="""", """", GOOGLETRANSLATE(F698, ""en"", ""hi""))"),"2 कप पोहा, 1/2 कप मूंगफली - भुनी हुई, 1/2 कप भुनी हुई चना दाल, 1/2 कप बूंदी, 2 चम्मच लाल मिर्च पाउडर, 10 करी पत्ते, सूखा नारियल - छोटे टुकड़ों में कटा हुआ, नमक - स्वादानुसार")</f>
        <v>2 कप पोहा, 1/2 कप मूंगफली - भुनी हुई, 1/2 कप भुनी हुई चना दाल, 1/2 कप बूंदी, 2 चम्मच लाल मिर्च पाउडर, 10 करी पत्ते, सूखा नारियल - छोटे टुकड़ों में कटा हुआ, नमक - स्वादानुसार</v>
      </c>
      <c r="H698" s="1" t="s">
        <v>33772</v>
      </c>
      <c r="I698" s="1" t="str">
        <f ca="1">IFERROR(__xludf.dummyfunction("IF(H698="""", """", GOOGLETRANSLATE(H698, ""en"", ""hi""))"),"""पोहा चिवड़ा रेसिपी बनाने के लिए सबसे पहले एक पैन में तेल गर्म करें। तेल गर्म होने के बाद इसमें पोहा डालकर फ्राई करें। इसे किचन पेपर पर निकाल लें ताकि यह अतिरिक्त तेल सोख ले। अब इसी पैन में मूंगफली डालकर फ्राई करें। फ्राई होने के बाद इसे पोहे में डालकर म"&amp;"िक्स करें। इसी तेल में चना दाल डालकर फ्राई करें और पोहे में मिक्स करें। अब इसी तेल में करी पत्ता डालकर क्रिस्पी होने तक फ्राई करें और पोहे में मिक्स करें। अब इसमें लाल मिर्च पाउडर, नमक डालकर अच्छे से मिक्स करें। मिक्स करने के बाद इसे ठंडा होने के लिए अलग "&amp;"रख दें। सर्व करें या एयर टाइट कंटेनर में भरकर रख लें। सर्व करें। पोहा चिवड़ा रेसिपी को शाम के नाश्ते में मसाला चाय या फिल्टर कॉफी के साथ सर्व करें।""")</f>
        <v>"पोहा चिवड़ा रेसिपी बनाने के लिए सबसे पहले एक पैन में तेल गर्म करें। तेल गर्म होने के बाद इसमें पोहा डालकर फ्राई करें। इसे किचन पेपर पर निकाल लें ताकि यह अतिरिक्त तेल सोख ले। अब इसी पैन में मूंगफली डालकर फ्राई करें। फ्राई होने के बाद इसे पोहे में डालकर मिक्स करें। इसी तेल में चना दाल डालकर फ्राई करें और पोहे में मिक्स करें। अब इसी तेल में करी पत्ता डालकर क्रिस्पी होने तक फ्राई करें और पोहे में मिक्स करें। अब इसमें लाल मिर्च पाउडर, नमक डालकर अच्छे से मिक्स करें। मिक्स करने के बाद इसे ठंडा होने के लिए अलग रख दें। सर्व करें या एयर टाइट कंटेनर में भरकर रख लें। सर्व करें। पोहा चिवड़ा रेसिपी को शाम के नाश्ते में मसाला चाय या फिल्टर कॉफी के साथ सर्व करें।"</v>
      </c>
      <c r="J698" s="3" t="s">
        <v>33773</v>
      </c>
      <c r="L698" s="1" t="s">
        <v>31003</v>
      </c>
    </row>
    <row r="699" spans="1:12" ht="13.8">
      <c r="A699" s="1" t="s">
        <v>33774</v>
      </c>
      <c r="B699" s="1" t="str">
        <f ca="1">IFERROR(__xludf.dummyfunction("IF(A699="""", """", GOOGLETRANSLATE(A699, ""en"", ""hi""))"),"खाकरा चाट रेसिपी")</f>
        <v>खाकरा चाट रेसिपी</v>
      </c>
      <c r="C699" s="1" t="s">
        <v>14281</v>
      </c>
      <c r="D699" s="1" t="s">
        <v>14198</v>
      </c>
      <c r="E699" s="1">
        <v>15</v>
      </c>
      <c r="F699" s="1" t="s">
        <v>33775</v>
      </c>
      <c r="G699" s="1" t="str">
        <f ca="1">IFERROR(__xludf.dummyfunction("IF(F699="""", """", GOOGLETRANSLATE(F699, ""en"", ""hi""))"),"4 घर में बने गेहूं के खाखरा, 1/4 कप हरी चटनी (धनिया और पुदीना), 1/4 कप मीठी चटनी (खजूर और इमली), 1/4 कप सेव, 1/4 कप हरे मूंग अंकुरित, 1/4 कप प्याज - बारीक कटा हुआ, 1/4 कप टमाटर - बारीक कटा हुआ, 1/4 कप खीरा - बारीक कटा हुआ, 1/2 चम्मच चाट मसाला पाउडर, 1/4 च"&amp;"म्मच लाल मिर्च पाउडर, 1/2 चम्मच जीरा पाउडर (जीरा), धनिया (धनिया) पत्तियां - बारीक कटी हुई")</f>
        <v>4 घर में बने गेहूं के खाखरा, 1/4 कप हरी चटनी (धनिया और पुदीना), 1/4 कप मीठी चटनी (खजूर और इमली), 1/4 कप सेव, 1/4 कप हरे मूंग अंकुरित, 1/4 कप प्याज - बारीक कटा हुआ, 1/4 कप टमाटर - बारीक कटा हुआ, 1/4 कप खीरा - बारीक कटा हुआ, 1/2 चम्मच चाट मसाला पाउडर, 1/4 चम्मच लाल मिर्च पाउडर, 1/2 चम्मच जीरा पाउडर (जीरा), धनिया (धनिया) पत्तियां - बारीक कटी हुई</v>
      </c>
      <c r="H699" s="1" t="s">
        <v>33776</v>
      </c>
      <c r="I699" s="1" t="str">
        <f ca="1">IFERROR(__xludf.dummyfunction("IF(H699="""", """", GOOGLETRANSLATE(H699, ""en"", ""hi""))"),"खाकरा चाट रेसिपी बनाने के लिए, एक बड़े कटोरे में टॉपिंग के लिए सभी सामग्री मिलाएं और एक तरफ रख दें। खाकरा के टुकड़ों को एक सर्विंग प्लेट पर रखें। सलाद मिश्रण को खाकरा पर समान रूप से छिड़कें। सलाद मिश्रण पर खजूर की चटनी और धनिया पुदीना की चटनी छिड़कें और क"&amp;"ुछ सेव छिड़कें। धनिया पत्ती से गार्निश करें और खाकरा चाट को तुरंत सप्ताहांत पर चाय के समय के नाश्ते के रूप में कच्चे आम के साथ भेल पुरी या पाव भजीता के साथ परोसें।")</f>
        <v>खाकरा चाट रेसिपी बनाने के लिए, एक बड़े कटोरे में टॉपिंग के लिए सभी सामग्री मिलाएं और एक तरफ रख दें। खाकरा के टुकड़ों को एक सर्विंग प्लेट पर रखें। सलाद मिश्रण को खाकरा पर समान रूप से छिड़कें। सलाद मिश्रण पर खजूर की चटनी और धनिया पुदीना की चटनी छिड़कें और कुछ सेव छिड़कें। धनिया पत्ती से गार्निश करें और खाकरा चाट को तुरंत सप्ताहांत पर चाय के समय के नाश्ते के रूप में कच्चे आम के साथ भेल पुरी या पाव भजीता के साथ परोसें।</v>
      </c>
      <c r="J699" s="3" t="s">
        <v>33777</v>
      </c>
      <c r="L699" s="1" t="s">
        <v>31003</v>
      </c>
    </row>
    <row r="700" spans="1:12" ht="13.8">
      <c r="A700" s="1" t="s">
        <v>31964</v>
      </c>
      <c r="B700" s="1" t="str">
        <f ca="1">IFERROR(__xludf.dummyfunction("IF(A700="""", """", GOOGLETRANSLATE(A700, ""en"", ""hi""))"),"आलू दाल पकौड़े रेसिपी")</f>
        <v>आलू दाल पकौड़े रेसिपी</v>
      </c>
      <c r="C700" s="1" t="s">
        <v>14281</v>
      </c>
      <c r="D700" s="1" t="s">
        <v>14198</v>
      </c>
      <c r="E700" s="1">
        <v>80</v>
      </c>
      <c r="F700" s="1" t="s">
        <v>33778</v>
      </c>
      <c r="G700" s="1" t="str">
        <f ca="1">IFERROR(__xludf.dummyfunction("IF(F700="""", """", GOOGLETRANSLATE(F700, ""en"", ""hi""))"),"1 कप हरी मूंग दाल - 1 घंटा सुखाई हुई, 1/2 इंच अदरक, 3 हरी मिर्च - या स्वादानुसार, नमक - स्वादानुसार, 3 आलू - उबले व मैश किए हुए, 1/2 चम्मच लाल मिर्च पाउडर, 1/2 चम्मच धनिया पाउडर, 1/8 चम्मच हल्दी पाउडर, 1 चम्मच सौंफ - पिसी हुई, 1 चम्मच नींबू का रस, हरा धनि"&amp;"या - थोड़ा-सा, हींग - चुटकीभर, नमक - स्वादानुसार, तेल - तलने के लिए")</f>
        <v>1 कप हरी मूंग दाल - 1 घंटा सुखाई हुई, 1/2 इंच अदरक, 3 हरी मिर्च - या स्वादानुसार, नमक - स्वादानुसार, 3 आलू - उबले व मैश किए हुए, 1/2 चम्मच लाल मिर्च पाउडर, 1/2 चम्मच धनिया पाउडर, 1/8 चम्मच हल्दी पाउडर, 1 चम्मच सौंफ - पिसी हुई, 1 चम्मच नींबू का रस, हरा धनिया - थोड़ा-सा, हींग - चुटकीभर, नमक - स्वादानुसार, तेल - तलने के लिए</v>
      </c>
      <c r="H700" s="1" t="s">
        <v>33779</v>
      </c>
      <c r="I700" s="1" t="str">
        <f ca="1">IFERROR(__xludf.dummyfunction("IF(H700="""", """", GOOGLETRANSLATE(H700, ""en"", ""hi""))"),"""आलू दाल पकौड़े बनाने के लिए सबसे पहले आलू का मसाला तैयार कर लें। एक बाउल में आलू, लाल मिर्च पाउडर, धनिया पाउडर, हल्दी पाउडर, नींबू का रस, सौंफ, धनिया पत्ता, हींग, नमक डालकर अच्छी तरह मिला लें। थोड़ा सा आलू का मिश्रण लें और छोटी-छोटी बॉल्स बना लें। एक तर"&amp;"फ रख दें। बैटर बनाने के लिए मूंग दाल को मिक्सर ग्राइंडर में हरी मिर्च, अदरक, नमक और थोड़े पानी के साथ डालकर अच्छी तरह पीस लें। इस मिश्रण को एक बाउल में निकाल लें। अब एक पैन में तेल गर्म करें। आलू के बॉल्स को दाल के मिश्रण में डालें और पैन में डालें। दोनों"&amp;" तरफ से सुनहरा भूरा होने तक पकाएँ। एक किचन टॉवल पर निकाल लें ताकि पकौड़ों से अतिरिक्त तेल निकल जाए। परोसें। शाम को आलू दाल पकौड़े को धनिया पुदीना चटनी, इमली की चटनी और मसाला चाय/फ़िल्टर कॉफ़ी के साथ परोसें।""")</f>
        <v>"आलू दाल पकौड़े बनाने के लिए सबसे पहले आलू का मसाला तैयार कर लें। एक बाउल में आलू, लाल मिर्च पाउडर, धनिया पाउडर, हल्दी पाउडर, नींबू का रस, सौंफ, धनिया पत्ता, हींग, नमक डालकर अच्छी तरह मिला लें। थोड़ा सा आलू का मिश्रण लें और छोटी-छोटी बॉल्स बना लें। एक तरफ रख दें। बैटर बनाने के लिए मूंग दाल को मिक्सर ग्राइंडर में हरी मिर्च, अदरक, नमक और थोड़े पानी के साथ डालकर अच्छी तरह पीस लें। इस मिश्रण को एक बाउल में निकाल लें। अब एक पैन में तेल गर्म करें। आलू के बॉल्स को दाल के मिश्रण में डालें और पैन में डालें। दोनों तरफ से सुनहरा भूरा होने तक पकाएँ। एक किचन टॉवल पर निकाल लें ताकि पकौड़ों से अतिरिक्त तेल निकल जाए। परोसें। शाम को आलू दाल पकौड़े को धनिया पुदीना चटनी, इमली की चटनी और मसाला चाय/फ़िल्टर कॉफ़ी के साथ परोसें।"</v>
      </c>
      <c r="J700" s="3" t="s">
        <v>33780</v>
      </c>
      <c r="L700" s="1" t="s">
        <v>31003</v>
      </c>
    </row>
    <row r="701" spans="1:12" ht="13.8">
      <c r="A701" s="1" t="s">
        <v>33781</v>
      </c>
      <c r="B701" s="1" t="str">
        <f ca="1">IFERROR(__xludf.dummyfunction("IF(A701="""", """", GOOGLETRANSLATE(A701, ""en"", ""hi""))"),"काबुली चना चाट - चने की चाट का उच्च प्रोटीन वाला नाश्ता")</f>
        <v>काबुली चना चाट - चने की चाट का उच्च प्रोटीन वाला नाश्ता</v>
      </c>
      <c r="C701" s="1" t="s">
        <v>14281</v>
      </c>
      <c r="D701" s="1" t="s">
        <v>14237</v>
      </c>
      <c r="E701" s="1">
        <v>20</v>
      </c>
      <c r="F701" s="1" t="s">
        <v>33782</v>
      </c>
      <c r="G701" s="1" t="str">
        <f ca="1">IFERROR(__xludf.dummyfunction("IF(F701="""", """", GOOGLETRANSLATE(F701, ""en"", ""hi""))"),"2 कप काबुली चना - 8 घंटे भिगोया हुआ, 2 टमाटर - बारीक कटा हुआ, 2 प्याज - बारीक कटा हुआ, 1 खीरा - बारीक कटा हुआ, 1 आलू - उबला और बारीक कटा हुआ, 3 हरी मिर्च - बारीक कटी हुई, 3 धनिया पत्ती - बारीक कटी हुई, 2 चम्मच चाट मसाला पाउडर, 1/2 चम्मच अमचूर, 3 बड़े चम्म"&amp;"च आलू भुजिया, 1/2 बड़ा चम्मच नींबू का रस, नमक - स्वादानुसार")</f>
        <v>2 कप काबुली चना - 8 घंटे भिगोया हुआ, 2 टमाटर - बारीक कटा हुआ, 2 प्याज - बारीक कटा हुआ, 1 खीरा - बारीक कटा हुआ, 1 आलू - उबला और बारीक कटा हुआ, 3 हरी मिर्च - बारीक कटी हुई, 3 धनिया पत्ती - बारीक कटी हुई, 2 चम्मच चाट मसाला पाउडर, 1/2 चम्मच अमचूर, 3 बड़े चम्मच आलू भुजिया, 1/2 बड़ा चम्मच नींबू का रस, नमक - स्वादानुसार</v>
      </c>
      <c r="H701" s="1" t="s">
        <v>33783</v>
      </c>
      <c r="I701" s="1" t="str">
        <f ca="1">IFERROR(__xludf.dummyfunction("IF(H701="""", """", GOOGLETRANSLATE(H701, ""en"", ""hi""))"),"काबुली चना चाट रेसिपी बनाने के लिए सबसे पहले छोले को 8 घंटे के लिए भिगो दें। छोले को थोड़े नमक के साथ लगभग 25 से 30 मिनट तक प्रेशर कुकर में पकाएं और एक तरफ रख दें। प्रेशर कुकर में फलियां कैसे पकाएं, यह जानने के लिए यहां क्लिक करें।आलू को प्रेशर कुकर में उ"&amp;"बालें और नरम होने तक पकाएं। हो जाने के बाद आलू को छीलकर काट लें। इसे पूरी तरह से ठंडा होने दें।एक सलाद मिक्सिंग बाउल में उबले और ठंडे छोले डालें। सुनिश्चित करें कि छोले सूख गए हों और अतिरिक्त पानी मौजूद न हो। इसमें कटा हुआ प्याज, टमाटर, उबले आलू और खीरा ड"&amp;"ालें।चना चाट को कटी हुई हरी मिर्च, ताजा कटा हरा धनिया, चाट मसाला, अमचूर और नींबू के रस से सजाएं। स्वादानुसार नमक डालें।अंत में काबुली चना चाट को अच्छी तरह से टॉस करें ऊपर से नमकीन या आलू भुजिया डालें और स्वादिष्ट काबुली चना चाट परोसने के लिए तैयार है। चना"&amp;" चाट को टीम टाइम स्नैक या पार्टी ऐपेटाइज़र के रूप में पालक पनीर कोफ्ता करी, लहसुन नान और फूलगोभी और ककड़ी रायता के साथ परोसें।")</f>
        <v>काबुली चना चाट रेसिपी बनाने के लिए सबसे पहले छोले को 8 घंटे के लिए भिगो दें। छोले को थोड़े नमक के साथ लगभग 25 से 30 मिनट तक प्रेशर कुकर में पकाएं और एक तरफ रख दें। प्रेशर कुकर में फलियां कैसे पकाएं, यह जानने के लिए यहां क्लिक करें।आलू को प्रेशर कुकर में उबालें और नरम होने तक पकाएं। हो जाने के बाद आलू को छीलकर काट लें। इसे पूरी तरह से ठंडा होने दें।एक सलाद मिक्सिंग बाउल में उबले और ठंडे छोले डालें। सुनिश्चित करें कि छोले सूख गए हों और अतिरिक्त पानी मौजूद न हो। इसमें कटा हुआ प्याज, टमाटर, उबले आलू और खीरा डालें।चना चाट को कटी हुई हरी मिर्च, ताजा कटा हरा धनिया, चाट मसाला, अमचूर और नींबू के रस से सजाएं। स्वादानुसार नमक डालें।अंत में काबुली चना चाट को अच्छी तरह से टॉस करें ऊपर से नमकीन या आलू भुजिया डालें और स्वादिष्ट काबुली चना चाट परोसने के लिए तैयार है। चना चाट को टीम टाइम स्नैक या पार्टी ऐपेटाइज़र के रूप में पालक पनीर कोफ्ता करी, लहसुन नान और फूलगोभी और ककड़ी रायता के साथ परोसें।</v>
      </c>
      <c r="J701" s="3" t="s">
        <v>33784</v>
      </c>
      <c r="L701" s="1" t="s">
        <v>31003</v>
      </c>
    </row>
    <row r="702" spans="1:12" ht="13.8">
      <c r="A702" s="1" t="s">
        <v>33785</v>
      </c>
      <c r="B702" s="1" t="str">
        <f ca="1">IFERROR(__xludf.dummyfunction("IF(A702="""", """", GOOGLETRANSLATE(A702, ""en"", ""hi""))"),"ढाबा स्टाइल टमाटर चटनी रेसिपी")</f>
        <v>ढाबा स्टाइल टमाटर चटनी रेसिपी</v>
      </c>
      <c r="C702" s="1" t="s">
        <v>14207</v>
      </c>
      <c r="D702" s="1" t="s">
        <v>14198</v>
      </c>
      <c r="E702" s="1">
        <v>15</v>
      </c>
      <c r="F702" s="1" t="s">
        <v>33786</v>
      </c>
      <c r="G702" s="1" t="str">
        <f ca="1">IFERROR(__xludf.dummyfunction("IF(F702="""", """", GOOGLETRANSLATE(F702, ""en"", ""hi""))"),"2 टमाटर, 5 लहसुन की कलियाँ, 3 हरी मिर्च, 2 चम्मच धनिया पत्ती - बारीक कटी हुई, 1 चम्मच सरसों का तेल, नमक - स्वादानुसार")</f>
        <v>2 टमाटर, 5 लहसुन की कलियाँ, 3 हरी मिर्च, 2 चम्मच धनिया पत्ती - बारीक कटी हुई, 1 चम्मच सरसों का तेल, नमक - स्वादानुसार</v>
      </c>
      <c r="H702" s="1" t="s">
        <v>33787</v>
      </c>
      <c r="I702" s="1" t="str">
        <f ca="1">IFERROR(__xludf.dummyfunction("IF(H702="""", """", GOOGLETRANSLATE(H702, ""en"", ""hi""))"),"ढाबा स्टाइल टमाटर की चटनी बनाने के लिए सबसे पहले टमाटर को धोकर पोंछ लें और किचन के तौलिये से सुखा लें और फिर इसे चूल्हे पर तब तक भून लें जब तक कि इसके सभी किनारे अच्छे से जल न जाएं। इसे एक तरफ रख दें। अब लहसुन को छिलके सहित चूल्हे पर कांटे से भून लें। एक "&amp;"तरफ रख दें। इसी तरह हरी मिर्च को भी भून लें। जब भुने हुए टमाटर, लहसुन और हरी मिर्च ठंडे हो जाएं तो इनके बाहरी छिलके को धीरे से छील लें। अब लहसुन की कलियों को हरी मिर्च, थोडे नमक के साथ मूसल और खरल का प्रयोग कर दरदरा पीस लें। इसे एक कटोरे में निकाल लें। भु"&amp;"ने हुए, छिलका निकाले हुए टमाटरों को काट लें और उन्हें मूसल और खरल का प्रयोग कर धीरे से पीस लें जब तक कि वे चटनी जैसी स्थिरता प्राप्त करने के लिए पर्याप्त रूप से मैश न हो जाएं। टमाटर की चटनी को कटोरे में निकाल लें नमक और मसाले की जांच करें और ढाबा स्टाइल ट"&amp;"माटर चटनी को एक सर्विंग बाउल में डालें। सप्ताहांत पर ढाबा स्टाइल टमाटर चटनी बनाएं और इसे नाश्ते के लिए फुल्के, या पराठे या पूरी और पिंडी छोले के साथ परोसें।")</f>
        <v>ढाबा स्टाइल टमाटर की चटनी बनाने के लिए सबसे पहले टमाटर को धोकर पोंछ लें और किचन के तौलिये से सुखा लें और फिर इसे चूल्हे पर तब तक भून लें जब तक कि इसके सभी किनारे अच्छे से जल न जाएं। इसे एक तरफ रख दें। अब लहसुन को छिलके सहित चूल्हे पर कांटे से भून लें। एक तरफ रख दें। इसी तरह हरी मिर्च को भी भून लें। जब भुने हुए टमाटर, लहसुन और हरी मिर्च ठंडे हो जाएं तो इनके बाहरी छिलके को धीरे से छील लें। अब लहसुन की कलियों को हरी मिर्च, थोडे नमक के साथ मूसल और खरल का प्रयोग कर दरदरा पीस लें। इसे एक कटोरे में निकाल लें। भुने हुए, छिलका निकाले हुए टमाटरों को काट लें और उन्हें मूसल और खरल का प्रयोग कर धीरे से पीस लें जब तक कि वे चटनी जैसी स्थिरता प्राप्त करने के लिए पर्याप्त रूप से मैश न हो जाएं। टमाटर की चटनी को कटोरे में निकाल लें नमक और मसाले की जांच करें और ढाबा स्टाइल टमाटर चटनी को एक सर्विंग बाउल में डालें। सप्ताहांत पर ढाबा स्टाइल टमाटर चटनी बनाएं और इसे नाश्ते के लिए फुल्के, या पराठे या पूरी और पिंडी छोले के साथ परोसें।</v>
      </c>
      <c r="J702" s="3" t="s">
        <v>33788</v>
      </c>
      <c r="L702" s="1" t="s">
        <v>31003</v>
      </c>
    </row>
    <row r="703" spans="1:12" ht="409.6">
      <c r="A703" s="1" t="s">
        <v>31157</v>
      </c>
      <c r="B703" s="1" t="str">
        <f ca="1">IFERROR(__xludf.dummyfunction("IF(A703="""", """", GOOGLETRANSLATE(A703, ""en"", ""hi""))"),"भरवा प्याज़ की सब्जी रेसिपी")</f>
        <v>भरवा प्याज़ की सब्जी रेसिपी</v>
      </c>
      <c r="C703" s="1" t="s">
        <v>14207</v>
      </c>
      <c r="D703" s="1" t="s">
        <v>14198</v>
      </c>
      <c r="E703" s="1">
        <v>25</v>
      </c>
      <c r="F703" s="1" t="s">
        <v>33789</v>
      </c>
      <c r="G703" s="1" t="str">
        <f ca="1">IFERROR(__xludf.dummyfunction("IF(F703="""", """", GOOGLETRANSLATE(F703, ""en"", ""hi""))"),"20 सांबर प्याज, 1 चम्मच लाल मिर्च पाउडर, 1 चम्मच हल्दी पाउडर, 1 चम्मच अमचूर, 1 चम्मच धनिया पाउडर, नमक - स्वादानुसार, 6 लहसुन के दाने - बारीक कटे हुए, 1 इंच अदरक - बारीक कटा हुआ, 1 चम्मच इमली का पानी, 2 टहनी धनिया - बारीक कटा हुआ")</f>
        <v>20 सांबर प्याज, 1 चम्मच लाल मिर्च पाउडर, 1 चम्मच हल्दी पाउडर, 1 चम्मच अमचूर, 1 चम्मच धनिया पाउडर, नमक - स्वादानुसार, 6 लहसुन के दाने - बारीक कटे हुए, 1 इंच अदरक - बारीक कटा हुआ, 1 चम्मच इमली का पानी, 2 टहनी धनिया - बारीक कटा हुआ</v>
      </c>
      <c r="H703" s="4" t="s">
        <v>33790</v>
      </c>
      <c r="I703" s="4" t="str">
        <f ca="1">IFERROR(__xludf.dummyfunction("IF(H703="""", """", GOOGLETRANSLATE(H703, ""en"", ""hi""))"),"भरवा प्याज की सब्जी बनाने के लिए सबसे पहले प्याज को पूरी तरह काटे बिना उसकी ऊपरी सतह पर तिरछे चीरे लगाएं। एक मिक्सिंग बाउल में लाल मिर्च पाउडर, हल्दी पाउडर, अमचूर पाउडर, धनिया पाउडर और स्वादानुसार नमक मिलाएं। इन सूखे मसालों में लगभग एक चम्मच पानी मिलाकर ग"&amp;"ाढ़ा पेस्ट बना लें। बटर नाइफ की मदद से सभी प्याज के चीरों में मसाले के पेस्ट को थोड़ा सा धीरे से लगाएं। बचा हुआ मसाला पेस्ट एक तरफ रख दें। एक फ्राइंग पैन में मध्यम आंच पर तेल गर्म करें, उसमें अदरक, लहसुन डालें और 30 सेकंड के लिए भूनें। इसके बाद मसाले के प"&amp;"ेस्ट के साथ भरवां प्याज/भरवा प्याज डालें और प्याज के पारदर्शी होने तक पैन में भूनते रहें आंच बंद कर दें और भरवा प्याज की सब्जी में कटा हुआ हरा धनिया डालकर मिला लें. भरवा प्याज की सब्जी को एक सर्विंग बाउल में डालें और गरमागरम परोसें। भरवा प्याज की सब्जी को"&amp;" ढाबा स्टाइल दाल फ्राई रेसिपी, पुदीना तवा पराठा रेसिपी और पुदीना धनिया मसाला पुलाव रेसिपी, प्याज रायता रेसिपी - प्याज का रायता रेसिपी के साथ परोसें।
")</f>
        <v xml:space="preserve">भरवा प्याज की सब्जी बनाने के लिए सबसे पहले प्याज को पूरी तरह काटे बिना उसकी ऊपरी सतह पर तिरछे चीरे लगाएं। एक मिक्सिंग बाउल में लाल मिर्च पाउडर, हल्दी पाउडर, अमचूर पाउडर, धनिया पाउडर और स्वादानुसार नमक मिलाएं। इन सूखे मसालों में लगभग एक चम्मच पानी मिलाकर गाढ़ा पेस्ट बना लें। बटर नाइफ की मदद से सभी प्याज के चीरों में मसाले के पेस्ट को थोड़ा सा धीरे से लगाएं। बचा हुआ मसाला पेस्ट एक तरफ रख दें। एक फ्राइंग पैन में मध्यम आंच पर तेल गर्म करें, उसमें अदरक, लहसुन डालें और 30 सेकंड के लिए भूनें। इसके बाद मसाले के पेस्ट के साथ भरवां प्याज/भरवा प्याज डालें और प्याज के पारदर्शी होने तक पैन में भूनते रहें आंच बंद कर दें और भरवा प्याज की सब्जी में कटा हुआ हरा धनिया डालकर मिला लें. भरवा प्याज की सब्जी को एक सर्विंग बाउल में डालें और गरमागरम परोसें। भरवा प्याज की सब्जी को ढाबा स्टाइल दाल फ्राई रेसिपी, पुदीना तवा पराठा रेसिपी और पुदीना धनिया मसाला पुलाव रेसिपी, प्याज रायता रेसिपी - प्याज का रायता रेसिपी के साथ परोसें।
</v>
      </c>
      <c r="J703" s="3" t="s">
        <v>33791</v>
      </c>
      <c r="L703" s="1" t="s">
        <v>31003</v>
      </c>
    </row>
    <row r="704" spans="1:12" ht="13.8">
      <c r="A704" s="1" t="s">
        <v>33792</v>
      </c>
      <c r="B704" s="1" t="str">
        <f ca="1">IFERROR(__xludf.dummyfunction("IF(A704="""", """", GOOGLETRANSLATE(A704, ""en"", ""hi""))"),"मेथी पनीर भुर्जी")</f>
        <v>मेथी पनीर भुर्जी</v>
      </c>
      <c r="C704" s="1" t="s">
        <v>145</v>
      </c>
      <c r="D704" s="1" t="s">
        <v>14237</v>
      </c>
      <c r="E704" s="1">
        <v>55</v>
      </c>
      <c r="F704" s="1" t="s">
        <v>33793</v>
      </c>
      <c r="G704" s="1" t="str">
        <f ca="1">IFERROR(__xludf.dummyfunction("IF(F704="""", """", GOOGLETRANSLATE(F704, ""en"", ""hi""))"),"1 कप टमाटर प्यूरी, 2 लहसुन की कलियाँ, 1 प्याज - कटा हुआ, 1 इंच अदरक, 1/4 छोटा चम्मच हल्दी पाउडर, 1/4 छोटा चम्मच गरम मसाला पाउडर, नमक - स्वादानुसार, 1/4 छोटा चम्मच लाल मिर्च पाउडर, तेल - आवश्यकतानुसार, 1/2 छोटा चम्मच जीरा, 2 बड़े चम्मच क्रीम, 1/4 छोटा चम्म"&amp;"च हल्दी पाउडर, 1 प्याज - बारीक कटा हुआ, 2 हरी मिर्च - बारीक कटी हुई, 1 इंच अदरक - कद्दूकस किया हुआ, 1 शिमला मिर्च (हरी) - बारीक कटी हुई, 1 टमाटर - बारीक कटा हुआ, 3/4 कप मेथी - बारीक कटी हुई, 2 छोटे चम्मच कसूरी मेथी, 200 ग्राम पनीर - टुकड़ों में कटा हुआ, न"&amp;"मक - स्वादानुसार, लाल मिर्च पाउडर - स्वादानुसार, तेल - आवश्यकतानुसार, 4 टहनियाँ धनिया पत्ती - बारीक कटी हुई")</f>
        <v>1 कप टमाटर प्यूरी, 2 लहसुन की कलियाँ, 1 प्याज - कटा हुआ, 1 इंच अदरक, 1/4 छोटा चम्मच हल्दी पाउडर, 1/4 छोटा चम्मच गरम मसाला पाउडर, नमक - स्वादानुसार, 1/4 छोटा चम्मच लाल मिर्च पाउडर, तेल - आवश्यकतानुसार, 1/2 छोटा चम्मच जीरा, 2 बड़े चम्मच क्रीम, 1/4 छोटा चम्मच हल्दी पाउडर, 1 प्याज - बारीक कटा हुआ, 2 हरी मिर्च - बारीक कटी हुई, 1 इंच अदरक - कद्दूकस किया हुआ, 1 शिमला मिर्च (हरी) - बारीक कटी हुई, 1 टमाटर - बारीक कटा हुआ, 3/4 कप मेथी - बारीक कटी हुई, 2 छोटे चम्मच कसूरी मेथी, 200 ग्राम पनीर - टुकड़ों में कटा हुआ, नमक - स्वादानुसार, लाल मिर्च पाउडर - स्वादानुसार, तेल - आवश्यकतानुसार, 4 टहनियाँ धनिया पत्ती - बारीक कटी हुई</v>
      </c>
      <c r="H704" s="1" t="s">
        <v>33794</v>
      </c>
      <c r="I704" s="1" t="str">
        <f ca="1">IFERROR(__xludf.dummyfunction("IF(H704="""", """", GOOGLETRANSLATE(H704, ""en"", ""hi""))"),"मेथी पनीर भुर्जी बनाने के लिए सबसे पहले सारी सामग्री तैयार कर लें। टमाटर की प्यूरी बना लें और पनीर को क्रम्बल कर लें। एक तरफ रख दें। अब एक पैन में तेल गर्म करें। इसमें प्याज, अदरक और लहसुन डालकर प्याज के सुनहरा होने तक पकाएं। इसे ठंडा होने दें और फिर मिक्"&amp;"सर ग्राइंडर में डालकर पेस्ट बना लें। इस पेस्ट को फिर से उसी पैन में डालें। आंच मध्यम रखें। 1 मिनट बाद इसमें हल्दी पाउडर, लाल मिर्च पाउडर, गरम मसाला पाउडर डालें और 2 मिनट तक पकने दें। 2 मिनट बाद इसमें टमाटर प्यूरी डालें। इसे मिक्स करें और 3 से 4 मिनट तक पक"&amp;"ने दें। इसमें थोड़ा मक्खन, नमक डालकर मिक्स करें। 1 मिनट बाद इसमें क्रीम डालें और गैस बंद कर दें। अब हम पनीर भुर्जी बनाएंगे। एक पैन में तेल गर्म करें। इसमें जीरा डालें और 10 सेकंड तक पकने दें। अब इसमें प्याज, शिमला मिर्च, अदरक, हरी मिर्च डालें और प्याज और "&amp;"शिमला मिर्च के नरम होने तक पकाएं। अब इसमें टमाटर, हल्दी पाउडर, मेथी, कसूरी मेथी डालें और 3 से 4 मिनट तक पकने दें। अब इसमें पनीर, नमक, लाल मिर्च पाउडर। मिक्स करें और 2 मिनट तक पकाएं। इस भुर्जी को टमाटर की ग्रेवी में डालें और मिलाएँ। 2 से 3 मिनट तक पकाएँ। प"&amp;"कने के बाद गैस बंद कर दें, धनिया पत्ती से गार्निश करें और सर्व करें। मेथी पनीर भुर्जी को पंचमेल दाल, टमाटर प्याज खीरा रायता और फुल्के के साथ डिनर में परोसें।")</f>
        <v>मेथी पनीर भुर्जी बनाने के लिए सबसे पहले सारी सामग्री तैयार कर लें। टमाटर की प्यूरी बना लें और पनीर को क्रम्बल कर लें। एक तरफ रख दें। अब एक पैन में तेल गर्म करें। इसमें प्याज, अदरक और लहसुन डालकर प्याज के सुनहरा होने तक पकाएं। इसे ठंडा होने दें और फिर मिक्सर ग्राइंडर में डालकर पेस्ट बना लें। इस पेस्ट को फिर से उसी पैन में डालें। आंच मध्यम रखें। 1 मिनट बाद इसमें हल्दी पाउडर, लाल मिर्च पाउडर, गरम मसाला पाउडर डालें और 2 मिनट तक पकने दें। 2 मिनट बाद इसमें टमाटर प्यूरी डालें। इसे मिक्स करें और 3 से 4 मिनट तक पकने दें। इसमें थोड़ा मक्खन, नमक डालकर मिक्स करें। 1 मिनट बाद इसमें क्रीम डालें और गैस बंद कर दें। अब हम पनीर भुर्जी बनाएंगे। एक पैन में तेल गर्म करें। इसमें जीरा डालें और 10 सेकंड तक पकने दें। अब इसमें प्याज, शिमला मिर्च, अदरक, हरी मिर्च डालें और प्याज और शिमला मिर्च के नरम होने तक पकाएं। अब इसमें टमाटर, हल्दी पाउडर, मेथी, कसूरी मेथी डालें और 3 से 4 मिनट तक पकने दें। अब इसमें पनीर, नमक, लाल मिर्च पाउडर। मिक्स करें और 2 मिनट तक पकाएं। इस भुर्जी को टमाटर की ग्रेवी में डालें और मिलाएँ। 2 से 3 मिनट तक पकाएँ। पकने के बाद गैस बंद कर दें, धनिया पत्ती से गार्निश करें और सर्व करें। मेथी पनीर भुर्जी को पंचमेल दाल, टमाटर प्याज खीरा रायता और फुल्के के साथ डिनर में परोसें।</v>
      </c>
      <c r="J704" s="3" t="s">
        <v>33795</v>
      </c>
      <c r="L704" s="1" t="s">
        <v>31003</v>
      </c>
    </row>
    <row r="705" spans="1:12" ht="13.8">
      <c r="A705" s="1" t="s">
        <v>33796</v>
      </c>
      <c r="B705" s="1" t="str">
        <f ca="1">IFERROR(__xludf.dummyfunction("IF(A705="""", """", GOOGLETRANSLATE(A705, ""en"", ""hi""))"),"पान मटका कुल्फी रेसिपी")</f>
        <v>पान मटका कुल्फी रेसिपी</v>
      </c>
      <c r="C705" s="1" t="s">
        <v>8417</v>
      </c>
      <c r="D705" s="1" t="s">
        <v>14198</v>
      </c>
      <c r="E705" s="1">
        <v>40</v>
      </c>
      <c r="F705" s="1" t="s">
        <v>33797</v>
      </c>
      <c r="G705" s="1" t="str">
        <f ca="1">IFERROR(__xludf.dummyfunction("IF(F705="""", """", GOOGLETRANSLATE(F705, ""en"", ""hi""))"),"2 लीटर दूध - फुल फैट, 1/2 चम्मच इलायची पाउडर (इलायची), केसर के रेशे - कुछ, 1/3 कप चीनी, 1/4 कप मीठा पान मिक्स - आपको ये मुखवास सेक्शन में मिलेंगे, सूखे गुलाब की पंखुड़ियाँ - गार्निश करने के लिए, पिस्ता - कुचले हुए")</f>
        <v>2 लीटर दूध - फुल फैट, 1/2 चम्मच इलायची पाउडर (इलायची), केसर के रेशे - कुछ, 1/3 कप चीनी, 1/4 कप मीठा पान मिक्स - आपको ये मुखवास सेक्शन में मिलेंगे, सूखे गुलाब की पंखुड़ियाँ - गार्निश करने के लिए, पिस्ता - कुचले हुए</v>
      </c>
      <c r="H705" s="1" t="s">
        <v>33798</v>
      </c>
      <c r="I705" s="1" t="str">
        <f ca="1">IFERROR(__xludf.dummyfunction("IF(H705="""", """", GOOGLETRANSLATE(H705, ""en"", ""hi""))"),"पान मटका कुल्फी रेसिपी बनाने के लिए सबसे पहले एक भारी तले वाले पैन में दूध को उबालें। दूध की मात्रा आधी कर दें और लगातार चलाते रहें। इसमें लगभग 20-25 मिनट का समय लगेगा। सुनिश्चित करें कि दूध की मात्रा कम करते समय आप लगातार चलाते रहें, नहीं तो क्रीम पैन के"&amp;" तले में जम जाएगी और जल जाएगी। इसलिए पैन में एक करछुल रखना और लगातार हिलाते रहना हमेशा महत्वपूर्ण होता है। दूध के कम हो जाने पर इसमें केसर के रेशे और इलायची पाउडर डालें। अच्छी तरह मिलाएँ और इसी अवस्था में चीनी डालें। चीनी के पिघलने के बाद इसमें सूखा पान म"&amp;"ुखवास डालें। पान कुल्फी के अच्छी तरह मिल जाने तक अच्छी तरह मिलाएँ। आंच बंद कर दें और पान मटका कुल्फी को कमरे के तापमान पर ठंडा होने दें मटके को पन्नी से ढकें और पान मटका कुल्फी को फ्रीजर सेक्शन में रखें और अच्छी तरह से सेट कुल्फी पाने के लिए उन्हें कम से "&amp;"कम 8 घंटे से लेकर रात भर तक फ्रीज करें। अमृतसरी अजवाइनी पनीर रेसिपी, बटर गार्लिक नान रेसिपी, मटर पुलाव रेसिपी और प्याज रायता रेसिपी के भोजन के बाद पान मटका कुल्फी रेसिपी परोसें।")</f>
        <v>पान मटका कुल्फी रेसिपी बनाने के लिए सबसे पहले एक भारी तले वाले पैन में दूध को उबालें। दूध की मात्रा आधी कर दें और लगातार चलाते रहें। इसमें लगभग 20-25 मिनट का समय लगेगा। सुनिश्चित करें कि दूध की मात्रा कम करते समय आप लगातार चलाते रहें, नहीं तो क्रीम पैन के तले में जम जाएगी और जल जाएगी। इसलिए पैन में एक करछुल रखना और लगातार हिलाते रहना हमेशा महत्वपूर्ण होता है। दूध के कम हो जाने पर इसमें केसर के रेशे और इलायची पाउडर डालें। अच्छी तरह मिलाएँ और इसी अवस्था में चीनी डालें। चीनी के पिघलने के बाद इसमें सूखा पान मुखवास डालें। पान कुल्फी के अच्छी तरह मिल जाने तक अच्छी तरह मिलाएँ। आंच बंद कर दें और पान मटका कुल्फी को कमरे के तापमान पर ठंडा होने दें मटके को पन्नी से ढकें और पान मटका कुल्फी को फ्रीजर सेक्शन में रखें और अच्छी तरह से सेट कुल्फी पाने के लिए उन्हें कम से कम 8 घंटे से लेकर रात भर तक फ्रीज करें। अमृतसरी अजवाइनी पनीर रेसिपी, बटर गार्लिक नान रेसिपी, मटर पुलाव रेसिपी और प्याज रायता रेसिपी के भोजन के बाद पान मटका कुल्फी रेसिपी परोसें।</v>
      </c>
      <c r="J705" s="3" t="s">
        <v>33799</v>
      </c>
      <c r="L705" s="1" t="s">
        <v>31003</v>
      </c>
    </row>
    <row r="706" spans="1:12" ht="13.8">
      <c r="A706" s="1" t="s">
        <v>33800</v>
      </c>
      <c r="B706" s="1" t="str">
        <f ca="1">IFERROR(__xludf.dummyfunction("IF(A706="""", """", GOOGLETRANSLATE(A706, ""en"", ""hi""))"),"काजू ग्रेवी रेसिपी में शाही भिंडी रेसिपी")</f>
        <v>काजू ग्रेवी रेसिपी में शाही भिंडी रेसिपी</v>
      </c>
      <c r="C706" s="1" t="s">
        <v>145</v>
      </c>
      <c r="D706" s="1" t="s">
        <v>14198</v>
      </c>
      <c r="E706" s="1">
        <v>50</v>
      </c>
      <c r="F706" s="1" t="s">
        <v>33801</v>
      </c>
      <c r="G706" s="1" t="str">
        <f ca="1">IFERROR(__xludf.dummyfunction("IF(F706="""", """", GOOGLETRANSLATE(F706, ""en"", ""hi""))"),"300 ग्राम भिंडी - 1 इंच के टुकड़ों में कटी हुई, 1/2 छोटा चम्मच लाल मिर्च पाउडर, 1/4 छोटा चम्मच हल्दी पाउडर, 1/2 छोटा चम्मच गरम मसाला पाउडर, 2 बड़े चम्मच क्रीम, 1/2 छोटा चम्मच कसूरी मेथी, 2 छोटे चम्मच तेल, 1 बड़ा चम्मच घी, 1 प्याज - कटा हुआ, 1/4 कप काजू, 1"&amp;" टमाटर - कटा हुआ, 4 लहसुन की कलियां, 1 छोटा चम्मच अदरक - कसा हुआ, 2 इलायची, 2 लौंग, 1/2 इंच दालचीनी, 1 हरी मिर्च, 1 छोटा चम्मच शाही जीरा")</f>
        <v>300 ग्राम भिंडी - 1 इंच के टुकड़ों में कटी हुई, 1/2 छोटा चम्मच लाल मिर्च पाउडर, 1/4 छोटा चम्मच हल्दी पाउडर, 1/2 छोटा चम्मच गरम मसाला पाउडर, 2 बड़े चम्मच क्रीम, 1/2 छोटा चम्मच कसूरी मेथी, 2 छोटे चम्मच तेल, 1 बड़ा चम्मच घी, 1 प्याज - कटा हुआ, 1/4 कप काजू, 1 टमाटर - कटा हुआ, 4 लहसुन की कलियां, 1 छोटा चम्मच अदरक - कसा हुआ, 2 इलायची, 2 लौंग, 1/2 इंच दालचीनी, 1 हरी मिर्च, 1 छोटा चम्मच शाही जीरा</v>
      </c>
      <c r="H706" s="1" t="s">
        <v>33802</v>
      </c>
      <c r="I706" s="1" t="str">
        <f ca="1">IFERROR(__xludf.dummyfunction("IF(H706="""", """", GOOGLETRANSLATE(H706, ""en"", ""hi""))"),"शाही भिंडी बनाने के लिए सबसे पहले भिंडी और बाकी सभी सामग्री तैयार कर लें। एक पैन में तेल गर्म करें। इसमें शाही जीरा डालकर चटकने दें। इसके बाद इलायची, दालचीनी, लौंग डालकर 10 सेकंड तक पकाएं। अब इसमें प्याज, लहसुन, अदरक डालकर प्याज के नरम होने तक पकाएं। प्या"&amp;"ज के नरम होने के बाद इसमें काजू, हरी मिर्च डालकर 1 मिनट तक पकाएं। 1 मिनट बाद इसमें टमाटर डालकर टमाटर के नरम होने तक पकाएं। गैस बंद कर दें और इस मिश्रण को ठंडा होने दें। इस मिश्रण को मिक्सर ग्राइंडर में डालकर पेस्ट बना लें। एक पैन में घी गर्म करें। इसमें भ"&amp;"िंडी, नमक डालकर 5 मिनट तक पकाएं। गैस बंद कर दें और इसे एक बाउल में निकाल लें। एक पैन में तेल गर्म करें। इसमें पिसा हुआ मसाला, लाल मिर्च पाउडर, हल्दी पाउडर, गरम मसाला पाउडर डालकर 3 से 4 मिनट तक पकाएं। अब इसमें भिंडी, जरूरत के हिसाब से गर्म पानी डालकर 2 से "&amp;"3 मिनट तक पकाएं। अब इसमें 2 टेबलस्पून क्रीम, कसूरी मेथी डालकर मिलाएं और 1 मिनट तक पकाएं। गैस बंद कर दें। गार्निश करें हरा धनिया डालकर परोसें। शाही भिंडी को दाल मखनी, लहसुन नान और जीरा राइस के साथ रात के खाने में परोसें।")</f>
        <v>शाही भिंडी बनाने के लिए सबसे पहले भिंडी और बाकी सभी सामग्री तैयार कर लें। एक पैन में तेल गर्म करें। इसमें शाही जीरा डालकर चटकने दें। इसके बाद इलायची, दालचीनी, लौंग डालकर 10 सेकंड तक पकाएं। अब इसमें प्याज, लहसुन, अदरक डालकर प्याज के नरम होने तक पकाएं। प्याज के नरम होने के बाद इसमें काजू, हरी मिर्च डालकर 1 मिनट तक पकाएं। 1 मिनट बाद इसमें टमाटर डालकर टमाटर के नरम होने तक पकाएं। गैस बंद कर दें और इस मिश्रण को ठंडा होने दें। इस मिश्रण को मिक्सर ग्राइंडर में डालकर पेस्ट बना लें। एक पैन में घी गर्म करें। इसमें भिंडी, नमक डालकर 5 मिनट तक पकाएं। गैस बंद कर दें और इसे एक बाउल में निकाल लें। एक पैन में तेल गर्म करें। इसमें पिसा हुआ मसाला, लाल मिर्च पाउडर, हल्दी पाउडर, गरम मसाला पाउडर डालकर 3 से 4 मिनट तक पकाएं। अब इसमें भिंडी, जरूरत के हिसाब से गर्म पानी डालकर 2 से 3 मिनट तक पकाएं। अब इसमें 2 टेबलस्पून क्रीम, कसूरी मेथी डालकर मिलाएं और 1 मिनट तक पकाएं। गैस बंद कर दें। गार्निश करें हरा धनिया डालकर परोसें। शाही भिंडी को दाल मखनी, लहसुन नान और जीरा राइस के साथ रात के खाने में परोसें।</v>
      </c>
      <c r="J706" s="3" t="s">
        <v>33803</v>
      </c>
      <c r="L706" s="1" t="s">
        <v>31003</v>
      </c>
    </row>
    <row r="707" spans="1:12" ht="13.8">
      <c r="A707" s="1" t="s">
        <v>33804</v>
      </c>
      <c r="B707" s="1" t="str">
        <f ca="1">IFERROR(__xludf.dummyfunction("IF(A707="""", """", GOOGLETRANSLATE(A707, ""en"", ""hi""))"),"साग टोफू")</f>
        <v>साग टोफू</v>
      </c>
      <c r="C707" s="1" t="s">
        <v>145</v>
      </c>
      <c r="D707" s="1" t="s">
        <v>14237</v>
      </c>
      <c r="E707" s="1">
        <v>60</v>
      </c>
      <c r="F707" s="1" t="s">
        <v>33805</v>
      </c>
      <c r="G707" s="1" t="str">
        <f ca="1">IFERROR(__xludf.dummyfunction("IF(F707="""", """", GOOGLETRANSLATE(F707, ""en"", ""hi""))"),"250 ग्राम टोफू- कटा हुआ, 300 ग्राम पालक, 300 ग्राम सरसों, 2 इंच अदरक, 4 हरी मिर्च- कटी हुई, 1/4 कप टमाटर प्यूरी, 8 लहसुन की कलियां- पिसी हुई, 1 छोटा चम्मच जीरा, हींग- चुटकीभर, 1/2 छोटा चम्मच हल्दी पाउडर, 1 छोटा चम्मच गरम मसाला पाउडर, नमक- स्वादानुसार, 2 ब"&amp;"ड़े चम्मच मक्के का आटा, 3 सूखी लाल मिर्च, 1 छोटा चम्मच तेल, 1 छोटा चम्मच घी, पानी- प्रयोगानुसार")</f>
        <v>250 ग्राम टोफू- कटा हुआ, 300 ग्राम पालक, 300 ग्राम सरसों, 2 इंच अदरक, 4 हरी मिर्च- कटी हुई, 1/4 कप टमाटर प्यूरी, 8 लहसुन की कलियां- पिसी हुई, 1 छोटा चम्मच जीरा, हींग- चुटकीभर, 1/2 छोटा चम्मच हल्दी पाउडर, 1 छोटा चम्मच गरम मसाला पाउडर, नमक- स्वादानुसार, 2 बड़े चम्मच मक्के का आटा, 3 सूखी लाल मिर्च, 1 छोटा चम्मच तेल, 1 छोटा चम्मच घी, पानी- प्रयोगानुसार</v>
      </c>
      <c r="H707" s="1" t="s">
        <v>33806</v>
      </c>
      <c r="I707" s="1" t="str">
        <f ca="1">IFERROR(__xludf.dummyfunction("IF(H707="""", """", GOOGLETRANSLATE(H707, ""en"", ""hi""))"),"साग टोफू बनाने के लिए सबसे पहले सरसों और पालक को धो लें। दोनों को काट कर 5 मिनट तक भाप में पका लें। इसके बाद दोनों को थोड़ा ठंडा होने दें। ठंडा होने के बाद इन्हें ब्लेंडर में डालकर प्यूरी बना लें। अब एक पैन में तेल गर्म करें। इसमें टोफू के टुकड़े डालें और"&amp;" हल्का भूरा होने तक पकाएं। पकने के बाद इसे अलग निकाल लें। उसी पैन में घी गर्म करें। इसमें सूखी लाल मिर्च, जीरा डालें और 15 सेकंड तक पकने दें। 15 सेकंड बाद इसमें हींग, लहसुन, हरी मिर्च डालें और 1 मिनट तक पकने दें। 1 मिनट बाद इसमें टमाटर प्यूरी, हल्दी पाउडर"&amp;", गरम मसाला पाउडर डालें और उबलने दें। उबलने के बाद इसमें पालक और सरसों की प्यूरी और कॉर्न फ्लोर डालें। नमक डालें और 5 मिनट तक पकने दें। 5 मिनट बाद गैस बंद कर दें और सर्व करें। लंच में साग टोफू को मक्के की रोटी और बुरानी रायता के साथ सर्व करें।")</f>
        <v>साग टोफू बनाने के लिए सबसे पहले सरसों और पालक को धो लें। दोनों को काट कर 5 मिनट तक भाप में पका लें। इसके बाद दोनों को थोड़ा ठंडा होने दें। ठंडा होने के बाद इन्हें ब्लेंडर में डालकर प्यूरी बना लें। अब एक पैन में तेल गर्म करें। इसमें टोफू के टुकड़े डालें और हल्का भूरा होने तक पकाएं। पकने के बाद इसे अलग निकाल लें। उसी पैन में घी गर्म करें। इसमें सूखी लाल मिर्च, जीरा डालें और 15 सेकंड तक पकने दें। 15 सेकंड बाद इसमें हींग, लहसुन, हरी मिर्च डालें और 1 मिनट तक पकने दें। 1 मिनट बाद इसमें टमाटर प्यूरी, हल्दी पाउडर, गरम मसाला पाउडर डालें और उबलने दें। उबलने के बाद इसमें पालक और सरसों की प्यूरी और कॉर्न फ्लोर डालें। नमक डालें और 5 मिनट तक पकने दें। 5 मिनट बाद गैस बंद कर दें और सर्व करें। लंच में साग टोफू को मक्के की रोटी और बुरानी रायता के साथ सर्व करें।</v>
      </c>
      <c r="J707" s="3" t="s">
        <v>33807</v>
      </c>
      <c r="L707" s="1" t="s">
        <v>31003</v>
      </c>
    </row>
    <row r="708" spans="1:12" ht="13.8">
      <c r="A708" s="1" t="s">
        <v>33808</v>
      </c>
      <c r="B708" s="1" t="str">
        <f ca="1">IFERROR(__xludf.dummyfunction("IF(A708="""", """", GOOGLETRANSLATE(A708, ""en"", ""hi""))"),"उड़द की सूखी दाल रेसिपी")</f>
        <v>उड़द की सूखी दाल रेसिपी</v>
      </c>
      <c r="C708" s="1" t="s">
        <v>145</v>
      </c>
      <c r="D708" s="1" t="s">
        <v>14237</v>
      </c>
      <c r="E708" s="1">
        <v>40</v>
      </c>
      <c r="F708" s="1" t="s">
        <v>33809</v>
      </c>
      <c r="G708" s="1" t="str">
        <f ca="1">IFERROR(__xludf.dummyfunction("IF(F708="""", """", GOOGLETRANSLATE(F708, ""en"", ""hi""))"),"1 कप सफेद उड़द दाल, 1 छोटा चम्मच हल्दी पाउडर, 1 छोटा चम्मच लाल मिर्च पाउडर, नमक- स्वादानुसार, 1 प्याज- बारीक कटा हुआ, 1 हरी मिर्च- बारीक कटी हुई, 1 इंच अदरक- कद्दूकस किया हुआ, 1 छोटा चम्मच धनिया पाउडर, 1 छोटा चम्मच जीरा, 1/4 छोटा चम्मच हींग, 1 छोटा चम्मच "&amp;"गरम मसाला पाउडर, नमक- स्वादानुसार, 2 बड़े चम्मच घी, 1 छोटा चम्मच नींबू का रस, हरा धनिया- थोड़ा-सा")</f>
        <v>1 कप सफेद उड़द दाल, 1 छोटा चम्मच हल्दी पाउडर, 1 छोटा चम्मच लाल मिर्च पाउडर, नमक- स्वादानुसार, 1 प्याज- बारीक कटा हुआ, 1 हरी मिर्च- बारीक कटी हुई, 1 इंच अदरक- कद्दूकस किया हुआ, 1 छोटा चम्मच धनिया पाउडर, 1 छोटा चम्मच जीरा, 1/4 छोटा चम्मच हींग, 1 छोटा चम्मच गरम मसाला पाउडर, नमक- स्वादानुसार, 2 बड़े चम्मच घी, 1 छोटा चम्मच नींबू का रस, हरा धनिया- थोड़ा-सा</v>
      </c>
      <c r="H708" s="1" t="s">
        <v>33810</v>
      </c>
      <c r="I708" s="1" t="str">
        <f ca="1">IFERROR(__xludf.dummyfunction("IF(H708="""", """", GOOGLETRANSLATE(H708, ""en"", ""hi""))"),"""उड़द की सूखी दाल रेसिपी बनाने के लिए सबसे पहले दाल को अच्छे से धो लें और फिर 4 से 5 घंटे के लिए भिगो दें। भिगोने के बाद दाल को प्रेशर कुकर में नमक, हल्दी पाउडर, लाल मिर्च पाउडर, आवश्यकतानुसार पानी डालकर मिलाएँ और कुकर को बंद कर दें। 2 सीटी आने तक पकाएँ "&amp;"और एक तरफ रख दें। अब तड़के के लिए एक तड़का पैन में घी गर्म करें। इसमें जीरा, हींग डालें और 10 सेकंड तक पकाएँ। 10 सेकंड बाद इसमें प्याज़, हरी मिर्च, अदरक डालें और प्याज़ के नरम होने तक पकाएँ। अब इसमें गरम मसाला, धनिया पाउडर डालें और मिलाएँ। 1 मिनट बाद इसमे"&amp;"ं नींबू का रस डालें और मिलाएँ। उड़द की सूखी दाल रेसिपी को तवा पराठा और गाजर तड़का रायता के साथ लंच में परोसें।""")</f>
        <v>"उड़द की सूखी दाल रेसिपी बनाने के लिए सबसे पहले दाल को अच्छे से धो लें और फिर 4 से 5 घंटे के लिए भिगो दें। भिगोने के बाद दाल को प्रेशर कुकर में नमक, हल्दी पाउडर, लाल मिर्च पाउडर, आवश्यकतानुसार पानी डालकर मिलाएँ और कुकर को बंद कर दें। 2 सीटी आने तक पकाएँ और एक तरफ रख दें। अब तड़के के लिए एक तड़का पैन में घी गर्म करें। इसमें जीरा, हींग डालें और 10 सेकंड तक पकाएँ। 10 सेकंड बाद इसमें प्याज़, हरी मिर्च, अदरक डालें और प्याज़ के नरम होने तक पकाएँ। अब इसमें गरम मसाला, धनिया पाउडर डालें और मिलाएँ। 1 मिनट बाद इसमें नींबू का रस डालें और मिलाएँ। उड़द की सूखी दाल रेसिपी को तवा पराठा और गाजर तड़का रायता के साथ लंच में परोसें।"</v>
      </c>
      <c r="J708" s="3" t="s">
        <v>33811</v>
      </c>
      <c r="L708" s="1" t="s">
        <v>31003</v>
      </c>
    </row>
    <row r="709" spans="1:12" ht="13.8">
      <c r="A709" s="1" t="s">
        <v>33812</v>
      </c>
      <c r="B709" s="1" t="str">
        <f ca="1">IFERROR(__xludf.dummyfunction("IF(A709="""", """", GOOGLETRANSLATE(A709, ""en"", ""hi""))"),"लहसुन की चटनी - मसालेदार लहसुन की चटनी")</f>
        <v>लहसुन की चटनी - मसालेदार लहसुन की चटनी</v>
      </c>
      <c r="C709" s="1" t="s">
        <v>14207</v>
      </c>
      <c r="D709" s="1" t="s">
        <v>14198</v>
      </c>
      <c r="E709" s="1">
        <v>20</v>
      </c>
      <c r="F709" s="1" t="s">
        <v>33813</v>
      </c>
      <c r="G709" s="1" t="str">
        <f ca="1">IFERROR(__xludf.dummyfunction("IF(F709="""", """", GOOGLETRANSLATE(F709, ""en"", ""hi""))"),"1/2 कप लहसुन - छिला हुआ, 8-10 सूखी लाल मिर्च, 1 चम्मच जीरा, 1 नींबू - रस निकाला हुआ, 1/4 कप पानी, नमक - स्वादानुसार")</f>
        <v>1/2 कप लहसुन - छिला हुआ, 8-10 सूखी लाल मिर्च, 1 चम्मच जीरा, 1 नींबू - रस निकाला हुआ, 1/4 कप पानी, नमक - स्वादानुसार</v>
      </c>
      <c r="H709" s="1" t="s">
        <v>33814</v>
      </c>
      <c r="I709" s="1" t="str">
        <f ca="1">IFERROR(__xludf.dummyfunction("IF(H709="""", """", GOOGLETRANSLATE(H709, ""en"", ""hi""))"),"लहसुन की चटनी - तीखी लहसुन की चटनी बनाने के लिए, एक ब्लेंडर में लहसुन, मिर्च, जीरा, नींबू का रस, पानी और स्वादानुसार नमक मिलाएं और चिकनी चटनी बनाने के लिए ब्लेंड करें। लहसुन की चटनी को एक कटोरे में डालें और परोसें। आप लहसुन की चटनी - तीखी लहसुन की चटनी को"&amp;" कांच के जार में स्टोर कर सकते हैं और इच्छानुसार परोस सकते हैं। लहसुन की चटनी को थोड़ा चटपटा बनाने के लिए आप परोसने से पहले थोड़ा पानी भी मिला सकते हैं। इसे लगभग दो सप्ताह तक फ्रिज में रखें। लहसुन की चटनी रेसिपी को वड़ा पाव के साथ चाय के समय नाश्ते के लिए"&amp;" परोसें। आप इसे ब्रंच के लिए गर्म गुजराती स्टाइल भाकरी और घर के बने दही के साथ भी परोस सकते हैं।")</f>
        <v>लहसुन की चटनी - तीखी लहसुन की चटनी बनाने के लिए, एक ब्लेंडर में लहसुन, मिर्च, जीरा, नींबू का रस, पानी और स्वादानुसार नमक मिलाएं और चिकनी चटनी बनाने के लिए ब्लेंड करें। लहसुन की चटनी को एक कटोरे में डालें और परोसें। आप लहसुन की चटनी - तीखी लहसुन की चटनी को कांच के जार में स्टोर कर सकते हैं और इच्छानुसार परोस सकते हैं। लहसुन की चटनी को थोड़ा चटपटा बनाने के लिए आप परोसने से पहले थोड़ा पानी भी मिला सकते हैं। इसे लगभग दो सप्ताह तक फ्रिज में रखें। लहसुन की चटनी रेसिपी को वड़ा पाव के साथ चाय के समय नाश्ते के लिए परोसें। आप इसे ब्रंच के लिए गर्म गुजराती स्टाइल भाकरी और घर के बने दही के साथ भी परोस सकते हैं।</v>
      </c>
      <c r="J709" s="3" t="s">
        <v>33815</v>
      </c>
      <c r="L709" s="1" t="s">
        <v>31003</v>
      </c>
    </row>
    <row r="710" spans="1:12" ht="13.8">
      <c r="A710" s="1" t="s">
        <v>33816</v>
      </c>
      <c r="B710" s="1" t="str">
        <f ca="1">IFERROR(__xludf.dummyfunction("IF(A710="""", """", GOOGLETRANSLATE(A710, ""en"", ""hi""))"),"हींग पानी पूरी रेसिपी- हींग पानी पूरी")</f>
        <v>हींग पानी पूरी रेसिपी- हींग पानी पूरी</v>
      </c>
      <c r="C710" s="1" t="s">
        <v>14572</v>
      </c>
      <c r="D710" s="1" t="s">
        <v>14198</v>
      </c>
      <c r="E710" s="1">
        <v>17</v>
      </c>
      <c r="F710" s="1" t="s">
        <v>33817</v>
      </c>
      <c r="G710" s="1" t="str">
        <f ca="1">IFERROR(__xludf.dummyfunction("IF(F710="""", """", GOOGLETRANSLATE(F710, ""en"", ""hi""))"),"40 पानी पुरी, 1/4 कप धनिया पत्ती, 1/4 कप पुदीना पत्ती, 2 हरी मिर्च, 1 कप इमली का पानी, 1 बड़ा चम्मच गुड़, 1 चम्मच काला नमक, 1/2 चम्मच जीरा पाउडर, 1/2 चम्मच लाल मिर्च पाउडर, 1 चम्मच एसएसपी हींग, 3 आलू - उबले और मसले हुए, 1/2 कप हरे मूंग स्प्राउट्स, 1 चम्मच"&amp;" चाट मसाला पाउडर, 1/2 चम्मच जीरा पाउडर, 1/2 चम्मच लाल मिर्च पाउडर, नमक - स्वादानुसार")</f>
        <v>40 पानी पुरी, 1/4 कप धनिया पत्ती, 1/4 कप पुदीना पत्ती, 2 हरी मिर्च, 1 कप इमली का पानी, 1 बड़ा चम्मच गुड़, 1 चम्मच काला नमक, 1/2 चम्मच जीरा पाउडर, 1/2 चम्मच लाल मिर्च पाउडर, 1 चम्मच एसएसपी हींग, 3 आलू - उबले और मसले हुए, 1/2 कप हरे मूंग स्प्राउट्स, 1 चम्मच चाट मसाला पाउडर, 1/2 चम्मच जीरा पाउडर, 1/2 चम्मच लाल मिर्च पाउडर, नमक - स्वादानुसार</v>
      </c>
      <c r="H710" s="1" t="s">
        <v>33818</v>
      </c>
      <c r="I710" s="1" t="str">
        <f ca="1">IFERROR(__xludf.dummyfunction("IF(H710="""", """", GOOGLETRANSLATE(H710, ""en"", ""hi""))"),"हिंग पानी पुरी रेसिपी बनाने के लिए सबसे पहले हम पानी बनाएंगे। धनिया और पुदीने के पत्तों को अच्छी तरह धोकर काट लें। एक मिक्सर जार में पुदीने के पत्ते, धनिया के पत्ते, हरी मिर्च, इमली का गूदा, गुड़, काला नमक, जीरा पाउडर, चाट मसाला, लाल मिर्च पाउडर, हिंग डाल"&amp;"कर थोड़े पानी के साथ बारीक पीस लें। नमक और मसाले की जांच करें और अपने स्वाद के अनुसार समायोजित करें। आलू-हरे अंकुरित अनाज भरने के लिए पानी पुरी भरने के लिए, एक मिक्सिंग बाउल में आलू को मैश करें, उसमें हरे मूंग के अंकुरित दाने और चाट मसाला, जीरा पाउडर और ल"&amp;"ाल मिर्च पाउडर, स्वादानुसार काला नमक और कटा हुआ हरा धनिया डालें। अच्छी तरह मिलाने के लिए हिलाएं। हिंग पानी पूरी रेसिपी को सर्व करें, पूरी को ऊपर से थोड़ा सा तोड़कर उसमें आलू-स्प्राउट्स का मिश्रण भरें, मसालेदार हिंग पानी से भरें और सर्व करें। आप या तो स्टो"&amp;"र से खरीदी हुई पूरी का उपयोग कर सकते हैं, या घर पर पानी पूरी रेसिपी के लिए पूरी बना सकते हैं। हिंग पानी पूरी रेसिपी-हींग पानी पूरी को चाट पार्टी में भेल पूरी रेसिपी, बनारसी टमाटर चाट रेसिपी के साथ परोसें।")</f>
        <v>हिंग पानी पुरी रेसिपी बनाने के लिए सबसे पहले हम पानी बनाएंगे। धनिया और पुदीने के पत्तों को अच्छी तरह धोकर काट लें। एक मिक्सर जार में पुदीने के पत्ते, धनिया के पत्ते, हरी मिर्च, इमली का गूदा, गुड़, काला नमक, जीरा पाउडर, चाट मसाला, लाल मिर्च पाउडर, हिंग डालकर थोड़े पानी के साथ बारीक पीस लें। नमक और मसाले की जांच करें और अपने स्वाद के अनुसार समायोजित करें। आलू-हरे अंकुरित अनाज भरने के लिए पानी पुरी भरने के लिए, एक मिक्सिंग बाउल में आलू को मैश करें, उसमें हरे मूंग के अंकुरित दाने और चाट मसाला, जीरा पाउडर और लाल मिर्च पाउडर, स्वादानुसार काला नमक और कटा हुआ हरा धनिया डालें। अच्छी तरह मिलाने के लिए हिलाएं। हिंग पानी पूरी रेसिपी को सर्व करें, पूरी को ऊपर से थोड़ा सा तोड़कर उसमें आलू-स्प्राउट्स का मिश्रण भरें, मसालेदार हिंग पानी से भरें और सर्व करें। आप या तो स्टोर से खरीदी हुई पूरी का उपयोग कर सकते हैं, या घर पर पानी पूरी रेसिपी के लिए पूरी बना सकते हैं। हिंग पानी पूरी रेसिपी-हींग पानी पूरी को चाट पार्टी में भेल पूरी रेसिपी, बनारसी टमाटर चाट रेसिपी के साथ परोसें।</v>
      </c>
      <c r="J710" s="3" t="s">
        <v>33819</v>
      </c>
      <c r="L710" s="1" t="s">
        <v>31003</v>
      </c>
    </row>
    <row r="711" spans="1:12" ht="13.8">
      <c r="A711" s="1" t="s">
        <v>33820</v>
      </c>
      <c r="B711" s="1" t="str">
        <f ca="1">IFERROR(__xludf.dummyfunction("IF(A711="""", """", GOOGLETRANSLATE(A711, ""en"", ""hi""))"),"मटर के साथ टमाटर पोहा")</f>
        <v>मटर के साथ टमाटर पोहा</v>
      </c>
      <c r="C711" s="1" t="s">
        <v>16424</v>
      </c>
      <c r="D711" s="1" t="s">
        <v>14198</v>
      </c>
      <c r="E711" s="1">
        <v>20</v>
      </c>
      <c r="F711" s="1" t="s">
        <v>33821</v>
      </c>
      <c r="G711" s="1" t="str">
        <f ca="1">IFERROR(__xludf.dummyfunction("IF(F711="""", """", GOOGLETRANSLATE(F711, ""en"", ""hi""))"),"2 कप पोहा, 1/2 कप हरी मटर - 5 मिनट के लिए गर्म पानी में भिगोएं, 1 प्याज - बारीक कटा हुआ, 3 टमाटर - बारीक कटा हुआ, 1 हरी मिर्च - बारीक कटी हुई, 2 लहसुन की कलियां, 1 छोटा चम्मच सौंफ, 1 छोटा चम्मच राई, 1/4 छोटा चम्मच हींग, 1/2 छोटा चम्मच हल्दी पाउडर, 1 छोटा "&amp;"चम्मच लाल मिर्च पाउडर, 1 छोटा चम्मच धनिया पाउडर, 1 टहनी करी पत्ता, 2 बड़े चम्मच धनिया पत्ता - बारीक कटा हुआ (सजावट के लिए), 2 छोटे चम्मच तेल, 2 छोटे चम्मच नींबू का रस, नमक - स्वादानुसार")</f>
        <v>2 कप पोहा, 1/2 कप हरी मटर - 5 मिनट के लिए गर्म पानी में भिगोएं, 1 प्याज - बारीक कटा हुआ, 3 टमाटर - बारीक कटा हुआ, 1 हरी मिर्च - बारीक कटी हुई, 2 लहसुन की कलियां, 1 छोटा चम्मच सौंफ, 1 छोटा चम्मच राई, 1/4 छोटा चम्मच हींग, 1/2 छोटा चम्मच हल्दी पाउडर, 1 छोटा चम्मच लाल मिर्च पाउडर, 1 छोटा चम्मच धनिया पाउडर, 1 टहनी करी पत्ता, 2 बड़े चम्मच धनिया पत्ता - बारीक कटा हुआ (सजावट के लिए), 2 छोटे चम्मच तेल, 2 छोटे चम्मच नींबू का रस, नमक - स्वादानुसार</v>
      </c>
      <c r="H711" s="1" t="s">
        <v>33822</v>
      </c>
      <c r="I711" s="1" t="str">
        <f ca="1">IFERROR(__xludf.dummyfunction("IF(H711="""", """", GOOGLETRANSLATE(H711, ""en"", ""hi""))"),"टमाटर मटर पोहा बनाने के लिए सबसे पहले पोहा को अच्छे से धो लें। 2-3 बार धोने के बाद सारा पानी निथार कर अलग रख लें। अब एक पैन में तेल गर्म करें। उसमें राई डालें और 10 सेकंड तक पकने दें। अब एक खरल में सौंफ और लहसुन डालें। इसे कद्दूकस करके पैन में डालें। लहसु"&amp;"न के सुनहरा होने तक पकाएँ। अब इसमें हींग, करी पत्ता डालें। 10 सेकंड बाद प्याज़ डालें और नरम होने तक पकाएँ। प्याज़ के नरम होने के बाद इसमें टमाटर, हरी मिर्च डालें और टमाटर के नरम होने तक पकने दें। अब इसमें हल्दी पाउडर, लाल मिर्च पाउडर और धनिया पाउडर डालें।"&amp;" इसे 1 मिनट तक पकने दें। अब इसमें पोहा, नमक डालें और सारी चीज़ें मिलाएँ। पैन को ढक दें और 10 मिनट तक पकने दें। पकने के बाद गैस बंद कर दें और हरे धनिये से गार्निश करें। टमाटर मटर पोहा को नाश्ते में मसाला चाय और फ्रूट बाउल के साथ सर्व करें।")</f>
        <v>टमाटर मटर पोहा बनाने के लिए सबसे पहले पोहा को अच्छे से धो लें। 2-3 बार धोने के बाद सारा पानी निथार कर अलग रख लें। अब एक पैन में तेल गर्म करें। उसमें राई डालें और 10 सेकंड तक पकने दें। अब एक खरल में सौंफ और लहसुन डालें। इसे कद्दूकस करके पैन में डालें। लहसुन के सुनहरा होने तक पकाएँ। अब इसमें हींग, करी पत्ता डालें। 10 सेकंड बाद प्याज़ डालें और नरम होने तक पकाएँ। प्याज़ के नरम होने के बाद इसमें टमाटर, हरी मिर्च डालें और टमाटर के नरम होने तक पकने दें। अब इसमें हल्दी पाउडर, लाल मिर्च पाउडर और धनिया पाउडर डालें। इसे 1 मिनट तक पकने दें। अब इसमें पोहा, नमक डालें और सारी चीज़ें मिलाएँ। पैन को ढक दें और 10 मिनट तक पकने दें। पकने के बाद गैस बंद कर दें और हरे धनिये से गार्निश करें। टमाटर मटर पोहा को नाश्ते में मसाला चाय और फ्रूट बाउल के साथ सर्व करें।</v>
      </c>
      <c r="J711" s="3" t="s">
        <v>33823</v>
      </c>
      <c r="L711" s="1" t="s">
        <v>31003</v>
      </c>
    </row>
    <row r="712" spans="1:12" ht="13.8">
      <c r="A712" s="1" t="s">
        <v>33824</v>
      </c>
      <c r="B712" s="1" t="str">
        <f ca="1">IFERROR(__xludf.dummyfunction("IF(A712="""", """", GOOGLETRANSLATE(A712, ""en"", ""hi""))"),"वेजिटेबल हांडी बिरयानी रेसिपी")</f>
        <v>वेजिटेबल हांडी बिरयानी रेसिपी</v>
      </c>
      <c r="C712" s="1" t="s">
        <v>145</v>
      </c>
      <c r="D712" s="1" t="s">
        <v>14198</v>
      </c>
      <c r="E712" s="1">
        <v>65</v>
      </c>
      <c r="F712" s="1" t="s">
        <v>33825</v>
      </c>
      <c r="G712" s="1" t="str">
        <f ca="1">IFERROR(__xludf.dummyfunction("IF(F712="""", """", GOOGLETRANSLATE(F712, ""en"", ""hi""))"),"2 कप चावल - 30 मिनट के लिए भिगोए हुए, 1 इलायची की फली / बीज, 1 तेज पत्ता, 1 इंच दालचीनी, 3 लौंग, 1 बड़ा चम्मच घी, 1 कप दूध, 1 कप काला चना - रात भर भिगोया हुआ और पकने तक प्रेशर कुक किया हुआ, 1 गाजर - छोटा कटा हुआ, 250 ग्राम हरी बीन्स (फ्रेंच बीन्स) - छोटा "&amp;"कटा हुआ, 1 प्याज - कटा हुआ, 4 लहसुन के दाने - कटा हुआ, 1 इंच अदरक - कटा हुआ, 2 टमाटर - कटा हुआ, 1 हरी मिर्च - कटी हुई, 1 बड़ा चम्मच लाल मिर्च पाउडर, 1 चम्मच हल्दी पाउडर (हल्दी), 1 बड़ा चम्मच जीरा पाउडर (जीरा), 1 चम्मच धनिया पाउडर (धनिया), 1 बड़ा चम्मच गरम"&amp;" मसाला पाउडर, 1 कप दही (दही), नमक - स्वादानुसार, सूरजमुखी का तेल, धनिया परोसें, 1 कप दूध, 6 केसर के रेशे, 1 कप गेहूं के दाने/साबुत गेहूं")</f>
        <v>2 कप चावल - 30 मिनट के लिए भिगोए हुए, 1 इलायची की फली / बीज, 1 तेज पत्ता, 1 इंच दालचीनी, 3 लौंग, 1 बड़ा चम्मच घी, 1 कप दूध, 1 कप काला चना - रात भर भिगोया हुआ और पकने तक प्रेशर कुक किया हुआ, 1 गाजर - छोटा कटा हुआ, 250 ग्राम हरी बीन्स (फ्रेंच बीन्स) - छोटा कटा हुआ, 1 प्याज - कटा हुआ, 4 लहसुन के दाने - कटा हुआ, 1 इंच अदरक - कटा हुआ, 2 टमाटर - कटा हुआ, 1 हरी मिर्च - कटी हुई, 1 बड़ा चम्मच लाल मिर्च पाउडर, 1 चम्मच हल्दी पाउडर (हल्दी), 1 बड़ा चम्मच जीरा पाउडर (जीरा), 1 चम्मच धनिया पाउडर (धनिया), 1 बड़ा चम्मच गरम मसाला पाउडर, 1 कप दही (दही), नमक - स्वादानुसार, सूरजमुखी का तेल, धनिया परोसें, 1 कप दूध, 6 केसर के रेशे, 1 कप गेहूं के दाने/साबुत गेहूं</v>
      </c>
      <c r="H712" s="1" t="s">
        <v>33826</v>
      </c>
      <c r="I712" s="1" t="str">
        <f ca="1">IFERROR(__xludf.dummyfunction("IF(H712="""", """", GOOGLETRANSLATE(H712, ""en"", ""hi""))"),"वेजिटेबल हांडी बिरयानी रेसिपी बनाने के लिए सबसे पहले हम मध्यम आंच पर प्रेशर कुकर रखेंगे। घी डालें, जब यह पिघलने लगे तो सारे मसाले डालें। भीगे हुए चावल, 1 कप दूध और 3 कप पानी डालें। थोड़ा नमक छिड़कें और 2 सीटी आने तक प्रेशर कुकर में पकाएँ। एक सॉस पैन में त"&amp;"ेल गरम करें, उसमें प्याज़, लहसुन, अदरक डालें और नरम होने तक भूनें। गाजर और हरी बीन्स डालें और सब्ज़ियाँ पकने तक भूनें। टमाटर डालें और थोड़ा नमक छिड़कें ताकि टमाटर जल्दी पक जाएँ। जब टमाटर नरम हो जाएँ तो सारे मसाले पाउडर डालें और मिलाएँ। आखिर में दही और पका"&amp;" हुआ चना डालें और अच्छी तरह मिलाएँ। तब तक पकाएँ जब तक सारा मसाला एक साथ न मिल जाए। नमक डालकर अच्छी तरह मिलाएँ। इसे एक तरफ रख दें। दूध और केसर के मिश्रण को माइक्रोवेव ओवन में गर्म करें जब तक कि दूध गुनगुना न हो जाए। सख्त आटा गूंथने के लिए गेहूं के आटे में "&amp;"पानी मिलाएं और इसे तैयार रखें। एक हांडी या पुलाव लें, नीचे चना मसाला मिश्रण डालें, इसे अपने स्वाद वाले चावल के साथ परत करें। ऊपर से केसर का स्वाद वाला दूध डालें और कटा हरा धनिया छिड़कें। इसे ढक्कन से ढक दें। आटे को एक लंबी बेलनाकार रस्सी बनाने के लिए रोल "&amp;"करें। ढक्कन के किनारों को आटे से कसकर ढक दें। सुनिश्चित करें कि गर्मी बाहर न निकले। लगभग 15 मिनट तक धीमी आंच पर पकाएं और फिर परोसें। अपनी बिरयानी का आनंद लेने के लिए वेजिटेबल हांडी बिरयानी रेसिपी को खीरे का रायता, गाजर का सलाद के साथ परोसें।")</f>
        <v>वेजिटेबल हांडी बिरयानी रेसिपी बनाने के लिए सबसे पहले हम मध्यम आंच पर प्रेशर कुकर रखेंगे। घी डालें, जब यह पिघलने लगे तो सारे मसाले डालें। भीगे हुए चावल, 1 कप दूध और 3 कप पानी डालें। थोड़ा नमक छिड़कें और 2 सीटी आने तक प्रेशर कुकर में पकाएँ। एक सॉस पैन में तेल गरम करें, उसमें प्याज़, लहसुन, अदरक डालें और नरम होने तक भूनें। गाजर और हरी बीन्स डालें और सब्ज़ियाँ पकने तक भूनें। टमाटर डालें और थोड़ा नमक छिड़कें ताकि टमाटर जल्दी पक जाएँ। जब टमाटर नरम हो जाएँ तो सारे मसाले पाउडर डालें और मिलाएँ। आखिर में दही और पका हुआ चना डालें और अच्छी तरह मिलाएँ। तब तक पकाएँ जब तक सारा मसाला एक साथ न मिल जाए। नमक डालकर अच्छी तरह मिलाएँ। इसे एक तरफ रख दें। दूध और केसर के मिश्रण को माइक्रोवेव ओवन में गर्म करें जब तक कि दूध गुनगुना न हो जाए। सख्त आटा गूंथने के लिए गेहूं के आटे में पानी मिलाएं और इसे तैयार रखें। एक हांडी या पुलाव लें, नीचे चना मसाला मिश्रण डालें, इसे अपने स्वाद वाले चावल के साथ परत करें। ऊपर से केसर का स्वाद वाला दूध डालें और कटा हरा धनिया छिड़कें। इसे ढक्कन से ढक दें। आटे को एक लंबी बेलनाकार रस्सी बनाने के लिए रोल करें। ढक्कन के किनारों को आटे से कसकर ढक दें। सुनिश्चित करें कि गर्मी बाहर न निकले। लगभग 15 मिनट तक धीमी आंच पर पकाएं और फिर परोसें। अपनी बिरयानी का आनंद लेने के लिए वेजिटेबल हांडी बिरयानी रेसिपी को खीरे का रायता, गाजर का सलाद के साथ परोसें।</v>
      </c>
      <c r="J712" s="3" t="s">
        <v>33827</v>
      </c>
      <c r="L712" s="1" t="s">
        <v>31003</v>
      </c>
    </row>
    <row r="713" spans="1:12" ht="13.8">
      <c r="A713" s="1" t="s">
        <v>33828</v>
      </c>
      <c r="B713" s="1" t="str">
        <f ca="1">IFERROR(__xludf.dummyfunction("IF(A713="""", """", GOOGLETRANSLATE(A713, ""en"", ""hi""))"),"मुगलई दम अरबी रेसिपी")</f>
        <v>मुगलई दम अरबी रेसिपी</v>
      </c>
      <c r="C713" s="1" t="s">
        <v>14207</v>
      </c>
      <c r="D713" s="1" t="s">
        <v>14198</v>
      </c>
      <c r="E713" s="1">
        <v>55</v>
      </c>
      <c r="F713" s="1" t="s">
        <v>33829</v>
      </c>
      <c r="G713" s="1" t="str">
        <f ca="1">IFERROR(__xludf.dummyfunction("IF(F713="""", """", GOOGLETRANSLATE(F713, ""en"", ""hi""))"),"500 ग्राम अरबी - छिली हुई, 1 इलायची, 4 लौंग, 2 छोटे चम्मच धनिया, 1 छोटा चम्मच लाल मिर्च पाउडर, 1 छोटा चम्मच गरम मसाला पाउडर, 1 छोटा चम्मच हल्दी, 1/4 कप ताजा क्रीम, 1/2 कप दही, नमक - स्वादानुसार, घी - पकाने के लिए, 2 प्याज - कटे हुए और सुनहरे भूरे होने तक "&amp;"तले हुए, 2 बड़े चम्मच खसखस ​​- गर्म पानी में भिगोए हुए, 5 काजू - गर्म पानी में भिगोए हुए, 1 इंच अदरक - कटा हुआ, 4 लहसुन - कटा हुआ")</f>
        <v>500 ग्राम अरबी - छिली हुई, 1 इलायची, 4 लौंग, 2 छोटे चम्मच धनिया, 1 छोटा चम्मच लाल मिर्च पाउडर, 1 छोटा चम्मच गरम मसाला पाउडर, 1 छोटा चम्मच हल्दी, 1/4 कप ताजा क्रीम, 1/2 कप दही, नमक - स्वादानुसार, घी - पकाने के लिए, 2 प्याज - कटे हुए और सुनहरे भूरे होने तक तले हुए, 2 बड़े चम्मच खसखस ​​- गर्म पानी में भिगोए हुए, 5 काजू - गर्म पानी में भिगोए हुए, 1 इंच अदरक - कटा हुआ, 4 लहसुन - कटा हुआ</v>
      </c>
      <c r="H713" s="1" t="s">
        <v>33830</v>
      </c>
      <c r="I713" s="1" t="str">
        <f ca="1">IFERROR(__xludf.dummyfunction("IF(H713="""", """", GOOGLETRANSLATE(H713, ""en"", ""hi""))"),"मुगलई दम अरबी बनाने की विधि शुरू करने के लिए, हम सबसे पहले अरबी का छिलका उतारकर उसे आधा काट लेंगे और अलग रख देंगे। एक कढ़ाई को मध्यम आंच पर रखें और उसमें थोड़ा घी डालें। अरबी डालें और उन्हें सुनहरा भूरा होने और नरम होने तक भूनते रहें। उन्हें बाहर निकालें "&amp;"और एक पेपर नैपकिन पर सूखा लें। उसी कढ़ाई में, कटा हुआ प्याज और दो चम्मच तेल डालें और उन्हें सुनहरा भूरा होने तक भूनें। आंच बंद कर दें। भीगे हुए खसखस ​​और काजू से पानी निकाल दें। एक मिक्सर में खसखस, भूरा प्याज, काजू, अदरक और लहसुन डालें और थोड़ा पानी डालकर"&amp;" मुलायम पेस्ट बना लें। मध्यम आंच पर एक भारी तले की कढ़ाई में थोड़ा घी डालें और हरी इलायची और लौंग डालकर कुछ सेकेंड के लिए भून लें। पीसा हुआ पेस्ट डालें और कुछ मिनट के लिए भूनें, जब यह पक जाए तो आप दही डाल सकते हैं और हल्दी पाउडर, धनिया पाउडर, लाल मिर्च पा"&amp;"उडर और गरम मसाला पाउडर डाल सकते हैं और मसाले के एक साथ आने तक अच्छी तरह मिलाएँ। भुनी हुई अरबी, स्वादानुसार नमक और आखिर में क्रीम डालें और इसे चलाएँ। पैन को बंद करें और 10 मिनट और पकाएँ और गार्निश के लिए मेवे और किशमिश के साथ गरमागरम परोसें")</f>
        <v>मुगलई दम अरबी बनाने की विधि शुरू करने के लिए, हम सबसे पहले अरबी का छिलका उतारकर उसे आधा काट लेंगे और अलग रख देंगे। एक कढ़ाई को मध्यम आंच पर रखें और उसमें थोड़ा घी डालें। अरबी डालें और उन्हें सुनहरा भूरा होने और नरम होने तक भूनते रहें। उन्हें बाहर निकालें और एक पेपर नैपकिन पर सूखा लें। उसी कढ़ाई में, कटा हुआ प्याज और दो चम्मच तेल डालें और उन्हें सुनहरा भूरा होने तक भूनें। आंच बंद कर दें। भीगे हुए खसखस ​​और काजू से पानी निकाल दें। एक मिक्सर में खसखस, भूरा प्याज, काजू, अदरक और लहसुन डालें और थोड़ा पानी डालकर मुलायम पेस्ट बना लें। मध्यम आंच पर एक भारी तले की कढ़ाई में थोड़ा घी डालें और हरी इलायची और लौंग डालकर कुछ सेकेंड के लिए भून लें। पीसा हुआ पेस्ट डालें और कुछ मिनट के लिए भूनें, जब यह पक जाए तो आप दही डाल सकते हैं और हल्दी पाउडर, धनिया पाउडर, लाल मिर्च पाउडर और गरम मसाला पाउडर डाल सकते हैं और मसाले के एक साथ आने तक अच्छी तरह मिलाएँ। भुनी हुई अरबी, स्वादानुसार नमक और आखिर में क्रीम डालें और इसे चलाएँ। पैन को बंद करें और 10 मिनट और पकाएँ और गार्निश के लिए मेवे और किशमिश के साथ गरमागरम परोसें</v>
      </c>
      <c r="J713" s="3" t="s">
        <v>33831</v>
      </c>
      <c r="L713" s="1" t="s">
        <v>31003</v>
      </c>
    </row>
    <row r="714" spans="1:12" ht="13.8">
      <c r="A714" s="1" t="s">
        <v>33832</v>
      </c>
      <c r="B714" s="1" t="str">
        <f ca="1">IFERROR(__xludf.dummyfunction("IF(A714="""", """", GOOGLETRANSLATE(A714, ""en"", ""hi""))"),"काजू ग्रेवी में शाही भिंडी रेसिपी - काजू करी में भिन्डी")</f>
        <v>काजू ग्रेवी में शाही भिंडी रेसिपी - काजू करी में भिन्डी</v>
      </c>
      <c r="C714" s="1" t="s">
        <v>145</v>
      </c>
      <c r="D714" s="1" t="s">
        <v>14198</v>
      </c>
      <c r="E714" s="1">
        <v>50</v>
      </c>
      <c r="F714" s="1" t="s">
        <v>33833</v>
      </c>
      <c r="G714" s="1" t="str">
        <f ca="1">IFERROR(__xludf.dummyfunction("IF(F714="""", """", GOOGLETRANSLATE(F714, ""en"", ""hi""))"),"300 ग्राम भिंडी - 1 इंच लंबाई में कटी हुई, 1/2 चम्मच लाल मिर्च पाउडर, 1/4 चम्मच हल्दी पाउडर, 1/2 चम्मच गरम मसाला पाउडर, 2 बड़े चम्मच ताजा क्रीम, 1/2 चम्मच कसूरी मेथी, 2 चम्मच सूरजमुखी तेल, 1 बड़ा चम्मच घी, 1 प्याज - कटा हुआ, 1/4 कप काजू, 1 टमाटर - कटा हुआ"&amp;", 4 लहसुन, 1 चम्मच अदरक - कसा हुआ, 2 इलायची, 2 लौंग, 1/2 इंच दालचीनी, 1 हरी मिर्च, 1/2 चम्मच जीरा")</f>
        <v>300 ग्राम भिंडी - 1 इंच लंबाई में कटी हुई, 1/2 चम्मच लाल मिर्च पाउडर, 1/4 चम्मच हल्दी पाउडर, 1/2 चम्मच गरम मसाला पाउडर, 2 बड़े चम्मच ताजा क्रीम, 1/2 चम्मच कसूरी मेथी, 2 चम्मच सूरजमुखी तेल, 1 बड़ा चम्मच घी, 1 प्याज - कटा हुआ, 1/4 कप काजू, 1 टमाटर - कटा हुआ, 4 लहसुन, 1 चम्मच अदरक - कसा हुआ, 2 इलायची, 2 लौंग, 1/2 इंच दालचीनी, 1 हरी मिर्च, 1/2 चम्मच जीरा</v>
      </c>
      <c r="H714" s="1" t="s">
        <v>33834</v>
      </c>
      <c r="I714" s="1" t="str">
        <f ca="1">IFERROR(__xludf.dummyfunction("IF(H714="""", """", GOOGLETRANSLATE(H714, ""en"", ""hi""))"),"काजू की ग्रेवी में शाही भिंडी रेसिपी - काजू करी में भिंडी बनाने के लिए सबसे पहले भिंडी तैयार करें और सभी सामग्री तैयार कर लें और एक तरफ रख दें। एक भारी तले की कड़ाही या कड़ाही में एक चम्मच तेल गर्म करें। इसमें जीरा डालें और इसे चटकने दें। इलायची, दालचीनी "&amp;"स्टिक, लौंग डालें और कुछ सेकंड के लिए हिलाएं। प्याज, लहसुन और अदरक डालें और प्याज के गुलाबी और नरम होने तक भूनें। काजू, हरी मिर्च डालें और प्याज के साथ एक मिनट के लिए भूनें। टमाटर डालें और तब तक अच्छी तरह से भूनें जब तक कि कच्ची महक चली न जाए, टमाटर नरम ह"&amp;"ो जाए और मसाले भुने हुए सुगंध छोड़ दें। जब सभी सामग्री नरम हो जाए और पक जाए तो आंच बंद कर दें और इसे ठंडा होने दें। ठंडा होने पर पकी हुई भिन्डी को दूसरे बाउल में डालें। उसी पैन में 1 बड़ा चम्मच तेल गर्म करें। इसमें पिसा हुआ शाही मसाला पेस्ट, लाल मिर्च पाउ"&amp;"डर, हल्दी पाउडर, गरम मसाला पाउडर डालें और मसाला अच्छी तरह पकने तक भूनें। तली हुई भिन्डी डालें और भिन्डी को शाही मसाले में अच्छी तरह मिलाने के लिए हिलाएं। ग्रेवी का गाढ़ापन समायोजित करने के लिए गर्म पानी डालें। शाही भिन्डी को तेज उबाल लें और 2 से 3 मिनट तक"&amp;" पकाएं। अंत में 2 बड़े चम्मच क्रीम और कसूरी मेथी डालें। हिलाएँ और एक और मिनट तक पकाएँ और आँच बंद कर दें। कटा हुआ हरा धनिया डालकर मिलाएँ और परोसें। काजू ग्रेवी वाली शाही भिन्डी को पराठों या बटर नान, जीरा राइस और सिंधी कढ़ी के साथ दोस्तों के साथ एक बेहतरीन "&amp;"वीकेंड पार्टी के लिए परोसें।")</f>
        <v>काजू की ग्रेवी में शाही भिंडी रेसिपी - काजू करी में भिंडी बनाने के लिए सबसे पहले भिंडी तैयार करें और सभी सामग्री तैयार कर लें और एक तरफ रख दें। एक भारी तले की कड़ाही या कड़ाही में एक चम्मच तेल गर्म करें। इसमें जीरा डालें और इसे चटकने दें। इलायची, दालचीनी स्टिक, लौंग डालें और कुछ सेकंड के लिए हिलाएं। प्याज, लहसुन और अदरक डालें और प्याज के गुलाबी और नरम होने तक भूनें। काजू, हरी मिर्च डालें और प्याज के साथ एक मिनट के लिए भूनें। टमाटर डालें और तब तक अच्छी तरह से भूनें जब तक कि कच्ची महक चली न जाए, टमाटर नरम हो जाए और मसाले भुने हुए सुगंध छोड़ दें। जब सभी सामग्री नरम हो जाए और पक जाए तो आंच बंद कर दें और इसे ठंडा होने दें। ठंडा होने पर पकी हुई भिन्डी को दूसरे बाउल में डालें। उसी पैन में 1 बड़ा चम्मच तेल गर्म करें। इसमें पिसा हुआ शाही मसाला पेस्ट, लाल मिर्च पाउडर, हल्दी पाउडर, गरम मसाला पाउडर डालें और मसाला अच्छी तरह पकने तक भूनें। तली हुई भिन्डी डालें और भिन्डी को शाही मसाले में अच्छी तरह मिलाने के लिए हिलाएं। ग्रेवी का गाढ़ापन समायोजित करने के लिए गर्म पानी डालें। शाही भिन्डी को तेज उबाल लें और 2 से 3 मिनट तक पकाएं। अंत में 2 बड़े चम्मच क्रीम और कसूरी मेथी डालें। हिलाएँ और एक और मिनट तक पकाएँ और आँच बंद कर दें। कटा हुआ हरा धनिया डालकर मिलाएँ और परोसें। काजू ग्रेवी वाली शाही भिन्डी को पराठों या बटर नान, जीरा राइस और सिंधी कढ़ी के साथ दोस्तों के साथ एक बेहतरीन वीकेंड पार्टी के लिए परोसें।</v>
      </c>
      <c r="J714" s="3" t="s">
        <v>33835</v>
      </c>
      <c r="L714" s="1" t="s">
        <v>31003</v>
      </c>
    </row>
    <row r="715" spans="1:12" ht="409.6">
      <c r="A715" s="1" t="s">
        <v>33836</v>
      </c>
      <c r="B715" s="1" t="str">
        <f ca="1">IFERROR(__xludf.dummyfunction("IF(A715="""", """", GOOGLETRANSLATE(A715, ""en"", ""hi""))"),"लहसुनी मेथी पनीर रेसिपी - लहसुन मेथी पनीर करी")</f>
        <v>लहसुनी मेथी पनीर रेसिपी - लहसुन मेथी पनीर करी</v>
      </c>
      <c r="C715" s="1" t="s">
        <v>429</v>
      </c>
      <c r="D715" s="1" t="s">
        <v>14237</v>
      </c>
      <c r="E715" s="1">
        <v>25</v>
      </c>
      <c r="F715" s="1" t="s">
        <v>33837</v>
      </c>
      <c r="G715" s="1" t="str">
        <f ca="1">IFERROR(__xludf.dummyfunction("IF(F715="""", """", GOOGLETRANSLATE(F715, ""en"", ""hi""))"),"250 ग्राम पनीर, 1 बड़ा चम्मच कसूरी मेथी, 3 बड़े चम्मच दही, 1/2 कप ताजा क्रीम, 1/2 चम्मच गरम मसाला पाउडर, 1/4 चम्मच इलायची पाउडर, नमक - स्वादानुसार, 1 चम्मच घी - पकाने के लिए, 8 साबुत काजू, 4 लहसुन की कलियां, 2 हरी मिर्च - कटी हुई, 1 इंच अदरक - कटा हुआ")</f>
        <v>250 ग्राम पनीर, 1 बड़ा चम्मच कसूरी मेथी, 3 बड़े चम्मच दही, 1/2 कप ताजा क्रीम, 1/2 चम्मच गरम मसाला पाउडर, 1/4 चम्मच इलायची पाउडर, नमक - स्वादानुसार, 1 चम्मच घी - पकाने के लिए, 8 साबुत काजू, 4 लहसुन की कलियां, 2 हरी मिर्च - कटी हुई, 1 इंच अदरक - कटा हुआ</v>
      </c>
      <c r="H715" s="4" t="s">
        <v>33838</v>
      </c>
      <c r="I715" s="4" t="str">
        <f ca="1">IFERROR(__xludf.dummyfunction("IF(H715="""", """", GOOGLETRANSLATE(H715, ""en"", ""hi""))"),"लहसुनी मेथी पनीर रेसिपी बनाने के लिए सबसे पहले काजू को एक कटोरी में 1/4 कप पानी के साथ लगभग एक घंटे के लिए भिगो दें। एक घंटे बाद काजू को अदरक, लहसुन और हरी मिर्च के साथ पीस लें और भीगे हुए काजू के पानी का चिकना पेस्ट बनाकर एक तरफ रख दें। एक बड़े कटोरे में"&amp;" काजू अदरक लहसुन और मिर्च का पेस्ट, ताजा क्रीम, दही, गरम मसाला, इलायची पाउडर नमक डालें और अच्छी तरह से फेंटकर चिकना मिश्रण बना लें। मध्यम आंच पर एक पैन में घी गर्म करें, उसमें काजू क्रीम मिश्रण, कटे हुए पनीर के टुकड़े डालें और लगभग 5 मिनट तक उबालें। मिश्र"&amp;"ण के गाढ़ापन को समायोजित करने के लिए पानी डालें। नमक और मसाले की जांच करें और स्वादानुसार समायोजित करें। अंत में कसूरी मेथी डालकर चलाएं, पैन को ढक दें लहसुनी मेथी पनीर को एक सर्विंग बाउल में डालें और गरमागरम परोसें। लहसुनी मेथी पनीर रेसिपी को स्मोक्ड मखान"&amp;"ी ढाबा स्टाइल दाल, जीरा चावल, टमाटर प्याज तड़का रायता और लहसुन नान के साथ घर की पार्टी के लिए परोसें।
")</f>
        <v xml:space="preserve">लहसुनी मेथी पनीर रेसिपी बनाने के लिए सबसे पहले काजू को एक कटोरी में 1/4 कप पानी के साथ लगभग एक घंटे के लिए भिगो दें। एक घंटे बाद काजू को अदरक, लहसुन और हरी मिर्च के साथ पीस लें और भीगे हुए काजू के पानी का चिकना पेस्ट बनाकर एक तरफ रख दें। एक बड़े कटोरे में काजू अदरक लहसुन और मिर्च का पेस्ट, ताजा क्रीम, दही, गरम मसाला, इलायची पाउडर नमक डालें और अच्छी तरह से फेंटकर चिकना मिश्रण बना लें। मध्यम आंच पर एक पैन में घी गर्म करें, उसमें काजू क्रीम मिश्रण, कटे हुए पनीर के टुकड़े डालें और लगभग 5 मिनट तक उबालें। मिश्रण के गाढ़ापन को समायोजित करने के लिए पानी डालें। नमक और मसाले की जांच करें और स्वादानुसार समायोजित करें। अंत में कसूरी मेथी डालकर चलाएं, पैन को ढक दें लहसुनी मेथी पनीर को एक सर्विंग बाउल में डालें और गरमागरम परोसें। लहसुनी मेथी पनीर रेसिपी को स्मोक्ड मखानी ढाबा स्टाइल दाल, जीरा चावल, टमाटर प्याज तड़का रायता और लहसुन नान के साथ घर की पार्टी के लिए परोसें।
</v>
      </c>
      <c r="J715" s="3" t="s">
        <v>33839</v>
      </c>
      <c r="L715" s="1" t="s">
        <v>31003</v>
      </c>
    </row>
    <row r="716" spans="1:12" ht="13.8">
      <c r="A716" s="1" t="s">
        <v>33840</v>
      </c>
      <c r="B716" s="1" t="str">
        <f ca="1">IFERROR(__xludf.dummyfunction("IF(A716="""", """", GOOGLETRANSLATE(A716, ""en"", ""hi""))"),"लहसुन तड़का के साथ कद्दू दाल रेसिपी")</f>
        <v>लहसुन तड़का के साथ कद्दू दाल रेसिपी</v>
      </c>
      <c r="C716" s="1" t="s">
        <v>429</v>
      </c>
      <c r="D716" s="1" t="s">
        <v>14338</v>
      </c>
      <c r="E716" s="1">
        <v>45</v>
      </c>
      <c r="F716" s="1" t="s">
        <v>33841</v>
      </c>
      <c r="G716" s="1" t="str">
        <f ca="1">IFERROR(__xludf.dummyfunction("IF(F716="""", """", GOOGLETRANSLATE(F716, ""en"", ""hi""))"),"1/4 कप अरहर दाल, 1/4 कप पीली मूंग दाल, 1/4 कप मसूर दाल (साबुत), 1 इंच अदरक - कसा हुआ, 2 हरी मिर्च - कटी हुई, 1 इंच दालचीनी, 1 तेज पत्ता, 2 टमाटर - बारीक कटे हुए, 250 ग्राम कद्दू - छिला और कटा हुआ, नमक - स्वादानुसार, सूरजमुखी तेल - पकाने के लिए, 1 चम्मच हल"&amp;"्दी, 1 चम्मच घी, 1 चम्मच जीरा, 4 लहसुन के दाने, 2 सूखी लाल मिर्च")</f>
        <v>1/4 कप अरहर दाल, 1/4 कप पीली मूंग दाल, 1/4 कप मसूर दाल (साबुत), 1 इंच अदरक - कसा हुआ, 2 हरी मिर्च - कटी हुई, 1 इंच दालचीनी, 1 तेज पत्ता, 2 टमाटर - बारीक कटे हुए, 250 ग्राम कद्दू - छिला और कटा हुआ, नमक - स्वादानुसार, सूरजमुखी तेल - पकाने के लिए, 1 चम्मच हल्दी, 1 चम्मच घी, 1 चम्मच जीरा, 4 लहसुन के दाने, 2 सूखी लाल मिर्च</v>
      </c>
      <c r="H716" s="1" t="s">
        <v>33842</v>
      </c>
      <c r="I716" s="1" t="str">
        <f ca="1">IFERROR(__xludf.dummyfunction("IF(H716="""", """", GOOGLETRANSLATE(H716, ""en"", ""hi""))"),"कद्दू दाल लहसुन तड़का रेसिपी बनाने के लिए सबसे पहले हम दाल की सारी सामग्री प्रेशर कुकर में पकाएँगे। सबसे पहले सारी सामग्री तैयार कर लें। दाल को धो लें, कद्दू को काट लें और बाकी सामग्री तैयार कर लें। सारी सामग्री प्रेशर कुकर में डालें (तड़के की सामग्री को "&amp;"छोड़कर), 2-1/2 कप पानी, नमक डालें और प्रेशर कुकर को ढक दें। दो सीटी आने तक पकाएँ। एक-दो सीटी आने के बाद आँच धीमी कर दें और कुछ मिनट तक पकाएँ और आँच बंद कर दें। प्रेशर को अपने आप निकलने दें। प्रेशर निकलने के बाद कुकर खोलें और दाल को चलाएँ और एक सर्विंग बाउ"&amp;"ल में निकाल लें। नमक और मसाले चैक करें और अपने स्वादानुसार मिला लें। लहसुन तड़का लगाने के लिए एक छोटे तड़का पैन में मध्यम आँच पर घी गर्म करें। उसमें जीरा, लहसुन और लाल मिर्च डालें। उन्हें कुछ सेकंड के लिए भुनने दें और दाल के ऊपर तड़का डालें। कद्दू दाल लहस"&amp;"ुन तड़का रेसिपी को उबले हुए चावल, पापड़ और अचार के साथ रात के खाने के लिए परोसें।")</f>
        <v>कद्दू दाल लहसुन तड़का रेसिपी बनाने के लिए सबसे पहले हम दाल की सारी सामग्री प्रेशर कुकर में पकाएँगे। सबसे पहले सारी सामग्री तैयार कर लें। दाल को धो लें, कद्दू को काट लें और बाकी सामग्री तैयार कर लें। सारी सामग्री प्रेशर कुकर में डालें (तड़के की सामग्री को छोड़कर), 2-1/2 कप पानी, नमक डालें और प्रेशर कुकर को ढक दें। दो सीटी आने तक पकाएँ। एक-दो सीटी आने के बाद आँच धीमी कर दें और कुछ मिनट तक पकाएँ और आँच बंद कर दें। प्रेशर को अपने आप निकलने दें। प्रेशर निकलने के बाद कुकर खोलें और दाल को चलाएँ और एक सर्विंग बाउल में निकाल लें। नमक और मसाले चैक करें और अपने स्वादानुसार मिला लें। लहसुन तड़का लगाने के लिए एक छोटे तड़का पैन में मध्यम आँच पर घी गर्म करें। उसमें जीरा, लहसुन और लाल मिर्च डालें। उन्हें कुछ सेकंड के लिए भुनने दें और दाल के ऊपर तड़का डालें। कद्दू दाल लहसुन तड़का रेसिपी को उबले हुए चावल, पापड़ और अचार के साथ रात के खाने के लिए परोसें।</v>
      </c>
      <c r="J716" s="3" t="s">
        <v>33843</v>
      </c>
      <c r="L716" s="1" t="s">
        <v>31003</v>
      </c>
    </row>
    <row r="717" spans="1:12" ht="13.8">
      <c r="A717" s="1" t="s">
        <v>33844</v>
      </c>
      <c r="B717" s="1" t="str">
        <f ca="1">IFERROR(__xludf.dummyfunction("IF(A717="""", """", GOOGLETRANSLATE(A717, ""en"", ""hi""))"),"सुखी आलू सब्ज़ी")</f>
        <v>सुखी आलू सब्ज़ी</v>
      </c>
      <c r="C717" s="1" t="s">
        <v>14207</v>
      </c>
      <c r="D717" s="1" t="s">
        <v>14198</v>
      </c>
      <c r="E717" s="1">
        <v>40</v>
      </c>
      <c r="F717" s="1" t="s">
        <v>33845</v>
      </c>
      <c r="G717" s="1" t="str">
        <f ca="1">IFERROR(__xludf.dummyfunction("IF(F717="""", """", GOOGLETRANSLATE(F717, ""en"", ""hi""))"),"4 आलू - उबले हुए, 2 बड़े चम्मच तेल, 1/2 छोटा चम्मच राई, 1/2 छोटा चम्मच जीरा, 1/2 छोटा चम्मच हल्दी पाउडर, 1 छोटा चम्मच धनिया पाउडर, 1 छोटा चम्मच गरम मसाला पाउडर, 1/2 छोटा चम्मच अमचूर, 1/2 छोटा चम्मच लाल मिर्च पाउडर, नमक - स्वादानुसार, 2 टहनियां धनिया पत्ती"&amp;" - कटी हुई, तेल - उपयोगानुसार")</f>
        <v>4 आलू - उबले हुए, 2 बड़े चम्मच तेल, 1/2 छोटा चम्मच राई, 1/2 छोटा चम्मच जीरा, 1/2 छोटा चम्मच हल्दी पाउडर, 1 छोटा चम्मच धनिया पाउडर, 1 छोटा चम्मच गरम मसाला पाउडर, 1/2 छोटा चम्मच अमचूर, 1/2 छोटा चम्मच लाल मिर्च पाउडर, नमक - स्वादानुसार, 2 टहनियां धनिया पत्ती - कटी हुई, तेल - उपयोगानुसार</v>
      </c>
      <c r="H717" s="1" t="s">
        <v>33846</v>
      </c>
      <c r="I717" s="1" t="str">
        <f ca="1">IFERROR(__xludf.dummyfunction("IF(H717="""", """", GOOGLETRANSLATE(H717, ""en"", ""hi""))"),"सुखी आलू सब्ज़ी बनाने के लिए सबसे पहले आलू को प्रेशर कुकर में पानी और नमक के साथ उबालें। प्रेशर निकलने दें। ठंडा होने के बाद उन्हें छीलकर काट लें। अब एक पैन में 2 बड़े चम्मच तेल गर्म करें। इसमें राई, सौंफ, जीरा डालें और 15 सेकंड तक पकने दें। 15 सेकंड के ब"&amp;"ाद आलू, बाकी मसाले और नमक डालें। सभी चीजों को मिलाएँ और थोड़ा पानी छिड़कें। पैन को ढक दें और 10 से 12 मिनट तक पकने दें। गरमागरम परोसें। सुखी आलू सब्ज़ी को गुजराती कढ़ी और मेथी थेपला के साथ लंच या डिनर में परोसें।")</f>
        <v>सुखी आलू सब्ज़ी बनाने के लिए सबसे पहले आलू को प्रेशर कुकर में पानी और नमक के साथ उबालें। प्रेशर निकलने दें। ठंडा होने के बाद उन्हें छीलकर काट लें। अब एक पैन में 2 बड़े चम्मच तेल गर्म करें। इसमें राई, सौंफ, जीरा डालें और 15 सेकंड तक पकने दें। 15 सेकंड के बाद आलू, बाकी मसाले और नमक डालें। सभी चीजों को मिलाएँ और थोड़ा पानी छिड़कें। पैन को ढक दें और 10 से 12 मिनट तक पकने दें। गरमागरम परोसें। सुखी आलू सब्ज़ी को गुजराती कढ़ी और मेथी थेपला के साथ लंच या डिनर में परोसें।</v>
      </c>
      <c r="J717" s="3" t="s">
        <v>33847</v>
      </c>
      <c r="L717" s="1" t="s">
        <v>31003</v>
      </c>
    </row>
    <row r="718" spans="1:12" ht="13.8">
      <c r="A718" s="1" t="s">
        <v>31269</v>
      </c>
      <c r="B718" s="1" t="str">
        <f ca="1">IFERROR(__xludf.dummyfunction("IF(A718="""", """", GOOGLETRANSLATE(A718, ""en"", ""hi""))"),"शाकाहारी कोफ्ता करी रेसिपी")</f>
        <v>शाकाहारी कोफ्ता करी रेसिपी</v>
      </c>
      <c r="C718" s="1" t="s">
        <v>429</v>
      </c>
      <c r="D718" s="1" t="s">
        <v>17937</v>
      </c>
      <c r="E718" s="1">
        <v>75</v>
      </c>
      <c r="F718" s="1" t="s">
        <v>33848</v>
      </c>
      <c r="G718" s="1" t="str">
        <f ca="1">IFERROR(__xludf.dummyfunction("IF(F718="""", """", GOOGLETRANSLATE(F718, ""en"", ""hi""))"),"1/4 कप गाजर - कद्दूकस की हुई, 1/4 कप तोरी - कद्दूकस की हुई, 1/4 कप चुकंदर - कद्दूकस किया हुआ, 1/4 कप लौकी - कद्दूकस की हुई, 1/4 कप पत्तागोभी - कद्दूकस की हुई, 1/4 कप टोफू - कद्दूकस किया हुआ, 1 छोटा चम्मच अदरक लहसुन पेस्ट, 2 हरी मिर्च - पिसी हुई, 2 बड़े चम"&amp;"्मच मल्टीग्रेन आटा - या बेसन, 1/2 छोटा चम्मच धनिया पाउडर, 1/2 छोटा चम्मच जीरा पाउडर, 2 छोटे चम्मच चावल का आटा, 1/4 छोटा चम्मच हींग, 1/2 छोटा चम्मच अमचूर, नमक - स्वादानुसार, तेल - तलने के लिए (आवश्यकतानुसार), 2 प्याज - कटे हुए, 3 टमाटर - उबालकर छीले और बार"&amp;"ीक कटे हुए, 7 काजू - 30 मिनट गर्म पानी में भिगोए हुए, 1 छोटा चम्मच गरम मसाला पाउडर, 1 छोटा चम्मच लाल मिर्च पाउडर, 1 छोटा चम्मच जीरा, 1/2 छोटा चम्मच चीनी, 1 छोटा चम्मच अदरक लहसुन पाउडर पेस्ट, तेल - आवश्यकतानुसार, नमक - स्वादानुसार, हरा धनिया - थोड़ा")</f>
        <v>1/4 कप गाजर - कद्दूकस की हुई, 1/4 कप तोरी - कद्दूकस की हुई, 1/4 कप चुकंदर - कद्दूकस किया हुआ, 1/4 कप लौकी - कद्दूकस की हुई, 1/4 कप पत्तागोभी - कद्दूकस की हुई, 1/4 कप टोफू - कद्दूकस किया हुआ, 1 छोटा चम्मच अदरक लहसुन पेस्ट, 2 हरी मिर्च - पिसी हुई, 2 बड़े चम्मच मल्टीग्रेन आटा - या बेसन, 1/2 छोटा चम्मच धनिया पाउडर, 1/2 छोटा चम्मच जीरा पाउडर, 2 छोटे चम्मच चावल का आटा, 1/4 छोटा चम्मच हींग, 1/2 छोटा चम्मच अमचूर, नमक - स्वादानुसार, तेल - तलने के लिए (आवश्यकतानुसार), 2 प्याज - कटे हुए, 3 टमाटर - उबालकर छीले और बारीक कटे हुए, 7 काजू - 30 मिनट गर्म पानी में भिगोए हुए, 1 छोटा चम्मच गरम मसाला पाउडर, 1 छोटा चम्मच लाल मिर्च पाउडर, 1 छोटा चम्मच जीरा, 1/2 छोटा चम्मच चीनी, 1 छोटा चम्मच अदरक लहसुन पाउडर पेस्ट, तेल - आवश्यकतानुसार, नमक - स्वादानुसार, हरा धनिया - थोड़ा</v>
      </c>
      <c r="H718" s="1" t="s">
        <v>33849</v>
      </c>
      <c r="I718" s="1" t="str">
        <f ca="1">IFERROR(__xludf.dummyfunction("IF(H718="""", """", GOOGLETRANSLATE(H718, ""en"", ""hi""))"),"""वीगन कोफ्ता करी बनाने के लिए सबसे पहले कोफ्ता बनाने के लिए दी गई सारी सामग्री को एक बाउल में लें। अच्छे से मिला लें और नींबू के आकार की छोटी-छोटी बॉल्स बना लें। एक पैन में तेल गर्म करें और गर्म होने के बाद इन बॉल्स को उसमें धीरे-धीरे डालें। ब्राउन होने "&amp;"तक फ्राई करें। चम्मच की मदद से इन्हें टिशू पेपर पर निकाल लें। आप इन कोफ्तों को पनियारम पैन में भी बना सकते हैं। अब इसकी ग्रेवी बनाएंगे। मिक्सर ग्राइंडर में प्याज, टमाटर, काजू डालकर पेस्ट बना लें। अब एक पैन में तेल गर्म करें। इसमें जीरा डालें और 10 सेकंड त"&amp;"क पकाएं। 10 सेकंड बाद इसमें प्याज और अदरक लहसुन का पेस्ट डालें। 3 मिनट तक पकाएं और उसके बाद इसमें टमाटर का पेस्ट डालें। मिक्स करें और 3 से 5 मिनट तक पकाएं। 5 मिनट बाद इसमें गरम मसाला, लाल मिर्च पाउडर डालकर मिक्स करें। 15 सेकंड बाद इसमें काजू का पेस्ट, चीन"&amp;"ी और नमक डालें। जरूरत के हिसाब से पानी डालें और 3 से 4 मिनट तक भूनें। इसे एक मिनट तक पकने दें। 3 से 4 मिनट बाद 4 मिनट के बाद गैस बंद कर दें और धनिया पत्ती से गार्निश करें। शाकाहारी कोफ्ता करी को लच्छा पराठा और पालक रायता के साथ रात के खाने में परोसें।")</f>
        <v>"वीगन कोफ्ता करी बनाने के लिए सबसे पहले कोफ्ता बनाने के लिए दी गई सारी सामग्री को एक बाउल में लें। अच्छे से मिला लें और नींबू के आकार की छोटी-छोटी बॉल्स बना लें। एक पैन में तेल गर्म करें और गर्म होने के बाद इन बॉल्स को उसमें धीरे-धीरे डालें। ब्राउन होने तक फ्राई करें। चम्मच की मदद से इन्हें टिशू पेपर पर निकाल लें। आप इन कोफ्तों को पनियारम पैन में भी बना सकते हैं। अब इसकी ग्रेवी बनाएंगे। मिक्सर ग्राइंडर में प्याज, टमाटर, काजू डालकर पेस्ट बना लें। अब एक पैन में तेल गर्म करें। इसमें जीरा डालें और 10 सेकंड तक पकाएं। 10 सेकंड बाद इसमें प्याज और अदरक लहसुन का पेस्ट डालें। 3 मिनट तक पकाएं और उसके बाद इसमें टमाटर का पेस्ट डालें। मिक्स करें और 3 से 5 मिनट तक पकाएं। 5 मिनट बाद इसमें गरम मसाला, लाल मिर्च पाउडर डालकर मिक्स करें। 15 सेकंड बाद इसमें काजू का पेस्ट, चीनी और नमक डालें। जरूरत के हिसाब से पानी डालें और 3 से 4 मिनट तक भूनें। इसे एक मिनट तक पकने दें। 3 से 4 मिनट बाद 4 मिनट के बाद गैस बंद कर दें और धनिया पत्ती से गार्निश करें। शाकाहारी कोफ्ता करी को लच्छा पराठा और पालक रायता के साथ रात के खाने में परोसें।</v>
      </c>
      <c r="J718" s="3" t="s">
        <v>33850</v>
      </c>
      <c r="L718" s="1" t="s">
        <v>31003</v>
      </c>
    </row>
    <row r="719" spans="1:12" ht="13.8">
      <c r="A719" s="1" t="s">
        <v>33851</v>
      </c>
      <c r="B719" s="1" t="str">
        <f ca="1">IFERROR(__xludf.dummyfunction("IF(A719="""", """", GOOGLETRANSLATE(A719, ""en"", ""hi""))"),"बीन्स करम रेसिपी (बीन्स करी)")</f>
        <v>बीन्स करम रेसिपी (बीन्स करी)</v>
      </c>
      <c r="C719" s="1" t="s">
        <v>145</v>
      </c>
      <c r="D719" s="1" t="s">
        <v>14198</v>
      </c>
      <c r="E719" s="1">
        <v>45</v>
      </c>
      <c r="F719" s="1" t="s">
        <v>33852</v>
      </c>
      <c r="G719" s="1" t="str">
        <f ca="1">IFERROR(__xludf.dummyfunction("IF(F719="""", """", GOOGLETRANSLATE(F719, ""en"", ""hi""))"),"500 ग्राम हरी बीन्स (फ्रेंच बीन्स), 2 प्याज - कटा हुआ, 1 बड़ा चम्मच धनिया (धनिया) बीज, 1/2 चम्मच जीरा (जीरा), 4 सूखी लाल मिर्च, 2 ब्यादगी सूखी मिर्च, 1 कप ताजा नारियल - कसा हुआ, 2 बड़े चम्मच डेसिकेटेड नारियल, 1 बड़ा चम्मच खसखस, 1 इमली - नींबू की गेंद के आ"&amp;"कार की, 2 बड़े चम्मच गुड़, 1 बड़ा चम्मच हल्दी पाउडर (हल्दी), नमक - स्वादानुसार, 1 चम्मच सरसों के बीज, 10 करी पत्ते, 1/4 चम्मच हींग (हिंग)")</f>
        <v>500 ग्राम हरी बीन्स (फ्रेंच बीन्स), 2 प्याज - कटा हुआ, 1 बड़ा चम्मच धनिया (धनिया) बीज, 1/2 चम्मच जीरा (जीरा), 4 सूखी लाल मिर्च, 2 ब्यादगी सूखी मिर्च, 1 कप ताजा नारियल - कसा हुआ, 2 बड़े चम्मच डेसिकेटेड नारियल, 1 बड़ा चम्मच खसखस, 1 इमली - नींबू की गेंद के आकार की, 2 बड़े चम्मच गुड़, 1 बड़ा चम्मच हल्दी पाउडर (हल्दी), नमक - स्वादानुसार, 1 चम्मच सरसों के बीज, 10 करी पत्ते, 1/4 चम्मच हींग (हिंग)</v>
      </c>
      <c r="H719" s="1" t="s">
        <v>33853</v>
      </c>
      <c r="I719" s="1" t="str">
        <f ca="1">IFERROR(__xludf.dummyfunction("IF(H719="""", """", GOOGLETRANSLATE(H719, ""en"", ""hi""))"),"बीन्स करम रेसिपी बनाने के लिए सबसे पहले एक पैन में थोड़े से तेल के साथ धनिया, जीरा, मिर्च, सूखा नारियल, खसखस ​​और ताजा नारियल भून लें। इस मिश्रण को इमली के अर्क, गुड़, 1/2 प्याज और नमक के साथ मिक्सर ग्राइंडर में पीस लें। बीन्स को थोड़े पानी के साथ पैन में"&amp;" नरम होने तक पकाएं। एक भारी तले की कड़ाही में तेल गर्म करें, उसमें राई डालें और उन्हें चटकने दें। इसके बाद, हिंग, करी पत्ता, 1-1/2 प्याज और एक चुटकी नमक डालें और पारदर्शी होने तक पकने दें। हल्दी पाउडर, बीन्स डालें और एक मिनट के लिए भूनें। पैन में पिसा हुआ"&amp;" मसाला पेस्ट डालें और बीच-बीच में हिलाते हुए 5 से 6 मिनट तक पकाएं। एक कप पानी डालें और इसे उबाल लें। मसाले को समायोजित करें और गर्म परोसें। बीन्स करम रेसिपी को फुल्के, स्टीम्ड राइस और पुली मंगा कुजंबू रेसिपी के साथ संपूर्ण भोजन के लिए परोसें।")</f>
        <v>बीन्स करम रेसिपी बनाने के लिए सबसे पहले एक पैन में थोड़े से तेल के साथ धनिया, जीरा, मिर्च, सूखा नारियल, खसखस ​​और ताजा नारियल भून लें। इस मिश्रण को इमली के अर्क, गुड़, 1/2 प्याज और नमक के साथ मिक्सर ग्राइंडर में पीस लें। बीन्स को थोड़े पानी के साथ पैन में नरम होने तक पकाएं। एक भारी तले की कड़ाही में तेल गर्म करें, उसमें राई डालें और उन्हें चटकने दें। इसके बाद, हिंग, करी पत्ता, 1-1/2 प्याज और एक चुटकी नमक डालें और पारदर्शी होने तक पकने दें। हल्दी पाउडर, बीन्स डालें और एक मिनट के लिए भूनें। पैन में पिसा हुआ मसाला पेस्ट डालें और बीच-बीच में हिलाते हुए 5 से 6 मिनट तक पकाएं। एक कप पानी डालें और इसे उबाल लें। मसाले को समायोजित करें और गर्म परोसें। बीन्स करम रेसिपी को फुल्के, स्टीम्ड राइस और पुली मंगा कुजंबू रेसिपी के साथ संपूर्ण भोजन के लिए परोसें।</v>
      </c>
      <c r="J719" s="3" t="s">
        <v>33854</v>
      </c>
      <c r="L719" s="1" t="s">
        <v>31003</v>
      </c>
    </row>
    <row r="720" spans="1:12" ht="13.8">
      <c r="A720" s="1" t="s">
        <v>33855</v>
      </c>
      <c r="B720" s="1" t="str">
        <f ca="1">IFERROR(__xludf.dummyfunction("IF(A720="""", """", GOOGLETRANSLATE(A720, ""en"", ""hi""))"),"गाजर शलगम का पानी वाला अचार रेसिपी - गाजर और शलजम का अचार")</f>
        <v>गाजर शलगम का पानी वाला अचार रेसिपी - गाजर और शलजम का अचार</v>
      </c>
      <c r="C720" s="1" t="s">
        <v>14207</v>
      </c>
      <c r="D720" s="1" t="s">
        <v>14198</v>
      </c>
      <c r="E720" s="1">
        <v>25</v>
      </c>
      <c r="F720" s="1" t="s">
        <v>33856</v>
      </c>
      <c r="G720" s="1" t="str">
        <f ca="1">IFERROR(__xludf.dummyfunction("IF(F720="""", """", GOOGLETRANSLATE(F720, ""en"", ""hi""))"),"4 शलजम - छीलकर मोटे टुकड़ों में काट लें, 2 गाजर - छीलकर मोटे टुकड़ों में काट लें, 1-1/2 कप पानी, 2 बड़े चम्मच सिरका, 1 छोटा चम्मच सरसों के बीज, 1 बड़ा चम्मच सौंफ, 1 छोटा चम्मच जीरा, 1 छोटा चम्मच मेथी के बीज - वैकल्पिक, नमक - आवश्यकतानुसार")</f>
        <v>4 शलजम - छीलकर मोटे टुकड़ों में काट लें, 2 गाजर - छीलकर मोटे टुकड़ों में काट लें, 1-1/2 कप पानी, 2 बड़े चम्मच सिरका, 1 छोटा चम्मच सरसों के बीज, 1 बड़ा चम्मच सौंफ, 1 छोटा चम्मच जीरा, 1 छोटा चम्मच मेथी के बीज - वैकल्पिक, नमक - आवश्यकतानुसार</v>
      </c>
      <c r="H720" s="1" t="s">
        <v>33857</v>
      </c>
      <c r="I720" s="1" t="str">
        <f ca="1">IFERROR(__xludf.dummyfunction("IF(H720="""", """", GOOGLETRANSLATE(H720, ""en"", ""hi""))"),"गाजर शलगम का पानी वाला अचार रेसिपी बनाने के लिए सबसे पहले सब्जियों को मोटे टुकड़ों में काट लें और अच्छे से धो लें। 1-1/2 कप पानी डालें और सब्जियों को प्रेशर कुकर में डालकर 1 सीटी आने तक पकाएं। आंच बंद कर दें और भाप को अपने आप निकलने दें। जब भाप पूरी तरह न"&amp;"िकल जाए तो सब्जियों को पानी के साथ एक पैन में डालें और एक तरफ रख दें। एक अलग पैन में राई, जीरा और सौंफ के साथ कुछ मेथी के दाने सूखा भून लें और उन्हें मूसल की मदद से आंशिक रूप से कुचल दें। पके हुए शलजम और गाजर में सिरका, नमक और पिसे हुए मसाले डालें और अच्छ"&amp;"ी तरह मिलाएँ। हल्का उबाल आने दें और आंच बंद कर दें। अचार को पूरी तरह से ठंडा होने दें और बाद में इसे किसी जार या किसी कंटेनर में डालकर फ्रिज में रख दें। गाजर शलगम का पानी वाला अचार को गेहूं के लच्छा पराठा, गाजर पराठा या किसी भी अन्य भरवां पराठे के साथ नाश"&amp;"्ते या रात के खाने में परोसें।")</f>
        <v>गाजर शलगम का पानी वाला अचार रेसिपी बनाने के लिए सबसे पहले सब्जियों को मोटे टुकड़ों में काट लें और अच्छे से धो लें। 1-1/2 कप पानी डालें और सब्जियों को प्रेशर कुकर में डालकर 1 सीटी आने तक पकाएं। आंच बंद कर दें और भाप को अपने आप निकलने दें। जब भाप पूरी तरह निकल जाए तो सब्जियों को पानी के साथ एक पैन में डालें और एक तरफ रख दें। एक अलग पैन में राई, जीरा और सौंफ के साथ कुछ मेथी के दाने सूखा भून लें और उन्हें मूसल की मदद से आंशिक रूप से कुचल दें। पके हुए शलजम और गाजर में सिरका, नमक और पिसे हुए मसाले डालें और अच्छी तरह मिलाएँ। हल्का उबाल आने दें और आंच बंद कर दें। अचार को पूरी तरह से ठंडा होने दें और बाद में इसे किसी जार या किसी कंटेनर में डालकर फ्रिज में रख दें। गाजर शलगम का पानी वाला अचार को गेहूं के लच्छा पराठा, गाजर पराठा या किसी भी अन्य भरवां पराठे के साथ नाश्ते या रात के खाने में परोसें।</v>
      </c>
      <c r="J720" s="3" t="s">
        <v>33858</v>
      </c>
      <c r="L720" s="1" t="s">
        <v>31003</v>
      </c>
    </row>
    <row r="721" spans="1:12" ht="13.8">
      <c r="A721" s="1" t="s">
        <v>33859</v>
      </c>
      <c r="B721" s="1" t="str">
        <f ca="1">IFERROR(__xludf.dummyfunction("IF(A721="""", """", GOOGLETRANSLATE(A721, ""en"", ""hi""))"),"टोफू भुर्जी रेसिपी")</f>
        <v>टोफू भुर्जी रेसिपी</v>
      </c>
      <c r="C721" s="1" t="s">
        <v>16424</v>
      </c>
      <c r="D721" s="1" t="s">
        <v>17937</v>
      </c>
      <c r="E721" s="1">
        <v>40</v>
      </c>
      <c r="F721" s="1" t="s">
        <v>33860</v>
      </c>
      <c r="G721" s="1" t="str">
        <f ca="1">IFERROR(__xludf.dummyfunction("IF(F721="""", """", GOOGLETRANSLATE(F721, ""en"", ""hi""))"),"300 ग्राम टोफू - टुकड़े टुकड़े, 1 प्याज - कटा हुआ, 1 टमाटर - कटा हुआ, 1 हरी मिर्च - कटी हुई, 1 शिमला मिर्च (लाल), 1 छोटा चम्मच जीरा, 2 छोटे चम्मच लाल मिर्च पाउडर, 1 छोटा चम्मच काली मिर्च पाउडर, 1 छोटा चम्मच हल्दी पाउडर, 4 टहनियाँ धनिया पत्ती - कटी हुई, नम"&amp;"क - स्वादानुसार, तेल")</f>
        <v>300 ग्राम टोफू - टुकड़े टुकड़े, 1 प्याज - कटा हुआ, 1 टमाटर - कटा हुआ, 1 हरी मिर्च - कटी हुई, 1 शिमला मिर्च (लाल), 1 छोटा चम्मच जीरा, 2 छोटे चम्मच लाल मिर्च पाउडर, 1 छोटा चम्मच काली मिर्च पाउडर, 1 छोटा चम्मच हल्दी पाउडर, 4 टहनियाँ धनिया पत्ती - कटी हुई, नमक - स्वादानुसार, तेल</v>
      </c>
      <c r="H721" s="1" t="s">
        <v>33861</v>
      </c>
      <c r="I721" s="1" t="str">
        <f ca="1">IFERROR(__xludf.dummyfunction("IF(H721="""", """", GOOGLETRANSLATE(H721, ""en"", ""hi""))"),"टोफू भुर्जी रेसिपी बनाने के लिए सबसे पहले टोफू को तोड़कर अलग रख लें। अब एक पैन में तेल गर्म करें। इसमें जीरा, प्याज, शिमला मिर्च, हरी मिर्च, अदरक डालें और शिमला मिर्च के नरम होने तक पकाएँ। नरम होने के बाद इसमें टमाटर, हल्दी पाउडर, लाल मिर्च पाउडर डालें और"&amp;" अच्छी तरह मिलाएँ। अब इसमें टूटा हुआ टोफू, नमक डालें और 1 मिनट और पकाएँ। सर्व करें। टोफू भुर्जी रेसिपी को ब्रेड टोस्ट और पंजाबी स्टाइल एस्प्रेसो कॉफी के साथ नाश्ते में सर्व करें।")</f>
        <v>टोफू भुर्जी रेसिपी बनाने के लिए सबसे पहले टोफू को तोड़कर अलग रख लें। अब एक पैन में तेल गर्म करें। इसमें जीरा, प्याज, शिमला मिर्च, हरी मिर्च, अदरक डालें और शिमला मिर्च के नरम होने तक पकाएँ। नरम होने के बाद इसमें टमाटर, हल्दी पाउडर, लाल मिर्च पाउडर डालें और अच्छी तरह मिलाएँ। अब इसमें टूटा हुआ टोफू, नमक डालें और 1 मिनट और पकाएँ। सर्व करें। टोफू भुर्जी रेसिपी को ब्रेड टोस्ट और पंजाबी स्टाइल एस्प्रेसो कॉफी के साथ नाश्ते में सर्व करें।</v>
      </c>
      <c r="J721" s="3" t="s">
        <v>33862</v>
      </c>
      <c r="L721" s="1" t="s">
        <v>31003</v>
      </c>
    </row>
    <row r="722" spans="1:12" ht="13.8">
      <c r="A722" s="1" t="s">
        <v>33863</v>
      </c>
      <c r="B722" s="1" t="str">
        <f ca="1">IFERROR(__xludf.dummyfunction("IF(A722="""", """", GOOGLETRANSLATE(A722, ""en"", ""hi""))"),"मसाला लच्छा पराठा रेसिपी")</f>
        <v>मसाला लच्छा पराठा रेसिपी</v>
      </c>
      <c r="C722" s="1" t="s">
        <v>145</v>
      </c>
      <c r="D722" s="1" t="s">
        <v>14198</v>
      </c>
      <c r="E722" s="1">
        <v>30</v>
      </c>
      <c r="F722" s="1" t="s">
        <v>33864</v>
      </c>
      <c r="G722" s="1" t="str">
        <f ca="1">IFERROR(__xludf.dummyfunction("IF(F722="""", """", GOOGLETRANSLATE(F722, ""en"", ""hi""))"),"2 कप गेहूं का आटा, 1 चम्मच धनिया पाउडर, 1 चम्मच लाल मिर्च पाउडर, 1 चम्मच गरम मसाला पाउडर, 1/2 चम्मच हल्दी पाउडर, नमक - स्वादानुसार, 2 बड़े चम्मच सूरजमुखी तेल, पानी - आवश्यकतानुसार, घी - परत बनाने और पराठे पकाने के लिए")</f>
        <v>2 कप गेहूं का आटा, 1 चम्मच धनिया पाउडर, 1 चम्मच लाल मिर्च पाउडर, 1 चम्मच गरम मसाला पाउडर, 1/2 चम्मच हल्दी पाउडर, नमक - स्वादानुसार, 2 बड़े चम्मच सूरजमुखी तेल, पानी - आवश्यकतानुसार, घी - परत बनाने और पराठे पकाने के लिए</v>
      </c>
      <c r="H722" s="1" t="s">
        <v>33865</v>
      </c>
      <c r="I722" s="1" t="str">
        <f ca="1">IFERROR(__xludf.dummyfunction("IF(H722="""", """", GOOGLETRANSLATE(H722, ""en"", ""hi""))"),"मसाला लच्छा पराठा रेसिपी बनाना शुरू करने के लिए, आटा गूंथने वाले ब्लेड को ज़ोडिएक मास्टर शेफ जार में लगाएं। एक बार हो जाने पर जार में गेहूं का आटा, लाल मिर्च पाउडर, गरम मसाला पाउडर, हल्दी पाउडर, स्वादानुसार नमक और 1 बड़ा चम्मच तेल डालें। जार को बंद करें औ"&amp;"र आटा गूंथने की क्रिया को चालू करें। नोजल से एक बार में थोड़ा पानी डालें जब तक कि आप देखें कि आटा एक साथ आ जाता है। अंत में जब आटा एक साथ आ जाता है तो थोड़ा और तेल छिड़कें। फूड प्रोसेसर को तब तक चलाएं जब तक कि आटा जार के किनारों से अलग न हो जाए। आटे को बड"&amp;"़े नींबू के आकार के भागों में विभाजित करें। आपको 8 से 9 भाग मिलेंगे। मध्यम आंच पर एक कड़ाही को गर्म करें। यदि आप एक कच्चा लोहे की कड़ाही का उपयोग कर रहे हैं, तो कड़ाही को अच्छी तरह से चिकना करें और इसे पहले से गर्म होने दें आटे को मोड़कर प्लीट्स बनाएँ। प्"&amp;"लीट्स के बीच में थोड़ा घी लगाएँ। मोड़े हुए आटे को स्विस रोल में बेल लें। आटे को अपनी हथेलियों के बीच में रखकर चपटा करें, आटे में लपेटें और 4 से 5 इंच के गोले में बेल लें। रोल किए हुए लच्छा पराठे को पहले से गरम तवे पर रखें। कुछ सेकंड के लिए पकाएँ और पलट दे"&amp;"ं। घी छिड़कें और मसाला लच्छा पराठे को सुनहरा भूरा होने तक पकाएँ और पूरी तरह से पकाएँ। पूरे गेहूं के लच्छा पराठे को आम के अचार, पनीर बटर मसाला या अपनी पसंदीदा शाकाहारी ग्रेवी के साथ रात के खाने के लिए या चटनी के साथ नाश्ते में परोसें।")</f>
        <v>मसाला लच्छा पराठा रेसिपी बनाना शुरू करने के लिए, आटा गूंथने वाले ब्लेड को ज़ोडिएक मास्टर शेफ जार में लगाएं। एक बार हो जाने पर जार में गेहूं का आटा, लाल मिर्च पाउडर, गरम मसाला पाउडर, हल्दी पाउडर, स्वादानुसार नमक और 1 बड़ा चम्मच तेल डालें। जार को बंद करें और आटा गूंथने की क्रिया को चालू करें। नोजल से एक बार में थोड़ा पानी डालें जब तक कि आप देखें कि आटा एक साथ आ जाता है। अंत में जब आटा एक साथ आ जाता है तो थोड़ा और तेल छिड़कें। फूड प्रोसेसर को तब तक चलाएं जब तक कि आटा जार के किनारों से अलग न हो जाए। आटे को बड़े नींबू के आकार के भागों में विभाजित करें। आपको 8 से 9 भाग मिलेंगे। मध्यम आंच पर एक कड़ाही को गर्म करें। यदि आप एक कच्चा लोहे की कड़ाही का उपयोग कर रहे हैं, तो कड़ाही को अच्छी तरह से चिकना करें और इसे पहले से गर्म होने दें आटे को मोड़कर प्लीट्स बनाएँ। प्लीट्स के बीच में थोड़ा घी लगाएँ। मोड़े हुए आटे को स्विस रोल में बेल लें। आटे को अपनी हथेलियों के बीच में रखकर चपटा करें, आटे में लपेटें और 4 से 5 इंच के गोले में बेल लें। रोल किए हुए लच्छा पराठे को पहले से गरम तवे पर रखें। कुछ सेकंड के लिए पकाएँ और पलट दें। घी छिड़कें और मसाला लच्छा पराठे को सुनहरा भूरा होने तक पकाएँ और पूरी तरह से पकाएँ। पूरे गेहूं के लच्छा पराठे को आम के अचार, पनीर बटर मसाला या अपनी पसंदीदा शाकाहारी ग्रेवी के साथ रात के खाने के लिए या चटनी के साथ नाश्ते में परोसें।</v>
      </c>
      <c r="J722" s="3" t="s">
        <v>33866</v>
      </c>
      <c r="L722" s="1" t="s">
        <v>31003</v>
      </c>
    </row>
    <row r="723" spans="1:12" ht="13.8">
      <c r="A723" s="1" t="s">
        <v>33867</v>
      </c>
      <c r="B723" s="1" t="str">
        <f ca="1">IFERROR(__xludf.dummyfunction("IF(A723="""", """", GOOGLETRANSLATE(A723, ""en"", ""hi""))"),"मसालेदार और मसलेदार आलू गोभी और बीन्स तवा सब्जी रेसिपी")</f>
        <v>मसालेदार और मसलेदार आलू गोभी और बीन्स तवा सब्जी रेसिपी</v>
      </c>
      <c r="C723" s="1" t="s">
        <v>145</v>
      </c>
      <c r="D723" s="1" t="s">
        <v>14198</v>
      </c>
      <c r="E723" s="1">
        <v>40</v>
      </c>
      <c r="F723" s="1" t="s">
        <v>33868</v>
      </c>
      <c r="G723" s="1" t="str">
        <f ca="1">IFERROR(__xludf.dummyfunction("IF(F723="""", """", GOOGLETRANSLATE(F723, ""en"", ""hi""))"),"2 आलू - छीलकर टुकड़ों में कटे हुए, 1 गोभी - फूलों में कटी हुई, 1 कप हरी बीन्स (फ्रेंच बीन्स) - 1 इंच के टुकड़ों में कटी हुई, 2 टमाटर - बारीक कटे हुए, 1 इंच अदरक - कटा हुआ, 4 लहसुन के दाने - कटे हुए, 1 हरी मिर्च - कटी हुई, 1 चम्मच लाल मिर्च पाउडर, 1/4 चम्म"&amp;"च हल्दी पाउडर (हल्दी), 2 चम्मच धनिया पाउडर (धनिया), 1 चम्मच जीरा पाउडर (जीरा), 1 चम्मच गरम मसाला पाउडर, 1 चम्मच अमचूर (सूखा आम पाउडर), नमक - स्वादानुसार, सूरजमुखी का तेल, 3 टहनी धनिया (धनिया) के पत्ते - कटे हुए")</f>
        <v>2 आलू - छीलकर टुकड़ों में कटे हुए, 1 गोभी - फूलों में कटी हुई, 1 कप हरी बीन्स (फ्रेंच बीन्स) - 1 इंच के टुकड़ों में कटी हुई, 2 टमाटर - बारीक कटे हुए, 1 इंच अदरक - कटा हुआ, 4 लहसुन के दाने - कटे हुए, 1 हरी मिर्च - कटी हुई, 1 चम्मच लाल मिर्च पाउडर, 1/4 चम्मच हल्दी पाउडर (हल्दी), 2 चम्मच धनिया पाउडर (धनिया), 1 चम्मच जीरा पाउडर (जीरा), 1 चम्मच गरम मसाला पाउडर, 1 चम्मच अमचूर (सूखा आम पाउडर), नमक - स्वादानुसार, सूरजमुखी का तेल, 3 टहनी धनिया (धनिया) के पत्ते - कटे हुए</v>
      </c>
      <c r="H723" s="1" t="s">
        <v>33869</v>
      </c>
      <c r="I723" s="1" t="str">
        <f ca="1">IFERROR(__xludf.dummyfunction("IF(H723="""", """", GOOGLETRANSLATE(H723, ""en"", ""hi""))"),"मसालेदार और मसालेदार आलू गोभी और बीन्स तवा सब्ज़ी रेसिपी बनाने के लिए, मध्यम आँच पर एक कढ़ाई में तेल गर्म करें। अदरक और लहसुन डालें, इसे नरम होने दें। एक बार हो जाने पर कटे हुए प्याज़ डालें और पारदर्शी होने तक पकाएँ। कटे हुए टमाटर डालें और थोड़ा नमक छिड़क"&amp;"ें और टमाटर के गूदेदार और नरम होने तक पकाएँ। एक बार जब टमाटर नरम हो जाए, तो सभी मसाले पाउडर डालें और अच्छी तरह से भूनें। स्वादानुसार नमक के साथ आलू, फूलगोभी और हरी बीन्स डालें। 1/4 कप पानी छिड़कें और सब्ज़ियों के पकने तक पकाएँ। नमक की जाँच करें और यदि आवश"&amp;"्यक हो तो डालें। आलू गोभी और बीन्स तवा सब्ज़ी को तब तक पकाएँ जब तक वह आधी सूखी न हो जाए। एक बार हो जाने पर, आँच बंद कर दें और कटी हुई धनिया पत्ती डालकर अच्छी तरह मिलाएँ। मसालेदार आलू गोभी और बीन्स तवा सब्ज़ी को तवा पराठा, पंजाबी कढ़ी पकौड़ा और दही चावल के"&amp;" साथ परोसें और इसे संपूर्ण भोजन बनाएँ।")</f>
        <v>मसालेदार और मसालेदार आलू गोभी और बीन्स तवा सब्ज़ी रेसिपी बनाने के लिए, मध्यम आँच पर एक कढ़ाई में तेल गर्म करें। अदरक और लहसुन डालें, इसे नरम होने दें। एक बार हो जाने पर कटे हुए प्याज़ डालें और पारदर्शी होने तक पकाएँ। कटे हुए टमाटर डालें और थोड़ा नमक छिड़कें और टमाटर के गूदेदार और नरम होने तक पकाएँ। एक बार जब टमाटर नरम हो जाए, तो सभी मसाले पाउडर डालें और अच्छी तरह से भूनें। स्वादानुसार नमक के साथ आलू, फूलगोभी और हरी बीन्स डालें। 1/4 कप पानी छिड़कें और सब्ज़ियों के पकने तक पकाएँ। नमक की जाँच करें और यदि आवश्यक हो तो डालें। आलू गोभी और बीन्स तवा सब्ज़ी को तब तक पकाएँ जब तक वह आधी सूखी न हो जाए। एक बार हो जाने पर, आँच बंद कर दें और कटी हुई धनिया पत्ती डालकर अच्छी तरह मिलाएँ। मसालेदार आलू गोभी और बीन्स तवा सब्ज़ी को तवा पराठा, पंजाबी कढ़ी पकौड़ा और दही चावल के साथ परोसें और इसे संपूर्ण भोजन बनाएँ।</v>
      </c>
      <c r="J723" s="3" t="s">
        <v>33870</v>
      </c>
      <c r="L723" s="1" t="s">
        <v>31003</v>
      </c>
    </row>
    <row r="724" spans="1:12" ht="13.8">
      <c r="A724" s="1" t="s">
        <v>33871</v>
      </c>
      <c r="B724" s="1" t="str">
        <f ca="1">IFERROR(__xludf.dummyfunction("IF(A724="""", """", GOOGLETRANSLATE(A724, ""en"", ""hi""))"),"मसालेदार बेबी आलू")</f>
        <v>मसालेदार बेबी आलू</v>
      </c>
      <c r="C724" s="1" t="s">
        <v>145</v>
      </c>
      <c r="D724" s="1" t="s">
        <v>14198</v>
      </c>
      <c r="E724" s="1">
        <v>40</v>
      </c>
      <c r="F724" s="1" t="s">
        <v>33872</v>
      </c>
      <c r="G724" s="1" t="str">
        <f ca="1">IFERROR(__xludf.dummyfunction("IF(F724="""", """", GOOGLETRANSLATE(F724, ""en"", ""hi""))"),"12 छोटे आलू, तेल - आवश्यकतानुसार, 1 सूखी लाल मिर्च, 1 छोटा चम्मच जीरा, 1 टहनी करी पत्ता, 1 छोटा चम्मच धनिया पाउडर, 1/2 छोटा चम्मच हल्दी पाउडर, 1 छोटा चम्मच जीरा पाउडर, 1 छोटा चम्मच लाल मिर्च पाउडर, 1 छोटा चम्मच गरम मसाला पाउडर, 1 छोटा चम्मच अमचूर, नमक - स"&amp;"्वादानुसार, 1 छोटा चम्मच नींबू का रस, 3 बड़े चम्मच धनिया पत्ता - कटा हुआ")</f>
        <v>12 छोटे आलू, तेल - आवश्यकतानुसार, 1 सूखी लाल मिर्च, 1 छोटा चम्मच जीरा, 1 टहनी करी पत्ता, 1 छोटा चम्मच धनिया पाउडर, 1/2 छोटा चम्मच हल्दी पाउडर, 1 छोटा चम्मच जीरा पाउडर, 1 छोटा चम्मच लाल मिर्च पाउडर, 1 छोटा चम्मच गरम मसाला पाउडर, 1 छोटा चम्मच अमचूर, नमक - स्वादानुसार, 1 छोटा चम्मच नींबू का रस, 3 बड़े चम्मच धनिया पत्ता - कटा हुआ</v>
      </c>
      <c r="H724" s="1" t="s">
        <v>33873</v>
      </c>
      <c r="I724" s="1" t="str">
        <f ca="1">IFERROR(__xludf.dummyfunction("IF(H724="""", """", GOOGLETRANSLATE(H724, ""en"", ""hi""))"),"""मसालेदार छोटे आलू बनाने के लिए सबसे पहले प्रेशर कुकर में आलू को पानी के साथ उबाल लें। ठंडा होने के बाद उन्हें छीलकर अलग रख लें। अब एक पैन में तेल गर्म करें। उसमें सूखी लाल मिर्च, करी पत्ता, जीरा डालें और 10 सेकंड तक पकने दें। 10 सेकंड तक पकने के बाद इसम"&amp;"ें धनिया पाउडर, लाल मिर्च पाउडर, हल्दी पाउडर, अमचूर पाउडर, जीरा पाउडर, गरम मसाला पाउडर और हल्दी पाउडर डालें। 30 सेकंड तक पकाएँ। 30 सेकंड बाद इसमें आलू डालें और सारी चीजें मिलाएँ। 6 से 7 मिनट तक पकाएँ। इसके बाद इसमें नमक, नींबू का रस डालें और मिलाएँ। गैस ब"&amp;"ंद कर दें और हरे धनिये से गार्निश करें। लंच में पंचमेल दाल, बूंदी रायता और फुल्के के साथ मसालेदार छोटे आलू परोसें।""")</f>
        <v>"मसालेदार छोटे आलू बनाने के लिए सबसे पहले प्रेशर कुकर में आलू को पानी के साथ उबाल लें। ठंडा होने के बाद उन्हें छीलकर अलग रख लें। अब एक पैन में तेल गर्म करें। उसमें सूखी लाल मिर्च, करी पत्ता, जीरा डालें और 10 सेकंड तक पकने दें। 10 सेकंड तक पकने के बाद इसमें धनिया पाउडर, लाल मिर्च पाउडर, हल्दी पाउडर, अमचूर पाउडर, जीरा पाउडर, गरम मसाला पाउडर और हल्दी पाउडर डालें। 30 सेकंड तक पकाएँ। 30 सेकंड बाद इसमें आलू डालें और सारी चीजें मिलाएँ। 6 से 7 मिनट तक पकाएँ। इसके बाद इसमें नमक, नींबू का रस डालें और मिलाएँ। गैस बंद कर दें और हरे धनिये से गार्निश करें। लंच में पंचमेल दाल, बूंदी रायता और फुल्के के साथ मसालेदार छोटे आलू परोसें।"</v>
      </c>
      <c r="J724" s="3" t="s">
        <v>33874</v>
      </c>
      <c r="L724" s="1" t="s">
        <v>31003</v>
      </c>
    </row>
    <row r="725" spans="1:12" ht="13.8">
      <c r="A725" s="1" t="s">
        <v>33875</v>
      </c>
      <c r="B725" s="1" t="str">
        <f ca="1">IFERROR(__xludf.dummyfunction("IF(A725="""", """", GOOGLETRANSLATE(A725, ""en"", ""hi""))"),"पत्ता गोभी मटर नु शाक रेसिपी (गोभी और मटर की सब्जी रेसिपी)")</f>
        <v>पत्ता गोभी मटर नु शाक रेसिपी (गोभी और मटर की सब्जी रेसिपी)</v>
      </c>
      <c r="C725" s="1" t="s">
        <v>145</v>
      </c>
      <c r="D725" s="1" t="s">
        <v>14198</v>
      </c>
      <c r="E725" s="1">
        <v>25</v>
      </c>
      <c r="F725" s="1" t="s">
        <v>33876</v>
      </c>
      <c r="G725" s="1" t="str">
        <f ca="1">IFERROR(__xludf.dummyfunction("IF(F725="""", """", GOOGLETRANSLATE(F725, ""en"", ""hi""))"),"3 कप पत्तागोभी - बारीक कटी हुई, 1/2 कप मटर, 1 छोटा चम्मच सरसों के बीज, 1 तेज पत्ता - मोटा तोड़ा हुआ, 1 टहनी करी पत्ता - मोटा तोड़ा हुआ, 1 टमाटर - बारीक कटा हुआ, 1/2 छोटा चम्मच हल्दी पाउडर, 1/2 छोटा चम्मच लाल मिर्च पाउडर, 1/2 छोटा चम्मच गरम मसाला पाउडर, नम"&amp;"क - स्वादानुसार, सूरजमुखी तेल - पकाने के लिए")</f>
        <v>3 कप पत्तागोभी - बारीक कटी हुई, 1/2 कप मटर, 1 छोटा चम्मच सरसों के बीज, 1 तेज पत्ता - मोटा तोड़ा हुआ, 1 टहनी करी पत्ता - मोटा तोड़ा हुआ, 1 टमाटर - बारीक कटा हुआ, 1/2 छोटा चम्मच हल्दी पाउडर, 1/2 छोटा चम्मच लाल मिर्च पाउडर, 1/2 छोटा चम्मच गरम मसाला पाउडर, नमक - स्वादानुसार, सूरजमुखी तेल - पकाने के लिए</v>
      </c>
      <c r="H725" s="1" t="s">
        <v>33877</v>
      </c>
      <c r="I725" s="1" t="str">
        <f ca="1">IFERROR(__xludf.dummyfunction("IF(H725="""", """", GOOGLETRANSLATE(H725, ""en"", ""hi""))"),"पत्ता गोभी मटर नू शाक बनाने के लिए सबसे पहले सारी सामग्री तैयार करके रख लें। कटी हुई पत्ता गोभी और मटर को प्रेशर कुकर में डालें, थोड़ा नमक और 3 बड़े चम्मच पानी छिड़कें। प्रेशर कुकर में दो सीटी आने दें और आँच बंद कर दें। तुरंत प्रेशर छोड़ दें ताकि मटर हरी "&amp;"रहे और सब्ज़ियाँ ज़्यादा न पकें। इसे एक तरफ़ रख दें। एक भारी तले की कड़ाही में राई डालें और उसे चटकने दें। उसमें तेज़ पत्ता, करी पत्ता और टमाटर डालें। मध्यम आँच पर टमाटर के हल्के नरम होने तक भूनें। बची हुई मसाले की सामग्री डालें और मिलाएँ। पकी हुई पत्ता ग"&amp;"ोभी और मटर डालें और अच्छी तरह मिलने तक भूनें। ढककर कुछ मिनट तक पकने दें जब तक कि पत्ता गोभी सारे स्वाद सोख न ले। हो जाने पर आँच बंद कर दें और गरमागरम परोसें। पत्ता गोभी मटर की सब्ज़ी को खट्टा मग और फुल्के के साथ पौष्टिक भोजन के लिए परोसें।")</f>
        <v>पत्ता गोभी मटर नू शाक बनाने के लिए सबसे पहले सारी सामग्री तैयार करके रख लें। कटी हुई पत्ता गोभी और मटर को प्रेशर कुकर में डालें, थोड़ा नमक और 3 बड़े चम्मच पानी छिड़कें। प्रेशर कुकर में दो सीटी आने दें और आँच बंद कर दें। तुरंत प्रेशर छोड़ दें ताकि मटर हरी रहे और सब्ज़ियाँ ज़्यादा न पकें। इसे एक तरफ़ रख दें। एक भारी तले की कड़ाही में राई डालें और उसे चटकने दें। उसमें तेज़ पत्ता, करी पत्ता और टमाटर डालें। मध्यम आँच पर टमाटर के हल्के नरम होने तक भूनें। बची हुई मसाले की सामग्री डालें और मिलाएँ। पकी हुई पत्ता गोभी और मटर डालें और अच्छी तरह मिलने तक भूनें। ढककर कुछ मिनट तक पकने दें जब तक कि पत्ता गोभी सारे स्वाद सोख न ले। हो जाने पर आँच बंद कर दें और गरमागरम परोसें। पत्ता गोभी मटर की सब्ज़ी को खट्टा मग और फुल्के के साथ पौष्टिक भोजन के लिए परोसें।</v>
      </c>
      <c r="J725" s="3" t="s">
        <v>33878</v>
      </c>
      <c r="L725" s="1" t="s">
        <v>31003</v>
      </c>
    </row>
    <row r="726" spans="1:12" ht="409.6">
      <c r="A726" s="1" t="s">
        <v>33879</v>
      </c>
      <c r="B726" s="1" t="str">
        <f ca="1">IFERROR(__xludf.dummyfunction("IF(A726="""", """", GOOGLETRANSLATE(A726, ""en"", ""hi""))"),"मसालेदार और तीखी पकौड़ी चाट रेसिपी")</f>
        <v>मसालेदार और तीखी पकौड़ी चाट रेसिपी</v>
      </c>
      <c r="C726" s="1" t="s">
        <v>14281</v>
      </c>
      <c r="D726" s="1" t="s">
        <v>15102</v>
      </c>
      <c r="E726" s="1">
        <v>40</v>
      </c>
      <c r="F726" s="1" t="s">
        <v>33880</v>
      </c>
      <c r="G726" s="1" t="str">
        <f ca="1">IFERROR(__xludf.dummyfunction("IF(F726="""", """", GOOGLETRANSLATE(F726, ""en"", ""hi""))"),"1 कप सूखी पीली/सफ़ेद मटर - 4 घंटे भिगोई हुई, 1/2 छोटा चम्मच हल्दी, 1 कप बेसन, 1 प्याज़ - कटा हुआ, 1/8 छोटा चम्मच बेकिंग सोडा, नमक - स्वादानुसार, 1/2 बड़ा चम्मच काली मिर्च पाउडर, 1 छोटा चम्मच जीरा पाउडर - भुना हुआ, 2 छोटे चम्मच धनिया पाउडर, 1 बड़ा चम्मच हर"&amp;"ी चटनी (धनिया और पुदीना), 1 बड़ा चम्मच मीठी चटनी (खजूर और इमली), 1 छोटा चम्मच चीनी - पिसी हुई, 3 बड़े चम्मच दही, 1 छोटा चम्मच हरी मिर्च - कटी हुई, सूरजमुखी तेल - तलने के लिए, काला नमक - आवश्यकतानुसार, 1 प्याज़ - परोसने के लिए कटा हुआ, 2 बड़े चम्मच कच्ची म"&amp;"ूंगफली - भुनी या तली हुई, करी पत्ता - आवश्यकतानुसार")</f>
        <v>1 कप सूखी पीली/सफ़ेद मटर - 4 घंटे भिगोई हुई, 1/2 छोटा चम्मच हल्दी, 1 कप बेसन, 1 प्याज़ - कटा हुआ, 1/8 छोटा चम्मच बेकिंग सोडा, नमक - स्वादानुसार, 1/2 बड़ा चम्मच काली मिर्च पाउडर, 1 छोटा चम्मच जीरा पाउडर - भुना हुआ, 2 छोटे चम्मच धनिया पाउडर, 1 बड़ा चम्मच हरी चटनी (धनिया और पुदीना), 1 बड़ा चम्मच मीठी चटनी (खजूर और इमली), 1 छोटा चम्मच चीनी - पिसी हुई, 3 बड़े चम्मच दही, 1 छोटा चम्मच हरी मिर्च - कटी हुई, सूरजमुखी तेल - तलने के लिए, काला नमक - आवश्यकतानुसार, 1 प्याज़ - परोसने के लिए कटा हुआ, 2 बड़े चम्मच कच्ची मूंगफली - भुनी या तली हुई, करी पत्ता - आवश्यकतानुसार</v>
      </c>
      <c r="H726" s="4" t="s">
        <v>33881</v>
      </c>
      <c r="I726" s="1" t="str">
        <f ca="1">IFERROR(__xludf.dummyfunction("IF(H726="""", """", GOOGLETRANSLATE(H726, ""en"", ""hi""))"),"पकौड़ी चाट बनाने की विधि शुरू करने के लिए, सबसे पहले सफ़ेद मटर को लगभग 4 घंटे के लिए भिगो दें। हल्दी और नमक डालें और 3 सीटी आने तक पकाएँ जब तक कि मटर नरम न हो जाए। मटर को कलछी से मसल लें और उसमें काली मिर्च पाउडर, धनिया पाउडर, जीरा पाउडर डालें और 1/4 कप प"&amp;"ानी के साथ 2 मिनट तक पकाएँ। इस बीच पकौड़ी तल लें। बेसन, नमक, करी पत्ता, कटा हुआ प्याज़, बेकिंग सोडा और 4 से 5 बड़े चम्मच पानी का गाढ़ा घोल बनाएँ। तेल गरम करें, घोल को तेल में डालकर छोटे-छोटे पकौड़े बनाएँ। आँच को मध्यम कर दें और एक गहरे फ्राई पैन में सुनहर"&amp;"ा भूरा होने तक तल लें। दही को फेंट लें और उसमें चीनी पाउडर मिलाएँ। इसे अच्छी तरह मिलाएँ। दो प्लेट लें। उस पर मसालेदार मसले हुए मटर फैलाएँ। उसमें पकौड़ी डालें। अपने स्वादानुसार इसे दही, धनिया पुदीना चटनी और खजूर इमली की चटनी के साथ परोसें। शाम के नाश्ते के"&amp;" लिए एक गर्म कप मसाला चाय के साथ पकौड़ी चाट परोसें या अपनी अगली चाट पार्टी के लिए घर पर बनी कैनेप पापड़ी चाट और मूंग स्प्राउट्स उसल के साथ परोसें।")</f>
        <v>पकौड़ी चाट बनाने की विधि शुरू करने के लिए, सबसे पहले सफ़ेद मटर को लगभग 4 घंटे के लिए भिगो दें। हल्दी और नमक डालें और 3 सीटी आने तक पकाएँ जब तक कि मटर नरम न हो जाए। मटर को कलछी से मसल लें और उसमें काली मिर्च पाउडर, धनिया पाउडर, जीरा पाउडर डालें और 1/4 कप पानी के साथ 2 मिनट तक पकाएँ। इस बीच पकौड़ी तल लें। बेसन, नमक, करी पत्ता, कटा हुआ प्याज़, बेकिंग सोडा और 4 से 5 बड़े चम्मच पानी का गाढ़ा घोल बनाएँ। तेल गरम करें, घोल को तेल में डालकर छोटे-छोटे पकौड़े बनाएँ। आँच को मध्यम कर दें और एक गहरे फ्राई पैन में सुनहरा भूरा होने तक तल लें। दही को फेंट लें और उसमें चीनी पाउडर मिलाएँ। इसे अच्छी तरह मिलाएँ। दो प्लेट लें। उस पर मसालेदार मसले हुए मटर फैलाएँ। उसमें पकौड़ी डालें। अपने स्वादानुसार इसे दही, धनिया पुदीना चटनी और खजूर इमली की चटनी के साथ परोसें। शाम के नाश्ते के लिए एक गर्म कप मसाला चाय के साथ पकौड़ी चाट परोसें या अपनी अगली चाट पार्टी के लिए घर पर बनी कैनेप पापड़ी चाट और मूंग स्प्राउट्स उसल के साथ परोसें।</v>
      </c>
      <c r="J726" s="3" t="s">
        <v>33882</v>
      </c>
      <c r="L726" s="1" t="s">
        <v>31003</v>
      </c>
    </row>
    <row r="727" spans="1:12" ht="13.8">
      <c r="A727" s="1" t="s">
        <v>33883</v>
      </c>
      <c r="B727" s="1" t="str">
        <f ca="1">IFERROR(__xludf.dummyfunction("IF(A727="""", """", GOOGLETRANSLATE(A727, ""en"", ""hi""))"),"पालक और हरी मटर की करी\")</f>
        <v>पालक और हरी मटर की करी\</v>
      </c>
      <c r="C727" s="1" t="s">
        <v>145</v>
      </c>
      <c r="D727" s="1" t="s">
        <v>14198</v>
      </c>
      <c r="E727" s="1">
        <v>50</v>
      </c>
      <c r="F727" s="1" t="s">
        <v>33884</v>
      </c>
      <c r="G727" s="1" t="str">
        <f ca="1">IFERROR(__xludf.dummyfunction("IF(F727="""", """", GOOGLETRANSLATE(F727, ""en"", ""hi""))"),"500 ग्राम पालक, 1 कप हरी मटर, 1 प्याज - बारीक कटा हुआ, 1 टमाटर - बारीक कटा हुआ, 2 इंच अदरक - कसा हुआ, 3 लहसुन की कलियाँ - बारीक कटी हुई, 1/2 चम्मच लाल मिर्च पाउडर, 1 चम्मच गरम मसाला पाउडर, 1 चम्मच धनिया पाउडर, 1 बड़ा चम्मच तेल, 1 बड़ा चम्मच घी, 1 चम्मच जी"&amp;"रा, 2 लहसुन की कलियाँ - बारीक कटी हुई, 3 चम्मच प्याज - बारीक कटा हुआ, 1 सूखी लाल मिर्च, 1/4 चम्मच गरम मसाला पाउडर")</f>
        <v>500 ग्राम पालक, 1 कप हरी मटर, 1 प्याज - बारीक कटा हुआ, 1 टमाटर - बारीक कटा हुआ, 2 इंच अदरक - कसा हुआ, 3 लहसुन की कलियाँ - बारीक कटी हुई, 1/2 चम्मच लाल मिर्च पाउडर, 1 चम्मच गरम मसाला पाउडर, 1 चम्मच धनिया पाउडर, 1 बड़ा चम्मच तेल, 1 बड़ा चम्मच घी, 1 चम्मच जीरा, 2 लहसुन की कलियाँ - बारीक कटी हुई, 3 चम्मच प्याज - बारीक कटा हुआ, 1 सूखी लाल मिर्च, 1/4 चम्मच गरम मसाला पाउडर</v>
      </c>
      <c r="H727" s="1" t="s">
        <v>33885</v>
      </c>
      <c r="I727" s="1" t="str">
        <f ca="1">IFERROR(__xludf.dummyfunction("IF(H727="""", """", GOOGLETRANSLATE(H727, ""en"", ""hi""))"),"पालक मटर बनाने के लिए सबसे पहले पालक को धोकर गरम पानी में नमक डालकर उबाल लें। पालक को ब्लेंडर में नमक और पानी डालकर पीस लें। इसे एक तरफ रख दें। अब एक पैन में तेल गर्म करें। इसमें प्याज डालें और नरम होने तक पकाएं। नरम होने के बाद इसमें कद्दूकस किया हुआ लहस"&amp;"ुन और अदरक डालें। 2 मिनट तक पकाएं और टमाटर डालें। टमाटर के नरम होने तक पकाएं। नरम होने के बाद इसमें मटर और 1/2 कप पानी डालें। मटर के पकने तक पकाएं। पकने के बाद इसमें धनिया पाउडर, लाल मिर्च पाउडर, गरम मसाला पाउडर डालें और 2 मिनट तक पकने दें। 2 मिनट बाद इसम"&amp;"ें पिसा हुआ पालक, नमक डालें और 10 मिनट तक पकने दें। 10 मिनट बाद गैस बंद कर दें। अब एक तड़का पैन में घी गर्म करें। इसमें जीरा, लाल मिर्च पाउडर डालें और 15 सेकंड तक पकने दें। 15 सेकंड बाद इसमें प्याज, लहसुन डालें और भूरा होने तक पकाएं। गरम मसाला पाउडर डालें"&amp;", मिलाएँ और इस तड़के को सब्ज़ी में डालें। पालक मटर को फुल्का और बूंदी के साथ सर्व करें दोपहर के भोजन के लिए रायता.")</f>
        <v>पालक मटर बनाने के लिए सबसे पहले पालक को धोकर गरम पानी में नमक डालकर उबाल लें। पालक को ब्लेंडर में नमक और पानी डालकर पीस लें। इसे एक तरफ रख दें। अब एक पैन में तेल गर्म करें। इसमें प्याज डालें और नरम होने तक पकाएं। नरम होने के बाद इसमें कद्दूकस किया हुआ लहसुन और अदरक डालें। 2 मिनट तक पकाएं और टमाटर डालें। टमाटर के नरम होने तक पकाएं। नरम होने के बाद इसमें मटर और 1/2 कप पानी डालें। मटर के पकने तक पकाएं। पकने के बाद इसमें धनिया पाउडर, लाल मिर्च पाउडर, गरम मसाला पाउडर डालें और 2 मिनट तक पकने दें। 2 मिनट बाद इसमें पिसा हुआ पालक, नमक डालें और 10 मिनट तक पकने दें। 10 मिनट बाद गैस बंद कर दें। अब एक तड़का पैन में घी गर्म करें। इसमें जीरा, लाल मिर्च पाउडर डालें और 15 सेकंड तक पकने दें। 15 सेकंड बाद इसमें प्याज, लहसुन डालें और भूरा होने तक पकाएं। गरम मसाला पाउडर डालें, मिलाएँ और इस तड़के को सब्ज़ी में डालें। पालक मटर को फुल्का और बूंदी के साथ सर्व करें दोपहर के भोजन के लिए रायता.</v>
      </c>
      <c r="J727" s="3" t="s">
        <v>33886</v>
      </c>
      <c r="L727" s="1" t="s">
        <v>31003</v>
      </c>
    </row>
    <row r="728" spans="1:12" ht="13.8">
      <c r="A728" s="1" t="s">
        <v>33887</v>
      </c>
      <c r="B728" s="1" t="str">
        <f ca="1">IFERROR(__xludf.dummyfunction("IF(A728="""", """", GOOGLETRANSLATE(A728, ""en"", ""hi""))"),"मसूर दाल और तले हुए अंडे की रेसिपी - दाल और अंडे की करी")</f>
        <v>मसूर दाल और तले हुए अंडे की रेसिपी - दाल और अंडे की करी</v>
      </c>
      <c r="C728" s="1" t="s">
        <v>429</v>
      </c>
      <c r="D728" s="1" t="s">
        <v>15314</v>
      </c>
      <c r="E728" s="1">
        <v>45</v>
      </c>
      <c r="F728" s="1" t="s">
        <v>33888</v>
      </c>
      <c r="G728" s="1" t="str">
        <f ca="1">IFERROR(__xludf.dummyfunction("IF(F728="""", """", GOOGLETRANSLATE(F728, ""en"", ""hi""))"),"2 साबुत अंडे, 1/2 कप मसूर दाल (साबुत), 1/2 कप नारियल का दूध - गाढ़ा, 1 प्याज - बारीक कटा हुआ, 1 टमाटर - बारीक कटा हुआ, 3 हरी मिर्च - कटी हुई, 1/4 कप पुदीना - कटा हुआ, 1 चम्मच अदरक लहसुन पेस्ट, 1/2 चम्मच हल्दी पाउडर (हल्दी), 1 चम्मच गरम मसाला पाउडर, 1/4 चम"&amp;"्मच जीरा पाउडर (जीरा), 1 चुटकी हींग, नमक - स्वादानुसार, 1 चम्मच सरसों के बीज, 6 करी पत्ते, 2 चम्मच सूरजमुखी का तेल")</f>
        <v>2 साबुत अंडे, 1/2 कप मसूर दाल (साबुत), 1/2 कप नारियल का दूध - गाढ़ा, 1 प्याज - बारीक कटा हुआ, 1 टमाटर - बारीक कटा हुआ, 3 हरी मिर्च - कटी हुई, 1/4 कप पुदीना - कटा हुआ, 1 चम्मच अदरक लहसुन पेस्ट, 1/2 चम्मच हल्दी पाउडर (हल्दी), 1 चम्मच गरम मसाला पाउडर, 1/4 चम्मच जीरा पाउडर (जीरा), 1 चुटकी हींग, नमक - स्वादानुसार, 1 चम्मच सरसों के बीज, 6 करी पत्ते, 2 चम्मच सूरजमुखी का तेल</v>
      </c>
      <c r="H728" s="1" t="s">
        <v>33889</v>
      </c>
      <c r="I728" s="1" t="str">
        <f ca="1">IFERROR(__xludf.dummyfunction("IF(H728="""", """", GOOGLETRANSLATE(H728, ""en"", ""hi""))"),"अंडा मसूर दाल रेसिपी बनाने के लिए सबसे पहले मसूर दाल को बहते पानी में अच्छी तरह धो लें। फिर इसे एक प्रेशर कुकर में 1 और ½ कप पानी के साथ डालें और आंच पर रखें। इसे तीन सीटी आने तक पकने दें। फिर आंच बंद कर दें और कुकर को अलग रख दें ताकि प्रेशर अपने आप निकल "&amp;"जाए। जब ​​आप प्रेशर कुकर को आसानी से खोल पाएं, प्रेशर अपने आप निकल जाने के बाद, दाल को करछुल के पिछले हिस्से से मसल लें और अलग रख दें। एक कढ़ाई को आंच पर रखें। 2 चम्मच तेल गर्म करें और उसमें राई डालें, उसके बाद करी पत्ता डालें और उन्हें चटकने दें। इसके बा"&amp;"द, कटा हुआ प्याज और हरी मिर्च डालें और कुछ मिनट के लिए भूनें। अब अदरक लहसुन का पेस्ट डालें और तब तक भूनें जब तक अदरक और लहसुन की कच्ची महक न चली जाए अच्छी तरह से मिलाएं और मसाले के एक साथ आने तक थोड़ी देर और पकने दें। अब अंडों को तोड़ने के लिए आंच धीमी कर"&amp;" दें और एक-एक करके अंडे को सीधे पैन में तोड़ें। अंडों को तब तक धीरे-धीरे लेकिन लगातार चलाते रहें जब तक कि वे टूट कर ठोस न हो जाएं। अंडे पक जाने के बाद, मसला हुआ मसूर दाल और हींग डालें और अच्छी तरह मिला लें। 1/2 कप पानी डालें, हिलाएं और कढ़ाई को ढक दें। दा"&amp;"ल को ढककर धीमी-मध्यम आंच पर 5 मिनट तक पकाएं। अंत में, नारियल का दूध और स्वादानुसार नमक डालें। अच्छी तरह से हिलाएं और ढककर 7-10 मिनट तक पकाएं, फिर आंच बंद कर दें। मसूर दाल को तले हुए अंडे के साथ पराठे, फुल्के या नान के साथ परोसें")</f>
        <v>अंडा मसूर दाल रेसिपी बनाने के लिए सबसे पहले मसूर दाल को बहते पानी में अच्छी तरह धो लें। फिर इसे एक प्रेशर कुकर में 1 और ½ कप पानी के साथ डालें और आंच पर रखें। इसे तीन सीटी आने तक पकने दें। फिर आंच बंद कर दें और कुकर को अलग रख दें ताकि प्रेशर अपने आप निकल जाए। जब ​​आप प्रेशर कुकर को आसानी से खोल पाएं, प्रेशर अपने आप निकल जाने के बाद, दाल को करछुल के पिछले हिस्से से मसल लें और अलग रख दें। एक कढ़ाई को आंच पर रखें। 2 चम्मच तेल गर्म करें और उसमें राई डालें, उसके बाद करी पत्ता डालें और उन्हें चटकने दें। इसके बाद, कटा हुआ प्याज और हरी मिर्च डालें और कुछ मिनट के लिए भूनें। अब अदरक लहसुन का पेस्ट डालें और तब तक भूनें जब तक अदरक और लहसुन की कच्ची महक न चली जाए अच्छी तरह से मिलाएं और मसाले के एक साथ आने तक थोड़ी देर और पकने दें। अब अंडों को तोड़ने के लिए आंच धीमी कर दें और एक-एक करके अंडे को सीधे पैन में तोड़ें। अंडों को तब तक धीरे-धीरे लेकिन लगातार चलाते रहें जब तक कि वे टूट कर ठोस न हो जाएं। अंडे पक जाने के बाद, मसला हुआ मसूर दाल और हींग डालें और अच्छी तरह मिला लें। 1/2 कप पानी डालें, हिलाएं और कढ़ाई को ढक दें। दाल को ढककर धीमी-मध्यम आंच पर 5 मिनट तक पकाएं। अंत में, नारियल का दूध और स्वादानुसार नमक डालें। अच्छी तरह से हिलाएं और ढककर 7-10 मिनट तक पकाएं, फिर आंच बंद कर दें। मसूर दाल को तले हुए अंडे के साथ पराठे, फुल्के या नान के साथ परोसें</v>
      </c>
      <c r="J728" s="3" t="s">
        <v>33890</v>
      </c>
      <c r="L728" s="1" t="s">
        <v>31003</v>
      </c>
    </row>
    <row r="729" spans="1:12" ht="13.8">
      <c r="A729" s="1" t="s">
        <v>33891</v>
      </c>
      <c r="B729" s="1" t="str">
        <f ca="1">IFERROR(__xludf.dummyfunction("IF(A729="""", """", GOOGLETRANSLATE(A729, ""en"", ""hi""))"),"सुखी दही वाली लौकी")</f>
        <v>सुखी दही वाली लौकी</v>
      </c>
      <c r="C729" s="1" t="s">
        <v>145</v>
      </c>
      <c r="D729" s="1" t="s">
        <v>14338</v>
      </c>
      <c r="E729" s="1">
        <v>45</v>
      </c>
      <c r="F729" s="1" t="s">
        <v>33892</v>
      </c>
      <c r="G729" s="1" t="str">
        <f ca="1">IFERROR(__xludf.dummyfunction("IF(F729="""", """", GOOGLETRANSLATE(F729, ""en"", ""hi""))"),"1-1/2 कप लौकी - छीलकर काट लें, 1/2 चम्मच जीरा, 1/2 चम्मच राई, 5-6 करी पत्ते, 1-2 हरी मिर्च - बारीक कटी हुई, 3-4 लहसुन की कलियां - बारीक कटी हुई, 1 प्याज - बारीक कटा हुआ, 1 टमाटर - कटा हुआ, 1/4 कप दही, 1 चम्मच लाल मिर्च पाउडर, 1/2 चम्मच हल्दी पाउडर, 1/2 चम"&amp;"्मच धनिया पाउडर, नमक - आवश्यकतानुसार, पानी - आवश्यकतानुसार, तेल - आवश्यकतानुसार")</f>
        <v>1-1/2 कप लौकी - छीलकर काट लें, 1/2 चम्मच जीरा, 1/2 चम्मच राई, 5-6 करी पत्ते, 1-2 हरी मिर्च - बारीक कटी हुई, 3-4 लहसुन की कलियां - बारीक कटी हुई, 1 प्याज - बारीक कटा हुआ, 1 टमाटर - कटा हुआ, 1/4 कप दही, 1 चम्मच लाल मिर्च पाउडर, 1/2 चम्मच हल्दी पाउडर, 1/2 चम्मच धनिया पाउडर, नमक - आवश्यकतानुसार, पानी - आवश्यकतानुसार, तेल - आवश्यकतानुसार</v>
      </c>
      <c r="H729" s="1" t="s">
        <v>33893</v>
      </c>
      <c r="I729" s="1" t="str">
        <f ca="1">IFERROR(__xludf.dummyfunction("IF(H729="""", """", GOOGLETRANSLATE(H729, ""en"", ""hi""))"),"""सूखी दही वाली लौकी बनाने के लिए सबसे पहले एक पैन में तेल गर्म करें। अब इसमें जीरा, राई, करी पत्ता और हरी मिर्च डालें। 10 सेकंड के बाद इसमें लहसुन और प्याज डालें। प्याज के नरम होने तक पकाएँ। अब इसमें लौकी डालकर मिलाएँ। अब इसमें नमक, हल्दी पाउडर डालें और "&amp;"पैन को ढक दें। इसे 3 से 4 मिनट तक पकने दें। अब इसमें टमाटर, लाल मिर्च पाउडर और धनिया पाउडर डालें। इसे मिलाएँ और पैन को ढक दें। अब एक कटोरे में दही और थोड़ा पानी डालकर मिलाएँ। इसे एक तरफ रख दें। लौकी के नरम हो जाने के बाद इसमें दही डालें और मिलाएँ। दही के "&amp;"अच्छे से मिल जाने के बाद पैन को ढक दें और 6 से 8 मिनट तक पकाएँ। गरमागरम परोसें। सुखी दही वाली लौकी को पंचमेल दाल, खिचड़ी चूरी और फुल्के के साथ लंच में परोसें।""")</f>
        <v>"सूखी दही वाली लौकी बनाने के लिए सबसे पहले एक पैन में तेल गर्म करें। अब इसमें जीरा, राई, करी पत्ता और हरी मिर्च डालें। 10 सेकंड के बाद इसमें लहसुन और प्याज डालें। प्याज के नरम होने तक पकाएँ। अब इसमें लौकी डालकर मिलाएँ। अब इसमें नमक, हल्दी पाउडर डालें और पैन को ढक दें। इसे 3 से 4 मिनट तक पकने दें। अब इसमें टमाटर, लाल मिर्च पाउडर और धनिया पाउडर डालें। इसे मिलाएँ और पैन को ढक दें। अब एक कटोरे में दही और थोड़ा पानी डालकर मिलाएँ। इसे एक तरफ रख दें। लौकी के नरम हो जाने के बाद इसमें दही डालें और मिलाएँ। दही के अच्छे से मिल जाने के बाद पैन को ढक दें और 6 से 8 मिनट तक पकाएँ। गरमागरम परोसें। सुखी दही वाली लौकी को पंचमेल दाल, खिचड़ी चूरी और फुल्के के साथ लंच में परोसें।"</v>
      </c>
      <c r="J729" s="3" t="s">
        <v>33894</v>
      </c>
      <c r="L729" s="1" t="s">
        <v>31003</v>
      </c>
    </row>
    <row r="730" spans="1:12" ht="13.8">
      <c r="A730" s="1" t="s">
        <v>33895</v>
      </c>
      <c r="B730" s="1" t="str">
        <f ca="1">IFERROR(__xludf.dummyfunction("IF(A730="""", """", GOOGLETRANSLATE(A730, ""en"", ""hi""))"),"दही करी में कच्चे पपीते का कोफ्ता रेसिपी")</f>
        <v>दही करी में कच्चे पपीते का कोफ्ता रेसिपी</v>
      </c>
      <c r="C730" s="1" t="s">
        <v>145</v>
      </c>
      <c r="D730" s="1" t="s">
        <v>14198</v>
      </c>
      <c r="E730" s="1">
        <v>45</v>
      </c>
      <c r="F730" s="1" t="s">
        <v>33896</v>
      </c>
      <c r="G730" s="1" t="str">
        <f ca="1">IFERROR(__xludf.dummyfunction("IF(F730="""", """", GOOGLETRANSLATE(F730, ""en"", ""hi""))"),"1 कप कच्चा पपीता - कद्दूकस किया हुआ, 1 कप पत्ता गोभी - बारीक कटी हुई, 2 आलू - उबले हुए, 2 बड़े चम्मच बेसन, 1 छोटा चम्मच जीरा, 1 छोटा चम्मच लाल मिर्च पाउडर, 1/4 छोटा चम्मच हल्दी पाउडर, नमक - स्वादानुसार, 2 बड़े चम्मच सूरजमुखी के बीज - भुने हुए, 1 कप दही, 1"&amp;" बड़ा चम्मच बेसन, 2 चम्मच लाल मिर्च पाउडर, 1 छोटा चम्मच धनिया पाउडर, 1/4 छोटा चम्मच हल्दी पाउडर, 1 छोटा चम्मच गरम मसाला पाउडर, 1 छोटा चम्मच चीनी, नमक - स्वादानुसार, 1 छोटा चम्मच सरसों के बीज, 1 तेज पत्ता, 2 टहनी करी पत्ता, 1 इंच अदरक - कटा हुआ, 4 लौंग लहस"&amp;"ुन - कटा हुआ, सूरजमुखी का तेल")</f>
        <v>1 कप कच्चा पपीता - कद्दूकस किया हुआ, 1 कप पत्ता गोभी - बारीक कटी हुई, 2 आलू - उबले हुए, 2 बड़े चम्मच बेसन, 1 छोटा चम्मच जीरा, 1 छोटा चम्मच लाल मिर्च पाउडर, 1/4 छोटा चम्मच हल्दी पाउडर, नमक - स्वादानुसार, 2 बड़े चम्मच सूरजमुखी के बीज - भुने हुए, 1 कप दही, 1 बड़ा चम्मच बेसन, 2 चम्मच लाल मिर्च पाउडर, 1 छोटा चम्मच धनिया पाउडर, 1/4 छोटा चम्मच हल्दी पाउडर, 1 छोटा चम्मच गरम मसाला पाउडर, 1 छोटा चम्मच चीनी, नमक - स्वादानुसार, 1 छोटा चम्मच सरसों के बीज, 1 तेज पत्ता, 2 टहनी करी पत्ता, 1 इंच अदरक - कटा हुआ, 4 लौंग लहसुन - कटा हुआ, सूरजमुखी का तेल</v>
      </c>
      <c r="H730" s="1" t="s">
        <v>33897</v>
      </c>
      <c r="I730" s="1" t="str">
        <f ca="1">IFERROR(__xludf.dummyfunction("IF(H730="""", """", GOOGLETRANSLATE(H730, ""en"", ""hi""))"),"कच्चे पपीते के कोफ्ते और दही की सब्जी बनाने की विधि सबसे पहले कोफ्ते की सारी सामग्री एक कटोरे में डालें। नमक की जाँच करें और अच्छी तरह मिलाएँ और उन्हें छोटे-छोटे गोले बनाकर एक तरफ रख दें। एक कुजी पनियारम पैन को गर्म करें और हर छेद में थोड़ा तेल डालें। एक "&amp;"बार जब पैन गर्म हो जाए, तो उसमें कोफ्ते डालें और उन्हें तब तक तलें जब तक कि वे बाहर की तरफ एक अच्छा सुनहरा क्रस्ट न बना लें। उन्हें चम्मच से पलटते रहें। कोफ्ते बाहर निकालें और बाकी बैच के लिए भी ऐसा ही करें। एक पैन में तेल गर्म करें, उसमें सूरजमुखी के बीज"&amp;" डालें और उन्हें सुनहरा भूरा होने तक अच्छी तरह से भूनें। इसे ठंडा होने दें और थोड़ा पानी डालकर मिक्सर में पीसकर मुलायम पेस्ट बना लें। एक छोटा मिक्सिंग बाउल लें और उसमें दही, बेसन, लाल मिर्च पाउडर, हल्दी पाउडर, गरम मसाला, धनिया पाउडर, नमक और ½ कप पानी डाले"&amp;"ं और अच्छी तरह से मिलाएँ जब तक कि यह एक चिकना मिश्रण न बन जाए। एक कढ़ाई में तेल गर्म करें, उसमें सरसों के बीज, तेज पत्ता और करी पत्ता डालें। उन्हें चटकने दें और पैन में कटा हुआ अदरक लहसुन डालें और नरम होने तक भूनें। मिश्रित दही मिश्रण डालें और गाढ़ा होने "&amp;"तक एक स्पैटुला का उपयोग करके घुमाते रहें, अपनी इच्छानुसार ग्रेवी का गाढ़ापन समायोजित करें और नमक की जांच करें। परोसने के लिए, कोफ्ते को एक सर्व प्लेट में रखें और ऊपर से करी डालें और चाहें तो धनिया पत्ती से गार्निश करें। कच्चे पपीते के कोफ्ते को दही करी रे"&amp;"सिपी के साथ तवा पराठा, लौकी रायता रेसिपी के साथ या सिर्फ मटर पुलाव के साथ परोसें।")</f>
        <v>कच्चे पपीते के कोफ्ते और दही की सब्जी बनाने की विधि सबसे पहले कोफ्ते की सारी सामग्री एक कटोरे में डालें। नमक की जाँच करें और अच्छी तरह मिलाएँ और उन्हें छोटे-छोटे गोले बनाकर एक तरफ रख दें। एक कुजी पनियारम पैन को गर्म करें और हर छेद में थोड़ा तेल डालें। एक बार जब पैन गर्म हो जाए, तो उसमें कोफ्ते डालें और उन्हें तब तक तलें जब तक कि वे बाहर की तरफ एक अच्छा सुनहरा क्रस्ट न बना लें। उन्हें चम्मच से पलटते रहें। कोफ्ते बाहर निकालें और बाकी बैच के लिए भी ऐसा ही करें। एक पैन में तेल गर्म करें, उसमें सूरजमुखी के बीज डालें और उन्हें सुनहरा भूरा होने तक अच्छी तरह से भूनें। इसे ठंडा होने दें और थोड़ा पानी डालकर मिक्सर में पीसकर मुलायम पेस्ट बना लें। एक छोटा मिक्सिंग बाउल लें और उसमें दही, बेसन, लाल मिर्च पाउडर, हल्दी पाउडर, गरम मसाला, धनिया पाउडर, नमक और ½ कप पानी डालें और अच्छी तरह से मिलाएँ जब तक कि यह एक चिकना मिश्रण न बन जाए। एक कढ़ाई में तेल गर्म करें, उसमें सरसों के बीज, तेज पत्ता और करी पत्ता डालें। उन्हें चटकने दें और पैन में कटा हुआ अदरक लहसुन डालें और नरम होने तक भूनें। मिश्रित दही मिश्रण डालें और गाढ़ा होने तक एक स्पैटुला का उपयोग करके घुमाते रहें, अपनी इच्छानुसार ग्रेवी का गाढ़ापन समायोजित करें और नमक की जांच करें। परोसने के लिए, कोफ्ते को एक सर्व प्लेट में रखें और ऊपर से करी डालें और चाहें तो धनिया पत्ती से गार्निश करें। कच्चे पपीते के कोफ्ते को दही करी रेसिपी के साथ तवा पराठा, लौकी रायता रेसिपी के साथ या सिर्फ मटर पुलाव के साथ परोसें।</v>
      </c>
      <c r="J730" s="3" t="s">
        <v>33898</v>
      </c>
      <c r="L730" s="1" t="s">
        <v>31003</v>
      </c>
    </row>
    <row r="731" spans="1:12" ht="13.8">
      <c r="A731" s="1" t="s">
        <v>33899</v>
      </c>
      <c r="B731" s="1" t="str">
        <f ca="1">IFERROR(__xludf.dummyfunction("IF(A731="""", """", GOOGLETRANSLATE(A731, ""en"", ""hi""))"),"मटर बेसन और पनीर चीला रेसिपी - हरी मटर और पनीर क्रेप्स")</f>
        <v>मटर बेसन और पनीर चीला रेसिपी - हरी मटर और पनीर क्रेप्स</v>
      </c>
      <c r="C731" s="1" t="s">
        <v>16424</v>
      </c>
      <c r="D731" s="1" t="s">
        <v>14198</v>
      </c>
      <c r="E731" s="1">
        <v>40</v>
      </c>
      <c r="F731" s="1" t="s">
        <v>33900</v>
      </c>
      <c r="G731" s="1" t="str">
        <f ca="1">IFERROR(__xludf.dummyfunction("IF(F731="""", """", GOOGLETRANSLATE(F731, ""en"", ""hi""))"),"1 कप हरी मटर - उबली हुई, 1 कप बेसन, 1/2 कप पनीर - कद्दूकस किया हुआ, 1 चम्मच अदरक - कटा हुआ, 2 हरी मिर्च - बारीक कटी हुई, 1/2 चम्मच हल्दी, 1/2 चम्मच जीरा, 1/2 चम्मच नमक, 2 सूरजमुखी तेल - चीला पकाने के लिए, 1/2 चम्मच नमक, 2 चम्मच सूरजमुखी तेल - पैन में भूनन"&amp;"े के लिए")</f>
        <v>1 कप हरी मटर - उबली हुई, 1 कप बेसन, 1/2 कप पनीर - कद्दूकस किया हुआ, 1 चम्मच अदरक - कटा हुआ, 2 हरी मिर्च - बारीक कटी हुई, 1/2 चम्मच हल्दी, 1/2 चम्मच जीरा, 1/2 चम्मच नमक, 2 सूरजमुखी तेल - चीला पकाने के लिए, 1/2 चम्मच नमक, 2 चम्मच सूरजमुखी तेल - पैन में भूनने के लिए</v>
      </c>
      <c r="H731" s="1" t="s">
        <v>33901</v>
      </c>
      <c r="I731" s="1" t="str">
        <f ca="1">IFERROR(__xludf.dummyfunction("IF(H731="""", """", GOOGLETRANSLATE(H731, ""en"", ""hi""))"),"मटर बेसन और पनीर चीला रेसिपी बनाने के लिए सबसे पहले मिक्सर ग्राइंडर में हरी मटर, हरी मिर्च और अदरक डालें, पानी डालकर गाढ़ा प्यूरी बना लें। एक बड़े मिक्सिंग बाउल में मटर का पेस्ट डालें। बाउल में बेसन, कसा हुआ पनीर, हल्दी पाउडर, जीरा पाउडर और नमक डालें। पान"&amp;"ी डालकर अच्छी तरह फेंटें और गाढ़ा चीला बैटर बनाएं। एक पैन को मध्यम आंच पर गर्म करें। मटर और पनीर चीला बैटर का एक मध्यम स्कूप लें और पैन के बीच में डालें और धीरे से चीला बनाने के लिए फैलाएं। आप अपने स्वाद के अनुसार चीले की मोटाई को समायोजित कर सकते हैं। कि"&amp;"नारों से तेल छिड़कें और मटर बेसन चीला को तब तक पकाएं जब तक कि आप सभी तरफ सुनहरे धब्बे न देखें। मटर बेसन और पनीर चीला को टमाटर प्याज की चटनी, टमाटर लहसुन की चटनी या अपनी पसंद की किसी भी अन्य चटनी और मसाला चाय के साथ नाश्ते के लिए या चाय के समय नाश्ते के रू"&amp;"प में परोसें।")</f>
        <v>मटर बेसन और पनीर चीला रेसिपी बनाने के लिए सबसे पहले मिक्सर ग्राइंडर में हरी मटर, हरी मिर्च और अदरक डालें, पानी डालकर गाढ़ा प्यूरी बना लें। एक बड़े मिक्सिंग बाउल में मटर का पेस्ट डालें। बाउल में बेसन, कसा हुआ पनीर, हल्दी पाउडर, जीरा पाउडर और नमक डालें। पानी डालकर अच्छी तरह फेंटें और गाढ़ा चीला बैटर बनाएं। एक पैन को मध्यम आंच पर गर्म करें। मटर और पनीर चीला बैटर का एक मध्यम स्कूप लें और पैन के बीच में डालें और धीरे से चीला बनाने के लिए फैलाएं। आप अपने स्वाद के अनुसार चीले की मोटाई को समायोजित कर सकते हैं। किनारों से तेल छिड़कें और मटर बेसन चीला को तब तक पकाएं जब तक कि आप सभी तरफ सुनहरे धब्बे न देखें। मटर बेसन और पनीर चीला को टमाटर प्याज की चटनी, टमाटर लहसुन की चटनी या अपनी पसंद की किसी भी अन्य चटनी और मसाला चाय के साथ नाश्ते के लिए या चाय के समय नाश्ते के रूप में परोसें।</v>
      </c>
      <c r="J731" s="3" t="s">
        <v>33902</v>
      </c>
      <c r="L731" s="1" t="s">
        <v>31003</v>
      </c>
    </row>
    <row r="732" spans="1:12" ht="13.8">
      <c r="A732" s="1" t="s">
        <v>33903</v>
      </c>
      <c r="B732" s="1" t="str">
        <f ca="1">IFERROR(__xludf.dummyfunction("IF(A732="""", """", GOOGLETRANSLATE(A732, ""en"", ""hi""))"),"अरबी टमाटर प्याज की सब्जी रेसिपी (मसालेदार अरबी स्टर फ्राई)")</f>
        <v>अरबी टमाटर प्याज की सब्जी रेसिपी (मसालेदार अरबी स्टर फ्राई)</v>
      </c>
      <c r="C732" s="1" t="s">
        <v>145</v>
      </c>
      <c r="D732" s="1" t="s">
        <v>14198</v>
      </c>
      <c r="E732" s="1">
        <v>55</v>
      </c>
      <c r="F732" s="1" t="s">
        <v>33904</v>
      </c>
      <c r="G732" s="1" t="str">
        <f ca="1">IFERROR(__xludf.dummyfunction("IF(F732="""", """", GOOGLETRANSLATE(F732, ""en"", ""hi""))"),"12 अरबी - पतले कटे हुए, 1 प्याज - कटा हुआ, 2 टमाटर - कटे हुए, 1 चम्मच अदरक लहसुन पेस्ट, हींग - चुटकी भर (वैकल्पिक), 3/4 चम्मच हल्दी पाउडर, नमक - आवश्यकतानुसार, 3/4 चम्मच लाल मिर्च पाउडर, 3/4 चम्मच धनिया पाउडर, 3/4 चम्मच गरम मसाला पाउडर, 2 हरी मिर्च - पतले"&amp;" कटे हुए, 2 सूखी लाल मिर्च, सूरजमुखी तेल - आवश्यकतानुसार")</f>
        <v>12 अरबी - पतले कटे हुए, 1 प्याज - कटा हुआ, 2 टमाटर - कटे हुए, 1 चम्मच अदरक लहसुन पेस्ट, हींग - चुटकी भर (वैकल्पिक), 3/4 चम्मच हल्दी पाउडर, नमक - आवश्यकतानुसार, 3/4 चम्मच लाल मिर्च पाउडर, 3/4 चम्मच धनिया पाउडर, 3/4 चम्मच गरम मसाला पाउडर, 2 हरी मिर्च - पतले कटे हुए, 2 सूखी लाल मिर्च, सूरजमुखी तेल - आवश्यकतानुसार</v>
      </c>
      <c r="H732" s="1" t="s">
        <v>33905</v>
      </c>
      <c r="I732" s="1" t="str">
        <f ca="1">IFERROR(__xludf.dummyfunction("IF(H732="""", """", GOOGLETRANSLATE(H732, ""en"", ""hi""))"),"अरबी टमाटर प्याज की सब्जी बनाने के लिए, धोकर नमकीन पानी में 10 से 15 मिनट के लिए भिगो दें। दोबारा धो लें और अरबी की छड़ियों से पानी सोखने के लिए तौलिये का इस्तेमाल करें। एक कढ़ाई में तेल गर्म करें और अरबी की छड़ियों को सुनहरा होने तक तल लें। कागज के तौलिय"&amp;"े पर निकाल कर अलग रख दें। एक कढ़ाई में 2 बड़े चम्मच तेल गर्म करें। उसमें साबुत लाल मिर्च, हींग, अदरक और लहसुन का पेस्ट डालें और 1 मिनट तक भूनें। कटे हुए प्याज डालें और पारदर्शी होने तक चलाएँ। हल्दी पाउडर, नमक, लाल मिर्च पाउडर, धनिया पाउडर और गरम मसाला डाल"&amp;"ें। कटे हुए टमाटर और हरी मिर्च डालें। अच्छी तरह मिलाएँ और 3-4 मिनट तक पकाएँ। अरबी डालें और अच्छी तरह मिलाएँ। इसे ढक्कन से ढक दें")</f>
        <v>अरबी टमाटर प्याज की सब्जी बनाने के लिए, धोकर नमकीन पानी में 10 से 15 मिनट के लिए भिगो दें। दोबारा धो लें और अरबी की छड़ियों से पानी सोखने के लिए तौलिये का इस्तेमाल करें। एक कढ़ाई में तेल गर्म करें और अरबी की छड़ियों को सुनहरा होने तक तल लें। कागज के तौलिये पर निकाल कर अलग रख दें। एक कढ़ाई में 2 बड़े चम्मच तेल गर्म करें। उसमें साबुत लाल मिर्च, हींग, अदरक और लहसुन का पेस्ट डालें और 1 मिनट तक भूनें। कटे हुए प्याज डालें और पारदर्शी होने तक चलाएँ। हल्दी पाउडर, नमक, लाल मिर्च पाउडर, धनिया पाउडर और गरम मसाला डालें। कटे हुए टमाटर और हरी मिर्च डालें। अच्छी तरह मिलाएँ और 3-4 मिनट तक पकाएँ। अरबी डालें और अच्छी तरह मिलाएँ। इसे ढक्कन से ढक दें</v>
      </c>
      <c r="J732" s="3" t="s">
        <v>33906</v>
      </c>
      <c r="L732" s="1" t="s">
        <v>31003</v>
      </c>
    </row>
    <row r="733" spans="1:12" ht="13.8">
      <c r="A733" s="1" t="s">
        <v>33907</v>
      </c>
      <c r="B733" s="1" t="str">
        <f ca="1">IFERROR(__xludf.dummyfunction("IF(A733="""", """", GOOGLETRANSLATE(A733, ""en"", ""hi""))"),"छोले पिंडी रेसिपी")</f>
        <v>छोले पिंडी रेसिपी</v>
      </c>
      <c r="C733" s="1" t="s">
        <v>145</v>
      </c>
      <c r="D733" s="1" t="s">
        <v>14198</v>
      </c>
      <c r="E733" s="1">
        <v>620</v>
      </c>
      <c r="F733" s="1" t="s">
        <v>33908</v>
      </c>
      <c r="G733" s="1" t="str">
        <f ca="1">IFERROR(__xludf.dummyfunction("IF(F733="""", """", GOOGLETRANSLATE(F733, ""en"", ""hi""))"),"1 कप काले चने - रातभर भिगोए हुए, 2 इलायची, 1 प्याज - बारीक कटा हुआ, 1 दालचीनी, 1 इंच अदरक - बारीक कटा हुआ, 2 हरी मिर्च - सीधी कटी हुई, 1/2 कप टमाटर प्यूरी, 1/2 चम्मच हल्दी पाउडर, 1 चम्मच अनार के दाने, 1 चम्मच धनिया पाउडर, 1/2 चम्मच गरम मसाला पाउडर, 1/2 चम"&amp;"्मच अमचूर - या नींबू का रस, 1/2 चम्मच लाल मिर्च पाउडर, तेल - या घी, नमक - स्वादानुसार, 1 इंच अदरक - बारीक कटा हुआ, नींबू - पिसा हुआ")</f>
        <v>1 कप काले चने - रातभर भिगोए हुए, 2 इलायची, 1 प्याज - बारीक कटा हुआ, 1 दालचीनी, 1 इंच अदरक - बारीक कटा हुआ, 2 हरी मिर्च - सीधी कटी हुई, 1/2 कप टमाटर प्यूरी, 1/2 चम्मच हल्दी पाउडर, 1 चम्मच अनार के दाने, 1 चम्मच धनिया पाउडर, 1/2 चम्मच गरम मसाला पाउडर, 1/2 चम्मच अमचूर - या नींबू का रस, 1/2 चम्मच लाल मिर्च पाउडर, तेल - या घी, नमक - स्वादानुसार, 1 इंच अदरक - बारीक कटा हुआ, नींबू - पिसा हुआ</v>
      </c>
      <c r="H733" s="1" t="s">
        <v>33909</v>
      </c>
      <c r="I733" s="1" t="str">
        <f ca="1">IFERROR(__xludf.dummyfunction("IF(H733="""", """", GOOGLETRANSLATE(H733, ""en"", ""hi""))"),"""छोले पिंडी रेसिपी बनाने के लिए सबसे पहले हम प्रेशर कुकर में काले छोले पकाएँगे। प्रेशर कुकर में काले छोले, आवश्यकतानुसार पानी और नमक डालें। 4 से 5 सीटी आने तक पकाएँ। गैस बंद कर दें और प्रेशर अपने आप निकलने दें। कुकर खोलें और छोले एक तरफ रख दें। अब एक पैन"&amp;" में तेल गरम करें। उसमें प्याज़, अदरक, हरी मिर्च डालें और प्याज़ के नरम होने तक पकाएँ। प्याज़ के नरम होने के बाद उसमें टमाटर, हल्दी पाउडर, धनिया पाउडर, गरम मसाला पाउडर, अमचूर पाउडर, लाल मिर्च पाउडर, दालचीनी, इलायची डालें और टमाटर के नरम होने तक पकाएँ। अब "&amp;"इसमें काले छोले डालकर मिलाएँ। पैन को ढककर 5 मिनट तक पकाएँ। गैस बंद कर दें और हरा धनिया, अदरक और नींबू का रस डालकर गार्निश करें। छोले पिंडी रेसिपी को अजवाइन पूरी, बूंदी रायता और आटे के हलवे के साथ लंच में सर्व करें।""")</f>
        <v>"छोले पिंडी रेसिपी बनाने के लिए सबसे पहले हम प्रेशर कुकर में काले छोले पकाएँगे। प्रेशर कुकर में काले छोले, आवश्यकतानुसार पानी और नमक डालें। 4 से 5 सीटी आने तक पकाएँ। गैस बंद कर दें और प्रेशर अपने आप निकलने दें। कुकर खोलें और छोले एक तरफ रख दें। अब एक पैन में तेल गरम करें। उसमें प्याज़, अदरक, हरी मिर्च डालें और प्याज़ के नरम होने तक पकाएँ। प्याज़ के नरम होने के बाद उसमें टमाटर, हल्दी पाउडर, धनिया पाउडर, गरम मसाला पाउडर, अमचूर पाउडर, लाल मिर्च पाउडर, दालचीनी, इलायची डालें और टमाटर के नरम होने तक पकाएँ। अब इसमें काले छोले डालकर मिलाएँ। पैन को ढककर 5 मिनट तक पकाएँ। गैस बंद कर दें और हरा धनिया, अदरक और नींबू का रस डालकर गार्निश करें। छोले पिंडी रेसिपी को अजवाइन पूरी, बूंदी रायता और आटे के हलवे के साथ लंच में सर्व करें।"</v>
      </c>
      <c r="J733" s="3" t="s">
        <v>33910</v>
      </c>
      <c r="L733" s="1" t="s">
        <v>31003</v>
      </c>
    </row>
    <row r="734" spans="1:12" ht="13.8">
      <c r="A734" s="1" t="s">
        <v>33911</v>
      </c>
      <c r="B734" s="1" t="str">
        <f ca="1">IFERROR(__xludf.dummyfunction("IF(A734="""", """", GOOGLETRANSLATE(A734, ""en"", ""hi""))"),"मुर्ग मसाला रेसिपी - चिकन टंगड़ी मसाला")</f>
        <v>मुर्ग मसाला रेसिपी - चिकन टंगड़ी मसाला</v>
      </c>
      <c r="C734" s="1" t="s">
        <v>145</v>
      </c>
      <c r="D734" s="1" t="s">
        <v>14382</v>
      </c>
      <c r="E734" s="1">
        <v>70</v>
      </c>
      <c r="F734" s="1" t="s">
        <v>33912</v>
      </c>
      <c r="G734" s="1" t="str">
        <f ca="1">IFERROR(__xludf.dummyfunction("IF(F734="""", """", GOOGLETRANSLATE(F734, ""en"", ""hi""))"),"400 ग्राम चिकन पैर, 1 बड़ा चम्मच नींबू का रस - चिकन को नरम करने के लिए, 1 चम्मच नमक - चिकन को नरम करने के लिए, 1 चम्मच अदरक लहसुन पेस्ट, 1 चम्मच कश्मीरी लाल मिर्च पाउडर, 2 बड़े चम्मच दही - फेंटा हुआ, 2 प्याज - बारीक कटा हुआ, 1 इंच अदरक - बारीक कटा हुआ, 1 "&amp;"इलायची की फली / बीज, 1 इंच दालचीनी छड़ी (दालचीनी), 1 बे पत्ती (तेज पत्ता), 3 बड़े चम्मच घर का बना टमाटर प्यूरी, 1/2 बड़ा चम्मच शहद, 1/2 चम्मच हल्दी पाउडर (हल्दी), 1/2 चम्मच लाल मिर्च पाउडर, 1/4 चम्मच जीरा पाउडर (जीरा), 1/4 चम्मच गरम मसाला पाउडर, नमक - स्व"&amp;"ादानुसार, 2 चम्मच सरसों का तेल, धनिया (धनिया) पत्तियां - गार्निश के लिए बारीक कटी")</f>
        <v>400 ग्राम चिकन पैर, 1 बड़ा चम्मच नींबू का रस - चिकन को नरम करने के लिए, 1 चम्मच नमक - चिकन को नरम करने के लिए, 1 चम्मच अदरक लहसुन पेस्ट, 1 चम्मच कश्मीरी लाल मिर्च पाउडर, 2 बड़े चम्मच दही - फेंटा हुआ, 2 प्याज - बारीक कटा हुआ, 1 इंच अदरक - बारीक कटा हुआ, 1 इलायची की फली / बीज, 1 इंच दालचीनी छड़ी (दालचीनी), 1 बे पत्ती (तेज पत्ता), 3 बड़े चम्मच घर का बना टमाटर प्यूरी, 1/2 बड़ा चम्मच शहद, 1/2 चम्मच हल्दी पाउडर (हल्दी), 1/2 चम्मच लाल मिर्च पाउडर, 1/4 चम्मच जीरा पाउडर (जीरा), 1/4 चम्मच गरम मसाला पाउडर, नमक - स्वादानुसार, 2 चम्मच सरसों का तेल, धनिया (धनिया) पत्तियां - गार्निश के लिए बारीक कटी</v>
      </c>
      <c r="H734" s="1" t="s">
        <v>33913</v>
      </c>
      <c r="I734" s="1" t="str">
        <f ca="1">IFERROR(__xludf.dummyfunction("IF(H734="""", """", GOOGLETRANSLATE(H734, ""en"", ""hi""))"),"मुर्ग मसाला रेसिपी बनाने के लिए सबसे पहले चिकन की टांगों को अच्छे से धो लें और किचन के तौलिये से थपथपा कर सुखा लें। एक छोटे कटोरे में नींबू का रस और नमक मिलाएं और मांस को नरम करने के लिए चिकन के टुकड़ों पर यह मिश्रण लगाएं। चिकन को 5 मिनट के लिए रख दें। अल"&amp;"ग से एक दूसरे मिक्सिंग बाउल में अदरक लहसुन का पेस्ट, दही और कश्मीरी मिर्च पाउडर मिलाकर मुर्ग मसाला के लिए मैरिनेड बनाएं। इसमें चिकन डालें, ढककर कम से कम 30 मिनट के लिए मैरिनेट करें। धीमी आंच पर एक पैन गरम करें, सरसों का तेल डालें, चिकन को दालचीनी के साथ प"&amp;"ैन में रखें। चिकन को दोनों तरफ से भूनें और इस प्रक्रिया में लगभग 10 मिनट का समय लगेगा। चिकन लेग्स के तल जाने के बाद उन्हें पैन से निकाल कर एक प्लेट पर रख दें जब प्याज पक जाए तो उसमें हल्दी पाउडर, लाल मिर्च पाउडर, जीरा पाउडर, गरम मसाला पाउडर और स्वादानुसार"&amp;" नमक सहित सभी मसाले डालें। सभी मसालों को अच्छी तरह मिल जाने तक भूनें। इसके बाद टमाटर प्यूरी और शहद डालें और मसालों के साथ अच्छी तरह मिला लें। चिकन के पैरों को वापस पैन में डालें और तब तक मिलाएँ जब तक कि सारा मसाला चिकन के पैरों पर अच्छी तरह न लग जाए। सुनि"&amp;"श्चित करें कि आँच धीमी हो और चिकन के पैरों को मसाले में 15 मिनट तक पकने दें। चिकन के पैरों को मसाले में नियमित अंतराल पर चलाते रहें ताकि यह सुनिश्चित हो सके कि चिकन जले नहीं। आंच बंद कर दें और बारीक कटा हरा धनिया से गार्निश करें। मुर्ग मसाला परोसने के लिए"&amp;" तैयार है। मुर्ग मसाला को फुल्के और तड़का रायता के साथ स्वादिष्ट भारतीय डिनर के लिए परोसें")</f>
        <v>मुर्ग मसाला रेसिपी बनाने के लिए सबसे पहले चिकन की टांगों को अच्छे से धो लें और किचन के तौलिये से थपथपा कर सुखा लें। एक छोटे कटोरे में नींबू का रस और नमक मिलाएं और मांस को नरम करने के लिए चिकन के टुकड़ों पर यह मिश्रण लगाएं। चिकन को 5 मिनट के लिए रख दें। अलग से एक दूसरे मिक्सिंग बाउल में अदरक लहसुन का पेस्ट, दही और कश्मीरी मिर्च पाउडर मिलाकर मुर्ग मसाला के लिए मैरिनेड बनाएं। इसमें चिकन डालें, ढककर कम से कम 30 मिनट के लिए मैरिनेट करें। धीमी आंच पर एक पैन गरम करें, सरसों का तेल डालें, चिकन को दालचीनी के साथ पैन में रखें। चिकन को दोनों तरफ से भूनें और इस प्रक्रिया में लगभग 10 मिनट का समय लगेगा। चिकन लेग्स के तल जाने के बाद उन्हें पैन से निकाल कर एक प्लेट पर रख दें जब प्याज पक जाए तो उसमें हल्दी पाउडर, लाल मिर्च पाउडर, जीरा पाउडर, गरम मसाला पाउडर और स्वादानुसार नमक सहित सभी मसाले डालें। सभी मसालों को अच्छी तरह मिल जाने तक भूनें। इसके बाद टमाटर प्यूरी और शहद डालें और मसालों के साथ अच्छी तरह मिला लें। चिकन के पैरों को वापस पैन में डालें और तब तक मिलाएँ जब तक कि सारा मसाला चिकन के पैरों पर अच्छी तरह न लग जाए। सुनिश्चित करें कि आँच धीमी हो और चिकन के पैरों को मसाले में 15 मिनट तक पकने दें। चिकन के पैरों को मसाले में नियमित अंतराल पर चलाते रहें ताकि यह सुनिश्चित हो सके कि चिकन जले नहीं। आंच बंद कर दें और बारीक कटा हरा धनिया से गार्निश करें। मुर्ग मसाला परोसने के लिए तैयार है। मुर्ग मसाला को फुल्के और तड़का रायता के साथ स्वादिष्ट भारतीय डिनर के लिए परोसें</v>
      </c>
      <c r="J734" s="3" t="s">
        <v>33914</v>
      </c>
      <c r="L734" s="1" t="s">
        <v>31003</v>
      </c>
    </row>
    <row r="735" spans="1:12" ht="409.6">
      <c r="A735" s="1" t="s">
        <v>33915</v>
      </c>
      <c r="B735" s="1" t="str">
        <f ca="1">IFERROR(__xludf.dummyfunction("IF(A735="""", """", GOOGLETRANSLATE(A735, ""en"", ""hi""))"),"पारंपरिक मठरी रेसिपी - उत्तर भारतीय नमकीन क्रैकर रेसिपी")</f>
        <v>पारंपरिक मठरी रेसिपी - उत्तर भारतीय नमकीन क्रैकर रेसिपी</v>
      </c>
      <c r="C735" s="1" t="s">
        <v>14281</v>
      </c>
      <c r="D735" s="1" t="s">
        <v>14198</v>
      </c>
      <c r="E735" s="1">
        <v>90</v>
      </c>
      <c r="F735" s="1" t="s">
        <v>33916</v>
      </c>
      <c r="G735" s="1" t="str">
        <f ca="1">IFERROR(__xludf.dummyfunction("IF(F735="""", """", GOOGLETRANSLATE(F735, ""en"", ""hi""))"),"1 कप विवत्ता मैदा, 2-1/2 बड़े चम्मच घी, नमक - स्वादानुसार, 1 छोटा चम्मच अजवाइन, 1 छोटा चम्मच साबुत काली मिर्च - दरदरा कुटी हुई, पानी - गूंथने के लिए, सूरजमुखी तेल - तलने के लिए")</f>
        <v>1 कप विवत्ता मैदा, 2-1/2 बड़े चम्मच घी, नमक - स्वादानुसार, 1 छोटा चम्मच अजवाइन, 1 छोटा चम्मच साबुत काली मिर्च - दरदरा कुटी हुई, पानी - गूंथने के लिए, सूरजमुखी तेल - तलने के लिए</v>
      </c>
      <c r="H735" s="1" t="s">
        <v>33917</v>
      </c>
      <c r="I735" s="4" t="str">
        <f ca="1">IFERROR(__xludf.dummyfunction("IF(H735="""", """", GOOGLETRANSLATE(H735, ""en"", ""hi""))"),"मठरी बनाने के लिए सभी सामग्री तैयार कर लें। एक मिक्सिंग बाउल लें, उसमें मैदा, घी, अजवाइन डालें और हाथों से अच्छी तरह मिलाएँ जब तक मिश्रण मोटे टुकड़ों जैसा न हो जाए। धीरे-धीरे पानी डालें और तब तक मिलाएँ जब तक आटा एक सख्त और नरम मठरी का आटा न बन जाए। मठरी क"&amp;"े आटे को हल्का गूंथ लें और वापस बाउल में डाल दें, इसे साफ नम कपड़े से ढक दें और आधे घंटे के लिए रख दें। मध्यम आँच पर तलने के लिए तेल गर्म करें। मठरी के आटे को बहुत छोटे भागों में बाँट लें। आपको लगभग 20 मठरी मिलेंगी। मठरी के आटे को 75 मिमी मोटाई या अपनी इच"&amp;"्छानुसार मोटाई में बेल लें। तलते समय मठरी को फूलने से बचाने के लिए कांटे की मदद से उनमें छेद करें। मठरी के आटे को गरम तेल में डालें
")</f>
        <v xml:space="preserve">मठरी बनाने के लिए सभी सामग्री तैयार कर लें। एक मिक्सिंग बाउल लें, उसमें मैदा, घी, अजवाइन डालें और हाथों से अच्छी तरह मिलाएँ जब तक मिश्रण मोटे टुकड़ों जैसा न हो जाए। धीरे-धीरे पानी डालें और तब तक मिलाएँ जब तक आटा एक सख्त और नरम मठरी का आटा न बन जाए। मठरी के आटे को हल्का गूंथ लें और वापस बाउल में डाल दें, इसे साफ नम कपड़े से ढक दें और आधे घंटे के लिए रख दें। मध्यम आँच पर तलने के लिए तेल गर्म करें। मठरी के आटे को बहुत छोटे भागों में बाँट लें। आपको लगभग 20 मठरी मिलेंगी। मठरी के आटे को 75 मिमी मोटाई या अपनी इच्छानुसार मोटाई में बेल लें। तलते समय मठरी को फूलने से बचाने के लिए कांटे की मदद से उनमें छेद करें। मठरी के आटे को गरम तेल में डालें
</v>
      </c>
      <c r="J735" s="3" t="s">
        <v>33918</v>
      </c>
      <c r="L735" s="1" t="s">
        <v>31003</v>
      </c>
    </row>
    <row r="736" spans="1:12" ht="13.8">
      <c r="A736" s="1" t="s">
        <v>33919</v>
      </c>
      <c r="B736" s="1" t="str">
        <f ca="1">IFERROR(__xludf.dummyfunction("IF(A736="""", """", GOOGLETRANSLATE(A736, ""en"", ""hi""))"),"मटर समोसा चाट रेसिपी - शाम की चाय के समय का स्वादिष्ट नाश्ता")</f>
        <v>मटर समोसा चाट रेसिपी - शाम की चाय के समय का स्वादिष्ट नाश्ता</v>
      </c>
      <c r="C736" s="1" t="s">
        <v>14281</v>
      </c>
      <c r="D736" s="1" t="s">
        <v>14198</v>
      </c>
      <c r="E736" s="1">
        <v>90</v>
      </c>
      <c r="F736" s="1" t="s">
        <v>33920</v>
      </c>
      <c r="G736" s="1" t="str">
        <f ca="1">IFERROR(__xludf.dummyfunction("IF(F736="""", """", GOOGLETRANSLATE(F736, ""en"", ""hi""))"),"1 कप सूखी हरी मटर (वटाना) - 8 घंटे भिगोई हुई, 1 चम्मच कलौंजी, 1 इंच अदरक - बारीक कटा हुआ, 1 प्याज - बारीक कटा हुआ, 1 टमाटर - बारीक कटा हुआ, 2 हरी मिर्च - बारीक कटी हुई, 1/2 चम्मच हल्दी पाउडर, 1 चम्मच चाट मसाला पाउडर, 1/2 चम्मच गरम मसाला पाउडर, 1 चम्मच आमच"&amp;"ूर, नमक - स्वादानुसार, 8 पंजाबी आलू समोसे, 4 बड़े चम्मच मीठी चटनी (खजूर और इमली), 4 बड़े चम्मच हरी चटनी (धनिया और पुदीना), 1/4 कप सेव - भुजिया, 1 प्याज - बारीक कटा हुआ, 1/4 कप ताजे अनार के फल की गिरी")</f>
        <v>1 कप सूखी हरी मटर (वटाना) - 8 घंटे भिगोई हुई, 1 चम्मच कलौंजी, 1 इंच अदरक - बारीक कटा हुआ, 1 प्याज - बारीक कटा हुआ, 1 टमाटर - बारीक कटा हुआ, 2 हरी मिर्च - बारीक कटी हुई, 1/2 चम्मच हल्दी पाउडर, 1 चम्मच चाट मसाला पाउडर, 1/2 चम्मच गरम मसाला पाउडर, 1 चम्मच आमचूर, नमक - स्वादानुसार, 8 पंजाबी आलू समोसे, 4 बड़े चम्मच मीठी चटनी (खजूर और इमली), 4 बड़े चम्मच हरी चटनी (धनिया और पुदीना), 1/4 कप सेव - भुजिया, 1 प्याज - बारीक कटा हुआ, 1/4 कप ताजे अनार के फल की गिरी</v>
      </c>
      <c r="H736" s="1" t="s">
        <v>33921</v>
      </c>
      <c r="I736" s="1" t="str">
        <f ca="1">IFERROR(__xludf.dummyfunction("IF(H736="""", """", GOOGLETRANSLATE(H736, ""en"", ""hi""))"),"मटर समोसा चाट रेसिपी बनाने के लिए सबसे पहले सभी सामग्री तैयार कर लें। भीगे हुए मटर को चुटकी भर नमक के साथ प्रेशर कुक करके लगभग 6 से 8 सीटी आने तक पकाएं और आंच बंद कर दें। मटर को अच्छी तरह पकने में लगभग 30 मिनट का समय लगेगा। प्रेशर को अपने आप निकलने दें। ह"&amp;"ो जाने के बाद हम अब मटर मसाला बनाएंगे। एक सॉस पैन में मध्यम आंच पर तेल गर्म करें, उसमें कलौंजी डालें और तड़कने दें। इसमें प्याज, अदरक, हरी मिर्च डालें और प्याज के नरम होने तक भूनें। नरम होने के बाद इसमें टमाटर डालें और गूदेदार होने तक भूनें। हो जाने के बा"&amp;"द इसमें हल्दी पाउडर, चाट मसाला पाउडर, गरम मसाला पाउडर और अमचूर पाउडर डालकर चलाएं। इसमें पकी हुई मटर डालें और अच्छी तरह मिलाएं। समोसा चाट के लिए मटर मसाले का गाढ़ापन ठीक करने के लिए इसमें थोड़ा पानी मिलाएं। स्वाद चखें और मसालों को उसी के अनुसार कम या ज्याद"&amp;"ा करें। एक बार हो जाने पर मटर मसाला को अलग रख दें। पंजाबी समोसा रेसिपी पाने के लिए यहां क्लिक करें, इन्हें बनाएं और अलग रख दें। चटनी भी तैयार कर लें। प्रत्येक समोसे को 2-3 भागों में तोड़ लें और अपने हाथ की हथेली से हल्के से मसल लें। एक बड़ी प्लेट में, नीच"&amp;"े मटर मसाला डालें, समोसों को व्यवस्थित करें और उन्हें खजूर इमली की चटनी और हरे धनिया की चटनी के साथ छिड़कें। लाल मिर्च पाउडर (अगर इस्तेमाल कर रहे हैं), चाट मसाला पाउडर और जीरा पाउडर छिड़कें। फेंटे हुए दही में थोड़ा नमक मिलाएं और उसे भी मटर समोसा चाट के ऊप"&amp;"र छिड़कें। अंत में मटर समोसा चाट के ऊपर भुजिया सेव और कटे हुए प्याज डालें और परोसें। मटर समोसा चाट को शाम की चाय के समय के नाश्ते के रूप में या अपनी चाट पार्टियों के लिए ऐपेटाइज़र के रूप में घर के बने वड़ा पाव और छाछ दही वड़ा रेसिपी के साथ परोसें।")</f>
        <v>मटर समोसा चाट रेसिपी बनाने के लिए सबसे पहले सभी सामग्री तैयार कर लें। भीगे हुए मटर को चुटकी भर नमक के साथ प्रेशर कुक करके लगभग 6 से 8 सीटी आने तक पकाएं और आंच बंद कर दें। मटर को अच्छी तरह पकने में लगभग 30 मिनट का समय लगेगा। प्रेशर को अपने आप निकलने दें। हो जाने के बाद हम अब मटर मसाला बनाएंगे। एक सॉस पैन में मध्यम आंच पर तेल गर्म करें, उसमें कलौंजी डालें और तड़कने दें। इसमें प्याज, अदरक, हरी मिर्च डालें और प्याज के नरम होने तक भूनें। नरम होने के बाद इसमें टमाटर डालें और गूदेदार होने तक भूनें। हो जाने के बाद इसमें हल्दी पाउडर, चाट मसाला पाउडर, गरम मसाला पाउडर और अमचूर पाउडर डालकर चलाएं। इसमें पकी हुई मटर डालें और अच्छी तरह मिलाएं। समोसा चाट के लिए मटर मसाले का गाढ़ापन ठीक करने के लिए इसमें थोड़ा पानी मिलाएं। स्वाद चखें और मसालों को उसी के अनुसार कम या ज्यादा करें। एक बार हो जाने पर मटर मसाला को अलग रख दें। पंजाबी समोसा रेसिपी पाने के लिए यहां क्लिक करें, इन्हें बनाएं और अलग रख दें। चटनी भी तैयार कर लें। प्रत्येक समोसे को 2-3 भागों में तोड़ लें और अपने हाथ की हथेली से हल्के से मसल लें। एक बड़ी प्लेट में, नीचे मटर मसाला डालें, समोसों को व्यवस्थित करें और उन्हें खजूर इमली की चटनी और हरे धनिया की चटनी के साथ छिड़कें। लाल मिर्च पाउडर (अगर इस्तेमाल कर रहे हैं), चाट मसाला पाउडर और जीरा पाउडर छिड़कें। फेंटे हुए दही में थोड़ा नमक मिलाएं और उसे भी मटर समोसा चाट के ऊपर छिड़कें। अंत में मटर समोसा चाट के ऊपर भुजिया सेव और कटे हुए प्याज डालें और परोसें। मटर समोसा चाट को शाम की चाय के समय के नाश्ते के रूप में या अपनी चाट पार्टियों के लिए ऐपेटाइज़र के रूप में घर के बने वड़ा पाव और छाछ दही वड़ा रेसिपी के साथ परोसें।</v>
      </c>
      <c r="J736" s="3" t="s">
        <v>33922</v>
      </c>
      <c r="L736" s="1" t="s">
        <v>31003</v>
      </c>
    </row>
    <row r="737" spans="1:12" ht="13.8">
      <c r="A737" s="1" t="s">
        <v>33923</v>
      </c>
      <c r="B737" s="1" t="str">
        <f ca="1">IFERROR(__xludf.dummyfunction("IF(A737="""", """", GOOGLETRANSLATE(A737, ""en"", ""hi""))"),"कद्दू शिमला मिर्च सब्जी")</f>
        <v>कद्दू शिमला मिर्च सब्जी</v>
      </c>
      <c r="C737" s="1" t="s">
        <v>145</v>
      </c>
      <c r="D737" s="1" t="s">
        <v>14198</v>
      </c>
      <c r="E737" s="1">
        <v>45</v>
      </c>
      <c r="F737" s="1" t="s">
        <v>33924</v>
      </c>
      <c r="G737" s="1" t="str">
        <f ca="1">IFERROR(__xludf.dummyfunction("IF(F737="""", """", GOOGLETRANSLATE(F737, ""en"", ""hi""))"),"1 किलो कद्दू, 2 टमाटर - कटे हुए, 1 शिमला मिर्च (हरी) - कटी हुई, 1 हरी मिर्च - बारीक कटी हुई, 1/2 चम्मच राई, 1 चम्मच जीरा, 1/4 चम्मच मेथी दाना, 1 चम्मच हल्दी पाउडर, 1 चम्मच सांबर पाउडर, 1 बड़ा चम्मच गुड़, 1 चम्मच तेल, नमक - स्वादानुसार")</f>
        <v>1 किलो कद्दू, 2 टमाटर - कटे हुए, 1 शिमला मिर्च (हरी) - कटी हुई, 1 हरी मिर्च - बारीक कटी हुई, 1/2 चम्मच राई, 1 चम्मच जीरा, 1/4 चम्मच मेथी दाना, 1 चम्मच हल्दी पाउडर, 1 चम्मच सांबर पाउडर, 1 बड़ा चम्मच गुड़, 1 चम्मच तेल, नमक - स्वादानुसार</v>
      </c>
      <c r="H737" s="1" t="s">
        <v>33925</v>
      </c>
      <c r="I737" s="1" t="str">
        <f ca="1">IFERROR(__xludf.dummyfunction("IF(H737="""", """", GOOGLETRANSLATE(H737, ""en"", ""hi""))"),"कद्दू शिमला मिर्च की सब्जी बनाने के लिए सबसे पहले एक पैन में तेल गर्म करें। इसमें राई, जीरा और मेथी दाना डालें। इसे 10 सेकंड तक पकने दें। 10 सेकंड बाद इसमें हरी मिर्च, शिमला मिर्च डालें और 2 से 3 मिनट तक पकने दें। अब इसमें हल्दी पाउडर, लाल मिर्च पाउडर, टम"&amp;"ाटर, कद्दू, सांभर पाउडर, नमक और गुड़ डालें। मिक्स करें और 2 मिनट तक पकने दें। कद्दू को पकने दें। पकने के बाद गैस बंद कर दें और धनिया पत्ती से गार्निश करें। कद्दू शिमला मिर्च की सब्जी को फाल्गुनी दाल और तवा पराठे के साथ सर्व करें।")</f>
        <v>कद्दू शिमला मिर्च की सब्जी बनाने के लिए सबसे पहले एक पैन में तेल गर्म करें। इसमें राई, जीरा और मेथी दाना डालें। इसे 10 सेकंड तक पकने दें। 10 सेकंड बाद इसमें हरी मिर्च, शिमला मिर्च डालें और 2 से 3 मिनट तक पकने दें। अब इसमें हल्दी पाउडर, लाल मिर्च पाउडर, टमाटर, कद्दू, सांभर पाउडर, नमक और गुड़ डालें। मिक्स करें और 2 मिनट तक पकने दें। कद्दू को पकने दें। पकने के बाद गैस बंद कर दें और धनिया पत्ती से गार्निश करें। कद्दू शिमला मिर्च की सब्जी को फाल्गुनी दाल और तवा पराठे के साथ सर्व करें।</v>
      </c>
      <c r="J737" s="3" t="s">
        <v>33926</v>
      </c>
      <c r="L737" s="1" t="s">
        <v>31003</v>
      </c>
    </row>
    <row r="738" spans="1:12" ht="13.8">
      <c r="A738" s="1" t="s">
        <v>31829</v>
      </c>
      <c r="B738" s="1" t="str">
        <f ca="1">IFERROR(__xludf.dummyfunction("IF(A738="""", """", GOOGLETRANSLATE(A738, ""en"", ""hi""))"),"दही अचारी भिंडी रेसिपी")</f>
        <v>दही अचारी भिंडी रेसिपी</v>
      </c>
      <c r="C738" s="1" t="s">
        <v>14207</v>
      </c>
      <c r="D738" s="1" t="s">
        <v>14198</v>
      </c>
      <c r="E738" s="1">
        <v>55</v>
      </c>
      <c r="F738" s="1" t="s">
        <v>33927</v>
      </c>
      <c r="G738" s="1" t="str">
        <f ca="1">IFERROR(__xludf.dummyfunction("IF(F738="""", """", GOOGLETRANSLATE(F738, ""en"", ""hi""))"),"500 ग्राम भिंडी - बारीक कटी हुई, 1 प्याज - कटा हुआ, 1 टमाटर - कटा हुआ, 1 इंच अदरक - कटा हुआ, 1 चम्मच लाल मिर्च पाउडर, 1/2 चम्मच हल्दी पाउडर, 1 चम्मच धनिया पाउडर, 1 कप दही, 1 बड़ा चम्मच बेसन, 1 चम्मच सौंफ, 1 चम्मच जीरा, 1 चम्मच कलौंजी, 1 चम्मच सरसों के बीज"&amp;", 1 चम्मच अजवाइन")</f>
        <v>500 ग्राम भिंडी - बारीक कटी हुई, 1 प्याज - कटा हुआ, 1 टमाटर - कटा हुआ, 1 इंच अदरक - कटा हुआ, 1 चम्मच लाल मिर्च पाउडर, 1/2 चम्मच हल्दी पाउडर, 1 चम्मच धनिया पाउडर, 1 कप दही, 1 बड़ा चम्मच बेसन, 1 चम्मच सौंफ, 1 चम्मच जीरा, 1 चम्मच कलौंजी, 1 चम्मच सरसों के बीज, 1 चम्मच अजवाइन</v>
      </c>
      <c r="H738" s="1" t="s">
        <v>33928</v>
      </c>
      <c r="I738" s="1" t="str">
        <f ca="1">IFERROR(__xludf.dummyfunction("IF(H738="""", """", GOOGLETRANSLATE(H738, ""en"", ""hi""))"),"दही अचारी भिन्डी रेसिपी बनाने के लिए सबसे पहले हम अचारी मसाला बनाएंगे। अचारी मसाला के लिए मैरिनेड तैयार करने के लिए एक पैन में राई, जीरा, सौंफ, कलौंजी, अजवायन, मेथी दाना और सूखी लाल मिर्च डालें। मसाले और मिर्च को मध्यम आंच पर महक आने और हल्का भूरा होने तक"&amp;" भून लें। आंच बंद कर दें। मसालों को मिक्सर के जार में डालें और दरदरा पीस लें। अचारी पाउडर को एक तरफ रख दें। भिन्डी को धोकर साफ कर लें। भिन्डी को सूखने तक पेपर टॉवल या किचन टॉवल से पोंछ लें। ऐसा इसलिए किया जाता है ताकि यह सुनिश्चित किया जा सके कि भिन्डी पक"&amp;"ाते समय गूदेदार न हो जाए। इन्हें छोटे टुकड़ों में काट लें और एक तरफ रख दें। एक कड़ाही में तेल गरम करें और कटी हुई भिन्डी डालें अब इसमें कटा हुआ अदरक डालें और सुनहरा होने तक भूनें। टमाटर डालें और नमक छिड़कें ताकि वे थोड़े गूदेदार हो जाएं। अब हल्दी पाउडर, ध"&amp;"निया पाउडर, लाल मिर्च पाउडर और अचारी मसाला डालें। टमाटर के नरम होने तक भूनें। दही और बेसन को एक साथ फेंटें। पैन में डालें और तब तक पकाएं जब तक दही अच्छी तरह मिल न जाए और गाढ़ा न हो जाए। भूनी हुई भिंडी और अपने स्वादानुसार नमक डालें और ढक्कन बंद करके धीमी आ"&amp;"ंच पर भिंडी को धीमी आंच पर पकाएं। जब दही अचारी भिंडी ने सारा स्वाद सोख लिया हो, तो आंच बंद कर दें और ताजा कटा हरा धनिया से गार्निश करें। दही अचारी भिंडी रेसिपी को फुल्का या मेथी लच्छा पराठा और बूंदी रायता के साथ दिन के खाने के लिए परोसें।")</f>
        <v>दही अचारी भिन्डी रेसिपी बनाने के लिए सबसे पहले हम अचारी मसाला बनाएंगे। अचारी मसाला के लिए मैरिनेड तैयार करने के लिए एक पैन में राई, जीरा, सौंफ, कलौंजी, अजवायन, मेथी दाना और सूखी लाल मिर्च डालें। मसाले और मिर्च को मध्यम आंच पर महक आने और हल्का भूरा होने तक भून लें। आंच बंद कर दें। मसालों को मिक्सर के जार में डालें और दरदरा पीस लें। अचारी पाउडर को एक तरफ रख दें। भिन्डी को धोकर साफ कर लें। भिन्डी को सूखने तक पेपर टॉवल या किचन टॉवल से पोंछ लें। ऐसा इसलिए किया जाता है ताकि यह सुनिश्चित किया जा सके कि भिन्डी पकाते समय गूदेदार न हो जाए। इन्हें छोटे टुकड़ों में काट लें और एक तरफ रख दें। एक कड़ाही में तेल गरम करें और कटी हुई भिन्डी डालें अब इसमें कटा हुआ अदरक डालें और सुनहरा होने तक भूनें। टमाटर डालें और नमक छिड़कें ताकि वे थोड़े गूदेदार हो जाएं। अब हल्दी पाउडर, धनिया पाउडर, लाल मिर्च पाउडर और अचारी मसाला डालें। टमाटर के नरम होने तक भूनें। दही और बेसन को एक साथ फेंटें। पैन में डालें और तब तक पकाएं जब तक दही अच्छी तरह मिल न जाए और गाढ़ा न हो जाए। भूनी हुई भिंडी और अपने स्वादानुसार नमक डालें और ढक्कन बंद करके धीमी आंच पर भिंडी को धीमी आंच पर पकाएं। जब दही अचारी भिंडी ने सारा स्वाद सोख लिया हो, तो आंच बंद कर दें और ताजा कटा हरा धनिया से गार्निश करें। दही अचारी भिंडी रेसिपी को फुल्का या मेथी लच्छा पराठा और बूंदी रायता के साथ दिन के खाने के लिए परोसें।</v>
      </c>
      <c r="J738" s="3" t="s">
        <v>33929</v>
      </c>
      <c r="L738" s="1" t="s">
        <v>31003</v>
      </c>
    </row>
    <row r="739" spans="1:12" ht="13.8">
      <c r="A739" s="1" t="s">
        <v>33930</v>
      </c>
      <c r="B739" s="1" t="str">
        <f ca="1">IFERROR(__xludf.dummyfunction("IF(A739="""", """", GOOGLETRANSLATE(A739, ""en"", ""hi""))"),"सुरती ज्वार वड़ा")</f>
        <v>सुरती ज्वार वड़ा</v>
      </c>
      <c r="C739" s="1" t="s">
        <v>14281</v>
      </c>
      <c r="D739" s="1" t="s">
        <v>15102</v>
      </c>
      <c r="E739" s="1">
        <v>95</v>
      </c>
      <c r="F739" s="1" t="s">
        <v>33931</v>
      </c>
      <c r="G739" s="1" t="str">
        <f ca="1">IFERROR(__xludf.dummyfunction("IF(F739="""", """", GOOGLETRANSLATE(F739, ""en"", ""hi""))"),"1 कप ज्वार का आटा, 1/2 कप बेसन, 1 इंच अदरक - कटा हुआ, 4 लहसुन की कलियां - कटी हुई, 1 चम्मच लाल मिर्च पाउडर, 1/2 चम्मच हल्दी पाउडर, 1 कप दही, नमक - स्वादानुसार, 3 चम्मच तिल (सफ़ेद), तेल")</f>
        <v>1 कप ज्वार का आटा, 1/2 कप बेसन, 1 इंच अदरक - कटा हुआ, 4 लहसुन की कलियां - कटी हुई, 1 चम्मच लाल मिर्च पाउडर, 1/2 चम्मच हल्दी पाउडर, 1 कप दही, नमक - स्वादानुसार, 3 चम्मच तिल (सफ़ेद), तेल</v>
      </c>
      <c r="H739" s="1" t="s">
        <v>33932</v>
      </c>
      <c r="I739" s="1" t="str">
        <f ca="1">IFERROR(__xludf.dummyfunction("IF(H739="""", """", GOOGLETRANSLATE(H739, ""en"", ""hi""))"),"""सूरती ज्वार वड़ा बनाने के लिए सबसे पहले एक बर्तन में ज्वार का आटा, बेसन, अदरक, लहसुन, लाल मिर्च पाउडर, हल्दी पाउडर, दही, नमक और तिल लें। सभी चीजों को अच्छे से मिला लें और गाढ़ा घोल बना लें। इस घोल को 1 घंटे के लिए अलग रख दें। 1 घंटे के बाद, एक पनियारम प"&amp;"ैन गरम करें और प्रत्येक स्कूप में तेल डालें। प्रत्येक स्कूप में तैयार घोल डालें। पैन को ढक दें और पकने दें। थोड़ा और तेल डालें और दोनों तरफ से अच्छी तरह से पकाएँ। पकने के बाद, पैन से निकालें और गरमागरम परोसें। शाम के नाश्ते के लिए सूरती ज्वार वड़ा को धनिय"&amp;"ा पुदीने की चटनी और मसाला चाय के साथ परोसें।""")</f>
        <v>"सूरती ज्वार वड़ा बनाने के लिए सबसे पहले एक बर्तन में ज्वार का आटा, बेसन, अदरक, लहसुन, लाल मिर्च पाउडर, हल्दी पाउडर, दही, नमक और तिल लें। सभी चीजों को अच्छे से मिला लें और गाढ़ा घोल बना लें। इस घोल को 1 घंटे के लिए अलग रख दें। 1 घंटे के बाद, एक पनियारम पैन गरम करें और प्रत्येक स्कूप में तेल डालें। प्रत्येक स्कूप में तैयार घोल डालें। पैन को ढक दें और पकने दें। थोड़ा और तेल डालें और दोनों तरफ से अच्छी तरह से पकाएँ। पकने के बाद, पैन से निकालें और गरमागरम परोसें। शाम के नाश्ते के लिए सूरती ज्वार वड़ा को धनिया पुदीने की चटनी और मसाला चाय के साथ परोसें।"</v>
      </c>
      <c r="J739" s="3" t="s">
        <v>33933</v>
      </c>
      <c r="L739" s="1" t="s">
        <v>31003</v>
      </c>
    </row>
    <row r="740" spans="1:12" ht="13.8">
      <c r="A740" s="1" t="s">
        <v>33934</v>
      </c>
      <c r="B740" s="1" t="str">
        <f ca="1">IFERROR(__xludf.dummyfunction("IF(A740="""", """", GOOGLETRANSLATE(A740, ""en"", ""hi""))"),"मेथी मुर्ग रेसिपी - मेथी के पत्तों के साथ चिकन")</f>
        <v>मेथी मुर्ग रेसिपी - मेथी के पत्तों के साथ चिकन</v>
      </c>
      <c r="C740" s="1" t="s">
        <v>145</v>
      </c>
      <c r="D740" s="1" t="s">
        <v>14367</v>
      </c>
      <c r="E740" s="1">
        <v>55</v>
      </c>
      <c r="F740" s="1" t="s">
        <v>33935</v>
      </c>
      <c r="G740" s="1" t="str">
        <f ca="1">IFERROR(__xludf.dummyfunction("IF(F740="""", """", GOOGLETRANSLATE(F740, ""en"", ""hi""))"),"200 ग्राम चिकन - हड्डियों के साथ, 1 कप मेथी के पत्ते (मेथी के पत्ते) - धुले हुए, 2 प्याज - कटे हुए, 2 टमाटर - कटे हुए, 2 लहसुन के दाने - कुचले हुए, 1 इंच अदरक - कटा हुआ, 1 चम्मच सौंफ, 1 इंच दालचीनी, 1 चम्मच साबुत काली मिर्च, 2 चम्मच लाल मिर्च पाउडर, 1/2 च"&amp;"म्मच हल्दी पाउडर, 2 चम्मच गरम मसाला पाउडर, 1 चम्मच जीरा पाउडर (जीरा), नमक - स्वादानुसार, सूरजमुखी तेल - आवश्यकतानुसार")</f>
        <v>200 ग्राम चिकन - हड्डियों के साथ, 1 कप मेथी के पत्ते (मेथी के पत्ते) - धुले हुए, 2 प्याज - कटे हुए, 2 टमाटर - कटे हुए, 2 लहसुन के दाने - कुचले हुए, 1 इंच अदरक - कटा हुआ, 1 चम्मच सौंफ, 1 इंच दालचीनी, 1 चम्मच साबुत काली मिर्च, 2 चम्मच लाल मिर्च पाउडर, 1/2 चम्मच हल्दी पाउडर, 2 चम्मच गरम मसाला पाउडर, 1 चम्मच जीरा पाउडर (जीरा), नमक - स्वादानुसार, सूरजमुखी तेल - आवश्यकतानुसार</v>
      </c>
      <c r="H740" s="1" t="s">
        <v>33936</v>
      </c>
      <c r="I740" s="1" t="str">
        <f ca="1">IFERROR(__xludf.dummyfunction("IF(H740="""", """", GOOGLETRANSLATE(H740, ""en"", ""hi""))"),"मेथी मुर्ग रेसिपी बनाने के लिए सबसे पहले हम एक भारी तले की कड़ाही में तेल गर्म करेंगे। इसमें दालचीनी, शाही जीरा और काली मिर्च डालकर कुछ सेकंड के लिए फूटने दें। इसमें अदरक और लहसुन डालें और नरम होने तक पकाएं। इसमें लगभग 2 मिनट का समय लगेगा। इसमें कटे हुए प"&amp;"्याज डालें और सुनहरा भूरा होने तक भूनें। इसमें टमाटर डालें और थोड़ा नमक छिड़कें और नरम होने तक पकाएं। इसमें धुले और साफ किए हुए चिकन के टुकड़े, हल्दी पाउडर, गरम मसाला पाउडर, जीरा पाउडर, लाल मिर्च पाउडर डालें और लगभग 8 से 10 मिनट तक पकने दें। इसमें साफ की "&amp;"हुई मेथी के पत्ते डालें और लगभग 1/2 कप पानी डालें, ढक्कन से ढक दें और चिकन को कुछ और समय के लिए पकने दें। ढक्कन खोलें और तब तक पकाते रहें जब तक कि पानी सूख न जाए और आपके पास एक गाढ़ी ग्रेवी न रह जाए")</f>
        <v>मेथी मुर्ग रेसिपी बनाने के लिए सबसे पहले हम एक भारी तले की कड़ाही में तेल गर्म करेंगे। इसमें दालचीनी, शाही जीरा और काली मिर्च डालकर कुछ सेकंड के लिए फूटने दें। इसमें अदरक और लहसुन डालें और नरम होने तक पकाएं। इसमें लगभग 2 मिनट का समय लगेगा। इसमें कटे हुए प्याज डालें और सुनहरा भूरा होने तक भूनें। इसमें टमाटर डालें और थोड़ा नमक छिड़कें और नरम होने तक पकाएं। इसमें धुले और साफ किए हुए चिकन के टुकड़े, हल्दी पाउडर, गरम मसाला पाउडर, जीरा पाउडर, लाल मिर्च पाउडर डालें और लगभग 8 से 10 मिनट तक पकने दें। इसमें साफ की हुई मेथी के पत्ते डालें और लगभग 1/2 कप पानी डालें, ढक्कन से ढक दें और चिकन को कुछ और समय के लिए पकने दें। ढक्कन खोलें और तब तक पकाते रहें जब तक कि पानी सूख न जाए और आपके पास एक गाढ़ी ग्रेवी न रह जाए</v>
      </c>
      <c r="J740" s="3" t="s">
        <v>33937</v>
      </c>
      <c r="L740" s="1" t="s">
        <v>31003</v>
      </c>
    </row>
    <row r="741" spans="1:12" ht="13.8">
      <c r="A741" s="1" t="s">
        <v>32310</v>
      </c>
      <c r="B741" s="1" t="str">
        <f ca="1">IFERROR(__xludf.dummyfunction("IF(A741="""", """", GOOGLETRANSLATE(A741, ""en"", ""hi""))"),"मसालेदार चना चाट फ्रेंकी रेसिपी")</f>
        <v>मसालेदार चना चाट फ्रेंकी रेसिपी</v>
      </c>
      <c r="C741" s="1" t="s">
        <v>14281</v>
      </c>
      <c r="D741" s="1" t="s">
        <v>14198</v>
      </c>
      <c r="E741" s="1">
        <v>55</v>
      </c>
      <c r="F741" s="1" t="s">
        <v>33938</v>
      </c>
      <c r="G741" s="1" t="str">
        <f ca="1">IFERROR(__xludf.dummyfunction("IF(F741="""", """", GOOGLETRANSLATE(F741, ""en"", ""hi""))"),"1 कप गेहूं का आटा, नमक - स्वादानुसार, पानी - आवश्यकतानुसार, 1 कप चने या छोले - रातभर भिगोकर उबाल लें, 1 इंच अदरक - काट लें, 4 लंबे लहसुन - कद्दूकस कर लें, 1 बड़ा चम्मच लाल मिर्च पाउडर, 1 छोटा चम्मच हल्दी पाउडर, 2 बड़े चम्मच जीरा पाउडर, 2 बड़े चम्मच चाट मस"&amp;"ाला पाउडर, 1 छोटा चम्मच चीनी, नमक - स्वादानुसार, 1 प्याज - काट लें, 1 टमाटर - काट लें, 1 हरी मिर्च - काट लें, 2 टहनी धनिया पत्ती - काट लें")</f>
        <v>1 कप गेहूं का आटा, नमक - स्वादानुसार, पानी - आवश्यकतानुसार, 1 कप चने या छोले - रातभर भिगोकर उबाल लें, 1 इंच अदरक - काट लें, 4 लंबे लहसुन - कद्दूकस कर लें, 1 बड़ा चम्मच लाल मिर्च पाउडर, 1 छोटा चम्मच हल्दी पाउडर, 2 बड़े चम्मच जीरा पाउडर, 2 बड़े चम्मच चाट मसाला पाउडर, 1 छोटा चम्मच चीनी, नमक - स्वादानुसार, 1 प्याज - काट लें, 1 टमाटर - काट लें, 1 हरी मिर्च - काट लें, 2 टहनी धनिया पत्ती - काट लें</v>
      </c>
      <c r="H741" s="1" t="s">
        <v>33939</v>
      </c>
      <c r="I741" s="1" t="str">
        <f ca="1">IFERROR(__xludf.dummyfunction("IF(H741="""", """", GOOGLETRANSLATE(H741, ""en"", ""hi""))"),"चना चाट रोल रेसिपी बनाने के लिए सबसे पहले छोले को रात भर पानी में भिगोकर रख दें। अब छोले को प्रेशर कुकर में पानी के साथ डालकर 30 मिनट तक पकाएं। प्रेशर निकलने दें और कुकर खोलकर छोले को अलग निकाल लें। 1 कप छोले का पानी अलग रख लें। एक सॉसपैन में तेल गर्म करे"&amp;"ं। उसमें लहसुन और अदरक डालकर 1 मिनट तक पकाएं। 1 मिनट पकाने के बाद उसमें छोले, लाल मिर्च पाउडर, हल्दी पाउडर, चाट मसाला पाउडर, जीरा पाउडर, चीनी और नमक डालें। सभी चीजों को अच्छे से मिला लें। इस समय इसमें 1 कप छोले का पानी डालें और पानी के सूखने तक पकाएं। गैस"&amp;" बंद कर दें और इसमें प्याज, टमाटर, हरी मिर्च और धनिया पत्ती डालें। इसे मिक्स करके अलग रख दें। पराठा बनाने के लिए सबसे पहले आटा गूंथ लें। अब एक मध्यम आकार की लोई बनाएं। इसे बेलकर पराठा बनाएं। इसे ज्यादा पतला न करें। अब पराठे को तवे पर डालें। थोड़ा घी डालकर"&amp;" दोनों तरफ से अच्छे से पकाएं। क्रिस्पी होने तक पकाएं। गैस से उतार लें और इसी तरह दूसरे पराठे भी बना लें। अब रोल बनाने के लिए एक पराठा लें और उस पर सरसों की चटनी लगाएँ। काबुली चना मसाला लें और इसे पराठे के एक तरफ रखें। इसे अच्छे से रोल करें और सर्व करें। श"&amp;"ाम के नाश्ते के लिए चना चाट रोल को धनिया पुदीना चटनी और फ़िल्टर कॉफ़ी के साथ परोसें। आप इसे अपने या अपने बच्चों के लंच बॉक्स में भी रख सकते हैं।")</f>
        <v>चना चाट रोल रेसिपी बनाने के लिए सबसे पहले छोले को रात भर पानी में भिगोकर रख दें। अब छोले को प्रेशर कुकर में पानी के साथ डालकर 30 मिनट तक पकाएं। प्रेशर निकलने दें और कुकर खोलकर छोले को अलग निकाल लें। 1 कप छोले का पानी अलग रख लें। एक सॉसपैन में तेल गर्म करें। उसमें लहसुन और अदरक डालकर 1 मिनट तक पकाएं। 1 मिनट पकाने के बाद उसमें छोले, लाल मिर्च पाउडर, हल्दी पाउडर, चाट मसाला पाउडर, जीरा पाउडर, चीनी और नमक डालें। सभी चीजों को अच्छे से मिला लें। इस समय इसमें 1 कप छोले का पानी डालें और पानी के सूखने तक पकाएं। गैस बंद कर दें और इसमें प्याज, टमाटर, हरी मिर्च और धनिया पत्ती डालें। इसे मिक्स करके अलग रख दें। पराठा बनाने के लिए सबसे पहले आटा गूंथ लें। अब एक मध्यम आकार की लोई बनाएं। इसे बेलकर पराठा बनाएं। इसे ज्यादा पतला न करें। अब पराठे को तवे पर डालें। थोड़ा घी डालकर दोनों तरफ से अच्छे से पकाएं। क्रिस्पी होने तक पकाएं। गैस से उतार लें और इसी तरह दूसरे पराठे भी बना लें। अब रोल बनाने के लिए एक पराठा लें और उस पर सरसों की चटनी लगाएँ। काबुली चना मसाला लें और इसे पराठे के एक तरफ रखें। इसे अच्छे से रोल करें और सर्व करें। शाम के नाश्ते के लिए चना चाट रोल को धनिया पुदीना चटनी और फ़िल्टर कॉफ़ी के साथ परोसें। आप इसे अपने या अपने बच्चों के लंच बॉक्स में भी रख सकते हैं।</v>
      </c>
      <c r="J741" s="3" t="s">
        <v>33940</v>
      </c>
      <c r="L741" s="1" t="s">
        <v>31003</v>
      </c>
    </row>
    <row r="742" spans="1:12" ht="13.8">
      <c r="A742" s="1" t="s">
        <v>33941</v>
      </c>
      <c r="B742" s="1" t="str">
        <f ca="1">IFERROR(__xludf.dummyfunction("IF(A742="""", """", GOOGLETRANSLATE(A742, ""en"", ""hi""))"),"कसूरी मेथी पनीर सब्ज़ी रेसिपी")</f>
        <v>कसूरी मेथी पनीर सब्ज़ी रेसिपी</v>
      </c>
      <c r="C742" s="1" t="s">
        <v>429</v>
      </c>
      <c r="D742" s="1" t="s">
        <v>14237</v>
      </c>
      <c r="E742" s="1">
        <v>35</v>
      </c>
      <c r="F742" s="1" t="s">
        <v>33942</v>
      </c>
      <c r="G742" s="1" t="str">
        <f ca="1">IFERROR(__xludf.dummyfunction("IF(F742="""", """", GOOGLETRANSLATE(F742, ""en"", ""hi""))"),"1 कप पनीर - टुकड़ों में कटा हुआ, 2 प्याज - बारीक कटा हुआ, 2 टमाटर - बारीक कटा हुआ, 1 चम्मच अदरक - बारीक कटा हुआ, 1 चम्मच लहसुन - बारीक कटा हुआ, 1 चम्मच हल्दी पाउडर, 1 चम्मच जीरा, 2 चम्मच लाल मिर्च पाउडर, 2-1/2 चम्मच गरम मसाला पाउडर, 2 बड़े चम्मच कसूरी मेथ"&amp;"ी, नमक - स्वादानुसार, सूरजमुखी तेल - आवश्यकतानुसार")</f>
        <v>1 कप पनीर - टुकड़ों में कटा हुआ, 2 प्याज - बारीक कटा हुआ, 2 टमाटर - बारीक कटा हुआ, 1 चम्मच अदरक - बारीक कटा हुआ, 1 चम्मच लहसुन - बारीक कटा हुआ, 1 चम्मच हल्दी पाउडर, 1 चम्मच जीरा, 2 चम्मच लाल मिर्च पाउडर, 2-1/2 चम्मच गरम मसाला पाउडर, 2 बड़े चम्मच कसूरी मेथी, नमक - स्वादानुसार, सूरजमुखी तेल - आवश्यकतानुसार</v>
      </c>
      <c r="H742" s="1" t="s">
        <v>33943</v>
      </c>
      <c r="I742" s="1" t="str">
        <f ca="1">IFERROR(__xludf.dummyfunction("IF(H742="""", """", GOOGLETRANSLATE(H742, ""en"", ""hi""))"),"कसूरी मेथी पनीर सब्ज़ी रेसिपी बनाने के लिए, एक नॉन-स्टिक स्टिर फ्राई पैन में खाना पकाने का तेल डालें और इसे मध्यम आँच पर गर्म करें। तेल गर्म हो जाए तो इसमें जीरा डालें और उन्हें तड़कने दें। फिर इसमें बारीक कटा हुआ प्याज डालें और पारदर्शी होने तक पकाएँ; टम"&amp;"ाटर डालें और उन्हें नरम और गूदेदार होने तक पकाएँ। मसाला पाउडर, लाल मिर्च पाउडर, गरम मसाला डालें और एक मिनट के लिए भूनें। मेथी के पत्तों को अपने हाथों से कुचलें और उन्हें पैन में अच्छी तरह से हिलाएं। आवश्यक मात्रा में नमक डालें। पनीर के टुकड़ों को पैन में "&amp;"मसालेदार मिश्रण में डालें। कसूरी मेथी पनीर सब्ज़ी को अच्छी तरह से मिलाएँ और लगभग 3 - 4 मिनट तक उबालें। पनीर डालने के बाद उसे बार-बार न भूनें, क्योंकि पनीर के टुकड़े टूट सकते हैं और उखड़ सकते हैं। आंच बंद कर दें और कसूरी मेथी पनीर सब्ज़ी को कटी हुई धनिया प"&amp;"त्ती से गार्निश करें। कसूरी मेथी पनीर सब्ज़ी को रोटी/फुल्का या चपाती/तवा पराठा के साथ परोसें। आप इसे पेशावरी छोले रेसिपी और सिंधी पुलाव रेसिपी से बने अपने पार्टी मील के स्टार्टर के तौर पर भी परोस सकते हैं।")</f>
        <v>कसूरी मेथी पनीर सब्ज़ी रेसिपी बनाने के लिए, एक नॉन-स्टिक स्टिर फ्राई पैन में खाना पकाने का तेल डालें और इसे मध्यम आँच पर गर्म करें। तेल गर्म हो जाए तो इसमें जीरा डालें और उन्हें तड़कने दें। फिर इसमें बारीक कटा हुआ प्याज डालें और पारदर्शी होने तक पकाएँ; टमाटर डालें और उन्हें नरम और गूदेदार होने तक पकाएँ। मसाला पाउडर, लाल मिर्च पाउडर, गरम मसाला डालें और एक मिनट के लिए भूनें। मेथी के पत्तों को अपने हाथों से कुचलें और उन्हें पैन में अच्छी तरह से हिलाएं। आवश्यक मात्रा में नमक डालें। पनीर के टुकड़ों को पैन में मसालेदार मिश्रण में डालें। कसूरी मेथी पनीर सब्ज़ी को अच्छी तरह से मिलाएँ और लगभग 3 - 4 मिनट तक उबालें। पनीर डालने के बाद उसे बार-बार न भूनें, क्योंकि पनीर के टुकड़े टूट सकते हैं और उखड़ सकते हैं। आंच बंद कर दें और कसूरी मेथी पनीर सब्ज़ी को कटी हुई धनिया पत्ती से गार्निश करें। कसूरी मेथी पनीर सब्ज़ी को रोटी/फुल्का या चपाती/तवा पराठा के साथ परोसें। आप इसे पेशावरी छोले रेसिपी और सिंधी पुलाव रेसिपी से बने अपने पार्टी मील के स्टार्टर के तौर पर भी परोस सकते हैं।</v>
      </c>
      <c r="J742" s="3" t="s">
        <v>33944</v>
      </c>
      <c r="L742" s="1" t="s">
        <v>31003</v>
      </c>
    </row>
    <row r="743" spans="1:12" ht="13.8">
      <c r="A743" s="1" t="s">
        <v>33945</v>
      </c>
      <c r="B743" s="1" t="str">
        <f ca="1">IFERROR(__xludf.dummyfunction("IF(A743="""", """", GOOGLETRANSLATE(A743, ""en"", ""hi""))"),"घर पर बनी कैनेप पापड़ी चाट रेसिपी")</f>
        <v>घर पर बनी कैनेप पापड़ी चाट रेसिपी</v>
      </c>
      <c r="C743" s="1" t="s">
        <v>14281</v>
      </c>
      <c r="D743" s="1" t="s">
        <v>14198</v>
      </c>
      <c r="E743" s="1">
        <v>70</v>
      </c>
      <c r="F743" s="1" t="s">
        <v>33946</v>
      </c>
      <c r="G743" s="1" t="str">
        <f ca="1">IFERROR(__xludf.dummyfunction("IF(F743="""", """", GOOGLETRANSLATE(F743, ""en"", ""hi""))"),"1 कप बेसन, 1 1/2 बड़ा चम्मच इंस्टेंट ओट्स (दलिया) - बारीक पिसा हुआ, 1 1/2 बड़ा चम्मच गेहूं का आटा, 1 बड़ा चम्मच कश्मीरी लाल मिर्च पाउडर, 1 बड़ा चम्मच सूरजमुखी तेल, 1/2 छोटा चम्मच खाना पकाने का सोडा, नमक - स्वादानुसार, पानी - आवश्यकतानुसार, 1/2 कप हरे मूंग"&amp;" अंकुरित, 1/2 कप चने अंकुरित, 1 प्याज - बारीक कटा हुआ, 1 टमाटर - बारीक कटा हुआ, 2 टहनी धनिया (धनिया) पत्तियां - बारीक कटी हुई, 2 बड़े चम्मच नींबू का रस, 1 छोटा चम्मच चाट मसाला पाउडर, 1 हरी मिर्च - बारीक कटी हुई, 1/4 कप सेव")</f>
        <v>1 कप बेसन, 1 1/2 बड़ा चम्मच इंस्टेंट ओट्स (दलिया) - बारीक पिसा हुआ, 1 1/2 बड़ा चम्मच गेहूं का आटा, 1 बड़ा चम्मच कश्मीरी लाल मिर्च पाउडर, 1 बड़ा चम्मच सूरजमुखी तेल, 1/2 छोटा चम्मच खाना पकाने का सोडा, नमक - स्वादानुसार, पानी - आवश्यकतानुसार, 1/2 कप हरे मूंग अंकुरित, 1/2 कप चने अंकुरित, 1 प्याज - बारीक कटा हुआ, 1 टमाटर - बारीक कटा हुआ, 2 टहनी धनिया (धनिया) पत्तियां - बारीक कटी हुई, 2 बड़े चम्मच नींबू का रस, 1 छोटा चम्मच चाट मसाला पाउडर, 1 हरी मिर्च - बारीक कटी हुई, 1/4 कप सेव</v>
      </c>
      <c r="H743" s="1" t="s">
        <v>33947</v>
      </c>
      <c r="I743" s="1" t="str">
        <f ca="1">IFERROR(__xludf.dummyfunction("IF(H743="""", """", GOOGLETRANSLATE(H743, ""en"", ""hi""))"),"होममेड कैनापे पापड़ी चाट रेसिपी बनाने के लिए सबसे पहले हम कैनापे पापड़ी बनाएंगे। एक बाउल में बेसन, ओट्स का आटा, गेहूं का आटा छान लें। उसमें लाल मिर्च पाउडर, नमक, तेल, कुकिंग सोडा डालें और तब तक मिलाएँ जब तक आटा चूर्ण न बन जाए। कैनापे पापड़ी के मिश्रण में "&amp;"थोड़ा-थोड़ा करके पानी डालते हुए नरम और सख्त आटा गूंथ लें। आटे को गीले कपड़े से ढँककर 30 मिनट के लिए रख दें। अच्छी तरह से रख देने के बाद, फिर से कुछ मिनट के लिए गूंथ लें। आटे का थोड़ा सा हिस्सा लें और इसे एक बॉल का आकार दें। एक साफ सतह पर गेहूं का आटा छिड़"&amp;"कें। बॉल को सतह पर रखें और इसे जितना हो सके पतला रोल करें। छोटे गोल आकार काट लें और उन्हें ग्रीस किए हुए टार्ट पैन पर किनारों से दबाते हुए रखें ओवन से निकालें, इसे कुछ देर के लिए ठंडा होने दें। फिर धीरे से टार्ट पैन से कैनपेस को बाहर निकालें। इन कैनपे पाप"&amp;"ड़ी कप को एयरटाइट कंटेनर में लगभग एक सप्ताह तक संग्रहीत किया जा सकता है। कैनपे पापड़ी चाट बनाने के लिए, 'चाट बनाने के लिए' सूची के तहत सेव को छोड़कर बताई गई सभी सामग्री को एक कटोरे में मिलाएँ। नमक और मसाला जाँचें और अपने स्वाद के अनुसार समायोजित करें। जब "&amp;"आप परोसने के लिए तैयार हों, तो चाट मिश्रण को कैनपे पापड़ी कप में डालें। ऊपर से कुछ सेव छिड़कें और तुरंत घर पर बनी कैनपे पापड़ी चाट परोसें। यदि आप चाहें तो इसे और अधिक स्वाद और सुगंध देने के लिए इसमें दही, हरी चटनी और मीठी चटनी भी मिला सकते हैं। खुबानी का "&amp;"मीठा रेसिपी (एक स्वादिष्ट हैदराबादी नवाबी मिठाई)")</f>
        <v>होममेड कैनापे पापड़ी चाट रेसिपी बनाने के लिए सबसे पहले हम कैनापे पापड़ी बनाएंगे। एक बाउल में बेसन, ओट्स का आटा, गेहूं का आटा छान लें। उसमें लाल मिर्च पाउडर, नमक, तेल, कुकिंग सोडा डालें और तब तक मिलाएँ जब तक आटा चूर्ण न बन जाए। कैनापे पापड़ी के मिश्रण में थोड़ा-थोड़ा करके पानी डालते हुए नरम और सख्त आटा गूंथ लें। आटे को गीले कपड़े से ढँककर 30 मिनट के लिए रख दें। अच्छी तरह से रख देने के बाद, फिर से कुछ मिनट के लिए गूंथ लें। आटे का थोड़ा सा हिस्सा लें और इसे एक बॉल का आकार दें। एक साफ सतह पर गेहूं का आटा छिड़कें। बॉल को सतह पर रखें और इसे जितना हो सके पतला रोल करें। छोटे गोल आकार काट लें और उन्हें ग्रीस किए हुए टार्ट पैन पर किनारों से दबाते हुए रखें ओवन से निकालें, इसे कुछ देर के लिए ठंडा होने दें। फिर धीरे से टार्ट पैन से कैनपेस को बाहर निकालें। इन कैनपे पापड़ी कप को एयरटाइट कंटेनर में लगभग एक सप्ताह तक संग्रहीत किया जा सकता है। कैनपे पापड़ी चाट बनाने के लिए, 'चाट बनाने के लिए' सूची के तहत सेव को छोड़कर बताई गई सभी सामग्री को एक कटोरे में मिलाएँ। नमक और मसाला जाँचें और अपने स्वाद के अनुसार समायोजित करें। जब आप परोसने के लिए तैयार हों, तो चाट मिश्रण को कैनपे पापड़ी कप में डालें। ऊपर से कुछ सेव छिड़कें और तुरंत घर पर बनी कैनपे पापड़ी चाट परोसें। यदि आप चाहें तो इसे और अधिक स्वाद और सुगंध देने के लिए इसमें दही, हरी चटनी और मीठी चटनी भी मिला सकते हैं। खुबानी का मीठा रेसिपी (एक स्वादिष्ट हैदराबादी नवाबी मिठाई)</v>
      </c>
      <c r="J743" s="3" t="s">
        <v>33948</v>
      </c>
      <c r="L743" s="1" t="s">
        <v>31003</v>
      </c>
    </row>
    <row r="744" spans="1:12" ht="13.8">
      <c r="A744" s="1" t="s">
        <v>33949</v>
      </c>
      <c r="B744" s="1" t="str">
        <f ca="1">IFERROR(__xludf.dummyfunction("IF(A744="""", """", GOOGLETRANSLATE(A744, ""en"", ""hi""))"),"चिकन चीज़ स्टफ्ड कुल्चा रेसिपी")</f>
        <v>चिकन चीज़ स्टफ्ड कुल्चा रेसिपी</v>
      </c>
      <c r="C744" s="1" t="s">
        <v>14207</v>
      </c>
      <c r="D744" s="1" t="s">
        <v>14382</v>
      </c>
      <c r="E744" s="1">
        <v>50</v>
      </c>
      <c r="F744" s="1" t="s">
        <v>33950</v>
      </c>
      <c r="G744" s="1" t="str">
        <f ca="1">IFERROR(__xludf.dummyfunction("IF(F744="""", """", GOOGLETRANSLATE(F744, ""en"", ""hi""))"),"250 ग्राम चिकन - बारीक कटा हुआ, 1 बड़ा चम्मच सूरजमुखी तेल, 2 लहसुन के दाने - बारीक कटा हुआ, 1 छोटा चम्मच लाल मिर्च पाउडर, 1 छोटा चम्मच जीरा पाउडर, 1 छोटा चम्मच काली मिर्च पाउडर, 1/3 छोटा चम्मच हल्दी पाउडर, 1 छोटा चम्मच गरम मसाला पाउडर, 1/2 कप पनीर - कसा ह"&amp;"ुआ, 1 छोटा चम्मच धनिया पाउडर, 1/2 कप गेहूं का आटा, 1/2 छोटा चम्मच सक्रिय सूखा खमीर, 1/2 कप मैदा, 1 बड़ा चम्मच दही, 1 छोटा चम्मच चीनी, नमक - स्वादानुसार, पानी - आटा गूंथने के लिए, 1 बड़ा चम्मच मक्खन, 1 मक्खन, 1 बड़ा चम्मच कलौंजी, मक्खन - कुल्चा पकाने के लि"&amp;"ए, 1/4 कप धनिया के पत्ते - बारीक कटे")</f>
        <v>250 ग्राम चिकन - बारीक कटा हुआ, 1 बड़ा चम्मच सूरजमुखी तेल, 2 लहसुन के दाने - बारीक कटा हुआ, 1 छोटा चम्मच लाल मिर्च पाउडर, 1 छोटा चम्मच जीरा पाउडर, 1 छोटा चम्मच काली मिर्च पाउडर, 1/3 छोटा चम्मच हल्दी पाउडर, 1 छोटा चम्मच गरम मसाला पाउडर, 1/2 कप पनीर - कसा हुआ, 1 छोटा चम्मच धनिया पाउडर, 1/2 कप गेहूं का आटा, 1/2 छोटा चम्मच सक्रिय सूखा खमीर, 1/2 कप मैदा, 1 बड़ा चम्मच दही, 1 छोटा चम्मच चीनी, नमक - स्वादानुसार, पानी - आटा गूंथने के लिए, 1 बड़ा चम्मच मक्खन, 1 मक्खन, 1 बड़ा चम्मच कलौंजी, मक्खन - कुल्चा पकाने के लिए, 1/4 कप धनिया के पत्ते - बारीक कटे</v>
      </c>
      <c r="H744" s="1" t="s">
        <v>33951</v>
      </c>
      <c r="I744" s="1" t="str">
        <f ca="1">IFERROR(__xludf.dummyfunction("IF(H744="""", """", GOOGLETRANSLATE(H744, ""en"", ""hi""))"),"चिकन चीज़ स्टफ्ड कुलचा रेसिपी बनाने के लिए सबसे पहले हम आटा गूंथेंगे। चिकन चीज़ स्टफ्ड कुलचा के लिए आटा गूंथने के लिए एक मिक्सिंग बाउल में, गेहूं का आटा, मैदा, खमीर, दही, चीनी, नमक, मक्खन को अपनी उंगलियों से मिलाएं। इसके बाद, आटे को गूंथने के लिए थोड़ा-थो"&amp;"ड़ा करके पानी डालें। हमें एक मुलायम आटा चाहिए। कुलचा के आटे को कुछ बूंद कुकिंग ऑयल की डालकर चिकना आटा गूंथ लें। कटोरे को एक नम कपड़े से ढक दें और इसे लगभग 30-40 मिनट के लिए या आटे के दोगुना होने तक गर्म स्थान पर रख दें। चिकन चीज़ स्टफ्ड कुलचा के लिए भरावन"&amp;" बनाने के लिए एक पैन में मध्यम आंच पर तेल गर्म करें, तेल गर्म होने पर लहसुन डालें और 30 सेकंड के लिए भूनें। इसके बाद सभी सूखे मसाले, लाल मिर्च पाउडर, जीरा पाउडर, काली मिर्च पाउडर, हल्दी पाउडर, गरम मसाला पाउडर, धनिया पाउडर और नमक डालें। इस स्तर पर कीमा बना"&amp;"या हुआ चिकन डालें और चिकन के पूरी तरह पकने तक पकाएं। इसमें 12-15 मिनट का समय लगेगा। चिकन अपने आप थोड़ा पानी छोड़ देगा। अगर चिकन नहीं पका है और पानी पूरी तरह सूख गया है तो आप चिकन को पूरी तरह पकाने के लिए थोड़ा पानी डाल सकते हैं। पकने के बाद इसे एक कटोरे म"&amp;"ें डालें और ठंडा होने दें। चिकन कीमा ठंडा हो जाए तो इसमें कद्दूकस किया हुआ पनीर मिलाएं। चिकन चीज़ स्टफ्ड कुलचा पकाने के लिए तवा को मध्यम आंच पर गर्म करें। आटे को गर्म स्थान से निकालें, आटे को अपनी उंगलियों से दबाएं। अब आटे को नींबू के गोले के आकार के बराब"&amp;"र भागों में बांट लें अब बीच में एक या दो बड़े चम्मच चिकन चीज़ भरें और चिकन चीज़ कुलचा के किनारों को बीच में लाएं। कुलचा को अपनी हथेलियों के बीच चपटा करें, मैदा छिड़कें। इन्हें थोड़ा लम्बा आकार का कुलचा बेल लें, अब पानी की कुछ बूंदें छिड़कें और कुछ धनिया प"&amp;"त्ती और कलौंजी के बीज छिड़कें। उन्हें कुलचे पर चिपकाने में मदद करने के लिए अपनी उंगलियों से धीरे से थपथपाएं। चिकन चीज़ कुलचा के पानी वाले हिस्से को पहले से गरम किए हुए तवे पर नीचे की ओर रखें। पलटने से पहले लगभग एक मिनट तक पकाएं और दूसरी तरफ पकाएं। चिकन ची"&amp;"ज़ कुलचा के दोनों तरफ उदारतापूर्वक मक्खन लगाएं और पलटें और दोनों तरफ से तब तक पकाएं जब तक कि कुलचा दोनों तरफ से सुनहरा भूरा और हल्का कुरकुरा न हो जाए। बचे हुए आटे के लिए भी यही प्रक्रिया दोहराएँ और इसी तरह चिकन चीज़ कुल्चा बनाएँ। चिकन चीज़ स्टफ्ड कुल्चा र"&amp;"ेसिपी को माँ की दाल रेसिपी - पंजाबी स्टाइल काली उड़द दाल, अचार वाले प्याज़ और एक गिलास मसाला छाछ रेसिपी - भारतीय मसालेदार छाछ के साथ परोसें। इस संतोषजनक रविवार के भोजन को पूरा करने के लिए गुलाब के स्वाद वाली शाही टुकड़ा रेसिपी परोसें।")</f>
        <v>चिकन चीज़ स्टफ्ड कुलचा रेसिपी बनाने के लिए सबसे पहले हम आटा गूंथेंगे। चिकन चीज़ स्टफ्ड कुलचा के लिए आटा गूंथने के लिए एक मिक्सिंग बाउल में, गेहूं का आटा, मैदा, खमीर, दही, चीनी, नमक, मक्खन को अपनी उंगलियों से मिलाएं। इसके बाद, आटे को गूंथने के लिए थोड़ा-थोड़ा करके पानी डालें। हमें एक मुलायम आटा चाहिए। कुलचा के आटे को कुछ बूंद कुकिंग ऑयल की डालकर चिकना आटा गूंथ लें। कटोरे को एक नम कपड़े से ढक दें और इसे लगभग 30-40 मिनट के लिए या आटे के दोगुना होने तक गर्म स्थान पर रख दें। चिकन चीज़ स्टफ्ड कुलचा के लिए भरावन बनाने के लिए एक पैन में मध्यम आंच पर तेल गर्म करें, तेल गर्म होने पर लहसुन डालें और 30 सेकंड के लिए भूनें। इसके बाद सभी सूखे मसाले, लाल मिर्च पाउडर, जीरा पाउडर, काली मिर्च पाउडर, हल्दी पाउडर, गरम मसाला पाउडर, धनिया पाउडर और नमक डालें। इस स्तर पर कीमा बनाया हुआ चिकन डालें और चिकन के पूरी तरह पकने तक पकाएं। इसमें 12-15 मिनट का समय लगेगा। चिकन अपने आप थोड़ा पानी छोड़ देगा। अगर चिकन नहीं पका है और पानी पूरी तरह सूख गया है तो आप चिकन को पूरी तरह पकाने के लिए थोड़ा पानी डाल सकते हैं। पकने के बाद इसे एक कटोरे में डालें और ठंडा होने दें। चिकन कीमा ठंडा हो जाए तो इसमें कद्दूकस किया हुआ पनीर मिलाएं। चिकन चीज़ स्टफ्ड कुलचा पकाने के लिए तवा को मध्यम आंच पर गर्म करें। आटे को गर्म स्थान से निकालें, आटे को अपनी उंगलियों से दबाएं। अब आटे को नींबू के गोले के आकार के बराबर भागों में बांट लें अब बीच में एक या दो बड़े चम्मच चिकन चीज़ भरें और चिकन चीज़ कुलचा के किनारों को बीच में लाएं। कुलचा को अपनी हथेलियों के बीच चपटा करें, मैदा छिड़कें। इन्हें थोड़ा लम्बा आकार का कुलचा बेल लें, अब पानी की कुछ बूंदें छिड़कें और कुछ धनिया पत्ती और कलौंजी के बीज छिड़कें। उन्हें कुलचे पर चिपकाने में मदद करने के लिए अपनी उंगलियों से धीरे से थपथपाएं। चिकन चीज़ कुलचा के पानी वाले हिस्से को पहले से गरम किए हुए तवे पर नीचे की ओर रखें। पलटने से पहले लगभग एक मिनट तक पकाएं और दूसरी तरफ पकाएं। चिकन चीज़ कुलचा के दोनों तरफ उदारतापूर्वक मक्खन लगाएं और पलटें और दोनों तरफ से तब तक पकाएं जब तक कि कुलचा दोनों तरफ से सुनहरा भूरा और हल्का कुरकुरा न हो जाए। बचे हुए आटे के लिए भी यही प्रक्रिया दोहराएँ और इसी तरह चिकन चीज़ कुल्चा बनाएँ। चिकन चीज़ स्टफ्ड कुल्चा रेसिपी को माँ की दाल रेसिपी - पंजाबी स्टाइल काली उड़द दाल, अचार वाले प्याज़ और एक गिलास मसाला छाछ रेसिपी - भारतीय मसालेदार छाछ के साथ परोसें। इस संतोषजनक रविवार के भोजन को पूरा करने के लिए गुलाब के स्वाद वाली शाही टुकड़ा रेसिपी परोसें।</v>
      </c>
      <c r="J744" s="3" t="s">
        <v>33952</v>
      </c>
      <c r="L744" s="1" t="s">
        <v>31003</v>
      </c>
    </row>
    <row r="745" spans="1:12" ht="409.6">
      <c r="A745" s="1" t="s">
        <v>33953</v>
      </c>
      <c r="B745" s="1" t="str">
        <f ca="1">IFERROR(__xludf.dummyfunction("IF(A745="""", """", GOOGLETRANSLATE(A745, ""en"", ""hi""))"),"दम अरबी")</f>
        <v>दम अरबी</v>
      </c>
      <c r="C745" s="1" t="s">
        <v>429</v>
      </c>
      <c r="D745" s="1" t="s">
        <v>14198</v>
      </c>
      <c r="E745" s="1">
        <v>45</v>
      </c>
      <c r="F745" s="1" t="s">
        <v>33954</v>
      </c>
      <c r="G745" s="1" t="str">
        <f ca="1">IFERROR(__xludf.dummyfunction("IF(F745="""", """", GOOGLETRANSLATE(F745, ""en"", ""hi""))"),"300 ग्राम अरबी- उबालकर टुकड़ों में कटी हुई, 2 बड़े चम्मच तेल- तलने के लिए, 2 बड़े चम्मच तेल- सब्जी के लिए, 1/2 कप टमाटर- बारीक कटा हुआ, 1 बड़ा चम्मच हरी मिर्च- बारीक कटी हुई, 2 छोटे चम्मच अदरक लहसुन का पेस्ट, 1/4 कप प्याज- बारीक कटा हुआ, 1/2 कप दही, हींग-"&amp;" चुटकीभर, 1/2 अजवाइन, 1/4 छोटा चम्मच हल्दी पाउडर, 1 छोटा चम्मच धनिया पाउडर, 1 छोटा चम्मच लाल मिर्च पाउडर, 1/4 छोटा चम्मच गरम मसाला पाउडर, नमक- स्वादानुसार, 2 बड़े चम्मच हरा धनिया")</f>
        <v>300 ग्राम अरबी- उबालकर टुकड़ों में कटी हुई, 2 बड़े चम्मच तेल- तलने के लिए, 2 बड़े चम्मच तेल- सब्जी के लिए, 1/2 कप टमाटर- बारीक कटा हुआ, 1 बड़ा चम्मच हरी मिर्च- बारीक कटी हुई, 2 छोटे चम्मच अदरक लहसुन का पेस्ट, 1/4 कप प्याज- बारीक कटा हुआ, 1/2 कप दही, हींग- चुटकीभर, 1/2 अजवाइन, 1/4 छोटा चम्मच हल्दी पाउडर, 1 छोटा चम्मच धनिया पाउडर, 1 छोटा चम्मच लाल मिर्च पाउडर, 1/4 छोटा चम्मच गरम मसाला पाउडर, नमक- स्वादानुसार, 2 बड़े चम्मच हरा धनिया</v>
      </c>
      <c r="H745" s="1" t="s">
        <v>33955</v>
      </c>
      <c r="I745" s="4" t="str">
        <f ca="1">IFERROR(__xludf.dummyfunction("IF(H745="""", """", GOOGLETRANSLATE(H745, ""en"", ""hi""))"),"दम अरबी सब्जी बनाने के लिए सबसे पहले दहीं को फेंट कर साइड में रखें। पेन में तेल लेकर अरबी के टुकड़ों को सुनहरा भूरा होने तक भून ले।कढ़ाई में सब्जी बनाने के लिए तेल गर्म करें। अविश्वास और हींग का तड़कालोकन। अदरक और लहसुन की पेस्ट मशीनरी मिलाए। लालमिर्च पाउ"&amp;"डर, धनिया पाउडर, हल्दी पाउडर पाउडर मिलाए। पेज होने और हरीमिर्च मठाधीश मिलाए। प्याज के नर्चर के बाद जब तक की टमाटर नर्चर हो जाए और तेल ऊपर दिखने लगे। अब अधपका आँच कर सब्जी में दहीं डाला और 2 मिनट तक हिलाते हुए पकाया। अब अरबी अरब मिलाए। 1/2 कप पानी को 10 मि"&amp;"नट तक पकाए, इस तरह बनाया गया कि आप 10 मिनट के लिए पानी में डूब जाएं। हरा धनिया मोटा गरमागर्म प्लास्टिक।
")</f>
        <v xml:space="preserve">दम अरबी सब्जी बनाने के लिए सबसे पहले दहीं को फेंट कर साइड में रखें। पेन में तेल लेकर अरबी के टुकड़ों को सुनहरा भूरा होने तक भून ले।कढ़ाई में सब्जी बनाने के लिए तेल गर्म करें। अविश्वास और हींग का तड़कालोकन। अदरक और लहसुन की पेस्ट मशीनरी मिलाए। लालमिर्च पाउडर, धनिया पाउडर, हल्दी पाउडर पाउडर मिलाए। पेज होने और हरीमिर्च मठाधीश मिलाए। प्याज के नर्चर के बाद जब तक की टमाटर नर्चर हो जाए और तेल ऊपर दिखने लगे। अब अधपका आँच कर सब्जी में दहीं डाला और 2 मिनट तक हिलाते हुए पकाया। अब अरबी अरब मिलाए। 1/2 कप पानी को 10 मिनट तक पकाए, इस तरह बनाया गया कि आप 10 मिनट के लिए पानी में डूब जाएं। हरा धनिया मोटा गरमागर्म प्लास्टिक।
</v>
      </c>
      <c r="J745" s="3" t="s">
        <v>33956</v>
      </c>
      <c r="L745" s="1" t="s">
        <v>31003</v>
      </c>
    </row>
    <row r="746" spans="1:12" ht="13.8">
      <c r="A746" s="1" t="s">
        <v>33957</v>
      </c>
      <c r="B746" s="1" t="str">
        <f ca="1">IFERROR(__xludf.dummyfunction("IF(A746="""", """", GOOGLETRANSLATE(A746, ""en"", ""hi""))"),"मलाईदार दाल मखनी रेसिपी")</f>
        <v>मलाईदार दाल मखनी रेसिपी</v>
      </c>
      <c r="C746" s="1" t="s">
        <v>145</v>
      </c>
      <c r="D746" s="1" t="s">
        <v>14237</v>
      </c>
      <c r="E746" s="1">
        <v>65</v>
      </c>
      <c r="F746" s="1" t="s">
        <v>33958</v>
      </c>
      <c r="G746" s="1" t="str">
        <f ca="1">IFERROR(__xludf.dummyfunction("IF(F746="""", """", GOOGLETRANSLATE(F746, ""en"", ""hi""))"),"1 कप काली उड़द दाल (साबुत), 1/2 कप राजमा, 3 बड़े चम्मच ताजा क्रीम - फुल फैट, 4 बड़े चम्मच मक्खन, 1/2 चम्मच लाल मिर्च पाउडर, 1/2 चम्मच हल्दी पाउडर, 1/2 चम्मच जीरा, 4 कप पानी, 1 प्याज - बारीक कटा हुआ, 1/2 कप घर का बना टमाटर प्यूरी, 1 चम्मच अदरक - कसा हुआ, 1"&amp;" चम्मच गरम मसाला पाउडर, 1/8 चम्मच हींग, 1 काली इलायची, 2 लौंग, 2 हरी मिर्च - कटी हुई, 1 चम्मच धनिया पाउडर, नमक - स्वादानुसार")</f>
        <v>1 कप काली उड़द दाल (साबुत), 1/2 कप राजमा, 3 बड़े चम्मच ताजा क्रीम - फुल फैट, 4 बड़े चम्मच मक्खन, 1/2 चम्मच लाल मिर्च पाउडर, 1/2 चम्मच हल्दी पाउडर, 1/2 चम्मच जीरा, 4 कप पानी, 1 प्याज - बारीक कटा हुआ, 1/2 कप घर का बना टमाटर प्यूरी, 1 चम्मच अदरक - कसा हुआ, 1 चम्मच गरम मसाला पाउडर, 1/8 चम्मच हींग, 1 काली इलायची, 2 लौंग, 2 हरी मिर्च - कटी हुई, 1 चम्मच धनिया पाउडर, नमक - स्वादानुसार</v>
      </c>
      <c r="H746" s="1" t="s">
        <v>33959</v>
      </c>
      <c r="I746" s="1" t="str">
        <f ca="1">IFERROR(__xludf.dummyfunction("IF(H746="""", """", GOOGLETRANSLATE(H746, ""en"", ""hi""))"),"मलाईदार दाल मखनी रेसिपी बनाने के लिए, कम से कम 8 घंटे या रात भर के लिए पर्याप्त पानी में काली दाल और राजमा को धोकर भिगो दें। पानी निथार लें और कम से कम 5 से 6 बार अच्छी तरह धोएँ। यह सुनिश्चित करने का सबसे अच्छा तरीका है कि यह पूरी तरह से धुली हुई है, ताकि"&amp;" आप उन्हें धोने के बाद साफ पानी देख सकें। प्रेशर कुकर में दाल, राजमा, हींग, हल्दी, नमक, पानी, बड़ी इलायची और लौंग डालें और तेज़ आँच पर 2 से 3 सीटी आने तक पकाएँ, फिर आँच धीमी कर दें और इसे 15 से 18 मिनट तक पकने दें। जब कुकर पूरी तरह से ठंडा हो जाए, तो इसे "&amp;"खोलें और पकी हुई दाल को जांचें, छूने पर यह बहुत नरम होनी चाहिए। यदि वे पूरी तरह से पक गए हैं, तो आप दाल और राजमा दोनों को चम्मच से मैश कर सकते हैं। जब जीरा सुनहरा भूरा हो जाए तब इसमें कटा हुआ प्याज डालें। 3 मिनट बाद या प्याज के हल्के सुनहरे रंग होने तक इस"&amp;"में टमाटर प्यूरी, हरी मिर्च और कसा हुआ अदरक डालें। 1 मिनट बाद इसमें मिर्च पाउडर, धनिया पाउडर डालें और (अपने स्वादानुसार मसाले डालें) तब तक पकाएं जब तक कि मिश्रण से तेल अलग न होने लगे। अब इसमें पकी हुई दाल डालें और 12 से 15 मिनट तक धीमी आंच पर पकाएं। इसमें"&amp;" गरम मसाला, क्रीम और 1 बड़ा चम्मच मक्खन डालें (अगर दाल कुछ देर बाद गाढ़ी हो जाए तो पकाने के लिए पर्याप्त गर्म पानी डालना सुनिश्चित करें)। और 5 मिनट तक पकाएं। अब मलाईदार मखनी दाल परोसने के लिए तैयार है। ताजी क्रीम और मक्खन से गार्निश करें और गर्मागर्म सर्व"&amp;" करें। स्वादिष्ट खाने के लिए मलाईदार दाल मखनी को जीरा राइस और तवा पराठों के साथ परोसें।")</f>
        <v>मलाईदार दाल मखनी रेसिपी बनाने के लिए, कम से कम 8 घंटे या रात भर के लिए पर्याप्त पानी में काली दाल और राजमा को धोकर भिगो दें। पानी निथार लें और कम से कम 5 से 6 बार अच्छी तरह धोएँ। यह सुनिश्चित करने का सबसे अच्छा तरीका है कि यह पूरी तरह से धुली हुई है, ताकि आप उन्हें धोने के बाद साफ पानी देख सकें। प्रेशर कुकर में दाल, राजमा, हींग, हल्दी, नमक, पानी, बड़ी इलायची और लौंग डालें और तेज़ आँच पर 2 से 3 सीटी आने तक पकाएँ, फिर आँच धीमी कर दें और इसे 15 से 18 मिनट तक पकने दें। जब कुकर पूरी तरह से ठंडा हो जाए, तो इसे खोलें और पकी हुई दाल को जांचें, छूने पर यह बहुत नरम होनी चाहिए। यदि वे पूरी तरह से पक गए हैं, तो आप दाल और राजमा दोनों को चम्मच से मैश कर सकते हैं। जब जीरा सुनहरा भूरा हो जाए तब इसमें कटा हुआ प्याज डालें। 3 मिनट बाद या प्याज के हल्के सुनहरे रंग होने तक इसमें टमाटर प्यूरी, हरी मिर्च और कसा हुआ अदरक डालें। 1 मिनट बाद इसमें मिर्च पाउडर, धनिया पाउडर डालें और (अपने स्वादानुसार मसाले डालें) तब तक पकाएं जब तक कि मिश्रण से तेल अलग न होने लगे। अब इसमें पकी हुई दाल डालें और 12 से 15 मिनट तक धीमी आंच पर पकाएं। इसमें गरम मसाला, क्रीम और 1 बड़ा चम्मच मक्खन डालें (अगर दाल कुछ देर बाद गाढ़ी हो जाए तो पकाने के लिए पर्याप्त गर्म पानी डालना सुनिश्चित करें)। और 5 मिनट तक पकाएं। अब मलाईदार मखनी दाल परोसने के लिए तैयार है। ताजी क्रीम और मक्खन से गार्निश करें और गर्मागर्म सर्व करें। स्वादिष्ट खाने के लिए मलाईदार दाल मखनी को जीरा राइस और तवा पराठों के साथ परोसें।</v>
      </c>
      <c r="J746" s="3" t="s">
        <v>33960</v>
      </c>
      <c r="L746" s="1" t="s">
        <v>31003</v>
      </c>
    </row>
    <row r="747" spans="1:12" ht="13.8">
      <c r="A747" s="1" t="s">
        <v>33961</v>
      </c>
      <c r="B747" s="1" t="str">
        <f ca="1">IFERROR(__xludf.dummyfunction("IF(A747="""", """", GOOGLETRANSLATE(A747, ""en"", ""hi""))"),"आलू गोभी मटर की सब्जी रेसिपी")</f>
        <v>आलू गोभी मटर की सब्जी रेसिपी</v>
      </c>
      <c r="C747" s="1" t="s">
        <v>145</v>
      </c>
      <c r="D747" s="1" t="s">
        <v>14198</v>
      </c>
      <c r="E747" s="1">
        <v>50</v>
      </c>
      <c r="F747" s="1" t="s">
        <v>33962</v>
      </c>
      <c r="G747" s="1" t="str">
        <f ca="1">IFERROR(__xludf.dummyfunction("IF(F747="""", """", GOOGLETRANSLATE(F747, ""en"", ""hi""))"),"1/2 किलो फूलगोभी - फूलगोभी, 2 आलू, 1 कप हरी मटर, 2 चम्मच लाल मिर्च पाउडर, 1 बड़ा चम्मच धनिया पाउडर, 1 बड़ा चम्मच हल्दी पाउडर, 2 बड़े चम्मच प्याज - बारीक कटा हुआ, 1 चम्मच अदरक - बारीक कटा हुआ, 1 चम्मच मेथी के पत्ते, 1 टहनी धनिया - गार्निश के लिए, सूरजमुखी "&amp;"तेल - आवश्यकतानुसार, नमक - स्वादानुसार")</f>
        <v>1/2 किलो फूलगोभी - फूलगोभी, 2 आलू, 1 कप हरी मटर, 2 चम्मच लाल मिर्च पाउडर, 1 बड़ा चम्मच धनिया पाउडर, 1 बड़ा चम्मच हल्दी पाउडर, 2 बड़े चम्मच प्याज - बारीक कटा हुआ, 1 चम्मच अदरक - बारीक कटा हुआ, 1 चम्मच मेथी के पत्ते, 1 टहनी धनिया - गार्निश के लिए, सूरजमुखी तेल - आवश्यकतानुसार, नमक - स्वादानुसार</v>
      </c>
      <c r="H747" s="1" t="s">
        <v>33963</v>
      </c>
      <c r="I747" s="1" t="str">
        <f ca="1">IFERROR(__xludf.dummyfunction("IF(H747="""", """", GOOGLETRANSLATE(H747, ""en"", ""hi""))"),"आलू गोभी मटर की सब्जी बनाने के लिए, एक बड़े कटोरे में फूलगोभी डालें और गर्म पानी से ढक दें। एक चम्मच नमक डालें और अच्छी तरह मिलाएँ। 10 मिनट के लिए अलग रख दें। आलू को छीलकर धो लें और छोटे टुकड़ों में काट लें और आलू को ठंडे पानी में डाल दें। एक कढ़ाई या नॉन"&amp;"-स्टिक पैन में तेल गरम करें। मेथी के बीज डालें, जब वे फूटने लगें, तो अदरक और प्याज भूनें। अब फूलगोभी के फूल, मटर, आलू डालें और कुछ मिनट के लिए भूनें, बीच-बीच में हिलाते रहें। ढककर 2-3 मिनट तक पकाएँ। अब हल्दी, लाल मिर्च पाउडर, धनिया पाउडर और नमक डालें और स"&amp;"भी मसालों और सब्जियों को अच्छी तरह मिलाएँ। नमक मिलाएँ। एक टाइट-फिटिंग ढक्कन से ढक दें और धीमी आँच पर 5 से 6 मिनट तक पकाएँ। आँच बंद कर दें। धनिया से गार्निश करें, आलू गोभी मटर की सब्जी को चपाती या पूरी के साथ गरमागरम परोसें।")</f>
        <v>आलू गोभी मटर की सब्जी बनाने के लिए, एक बड़े कटोरे में फूलगोभी डालें और गर्म पानी से ढक दें। एक चम्मच नमक डालें और अच्छी तरह मिलाएँ। 10 मिनट के लिए अलग रख दें। आलू को छीलकर धो लें और छोटे टुकड़ों में काट लें और आलू को ठंडे पानी में डाल दें। एक कढ़ाई या नॉन-स्टिक पैन में तेल गरम करें। मेथी के बीज डालें, जब वे फूटने लगें, तो अदरक और प्याज भूनें। अब फूलगोभी के फूल, मटर, आलू डालें और कुछ मिनट के लिए भूनें, बीच-बीच में हिलाते रहें। ढककर 2-3 मिनट तक पकाएँ। अब हल्दी, लाल मिर्च पाउडर, धनिया पाउडर और नमक डालें और सभी मसालों और सब्जियों को अच्छी तरह मिलाएँ। नमक मिलाएँ। एक टाइट-फिटिंग ढक्कन से ढक दें और धीमी आँच पर 5 से 6 मिनट तक पकाएँ। आँच बंद कर दें। धनिया से गार्निश करें, आलू गोभी मटर की सब्जी को चपाती या पूरी के साथ गरमागरम परोसें।</v>
      </c>
      <c r="J747" s="3" t="s">
        <v>33964</v>
      </c>
      <c r="L747" s="1" t="s">
        <v>31003</v>
      </c>
    </row>
    <row r="748" spans="1:12" ht="13.8">
      <c r="A748" s="1" t="s">
        <v>31614</v>
      </c>
      <c r="B748" s="1" t="str">
        <f ca="1">IFERROR(__xludf.dummyfunction("IF(A748="""", """", GOOGLETRANSLATE(A748, ""en"", ""hi""))"),"पटियाला आलू रेसिपी")</f>
        <v>पटियाला आलू रेसिपी</v>
      </c>
      <c r="C748" s="1" t="s">
        <v>14259</v>
      </c>
      <c r="D748" s="1" t="s">
        <v>14208</v>
      </c>
      <c r="E748" s="1">
        <v>35</v>
      </c>
      <c r="F748" s="1" t="s">
        <v>33965</v>
      </c>
      <c r="G748" s="1" t="str">
        <f ca="1">IFERROR(__xludf.dummyfunction("IF(F748="""", """", GOOGLETRANSLATE(F748, ""en"", ""hi""))"),"5 आलू - छीलकर काट लें, 2 बड़े चम्मच सरसों का तेल - या कोई अन्य तेल, 1 छोटा चम्मच जीरा, 1 हींग - चुटकी भर, 1/4 छोटा चम्मच मेथी दाना, 1 हरी मिर्च - कटी हुई, 1 छोटा चम्मच लाल मिर्च पाउडर, 1 छोटा चम्मच जीरा पाउडर, 1 तेज पत्ता, 1 छोटा चम्मच धनिया पाउडर, 1/2 छो"&amp;"टा चम्मच अमचूर, 1/2 छोटा चम्मच चाट मसाला पाउडर, 1/2 छोटा चम्मच गरम मसाला पाउडर, 1/2 छोटा चम्मच हल्दी पाउडर, 1 छोटा चम्मच कसूरी मेथी, 1/3 कप टमाटर प्यूरी, 2 छोटे चम्मच इमली का पेस्ट, 1/3 कप धनिया पत्ता - बारीक कटा हुआ")</f>
        <v>5 आलू - छीलकर काट लें, 2 बड़े चम्मच सरसों का तेल - या कोई अन्य तेल, 1 छोटा चम्मच जीरा, 1 हींग - चुटकी भर, 1/4 छोटा चम्मच मेथी दाना, 1 हरी मिर्च - कटी हुई, 1 छोटा चम्मच लाल मिर्च पाउडर, 1 छोटा चम्मच जीरा पाउडर, 1 तेज पत्ता, 1 छोटा चम्मच धनिया पाउडर, 1/2 छोटा चम्मच अमचूर, 1/2 छोटा चम्मच चाट मसाला पाउडर, 1/2 छोटा चम्मच गरम मसाला पाउडर, 1/2 छोटा चम्मच हल्दी पाउडर, 1 छोटा चम्मच कसूरी मेथी, 1/3 कप टमाटर प्यूरी, 2 छोटे चम्मच इमली का पेस्ट, 1/3 कप धनिया पत्ता - बारीक कटा हुआ</v>
      </c>
      <c r="H748" s="1" t="s">
        <v>33966</v>
      </c>
      <c r="I748" s="1" t="str">
        <f ca="1">IFERROR(__xludf.dummyfunction("IF(H748="""", """", GOOGLETRANSLATE(H748, ""en"", ""hi""))"),"पटियाला आलू रेसिपी बनाने के लिए सबसे पहले आलू को छीलकर काट लें। उन्हें पानी में भिगोकर अलग रख दें। अब एक पैन में सरसों का तेल गर्म करें। गर्म होने के बाद इसमें जीरा, तेजपत्ता, मेथी दाना, हींग डालें और जीरा चटकने तक पकाएं। अब आलू को पानी से निकालकर पैन में"&amp;" डालें। 1 मिनट बाद इसमें हरी मिर्च, नमक, हल्दी पाउडर डालें और अच्छी तरह से मिलाएँ। पैन को ढक दें और आलू के अच्छी तरह से पकने तक पकाएँ। इसमें 12 से 15 मिनट का समय लगेगा। इसके बाद इसमें लाल मिर्च पाउडर, जीरा पाउडर, धनिया पाउडर, अमचूर पाउडर, चाट मसाला पाउडर "&amp;"और गरम मसाला पाउडर डालें। थोड़ा पानी डालें और अच्छी तरह से मिलाएँ। 1 मिनट बाद इसमें टमाटर प्यूरी, इमली का पेस्ट डालें और अच्छी तरह से मिलाएँ। 3 से 4 मिनट तक पकाएँ, धनिया पत्ती से गार्निश करें और सर्व करें। दाल तड़का और फुल्के के साथ पटियाला आलू रेसिपी का "&amp;"आनंद लें। रात के खाने में परोसें।")</f>
        <v>पटियाला आलू रेसिपी बनाने के लिए सबसे पहले आलू को छीलकर काट लें। उन्हें पानी में भिगोकर अलग रख दें। अब एक पैन में सरसों का तेल गर्म करें। गर्म होने के बाद इसमें जीरा, तेजपत्ता, मेथी दाना, हींग डालें और जीरा चटकने तक पकाएं। अब आलू को पानी से निकालकर पैन में डालें। 1 मिनट बाद इसमें हरी मिर्च, नमक, हल्दी पाउडर डालें और अच्छी तरह से मिलाएँ। पैन को ढक दें और आलू के अच्छी तरह से पकने तक पकाएँ। इसमें 12 से 15 मिनट का समय लगेगा। इसके बाद इसमें लाल मिर्च पाउडर, जीरा पाउडर, धनिया पाउडर, अमचूर पाउडर, चाट मसाला पाउडर और गरम मसाला पाउडर डालें। थोड़ा पानी डालें और अच्छी तरह से मिलाएँ। 1 मिनट बाद इसमें टमाटर प्यूरी, इमली का पेस्ट डालें और अच्छी तरह से मिलाएँ। 3 से 4 मिनट तक पकाएँ, धनिया पत्ती से गार्निश करें और सर्व करें। दाल तड़का और फुल्के के साथ पटियाला आलू रेसिपी का आनंद लें। रात के खाने में परोसें।</v>
      </c>
      <c r="J748" s="3" t="s">
        <v>33967</v>
      </c>
      <c r="L748" s="1" t="s">
        <v>31003</v>
      </c>
    </row>
    <row r="749" spans="1:12" ht="13.8">
      <c r="A749" s="1" t="s">
        <v>33968</v>
      </c>
      <c r="B749" s="1" t="str">
        <f ca="1">IFERROR(__xludf.dummyfunction("IF(A749="""", """", GOOGLETRANSLATE(A749, ""en"", ""hi""))"),"पनीर दो प्याज़ा रेसिपी")</f>
        <v>पनीर दो प्याज़ा रेसिपी</v>
      </c>
      <c r="C749" s="1" t="s">
        <v>429</v>
      </c>
      <c r="D749" s="1" t="s">
        <v>14198</v>
      </c>
      <c r="E749" s="1">
        <v>40</v>
      </c>
      <c r="F749" s="1" t="s">
        <v>33969</v>
      </c>
      <c r="G749" s="1" t="str">
        <f ca="1">IFERROR(__xludf.dummyfunction("IF(F749="""", """", GOOGLETRANSLATE(F749, ""en"", ""hi""))"),"1 कप पनीर - टुकड़ों में कटा हुआ, सूरजमुखी तेल - आवश्यकतानुसार, 1-1/2 प्याज - लम्बाई में कटा हुआ, 1 प्याज - टुकड़ों में कटा हुआ, 2-1/2 टमाटर - बारीक कटा हुआ, 1 छोटा चम्मच जीरा, 2 इलायची, 1-1/2 छोटा चम्मच अदरक लहसुन पेस्ट, 1/4 छोटा चम्मच हल्दी पाउडर, 1 छोटा"&amp;" चम्मच धनिया पाउडर, 1-1/2 छोटा चम्मच लाल मिर्च पाउडर, 1 छोटा चम्मच कसूरी मेथी, 1/2 छोटा चम्मच गरम मसाला पाउडर, 1/4 कप हैवी व्हिपिंग क्रीम, नमक - आवश्यकतानुसार")</f>
        <v>1 कप पनीर - टुकड़ों में कटा हुआ, सूरजमुखी तेल - आवश्यकतानुसार, 1-1/2 प्याज - लम्बाई में कटा हुआ, 1 प्याज - टुकड़ों में कटा हुआ, 2-1/2 टमाटर - बारीक कटा हुआ, 1 छोटा चम्मच जीरा, 2 इलायची, 1-1/2 छोटा चम्मच अदरक लहसुन पेस्ट, 1/4 छोटा चम्मच हल्दी पाउडर, 1 छोटा चम्मच धनिया पाउडर, 1-1/2 छोटा चम्मच लाल मिर्च पाउडर, 1 छोटा चम्मच कसूरी मेथी, 1/2 छोटा चम्मच गरम मसाला पाउडर, 1/4 कप हैवी व्हिपिंग क्रीम, नमक - आवश्यकतानुसार</v>
      </c>
      <c r="H749" s="1" t="s">
        <v>33970</v>
      </c>
      <c r="I749" s="1" t="str">
        <f ca="1">IFERROR(__xludf.dummyfunction("IF(H749="""", """", GOOGLETRANSLATE(H749, ""en"", ""hi""))"),"पनीर दो प्याज़ा रेसिपी बनाने के लिए सबसे पहले एक कढ़ाई में आधा चम्मच तेल गरम करें और उसमें प्याज़ डालें। प्याज़ के पारदर्शी होने तक पकाएँ और एक तरफ़ रख दें। उसी कढ़ाई में बचा हुआ तेल और जीरा डालें और जीरा चटकने तक भूनें और इलायची के दाने डालें और अच्छी खु"&amp;"शबू आने तक भूनें। अब लम्बाई में कटे हुए प्याज़ डालें और पारदर्शी होने तक पकाएँ। अदरक लहसुन का पेस्ट डालें और एक मिनट तक भूनें। एक मिनट बाद टमाटर डालें और नरम होने तक पकाएँ। मसाले पाउडर, कस्तूरी मेथी, ज़रूरत के हिसाब से नमक डालें और अच्छी तरह मिलाएँ। ग्रेव"&amp;"ी को धीमी आँच पर पकाएँ। तब तक पकाएं जब तक नमी सोख न ले और किनारों से तेल न निकलने लगे। इसमें कटे हुए पनीर, तले हुए प्याज डालें और उन्हें हिलाएं, थोड़ी क्रीम डालें और पनीर दो प्याजा को लगभग 3-4 मिनट तक उबालें। पनीर दो प्याजा को अपनी पार्टियों में स्टार्टर "&amp;"के रूप में चपाती/रोटी या गेहूं के लच्छा पराठे, आलू मटर सब्जी और टमाटर प्याज ककड़ी रायता के साथ परोसें।")</f>
        <v>पनीर दो प्याज़ा रेसिपी बनाने के लिए सबसे पहले एक कढ़ाई में आधा चम्मच तेल गरम करें और उसमें प्याज़ डालें। प्याज़ के पारदर्शी होने तक पकाएँ और एक तरफ़ रख दें। उसी कढ़ाई में बचा हुआ तेल और जीरा डालें और जीरा चटकने तक भूनें और इलायची के दाने डालें और अच्छी खुशबू आने तक भूनें। अब लम्बाई में कटे हुए प्याज़ डालें और पारदर्शी होने तक पकाएँ। अदरक लहसुन का पेस्ट डालें और एक मिनट तक भूनें। एक मिनट बाद टमाटर डालें और नरम होने तक पकाएँ। मसाले पाउडर, कस्तूरी मेथी, ज़रूरत के हिसाब से नमक डालें और अच्छी तरह मिलाएँ। ग्रेवी को धीमी आँच पर पकाएँ। तब तक पकाएं जब तक नमी सोख न ले और किनारों से तेल न निकलने लगे। इसमें कटे हुए पनीर, तले हुए प्याज डालें और उन्हें हिलाएं, थोड़ी क्रीम डालें और पनीर दो प्याजा को लगभग 3-4 मिनट तक उबालें। पनीर दो प्याजा को अपनी पार्टियों में स्टार्टर के रूप में चपाती/रोटी या गेहूं के लच्छा पराठे, आलू मटर सब्जी और टमाटर प्याज ककड़ी रायता के साथ परोसें।</v>
      </c>
      <c r="J749" s="3" t="s">
        <v>33971</v>
      </c>
      <c r="L749" s="1" t="s">
        <v>31003</v>
      </c>
    </row>
    <row r="750" spans="1:12" ht="13.8">
      <c r="A750" s="1" t="s">
        <v>33972</v>
      </c>
      <c r="B750" s="1" t="str">
        <f ca="1">IFERROR(__xludf.dummyfunction("IF(A750="""", """", GOOGLETRANSLATE(A750, ""en"", ""hi""))"),"सौंफ वाली हरी गोभी की सब्जी रेसिपी - सौंफ और हरी चटनी के साथ मसालेदार फूलगोभी")</f>
        <v>सौंफ वाली हरी गोभी की सब्जी रेसिपी - सौंफ और हरी चटनी के साथ मसालेदार फूलगोभी</v>
      </c>
      <c r="C750" s="1" t="s">
        <v>14207</v>
      </c>
      <c r="D750" s="1" t="s">
        <v>14208</v>
      </c>
      <c r="E750" s="1">
        <v>50</v>
      </c>
      <c r="F750" s="1" t="s">
        <v>33973</v>
      </c>
      <c r="G750" s="1" t="str">
        <f ca="1">IFERROR(__xludf.dummyfunction("IF(F750="""", """", GOOGLETRANSLATE(F750, ""en"", ""hi""))"),"1 फूलगोभी - फूलगोभी में कटी हुई, 1 छोटा चम्मच सौंफ, 1 अदरक, 2 टमाटर - बारीक कटे हुए, 2 तेजपत्ता, 1/2 कप हरी चटनी (धनिया और पुदीना), 1/2 कप दही, 1/2 छोटा चम्मच हल्दी, 1 छोटा चम्मच धनिया, नमक, लाल मिर्च पाउडर, सूरजमुखी तेल - पकाने के लिए")</f>
        <v>1 फूलगोभी - फूलगोभी में कटी हुई, 1 छोटा चम्मच सौंफ, 1 अदरक, 2 टमाटर - बारीक कटे हुए, 2 तेजपत्ता, 1/2 कप हरी चटनी (धनिया और पुदीना), 1/2 कप दही, 1/2 छोटा चम्मच हल्दी, 1 छोटा चम्मच धनिया, नमक, लाल मिर्च पाउडर, सूरजमुखी तेल - पकाने के लिए</v>
      </c>
      <c r="H750" s="1" t="s">
        <v>33974</v>
      </c>
      <c r="I750" s="1" t="str">
        <f ca="1">IFERROR(__xludf.dummyfunction("IF(H750="""", """", GOOGLETRANSLATE(H750, ""en"", ""hi""))"),"सौंफ वाली हरी गोभी की सब्जी बनाने के लिए सभी सामग्री तैयार रखें। अगर आपके पास हरी चटनी नहीं है तो रेसिपी पाने के लिए यहां क्लिक करें। एक भारी तले की कड़ाही में एक चम्मच तेल गर्म करें, उसमें सौंफ, अदरक और तेज पत्ता डालें। कुछ सेकंड के लिए भूनें। टमाटर, हल्"&amp;"दी पाउडर, धनिया पाउडर, मिर्च पाउडर डालें और इसे चलाएँ। इसके बाद दही, हरी चटनी और नमक डालें। इसे चलाएँ। चटनी मसाले में फूलगोभी डालें और मसाले में अच्छी तरह मिलाएँ। मिल जाने के बाद पैन को ढक दें और फूलगोभी के अच्छी तरह पकने तक पकाएं। मध्यम आंच पर इसमें लगभग"&amp;" 5 से 8 मिनट का समय लगेगा। सुनिश्चित करें कि आप इसे पकने तक बीच-बीच में हिलाते रहें।")</f>
        <v>सौंफ वाली हरी गोभी की सब्जी बनाने के लिए सभी सामग्री तैयार रखें। अगर आपके पास हरी चटनी नहीं है तो रेसिपी पाने के लिए यहां क्लिक करें। एक भारी तले की कड़ाही में एक चम्मच तेल गर्म करें, उसमें सौंफ, अदरक और तेज पत्ता डालें। कुछ सेकंड के लिए भूनें। टमाटर, हल्दी पाउडर, धनिया पाउडर, मिर्च पाउडर डालें और इसे चलाएँ। इसके बाद दही, हरी चटनी और नमक डालें। इसे चलाएँ। चटनी मसाले में फूलगोभी डालें और मसाले में अच्छी तरह मिलाएँ। मिल जाने के बाद पैन को ढक दें और फूलगोभी के अच्छी तरह पकने तक पकाएं। मध्यम आंच पर इसमें लगभग 5 से 8 मिनट का समय लगेगा। सुनिश्चित करें कि आप इसे पकने तक बीच-बीच में हिलाते रहें।</v>
      </c>
      <c r="J750" s="3" t="s">
        <v>33975</v>
      </c>
      <c r="L750" s="1" t="s">
        <v>31003</v>
      </c>
    </row>
    <row r="751" spans="1:12" ht="13.8">
      <c r="A751" s="1" t="s">
        <v>33976</v>
      </c>
      <c r="B751" s="1" t="str">
        <f ca="1">IFERROR(__xludf.dummyfunction("IF(A751="""", """", GOOGLETRANSLATE(A751, ""en"", ""hi""))"),"ढाबा स्टाइल दाल पालक रेसिपी")</f>
        <v>ढाबा स्टाइल दाल पालक रेसिपी</v>
      </c>
      <c r="C751" s="1" t="s">
        <v>145</v>
      </c>
      <c r="D751" s="1" t="s">
        <v>14237</v>
      </c>
      <c r="E751" s="1">
        <v>30</v>
      </c>
      <c r="F751" s="1" t="s">
        <v>33977</v>
      </c>
      <c r="G751" s="1" t="str">
        <f ca="1">IFERROR(__xludf.dummyfunction("IF(F751="""", """", GOOGLETRANSLATE(F751, ""en"", ""hi""))"),"1 कप अरहर दाल - धुली हुई, 2 कप पालक के पत्ते (पालक) - बारीक कटे हुए, 1 बड़ा चम्मच सूरजमुखी तेल, 1 प्याज - बारीक कटा हुआ, 1 टमाटर - बारीक कटा हुआ, 2 हरी मिर्च - कटी हुई, 2 इंच अदरक - बारीक कटा हुआ, 4 लहसुन - बारीक कटा हुआ, 1/2 चम्मच गरम मसाला पाउडर, 1/4 चम"&amp;"्मच हल्दी पाउडर (हल्दी), नमक - स्वादानुसार, 1 नींबू - रस निकाला हुआ, 1 बड़ा चम्मच घी, 1 चम्मच जीरा (जीरा), 2 लहसुन - पतले कटे हुए, 2 सूखी लाल मिर्च")</f>
        <v>1 कप अरहर दाल - धुली हुई, 2 कप पालक के पत्ते (पालक) - बारीक कटे हुए, 1 बड़ा चम्मच सूरजमुखी तेल, 1 प्याज - बारीक कटा हुआ, 1 टमाटर - बारीक कटा हुआ, 2 हरी मिर्च - कटी हुई, 2 इंच अदरक - बारीक कटा हुआ, 4 लहसुन - बारीक कटा हुआ, 1/2 चम्मच गरम मसाला पाउडर, 1/4 चम्मच हल्दी पाउडर (हल्दी), नमक - स्वादानुसार, 1 नींबू - रस निकाला हुआ, 1 बड़ा चम्मच घी, 1 चम्मच जीरा (जीरा), 2 लहसुन - पतले कटे हुए, 2 सूखी लाल मिर्च</v>
      </c>
      <c r="H751" s="1" t="s">
        <v>33978</v>
      </c>
      <c r="I751" s="1" t="str">
        <f ca="1">IFERROR(__xludf.dummyfunction("IF(H751="""", """", GOOGLETRANSLATE(H751, ""en"", ""hi""))"),"ढाबा स्टाइल दाल पालक बनाने के लिए सबसे पहले कटी हुई पालक को 2 बड़े चम्मच पानी के साथ मिलाएं और एक सीटी आने तक प्रेशर कुक करें और आंच बंद कर दें। पालक का ताजा हरा रंग बनाए रखने के लिए प्रेशर को तुरंत छोड़ दें। पालक को एक तरफ रख दें। प्रेशर कुकर में तेल गर्"&amp;"म करें, उसमें जीरा डालें और उसे चटकने दें। इसमें प्याज, अदरक और लहसुन डालें और प्याज के नरम होने तक भूनें। प्याज के नरम हो जाने पर इसमें टमाटर, हल्दी पाउडर, हरी मिर्च, गरम मसाला पाउडर डालें और टमाटर के नरम होने तक भूनें। इस अवस्था में इसमें धुली हुई तुअर "&amp;"दाल, स्वादानुसार नमक, 2-1/2 कप पानी डालें और प्रेशर कुकर को ढक दें। लगभग 4 से 5 सीटी आने तक प्रेशर कुक करें और आंच बंद कर दें। ढाबा स्टाइल दाल पालक को सर्विंग बाउल में डालें। तड़के के लिए, तड़का पैन में घी गर्म करें, उसमें जीरा, लाल मिर्च और लहसुन डालें। "&amp;"जब तक वे चटकने न लगें और लहसुन सुनहरा न हो जाए, तब तक भूनें। इस तड़के को ढाबा स्टाइल दाल पालक में डालें और इसे चलाएँ। अंत में नींबू का रस निचोड़ें और गरमागरम परोसें। ढाबा स्टाइल दाल पालक को स्टीम्ड राइस या फुल्के और सिंधी करेला भाजी के साथ लंच या डिनर में"&amp;" परोसें।")</f>
        <v>ढाबा स्टाइल दाल पालक बनाने के लिए सबसे पहले कटी हुई पालक को 2 बड़े चम्मच पानी के साथ मिलाएं और एक सीटी आने तक प्रेशर कुक करें और आंच बंद कर दें। पालक का ताजा हरा रंग बनाए रखने के लिए प्रेशर को तुरंत छोड़ दें। पालक को एक तरफ रख दें। प्रेशर कुकर में तेल गर्म करें, उसमें जीरा डालें और उसे चटकने दें। इसमें प्याज, अदरक और लहसुन डालें और प्याज के नरम होने तक भूनें। प्याज के नरम हो जाने पर इसमें टमाटर, हल्दी पाउडर, हरी मिर्च, गरम मसाला पाउडर डालें और टमाटर के नरम होने तक भूनें। इस अवस्था में इसमें धुली हुई तुअर दाल, स्वादानुसार नमक, 2-1/2 कप पानी डालें और प्रेशर कुकर को ढक दें। लगभग 4 से 5 सीटी आने तक प्रेशर कुक करें और आंच बंद कर दें। ढाबा स्टाइल दाल पालक को सर्विंग बाउल में डालें। तड़के के लिए, तड़का पैन में घी गर्म करें, उसमें जीरा, लाल मिर्च और लहसुन डालें। जब तक वे चटकने न लगें और लहसुन सुनहरा न हो जाए, तब तक भूनें। इस तड़के को ढाबा स्टाइल दाल पालक में डालें और इसे चलाएँ। अंत में नींबू का रस निचोड़ें और गरमागरम परोसें। ढाबा स्टाइल दाल पालक को स्टीम्ड राइस या फुल्के और सिंधी करेला भाजी के साथ लंच या डिनर में परोसें।</v>
      </c>
      <c r="J751" s="3" t="s">
        <v>33979</v>
      </c>
      <c r="L751" s="1" t="s">
        <v>31003</v>
      </c>
    </row>
    <row r="752" spans="1:12" ht="13.8">
      <c r="A752" s="1" t="s">
        <v>33980</v>
      </c>
      <c r="B752" s="1" t="str">
        <f ca="1">IFERROR(__xludf.dummyfunction("IF(A752="""", """", GOOGLETRANSLATE(A752, ""en"", ""hi""))"),"कोल्हापुरी अक्खा मसूर दाल रेसिपी (खोलापुरी मसाला में मसूर दाल)")</f>
        <v>कोल्हापुरी अक्खा मसूर दाल रेसिपी (खोलापुरी मसाला में मसूर दाल)</v>
      </c>
      <c r="C752" s="1" t="s">
        <v>145</v>
      </c>
      <c r="D752" s="1" t="s">
        <v>14237</v>
      </c>
      <c r="E752" s="1">
        <v>45</v>
      </c>
      <c r="F752" s="1" t="s">
        <v>33981</v>
      </c>
      <c r="G752" s="1" t="str">
        <f ca="1">IFERROR(__xludf.dummyfunction("IF(F752="""", """", GOOGLETRANSLATE(F752, ""en"", ""hi""))"),"2 कप मसूर दाल (साबुत) - 5 घंटे भिगोई हुई, 1 प्याज - कटा हुआ, 1 टमाटर - कटा हुआ, 1 इंच अदरक - कटा हुआ, 4 कली लहसुन - कटा हुआ, 1 चम्मच लाल मिर्च पाउडर, 1/2 चम्मच हल्दी पाउडर (हल्दी), 2 चम्मच कोल्हापुरी खांडा लासुन मसाला - या गोदा मसाला, 3 चम्मच तिल के बीज ("&amp;"तिल के बीज), 3 चम्मच सूखा नारियल")</f>
        <v>2 कप मसूर दाल (साबुत) - 5 घंटे भिगोई हुई, 1 प्याज - कटा हुआ, 1 टमाटर - कटा हुआ, 1 इंच अदरक - कटा हुआ, 4 कली लहसुन - कटा हुआ, 1 चम्मच लाल मिर्च पाउडर, 1/2 चम्मच हल्दी पाउडर (हल्दी), 2 चम्मच कोल्हापुरी खांडा लासुन मसाला - या गोदा मसाला, 3 चम्मच तिल के बीज (तिल के बीज), 3 चम्मच सूखा नारियल</v>
      </c>
      <c r="H752" s="1" t="s">
        <v>33982</v>
      </c>
      <c r="I752" s="1" t="str">
        <f ca="1">IFERROR(__xludf.dummyfunction("IF(H752="""", """", GOOGLETRANSLATE(H752, ""en"", ""hi""))"),"कोल्हापुरी अक्खा मसूर दाल रेसिपी बनाने के लिए सबसे पहले तिल और नारियल को गरम तवे पर भून लें। इन्हें सुनहरा भूरा होने तक भून लें। इसे मिक्सर में पीसकर मुलायम पाउडर बना लें। इसके बाद मसूर दाल को पानी और नमक के साथ कम से कम 5 सीटी आने तक पका लें। प्रेशर को अ"&amp;"पने आप निकलने दें। एक तवे पर तेल गरम करें, उसमें अदरक और लहसुन डालें और नरम होने तक भूनें। कटे हुए प्याज़ डालें और पारदर्शी होने तक भूनें। बाद में कटे हुए टमाटर डालें और टमाटर के गूदेदार होने तक पकाएँ। नमक और दूसरे मसाले छिड़कें और कच्ची महक जाने तक पकाएँ"&amp;"। पिसा हुआ तिल और नारियल पाउडर डालें और उन्हें भी भूनें। पकी हुई मसूर दाल डालें और 1 कप पानी डालें। नमक जाँचें और इसे धीमी आँच पर उबलने दें। कोल्हापुरी अक्खा मसूर दाल रेसिपी को डोली की रोटी या बाजरे की रोटी के साथ सलाद के साथ परोसें।")</f>
        <v>कोल्हापुरी अक्खा मसूर दाल रेसिपी बनाने के लिए सबसे पहले तिल और नारियल को गरम तवे पर भून लें। इन्हें सुनहरा भूरा होने तक भून लें। इसे मिक्सर में पीसकर मुलायम पाउडर बना लें। इसके बाद मसूर दाल को पानी और नमक के साथ कम से कम 5 सीटी आने तक पका लें। प्रेशर को अपने आप निकलने दें। एक तवे पर तेल गरम करें, उसमें अदरक और लहसुन डालें और नरम होने तक भूनें। कटे हुए प्याज़ डालें और पारदर्शी होने तक भूनें। बाद में कटे हुए टमाटर डालें और टमाटर के गूदेदार होने तक पकाएँ। नमक और दूसरे मसाले छिड़कें और कच्ची महक जाने तक पकाएँ। पिसा हुआ तिल और नारियल पाउडर डालें और उन्हें भी भूनें। पकी हुई मसूर दाल डालें और 1 कप पानी डालें। नमक जाँचें और इसे धीमी आँच पर उबलने दें। कोल्हापुरी अक्खा मसूर दाल रेसिपी को डोली की रोटी या बाजरे की रोटी के साथ सलाद के साथ परोसें।</v>
      </c>
      <c r="J752" s="3" t="s">
        <v>33983</v>
      </c>
      <c r="L752" s="1" t="s">
        <v>31003</v>
      </c>
    </row>
    <row r="753" spans="1:12" ht="13.8">
      <c r="A753" s="1" t="s">
        <v>33984</v>
      </c>
      <c r="B753" s="1" t="str">
        <f ca="1">IFERROR(__xludf.dummyfunction("IF(A753="""", """", GOOGLETRANSLATE(A753, ""en"", ""hi""))"),"मसालेदार सोया भुर्जी रेसिपी - उत्तर भारतीय सोया मटर भुर्जी")</f>
        <v>मसालेदार सोया भुर्जी रेसिपी - उत्तर भारतीय सोया मटर भुर्जी</v>
      </c>
      <c r="C753" s="1" t="s">
        <v>145</v>
      </c>
      <c r="D753" s="1" t="s">
        <v>14237</v>
      </c>
      <c r="E753" s="1">
        <v>25</v>
      </c>
      <c r="F753" s="1" t="s">
        <v>33985</v>
      </c>
      <c r="G753" s="1" t="str">
        <f ca="1">IFERROR(__xludf.dummyfunction("IF(F753="""", """", GOOGLETRANSLATE(F753, ""en"", ""hi""))"),"1 कप सोयाबीन (साबुत सोया दाल) - (सोया चंक्स), 1/2 कप हरी मटर (मटर) - उबले हुए, 1 प्याज - बारीक कटा हुआ, 1 टमाटर - बारीक कटा हुआ, 2 हरी मिर्च - बारीक कटी हुई, 4 लहसुन की कलियाँ, 2 इंच अदरक - मोटा कटा हुआ, 1 चम्मच धनिया पाउडर (धनिया), 1 चम्मच लाल मिर्च पाउड"&amp;"र, 1/2 चम्मच हल्दी पाउडर (हल्दी), 1 चम्मच चना मसाला पाउडर, 1/2 चम्मच गरम मसाला पाउडर, 1/4 कप धनिया (धनिया) के पत्ते - बारीक कटे हुए, 1 चम्मच सूरजमुखी का तेल, नमक - स्वादानुसार")</f>
        <v>1 कप सोयाबीन (साबुत सोया दाल) - (सोया चंक्स), 1/2 कप हरी मटर (मटर) - उबले हुए, 1 प्याज - बारीक कटा हुआ, 1 टमाटर - बारीक कटा हुआ, 2 हरी मिर्च - बारीक कटी हुई, 4 लहसुन की कलियाँ, 2 इंच अदरक - मोटा कटा हुआ, 1 चम्मच धनिया पाउडर (धनिया), 1 चम्मच लाल मिर्च पाउडर, 1/2 चम्मच हल्दी पाउडर (हल्दी), 1 चम्मच चना मसाला पाउडर, 1/2 चम्मच गरम मसाला पाउडर, 1/4 कप धनिया (धनिया) के पत्ते - बारीक कटे हुए, 1 चम्मच सूरजमुखी का तेल, नमक - स्वादानुसार</v>
      </c>
      <c r="H753" s="1" t="s">
        <v>33986</v>
      </c>
      <c r="I753" s="1" t="str">
        <f ca="1">IFERROR(__xludf.dummyfunction("IF(H753="""", """", GOOGLETRANSLATE(H753, ""en"", ""hi""))"),"मसालेदार सोया भुर्जी रेसिपी बनाने के लिए, सूखे सोया चंक्स को 5 मिनट के लिए गर्म पानी में भिगोएँ, ताकि यह नरम हो जाए। निचोड़ें और मिक्सर ग्राइंडर का उपयोग करके अर्ध-मोटे टुकड़ों में पीस लें। इसे एक तरफ रख दें। एक भारी तले की कड़ाही में तेल गर्म करें, उसमें"&amp;" प्याज, अदरक और लहसुन डालें और प्याज के सुनहरे रंग होने तक भूनें। टमाटर, हरी मिर्च डालें और टमाटर के नरम होने तक पकाएँ। हल्दी पाउडर, धनिया पाउडर, लाल मिर्च पाउडर, छोले मसाला पाउडर, गरम मसाला पाउडर डालें और अच्छी तरह मिलाएँ। अब, तैयार सोया भुर्जी, उबले हुए"&amp;" हरे मटर को पैन में डालें, अच्छी तरह मिलाएँ, थोड़ा पानी छिड़कें और इसे ढक्कन से बंद कर दें और मसालेदार सोया भुर्जी को 5 मिनट तक पकाएँ जब तक कि सभी मसाले अच्छी तरह से अवशोषित न हो जाएँ। नमक और मसालों की जांच करें और उसके अनुसार समायोजित करें। मसालेदार सोया"&amp;" भुर्जी रेसिपी को तवा पराठा, मेथी के साथ पंजाबी कढ़ी और गाजर ककड़ी टमाटर सलाद के साथ एक पौष्टिक दोपहर के भोजन या रात के खाने के लिए परोसें। आप सोया चंक्स भुर्जी को पंचमेल दाल और फुल्का के साथ सप्ताह के दिनों में भी परोस सकते हैं। अतिरिक्त पोषण जोड़ने के ल"&amp;"िए, अपने भोजन में एक कटोरी दही और सात्विक गाजर अंकुरित सलाद शामिल करें।")</f>
        <v>मसालेदार सोया भुर्जी रेसिपी बनाने के लिए, सूखे सोया चंक्स को 5 मिनट के लिए गर्म पानी में भिगोएँ, ताकि यह नरम हो जाए। निचोड़ें और मिक्सर ग्राइंडर का उपयोग करके अर्ध-मोटे टुकड़ों में पीस लें। इसे एक तरफ रख दें। एक भारी तले की कड़ाही में तेल गर्म करें, उसमें प्याज, अदरक और लहसुन डालें और प्याज के सुनहरे रंग होने तक भूनें। टमाटर, हरी मिर्च डालें और टमाटर के नरम होने तक पकाएँ। हल्दी पाउडर, धनिया पाउडर, लाल मिर्च पाउडर, छोले मसाला पाउडर, गरम मसाला पाउडर डालें और अच्छी तरह मिलाएँ। अब, तैयार सोया भुर्जी, उबले हुए हरे मटर को पैन में डालें, अच्छी तरह मिलाएँ, थोड़ा पानी छिड़कें और इसे ढक्कन से बंद कर दें और मसालेदार सोया भुर्जी को 5 मिनट तक पकाएँ जब तक कि सभी मसाले अच्छी तरह से अवशोषित न हो जाएँ। नमक और मसालों की जांच करें और उसके अनुसार समायोजित करें। मसालेदार सोया भुर्जी रेसिपी को तवा पराठा, मेथी के साथ पंजाबी कढ़ी और गाजर ककड़ी टमाटर सलाद के साथ एक पौष्टिक दोपहर के भोजन या रात के खाने के लिए परोसें। आप सोया चंक्स भुर्जी को पंचमेल दाल और फुल्का के साथ सप्ताह के दिनों में भी परोस सकते हैं। अतिरिक्त पोषण जोड़ने के लिए, अपने भोजन में एक कटोरी दही और सात्विक गाजर अंकुरित सलाद शामिल करें।</v>
      </c>
      <c r="J753" s="3" t="s">
        <v>33987</v>
      </c>
      <c r="L753" s="1" t="s">
        <v>31003</v>
      </c>
    </row>
    <row r="754" spans="1:12" ht="13.8">
      <c r="A754" s="1" t="s">
        <v>33988</v>
      </c>
      <c r="B754" s="1" t="str">
        <f ca="1">IFERROR(__xludf.dummyfunction("IF(A754="""", """", GOOGLETRANSLATE(A754, ""en"", ""hi""))"),"शकरकंदी का हलवा रेसिपी (शकरकंदी का हलवा)")</f>
        <v>शकरकंदी का हलवा रेसिपी (शकरकंदी का हलवा)</v>
      </c>
      <c r="C754" s="1" t="s">
        <v>8417</v>
      </c>
      <c r="D754" s="1" t="s">
        <v>14198</v>
      </c>
      <c r="E754" s="1">
        <v>30</v>
      </c>
      <c r="F754" s="1" t="s">
        <v>33989</v>
      </c>
      <c r="G754" s="1" t="str">
        <f ca="1">IFERROR(__xludf.dummyfunction("IF(F754="""", """", GOOGLETRANSLATE(F754, ""en"", ""hi""))"),"2 शकरकंद - कद्दूकस किया हुआ, 1 बड़ा चम्मच चीनी, 1 बड़ा चम्मच घी, 1/2 कप मिक्स नट्स - कटे हुए, 1 छोटा चम्मच इलायची पाउडर (इलायची)")</f>
        <v>2 शकरकंद - कद्दूकस किया हुआ, 1 बड़ा चम्मच चीनी, 1 बड़ा चम्मच घी, 1/2 कप मिक्स नट्स - कटे हुए, 1 छोटा चम्मच इलायची पाउडर (इलायची)</v>
      </c>
      <c r="H754" s="1" t="s">
        <v>33990</v>
      </c>
      <c r="I754" s="1" t="str">
        <f ca="1">IFERROR(__xludf.dummyfunction("IF(H754="""", """", GOOGLETRANSLATE(H754, ""en"", ""hi""))"),"शकरकंदी का हलवा रेसिपी (शकरकंद हलवा) बनाने के लिए सबसे पहले एक प्लेट में शकरकंदों को छीलकर कद्दूकस कर लें। मध्यम आंच पर एक कढ़ाई रखें। इसमें घी डालें। घी गर्म हो जाने पर इसमें कद्दूकस किया हुआ शकरकंद डालें और शकरकंद के नरम होने तक भूनें। इसमें चीनी, इलायच"&amp;"ी पाउडर और मेवे डालकर अच्छी तरह मिलाएँ, लगातार चलाते हुए हलवे को 2-3 मिनट तक पकाएँ। गार्निशिंग के लिए थोड़े कटे हुए मेवे रख दें। आंच बंद कर दें, एक सर्विंग बाउल में डालें और मेवे से गार्निश करें। शकरकंदी का हलवा रेसिपी को नाश्ते में गरमागरम परोसें या बच्च"&amp;"ों के स्नैक बॉक्स में पैक करें या वैकल्पिक रूप से इसे हेल्दी डेजर्ट के रूप में परोसें।")</f>
        <v>शकरकंदी का हलवा रेसिपी (शकरकंद हलवा) बनाने के लिए सबसे पहले एक प्लेट में शकरकंदों को छीलकर कद्दूकस कर लें। मध्यम आंच पर एक कढ़ाई रखें। इसमें घी डालें। घी गर्म हो जाने पर इसमें कद्दूकस किया हुआ शकरकंद डालें और शकरकंद के नरम होने तक भूनें। इसमें चीनी, इलायची पाउडर और मेवे डालकर अच्छी तरह मिलाएँ, लगातार चलाते हुए हलवे को 2-3 मिनट तक पकाएँ। गार्निशिंग के लिए थोड़े कटे हुए मेवे रख दें। आंच बंद कर दें, एक सर्विंग बाउल में डालें और मेवे से गार्निश करें। शकरकंदी का हलवा रेसिपी को नाश्ते में गरमागरम परोसें या बच्चों के स्नैक बॉक्स में पैक करें या वैकल्पिक रूप से इसे हेल्दी डेजर्ट के रूप में परोसें।</v>
      </c>
      <c r="J754" s="3" t="s">
        <v>33991</v>
      </c>
      <c r="L754" s="1" t="s">
        <v>31003</v>
      </c>
    </row>
    <row r="755" spans="1:12" ht="13.8">
      <c r="A755" s="1" t="s">
        <v>33992</v>
      </c>
      <c r="B755" s="1" t="str">
        <f ca="1">IFERROR(__xludf.dummyfunction("IF(A755="""", """", GOOGLETRANSLATE(A755, ""en"", ""hi""))"),"चुकंदर, गाजर और ककड़ी का सलाद मूंगफली के साथ रेसिपी")</f>
        <v>चुकंदर, गाजर और ककड़ी का सलाद मूंगफली के साथ रेसिपी</v>
      </c>
      <c r="C755" s="1" t="s">
        <v>14207</v>
      </c>
      <c r="D755" s="1" t="s">
        <v>14198</v>
      </c>
      <c r="E755" s="1">
        <v>30</v>
      </c>
      <c r="F755" s="1" t="s">
        <v>33993</v>
      </c>
      <c r="G755" s="1" t="str">
        <f ca="1">IFERROR(__xludf.dummyfunction("IF(F755="""", """", GOOGLETRANSLATE(F755, ""en"", ""hi""))"),"2 चुकंदर - कद्दूकस कर लें, 2 गाजर - कद्दूकस कर लें, 1 खीरा - बीज निकालकर काट लें, 4 बड़े चम्मच मूंगफली, 1 हरी मिर्च - काट लें, 4 टहनियां धनिया पत्ती - काट लें, 1 छोटा चम्मच नींबू का रस, 1 छोटा चम्मच काली मिर्च पाउडर, 1 छोटा चम्मच चाट मसाला पाउडर, नमक - स्"&amp;"वादानुसार")</f>
        <v>2 चुकंदर - कद्दूकस कर लें, 2 गाजर - कद्दूकस कर लें, 1 खीरा - बीज निकालकर काट लें, 4 बड़े चम्मच मूंगफली, 1 हरी मिर्च - काट लें, 4 टहनियां धनिया पत्ती - काट लें, 1 छोटा चम्मच नींबू का रस, 1 छोटा चम्मच काली मिर्च पाउडर, 1 छोटा चम्मच चाट मसाला पाउडर, नमक - स्वादानुसार</v>
      </c>
      <c r="H755" s="1" t="s">
        <v>33994</v>
      </c>
      <c r="I755" s="1" t="str">
        <f ca="1">IFERROR(__xludf.dummyfunction("IF(H755="""", """", GOOGLETRANSLATE(H755, ""en"", ""hi""))"),"""चुकंदर, गाजर और खीरे का सलाद बनाने के लिए सबसे पहले सभी सामग्री तैयार कर लें। एक मिक्सिंग बाउल में चुकंदर, गाजर, खीरा, मूंगफली, हरी मिर्च, धनिया पत्ती, नींबू का रस, काली मिर्च पाउडर, चाट मसाला पाउडर, नमक डालें और अच्छी तरह मिलाएँ। एक बाउल में डालें और प"&amp;"रोसें। चुकंदर, गाजर और खीरे का सलाद रेसिपी को पंचमेल दाल, लौकी बड़ी सब्जी और फुल्के के साथ परोसें।""")</f>
        <v>"चुकंदर, गाजर और खीरे का सलाद बनाने के लिए सबसे पहले सभी सामग्री तैयार कर लें। एक मिक्सिंग बाउल में चुकंदर, गाजर, खीरा, मूंगफली, हरी मिर्च, धनिया पत्ती, नींबू का रस, काली मिर्च पाउडर, चाट मसाला पाउडर, नमक डालें और अच्छी तरह मिलाएँ। एक बाउल में डालें और परोसें। चुकंदर, गाजर और खीरे का सलाद रेसिपी को पंचमेल दाल, लौकी बड़ी सब्जी और फुल्के के साथ परोसें।"</v>
      </c>
      <c r="J755" s="3" t="s">
        <v>33995</v>
      </c>
      <c r="L755" s="1" t="s">
        <v>31003</v>
      </c>
    </row>
    <row r="756" spans="1:12" ht="13.8">
      <c r="A756" s="1" t="s">
        <v>33996</v>
      </c>
      <c r="B756" s="1" t="str">
        <f ca="1">IFERROR(__xludf.dummyfunction("IF(A756="""", """", GOOGLETRANSLATE(A756, ""en"", ""hi""))"),"अनानास पनीर टिक्का रेसिपी")</f>
        <v>अनानास पनीर टिक्का रेसिपी</v>
      </c>
      <c r="C756" s="1" t="s">
        <v>14572</v>
      </c>
      <c r="D756" s="1" t="s">
        <v>14237</v>
      </c>
      <c r="E756" s="1">
        <v>60</v>
      </c>
      <c r="F756" s="1" t="s">
        <v>33997</v>
      </c>
      <c r="G756" s="1" t="str">
        <f ca="1">IFERROR(__xludf.dummyfunction("IF(F756="""", """", GOOGLETRANSLATE(F756, ""en"", ""hi""))"),"300 ग्राम पनीर (घर का बना पनीर) - घर का बना पनीर ,1 अनानास - त्रिकोण में कटा हुआ,1 लाल बेल मिर्च (शिमला मिर्च) - त्रिकोण में कटी हुई,सूरजमुखी तेल - टॉस करने के लिए,1 कप हंग कर्ड (ग्रीक योगर्ट),3 बड़े चम्मच बेसन,3 लौंग लहसुन - पेस्ट करने के लिए पीसा हुआ,1 "&amp;"इंच अदरक - पेस्ट करने के लिए पीसा हुआ,1 बड़ा चम्मच कसूरी मेथी (सूखी मेथी के पत्ते),1 चम्मच सौंफ के बीज (सौंफ) - भूना हुआ पाउडर,1/2 चम्मच अजवाइन (कैरम के बीज),1/2 चम्मच जीरा पाउडर (जीरा),1/2 चम्मच धनिया पाउडर (धनिया),3/4 चम्मच काली मिर्च पाउडर,3/4 चम्मच हल"&amp;"्दी पाउडर (हल्दी),1 चम्मच लाल मिर्च पाउडर,2 चम्मच गरम मसाला पाउडर,1/4 चम्मच काला नमक (काला नमक),नमक - स्वादानुसार")</f>
        <v>300 ग्राम पनीर (घर का बना पनीर) - घर का बना पनीर ,1 अनानास - त्रिकोण में कटा हुआ,1 लाल बेल मिर्च (शिमला मिर्च) - त्रिकोण में कटी हुई,सूरजमुखी तेल - टॉस करने के लिए,1 कप हंग कर्ड (ग्रीक योगर्ट),3 बड़े चम्मच बेसन,3 लौंग लहसुन - पेस्ट करने के लिए पीसा हुआ,1 इंच अदरक - पेस्ट करने के लिए पीसा हुआ,1 बड़ा चम्मच कसूरी मेथी (सूखी मेथी के पत्ते),1 चम्मच सौंफ के बीज (सौंफ) - भूना हुआ पाउडर,1/2 चम्मच अजवाइन (कैरम के बीज),1/2 चम्मच जीरा पाउडर (जीरा),1/2 चम्मच धनिया पाउडर (धनिया),3/4 चम्मच काली मिर्च पाउडर,3/4 चम्मच हल्दी पाउडर (हल्दी),1 चम्मच लाल मिर्च पाउडर,2 चम्मच गरम मसाला पाउडर,1/4 चम्मच काला नमक (काला नमक),नमक - स्वादानुसार</v>
      </c>
      <c r="H756" s="1" t="s">
        <v>33998</v>
      </c>
      <c r="I756" s="1" t="str">
        <f ca="1">IFERROR(__xludf.dummyfunction("IF(H756="""", """", GOOGLETRANSLATE(H756, ""en"", ""hi""))"),"अनानास पनीर टिक्का रेसिपी बनाने के लिए, दही और बेसन को मिलाकर चिकना पेस्ट बना लें। एक मूसल और खरल का उपयोग करके, अदरक, लहसुन और कसूरी मेथी के पत्तों को पीसकर मोटा पेस्ट बना लें। इसमें सौंफ और अजवाइन डालें और अच्छी तरह से मिलाएँ। इसे दही के मिश्रण में मिला"&amp;"एँ। दही के मिश्रण में बची हुई मैरिनेड सामग्री डालें और अच्छी तरह से मिलाएँ। पनीर के टुकड़े, अनानास और शिमला मिर्च को एक बड़े कटोरे में रखें, मैरिनेड डालें और इसे लगभग आधे घंटे से एक घंटे या रात भर के लिए ढककर रख दें। एक कटार लें और उसमें पनीर के टुकड़े, अ"&amp;"नानास और शिमला मिर्च डालें और इसे ऊपर तक लाइन करें। बाकी की कटार के लिए भी ऐसा ही करें। मध्यम आँच पर एक ग्रिल पैन गरम करें, थोड़ा तेल डालें और ऊपर से मैरिनेड के साथ कुछ मैरिनेड पनीर की कटार रखें। कोयले पर एक चम्मच घी या तेल डालें। इससे थोड़ा धुआँ निकलने ल"&amp;"गेगा, आँच को कम कर दें और इसे हर तरफ़ से लगभग एक मिनट तक बैठने दें। इसे पलटते रहें और सभी तरफ से समान रूप से पकाएँ जब तक कि यह जल न जाए। कम से कम 10 मिनट के लिए कटार को पकाएँ और गरमागरम परोसें। अनानास पनीर टिक्का रेसिपी को जीरा राइस, टमाटर प्याज खीरा रायत"&amp;"ा और स्मोक्ड दाल मखनी ढाबा स्टाइल के साथ परोसें और इसे एक संपूर्ण भोजन बनाएँ।")</f>
        <v>अनानास पनीर टिक्का रेसिपी बनाने के लिए, दही और बेसन को मिलाकर चिकना पेस्ट बना लें। एक मूसल और खरल का उपयोग करके, अदरक, लहसुन और कसूरी मेथी के पत्तों को पीसकर मोटा पेस्ट बना लें। इसमें सौंफ और अजवाइन डालें और अच्छी तरह से मिलाएँ। इसे दही के मिश्रण में मिलाएँ। दही के मिश्रण में बची हुई मैरिनेड सामग्री डालें और अच्छी तरह से मिलाएँ। पनीर के टुकड़े, अनानास और शिमला मिर्च को एक बड़े कटोरे में रखें, मैरिनेड डालें और इसे लगभग आधे घंटे से एक घंटे या रात भर के लिए ढककर रख दें। एक कटार लें और उसमें पनीर के टुकड़े, अनानास और शिमला मिर्च डालें और इसे ऊपर तक लाइन करें। बाकी की कटार के लिए भी ऐसा ही करें। मध्यम आँच पर एक ग्रिल पैन गरम करें, थोड़ा तेल डालें और ऊपर से मैरिनेड के साथ कुछ मैरिनेड पनीर की कटार रखें। कोयले पर एक चम्मच घी या तेल डालें। इससे थोड़ा धुआँ निकलने लगेगा, आँच को कम कर दें और इसे हर तरफ़ से लगभग एक मिनट तक बैठने दें। इसे पलटते रहें और सभी तरफ से समान रूप से पकाएँ जब तक कि यह जल न जाए। कम से कम 10 मिनट के लिए कटार को पकाएँ और गरमागरम परोसें। अनानास पनीर टिक्का रेसिपी को जीरा राइस, टमाटर प्याज खीरा रायता और स्मोक्ड दाल मखनी ढाबा स्टाइल के साथ परोसें और इसे एक संपूर्ण भोजन बनाएँ।</v>
      </c>
      <c r="J756" s="3" t="s">
        <v>33999</v>
      </c>
      <c r="L756" s="1" t="s">
        <v>31003</v>
      </c>
    </row>
    <row r="757" spans="1:12" ht="13.8">
      <c r="A757" s="1" t="s">
        <v>34000</v>
      </c>
      <c r="B757" s="1" t="str">
        <f ca="1">IFERROR(__xludf.dummyfunction("IF(A757="""", """", GOOGLETRANSLATE(A757, ""en"", ""hi""))"),"मशरूम टिक्का मसाला ड्राई रेसिपी")</f>
        <v>मशरूम टिक्का मसाला ड्राई रेसिपी</v>
      </c>
      <c r="C757" s="1" t="s">
        <v>145</v>
      </c>
      <c r="D757" s="1" t="s">
        <v>14237</v>
      </c>
      <c r="E757" s="1">
        <v>35</v>
      </c>
      <c r="F757" s="1" t="s">
        <v>34001</v>
      </c>
      <c r="G757" s="1" t="str">
        <f ca="1">IFERROR(__xludf.dummyfunction("IF(F757="""", """", GOOGLETRANSLATE(F757, ""en"", ""hi""))"),"2 कप बटन मशरूम - टुकड़ों में कटा हुआ, 2,1/2 कप हरी बेल मिर्च (शिमला मिर्च) - क्यूब्स में, 1/2 कप प्याज - कटा हुआ, 1/4 कप दही (दही) - या ग्रीक दही (हंग योगर्ट), 2 बड़े चम्मच बेसन (बेसन), 1 चम्मच अदरक लहसुन का पेस्ट, 1/8 चम्मच हल्दी पाउडर (हल्दी), 1 चम्मच क"&amp;"श्मीरी लाल मिर्च पाउडर, 2 चम्मच गरम मसाला पाउडर, 1 चम्मच हल्दी पाउडर (हल्दी), 1/2 चम्मच चाट मसाला पाउडर, 1 चम्मच नींबू का रस, 2 चम्मच सूरजमुखी तेल, नमक - स्वादानुसार, कसूरी मेथी (सूखे मेथी के पत्ते)")</f>
        <v>2 कप बटन मशरूम - टुकड़ों में कटा हुआ, 2,1/2 कप हरी बेल मिर्च (शिमला मिर्च) - क्यूब्स में, 1/2 कप प्याज - कटा हुआ, 1/4 कप दही (दही) - या ग्रीक दही (हंग योगर्ट), 2 बड़े चम्मच बेसन (बेसन), 1 चम्मच अदरक लहसुन का पेस्ट, 1/8 चम्मच हल्दी पाउडर (हल्दी), 1 चम्मच कश्मीरी लाल मिर्च पाउडर, 2 चम्मच गरम मसाला पाउडर, 1 चम्मच हल्दी पाउडर (हल्दी), 1/2 चम्मच चाट मसाला पाउडर, 1 चम्मच नींबू का रस, 2 चम्मच सूरजमुखी तेल, नमक - स्वादानुसार, कसूरी मेथी (सूखे मेथी के पत्ते)</v>
      </c>
      <c r="H757" s="1" t="s">
        <v>34002</v>
      </c>
      <c r="I757" s="1" t="str">
        <f ca="1">IFERROR(__xludf.dummyfunction("IF(H757="""", """", GOOGLETRANSLATE(H757, ""en"", ""hi""))"),"मशरूम टिक्का मसाला ड्राई रेसिपी बनाने के लिए सबसे पहले हम दही, बेसन, लाल मिर्च पाउडर, हल्दी पाउडर, गरम मसाला, चाट मसाला पाउडर को मिलाकर मिश्रण तैयार कर लेंगे। एक कढ़ाई में तेल गरम करें, उसमें अदरक और लहसुन डालें और उन्हें नरम होने तक भूनें। इसमें प्याज़ औ"&amp;"र शिमला मिर्च डालें और प्याज़ के पारदर्शी होने तक भूनें। जब प्याज़ नरम हो जाए तो उसमें मशरूम डालें और तब तक पकाएँ जब तक कि सारा पानी अच्छी तरह से सूख न जाए। अंत में, पहले मिलाए गए दही बेसन के मिश्रण को डालें। अच्छी तरह मिलाएँ और तब तक पकाएँ जब तक कि कच्ची"&amp;" महक चली न जाए और ग्रेवी थोड़ी गाढ़ी न हो जाए। नमक की जांच करें और कुछ कसूरी मेथी और नींबू का रस छिड़कें और अच्छी तरह मिलाएँ। अंत में जब मशरूम ग्रेवी में अच्छी तरह से पक जाए, तो आप आंच बंद कर सकते हैं और गर्मागर्म सर्व कर सकते हैं। मशरूम टिक्का मसाला ड्रा"&amp;"ई रेसिपी को पुदीना तवा पराठा या बटर गार्लिक नान रेसिपी और भर्मा बैंगन और प्याज की सब्जी रेसिपी (प्याज के साथ मसालेदार भरवां बैंगन) के साथ परोसें।")</f>
        <v>मशरूम टिक्का मसाला ड्राई रेसिपी बनाने के लिए सबसे पहले हम दही, बेसन, लाल मिर्च पाउडर, हल्दी पाउडर, गरम मसाला, चाट मसाला पाउडर को मिलाकर मिश्रण तैयार कर लेंगे। एक कढ़ाई में तेल गरम करें, उसमें अदरक और लहसुन डालें और उन्हें नरम होने तक भूनें। इसमें प्याज़ और शिमला मिर्च डालें और प्याज़ के पारदर्शी होने तक भूनें। जब प्याज़ नरम हो जाए तो उसमें मशरूम डालें और तब तक पकाएँ जब तक कि सारा पानी अच्छी तरह से सूख न जाए। अंत में, पहले मिलाए गए दही बेसन के मिश्रण को डालें। अच्छी तरह मिलाएँ और तब तक पकाएँ जब तक कि कच्ची महक चली न जाए और ग्रेवी थोड़ी गाढ़ी न हो जाए। नमक की जांच करें और कुछ कसूरी मेथी और नींबू का रस छिड़कें और अच्छी तरह मिलाएँ। अंत में जब मशरूम ग्रेवी में अच्छी तरह से पक जाए, तो आप आंच बंद कर सकते हैं और गर्मागर्म सर्व कर सकते हैं। मशरूम टिक्का मसाला ड्राई रेसिपी को पुदीना तवा पराठा या बटर गार्लिक नान रेसिपी और भर्मा बैंगन और प्याज की सब्जी रेसिपी (प्याज के साथ मसालेदार भरवां बैंगन) के साथ परोसें।</v>
      </c>
      <c r="J757" s="3" t="s">
        <v>34003</v>
      </c>
      <c r="L757" s="1" t="s">
        <v>31003</v>
      </c>
    </row>
    <row r="758" spans="1:12" ht="13.8">
      <c r="A758" s="1" t="s">
        <v>34004</v>
      </c>
      <c r="B758" s="1" t="str">
        <f ca="1">IFERROR(__xludf.dummyfunction("IF(A758="""", """", GOOGLETRANSLATE(A758, ""en"", ""hi""))"),"आलू पत्ता गोभी सब्ज़ी रेसिपी")</f>
        <v>आलू पत्ता गोभी सब्ज़ी रेसिपी</v>
      </c>
      <c r="C758" s="1" t="s">
        <v>145</v>
      </c>
      <c r="D758" s="1" t="s">
        <v>14198</v>
      </c>
      <c r="E758" s="1">
        <v>20</v>
      </c>
      <c r="F758" s="1" t="s">
        <v>34005</v>
      </c>
      <c r="G758" s="1" t="str">
        <f ca="1">IFERROR(__xludf.dummyfunction("IF(F758="""", """", GOOGLETRANSLATE(F758, ""en"", ""hi""))"),"2 आलू, 1 प्याज़- कटा हुआ, 2 कप पत्तागोभी, 1/4 छोटा चम्मच हल्दी पाउडर, 1/2 छोटा चम्मच लाल मिर्च पाउडर, 1 छोटा चम्मच धनिया पाउडर, 1/2 इंच दालचीनी, 2 लौंग, 1 तेज पत्ता, 1/2 छोटा चम्मच सौंफ, 1 छोटा चम्मच जीरा, नमक- स्वादानुसार, 1 छोटा चम्मच तेल, हरा धनिया- उप"&amp;"योगानुसार")</f>
        <v>2 आलू, 1 प्याज़- कटा हुआ, 2 कप पत्तागोभी, 1/4 छोटा चम्मच हल्दी पाउडर, 1/2 छोटा चम्मच लाल मिर्च पाउडर, 1 छोटा चम्मच धनिया पाउडर, 1/2 इंच दालचीनी, 2 लौंग, 1 तेज पत्ता, 1/2 छोटा चम्मच सौंफ, 1 छोटा चम्मच जीरा, नमक- स्वादानुसार, 1 छोटा चम्मच तेल, हरा धनिया- उपयोगानुसार</v>
      </c>
      <c r="H758" s="1" t="s">
        <v>34006</v>
      </c>
      <c r="I758" s="1" t="str">
        <f ca="1">IFERROR(__xludf.dummyfunction("IF(H758="""", """", GOOGLETRANSLATE(H758, ""en"", ""hi""))"),"आलू पत्ता गोभी की सब्जी बनाने के लिए सबसे पहले आलू और गोभी को अच्छे से धो लें। आलू को छीलकर काट लें और पानी में भिगोकर रखें ताकि वे काले न पड़ें। एक पैन में तेल गर्म करें। उसमें दालचीनी, लौंग, तेजपत्ता, सौंफ, जीरा डालकर 1 मिनट तक पकाएं। प्याज डालकर प्याज "&amp;"के नरम होने तक पकाएं। प्याज के नरम होने के बाद, गोभी, आलू डालकर 1 मिनट तक पकाएं। हल्दी पाउडर, लाल मिर्च पाउडर, धनिया पाउडर, नमक, थोड़ा पानी डालकर 2 से 3 मिनट तक पकाएं। सब्जियों के नरम होने तक पकाएं। धनिया पत्ती से गार्निश करें और सर्व करें। आलू पत्ता गोभी"&amp;" की सब्जी को पालक दाल, बूंदी रायता और फुल्के के साथ लंच में सर्व करें।")</f>
        <v>आलू पत्ता गोभी की सब्जी बनाने के लिए सबसे पहले आलू और गोभी को अच्छे से धो लें। आलू को छीलकर काट लें और पानी में भिगोकर रखें ताकि वे काले न पड़ें। एक पैन में तेल गर्म करें। उसमें दालचीनी, लौंग, तेजपत्ता, सौंफ, जीरा डालकर 1 मिनट तक पकाएं। प्याज डालकर प्याज के नरम होने तक पकाएं। प्याज के नरम होने के बाद, गोभी, आलू डालकर 1 मिनट तक पकाएं। हल्दी पाउडर, लाल मिर्च पाउडर, धनिया पाउडर, नमक, थोड़ा पानी डालकर 2 से 3 मिनट तक पकाएं। सब्जियों के नरम होने तक पकाएं। धनिया पत्ती से गार्निश करें और सर्व करें। आलू पत्ता गोभी की सब्जी को पालक दाल, बूंदी रायता और फुल्के के साथ लंच में सर्व करें।</v>
      </c>
      <c r="J758" s="3" t="s">
        <v>34007</v>
      </c>
      <c r="L758" s="1" t="s">
        <v>31003</v>
      </c>
    </row>
    <row r="759" spans="1:12" ht="13.8">
      <c r="A759" s="1" t="s">
        <v>34008</v>
      </c>
      <c r="B759" s="1" t="str">
        <f ca="1">IFERROR(__xludf.dummyfunction("IF(A759="""", """", GOOGLETRANSLATE(A759, ""en"", ""hi""))"),"गुड़ के साथ आम का पन्ना रेसिपी")</f>
        <v>गुड़ के साथ आम का पन्ना रेसिपी</v>
      </c>
      <c r="C759" s="1" t="s">
        <v>14572</v>
      </c>
      <c r="D759" s="1" t="s">
        <v>14198</v>
      </c>
      <c r="E759" s="1">
        <v>40</v>
      </c>
      <c r="F759" s="1" t="s">
        <v>34009</v>
      </c>
      <c r="G759" s="1" t="str">
        <f ca="1">IFERROR(__xludf.dummyfunction("IF(F759="""", """", GOOGLETRANSLATE(F759, ""en"", ""hi""))"),"2 कच्चे आम - मध्यम आकार के, 1/2 कप गुड़ - या चीनी, 1/2 छोटा चम्मच जीरा, काला नमक - स्वादानुसार, 1/4 छोटा चम्मच काली मिर्च पाउडर, 10 पुदीना के पत्ते, पानी - ठंडा, बर्फ के टुकड़े")</f>
        <v>2 कच्चे आम - मध्यम आकार के, 1/2 कप गुड़ - या चीनी, 1/2 छोटा चम्मच जीरा, काला नमक - स्वादानुसार, 1/4 छोटा चम्मच काली मिर्च पाउडर, 10 पुदीना के पत्ते, पानी - ठंडा, बर्फ के टुकड़े</v>
      </c>
      <c r="H759" s="1" t="s">
        <v>34010</v>
      </c>
      <c r="I759" s="1" t="str">
        <f ca="1">IFERROR(__xludf.dummyfunction("IF(H759="""", """", GOOGLETRANSLATE(H759, ""en"", ""hi""))"),"गुड़ के साथ आम का पन्ना बनाने के लिए सबसे पहले आमों को धोकर गैस स्टोव पर तार की जाली पर रखें। तब तक भूनें जब तक छिलका पूरी तरह से जल न जाए और आम अंदर से अच्छे से पक न जाए। भुने हुए आमों को एक फॉयल में रखें। बंद करके ठंडा होने दें। छिलका उतारें और गूदा अलग"&amp;" रख दें। एक ब्लेंडर में आम का गूदा और बाकी मसाले जैसे काला नमक, काली मिर्च पाउडर, जीरा पाउडर और गुड़ डालें। चिकना पेस्ट बनने तक ब्लेंड करें। अपने स्वाद के अनुसार मिठास और मसाले मिलाएं। एक जग में पेस्ट डालें। ठंडा पानी और बर्फ के टुकड़े डालें। कुछ पुदीने क"&amp;"ी पत्तियों से आम का पन्ना सजाएँ और गिलास में परोसें। गुड़ के साथ आम का पन्ना रेसिपी को गर्मियों की शाम को ठंडे पेय के रूप में चना सुंडल रेसिपी या अंकुरित मूंग बड़े रेसिपी (मूंग स्प्राउट फ्रिटर्स रेसिपी) के साथ परोसें।")</f>
        <v>गुड़ के साथ आम का पन्ना बनाने के लिए सबसे पहले आमों को धोकर गैस स्टोव पर तार की जाली पर रखें। तब तक भूनें जब तक छिलका पूरी तरह से जल न जाए और आम अंदर से अच्छे से पक न जाए। भुने हुए आमों को एक फॉयल में रखें। बंद करके ठंडा होने दें। छिलका उतारें और गूदा अलग रख दें। एक ब्लेंडर में आम का गूदा और बाकी मसाले जैसे काला नमक, काली मिर्च पाउडर, जीरा पाउडर और गुड़ डालें। चिकना पेस्ट बनने तक ब्लेंड करें। अपने स्वाद के अनुसार मिठास और मसाले मिलाएं। एक जग में पेस्ट डालें। ठंडा पानी और बर्फ के टुकड़े डालें। कुछ पुदीने की पत्तियों से आम का पन्ना सजाएँ और गिलास में परोसें। गुड़ के साथ आम का पन्ना रेसिपी को गर्मियों की शाम को ठंडे पेय के रूप में चना सुंडल रेसिपी या अंकुरित मूंग बड़े रेसिपी (मूंग स्प्राउट फ्रिटर्स रेसिपी) के साथ परोसें।</v>
      </c>
      <c r="J759" s="3" t="s">
        <v>34011</v>
      </c>
      <c r="L759" s="1" t="s">
        <v>31003</v>
      </c>
    </row>
    <row r="760" spans="1:12" ht="13.8">
      <c r="A760" s="1" t="s">
        <v>34012</v>
      </c>
      <c r="B760" s="1" t="str">
        <f ca="1">IFERROR(__xludf.dummyfunction("IF(A760="""", """", GOOGLETRANSLATE(A760, ""en"", ""hi""))"),"अचारी बैंगन भर्ता रेसिपी")</f>
        <v>अचारी बैंगन भर्ता रेसिपी</v>
      </c>
      <c r="C760" s="1" t="s">
        <v>145</v>
      </c>
      <c r="D760" s="1" t="s">
        <v>14198</v>
      </c>
      <c r="E760" s="1">
        <v>55</v>
      </c>
      <c r="F760" s="1" t="s">
        <v>34013</v>
      </c>
      <c r="G760" s="1" t="str">
        <f ca="1">IFERROR(__xludf.dummyfunction("IF(F760="""", """", GOOGLETRANSLATE(F760, ""en"", ""hi""))"),"1 बैंगन, 3 टमाटर, 1 प्याज, 5 लहसुन - कलियाँ, 2 हरी मिर्च - बारीक कटी हुई, 1 इंच अदरक - कद्दूकस किया हुआ, 1/2 चम्मच हल्दी पाउडर (हल्दी), 2 बड़े चम्मच धनिया (धनिया) के पत्ते - कटे हुए, 1 बड़ा चम्मच धनिया पाउडर (धनिया), 1 चम्मच लाल मिर्च पाउडर, 1-2 चम्मच आम "&amp;"का अचार - वैकल्पिक, 1-1/2 चम्मच अचारी मसाला, सूरजमुखी का तेल - आवश्यकतानुसार, हींग (हिंग) - एक चुटकी, नमक - स्वादानुसार, 1 चम्मच सरसों के बीज, 1 चम्मच जीरा (जीरा), 1 चम्मच सौंफ (सौंफ), 1/4 चम्मच कलौंजी (प्याज निगेला बीज), 1/4 चम्मच मेथी के बीज (मेथी के बी"&amp;"ज), 1/4 चम्मच अजवाइन (कैरम के बीज), 2 सूखी लाल मिर्च, 1/2 चम्मच अमचूर (सूखा आम पाउडर)")</f>
        <v>1 बैंगन, 3 टमाटर, 1 प्याज, 5 लहसुन - कलियाँ, 2 हरी मिर्च - बारीक कटी हुई, 1 इंच अदरक - कद्दूकस किया हुआ, 1/2 चम्मच हल्दी पाउडर (हल्दी), 2 बड़े चम्मच धनिया (धनिया) के पत्ते - कटे हुए, 1 बड़ा चम्मच धनिया पाउडर (धनिया), 1 चम्मच लाल मिर्च पाउडर, 1-2 चम्मच आम का अचार - वैकल्पिक, 1-1/2 चम्मच अचारी मसाला, सूरजमुखी का तेल - आवश्यकतानुसार, हींग (हिंग) - एक चुटकी, नमक - स्वादानुसार, 1 चम्मच सरसों के बीज, 1 चम्मच जीरा (जीरा), 1 चम्मच सौंफ (सौंफ), 1/4 चम्मच कलौंजी (प्याज निगेला बीज), 1/4 चम्मच मेथी के बीज (मेथी के बीज), 1/4 चम्मच अजवाइन (कैरम के बीज), 2 सूखी लाल मिर्च, 1/2 चम्मच अमचूर (सूखा आम पाउडर)</v>
      </c>
      <c r="H760" s="1" t="s">
        <v>34014</v>
      </c>
      <c r="I760" s="1" t="str">
        <f ca="1">IFERROR(__xludf.dummyfunction("IF(H760="""", """", GOOGLETRANSLATE(H760, ""en"", ""hi""))"),"अचारी बैंगन भर्ता बनाने के लिए सबसे पहले अमचूर पाउडर को अलग रख दें और ‘गेरू मसाला’ के लिए सभी सामग्री को खुशबू आने तक भून लें और अब अमचूर पाउडर डालें और पीसकर पाउडर बना लें। (बहुत बारीक नहीं)। अगला चरण भर्ता बनाना है। एक बड़ी बेकिंग ट्रे में प्याज़ को उसक"&amp;"े छिलके, चिकने बैंगन और टमाटर के साथ रखें और सब्ज़ियों को 200 डिग्री पहले से गरम ओवन में 30 मिनट तक भूनें। इसे पूरी तरह से ठंडा होने के लिए अलग रख दें। बैंगन का छिलका उतारें और कांटे की मदद से इसे पूरी तरह से मैश कर लें। प्याज़ को छीलकर मोटा-मोटा काट लें "&amp;"या फ़ूड प्रोसेसर में मोटा-मोटा प्रोसेस कर लें। टमाटर से छिलका और बीज अलग करें और उन्हें मोटा-मोटा मैश कर लें। एक गर्म चौड़े पैन में तेल, अदरक, लहसुन, हरी मिर्च, हींग डालें और एक-दो मिनट तक चलाएँ। इसमें प्याज़, टमाटर, हल्दी, धनिया पाउडर, मिर्च पाउडर और थोड"&amp;"़ा नमक डालें, अच्छी तरह मिलाएँ और कुछ मिनट तक पकाएँ जब तक कि यह सूखने न लगे। अब इसमें अचारी मसाला, आम का अचार और मसला हुआ बैंगन डालें और इसे टमाटर के मिश्रण के साथ अच्छी तरह मिलाएँ और तब तक पकाएँ जब तक कि भर्ता एक साथ न आ जाए। मसाले को समायोजित करें और इस"&amp;"े कुछ ताज़ा धनिया से गार्निश करें। सप्ताह के दिनों में फुल्के और पंचमेल दाल के साथ अचारी बैंगन भर्ता का आनंद लें।")</f>
        <v>अचारी बैंगन भर्ता बनाने के लिए सबसे पहले अमचूर पाउडर को अलग रख दें और ‘गेरू मसाला’ के लिए सभी सामग्री को खुशबू आने तक भून लें और अब अमचूर पाउडर डालें और पीसकर पाउडर बना लें। (बहुत बारीक नहीं)। अगला चरण भर्ता बनाना है। एक बड़ी बेकिंग ट्रे में प्याज़ को उसके छिलके, चिकने बैंगन और टमाटर के साथ रखें और सब्ज़ियों को 200 डिग्री पहले से गरम ओवन में 30 मिनट तक भूनें। इसे पूरी तरह से ठंडा होने के लिए अलग रख दें। बैंगन का छिलका उतारें और कांटे की मदद से इसे पूरी तरह से मैश कर लें। प्याज़ को छीलकर मोटा-मोटा काट लें या फ़ूड प्रोसेसर में मोटा-मोटा प्रोसेस कर लें। टमाटर से छिलका और बीज अलग करें और उन्हें मोटा-मोटा मैश कर लें। एक गर्म चौड़े पैन में तेल, अदरक, लहसुन, हरी मिर्च, हींग डालें और एक-दो मिनट तक चलाएँ। इसमें प्याज़, टमाटर, हल्दी, धनिया पाउडर, मिर्च पाउडर और थोड़ा नमक डालें, अच्छी तरह मिलाएँ और कुछ मिनट तक पकाएँ जब तक कि यह सूखने न लगे। अब इसमें अचारी मसाला, आम का अचार और मसला हुआ बैंगन डालें और इसे टमाटर के मिश्रण के साथ अच्छी तरह मिलाएँ और तब तक पकाएँ जब तक कि भर्ता एक साथ न आ जाए। मसाले को समायोजित करें और इसे कुछ ताज़ा धनिया से गार्निश करें। सप्ताह के दिनों में फुल्के और पंचमेल दाल के साथ अचारी बैंगन भर्ता का आनंद लें।</v>
      </c>
      <c r="J760" s="3" t="s">
        <v>34015</v>
      </c>
      <c r="L760" s="1" t="s">
        <v>31003</v>
      </c>
    </row>
    <row r="761" spans="1:12" ht="13.8">
      <c r="A761" s="1" t="s">
        <v>33212</v>
      </c>
      <c r="B761" s="1" t="str">
        <f ca="1">IFERROR(__xludf.dummyfunction("IF(A761="""", """", GOOGLETRANSLATE(A761, ""en"", ""hi""))"),"शाकाहारी मलाई कबाब रेसिपी")</f>
        <v>शाकाहारी मलाई कबाब रेसिपी</v>
      </c>
      <c r="C761" s="1" t="s">
        <v>14281</v>
      </c>
      <c r="D761" s="1" t="s">
        <v>14198</v>
      </c>
      <c r="E761" s="1">
        <v>35</v>
      </c>
      <c r="F761" s="1" t="s">
        <v>34016</v>
      </c>
      <c r="G761" s="1" t="str">
        <f ca="1">IFERROR(__xludf.dummyfunction("IF(F761="""", """", GOOGLETRANSLATE(F761, ""en"", ""hi""))"),"1 कप पनीर - कद्दूकस किया हुआ, 1 आलू - उबला और कद्दूकस किया हुआ, 1/2 कप मिल्क पाउडर, 1 इंच अदरक - बारीक कटा हुआ, 1 हरी मिर्च - बारीक कटी हुई, 1 प्याज - बारीक कटा हुआ, 1 गरम मसाला पाउडर, 1 चाट मसाला पाउडर, 3 हरा धनिया - बारीक कटा हुआ, 1 चावल का आटा, नमक - स"&amp;"्वादानुसार, तेल - उपयोगानुसार")</f>
        <v>1 कप पनीर - कद्दूकस किया हुआ, 1 आलू - उबला और कद्दूकस किया हुआ, 1/2 कप मिल्क पाउडर, 1 इंच अदरक - बारीक कटा हुआ, 1 हरी मिर्च - बारीक कटी हुई, 1 प्याज - बारीक कटा हुआ, 1 गरम मसाला पाउडर, 1 चाट मसाला पाउडर, 3 हरा धनिया - बारीक कटा हुआ, 1 चावल का आटा, नमक - स्वादानुसार, तेल - उपयोगानुसार</v>
      </c>
      <c r="H761" s="1" t="s">
        <v>34017</v>
      </c>
      <c r="I761" s="1" t="str">
        <f ca="1">IFERROR(__xludf.dummyfunction("IF(H761="""", """", GOOGLETRANSLATE(H761, ""en"", ""hi""))"),"""वेजिटेरियन मलाई कबाब रेसिपी बनाने के लिए सबसे पहले सारी सामग्री तैयार रखें। एक मिक्सिंग बाउल में पनीर, आलू, मिल्क पाउडर, हरी मिर्च, अदरक, प्याज, गरम मसाला पाउडर, चाट मसाला पाउडर, धनिया पत्ता, चावल का आटा, नमक डालकर अच्छी तरह मिलाएँ। थोड़ा मिश्रण लें और "&amp;"छोटे गोल कबाब बनाएँ। उन्हें दबाकर चपटा करें। एक पैन में तेल गर्म करें। इसमें कबाब रखें और दोनों तरफ से सुनहरा भूरा होने तक पकाएँ। पकने के बाद, तेल सोखने के लिए किचन पेपर पर निकालें और परोसें। वेजिटेरियन मलाई कबाब रेसिपी को धनिया पुदीना चटनी और सिरके वाले "&amp;"प्याज के साथ स्टार्टर के रूप में परोसें।""")</f>
        <v>"वेजिटेरियन मलाई कबाब रेसिपी बनाने के लिए सबसे पहले सारी सामग्री तैयार रखें। एक मिक्सिंग बाउल में पनीर, आलू, मिल्क पाउडर, हरी मिर्च, अदरक, प्याज, गरम मसाला पाउडर, चाट मसाला पाउडर, धनिया पत्ता, चावल का आटा, नमक डालकर अच्छी तरह मिलाएँ। थोड़ा मिश्रण लें और छोटे गोल कबाब बनाएँ। उन्हें दबाकर चपटा करें। एक पैन में तेल गर्म करें। इसमें कबाब रखें और दोनों तरफ से सुनहरा भूरा होने तक पकाएँ। पकने के बाद, तेल सोखने के लिए किचन पेपर पर निकालें और परोसें। वेजिटेरियन मलाई कबाब रेसिपी को धनिया पुदीना चटनी और सिरके वाले प्याज के साथ स्टार्टर के रूप में परोसें।"</v>
      </c>
      <c r="J761" s="3" t="s">
        <v>34018</v>
      </c>
      <c r="L761" s="1" t="s">
        <v>31003</v>
      </c>
    </row>
    <row r="762" spans="1:12" ht="13.8">
      <c r="A762" s="1" t="s">
        <v>34019</v>
      </c>
      <c r="B762" s="1" t="str">
        <f ca="1">IFERROR(__xludf.dummyfunction("IF(A762="""", """", GOOGLETRANSLATE(A762, ""en"", ""hi""))"),"पारंपरिक साबुत गोभी मुसल्लम रेसिपी")</f>
        <v>पारंपरिक साबुत गोभी मुसल्लम रेसिपी</v>
      </c>
      <c r="C762" s="1" t="s">
        <v>429</v>
      </c>
      <c r="D762" s="1" t="s">
        <v>14338</v>
      </c>
      <c r="E762" s="1">
        <v>65</v>
      </c>
      <c r="F762" s="1" t="s">
        <v>34020</v>
      </c>
      <c r="G762" s="1" t="str">
        <f ca="1">IFERROR(__xludf.dummyfunction("IF(F762="""", """", GOOGLETRANSLATE(F762, ""en"", ""hi""))"),"1 फूलगोभी - साबूत, 10 काजू, 1 प्याज - कटा हुआ, 2 टमाटर - कटे हुए, 4 लहसुन - कटा हुआ, 1/2 इंच अदरक - कटा हुआ, 1 चम्मच जीरा, 1 चम्मच धनिया पाउडर, 1 चम्मच लाल मिर्च पाउडर, 1 चम्मच गरम मसाला पाउडर, 2 चम्मच कसूरी मेथी, 1/2 चम्मच हल्दी, धनिया पत्ती - गार्निश के"&amp;" लिए, पानी - आवश्यकतानुसार, नमक - आवश्यकतानुसार")</f>
        <v>1 फूलगोभी - साबूत, 10 काजू, 1 प्याज - कटा हुआ, 2 टमाटर - कटे हुए, 4 लहसुन - कटा हुआ, 1/2 इंच अदरक - कटा हुआ, 1 चम्मच जीरा, 1 चम्मच धनिया पाउडर, 1 चम्मच लाल मिर्च पाउडर, 1 चम्मच गरम मसाला पाउडर, 2 चम्मच कसूरी मेथी, 1/2 चम्मच हल्दी, धनिया पत्ती - गार्निश के लिए, पानी - आवश्यकतानुसार, नमक - आवश्यकतानुसार</v>
      </c>
      <c r="H762" s="1" t="s">
        <v>34021</v>
      </c>
      <c r="I762" s="1" t="str">
        <f ca="1">IFERROR(__xludf.dummyfunction("IF(H762="""", """", GOOGLETRANSLATE(H762, ""en"", ""hi""))"),"पारंपरिक साबुत गोभी मुसल्लम रेसिपी बनाने के लिए, फूलगोभी के सिर से बाहरी पत्ते हटा दें। फिर फूलगोभी को एक प्लेट पर रखें, जिसमें डंठल ऊपर की तरफ हो। चाकू का उपयोग करके, अतिरिक्त तने को इस तरह से काटें कि फूलगोभी सीधे नीचे की तरफ़ फूलगोभी के फूल ऊपर की तरफ़"&amp;" हो। काजू को पानी में भिगोएँ। अन्य सब्ज़ियाँ और सामग्री भी तैयार करें। एक पैन में नमक और हल्दी पाउडर के साथ पर्याप्त पानी उबालें। धीरे से पूरे फूलगोभी के सिर (सिर ऊपर की तरफ़) को उबलते पानी में डालें और 5 मिनट तक उबालें। फिर इसे पलट दें (सिर नीचे की तरफ़)"&amp;" और फिर से 5 मिनट तक उबालें। या वैकल्पिक रूप से, इसे अल डेंटे तक भाप दें। फूलगोभी को छान लें और एक तरफ़ रख दें। एक अन्य पैन में मध्यम आँच पर तेल गरम करें। इसमें मोटे कटे हुए प्याज़, लहसुन, अदरक डालें और 5 मिनट तक भूनें जब तक कि प्याज़ पारदर्शी न हो जाए। इ"&amp;"सके बाद मोटे कटे हुए टमाटर और कसूरी मेथी को छोड़कर सभी मसाले पाउडर डालें। टमाटर के नरम होने तक पकाएँ। आँच बंद कर दें और मसाला मिश्रण को पूरी तरह से ठंडा होने दें। फिर ठंडे मसाला मिश्रण को भिगोए हुए काजू के साथ ब्लेंडर में डालकर चिकना पेस्ट बना लें। इस पेस"&amp;"्ट को उसी पैन में डालें और मध्यम आँच पर 5-10 मिनट तक पकाएँ। अगर सॉस ज़्यादा गाढ़ा हो जाए तो थोड़ा पानी डालें। अब कसूरी मेथी डालें, अच्छी तरह मिलाएँ और 5 मिनट तक पकाएँ। इस बीच, ओवन को 200 डिग्री सेल्सियस पर प्रीहीट करें। फूलगोभी (सिर ऊपर की ओर) को बेकिंग ड"&amp;"िश में रखें और मसाला फूलगोभी के ऊपर डालें और सुनिश्चित करें कि पूरी फूलगोभी अच्छी तरह से लेपित हो। 30 मिनट तक बेक करें और जब तक फूलगोभी भूरी होने लगे। धनिया पत्ती से गार्निश करें, स्लाइस करें और नान या फुल्के के साथ परोसें।")</f>
        <v>पारंपरिक साबुत गोभी मुसल्लम रेसिपी बनाने के लिए, फूलगोभी के सिर से बाहरी पत्ते हटा दें। फिर फूलगोभी को एक प्लेट पर रखें, जिसमें डंठल ऊपर की तरफ हो। चाकू का उपयोग करके, अतिरिक्त तने को इस तरह से काटें कि फूलगोभी सीधे नीचे की तरफ़ फूलगोभी के फूल ऊपर की तरफ़ हो। काजू को पानी में भिगोएँ। अन्य सब्ज़ियाँ और सामग्री भी तैयार करें। एक पैन में नमक और हल्दी पाउडर के साथ पर्याप्त पानी उबालें। धीरे से पूरे फूलगोभी के सिर (सिर ऊपर की तरफ़) को उबलते पानी में डालें और 5 मिनट तक उबालें। फिर इसे पलट दें (सिर नीचे की तरफ़) और फिर से 5 मिनट तक उबालें। या वैकल्पिक रूप से, इसे अल डेंटे तक भाप दें। फूलगोभी को छान लें और एक तरफ़ रख दें। एक अन्य पैन में मध्यम आँच पर तेल गरम करें। इसमें मोटे कटे हुए प्याज़, लहसुन, अदरक डालें और 5 मिनट तक भूनें जब तक कि प्याज़ पारदर्शी न हो जाए। इसके बाद मोटे कटे हुए टमाटर और कसूरी मेथी को छोड़कर सभी मसाले पाउडर डालें। टमाटर के नरम होने तक पकाएँ। आँच बंद कर दें और मसाला मिश्रण को पूरी तरह से ठंडा होने दें। फिर ठंडे मसाला मिश्रण को भिगोए हुए काजू के साथ ब्लेंडर में डालकर चिकना पेस्ट बना लें। इस पेस्ट को उसी पैन में डालें और मध्यम आँच पर 5-10 मिनट तक पकाएँ। अगर सॉस ज़्यादा गाढ़ा हो जाए तो थोड़ा पानी डालें। अब कसूरी मेथी डालें, अच्छी तरह मिलाएँ और 5 मिनट तक पकाएँ। इस बीच, ओवन को 200 डिग्री सेल्सियस पर प्रीहीट करें। फूलगोभी (सिर ऊपर की ओर) को बेकिंग डिश में रखें और मसाला फूलगोभी के ऊपर डालें और सुनिश्चित करें कि पूरी फूलगोभी अच्छी तरह से लेपित हो। 30 मिनट तक बेक करें और जब तक फूलगोभी भूरी होने लगे। धनिया पत्ती से गार्निश करें, स्लाइस करें और नान या फुल्के के साथ परोसें।</v>
      </c>
      <c r="J762" s="3" t="s">
        <v>34022</v>
      </c>
      <c r="L762" s="1" t="s">
        <v>31003</v>
      </c>
    </row>
    <row r="763" spans="1:12" ht="13.8">
      <c r="A763" s="1" t="s">
        <v>34023</v>
      </c>
      <c r="B763" s="1" t="str">
        <f ca="1">IFERROR(__xludf.dummyfunction("IF(A763="""", """", GOOGLETRANSLATE(A763, ""en"", ""hi""))"),"ढींगरी मटर रेसिपी (मशरूम और मटर की मसालेदार करी)")</f>
        <v>ढींगरी मटर रेसिपी (मशरूम और मटर की मसालेदार करी)</v>
      </c>
      <c r="C763" s="1" t="s">
        <v>145</v>
      </c>
      <c r="D763" s="1" t="s">
        <v>14198</v>
      </c>
      <c r="E763" s="1">
        <v>50</v>
      </c>
      <c r="F763" s="1" t="s">
        <v>34024</v>
      </c>
      <c r="G763" s="1" t="str">
        <f ca="1">IFERROR(__xludf.dummyfunction("IF(F763="""", """", GOOGLETRANSLATE(F763, ""en"", ""hi""))"),"400 ग्राम बटन मशरूम, 1/4 कप हरी मटर - उबले हुए, 1 कप सोया चंक्स (नगेट्स), 2 कप घर का बना टमाटर प्यूरी, 1/2 चम्मच हल्दी पाउडर, 1 चम्मच गरम मसाला पाउडर, 1/2 चम्मच लाल मिर्च पाउडर, 4 लहसुन की कलियां, 1 इंच अदरक, 1 बड़ा चम्मच खसखस, 5 काजू, सूरजमुखी तेल - पकान"&amp;"े के लिए, नमक - स्वादानुसार, 1 डंठल धनिया - बारीक कटा हुआ")</f>
        <v>400 ग्राम बटन मशरूम, 1/4 कप हरी मटर - उबले हुए, 1 कप सोया चंक्स (नगेट्स), 2 कप घर का बना टमाटर प्यूरी, 1/2 चम्मच हल्दी पाउडर, 1 चम्मच गरम मसाला पाउडर, 1/2 चम्मच लाल मिर्च पाउडर, 4 लहसुन की कलियां, 1 इंच अदरक, 1 बड़ा चम्मच खसखस, 5 काजू, सूरजमुखी तेल - पकाने के लिए, नमक - स्वादानुसार, 1 डंठल धनिया - बारीक कटा हुआ</v>
      </c>
      <c r="H763" s="1" t="s">
        <v>34025</v>
      </c>
      <c r="I763" s="1" t="str">
        <f ca="1">IFERROR(__xludf.dummyfunction("IF(H763="""", """", GOOGLETRANSLATE(H763, ""en"", ""hi""))"),"ढींगरी मटर रेसिपी बनाने के लिए सबसे पहले हम अदरक और लहसुन का पेस्ट बना लेंगे और ज़रूरत पड़ने पर थोड़ा पानी भी मिला सकते हैं। एक तरफ रख दें। खसखस ​​और काजू का पेस्ट बना लें और इसमें बस इतना पानी मिला लें कि पेस्ट बन जाए। एक तरफ रख दें। सोया चंक्स को गुनगुन"&amp;"े पानी में 15 मिनट के लिए भिगोकर रख दें और एक तरफ रख दें। एक पैन में तेल गर्म करें, उसमें अदरक और लहसुन का पेस्ट डालें और तब तक भूनें जब तक कि यह तेल में अच्छी तरह समा न जाए और हल्का सुनहरा भूरा न हो जाए। इसमें टमाटर प्यूरी और हल्दी पाउडर डालें और कुछ मिन"&amp;"ट के लिए भूनें। इसमें मटर, सोया चंक्स, मशरूम डालकर तब तक पकाएं जब तक कि मशरूम नरम न हो जाएं। इसमें गरम मसाला, काजू-खसखस का पेस्ट, नमक और मिर्च पाउडर मिलाएं। लगभग 5 मिनट तक उबालें और ढींगरी मटर को तेज उबाल लें। नमक और मसाले की मात्रा जांच लें और अपने स्वाद"&amp;"ानुसार मिला लें। आंच बंद कर दें और कटा हरा धनिया डालकर चलाएं। हो जाने पर इसे एक सर्विंग बाउल में निकाल लें और अपनी पसंद के नान के साथ गर्मागर्म सर्व करें।")</f>
        <v>ढींगरी मटर रेसिपी बनाने के लिए सबसे पहले हम अदरक और लहसुन का पेस्ट बना लेंगे और ज़रूरत पड़ने पर थोड़ा पानी भी मिला सकते हैं। एक तरफ रख दें। खसखस ​​और काजू का पेस्ट बना लें और इसमें बस इतना पानी मिला लें कि पेस्ट बन जाए। एक तरफ रख दें। सोया चंक्स को गुनगुने पानी में 15 मिनट के लिए भिगोकर रख दें और एक तरफ रख दें। एक पैन में तेल गर्म करें, उसमें अदरक और लहसुन का पेस्ट डालें और तब तक भूनें जब तक कि यह तेल में अच्छी तरह समा न जाए और हल्का सुनहरा भूरा न हो जाए। इसमें टमाटर प्यूरी और हल्दी पाउडर डालें और कुछ मिनट के लिए भूनें। इसमें मटर, सोया चंक्स, मशरूम डालकर तब तक पकाएं जब तक कि मशरूम नरम न हो जाएं। इसमें गरम मसाला, काजू-खसखस का पेस्ट, नमक और मिर्च पाउडर मिलाएं। लगभग 5 मिनट तक उबालें और ढींगरी मटर को तेज उबाल लें। नमक और मसाले की मात्रा जांच लें और अपने स्वादानुसार मिला लें। आंच बंद कर दें और कटा हरा धनिया डालकर चलाएं। हो जाने पर इसे एक सर्विंग बाउल में निकाल लें और अपनी पसंद के नान के साथ गर्मागर्म सर्व करें।</v>
      </c>
      <c r="J763" s="3" t="s">
        <v>34026</v>
      </c>
      <c r="L763" s="1" t="s">
        <v>31003</v>
      </c>
    </row>
    <row r="764" spans="1:12" ht="13.8">
      <c r="A764" s="1" t="s">
        <v>34027</v>
      </c>
      <c r="B764" s="1" t="str">
        <f ca="1">IFERROR(__xludf.dummyfunction("IF(A764="""", """", GOOGLETRANSLATE(A764, ""en"", ""hi""))"),"वन पॉट पंजाबी राजमा मसाला रेसिपी")</f>
        <v>वन पॉट पंजाबी राजमा मसाला रेसिपी</v>
      </c>
      <c r="C764" s="1" t="s">
        <v>14259</v>
      </c>
      <c r="D764" s="1" t="s">
        <v>14198</v>
      </c>
      <c r="E764" s="1">
        <v>105</v>
      </c>
      <c r="F764" s="1" t="s">
        <v>34028</v>
      </c>
      <c r="G764" s="1" t="str">
        <f ca="1">IFERROR(__xludf.dummyfunction("IF(F764="""", """", GOOGLETRANSLATE(F764, ""en"", ""hi""))"),"1 कप राजमा, 1 इंच अदरक - बारीक कटा हुआ, 2 लहसुन की कलियां - बारीक कटा हुआ, 1 प्याज - कटा हुआ, 1/2 कप टमाटर प्यूरी, 1 छोटा चम्मच हल्दी पाउडर, 1 छोटा चम्मच जीरा पाउडर - भुना हुआ, 1 छोटा चम्मच गरम मसाला पाउडर, 4 इलायची, 2 इंच दालचीनी, 1 बड़ा चम्मच मक्खन, हरा"&amp;" धनिया - थोड़ा सा, 1 छोटा चम्मच तेल, नमक - स्वादानुसार")</f>
        <v>1 कप राजमा, 1 इंच अदरक - बारीक कटा हुआ, 2 लहसुन की कलियां - बारीक कटा हुआ, 1 प्याज - कटा हुआ, 1/2 कप टमाटर प्यूरी, 1 छोटा चम्मच हल्दी पाउडर, 1 छोटा चम्मच जीरा पाउडर - भुना हुआ, 1 छोटा चम्मच गरम मसाला पाउडर, 4 इलायची, 2 इंच दालचीनी, 1 बड़ा चम्मच मक्खन, हरा धनिया - थोड़ा सा, 1 छोटा चम्मच तेल, नमक - स्वादानुसार</v>
      </c>
      <c r="H764" s="1" t="s">
        <v>34029</v>
      </c>
      <c r="I764" s="1" t="str">
        <f ca="1">IFERROR(__xludf.dummyfunction("IF(H764="""", """", GOOGLETRANSLATE(H764, ""en"", ""hi""))"),"""वन पॉट राजमा मसाला रेसिपी बनाने के लिए सबसे पहले राजमा को 8 से 10 मिनट के लिए 3 कप पानी में भिगो दें। अब इलेक्ट्रिक प्रेशर कुकर में सॉते मोड चालू करें। आवश्यकतानुसार तेल गरम करें। अब इसमें प्याज, लहसुन, अदरक डालें और प्याज के सुनहरा भूरा होने तक पकाएँ। "&amp;"अब इसमें टमाटर प्यूरी, हल्दी पाउडर, जीरा पाउडर, गरम मसाला पाउडर, इलायची और दालचीनी डालें। 2 मिनट तक पकाएँ। अब पानी के साथ भिगोया हुआ राजमा डालें। कुकर बंद करें और राजमा मोड चालू करें। पकने के बाद प्रेशर को अपने आप निकलने दें। प्रेशर निकलने के बाद आप देखें"&amp;"गे कि इंडिकेटर कम हो गया है। प्रेशर निकलने के बाद कुकर खोलें, इसे एक प्याले में निकाल लें और हरे धनिये से गार्निश करें। वन पॉट पंजाबी राजमा मसाला रेसिपी को चावल और पुदीना प्याज कचुम्बर सलाद के साथ डिनर में परोसें।""")</f>
        <v>"वन पॉट राजमा मसाला रेसिपी बनाने के लिए सबसे पहले राजमा को 8 से 10 मिनट के लिए 3 कप पानी में भिगो दें। अब इलेक्ट्रिक प्रेशर कुकर में सॉते मोड चालू करें। आवश्यकतानुसार तेल गरम करें। अब इसमें प्याज, लहसुन, अदरक डालें और प्याज के सुनहरा भूरा होने तक पकाएँ। अब इसमें टमाटर प्यूरी, हल्दी पाउडर, जीरा पाउडर, गरम मसाला पाउडर, इलायची और दालचीनी डालें। 2 मिनट तक पकाएँ। अब पानी के साथ भिगोया हुआ राजमा डालें। कुकर बंद करें और राजमा मोड चालू करें। पकने के बाद प्रेशर को अपने आप निकलने दें। प्रेशर निकलने के बाद आप देखेंगे कि इंडिकेटर कम हो गया है। प्रेशर निकलने के बाद कुकर खोलें, इसे एक प्याले में निकाल लें और हरे धनिये से गार्निश करें। वन पॉट पंजाबी राजमा मसाला रेसिपी को चावल और पुदीना प्याज कचुम्बर सलाद के साथ डिनर में परोसें।"</v>
      </c>
      <c r="J764" s="3" t="s">
        <v>34030</v>
      </c>
      <c r="L764" s="1" t="s">
        <v>31003</v>
      </c>
    </row>
    <row r="765" spans="1:12" ht="13.8">
      <c r="A765" s="1" t="s">
        <v>34031</v>
      </c>
      <c r="B765" s="1" t="str">
        <f ca="1">IFERROR(__xludf.dummyfunction("IF(A765="""", """", GOOGLETRANSLATE(A765, ""en"", ""hi""))"),"हरा चना मसाला")</f>
        <v>हरा चना मसाला</v>
      </c>
      <c r="C765" s="1" t="s">
        <v>145</v>
      </c>
      <c r="D765" s="1" t="s">
        <v>14198</v>
      </c>
      <c r="E765" s="1">
        <v>50</v>
      </c>
      <c r="F765" s="1" t="s">
        <v>34032</v>
      </c>
      <c r="G765" s="1" t="str">
        <f ca="1">IFERROR(__xludf.dummyfunction("IF(F765="""", """", GOOGLETRANSLATE(F765, ""en"", ""hi""))"),"200 ग्राम हरी दाल - रातभर भिगोई हुई, 1 प्याज - बारीक कटा हुआ, 1 टमाटर - बारीक कटा हुआ, 1 दालचीनी, 2 चम्मच धनिया पाउडर, 1 चम्मच लाल मिर्च पाउडर, 1 चम्मच गरम मसाला पाउडर, 1 बड़ा चम्मच घी, 2 चम्मच धनिया पत्ती - बारीक कटी हुई, नमक - स्वादानुसार, 2 इंच अदरक, 5"&amp;" लहसुन की कलियां, 1 हरी मिर्च, 3 टहनियां धनिया पत्ती - कटी हुई, 1 इंच दालचीनी, 3 लौंग")</f>
        <v>200 ग्राम हरी दाल - रातभर भिगोई हुई, 1 प्याज - बारीक कटा हुआ, 1 टमाटर - बारीक कटा हुआ, 1 दालचीनी, 2 चम्मच धनिया पाउडर, 1 चम्मच लाल मिर्च पाउडर, 1 चम्मच गरम मसाला पाउडर, 1 बड़ा चम्मच घी, 2 चम्मच धनिया पत्ती - बारीक कटी हुई, नमक - स्वादानुसार, 2 इंच अदरक, 5 लहसुन की कलियां, 1 हरी मिर्च, 3 टहनियां धनिया पत्ती - कटी हुई, 1 इंच दालचीनी, 3 लौंग</v>
      </c>
      <c r="H765" s="1" t="s">
        <v>34033</v>
      </c>
      <c r="I765" s="1" t="str">
        <f ca="1">IFERROR(__xludf.dummyfunction("IF(H765="""", """", GOOGLETRANSLATE(H765, ""en"", ""hi""))"),"""हरा चना मसाला बनाने के लिए सबसे पहले हरे चने को रात भर भिगोकर रखें। सुबह उन्हें प्रेशर कुकर में पानी के साथ डालकर 3 सीटी आने तक पकाएँ। फिर एक तरफ रख दें। अब मिक्सर ग्राइंडर लें और उसमें पिसी जाने वाली सारी सामग्री को थोड़े पानी के साथ डालकर पेस्ट बना ले"&amp;"ं। अब एक तरफ रख दें। अब एक पैन में तेल गर्म करें। उसमें दालचीनी और प्याज़ डालें। प्याज़ के नरम होने तक पकाएँ। अब पिसा हुआ मसाला डालें और 3 मिनट तक पकाएँ। 3 मिनट बाद टमाटर डालें और नरम होने तक पकाएँ। अब धनिया पाउडर, लाल मिर्च पाउडर और गरम मसाला पाउडर डालकर"&amp;" मिलाएँ। 5 मिनट तक पकाएँ। 5 मिनट बाद उबले हुए हरे चने, 2 कप पानी डालें और 10 मिनट तक पकाएँ। 10 मिनट बाद धनिया पत्ती से गार्निश करें और गरमागरम परोसें। हरा चना मसाला को पंचमेल दाल, कचुम्बर सलाद, बूंदी रायता और फुल्के के साथ लंच में परोसें।""")</f>
        <v>"हरा चना मसाला बनाने के लिए सबसे पहले हरे चने को रात भर भिगोकर रखें। सुबह उन्हें प्रेशर कुकर में पानी के साथ डालकर 3 सीटी आने तक पकाएँ। फिर एक तरफ रख दें। अब मिक्सर ग्राइंडर लें और उसमें पिसी जाने वाली सारी सामग्री को थोड़े पानी के साथ डालकर पेस्ट बना लें। अब एक तरफ रख दें। अब एक पैन में तेल गर्म करें। उसमें दालचीनी और प्याज़ डालें। प्याज़ के नरम होने तक पकाएँ। अब पिसा हुआ मसाला डालें और 3 मिनट तक पकाएँ। 3 मिनट बाद टमाटर डालें और नरम होने तक पकाएँ। अब धनिया पाउडर, लाल मिर्च पाउडर और गरम मसाला पाउडर डालकर मिलाएँ। 5 मिनट तक पकाएँ। 5 मिनट बाद उबले हुए हरे चने, 2 कप पानी डालें और 10 मिनट तक पकाएँ। 10 मिनट बाद धनिया पत्ती से गार्निश करें और गरमागरम परोसें। हरा चना मसाला को पंचमेल दाल, कचुम्बर सलाद, बूंदी रायता और फुल्के के साथ लंच में परोसें।"</v>
      </c>
      <c r="J765" s="3" t="s">
        <v>34034</v>
      </c>
      <c r="L765" s="1" t="s">
        <v>31003</v>
      </c>
    </row>
    <row r="766" spans="1:12" ht="13.8">
      <c r="A766" s="1" t="s">
        <v>34035</v>
      </c>
      <c r="B766" s="1" t="str">
        <f ca="1">IFERROR(__xludf.dummyfunction("IF(A766="""", """", GOOGLETRANSLATE(A766, ""en"", ""hi""))"),"आलू मेथी पराठा रेसिपी")</f>
        <v>आलू मेथी पराठा रेसिपी</v>
      </c>
      <c r="C766" s="1" t="s">
        <v>16424</v>
      </c>
      <c r="D766" s="1" t="s">
        <v>14198</v>
      </c>
      <c r="E766" s="1">
        <v>45</v>
      </c>
      <c r="F766" s="1" t="s">
        <v>34036</v>
      </c>
      <c r="G766" s="1" t="str">
        <f ca="1">IFERROR(__xludf.dummyfunction("IF(F766="""", """", GOOGLETRANSLATE(F766, ""en"", ""hi""))"),"3 कप गेहूं का आटा, पानी - आवश्यकतानुसार, 1 बड़ा चम्मच सूरजमुखी तेल, गेहूं का आटा - छिड़कने के लिए, नमक - स्वादानुसार, 1 कप आलू - उबला और मसला हुआ, 1/2 कप प्याज - बारीक कटा हुआ, 1/2 कप मेथी के पत्ते (मेथी के पत्ते) - कटे हुए, 2 हरी मिर्च - बारीक कटी हुई, ध"&amp;"निया के पत्ते - बारीक कटे हुए, 1/4 बड़ा चम्मच धनिया पाउडर, 1/2 बड़ा चम्मच लाल मिर्च पाउडर, 1/4 बड़ा चम्मच गरम मसाला पाउडर, 1/2 बड़ा चम्मच चाट मसाला पाउडर, नमक - स्वादानुसार, घी - आवश्यकतानुसार")</f>
        <v>3 कप गेहूं का आटा, पानी - आवश्यकतानुसार, 1 बड़ा चम्मच सूरजमुखी तेल, गेहूं का आटा - छिड़कने के लिए, नमक - स्वादानुसार, 1 कप आलू - उबला और मसला हुआ, 1/2 कप प्याज - बारीक कटा हुआ, 1/2 कप मेथी के पत्ते (मेथी के पत्ते) - कटे हुए, 2 हरी मिर्च - बारीक कटी हुई, धनिया के पत्ते - बारीक कटे हुए, 1/4 बड़ा चम्मच धनिया पाउडर, 1/2 बड़ा चम्मच लाल मिर्च पाउडर, 1/4 बड़ा चम्मच गरम मसाला पाउडर, 1/2 बड़ा चम्मच चाट मसाला पाउडर, नमक - स्वादानुसार, घी - आवश्यकतानुसार</v>
      </c>
      <c r="H766" s="1" t="s">
        <v>34037</v>
      </c>
      <c r="I766" s="1" t="str">
        <f ca="1">IFERROR(__xludf.dummyfunction("IF(H766="""", """", GOOGLETRANSLATE(H766, ""en"", ""hi""))"),"आलू मेथी पराठा रेसिपी बनाने के लिए सबसे पहले एक बाउल में गेहूं का आटा, नमक और तेल मिला लें। थोड़ा-थोड़ा पानी डालते हुए नरम आटा गूंथ लें, जैसे हम चपाती का आटा गूंथते हैं। हाथों पर तेल लगाकर इसे अच्छी तरह गूंथ लें। इसे ढककर कुछ देर के लिए रख दें। अब पराठे क"&amp;"े लिए भरावन तैयार करें। एक बाउल में मैश किए हुए आलू, कटे हुए प्याज, कटी हुई मेथी, बारीक कटी हरी मिर्च और ताजा धनिया डालकर अच्छी तरह मिला लें। अब मिश्रण में मौजूद सारे मसाले जैसे नमक, लाल मिर्च पाउडर, गरम मसाला, धनिया पाउडर, चाट मसाला डालकर अच्छी तरह मिला "&amp;"लें। अब पराठे के आटे से एक बराबर बॉल बना लें और उस पर गेहूं का आटा छिड़कते हुए छोटी सी बॉल बना लें। बीच में थोड़ा सा भरावन डालें और सभी कोनों को इकट्ठा करके अच्छी तरह से सील कर दें और हल्का सा दबा दें। थोड़ा सा गेहूं का आटा छिड़कें और सील किए हुए आटे को च"&amp;"पाती के आटे की तरह बेल लें। बहुत ज्यादा दबाव न डालें। तवा गरम करें और उस पर बेले हुए पराठे को रख दें। इसे एक तरफ से थोड़ा पकने दें। इसे दूसरी तरफ पलटें और आधे पके पराठे पर थोड़ा घी फैलाएं। इसे फिर से पलटें, जब दूसरी तरफ आधा पक जाए तो थोड़ा और घी फैलाएं। इ"&amp;"से फिर से पलटें, पराठा भूरा होने और अच्छी तरह से पकने के लिए इसे दो बार करें। अब इस पर मक्खन लगाएं और गर्मागर्म सर्व करें। आलू मेथी पराठे को बूंदी रायता, भिंडी रायता या अपनी पसंद के किसी भी अन्य रायते के साथ परोसें।")</f>
        <v>आलू मेथी पराठा रेसिपी बनाने के लिए सबसे पहले एक बाउल में गेहूं का आटा, नमक और तेल मिला लें। थोड़ा-थोड़ा पानी डालते हुए नरम आटा गूंथ लें, जैसे हम चपाती का आटा गूंथते हैं। हाथों पर तेल लगाकर इसे अच्छी तरह गूंथ लें। इसे ढककर कुछ देर के लिए रख दें। अब पराठे के लिए भरावन तैयार करें। एक बाउल में मैश किए हुए आलू, कटे हुए प्याज, कटी हुई मेथी, बारीक कटी हरी मिर्च और ताजा धनिया डालकर अच्छी तरह मिला लें। अब मिश्रण में मौजूद सारे मसाले जैसे नमक, लाल मिर्च पाउडर, गरम मसाला, धनिया पाउडर, चाट मसाला डालकर अच्छी तरह मिला लें। अब पराठे के आटे से एक बराबर बॉल बना लें और उस पर गेहूं का आटा छिड़कते हुए छोटी सी बॉल बना लें। बीच में थोड़ा सा भरावन डालें और सभी कोनों को इकट्ठा करके अच्छी तरह से सील कर दें और हल्का सा दबा दें। थोड़ा सा गेहूं का आटा छिड़कें और सील किए हुए आटे को चपाती के आटे की तरह बेल लें। बहुत ज्यादा दबाव न डालें। तवा गरम करें और उस पर बेले हुए पराठे को रख दें। इसे एक तरफ से थोड़ा पकने दें। इसे दूसरी तरफ पलटें और आधे पके पराठे पर थोड़ा घी फैलाएं। इसे फिर से पलटें, जब दूसरी तरफ आधा पक जाए तो थोड़ा और घी फैलाएं। इसे फिर से पलटें, पराठा भूरा होने और अच्छी तरह से पकने के लिए इसे दो बार करें। अब इस पर मक्खन लगाएं और गर्मागर्म सर्व करें। आलू मेथी पराठे को बूंदी रायता, भिंडी रायता या अपनी पसंद के किसी भी अन्य रायते के साथ परोसें।</v>
      </c>
      <c r="J766" s="3" t="s">
        <v>34038</v>
      </c>
      <c r="L766" s="1" t="s">
        <v>31003</v>
      </c>
    </row>
    <row r="767" spans="1:12" ht="13.8">
      <c r="A767" s="1" t="s">
        <v>34039</v>
      </c>
      <c r="B767" s="1" t="str">
        <f ca="1">IFERROR(__xludf.dummyfunction("IF(A767="""", """", GOOGLETRANSLATE(A767, ""en"", ""hi""))"),"मसले हुए मटर की रेसिपी")</f>
        <v>मसले हुए मटर की रेसिपी</v>
      </c>
      <c r="C767" s="1" t="s">
        <v>16424</v>
      </c>
      <c r="D767" s="1" t="s">
        <v>14198</v>
      </c>
      <c r="E767" s="1">
        <v>45</v>
      </c>
      <c r="G767" s="1" t="str">
        <f ca="1">IFERROR(__xludf.dummyfunction("IF(F767="""", """", GOOGLETRANSLATE(F767, ""en"", ""hi""))"),"")</f>
        <v/>
      </c>
      <c r="H767" s="1" t="s">
        <v>34040</v>
      </c>
      <c r="I767" s="1" t="str">
        <f ca="1">IFERROR(__xludf.dummyfunction("IF(H767="""", """", GOOGLETRANSLATE(H767, ""en"", ""hi""))"),"मसले हुए मटर बनाने के लिए, सबसे पहले मटर को तब तक पकाएं जब तक कि वे अपना तीखापन खो न दें (आप उन्हें पकाने के लिए प्रेशर कुकर या सॉस पैन का उपयोग कर सकते हैं)। थोड़ा पानी बचाकर रखें और बर्तन से बचा हुआ पानी निकाल दें। एक पैन में जैतून का तेल गर्म करें। लहस"&amp;"ुन और मटर डालें और 2-3 मिनट तक भूनें। इसे आँच से उतार लें और पुदीने के पत्ते और मसले हुए एवोकाडो डालें। मटर और एवोकाडो को एक साथ मसल लें। आप उन्हें एक साथ मिलाने के लिए फ़ूड प्रोसेसर, आलू मैशर या अपने हाथों से मैश कर सकते हैं। यदि आवश्यक हो तो थोड़ा बचा ह"&amp;"ुआ पानी डालें। नमक और काली मिर्च डालें और नींबू का रस डालें। मसले हुए मटर को अपनी पसंदीदा करी के साथ हल्के भोजन के लिए परोसें या जल्दी नाश्ते के लिए टोस्टेड ब्रेड पर फैलाएँ। आप इसे चुकंदर के सलाद जैसे मिक्स ग्रीन्स और फ़ेटा चीज़ और स्मोक्ड टोफू और ग्रिल्ड"&amp;" वेजिटेबल सलाद के साथ भी खा सकते हैं।")</f>
        <v>मसले हुए मटर बनाने के लिए, सबसे पहले मटर को तब तक पकाएं जब तक कि वे अपना तीखापन खो न दें (आप उन्हें पकाने के लिए प्रेशर कुकर या सॉस पैन का उपयोग कर सकते हैं)। थोड़ा पानी बचाकर रखें और बर्तन से बचा हुआ पानी निकाल दें। एक पैन में जैतून का तेल गर्म करें। लहसुन और मटर डालें और 2-3 मिनट तक भूनें। इसे आँच से उतार लें और पुदीने के पत्ते और मसले हुए एवोकाडो डालें। मटर और एवोकाडो को एक साथ मसल लें। आप उन्हें एक साथ मिलाने के लिए फ़ूड प्रोसेसर, आलू मैशर या अपने हाथों से मैश कर सकते हैं। यदि आवश्यक हो तो थोड़ा बचा हुआ पानी डालें। नमक और काली मिर्च डालें और नींबू का रस डालें। मसले हुए मटर को अपनी पसंदीदा करी के साथ हल्के भोजन के लिए परोसें या जल्दी नाश्ते के लिए टोस्टेड ब्रेड पर फैलाएँ। आप इसे चुकंदर के सलाद जैसे मिक्स ग्रीन्स और फ़ेटा चीज़ और स्मोक्ड टोफू और ग्रिल्ड वेजिटेबल सलाद के साथ भी खा सकते हैं।</v>
      </c>
      <c r="J767" s="3" t="s">
        <v>34041</v>
      </c>
      <c r="L767" s="1" t="s">
        <v>31003</v>
      </c>
    </row>
    <row r="768" spans="1:12" ht="13.8">
      <c r="A768" s="1" t="s">
        <v>34042</v>
      </c>
      <c r="B768" s="1" t="str">
        <f ca="1">IFERROR(__xludf.dummyfunction("IF(A768="""", """", GOOGLETRANSLATE(A768, ""en"", ""hi""))"),"पालक और राजमा के साथ हेल्दी वेज लॉलीपॉप रेसिपी")</f>
        <v>पालक और राजमा के साथ हेल्दी वेज लॉलीपॉप रेसिपी</v>
      </c>
      <c r="C768" s="1" t="s">
        <v>14572</v>
      </c>
      <c r="D768" s="1" t="s">
        <v>14237</v>
      </c>
      <c r="E768" s="1">
        <v>65</v>
      </c>
      <c r="F768" s="1" t="s">
        <v>34043</v>
      </c>
      <c r="G768" s="1" t="str">
        <f ca="1">IFERROR(__xludf.dummyfunction("IF(F768="""", """", GOOGLETRANSLATE(F768, ""en"", ""hi""))"),"1 कप राजमा - 1 कप राजमा, 2 कप पालक के पत्ते - कटे और कसकर पैक किए हुए, 1/2 कप ओट्स - बारीक पाउडर, 1 चम्मच लाल मिर्च पाउडर, 1 चम्मच गरम मसाला पाउडर, 1/2 चम्मच जीरा पाउडर, 1/2 चम्मच आमचूर, नमक - स्वादानुसार, सूरजमुखी तेल - आवश्यकतानुसार, 3 बड़े चम्मच बेसन, "&amp;"पानी - आवश्यकतानुसार, हल्दी पाउडर - चुटकी भर, नमक - स्वादानुसार, 1/2 कप ओट्स - दरदरा पाउडर")</f>
        <v>1 कप राजमा - 1 कप राजमा, 2 कप पालक के पत्ते - कटे और कसकर पैक किए हुए, 1/2 कप ओट्स - बारीक पाउडर, 1 चम्मच लाल मिर्च पाउडर, 1 चम्मच गरम मसाला पाउडर, 1/2 चम्मच जीरा पाउडर, 1/2 चम्मच आमचूर, नमक - स्वादानुसार, सूरजमुखी तेल - आवश्यकतानुसार, 3 बड़े चम्मच बेसन, पानी - आवश्यकतानुसार, हल्दी पाउडर - चुटकी भर, नमक - स्वादानुसार, 1/2 कप ओट्स - दरदरा पाउडर</v>
      </c>
      <c r="H768" s="1" t="s">
        <v>34044</v>
      </c>
      <c r="I768" s="1" t="str">
        <f ca="1">IFERROR(__xludf.dummyfunction("IF(H768="""", """", GOOGLETRANSLATE(H768, ""en"", ""hi""))"),"पालक और राजमा के साथ हेल्दी वेज लॉलीपॉप रेसिपी बनाने के लिए, राजमा को 7-8 घंटे या रात भर के लिए पानी में भिगोएँ। राजमा की मात्रा लगभग दोगुनी हो जाएगी। पानी निथार लें और भिगोए हुए राजमा को ताजे पानी के साथ 8 से 10 सीटी/ लगभग 30 मिनट तक पकाएँ ताकि दबाने पर "&amp;"वे नरम हों। प्रेशर को अपने आप निकलने दें। राजमा से पानी निथार लें और इसे किसी अन्य उद्देश्य (करी में या चपाती का आटा गूंथने के लिए) के लिए उपयोग करें। इस पानी को न फेंके। इस बीच, पालक के पत्तों को कई बार अच्छी तरह से धो लें। एक पैन में बिना तेल के पालक को"&amp;" हल्का सा भूनें जब तक कि वह नरम न हो जाए और पालक सिकुड़ न जाए। आँच बंद कर दें और पालक को ठंडा होने दें। अब, मिक्सर/ब्लेंडर में रोल्ड ओट्स को बारीक पीस लें और एक तरफ रख दें इससे लॉलीपॉप को काटते समय आपको एक अच्छा बनावट मिलेगा। इसके बाद, पका हुआ पालक, ओट्स "&amp;"पाउडर, नमक और 'पालक राजमा ओट्स लॉलीपॉप बनाने के लिए' के ​​तहत बताए गए सभी मसाले डालें, जिसमें लाल मिर्च पाउडर, गरम मसाला पाउडर, जीरा पाउडर, अमचूर पाउडर, नमक और तेल शामिल हैं। सभी सामग्री को अच्छी तरह मिलाएं ताकि यह एक नरम, चिपचिपा आटा बन जाए। आपको इसे आसा"&amp;"नी से छोटी गेंदों का आकार देने में सक्षम होना चाहिए। यदि आपका आटा चिपचिपा है, तो आप अधिक ओट्स पाउडर जोड़ सकते हैं। छोटे नींबू के आकार की गेंदें बनाएं और एक तरफ रख दें। मसाले और नमक की जांच करें और अपने स्वाद के अनुसार समायोजित करें। अब, आपको बेसन का एक पत"&amp;"ला पेस्ट बनाना होगा। इसके लिए, बेसन में नमक और हल्दी पाउडर मिलाएं। आवश्यकतानुसार पानी डालें और अच्छी तरह से फेंटें अब, एक पड्डू / अप्पे / पनियारम पैन गरम करें और प्रत्येक कैविटी में तेल की कुछ बूंदें डालें। प्रत्येक वेज लॉलीपॉप बॉल को बेसन के मिश्रण में ड"&amp;"ुबोएं और उन्हें धीरे से ओट्स पर रोल करें ताकि वे समान रूप से लेपित हो जाएं। धीरे से वेज लॉलीपॉप बॉल्स को पड्डू पैन के तेल वाले कैविटी के अंदर रखें। इन्हें धीमी-मध्यम आंच पर हल्का भूरा होने तक पकाएं। वेज लॉलीपॉप को पलटें ताकि वे सभी तरफ से अच्छी तरह से पक "&amp;"जाएं। एक बार वेज लॉलीपॉप बन जाने के बाद, अतिरिक्त तेल निकालने के लिए उन्हें एक पेपर टॉवल पर निकाल लें। उनमें से प्रत्येक को धीरे से टूथपिक से चुभोएं ताकि वे लॉलीपॉप जैसा दिखें। पालक और राजमा के साथ हेल्दी वेज लॉलीपॉप रेसिपी को धनिया पुदीना चटनी और मसाला च"&amp;"ाय के साथ अपनी चाय पार्टी या शाम के नाश्ते के रूप में परोसें।")</f>
        <v>पालक और राजमा के साथ हेल्दी वेज लॉलीपॉप रेसिपी बनाने के लिए, राजमा को 7-8 घंटे या रात भर के लिए पानी में भिगोएँ। राजमा की मात्रा लगभग दोगुनी हो जाएगी। पानी निथार लें और भिगोए हुए राजमा को ताजे पानी के साथ 8 से 10 सीटी/ लगभग 30 मिनट तक पकाएँ ताकि दबाने पर वे नरम हों। प्रेशर को अपने आप निकलने दें। राजमा से पानी निथार लें और इसे किसी अन्य उद्देश्य (करी में या चपाती का आटा गूंथने के लिए) के लिए उपयोग करें। इस पानी को न फेंके। इस बीच, पालक के पत्तों को कई बार अच्छी तरह से धो लें। एक पैन में बिना तेल के पालक को हल्का सा भूनें जब तक कि वह नरम न हो जाए और पालक सिकुड़ न जाए। आँच बंद कर दें और पालक को ठंडा होने दें। अब, मिक्सर/ब्लेंडर में रोल्ड ओट्स को बारीक पीस लें और एक तरफ रख दें इससे लॉलीपॉप को काटते समय आपको एक अच्छा बनावट मिलेगा। इसके बाद, पका हुआ पालक, ओट्स पाउडर, नमक और 'पालक राजमा ओट्स लॉलीपॉप बनाने के लिए' के ​​तहत बताए गए सभी मसाले डालें, जिसमें लाल मिर्च पाउडर, गरम मसाला पाउडर, जीरा पाउडर, अमचूर पाउडर, नमक और तेल शामिल हैं। सभी सामग्री को अच्छी तरह मिलाएं ताकि यह एक नरम, चिपचिपा आटा बन जाए। आपको इसे आसानी से छोटी गेंदों का आकार देने में सक्षम होना चाहिए। यदि आपका आटा चिपचिपा है, तो आप अधिक ओट्स पाउडर जोड़ सकते हैं। छोटे नींबू के आकार की गेंदें बनाएं और एक तरफ रख दें। मसाले और नमक की जांच करें और अपने स्वाद के अनुसार समायोजित करें। अब, आपको बेसन का एक पतला पेस्ट बनाना होगा। इसके लिए, बेसन में नमक और हल्दी पाउडर मिलाएं। आवश्यकतानुसार पानी डालें और अच्छी तरह से फेंटें अब, एक पड्डू / अप्पे / पनियारम पैन गरम करें और प्रत्येक कैविटी में तेल की कुछ बूंदें डालें। प्रत्येक वेज लॉलीपॉप बॉल को बेसन के मिश्रण में डुबोएं और उन्हें धीरे से ओट्स पर रोल करें ताकि वे समान रूप से लेपित हो जाएं। धीरे से वेज लॉलीपॉप बॉल्स को पड्डू पैन के तेल वाले कैविटी के अंदर रखें। इन्हें धीमी-मध्यम आंच पर हल्का भूरा होने तक पकाएं। वेज लॉलीपॉप को पलटें ताकि वे सभी तरफ से अच्छी तरह से पक जाएं। एक बार वेज लॉलीपॉप बन जाने के बाद, अतिरिक्त तेल निकालने के लिए उन्हें एक पेपर टॉवल पर निकाल लें। उनमें से प्रत्येक को धीरे से टूथपिक से चुभोएं ताकि वे लॉलीपॉप जैसा दिखें। पालक और राजमा के साथ हेल्दी वेज लॉलीपॉप रेसिपी को धनिया पुदीना चटनी और मसाला चाय के साथ अपनी चाय पार्टी या शाम के नाश्ते के रूप में परोसें।</v>
      </c>
      <c r="J768" s="3" t="s">
        <v>34045</v>
      </c>
      <c r="L768" s="1" t="s">
        <v>31003</v>
      </c>
    </row>
    <row r="769" spans="1:12" ht="409.6">
      <c r="A769" s="1" t="s">
        <v>34046</v>
      </c>
      <c r="B769" s="1" t="str">
        <f ca="1">IFERROR(__xludf.dummyfunction("IF(A769="""", """", GOOGLETRANSLATE(A769, ""en"", ""hi""))"),"मटकी खिचड़ी रेसिपी - पालक पुदीना मोठ बीन खिचड़ी रेसिपी")</f>
        <v>मटकी खिचड़ी रेसिपी - पालक पुदीना मोठ बीन खिचड़ी रेसिपी</v>
      </c>
      <c r="C769" s="1" t="s">
        <v>429</v>
      </c>
      <c r="D769" s="1" t="s">
        <v>14198</v>
      </c>
      <c r="E769" s="1">
        <v>30</v>
      </c>
      <c r="F769" s="1" t="s">
        <v>34047</v>
      </c>
      <c r="G769" s="1" t="str">
        <f ca="1">IFERROR(__xludf.dummyfunction("IF(F769="""", """", GOOGLETRANSLATE(F769, ""en"", ""hi""))"),"3/4 कप चावल, 1 कप मोठ दाल (मटकी) - रात भर भिगोई हुई, 1 प्याज - बारीक कटा हुआ, 1 कप पालक - कटा हुआ, 1/2 कप पुदीना - कटा हुआ, 1/2 चम्मच गरम मसाला पाउडर, 1 चम्मच जीरा, 1 चम्मच काली मिर्च पाउडर, 1 चम्मच हींग, 2 चम्मच घी, नमक - स्वादानुसार, 1 बड़ा चम्मच घी, 4 "&amp;"लहसुन - बारीक कटा हुआ")</f>
        <v>3/4 कप चावल, 1 कप मोठ दाल (मटकी) - रात भर भिगोई हुई, 1 प्याज - बारीक कटा हुआ, 1 कप पालक - कटा हुआ, 1/2 कप पुदीना - कटा हुआ, 1/2 चम्मच गरम मसाला पाउडर, 1 चम्मच जीरा, 1 चम्मच काली मिर्च पाउडर, 1 चम्मच हींग, 2 चम्मच घी, नमक - स्वादानुसार, 1 बड़ा चम्मच घी, 4 लहसुन - बारीक कटा हुआ</v>
      </c>
      <c r="H769" s="1" t="s">
        <v>34048</v>
      </c>
      <c r="I769" s="4" t="str">
        <f ca="1">IFERROR(__xludf.dummyfunction("IF(H769="""", """", GOOGLETRANSLATE(H769, ""en"", ""hi""))"),"हरियाली मटकी खिचड़ी (पालक पुदीना मोठ खिचड़ी रेसिपी) बनाने के लिए मोठ को धोकर रात भर भिगो दें। पकाने से पहले चावल को धोकर 10 मिनट के लिए भिगो दें। एक प्रेशर पैन में 2 चम्मच घी गर्म करें, उसमें जीरा, साबुत काली मिर्च डालें और उसे चटकने दें। उसमें हींग, प्या"&amp;"ज डालें और पारदर्शी होने तक भूनें। जब प्याज पारदर्शी हो जाए तो उसमें कटा हुआ पालक और पुदीने के पत्ते डालें और थोड़ा सा मुरझाने तक भूनें। पानी छान लें और भिगोए हुए मोठ और चावल डालें। 4 कप पानी डालें, नमक, गरम मसाला डालकर मटकी खिचड़ी को 3 से 4 सीटी आने तक प"&amp;"का लें। आंच बंद कर दें। आंच बंद कर दें। इस कुरकुरे लहसुन के तड़का को तैयार मटकी खिचड़ी के ऊपर डालें। इसे ताजा पुदीने की पत्तियों से सजाएं और हरियाली मटकी खिचड़ी को राजस्थानी कढ़ी, सात्विक स्प्राउट्स सलाद और भुने हुए पापड़ के साथ एक सप्ताह के रात्रिभोज में"&amp;" परोसें।
")</f>
        <v xml:space="preserve">हरियाली मटकी खिचड़ी (पालक पुदीना मोठ खिचड़ी रेसिपी) बनाने के लिए मोठ को धोकर रात भर भिगो दें। पकाने से पहले चावल को धोकर 10 मिनट के लिए भिगो दें। एक प्रेशर पैन में 2 चम्मच घी गर्म करें, उसमें जीरा, साबुत काली मिर्च डालें और उसे चटकने दें। उसमें हींग, प्याज डालें और पारदर्शी होने तक भूनें। जब प्याज पारदर्शी हो जाए तो उसमें कटा हुआ पालक और पुदीने के पत्ते डालें और थोड़ा सा मुरझाने तक भूनें। पानी छान लें और भिगोए हुए मोठ और चावल डालें। 4 कप पानी डालें, नमक, गरम मसाला डालकर मटकी खिचड़ी को 3 से 4 सीटी आने तक पका लें। आंच बंद कर दें। आंच बंद कर दें। इस कुरकुरे लहसुन के तड़का को तैयार मटकी खिचड़ी के ऊपर डालें। इसे ताजा पुदीने की पत्तियों से सजाएं और हरियाली मटकी खिचड़ी को राजस्थानी कढ़ी, सात्विक स्प्राउट्स सलाद और भुने हुए पापड़ के साथ एक सप्ताह के रात्रिभोज में परोसें।
</v>
      </c>
      <c r="J769" s="3" t="s">
        <v>34049</v>
      </c>
      <c r="L769" s="1" t="s">
        <v>31003</v>
      </c>
    </row>
    <row r="770" spans="1:12" ht="13.8">
      <c r="A770" s="1" t="s">
        <v>34050</v>
      </c>
      <c r="B770" s="1" t="str">
        <f ca="1">IFERROR(__xludf.dummyfunction("IF(A770="""", """", GOOGLETRANSLATE(A770, ""en"", ""hi""))"),"चुन्नी की पूरी रेसिपी - मूंग दाल और बेसन की तली हुई पूरी रेसिपी")</f>
        <v>चुन्नी की पूरी रेसिपी - मूंग दाल और बेसन की तली हुई पूरी रेसिपी</v>
      </c>
      <c r="C770" s="1" t="s">
        <v>145</v>
      </c>
      <c r="D770" s="1" t="s">
        <v>14198</v>
      </c>
      <c r="E770" s="1">
        <v>30</v>
      </c>
      <c r="F770" s="1" t="s">
        <v>34051</v>
      </c>
      <c r="G770" s="1" t="str">
        <f ca="1">IFERROR(__xludf.dummyfunction("IF(F770="""", """", GOOGLETRANSLATE(F770, ""en"", ""hi""))"),"1/4 कप पीली मूंग दाल - धुली हुई, 1/2 कप बेसन, 2 कप गेहूं का आटा, नमक - स्वादानुसार, 1/4 छोटा चम्मच हींग, 1 बड़ा चम्मच सूरजमुखी तेल, सूरजमुखी तेल - तलने के लिए")</f>
        <v>1/4 कप पीली मूंग दाल - धुली हुई, 1/2 कप बेसन, 2 कप गेहूं का आटा, नमक - स्वादानुसार, 1/4 छोटा चम्मच हींग, 1 बड़ा चम्मच सूरजमुखी तेल, सूरजमुखी तेल - तलने के लिए</v>
      </c>
      <c r="H770" s="1" t="s">
        <v>34052</v>
      </c>
      <c r="I770" s="1" t="str">
        <f ca="1">IFERROR(__xludf.dummyfunction("IF(H770="""", """", GOOGLETRANSLATE(H770, ""en"", ""hi""))"),"चुन्नी की पूरी / दाल और बेसन पूरी रेसिपी बनाने के लिए सबसे पहले मूंग दाल को धोकर 20 मिनट के लिए भिगो दें। एक प्रेशर कुकर में दाल के साथ 1/2 कप पानी डालें और 2 सीटी आने तक पका लें और आंच बंद कर दें। प्रेशर को अपने आप निकलने दें। प्रेशर निकल जाने पर दाल को "&amp;"मथनी से मैश कर लें और ठंडा होने दें। बहुत कम पानी बचेगा जिसका उपयोग आप पूरी का आटा गूंथने में कर सकते हैं। एक बड़े मिक्सिंग बाउल में गेहूं का आटा, बेसन, नमक, हींग और मसली हुई दाल डालें। यदि आवश्यक हो तो थोड़ा पानी डालें और सख्त आटा गूंथ लें। ऊपर से एक चम्"&amp;"मच तेल डालें और कुछ और मिनट तक चिकना होने तक गूंथ लें। एक मलमल के कपड़े से ढककर अलग रख दें। एक भारी तले वाले पैन में दाल और बेसन पूरी तलने के लिए आवश्यक मात्रा में तेल डालें उन्हें 2-1/2 से 3 इंच व्यास के सर्कल में रोल करें। एक बार तेल गर्म हो जाने पर, धी"&amp;"रे से दाल और बेसन पुरी को काट लें। एक छिद्रित चम्मच का उपयोग करके, पूरी के ऊपर तेल डालना जारी रखें और धीरे से पूरी को दबाएं, ताकि चुन्नी की पूरी फूल जाए। इस बिंदु पर, पूरी को दूसरी तरफ पलट दें और सुनहरा भूरा होने तक तलें। अतिरिक्त तेल को सोखने के लिए दाल "&amp;"और बेसन पुरी को रसोई के तौलिये पर निकालें और गर्मागर्म परोसें। चुन्नी की पूरी / दाल और बेसन पूरी को जोधपुरी आलू रेसिपी या रावल पिंडी स्टाइल छोले रेसिपी और बूंदी रायता के साथ सप्ताह के दिनों के भोजन के लिए परोसें।")</f>
        <v>चुन्नी की पूरी / दाल और बेसन पूरी रेसिपी बनाने के लिए सबसे पहले मूंग दाल को धोकर 20 मिनट के लिए भिगो दें। एक प्रेशर कुकर में दाल के साथ 1/2 कप पानी डालें और 2 सीटी आने तक पका लें और आंच बंद कर दें। प्रेशर को अपने आप निकलने दें। प्रेशर निकल जाने पर दाल को मथनी से मैश कर लें और ठंडा होने दें। बहुत कम पानी बचेगा जिसका उपयोग आप पूरी का आटा गूंथने में कर सकते हैं। एक बड़े मिक्सिंग बाउल में गेहूं का आटा, बेसन, नमक, हींग और मसली हुई दाल डालें। यदि आवश्यक हो तो थोड़ा पानी डालें और सख्त आटा गूंथ लें। ऊपर से एक चम्मच तेल डालें और कुछ और मिनट तक चिकना होने तक गूंथ लें। एक मलमल के कपड़े से ढककर अलग रख दें। एक भारी तले वाले पैन में दाल और बेसन पूरी तलने के लिए आवश्यक मात्रा में तेल डालें उन्हें 2-1/2 से 3 इंच व्यास के सर्कल में रोल करें। एक बार तेल गर्म हो जाने पर, धीरे से दाल और बेसन पुरी को काट लें। एक छिद्रित चम्मच का उपयोग करके, पूरी के ऊपर तेल डालना जारी रखें और धीरे से पूरी को दबाएं, ताकि चुन्नी की पूरी फूल जाए। इस बिंदु पर, पूरी को दूसरी तरफ पलट दें और सुनहरा भूरा होने तक तलें। अतिरिक्त तेल को सोखने के लिए दाल और बेसन पुरी को रसोई के तौलिये पर निकालें और गर्मागर्म परोसें। चुन्नी की पूरी / दाल और बेसन पूरी को जोधपुरी आलू रेसिपी या रावल पिंडी स्टाइल छोले रेसिपी और बूंदी रायता के साथ सप्ताह के दिनों के भोजन के लिए परोसें।</v>
      </c>
      <c r="J770" s="3" t="s">
        <v>34053</v>
      </c>
      <c r="L770" s="1" t="s">
        <v>31003</v>
      </c>
    </row>
    <row r="771" spans="1:12" ht="13.8">
      <c r="A771" s="1" t="s">
        <v>31976</v>
      </c>
      <c r="B771" s="1" t="str">
        <f ca="1">IFERROR(__xludf.dummyfunction("IF(A771="""", """", GOOGLETRANSLATE(A771, ""en"", ""hi""))"),"शाही दाल रेसिपी")</f>
        <v>शाही दाल रेसिपी</v>
      </c>
      <c r="C771" s="1" t="s">
        <v>145</v>
      </c>
      <c r="D771" s="1" t="s">
        <v>14237</v>
      </c>
      <c r="E771" s="1">
        <v>45</v>
      </c>
      <c r="F771" s="1" t="s">
        <v>34054</v>
      </c>
      <c r="G771" s="1" t="str">
        <f ca="1">IFERROR(__xludf.dummyfunction("IF(F771="""", """", GOOGLETRANSLATE(F771, ""en"", ""hi""))"),"1 कप सफ़ेद उड़द दाल - 8 घंटे भिगोई हुई, 15 बादाम - भिगोकर छील लें, 1/2 कप दूध, 1 छोटा चम्मच हल्दी पाउडर, नमक - स्वादानुसार, 1 प्याज़ - कटा हुआ, 1 टमाटर - कटा हुआ, 1 छोटा चम्मच जीरा, 1 छोटा चम्मच लाल मिर्च पाउडर, 1 हरी मिर्च - कटी हुई, तेल")</f>
        <v>1 कप सफ़ेद उड़द दाल - 8 घंटे भिगोई हुई, 15 बादाम - भिगोकर छील लें, 1/2 कप दूध, 1 छोटा चम्मच हल्दी पाउडर, नमक - स्वादानुसार, 1 प्याज़ - कटा हुआ, 1 टमाटर - कटा हुआ, 1 छोटा चम्मच जीरा, 1 छोटा चम्मच लाल मिर्च पाउडर, 1 हरी मिर्च - कटी हुई, तेल</v>
      </c>
      <c r="H771" s="1" t="s">
        <v>34055</v>
      </c>
      <c r="I771" s="1" t="str">
        <f ca="1">IFERROR(__xludf.dummyfunction("IF(H771="""", """", GOOGLETRANSLATE(H771, ""en"", ""hi""))"),"शाही दाल रेसिपी बनाने के लिए सबसे पहले एक प्रेशर कुकर लें और उसमें उड़द दाल, बादाम, हल्दी पाउडर, नमक, आवश्यकतानुसार पानी डालें। कुकर को बंद करके 4 सीटी आने तक पकाएँ। गैस बंद कर दें और प्रेशर को अपने आप निकलने दें। कुकर खोलें, 1 कप दूध डालें, गैस चालू करें"&amp;" और 2 मिनट तक पकाएँ। नमक डालें, मिलाएँ और गैस बंद कर दें। अब एक पैन में तेल गर्म करें। जीरा डालें और उन्हें चटकने दें। जीरा चटकने के बाद, प्याज़ डालें और उनके नरम होने तक पकाएँ। अब टमाटर, नमक डालें और टमाटर के नरम होने तक पकाएँ। अब लाल मिर्च पाउडर डालें औ"&amp;"र 2 मिनट तक पकाएँ। 2 मिनट बाद दाल डालें और मिलाएँ। 1 मिनट बाद गैस बंद कर दें और परोसें। शाही दाल रेसिपी को भिंडी मसाला, टमाटर प्याज खीरा रायता और फुल्के के साथ लंच में परोसें।")</f>
        <v>शाही दाल रेसिपी बनाने के लिए सबसे पहले एक प्रेशर कुकर लें और उसमें उड़द दाल, बादाम, हल्दी पाउडर, नमक, आवश्यकतानुसार पानी डालें। कुकर को बंद करके 4 सीटी आने तक पकाएँ। गैस बंद कर दें और प्रेशर को अपने आप निकलने दें। कुकर खोलें, 1 कप दूध डालें, गैस चालू करें और 2 मिनट तक पकाएँ। नमक डालें, मिलाएँ और गैस बंद कर दें। अब एक पैन में तेल गर्म करें। जीरा डालें और उन्हें चटकने दें। जीरा चटकने के बाद, प्याज़ डालें और उनके नरम होने तक पकाएँ। अब टमाटर, नमक डालें और टमाटर के नरम होने तक पकाएँ। अब लाल मिर्च पाउडर डालें और 2 मिनट तक पकाएँ। 2 मिनट बाद दाल डालें और मिलाएँ। 1 मिनट बाद गैस बंद कर दें और परोसें। शाही दाल रेसिपी को भिंडी मसाला, टमाटर प्याज खीरा रायता और फुल्के के साथ लंच में परोसें।</v>
      </c>
      <c r="J771" s="3" t="s">
        <v>34056</v>
      </c>
      <c r="L771" s="1" t="s">
        <v>31003</v>
      </c>
    </row>
    <row r="772" spans="1:12" ht="13.8">
      <c r="A772" s="1" t="s">
        <v>34057</v>
      </c>
      <c r="B772" s="1" t="str">
        <f ca="1">IFERROR(__xludf.dummyfunction("IF(A772="""", """", GOOGLETRANSLATE(A772, ""en"", ""hi""))"),"आलू मटर कोरमा रेसिपी सफ़ेद ग्रेवी में")</f>
        <v>आलू मटर कोरमा रेसिपी सफ़ेद ग्रेवी में</v>
      </c>
      <c r="C772" s="1" t="s">
        <v>145</v>
      </c>
      <c r="D772" s="1" t="s">
        <v>14198</v>
      </c>
      <c r="E772" s="1">
        <v>30</v>
      </c>
      <c r="F772" s="1" t="s">
        <v>34058</v>
      </c>
      <c r="G772" s="1" t="str">
        <f ca="1">IFERROR(__xludf.dummyfunction("IF(F772="""", """", GOOGLETRANSLATE(F772, ""en"", ""hi""))"),"500 ग्राम बेबी आलू - उबले हुए, 1 कप हरी मटर (मटर) - उबले हुए, 1 तेज पत्ता (तेज पत्ता), 2 इलायची (इलायची) की फली / बीज, 4 लौंग (लौंग), 1 चम्मच गरम मसाला पाउडर, 2 बड़े चम्मच दही (दही), 1/4 कप ताजा क्रीम, 1 बड़ा चम्मच घी, नमक - स्वादानुसार, 1 प्याज - कटा हुआ"&amp;", 2 बड़े चम्मच काजू, 2 हरी मिर्च, 1 इंच अदरक")</f>
        <v>500 ग्राम बेबी आलू - उबले हुए, 1 कप हरी मटर (मटर) - उबले हुए, 1 तेज पत्ता (तेज पत्ता), 2 इलायची (इलायची) की फली / बीज, 4 लौंग (लौंग), 1 चम्मच गरम मसाला पाउडर, 2 बड़े चम्मच दही (दही), 1/4 कप ताजा क्रीम, 1 बड़ा चम्मच घी, नमक - स्वादानुसार, 1 प्याज - कटा हुआ, 2 बड़े चम्मच काजू, 2 हरी मिर्च, 1 इंच अदरक</v>
      </c>
      <c r="H772" s="1" t="s">
        <v>34059</v>
      </c>
      <c r="I772" s="1" t="str">
        <f ca="1">IFERROR(__xludf.dummyfunction("IF(H772="""", """", GOOGLETRANSLATE(H772, ""en"", ""hi""))"),"आलू मटर कोरमा रेसिपी इन व्हाइट ग्रेवी बनाने के लिए, छोटे आलू को धोकर 2 सीटी आने तक पकाएँ। छीलकर अलग रख दें। इसी तरह, हरी मटर को भाप में पकाएँ या उबाल लें और अलग रख दें। मिक्सर ग्राइंडर का उपयोग करके 'पीसकर चिकना पेस्ट बनाएँ' के तहत बताई गई सामग्री का चिकन"&amp;"ा पेस्ट बनाएँ जिसमें प्याज़, काजू, हरी मिर्च और अदरक शामिल हैं। इसे अलग रख दें। अब, एक भारी तले वाले पैन में घी गरम करें, उसमें तेजपत्ता, इलायची, लौंग डालें और घी में इसकी खुशबू आने दें। इसमें लगभग 10 से 15 सेकंड का समय लगेगा। पैन में पिसा हुआ प्याज अदरक "&amp;"काजू का मिश्रण डालें और 3 मिनट तक भूनें। दही और गरम मसाला को क्रीम में धीरे से फेंटें जब तक कि यह मुलायम न हो जाए और पैन में डालें। एक कप पानी डालें, नमक डालें और इसे 2 से 3 मिनट तक उबलने दें। उबले हुए छोटे आलू और हरी मटर डालें, 2 मिनट तक और उबालें और आंच"&amp;" बंद कर दें। इस स्वादिष्ट आलू मटर कोरमा रेसिपी को सफेद ग्रेवी में तवा पराठा और पालक रायता के साथ सप्ताह के दिनों में परोसें।")</f>
        <v>आलू मटर कोरमा रेसिपी इन व्हाइट ग्रेवी बनाने के लिए, छोटे आलू को धोकर 2 सीटी आने तक पकाएँ। छीलकर अलग रख दें। इसी तरह, हरी मटर को भाप में पकाएँ या उबाल लें और अलग रख दें। मिक्सर ग्राइंडर का उपयोग करके 'पीसकर चिकना पेस्ट बनाएँ' के तहत बताई गई सामग्री का चिकना पेस्ट बनाएँ जिसमें प्याज़, काजू, हरी मिर्च और अदरक शामिल हैं। इसे अलग रख दें। अब, एक भारी तले वाले पैन में घी गरम करें, उसमें तेजपत्ता, इलायची, लौंग डालें और घी में इसकी खुशबू आने दें। इसमें लगभग 10 से 15 सेकंड का समय लगेगा। पैन में पिसा हुआ प्याज अदरक काजू का मिश्रण डालें और 3 मिनट तक भूनें। दही और गरम मसाला को क्रीम में धीरे से फेंटें जब तक कि यह मुलायम न हो जाए और पैन में डालें। एक कप पानी डालें, नमक डालें और इसे 2 से 3 मिनट तक उबलने दें। उबले हुए छोटे आलू और हरी मटर डालें, 2 मिनट तक और उबालें और आंच बंद कर दें। इस स्वादिष्ट आलू मटर कोरमा रेसिपी को सफेद ग्रेवी में तवा पराठा और पालक रायता के साथ सप्ताह के दिनों में परोसें।</v>
      </c>
      <c r="J772" s="3" t="s">
        <v>34060</v>
      </c>
      <c r="L772" s="1" t="s">
        <v>31003</v>
      </c>
    </row>
    <row r="773" spans="1:12" ht="13.8">
      <c r="A773" s="1" t="s">
        <v>34061</v>
      </c>
      <c r="B773" s="1" t="str">
        <f ca="1">IFERROR(__xludf.dummyfunction("IF(A773="""", """", GOOGLETRANSLATE(A773, ""en"", ""hi""))"),"भरवां तुरई रेसिपी")</f>
        <v>भरवां तुरई रेसिपी</v>
      </c>
      <c r="C773" s="1" t="s">
        <v>145</v>
      </c>
      <c r="D773" s="1" t="s">
        <v>14198</v>
      </c>
      <c r="E773" s="1">
        <v>40</v>
      </c>
      <c r="F773" s="1" t="s">
        <v>34062</v>
      </c>
      <c r="G773" s="1" t="str">
        <f ca="1">IFERROR(__xludf.dummyfunction("IF(F773="""", """", GOOGLETRANSLATE(F773, ""en"", ""hi""))"),"1 तुरई / पीरकंगई - छिलका उतारकर 2 इंच के बेलनाकार टुकड़ों में काट लें।, 1 छोटा चम्मच सरसों के बीज, 1 प्याज - कटा हुआ, 1 टमाटर - कटा हुआ, 2 बड़े चम्मच भुनी हुई मूंगफली, 1 हरी मिर्च - कटी हुई, 2 टहनी धनिया पत्ती, 4 लहसुन की कलियां, 1 छोटा चम्मच जीरा")</f>
        <v>1 तुरई / पीरकंगई - छिलका उतारकर 2 इंच के बेलनाकार टुकड़ों में काट लें।, 1 छोटा चम्मच सरसों के बीज, 1 प्याज - कटा हुआ, 1 टमाटर - कटा हुआ, 2 बड़े चम्मच भुनी हुई मूंगफली, 1 हरी मिर्च - कटी हुई, 2 टहनी धनिया पत्ती, 4 लहसुन की कलियां, 1 छोटा चम्मच जीरा</v>
      </c>
      <c r="H773" s="1" t="s">
        <v>34063</v>
      </c>
      <c r="I773" s="1" t="str">
        <f ca="1">IFERROR(__xludf.dummyfunction("IF(H773="""", """", GOOGLETRANSLATE(H773, ""en"", ""hi""))"),"भरवां तुरई रेसिपी बनाने के लिए तुरई को तैयार करके रख लें। प्रत्येक बेलन को 4 भागों में काट लें। बहुत ज्यादा न काटें। सभी सामग्री को थोड़े पानी के साथ मुलायम पेस्ट बनने तक पीस लें। एक बार जब वह पीस जाए, तो कटी हुई तुरई में भरावन भर दें और एक तरफ रख दें। एक"&amp;" सॉस पैन में तेल गर्म करें, उसमें राई डालें और 10 सेकंड तक उसे चटकने दें। भरवां तुरई डालें और 5 मिनट तक पकाएँ। तुरई को पलटते रहें ताकि वह पैन से चिपके नहीं। पीसा हुआ पेस्ट और थोड़ा पानी डालें और ढक्कन से ढककर पकाएं, नमक डालें और सावधानी से मिलाएँ। मसाला क"&amp;"म होने तक पकाएं। भरवां तुरई रेसिपी को तवा पराठा, दाल पालक रेसिपी और पालक चावल के साथ परोसें")</f>
        <v>भरवां तुरई रेसिपी बनाने के लिए तुरई को तैयार करके रख लें। प्रत्येक बेलन को 4 भागों में काट लें। बहुत ज्यादा न काटें। सभी सामग्री को थोड़े पानी के साथ मुलायम पेस्ट बनने तक पीस लें। एक बार जब वह पीस जाए, तो कटी हुई तुरई में भरावन भर दें और एक तरफ रख दें। एक सॉस पैन में तेल गर्म करें, उसमें राई डालें और 10 सेकंड तक उसे चटकने दें। भरवां तुरई डालें और 5 मिनट तक पकाएँ। तुरई को पलटते रहें ताकि वह पैन से चिपके नहीं। पीसा हुआ पेस्ट और थोड़ा पानी डालें और ढक्कन से ढककर पकाएं, नमक डालें और सावधानी से मिलाएँ। मसाला कम होने तक पकाएं। भरवां तुरई रेसिपी को तवा पराठा, दाल पालक रेसिपी और पालक चावल के साथ परोसें</v>
      </c>
      <c r="J773" s="3" t="s">
        <v>34064</v>
      </c>
      <c r="L773" s="1" t="s">
        <v>31003</v>
      </c>
    </row>
    <row r="774" spans="1:12" ht="13.8">
      <c r="A774" s="1" t="s">
        <v>34065</v>
      </c>
      <c r="B774" s="1" t="str">
        <f ca="1">IFERROR(__xludf.dummyfunction("IF(A774="""", """", GOOGLETRANSLATE(A774, ""en"", ""hi""))"),"निमकी आलू अनारदाना करी रेसिपी - आलू और निमकी करी")</f>
        <v>निमकी आलू अनारदाना करी रेसिपी - आलू और निमकी करी</v>
      </c>
      <c r="C774" s="1" t="s">
        <v>145</v>
      </c>
      <c r="D774" s="1" t="s">
        <v>14198</v>
      </c>
      <c r="E774" s="1">
        <v>105</v>
      </c>
      <c r="F774" s="1" t="s">
        <v>34066</v>
      </c>
      <c r="G774" s="1" t="str">
        <f ca="1">IFERROR(__xludf.dummyfunction("IF(F774="""", """", GOOGLETRANSLATE(F774, ""en"", ""hi""))"),"1 कप मैदा, 1 बड़ा चम्मच अजवाइन, 1 बड़ा चम्मच सूजी, 1 बड़ा चम्मच घी, नमक - स्वादानुसार, पानी - आटा गूंथने के लिए, सूरजमुखी का तेल - आवश्यकतानुसार, 5 आलू - छिले और कटे हुए, 1 प्याज - बारीक कटा हुआ, 1 बड़ा चम्मच अदरक लहसुन का पेस्ट, 1/2 कप घर का बना टमाटर प्"&amp;"यूरी, 2 बड़े चम्मच सूरजमुखी तेल, 1/2 चम्मच जीरा, 1/2 चम्मच हल्दी, 1 चम्मच लाल मिर्च पाउडर, 1 चम्मच धनिया पाउडर, 1 बड़ा चम्मच अनारदाना पाउडर, 1 चम्मच सौंफ - पिसी हुई, 1 चम्मच चीनी, 1/2 चम्मच गरम मसाला पाउडर, नमक - स्वादानुसार, 1/2 चम्मच कसूरी मेथी, धनिया प"&amp;"त्ते - कटे हुए, ताजे अनार गुठली - आवश्यकतानुसार, नींबू के टुकड़े - आवश्यकतानुसार, प्याज - बारीक कटा हुआ")</f>
        <v>1 कप मैदा, 1 बड़ा चम्मच अजवाइन, 1 बड़ा चम्मच सूजी, 1 बड़ा चम्मच घी, नमक - स्वादानुसार, पानी - आटा गूंथने के लिए, सूरजमुखी का तेल - आवश्यकतानुसार, 5 आलू - छिले और कटे हुए, 1 प्याज - बारीक कटा हुआ, 1 बड़ा चम्मच अदरक लहसुन का पेस्ट, 1/2 कप घर का बना टमाटर प्यूरी, 2 बड़े चम्मच सूरजमुखी तेल, 1/2 चम्मच जीरा, 1/2 चम्मच हल्दी, 1 चम्मच लाल मिर्च पाउडर, 1 चम्मच धनिया पाउडर, 1 बड़ा चम्मच अनारदाना पाउडर, 1 चम्मच सौंफ - पिसी हुई, 1 चम्मच चीनी, 1/2 चम्मच गरम मसाला पाउडर, नमक - स्वादानुसार, 1/2 चम्मच कसूरी मेथी, धनिया पत्ते - कटे हुए, ताजे अनार गुठली - आवश्यकतानुसार, नींबू के टुकड़े - आवश्यकतानुसार, प्याज - बारीक कटा हुआ</v>
      </c>
      <c r="H774" s="1" t="s">
        <v>34067</v>
      </c>
      <c r="I774" s="1" t="str">
        <f ca="1">IFERROR(__xludf.dummyfunction("IF(H774="""", """", GOOGLETRANSLATE(H774, ""en"", ""hi""))"),"निमकी आलू अनारदाना करी रेसिपी बनाने के लिए सबसे पहले हम निमकी बनाकर शुरू करेंगे। एक कटोरे में मैदा, नमक, सूजी, घी डालें और अच्छी तरह मिलाएँ। इसमें धीरे-धीरे पानी डालें और सख्त आटा गूंथना शुरू करें। 15-20 मिनट के लिए अलग रख दें और एक चिकना आटा गूंथने के लि"&amp;"ए फिर से गूंथ लें। अब एक गेंद के आकार का आटा लें और इसे रोटी की तरह बेलना शुरू करें और इसे चाकू से हीरे के आकार में काट लें। एक कड़ाही में तलने के लिए आवश्यक तेल गर्म करें और एक-एक करके निमकी डालें। इन्हें मध्यम धीमी आंच पर सभी तरफ से सुनहरा होने तक तल ले"&amp;"ं। तेल से निकालें और निमकी से अतिरिक्त तेल सोखने के लिए टिशू पेपर पर रखें। इसे एक तरफ रख दें। नोट: आप इस निमकी आलू अनारदाना करी रेसिपी को बनाने के लिए तैयार निमकी का भी उपयोग कर सकते इसमें जीरा, अदरक लहसुन का पेस्ट डालें और कच्ची महक जाने तक पकाएं। इसमें "&amp;"लगभग एक या दो मिनट का समय लगेगा। एक या दो मिनट के बाद, बारीक कटा हुआ प्याज डालें और प्याज के नरम और पारदर्शी होने तक इसे पकने दें। इसके बाद, गरम मसाला पाउडर, हल्दी पाउडर, लाल मिर्च पाउडर, सौंफ पाउडर, धनिया पाउडर, अनारदाना पाउडर सहित सभी सूखे मसाले डालें औ"&amp;"र एक मिनट के लिए हल्का भूनें। एक मिनट के बाद, टमाटर प्यूरी और कटे हुए आलू डालें और इसे 2 मिनट तक उबलने दें। स्वादानुसार नमक और 1 कप पानी डालें और प्रेशर कुकर को ढककर 4 से 5 सीटी आने तक पकाएं। हो जाने पर, आँच बंद कर दें और प्रेशर को अपने आप निकलने दें। प्र"&amp;"ेशर निकल जाने पर, कसूरी मेथी डालें और नमक और मसालों की जाँच करें और तदनुसार समायोजित करें। एक सर्विंग बाउल में डालें। अंत में, इसे अनार के दाने, धनिया पत्ती, निमकी, नींबू के टुकड़े और प्याज से गार्निश करें और गरमागरम परोसें। निमकी आलू अनारदाना करी को पालक"&amp;" रायता, कचुम्बर सलाद और तवा पराठा के साथ अपने परिवार के साथ सप्ताह के दिनों के भोजन के लिए परोसें।")</f>
        <v>निमकी आलू अनारदाना करी रेसिपी बनाने के लिए सबसे पहले हम निमकी बनाकर शुरू करेंगे। एक कटोरे में मैदा, नमक, सूजी, घी डालें और अच्छी तरह मिलाएँ। इसमें धीरे-धीरे पानी डालें और सख्त आटा गूंथना शुरू करें। 15-20 मिनट के लिए अलग रख दें और एक चिकना आटा गूंथने के लिए फिर से गूंथ लें। अब एक गेंद के आकार का आटा लें और इसे रोटी की तरह बेलना शुरू करें और इसे चाकू से हीरे के आकार में काट लें। एक कड़ाही में तलने के लिए आवश्यक तेल गर्म करें और एक-एक करके निमकी डालें। इन्हें मध्यम धीमी आंच पर सभी तरफ से सुनहरा होने तक तल लें। तेल से निकालें और निमकी से अतिरिक्त तेल सोखने के लिए टिशू पेपर पर रखें। इसे एक तरफ रख दें। नोट: आप इस निमकी आलू अनारदाना करी रेसिपी को बनाने के लिए तैयार निमकी का भी उपयोग कर सकते इसमें जीरा, अदरक लहसुन का पेस्ट डालें और कच्ची महक जाने तक पकाएं। इसमें लगभग एक या दो मिनट का समय लगेगा। एक या दो मिनट के बाद, बारीक कटा हुआ प्याज डालें और प्याज के नरम और पारदर्शी होने तक इसे पकने दें। इसके बाद, गरम मसाला पाउडर, हल्दी पाउडर, लाल मिर्च पाउडर, सौंफ पाउडर, धनिया पाउडर, अनारदाना पाउडर सहित सभी सूखे मसाले डालें और एक मिनट के लिए हल्का भूनें। एक मिनट के बाद, टमाटर प्यूरी और कटे हुए आलू डालें और इसे 2 मिनट तक उबलने दें। स्वादानुसार नमक और 1 कप पानी डालें और प्रेशर कुकर को ढककर 4 से 5 सीटी आने तक पकाएं। हो जाने पर, आँच बंद कर दें और प्रेशर को अपने आप निकलने दें। प्रेशर निकल जाने पर, कसूरी मेथी डालें और नमक और मसालों की जाँच करें और तदनुसार समायोजित करें। एक सर्विंग बाउल में डालें। अंत में, इसे अनार के दाने, धनिया पत्ती, निमकी, नींबू के टुकड़े और प्याज से गार्निश करें और गरमागरम परोसें। निमकी आलू अनारदाना करी को पालक रायता, कचुम्बर सलाद और तवा पराठा के साथ अपने परिवार के साथ सप्ताह के दिनों के भोजन के लिए परोसें।</v>
      </c>
      <c r="J774" s="3" t="s">
        <v>34068</v>
      </c>
      <c r="L774" s="1" t="s">
        <v>31003</v>
      </c>
    </row>
    <row r="775" spans="1:12" ht="13.8">
      <c r="A775" s="1" t="s">
        <v>34069</v>
      </c>
      <c r="B775" s="1" t="str">
        <f ca="1">IFERROR(__xludf.dummyfunction("IF(A775="""", """", GOOGLETRANSLATE(A775, ""en"", ""hi""))"),"आम पापड़ रेसिपी (स्वादिष्ट मैंगो बार्स)")</f>
        <v>आम पापड़ रेसिपी (स्वादिष्ट मैंगो बार्स)</v>
      </c>
      <c r="C775" s="1" t="s">
        <v>8417</v>
      </c>
      <c r="D775" s="1" t="s">
        <v>14198</v>
      </c>
      <c r="E775" s="1">
        <v>40</v>
      </c>
      <c r="F775" s="1" t="s">
        <v>34070</v>
      </c>
      <c r="G775" s="1" t="str">
        <f ca="1">IFERROR(__xludf.dummyfunction("IF(F775="""", """", GOOGLETRANSLATE(F775, ""en"", ""hi""))"),"3 कप आम का गूदा (प्यूरी), 1/2 कप चीनी, 1/2 चम्मच घी - चिकना करने के लिए, 1/2 चम्मच इलायची पाउडर (इलायची)")</f>
        <v>3 कप आम का गूदा (प्यूरी), 1/2 कप चीनी, 1/2 चम्मच घी - चिकना करने के लिए, 1/2 चम्मच इलायची पाउडर (इलायची)</v>
      </c>
      <c r="H775" s="1" t="s">
        <v>34071</v>
      </c>
      <c r="I775" s="1" t="str">
        <f ca="1">IFERROR(__xludf.dummyfunction("IF(H775="""", """", GOOGLETRANSLATE(H775, ""en"", ""hi""))"),"आम पापड़ रेसिपी (स्वादिष्ट मैंगो बार) बनाने के लिए, थोड़े से आम लें और 3 कप गूदा निकाल लें। एक पैन में आम का गूदा, चीनी और इलायची पाउडर डालकर उबलने के लिए गैस पर रखें। उबाल आने के बाद, लगातार चलाते हुए 5-8 मिनट तक पकाएं, जब तक कि गूदा गाढ़ा न हो जाए और उस"&amp;"का रंग थोड़ा बदल जाए। एक प्लेट या ट्रे को घी से चिकना करें, पके हुए आम के मिश्रण को प्लेट में डालें और इसे पतला फैला दें ताकि ये सूख जाएं। अब इस प्लेट को धूप में सूखने के लिए रख दें। अगर धूप की गर्मी तेज है तो शाम तक आम पापड़ सूख कर तैयार हो जाएंगे। अगर आ"&amp;"प आम के मिश्रण को एक बड़ी और बहुत पतली प्लेट में डालते हैं, तो आप पूरी पट्टी निकाल सकते हैं, उन्हें एक-दो बार मोड़ सकते हैं और फिर चाकू से काट सकते हैं। बच्चों और बड़ों दोनों को यह समान रूप से पसंद आएगा।")</f>
        <v>आम पापड़ रेसिपी (स्वादिष्ट मैंगो बार) बनाने के लिए, थोड़े से आम लें और 3 कप गूदा निकाल लें। एक पैन में आम का गूदा, चीनी और इलायची पाउडर डालकर उबलने के लिए गैस पर रखें। उबाल आने के बाद, लगातार चलाते हुए 5-8 मिनट तक पकाएं, जब तक कि गूदा गाढ़ा न हो जाए और उसका रंग थोड़ा बदल जाए। एक प्लेट या ट्रे को घी से चिकना करें, पके हुए आम के मिश्रण को प्लेट में डालें और इसे पतला फैला दें ताकि ये सूख जाएं। अब इस प्लेट को धूप में सूखने के लिए रख दें। अगर धूप की गर्मी तेज है तो शाम तक आम पापड़ सूख कर तैयार हो जाएंगे। अगर आप आम के मिश्रण को एक बड़ी और बहुत पतली प्लेट में डालते हैं, तो आप पूरी पट्टी निकाल सकते हैं, उन्हें एक-दो बार मोड़ सकते हैं और फिर चाकू से काट सकते हैं। बच्चों और बड़ों दोनों को यह समान रूप से पसंद आएगा।</v>
      </c>
      <c r="J775" s="3" t="s">
        <v>34072</v>
      </c>
      <c r="L775" s="1" t="s">
        <v>31003</v>
      </c>
    </row>
    <row r="776" spans="1:12" ht="13.8">
      <c r="A776" s="1" t="s">
        <v>34073</v>
      </c>
      <c r="B776" s="1" t="str">
        <f ca="1">IFERROR(__xludf.dummyfunction("IF(A776="""", """", GOOGLETRANSLATE(A776, ""en"", ""hi""))"),"बेसन लड्डू")</f>
        <v>बेसन लड्डू</v>
      </c>
      <c r="C776" s="1" t="s">
        <v>8417</v>
      </c>
      <c r="D776" s="1" t="s">
        <v>14198</v>
      </c>
      <c r="E776" s="1">
        <v>50</v>
      </c>
      <c r="F776" s="1" t="s">
        <v>34074</v>
      </c>
      <c r="G776" s="1" t="str">
        <f ca="1">IFERROR(__xludf.dummyfunction("IF(F776="""", """", GOOGLETRANSLATE(F776, ""en"", ""hi""))"),"1 कप चना दाल, 3/4 कप चीनी - पीसी हुई, 1 छोटा चम्मच इलायची पाउडर, 2 बड़े चम्मच घी, 1 बड़ा चम्मच पिस्ता - टुकड़ों में कटा हुआ (सजावट के लिए)")</f>
        <v>1 कप चना दाल, 3/4 कप चीनी - पीसी हुई, 1 छोटा चम्मच इलायची पाउडर, 2 बड़े चम्मच घी, 1 बड़ा चम्मच पिस्ता - टुकड़ों में कटा हुआ (सजावट के लिए)</v>
      </c>
      <c r="H776" s="1" t="s">
        <v>34075</v>
      </c>
      <c r="I776" s="1" t="str">
        <f ca="1">IFERROR(__xludf.dummyfunction("IF(H776="""", """", GOOGLETRANSLATE(H776, ""en"", ""hi""))"),"""बेसन के लड्डू बनाने के लिए सबसे पहले एक पैन में चने की दाल को सुनहरा भूरा होने तक भून लें। चने की दाल भूनने के बाद उसे ठंडा होने के लिए रख दें। अब भुनी हुई चने की दाल, चीनी, इलायची पाउडर को फूड प्रोसेसर में डालकर पीस लें। अब इस चने की दाल को एक प्याले म"&amp;"ें निकाल लें और इसमें घी डालें। इसे हाथों से अच्छे से मिला लें। जब यह नरम हो जाए तो इसकी छोटी-छोटी लोइयां बनाकर पिस्ते से भर दें। आप इन्हें एयर टाइट कंटेनर में कुछ दिनों के लिए रख सकते हैं। आने वाले त्यौहार के लिए चने की दाल के लड्डू बनाएं और इसका आनंद ले"&amp;"ं।""")</f>
        <v>"बेसन के लड्डू बनाने के लिए सबसे पहले एक पैन में चने की दाल को सुनहरा भूरा होने तक भून लें। चने की दाल भूनने के बाद उसे ठंडा होने के लिए रख दें। अब भुनी हुई चने की दाल, चीनी, इलायची पाउडर को फूड प्रोसेसर में डालकर पीस लें। अब इस चने की दाल को एक प्याले में निकाल लें और इसमें घी डालें। इसे हाथों से अच्छे से मिला लें। जब यह नरम हो जाए तो इसकी छोटी-छोटी लोइयां बनाकर पिस्ते से भर दें। आप इन्हें एयर टाइट कंटेनर में कुछ दिनों के लिए रख सकते हैं। आने वाले त्यौहार के लिए चने की दाल के लड्डू बनाएं और इसका आनंद लें।"</v>
      </c>
      <c r="J776" s="3" t="s">
        <v>34076</v>
      </c>
      <c r="L776" s="1" t="s">
        <v>31003</v>
      </c>
    </row>
    <row r="777" spans="1:12" ht="13.8">
      <c r="A777" s="1" t="s">
        <v>31865</v>
      </c>
      <c r="B777" s="1" t="str">
        <f ca="1">IFERROR(__xludf.dummyfunction("IF(A777="""", """", GOOGLETRANSLATE(A777, ""en"", ""hi""))"),"तंदूरी गोभी टिक्का रेसिपी")</f>
        <v>तंदूरी गोभी टिक्का रेसिपी</v>
      </c>
      <c r="C777" s="1" t="s">
        <v>14207</v>
      </c>
      <c r="D777" s="1" t="s">
        <v>14198</v>
      </c>
      <c r="E777" s="1">
        <v>75</v>
      </c>
      <c r="F777" s="1" t="s">
        <v>34077</v>
      </c>
      <c r="G777" s="1" t="str">
        <f ca="1">IFERROR(__xludf.dummyfunction("IF(F777="""", """", GOOGLETRANSLATE(F777, ""en"", ""hi""))"),"1 फूलगोभी - बड़े टुकड़ों में कटी हुई, 1 कप हंग कर्ड (ग्रीक योगर्ट) - (या ग्रीक योगर्ट), 1/2 चम्मच लाल मिर्च पाउडर, 1 चम्मच गरम मसाला पाउडर, 1 चम्मच चाट मसाला पाउडर, 1/2 चम्मच हल्दी पाउडर (हल्दी), 1 चम्मच धनिया पाउडर (धनिया), 1/2 चम्मच अजवायन (कैरम बीज), 1"&amp;" चम्मच कसूरी मेथी (सूखे मेथी के पत्ते), 3 बड़े चम्मच बेसन (बेसन), सूरजमुखी तेल - खाना पकाने के लिए, नमक - स्वादानुसार")</f>
        <v>1 फूलगोभी - बड़े टुकड़ों में कटी हुई, 1 कप हंग कर्ड (ग्रीक योगर्ट) - (या ग्रीक योगर्ट), 1/2 चम्मच लाल मिर्च पाउडर, 1 चम्मच गरम मसाला पाउडर, 1 चम्मच चाट मसाला पाउडर, 1/2 चम्मच हल्दी पाउडर (हल्दी), 1 चम्मच धनिया पाउडर (धनिया), 1/2 चम्मच अजवायन (कैरम बीज), 1 चम्मच कसूरी मेथी (सूखे मेथी के पत्ते), 3 बड़े चम्मच बेसन (बेसन), सूरजमुखी तेल - खाना पकाने के लिए, नमक - स्वादानुसार</v>
      </c>
      <c r="H777" s="1" t="s">
        <v>34078</v>
      </c>
      <c r="I777" s="1" t="str">
        <f ca="1">IFERROR(__xludf.dummyfunction("IF(H777="""", """", GOOGLETRANSLATE(H777, ""en"", ""hi""))"),"तंदूरी गोभी टिक्का रेसिपी बनाने के लिए, सुनिश्चित करें कि आपके पास सभी सामग्री तैयार हैं। सबसे महत्वपूर्ण है हंग कर्ड (ग्रीक योगर्ट)। तंदूरी गोभी टिक्का रेसिपी बनाने के लिए, हम सबसे पहले फूलगोभी को भाप में पकाएँगे। पावर स्टीमिंग एक ऐसी प्रक्रिया है जिसमें"&amp;" सब्ज़ी आंशिक रूप से पकी होती है, लेकिन जब आप एक निवाला खाते हैं, तो वह खाने लायक होती है और फिर भी सख्त होती है। फूलगोभी को भाप में पकाने से यह टिक्का मसाला को अच्छी तरह से सोख लेती है। फूलगोभी को भाप में पकाने के लिए, फूलों को स्टीमर में रखें और तेज़ आँ"&amp;"च पर लगभग 4 मिनट तक भाप में पकाएँ। जब यह हो जाए, आंच बंद कर दें और एक बड़े मिक्सिंग बाउल में डालें। फूलगोभी में टिक्का बनाने की बाकी सामग्री जैसे कि दही, लाल मिर्च पाउडर, गरम मसाला पाउडर, चाट मसाला पाउडर, हल्दी पाउडर, धनिया पाउडर, अजवाइन, कसूरी मेथी, बेसन"&amp;", नमक डालें और अच्छे से मिलाएँ। फूलगोभी को ढक दें और इसे कम से कम 30 मिनट के लिए मैरीनेट होने दें, उसके बाद आप कोल स्मोकिंग विधि से तंदूरी टिक्का बना सकते हैं। मैरीनेशन हो जाने के बाद, हमारा अगला कदम टिक्का पकाना है। इन्हें बनाने के दो तरीके हैं। अगर आपके"&amp;" पास बारबेक्यू ग्रिल है, तो आप तंदूरी गोभी टिक्का को ग्रिल कर सकते हैं या कोल स्मोकिंग विधि का उपयोग करके टिक्कों को स्वादिष्ट बना सकते हैं। *बारबेक्यू विधि: टिक्का को ग्रिल करने के लिए, हम सबसे पहले सीखों को कुछ मिनट के लिए पानी में भिगोएँगे तंदूरी गोभी "&amp;"टिक्का की कटार को दोनों तरफ से थोड़ा तेल लगाकर तब तक सेकें जब तक कि वे सभी तरफ से भूरे न हो जाएं और पनीर पर जले के निशान न दिखाई दें। *कड़ाही विधि: एक कड़ाही में तेल गर्म करें; मैरीनेट किए हुए गोभी टिक्का के टुकड़े डालें और धीमी से मध्यम आंच पर कुछ मिनट क"&amp;"े लिए भूनें। इस बीच; कोयले को धूम्रपान करने की विधि के लिए कोयला तैयार करें। जब कोयला लाल हो जाए, तो गर्म कोयले को छोटे स्टील या कांच के कटोरे में रखें। इस कटोरे को तंदूरी गोभी टिक्का वाले कढ़ाई के बीच में रखें, एक चम्मच घी डालें। आप देखेंगे कि कोयले से ध"&amp;"ुआं निकलने लगेगा। इस स्तर पर, पैन को ढक दें और धुएं का स्वाद टिक्का में जाने दें। इसे लगभग एक मिनट तक ढक कर रखें। अपनी पार्टी में ऐपेटाइज़र के लिए तंदूरी गोभी टिक्का को हरी चटनी और मसालेदार प्याज के साथ परोसें।")</f>
        <v>तंदूरी गोभी टिक्का रेसिपी बनाने के लिए, सुनिश्चित करें कि आपके पास सभी सामग्री तैयार हैं। सबसे महत्वपूर्ण है हंग कर्ड (ग्रीक योगर्ट)। तंदूरी गोभी टिक्का रेसिपी बनाने के लिए, हम सबसे पहले फूलगोभी को भाप में पकाएँगे। पावर स्टीमिंग एक ऐसी प्रक्रिया है जिसमें सब्ज़ी आंशिक रूप से पकी होती है, लेकिन जब आप एक निवाला खाते हैं, तो वह खाने लायक होती है और फिर भी सख्त होती है। फूलगोभी को भाप में पकाने से यह टिक्का मसाला को अच्छी तरह से सोख लेती है। फूलगोभी को भाप में पकाने के लिए, फूलों को स्टीमर में रखें और तेज़ आँच पर लगभग 4 मिनट तक भाप में पकाएँ। जब यह हो जाए, आंच बंद कर दें और एक बड़े मिक्सिंग बाउल में डालें। फूलगोभी में टिक्का बनाने की बाकी सामग्री जैसे कि दही, लाल मिर्च पाउडर, गरम मसाला पाउडर, चाट मसाला पाउडर, हल्दी पाउडर, धनिया पाउडर, अजवाइन, कसूरी मेथी, बेसन, नमक डालें और अच्छे से मिलाएँ। फूलगोभी को ढक दें और इसे कम से कम 30 मिनट के लिए मैरीनेट होने दें, उसके बाद आप कोल स्मोकिंग विधि से तंदूरी टिक्का बना सकते हैं। मैरीनेशन हो जाने के बाद, हमारा अगला कदम टिक्का पकाना है। इन्हें बनाने के दो तरीके हैं। अगर आपके पास बारबेक्यू ग्रिल है, तो आप तंदूरी गोभी टिक्का को ग्रिल कर सकते हैं या कोल स्मोकिंग विधि का उपयोग करके टिक्कों को स्वादिष्ट बना सकते हैं। *बारबेक्यू विधि: टिक्का को ग्रिल करने के लिए, हम सबसे पहले सीखों को कुछ मिनट के लिए पानी में भिगोएँगे तंदूरी गोभी टिक्का की कटार को दोनों तरफ से थोड़ा तेल लगाकर तब तक सेकें जब तक कि वे सभी तरफ से भूरे न हो जाएं और पनीर पर जले के निशान न दिखाई दें। *कड़ाही विधि: एक कड़ाही में तेल गर्म करें; मैरीनेट किए हुए गोभी टिक्का के टुकड़े डालें और धीमी से मध्यम आंच पर कुछ मिनट के लिए भूनें। इस बीच; कोयले को धूम्रपान करने की विधि के लिए कोयला तैयार करें। जब कोयला लाल हो जाए, तो गर्म कोयले को छोटे स्टील या कांच के कटोरे में रखें। इस कटोरे को तंदूरी गोभी टिक्का वाले कढ़ाई के बीच में रखें, एक चम्मच घी डालें। आप देखेंगे कि कोयले से धुआं निकलने लगेगा। इस स्तर पर, पैन को ढक दें और धुएं का स्वाद टिक्का में जाने दें। इसे लगभग एक मिनट तक ढक कर रखें। अपनी पार्टी में ऐपेटाइज़र के लिए तंदूरी गोभी टिक्का को हरी चटनी और मसालेदार प्याज के साथ परोसें।</v>
      </c>
      <c r="J777" s="3" t="s">
        <v>34079</v>
      </c>
      <c r="L777" s="1" t="s">
        <v>31003</v>
      </c>
    </row>
    <row r="778" spans="1:12" ht="13.8">
      <c r="A778" s="1" t="s">
        <v>34080</v>
      </c>
      <c r="B778" s="1" t="str">
        <f ca="1">IFERROR(__xludf.dummyfunction("IF(A778="""", """", GOOGLETRANSLATE(A778, ""en"", ""hi""))"),"मसूर दाल मखनी")</f>
        <v>मसूर दाल मखनी</v>
      </c>
      <c r="C778" s="1" t="s">
        <v>145</v>
      </c>
      <c r="D778" s="1" t="s">
        <v>14237</v>
      </c>
      <c r="E778" s="1">
        <v>30</v>
      </c>
      <c r="F778" s="1" t="s">
        <v>34081</v>
      </c>
      <c r="G778" s="1" t="str">
        <f ca="1">IFERROR(__xludf.dummyfunction("IF(F778="""", """", GOOGLETRANSLATE(F778, ""en"", ""hi""))"),"1 कप मसूर दाल, 1 प्याज - बारीक कटा हुआ, 1 टमाटर, 6 लहसुन की कलियां - कद्दूकस की हुई, 2 इंच अदरक - कद्दूकस की हुई, 1 तेज पत्ता, 2 लौंग, 1 चम्मच जीरा, 1 दालचीनी, 1 चम्मच लाल मिर्च पाउडर, 2 चम्मच गरम मसाला पाउडर, 2 चम्मच धनिया पाउडर, 2 बड़े चम्मच घी, 2 चम्मच"&amp;" क्रीम, नमक - स्वादानुसार")</f>
        <v>1 कप मसूर दाल, 1 प्याज - बारीक कटा हुआ, 1 टमाटर, 6 लहसुन की कलियां - कद्दूकस की हुई, 2 इंच अदरक - कद्दूकस की हुई, 1 तेज पत्ता, 2 लौंग, 1 चम्मच जीरा, 1 दालचीनी, 1 चम्मच लाल मिर्च पाउडर, 2 चम्मच गरम मसाला पाउडर, 2 चम्मच धनिया पाउडर, 2 बड़े चम्मच घी, 2 चम्मच क्रीम, नमक - स्वादानुसार</v>
      </c>
      <c r="H778" s="1" t="s">
        <v>34082</v>
      </c>
      <c r="I778" s="1" t="str">
        <f ca="1">IFERROR(__xludf.dummyfunction("IF(H778="""", """", GOOGLETRANSLATE(H778, ""en"", ""hi""))"),"""मसूर दाल मखनी बनाने के लिए सबसे पहले मसूर दाल को अच्छे से धो लें। मसूर दाल को 30 मिनट के लिए गुनगुने पानी में भिगो दें। प्रेशर कुकर में घी गर्म करें। इसमें दालचीनी, लौंग, तेजपत्ता और जीरा डालें। 10 सेकंड के बाद, प्याज डालें और सुनहरा भूरा होने तक पकाएँ।"&amp;" कद्दूकस किया हुआ अदरक और लहसुन का पेस्ट डालें और अच्छी तरह मिलाएँ। 2 से 3 मिनट तक पकाएँ और टमाटर डालें। धनिया पाउडर, लाल मिर्च पाउडर, गरम मसाला पाउडर डालें और टमाटर के नरम होने तक पकाएँ। मसूर दाल, पानी और आवश्यकतानुसार नमक डालें। अच्छी तरह मिलाएँ, कुकर ब"&amp;"ंद करें और 4 से 5 सीटी आने तक पकाएँ। प्रेशर निकलने के बाद, कुकर खोलें, क्रीम डालें और अच्छी तरह मिलाएँ। गरमागरम परोसें। मसूर दाल मखनी को पनीर मसाला, लच्छा पराठा और जीरा राइस के साथ लंच में परोसें।""")</f>
        <v>"मसूर दाल मखनी बनाने के लिए सबसे पहले मसूर दाल को अच्छे से धो लें। मसूर दाल को 30 मिनट के लिए गुनगुने पानी में भिगो दें। प्रेशर कुकर में घी गर्म करें। इसमें दालचीनी, लौंग, तेजपत्ता और जीरा डालें। 10 सेकंड के बाद, प्याज डालें और सुनहरा भूरा होने तक पकाएँ। कद्दूकस किया हुआ अदरक और लहसुन का पेस्ट डालें और अच्छी तरह मिलाएँ। 2 से 3 मिनट तक पकाएँ और टमाटर डालें। धनिया पाउडर, लाल मिर्च पाउडर, गरम मसाला पाउडर डालें और टमाटर के नरम होने तक पकाएँ। मसूर दाल, पानी और आवश्यकतानुसार नमक डालें। अच्छी तरह मिलाएँ, कुकर बंद करें और 4 से 5 सीटी आने तक पकाएँ। प्रेशर निकलने के बाद, कुकर खोलें, क्रीम डालें और अच्छी तरह मिलाएँ। गरमागरम परोसें। मसूर दाल मखनी को पनीर मसाला, लच्छा पराठा और जीरा राइस के साथ लंच में परोसें।"</v>
      </c>
      <c r="J778" s="3" t="s">
        <v>34083</v>
      </c>
      <c r="L778" s="1" t="s">
        <v>31003</v>
      </c>
    </row>
    <row r="779" spans="1:12" ht="13.8">
      <c r="A779" s="1" t="s">
        <v>34084</v>
      </c>
      <c r="B779" s="1" t="str">
        <f ca="1">IFERROR(__xludf.dummyfunction("IF(A779="""", """", GOOGLETRANSLATE(A779, ""en"", ""hi""))"),"गाजर और शिमला मिर्च की सब्जी रेसिपी - बिना प्याज़ और लहसुन के")</f>
        <v>गाजर और शिमला मिर्च की सब्जी रेसिपी - बिना प्याज़ और लहसुन के</v>
      </c>
      <c r="C779" s="1" t="s">
        <v>14207</v>
      </c>
      <c r="D779" s="1" t="s">
        <v>14198</v>
      </c>
      <c r="E779" s="1">
        <v>35</v>
      </c>
      <c r="F779" s="1" t="s">
        <v>34085</v>
      </c>
      <c r="G779" s="1" t="str">
        <f ca="1">IFERROR(__xludf.dummyfunction("IF(F779="""", """", GOOGLETRANSLATE(F779, ""en"", ""hi""))"),"4 गाजर - कटी हुई, 1 हरी शिमला मिर्च - चौकोर टुकड़ों में कटी हुई, 1 छोटा चम्मच कलौंजी, 1 छोटा चम्मच सरसों के बीज, 1 चुटकी हींग, 1 1/2 बड़ा चम्मच धनिया पाउडर, 1 बड़ा चम्मच गरम मसाला पाउडर, 1 बड़ा चम्मच लाल मिर्च पाउडर, 1 छोटा चम्मच आमचूर, नमक - स्वादानुसार,"&amp;" सूरजमुखी तेल")</f>
        <v>4 गाजर - कटी हुई, 1 हरी शिमला मिर्च - चौकोर टुकड़ों में कटी हुई, 1 छोटा चम्मच कलौंजी, 1 छोटा चम्मच सरसों के बीज, 1 चुटकी हींग, 1 1/2 बड़ा चम्मच धनिया पाउडर, 1 बड़ा चम्मच गरम मसाला पाउडर, 1 बड़ा चम्मच लाल मिर्च पाउडर, 1 छोटा चम्मच आमचूर, नमक - स्वादानुसार, सूरजमुखी तेल</v>
      </c>
      <c r="H779" s="1" t="s">
        <v>34086</v>
      </c>
      <c r="I779" s="1" t="str">
        <f ca="1">IFERROR(__xludf.dummyfunction("IF(H779="""", """", GOOGLETRANSLATE(H779, ""en"", ""hi""))"),"गाजर और शिमला मिर्च की सब्ज़ी बनाने के लिए सबसे पहले एक कढ़ाई में तेल गर्म करें, उसमें राई और अजवाइन डालकर कुछ सेकंड के लिए भून लें। इसमें एक चुटकी हिंग और कटी हुई गाजर डालें और नरम होने तक भूनें। इसे पकने में लगभग 5 से 10 मिनट का समय लगेगा। एक बार जब यह "&amp;"हो जाए तो इसमें कटी हुई शिमला मिर्च डालें और थोड़ा नमक छिड़कें और शिमला मिर्च के पकने तक भूनें। सब्जियों में सभी मसाले जैसे धनिया पाउडर, गरम मसाला पाउडर, लाल मिर्च पाउडर, अमचूर डालें और अच्छी तरह मिलाएँ। थोड़ा पानी छिड़कें और ढक्कन से ढक दें और मसाले को म"&amp;"ध्यम आँच पर कम से कम 10 मिनट तक पकने दें। आँच बंद करने से पहले गाजर और शिमला मिर्च की सब्ज़ी में नमक की जाँच करें और गरमागरम परोसें। गाजर और शिमला मिर्च की सब्ज़ी को गुजराती दाल, फुल्का और रायता के साथ परोसें और इसे संपूर्ण भोजन बनाएँ।")</f>
        <v>गाजर और शिमला मिर्च की सब्ज़ी बनाने के लिए सबसे पहले एक कढ़ाई में तेल गर्म करें, उसमें राई और अजवाइन डालकर कुछ सेकंड के लिए भून लें। इसमें एक चुटकी हिंग और कटी हुई गाजर डालें और नरम होने तक भूनें। इसे पकने में लगभग 5 से 10 मिनट का समय लगेगा। एक बार जब यह हो जाए तो इसमें कटी हुई शिमला मिर्च डालें और थोड़ा नमक छिड़कें और शिमला मिर्च के पकने तक भूनें। सब्जियों में सभी मसाले जैसे धनिया पाउडर, गरम मसाला पाउडर, लाल मिर्च पाउडर, अमचूर डालें और अच्छी तरह मिलाएँ। थोड़ा पानी छिड़कें और ढक्कन से ढक दें और मसाले को मध्यम आँच पर कम से कम 10 मिनट तक पकने दें। आँच बंद करने से पहले गाजर और शिमला मिर्च की सब्ज़ी में नमक की जाँच करें और गरमागरम परोसें। गाजर और शिमला मिर्च की सब्ज़ी को गुजराती दाल, फुल्का और रायता के साथ परोसें और इसे संपूर्ण भोजन बनाएँ।</v>
      </c>
      <c r="J779" s="3" t="s">
        <v>34087</v>
      </c>
      <c r="L779" s="1" t="s">
        <v>31003</v>
      </c>
    </row>
    <row r="780" spans="1:12" ht="13.8">
      <c r="A780" s="1" t="s">
        <v>34088</v>
      </c>
      <c r="B780" s="1" t="str">
        <f ca="1">IFERROR(__xludf.dummyfunction("IF(A780="""", """", GOOGLETRANSLATE(A780, ""en"", ""hi""))"),"काबुली चना कोफ्ता बिरयानी रेसिपी - काबुली चना कोफ्ता बिरयानी")</f>
        <v>काबुली चना कोफ्ता बिरयानी रेसिपी - काबुली चना कोफ्ता बिरयानी</v>
      </c>
      <c r="C780" s="1" t="s">
        <v>14259</v>
      </c>
      <c r="D780" s="1" t="s">
        <v>14198</v>
      </c>
      <c r="E780" s="1">
        <v>60</v>
      </c>
      <c r="F780" s="1" t="s">
        <v>34089</v>
      </c>
      <c r="G780" s="1" t="str">
        <f ca="1">IFERROR(__xludf.dummyfunction("IF(F780="""", """", GOOGLETRANSLATE(F780, ""en"", ""hi""))"),"1-1/2 कप काबुली चना - 8 घंटे भिगोया हुआ, 1 प्याज - कटा हुआ, 1 बड़ा चम्मच हरी मिर्च - कटी हुई, 1 बड़ा चम्मच लहसुन - कटा हुआ, 1 बड़ा चम्मच धनिया (धनिया) के पत्ते - कटे हुए, 1 बड़ा चम्मच पुदीना (पुदीना) - कटे हुए, 1/4 छोटा चम्मच हल्दी पाउडर (हल्दी), 1 छोटा च"&amp;"म्मच लाल मिर्च पाउडर, 1/4 छोटा चम्मच सौंफ (सौंफ), नमक - स्वादानुसार, 2 प्याज - बारीक कटे हुए, 1 छोटा चम्मच अदरक - बारीक कटा हुआ, 1 छोटा चम्मच लहसुन - बारीक कटा हुआ, 1 कप घर का बना टमाटर प्यूरी, 1 छोटा चम्मच लाल मिर्च पाउडर, 1 छोटा चम्मच धनिया पाउडर (धनिया"&amp;"), 1 छोटा चम्मच गरम मसाला पाउडर, 1/4 कप ताजा क्रीम, नमक - स्वादानुसार, 1 बड़ा चम्मच सूरजमुखी का तेल, 1 कप बासमती चावल, 2 तेज पत्ता (तेज पत्ता), 4 लौंग (लौंग), 2 इलायची की फली / बीज, नमक - स्वादानुसार, 1/4 कप दूध - गर्म, केसर - एक चुटकी, 1 बड़ा चम्मच धनिया"&amp;" (धनिया) के पत्ते - कटे हुए, 1 बड़ा चम्मच पुदीना के पत्ते (कटे हुए), 1 बड़ा चम्मच घी")</f>
        <v>1-1/2 कप काबुली चना - 8 घंटे भिगोया हुआ, 1 प्याज - कटा हुआ, 1 बड़ा चम्मच हरी मिर्च - कटी हुई, 1 बड़ा चम्मच लहसुन - कटा हुआ, 1 बड़ा चम्मच धनिया (धनिया) के पत्ते - कटे हुए, 1 बड़ा चम्मच पुदीना (पुदीना) - कटे हुए, 1/4 छोटा चम्मच हल्दी पाउडर (हल्दी), 1 छोटा चम्मच लाल मिर्च पाउडर, 1/4 छोटा चम्मच सौंफ (सौंफ), नमक - स्वादानुसार, 2 प्याज - बारीक कटे हुए, 1 छोटा चम्मच अदरक - बारीक कटा हुआ, 1 छोटा चम्मच लहसुन - बारीक कटा हुआ, 1 कप घर का बना टमाटर प्यूरी, 1 छोटा चम्मच लाल मिर्च पाउडर, 1 छोटा चम्मच धनिया पाउडर (धनिया), 1 छोटा चम्मच गरम मसाला पाउडर, 1/4 कप ताजा क्रीम, नमक - स्वादानुसार, 1 बड़ा चम्मच सूरजमुखी का तेल, 1 कप बासमती चावल, 2 तेज पत्ता (तेज पत्ता), 4 लौंग (लौंग), 2 इलायची की फली / बीज, नमक - स्वादानुसार, 1/4 कप दूध - गर्म, केसर - एक चुटकी, 1 बड़ा चम्मच धनिया (धनिया) के पत्ते - कटे हुए, 1 बड़ा चम्मच पुदीना के पत्ते (कटे हुए), 1 बड़ा चम्मच घी</v>
      </c>
      <c r="H780" s="1" t="s">
        <v>34090</v>
      </c>
      <c r="I780" s="1" t="str">
        <f ca="1">IFERROR(__xludf.dummyfunction("IF(H780="""", """", GOOGLETRANSLATE(H780, ""en"", ""hi""))"),"काबुली चना कोफ्ता बिरयानी बनाने के लिए सबसे पहले सभी सामग्री तैयार कर लें और एक तरफ रख दें। भिगोए हुए काबुली चना लें, पानी निथार लें और मिक्सर ग्राइंडर में डालकर मोटा मिश्रण तैयार होने तक पीस लें। ध्यान रहे कि इसे चिकने पेस्ट में न पीसें। पिसे हुए काबुली "&amp;"चना को एक बाउल में निकाल लें और उसमें बाकी सारी सामग्री जैसे कटा हुआ प्याज, हरी मिर्च, धनिया और पुदीना, सौंफ, मिर्च पाउडर और नमक मिला दें। एक कुझी पनियारम पैन को मध्यम आंच पर गर्म करें, पैन के हर एक गड्ढे में 1/4 चम्मच तेल डालें। पैन के हर एक गड्ढे में एक"&amp;" बड़ा चम्मच काबुली चना पकौड़ा मिश्रण डालें। काबुली चना पकौड़ा को मध्यम आंच पर पकाएं पकौड़ों को दूसरी तरफ से भी सुनहरा भूरा होने तक पकाएं। सुनिश्चित करें कि काबुली चना पकौड़ा अंदर से अच्छी तरह पका हो और बाहरी आवरण अच्छा और कुरकुरा हो। अच्छे से तले हुए काबु"&amp;"ली चना पकौड़ों को टिशू पेपर पर निकालकर एक तरफ रख दें। इसके बाद काबुली चना कोफ्ता बिरयानी के लिए ग्रेवी बनाएं। एक कड़ाही गरम करें और तेल डालें, गर्म होने पर कटे हुए प्याज डालें और सुनहरा भूरा होने तक भूनें। इसके बाद कटा हुआ अदरक और लहसुन डालें और कच्ची महक"&amp;" जाने तक भूनें। लहसुन और अदरक को भूरा न करें। अब सारे सूखे मसाले डालें, जैसे कि हल्दी पाउडर, मिर्च पाउडर, धनिया पाउडर और गरम मसाला पाउडर। टमाटर प्यूरी डालें और कच्ची महक जाने तक भूनें और मध्यम आंच पर पांच मिनट तक भूनें। स्विच ऑफ करें और एक तरफ रख दें। फ्ल"&amp;"ेवर्ड राइस बनाने के लिए हम काबुली चना कोफ्ता बिरयानी रेसिपी बनाने की शुरुआत सबसे पहले प्रेशर कुकर में चावल पकाकर करते हैं, इसलिए प्रेशर कुकर में एक बड़ा चम्मच तेल डालकर गर्म करें, सभी खड़े मसाले डालें और खुशबू आने दें। फिर 2 कप पानी के साथ भिगोए हुए चावल "&amp;"डालें और 2 सीटी आने तक प्रेशर कुक करें और आंच को कम करके 5 मिनट और धीमी आंच पर पकाएं। प्रेशर अपने आप निकल जाने दें। इसे एक तरफ रख दें। गर्म दूध में केसर के रेशे डालें और एक तरफ रख दें। बिरयानी को इकट्ठा करना एक गहरा सॉस पैन या दूसरा प्रेशर कुकर लें जो ग्र"&amp;"ेवी और चावल दोनों को रखने के लिए काफी बड़ा हो। सबसे पहले नीचे घी डालें। पैन के नीचे कोफ्ते की आधी ग्रेवी डालें, इस कोफ्ते की परत के ऊपर आधे चावल डालें। कटा हुआ हरा धनिया, पुदीना और केसर वाला आधा दूध छिड़कें। बची हुई ग्रेवी और चावल और केसर वाले दूध के साथ "&amp;"भी यही प्रक्रिया दोहराएँ। सॉस पैन को ढककर धीमी आँच पर रखें और 5 मिनट तक पकाएँ जब तक कि फ्लेवर चावल में न चला जाए। हो जाने पर, आँच बंद कर दें और कोफ्ता बिरयानी को फुलाने से पहले 5 मिनट तक प्रतीक्षा करें। अपनी अगली पार्टी में काबुली चना कोफ्ता बिरयानी को मि"&amp;"र्ची का सालन और टमाटर प्याज खीरा रायता और रागी मालपुआ विद रबड़ी के साथ परोसें।")</f>
        <v>काबुली चना कोफ्ता बिरयानी बनाने के लिए सबसे पहले सभी सामग्री तैयार कर लें और एक तरफ रख दें। भिगोए हुए काबुली चना लें, पानी निथार लें और मिक्सर ग्राइंडर में डालकर मोटा मिश्रण तैयार होने तक पीस लें। ध्यान रहे कि इसे चिकने पेस्ट में न पीसें। पिसे हुए काबुली चना को एक बाउल में निकाल लें और उसमें बाकी सारी सामग्री जैसे कटा हुआ प्याज, हरी मिर्च, धनिया और पुदीना, सौंफ, मिर्च पाउडर और नमक मिला दें। एक कुझी पनियारम पैन को मध्यम आंच पर गर्म करें, पैन के हर एक गड्ढे में 1/4 चम्मच तेल डालें। पैन के हर एक गड्ढे में एक बड़ा चम्मच काबुली चना पकौड़ा मिश्रण डालें। काबुली चना पकौड़ा को मध्यम आंच पर पकाएं पकौड़ों को दूसरी तरफ से भी सुनहरा भूरा होने तक पकाएं। सुनिश्चित करें कि काबुली चना पकौड़ा अंदर से अच्छी तरह पका हो और बाहरी आवरण अच्छा और कुरकुरा हो। अच्छे से तले हुए काबुली चना पकौड़ों को टिशू पेपर पर निकालकर एक तरफ रख दें। इसके बाद काबुली चना कोफ्ता बिरयानी के लिए ग्रेवी बनाएं। एक कड़ाही गरम करें और तेल डालें, गर्म होने पर कटे हुए प्याज डालें और सुनहरा भूरा होने तक भूनें। इसके बाद कटा हुआ अदरक और लहसुन डालें और कच्ची महक जाने तक भूनें। लहसुन और अदरक को भूरा न करें। अब सारे सूखे मसाले डालें, जैसे कि हल्दी पाउडर, मिर्च पाउडर, धनिया पाउडर और गरम मसाला पाउडर। टमाटर प्यूरी डालें और कच्ची महक जाने तक भूनें और मध्यम आंच पर पांच मिनट तक भूनें। स्विच ऑफ करें और एक तरफ रख दें। फ्लेवर्ड राइस बनाने के लिए हम काबुली चना कोफ्ता बिरयानी रेसिपी बनाने की शुरुआत सबसे पहले प्रेशर कुकर में चावल पकाकर करते हैं, इसलिए प्रेशर कुकर में एक बड़ा चम्मच तेल डालकर गर्म करें, सभी खड़े मसाले डालें और खुशबू आने दें। फिर 2 कप पानी के साथ भिगोए हुए चावल डालें और 2 सीटी आने तक प्रेशर कुक करें और आंच को कम करके 5 मिनट और धीमी आंच पर पकाएं। प्रेशर अपने आप निकल जाने दें। इसे एक तरफ रख दें। गर्म दूध में केसर के रेशे डालें और एक तरफ रख दें। बिरयानी को इकट्ठा करना एक गहरा सॉस पैन या दूसरा प्रेशर कुकर लें जो ग्रेवी और चावल दोनों को रखने के लिए काफी बड़ा हो। सबसे पहले नीचे घी डालें। पैन के नीचे कोफ्ते की आधी ग्रेवी डालें, इस कोफ्ते की परत के ऊपर आधे चावल डालें। कटा हुआ हरा धनिया, पुदीना और केसर वाला आधा दूध छिड़कें। बची हुई ग्रेवी और चावल और केसर वाले दूध के साथ भी यही प्रक्रिया दोहराएँ। सॉस पैन को ढककर धीमी आँच पर रखें और 5 मिनट तक पकाएँ जब तक कि फ्लेवर चावल में न चला जाए। हो जाने पर, आँच बंद कर दें और कोफ्ता बिरयानी को फुलाने से पहले 5 मिनट तक प्रतीक्षा करें। अपनी अगली पार्टी में काबुली चना कोफ्ता बिरयानी को मिर्ची का सालन और टमाटर प्याज खीरा रायता और रागी मालपुआ विद रबड़ी के साथ परोसें।</v>
      </c>
      <c r="J780" s="3" t="s">
        <v>34091</v>
      </c>
      <c r="L780" s="1" t="s">
        <v>31003</v>
      </c>
    </row>
    <row r="781" spans="1:12" ht="13.8">
      <c r="A781" s="1" t="s">
        <v>33086</v>
      </c>
      <c r="B781" s="1" t="str">
        <f ca="1">IFERROR(__xludf.dummyfunction("IF(A781="""", """", GOOGLETRANSLATE(A781, ""en"", ""hi""))"),"आलू भिंडी मसाला ग्रेवी रेसिपी")</f>
        <v>आलू भिंडी मसाला ग्रेवी रेसिपी</v>
      </c>
      <c r="C781" s="1" t="s">
        <v>145</v>
      </c>
      <c r="D781" s="1" t="s">
        <v>14198</v>
      </c>
      <c r="E781" s="1">
        <v>35</v>
      </c>
      <c r="F781" s="1" t="s">
        <v>34092</v>
      </c>
      <c r="G781" s="1" t="str">
        <f ca="1">IFERROR(__xludf.dummyfunction("IF(F781="""", """", GOOGLETRANSLATE(F781, ""en"", ""hi""))"),"250 ग्राम भिंडी - 1-1/2 इंच के टुकड़ों में कटी हुई, 1/2 चम्मच एसएसपी हींग, 1 चम्मच सरसों का तेल, नमक - स्वादानुसार, 2 आलू - छीलकर टुकड़ों में कटे हुए, 1/4 चम्मच हींग - चुटकी भर, 1/2 चम्मच जीरा, 1/2 चम्मच हल्दी पाउडर, नमक - स्वादानुसार, 1 बड़ा चम्मच सरसों "&amp;"का तेल, 1 प्याज - बारीक कटा हुआ, 6 लहसुन के दाने - बारीक कटा हुआ, 1 इंच अदरक - बारीक कटा हुआ, 1 कप टमाटर - प्यूरी, 1 इंच दालचीनी, 1 तेज पत्ता, 1/2 चम्मच हल्दी पाउडर, 1 चम्मच लाल मिर्च पाउडर, 1 चम्मच धनिया पाउडर, पानी - आवश्यकतानुसार, नमक - स्वादानुसार, सू"&amp;"रजमुखी तेल - आवश्यकतानुसार, 1 बड़ा चम्मच कसूरी मेथी पत्ते), धनिया पत्ते - कुछ")</f>
        <v>250 ग्राम भिंडी - 1-1/2 इंच के टुकड़ों में कटी हुई, 1/2 चम्मच एसएसपी हींग, 1 चम्मच सरसों का तेल, नमक - स्वादानुसार, 2 आलू - छीलकर टुकड़ों में कटे हुए, 1/4 चम्मच हींग - चुटकी भर, 1/2 चम्मच जीरा, 1/2 चम्मच हल्दी पाउडर, नमक - स्वादानुसार, 1 बड़ा चम्मच सरसों का तेल, 1 प्याज - बारीक कटा हुआ, 6 लहसुन के दाने - बारीक कटा हुआ, 1 इंच अदरक - बारीक कटा हुआ, 1 कप टमाटर - प्यूरी, 1 इंच दालचीनी, 1 तेज पत्ता, 1/2 चम्मच हल्दी पाउडर, 1 चम्मच लाल मिर्च पाउडर, 1 चम्मच धनिया पाउडर, पानी - आवश्यकतानुसार, नमक - स्वादानुसार, सूरजमुखी तेल - आवश्यकतानुसार, 1 बड़ा चम्मच कसूरी मेथी पत्ते), धनिया पत्ते - कुछ</v>
      </c>
      <c r="H781" s="1" t="s">
        <v>34093</v>
      </c>
      <c r="I781" s="1" t="str">
        <f ca="1">IFERROR(__xludf.dummyfunction("IF(H781="""", """", GOOGLETRANSLATE(H781, ""en"", ""hi""))"),"आलू भिंडी मसाला ग्रेवी रेसिपी बनाने के लिए सबसे पहले हम भिंडी को फ्राई करेंगे। एक पहले से गरम किए हुए पैन में तेल डालें। तेल गरम होने पर उसमें हींग, भिंडी और स्वादानुसार नमक डालें। एक मिनट तक भूनें और पैन को ढक दें। ढक्कन को थोड़ा खुला रखने के लिए अपनी कर"&amp;"छुल पैन में रखें। इससे भिंडी अच्छे से पकेगी और साथ ही गीली भी नहीं होगी। भिंडी को तब तक पकाएं जब तक वह पूरी तरह से पक न जाए। उन्हें समान रूप से पकाने के लिए कभी-कभी हिलाएँ। पक जाने के बाद भिंडी को अलग रख दें। इसके बाद हम आलू भूनेंगे। एक पहले से गरम किए हु"&amp;"ए पैन में सरसों का तेल, जीरा, हींग, हल्दी पाउडर, आलू और स्वादानुसार नमक डालें। एक मिनट तक भूनें और फिर पैन को ढक दें। आलू को पकने तक पकाएं। पक जाने के बाद आंच बंद कर दें और एक तरफ रख दें। आखिर में हम आलू भिंडी मसाला के लिए ग्रेवी बनाएंगे। पहले से गरम किए "&amp;"हुए पैन में तेल, प्याज, लहसुन, अदरक डालें और प्याज के नरम होने और सुनहरे भूरे रंग का होने तक भूनें। हो जाने पर इसमें दालचीनी, तेज पत्ता, टमाटर प्यूरी, हल्दी पाउडर, लाल मिर्च पाउडर, धनिया पाउडर और स्वादानुसार नमक डालें। मसाले को 3 से 4 मिनट तक तेज उबाल लें"&amp;"। 4 मिनट के बाद मसाले में भुने हुए आलू और भिंडी डालें। अच्छी तरह मिलाएं और आलू भिंडी मसाला को 3 से 4 मिनट तक उबालें। अंत में कसूरी मेथी डालकर चलाएं। एक मिनट तक पकाएं और आंच बंद कर दें। आलू भिंडी मसाला ग्रेवी को एक सर्विंग बाउल में डालें। इसे कुछ कटे हुए ध"&amp;"निया पत्तों से गार्निश करें और सर्व करें")</f>
        <v>आलू भिंडी मसाला ग्रेवी रेसिपी बनाने के लिए सबसे पहले हम भिंडी को फ्राई करेंगे। एक पहले से गरम किए हुए पैन में तेल डालें। तेल गरम होने पर उसमें हींग, भिंडी और स्वादानुसार नमक डालें। एक मिनट तक भूनें और पैन को ढक दें। ढक्कन को थोड़ा खुला रखने के लिए अपनी करछुल पैन में रखें। इससे भिंडी अच्छे से पकेगी और साथ ही गीली भी नहीं होगी। भिंडी को तब तक पकाएं जब तक वह पूरी तरह से पक न जाए। उन्हें समान रूप से पकाने के लिए कभी-कभी हिलाएँ। पक जाने के बाद भिंडी को अलग रख दें। इसके बाद हम आलू भूनेंगे। एक पहले से गरम किए हुए पैन में सरसों का तेल, जीरा, हींग, हल्दी पाउडर, आलू और स्वादानुसार नमक डालें। एक मिनट तक भूनें और फिर पैन को ढक दें। आलू को पकने तक पकाएं। पक जाने के बाद आंच बंद कर दें और एक तरफ रख दें। आखिर में हम आलू भिंडी मसाला के लिए ग्रेवी बनाएंगे। पहले से गरम किए हुए पैन में तेल, प्याज, लहसुन, अदरक डालें और प्याज के नरम होने और सुनहरे भूरे रंग का होने तक भूनें। हो जाने पर इसमें दालचीनी, तेज पत्ता, टमाटर प्यूरी, हल्दी पाउडर, लाल मिर्च पाउडर, धनिया पाउडर और स्वादानुसार नमक डालें। मसाले को 3 से 4 मिनट तक तेज उबाल लें। 4 मिनट के बाद मसाले में भुने हुए आलू और भिंडी डालें। अच्छी तरह मिलाएं और आलू भिंडी मसाला को 3 से 4 मिनट तक उबालें। अंत में कसूरी मेथी डालकर चलाएं। एक मिनट तक पकाएं और आंच बंद कर दें। आलू भिंडी मसाला ग्रेवी को एक सर्विंग बाउल में डालें। इसे कुछ कटे हुए धनिया पत्तों से गार्निश करें और सर्व करें</v>
      </c>
      <c r="J781" s="3" t="s">
        <v>34094</v>
      </c>
      <c r="L781" s="1" t="s">
        <v>31003</v>
      </c>
    </row>
    <row r="782" spans="1:12" ht="13.8">
      <c r="A782" s="1" t="s">
        <v>34095</v>
      </c>
      <c r="B782" s="1" t="str">
        <f ca="1">IFERROR(__xludf.dummyfunction("IF(A782="""", """", GOOGLETRANSLATE(A782, ""en"", ""hi""))"),"खट्टे छोले रेसिपी - एक स्वादिष्ट उत्तर भारतीय चना मसाला")</f>
        <v>खट्टे छोले रेसिपी - एक स्वादिष्ट उत्तर भारतीय चना मसाला</v>
      </c>
      <c r="C782" s="1" t="s">
        <v>145</v>
      </c>
      <c r="D782" s="1" t="s">
        <v>14198</v>
      </c>
      <c r="E782" s="1">
        <v>90</v>
      </c>
      <c r="F782" s="1" t="s">
        <v>34096</v>
      </c>
      <c r="G782" s="1" t="str">
        <f ca="1">IFERROR(__xludf.dummyfunction("IF(F782="""", """", GOOGLETRANSLATE(F782, ""en"", ""hi""))"),"1-1/2 कप काबुली चना - रातभर भिगोकर उबाल लें, 1 प्याज - पतले टुकड़ों में कटा हुआ, 1 टमाटर - पतले टुकड़ों में कटा हुआ, 1 दालचीनी, 2 लौंग, 1 इंच अदरक - कद्दूकस किया हुआ, 1 छोटा चम्मच अजवाइन, 1 छोटा चम्मच धनिया, 1 छोटा चम्मच लाल मिर्च पाउडर, 1 छोटा चम्मच गरम "&amp;"मसाला पाउडर, 2 छोटे चम्मच आमचूर, 2 छोटे चम्मच घी, नमक - स्वादानुसार, 1 प्याज - पतले टुकड़ों में कटा हुआ, 1 हरी मिर्च - बारीक कटी हुई")</f>
        <v>1-1/2 कप काबुली चना - रातभर भिगोकर उबाल लें, 1 प्याज - पतले टुकड़ों में कटा हुआ, 1 टमाटर - पतले टुकड़ों में कटा हुआ, 1 दालचीनी, 2 लौंग, 1 इंच अदरक - कद्दूकस किया हुआ, 1 छोटा चम्मच अजवाइन, 1 छोटा चम्मच धनिया, 1 छोटा चम्मच लाल मिर्च पाउडर, 1 छोटा चम्मच गरम मसाला पाउडर, 2 छोटे चम्मच आमचूर, 2 छोटे चम्मच घी, नमक - स्वादानुसार, 1 प्याज - पतले टुकड़ों में कटा हुआ, 1 हरी मिर्च - बारीक कटी हुई</v>
      </c>
      <c r="H782" s="1" t="s">
        <v>34097</v>
      </c>
      <c r="I782" s="1" t="str">
        <f ca="1">IFERROR(__xludf.dummyfunction("IF(H782="""", """", GOOGLETRANSLATE(H782, ""en"", ""hi""))"),"खट्टे छोले बनाने की विधि शुरू करने के लिए, सफेद छोले या काबुली चना को रात भर भिगोएँ और सुबह इसे पर्याप्त पानी के साथ प्रेशर कुकर का उपयोग करके 8 से 10 सीटी आने तक उबालें - लगभग 30 मिनट और एक तरफ रख दें। मध्यम आँच पर एक बड़े सॉस पैन में घी गर्म करें, उसमें"&amp;" अजवाइन, दालचीनी और लौंग डालें और इसकी खुशबू घी में आने दें। कटे हुए प्याज और अदरक डालें और उन्हें थोड़ा नरम होने तक भूनें। इसमें लगभग 3 से 4 मिनट का समय लगेगा। कटे हुए टमाटर डालें, टमाटर के गूदेदार होने तक पकाएँ। जब टमाटर नरम हो जाए तो मसाले पाउडर - लाल "&amp;"मिर्च पाउडर, गरम मसाला, धनिया और अमचूर डालें और तब तक पकाएँ जब तक कि घी किनारों से न छूट जाए। एक बार हो जाने पर, नमक और मसालों की जांच करें और अपने स्वाद के अनुसार समायोजित करें। खट्टे छोले रेसिपी को गेहूं बाजरा थेपला या भटूरा रेसिपी के साथ-साथ ताजा प्याज"&amp;" सलाद और मसाला छाछ रेसिपी के साथ सप्ताहांत के नाश्ते के लिए परोसें।")</f>
        <v>खट्टे छोले बनाने की विधि शुरू करने के लिए, सफेद छोले या काबुली चना को रात भर भिगोएँ और सुबह इसे पर्याप्त पानी के साथ प्रेशर कुकर का उपयोग करके 8 से 10 सीटी आने तक उबालें - लगभग 30 मिनट और एक तरफ रख दें। मध्यम आँच पर एक बड़े सॉस पैन में घी गर्म करें, उसमें अजवाइन, दालचीनी और लौंग डालें और इसकी खुशबू घी में आने दें। कटे हुए प्याज और अदरक डालें और उन्हें थोड़ा नरम होने तक भूनें। इसमें लगभग 3 से 4 मिनट का समय लगेगा। कटे हुए टमाटर डालें, टमाटर के गूदेदार होने तक पकाएँ। जब टमाटर नरम हो जाए तो मसाले पाउडर - लाल मिर्च पाउडर, गरम मसाला, धनिया और अमचूर डालें और तब तक पकाएँ जब तक कि घी किनारों से न छूट जाए। एक बार हो जाने पर, नमक और मसालों की जांच करें और अपने स्वाद के अनुसार समायोजित करें। खट्टे छोले रेसिपी को गेहूं बाजरा थेपला या भटूरा रेसिपी के साथ-साथ ताजा प्याज सलाद और मसाला छाछ रेसिपी के साथ सप्ताहांत के नाश्ते के लिए परोसें।</v>
      </c>
      <c r="J782" s="3" t="s">
        <v>34098</v>
      </c>
      <c r="L782" s="1" t="s">
        <v>31003</v>
      </c>
    </row>
    <row r="783" spans="1:12" ht="13.8">
      <c r="A783" s="1" t="s">
        <v>34099</v>
      </c>
      <c r="B783" s="1" t="str">
        <f ca="1">IFERROR(__xludf.dummyfunction("IF(A783="""", """", GOOGLETRANSLATE(A783, ""en"", ""hi""))"),"पैन फ्राइड ब्रोकोली पकोड़ा रेसिपी")</f>
        <v>पैन फ्राइड ब्रोकोली पकोड़ा रेसिपी</v>
      </c>
      <c r="C783" s="1" t="s">
        <v>14281</v>
      </c>
      <c r="D783" s="1" t="s">
        <v>14198</v>
      </c>
      <c r="E783" s="1">
        <v>35</v>
      </c>
      <c r="F783" s="1" t="s">
        <v>34100</v>
      </c>
      <c r="G783" s="1" t="str">
        <f ca="1">IFERROR(__xludf.dummyfunction("IF(F783="""", """", GOOGLETRANSLATE(F783, ""en"", ""hi""))"),"250 ग्राम ब्रोकोली - मोटे तौर पर कटा हुआ, 1 प्याज - पतले कटा हुआ, 50 ग्राम बेसन, 1 चम्मच सौंफ, 1 चम्मच चाट मसाला पाउडर, नमक - स्वादानुसार, सूरजमुखी तेल - आवश्यकतानुसार")</f>
        <v>250 ग्राम ब्रोकोली - मोटे तौर पर कटा हुआ, 1 प्याज - पतले कटा हुआ, 50 ग्राम बेसन, 1 चम्मच सौंफ, 1 चम्मच चाट मसाला पाउडर, नमक - स्वादानुसार, सूरजमुखी तेल - आवश्यकतानुसार</v>
      </c>
      <c r="H783" s="1" t="s">
        <v>34101</v>
      </c>
      <c r="I783" s="1" t="str">
        <f ca="1">IFERROR(__xludf.dummyfunction("IF(H783="""", """", GOOGLETRANSLATE(H783, ""en"", ""hi""))"),"पैन फ्राइड ब्रोकली पकौड़ा रेसिपी बनाने के लिए, ब्रोकली, प्याज़, बेसन, सौंफ, चाट मसाला पाउडर और नमक सहित सभी सामग्री को एक कटोरे में मिलाएँ। एक गाढ़ा पकौड़ा घोल बनाने के लिए, थोड़ा-थोड़ा करके पानी डालें। नमक, मसाले की जाँच करें और अपने स्वाद के अनुसार समाय"&amp;"ोजित करें। मध्यम आँच पर कुझी पनियारम पैन को पहले से गरम करें; प्रत्येक गुहा में तेल की कुछ बूँदें डालें। ब्रोकली पकौड़ा घोल को गुहा में डालें और उन्हें तब तक तलें जब तक कि यह दोनों तरफ से भूरा और कुरकुरा न हो जाए। प्रत्येक तरफ धीमी आंच पर लगभग 3 से 4 मिनट"&amp;" का समय लगेगा। एक बार हो जाने पर ब्रोकली पकौड़ों को एक प्लेट में तेल सोखने वाले कागज के साथ निकाल लें, ताकि यह पकौड़ों से अतिरिक्त तेल सोख ले। बचे हुए ब्रोकली पकौड़ा बैटर के साथ भी यही प्रक्रिया अपनाएं। ब्रोकली पकौड़ों को एक सर्विंग प्लेट पर सजाएं, थोड़ा "&amp;"चाट मसाला छिड़कें, किनारे पर कुछ अचार वाले प्याज रखें और इसे नाश्ते के रूप में या पार्टियों के लिए ऐपेटाइज़र के रूप में परोसें। शाम के नाश्ते के लिए धनिया पुदीना चटनी और एक गर्म कप मसाला चाय या अदरक चाय के साथ पैन फ्राइड ब्रोकली पकौड़ा रेसिपी परोसें।")</f>
        <v>पैन फ्राइड ब्रोकली पकौड़ा रेसिपी बनाने के लिए, ब्रोकली, प्याज़, बेसन, सौंफ, चाट मसाला पाउडर और नमक सहित सभी सामग्री को एक कटोरे में मिलाएँ। एक गाढ़ा पकौड़ा घोल बनाने के लिए, थोड़ा-थोड़ा करके पानी डालें। नमक, मसाले की जाँच करें और अपने स्वाद के अनुसार समायोजित करें। मध्यम आँच पर कुझी पनियारम पैन को पहले से गरम करें; प्रत्येक गुहा में तेल की कुछ बूँदें डालें। ब्रोकली पकौड़ा घोल को गुहा में डालें और उन्हें तब तक तलें जब तक कि यह दोनों तरफ से भूरा और कुरकुरा न हो जाए। प्रत्येक तरफ धीमी आंच पर लगभग 3 से 4 मिनट का समय लगेगा। एक बार हो जाने पर ब्रोकली पकौड़ों को एक प्लेट में तेल सोखने वाले कागज के साथ निकाल लें, ताकि यह पकौड़ों से अतिरिक्त तेल सोख ले। बचे हुए ब्रोकली पकौड़ा बैटर के साथ भी यही प्रक्रिया अपनाएं। ब्रोकली पकौड़ों को एक सर्विंग प्लेट पर सजाएं, थोड़ा चाट मसाला छिड़कें, किनारे पर कुछ अचार वाले प्याज रखें और इसे नाश्ते के रूप में या पार्टियों के लिए ऐपेटाइज़र के रूप में परोसें। शाम के नाश्ते के लिए धनिया पुदीना चटनी और एक गर्म कप मसाला चाय या अदरक चाय के साथ पैन फ्राइड ब्रोकली पकौड़ा रेसिपी परोसें।</v>
      </c>
      <c r="J783" s="3" t="s">
        <v>34102</v>
      </c>
      <c r="L783" s="1" t="s">
        <v>31003</v>
      </c>
    </row>
    <row r="784" spans="1:12" ht="409.6">
      <c r="A784" s="1" t="s">
        <v>34103</v>
      </c>
      <c r="B784" s="1" t="str">
        <f ca="1">IFERROR(__xludf.dummyfunction("IF(A784="""", """", GOOGLETRANSLATE(A784, ""en"", ""hi""))"),"हरियाली चिकन टिक्का मसाला रेसिपी")</f>
        <v>हरियाली चिकन टिक्का मसाला रेसिपी</v>
      </c>
      <c r="C784" s="1" t="s">
        <v>145</v>
      </c>
      <c r="D784" s="1" t="s">
        <v>14382</v>
      </c>
      <c r="E784" s="1">
        <v>110</v>
      </c>
      <c r="F784" s="1" t="s">
        <v>34104</v>
      </c>
      <c r="G784" s="1" t="str">
        <f ca="1">IFERROR(__xludf.dummyfunction("IF(F784="""", """", GOOGLETRANSLATE(F784, ""en"", ""hi""))"),"300 ग्राम चिकन ब्रेस्ट - छोटे टुकड़ों में कटा हुआ, 1 चम्मच लाल मिर्च पाउडर, 1/2 चम्मच हल्दी पाउडर (हल्दी), 2 चम्मच गरम मसाला पाउडर, 1 चम्मच अमचूर (सूखा आम पाउडर), 1 चम्मच जीरा पाउडर (जीरा), 1/4 कप दही (दही), 1/4 कप ताजा क्रीम, नमक - स्वादानुसार, 1 कप धनिय"&amp;"ा पत्ती, 1 कप पुदीना पत्तियां (पुदीना), 1 हरी मिर्च")</f>
        <v>300 ग्राम चिकन ब्रेस्ट - छोटे टुकड़ों में कटा हुआ, 1 चम्मच लाल मिर्च पाउडर, 1/2 चम्मच हल्दी पाउडर (हल्दी), 2 चम्मच गरम मसाला पाउडर, 1 चम्मच अमचूर (सूखा आम पाउडर), 1 चम्मच जीरा पाउडर (जीरा), 1/4 कप दही (दही), 1/4 कप ताजा क्रीम, नमक - स्वादानुसार, 1 कप धनिया पत्ती, 1 कप पुदीना पत्तियां (पुदीना), 1 हरी मिर्च</v>
      </c>
      <c r="H784" s="4" t="s">
        <v>34105</v>
      </c>
      <c r="I784" s="1" t="str">
        <f ca="1">IFERROR(__xludf.dummyfunction("IF(H784="""", """", GOOGLETRANSLATE(H784, ""en"", ""hi""))"),"हरियाली चिकन टिक्का मसाला रेसिपी बनाने के लिए सबसे पहले हम एक मिक्सर ग्राइंडर में धनिया पत्ती, पुदीना पत्ती और हरी मिर्च को बारीक पीस लेंगे। इस पिसे हुए पेस्ट को हल्दी पाउडर, गरम मसाला पाउडर, अमचूर पाउडर, जीरा पाउडर और दही के साथ एक बाउल में डालें। सभी ची"&amp;"जों को अच्छे से मिला लें। इस मैरिनेशन में चिकन के टुकड़े और स्वादानुसार नमक डालें। अच्छे से मिला लें और लगभग 1 घंटे के लिए अलग रख दें। एक घंटे के बाद एक भारी तले की कड़ाही में तेल गर्म करें और कढ़ाई में सिर्फ चिकन के टुकड़े डालकर तलें। तब तक भूनें जब तक च"&amp;"िकन के टुकड़े पक न जाएं और कुरकुरे न हो जाएं। इन्हें बाहर निकालकर अलग रख दें। उसी कढ़ाई में बची हुई मैरिनेशन ग्रेवी डालें और ग्रेवी के कम होने तक पकाएं आखिर में क्रीम डालें और गाढ़ापन ठीक करने के लिए थोड़ा पानी डालें। 2 मिनट तक पकाएं और पके हुए चिकन के टु"&amp;"कड़ों को ग्रेवी में डालें और गरमागरम परोसें। हरियाली चिकन टिक्का मसाला रेसिपी को तवा पराठा या गार्लिक नान और बुरानी रायता के साथ सौंफ आलू और दाल कबाब रेसिपी के साथ परोसें ताकि यह एक संपूर्ण भोजन बन जाए।")</f>
        <v>हरियाली चिकन टिक्का मसाला रेसिपी बनाने के लिए सबसे पहले हम एक मिक्सर ग्राइंडर में धनिया पत्ती, पुदीना पत्ती और हरी मिर्च को बारीक पीस लेंगे। इस पिसे हुए पेस्ट को हल्दी पाउडर, गरम मसाला पाउडर, अमचूर पाउडर, जीरा पाउडर और दही के साथ एक बाउल में डालें। सभी चीजों को अच्छे से मिला लें। इस मैरिनेशन में चिकन के टुकड़े और स्वादानुसार नमक डालें। अच्छे से मिला लें और लगभग 1 घंटे के लिए अलग रख दें। एक घंटे के बाद एक भारी तले की कड़ाही में तेल गर्म करें और कढ़ाई में सिर्फ चिकन के टुकड़े डालकर तलें। तब तक भूनें जब तक चिकन के टुकड़े पक न जाएं और कुरकुरे न हो जाएं। इन्हें बाहर निकालकर अलग रख दें। उसी कढ़ाई में बची हुई मैरिनेशन ग्रेवी डालें और ग्रेवी के कम होने तक पकाएं आखिर में क्रीम डालें और गाढ़ापन ठीक करने के लिए थोड़ा पानी डालें। 2 मिनट तक पकाएं और पके हुए चिकन के टुकड़ों को ग्रेवी में डालें और गरमागरम परोसें। हरियाली चिकन टिक्का मसाला रेसिपी को तवा पराठा या गार्लिक नान और बुरानी रायता के साथ सौंफ आलू और दाल कबाब रेसिपी के साथ परोसें ताकि यह एक संपूर्ण भोजन बन जाए।</v>
      </c>
      <c r="J784" s="3" t="s">
        <v>34106</v>
      </c>
      <c r="L784" s="1" t="s">
        <v>31003</v>
      </c>
    </row>
    <row r="785" spans="1:12" ht="13.8">
      <c r="A785" s="1" t="s">
        <v>34107</v>
      </c>
      <c r="B785" s="1" t="str">
        <f ca="1">IFERROR(__xludf.dummyfunction("IF(A785="""", """", GOOGLETRANSLATE(A785, ""en"", ""hi""))"),"हरी मूंग दाल चीला रेसिपी - स्वादिष्ट हरी मूंग दाल पैनकेक")</f>
        <v>हरी मूंग दाल चीला रेसिपी - स्वादिष्ट हरी मूंग दाल पैनकेक</v>
      </c>
      <c r="C785" s="1" t="s">
        <v>16424</v>
      </c>
      <c r="D785" s="1" t="s">
        <v>14338</v>
      </c>
      <c r="E785" s="1">
        <v>37</v>
      </c>
      <c r="F785" s="1" t="s">
        <v>34108</v>
      </c>
      <c r="G785" s="1" t="str">
        <f ca="1">IFERROR(__xludf.dummyfunction("IF(F785="""", """", GOOGLETRANSLATE(F785, ""en"", ""hi""))"),"1 कप हरी मूंग दाल (साबुत), 1-1/2 बड़ा चम्मच चावल का आटा, 1/4 कप धनिया पत्ते - कटे हुए, 2 हरी मिर्च - बारीक कटी हुई, 1 इंच अदरक - कद्दूकस किया हुआ, 3 लहसुन के दाने - बारीक कटे हुए, 3/4 कप पानी, नमक - या स्वादानुसार, 1/2 छोटा चम्मच लाल मिर्च पाउडर, 1 छोटा च"&amp;"म्मच गरम मसाला पाउडर, 2 छोटे चम्मच अलसी का पाउडर (अलसी का आटा), सूरजमुखी का तेल - हल्का तलने के लिए")</f>
        <v>1 कप हरी मूंग दाल (साबुत), 1-1/2 बड़ा चम्मच चावल का आटा, 1/4 कप धनिया पत्ते - कटे हुए, 2 हरी मिर्च - बारीक कटी हुई, 1 इंच अदरक - कद्दूकस किया हुआ, 3 लहसुन के दाने - बारीक कटे हुए, 3/4 कप पानी, नमक - या स्वादानुसार, 1/2 छोटा चम्मच लाल मिर्च पाउडर, 1 छोटा चम्मच गरम मसाला पाउडर, 2 छोटे चम्मच अलसी का पाउडर (अलसी का आटा), सूरजमुखी का तेल - हल्का तलने के लिए</v>
      </c>
      <c r="H785" s="1" t="s">
        <v>34109</v>
      </c>
      <c r="I785" s="1" t="str">
        <f ca="1">IFERROR(__xludf.dummyfunction("IF(H785="""", """", GOOGLETRANSLATE(H785, ""en"", ""hi""))"),"मूंग दाल चीला रेसिपी बनाने के लिए सबसे पहले मूंग दाल को 5 से 6 घंटे या रात भर के लिए पानी में भिगो दें। भिगोने के बाद, एक ग्राइंडर का उपयोग करके, मूंग दाल को बहुत कम पानी के साथ गाढ़ा घोल बनाने के लिए पीस लें। हो जाने पर, मूंग दाल चीला बैटर को मिक्सिंग बा"&amp;"उल में निकालें, अन्य सामग्री जैसे चावल का आटा, धनिया पत्ती, हरी मिर्च, अदरक और लहसुन, नमक, लाल मिर्च पाउडर, गरम मसाला पाउडर और अलसी पाउडर डालें। सभी चीजों को अच्छी तरह मिला लें। बैटर गाढ़ा होना चाहिए। नमक की जांच करें और स्वादानुसार समायोजित करें। मध्यम आ"&amp;"ंच पर एक तवा रखें, कुछ चम्मच तेल डालें। तेल गर्म हो जाए तो तवे पर दो बड़े चम्मच मूंग दाल चीला बैटर डालें मूंग दाल चीला को पलटें और चीला के दूसरे हिस्से को भी पकाएँ। मूंग दाल चीला को अतिरिक्त तेल सोखने के लिए एक सोखने वाली शीट या रसोई के तौलिये पर निकालें।"&amp;" इसी तरह से मूंग दाल चीला बैटर का इस्तेमाल करके और चीले बनाएँ। एक बार हो जाने पर, यह परोसने के लिए तैयार है। मूंग दाल चीला रेसिपी को टमाटर की चटनी या शिमला मिर्च की चटनी के साथ परोसें, यह एक शानदार और सेहतमंद उत्तर भारतीय स्टाइल का नाश्ता है और यह एक भारत"&amp;"ीय मधुमेह नाश्ता भी है।")</f>
        <v>मूंग दाल चीला रेसिपी बनाने के लिए सबसे पहले मूंग दाल को 5 से 6 घंटे या रात भर के लिए पानी में भिगो दें। भिगोने के बाद, एक ग्राइंडर का उपयोग करके, मूंग दाल को बहुत कम पानी के साथ गाढ़ा घोल बनाने के लिए पीस लें। हो जाने पर, मूंग दाल चीला बैटर को मिक्सिंग बाउल में निकालें, अन्य सामग्री जैसे चावल का आटा, धनिया पत्ती, हरी मिर्च, अदरक और लहसुन, नमक, लाल मिर्च पाउडर, गरम मसाला पाउडर और अलसी पाउडर डालें। सभी चीजों को अच्छी तरह मिला लें। बैटर गाढ़ा होना चाहिए। नमक की जांच करें और स्वादानुसार समायोजित करें। मध्यम आंच पर एक तवा रखें, कुछ चम्मच तेल डालें। तेल गर्म हो जाए तो तवे पर दो बड़े चम्मच मूंग दाल चीला बैटर डालें मूंग दाल चीला को पलटें और चीला के दूसरे हिस्से को भी पकाएँ। मूंग दाल चीला को अतिरिक्त तेल सोखने के लिए एक सोखने वाली शीट या रसोई के तौलिये पर निकालें। इसी तरह से मूंग दाल चीला बैटर का इस्तेमाल करके और चीले बनाएँ। एक बार हो जाने पर, यह परोसने के लिए तैयार है। मूंग दाल चीला रेसिपी को टमाटर की चटनी या शिमला मिर्च की चटनी के साथ परोसें, यह एक शानदार और सेहतमंद उत्तर भारतीय स्टाइल का नाश्ता है और यह एक भारतीय मधुमेह नाश्ता भी है।</v>
      </c>
      <c r="J785" s="3" t="s">
        <v>34110</v>
      </c>
      <c r="L785" s="1" t="s">
        <v>31003</v>
      </c>
    </row>
    <row r="786" spans="1:12" ht="13.8">
      <c r="A786" s="1" t="s">
        <v>34111</v>
      </c>
      <c r="B786" s="1" t="str">
        <f ca="1">IFERROR(__xludf.dummyfunction("IF(A786="""", """", GOOGLETRANSLATE(A786, ""en"", ""hi""))"),"खट्टे टमाटर सॉस में उबले आलू")</f>
        <v>खट्टे टमाटर सॉस में उबले आलू</v>
      </c>
      <c r="C786" s="1" t="s">
        <v>145</v>
      </c>
      <c r="D786" s="1" t="s">
        <v>14208</v>
      </c>
      <c r="E786" s="1">
        <v>50</v>
      </c>
      <c r="F786" s="1" t="s">
        <v>34112</v>
      </c>
      <c r="G786" s="1" t="str">
        <f ca="1">IFERROR(__xludf.dummyfunction("IF(F786="""", """", GOOGLETRANSLATE(F786, ""en"", ""hi""))"),"6 आलू - उबालकर छील लें और काट लें, 4 टमाटर - प्यूरी बना लें, तेल - आवश्यकतानुसार, 1 छोटा चम्मच जीरा, 1/4 छोटा चम्मच हींग, नमक - स्वादानुसार, लाल मिर्च पाउडर - स्वादानुसार, 1 छोटा चम्मच चीनी, 1/4 छोटा चम्मच हल्दी पाउडर, 1 छोटा चम्मच जीरा पाउडर - भुना हुआ, "&amp;"1/4 छोटा चम्मच गरम मसाला पाउडर, 1 छोटा चम्मच धनिया पाउडर")</f>
        <v>6 आलू - उबालकर छील लें और काट लें, 4 टमाटर - प्यूरी बना लें, तेल - आवश्यकतानुसार, 1 छोटा चम्मच जीरा, 1/4 छोटा चम्मच हींग, नमक - स्वादानुसार, लाल मिर्च पाउडर - स्वादानुसार, 1 छोटा चम्मच चीनी, 1/4 छोटा चम्मच हल्दी पाउडर, 1 छोटा चम्मच जीरा पाउडर - भुना हुआ, 1/4 छोटा चम्मच गरम मसाला पाउडर, 1 छोटा चम्मच धनिया पाउडर</v>
      </c>
      <c r="H786" s="1" t="s">
        <v>34113</v>
      </c>
      <c r="I786" s="1" t="str">
        <f ca="1">IFERROR(__xludf.dummyfunction("IF(H786="""", """", GOOGLETRANSLATE(H786, ""en"", ""hi""))"),"""रस वाले आलू बनाने के लिए सबसे पहले एक पैन में तेल गर्म करें। इसमें जीरा और हींग डालें। 15 सेकंड बाद इसमें टमाटर प्यूरी डालें और 3 से 5 मिनट तक पकने दें। 5 मिनट बाद इसमें सारे मसाले और चीनी डालें। मिक्स करें और 1 मिनट तक पकने दें। 1 मिनट बाद इसमें आलू और"&amp;" 1 गिलास पानी डालें और 5 से 8 मिनट तक पकने दें। थोड़े से आलू मैश कर लें ताकि ग्रेवी थोड़ी गाढ़ी हो जाए। गरमागरम सर्व करें। रस वाले आलू को बूंदी रायता और पूरी के साथ लंच में सर्व करें।""")</f>
        <v>"रस वाले आलू बनाने के लिए सबसे पहले एक पैन में तेल गर्म करें। इसमें जीरा और हींग डालें। 15 सेकंड बाद इसमें टमाटर प्यूरी डालें और 3 से 5 मिनट तक पकने दें। 5 मिनट बाद इसमें सारे मसाले और चीनी डालें। मिक्स करें और 1 मिनट तक पकने दें। 1 मिनट बाद इसमें आलू और 1 गिलास पानी डालें और 5 से 8 मिनट तक पकने दें। थोड़े से आलू मैश कर लें ताकि ग्रेवी थोड़ी गाढ़ी हो जाए। गरमागरम सर्व करें। रस वाले आलू को बूंदी रायता और पूरी के साथ लंच में सर्व करें।"</v>
      </c>
      <c r="J786" s="3" t="s">
        <v>34114</v>
      </c>
      <c r="L786" s="1" t="s">
        <v>31003</v>
      </c>
    </row>
    <row r="787" spans="1:12" ht="13.8">
      <c r="A787" s="1" t="s">
        <v>34115</v>
      </c>
      <c r="B787" s="1" t="str">
        <f ca="1">IFERROR(__xludf.dummyfunction("IF(A787="""", """", GOOGLETRANSLATE(A787, ""en"", ""hi""))"),"शकरकंद दाल")</f>
        <v>शकरकंद दाल</v>
      </c>
      <c r="C787" s="1" t="s">
        <v>145</v>
      </c>
      <c r="D787" s="1" t="s">
        <v>14198</v>
      </c>
      <c r="E787" s="1">
        <v>45</v>
      </c>
      <c r="F787" s="1" t="s">
        <v>34116</v>
      </c>
      <c r="G787" s="1" t="str">
        <f ca="1">IFERROR(__xludf.dummyfunction("IF(F787="""", """", GOOGLETRANSLATE(F787, ""en"", ""hi""))"),"1 कप मसूर दाल, 1 कप शकरकंद - कटा हुआ, 1 बड़ा चम्मच नारियल तेल - कोई भी चलेगा, 2 प्याज - बारीक कटे हुए, 1 टमाटर - बारीक कटा हुआ, 1 छोटा चम्मच जीरा, 4 हरी मिर्च - कटी हुई, 5 लहसुन की कलियां - छीली और कटी हुई, 1-1/2 छोटा चम्मच हल्दी पाउडर, 1 छोटा चम्मच लाल म"&amp;"िर्च पाउडर, 1 छोटा चम्मच गरम मसाला पाउडर, 5 करी पत्ते, 1/2 छोटा चम्मच नमक, 2 कप पानी, 1 छोटा चम्मच तेल, 1/2 छोटा चम्मच जीरा, 1/2 छोटा चम्मच उड़द दाल, 1/2 छोटा चम्मच राई, धनिया पत्ती - थोड़ा सा")</f>
        <v>1 कप मसूर दाल, 1 कप शकरकंद - कटा हुआ, 1 बड़ा चम्मच नारियल तेल - कोई भी चलेगा, 2 प्याज - बारीक कटे हुए, 1 टमाटर - बारीक कटा हुआ, 1 छोटा चम्मच जीरा, 4 हरी मिर्च - कटी हुई, 5 लहसुन की कलियां - छीली और कटी हुई, 1-1/2 छोटा चम्मच हल्दी पाउडर, 1 छोटा चम्मच लाल मिर्च पाउडर, 1 छोटा चम्मच गरम मसाला पाउडर, 5 करी पत्ते, 1/2 छोटा चम्मच नमक, 2 कप पानी, 1 छोटा चम्मच तेल, 1/2 छोटा चम्मच जीरा, 1/2 छोटा चम्मच उड़द दाल, 1/2 छोटा चम्मच राई, धनिया पत्ती - थोड़ा सा</v>
      </c>
      <c r="H787" s="1" t="s">
        <v>34117</v>
      </c>
      <c r="I787" s="1" t="str">
        <f ca="1">IFERROR(__xludf.dummyfunction("IF(H787="""", """", GOOGLETRANSLATE(H787, ""en"", ""hi""))"),"""शकरकंद की दाल बनाने के लिए सबसे पहले मसूर की दाल को 1 घंटे के लिए पानी में भिगो दें. अब दाल को प्रेशर कुकर में डालकर आवश्यकतानुसार पानी डालकर 2 सीटी आने तक पकाएं. 2 सीटी आने के बाद गैस बंद कर दें और प्रेशर निकलने दें. अब एक कड़ाही में तेल गर्म करें. उसम"&amp;"ें जीरा डालकर 10 सेकेंड तक पकाएं. 10 सेकेंड बाद हरी मिर्च और लहसुन डालें. लहसुन के ब्राउन होने तक पकाएं. अब इसमें प्याज डालें और नरम होने तक पकाएं. अब इसमें कटे हुए टमाटर डालें और टमाटर के नरम होने तक पकाएं. अब बताए गए मसाले डालें और अच्छी तरह मिला लें. अ"&amp;"ब इसमें शकरकंद और पानी डालकर शकरकंद के पकने तक पकाएं. शकरकंद के पकने के बाद नमक डालें. आंच धीमी करके 5 मिनट तक पकाएं.")</f>
        <v>"शकरकंद की दाल बनाने के लिए सबसे पहले मसूर की दाल को 1 घंटे के लिए पानी में भिगो दें. अब दाल को प्रेशर कुकर में डालकर आवश्यकतानुसार पानी डालकर 2 सीटी आने तक पकाएं. 2 सीटी आने के बाद गैस बंद कर दें और प्रेशर निकलने दें. अब एक कड़ाही में तेल गर्म करें. उसमें जीरा डालकर 10 सेकेंड तक पकाएं. 10 सेकेंड बाद हरी मिर्च और लहसुन डालें. लहसुन के ब्राउन होने तक पकाएं. अब इसमें प्याज डालें और नरम होने तक पकाएं. अब इसमें कटे हुए टमाटर डालें और टमाटर के नरम होने तक पकाएं. अब बताए गए मसाले डालें और अच्छी तरह मिला लें. अब इसमें शकरकंद और पानी डालकर शकरकंद के पकने तक पकाएं. शकरकंद के पकने के बाद नमक डालें. आंच धीमी करके 5 मिनट तक पकाएं.</v>
      </c>
      <c r="J787" s="3" t="s">
        <v>34118</v>
      </c>
      <c r="L787" s="1" t="s">
        <v>31003</v>
      </c>
    </row>
    <row r="788" spans="1:12" ht="13.8">
      <c r="A788" s="1" t="s">
        <v>34119</v>
      </c>
      <c r="B788" s="1" t="str">
        <f ca="1">IFERROR(__xludf.dummyfunction("IF(A788="""", """", GOOGLETRANSLATE(A788, ""en"", ""hi""))"),"केल और सब्जी फ्राइड क्विनोआ रेसिपी")</f>
        <v>केल और सब्जी फ्राइड क्विनोआ रेसिपी</v>
      </c>
      <c r="C788" s="1" t="s">
        <v>15760</v>
      </c>
      <c r="D788" s="1" t="s">
        <v>14198</v>
      </c>
      <c r="E788" s="1">
        <v>40</v>
      </c>
      <c r="F788" s="1" t="s">
        <v>34120</v>
      </c>
      <c r="G788" s="1" t="str">
        <f ca="1">IFERROR(__xludf.dummyfunction("IF(F788="""", """", GOOGLETRANSLATE(F788, ""en"", ""hi""))"),"2 कप क्विनोआ, 1 कप प्याज - कटा हुआ, 1 कप अजवाइन - कटा हुआ, 2 कप केल - डंठल हटाकर कटा हुआ, 1 कप गाजर - कटा हुआ, 1 कप हरी मटर (मटर), 1/4 चम्मच लहसुन - बारीक कटा हुआ, 1 बड़ा चम्मच एक्स्ट्रा वर्जिन जैतून का तेल, नमक - स्वादानुसार")</f>
        <v>2 कप क्विनोआ, 1 कप प्याज - कटा हुआ, 1 कप अजवाइन - कटा हुआ, 2 कप केल - डंठल हटाकर कटा हुआ, 1 कप गाजर - कटा हुआ, 1 कप हरी मटर (मटर), 1/4 चम्मच लहसुन - बारीक कटा हुआ, 1 बड़ा चम्मच एक्स्ट्रा वर्जिन जैतून का तेल, नमक - स्वादानुसार</v>
      </c>
      <c r="H788" s="1" t="s">
        <v>34121</v>
      </c>
      <c r="I788" s="1" t="str">
        <f ca="1">IFERROR(__xludf.dummyfunction("IF(H788="""", """", GOOGLETRANSLATE(H788, ""en"", ""hi""))"),"केल और वेजिटेबल फ्राइड क्विनोआ रेसिपी बनाने के लिए, 2 कप क्विनोआ को 4 कप पानी, थोड़ा जैतून का तेल और 1/2 चम्मच नमक के साथ पकाएं। क्विनोआ मिश्रण को तेज आंच पर लगभग 5 मिनट तक उबालें। आंच कम करें, ढक दें और पूरी तरह पकने तक लगभग 10 मिनट तक पकने दें। क्विनोआ "&amp;"को कांटे से फुलाएं और ठंडा होने के लिए अलग रख दें। मध्यम आंच पर एक पैन में एक बड़ा चम्मच जैतून का तेल और बारीक कटा हुआ लहसुन डालें। इसमें प्याज, मटर और गाजर डालें। आंच को मध्यम कर दें और कुछ मिनट के लिए भूनें। कटा हुआ केल डालें और 2 मिनट के लिए भूनें। क्व"&amp;"िनोआ डालें और मिश्रण को मिला दें। नमक और काली मिर्च डालें")</f>
        <v>केल और वेजिटेबल फ्राइड क्विनोआ रेसिपी बनाने के लिए, 2 कप क्विनोआ को 4 कप पानी, थोड़ा जैतून का तेल और 1/2 चम्मच नमक के साथ पकाएं। क्विनोआ मिश्रण को तेज आंच पर लगभग 5 मिनट तक उबालें। आंच कम करें, ढक दें और पूरी तरह पकने तक लगभग 10 मिनट तक पकने दें। क्विनोआ को कांटे से फुलाएं और ठंडा होने के लिए अलग रख दें। मध्यम आंच पर एक पैन में एक बड़ा चम्मच जैतून का तेल और बारीक कटा हुआ लहसुन डालें। इसमें प्याज, मटर और गाजर डालें। आंच को मध्यम कर दें और कुछ मिनट के लिए भूनें। कटा हुआ केल डालें और 2 मिनट के लिए भूनें। क्विनोआ डालें और मिश्रण को मिला दें। नमक और काली मिर्च डालें</v>
      </c>
      <c r="J788" s="3" t="s">
        <v>34122</v>
      </c>
      <c r="L788" s="1" t="s">
        <v>31003</v>
      </c>
    </row>
    <row r="789" spans="1:12" ht="13.8">
      <c r="A789" s="1" t="s">
        <v>34123</v>
      </c>
      <c r="B789" s="1" t="str">
        <f ca="1">IFERROR(__xludf.dummyfunction("IF(A789="""", """", GOOGLETRANSLATE(A789, ""en"", ""hi""))"),"मक्के का चीला रेसिपी - स्वादिष्ट मक्के का चीला रेसिपी")</f>
        <v>मक्के का चीला रेसिपी - स्वादिष्ट मक्के का चीला रेसिपी</v>
      </c>
      <c r="C789" s="1" t="s">
        <v>16424</v>
      </c>
      <c r="D789" s="1" t="s">
        <v>14198</v>
      </c>
      <c r="E789" s="1">
        <v>30</v>
      </c>
      <c r="F789" s="1" t="s">
        <v>34124</v>
      </c>
      <c r="G789" s="1" t="str">
        <f ca="1">IFERROR(__xludf.dummyfunction("IF(F789="""", """", GOOGLETRANSLATE(F789, ""en"", ""hi""))"),"2 कप स्वीट कॉर्न, 3 बड़े चम्मच बेसन, 1 प्याज - बारीक कटा हुआ, 2 हरी मिर्च - बारीक कटी हुई, 1 चम्मच अदरक - कद्दूकस किया हुआ, धनिया पत्ती - एक छोटा गुच्छा बारीक कटा हुआ, सूरजमुखी तेल - चिल्ला बनाने के लिए, नमक - स्वादानुसार")</f>
        <v>2 कप स्वीट कॉर्न, 3 बड़े चम्मच बेसन, 1 प्याज - बारीक कटा हुआ, 2 हरी मिर्च - बारीक कटी हुई, 1 चम्मच अदरक - कद्दूकस किया हुआ, धनिया पत्ती - एक छोटा गुच्छा बारीक कटा हुआ, सूरजमुखी तेल - चिल्ला बनाने के लिए, नमक - स्वादानुसार</v>
      </c>
      <c r="H789" s="1" t="s">
        <v>34125</v>
      </c>
      <c r="I789" s="1" t="str">
        <f ca="1">IFERROR(__xludf.dummyfunction("IF(H789="""", """", GOOGLETRANSLATE(H789, ""en"", ""hi""))"),"मकई का चीला रेसिपी बनाने के लिए सबसे पहले मकई के छिलके को छील लें, मकई के दानों को भुट्टे से अलग कर लें और एक तरफ रख दें। अब, एक मिक्सर का उपयोग करके स्वीट कॉर्न/मकई का एक मोटा मिश्रण बनाएं और इसे एक कटोरे में डालें। कटोरे में, बेसन, कटा हुआ प्याज, हरी मि"&amp;"र्च, कसा हुआ अदरक, नमक डालें। एक बार में थोड़ा पानी डालते हुए सभी चीजों को मिलाएं - मकाई का चीला बैटर की स्थिरता थोड़ी मोटी होनी चाहिए। अब मध्यम आंच पर एक कड़ाही गरम करें, इसे थोड़ा तेल लगाएं, तैयार मकाई का चीला मिश्रण से एक करछुल भरें, इसे डोसा फैलाने की"&amp;" तरह फैलाएं और एक मिनट तक पकने दें। जब चीला का निचला भाग हल्का भूरा हो जाए, तो पलट दें और दूसरी तरफ एक मिनट के लिए पकाएं। पके हुए मकाई के चीले को एक प्लेट में परोसें और बचे हुए बैटर से चीला तैयार करें। नाश्ते के लिए या बच्चों के लिए स्कूल के बाद के नाश्ते"&amp;" के रूप में मकाई का चीला को धनिया पुदीना चटनी और फिल्टर कॉफी के साथ परोसें।")</f>
        <v>मकई का चीला रेसिपी बनाने के लिए सबसे पहले मकई के छिलके को छील लें, मकई के दानों को भुट्टे से अलग कर लें और एक तरफ रख दें। अब, एक मिक्सर का उपयोग करके स्वीट कॉर्न/मकई का एक मोटा मिश्रण बनाएं और इसे एक कटोरे में डालें। कटोरे में, बेसन, कटा हुआ प्याज, हरी मिर्च, कसा हुआ अदरक, नमक डालें। एक बार में थोड़ा पानी डालते हुए सभी चीजों को मिलाएं - मकाई का चीला बैटर की स्थिरता थोड़ी मोटी होनी चाहिए। अब मध्यम आंच पर एक कड़ाही गरम करें, इसे थोड़ा तेल लगाएं, तैयार मकाई का चीला मिश्रण से एक करछुल भरें, इसे डोसा फैलाने की तरह फैलाएं और एक मिनट तक पकने दें। जब चीला का निचला भाग हल्का भूरा हो जाए, तो पलट दें और दूसरी तरफ एक मिनट के लिए पकाएं। पके हुए मकाई के चीले को एक प्लेट में परोसें और बचे हुए बैटर से चीला तैयार करें। नाश्ते के लिए या बच्चों के लिए स्कूल के बाद के नाश्ते के रूप में मकाई का चीला को धनिया पुदीना चटनी और फिल्टर कॉफी के साथ परोसें।</v>
      </c>
      <c r="J789" s="3" t="s">
        <v>34126</v>
      </c>
      <c r="L789" s="1" t="s">
        <v>31003</v>
      </c>
    </row>
    <row r="790" spans="1:12" ht="409.6">
      <c r="A790" s="1" t="s">
        <v>34127</v>
      </c>
      <c r="B790" s="1" t="str">
        <f ca="1">IFERROR(__xludf.dummyfunction("IF(A790="""", """", GOOGLETRANSLATE(A790, ""en"", ""hi""))"),"मूली ज्वार की रोटी रेसिपी - मुलंगी कंबु चपथी")</f>
        <v>मूली ज्वार की रोटी रेसिपी - मुलंगी कंबु चपथी</v>
      </c>
      <c r="C790" s="1" t="s">
        <v>145</v>
      </c>
      <c r="D790" s="1" t="s">
        <v>14198</v>
      </c>
      <c r="E790" s="1">
        <v>35</v>
      </c>
      <c r="F790" s="1" t="s">
        <v>34128</v>
      </c>
      <c r="G790" s="1" t="str">
        <f ca="1">IFERROR(__xludf.dummyfunction("IF(F790="""", """", GOOGLETRANSLATE(F790, ""en"", ""hi""))"),"1 मूली, 1 1/2 कप ज्वार का आटा, 1 चम्मच अदरक लहसुन का पेस्ट, 1/2 चम्मच लाल मिर्च पाउडर, नमक - आवश्यकतानुसार, सूरजमुखी तेल - आवश्यकतानुसार, गर्म पानी - गूंधने के लिए")</f>
        <v>1 मूली, 1 1/2 कप ज्वार का आटा, 1 चम्मच अदरक लहसुन का पेस्ट, 1/2 चम्मच लाल मिर्च पाउडर, नमक - आवश्यकतानुसार, सूरजमुखी तेल - आवश्यकतानुसार, गर्म पानी - गूंधने के लिए</v>
      </c>
      <c r="H790" s="4" t="s">
        <v>34129</v>
      </c>
      <c r="I790" s="1" t="str">
        <f ca="1">IFERROR(__xludf.dummyfunction("IF(H790="""", """", GOOGLETRANSLATE(H790, ""en"", ""hi""))"),"मूली ज्वार की रोटी बनाने के लिए सबसे पहले मूली को अच्छे से धोकर उसका छिलका उतार कर कद्दूकस कर लें। कद्दूकस की हुई मूली को एक मिक्सिंग बाउल में लें, उसमें ज्वार का आटा, अदरक लहसुन का पेस्ट, लाल मिर्च पाउडर और आवश्यकतानुसार नमक डालें। सभी सामग्री को अच्छे स"&amp;"े मिला लें और थोड़ा सा गर्म पानी डालें। कद्दूकस की हुई मूली का पानी आटा गूंथने के लिए पर्याप्त होगा। इन सभी सामग्री को मिलाकर नरम आटा गूंथ लें और 5 मिनट के लिए ढककर रख दें। पांच मिनट बाद इसे फिर से गूंद लें और छोटी-छोटी लोइयां बना लें। एक बेलन की मदद से ल"&amp;"ोई को बटर पेपर या प्लास्टिक शीट पर रखते हुए पतला गोला बना लें। आटा चिपचिपा होगा इसलिए चपटा करते समय थोड़ा आटा डालें। आप अडाई या थेपला बनाने की तरह हाथों से भी चपटा कर सकते हैं। एक तवा मध्यम आंच पर रखें और उस पर थोड़ा सा तेल डालें बाकी रोटियों के लिए भी यह"&amp;"ी प्रक्रिया दोहराएं और आपकी स्वादिष्ट मूली ज्वार की रोटी परोसने के लिए तैयार है। मूली ज्वार की रोटी को आलू गोभी की सब्जी, दही और गोर केरी अचार के साथ परोसें और संपूर्ण उत्तर भारतीय शैली का नाश्ता बनाएं।")</f>
        <v>मूली ज्वार की रोटी बनाने के लिए सबसे पहले मूली को अच्छे से धोकर उसका छिलका उतार कर कद्दूकस कर लें। कद्दूकस की हुई मूली को एक मिक्सिंग बाउल में लें, उसमें ज्वार का आटा, अदरक लहसुन का पेस्ट, लाल मिर्च पाउडर और आवश्यकतानुसार नमक डालें। सभी सामग्री को अच्छे से मिला लें और थोड़ा सा गर्म पानी डालें। कद्दूकस की हुई मूली का पानी आटा गूंथने के लिए पर्याप्त होगा। इन सभी सामग्री को मिलाकर नरम आटा गूंथ लें और 5 मिनट के लिए ढककर रख दें। पांच मिनट बाद इसे फिर से गूंद लें और छोटी-छोटी लोइयां बना लें। एक बेलन की मदद से लोई को बटर पेपर या प्लास्टिक शीट पर रखते हुए पतला गोला बना लें। आटा चिपचिपा होगा इसलिए चपटा करते समय थोड़ा आटा डालें। आप अडाई या थेपला बनाने की तरह हाथों से भी चपटा कर सकते हैं। एक तवा मध्यम आंच पर रखें और उस पर थोड़ा सा तेल डालें बाकी रोटियों के लिए भी यही प्रक्रिया दोहराएं और आपकी स्वादिष्ट मूली ज्वार की रोटी परोसने के लिए तैयार है। मूली ज्वार की रोटी को आलू गोभी की सब्जी, दही और गोर केरी अचार के साथ परोसें और संपूर्ण उत्तर भारतीय शैली का नाश्ता बनाएं।</v>
      </c>
      <c r="J790" s="3" t="s">
        <v>34130</v>
      </c>
      <c r="L790" s="1" t="s">
        <v>31003</v>
      </c>
    </row>
    <row r="791" spans="1:12" ht="13.8">
      <c r="A791" s="1" t="s">
        <v>31924</v>
      </c>
      <c r="B791" s="1" t="str">
        <f ca="1">IFERROR(__xludf.dummyfunction("IF(A791="""", """", GOOGLETRANSLATE(A791, ""en"", ""hi""))"),"बेसन मेथी पराठा रेसिपी")</f>
        <v>बेसन मेथी पराठा रेसिपी</v>
      </c>
      <c r="C791" s="1" t="s">
        <v>16424</v>
      </c>
      <c r="D791" s="1" t="s">
        <v>14198</v>
      </c>
      <c r="E791" s="1">
        <v>30</v>
      </c>
      <c r="F791" s="1" t="s">
        <v>34131</v>
      </c>
      <c r="G791" s="1" t="str">
        <f ca="1">IFERROR(__xludf.dummyfunction("IF(F791="""", """", GOOGLETRANSLATE(F791, ""en"", ""hi""))"),"2 बड़े चम्मच तेल, 1/2 कप बेसन, 1/4 छोटा चम्मच हींग, 1/2 छोटा चम्मच अजवाइन, 1 छोटा चम्मच जीरा, 1 छोटा चम्मच लाल मिर्च पाउडर, 1 छोटा चम्मच धनिया पाउडर, 1 छोटा चम्मच जीरा पाउडर, 1 छोटा चम्मच अमचूर पाउडर, 1 छोटा चम्मच गरम मसाला पाउडर, नमक- स्वादानुसार, 1-1/2 "&amp;"कप मेथी- बारीक कटी हुई, 2 कप गेहूं का आटा, पानी- आवश्यकतानुसार, नमक- स्वादानुसार, घी- आवश्यकतानुसार")</f>
        <v>2 बड़े चम्मच तेल, 1/2 कप बेसन, 1/4 छोटा चम्मच हींग, 1/2 छोटा चम्मच अजवाइन, 1 छोटा चम्मच जीरा, 1 छोटा चम्मच लाल मिर्च पाउडर, 1 छोटा चम्मच धनिया पाउडर, 1 छोटा चम्मच जीरा पाउडर, 1 छोटा चम्मच अमचूर पाउडर, 1 छोटा चम्मच गरम मसाला पाउडर, नमक- स्वादानुसार, 1-1/2 कप मेथी- बारीक कटी हुई, 2 कप गेहूं का आटा, पानी- आवश्यकतानुसार, नमक- स्वादानुसार, घी- आवश्यकतानुसार</v>
      </c>
      <c r="H791" s="1" t="s">
        <v>34132</v>
      </c>
      <c r="I791" s="1" t="str">
        <f ca="1">IFERROR(__xludf.dummyfunction("IF(H791="""", """", GOOGLETRANSLATE(H791, ""en"", ""hi""))"),"बेसन मेथी पराठा रेसिपी बनाने के लिए सबसे पहले हम पराठे के लिए मसाला बनाएंगे. एक पैन में तेल गर्म करें. इसमें जीरा, अजवाइन, हींग डालें और जीरा चटकने दें. चटकने के बाद इसमें बेसन डालें और मध्यम आंच पर पकने दें. बेसन हल्का भूरा होने के बाद इसमें लाल मिर्च पा"&amp;"उडर, धनिया पाउडर, जीरा पाउडर, अमचूर पाउडर, गरम मसाला पाउडर, नमक डालकर मिला लें. 1 मिनट बाद इसमें मेथी डालकर नरम होने तक पकाएं. गैस बंद कर दें और मसाले को ठंडा होने दें. पराठे का आटा गूंथने के लिए एक मिक्सिंग बाउल में आटा, नमक डालकर मिला लें. अब इसमें थोड़"&amp;"ा-थोड़ा पानी डालकर अच्छे से गूंद लें. बीच में थोड़ा तेल डालकर अच्छे से गूंद लें. ढककर अलग रख दें. तवा गर्म करें. आटे का एक हिस्सा लेकर 2 व्यास की गोल रोटी बनाएं. अब बीच में मसाला डालकर चारों तरफ से बंद कर दें. इसे हाथ से चपटा करके फिर से बेल लें. अब इस पर"&amp;"ाठे को टुकड़ों में काट लें. इसे तवे पर रखें और चारों तरफ घी या तेल लगाएं. चारों ओर से अच्छी तरह से पकने तक पकाएँ। परोसें। बेसन मेथी पराठा रेसिपी को बूंदी रायता और आम चूंदा अचार के साथ नाश्ते में परोसें।")</f>
        <v>बेसन मेथी पराठा रेसिपी बनाने के लिए सबसे पहले हम पराठे के लिए मसाला बनाएंगे. एक पैन में तेल गर्म करें. इसमें जीरा, अजवाइन, हींग डालें और जीरा चटकने दें. चटकने के बाद इसमें बेसन डालें और मध्यम आंच पर पकने दें. बेसन हल्का भूरा होने के बाद इसमें लाल मिर्च पाउडर, धनिया पाउडर, जीरा पाउडर, अमचूर पाउडर, गरम मसाला पाउडर, नमक डालकर मिला लें. 1 मिनट बाद इसमें मेथी डालकर नरम होने तक पकाएं. गैस बंद कर दें और मसाले को ठंडा होने दें. पराठे का आटा गूंथने के लिए एक मिक्सिंग बाउल में आटा, नमक डालकर मिला लें. अब इसमें थोड़ा-थोड़ा पानी डालकर अच्छे से गूंद लें. बीच में थोड़ा तेल डालकर अच्छे से गूंद लें. ढककर अलग रख दें. तवा गर्म करें. आटे का एक हिस्सा लेकर 2 व्यास की गोल रोटी बनाएं. अब बीच में मसाला डालकर चारों तरफ से बंद कर दें. इसे हाथ से चपटा करके फिर से बेल लें. अब इस पराठे को टुकड़ों में काट लें. इसे तवे पर रखें और चारों तरफ घी या तेल लगाएं. चारों ओर से अच्छी तरह से पकने तक पकाएँ। परोसें। बेसन मेथी पराठा रेसिपी को बूंदी रायता और आम चूंदा अचार के साथ नाश्ते में परोसें।</v>
      </c>
      <c r="J791" s="3" t="s">
        <v>34133</v>
      </c>
      <c r="L791" s="1" t="s">
        <v>31003</v>
      </c>
    </row>
    <row r="792" spans="1:12" ht="13.8">
      <c r="A792" s="1" t="s">
        <v>34134</v>
      </c>
      <c r="B792" s="1" t="str">
        <f ca="1">IFERROR(__xludf.dummyfunction("IF(A792="""", """", GOOGLETRANSLATE(A792, ""en"", ""hi""))"),"मटर का चीला")</f>
        <v>मटर का चीला</v>
      </c>
      <c r="C792" s="1" t="s">
        <v>16424</v>
      </c>
      <c r="D792" s="1" t="s">
        <v>14198</v>
      </c>
      <c r="E792" s="1">
        <v>40</v>
      </c>
      <c r="F792" s="1" t="s">
        <v>34135</v>
      </c>
      <c r="G792" s="1" t="str">
        <f ca="1">IFERROR(__xludf.dummyfunction("IF(F792="""", """", GOOGLETRANSLATE(F792, ""en"", ""hi""))"),"1 कप हरी मटर - उबली हुई, 2 बड़े चम्मच बेसन, 2 बड़े चम्मच चावल का आटा, 2 बड़े चम्मच पनीर - कद्दूकस किया हुआ, 1 बड़ा चम्मच क्रीम, 1 छोटा चम्मच अदरक - कद्दूकस किया हुआ, 1/2 छोटा चम्मच खाने का सोडा, 1/2 छोटा चम्मच लाल मिर्च पाउडर, 1/2 छोटा चम्मच जीरा पाउडर, 1"&amp;"/2 छोटा चम्मच नमक, 2 छोटे चम्मच तेल - आवश्यकतानुसार")</f>
        <v>1 कप हरी मटर - उबली हुई, 2 बड़े चम्मच बेसन, 2 बड़े चम्मच चावल का आटा, 2 बड़े चम्मच पनीर - कद्दूकस किया हुआ, 1 बड़ा चम्मच क्रीम, 1 छोटा चम्मच अदरक - कद्दूकस किया हुआ, 1/2 छोटा चम्मच खाने का सोडा, 1/2 छोटा चम्मच लाल मिर्च पाउडर, 1/2 छोटा चम्मच जीरा पाउडर, 1/2 छोटा चम्मच नमक, 2 छोटे चम्मच तेल - आवश्यकतानुसार</v>
      </c>
      <c r="H792" s="1" t="s">
        <v>34136</v>
      </c>
      <c r="I792" s="1" t="str">
        <f ca="1">IFERROR(__xludf.dummyfunction("IF(H792="""", """", GOOGLETRANSLATE(H792, ""en"", ""hi""))"),"मटर का चीला बनाने के लिए सबसे पहले मटर को उबाल लें। इसे मिक्सर ग्राइंडर में थोड़े से पानी के साथ डालकर पेस्ट बना लें। इस पेस्ट को बाकी सभी सामग्री के साथ एक बाउल में डालें। तेल न डालें। इस मिश्रण को अच्छे से मिला लें। अब एक नॉन-स्टिक पैन गरम करें। इसमें थ"&amp;"ोड़ा तेल डालें। तेल गरम होने के बाद इसे पेपर नैपकिन से हटा दें। अब पैन के बीच में थोड़ा मटर का मिश्रण डालें। अब इसे बीच में चम्मच की मदद से पैनकेक की तरह गोल आकार में फैला दें। किनारों पर थोड़ा तेल डालें और दोनों तरफ से पकने तक पकाएँ। मटर का चीला को धनिया"&amp;" पुदीने की चटनी और अदरक की चाय के साथ नाश्ते में सर्व करें।")</f>
        <v>मटर का चीला बनाने के लिए सबसे पहले मटर को उबाल लें। इसे मिक्सर ग्राइंडर में थोड़े से पानी के साथ डालकर पेस्ट बना लें। इस पेस्ट को बाकी सभी सामग्री के साथ एक बाउल में डालें। तेल न डालें। इस मिश्रण को अच्छे से मिला लें। अब एक नॉन-स्टिक पैन गरम करें। इसमें थोड़ा तेल डालें। तेल गरम होने के बाद इसे पेपर नैपकिन से हटा दें। अब पैन के बीच में थोड़ा मटर का मिश्रण डालें। अब इसे बीच में चम्मच की मदद से पैनकेक की तरह गोल आकार में फैला दें। किनारों पर थोड़ा तेल डालें और दोनों तरफ से पकने तक पकाएँ। मटर का चीला को धनिया पुदीने की चटनी और अदरक की चाय के साथ नाश्ते में सर्व करें।</v>
      </c>
      <c r="J792" s="3" t="s">
        <v>34137</v>
      </c>
      <c r="L792" s="1" t="s">
        <v>31003</v>
      </c>
    </row>
    <row r="793" spans="1:12" ht="13.8">
      <c r="A793" s="1" t="s">
        <v>34138</v>
      </c>
      <c r="B793" s="1" t="str">
        <f ca="1">IFERROR(__xludf.dummyfunction("IF(A793="""", """", GOOGLETRANSLATE(A793, ""en"", ""hi""))"),"पालक पत्ता चाट रेसिपी-दिल्ली स्टाइल पालक पत्ता चाट")</f>
        <v>पालक पत्ता चाट रेसिपी-दिल्ली स्टाइल पालक पत्ता चाट</v>
      </c>
      <c r="C793" s="1" t="s">
        <v>14572</v>
      </c>
      <c r="D793" s="1" t="s">
        <v>14198</v>
      </c>
      <c r="E793" s="1">
        <v>20</v>
      </c>
      <c r="F793" s="1" t="s">
        <v>34139</v>
      </c>
      <c r="G793" s="1" t="str">
        <f ca="1">IFERROR(__xludf.dummyfunction("IF(F793="""", """", GOOGLETRANSLATE(F793, ""en"", ""hi""))"),"10 पालक के पत्ते, 1 चुटकी इनोस फ्रूट सॉल्ट, 1/4 कप बेसन, नमक - स्वादानुसार, 1/4 कप हरी चटनी (धनिया और पुदीना), 1/4 कप मीठी चटनी (खजूर और इमली), 1/4 कप लहसुन की चटनी, सेव - सजाने के लिए, 1 प्याज - कटा हुआ, 1/4 कप दही, 1 आलू - उबला और मैश किया हुआ, 1 गाजर -"&amp;" कद्दूकस किया हुआ, लाल मिर्च पाउडर - छिड़कने के लिए, जीरा पाउडर (जीरा) - छिड़कने के लिए, चाट मसाला पाउडर - छिड़कने के लिए")</f>
        <v>10 पालक के पत्ते, 1 चुटकी इनोस फ्रूट सॉल्ट, 1/4 कप बेसन, नमक - स्वादानुसार, 1/4 कप हरी चटनी (धनिया और पुदीना), 1/4 कप मीठी चटनी (खजूर और इमली), 1/4 कप लहसुन की चटनी, सेव - सजाने के लिए, 1 प्याज - कटा हुआ, 1/4 कप दही, 1 आलू - उबला और मैश किया हुआ, 1 गाजर - कद्दूकस किया हुआ, लाल मिर्च पाउडर - छिड़कने के लिए, जीरा पाउडर (जीरा) - छिड़कने के लिए, चाट मसाला पाउडर - छिड़कने के लिए</v>
      </c>
      <c r="H793" s="1" t="s">
        <v>34140</v>
      </c>
      <c r="I793" s="1" t="str">
        <f ca="1">IFERROR(__xludf.dummyfunction("IF(H793="""", """", GOOGLETRANSLATE(H793, ""en"", ""hi""))"),"पालक पत्ता चाट रेसिपी बनाने के लिए सबसे पहले पालक के पत्तों को भून लें। पालक के पत्तों को धोकर सुखा लें। एक मिक्सिंग बाउल में बेसन, नमक और ईनो को 2 बड़े चम्मच पानी के साथ मिलाकर एक गाढ़ा घोल तैयार कर लें। अच्छी तरह मिलाएं और एक तरफ रख दें। एक कड़ाही में म"&amp;"ध्यम आंच पर तेल गर्म करें, प्रत्येक पालक के पत्ते को बेसन के घोल में डुबोएं और पूरी तरह से कोट करें, धीरे-धीरे उन्हें तेल में डालें और सुनहरा भूरा होने तक तल लें। उन्हें एक टिशू पेपर पर निकाल लें और चाट बनाने के लिए एक प्लेट में रख लें। पालक पत्ता चाट बना"&amp;"ने के लिए, तले हुए पालक पत्तों को एक प्लेट में व्यवस्थित करें। एक मिक्सिंग बाउल में कद्दूकस की हुई गाजर, मसले हुए आलू और कटे हुए प्याज को थोड़े चाट मसाले के साथ मिलाएं। तले हुए पालक के प्रत्येक पत्ते पर थोड़ा सा गाजर-आलू-प्याज का मिश्रण रखें। इसके बाद, प्"&amp;"रत्येक पालक पत्ते पर एक-एक चम्मच धनिया-पुदीना चटनी, खजूर और इमली की चटनी और लहसुन की चटनी डालें। मसालेदार काले छोले अंकुरित सलाद चाट रेसिपी और दिल्ली स्टाइल मटर चाट (मटका) रेसिपी (मसालेदार और तीखी सूखी हरी मटर करी रेसिपी) के साथ अपनी चाट पार्टियों में या "&amp;"होली और दिवाली जैसे अपने त्यौहारों के हिस्से के रूप में।")</f>
        <v>पालक पत्ता चाट रेसिपी बनाने के लिए सबसे पहले पालक के पत्तों को भून लें। पालक के पत्तों को धोकर सुखा लें। एक मिक्सिंग बाउल में बेसन, नमक और ईनो को 2 बड़े चम्मच पानी के साथ मिलाकर एक गाढ़ा घोल तैयार कर लें। अच्छी तरह मिलाएं और एक तरफ रख दें। एक कड़ाही में मध्यम आंच पर तेल गर्म करें, प्रत्येक पालक के पत्ते को बेसन के घोल में डुबोएं और पूरी तरह से कोट करें, धीरे-धीरे उन्हें तेल में डालें और सुनहरा भूरा होने तक तल लें। उन्हें एक टिशू पेपर पर निकाल लें और चाट बनाने के लिए एक प्लेट में रख लें। पालक पत्ता चाट बनाने के लिए, तले हुए पालक पत्तों को एक प्लेट में व्यवस्थित करें। एक मिक्सिंग बाउल में कद्दूकस की हुई गाजर, मसले हुए आलू और कटे हुए प्याज को थोड़े चाट मसाले के साथ मिलाएं। तले हुए पालक के प्रत्येक पत्ते पर थोड़ा सा गाजर-आलू-प्याज का मिश्रण रखें। इसके बाद, प्रत्येक पालक पत्ते पर एक-एक चम्मच धनिया-पुदीना चटनी, खजूर और इमली की चटनी और लहसुन की चटनी डालें। मसालेदार काले छोले अंकुरित सलाद चाट रेसिपी और दिल्ली स्टाइल मटर चाट (मटका) रेसिपी (मसालेदार और तीखी सूखी हरी मटर करी रेसिपी) के साथ अपनी चाट पार्टियों में या होली और दिवाली जैसे अपने त्यौहारों के हिस्से के रूप में।</v>
      </c>
      <c r="J793" s="3" t="s">
        <v>34141</v>
      </c>
      <c r="L793" s="1" t="s">
        <v>31003</v>
      </c>
    </row>
    <row r="794" spans="1:12" ht="13.8">
      <c r="A794" s="1" t="s">
        <v>34142</v>
      </c>
      <c r="B794" s="1" t="str">
        <f ca="1">IFERROR(__xludf.dummyfunction("IF(A794="""", """", GOOGLETRANSLATE(A794, ""en"", ""hi""))"),"कसूरी मेथी पनीर सब्ज़ी")</f>
        <v>कसूरी मेथी पनीर सब्ज़ी</v>
      </c>
      <c r="C794" s="1" t="s">
        <v>429</v>
      </c>
      <c r="D794" s="1" t="s">
        <v>14237</v>
      </c>
      <c r="E794" s="1">
        <v>35</v>
      </c>
      <c r="F794" s="1" t="s">
        <v>34143</v>
      </c>
      <c r="G794" s="1" t="str">
        <f ca="1">IFERROR(__xludf.dummyfunction("IF(F794="""", """", GOOGLETRANSLATE(F794, ""en"", ""hi""))"),"1 कप पनीर - कटा हुआ, 2 प्याज - बारीक कटा हुआ, 2 टमाटर - बारीक कटा हुआ, 1 बड़ा चम्मच अदरक लहसुन पेस्ट, 1 चम्मच हल्दी पाउडर, 1 चम्मच जीरा, 2 चम्मच लाल मिर्च पाउडर, 2-1/2 चम्मच गरम मसाला पाउडर, नमक - स्वादानुसार, तेल - उपयोगानुसार")</f>
        <v>1 कप पनीर - कटा हुआ, 2 प्याज - बारीक कटा हुआ, 2 टमाटर - बारीक कटा हुआ, 1 बड़ा चम्मच अदरक लहसुन पेस्ट, 1 चम्मच हल्दी पाउडर, 1 चम्मच जीरा, 2 चम्मच लाल मिर्च पाउडर, 2-1/2 चम्मच गरम मसाला पाउडर, नमक - स्वादानुसार, तेल - उपयोगानुसार</v>
      </c>
      <c r="H794" s="1" t="s">
        <v>34144</v>
      </c>
      <c r="I794" s="1" t="str">
        <f ca="1">IFERROR(__xludf.dummyfunction("IF(H794="""", """", GOOGLETRANSLATE(H794, ""en"", ""hi""))"),"कसूरी मेथी पनीर की सब्जी बनाने के लिए सबसे पहले सारी सामग्री तैयार कर लें। अब एक पैन में तेल गर्म करें। तेल गर्म होने के बाद इसमें जीरा डालें और 10 सेकंड तक पकाएं। 10 सेकंड बाद इसमें प्याज डालें और नरम होने तक पकाएं। नरम होने के बाद इसमें टमाटर डालें और न"&amp;"रम होने तक पकाएं। अब इसमें सारे मसाले डालें और 3 से 4 मिनट तक पकाएं। मसाला पकने के बाद इसमें कुटी हुई कसूरी मेथी डालें। स्वादानुसार नमक डालें और मिलाएँ। 1 मिनट बाद इसमें पनीर डालें और मिलाएँ। इसे 3 से 5 मिनट तक पकने दें, गैस बंद कर दें और हरे धनिये से गार"&amp;"्निश करें। कसूरी मेथी पनीर की सब्जी को दाल तड़का, चुकंदर रायता और फुल्के के साथ सर्व करें।")</f>
        <v>कसूरी मेथी पनीर की सब्जी बनाने के लिए सबसे पहले सारी सामग्री तैयार कर लें। अब एक पैन में तेल गर्म करें। तेल गर्म होने के बाद इसमें जीरा डालें और 10 सेकंड तक पकाएं। 10 सेकंड बाद इसमें प्याज डालें और नरम होने तक पकाएं। नरम होने के बाद इसमें टमाटर डालें और नरम होने तक पकाएं। अब इसमें सारे मसाले डालें और 3 से 4 मिनट तक पकाएं। मसाला पकने के बाद इसमें कुटी हुई कसूरी मेथी डालें। स्वादानुसार नमक डालें और मिलाएँ। 1 मिनट बाद इसमें पनीर डालें और मिलाएँ। इसे 3 से 5 मिनट तक पकने दें, गैस बंद कर दें और हरे धनिये से गार्निश करें। कसूरी मेथी पनीर की सब्जी को दाल तड़का, चुकंदर रायता और फुल्के के साथ सर्व करें।</v>
      </c>
      <c r="J794" s="3" t="s">
        <v>34145</v>
      </c>
      <c r="L794" s="1" t="s">
        <v>31003</v>
      </c>
    </row>
    <row r="795" spans="1:12" ht="13.8">
      <c r="A795" s="1" t="s">
        <v>34146</v>
      </c>
      <c r="B795" s="1" t="str">
        <f ca="1">IFERROR(__xludf.dummyfunction("IF(A795="""", """", GOOGLETRANSLATE(A795, ""en"", ""hi""))"),"हरियाली गोभी रेसिपी - पालक फूलगोभी करी रेसिपी")</f>
        <v>हरियाली गोभी रेसिपी - पालक फूलगोभी करी रेसिपी</v>
      </c>
      <c r="C795" s="1" t="s">
        <v>145</v>
      </c>
      <c r="D795" s="1" t="s">
        <v>14338</v>
      </c>
      <c r="E795" s="1">
        <v>45</v>
      </c>
      <c r="F795" s="1" t="s">
        <v>34147</v>
      </c>
      <c r="G795" s="1" t="str">
        <f ca="1">IFERROR(__xludf.dummyfunction("IF(F795="""", """", GOOGLETRANSLATE(F795, ""en"", ""hi""))"),"2 कप फूलगोभी - बड़े टुकड़ों में कटी हुई, 1/2 चम्मच हल्दी, 1 चम्मच गरम मसाला पाउडर, नमक - स्वादानुसार, 500 ग्राम पालक - धोया और कटा हुआ, 1 टमाटर - कटा हुआ या प्यूरी किया हुआ, 2 लहसुन के दाने - कद्दूकस किया हुआ, 2 इंच अदरक - कद्दूकस किया हुआ, 2 हरी मिर्च - "&amp;"कटी हुई, 1/2 चम्मच जीरा, 1 इंच दालचीनी, 1 चम्मच जीरा, 1/4 चम्मच हल्दी, 1 चम्मच गरम मसाला पाउडर, 2 बड़े चम्मच ताजा क्रीम, 1 बड़ा चम्मच मक्खन, नमक - स्वादानुसार")</f>
        <v>2 कप फूलगोभी - बड़े टुकड़ों में कटी हुई, 1/2 चम्मच हल्दी, 1 चम्मच गरम मसाला पाउडर, नमक - स्वादानुसार, 500 ग्राम पालक - धोया और कटा हुआ, 1 टमाटर - कटा हुआ या प्यूरी किया हुआ, 2 लहसुन के दाने - कद्दूकस किया हुआ, 2 इंच अदरक - कद्दूकस किया हुआ, 2 हरी मिर्च - कटी हुई, 1/2 चम्मच जीरा, 1 इंच दालचीनी, 1 चम्मच जीरा, 1/4 चम्मच हल्दी, 1 चम्मच गरम मसाला पाउडर, 2 बड़े चम्मच ताजा क्रीम, 1 बड़ा चम्मच मक्खन, नमक - स्वादानुसार</v>
      </c>
      <c r="H795" s="1" t="s">
        <v>34148</v>
      </c>
      <c r="I795" s="1" t="str">
        <f ca="1">IFERROR(__xludf.dummyfunction("IF(H795="""", """", GOOGLETRANSLATE(H795, ""en"", ""hi""))"),"हरियाली गोभी रेसिपी बनाने के लिए सबसे पहले हम हरियाली मसाला को प्रेशर कुकर में पकाएंगे। मध्यम आंच पर प्रेशर कुकर में मक्खन गर्म करें; उसमें जीरा, लहसुन डालें और कुछ सेकंड के लिए भूनें। दालचीनी, हरी मिर्च, पालक, टमाटर, जीरा पाउडर, गरम मसाला पाउडर, हल्दी पा"&amp;"उडर और जीरा पाउडर डालें। कुछ सेकंड के लिए भूनें, 1 बड़ा चम्मच पानी डालें, प्रेशर कुकर को ढक दें और एक सीटी आने तक पकाएं और आंच बंद कर दें। इसे तुरंत ठंडे पानी के नीचे चलाकर प्रेशर छोड़ दें। यह पालक के ताजे हरे रंग को संरक्षित करने में मदद करेगा। पकने के ब"&amp;"ाद पालक को पूरी तरह से ठंडा होने दें और फिर इसे अपने ब्लेंडर में लगभग बिना पानी के एक चिकनी प्यूरी में बदल दें। एक कढ़ाई में तेल गर्म करें जब गोभी पक जाए, तो उसमें गरम मसाला डालें और कुछ मिनट तक भूनें और आँच बंद कर दें। गोभी पकी हुई होनी चाहिए। जब ​​पक जा"&amp;"ए, तो पालक करी में क्रीम मिलाएँ और एक सर्विंग बाउल में डालें। भुनी हुई गोभी को पालक करी में डालें और हरियाली गोभी को गरमागरम परोसें। हरियाली गोभी रेसिपी को फुल्का, कढ़ी पकौड़ा और मसालेदार पनीर पुलाव के साथ रात के खाने में परोसें।")</f>
        <v>हरियाली गोभी रेसिपी बनाने के लिए सबसे पहले हम हरियाली मसाला को प्रेशर कुकर में पकाएंगे। मध्यम आंच पर प्रेशर कुकर में मक्खन गर्म करें; उसमें जीरा, लहसुन डालें और कुछ सेकंड के लिए भूनें। दालचीनी, हरी मिर्च, पालक, टमाटर, जीरा पाउडर, गरम मसाला पाउडर, हल्दी पाउडर और जीरा पाउडर डालें। कुछ सेकंड के लिए भूनें, 1 बड़ा चम्मच पानी डालें, प्रेशर कुकर को ढक दें और एक सीटी आने तक पकाएं और आंच बंद कर दें। इसे तुरंत ठंडे पानी के नीचे चलाकर प्रेशर छोड़ दें। यह पालक के ताजे हरे रंग को संरक्षित करने में मदद करेगा। पकने के बाद पालक को पूरी तरह से ठंडा होने दें और फिर इसे अपने ब्लेंडर में लगभग बिना पानी के एक चिकनी प्यूरी में बदल दें। एक कढ़ाई में तेल गर्म करें जब गोभी पक जाए, तो उसमें गरम मसाला डालें और कुछ मिनट तक भूनें और आँच बंद कर दें। गोभी पकी हुई होनी चाहिए। जब ​​पक जाए, तो पालक करी में क्रीम मिलाएँ और एक सर्विंग बाउल में डालें। भुनी हुई गोभी को पालक करी में डालें और हरियाली गोभी को गरमागरम परोसें। हरियाली गोभी रेसिपी को फुल्का, कढ़ी पकौड़ा और मसालेदार पनीर पुलाव के साथ रात के खाने में परोसें।</v>
      </c>
      <c r="J795" s="3" t="s">
        <v>34149</v>
      </c>
      <c r="L795" s="1" t="s">
        <v>31003</v>
      </c>
    </row>
    <row r="796" spans="1:12" ht="409.6">
      <c r="A796" s="1" t="s">
        <v>34150</v>
      </c>
      <c r="B796" s="1" t="str">
        <f ca="1">IFERROR(__xludf.dummyfunction("IF(A796="""", """", GOOGLETRANSLATE(A796, ""en"", ""hi""))"),"शकरकंदी मालपुआ रेसिपी - मिष्टी आलू मालपुआ रेसिपी")</f>
        <v>शकरकंदी मालपुआ रेसिपी - मिष्टी आलू मालपुआ रेसिपी</v>
      </c>
      <c r="C796" s="1" t="s">
        <v>8417</v>
      </c>
      <c r="D796" s="1" t="s">
        <v>14198</v>
      </c>
      <c r="E796" s="1">
        <v>70</v>
      </c>
      <c r="F796" s="1" t="s">
        <v>34151</v>
      </c>
      <c r="G796" s="1" t="str">
        <f ca="1">IFERROR(__xludf.dummyfunction("IF(F796="""", """", GOOGLETRANSLATE(F796, ""en"", ""hi""))"),"2 शकरकंद - उबले हुए, 1 कप दूध पाउडर, 1/2 कप मैदा, 1 बड़ा चम्मच चीनी, 2 बड़े चम्मच सूजी, 1 छोटा चम्मच सौंफ, 1 छोटा चम्मच इलायची पाउडर, 1 कप चीनी, 1 कप पानी, 1 छोटा चम्मच गुलाब जल, सूरजमुखी तेल - या घी, पिस्ता - कटे हुए")</f>
        <v>2 शकरकंद - उबले हुए, 1 कप दूध पाउडर, 1/2 कप मैदा, 1 बड़ा चम्मच चीनी, 2 बड़े चम्मच सूजी, 1 छोटा चम्मच सौंफ, 1 छोटा चम्मच इलायची पाउडर, 1 कप चीनी, 1 कप पानी, 1 छोटा चम्मच गुलाब जल, सूरजमुखी तेल - या घी, पिस्ता - कटे हुए</v>
      </c>
      <c r="H796" s="1" t="s">
        <v>34152</v>
      </c>
      <c r="I796" s="4" t="str">
        <f ca="1">IFERROR(__xludf.dummyfunction("IF(H796="""", """", GOOGLETRANSLATE(H796, ""en"", ""hi""))"),"शकरकंदी मालपुआ रेसिपी बनाने के लिए सबसे पहले हमें शकरकंद को छीलकर उबालना होगा। ठंडा होने के बाद शकरकंद को मैशर या हाथ से मैश कर लें। एक बड़े कटोरे में मसला हुआ आलू, दूध पाउडर, मैदा, चीनी, सूजी, सौंफ, इलायची पाउडर डालें और एक चिकना गाढ़ा घोल बनाएं, जो सामा"&amp;"न्य मालपुआ के घोल से गाढ़ा हो, अन्यथा यह तलते समय टूट जाएगा। यदि आवश्यक हो तो और दूध डालें। इसे 20 मिनट के लिए रख दें। इस बीच चीनी की चाशनी बनाएं। एक सॉस पैन में 1 कप चीनी और 1 कप पानी डालें और इसे तब तक उबलने दें जब तक कि चीनी पूरी तरह से घुल न जाए। चीनी"&amp;" घुलने के बाद इसे चलाएं और 5 मिनट तक और उबालें। 5 मिनट बाद इसमें गुलाब जल डालें और इसे चलाएं। एक फ्राइंग पैन में तेल गरम करें और उसमें 1 करछुल शकरकंदी मालपुआ का घोल डालकर गोल आकार दें। शकरकंदी मालपुआ को एक तरफ से तलने दें और टूटने से बचाने के लिए दूसरी तर"&amp;"फ पलट दें। जब मालपुआ दोनों तरफ से हल्का ब्राउन हो जाए तो उसे निकाल कर चाशनी में डुबा दें। शकरकंदी मालपुआ को 5 मिनट तक चाशनी में डुबा कर दूसरे प्याले में निकाल लें। इसी प्रक्रिया का पालन करते हुए दूसरे मालपुआ बना लें। शकरकंदी मालपुआ को एक सर्विंग बाउल में "&amp;"रखें और ऊपर से कटे हुए पिस्ते डालें। इन मालपुओं को फ्रीजर में 5 दिन तक स्टोर किया जा सकता है। जब भी आपका मन करे इसे गर्म करके सर्व कर सकते हैं जयपुरी आलू प्याज की सब्जी, अजवाइन पूरी, काले चने की सब्जी, बूंदी रायता और सात्विक गाजर अंकुरित सलाद के भावपूर्ण "&amp;"भोजन के बाद किसी विशेष अवसर पर मिठाई के रूप में शकरकंदी मालपुआ रेसिपी परोसें।
")</f>
        <v xml:space="preserve">शकरकंदी मालपुआ रेसिपी बनाने के लिए सबसे पहले हमें शकरकंद को छीलकर उबालना होगा। ठंडा होने के बाद शकरकंद को मैशर या हाथ से मैश कर लें। एक बड़े कटोरे में मसला हुआ आलू, दूध पाउडर, मैदा, चीनी, सूजी, सौंफ, इलायची पाउडर डालें और एक चिकना गाढ़ा घोल बनाएं, जो सामान्य मालपुआ के घोल से गाढ़ा हो, अन्यथा यह तलते समय टूट जाएगा। यदि आवश्यक हो तो और दूध डालें। इसे 20 मिनट के लिए रख दें। इस बीच चीनी की चाशनी बनाएं। एक सॉस पैन में 1 कप चीनी और 1 कप पानी डालें और इसे तब तक उबलने दें जब तक कि चीनी पूरी तरह से घुल न जाए। चीनी घुलने के बाद इसे चलाएं और 5 मिनट तक और उबालें। 5 मिनट बाद इसमें गुलाब जल डालें और इसे चलाएं। एक फ्राइंग पैन में तेल गरम करें और उसमें 1 करछुल शकरकंदी मालपुआ का घोल डालकर गोल आकार दें। शकरकंदी मालपुआ को एक तरफ से तलने दें और टूटने से बचाने के लिए दूसरी तरफ पलट दें। जब मालपुआ दोनों तरफ से हल्का ब्राउन हो जाए तो उसे निकाल कर चाशनी में डुबा दें। शकरकंदी मालपुआ को 5 मिनट तक चाशनी में डुबा कर दूसरे प्याले में निकाल लें। इसी प्रक्रिया का पालन करते हुए दूसरे मालपुआ बना लें। शकरकंदी मालपुआ को एक सर्विंग बाउल में रखें और ऊपर से कटे हुए पिस्ते डालें। इन मालपुओं को फ्रीजर में 5 दिन तक स्टोर किया जा सकता है। जब भी आपका मन करे इसे गर्म करके सर्व कर सकते हैं जयपुरी आलू प्याज की सब्जी, अजवाइन पूरी, काले चने की सब्जी, बूंदी रायता और सात्विक गाजर अंकुरित सलाद के भावपूर्ण भोजन के बाद किसी विशेष अवसर पर मिठाई के रूप में शकरकंदी मालपुआ रेसिपी परोसें।
</v>
      </c>
      <c r="J796" s="3" t="s">
        <v>34153</v>
      </c>
      <c r="L796" s="1" t="s">
        <v>31003</v>
      </c>
    </row>
    <row r="797" spans="1:12" ht="13.8">
      <c r="A797" s="1" t="s">
        <v>34154</v>
      </c>
      <c r="B797" s="1" t="str">
        <f ca="1">IFERROR(__xludf.dummyfunction("IF(A797="""", """", GOOGLETRANSLATE(A797, ""en"", ""hi""))"),"हरी मूंग दाल मखनी")</f>
        <v>हरी मूंग दाल मखनी</v>
      </c>
      <c r="C797" s="1" t="s">
        <v>145</v>
      </c>
      <c r="D797" s="1" t="s">
        <v>14237</v>
      </c>
      <c r="E797" s="1">
        <v>50</v>
      </c>
      <c r="F797" s="1" t="s">
        <v>34155</v>
      </c>
      <c r="G797" s="1" t="str">
        <f ca="1">IFERROR(__xludf.dummyfunction("IF(F797="""", """", GOOGLETRANSLATE(F797, ""en"", ""hi""))"),"1 कप हरी मूंग दाल, 1 टमाटर - प्यूरी बना लें, 1 इंच अदरक - कद्दूकस कर लें, 2 हरी मिर्च - बारीक कटी हुई, 1 चम्मच हल्दी पाउडर, 1/2 चम्मच जीरा पाउडर, 1 चम्मच साबुत काली मिर्च - कुटी हुई, 1 चम्मच इलायची पाउडर, 1 चम्मच तेल, 1/4 कप क्रीम, 5 धनिया - बारीक कटी हुई"&amp;", नमक - स्वादानुसार")</f>
        <v>1 कप हरी मूंग दाल, 1 टमाटर - प्यूरी बना लें, 1 इंच अदरक - कद्दूकस कर लें, 2 हरी मिर्च - बारीक कटी हुई, 1 चम्मच हल्दी पाउडर, 1/2 चम्मच जीरा पाउडर, 1 चम्मच साबुत काली मिर्च - कुटी हुई, 1 चम्मच इलायची पाउडर, 1 चम्मच तेल, 1/4 कप क्रीम, 5 धनिया - बारीक कटी हुई, नमक - स्वादानुसार</v>
      </c>
      <c r="H797" s="1" t="s">
        <v>34156</v>
      </c>
      <c r="I797" s="1" t="str">
        <f ca="1">IFERROR(__xludf.dummyfunction("IF(H797="""", """", GOOGLETRANSLATE(H797, ""en"", ""hi""))"),"""हरी मूंग दाल मखनी बनाने के लिए सबसे पहले मूंग दाल को 3 कप पानी में 2 घंटे के लिए भिगो दें। इस दाल को पानी और नमक के साथ प्रेशर कुकर में डालें। 3 सीटी आने तक पकाएँ। गैस बंद कर दें और प्रेशर अपने आप निकलने दें। अब एक पैन में तेल गरम करें। अदरक डालें और 10"&amp;" सेकंड तक पकने दें। 10 सेकंड बाद टमाटर, हरी मिर्च, हल्दी पाउडर, काली मिर्च पाउडर, जीरा पाउडर डालें और 1 मिनट तक पकने दें। 1 मिनट बाद दाल और थोड़ा पानी डालें। पैन को ढक दें और 15 मिनट तक पकने दें। 10 मिनट बाद क्रीम और धनिया पत्ती डालें। मिलाएँ और 5 मिनट और"&amp;" पकने दें। हरी मूंग दाल मखनी को भिंडी मसाला और फुल्के के साथ लंच में परोसें।""")</f>
        <v>"हरी मूंग दाल मखनी बनाने के लिए सबसे पहले मूंग दाल को 3 कप पानी में 2 घंटे के लिए भिगो दें। इस दाल को पानी और नमक के साथ प्रेशर कुकर में डालें। 3 सीटी आने तक पकाएँ। गैस बंद कर दें और प्रेशर अपने आप निकलने दें। अब एक पैन में तेल गरम करें। अदरक डालें और 10 सेकंड तक पकने दें। 10 सेकंड बाद टमाटर, हरी मिर्च, हल्दी पाउडर, काली मिर्च पाउडर, जीरा पाउडर डालें और 1 मिनट तक पकने दें। 1 मिनट बाद दाल और थोड़ा पानी डालें। पैन को ढक दें और 15 मिनट तक पकने दें। 10 मिनट बाद क्रीम और धनिया पत्ती डालें। मिलाएँ और 5 मिनट और पकने दें। हरी मूंग दाल मखनी को भिंडी मसाला और फुल्के के साथ लंच में परोसें।"</v>
      </c>
      <c r="J797" s="3" t="s">
        <v>34157</v>
      </c>
      <c r="L797" s="1" t="s">
        <v>31003</v>
      </c>
    </row>
    <row r="798" spans="1:12" ht="13.8">
      <c r="A798" s="1" t="s">
        <v>34158</v>
      </c>
      <c r="B798" s="1" t="str">
        <f ca="1">IFERROR(__xludf.dummyfunction("IF(A798="""", """", GOOGLETRANSLATE(A798, ""en"", ""hi""))"),"मूंग दाल चीला")</f>
        <v>मूंग दाल चीला</v>
      </c>
      <c r="C798" s="1" t="s">
        <v>16424</v>
      </c>
      <c r="D798" s="1" t="s">
        <v>15102</v>
      </c>
      <c r="E798" s="1">
        <v>90</v>
      </c>
      <c r="F798" s="1" t="s">
        <v>34159</v>
      </c>
      <c r="G798" s="1" t="str">
        <f ca="1">IFERROR(__xludf.dummyfunction("IF(F798="""", """", GOOGLETRANSLATE(F798, ""en"", ""hi""))"),"1/2 कप पीली मूंग दाल - या हरी मूंग दाल, 1/2 कप मसूर दाल, 1/4 कप सफेद उड़द दाल, 1 चम्मच जीरा, 1 प्याज - बारीक कटा हुआ, 2 हरी मिर्च - बारीक कटी हुई, 2 धनिया पत्ती - बारीक कटी हुई, तेल - आवश्यकतानुसार, 1/2 चम्मच हल्दी पाउडर, नमक - स्वादानुसार")</f>
        <v>1/2 कप पीली मूंग दाल - या हरी मूंग दाल, 1/2 कप मसूर दाल, 1/4 कप सफेद उड़द दाल, 1 चम्मच जीरा, 1 प्याज - बारीक कटा हुआ, 2 हरी मिर्च - बारीक कटी हुई, 2 धनिया पत्ती - बारीक कटी हुई, तेल - आवश्यकतानुसार, 1/2 चम्मच हल्दी पाउडर, नमक - स्वादानुसार</v>
      </c>
      <c r="H798" s="1" t="s">
        <v>34160</v>
      </c>
      <c r="I798" s="1" t="str">
        <f ca="1">IFERROR(__xludf.dummyfunction("IF(H798="""", """", GOOGLETRANSLATE(H798, ""en"", ""hi""))"),"""मूंग दाल चीला बनाने के लिए सबसे पहले मूंग दाल और उड़द दाल को 2 कप पानी में 1 घंटे के लिए भिगो दें। 2 घंटे बाद इसे मिक्सर ग्राइंडर में पीसकर पेस्ट बना लें। इस मिश्रण में अपनी ज़रूरत के हिसाब से पानी डालें और इसे डोसा मिश्रण जैसा बना लें। इस मिश्रण में ते"&amp;"ल को छोड़कर बाकी सारी सामग्री मिला दें। अब एक पैन गरम करें। गरम होने के बाद इस पर 1 बड़ा चम्मच दाल का मिश्रण डालें। इसे बीच से घुमाते हुए गोल आकार में फैला लें। अब चारों तरफ़ थोड़ा तेल डालें और पकने दें। ब्राउन होने तक पकाएँ और फिर पलट दें। दूसरी तरफ़ भी "&amp;"पकने दें और फिर गरमागरम परोसें। मूंग दाल चीला को धनिया पुदीने की चटनी या टमाटर की चटनी के साथ लंच में परोसें।""")</f>
        <v>"मूंग दाल चीला बनाने के लिए सबसे पहले मूंग दाल और उड़द दाल को 2 कप पानी में 1 घंटे के लिए भिगो दें। 2 घंटे बाद इसे मिक्सर ग्राइंडर में पीसकर पेस्ट बना लें। इस मिश्रण में अपनी ज़रूरत के हिसाब से पानी डालें और इसे डोसा मिश्रण जैसा बना लें। इस मिश्रण में तेल को छोड़कर बाकी सारी सामग्री मिला दें। अब एक पैन गरम करें। गरम होने के बाद इस पर 1 बड़ा चम्मच दाल का मिश्रण डालें। इसे बीच से घुमाते हुए गोल आकार में फैला लें। अब चारों तरफ़ थोड़ा तेल डालें और पकने दें। ब्राउन होने तक पकाएँ और फिर पलट दें। दूसरी तरफ़ भी पकने दें और फिर गरमागरम परोसें। मूंग दाल चीला को धनिया पुदीने की चटनी या टमाटर की चटनी के साथ लंच में परोसें।"</v>
      </c>
      <c r="J798" s="3" t="s">
        <v>34161</v>
      </c>
      <c r="L798" s="1" t="s">
        <v>31003</v>
      </c>
    </row>
    <row r="799" spans="1:12" ht="13.8">
      <c r="A799" s="1" t="s">
        <v>34162</v>
      </c>
      <c r="B799" s="1" t="str">
        <f ca="1">IFERROR(__xludf.dummyfunction("IF(A799="""", """", GOOGLETRANSLATE(A799, ""en"", ""hi""))"),"आम की खीर रेसिपी")</f>
        <v>आम की खीर रेसिपी</v>
      </c>
      <c r="C799" s="1" t="s">
        <v>8417</v>
      </c>
      <c r="D799" s="1" t="s">
        <v>14198</v>
      </c>
      <c r="E799" s="1">
        <v>50</v>
      </c>
      <c r="F799" s="1" t="s">
        <v>34163</v>
      </c>
      <c r="G799" s="1" t="str">
        <f ca="1">IFERROR(__xludf.dummyfunction("IF(F799="""", """", GOOGLETRANSLATE(F799, ""en"", ""hi""))"),"1 कप आम का गूदा (प्यूरी), 1 दूध, 3/4 कप सेवइयां, 1 बड़ा चम्मच घी, 3/4 छोटा चम्मच इलायची पाउडर, 6 बड़े चम्मच चीनी, 1 बड़ा चम्मच कटे हुए बादाम, 1/4 कप किशमिश, 1/4 छोटा चम्मच केसर")</f>
        <v>1 कप आम का गूदा (प्यूरी), 1 दूध, 3/4 कप सेवइयां, 1 बड़ा चम्मच घी, 3/4 छोटा चम्मच इलायची पाउडर, 6 बड़े चम्मच चीनी, 1 बड़ा चम्मच कटे हुए बादाम, 1/4 कप किशमिश, 1/4 छोटा चम्मच केसर</v>
      </c>
      <c r="H799" s="1" t="s">
        <v>34164</v>
      </c>
      <c r="I799" s="1" t="str">
        <f ca="1">IFERROR(__xludf.dummyfunction("IF(H799="""", """", GOOGLETRANSLATE(H799, ""en"", ""hi""))"),"मैंगो खीर रेसिपी बनाने के लिए सबसे पहले आम का गूदा निकालने और बादाम को पतले-पतले टुकड़ों में काटने सहित सभी सामग्री तैयार कर लें। एक भारी तले की कड़ाही में घी गर्म करें और सेवई को सुनहरा भूरा होने तक भूनें। सेवई भुन जाने पर इसमें फुल क्रीम दूध डालकर उबाल "&amp;"लें और फिर आंच को मध्यम कर दें और कुछ देर तक पकने दें। इसे बीच-बीच में चलाते रहें। देखें कि सेवई नरम होने तक पक गई है या नहीं। जब यह पक जाए तो इसमें चीनी डालें और चीनी के पूरी तरह घुलने तक पकाएं। इसमें 2 से 3 मिनट का समय लगेगा। इसके बाद इसमें किशमिश और इल"&amp;"ायची पाउडर डालें, अच्छे से हिलाएं और आंच बंद कर दें। इसे थोड़ा ठंडा होने दें। खीर के ठंडा हो जाने पर इसमें आम का गूदा डालें, इसे ठीक से मिलाएं और आम की खीर को कम से कम एक घंटे के लिए फ्रिज में रख दें अपने सप्ताहांत के भोजन के लिए दाल मखनी, पालक पनीर, लच्छ"&amp;"ा पराठा और जीरा चावल के स्वादिष्ट भोजन के बाद आम की खीर परोसें।")</f>
        <v>मैंगो खीर रेसिपी बनाने के लिए सबसे पहले आम का गूदा निकालने और बादाम को पतले-पतले टुकड़ों में काटने सहित सभी सामग्री तैयार कर लें। एक भारी तले की कड़ाही में घी गर्म करें और सेवई को सुनहरा भूरा होने तक भूनें। सेवई भुन जाने पर इसमें फुल क्रीम दूध डालकर उबाल लें और फिर आंच को मध्यम कर दें और कुछ देर तक पकने दें। इसे बीच-बीच में चलाते रहें। देखें कि सेवई नरम होने तक पक गई है या नहीं। जब यह पक जाए तो इसमें चीनी डालें और चीनी के पूरी तरह घुलने तक पकाएं। इसमें 2 से 3 मिनट का समय लगेगा। इसके बाद इसमें किशमिश और इलायची पाउडर डालें, अच्छे से हिलाएं और आंच बंद कर दें। इसे थोड़ा ठंडा होने दें। खीर के ठंडा हो जाने पर इसमें आम का गूदा डालें, इसे ठीक से मिलाएं और आम की खीर को कम से कम एक घंटे के लिए फ्रिज में रख दें अपने सप्ताहांत के भोजन के लिए दाल मखनी, पालक पनीर, लच्छा पराठा और जीरा चावल के स्वादिष्ट भोजन के बाद आम की खीर परोसें।</v>
      </c>
      <c r="J799" s="3" t="s">
        <v>34165</v>
      </c>
      <c r="L799" s="1" t="s">
        <v>31003</v>
      </c>
    </row>
    <row r="800" spans="1:12" ht="13.8">
      <c r="A800" s="1" t="s">
        <v>34166</v>
      </c>
      <c r="B800" s="1" t="str">
        <f ca="1">IFERROR(__xludf.dummyfunction("IF(A800="""", """", GOOGLETRANSLATE(A800, ""en"", ""hi""))"),"अनार और आलू पकोड़ा रेसिपी - सूखा अनार और आलू पकोड़ा")</f>
        <v>अनार और आलू पकोड़ा रेसिपी - सूखा अनार और आलू पकोड़ा</v>
      </c>
      <c r="C800" s="1" t="s">
        <v>14281</v>
      </c>
      <c r="D800" s="1" t="s">
        <v>14198</v>
      </c>
      <c r="E800" s="1">
        <v>45</v>
      </c>
      <c r="F800" s="1" t="s">
        <v>34167</v>
      </c>
      <c r="G800" s="1" t="str">
        <f ca="1">IFERROR(__xludf.dummyfunction("IF(F800="""", """", GOOGLETRANSLATE(F800, ""en"", ""hi""))"),"5 आलू - उबले और मसले हुए, हरी मिर्च - बारीक कटी हुई, 1 कप धनिया पत्ती, 1/2 कप अनारदाना पाउडर, 1 छोटा चम्मच लाल मिर्च पाउडर, 1 छोटा चम्मच जीरा, नमक - स्वादानुसार, 1 छोटा चम्मच चाट मसाला पाउडर, 1-1/2 कप बेसन, 2 छोटे चम्मच सूरजमुखी तेल - आवश्यकतानुसार")</f>
        <v>5 आलू - उबले और मसले हुए, हरी मिर्च - बारीक कटी हुई, 1 कप धनिया पत्ती, 1/2 कप अनारदाना पाउडर, 1 छोटा चम्मच लाल मिर्च पाउडर, 1 छोटा चम्मच जीरा, नमक - स्वादानुसार, 1 छोटा चम्मच चाट मसाला पाउडर, 1-1/2 कप बेसन, 2 छोटे चम्मच सूरजमुखी तेल - आवश्यकतानुसार</v>
      </c>
      <c r="H800" s="1" t="s">
        <v>34168</v>
      </c>
      <c r="I800" s="1" t="str">
        <f ca="1">IFERROR(__xludf.dummyfunction("IF(H800="""", """", GOOGLETRANSLATE(H800, ""en"", ""hi""))"),"अनार और आलू पकोड़ा रेसिपी बनाने के लिए सबसे पहले एक प्याले में आलू को मैश कर लें और उसमें सूखे अनार के दाने, जीरा, कटी हरी मिर्च, नमक, लाल मिर्च पाउडर, चाट मसाला डालकर अच्छी तरह मिला लें। थोड़ा-थोड़ा करके छोटे-छोटे बॉल्स बना लें जो पनियारम पैन में फिट आ स"&amp;"कें। अब एक अलग प्याले में बेसन, नमक और 2 चम्मच तेल डालकर पानी के साथ मिला लें और गाढ़ा घोल बना लें। अब इस बैटर में आलू-अनार बॉल्स डालें। अब एक गहरे फ्राइंग पैन में तेल गर्म करें। जब यह गर्म हो जाए तो इसमें आलू कोफ्ता डालें और उन्हें पलट-पलट कर कुरकुरा और "&amp;"सुनहरा भूरा होने तक तल लें। वैकल्पिक रूप से, आप एक पनियारम पैन गर्म कर सकते हैं और कोफ्ते को अलग-अलग पनियारम कैविटी में डाल सकते हैं और उनके चारों ओर तेल की एक बूंदा बांदी की मदद से उन्हें समान रूप से भूरा होने तक तल सकते हैं। चूंकि आलू पहले से उबले हुए ह"&amp;"ोते हैं, इसलिए ये पनियारम फ्राइड पकौड़े आज़माने के लिए एकदम सही होंगे। अनार और आलू कोफ्ता रेसिपी (अनार और आलू के पकौड़े) को धनिया पुदीना चटनी और खजूर और इमली की चटनी और एक कप अदरक चाय के साथ परोसें।")</f>
        <v>अनार और आलू पकोड़ा रेसिपी बनाने के लिए सबसे पहले एक प्याले में आलू को मैश कर लें और उसमें सूखे अनार के दाने, जीरा, कटी हरी मिर्च, नमक, लाल मिर्च पाउडर, चाट मसाला डालकर अच्छी तरह मिला लें। थोड़ा-थोड़ा करके छोटे-छोटे बॉल्स बना लें जो पनियारम पैन में फिट आ सकें। अब एक अलग प्याले में बेसन, नमक और 2 चम्मच तेल डालकर पानी के साथ मिला लें और गाढ़ा घोल बना लें। अब इस बैटर में आलू-अनार बॉल्स डालें। अब एक गहरे फ्राइंग पैन में तेल गर्म करें। जब यह गर्म हो जाए तो इसमें आलू कोफ्ता डालें और उन्हें पलट-पलट कर कुरकुरा और सुनहरा भूरा होने तक तल लें। वैकल्पिक रूप से, आप एक पनियारम पैन गर्म कर सकते हैं और कोफ्ते को अलग-अलग पनियारम कैविटी में डाल सकते हैं और उनके चारों ओर तेल की एक बूंदा बांदी की मदद से उन्हें समान रूप से भूरा होने तक तल सकते हैं। चूंकि आलू पहले से उबले हुए होते हैं, इसलिए ये पनियारम फ्राइड पकौड़े आज़माने के लिए एकदम सही होंगे। अनार और आलू कोफ्ता रेसिपी (अनार और आलू के पकौड़े) को धनिया पुदीना चटनी और खजूर और इमली की चटनी और एक कप अदरक चाय के साथ परोसें।</v>
      </c>
      <c r="J800" s="3" t="s">
        <v>34169</v>
      </c>
      <c r="L800" s="1" t="s">
        <v>31003</v>
      </c>
    </row>
    <row r="801" spans="1:12" ht="13.8">
      <c r="A801" s="1" t="s">
        <v>34170</v>
      </c>
      <c r="B801" s="1" t="str">
        <f ca="1">IFERROR(__xludf.dummyfunction("IF(A801="""", """", GOOGLETRANSLATE(A801, ""en"", ""hi""))"),"पनीर शाशलिक")</f>
        <v>पनीर शाशलिक</v>
      </c>
      <c r="C801" s="1" t="s">
        <v>145</v>
      </c>
      <c r="D801" s="1" t="s">
        <v>14237</v>
      </c>
      <c r="E801" s="1">
        <v>80</v>
      </c>
      <c r="F801" s="1" t="s">
        <v>34171</v>
      </c>
      <c r="G801" s="1" t="str">
        <f ca="1">IFERROR(__xludf.dummyfunction("IF(F801="""", """", GOOGLETRANSLATE(F801, ""en"", ""hi""))"),"500 ग्राम पनीर - कटा हुआ, 1 शिमला मिर्च (हरा) - कटा हुआ, 1 शिमला मिर्च (पीला) - कटा हुआ, 1 प्याज - बारीक कटा हुआ, 2 टमाटर - गूदा निकालकर काट लें, 1 बड़ा चम्मच धनिया पत्ता, तेल - आवश्यकतानुसार, 1 छोटा चम्मच अनार के दाने, 1/2 कप क्रीम, 1 छोटा चम्मच नींबू का"&amp;" रस, 100 ग्राम दही, 2 छोटे चम्मच तेल, 1/4 छोटा चम्मच काली मिर्च पाउडर, 1 छोटा चम्मच नमक, 1 छोटा चम्मच जीरा पाउडर, 1 छोटा चम्मच गरम मसाला पाउडर, 1 छोटा चम्मच चाट मसाला पाउडर, 1 बड़ा चम्मच लहसुन - पेस्ट, 1 बड़ा चम्मच अदरक - पेस्ट, 1 बड़ा चम्मच मक्के का आटा,"&amp;" तेल - आवश्यकतानुसार, नींबू का रस - आवश्यकतानुसार, प्याज - गोल और पतले टुकड़ों में कटा हुआ (गार्निश के लिए), गोभी - पतले टुकड़ों में कटा हुआ (गार्निश के लिए)")</f>
        <v>500 ग्राम पनीर - कटा हुआ, 1 शिमला मिर्च (हरा) - कटा हुआ, 1 शिमला मिर्च (पीला) - कटा हुआ, 1 प्याज - बारीक कटा हुआ, 2 टमाटर - गूदा निकालकर काट लें, 1 बड़ा चम्मच धनिया पत्ता, तेल - आवश्यकतानुसार, 1 छोटा चम्मच अनार के दाने, 1/2 कप क्रीम, 1 छोटा चम्मच नींबू का रस, 100 ग्राम दही, 2 छोटे चम्मच तेल, 1/4 छोटा चम्मच काली मिर्च पाउडर, 1 छोटा चम्मच नमक, 1 छोटा चम्मच जीरा पाउडर, 1 छोटा चम्मच गरम मसाला पाउडर, 1 छोटा चम्मच चाट मसाला पाउडर, 1 बड़ा चम्मच लहसुन - पेस्ट, 1 बड़ा चम्मच अदरक - पेस्ट, 1 बड़ा चम्मच मक्के का आटा, तेल - आवश्यकतानुसार, नींबू का रस - आवश्यकतानुसार, प्याज - गोल और पतले टुकड़ों में कटा हुआ (गार्निश के लिए), गोभी - पतले टुकड़ों में कटा हुआ (गार्निश के लिए)</v>
      </c>
      <c r="H801" s="1" t="s">
        <v>34172</v>
      </c>
      <c r="I801" s="1" t="str">
        <f ca="1">IFERROR(__xludf.dummyfunction("IF(H801="""", """", GOOGLETRANSLATE(H801, ""en"", ""hi""))"),"""पनीर शशलिक बनाने के लिए सबसे पहले एक बाउल में मैरिनेशन के लिए दी गई सारी सामग्री डालकर मिक्स कर लें। अब इसमें पनीर और सब्ज़ियाँ डालकर सभी चीज़ों को अच्छे से मिक्स कर लें। अच्छे से मिक्स करने के बाद इसे बाउल में डालकर ढककर 2 घंटे के लिए फ्रिज में रख दें।"&amp;" अब ओवन को 250 डिग्री पर 10 मिनट के लिए प्रीहीट कर लें। बांस की कटार को पानी में भिगो दें। अब एक बांस की कटार लें और उसमें एक-एक करके पनीर और सब्ज़ियाँ डालें। इसे ग्रिल ट्रे पर रखें। थोड़ा तेल लगाकर इस ट्रे को ओवन में रखें और 6 से 7 मिनट तक पकने दें। हर 2"&amp;" मिनट में कटार को पलटते रहें। पकने के बाद इस पर नींबू का रस और चाट मसाला डालें और गरमागरम सर्व करें। पनीर शशलिक को दाल पालक और तवा पराठे के साथ लंच में सर्व करें।""")</f>
        <v>"पनीर शशलिक बनाने के लिए सबसे पहले एक बाउल में मैरिनेशन के लिए दी गई सारी सामग्री डालकर मिक्स कर लें। अब इसमें पनीर और सब्ज़ियाँ डालकर सभी चीज़ों को अच्छे से मिक्स कर लें। अच्छे से मिक्स करने के बाद इसे बाउल में डालकर ढककर 2 घंटे के लिए फ्रिज में रख दें। अब ओवन को 250 डिग्री पर 10 मिनट के लिए प्रीहीट कर लें। बांस की कटार को पानी में भिगो दें। अब एक बांस की कटार लें और उसमें एक-एक करके पनीर और सब्ज़ियाँ डालें। इसे ग्रिल ट्रे पर रखें। थोड़ा तेल लगाकर इस ट्रे को ओवन में रखें और 6 से 7 मिनट तक पकने दें। हर 2 मिनट में कटार को पलटते रहें। पकने के बाद इस पर नींबू का रस और चाट मसाला डालें और गरमागरम सर्व करें। पनीर शशलिक को दाल पालक और तवा पराठे के साथ लंच में सर्व करें।"</v>
      </c>
      <c r="J801" s="3" t="s">
        <v>34173</v>
      </c>
      <c r="L801" s="1" t="s">
        <v>31003</v>
      </c>
    </row>
    <row r="802" spans="1:12" ht="13.8">
      <c r="A802" s="1" t="s">
        <v>34174</v>
      </c>
      <c r="B802" s="1" t="str">
        <f ca="1">IFERROR(__xludf.dummyfunction("IF(A802="""", """", GOOGLETRANSLATE(A802, ""en"", ""hi""))"),"जैन स्टाइल दाल मखनी")</f>
        <v>जैन स्टाइल दाल मखनी</v>
      </c>
      <c r="C802" s="1" t="s">
        <v>145</v>
      </c>
      <c r="D802" s="1" t="s">
        <v>14237</v>
      </c>
      <c r="E802" s="1">
        <v>40</v>
      </c>
      <c r="F802" s="1" t="s">
        <v>34175</v>
      </c>
      <c r="G802" s="1" t="str">
        <f ca="1">IFERROR(__xludf.dummyfunction("IF(F802="""", """", GOOGLETRANSLATE(F802, ""en"", ""hi""))"),"3/4 कप काली उड़द दाल, 1/4 कप राजमा, 1 छोटा चम्मच जीरा, 1 इंच दालचीनी, 3 लौंग, 2 बड़ी इलायची, 2 टमाटर - प्यूरी बना लें, 1 हरी मिर्च - बारीक कटी हुई, 1 छोटा चम्मच लाल मिर्च पाउडर, 1 छोटा चम्मच गरम मसाला पाउडर, 2 छोटे चम्मच अदरक पाउडर, 2 बड़े चम्मच घी, 1 कप "&amp;"दूध - लो फैट, नमक - स्वादानुसार, 1 इंच अदरक - बारीक कटा हुआ, 2 बड़े चम्मच क्रीम")</f>
        <v>3/4 कप काली उड़द दाल, 1/4 कप राजमा, 1 छोटा चम्मच जीरा, 1 इंच दालचीनी, 3 लौंग, 2 बड़ी इलायची, 2 टमाटर - प्यूरी बना लें, 1 हरी मिर्च - बारीक कटी हुई, 1 छोटा चम्मच लाल मिर्च पाउडर, 1 छोटा चम्मच गरम मसाला पाउडर, 2 छोटे चम्मच अदरक पाउडर, 2 बड़े चम्मच घी, 1 कप दूध - लो फैट, नमक - स्वादानुसार, 1 इंच अदरक - बारीक कटा हुआ, 2 बड़े चम्मच क्रीम</v>
      </c>
      <c r="H802" s="1" t="s">
        <v>34176</v>
      </c>
      <c r="I802" s="1" t="str">
        <f ca="1">IFERROR(__xludf.dummyfunction("IF(H802="""", """", GOOGLETRANSLATE(H802, ""en"", ""hi""))"),"जैन स्टाइल दाल मखनी बनाने के लिए सबसे पहले उड़द दाल और राजमा को रातभर भिगोकर रखें। इन्हें प्रेशर कुकर में 2 से 3 कप पानी के साथ डालकर 3 सीटी आने तक पकाएं। 3 सीटी आने के बाद इसे धीमी आंच पर 10 मिनट तक पकने दें। पकने के बाद थोड़ा सा मैश करके अलग रख दें। अब "&amp;"टमाटर को मिक्सर ग्राइंडर में डालकर उसकी प्यूरी बना लें। इसे अलग रख दें। अब एक पैन में घी गर्म करें। इसमें दालचीनी, लौंग, बड़ी इलायची डालकर 20 सेकंड तक पकाएं। इसमें जीरा डालकर 10 सेकंड तक पकाएं। अब इसमें टमाटर प्यूरी, हरी मिर्च डालकर 2 मिनट तक पकाएं। अब इस"&amp;"में लाल मिर्च पाउडर, गरम मसाला पाउडर, अदरक पाउडर डालकर पकने दें। अब इसमें पकी हुई दाल, नमक और आवश्यकतानुसार पानी डालें। 10 से 15 मिनट तक पकाएं। इसके बाद इसमें दूध डालें और उबलने दें। पकने के बाद अदरक और क्रीम से गार्निश करें और सर्व करें। जैन स्टाइल दाल म"&amp;"खनी को मसाला रोस्टेड आलू और फुल्के के साथ डिनर में सर्व करें।")</f>
        <v>जैन स्टाइल दाल मखनी बनाने के लिए सबसे पहले उड़द दाल और राजमा को रातभर भिगोकर रखें। इन्हें प्रेशर कुकर में 2 से 3 कप पानी के साथ डालकर 3 सीटी आने तक पकाएं। 3 सीटी आने के बाद इसे धीमी आंच पर 10 मिनट तक पकने दें। पकने के बाद थोड़ा सा मैश करके अलग रख दें। अब टमाटर को मिक्सर ग्राइंडर में डालकर उसकी प्यूरी बना लें। इसे अलग रख दें। अब एक पैन में घी गर्म करें। इसमें दालचीनी, लौंग, बड़ी इलायची डालकर 20 सेकंड तक पकाएं। इसमें जीरा डालकर 10 सेकंड तक पकाएं। अब इसमें टमाटर प्यूरी, हरी मिर्च डालकर 2 मिनट तक पकाएं। अब इसमें लाल मिर्च पाउडर, गरम मसाला पाउडर, अदरक पाउडर डालकर पकने दें। अब इसमें पकी हुई दाल, नमक और आवश्यकतानुसार पानी डालें। 10 से 15 मिनट तक पकाएं। इसके बाद इसमें दूध डालें और उबलने दें। पकने के बाद अदरक और क्रीम से गार्निश करें और सर्व करें। जैन स्टाइल दाल मखनी को मसाला रोस्टेड आलू और फुल्के के साथ डिनर में सर्व करें।</v>
      </c>
      <c r="J802" s="3" t="s">
        <v>34177</v>
      </c>
      <c r="L802" s="1" t="s">
        <v>31003</v>
      </c>
    </row>
    <row r="803" spans="1:12" ht="13.8">
      <c r="A803" s="1" t="s">
        <v>34178</v>
      </c>
      <c r="B803" s="1" t="str">
        <f ca="1">IFERROR(__xludf.dummyfunction("IF(A803="""", """", GOOGLETRANSLATE(A803, ""en"", ""hi""))"),"डुबकी वाले आलू")</f>
        <v>डुबकी वाले आलू</v>
      </c>
      <c r="C803" s="1" t="s">
        <v>145</v>
      </c>
      <c r="D803" s="1" t="s">
        <v>14198</v>
      </c>
      <c r="E803" s="1">
        <v>45</v>
      </c>
      <c r="F803" s="1" t="s">
        <v>34179</v>
      </c>
      <c r="G803" s="1" t="str">
        <f ca="1">IFERROR(__xludf.dummyfunction("IF(F803="""", """", GOOGLETRANSLATE(F803, ""en"", ""hi""))"),"6 आलू - उबले हुए, 1 टमाटर - प्यूरी, 2 छोटे चम्मच धनिया - भूनकर कूट लें, 2 छोटे चम्मच लाल मिर्च पाउडर, 1/2 छोटा चम्मच हल्दी पाउडर, 1 छोटा चम्मच अमचूर, 2 छोटे चम्मच अदरक - कद्दूकस कर लें, 1/2 छोटा चम्मच मेथी दाना - कूट लें, 1 छोटा चम्मच जीरा, 4 सूखी लाल मिर"&amp;"्च - काट लें, 1 छोटा चम्मच कसूरी मेथी, हींग - चुटकी भर")</f>
        <v>6 आलू - उबले हुए, 1 टमाटर - प्यूरी, 2 छोटे चम्मच धनिया - भूनकर कूट लें, 2 छोटे चम्मच लाल मिर्च पाउडर, 1/2 छोटा चम्मच हल्दी पाउडर, 1 छोटा चम्मच अमचूर, 2 छोटे चम्मच अदरक - कद्दूकस कर लें, 1/2 छोटा चम्मच मेथी दाना - कूट लें, 1 छोटा चम्मच जीरा, 4 सूखी लाल मिर्च - काट लें, 1 छोटा चम्मच कसूरी मेथी, हींग - चुटकी भर</v>
      </c>
      <c r="H803" s="1" t="s">
        <v>34180</v>
      </c>
      <c r="I803" s="1" t="str">
        <f ca="1">IFERROR(__xludf.dummyfunction("IF(H803="""", """", GOOGLETRANSLATE(H803, ""en"", ""hi""))"),"""डुबकी वाले आलू बनाने के लिए सबसे पहले उबले हुए आलू को छोटे-छोटे टुकड़ों में काट लें। अब एक पैन में सरसों का तेल गर्म करें। जब यह गर्म हो जाए तो आंच धीमी कर दें और इसमें जीरा, सूखी मिर्च डालें और 10 सेकंड तक पकने दें। 10 सेकंड बाद इसमें मेथी के दाने, हीं"&amp;"ग और अदरक डालें। 1 मिनट बाद इसमें टमाटर डालें और नरम होने तक पकाएं। टमाटर के नरम होने के बाद इसमें धनिया, लाल मिर्च पाउडर और हल्दी पाउडर डालें। मिक्स करें। इसमें आलू डालें और मिलाएँ। मिक्स करने के बाद इसमें 3 कप पानी डालें और मिलाएँ। इसे 5 से 6 मिनट तक पक"&amp;"ने दें। पकने के बाद इसमें कसूरी मेथी डालें और 1 मिनट और पकाएँ। हरे धनिए से गार्निश करें और सर्व करें। व्रत के दिनों में डुबकी वाले आलू को राजगिरा पूरी या पराठे के साथ सर्व करें।""")</f>
        <v>"डुबकी वाले आलू बनाने के लिए सबसे पहले उबले हुए आलू को छोटे-छोटे टुकड़ों में काट लें। अब एक पैन में सरसों का तेल गर्म करें। जब यह गर्म हो जाए तो आंच धीमी कर दें और इसमें जीरा, सूखी मिर्च डालें और 10 सेकंड तक पकने दें। 10 सेकंड बाद इसमें मेथी के दाने, हींग और अदरक डालें। 1 मिनट बाद इसमें टमाटर डालें और नरम होने तक पकाएं। टमाटर के नरम होने के बाद इसमें धनिया, लाल मिर्च पाउडर और हल्दी पाउडर डालें। मिक्स करें। इसमें आलू डालें और मिलाएँ। मिक्स करने के बाद इसमें 3 कप पानी डालें और मिलाएँ। इसे 5 से 6 मिनट तक पकने दें। पकने के बाद इसमें कसूरी मेथी डालें और 1 मिनट और पकाएँ। हरे धनिए से गार्निश करें और सर्व करें। व्रत के दिनों में डुबकी वाले आलू को राजगिरा पूरी या पराठे के साथ सर्व करें।"</v>
      </c>
      <c r="J803" s="3" t="s">
        <v>34181</v>
      </c>
      <c r="L803" s="1" t="s">
        <v>31003</v>
      </c>
    </row>
    <row r="804" spans="1:12" ht="409.6">
      <c r="A804" s="1" t="s">
        <v>34182</v>
      </c>
      <c r="B804" s="1" t="str">
        <f ca="1">IFERROR(__xludf.dummyfunction("IF(A804="""", """", GOOGLETRANSLATE(A804, ""en"", ""hi""))"),"उत्तराखंड स्टाइल काले चने की चैनसू रेसिपी")</f>
        <v>उत्तराखंड स्टाइल काले चने की चैनसू रेसिपी</v>
      </c>
      <c r="C804" s="1" t="s">
        <v>145</v>
      </c>
      <c r="D804" s="1" t="s">
        <v>14237</v>
      </c>
      <c r="E804" s="1">
        <v>55</v>
      </c>
      <c r="F804" s="1" t="s">
        <v>34183</v>
      </c>
      <c r="G804" s="1" t="str">
        <f ca="1">IFERROR(__xludf.dummyfunction("IF(F804="""", """", GOOGLETRANSLATE(F804, ""en"", ""hi""))"),"1/2 कप अरहर दाल, 1/2 चम्मच धनिया, 1/2 चम्मच जीरा, 1/2 चम्मच लाल मिर्च पाउडर, 1/4 चम्मच हल्दी, 1/4 चम्मच साबुत काली मिर्च, 2 चम्मच सूरजमुखी तेल, 1-1/4 कप पानी, 2 सूखी लाल मिर्च, नमक - स्वादानुसार")</f>
        <v>1/2 कप अरहर दाल, 1/2 चम्मच धनिया, 1/2 चम्मच जीरा, 1/2 चम्मच लाल मिर्च पाउडर, 1/4 चम्मच हल्दी, 1/4 चम्मच साबुत काली मिर्च, 2 चम्मच सूरजमुखी तेल, 1-1/4 कप पानी, 2 सूखी लाल मिर्च, नमक - स्वादानुसार</v>
      </c>
      <c r="H804" s="4" t="s">
        <v>34184</v>
      </c>
      <c r="I804" s="1" t="str">
        <f ca="1">IFERROR(__xludf.dummyfunction("IF(H804="""", """", GOOGLETRANSLATE(H804, ""en"", ""hi""))"),"काले चने की चैनसू रेसिपी बनाने के लिए सबसे पहले एक कढ़ाई गरम करें और दाल को कुछ मिनट तक सूखा भून लें जब तक कि आपको खुशबू न आने लगे। एक तरफ रख दें। ठंडा होने के बाद सूखे मिश्रण को बारीक पीस लें। एक भारी तले की कढ़ाई में तेल गरम करें, लाल मिर्च और काली मिर्"&amp;"च के दाने डालकर तड़का लगाएं। धनिया पाउडर, जीरा पाउडर, लाल मिर्च पाउडर, हल्दी पाउडर, नमक सहित सभी मसाले 2 बड़े चम्मच पानी के साथ डालें और एक मिनट तक भूनें। पीसी हुई दाल डालें, मिलाएँ और फिर पानी डालें। मध्यम से धीमी आँच पर 20-30 मिनट तक गाढ़ा होने तक कभी-क"&amp;"भी हिलाते हुए पकाएँ। एक बार जब यह हो जाए, तो गैस बंद कर दें और गर्मागर्म परोसें")</f>
        <v>काले चने की चैनसू रेसिपी बनाने के लिए सबसे पहले एक कढ़ाई गरम करें और दाल को कुछ मिनट तक सूखा भून लें जब तक कि आपको खुशबू न आने लगे। एक तरफ रख दें। ठंडा होने के बाद सूखे मिश्रण को बारीक पीस लें। एक भारी तले की कढ़ाई में तेल गरम करें, लाल मिर्च और काली मिर्च के दाने डालकर तड़का लगाएं। धनिया पाउडर, जीरा पाउडर, लाल मिर्च पाउडर, हल्दी पाउडर, नमक सहित सभी मसाले 2 बड़े चम्मच पानी के साथ डालें और एक मिनट तक भूनें। पीसी हुई दाल डालें, मिलाएँ और फिर पानी डालें। मध्यम से धीमी आँच पर 20-30 मिनट तक गाढ़ा होने तक कभी-कभी हिलाते हुए पकाएँ। एक बार जब यह हो जाए, तो गैस बंद कर दें और गर्मागर्म परोसें</v>
      </c>
      <c r="J804" s="3" t="s">
        <v>34185</v>
      </c>
      <c r="L804" s="1" t="s">
        <v>31003</v>
      </c>
    </row>
    <row r="805" spans="1:12" ht="13.8">
      <c r="A805" s="1" t="s">
        <v>34186</v>
      </c>
      <c r="B805" s="1" t="str">
        <f ca="1">IFERROR(__xludf.dummyfunction("IF(A805="""", """", GOOGLETRANSLATE(A805, ""en"", ""hi""))"),"आलू मटर पनीर करी रेसिपी")</f>
        <v>आलू मटर पनीर करी रेसिपी</v>
      </c>
      <c r="C805" s="1" t="s">
        <v>145</v>
      </c>
      <c r="D805" s="1" t="s">
        <v>14198</v>
      </c>
      <c r="E805" s="1">
        <v>55</v>
      </c>
      <c r="F805" s="1" t="s">
        <v>34187</v>
      </c>
      <c r="G805" s="1" t="str">
        <f ca="1">IFERROR(__xludf.dummyfunction("IF(F805="""", """", GOOGLETRANSLATE(F805, ""en"", ""hi""))"),"500 ग्राम पनीर - क्यूब्स में कटा हुआ, 2 आलू - उबले और कटे हुए, 1/2 कप हरी मटर (मटर) - उबले हुए, 1 कप घर का बना टमाटर प्यूरी, 1/2 चम्मच जीरा, 2 हरी मिर्च - कटी हुई, 1/2 चम्मच धनिया पाउडर, 1/2 चम्मच गरम मसाला पाउडर, 1/2 चम्मच हल्दी पाउडर, 1/2 चम्मच लाल मिर्"&amp;"च पाउडर, 1 बड़ा चम्मच कसूरी मेथी, 2 बड़े चम्मच ताजा क्रीम, नमक - स्वादानुसार, सूरजमुखी तेल - पकाने के लिए, 1 प्याज - बारीक कटा हुआ, 3 लहसुन के दाने, 1 इंच अदरक, 1 कप घर का बना टमाटर प्यूरी")</f>
        <v>500 ग्राम पनीर - क्यूब्स में कटा हुआ, 2 आलू - उबले और कटे हुए, 1/2 कप हरी मटर (मटर) - उबले हुए, 1 कप घर का बना टमाटर प्यूरी, 1/2 चम्मच जीरा, 2 हरी मिर्च - कटी हुई, 1/2 चम्मच धनिया पाउडर, 1/2 चम्मच गरम मसाला पाउडर, 1/2 चम्मच हल्दी पाउडर, 1/2 चम्मच लाल मिर्च पाउडर, 1 बड़ा चम्मच कसूरी मेथी, 2 बड़े चम्मच ताजा क्रीम, नमक - स्वादानुसार, सूरजमुखी तेल - पकाने के लिए, 1 प्याज - बारीक कटा हुआ, 3 लहसुन के दाने, 1 इंच अदरक, 1 कप घर का बना टमाटर प्यूरी</v>
      </c>
      <c r="H805" s="1" t="s">
        <v>34188</v>
      </c>
      <c r="I805" s="1" t="str">
        <f ca="1">IFERROR(__xludf.dummyfunction("IF(H805="""", """", GOOGLETRANSLATE(H805, ""en"", ""hi""))"),"आलू मटर की सब्जी बनाने के लिए सबसे पहले हम प्याज, अदरक और लहसुन का पेस्ट बनाकर एक तरफ रख देंगे। एक भारी तले की कड़ाही में एक बड़ा चम्मच तेल गर्म करें, उसमें जीरा डालें और उसे चटकने दें। प्याज के पेस्ट का मिश्रण डालें और धीमी आंच पर तब तक भूनें जब तक कि प्"&amp;"याज के कच्चे छोटे-छोटे दाने निकल न जाएं और वे सुनहरे रंग के न हो जाएं। टमाटर प्यूरी, हरी मिर्च, हल्दी पाउडर, धनिया पाउडर, गरम मसाला पाउडर, नमक और लाल मिर्च पाउडर डालें और अच्छी तरह मिलाएँ। टमाटर को पकने दें और गाढ़ा करी मिश्रण बनने तक पकाएँ। एक बार जब यह "&amp;"एक साथ आ जाए, तो पके हुए आलू और पनीर के टुकड़े डालें। आँच को कम कर दें, लगभग 1 कप पानी डालें, पैन को ढक दें और मिश्रण को लगभग 15 मिनट तक उबालें। आलू मटर पनीर की सब्जी को उबालने की प्रक्रिया के अंतिम 3 मिनट में, उबले हुए मटर डालें और मिलाएँ। अंत में कसूरी "&amp;"मेथी और क्रीम मिलाएँ और आँच बंद कर दें। नमक और मसाले के स्तर की जाँच करें और अपने स्वाद के अनुसार समायोजित करें। आलू मटर पनीर करी रेसिपी को तवा पराठा या फुल्का के साथ मूली रायता के साथ परोसें ताकि यह एक संपूर्ण भोजन बन सके।")</f>
        <v>आलू मटर की सब्जी बनाने के लिए सबसे पहले हम प्याज, अदरक और लहसुन का पेस्ट बनाकर एक तरफ रख देंगे। एक भारी तले की कड़ाही में एक बड़ा चम्मच तेल गर्म करें, उसमें जीरा डालें और उसे चटकने दें। प्याज के पेस्ट का मिश्रण डालें और धीमी आंच पर तब तक भूनें जब तक कि प्याज के कच्चे छोटे-छोटे दाने निकल न जाएं और वे सुनहरे रंग के न हो जाएं। टमाटर प्यूरी, हरी मिर्च, हल्दी पाउडर, धनिया पाउडर, गरम मसाला पाउडर, नमक और लाल मिर्च पाउडर डालें और अच्छी तरह मिलाएँ। टमाटर को पकने दें और गाढ़ा करी मिश्रण बनने तक पकाएँ। एक बार जब यह एक साथ आ जाए, तो पके हुए आलू और पनीर के टुकड़े डालें। आँच को कम कर दें, लगभग 1 कप पानी डालें, पैन को ढक दें और मिश्रण को लगभग 15 मिनट तक उबालें। आलू मटर पनीर की सब्जी को उबालने की प्रक्रिया के अंतिम 3 मिनट में, उबले हुए मटर डालें और मिलाएँ। अंत में कसूरी मेथी और क्रीम मिलाएँ और आँच बंद कर दें। नमक और मसाले के स्तर की जाँच करें और अपने स्वाद के अनुसार समायोजित करें। आलू मटर पनीर करी रेसिपी को तवा पराठा या फुल्का के साथ मूली रायता के साथ परोसें ताकि यह एक संपूर्ण भोजन बन सके।</v>
      </c>
      <c r="J805" s="3" t="s">
        <v>34189</v>
      </c>
      <c r="L805" s="1" t="s">
        <v>31003</v>
      </c>
    </row>
    <row r="806" spans="1:12" ht="409.6">
      <c r="A806" s="1" t="s">
        <v>34190</v>
      </c>
      <c r="B806" s="1" t="str">
        <f ca="1">IFERROR(__xludf.dummyfunction("IF(A806="""", """", GOOGLETRANSLATE(A806, ""en"", ""hi""))"),"टिन्डोरा का सालन रेसिपी")</f>
        <v>टिन्डोरा का सालन रेसिपी</v>
      </c>
      <c r="C806" s="1" t="s">
        <v>14207</v>
      </c>
      <c r="D806" s="1" t="s">
        <v>14198</v>
      </c>
      <c r="E806" s="1">
        <v>30</v>
      </c>
      <c r="F806" s="1" t="s">
        <v>34191</v>
      </c>
      <c r="G806" s="1" t="str">
        <f ca="1">IFERROR(__xludf.dummyfunction("IF(F806="""", """", GOOGLETRANSLATE(F806, ""en"", ""hi""))"),"250 ग्राम टिंडोरा (डोंडाकाया / कोवक्काई) - आधार को बरकरार रखते हुए चीरा हुआ, 1 प्याज - पतले कटा हुआ, 2 हरी मिर्च - चीरा हुआ, 1 बड़ा चम्मच अदरक लहसुन पेस्ट, 1/4 चम्मच मेथी के बीज (मेथी के बीज), 1/2 चम्मच जीरा (जीरा), 1/2 चम्मच सरसों के बीज, 2 टहनी करी पत्त"&amp;"े, 2 सूखी लाल मिर्च, 1/2 चम्मच जीरा (जीरा), 1 चम्मच लाल मिर्च पाउडर, 1 चम्मच धनिया पाउडर (धनिया), 1/2 चम्मच हल्दी पाउडर (हल्दी), 2 चम्मच गुड़ - पाउडर, 1/4 कप इमली का पानी, 2 बड़े चम्मच पुदीना (पुदीना) - बारीक कटा हुआ, 2 बड़े चम्मच धनिया (धनिया) के पत्ते -"&amp;" बारीक कटा हुआ, 1 चम्मच नींबू का रस, 1 बड़ा चम्मच सूरजमुखी का तेल, नमक - स्वादानुसार, 1 बड़ा चम्मच कच्ची मूंगफली (मूंगफली), 1 बड़ा चम्मच तिल के बीज (तिल के बीज), ताज़ा नारियल - कसा हुआ")</f>
        <v>250 ग्राम टिंडोरा (डोंडाकाया / कोवक्काई) - आधार को बरकरार रखते हुए चीरा हुआ, 1 प्याज - पतले कटा हुआ, 2 हरी मिर्च - चीरा हुआ, 1 बड़ा चम्मच अदरक लहसुन पेस्ट, 1/4 चम्मच मेथी के बीज (मेथी के बीज), 1/2 चम्मच जीरा (जीरा), 1/2 चम्मच सरसों के बीज, 2 टहनी करी पत्ते, 2 सूखी लाल मिर्च, 1/2 चम्मच जीरा (जीरा), 1 चम्मच लाल मिर्च पाउडर, 1 चम्मच धनिया पाउडर (धनिया), 1/2 चम्मच हल्दी पाउडर (हल्दी), 2 चम्मच गुड़ - पाउडर, 1/4 कप इमली का पानी, 2 बड़े चम्मच पुदीना (पुदीना) - बारीक कटा हुआ, 2 बड़े चम्मच धनिया (धनिया) के पत्ते - बारीक कटा हुआ, 1 चम्मच नींबू का रस, 1 बड़ा चम्मच सूरजमुखी का तेल, नमक - स्वादानुसार, 1 बड़ा चम्मच कच्ची मूंगफली (मूंगफली), 1 बड़ा चम्मच तिल के बीज (तिल के बीज), ताज़ा नारियल - कसा हुआ</v>
      </c>
      <c r="H806" s="4" t="s">
        <v>34192</v>
      </c>
      <c r="I806" s="1" t="str">
        <f ca="1">IFERROR(__xludf.dummyfunction("IF(H806="""", """", GOOGLETRANSLATE(H806, ""en"", ""hi""))"),"टिंडोरा का सालन बनाने के लिए सबसे पहले मूंगफली, तिल और कसा हुआ नारियल को सुनहरा और सुगंधित होने तक भून लें और मिक्सर ग्राइंडर में थोड़े पानी के साथ पीसकर चिकना पेस्ट बना लें और एक तरफ रख दें। टिंडोरा को धोकर 4 भागों में काट लें, बेस को बरकरार रखें। एक भार"&amp;"ी तली वाले पैन में 2 चम्मच तेल गरम करें, कटे हुए टिंडोरा डालें और बीच-बीच में हिलाते हुए 3/4 तक पकने तक पकाएँ। एक तरफ रख दें। पैन में बचा हुआ तेल गरम करें, उसमें राई डालें और उसे चटकने दें। अब, जीरा, लाल मिर्च, मेथी के बीज डालें और एक मिनट तक भूनें। कटे ह"&amp;"ुए प्याज डालें और भूरा होने तक भूनें। अदरक लहसुन का पेस्ट डालें और कच्ची महक जाने तक भूनें। हल्दी, लाल मिर्च, जीरा, धनिया पाउडर और हरी मिर्च डालें, एक मिनट के लिए भूनें। तैयार मसाला और थोड़ा पानी डालें और 2 मिनट तक उबालें। पुदीना, धनिया पत्ती, हरी मिर्च, "&amp;"आंशिक रूप से तले हुए टिंडोरा डालें और अच्छी तरह मिलाएँ। अब, इमली का रस, गुड़, नमक डालें और 10 मिनट तक उबालें। जब टिंडोरा पूरी तरह से पक जाए, तो आंच बंद कर दें, नींबू का रस डालें और परोसने से पहले एक घंटे के लिए रख दें। टिंडोरा का सालन रेसिपी को पनीर बिरया"&amp;"नी, वेजिटेबल बिरयानी या अपनी पसंद की किसी भी अन्य बिरयानी के साथ अपनी अगली होम पार्टी में परोसें।")</f>
        <v>टिंडोरा का सालन बनाने के लिए सबसे पहले मूंगफली, तिल और कसा हुआ नारियल को सुनहरा और सुगंधित होने तक भून लें और मिक्सर ग्राइंडर में थोड़े पानी के साथ पीसकर चिकना पेस्ट बना लें और एक तरफ रख दें। टिंडोरा को धोकर 4 भागों में काट लें, बेस को बरकरार रखें। एक भारी तली वाले पैन में 2 चम्मच तेल गरम करें, कटे हुए टिंडोरा डालें और बीच-बीच में हिलाते हुए 3/4 तक पकने तक पकाएँ। एक तरफ रख दें। पैन में बचा हुआ तेल गरम करें, उसमें राई डालें और उसे चटकने दें। अब, जीरा, लाल मिर्च, मेथी के बीज डालें और एक मिनट तक भूनें। कटे हुए प्याज डालें और भूरा होने तक भूनें। अदरक लहसुन का पेस्ट डालें और कच्ची महक जाने तक भूनें। हल्दी, लाल मिर्च, जीरा, धनिया पाउडर और हरी मिर्च डालें, एक मिनट के लिए भूनें। तैयार मसाला और थोड़ा पानी डालें और 2 मिनट तक उबालें। पुदीना, धनिया पत्ती, हरी मिर्च, आंशिक रूप से तले हुए टिंडोरा डालें और अच्छी तरह मिलाएँ। अब, इमली का रस, गुड़, नमक डालें और 10 मिनट तक उबालें। जब टिंडोरा पूरी तरह से पक जाए, तो आंच बंद कर दें, नींबू का रस डालें और परोसने से पहले एक घंटे के लिए रख दें। टिंडोरा का सालन रेसिपी को पनीर बिरयानी, वेजिटेबल बिरयानी या अपनी पसंद की किसी भी अन्य बिरयानी के साथ अपनी अगली होम पार्टी में परोसें।</v>
      </c>
      <c r="J806" s="3" t="s">
        <v>34193</v>
      </c>
      <c r="L806" s="1" t="s">
        <v>31003</v>
      </c>
    </row>
    <row r="807" spans="1:12" ht="13.8">
      <c r="A807" s="1" t="s">
        <v>34194</v>
      </c>
      <c r="B807" s="1" t="str">
        <f ca="1">IFERROR(__xludf.dummyfunction("IF(A807="""", """", GOOGLETRANSLATE(A807, ""en"", ""hi""))"),"आलू मेथी पत्ता स्टर फ्राई")</f>
        <v>आलू मेथी पत्ता स्टर फ्राई</v>
      </c>
      <c r="C807" s="1" t="s">
        <v>145</v>
      </c>
      <c r="D807" s="1" t="s">
        <v>14198</v>
      </c>
      <c r="E807" s="1">
        <v>50</v>
      </c>
      <c r="F807" s="1" t="s">
        <v>34195</v>
      </c>
      <c r="G807" s="1" t="str">
        <f ca="1">IFERROR(__xludf.dummyfunction("IF(F807="""", """", GOOGLETRANSLATE(F807, ""en"", ""hi""))"),"3 आलू - उबले हुए, 250 ग्राम मेथी - धोकर काट लें, 1 प्याज - पतला काट लें, 1 टमाटर - प्यूरी बना लें, 1 इंच अदरक - कद्दूकस कर लें, 2 लहसुन की कलियां - कद्दूकस कर लें, 1 चम्मच हल्दी पाउडर, 1 चम्मच गरम मसाला पाउडर, 1 चम्मच धनिया पाउडर, नमक - स्वादानुसार, लाल म"&amp;"िर्च पाउडर - स्वादानुसार, 1 चम्मच जीरा, तेल - प्रयोगानुसार")</f>
        <v>3 आलू - उबले हुए, 250 ग्राम मेथी - धोकर काट लें, 1 प्याज - पतला काट लें, 1 टमाटर - प्यूरी बना लें, 1 इंच अदरक - कद्दूकस कर लें, 2 लहसुन की कलियां - कद्दूकस कर लें, 1 चम्मच हल्दी पाउडर, 1 चम्मच गरम मसाला पाउडर, 1 चम्मच धनिया पाउडर, नमक - स्वादानुसार, लाल मिर्च पाउडर - स्वादानुसार, 1 चम्मच जीरा, तेल - प्रयोगानुसार</v>
      </c>
      <c r="H807" s="1" t="s">
        <v>34196</v>
      </c>
      <c r="I807" s="1" t="str">
        <f ca="1">IFERROR(__xludf.dummyfunction("IF(H807="""", """", GOOGLETRANSLATE(H807, ""en"", ""hi""))"),"""आलू मेथी की सब्जी बनाने के लिए सबसे पहले आलू को प्रेशर कुकर में 2 सीटी आने तक उबालें। सबसे पहले एक पैन में तेल गर्म करें। इसमें जीरा और कटे हुए आलू डालें। थोड़ी सी इमली और हल्दी पाउडर डालें। मिक्स करें और आलू को हल्का भूरा होने तक पकाएँ। अब हल्दी पाउडर,"&amp;" गरम मसाला पाउडर, धनिया पाउडर और टमाटर डालें। 2 मिनट तक पकाएँ, पैन को अलग रख दें। अब एक छोटे पैन में तेल गर्म करें। इसमें प्याज़ और अदरक डालें। प्याज़ के थोड़ा नरम और हल्का भूरा होने तक पकाएँ। प्याज़ के नरम होने के बाद इसमें मेथी डालें और नरम होने तक पकाए"&amp;"ँ। मेथी के नरम होने के बाद इस मिश्रण को आलू में मिलाएँ। अब आलू वाले पैन को फिर से गैस पर रखें और अगले 2 मिनट तक पकने दें। 2 मिनट बाद गैस बंद कर दें और सर्व करें। आलू मेथी की सब्जी को लहसुन दाल और तवा पराठे के साथ लंच में सर्व करें।""")</f>
        <v>"आलू मेथी की सब्जी बनाने के लिए सबसे पहले आलू को प्रेशर कुकर में 2 सीटी आने तक उबालें। सबसे पहले एक पैन में तेल गर्म करें। इसमें जीरा और कटे हुए आलू डालें। थोड़ी सी इमली और हल्दी पाउडर डालें। मिक्स करें और आलू को हल्का भूरा होने तक पकाएँ। अब हल्दी पाउडर, गरम मसाला पाउडर, धनिया पाउडर और टमाटर डालें। 2 मिनट तक पकाएँ, पैन को अलग रख दें। अब एक छोटे पैन में तेल गर्म करें। इसमें प्याज़ और अदरक डालें। प्याज़ के थोड़ा नरम और हल्का भूरा होने तक पकाएँ। प्याज़ के नरम होने के बाद इसमें मेथी डालें और नरम होने तक पकाएँ। मेथी के नरम होने के बाद इस मिश्रण को आलू में मिलाएँ। अब आलू वाले पैन को फिर से गैस पर रखें और अगले 2 मिनट तक पकने दें। 2 मिनट बाद गैस बंद कर दें और सर्व करें। आलू मेथी की सब्जी को लहसुन दाल और तवा पराठे के साथ लंच में सर्व करें।"</v>
      </c>
      <c r="J807" s="3" t="s">
        <v>34197</v>
      </c>
      <c r="L807" s="1" t="s">
        <v>31003</v>
      </c>
    </row>
    <row r="808" spans="1:12" ht="13.8">
      <c r="A808" s="1" t="s">
        <v>34198</v>
      </c>
      <c r="B808" s="1" t="str">
        <f ca="1">IFERROR(__xludf.dummyfunction("IF(A808="""", """", GOOGLETRANSLATE(A808, ""en"", ""hi""))"),"सोया ग्रेन्युल समोसा रेसिपी - परफेक्ट शाम का नाश्ता")</f>
        <v>सोया ग्रेन्युल समोसा रेसिपी - परफेक्ट शाम का नाश्ता</v>
      </c>
      <c r="C808" s="1" t="s">
        <v>14281</v>
      </c>
      <c r="D808" s="1" t="s">
        <v>14198</v>
      </c>
      <c r="E808" s="1">
        <v>90</v>
      </c>
      <c r="F808" s="1" t="s">
        <v>34199</v>
      </c>
      <c r="G808" s="1" t="str">
        <f ca="1">IFERROR(__xludf.dummyfunction("IF(F808="""", """", GOOGLETRANSLATE(F808, ""en"", ""hi""))"),"1 कप मैदा, 1 कप गेहूं का आटा, 1 चम्मच नमक, 2 बड़े चम्मच घी, 1 चम्मच अजवाइन, पानी - आवश्यकतानुसार, 1/2 कप सोया ग्रैन्यूल्स, 1 प्याज - बारीक कटा हुआ, 2 हरी मिर्च - बारीक कटी हुई, 1/4 कप हरी मटर - उबली हुई, 1 चम्मच जीरा, 1 बड़ा चम्मच सूरजमुखी तेल, 1 बड़ा चम्"&amp;"मच अदरक लहसुन पेस्ट, 1 चम्मच धनिया पाउडर, 1 चम्मच लाल मिर्च पाउडर, 1/4 चम्मच हल्दी पाउडर, 1/2 चम्मच गरम मसाला पाउडर, 1 चम्मच चीनी, नमक - स्वादानुसार, सूरजमुखी तेल - तलने के लिए")</f>
        <v>1 कप मैदा, 1 कप गेहूं का आटा, 1 चम्मच नमक, 2 बड़े चम्मच घी, 1 चम्मच अजवाइन, पानी - आवश्यकतानुसार, 1/2 कप सोया ग्रैन्यूल्स, 1 प्याज - बारीक कटा हुआ, 2 हरी मिर्च - बारीक कटी हुई, 1/4 कप हरी मटर - उबली हुई, 1 चम्मच जीरा, 1 बड़ा चम्मच सूरजमुखी तेल, 1 बड़ा चम्मच अदरक लहसुन पेस्ट, 1 चम्मच धनिया पाउडर, 1 चम्मच लाल मिर्च पाउडर, 1/4 चम्मच हल्दी पाउडर, 1/2 चम्मच गरम मसाला पाउडर, 1 चम्मच चीनी, नमक - स्वादानुसार, सूरजमुखी तेल - तलने के लिए</v>
      </c>
      <c r="H808" s="1" t="s">
        <v>34200</v>
      </c>
      <c r="I808" s="1" t="str">
        <f ca="1">IFERROR(__xludf.dummyfunction("IF(H808="""", """", GOOGLETRANSLATE(H808, ""en"", ""hi""))"),"सोया ग्रेन्युल समोसा बनाने के लिए सबसे पहले एक कटोरे में मैदा, गेहूं का आटा, नमक, घी और अजवाइन डालें। सभी सामग्री को तब तक मिलाएँ जब तक यह ब्रेड क्रम्ब्स जैसा न हो जाए। थोड़ा-थोड़ा करके पानी डालें और आटे को सख्त आटा गूंथ लें। इसे गीले कपड़े से ढँक दें और "&amp;"लगभग 30 मिनट के लिए रख दें। अगला कदम सोया ग्रेन्युल समोसा रेसिपी के लिए भरावन तैयार करना है। 2 कप पानी उबालें और गर्म पानी में 1 चम्मच नमक और सोया ग्रेन्युल डालें। सोया ग्रेन्युल को पूरी तरह से डूब जाने दें और लगभग 12 से 15 मिनट के लिए गर्म पानी में रहने "&amp;"दें। भिगोने और नरम होने के बाद, पानी को निकाल दें और सोया ग्रेन्युल को एक तरफ रख दें। अगर ताज़ी हरी मटर का उपयोग कर रहे हैं, तो उन्हें तब तक उबालें जब तक वे पक न जाएँ। पानी को छानकर एक तरफ रख दें। एक पैन में एक बड़ा चम्मच तेल गरम करें। जीरा डालें और उनके "&amp;"चटकने तक प्रतीक्षा करें। बारीक कटा हुआ प्याज और हरी मिर्च डालें और प्याज के नरम होने तक पकाएँ। अदरक लहसुन का पेस्ट डालें और पेस्ट की कच्ची महक जाने तक पकाएँ। जीरा पाउडर, हल्दी पाउडर, लाल मिर्च पाउडर, धनिया पाउडर और नमक डालें, अच्छी तरह मिलाएँ और लगभग 15 स"&amp;"ेकंड तक पकाएँ। सोया ग्रैन्यूल्स और हरी मटर डालें, अच्छी तरह मिलाएँ, धीमी आँच पर पकाएँ और इसे अपने रस में 10 मिनट तक पकने दें। आँच बंद कर दें और भरावन को पूरी तरह से ठंडा होने दें। अब, आटे को एक बार फिर से गूंथ लें और 6 बराबर भागों में बाँट लें। एक भाग लें"&amp;" और आटे के एक भाग को 6 से 7 इंच व्यास के गोले में बेल लें। एक तेज चाकू का उपयोग करके गोले को 2 भागों में काट लें। समोसे के आटे का एक भाग लें, किनारों को जोड़कर एक कोन बनाएँ। बीच में 1 या 2 बड़े चम्मच सोया ग्रैन्यूल समोसा भरावन डालें। समोसे के कोन को सील क"&amp;"रने के लिए किनारों पर पानी लगाएँ। किनारों को कसकर सील करें और बचे हुए आटे के साथ भी यही प्रक्रिया दोहराएँ और समोसे बनाएँ। तलने के लिए एक गहरे फ्राइंग पैन में तेल गरम करें। जब तेल गरम हो जाए, तो आंच को मध्यम कर दें और एक बार में 2 से 3 समोसे डालें और सभी त"&amp;"रफ से सुनहरा भूरा होने तक तल लें। अब्सॉर्बेंट पेपर पर निकाल लें। शाम के नाश्ते के लिए इस स्वादिष्ट और कुरकुरे सोया ग्रेन्युल समोसे को आज़माएँ और इसे लेहसुन पुदीना चटनी और गुलकंद चाय के साथ भारतीय डिनर पार्टियों के लिए ऐपेटाइज़र के रूप में परोसें। आप इस सो"&amp;"या ग्रेन्युल समोसे को होली या दिवाली के त्यौहार पर भी बना सकते हैं जब आपके दोस्त और परिवार डिनर या चाय पार्टी के लिए आते हैं।")</f>
        <v>सोया ग्रेन्युल समोसा बनाने के लिए सबसे पहले एक कटोरे में मैदा, गेहूं का आटा, नमक, घी और अजवाइन डालें। सभी सामग्री को तब तक मिलाएँ जब तक यह ब्रेड क्रम्ब्स जैसा न हो जाए। थोड़ा-थोड़ा करके पानी डालें और आटे को सख्त आटा गूंथ लें। इसे गीले कपड़े से ढँक दें और लगभग 30 मिनट के लिए रख दें। अगला कदम सोया ग्रेन्युल समोसा रेसिपी के लिए भरावन तैयार करना है। 2 कप पानी उबालें और गर्म पानी में 1 चम्मच नमक और सोया ग्रेन्युल डालें। सोया ग्रेन्युल को पूरी तरह से डूब जाने दें और लगभग 12 से 15 मिनट के लिए गर्म पानी में रहने दें। भिगोने और नरम होने के बाद, पानी को निकाल दें और सोया ग्रेन्युल को एक तरफ रख दें। अगर ताज़ी हरी मटर का उपयोग कर रहे हैं, तो उन्हें तब तक उबालें जब तक वे पक न जाएँ। पानी को छानकर एक तरफ रख दें। एक पैन में एक बड़ा चम्मच तेल गरम करें। जीरा डालें और उनके चटकने तक प्रतीक्षा करें। बारीक कटा हुआ प्याज और हरी मिर्च डालें और प्याज के नरम होने तक पकाएँ। अदरक लहसुन का पेस्ट डालें और पेस्ट की कच्ची महक जाने तक पकाएँ। जीरा पाउडर, हल्दी पाउडर, लाल मिर्च पाउडर, धनिया पाउडर और नमक डालें, अच्छी तरह मिलाएँ और लगभग 15 सेकंड तक पकाएँ। सोया ग्रैन्यूल्स और हरी मटर डालें, अच्छी तरह मिलाएँ, धीमी आँच पर पकाएँ और इसे अपने रस में 10 मिनट तक पकने दें। आँच बंद कर दें और भरावन को पूरी तरह से ठंडा होने दें। अब, आटे को एक बार फिर से गूंथ लें और 6 बराबर भागों में बाँट लें। एक भाग लें और आटे के एक भाग को 6 से 7 इंच व्यास के गोले में बेल लें। एक तेज चाकू का उपयोग करके गोले को 2 भागों में काट लें। समोसे के आटे का एक भाग लें, किनारों को जोड़कर एक कोन बनाएँ। बीच में 1 या 2 बड़े चम्मच सोया ग्रैन्यूल समोसा भरावन डालें। समोसे के कोन को सील करने के लिए किनारों पर पानी लगाएँ। किनारों को कसकर सील करें और बचे हुए आटे के साथ भी यही प्रक्रिया दोहराएँ और समोसे बनाएँ। तलने के लिए एक गहरे फ्राइंग पैन में तेल गरम करें। जब तेल गरम हो जाए, तो आंच को मध्यम कर दें और एक बार में 2 से 3 समोसे डालें और सभी तरफ से सुनहरा भूरा होने तक तल लें। अब्सॉर्बेंट पेपर पर निकाल लें। शाम के नाश्ते के लिए इस स्वादिष्ट और कुरकुरे सोया ग्रेन्युल समोसे को आज़माएँ और इसे लेहसुन पुदीना चटनी और गुलकंद चाय के साथ भारतीय डिनर पार्टियों के लिए ऐपेटाइज़र के रूप में परोसें। आप इस सोया ग्रेन्युल समोसे को होली या दिवाली के त्यौहार पर भी बना सकते हैं जब आपके दोस्त और परिवार डिनर या चाय पार्टी के लिए आते हैं।</v>
      </c>
      <c r="J808" s="3" t="s">
        <v>34201</v>
      </c>
      <c r="L808" s="1" t="s">
        <v>31003</v>
      </c>
    </row>
    <row r="809" spans="1:12" ht="409.6">
      <c r="A809" s="1" t="s">
        <v>34202</v>
      </c>
      <c r="B809" s="1" t="str">
        <f ca="1">IFERROR(__xludf.dummyfunction("IF(A809="""", """", GOOGLETRANSLATE(A809, ""en"", ""hi""))"),"वेजिटेबल यखनी पुलाव रेसिपी")</f>
        <v>वेजिटेबल यखनी पुलाव रेसिपी</v>
      </c>
      <c r="C809" s="1" t="s">
        <v>429</v>
      </c>
      <c r="D809" s="1" t="s">
        <v>14198</v>
      </c>
      <c r="E809" s="1">
        <v>65</v>
      </c>
      <c r="F809" s="1" t="s">
        <v>34203</v>
      </c>
      <c r="G809" s="1" t="str">
        <f ca="1">IFERROR(__xludf.dummyfunction("IF(F809="""", """", GOOGLETRANSLATE(F809, ""en"", ""hi""))"),"1 चम्मच अजवाइन, 1 बड़ा चम्मच धनिया, 1 चम्मच सौंफ, 3 लौंग, 4 इलायची, 2 इंच दालचीनी, 2 से 3 साबुत काली मिर्च, 2 कप वेजिटेबल स्टॉक - या पानी, 2 कप बासमती चावल, 1 प्याज - बारीक कटा हुआ, 1 इंच अदरक - कद्दूकस किया हुआ, 4 लहसुन - कद्दूकस किया हुआ, 2 हरी मिर्च - "&amp;"कटी हुई, 1 तेज पत्ता, 1 गाजर - पतले टुकड़ों में कटी हुई, 1 कप गोभी - फूलों में कटी हुई, 1/2 कप हरी बीन्स - पतले टुकड़ों में कटी हुई, 1/2 कप मटर, 1 कप दही - फेंटा हुआ, 1/2 कप पुदीना - बारीक कटा हुआ, नमक - स्वादानुसार, 4 बड़े चम्मच घी, 1/4 कप कैरामेलाइज़्ड "&amp;"प्याज, पुदीना के पत्ते (गार्निश के लिए), 1 चम्मच घी, 1 बड़ा चम्मच काजू, 1 बड़ा चम्मच किशमिश")</f>
        <v>1 चम्मच अजवाइन, 1 बड़ा चम्मच धनिया, 1 चम्मच सौंफ, 3 लौंग, 4 इलायची, 2 इंच दालचीनी, 2 से 3 साबुत काली मिर्च, 2 कप वेजिटेबल स्टॉक - या पानी, 2 कप बासमती चावल, 1 प्याज - बारीक कटा हुआ, 1 इंच अदरक - कद्दूकस किया हुआ, 4 लहसुन - कद्दूकस किया हुआ, 2 हरी मिर्च - कटी हुई, 1 तेज पत्ता, 1 गाजर - पतले टुकड़ों में कटी हुई, 1 कप गोभी - फूलों में कटी हुई, 1/2 कप हरी बीन्स - पतले टुकड़ों में कटी हुई, 1/2 कप मटर, 1 कप दही - फेंटा हुआ, 1/2 कप पुदीना - बारीक कटा हुआ, नमक - स्वादानुसार, 4 बड़े चम्मच घी, 1/4 कप कैरामेलाइज़्ड प्याज, पुदीना के पत्ते (गार्निश के लिए), 1 चम्मच घी, 1 बड़ा चम्मच काजू, 1 बड़ा चम्मच किशमिश</v>
      </c>
      <c r="H809" s="4" t="s">
        <v>34204</v>
      </c>
      <c r="I809" s="1" t="str">
        <f ca="1">IFERROR(__xludf.dummyfunction("IF(H809="""", """", GOOGLETRANSLATE(H809, ""en"", ""hi""))"),"वेजिटेबल यखनी पुलाव रेसिपी बनाने के लिए सबसे पहले एक छोटे पैन में मध्यम आंच पर शाही जीरा, धनिया के बीज, सौंफ, लौंग, इलायची, दालचीनी और साबुत काली मिर्च सहित सभी मसालों को भून लें. इसमें लगभग 4 से 5 मिनट का समय लगेगा. भुन जाने के बाद, एक मोटा पाउडर बना लें"&amp;" और एक तरफ रख दें. गार्निश के लिए कैरामेलाइज़्ड प्याज तैयार करें. एक पैन में थोड़ा तेल गर्म करें. इसमें पतले कटे प्याज डालें और भूरा होने तक पकाएं. इसे एक तरफ रख दें. एक अन्य छोटे पैन में एक बड़ा चम्मच घी डालें और काजू को मध्यम आंच पर सुनहरा भूरा और कुरकु"&amp;"रा होने तक भून लें. सुनहरा भूरा होने पर, किशमिश डालें और कुछ मिनट के लिए भूनें और आंच बंद कर दें. इसे गार्निश के लिए एक तरफ रख दें. अंतिम चरण चावल को स्टॉक और सब्जियों के साथ पकाना है. मध्यम आंच पर एक बड़े सॉस पैन में 3 बड़े चम्मच घी डालें। प्याज़, अदरक, "&amp;"लहसुन, हरी मिर्च, तेज पत्ता डालें और प्याज़ के नरम होने और अच्छी खुशबू आने तक भूनें। मसाला पाउडर का मिश्रण, कटी हुई सब्जियाँ और चावल डालें। कुछ मिनट तक हिलाएँ जब तक कि आप यह न देख लें कि चावल मसालों से अच्छी तरह लिपटा हुआ है। कुछ मिनट बाद, वेजिटेबल स्टॉक/"&amp;"पानी और दही डालें। नमक और कटी हुई पुदीने की पत्तियाँ डालें। अच्छी तरह मिलाएँ। यखनी पुलाव को तेज़ उबाल पर लाएँ। एक बार जब यह तेज़ उबाल पर आ जाए, तो आँच को धीमा कर दें, पैन को ढक दें और पुलाव को तब तक पकाएँ जब तक कि सारा चावल इसमें समा न जाए। चावल दानेदार ह"&amp;"ोने चाहिए। एक बार जब सारा पानी इसमें समा जाए, तो आँच बंद कर दें। यखनी पुलाव को हिलाने से पहले 10 मिनट के लिए आराम करने दें। 10 मिनट के बाद, खोलें, कटा हुआ धनिया पत्ता डालें और इसे एक बड़े कांटे से हिलाएं और चावल को फुलाएँ। एक सर्विंग डिश में स्थानांतरित क"&amp;"रें, कारमेलाइज़्ड प्याज, काजू और पुदीने के पत्तों से गार्निश करें। एक विशेष सप्ताहांत के खाने के लिए पनीर टिक्का मसाला, पंजाबी दाल तड़का और फुल्का के साथ यखनी पुलाव रेसिपी परोसें।")</f>
        <v>वेजिटेबल यखनी पुलाव रेसिपी बनाने के लिए सबसे पहले एक छोटे पैन में मध्यम आंच पर शाही जीरा, धनिया के बीज, सौंफ, लौंग, इलायची, दालचीनी और साबुत काली मिर्च सहित सभी मसालों को भून लें. इसमें लगभग 4 से 5 मिनट का समय लगेगा. भुन जाने के बाद, एक मोटा पाउडर बना लें और एक तरफ रख दें. गार्निश के लिए कैरामेलाइज़्ड प्याज तैयार करें. एक पैन में थोड़ा तेल गर्म करें. इसमें पतले कटे प्याज डालें और भूरा होने तक पकाएं. इसे एक तरफ रख दें. एक अन्य छोटे पैन में एक बड़ा चम्मच घी डालें और काजू को मध्यम आंच पर सुनहरा भूरा और कुरकुरा होने तक भून लें. सुनहरा भूरा होने पर, किशमिश डालें और कुछ मिनट के लिए भूनें और आंच बंद कर दें. इसे गार्निश के लिए एक तरफ रख दें. अंतिम चरण चावल को स्टॉक और सब्जियों के साथ पकाना है. मध्यम आंच पर एक बड़े सॉस पैन में 3 बड़े चम्मच घी डालें। प्याज़, अदरक, लहसुन, हरी मिर्च, तेज पत्ता डालें और प्याज़ के नरम होने और अच्छी खुशबू आने तक भूनें। मसाला पाउडर का मिश्रण, कटी हुई सब्जियाँ और चावल डालें। कुछ मिनट तक हिलाएँ जब तक कि आप यह न देख लें कि चावल मसालों से अच्छी तरह लिपटा हुआ है। कुछ मिनट बाद, वेजिटेबल स्टॉक/पानी और दही डालें। नमक और कटी हुई पुदीने की पत्तियाँ डालें। अच्छी तरह मिलाएँ। यखनी पुलाव को तेज़ उबाल पर लाएँ। एक बार जब यह तेज़ उबाल पर आ जाए, तो आँच को धीमा कर दें, पैन को ढक दें और पुलाव को तब तक पकाएँ जब तक कि सारा चावल इसमें समा न जाए। चावल दानेदार होने चाहिए। एक बार जब सारा पानी इसमें समा जाए, तो आँच बंद कर दें। यखनी पुलाव को हिलाने से पहले 10 मिनट के लिए आराम करने दें। 10 मिनट के बाद, खोलें, कटा हुआ धनिया पत्ता डालें और इसे एक बड़े कांटे से हिलाएं और चावल को फुलाएँ। एक सर्विंग डिश में स्थानांतरित करें, कारमेलाइज़्ड प्याज, काजू और पुदीने के पत्तों से गार्निश करें। एक विशेष सप्ताहांत के खाने के लिए पनीर टिक्का मसाला, पंजाबी दाल तड़का और फुल्का के साथ यखनी पुलाव रेसिपी परोसें।</v>
      </c>
      <c r="J809" s="3" t="s">
        <v>34205</v>
      </c>
      <c r="L809" s="1" t="s">
        <v>31003</v>
      </c>
    </row>
    <row r="810" spans="1:12" ht="13.8">
      <c r="A810" s="1" t="s">
        <v>34206</v>
      </c>
      <c r="B810" s="1" t="str">
        <f ca="1">IFERROR(__xludf.dummyfunction("IF(A810="""", """", GOOGLETRANSLATE(A810, ""en"", ""hi""))"),"गवार फली मसाला सब्जी रेसिपी")</f>
        <v>गवार फली मसाला सब्जी रेसिपी</v>
      </c>
      <c r="C810" s="1" t="s">
        <v>145</v>
      </c>
      <c r="D810" s="1" t="s">
        <v>14198</v>
      </c>
      <c r="E810" s="1">
        <v>45</v>
      </c>
      <c r="F810" s="1" t="s">
        <v>34207</v>
      </c>
      <c r="G810" s="1" t="str">
        <f ca="1">IFERROR(__xludf.dummyfunction("IF(F810="""", """", GOOGLETRANSLATE(F810, ""en"", ""hi""))"),"300 ग्राम ग्वारफली - धोकर 1 इंच के टुकड़ों में काट लें, 1 प्याज - काट लें, 1 टमाटर - काट लें, 4 लहसुन - बारीक काट लें, 1 इंच अदरक - बारीक काट लें, 1 टहनी करी पत्ता, 1/2 छोटा चम्मच हल्दी पाउडर, 1 छोटा चम्मच लाल मिर्च पाउडर, 1 छोटा चम्मच जीरा, 1 छोटा चम्मच "&amp;"राई, 1/4 छोटा चम्मच हींग, 1 बड़ा चम्मच धनिया पाउडर, 1/2 छोटा चम्मच जीरा पाउडर, 2 बड़े चम्मच मूंगफली - भुनी हुई, नमक - स्वादानुसार, 1 छोटा चम्मच तेल, धनिया पत्ता - कटा हुआ")</f>
        <v>300 ग्राम ग्वारफली - धोकर 1 इंच के टुकड़ों में काट लें, 1 प्याज - काट लें, 1 टमाटर - काट लें, 4 लहसुन - बारीक काट लें, 1 इंच अदरक - बारीक काट लें, 1 टहनी करी पत्ता, 1/2 छोटा चम्मच हल्दी पाउडर, 1 छोटा चम्मच लाल मिर्च पाउडर, 1 छोटा चम्मच जीरा, 1 छोटा चम्मच राई, 1/4 छोटा चम्मच हींग, 1 बड़ा चम्मच धनिया पाउडर, 1/2 छोटा चम्मच जीरा पाउडर, 2 बड़े चम्मच मूंगफली - भुनी हुई, नमक - स्वादानुसार, 1 छोटा चम्मच तेल, धनिया पत्ता - कटा हुआ</v>
      </c>
      <c r="H810" s="1" t="s">
        <v>34208</v>
      </c>
      <c r="I810" s="1" t="str">
        <f ca="1">IFERROR(__xludf.dummyfunction("IF(H810="""", """", GOOGLETRANSLATE(H810, ""en"", ""hi""))"),"ग्वार फली मसाला सब्जी रेसिपी बनाने के लिए सबसे पहले एक प्रेशर कुकर में ग्वार फली, नमक और 2 टेबल स्पून पानी डालकर 1 सीटी आने तक पकाएं। 1 सीटी आने के बाद कुकर बंद कर दें। कुकर को ठंडे पानी के नीचे रखें और प्रेशर निकाल दें। इसे एक तरफ रख दें। एक पैन में तेल "&amp;"गर्म करें। इसमें राई, जीरा, करी पत्ता डालें और राई के चटकने तक पकाएं। अब इसमें प्याज, अदरक, लहसुन डालें और प्याज के नरम होने तक पकाएं। प्याज के नरम होने के बाद इसमें हींग, टमाटर डालें और टमाटर के नरम होने तक पकाएं। टमाटर के नरम होने के बाद इसमें धनिया पाउ"&amp;"डर, जीरा पाउडर, लाल मिर्च पाउडर, हल्दी पाउडर डालकर मिलाएँ और 2 मिनट तक पकाएँ। 2 मिनट बाद इसमें ग्वार फली डालें और 2 मिनट तक पकाएं। 1/2 कप पानी डालकर उबलने दें")</f>
        <v>ग्वार फली मसाला सब्जी रेसिपी बनाने के लिए सबसे पहले एक प्रेशर कुकर में ग्वार फली, नमक और 2 टेबल स्पून पानी डालकर 1 सीटी आने तक पकाएं। 1 सीटी आने के बाद कुकर बंद कर दें। कुकर को ठंडे पानी के नीचे रखें और प्रेशर निकाल दें। इसे एक तरफ रख दें। एक पैन में तेल गर्म करें। इसमें राई, जीरा, करी पत्ता डालें और राई के चटकने तक पकाएं। अब इसमें प्याज, अदरक, लहसुन डालें और प्याज के नरम होने तक पकाएं। प्याज के नरम होने के बाद इसमें हींग, टमाटर डालें और टमाटर के नरम होने तक पकाएं। टमाटर के नरम होने के बाद इसमें धनिया पाउडर, जीरा पाउडर, लाल मिर्च पाउडर, हल्दी पाउडर डालकर मिलाएँ और 2 मिनट तक पकाएँ। 2 मिनट बाद इसमें ग्वार फली डालें और 2 मिनट तक पकाएं। 1/2 कप पानी डालकर उबलने दें</v>
      </c>
      <c r="J810" s="3" t="s">
        <v>34209</v>
      </c>
      <c r="L810" s="1" t="s">
        <v>31003</v>
      </c>
    </row>
    <row r="811" spans="1:12" ht="409.6">
      <c r="A811" s="1" t="s">
        <v>34210</v>
      </c>
      <c r="B811" s="1" t="str">
        <f ca="1">IFERROR(__xludf.dummyfunction("IF(A811="""", """", GOOGLETRANSLATE(A811, ""en"", ""hi""))"),"मेथी, मूली मक्काई पराठा रेसिपी")</f>
        <v>मेथी, मूली मक्काई पराठा रेसिपी</v>
      </c>
      <c r="C811" s="1" t="s">
        <v>16424</v>
      </c>
      <c r="D811" s="1" t="s">
        <v>14198</v>
      </c>
      <c r="E811" s="1">
        <v>40</v>
      </c>
      <c r="F811" s="1" t="s">
        <v>34211</v>
      </c>
      <c r="G811" s="1" t="str">
        <f ca="1">IFERROR(__xludf.dummyfunction("IF(F811="""", """", GOOGLETRANSLATE(F811, ""en"", ""hi""))"),"2 कप मेथी के पत्ते - मोटे तौर पर कटे हुए, 2 कप मूली - कद्दूकस की हुई, 4 कप मक्की का आटा, 2 हरी मिर्च - बारीक कटी हुई, 1-1/2 चम्मच अजवाइन, 1/2 चम्मच लाल मिर्च पाउडर, 2 चम्मच धनिया पाउडर, नमक - स्वादानुसार, पानी - आटा गूंथने के लिए या छाछ, घी - या तेल")</f>
        <v>2 कप मेथी के पत्ते - मोटे तौर पर कटे हुए, 2 कप मूली - कद्दूकस की हुई, 4 कप मक्की का आटा, 2 हरी मिर्च - बारीक कटी हुई, 1-1/2 चम्मच अजवाइन, 1/2 चम्मच लाल मिर्च पाउडर, 2 चम्मच धनिया पाउडर, नमक - स्वादानुसार, पानी - आटा गूंथने के लिए या छाछ, घी - या तेल</v>
      </c>
      <c r="H811" s="4" t="s">
        <v>34212</v>
      </c>
      <c r="I811" s="1" t="str">
        <f ca="1">IFERROR(__xludf.dummyfunction("IF(H811="""", """", GOOGLETRANSLATE(H811, ""en"", ""hi""))"),"मेथी, मूली मक्का पराठा रेसिपी बनाने के लिए सबसे पहले हम एक-एक करके सारी सामग्री तैयार कर लेंगे। मूली को धोकर छील लें और कद्दूकस कर लें और एक तरफ रख दें। इसी तरह से सिर्फ मेथी के पत्तों को डंठल से अलग कर लें, धोकर मोटा-मोटा काट लें और एक तरफ रख दें। अब एक "&amp;"बड़ा कटोरा लें, कद्दूकस की हुई मूली से पानी निचोड़ लें और इसे कटोरे में डाल दें। इसमें कटी हुई मेथी के पत्ते, हरी मिर्च, मक्का का आटा, हथेलियों के बीच हल्का कुचला हुआ अजवाइन, लाल मिर्च और धनिया पाउडर डालें। नमक डालकर सारी सामग्री को अच्छे से मिला लें। अब "&amp;"इसमें धीरे-धीरे पानी या बटर मिल्क डालकर सख्त आटा गूंथ लें। मक्का इसमें पानी सोखता रहेगा। आटे को 12 बराबर बॉल्स में बांट लें और एक तरफ रख दें। अब किचन स्लैब पर बटर या पार्चमेंट पेपर लगाएं और इस पर तेल की कुछ बूंदें लगाएं। एक छोटी सी लोई लें, इसे नरम होने त"&amp;"क गूंथ लें और धीरे से चर्मपत्र कागज पर दबा दें। इसे अपनी उंगलियों से थपथपाएँ और इसे छोटी पूरी के आकार में चपटा करें। मध्यम आँच पर तवा गरम करें, तवे पर पकी हुई मक्के की रोटी रखें, किनारों पर तेल / घी की कुछ बूँदें डालें और इसे 2-3 मिनट के लिए सतह पर पकने द"&amp;"ें। पलटें और दूसरी तरफ से भी 3 मिनट के लिए पकाएँ, थोड़ा तेल लगाकर। इसी तरह बाकी रोटियाँ भी बना लें। मेथी, मूली मक्के पराठा रेसिपी को गुड़, सफ़ेद मक्खन और पारंपरिक सरसों के साग के साथ वीकेंड पंजाबी व्यंजन से प्रेरित दोपहर के भोजन के लिए परोसें।")</f>
        <v>मेथी, मूली मक्का पराठा रेसिपी बनाने के लिए सबसे पहले हम एक-एक करके सारी सामग्री तैयार कर लेंगे। मूली को धोकर छील लें और कद्दूकस कर लें और एक तरफ रख दें। इसी तरह से सिर्फ मेथी के पत्तों को डंठल से अलग कर लें, धोकर मोटा-मोटा काट लें और एक तरफ रख दें। अब एक बड़ा कटोरा लें, कद्दूकस की हुई मूली से पानी निचोड़ लें और इसे कटोरे में डाल दें। इसमें कटी हुई मेथी के पत्ते, हरी मिर्च, मक्का का आटा, हथेलियों के बीच हल्का कुचला हुआ अजवाइन, लाल मिर्च और धनिया पाउडर डालें। नमक डालकर सारी सामग्री को अच्छे से मिला लें। अब इसमें धीरे-धीरे पानी या बटर मिल्क डालकर सख्त आटा गूंथ लें। मक्का इसमें पानी सोखता रहेगा। आटे को 12 बराबर बॉल्स में बांट लें और एक तरफ रख दें। अब किचन स्लैब पर बटर या पार्चमेंट पेपर लगाएं और इस पर तेल की कुछ बूंदें लगाएं। एक छोटी सी लोई लें, इसे नरम होने तक गूंथ लें और धीरे से चर्मपत्र कागज पर दबा दें। इसे अपनी उंगलियों से थपथपाएँ और इसे छोटी पूरी के आकार में चपटा करें। मध्यम आँच पर तवा गरम करें, तवे पर पकी हुई मक्के की रोटी रखें, किनारों पर तेल / घी की कुछ बूँदें डालें और इसे 2-3 मिनट के लिए सतह पर पकने दें। पलटें और दूसरी तरफ से भी 3 मिनट के लिए पकाएँ, थोड़ा तेल लगाकर। इसी तरह बाकी रोटियाँ भी बना लें। मेथी, मूली मक्के पराठा रेसिपी को गुड़, सफ़ेद मक्खन और पारंपरिक सरसों के साग के साथ वीकेंड पंजाबी व्यंजन से प्रेरित दोपहर के भोजन के लिए परोसें।</v>
      </c>
      <c r="J811" s="3" t="s">
        <v>34213</v>
      </c>
      <c r="L811" s="1" t="s">
        <v>31003</v>
      </c>
    </row>
    <row r="812" spans="1:12" ht="13.8">
      <c r="A812" s="1" t="s">
        <v>34214</v>
      </c>
      <c r="B812" s="1" t="str">
        <f ca="1">IFERROR(__xludf.dummyfunction("IF(A812="""", """", GOOGLETRANSLATE(A812, ""en"", ""hi""))"),"पालक मखाना रेसिपी (नवरात्रि व्रत रेसिपी)")</f>
        <v>पालक मखाना रेसिपी (नवरात्रि व्रत रेसिपी)</v>
      </c>
      <c r="C812" s="1" t="s">
        <v>429</v>
      </c>
      <c r="D812" s="1" t="s">
        <v>14208</v>
      </c>
      <c r="E812" s="1">
        <v>50</v>
      </c>
      <c r="F812" s="1" t="s">
        <v>34215</v>
      </c>
      <c r="G812" s="1" t="str">
        <f ca="1">IFERROR(__xludf.dummyfunction("IF(F812="""", """", GOOGLETRANSLATE(F812, ""en"", ""hi""))"),"300 ग्राम पालक के पत्ते, 2 टमाटर - टुकड़ों में कटे हुए, 1 कप फूल मखाना (कमल के बीज), 1 चम्मच जीरा, 1 चम्मच गरम मसाला पाउडर, 1/2 चम्मच लाल मिर्च पाउडर, 1/2 चम्मच हल्दी पाउडर (हल्दी), 1 दालचीनी स्टिक (दालचीनी), 2 बड़े चम्मच दूध, 1 बड़ा चम्मच घी, नमक - स्वाद"&amp;"ानुसार")</f>
        <v>300 ग्राम पालक के पत्ते, 2 टमाटर - टुकड़ों में कटे हुए, 1 कप फूल मखाना (कमल के बीज), 1 चम्मच जीरा, 1 चम्मच गरम मसाला पाउडर, 1/2 चम्मच लाल मिर्च पाउडर, 1/2 चम्मच हल्दी पाउडर (हल्दी), 1 दालचीनी स्टिक (दालचीनी), 2 बड़े चम्मच दूध, 1 बड़ा चम्मच घी, नमक - स्वादानुसार</v>
      </c>
      <c r="H812" s="1" t="s">
        <v>34216</v>
      </c>
      <c r="I812" s="1" t="str">
        <f ca="1">IFERROR(__xludf.dummyfunction("IF(H812="""", """", GOOGLETRANSLATE(H812, ""en"", ""hi""))"),"पालक मखाना बनाने की शुरुआत हम पालक को बहते पानी में अच्छी तरह धोकर करते हैं। पालक को छान लें और इसे प्रेशर कुकर में थोड़ी हल्दी पाउडर, जीरा और हरी मिर्च के साथ 2 सीटी आने तक पकाएं। एक सीटी आने के बाद इसे ठंडा होने दें जब तक कि प्रेशर अपने आप खत्म न हो जाए"&amp;"। इसे पीसकर पेस्ट बना लें और एक तरफ रख दें। एक चपटे तले वाले नॉन-स्टिक पैन में घी के साथ मखाने को भूनें। मखाने निकालें और उसी पैन में थोड़ा सा तेल डालें और जीरा का तड़का लगाएं और टमाटर डालें। सारा तरल पदार्थ छूटने तक पकाएं और सभी मसाले पाउडर डालें। थोड़ा "&amp;"पानी डालें और 2 मिनट तक उबालें। दूध के साथ ब्लेंड किया हुआ पालक मिश्रण डालें और फिर से 3 मिनट तक उबालें। अंत में, मखाना डालें और उबाल लें")</f>
        <v>पालक मखाना बनाने की शुरुआत हम पालक को बहते पानी में अच्छी तरह धोकर करते हैं। पालक को छान लें और इसे प्रेशर कुकर में थोड़ी हल्दी पाउडर, जीरा और हरी मिर्च के साथ 2 सीटी आने तक पकाएं। एक सीटी आने के बाद इसे ठंडा होने दें जब तक कि प्रेशर अपने आप खत्म न हो जाए। इसे पीसकर पेस्ट बना लें और एक तरफ रख दें। एक चपटे तले वाले नॉन-स्टिक पैन में घी के साथ मखाने को भूनें। मखाने निकालें और उसी पैन में थोड़ा सा तेल डालें और जीरा का तड़का लगाएं और टमाटर डालें। सारा तरल पदार्थ छूटने तक पकाएं और सभी मसाले पाउडर डालें। थोड़ा पानी डालें और 2 मिनट तक उबालें। दूध के साथ ब्लेंड किया हुआ पालक मिश्रण डालें और फिर से 3 मिनट तक उबालें। अंत में, मखाना डालें और उबाल लें</v>
      </c>
      <c r="J812" s="3" t="s">
        <v>34217</v>
      </c>
      <c r="L812" s="1" t="s">
        <v>31003</v>
      </c>
    </row>
    <row r="813" spans="1:12" ht="409.6">
      <c r="A813" s="1" t="s">
        <v>34218</v>
      </c>
      <c r="B813" s="1" t="str">
        <f ca="1">IFERROR(__xludf.dummyfunction("IF(A813="""", """", GOOGLETRANSLATE(A813, ""en"", ""hi""))"),"टोफू मेथी पराठा रेसिपी")</f>
        <v>टोफू मेथी पराठा रेसिपी</v>
      </c>
      <c r="C813" s="1" t="s">
        <v>16424</v>
      </c>
      <c r="D813" s="1" t="s">
        <v>14237</v>
      </c>
      <c r="E813" s="1">
        <v>40</v>
      </c>
      <c r="F813" s="1" t="s">
        <v>34219</v>
      </c>
      <c r="G813" s="1" t="str">
        <f ca="1">IFERROR(__xludf.dummyfunction("IF(F813="""", """", GOOGLETRANSLATE(F813, ""en"", ""hi""))"),"1-1/2 कप गेहूं का आटा, 1/4 कप बाजरा का आटा, 1/4 कप ज्वार का आटा, 1/2 चम्मच नमक, 1 चम्मच सूरजमुखी का तेल, 1 कप टोफू - टुकड़े टुकड़े, 1 चम्मच जीरा पाउडर (जीरा), 2 हरी मिर्च - बारीक कटी हुई, 1 प्याज - बारीक कटा हुआ, 1/2 कप मेथी के पत्ते (मेथी के पत्ते) - बार"&amp;"ीक कटी हुई, नमक - स्वादानुसार")</f>
        <v>1-1/2 कप गेहूं का आटा, 1/4 कप बाजरा का आटा, 1/4 कप ज्वार का आटा, 1/2 चम्मच नमक, 1 चम्मच सूरजमुखी का तेल, 1 कप टोफू - टुकड़े टुकड़े, 1 चम्मच जीरा पाउडर (जीरा), 2 हरी मिर्च - बारीक कटी हुई, 1 प्याज - बारीक कटा हुआ, 1/2 कप मेथी के पत्ते (मेथी के पत्ते) - बारीक कटी हुई, नमक - स्वादानुसार</v>
      </c>
      <c r="H813" s="4" t="s">
        <v>34220</v>
      </c>
      <c r="I813" s="1" t="str">
        <f ca="1">IFERROR(__xludf.dummyfunction("IF(H813="""", """", GOOGLETRANSLATE(H813, ""en"", ""hi""))"),"टोफू मेथी पराठा रेसिपी बनाने के लिए सबसे पहले हम पराठों के लिए आटा गूंथेंगे। एक बड़े कटोरे में गेहूं का आटा और थोड़ा नमक डालें। थोड़ा-थोड़ा पानी डालते हुए नरम, लचीला आटा गूंथ लें। आटे को दो मिनट तक गूंथें जब तक कि आटा चिकना और लचीला न हो जाए। आटे को चिकना"&amp;" करने के लिए फोल्ड प्रेस और गूंदने की गति का प्रयोग करें। इसके बाद हम आटे को कोट करने के लिए एक चम्मच तेल डालेंगे और थोड़ा और गूंथेंगे। आपको ऐसा आटा चाहिए जो नरम चिकना हो और चिपचिपा न हो। इसके बाद हम आटे को 6 बराबर भागों में बांट लेंगे और एक तरफ रख देंगे।"&amp;" जब तक आटा आराम कर रहा है, पराठों के लिए भरावन तैयार करते हैं। एक बड़े कटोरे में टोफू, प्याज, कटी हुई मेथी के पत्ते, हरी मिर्च, जीरा पाउडर और नमक डालें आटे और भरावन के हिस्सों को बांटकर रखने की यह प्रक्रिया आपको यह अनुमान लगाने में मदद करती है कि आप कितने"&amp;" पराठे बना सकते हैं और आपको भरावन की मात्रा कम चाहिए या ज्यादा। पराठे के आटे का एक हिस्सा लें, इसे आटे में लपेटें और चकले पर रखकर दबा कर फैला लें। आटे को लगभग 3 इंच व्यास के गोल आकार में बेल लें और बीच-बीच में आटा छिड़कते रहें ताकि आटा सतह पर न चिपके। इस "&amp;"बेले हुए आटे को एक तरफ रख दें। आटे का दूसरा हिस्सा लें, इसे फिर से आटे में लपेटें और लगभग 3 इंच व्यास के गोल आकार में बेल लें। अब टोफू मेथी पराठा के भरावन के एक हिस्से को गोल आकार में रखें और इसे समान रूप से चारों ओर फैला दें। इसके बाद, आटे का दूसरा बेला "&amp;"हुआ हिस्सा लें और इसे भरावन के ऊपर रखें। किनारों को दबाएं और मोड़ें ताकि भरावन टोफू मेथी पराठा पकाते समय बाहर न आए बचे हुए पराठे के आटे और भरावन के हिस्सों के साथ भी यही प्रक्रिया अपनाएं। अब हम टोफू मेथी पराठा पकाने के अंतिम चरण में पहुँचेंगे, एक कड़ाही क"&amp;"ो मध्यम आँच पर गर्म करें और उसमें भरा हुआ आटा डालें। इसे मध्यम आँच पर लगभग 30 से 45 सेकंड तक पकने दें और पलट दें। इस चरण में एक चम्मच घी या तेल डालें और इसे टोफू मेथी पराठे के चारों ओर फैला दें। दोबारा पलट दें, ताकि टोफू मेथी पराठे का तेल वाला भाग तवे पर "&amp;"पक सके। थोड़ा और घी फैलाएं और पराठे को अंदर से बाहर तक समान रूप से पकाने के लिए तवे पर टोफू मेथी पराठे को दबाते रहें। जब तक पराठा दोनों तरफ से समान रूप से पक कर भूरा और कुरकुरा न हो जाए, तब तक एक-दो बार पलटने की प्रक्रिया करें। सुनिश्चित करें कि आप मध्यम "&amp;"आंच पर पकाएं क्योंकि इससे टोफू मेथी पराठा बाहर से कुरकुरा हो जाता है और फिर भी नरम बनावट रखता है। एक बार टोफू मेथी पराठा पक जाने पर इसे एक प्लेट में निकाल लें और परोसें। टोफू मेथी पराठा रेसिपी को टमाटर प्याज ककड़ी रायता रेसिपी और पिसरना मंगा रेसिपी के साथ"&amp;" नाश्ते, दोपहर के भोजन या रात के खाने के लिए परोसें।")</f>
        <v>टोफू मेथी पराठा रेसिपी बनाने के लिए सबसे पहले हम पराठों के लिए आटा गूंथेंगे। एक बड़े कटोरे में गेहूं का आटा और थोड़ा नमक डालें। थोड़ा-थोड़ा पानी डालते हुए नरम, लचीला आटा गूंथ लें। आटे को दो मिनट तक गूंथें जब तक कि आटा चिकना और लचीला न हो जाए। आटे को चिकना करने के लिए फोल्ड प्रेस और गूंदने की गति का प्रयोग करें। इसके बाद हम आटे को कोट करने के लिए एक चम्मच तेल डालेंगे और थोड़ा और गूंथेंगे। आपको ऐसा आटा चाहिए जो नरम चिकना हो और चिपचिपा न हो। इसके बाद हम आटे को 6 बराबर भागों में बांट लेंगे और एक तरफ रख देंगे। जब तक आटा आराम कर रहा है, पराठों के लिए भरावन तैयार करते हैं। एक बड़े कटोरे में टोफू, प्याज, कटी हुई मेथी के पत्ते, हरी मिर्च, जीरा पाउडर और नमक डालें आटे और भरावन के हिस्सों को बांटकर रखने की यह प्रक्रिया आपको यह अनुमान लगाने में मदद करती है कि आप कितने पराठे बना सकते हैं और आपको भरावन की मात्रा कम चाहिए या ज्यादा। पराठे के आटे का एक हिस्सा लें, इसे आटे में लपेटें और चकले पर रखकर दबा कर फैला लें। आटे को लगभग 3 इंच व्यास के गोल आकार में बेल लें और बीच-बीच में आटा छिड़कते रहें ताकि आटा सतह पर न चिपके। इस बेले हुए आटे को एक तरफ रख दें। आटे का दूसरा हिस्सा लें, इसे फिर से आटे में लपेटें और लगभग 3 इंच व्यास के गोल आकार में बेल लें। अब टोफू मेथी पराठा के भरावन के एक हिस्से को गोल आकार में रखें और इसे समान रूप से चारों ओर फैला दें। इसके बाद, आटे का दूसरा बेला हुआ हिस्सा लें और इसे भरावन के ऊपर रखें। किनारों को दबाएं और मोड़ें ताकि भरावन टोफू मेथी पराठा पकाते समय बाहर न आए बचे हुए पराठे के आटे और भरावन के हिस्सों के साथ भी यही प्रक्रिया अपनाएं। अब हम टोफू मेथी पराठा पकाने के अंतिम चरण में पहुँचेंगे, एक कड़ाही को मध्यम आँच पर गर्म करें और उसमें भरा हुआ आटा डालें। इसे मध्यम आँच पर लगभग 30 से 45 सेकंड तक पकने दें और पलट दें। इस चरण में एक चम्मच घी या तेल डालें और इसे टोफू मेथी पराठे के चारों ओर फैला दें। दोबारा पलट दें, ताकि टोफू मेथी पराठे का तेल वाला भाग तवे पर पक सके। थोड़ा और घी फैलाएं और पराठे को अंदर से बाहर तक समान रूप से पकाने के लिए तवे पर टोफू मेथी पराठे को दबाते रहें। जब तक पराठा दोनों तरफ से समान रूप से पक कर भूरा और कुरकुरा न हो जाए, तब तक एक-दो बार पलटने की प्रक्रिया करें। सुनिश्चित करें कि आप मध्यम आंच पर पकाएं क्योंकि इससे टोफू मेथी पराठा बाहर से कुरकुरा हो जाता है और फिर भी नरम बनावट रखता है। एक बार टोफू मेथी पराठा पक जाने पर इसे एक प्लेट में निकाल लें और परोसें। टोफू मेथी पराठा रेसिपी को टमाटर प्याज ककड़ी रायता रेसिपी और पिसरना मंगा रेसिपी के साथ नाश्ते, दोपहर के भोजन या रात के खाने के लिए परोसें।</v>
      </c>
      <c r="J813" s="3" t="s">
        <v>34221</v>
      </c>
      <c r="L813" s="1" t="s">
        <v>31003</v>
      </c>
    </row>
    <row r="814" spans="1:12" ht="13.8">
      <c r="A814" s="1" t="s">
        <v>34222</v>
      </c>
      <c r="B814" s="1" t="str">
        <f ca="1">IFERROR(__xludf.dummyfunction("IF(A814="""", """", GOOGLETRANSLATE(A814, ""en"", ""hi""))"),"नवाबी मिक्स वेजिटेबल ग्रेवी")</f>
        <v>नवाबी मिक्स वेजिटेबल ग्रेवी</v>
      </c>
      <c r="C814" s="1" t="s">
        <v>145</v>
      </c>
      <c r="D814" s="1" t="s">
        <v>14198</v>
      </c>
      <c r="E814" s="1">
        <v>60</v>
      </c>
      <c r="F814" s="1" t="s">
        <v>34223</v>
      </c>
      <c r="G814" s="1" t="str">
        <f ca="1">IFERROR(__xludf.dummyfunction("IF(F814="""", """", GOOGLETRANSLATE(F814, ""en"", ""hi""))"),"1/2 कप गोभी, 1/4 कप हरी बीन्स - 1 इंच के टुकड़ों में कटी हुई, 1/4 कप गाजर - कटी हुई, 1/4 कप हरी मटर, 1 तेज पत्ता, 3 लौंग, 1 इंच दालचीनी, 1 प्याज - कटा हुआ, 1 टमाटर - कटा हुआ, 1 हरी मिर्च - बीच से कटी हुई, 2 छोटे चम्मच धनिया पाउडर, 1 छोटा चम्मच लाल मिर्च प"&amp;"ाउडर, 1 छोटा चम्मच गरम मसाला पाउडर, धनिया पत्ती - बारीक कटी हुई (गार्निश के लिए), 2 बड़े चम्मच घी, 10 काजू - भिगोए हुए, 1 प्याज - भिगोया हुआ, 1 टमाटर, 3 लहसुन की कलियां, 2 इंच अदरक, 1/2 छोटा चम्मच जीरा")</f>
        <v>1/2 कप गोभी, 1/4 कप हरी बीन्स - 1 इंच के टुकड़ों में कटी हुई, 1/4 कप गाजर - कटी हुई, 1/4 कप हरी मटर, 1 तेज पत्ता, 3 लौंग, 1 इंच दालचीनी, 1 प्याज - कटा हुआ, 1 टमाटर - कटा हुआ, 1 हरी मिर्च - बीच से कटी हुई, 2 छोटे चम्मच धनिया पाउडर, 1 छोटा चम्मच लाल मिर्च पाउडर, 1 छोटा चम्मच गरम मसाला पाउडर, धनिया पत्ती - बारीक कटी हुई (गार्निश के लिए), 2 बड़े चम्मच घी, 10 काजू - भिगोए हुए, 1 प्याज - भिगोया हुआ, 1 टमाटर, 3 लहसुन की कलियां, 2 इंच अदरक, 1/2 छोटा चम्मच जीरा</v>
      </c>
      <c r="H814" s="1" t="s">
        <v>34224</v>
      </c>
      <c r="I814" s="1" t="str">
        <f ca="1">IFERROR(__xludf.dummyfunction("IF(H814="""", """", GOOGLETRANSLATE(H814, ""en"", ""hi""))"),"''नवाबी मिक्स वेजिटेबल बनाने के लिए सबसे पहले काजू और प्याज को 2 मिनट के लिए गर्म पानी में भिगो दें। इसके बाद पानी निथार लें। अब काजू और प्याज को टमाटर, अदरक, लहसुन और जीरा के साथ थोड़े से पानी के साथ पीसकर अलग रख लें। अब एक पैन में घी गर्म करें। इसमें ते"&amp;"जपत्ता, लौंग, दालचीनी डालें और 15 सेकेंड तक पकने दें। अब इसमें प्याज डालें और ब्राउन होने तक पकाएं। अब इसमें टमाटर डालें और कुछ मिनट तक पकाएं। अब इसमें कटी हुई सब्जियां डालकर मिलाएं। अब इसमें धनिया पाउडर, लाल मिर्च पाउडर, गरम मसाला पाउडर डालकर मिलाएं। अब "&amp;"इसमें नमक, 1/2 कप पानी डालें और पैन को हिलाते हुए पकाएं। सब्जियां पक जाने के बाद इसमें पिसा हुआ मसाला डालकर मिलाएं। स्वादानुसार नमक डालें और 10 मिनट तक पकाएं")</f>
        <v>''नवाबी मिक्स वेजिटेबल बनाने के लिए सबसे पहले काजू और प्याज को 2 मिनट के लिए गर्म पानी में भिगो दें। इसके बाद पानी निथार लें। अब काजू और प्याज को टमाटर, अदरक, लहसुन और जीरा के साथ थोड़े से पानी के साथ पीसकर अलग रख लें। अब एक पैन में घी गर्म करें। इसमें तेजपत्ता, लौंग, दालचीनी डालें और 15 सेकेंड तक पकने दें। अब इसमें प्याज डालें और ब्राउन होने तक पकाएं। अब इसमें टमाटर डालें और कुछ मिनट तक पकाएं। अब इसमें कटी हुई सब्जियां डालकर मिलाएं। अब इसमें धनिया पाउडर, लाल मिर्च पाउडर, गरम मसाला पाउडर डालकर मिलाएं। अब इसमें नमक, 1/2 कप पानी डालें और पैन को हिलाते हुए पकाएं। सब्जियां पक जाने के बाद इसमें पिसा हुआ मसाला डालकर मिलाएं। स्वादानुसार नमक डालें और 10 मिनट तक पकाएं</v>
      </c>
      <c r="J814" s="3" t="s">
        <v>34225</v>
      </c>
      <c r="L814" s="1" t="s">
        <v>31003</v>
      </c>
    </row>
    <row r="815" spans="1:12" ht="13.8">
      <c r="A815" s="1" t="s">
        <v>34226</v>
      </c>
      <c r="B815" s="1" t="str">
        <f ca="1">IFERROR(__xludf.dummyfunction("IF(A815="""", """", GOOGLETRANSLATE(A815, ""en"", ""hi""))"),"गुलाब लस्सी रेसिपी")</f>
        <v>गुलाब लस्सी रेसिपी</v>
      </c>
      <c r="C815" s="1" t="s">
        <v>14281</v>
      </c>
      <c r="D815" s="1" t="s">
        <v>14198</v>
      </c>
      <c r="E815" s="1">
        <v>15</v>
      </c>
      <c r="F815" s="1" t="s">
        <v>34227</v>
      </c>
      <c r="G815" s="1" t="str">
        <f ca="1">IFERROR(__xludf.dummyfunction("IF(F815="""", """", GOOGLETRANSLATE(F815, ""en"", ""hi""))"),"2 कप दही, 1 कप ठंडा पानी, 3 बड़े चम्मच चीनी, 2 बड़े चम्मच गुलाब सिरप, बर्फ के टुकड़े - थोड़े से, पिस्ता - थोड़े से")</f>
        <v>2 कप दही, 1 कप ठंडा पानी, 3 बड़े चम्मच चीनी, 2 बड़े चम्मच गुलाब सिरप, बर्फ के टुकड़े - थोड़े से, पिस्ता - थोड़े से</v>
      </c>
      <c r="H815" s="1" t="s">
        <v>34228</v>
      </c>
      <c r="I815" s="1" t="str">
        <f ca="1">IFERROR(__xludf.dummyfunction("IF(H815="""", """", GOOGLETRANSLATE(H815, ""en"", ""hi""))"),"गुलाब लस्सी रेसिपी बनाने के लिए, प्रीति राशि ब्लेंडर के लंबे जार में दही, ठंडा पानी, गुलाब का सिरप, चीनी और कुछ बर्फ के टुकड़े डालें। प्यूरी मोड चालू करें और चिकनी लस्सी बनाने के लिए ब्लेंड करें। चीनी की जाँच करें और यदि आवश्यक हो तो और डालें। गुलाब लस्सी"&amp;" को सर्विंग ग्लास में डालें और ऊपर से कटे हुए पिस्ते छिड़कें और ठंडा परोसें। होली के त्यौहार या किसी विशेष अवसर पर मिर्ची बज्जी और मटर समोसा चाट के साथ अपने दोस्तों और परिवार के साथ गुलाब लस्सी परोसें।")</f>
        <v>गुलाब लस्सी रेसिपी बनाने के लिए, प्रीति राशि ब्लेंडर के लंबे जार में दही, ठंडा पानी, गुलाब का सिरप, चीनी और कुछ बर्फ के टुकड़े डालें। प्यूरी मोड चालू करें और चिकनी लस्सी बनाने के लिए ब्लेंड करें। चीनी की जाँच करें और यदि आवश्यक हो तो और डालें। गुलाब लस्सी को सर्विंग ग्लास में डालें और ऊपर से कटे हुए पिस्ते छिड़कें और ठंडा परोसें। होली के त्यौहार या किसी विशेष अवसर पर मिर्ची बज्जी और मटर समोसा चाट के साथ अपने दोस्तों और परिवार के साथ गुलाब लस्सी परोसें।</v>
      </c>
      <c r="J815" s="3" t="s">
        <v>34229</v>
      </c>
      <c r="L815" s="1" t="s">
        <v>31003</v>
      </c>
    </row>
    <row r="816" spans="1:12" ht="13.8">
      <c r="A816" s="1" t="s">
        <v>34230</v>
      </c>
      <c r="B816" s="1" t="str">
        <f ca="1">IFERROR(__xludf.dummyfunction("IF(A816="""", """", GOOGLETRANSLATE(A816, ""en"", ""hi""))"),"कीमा भिन्डी रेसिपी")</f>
        <v>कीमा भिन्डी रेसिपी</v>
      </c>
      <c r="C816" s="1" t="s">
        <v>429</v>
      </c>
      <c r="D816" s="1" t="s">
        <v>14367</v>
      </c>
      <c r="E816" s="1">
        <v>50</v>
      </c>
      <c r="F816" s="1" t="s">
        <v>34231</v>
      </c>
      <c r="G816" s="1" t="str">
        <f ca="1">IFERROR(__xludf.dummyfunction("IF(F816="""", """", GOOGLETRANSLATE(F816, ""en"", ""hi""))"),"500 ग्राम चिकन - पिसा हुआ, 250 ग्राम भिंडी, 2 प्याज - बारीक कटे हुए, 2 टमाटर - बारीक कटे हुए, 1 बड़ा चम्मच अदरक लहसुन पेस्ट, 1 बड़ा चम्मच कश्मीरी लाल मिर्च पाउडर, 2 छोटे चम्मच धनिया पाउडर, 1 छोटा चम्मच हल्दी पाउडर, 1 छोटा चम्मच जीरा पाउडर - भुना हुआ, 1-1/"&amp;"2 छोटा चम्मच गरम मसाला पाउडर, 2 छोटे चम्मच तेल - + 2 बड़े चम्मच तेल तलने के लिए, हरा धनिया - कटा हुआ, 1 छोटा चम्मच कसूरी मेथी")</f>
        <v>500 ग्राम चिकन - पिसा हुआ, 250 ग्राम भिंडी, 2 प्याज - बारीक कटे हुए, 2 टमाटर - बारीक कटे हुए, 1 बड़ा चम्मच अदरक लहसुन पेस्ट, 1 बड़ा चम्मच कश्मीरी लाल मिर्च पाउडर, 2 छोटे चम्मच धनिया पाउडर, 1 छोटा चम्मच हल्दी पाउडर, 1 छोटा चम्मच जीरा पाउडर - भुना हुआ, 1-1/2 छोटा चम्मच गरम मसाला पाउडर, 2 छोटे चम्मच तेल - + 2 बड़े चम्मच तेल तलने के लिए, हरा धनिया - कटा हुआ, 1 छोटा चम्मच कसूरी मेथी</v>
      </c>
      <c r="H816" s="1" t="s">
        <v>34232</v>
      </c>
      <c r="I816" s="1" t="str">
        <f ca="1">IFERROR(__xludf.dummyfunction("IF(H816="""", """", GOOGLETRANSLATE(H816, ""en"", ""hi""))"),"""कीमा भिंडी रेसिपी बनाने के लिए सबसे पहले सारी सामग्री तैयार करके रख लें। भिंडी को धोकर अच्छे से सुखाकर अलग रख लें। भिंडी के कोने काट लें और फिर उसे काट कर अलग रख लें। अब एक पैन में तेल गर्म करें। उसमें भिंडी डालकर 4 से 5 मिनट तक पकाएं। अब इसे किचन टॉवल "&amp;"पर निकाल कर अलग रख लें। अब उसी पैन में प्याज डालें और उसके नरम होने तक पकाएं। प्याज के नरम होने के बाद उसमें अदरक लहसुन का पेस्ट डालें और 2 से 3 मिनट तक पकाएं। अब टमाटर डालें और टमाटर के नरम होने तक पकाएं। टमाटर के नरम होने के बाद उसमें कश्मीरी लाल मिर्च "&amp;"पाउडर, हल्दी पाउडर, जीरा पाउडर डालें, मिलाएँ और 1 मिनट तक पकाएं। अब चिकन डालें और अच्छे से मिलाएँ। चिकन के पकने तक पकाएं। अब पानी डालें और 2 मिनट तक पकाएं। भिंडी डालकर मिलाएँ। 5 मिनट तक पकाएं। गरम मसाला पाउडर डालें, मिलाएँ और गैस बंद कर दें। कीमा भिंडी रे"&amp;"सिपी को फुल्के और बुरानी रायता के साथ डिनर में सर्व करें।""")</f>
        <v>"कीमा भिंडी रेसिपी बनाने के लिए सबसे पहले सारी सामग्री तैयार करके रख लें। भिंडी को धोकर अच्छे से सुखाकर अलग रख लें। भिंडी के कोने काट लें और फिर उसे काट कर अलग रख लें। अब एक पैन में तेल गर्म करें। उसमें भिंडी डालकर 4 से 5 मिनट तक पकाएं। अब इसे किचन टॉवल पर निकाल कर अलग रख लें। अब उसी पैन में प्याज डालें और उसके नरम होने तक पकाएं। प्याज के नरम होने के बाद उसमें अदरक लहसुन का पेस्ट डालें और 2 से 3 मिनट तक पकाएं। अब टमाटर डालें और टमाटर के नरम होने तक पकाएं। टमाटर के नरम होने के बाद उसमें कश्मीरी लाल मिर्च पाउडर, हल्दी पाउडर, जीरा पाउडर डालें, मिलाएँ और 1 मिनट तक पकाएं। अब चिकन डालें और अच्छे से मिलाएँ। चिकन के पकने तक पकाएं। अब पानी डालें और 2 मिनट तक पकाएं। भिंडी डालकर मिलाएँ। 5 मिनट तक पकाएं। गरम मसाला पाउडर डालें, मिलाएँ और गैस बंद कर दें। कीमा भिंडी रेसिपी को फुल्के और बुरानी रायता के साथ डिनर में सर्व करें।"</v>
      </c>
      <c r="J816" s="3" t="s">
        <v>34233</v>
      </c>
      <c r="L816" s="1" t="s">
        <v>31003</v>
      </c>
    </row>
    <row r="817" spans="1:12" ht="13.8">
      <c r="A817" s="1" t="s">
        <v>34234</v>
      </c>
      <c r="B817" s="1" t="str">
        <f ca="1">IFERROR(__xludf.dummyfunction("IF(A817="""", """", GOOGLETRANSLATE(A817, ""en"", ""hi""))"),"उत्तराखंड मूली थेचुआ रेसिपी (मूली सलाद)")</f>
        <v>उत्तराखंड मूली थेचुआ रेसिपी (मूली सलाद)</v>
      </c>
      <c r="C817" s="1" t="s">
        <v>14207</v>
      </c>
      <c r="D817" s="1" t="s">
        <v>14198</v>
      </c>
      <c r="E817" s="1">
        <v>20</v>
      </c>
      <c r="F817" s="1" t="s">
        <v>34235</v>
      </c>
      <c r="G817" s="1" t="str">
        <f ca="1">IFERROR(__xludf.dummyfunction("IF(F817="""", """", GOOGLETRANSLATE(F817, ""en"", ""hi""))"),"4 मूली - छीलकर कद्दूकस कर लें, 3/4 कप धनिया पत्ता - बारीक कटा हुआ, 4 हरी मिर्च, नमक - स्वादानुसार")</f>
        <v>4 मूली - छीलकर कद्दूकस कर लें, 3/4 कप धनिया पत्ता - बारीक कटा हुआ, 4 हरी मिर्च, नमक - स्वादानुसार</v>
      </c>
      <c r="H817" s="1" t="s">
        <v>34236</v>
      </c>
      <c r="I817" s="1" t="str">
        <f ca="1">IFERROR(__xludf.dummyfunction("IF(H817="""", """", GOOGLETRANSLATE(H817, ""en"", ""hi""))"),"उत्तराखंड मूली थेचुआ रेसिपी (मूली का सलाद) बनाने के लिए ब्लेंडर या अम्मिकल्लू की मदद से ताजा धनिया, हरी मिर्च और नमक डालकर पेस्ट जैसा होने तक पीस लें। मूली को भी कद्दूकस करके तैयार कर लें। एक मिक्सिंग बाउल में कद्दूकस की हुई मूली डालें और धनिया, हरी मिर्च"&amp;" और नमक का पिसा हुआ पेस्ट मिलाएँ। नमक की जाँच करें और ज़रूरत पड़ने पर समायोजित करें। उत्तराखंड मूली थेचुआ रेसिपी (मूली का सलाद) को फुल्का, मूंग दाल डुबका रेसिपी, उबले हुए चावल और कलौंजी गोभी आलू रेसिपी के साथ परोसें।")</f>
        <v>उत्तराखंड मूली थेचुआ रेसिपी (मूली का सलाद) बनाने के लिए ब्लेंडर या अम्मिकल्लू की मदद से ताजा धनिया, हरी मिर्च और नमक डालकर पेस्ट जैसा होने तक पीस लें। मूली को भी कद्दूकस करके तैयार कर लें। एक मिक्सिंग बाउल में कद्दूकस की हुई मूली डालें और धनिया, हरी मिर्च और नमक का पिसा हुआ पेस्ट मिलाएँ। नमक की जाँच करें और ज़रूरत पड़ने पर समायोजित करें। उत्तराखंड मूली थेचुआ रेसिपी (मूली का सलाद) को फुल्का, मूंग दाल डुबका रेसिपी, उबले हुए चावल और कलौंजी गोभी आलू रेसिपी के साथ परोसें।</v>
      </c>
      <c r="J817" s="3" t="s">
        <v>34237</v>
      </c>
      <c r="L817" s="1" t="s">
        <v>31003</v>
      </c>
    </row>
    <row r="818" spans="1:12" ht="13.8">
      <c r="A818" s="1" t="s">
        <v>34238</v>
      </c>
      <c r="B818" s="1" t="str">
        <f ca="1">IFERROR(__xludf.dummyfunction("IF(A818="""", """", GOOGLETRANSLATE(A818, ""en"", ""hi""))"),"दम का मुर्ग (लगन का मुर्ग) रेसिपी")</f>
        <v>दम का मुर्ग (लगन का मुर्ग) रेसिपी</v>
      </c>
      <c r="C818" s="1" t="s">
        <v>145</v>
      </c>
      <c r="D818" s="1" t="s">
        <v>14382</v>
      </c>
      <c r="E818" s="1">
        <v>130</v>
      </c>
      <c r="F818" s="1" t="s">
        <v>34239</v>
      </c>
      <c r="G818" s="1" t="str">
        <f ca="1">IFERROR(__xludf.dummyfunction("IF(F818="""", """", GOOGLETRANSLATE(F818, ""en"", ""hi""))"),"1 किलो चिकन - मध्यम टुकड़ों में कटा हुआ, 4 प्याज - बारीक कटा हुआ, 1 चम्मच अदरक - पेस्ट, 1 चम्मच लहसुन - पेस्ट, 1/2 कप खसखस ​​- पानी में भिगोया हुआ, 1/2 कप काजू - उबाले हुए, 3 हरी मिर्च, सूरजमुखी का तेल - आवश्यकतानुसार, 2 बड़े चम्मच धनिया - कटा हुआ, 1/2 कप"&amp;" दही, 1/2 चम्मच हल्दी पाउडर, 2 चम्मच लाल मिर्च पाउडर, 1-1/2 चम्मच धनिया पाउडर, 2 बड़े चम्मच सरसों का तेल, 1 चम्मच नींबू का रस, 1 चम्मच नमक, 1 चम्मच अदरक लहसुन पेस्ट, 2 तेज पत्ता, 4 इलायची की फली/बीज, 2 बड़ी इलायची, 1 इंच दालचीनी, 1/2 चम्मच अजवाइन, 1 चम्मच"&amp;" जावित्री, 4 लौंग, 4 साबुत काली काली मिर्च")</f>
        <v>1 किलो चिकन - मध्यम टुकड़ों में कटा हुआ, 4 प्याज - बारीक कटा हुआ, 1 चम्मच अदरक - पेस्ट, 1 चम्मच लहसुन - पेस्ट, 1/2 कप खसखस ​​- पानी में भिगोया हुआ, 1/2 कप काजू - उबाले हुए, 3 हरी मिर्च, सूरजमुखी का तेल - आवश्यकतानुसार, 2 बड़े चम्मच धनिया - कटा हुआ, 1/2 कप दही, 1/2 चम्मच हल्दी पाउडर, 2 चम्मच लाल मिर्च पाउडर, 1-1/2 चम्मच धनिया पाउडर, 2 बड़े चम्मच सरसों का तेल, 1 चम्मच नींबू का रस, 1 चम्मच नमक, 1 चम्मच अदरक लहसुन पेस्ट, 2 तेज पत्ता, 4 इलायची की फली/बीज, 2 बड़ी इलायची, 1 इंच दालचीनी, 1/2 चम्मच अजवाइन, 1 चम्मच जावित्री, 4 लौंग, 4 साबुत काली काली मिर्च</v>
      </c>
      <c r="H818" s="1" t="s">
        <v>34240</v>
      </c>
      <c r="I818" s="1" t="str">
        <f ca="1">IFERROR(__xludf.dummyfunction("IF(H818="""", """", GOOGLETRANSLATE(H818, ""en"", ""hi""))"),"दम का मुर्ग बनाने के लिए चिकन को अच्छे से धोकर छान लें। एक मिक्सिंग बाउल में चिकन और मैरिनेड के लिए बताई गई सभी सामग्री डालें। अच्छी तरह से मिलाएँ और बाउल को क्लिंग रैप से ढक दें, 2 से 3 घंटे के लिए फ्रिज में रख दें। एक भारी तले की कड़ाही में तेल गरम करें"&amp;" और सभी खड़े मसाले डालें और उन्हें चटकने दें। अब बारीक कटा हुआ या पिसा हुआ प्याज डालें और कच्ची महक आने तक भूनें। अदरक लहसुन का पेस्ट डालें और सुनहरा होने तक सब कुछ भूनें। अब मैरिनेट किया हुआ चिकन और दही का मिश्रण डालें और आँच तेज़ कर दें ताकि दही पानी छो"&amp;"ड़ दे। जब दही कम होने लगे तो आँच धीमी कर दें और चिकन को ढक्कन से ढककर पकने दें। इसमें 20-30 मिनट लग सकते हैं। इस बीच एक ग्राइंडर जार में भिगोए हुए खसखस ​​और ब्लांच किए हुए काजू लें और चिकना और महीन पेस्ट बनाने के लिए पीस लें। जब चिकन धीमी आँच पर पक जाए तो"&amp;" काजू और खसखस ​​का पेस्ट डालें और अच्छी तरह मिलाएँ। नमक मिलाएँ और थोड़ा पानी डालकर गाढ़ी करी बनाएँ। ढक्कन को ढक दें और चिकन को 7 से 8 मिनट तक पकने दें। गैस बंद कर दें और लगन का मुर्ग को काजू के टुकड़ों और ताजा धनिया से सजाएँ। काजू के टुकड़ों और धनिया से स"&amp;"जा हुआ दम का मुर्ग रूमाली रोटी, मंडई या बटर नान के साथ सबसे अच्छा लगता है।")</f>
        <v>दम का मुर्ग बनाने के लिए चिकन को अच्छे से धोकर छान लें। एक मिक्सिंग बाउल में चिकन और मैरिनेड के लिए बताई गई सभी सामग्री डालें। अच्छी तरह से मिलाएँ और बाउल को क्लिंग रैप से ढक दें, 2 से 3 घंटे के लिए फ्रिज में रख दें। एक भारी तले की कड़ाही में तेल गरम करें और सभी खड़े मसाले डालें और उन्हें चटकने दें। अब बारीक कटा हुआ या पिसा हुआ प्याज डालें और कच्ची महक आने तक भूनें। अदरक लहसुन का पेस्ट डालें और सुनहरा होने तक सब कुछ भूनें। अब मैरिनेट किया हुआ चिकन और दही का मिश्रण डालें और आँच तेज़ कर दें ताकि दही पानी छोड़ दे। जब दही कम होने लगे तो आँच धीमी कर दें और चिकन को ढक्कन से ढककर पकने दें। इसमें 20-30 मिनट लग सकते हैं। इस बीच एक ग्राइंडर जार में भिगोए हुए खसखस ​​और ब्लांच किए हुए काजू लें और चिकना और महीन पेस्ट बनाने के लिए पीस लें। जब चिकन धीमी आँच पर पक जाए तो काजू और खसखस ​​का पेस्ट डालें और अच्छी तरह मिलाएँ। नमक मिलाएँ और थोड़ा पानी डालकर गाढ़ी करी बनाएँ। ढक्कन को ढक दें और चिकन को 7 से 8 मिनट तक पकने दें। गैस बंद कर दें और लगन का मुर्ग को काजू के टुकड़ों और ताजा धनिया से सजाएँ। काजू के टुकड़ों और धनिया से सजा हुआ दम का मुर्ग रूमाली रोटी, मंडई या बटर नान के साथ सबसे अच्छा लगता है।</v>
      </c>
      <c r="J818" s="3" t="s">
        <v>34241</v>
      </c>
      <c r="L818" s="1" t="s">
        <v>31003</v>
      </c>
    </row>
    <row r="819" spans="1:12" ht="13.8">
      <c r="A819" s="1" t="s">
        <v>13931</v>
      </c>
      <c r="B819" s="1" t="str">
        <f ca="1">IFERROR(__xludf.dummyfunction("IF(A819="""", """", GOOGLETRANSLATE(A819, ""en"", ""hi""))"),"दाल पालक")</f>
        <v>दाल पालक</v>
      </c>
      <c r="C819" s="1" t="s">
        <v>429</v>
      </c>
      <c r="D819" s="1" t="s">
        <v>14198</v>
      </c>
      <c r="E819" s="1">
        <v>50</v>
      </c>
      <c r="F819" s="1" t="s">
        <v>34242</v>
      </c>
      <c r="G819" s="1" t="str">
        <f ca="1">IFERROR(__xludf.dummyfunction("IF(F819="""", """", GOOGLETRANSLATE(F819, ""en"", ""hi""))"),"1/2 कप पीली मूंग दाल, 1/2 कप मसूर दाल, 250 ग्राम पालक - बारीक कटा और उबला हुआ, 1 टमाटर - बारीक कटा हुआ, 1 इंच अदरक - कद्दूकस किया हुआ, 1 चम्मच हल्दी पाउडर, 1/2 चम्मच जीरा पाउडर, 1/2 चम्मच गरम मसाला पाउडर, नमक - स्वादानुसार, 1 बड़ा चम्मच घी, 1/2 चम्मच जीरा"&amp;", 2 सूखी लाल मिर्च")</f>
        <v>1/2 कप पीली मूंग दाल, 1/2 कप मसूर दाल, 250 ग्राम पालक - बारीक कटा और उबला हुआ, 1 टमाटर - बारीक कटा हुआ, 1 इंच अदरक - कद्दूकस किया हुआ, 1 चम्मच हल्दी पाउडर, 1/2 चम्मच जीरा पाउडर, 1/2 चम्मच गरम मसाला पाउडर, नमक - स्वादानुसार, 1 बड़ा चम्मच घी, 1/2 चम्मच जीरा, 2 सूखी लाल मिर्च</v>
      </c>
      <c r="H819" s="1" t="s">
        <v>34243</v>
      </c>
      <c r="I819" s="1" t="str">
        <f ca="1">IFERROR(__xludf.dummyfunction("IF(H819="""", """", GOOGLETRANSLATE(H819, ""en"", ""hi""))"),"दाल पालक रेसिपी बनाने के लिए सबसे पहले दाल को 3 कप पानी के साथ प्रेशर कुकर में पका लें। प्रेशर कुकर में दाल पकाने की विधि जानने के लिए यहाँ देखें। पालक को आप प्रेशर कुकर में पका सकते हैं या फिर इसे पैन में हल्का सा तेल डालकर भून सकते हैं। अब प्रेशर कुकर म"&amp;"ें पालक पकाने की विधि बताई गई है, लेकिन अगर आप पैन में पका रहे हैं तो पालक को उसी तरह से दबाते हुए नरम होने तक पकाएँ। अब प्रेशर कुकर में तेल गर्म करें। 10 सेकंड बाद इसमें अदरक, हरी मिर्च, टमाटर, हल्दी पाउडर, जीरा पाउडर, गरम मसाला पाउडर, नमक और पालक डालकर "&amp;"एक सीटी आने तक पकाएँ। सीटी आने के बाद गैस बंद कर दें और कुकर को ठंडे पानी के नीचे रख दें। ताकि कुकर का प्रेशर निकल जाए और पालक ज्यादा न पके और हरा रहे। अब जब दाल और पालक दोनों तैयार हो जाएँ तो पकी हुई दाल को पके हुए पालक में मिलाएँ और चलाएँ। अब दाल पालक क"&amp;"ो उबलने दें। अब तड़का तैयार करें, तड़का लगाने के लिए एक तड़का पैन में एक बड़ा चम्मच घी गर्म करें। फिर इसमें जीरा और सूखा लाल मिर्च डालें मिर्च को अच्छे से भून लें। इस मसाले को दाल पालक में डालें, अच्छे से मिलाएँ और गरमागरम परोसें। दाल पालक बनाने के लिए आप"&amp;" मसूर, मूंग, तूर या चना दाल का इस्तेमाल कर सकते हैं। दाल पालक को सर्दियों में गरमागरम तवा पराठे, पालक रायता और कचुम्बर सलाद के साथ परोसें।")</f>
        <v>दाल पालक रेसिपी बनाने के लिए सबसे पहले दाल को 3 कप पानी के साथ प्रेशर कुकर में पका लें। प्रेशर कुकर में दाल पकाने की विधि जानने के लिए यहाँ देखें। पालक को आप प्रेशर कुकर में पका सकते हैं या फिर इसे पैन में हल्का सा तेल डालकर भून सकते हैं। अब प्रेशर कुकर में पालक पकाने की विधि बताई गई है, लेकिन अगर आप पैन में पका रहे हैं तो पालक को उसी तरह से दबाते हुए नरम होने तक पकाएँ। अब प्रेशर कुकर में तेल गर्म करें। 10 सेकंड बाद इसमें अदरक, हरी मिर्च, टमाटर, हल्दी पाउडर, जीरा पाउडर, गरम मसाला पाउडर, नमक और पालक डालकर एक सीटी आने तक पकाएँ। सीटी आने के बाद गैस बंद कर दें और कुकर को ठंडे पानी के नीचे रख दें। ताकि कुकर का प्रेशर निकल जाए और पालक ज्यादा न पके और हरा रहे। अब जब दाल और पालक दोनों तैयार हो जाएँ तो पकी हुई दाल को पके हुए पालक में मिलाएँ और चलाएँ। अब दाल पालक को उबलने दें। अब तड़का तैयार करें, तड़का लगाने के लिए एक तड़का पैन में एक बड़ा चम्मच घी गर्म करें। फिर इसमें जीरा और सूखा लाल मिर्च डालें मिर्च को अच्छे से भून लें। इस मसाले को दाल पालक में डालें, अच्छे से मिलाएँ और गरमागरम परोसें। दाल पालक बनाने के लिए आप मसूर, मूंग, तूर या चना दाल का इस्तेमाल कर सकते हैं। दाल पालक को सर्दियों में गरमागरम तवा पराठे, पालक रायता और कचुम्बर सलाद के साथ परोसें।</v>
      </c>
      <c r="J819" s="3" t="s">
        <v>34244</v>
      </c>
      <c r="L819" s="1" t="s">
        <v>31003</v>
      </c>
    </row>
    <row r="820" spans="1:12" ht="409.6">
      <c r="A820" s="1" t="s">
        <v>34245</v>
      </c>
      <c r="B820" s="1" t="str">
        <f ca="1">IFERROR(__xludf.dummyfunction("IF(A820="""", """", GOOGLETRANSLATE(A820, ""en"", ""hi""))"),"बैंगन भर्ता रेसिपी - हरी मिर्च और अदरक के साथ स्मोक्ड रोस्टेड बैंगन")</f>
        <v>बैंगन भर्ता रेसिपी - हरी मिर्च और अदरक के साथ स्मोक्ड रोस्टेड बैंगन</v>
      </c>
      <c r="C820" s="1" t="s">
        <v>429</v>
      </c>
      <c r="D820" s="1" t="s">
        <v>14198</v>
      </c>
      <c r="E820" s="1">
        <v>60</v>
      </c>
      <c r="F820" s="1" t="s">
        <v>34246</v>
      </c>
      <c r="G820" s="1" t="str">
        <f ca="1">IFERROR(__xludf.dummyfunction("IF(F820="""", """", GOOGLETRANSLATE(F820, ""en"", ""hi""))"),"1 बैंगन, 2 इंच अदरक - बारीक कटा हुआ, 1 प्याज - बारीक कटा हुआ, 1 टमाटर - बारीक कटा हुआ, 2 हरी मिर्च - बारीक कटी हुई, 1/4 चम्मच हल्दी, 1/2 चम्मच गरम मसाला पाउडर, 1/2 चम्मच धनिया पाउडर, 2 बड़े चम्मच घी, 1 चम्मच लाल मिर्च पाउडर, नमक - स्वादानुसार, 4 टहनी धनिय"&amp;"ा - गार्निश के लिए बारीक कटी हुई")</f>
        <v>1 बैंगन, 2 इंच अदरक - बारीक कटा हुआ, 1 प्याज - बारीक कटा हुआ, 1 टमाटर - बारीक कटा हुआ, 2 हरी मिर्च - बारीक कटी हुई, 1/4 चम्मच हल्दी, 1/2 चम्मच गरम मसाला पाउडर, 1/2 चम्मच धनिया पाउडर, 2 बड़े चम्मच घी, 1 चम्मच लाल मिर्च पाउडर, नमक - स्वादानुसार, 4 टहनी धनिया - गार्निश के लिए बारीक कटी हुई</v>
      </c>
      <c r="H820" s="4" t="s">
        <v>34247</v>
      </c>
      <c r="I820" s="1" t="str">
        <f ca="1">IFERROR(__xludf.dummyfunction("IF(H820="""", """", GOOGLETRANSLATE(H820, ""en"", ""hi""))"),"बैंगन भर्ता रेसिपी बनाने के लिए सबसे पहले सभी सामग्री तैयार कर लें और उन्हें तैयार रख लें। बैंगन को भूनना होगा और इसे दो तरीकों से भुना जा सकता है; ओवन में या गैस की आंच पर। भूनने के लिए ओवन का उपयोग करने की विधि ओवन को 180 डिग्री सेल्सियस पर पहले से गरम "&amp;"कर लें। बैंगन को बेकिंग शीट पर रखें और पहले से गरम ओवन में लगभग 30 मिनट के लिए या जब तक बैंगन नरम न होने लगे और बाहरी त्वचा झुलस न जाए तब तक रखें। जब आप चाकू से अंदर चुभोते हैं, तो आप महसूस कर सकते हैं कि बैंगन नरम हो गया है, अगर नहीं तो पकने तक भूनना जार"&amp;"ी रखें। भूनने के लिए आंच का उपयोग करने की विधि बैंगन को स्टोव की आंच पर रखें, लगातार निगरानी करते रहें, भूनते समय बैंगन को चिमटे से पलटते रहें। लगभग 10 मिनट के बाद आप देखेंगे कि बैंगन की त्वचा जलने लगी है और अंदर से नरम होने लगा है अगर सख्त हो तो पकने तक "&amp;"भूनते रहें। एक बार बैंगन भुन जाए तो उसे ठंडा होने दें। ठंडे हो चुके बैंगन का जला हुआ छिलका उतार कर फेंक दें। गूदे को कांटे से मसल लें या चाकू से बारीक काट लें। एक कड़ाही में मध्यम आंच पर घी गर्म करें। उसमें जीरा डालें और जीरे को चटकने दें। कद्दूकस किया हु"&amp;"आ अदरक और कटा हुआ प्याज डालें, मध्यम आंच पर प्याज के नरम होने तक भूनें। फिर कटे हुए टमाटर, हल्दी पाउडर, हरी मिर्च, धनिया पाउडर, गरम मसाला पाउडर और लाल मिर्च पाउडर डालें। अच्छी तरह मिलाएँ और तब तक भूनें जब तक सभी सामग्री एक साथ न आ जाए और कुछ मिनट के लिए ट"&amp;"माटर नरम और गूदेदार न हो जाएँ। भुने हुए बैंगन और नमक डालकर मिलाएँ। आँच को कम कर दें और बैंगन भर्ता को लगभग 10 मिनट तक पकाएँ जब तक कि अंत में ताजा कटा हुआ धनिया पत्ती से गार्निश करें और गर्मागर्म सर्व करें। अपने परिवार के साथ अपने विशेष सप्ताहांत भोजन का आ"&amp;"नंद लेने के लिए बैंगन भर्ता रेसिपी को गर्म कड़ाही पनीर, दाल मखनी, फुल्का के साथ परोसें।")</f>
        <v>बैंगन भर्ता रेसिपी बनाने के लिए सबसे पहले सभी सामग्री तैयार कर लें और उन्हें तैयार रख लें। बैंगन को भूनना होगा और इसे दो तरीकों से भुना जा सकता है; ओवन में या गैस की आंच पर। भूनने के लिए ओवन का उपयोग करने की विधि ओवन को 180 डिग्री सेल्सियस पर पहले से गरम कर लें। बैंगन को बेकिंग शीट पर रखें और पहले से गरम ओवन में लगभग 30 मिनट के लिए या जब तक बैंगन नरम न होने लगे और बाहरी त्वचा झुलस न जाए तब तक रखें। जब आप चाकू से अंदर चुभोते हैं, तो आप महसूस कर सकते हैं कि बैंगन नरम हो गया है, अगर नहीं तो पकने तक भूनना जारी रखें। भूनने के लिए आंच का उपयोग करने की विधि बैंगन को स्टोव की आंच पर रखें, लगातार निगरानी करते रहें, भूनते समय बैंगन को चिमटे से पलटते रहें। लगभग 10 मिनट के बाद आप देखेंगे कि बैंगन की त्वचा जलने लगी है और अंदर से नरम होने लगा है अगर सख्त हो तो पकने तक भूनते रहें। एक बार बैंगन भुन जाए तो उसे ठंडा होने दें। ठंडे हो चुके बैंगन का जला हुआ छिलका उतार कर फेंक दें। गूदे को कांटे से मसल लें या चाकू से बारीक काट लें। एक कड़ाही में मध्यम आंच पर घी गर्म करें। उसमें जीरा डालें और जीरे को चटकने दें। कद्दूकस किया हुआ अदरक और कटा हुआ प्याज डालें, मध्यम आंच पर प्याज के नरम होने तक भूनें। फिर कटे हुए टमाटर, हल्दी पाउडर, हरी मिर्च, धनिया पाउडर, गरम मसाला पाउडर और लाल मिर्च पाउडर डालें। अच्छी तरह मिलाएँ और तब तक भूनें जब तक सभी सामग्री एक साथ न आ जाए और कुछ मिनट के लिए टमाटर नरम और गूदेदार न हो जाएँ। भुने हुए बैंगन और नमक डालकर मिलाएँ। आँच को कम कर दें और बैंगन भर्ता को लगभग 10 मिनट तक पकाएँ जब तक कि अंत में ताजा कटा हुआ धनिया पत्ती से गार्निश करें और गर्मागर्म सर्व करें। अपने परिवार के साथ अपने विशेष सप्ताहांत भोजन का आनंद लेने के लिए बैंगन भर्ता रेसिपी को गर्म कड़ाही पनीर, दाल मखनी, फुल्का के साथ परोसें।</v>
      </c>
      <c r="J820" s="3" t="s">
        <v>34248</v>
      </c>
      <c r="L820" s="1" t="s">
        <v>31003</v>
      </c>
    </row>
    <row r="821" spans="1:12" ht="13.8">
      <c r="A821" s="1" t="s">
        <v>34249</v>
      </c>
      <c r="B821" s="1" t="str">
        <f ca="1">IFERROR(__xludf.dummyfunction("IF(A821="""", """", GOOGLETRANSLATE(A821, ""en"", ""hi""))"),"कॉर्न और पनीर बेक्ड समोसा रेसिपी")</f>
        <v>कॉर्न और पनीर बेक्ड समोसा रेसिपी</v>
      </c>
      <c r="C821" s="1" t="s">
        <v>14281</v>
      </c>
      <c r="D821" s="1" t="s">
        <v>14198</v>
      </c>
      <c r="E821" s="1">
        <v>45</v>
      </c>
      <c r="F821" s="1" t="s">
        <v>34250</v>
      </c>
      <c r="G821" s="1" t="str">
        <f ca="1">IFERROR(__xludf.dummyfunction("IF(F821="""", """", GOOGLETRANSLATE(F821, ""en"", ""hi""))"),"2 कप मैदा, 1/4 कप घी, नमक - स्वादानुसार, 1 छोटा चम्मच अजवाइन, पानी - गूंथने के लिए, मैदा - छिड़कने के लिए अतिरिक्त, 1 कप पनीर - टुकड़े टुकड़े, 3/4 कप स्वीट कॉर्न, 1 छोटा चम्मच काली मिर्च पाउडर, नमक - स्वादानुसार, 2 टहनी धनिया पत्ती - कटी हुई")</f>
        <v>2 कप मैदा, 1/4 कप घी, नमक - स्वादानुसार, 1 छोटा चम्मच अजवाइन, पानी - गूंथने के लिए, मैदा - छिड़कने के लिए अतिरिक्त, 1 कप पनीर - टुकड़े टुकड़े, 3/4 कप स्वीट कॉर्न, 1 छोटा चम्मच काली मिर्च पाउडर, नमक - स्वादानुसार, 2 टहनी धनिया पत्ती - कटी हुई</v>
      </c>
      <c r="H821" s="1" t="s">
        <v>34251</v>
      </c>
      <c r="I821" s="1" t="str">
        <f ca="1">IFERROR(__xludf.dummyfunction("IF(H821="""", """", GOOGLETRANSLATE(H821, ""en"", ""hi""))"),"कॉर्न और पनीर बेक्ड समोसा रेसिपी बनाने के लिए सबसे पहले आटा गूंथ लें, आटे और नमक को एक साथ अच्छी तरह मिला लें। मक्खन या घी को नरम करें और आटे में मिलाएँ और अपनी उंगलियों का उपयोग करके तब तक मिलाएँ जब तक कि एक टुकड़ा जैसा मिश्रण न मिल जाए। थोड़ा-थोड़ा करके"&amp;" पानी डालकर सख्त आटा गूंथ लें। इसे तब तक गूंथें जब तक आटा एक गेंद के आकार में न आ जाए। आटे को कमरे के तापमान पर गीले कपड़े से ढककर लगभग आधे घंटे के लिए रख दें। जब तक आटा आराम कर रहा हो, सभी भरने की सामग्री को एक साथ मिला लें और एक तरफ रख दें। ओवन को 220 ड"&amp;"िग्री सेल्सियस पर प्रीहीट करें। एक ओवन डिश को 1 बड़ा चम्मच तेल या मक्खन से चिकना करें। समोसे के आटे को 20 गेंदों में विभाजित करें, प्रत्येक का व्यास लगभग 1 इंच हो। एक गेंद लें और कॉर्न और पनीर के मिश्रण से समोसे को आकार दें एक अर्धवृत्ताकार में भरावन भरें"&amp;"। शंकु का आकार दें। किनारों को सील करें। शेष आटे से समोसे को आकार देने और भरने की समान प्रक्रिया को दोहराएँ। समोसे को ग्रीस की हुई ओवन डिश पर रखें और 220 डिग्री सेल्सियस पर 15-20 मिनट तक सुनहरा भूरा होने तक बेक करें या यदि आप चाहें तो उन्हें सुनहरा भूरा ह"&amp;"ोने तक डीप फ्राई करें। कॉर्न और पनीर समोसे को हरी चटनी या खजूर और इमली की चटनी के साथ चाय के समय नाश्ते के रूप में अदरक इलायची चाय के साथ परोसें।")</f>
        <v>कॉर्न और पनीर बेक्ड समोसा रेसिपी बनाने के लिए सबसे पहले आटा गूंथ लें, आटे और नमक को एक साथ अच्छी तरह मिला लें। मक्खन या घी को नरम करें और आटे में मिलाएँ और अपनी उंगलियों का उपयोग करके तब तक मिलाएँ जब तक कि एक टुकड़ा जैसा मिश्रण न मिल जाए। थोड़ा-थोड़ा करके पानी डालकर सख्त आटा गूंथ लें। इसे तब तक गूंथें जब तक आटा एक गेंद के आकार में न आ जाए। आटे को कमरे के तापमान पर गीले कपड़े से ढककर लगभग आधे घंटे के लिए रख दें। जब तक आटा आराम कर रहा हो, सभी भरने की सामग्री को एक साथ मिला लें और एक तरफ रख दें। ओवन को 220 डिग्री सेल्सियस पर प्रीहीट करें। एक ओवन डिश को 1 बड़ा चम्मच तेल या मक्खन से चिकना करें। समोसे के आटे को 20 गेंदों में विभाजित करें, प्रत्येक का व्यास लगभग 1 इंच हो। एक गेंद लें और कॉर्न और पनीर के मिश्रण से समोसे को आकार दें एक अर्धवृत्ताकार में भरावन भरें। शंकु का आकार दें। किनारों को सील करें। शेष आटे से समोसे को आकार देने और भरने की समान प्रक्रिया को दोहराएँ। समोसे को ग्रीस की हुई ओवन डिश पर रखें और 220 डिग्री सेल्सियस पर 15-20 मिनट तक सुनहरा भूरा होने तक बेक करें या यदि आप चाहें तो उन्हें सुनहरा भूरा होने तक डीप फ्राई करें। कॉर्न और पनीर समोसे को हरी चटनी या खजूर और इमली की चटनी के साथ चाय के समय नाश्ते के रूप में अदरक इलायची चाय के साथ परोसें।</v>
      </c>
      <c r="J821" s="3" t="s">
        <v>34252</v>
      </c>
      <c r="L821" s="1" t="s">
        <v>31003</v>
      </c>
    </row>
    <row r="822" spans="1:12" ht="13.8">
      <c r="A822" s="1" t="s">
        <v>34253</v>
      </c>
      <c r="B822" s="1" t="str">
        <f ca="1">IFERROR(__xludf.dummyfunction("IF(A822="""", """", GOOGLETRANSLATE(A822, ""en"", ""hi""))"),"वघारेला रोटली रेसिपी")</f>
        <v>वघारेला रोटली रेसिपी</v>
      </c>
      <c r="C822" s="1" t="s">
        <v>14281</v>
      </c>
      <c r="D822" s="1" t="s">
        <v>14198</v>
      </c>
      <c r="E822" s="1">
        <v>30</v>
      </c>
      <c r="F822" s="1" t="s">
        <v>34254</v>
      </c>
      <c r="G822" s="1" t="str">
        <f ca="1">IFERROR(__xludf.dummyfunction("IF(F822="""", """", GOOGLETRANSLATE(F822, ""en"", ""hi""))"),"2 कप रोटी - छोटे टुकड़ों में कटी हुई, 1/4 छोटा चम्मच राई, 1/4 छोटा चम्मच जीरा, 6 करी पत्ते - बारीक कटे हुए, 1/4 छोटा चम्मच लाल मिर्च पाउडर, 1/4 छोटा चम्मच हल्दी पाउडर, 1/4 छोटा चम्मच हींग, 1 छोटा चम्मच तेल, नमक - स्वादानुसार")</f>
        <v>2 कप रोटी - छोटे टुकड़ों में कटी हुई, 1/4 छोटा चम्मच राई, 1/4 छोटा चम्मच जीरा, 6 करी पत्ते - बारीक कटे हुए, 1/4 छोटा चम्मच लाल मिर्च पाउडर, 1/4 छोटा चम्मच हल्दी पाउडर, 1/4 छोटा चम्मच हींग, 1 छोटा चम्मच तेल, नमक - स्वादानुसार</v>
      </c>
      <c r="H822" s="1" t="s">
        <v>34255</v>
      </c>
      <c r="I822" s="1" t="str">
        <f ca="1">IFERROR(__xludf.dummyfunction("IF(H822="""", """", GOOGLETRANSLATE(H822, ""en"", ""hi""))"),"""वघारेला रोटली रेसिपी बनाने के लिए सबसे पहले एक बड़ा कटोरा लें। इसमें रोटी के टुकड़े, हल्दी पाउडर, करी पत्ता, लाल मिर्च पाउडर, हींग डालकर अच्छी तरह मिलाएँ। अब एक पैन में तेल गरम करें। इसमें राई, जीरा डालें और चटकने दें। चटकने के बाद इसमें रोटी का मिश्रण,"&amp;" स्वादानुसार नमक डालें और अच्छी तरह मिलाएँ। 3 से 4 मिनट तक पकाएँ और गैस बंद कर दें। परोसें। वघारेला रोटली रेसिपी को मसाला चाय के साथ सुबह या शाम के नाश्ते में परोसें।""")</f>
        <v>"वघारेला रोटली रेसिपी बनाने के लिए सबसे पहले एक बड़ा कटोरा लें। इसमें रोटी के टुकड़े, हल्दी पाउडर, करी पत्ता, लाल मिर्च पाउडर, हींग डालकर अच्छी तरह मिलाएँ। अब एक पैन में तेल गरम करें। इसमें राई, जीरा डालें और चटकने दें। चटकने के बाद इसमें रोटी का मिश्रण, स्वादानुसार नमक डालें और अच्छी तरह मिलाएँ। 3 से 4 मिनट तक पकाएँ और गैस बंद कर दें। परोसें। वघारेला रोटली रेसिपी को मसाला चाय के साथ सुबह या शाम के नाश्ते में परोसें।"</v>
      </c>
      <c r="J822" s="3" t="s">
        <v>34256</v>
      </c>
      <c r="L822" s="1" t="s">
        <v>31003</v>
      </c>
    </row>
    <row r="823" spans="1:12" ht="13.8">
      <c r="A823" s="1" t="s">
        <v>34257</v>
      </c>
      <c r="B823" s="1" t="str">
        <f ca="1">IFERROR(__xludf.dummyfunction("IF(A823="""", """", GOOGLETRANSLATE(A823, ""en"", ""hi""))"),"गोभी और सोया कीमा रेसिपी")</f>
        <v>गोभी और सोया कीमा रेसिपी</v>
      </c>
      <c r="C823" s="1" t="s">
        <v>145</v>
      </c>
      <c r="D823" s="1" t="s">
        <v>14198</v>
      </c>
      <c r="E823" s="1">
        <v>40</v>
      </c>
      <c r="F823" s="1" t="s">
        <v>34258</v>
      </c>
      <c r="G823" s="1" t="str">
        <f ca="1">IFERROR(__xludf.dummyfunction("IF(F823="""", """", GOOGLETRANSLATE(F823, ""en"", ""hi""))"),"500 ग्राम फूलगोभी - कद्दूकस की हुई, 1 कप सोया चंक्स, 6 छोटे आलू - छीलकर आधे कटे हुए, 1/2 कप हरी मटर - उबली हुई, 1 प्याज - कटा हुआ, 1 हरी मिर्च - कटी हुई, 1 इंच अदरक, 2 लहसुन की कलियाँ, नमक - स्वादानुसार, 2 बड़े चम्मच घी, 1 छोटा चम्मच लाल मिर्च पाउडर, 2 छो"&amp;"टे चम्मच गरम मसाला पाउडर, 1 छोटा चम्मच हल्दी पाउडर, 1 छोटा चम्मच धनिया पाउडर, 1 तेज पत्ता, 5 धनिया की टहनियाँ - कटी हुई, 1 छोटा चम्मच नींबू का रस")</f>
        <v>500 ग्राम फूलगोभी - कद्दूकस की हुई, 1 कप सोया चंक्स, 6 छोटे आलू - छीलकर आधे कटे हुए, 1/2 कप हरी मटर - उबली हुई, 1 प्याज - कटा हुआ, 1 हरी मिर्च - कटी हुई, 1 इंच अदरक, 2 लहसुन की कलियाँ, नमक - स्वादानुसार, 2 बड़े चम्मच घी, 1 छोटा चम्मच लाल मिर्च पाउडर, 2 छोटे चम्मच गरम मसाला पाउडर, 1 छोटा चम्मच हल्दी पाउडर, 1 छोटा चम्मच धनिया पाउडर, 1 तेज पत्ता, 5 धनिया की टहनियाँ - कटी हुई, 1 छोटा चम्मच नींबू का रस</v>
      </c>
      <c r="H823" s="1" t="s">
        <v>34259</v>
      </c>
      <c r="I823" s="1" t="str">
        <f ca="1">IFERROR(__xludf.dummyfunction("IF(H823="""", """", GOOGLETRANSLATE(H823, ""en"", ""hi""))"),"गोभी और सोया कीमा रेसिपी बनाने के लिए सबसे पहले गोभी को अच्छे से धोकर सुखा लें। चाकू की मदद से हरा हिस्सा काट लें और फिर गोभी को फूड प्रोसेसर में पीस लें या कद्दूकस की मदद से कद्दूकस कर लें। अब एक सॉस पैन में 1 कप पानी गर्म करें। उबाल आने के बाद इसमें सोय"&amp;"ा चंक्स डालकर 1 से 2 मिनट तक पकाएं। गैस बंद कर दें, सोया चंक्स को निकाल कर अलग रख लें। एक पैन में घी गर्म करें। इसमें तेज पत्ता डालकर 10 सेकंड तक पकाएं। अब इसमें प्याज डालें और सुनहरा भूरा होने तक पकाएं। प्याज के सुनहरा भूरा होने के बाद इसमें हरी मिर्च, अ"&amp;"दरक लहसुन का पेस्ट, 1/4 कप पानी डालें और अच्छी तरह से मिलाएं। 2 से 3 मिनट तक पकाएं। अब इसमें आलू, हरी मटर, नमक, हल्दी पाउडर, लाल मिर्च पाउडर, धनिया पाउडर डालें और 5 मिनट तक पकाएं। अब इसमें गोभी, सोया, गरम मसाला डालें और मिलाएं, पैन को ढक दें और धीमी आंच प"&amp;"र 10 से 3 मिनट तक पकाएं। इसे 15 मिनट तक पकने दें। 10 से 15 मिनट बाद इसमें नींबू डालें रस, अच्छी तरह से मिलाएं और धनिया पत्ती से गार्निश करें। गोभी और सोया कीमा रेसिपी को तवा पराठा और टमाटर प्याज ककड़ी रायता के साथ रात के खाने के लिए परोसें।")</f>
        <v>गोभी और सोया कीमा रेसिपी बनाने के लिए सबसे पहले गोभी को अच्छे से धोकर सुखा लें। चाकू की मदद से हरा हिस्सा काट लें और फिर गोभी को फूड प्रोसेसर में पीस लें या कद्दूकस की मदद से कद्दूकस कर लें। अब एक सॉस पैन में 1 कप पानी गर्म करें। उबाल आने के बाद इसमें सोया चंक्स डालकर 1 से 2 मिनट तक पकाएं। गैस बंद कर दें, सोया चंक्स को निकाल कर अलग रख लें। एक पैन में घी गर्म करें। इसमें तेज पत्ता डालकर 10 सेकंड तक पकाएं। अब इसमें प्याज डालें और सुनहरा भूरा होने तक पकाएं। प्याज के सुनहरा भूरा होने के बाद इसमें हरी मिर्च, अदरक लहसुन का पेस्ट, 1/4 कप पानी डालें और अच्छी तरह से मिलाएं। 2 से 3 मिनट तक पकाएं। अब इसमें आलू, हरी मटर, नमक, हल्दी पाउडर, लाल मिर्च पाउडर, धनिया पाउडर डालें और 5 मिनट तक पकाएं। अब इसमें गोभी, सोया, गरम मसाला डालें और मिलाएं, पैन को ढक दें और धीमी आंच पर 10 से 3 मिनट तक पकाएं। इसे 15 मिनट तक पकने दें। 10 से 15 मिनट बाद इसमें नींबू डालें रस, अच्छी तरह से मिलाएं और धनिया पत्ती से गार्निश करें। गोभी और सोया कीमा रेसिपी को तवा पराठा और टमाटर प्याज ककड़ी रायता के साथ रात के खाने के लिए परोसें।</v>
      </c>
      <c r="J823" s="3" t="s">
        <v>34260</v>
      </c>
      <c r="L823" s="1" t="s">
        <v>31003</v>
      </c>
    </row>
    <row r="824" spans="1:12" ht="13.8">
      <c r="A824" s="1" t="s">
        <v>34261</v>
      </c>
      <c r="B824" s="1" t="str">
        <f ca="1">IFERROR(__xludf.dummyfunction("IF(A824="""", """", GOOGLETRANSLATE(A824, ""en"", ""hi""))"),"फ्राइड बार्नयार्ड बाजरा रेसिपी - फ्राइड संवत चावल")</f>
        <v>फ्राइड बार्नयार्ड बाजरा रेसिपी - फ्राइड संवत चावल</v>
      </c>
      <c r="C824" s="1" t="s">
        <v>429</v>
      </c>
      <c r="D824" s="1" t="s">
        <v>14198</v>
      </c>
      <c r="E824" s="1">
        <v>50</v>
      </c>
      <c r="F824" s="1" t="s">
        <v>34262</v>
      </c>
      <c r="G824" s="1" t="str">
        <f ca="1">IFERROR(__xludf.dummyfunction("IF(F824="""", """", GOOGLETRANSLATE(F824, ""en"", ""hi""))"),"1 कप संवत चावल - या व्रत के चावल, 2 बड़े चम्मच घी, 1/2 छोटा चम्मच जीरा, 3 साबुत काली मिर्च, 2 हरी मिर्च - कटी हुई, 1 आलू - छिला हुआ और टुकड़ों में कटा हुआ, 1 टमाटर - कटा हुआ, 1 बड़ा चम्मच धनिया पत्ती, 150 ग्राम पनीर (घर का बना पनीर) - टुकड़ों में कटा हुआ,"&amp;" 1 छोटा चम्मच नींबू का रस, 8 काजू, सेंधा नमक - या सेंधा नमक आवश्यकतानुसार")</f>
        <v>1 कप संवत चावल - या व्रत के चावल, 2 बड़े चम्मच घी, 1/2 छोटा चम्मच जीरा, 3 साबुत काली मिर्च, 2 हरी मिर्च - कटी हुई, 1 आलू - छिला हुआ और टुकड़ों में कटा हुआ, 1 टमाटर - कटा हुआ, 1 बड़ा चम्मच धनिया पत्ती, 150 ग्राम पनीर (घर का बना पनीर) - टुकड़ों में कटा हुआ, 1 छोटा चम्मच नींबू का रस, 8 काजू, सेंधा नमक - या सेंधा नमक आवश्यकतानुसार</v>
      </c>
      <c r="H824" s="1" t="s">
        <v>34263</v>
      </c>
      <c r="I824" s="1" t="str">
        <f ca="1">IFERROR(__xludf.dummyfunction("IF(H824="""", """", GOOGLETRANSLATE(H824, ""en"", ""hi""))"),"संवत चावल को धोकर 20 मिनट के लिए भिगो दें। फ्राइड संवत राइस या बार्नयार्ड मिलेट रेसिपी बनाने के लिए सबसे पहले एक सॉस पैन में 2-1/2 कप पानी गर्म करें और उसमें भिगोया हुआ संवत चावल, कटे हुए आलू और चुटकी भर नमक डालें और तब तक पकाएँ जब तक आपको लगे कि यह ठीक स"&amp;"े पक गया है (मध्यम आँच पर पकाएँ) एक कड़ाही में घी गर्म करें, उसमें जीरा, काली मिर्च, काजू डालें और जीरा चटकने तक भूनें। अब इसमें टमाटर और हरी मिर्च डालकर लगभग 3 से 4 मिनट तक पकाएँ। अब इसमें नमक डालें और धीमी आँच पर कुछ मिनट तक पकाएँ। अब इसमें पका हुआ संवत"&amp;" चावल डालें और अच्छी तरह मिलाएँ। अब आँच बंद कर दें और इसमें नींबू का रस और धनिया पत्ती डालकर अच्छी तरह मिलाएँ गरमागरम परोसें। तले हुए संवत चावल या बरनार्ड बाजरा को पालक मखाना रेसिपी और तड़का रायता के साथ व्रत के भोजन या हल्के डिनर के रूप में परोसें।")</f>
        <v>संवत चावल को धोकर 20 मिनट के लिए भिगो दें। फ्राइड संवत राइस या बार्नयार्ड मिलेट रेसिपी बनाने के लिए सबसे पहले एक सॉस पैन में 2-1/2 कप पानी गर्म करें और उसमें भिगोया हुआ संवत चावल, कटे हुए आलू और चुटकी भर नमक डालें और तब तक पकाएँ जब तक आपको लगे कि यह ठीक से पक गया है (मध्यम आँच पर पकाएँ) एक कड़ाही में घी गर्म करें, उसमें जीरा, काली मिर्च, काजू डालें और जीरा चटकने तक भूनें। अब इसमें टमाटर और हरी मिर्च डालकर लगभग 3 से 4 मिनट तक पकाएँ। अब इसमें नमक डालें और धीमी आँच पर कुछ मिनट तक पकाएँ। अब इसमें पका हुआ संवत चावल डालें और अच्छी तरह मिलाएँ। अब आँच बंद कर दें और इसमें नींबू का रस और धनिया पत्ती डालकर अच्छी तरह मिलाएँ गरमागरम परोसें। तले हुए संवत चावल या बरनार्ड बाजरा को पालक मखाना रेसिपी और तड़का रायता के साथ व्रत के भोजन या हल्के डिनर के रूप में परोसें।</v>
      </c>
      <c r="J824" s="3" t="s">
        <v>34264</v>
      </c>
      <c r="L824" s="1" t="s">
        <v>31003</v>
      </c>
    </row>
    <row r="825" spans="1:12" ht="409.6">
      <c r="A825" s="1" t="s">
        <v>34265</v>
      </c>
      <c r="B825" s="1" t="str">
        <f ca="1">IFERROR(__xludf.dummyfunction("IF(A825="""", """", GOOGLETRANSLATE(A825, ""en"", ""hi""))"),"दम मुर्ग आतिशी रेसिपी - मसालेदार स्मोक्ड चिकन रेसिपी")</f>
        <v>दम मुर्ग आतिशी रेसिपी - मसालेदार स्मोक्ड चिकन रेसिपी</v>
      </c>
      <c r="C825" s="1" t="s">
        <v>429</v>
      </c>
      <c r="D825" s="1" t="s">
        <v>14382</v>
      </c>
      <c r="E825" s="1">
        <v>60</v>
      </c>
      <c r="F825" s="1" t="s">
        <v>34266</v>
      </c>
      <c r="G825" s="1" t="str">
        <f ca="1">IFERROR(__xludf.dummyfunction("IF(F825="""", """", GOOGLETRANSLATE(F825, ""en"", ""hi""))"),"500 ग्राम चिकन - बोनलेस, 1/2 चम्मच अनारदाना पाउडर, 2 चम्मच लाल मिर्च पाउडर, 1 चम्मच जीरा पाउडर, 1 बड़ा चम्मच नींबू का रस, नमक - स्वादानुसार, 1/2 बड़ा चम्मच अदरक लहसुन पेस्ट, 8 साबुत काजू, 1/2 चम्मच खसखस, 1 चम्मच चार मगज, 1/2 चम्मच सौंफ, 4 प्याज - कटे हुए,"&amp;" 4 लहसुन के दाने - कटे हुए, 1 इंच अदरक - कटा हुआ, 1 कप घर का बना टमाटर प्यूरी, 2 बड़े चम्मच घी, 2 सूखी लाल मिर्च, 1/2 चम्मच गरम मसाला पाउडर, 1 चम्मच लाल मिर्च पाउडर, 1 इंच कोयला - दम के लिए, 1/2 कप ताजा क्रीम")</f>
        <v>500 ग्राम चिकन - बोनलेस, 1/2 चम्मच अनारदाना पाउडर, 2 चम्मच लाल मिर्च पाउडर, 1 चम्मच जीरा पाउडर, 1 बड़ा चम्मच नींबू का रस, नमक - स्वादानुसार, 1/2 बड़ा चम्मच अदरक लहसुन पेस्ट, 8 साबुत काजू, 1/2 चम्मच खसखस, 1 चम्मच चार मगज, 1/2 चम्मच सौंफ, 4 प्याज - कटे हुए, 4 लहसुन के दाने - कटे हुए, 1 इंच अदरक - कटा हुआ, 1 कप घर का बना टमाटर प्यूरी, 2 बड़े चम्मच घी, 2 सूखी लाल मिर्च, 1/2 चम्मच गरम मसाला पाउडर, 1 चम्मच लाल मिर्च पाउडर, 1 इंच कोयला - दम के लिए, 1/2 कप ताजा क्रीम</v>
      </c>
      <c r="H825" s="4" t="s">
        <v>34267</v>
      </c>
      <c r="I825" s="1" t="str">
        <f ca="1">IFERROR(__xludf.dummyfunction("IF(H825="""", """", GOOGLETRANSLATE(H825, ""en"", ""hi""))"),"दम मुर्ग आतिशी रेसिपी बनाने के लिए सबसे पहले 1/2 बड़ा चम्मच अदरक लहसुन का पेस्ट, लाल मिर्च पाउडर, नींबू का रस, स्वादानुसार नमक, अनारदाना पाउडर, जीरा पाउडर डालें और सभी चीजों को अच्छे से मिलाएँ। इसके बाद चिकन डालें और मिलाएँ ताकि चिकन मसाले के साथ अच्छी तर"&amp;"ह से मैरीनेट हो जाए। इसे ढककर 3 से 4 घंटे के लिए अलग रख दें। इस बीच एक मिक्सर ग्राइंडर में खसखस, काजू, चार मगज और सौंफ डालें और इसका पेस्ट बना लें। इसे अलग रख दें। एक भारी तले की कड़ाही में तेल गर्म करें। एक बार जब यह गर्म हो जाए, तो अदरक लहसुन और प्याज ड"&amp;"ालें और प्याज के कैरेमलाइज़ होने तक भूनें। एक बार जब यह कैरेमलाइज़ हो जाए, तो इसे पीसकर चिकना पेस्ट बना लें और एक तरफ रख दें। अंतिम चरण दम मुर्ग आतिशी बनाना है। एक पैन में घी और सूखी लाल मिर्च डालें इसमें लगभग 4 से 5 मिनट का समय लगेगा। 4 से 5 मिनट के बाद,"&amp;" बोनलेस मैरीनेट किया हुआ चिकन डालें और इसे लगभग 3 से 4 मिनट तक पकने दें। चिकन के अच्छी तरह पक जाने पर चिकन के मिश्रण में क्रीम मिला दें। 2 मिनट के बाद, आंच बंद कर दें। गैस की आंच पर सीधे कोयला गर्म करें। जब यह लाल हो जाए तो इसे एक छोटे कटोरे में डालें। इस"&amp;" कटोरे को चिकन के भारी तले वाले पैन के बीच में रख दें। कोयले के ऊपर एक चम्मच घी डालें और पैन को ढक दें। कोयले से धुआं निकलेगा और चिकन में धुएं वाला स्वाद आएगा। धुआं कम होने के बाद, कोयले को कटोरे से हटा दें और दम मुर्ग आतिशी को एक सर्विंग बाउल में डालें। "&amp;"दम मुर्ग आतिशी को गार्लिक नान, जीरा राइस, बुरानी रायता और पुदीना प्याज कचुंबर सलाद के साथ सप्ताह के दिनों के भोजन के लिए परोसें।")</f>
        <v>दम मुर्ग आतिशी रेसिपी बनाने के लिए सबसे पहले 1/2 बड़ा चम्मच अदरक लहसुन का पेस्ट, लाल मिर्च पाउडर, नींबू का रस, स्वादानुसार नमक, अनारदाना पाउडर, जीरा पाउडर डालें और सभी चीजों को अच्छे से मिलाएँ। इसके बाद चिकन डालें और मिलाएँ ताकि चिकन मसाले के साथ अच्छी तरह से मैरीनेट हो जाए। इसे ढककर 3 से 4 घंटे के लिए अलग रख दें। इस बीच एक मिक्सर ग्राइंडर में खसखस, काजू, चार मगज और सौंफ डालें और इसका पेस्ट बना लें। इसे अलग रख दें। एक भारी तले की कड़ाही में तेल गर्म करें। एक बार जब यह गर्म हो जाए, तो अदरक लहसुन और प्याज डालें और प्याज के कैरेमलाइज़ होने तक भूनें। एक बार जब यह कैरेमलाइज़ हो जाए, तो इसे पीसकर चिकना पेस्ट बना लें और एक तरफ रख दें। अंतिम चरण दम मुर्ग आतिशी बनाना है। एक पैन में घी और सूखी लाल मिर्च डालें इसमें लगभग 4 से 5 मिनट का समय लगेगा। 4 से 5 मिनट के बाद, बोनलेस मैरीनेट किया हुआ चिकन डालें और इसे लगभग 3 से 4 मिनट तक पकने दें। चिकन के अच्छी तरह पक जाने पर चिकन के मिश्रण में क्रीम मिला दें। 2 मिनट के बाद, आंच बंद कर दें। गैस की आंच पर सीधे कोयला गर्म करें। जब यह लाल हो जाए तो इसे एक छोटे कटोरे में डालें। इस कटोरे को चिकन के भारी तले वाले पैन के बीच में रख दें। कोयले के ऊपर एक चम्मच घी डालें और पैन को ढक दें। कोयले से धुआं निकलेगा और चिकन में धुएं वाला स्वाद आएगा। धुआं कम होने के बाद, कोयले को कटोरे से हटा दें और दम मुर्ग आतिशी को एक सर्विंग बाउल में डालें। दम मुर्ग आतिशी को गार्लिक नान, जीरा राइस, बुरानी रायता और पुदीना प्याज कचुंबर सलाद के साथ सप्ताह के दिनों के भोजन के लिए परोसें।</v>
      </c>
      <c r="J825" s="3" t="s">
        <v>34268</v>
      </c>
      <c r="L825" s="1" t="s">
        <v>31003</v>
      </c>
    </row>
    <row r="826" spans="1:12" ht="13.8">
      <c r="A826" s="1" t="s">
        <v>34269</v>
      </c>
      <c r="B826" s="1" t="str">
        <f ca="1">IFERROR(__xludf.dummyfunction("IF(A826="""", """", GOOGLETRANSLATE(A826, ""en"", ""hi""))"),"पानी पूरी रेसिपी के लिए पूरी -गोलगप्पा/पुचका पूरी रेसिपी")</f>
        <v>पानी पूरी रेसिपी के लिए पूरी -गोलगप्पा/पुचका पूरी रेसिपी</v>
      </c>
      <c r="C826" s="1" t="s">
        <v>14281</v>
      </c>
      <c r="D826" s="1" t="s">
        <v>14198</v>
      </c>
      <c r="E826" s="1">
        <v>50</v>
      </c>
      <c r="F826" s="1" t="s">
        <v>34270</v>
      </c>
      <c r="G826" s="1" t="str">
        <f ca="1">IFERROR(__xludf.dummyfunction("IF(F826="""", """", GOOGLETRANSLATE(F826, ""en"", ""hi""))"),"1 कप सूजी, 1 बड़ा चम्मच मैदा, 1/2 छोटा चम्मच नमक, 1 बड़ा चम्मच सूरजमुखी तेल, 1/4 कप गुनगुना पानी, सूरजमुखी तेल - तलने के लिए")</f>
        <v>1 कप सूजी, 1 बड़ा चम्मच मैदा, 1/2 छोटा चम्मच नमक, 1 बड़ा चम्मच सूरजमुखी तेल, 1/4 कप गुनगुना पानी, सूरजमुखी तेल - तलने के लिए</v>
      </c>
      <c r="H826" s="1" t="s">
        <v>34271</v>
      </c>
      <c r="I826" s="1" t="str">
        <f ca="1">IFERROR(__xludf.dummyfunction("IF(H826="""", """", GOOGLETRANSLATE(H826, ""en"", ""hi""))"),"पानी पूरी के लिए पूरी बनाना शुरू करने के लिए एक बड़े कटोरे में नमक, सूजी रवा और गर्म पानी डालें। सामग्री को तब तक अच्छे से मिलाएं जब तक सूजी रवा सारा पानी सोख न ले। मिश्रण एक गीले टुकड़े की बनावट जैसा होगा। इस मौजूदा नमी के साथ हमें इसे एक चिकने आटे में ग"&amp;"ूंथना होगा। इसके लिए एक बड़ा चम्मच मैदा मिलाएं। यह आटा अतिरिक्त नमी को सोख लेता है और आटे को थोड़ा ग्लूटेन देता है। अधिक आटा मिलाने के प्रलोभन का विरोध करें, इससे पानी पूरी के लिए पूरी की बनावट बदल जाएगी इस आटे को लगभग 10 मिनट तक लगातार अच्छी तरह गूंथ लें"&amp;"। कटोरे के बजाय इसे अपने किचन प्लेटफॉर्म पर गूंथना आसान होगा। सूजी रवा मिश्रण को चिकने आटे की स्थिरता में लाने के लिए आप अपने दोनों हाथों और मांसपेशियों की शक्ति का उपयोग कर सकते हैं यह दृढ़ होना चाहिए, फिर भी चिकना और लचीला होना चाहिए। नोट: खुद समय लें औ"&amp;"र 10 मिनट तक गूंधें, इससे कम नहीं (मुस्कुराते हुए) गूंधने से आटे में ग्लूटेन विकसित होता है और आपके हाथ की गर्मी इसे नरम होने में मदद करती है। यह ग्लूटेन पूरी को तेल में फूलने और कुरकुरी बनाने में मदद करेगा। यह भी ध्यान रखें कि आटा नरम नहीं होना चाहिए, यह"&amp;" मध्यम टाइट होना चाहिए न कि सख्त। इसलिए अच्छी तरह से गूंधने से चिकना खत्म देने में मदद मिलती है। 10 मिनट तक आटे को गूंधने के बाद, 1 बड़ा चम्मच तेल डालें। यह महत्वपूर्ण है कि आप तेल आटा गूंधने के बाद ही डालें और शुरुआत में नहीं। यह आटे को वह कुरकुरापन देगा"&amp;" जो पानी पूरी की पूरी में होना चाहिए। इस पानी पूरी के आटे को और 3 मिनट तक गूंधें (टाइमर चालू करें) आटे को कम से कम 30 मिनट के लिए आराम करने दें। जब आटा 30 मिनट के लिए अच्छी तरह से आराम कर ले, तो आटे को एक बार फिर से 2 मिनट के लिए गूंथ लें (टाइमर चालू करें"&amp;") गूंथने के बाद, हम अब पानी पूरी के लिए पूरी काटने के लिए कुकी कटर या कॉकटेल शेकर के ढक्कन का उपयोग करेंगे। पानी पूरी के लिए पूरी तलने के लिए तेल गरम करें। आटे को 3 छोटे भागों में विभाजित करें। एक भाग को बाहर निकालें और बाकी को ढककर रखें। आटे को एक पतली श"&amp;"ीट में रोल करें और एक कटर का उपयोग करके आटे के गोल बनाएं। मैं इन गोलों को रोलिंग पिन के साथ थोड़ा और रोल करना पसंद करता हूं ताकि यह सुनिश्चित हो सके कि आपको सही मोटाई मिले। पहले से गरम तेल में एक बार में एक पूरी डालते रहें और पूरी को धीमी से मध्यम आंच (ते"&amp;"ज आंच नहीं) पर तब तक तलें जब तक कि वे फूल न जाएं और दोनों तरफ से सुनहरे भूरे रंग की न हो जाएं। नोट: पूरी को सही कुरकुरापन पाने के लिए धीमी से मध्यम आंच पर तलना होगा। जब पूरी सुनहरे भूरे रंग की हो जाएं तो उन्हें अब्सॉर्बेंट पेपर पर निकाल लें। आटे के बाकी ह"&amp;"िस्सों के लिए भी यही प्रक्रिया जारी रखें। इन पूरी को पानी के साथ परोसें और पानी पूरी | गोलगप्पे | पुचका भारत का सबसे प्रसिद्ध स्ट्रीट फूड स्नैक है।")</f>
        <v>पानी पूरी के लिए पूरी बनाना शुरू करने के लिए एक बड़े कटोरे में नमक, सूजी रवा और गर्म पानी डालें। सामग्री को तब तक अच्छे से मिलाएं जब तक सूजी रवा सारा पानी सोख न ले। मिश्रण एक गीले टुकड़े की बनावट जैसा होगा। इस मौजूदा नमी के साथ हमें इसे एक चिकने आटे में गूंथना होगा। इसके लिए एक बड़ा चम्मच मैदा मिलाएं। यह आटा अतिरिक्त नमी को सोख लेता है और आटे को थोड़ा ग्लूटेन देता है। अधिक आटा मिलाने के प्रलोभन का विरोध करें, इससे पानी पूरी के लिए पूरी की बनावट बदल जाएगी इस आटे को लगभग 10 मिनट तक लगातार अच्छी तरह गूंथ लें। कटोरे के बजाय इसे अपने किचन प्लेटफॉर्म पर गूंथना आसान होगा। सूजी रवा मिश्रण को चिकने आटे की स्थिरता में लाने के लिए आप अपने दोनों हाथों और मांसपेशियों की शक्ति का उपयोग कर सकते हैं यह दृढ़ होना चाहिए, फिर भी चिकना और लचीला होना चाहिए। नोट: खुद समय लें और 10 मिनट तक गूंधें, इससे कम नहीं (मुस्कुराते हुए) गूंधने से आटे में ग्लूटेन विकसित होता है और आपके हाथ की गर्मी इसे नरम होने में मदद करती है। यह ग्लूटेन पूरी को तेल में फूलने और कुरकुरी बनाने में मदद करेगा। यह भी ध्यान रखें कि आटा नरम नहीं होना चाहिए, यह मध्यम टाइट होना चाहिए न कि सख्त। इसलिए अच्छी तरह से गूंधने से चिकना खत्म देने में मदद मिलती है। 10 मिनट तक आटे को गूंधने के बाद, 1 बड़ा चम्मच तेल डालें। यह महत्वपूर्ण है कि आप तेल आटा गूंधने के बाद ही डालें और शुरुआत में नहीं। यह आटे को वह कुरकुरापन देगा जो पानी पूरी की पूरी में होना चाहिए। इस पानी पूरी के आटे को और 3 मिनट तक गूंधें (टाइमर चालू करें) आटे को कम से कम 30 मिनट के लिए आराम करने दें। जब आटा 30 मिनट के लिए अच्छी तरह से आराम कर ले, तो आटे को एक बार फिर से 2 मिनट के लिए गूंथ लें (टाइमर चालू करें) गूंथने के बाद, हम अब पानी पूरी के लिए पूरी काटने के लिए कुकी कटर या कॉकटेल शेकर के ढक्कन का उपयोग करेंगे। पानी पूरी के लिए पूरी तलने के लिए तेल गरम करें। आटे को 3 छोटे भागों में विभाजित करें। एक भाग को बाहर निकालें और बाकी को ढककर रखें। आटे को एक पतली शीट में रोल करें और एक कटर का उपयोग करके आटे के गोल बनाएं। मैं इन गोलों को रोलिंग पिन के साथ थोड़ा और रोल करना पसंद करता हूं ताकि यह सुनिश्चित हो सके कि आपको सही मोटाई मिले। पहले से गरम तेल में एक बार में एक पूरी डालते रहें और पूरी को धीमी से मध्यम आंच (तेज आंच नहीं) पर तब तक तलें जब तक कि वे फूल न जाएं और दोनों तरफ से सुनहरे भूरे रंग की न हो जाएं। नोट: पूरी को सही कुरकुरापन पाने के लिए धीमी से मध्यम आंच पर तलना होगा। जब पूरी सुनहरे भूरे रंग की हो जाएं तो उन्हें अब्सॉर्बेंट पेपर पर निकाल लें। आटे के बाकी हिस्सों के लिए भी यही प्रक्रिया जारी रखें। इन पूरी को पानी के साथ परोसें और पानी पूरी | गोलगप्पे | पुचका भारत का सबसे प्रसिद्ध स्ट्रीट फूड स्नैक है।</v>
      </c>
      <c r="J826" s="3" t="s">
        <v>34272</v>
      </c>
      <c r="L826" s="1" t="s">
        <v>31003</v>
      </c>
    </row>
    <row r="827" spans="1:12" ht="13.8">
      <c r="A827" s="1" t="s">
        <v>34273</v>
      </c>
      <c r="B827" s="1" t="str">
        <f ca="1">IFERROR(__xludf.dummyfunction("IF(A827="""", """", GOOGLETRANSLATE(A827, ""en"", ""hi""))"),"मशरूम टिक्का मसाला रेसिपी (मशरूम और शिमला मिर्च मसालेदार टमाटर ग्रेवी में)")</f>
        <v>मशरूम टिक्का मसाला रेसिपी (मशरूम और शिमला मिर्च मसालेदार टमाटर ग्रेवी में)</v>
      </c>
      <c r="C827" s="1" t="s">
        <v>14207</v>
      </c>
      <c r="D827" s="1" t="s">
        <v>14237</v>
      </c>
      <c r="E827" s="1">
        <v>65</v>
      </c>
      <c r="F827" s="1" t="s">
        <v>34274</v>
      </c>
      <c r="G827" s="1" t="str">
        <f ca="1">IFERROR(__xludf.dummyfunction("IF(F827="""", """", GOOGLETRANSLATE(F827, ""en"", ""hi""))"),"1/4 कप दही - या ग्रीक योगर्ट (हंग योगर्ट), 1 चम्मच कश्मीरी लाल मिर्च पाउडर, 1 चम्मच गरम मसाला पाउडर - या किचन किंग मसाला, 1 चम्मच अदरक लहसुन पेस्ट, 1/8 चम्मच हल्दी पाउडर, 1 बड़ा चम्मच बेसन, 1 चम्मच नींबू का रस, 1/2 चम्मच चाट मसाला पाउडर, 2 कप बटन मशरूम - "&amp;"2 टुकड़ों में कटे हुए, 2 चम्मच सूरजमुखी तेल, 1/2 कप हरी बेल मिर्च (शिमला मिर्च) - टुकड़ों में कटी हुई, 1/2 चम्मच जीरा, 2 लौंग, 1/2 इंच दालचीनी पाउडर, 1 इलायची, 1 लहसुन की कली, 1 इंच अदरक, 1/2 कप प्याज - कटा हुआ, 3 हरी मिर्च - या जलापेनोस, 8 काजू, 1 टमाटर,"&amp;" 1 तेज पत्ता, 1 चम्मच गरम मसाला पाउडर, 1 बड़ा चम्मच सूरजमुखी तेल - या घी, नमक - स्वादानुसार, 1 बड़ा चम्मच सूरजमुखी तेल - या घी, कसूरी मेथी (सूखे मेथी के पत्ते) - सजाने के लिए")</f>
        <v>1/4 कप दही - या ग्रीक योगर्ट (हंग योगर्ट), 1 चम्मच कश्मीरी लाल मिर्च पाउडर, 1 चम्मच गरम मसाला पाउडर - या किचन किंग मसाला, 1 चम्मच अदरक लहसुन पेस्ट, 1/8 चम्मच हल्दी पाउडर, 1 बड़ा चम्मच बेसन, 1 चम्मच नींबू का रस, 1/2 चम्मच चाट मसाला पाउडर, 2 कप बटन मशरूम - 2 टुकड़ों में कटे हुए, 2 चम्मच सूरजमुखी तेल, 1/2 कप हरी बेल मिर्च (शिमला मिर्च) - टुकड़ों में कटी हुई, 1/2 चम्मच जीरा, 2 लौंग, 1/2 इंच दालचीनी पाउडर, 1 इलायची, 1 लहसुन की कली, 1 इंच अदरक, 1/2 कप प्याज - कटा हुआ, 3 हरी मिर्च - या जलापेनोस, 8 काजू, 1 टमाटर, 1 तेज पत्ता, 1 चम्मच गरम मसाला पाउडर, 1 बड़ा चम्मच सूरजमुखी तेल - या घी, नमक - स्वादानुसार, 1 बड़ा चम्मच सूरजमुखी तेल - या घी, कसूरी मेथी (सूखे मेथी के पत्ते) - सजाने के लिए</v>
      </c>
      <c r="H827" s="1" t="s">
        <v>34275</v>
      </c>
      <c r="I827" s="1" t="str">
        <f ca="1">IFERROR(__xludf.dummyfunction("IF(H827="""", """", GOOGLETRANSLATE(H827, ""en"", ""hi""))"),"मशरूम टिक्का मसाला रेसिपी (मशरूम और शिमला मिर्च मसालेदार टमाटर की ग्रेवी में) बनाने के लिए, सभी सामग्री तैयार कर लें और मशरूम को मैरीनेट करना शुरू करें। एक बड़े मिक्सिंग बाउल में मशरूम को छोड़कर सभी मैरीनेड सामग्री डालें। अच्छी तरह मिलाएँ, स्वाद चखें और अ"&amp;"पने स्वाद के अनुसार मसाले और नमक डालें। कटे हुए मशरूम डालें और अच्छी तरह मिलाएँ ताकि मशरूम मैरीनेड से समान रूप से कोट हो जाएँ। एक क्लिंग रैप या प्लेट से ढककर लगभग 30 मिनट से एक घंटे के लिए फ्रिज में रख दें। टिक्का मसाला पेस्ट तैयार करना: एक कढ़ाई में 2 बड"&amp;"़े चम्मच तेल गर्म करें और गर्म होने पर उसमें लौंग, जीरा, दालचीनी और हरी इलायची डालें। कुछ सेकंड के लिए भूनें। कटा हुआ प्याज, हरी मिर्च, अदरक, लहसुन और काजू डालें; अब उसी सॉस पैन में लगभग 2 चम्मच तेल डालकर गर्म करें। तेल गर्म हो जाए तो इसमें मैरीनेट किया ह"&amp;"ुआ मशरूम डालें (अगर बाउल में मैरीनेट किया हुआ मशरूम बचा है तो इसे न डालें, आप इसे बाद में टिक्का मसाला ग्रेवी में मिला सकते हैं) और मध्यम आंच पर लगातार हिलाते हुए भूनें। जब मशरूम मुरझाने लगेगा तो उसमें से पानी निकलने लगेगा। लगातार चलाते रहें। जब ज़्यादातर"&amp;" नमी निकल जाए, तो इसमें कटे हुए शिमला मिर्च डालें और कुछ मिनट तक फिर से भूनें जब तक कि मिश्रण अच्छी तरह से भुन न जाए। इस अवस्था में, आँच बंद कर दें और भुने हुए मशरूम और शिमला मिर्च को एक तरफ़ रख दें। एक गहरी कड़ाही में 1 बड़ा चम्मच तेल/घी गरम करें, उसमें "&amp;"तेज़ पत्ता डालें और टमाटर-प्याज़-काजू का पेस्ट डालकर चलाएँ। कुछ सेकंड के लिए भूनें; बाकी मसाले डालें; धनिया पाउडर, गरम मसाला पाउडर, हल्दी पाउडर और स्वादानुसार नमक (याद रखें, ग्रिल्ड मशरूम में भी नमक होता है, इसलिए उसी हिसाब से डालें); इसे अच्छी तरह से चला"&amp;"एँ। लगभग 1 कप पानी डालें (ब्लेंडर जार को धोएँ और यह पानी भी डालें), अच्छी तरह मिलाएँ और मध्यम तेज़ आँच पर उबाल लें। ग्रेवी की स्थिरता को इस हिसाब से समायोजित करें कि आप इसे कितना पतला या गाढ़ा बनाना चाहते हैं। इस स्तर पर, यदि आपके पास कोई बचा हुआ मैरिनेड "&amp;"है, तो आप उसे भी जोड़ सकते हैं। एक बार जब यह उबलने लगे, तो आँच को कम कर दें और इसमें सॉते किए हुए मशरूम और शिमला मिर्च का मिश्रण मिलाएँ। अच्छी तरह मिलाएँ, नमक को समायोजित करें और मध्यम आँच पर तब तक गरम करें जब तक कि मिश्रण गर्म न हो जाए; लगभग 2 से 3 मिनट।"&amp;" आँच से उतारें, कुचले हुए कसूरी मेथी के पत्तों/धनिया पत्तों से गार्निश करें और पुदीना तवा पराठा या बटर गार्लिक नान रेसिपी और भरमा बैंगन और प्याज़ की सब्ज़ी रेसिपी (प्याज़ के साथ मसालेदार भरवां बैंगन) के साथ गरमागरम परोसें। आप इसे उबले हुए बासमती चावल के स"&amp;"ाथ भी परोस सकते हैं।")</f>
        <v>मशरूम टिक्का मसाला रेसिपी (मशरूम और शिमला मिर्च मसालेदार टमाटर की ग्रेवी में) बनाने के लिए, सभी सामग्री तैयार कर लें और मशरूम को मैरीनेट करना शुरू करें। एक बड़े मिक्सिंग बाउल में मशरूम को छोड़कर सभी मैरीनेड सामग्री डालें। अच्छी तरह मिलाएँ, स्वाद चखें और अपने स्वाद के अनुसार मसाले और नमक डालें। कटे हुए मशरूम डालें और अच्छी तरह मिलाएँ ताकि मशरूम मैरीनेड से समान रूप से कोट हो जाएँ। एक क्लिंग रैप या प्लेट से ढककर लगभग 30 मिनट से एक घंटे के लिए फ्रिज में रख दें। टिक्का मसाला पेस्ट तैयार करना: एक कढ़ाई में 2 बड़े चम्मच तेल गर्म करें और गर्म होने पर उसमें लौंग, जीरा, दालचीनी और हरी इलायची डालें। कुछ सेकंड के लिए भूनें। कटा हुआ प्याज, हरी मिर्च, अदरक, लहसुन और काजू डालें; अब उसी सॉस पैन में लगभग 2 चम्मच तेल डालकर गर्म करें। तेल गर्म हो जाए तो इसमें मैरीनेट किया हुआ मशरूम डालें (अगर बाउल में मैरीनेट किया हुआ मशरूम बचा है तो इसे न डालें, आप इसे बाद में टिक्का मसाला ग्रेवी में मिला सकते हैं) और मध्यम आंच पर लगातार हिलाते हुए भूनें। जब मशरूम मुरझाने लगेगा तो उसमें से पानी निकलने लगेगा। लगातार चलाते रहें। जब ज़्यादातर नमी निकल जाए, तो इसमें कटे हुए शिमला मिर्च डालें और कुछ मिनट तक फिर से भूनें जब तक कि मिश्रण अच्छी तरह से भुन न जाए। इस अवस्था में, आँच बंद कर दें और भुने हुए मशरूम और शिमला मिर्च को एक तरफ़ रख दें। एक गहरी कड़ाही में 1 बड़ा चम्मच तेल/घी गरम करें, उसमें तेज़ पत्ता डालें और टमाटर-प्याज़-काजू का पेस्ट डालकर चलाएँ। कुछ सेकंड के लिए भूनें; बाकी मसाले डालें; धनिया पाउडर, गरम मसाला पाउडर, हल्दी पाउडर और स्वादानुसार नमक (याद रखें, ग्रिल्ड मशरूम में भी नमक होता है, इसलिए उसी हिसाब से डालें); इसे अच्छी तरह से चलाएँ। लगभग 1 कप पानी डालें (ब्लेंडर जार को धोएँ और यह पानी भी डालें), अच्छी तरह मिलाएँ और मध्यम तेज़ आँच पर उबाल लें। ग्रेवी की स्थिरता को इस हिसाब से समायोजित करें कि आप इसे कितना पतला या गाढ़ा बनाना चाहते हैं। इस स्तर पर, यदि आपके पास कोई बचा हुआ मैरिनेड है, तो आप उसे भी जोड़ सकते हैं। एक बार जब यह उबलने लगे, तो आँच को कम कर दें और इसमें सॉते किए हुए मशरूम और शिमला मिर्च का मिश्रण मिलाएँ। अच्छी तरह मिलाएँ, नमक को समायोजित करें और मध्यम आँच पर तब तक गरम करें जब तक कि मिश्रण गर्म न हो जाए; लगभग 2 से 3 मिनट। आँच से उतारें, कुचले हुए कसूरी मेथी के पत्तों/धनिया पत्तों से गार्निश करें और पुदीना तवा पराठा या बटर गार्लिक नान रेसिपी और भरमा बैंगन और प्याज़ की सब्ज़ी रेसिपी (प्याज़ के साथ मसालेदार भरवां बैंगन) के साथ गरमागरम परोसें। आप इसे उबले हुए बासमती चावल के साथ भी परोस सकते हैं।</v>
      </c>
      <c r="J827" s="3" t="s">
        <v>34276</v>
      </c>
      <c r="L827" s="1" t="s">
        <v>31003</v>
      </c>
    </row>
    <row r="828" spans="1:12" ht="13.8">
      <c r="A828" s="1" t="s">
        <v>34277</v>
      </c>
      <c r="B828" s="1" t="str">
        <f ca="1">IFERROR(__xludf.dummyfunction("IF(A828="""", """", GOOGLETRANSLATE(A828, ""en"", ""hi""))"),"मूंग पनीर कचौरी")</f>
        <v>मूंग पनीर कचौरी</v>
      </c>
      <c r="C828" s="1" t="s">
        <v>14281</v>
      </c>
      <c r="D828" s="1" t="s">
        <v>14198</v>
      </c>
      <c r="E828" s="1">
        <v>40</v>
      </c>
      <c r="F828" s="1" t="s">
        <v>34278</v>
      </c>
      <c r="G828" s="1" t="str">
        <f ca="1">IFERROR(__xludf.dummyfunction("IF(F828="""", """", GOOGLETRANSLATE(F828, ""en"", ""hi""))"),"1/2 कप गेहूं का आटा, 1/2 कप मैदा, 1/4 कप ओट्स, 2 बड़े चम्मच तेल, नमक - स्वादानुसार, 1 कप अंकुरित मूंग - उबला हुआ, 1/2 कप शकरकंद - उबला हुआ, 1/4 कप मोजरेला चीज़, नमक - स्वादानुसार, 1 छोटा चम्मच चिली फ्लेक्स, 1 छोटा चम्मच मिक्स हर्ब्स")</f>
        <v>1/2 कप गेहूं का आटा, 1/2 कप मैदा, 1/4 कप ओट्स, 2 बड़े चम्मच तेल, नमक - स्वादानुसार, 1 कप अंकुरित मूंग - उबला हुआ, 1/2 कप शकरकंद - उबला हुआ, 1/4 कप मोजरेला चीज़, नमक - स्वादानुसार, 1 छोटा चम्मच चिली फ्लेक्स, 1 छोटा चम्मच मिक्स हर्ब्स</v>
      </c>
      <c r="H828" s="1" t="s">
        <v>34279</v>
      </c>
      <c r="I828" s="1" t="str">
        <f ca="1">IFERROR(__xludf.dummyfunction("IF(H828="""", """", GOOGLETRANSLATE(H828, ""en"", ""hi""))"),"""मूंग पनीर कचौरी बनाने के लिए सबसे पहले कचौरी के आटे की सारी सामग्री जैसे गेहूं का आटा, मैदा, ओट्स और नमक, तेल को मिलाकर आटा गूंथ लें। इसमें अंकुरित मूंग, मिश्री, चिली फ्लेक्स, मिक्स हर्ब्स और नमक डालकर मिला लें। और बॉल्स बना लें। बॉल्स के बीच में मोजरेल"&amp;"ा चीज़ भरकर तैयार कर लें। आटे को मध्यम आकार की पूरी में बेल लें। बीच में स्टफिंग बॉल्स रखें और चारों कोनों को बंद करके कचौरी का आकार दें। अब एक पैन में तेल गर्म करें। इसमें कचौरी डालें और दोनों तरफ से सुनहरा होने तक पकाएं। गरमागरम सर्व करें। मूंग पनीर कचौ"&amp;"री को धनिया पुदीना चटनी और मीठी इमली की चटनी के साथ सर्व करें।""")</f>
        <v>"मूंग पनीर कचौरी बनाने के लिए सबसे पहले कचौरी के आटे की सारी सामग्री जैसे गेहूं का आटा, मैदा, ओट्स और नमक, तेल को मिलाकर आटा गूंथ लें। इसमें अंकुरित मूंग, मिश्री, चिली फ्लेक्स, मिक्स हर्ब्स और नमक डालकर मिला लें। और बॉल्स बना लें। बॉल्स के बीच में मोजरेला चीज़ भरकर तैयार कर लें। आटे को मध्यम आकार की पूरी में बेल लें। बीच में स्टफिंग बॉल्स रखें और चारों कोनों को बंद करके कचौरी का आकार दें। अब एक पैन में तेल गर्म करें। इसमें कचौरी डालें और दोनों तरफ से सुनहरा होने तक पकाएं। गरमागरम सर्व करें। मूंग पनीर कचौरी को धनिया पुदीना चटनी और मीठी इमली की चटनी के साथ सर्व करें।"</v>
      </c>
      <c r="J828" s="3" t="s">
        <v>34280</v>
      </c>
      <c r="L828" s="1" t="s">
        <v>31003</v>
      </c>
    </row>
    <row r="829" spans="1:12" ht="13.8">
      <c r="A829" s="1" t="s">
        <v>34281</v>
      </c>
      <c r="B829" s="1" t="str">
        <f ca="1">IFERROR(__xludf.dummyfunction("IF(A829="""", """", GOOGLETRANSLATE(A829, ""en"", ""hi""))"),"चुकंदर, आलू और अमरंथ के पत्तों की सब्जी रेसिपी")</f>
        <v>चुकंदर, आलू और अमरंथ के पत्तों की सब्जी रेसिपी</v>
      </c>
      <c r="C829" s="1" t="s">
        <v>14207</v>
      </c>
      <c r="D829" s="1" t="s">
        <v>14198</v>
      </c>
      <c r="E829" s="1">
        <v>45</v>
      </c>
      <c r="F829" s="1" t="s">
        <v>34282</v>
      </c>
      <c r="G829" s="1" t="str">
        <f ca="1">IFERROR(__xludf.dummyfunction("IF(F829="""", """", GOOGLETRANSLATE(F829, ""en"", ""hi""))"),"2 चुकंदर - कद्दूकस किया हुआ, 10 छोटे आलू, 1 कप हरी चौलाई के पत्ते - कटे हुए, 1 प्याज - कटा हुआ, 3 लहसुन के दाने - बारीक कटा हुआ, 2 हरी मिर्च - कटी हुई, 1 छोटा चम्मच सरसों के दाने, 1 छोटा चम्मच जीरा, 1 चुटकी एसएसपी हींग, 1/4 छोटा चम्मच हल्दी, 1/2 छोटा चम्म"&amp;"च लाल मिर्च पाउडर, 2 छोटा चम्मच धनिया पाउडर, 1 छोटा चम्मच गरम मसाला पाउडर, नमक - स्वादानुसार, 2 छोटा चम्मच सरसों का तेल")</f>
        <v>2 चुकंदर - कद्दूकस किया हुआ, 10 छोटे आलू, 1 कप हरी चौलाई के पत्ते - कटे हुए, 1 प्याज - कटा हुआ, 3 लहसुन के दाने - बारीक कटा हुआ, 2 हरी मिर्च - कटी हुई, 1 छोटा चम्मच सरसों के दाने, 1 छोटा चम्मच जीरा, 1 चुटकी एसएसपी हींग, 1/4 छोटा चम्मच हल्दी, 1/2 छोटा चम्मच लाल मिर्च पाउडर, 2 छोटा चम्मच धनिया पाउडर, 1 छोटा चम्मच गरम मसाला पाउडर, नमक - स्वादानुसार, 2 छोटा चम्मच सरसों का तेल</v>
      </c>
      <c r="H829" s="1" t="s">
        <v>34283</v>
      </c>
      <c r="I829" s="1" t="str">
        <f ca="1">IFERROR(__xludf.dummyfunction("IF(H829="""", """", GOOGLETRANSLATE(H829, ""en"", ""hi""))"),"चुकंदर, आलू और चौलाई के पत्तों की सब्जी बनाने के लिए सबसे पहले बेबी पोटैटो को पानी में 2 सीटी आने तक पकाएं। प्रेशर को अपने आप निकलने दें और फिर ढक्कन खोलें और आलू को छील लें। एक तरफ रख दें। एक कढ़ाई गर्म करें और उसमें थोड़ा तेल डालें। तेल गर्म हो जाने पर "&amp;"उसमें राई, हींग, जीरा डालें और कुछ सेकेंड के लिए उसे फूटने दें। जीरा फूटने के बाद उसमें लहसुन, हरी मिर्च और प्याज डालें और प्याज के नरम होने तक भूनें। प्याज के नरम हो जाने पर उसमें बेबी पोटैटो डालें और दो मिनट तक भूनें। अब उसमें मसाला, हल्दी, धनिया पाउडर,"&amp;" लाल मिर्च पाउडर डालें और अच्छी तरह मिलाएँ। जब मसाला आलू में अच्छी तरह मिल जाए तो उसमें कद्दूकस किया हुआ चुकंदर, स्वादानुसार नमक डालें और मिलाएँ। चौलाई के पत्ते डालें और सारी चीजों को अच्छी तरह मिलाएँ। पैन को ढक्कन से बंद करें और तब तक पकाएँ जब तक पत्ते औ"&amp;"र चुकंदर लगभग पक न जाएँ। ढक्कन खोलें और गरम मसाला डालकर तब तक पकाएं जब तक चुकंदर और अमरंथ के पत्ते पक न जाएं। आंच बंद कर दें और चुकंदर, आलू और अमरंथ के पत्तों की सब्जी को एक सर्विंग बाउल में डालें। चुकंदर, आलू और अमरंथ के पत्तों की सब्जी को फुल्का, हरी मू"&amp;"ंग दाल मखनी और शकरकंद और हरी बीन सलाद के साथ परोसें, ताकि यह एक स्वादिष्ट और समृद्ध भोजन बन सके।")</f>
        <v>चुकंदर, आलू और चौलाई के पत्तों की सब्जी बनाने के लिए सबसे पहले बेबी पोटैटो को पानी में 2 सीटी आने तक पकाएं। प्रेशर को अपने आप निकलने दें और फिर ढक्कन खोलें और आलू को छील लें। एक तरफ रख दें। एक कढ़ाई गर्म करें और उसमें थोड़ा तेल डालें। तेल गर्म हो जाने पर उसमें राई, हींग, जीरा डालें और कुछ सेकेंड के लिए उसे फूटने दें। जीरा फूटने के बाद उसमें लहसुन, हरी मिर्च और प्याज डालें और प्याज के नरम होने तक भूनें। प्याज के नरम हो जाने पर उसमें बेबी पोटैटो डालें और दो मिनट तक भूनें। अब उसमें मसाला, हल्दी, धनिया पाउडर, लाल मिर्च पाउडर डालें और अच्छी तरह मिलाएँ। जब मसाला आलू में अच्छी तरह मिल जाए तो उसमें कद्दूकस किया हुआ चुकंदर, स्वादानुसार नमक डालें और मिलाएँ। चौलाई के पत्ते डालें और सारी चीजों को अच्छी तरह मिलाएँ। पैन को ढक्कन से बंद करें और तब तक पकाएँ जब तक पत्ते और चुकंदर लगभग पक न जाएँ। ढक्कन खोलें और गरम मसाला डालकर तब तक पकाएं जब तक चुकंदर और अमरंथ के पत्ते पक न जाएं। आंच बंद कर दें और चुकंदर, आलू और अमरंथ के पत्तों की सब्जी को एक सर्विंग बाउल में डालें। चुकंदर, आलू और अमरंथ के पत्तों की सब्जी को फुल्का, हरी मूंग दाल मखनी और शकरकंद और हरी बीन सलाद के साथ परोसें, ताकि यह एक स्वादिष्ट और समृद्ध भोजन बन सके।</v>
      </c>
      <c r="J829" s="3" t="s">
        <v>34284</v>
      </c>
      <c r="L829" s="1" t="s">
        <v>31003</v>
      </c>
    </row>
    <row r="830" spans="1:12" ht="13.8">
      <c r="A830" s="1" t="s">
        <v>34285</v>
      </c>
      <c r="B830" s="1" t="str">
        <f ca="1">IFERROR(__xludf.dummyfunction("IF(A830="""", """", GOOGLETRANSLATE(A830, ""en"", ""hi""))"),"राजमा सागवाला (सूखी राजमा और पालक स्टर फ्राई) रेसिपी")</f>
        <v>राजमा सागवाला (सूखी राजमा और पालक स्टर फ्राई) रेसिपी</v>
      </c>
      <c r="C830" s="1" t="s">
        <v>145</v>
      </c>
      <c r="D830" s="1" t="s">
        <v>14198</v>
      </c>
      <c r="E830" s="1">
        <v>35</v>
      </c>
      <c r="F830" s="1" t="s">
        <v>34286</v>
      </c>
      <c r="G830" s="1" t="str">
        <f ca="1">IFERROR(__xludf.dummyfunction("IF(F830="""", """", GOOGLETRANSLATE(F830, ""en"", ""hi""))"),"1 कप राजमा - उबला हुआ, 2 कप पालक - कटा हुआ, सूरजमुखी तेल - आवश्यकतानुसार, 1 छोटा चम्मच जीरा, 1 प्याज - बारीक कटा हुआ, 5 लहसुन - कलियाँ, 1 हरी मिर्च - बारीक कटी हुई, 1/4 छोटा चम्मच हल्दी, 1/2 छोटा चम्मच गरम मसाला पाउडर, हींग - चुटकी भर, नमक - स्वादानुसार")</f>
        <v>1 कप राजमा - उबला हुआ, 2 कप पालक - कटा हुआ, सूरजमुखी तेल - आवश्यकतानुसार, 1 छोटा चम्मच जीरा, 1 प्याज - बारीक कटा हुआ, 5 लहसुन - कलियाँ, 1 हरी मिर्च - बारीक कटी हुई, 1/4 छोटा चम्मच हल्दी, 1/2 छोटा चम्मच गरम मसाला पाउडर, हींग - चुटकी भर, नमक - स्वादानुसार</v>
      </c>
      <c r="H830" s="1" t="s">
        <v>34287</v>
      </c>
      <c r="I830" s="1" t="str">
        <f ca="1">IFERROR(__xludf.dummyfunction("IF(H830="""", """", GOOGLETRANSLATE(H830, ""en"", ""hi""))"),"राजमा सागवाला रेसिपी बनाने के लिए सबसे पहले रातभर भिगोए हुए राजमा को प्रेशर कुकर में दो सीटी आने तक पकाएं और अलग रख दें। अब मध्यम आंच पर एक कड़ाही गर्म करें, उसमें तेल डालें, जीरा और एक चुटकी हींग डालकर चटकने दें। बारीक कटा हुआ लहसुन डालें और खुशबू आने तक"&amp;" भूनें। बारीक कटा प्याज और हरी मिर्च डालें और प्याज के पारदर्शी होने तक पकाएं। मोटा कटा हुआ पालक और पका हुआ राजमा डालें और इसे चलाएं। अब हल्दी, गरम मसाला पाउडर डालें और नमक डालकर अच्छी तरह मिला लें। सब्जी को मध्यम आंच पर 10 मिनट तक पकने दें, बीच-बीच में ह"&amp;"िलाते रहें। हो जाने पर आंच बंद कर दें और यह परोसने के लिए तैयार है। राजमा सागवाला को राबोडी की सब्जी और गेहूं के लच्छा पराठों के साथ साइड डिश के रूप में परोसें")</f>
        <v>राजमा सागवाला रेसिपी बनाने के लिए सबसे पहले रातभर भिगोए हुए राजमा को प्रेशर कुकर में दो सीटी आने तक पकाएं और अलग रख दें। अब मध्यम आंच पर एक कड़ाही गर्म करें, उसमें तेल डालें, जीरा और एक चुटकी हींग डालकर चटकने दें। बारीक कटा हुआ लहसुन डालें और खुशबू आने तक भूनें। बारीक कटा प्याज और हरी मिर्च डालें और प्याज के पारदर्शी होने तक पकाएं। मोटा कटा हुआ पालक और पका हुआ राजमा डालें और इसे चलाएं। अब हल्दी, गरम मसाला पाउडर डालें और नमक डालकर अच्छी तरह मिला लें। सब्जी को मध्यम आंच पर 10 मिनट तक पकने दें, बीच-बीच में हिलाते रहें। हो जाने पर आंच बंद कर दें और यह परोसने के लिए तैयार है। राजमा सागवाला को राबोडी की सब्जी और गेहूं के लच्छा पराठों के साथ साइड डिश के रूप में परोसें</v>
      </c>
      <c r="J830" s="3" t="s">
        <v>34288</v>
      </c>
      <c r="L830" s="1" t="s">
        <v>31003</v>
      </c>
    </row>
    <row r="831" spans="1:12" ht="13.8">
      <c r="A831" s="1" t="s">
        <v>34289</v>
      </c>
      <c r="B831" s="1" t="str">
        <f ca="1">IFERROR(__xludf.dummyfunction("IF(A831="""", """", GOOGLETRANSLATE(A831, ""en"", ""hi""))"),"बूंदी और हरे प्याज की सब्जी")</f>
        <v>बूंदी और हरे प्याज की सब्जी</v>
      </c>
      <c r="C831" s="1" t="s">
        <v>145</v>
      </c>
      <c r="D831" s="1" t="s">
        <v>14198</v>
      </c>
      <c r="E831" s="1">
        <v>20</v>
      </c>
      <c r="F831" s="1" t="s">
        <v>34290</v>
      </c>
      <c r="G831" s="1" t="str">
        <f ca="1">IFERROR(__xludf.dummyfunction("IF(F831="""", """", GOOGLETRANSLATE(F831, ""en"", ""hi""))"),"8 हरी प्याज की पत्तियां - कटी हुई, 1 कप बूंदी, 2 हरी मिर्च - बारीक कटी हुई, तेल - आवश्यकतानुसार, 1 छोटा चम्मच जीरा, 1/4 छोटा चम्मच हींग, 1 बड़ा चम्मच लहसुन - पेस्ट, 1/2 बड़ा चम्मच हल्दी पाउडर, 1 बड़ा चम्मच धनिया पाउडर, 1 बड़ा चम्मच लाल मिर्च पाउडर, 1/4 बड"&amp;"़ा चम्मच गरम मसाला पाउडर, 1/2 कप नारियल पाउडर, नमक - स्वादानुसार, 1/2 कप टमाटर - कटे हुए, 1/4 कप पानी, 1/2 छोटा चम्मच अमचूर")</f>
        <v>8 हरी प्याज की पत्तियां - कटी हुई, 1 कप बूंदी, 2 हरी मिर्च - बारीक कटी हुई, तेल - आवश्यकतानुसार, 1 छोटा चम्मच जीरा, 1/4 छोटा चम्मच हींग, 1 बड़ा चम्मच लहसुन - पेस्ट, 1/2 बड़ा चम्मच हल्दी पाउडर, 1 बड़ा चम्मच धनिया पाउडर, 1 बड़ा चम्मच लाल मिर्च पाउडर, 1/4 बड़ा चम्मच गरम मसाला पाउडर, 1/2 कप नारियल पाउडर, नमक - स्वादानुसार, 1/2 कप टमाटर - कटे हुए, 1/4 कप पानी, 1/2 छोटा चम्मच अमचूर</v>
      </c>
      <c r="H831" s="1" t="s">
        <v>34291</v>
      </c>
      <c r="I831" s="1" t="str">
        <f ca="1">IFERROR(__xludf.dummyfunction("IF(H831="""", """", GOOGLETRANSLATE(H831, ""en"", ""hi""))"),"""बूंदी और हरे प्याज की सब्ज़ी बनाने के लिए सबसे पहले एक पैन में तेल गर्म करें। उसमें जीरा और हींग डालकर 10 सेकंड तक पकाएँ। अब उसमें लहसुन का पेस्ट डालें और 2 मिनट तक पकाएँ। नारियल पाउडर डालें और 30 सेकंड तक पकाएँ। अब उसमें हल्दी पाउडर, धनिया पाउडर, लाल म"&amp;"िर्च पाउडर, गरम मसाला पाउडर और नमक डालें। अब उसमें हरे प्याज के पत्ते डालें और 3 से 4 मिनट तक पकाएँ। इसके बाद टमाटर और थोड़ा पानी डालें। 1 मिनट और पकाएँ। अब उसमें अमचूर पाउडर डालकर मिलाएँ। ऊपर से बूंदी डालें। इसे मिलाएँ नहीं और पैन को ढक दें। बूंदी के नरम"&amp;" होने तक पकाएँ। परोसें। बूंदी और हरे प्याज की सब्ज़ी को लहसुन की दाल और फुल्के के साथ लंच में परोसें।""")</f>
        <v>"बूंदी और हरे प्याज की सब्ज़ी बनाने के लिए सबसे पहले एक पैन में तेल गर्म करें। उसमें जीरा और हींग डालकर 10 सेकंड तक पकाएँ। अब उसमें लहसुन का पेस्ट डालें और 2 मिनट तक पकाएँ। नारियल पाउडर डालें और 30 सेकंड तक पकाएँ। अब उसमें हल्दी पाउडर, धनिया पाउडर, लाल मिर्च पाउडर, गरम मसाला पाउडर और नमक डालें। अब उसमें हरे प्याज के पत्ते डालें और 3 से 4 मिनट तक पकाएँ। इसके बाद टमाटर और थोड़ा पानी डालें। 1 मिनट और पकाएँ। अब उसमें अमचूर पाउडर डालकर मिलाएँ। ऊपर से बूंदी डालें। इसे मिलाएँ नहीं और पैन को ढक दें। बूंदी के नरम होने तक पकाएँ। परोसें। बूंदी और हरे प्याज की सब्ज़ी को लहसुन की दाल और फुल्के के साथ लंच में परोसें।"</v>
      </c>
      <c r="J831" s="3" t="s">
        <v>34292</v>
      </c>
      <c r="L831" s="1" t="s">
        <v>31003</v>
      </c>
    </row>
    <row r="832" spans="1:12" ht="409.6">
      <c r="A832" s="1" t="s">
        <v>34293</v>
      </c>
      <c r="B832" s="1" t="str">
        <f ca="1">IFERROR(__xludf.dummyfunction("IF(A832="""", """", GOOGLETRANSLATE(A832, ""en"", ""hi""))"),"चिकन करी विद स्वीट पोटैटो रेसिपी")</f>
        <v>चिकन करी विद स्वीट पोटैटो रेसिपी</v>
      </c>
      <c r="C832" s="1" t="s">
        <v>429</v>
      </c>
      <c r="D832" s="1" t="s">
        <v>14382</v>
      </c>
      <c r="E832" s="1">
        <v>70</v>
      </c>
      <c r="F832" s="1" t="s">
        <v>34294</v>
      </c>
      <c r="G832" s="1" t="str">
        <f ca="1">IFERROR(__xludf.dummyfunction("IF(F832="""", """", GOOGLETRANSLATE(F832, ""en"", ""hi""))"),"250 ग्राम चिकन - हड्डियों सहित टुकड़ों में कटा हुआ, 2 शकरकंद - कटे हुए, 5 धनिया पत्ते - बारीक कटे हुए, 1/2 कप दही, नमक - आवश्यकतानुसार, 1 चम्मच हल्दी पाउडर, 1 चम्मच लाल मिर्च पाउडर, 1 चम्मच सूरजमुखी तेल, 1 प्याज - पतले कटा हुआ, 6 लहसुन के दाने - बारीक कटे"&amp;" हुए, 2 इंच अदरक - कद्दूकस किया हुआ, 1 हरी मिर्च - बारीक कटी हुई, 1/2 कप घर का बना टमाटर प्यूरी, 3 साबुत काली मिर्च, 3 लौंग, 1 इंच दालचीनी, 1 चम्मच जीरा, 1 चम्मच धनिया के बीज, 2 ब्यादगी सूखी मिर्च")</f>
        <v>250 ग्राम चिकन - हड्डियों सहित टुकड़ों में कटा हुआ, 2 शकरकंद - कटे हुए, 5 धनिया पत्ते - बारीक कटे हुए, 1/2 कप दही, नमक - आवश्यकतानुसार, 1 चम्मच हल्दी पाउडर, 1 चम्मच लाल मिर्च पाउडर, 1 चम्मच सूरजमुखी तेल, 1 प्याज - पतले कटा हुआ, 6 लहसुन के दाने - बारीक कटे हुए, 2 इंच अदरक - कद्दूकस किया हुआ, 1 हरी मिर्च - बारीक कटी हुई, 1/2 कप घर का बना टमाटर प्यूरी, 3 साबुत काली मिर्च, 3 लौंग, 1 इंच दालचीनी, 1 चम्मच जीरा, 1 चम्मच धनिया के बीज, 2 ब्यादगी सूखी मिर्च</v>
      </c>
      <c r="H832" s="4" t="s">
        <v>34295</v>
      </c>
      <c r="I832" s="1" t="str">
        <f ca="1">IFERROR(__xludf.dummyfunction("IF(H832="""", """", GOOGLETRANSLATE(H832, ""en"", ""hi""))"),"शकरकंद के साथ चिकन करी रेसिपी बनाने के लिए सबसे पहले चिकन के टुकड़ों को अच्छी तरह से धो लें। आलू को छीलकर छोटे टुकड़ों में काट लें। चिकन को मैरीनेट करने के लिए एक मिक्सिंग बाउल में चिकन और आलू के टुकड़ों को दही, नमक, हल्दी पाउडर और लाल मिर्च पाउडर के साथ "&amp;"मिलाएं। अच्छी तरह मिलाएं और एक तरफ रख दें। एक मध्यम कड़ाही में मसाला - काली मिर्च, लौंग, ब्यादगी मिर्च, धनिया के बीज, जीरा और दालचीनी डालें। मध्यम आंच पर इन्हें अच्छी खुशबू छोड़ने तक भूनें। इसे ठंडा होने दें और पीसकर मुलायम पाउडर बना लें। उसी कड़ाही में ए"&amp;"क और चम्मच तेल डालें। जब यह गर्म हो जाए तो करी पत्ता डालें। जब करी पत्ता फूटने लगे तो इसमें पतले कटे प्याज डालें ओट्स और लगभग 1-1/2 कप पानी डालें, स्वादानुसार नमक मिलाएँ। ढककर तब तक पकने दें जब तक चिकन अच्छी तरह पक न जाए। पक जाने के बाद, आँच बंद कर दें, क"&amp;"टा हुआ हरा धनिया मिलाएँ और परोसें। चिकन करी विद स्वीट पोटैटो लच्छा पराठा, जीरा राइस और लच्छेदार ककड़ी प्याज कचुम्बर रेसिपी के साथ बहुत अच्छी लगती है।")</f>
        <v>शकरकंद के साथ चिकन करी रेसिपी बनाने के लिए सबसे पहले चिकन के टुकड़ों को अच्छी तरह से धो लें। आलू को छीलकर छोटे टुकड़ों में काट लें। चिकन को मैरीनेट करने के लिए एक मिक्सिंग बाउल में चिकन और आलू के टुकड़ों को दही, नमक, हल्दी पाउडर और लाल मिर्च पाउडर के साथ मिलाएं। अच्छी तरह मिलाएं और एक तरफ रख दें। एक मध्यम कड़ाही में मसाला - काली मिर्च, लौंग, ब्यादगी मिर्च, धनिया के बीज, जीरा और दालचीनी डालें। मध्यम आंच पर इन्हें अच्छी खुशबू छोड़ने तक भूनें। इसे ठंडा होने दें और पीसकर मुलायम पाउडर बना लें। उसी कड़ाही में एक और चम्मच तेल डालें। जब यह गर्म हो जाए तो करी पत्ता डालें। जब करी पत्ता फूटने लगे तो इसमें पतले कटे प्याज डालें ओट्स और लगभग 1-1/2 कप पानी डालें, स्वादानुसार नमक मिलाएँ। ढककर तब तक पकने दें जब तक चिकन अच्छी तरह पक न जाए। पक जाने के बाद, आँच बंद कर दें, कटा हुआ हरा धनिया मिलाएँ और परोसें। चिकन करी विद स्वीट पोटैटो लच्छा पराठा, जीरा राइस और लच्छेदार ककड़ी प्याज कचुम्बर रेसिपी के साथ बहुत अच्छी लगती है।</v>
      </c>
      <c r="J832" s="3" t="s">
        <v>34296</v>
      </c>
      <c r="L832" s="1" t="s">
        <v>31003</v>
      </c>
    </row>
    <row r="833" spans="1:12" ht="13.8">
      <c r="A833" s="1" t="s">
        <v>32465</v>
      </c>
      <c r="B833" s="1" t="str">
        <f ca="1">IFERROR(__xludf.dummyfunction("IF(A833="""", """", GOOGLETRANSLATE(A833, ""en"", ""hi""))"),"चुकंदर और अंजीर की चटनी रेसिपी")</f>
        <v>चुकंदर और अंजीर की चटनी रेसिपी</v>
      </c>
      <c r="C833" s="1" t="s">
        <v>14207</v>
      </c>
      <c r="D833" s="1" t="s">
        <v>14198</v>
      </c>
      <c r="E833" s="1">
        <v>35</v>
      </c>
      <c r="F833" s="1" t="s">
        <v>34297</v>
      </c>
      <c r="G833" s="1" t="str">
        <f ca="1">IFERROR(__xludf.dummyfunction("IF(F833="""", """", GOOGLETRANSLATE(F833, ""en"", ""hi""))"),"1 कप ताजा अंजीर - चौथाई टुकड़ों में कटा हुआ, 1 कप चुकंदर - कसा हुआ, 1 चम्मच अजवाइन, 1 चम्मच जायफल, 2 चम्मच लाल मिर्च पाउडर, 4 लहसुन की कलियाँ - कटी हुई, 3 हरी मिर्च - कटी हुई")</f>
        <v>1 कप ताजा अंजीर - चौथाई टुकड़ों में कटा हुआ, 1 कप चुकंदर - कसा हुआ, 1 चम्मच अजवाइन, 1 चम्मच जायफल, 2 चम्मच लाल मिर्च पाउडर, 4 लहसुन की कलियाँ - कटी हुई, 3 हरी मिर्च - कटी हुई</v>
      </c>
      <c r="H833" s="1" t="s">
        <v>34298</v>
      </c>
      <c r="I833" s="1" t="str">
        <f ca="1">IFERROR(__xludf.dummyfunction("IF(H833="""", """", GOOGLETRANSLATE(H833, ""en"", ""hi""))"),"हम चुकंदर और अंजीर की चटनी रेसिपी बनाना शुरू करते हैं एक सॉस पैन में तेल गर्म करके। कुछ अजवाइन के बीज चटकाएँ। फिर कटा हुआ लहसुन डालें। कुछ मिनट के लिए भूनें। चुकंदर और अंजीर डालें। 20 मिनट के लिए भूनें। जायफल पाउडर, लाल मिर्च पाउडर, हरी मिर्च डालें और ¼ क"&amp;"प पानी डालें और सब्ज़ी पकने तक पकाएँ। चुकंदर और अंजीर की चटनी रेसिपी को भरवां पराठे के साथ परोसें")</f>
        <v>हम चुकंदर और अंजीर की चटनी रेसिपी बनाना शुरू करते हैं एक सॉस पैन में तेल गर्म करके। कुछ अजवाइन के बीज चटकाएँ। फिर कटा हुआ लहसुन डालें। कुछ मिनट के लिए भूनें। चुकंदर और अंजीर डालें। 20 मिनट के लिए भूनें। जायफल पाउडर, लाल मिर्च पाउडर, हरी मिर्च डालें और ¼ कप पानी डालें और सब्ज़ी पकने तक पकाएँ। चुकंदर और अंजीर की चटनी रेसिपी को भरवां पराठे के साथ परोसें</v>
      </c>
      <c r="J833" s="3" t="s">
        <v>34299</v>
      </c>
      <c r="L833" s="1" t="s">
        <v>31003</v>
      </c>
    </row>
    <row r="834" spans="1:12" ht="13.8">
      <c r="A834" s="1" t="s">
        <v>34300</v>
      </c>
      <c r="B834" s="1" t="str">
        <f ca="1">IFERROR(__xludf.dummyfunction("IF(A834="""", """", GOOGLETRANSLATE(A834, ""en"", ""hi""))"),"अचारी पनीर रेसिपी - मसालेदार अचारी पनीर ग्रेवी")</f>
        <v>अचारी पनीर रेसिपी - मसालेदार अचारी पनीर ग्रेवी</v>
      </c>
      <c r="C834" s="1" t="s">
        <v>145</v>
      </c>
      <c r="D834" s="1" t="s">
        <v>14237</v>
      </c>
      <c r="E834" s="1">
        <v>60</v>
      </c>
      <c r="F834" s="1" t="s">
        <v>34301</v>
      </c>
      <c r="G834" s="1" t="str">
        <f ca="1">IFERROR(__xludf.dummyfunction("IF(F834="""", """", GOOGLETRANSLATE(F834, ""en"", ""hi""))"),"200 ग्राम पनीर, 1 बड़ा चम्मच सूरजमुखी तेल, 2 प्याज - कटा हुआ, 3 लहसुन लौंग, 1 इंच अदरक, 2 बड़े चम्मच पचरंगा अचार - मसाला के साथ, 1 चम्मच सौंफ, 1 चम्मच लाल मिर्च पाउडर, 1 चम्मच हल्दी पाउडर (हल्दी), 1/2 चम्मच धनिया पाउडर (धनिया), 1/2 चम्मच गरम मसाला पाउडर, "&amp;"पानी - आवश्यकतानुसार, 1-1/2 कप घर का बना टमाटर प्यूरी, 1 चम्मच शहद, नमक - स्वादानुसार, 1/4 कप ताजा क्रीम, 1/4 बड़ा चम्मच कसूरी मेथी (सूखी मेथी के पत्ते)")</f>
        <v>200 ग्राम पनीर, 1 बड़ा चम्मच सूरजमुखी तेल, 2 प्याज - कटा हुआ, 3 लहसुन लौंग, 1 इंच अदरक, 2 बड़े चम्मच पचरंगा अचार - मसाला के साथ, 1 चम्मच सौंफ, 1 चम्मच लाल मिर्च पाउडर, 1 चम्मच हल्दी पाउडर (हल्दी), 1/2 चम्मच धनिया पाउडर (धनिया), 1/2 चम्मच गरम मसाला पाउडर, पानी - आवश्यकतानुसार, 1-1/2 कप घर का बना टमाटर प्यूरी, 1 चम्मच शहद, नमक - स्वादानुसार, 1/4 कप ताजा क्रीम, 1/4 बड़ा चम्मच कसूरी मेथी (सूखी मेथी के पत्ते)</v>
      </c>
      <c r="H834" s="1" t="s">
        <v>34302</v>
      </c>
      <c r="I834" s="1" t="str">
        <f ca="1">IFERROR(__xludf.dummyfunction("IF(H834="""", """", GOOGLETRANSLATE(H834, ""en"", ""hi""))"),"अचारी पनीर रेसिपी बनाने के लिए सबसे पहले सभी सामग्री को पीसकर पेस्ट बना लें - प्याज, अदरक, लहसुन, पचरंगा अचार और सौंफ। एक पैन में तेल गर्म करें, पिसा हुआ पेस्ट डालें और तब तक भूनें जब तक कि कच्ची महक चली न जाए और तेल अलग न होने लगे। इसमें लगभग 3 से 4 मिनट"&amp;" का समय लगेगा। लाल मिर्च पाउडर, हल्दी पाउडर, धनिया पाउडर और गरम मसाला डालें और मसाले में भूनें। टमाटर प्यूरी, नमक, शहद और क्रीम डालकर चलाएँ। इसे तेज़ उबालें। अंत में पनीर को अचारी मसाले में मिलाएँ। आप अपनी पसंद के अनुसार ज़रूरत पड़ने पर थोड़ा पानी मिला सक"&amp;"ते हैं और अचारी पनीर मसाले को लगभग 4 से 5 मिनट तक पकाएँ ताकि फ्लेवर मसाले में अच्छी तरह मिल जाए। एक बार हो जाने पर, अचारी पनीर को कसूरी मेथी के पत्तों से गार्निश करें, स्वाद की जांच करें और नमक और मसालों को तदनुसार समायोजित करें और परोसें। सप्ताहांत के दो"&amp;"पहर के भोजन के लिए अचारी पनीर को पूरे गेहूं के लच्छा पराठा या जीरा चावल, लौकी रायता और सेब मावा खीर के साथ परोसें।")</f>
        <v>अचारी पनीर रेसिपी बनाने के लिए सबसे पहले सभी सामग्री को पीसकर पेस्ट बना लें - प्याज, अदरक, लहसुन, पचरंगा अचार और सौंफ। एक पैन में तेल गर्म करें, पिसा हुआ पेस्ट डालें और तब तक भूनें जब तक कि कच्ची महक चली न जाए और तेल अलग न होने लगे। इसमें लगभग 3 से 4 मिनट का समय लगेगा। लाल मिर्च पाउडर, हल्दी पाउडर, धनिया पाउडर और गरम मसाला डालें और मसाले में भूनें। टमाटर प्यूरी, नमक, शहद और क्रीम डालकर चलाएँ। इसे तेज़ उबालें। अंत में पनीर को अचारी मसाले में मिलाएँ। आप अपनी पसंद के अनुसार ज़रूरत पड़ने पर थोड़ा पानी मिला सकते हैं और अचारी पनीर मसाले को लगभग 4 से 5 मिनट तक पकाएँ ताकि फ्लेवर मसाले में अच्छी तरह मिल जाए। एक बार हो जाने पर, अचारी पनीर को कसूरी मेथी के पत्तों से गार्निश करें, स्वाद की जांच करें और नमक और मसालों को तदनुसार समायोजित करें और परोसें। सप्ताहांत के दोपहर के भोजन के लिए अचारी पनीर को पूरे गेहूं के लच्छा पराठा या जीरा चावल, लौकी रायता और सेब मावा खीर के साथ परोसें।</v>
      </c>
      <c r="J834" s="3" t="s">
        <v>34303</v>
      </c>
      <c r="L834" s="1" t="s">
        <v>31003</v>
      </c>
    </row>
    <row r="835" spans="1:12" ht="13.8">
      <c r="A835" s="1" t="s">
        <v>34304</v>
      </c>
      <c r="B835" s="1" t="str">
        <f ca="1">IFERROR(__xludf.dummyfunction("IF(A835="""", """", GOOGLETRANSLATE(A835, ""en"", ""hi""))"),"सेव पूरी रेसिपी (पापड़ी चाट) - भारतीय स्ट्रीट फूड शाम का नाश्ता")</f>
        <v>सेव पूरी रेसिपी (पापड़ी चाट) - भारतीय स्ट्रीट फूड शाम का नाश्ता</v>
      </c>
      <c r="C835" s="1" t="s">
        <v>14281</v>
      </c>
      <c r="D835" s="1" t="s">
        <v>14198</v>
      </c>
      <c r="E835" s="1">
        <v>35</v>
      </c>
      <c r="F835" s="1" t="s">
        <v>34305</v>
      </c>
      <c r="G835" s="1" t="str">
        <f ca="1">IFERROR(__xludf.dummyfunction("IF(F835="""", """", GOOGLETRANSLATE(F835, ""en"", ""hi""))"),"20 पापड़ी पूरियां - (चपटी कुरकुरी पूरियां), 1 कप मीठी चटनी (खजूर और इमली), 1 कप हरी चटनी (धनिया और पुदीना), 2 आलू - उबले और छोटे टुकड़ों में कटे हुए, 2 प्याज - बारीक कटे हुए, 1/2 कप हरे मूंग के अंकुरित दाने, 1/2 कप सेव, 1/2 कप दही - फेंटा हुआ, चाट मसाला प"&amp;"ाउडर - आवश्यकतानुसार, जीरा पाउडर (जीरा) - आवश्यकतानुसार, लाल मिर्च पाउडर - आवश्यकतानुसार, 2 टहनी धनिया (धनिया) पत्तियां - गार्निश के लिए")</f>
        <v>20 पापड़ी पूरियां - (चपटी कुरकुरी पूरियां), 1 कप मीठी चटनी (खजूर और इमली), 1 कप हरी चटनी (धनिया और पुदीना), 2 आलू - उबले और छोटे टुकड़ों में कटे हुए, 2 प्याज - बारीक कटे हुए, 1/2 कप हरे मूंग के अंकुरित दाने, 1/2 कप सेव, 1/2 कप दही - फेंटा हुआ, चाट मसाला पाउडर - आवश्यकतानुसार, जीरा पाउडर (जीरा) - आवश्यकतानुसार, लाल मिर्च पाउडर - आवश्यकतानुसार, 2 टहनी धनिया (धनिया) पत्तियां - गार्निश के लिए</v>
      </c>
      <c r="H835" s="1" t="s">
        <v>34306</v>
      </c>
      <c r="I835" s="1" t="str">
        <f ca="1">IFERROR(__xludf.dummyfunction("IF(H835="""", """", GOOGLETRANSLATE(H835, ""en"", ""hi""))"),"सेव पूरी रेसिपी (पापड़ी चाट) बनाना शुरू करने के लिए, हमें सबसे पहले सभी सामग्री तैयार करनी होगी और उन्हें एक साथ रखना होगा। सेव पूरी रेसिपी (पापड़ी चाट) बनाना एक प्लेट पर विभिन्न सामग्रियों को व्यवस्थित करने और परत करने के बारे में है। एक बड़े कटोरे में, "&amp;"आलू, अंकुरित अनाज, 1/2 चम्मच चाट मसाला, 1/2 चम्मच जीरा पाउडर और एक चुटकी लाल मिर्च पाउडर मिलाएं। अच्छी तरह से मिलाने के लिए हिलाएं। नमक और मसाले के स्तर की जांच करें और अपने स्वाद के अनुसार समायोजित करें। इसे एक तरफ रख दें। पापड़ी को एक बड़ी प्लेट या अलग-"&amp;"अलग प्लेटों में रखें। आलू के अंकुरित मिश्रण को पापड़ी के ऊपर डालें। प्रत्येक पापड़ी के ऊपर 1 बड़ा चम्मच फेंटा हुआ दही, 1 चम्मच खजूर और इमली की चटनी और 1 चम्मच हरी चटनी डालें। प्रत्येक पापड़ी के ऊपर प्याज, धनिया पत्ती और सेव छिड़कें और तुरंत परोसें। सेव पू"&amp;"री जल्दी नरम हो जाती है, इसलिए तुरंत खा लेने पर इसका स्वाद सबसे अच्छा लगता है। सेव पूरी / पापड़ी चाट को सप्ताहांत में शाम की चाय के समय के नाश्ते के रूप में कच्चे आम के साथ भेल पूरी या पाव भाजी के साथ परोसें।")</f>
        <v>सेव पूरी रेसिपी (पापड़ी चाट) बनाना शुरू करने के लिए, हमें सबसे पहले सभी सामग्री तैयार करनी होगी और उन्हें एक साथ रखना होगा। सेव पूरी रेसिपी (पापड़ी चाट) बनाना एक प्लेट पर विभिन्न सामग्रियों को व्यवस्थित करने और परत करने के बारे में है। एक बड़े कटोरे में, आलू, अंकुरित अनाज, 1/2 चम्मच चाट मसाला, 1/2 चम्मच जीरा पाउडर और एक चुटकी लाल मिर्च पाउडर मिलाएं। अच्छी तरह से मिलाने के लिए हिलाएं। नमक और मसाले के स्तर की जांच करें और अपने स्वाद के अनुसार समायोजित करें। इसे एक तरफ रख दें। पापड़ी को एक बड़ी प्लेट या अलग-अलग प्लेटों में रखें। आलू के अंकुरित मिश्रण को पापड़ी के ऊपर डालें। प्रत्येक पापड़ी के ऊपर 1 बड़ा चम्मच फेंटा हुआ दही, 1 चम्मच खजूर और इमली की चटनी और 1 चम्मच हरी चटनी डालें। प्रत्येक पापड़ी के ऊपर प्याज, धनिया पत्ती और सेव छिड़कें और तुरंत परोसें। सेव पूरी जल्दी नरम हो जाती है, इसलिए तुरंत खा लेने पर इसका स्वाद सबसे अच्छा लगता है। सेव पूरी / पापड़ी चाट को सप्ताहांत में शाम की चाय के समय के नाश्ते के रूप में कच्चे आम के साथ भेल पूरी या पाव भाजी के साथ परोसें।</v>
      </c>
      <c r="J835" s="3" t="s">
        <v>34307</v>
      </c>
      <c r="L835" s="1" t="s">
        <v>31003</v>
      </c>
    </row>
    <row r="836" spans="1:12" ht="13.8">
      <c r="A836" s="1" t="s">
        <v>34308</v>
      </c>
      <c r="B836" s="1" t="str">
        <f ca="1">IFERROR(__xludf.dummyfunction("IF(A836="""", """", GOOGLETRANSLATE(A836, ""en"", ""hi""))"),"मुल्तानी काली अरबी")</f>
        <v>मुल्तानी काली अरबी</v>
      </c>
      <c r="C836" s="1" t="s">
        <v>145</v>
      </c>
      <c r="D836" s="1" t="s">
        <v>14198</v>
      </c>
      <c r="E836" s="1">
        <v>40</v>
      </c>
      <c r="F836" s="1" t="s">
        <v>34309</v>
      </c>
      <c r="G836" s="1" t="str">
        <f ca="1">IFERROR(__xludf.dummyfunction("IF(F836="""", """", GOOGLETRANSLATE(F836, ""en"", ""hi""))"),"500 ग्राम अरबी, तेल - आवश्यकतानुसार, नमक - स्वादानुसार, 1/4 चम्मच लाल मिर्च पाउडर, 3 टहनियां हरा धनिया - कटा हुआ")</f>
        <v>500 ग्राम अरबी, तेल - आवश्यकतानुसार, नमक - स्वादानुसार, 1/4 चम्मच लाल मिर्च पाउडर, 3 टहनियां हरा धनिया - कटा हुआ</v>
      </c>
      <c r="H836" s="1" t="s">
        <v>34310</v>
      </c>
      <c r="I836" s="1" t="str">
        <f ca="1">IFERROR(__xludf.dummyfunction("IF(H836="""", """", GOOGLETRANSLATE(H836, ""en"", ""hi""))"),"""मुल्तानी काली अरबी बनाने के लिए सबसे पहले अरबी को 2 से 3 बार धो लें। अरबी को छीलकर गोल और पतले स्लाइस में काट लें। एक पैन में तेल गर्म करें। अरबी डालकर हल्का भूरा होने तक पकाएँ। लाल मिर्च पाउडर, नमक डालकर अच्छी तरह मिलाएँ। 1 मिनट बाद 3 से 4 कप पानी डाले"&amp;"ं और उबलने दें। कम से कम 20 मिनट तक पकाएँ। अगर सब्जी गाढ़ी हो जाए तो अपने स्वादानुसार थोड़ा और पानी डालें। गैस बंद कर दें, पैन को ढक दें और 20 मिनट तक इसे पैन में ही रहने दें। धनिया पत्ती से गार्निश करें और सर्व करें। दोपहर के खाने में मुल्तानी काली अरबी "&amp;"को पालक रायता और फुल्के के साथ परोसें।""")</f>
        <v>"मुल्तानी काली अरबी बनाने के लिए सबसे पहले अरबी को 2 से 3 बार धो लें। अरबी को छीलकर गोल और पतले स्लाइस में काट लें। एक पैन में तेल गर्म करें। अरबी डालकर हल्का भूरा होने तक पकाएँ। लाल मिर्च पाउडर, नमक डालकर अच्छी तरह मिलाएँ। 1 मिनट बाद 3 से 4 कप पानी डालें और उबलने दें। कम से कम 20 मिनट तक पकाएँ। अगर सब्जी गाढ़ी हो जाए तो अपने स्वादानुसार थोड़ा और पानी डालें। गैस बंद कर दें, पैन को ढक दें और 20 मिनट तक इसे पैन में ही रहने दें। धनिया पत्ती से गार्निश करें और सर्व करें। दोपहर के खाने में मुल्तानी काली अरबी को पालक रायता और फुल्के के साथ परोसें।"</v>
      </c>
      <c r="J836" s="3" t="s">
        <v>34311</v>
      </c>
      <c r="L836" s="1" t="s">
        <v>31003</v>
      </c>
    </row>
    <row r="837" spans="1:12" ht="13.8">
      <c r="A837" s="1" t="s">
        <v>34312</v>
      </c>
      <c r="B837" s="1" t="str">
        <f ca="1">IFERROR(__xludf.dummyfunction("IF(A837="""", """", GOOGLETRANSLATE(A837, ""en"", ""hi""))"),"मेथी मलाई पनीर रेसिपी")</f>
        <v>मेथी मलाई पनीर रेसिपी</v>
      </c>
      <c r="C837" s="1" t="s">
        <v>145</v>
      </c>
      <c r="D837" s="1" t="s">
        <v>14237</v>
      </c>
      <c r="E837" s="1">
        <v>40</v>
      </c>
      <c r="F837" s="1" t="s">
        <v>34313</v>
      </c>
      <c r="G837" s="1" t="str">
        <f ca="1">IFERROR(__xludf.dummyfunction("IF(F837="""", """", GOOGLETRANSLATE(F837, ""en"", ""hi""))"),"1 कप मेथी के पत्ते - कटे हुए, 100 ग्राम पनीर - कटे हुए, 1 छोटा चम्मच कसूरी मेथी, 1/2 कप दूध, 2 बड़े चम्मच ताजा क्रीम, 1 बड़ा चम्मच मक्खन - या घी/तेल, 1/2 छोटा चम्मच जीरा, 1 तेज पत्ता, 1/2 छोटा चम्मच लाल मिर्च पाउडर, 1/4 छोटा चम्मच हल्दी, 1/2 छोटा चम्मच धन"&amp;"िया पाउडर, नमक - स्वादानुसार, 1/2 छोटा चम्मच गरम मसाला पाउडर, 2 प्याज - कटे हुए, 4 लहसुन की कलियां, 2 टमाटर, 2 हरी मिर्च, 10 काजू - पानी में भिगोए हुए")</f>
        <v>1 कप मेथी के पत्ते - कटे हुए, 100 ग्राम पनीर - कटे हुए, 1 छोटा चम्मच कसूरी मेथी, 1/2 कप दूध, 2 बड़े चम्मच ताजा क्रीम, 1 बड़ा चम्मच मक्खन - या घी/तेल, 1/2 छोटा चम्मच जीरा, 1 तेज पत्ता, 1/2 छोटा चम्मच लाल मिर्च पाउडर, 1/4 छोटा चम्मच हल्दी, 1/2 छोटा चम्मच धनिया पाउडर, नमक - स्वादानुसार, 1/2 छोटा चम्मच गरम मसाला पाउडर, 2 प्याज - कटे हुए, 4 लहसुन की कलियां, 2 टमाटर, 2 हरी मिर्च, 10 काजू - पानी में भिगोए हुए</v>
      </c>
      <c r="H837" s="1" t="s">
        <v>34314</v>
      </c>
      <c r="I837" s="1" t="str">
        <f ca="1">IFERROR(__xludf.dummyfunction("IF(H837="""", """", GOOGLETRANSLATE(H837, ""en"", ""hi""))"),"मेथी मलाई पनीर रेसिपी बनाने के लिए सबसे पहले काजू को गुनगुने पानी में 15 से 20 मिनट के लिए भिगो दें। इसे एक तरफ रख दें। एक भारी तले की कड़ाही में तेल गर्म करें। उसमें मेथी के पत्ते और थोड़ा नमक डालकर तब तक पकाएं जब तक कि कच्ची महक न चली जाए। उसी भारी तले "&amp;"की कड़ाही में 1 चम्मच तेल डालें और कटी हुई प्याज, अदरक, लहसुन और हरी मिर्च डालें। कच्ची महक चली जाने तक भूनें। कटे हुए टमाटर और नमक डालें। टमाटर के गलने तक भूनें। जब प्याज टमाटर का मिश्रण ठंडा हो जाए तो इसे भीगे हुए काजू के साथ बारीक पीस लें। मेथी मलाई पन"&amp;"ीर के लिए हमारा मसाला तैयार है। एक भारी तले की कड़ाही में बचा हुआ तेल डालें। इसमें तेज पत्ता, जीरा डालें और इसे लगभग 15 सेकंड तक पकने दें मनचाहा गाढ़ापन पाने के लिए इसमें भूनी हुई मेथी की पत्तियां, कटे हुए पनीर, दूध और आवश्यकतानुसार पानी डालें। सभी चीजों "&amp;"को अच्छे से मिला लें और ढककर रख दें। बीच-बीच में चलाते रहें। जब करी अच्छी तरह उबलने लगे तो इसमें मलाई और गरम मसाला पाउडर डालें और इसे 1 मिनट और पकने दें। मेथी मलाई पनीर को मिलाएँ और बंद कर दें। मेथी मलाई पनीर रेसिपी को पूरे गेहूं के लच्छा पराठे, बुरानी रा"&amp;"यता और कचुम्बर सलाद के साथ सप्ताह के दिनों के खाने में परोसें।")</f>
        <v>मेथी मलाई पनीर रेसिपी बनाने के लिए सबसे पहले काजू को गुनगुने पानी में 15 से 20 मिनट के लिए भिगो दें। इसे एक तरफ रख दें। एक भारी तले की कड़ाही में तेल गर्म करें। उसमें मेथी के पत्ते और थोड़ा नमक डालकर तब तक पकाएं जब तक कि कच्ची महक न चली जाए। उसी भारी तले की कड़ाही में 1 चम्मच तेल डालें और कटी हुई प्याज, अदरक, लहसुन और हरी मिर्च डालें। कच्ची महक चली जाने तक भूनें। कटे हुए टमाटर और नमक डालें। टमाटर के गलने तक भूनें। जब प्याज टमाटर का मिश्रण ठंडा हो जाए तो इसे भीगे हुए काजू के साथ बारीक पीस लें। मेथी मलाई पनीर के लिए हमारा मसाला तैयार है। एक भारी तले की कड़ाही में बचा हुआ तेल डालें। इसमें तेज पत्ता, जीरा डालें और इसे लगभग 15 सेकंड तक पकने दें मनचाहा गाढ़ापन पाने के लिए इसमें भूनी हुई मेथी की पत्तियां, कटे हुए पनीर, दूध और आवश्यकतानुसार पानी डालें। सभी चीजों को अच्छे से मिला लें और ढककर रख दें। बीच-बीच में चलाते रहें। जब करी अच्छी तरह उबलने लगे तो इसमें मलाई और गरम मसाला पाउडर डालें और इसे 1 मिनट और पकने दें। मेथी मलाई पनीर को मिलाएँ और बंद कर दें। मेथी मलाई पनीर रेसिपी को पूरे गेहूं के लच्छा पराठे, बुरानी रायता और कचुम्बर सलाद के साथ सप्ताह के दिनों के खाने में परोसें।</v>
      </c>
      <c r="J837" s="3" t="s">
        <v>34315</v>
      </c>
      <c r="L837" s="1" t="s">
        <v>31003</v>
      </c>
    </row>
    <row r="838" spans="1:12" ht="13.8">
      <c r="A838" s="1" t="s">
        <v>34316</v>
      </c>
      <c r="B838" s="1" t="str">
        <f ca="1">IFERROR(__xludf.dummyfunction("IF(A838="""", """", GOOGLETRANSLATE(A838, ""en"", ""hi""))"),"मीठी और मसालेदार अनानास पानी पूरी रेसिपी")</f>
        <v>मीठी और मसालेदार अनानास पानी पूरी रेसिपी</v>
      </c>
      <c r="C838" s="1" t="s">
        <v>14572</v>
      </c>
      <c r="D838" s="1" t="s">
        <v>14198</v>
      </c>
      <c r="E838" s="1">
        <v>15</v>
      </c>
      <c r="F838" s="1" t="s">
        <v>34317</v>
      </c>
      <c r="G838" s="1" t="str">
        <f ca="1">IFERROR(__xludf.dummyfunction("IF(F838="""", """", GOOGLETRANSLATE(F838, ""en"", ""hi""))"),"18 पानी पूरी, 1/2 कप अंकुरित हरी मूंग, 2 उबले आलू, नमक - स्वादानुसार, 1/2 छोटा चम्मच चाट मसाला पाउडर, 1/2 छोटा चम्मच जीरा पाउडर, 1/2 छोटा चम्मच लाल मिर्च पाउडर, 2 कप अनानास - छिला हुआ, 1 हरी मिर्च, 1 छोटा चम्मच चाट मसाला पाउडर, 1/2 छोटा चम्मच जीरा पाउडर -"&amp;" 1/2 छोटा चम्मच जीरा पाउडर, 1 बड़ा चम्मच चीनी, काला नमक - स्वादानुसार, 1 बड़ा चम्मच नींबू का रस")</f>
        <v>18 पानी पूरी, 1/2 कप अंकुरित हरी मूंग, 2 उबले आलू, नमक - स्वादानुसार, 1/2 छोटा चम्मच चाट मसाला पाउडर, 1/2 छोटा चम्मच जीरा पाउडर, 1/2 छोटा चम्मच लाल मिर्च पाउडर, 2 कप अनानास - छिला हुआ, 1 हरी मिर्च, 1 छोटा चम्मच चाट मसाला पाउडर, 1/2 छोटा चम्मच जीरा पाउडर - 1/2 छोटा चम्मच जीरा पाउडर, 1 बड़ा चम्मच चीनी, काला नमक - स्वादानुसार, 1 बड़ा चम्मच नींबू का रस</v>
      </c>
      <c r="H838" s="1" t="s">
        <v>34318</v>
      </c>
      <c r="I838" s="1" t="str">
        <f ca="1">IFERROR(__xludf.dummyfunction("IF(H838="""", """", GOOGLETRANSLATE(H838, ""en"", ""hi""))"),"मीठी और तीखी अनानास पानी पूरी रेसिपी बनाने के लिए सबसे पहले हम मीठा और मसालेदार अनानास पानी बनाएंगे। एक मिक्सर जार में अनानास के टुकड़ों को हरी मिर्च, चाट मसाला, जीरा पाउडर, चीनी, नमक के साथ मिलाएं और थोड़े पानी के साथ पीस लें। एक सर्विंग बाउल में डालें, "&amp;"नींबू का रस डालें और अनानास के पानी में अपने स्वाद के अनुसार नमक और मसाले मिलाएं। अनानास के पानी को ठंडा होने के लिए फ्रिज में रख दें। ध्यान दें, आपको अनानास से फाइबर को छानने की जरूरत नहीं है, यह कुरकुरी पूरी के साथ खाने पर फाइबर के साथ स्वादिष्ट लगता है"&amp;"। पानी पूरी भरने के लिए, एक मिक्सिंग बाउल में आलू को मैश करें, उसमें हरे मूंग के दाने और सूखे मसाले- चाट मसाला, जीरा पाउडर और लाल मिर्च पाउडर डालें मीठी और तीखी अनानास पानी पूरी परोसें, पूरी को ऊपर से थोड़ा सा तोड़कर उसमें आलू-अंकुरित भरावन भरें, इसे मीठी"&amp;" और तीखी अनानास पानी पूरी से भरें और परोसें। आप या तो दुकान से खरीदी हुई पूरी का उपयोग कर सकते हैं, या इस लिंक पूरी फॉर पानी पूरी रेसिपी का पालन करके घर पर बना सकते हैं। मीठी और तीखी अनानास पानी पूरी को दही बटाटा पूरी चाट रेसिपी और छोले आलू टिक्की चाट रेस"&amp;"िपी के साथ अपनी चाट पार्टी में परोसें।")</f>
        <v>मीठी और तीखी अनानास पानी पूरी रेसिपी बनाने के लिए सबसे पहले हम मीठा और मसालेदार अनानास पानी बनाएंगे। एक मिक्सर जार में अनानास के टुकड़ों को हरी मिर्च, चाट मसाला, जीरा पाउडर, चीनी, नमक के साथ मिलाएं और थोड़े पानी के साथ पीस लें। एक सर्विंग बाउल में डालें, नींबू का रस डालें और अनानास के पानी में अपने स्वाद के अनुसार नमक और मसाले मिलाएं। अनानास के पानी को ठंडा होने के लिए फ्रिज में रख दें। ध्यान दें, आपको अनानास से फाइबर को छानने की जरूरत नहीं है, यह कुरकुरी पूरी के साथ खाने पर फाइबर के साथ स्वादिष्ट लगता है। पानी पूरी भरने के लिए, एक मिक्सिंग बाउल में आलू को मैश करें, उसमें हरे मूंग के दाने और सूखे मसाले- चाट मसाला, जीरा पाउडर और लाल मिर्च पाउडर डालें मीठी और तीखी अनानास पानी पूरी परोसें, पूरी को ऊपर से थोड़ा सा तोड़कर उसमें आलू-अंकुरित भरावन भरें, इसे मीठी और तीखी अनानास पानी पूरी से भरें और परोसें। आप या तो दुकान से खरीदी हुई पूरी का उपयोग कर सकते हैं, या इस लिंक पूरी फॉर पानी पूरी रेसिपी का पालन करके घर पर बना सकते हैं। मीठी और तीखी अनानास पानी पूरी को दही बटाटा पूरी चाट रेसिपी और छोले आलू टिक्की चाट रेसिपी के साथ अपनी चाट पार्टी में परोसें।</v>
      </c>
      <c r="J838" s="3" t="s">
        <v>34319</v>
      </c>
      <c r="L838" s="1" t="s">
        <v>31003</v>
      </c>
    </row>
    <row r="839" spans="1:12" ht="13.8">
      <c r="A839" s="1" t="s">
        <v>34320</v>
      </c>
      <c r="B839" s="1" t="str">
        <f ca="1">IFERROR(__xludf.dummyfunction("IF(A839="""", """", GOOGLETRANSLATE(A839, ""en"", ""hi""))"),"परवल मसाला रेसिपी")</f>
        <v>परवल मसाला रेसिपी</v>
      </c>
      <c r="C839" s="1" t="s">
        <v>145</v>
      </c>
      <c r="D839" s="1" t="s">
        <v>14198</v>
      </c>
      <c r="E839" s="1">
        <v>30</v>
      </c>
      <c r="F839" s="1" t="s">
        <v>34321</v>
      </c>
      <c r="G839" s="1" t="str">
        <f ca="1">IFERROR(__xludf.dummyfunction("IF(F839="""", """", GOOGLETRANSLATE(F839, ""en"", ""hi""))"),"300 ग्राम परवल - छीलकर सीधा काट लें, 2 टमाटर - कटे हुए, 3 चम्मच तरबूज, 1 इंच अदरक - बारीक कटा हुआ, 1 चम्मच लाल मिर्च पाउडर, 1 चम्मच धनिया पाउडर, 1/2 चम्मच जीरा पाउडर, 1/2 चम्मच गरम मसाला पाउडर, 1 तेज पत्ता, नमक - स्वादानुसार, 1 चम्मच तेल")</f>
        <v>300 ग्राम परवल - छीलकर सीधा काट लें, 2 टमाटर - कटे हुए, 3 चम्मच तरबूज, 1 इंच अदरक - बारीक कटा हुआ, 1 चम्मच लाल मिर्च पाउडर, 1 चम्मच धनिया पाउडर, 1/2 चम्मच जीरा पाउडर, 1/2 चम्मच गरम मसाला पाउडर, 1 तेज पत्ता, नमक - स्वादानुसार, 1 चम्मच तेल</v>
      </c>
      <c r="H839" s="1" t="s">
        <v>34322</v>
      </c>
      <c r="I839" s="1" t="str">
        <f ca="1">IFERROR(__xludf.dummyfunction("IF(H839="""", """", GOOGLETRANSLATE(H839, ""en"", ""hi""))"),"""परवल मसाला रेसिपी बनाने के लिए सबसे पहले परवल को धोकर छील लें। इसे आधा काट कर अलग रख लें। अब मिक्सर ग्राइंडर में अदरक, टमाटर, तरबूज डालकर पेस्ट बना लें। अब एक पैन में तेल गर्म करें। इसमें परवल डालें और नरम होने तक पकाएँ। इसे अलग रख लें। अब उसी पैन में त"&amp;"ेजपत्ता, टमाटर अदरक का पेस्ट डालें और 3 से 4 मिनट तक पकाएँ। 4 मिनट बाद इसमें लाल मिर्च पाउडर, धनिया पाउडर, जीरा पाउडर, गरम मसाला पाउडर डालें और मिलाएँ। इसे 3 मिनट तक पकने दें और इसके बाद इसमें परवल, पानी डालकर पकने दें। 5 मिनट तक पकाएँ, गैस बंद कर दें और "&amp;"सर्व करें। परवल मसाला रेसिपी को तवा पराठा और लौकी रायता के साथ लंच में सर्व करें।""")</f>
        <v>"परवल मसाला रेसिपी बनाने के लिए सबसे पहले परवल को धोकर छील लें। इसे आधा काट कर अलग रख लें। अब मिक्सर ग्राइंडर में अदरक, टमाटर, तरबूज डालकर पेस्ट बना लें। अब एक पैन में तेल गर्म करें। इसमें परवल डालें और नरम होने तक पकाएँ। इसे अलग रख लें। अब उसी पैन में तेजपत्ता, टमाटर अदरक का पेस्ट डालें और 3 से 4 मिनट तक पकाएँ। 4 मिनट बाद इसमें लाल मिर्च पाउडर, धनिया पाउडर, जीरा पाउडर, गरम मसाला पाउडर डालें और मिलाएँ। इसे 3 मिनट तक पकने दें और इसके बाद इसमें परवल, पानी डालकर पकने दें। 5 मिनट तक पकाएँ, गैस बंद कर दें और सर्व करें। परवल मसाला रेसिपी को तवा पराठा और लौकी रायता के साथ लंच में सर्व करें।"</v>
      </c>
      <c r="J839" s="3" t="s">
        <v>34323</v>
      </c>
      <c r="L839" s="1" t="s">
        <v>31003</v>
      </c>
    </row>
    <row r="840" spans="1:12" ht="13.8">
      <c r="A840" s="1" t="s">
        <v>34324</v>
      </c>
      <c r="B840" s="1" t="str">
        <f ca="1">IFERROR(__xludf.dummyfunction("IF(A840="""", """", GOOGLETRANSLATE(A840, ""en"", ""hi""))"),"ब्रोकली पराठा रेसिपी")</f>
        <v>ब्रोकली पराठा रेसिपी</v>
      </c>
      <c r="C840" s="1" t="s">
        <v>145</v>
      </c>
      <c r="D840" s="1" t="s">
        <v>14198</v>
      </c>
      <c r="E840" s="1">
        <v>60</v>
      </c>
      <c r="F840" s="1" t="s">
        <v>34325</v>
      </c>
      <c r="G840" s="1" t="str">
        <f ca="1">IFERROR(__xludf.dummyfunction("IF(F840="""", """", GOOGLETRANSLATE(F840, ""en"", ""hi""))"),"500 ग्राम ब्रोकली, 1 प्याज, 1 बड़ा चम्मच धनिया पाउडर, नमक - स्वादानुसार, 1 छोटा चम्मच लाल मिर्च पाउडर, 1 छोटा चम्मच गरम मसाला पाउडर, 1 छोटा चम्मच जीरा पाउडर, 1 छोटा चम्मच सूरजमुखी तेल, 2 कप गेहूं का आटा, नमक - स्वादानुसार, पानी - आवश्यकतानुसार, सूरजमुखी त"&amp;"ेल - या पराठा तलने के लिए घी")</f>
        <v>500 ग्राम ब्रोकली, 1 प्याज, 1 बड़ा चम्मच धनिया पाउडर, नमक - स्वादानुसार, 1 छोटा चम्मच लाल मिर्च पाउडर, 1 छोटा चम्मच गरम मसाला पाउडर, 1 छोटा चम्मच जीरा पाउडर, 1 छोटा चम्मच सूरजमुखी तेल, 2 कप गेहूं का आटा, नमक - स्वादानुसार, पानी - आवश्यकतानुसार, सूरजमुखी तेल - या पराठा तलने के लिए घी</v>
      </c>
      <c r="H840" s="1" t="s">
        <v>34326</v>
      </c>
      <c r="I840" s="1" t="str">
        <f ca="1">IFERROR(__xludf.dummyfunction("IF(H840="""", """", GOOGLETRANSLATE(H840, ""en"", ""hi""))"),"ब्रोकली पराठा रेसिपी बनाने के लिए सबसे पहले गेहूं का आटा, नमक और पानी मिलाकर नरम, चिपचिपा न होने वाला आटा गूंथ लें और इसे कम से कम 30 मिनट के लिए ढककर रख दें। ब्रोकली को छोटे-छोटे टुकड़ों में काट लें और उन्हें 5 मिनट के लिए गर्म पानी में डाल दें। फूलों को"&amp;" निकालकर सुखा लें। ब्रोकली के फूलों को कद्दूकस करके एक तरफ रख दें। अगर आप ब्लेंडर का इस्तेमाल कर रहे हैं, तो छोटे जार का इस्तेमाल करें। थोड़ी मात्रा में फूल डालें और पीस लें। ज्यादा न पीसें क्योंकि ब्रोकली का पानी खत्म हो जाता है। एक भारी पैन में तेल डालक"&amp;"र प्याज भूनें। कद्दूकस की हुई ब्रोकली डालें और 3 से 4 मिनट तक भूनें। ब्रोकली बहुत जल्दी पक जाती है। इसलिए इसे लगातार चलाते रहें ताकि यह पैन में चिपके नहीं। जब ब्रोकली का मिश्रण सूख जाए और अच्छी तरह पक जाए आटे की लोई को हाथ से चपटा करें और किनारों को पतला "&amp;"करें। एक कप बनाएं और बीच में ब्रोकली की स्टफिंग रखें, किनारों को बंद करें। अतिरिक्त आटे को न काटें। इसके बजाय इसे मोड़ें और भरे हुए आटे को इससे सील करें। लोई पर आटा छिड़कें और धीरे से बेलें। ज़्यादा दबाव न डालें। बेले हुए पराठे को गरम तवे पर रखें और भूरे "&amp;"धब्बे आने तक पकाएँ। तेल लगाएँ, दोनों तरफ से पकाएँ और वे खाने के लिए तैयार हैं। ब्रोकली पराठे को धनिया पुदीना चटनी और बूंदी रायता के साथ अपने सप्ताह के खाने में परोसें।")</f>
        <v>ब्रोकली पराठा रेसिपी बनाने के लिए सबसे पहले गेहूं का आटा, नमक और पानी मिलाकर नरम, चिपचिपा न होने वाला आटा गूंथ लें और इसे कम से कम 30 मिनट के लिए ढककर रख दें। ब्रोकली को छोटे-छोटे टुकड़ों में काट लें और उन्हें 5 मिनट के लिए गर्म पानी में डाल दें। फूलों को निकालकर सुखा लें। ब्रोकली के फूलों को कद्दूकस करके एक तरफ रख दें। अगर आप ब्लेंडर का इस्तेमाल कर रहे हैं, तो छोटे जार का इस्तेमाल करें। थोड़ी मात्रा में फूल डालें और पीस लें। ज्यादा न पीसें क्योंकि ब्रोकली का पानी खत्म हो जाता है। एक भारी पैन में तेल डालकर प्याज भूनें। कद्दूकस की हुई ब्रोकली डालें और 3 से 4 मिनट तक भूनें। ब्रोकली बहुत जल्दी पक जाती है। इसलिए इसे लगातार चलाते रहें ताकि यह पैन में चिपके नहीं। जब ब्रोकली का मिश्रण सूख जाए और अच्छी तरह पक जाए आटे की लोई को हाथ से चपटा करें और किनारों को पतला करें। एक कप बनाएं और बीच में ब्रोकली की स्टफिंग रखें, किनारों को बंद करें। अतिरिक्त आटे को न काटें। इसके बजाय इसे मोड़ें और भरे हुए आटे को इससे सील करें। लोई पर आटा छिड़कें और धीरे से बेलें। ज़्यादा दबाव न डालें। बेले हुए पराठे को गरम तवे पर रखें और भूरे धब्बे आने तक पकाएँ। तेल लगाएँ, दोनों तरफ से पकाएँ और वे खाने के लिए तैयार हैं। ब्रोकली पराठे को धनिया पुदीना चटनी और बूंदी रायता के साथ अपने सप्ताह के खाने में परोसें।</v>
      </c>
      <c r="J840" s="3" t="s">
        <v>34327</v>
      </c>
      <c r="L840" s="1" t="s">
        <v>31003</v>
      </c>
    </row>
    <row r="841" spans="1:12" ht="13.8">
      <c r="A841" s="1" t="s">
        <v>34328</v>
      </c>
      <c r="B841" s="1" t="str">
        <f ca="1">IFERROR(__xludf.dummyfunction("IF(A841="""", """", GOOGLETRANSLATE(A841, ""en"", ""hi""))"),"पुदीना दही चटनी रेसिपी- पुदीना दही डिप")</f>
        <v>पुदीना दही चटनी रेसिपी- पुदीना दही डिप</v>
      </c>
      <c r="C841" s="1" t="s">
        <v>14207</v>
      </c>
      <c r="D841" s="1" t="s">
        <v>14198</v>
      </c>
      <c r="E841" s="1">
        <v>15</v>
      </c>
      <c r="F841" s="1" t="s">
        <v>34329</v>
      </c>
      <c r="G841" s="1" t="str">
        <f ca="1">IFERROR(__xludf.dummyfunction("IF(F841="""", """", GOOGLETRANSLATE(F841, ""en"", ""hi""))"),"1 कप दही, 1/2 कप धनिया पत्ता - कटा हुआ, 1 कप पुदीना पत्ता - कटा हुआ, 1 हरी मिर्च - कटी हुई, 1 इंच अदरक - कटा हुआ, नमक - स्वादानुसार, सूरजमुखी तेल")</f>
        <v>1 कप दही, 1/2 कप धनिया पत्ता - कटा हुआ, 1 कप पुदीना पत्ता - कटा हुआ, 1 हरी मिर्च - कटी हुई, 1 इंच अदरक - कटा हुआ, नमक - स्वादानुसार, सूरजमुखी तेल</v>
      </c>
      <c r="H841" s="1" t="s">
        <v>34330</v>
      </c>
      <c r="I841" s="1" t="str">
        <f ca="1">IFERROR(__xludf.dummyfunction("IF(H841="""", """", GOOGLETRANSLATE(H841, ""en"", ""hi""))"),"पुदीना दही चटनी रेसिपी बनाने के लिए सबसे पहले धनिया और पुदीना के पत्तों को हरी मिर्च और अदरक के साथ पीस लें। अगर ज़रूरत हो तो पानी डालें और पीसकर चिकना पेस्ट बना लें। जब यह हो जाए तो पिसा हुआ धनिया पुदीना पेस्ट दही में डालें। पर्याप्त नमक डालें और हल्के ह"&amp;"रे रंग की मलाईदार चटनी बनाने के लिए मिलाएँ। इसे एक कटोरे में डालें और ऊपर से पुदीना डालकर सजाएँ। पुदीना दही चटनी रेसिपी को दही के कबाब, चिकन टिक्का रेसिपी के साथ परोसें और अपने स्टार्टर का मज़ा लें।")</f>
        <v>पुदीना दही चटनी रेसिपी बनाने के लिए सबसे पहले धनिया और पुदीना के पत्तों को हरी मिर्च और अदरक के साथ पीस लें। अगर ज़रूरत हो तो पानी डालें और पीसकर चिकना पेस्ट बना लें। जब यह हो जाए तो पिसा हुआ धनिया पुदीना पेस्ट दही में डालें। पर्याप्त नमक डालें और हल्के हरे रंग की मलाईदार चटनी बनाने के लिए मिलाएँ। इसे एक कटोरे में डालें और ऊपर से पुदीना डालकर सजाएँ। पुदीना दही चटनी रेसिपी को दही के कबाब, चिकन टिक्का रेसिपी के साथ परोसें और अपने स्टार्टर का मज़ा लें।</v>
      </c>
      <c r="J841" s="3" t="s">
        <v>34331</v>
      </c>
      <c r="L841" s="1" t="s">
        <v>31003</v>
      </c>
    </row>
    <row r="842" spans="1:12" ht="13.8">
      <c r="A842" s="1" t="s">
        <v>34332</v>
      </c>
      <c r="B842" s="1" t="str">
        <f ca="1">IFERROR(__xludf.dummyfunction("IF(A842="""", """", GOOGLETRANSLATE(A842, ""en"", ""hi""))"),"गुलाब संदेश रेसिपी - गुलाब जल के साथ पनीर का स्वाद")</f>
        <v>गुलाब संदेश रेसिपी - गुलाब जल के साथ पनीर का स्वाद</v>
      </c>
      <c r="C842" s="1" t="s">
        <v>8417</v>
      </c>
      <c r="D842" s="1" t="s">
        <v>14198</v>
      </c>
      <c r="E842" s="1">
        <v>35</v>
      </c>
      <c r="F842" s="1" t="s">
        <v>34333</v>
      </c>
      <c r="G842" s="1" t="str">
        <f ca="1">IFERROR(__xludf.dummyfunction("IF(F842="""", """", GOOGLETRANSLATE(F842, ""en"", ""hi""))"),"350 ग्राम छेना (घर का बना पनीर), 1/4 कप चीनी - पीसी हुई, 1 चम्मच गुलाब जल, 1/4 कप पिस्ता - कटा हुआ, ताजा गुलाब की पंखुड़ियां - गार्निश के लिए (वैकल्पिक)")</f>
        <v>350 ग्राम छेना (घर का बना पनीर), 1/4 कप चीनी - पीसी हुई, 1 चम्मच गुलाब जल, 1/4 कप पिस्ता - कटा हुआ, ताजा गुलाब की पंखुड़ियां - गार्निश के लिए (वैकल्पिक)</v>
      </c>
      <c r="H842" s="1" t="s">
        <v>34334</v>
      </c>
      <c r="I842" s="1" t="str">
        <f ca="1">IFERROR(__xludf.dummyfunction("IF(H842="""", """", GOOGLETRANSLATE(H842, ""en"", ""hi""))"),"गुलाब संदेश रेसिपी बनाने के लिए, निर्देशों के अनुसार घर का बना पनीर/ छेना बनाएं। जब छेना से सारा पानी निकल जाए, तो छेना को एक बड़े मिक्सिंग बाउल में डालें। इसमें चीनी और गुलाब जल (गुलाब जल) डालें। अपने हाथों की एड़ियों का उपयोग करके छेना को बहुत नरम और चि"&amp;"कना मिश्रण बनाने के लिए मसलें। वास्तव में नरम और चिकना छेना संदेश मिश्रण पाने के लिए इस प्रक्रिया में कम से कम 10 मिनट लगते हैं। जब आपको लगे कि आपके पास संदेश के आटे की एक चिकनी गेंद है, तो संदेश को बराबर भागों में विभाजित करें और उन्हें छोटे काटने के आका"&amp;"र की गेंदों का आकार दें। उन्हें अपने हाथों की हथेलियों के बीच रोल करें और उन्हें चिकनी गेंदों का आकार दें। अपने अंगूठे का उपयोग करके केंद्र में एक छाप बनाएं। बीच में एक कटा हुआ पिस्ता या एक ताजा गुलाब की पंखुड़ी रखें और गुलाब संदेश परोसने के लिए तैयार है।"&amp;" गुलाब संदेश को टेटली दालचीनी और शहद की एक गर्म कप ग्रीन टी के साथ परोसें जो संदेश की मिठास को संतुलित करती है।")</f>
        <v>गुलाब संदेश रेसिपी बनाने के लिए, निर्देशों के अनुसार घर का बना पनीर/ छेना बनाएं। जब छेना से सारा पानी निकल जाए, तो छेना को एक बड़े मिक्सिंग बाउल में डालें। इसमें चीनी और गुलाब जल (गुलाब जल) डालें। अपने हाथों की एड़ियों का उपयोग करके छेना को बहुत नरम और चिकना मिश्रण बनाने के लिए मसलें। वास्तव में नरम और चिकना छेना संदेश मिश्रण पाने के लिए इस प्रक्रिया में कम से कम 10 मिनट लगते हैं। जब आपको लगे कि आपके पास संदेश के आटे की एक चिकनी गेंद है, तो संदेश को बराबर भागों में विभाजित करें और उन्हें छोटे काटने के आकार की गेंदों का आकार दें। उन्हें अपने हाथों की हथेलियों के बीच रोल करें और उन्हें चिकनी गेंदों का आकार दें। अपने अंगूठे का उपयोग करके केंद्र में एक छाप बनाएं। बीच में एक कटा हुआ पिस्ता या एक ताजा गुलाब की पंखुड़ी रखें और गुलाब संदेश परोसने के लिए तैयार है। गुलाब संदेश को टेटली दालचीनी और शहद की एक गर्म कप ग्रीन टी के साथ परोसें जो संदेश की मिठास को संतुलित करती है।</v>
      </c>
      <c r="J842" s="3" t="s">
        <v>34335</v>
      </c>
      <c r="L842" s="1" t="s">
        <v>31003</v>
      </c>
    </row>
    <row r="843" spans="1:12" ht="13.8">
      <c r="A843" s="1" t="s">
        <v>34336</v>
      </c>
      <c r="B843" s="1" t="str">
        <f ca="1">IFERROR(__xludf.dummyfunction("IF(A843="""", """", GOOGLETRANSLATE(A843, ""en"", ""hi""))"),"पुदीना चटनी रेसिपी")</f>
        <v>पुदीना चटनी रेसिपी</v>
      </c>
      <c r="C843" s="1" t="s">
        <v>14207</v>
      </c>
      <c r="D843" s="1" t="s">
        <v>14198</v>
      </c>
      <c r="E843" s="1">
        <v>30</v>
      </c>
      <c r="F843" s="1" t="s">
        <v>34337</v>
      </c>
      <c r="G843" s="1" t="str">
        <f ca="1">IFERROR(__xludf.dummyfunction("IF(F843="""", """", GOOGLETRANSLATE(F843, ""en"", ""hi""))"),"2 कप पुदीना के पत्ते - साफ़ किए हुए, 1/3 कप ताज़ा नारियल - कसा हुआ, 1 छोटा चम्मच धनिया के बीज, 3 सूखी लाल मिर्च, 2 छोटे चम्मच इमली का पेस्ट, 2 छोटे चम्मच सफ़ेद उड़द दाल, 1/2 बड़ा चम्मच गुड़, 1/4 छोटा चम्मच हल्दी पाउडर, नमक - स्वादानुसार, 1 छोटा चम्मच सूरज"&amp;"मुखी तेल, 1/2 छोटा चम्मच सरसों के बीज, 1 छोटा चम्मच सफ़ेद उड़द दाल, 5 से 6 करी पत्ते, 2 सूखी लाल मिर्च, 1/4 छोटा चम्मच हींग")</f>
        <v>2 कप पुदीना के पत्ते - साफ़ किए हुए, 1/3 कप ताज़ा नारियल - कसा हुआ, 1 छोटा चम्मच धनिया के बीज, 3 सूखी लाल मिर्च, 2 छोटे चम्मच इमली का पेस्ट, 2 छोटे चम्मच सफ़ेद उड़द दाल, 1/2 बड़ा चम्मच गुड़, 1/4 छोटा चम्मच हल्दी पाउडर, नमक - स्वादानुसार, 1 छोटा चम्मच सूरजमुखी तेल, 1/2 छोटा चम्मच सरसों के बीज, 1 छोटा चम्मच सफ़ेद उड़द दाल, 5 से 6 करी पत्ते, 2 सूखी लाल मिर्च, 1/4 छोटा चम्मच हींग</v>
      </c>
      <c r="H843" s="1" t="s">
        <v>34338</v>
      </c>
      <c r="I843" s="1" t="str">
        <f ca="1">IFERROR(__xludf.dummyfunction("IF(H843="""", """", GOOGLETRANSLATE(H843, ""en"", ""hi""))"),"पुदीना चटनी रेसिपी बनाने के लिए सबसे पहले धुले हुए पुदीने के पत्तों को किचन टॉवल पर सुखा लें। एक चौड़े पैन में तेल गर्म करें, उसमें धनिया और उड़द दाल डालें और तब तक भूनें जब तक उड़द दाल सुनहरे भूरे रंग की न हो जाए। हो जाने पर सूखी मिर्च डालें और उन्हें कु"&amp;"रकुरी होने तक भूनें, फिर उसमें नारियल, हल्दी पाउडर और पुदीने के पत्ते डालें। तब तक भूनें जब तक पुदीने के पत्तों का पानी सूख न जाए। आंच बंद कर दें और ठंडा होने दें। ठंडा होने पर इसे एक छोटे मिक्सर जार में इमली का अर्क, नमक और गुड़ के साथ डालें और ब्लेंड कर"&amp;"ें। यदि आवश्यक हो तो थोड़ा पानी छिड़कें। पुदीना चटनी के चिकने पेस्ट में पीस जाने के बाद इसे एक कटोरे में निकाल लें। तड़के के लिए, तड़का पैन में तेल गरम करें, उसमें सरसों के दाने डालें और उन्हें चटकने दें, जब सरसों के दाने चटकने लगें तो उसमें उड़द दाल डाले"&amp;"ं और दाल के सुनहरे भूरे रंग में बदलने तक भूनें। जब दाल पक जाए तो उसमें लाल मिर्च, हींग और करी पत्ता डालें, करी पत्ता के कुरकुरे होने तक भूनें और आँच बंद कर दें। अब पुदीना चटनी पर तड़का डालें, चलाएँ और परोसें। पुदीना चटनी को डोसाकाया पप्पू रेसिपी और गरम स्"&amp;"टीम्ड राइस रेसिपी के साथ स्वादिष्ट वीकडे लंच के लिए परोसें।")</f>
        <v>पुदीना चटनी रेसिपी बनाने के लिए सबसे पहले धुले हुए पुदीने के पत्तों को किचन टॉवल पर सुखा लें। एक चौड़े पैन में तेल गर्म करें, उसमें धनिया और उड़द दाल डालें और तब तक भूनें जब तक उड़द दाल सुनहरे भूरे रंग की न हो जाए। हो जाने पर सूखी मिर्च डालें और उन्हें कुरकुरी होने तक भूनें, फिर उसमें नारियल, हल्दी पाउडर और पुदीने के पत्ते डालें। तब तक भूनें जब तक पुदीने के पत्तों का पानी सूख न जाए। आंच बंद कर दें और ठंडा होने दें। ठंडा होने पर इसे एक छोटे मिक्सर जार में इमली का अर्क, नमक और गुड़ के साथ डालें और ब्लेंड करें। यदि आवश्यक हो तो थोड़ा पानी छिड़कें। पुदीना चटनी के चिकने पेस्ट में पीस जाने के बाद इसे एक कटोरे में निकाल लें। तड़के के लिए, तड़का पैन में तेल गरम करें, उसमें सरसों के दाने डालें और उन्हें चटकने दें, जब सरसों के दाने चटकने लगें तो उसमें उड़द दाल डालें और दाल के सुनहरे भूरे रंग में बदलने तक भूनें। जब दाल पक जाए तो उसमें लाल मिर्च, हींग और करी पत्ता डालें, करी पत्ता के कुरकुरे होने तक भूनें और आँच बंद कर दें। अब पुदीना चटनी पर तड़का डालें, चलाएँ और परोसें। पुदीना चटनी को डोसाकाया पप्पू रेसिपी और गरम स्टीम्ड राइस रेसिपी के साथ स्वादिष्ट वीकडे लंच के लिए परोसें।</v>
      </c>
      <c r="J843" s="3" t="s">
        <v>34339</v>
      </c>
      <c r="L843" s="1" t="s">
        <v>31003</v>
      </c>
    </row>
    <row r="844" spans="1:12" ht="13.8">
      <c r="A844" s="1" t="s">
        <v>34340</v>
      </c>
      <c r="B844" s="1" t="str">
        <f ca="1">IFERROR(__xludf.dummyfunction("IF(A844="""", """", GOOGLETRANSLATE(A844, ""en"", ""hi""))"),"सहजन के पत्तों की कढ़ी पकौड़ा रेसिपी - मोरिंगा कढ़ी पकौड़ा")</f>
        <v>सहजन के पत्तों की कढ़ी पकौड़ा रेसिपी - मोरिंगा कढ़ी पकौड़ा</v>
      </c>
      <c r="C844" s="1" t="s">
        <v>145</v>
      </c>
      <c r="D844" s="1" t="s">
        <v>14198</v>
      </c>
      <c r="E844" s="1">
        <v>50</v>
      </c>
      <c r="F844" s="1" t="s">
        <v>34341</v>
      </c>
      <c r="G844" s="1" t="str">
        <f ca="1">IFERROR(__xludf.dummyfunction("IF(F844="""", """", GOOGLETRANSLATE(F844, ""en"", ""hi""))"),"1 कप सहजन की पत्तियां (मोरिंगा/मुरुंगई कीराई), 3/4 कप बेसन (बेसन), 1 चम्मच लाल मिर्च पाउडर, 1/2 चम्मच हल्दी पाउडर (हल्दी), 1/4 इनोस फल नमक - या बेकिंग पाउडर, 1 चम्मच अजवाइन (कैरम बीज), 1/4 चम्मच हींग - हींग, सूरजमुखी तेल - तलने के लिए, 1 कप दही (दही), 1/4"&amp;" कप बेसन, 1/2 चम्मच हल्दी पाउडर, नमक - आवश्यकतानुसार, 1 चम्मच घी, 1 चम्मच सरसों के बीज, 1 ताजी लाल मिर्च, 2 इंच दालचीनी स्टिक (दालचीनी), 1 टहनी करी पत्ता, धनिया पत्ती - गार्निश के लिए")</f>
        <v>1 कप सहजन की पत्तियां (मोरिंगा/मुरुंगई कीराई), 3/4 कप बेसन (बेसन), 1 चम्मच लाल मिर्च पाउडर, 1/2 चम्मच हल्दी पाउडर (हल्दी), 1/4 इनोस फल नमक - या बेकिंग पाउडर, 1 चम्मच अजवाइन (कैरम बीज), 1/4 चम्मच हींग - हींग, सूरजमुखी तेल - तलने के लिए, 1 कप दही (दही), 1/4 कप बेसन, 1/2 चम्मच हल्दी पाउडर, नमक - आवश्यकतानुसार, 1 चम्मच घी, 1 चम्मच सरसों के बीज, 1 ताजी लाल मिर्च, 2 इंच दालचीनी स्टिक (दालचीनी), 1 टहनी करी पत्ता, धनिया पत्ती - गार्निश के लिए</v>
      </c>
      <c r="H844" s="1" t="s">
        <v>34342</v>
      </c>
      <c r="I844" s="1" t="str">
        <f ca="1">IFERROR(__xludf.dummyfunction("IF(H844="""", """", GOOGLETRANSLATE(H844, ""en"", ""hi""))"),"सहजन के पत्तों की कढ़ी पकौड़ा रेसिपी बनाने के लिए सबसे पहले सहजन के पत्तों की पकौड़ी तैयार कर लेनी चाहिए। सबसे पहले सहजन के पत्तों को धोकर काट लें। एक बड़ा कटोरा लें और पकौड़े बनाने की सारी सामग्री - बेसन, लाल मिर्च पाउडर, सहजन के पत्ते, हल्दी पाउडर, इनोस"&amp;" फ्रूट्स साल्ट, हींग, नमक और अजवायन को मिला लें। इस मिश्रण में थोड़ा-थोड़ा करके पानी की कुछ बूंदें डालें। अंतिम मिश्रण न तो सूखा होना चाहिए और न ही गीला। मिश्रण को 8-10 पकौड़े के गोले में बांट लें। एक पनियारम पैन में, कचौड़ी में तेल की कुछ बूंदें डालें और"&amp;" पकौड़े को कचौड़ी में डालकर तब तक तल लें जब तक कि वह चारों तरफ से भूरा और कुरकुरा न हो जाए। मोरिंगा के पकौड़े बन जाने के बाद इन्हें एक तरफ रख दें। आंच तेज कर दें और कढ़ी को तब तक फेंटते रहें जब तक वह चिकनी और थोड़ी गाढ़ी न हो जाए। जब ​​कढ़ी गाढ़ी होने लगे"&amp;" तो आंच धीमी कर दें और कढ़ी को 10 मिनट तक उबलने दें। जब कढ़ी उबल रही हो तो एक तड़का पैन में घी गर्म करें; इसमें राई, जीरा, दालचीनी, लाल मिर्च और करी पत्ता डालें। इन्हें चटकने दें। इसे कढ़ी के मिश्रण में डालें और मोरिंगा पकौड़े भी डालें। मोरिंगा कढ़ी पकौड़"&amp;"े को तेज उबालें और आंच बंद कर दें। पक जाने के बाद सहजन के पत्तों की कढ़ी पकौड़ा को चखें और नमक और मसाले अपने हिसाब से डालें। पक जाने के बाद गर्मागर्म सर्व करें। सहजन के पत्तों की कढ़ी पकौड़ा रेसिपी को हरी मूंग दाल खिचड़ी के साथ स्वादिष्ट वीक नाइट डिनर के "&amp;"लिए परोसें।")</f>
        <v>सहजन के पत्तों की कढ़ी पकौड़ा रेसिपी बनाने के लिए सबसे पहले सहजन के पत्तों की पकौड़ी तैयार कर लेनी चाहिए। सबसे पहले सहजन के पत्तों को धोकर काट लें। एक बड़ा कटोरा लें और पकौड़े बनाने की सारी सामग्री - बेसन, लाल मिर्च पाउडर, सहजन के पत्ते, हल्दी पाउडर, इनोस फ्रूट्स साल्ट, हींग, नमक और अजवायन को मिला लें। इस मिश्रण में थोड़ा-थोड़ा करके पानी की कुछ बूंदें डालें। अंतिम मिश्रण न तो सूखा होना चाहिए और न ही गीला। मिश्रण को 8-10 पकौड़े के गोले में बांट लें। एक पनियारम पैन में, कचौड़ी में तेल की कुछ बूंदें डालें और पकौड़े को कचौड़ी में डालकर तब तक तल लें जब तक कि वह चारों तरफ से भूरा और कुरकुरा न हो जाए। मोरिंगा के पकौड़े बन जाने के बाद इन्हें एक तरफ रख दें। आंच तेज कर दें और कढ़ी को तब तक फेंटते रहें जब तक वह चिकनी और थोड़ी गाढ़ी न हो जाए। जब ​​कढ़ी गाढ़ी होने लगे तो आंच धीमी कर दें और कढ़ी को 10 मिनट तक उबलने दें। जब कढ़ी उबल रही हो तो एक तड़का पैन में घी गर्म करें; इसमें राई, जीरा, दालचीनी, लाल मिर्च और करी पत्ता डालें। इन्हें चटकने दें। इसे कढ़ी के मिश्रण में डालें और मोरिंगा पकौड़े भी डालें। मोरिंगा कढ़ी पकौड़े को तेज उबालें और आंच बंद कर दें। पक जाने के बाद सहजन के पत्तों की कढ़ी पकौड़ा को चखें और नमक और मसाले अपने हिसाब से डालें। पक जाने के बाद गर्मागर्म सर्व करें। सहजन के पत्तों की कढ़ी पकौड़ा रेसिपी को हरी मूंग दाल खिचड़ी के साथ स्वादिष्ट वीक नाइट डिनर के लिए परोसें।</v>
      </c>
      <c r="J844" s="3" t="s">
        <v>34343</v>
      </c>
      <c r="L844" s="1" t="s">
        <v>31003</v>
      </c>
    </row>
    <row r="845" spans="1:12" ht="13.8">
      <c r="A845" s="1" t="s">
        <v>34344</v>
      </c>
      <c r="B845" s="1" t="str">
        <f ca="1">IFERROR(__xludf.dummyfunction("IF(A845="""", """", GOOGLETRANSLATE(A845, ""en"", ""hi""))"),"सूरन की सब्जी रेसिपी - जिमीकंद मसाला सब्जी रेसिपी")</f>
        <v>सूरन की सब्जी रेसिपी - जिमीकंद मसाला सब्जी रेसिपी</v>
      </c>
      <c r="C845" s="1" t="s">
        <v>14259</v>
      </c>
      <c r="D845" s="1" t="s">
        <v>14198</v>
      </c>
      <c r="E845" s="1">
        <v>45</v>
      </c>
      <c r="F845" s="1" t="s">
        <v>34345</v>
      </c>
      <c r="G845" s="1" t="str">
        <f ca="1">IFERROR(__xludf.dummyfunction("IF(F845="""", """", GOOGLETRANSLATE(F845, ""en"", ""hi""))"),"300 ग्राम हाथी रतालू (सूरन/सेनाई/रतालू) - क्यूब्स में, 1/4 कप हरी मटर (मटर) - उबली हुई, 1 इंच अदरक, 1/2 कप घर का बना टमाटर प्यूरी, 1/4 चम्मच हल्दी पाउडर (हल्दी), 1 चम्मच कश्मीरी लाल मिर्च पाउडर, 1 चम्मच गरम मसाला पाउडर, 1/4 कप दही (दही), 1 इंच दालचीनी स्ट"&amp;"िक (दालचीनी), 2 लौंग (लौंग), 1 काली इलायची (बड़ी इलाइची), धनिया (धनिया) की पत्तियां - गार्निश के लिए, 2 चम्मच घी, नमक - अपने स्वाद के अनुसार")</f>
        <v>300 ग्राम हाथी रतालू (सूरन/सेनाई/रतालू) - क्यूब्स में, 1/4 कप हरी मटर (मटर) - उबली हुई, 1 इंच अदरक, 1/2 कप घर का बना टमाटर प्यूरी, 1/4 चम्मच हल्दी पाउडर (हल्दी), 1 चम्मच कश्मीरी लाल मिर्च पाउडर, 1 चम्मच गरम मसाला पाउडर, 1/4 कप दही (दही), 1 इंच दालचीनी स्टिक (दालचीनी), 2 लौंग (लौंग), 1 काली इलायची (बड़ी इलाइची), धनिया (धनिया) की पत्तियां - गार्निश के लिए, 2 चम्मच घी, नमक - अपने स्वाद के अनुसार</v>
      </c>
      <c r="H845" s="1" t="s">
        <v>34346</v>
      </c>
      <c r="I845" s="1" t="str">
        <f ca="1">IFERROR(__xludf.dummyfunction("IF(H845="""", """", GOOGLETRANSLATE(H845, ""en"", ""hi""))"),"सूरन की सब्जी बनाने के लिए सबसे पहले सूरन के टुकड़ों को धोकर एक बाउल में नींबू के रस के साथ मिला लें और 5 मिनट के लिए रख दें। एक प्रेशर कुकर लें, उसमें सूरन, नमक और 2 बड़े चम्मच पानी डालें। 1 सीटी आने तक प्रेशर कुक करें और आंच बंद कर दें। प्रेशर को अपने आ"&amp;"प निकलने दें। एक भारी तले की कड़ाही में घी, दालचीनी, लौंग, इलायची और अदरक डालकर गर्म करें। तब तक भूनें जब तक कि आपको सुगंध आने लगे। हो जाने के बाद, टमाटर प्यूरी और बचे हुए मसाले डालें। कुछ मिनट तक हिलाएँ जब तक कि मसाले टमाटर की ग्रेवी में अच्छी तरह मिल न "&amp;"जाएँ। इसके बाद, पके हुए सूरन के टुकड़े और दही डालें और सूरन की सब्जी को 2 मिनट तक उबालें अंत में सूरन की सब्जी में धनिया पत्ती डालकर गर्मागर्म सर्व करें। इस स्वादिष्ट सूरन की सब्जी को रोटी/जीरा राइस, पालक रायता और काला चना सलाद के साथ साधारण डिनर के लिए प"&amp;"रोसें।")</f>
        <v>सूरन की सब्जी बनाने के लिए सबसे पहले सूरन के टुकड़ों को धोकर एक बाउल में नींबू के रस के साथ मिला लें और 5 मिनट के लिए रख दें। एक प्रेशर कुकर लें, उसमें सूरन, नमक और 2 बड़े चम्मच पानी डालें। 1 सीटी आने तक प्रेशर कुक करें और आंच बंद कर दें। प्रेशर को अपने आप निकलने दें। एक भारी तले की कड़ाही में घी, दालचीनी, लौंग, इलायची और अदरक डालकर गर्म करें। तब तक भूनें जब तक कि आपको सुगंध आने लगे। हो जाने के बाद, टमाटर प्यूरी और बचे हुए मसाले डालें। कुछ मिनट तक हिलाएँ जब तक कि मसाले टमाटर की ग्रेवी में अच्छी तरह मिल न जाएँ। इसके बाद, पके हुए सूरन के टुकड़े और दही डालें और सूरन की सब्जी को 2 मिनट तक उबालें अंत में सूरन की सब्जी में धनिया पत्ती डालकर गर्मागर्म सर्व करें। इस स्वादिष्ट सूरन की सब्जी को रोटी/जीरा राइस, पालक रायता और काला चना सलाद के साथ साधारण डिनर के लिए परोसें।</v>
      </c>
      <c r="J845" s="3" t="s">
        <v>34347</v>
      </c>
      <c r="L845" s="1" t="s">
        <v>31003</v>
      </c>
    </row>
    <row r="846" spans="1:12" ht="409.6">
      <c r="A846" s="1" t="s">
        <v>34348</v>
      </c>
      <c r="B846" s="1" t="str">
        <f ca="1">IFERROR(__xludf.dummyfunction("IF(A846="""", """", GOOGLETRANSLATE(A846, ""en"", ""hi""))"),"दूध और खसखस ​​की ग्रेवी में राजमा कोफ्ता रेसिपी")</f>
        <v>दूध और खसखस ​​की ग्रेवी में राजमा कोफ्ता रेसिपी</v>
      </c>
      <c r="C846" s="1" t="s">
        <v>14207</v>
      </c>
      <c r="D846" s="1" t="s">
        <v>14237</v>
      </c>
      <c r="E846" s="1">
        <v>50</v>
      </c>
      <c r="F846" s="1" t="s">
        <v>34349</v>
      </c>
      <c r="G846" s="1" t="str">
        <f ca="1">IFERROR(__xludf.dummyfunction("IF(F846="""", """", GOOGLETRANSLATE(F846, ""en"", ""hi""))"),"1/2 कप राजमा, 1/4 कप काजू, 2 बड़े चम्मच किशमिश, 1/4 चम्मच हींग, 1/4 चम्मच जीरा, 2 बड़े चम्मच बेसन, 1/4 चम्मच लाल मिर्च पाउडर, 2 चम्मच धनिया पत्ता - कटा हुआ, 2 चम्मच घी, 3 चम्मच खसखस ​​- पेस्ट बनाने के लिए, 1 चम्मच ताजा क्रीम, 1/2 कप दूध, 1/2 चम्मच गरम मसा"&amp;"ला पाउडर, पानी - आवश्यकतानुसार, नमक - स्वादानुसार, केसर के रेशे - कुछ सजाने के लिए")</f>
        <v>1/2 कप राजमा, 1/4 कप काजू, 2 बड़े चम्मच किशमिश, 1/4 चम्मच हींग, 1/4 चम्मच जीरा, 2 बड़े चम्मच बेसन, 1/4 चम्मच लाल मिर्च पाउडर, 2 चम्मच धनिया पत्ता - कटा हुआ, 2 चम्मच घी, 3 चम्मच खसखस ​​- पेस्ट बनाने के लिए, 1 चम्मच ताजा क्रीम, 1/2 कप दूध, 1/2 चम्मच गरम मसाला पाउडर, पानी - आवश्यकतानुसार, नमक - स्वादानुसार, केसर के रेशे - कुछ सजाने के लिए</v>
      </c>
      <c r="H846" s="4" t="s">
        <v>34350</v>
      </c>
      <c r="I846" s="1" t="str">
        <f ca="1">IFERROR(__xludf.dummyfunction("IF(H846="""", """", GOOGLETRANSLATE(H846, ""en"", ""hi""))"),"दूध और खसखस ​​की ग्रेवी में राजमा कोफ्ता बनाने की विधि शुरू करने के लिए, सबसे पहले कोफ्ते तैयार करें। याद रखें कि सबसे पहले राजमा को रात भर भिगोएँ और नमक के साथ प्रेशर कुकर में पकाएँ जब तक कि राजमा पक कर नरम न हो जाए। उबले हुए राजमा, बेसन, काजू, किशमिश, म"&amp;"िर्च पाउडर, हिंग, धनिया पत्ती और नमक को फ़ूड प्रोसेसर में मिलाएँ। मसाले की जाँच करें और समायोजित करें। इस मसले हुए मसालेदार राजमा को एक थाली या एक बड़ी प्लेट पर फैलाएँ। अपनी हथेली से राजमा कोफ्ता की छोटी गोल बॉल्स बनाएँ। एक फ्राइंग पैन में आधा घी गरम करें"&amp;" और कोफ्ता बॉल्स को लगभग 10 मिनट तक भूनें। एक तरफ रख दें। आप यह भी कर सकते हैं कि एक कुज़ी पनियारम पैन गरम करें, प्रत्येक गुहा में तेल की कुछ बूँदें डालें और इन बॉल्स को प्रत्येक गुहा में डालें। एक बार नीचे से भूरा होने पर, आप कोफ्ता बॉल्स को घुमा सकते है"&amp;"ं और उन्हें दूसरी तरफ से भी समान रूप से भूरा कर सकते हैं। पारंपरिक तरीके से डीप फ्राई करने के बजाय कोफ्ते बनाने का यह एक स्वस्थ तरीका है। एक कढ़ाई लें और घी गर्म करें, जीरा डालें और तड़कने दें। तड़कने के बाद, दूध, क्रीम, खसखस ​​का पेस्ट और गरम मसाला पाउडर"&amp;" डालें। नमक डालें और मिलाएँ। ज़रूरत हो तो ही पानी डालें। मिश्रण को एक उबाल आने तक पकाएँ और कोफ्ते डालें और आधे मिनट के बाद आँच बंद कर दें। केसर या धनिया पत्ती जैसी अपनी पसंदीदा गार्निश के साथ परोसें। राजमा कोफ्ता इन मिल्क एंड पोस्ता सीड ग्रेवी रेसिपी को क"&amp;"ेसर पुलाव और पुदीना तवा पराठा रेसिपी के साथ लंच या डिनर में शिमला मिर्च और गाजर के साथ हरी मूंग स्प्राउट सलाद के साथ परोसें।")</f>
        <v>दूध और खसखस ​​की ग्रेवी में राजमा कोफ्ता बनाने की विधि शुरू करने के लिए, सबसे पहले कोफ्ते तैयार करें। याद रखें कि सबसे पहले राजमा को रात भर भिगोएँ और नमक के साथ प्रेशर कुकर में पकाएँ जब तक कि राजमा पक कर नरम न हो जाए। उबले हुए राजमा, बेसन, काजू, किशमिश, मिर्च पाउडर, हिंग, धनिया पत्ती और नमक को फ़ूड प्रोसेसर में मिलाएँ। मसाले की जाँच करें और समायोजित करें। इस मसले हुए मसालेदार राजमा को एक थाली या एक बड़ी प्लेट पर फैलाएँ। अपनी हथेली से राजमा कोफ्ता की छोटी गोल बॉल्स बनाएँ। एक फ्राइंग पैन में आधा घी गरम करें और कोफ्ता बॉल्स को लगभग 10 मिनट तक भूनें। एक तरफ रख दें। आप यह भी कर सकते हैं कि एक कुज़ी पनियारम पैन गरम करें, प्रत्येक गुहा में तेल की कुछ बूँदें डालें और इन बॉल्स को प्रत्येक गुहा में डालें। एक बार नीचे से भूरा होने पर, आप कोफ्ता बॉल्स को घुमा सकते हैं और उन्हें दूसरी तरफ से भी समान रूप से भूरा कर सकते हैं। पारंपरिक तरीके से डीप फ्राई करने के बजाय कोफ्ते बनाने का यह एक स्वस्थ तरीका है। एक कढ़ाई लें और घी गर्म करें, जीरा डालें और तड़कने दें। तड़कने के बाद, दूध, क्रीम, खसखस ​​का पेस्ट और गरम मसाला पाउडर डालें। नमक डालें और मिलाएँ। ज़रूरत हो तो ही पानी डालें। मिश्रण को एक उबाल आने तक पकाएँ और कोफ्ते डालें और आधे मिनट के बाद आँच बंद कर दें। केसर या धनिया पत्ती जैसी अपनी पसंदीदा गार्निश के साथ परोसें। राजमा कोफ्ता इन मिल्क एंड पोस्ता सीड ग्रेवी रेसिपी को केसर पुलाव और पुदीना तवा पराठा रेसिपी के साथ लंच या डिनर में शिमला मिर्च और गाजर के साथ हरी मूंग स्प्राउट सलाद के साथ परोसें।</v>
      </c>
      <c r="J846" s="3" t="s">
        <v>34351</v>
      </c>
      <c r="L846" s="1" t="s">
        <v>31003</v>
      </c>
    </row>
    <row r="847" spans="1:12" ht="13.8">
      <c r="A847" s="1" t="s">
        <v>34352</v>
      </c>
      <c r="B847" s="1" t="str">
        <f ca="1">IFERROR(__xludf.dummyfunction("IF(A847="""", """", GOOGLETRANSLATE(A847, ""en"", ""hi""))"),"अरबी का साग")</f>
        <v>अरबी का साग</v>
      </c>
      <c r="C847" s="1" t="s">
        <v>145</v>
      </c>
      <c r="D847" s="1" t="s">
        <v>14198</v>
      </c>
      <c r="E847" s="1">
        <v>20</v>
      </c>
      <c r="F847" s="1" t="s">
        <v>34353</v>
      </c>
      <c r="G847" s="1" t="str">
        <f ca="1">IFERROR(__xludf.dummyfunction("IF(F847="""", """", GOOGLETRANSLATE(F847, ""en"", ""hi""))"),"250 ग्राम अरबी - उबालकर छील लें, तेल - आवश्यकतानुसार, 1/2 चम्मच राई, 1/4 चम्मच हींग, 1 हरी मिर्च - बारीक कटी हुई, 1 बड़ा चम्मच अदरक लहसुन पेस्ट, 1 प्याज - बारीक कटा हुआ, 1/2 कप दही, 1 चम्मच लाल मिर्च पाउडर, 1/2 चम्मच हल्दी पाउडर, 1 चम्मच धनिया पाउडर, नमक "&amp;"- स्वादानुसार, पानी - आवश्यकतानुसार, 3 धनिया की टहनियाँ - बारीक कटी हुई")</f>
        <v>250 ग्राम अरबी - उबालकर छील लें, तेल - आवश्यकतानुसार, 1/2 चम्मच राई, 1/4 चम्मच हींग, 1 हरी मिर्च - बारीक कटी हुई, 1 बड़ा चम्मच अदरक लहसुन पेस्ट, 1 प्याज - बारीक कटा हुआ, 1/2 कप दही, 1 चम्मच लाल मिर्च पाउडर, 1/2 चम्मच हल्दी पाउडर, 1 चम्मच धनिया पाउडर, नमक - स्वादानुसार, पानी - आवश्यकतानुसार, 3 धनिया की टहनियाँ - बारीक कटी हुई</v>
      </c>
      <c r="H847" s="1" t="s">
        <v>34354</v>
      </c>
      <c r="I847" s="1" t="str">
        <f ca="1">IFERROR(__xludf.dummyfunction("IF(H847="""", """", GOOGLETRANSLATE(H847, ""en"", ""hi""))"),"""अरबी का साग बनाने के लिए सबसे पहले अरबी को उबालकर काट लें। इसे एक तरफ रख दें। अब एक पैन में तेल गर्म करें। इसमें राई, हींग डालें और 10 सेकंड तक पकाएं। 10 सेकंड के बाद अदरक लहसुन का पेस्ट, हरी मिर्च डालें और 2 से 3 मिनट तक पकाएं। 2 से 3 मिनट के बाद प्याज"&amp;" डालें और उनके नरम होने तक पकाएं। उनके नरम होने के बाद लाल मिर्च पाउडर, हल्दी पाउडर, धनिया पाउडर और नमक जैसे सभी मसाले डालें। इसे 4 से 5 मिनट तक पकने दें। इसके बाद उबली हुई अरबी डालें। मिलाएँ और आँच कम कर दें। अब दही डालें और 1 मिनट तक हिलाते रहें। इसके ब"&amp;"ाद पैन को ढक दें और इसे 8 से 10 मिनट तक पकने दें। इसके बाद गैस बंद कर दें और हरे धनिये से गार्निश करें। अरबी के साग को फुल्का और बूंदी रायता के साथ लंच में सर्व करें।""")</f>
        <v>"अरबी का साग बनाने के लिए सबसे पहले अरबी को उबालकर काट लें। इसे एक तरफ रख दें। अब एक पैन में तेल गर्म करें। इसमें राई, हींग डालें और 10 सेकंड तक पकाएं। 10 सेकंड के बाद अदरक लहसुन का पेस्ट, हरी मिर्च डालें और 2 से 3 मिनट तक पकाएं। 2 से 3 मिनट के बाद प्याज डालें और उनके नरम होने तक पकाएं। उनके नरम होने के बाद लाल मिर्च पाउडर, हल्दी पाउडर, धनिया पाउडर और नमक जैसे सभी मसाले डालें। इसे 4 से 5 मिनट तक पकने दें। इसके बाद उबली हुई अरबी डालें। मिलाएँ और आँच कम कर दें। अब दही डालें और 1 मिनट तक हिलाते रहें। इसके बाद पैन को ढक दें और इसे 8 से 10 मिनट तक पकने दें। इसके बाद गैस बंद कर दें और हरे धनिये से गार्निश करें। अरबी के साग को फुल्का और बूंदी रायता के साथ लंच में सर्व करें।"</v>
      </c>
      <c r="J847" s="3" t="s">
        <v>34355</v>
      </c>
      <c r="L847" s="1" t="s">
        <v>31003</v>
      </c>
    </row>
    <row r="848" spans="1:12" ht="409.6">
      <c r="A848" s="1" t="s">
        <v>34356</v>
      </c>
      <c r="B848" s="1" t="str">
        <f ca="1">IFERROR(__xludf.dummyfunction("IF(A848="""", """", GOOGLETRANSLATE(A848, ""en"", ""hi""))"),"मेथी पकोड़ा कढ़ी रेसिपी - पंजाबी कढ़ी पकोड़ा")</f>
        <v>मेथी पकोड़ा कढ़ी रेसिपी - पंजाबी कढ़ी पकोड़ा</v>
      </c>
      <c r="C848" s="1" t="s">
        <v>145</v>
      </c>
      <c r="D848" s="1" t="s">
        <v>14198</v>
      </c>
      <c r="E848" s="1">
        <v>35</v>
      </c>
      <c r="F848" s="1" t="s">
        <v>34357</v>
      </c>
      <c r="G848" s="1" t="str">
        <f ca="1">IFERROR(__xludf.dummyfunction("IF(F848="""", """", GOOGLETRANSLATE(F848, ""en"", ""hi""))"),"1/2 कप मेथी के पत्ते - बारीक कटे हुए, 1 प्याज - बारीक कटा हुआ, 1 कप बेसन, 1 चम्मच लाल मिर्च पाउडर, 1/2 चम्मच हल्दी पाउडर, 1/4 चम्मच इनोस फ्रूट सॉल्ट - या बेकिंग पाउडर, 1 चम्मच अजवाइन, 1/4 चम्मच हींग, सूरजमुखी का तेल - मेथी पकौड़े तलने के लिए, 1 कप दही, 3 "&amp;"बड़े चम्मच बेसन, 1/2 चम्मच हल्दी पाउडर, 1/2 चम्मच लाल मिर्च पाउडर, 1 चम्मच धनिया पाउडर, नमक - आवश्यकतानुसार, 2 बड़े चम्मच घी, 1 चम्मच जीरा, 1 सूखी लाल मिर्च, 2 इंच दालचीनी, धनिया पत्ती - गार्निश के लिए")</f>
        <v>1/2 कप मेथी के पत्ते - बारीक कटे हुए, 1 प्याज - बारीक कटा हुआ, 1 कप बेसन, 1 चम्मच लाल मिर्च पाउडर, 1/2 चम्मच हल्दी पाउडर, 1/4 चम्मच इनोस फ्रूट सॉल्ट - या बेकिंग पाउडर, 1 चम्मच अजवाइन, 1/4 चम्मच हींग, सूरजमुखी का तेल - मेथी पकौड़े तलने के लिए, 1 कप दही, 3 बड़े चम्मच बेसन, 1/2 चम्मच हल्दी पाउडर, 1/2 चम्मच लाल मिर्च पाउडर, 1 चम्मच धनिया पाउडर, नमक - आवश्यकतानुसार, 2 बड़े चम्मच घी, 1 चम्मच जीरा, 1 सूखी लाल मिर्च, 2 इंच दालचीनी, धनिया पत्ती - गार्निश के लिए</v>
      </c>
      <c r="H848" s="4" t="s">
        <v>34358</v>
      </c>
      <c r="I848" s="1" t="str">
        <f ca="1">IFERROR(__xludf.dummyfunction("IF(H848="""", """", GOOGLETRANSLATE(H848, ""en"", ""hi""))"),"मेथी पकौड़ा कढ़ी रेसिपी बनाने के लिए सबसे पहले पकौड़ा बनाना है। एक बड़ा कटोरा लें और पकौड़े बनाने की सारी सामग्री जैसे - बेसन, लाल मिर्च पाउडर, मेथी के पत्ते, प्याज, हल्दी पाउडर, इनोस फ्रूट्स साल्ट, हींग, नमक और अजवायन को मिला लें। थोड़ा-थोड़ा पानी डालते "&amp;"हुए पकौड़े का गाढ़ा घोल बना लें। एक पनियारम पैन गरम करें, उसमें तेल की कुछ बूंदें डालें और पकौड़े के घोल के छोटे-छोटे हिस्से को उसमें डालें और तब तक तल लें जब तक कि यह चारों तरफ से भूरा और कुरकुरा न हो जाए। मेथी पकौड़े बन जाने के बाद इन्हें एक तरफ रख दें।"&amp;" अगला कदम कढ़ी बनाना है। एक सॉस पैन में दही, बेसन, हल्दी पाउडर, लाल मिर्च पाउडर और हल्दी पाउडर और नमक डालें। 2-1/2 कप पानी डालें और कढ़ी मिश्रण को अच्छी तरह मिलाएँ। आँच को तेज़ कर दें और कढ़ी को तब तक फेंटते रहें जब तक वह चिकनी और थोड़ी गाढ़ी न हो जाए। जब"&amp;" ​​कढ़ी गाढ़ी होने लगे तो आँच को कम कर दें और कढ़ी को 10 मिनट तक उबलने दें। इस उबलने की प्रक्रिया से कढ़ी को सभी स्वाद मिल जाते हैं। 10 मिनट उबलने के बाद, पकौड़ों को कढ़ी में डालें और पकौड़ों को 5 से 8 मिनट तक पकाएँ जब तक वे नरम न हो जाएँ। जब तक मेथी पकौड"&amp;"़ा कढ़ी उबल रही हो, एक तड़का पैन में घी गर्म करें, उसमें जीरा, दालचीनी और लाल मिर्च डालें। उन्हें चटकने दें। मेथी कढ़ी पकौड़ा का स्वाद चखें और नमक और मसाले को तदनुसार समायोजित करें। एक बार हो जाने पर, मेथी पकौड़ा कढ़ी को एक सर्विंग बाउल में डालें। तड़के क"&amp;"ो मेथी पकौड़ा कढ़ी के ऊपर डालें और इसे घुमाएँ और गरमागरम परोसें। मेथी पकौड़ा कढ़ी रेसिपी को मल्टीग्रेन मेथी थेपला, आलू शिमला मिर्च की सब्जी और सलाद के साथ स्वादिष्ट लंच या डिनर के लिए परोसें।")</f>
        <v>मेथी पकौड़ा कढ़ी रेसिपी बनाने के लिए सबसे पहले पकौड़ा बनाना है। एक बड़ा कटोरा लें और पकौड़े बनाने की सारी सामग्री जैसे - बेसन, लाल मिर्च पाउडर, मेथी के पत्ते, प्याज, हल्दी पाउडर, इनोस फ्रूट्स साल्ट, हींग, नमक और अजवायन को मिला लें। थोड़ा-थोड़ा पानी डालते हुए पकौड़े का गाढ़ा घोल बना लें। एक पनियारम पैन गरम करें, उसमें तेल की कुछ बूंदें डालें और पकौड़े के घोल के छोटे-छोटे हिस्से को उसमें डालें और तब तक तल लें जब तक कि यह चारों तरफ से भूरा और कुरकुरा न हो जाए। मेथी पकौड़े बन जाने के बाद इन्हें एक तरफ रख दें। अगला कदम कढ़ी बनाना है। एक सॉस पैन में दही, बेसन, हल्दी पाउडर, लाल मिर्च पाउडर और हल्दी पाउडर और नमक डालें। 2-1/2 कप पानी डालें और कढ़ी मिश्रण को अच्छी तरह मिलाएँ। आँच को तेज़ कर दें और कढ़ी को तब तक फेंटते रहें जब तक वह चिकनी और थोड़ी गाढ़ी न हो जाए। जब ​​कढ़ी गाढ़ी होने लगे तो आँच को कम कर दें और कढ़ी को 10 मिनट तक उबलने दें। इस उबलने की प्रक्रिया से कढ़ी को सभी स्वाद मिल जाते हैं। 10 मिनट उबलने के बाद, पकौड़ों को कढ़ी में डालें और पकौड़ों को 5 से 8 मिनट तक पकाएँ जब तक वे नरम न हो जाएँ। जब तक मेथी पकौड़ा कढ़ी उबल रही हो, एक तड़का पैन में घी गर्म करें, उसमें जीरा, दालचीनी और लाल मिर्च डालें। उन्हें चटकने दें। मेथी कढ़ी पकौड़ा का स्वाद चखें और नमक और मसाले को तदनुसार समायोजित करें। एक बार हो जाने पर, मेथी पकौड़ा कढ़ी को एक सर्विंग बाउल में डालें। तड़के को मेथी पकौड़ा कढ़ी के ऊपर डालें और इसे घुमाएँ और गरमागरम परोसें। मेथी पकौड़ा कढ़ी रेसिपी को मल्टीग्रेन मेथी थेपला, आलू शिमला मिर्च की सब्जी और सलाद के साथ स्वादिष्ट लंच या डिनर के लिए परोसें।</v>
      </c>
      <c r="J848" s="3" t="s">
        <v>34359</v>
      </c>
      <c r="L848" s="1" t="s">
        <v>31003</v>
      </c>
    </row>
    <row r="849" spans="1:12" ht="409.6">
      <c r="A849" s="1" t="s">
        <v>34360</v>
      </c>
      <c r="B849" s="1" t="str">
        <f ca="1">IFERROR(__xludf.dummyfunction("IF(A849="""", """", GOOGLETRANSLATE(A849, ""en"", ""hi""))"),"स्वास्थ्यवर्धक काबुली चना पकौड़ा रेसिपी")</f>
        <v>स्वास्थ्यवर्धक काबुली चना पकौड़ा रेसिपी</v>
      </c>
      <c r="C849" s="1" t="s">
        <v>14281</v>
      </c>
      <c r="D849" s="1" t="s">
        <v>14198</v>
      </c>
      <c r="E849" s="1">
        <v>330</v>
      </c>
      <c r="F849" s="1" t="s">
        <v>34361</v>
      </c>
      <c r="G849" s="1" t="str">
        <f ca="1">IFERROR(__xludf.dummyfunction("IF(F849="""", """", GOOGLETRANSLATE(F849, ""en"", ""hi""))"),"1 कप काबुली चना - 8 घंटे भिगोया हुआ, 1 प्याज - कटा हुआ, 1 बड़ा चम्मच हरी मिर्च - कटी हुई, 1 बड़ा चम्मच लहसुन - कटा हुआ, 1 बड़ा चम्मच धनिया - कटा हुआ, 1 बड़ा चम्मच पुदीना - कटा हुआ, 1 छोटा चम्मच लाल मिर्च पाउडर, 1/4 छोटा चम्मच सौंफ, नमक - स्वादानुसार")</f>
        <v>1 कप काबुली चना - 8 घंटे भिगोया हुआ, 1 प्याज - कटा हुआ, 1 बड़ा चम्मच हरी मिर्च - कटी हुई, 1 बड़ा चम्मच लहसुन - कटा हुआ, 1 बड़ा चम्मच धनिया - कटा हुआ, 1 बड़ा चम्मच पुदीना - कटा हुआ, 1 छोटा चम्मच लाल मिर्च पाउडर, 1/4 छोटा चम्मच सौंफ, नमक - स्वादानुसार</v>
      </c>
      <c r="H849" s="4" t="s">
        <v>34362</v>
      </c>
      <c r="I849" s="1" t="str">
        <f ca="1">IFERROR(__xludf.dummyfunction("IF(H849="""", """", GOOGLETRANSLATE(H849, ""en"", ""hi""))"),"हेल्दी काबुली चना पकौड़ा रेसिपी बनाने के लिए सबसे पहले सभी सामग्री तैयार कर लें और एक तरफ रख दें। भिगोए हुए काबुली चना लें, सारा पानी निथार लें और मिक्सर ग्राइंडर में डालकर मोटा मिश्रण तैयार होने तक पीस लें। ध्यान रहे कि इसे चिकने पेस्ट में न पीसें। एक कट"&amp;"ोरे में पिसे हुए काबुली चना को निकाल लें और उसमें अन्य सभी सामग्री जैसे कटा हुआ प्याज, हरी मिर्च, धनिया और पुदीना, सौंफ, मिर्च पाउडर और नमक मिला दें। एक कुझी पनियारम पैन को मध्यम आंच पर गर्म करें, पैन के प्रत्येक गड्ढे में 1/4 चम्मच तेल डालें। पैन के प्रत"&amp;"्येक गड्ढे में एक बड़ा चम्मच काबुली चना पकौड़ा मिश्रण डालें। काबुली चना पकौड़े को मध्यम तेज आंच पर पकाएं पकौड़ों के दूसरी तरफ भी सुनहरा भूरा होने तक पकाएं। सुनिश्चित करें कि काबुली चना पकौड़ा अंदर से अच्छी तरह पका हो और बाहरी आवरण अच्छा और कुरकुरा हो। अच्"&amp;"छी तरह से तले हुए काबुली चना पकौड़ों को एक सोखने वाले कागज पर निकालें और गरमागरम परोसें। काबुली चना पकौड़े को हाई टी स्नैक्स के रूप में या अपने बच्चों को स्कूल के बाद के स्नैक्स के रूप में हरी चटनी रेसिपी - धनिया पुदीना चटनी रेसिपी या खजूर और इमली की चटनी"&amp;" और अदरक इलायची चाय के साथ परोसें।")</f>
        <v>हेल्दी काबुली चना पकौड़ा रेसिपी बनाने के लिए सबसे पहले सभी सामग्री तैयार कर लें और एक तरफ रख दें। भिगोए हुए काबुली चना लें, सारा पानी निथार लें और मिक्सर ग्राइंडर में डालकर मोटा मिश्रण तैयार होने तक पीस लें। ध्यान रहे कि इसे चिकने पेस्ट में न पीसें। एक कटोरे में पिसे हुए काबुली चना को निकाल लें और उसमें अन्य सभी सामग्री जैसे कटा हुआ प्याज, हरी मिर्च, धनिया और पुदीना, सौंफ, मिर्च पाउडर और नमक मिला दें। एक कुझी पनियारम पैन को मध्यम आंच पर गर्म करें, पैन के प्रत्येक गड्ढे में 1/4 चम्मच तेल डालें। पैन के प्रत्येक गड्ढे में एक बड़ा चम्मच काबुली चना पकौड़ा मिश्रण डालें। काबुली चना पकौड़े को मध्यम तेज आंच पर पकाएं पकौड़ों के दूसरी तरफ भी सुनहरा भूरा होने तक पकाएं। सुनिश्चित करें कि काबुली चना पकौड़ा अंदर से अच्छी तरह पका हो और बाहरी आवरण अच्छा और कुरकुरा हो। अच्छी तरह से तले हुए काबुली चना पकौड़ों को एक सोखने वाले कागज पर निकालें और गरमागरम परोसें। काबुली चना पकौड़े को हाई टी स्नैक्स के रूप में या अपने बच्चों को स्कूल के बाद के स्नैक्स के रूप में हरी चटनी रेसिपी - धनिया पुदीना चटनी रेसिपी या खजूर और इमली की चटनी और अदरक इलायची चाय के साथ परोसें।</v>
      </c>
      <c r="J849" s="3" t="s">
        <v>34363</v>
      </c>
      <c r="L849" s="1" t="s">
        <v>31003</v>
      </c>
    </row>
    <row r="850" spans="1:12" ht="13.8">
      <c r="A850" s="1" t="s">
        <v>34364</v>
      </c>
      <c r="B850" s="1" t="str">
        <f ca="1">IFERROR(__xludf.dummyfunction("IF(A850="""", """", GOOGLETRANSLATE(A850, ""en"", ""hi""))"),"मेथी मटर मलाई")</f>
        <v>मेथी मटर मलाई</v>
      </c>
      <c r="C850" s="1" t="s">
        <v>14207</v>
      </c>
      <c r="D850" s="1" t="s">
        <v>14198</v>
      </c>
      <c r="E850" s="1">
        <v>45</v>
      </c>
      <c r="F850" s="1" t="s">
        <v>34365</v>
      </c>
      <c r="G850" s="1" t="str">
        <f ca="1">IFERROR(__xludf.dummyfunction("IF(F850="""", """", GOOGLETRANSLATE(F850, ""en"", ""hi""))"),"250 ग्राम मेथी - बारीक कटी हुई, 100 ग्राम हरी मटर - उबली हुई, नमक - स्वादानुसार, 1/2 चम्मच जीरा, 1 टमाटर - प्यूरी किया हुआ, 1/2 कप दही, 1/2 चम्मच चीनी, 1 चम्मच गरम मसाला पाउडर, 1 चम्मच हल्दी पाउडर, 1/2 चम्मच काली मिर्च पाउडर, 1 प्याज - कटा हुआ, 2 हरी मिर्"&amp;"च, 2 लहसुन की कलियां, 1 इंच अदरक, 6 बादाम, 1 चम्मच खसखस")</f>
        <v>250 ग्राम मेथी - बारीक कटी हुई, 100 ग्राम हरी मटर - उबली हुई, नमक - स्वादानुसार, 1/2 चम्मच जीरा, 1 टमाटर - प्यूरी किया हुआ, 1/2 कप दही, 1/2 चम्मच चीनी, 1 चम्मच गरम मसाला पाउडर, 1 चम्मच हल्दी पाउडर, 1/2 चम्मच काली मिर्च पाउडर, 1 प्याज - कटा हुआ, 2 हरी मिर्च, 2 लहसुन की कलियां, 1 इंच अदरक, 6 बादाम, 1 चम्मच खसखस</v>
      </c>
      <c r="H850" s="1" t="s">
        <v>34366</v>
      </c>
      <c r="I850" s="1" t="str">
        <f ca="1">IFERROR(__xludf.dummyfunction("IF(H850="""", """", GOOGLETRANSLATE(H850, ""en"", ""hi""))"),"""मेथी मलाई मटर बनाने के लिए सबसे पहले मिक्सर ग्राइंडर में पेस्ट बनाने के लिए दी गई सामग्री डालकर पीस लें। अब एक पैन में तेल गर्म करें। इसमें मेथी और नमक डालें। मेथी के नरम होने तक पकाएँ। नरम होने के बाद इसे पैन से निकालकर अलग रख दें। उसी पैन में थोड़ा और"&amp;" तेल डालें। पिसा हुआ मसाला, नमक डालें और 3 से 4 मिनट तक पकाएँ। इसके बाद हल्दी पाउडर, गरम मसाला पाउडर, काली मिर्च पाउडर और टमाटर डालें। इसे मिलाएँ और 1 मिनट तक पकने दें। 1 मिनट बाद इसमें दही डालकर मिलाएँ। 30 सेकंड बाद इसमें मेथी और मटर डालें। आंच धीमी करके"&amp;" 2 से 3 मिनट तक पकाएँ। गैस बंद कर दें और गरमागरम परोसें। मेथी मलाई मटर को टमाटर प्याज खीरा रायता, पंचमेल दाल और फुल्के के साथ लंच में परोसें।""")</f>
        <v>"मेथी मलाई मटर बनाने के लिए सबसे पहले मिक्सर ग्राइंडर में पेस्ट बनाने के लिए दी गई सामग्री डालकर पीस लें। अब एक पैन में तेल गर्म करें। इसमें मेथी और नमक डालें। मेथी के नरम होने तक पकाएँ। नरम होने के बाद इसे पैन से निकालकर अलग रख दें। उसी पैन में थोड़ा और तेल डालें। पिसा हुआ मसाला, नमक डालें और 3 से 4 मिनट तक पकाएँ। इसके बाद हल्दी पाउडर, गरम मसाला पाउडर, काली मिर्च पाउडर और टमाटर डालें। इसे मिलाएँ और 1 मिनट तक पकने दें। 1 मिनट बाद इसमें दही डालकर मिलाएँ। 30 सेकंड बाद इसमें मेथी और मटर डालें। आंच धीमी करके 2 से 3 मिनट तक पकाएँ। गैस बंद कर दें और गरमागरम परोसें। मेथी मलाई मटर को टमाटर प्याज खीरा रायता, पंचमेल दाल और फुल्के के साथ लंच में परोसें।"</v>
      </c>
      <c r="J850" s="3" t="s">
        <v>34367</v>
      </c>
      <c r="L850" s="1" t="s">
        <v>31003</v>
      </c>
    </row>
    <row r="851" spans="1:12" ht="13.8">
      <c r="A851" s="1" t="s">
        <v>34368</v>
      </c>
      <c r="B851" s="1" t="str">
        <f ca="1">IFERROR(__xludf.dummyfunction("IF(A851="""", """", GOOGLETRANSLATE(A851, ""en"", ""hi""))"),"मोरिंगा मसूर दाल रेसिपी")</f>
        <v>मोरिंगा मसूर दाल रेसिपी</v>
      </c>
      <c r="C851" s="1" t="s">
        <v>145</v>
      </c>
      <c r="D851" s="1" t="s">
        <v>14237</v>
      </c>
      <c r="E851" s="1">
        <v>40</v>
      </c>
      <c r="F851" s="1" t="s">
        <v>34369</v>
      </c>
      <c r="G851" s="1" t="str">
        <f ca="1">IFERROR(__xludf.dummyfunction("IF(F851="""", """", GOOGLETRANSLATE(F851, ""en"", ""hi""))"),"1 कप मसूर दाल, 200 ग्राम सहजन के पत्ते - साफ करके काट लें, 1/4 चम्मच हींग, 1 चम्मच जीरा, 1 इंच अदरक - बारीक कटा हुआ, 1 हरी मिर्च - सीधी और पतली कटी हुई, 1 टमाटर - कटा हुआ, 1 सूखी लाल मिर्च, 1/2 चम्मच हल्दी पाउडर, 1/2 चम्मच लाल मिर्च पाउडर, 2 चम्मच धनिया प"&amp;"ाउडर, नमक - स्वादानुसार, 1 बड़ा चम्मच घी, 1 बड़ा चम्मच नींबू का रस")</f>
        <v>1 कप मसूर दाल, 200 ग्राम सहजन के पत्ते - साफ करके काट लें, 1/4 चम्मच हींग, 1 चम्मच जीरा, 1 इंच अदरक - बारीक कटा हुआ, 1 हरी मिर्च - सीधी और पतली कटी हुई, 1 टमाटर - कटा हुआ, 1 सूखी लाल मिर्च, 1/2 चम्मच हल्दी पाउडर, 1/2 चम्मच लाल मिर्च पाउडर, 2 चम्मच धनिया पाउडर, नमक - स्वादानुसार, 1 बड़ा चम्मच घी, 1 बड़ा चम्मच नींबू का रस</v>
      </c>
      <c r="H851" s="1" t="s">
        <v>34370</v>
      </c>
      <c r="I851" s="1" t="str">
        <f ca="1">IFERROR(__xludf.dummyfunction("IF(H851="""", """", GOOGLETRANSLATE(H851, ""en"", ""hi""))"),"""मोरिंगा मसूर दाल रेसिपी बनाने के लिए सबसे पहले मसूर दाल को धोकर 3 कप पानी में 30 मिनट के लिए भिगो दें। अब सहजन की पत्तियों को धोकर अच्छे से सुखा लें। उन्हें बारीक काट कर अलग रख लें। एक पैन में तेल गर्म करें। उसमें सहजन की पत्तियां, नमक डालें, मिलाएँ और "&amp;"पैन को ढक दें। पत्तियों के नरम होने तक पकाएँ। इसमें 2 से 3 मिनट का समय लगेगा। हो जाने के बाद गैस बंद कर दें और सहजन की पत्तियों को अलग रख दें। प्रेशर कुकर में घी गर्म करें। उसमें हींग, जीरा डालें और जीरा चटकने तक पकाएँ। अब टमाटर, अदरक, हरी मिर्च, धनिया पा"&amp;"उडर, हल्दी पाउडर, लाल मिर्च पाउडर डालें और 1 मिनट तक पकाएँ। 1 मिनट बाद पानी के साथ मसूर दाल डालें, मिलाएँ और कुकर बंद कर दें। 3 सीटी आने तक पकाएँ, आँच धीमी कर दें और 5 मिनट तक पकने दें। 5 मिनट बाद गैस बंद कर दें और प्रेशर अपने आप निकल जाने दें। कुकर खोलें"&amp;", उसमें पके हुए सहजन की पत्तियां डालें। पत्तियां, नींबू डालें, मिलाएँ और परोसें। मोरिंगा मसूर दाल रेसिपी को साथ में परोसें रात के खाने में कद्दू शिमला मिर्च, चावल और फुल्के।""")</f>
        <v>"मोरिंगा मसूर दाल रेसिपी बनाने के लिए सबसे पहले मसूर दाल को धोकर 3 कप पानी में 30 मिनट के लिए भिगो दें। अब सहजन की पत्तियों को धोकर अच्छे से सुखा लें। उन्हें बारीक काट कर अलग रख लें। एक पैन में तेल गर्म करें। उसमें सहजन की पत्तियां, नमक डालें, मिलाएँ और पैन को ढक दें। पत्तियों के नरम होने तक पकाएँ। इसमें 2 से 3 मिनट का समय लगेगा। हो जाने के बाद गैस बंद कर दें और सहजन की पत्तियों को अलग रख दें। प्रेशर कुकर में घी गर्म करें। उसमें हींग, जीरा डालें और जीरा चटकने तक पकाएँ। अब टमाटर, अदरक, हरी मिर्च, धनिया पाउडर, हल्दी पाउडर, लाल मिर्च पाउडर डालें और 1 मिनट तक पकाएँ। 1 मिनट बाद पानी के साथ मसूर दाल डालें, मिलाएँ और कुकर बंद कर दें। 3 सीटी आने तक पकाएँ, आँच धीमी कर दें और 5 मिनट तक पकने दें। 5 मिनट बाद गैस बंद कर दें और प्रेशर अपने आप निकल जाने दें। कुकर खोलें, उसमें पके हुए सहजन की पत्तियां डालें। पत्तियां, नींबू डालें, मिलाएँ और परोसें। मोरिंगा मसूर दाल रेसिपी को साथ में परोसें रात के खाने में कद्दू शिमला मिर्च, चावल और फुल्के।"</v>
      </c>
      <c r="J851" s="3" t="s">
        <v>34371</v>
      </c>
      <c r="L851" s="1" t="s">
        <v>31003</v>
      </c>
    </row>
    <row r="852" spans="1:12" ht="13.8">
      <c r="A852" s="1" t="s">
        <v>34372</v>
      </c>
      <c r="B852" s="1" t="str">
        <f ca="1">IFERROR(__xludf.dummyfunction("IF(A852="""", """", GOOGLETRANSLATE(A852, ""en"", ""hi""))"),"ज़र्दा पुलाव रेसिपी (चावल में मेवे और केसर का स्वाद)")</f>
        <v>ज़र्दा पुलाव रेसिपी (चावल में मेवे और केसर का स्वाद)</v>
      </c>
      <c r="C852" s="1" t="s">
        <v>8417</v>
      </c>
      <c r="D852" s="1" t="s">
        <v>14198</v>
      </c>
      <c r="E852" s="1">
        <v>50</v>
      </c>
      <c r="F852" s="1" t="s">
        <v>34373</v>
      </c>
      <c r="G852" s="1" t="str">
        <f ca="1">IFERROR(__xludf.dummyfunction("IF(F852="""", """", GOOGLETRANSLATE(F852, ""en"", ""hi""))"),"1 केसर - पर्याप्त चुटकी, 3 बड़े चम्मच दूध - नारियल का दूध या बादाम का दूध, 1 कप बासमती चावल, 2 तेजपत्ता, 2 बड़ी इलायची, 2 बड़े चम्मच घी - साथ में 1 छोटा चम्मच घी (शाकाहारी लोग नारियल तेल का उपयोग कर सकते हैं), 4 लौंग, 4 इलायची की फली/बीज, 1 इंच दालचीनी, 3"&amp;"/4 छोटा चम्मच इलायची पाउडर, जायफल पाउडर - चुटकी भर, साबुत काजू - कटे हुए, बादाम - कटे हुए, पिस्ता - कटे हुए, 1/2 कप चीनी - + 2 बड़े चम्मच चीनी, किशमिश - आवश्यकतानुसार (सजावट के लिए), सूखा नारियल (खोपरा) - कटा हुआ")</f>
        <v>1 केसर - पर्याप्त चुटकी, 3 बड़े चम्मच दूध - नारियल का दूध या बादाम का दूध, 1 कप बासमती चावल, 2 तेजपत्ता, 2 बड़ी इलायची, 2 बड़े चम्मच घी - साथ में 1 छोटा चम्मच घी (शाकाहारी लोग नारियल तेल का उपयोग कर सकते हैं), 4 लौंग, 4 इलायची की फली/बीज, 1 इंच दालचीनी, 3/4 छोटा चम्मच इलायची पाउडर, जायफल पाउडर - चुटकी भर, साबुत काजू - कटे हुए, बादाम - कटे हुए, पिस्ता - कटे हुए, 1/2 कप चीनी - + 2 बड़े चम्मच चीनी, किशमिश - आवश्यकतानुसार (सजावट के लिए), सूखा नारियल (खोपरा) - कटा हुआ</v>
      </c>
      <c r="H852" s="1" t="s">
        <v>34374</v>
      </c>
      <c r="I852" s="1" t="str">
        <f ca="1">IFERROR(__xludf.dummyfunction("IF(H852="""", """", GOOGLETRANSLATE(H852, ""en"", ""hi""))"),"ज़र्दा पुलाव रेसिपी बनाने के लिए, एक सॉस पैन में दूध गर्म करें, केसर डालें और इसे एक घंटे के लिए अलग रख दें ताकि केसर का स्वाद दूध में अच्छी तरह से समा जाए।इस बीच, चावल को पानी से अच्छी तरह धो लें। अच्छी तरह से धुल जाने के बाद, इसे लगभग आधे घंटे के लिए आव"&amp;"श्यक मात्रा में पानी में भिगो दें।एक बड़े सॉस पैन में 4 से 5 कप पानी लें, इसमें एक तेज पत्ता और एक बड़ी इलायची डालें। पानी को उबलने दें।एक चम्मच घी डालें और फिर चावल डालें और इसे 15 सेकंड के लिए धीरे से हिलाएं। चावल को उबाल लें यानी इसे लगभग अस्सी प्रतिशत"&amp;" पकने तक पकाएं। (जैसे कोई परतदार बिरयानी के लिए पकाते हैं)। (यदि आप इसे कोलंडर में छोड़ देते हैं, तो चावल अपनी ही गर्मी में धीरे-धीरे पकता रहेगा) एक भारी तली वाले पैन में (ताकि चावल पकाते समय एक दूसरे से चिपके नहीं), घी गर्म करें और काजू, बादाम और पिस्ता "&amp;"को कुछ सेकंड के लिए सुनहरा रंग होने तक भूनें (आप चाहें तो उन्हें तलने के बजाय भून सकते हैं)। एक शोषक शीट पर निकालें। उसी पैन में लौंग, बड़ी इलायची, तेज पत्ता, हरी इलायची और दालचीनी डालें। मसालों को खुशबूदार होने दें। चावल डालें और बहुत धीरे से चीनी के साथ"&amp;" केसर वाला दूध और इलायची पाउडर डालें {धीरे से हिलाएं ताकि चावल के दाने टूटे न}। बर्तन को ढक दें और सामग्री को धीमी आंच पर लगभग 10 मिनट तक पकने दें। पैन को आंच से उतार लें लेकिन पैन का ढक्कन न खोलें ज़र्दा पुलाव को स्मोक्ड दाल मखनी ढाबा स्टाइल रेसिपी, पनीर"&amp;" बटर मसाला, जीरा राइस और तवा पराठा के साथ एक विशेष सप्ताहांत भोजन के लिए परोसें या आप इसे अपने पॉट लक पार्टियों के लिए भी बना सकते हैं।")</f>
        <v>ज़र्दा पुलाव रेसिपी बनाने के लिए, एक सॉस पैन में दूध गर्म करें, केसर डालें और इसे एक घंटे के लिए अलग रख दें ताकि केसर का स्वाद दूध में अच्छी तरह से समा जाए।इस बीच, चावल को पानी से अच्छी तरह धो लें। अच्छी तरह से धुल जाने के बाद, इसे लगभग आधे घंटे के लिए आवश्यक मात्रा में पानी में भिगो दें।एक बड़े सॉस पैन में 4 से 5 कप पानी लें, इसमें एक तेज पत्ता और एक बड़ी इलायची डालें। पानी को उबलने दें।एक चम्मच घी डालें और फिर चावल डालें और इसे 15 सेकंड के लिए धीरे से हिलाएं। चावल को उबाल लें यानी इसे लगभग अस्सी प्रतिशत पकने तक पकाएं। (जैसे कोई परतदार बिरयानी के लिए पकाते हैं)। (यदि आप इसे कोलंडर में छोड़ देते हैं, तो चावल अपनी ही गर्मी में धीरे-धीरे पकता रहेगा) एक भारी तली वाले पैन में (ताकि चावल पकाते समय एक दूसरे से चिपके नहीं), घी गर्म करें और काजू, बादाम और पिस्ता को कुछ सेकंड के लिए सुनहरा रंग होने तक भूनें (आप चाहें तो उन्हें तलने के बजाय भून सकते हैं)। एक शोषक शीट पर निकालें। उसी पैन में लौंग, बड़ी इलायची, तेज पत्ता, हरी इलायची और दालचीनी डालें। मसालों को खुशबूदार होने दें। चावल डालें और बहुत धीरे से चीनी के साथ केसर वाला दूध और इलायची पाउडर डालें {धीरे से हिलाएं ताकि चावल के दाने टूटे न}। बर्तन को ढक दें और सामग्री को धीमी आंच पर लगभग 10 मिनट तक पकने दें। पैन को आंच से उतार लें लेकिन पैन का ढक्कन न खोलें ज़र्दा पुलाव को स्मोक्ड दाल मखनी ढाबा स्टाइल रेसिपी, पनीर बटर मसाला, जीरा राइस और तवा पराठा के साथ एक विशेष सप्ताहांत भोजन के लिए परोसें या आप इसे अपने पॉट लक पार्टियों के लिए भी बना सकते हैं।</v>
      </c>
      <c r="J852" s="3" t="s">
        <v>34375</v>
      </c>
      <c r="L852" s="1" t="s">
        <v>31003</v>
      </c>
    </row>
    <row r="853" spans="1:12" ht="13.8">
      <c r="A853" s="1" t="s">
        <v>34376</v>
      </c>
      <c r="B853" s="1" t="str">
        <f ca="1">IFERROR(__xludf.dummyfunction("IF(A853="""", """", GOOGLETRANSLATE(A853, ""en"", ""hi""))"),"बेसन हलवा रेसिपी")</f>
        <v>बेसन हलवा रेसिपी</v>
      </c>
      <c r="C853" s="1" t="s">
        <v>8417</v>
      </c>
      <c r="D853" s="1" t="s">
        <v>14198</v>
      </c>
      <c r="E853" s="1">
        <v>40</v>
      </c>
      <c r="F853" s="1" t="s">
        <v>34377</v>
      </c>
      <c r="G853" s="1" t="str">
        <f ca="1">IFERROR(__xludf.dummyfunction("IF(F853="""", """", GOOGLETRANSLATE(F853, ""en"", ""hi""))"),"1 कप बेसन, 1/2 कप घी, 1/2 कप चीनी, 2-1/2 कप पानी, 1 चम्मच इलायची पाउडर, 1 बड़ा चम्मच बादाम - कटा या कटा हुआ")</f>
        <v>1 कप बेसन, 1/2 कप घी, 1/2 कप चीनी, 2-1/2 कप पानी, 1 चम्मच इलायची पाउडर, 1 बड़ा चम्मच बादाम - कटा या कटा हुआ</v>
      </c>
      <c r="H853" s="1" t="s">
        <v>34378</v>
      </c>
      <c r="I853" s="1" t="str">
        <f ca="1">IFERROR(__xludf.dummyfunction("IF(H853="""", """", GOOGLETRANSLATE(H853, ""en"", ""hi""))"),"बेसन का हलवा रेसिपी बनाने के लिए सबसे पहले एक भारी तले की कढ़ाई को मध्यम आंच पर गर्म करें; एक कप घी पिघलाएं और उसमें बेसन डालकर मध्यम आंच पर मिश्रण को भूनें। तब तक भूनते रहें जब तक मिश्रण से भुनी हुई सुगंध न आने लगे और रंग बदलकर भुने हुए भूरे रंग का न हो "&amp;"जाए; इस प्रक्रिया में लगभग पांच मिनट का समय लगेगा। भूनते समय लगातार हिलाते रहें। मिश्रण मोटे टुकड़ों जैसा दिखने लगेगा। आंच धीमी कर दें एक दूसरे सॉस पैन में पानी और चीनी मिलाएं और मिश्रण को उबाल लें। उबाल आने पर इसमें इलायची पाउडर डालकर चलाएं। मिश्रण में त"&amp;"ैयार चीनी वाला गर्म पानी धीरे-धीरे मिलाना शुरू करें बेसन का हलवा गाढ़ा होने तक लगातार चलाते रहें, लेकिन फिर भी दरदरा लगे और आटे के गोले जैसा न लगे। मध्यम आंच पर 5 से 10 मिनट तक लगातार चलाते रहें जब तक कि बेसन का हलवा पैन के किनारों से अलग न हो जाए। आंच बं"&amp;"द कर दें, कटे हुए बादाम को बेसन के हलवे में मिलाएँ और गरमागरम परोसें। सप्ताहांत के भोजन के लिए दाल मखनी, पनीर बटर मसाला, लहसुन नान और जीरा राइस के स्वादिष्ट भोजन के बाद बेसन का हलवा परोसें।")</f>
        <v>बेसन का हलवा रेसिपी बनाने के लिए सबसे पहले एक भारी तले की कढ़ाई को मध्यम आंच पर गर्म करें; एक कप घी पिघलाएं और उसमें बेसन डालकर मध्यम आंच पर मिश्रण को भूनें। तब तक भूनते रहें जब तक मिश्रण से भुनी हुई सुगंध न आने लगे और रंग बदलकर भुने हुए भूरे रंग का न हो जाए; इस प्रक्रिया में लगभग पांच मिनट का समय लगेगा। भूनते समय लगातार हिलाते रहें। मिश्रण मोटे टुकड़ों जैसा दिखने लगेगा। आंच धीमी कर दें एक दूसरे सॉस पैन में पानी और चीनी मिलाएं और मिश्रण को उबाल लें। उबाल आने पर इसमें इलायची पाउडर डालकर चलाएं। मिश्रण में तैयार चीनी वाला गर्म पानी धीरे-धीरे मिलाना शुरू करें बेसन का हलवा गाढ़ा होने तक लगातार चलाते रहें, लेकिन फिर भी दरदरा लगे और आटे के गोले जैसा न लगे। मध्यम आंच पर 5 से 10 मिनट तक लगातार चलाते रहें जब तक कि बेसन का हलवा पैन के किनारों से अलग न हो जाए। आंच बंद कर दें, कटे हुए बादाम को बेसन के हलवे में मिलाएँ और गरमागरम परोसें। सप्ताहांत के भोजन के लिए दाल मखनी, पनीर बटर मसाला, लहसुन नान और जीरा राइस के स्वादिष्ट भोजन के बाद बेसन का हलवा परोसें।</v>
      </c>
      <c r="J853" s="3" t="s">
        <v>34379</v>
      </c>
      <c r="L853" s="1" t="s">
        <v>31003</v>
      </c>
    </row>
    <row r="854" spans="1:12" ht="13.8">
      <c r="A854" s="1" t="s">
        <v>34380</v>
      </c>
      <c r="B854" s="1" t="str">
        <f ca="1">IFERROR(__xludf.dummyfunction("IF(A854="""", """", GOOGLETRANSLATE(A854, ""en"", ""hi""))"),"चटपटा बेबी आलू रेसिपी")</f>
        <v>चटपटा बेबी आलू रेसिपी</v>
      </c>
      <c r="C854" s="1" t="s">
        <v>145</v>
      </c>
      <c r="D854" s="1" t="s">
        <v>14198</v>
      </c>
      <c r="E854" s="1">
        <v>25</v>
      </c>
      <c r="F854" s="1" t="s">
        <v>34381</v>
      </c>
      <c r="G854" s="1" t="str">
        <f ca="1">IFERROR(__xludf.dummyfunction("IF(F854="""", """", GOOGLETRANSLATE(F854, ""en"", ""hi""))"),"12 छोटे आलू - उबले और छिले हुए, 1 बड़ा चम्मच धनिया के बीज, 1 बड़ा चम्मच जीरा, 1/2 बड़ा चम्मच सौंफ, 1/2 बड़ा चम्मच साबुत काली मिर्च, 2 सूखी लाल मिर्च, सूरजमुखी का तेल - आवश्यकतानुसार, 1-1/2 बड़ा चम्मच अदरक लहसुन का पेस्ट, 1-1/2 बड़ा चम्मच इमली का पेस्ट, 1/"&amp;"4 बड़ा चम्मच चीनी, 3 बड़े चम्मच पानी, नमक - स्वादानुसार, धनिया पत्ती - आवश्यकतानुसार")</f>
        <v>12 छोटे आलू - उबले और छिले हुए, 1 बड़ा चम्मच धनिया के बीज, 1 बड़ा चम्मच जीरा, 1/2 बड़ा चम्मच सौंफ, 1/2 बड़ा चम्मच साबुत काली मिर्च, 2 सूखी लाल मिर्च, सूरजमुखी का तेल - आवश्यकतानुसार, 1-1/2 बड़ा चम्मच अदरक लहसुन का पेस्ट, 1-1/2 बड़ा चम्मच इमली का पेस्ट, 1/4 बड़ा चम्मच चीनी, 3 बड़े चम्मच पानी, नमक - स्वादानुसार, धनिया पत्ती - आवश्यकतानुसार</v>
      </c>
      <c r="H854" s="1" t="s">
        <v>34382</v>
      </c>
      <c r="I854" s="1" t="str">
        <f ca="1">IFERROR(__xludf.dummyfunction("IF(H854="""", """", GOOGLETRANSLATE(H854, ""en"", ""hi""))"),"चटपटा बेबी पोटैटो रेसिपी बनाने के लिए सबसे पहले एक भारी तले की कढ़ाई गर्म करें। जब यह पक जाए तो इसमें धनिया, जीरा, सौंफ, काली मिर्च और सूखी लाल मिर्च डालें। इन्हें कुछ सेकंड के लिए भूनें। सभी भुने हुए सूखे मसालों को ग्राइंडर में डालें और दरदरा पाउडर बना ल"&amp;"ें। एक कड़ाही में तेल गर्म करें। उसमें हींग डालें और कुछ सेकंड के बाद अदरक लहसुन का पेस्ट डालें। इसे अच्छे से भूनें। इसमें लगभग 1 से 2 मिनट का समय लगेगा। इसमें बेबी पोटैटो डालें और इन्हें तब तक पकाएं जब तक कि बेबी पोटैटो का रंग सुनहरा भूरा न हो जाए। इस बी"&amp;"च, पानी में इमली का पेस्ट और चीनी मिलाकर आलू में मिला दें। स्वादानुसार नमक और भुना हुआ सूखा मसाला डालें। चटपटा आलू को मिलाएँ और दो मिनट तक पकाएँ और गरमागरम परोसें")</f>
        <v>चटपटा बेबी पोटैटो रेसिपी बनाने के लिए सबसे पहले एक भारी तले की कढ़ाई गर्म करें। जब यह पक जाए तो इसमें धनिया, जीरा, सौंफ, काली मिर्च और सूखी लाल मिर्च डालें। इन्हें कुछ सेकंड के लिए भूनें। सभी भुने हुए सूखे मसालों को ग्राइंडर में डालें और दरदरा पाउडर बना लें। एक कड़ाही में तेल गर्म करें। उसमें हींग डालें और कुछ सेकंड के बाद अदरक लहसुन का पेस्ट डालें। इसे अच्छे से भूनें। इसमें लगभग 1 से 2 मिनट का समय लगेगा। इसमें बेबी पोटैटो डालें और इन्हें तब तक पकाएं जब तक कि बेबी पोटैटो का रंग सुनहरा भूरा न हो जाए। इस बीच, पानी में इमली का पेस्ट और चीनी मिलाकर आलू में मिला दें। स्वादानुसार नमक और भुना हुआ सूखा मसाला डालें। चटपटा आलू को मिलाएँ और दो मिनट तक पकाएँ और गरमागरम परोसें</v>
      </c>
      <c r="J854" s="3" t="s">
        <v>34383</v>
      </c>
      <c r="L854" s="1" t="s">
        <v>31003</v>
      </c>
    </row>
    <row r="855" spans="1:12" ht="13.8">
      <c r="A855" s="1" t="s">
        <v>34384</v>
      </c>
      <c r="B855" s="1" t="str">
        <f ca="1">IFERROR(__xludf.dummyfunction("IF(A855="""", """", GOOGLETRANSLATE(A855, ""en"", ""hi""))"),"सेमिया केसरी रेसिपी")</f>
        <v>सेमिया केसरी रेसिपी</v>
      </c>
      <c r="C855" s="1" t="s">
        <v>8417</v>
      </c>
      <c r="D855" s="1" t="s">
        <v>14198</v>
      </c>
      <c r="E855" s="1">
        <v>30</v>
      </c>
      <c r="F855" s="1" t="s">
        <v>34385</v>
      </c>
      <c r="G855" s="1" t="str">
        <f ca="1">IFERROR(__xludf.dummyfunction("IF(F855="""", """", GOOGLETRANSLATE(F855, ""en"", ""hi""))"),"2 कप गरम पानी, 1 कप सेवइयां, 1/4 कप चीनी, 3 बड़े चम्मच काजू - कटे हुए, 3 बड़े चम्मच किशमिश, 1/4 चम्मच इलायची पाउडर (इलायची), 2 केसर, 2 चम्मच घी - + 1/4 कप")</f>
        <v>2 कप गरम पानी, 1 कप सेवइयां, 1/4 कप चीनी, 3 बड़े चम्मच काजू - कटे हुए, 3 बड़े चम्मच किशमिश, 1/4 चम्मच इलायची पाउडर (इलायची), 2 केसर, 2 चम्मच घी - + 1/4 कप</v>
      </c>
      <c r="H855" s="1" t="s">
        <v>34386</v>
      </c>
      <c r="I855" s="1" t="str">
        <f ca="1">IFERROR(__xludf.dummyfunction("IF(H855="""", """", GOOGLETRANSLATE(H855, ""en"", ""hi""))"),"सेवइयां केसरी रेसिपी बनाने के लिए, एक भारी तले वाली सॉस पैन में एक चम्मच घी डालें और धीमी आंच पर सेवइयों को भुनने तक भूनें जब तक कि भुनी हुई सुगंध न आने लगे। इस बीच एक सॉस पैन में पानी उबालें। इसमें चीनी, इलायची पाउडर, केसर डालें और तब तक हिलाएं जब तक कि "&amp;"चीनी पूरी तरह घुल न जाए। जब ​​यह उबलने लगे तो इसमें भुनी हुई सेवइयां डालें, आंच धीमी कर दें और तब तक पकाएं जब तक कि सेवइयां पूरी तरह से पक न जाएं। एक बार हो जाने पर इसमें 1/4 कप घी डालें और इसे ठीक से मिला लें और इसे 2 मिनट तक पकने दें। जब तक सेवइयां उबल "&amp;"रही हों, हम काजू भून लेंगे। एक छोटे पैन में धीमी आंच पर एक चम्मच घी डालें किशमिश डालें, कुछ सेकंड के लिए हिलाएं और एक तरफ रख दें। आंच बंद कर दें और अंत में भुने हुए काजू के साथ सेमिया केसरी को गार्निश करें और इच्छानुसार सेमिया को गर्म या ठंडा परोसें। अपने"&amp;" रविवार के दोपहर के भोजन के लिए हैदराबादी बिरयानी और टमाटर प्याज ककड़ी रायता के भोजन के बाद सेमिया केसरी रेसिपी परोसें।")</f>
        <v>सेवइयां केसरी रेसिपी बनाने के लिए, एक भारी तले वाली सॉस पैन में एक चम्मच घी डालें और धीमी आंच पर सेवइयों को भुनने तक भूनें जब तक कि भुनी हुई सुगंध न आने लगे। इस बीच एक सॉस पैन में पानी उबालें। इसमें चीनी, इलायची पाउडर, केसर डालें और तब तक हिलाएं जब तक कि चीनी पूरी तरह घुल न जाए। जब ​​यह उबलने लगे तो इसमें भुनी हुई सेवइयां डालें, आंच धीमी कर दें और तब तक पकाएं जब तक कि सेवइयां पूरी तरह से पक न जाएं। एक बार हो जाने पर इसमें 1/4 कप घी डालें और इसे ठीक से मिला लें और इसे 2 मिनट तक पकने दें। जब तक सेवइयां उबल रही हों, हम काजू भून लेंगे। एक छोटे पैन में धीमी आंच पर एक चम्मच घी डालें किशमिश डालें, कुछ सेकंड के लिए हिलाएं और एक तरफ रख दें। आंच बंद कर दें और अंत में भुने हुए काजू के साथ सेमिया केसरी को गार्निश करें और इच्छानुसार सेमिया को गर्म या ठंडा परोसें। अपने रविवार के दोपहर के भोजन के लिए हैदराबादी बिरयानी और टमाटर प्याज ककड़ी रायता के भोजन के बाद सेमिया केसरी रेसिपी परोसें।</v>
      </c>
      <c r="J855" s="3" t="s">
        <v>34387</v>
      </c>
      <c r="L855" s="1" t="s">
        <v>31003</v>
      </c>
    </row>
    <row r="856" spans="1:12" ht="13.8">
      <c r="A856" s="1" t="s">
        <v>34388</v>
      </c>
      <c r="B856" s="1" t="str">
        <f ca="1">IFERROR(__xludf.dummyfunction("IF(A856="""", """", GOOGLETRANSLATE(A856, ""en"", ""hi""))"),"खट्टा मीठा टमाटर की सब्जी रेसिपी - एक चटनी शैली की सूखी सब्जी")</f>
        <v>खट्टा मीठा टमाटर की सब्जी रेसिपी - एक चटनी शैली की सूखी सब्जी</v>
      </c>
      <c r="C856" s="1" t="s">
        <v>145</v>
      </c>
      <c r="D856" s="1" t="s">
        <v>14198</v>
      </c>
      <c r="E856" s="1">
        <v>25</v>
      </c>
      <c r="F856" s="1" t="s">
        <v>34389</v>
      </c>
      <c r="G856" s="1" t="str">
        <f ca="1">IFERROR(__xludf.dummyfunction("IF(F856="""", """", GOOGLETRANSLATE(F856, ""en"", ""hi""))"),"1 बड़ा चम्मच सरसों का तेल, 1/2 छोटा चम्मच सरसों के बीज, 1/2 सौंफ, 1/2 जीरा, 1/4 कलौंजी, 1/4 मेथी के बीज, 1 इंच अदरक - बारीक कटा हुआ, 6 लहसुन के दाने - बारीक कटा हुआ, 2 हरी मिर्च - बारीक कटी हुई, 1 प्याज - बारीक कटा हुआ, 4 टमाटर - बारीक कटा हुआ, 1 छोटा चम्"&amp;"मच आमचूर, 1 छोटा चम्मच जीरा, 1 छोटा चम्मच गरम मसाला, 1 छोटा चम्मच लाल मिर्च पाउडर, 2 छोटे चम्मच गुड़, 1 बड़ा चम्मच धनिया पत्ती, 1 बड़ा चम्मच पुदीना पत्ती")</f>
        <v>1 बड़ा चम्मच सरसों का तेल, 1/2 छोटा चम्मच सरसों के बीज, 1/2 सौंफ, 1/2 जीरा, 1/4 कलौंजी, 1/4 मेथी के बीज, 1 इंच अदरक - बारीक कटा हुआ, 6 लहसुन के दाने - बारीक कटा हुआ, 2 हरी मिर्च - बारीक कटी हुई, 1 प्याज - बारीक कटा हुआ, 4 टमाटर - बारीक कटा हुआ, 1 छोटा चम्मच आमचूर, 1 छोटा चम्मच जीरा, 1 छोटा चम्मच गरम मसाला, 1 छोटा चम्मच लाल मिर्च पाउडर, 2 छोटे चम्मच गुड़, 1 बड़ा चम्मच धनिया पत्ती, 1 बड़ा चम्मच पुदीना पत्ती</v>
      </c>
      <c r="H856" s="1" t="s">
        <v>34390</v>
      </c>
      <c r="I856" s="1" t="str">
        <f ca="1">IFERROR(__xludf.dummyfunction("IF(H856="""", """", GOOGLETRANSLATE(H856, ""en"", ""hi""))"),"खट्टा मीठा टमाटर सब्ज़ी बनाने के लिए सबसे पहले एक कढ़ाई में तेज़ आँच पर सरसों का तेल गर्म करें। जब यह धुआँ निकलने लगे तो आँच धीमी कर दें, अब इसमें राई, सौंफ़, जीरा, प्याज़ और मेथी के दाने डालें। जब यह तड़कने लगे तो इसमें तुरंत अदरक, लहसुन और हरी मिर्च डाल"&amp;"ें और अच्छे से चलाएँ। जब लहसुन का रंग भूरा हो जाए तो इसमें प्याज़ डालें और दो मिनट तक भूनें। जब प्याज़ पारदर्शी और पक जाए तो इसमें टमाटर डालें, पैन को ढक दें और 5-7 मिनट तक या टमाटर के नरम होने तक पकाएँ। टमाटर के नरम हो जाने पर आप उन्हें मैश करने के लिए आ"&amp;"लू मैशर या करछुल के पिछले हिस्से का इस्तेमाल कर सकते हैं। ढक्कन खोलें और टमाटर की सब्ज़ी में सारे सूखे मसाले, अमचूर पाउडर, जीरा पाउडर, गरम मसाला पाउडर और लाल मिर्च पाउडर डालें। अच्छी तरह मिलाएँ। अंत में गुड़ डालें और थोड़ा पानी छिड़कें, धनिया और पुदीने के"&amp;" पत्ते डालें और इसे अच्छी तरह मिलाएँ। इस खट्टा मीठा टमाटर सब्ज़ी को पूरी रेसिपी (पफ्ड फ्राइड इंडियन ब्रेड) और पालक रायता रेसिपी (पालक दही सलाद) के साथ एक साधारण सप्ताह की रात के खाने के लिए परोसें।")</f>
        <v>खट्टा मीठा टमाटर सब्ज़ी बनाने के लिए सबसे पहले एक कढ़ाई में तेज़ आँच पर सरसों का तेल गर्म करें। जब यह धुआँ निकलने लगे तो आँच धीमी कर दें, अब इसमें राई, सौंफ़, जीरा, प्याज़ और मेथी के दाने डालें। जब यह तड़कने लगे तो इसमें तुरंत अदरक, लहसुन और हरी मिर्च डालें और अच्छे से चलाएँ। जब लहसुन का रंग भूरा हो जाए तो इसमें प्याज़ डालें और दो मिनट तक भूनें। जब प्याज़ पारदर्शी और पक जाए तो इसमें टमाटर डालें, पैन को ढक दें और 5-7 मिनट तक या टमाटर के नरम होने तक पकाएँ। टमाटर के नरम हो जाने पर आप उन्हें मैश करने के लिए आलू मैशर या करछुल के पिछले हिस्से का इस्तेमाल कर सकते हैं। ढक्कन खोलें और टमाटर की सब्ज़ी में सारे सूखे मसाले, अमचूर पाउडर, जीरा पाउडर, गरम मसाला पाउडर और लाल मिर्च पाउडर डालें। अच्छी तरह मिलाएँ। अंत में गुड़ डालें और थोड़ा पानी छिड़कें, धनिया और पुदीने के पत्ते डालें और इसे अच्छी तरह मिलाएँ। इस खट्टा मीठा टमाटर सब्ज़ी को पूरी रेसिपी (पफ्ड फ्राइड इंडियन ब्रेड) और पालक रायता रेसिपी (पालक दही सलाद) के साथ एक साधारण सप्ताह की रात के खाने के लिए परोसें।</v>
      </c>
      <c r="J856" s="3" t="s">
        <v>34391</v>
      </c>
      <c r="L856" s="1" t="s">
        <v>31003</v>
      </c>
    </row>
    <row r="857" spans="1:12" ht="13.8">
      <c r="A857" s="1" t="s">
        <v>34392</v>
      </c>
      <c r="B857" s="1" t="str">
        <f ca="1">IFERROR(__xludf.dummyfunction("IF(A857="""", """", GOOGLETRANSLATE(A857, ""en"", ""hi""))"),"मसूर दाल कबाब रेसिपी")</f>
        <v>मसूर दाल कबाब रेसिपी</v>
      </c>
      <c r="C857" s="1" t="s">
        <v>14572</v>
      </c>
      <c r="D857" s="1" t="s">
        <v>14237</v>
      </c>
      <c r="E857" s="1">
        <v>45</v>
      </c>
      <c r="F857" s="1" t="s">
        <v>34393</v>
      </c>
      <c r="G857" s="1" t="str">
        <f ca="1">IFERROR(__xludf.dummyfunction("IF(F857="""", """", GOOGLETRANSLATE(F857, ""en"", ""hi""))"),"2 आलू - छिले और उबले हुए, 1 कप मसूर दाल (साबुत) - कम से कम 6 घंटे भिगोई हुई, 1 चम्मच जीरा, 1 प्याज - कटा हुआ, 1 हरी मिर्च - कटी हुई, 4 लहसुन के दाने - कटे हुए, 1 इंच अदरक - कटा हुआ, 1 चम्मच हल्दी पाउडर, 1 चम्मच लाल मिर्च पाउडर, 3 चम्मच गरम मसाला पाउडर, नम"&amp;"क - स्वादानुसार, सूरजमुखी तेल")</f>
        <v>2 आलू - छिले और उबले हुए, 1 कप मसूर दाल (साबुत) - कम से कम 6 घंटे भिगोई हुई, 1 चम्मच जीरा, 1 प्याज - कटा हुआ, 1 हरी मिर्च - कटी हुई, 4 लहसुन के दाने - कटे हुए, 1 इंच अदरक - कटा हुआ, 1 चम्मच हल्दी पाउडर, 1 चम्मच लाल मिर्च पाउडर, 3 चम्मच गरम मसाला पाउडर, नमक - स्वादानुसार, सूरजमुखी तेल</v>
      </c>
      <c r="H857" s="1" t="s">
        <v>34394</v>
      </c>
      <c r="I857" s="1" t="str">
        <f ca="1">IFERROR(__xludf.dummyfunction("IF(H857="""", """", GOOGLETRANSLATE(H857, ""en"", ""hi""))"),"मसूर दाल कबाब रेसिपी बनाने के लिए सबसे पहले एक प्रेशर कुकर में छिले हुए आलू को अलग से 1/4 कप पानी और चुटकी भर नमक के साथ कम से कम 4 सीटी आने तक पकाएं। आलू पूरी तरह से नरम और मैश करने में आसान होने चाहिए। जब ​​हो जाए तो प्रेशर को अपने आप निकलने दें और आलू "&amp;"को बाहर निकालकर मिक्सिंग बाउल में रखें। जब यह ठंडा हो जाए तो आप इसे अच्छे से मैश कर सकते हैं। अब भीगी हुई मसूर दाल को 2 कप पानी और स्वादानुसार नमक के साथ कम से कम 6-8 सीटी आने तक पकाएं, जब हो जाए तो प्रेशर को अपने आप निकलने दें, अतिरिक्त पानी निकाल दें और"&amp;" आप निकले हुए पानी का उपयोग अपनी दाल, करी आदि में कर सकते हैं, ताकि आपकी डिश को एक हेल्दी टच मिले। मसूर दाल को भी दरदरा मैश कर लें प्याज़ और हरी मिर्च डालें और प्याज़ के पारदर्शी होने तक भूनें। हल्दी पाउडर, लाल मिर्च पाउडर, गरम मसाला पाउडर, नमक डालें और म"&amp;"िलाएँ। मसले हुए आलू और मसूर दाल डालें और धीरे-धीरे अच्छी तरह मिलाएँ जब तक कि सारा मसाला समान रूप से न मिल जाए। तब तक मिलाते रहें जब तक कि कबाब मिश्रण एक साथ न मिल जाए। इसे सूखने के लिए छोड़ दें और आँच बंद कर दें। जब मिश्रण ठंडा हो जाए, मिश्रण का एक छोटा स"&amp;"ा भाग चुटकी भर लें और उन्हें बेलनाकार आकार देना शुरू करें। बाकी मिश्रण के लिए भी ऐसा ही करें। एक तवे को 3 बड़े चम्मच तेल के साथ गर्म करें, उसमें धीरे-धीरे कबाब डालें और इसे तब तक पलटते रहें जब तक कि यह सभी तरफ से समान रूप से कुरकुरा न हो जाए। मसूर दाल कबा"&amp;"ब रेसिपी को हैदराबादी वेजिटेबल बिरयानी रेसिपी, टमाटर प्याज खीरा रायता रेसिपी के साथ परोसें")</f>
        <v>मसूर दाल कबाब रेसिपी बनाने के लिए सबसे पहले एक प्रेशर कुकर में छिले हुए आलू को अलग से 1/4 कप पानी और चुटकी भर नमक के साथ कम से कम 4 सीटी आने तक पकाएं। आलू पूरी तरह से नरम और मैश करने में आसान होने चाहिए। जब ​​हो जाए तो प्रेशर को अपने आप निकलने दें और आलू को बाहर निकालकर मिक्सिंग बाउल में रखें। जब यह ठंडा हो जाए तो आप इसे अच्छे से मैश कर सकते हैं। अब भीगी हुई मसूर दाल को 2 कप पानी और स्वादानुसार नमक के साथ कम से कम 6-8 सीटी आने तक पकाएं, जब हो जाए तो प्रेशर को अपने आप निकलने दें, अतिरिक्त पानी निकाल दें और आप निकले हुए पानी का उपयोग अपनी दाल, करी आदि में कर सकते हैं, ताकि आपकी डिश को एक हेल्दी टच मिले। मसूर दाल को भी दरदरा मैश कर लें प्याज़ और हरी मिर्च डालें और प्याज़ के पारदर्शी होने तक भूनें। हल्दी पाउडर, लाल मिर्च पाउडर, गरम मसाला पाउडर, नमक डालें और मिलाएँ। मसले हुए आलू और मसूर दाल डालें और धीरे-धीरे अच्छी तरह मिलाएँ जब तक कि सारा मसाला समान रूप से न मिल जाए। तब तक मिलाते रहें जब तक कि कबाब मिश्रण एक साथ न मिल जाए। इसे सूखने के लिए छोड़ दें और आँच बंद कर दें। जब मिश्रण ठंडा हो जाए, मिश्रण का एक छोटा सा भाग चुटकी भर लें और उन्हें बेलनाकार आकार देना शुरू करें। बाकी मिश्रण के लिए भी ऐसा ही करें। एक तवे को 3 बड़े चम्मच तेल के साथ गर्म करें, उसमें धीरे-धीरे कबाब डालें और इसे तब तक पलटते रहें जब तक कि यह सभी तरफ से समान रूप से कुरकुरा न हो जाए। मसूर दाल कबाब रेसिपी को हैदराबादी वेजिटेबल बिरयानी रेसिपी, टमाटर प्याज खीरा रायता रेसिपी के साथ परोसें</v>
      </c>
      <c r="J857" s="3" t="s">
        <v>34395</v>
      </c>
      <c r="L857" s="1" t="s">
        <v>31003</v>
      </c>
    </row>
    <row r="858" spans="1:12" ht="409.6">
      <c r="A858" s="1" t="s">
        <v>34396</v>
      </c>
      <c r="B858" s="1" t="str">
        <f ca="1">IFERROR(__xludf.dummyfunction("IF(A858="""", """", GOOGLETRANSLATE(A858, ""en"", ""hi""))"),"सोया मेथी पालक की सब्जी रेसिपी")</f>
        <v>सोया मेथी पालक की सब्जी रेसिपी</v>
      </c>
      <c r="C858" s="1" t="s">
        <v>14259</v>
      </c>
      <c r="D858" s="1" t="s">
        <v>14237</v>
      </c>
      <c r="E858" s="1">
        <v>50</v>
      </c>
      <c r="F858" s="1" t="s">
        <v>34397</v>
      </c>
      <c r="G858" s="1" t="str">
        <f ca="1">IFERROR(__xludf.dummyfunction("IF(F858="""", """", GOOGLETRANSLATE(F858, ""en"", ""hi""))"),"2 कप पालक के पत्ते - मोटे तौर पर कटे हुए, 100 ग्राम सोया चंक्स (नगेट्स), 1 कप मेथी के पत्ते (मेथी के पत्ते) - मोटे तौर पर कटे हुए, 1/2 कप प्याज - कटा हुआ, 3/4 कप घर का बना टमाटर प्यूरी, 2 लहसुन के दाने - बारीक कटे हुए, 1 इंच अदरक - बारीक कटा हुआ, 2 हरी मि"&amp;"र्च - लंबाई में कटी हुई, नमक - स्वादानुसार, 1 चम्मच जीरा पाउडर (जीरा), 1 चम्मच गरम मसाला पाउडर, 2 चम्मच मक्खन, 2 लहसुन - पतले कटे हुए, 3 सूखी लाल मिर्च, 1 बड़ा चम्मच सूरजमुखी का तेल")</f>
        <v>2 कप पालक के पत्ते - मोटे तौर पर कटे हुए, 100 ग्राम सोया चंक्स (नगेट्स), 1 कप मेथी के पत्ते (मेथी के पत्ते) - मोटे तौर पर कटे हुए, 1/2 कप प्याज - कटा हुआ, 3/4 कप घर का बना टमाटर प्यूरी, 2 लहसुन के दाने - बारीक कटे हुए, 1 इंच अदरक - बारीक कटा हुआ, 2 हरी मिर्च - लंबाई में कटी हुई, नमक - स्वादानुसार, 1 चम्मच जीरा पाउडर (जीरा), 1 चम्मच गरम मसाला पाउडर, 2 चम्मच मक्खन, 2 लहसुन - पतले कटे हुए, 3 सूखी लाल मिर्च, 1 बड़ा चम्मच सूरजमुखी का तेल</v>
      </c>
      <c r="H858" s="4" t="s">
        <v>34398</v>
      </c>
      <c r="I858" s="1" t="str">
        <f ca="1">IFERROR(__xludf.dummyfunction("IF(H858="""", """", GOOGLETRANSLATE(H858, ""en"", ""hi""))"),"सोया मेथी पालक की सब्जी बनाने के लिए सबसे पहले सोया चंक्स को एक कटोरी गर्म उबलते पानी में भिगो दें। सोया चंक्स को पानी के साथ एक प्रेशर कुकर में डालें और एक सीटी आने तक पकाएं। आंच बंद कर दें। प्रेशर को अपने आप निकलने दें। पानी निथार लें और सोया चंक्स को ए"&amp;"क तरफ रख दें। मध्यम आंच पर तेल के साथ प्रेशर कुकर गरम करें, उसमें अदरक, हरी मिर्च, पालक के साथ 2 बड़े चम्मच पानी डालें और 2 सीटी आने तक पकाएं। आंच बंद कर दें और प्रेशर को अपने आप निकलने दें। ठंडा होने के बाद अदरक, हरी मिर्च, पालक को मिक्सर जार में डालें औ"&amp;"र पीसकर पेस्ट बना लें। एक तरफ रख दें। धीमी आंच पर एक पैन में मक्खन गरम करें, उसमें कटा हुआ लहसुन डालें और लगभग 30 सेकंड तक या हल्का भूरा होने तक भूनें इस अवस्था में ढक्कन खोलें, और मेथी के पत्ते डालें, पकाते रहें, बीच-बीच में हिलाते रहें। मेथी के पत्ते पक"&amp;" जाने पर पालक की प्यूरी, पका हुआ सोया चंक्स, नमक, जीरा पाउडर, गरम मसाला डालें और अच्छी तरह मिलाएँ। जब सोया मेथी पालक की सब्जी अच्छी तरह मिल जाए तो उबाल लें और आँच बंद कर दें। सोया मेथी पालक की सब्जी रेसिपी को ज्वार आटा रोटी रेसिपी - सोरघम व्हीट फुल्का रेस"&amp;"िपी, पुदीना प्याज कचुम्बर सलाद रेसिपी और चुकंदर गाजर रायता रेसिपी के साथ संपूर्ण मधुमेह भोजन के लिए परोसें।")</f>
        <v>सोया मेथी पालक की सब्जी बनाने के लिए सबसे पहले सोया चंक्स को एक कटोरी गर्म उबलते पानी में भिगो दें। सोया चंक्स को पानी के साथ एक प्रेशर कुकर में डालें और एक सीटी आने तक पकाएं। आंच बंद कर दें। प्रेशर को अपने आप निकलने दें। पानी निथार लें और सोया चंक्स को एक तरफ रख दें। मध्यम आंच पर तेल के साथ प्रेशर कुकर गरम करें, उसमें अदरक, हरी मिर्च, पालक के साथ 2 बड़े चम्मच पानी डालें और 2 सीटी आने तक पकाएं। आंच बंद कर दें और प्रेशर को अपने आप निकलने दें। ठंडा होने के बाद अदरक, हरी मिर्च, पालक को मिक्सर जार में डालें और पीसकर पेस्ट बना लें। एक तरफ रख दें। धीमी आंच पर एक पैन में मक्खन गरम करें, उसमें कटा हुआ लहसुन डालें और लगभग 30 सेकंड तक या हल्का भूरा होने तक भूनें इस अवस्था में ढक्कन खोलें, और मेथी के पत्ते डालें, पकाते रहें, बीच-बीच में हिलाते रहें। मेथी के पत्ते पक जाने पर पालक की प्यूरी, पका हुआ सोया चंक्स, नमक, जीरा पाउडर, गरम मसाला डालें और अच्छी तरह मिलाएँ। जब सोया मेथी पालक की सब्जी अच्छी तरह मिल जाए तो उबाल लें और आँच बंद कर दें। सोया मेथी पालक की सब्जी रेसिपी को ज्वार आटा रोटी रेसिपी - सोरघम व्हीट फुल्का रेसिपी, पुदीना प्याज कचुम्बर सलाद रेसिपी और चुकंदर गाजर रायता रेसिपी के साथ संपूर्ण मधुमेह भोजन के लिए परोसें।</v>
      </c>
      <c r="J858" s="3" t="s">
        <v>34399</v>
      </c>
      <c r="L858" s="1" t="s">
        <v>31003</v>
      </c>
    </row>
    <row r="859" spans="1:12" ht="409.6">
      <c r="A859" s="1" t="s">
        <v>34400</v>
      </c>
      <c r="B859" s="1" t="str">
        <f ca="1">IFERROR(__xludf.dummyfunction("IF(A859="""", """", GOOGLETRANSLATE(A859, ""en"", ""hi""))"),"तंदूरी स्टाइल सोया चाप करी रेसिपी")</f>
        <v>तंदूरी स्टाइल सोया चाप करी रेसिपी</v>
      </c>
      <c r="C859" s="1" t="s">
        <v>145</v>
      </c>
      <c r="D859" s="1" t="s">
        <v>14237</v>
      </c>
      <c r="E859" s="1">
        <v>50</v>
      </c>
      <c r="F859" s="1" t="s">
        <v>34401</v>
      </c>
      <c r="G859" s="1" t="str">
        <f ca="1">IFERROR(__xludf.dummyfunction("IF(F859="""", """", GOOGLETRANSLATE(F859, ""en"", ""hi""))"),"6 सोया चाप, 1 बड़ा चम्मच अदरक लहसुन पेस्ट, 1/2 कप दही, 1 लाल शिमला मिर्च, 1/4 कप पनीर - कसा हुआ, 4 हरी मिर्च, 1 चम्मच गरम मसाला पाउडर, 1 चम्मच तंदूरी मसाला, 1/2 चम्मच लाल मिर्च पाउडर, 1/4 चम्मच कश्मीरी लाल मिर्च पाउडर, धनिया पत्ते - ताजा (कटे हुए), नमक - "&amp;"स्वादानुसार, सूरजमुखी तेल - आवश्यकतानुसार")</f>
        <v>6 सोया चाप, 1 बड़ा चम्मच अदरक लहसुन पेस्ट, 1/2 कप दही, 1 लाल शिमला मिर्च, 1/4 कप पनीर - कसा हुआ, 4 हरी मिर्च, 1 चम्मच गरम मसाला पाउडर, 1 चम्मच तंदूरी मसाला, 1/2 चम्मच लाल मिर्च पाउडर, 1/4 चम्मच कश्मीरी लाल मिर्च पाउडर, धनिया पत्ते - ताजा (कटे हुए), नमक - स्वादानुसार, सूरजमुखी तेल - आवश्यकतानुसार</v>
      </c>
      <c r="H859" s="4" t="s">
        <v>34402</v>
      </c>
      <c r="I859" s="1" t="str">
        <f ca="1">IFERROR(__xludf.dummyfunction("IF(H859="""", """", GOOGLETRANSLATE(H859, ""en"", ""hi""))"),"तंदूरी स्टाइल सोया चाप करी रेसिपी बनाने के लिए सबसे पहले सोया चाप से स्टिक्स निकाल कर छोटे गोलाकार टुकड़ों में काट लें। इसके बाद एक कटोरा लें और उसमें कटे हुए सोया चाप, अदरक लहसुन का पेस्ट और नमक डालें। इस मिश्रण को सोया चाप पर हाथों से रगड़ें। इसे 15 मिन"&amp;"ट के लिए मैरिनेट होने दें। इस बीच, लाल मिर्च लें और इसे भूनने के लिए सीधे गैस (आग) पर रख दें। इसे तब तक भूनें जब तक यह सभी तरफ से जल न जाए। इसे कुछ मिनट के लिए ठंडा होने दें। मिर्च से जली हुई त्वचा को हटाने के लिए अपने हाथों का उपयोग करें। भुनी हुई मिर्च "&amp;"और हरी मिर्च को एक साथ पीस लें। अब मैरिनेट किए हुए सोया चाप लें और इसमें लाल मिर्च पेस्ट, फेंटा हुआ दही, कसा हुआ पनीर और सभी मसाले डालें इन्हें 7-8 मिनट तक पकाएं और फिर पैन में बचा हुआ मैरिनेड डालें। धीमी आंच पर तब तक पकाएं जब तक ग्रेवी गाढ़ी न होने लगे। "&amp;"अपने स्वादानुसार नमक डालें और आंच बंद कर दें। इसे कुछ ताजा धनिया पत्तियों से सजाएं और गरमागरम परोसें। तंदूरी स्टाइल सोया चाप करी को टमाटर प्याज खीरा रायता और गेहूं के लच्छा पराठे के साथ सप्ताह के दिनों में परोसें।")</f>
        <v>तंदूरी स्टाइल सोया चाप करी रेसिपी बनाने के लिए सबसे पहले सोया चाप से स्टिक्स निकाल कर छोटे गोलाकार टुकड़ों में काट लें। इसके बाद एक कटोरा लें और उसमें कटे हुए सोया चाप, अदरक लहसुन का पेस्ट और नमक डालें। इस मिश्रण को सोया चाप पर हाथों से रगड़ें। इसे 15 मिनट के लिए मैरिनेट होने दें। इस बीच, लाल मिर्च लें और इसे भूनने के लिए सीधे गैस (आग) पर रख दें। इसे तब तक भूनें जब तक यह सभी तरफ से जल न जाए। इसे कुछ मिनट के लिए ठंडा होने दें। मिर्च से जली हुई त्वचा को हटाने के लिए अपने हाथों का उपयोग करें। भुनी हुई मिर्च और हरी मिर्च को एक साथ पीस लें। अब मैरिनेट किए हुए सोया चाप लें और इसमें लाल मिर्च पेस्ट, फेंटा हुआ दही, कसा हुआ पनीर और सभी मसाले डालें इन्हें 7-8 मिनट तक पकाएं और फिर पैन में बचा हुआ मैरिनेड डालें। धीमी आंच पर तब तक पकाएं जब तक ग्रेवी गाढ़ी न होने लगे। अपने स्वादानुसार नमक डालें और आंच बंद कर दें। इसे कुछ ताजा धनिया पत्तियों से सजाएं और गरमागरम परोसें। तंदूरी स्टाइल सोया चाप करी को टमाटर प्याज खीरा रायता और गेहूं के लच्छा पराठे के साथ सप्ताह के दिनों में परोसें।</v>
      </c>
      <c r="J859" s="3" t="s">
        <v>34403</v>
      </c>
      <c r="L859" s="1" t="s">
        <v>31003</v>
      </c>
    </row>
    <row r="860" spans="1:12" ht="13.8">
      <c r="A860" s="1" t="s">
        <v>34404</v>
      </c>
      <c r="B860" s="1" t="str">
        <f ca="1">IFERROR(__xludf.dummyfunction("IF(A860="""", """", GOOGLETRANSLATE(A860, ""en"", ""hi""))"),"उत्तरांचल स्टाइल गढ़वाली काफुली रेसिपी (पालक करी)")</f>
        <v>उत्तरांचल स्टाइल गढ़वाली काफुली रेसिपी (पालक करी)</v>
      </c>
      <c r="C860" s="1" t="s">
        <v>14207</v>
      </c>
      <c r="D860" s="1" t="s">
        <v>14338</v>
      </c>
      <c r="E860" s="1">
        <v>30</v>
      </c>
      <c r="F860" s="1" t="s">
        <v>34405</v>
      </c>
      <c r="G860" s="1" t="str">
        <f ca="1">IFERROR(__xludf.dummyfunction("IF(F860="""", """", GOOGLETRANSLATE(F860, ""en"", ""hi""))"),"2 कप पालक, 1 कप मेथी, 2 हरी मिर्च - कटी हुई, 1 इंच अदरक - कटा हुआ, 1 छोटा चम्मच जीरा, 1/2 छोटा चम्मच हल्दी, 1 छोटा चम्मच धनिया, 1 चुटकी हींग, 1 बड़ा चम्मच चावल का आटा, 1/4 कप दही, नमक - स्वादानुसार, सूरजमुखी का तेल")</f>
        <v>2 कप पालक, 1 कप मेथी, 2 हरी मिर्च - कटी हुई, 1 इंच अदरक - कटा हुआ, 1 छोटा चम्मच जीरा, 1/2 छोटा चम्मच हल्दी, 1 छोटा चम्मच धनिया, 1 चुटकी हींग, 1 बड़ा चम्मच चावल का आटा, 1/4 कप दही, नमक - स्वादानुसार, सूरजमुखी का तेल</v>
      </c>
      <c r="H860" s="1" t="s">
        <v>34406</v>
      </c>
      <c r="I860" s="1" t="str">
        <f ca="1">IFERROR(__xludf.dummyfunction("IF(H860="""", """", GOOGLETRANSLATE(H860, ""en"", ""hi""))"),"उत्तरांचल स्टाइल गढ़वाली काफुली रेसिपी बनाने के लिए सबसे पहले पालक के पत्ते और मेथी के पत्ते धोकर काट लें। हरी मिर्च, नमक और थोड़ा पानी के साथ पत्ते डालें और 2 सीटी आने तक प्रेशर कुक करें। प्रेशर को स्वाभाविक रूप से निकलने दें और पत्तों को कुछ समय के लिए "&amp;"ठंडा होने दें और ग्राइंडर में तब तक पीसें जब तक यह चिकना पेस्ट न बन जाए। एक कढ़ाई में तेल गर्म करें, उसमें अदरक डालें और उसे नरम होने दें। पिसा हुआ पालक का पेस्ट डालें और चलाते रहें। आप मसाला पाउडर और नमक भी डाल सकते हैं और मिलाएँ। एक अलग कटोरे में चावल क"&amp;"े आटे को 1/2 कप पानी के साथ मिलाएँ और ग्रेवी के मिश्रण में मिलाएँ। साथ ही फेंटा हुआ दही डालें और ग्रेवी के गाढ़ा होने तक हिलाते रहें। नमक")</f>
        <v>उत्तरांचल स्टाइल गढ़वाली काफुली रेसिपी बनाने के लिए सबसे पहले पालक के पत्ते और मेथी के पत्ते धोकर काट लें। हरी मिर्च, नमक और थोड़ा पानी के साथ पत्ते डालें और 2 सीटी आने तक प्रेशर कुक करें। प्रेशर को स्वाभाविक रूप से निकलने दें और पत्तों को कुछ समय के लिए ठंडा होने दें और ग्राइंडर में तब तक पीसें जब तक यह चिकना पेस्ट न बन जाए। एक कढ़ाई में तेल गर्म करें, उसमें अदरक डालें और उसे नरम होने दें। पिसा हुआ पालक का पेस्ट डालें और चलाते रहें। आप मसाला पाउडर और नमक भी डाल सकते हैं और मिलाएँ। एक अलग कटोरे में चावल के आटे को 1/2 कप पानी के साथ मिलाएँ और ग्रेवी के मिश्रण में मिलाएँ। साथ ही फेंटा हुआ दही डालें और ग्रेवी के गाढ़ा होने तक हिलाते रहें। नमक</v>
      </c>
      <c r="J860" s="3" t="s">
        <v>34407</v>
      </c>
      <c r="L860" s="1" t="s">
        <v>31003</v>
      </c>
    </row>
    <row r="861" spans="1:12" ht="409.6">
      <c r="A861" s="1" t="s">
        <v>34408</v>
      </c>
      <c r="B861" s="1" t="str">
        <f ca="1">IFERROR(__xludf.dummyfunction("IF(A861="""", """", GOOGLETRANSLATE(A861, ""en"", ""hi""))"),"प्रामाणिक निमकी रेसिपी - शाम की चाय के समय का नाश्ता")</f>
        <v>प्रामाणिक निमकी रेसिपी - शाम की चाय के समय का नाश्ता</v>
      </c>
      <c r="C861" s="1" t="s">
        <v>14281</v>
      </c>
      <c r="D861" s="1" t="s">
        <v>14198</v>
      </c>
      <c r="E861" s="1">
        <v>45</v>
      </c>
      <c r="F861" s="1" t="s">
        <v>34409</v>
      </c>
      <c r="G861" s="1" t="str">
        <f ca="1">IFERROR(__xludf.dummyfunction("IF(F861="""", """", GOOGLETRANSLATE(F861, ""en"", ""hi""))"),"2 कप मैदा, 1 चम्मच नमक, 1/4 कप घी - या तेल, 1 चम्मच अजवाइन, 2 बड़े चम्मच घी, 2 बड़े चम्मच चाट मसाला पाउडर, सूरजमुखी तेल - तलने के लिए")</f>
        <v>2 कप मैदा, 1 चम्मच नमक, 1/4 कप घी - या तेल, 1 चम्मच अजवाइन, 2 बड़े चम्मच घी, 2 बड़े चम्मच चाट मसाला पाउडर, सूरजमुखी तेल - तलने के लिए</v>
      </c>
      <c r="H861" s="4" t="s">
        <v>34410</v>
      </c>
      <c r="I861" s="1" t="str">
        <f ca="1">IFERROR(__xludf.dummyfunction("IF(H861="""", """", GOOGLETRANSLATE(H861, ""en"", ""hi""))"),"निमकी (मठरी) रेसिपी बनाने के लिए सबसे पहले हम निमकी के लिए आटा गूंथेंगे। एक बड़े कटोरे में मैदा, तेल या घी, नमक और अजवाइन डालें। आटे को घी में अच्छी तरह मिलाएँ जब तक कि एक मुलायम मिश्रण न बन जाए। थोड़ा-थोड़ा पानी डालते हुए गूंथ कर एकदम सख्त निमकी का आटा ग"&amp;"ूंथ लें। आटे को ढककर 30 मिनट के लिए रख दें। 30 मिनट के बाद आटे को 20 बराबर लोइयों में बाँट लें। प्रत्येक लोई को 4 इंच के आकार में बेल लें। डिस्क पर थोड़ा घी लगाएँ और थोड़ा चाट मसाला छिड़कें। डिस्क को मोड़कर अर्धवृत्ताकार बनाएँ, अर्धवृत्त पर थोड़ा घी लगाएँ"&amp;" और एक बार फिर मोड़कर त्रिभुज बनाएँ। निमकी (मठरी) के दोनों तरफ काँटे से छेद कर दें, ताकि तलते समय वे खुलें नहीं और फूलें नहीं। इसी तरह मठरी के बचे हुए हिस्से भी बना लें। तलने के लिए तेल गरम करें। जब तेल हल्का गरम हो जाए, तो उसमें एक-एक करके कुछ निमकी (मठर"&amp;"ी) डालें और धीमी आंच पर सुनहरा भूरा और कुरकुरा होने तक तलें। ध्यान रखें कि धीमी से मध्यम आंच पर तलें, नहीं तो निमकी अंदर से कच्ची और बाहर से कुरकुरी लगेगी। तलते समय निमकी (मठरी) को पलटते रहें। तलने के बाद, अतिरिक्त तेल को निकाल दें और उन्हें कागज़ के तौलि"&amp;"ये पर रखें और ठंडा होने दें। ठंडा होने के बाद, निमकी (मठरी) को एक एयरटाइट कंटेनर में एक महीने तक के लिए स्टोर करें। पार्टी मठरी या निमकी को अदरक की चाय या आम के अचार के साथ चाय के नाश्ते के रूप में परोसें या इसे दिवाली, होली या किसी अन्य विशेष अवसर पर बना"&amp;"एँ।")</f>
        <v>निमकी (मठरी) रेसिपी बनाने के लिए सबसे पहले हम निमकी के लिए आटा गूंथेंगे। एक बड़े कटोरे में मैदा, तेल या घी, नमक और अजवाइन डालें। आटे को घी में अच्छी तरह मिलाएँ जब तक कि एक मुलायम मिश्रण न बन जाए। थोड़ा-थोड़ा पानी डालते हुए गूंथ कर एकदम सख्त निमकी का आटा गूंथ लें। आटे को ढककर 30 मिनट के लिए रख दें। 30 मिनट के बाद आटे को 20 बराबर लोइयों में बाँट लें। प्रत्येक लोई को 4 इंच के आकार में बेल लें। डिस्क पर थोड़ा घी लगाएँ और थोड़ा चाट मसाला छिड़कें। डिस्क को मोड़कर अर्धवृत्ताकार बनाएँ, अर्धवृत्त पर थोड़ा घी लगाएँ और एक बार फिर मोड़कर त्रिभुज बनाएँ। निमकी (मठरी) के दोनों तरफ काँटे से छेद कर दें, ताकि तलते समय वे खुलें नहीं और फूलें नहीं। इसी तरह मठरी के बचे हुए हिस्से भी बना लें। तलने के लिए तेल गरम करें। जब तेल हल्का गरम हो जाए, तो उसमें एक-एक करके कुछ निमकी (मठरी) डालें और धीमी आंच पर सुनहरा भूरा और कुरकुरा होने तक तलें। ध्यान रखें कि धीमी से मध्यम आंच पर तलें, नहीं तो निमकी अंदर से कच्ची और बाहर से कुरकुरी लगेगी। तलते समय निमकी (मठरी) को पलटते रहें। तलने के बाद, अतिरिक्त तेल को निकाल दें और उन्हें कागज़ के तौलिये पर रखें और ठंडा होने दें। ठंडा होने के बाद, निमकी (मठरी) को एक एयरटाइट कंटेनर में एक महीने तक के लिए स्टोर करें। पार्टी मठरी या निमकी को अदरक की चाय या आम के अचार के साथ चाय के नाश्ते के रूप में परोसें या इसे दिवाली, होली या किसी अन्य विशेष अवसर पर बनाएँ।</v>
      </c>
      <c r="J861" s="3" t="s">
        <v>34411</v>
      </c>
      <c r="L861" s="1" t="s">
        <v>31003</v>
      </c>
    </row>
    <row r="862" spans="1:12" ht="13.8">
      <c r="A862" s="1" t="s">
        <v>34412</v>
      </c>
      <c r="B862" s="1" t="str">
        <f ca="1">IFERROR(__xludf.dummyfunction("IF(A862="""", """", GOOGLETRANSLATE(A862, ""en"", ""hi""))"),"अचारी गोश्त रेसिपी")</f>
        <v>अचारी गोश्त रेसिपी</v>
      </c>
      <c r="C862" s="1" t="s">
        <v>145</v>
      </c>
      <c r="D862" s="1" t="s">
        <v>14382</v>
      </c>
      <c r="E862" s="1">
        <v>55</v>
      </c>
      <c r="F862" s="1" t="s">
        <v>34413</v>
      </c>
      <c r="G862" s="1" t="str">
        <f ca="1">IFERROR(__xludf.dummyfunction("IF(F862="""", """", GOOGLETRANSLATE(F862, ""en"", ""hi""))"),"300 ग्राम मटन, 1/2 कप दही, 1 चम्मच लाल मिर्च पाउडर, 1 बड़ा चम्मच धनिया पाउडर, 1 बड़ा चम्मच गरम मसाला पाउडर, 1/2 चम्मच हल्दी पाउडर, नमक - स्वादानुसार, 2 चम्मच सूरजमुखी तेल, 2 टमाटर - कटे हुए, 2 प्याज - कटे हुए, 1 हरी मिर्च, 1 चम्मच सरसों के बीज, 1 चम्मच कल"&amp;"ौंजी, 1 चम्मच सौंफ, 1 चम्मच जीरा, 1 चम्मच मेथी के बीज, 2 सूखी लाल मिर्च")</f>
        <v>300 ग्राम मटन, 1/2 कप दही, 1 चम्मच लाल मिर्च पाउडर, 1 बड़ा चम्मच धनिया पाउडर, 1 बड़ा चम्मच गरम मसाला पाउडर, 1/2 चम्मच हल्दी पाउडर, नमक - स्वादानुसार, 2 चम्मच सूरजमुखी तेल, 2 टमाटर - कटे हुए, 2 प्याज - कटे हुए, 1 हरी मिर्च, 1 चम्मच सरसों के बीज, 1 चम्मच कलौंजी, 1 चम्मच सौंफ, 1 चम्मच जीरा, 1 चम्मच मेथी के बीज, 2 सूखी लाल मिर्च</v>
      </c>
      <c r="H862" s="1" t="s">
        <v>34414</v>
      </c>
      <c r="I862" s="1" t="str">
        <f ca="1">IFERROR(__xludf.dummyfunction("IF(H862="""", """", GOOGLETRANSLATE(H862, ""en"", ""hi""))"),"अचारी गोश्त रेसिपी बनाने के लिए सबसे पहले एक बड़े कटोरे में दही, लाल मिर्च पाउडर, धनिया पाउडर, गरम मसाला पाउडर और हल्दी पाउडर डालें और अच्छी तरह मिलाएँ। इस दही के मिश्रण में मटन के टुकड़े डालें और मटन को दही/मैरिनेड मिश्रण से कोट करें। इसे कम से कम 1 घंटे"&amp;" के लिए अलग रख दें। एक मिक्सर में प्याज़, टमाटर और हरी मिर्च डालें और एक चिकना पेस्ट बना लें और एक तरफ रख दें। एक कड़ाही में अचारी मसाला बनाने के लिए सभी सामग्री डालें और साबुत मसालों को मध्यम आँच पर 10 मिनट तक भूनें जब तक कि बीज बाहर न निकलने लगें। कड़ाह"&amp;"ी को आँच से उतार लें और मसालों को कमरे के तापमान पर ठंडा होने दें। इसे मिक्सर में दरदरा पीस लें और एक तरफ रख दें। एक प्रेशर कुकर में थोड़ा तेल गरम करें, उसमें पिसा हुआ टमाटर और प्याज़ का मिश्रण डालें और तब तक भूनें जब तक कि उनकी कच्ची महक न चली जाए। इसमें"&amp;" अचारी मसाला डालें और कुछ और समय तक भूनें। इसमें मैरीनेट किए हुए मटन के टुकड़े डालें और तब तक पकाते रहें जब तक दही अपनी नमी न खो दे। नमक की जांच करें और लगभग 1 कप पानी डालें और कम से कम 5 सीटी आने तक प्रेशर कुक करें। अचारी गोश्त रेसिपी को लहसुन नान विदाउट"&amp;" यीस्ट रेसिपी और अचार वाले प्याज और तड़का दाल के साथ परोसें ताकि यह एक संपूर्ण व्यंजन बन जाए।")</f>
        <v>अचारी गोश्त रेसिपी बनाने के लिए सबसे पहले एक बड़े कटोरे में दही, लाल मिर्च पाउडर, धनिया पाउडर, गरम मसाला पाउडर और हल्दी पाउडर डालें और अच्छी तरह मिलाएँ। इस दही के मिश्रण में मटन के टुकड़े डालें और मटन को दही/मैरिनेड मिश्रण से कोट करें। इसे कम से कम 1 घंटे के लिए अलग रख दें। एक मिक्सर में प्याज़, टमाटर और हरी मिर्च डालें और एक चिकना पेस्ट बना लें और एक तरफ रख दें। एक कड़ाही में अचारी मसाला बनाने के लिए सभी सामग्री डालें और साबुत मसालों को मध्यम आँच पर 10 मिनट तक भूनें जब तक कि बीज बाहर न निकलने लगें। कड़ाही को आँच से उतार लें और मसालों को कमरे के तापमान पर ठंडा होने दें। इसे मिक्सर में दरदरा पीस लें और एक तरफ रख दें। एक प्रेशर कुकर में थोड़ा तेल गरम करें, उसमें पिसा हुआ टमाटर और प्याज़ का मिश्रण डालें और तब तक भूनें जब तक कि उनकी कच्ची महक न चली जाए। इसमें अचारी मसाला डालें और कुछ और समय तक भूनें। इसमें मैरीनेट किए हुए मटन के टुकड़े डालें और तब तक पकाते रहें जब तक दही अपनी नमी न खो दे। नमक की जांच करें और लगभग 1 कप पानी डालें और कम से कम 5 सीटी आने तक प्रेशर कुक करें। अचारी गोश्त रेसिपी को लहसुन नान विदाउट यीस्ट रेसिपी और अचार वाले प्याज और तड़का दाल के साथ परोसें ताकि यह एक संपूर्ण व्यंजन बन जाए।</v>
      </c>
      <c r="J862" s="3" t="s">
        <v>34415</v>
      </c>
      <c r="L862" s="1" t="s">
        <v>31003</v>
      </c>
    </row>
    <row r="863" spans="1:12" ht="409.6">
      <c r="A863" s="1" t="s">
        <v>34416</v>
      </c>
      <c r="B863" s="1" t="str">
        <f ca="1">IFERROR(__xludf.dummyfunction("IF(A863="""", """", GOOGLETRANSLATE(A863, ""en"", ""hi""))"),"अचारी आलू गोभी रेसिपी - मसालेदार भारतीय फूलगोभी स्टर फ्राई")</f>
        <v>अचारी आलू गोभी रेसिपी - मसालेदार भारतीय फूलगोभी स्टर फ्राई</v>
      </c>
      <c r="C863" s="1" t="s">
        <v>145</v>
      </c>
      <c r="D863" s="1" t="s">
        <v>14198</v>
      </c>
      <c r="E863" s="1">
        <v>50</v>
      </c>
      <c r="F863" s="1" t="s">
        <v>34417</v>
      </c>
      <c r="G863" s="1" t="str">
        <f ca="1">IFERROR(__xludf.dummyfunction("IF(F863="""", """", GOOGLETRANSLATE(F863, ""en"", ""hi""))"),"1 फूलगोभी - फूलों में कटी हुई, 2 आलू - उबले और छिलके उतारे हुए, 2 बड़े चम्मच सरसों का तेल, 2 हरी मिर्च - लम्बाई में चीरी हुई, 1 इंच अदरक - कसा हुआ, 1 प्याज - कटा हुआ, 1 चम्मच अचारी मसाला, 1 चम्मच अमचूर, 1 चम्मच हल्दी, नमक - स्वादानुसार, लाल मिर्च पाउडर - "&amp;"स्वादानुसार, 1 सूखी लाल मिर्च, 1 चम्मच धनिया के बीज, 1/2 चम्मच कलौंजी, 2 चम्मच सौंफ, 1 चम्मच सरसों के बीज, 2 चम्मच जीरा, 1/2 चम्मच मेथी के बीज")</f>
        <v>1 फूलगोभी - फूलों में कटी हुई, 2 आलू - उबले और छिलके उतारे हुए, 2 बड़े चम्मच सरसों का तेल, 2 हरी मिर्च - लम्बाई में चीरी हुई, 1 इंच अदरक - कसा हुआ, 1 प्याज - कटा हुआ, 1 चम्मच अचारी मसाला, 1 चम्मच अमचूर, 1 चम्मच हल्दी, नमक - स्वादानुसार, लाल मिर्च पाउडर - स्वादानुसार, 1 सूखी लाल मिर्च, 1 चम्मच धनिया के बीज, 1/2 चम्मच कलौंजी, 2 चम्मच सौंफ, 1 चम्मच सरसों के बीज, 2 चम्मच जीरा, 1/2 चम्मच मेथी के बीज</v>
      </c>
      <c r="H863" s="4" t="s">
        <v>34418</v>
      </c>
      <c r="I863" s="1" t="str">
        <f ca="1">IFERROR(__xludf.dummyfunction("IF(H863="""", """", GOOGLETRANSLATE(H863, ""en"", ""hi""))"),"अचारी आलू गोभी रेसिपी बनाने के लिए सबसे पहले हम आलू को पकने तक उबालेंगे। आप आलू को थोड़े से पानी के साथ प्रेशर कुकर में दो सीटी आने तक पका सकते हैं और आंच बंद कर सकते हैं। आलू पक जाने पर आलू को छीलकर छोटे टुकड़ों में काट लें। एक तरफ रख दें। फूलगोभी के फूल"&amp;"ों को स्टीमर में लगभग पकने तक भाप में पकाएं और एक तरफ रख दें। अगला कदम है अचारी मसाला बनाना। एक छोटे पैन या कड़ाही में, अचारी मसाले की सभी सामग्री को लगभग दो मिनट तक भुनने की सुगंध आने तक भूनें। भुन जाने के बाद, आंच बंद कर दें और सामग्री को ठंडा करके अचार"&amp;"ी मसाला पाउडर बनाने के लिए ब्लेंड करें। एक कड़ाही में मध्यम आंच पर सरसों का तेल गर्म करें। इसमें हरी मिर्च, अदरक और प्याज डालें और प्याज के पारदर्शी होने तक भूनें थोड़ा पानी डालें, सभी सामग्री को अच्छी तरह मिलाएँ, ढक्कन से ढँक दें और धीमी से मध्यम आँच पर "&amp;"5-8 मिनट तक पकाएँ जब तक कि सभी मसाले अच्छी तरह से मिल न जाएँ और गोभी और आलू अच्छी तरह से पककर मसाला सोख न लें। नमक और मसाले की जाँच करें और अपने स्वाद के अनुसार समायोजित करें। आँच बंद कर दें, कटा हुआ हरा धनिया मिलाएँ और एक सर्विंग बाउल में डालें। अचारी आल"&amp;"ू गोभी को फुल्का और टमाटर प्याज खीरा रायता के साथ परोसें और रात के खाने के लिए झटपट तैयार करें।")</f>
        <v>अचारी आलू गोभी रेसिपी बनाने के लिए सबसे पहले हम आलू को पकने तक उबालेंगे। आप आलू को थोड़े से पानी के साथ प्रेशर कुकर में दो सीटी आने तक पका सकते हैं और आंच बंद कर सकते हैं। आलू पक जाने पर आलू को छीलकर छोटे टुकड़ों में काट लें। एक तरफ रख दें। फूलगोभी के फूलों को स्टीमर में लगभग पकने तक भाप में पकाएं और एक तरफ रख दें। अगला कदम है अचारी मसाला बनाना। एक छोटे पैन या कड़ाही में, अचारी मसाले की सभी सामग्री को लगभग दो मिनट तक भुनने की सुगंध आने तक भूनें। भुन जाने के बाद, आंच बंद कर दें और सामग्री को ठंडा करके अचारी मसाला पाउडर बनाने के लिए ब्लेंड करें। एक कड़ाही में मध्यम आंच पर सरसों का तेल गर्म करें। इसमें हरी मिर्च, अदरक और प्याज डालें और प्याज के पारदर्शी होने तक भूनें थोड़ा पानी डालें, सभी सामग्री को अच्छी तरह मिलाएँ, ढक्कन से ढँक दें और धीमी से मध्यम आँच पर 5-8 मिनट तक पकाएँ जब तक कि सभी मसाले अच्छी तरह से मिल न जाएँ और गोभी और आलू अच्छी तरह से पककर मसाला सोख न लें। नमक और मसाले की जाँच करें और अपने स्वाद के अनुसार समायोजित करें। आँच बंद कर दें, कटा हुआ हरा धनिया मिलाएँ और एक सर्विंग बाउल में डालें। अचारी आलू गोभी को फुल्का और टमाटर प्याज खीरा रायता के साथ परोसें और रात के खाने के लिए झटपट तैयार करें।</v>
      </c>
      <c r="J863" s="3" t="s">
        <v>34419</v>
      </c>
      <c r="L863" s="1" t="s">
        <v>31003</v>
      </c>
    </row>
    <row r="864" spans="1:12" ht="409.6">
      <c r="A864" s="1" t="s">
        <v>34420</v>
      </c>
      <c r="B864" s="1" t="str">
        <f ca="1">IFERROR(__xludf.dummyfunction("IF(A864="""", """", GOOGLETRANSLATE(A864, ""en"", ""hi""))"),"धनिया मुर्ग मखनी रेसिपी")</f>
        <v>धनिया मुर्ग मखनी रेसिपी</v>
      </c>
      <c r="C864" s="1" t="s">
        <v>15208</v>
      </c>
      <c r="D864" s="1" t="s">
        <v>14382</v>
      </c>
      <c r="E864" s="1">
        <v>45</v>
      </c>
      <c r="F864" s="1" t="s">
        <v>34421</v>
      </c>
      <c r="G864" s="1" t="str">
        <f ca="1">IFERROR(__xludf.dummyfunction("IF(F864="""", """", GOOGLETRANSLATE(F864, ""en"", ""hi""))"),"300 ग्राम चिकन ड्रमस्टिक - छोटे टुकड़ों में कटा हुआ, 2 आलू - छिले और टुकड़ों में कटे हुए, 1 इलायची की फली / बीज, 2 इंच दालचीनी, 1 चम्मच जीरा, 1 प्याज - कटा हुआ, 1 चम्मच हल्दी पाउडर (हल्दी), 1 नींबू का रस, 1 बड़ा चम्मच गरम मसाला पाउडर, 1 चम्मच आमचूर (सूखा "&amp;"आम पाउडर), 1 कप दही (दही), नमक - स्वादानुसार, 2 प्याज - कटे हुए, 1 टमाटर - कटा हुआ, 1/2 कप धनिया (धनिया) के पत्ते, 1 इंच अदरक - कटा हुआ, 4 लहसुन के दाने, 2 हरी मिर्च - कटी हुई")</f>
        <v>300 ग्राम चिकन ड्रमस्टिक - छोटे टुकड़ों में कटा हुआ, 2 आलू - छिले और टुकड़ों में कटे हुए, 1 इलायची की फली / बीज, 2 इंच दालचीनी, 1 चम्मच जीरा, 1 प्याज - कटा हुआ, 1 चम्मच हल्दी पाउडर (हल्दी), 1 नींबू का रस, 1 बड़ा चम्मच गरम मसाला पाउडर, 1 चम्मच आमचूर (सूखा आम पाउडर), 1 कप दही (दही), नमक - स्वादानुसार, 2 प्याज - कटे हुए, 1 टमाटर - कटा हुआ, 1/2 कप धनिया (धनिया) के पत्ते, 1 इंच अदरक - कटा हुआ, 4 लहसुन के दाने, 2 हरी मिर्च - कटी हुई</v>
      </c>
      <c r="H864" s="4" t="s">
        <v>34422</v>
      </c>
      <c r="I864" s="1" t="str">
        <f ca="1">IFERROR(__xludf.dummyfunction("IF(H864="""", """", GOOGLETRANSLATE(H864, ""en"", ""hi""))"),"धनिया मुर्ग मखनी रेसिपी बनाने के लिए, हम चिकन के टुकड़ों को अच्छी तरह से धो लेंगे और एक कटोरे में हल्दी पाउडर, नमक और नींबू के रस के साथ मैरीनेट करेंगे। एक पैन में तेल गरम करें, उसमें कटा हुआ प्याज डालें और नरम होने तक भूनें, टमाटर डालें और उन्हें भी अच्छ"&amp;"ी तरह से मैश होने तक भूनें। जब यह पक जाए तो आँच बंद कर दें और इसे ठंडा होने दें। भुने हुए प्याज और टमाटर को धनिया पत्ती, हरी मिर्च, लहसुन और अदरक के साथ थोड़ा पानी डालकर बारीक पीस लें। एक प्रेशर कुकर में तेल गरम करें, उसमें दालचीनी और इलायची के दाने जैसे "&amp;"साबुत मसाले डालें और एक चम्मच जीरा डालें और कुछ सेकंड के लिए इसे चटकने दें। कटा हुआ प्याज डालें और नरम होने तक भूनें। कटे हुए आलू, चिकन, पिसा हुआ मसाला पेस्ट और सभी मसाले पाउडर डालें। नमक की जाँच करें। लगभग 5 मिनट तक भूनें जब तक कि मसाला अच्छी तरह से न मि"&amp;"ल जाए। दही डालें और एक आखिरी बार चलाएँ। यदि चिकन पकाने के लिए पानी पर्याप्त नहीं है, तो लगभग 1 कप पानी डालें और 4 सीटी आने तक प्रेशर कुकर में पकाएँ। धनिया मुर्ग मखनी को लहसुन नान, उबले हुए चावल और शाकाहारी सब्ज़ी के साथ अपने रविवार के भोजन के लिए करी के स"&amp;"ाथ परोसें।")</f>
        <v>धनिया मुर्ग मखनी रेसिपी बनाने के लिए, हम चिकन के टुकड़ों को अच्छी तरह से धो लेंगे और एक कटोरे में हल्दी पाउडर, नमक और नींबू के रस के साथ मैरीनेट करेंगे। एक पैन में तेल गरम करें, उसमें कटा हुआ प्याज डालें और नरम होने तक भूनें, टमाटर डालें और उन्हें भी अच्छी तरह से मैश होने तक भूनें। जब यह पक जाए तो आँच बंद कर दें और इसे ठंडा होने दें। भुने हुए प्याज और टमाटर को धनिया पत्ती, हरी मिर्च, लहसुन और अदरक के साथ थोड़ा पानी डालकर बारीक पीस लें। एक प्रेशर कुकर में तेल गरम करें, उसमें दालचीनी और इलायची के दाने जैसे साबुत मसाले डालें और एक चम्मच जीरा डालें और कुछ सेकंड के लिए इसे चटकने दें। कटा हुआ प्याज डालें और नरम होने तक भूनें। कटे हुए आलू, चिकन, पिसा हुआ मसाला पेस्ट और सभी मसाले पाउडर डालें। नमक की जाँच करें। लगभग 5 मिनट तक भूनें जब तक कि मसाला अच्छी तरह से न मिल जाए। दही डालें और एक आखिरी बार चलाएँ। यदि चिकन पकाने के लिए पानी पर्याप्त नहीं है, तो लगभग 1 कप पानी डालें और 4 सीटी आने तक प्रेशर कुकर में पकाएँ। धनिया मुर्ग मखनी को लहसुन नान, उबले हुए चावल और शाकाहारी सब्ज़ी के साथ अपने रविवार के भोजन के लिए करी के साथ परोसें।</v>
      </c>
      <c r="J864" s="3" t="s">
        <v>34423</v>
      </c>
      <c r="L864" s="1" t="s">
        <v>31003</v>
      </c>
    </row>
    <row r="865" spans="1:12" ht="409.6">
      <c r="A865" s="1" t="s">
        <v>34424</v>
      </c>
      <c r="B865" s="1" t="str">
        <f ca="1">IFERROR(__xludf.dummyfunction("IF(A865="""", """", GOOGLETRANSLATE(A865, ""en"", ""hi""))"),"तिल के लड्डू रेसिपी (तिल के लड्डू रेसिपी)")</f>
        <v>तिल के लड्डू रेसिपी (तिल के लड्डू रेसिपी)</v>
      </c>
      <c r="C865" s="1" t="s">
        <v>14281</v>
      </c>
      <c r="D865" s="1" t="s">
        <v>14198</v>
      </c>
      <c r="E865" s="1">
        <v>60</v>
      </c>
      <c r="F865" s="1" t="s">
        <v>34425</v>
      </c>
      <c r="G865" s="1" t="str">
        <f ca="1">IFERROR(__xludf.dummyfunction("IF(F865="""", """", GOOGLETRANSLATE(F865, ""en"", ""hi""))"),"250 ग्राम तिल - 2 कप, 250 ग्राम गुड़, 1/2 कप नारियल, 1/2 कप भुनी मूंगफली - कुटी हुई, 1 छोटा चम्मच इलायची पाउडर, 2 बड़े चम्मच घी")</f>
        <v>250 ग्राम तिल - 2 कप, 250 ग्राम गुड़, 1/2 कप नारियल, 1/2 कप भुनी मूंगफली - कुटी हुई, 1 छोटा चम्मच इलायची पाउडर, 2 बड़े चम्मच घी</v>
      </c>
      <c r="H865" s="4" t="s">
        <v>34426</v>
      </c>
      <c r="I865" s="1" t="str">
        <f ca="1">IFERROR(__xludf.dummyfunction("IF(H865="""", """", GOOGLETRANSLATE(H865, ""en"", ""hi""))"),"तिल के लड्डू बनाने की विधि (तिल के लड्डू बनाने की विधि) एक नॉनस्टिक कढ़ाई को गर्म करके शुरू करें। इसे मध्यम आंच पर रखें, तिल डालें और रंग बदलने तक उन्हें सूखा भून लें। इसे निकालकर अलग रख दें। फिर इसमें मूंगफली डालें और भूरा होने तक सूखा भून लें। आंच से उत"&amp;"ार लें और इसे ठंडा होने दें, और मूसल का उपयोग करके इसे दरदरा पीस लें। उसी पैन में, सूखे नारियल को सुनहरा भूरा होने तक सूखा भून लें और एक तरफ रख दें। इलायची पाउडर के साथ सभी 3 सामग्री को एक साथ मिलाएं और एक तरफ रख दें। गुड़ की चाशनी तैयार करने के लिए, कढ़ा"&amp;"ई को गर्म करें और उसमें पिसा हुआ गुड़ और आधा कप पानी डालें और तब तक हिलाते रहें जब तक कि सभी गांठें अच्छी तरह से मिल न जाएं। इसे तब तक हिलाते रहें जब तक यह उबल न जाए और नरम उबाल न आ जाए। इसका मतलब है कि जब आप मेज पर गुड़ की चाशनी की एक बूंद डालते हैं तो उ"&amp;"से एक बूंद के आकार में रहना चाहिए और फैलना नहीं चाहिए। आप गुड़ की कुछ बूँदें पानी से भरे एक कटोरे में डालकर भी जाँच कर सकते हैं, गुड़ को बाहर निकालने के बाद यह चिपचिपा होना चाहिए और नरम गेंद के आकार का होना चाहिए। इस बिंदु पर आंच बंद कर दें, सूखा भुना हुआ"&amp;" मिश्रण सावधानी से डालें और अच्छी तरह मिलाएँ। पैन को आँच से उतार लें और इसे रसोई के स्लैब पर रख दें। आप कुछ मिनट तक प्रतीक्षा कर सकते हैं या जब यह गर्म हो जाए, तो अपनी हथेली पर थोड़ा घी लगाएँ और छोटी-छोटी गेंदें बनाना शुरू करें और इसे अपने आकार में रखने क"&amp;"े लिए एक प्लेट पर रखें। तिल के लड्डू रेसिपी (तिल के लड्डू रेसिपी) को किसी भी त्यौहार के अवसर पर पार्टी डेसर्ट के रूप में परोसें।")</f>
        <v>तिल के लड्डू बनाने की विधि (तिल के लड्डू बनाने की विधि) एक नॉनस्टिक कढ़ाई को गर्म करके शुरू करें। इसे मध्यम आंच पर रखें, तिल डालें और रंग बदलने तक उन्हें सूखा भून लें। इसे निकालकर अलग रख दें। फिर इसमें मूंगफली डालें और भूरा होने तक सूखा भून लें। आंच से उतार लें और इसे ठंडा होने दें, और मूसल का उपयोग करके इसे दरदरा पीस लें। उसी पैन में, सूखे नारियल को सुनहरा भूरा होने तक सूखा भून लें और एक तरफ रख दें। इलायची पाउडर के साथ सभी 3 सामग्री को एक साथ मिलाएं और एक तरफ रख दें। गुड़ की चाशनी तैयार करने के लिए, कढ़ाई को गर्म करें और उसमें पिसा हुआ गुड़ और आधा कप पानी डालें और तब तक हिलाते रहें जब तक कि सभी गांठें अच्छी तरह से मिल न जाएं। इसे तब तक हिलाते रहें जब तक यह उबल न जाए और नरम उबाल न आ जाए। इसका मतलब है कि जब आप मेज पर गुड़ की चाशनी की एक बूंद डालते हैं तो उसे एक बूंद के आकार में रहना चाहिए और फैलना नहीं चाहिए। आप गुड़ की कुछ बूँदें पानी से भरे एक कटोरे में डालकर भी जाँच कर सकते हैं, गुड़ को बाहर निकालने के बाद यह चिपचिपा होना चाहिए और नरम गेंद के आकार का होना चाहिए। इस बिंदु पर आंच बंद कर दें, सूखा भुना हुआ मिश्रण सावधानी से डालें और अच्छी तरह मिलाएँ। पैन को आँच से उतार लें और इसे रसोई के स्लैब पर रख दें। आप कुछ मिनट तक प्रतीक्षा कर सकते हैं या जब यह गर्म हो जाए, तो अपनी हथेली पर थोड़ा घी लगाएँ और छोटी-छोटी गेंदें बनाना शुरू करें और इसे अपने आकार में रखने के लिए एक प्लेट पर रखें। तिल के लड्डू रेसिपी (तिल के लड्डू रेसिपी) को किसी भी त्यौहार के अवसर पर पार्टी डेसर्ट के रूप में परोसें।</v>
      </c>
      <c r="J865" s="3" t="s">
        <v>34427</v>
      </c>
      <c r="L865" s="1" t="s">
        <v>31003</v>
      </c>
    </row>
    <row r="866" spans="1:12" ht="409.6">
      <c r="A866" s="1" t="s">
        <v>34428</v>
      </c>
      <c r="B866" s="1" t="str">
        <f ca="1">IFERROR(__xludf.dummyfunction("IF(A866="""", """", GOOGLETRANSLATE(A866, ""en"", ""hi""))"),"बेबी कॉर्न बटर मसाला रेसिपी")</f>
        <v>बेबी कॉर्न बटर मसाला रेसिपी</v>
      </c>
      <c r="C866" s="1" t="s">
        <v>145</v>
      </c>
      <c r="D866" s="1" t="s">
        <v>14198</v>
      </c>
      <c r="E866" s="1">
        <v>40</v>
      </c>
      <c r="F866" s="1" t="s">
        <v>34429</v>
      </c>
      <c r="G866" s="1" t="str">
        <f ca="1">IFERROR(__xludf.dummyfunction("IF(F866="""", """", GOOGLETRANSLATE(F866, ""en"", ""hi""))"),"500 ग्राम बेबी कॉर्न - टुकड़ों में कटा हुआ, 3 टमाटर - प्यूरी किया हुआ, 1 चम्मच लाल मिर्च पाउडर, 1 चम्मच जीरा पाउडर (जीरा), 1 चम्मच गरम मसाला पाउडर, 1/4 कप ताजा क्रीम, 2 बड़े चम्मच मक्खन, नमक - स्वादानुसार, 1 चम्मच कसूरी मेथी (सूखी मेथी के पत्ते), सूरजमुखी"&amp;" तेल - या मक्खन भी चलेगा, 1 प्याज, 1 इंच अदरक - छिला हुआ, 6 लहसुन के टुकड़े, 2 बड़े चम्मच काजू")</f>
        <v>500 ग्राम बेबी कॉर्न - टुकड़ों में कटा हुआ, 3 टमाटर - प्यूरी किया हुआ, 1 चम्मच लाल मिर्च पाउडर, 1 चम्मच जीरा पाउडर (जीरा), 1 चम्मच गरम मसाला पाउडर, 1/4 कप ताजा क्रीम, 2 बड़े चम्मच मक्खन, नमक - स्वादानुसार, 1 चम्मच कसूरी मेथी (सूखी मेथी के पत्ते), सूरजमुखी तेल - या मक्खन भी चलेगा, 1 प्याज, 1 इंच अदरक - छिला हुआ, 6 लहसुन के टुकड़े, 2 बड़े चम्मच काजू</v>
      </c>
      <c r="H866" s="4" t="s">
        <v>34430</v>
      </c>
      <c r="I866" s="1" t="str">
        <f ca="1">IFERROR(__xludf.dummyfunction("IF(H866="""", """", GOOGLETRANSLATE(H866, ""en"", ""hi""))"),"मिक्सर ग्राइंडर में बेबी कॉर्न बटर मसाला रेसिपी बनाने के लिए नीचे बताई गई सामग्री जैसे प्याज, अदरक, लहसुन, काजू को थोड़े पानी का उपयोग करके मुलायम होने तक पीस लें। एक कटोरे में निकाल लें और आवश्यकता होने तक अलग रख दें। एक करी पैन में मध्यम आंच पर मक्खन गर"&amp;"्म करें। बेबी कॉर्न डालें और कम से कम 10 मिनट तक भूनें जब तक कि यह अच्छी तरह से भुन न जाए और पक न जाए। एक बार जब बेबी कॉर्न पक जाए तो आप उन्हें बाहर निकाल सकते हैं और एक कटोरे में रख सकते हैं। उसी पैन में थोड़ा और तेल डालें, प्याज का पेस्ट डालें और मध्यम "&amp;"आँच पर तब तक भूनें जब तक कि यह हल्का भूरा न हो जाए और तेल मसाले से अलग न होने लगे। लाल मिर्च पाउडर और टमाटर प्यूरी डालें, मध्यम आँच पर कुछ और मिनट के लिए एक बार फिर से भूनें। मिश्रण को चलाकर बटर मसाला ग्रेवी को मध्यम आंच पर 10 से 15 मिनट तक या गाढ़ा होने "&amp;"तक पकने दें। जब बटर मसाला गाढ़ा हो जाए तो इसमें क्रीम, नमक और बेबी कॉर्न डालें। मिश्रण को चलाकर 5-10 मिनट तक पकने दें और बेबी कॉर्न को ग्रेवी का स्वाद सोखने दें। अगर बेबी कॉर्न बटर मसाला अभी भी थोड़ा पतला लग रहा है तो इसे कुछ और मिनट के लिए पकने दें। आंच "&amp;"बंद कर दें। बेबी कॉर्न बटर मसाला पर कुटी हुई कसूरी मेथी छिड़कें और मिलाने के लिए हिलाएं। बेबी कॉर्न बटर मसाला रेसिपी को अपनी पसंदीदा भारतीय ब्रेड, जीरा पुलाव, पापड़ और टमाटर प्याज खीरा रायता के साथ परोसें और अपने परिवार के लिए संपूर्ण डिनर बनाएं।")</f>
        <v>मिक्सर ग्राइंडर में बेबी कॉर्न बटर मसाला रेसिपी बनाने के लिए नीचे बताई गई सामग्री जैसे प्याज, अदरक, लहसुन, काजू को थोड़े पानी का उपयोग करके मुलायम होने तक पीस लें। एक कटोरे में निकाल लें और आवश्यकता होने तक अलग रख दें। एक करी पैन में मध्यम आंच पर मक्खन गर्म करें। बेबी कॉर्न डालें और कम से कम 10 मिनट तक भूनें जब तक कि यह अच्छी तरह से भुन न जाए और पक न जाए। एक बार जब बेबी कॉर्न पक जाए तो आप उन्हें बाहर निकाल सकते हैं और एक कटोरे में रख सकते हैं। उसी पैन में थोड़ा और तेल डालें, प्याज का पेस्ट डालें और मध्यम आँच पर तब तक भूनें जब तक कि यह हल्का भूरा न हो जाए और तेल मसाले से अलग न होने लगे। लाल मिर्च पाउडर और टमाटर प्यूरी डालें, मध्यम आँच पर कुछ और मिनट के लिए एक बार फिर से भूनें। मिश्रण को चलाकर बटर मसाला ग्रेवी को मध्यम आंच पर 10 से 15 मिनट तक या गाढ़ा होने तक पकने दें। जब बटर मसाला गाढ़ा हो जाए तो इसमें क्रीम, नमक और बेबी कॉर्न डालें। मिश्रण को चलाकर 5-10 मिनट तक पकने दें और बेबी कॉर्न को ग्रेवी का स्वाद सोखने दें। अगर बेबी कॉर्न बटर मसाला अभी भी थोड़ा पतला लग रहा है तो इसे कुछ और मिनट के लिए पकने दें। आंच बंद कर दें। बेबी कॉर्न बटर मसाला पर कुटी हुई कसूरी मेथी छिड़कें और मिलाने के लिए हिलाएं। बेबी कॉर्न बटर मसाला रेसिपी को अपनी पसंदीदा भारतीय ब्रेड, जीरा पुलाव, पापड़ और टमाटर प्याज खीरा रायता के साथ परोसें और अपने परिवार के लिए संपूर्ण डिनर बनाएं।</v>
      </c>
      <c r="J866" s="3" t="s">
        <v>34431</v>
      </c>
      <c r="L866" s="1" t="s">
        <v>31003</v>
      </c>
    </row>
    <row r="867" spans="1:12" ht="409.6">
      <c r="A867" s="1" t="s">
        <v>34432</v>
      </c>
      <c r="B867" s="1" t="str">
        <f ca="1">IFERROR(__xludf.dummyfunction("IF(A867="""", """", GOOGLETRANSLATE(A867, ""en"", ""hi""))"),"कड़ाही वेजिटेबल सब्ज़ी रेसिपी (मसालों के साथ मिक्स वेजिटेबल भून)")</f>
        <v>कड़ाही वेजिटेबल सब्ज़ी रेसिपी (मसालों के साथ मिक्स वेजिटेबल भून)</v>
      </c>
      <c r="C867" s="1" t="s">
        <v>14207</v>
      </c>
      <c r="D867" s="1" t="s">
        <v>14198</v>
      </c>
      <c r="E867" s="1">
        <v>50</v>
      </c>
      <c r="F867" s="1" t="s">
        <v>34433</v>
      </c>
      <c r="G867" s="1" t="str">
        <f ca="1">IFERROR(__xludf.dummyfunction("IF(F867="""", """", GOOGLETRANSLATE(F867, ""en"", ""hi""))"),"200 ग्राम फूलगोभी - छोटे फूल उबले हुए, 2 गाजर - कटे हुए या कटे हुए, 100 ग्राम हरी बीन्स (फ्रेंच बीन्स) - 1 इंच के टुकड़ों में कटी हुई, 1 प्याज - कटा हुआ, 1 हरी बेल मिर्च (शिमला मिर्च) - कटा हुआ, 3 लौंग लहसुन - कसा हुआ, 1 इंच अदरक - कसा हुआ, 1/2 कप घर का ब"&amp;"ना टमाटर प्यूरी - या 2 बड़े टमाटर कटे हुए, 1 चम्मच इलायची पाउडर (इलायची), 1 चम्मच हल्दी पाउडर (हल्दी), 1 चम्मच धनिया पाउडर (धनिया), 1/2 चम्मच गरम मसाला पाउडर, 1 चम्मच लाल मिर्च पाउडर, 1 बड़ा चम्मच कसूरी मेथी (सूखी मेथी के पत्ते), सूरजमुखी का तेल - पकाने क"&amp;"े लिए, 1 बड़ा चम्मच मक्खन, नमक - स्वादानुसार")</f>
        <v>200 ग्राम फूलगोभी - छोटे फूल उबले हुए, 2 गाजर - कटे हुए या कटे हुए, 100 ग्राम हरी बीन्स (फ्रेंच बीन्स) - 1 इंच के टुकड़ों में कटी हुई, 1 प्याज - कटा हुआ, 1 हरी बेल मिर्च (शिमला मिर्च) - कटा हुआ, 3 लौंग लहसुन - कसा हुआ, 1 इंच अदरक - कसा हुआ, 1/2 कप घर का बना टमाटर प्यूरी - या 2 बड़े टमाटर कटे हुए, 1 चम्मच इलायची पाउडर (इलायची), 1 चम्मच हल्दी पाउडर (हल्दी), 1 चम्मच धनिया पाउडर (धनिया), 1/2 चम्मच गरम मसाला पाउडर, 1 चम्मच लाल मिर्च पाउडर, 1 बड़ा चम्मच कसूरी मेथी (सूखी मेथी के पत्ते), सूरजमुखी का तेल - पकाने के लिए, 1 बड़ा चम्मच मक्खन, नमक - स्वादानुसार</v>
      </c>
      <c r="H867" s="4" t="s">
        <v>34434</v>
      </c>
      <c r="I867" s="1" t="str">
        <f ca="1">IFERROR(__xludf.dummyfunction("IF(H867="""", """", GOOGLETRANSLATE(H867, ""en"", ""hi""))"),"कड़ाही वेजिटेबल सब्ज़ी बनाने के लिए सबसे पहले हम सभी सब्ज़ियों (गाजर, बीन्स और फूलगोभी) को भाप में पका लेंगे। आप अपनी सब्जियों को भाप में पकाने के लिए स्टीमर या प्रेशर कुकर का उपयोग कर सकते हैं। प्रेशर कुकर में सब्जियों को भाप में पकाने की वीडियो रेसिपी द"&amp;"ेखें। यदि प्रेशर कुकर का उपयोग कर रहे हैं, तो आपको बस 3 बड़े चम्मच पानी डालना है, इससे अधिक नहीं। इसके बाद जब सब्ज़ियाँ भाप में पक जाएँ, तो उन्हें एक तरफ रख दें। इसके बाद एक बड़ी कड़ाही या वॉक या भारी तले वाले पैन में एक बड़ा चम्मच तेल डालें। इसमें कसा हु"&amp;"आ अदरक, लहसुन, प्याज़ और शिमला मिर्च डालें। मध्यम तेज़ आँच पर तब तक भूनें जब तक कि प्याज़ और शिमला मिर्च हल्के से नरम न हो जाएँ लेकिन अभी भी कुरकुरी हों। जब प्याज़ और शिमला मिर्च आपके मनचाहे टेक्सचर में आ जाएँ इसके बाद उबली हुई सब्ज़ियाँ डालें, नमक और मसा"&amp;"ले की मात्रा जाँच लें और सभी सामग्री को अच्छी तरह मिलाएँ। अंत में सूखी मेथी के पत्ते (कसूरी मेथी) डालें। पैन को ढक दें, आँच को कम कर दें और कढ़ाई की सब्ज़ी को लगभग 3 से 5 मिनट तक पकाएँ। आँच बंद कर दें और कढ़ाई की सब्ज़ी को एक सर्विंग प्लेट में निकाल लें।")</f>
        <v>कड़ाही वेजिटेबल सब्ज़ी बनाने के लिए सबसे पहले हम सभी सब्ज़ियों (गाजर, बीन्स और फूलगोभी) को भाप में पका लेंगे। आप अपनी सब्जियों को भाप में पकाने के लिए स्टीमर या प्रेशर कुकर का उपयोग कर सकते हैं। प्रेशर कुकर में सब्जियों को भाप में पकाने की वीडियो रेसिपी देखें। यदि प्रेशर कुकर का उपयोग कर रहे हैं, तो आपको बस 3 बड़े चम्मच पानी डालना है, इससे अधिक नहीं। इसके बाद जब सब्ज़ियाँ भाप में पक जाएँ, तो उन्हें एक तरफ रख दें। इसके बाद एक बड़ी कड़ाही या वॉक या भारी तले वाले पैन में एक बड़ा चम्मच तेल डालें। इसमें कसा हुआ अदरक, लहसुन, प्याज़ और शिमला मिर्च डालें। मध्यम तेज़ आँच पर तब तक भूनें जब तक कि प्याज़ और शिमला मिर्च हल्के से नरम न हो जाएँ लेकिन अभी भी कुरकुरी हों। जब प्याज़ और शिमला मिर्च आपके मनचाहे टेक्सचर में आ जाएँ इसके बाद उबली हुई सब्ज़ियाँ डालें, नमक और मसाले की मात्रा जाँच लें और सभी सामग्री को अच्छी तरह मिलाएँ। अंत में सूखी मेथी के पत्ते (कसूरी मेथी) डालें। पैन को ढक दें, आँच को कम कर दें और कढ़ाई की सब्ज़ी को लगभग 3 से 5 मिनट तक पकाएँ। आँच बंद कर दें और कढ़ाई की सब्ज़ी को एक सर्विंग प्लेट में निकाल लें।</v>
      </c>
      <c r="J867" s="3" t="s">
        <v>34435</v>
      </c>
      <c r="L867" s="1" t="s">
        <v>31003</v>
      </c>
    </row>
    <row r="868" spans="1:12" ht="13.8">
      <c r="A868" s="1" t="s">
        <v>34436</v>
      </c>
      <c r="B868" s="1" t="str">
        <f ca="1">IFERROR(__xludf.dummyfunction("IF(A868="""", """", GOOGLETRANSLATE(A868, ""en"", ""hi""))"),"ग्वार फली मेथी की सब्जी रेसिपी -क्लस्टर बीन्स मेथी की सब्जी")</f>
        <v>ग्वार फली मेथी की सब्जी रेसिपी -क्लस्टर बीन्स मेथी की सब्जी</v>
      </c>
      <c r="C868" s="1" t="s">
        <v>145</v>
      </c>
      <c r="D868" s="1" t="s">
        <v>14338</v>
      </c>
      <c r="E868" s="1">
        <v>35</v>
      </c>
      <c r="F868" s="1" t="s">
        <v>34437</v>
      </c>
      <c r="G868" s="1" t="str">
        <f ca="1">IFERROR(__xludf.dummyfunction("IF(F868="""", """", GOOGLETRANSLATE(F868, ""en"", ""hi""))"),"1 कप मेथी के पत्ते (मेथी के पत्ते) - कटे हुए, 300 ग्राम ग्वार फली (कोथावरंगई / क्लस्टर बीन्स) - छोटे कटे हुए, 1 प्याज - कटा हुआ, 1 टमाटर - कटा हुआ, 4 लहसुन के दाने - कटे हुए, 1 इंच अदरक - कटा हुआ, 1 चम्मच लाल मिर्च पाउडर, 1/2 चम्मच हल्दी पाउडर (हल्दी), 1 "&amp;"चम्मच धनिया पाउडर (धनिया), 1 चम्मच गरम मसाला पाउडर, नमक - स्वादानुसार, 1 चम्मच गुड़, सूरजमुखी का तेल")</f>
        <v>1 कप मेथी के पत्ते (मेथी के पत्ते) - कटे हुए, 300 ग्राम ग्वार फली (कोथावरंगई / क्लस्टर बीन्स) - छोटे कटे हुए, 1 प्याज - कटा हुआ, 1 टमाटर - कटा हुआ, 4 लहसुन के दाने - कटे हुए, 1 इंच अदरक - कटा हुआ, 1 चम्मच लाल मिर्च पाउडर, 1/2 चम्मच हल्दी पाउडर (हल्दी), 1 चम्मच धनिया पाउडर (धनिया), 1 चम्मच गरम मसाला पाउडर, नमक - स्वादानुसार, 1 चम्मच गुड़, सूरजमुखी का तेल</v>
      </c>
      <c r="H868" s="1" t="s">
        <v>34438</v>
      </c>
      <c r="I868" s="1" t="str">
        <f ca="1">IFERROR(__xludf.dummyfunction("IF(H868="""", """", GOOGLETRANSLATE(H868, ""en"", ""hi""))"),"ग्वार फली मेथी की सब्जी बनाने के लिए सबसे पहले ग्वार फली को काट कर तैयार रखें। कटी हुई सब्जियों को 3 बड़े चम्मच पानी और स्वादानुसार नमक के साथ प्रेशर कुकर में डालें। 2 सीटी आने तक प्रेशर कुक करें और तुरंत प्रेशर छोड़ दें। सब्जी का हरा रंग बनाए रखने के लिए"&amp;" प्रेशर कुकर का ढक्कन खोलें। एक पैन में तेल गर्म करें, उसमें अदरक और लहसुन डालें और उनके नरम होने तक भूनें। उसमें प्याज़ डालें और भूनें और प्याज़ के पारदर्शी होने तक पकाएं। प्याज़ के नरम हो जाने पर, आप अब कटे हुए टमाटर डाल सकते हैं और एक चुटकी नमक डालकर ट"&amp;"माटर के गूदेदार होने तक पकाएं। कटी हुई मेथी के पत्ते डालें और पत्तों के गलने तक भूनें, इसमें लगभग 3 मिनट का समय लगेगा। हो जाने के बाद, पकी हुई ग्वार फली को लाल मिर्च पाउडर, हल्दी, धनिया, गरम मसाला पाउडर और चीनी के साथ डालें आंच बंद कर दें। ग्वार फली मेथी "&amp;"की सब्जी को एक सर्विंग बाउल में डालें और गरमागरम परोसें। ग्वार फली मेथी की सब्जी रेसिपी को लौकी चना दाल, पालक रागी और ओट्स गेहूं थेपला और फूलगोभी और ककड़ी रायता के साथ परोसें और अपने सप्ताह के दोपहर के भोजन के लिए भोजन को पूरा करें।")</f>
        <v>ग्वार फली मेथी की सब्जी बनाने के लिए सबसे पहले ग्वार फली को काट कर तैयार रखें। कटी हुई सब्जियों को 3 बड़े चम्मच पानी और स्वादानुसार नमक के साथ प्रेशर कुकर में डालें। 2 सीटी आने तक प्रेशर कुक करें और तुरंत प्रेशर छोड़ दें। सब्जी का हरा रंग बनाए रखने के लिए प्रेशर कुकर का ढक्कन खोलें। एक पैन में तेल गर्म करें, उसमें अदरक और लहसुन डालें और उनके नरम होने तक भूनें। उसमें प्याज़ डालें और भूनें और प्याज़ के पारदर्शी होने तक पकाएं। प्याज़ के नरम हो जाने पर, आप अब कटे हुए टमाटर डाल सकते हैं और एक चुटकी नमक डालकर टमाटर के गूदेदार होने तक पकाएं। कटी हुई मेथी के पत्ते डालें और पत्तों के गलने तक भूनें, इसमें लगभग 3 मिनट का समय लगेगा। हो जाने के बाद, पकी हुई ग्वार फली को लाल मिर्च पाउडर, हल्दी, धनिया, गरम मसाला पाउडर और चीनी के साथ डालें आंच बंद कर दें। ग्वार फली मेथी की सब्जी को एक सर्विंग बाउल में डालें और गरमागरम परोसें। ग्वार फली मेथी की सब्जी रेसिपी को लौकी चना दाल, पालक रागी और ओट्स गेहूं थेपला और फूलगोभी और ककड़ी रायता के साथ परोसें और अपने सप्ताह के दोपहर के भोजन के लिए भोजन को पूरा करें।</v>
      </c>
      <c r="J868" s="3" t="s">
        <v>34439</v>
      </c>
      <c r="L868" s="1" t="s">
        <v>31003</v>
      </c>
    </row>
    <row r="869" spans="1:12" ht="13.8">
      <c r="A869" s="1" t="s">
        <v>34440</v>
      </c>
      <c r="B869" s="1" t="str">
        <f ca="1">IFERROR(__xludf.dummyfunction("IF(A869="""", """", GOOGLETRANSLATE(A869, ""en"", ""hi""))"),"प्रीति इलेक्ट्रिक प्रेशर कुकर का उपयोग करके एक बर्तन आलू गोभी सब्ज़ी रेसिपी")</f>
        <v>प्रीति इलेक्ट्रिक प्रेशर कुकर का उपयोग करके एक बर्तन आलू गोभी सब्ज़ी रेसिपी</v>
      </c>
      <c r="C869" s="1" t="s">
        <v>14259</v>
      </c>
      <c r="D869" s="1" t="s">
        <v>14338</v>
      </c>
      <c r="E869" s="1">
        <v>40</v>
      </c>
      <c r="F869" s="1" t="s">
        <v>34441</v>
      </c>
      <c r="G869" s="1" t="str">
        <f ca="1">IFERROR(__xludf.dummyfunction("IF(F869="""", """", GOOGLETRANSLATE(F869, ""en"", ""hi""))"),"2 आलू - छीलकर टुकड़ों में कटे हुए, 1 गोभी - धोकर फूलों में कटी हुई, 1 इंच अदरक - कद्दूकस किया हुआ, 2 टमाटर - प्यूरी किए हुए, 1/2 छोटा चम्मच जीरा, 1 छोटा चम्मच हल्दी, 1 छोटा चम्मच गरम मसाला, 2 इलायची के दाने, 1/4 छोटा चम्मच लाल मिर्च पाउडर, 2 धनिया पत्ते -"&amp;" बारीक कटे हुए, सूरजमुखी तेल - आवश्यकतानुसार, नमक - स्वादानुसार")</f>
        <v>2 आलू - छीलकर टुकड़ों में कटे हुए, 1 गोभी - धोकर फूलों में कटी हुई, 1 इंच अदरक - कद्दूकस किया हुआ, 2 टमाटर - प्यूरी किए हुए, 1/2 छोटा चम्मच जीरा, 1 छोटा चम्मच हल्दी, 1 छोटा चम्मच गरम मसाला, 2 इलायची के दाने, 1/4 छोटा चम्मच लाल मिर्च पाउडर, 2 धनिया पत्ते - बारीक कटे हुए, सूरजमुखी तेल - आवश्यकतानुसार, नमक - स्वादानुसार</v>
      </c>
      <c r="H869" s="1" t="s">
        <v>34442</v>
      </c>
      <c r="I869" s="1" t="str">
        <f ca="1">IFERROR(__xludf.dummyfunction("IF(H869="""", """", GOOGLETRANSLATE(H869, ""en"", ""hi""))"),"प्रीति इलेक्ट्रिक प्रेशर कुकर में वन पॉट आलू गोभी की सब्ज़ी बनाने के लिए, पैन में तेल गरम करें और सेटिंग को ग्रेवी मोड पर करें; जीरा, अदरक, इलायची के दाने डालें। जीरे को चटकने दें। जब जीरा कुछ सेकंड के लिए चटकने लगे, तो टमाटर, आलू, गोभी, नमक, मिर्च पाउडर,"&amp;" हल्दी पाउडर, गरम मसाला और 1/4 कप पानी डालें। आलू गोभी की सभी सामग्री को मिलाने के लिए हिलाएँ। ढक्कन को बंद कर दें। टाइमर को 20 मिनट के लिए सेट करें और इसे तब तक पकने दें जब तक आपको बीप की आवाज़ न सुनाई दे। जब आलू गोभी की सब्ज़ी पक जाए, तो प्रेशर को अपने "&amp;"आप निकलने दें। स्वादानुसार नमक और काली मिर्च डालकर जाँच लें और आलू गोभी की सब्ज़ी को सर्विंग डिश में डालें और गरमागरम परोसें। वन पॉट आलू गोभी की सब्ज़ी को पारंपरिक पंजाबी कढ़ी, मेथी और चावल के साथ परोसें, जो हफ़्ते के आखिरी दिन रात के खाने के लिए एकदम सही"&amp;" है।")</f>
        <v>प्रीति इलेक्ट्रिक प्रेशर कुकर में वन पॉट आलू गोभी की सब्ज़ी बनाने के लिए, पैन में तेल गरम करें और सेटिंग को ग्रेवी मोड पर करें; जीरा, अदरक, इलायची के दाने डालें। जीरे को चटकने दें। जब जीरा कुछ सेकंड के लिए चटकने लगे, तो टमाटर, आलू, गोभी, नमक, मिर्च पाउडर, हल्दी पाउडर, गरम मसाला और 1/4 कप पानी डालें। आलू गोभी की सभी सामग्री को मिलाने के लिए हिलाएँ। ढक्कन को बंद कर दें। टाइमर को 20 मिनट के लिए सेट करें और इसे तब तक पकने दें जब तक आपको बीप की आवाज़ न सुनाई दे। जब आलू गोभी की सब्ज़ी पक जाए, तो प्रेशर को अपने आप निकलने दें। स्वादानुसार नमक और काली मिर्च डालकर जाँच लें और आलू गोभी की सब्ज़ी को सर्विंग डिश में डालें और गरमागरम परोसें। वन पॉट आलू गोभी की सब्ज़ी को पारंपरिक पंजाबी कढ़ी, मेथी और चावल के साथ परोसें, जो हफ़्ते के आखिरी दिन रात के खाने के लिए एकदम सही है।</v>
      </c>
      <c r="J869" s="3" t="s">
        <v>34443</v>
      </c>
      <c r="L869" s="1" t="s">
        <v>31003</v>
      </c>
    </row>
    <row r="870" spans="1:12" ht="13.8">
      <c r="A870" s="1" t="s">
        <v>32973</v>
      </c>
      <c r="B870" s="1" t="str">
        <f ca="1">IFERROR(__xludf.dummyfunction("IF(A870="""", """", GOOGLETRANSLATE(A870, ""en"", ""hi""))"),"हरियाली मटर रेसिपी")</f>
        <v>हरियाली मटर रेसिपी</v>
      </c>
      <c r="C870" s="1" t="s">
        <v>14207</v>
      </c>
      <c r="D870" s="1" t="s">
        <v>14237</v>
      </c>
      <c r="E870" s="1">
        <v>20</v>
      </c>
      <c r="F870" s="1" t="s">
        <v>34444</v>
      </c>
      <c r="G870" s="1" t="str">
        <f ca="1">IFERROR(__xludf.dummyfunction("IF(F870="""", """", GOOGLETRANSLATE(F870, ""en"", ""hi""))"),"2 कप हरी मटर - भाप से पकी हुई, 1/2 कप पनीर - छोटे टुकड़ों में कटा हुआ, 1 छोटा चम्मच जीरा, हींग - चुटकी भर, 1 बड़ा चम्मच तेल, नमक - स्वादानुसार, 2 कप धनिया पत्ता, 2 हरी मिर्च, 5 लहसुन की कलियां, 1 इंच अदरक, 1 बड़ा चम्मच नींबू का रस")</f>
        <v>2 कप हरी मटर - भाप से पकी हुई, 1/2 कप पनीर - छोटे टुकड़ों में कटा हुआ, 1 छोटा चम्मच जीरा, हींग - चुटकी भर, 1 बड़ा चम्मच तेल, नमक - स्वादानुसार, 2 कप धनिया पत्ता, 2 हरी मिर्च, 5 लहसुन की कलियां, 1 इंच अदरक, 1 बड़ा चम्मच नींबू का रस</v>
      </c>
      <c r="H870" s="1" t="s">
        <v>34445</v>
      </c>
      <c r="I870" s="1" t="str">
        <f ca="1">IFERROR(__xludf.dummyfunction("IF(H870="""", """", GOOGLETRANSLATE(H870, ""en"", ""hi""))"),"हरियाली मटर रेसिपी बनाने के लिए सबसे पहले हरी मटर को अच्छे से धो लें। इन्हें स्टीमर में स्टीम करके अलग रख लें। अब मिक्सर ग्राइंडर में धनिया पत्ती, हरी मिर्च, लहसुन, अदरक, नींबू का रस, थोड़ा पानी डालकर पीस लें। एक तरफ रख दें। अब एक पैन में तेल गर्म करें। इ"&amp;"समें हींग, जीरा डालकर चटकने दें। अब इसमें हरा धनिया मसाला डालकर 2 मिनट तक पकाएं। अब इसमें हरी मटर, नमक, 1 कप पानी डालकर मिलाएं और 2 से 3 मिनट तक पकाएं। अब इसमें पनीर डालकर अच्छे से मिलाएं। 2 मिनट तक पकाएं और गैस बंद कर दें। सर्व करें। हरियाली मटर रेसिपी क"&amp;"ो दाल तड़का, लौकी रायता और फुल्के के साथ लंच में सर्व करें।")</f>
        <v>हरियाली मटर रेसिपी बनाने के लिए सबसे पहले हरी मटर को अच्छे से धो लें। इन्हें स्टीमर में स्टीम करके अलग रख लें। अब मिक्सर ग्राइंडर में धनिया पत्ती, हरी मिर्च, लहसुन, अदरक, नींबू का रस, थोड़ा पानी डालकर पीस लें। एक तरफ रख दें। अब एक पैन में तेल गर्म करें। इसमें हींग, जीरा डालकर चटकने दें। अब इसमें हरा धनिया मसाला डालकर 2 मिनट तक पकाएं। अब इसमें हरी मटर, नमक, 1 कप पानी डालकर मिलाएं और 2 से 3 मिनट तक पकाएं। अब इसमें पनीर डालकर अच्छे से मिलाएं। 2 मिनट तक पकाएं और गैस बंद कर दें। सर्व करें। हरियाली मटर रेसिपी को दाल तड़का, लौकी रायता और फुल्के के साथ लंच में सर्व करें।</v>
      </c>
      <c r="J870" s="3" t="s">
        <v>34446</v>
      </c>
      <c r="L870" s="1" t="s">
        <v>31003</v>
      </c>
    </row>
    <row r="871" spans="1:12" ht="409.6">
      <c r="A871" s="1" t="s">
        <v>34447</v>
      </c>
      <c r="B871" s="1" t="str">
        <f ca="1">IFERROR(__xludf.dummyfunction("IF(A871="""", """", GOOGLETRANSLATE(A871, ""en"", ""hi""))"),"पनीर भुर्जी ग्रेवी रेसिपी")</f>
        <v>पनीर भुर्जी ग्रेवी रेसिपी</v>
      </c>
      <c r="C871" s="1" t="s">
        <v>429</v>
      </c>
      <c r="D871" s="1" t="s">
        <v>14237</v>
      </c>
      <c r="E871" s="1">
        <v>50</v>
      </c>
      <c r="F871" s="1" t="s">
        <v>34448</v>
      </c>
      <c r="G871" s="1" t="str">
        <f ca="1">IFERROR(__xludf.dummyfunction("IF(F871="""", """", GOOGLETRANSLATE(F871, ""en"", ""hi""))"),"सूरजमुखी तेल - आवश्यकतानुसार, 1/2 चम्मच जीरा, 1/2 चम्मच सरसों के बीज, 1/4 चम्मच हींग, 1 तेज पत्ता, 1 चक्र फूल, 1 सूखी लाल मिर्च, 2 लौंग, 1 काली इलायची, 2 इलायची की फली/बीज, 1 प्याज - बारीक कटा हुआ, 1/2 चम्मच अदरक - पेस्ट, 1/2 चम्मच लहसुन - पेस्ट, 1/4 कप घ"&amp;"र का बना टमाटर प्यूरी, 1 टमाटर - कटा हुआ, 1 कप पनीर - टुकड़े टुकड़े, धनिया पत्ते - थोड़े, 1 चम्मच लाल मिर्च पाउडर, 1/2 चम्मच हल्दी पाउडर, 1 चम्मच धनिया पाउडर, 1/2 चम्मच गरम मसाला पाउडर, नमक - आवश्यकतानुसार, पानी - आवश्यकतानुसार")</f>
        <v>सूरजमुखी तेल - आवश्यकतानुसार, 1/2 चम्मच जीरा, 1/2 चम्मच सरसों के बीज, 1/4 चम्मच हींग, 1 तेज पत्ता, 1 चक्र फूल, 1 सूखी लाल मिर्च, 2 लौंग, 1 काली इलायची, 2 इलायची की फली/बीज, 1 प्याज - बारीक कटा हुआ, 1/2 चम्मच अदरक - पेस्ट, 1/2 चम्मच लहसुन - पेस्ट, 1/4 कप घर का बना टमाटर प्यूरी, 1 टमाटर - कटा हुआ, 1 कप पनीर - टुकड़े टुकड़े, धनिया पत्ते - थोड़े, 1 चम्मच लाल मिर्च पाउडर, 1/2 चम्मच हल्दी पाउडर, 1 चम्मच धनिया पाउडर, 1/2 चम्मच गरम मसाला पाउडर, नमक - आवश्यकतानुसार, पानी - आवश्यकतानुसार</v>
      </c>
      <c r="H871" s="4" t="s">
        <v>34449</v>
      </c>
      <c r="I871" s="1" t="str">
        <f ca="1">IFERROR(__xludf.dummyfunction("IF(H871="""", """", GOOGLETRANSLATE(H871, ""en"", ""hi""))"),"पनीर भुर्जी ग्रेवी रेसिपी बनाने के लिए सबसे पहले एक भारी तले की कड़ाही में तेल गर्म करें। उसमें जीरा, राई, तेज पत्ता, सूखी लाल मिर्च, बड़ी इलायची, हरी इलायची, चक्र फूल और हींग डालें। जब राई चटकने लगे और मसाले से अच्छी खुशबू आने लगे तो इसमें बारीक कटा प्या"&amp;"ज डालें। इन्हें नरम और पारदर्शी होने तक पकाएं। इसमें अदरक लहसुन का पेस्ट डालें और पकने दें, जब पक जाए तो इसमें बारीक कटे टमाटर और टमाटर प्यूरी डालें। ढक्कन से ढककर इसे लगभग 3 से 4 मिनट तक पकने दें। जब टमाटर पक कर एक साथ आने लगे तो इसमें लाल मिर्च पाउडर, ह"&amp;"ल्दी पाउडर, धनिया पाउडर, गरम मसाला और नमक जैसे मसाले डालें। अच्छी तरह मिलाएँ और इसे 5 मिनट तक पकने दें। 5 मिनट के बाद इसमें टुकड़े किया हुआ पनीर और आवश्यक पानी डालें। सभी चीजों को अच्छी तरह मिलाएँ और इसे तीन से चार मिनट तक उबलने दें और फिर आँच बंद कर दें।"&amp;" जब यह पक जाए तो इसे धनिया पत्ती से गार्निश करें और गरमागरम परोसें। पनीर भुर्जी ग्रेवी को भरवा करेला और पुदीना तवा पराठा के साथ सप्ताह के दिनों में स्वादिष्ट लंच या डिनर के लिए परोसें।")</f>
        <v>पनीर भुर्जी ग्रेवी रेसिपी बनाने के लिए सबसे पहले एक भारी तले की कड़ाही में तेल गर्म करें। उसमें जीरा, राई, तेज पत्ता, सूखी लाल मिर्च, बड़ी इलायची, हरी इलायची, चक्र फूल और हींग डालें। जब राई चटकने लगे और मसाले से अच्छी खुशबू आने लगे तो इसमें बारीक कटा प्याज डालें। इन्हें नरम और पारदर्शी होने तक पकाएं। इसमें अदरक लहसुन का पेस्ट डालें और पकने दें, जब पक जाए तो इसमें बारीक कटे टमाटर और टमाटर प्यूरी डालें। ढक्कन से ढककर इसे लगभग 3 से 4 मिनट तक पकने दें। जब टमाटर पक कर एक साथ आने लगे तो इसमें लाल मिर्च पाउडर, हल्दी पाउडर, धनिया पाउडर, गरम मसाला और नमक जैसे मसाले डालें। अच्छी तरह मिलाएँ और इसे 5 मिनट तक पकने दें। 5 मिनट के बाद इसमें टुकड़े किया हुआ पनीर और आवश्यक पानी डालें। सभी चीजों को अच्छी तरह मिलाएँ और इसे तीन से चार मिनट तक उबलने दें और फिर आँच बंद कर दें। जब यह पक जाए तो इसे धनिया पत्ती से गार्निश करें और गरमागरम परोसें। पनीर भुर्जी ग्रेवी को भरवा करेला और पुदीना तवा पराठा के साथ सप्ताह के दिनों में स्वादिष्ट लंच या डिनर के लिए परोसें।</v>
      </c>
      <c r="J871" s="3" t="s">
        <v>34450</v>
      </c>
      <c r="L871" s="1" t="s">
        <v>31003</v>
      </c>
    </row>
    <row r="872" spans="1:12" ht="409.6">
      <c r="A872" s="1" t="s">
        <v>34451</v>
      </c>
      <c r="B872" s="1" t="str">
        <f ca="1">IFERROR(__xludf.dummyfunction("IF(A872="""", """", GOOGLETRANSLATE(A872, ""en"", ""hi""))"),"बटर चिकन विद तंदूरी मेयो रेसिपी")</f>
        <v>बटर चिकन विद तंदूरी मेयो रेसिपी</v>
      </c>
      <c r="C872" s="1" t="s">
        <v>145</v>
      </c>
      <c r="D872" s="1" t="s">
        <v>14198</v>
      </c>
      <c r="E872" s="1">
        <v>180</v>
      </c>
      <c r="F872" s="1" t="s">
        <v>34452</v>
      </c>
      <c r="G872" s="1" t="str">
        <f ca="1">IFERROR(__xludf.dummyfunction("IF(F872="""", """", GOOGLETRANSLATE(F872, ""en"", ""hi""))"),"400 ग्राम बोनलेस चिकन - छोटे टुकड़ों में कटा हुआ (2 इंच), मक्खन - आवश्यकतानुसार, सूरजमुखी तेल - आवश्यकतानुसार, 2 बड़ा चम्मच डेल मोंटे तंदूरी मेयो, 1 बड़ा चम्मच जीरा, 1 बड़ा चम्मच धनिया पाउडर, 1 बड़ा चम्मच लाल मिर्च पाउडर, 1/2 बड़ा चम्मच हल्दी पाउडर, 3/4 ब"&amp;"ड़ा चम्मच अदरक - कसा हुआ, 3/4 बड़ा चम्मच लहसुन - कसा हुआ, 1 बड़ा चम्मच नींबू का रस, 2 बड़ा चम्मच दही, 1 छोटा चम्मच नमक, 2 प्याज - कटा हुआ, 5 टमाटर - कटा हुआ, 1 कप पानी, 1 छोटा चम्मच हल्दी पाउडर, 1 छोटा चम्मच लाल मिर्च पाउडर, 1 छोटा चम्मच धनिया पाउडर, 1/2 "&amp;"छोटा चम्मच जीरा पाउडर, 1/2 इंच अदरक - छीला और बारीक कटा हुआ, 1 हरी मिर्च - बारीक कटी हुई, 2 बड़ा चम्मच मक्खन, 1/2 छोटा चम्मच चीनी, 1 बड़ा चम्मच डेल मोंटे तंदूरी मेयो, 4 बड़ा चम्मच ताजा क्रीम, 1 छोटा चम्मच सूरजमुखी तेल, धनिया (धनिया) पत्ते, 1 चम्मच ताजा क्"&amp;"रीम, 1 बड़ा चम्मच मक्खन")</f>
        <v>400 ग्राम बोनलेस चिकन - छोटे टुकड़ों में कटा हुआ (2 इंच), मक्खन - आवश्यकतानुसार, सूरजमुखी तेल - आवश्यकतानुसार, 2 बड़ा चम्मच डेल मोंटे तंदूरी मेयो, 1 बड़ा चम्मच जीरा, 1 बड़ा चम्मच धनिया पाउडर, 1 बड़ा चम्मच लाल मिर्च पाउडर, 1/2 बड़ा चम्मच हल्दी पाउडर, 3/4 बड़ा चम्मच अदरक - कसा हुआ, 3/4 बड़ा चम्मच लहसुन - कसा हुआ, 1 बड़ा चम्मच नींबू का रस, 2 बड़ा चम्मच दही, 1 छोटा चम्मच नमक, 2 प्याज - कटा हुआ, 5 टमाटर - कटा हुआ, 1 कप पानी, 1 छोटा चम्मच हल्दी पाउडर, 1 छोटा चम्मच लाल मिर्च पाउडर, 1 छोटा चम्मच धनिया पाउडर, 1/2 छोटा चम्मच जीरा पाउडर, 1/2 इंच अदरक - छीला और बारीक कटा हुआ, 1 हरी मिर्च - बारीक कटी हुई, 2 बड़ा चम्मच मक्खन, 1/2 छोटा चम्मच चीनी, 1 बड़ा चम्मच डेल मोंटे तंदूरी मेयो, 4 बड़ा चम्मच ताजा क्रीम, 1 छोटा चम्मच सूरजमुखी तेल, धनिया (धनिया) पत्ते, 1 चम्मच ताजा क्रीम, 1 बड़ा चम्मच मक्खन</v>
      </c>
      <c r="H872" s="4" t="s">
        <v>34453</v>
      </c>
      <c r="I872" s="1" t="str">
        <f ca="1">IFERROR(__xludf.dummyfunction("IF(H872="""", """", GOOGLETRANSLATE(H872, ""en"", ""hi""))"),"बटर चिकन विद तंदूरी मेयो रेसिपी बनाने के लिए सबसे पहले चिकन को मैरीनेट करें। एक मिक्सिंग बाउल में चिकन के टुकड़े और ""मैरिनेशन के लिए"" सूची में बताई गई सभी सामग्री डालें। सभी सामग्री को एक साथ मिलाएँ और चिकन के टुकड़ों पर मैरीनेड लगाकर अच्छी तरह मिलाएँ। "&amp;"इस बाउल को बंद करके कम से कम 2 घंटे के लिए फ्रिज में रख दें। चिकन के मैरीनेट हो जाने के बाद और जब ग्रेवी बनाने का समय हो, तो मैरीनेट किए हुए चिकन को फ्रीजर से बाहर निकाल लें। अब पैन फ्राइड चिकन टिक्का/कबाब बनाने के लिए एक कड़ाही में 2 चम्मच तेल डालकर गर्म"&amp;" करें। तेल गर्म हो जाने पर, 2 चम्मच मक्खन डालें और उसके पिघलने का इंतज़ार करें। मक्खन के पिघलने के बाद, मैरीनेट किए हुए चिकन के टुकड़े डालें और पकने तक बैचों में भूनें। तलते समय ज़रूरत हो तो और मक्खन डालें। तलने के बाद चिकन कबाब/टिक्का को निकाल कर अलग रख "&amp;"दें। बटर चिकन के लिए टमाटर की ग्रेवी बनाने के लिए, टमाटर को एक कप पानी में 10 मिनट तक उबालें और गैस बंद कर दें। ठंडा होने के बाद, इसे कटे हुए प्याज़ के साथ मिक्सर में डालें और पतला पीस लें। पैन में एक चम्मच तेल और 2 बड़े चम्मच मक्खन डालें। मक्खन पिघलने के"&amp;" बाद, अदरक और हरी मिर्च डालें और 2 मिनट तक भूनें। एक-एक करके मसाला पाउडर (हल्दी पाउडर, लाल मिर्च पाउडर, जीरा पाउडर और धनिया पाउडर) डालें और अच्छी तरह मिलने और खुशबू आने तक भूनें। अब टमाटर और प्याज़ की प्यूरी डालें और मसालों के साथ अच्छी तरह मिलाएँ। धीमी आ"&amp;"ँच पर तब तक पकाएँ जब तक तेल ग्रेवी की सतह पर न आ जाए और ग्रेवी का रंग न बदल जाए। चिकन टिक्का के टुकड़े डालें और अच्छी तरह मिलाएँ। 1/2 चम्मच चीनी डालें और अच्छी तरह मिलाएँ। ग्रेवी को 10 मिनट तक उबालें। नमक मिला लें। अब इसमें फ्रेश क्रीम और डेलमोंटे तंदूरी "&amp;"मेयो डालें, मिलाएँ और 5 मिनट तक पकाएँ। क्रीम, मक्खन और धनिया पत्ती से गार्निश करें। उबले हुए बासमती चावल, नान या पुदीना तवा पराठा के साथ परोसें।")</f>
        <v>बटर चिकन विद तंदूरी मेयो रेसिपी बनाने के लिए सबसे पहले चिकन को मैरीनेट करें। एक मिक्सिंग बाउल में चिकन के टुकड़े और "मैरिनेशन के लिए" सूची में बताई गई सभी सामग्री डालें। सभी सामग्री को एक साथ मिलाएँ और चिकन के टुकड़ों पर मैरीनेड लगाकर अच्छी तरह मिलाएँ। इस बाउल को बंद करके कम से कम 2 घंटे के लिए फ्रिज में रख दें। चिकन के मैरीनेट हो जाने के बाद और जब ग्रेवी बनाने का समय हो, तो मैरीनेट किए हुए चिकन को फ्रीजर से बाहर निकाल लें। अब पैन फ्राइड चिकन टिक्का/कबाब बनाने के लिए एक कड़ाही में 2 चम्मच तेल डालकर गर्म करें। तेल गर्म हो जाने पर, 2 चम्मच मक्खन डालें और उसके पिघलने का इंतज़ार करें। मक्खन के पिघलने के बाद, मैरीनेट किए हुए चिकन के टुकड़े डालें और पकने तक बैचों में भूनें। तलते समय ज़रूरत हो तो और मक्खन डालें। तलने के बाद चिकन कबाब/टिक्का को निकाल कर अलग रख दें। बटर चिकन के लिए टमाटर की ग्रेवी बनाने के लिए, टमाटर को एक कप पानी में 10 मिनट तक उबालें और गैस बंद कर दें। ठंडा होने के बाद, इसे कटे हुए प्याज़ के साथ मिक्सर में डालें और पतला पीस लें। पैन में एक चम्मच तेल और 2 बड़े चम्मच मक्खन डालें। मक्खन पिघलने के बाद, अदरक और हरी मिर्च डालें और 2 मिनट तक भूनें। एक-एक करके मसाला पाउडर (हल्दी पाउडर, लाल मिर्च पाउडर, जीरा पाउडर और धनिया पाउडर) डालें और अच्छी तरह मिलने और खुशबू आने तक भूनें। अब टमाटर और प्याज़ की प्यूरी डालें और मसालों के साथ अच्छी तरह मिलाएँ। धीमी आँच पर तब तक पकाएँ जब तक तेल ग्रेवी की सतह पर न आ जाए और ग्रेवी का रंग न बदल जाए। चिकन टिक्का के टुकड़े डालें और अच्छी तरह मिलाएँ। 1/2 चम्मच चीनी डालें और अच्छी तरह मिलाएँ। ग्रेवी को 10 मिनट तक उबालें। नमक मिला लें। अब इसमें फ्रेश क्रीम और डेलमोंटे तंदूरी मेयो डालें, मिलाएँ और 5 मिनट तक पकाएँ। क्रीम, मक्खन और धनिया पत्ती से गार्निश करें। उबले हुए बासमती चावल, नान या पुदीना तवा पराठा के साथ परोसें।</v>
      </c>
      <c r="J872" s="3" t="s">
        <v>34454</v>
      </c>
      <c r="L872" s="1" t="s">
        <v>31003</v>
      </c>
    </row>
    <row r="873" spans="1:12" ht="13.8">
      <c r="A873" s="1" t="s">
        <v>34455</v>
      </c>
      <c r="B873" s="1" t="str">
        <f ca="1">IFERROR(__xludf.dummyfunction("IF(A873="""", """", GOOGLETRANSLATE(A873, ""en"", ""hi""))"),"मूंगफली के साथ मसालेदार और चटपटा मिक्स वेजिटेबल पोहा रेसिपी")</f>
        <v>मूंगफली के साथ मसालेदार और चटपटा मिक्स वेजिटेबल पोहा रेसिपी</v>
      </c>
      <c r="C873" s="1" t="s">
        <v>16424</v>
      </c>
      <c r="D873" s="1" t="s">
        <v>14198</v>
      </c>
      <c r="E873" s="1">
        <v>30</v>
      </c>
      <c r="F873" s="1" t="s">
        <v>34456</v>
      </c>
      <c r="G873" s="1" t="str">
        <f ca="1">IFERROR(__xludf.dummyfunction("IF(F873="""", """", GOOGLETRANSLATE(F873, ""en"", ""hi""))"),"2 कप पोहा, 1/2 चम्मच सरसों के बीज, 1/2 चम्मच जीरा, 1 टहनी करी पत्ते - मोटे तौर पर तोड़े हुए, 1 प्याज - बारीक कटा हुआ, 2 हरी मिर्च - बारीक कटी हुई, 1 इंच अदरक - कसा हुआ, 1 गाजर (गज्जर) - बारीक कटा हुआ, 1/2 कप हरी बेल मिर्च (शिमला मिर्च) - बारीक कटी हुई, 1/"&amp;"3 कप हरी मटर (मटर), 3 बड़े चम्मच भुनी हुई मूंगफली (मूंगफली), 1 चम्मच हल्दी पाउडर (हल्दी), 2 चम्मच चीनी, नमक - स्वादानुसार, 1 चम्मच नींबू का रस, धनिया (धनिया) के पत्ते - एक छोटा गुच्छा बारीक कटा हुआ, फिगारो शुद्ध जैतून का तेल - खाना पकाने के लिए")</f>
        <v>2 कप पोहा, 1/2 चम्मच सरसों के बीज, 1/2 चम्मच जीरा, 1 टहनी करी पत्ते - मोटे तौर पर तोड़े हुए, 1 प्याज - बारीक कटा हुआ, 2 हरी मिर्च - बारीक कटी हुई, 1 इंच अदरक - कसा हुआ, 1 गाजर (गज्जर) - बारीक कटा हुआ, 1/2 कप हरी बेल मिर्च (शिमला मिर्च) - बारीक कटी हुई, 1/3 कप हरी मटर (मटर), 3 बड़े चम्मच भुनी हुई मूंगफली (मूंगफली), 1 चम्मच हल्दी पाउडर (हल्दी), 2 चम्मच चीनी, नमक - स्वादानुसार, 1 चम्मच नींबू का रस, धनिया (धनिया) के पत्ते - एक छोटा गुच्छा बारीक कटा हुआ, फिगारो शुद्ध जैतून का तेल - खाना पकाने के लिए</v>
      </c>
      <c r="H873" s="1" t="s">
        <v>34457</v>
      </c>
      <c r="I873" s="1" t="str">
        <f ca="1">IFERROR(__xludf.dummyfunction("IF(H873="""", """", GOOGLETRANSLATE(H873, ""en"", ""hi""))"),"मिक्स वेजिटेबल पोहा रेसिपी बनाने के लिए सबसे पहले एक पैन में फिगारो प्योर ऑलिव ऑयल गर्म करें, उसमें कच्ची मूंगफली डालें और क्रिस्पी होने तक भून लें। मूंगफली को एक तरफ रख दें। एक कढ़ाई में तेल गर्म करें, उसमें राई और जीरा डालें, इसे चटकने दें। करी पत्ता, प"&amp;"्याज डालें और नरम होने तक भूनें। एक बार प्याज नरम हो जाए तो इसमें बची हुई सब्जियां डालें, थोड़ा नमक और पानी छिड़कें और इसे भाप में पकने दें। पोहे को एक कोलंडर में रखें और बहते पानी के नीचे अच्छी तरह से धो लें। धोते समय अपनी उंगलियों का उपयोग करके पोहे को "&amp;"धीरे से हिलाएं, अन्यथा वे खाना बनाते समय नरम हो जाएंगे। धोने के बाद पोहे को अलग रख दें। हल्दी पाउडर, मूंगफली, नमक और चीनी डालकर हिलाएं। मिलाने के लिए हिलाएं और अंत में धोया हुआ पोहा डालें इसमें लगभग 3 से 4 मिनट का समय लगेगा। 3 से 4 मिनट के बाद, आप देखेंगे"&amp;" कि पोहा थोड़ा फूल गया है। इस अवस्था में आँच बंद कर दें। एक नींबू का रस और धनिया पत्ती मिलाएँ। नमक और मसाले की जाँच करें और अपने स्वाद के अनुसार समायोजित करें और परोसें। मिक्स वेजिटेबल पोहा को भुजिया, फलों और एक गर्म कप अदरक चाय के साथ परोसें।")</f>
        <v>मिक्स वेजिटेबल पोहा रेसिपी बनाने के लिए सबसे पहले एक पैन में फिगारो प्योर ऑलिव ऑयल गर्म करें, उसमें कच्ची मूंगफली डालें और क्रिस्पी होने तक भून लें। मूंगफली को एक तरफ रख दें। एक कढ़ाई में तेल गर्म करें, उसमें राई और जीरा डालें, इसे चटकने दें। करी पत्ता, प्याज डालें और नरम होने तक भूनें। एक बार प्याज नरम हो जाए तो इसमें बची हुई सब्जियां डालें, थोड़ा नमक और पानी छिड़कें और इसे भाप में पकने दें। पोहे को एक कोलंडर में रखें और बहते पानी के नीचे अच्छी तरह से धो लें। धोते समय अपनी उंगलियों का उपयोग करके पोहे को धीरे से हिलाएं, अन्यथा वे खाना बनाते समय नरम हो जाएंगे। धोने के बाद पोहे को अलग रख दें। हल्दी पाउडर, मूंगफली, नमक और चीनी डालकर हिलाएं। मिलाने के लिए हिलाएं और अंत में धोया हुआ पोहा डालें इसमें लगभग 3 से 4 मिनट का समय लगेगा। 3 से 4 मिनट के बाद, आप देखेंगे कि पोहा थोड़ा फूल गया है। इस अवस्था में आँच बंद कर दें। एक नींबू का रस और धनिया पत्ती मिलाएँ। नमक और मसाले की जाँच करें और अपने स्वाद के अनुसार समायोजित करें और परोसें। मिक्स वेजिटेबल पोहा को भुजिया, फलों और एक गर्म कप अदरक चाय के साथ परोसें।</v>
      </c>
      <c r="J873" s="3" t="s">
        <v>34458</v>
      </c>
      <c r="L873" s="1" t="s">
        <v>31003</v>
      </c>
    </row>
    <row r="874" spans="1:12" ht="409.6">
      <c r="A874" s="1" t="s">
        <v>34459</v>
      </c>
      <c r="B874" s="1" t="str">
        <f ca="1">IFERROR(__xludf.dummyfunction("IF(A874="""", """", GOOGLETRANSLATE(A874, ""en"", ""hi""))"),"गुलकंद के साथ ड्राई फ्रूट बर्फी रेसिपी")</f>
        <v>गुलकंद के साथ ड्राई फ्रूट बर्फी रेसिपी</v>
      </c>
      <c r="C874" s="1" t="s">
        <v>14281</v>
      </c>
      <c r="D874" s="1" t="s">
        <v>14198</v>
      </c>
      <c r="E874" s="1">
        <v>70</v>
      </c>
      <c r="F874" s="1" t="s">
        <v>34460</v>
      </c>
      <c r="G874" s="1" t="str">
        <f ca="1">IFERROR(__xludf.dummyfunction("IF(F874="""", """", GOOGLETRANSLATE(F874, ""en"", ""hi""))"),"1 1/2 कप सूखे अंजीर - कटे हुए, 1 कप खजूर - कटे हुए, 1/3 कप बादाम, 1/3 कप काजू, 1/3 कप अखरोट, 1/3 कप पिस्ता, 1/3 कप किशमिश, 2 बड़े चम्मच गुलकंद, 1/4 चम्मच जायफल पाउडर, 1 बड़ा चम्मच घी, 1 खाने योग्य चांदी का वर्क / पत्ता (चांदी का वर्क) - वैकल्पिक")</f>
        <v>1 1/2 कप सूखे अंजीर - कटे हुए, 1 कप खजूर - कटे हुए, 1/3 कप बादाम, 1/3 कप काजू, 1/3 कप अखरोट, 1/3 कप पिस्ता, 1/3 कप किशमिश, 2 बड़े चम्मच गुलकंद, 1/4 चम्मच जायफल पाउडर, 1 बड़ा चम्मच घी, 1 खाने योग्य चांदी का वर्क / पत्ता (चांदी का वर्क) - वैकल्पिक</v>
      </c>
      <c r="H874" s="4" t="s">
        <v>34461</v>
      </c>
      <c r="I874" s="1" t="str">
        <f ca="1">IFERROR(__xludf.dummyfunction("IF(H874="""", """", GOOGLETRANSLATE(H874, ""en"", ""hi""))"),"ड्राई फ्रूट बर्फी विद गुलकंद रेसिपी बनाने के लिए सबसे पहले कटे हुए अंजीर को 15 मिनट के लिए गर्म पानी में भिगो दें, फिर पानी को छान लें और अच्छी तरह से सुखा लें। खजूर और किशमिश के साथ अंजीर को बिना पानी डाले मुलायम पेस्ट बना लें। इसे एक तरफ रख दें। इस बीच "&amp;"बादाम, काजू, अखरोट और पिस्ता को बारीक काट लें। आप इस प्रक्रिया को तेज करने के लिए फूड प्रोसेसर या मिनी चॉप का भी इस्तेमाल कर सकते हैं। एक भारी तले की कड़ाही में तेल या घी गर्म करें, उसमें अंजीर खजूर का पेस्ट डालकर अच्छी तरह मिलाएँ और एक मिनट तक भूनें। इसक"&amp;"े बाद इसमें कटे हुए खजूर और मेवे का मिश्रण, जायफल पाउडर, गुलकंद का मिश्रण डालें और अच्छी तरह मिलाएँ। कुछ मिनट तक पकाएँ जब तक कि आप देखें कि बर्फी का मिश्रण पैन के किनारों से अलग हो रहा है। एक बार जब आप देखें कि बर्फी का मिश्रण पैन के किनारों से अलग हो रहा"&amp;" है तो आँच बंद कर दें। एक ट्रे को घी से चिकना करें और उसमें बर्फी का मिश्रण डालें। इसे एक स्पैटुला से अच्छी तरह से समतल करें और मिश्रण को पूरी तरह से पकने दें और एक ठोस बर्फी में जमने दें। वैकल्पिक रूप से यदि आप उपयोग कर रहे हैं तो चांदी का वर्क डालें और "&amp;"बर्फी को 20 से 30 मिनट के लिए रेफ्रिजरेटर में रखें। ड्राई फ्रूट बर्फी को मनचाहे आकार में काटें। गुलकंद के साथ ड्राई फ्रूट बर्फी को त्यौहार की मिठाई के रूप में अपने मेहमानों को जलेबी और समोसे के साथ परोसें जब वे आपसे मिलने आएं।")</f>
        <v>ड्राई फ्रूट बर्फी विद गुलकंद रेसिपी बनाने के लिए सबसे पहले कटे हुए अंजीर को 15 मिनट के लिए गर्म पानी में भिगो दें, फिर पानी को छान लें और अच्छी तरह से सुखा लें। खजूर और किशमिश के साथ अंजीर को बिना पानी डाले मुलायम पेस्ट बना लें। इसे एक तरफ रख दें। इस बीच बादाम, काजू, अखरोट और पिस्ता को बारीक काट लें। आप इस प्रक्रिया को तेज करने के लिए फूड प्रोसेसर या मिनी चॉप का भी इस्तेमाल कर सकते हैं। एक भारी तले की कड़ाही में तेल या घी गर्म करें, उसमें अंजीर खजूर का पेस्ट डालकर अच्छी तरह मिलाएँ और एक मिनट तक भूनें। इसके बाद इसमें कटे हुए खजूर और मेवे का मिश्रण, जायफल पाउडर, गुलकंद का मिश्रण डालें और अच्छी तरह मिलाएँ। कुछ मिनट तक पकाएँ जब तक कि आप देखें कि बर्फी का मिश्रण पैन के किनारों से अलग हो रहा है। एक बार जब आप देखें कि बर्फी का मिश्रण पैन के किनारों से अलग हो रहा है तो आँच बंद कर दें। एक ट्रे को घी से चिकना करें और उसमें बर्फी का मिश्रण डालें। इसे एक स्पैटुला से अच्छी तरह से समतल करें और मिश्रण को पूरी तरह से पकने दें और एक ठोस बर्फी में जमने दें। वैकल्पिक रूप से यदि आप उपयोग कर रहे हैं तो चांदी का वर्क डालें और बर्फी को 20 से 30 मिनट के लिए रेफ्रिजरेटर में रखें। ड्राई फ्रूट बर्फी को मनचाहे आकार में काटें। गुलकंद के साथ ड्राई फ्रूट बर्फी को त्यौहार की मिठाई के रूप में अपने मेहमानों को जलेबी और समोसे के साथ परोसें जब वे आपसे मिलने आएं।</v>
      </c>
      <c r="J874" s="3" t="s">
        <v>34462</v>
      </c>
      <c r="L874" s="1" t="s">
        <v>31003</v>
      </c>
    </row>
    <row r="875" spans="1:12" ht="13.8">
      <c r="A875" s="1" t="s">
        <v>34463</v>
      </c>
      <c r="B875" s="1" t="str">
        <f ca="1">IFERROR(__xludf.dummyfunction("IF(A875="""", """", GOOGLETRANSLATE(A875, ""en"", ""hi""))"),"पंजाबी स्टाइल मलाईदार फूलगोभी और मटर करी")</f>
        <v>पंजाबी स्टाइल मलाईदार फूलगोभी और मटर करी</v>
      </c>
      <c r="C875" s="1" t="s">
        <v>429</v>
      </c>
      <c r="D875" s="1" t="s">
        <v>14198</v>
      </c>
      <c r="E875" s="1">
        <v>71</v>
      </c>
      <c r="F875" s="1" t="s">
        <v>34464</v>
      </c>
      <c r="G875" s="1" t="str">
        <f ca="1">IFERROR(__xludf.dummyfunction("IF(F875="""", """", GOOGLETRANSLATE(F875, ""en"", ""hi""))"),"1 गोभी - कटी हुई, 1/2 कप हरी मटर, 1/8 छोटा चम्मच हल्दी पाउडर, 1/2 छोटा चम्मच धनिया पाउडर, 1 छोटा चम्मच लाल मिर्च पाउडर, 1/2 छोटा चम्मच गरम मसाला पाउडर, 2 प्याज, 4 टमाटर, 2 हरी मिर्च, 4 लहसुन की कलियां, 1/2 इंच अदरक, 20 बादाम - 15 मिनट भिगोकर छील लें, 15 क"&amp;"ाजू, 1 बड़ा चम्मच तेल, 1/2 छोटा चम्मच जीरा, हरा धनिया - थोड़ा सा")</f>
        <v>1 गोभी - कटी हुई, 1/2 कप हरी मटर, 1/8 छोटा चम्मच हल्दी पाउडर, 1/2 छोटा चम्मच धनिया पाउडर, 1 छोटा चम्मच लाल मिर्च पाउडर, 1/2 छोटा चम्मच गरम मसाला पाउडर, 2 प्याज, 4 टमाटर, 2 हरी मिर्च, 4 लहसुन की कलियां, 1/2 इंच अदरक, 20 बादाम - 15 मिनट भिगोकर छील लें, 15 काजू, 1 बड़ा चम्मच तेल, 1/2 छोटा चम्मच जीरा, हरा धनिया - थोड़ा सा</v>
      </c>
      <c r="H875" s="1" t="s">
        <v>34465</v>
      </c>
      <c r="I875" s="1" t="str">
        <f ca="1">IFERROR(__xludf.dummyfunction("IF(H875="""", """", GOOGLETRANSLATE(H875, ""en"", ""hi""))"),"अमृतसरी गोभी मटर की सब्जी बनाने के लिए सबसे पहले ग्रेवी के लिए दी गई सभी सामग्री को पीसकर अलग रख लें। बादाम और काजू को मिक्सर ग्राइंडर में 1/4 कप पानी के साथ पीस लें। एक तरफ रख दें। अब एक पैन में तेल गर्म करें। जीरा डालें और 15 सेकंड तक पकाएँ। ग्रेवी प्यू"&amp;"री, हल्दी पाउडर, लाल मिर्च पाउडर, धनिया पाउडर, नमक डालें और अच्छी तरह मिलाएँ। 5 से 7 मिनट तक पकाएँ। 7 मिनट के बाद फूलगोभी, हरी मटर डालें और अच्छी तरह मिलाएँ। 1/2 कप पानी डालें और फूलगोभी के पकने तक पकाएँ। गैस बंद कर दें और धनिया पत्ती से गार्निश करें। अमृ"&amp;"तसरी गोभी मटर की सब्जी को दाल पालक और फुल्के के साथ लंच में परोसें।")</f>
        <v>अमृतसरी गोभी मटर की सब्जी बनाने के लिए सबसे पहले ग्रेवी के लिए दी गई सभी सामग्री को पीसकर अलग रख लें। बादाम और काजू को मिक्सर ग्राइंडर में 1/4 कप पानी के साथ पीस लें। एक तरफ रख दें। अब एक पैन में तेल गर्म करें। जीरा डालें और 15 सेकंड तक पकाएँ। ग्रेवी प्यूरी, हल्दी पाउडर, लाल मिर्च पाउडर, धनिया पाउडर, नमक डालें और अच्छी तरह मिलाएँ। 5 से 7 मिनट तक पकाएँ। 7 मिनट के बाद फूलगोभी, हरी मटर डालें और अच्छी तरह मिलाएँ। 1/2 कप पानी डालें और फूलगोभी के पकने तक पकाएँ। गैस बंद कर दें और धनिया पत्ती से गार्निश करें। अमृतसरी गोभी मटर की सब्जी को दाल पालक और फुल्के के साथ लंच में परोसें।</v>
      </c>
      <c r="J875" s="3" t="s">
        <v>34466</v>
      </c>
      <c r="L875" s="1" t="s">
        <v>31003</v>
      </c>
    </row>
    <row r="876" spans="1:12" ht="409.6">
      <c r="A876" s="1" t="s">
        <v>34467</v>
      </c>
      <c r="B876" s="1" t="str">
        <f ca="1">IFERROR(__xludf.dummyfunction("IF(A876="""", """", GOOGLETRANSLATE(A876, ""en"", ""hi""))"),"कीमा कलेजी रेसिपी- मटन लीवर मिंस")</f>
        <v>कीमा कलेजी रेसिपी- मटन लीवर मिंस</v>
      </c>
      <c r="C876" s="1" t="s">
        <v>429</v>
      </c>
      <c r="D876" s="1" t="s">
        <v>14382</v>
      </c>
      <c r="E876" s="1">
        <v>55</v>
      </c>
      <c r="F876" s="1" t="s">
        <v>34468</v>
      </c>
      <c r="G876" s="1" t="str">
        <f ca="1">IFERROR(__xludf.dummyfunction("IF(F876="""", """", GOOGLETRANSLATE(F876, ""en"", ""hi""))"),"750 ग्राम मटन - बारीक कटा हुआ, 400 ग्राम मटन - कलेजी, 4 प्याज - बारीक कटा हुआ, 2 बड़ा चम्मच अदरक - बारीक कटा हुआ, 2-1/2 बड़ा चम्मच लहसुन - बारीक कटा हुआ, 6 हरी मिर्च, 1/2 छोटा चम्मच हल्दी, 2-1/2 बड़ा चम्मच धनिया पाउडर, 1-1/2 बड़ा चम्मच लाल मिर्च पाउडर, 1/"&amp;"2 कप दही - खट्टा, 1/2 कप सरसों का तेल, 5 पुदीना के पत्ते, नमक - स्वादानुसार, नींबू का रस - कुछ बूंदें, धनिया के पत्ते - गार्निश के लिए ताजा (कटे हुए), 2 तेज पत्ता, 5 लौंग, 5 साबुत काली मिर्च, 2 बड़ी इलायची, 4 इलायची के दाने - हरे, 1 इंच दालचीनी, 1 छोटा चम"&amp;"्मच जावित्री, 4 सूखी लाल मिर्च")</f>
        <v>750 ग्राम मटन - बारीक कटा हुआ, 400 ग्राम मटन - कलेजी, 4 प्याज - बारीक कटा हुआ, 2 बड़ा चम्मच अदरक - बारीक कटा हुआ, 2-1/2 बड़ा चम्मच लहसुन - बारीक कटा हुआ, 6 हरी मिर्च, 1/2 छोटा चम्मच हल्दी, 2-1/2 बड़ा चम्मच धनिया पाउडर, 1-1/2 बड़ा चम्मच लाल मिर्च पाउडर, 1/2 कप दही - खट्टा, 1/2 कप सरसों का तेल, 5 पुदीना के पत्ते, नमक - स्वादानुसार, नींबू का रस - कुछ बूंदें, धनिया के पत्ते - गार्निश के लिए ताजा (कटे हुए), 2 तेज पत्ता, 5 लौंग, 5 साबुत काली मिर्च, 2 बड़ी इलायची, 4 इलायची के दाने - हरे, 1 इंच दालचीनी, 1 छोटा चम्मच जावित्री, 4 सूखी लाल मिर्च</v>
      </c>
      <c r="H876" s="4" t="s">
        <v>34469</v>
      </c>
      <c r="I876" s="1" t="str">
        <f ca="1">IFERROR(__xludf.dummyfunction("IF(H876="""", """", GOOGLETRANSLATE(H876, ""en"", ""hi""))"),"कीमा कलेजी बनाने के लिए कीमा और कलेजी को बहते पानी में धोकर साफ कर लें और एक तरफ रख दें। धीमी आंच पर कड़ाही में तेल गर्म करें और उसमें साबुत मसाले - तेजपत्ता, लौंग, काली मिर्च, बड़ी इलाइची, इलायची, दालचीनी, जावित्री और सूखी लाल मिर्च डालकर चटकने दें। अब क"&amp;"टे हुए प्याज डालें और सुनहरा होने तक भूनें। इसमें कटा हुआ अदरक और लहसुन डालें और कच्ची महक जाने तक भूनें। इस बीच, एक कटोरे में दही लें और गांठें तोड़ने के लिए फेंटें और एक तरफ रख दें। जब अदरक लहसुन और प्याज का मिश्रण सुनहरा हो जाए, तो इसमें धुली कीमा और क"&amp;"लेजी डालकर अच्छी तरह मिला लें। अब आंच तेज रखें और तब तक भूनें जब तक नमी सूख न जाए और कीमा का रंग हल्का न हो जाए आंच धीमी कर दें और कड़ाही का ढक्कन बंद कर दें, कीमा को पकने दें और इसमें 20 से 25 मिनट या इससे भी ज्यादा समय लग सकता है। कोई अतिरिक्त पानी न डा"&amp;"लें क्योंकि दही का पानी मटन कीमा और लीवर को पकाने के लिए पर्याप्त है। जब कीमा पक रहा हो तो उसमें कुछ कटे हुए पुदीने के पत्ते डालें, इससे डिश को स्वाद और खुशबू मिलेगी। जब कीमा और कलेजी नरम होने लगे तो उसमें लाल मिर्च पाउडर, धनिया पाउडर डालें और तेज आंच पर "&amp;"तब तक पकाएं जब तक पानी सोख न ले और किनारों से तेल न निकलने लगे। यदि आवश्यक हो तो तेल और नमक समायोजित करें और कीमा कलेजी पूरी तरह से पकने तक भूनें। ऊपर से थोड़ा नींबू का रस छिड़कें और गैस बंद कर दें। कुछ ताजे कटे हरे धनिये से गार्निश करें और गरमागरम परोसें")</f>
        <v>कीमा कलेजी बनाने के लिए कीमा और कलेजी को बहते पानी में धोकर साफ कर लें और एक तरफ रख दें। धीमी आंच पर कड़ाही में तेल गर्म करें और उसमें साबुत मसाले - तेजपत्ता, लौंग, काली मिर्च, बड़ी इलाइची, इलायची, दालचीनी, जावित्री और सूखी लाल मिर्च डालकर चटकने दें। अब कटे हुए प्याज डालें और सुनहरा होने तक भूनें। इसमें कटा हुआ अदरक और लहसुन डालें और कच्ची महक जाने तक भूनें। इस बीच, एक कटोरे में दही लें और गांठें तोड़ने के लिए फेंटें और एक तरफ रख दें। जब अदरक लहसुन और प्याज का मिश्रण सुनहरा हो जाए, तो इसमें धुली कीमा और कलेजी डालकर अच्छी तरह मिला लें। अब आंच तेज रखें और तब तक भूनें जब तक नमी सूख न जाए और कीमा का रंग हल्का न हो जाए आंच धीमी कर दें और कड़ाही का ढक्कन बंद कर दें, कीमा को पकने दें और इसमें 20 से 25 मिनट या इससे भी ज्यादा समय लग सकता है। कोई अतिरिक्त पानी न डालें क्योंकि दही का पानी मटन कीमा और लीवर को पकाने के लिए पर्याप्त है। जब कीमा पक रहा हो तो उसमें कुछ कटे हुए पुदीने के पत्ते डालें, इससे डिश को स्वाद और खुशबू मिलेगी। जब कीमा और कलेजी नरम होने लगे तो उसमें लाल मिर्च पाउडर, धनिया पाउडर डालें और तेज आंच पर तब तक पकाएं जब तक पानी सोख न ले और किनारों से तेल न निकलने लगे। यदि आवश्यक हो तो तेल और नमक समायोजित करें और कीमा कलेजी पूरी तरह से पकने तक भूनें। ऊपर से थोड़ा नींबू का रस छिड़कें और गैस बंद कर दें। कुछ ताजे कटे हरे धनिये से गार्निश करें और गरमागरम परोसें</v>
      </c>
      <c r="J876" s="3" t="s">
        <v>34470</v>
      </c>
      <c r="L876" s="1" t="s">
        <v>31003</v>
      </c>
    </row>
    <row r="877" spans="1:12" ht="13.8">
      <c r="A877" s="1" t="s">
        <v>34471</v>
      </c>
      <c r="B877" s="1" t="str">
        <f ca="1">IFERROR(__xludf.dummyfunction("IF(A877="""", """", GOOGLETRANSLATE(A877, ""en"", ""hi""))"),"पालक कॉर्न सब्ज़ी रेसिपी")</f>
        <v>पालक कॉर्न सब्ज़ी रेसिपी</v>
      </c>
      <c r="C877" s="1" t="s">
        <v>429</v>
      </c>
      <c r="D877" s="1" t="s">
        <v>14237</v>
      </c>
      <c r="E877" s="1">
        <v>30</v>
      </c>
      <c r="F877" s="1" t="s">
        <v>34472</v>
      </c>
      <c r="G877" s="1" t="str">
        <f ca="1">IFERROR(__xludf.dummyfunction("IF(F877="""", """", GOOGLETRANSLATE(F877, ""en"", ""hi""))"),"10 टहनियाँ पालक - धोया और कटा हुआ, 1/2 कप स्वीट कॉर्न - उबला हुआ, सूरजमुखी तेल - आवश्यकतानुसार, 1 चम्मच जीरा, 1 बड़ा चम्मच अदरक लहसुन पेस्ट, 3 हरी मिर्च - बारीक कटी हुई (समायोज्य), 6 काजू, 1 प्याज - कटा हुआ, 1 टमाटर - कटा हुआ, 1/2 चम्मच हल्दी पाउडर, 1 चम्"&amp;"मच लाल मिर्च पाउडर, 1 चम्मच धनिया पाउडर, नमक - स्वादानुसार, 5 बड़े चम्मच दूध, 1/2 चम्मच गरम मसाला पाउडर")</f>
        <v>10 टहनियाँ पालक - धोया और कटा हुआ, 1/2 कप स्वीट कॉर्न - उबला हुआ, सूरजमुखी तेल - आवश्यकतानुसार, 1 चम्मच जीरा, 1 बड़ा चम्मच अदरक लहसुन पेस्ट, 3 हरी मिर्च - बारीक कटी हुई (समायोज्य), 6 काजू, 1 प्याज - कटा हुआ, 1 टमाटर - कटा हुआ, 1/2 चम्मच हल्दी पाउडर, 1 चम्मच लाल मिर्च पाउडर, 1 चम्मच धनिया पाउडर, नमक - स्वादानुसार, 5 बड़े चम्मच दूध, 1/2 चम्मच गरम मसाला पाउडर</v>
      </c>
      <c r="H877" s="1" t="s">
        <v>34473</v>
      </c>
      <c r="I877" s="1" t="str">
        <f ca="1">IFERROR(__xludf.dummyfunction("IF(H877="""", """", GOOGLETRANSLATE(H877, ""en"", ""hi""))"),"पालक कॉर्न सब्ज़ी रेसिपी बनाने के लिए सबसे पहले एक भारी तले की कड़ाही में तेल गर्म करें। तेल गर्म हो जाने पर उसमें जीरा डालें। करीब 10 सेकेंड बाद उसमें अदरक लहसुन का पेस्ट, हरी मिर्च डालकर मध्यम आंच पर भूनें। जब अदरक और लहसुन से खुशबू आने लगे तो उसमें प्य"&amp;"ाज और काजू डालें। प्याज के सुनहरे भूरे रंग होने तक उसे भूनें। जब प्याज सुनहरे भूरे रंग का हो जाए तो उसमें कटे हुए टमाटर डालें और उनके नरम होने तक पकाएँ। उसमें हल्दी पाउडर, स्वादानुसार नमक, लाल मिर्च पाउडर और धनिया पाउडर डालें। इन्हें अच्छे से मिलाएँ। जब म"&amp;"साला मिल जाए तो उसमें कटा हुआ पालक डालें और करीब दो मिनट तक पकाएँ। जब पालक अच्छी तरह पक जाए तो पूरे पालक के मिश्रण को ब्लेंडर में डालकर प्यूरी बना लें पालक कॉर्न सब्ज़ी में थोड़ा गरम मसाला डालें, इसे अच्छी तरह मिलाएँ और एक और मिनट के लिए पकाएँ और आँच बंद "&amp;"कर दें। पालक कॉर्न सब्ज़ी को एक सर्विंग बाउल में निकालें और गरमागरम परोसें। पालक कॉर्न सब्ज़ी को तवा पराठा और लौकी रायता के साथ अपने परिवार के साथ सप्ताह के दिनों के भोजन के लिए परोसें।")</f>
        <v>पालक कॉर्न सब्ज़ी रेसिपी बनाने के लिए सबसे पहले एक भारी तले की कड़ाही में तेल गर्म करें। तेल गर्म हो जाने पर उसमें जीरा डालें। करीब 10 सेकेंड बाद उसमें अदरक लहसुन का पेस्ट, हरी मिर्च डालकर मध्यम आंच पर भूनें। जब अदरक और लहसुन से खुशबू आने लगे तो उसमें प्याज और काजू डालें। प्याज के सुनहरे भूरे रंग होने तक उसे भूनें। जब प्याज सुनहरे भूरे रंग का हो जाए तो उसमें कटे हुए टमाटर डालें और उनके नरम होने तक पकाएँ। उसमें हल्दी पाउडर, स्वादानुसार नमक, लाल मिर्च पाउडर और धनिया पाउडर डालें। इन्हें अच्छे से मिलाएँ। जब मसाला मिल जाए तो उसमें कटा हुआ पालक डालें और करीब दो मिनट तक पकाएँ। जब पालक अच्छी तरह पक जाए तो पूरे पालक के मिश्रण को ब्लेंडर में डालकर प्यूरी बना लें पालक कॉर्न सब्ज़ी में थोड़ा गरम मसाला डालें, इसे अच्छी तरह मिलाएँ और एक और मिनट के लिए पकाएँ और आँच बंद कर दें। पालक कॉर्न सब्ज़ी को एक सर्विंग बाउल में निकालें और गरमागरम परोसें। पालक कॉर्न सब्ज़ी को तवा पराठा और लौकी रायता के साथ अपने परिवार के साथ सप्ताह के दिनों के भोजन के लिए परोसें।</v>
      </c>
      <c r="J877" s="3" t="s">
        <v>34474</v>
      </c>
      <c r="L877" s="1" t="s">
        <v>31003</v>
      </c>
    </row>
    <row r="878" spans="1:12" ht="409.6">
      <c r="A878" s="1" t="s">
        <v>34475</v>
      </c>
      <c r="B878" s="1" t="str">
        <f ca="1">IFERROR(__xludf.dummyfunction("IF(A878="""", """", GOOGLETRANSLATE(A878, ""en"", ""hi""))"),"बूंदी और हरे प्याज की सब्जी रेसिपी")</f>
        <v>बूंदी और हरे प्याज की सब्जी रेसिपी</v>
      </c>
      <c r="C878" s="1" t="s">
        <v>145</v>
      </c>
      <c r="D878" s="1" t="s">
        <v>14198</v>
      </c>
      <c r="E878" s="1">
        <v>20</v>
      </c>
      <c r="F878" s="1" t="s">
        <v>34476</v>
      </c>
      <c r="G878" s="1" t="str">
        <f ca="1">IFERROR(__xludf.dummyfunction("IF(F878="""", """", GOOGLETRANSLATE(F878, ""en"", ""hi""))"),"8 हरे प्याज के पत्ते - कटे हुए (प्याज को काट लें), 1 कप बूंदी, 2 हरी मिर्च - बारीक कटी हुई, सूरजमुखी तेल - आवश्यकतानुसार, 1 चम्मच जीरा, 1/4 चम्मच हींग, 1 बड़ा चम्मच लहसुन - पेस्ट, 1/2 चम्मच हल्दी पाउडर, 1 बड़ा चम्मच धनिया पाउडर, 1 बड़ा चम्मच लाल मिर्च पाउ"&amp;"डर, 1/4 चम्मच गरम मसाला पाउडर, 1/2 कप कसा हुआ नारियल, नमक - स्वादानुसार, 1/2 कप टमाटर - कटा हुआ, 1/4 कप पानी, 1/2 चम्मच आमचूर")</f>
        <v>8 हरे प्याज के पत्ते - कटे हुए (प्याज को काट लें), 1 कप बूंदी, 2 हरी मिर्च - बारीक कटी हुई, सूरजमुखी तेल - आवश्यकतानुसार, 1 चम्मच जीरा, 1/4 चम्मच हींग, 1 बड़ा चम्मच लहसुन - पेस्ट, 1/2 चम्मच हल्दी पाउडर, 1 बड़ा चम्मच धनिया पाउडर, 1 बड़ा चम्मच लाल मिर्च पाउडर, 1/4 चम्मच गरम मसाला पाउडर, 1/2 कप कसा हुआ नारियल, नमक - स्वादानुसार, 1/2 कप टमाटर - कटा हुआ, 1/4 कप पानी, 1/2 चम्मच आमचूर</v>
      </c>
      <c r="H878" s="4" t="s">
        <v>34477</v>
      </c>
      <c r="I878" s="1" t="str">
        <f ca="1">IFERROR(__xludf.dummyfunction("IF(H878="""", """", GOOGLETRANSLATE(H878, ""en"", ""hi""))"),"बूंदी और हरे प्याज़ के साग की सब्ज़ी बनाने के लिए सबसे पहले एक नॉन स्टिक कड़ाही में तेल गरम करें, उसमें जीरा और हींग डालें। जब जीरा चटकने लगे, तो उसमें लहसुन का पेस्ट डालें, लहसुन की कच्ची महक जाने तक भूनें। नारियल पाउडर डालें, कुछ सेकंड के लिए भूनें और ध"&amp;"्यान रखें कि नारियल पाउडर जले नहीं। हल्दी पाउडर, धनिया पाउडर, लाल मिर्च पाउडर, गरम मसाला पाउडर और ज़रूरत के अनुसार नमक डालें। हरे प्याज़ डालें और अच्छी तरह मिलाएँ, 3 से 4 मिनट तक पकने दें। 3 से 4 मिनट के बाद, कटे हुए टमाटर और थोड़ा पानी डालें। इसे एक और म"&amp;"िनट तक पकने दें। सूखा अमचूर पाउडर डालें और अच्छी तरह मिलाएँ। मिश्रण के ऊपर खड़ी बूंदी फैलाएँ। इसे मिलाएं नहीं, बस इसे फैलाएं और ढक्कन को कुछ सेकंड के लिए ढक दें जब तक कि बूंदी नरम न हो जाए। अब इसे धीरे-धीरे मिलाएं और आपकी बूंदी और हरे प्याज के साग की सब्ज"&amp;"ी परोसने के लिए तैयार है। बूंदी और हरे प्याज के साग की सब्जी को पंचमेल दाल और तवा पराठे के साथ सप्ताह के दिनों में परोसें।")</f>
        <v>बूंदी और हरे प्याज़ के साग की सब्ज़ी बनाने के लिए सबसे पहले एक नॉन स्टिक कड़ाही में तेल गरम करें, उसमें जीरा और हींग डालें। जब जीरा चटकने लगे, तो उसमें लहसुन का पेस्ट डालें, लहसुन की कच्ची महक जाने तक भूनें। नारियल पाउडर डालें, कुछ सेकंड के लिए भूनें और ध्यान रखें कि नारियल पाउडर जले नहीं। हल्दी पाउडर, धनिया पाउडर, लाल मिर्च पाउडर, गरम मसाला पाउडर और ज़रूरत के अनुसार नमक डालें। हरे प्याज़ डालें और अच्छी तरह मिलाएँ, 3 से 4 मिनट तक पकने दें। 3 से 4 मिनट के बाद, कटे हुए टमाटर और थोड़ा पानी डालें। इसे एक और मिनट तक पकने दें। सूखा अमचूर पाउडर डालें और अच्छी तरह मिलाएँ। मिश्रण के ऊपर खड़ी बूंदी फैलाएँ। इसे मिलाएं नहीं, बस इसे फैलाएं और ढक्कन को कुछ सेकंड के लिए ढक दें जब तक कि बूंदी नरम न हो जाए। अब इसे धीरे-धीरे मिलाएं और आपकी बूंदी और हरे प्याज के साग की सब्जी परोसने के लिए तैयार है। बूंदी और हरे प्याज के साग की सब्जी को पंचमेल दाल और तवा पराठे के साथ सप्ताह के दिनों में परोसें।</v>
      </c>
      <c r="J878" s="3" t="s">
        <v>34478</v>
      </c>
      <c r="L878" s="1" t="s">
        <v>31003</v>
      </c>
    </row>
    <row r="879" spans="1:12" ht="13.8">
      <c r="A879" s="1" t="s">
        <v>34479</v>
      </c>
      <c r="B879" s="1" t="str">
        <f ca="1">IFERROR(__xludf.dummyfunction("IF(A879="""", """", GOOGLETRANSLATE(A879, ""en"", ""hi""))"),"कढ़ाई बेबी कॉर्न पनीर रेसिपी")</f>
        <v>कढ़ाई बेबी कॉर्न पनीर रेसिपी</v>
      </c>
      <c r="C879" s="1" t="s">
        <v>145</v>
      </c>
      <c r="D879" s="1" t="s">
        <v>14198</v>
      </c>
      <c r="E879" s="1">
        <v>45</v>
      </c>
      <c r="F879" s="1" t="s">
        <v>34480</v>
      </c>
      <c r="G879" s="1" t="str">
        <f ca="1">IFERROR(__xludf.dummyfunction("IF(F879="""", """", GOOGLETRANSLATE(F879, ""en"", ""hi""))"),"200 ग्राम बेबी कॉर्न - कटा हुआ, 200 ग्राम पनीर (घर का बना कॉटेज पनीर) - टुकड़ों में कटा हुआ, 1 प्याज - कटा हुआ, 1 इंच अदरक - बारीक कटा हुआ, 3 लौंग लहसुन - बारीक कटा हुआ, 2 टमाटर - कटा हुआ, 1/2 चम्मच हल्दी पाउडर (हल्दी), 1 चम्मच गरम मसाला पाउडर, 1/2 चम्मच "&amp;"इलायची पाउडर (इलायची), 1/2 चम्मच कश्मीरी लाल मिर्च पाउडर, 1 चम्मच घी - गार्निश के लिए, 1 चम्मच कसूरी मेथी (सूखे मेथी के पत्ते), 1 चम्मच सूरजमुखी का तेल")</f>
        <v>200 ग्राम बेबी कॉर्न - कटा हुआ, 200 ग्राम पनीर (घर का बना कॉटेज पनीर) - टुकड़ों में कटा हुआ, 1 प्याज - कटा हुआ, 1 इंच अदरक - बारीक कटा हुआ, 3 लौंग लहसुन - बारीक कटा हुआ, 2 टमाटर - कटा हुआ, 1/2 चम्मच हल्दी पाउडर (हल्दी), 1 चम्मच गरम मसाला पाउडर, 1/2 चम्मच इलायची पाउडर (इलायची), 1/2 चम्मच कश्मीरी लाल मिर्च पाउडर, 1 चम्मच घी - गार्निश के लिए, 1 चम्मच कसूरी मेथी (सूखे मेथी के पत्ते), 1 चम्मच सूरजमुखी का तेल</v>
      </c>
      <c r="H879" s="1" t="s">
        <v>34481</v>
      </c>
      <c r="I879" s="1" t="str">
        <f ca="1">IFERROR(__xludf.dummyfunction("IF(H879="""", """", GOOGLETRANSLATE(H879, ""en"", ""hi""))"),"कढ़ाई बेबी कॉर्न पनीर रेसिपी बनाने के लिए सबसे पहले एक भारी तले की कड़ाही में तेल गर्म करें। जब तेल हल्का गर्म हो जाए तो उसमें अदरक और लहसुन डालें। इसे लगभग 30 सेकंड तक पकने दें। 30 सेकंड के बाद, इसमें प्याज डालें और उन्हें नरम और पारदर्शी होने तक भूनें। "&amp;"इसमें लगभग एक या दो मिनट का समय लगेगा। जैसे ही प्याज पारदर्शी हो जाए, इसमें बेबी कॉर्न डालें और बेबी कॉर्न के नरम होने तक भूनें। फिर इसमें धीरे-धीरे टमाटर, हल्दी पाउडर, इलायची पाउडर, लाल मिर्च पाउडर डालें और लगभग 10 मिनट तक अच्छी तरह से भूनें। 10 मिनट के "&amp;"बाद बेबी कॉर्न स्टिर फ्राई में पनीर, कसूरी मेथी डालें। सभी चीजों को अच्छी तरह से मिलाएँ और नमक जैसे मसाले चेक करें और आँच बंद कर दें। यह परोसने के लिए तैयार है। कढ़ाई बेबी कॉर्न पनीर रेसिपी को दाल बुखारा, फुल्का, खुशबूदार वेजिटेबल पुलाव और बुरानी रायता के"&amp;" साथ परोसें और संपूर्ण भोजन बनाएँ।")</f>
        <v>कढ़ाई बेबी कॉर्न पनीर रेसिपी बनाने के लिए सबसे पहले एक भारी तले की कड़ाही में तेल गर्म करें। जब तेल हल्का गर्म हो जाए तो उसमें अदरक और लहसुन डालें। इसे लगभग 30 सेकंड तक पकने दें। 30 सेकंड के बाद, इसमें प्याज डालें और उन्हें नरम और पारदर्शी होने तक भूनें। इसमें लगभग एक या दो मिनट का समय लगेगा। जैसे ही प्याज पारदर्शी हो जाए, इसमें बेबी कॉर्न डालें और बेबी कॉर्न के नरम होने तक भूनें। फिर इसमें धीरे-धीरे टमाटर, हल्दी पाउडर, इलायची पाउडर, लाल मिर्च पाउडर डालें और लगभग 10 मिनट तक अच्छी तरह से भूनें। 10 मिनट के बाद बेबी कॉर्न स्टिर फ्राई में पनीर, कसूरी मेथी डालें। सभी चीजों को अच्छी तरह से मिलाएँ और नमक जैसे मसाले चेक करें और आँच बंद कर दें। यह परोसने के लिए तैयार है। कढ़ाई बेबी कॉर्न पनीर रेसिपी को दाल बुखारा, फुल्का, खुशबूदार वेजिटेबल पुलाव और बुरानी रायता के साथ परोसें और संपूर्ण भोजन बनाएँ।</v>
      </c>
      <c r="J879" s="3" t="s">
        <v>34482</v>
      </c>
      <c r="L879" s="1" t="s">
        <v>31003</v>
      </c>
    </row>
    <row r="880" spans="1:12" ht="13.8">
      <c r="A880" s="1" t="s">
        <v>33208</v>
      </c>
      <c r="B880" s="1" t="str">
        <f ca="1">IFERROR(__xludf.dummyfunction("IF(A880="""", """", GOOGLETRANSLATE(A880, ""en"", ""hi""))"),"हेल्दी वेजिटेबल पराठा रोल रेसिपी")</f>
        <v>हेल्दी वेजिटेबल पराठा रोल रेसिपी</v>
      </c>
      <c r="C880" s="1" t="s">
        <v>14281</v>
      </c>
      <c r="D880" s="1" t="s">
        <v>14198</v>
      </c>
      <c r="E880" s="1">
        <v>40</v>
      </c>
      <c r="F880" s="1" t="s">
        <v>34483</v>
      </c>
      <c r="G880" s="1" t="str">
        <f ca="1">IFERROR(__xludf.dummyfunction("IF(F880="""", """", GOOGLETRANSLATE(F880, ""en"", ""hi""))"),"4 तवा पराठा, 1 प्याज - पतले कटे हुए, 2 कप गोभी - पतले कटे हुए, 1 कप गाजर - कद्दूकस किया हुआ, 1/2 कप हरी मटर, 3/4 कप आलू - उबले और मैश किए हुए, 1/2 शिमला मिर्च (हरा) - पतले कटे हुए, 1 कप टमाटर - कटा हुआ, 1 इंच अदरक - कद्दूकस किया हुआ, 1 हरी मिर्च - बारीक क"&amp;"टी हुई, 2 टहनियाँ धनिया पत्ती - कटी हुई, 2 बड़े चम्मच तेल, 1 छोटा चम्मच जीरा, 1 छोटा चम्मच नमक, 1/2 छोटा चम्मच गरम मसाला पाउडर")</f>
        <v>4 तवा पराठा, 1 प्याज - पतले कटे हुए, 2 कप गोभी - पतले कटे हुए, 1 कप गाजर - कद्दूकस किया हुआ, 1/2 कप हरी मटर, 3/4 कप आलू - उबले और मैश किए हुए, 1/2 शिमला मिर्च (हरा) - पतले कटे हुए, 1 कप टमाटर - कटा हुआ, 1 इंच अदरक - कद्दूकस किया हुआ, 1 हरी मिर्च - बारीक कटी हुई, 2 टहनियाँ धनिया पत्ती - कटी हुई, 2 बड़े चम्मच तेल, 1 छोटा चम्मच जीरा, 1 छोटा चम्मच नमक, 1/2 छोटा चम्मच गरम मसाला पाउडर</v>
      </c>
      <c r="H880" s="1" t="s">
        <v>34484</v>
      </c>
      <c r="I880" s="1" t="str">
        <f ca="1">IFERROR(__xludf.dummyfunction("IF(H880="""", """", GOOGLETRANSLATE(H880, ""en"", ""hi""))"),"""वेजिटेबल पराठा रोल रेसिपी बनाने के लिए सबसे पहले तवा पराठा बना कर तैयार कर लें। इसे एक तरफ रख दें। अब एक पैन में तेल गर्म करें। इसमें प्याज, अदरक, लहसुन, गाजर, हरी मटर, नमक डालें और गाजर के नरम होने तक पकाएँ। इस बीच आलू को पानी के साथ प्रेशर कुकर में डा"&amp;"लें और 4 सीटी आने तक पकाएँ। गैस बंद कर दें और प्रेशर को अपने आप निकलने दें। कुकर खोलें, आलू छीलें और मैश करें। इसे एक तरफ रख दें। गाजर के नरम होने के बाद, इसमें गोभी, टमाटर, शिमला मिर्च डालें और गोभी के नरम होने तक पकाएँ। नमक, जीरा, गरम मसाला पाउडर, मसले "&amp;"हुए आलू डालें और 3 से 4 मिनट तक पकाएँ। अब हम रोल बनाएंगे। एक पराठा लें और उसके बीच में थोड़ा मसाला डालें। पराठे को रोल करें और परोसें। शाम के नाश्ते के लिए वेजिटेबल पराठा रोल रेसिपी को धनिया पुदीना चटनी और मसाला चाय के साथ परोसें।""")</f>
        <v>"वेजिटेबल पराठा रोल रेसिपी बनाने के लिए सबसे पहले तवा पराठा बना कर तैयार कर लें। इसे एक तरफ रख दें। अब एक पैन में तेल गर्म करें। इसमें प्याज, अदरक, लहसुन, गाजर, हरी मटर, नमक डालें और गाजर के नरम होने तक पकाएँ। इस बीच आलू को पानी के साथ प्रेशर कुकर में डालें और 4 सीटी आने तक पकाएँ। गैस बंद कर दें और प्रेशर को अपने आप निकलने दें। कुकर खोलें, आलू छीलें और मैश करें। इसे एक तरफ रख दें। गाजर के नरम होने के बाद, इसमें गोभी, टमाटर, शिमला मिर्च डालें और गोभी के नरम होने तक पकाएँ। नमक, जीरा, गरम मसाला पाउडर, मसले हुए आलू डालें और 3 से 4 मिनट तक पकाएँ। अब हम रोल बनाएंगे। एक पराठा लें और उसके बीच में थोड़ा मसाला डालें। पराठे को रोल करें और परोसें। शाम के नाश्ते के लिए वेजिटेबल पराठा रोल रेसिपी को धनिया पुदीना चटनी और मसाला चाय के साथ परोसें।"</v>
      </c>
      <c r="J880" s="3" t="s">
        <v>34485</v>
      </c>
      <c r="L880" s="1" t="s">
        <v>31003</v>
      </c>
    </row>
    <row r="881" spans="1:12" ht="13.8">
      <c r="A881" s="1" t="s">
        <v>34486</v>
      </c>
      <c r="B881" s="1" t="str">
        <f ca="1">IFERROR(__xludf.dummyfunction("IF(A881="""", """", GOOGLETRANSLATE(A881, ""en"", ""hi""))"),"छोले पिंडी")</f>
        <v>छोले पिंडी</v>
      </c>
      <c r="C881" s="1" t="s">
        <v>145</v>
      </c>
      <c r="D881" s="1" t="s">
        <v>14198</v>
      </c>
      <c r="E881" s="1">
        <v>620</v>
      </c>
      <c r="F881" s="1" t="s">
        <v>34487</v>
      </c>
      <c r="G881" s="1" t="str">
        <f ca="1">IFERROR(__xludf.dummyfunction("IF(F881="""", """", GOOGLETRANSLATE(F881, ""en"", ""hi""))"),"1 कप छोले या छोले - रातभर भिगोए हुए, 2 इलायची, 1 प्याज - बारीक कटा हुआ, 1 दालचीनी, 1 इंच अदरक - बारीक कटा हुआ (गार्निश के लिए), 2 हरी मिर्च - बारीक कटी हुई, 1/2 कप टमाटर प्यूरी, 1/2 चम्मच हल्दी पाउडर, 1 चम्मच अनारदाना पाउडर, 1 चम्मच धनिया पाउडर, 1/2 चम्मच"&amp;" गरम मसाला पाउडर, 1/2 चम्मच अमचूर पाउडर, 1/2 चम्मच लाल मिर्च पाउडर, तेल - या घी (आवश्यकतानुसार), नमक - स्वादानुसार, 1 इंच अदरक - बारीक कटा हुआ, नींबू - कटा हुआ")</f>
        <v>1 कप छोले या छोले - रातभर भिगोए हुए, 2 इलायची, 1 प्याज - बारीक कटा हुआ, 1 दालचीनी, 1 इंच अदरक - बारीक कटा हुआ (गार्निश के लिए), 2 हरी मिर्च - बारीक कटी हुई, 1/2 कप टमाटर प्यूरी, 1/2 चम्मच हल्दी पाउडर, 1 चम्मच अनारदाना पाउडर, 1 चम्मच धनिया पाउडर, 1/2 चम्मच गरम मसाला पाउडर, 1/2 चम्मच अमचूर पाउडर, 1/2 चम्मच लाल मिर्च पाउडर, तेल - या घी (आवश्यकतानुसार), नमक - स्वादानुसार, 1 इंच अदरक - बारीक कटा हुआ, नींबू - कटा हुआ</v>
      </c>
      <c r="H881" s="1" t="s">
        <v>34488</v>
      </c>
      <c r="I881" s="1" t="str">
        <f ca="1">IFERROR(__xludf.dummyfunction("IF(H881="""", """", GOOGLETRANSLATE(H881, ""en"", ""hi""))"),"छोले पिंडी बनाने के लिए सबसे पहले छोले को प्रेशर कुकर में डालकर उसमें आवश्यकतानुसार पानी और नमक डालकर 5 सीटी आने तक पकाएं। प्रेशर अपने आप निकलने दें और एक तरफ रख दें। अब एक पैन में तेल गर्म करें। इसमें प्याज, हरी मिर्च, टमाटर, हल्दी पाउडर, धनिया पाउडर, गर"&amp;"म मसाला पाउडर, अमचूर पाउडर, लाल मिर्च पाउडर, दालचीनी और इलायची डालें। प्याज और टमाटर के पकने तक पकाएं। अब इसमें पके हुए छोले डालें और 5 मिनट तक पकने दें। पकने के बाद गैस बंद कर दें और हरे धनिए से गार्निश करें। साथ ही ऊपर से बारीक कटा हुआ अदरक और नींबू डाल"&amp;"ें। छोले पिंडी को भिंडी रायता, बेसन और मिर्च की सब्जी और फुल्के के साथ लंच में सर्व करें।")</f>
        <v>छोले पिंडी बनाने के लिए सबसे पहले छोले को प्रेशर कुकर में डालकर उसमें आवश्यकतानुसार पानी और नमक डालकर 5 सीटी आने तक पकाएं। प्रेशर अपने आप निकलने दें और एक तरफ रख दें। अब एक पैन में तेल गर्म करें। इसमें प्याज, हरी मिर्च, टमाटर, हल्दी पाउडर, धनिया पाउडर, गरम मसाला पाउडर, अमचूर पाउडर, लाल मिर्च पाउडर, दालचीनी और इलायची डालें। प्याज और टमाटर के पकने तक पकाएं। अब इसमें पके हुए छोले डालें और 5 मिनट तक पकने दें। पकने के बाद गैस बंद कर दें और हरे धनिए से गार्निश करें। साथ ही ऊपर से बारीक कटा हुआ अदरक और नींबू डालें। छोले पिंडी को भिंडी रायता, बेसन और मिर्च की सब्जी और फुल्के के साथ लंच में सर्व करें।</v>
      </c>
      <c r="J881" s="3" t="s">
        <v>34489</v>
      </c>
      <c r="L881" s="1" t="s">
        <v>31003</v>
      </c>
    </row>
    <row r="882" spans="1:12" ht="13.8">
      <c r="A882" s="1" t="s">
        <v>34490</v>
      </c>
      <c r="B882" s="1" t="str">
        <f ca="1">IFERROR(__xludf.dummyfunction("IF(A882="""", """", GOOGLETRANSLATE(A882, ""en"", ""hi""))"),"काजू की ग्रेवी में रेशमी कोफ्ता रेसिपी")</f>
        <v>काजू की ग्रेवी में रेशमी कोफ्ता रेसिपी</v>
      </c>
      <c r="C882" s="1" t="s">
        <v>429</v>
      </c>
      <c r="D882" s="1" t="s">
        <v>14198</v>
      </c>
      <c r="E882" s="1">
        <v>90</v>
      </c>
      <c r="F882" s="1" t="s">
        <v>34491</v>
      </c>
      <c r="G882" s="1" t="str">
        <f ca="1">IFERROR(__xludf.dummyfunction("IF(F882="""", """", GOOGLETRANSLATE(F882, ""en"", ""hi""))"),"150 ग्राम पनीर (घर का बना पनीर) - कसा हुआ, 50 ग्राम पनीर - कसा हुआ, 3 आलू (आलू) - उबले और मसले हुए, 1 बड़ा चम्मच बेसन (बेसन), नमक - स्वादानुसार, लाल मिर्च पाउडर - स्वादानुसार, 2 प्याज - मोटे तौर पर कटा हुआ, 3 लहसुन की कलियां, 1 इंच अदरक, 1-1/2 कप घर का बन"&amp;"ा टमाटर प्यूरी, 1/4 कप काजू - पानी के साथ चिकना पेस्ट बनाने के लिए, 1 बड़ा चम्मच ताजा क्रीम, 1 चम्मच कश्मीरी लाल मिर्च पाउडर, 1/2 चम्मच हल्दी पाउडर (हल्दी), 1 चम्मच धनिया पाउडर (धनिया), 1 चम्मच गरम मसाला पाउडर, 1 चम्मच कसूरी मेथी (सूखी मेथी के पत्ते), धनि"&amp;"या (धनिया) के पत्ते - गार्निश के लिए कटे हुए, नमक - स्वादानुसार")</f>
        <v>150 ग्राम पनीर (घर का बना पनीर) - कसा हुआ, 50 ग्राम पनीर - कसा हुआ, 3 आलू (आलू) - उबले और मसले हुए, 1 बड़ा चम्मच बेसन (बेसन), नमक - स्वादानुसार, लाल मिर्च पाउडर - स्वादानुसार, 2 प्याज - मोटे तौर पर कटा हुआ, 3 लहसुन की कलियां, 1 इंच अदरक, 1-1/2 कप घर का बना टमाटर प्यूरी, 1/4 कप काजू - पानी के साथ चिकना पेस्ट बनाने के लिए, 1 बड़ा चम्मच ताजा क्रीम, 1 चम्मच कश्मीरी लाल मिर्च पाउडर, 1/2 चम्मच हल्दी पाउडर (हल्दी), 1 चम्मच धनिया पाउडर (धनिया), 1 चम्मच गरम मसाला पाउडर, 1 चम्मच कसूरी मेथी (सूखी मेथी के पत्ते), धनिया (धनिया) के पत्ते - गार्निश के लिए कटे हुए, नमक - स्वादानुसार</v>
      </c>
      <c r="H882" s="1" t="s">
        <v>34492</v>
      </c>
      <c r="I882" s="1" t="str">
        <f ca="1">IFERROR(__xludf.dummyfunction("IF(H882="""", """", GOOGLETRANSLATE(H882, ""en"", ""hi""))"),"काजू की ग्रेवी में रेशमी कोफ्ता बनाने के लिए सबसे पहले सभी सामग्री को एक साथ मिला लें, ताकि हम कोफ्ता बनाने की तैयारी शुरू कर सकें। इस रेसिपी के अनुसार घर का बना टमाटर प्यूरी बनाएं और एक तरफ रख दें। काजू को थोड़े पानी के साथ पीसकर चिकना पेस्ट बना लें और ए"&amp;"क तरफ रख दें। प्याज, अदरक और लहसुन का पेस्ट बना लें और एक तरफ रख दें। कोफ्ता बनाने के लिए सबसे पहले एक बड़े कटोरे में पनीर, पनीर और आलू को मिलाएं, एक बड़ा चम्मच बेसन, नमक और मिर्च पाउडर डालें। कोफ्ता मिश्रण बनाने के लिए मिलाएं। इसे नींबू के आकार की गेंदों"&amp;" में विभाजित करें। मध्यम आँच पर पनियारम पैन गरम करें, प्रत्येक डिब्बे में थोड़ा तेल डालें और रेशमी कोफ्ते को पकने और सुनहरा भूरा होने तक तलें इसमें प्याज, अदरक, लहसुन का पेस्ट डालें और तब तक पकाएं जब तक कि कच्ची महक न चली जाए और प्याज हल्का भूरा न हो जाए।"&amp;" जब ​​प्याज पक जाए तो इसमें सारे मसाले डालें और कुछ सेकंड के लिए चलाएं। प्याज में मसाला डालने की प्रक्रिया भी कच्ची महक को दूर करने में मदद करती है। इसमें टमाटर प्यूरी, काजू का पेस्ट और क्रीम मिलाएं। मिश्रण को तेज उबालें और 10 मिनट तक उबालें ताकि कोफ्ता क"&amp;"री को सही स्वाद और सुगंध मिले। नमक और मसाले की जांच करें और अपने स्वाद के अनुसार समायोजित करें। जब आप परोसने के लिए तैयार हों तो इसमें पैन फ्राइड रेशमी कोफ्ता बॉल्स, कटा हरा धनिया, कसूरी मेथी डालें और 3 से 4 मिनट तक उबालें। रेशमी कोफ्ता करी को पालक पनीर, "&amp;"दाल मखनी, फुल्का और कढ़ाई बीन्स और गाजर पुलाव रेसिपी के साथ परोसें और वीकेंड डिनर का लुत्फ़ उठाएँ।")</f>
        <v>काजू की ग्रेवी में रेशमी कोफ्ता बनाने के लिए सबसे पहले सभी सामग्री को एक साथ मिला लें, ताकि हम कोफ्ता बनाने की तैयारी शुरू कर सकें। इस रेसिपी के अनुसार घर का बना टमाटर प्यूरी बनाएं और एक तरफ रख दें। काजू को थोड़े पानी के साथ पीसकर चिकना पेस्ट बना लें और एक तरफ रख दें। प्याज, अदरक और लहसुन का पेस्ट बना लें और एक तरफ रख दें। कोफ्ता बनाने के लिए सबसे पहले एक बड़े कटोरे में पनीर, पनीर और आलू को मिलाएं, एक बड़ा चम्मच बेसन, नमक और मिर्च पाउडर डालें। कोफ्ता मिश्रण बनाने के लिए मिलाएं। इसे नींबू के आकार की गेंदों में विभाजित करें। मध्यम आँच पर पनियारम पैन गरम करें, प्रत्येक डिब्बे में थोड़ा तेल डालें और रेशमी कोफ्ते को पकने और सुनहरा भूरा होने तक तलें इसमें प्याज, अदरक, लहसुन का पेस्ट डालें और तब तक पकाएं जब तक कि कच्ची महक न चली जाए और प्याज हल्का भूरा न हो जाए। जब ​​प्याज पक जाए तो इसमें सारे मसाले डालें और कुछ सेकंड के लिए चलाएं। प्याज में मसाला डालने की प्रक्रिया भी कच्ची महक को दूर करने में मदद करती है। इसमें टमाटर प्यूरी, काजू का पेस्ट और क्रीम मिलाएं। मिश्रण को तेज उबालें और 10 मिनट तक उबालें ताकि कोफ्ता करी को सही स्वाद और सुगंध मिले। नमक और मसाले की जांच करें और अपने स्वाद के अनुसार समायोजित करें। जब आप परोसने के लिए तैयार हों तो इसमें पैन फ्राइड रेशमी कोफ्ता बॉल्स, कटा हरा धनिया, कसूरी मेथी डालें और 3 से 4 मिनट तक उबालें। रेशमी कोफ्ता करी को पालक पनीर, दाल मखनी, फुल्का और कढ़ाई बीन्स और गाजर पुलाव रेसिपी के साथ परोसें और वीकेंड डिनर का लुत्फ़ उठाएँ।</v>
      </c>
      <c r="J882" s="3" t="s">
        <v>34493</v>
      </c>
      <c r="L882" s="1" t="s">
        <v>31003</v>
      </c>
    </row>
    <row r="883" spans="1:12" ht="13.8">
      <c r="A883" s="1" t="s">
        <v>34494</v>
      </c>
      <c r="B883" s="1" t="str">
        <f ca="1">IFERROR(__xludf.dummyfunction("IF(A883="""", """", GOOGLETRANSLATE(A883, ""en"", ""hi""))"),"मखाना की सब्जी")</f>
        <v>मखाना की सब्जी</v>
      </c>
      <c r="C883" s="1" t="s">
        <v>145</v>
      </c>
      <c r="D883" s="1" t="s">
        <v>14198</v>
      </c>
      <c r="E883" s="1">
        <v>40</v>
      </c>
      <c r="F883" s="1" t="s">
        <v>34495</v>
      </c>
      <c r="G883" s="1" t="str">
        <f ca="1">IFERROR(__xludf.dummyfunction("IF(F883="""", """", GOOGLETRANSLATE(F883, ""en"", ""hi""))"),"2 कप मखाना, 1/4 कप हरी मटर, 1 चम्मच अदरक - कद्दूकस किया हुआ, 2 + 1 प्याज - कटा हुआ, 6 काजू, 1 बड़ा चम्मच खसखस, 1 बड़ा चम्मच कद्दू के बीज, 1 इलायची, 1 तेज पत्ता, 1 इंच दालचीनी, 2 लौंग, 1 हरी मिर्च, 1 चम्मच लाल मिर्च के टुकड़े, 2 बड़े चम्मच मक्खन, 1 बड़ा चम"&amp;"्मच घी, तेल - आवश्यकतानुसार")</f>
        <v>2 कप मखाना, 1/4 कप हरी मटर, 1 चम्मच अदरक - कद्दूकस किया हुआ, 2 + 1 प्याज - कटा हुआ, 6 काजू, 1 बड़ा चम्मच खसखस, 1 बड़ा चम्मच कद्दू के बीज, 1 इलायची, 1 तेज पत्ता, 1 इंच दालचीनी, 2 लौंग, 1 हरी मिर्च, 1 चम्मच लाल मिर्च के टुकड़े, 2 बड़े चम्मच मक्खन, 1 बड़ा चम्मच घी, तेल - आवश्यकतानुसार</v>
      </c>
      <c r="H883" s="1" t="s">
        <v>34496</v>
      </c>
      <c r="I883" s="1" t="str">
        <f ca="1">IFERROR(__xludf.dummyfunction("IF(H883="""", """", GOOGLETRANSLATE(H883, ""en"", ""hi""))"),"""मखाने की सब्ज़ी बनाने के लिए सारी सामग्री तैयार रखें। प्रेशर कुकर में प्याज़, काजू, खसखस, कद्दू के बीज, पानी डालकर 2 सीटी आने तक पकाएँ। ठंडा होने के बाद मिक्सर में डालकर पेस्ट बना लें। अब एक पैन में घी गर्म करें और मखाने डालें। मखाने के कुरकुरे होने तक "&amp;"पकाएँ। एक तरफ़ रख दें। अब एक पैन में तेल गर्म करें। इसमें तेजपत्ता, दालचीनी, लौंग, इलायची डालें और 1 मिनट तक पकने दें। 1 मिनट बाद हरी मिर्च और प्याज़ डालें। प्याज़ के नरम होने तक पकाएँ। अब इसमें हरी मटर डालें और 1 मिनट तक पकाएँ। इसके बाद इसमें प्याज़ और ख"&amp;"सखस ​​का पेस्ट, लाल मिर्च के टुकड़े डालें और 1 मिनट तक पकाएँ। 1 मिनट बाद इसमें 2 कप पानी, अदरक डालें और 2 मिनट तक पकने दें। अब इसमें भुना हुआ मखाना डालें और नरम होने तक पकने दें। नरम होने के बाद गैस बंद कर दें और सर्व करें। मखाने की सब्ज़ी को ढाबा स्टाइल "&amp;"दाल पालक और फुल्के के साथ डिनर में सर्व करें।""")</f>
        <v>"मखाने की सब्ज़ी बनाने के लिए सारी सामग्री तैयार रखें। प्रेशर कुकर में प्याज़, काजू, खसखस, कद्दू के बीज, पानी डालकर 2 सीटी आने तक पकाएँ। ठंडा होने के बाद मिक्सर में डालकर पेस्ट बना लें। अब एक पैन में घी गर्म करें और मखाने डालें। मखाने के कुरकुरे होने तक पकाएँ। एक तरफ़ रख दें। अब एक पैन में तेल गर्म करें। इसमें तेजपत्ता, दालचीनी, लौंग, इलायची डालें और 1 मिनट तक पकने दें। 1 मिनट बाद हरी मिर्च और प्याज़ डालें। प्याज़ के नरम होने तक पकाएँ। अब इसमें हरी मटर डालें और 1 मिनट तक पकाएँ। इसके बाद इसमें प्याज़ और खसखस ​​का पेस्ट, लाल मिर्च के टुकड़े डालें और 1 मिनट तक पकाएँ। 1 मिनट बाद इसमें 2 कप पानी, अदरक डालें और 2 मिनट तक पकने दें। अब इसमें भुना हुआ मखाना डालें और नरम होने तक पकने दें। नरम होने के बाद गैस बंद कर दें और सर्व करें। मखाने की सब्ज़ी को ढाबा स्टाइल दाल पालक और फुल्के के साथ डिनर में सर्व करें।"</v>
      </c>
      <c r="J883" s="3" t="s">
        <v>34497</v>
      </c>
      <c r="L883" s="1" t="s">
        <v>31003</v>
      </c>
    </row>
    <row r="884" spans="1:12" ht="13.8">
      <c r="A884" s="1" t="s">
        <v>34498</v>
      </c>
      <c r="B884" s="1" t="str">
        <f ca="1">IFERROR(__xludf.dummyfunction("IF(A884="""", """", GOOGLETRANSLATE(A884, ""en"", ""hi""))"),"सरसों छोले का साग रेसिपी - सरसों के पत्तों की ग्रेवी में काबुली चना")</f>
        <v>सरसों छोले का साग रेसिपी - सरसों के पत्तों की ग्रेवी में काबुली चना</v>
      </c>
      <c r="C884" s="1" t="s">
        <v>14259</v>
      </c>
      <c r="D884" s="1" t="s">
        <v>14237</v>
      </c>
      <c r="E884" s="1">
        <v>560</v>
      </c>
      <c r="F884" s="1" t="s">
        <v>34499</v>
      </c>
      <c r="G884" s="1" t="str">
        <f ca="1">IFERROR(__xludf.dummyfunction("IF(F884="""", """", GOOGLETRANSLATE(F884, ""en"", ""hi""))"),"1/2 कप काबुली चना - रात भर भिगोया हुआ, 1/4 कप मक्की का आटा, 2 हरी मिर्च - बारीक कटी हुई, 4 लहसुन - बारीक कटा हुआ, नमक - स्वादानुसार, 150 ग्राम पालक - धोकर बारीक कटा हुआ, 50 ग्राम बथुआ के पत्ते - धोकर बारीक कटे हुए, 300 ग्राम सरसों का साग - धोकर बारीक कटा "&amp;"हुआ, 2 बड़े चम्मच घी, 1 इंच अदरक - बारीक कटा हुआ, 4 लहसुन - बारीक कटा हुआ, 2 प्याज - बारीक कटा हुआ, 2 टमाटर - बारीक कटा हुआ, 1 छोटा चम्मच लाल मिर्च पाउडर, नमक - स्वादानुसार, 1 छोटा चम्मच जीरा पाउडर, 1 छोटा चम्मच धनिया पाउडर, 1 छोटा चम्मच गरम मसाला पाउडर, "&amp;"1/3 छोटा चम्मच हल्दी पाउडर, सफेद मक्खन - परोसने के लिए")</f>
        <v>1/2 कप काबुली चना - रात भर भिगोया हुआ, 1/4 कप मक्की का आटा, 2 हरी मिर्च - बारीक कटी हुई, 4 लहसुन - बारीक कटा हुआ, नमक - स्वादानुसार, 150 ग्राम पालक - धोकर बारीक कटा हुआ, 50 ग्राम बथुआ के पत्ते - धोकर बारीक कटे हुए, 300 ग्राम सरसों का साग - धोकर बारीक कटा हुआ, 2 बड़े चम्मच घी, 1 इंच अदरक - बारीक कटा हुआ, 4 लहसुन - बारीक कटा हुआ, 2 प्याज - बारीक कटा हुआ, 2 टमाटर - बारीक कटा हुआ, 1 छोटा चम्मच लाल मिर्च पाउडर, नमक - स्वादानुसार, 1 छोटा चम्मच जीरा पाउडर, 1 छोटा चम्मच धनिया पाउडर, 1 छोटा चम्मच गरम मसाला पाउडर, 1/3 छोटा चम्मच हल्दी पाउडर, सफेद मक्खन - परोसने के लिए</v>
      </c>
      <c r="H884" s="1" t="s">
        <v>34500</v>
      </c>
      <c r="I884" s="1" t="str">
        <f ca="1">IFERROR(__xludf.dummyfunction("IF(H884="""", """", GOOGLETRANSLATE(H884, ""en"", ""hi""))"),"सरसों छोले का साग बनाने की विधि शुरू करने के लिए सबसे पहले चने को धोकर रात भर भिगो दें। सरसों छोले का साग बनाने के लिए अगली सुबह छोले को पानी के साथ एक प्रेशर कुकर में डालें और उसमें थोड़ा नमक डालें, प्रेशर कुकर को बंद कर दें। 6-8 सीटी आने तक प्रेशर कुक क"&amp;"रें और आंच बंद कर दें। प्रेशर कुकर खोलने से पहले प्रेशर को अपने आप निकलने दें। प्रेशर कुकर में फलियां कैसे पकाएं चने से अतिरिक्त पानी निकाल दें और एक तरफ रख दें। सरसों छोले का साग बनाने के लिए एक प्रेशर कुकर में बारीक कटी सरसों के पत्ते, पालक के पत्ते और "&amp;"बथुआ के पत्ते डालें और साथ में 1/4 कप पानी, नमक, हरी मिर्च और लहसुन डालें। बंद करें और लगभग 3 सीटी आने तक प्रेशर कुक करें सरसों छोले के साग के लिए तड़का बनाने के लिए, मध्यम आंच पर एक कढ़ाई में घी गर्म करें, इसमें बारीक कटा हुआ अदरक और लहसुन डालें और लगभग "&amp;"एक मिनट तक भूनें। इसमें बारीक कटा हुआ प्याज डालें और इसे तब तक पकाएं जब तक यह गहरा भूरा रंग का न हो जाए। जब ​​प्याज भूरा हो जाए तो इसमें कटे हुए टमाटर डालें और तब तक पकाएं जब तक यह गूदेदार न हो जाएं। प्याज-टमाटर के मिश्रण को करछुल के पिछले हिस्से से मैश क"&amp;"रें। इस स्तर पर, सभी सूखे मसाले - नमक, लाल मिर्च, हल्दी पाउडर, जीरा पाउडर, गरम मसाला और धनिया पाउडर डालें। अच्छी तरह मिलाएं और पहले से पके हुए साग और छोले डालें और कुछ मिनट तक पकाएं जब तक कि सरसों छोले का साग उबल न जाए। सरसों छोले के साग को एक सर्विंग बाउ"&amp;"ल में डालें और सफेद मक्खन के साथ परोसें। सरसों छोले का साग रेसिपी को मक्की की रोटी रेसिपी - एक क्लासिक उत्तर भारतीय मकई की रोटी, गाजर शलगम का पानी वाला अचार रेसिपी - गाजर और शलजम का अचार, सफेद मक्खन और गुड़ के साथ परोसें और सर्दियों के खाने को पूरा करें। "&amp;"आप सरसों छोले का साग को पूरी रेसिपी - घर पर नरम फूली हुई पूरियां बनाना सीखें, और काले नमक के साथ बूंदी रायता रेसिपी के साथ ब्रंच में भी परोस सकते हैं।")</f>
        <v>सरसों छोले का साग बनाने की विधि शुरू करने के लिए सबसे पहले चने को धोकर रात भर भिगो दें। सरसों छोले का साग बनाने के लिए अगली सुबह छोले को पानी के साथ एक प्रेशर कुकर में डालें और उसमें थोड़ा नमक डालें, प्रेशर कुकर को बंद कर दें। 6-8 सीटी आने तक प्रेशर कुक करें और आंच बंद कर दें। प्रेशर कुकर खोलने से पहले प्रेशर को अपने आप निकलने दें। प्रेशर कुकर में फलियां कैसे पकाएं चने से अतिरिक्त पानी निकाल दें और एक तरफ रख दें। सरसों छोले का साग बनाने के लिए एक प्रेशर कुकर में बारीक कटी सरसों के पत्ते, पालक के पत्ते और बथुआ के पत्ते डालें और साथ में 1/4 कप पानी, नमक, हरी मिर्च और लहसुन डालें। बंद करें और लगभग 3 सीटी आने तक प्रेशर कुक करें सरसों छोले के साग के लिए तड़का बनाने के लिए, मध्यम आंच पर एक कढ़ाई में घी गर्म करें, इसमें बारीक कटा हुआ अदरक और लहसुन डालें और लगभग एक मिनट तक भूनें। इसमें बारीक कटा हुआ प्याज डालें और इसे तब तक पकाएं जब तक यह गहरा भूरा रंग का न हो जाए। जब ​​प्याज भूरा हो जाए तो इसमें कटे हुए टमाटर डालें और तब तक पकाएं जब तक यह गूदेदार न हो जाएं। प्याज-टमाटर के मिश्रण को करछुल के पिछले हिस्से से मैश करें। इस स्तर पर, सभी सूखे मसाले - नमक, लाल मिर्च, हल्दी पाउडर, जीरा पाउडर, गरम मसाला और धनिया पाउडर डालें। अच्छी तरह मिलाएं और पहले से पके हुए साग और छोले डालें और कुछ मिनट तक पकाएं जब तक कि सरसों छोले का साग उबल न जाए। सरसों छोले के साग को एक सर्विंग बाउल में डालें और सफेद मक्खन के साथ परोसें। सरसों छोले का साग रेसिपी को मक्की की रोटी रेसिपी - एक क्लासिक उत्तर भारतीय मकई की रोटी, गाजर शलगम का पानी वाला अचार रेसिपी - गाजर और शलजम का अचार, सफेद मक्खन और गुड़ के साथ परोसें और सर्दियों के खाने को पूरा करें। आप सरसों छोले का साग को पूरी रेसिपी - घर पर नरम फूली हुई पूरियां बनाना सीखें, और काले नमक के साथ बूंदी रायता रेसिपी के साथ ब्रंच में भी परोस सकते हैं।</v>
      </c>
      <c r="J884" s="3" t="s">
        <v>34501</v>
      </c>
      <c r="L884" s="1" t="s">
        <v>31003</v>
      </c>
    </row>
    <row r="885" spans="1:12" ht="13.8">
      <c r="A885" s="1" t="s">
        <v>34502</v>
      </c>
      <c r="B885" s="1" t="str">
        <f ca="1">IFERROR(__xludf.dummyfunction("IF(A885="""", """", GOOGLETRANSLATE(A885, ""en"", ""hi""))"),"फूलगोभी पनीर कोफ्ता करी रेसिपी")</f>
        <v>फूलगोभी पनीर कोफ्ता करी रेसिपी</v>
      </c>
      <c r="C885" s="1" t="s">
        <v>429</v>
      </c>
      <c r="D885" s="1" t="s">
        <v>14237</v>
      </c>
      <c r="E885" s="1">
        <v>50</v>
      </c>
      <c r="F885" s="1" t="s">
        <v>34503</v>
      </c>
      <c r="G885" s="1" t="str">
        <f ca="1">IFERROR(__xludf.dummyfunction("IF(F885="""", """", GOOGLETRANSLATE(F885, ""en"", ""hi""))"),"1 फूलगोभी, 1/2 कप पनीर - कद्दूकस किया हुआ, 4 आलू - पका कर मसला हुआ, 3 बड़े चम्मच मकई का आटा, 1 बड़ा चम्मच लाल मिर्च पाउडर, 1 बड़ा चम्मच धनिया पाउडर, 1 छोटा चम्मच जीरा पाउडर - भुना हुआ, 1 छोटा चम्मच गरम मसाला पाउडर, नमक - स्वादानुसार, 2 प्याज - बारीक कटे ह"&amp;"ुए, 4 टमाटर - प्यूरी किए हुए, 1 छोटा चम्मच अजवाइन, 1 1/2 बड़ा चम्मच कश्मीरी लाल मिर्च पाउडर, 1 बड़ा चम्मच धनिया पाउडर, 1 छोटा चम्मच गरम मसाला पाउडर, नमक - स्वादानुसार, 1 बड़ा चम्मच मक्खन - या तेल, 1 बड़ा चम्मच ताजा क्रीम - 2 छोटे चम्मच गार्निश के लिए बचा "&amp;"कर रखें, पानी - आवश्यकतानुसार, धनिया पत्ती - गार्निश के लिए आवश्यकतानुसार")</f>
        <v>1 फूलगोभी, 1/2 कप पनीर - कद्दूकस किया हुआ, 4 आलू - पका कर मसला हुआ, 3 बड़े चम्मच मकई का आटा, 1 बड़ा चम्मच लाल मिर्च पाउडर, 1 बड़ा चम्मच धनिया पाउडर, 1 छोटा चम्मच जीरा पाउडर - भुना हुआ, 1 छोटा चम्मच गरम मसाला पाउडर, नमक - स्वादानुसार, 2 प्याज - बारीक कटे हुए, 4 टमाटर - प्यूरी किए हुए, 1 छोटा चम्मच अजवाइन, 1 1/2 बड़ा चम्मच कश्मीरी लाल मिर्च पाउडर, 1 बड़ा चम्मच धनिया पाउडर, 1 छोटा चम्मच गरम मसाला पाउडर, नमक - स्वादानुसार, 1 बड़ा चम्मच मक्खन - या तेल, 1 बड़ा चम्मच ताजा क्रीम - 2 छोटे चम्मच गार्निश के लिए बचा कर रखें, पानी - आवश्यकतानुसार, धनिया पत्ती - गार्निश के लिए आवश्यकतानुसार</v>
      </c>
      <c r="H885" s="1" t="s">
        <v>34504</v>
      </c>
      <c r="I885" s="1" t="str">
        <f ca="1">IFERROR(__xludf.dummyfunction("IF(H885="""", """", GOOGLETRANSLATE(H885, ""en"", ""hi""))"),"फूलगोभी पनीर कोफ्ता करी रेसिपी बनाने के लिए सबसे पहले एक बड़े बर्तन को आंच पर रखें। बर्तन में 1 लीटर पानी डालें और इसे उबाल लें। उबलते पानी में 1 चम्मच नमक डालें और आंच बंद कर दें। इसके बाद, फूलगोभी को काटने के लिए, सबसे पहले फूलगोभी के तने और पत्ते वाले "&amp;"हिस्से को हटा दें और इसे अभी-अभी उबले हुए गर्म पानी में डुबो दें। फूलगोभी को लगभग 3 से 4 मिनट तक ऐसे ही रहने दें। फिर इसे गर्म पानी से निकाल लें और इसे किचन टॉवल पर रख दें। इसे अच्छी तरह से सुखा लें। अब फूलगोभी को अच्छी तरह से कद्दूकस करके थोड़ी देर के लि"&amp;"ए अलग रख दें। लगभग 10 मिनट के बाद, फूलगोभी बहुत सारा पानी छोड़ देगी, इसे निचोड़कर पानी निकाल दें। इसके बाद, एक पैन गरम करें और कद्दूकस की हुई फूलगोभी को तब तक भूनें जब तक कि यह पूरी तरह से सूख न जाए और इसमें नमी न रह जाए। इसे भूनते समय ध्यान रखें कि इसे ज"&amp;"़्यादा न पकाएं। इसका रंग भूरा नहीं होना चाहिए, इसलिए इसे धीमी आंच पर भूनना सबसे अच्छा है। जब फूलगोभी पूरी तरह सूख जाए तो इसे आंच से उतार लें, इसे एक ठंडे बर्तन में निकाल लें और कमरे के तापमान पर आने दें। ठंडी फूलगोभी में कद्दूकस किया हुआ पनीर मिलाएं। मसले"&amp;" हुए आलू और सभी मसाले और कॉर्न फ्लोर डालें। सभी चीजों के मिलने तक अच्छी तरह गूंद लें। मिश्रण से नींबू के आकार के छोटे-छोटे गोले बना लें और उन्हें एक प्लेट में सजा लें। आगे इस्तेमाल के लिए उन्हें अलग रख दें। अब हमें कोफ्ते तलने हैं। एक पैन में थोड़ा तेल गर"&amp;"्म करें, जब तेल पर्याप्त गर्म हो जाए तो कोफ्ते को समान रूप से सुनहरा भूरा होने तक तल लें। तेल मुक्त संस्करण के लिए, आप उन्हें पहले से गरम ओवन में भी बेक कर सकते हैं, या उन्हें तलने के लिए कुझी-पनियारम पैन का उपयोग कर सकते हैं। किसी भी तरह से, सुनहरे भूरे "&amp;"रंग के कोफ्ते को सभी तरफ से भूरा होने के बाद किचन पेपर पर रख दें। करी तैयार करने के लिए, पहले एक पैन में थोड़ा तेल या मक्खन गर्म करें। शाही जीरा डालें और एक मिनट के लिए भूनें। इसके बाद बारीक कटा हुआ प्याज डालें और पारदर्शी होने तक भूनें। टमाटर प्यूरी डाले"&amp;"ं और इसे तब तक पकाएँ जब तक प्यूरी गाढ़ी न हो जाए और पैन के किनारों से अलग न होने लगे। इस स्तर पर, सभी मसाले पाउडर डालें और अच्छी तरह मिलाएँ। फिर आवश्यकतानुसार पानी डालें और करी को उबाल लें। आँच को धीमा कर दें, क्रीम डालें, अच्छी तरह मिलाएँ और अंत में तले "&amp;"हुए कोफ्ता बॉल्स डालें। लगभग 3 से 4 मिनट के लिए धीमी आँच पर पकाएँ। आँच बंद कर दें, करी को बची हुई क्रीम और ताज़े धनिया पत्तों से गार्निश करें। फूलगोभी पनीर कोफ्ता करी को फुल्के, दाल तड़का और चना दाल पुलाव के साथ उड़द दाल रायता के साथ परोसें, यह एक आरामदाय"&amp;"क, फिर भी विशेष घरेलू भोजन है।")</f>
        <v>फूलगोभी पनीर कोफ्ता करी रेसिपी बनाने के लिए सबसे पहले एक बड़े बर्तन को आंच पर रखें। बर्तन में 1 लीटर पानी डालें और इसे उबाल लें। उबलते पानी में 1 चम्मच नमक डालें और आंच बंद कर दें। इसके बाद, फूलगोभी को काटने के लिए, सबसे पहले फूलगोभी के तने और पत्ते वाले हिस्से को हटा दें और इसे अभी-अभी उबले हुए गर्म पानी में डुबो दें। फूलगोभी को लगभग 3 से 4 मिनट तक ऐसे ही रहने दें। फिर इसे गर्म पानी से निकाल लें और इसे किचन टॉवल पर रख दें। इसे अच्छी तरह से सुखा लें। अब फूलगोभी को अच्छी तरह से कद्दूकस करके थोड़ी देर के लिए अलग रख दें। लगभग 10 मिनट के बाद, फूलगोभी बहुत सारा पानी छोड़ देगी, इसे निचोड़कर पानी निकाल दें। इसके बाद, एक पैन गरम करें और कद्दूकस की हुई फूलगोभी को तब तक भूनें जब तक कि यह पूरी तरह से सूख न जाए और इसमें नमी न रह जाए। इसे भूनते समय ध्यान रखें कि इसे ज़्यादा न पकाएं। इसका रंग भूरा नहीं होना चाहिए, इसलिए इसे धीमी आंच पर भूनना सबसे अच्छा है। जब फूलगोभी पूरी तरह सूख जाए तो इसे आंच से उतार लें, इसे एक ठंडे बर्तन में निकाल लें और कमरे के तापमान पर आने दें। ठंडी फूलगोभी में कद्दूकस किया हुआ पनीर मिलाएं। मसले हुए आलू और सभी मसाले और कॉर्न फ्लोर डालें। सभी चीजों के मिलने तक अच्छी तरह गूंद लें। मिश्रण से नींबू के आकार के छोटे-छोटे गोले बना लें और उन्हें एक प्लेट में सजा लें। आगे इस्तेमाल के लिए उन्हें अलग रख दें। अब हमें कोफ्ते तलने हैं। एक पैन में थोड़ा तेल गर्म करें, जब तेल पर्याप्त गर्म हो जाए तो कोफ्ते को समान रूप से सुनहरा भूरा होने तक तल लें। तेल मुक्त संस्करण के लिए, आप उन्हें पहले से गरम ओवन में भी बेक कर सकते हैं, या उन्हें तलने के लिए कुझी-पनियारम पैन का उपयोग कर सकते हैं। किसी भी तरह से, सुनहरे भूरे रंग के कोफ्ते को सभी तरफ से भूरा होने के बाद किचन पेपर पर रख दें। करी तैयार करने के लिए, पहले एक पैन में थोड़ा तेल या मक्खन गर्म करें। शाही जीरा डालें और एक मिनट के लिए भूनें। इसके बाद बारीक कटा हुआ प्याज डालें और पारदर्शी होने तक भूनें। टमाटर प्यूरी डालें और इसे तब तक पकाएँ जब तक प्यूरी गाढ़ी न हो जाए और पैन के किनारों से अलग न होने लगे। इस स्तर पर, सभी मसाले पाउडर डालें और अच्छी तरह मिलाएँ। फिर आवश्यकतानुसार पानी डालें और करी को उबाल लें। आँच को धीमा कर दें, क्रीम डालें, अच्छी तरह मिलाएँ और अंत में तले हुए कोफ्ता बॉल्स डालें। लगभग 3 से 4 मिनट के लिए धीमी आँच पर पकाएँ। आँच बंद कर दें, करी को बची हुई क्रीम और ताज़े धनिया पत्तों से गार्निश करें। फूलगोभी पनीर कोफ्ता करी को फुल्के, दाल तड़का और चना दाल पुलाव के साथ उड़द दाल रायता के साथ परोसें, यह एक आरामदायक, फिर भी विशेष घरेलू भोजन है।</v>
      </c>
      <c r="J885" s="3" t="s">
        <v>34505</v>
      </c>
      <c r="L885" s="1" t="s">
        <v>31003</v>
      </c>
    </row>
    <row r="886" spans="1:12" ht="13.8">
      <c r="A886" s="1" t="s">
        <v>34506</v>
      </c>
      <c r="B886" s="1" t="str">
        <f ca="1">IFERROR(__xludf.dummyfunction("IF(A886="""", """", GOOGLETRANSLATE(A886, ""en"", ""hi""))"),"अरबी दही वाली सब्जी")</f>
        <v>अरबी दही वाली सब्जी</v>
      </c>
      <c r="C886" s="1" t="s">
        <v>145</v>
      </c>
      <c r="D886" s="1" t="s">
        <v>14198</v>
      </c>
      <c r="E886" s="1">
        <v>40</v>
      </c>
      <c r="F886" s="1" t="s">
        <v>34507</v>
      </c>
      <c r="G886" s="1" t="str">
        <f ca="1">IFERROR(__xludf.dummyfunction("IF(F886="""", """", GOOGLETRANSLATE(F886, ""en"", ""hi""))"),"250 ग्राम अरबी, 1 कप दही, 1/2 चम्मच अजवाइन, 1-1/2 चम्मच कश्मीरी लाल मिर्च, 1/4 चम्मच हल्दी पाउडर, 1 चम्मच धनिया पाउडर, 1 चम्मच गरम मसाला पाउडर, 2 बड़े चम्मच धनिया पत्ता- कटा हुआ, नमक- स्वादानुसार, तेल- आवश्यकतानुसार, 1 कप पानी- या आवश्यकतानुसार")</f>
        <v>250 ग्राम अरबी, 1 कप दही, 1/2 चम्मच अजवाइन, 1-1/2 चम्मच कश्मीरी लाल मिर्च, 1/4 चम्मच हल्दी पाउडर, 1 चम्मच धनिया पाउडर, 1 चम्मच गरम मसाला पाउडर, 2 बड़े चम्मच धनिया पत्ता- कटा हुआ, नमक- स्वादानुसार, तेल- आवश्यकतानुसार, 1 कप पानी- या आवश्यकतानुसार</v>
      </c>
      <c r="H886" s="1" t="s">
        <v>34508</v>
      </c>
      <c r="I886" s="1" t="str">
        <f ca="1">IFERROR(__xludf.dummyfunction("IF(H886="""", """", GOOGLETRANSLATE(H886, ""en"", ""hi""))"),"''अरबी दही वाली सब्जी बनाने के लिए सबसे पहले अरबी को दो बार अच्छे से धो लें। धोने के बाद इसे प्रेशर कुकर में पानी और नमक के साथ डालकर 1 सीटी आने तक पकाएं। अरबी को छीलकर आधा काट लें। अब एक प्याले में दही लें और उसे अच्छे से फेंट लें। इसे एक तरफ रख दें। अब "&amp;"एक पैन में तेल गर्म करें। इसमें अजवाइन डालकर 10 सेकेंड तक पकाएं। 10 सेकेंड बाद इसमें लाल मिर्च पाउडर, हल्दी पाउडर, धनिया पाउडर डालकर मिला लें। 1 मिनट बाद इसमें अरबी डालकर मिला लें और 10 से 12 मिनट तक पकाएं। इसमें 1/2 कप पानी डालकर उबलने दें। 5 से 7 मिनट त"&amp;"क पकाएं। इसके बाद इसमें दही डालें और उबाल आने तक चलाते रहें। उबाल आने पर इसमें गरम मसाला पाउडर डालें")</f>
        <v>''अरबी दही वाली सब्जी बनाने के लिए सबसे पहले अरबी को दो बार अच्छे से धो लें। धोने के बाद इसे प्रेशर कुकर में पानी और नमक के साथ डालकर 1 सीटी आने तक पकाएं। अरबी को छीलकर आधा काट लें। अब एक प्याले में दही लें और उसे अच्छे से फेंट लें। इसे एक तरफ रख दें। अब एक पैन में तेल गर्म करें। इसमें अजवाइन डालकर 10 सेकेंड तक पकाएं। 10 सेकेंड बाद इसमें लाल मिर्च पाउडर, हल्दी पाउडर, धनिया पाउडर डालकर मिला लें। 1 मिनट बाद इसमें अरबी डालकर मिला लें और 10 से 12 मिनट तक पकाएं। इसमें 1/2 कप पानी डालकर उबलने दें। 5 से 7 मिनट तक पकाएं। इसके बाद इसमें दही डालें और उबाल आने तक चलाते रहें। उबाल आने पर इसमें गरम मसाला पाउडर डालें</v>
      </c>
      <c r="J886" s="3" t="s">
        <v>34509</v>
      </c>
      <c r="L886" s="1" t="s">
        <v>31003</v>
      </c>
    </row>
    <row r="887" spans="1:12" ht="13.8">
      <c r="A887" s="1" t="s">
        <v>34510</v>
      </c>
      <c r="B887" s="1" t="str">
        <f ca="1">IFERROR(__xludf.dummyfunction("IF(A887="""", """", GOOGLETRANSLATE(A887, ""en"", ""hi""))"),"कच्चे आम मसूर दाल रेसिपी")</f>
        <v>कच्चे आम मसूर दाल रेसिपी</v>
      </c>
      <c r="C887" s="1" t="s">
        <v>429</v>
      </c>
      <c r="D887" s="1" t="s">
        <v>14237</v>
      </c>
      <c r="E887" s="1">
        <v>30</v>
      </c>
      <c r="F887" s="1" t="s">
        <v>34511</v>
      </c>
      <c r="G887" s="1" t="str">
        <f ca="1">IFERROR(__xludf.dummyfunction("IF(F887="""", """", GOOGLETRANSLATE(F887, ""en"", ""hi""))"),"1 कप मसूर दाल, 1/2 कप कच्चा आम - कटा हुआ, 2 हरी मिर्च - पतली कटी हुई, 1/2 चम्मच हल्दी पाउडर, नमक - स्वादानुसार, 2 बड़े चम्मच सरसों का तेल, 1/2 चम्मच जीरा, 1/2 चम्मच राई, 1/4 चम्मच कलौंजी, 1/2 चम्मच सौंफ, 1/4 चम्मच मेथी दाना, 3 सूखी लाल मिर्च")</f>
        <v>1 कप मसूर दाल, 1/2 कप कच्चा आम - कटा हुआ, 2 हरी मिर्च - पतली कटी हुई, 1/2 चम्मच हल्दी पाउडर, नमक - स्वादानुसार, 2 बड़े चम्मच सरसों का तेल, 1/2 चम्मच जीरा, 1/2 चम्मच राई, 1/4 चम्मच कलौंजी, 1/2 चम्मच सौंफ, 1/4 चम्मच मेथी दाना, 3 सूखी लाल मिर्च</v>
      </c>
      <c r="H887" s="1" t="s">
        <v>34512</v>
      </c>
      <c r="I887" s="1" t="str">
        <f ca="1">IFERROR(__xludf.dummyfunction("IF(H887="""", """", GOOGLETRANSLATE(H887, ""en"", ""hi""))"),"""आमवाली मसूर दाल बनाने के लिए सबसे पहले मसूर दाल को अच्छे से धो लें। अब प्रेशर कुकर में दाल, 2 कप पानी, स्वादानुसार नमक, हल्दी पाउडर और हरी मिर्च डालें। 2 मिनट तक पकाएँ और उबलने दें। उबलने के बाद कच्चे आम डालें। कुकर को ढक दें और 2 सीटी आने तक पकाएँ। प्र"&amp;"ेशर अपने आप निकलने दें। कुकर खोलें और अगर आपको लगे कि दाल गाढ़ी है, तो थोड़ा और पानी डालें और मिलाएँ। गैस चालू करें और 2 से 3 मिनट तक पकने दें। अब दाल के लिए तड़का लगाएँगे। तड़का पैन में सरसों का तेल गर्म करें। इसमें जीरा, राई, कलौंजी, मेथी डालें और मिलाए"&amp;"ँ। 10 सेकंड बाद सूखी लाल मिर्च डालें और अगले 15 सेकंड तक पकाएँ। इस तड़के को दाल में डालें और मिलाएँ। गैस बंद करें और गरमागरम परोसें। आमवाली मसूर दाल को सेव टमाटर की सब्ज़ी, पालक रायता और फुल्के के साथ लंच में परोसें।")</f>
        <v>"आमवाली मसूर दाल बनाने के लिए सबसे पहले मसूर दाल को अच्छे से धो लें। अब प्रेशर कुकर में दाल, 2 कप पानी, स्वादानुसार नमक, हल्दी पाउडर और हरी मिर्च डालें। 2 मिनट तक पकाएँ और उबलने दें। उबलने के बाद कच्चे आम डालें। कुकर को ढक दें और 2 सीटी आने तक पकाएँ। प्रेशर अपने आप निकलने दें। कुकर खोलें और अगर आपको लगे कि दाल गाढ़ी है, तो थोड़ा और पानी डालें और मिलाएँ। गैस चालू करें और 2 से 3 मिनट तक पकने दें। अब दाल के लिए तड़का लगाएँगे। तड़का पैन में सरसों का तेल गर्म करें। इसमें जीरा, राई, कलौंजी, मेथी डालें और मिलाएँ। 10 सेकंड बाद सूखी लाल मिर्च डालें और अगले 15 सेकंड तक पकाएँ। इस तड़के को दाल में डालें और मिलाएँ। गैस बंद करें और गरमागरम परोसें। आमवाली मसूर दाल को सेव टमाटर की सब्ज़ी, पालक रायता और फुल्के के साथ लंच में परोसें।</v>
      </c>
      <c r="J887" s="3" t="s">
        <v>34513</v>
      </c>
      <c r="L887" s="1" t="s">
        <v>31003</v>
      </c>
    </row>
    <row r="888" spans="1:12" ht="13.8">
      <c r="A888" s="1" t="s">
        <v>34514</v>
      </c>
      <c r="B888" s="1" t="str">
        <f ca="1">IFERROR(__xludf.dummyfunction("IF(A888="""", """", GOOGLETRANSLATE(A888, ""en"", ""hi""))"),"गुलकंद सेवइयां खीर रेसिपी")</f>
        <v>गुलकंद सेवइयां खीर रेसिपी</v>
      </c>
      <c r="C888" s="1" t="s">
        <v>8417</v>
      </c>
      <c r="D888" s="1" t="s">
        <v>14198</v>
      </c>
      <c r="E888" s="1">
        <v>30</v>
      </c>
      <c r="F888" s="1" t="s">
        <v>34515</v>
      </c>
      <c r="G888" s="1" t="str">
        <f ca="1">IFERROR(__xludf.dummyfunction("IF(F888="""", """", GOOGLETRANSLATE(F888, ""en"", ""hi""))"),"1-1/2 लीटर दूध - फुल फैट, 70 ग्राम पतली सेवइयां, 1/2 चम्मच इलायची पाउडर (इलायची), 1/3 कप गुलकंद, केसर के रेशे - कुछ, 6 पिस्ते - कटे हुए, गुलाब जल - आवश्यकतानुसार, सूखे गुलाब की पंखुड़ियां - गार्निश के लिए")</f>
        <v>1-1/2 लीटर दूध - फुल फैट, 70 ग्राम पतली सेवइयां, 1/2 चम्मच इलायची पाउडर (इलायची), 1/3 कप गुलकंद, केसर के रेशे - कुछ, 6 पिस्ते - कटे हुए, गुलाब जल - आवश्यकतानुसार, सूखे गुलाब की पंखुड़ियां - गार्निश के लिए</v>
      </c>
      <c r="H888" s="1" t="s">
        <v>34516</v>
      </c>
      <c r="I888" s="1" t="str">
        <f ca="1">IFERROR(__xludf.dummyfunction("IF(H888="""", """", GOOGLETRANSLATE(H888, ""en"", ""hi""))"),"गुलकंद सेवइयां खीर रेसिपी बनाने के लिए एक सॉस पैन में दूध को उबाल लें। दूध में उबाल आने के बाद आंच धीमी कर दें और दूध को धीमी आंच पर तब तक पकने दें जब तक कि उसकी मात्रा आधी न हो जाए। इस प्रक्रिया में अच्छे 20 मिनट लगेंगे। सुनिश्चित करें कि दूध को पैन के न"&amp;"ीचे जलने से बचाने के लिए कभी-कभी हिलाया जाता है। दूध के कंटेनर के अंदर एक करछुल रखना भी हमेशा एक अच्छा विचार है। दूध के कम हो जाने पर इसमें इलायची पाउडर और केसर के कुछ रेशे डालें। इसके बाद इसमें गुलकंद डालें और तब तक अच्छी तरह मिलाएँ जब तक यह पिघल कर दूध "&amp;"के साथ न मिल जाए। गुलकंद खीर की मिठास के आधार पर इसकी मिठास को समायोजित करें, यदि आवश्यक हो तो अपने स्वाद के अनुसार चीनी मिला सकते हैं। चूंकि गुलकंद पहले से ही गुलाब के स्वाद से भरा हुआ है अंत में, पतली सेवइयां डालें और तब तक प्रतीक्षा करें जब तक सेवइयां "&amp;"मुरझाकर नरम न हो जाएं। आंच बंद कर दें, गुलकंद खीर को एक सर्विंग बाउल में डालें और कुछ कुचले हुए पिस्ते और सूखी गुलाब की पंखुड़ियों से गार्निश करें। गुलकंद सेवइयां खीर को मिठाई के रूप में या भोजन के हिस्से के रूप में परोसें जिसमें अजवाइन पूरी रेसिपी और आलू"&amp;" टमाटर की रेसिपी शामिल हो, एक सुंदर आरामदायक रविवार के नाश्ते के लिए।")</f>
        <v>गुलकंद सेवइयां खीर रेसिपी बनाने के लिए एक सॉस पैन में दूध को उबाल लें। दूध में उबाल आने के बाद आंच धीमी कर दें और दूध को धीमी आंच पर तब तक पकने दें जब तक कि उसकी मात्रा आधी न हो जाए। इस प्रक्रिया में अच्छे 20 मिनट लगेंगे। सुनिश्चित करें कि दूध को पैन के नीचे जलने से बचाने के लिए कभी-कभी हिलाया जाता है। दूध के कंटेनर के अंदर एक करछुल रखना भी हमेशा एक अच्छा विचार है। दूध के कम हो जाने पर इसमें इलायची पाउडर और केसर के कुछ रेशे डालें। इसके बाद इसमें गुलकंद डालें और तब तक अच्छी तरह मिलाएँ जब तक यह पिघल कर दूध के साथ न मिल जाए। गुलकंद खीर की मिठास के आधार पर इसकी मिठास को समायोजित करें, यदि आवश्यक हो तो अपने स्वाद के अनुसार चीनी मिला सकते हैं। चूंकि गुलकंद पहले से ही गुलाब के स्वाद से भरा हुआ है अंत में, पतली सेवइयां डालें और तब तक प्रतीक्षा करें जब तक सेवइयां मुरझाकर नरम न हो जाएं। आंच बंद कर दें, गुलकंद खीर को एक सर्विंग बाउल में डालें और कुछ कुचले हुए पिस्ते और सूखी गुलाब की पंखुड़ियों से गार्निश करें। गुलकंद सेवइयां खीर को मिठाई के रूप में या भोजन के हिस्से के रूप में परोसें जिसमें अजवाइन पूरी रेसिपी और आलू टमाटर की रेसिपी शामिल हो, एक सुंदर आरामदायक रविवार के नाश्ते के लिए।</v>
      </c>
      <c r="J888" s="3" t="s">
        <v>34517</v>
      </c>
      <c r="L888" s="1" t="s">
        <v>31003</v>
      </c>
    </row>
    <row r="889" spans="1:12" ht="409.6">
      <c r="A889" s="1" t="s">
        <v>34518</v>
      </c>
      <c r="B889" s="1" t="str">
        <f ca="1">IFERROR(__xludf.dummyfunction("IF(A889="""", """", GOOGLETRANSLATE(A889, ""en"", ""hi""))"),"चिकन जलफ्रेजी रेसिपी - टमाटर ग्रेवी में चिकन और बेल मिर्च")</f>
        <v>चिकन जलफ्रेजी रेसिपी - टमाटर ग्रेवी में चिकन और बेल मिर्च</v>
      </c>
      <c r="C889" s="1" t="s">
        <v>15208</v>
      </c>
      <c r="D889" s="1" t="s">
        <v>14367</v>
      </c>
      <c r="E889" s="1">
        <v>55</v>
      </c>
      <c r="F889" s="1" t="s">
        <v>34519</v>
      </c>
      <c r="G889" s="1" t="str">
        <f ca="1">IFERROR(__xludf.dummyfunction("IF(F889="""", """", GOOGLETRANSLATE(F889, ""en"", ""hi""))"),"250 ग्राम चिकन ब्रेस्ट - छोटे टुकड़ों में कटा हुआ, 1 प्याज - कटा हुआ, 1 लाल शिमला मिर्च - कटा हुआ, 1 हरी शिमला मिर्च - कटा हुआ, 2 गाजर - पतले टुकड़ों में कटा हुआ, 1 इंच अदरक - कसा हुआ, 2 लहसुन की कलियां - कसा हुआ, 1 टमाटर - कटा हुआ, 1 कप घर का बना टमाटर प"&amp;"्यूरी, 1 चम्मच शहद, 1/2 चम्मच हल्दी पाउडर (हल्दी), 1 चम्मच गरम मसाला पाउडर, 1 चम्मच धनिया पाउडर (धनिया), 1 डंठल धनिया (धनिया) - बारीक कटा हुआ, 1 बड़ा चम्मच मक्खन - नरम, नमक, सूरजमुखी तेल")</f>
        <v>250 ग्राम चिकन ब्रेस्ट - छोटे टुकड़ों में कटा हुआ, 1 प्याज - कटा हुआ, 1 लाल शिमला मिर्च - कटा हुआ, 1 हरी शिमला मिर्च - कटा हुआ, 2 गाजर - पतले टुकड़ों में कटा हुआ, 1 इंच अदरक - कसा हुआ, 2 लहसुन की कलियां - कसा हुआ, 1 टमाटर - कटा हुआ, 1 कप घर का बना टमाटर प्यूरी, 1 चम्मच शहद, 1/2 चम्मच हल्दी पाउडर (हल्दी), 1 चम्मच गरम मसाला पाउडर, 1 चम्मच धनिया पाउडर (धनिया), 1 डंठल धनिया (धनिया) - बारीक कटा हुआ, 1 बड़ा चम्मच मक्खन - नरम, नमक, सूरजमुखी तेल</v>
      </c>
      <c r="H889" s="4" t="s">
        <v>34520</v>
      </c>
      <c r="I889" s="1" t="str">
        <f ca="1">IFERROR(__xludf.dummyfunction("IF(H889="""", """", GOOGLETRANSLATE(H889, ""en"", ""hi""))"),"चिकन जलफ्रेजी रेसिपी बनाने के लिए सबसे पहले टमाटर की प्यूरी बना लें और सारी सब्जियां काट लें। एक भारी तले की कड़ाही या पैन में तेल या मक्खन गरम करें, उसमें अदरक, लहसुन और प्याज डालें और प्याज के नरम और पारदर्शी होने तक भूनें। प्याज के पक जाने पर उसमें शिम"&amp;"ला मिर्च, गाजर डालें और मध्यम आंच पर उन्हें हल्का नरम होने तक भूनें। चिकन के टुकड़े डालें और तब तक पकाएं जब तक कि टुकड़े अच्छी तरह से भुन कर पक न जाएं। इसके बाद, कटे हुए टमाटर, हल्दी पाउडर, गरम मसाला पाउडर, धनिया पाउडर, नमक, लाल मिर्च पाउडर डालें। टमाटर क"&amp;"े गूदेदार होने तक पकाएं। हो जाने पर, टमाटर प्यूरी भी डालें और मिलाएँ। ढककर फिर से 10 मिनट तक पकाएं। अंत में शहद डालें जलफ्रेजी को 3 से 4 मिनट तक उबलने दें और आंच बंद कर दें। इसे एक सर्विंग बाउल में डालें और कटे हुए धनिया पत्तों से गार्निश करें। चिकन जलफ्र"&amp;"ेजी को फुल्के और मूली रायता रेसिपी के साथ रात के खाने में परोसें।")</f>
        <v>चिकन जलफ्रेजी रेसिपी बनाने के लिए सबसे पहले टमाटर की प्यूरी बना लें और सारी सब्जियां काट लें। एक भारी तले की कड़ाही या पैन में तेल या मक्खन गरम करें, उसमें अदरक, लहसुन और प्याज डालें और प्याज के नरम और पारदर्शी होने तक भूनें। प्याज के पक जाने पर उसमें शिमला मिर्च, गाजर डालें और मध्यम आंच पर उन्हें हल्का नरम होने तक भूनें। चिकन के टुकड़े डालें और तब तक पकाएं जब तक कि टुकड़े अच्छी तरह से भुन कर पक न जाएं। इसके बाद, कटे हुए टमाटर, हल्दी पाउडर, गरम मसाला पाउडर, धनिया पाउडर, नमक, लाल मिर्च पाउडर डालें। टमाटर के गूदेदार होने तक पकाएं। हो जाने पर, टमाटर प्यूरी भी डालें और मिलाएँ। ढककर फिर से 10 मिनट तक पकाएं। अंत में शहद डालें जलफ्रेजी को 3 से 4 मिनट तक उबलने दें और आंच बंद कर दें। इसे एक सर्विंग बाउल में डालें और कटे हुए धनिया पत्तों से गार्निश करें। चिकन जलफ्रेजी को फुल्के और मूली रायता रेसिपी के साथ रात के खाने में परोसें।</v>
      </c>
      <c r="J889" s="3" t="s">
        <v>34521</v>
      </c>
      <c r="L889" s="1" t="s">
        <v>31003</v>
      </c>
    </row>
    <row r="890" spans="1:12" ht="13.8">
      <c r="A890" s="1" t="s">
        <v>32196</v>
      </c>
      <c r="B890" s="1" t="str">
        <f ca="1">IFERROR(__xludf.dummyfunction("IF(A890="""", """", GOOGLETRANSLATE(A890, ""en"", ""hi""))"),"मेथी और सोया चंक्स सूखी सब्जी रेसिपी")</f>
        <v>मेथी और सोया चंक्स सूखी सब्जी रेसिपी</v>
      </c>
      <c r="C890" s="1" t="s">
        <v>14207</v>
      </c>
      <c r="D890" s="1" t="s">
        <v>14198</v>
      </c>
      <c r="E890" s="1">
        <v>50</v>
      </c>
      <c r="F890" s="1" t="s">
        <v>34522</v>
      </c>
      <c r="G890" s="1" t="str">
        <f ca="1">IFERROR(__xludf.dummyfunction("IF(F890="""", """", GOOGLETRANSLATE(F890, ""en"", ""hi""))"),"1 कप सोया चंक्स (नगेट्स) - गर्म पानी में भिगोए हुए, 1 कप मेथी के पत्ते (मेथी के पत्ते) - धोए और बारीक कटे हुए, 1 टमाटर, 1 प्याज, 2 चम्मच सूरजमुखी का तेल, 1/2 चम्मच सरसों के बीज, 1/2 चम्मच हल्दी पाउडर (हल्दी), 2 चम्मच लाल मिर्च पाउडर, 1 चम्मच जीरा पाउडर (ज"&amp;"ीरा), 1 चम्मच धनिया पाउडर (धनिया), 1 चम्मच गरम मसाला पाउडर, नमक - आवश्यकतानुसार")</f>
        <v>1 कप सोया चंक्स (नगेट्स) - गर्म पानी में भिगोए हुए, 1 कप मेथी के पत्ते (मेथी के पत्ते) - धोए और बारीक कटे हुए, 1 टमाटर, 1 प्याज, 2 चम्मच सूरजमुखी का तेल, 1/2 चम्मच सरसों के बीज, 1/2 चम्मच हल्दी पाउडर (हल्दी), 2 चम्मच लाल मिर्च पाउडर, 1 चम्मच जीरा पाउडर (जीरा), 1 चम्मच धनिया पाउडर (धनिया), 1 चम्मच गरम मसाला पाउडर, नमक - आवश्यकतानुसार</v>
      </c>
      <c r="H890" s="1" t="s">
        <v>34523</v>
      </c>
      <c r="I890" s="1" t="str">
        <f ca="1">IFERROR(__xludf.dummyfunction("IF(H890="""", """", GOOGLETRANSLATE(H890, ""en"", ""hi""))"),"मेथी और सोया चंक्स ड्राई सब्ज़ी रेसिपी बनाने के लिए, हमें सोया चंक्स को उबलते पानी के एक कटोरे में लगभग 20 मिनट के लिए भिगोना होगा। 20 मिनट के बाद, अतिरिक्त पानी निकाल दें और इसे अलग रख दें। एक भारी तले की कड़ाही में मध्यम आँच पर तेल गर्म करें, उसमें राई "&amp;"डालें और उन्हें फूटने दें। इसके बाद, कटा हुआ प्याज डालें और सुनहरा भूरा होने तक पकाएं। इसमें लगभग 4 से 6 मिनट का समय लगेगा। जब प्याज अच्छे से भूरे रंग का हो जाए, तो कटे हुए टमाटर डालें और उनके नरम और गूदेदार होने तक अच्छी तरह से पकाएं। अब जब प्याज टमाटर क"&amp;"ा बेस एक साथ आ गया है, तो मेथी के पत्ते डालें। ढककर 2 मिनट तक पकने दें। इस स्तर पर हल्दी पाउडर, लाल मिर्च पाउडर, जीरा पाउडर, धनिया पाउडर, गरम मसाला पाउडर डालें अच्छी तरह से मिलाएं और इसे 2 मिनट तक पकने दें। आंच बंद कर दें और मेथी और सोया चंक्स ड्राई सब्ज़"&amp;"ी को एक सर्विंग बाउल में निकाल लें। इस मेथी और सोया चंक्स ड्राई सब्ज़ी रेसिपी ढाबा स्टाइल दाल फ्राई रेसिपी और स्टीम्ड राइस को दही के एक कटोरे के साथ परोसें, यह एक सरल और आरामदायक सप्ताह के दिन का भोजन है।")</f>
        <v>मेथी और सोया चंक्स ड्राई सब्ज़ी रेसिपी बनाने के लिए, हमें सोया चंक्स को उबलते पानी के एक कटोरे में लगभग 20 मिनट के लिए भिगोना होगा। 20 मिनट के बाद, अतिरिक्त पानी निकाल दें और इसे अलग रख दें। एक भारी तले की कड़ाही में मध्यम आँच पर तेल गर्म करें, उसमें राई डालें और उन्हें फूटने दें। इसके बाद, कटा हुआ प्याज डालें और सुनहरा भूरा होने तक पकाएं। इसमें लगभग 4 से 6 मिनट का समय लगेगा। जब प्याज अच्छे से भूरे रंग का हो जाए, तो कटे हुए टमाटर डालें और उनके नरम और गूदेदार होने तक अच्छी तरह से पकाएं। अब जब प्याज टमाटर का बेस एक साथ आ गया है, तो मेथी के पत्ते डालें। ढककर 2 मिनट तक पकने दें। इस स्तर पर हल्दी पाउडर, लाल मिर्च पाउडर, जीरा पाउडर, धनिया पाउडर, गरम मसाला पाउडर डालें अच्छी तरह से मिलाएं और इसे 2 मिनट तक पकने दें। आंच बंद कर दें और मेथी और सोया चंक्स ड्राई सब्ज़ी को एक सर्विंग बाउल में निकाल लें। इस मेथी और सोया चंक्स ड्राई सब्ज़ी रेसिपी ढाबा स्टाइल दाल फ्राई रेसिपी और स्टीम्ड राइस को दही के एक कटोरे के साथ परोसें, यह एक सरल और आरामदायक सप्ताह के दिन का भोजन है।</v>
      </c>
      <c r="J890" s="3" t="s">
        <v>34524</v>
      </c>
      <c r="L890" s="1" t="s">
        <v>31003</v>
      </c>
    </row>
    <row r="891" spans="1:12" ht="13.8">
      <c r="A891" s="1" t="s">
        <v>34525</v>
      </c>
      <c r="B891" s="1" t="str">
        <f ca="1">IFERROR(__xludf.dummyfunction("IF(A891="""", """", GOOGLETRANSLATE(A891, ""en"", ""hi""))"),"आंवला चटनी रेसिपी")</f>
        <v>आंवला चटनी रेसिपी</v>
      </c>
      <c r="C891" s="1" t="s">
        <v>14207</v>
      </c>
      <c r="D891" s="1" t="s">
        <v>14198</v>
      </c>
      <c r="E891" s="1">
        <v>55</v>
      </c>
      <c r="F891" s="1" t="s">
        <v>34526</v>
      </c>
      <c r="G891" s="1" t="str">
        <f ca="1">IFERROR(__xludf.dummyfunction("IF(F891="""", """", GOOGLETRANSLATE(F891, ""en"", ""hi""))"),"100 ग्राम आंवला, 1 चम्मच जीरा, 1 चम्मच राई, 1 टहनी करी पत्ता, हींग - चुटकी भर, 1/4 कप गुड़, 2 चम्मच लाल मिर्च पाउडर - या स्वादानुसार, नमक - स्वादानुसार, तेल")</f>
        <v>100 ग्राम आंवला, 1 चम्मच जीरा, 1 चम्मच राई, 1 टहनी करी पत्ता, हींग - चुटकी भर, 1/4 कप गुड़, 2 चम्मच लाल मिर्च पाउडर - या स्वादानुसार, नमक - स्वादानुसार, तेल</v>
      </c>
      <c r="H891" s="1" t="s">
        <v>34527</v>
      </c>
      <c r="I891" s="1" t="str">
        <f ca="1">IFERROR(__xludf.dummyfunction("IF(H891="""", """", GOOGLETRANSLATE(H891, ""en"", ""hi""))"),"""मीठी और तीखी आंवला चटनी बनाने के लिए सबसे पहले आंवले को प्रेशर कुकर में थोड़े पानी के साथ डालकर 3 सीटी आने तक पकाएं। प्रेशर निकलने के बाद कुकर खोलें और आंवले से बीज निकाल दें। आंवले को मिक्सर ग्राइंडर में थोड़े पानी के साथ डालकर पीस लें। अब एक पैन में त"&amp;"ेल गर्म करें। इसमें जीरा, राई, हींग डालें और 10 सेकंड तक पकने दें। 10 सेकंड बाद लाल मिर्च पाउडर, आंवला पेस्ट डालें और मिलाएँ। गुड़, नमक डालें और 2 से 3 मिनट तक पकाएँ। परोसें। मीठी और तीखी आंवला चटनी को लहसुन दाल, आलू भिंडी सब्ज़ी और फुल्के के साथ साइड डिश"&amp;" के रूप में परोसें।""")</f>
        <v>"मीठी और तीखी आंवला चटनी बनाने के लिए सबसे पहले आंवले को प्रेशर कुकर में थोड़े पानी के साथ डालकर 3 सीटी आने तक पकाएं। प्रेशर निकलने के बाद कुकर खोलें और आंवले से बीज निकाल दें। आंवले को मिक्सर ग्राइंडर में थोड़े पानी के साथ डालकर पीस लें। अब एक पैन में तेल गर्म करें। इसमें जीरा, राई, हींग डालें और 10 सेकंड तक पकने दें। 10 सेकंड बाद लाल मिर्च पाउडर, आंवला पेस्ट डालें और मिलाएँ। गुड़, नमक डालें और 2 से 3 मिनट तक पकाएँ। परोसें। मीठी और तीखी आंवला चटनी को लहसुन दाल, आलू भिंडी सब्ज़ी और फुल्के के साथ साइड डिश के रूप में परोसें।"</v>
      </c>
      <c r="J891" s="3" t="s">
        <v>34528</v>
      </c>
      <c r="L891" s="1" t="s">
        <v>31003</v>
      </c>
    </row>
    <row r="892" spans="1:12" ht="409.6">
      <c r="A892" s="1" t="s">
        <v>34529</v>
      </c>
      <c r="B892" s="1" t="str">
        <f ca="1">IFERROR(__xludf.dummyfunction("IF(A892="""", """", GOOGLETRANSLATE(A892, ""en"", ""hi""))"),"अरबी दही वाली सब्जी रेसिपी")</f>
        <v>अरबी दही वाली सब्जी रेसिपी</v>
      </c>
      <c r="C892" s="1" t="s">
        <v>145</v>
      </c>
      <c r="D892" s="1" t="s">
        <v>14198</v>
      </c>
      <c r="E892" s="1">
        <v>40</v>
      </c>
      <c r="F892" s="1" t="s">
        <v>34530</v>
      </c>
      <c r="G892" s="1" t="str">
        <f ca="1">IFERROR(__xludf.dummyfunction("IF(F892="""", """", GOOGLETRANSLATE(F892, ""en"", ""hi""))"),"250 ग्राम अरबी, 1 कप दही, 1/2 छोटा चम्मच अजवाइन, 1 1/2 छोटा चम्मच कश्मीरी लाल मिर्च पाउडर, 1/4 छोटा चम्मच हल्दी, 1 छोटा चम्मच धनिया पाउडर, 1 छोटा चम्मच गरम मसाला पाउडर, 2 बड़े चम्मच धनिया पत्ते - कटे हुए, नमक - स्वादानुसार, सूरजमुखी तेल - पकाने के लिए, 1 "&amp;"कप पानी - आवश्यकतानुसार")</f>
        <v>250 ग्राम अरबी, 1 कप दही, 1/2 छोटा चम्मच अजवाइन, 1 1/2 छोटा चम्मच कश्मीरी लाल मिर्च पाउडर, 1/4 छोटा चम्मच हल्दी, 1 छोटा चम्मच धनिया पाउडर, 1 छोटा चम्मच गरम मसाला पाउडर, 2 बड़े चम्मच धनिया पत्ते - कटे हुए, नमक - स्वादानुसार, सूरजमुखी तेल - पकाने के लिए, 1 कप पानी - आवश्यकतानुसार</v>
      </c>
      <c r="H892" s="4" t="s">
        <v>34531</v>
      </c>
      <c r="I892" s="1" t="str">
        <f ca="1">IFERROR(__xludf.dummyfunction("IF(H892="""", """", GOOGLETRANSLATE(H892, ""en"", ""hi""))"),"अरबी दही वाली सब्ज़ी बनाने के लिए, अरबी को मिट्टी और गंदगी से साफ़ करने के लिए साफ़ करें। इसे कम से कम दो बार धोएँ। अरबी को थोड़े से पानी और चुटकी भर नमक के साथ 1 सीटी आने तक पकाएँ (ज़्यादा न पकाएँ)। अरबी को पकाना है, लेकिन पक्का। छिलका उतारें और उन्हें ल"&amp;"ंबाई में आधा काट लें। दही या दही को अच्छी तरह से फेंट लें, एक तरफ़ रख दें। एक पैन में तेल गरम करें। अजवाइन डालें और 10 सेकंड के लिए भूनें। लाल मिर्च पाउडर, हल्दी पाउडर, धनिया पाउडर डालें और मिलाएँ। अरबी डालें और तेल और मसालों में लगभग 10 से 12 मिनट तक मध्"&amp;"यम आँच पर लगातार हिलाते हुए पकाएँ। 1/2 कप पानी डालें और उबाल लें। इसे 5 से 7 मिनट तक उबलने दें। इसमें फेंटा हुआ दही डालें और लगातार चलाते हुए तब तक पकाएं जब तक कि ग्रेवी में उबाल न आ जाए। इसमें गरम मसाला पाउडर, कटा हरा धनिया डालें, अच्छी तरह से हिलाएं और "&amp;"आंच बंद कर दें। अरबी दही वाली सब्जी को पुदीना तवा पराठा, मिक्स स्प्राउट्स सब्जी और कचुम्बर सलाद के साथ सर्व करें।")</f>
        <v>अरबी दही वाली सब्ज़ी बनाने के लिए, अरबी को मिट्टी और गंदगी से साफ़ करने के लिए साफ़ करें। इसे कम से कम दो बार धोएँ। अरबी को थोड़े से पानी और चुटकी भर नमक के साथ 1 सीटी आने तक पकाएँ (ज़्यादा न पकाएँ)। अरबी को पकाना है, लेकिन पक्का। छिलका उतारें और उन्हें लंबाई में आधा काट लें। दही या दही को अच्छी तरह से फेंट लें, एक तरफ़ रख दें। एक पैन में तेल गरम करें। अजवाइन डालें और 10 सेकंड के लिए भूनें। लाल मिर्च पाउडर, हल्दी पाउडर, धनिया पाउडर डालें और मिलाएँ। अरबी डालें और तेल और मसालों में लगभग 10 से 12 मिनट तक मध्यम आँच पर लगातार हिलाते हुए पकाएँ। 1/2 कप पानी डालें और उबाल लें। इसे 5 से 7 मिनट तक उबलने दें। इसमें फेंटा हुआ दही डालें और लगातार चलाते हुए तब तक पकाएं जब तक कि ग्रेवी में उबाल न आ जाए। इसमें गरम मसाला पाउडर, कटा हरा धनिया डालें, अच्छी तरह से हिलाएं और आंच बंद कर दें। अरबी दही वाली सब्जी को पुदीना तवा पराठा, मिक्स स्प्राउट्स सब्जी और कचुम्बर सलाद के साथ सर्व करें।</v>
      </c>
      <c r="J892" s="3" t="s">
        <v>34532</v>
      </c>
      <c r="L892" s="1" t="s">
        <v>31003</v>
      </c>
    </row>
    <row r="893" spans="1:12" ht="13.8">
      <c r="A893" s="1" t="s">
        <v>34533</v>
      </c>
      <c r="B893" s="1" t="str">
        <f ca="1">IFERROR(__xludf.dummyfunction("IF(A893="""", """", GOOGLETRANSLATE(A893, ""en"", ""hi""))"),"मेथी शकरकंद आलू सब्ज़ी रेसिपी - शकरकंद और मेथी के पत्तों की सब्ज़ी")</f>
        <v>मेथी शकरकंद आलू सब्ज़ी रेसिपी - शकरकंद और मेथी के पत्तों की सब्ज़ी</v>
      </c>
      <c r="C893" s="1" t="s">
        <v>14207</v>
      </c>
      <c r="D893" s="1" t="s">
        <v>14198</v>
      </c>
      <c r="E893" s="1">
        <v>40</v>
      </c>
      <c r="F893" s="1" t="s">
        <v>34534</v>
      </c>
      <c r="G893" s="1" t="str">
        <f ca="1">IFERROR(__xludf.dummyfunction("IF(F893="""", """", GOOGLETRANSLATE(F893, ""en"", ""hi""))"),"2 शकरकंद - छिला हुआ, 1 कप मेथी के पत्ते (मेथी के पत्ते) - कटे हुए, 1 छोटा चम्मच जीरा, 1 हरी मिर्च - कटी हुई, 1 छोटा चम्मच धनिया पाउडर, 1 छोटा चम्मच काली मिर्च पाउडर, 1/4 छोटा चम्मच हल्दी पाउडर, नमक - स्वादानुसार")</f>
        <v>2 शकरकंद - छिला हुआ, 1 कप मेथी के पत्ते (मेथी के पत्ते) - कटे हुए, 1 छोटा चम्मच जीरा, 1 हरी मिर्च - कटी हुई, 1 छोटा चम्मच धनिया पाउडर, 1 छोटा चम्मच काली मिर्च पाउडर, 1/4 छोटा चम्मच हल्दी पाउडर, नमक - स्वादानुसार</v>
      </c>
      <c r="H893" s="1" t="s">
        <v>34535</v>
      </c>
      <c r="I893" s="1" t="str">
        <f ca="1">IFERROR(__xludf.dummyfunction("IF(H893="""", """", GOOGLETRANSLATE(H893, ""en"", ""hi""))"),"शकरकंद और मेथी की सब्जी बनाने के लिए सबसे पहले हम एक कढ़ाई में तेल गर्म करेंगे, उसमें जीरा डालेंगे और कुछ सेकंड के लिए उसे चटकने देंगे। शकरकंद, हरी मिर्च डालें और नमक छिड़कें और इसे तब तक ढककर पकने दें जब तक यह पक न जाए। इसे नियमित अंतराल पर चलाते रहें। इ"&amp;"समें मेथी के पत्ते, धनिया पाउडर, हल्दी पाउडर, काली मिर्च पाउडर और स्वादानुसार नमक डालें। अच्छी तरह मिलाएँ। शकरकंद और मेथी की सब्जी पर थोड़ा पानी छिड़कें और ढककर 10 मिनट और पकाएँ और गरमागरम परोसें। शकरकंद और मेथी की सब्जी को फुल्का और गुजराती दाल के साथ पर"&amp;"ोसें और पूरा खाना बनाएँ।")</f>
        <v>शकरकंद और मेथी की सब्जी बनाने के लिए सबसे पहले हम एक कढ़ाई में तेल गर्म करेंगे, उसमें जीरा डालेंगे और कुछ सेकंड के लिए उसे चटकने देंगे। शकरकंद, हरी मिर्च डालें और नमक छिड़कें और इसे तब तक ढककर पकने दें जब तक यह पक न जाए। इसे नियमित अंतराल पर चलाते रहें। इसमें मेथी के पत्ते, धनिया पाउडर, हल्दी पाउडर, काली मिर्च पाउडर और स्वादानुसार नमक डालें। अच्छी तरह मिलाएँ। शकरकंद और मेथी की सब्जी पर थोड़ा पानी छिड़कें और ढककर 10 मिनट और पकाएँ और गरमागरम परोसें। शकरकंद और मेथी की सब्जी को फुल्का और गुजराती दाल के साथ परोसें और पूरा खाना बनाएँ।</v>
      </c>
      <c r="J893" s="3" t="s">
        <v>34536</v>
      </c>
      <c r="L893" s="1" t="s">
        <v>31003</v>
      </c>
    </row>
    <row r="894" spans="1:12" ht="13.8">
      <c r="A894" s="1" t="s">
        <v>34537</v>
      </c>
      <c r="B894" s="1" t="str">
        <f ca="1">IFERROR(__xludf.dummyfunction("IF(A894="""", """", GOOGLETRANSLATE(A894, ""en"", ""hi""))"),"सूखी मेथी मलाई मटर रेसिपी")</f>
        <v>सूखी मेथी मलाई मटर रेसिपी</v>
      </c>
      <c r="C894" s="1" t="s">
        <v>429</v>
      </c>
      <c r="D894" s="1" t="s">
        <v>14198</v>
      </c>
      <c r="E894" s="1">
        <v>40</v>
      </c>
      <c r="F894" s="1" t="s">
        <v>34538</v>
      </c>
      <c r="G894" s="1" t="str">
        <f ca="1">IFERROR(__xludf.dummyfunction("IF(F894="""", """", GOOGLETRANSLATE(F894, ""en"", ""hi""))"),"300 ग्राम मेथी के पत्ते - बारीक कटे हुए, 1/2 कप हरी मटर, 2 बड़े चम्मच ताजा क्रीम, 1-1/2 बड़ा चम्मच सूरजमुखी तेल, 1 तेज पत्ता, 1/2 दालचीनी, 1/2 छोटा चम्मच जीरा, 1/2 कप प्याज - बारीक कटा हुआ, 1 बड़ा चम्मच लहसुन - बारीक कटा हुआ, 1/4 छोटा चम्मच अदरक - पेस्ट, "&amp;"2 हरी मिर्च - कटी हुई, 1/2 कप टमाटर - बारीक कटा हुआ, 1 बड़ा चम्मच टोमैटो केचप, 1/4 छोटा चम्मच गरम मसाला पाउडर, 1/4 छोटा चम्मच लाल मिर्च पाउडर, नमक - स्वादानुसार")</f>
        <v>300 ग्राम मेथी के पत्ते - बारीक कटे हुए, 1/2 कप हरी मटर, 2 बड़े चम्मच ताजा क्रीम, 1-1/2 बड़ा चम्मच सूरजमुखी तेल, 1 तेज पत्ता, 1/2 दालचीनी, 1/2 छोटा चम्मच जीरा, 1/2 कप प्याज - बारीक कटा हुआ, 1 बड़ा चम्मच लहसुन - बारीक कटा हुआ, 1/4 छोटा चम्मच अदरक - पेस्ट, 2 हरी मिर्च - कटी हुई, 1/2 कप टमाटर - बारीक कटा हुआ, 1 बड़ा चम्मच टोमैटो केचप, 1/4 छोटा चम्मच गरम मसाला पाउडर, 1/4 छोटा चम्मच लाल मिर्च पाउडर, नमक - स्वादानुसार</v>
      </c>
      <c r="H894" s="1" t="s">
        <v>34539</v>
      </c>
      <c r="I894" s="1" t="str">
        <f ca="1">IFERROR(__xludf.dummyfunction("IF(H894="""", """", GOOGLETRANSLATE(H894, ""en"", ""hi""))"),"सूखी मेथी मलाई मटर बनाने के लिए सबसे पहले ताज़ी मेथी को साफ पानी से दो बार धो लें और इन धुले हुए पत्तों को बारीक काट लें। ताज़ी मटर छीलें या फ्रोजन हरी मटर का इस्तेमाल करें और उन्हें उबाल लें। एक पैन गरम करें और उसमें 1 चम्मच तेल डालें और कटे हुए मेथी के "&amp;"पत्ते डालें, और उन्हें तब तक भूनें जब तक कि सारा पानी भाप बनकर उड़ न जाए और मेथी सूख न जाए। पैन से निकाल कर प्याले में डालें। उसी पैन में तेल डालें, तेज पत्ता, दालचीनी और जीरा डालें। 30 सेकंड के बाद बारीक कटा हुआ लहसुन, प्याज़ और कटी हरी मिर्च डालें। प्या"&amp;"ज़ के हल्के भूरे और नरम होने तक इसे पकने दें। एक बार जब यह पक जाए, तो टमाटर डालें और उन्हें लगभग 2 मिनट तक भूनें। सामग्री में बताए गए सभी मसाले डालें और इसे कुछ सेकंड के लिए और पकाएँ। कुछ सेकंड के बाद, ताज़ा क्रीम/मलाई डालें और इसे एक या दो मिनट के लिए पक"&amp;"ने दें। एक या दो मिनट के बाद, इसमें भूनी और सूखी मेथी और उबले हुए हरे मटर डालें, फिर इसे कुछ सेकंड के लिए चलाएँ। इसमें टोमैटो केचप डालें और सभी चीजों को अच्छी तरह मिलाएँ। इसे ढक्कन से ढक दें और 5 मिनट तक पकाएँ। 5 मिनट के बाद गैस बंद कर दें और आपकी डिश तैय"&amp;"ार है। सूखी मेथी मलाई मटर को बेसन और आटे की रोटी, मिस्सी रोटी या पूरी गेहूं पालक नान के साथ परोसें।")</f>
        <v>सूखी मेथी मलाई मटर बनाने के लिए सबसे पहले ताज़ी मेथी को साफ पानी से दो बार धो लें और इन धुले हुए पत्तों को बारीक काट लें। ताज़ी मटर छीलें या फ्रोजन हरी मटर का इस्तेमाल करें और उन्हें उबाल लें। एक पैन गरम करें और उसमें 1 चम्मच तेल डालें और कटे हुए मेथी के पत्ते डालें, और उन्हें तब तक भूनें जब तक कि सारा पानी भाप बनकर उड़ न जाए और मेथी सूख न जाए। पैन से निकाल कर प्याले में डालें। उसी पैन में तेल डालें, तेज पत्ता, दालचीनी और जीरा डालें। 30 सेकंड के बाद बारीक कटा हुआ लहसुन, प्याज़ और कटी हरी मिर्च डालें। प्याज़ के हल्के भूरे और नरम होने तक इसे पकने दें। एक बार जब यह पक जाए, तो टमाटर डालें और उन्हें लगभग 2 मिनट तक भूनें। सामग्री में बताए गए सभी मसाले डालें और इसे कुछ सेकंड के लिए और पकाएँ। कुछ सेकंड के बाद, ताज़ा क्रीम/मलाई डालें और इसे एक या दो मिनट के लिए पकने दें। एक या दो मिनट के बाद, इसमें भूनी और सूखी मेथी और उबले हुए हरे मटर डालें, फिर इसे कुछ सेकंड के लिए चलाएँ। इसमें टोमैटो केचप डालें और सभी चीजों को अच्छी तरह मिलाएँ। इसे ढक्कन से ढक दें और 5 मिनट तक पकाएँ। 5 मिनट के बाद गैस बंद कर दें और आपकी डिश तैयार है। सूखी मेथी मलाई मटर को बेसन और आटे की रोटी, मिस्सी रोटी या पूरी गेहूं पालक नान के साथ परोसें।</v>
      </c>
      <c r="J894" s="3" t="s">
        <v>34540</v>
      </c>
      <c r="L894" s="1" t="s">
        <v>31003</v>
      </c>
    </row>
    <row r="895" spans="1:12" ht="409.6">
      <c r="A895" s="1" t="s">
        <v>34541</v>
      </c>
      <c r="B895" s="1" t="str">
        <f ca="1">IFERROR(__xludf.dummyfunction("IF(A895="""", """", GOOGLETRANSLATE(A895, ""en"", ""hi""))"),"सागवाला चिकन रेसिपी - पालक चिकन करी")</f>
        <v>सागवाला चिकन रेसिपी - पालक चिकन करी</v>
      </c>
      <c r="C895" s="1" t="s">
        <v>145</v>
      </c>
      <c r="D895" s="1" t="s">
        <v>14367</v>
      </c>
      <c r="E895" s="1">
        <v>70</v>
      </c>
      <c r="F895" s="1" t="s">
        <v>34542</v>
      </c>
      <c r="G895" s="1" t="str">
        <f ca="1">IFERROR(__xludf.dummyfunction("IF(F895="""", """", GOOGLETRANSLATE(F895, ""en"", ""hi""))"),"350 ग्राम चिकन, 300 ग्राम पालक - मोटा कटा हुआ, 1 चम्मच अजवाइन, 2 बड़े चम्मच घी, 6 लहसुन, 2 इलायची, 2 इंच दालचीनी, 3 लौंग, 2 इंच अदरक, 2 हरी मिर्च, 2 प्याज - पतले कटे हुए, 1 चम्मच लाल मिर्च पाउडर, 1 चम्मच गरम मसाला पाउडर, 2 बड़े चम्मच ताजा क्रीम, नमक - स्व"&amp;"ादानुसार")</f>
        <v>350 ग्राम चिकन, 300 ग्राम पालक - मोटा कटा हुआ, 1 चम्मच अजवाइन, 2 बड़े चम्मच घी, 6 लहसुन, 2 इलायची, 2 इंच दालचीनी, 3 लौंग, 2 इंच अदरक, 2 हरी मिर्च, 2 प्याज - पतले कटे हुए, 1 चम्मच लाल मिर्च पाउडर, 1 चम्मच गरम मसाला पाउडर, 2 बड़े चम्मच ताजा क्रीम, नमक - स्वादानुसार</v>
      </c>
      <c r="H895" s="4" t="s">
        <v>34543</v>
      </c>
      <c r="I895" s="1" t="str">
        <f ca="1">IFERROR(__xludf.dummyfunction("IF(H895="""", """", GOOGLETRANSLATE(H895, ""en"", ""hi""))"),"सागवाला चिकन रेसिपी बनाने के लिए सबसे पहले चिकन ब्रेस्ट को साफ करके धो लें और छोटे से मध्यम आकार के टुकड़ों में काट लें और अगर आप इसका उपयोग कर रहे हैं तो पैर रख दें। एक प्रेशर कुकर में कटी हुई पालक की पत्तियां, हरी मिर्च और 2 बड़े चम्मच पानी डालें और 1 स"&amp;"ीटी आने तक प्रेशर कुक करें और आंच बंद कर दें। इसे तुरंत ठंडे पानी के नीचे चलाकर प्रेशर छोड़ दें। कुकर खोलें और पालक को ठंडा होने दें। पालक को तुरंत खोलना महत्वपूर्ण है, ताकि पालक हरा रहे। पालक के ठंडा होने के बाद, इसे मिक्सर ग्राइंडर में डालें और प्यूरी ब"&amp;"ना लें। पालक प्यूरी / पालक प्यूरी को एक तरफ रख दें। एक भारी तले वाले पैन में घी गर्म करें, उसमें अजवाइन, लौंग, दालचीनी, इलायची डालें और इसे लगभग 10 सेकंड के लिए भूनें यदि आवश्यक हो तो थोड़ा पानी छिड़कें और चिकन को पकने तक पकाएँ। अंत में पालक प्यूरी और क्र"&amp;"ीम डालें। सब कुछ अच्छी तरह से मिलाएँ और पालक चिकन / सागवाला चिकन को 4 से 5 मिनट तक पकने दें जब तक कि ग्रेवी चिकन न बन जाए। सागवाला चिकन पक जाने के बाद, स्वाद की जाँच करें और नमक को अपने हिसाब से समायोजित करें। सागवाला चिकन रेसिपी को बुरानी रायता और बटर गा"&amp;"र्लिक नान रेसिपी के साथ अपने परिवार के साथ वीकेंड डिनर के लिए परोसें। आप इस खाने के साथ कचुम्बर सलाद भी परोस सकते हैं।")</f>
        <v>सागवाला चिकन रेसिपी बनाने के लिए सबसे पहले चिकन ब्रेस्ट को साफ करके धो लें और छोटे से मध्यम आकार के टुकड़ों में काट लें और अगर आप इसका उपयोग कर रहे हैं तो पैर रख दें। एक प्रेशर कुकर में कटी हुई पालक की पत्तियां, हरी मिर्च और 2 बड़े चम्मच पानी डालें और 1 सीटी आने तक प्रेशर कुक करें और आंच बंद कर दें। इसे तुरंत ठंडे पानी के नीचे चलाकर प्रेशर छोड़ दें। कुकर खोलें और पालक को ठंडा होने दें। पालक को तुरंत खोलना महत्वपूर्ण है, ताकि पालक हरा रहे। पालक के ठंडा होने के बाद, इसे मिक्सर ग्राइंडर में डालें और प्यूरी बना लें। पालक प्यूरी / पालक प्यूरी को एक तरफ रख दें। एक भारी तले वाले पैन में घी गर्म करें, उसमें अजवाइन, लौंग, दालचीनी, इलायची डालें और इसे लगभग 10 सेकंड के लिए भूनें यदि आवश्यक हो तो थोड़ा पानी छिड़कें और चिकन को पकने तक पकाएँ। अंत में पालक प्यूरी और क्रीम डालें। सब कुछ अच्छी तरह से मिलाएँ और पालक चिकन / सागवाला चिकन को 4 से 5 मिनट तक पकने दें जब तक कि ग्रेवी चिकन न बन जाए। सागवाला चिकन पक जाने के बाद, स्वाद की जाँच करें और नमक को अपने हिसाब से समायोजित करें। सागवाला चिकन रेसिपी को बुरानी रायता और बटर गार्लिक नान रेसिपी के साथ अपने परिवार के साथ वीकेंड डिनर के लिए परोसें। आप इस खाने के साथ कचुम्बर सलाद भी परोस सकते हैं।</v>
      </c>
      <c r="J895" s="3" t="s">
        <v>34544</v>
      </c>
      <c r="L895" s="1" t="s">
        <v>31003</v>
      </c>
    </row>
    <row r="896" spans="1:12" ht="409.6">
      <c r="A896" s="1" t="s">
        <v>34545</v>
      </c>
      <c r="B896" s="1" t="str">
        <f ca="1">IFERROR(__xludf.dummyfunction("IF(A896="""", """", GOOGLETRANSLATE(A896, ""en"", ""hi""))"),"कच्चा केला और भिंडी की सब्जी रेसिपी - कच्चा केला और भिन्डी फिंगर स्टर फ्राई")</f>
        <v>कच्चा केला और भिंडी की सब्जी रेसिपी - कच्चा केला और भिन्डी फिंगर स्टर फ्राई</v>
      </c>
      <c r="C896" s="1" t="s">
        <v>14207</v>
      </c>
      <c r="D896" s="1" t="s">
        <v>14338</v>
      </c>
      <c r="E896" s="1">
        <v>40</v>
      </c>
      <c r="F896" s="1" t="s">
        <v>34546</v>
      </c>
      <c r="G896" s="1" t="str">
        <f ca="1">IFERROR(__xludf.dummyfunction("IF(F896="""", """", GOOGLETRANSLATE(F896, ""en"", ""hi""))"),"300 ग्राम भिंडी - कटी हुई, 2 कच्चे केले, 1 चम्मच हल्दी, 1 चम्मच काली मिर्च पाउडर, 1/2 चम्मच एसएसपी हींग, 1 चम्मच आमचूर, नमक - स्वादानुसार, सूरजमुखी तेल, 1/4 चम्मच लाल मिर्च पाउडर, 1/2 चम्मच गरम मसाला पाउडर, 1/2 चम्मच धनिया पाउडर")</f>
        <v>300 ग्राम भिंडी - कटी हुई, 2 कच्चे केले, 1 चम्मच हल्दी, 1 चम्मच काली मिर्च पाउडर, 1/2 चम्मच एसएसपी हींग, 1 चम्मच आमचूर, नमक - स्वादानुसार, सूरजमुखी तेल, 1/4 चम्मच लाल मिर्च पाउडर, 1/2 चम्मच गरम मसाला पाउडर, 1/2 चम्मच धनिया पाउडर</v>
      </c>
      <c r="H896" s="4" t="s">
        <v>34547</v>
      </c>
      <c r="I896" s="1" t="str">
        <f ca="1">IFERROR(__xludf.dummyfunction("IF(H896="""", """", GOOGLETRANSLATE(H896, ""en"", ""hi""))"),"कच्चा केला और भिंडी की सब्जी बनाने के लिए सबसे पहले हम कच्चे केले को पहले से पका लेंगे। सबसे पहले कच्चे केले को छीलकर काट लें और एक तरफ रख दें। एक प्रेशर कुकर में कटे हुए कच्चे केले को आधा कप पानी, हल्दी पाउडर और नमक के साथ डालें। ढककर 3 सीटी आने तक पकाएँ"&amp;" और आँच बंद कर दें। हो जाने के बाद, प्रेशर कुकर खोलें और केले को ठंडा होने दें और एक तरफ रख दें। एक भारी तले की कड़ाही में तेल गर्म करें। उसमें जीरा, हींग डालें और जीरे को चटकने दें। एक बार जब यह चटकने लगे, तो इसमें भिंडी डालें, थोड़ा नमक छिड़कें और उन्हे"&amp;"ं नरम होने तक पकाएँ और अच्छी तरह से पक जाएँ। आप इसे ढककर पका सकते हैं क्योंकि यह तेजी से पक जाएगा। इसमें लगभग 10 मिनट का समय लगेगा। जब भिन्डी पक जाए तो उसमें पका हुआ कच्चा केला, अमचूर पाउडर, काली मिर्च पाउडर, लाल मिर्च पाउडर, धनिया पाउडर, गरम मसाला पाउडर "&amp;"डालें और तब तक भूनें जब तक मसाला अच्छी तरह से भिन्डी पर न लग जाए - लगभग 4 से 5 मिनट और फिर आंच बंद कर दें। 4 से 5 मिनट के बाद, कच्चा केला और भिन्डी की सब्जी को एक सर्विंग बाउल में डालें और धनिया पत्ती से गार्निश करें। कच्चा केला और भिन्डी की सब्जी रेसिपी "&amp;"को गुजराती दाल, लौकी रायता और फुल्का के साथ परोसें और एक अच्छे सप्ताह के दिन के भोजन का आनंद लें।")</f>
        <v>कच्चा केला और भिंडी की सब्जी बनाने के लिए सबसे पहले हम कच्चे केले को पहले से पका लेंगे। सबसे पहले कच्चे केले को छीलकर काट लें और एक तरफ रख दें। एक प्रेशर कुकर में कटे हुए कच्चे केले को आधा कप पानी, हल्दी पाउडर और नमक के साथ डालें। ढककर 3 सीटी आने तक पकाएँ और आँच बंद कर दें। हो जाने के बाद, प्रेशर कुकर खोलें और केले को ठंडा होने दें और एक तरफ रख दें। एक भारी तले की कड़ाही में तेल गर्म करें। उसमें जीरा, हींग डालें और जीरे को चटकने दें। एक बार जब यह चटकने लगे, तो इसमें भिंडी डालें, थोड़ा नमक छिड़कें और उन्हें नरम होने तक पकाएँ और अच्छी तरह से पक जाएँ। आप इसे ढककर पका सकते हैं क्योंकि यह तेजी से पक जाएगा। इसमें लगभग 10 मिनट का समय लगेगा। जब भिन्डी पक जाए तो उसमें पका हुआ कच्चा केला, अमचूर पाउडर, काली मिर्च पाउडर, लाल मिर्च पाउडर, धनिया पाउडर, गरम मसाला पाउडर डालें और तब तक भूनें जब तक मसाला अच्छी तरह से भिन्डी पर न लग जाए - लगभग 4 से 5 मिनट और फिर आंच बंद कर दें। 4 से 5 मिनट के बाद, कच्चा केला और भिन्डी की सब्जी को एक सर्विंग बाउल में डालें और धनिया पत्ती से गार्निश करें। कच्चा केला और भिन्डी की सब्जी रेसिपी को गुजराती दाल, लौकी रायता और फुल्का के साथ परोसें और एक अच्छे सप्ताह के दिन के भोजन का आनंद लें।</v>
      </c>
      <c r="J896" s="3" t="s">
        <v>34548</v>
      </c>
      <c r="L896" s="1" t="s">
        <v>31003</v>
      </c>
    </row>
    <row r="897" spans="1:12" ht="13.8">
      <c r="A897" s="1" t="s">
        <v>34549</v>
      </c>
      <c r="B897" s="1" t="str">
        <f ca="1">IFERROR(__xludf.dummyfunction("IF(A897="""", """", GOOGLETRANSLATE(A897, ""en"", ""hi""))"),"वेज चिली मिल्ली")</f>
        <v>वेज चिली मिल्ली</v>
      </c>
      <c r="C897" s="1" t="s">
        <v>429</v>
      </c>
      <c r="D897" s="1" t="s">
        <v>14198</v>
      </c>
      <c r="E897" s="1">
        <v>60</v>
      </c>
      <c r="F897" s="1" t="s">
        <v>34550</v>
      </c>
      <c r="G897" s="1" t="str">
        <f ca="1">IFERROR(__xludf.dummyfunction("IF(F897="""", """", GOOGLETRANSLATE(F897, ""en"", ""hi""))"),"1 कप फूलगोभी - बारीक कटी हुई, 1 गाजर - पतले टुकड़ों में कटी हुई, 1 हरी शिमला मिर्च - पतले टुकड़ों में कटी हुई, 4 टमाटर, 1/2 कप हरे मटर, 3 बड़े चम्मच काजू, 2 बड़े चम्मच तेल, 1 तेज पत्ता, 2 इलायची - हरी, 1 इलायची - काली, 2 लौंग, 1 इंच दालचीनी, 1 प्याज - बार"&amp;"ीक कटा हुआ, 1 बड़ा चम्मच अदरक लहसुन पेस्ट, 1/2 बड़ा चम्मच हल्दी, 1 बड़ा चम्मच कश्मीरी लाल मिर्च पाउडर, 1 बड़ा चम्मच धनिया पाउडर, 3 से 4 हरी मिर्च - कटी हुई, 1-1/2 कप पानी, 1 बड़ा चम्मच कसूरी मेथी, 1/4 बड़ा चम्मच गरम मसाला पाउडर, हरा धनिया - छोटे टुकड़ों म"&amp;"ें, 1/4 बड़ा चम्मच चीनी, 3 बड़े चम्मच क्रीम, नमक - स्वादानुसार")</f>
        <v>1 कप फूलगोभी - बारीक कटी हुई, 1 गाजर - पतले टुकड़ों में कटी हुई, 1 हरी शिमला मिर्च - पतले टुकड़ों में कटी हुई, 4 टमाटर, 1/2 कप हरे मटर, 3 बड़े चम्मच काजू, 2 बड़े चम्मच तेल, 1 तेज पत्ता, 2 इलायची - हरी, 1 इलायची - काली, 2 लौंग, 1 इंच दालचीनी, 1 प्याज - बारीक कटा हुआ, 1 बड़ा चम्मच अदरक लहसुन पेस्ट, 1/2 बड़ा चम्मच हल्दी, 1 बड़ा चम्मच कश्मीरी लाल मिर्च पाउडर, 1 बड़ा चम्मच धनिया पाउडर, 3 से 4 हरी मिर्च - कटी हुई, 1-1/2 कप पानी, 1 बड़ा चम्मच कसूरी मेथी, 1/4 बड़ा चम्मच गरम मसाला पाउडर, हरा धनिया - छोटे टुकड़ों में, 1/4 बड़ा चम्मच चीनी, 3 बड़े चम्मच क्रीम, नमक - स्वादानुसार</v>
      </c>
      <c r="H897" s="1" t="s">
        <v>34551</v>
      </c>
      <c r="I897" s="1" t="str">
        <f ca="1">IFERROR(__xludf.dummyfunction("IF(H897="""", """", GOOGLETRANSLATE(H897, ""en"", ""hi""))"),"""चिली मिल्ली बनाने के लिए सबसे पहले काजू को 1/4 कप गरम पानी में 20-25 मिनट के लिए भिगो दें। 25 मिनट बाद काजू को पानी से निकाल लें और अदरक और टमाटर के साथ पीसकर पेस्ट बना लें। एक पैन में थोड़ा तेल गर्म करें और उसमें तेज पत्ता, हरी इलायची, काली इलायची, लौं"&amp;"ग और दालचीनी डालकर पकने दें। अब इसमें कटा हुआ प्याज और अदरक लहसुन का पेस्ट डालें और मध्यम आंच पर तब तक पकाएं जब तक अदरक लहसुन की महक चली न जाए और प्याज हल्का भूरा न हो जाए। इसमें टमाटर काजू का पेस्ट डालकर अच्छे से मिलाएं, फिर हल्दी, कश्मीरी लाल मिर्च और ध"&amp;"निया पाउडर डालें। हरी मिर्च डालें और मध्यम आंच पर तेल अलग होने तक पकाएं। फूलगोभी, गाजर, शिमला मिर्च और हरी मटर को मसाले के साथ मिलाएं और 5-6 मिनट तक पकाएं। अब पानी और नमक डालकर ढक दें। मध्यम आंच पर तब तक पकाएं जब तक सब्जी अच्छी तरह पक न जाए। अगर जरूरत हो "&amp;"तो थोड़ा नमक डालें। थोड़ा और पानी डालें लेकिन ध्यान रखें कि ग्रेवी पतली न हो। जब सब्जियां पक जाएं तो इसमें गरम मसाला, कसूरी मेथी और चीनी डालकर अच्छे से मिलाएं। अब इसमें क्रीम डालें और धनिया से सजाएं। मिर्च मिली को बूंदी रायता और तवा पराठा के साथ सर्व करें"&amp;"।")</f>
        <v>"चिली मिल्ली बनाने के लिए सबसे पहले काजू को 1/4 कप गरम पानी में 20-25 मिनट के लिए भिगो दें। 25 मिनट बाद काजू को पानी से निकाल लें और अदरक और टमाटर के साथ पीसकर पेस्ट बना लें। एक पैन में थोड़ा तेल गर्म करें और उसमें तेज पत्ता, हरी इलायची, काली इलायची, लौंग और दालचीनी डालकर पकने दें। अब इसमें कटा हुआ प्याज और अदरक लहसुन का पेस्ट डालें और मध्यम आंच पर तब तक पकाएं जब तक अदरक लहसुन की महक चली न जाए और प्याज हल्का भूरा न हो जाए। इसमें टमाटर काजू का पेस्ट डालकर अच्छे से मिलाएं, फिर हल्दी, कश्मीरी लाल मिर्च और धनिया पाउडर डालें। हरी मिर्च डालें और मध्यम आंच पर तेल अलग होने तक पकाएं। फूलगोभी, गाजर, शिमला मिर्च और हरी मटर को मसाले के साथ मिलाएं और 5-6 मिनट तक पकाएं। अब पानी और नमक डालकर ढक दें। मध्यम आंच पर तब तक पकाएं जब तक सब्जी अच्छी तरह पक न जाए। अगर जरूरत हो तो थोड़ा नमक डालें। थोड़ा और पानी डालें लेकिन ध्यान रखें कि ग्रेवी पतली न हो। जब सब्जियां पक जाएं तो इसमें गरम मसाला, कसूरी मेथी और चीनी डालकर अच्छे से मिलाएं। अब इसमें क्रीम डालें और धनिया से सजाएं। मिर्च मिली को बूंदी रायता और तवा पराठा के साथ सर्व करें।</v>
      </c>
      <c r="J897" s="3" t="s">
        <v>34552</v>
      </c>
      <c r="L897" s="1" t="s">
        <v>31003</v>
      </c>
    </row>
    <row r="898" spans="1:12" ht="13.8">
      <c r="A898" s="1" t="s">
        <v>34553</v>
      </c>
      <c r="B898" s="1" t="str">
        <f ca="1">IFERROR(__xludf.dummyfunction("IF(A898="""", """", GOOGLETRANSLATE(A898, ""en"", ""hi""))"),"अरबी टमाटर प्याज़ सब्ज़ी")</f>
        <v>अरबी टमाटर प्याज़ सब्ज़ी</v>
      </c>
      <c r="C898" s="1" t="s">
        <v>145</v>
      </c>
      <c r="D898" s="1" t="s">
        <v>14198</v>
      </c>
      <c r="E898" s="1">
        <v>55</v>
      </c>
      <c r="F898" s="1" t="s">
        <v>34554</v>
      </c>
      <c r="G898" s="1" t="str">
        <f ca="1">IFERROR(__xludf.dummyfunction("IF(F898="""", """", GOOGLETRANSLATE(F898, ""en"", ""hi""))"),"12 अरबी - पतले कटे हुए, 1 प्याज - कटा हुआ, 2 टमाटर - कटे हुए, 1 छोटा चम्मच अदरक लहसुन पेस्ट, एक चुटकी हींग, 3/4 छोटा चम्मच हल्दी पाउडर, नमक - स्वादानुसार, 3/4 छोटा चम्मच लाल मिर्च पाउडर, 3/4 छोटा चम्मच गरम मसाला पाउडर, 2 हरी मिर्च - पतले कटे हुए, 3/4 छोटा"&amp;" चम्मच धनिया पाउडर, 2 सूखी लाल मिर्च, तेल - आवश्यकतानुसार")</f>
        <v>12 अरबी - पतले कटे हुए, 1 प्याज - कटा हुआ, 2 टमाटर - कटे हुए, 1 छोटा चम्मच अदरक लहसुन पेस्ट, एक चुटकी हींग, 3/4 छोटा चम्मच हल्दी पाउडर, नमक - स्वादानुसार, 3/4 छोटा चम्मच लाल मिर्च पाउडर, 3/4 छोटा चम्मच गरम मसाला पाउडर, 2 हरी मिर्च - पतले कटे हुए, 3/4 छोटा चम्मच धनिया पाउडर, 2 सूखी लाल मिर्च, तेल - आवश्यकतानुसार</v>
      </c>
      <c r="H898" s="1" t="s">
        <v>34555</v>
      </c>
      <c r="I898" s="1" t="str">
        <f ca="1">IFERROR(__xludf.dummyfunction("IF(H898="""", """", GOOGLETRANSLATE(H898, ""en"", ""hi""))"),"टमाटर प्याज वाली अरबी की सब्जी बनाने के लिए सबसे पहले अरबी को धोकर नमक वाले पानी में 10 से 15 मिनट के लिए भिगो दें। पानी निथारकर फिर से धो लें। सुखा लें। अब एक पैन में तेल गर्म करें। अरबी डालकर सुनहरा भूरा होने तक पकाएं। अब इसे एक पेपर टॉवल पर निकालकर रख "&amp;"लें। उसी पैन में थोड़ा और तेल गर्म करें। सूखी लाल मिर्च, हींग, अदरक, लहसुन का पेस्ट डालकर 1 मिनट तक पकाएं। अब इसमें प्याज डालें और प्याज के नरम होने तक पकाएं। हल्दी पाउडर, लाल मिर्च पाउडर, नमक, धनिया पाउडर और गरम मसाला पाउडर डालें। 1 मिनट बाद टमाटर और हरी"&amp;" मिर्च डालकर 3 मिनट तक पकाएं। अब इसमें अरबी डालकर अच्छे से मिला लें। पैन को ढककर 6 से 8 मिनट तक पकाएं। गरमागरम परोसें। टमाटर प्याज वाली अरबी की सब्जी को बूंदी रायता और फुल्के के साथ लंच में परोसें।")</f>
        <v>टमाटर प्याज वाली अरबी की सब्जी बनाने के लिए सबसे पहले अरबी को धोकर नमक वाले पानी में 10 से 15 मिनट के लिए भिगो दें। पानी निथारकर फिर से धो लें। सुखा लें। अब एक पैन में तेल गर्म करें। अरबी डालकर सुनहरा भूरा होने तक पकाएं। अब इसे एक पेपर टॉवल पर निकालकर रख लें। उसी पैन में थोड़ा और तेल गर्म करें। सूखी लाल मिर्च, हींग, अदरक, लहसुन का पेस्ट डालकर 1 मिनट तक पकाएं। अब इसमें प्याज डालें और प्याज के नरम होने तक पकाएं। हल्दी पाउडर, लाल मिर्च पाउडर, नमक, धनिया पाउडर और गरम मसाला पाउडर डालें। 1 मिनट बाद टमाटर और हरी मिर्च डालकर 3 मिनट तक पकाएं। अब इसमें अरबी डालकर अच्छे से मिला लें। पैन को ढककर 6 से 8 मिनट तक पकाएं। गरमागरम परोसें। टमाटर प्याज वाली अरबी की सब्जी को बूंदी रायता और फुल्के के साथ लंच में परोसें।</v>
      </c>
      <c r="J898" s="3" t="s">
        <v>34556</v>
      </c>
      <c r="L898" s="1" t="s">
        <v>31003</v>
      </c>
    </row>
    <row r="899" spans="1:12" ht="409.6">
      <c r="A899" s="1" t="s">
        <v>34557</v>
      </c>
      <c r="B899" s="1" t="str">
        <f ca="1">IFERROR(__xludf.dummyfunction("IF(A899="""", """", GOOGLETRANSLATE(A899, ""en"", ""hi""))"),"चॉकलेट फ्लेवर वाली 7 कप बर्फी रेसिपी")</f>
        <v>चॉकलेट फ्लेवर वाली 7 कप बर्फी रेसिपी</v>
      </c>
      <c r="C899" s="1" t="s">
        <v>8417</v>
      </c>
      <c r="D899" s="1" t="s">
        <v>14198</v>
      </c>
      <c r="E899" s="1">
        <v>70</v>
      </c>
      <c r="F899" s="1" t="s">
        <v>34558</v>
      </c>
      <c r="G899" s="1" t="str">
        <f ca="1">IFERROR(__xludf.dummyfunction("IF(F899="""", """", GOOGLETRANSLATE(F899, ""en"", ""hi""))"),"1 कप बेसन, 1-3/4 कप चीनी - (यदि आपको मीठा पसंद है तो 2 कप ले सकते हैं), 1 कप घी, 1 कप दूध, 1 कप ताजा नारियल, 1/2 कप कोको पाउडर, 1/2 कप काजू - पाउडर, काजू - सजावट के लिए मुट्ठी भर, इलायची की फली/बीज - कुचले हुए या स्वाद के लिए दालचीनी पाउडर (वैकल्पिक)")</f>
        <v>1 कप बेसन, 1-3/4 कप चीनी - (यदि आपको मीठा पसंद है तो 2 कप ले सकते हैं), 1 कप घी, 1 कप दूध, 1 कप ताजा नारियल, 1/2 कप कोको पाउडर, 1/2 कप काजू - पाउडर, काजू - सजावट के लिए मुट्ठी भर, इलायची की फली/बीज - कुचले हुए या स्वाद के लिए दालचीनी पाउडर (वैकल्पिक)</v>
      </c>
      <c r="H899" s="4" t="s">
        <v>34559</v>
      </c>
      <c r="I899" s="4" t="str">
        <f ca="1">IFERROR(__xludf.dummyfunction("IF(H899="""", """", GOOGLETRANSLATE(H899, ""en"", ""hi""))"),"चॉकलेट 7 कप बर्फी रेसिपी बनाने के लिए सबसे पहले एक बेकिंग पैन या स्टील की प्लेट में घी लगाकर चिकना कर लें। सभी सामग्री को एक बड़े नॉन स्टिक पैन / कड़ाही में डालकर मध्यम आंच पर रखें। सभी सामग्री को एक साथ मिलाने के लिए हिलाएं। अगर कोई गांठ हो तो चम्मच के प"&amp;"िछले हिस्से का इस्तेमाल करके निकाल दें। मिश्रण को धीमी से मध्यम आंच पर लगातार हिलाते हुए पकाएं। तब तक पकाएं जब तक मिश्रण गाढ़ा न हो जाए और एक द्रव्यमान के रूप में एक साथ न आ जाए (लगभग 25-30 मिनट)। मिश्रण को चिकनी की हुई प्लेट में निकाल लें और चम्मच के पिछ"&amp;"ले हिस्से से दबाएं या इसे समान रूप से फैलाने के लिए फॉयल का उपयोग करें और सतह को समतल करें। तेज चाकू से मिश्रण में चौकोर या हीरे के आकार बनाएं। प्रत्येक टुकड़े के बीच में काजू के टुकड़े या आधे टुकड़े रखें और दबाएं। पूरी तरह से ठंडा करें और फिर टुकड़ों में"&amp;" काट लें
")</f>
        <v xml:space="preserve">चॉकलेट 7 कप बर्फी रेसिपी बनाने के लिए सबसे पहले एक बेकिंग पैन या स्टील की प्लेट में घी लगाकर चिकना कर लें। सभी सामग्री को एक बड़े नॉन स्टिक पैन / कड़ाही में डालकर मध्यम आंच पर रखें। सभी सामग्री को एक साथ मिलाने के लिए हिलाएं। अगर कोई गांठ हो तो चम्मच के पिछले हिस्से का इस्तेमाल करके निकाल दें। मिश्रण को धीमी से मध्यम आंच पर लगातार हिलाते हुए पकाएं। तब तक पकाएं जब तक मिश्रण गाढ़ा न हो जाए और एक द्रव्यमान के रूप में एक साथ न आ जाए (लगभग 25-30 मिनट)। मिश्रण को चिकनी की हुई प्लेट में निकाल लें और चम्मच के पिछले हिस्से से दबाएं या इसे समान रूप से फैलाने के लिए फॉयल का उपयोग करें और सतह को समतल करें। तेज चाकू से मिश्रण में चौकोर या हीरे के आकार बनाएं। प्रत्येक टुकड़े के बीच में काजू के टुकड़े या आधे टुकड़े रखें और दबाएं। पूरी तरह से ठंडा करें और फिर टुकड़ों में काट लें
</v>
      </c>
      <c r="J899" s="3" t="s">
        <v>34560</v>
      </c>
      <c r="L899" s="1" t="s">
        <v>31003</v>
      </c>
    </row>
    <row r="900" spans="1:12" ht="13.8">
      <c r="A900" s="1" t="s">
        <v>34561</v>
      </c>
      <c r="B900" s="1" t="str">
        <f ca="1">IFERROR(__xludf.dummyfunction("IF(A900="""", """", GOOGLETRANSLATE(A900, ""en"", ""hi""))"),"सौंफ वाली हरी गोभी सब्जी")</f>
        <v>सौंफ वाली हरी गोभी सब्जी</v>
      </c>
      <c r="C900" s="1" t="s">
        <v>14207</v>
      </c>
      <c r="D900" s="1" t="s">
        <v>14208</v>
      </c>
      <c r="E900" s="1">
        <v>50</v>
      </c>
      <c r="F900" s="1" t="s">
        <v>34562</v>
      </c>
      <c r="G900" s="1" t="str">
        <f ca="1">IFERROR(__xludf.dummyfunction("IF(F900="""", """", GOOGLETRANSLATE(F900, ""en"", ""hi""))"),"1 पत्तागोभी - कटी हुई, 1 चम्मच सौंफ, 1 अदरक, 2 टमाटर - बारीक कटे हुए, 2 तेजपत्ता, 1/2 कप हरी चटनी, 1/2 कप दही, 1/2 चम्मच हल्दी पाउडर, 1 चम्मच धनिया पाउडर, नमक, लाल मिर्च पाउडर, तेल - आवश्यकतानुसार")</f>
        <v>1 पत्तागोभी - कटी हुई, 1 चम्मच सौंफ, 1 अदरक, 2 टमाटर - बारीक कटे हुए, 2 तेजपत्ता, 1/2 कप हरी चटनी, 1/2 कप दही, 1/2 चम्मच हल्दी पाउडर, 1 चम्मच धनिया पाउडर, नमक, लाल मिर्च पाउडर, तेल - आवश्यकतानुसार</v>
      </c>
      <c r="H900" s="1" t="s">
        <v>34563</v>
      </c>
      <c r="I900" s="1" t="str">
        <f ca="1">IFERROR(__xludf.dummyfunction("IF(H900="""", """", GOOGLETRANSLATE(H900, ""en"", ""hi""))"),"""सौंफ वाली हरी गोभी की सब्जी बनाने के लिए सबसे पहले हरी चटनी (धनिया पुदीना चटनी) बना लें। इसे एक तरफ रख दें। एक पैन में तेल गर्म करें। इसमें सौंफ, अदरक, तेज पत्ता डालें और 10 सेकंड तक पकाएँ। अब इसमें टमाटर, हल्दी पाउडर, धनिया पाउडर, लाल मिर्च पाउडर डालें"&amp;" और अच्छी तरह मिलाएँ। दही, हरी चटनी और नमक डालें। अच्छी तरह मिलाएँ। फूलगोभी डालें और अच्छी तरह मिलाएँ। पैन को ढक दें और फूलगोभी के पकने तक पकाएँ। इसमें 5 से 8 मिनट का समय लगेगा। पकने के बाद गैस बंद कर दें और परोसें। सौंफ वाली हरी गोभी की सब्जी को पंचमेल द"&amp;"ाल और फुल्के के साथ लंच में परोसें।""")</f>
        <v>"सौंफ वाली हरी गोभी की सब्जी बनाने के लिए सबसे पहले हरी चटनी (धनिया पुदीना चटनी) बना लें। इसे एक तरफ रख दें। एक पैन में तेल गर्म करें। इसमें सौंफ, अदरक, तेज पत्ता डालें और 10 सेकंड तक पकाएँ। अब इसमें टमाटर, हल्दी पाउडर, धनिया पाउडर, लाल मिर्च पाउडर डालें और अच्छी तरह मिलाएँ। दही, हरी चटनी और नमक डालें। अच्छी तरह मिलाएँ। फूलगोभी डालें और अच्छी तरह मिलाएँ। पैन को ढक दें और फूलगोभी के पकने तक पकाएँ। इसमें 5 से 8 मिनट का समय लगेगा। पकने के बाद गैस बंद कर दें और परोसें। सौंफ वाली हरी गोभी की सब्जी को पंचमेल दाल और फुल्के के साथ लंच में परोसें।"</v>
      </c>
      <c r="J900" s="3" t="s">
        <v>34564</v>
      </c>
      <c r="L900" s="1" t="s">
        <v>31003</v>
      </c>
    </row>
    <row r="901" spans="1:12" ht="13.8">
      <c r="A901" s="1" t="s">
        <v>34565</v>
      </c>
      <c r="B901" s="1" t="str">
        <f ca="1">IFERROR(__xludf.dummyfunction("IF(A901="""", """", GOOGLETRANSLATE(A901, ""en"", ""hi""))"),"नवरंग दाल रेसिपी (मसालेदार मिश्रित दाल)")</f>
        <v>नवरंग दाल रेसिपी (मसालेदार मिश्रित दाल)</v>
      </c>
      <c r="C901" s="1" t="s">
        <v>145</v>
      </c>
      <c r="D901" s="1" t="s">
        <v>14237</v>
      </c>
      <c r="E901" s="1">
        <v>40</v>
      </c>
      <c r="F901" s="1" t="s">
        <v>34566</v>
      </c>
      <c r="G901" s="1" t="str">
        <f ca="1">IFERROR(__xludf.dummyfunction("IF(F901="""", """", GOOGLETRANSLATE(F901, ""en"", ""hi""))"),"2 बड़े चम्मच हरी मूंग दाल (साबुत), 2 बड़े चम्मच सफेद उड़द दाल (विभाजित), 2 बड़े चम्मच काली उड़द दाल (साबुत), 2 बड़े चम्मच गुलाबी मसूर दाल (विभाजित), 2 बड़े चम्मच मसूर दाल (साबुत), 2 बड़े चम्मच राजमा (बड़ी राजमा), 2 बड़े चम्मच काबुली चना (सफेद छोले), 1/4 क"&amp;"प पीली मूंग दाल (विभाजित) - (20 मिनट के लिए भिगोएँ), 1 बड़ा चम्मच अरहर दाल (विभाजित तुअर दाल) - (20 मिनट के लिए भिगोएँ), 1 प्याज - बारीक कटा हुआ, 1 टमाटर - बारीक कटा हुआ, 1 बड़ा चम्मच अदरक लहसुन पेस्ट, 1 हरी मिर्च - कटी हुई, 2 चम्मच धनिया पाउडर, 1 चम्मच ल"&amp;"ाल मिर्च पाउडर, 2 चम्मच गरम मसाला पाउडर, 1 बड़ा चम्मच कसूरी मेथी (सूखी मेथी के पत्ते), 1 इंच अदरक - गार्निश के लिए (जीरा),नमक - स्वादानुसार")</f>
        <v>2 बड़े चम्मच हरी मूंग दाल (साबुत), 2 बड़े चम्मच सफेद उड़द दाल (विभाजित), 2 बड़े चम्मच काली उड़द दाल (साबुत), 2 बड़े चम्मच गुलाबी मसूर दाल (विभाजित), 2 बड़े चम्मच मसूर दाल (साबुत), 2 बड़े चम्मच राजमा (बड़ी राजमा), 2 बड़े चम्मच काबुली चना (सफेद छोले), 1/4 कप पीली मूंग दाल (विभाजित) - (20 मिनट के लिए भिगोएँ), 1 बड़ा चम्मच अरहर दाल (विभाजित तुअर दाल) - (20 मिनट के लिए भिगोएँ), 1 प्याज - बारीक कटा हुआ, 1 टमाटर - बारीक कटा हुआ, 1 बड़ा चम्मच अदरक लहसुन पेस्ट, 1 हरी मिर्च - कटी हुई, 2 चम्मच धनिया पाउडर, 1 चम्मच लाल मिर्च पाउडर, 2 चम्मच गरम मसाला पाउडर, 1 बड़ा चम्मच कसूरी मेथी (सूखी मेथी के पत्ते), 1 इंच अदरक - गार्निश के लिए (जीरा),नमक - स्वादानुसार</v>
      </c>
      <c r="H901" s="1" t="s">
        <v>34567</v>
      </c>
      <c r="I901" s="1" t="str">
        <f ca="1">IFERROR(__xludf.dummyfunction("IF(H901="""", """", GOOGLETRANSLATE(H901, ""en"", ""hi""))"),"नवरंग दाल (मसालेदार मिक्स दाल) रेसिपी बनाने के लिए मूंग दाल और तूर दाल को छोड़कर बाकी सभी दालों को रात भर भिगोकर रखें। सुबह प्रेशर कुकर में सभी दालों को अच्छी तरह पकने तक पकाएँ। पकी हुई दाल को धीरे से मसल लें और एक तरफ रख दें। मध्यम आंच पर एक बड़ी कड़ाही "&amp;"गरम करें, उसमें तेल या घी, दालचीनी और जीरा डालें और उसे चटकने दें। इसमें प्याज़ डालें और हल्का भूरा होने तक भूनें। अदरक लहसुन का पेस्ट डालें और तब तक पकाएँ जब तक पेस्ट की कच्ची महक चली न जाए। अब कटे हुए टमाटर और कटी हुई हरी मिर्च डालें और टमाटर के आधे पकन"&amp;"े तक पकाएँ। धनिया, लाल मिर्च और गरम मसाला पाउडर डालें और मिलाएँ और तब तक पकाएँ जब तक घी या तेल अलग न हो जाए। अब इसमें पकी हुई मसली हुई दाल डालें, नमक डालें, ज़रूरत के हिसाब से पानी डालें और दस मिनट तक उबलने दें। अब कसूरी मेथी को अपनी हथेलियों के बीच हल्के"&amp;" से मसलें और दाल के ऊपर डालें। इसे उबाल लें, आँच बंद कर दें और बारीक कटे हुए अदरक से गार्निश करें। आपकी नवांग दाल परोसने के लिए तैयार है, इसे लच्छा पराठा या मटर पुलाव के साथ रात के खाने में परोसें।")</f>
        <v>नवरंग दाल (मसालेदार मिक्स दाल) रेसिपी बनाने के लिए मूंग दाल और तूर दाल को छोड़कर बाकी सभी दालों को रात भर भिगोकर रखें। सुबह प्रेशर कुकर में सभी दालों को अच्छी तरह पकने तक पकाएँ। पकी हुई दाल को धीरे से मसल लें और एक तरफ रख दें। मध्यम आंच पर एक बड़ी कड़ाही गरम करें, उसमें तेल या घी, दालचीनी और जीरा डालें और उसे चटकने दें। इसमें प्याज़ डालें और हल्का भूरा होने तक भूनें। अदरक लहसुन का पेस्ट डालें और तब तक पकाएँ जब तक पेस्ट की कच्ची महक चली न जाए। अब कटे हुए टमाटर और कटी हुई हरी मिर्च डालें और टमाटर के आधे पकने तक पकाएँ। धनिया, लाल मिर्च और गरम मसाला पाउडर डालें और मिलाएँ और तब तक पकाएँ जब तक घी या तेल अलग न हो जाए। अब इसमें पकी हुई मसली हुई दाल डालें, नमक डालें, ज़रूरत के हिसाब से पानी डालें और दस मिनट तक उबलने दें। अब कसूरी मेथी को अपनी हथेलियों के बीच हल्के से मसलें और दाल के ऊपर डालें। इसे उबाल लें, आँच बंद कर दें और बारीक कटे हुए अदरक से गार्निश करें। आपकी नवांग दाल परोसने के लिए तैयार है, इसे लच्छा पराठा या मटर पुलाव के साथ रात के खाने में परोसें।</v>
      </c>
      <c r="J901" s="3" t="s">
        <v>34568</v>
      </c>
      <c r="L901" s="1" t="s">
        <v>31003</v>
      </c>
    </row>
    <row r="902" spans="1:12" ht="409.6">
      <c r="A902" s="1" t="s">
        <v>34569</v>
      </c>
      <c r="B902" s="1" t="str">
        <f ca="1">IFERROR(__xludf.dummyfunction("IF(A902="""", """", GOOGLETRANSLATE(A902, ""en"", ""hi""))"),"सूरन कबाब मसाला रेसिपी - टमाटर प्याज की ग्रेवी में रतालू")</f>
        <v>सूरन कबाब मसाला रेसिपी - टमाटर प्याज की ग्रेवी में रतालू</v>
      </c>
      <c r="C902" s="1" t="s">
        <v>145</v>
      </c>
      <c r="D902" s="1" t="s">
        <v>14198</v>
      </c>
      <c r="E902" s="1">
        <v>30</v>
      </c>
      <c r="F902" s="1" t="s">
        <v>34570</v>
      </c>
      <c r="G902" s="1" t="str">
        <f ca="1">IFERROR(__xludf.dummyfunction("IF(F902="""", """", GOOGLETRANSLATE(F902, ""en"", ""hi""))"),"300 ग्राम सुरन/सेनाई/रतालू, 2 बड़े चम्मच कबाब मसाला - खरीदा हुआ, 2 प्याज - बारीक कटा हुआ, 3/4 कप घर का बना टमाटर प्यूरी, 6 लहसुन - पीसा हुआ, 1 इंच अदरक - पीसा हुआ, 1 हरी मिर्च - पीसा हुआ, 2 चम्मच लाल मिर्च पाउडर, 1/4 चम्मच हल्दी पाउडर, 2 चम्मच धनिया पाउडर"&amp;", 1 चम्मच जीरा पाउडर, 1/2 चम्मच गरम मसाला पाउडर, 2 बड़े चम्मच दही, सूरजमुखी तेल - आवश्यकतानुसार, नमक - स्वादानुसार")</f>
        <v>300 ग्राम सुरन/सेनाई/रतालू, 2 बड़े चम्मच कबाब मसाला - खरीदा हुआ, 2 प्याज - बारीक कटा हुआ, 3/4 कप घर का बना टमाटर प्यूरी, 6 लहसुन - पीसा हुआ, 1 इंच अदरक - पीसा हुआ, 1 हरी मिर्च - पीसा हुआ, 2 चम्मच लाल मिर्च पाउडर, 1/4 चम्मच हल्दी पाउडर, 2 चम्मच धनिया पाउडर, 1 चम्मच जीरा पाउडर, 1/2 चम्मच गरम मसाला पाउडर, 2 बड़े चम्मच दही, सूरजमुखी तेल - आवश्यकतानुसार, नमक - स्वादानुसार</v>
      </c>
      <c r="H902" s="4" t="s">
        <v>34571</v>
      </c>
      <c r="I902" s="1" t="str">
        <f ca="1">IFERROR(__xludf.dummyfunction("IF(H902="""", """", GOOGLETRANSLATE(H902, ""en"", ""hi""))"),"सूरन कबाब मसाला रेसिपी बनाने के लिए सबसे पहले रतालू को छीलकर 1 इंच के टुकड़ों में काट लें। सूरन को अच्छे से धोकर उसका पानी निकाल दें। सूरन को अब्सॉर्बेंट पेपर से थपथपाकर सुखा लें। सूरन के टुकड़ों को नमक और कबाब मसाले के साथ एक बाउल में निकाल लें। सभी टुकड"&amp;"़ों को अच्छी तरह मिलाकर कोट कर लें। 10 मिनट तक ऐसे ही रहने दें। सूरन कबाब को तलने के लिए एक भारी तले की कड़ाही में मध्यम आंच पर तेल गर्म करें। सूरन के टुकड़ों को कढ़ाई के किनारे से धीरे से खिसकाएं और कुरकुरे और सुनहरे भूरे होने तक तल लें, बीच-बीच में हिला"&amp;"ते रहें। इसमें लगभग 8-10 मिनट का समय लगेगा। सूरन कबाब को अब्सॉर्बेंट पेपर पर निकालकर अलग रख दें। अब एक प्रेशर कुकर में 1 चम्मच तेल डालें तेल अलग होने तक अच्छी तरह से पकाएं। इसमें लगभग 3 से 4 मिनट का समय लगेगा। अब हल्दी पाउडर, धनिया पाउडर, जीरा पाउडर, गरम "&amp;"मसाला पाउडर सहित अन्य सभी सूखे मसाला पाउडर डालें और अच्छी तरह से हिलाएं। इसे लगभग 2 मिनट तक पकने दें। 2 मिनट के बाद, इस ग्रेवी में सूरन कबाब, दही और नमक डालें। सभी चीजों को अच्छी तरह से मिला लें। स्थिरता को समायोजित करने के लिए पानी डालें। 2 सीटी के लिए प"&amp;"्रेशर कुक करें और प्रेशर को स्वाभाविक रूप से निकलने दें। कुकर खोलें, इसे हिलाएं और धनिया पत्ती से गार्निश करें। सूरन कबाब मसाला रेसिपी को पालक रायता, पंचमेल दाल और फुल्का के साथ वीकेंड के खाने के लिए परोसें।")</f>
        <v>सूरन कबाब मसाला रेसिपी बनाने के लिए सबसे पहले रतालू को छीलकर 1 इंच के टुकड़ों में काट लें। सूरन को अच्छे से धोकर उसका पानी निकाल दें। सूरन को अब्सॉर्बेंट पेपर से थपथपाकर सुखा लें। सूरन के टुकड़ों को नमक और कबाब मसाले के साथ एक बाउल में निकाल लें। सभी टुकड़ों को अच्छी तरह मिलाकर कोट कर लें। 10 मिनट तक ऐसे ही रहने दें। सूरन कबाब को तलने के लिए एक भारी तले की कड़ाही में मध्यम आंच पर तेल गर्म करें। सूरन के टुकड़ों को कढ़ाई के किनारे से धीरे से खिसकाएं और कुरकुरे और सुनहरे भूरे होने तक तल लें, बीच-बीच में हिलाते रहें। इसमें लगभग 8-10 मिनट का समय लगेगा। सूरन कबाब को अब्सॉर्बेंट पेपर पर निकालकर अलग रख दें। अब एक प्रेशर कुकर में 1 चम्मच तेल डालें तेल अलग होने तक अच्छी तरह से पकाएं। इसमें लगभग 3 से 4 मिनट का समय लगेगा। अब हल्दी पाउडर, धनिया पाउडर, जीरा पाउडर, गरम मसाला पाउडर सहित अन्य सभी सूखे मसाला पाउडर डालें और अच्छी तरह से हिलाएं। इसे लगभग 2 मिनट तक पकने दें। 2 मिनट के बाद, इस ग्रेवी में सूरन कबाब, दही और नमक डालें। सभी चीजों को अच्छी तरह से मिला लें। स्थिरता को समायोजित करने के लिए पानी डालें। 2 सीटी के लिए प्रेशर कुक करें और प्रेशर को स्वाभाविक रूप से निकलने दें। कुकर खोलें, इसे हिलाएं और धनिया पत्ती से गार्निश करें। सूरन कबाब मसाला रेसिपी को पालक रायता, पंचमेल दाल और फुल्का के साथ वीकेंड के खाने के लिए परोसें।</v>
      </c>
      <c r="J902" s="3" t="s">
        <v>34572</v>
      </c>
      <c r="L902" s="1" t="s">
        <v>31003</v>
      </c>
    </row>
    <row r="903" spans="1:12" ht="409.6">
      <c r="A903" s="1" t="s">
        <v>34573</v>
      </c>
      <c r="B903" s="1" t="str">
        <f ca="1">IFERROR(__xludf.dummyfunction("IF(A903="""", """", GOOGLETRANSLATE(A903, ""en"", ""hi""))"),"ठंडाई मूस रेसिपी")</f>
        <v>ठंडाई मूस रेसिपी</v>
      </c>
      <c r="C903" s="1" t="s">
        <v>8417</v>
      </c>
      <c r="D903" s="1" t="s">
        <v>15102</v>
      </c>
      <c r="E903" s="1">
        <v>390</v>
      </c>
      <c r="F903" s="1" t="s">
        <v>34574</v>
      </c>
      <c r="G903" s="1" t="str">
        <f ca="1">IFERROR(__xludf.dummyfunction("IF(F903="""", """", GOOGLETRANSLATE(F903, ""en"", ""hi""))"),"2 बड़े चम्मच ठंडाई मसाला, 2 चम्मच अगर-अगर - (चाइना ग्रास), 1 कप दूध - कमरे के तापमान पर, 2 बड़े चम्मच चीनी - स्वादानुसार, 1 कप हैवी व्हिपिंग क्रीम, नींबू का रस - आधे नींबू से, 1 बड़ा चम्मच पिस्ता - कटा हुआ")</f>
        <v>2 बड़े चम्मच ठंडाई मसाला, 2 चम्मच अगर-अगर - (चाइना ग्रास), 1 कप दूध - कमरे के तापमान पर, 2 बड़े चम्मच चीनी - स्वादानुसार, 1 कप हैवी व्हिपिंग क्रीम, नींबू का रस - आधे नींबू से, 1 बड़ा चम्मच पिस्ता - कटा हुआ</v>
      </c>
      <c r="H903" s="4" t="s">
        <v>34575</v>
      </c>
      <c r="I903" s="1" t="str">
        <f ca="1">IFERROR(__xludf.dummyfunction("IF(H903="""", """", GOOGLETRANSLATE(H903, ""en"", ""hi""))"),"ठंडाई मूस तैयार करने के लिए, चाइना ग्रास शीट को छोटे टुकड़ों में काट लें और मिक्सर में पीसकर दरदरा पाउडर बना लें। एक कटोरे में डालें और एक तरफ रख दें। क्रीम को फेंटने के लिए, क्रीम को एक बड़े कटोरे में डालें। एक इलेक्ट्रिक हैंड ब्लेंडर का उपयोग करके मध्यम"&amp;" गति पर क्रीम को तब तक फेंटें जब तक कि नरम चोटियाँ न बन जाएं। ठंडाई के स्वाद वाला मिश्रण तैयार करते समय व्हीप्ड क्रीम के कटोरे को फ्रिज में रखें। एक छोटे पैन में दूध, चाइना ग्रास और 1/2 कप पानी डालें। पैन को मध्यम आँच पर गर्म करें और पैन में सामग्री को लग"&amp;"ातार हिलाते रहें। मिश्रण को एक बार उबाल लें, आंच को कम कर दें। जब चाइना ग्रास के टुकड़े तरल में घुलने लगें, तो चीनी डालें। समान रूप से मिलाने के लिए हिलाएं। अब ठंडाई मसाला डालें, मिश्रण को लगातार चम्मच से हिलाएं आप देखेंगे कि छलनी में चाइना ग्रास के सभी अ"&amp;"घुलनशील टुकड़े रह गए हैं। छाने हुए मिश्रण को स्टील के कटोरे में डालें और कटोरे को बर्फ के टुकड़ों से भरे गहरे बर्तन में 8 से 10 मिनट के लिए या मिश्रण के ठंडा होने तक रखें। किसी भी गांठ के गठन से बचने के लिए मिश्रण को जोर से और लगातार तब तक फेंटें जब तक यह"&amp;" बर्फ के टुकड़े के बर्तन में न हो जाए। फेंटी हुई व्हीप्ड क्रीम डालें और धीरे से मोड़ें। नींबू का रस डालें और धीरे से मोड़ें। अब धीरे से व्हीप्ड क्रीम को ठंडाई के स्वाद वाले मिश्रण में डालें। जब व्हीप्ड क्रीम और तरल समान रूप से मिल जाए, तो नींबू का रस डाले"&amp;"ं। नींबू के रस को मिलाने के लिए एक बार धीरे से हिलाएं। मूस के बराबर हिस्से को सर्विंग बाउल में डालें। मूस को पूरी तरह से सेट होने के लिए लगभग 6 घंटे या रात भर के लिए फ्रिज में रखें")</f>
        <v>ठंडाई मूस तैयार करने के लिए, चाइना ग्रास शीट को छोटे टुकड़ों में काट लें और मिक्सर में पीसकर दरदरा पाउडर बना लें। एक कटोरे में डालें और एक तरफ रख दें। क्रीम को फेंटने के लिए, क्रीम को एक बड़े कटोरे में डालें। एक इलेक्ट्रिक हैंड ब्लेंडर का उपयोग करके मध्यम गति पर क्रीम को तब तक फेंटें जब तक कि नरम चोटियाँ न बन जाएं। ठंडाई के स्वाद वाला मिश्रण तैयार करते समय व्हीप्ड क्रीम के कटोरे को फ्रिज में रखें। एक छोटे पैन में दूध, चाइना ग्रास और 1/2 कप पानी डालें। पैन को मध्यम आँच पर गर्म करें और पैन में सामग्री को लगातार हिलाते रहें। मिश्रण को एक बार उबाल लें, आंच को कम कर दें। जब चाइना ग्रास के टुकड़े तरल में घुलने लगें, तो चीनी डालें। समान रूप से मिलाने के लिए हिलाएं। अब ठंडाई मसाला डालें, मिश्रण को लगातार चम्मच से हिलाएं आप देखेंगे कि छलनी में चाइना ग्रास के सभी अघुलनशील टुकड़े रह गए हैं। छाने हुए मिश्रण को स्टील के कटोरे में डालें और कटोरे को बर्फ के टुकड़ों से भरे गहरे बर्तन में 8 से 10 मिनट के लिए या मिश्रण के ठंडा होने तक रखें। किसी भी गांठ के गठन से बचने के लिए मिश्रण को जोर से और लगातार तब तक फेंटें जब तक यह बर्फ के टुकड़े के बर्तन में न हो जाए। फेंटी हुई व्हीप्ड क्रीम डालें और धीरे से मोड़ें। नींबू का रस डालें और धीरे से मोड़ें। अब धीरे से व्हीप्ड क्रीम को ठंडाई के स्वाद वाले मिश्रण में डालें। जब व्हीप्ड क्रीम और तरल समान रूप से मिल जाए, तो नींबू का रस डालें। नींबू के रस को मिलाने के लिए एक बार धीरे से हिलाएं। मूस के बराबर हिस्से को सर्विंग बाउल में डालें। मूस को पूरी तरह से सेट होने के लिए लगभग 6 घंटे या रात भर के लिए फ्रिज में रखें</v>
      </c>
      <c r="J903" s="3" t="s">
        <v>34576</v>
      </c>
      <c r="L903" s="1" t="s">
        <v>31003</v>
      </c>
    </row>
    <row r="904" spans="1:12" ht="409.6">
      <c r="A904" s="1" t="s">
        <v>34577</v>
      </c>
      <c r="B904" s="1" t="str">
        <f ca="1">IFERROR(__xludf.dummyfunction("IF(A904="""", """", GOOGLETRANSLATE(A904, ""en"", ""hi""))"),"सत्तू का नमकीन शरबत रेसिपी")</f>
        <v>सत्तू का नमकीन शरबत रेसिपी</v>
      </c>
      <c r="C904" s="1" t="s">
        <v>14281</v>
      </c>
      <c r="D904" s="1" t="s">
        <v>14198</v>
      </c>
      <c r="E904" s="1">
        <v>10</v>
      </c>
      <c r="F904" s="1" t="s">
        <v>34578</v>
      </c>
      <c r="G904" s="1" t="str">
        <f ca="1">IFERROR(__xludf.dummyfunction("IF(F904="""", """", GOOGLETRANSLATE(F904, ""en"", ""hi""))"),"3-1/2 बड़े चम्मच भुना हुआ सत्तू का आटा, 4 पुदीना पत्ते - बारीक कटे हुए, 2 बड़े चम्मच धनिया पत्ते - बारीक कटे हुए, 1 हरी मिर्च - बारीक कटी हुई, 1 बड़ा चम्मच नींबू का रस, 1/2 छोटा चम्मच जीरा, 1/2 छोटा चम्मच काला नमक, 3 कप ठंडा पानी, नमक - स्वादानुसार")</f>
        <v>3-1/2 बड़े चम्मच भुना हुआ सत्तू का आटा, 4 पुदीना पत्ते - बारीक कटे हुए, 2 बड़े चम्मच धनिया पत्ते - बारीक कटे हुए, 1 हरी मिर्च - बारीक कटी हुई, 1 बड़ा चम्मच नींबू का रस, 1/2 छोटा चम्मच जीरा, 1/2 छोटा चम्मच काला नमक, 3 कप ठंडा पानी, नमक - स्वादानुसार</v>
      </c>
      <c r="H904" s="4" t="s">
        <v>34579</v>
      </c>
      <c r="I904" s="1" t="str">
        <f ca="1">IFERROR(__xludf.dummyfunction("IF(H904="""", """", GOOGLETRANSLATE(H904, ""en"", ""hi""))"),"सत्तू का नमकीन शरबत बनाने के लिए सभी सामग्री तैयार रखें। एक कटोरे में सत्तू का आटा डालें। इसमें पुदीना के पत्ते, धनिया के पत्ते, हरी मिर्च, नींबू का रस, भुना जीरा पाउडर, काला नमक जैसी बाकी सामग्री डालें और ठंडा या ठंडा पानी डालकर अच्छी तरह मिलाएँ। जब तक ड"&amp;"्रिंक एक समान और गांठ रहित न हो जाए, तब तक हिलाएँ। आप इसे चम्मच से या हाथ से पकड़े जाने वाले बटरमिल्क चर्नर/व्हिस्क का उपयोग करके कर सकते हैं। इसे लंबे गिलास में डालें और परोसें। गर्मियों में सत्तू का नमकीन शरबत रेसिपी को गुजराती खांडवी रेसिपी के साथ बच्च"&amp;"ों के लिए पारंपरिक स्कूल के बाद के नाश्ते के रूप में या संतरे के साथ कॉटेज पनीर रेसिपी के साथ या अपने मेहमानों को एक ताज़ा स्वागत पेय के रूप में परोसें।")</f>
        <v>सत्तू का नमकीन शरबत बनाने के लिए सभी सामग्री तैयार रखें। एक कटोरे में सत्तू का आटा डालें। इसमें पुदीना के पत्ते, धनिया के पत्ते, हरी मिर्च, नींबू का रस, भुना जीरा पाउडर, काला नमक जैसी बाकी सामग्री डालें और ठंडा या ठंडा पानी डालकर अच्छी तरह मिलाएँ। जब तक ड्रिंक एक समान और गांठ रहित न हो जाए, तब तक हिलाएँ। आप इसे चम्मच से या हाथ से पकड़े जाने वाले बटरमिल्क चर्नर/व्हिस्क का उपयोग करके कर सकते हैं। इसे लंबे गिलास में डालें और परोसें। गर्मियों में सत्तू का नमकीन शरबत रेसिपी को गुजराती खांडवी रेसिपी के साथ बच्चों के लिए पारंपरिक स्कूल के बाद के नाश्ते के रूप में या संतरे के साथ कॉटेज पनीर रेसिपी के साथ या अपने मेहमानों को एक ताज़ा स्वागत पेय के रूप में परोसें।</v>
      </c>
      <c r="J904" s="3" t="s">
        <v>34580</v>
      </c>
      <c r="L904" s="1" t="s">
        <v>31003</v>
      </c>
    </row>
    <row r="905" spans="1:12" ht="409.6">
      <c r="A905" s="1" t="s">
        <v>34581</v>
      </c>
      <c r="B905" s="1" t="str">
        <f ca="1">IFERROR(__xludf.dummyfunction("IF(A905="""", """", GOOGLETRANSLATE(A905, ""en"", ""hi""))"),"गहत रस्मी बड़ी रेसिपी (टमाटर प्याज की ग्रेवी में उत्तरांचल कुलीथ कोफ्ते)")</f>
        <v>गहत रस्मी बड़ी रेसिपी (टमाटर प्याज की ग्रेवी में उत्तरांचल कुलीथ कोफ्ते)</v>
      </c>
      <c r="C905" s="1" t="s">
        <v>14207</v>
      </c>
      <c r="D905" s="1" t="s">
        <v>14237</v>
      </c>
      <c r="E905" s="1">
        <v>50</v>
      </c>
      <c r="F905" s="1" t="s">
        <v>34582</v>
      </c>
      <c r="G905" s="1" t="str">
        <f ca="1">IFERROR(__xludf.dummyfunction("IF(F905="""", """", GOOGLETRANSLATE(F905, ""en"", ""hi""))"),"1 कप कुलीथ - रातभर भिगोई हुई, 1/4 छोटा चम्मच हल्दी, 2 हरी मिर्च - बारीक कटी हुई, 1 बड़ा चम्मच सूरजमुखी तेल, 1 प्याज - बारीक कटा हुआ, 1 टमाटर - बारीक कटा हुआ, 1/2 छोटा चम्मच जीरा, 1/2 छोटा चम्मच अदरक लहसुन पेस्ट, 1/2 छोटा चम्मच लाल मिर्च पाउडर, 1/4 छोटा चम"&amp;"्मच गरम मसाला पाउडर, 1/4 छोटा चम्मच दालचीनी पाउडर, 1/2 कप पानी, नमक - स्वादानुसार")</f>
        <v>1 कप कुलीथ - रातभर भिगोई हुई, 1/4 छोटा चम्मच हल्दी, 2 हरी मिर्च - बारीक कटी हुई, 1 बड़ा चम्मच सूरजमुखी तेल, 1 प्याज - बारीक कटा हुआ, 1 टमाटर - बारीक कटा हुआ, 1/2 छोटा चम्मच जीरा, 1/2 छोटा चम्मच अदरक लहसुन पेस्ट, 1/2 छोटा चम्मच लाल मिर्च पाउडर, 1/4 छोटा चम्मच गरम मसाला पाउडर, 1/4 छोटा चम्मच दालचीनी पाउडर, 1/2 कप पानी, नमक - स्वादानुसार</v>
      </c>
      <c r="H905" s="4" t="s">
        <v>34583</v>
      </c>
      <c r="I905" s="1" t="str">
        <f ca="1">IFERROR(__xludf.dummyfunction("IF(H905="""", """", GOOGLETRANSLATE(H905, ""en"", ""hi""))"),"गहत रस्मी बड़ी रेसिपी (उत्तरांचल कुलीथ कोफ्ते टमाटर प्याज की ग्रेवी में) बनाने के लिए, गहत दाल को रात भर पानी में भिगोएँ। अतिरिक्त पानी निकाल दें और उन्हें हल्दी, कटी हरी मिर्च और थोड़े नमक के साथ दरदरा पीस लें। पिसा हुआ पेस्ट एक चम्मच लें और छोटी-छोटी गो"&amp;"ल बॉल्स बना लें। सुनिश्चित करें कि बैटर कोफ्ते बनाने के लिए सख्त हो और पानी जैसा न हो। बॉल्स को स्टीमर या इडली कुकर में लगभग 10 मिनट तक तब तक स्टीम करें जब तक कि वे पूरी तरह से पक न जाएँ। पकने के बाद कोफ्ते को निकाल लें और एक तरफ रख दें। एक मध्यम आकार का "&amp;"नॉन-स्टिक पैन गरम करें। पैन में तेल डालें। तेल गरम होने पर जीरा डालें और चटकने दें। कटे हुए प्याज़ डालें और पारदर्शी होने तक पकाएँ। अदरक लहसुन का पेस्ट डालें और कच्ची महक जाने तक भूनें। कटे हुए टमाटर डालें और नरम होने तक पकाएँ। मसाले डालें और अच्छी तरह मि"&amp;"लाएँ। अब प्याज़-टमाटर के मिश्रण में पानी डालें और पूरी तरह पकने तक पकाएँ। नमक डालें। अब करी में भाप से पकाए गए गहत बॉल्स डालें। ढक्कन को ढककर मध्यम आँच पर लगभग 5 मिनट तक पकाएँ जब तक कि बॉल्स पूरी तरह से करी में मिल न जाएँ। गहत रस्मी बड़ी रेसिपी (उत्तरांचल"&amp;" कुलीथ कोफ्ते टमाटर प्याज की ग्रेवी में) को गरमागरम उबले चावल और कुल्चे के साथ परोसें।")</f>
        <v>गहत रस्मी बड़ी रेसिपी (उत्तरांचल कुलीथ कोफ्ते टमाटर प्याज की ग्रेवी में) बनाने के लिए, गहत दाल को रात भर पानी में भिगोएँ। अतिरिक्त पानी निकाल दें और उन्हें हल्दी, कटी हरी मिर्च और थोड़े नमक के साथ दरदरा पीस लें। पिसा हुआ पेस्ट एक चम्मच लें और छोटी-छोटी गोल बॉल्स बना लें। सुनिश्चित करें कि बैटर कोफ्ते बनाने के लिए सख्त हो और पानी जैसा न हो। बॉल्स को स्टीमर या इडली कुकर में लगभग 10 मिनट तक तब तक स्टीम करें जब तक कि वे पूरी तरह से पक न जाएँ। पकने के बाद कोफ्ते को निकाल लें और एक तरफ रख दें। एक मध्यम आकार का नॉन-स्टिक पैन गरम करें। पैन में तेल डालें। तेल गरम होने पर जीरा डालें और चटकने दें। कटे हुए प्याज़ डालें और पारदर्शी होने तक पकाएँ। अदरक लहसुन का पेस्ट डालें और कच्ची महक जाने तक भूनें। कटे हुए टमाटर डालें और नरम होने तक पकाएँ। मसाले डालें और अच्छी तरह मिलाएँ। अब प्याज़-टमाटर के मिश्रण में पानी डालें और पूरी तरह पकने तक पकाएँ। नमक डालें। अब करी में भाप से पकाए गए गहत बॉल्स डालें। ढक्कन को ढककर मध्यम आँच पर लगभग 5 मिनट तक पकाएँ जब तक कि बॉल्स पूरी तरह से करी में मिल न जाएँ। गहत रस्मी बड़ी रेसिपी (उत्तरांचल कुलीथ कोफ्ते टमाटर प्याज की ग्रेवी में) को गरमागरम उबले चावल और कुल्चे के साथ परोसें।</v>
      </c>
      <c r="J905" s="3" t="s">
        <v>34584</v>
      </c>
      <c r="L905" s="1" t="s">
        <v>31003</v>
      </c>
    </row>
    <row r="906" spans="1:12" ht="13.8">
      <c r="A906" s="1" t="s">
        <v>33692</v>
      </c>
      <c r="B906" s="1" t="str">
        <f ca="1">IFERROR(__xludf.dummyfunction("IF(A906="""", """", GOOGLETRANSLATE(A906, ""en"", ""hi""))"),"शाकाहारी छोले और ब्रोकोली करी रेसिपी")</f>
        <v>शाकाहारी छोले और ब्रोकोली करी रेसिपी</v>
      </c>
      <c r="C906" s="1" t="s">
        <v>145</v>
      </c>
      <c r="D906" s="1" t="s">
        <v>17937</v>
      </c>
      <c r="E906" s="1">
        <v>65</v>
      </c>
      <c r="F906" s="1" t="s">
        <v>34585</v>
      </c>
      <c r="G906" s="1" t="str">
        <f ca="1">IFERROR(__xludf.dummyfunction("IF(F906="""", """", GOOGLETRANSLATE(F906, ""en"", ""hi""))"),"1 बड़ा चम्मच तेल, 1 इंच दालचीनी, 2 लौंग, 1 कप छोले या छोले, 1 कप ब्रोकली, 1 प्याज- कटा हुआ, 1 टमाटर- कटा हुआ, 1 चम्मच अदरक लहसुन पेस्ट, 1 चम्मच जीरा पाउडर, 1 चम्मच लाल मिर्च पाउडर, नमक- स्वादानुसार, 1 कप पानी, हरा धनिया- थोड़ा सा")</f>
        <v>1 बड़ा चम्मच तेल, 1 इंच दालचीनी, 2 लौंग, 1 कप छोले या छोले, 1 कप ब्रोकली, 1 प्याज- कटा हुआ, 1 टमाटर- कटा हुआ, 1 चम्मच अदरक लहसुन पेस्ट, 1 चम्मच जीरा पाउडर, 1 चम्मच लाल मिर्च पाउडर, नमक- स्वादानुसार, 1 कप पानी, हरा धनिया- थोड़ा सा</v>
      </c>
      <c r="H906" s="1" t="s">
        <v>34586</v>
      </c>
      <c r="I906" s="1" t="str">
        <f ca="1">IFERROR(__xludf.dummyfunction("IF(H906="""", """", GOOGLETRANSLATE(H906, ""en"", ""hi""))"),"""वीगन छोले और ब्रोकली करी रेसिपी बनाने के लिए सबसे पहले छोले को 1 घंटे के लिए पानी में भिगो दें। छोले को प्रेशर कुकर में डालकर 3 घंटे तक पकाएं। प्रेशर अपने आप निकलने दें। प्रेशर निकलने के बाद 1/4 कप छोले को मिक्सर ग्राइंडर में डालकर पीस लें। एक पैन में त"&amp;"ेल गर्म करें। तेल गर्म होने के बाद इसमें दालचीनी, लौंग डालकर 10 सेकंड तक पकाएं। अब इसमें प्याज डालकर प्याज के नरम होने तक पकाएं। प्याज के नरम होने के बाद इसमें अदरक लहसुन का पेस्ट डालकर 2 से 3 मिनट तक पकाएं। 2 से 3 मिनट बाद इसमें टमाटर डालकर टमाटर के नरम "&amp;"होने तक पकाएं। टमाटर के नरम होने के बाद इसमें लाल मिर्च पाउडर, जीरा पाउडर और नमक डालकर मिलाएं। 2 मिनट बाद इसमें छोले और पिसा हुआ छोले का पेस्ट डालें। 1 कप पानी डालकर उबालें। गैस की आंच धीमी कर दें और सब्जी को पकने दें। अब एक सॉस पैन में पानी लें। इसमें ब्"&amp;"रोकली डालकर उबलने दें। उबलने के बाद इसमें ब्रोकली डालकर 2 मिनट तक पकाएं। 2 मिनट बाद ब्रोकली को धोकर धो लें। ब्रोकली को ठंडे पानी से धोकर अलग रख दें। ग्रेवी पक जाने पर उसमें ब्रोकली डालकर मिलाएँ। 2 से 3 मिनट तक पकाएँ, धनिया पत्ती से सजाएँ और परोसें। शाकाहा"&amp;"री छोले और ब्रोकली करी को तवा पराठों और बूंदी रायता के साथ लंच में परोसें।")</f>
        <v>"वीगन छोले और ब्रोकली करी रेसिपी बनाने के लिए सबसे पहले छोले को 1 घंटे के लिए पानी में भिगो दें। छोले को प्रेशर कुकर में डालकर 3 घंटे तक पकाएं। प्रेशर अपने आप निकलने दें। प्रेशर निकलने के बाद 1/4 कप छोले को मिक्सर ग्राइंडर में डालकर पीस लें। एक पैन में तेल गर्म करें। तेल गर्म होने के बाद इसमें दालचीनी, लौंग डालकर 10 सेकंड तक पकाएं। अब इसमें प्याज डालकर प्याज के नरम होने तक पकाएं। प्याज के नरम होने के बाद इसमें अदरक लहसुन का पेस्ट डालकर 2 से 3 मिनट तक पकाएं। 2 से 3 मिनट बाद इसमें टमाटर डालकर टमाटर के नरम होने तक पकाएं। टमाटर के नरम होने के बाद इसमें लाल मिर्च पाउडर, जीरा पाउडर और नमक डालकर मिलाएं। 2 मिनट बाद इसमें छोले और पिसा हुआ छोले का पेस्ट डालें। 1 कप पानी डालकर उबालें। गैस की आंच धीमी कर दें और सब्जी को पकने दें। अब एक सॉस पैन में पानी लें। इसमें ब्रोकली डालकर उबलने दें। उबलने के बाद इसमें ब्रोकली डालकर 2 मिनट तक पकाएं। 2 मिनट बाद ब्रोकली को धोकर धो लें। ब्रोकली को ठंडे पानी से धोकर अलग रख दें। ग्रेवी पक जाने पर उसमें ब्रोकली डालकर मिलाएँ। 2 से 3 मिनट तक पकाएँ, धनिया पत्ती से सजाएँ और परोसें। शाकाहारी छोले और ब्रोकली करी को तवा पराठों और बूंदी रायता के साथ लंच में परोसें।</v>
      </c>
      <c r="J906" s="3" t="s">
        <v>34587</v>
      </c>
      <c r="L906" s="1" t="s">
        <v>31003</v>
      </c>
    </row>
    <row r="907" spans="1:12" ht="13.8">
      <c r="A907" s="1" t="s">
        <v>34588</v>
      </c>
      <c r="B907" s="1" t="str">
        <f ca="1">IFERROR(__xludf.dummyfunction("IF(A907="""", """", GOOGLETRANSLATE(A907, ""en"", ""hi""))"),"ब्रोकोली मूंगफली ओट्स टिक्की रेसिपी")</f>
        <v>ब्रोकोली मूंगफली ओट्स टिक्की रेसिपी</v>
      </c>
      <c r="C907" s="1" t="s">
        <v>14281</v>
      </c>
      <c r="D907" s="1" t="s">
        <v>14198</v>
      </c>
      <c r="E907" s="1">
        <v>50</v>
      </c>
      <c r="F907" s="1" t="s">
        <v>34589</v>
      </c>
      <c r="G907" s="1" t="str">
        <f ca="1">IFERROR(__xludf.dummyfunction("IF(F907="""", """", GOOGLETRANSLATE(F907, ""en"", ""hi""))"),"1/2 चम्मच एक्स्ट्रा वर्जिन ऑलिव ऑयल, 1 कप ब्रोकली - कद्दूकस की हुई, 3 आलू - उबले और मसले हुए, 1/2 कप भुनी मूंगफली - मोटे तौर पर कुटी हुई, 2 बड़े चम्मच इंस्टेंट ओट्स (दलिया) - पाउडर, 2 हरी मिर्च - बारीक कटी हुई, 2 लहसुन की कलियां - बारीक कटा हुआ, 1/4 चम्मच"&amp;" गरम मसाला पाउडर, 1 चम्मच चाट मसाला पाउडर")</f>
        <v>1/2 चम्मच एक्स्ट्रा वर्जिन ऑलिव ऑयल, 1 कप ब्रोकली - कद्दूकस की हुई, 3 आलू - उबले और मसले हुए, 1/2 कप भुनी मूंगफली - मोटे तौर पर कुटी हुई, 2 बड़े चम्मच इंस्टेंट ओट्स (दलिया) - पाउडर, 2 हरी मिर्च - बारीक कटी हुई, 2 लहसुन की कलियां - बारीक कटा हुआ, 1/4 चम्मच गरम मसाला पाउडर, 1 चम्मच चाट मसाला पाउडर</v>
      </c>
      <c r="H907" s="1" t="s">
        <v>34590</v>
      </c>
      <c r="I907" s="1" t="str">
        <f ca="1">IFERROR(__xludf.dummyfunction("IF(H907="""", """", GOOGLETRANSLATE(H907, ""en"", ""hi""))"),"ब्रोकली पीनट और ओट्स टिक्की रेसिपी बनाने के लिए सभी सामग्री तैयार कर लें। प्रेशर कुक में 3 आलू डालें, आधे में काट लें और आधा कप पानी डालें। 5 से 6 सीटी आने तक प्रेशर कुक करें और आंच बंद कर दें। प्रेशर को स्वाभाविक रूप से निकलने दें। छिलका उतारें और आलू को"&amp;" मैश करके एक तरफ रख दें। मिक्सर ग्राइंडर में, इंस्टेंट ओट्स डालें और पाउडर बनाकर एक तरफ रख दें। छिलका उतार कर भुनी हुई मूंगफली को मूसल में पीस लें और एक तरफ रख दें। एक बड़े मिक्सिंग बाउल में ब्रोकली, उबले हुए, मसले हुए आलू, हरी मिर्च, लहसुन, पिसा हुआ ओट्स"&amp;", चाट मसाला, गरम मसाला, भुनी हुई मूंगफली और स्वादानुसार नमक डालें। तब तक मिलाएँ जब तक सभी सामग्री अच्छी तरह मिल न जाएँ। मिश्रण को 8 भागों में बाँट लें दोनों तरफ से सुनहरा होने तक पकाएं। एक बार हो जाने पर, आंच से उतार लें और एक सर्विंग बाउल में डालें। ब्रो"&amp;"कली और ओट्स टिक्की रेसिपी को पुदीने की चटनी और अदरक चाय के साथ सर्व करें, यह एक बेहतरीन चाय के समय का नाश्ता है।")</f>
        <v>ब्रोकली पीनट और ओट्स टिक्की रेसिपी बनाने के लिए सभी सामग्री तैयार कर लें। प्रेशर कुक में 3 आलू डालें, आधे में काट लें और आधा कप पानी डालें। 5 से 6 सीटी आने तक प्रेशर कुक करें और आंच बंद कर दें। प्रेशर को स्वाभाविक रूप से निकलने दें। छिलका उतारें और आलू को मैश करके एक तरफ रख दें। मिक्सर ग्राइंडर में, इंस्टेंट ओट्स डालें और पाउडर बनाकर एक तरफ रख दें। छिलका उतार कर भुनी हुई मूंगफली को मूसल में पीस लें और एक तरफ रख दें। एक बड़े मिक्सिंग बाउल में ब्रोकली, उबले हुए, मसले हुए आलू, हरी मिर्च, लहसुन, पिसा हुआ ओट्स, चाट मसाला, गरम मसाला, भुनी हुई मूंगफली और स्वादानुसार नमक डालें। तब तक मिलाएँ जब तक सभी सामग्री अच्छी तरह मिल न जाएँ। मिश्रण को 8 भागों में बाँट लें दोनों तरफ से सुनहरा होने तक पकाएं। एक बार हो जाने पर, आंच से उतार लें और एक सर्विंग बाउल में डालें। ब्रोकली और ओट्स टिक्की रेसिपी को पुदीने की चटनी और अदरक चाय के साथ सर्व करें, यह एक बेहतरीन चाय के समय का नाश्ता है।</v>
      </c>
      <c r="J907" s="3" t="s">
        <v>34591</v>
      </c>
      <c r="L907" s="1" t="s">
        <v>31003</v>
      </c>
    </row>
    <row r="908" spans="1:12" ht="409.6">
      <c r="A908" s="1" t="s">
        <v>34592</v>
      </c>
      <c r="B908" s="1" t="str">
        <f ca="1">IFERROR(__xludf.dummyfunction("IF(A908="""", """", GOOGLETRANSLATE(A908, ""en"", ""hi""))"),"भरवा करेला रेसिपी")</f>
        <v>भरवा करेला रेसिपी</v>
      </c>
      <c r="C908" s="1" t="s">
        <v>429</v>
      </c>
      <c r="D908" s="1" t="s">
        <v>14198</v>
      </c>
      <c r="E908" s="1">
        <v>40</v>
      </c>
      <c r="F908" s="1" t="s">
        <v>34593</v>
      </c>
      <c r="G908" s="1" t="str">
        <f ca="1">IFERROR(__xludf.dummyfunction("IF(F908="""", """", GOOGLETRANSLATE(F908, ""en"", ""hi""))"),"5 करेला, 1 प्याज - बारीक कटा हुआ, 1 चम्मच हल्दी, 1 चम्मच लाल मिर्च पाउडर, 1 चम्मच जीरा, 1 चम्मच नमक, 1 चम्मच धनिया पाउडर, 1 चम्मच आम का अचार, रुई के धागे - गार्ड को बांधने और सुरक्षित करने के लिए, सूरजमुखी तेल - तलने के लिए")</f>
        <v>5 करेला, 1 प्याज - बारीक कटा हुआ, 1 चम्मच हल्दी, 1 चम्मच लाल मिर्च पाउडर, 1 चम्मच जीरा, 1 चम्मच नमक, 1 चम्मच धनिया पाउडर, 1 चम्मच आम का अचार, रुई के धागे - गार्ड को बांधने और सुरक्षित करने के लिए, सूरजमुखी तेल - तलने के लिए</v>
      </c>
      <c r="H908" s="4" t="s">
        <v>34594</v>
      </c>
      <c r="I908" s="1" t="str">
        <f ca="1">IFERROR(__xludf.dummyfunction("IF(H908="""", """", GOOGLETRANSLATE(H908, ""en"", ""hi""))"),"भरवा करेला बनाने के लिए सबसे पहले करेलों को छील लें और कड़वाहट दूर करने के लिए नमक और हल्दी से धो लें और 15-20 मिनट के लिए रख दें। अब मसालेदार मसाला भरने के लिए प्रत्येक करेला पर एक लंबवत कट लगाएं। अगला कदम मसाला तैयार करना है। एक मिक्सिंग बाउल लें और उसम"&amp;"ें हल्दी पाउडर, लाल मिर्च पाउडर, जीरा, धनिया पाउडर, आम का अचार, प्याज और नमक डालें। इसे अच्छे से मिला लें। अब सूखे करेलों में यह तीखा और मसालेदार भरावन भरें। इसके बाद करेला को सूती धागे से लपेटें और चीरा बंद करके अच्छी तरह से सुरक्षित करें। एक कढ़ाई में त"&amp;"ेल गर्म करें और जब तेल पर्याप्त गर्म हो जाए तो भरवां करेले को सावधानी से तेल में डालें। इन्हें भूरा होने तक तलें। एक बार जब यह हो जाए तो धागे को हटा दें")</f>
        <v>भरवा करेला बनाने के लिए सबसे पहले करेलों को छील लें और कड़वाहट दूर करने के लिए नमक और हल्दी से धो लें और 15-20 मिनट के लिए रख दें। अब मसालेदार मसाला भरने के लिए प्रत्येक करेला पर एक लंबवत कट लगाएं। अगला कदम मसाला तैयार करना है। एक मिक्सिंग बाउल लें और उसमें हल्दी पाउडर, लाल मिर्च पाउडर, जीरा, धनिया पाउडर, आम का अचार, प्याज और नमक डालें। इसे अच्छे से मिला लें। अब सूखे करेलों में यह तीखा और मसालेदार भरावन भरें। इसके बाद करेला को सूती धागे से लपेटें और चीरा बंद करके अच्छी तरह से सुरक्षित करें। एक कढ़ाई में तेल गर्म करें और जब तेल पर्याप्त गर्म हो जाए तो भरवां करेले को सावधानी से तेल में डालें। इन्हें भूरा होने तक तलें। एक बार जब यह हो जाए तो धागे को हटा दें</v>
      </c>
      <c r="J908" s="3" t="s">
        <v>34595</v>
      </c>
      <c r="L908" s="1" t="s">
        <v>31003</v>
      </c>
    </row>
    <row r="909" spans="1:12" ht="13.8">
      <c r="A909" s="1" t="s">
        <v>34596</v>
      </c>
      <c r="B909" s="1" t="str">
        <f ca="1">IFERROR(__xludf.dummyfunction("IF(A909="""", """", GOOGLETRANSLATE(A909, ""en"", ""hi""))"),"ढींगरी मटर")</f>
        <v>ढींगरी मटर</v>
      </c>
      <c r="C909" s="1" t="s">
        <v>145</v>
      </c>
      <c r="D909" s="1" t="s">
        <v>14198</v>
      </c>
      <c r="E909" s="1">
        <v>50</v>
      </c>
      <c r="F909" s="1" t="s">
        <v>34597</v>
      </c>
      <c r="G909" s="1" t="str">
        <f ca="1">IFERROR(__xludf.dummyfunction("IF(F909="""", """", GOOGLETRANSLATE(F909, ""en"", ""hi""))"),"400 ग्राम बटन मशरूम, 1/4 कप हरी मटर - उबले हुए, 1 कप सोया चंक्स, 2 कप टमाटर प्यूरी, 1/2 छोटा चम्मच हल्दी पाउडर, 1 छोटा चम्मच गरम मसाला पाउडर, 1/2 छोटा चम्मच लाल मिर्च पाउडर, 4 लहसुन की कलियां, 1 इंच अदरक, 1 बड़ा चम्मच खसखस, 5 काजू, तेल - आवश्यकतानुसार, नम"&amp;"क - स्वादानुसार, 4 टहनियां धनिया पत्ती - बारीक कटी हुई")</f>
        <v>400 ग्राम बटन मशरूम, 1/4 कप हरी मटर - उबले हुए, 1 कप सोया चंक्स, 2 कप टमाटर प्यूरी, 1/2 छोटा चम्मच हल्दी पाउडर, 1 छोटा चम्मच गरम मसाला पाउडर, 1/2 छोटा चम्मच लाल मिर्च पाउडर, 4 लहसुन की कलियां, 1 इंच अदरक, 1 बड़ा चम्मच खसखस, 5 काजू, तेल - आवश्यकतानुसार, नमक - स्वादानुसार, 4 टहनियां धनिया पत्ती - बारीक कटी हुई</v>
      </c>
      <c r="H909" s="1" t="s">
        <v>34598</v>
      </c>
      <c r="I909" s="1" t="str">
        <f ca="1">IFERROR(__xludf.dummyfunction("IF(H909="""", """", GOOGLETRANSLATE(H909, ""en"", ""hi""))"),"""ढींगरी मटर बनाने के लिए सबसे पहले अदरक लहसुन का पेस्ट बनाकर अलग रख लें। अब मिक्सर में खसखस, काजू और थोड़ा पानी डालकर पेस्ट बना लें और अलग रख लें। अब सोया चंक्स को 15 मिनट के लिए गरम पानी में भिगोकर अलग रख दें। अब एक पैन में तेल गर्म करें। इसमें अदरक लहस"&amp;"ुन का पेस्ट डालकर 1 मिनट तक पकाएं। अब इसमें टमाटर प्यूरी, हल्दी पाउडर डालकर 2 मिनट तक पकने दें। अब इसमें मटर, सोया चंक्स, मशरूम डालकर मशरूम के नरम होने तक पकने दें। मशरूम के नरम होने के बाद इसमें गरम मसाला, काजू खसखस ​​का पेस्ट, नमक, लाल मिर्च पाउडर डालकर"&amp;" मिला लें। इसे 5 से 7 मिनट तक पकने दें। गैस बंद कर दें और हरे धनिये से गार्निश करें। ढींगरी मटर को पालक रायता और पुदीने के तवा पराठे के साथ लंच में सर्व करें।""")</f>
        <v>"ढींगरी मटर बनाने के लिए सबसे पहले अदरक लहसुन का पेस्ट बनाकर अलग रख लें। अब मिक्सर में खसखस, काजू और थोड़ा पानी डालकर पेस्ट बना लें और अलग रख लें। अब सोया चंक्स को 15 मिनट के लिए गरम पानी में भिगोकर अलग रख दें। अब एक पैन में तेल गर्म करें। इसमें अदरक लहसुन का पेस्ट डालकर 1 मिनट तक पकाएं। अब इसमें टमाटर प्यूरी, हल्दी पाउडर डालकर 2 मिनट तक पकने दें। अब इसमें मटर, सोया चंक्स, मशरूम डालकर मशरूम के नरम होने तक पकने दें। मशरूम के नरम होने के बाद इसमें गरम मसाला, काजू खसखस ​​का पेस्ट, नमक, लाल मिर्च पाउडर डालकर मिला लें। इसे 5 से 7 मिनट तक पकने दें। गैस बंद कर दें और हरे धनिये से गार्निश करें। ढींगरी मटर को पालक रायता और पुदीने के तवा पराठे के साथ लंच में सर्व करें।"</v>
      </c>
      <c r="J909" s="3" t="s">
        <v>34599</v>
      </c>
      <c r="L909" s="1" t="s">
        <v>31003</v>
      </c>
    </row>
    <row r="910" spans="1:12" ht="13.8">
      <c r="A910" s="1" t="s">
        <v>34600</v>
      </c>
      <c r="B910" s="1" t="str">
        <f ca="1">IFERROR(__xludf.dummyfunction("IF(A910="""", """", GOOGLETRANSLATE(A910, ""en"", ""hi""))"),"हरी मटर, आलू और पनीर टिक्की रेसिपी")</f>
        <v>हरी मटर, आलू और पनीर टिक्की रेसिपी</v>
      </c>
      <c r="C910" s="1" t="s">
        <v>14281</v>
      </c>
      <c r="D910" s="1" t="s">
        <v>14198</v>
      </c>
      <c r="E910" s="1">
        <v>45</v>
      </c>
      <c r="F910" s="1" t="s">
        <v>34601</v>
      </c>
      <c r="G910" s="1" t="str">
        <f ca="1">IFERROR(__xludf.dummyfunction("IF(F910="""", """", GOOGLETRANSLATE(F910, ""en"", ""hi""))"),"3 बड़े चम्मच सूरजमुखी तेल, 3 आलू - उबले और मसले हुए, 100 ग्राम पनीर - कसा हुआ, 3/4 कप हरी मटर (मटर) - उबले हुए, 1 प्याज - बारीक कटा हुआ, 1/2 कप इंस्टेंट ओट्स (दलिया), 1 इंच अदरक - कसा हुआ, 2 हरी मिर्च - बारीक कटी हुई, 2 टहनी धनिया (धनिया) के पत्ते - बारीक"&amp;" कटे हुए, 1/2 चम्मच जीरा पाउडर (जीरा), 1/2 चम्मच लाल मिर्च पाउडर, 1 चम्मच चाट मसाला पाउडर, नमक - स्वादानुसार")</f>
        <v>3 बड़े चम्मच सूरजमुखी तेल, 3 आलू - उबले और मसले हुए, 100 ग्राम पनीर - कसा हुआ, 3/4 कप हरी मटर (मटर) - उबले हुए, 1 प्याज - बारीक कटा हुआ, 1/2 कप इंस्टेंट ओट्स (दलिया), 1 इंच अदरक - कसा हुआ, 2 हरी मिर्च - बारीक कटी हुई, 2 टहनी धनिया (धनिया) के पत्ते - बारीक कटे हुए, 1/2 चम्मच जीरा पाउडर (जीरा), 1/2 चम्मच लाल मिर्च पाउडर, 1 चम्मच चाट मसाला पाउडर, नमक - स्वादानुसार</v>
      </c>
      <c r="H910" s="1" t="s">
        <v>34602</v>
      </c>
      <c r="I910" s="1" t="str">
        <f ca="1">IFERROR(__xludf.dummyfunction("IF(H910="""", """", GOOGLETRANSLATE(H910, ""en"", ""hi""))"),"हरी मटर, आलू और पनीर टिक्की रेसिपी बनाने के लिए सबसे पहले तेल को छोड़कर सभी सामग्री को एक बड़े मिक्सिंग बाउल में मिला लें। सभी सामग्री को अच्छे से मिला लें, हरी मटर को हाथ से हल्का मसल लें। नमक और मसाले की मात्रा जांच लें और अपने स्वादानुसार मिला लें। अगल"&amp;"ा कदम टिक्कियों को मध्यम आकार के डिस्क में आकार देना है। हरी मटर आलू पनीर टिक्की मिश्रण को बराबर आकार के भागों में विभाजित करें और उन्हें 1/2 इंच मोटी डिस्क में आकार दें। एक बार जब आप उन्हें डिस्क में आकार दे देते हैं, तो अगला कदम टिक्कियों को पकाना है। ए"&amp;"क बड़े कड़ाही या पैन में तेल गरम करें और टिक्कियों को 10-12 मिनट के लिए दोनों तरफ से सुनहरा भूरा होने तक तल लें हरी मटर, आलू और पनीर की टिक्की को एक सर्विंग प्लेट पर सजाएँ और इसे हरी चटनी और खजूर इमली की चटनी के साथ दिवाली जैसे त्यौहारों या पार्टियों में "&amp;"ऐपेटाइज़र के रूप में परोसें। हरी मटर, आलू और पनीर की टिक्की को टेटली लेमन और हनी ग्रीन टी के साथ परोसें और हल्का, फिट और स्वस्थ रहें।")</f>
        <v>हरी मटर, आलू और पनीर टिक्की रेसिपी बनाने के लिए सबसे पहले तेल को छोड़कर सभी सामग्री को एक बड़े मिक्सिंग बाउल में मिला लें। सभी सामग्री को अच्छे से मिला लें, हरी मटर को हाथ से हल्का मसल लें। नमक और मसाले की मात्रा जांच लें और अपने स्वादानुसार मिला लें। अगला कदम टिक्कियों को मध्यम आकार के डिस्क में आकार देना है। हरी मटर आलू पनीर टिक्की मिश्रण को बराबर आकार के भागों में विभाजित करें और उन्हें 1/2 इंच मोटी डिस्क में आकार दें। एक बार जब आप उन्हें डिस्क में आकार दे देते हैं, तो अगला कदम टिक्कियों को पकाना है। एक बड़े कड़ाही या पैन में तेल गरम करें और टिक्कियों को 10-12 मिनट के लिए दोनों तरफ से सुनहरा भूरा होने तक तल लें हरी मटर, आलू और पनीर की टिक्की को एक सर्विंग प्लेट पर सजाएँ और इसे हरी चटनी और खजूर इमली की चटनी के साथ दिवाली जैसे त्यौहारों या पार्टियों में ऐपेटाइज़र के रूप में परोसें। हरी मटर, आलू और पनीर की टिक्की को टेटली लेमन और हनी ग्रीन टी के साथ परोसें और हल्का, फिट और स्वस्थ रहें।</v>
      </c>
      <c r="J910" s="3" t="s">
        <v>34603</v>
      </c>
      <c r="L910" s="1" t="s">
        <v>31003</v>
      </c>
    </row>
    <row r="911" spans="1:12" ht="409.6">
      <c r="A911" s="1" t="s">
        <v>34604</v>
      </c>
      <c r="B911" s="1" t="str">
        <f ca="1">IFERROR(__xludf.dummyfunction("IF(A911="""", """", GOOGLETRANSLATE(A911, ""en"", ""hi""))"),"लौकी थेपला रेसिपी")</f>
        <v>लौकी थेपला रेसिपी</v>
      </c>
      <c r="C911" s="1" t="s">
        <v>16424</v>
      </c>
      <c r="D911" s="1" t="s">
        <v>14198</v>
      </c>
      <c r="E911" s="1">
        <v>50</v>
      </c>
      <c r="F911" s="1" t="s">
        <v>34605</v>
      </c>
      <c r="G911" s="1" t="str">
        <f ca="1">IFERROR(__xludf.dummyfunction("IF(F911="""", """", GOOGLETRANSLATE(F911, ""en"", ""hi""))"),"1-1/2 कप गेहूं का आटा, 1/2 कप बेसन, 1 कप लौकी - छीलकर कद्दूकस की हुई, 1 हरी मिर्च - बारीक कटी हुई, 2 बड़े चम्मच धनिया - बारीक कटी हुई, 1 इंच अदरक - छीलकर पेस्ट बना लें, 1/2 छोटा चम्मच हल्दी, 2 छोटे चम्मच लाल मिर्च पाउडर, 1 छोटा चम्मच गरम मसाला पाउडर, 2 बड"&amp;"़े चम्मच दही, 2 बड़े चम्मच घी, नमक - स्वादानुसार")</f>
        <v>1-1/2 कप गेहूं का आटा, 1/2 कप बेसन, 1 कप लौकी - छीलकर कद्दूकस की हुई, 1 हरी मिर्च - बारीक कटी हुई, 2 बड़े चम्मच धनिया - बारीक कटी हुई, 1 इंच अदरक - छीलकर पेस्ट बना लें, 1/2 छोटा चम्मच हल्दी, 2 छोटे चम्मच लाल मिर्च पाउडर, 1 छोटा चम्मच गरम मसाला पाउडर, 2 बड़े चम्मच दही, 2 बड़े चम्मच घी, नमक - स्वादानुसार</v>
      </c>
      <c r="H911" s="4" t="s">
        <v>34606</v>
      </c>
      <c r="I911" s="1" t="str">
        <f ca="1">IFERROR(__xludf.dummyfunction("IF(H911="""", """", GOOGLETRANSLATE(H911, ""en"", ""hi""))"),"लौकी थेपला रेसिपी बनाने के लिए सबसे पहले एक मिक्सिंग बाउल में गेहूं का आटा, बेसन, हल्दी पाउडर, लाल मिर्च पाउडर, कटी हरी मिर्च, अदरक का पेस्ट, गरम मसाला, स्वादानुसार नमक और कद्दूकस की हुई लौकी डालें। सारी चीजों को उंगलियों से मिला लें। तब तक मिलाते रहें जब"&amp;" तक सख्त आटा न बन जाए। जरूरत हो तो ही दही डालें। आमतौर पर लौकी पानी छोड़ती है। लेकिन अगर आटा ज्यादा सूखा लगे तो थोड़ा-थोड़ा करके दही डालते रहें और सख्त आटा गूंथ लें। आटे को ठंडा न होने दें क्योंकि इसमें लौकी पानी छोड़ देगी और आटा चिपचिपा बना देगी। बराबर आ"&amp;"कार की लोइयां बना लें। चकले पर मैदा छिड़कें। आटे की लोइयों को चपटा करें और पतले थेपले बेल लें। इन्हें मोटा न करें। तवा गरम करें, 1 चम्मच घी लगाएं। थेपले को दोनों तरफ घी लगाकर तल लें। जब थेपले भूरे हो जाएं तो समझिए ये पक गए हैं। थेपले को नरम रखने के लिए उन"&amp;" पर और घी/तेल लगाएं। अपने सप्ताह के दिनों के नाश्ते में लौकी थेपला को आम का अचार और फिल्टर कॉफी के साथ परोसें।")</f>
        <v>लौकी थेपला रेसिपी बनाने के लिए सबसे पहले एक मिक्सिंग बाउल में गेहूं का आटा, बेसन, हल्दी पाउडर, लाल मिर्च पाउडर, कटी हरी मिर्च, अदरक का पेस्ट, गरम मसाला, स्वादानुसार नमक और कद्दूकस की हुई लौकी डालें। सारी चीजों को उंगलियों से मिला लें। तब तक मिलाते रहें जब तक सख्त आटा न बन जाए। जरूरत हो तो ही दही डालें। आमतौर पर लौकी पानी छोड़ती है। लेकिन अगर आटा ज्यादा सूखा लगे तो थोड़ा-थोड़ा करके दही डालते रहें और सख्त आटा गूंथ लें। आटे को ठंडा न होने दें क्योंकि इसमें लौकी पानी छोड़ देगी और आटा चिपचिपा बना देगी। बराबर आकार की लोइयां बना लें। चकले पर मैदा छिड़कें। आटे की लोइयों को चपटा करें और पतले थेपले बेल लें। इन्हें मोटा न करें। तवा गरम करें, 1 चम्मच घी लगाएं। थेपले को दोनों तरफ घी लगाकर तल लें। जब थेपले भूरे हो जाएं तो समझिए ये पक गए हैं। थेपले को नरम रखने के लिए उन पर और घी/तेल लगाएं। अपने सप्ताह के दिनों के नाश्ते में लौकी थेपला को आम का अचार और फिल्टर कॉफी के साथ परोसें।</v>
      </c>
      <c r="J911" s="3" t="s">
        <v>34607</v>
      </c>
      <c r="L911" s="1" t="s">
        <v>31003</v>
      </c>
    </row>
    <row r="912" spans="1:12" ht="409.6">
      <c r="A912" s="1" t="s">
        <v>34608</v>
      </c>
      <c r="B912" s="1" t="str">
        <f ca="1">IFERROR(__xludf.dummyfunction("IF(A912="""", """", GOOGLETRANSLATE(A912, ""en"", ""hi""))"),"पंच फोरन मसाला के साथ खजूर इमली की चटनी रेसिपी")</f>
        <v>पंच फोरन मसाला के साथ खजूर इमली की चटनी रेसिपी</v>
      </c>
      <c r="C912" s="1" t="s">
        <v>14207</v>
      </c>
      <c r="D912" s="1" t="s">
        <v>14198</v>
      </c>
      <c r="E912" s="1">
        <v>90</v>
      </c>
      <c r="F912" s="1" t="s">
        <v>34609</v>
      </c>
      <c r="G912" s="1" t="str">
        <f ca="1">IFERROR(__xludf.dummyfunction("IF(F912="""", """", GOOGLETRANSLATE(F912, ""en"", ""hi""))"),"250 ग्राम खजूर - बीज रहित, 75 ग्राम इमली - बीज रहित, 4 बड़े चम्मच गुड़ - टुकडे़ करके, 1 बड़ा चम्मच सूरजमुखी तेल, 4 सूखी लाल मिर्च, 1 बड़ा चम्मच पंच फोरन मसाला, नमक - स्वादानुसार")</f>
        <v>250 ग्राम खजूर - बीज रहित, 75 ग्राम इमली - बीज रहित, 4 बड़े चम्मच गुड़ - टुकडे़ करके, 1 बड़ा चम्मच सूरजमुखी तेल, 4 सूखी लाल मिर्च, 1 बड़ा चम्मच पंच फोरन मसाला, नमक - स्वादानुसार</v>
      </c>
      <c r="H912" s="4" t="s">
        <v>34610</v>
      </c>
      <c r="I912" s="1" t="str">
        <f ca="1">IFERROR(__xludf.dummyfunction("IF(H912="""", """", GOOGLETRANSLATE(H912, ""en"", ""hi""))"),"खजूर इमली की चटनी बनाने के लिए सबसे पहले इमली को लगभग 1 घंटे के लिए पर्याप्त पानी में भिगोएँ और उसका गूदा पानी निकाल लें। सारी गंदगी को अच्छी तरह से निकाल दें। एक अलग कटोरे में गुड़ को लगभग एक घंटे के लिए भिगो दें। कांटे से मसलें और छलनी से छान लें, सारी "&amp;"गंदगी को निकाल दें और पिघले हुए गुड़ को एक कटोरे में निकाल लें। एक ब्लेंडर जार में खजूर लें और बहुत कम पानी डालकर गाढ़ा पेस्ट बना लें। एक कड़ाही गरम करें और उसमें इमली का गूदा पानी डालकर उबलने दें। जब इमली उबलने लगे तो उसमें मसला हुआ गुड़, खजूर का पेस्ट औ"&amp;"र नमक डालें और अच्छी तरह मिलाएँ। ज़रूरत के हिसाब से गाढ़ापन बदलें। अगर आप चाहते हैं कि आपकी चटनी पतली और पतली हो तो आप थोड़ा पानी मिला सकते हैं या फिर मनचाहा गाढ़ापन आने तक पकाएँ। एक अलग पैन में तेल गरम करें और उसमें सूखी लाल मिर्च और पंच फोरन डालें। उन्ह"&amp;"ें चटकने दें। तड़के को चटनी में डालें, गैस बंद कर दें और इसे पूरी तरह से ठंडा होने दें। चटनी के ठंडा होने के बाद, इसे साफ और सूखे एयर टाइट जार में इकट्ठा करें। चटनी को फ्रिज में रखने पर महीनों तक अच्छा रहता है और गीले या नम चम्मच का उपयोग करने से बचें। खज"&amp;"ूर इमली की चटनी पंच फोरन मसाला रेसिपी के साथ समोसे के साथ परोसें या चाट में इसका इस्तेमाल करें।")</f>
        <v>खजूर इमली की चटनी बनाने के लिए सबसे पहले इमली को लगभग 1 घंटे के लिए पर्याप्त पानी में भिगोएँ और उसका गूदा पानी निकाल लें। सारी गंदगी को अच्छी तरह से निकाल दें। एक अलग कटोरे में गुड़ को लगभग एक घंटे के लिए भिगो दें। कांटे से मसलें और छलनी से छान लें, सारी गंदगी को निकाल दें और पिघले हुए गुड़ को एक कटोरे में निकाल लें। एक ब्लेंडर जार में खजूर लें और बहुत कम पानी डालकर गाढ़ा पेस्ट बना लें। एक कड़ाही गरम करें और उसमें इमली का गूदा पानी डालकर उबलने दें। जब इमली उबलने लगे तो उसमें मसला हुआ गुड़, खजूर का पेस्ट और नमक डालें और अच्छी तरह मिलाएँ। ज़रूरत के हिसाब से गाढ़ापन बदलें। अगर आप चाहते हैं कि आपकी चटनी पतली और पतली हो तो आप थोड़ा पानी मिला सकते हैं या फिर मनचाहा गाढ़ापन आने तक पकाएँ। एक अलग पैन में तेल गरम करें और उसमें सूखी लाल मिर्च और पंच फोरन डालें। उन्हें चटकने दें। तड़के को चटनी में डालें, गैस बंद कर दें और इसे पूरी तरह से ठंडा होने दें। चटनी के ठंडा होने के बाद, इसे साफ और सूखे एयर टाइट जार में इकट्ठा करें। चटनी को फ्रिज में रखने पर महीनों तक अच्छा रहता है और गीले या नम चम्मच का उपयोग करने से बचें। खजूर इमली की चटनी पंच फोरन मसाला रेसिपी के साथ समोसे के साथ परोसें या चाट में इसका इस्तेमाल करें।</v>
      </c>
      <c r="J912" s="3" t="s">
        <v>34611</v>
      </c>
      <c r="L912" s="1" t="s">
        <v>31003</v>
      </c>
    </row>
    <row r="913" spans="1:12" ht="13.8">
      <c r="A913" s="1" t="s">
        <v>34612</v>
      </c>
      <c r="B913" s="1" t="str">
        <f ca="1">IFERROR(__xludf.dummyfunction("IF(A913="""", """", GOOGLETRANSLATE(A913, ""en"", ""hi""))"),"लिलवे की सब्जी")</f>
        <v>लिलवे की सब्जी</v>
      </c>
      <c r="C913" s="1" t="s">
        <v>145</v>
      </c>
      <c r="D913" s="1" t="s">
        <v>14198</v>
      </c>
      <c r="E913" s="1">
        <v>60</v>
      </c>
      <c r="F913" s="1" t="s">
        <v>34613</v>
      </c>
      <c r="G913" s="1" t="str">
        <f ca="1">IFERROR(__xludf.dummyfunction("IF(F913="""", """", GOOGLETRANSLATE(F913, ""en"", ""hi""))"),"तेल - आवश्यकतानुसार, 1 कप मूंग दाल - या लिलवा, 1 आलू - कटा हुआ, 1 तेज पत्ता, 2 लौंग, 1 बड़ी इलायची, 1 बड़ा चम्मच अदरक लहसुन का पेस्ट, 2 बड़े चम्मच दही, 1 प्याज - पेस्ट बना लें, 1 प्याज - बारीक कटा हुआ, 1 छोटा चम्मच लाल मिर्च पाउडर, 3/4 छोटा चम्मच हल्दी पा"&amp;"उडर, 1 छोटा चम्मच धनिया पाउडर, नमक - आवश्यकतानुसार, पानी - आवश्यकतानुसार, 3 धनिया की टहनियाँ - बारीक कटी हुई")</f>
        <v>तेल - आवश्यकतानुसार, 1 कप मूंग दाल - या लिलवा, 1 आलू - कटा हुआ, 1 तेज पत्ता, 2 लौंग, 1 बड़ी इलायची, 1 बड़ा चम्मच अदरक लहसुन का पेस्ट, 2 बड़े चम्मच दही, 1 प्याज - पेस्ट बना लें, 1 प्याज - बारीक कटा हुआ, 1 छोटा चम्मच लाल मिर्च पाउडर, 3/4 छोटा चम्मच हल्दी पाउडर, 1 छोटा चम्मच धनिया पाउडर, नमक - आवश्यकतानुसार, पानी - आवश्यकतानुसार, 3 धनिया की टहनियाँ - बारीक कटी हुई</v>
      </c>
      <c r="H913" s="1" t="s">
        <v>34614</v>
      </c>
      <c r="I913" s="1" t="str">
        <f ca="1">IFERROR(__xludf.dummyfunction("IF(H913="""", """", GOOGLETRANSLATE(H913, ""en"", ""hi""))"),"""लिल्वे की सब्जी बनाने के लिए सबसे पहले एक पैन में तेल गर्म करें। तेल गर्म होने के बाद इसमें तेजपत्ता, लौंग और इलायची डालें। 15 सेकंड के बाद इसमें प्याज़ डालें और नरम होने तक पकाएँ। अब इसमें आलू डालें और 5 मिनट तक पकाएँ। 5 मिनट के बाद इसमें अदरक लहसुन और"&amp;" प्याज़ का पेस्ट डालें। इसे 2 से 3 मिनट तक पकने दें। 3 मिनट के बाद इसमें लाल मिर्च पाउडर, हल्दी पाउडर और धनिया पाउडर डालें। 2 मिनट तक पकाने के बाद इसमें दही, नमक डालें और मिलाएँ। 3 मिनट के बाद इसमें मूंग दाल डालें। मिलाएँ, पैन को ढक दें और 5 मिनट तक पकने "&amp;"दें। 5 मिनट के बाद इसमें आवश्यकतानुसार पानी डालें और पकने दें। 4 से 5 मिनट के बाद गैस बंद कर दें और हरे धनिये से गार्निश करें। लंच में पंचमेल दाल, बूंदी रायता और फुल्के के साथ लिल्वे की सब्जी परोसें।""")</f>
        <v>"लिल्वे की सब्जी बनाने के लिए सबसे पहले एक पैन में तेल गर्म करें। तेल गर्म होने के बाद इसमें तेजपत्ता, लौंग और इलायची डालें। 15 सेकंड के बाद इसमें प्याज़ डालें और नरम होने तक पकाएँ। अब इसमें आलू डालें और 5 मिनट तक पकाएँ। 5 मिनट के बाद इसमें अदरक लहसुन और प्याज़ का पेस्ट डालें। इसे 2 से 3 मिनट तक पकने दें। 3 मिनट के बाद इसमें लाल मिर्च पाउडर, हल्दी पाउडर और धनिया पाउडर डालें। 2 मिनट तक पकाने के बाद इसमें दही, नमक डालें और मिलाएँ। 3 मिनट के बाद इसमें मूंग दाल डालें। मिलाएँ, पैन को ढक दें और 5 मिनट तक पकने दें। 5 मिनट के बाद इसमें आवश्यकतानुसार पानी डालें और पकने दें। 4 से 5 मिनट के बाद गैस बंद कर दें और हरे धनिये से गार्निश करें। लंच में पंचमेल दाल, बूंदी रायता और फुल्के के साथ लिल्वे की सब्जी परोसें।"</v>
      </c>
      <c r="J913" s="3" t="s">
        <v>34615</v>
      </c>
      <c r="L913" s="1" t="s">
        <v>31003</v>
      </c>
    </row>
    <row r="914" spans="1:12" ht="13.8">
      <c r="A914" s="1" t="s">
        <v>34616</v>
      </c>
      <c r="B914" s="1" t="str">
        <f ca="1">IFERROR(__xludf.dummyfunction("IF(A914="""", """", GOOGLETRANSLATE(A914, ""en"", ""hi""))"),"पालक के साथ तले हुए आलू")</f>
        <v>पालक के साथ तले हुए आलू</v>
      </c>
      <c r="C914" s="1" t="s">
        <v>145</v>
      </c>
      <c r="D914" s="1" t="s">
        <v>14198</v>
      </c>
      <c r="E914" s="1">
        <v>50</v>
      </c>
      <c r="F914" s="1" t="s">
        <v>34617</v>
      </c>
      <c r="G914" s="1" t="str">
        <f ca="1">IFERROR(__xludf.dummyfunction("IF(F914="""", """", GOOGLETRANSLATE(F914, ""en"", ""hi""))"),"3 आलू - उबले और कटे हुए, 500 ग्राम पालक - धुला और कटा हुआ, 1 प्याज - पतला कटा हुआ, अदरक - छोटा टुकड़ा, 2 टमाटर - बारीक कटे हुए, 1 छोटा चम्मच हल्दी पाउडर - हल्दी पाउडर, 1 छोटा चम्मच लाल मिर्च पाउडर, 1/4 छोटा चम्मच दालचीनी पाउडर, 1/4 छोटा चम्मच गरम मसाला पा"&amp;"उडर, 1/2 छोटा चम्मच जीरा, तेल - प्रयोगानुसार, नमक - स्वादानुसार")</f>
        <v>3 आलू - उबले और कटे हुए, 500 ग्राम पालक - धुला और कटा हुआ, 1 प्याज - पतला कटा हुआ, अदरक - छोटा टुकड़ा, 2 टमाटर - बारीक कटे हुए, 1 छोटा चम्मच हल्दी पाउडर - हल्दी पाउडर, 1 छोटा चम्मच लाल मिर्च पाउडर, 1/4 छोटा चम्मच दालचीनी पाउडर, 1/4 छोटा चम्मच गरम मसाला पाउडर, 1/2 छोटा चम्मच जीरा, तेल - प्रयोगानुसार, नमक - स्वादानुसार</v>
      </c>
      <c r="H914" s="1" t="s">
        <v>34618</v>
      </c>
      <c r="I914" s="1" t="str">
        <f ca="1">IFERROR(__xludf.dummyfunction("IF(H914="""", """", GOOGLETRANSLATE(H914, ""en"", ""hi""))"),"""आलू पालक की सब्जी बनाने के लिए सबसे पहले हम पालक को अलग से पका लेंगे। एक पैन में तेल गर्म करें। उसमें पालक और नमक डालें और पालक के पकने तक पकाएँ। जब पालक पक जाए तो उसमें से पानी निकल जाता है। इसलिए इसे तेज़ आंच पर पकाएँ ताकि पानी सूख जाए। पानी सूख जाने "&amp;"के बाद गैस बंद कर दें और पालक को अलग रख दें। उसी पैन में फिर से तेल गर्म करें। उसमें जीरा, अदरक, प्याज़ डालें और प्याज़ को सुनहरा होने तक पकाएँ। प्याज़ के सुनहरा होने के बाद उबले हुए आलू, नमक डालें और 2 से 4 मिनट तक पकने दें। 2 से 4 मिनट बाद टमाटर, हल्दी "&amp;"पाउडर, लाल मिर्च पाउडर, दालचीनी पाउडर, गरम मसाला पाउडर और नमक डालें। सभी चीजों को अच्छे से मिलाएँ। 4 से 5 मिनट तक पकाएँ और फिर उसमें पका हुआ पालक डालें। पैन को ढक दें और 3 से 5 मिनट तक पकने दें। इसके बाद इसे एक सर्विंग बाउल में निकाल लें और गरमागरम सर्व क"&amp;"रें।""")</f>
        <v>"आलू पालक की सब्जी बनाने के लिए सबसे पहले हम पालक को अलग से पका लेंगे। एक पैन में तेल गर्म करें। उसमें पालक और नमक डालें और पालक के पकने तक पकाएँ। जब पालक पक जाए तो उसमें से पानी निकल जाता है। इसलिए इसे तेज़ आंच पर पकाएँ ताकि पानी सूख जाए। पानी सूख जाने के बाद गैस बंद कर दें और पालक को अलग रख दें। उसी पैन में फिर से तेल गर्म करें। उसमें जीरा, अदरक, प्याज़ डालें और प्याज़ को सुनहरा होने तक पकाएँ। प्याज़ के सुनहरा होने के बाद उबले हुए आलू, नमक डालें और 2 से 4 मिनट तक पकने दें। 2 से 4 मिनट बाद टमाटर, हल्दी पाउडर, लाल मिर्च पाउडर, दालचीनी पाउडर, गरम मसाला पाउडर और नमक डालें। सभी चीजों को अच्छे से मिलाएँ। 4 से 5 मिनट तक पकाएँ और फिर उसमें पका हुआ पालक डालें। पैन को ढक दें और 3 से 5 मिनट तक पकने दें। इसके बाद इसे एक सर्विंग बाउल में निकाल लें और गरमागरम सर्व करें।"</v>
      </c>
      <c r="J914" s="3" t="s">
        <v>34619</v>
      </c>
      <c r="L914" s="1" t="s">
        <v>31003</v>
      </c>
    </row>
    <row r="915" spans="1:12" ht="13.8">
      <c r="A915" s="1" t="s">
        <v>34620</v>
      </c>
      <c r="B915" s="1" t="str">
        <f ca="1">IFERROR(__xludf.dummyfunction("IF(A915="""", """", GOOGLETRANSLATE(A915, ""en"", ""hi""))"),"आलू कुल्चा रेसिपी (मसालेदार आलू भरवां भारतीय चपटी रोटी)")</f>
        <v>आलू कुल्चा रेसिपी (मसालेदार आलू भरवां भारतीय चपटी रोटी)</v>
      </c>
      <c r="C915" s="1" t="s">
        <v>429</v>
      </c>
      <c r="D915" s="1" t="s">
        <v>14198</v>
      </c>
      <c r="E915" s="1">
        <v>60</v>
      </c>
      <c r="F915" s="1" t="s">
        <v>34621</v>
      </c>
      <c r="G915" s="1" t="str">
        <f ca="1">IFERROR(__xludf.dummyfunction("IF(F915="""", """", GOOGLETRANSLATE(F915, ""en"", ""hi""))"),"3 कप मैदा, 3 बड़े चम्मच हंग कर्ड (ग्रीक योगर्ट), 1/3 छोटा चम्मच बेकिंग सोडा, 1/2 छोटा चम्मच बेकिंग पाउडर, 1 छोटा चम्मच चीनी, 1 बड़ा चम्मच सूरजमुखी तेल, नमक - स्वादानुसार, गुनगुना पानी - आवश्यकतानुसार, 4 आलू - उबले और छिलके उतारे हुए, 1/2 छोटा चम्मच नमक, 2"&amp;" हरी मिर्च - बारीक कटी हुई, 1 इंच अदरक - कद्दूकस किया हुआ, 1/2 छोटा चम्मच चाट मसाला पाउडर, 1/2 छोटा चम्मच लाल मिर्च पाउडर, 1/2 छोटा चम्मच जीरा पाउडर, 1 छोटा चम्मच धनिया पाउडर, 1/4 छोटा चम्मच गरम मसाला पाउडर, 1/4 कप धनिया पत्ते - बारीक कटे हुए, 1 छोटा चम्म"&amp;"च अजवाइन, 1/2 कप घी - (समायोजित करें)")</f>
        <v>3 कप मैदा, 3 बड़े चम्मच हंग कर्ड (ग्रीक योगर्ट), 1/3 छोटा चम्मच बेकिंग सोडा, 1/2 छोटा चम्मच बेकिंग पाउडर, 1 छोटा चम्मच चीनी, 1 बड़ा चम्मच सूरजमुखी तेल, नमक - स्वादानुसार, गुनगुना पानी - आवश्यकतानुसार, 4 आलू - उबले और छिलके उतारे हुए, 1/2 छोटा चम्मच नमक, 2 हरी मिर्च - बारीक कटी हुई, 1 इंच अदरक - कद्दूकस किया हुआ, 1/2 छोटा चम्मच चाट मसाला पाउडर, 1/2 छोटा चम्मच लाल मिर्च पाउडर, 1/2 छोटा चम्मच जीरा पाउडर, 1 छोटा चम्मच धनिया पाउडर, 1/4 छोटा चम्मच गरम मसाला पाउडर, 1/4 कप धनिया पत्ते - बारीक कटे हुए, 1 छोटा चम्मच अजवाइन, 1/2 कप घी - (समायोजित करें)</v>
      </c>
      <c r="H915" s="1" t="s">
        <v>34622</v>
      </c>
      <c r="I915" s="1" t="str">
        <f ca="1">IFERROR(__xludf.dummyfunction("IF(H915="""", """", GOOGLETRANSLATE(H915, ""en"", ""hi""))"),"आलू कुलचा रेसिपी बनाने के लिए सबसे पहले आटा गूंथ लें। ऐसा करने के लिए, मैदा, बेकिंग सोडा, बेकिंग पाउडर, नमक और चीनी को एक साथ छान लें। इसमें दही और तेल डालें। इसे अपनी उंगलियों से मिलाएँ। इसके बाद, आटे को गूंथते समय थोड़ा-थोड़ा करके गुनगुना पानी डालें। आट"&amp;"े को दबाएँ, दबाएँ और खींचें और इसे लगातार गूंथते रहें जब तक कि यह सख्त, लेकिन नरम आटा न बन जाए। कम से कम 5 से 7 मिनट तक अच्छी तरह गूंथें ताकि आटा चिकना हो जाए। आटे पर थोड़ा सा तेल लगाएँ और इसे गीले तौलिये से ढक दें। इसे 3 से 4 घंटे के लिए गर्म जगह पर रख द"&amp;"ें ताकि यह थोड़ा फूल जाए। अगर आप ठंडी जगह पर रहते हैं, तो आप इसे अभी-अभी गर्म हुए ओवन में भी कर सकते हैं। इस बीच, कुलचा के लिए स्टफिंग तैयार करें। उबले और छिले हुए आलू को एक मिक्सिंग बाउल में मैश कर लें। नमक, हरी मिर्च, धनिया पाउडर, जीरा पाउडर, कसा हुआ अद"&amp;"रक, चाट मसाला, लाल मिर्च पाउडर, गरम मसाला, धनिया पत्ती डालें और अपनी उंगलियों से अच्छी तरह मिलाएँ जब तक कि यह एक समान रूप से मिश्रित आलू मिश्रण न बन जाए। अब, आलू कुल्चा तैयार करने के लिए, आटे को थोड़े से आटे से धूले हुए काम की सतह पर रखें। इसे 3-4 मिनट तक"&amp;" गूंधें, फिर आटे को एक लंबे सिलेंडर में रोल करें और इसे 8 अलग-अलग भागों में काट लें। भागों को एक गेंद में रोल करें। एक बार में एक गेंद लेते हुए, इसे अपनी उंगलियों से चपटा करके लगभग 3 इंच व्यास का एक छोटा सा डिस्क बनाएं। मसालेदार आलू का एक चम्मच लें, इसे ड"&amp;"िस्क के बीच में रखें। डिकोड के किनारों को बीच में लाएँ और एक भरा हुआ आटा बॉल बनाने के लिए अंदर भरा हुआ सील करें। इसे अपनी हथेली से थोड़ा सा चपटा करें, और धूलने के लिए थोड़ा सा आटा इस्तेमाल करते हुए, इसे रोलिंग पिन से धीरे से रोल करें और लगभग 5 इंच व्यास क"&amp;"ा पतला गोल बनाएं। कुलचा आम चपाती की तुलना में थोड़ा मोटा होगा क्योंकि इसमें भराई होती है। ध्यान रखें कि भराई कुलचे से बाहर न निकले। इसके बाद, अपनी हथेलियों को थोड़े से पानी से गीला करें और कुलचे के एक तरफ़ थपथपाएँ। इस पर चुटकी भर अजवाइन और कटा हुआ हरा धनि"&amp;"या छिड़कें और दबाएँ ताकि वे कुलचे से चिपक जाएँ। मध्यम आँच पर एक कड़ाही या तवा गरम करें। जब यह पर्याप्त गर्म हो जाए, तो कुलचे को इस पर गीला भाग नीचे करके रखें। अब, अपनी हथेलियों को फिर से गीला करें और दूसरी तरफ़ थपथपाएँ क्योंकि कुलचा मध्यम आँच पर पक रहा है"&amp;"। दूसरी तरफ़ भी अजवाइन और कटा हुआ हरा धनिया छिड़कें। जब सतह पर छोटे बुलबुले बनने लगें, तो कुलचे को पलट दें और दूसरी तरफ़ से पकाएँ। जब तक दोनों तरफ समान रूप से भूरा न हो जाए तब तक दोहराएं। जब आप कुल्चा को तवे से उतार लें, तो उस पर उदारतापूर्वक मक्खन या घी "&amp;"लगाएं और परोसने के लिए उन्हें एक साथ रख दें। बाकी बनी हुई रोटियों के लिए भी यही प्रक्रिया दोहराएं और सभी कुल्चे पक जाएं। एक त्वरित पौष्टिक दोपहर के भोजन या रात के खाने के लिए छोले पिंडी और एक साधारण मूली रायता या सलाद के साथ गरम परोसें।")</f>
        <v>आलू कुलचा रेसिपी बनाने के लिए सबसे पहले आटा गूंथ लें। ऐसा करने के लिए, मैदा, बेकिंग सोडा, बेकिंग पाउडर, नमक और चीनी को एक साथ छान लें। इसमें दही और तेल डालें। इसे अपनी उंगलियों से मिलाएँ। इसके बाद, आटे को गूंथते समय थोड़ा-थोड़ा करके गुनगुना पानी डालें। आटे को दबाएँ, दबाएँ और खींचें और इसे लगातार गूंथते रहें जब तक कि यह सख्त, लेकिन नरम आटा न बन जाए। कम से कम 5 से 7 मिनट तक अच्छी तरह गूंथें ताकि आटा चिकना हो जाए। आटे पर थोड़ा सा तेल लगाएँ और इसे गीले तौलिये से ढक दें। इसे 3 से 4 घंटे के लिए गर्म जगह पर रख दें ताकि यह थोड़ा फूल जाए। अगर आप ठंडी जगह पर रहते हैं, तो आप इसे अभी-अभी गर्म हुए ओवन में भी कर सकते हैं। इस बीच, कुलचा के लिए स्टफिंग तैयार करें। उबले और छिले हुए आलू को एक मिक्सिंग बाउल में मैश कर लें। नमक, हरी मिर्च, धनिया पाउडर, जीरा पाउडर, कसा हुआ अदरक, चाट मसाला, लाल मिर्च पाउडर, गरम मसाला, धनिया पत्ती डालें और अपनी उंगलियों से अच्छी तरह मिलाएँ जब तक कि यह एक समान रूप से मिश्रित आलू मिश्रण न बन जाए। अब, आलू कुल्चा तैयार करने के लिए, आटे को थोड़े से आटे से धूले हुए काम की सतह पर रखें। इसे 3-4 मिनट तक गूंधें, फिर आटे को एक लंबे सिलेंडर में रोल करें और इसे 8 अलग-अलग भागों में काट लें। भागों को एक गेंद में रोल करें। एक बार में एक गेंद लेते हुए, इसे अपनी उंगलियों से चपटा करके लगभग 3 इंच व्यास का एक छोटा सा डिस्क बनाएं। मसालेदार आलू का एक चम्मच लें, इसे डिस्क के बीच में रखें। डिकोड के किनारों को बीच में लाएँ और एक भरा हुआ आटा बॉल बनाने के लिए अंदर भरा हुआ सील करें। इसे अपनी हथेली से थोड़ा सा चपटा करें, और धूलने के लिए थोड़ा सा आटा इस्तेमाल करते हुए, इसे रोलिंग पिन से धीरे से रोल करें और लगभग 5 इंच व्यास का पतला गोल बनाएं। कुलचा आम चपाती की तुलना में थोड़ा मोटा होगा क्योंकि इसमें भराई होती है। ध्यान रखें कि भराई कुलचे से बाहर न निकले। इसके बाद, अपनी हथेलियों को थोड़े से पानी से गीला करें और कुलचे के एक तरफ़ थपथपाएँ। इस पर चुटकी भर अजवाइन और कटा हुआ हरा धनिया छिड़कें और दबाएँ ताकि वे कुलचे से चिपक जाएँ। मध्यम आँच पर एक कड़ाही या तवा गरम करें। जब यह पर्याप्त गर्म हो जाए, तो कुलचे को इस पर गीला भाग नीचे करके रखें। अब, अपनी हथेलियों को फिर से गीला करें और दूसरी तरफ़ थपथपाएँ क्योंकि कुलचा मध्यम आँच पर पक रहा है। दूसरी तरफ़ भी अजवाइन और कटा हुआ हरा धनिया छिड़कें। जब सतह पर छोटे बुलबुले बनने लगें, तो कुलचे को पलट दें और दूसरी तरफ़ से पकाएँ। जब तक दोनों तरफ समान रूप से भूरा न हो जाए तब तक दोहराएं। जब आप कुल्चा को तवे से उतार लें, तो उस पर उदारतापूर्वक मक्खन या घी लगाएं और परोसने के लिए उन्हें एक साथ रख दें। बाकी बनी हुई रोटियों के लिए भी यही प्रक्रिया दोहराएं और सभी कुल्चे पक जाएं। एक त्वरित पौष्टिक दोपहर के भोजन या रात के खाने के लिए छोले पिंडी और एक साधारण मूली रायता या सलाद के साथ गरम परोसें।</v>
      </c>
      <c r="J915" s="3" t="s">
        <v>34623</v>
      </c>
      <c r="L915" s="1" t="s">
        <v>31003</v>
      </c>
    </row>
    <row r="916" spans="1:12" ht="409.6">
      <c r="A916" s="1" t="s">
        <v>34624</v>
      </c>
      <c r="B916" s="1" t="str">
        <f ca="1">IFERROR(__xludf.dummyfunction("IF(A916="""", """", GOOGLETRANSLATE(A916, ""en"", ""hi""))"),"हरियाली मटन करी रेसिपी")</f>
        <v>हरियाली मटन करी रेसिपी</v>
      </c>
      <c r="C916" s="1" t="s">
        <v>429</v>
      </c>
      <c r="D916" s="1" t="s">
        <v>14382</v>
      </c>
      <c r="E916" s="1">
        <v>60</v>
      </c>
      <c r="F916" s="1" t="s">
        <v>34625</v>
      </c>
      <c r="G916" s="1" t="str">
        <f ca="1">IFERROR(__xludf.dummyfunction("IF(F916="""", """", GOOGLETRANSLATE(F916, ""en"", ""hi""))"),"500 ग्राम मटन, 2 प्याज - प्यूरी किए हुए, 2 टमाटर - प्यूरी किए हुए, नमक - स्वादानुसार, 1 चम्मच सूरजमुखी तेल, 2 बड़े चम्मच ताजा क्रीम, 2 कप धनिया पत्ते, 2 बड़े चम्मच पुदीना पत्ते, 8 हरी मिर्च - आवश्यकतानुसार, 2 लौंग, 2 इंच दालचीनी, 2 इलायची, 1/2 चक्र फूल, 2"&amp;" बड़े चम्मच अदरक - कटा हुआ, 2 बड़े चम्मच लहसुन - कटा हुआ")</f>
        <v>500 ग्राम मटन, 2 प्याज - प्यूरी किए हुए, 2 टमाटर - प्यूरी किए हुए, नमक - स्वादानुसार, 1 चम्मच सूरजमुखी तेल, 2 बड़े चम्मच ताजा क्रीम, 2 कप धनिया पत्ते, 2 बड़े चम्मच पुदीना पत्ते, 8 हरी मिर्च - आवश्यकतानुसार, 2 लौंग, 2 इंच दालचीनी, 2 इलायची, 1/2 चक्र फूल, 2 बड़े चम्मच अदरक - कटा हुआ, 2 बड़े चम्मच लहसुन - कटा हुआ</v>
      </c>
      <c r="H916" s="4" t="s">
        <v>34626</v>
      </c>
      <c r="I916" s="1" t="str">
        <f ca="1">IFERROR(__xludf.dummyfunction("IF(H916="""", """", GOOGLETRANSLATE(H916, ""en"", ""hi""))"),"हरियाली मटन करी रेसिपी बनाने के लिए सबसे पहले मटन के टुकड़ों को धो लें। 1 चम्मच नमक डालें और 1/2 कप पानी में लगभग 3 सीटी आने तक पका लें। 'हरे मसाले के लिए' के ​​तहत बताई गई सभी सामग्री को थोड़े पानी के साथ पीस लें। एक पैन में तेल गर्म करें। प्याज का पेस्ट"&amp;" डालें और प्याज की कच्ची महक जाने तक भूनें। टमाटर की प्यूरी डालें और तब तक पकाएं जब तक कि पैन के किनारों से तेल अलग न हो जाए। हरा मसाला पेस्ट डालें और 5 मिनट तक पकाएं। पके हुए मटन के टुकड़े डालें और अच्छी तरह मिलाएँ। स्वादानुसार नमक और ज़रूरत हो तो थोड़ा "&amp;"पानी डालें। धीमी आँच पर 10 से 15 मिनट तक ढककर पकाएँ। क्रीम को फेंटें और करी में मिला दें। गरमागरम परोसें। हरियाली मटन करी को पुदीना लहसुन लच्छा पराठा, टमाटर प्याज खीरा रायता और उबले हुए चावल के साथ रात के खाने में परोसें।")</f>
        <v>हरियाली मटन करी रेसिपी बनाने के लिए सबसे पहले मटन के टुकड़ों को धो लें। 1 चम्मच नमक डालें और 1/2 कप पानी में लगभग 3 सीटी आने तक पका लें। 'हरे मसाले के लिए' के ​​तहत बताई गई सभी सामग्री को थोड़े पानी के साथ पीस लें। एक पैन में तेल गर्म करें। प्याज का पेस्ट डालें और प्याज की कच्ची महक जाने तक भूनें। टमाटर की प्यूरी डालें और तब तक पकाएं जब तक कि पैन के किनारों से तेल अलग न हो जाए। हरा मसाला पेस्ट डालें और 5 मिनट तक पकाएं। पके हुए मटन के टुकड़े डालें और अच्छी तरह मिलाएँ। स्वादानुसार नमक और ज़रूरत हो तो थोड़ा पानी डालें। धीमी आँच पर 10 से 15 मिनट तक ढककर पकाएँ। क्रीम को फेंटें और करी में मिला दें। गरमागरम परोसें। हरियाली मटन करी को पुदीना लहसुन लच्छा पराठा, टमाटर प्याज खीरा रायता और उबले हुए चावल के साथ रात के खाने में परोसें।</v>
      </c>
      <c r="J916" s="3" t="s">
        <v>34627</v>
      </c>
      <c r="L916" s="1" t="s">
        <v>31003</v>
      </c>
    </row>
    <row r="917" spans="1:12" ht="409.6">
      <c r="A917" s="1" t="s">
        <v>34628</v>
      </c>
      <c r="B917" s="1" t="str">
        <f ca="1">IFERROR(__xludf.dummyfunction("IF(A917="""", """", GOOGLETRANSLATE(A917, ""en"", ""hi""))"),"सूखा भुजिया भेल रेसिपी")</f>
        <v>सूखा भुजिया भेल रेसिपी</v>
      </c>
      <c r="C917" s="1" t="s">
        <v>14281</v>
      </c>
      <c r="D917" s="1" t="s">
        <v>14198</v>
      </c>
      <c r="E917" s="1">
        <v>30</v>
      </c>
      <c r="F917" s="1" t="s">
        <v>34629</v>
      </c>
      <c r="G917" s="1" t="str">
        <f ca="1">IFERROR(__xludf.dummyfunction("IF(F917="""", """", GOOGLETRANSLATE(F917, ""en"", ""hi""))"),"2 कप सेव - भुजिया (आप कोई भी सेव ले सकते हैं), 1/2 कप प्याज - बारीक कटा हुआ, 1/2 कप टमाटर - बारीक कटा हुआ, 1/4 कप खीरा - बारीक कटा हुआ, 1 हरी मिर्च - बारीक कटी हुई, 2 बड़े चम्मच धनिया पत्ते - बारीक कटे हुए, 1/4 कप हरे चना अंकुरित - अपनी पसंद के अनुसार, 2 "&amp;"बड़े चम्मच मीठी चटनी (खजूर और इमली), 1 बड़ा चम्मच हरी चटनी (धनिया और पुदीना), 1 चम्मच नींबू का रस, 1/4 चम्मच चाट मसाला पाउडर, नमक और काली मिर्च - स्वादानुसार")</f>
        <v>2 कप सेव - भुजिया (आप कोई भी सेव ले सकते हैं), 1/2 कप प्याज - बारीक कटा हुआ, 1/2 कप टमाटर - बारीक कटा हुआ, 1/4 कप खीरा - बारीक कटा हुआ, 1 हरी मिर्च - बारीक कटी हुई, 2 बड़े चम्मच धनिया पत्ते - बारीक कटे हुए, 1/4 कप हरे चना अंकुरित - अपनी पसंद के अनुसार, 2 बड़े चम्मच मीठी चटनी (खजूर और इमली), 1 बड़ा चम्मच हरी चटनी (धनिया और पुदीना), 1 चम्मच नींबू का रस, 1/4 चम्मच चाट मसाला पाउडर, नमक और काली मिर्च - स्वादानुसार</v>
      </c>
      <c r="H917" s="4" t="s">
        <v>34630</v>
      </c>
      <c r="I917" s="1" t="str">
        <f ca="1">IFERROR(__xludf.dummyfunction("IF(H917="""", """", GOOGLETRANSLATE(H917, ""en"", ""hi""))"),"सूखा भुजिया भेल रेसिपी बनाने के लिए सबसे पहले एक बड़ा कटोरा लें और उसमें भुजिया सेव को छोड़कर बाकी सभी सामग्री डालकर अच्छी तरह मिला लें। परोसने से ठीक पहले इसमें कुरकुरी भुजिया सेव डालें और इसे अच्छे से हिलाएं। यह परोसने के लिए तैयार है। बच्चों के लिए स्क"&amp;"ूल के बाद के नाश्ते के तौर पर सूखा भुजिया भेल को पपीता केला स्मूदी या पार्टी ऐपेटाइज़र के तौर पर रेड वाइन संगरिया कॉकटेल रेसिपी के साथ परोसें।")</f>
        <v>सूखा भुजिया भेल रेसिपी बनाने के लिए सबसे पहले एक बड़ा कटोरा लें और उसमें भुजिया सेव को छोड़कर बाकी सभी सामग्री डालकर अच्छी तरह मिला लें। परोसने से ठीक पहले इसमें कुरकुरी भुजिया सेव डालें और इसे अच्छे से हिलाएं। यह परोसने के लिए तैयार है। बच्चों के लिए स्कूल के बाद के नाश्ते के तौर पर सूखा भुजिया भेल को पपीता केला स्मूदी या पार्टी ऐपेटाइज़र के तौर पर रेड वाइन संगरिया कॉकटेल रेसिपी के साथ परोसें।</v>
      </c>
      <c r="J917" s="3" t="s">
        <v>34631</v>
      </c>
      <c r="L917" s="1" t="s">
        <v>31003</v>
      </c>
    </row>
    <row r="918" spans="1:12" ht="13.8">
      <c r="A918" s="1" t="s">
        <v>31725</v>
      </c>
      <c r="B918" s="1" t="str">
        <f ca="1">IFERROR(__xludf.dummyfunction("IF(A918="""", """", GOOGLETRANSLATE(A918, ""en"", ""hi""))"),"मिक्स वेजिटेबल समोसा रेसिपी")</f>
        <v>मिक्स वेजिटेबल समोसा रेसिपी</v>
      </c>
      <c r="C918" s="1" t="s">
        <v>14281</v>
      </c>
      <c r="D918" s="1" t="s">
        <v>14198</v>
      </c>
      <c r="E918" s="1">
        <v>55</v>
      </c>
      <c r="F918" s="1" t="s">
        <v>34632</v>
      </c>
      <c r="G918" s="1" t="str">
        <f ca="1">IFERROR(__xludf.dummyfunction("IF(F918="""", """", GOOGLETRANSLATE(F918, ""en"", ""hi""))"),"2 कप मैदा, 3 बड़े चम्मच तेल, 1/4 छोटा चम्मच अजवाइन, 1/2 छोटा चम्मच नींबू का रस, 4 आलू - उबले हुए, 1/2 कप हरी मटर - उबले हुए, 1/4 कप गाजर - उबाल कर काट लें, 1/4 छोटा चम्मच राई, 1/4 छोटा चम्मच धनिया के बीज, 1/4 कप प्याज - बारीक कटा हुआ, 5 करी पत्ते, 3 हरी म"&amp;"िर्च - बारीक कटी हुई, 1 इंच अदरक - कद्दूकस किया हुआ, 1/2 छोटा चम्मच लाल मिर्च पाउडर, 1/2 छोटा चम्मच धनिया पाउडर, 1/4 छोटा चम्मच हल्दी पाउडर, 1 छोटा चम्मच गरम मसाला पाउडर, नमक - स्वादानुसार, तेल - उपयोगानुसार")</f>
        <v>2 कप मैदा, 3 बड़े चम्मच तेल, 1/4 छोटा चम्मच अजवाइन, 1/2 छोटा चम्मच नींबू का रस, 4 आलू - उबले हुए, 1/2 कप हरी मटर - उबले हुए, 1/4 कप गाजर - उबाल कर काट लें, 1/4 छोटा चम्मच राई, 1/4 छोटा चम्मच धनिया के बीज, 1/4 कप प्याज - बारीक कटा हुआ, 5 करी पत्ते, 3 हरी मिर्च - बारीक कटी हुई, 1 इंच अदरक - कद्दूकस किया हुआ, 1/2 छोटा चम्मच लाल मिर्च पाउडर, 1/2 छोटा चम्मच धनिया पाउडर, 1/4 छोटा चम्मच हल्दी पाउडर, 1 छोटा चम्मच गरम मसाला पाउडर, नमक - स्वादानुसार, तेल - उपयोगानुसार</v>
      </c>
      <c r="H918" s="1" t="s">
        <v>34633</v>
      </c>
      <c r="I918" s="1" t="str">
        <f ca="1">IFERROR(__xludf.dummyfunction("IF(H918="""", """", GOOGLETRANSLATE(H918, ""en"", ""hi""))"),"""वेजिटेबल समोसा रेसिपी बनाने के लिए सबसे पहले एक बड़े बाउल में मैदा, नमक, तेल, अजवाइन और नींबू का रस डालकर अच्छे से मिला लें। धीरे-धीरे पानी डालकर अच्छे से गूंद लें। एक तरफ रख दें। अब एक पैन में तेल गर्म करें। उसमें राई डालें और उसे चटकने दें। चटकने के ब"&amp;"ाद उसमें प्याज, हरी मिर्च, करी पत्ता, अदरक डालें और प्याज के नरम होने तक पकाएं। प्याज के नरम होने के बाद उसमें लाल मिर्च पाउडर, धनिया पाउडर, हल्दी पाउडर, गरम मसाला पाउडर, नमक डालकर अच्छे से मिलाएं। 2 मिनट बाद उसमें मसले हुए आलू, हरी मटर, गाजर डालकर अच्छे "&amp;"से मिलाएं। धनिया पत्ता डालकर 2 मिनट तक पकाएं और आपका मसाला तैयार है। अब एक मध्यम आकार की लोई लें और उसे थोड़ा मोटा बेल लें। अब उसे आधा काट लें। अब कोने पर पानी लगाकर कोन का आकार दें। अब उसमें समोसे का मिश्रण डालें और ऊपर से मिला दें। इसी तरह सारे समोसे बन"&amp;"ा लें। अब एक पैन में तेल गर्म करें। एक-एक करके समोसे डालें और सुनहरा भूरा होने तक पकाएं। अतिरिक्त तेल सोखने के लिए उसे किचन टॉवल पर निकाल लें। सर्व करें। वेजिटेबल समोसा सर्व करें दोपहर के भोजन के लिए धनिया पुदीना चटनी और मसाला चाय के साथ समोसा रेसिपी।""")</f>
        <v>"वेजिटेबल समोसा रेसिपी बनाने के लिए सबसे पहले एक बड़े बाउल में मैदा, नमक, तेल, अजवाइन और नींबू का रस डालकर अच्छे से मिला लें। धीरे-धीरे पानी डालकर अच्छे से गूंद लें। एक तरफ रख दें। अब एक पैन में तेल गर्म करें। उसमें राई डालें और उसे चटकने दें। चटकने के बाद उसमें प्याज, हरी मिर्च, करी पत्ता, अदरक डालें और प्याज के नरम होने तक पकाएं। प्याज के नरम होने के बाद उसमें लाल मिर्च पाउडर, धनिया पाउडर, हल्दी पाउडर, गरम मसाला पाउडर, नमक डालकर अच्छे से मिलाएं। 2 मिनट बाद उसमें मसले हुए आलू, हरी मटर, गाजर डालकर अच्छे से मिलाएं। धनिया पत्ता डालकर 2 मिनट तक पकाएं और आपका मसाला तैयार है। अब एक मध्यम आकार की लोई लें और उसे थोड़ा मोटा बेल लें। अब उसे आधा काट लें। अब कोने पर पानी लगाकर कोन का आकार दें। अब उसमें समोसे का मिश्रण डालें और ऊपर से मिला दें। इसी तरह सारे समोसे बना लें। अब एक पैन में तेल गर्म करें। एक-एक करके समोसे डालें और सुनहरा भूरा होने तक पकाएं। अतिरिक्त तेल सोखने के लिए उसे किचन टॉवल पर निकाल लें। सर्व करें। वेजिटेबल समोसा सर्व करें दोपहर के भोजन के लिए धनिया पुदीना चटनी और मसाला चाय के साथ समोसा रेसिपी।"</v>
      </c>
      <c r="J918" s="3" t="s">
        <v>34634</v>
      </c>
      <c r="L918" s="1" t="s">
        <v>31003</v>
      </c>
    </row>
    <row r="919" spans="1:12" ht="409.6">
      <c r="A919" s="1" t="s">
        <v>34635</v>
      </c>
      <c r="B919" s="1" t="str">
        <f ca="1">IFERROR(__xludf.dummyfunction("IF(A919="""", """", GOOGLETRANSLATE(A919, ""en"", ""hi""))"),"घर पर बना बटर नान रेसिपी - मुलायम दही ब्रेड")</f>
        <v>घर पर बना बटर नान रेसिपी - मुलायम दही ब्रेड</v>
      </c>
      <c r="C919" s="1" t="s">
        <v>429</v>
      </c>
      <c r="D919" s="1" t="s">
        <v>14198</v>
      </c>
      <c r="E919" s="1">
        <v>90</v>
      </c>
      <c r="F919" s="1" t="s">
        <v>34636</v>
      </c>
      <c r="G919" s="1" t="str">
        <f ca="1">IFERROR(__xludf.dummyfunction("IF(F919="""", """", GOOGLETRANSLATE(F919, ""en"", ""hi""))"),"3 कप मैदा, 1/2 कप मक्खन (बिना नमक वाला) - नरम किया हुआ, 1 कप दही, 3 बड़े चम्मच गुनगुना पानी, 1 बड़ा चम्मच चीनी, 2 छोटे चम्मच सक्रिय सूखा खमीर, 1-1/2 छोटे चम्मच नमक, 2 छोटे चम्मच चाट मसाला पाउडर, 1 बड़ा चम्मच मक्खन - नरम किया हुआ")</f>
        <v>3 कप मैदा, 1/2 कप मक्खन (बिना नमक वाला) - नरम किया हुआ, 1 कप दही, 3 बड़े चम्मच गुनगुना पानी, 1 बड़ा चम्मच चीनी, 2 छोटे चम्मच सक्रिय सूखा खमीर, 1-1/2 छोटे चम्मच नमक, 2 छोटे चम्मच चाट मसाला पाउडर, 1 बड़ा चम्मच मक्खन - नरम किया हुआ</v>
      </c>
      <c r="H919" s="4" t="s">
        <v>34637</v>
      </c>
      <c r="I919" s="1" t="str">
        <f ca="1">IFERROR(__xludf.dummyfunction("IF(H919="""", """", GOOGLETRANSLATE(H919, ""en"", ""hi""))"),"बटर नान रेसिपी बनाने के लिए एक बड़े बाउल में 3 कप मैदा और मक्खन डालें। अपने हाथों से, मक्खन को आटे में तब तक मिलाएँ जब तक कि यह मोटे टुकड़ों में न बदल जाए। आप इसे एक ब्लेंडर में भी कर सकते हैं, लेकिन जब आटे को हाथों से गूंधा जाता है तो आटे को बेहतर बनावट "&amp;"मिलती है। गुनगुने पानी, खमीर और चीनी को तब तक मिलाएँ जब तक कि खमीर पूरी तरह से घुल न जाए। अब आटे के मिश्रण के बीच में एक गड्ढा बना लें और उसमें दही, नमक और खमीर का मिश्रण मिला दें। आटे में तब तक गूंथें जब तक कि पूरा आटा एक द्रव्यमान में इकट्ठा न हो जाए। आ"&amp;"टे को एक साथ लाने के लिए यदि आवश्यक हो तो थोड़ा और पानी डालें। आटा गीला और चिपचिपा होगा। अपने हाथों को साफ़ करें और उन्हें तेल लगाएं। अब नान के आटे को तेल लगे हाथों से लगभग 10 मिनट तक चिकना होने तक गूंथ जब नान का आटा दोगुना हो जाए, तो आटे को दबाएँ, एक मिन"&amp;"ट के लिए गूँथें और 12 से 15 बराबर भागों में बाँट लें। बेलन की सहायता से, प्रत्येक बॉल को जल्दी से 5 इंच के अंडाकार आकार में बेल लें। अपनी उँगलियों की सहायता से, प्रत्येक बॉल को 5-7 इंच के अंडाकार आकार में फैलाएँ। अगला चरण नान को पकाना है। नीचे दिए गए तरीक"&amp;"ों में से किसी एक का पालन करें। ओवन में नान पकाने की विधि ओवन को 250 डिग्री सेल्सियस या अधिकतम तापमान पर पहले से गरम कर लें। अगर आपके पास बेकिंग स्टोन है, तो उसे ओवन में रख दें। कुछ नान को बिना चिकनाई वाली बेकिंग शीट पर या सीधे बेकिंग स्टोन पर एक परत में "&amp;"व्यवस्थित करें। और उन्हें तब तक बेक करें जब तक वे फूल न जाएँ और हल्के भूरे रंग के न हो जाएँ, 3-4 मिनट। बचे हुए नान के साथ भी बेकिंग की यही प्रक्रिया दोहराएँ। पके हुए नान को एक तरफ रख दें। नान को पहले से बनाया जा सकता है और कपड़े में लपेटकर ब्रेड बॉक्स या "&amp;"किसी अन्य ढके हुए कंटेनर में गर्म रखा जा सकता है। परोसने से पहले, ब्रॉयलर को अधिकतम तापमान पर पहले से गरम कर लें। कुछ नान को ब्रॉयलर पैन में डालें और ऊपरी भाग को भूरा करने के लिए 15-20 सेकंड के लिए ब्रॉयल करें। आप ऊपरी भाग को गैस स्टोव पर भी भूरा कर सकते "&amp;"हैं; नान को चिमटे से पकड़ें और उन्हें लगभग 10 सेकंड के लिए सीधे आंच पर रखें। शेष ब्रेड के साथ दोहराएं। गैस स्टोव पर नान पकाने की विधि एक लोहे की कड़ाही को तेज आंच पर गर्म करें। बेले हुए नान को कड़ाही में रखें और दोनों तरफ से तब तक पकाएं जब तक कि आपको हल्क"&amp;"े भूरे रंग के धब्बे और बुलबुले दिखाई न दें। चिमटे का उपयोग करके, नान को सीधे आंच पर पलट दें ताकि इसे भुने हुए स्वाद मिले और यह थोड़ा अधिक कुरकुरा हो जाए। एक बार हो जाने पर, आंच से उतार लें और गर्मागर्म परोसें। चाहें तो बटर नान के ऊपर चाट मसाला और मक्खन हल"&amp;"्का सा लगा लें")</f>
        <v>बटर नान रेसिपी बनाने के लिए एक बड़े बाउल में 3 कप मैदा और मक्खन डालें। अपने हाथों से, मक्खन को आटे में तब तक मिलाएँ जब तक कि यह मोटे टुकड़ों में न बदल जाए। आप इसे एक ब्लेंडर में भी कर सकते हैं, लेकिन जब आटे को हाथों से गूंधा जाता है तो आटे को बेहतर बनावट मिलती है। गुनगुने पानी, खमीर और चीनी को तब तक मिलाएँ जब तक कि खमीर पूरी तरह से घुल न जाए। अब आटे के मिश्रण के बीच में एक गड्ढा बना लें और उसमें दही, नमक और खमीर का मिश्रण मिला दें। आटे में तब तक गूंथें जब तक कि पूरा आटा एक द्रव्यमान में इकट्ठा न हो जाए। आटे को एक साथ लाने के लिए यदि आवश्यक हो तो थोड़ा और पानी डालें। आटा गीला और चिपचिपा होगा। अपने हाथों को साफ़ करें और उन्हें तेल लगाएं। अब नान के आटे को तेल लगे हाथों से लगभग 10 मिनट तक चिकना होने तक गूंथ जब नान का आटा दोगुना हो जाए, तो आटे को दबाएँ, एक मिनट के लिए गूँथें और 12 से 15 बराबर भागों में बाँट लें। बेलन की सहायता से, प्रत्येक बॉल को जल्दी से 5 इंच के अंडाकार आकार में बेल लें। अपनी उँगलियों की सहायता से, प्रत्येक बॉल को 5-7 इंच के अंडाकार आकार में फैलाएँ। अगला चरण नान को पकाना है। नीचे दिए गए तरीकों में से किसी एक का पालन करें। ओवन में नान पकाने की विधि ओवन को 250 डिग्री सेल्सियस या अधिकतम तापमान पर पहले से गरम कर लें। अगर आपके पास बेकिंग स्टोन है, तो उसे ओवन में रख दें। कुछ नान को बिना चिकनाई वाली बेकिंग शीट पर या सीधे बेकिंग स्टोन पर एक परत में व्यवस्थित करें। और उन्हें तब तक बेक करें जब तक वे फूल न जाएँ और हल्के भूरे रंग के न हो जाएँ, 3-4 मिनट। बचे हुए नान के साथ भी बेकिंग की यही प्रक्रिया दोहराएँ। पके हुए नान को एक तरफ रख दें। नान को पहले से बनाया जा सकता है और कपड़े में लपेटकर ब्रेड बॉक्स या किसी अन्य ढके हुए कंटेनर में गर्म रखा जा सकता है। परोसने से पहले, ब्रॉयलर को अधिकतम तापमान पर पहले से गरम कर लें। कुछ नान को ब्रॉयलर पैन में डालें और ऊपरी भाग को भूरा करने के लिए 15-20 सेकंड के लिए ब्रॉयल करें। आप ऊपरी भाग को गैस स्टोव पर भी भूरा कर सकते हैं; नान को चिमटे से पकड़ें और उन्हें लगभग 10 सेकंड के लिए सीधे आंच पर रखें। शेष ब्रेड के साथ दोहराएं। गैस स्टोव पर नान पकाने की विधि एक लोहे की कड़ाही को तेज आंच पर गर्म करें। बेले हुए नान को कड़ाही में रखें और दोनों तरफ से तब तक पकाएं जब तक कि आपको हल्के भूरे रंग के धब्बे और बुलबुले दिखाई न दें। चिमटे का उपयोग करके, नान को सीधे आंच पर पलट दें ताकि इसे भुने हुए स्वाद मिले और यह थोड़ा अधिक कुरकुरा हो जाए। एक बार हो जाने पर, आंच से उतार लें और गर्मागर्म परोसें। चाहें तो बटर नान के ऊपर चाट मसाला और मक्खन हल्का सा लगा लें</v>
      </c>
      <c r="J919" s="3" t="s">
        <v>34638</v>
      </c>
      <c r="L919" s="1" t="s">
        <v>31003</v>
      </c>
    </row>
    <row r="920" spans="1:12" ht="13.8">
      <c r="A920" s="1" t="s">
        <v>34639</v>
      </c>
      <c r="B920" s="1" t="str">
        <f ca="1">IFERROR(__xludf.dummyfunction("IF(A920="""", """", GOOGLETRANSLATE(A920, ""en"", ""hi""))"),"पहाड़ी चिकन करी रेसिपी")</f>
        <v>पहाड़ी चिकन करी रेसिपी</v>
      </c>
      <c r="C920" s="1" t="s">
        <v>145</v>
      </c>
      <c r="D920" s="1" t="s">
        <v>14382</v>
      </c>
      <c r="E920" s="1">
        <v>45</v>
      </c>
      <c r="F920" s="1" t="s">
        <v>34640</v>
      </c>
      <c r="G920" s="1" t="str">
        <f ca="1">IFERROR(__xludf.dummyfunction("IF(F920="""", """", GOOGLETRANSLATE(F920, ""en"", ""hi""))"),"500 ग्राम चिकन - हड्डी सहित, 1/2 कप दही - फेंटा हुआ, 1/4 कप दूध, 1 छोटा चम्मच हल्दी, 2 इलायची, 1 बड़ी इलायची, 2 टहनी धनिया पत्ती - कटी हुई, नमक - स्वादानुसार, सूरजमुखी तेल, 2 प्याज - कटे हुए, 4 लहसुन के दाने - कटे हुए, 1 इंच अदरक, 2 बड़े चम्मच धनिया के बी"&amp;"ज, 1 इंच दालचीनी, 2 लौंग, 1 छोटा चम्मच सौंफ, 1 छोटा चम्मच साबुत काली मिर्च, 1 हरी मिर्च - कटी हुई")</f>
        <v>500 ग्राम चिकन - हड्डी सहित, 1/2 कप दही - फेंटा हुआ, 1/4 कप दूध, 1 छोटा चम्मच हल्दी, 2 इलायची, 1 बड़ी इलायची, 2 टहनी धनिया पत्ती - कटी हुई, नमक - स्वादानुसार, सूरजमुखी तेल, 2 प्याज - कटे हुए, 4 लहसुन के दाने - कटे हुए, 1 इंच अदरक, 2 बड़े चम्मच धनिया के बीज, 1 इंच दालचीनी, 2 लौंग, 1 छोटा चम्मच सौंफ, 1 छोटा चम्मच साबुत काली मिर्च, 1 हरी मिर्च - कटी हुई</v>
      </c>
      <c r="H920" s="1" t="s">
        <v>34641</v>
      </c>
      <c r="I920" s="1" t="str">
        <f ca="1">IFERROR(__xludf.dummyfunction("IF(H920="""", """", GOOGLETRANSLATE(H920, ""en"", ""hi""))"),"पहाड़ी चिकन करी रेसिपी बनाने के लिए सबसे पहले एक कढ़ाई में तेल गर्म करें। तेल गर्म हो जाए तो उसमें लौंग, दालचीनी, लौंग डालें और कुछ सेकेंड के लिए भून लें। इसमें धनिया, सौंफ, लहसुन, अदरक डालें और उनके नरम होने तक भूनें। इसमें प्याज़ डालें और प्याज़ के पारद"&amp;"र्शी और भूरा होने तक भूनें। इसे ठंडा होने दें और मिक्सर ग्राइंडर में थोड़ा पानी डालकर प्याज़ के मिश्रण को मुलायम पेस्ट बना लें। उसी कढ़ाई में थोड़ा तेल गर्म करें, उसमें चिकन के टुकड़े, हल्दी पाउडर, नमक डालें और चिकन को सुनहरा भूरा और कुरकुरा होने तक भूनें"&amp;"। चिकन को बाहर निकालें और उसी तेल में काली इलायची, हरी इलायची डालें और कुछ सेकेंड के लिए उसकी महक आने दें। इसमें प्याज़ का मिश्रण डालें और लगभग 4 से 5 मिनट तक पकाएँ। नमक की जाँच करें और पहाड़ी चिकन करी को मध्यम आँच पर पकाएँ। चिकन करी की स्थिरता को समायोजि"&amp;"त करने के लिए आप थोड़ा पानी मिला सकते हैं। पहाड़ी चिकन करी को ढककर मध्यम आँच पर लगभग 10 मिनट तक पकाएँ। अंत में धनिया पत्ती डालें, इसे मिलाएँ और गरमागरम परोसें। पहाड़ी चिकन करी रेसिपी को बटर गार्लिक नान, अचार वाले प्याज़ (प्याज़ कचुम्बर) और जीरा राइस के सा"&amp;"थ अपने परिवार के साथ सप्ताह के दिनों के भोजन के लिए परोसें।")</f>
        <v>पहाड़ी चिकन करी रेसिपी बनाने के लिए सबसे पहले एक कढ़ाई में तेल गर्म करें। तेल गर्म हो जाए तो उसमें लौंग, दालचीनी, लौंग डालें और कुछ सेकेंड के लिए भून लें। इसमें धनिया, सौंफ, लहसुन, अदरक डालें और उनके नरम होने तक भूनें। इसमें प्याज़ डालें और प्याज़ के पारदर्शी और भूरा होने तक भूनें। इसे ठंडा होने दें और मिक्सर ग्राइंडर में थोड़ा पानी डालकर प्याज़ के मिश्रण को मुलायम पेस्ट बना लें। उसी कढ़ाई में थोड़ा तेल गर्म करें, उसमें चिकन के टुकड़े, हल्दी पाउडर, नमक डालें और चिकन को सुनहरा भूरा और कुरकुरा होने तक भूनें। चिकन को बाहर निकालें और उसी तेल में काली इलायची, हरी इलायची डालें और कुछ सेकेंड के लिए उसकी महक आने दें। इसमें प्याज़ का मिश्रण डालें और लगभग 4 से 5 मिनट तक पकाएँ। नमक की जाँच करें और पहाड़ी चिकन करी को मध्यम आँच पर पकाएँ। चिकन करी की स्थिरता को समायोजित करने के लिए आप थोड़ा पानी मिला सकते हैं। पहाड़ी चिकन करी को ढककर मध्यम आँच पर लगभग 10 मिनट तक पकाएँ। अंत में धनिया पत्ती डालें, इसे मिलाएँ और गरमागरम परोसें। पहाड़ी चिकन करी रेसिपी को बटर गार्लिक नान, अचार वाले प्याज़ (प्याज़ कचुम्बर) और जीरा राइस के साथ अपने परिवार के साथ सप्ताह के दिनों के भोजन के लिए परोसें।</v>
      </c>
      <c r="J920" s="3" t="s">
        <v>34642</v>
      </c>
      <c r="L920" s="1" t="s">
        <v>31003</v>
      </c>
    </row>
    <row r="921" spans="1:12" ht="409.6">
      <c r="A921" s="1" t="s">
        <v>34643</v>
      </c>
      <c r="B921" s="1" t="str">
        <f ca="1">IFERROR(__xludf.dummyfunction("IF(A921="""", """", GOOGLETRANSLATE(A921, ""en"", ""hi""))"),"कुरकुरी भिंडी और प्याज मसाला रेसिपी")</f>
        <v>कुरकुरी भिंडी और प्याज मसाला रेसिपी</v>
      </c>
      <c r="C921" s="1" t="s">
        <v>145</v>
      </c>
      <c r="D921" s="1" t="s">
        <v>14198</v>
      </c>
      <c r="E921" s="1">
        <v>60</v>
      </c>
      <c r="F921" s="1" t="s">
        <v>34644</v>
      </c>
      <c r="G921" s="1" t="str">
        <f ca="1">IFERROR(__xludf.dummyfunction("IF(F921="""", """", GOOGLETRANSLATE(F921, ""en"", ""hi""))"),"250 ग्राम भिंडी - छोटे गोल आकार में कटी हुई, 1-1/2 बड़ा चम्मच बेसन, 1-1/2 छोटा चम्मच लाल मिर्च पाउडर, 1 छोटा चम्मच हल्दी, 1-1/2 छोटा चम्मच धनिया पाउडर, 1/2 छोटा चम्मच आमचूर, नमक - आवश्यकतानुसार, पानी - आवश्यकतानुसार, सूरजमुखी तेल - आवश्यकतानुसार, 1 छोटा च"&amp;"म्मच जीरा, 1/2 छोटा चम्मच सरसों के बीज, 1/4 छोटा चम्मच हींग, 1 बड़ा चम्मच अदरक लहसुन पेस्ट, 1 हरी मिर्च - बारीक कटी हुई, 2 प्याज - बारीक कटे हुए, धनिया पत्ती - बारीक कटी हुई")</f>
        <v>250 ग्राम भिंडी - छोटे गोल आकार में कटी हुई, 1-1/2 बड़ा चम्मच बेसन, 1-1/2 छोटा चम्मच लाल मिर्च पाउडर, 1 छोटा चम्मच हल्दी, 1-1/2 छोटा चम्मच धनिया पाउडर, 1/2 छोटा चम्मच आमचूर, नमक - आवश्यकतानुसार, पानी - आवश्यकतानुसार, सूरजमुखी तेल - आवश्यकतानुसार, 1 छोटा चम्मच जीरा, 1/2 छोटा चम्मच सरसों के बीज, 1/4 छोटा चम्मच हींग, 1 बड़ा चम्मच अदरक लहसुन पेस्ट, 1 हरी मिर्च - बारीक कटी हुई, 2 प्याज - बारीक कटे हुए, धनिया पत्ती - बारीक कटी हुई</v>
      </c>
      <c r="H921" s="4" t="s">
        <v>34645</v>
      </c>
      <c r="I921" s="1" t="str">
        <f ca="1">IFERROR(__xludf.dummyfunction("IF(H921="""", """", GOOGLETRANSLATE(H921, ""en"", ""hi""))"),"कुरकुरी भिंडी और प्याज मसाला रेसिपी बनाने के लिए सबसे पहले हम कुरकुरी भिंडी बनाएंगे। एक मिक्सिंग बाउल लें, उसमें कटी हुई भिंडी, बेसन, 1/2 चम्मच लाल मिर्च पाउडर, 1/2 चम्मच हल्दी पाउडर, 1/2 चम्मच धनिया पाउडर, 1/2 चम्मच अमचूर पाउडर, आवश्यकतानुसार नमक और थोड़"&amp;"ा पानी डालें। सभी चीजों को अच्छी तरह मिला लें। जब यह हो जाए, तो एक कड़ाही में तेल गर्म करें और भिंडियों को तल लें। जब यह हो जाए, तो इसे अतिरिक्त तेल सोखने के लिए अब्सॉर्बेंट पेपर पर निकाल लें। इसे एक तरफ रख दें। अब एक अलग कड़ाही में तेल गर्म करें। इसमें ज"&amp;"ीरा, राई, हींग और हरी मिर्च डालें। 10 से 15 सेकंड के बाद इसमें अदरक लहसुन का पेस्ट डालें। इसे एक मिनट तक भूनें और फिर कटे हुए प्याज डालें। इसे नरम और पारदर्शी होने तक पकाएं। बचा हुआ लाल मिर्च पाउडर, हल्दी पाउडर, धनिया पाउडर और आवश्यकतानुसार नमक डालें। इसे"&amp;" मिलाएँ, कढ़ाई को ढक दें और 3 से 4 मिनट तक पकने दें। इसमें तली हुई भिंडी डालें और अच्छी तरह मिलाएँ। दो मिनट और पकाएँ, स्टोव बंद कर दें और कटी हुई धनिया पत्ती से गार्निश करें। कुरकुरी भिंडी और प्याज़ मसाला को पंचमेल दाल और फुल्का के साथ सप्ताह के दिनों में"&amp;" खाने के लिए परोसें।")</f>
        <v>कुरकुरी भिंडी और प्याज मसाला रेसिपी बनाने के लिए सबसे पहले हम कुरकुरी भिंडी बनाएंगे। एक मिक्सिंग बाउल लें, उसमें कटी हुई भिंडी, बेसन, 1/2 चम्मच लाल मिर्च पाउडर, 1/2 चम्मच हल्दी पाउडर, 1/2 चम्मच धनिया पाउडर, 1/2 चम्मच अमचूर पाउडर, आवश्यकतानुसार नमक और थोड़ा पानी डालें। सभी चीजों को अच्छी तरह मिला लें। जब यह हो जाए, तो एक कड़ाही में तेल गर्म करें और भिंडियों को तल लें। जब यह हो जाए, तो इसे अतिरिक्त तेल सोखने के लिए अब्सॉर्बेंट पेपर पर निकाल लें। इसे एक तरफ रख दें। अब एक अलग कड़ाही में तेल गर्म करें। इसमें जीरा, राई, हींग और हरी मिर्च डालें। 10 से 15 सेकंड के बाद इसमें अदरक लहसुन का पेस्ट डालें। इसे एक मिनट तक भूनें और फिर कटे हुए प्याज डालें। इसे नरम और पारदर्शी होने तक पकाएं। बचा हुआ लाल मिर्च पाउडर, हल्दी पाउडर, धनिया पाउडर और आवश्यकतानुसार नमक डालें। इसे मिलाएँ, कढ़ाई को ढक दें और 3 से 4 मिनट तक पकने दें। इसमें तली हुई भिंडी डालें और अच्छी तरह मिलाएँ। दो मिनट और पकाएँ, स्टोव बंद कर दें और कटी हुई धनिया पत्ती से गार्निश करें। कुरकुरी भिंडी और प्याज़ मसाला को पंचमेल दाल और फुल्का के साथ सप्ताह के दिनों में खाने के लिए परोसें।</v>
      </c>
      <c r="J921" s="3" t="s">
        <v>34646</v>
      </c>
      <c r="L921" s="1" t="s">
        <v>31003</v>
      </c>
    </row>
    <row r="922" spans="1:12" ht="13.8">
      <c r="A922" s="1" t="s">
        <v>34647</v>
      </c>
      <c r="B922" s="1" t="str">
        <f ca="1">IFERROR(__xludf.dummyfunction("IF(A922="""", """", GOOGLETRANSLATE(A922, ""en"", ""hi""))"),"पुदीना लस्सी रेसिपी")</f>
        <v>पुदीना लस्सी रेसिपी</v>
      </c>
      <c r="C922" s="1" t="s">
        <v>14207</v>
      </c>
      <c r="D922" s="1" t="s">
        <v>14198</v>
      </c>
      <c r="E922" s="1">
        <v>10</v>
      </c>
      <c r="F922" s="1" t="s">
        <v>34648</v>
      </c>
      <c r="G922" s="1" t="str">
        <f ca="1">IFERROR(__xludf.dummyfunction("IF(F922="""", """", GOOGLETRANSLATE(F922, ""en"", ""hi""))"),"1 कप दही, बर्फ - आवश्यकतानुसार, 1 हरी मिर्च - कटी हुई, 1/2 कप पुदीना - धोया और कटा हुआ, 1/2 चम्मच काला नमक या सेंधा नमक - वैकल्पिक")</f>
        <v>1 कप दही, बर्फ - आवश्यकतानुसार, 1 हरी मिर्च - कटी हुई, 1/2 कप पुदीना - धोया और कटा हुआ, 1/2 चम्मच काला नमक या सेंधा नमक - वैकल्पिक</v>
      </c>
      <c r="H922" s="1" t="s">
        <v>34649</v>
      </c>
      <c r="I922" s="1" t="str">
        <f ca="1">IFERROR(__xludf.dummyfunction("IF(H922="""", """", GOOGLETRANSLATE(H922, ""en"", ""hi""))"),"""पुदीना लस्सी रेसिपी बनाने के लिए सबसे पहले दही, पुदीने के पत्ते, काला नमक, हरी मिर्च डालकर अच्छे से पीस लें। 2 से 3 मिनट तक ब्लेंड करें। अब इसमें बर्फ डालें और फिर से 30 सेकंड के लिए ब्लेंड करें। इसे गिलास में डालें और सर्व करें। पुदीना लस्सी रेसिपी को "&amp;"दाल बंजारा, सेव टमाटर की सब्जी और फुल्के के साथ लंच में सर्व करें।""")</f>
        <v>"पुदीना लस्सी रेसिपी बनाने के लिए सबसे पहले दही, पुदीने के पत्ते, काला नमक, हरी मिर्च डालकर अच्छे से पीस लें। 2 से 3 मिनट तक ब्लेंड करें। अब इसमें बर्फ डालें और फिर से 30 सेकंड के लिए ब्लेंड करें। इसे गिलास में डालें और सर्व करें। पुदीना लस्सी रेसिपी को दाल बंजारा, सेव टमाटर की सब्जी और फुल्के के साथ लंच में सर्व करें।"</v>
      </c>
      <c r="J922" s="3" t="s">
        <v>34650</v>
      </c>
      <c r="L922" s="1" t="s">
        <v>31003</v>
      </c>
    </row>
    <row r="923" spans="1:12" ht="13.8">
      <c r="A923" s="1" t="s">
        <v>34651</v>
      </c>
      <c r="B923" s="1" t="str">
        <f ca="1">IFERROR(__xludf.dummyfunction("IF(A923="""", """", GOOGLETRANSLATE(A923, ""en"", ""hi""))"),"सुरती ज्वार वड़ा रेसिपी")</f>
        <v>सुरती ज्वार वड़ा रेसिपी</v>
      </c>
      <c r="C923" s="1" t="s">
        <v>14281</v>
      </c>
      <c r="D923" s="1" t="s">
        <v>15102</v>
      </c>
      <c r="E923" s="1">
        <v>95</v>
      </c>
      <c r="F923" s="1" t="s">
        <v>34652</v>
      </c>
      <c r="G923" s="1" t="str">
        <f ca="1">IFERROR(__xludf.dummyfunction("IF(F923="""", """", GOOGLETRANSLATE(F923, ""en"", ""hi""))"),"1 कप ज्वार का आटा, 1/2 कप बेसन, 1 इंच अदरक - कटा हुआ, 4 लहसुन - कटा हुआ, 1 चम्मच लाल मिर्च पाउडर, 1/2 चम्मच हल्दी पाउडर, 1 कप दही, नमक - स्वादानुसार, 3 चम्मच तिल, सूरजमुखी का तेल")</f>
        <v>1 कप ज्वार का आटा, 1/2 कप बेसन, 1 इंच अदरक - कटा हुआ, 4 लहसुन - कटा हुआ, 1 चम्मच लाल मिर्च पाउडर, 1/2 चम्मच हल्दी पाउडर, 1 कप दही, नमक - स्वादानुसार, 3 चम्मच तिल, सूरजमुखी का तेल</v>
      </c>
      <c r="H923" s="1" t="s">
        <v>34653</v>
      </c>
      <c r="I923" s="1" t="str">
        <f ca="1">IFERROR(__xludf.dummyfunction("IF(H923="""", """", GOOGLETRANSLATE(H923, ""en"", ""hi""))"),"सूरती ज्वार वड़ा रेसिपी बनाने के लिए, सभी सामग्री को एक कटोरे में मिलाएं और लगभग 1/2 कप पानी डालकर घोल तैयार करें। कम से कम एक घंटे के लिए घोल को ऐसे ही छोड़ दें और फिर उन्हें तलना शुरू करें। कुझी पनियारम पैन को गर्म करें और पैन को कोट करने के लिए तेल की "&amp;"एक बूंद डालें; एक बार जब पैन अच्छी तरह से गर्म हो जाए तो एक स्कूप चम्मच का उपयोग करके वड़ा बैटर को स्कूप करें। पैन को ढक दें और इसे भाप दें। आप देखेंगे कि वड़ा का ऊपरी हिस्सा पक रहा है। इस बिंदु पर आप तेल की एक और बूंद डाल सकते हैं और फिर एक छोटे से सपाट "&amp;"चम्मच का उपयोग करके धीरे से वड़ा को पलट दें ताकि यह दूसरी तरफ से पक जाए और कुरकुरा भी हो जाए। जब ​​आप चम्मच के पीछे या चाकू को केंद्र में डालते हैं तो इसे साफ बाहर आना चाहिए - यह जांचने का परीक्षण है कि यह पक गया है या नहीं। शेष बैटर के साथ समान प्रक्रिया"&amp;" जारी रखें। सूरती ज्वार वड़ा रेसिपी को अदरक चाय या पंजाबी स्टाइल एस्प्रेसो कॉफी के साथ स्नैक रेसिपी के रूप में परोसें।")</f>
        <v>सूरती ज्वार वड़ा रेसिपी बनाने के लिए, सभी सामग्री को एक कटोरे में मिलाएं और लगभग 1/2 कप पानी डालकर घोल तैयार करें। कम से कम एक घंटे के लिए घोल को ऐसे ही छोड़ दें और फिर उन्हें तलना शुरू करें। कुझी पनियारम पैन को गर्म करें और पैन को कोट करने के लिए तेल की एक बूंद डालें; एक बार जब पैन अच्छी तरह से गर्म हो जाए तो एक स्कूप चम्मच का उपयोग करके वड़ा बैटर को स्कूप करें। पैन को ढक दें और इसे भाप दें। आप देखेंगे कि वड़ा का ऊपरी हिस्सा पक रहा है। इस बिंदु पर आप तेल की एक और बूंद डाल सकते हैं और फिर एक छोटे से सपाट चम्मच का उपयोग करके धीरे से वड़ा को पलट दें ताकि यह दूसरी तरफ से पक जाए और कुरकुरा भी हो जाए। जब ​​आप चम्मच के पीछे या चाकू को केंद्र में डालते हैं तो इसे साफ बाहर आना चाहिए - यह जांचने का परीक्षण है कि यह पक गया है या नहीं। शेष बैटर के साथ समान प्रक्रिया जारी रखें। सूरती ज्वार वड़ा रेसिपी को अदरक चाय या पंजाबी स्टाइल एस्प्रेसो कॉफी के साथ स्नैक रेसिपी के रूप में परोसें।</v>
      </c>
      <c r="J923" s="3" t="s">
        <v>34654</v>
      </c>
      <c r="L923" s="1" t="s">
        <v>31003</v>
      </c>
    </row>
    <row r="924" spans="1:12" ht="13.8">
      <c r="A924" s="1" t="s">
        <v>34655</v>
      </c>
      <c r="B924" s="1" t="str">
        <f ca="1">IFERROR(__xludf.dummyfunction("IF(A924="""", """", GOOGLETRANSLATE(A924, ""en"", ""hi""))"),"गुलाब गुलकंद फिरनी")</f>
        <v>गुलाब गुलकंद फिरनी</v>
      </c>
      <c r="C924" s="1" t="s">
        <v>8417</v>
      </c>
      <c r="D924" s="1" t="s">
        <v>14198</v>
      </c>
      <c r="E924" s="1">
        <v>70</v>
      </c>
      <c r="F924" s="1" t="s">
        <v>34656</v>
      </c>
      <c r="G924" s="1" t="str">
        <f ca="1">IFERROR(__xludf.dummyfunction("IF(F924="""", """", GOOGLETRANSLATE(F924, ""en"", ""hi""))"),"2 लीटर दूध - फुल फैट, 1/2 कप चावल - 30 मिनट तक पानी में भिगोए हुए, 1-1/2 कप गाढ़ा दूध, 4 बड़े चम्मच गुलाब की पंखुड़ियां - 4 बड़े चम्मच गर्म दूध में भिगोई हुई, 2 बड़े चम्मच गुलकंद, 2 बड़े चम्मच चीनी, 2 बड़े चम्मच गुलाब जल - या रूह अफजाह, 1/2 छोटा चम्मच इला"&amp;"यची पाउडर, 1/2 छोटा चम्मच सौंफ पाउडर, 1 छोटा चम्मच गुलाब जल, 12 पिस्ते - कटे हुए, 12 बादाम - कटे हुए, 12 काजू - कटे हुए, गुलाब की पंखुड़ियां - सूखी (कुछ)")</f>
        <v>2 लीटर दूध - फुल फैट, 1/2 कप चावल - 30 मिनट तक पानी में भिगोए हुए, 1-1/2 कप गाढ़ा दूध, 4 बड़े चम्मच गुलाब की पंखुड़ियां - 4 बड़े चम्मच गर्म दूध में भिगोई हुई, 2 बड़े चम्मच गुलकंद, 2 बड़े चम्मच चीनी, 2 बड़े चम्मच गुलाब जल - या रूह अफजाह, 1/2 छोटा चम्मच इलायची पाउडर, 1/2 छोटा चम्मच सौंफ पाउडर, 1 छोटा चम्मच गुलाब जल, 12 पिस्ते - कटे हुए, 12 बादाम - कटे हुए, 12 काजू - कटे हुए, गुलाब की पंखुड़ियां - सूखी (कुछ)</v>
      </c>
      <c r="H924" s="1" t="s">
        <v>34657</v>
      </c>
      <c r="I924" s="1" t="str">
        <f ca="1">IFERROR(__xludf.dummyfunction("IF(H924="""", """", GOOGLETRANSLATE(H924, ""en"", ""hi""))"),"""गुलाब गुलकंद फिरनी बनाने के लिए सबसे पहले भीगे हुए चावल से पानी निकाल दें। चावल को दरदरा पीस लें। इसमें 1/4 कप पानी डालकर मिलाएँ और एक तरफ रख दें। अब एक सॉस पैन में दूध उबलने के लिए रख दें। दूध उबलने के बाद, आँच धीमी कर दें और इसमें पिसे हुए चावल मिला द"&amp;"ें। दूध के गाढ़ा होने तक चलाते रहें और इस समय तक चावल भी पक जाने चाहिए। चावल पकने के बाद, बची हुई सामग्री डालें और इसे 3 से 5 मिनट तक पकने दें। गैस बंद कर दें और फिरनी को ठंडा होने के लिए एक तरफ रख दें। मेवे और गुलाब की पंखुड़ियों से सजाएँ और परोसें। गुला"&amp;"ब गुलकंद फिरनी को डिनर या लंच के बाद मिठाई के रूप में परोसें।""")</f>
        <v>"गुलाब गुलकंद फिरनी बनाने के लिए सबसे पहले भीगे हुए चावल से पानी निकाल दें। चावल को दरदरा पीस लें। इसमें 1/4 कप पानी डालकर मिलाएँ और एक तरफ रख दें। अब एक सॉस पैन में दूध उबलने के लिए रख दें। दूध उबलने के बाद, आँच धीमी कर दें और इसमें पिसे हुए चावल मिला दें। दूध के गाढ़ा होने तक चलाते रहें और इस समय तक चावल भी पक जाने चाहिए। चावल पकने के बाद, बची हुई सामग्री डालें और इसे 3 से 5 मिनट तक पकने दें। गैस बंद कर दें और फिरनी को ठंडा होने के लिए एक तरफ रख दें। मेवे और गुलाब की पंखुड़ियों से सजाएँ और परोसें। गुलाब गुलकंद फिरनी को डिनर या लंच के बाद मिठाई के रूप में परोसें।"</v>
      </c>
      <c r="J924" s="3" t="s">
        <v>34658</v>
      </c>
      <c r="L924" s="1" t="s">
        <v>31003</v>
      </c>
    </row>
    <row r="925" spans="1:12" ht="13.8">
      <c r="A925" s="1" t="s">
        <v>34659</v>
      </c>
      <c r="B925" s="1" t="str">
        <f ca="1">IFERROR(__xludf.dummyfunction("IF(A925="""", """", GOOGLETRANSLATE(A925, ""en"", ""hi""))"),"जैन स्टाइल कॉर्न पालक रेसिपी")</f>
        <v>जैन स्टाइल कॉर्न पालक रेसिपी</v>
      </c>
      <c r="C925" s="1" t="s">
        <v>145</v>
      </c>
      <c r="D925" s="1" t="s">
        <v>14198</v>
      </c>
      <c r="E925" s="1">
        <v>45</v>
      </c>
      <c r="F925" s="1" t="s">
        <v>34660</v>
      </c>
      <c r="G925" s="1" t="str">
        <f ca="1">IFERROR(__xludf.dummyfunction("IF(F925="""", """", GOOGLETRANSLATE(F925, ""en"", ""hi""))"),"1 कप पालक के पत्ते (पालक) - पैक, 1/2 कप स्वीट कॉर्न - उबला हुआ, नमक - स्वादानुसार, 1 बड़ा चम्मच चीनी, 1/2 बड़ा चम्मच कसूरी मेथी (सूखी मेथी के पत्ते), 1 चम्मच नींबू का रस, 1 बड़ा चम्मच गरम मसाला पाउडर, 1/2 चम्मच लाल मिर्च पाउडर, 1/2 चम्मच जीरा पाउडर (जीरा)"&amp;", सूरजमुखी तेल - आवश्यकतानुसार, 2 टमाटर, 2 हरी मिर्च, 8 से 10 काजू, सूरजमुखी तेल - आवश्यकतानुसार, 1/2 चम्मच जीरा (जीरा), हींग, 1/2 चम्मच लाल मिर्च पाउडर")</f>
        <v>1 कप पालक के पत्ते (पालक) - पैक, 1/2 कप स्वीट कॉर्न - उबला हुआ, नमक - स्वादानुसार, 1 बड़ा चम्मच चीनी, 1/2 बड़ा चम्मच कसूरी मेथी (सूखी मेथी के पत्ते), 1 चम्मच नींबू का रस, 1 बड़ा चम्मच गरम मसाला पाउडर, 1/2 चम्मच लाल मिर्च पाउडर, 1/2 चम्मच जीरा पाउडर (जीरा), सूरजमुखी तेल - आवश्यकतानुसार, 2 टमाटर, 2 हरी मिर्च, 8 से 10 काजू, सूरजमुखी तेल - आवश्यकतानुसार, 1/2 चम्मच जीरा (जीरा), हींग, 1/2 चम्मच लाल मिर्च पाउडर</v>
      </c>
      <c r="H925" s="1" t="s">
        <v>34661</v>
      </c>
      <c r="I925" s="1" t="str">
        <f ca="1">IFERROR(__xludf.dummyfunction("IF(H925="""", """", GOOGLETRANSLATE(H925, ""en"", ""hi""))"),"जैन स्टाइल कॉर्न पालक रेसिपी बनाने के लिए, पालक के पत्तों को उबालकर बर्फ के ठंडे पानी में रख दें। पानी को छानकर मिक्सर ग्राइंडर में पीसकर पेस्ट बना लें। टमाटर के थोड़ा सिकुड़ने तक 1 चम्मच तेल में ""पीसने के लिए"" के तहत बताई गई सामग्री को भूनें और ठंडा हो"&amp;"ने पर थोड़े पानी का उपयोग करके चिकना पेस्ट बना लें। एक भारी तले वाले पैन में तड़के की सामग्री के साथ हल्दी, प्यूरी किया हुआ पालक, नमक डालें। अच्छी तरह मिलाएँ और पालक के पेस्ट को 3 से 4 मिनट तक पकने दें जब तक कि यह थोड़ा सूख न जाए। अब प्यूरी किया हुआ टमाटर"&amp;" मसाला, सूखे मसाले पाउडर और कॉर्न डालें। अच्छी तरह मिलाएँ और इसे 8-10 मिनट तक हल्का उबलने दें। एक या दो बड़े चम्मच पानी डालकर मनचाहा गाढ़ापन पाएँ। कुचली हुई कसूरी मेथी, नमक और नींबू का रस डालकर खत्म करें। सभी चीजों को अच्छी तरह मिलाएँ और यह परोसने के लिए "&amp;"तैयार है। जैन स्टाइल कॉर्न पालक को फुल्का, पुदीना तवा पराठा या स्टीम्ड राइस के साथ सप्ताह के दिनों में लंच या डिनर के लिए परोसें।")</f>
        <v>जैन स्टाइल कॉर्न पालक रेसिपी बनाने के लिए, पालक के पत्तों को उबालकर बर्फ के ठंडे पानी में रख दें। पानी को छानकर मिक्सर ग्राइंडर में पीसकर पेस्ट बना लें। टमाटर के थोड़ा सिकुड़ने तक 1 चम्मच तेल में "पीसने के लिए" के तहत बताई गई सामग्री को भूनें और ठंडा होने पर थोड़े पानी का उपयोग करके चिकना पेस्ट बना लें। एक भारी तले वाले पैन में तड़के की सामग्री के साथ हल्दी, प्यूरी किया हुआ पालक, नमक डालें। अच्छी तरह मिलाएँ और पालक के पेस्ट को 3 से 4 मिनट तक पकने दें जब तक कि यह थोड़ा सूख न जाए। अब प्यूरी किया हुआ टमाटर मसाला, सूखे मसाले पाउडर और कॉर्न डालें। अच्छी तरह मिलाएँ और इसे 8-10 मिनट तक हल्का उबलने दें। एक या दो बड़े चम्मच पानी डालकर मनचाहा गाढ़ापन पाएँ। कुचली हुई कसूरी मेथी, नमक और नींबू का रस डालकर खत्म करें। सभी चीजों को अच्छी तरह मिलाएँ और यह परोसने के लिए तैयार है। जैन स्टाइल कॉर्न पालक को फुल्का, पुदीना तवा पराठा या स्टीम्ड राइस के साथ सप्ताह के दिनों में लंच या डिनर के लिए परोसें।</v>
      </c>
      <c r="J925" s="3" t="s">
        <v>34662</v>
      </c>
      <c r="L925" s="1" t="s">
        <v>31003</v>
      </c>
    </row>
    <row r="926" spans="1:12" ht="13.8">
      <c r="A926" s="1" t="s">
        <v>34663</v>
      </c>
      <c r="B926" s="1" t="str">
        <f ca="1">IFERROR(__xludf.dummyfunction("IF(A926="""", """", GOOGLETRANSLATE(A926, ""en"", ""hi""))"),"दही आधारित लौकी की सब्जी")</f>
        <v>दही आधारित लौकी की सब्जी</v>
      </c>
      <c r="C926" s="1" t="s">
        <v>145</v>
      </c>
      <c r="D926" s="1" t="s">
        <v>14338</v>
      </c>
      <c r="E926" s="1">
        <v>45</v>
      </c>
      <c r="F926" s="1" t="s">
        <v>34664</v>
      </c>
      <c r="G926" s="1" t="str">
        <f ca="1">IFERROR(__xludf.dummyfunction("IF(F926="""", """", GOOGLETRANSLATE(F926, ""en"", ""hi""))"),"1-1/2 कप लौकी - छीलकर काट लें, 1/2 चम्मच जीरा, 1/2 चम्मच राई, 5 करी पत्ते, 1 हरी मिर्च - बारीक कटी हुई, 3 लहसुन - बारीक कटे हुए, 1 प्याज - बारीक कटा हुआ, 1 टमाटर - कटा हुआ, 1/4 कप दही, 1 चम्मच लाल मिर्च पाउडर, 1/2 चम्मच हल्दी पाउडर, 1/2 चम्मच धनिया पाउडर,"&amp;" नमक - स्वादानुसार, पानी - आवश्यकतानुसार, तेल - आवश्यकतानुसार")</f>
        <v>1-1/2 कप लौकी - छीलकर काट लें, 1/2 चम्मच जीरा, 1/2 चम्मच राई, 5 करी पत्ते, 1 हरी मिर्च - बारीक कटी हुई, 3 लहसुन - बारीक कटे हुए, 1 प्याज - बारीक कटा हुआ, 1 टमाटर - कटा हुआ, 1/4 कप दही, 1 चम्मच लाल मिर्च पाउडर, 1/2 चम्मच हल्दी पाउडर, 1/2 चम्मच धनिया पाउडर, नमक - स्वादानुसार, पानी - आवश्यकतानुसार, तेल - आवश्यकतानुसार</v>
      </c>
      <c r="H926" s="1" t="s">
        <v>34665</v>
      </c>
      <c r="I926" s="1" t="str">
        <f ca="1">IFERROR(__xludf.dummyfunction("IF(H926="""", """", GOOGLETRANSLATE(H926, ""en"", ""hi""))"),"""सूखी दही वाली लौकी (Sukhi Dahi Wali Lauki) बनाने के लिए सबसे पहले एक पैन में तेल गर्म करें. इसमें जीरा, राई, करी पत्ता और हरी मिर्च डालें. 10 से 15 सेकंड के बाद, लहसुन और प्याज डालें. प्याज के नरम होने तक पकाएं. प्याज के नरम होने के बाद, कटी हुई लौकी डा"&amp;"लें. मिक्स करें और फिर नमक, हल्दी पाउडर डालें और सभी चीजों को फिर से मिलाएँ. 3 से 4 मिनट तक पकाएँ. इसके बाद टमाटर, लाल मिर्च पाउडर और धनिया पाउडर डालें. सभी चीजों को मिलाएँ और पैन को ढक दें. अब एक कटोरे में दही और पानी मिलाकर एक तरफ रख दें. जब लौकी नरम हो"&amp;" जाए, तो आंच धीमी कर दें और दही डालें. इसे मिलाते रहें. दही के लौकी के साथ अच्छी तरह मिल जाने के बाद, पैन को फिर से ढक दें और अगले 5 मिनट तक पकाएँ. 5 मिनट बाद गरमागरम परोसें. दोपहर के खाने में सूखी दही वाली लौकी को राजस्थानी कढ़ी, खिचिया चूरी और फुल्के के"&amp;" साथ परोसें.""")</f>
        <v>"सूखी दही वाली लौकी (Sukhi Dahi Wali Lauki) बनाने के लिए सबसे पहले एक पैन में तेल गर्म करें. इसमें जीरा, राई, करी पत्ता और हरी मिर्च डालें. 10 से 15 सेकंड के बाद, लहसुन और प्याज डालें. प्याज के नरम होने तक पकाएं. प्याज के नरम होने के बाद, कटी हुई लौकी डालें. मिक्स करें और फिर नमक, हल्दी पाउडर डालें और सभी चीजों को फिर से मिलाएँ. 3 से 4 मिनट तक पकाएँ. इसके बाद टमाटर, लाल मिर्च पाउडर और धनिया पाउडर डालें. सभी चीजों को मिलाएँ और पैन को ढक दें. अब एक कटोरे में दही और पानी मिलाकर एक तरफ रख दें. जब लौकी नरम हो जाए, तो आंच धीमी कर दें और दही डालें. इसे मिलाते रहें. दही के लौकी के साथ अच्छी तरह मिल जाने के बाद, पैन को फिर से ढक दें और अगले 5 मिनट तक पकाएँ. 5 मिनट बाद गरमागरम परोसें. दोपहर के खाने में सूखी दही वाली लौकी को राजस्थानी कढ़ी, खिचिया चूरी और फुल्के के साथ परोसें."</v>
      </c>
      <c r="J926" s="3" t="s">
        <v>34666</v>
      </c>
      <c r="L926" s="1" t="s">
        <v>31003</v>
      </c>
    </row>
    <row r="927" spans="1:12" ht="13.8">
      <c r="A927" s="1" t="s">
        <v>34667</v>
      </c>
      <c r="B927" s="1" t="str">
        <f ca="1">IFERROR(__xludf.dummyfunction("IF(A927="""", """", GOOGLETRANSLATE(A927, ""en"", ""hi""))"),"गुलाब और केसर सिरप के साथ मालपुआ रेसिपी")</f>
        <v>गुलाब और केसर सिरप के साथ मालपुआ रेसिपी</v>
      </c>
      <c r="C927" s="1" t="s">
        <v>8417</v>
      </c>
      <c r="D927" s="1" t="s">
        <v>14198</v>
      </c>
      <c r="E927" s="1">
        <v>130</v>
      </c>
      <c r="F927" s="1" t="s">
        <v>34668</v>
      </c>
      <c r="G927" s="1" t="str">
        <f ca="1">IFERROR(__xludf.dummyfunction("IF(F927="""", """", GOOGLETRANSLATE(F927, ""en"", ""hi""))"),"1 कप दूध, 1/2 कप सूजी (सूजी / रवा), 1/2 कप मैदा, 1/3 कप खोया (मावा), 1/4 चम्मच बेकिंग पाउडर, 2 बड़े चम्मच चीनी, 1/2 चम्मच सौंफ (सौंफ) - कुचल, 1/4 चम्मच इलायची (इलायची) फली / बीज - कुचल, 1/4 कप किशमिश, पिस्ता - या बादाम गार्निश करने के लिए, सूरजमुखी तेल - "&amp;"तलने के लिए, 2 कप चीनी, 1-3/4 कप पानी, 5 इलायची (इलायची) फली / बीज, 8 केसर, 1 चम्मच गुलाब सार, रबड़ी - मोटी जमी हुई क्रीम")</f>
        <v>1 कप दूध, 1/2 कप सूजी (सूजी / रवा), 1/2 कप मैदा, 1/3 कप खोया (मावा), 1/4 चम्मच बेकिंग पाउडर, 2 बड़े चम्मच चीनी, 1/2 चम्मच सौंफ (सौंफ) - कुचल, 1/4 चम्मच इलायची (इलायची) फली / बीज - कुचल, 1/4 कप किशमिश, पिस्ता - या बादाम गार्निश करने के लिए, सूरजमुखी तेल - तलने के लिए, 2 कप चीनी, 1-3/4 कप पानी, 5 इलायची (इलायची) फली / बीज, 8 केसर, 1 चम्मच गुलाब सार, रबड़ी - मोटी जमी हुई क्रीम</v>
      </c>
      <c r="H927" s="1" t="s">
        <v>34669</v>
      </c>
      <c r="I927" s="1" t="str">
        <f ca="1">IFERROR(__xludf.dummyfunction("IF(H927="""", """", GOOGLETRANSLATE(H927, ""en"", ""hi""))"),"गुलाब और केसर की चाशनी के साथ मालपुआ बनाने के लिए सबसे पहले एक सॉस पैन में दूध डालें और उबलने दें। जब दूध उबलने लगे तो आंच बंद कर दें। दूध में सूजी डालकर अच्छी तरह मिलाएँ। इसे 15-20 मिनट तक ऐसे ही रहने दें और फिर से अच्छी तरह मिलाएँ। आटा, चीनी और मावा डाल"&amp;"कर अच्छी तरह मिलाएँ। मिश्रण में डालने से पहले मावा/खोया को कद्दूकस कर लें। इसमें कुटी हुई सौंफ, इलायची के बीज और किशमिश डालकर हल्के हाथों मिलाएँ। मिश्रण को ढककर कम से कम एक घंटे के लिए ऐसे ही रहने दें। अगला चरण है चाशनी बनाना। एक सॉस पैन में मापी हुई मात्"&amp;"रा में चीनी और पानी डालें और उबलने दें। जब चीनी पूरी तरह से घुल जाए तो आंच को मध्यम कर दें। चाशनी में स्वाद के लिए इलायची, केसर और गुलाब डालें। चाशनी को गर्म रखें। अब पैनकेक/मालपुआ बनाने के लिए एक गहरे फ्राइंग पैन में तलने के लिए पर्याप्त तेल गर्म करें। ज"&amp;"ैसे ही तेल गर्म हो रहा है, बैटर को अच्छी तरह से फेंटें। तलने से ठीक पहले बैटर में बेकिंग पाउडर डालें। तेल गर्म होने पर इसे सबसे कम कर दें। इसके बाद, एक करछुल भर घोल लें, इसे धीरे से तेल में डालें और छुएँ नहीं। जब यह सुनहरा भूरा होने लगे, तो इसे पलट दें और"&amp;" दूसरी तरफ भी तलने दें। अच्छी तरह से भूरा होने तक डीप फ्राई करें। किनारे कुरकुरे होने लगेंगे लेकिन बीच में अभी भी थोड़ा नरम होना चाहिए। पैनकेक को टिश्यू पर निकाल लें। इसे गरम गुलाब और केसर की चाशनी में डुबोएं। मालपुआ परोसने के लिए, पैनकेक/मालपुआ को चाशनी "&amp;"से निकालें, उन्हें अलग-अलग प्लेटों में डालें, ऊपर से थोड़ा सा चाशनी डालें और बादाम और पिस्ता से गार्निश करें। ठंडी रबड़ी के साथ परोसें। गुलाब और केसर की चाशनी के साथ मालपुआ को अपने भोजन के बाद मिठाई के रूप में परोसें या आप इसे अपने मेहमानों को मटर समोसा य"&amp;"ा मूंग दाल मिनी समोसे जैसे कुछ मसालेदार नाश्ते के साथ भी परोस सकते हैं।")</f>
        <v>गुलाब और केसर की चाशनी के साथ मालपुआ बनाने के लिए सबसे पहले एक सॉस पैन में दूध डालें और उबलने दें। जब दूध उबलने लगे तो आंच बंद कर दें। दूध में सूजी डालकर अच्छी तरह मिलाएँ। इसे 15-20 मिनट तक ऐसे ही रहने दें और फिर से अच्छी तरह मिलाएँ। आटा, चीनी और मावा डालकर अच्छी तरह मिलाएँ। मिश्रण में डालने से पहले मावा/खोया को कद्दूकस कर लें। इसमें कुटी हुई सौंफ, इलायची के बीज और किशमिश डालकर हल्के हाथों मिलाएँ। मिश्रण को ढककर कम से कम एक घंटे के लिए ऐसे ही रहने दें। अगला चरण है चाशनी बनाना। एक सॉस पैन में मापी हुई मात्रा में चीनी और पानी डालें और उबलने दें। जब चीनी पूरी तरह से घुल जाए तो आंच को मध्यम कर दें। चाशनी में स्वाद के लिए इलायची, केसर और गुलाब डालें। चाशनी को गर्म रखें। अब पैनकेक/मालपुआ बनाने के लिए एक गहरे फ्राइंग पैन में तलने के लिए पर्याप्त तेल गर्म करें। जैसे ही तेल गर्म हो रहा है, बैटर को अच्छी तरह से फेंटें। तलने से ठीक पहले बैटर में बेकिंग पाउडर डालें। तेल गर्म होने पर इसे सबसे कम कर दें। इसके बाद, एक करछुल भर घोल लें, इसे धीरे से तेल में डालें और छुएँ नहीं। जब यह सुनहरा भूरा होने लगे, तो इसे पलट दें और दूसरी तरफ भी तलने दें। अच्छी तरह से भूरा होने तक डीप फ्राई करें। किनारे कुरकुरे होने लगेंगे लेकिन बीच में अभी भी थोड़ा नरम होना चाहिए। पैनकेक को टिश्यू पर निकाल लें। इसे गरम गुलाब और केसर की चाशनी में डुबोएं। मालपुआ परोसने के लिए, पैनकेक/मालपुआ को चाशनी से निकालें, उन्हें अलग-अलग प्लेटों में डालें, ऊपर से थोड़ा सा चाशनी डालें और बादाम और पिस्ता से गार्निश करें। ठंडी रबड़ी के साथ परोसें। गुलाब और केसर की चाशनी के साथ मालपुआ को अपने भोजन के बाद मिठाई के रूप में परोसें या आप इसे अपने मेहमानों को मटर समोसा या मूंग दाल मिनी समोसे जैसे कुछ मसालेदार नाश्ते के साथ भी परोस सकते हैं।</v>
      </c>
      <c r="J927" s="3" t="s">
        <v>34670</v>
      </c>
      <c r="L927" s="1" t="s">
        <v>31003</v>
      </c>
    </row>
    <row r="928" spans="1:12" ht="13.8">
      <c r="A928" s="1" t="s">
        <v>34671</v>
      </c>
      <c r="B928" s="1" t="str">
        <f ca="1">IFERROR(__xludf.dummyfunction("IF(A928="""", """", GOOGLETRANSLATE(A928, ""en"", ""hi""))"),"उच्च प्रोटीन ब्रोकोली और डिल भरवां पराठा रेसिपी")</f>
        <v>उच्च प्रोटीन ब्रोकोली और डिल भरवां पराठा रेसिपी</v>
      </c>
      <c r="C928" s="1" t="s">
        <v>145</v>
      </c>
      <c r="D928" s="1" t="s">
        <v>14198</v>
      </c>
      <c r="E928" s="1">
        <v>55</v>
      </c>
      <c r="F928" s="1" t="s">
        <v>34672</v>
      </c>
      <c r="G928" s="1" t="str">
        <f ca="1">IFERROR(__xludf.dummyfunction("IF(F928="""", """", GOOGLETRANSLATE(F928, ""en"", ""hi""))"),"1 कप गेहूं का आटा, 1 चम्मच नमक, पानी - आवश्यकतानुसार, 1/2 कप बेसन, 1 कप ब्रोकोली - छोटे टुकड़ों में पीसा हुआ, 1/2 कप डिल के पत्ते - कटे हुए, 1 लाल शिमला मिर्च (कैप्सिकम) - कटी हुई, 1 प्याज - कटा हुआ, 1 इंच अदरक - कटा हुआ, 4 लहसुन के टुकड़े - कटा हुआ, 1 चम"&amp;"्मच लाल मिर्च पाउडर, 1 चम्मच हल्दी पाउडर (हल्दी), नमक - स्वादानुसार, सूरजमुखी का तेल")</f>
        <v>1 कप गेहूं का आटा, 1 चम्मच नमक, पानी - आवश्यकतानुसार, 1/2 कप बेसन, 1 कप ब्रोकोली - छोटे टुकड़ों में पीसा हुआ, 1/2 कप डिल के पत्ते - कटे हुए, 1 लाल शिमला मिर्च (कैप्सिकम) - कटी हुई, 1 प्याज - कटा हुआ, 1 इंच अदरक - कटा हुआ, 4 लहसुन के टुकड़े - कटा हुआ, 1 चम्मच लाल मिर्च पाउडर, 1 चम्मच हल्दी पाउडर (हल्दी), नमक - स्वादानुसार, सूरजमुखी का तेल</v>
      </c>
      <c r="H928" s="1" t="s">
        <v>34673</v>
      </c>
      <c r="I928" s="1" t="str">
        <f ca="1">IFERROR(__xludf.dummyfunction("IF(H928="""", """", GOOGLETRANSLATE(H928, ""en"", ""hi""))"),"हम आटे के लिए मिश्रण करके हाई प्रोटीन ब्रोकोली और डिल स्टफ्ड पराठा रेसिपी बनाना शुरू करते हैं, सभी सामग्री जोड़ें और धीरे-धीरे पानी डालते हुए इसे सख्त और चिपचिपा न होने वाला आटा गूंथ लें। इसे ढककर एक तरफ रख दें। अब स्टफिंग बनाने के लिए, एक सॉस पैन गरम करे"&amp;"ं, जीरा और हींग चटकाएं। कटी हुई सब्जियां डालें और पकने तक भूनें। एक अलग कटोरे में लाल मिर्च पाउडर, नमक बेसन और पानी डालें, अच्छी तरह मिलाएँ, एक तरफ रख दें। फिर इसे भूनी हुई सब्जियों में मिला दें। अच्छी तरह मिलाएँ और पकने तक पकाएँ। मसाले की जाँच करें और अच"&amp;"्छी तरह भूनें। इसे ठंडा होने के लिए छोड़ दें। अब पराठा बनाना शुरू करने के लिए, थोड़ा आटा छिड़कने के लिए अलग रख दें। आटे को बड़े नींबू की तरफ की गेंदों में विभाजित करें। ध्यान रखें, अगर आटा बहुत पतला बेल लिया जाए तो भरावन बाहर निकल सकता है। अब प्रोटीन ब्रो"&amp;"कली और डिल पराठा पकाने के लिए सबसे पहले कड़ाही को मध्यम आंच पर गर्म कर लें। बेले हुए पराठे को ऊपर रखें और एक तरफ से पकने दें। लगभग 10 से 15 सेकंड के बाद पराठे को पलट दें। इस अवस्था में पराठे को पकाने के लिए उस पर थोड़ा तेल या घी लगाएं। पराठे को एक-दो बार "&amp;"पलट कर तब तक पकाएं जब तक कि दोनों तरफ सुनहरे भूरे रंग के धब्बे न आ जाएं। बचे हुए आटे के हिस्से के साथ भी यही प्रक्रिया अपनाएं और पराठों को गर्मागर्म सर्व करें। हाई प्रोटीन ब्रोकली और डिल स्टफ्ड पराठा रेसिपी को अपने बच्चों के लंच बॉक्स में लंच के तौर पर पर"&amp;"ोसें या रविवार को लंच में खाएं।")</f>
        <v>हम आटे के लिए मिश्रण करके हाई प्रोटीन ब्रोकोली और डिल स्टफ्ड पराठा रेसिपी बनाना शुरू करते हैं, सभी सामग्री जोड़ें और धीरे-धीरे पानी डालते हुए इसे सख्त और चिपचिपा न होने वाला आटा गूंथ लें। इसे ढककर एक तरफ रख दें। अब स्टफिंग बनाने के लिए, एक सॉस पैन गरम करें, जीरा और हींग चटकाएं। कटी हुई सब्जियां डालें और पकने तक भूनें। एक अलग कटोरे में लाल मिर्च पाउडर, नमक बेसन और पानी डालें, अच्छी तरह मिलाएँ, एक तरफ रख दें। फिर इसे भूनी हुई सब्जियों में मिला दें। अच्छी तरह मिलाएँ और पकने तक पकाएँ। मसाले की जाँच करें और अच्छी तरह भूनें। इसे ठंडा होने के लिए छोड़ दें। अब पराठा बनाना शुरू करने के लिए, थोड़ा आटा छिड़कने के लिए अलग रख दें। आटे को बड़े नींबू की तरफ की गेंदों में विभाजित करें। ध्यान रखें, अगर आटा बहुत पतला बेल लिया जाए तो भरावन बाहर निकल सकता है। अब प्रोटीन ब्रोकली और डिल पराठा पकाने के लिए सबसे पहले कड़ाही को मध्यम आंच पर गर्म कर लें। बेले हुए पराठे को ऊपर रखें और एक तरफ से पकने दें। लगभग 10 से 15 सेकंड के बाद पराठे को पलट दें। इस अवस्था में पराठे को पकाने के लिए उस पर थोड़ा तेल या घी लगाएं। पराठे को एक-दो बार पलट कर तब तक पकाएं जब तक कि दोनों तरफ सुनहरे भूरे रंग के धब्बे न आ जाएं। बचे हुए आटे के हिस्से के साथ भी यही प्रक्रिया अपनाएं और पराठों को गर्मागर्म सर्व करें। हाई प्रोटीन ब्रोकली और डिल स्टफ्ड पराठा रेसिपी को अपने बच्चों के लंच बॉक्स में लंच के तौर पर परोसें या रविवार को लंच में खाएं।</v>
      </c>
      <c r="J928" s="3" t="s">
        <v>34674</v>
      </c>
      <c r="L928" s="1" t="s">
        <v>31003</v>
      </c>
    </row>
    <row r="929" spans="1:12" ht="409.6">
      <c r="A929" s="1" t="s">
        <v>32326</v>
      </c>
      <c r="B929" s="1" t="str">
        <f ca="1">IFERROR(__xludf.dummyfunction("IF(A929="""", """", GOOGLETRANSLATE(A929, ""en"", ""hi""))"),"चने का सूप रेसिपी")</f>
        <v>चने का सूप रेसिपी</v>
      </c>
      <c r="C929" s="1" t="s">
        <v>429</v>
      </c>
      <c r="D929" s="1" t="s">
        <v>14237</v>
      </c>
      <c r="E929" s="1">
        <v>35</v>
      </c>
      <c r="F929" s="1" t="s">
        <v>34675</v>
      </c>
      <c r="G929" s="1" t="str">
        <f ca="1">IFERROR(__xludf.dummyfunction("IF(F929="""", """", GOOGLETRANSLATE(F929, ""en"", ""hi""))"),"1/2 कप काबुली चना, 1 प्याज - कटा हुआ, 1 चम्मच अदरक लहसुन पेस्ट, 1 चम्मच तुलसी पाउडर - या अजवायन, 1/2 चम्मच लाल मिर्च के गुच्छे, 1 चम्मच काली मिर्च पाउडर, हल्दी पाउडर (हल्दी) - एक चुटकी, 1 चम्मच सूरजमुखी तेल, नींबू का रस - स्वादानुसार, नमक - स्वादानुसार")</f>
        <v>1/2 कप काबुली चना, 1 प्याज - कटा हुआ, 1 चम्मच अदरक लहसुन पेस्ट, 1 चम्मच तुलसी पाउडर - या अजवायन, 1/2 चम्मच लाल मिर्च के गुच्छे, 1 चम्मच काली मिर्च पाउडर, हल्दी पाउडर (हल्दी) - एक चुटकी, 1 चम्मच सूरजमुखी तेल, नींबू का रस - स्वादानुसार, नमक - स्वादानुसार</v>
      </c>
      <c r="H929" s="4" t="s">
        <v>34676</v>
      </c>
      <c r="I929" s="1" t="str">
        <f ca="1">IFERROR(__xludf.dummyfunction("IF(H929="""", """", GOOGLETRANSLATE(H929, ""en"", ""hi""))"),"छोले का सूप बनाने की विधि शुरू करने के लिए, छोले को धोकर 8 से 10 घंटे के लिए भिगो दें। छोले को 3 से 4 सीटी आने तक पकाएं जब तक वे नरम न हो जाएं। पकाते समय एक कप पानी और एक चुटकी हल्दी मिलाएं। छोले को ठंडा होने दें। एक बार जब वे संभालने लायक ठंडे हो जाएं, त"&amp;"ो थोड़ा और पानी डालें और छोले को एक सुपर स्मूद पेस्ट में मिला लें। एक कड़ाही में एक चम्मच तेल गर्म करें। कटे हुए प्याज, अदरक लहसुन के पेस्ट को कच्ची महक जाने तक भूनें। छोले की प्यूरी डालें और मनचाहा गाढ़ापन पाने के लिए आवश्यकतानुसार पानी डालें। नमक, तुलसी"&amp;" पाउडर, मिर्च के गुच्छे डालें और उबाल लें। अंत में, ताज़ी पिसी काली मिर्च पाउडर और नींबू की कुछ बूंदें डालें और 2 मिनट तक उबालें")</f>
        <v>छोले का सूप बनाने की विधि शुरू करने के लिए, छोले को धोकर 8 से 10 घंटे के लिए भिगो दें। छोले को 3 से 4 सीटी आने तक पकाएं जब तक वे नरम न हो जाएं। पकाते समय एक कप पानी और एक चुटकी हल्दी मिलाएं। छोले को ठंडा होने दें। एक बार जब वे संभालने लायक ठंडे हो जाएं, तो थोड़ा और पानी डालें और छोले को एक सुपर स्मूद पेस्ट में मिला लें। एक कड़ाही में एक चम्मच तेल गर्म करें। कटे हुए प्याज, अदरक लहसुन के पेस्ट को कच्ची महक जाने तक भूनें। छोले की प्यूरी डालें और मनचाहा गाढ़ापन पाने के लिए आवश्यकतानुसार पानी डालें। नमक, तुलसी पाउडर, मिर्च के गुच्छे डालें और उबाल लें। अंत में, ताज़ी पिसी काली मिर्च पाउडर और नींबू की कुछ बूंदें डालें और 2 मिनट तक उबालें</v>
      </c>
      <c r="J929" s="3" t="s">
        <v>34677</v>
      </c>
      <c r="L929" s="1" t="s">
        <v>31003</v>
      </c>
    </row>
    <row r="930" spans="1:12" ht="13.8">
      <c r="A930" s="1" t="s">
        <v>34678</v>
      </c>
      <c r="B930" s="1" t="str">
        <f ca="1">IFERROR(__xludf.dummyfunction("IF(A930="""", """", GOOGLETRANSLATE(A930, ""en"", ""hi""))"),"पंजीरी लड्डू")</f>
        <v>पंजीरी लड्डू</v>
      </c>
      <c r="C930" s="1" t="s">
        <v>8417</v>
      </c>
      <c r="D930" s="1" t="s">
        <v>14198</v>
      </c>
      <c r="E930" s="1">
        <v>15</v>
      </c>
      <c r="F930" s="1" t="s">
        <v>34679</v>
      </c>
      <c r="G930" s="1" t="str">
        <f ca="1">IFERROR(__xludf.dummyfunction("IF(F930="""", """", GOOGLETRANSLATE(F930, ""en"", ""hi""))"),"75 ग्राम सोंठ, 15 ग्राम जीरा, 15 ग्राम अजवाइन, 15 ग्राम धनिया, 15 ग्राम साबुत काली मिर्च, 15 ग्राम सौंफ, 125 ग्राम घी, 500 ग्राम चीनी (पिसी हुई)")</f>
        <v>75 ग्राम सोंठ, 15 ग्राम जीरा, 15 ग्राम अजवाइन, 15 ग्राम धनिया, 15 ग्राम साबुत काली मिर्च, 15 ग्राम सौंफ, 125 ग्राम घी, 500 ग्राम चीनी (पिसी हुई)</v>
      </c>
      <c r="H930" s="1" t="s">
        <v>34680</v>
      </c>
      <c r="I930" s="1" t="str">
        <f ca="1">IFERROR(__xludf.dummyfunction("IF(H930="""", """", GOOGLETRANSLATE(H930, ""en"", ""hi""))"),"पंजीरी लड्डू बनाने के लिए सबसे पहले सोंठ, सूखा धनिया, जीरा, अजवाइन, काली मिर्च, सौंफ को मिक्सर में पीस लें। पिसे हुए मिश्रण को एक बर्तन में निकाल लें। इसमें चीनी और घी डालें। सारी सामग्री को मिलाकर लड्डू बना लें। इस पर तुलसी के पत्ते रखें और प्रसाद के रूप"&amp;" में चढ़ाएं। जन्माष्टमी के दिन पारंपरिक पंजीरी लड्डू को प्रसाद के रूप में परोसें।")</f>
        <v>पंजीरी लड्डू बनाने के लिए सबसे पहले सोंठ, सूखा धनिया, जीरा, अजवाइन, काली मिर्च, सौंफ को मिक्सर में पीस लें। पिसे हुए मिश्रण को एक बर्तन में निकाल लें। इसमें चीनी और घी डालें। सारी सामग्री को मिलाकर लड्डू बना लें। इस पर तुलसी के पत्ते रखें और प्रसाद के रूप में चढ़ाएं। जन्माष्टमी के दिन पारंपरिक पंजीरी लड्डू को प्रसाद के रूप में परोसें।</v>
      </c>
      <c r="J930" s="3" t="s">
        <v>34681</v>
      </c>
      <c r="L930" s="1" t="s">
        <v>31003</v>
      </c>
    </row>
    <row r="931" spans="1:12" ht="13.8">
      <c r="A931" s="1" t="s">
        <v>34682</v>
      </c>
      <c r="B931" s="1" t="str">
        <f ca="1">IFERROR(__xludf.dummyfunction("IF(A931="""", """", GOOGLETRANSLATE(A931, ""en"", ""hi""))"),"राजस्थानी हरी मिर्च का मास रेसिपी")</f>
        <v>राजस्थानी हरी मिर्च का मास रेसिपी</v>
      </c>
      <c r="C931" s="1" t="s">
        <v>14259</v>
      </c>
      <c r="D931" s="1" t="s">
        <v>14382</v>
      </c>
      <c r="E931" s="1">
        <v>55</v>
      </c>
      <c r="F931" s="1" t="s">
        <v>34683</v>
      </c>
      <c r="G931" s="1" t="str">
        <f ca="1">IFERROR(__xludf.dummyfunction("IF(F931="""", """", GOOGLETRANSLATE(F931, ""en"", ""hi""))"),"400 ग्राम मटन - हड्डी सहित, 3 हरी मिर्च, 1 बड़ा चम्मच नींबू का रस, नमक - स्वादानुसार, 1/2 छोटा चम्मच हल्दी, 2 बड़े चम्मच घी, 1 बड़ा चम्मच अदरक - बारीक कटा हुआ, 1 बड़ा चम्मच लहसुन - बारीक कटा हुआ, 2 प्याज - पतले कटे हुए, 1/2 कप दही, 2 टहनी धनिया - बारीक कट"&amp;"ा हुआ, 1 हरी मिर्च - बड़े आकार की, 1/2 छोटा चम्मच लाल मिर्च पाउडर")</f>
        <v>400 ग्राम मटन - हड्डी सहित, 3 हरी मिर्च, 1 बड़ा चम्मच नींबू का रस, नमक - स्वादानुसार, 1/2 छोटा चम्मच हल्दी, 2 बड़े चम्मच घी, 1 बड़ा चम्मच अदरक - बारीक कटा हुआ, 1 बड़ा चम्मच लहसुन - बारीक कटा हुआ, 2 प्याज - पतले कटे हुए, 1/2 कप दही, 2 टहनी धनिया - बारीक कटा हुआ, 1 हरी मिर्च - बड़े आकार की, 1/2 छोटा चम्मच लाल मिर्च पाउडर</v>
      </c>
      <c r="H931" s="1" t="s">
        <v>34684</v>
      </c>
      <c r="I931" s="1" t="str">
        <f ca="1">IFERROR(__xludf.dummyfunction("IF(H931="""", """", GOOGLETRANSLATE(H931, ""en"", ""hi""))"),"राजस्थानी हरी मिर्च का मास रेसिपी बनाने के लिए सबसे पहले हमें ताजी हरी मिर्च भूननी होगी। हरी मिर्च को मध्यम आंच पर लगभग एक मिनट तक भूनें जब तक कि वह थोड़ी सी मुरझा न जाए और आंच बंद कर दें। हरी मिर्च को मिक्सर जार में डालें और बहुत कम पानी के साथ पेस्ट बना"&amp;" लें। एक बड़े मिक्सिंग बाउल में डालें। मिक्सिंग बाउल में नमक, हल्दी पाउडर, नींबू का रस और मटन के टुकड़े डालें। अच्छी तरह मिलाएं और मटन को लगभग एक घंटे के लिए मैरिनेट होने दें। राजस्थानी हरी मिर्च का मास रेसिपी बनाने के लिए आगे बढ़ें मध्यम आंच पर घी के साथ"&amp;" प्रेशर कुकर गरम करें, गरम घी में प्याज, अदरक-लहसुन डालें और प्याज को हल्का भूरा होने तक भूनें। जब अदरक, लहसुन और प्याज अच्छी तरह से पक जाए नमक को अपने स्वादानुसार समायोजित करें, लगभग आधा कप पानी डालें और इसे अच्छी तरह मिलाएँ। प्रेशर कुकर को बंद करें और 3"&amp;"-4 सीटी आने तक पकाएँ। आंच बंद कर दें और प्रेशर को स्वाभाविक रूप से निकलने दें। प्रेशर निकल जाने के बाद, कुकर खोलें और धनिया पत्ती मिलाएँ। राजस्थानी हरी मिर्च का मास को एक सर्विंग बाउल में डालें और गरमागरम परोसें। राजस्थानी हरी मिर्च का मास रेसिपी को साबुत"&amp;" मसालों से बनी ढाबा स्टाइल मसालेदार घी चावल रेसिपी, अचार वाले प्याज की रेसिपी के साथ एक आत्मिक आरामदायक भोजन के लिए परोसें।")</f>
        <v>राजस्थानी हरी मिर्च का मास रेसिपी बनाने के लिए सबसे पहले हमें ताजी हरी मिर्च भूननी होगी। हरी मिर्च को मध्यम आंच पर लगभग एक मिनट तक भूनें जब तक कि वह थोड़ी सी मुरझा न जाए और आंच बंद कर दें। हरी मिर्च को मिक्सर जार में डालें और बहुत कम पानी के साथ पेस्ट बना लें। एक बड़े मिक्सिंग बाउल में डालें। मिक्सिंग बाउल में नमक, हल्दी पाउडर, नींबू का रस और मटन के टुकड़े डालें। अच्छी तरह मिलाएं और मटन को लगभग एक घंटे के लिए मैरिनेट होने दें। राजस्थानी हरी मिर्च का मास रेसिपी बनाने के लिए आगे बढ़ें मध्यम आंच पर घी के साथ प्रेशर कुकर गरम करें, गरम घी में प्याज, अदरक-लहसुन डालें और प्याज को हल्का भूरा होने तक भूनें। जब अदरक, लहसुन और प्याज अच्छी तरह से पक जाए नमक को अपने स्वादानुसार समायोजित करें, लगभग आधा कप पानी डालें और इसे अच्छी तरह मिलाएँ। प्रेशर कुकर को बंद करें और 3-4 सीटी आने तक पकाएँ। आंच बंद कर दें और प्रेशर को स्वाभाविक रूप से निकलने दें। प्रेशर निकल जाने के बाद, कुकर खोलें और धनिया पत्ती मिलाएँ। राजस्थानी हरी मिर्च का मास को एक सर्विंग बाउल में डालें और गरमागरम परोसें। राजस्थानी हरी मिर्च का मास रेसिपी को साबुत मसालों से बनी ढाबा स्टाइल मसालेदार घी चावल रेसिपी, अचार वाले प्याज की रेसिपी के साथ एक आत्मिक आरामदायक भोजन के लिए परोसें।</v>
      </c>
      <c r="J931" s="3" t="s">
        <v>34685</v>
      </c>
      <c r="L931" s="1" t="s">
        <v>31003</v>
      </c>
    </row>
    <row r="932" spans="1:12" ht="409.6">
      <c r="A932" s="1" t="s">
        <v>34686</v>
      </c>
      <c r="B932" s="1" t="str">
        <f ca="1">IFERROR(__xludf.dummyfunction("IF(A932="""", """", GOOGLETRANSLATE(A932, ""en"", ""hi""))"),"नवाबी कोफ्ता करी रेसिपी")</f>
        <v>नवाबी कोफ्ता करी रेसिपी</v>
      </c>
      <c r="C932" s="1" t="s">
        <v>429</v>
      </c>
      <c r="D932" s="1" t="s">
        <v>14198</v>
      </c>
      <c r="E932" s="1">
        <v>75</v>
      </c>
      <c r="F932" s="1" t="s">
        <v>34687</v>
      </c>
      <c r="G932" s="1" t="str">
        <f ca="1">IFERROR(__xludf.dummyfunction("IF(F932="""", """", GOOGLETRANSLATE(F932, ""en"", ""hi""))"),"4 आलू - उबले और छिलके उतारे हुए, 1 चम्मच काली मिर्च पाउडर, 250 ग्राम पनीर - टुकड़े किये हुए, 2 बड़े चम्मच काजू - कटे हुए, 2 बड़े चम्मच किशमिश - कटी हुई, 2 हरी मिर्च - बारीक कटी हुई, 2 टहनी धनिया - कटी हुई, 1 चम्मच जीरा पाउडर, 1 चम्मच गरम मसाला पाउडर, नमक "&amp;"- स्वादानुसार, 2 कप घर का बना टमाटर प्यूरी, 2 बड़े चम्मच घी, 2 प्याज - कटा हुआ, 5 लहसुन के दाने, 1 इंच अदरक, 1 चम्मच सौंफ, 1 चम्मच धनिया के बीज, 2 लौंग, 1 इंच दालचीनी, 2 इलायची, 1/2 चम्मच हल्दी पाउडर, 1 चम्मच कश्मीरी लाल मिर्च पाउडर, 1/4 कप ताजा क्रीम, नम"&amp;"क - स्वादानुसार, 2 टहनी धनिया पत्ते - सजाने के लिए कटे हुए")</f>
        <v>4 आलू - उबले और छिलके उतारे हुए, 1 चम्मच काली मिर्च पाउडर, 250 ग्राम पनीर - टुकड़े किये हुए, 2 बड़े चम्मच काजू - कटे हुए, 2 बड़े चम्मच किशमिश - कटी हुई, 2 हरी मिर्च - बारीक कटी हुई, 2 टहनी धनिया - कटी हुई, 1 चम्मच जीरा पाउडर, 1 चम्मच गरम मसाला पाउडर, नमक - स्वादानुसार, 2 कप घर का बना टमाटर प्यूरी, 2 बड़े चम्मच घी, 2 प्याज - कटा हुआ, 5 लहसुन के दाने, 1 इंच अदरक, 1 चम्मच सौंफ, 1 चम्मच धनिया के बीज, 2 लौंग, 1 इंच दालचीनी, 2 इलायची, 1/2 चम्मच हल्दी पाउडर, 1 चम्मच कश्मीरी लाल मिर्च पाउडर, 1/4 कप ताजा क्रीम, नमक - स्वादानुसार, 2 टहनी धनिया पत्ते - सजाने के लिए कटे हुए</v>
      </c>
      <c r="H932" s="4" t="s">
        <v>34688</v>
      </c>
      <c r="I932" s="1" t="str">
        <f ca="1">IFERROR(__xludf.dummyfunction("IF(H932="""", """", GOOGLETRANSLATE(H932, ""en"", ""hi""))"),"नवाबी कोफ्ता करी रेसिपी बनाने के लिए सबसे पहले हम करी के लिए कोफ्ते बनाएंगे। एक बड़े कटोरे में मैश किए हुए आलू को नमक और काली मिर्च पाउडर के साथ मिलाएं। अच्छी तरह मिलाकर चिकना मिश्रण बनाएं। हथेलियों पर तेल लगाकर उन्हें 6-8 बराबर भागों में बांटकर बॉल का आक"&amp;"ार दें। नवाबी कोफ्ते का भरावन बनाने के लिए, एक अन्य कटोरे में, टुकड़े किए हुए पनीर, काजू, किशमिश, हरी मिर्च, नमक, जीरा पाउडर, गरम मसाला पाउडर और धनिया पत्ती मिलाएं। अच्छी तरह मिलाकर मिलाएं, हथेलियों पर तेल लगाकर उन्हें 6-8 बराबर भागों में बांटकर बॉल का आक"&amp;"ार दें। इसके बाद अपनी उंगलियों और हथेलियों पर तेल लगाएं। आलू के मिश्रण का एक भाग लें और इसे अपनी हथेली पर चपटा करें बाकी के कोफ्ते बनाने के लिए इसी तरह आगे बढ़ें। एक पनियारम पैन को गर्म करें, मध्यम तेज़ आंच पर प्रत्येक गड्ढे में कुछ बूँद तेल डालें। एक बार"&amp;" जब तेल गर्म हो जाए, तो धीरे-धीरे कोफ्ते को प्रत्येक गड्ढे में डालें, पलटें और सुनहरा भूरा होने तक पकाएं। उन्हें एक सोखने वाले रसोई के तौलिये पर निकालें और एक तरफ रख दें। *नवाबी कोफ्ता करी बनाने के लिएएक छोटी कड़ाही में, सौंफ के बीज, धनिया के बीज, लौंग, द"&amp;"ालचीनी और इलायची को मध्यम धीमी आंच पर लगभग 3-4 मिनट के लिए या मसालों की सुगंध हवा में फैलने तक भूनें। आंच बंद कर दें, इसे ठंडा होने दें और मसालों को मिक्सर जार में डालें और मसालों को दरदरा पीस लें। एक मिक्सर जार में प्याज, लहसुन और अदरक डालें, एक मुलायम प"&amp;"ेस्ट बना लें इसमें ताजा पिसा हुआ मसाला मिश्रण डालें और तब तक हिलाएं जब तक आपको मसालों से सुगंध न आने लगे। टमाटर प्यूरी, हल्दी पाउडर, मिर्च पाउडर, चीनी डालें और लगभग 5 मिनट तक उबालें जब तक कि टमाटर उबलने न लगे और मसालेदार में अच्छी तरह से मिल न जाए, एक स्व"&amp;"ादिष्ट सुगंधित नवाबी कोफ्ता करी ग्रेवी बन जाए। यदि आवश्यक हो तो ताजा क्रीम और थोड़ा पानी डालें और कुछ और मिनट के लिए उबालें। नवाबी कोफ्ता करी रेसिपी को दाल मखनी, टमाटर प्याज तड़का रायता, बटर नान और वेजिटेबल पुलाव के साथ स्वादिष्ट वीकेंड मील के लिए परोसें।")</f>
        <v>नवाबी कोफ्ता करी रेसिपी बनाने के लिए सबसे पहले हम करी के लिए कोफ्ते बनाएंगे। एक बड़े कटोरे में मैश किए हुए आलू को नमक और काली मिर्च पाउडर के साथ मिलाएं। अच्छी तरह मिलाकर चिकना मिश्रण बनाएं। हथेलियों पर तेल लगाकर उन्हें 6-8 बराबर भागों में बांटकर बॉल का आकार दें। नवाबी कोफ्ते का भरावन बनाने के लिए, एक अन्य कटोरे में, टुकड़े किए हुए पनीर, काजू, किशमिश, हरी मिर्च, नमक, जीरा पाउडर, गरम मसाला पाउडर और धनिया पत्ती मिलाएं। अच्छी तरह मिलाकर मिलाएं, हथेलियों पर तेल लगाकर उन्हें 6-8 बराबर भागों में बांटकर बॉल का आकार दें। इसके बाद अपनी उंगलियों और हथेलियों पर तेल लगाएं। आलू के मिश्रण का एक भाग लें और इसे अपनी हथेली पर चपटा करें बाकी के कोफ्ते बनाने के लिए इसी तरह आगे बढ़ें। एक पनियारम पैन को गर्म करें, मध्यम तेज़ आंच पर प्रत्येक गड्ढे में कुछ बूँद तेल डालें। एक बार जब तेल गर्म हो जाए, तो धीरे-धीरे कोफ्ते को प्रत्येक गड्ढे में डालें, पलटें और सुनहरा भूरा होने तक पकाएं। उन्हें एक सोखने वाले रसोई के तौलिये पर निकालें और एक तरफ रख दें। *नवाबी कोफ्ता करी बनाने के लिएएक छोटी कड़ाही में, सौंफ के बीज, धनिया के बीज, लौंग, दालचीनी और इलायची को मध्यम धीमी आंच पर लगभग 3-4 मिनट के लिए या मसालों की सुगंध हवा में फैलने तक भूनें। आंच बंद कर दें, इसे ठंडा होने दें और मसालों को मिक्सर जार में डालें और मसालों को दरदरा पीस लें। एक मिक्सर जार में प्याज, लहसुन और अदरक डालें, एक मुलायम पेस्ट बना लें इसमें ताजा पिसा हुआ मसाला मिश्रण डालें और तब तक हिलाएं जब तक आपको मसालों से सुगंध न आने लगे। टमाटर प्यूरी, हल्दी पाउडर, मिर्च पाउडर, चीनी डालें और लगभग 5 मिनट तक उबालें जब तक कि टमाटर उबलने न लगे और मसालेदार में अच्छी तरह से मिल न जाए, एक स्वादिष्ट सुगंधित नवाबी कोफ्ता करी ग्रेवी बन जाए। यदि आवश्यक हो तो ताजा क्रीम और थोड़ा पानी डालें और कुछ और मिनट के लिए उबालें। नवाबी कोफ्ता करी रेसिपी को दाल मखनी, टमाटर प्याज तड़का रायता, बटर नान और वेजिटेबल पुलाव के साथ स्वादिष्ट वीकेंड मील के लिए परोसें।</v>
      </c>
      <c r="J932" s="3" t="s">
        <v>34689</v>
      </c>
      <c r="L932" s="1" t="s">
        <v>31003</v>
      </c>
    </row>
    <row r="933" spans="1:12" ht="13.8">
      <c r="A933" s="1" t="s">
        <v>33439</v>
      </c>
      <c r="B933" s="1" t="str">
        <f ca="1">IFERROR(__xludf.dummyfunction("IF(A933="""", """", GOOGLETRANSLATE(A933, ""en"", ""hi""))"),"हलीम के कबाब रेसिपी")</f>
        <v>हलीम के कबाब रेसिपी</v>
      </c>
      <c r="C933" s="1" t="s">
        <v>14572</v>
      </c>
      <c r="D933" s="1" t="s">
        <v>14367</v>
      </c>
      <c r="E933" s="1">
        <v>75</v>
      </c>
      <c r="F933" s="1" t="s">
        <v>34690</v>
      </c>
      <c r="G933" s="1" t="str">
        <f ca="1">IFERROR(__xludf.dummyfunction("IF(F933="""", """", GOOGLETRANSLATE(F933, ""en"", ""hi""))"),"1/4 कप दलिया - 4 घंटे भिगोया हुआ, 1/4 कप सफेद उड़द दाल - साबूत, 1/4 कप पीली मूंग दाल - फटी हुई, 1/4 कप चना दाल - 4 घंटे भिगोया हुआ, 500 ग्राम मटन - टुकड़ों में कटा हुआ, 2 इंच अदरक - बारीक कटा हुआ, 10 लहसुन - बारीक कटा हुआ, नमक - स्वादानुसार, केसर - थोड़ा "&amp;"सा, 2 हरी मिर्च - बारीक कटी हुई, 1 छोटा चम्मच लाल मिर्च पाउडर, 1/2 छोटा चम्मच हल्दी पाउडर, 1 1/2 छोटा चम्मच धनिया पाउडर, 1 छोटा चम्मच जीरा पाउडर, 2 छोटे चम्मच चाट मसाला पाउडर, 2 बड़े चम्मच बेसन, पुदीना - थोड़ा सा, घी - आवश्यकतानुसार")</f>
        <v>1/4 कप दलिया - 4 घंटे भिगोया हुआ, 1/4 कप सफेद उड़द दाल - साबूत, 1/4 कप पीली मूंग दाल - फटी हुई, 1/4 कप चना दाल - 4 घंटे भिगोया हुआ, 500 ग्राम मटन - टुकड़ों में कटा हुआ, 2 इंच अदरक - बारीक कटा हुआ, 10 लहसुन - बारीक कटा हुआ, नमक - स्वादानुसार, केसर - थोड़ा सा, 2 हरी मिर्च - बारीक कटी हुई, 1 छोटा चम्मच लाल मिर्च पाउडर, 1/2 छोटा चम्मच हल्दी पाउडर, 1 1/2 छोटा चम्मच धनिया पाउडर, 1 छोटा चम्मच जीरा पाउडर, 2 छोटे चम्मच चाट मसाला पाउडर, 2 बड़े चम्मच बेसन, पुदीना - थोड़ा सा, घी - आवश्यकतानुसार</v>
      </c>
      <c r="H933" s="1" t="s">
        <v>34691</v>
      </c>
      <c r="I933" s="1" t="str">
        <f ca="1">IFERROR(__xludf.dummyfunction("IF(H933="""", """", GOOGLETRANSLATE(H933, ""en"", ""hi""))"),"हलीम के कबाब रेसिपी बनाने के लिए सबसे पहले एक प्रेशर कुकर लें और उसमें दलिया, चना दाल, उड़द दाल, मूंग दाल, मटन, अदरक, लहसुन, नमक डालकर अच्छे से मिला लें। आवश्यकतानुसार पानी डालें और कुकर को बंद कर दें। 5 से 6 सीटी आने तक पकाएं। आंच धीमी करें और 5 मिनट और "&amp;"पकाएं। गैस बंद कर दें और प्रेशर को अपने आप निकलने दें। कुकर खोलें और इस मिश्रण से मटन के टुकड़े निकाल कर एक तरफ रख दें। इसे ठंडा होने दें। ठंडा होने के बाद मटन को हड्डी से निकाल कर एक तरफ रख दें। अब इस मटन मिश्रण को फूड प्रोसेसर में डालें और पीस कर पेस्ट "&amp;"बना लें। इसे एक तरफ रख दें। अब एक पैन में घी गर्म करें। इसमें केसर, हरी मिर्च, लाल मिर्च पाउडर, हल्दी पाउडर, धनिया पाउडर, जीरा पाउडर, चाट मसाला पाउडर डालें ठंडा होने के बाद इसमें बेसन डालकर अच्छी तरह मिलाएँ। हाथों पर तेल लगाकर इस मिश्रण से गोल कबाब बनाएँ।"&amp;" तवा गरम करें। उसमें थोड़ा घी डालें और कबाब को उस पर रखें। दोनों तरफ से सुनहरा भूरा होने तक पकाएँ। परोसें। हलीम कबाब रेसिपी को धनिया पुदीना चटनी और पतले कटे प्याज़ के साथ परोसें।")</f>
        <v>हलीम के कबाब रेसिपी बनाने के लिए सबसे पहले एक प्रेशर कुकर लें और उसमें दलिया, चना दाल, उड़द दाल, मूंग दाल, मटन, अदरक, लहसुन, नमक डालकर अच्छे से मिला लें। आवश्यकतानुसार पानी डालें और कुकर को बंद कर दें। 5 से 6 सीटी आने तक पकाएं। आंच धीमी करें और 5 मिनट और पकाएं। गैस बंद कर दें और प्रेशर को अपने आप निकलने दें। कुकर खोलें और इस मिश्रण से मटन के टुकड़े निकाल कर एक तरफ रख दें। इसे ठंडा होने दें। ठंडा होने के बाद मटन को हड्डी से निकाल कर एक तरफ रख दें। अब इस मटन मिश्रण को फूड प्रोसेसर में डालें और पीस कर पेस्ट बना लें। इसे एक तरफ रख दें। अब एक पैन में घी गर्म करें। इसमें केसर, हरी मिर्च, लाल मिर्च पाउडर, हल्दी पाउडर, धनिया पाउडर, जीरा पाउडर, चाट मसाला पाउडर डालें ठंडा होने के बाद इसमें बेसन डालकर अच्छी तरह मिलाएँ। हाथों पर तेल लगाकर इस मिश्रण से गोल कबाब बनाएँ। तवा गरम करें। उसमें थोड़ा घी डालें और कबाब को उस पर रखें। दोनों तरफ से सुनहरा भूरा होने तक पकाएँ। परोसें। हलीम कबाब रेसिपी को धनिया पुदीना चटनी और पतले कटे प्याज़ के साथ परोसें।</v>
      </c>
      <c r="J933" s="3" t="s">
        <v>34692</v>
      </c>
      <c r="L933" s="1" t="s">
        <v>31003</v>
      </c>
    </row>
    <row r="934" spans="1:12" ht="13.8">
      <c r="A934" s="1" t="s">
        <v>34693</v>
      </c>
      <c r="B934" s="1" t="str">
        <f ca="1">IFERROR(__xludf.dummyfunction("IF(A934="""", """", GOOGLETRANSLATE(A934, ""en"", ""hi""))"),"आम की लौंजी अचार रेसिपी - मीठा और मसालेदार आम का अचार")</f>
        <v>आम की लौंजी अचार रेसिपी - मीठा और मसालेदार आम का अचार</v>
      </c>
      <c r="C934" s="1" t="s">
        <v>14207</v>
      </c>
      <c r="D934" s="1" t="s">
        <v>14198</v>
      </c>
      <c r="E934" s="1">
        <v>35</v>
      </c>
      <c r="F934" s="1" t="s">
        <v>34694</v>
      </c>
      <c r="G934" s="1" t="str">
        <f ca="1">IFERROR(__xludf.dummyfunction("IF(F934="""", """", GOOGLETRANSLATE(F934, ""en"", ""hi""))"),"500 ग्राम आम (कच्चा) - छिला और कटा हुआ, 1/4 कप गुड़, 1/2 चम्मच लाल मिर्च पाउडर, नमक - स्वादानुसार, 1 बड़ा चम्मच सूरजमुखी तेल, 1/2 चम्मच एसएसपी हींग, 1/4 चम्मच मेथी के बीज (मेथी के बीज), 1 चम्मच जीरा, 1 चम्मच सौंफ, 1/2 चम्मच हल्दी पाउडर, काला नमक - स्वादान"&amp;"ुसार, 1/2 चम्मच गरम मसाला पाउडर")</f>
        <v>500 ग्राम आम (कच्चा) - छिला और कटा हुआ, 1/4 कप गुड़, 1/2 चम्मच लाल मिर्च पाउडर, नमक - स्वादानुसार, 1 बड़ा चम्मच सूरजमुखी तेल, 1/2 चम्मच एसएसपी हींग, 1/4 चम्मच मेथी के बीज (मेथी के बीज), 1 चम्मच जीरा, 1 चम्मच सौंफ, 1/2 चम्मच हल्दी पाउडर, काला नमक - स्वादानुसार, 1/2 चम्मच गरम मसाला पाउडर</v>
      </c>
      <c r="H934" s="1" t="s">
        <v>34695</v>
      </c>
      <c r="I934" s="1" t="str">
        <f ca="1">IFERROR(__xludf.dummyfunction("IF(H934="""", """", GOOGLETRANSLATE(H934, ""en"", ""hi""))"),"आम की लौंजी का अचार बनाने के लिए सबसे पहले आम को धोकर पोंछ लें, टुकड़ों में काट लें और एक तरफ रख दें। एक पैन में मध्यम आंच पर तेल गर्म करें, इसमें जीरा, मेथी दाना, सौंफ डालें और इन्हें तड़कने दें। इसमें हिंग और हल्दी पाउडर डालें। अब इसमें ताजे कटे हुए कच्"&amp;"चे आम के टुकड़े डालें और अच्छी तरह हिलाएं। इस आम के मिश्रण में लगभग तीन चौथाई कप पानी, नमक, काला नमक और लाल मिर्च पाउडर डालें। मिश्रण को अच्छी तरह मिलाएँ जब तक कि यह अच्छी तरह से मिल न जाए। आम को ढककर मध्यम आंच पर लगभग 10 मिनट तक पकाएं जब तक कि यह नरम न ह"&amp;"ो जाए। कभी-कभी आम कितना कच्चा है, इसके आधार पर इसमें थोड़ा अधिक समय लग सकता है। ढक्कन खोलें, गुड़ और गरम मसाला डालें आंच बंद कर दें और आम की लौंजी के अचार को कमरे के तापमान पर आने दें। आम की लौंजी के अचार की रेसिपी को कांच की बोतल में लगभग 2 से 3 सप्ताह त"&amp;"क फ्रिज में रखें और आवश्यकतानुसार उपयोग करें। आम की लौंजी के अचार की रेसिपी को तवा पराठा रेसिपी - सादा पराठा और एक कप अदरक वाली चाय के साथ पूरे सप्ताह के नाश्ते के लिए परोसें।")</f>
        <v>आम की लौंजी का अचार बनाने के लिए सबसे पहले आम को धोकर पोंछ लें, टुकड़ों में काट लें और एक तरफ रख दें। एक पैन में मध्यम आंच पर तेल गर्म करें, इसमें जीरा, मेथी दाना, सौंफ डालें और इन्हें तड़कने दें। इसमें हिंग और हल्दी पाउडर डालें। अब इसमें ताजे कटे हुए कच्चे आम के टुकड़े डालें और अच्छी तरह हिलाएं। इस आम के मिश्रण में लगभग तीन चौथाई कप पानी, नमक, काला नमक और लाल मिर्च पाउडर डालें। मिश्रण को अच्छी तरह मिलाएँ जब तक कि यह अच्छी तरह से मिल न जाए। आम को ढककर मध्यम आंच पर लगभग 10 मिनट तक पकाएं जब तक कि यह नरम न हो जाए। कभी-कभी आम कितना कच्चा है, इसके आधार पर इसमें थोड़ा अधिक समय लग सकता है। ढक्कन खोलें, गुड़ और गरम मसाला डालें आंच बंद कर दें और आम की लौंजी के अचार को कमरे के तापमान पर आने दें। आम की लौंजी के अचार की रेसिपी को कांच की बोतल में लगभग 2 से 3 सप्ताह तक फ्रिज में रखें और आवश्यकतानुसार उपयोग करें। आम की लौंजी के अचार की रेसिपी को तवा पराठा रेसिपी - सादा पराठा और एक कप अदरक वाली चाय के साथ पूरे सप्ताह के नाश्ते के लिए परोसें।</v>
      </c>
      <c r="J934" s="3" t="s">
        <v>34696</v>
      </c>
      <c r="L934" s="1" t="s">
        <v>31003</v>
      </c>
    </row>
    <row r="935" spans="1:12" ht="13.8">
      <c r="A935" s="1" t="s">
        <v>34697</v>
      </c>
      <c r="B935" s="1" t="str">
        <f ca="1">IFERROR(__xludf.dummyfunction("IF(A935="""", """", GOOGLETRANSLATE(A935, ""en"", ""hi""))"),"स्मोक्ड तंदूरी चिकन रेसिपी - क्लासिक उत्तर भारतीय चिकन रेसिपी")</f>
        <v>स्मोक्ड तंदूरी चिकन रेसिपी - क्लासिक उत्तर भारतीय चिकन रेसिपी</v>
      </c>
      <c r="C935" s="1" t="s">
        <v>14572</v>
      </c>
      <c r="D935" s="1" t="s">
        <v>14367</v>
      </c>
      <c r="E935" s="1">
        <v>270</v>
      </c>
      <c r="F935" s="1" t="s">
        <v>34698</v>
      </c>
      <c r="G935" s="1" t="str">
        <f ca="1">IFERROR(__xludf.dummyfunction("IF(F935="""", """", GOOGLETRANSLATE(F935, ""en"", ""hi""))"),"2 चिकन जांघ, 4 बड़े चम्मच सरसों का तेल, 2 बड़े चम्मच घी, 3 चारकोल - छोटे टुकड़े, 1/2 कप हंग कर्ड (ग्रीक योगर्ट), 1 बड़ा चम्मच अदरक - पेस्ट, 1 बड़ा चम्मच लहसुन - पेस्ट, 1 बड़ा चम्मच नींबू का रस, 1 चम्मच गरम मसाला पाउडर, 1 बड़ा चम्मच धनिया पाउडर, 1 बड़ा चम्"&amp;"मच कश्मीरी लाल मिर्च पाउडर, 1 चम्मच चाट मसाला पाउडर, 1/4 चम्मच काला नमक, नमक - स्वादानुसार, 2 बड़े चम्मच सरसों का तेल")</f>
        <v>2 चिकन जांघ, 4 बड़े चम्मच सरसों का तेल, 2 बड़े चम्मच घी, 3 चारकोल - छोटे टुकड़े, 1/2 कप हंग कर्ड (ग्रीक योगर्ट), 1 बड़ा चम्मच अदरक - पेस्ट, 1 बड़ा चम्मच लहसुन - पेस्ट, 1 बड़ा चम्मच नींबू का रस, 1 चम्मच गरम मसाला पाउडर, 1 बड़ा चम्मच धनिया पाउडर, 1 बड़ा चम्मच कश्मीरी लाल मिर्च पाउडर, 1 चम्मच चाट मसाला पाउडर, 1/4 चम्मच काला नमक, नमक - स्वादानुसार, 2 बड़े चम्मच सरसों का तेल</v>
      </c>
      <c r="H935" s="1" t="s">
        <v>34699</v>
      </c>
      <c r="I935" s="1" t="str">
        <f ca="1">IFERROR(__xludf.dummyfunction("IF(H935="""", """", GOOGLETRANSLATE(H935, ""en"", ""hi""))"),"स्मोक्ड तंदूरी चिकन रेसिपी बनाने के लिए सबसे पहले चिकन जांघों को साफ करें, धो लें और दोनों तरफ से 1 इंच का चीरा लगा लें और एक तरफ रख दें। एक बड़े कटोरे में 'मैरिनेशन' में बताई गई सभी सामग्री को मिलाकर चिकना पेस्ट बना लें। इसमें चिकन जांघें डालें और सभी टु"&amp;"कड़ों पर अच्छी तरह से मैरिनेड रगड़ें। कटोरे को क्लिंग रैप से ढक दें और कम से कम 3-4 घंटे के लिए फ्रिज में रख दें। (रात भर मैरिनेशन करने से बहुत अधिक आश्चर्यजनक परिणाम मिलते हैं) ग्रिल पैन विधि एक ग्रिलिंग पैन में थोड़ा सरसों का तेल गर्म करें और मैरीनेट की"&amp;" गई चिकन जांघें डालें और उन्हें तब तक पकने दें जब तक वे अच्छी तरह से पक न जाएं। तंदूरी चिकन को सावधानी से पलटें और दूसरी तरफ से भी पकाएं। चिकन को ग्रिल करते समय ऊपर से थोड़ा घी या सरसों का तेल लगाएं। जब तंदूरी चिकन नरम, रसदार, जला हुआ और अच्छी तरह से पक ज"&amp;"ाए, तो इसे एक चौड़े बेस वाले कटोरे में निकाल लें। तंदूरी चिकन को एक तरफ से आधे समय तक सेंकें, बीच-बीच में थोड़ा और घी या तेल डालें और फिर इसे पलट दें और पैन से थोड़ा मसाला डालकर इसे समतल कर दें। तब तक बेक करें जब तक कि तंदूरी चिकन का मसाला और ऊपरी हिस्सा "&amp;"पक न जाए और पूरी तरह से पक न जाए। तंदूरी चिकन को स्मोक करने के लिए तंदूरी चिकन को कटोरे के किनारों पर रखें और बीच में एल्युमिनियम फॉयल से ढका एक छोटा स्टील का कटोरा रखें। लकड़ी का कोयला का एक टुकड़ा लें और इसे चिमटे की मदद से आग पर रखें। जैसे ही लकड़ी का "&amp;"कोयला जलने लगे और लाल गर्म हो जाए, इसे छोटे कटोरे में रख दें। लकड़ी के कोयले पर 1 बड़ा चम्मच घी लें और ढक्कन को इस तरह से बंद करें कि सारा धुआं तंदूरी चिकन के कटोरे के अंदर ही रहे। ढक्कन को बंद रखें और तभी खोलें जब आप तंदूरी चिकन परोसने के लिए तैयार हों।")</f>
        <v>स्मोक्ड तंदूरी चिकन रेसिपी बनाने के लिए सबसे पहले चिकन जांघों को साफ करें, धो लें और दोनों तरफ से 1 इंच का चीरा लगा लें और एक तरफ रख दें। एक बड़े कटोरे में 'मैरिनेशन' में बताई गई सभी सामग्री को मिलाकर चिकना पेस्ट बना लें। इसमें चिकन जांघें डालें और सभी टुकड़ों पर अच्छी तरह से मैरिनेड रगड़ें। कटोरे को क्लिंग रैप से ढक दें और कम से कम 3-4 घंटे के लिए फ्रिज में रख दें। (रात भर मैरिनेशन करने से बहुत अधिक आश्चर्यजनक परिणाम मिलते हैं) ग्रिल पैन विधि एक ग्रिलिंग पैन में थोड़ा सरसों का तेल गर्म करें और मैरीनेट की गई चिकन जांघें डालें और उन्हें तब तक पकने दें जब तक वे अच्छी तरह से पक न जाएं। तंदूरी चिकन को सावधानी से पलटें और दूसरी तरफ से भी पकाएं। चिकन को ग्रिल करते समय ऊपर से थोड़ा घी या सरसों का तेल लगाएं। जब तंदूरी चिकन नरम, रसदार, जला हुआ और अच्छी तरह से पक जाए, तो इसे एक चौड़े बेस वाले कटोरे में निकाल लें। तंदूरी चिकन को एक तरफ से आधे समय तक सेंकें, बीच-बीच में थोड़ा और घी या तेल डालें और फिर इसे पलट दें और पैन से थोड़ा मसाला डालकर इसे समतल कर दें। तब तक बेक करें जब तक कि तंदूरी चिकन का मसाला और ऊपरी हिस्सा पक न जाए और पूरी तरह से पक न जाए। तंदूरी चिकन को स्मोक करने के लिए तंदूरी चिकन को कटोरे के किनारों पर रखें और बीच में एल्युमिनियम फॉयल से ढका एक छोटा स्टील का कटोरा रखें। लकड़ी का कोयला का एक टुकड़ा लें और इसे चिमटे की मदद से आग पर रखें। जैसे ही लकड़ी का कोयला जलने लगे और लाल गर्म हो जाए, इसे छोटे कटोरे में रख दें। लकड़ी के कोयले पर 1 बड़ा चम्मच घी लें और ढक्कन को इस तरह से बंद करें कि सारा धुआं तंदूरी चिकन के कटोरे के अंदर ही रहे। ढक्कन को बंद रखें और तभी खोलें जब आप तंदूरी चिकन परोसने के लिए तैयार हों।</v>
      </c>
      <c r="J935" s="3" t="s">
        <v>34700</v>
      </c>
      <c r="L935" s="1" t="s">
        <v>31003</v>
      </c>
    </row>
    <row r="936" spans="1:12" ht="13.8">
      <c r="A936" s="1" t="s">
        <v>34701</v>
      </c>
      <c r="B936" s="1" t="str">
        <f ca="1">IFERROR(__xludf.dummyfunction("IF(A936="""", """", GOOGLETRANSLATE(A936, ""en"", ""hi""))"),"तड़केवाली मसूर दाल रेसिपी")</f>
        <v>तड़केवाली मसूर दाल रेसिपी</v>
      </c>
      <c r="C936" s="1" t="s">
        <v>145</v>
      </c>
      <c r="D936" s="1" t="s">
        <v>14237</v>
      </c>
      <c r="E936" s="1">
        <v>30</v>
      </c>
      <c r="F936" s="1" t="s">
        <v>34702</v>
      </c>
      <c r="G936" s="1" t="str">
        <f ca="1">IFERROR(__xludf.dummyfunction("IF(F936="""", """", GOOGLETRANSLATE(F936, ""en"", ""hi""))"),"1 बड़ा चम्मच घी, 1/4 छोटा चम्मच हींग, 1 प्याज- बारीक कटा हुआ, 1 इंच अदरक- बारीक कटा हुआ, 4 लहसुन- बारीक कटा हुआ, 2 हरी मिर्च- बारीक कटी हुई, 2 टमाटर- बारीक कटे हुए, 1/2 छोटा चम्मच हल्दी पाउडर, 1/2 छोटा चम्मच लाल मिर्च पाउडर, 1/2 छोटा चम्मच गरम मसाला पाउडर"&amp;", नमक- स्वादानुसार, 1 कप दाल, 2-1/2 कप पानी, हरा धनिया- थोड़ा-सा, 1 बड़ा चम्मच घी, 1 छोटा चम्मच जीरा, 1/4 छोटा चम्मच हींग, 1/4 छोटा चम्मच लाल मिर्च पाउडर")</f>
        <v>1 बड़ा चम्मच घी, 1/4 छोटा चम्मच हींग, 1 प्याज- बारीक कटा हुआ, 1 इंच अदरक- बारीक कटा हुआ, 4 लहसुन- बारीक कटा हुआ, 2 हरी मिर्च- बारीक कटी हुई, 2 टमाटर- बारीक कटे हुए, 1/2 छोटा चम्मच हल्दी पाउडर, 1/2 छोटा चम्मच लाल मिर्च पाउडर, 1/2 छोटा चम्मच गरम मसाला पाउडर, नमक- स्वादानुसार, 1 कप दाल, 2-1/2 कप पानी, हरा धनिया- थोड़ा-सा, 1 बड़ा चम्मच घी, 1 छोटा चम्मच जीरा, 1/4 छोटा चम्मच हींग, 1/4 छोटा चम्मच लाल मिर्च पाउडर</v>
      </c>
      <c r="H936" s="1" t="s">
        <v>34703</v>
      </c>
      <c r="I936" s="1" t="str">
        <f ca="1">IFERROR(__xludf.dummyfunction("IF(H936="""", """", GOOGLETRANSLATE(H936, ""en"", ""hi""))"),"तड़के वाली मसूर दाल रेसिपी बनाने के लिए सबसे पहले मसूर दाल को अच्छे से धोकर 3 से 4 घंटे के लिए भिगो दें। प्रेशर कुकर में घी गर्म करें। उसमें हींग, अदरक, लहसुन, प्याज डालकर प्याज के नरम होने तक पकाएं। प्याज के नरम होने के बाद इसमें टमाटर, हल्दी पाउडर, लाल "&amp;"मिर्च पाउडर, गरम मसाला पाउडर डालकर 1 मिनट तक पकाएं। 1 मिनट बाद इसमें मसूर दाल, नमक और 2-1/2 कप पानी डालकर मिला लें। कुकर बंद करके 4 सीटी आने तक पकाएं। आंच धीमी करके 5 मिनट तक पकने दें। गैस बंद कर दें। प्रेशर अपने आप निकलने दें। प्रेशर निकलने के बाद कुकर ख"&amp;"ोलें और इसमें धनिया पत्ती डालें। इसे मिलाएं और एक सर्विंग बाउल में निकाल लें। तड़के के लिए एक पैन में घी गर्म करें। इसमें जीरा, हींग, लाल मिर्च पाउडर डालें और जीरा चटकने तक पकाएं तड़का वाली मसूर दाल रेसिपी को आलू पालक सब्जी रेसिपी, फुल्का और खमंग ककड़ी के"&amp;" साथ रात के खाने के लिए परोसे।")</f>
        <v>तड़के वाली मसूर दाल रेसिपी बनाने के लिए सबसे पहले मसूर दाल को अच्छे से धोकर 3 से 4 घंटे के लिए भिगो दें। प्रेशर कुकर में घी गर्म करें। उसमें हींग, अदरक, लहसुन, प्याज डालकर प्याज के नरम होने तक पकाएं। प्याज के नरम होने के बाद इसमें टमाटर, हल्दी पाउडर, लाल मिर्च पाउडर, गरम मसाला पाउडर डालकर 1 मिनट तक पकाएं। 1 मिनट बाद इसमें मसूर दाल, नमक और 2-1/2 कप पानी डालकर मिला लें। कुकर बंद करके 4 सीटी आने तक पकाएं। आंच धीमी करके 5 मिनट तक पकने दें। गैस बंद कर दें। प्रेशर अपने आप निकलने दें। प्रेशर निकलने के बाद कुकर खोलें और इसमें धनिया पत्ती डालें। इसे मिलाएं और एक सर्विंग बाउल में निकाल लें। तड़के के लिए एक पैन में घी गर्म करें। इसमें जीरा, हींग, लाल मिर्च पाउडर डालें और जीरा चटकने तक पकाएं तड़का वाली मसूर दाल रेसिपी को आलू पालक सब्जी रेसिपी, फुल्का और खमंग ककड़ी के साथ रात के खाने के लिए परोसे।</v>
      </c>
      <c r="J936" s="3" t="s">
        <v>34704</v>
      </c>
      <c r="L936" s="1" t="s">
        <v>31003</v>
      </c>
    </row>
    <row r="937" spans="1:12" ht="13.8">
      <c r="A937" s="1" t="s">
        <v>34705</v>
      </c>
      <c r="B937" s="1" t="str">
        <f ca="1">IFERROR(__xludf.dummyfunction("IF(A937="""", """", GOOGLETRANSLATE(A937, ""en"", ""hi""))"),"प्रीति इलेक्ट्रिक प्रेशर कुकर में वन पॉट पंजाबी राजमा मसाला रेसिपी")</f>
        <v>प्रीति इलेक्ट्रिक प्रेशर कुकर में वन पॉट पंजाबी राजमा मसाला रेसिपी</v>
      </c>
      <c r="C937" s="1" t="s">
        <v>14259</v>
      </c>
      <c r="D937" s="1" t="s">
        <v>14198</v>
      </c>
      <c r="E937" s="1">
        <v>105</v>
      </c>
      <c r="F937" s="1" t="s">
        <v>34706</v>
      </c>
      <c r="G937" s="1" t="str">
        <f ca="1">IFERROR(__xludf.dummyfunction("IF(F937="""", """", GOOGLETRANSLATE(F937, ""en"", ""hi""))"),"1 कप राजमा, 1 इंच अदरक - बारीक कटा हुआ, 2 लहसुन के दाने - बारीक कटा हुआ, 1 प्याज - मोटा कटा हुआ, 1/2 कप घर का बना टमाटर प्यूरी, 1 चम्मच हल्दी, 1 चम्मच जीरा - भुना हुआ, 1 चम्मच गरम मसाला पाउडर, 4 इलायची, 2 इंच दालचीनी, 1 बड़ा चम्मच मक्खन, धनिया पत्ती - एक "&amp;"छोटा गुच्छा, 1 चम्मच सूरजमुखी तेल, नमक - स्वादानुसार")</f>
        <v>1 कप राजमा, 1 इंच अदरक - बारीक कटा हुआ, 2 लहसुन के दाने - बारीक कटा हुआ, 1 प्याज - मोटा कटा हुआ, 1/2 कप घर का बना टमाटर प्यूरी, 1 चम्मच हल्दी, 1 चम्मच जीरा - भुना हुआ, 1 चम्मच गरम मसाला पाउडर, 4 इलायची, 2 इंच दालचीनी, 1 बड़ा चम्मच मक्खन, धनिया पत्ती - एक छोटा गुच्छा, 1 चम्मच सूरजमुखी तेल, नमक - स्वादानुसार</v>
      </c>
      <c r="H937" s="1" t="s">
        <v>34707</v>
      </c>
      <c r="I937" s="1" t="str">
        <f ca="1">IFERROR(__xludf.dummyfunction("IF(H937="""", """", GOOGLETRANSLATE(H937, ""en"", ""hi""))"),"राजमा मसाला रेसिपी बनाने के लिए सबसे पहले हम राजमा को 3 कप पानी में पूरी तरह से डुबो कर लगभग 8 से 10 घंटे के लिए रख देंगे। राजमा मसाला बनाने के लिए प्रीति प्रेशर कुकर चालू करें। प्रेशर कुकर की सेटिंग को सॉते मोड में बदलें। इलेक्ट्रिक प्रेशर कुकर पैन में ए"&amp;"क चम्मच तेल गर्म करें; इसमें प्याज, लहसुन, अदरक डालें और 3 से 4 मिनट तक या जब तक प्याज सुनहरे रंग का न होने लगे तब तक भूनें। एक बार हो जाने पर इसमें टमाटर प्यूरी, हल्दी पाउडर, जीरा पाउडर, गरम मसाला पाउडर, इलायची की फली और दालचीनी डालकर चलाएँ। एक-दो मिनट औ"&amp;"र भूनें और फिर इसमें भीगा हुआ राजमा पानी के साथ मिला दें। यदि आवश्यक हो तो अतिरिक्त पानी डालें। पानी इतना होना चाहिए कि पानी का स्तर राजमा से कम से कम 1 इंच ऊपर हो। प्रेशर कुकर को स्वाभाविक रूप से प्रेशर छोड़ने दें - आप देखेंगे कि प्रेशर इंडिकेटर कम हो गय"&amp;"ा है। जब तक अंदर प्रेशर रहेगा, राजमा प्रेशर कुकर में पकता रहेगा। प्रेशर निकल जाने के बाद, कुकर खोलें। राजमा अब पूरी तरह से पक जाना चाहिए। अगर आप राजमा को अपनी उंगलियों के बीच दबाएँगे तो यह आसानी से मैश हो जाएगा। राजमा मसाला पक जाने के बाद, नमक और मसाले के"&amp;" स्तर की जाँच करें और अपने स्वाद के अनुसार समायोजित करें। कटा हुआ हरा धनिया डालकर चलाएँ और परोसें। राजमा मसाला डिश को रविवार के लंच में गरमागरम चावल और आलू परवल की सब्जी के साथ परोसें, जिससे भोजन पौष्टिक और पौष्टिक बन जाएगा।")</f>
        <v>राजमा मसाला रेसिपी बनाने के लिए सबसे पहले हम राजमा को 3 कप पानी में पूरी तरह से डुबो कर लगभग 8 से 10 घंटे के लिए रख देंगे। राजमा मसाला बनाने के लिए प्रीति प्रेशर कुकर चालू करें। प्रेशर कुकर की सेटिंग को सॉते मोड में बदलें। इलेक्ट्रिक प्रेशर कुकर पैन में एक चम्मच तेल गर्म करें; इसमें प्याज, लहसुन, अदरक डालें और 3 से 4 मिनट तक या जब तक प्याज सुनहरे रंग का न होने लगे तब तक भूनें। एक बार हो जाने पर इसमें टमाटर प्यूरी, हल्दी पाउडर, जीरा पाउडर, गरम मसाला पाउडर, इलायची की फली और दालचीनी डालकर चलाएँ। एक-दो मिनट और भूनें और फिर इसमें भीगा हुआ राजमा पानी के साथ मिला दें। यदि आवश्यक हो तो अतिरिक्त पानी डालें। पानी इतना होना चाहिए कि पानी का स्तर राजमा से कम से कम 1 इंच ऊपर हो। प्रेशर कुकर को स्वाभाविक रूप से प्रेशर छोड़ने दें - आप देखेंगे कि प्रेशर इंडिकेटर कम हो गया है। जब तक अंदर प्रेशर रहेगा, राजमा प्रेशर कुकर में पकता रहेगा। प्रेशर निकल जाने के बाद, कुकर खोलें। राजमा अब पूरी तरह से पक जाना चाहिए। अगर आप राजमा को अपनी उंगलियों के बीच दबाएँगे तो यह आसानी से मैश हो जाएगा। राजमा मसाला पक जाने के बाद, नमक और मसाले के स्तर की जाँच करें और अपने स्वाद के अनुसार समायोजित करें। कटा हुआ हरा धनिया डालकर चलाएँ और परोसें। राजमा मसाला डिश को रविवार के लंच में गरमागरम चावल और आलू परवल की सब्जी के साथ परोसें, जिससे भोजन पौष्टिक और पौष्टिक बन जाएगा।</v>
      </c>
      <c r="J937" s="3" t="s">
        <v>34708</v>
      </c>
      <c r="L937" s="1" t="s">
        <v>31003</v>
      </c>
    </row>
    <row r="938" spans="1:12" ht="13.8">
      <c r="A938" s="1" t="s">
        <v>32012</v>
      </c>
      <c r="B938" s="1" t="str">
        <f ca="1">IFERROR(__xludf.dummyfunction("IF(A938="""", """", GOOGLETRANSLATE(A938, ""en"", ""hi""))"),"शकरकंद और मेथी भरवां पराठा रेसिपी")</f>
        <v>शकरकंद और मेथी भरवां पराठा रेसिपी</v>
      </c>
      <c r="C938" s="1" t="s">
        <v>16424</v>
      </c>
      <c r="D938" s="1" t="s">
        <v>14338</v>
      </c>
      <c r="E938" s="1">
        <v>90</v>
      </c>
      <c r="F938" s="1" t="s">
        <v>34709</v>
      </c>
      <c r="G938" s="1" t="str">
        <f ca="1">IFERROR(__xludf.dummyfunction("IF(F938="""", """", GOOGLETRANSLATE(F938, ""en"", ""hi""))"),"1 बड़ा चम्मच तेल, 1 कप गेहूं का आटा, नमक - स्वादानुसार, 2 शकरकंद - छीलकर उबालें, 1 कप मेथी - काट लें, 1 छोटा चम्मच जीरा, 1 इंच अदरक - काट लें, 1 हरी मिर्च - काट लें, 1 छोटा चम्मच हल्दी पाउडर, 1 छोटा चम्मच लाल मिर्च पाउडर, 1 छोटा चम्मच धनिया पाउडर, 2 बड़े "&amp;"चम्मच सरसों का तेल, नमक - स्वादानुसार")</f>
        <v>1 बड़ा चम्मच तेल, 1 कप गेहूं का आटा, नमक - स्वादानुसार, 2 शकरकंद - छीलकर उबालें, 1 कप मेथी - काट लें, 1 छोटा चम्मच जीरा, 1 इंच अदरक - काट लें, 1 हरी मिर्च - काट लें, 1 छोटा चम्मच हल्दी पाउडर, 1 छोटा चम्मच लाल मिर्च पाउडर, 1 छोटा चम्मच धनिया पाउडर, 2 बड़े चम्मच सरसों का तेल, नमक - स्वादानुसार</v>
      </c>
      <c r="H938" s="1" t="s">
        <v>34710</v>
      </c>
      <c r="I938" s="1" t="str">
        <f ca="1">IFERROR(__xludf.dummyfunction("IF(H938="""", """", GOOGLETRANSLATE(H938, ""en"", ""hi""))"),"शकरकंद और मेथी का पराठा बनाने के लिए सबसे पहले आलू को प्रेशर कुकर में आवश्यकतानुसार पानी के साथ डालकर 4 सीटी आने तक पकाएं. प्रेशर अपने आप निकलने दें. कुकर खोलें और आलू को ठंडा होने दें. आलू के ठंडा होने के बाद उन्हें छीलकर मैश कर लें. मेथी को धोकर साफ कर "&amp;"लें. मेथी को काट कर अलग रख लें. अब एक बर्तन में गेहूं का आटा, नमक और तेल डालकर मिला लें. इसमें थोड़ा-थोड़ा पानी डालते हुए आटा गूंथ लें. इसे ढककर अलग रख दें. एक पैन में सरसों का तेल गर्म करें. इसमें जीरा डालें और चटकने दें. अब इसमें अदरक डालें और 2 मिनट तक"&amp;" पकाएं. अब इसमें मेथी डालें और मेथी के नरम होने तक पकाएं. मेथी के नरम होने के बाद इसमें आलू, हरी मिर्च, हल्दी पाउडर, लाल मिर्च पाउडर, धनिया पाउडर, नमक डालकर 2 मिनट तक पकाएं. गैस बंद कर दें और इसे ठंडा होने के लिए अलग रख दें. अब आटे का छोटा टुकड़ा लेकर इसे"&amp;" गोल आकार में बेल लें. बीच में मसाला मिश्रण रखकर चारों तरफ से बंद कर दें. अब इस पर सूखा आटा लगाएं. इसे फिर से बेल लें। इसे मोटा बेल लें नहीं तो मसाला बाहर आ सकता है। सारे पराठे इसी तरह से बना लें। तवा गरम करें। इस पर पराठे रखें और ऊपर से घी लगाएं। दोनों त"&amp;"रफ से सुनहरा भूरा होने तक पकाएं और फिर गैस बंद कर दें। शकरकंद और मेथी पराठा रेसिपी को बूंदी रायता और मिर्च के अचार के साथ नाश्ते या रात के खाने में सर्व करें।")</f>
        <v>शकरकंद और मेथी का पराठा बनाने के लिए सबसे पहले आलू को प्रेशर कुकर में आवश्यकतानुसार पानी के साथ डालकर 4 सीटी आने तक पकाएं. प्रेशर अपने आप निकलने दें. कुकर खोलें और आलू को ठंडा होने दें. आलू के ठंडा होने के बाद उन्हें छीलकर मैश कर लें. मेथी को धोकर साफ कर लें. मेथी को काट कर अलग रख लें. अब एक बर्तन में गेहूं का आटा, नमक और तेल डालकर मिला लें. इसमें थोड़ा-थोड़ा पानी डालते हुए आटा गूंथ लें. इसे ढककर अलग रख दें. एक पैन में सरसों का तेल गर्म करें. इसमें जीरा डालें और चटकने दें. अब इसमें अदरक डालें और 2 मिनट तक पकाएं. अब इसमें मेथी डालें और मेथी के नरम होने तक पकाएं. मेथी के नरम होने के बाद इसमें आलू, हरी मिर्च, हल्दी पाउडर, लाल मिर्च पाउडर, धनिया पाउडर, नमक डालकर 2 मिनट तक पकाएं. गैस बंद कर दें और इसे ठंडा होने के लिए अलग रख दें. अब आटे का छोटा टुकड़ा लेकर इसे गोल आकार में बेल लें. बीच में मसाला मिश्रण रखकर चारों तरफ से बंद कर दें. अब इस पर सूखा आटा लगाएं. इसे फिर से बेल लें। इसे मोटा बेल लें नहीं तो मसाला बाहर आ सकता है। सारे पराठे इसी तरह से बना लें। तवा गरम करें। इस पर पराठे रखें और ऊपर से घी लगाएं। दोनों तरफ से सुनहरा भूरा होने तक पकाएं और फिर गैस बंद कर दें। शकरकंद और मेथी पराठा रेसिपी को बूंदी रायता और मिर्च के अचार के साथ नाश्ते या रात के खाने में सर्व करें।</v>
      </c>
      <c r="J938" s="3" t="s">
        <v>34711</v>
      </c>
      <c r="L938" s="1" t="s">
        <v>31003</v>
      </c>
    </row>
    <row r="939" spans="1:12" ht="13.8">
      <c r="A939" s="1" t="s">
        <v>34712</v>
      </c>
      <c r="B939" s="1" t="str">
        <f ca="1">IFERROR(__xludf.dummyfunction("IF(A939="""", """", GOOGLETRANSLATE(A939, ""en"", ""hi""))"),"नवरंग दाल रेसिपी")</f>
        <v>नवरंग दाल रेसिपी</v>
      </c>
      <c r="C939" s="1" t="s">
        <v>145</v>
      </c>
      <c r="D939" s="1" t="s">
        <v>14237</v>
      </c>
      <c r="E939" s="1">
        <v>40</v>
      </c>
      <c r="F939" s="1" t="s">
        <v>34713</v>
      </c>
      <c r="G939" s="1" t="str">
        <f ca="1">IFERROR(__xludf.dummyfunction("IF(F939="""", """", GOOGLETRANSLATE(F939, ""en"", ""hi""))"),"2 बड़े चम्मच हरी मूंग दाल, 2 बड़े चम्मच सफेद उड़द दाल, 2 बड़े चम्मच काली उड़द दाल (विभाजित), 2 बड़े चम्मच मसूर दाल (विभाजित), 2 बड़े चम्मच मसूर दाल, 2 बड़े चम्मच राजमा, 2 बड़े चम्मच काबुली चना, 1/4 कप पीली मूंग दाल - 20 मिनट के लिए भिगोएँ, 1 बड़ा चम्मच अर"&amp;"हर दाल - 20 मिनट के लिए भिगोएँ, 1 प्याज - बारीक कटा हुआ, 1 टमाटर - बारीक कटा हुआ, 1 बड़ा चम्मच अदरक लहसुन का पेस्ट, 1 हरी मिर्च - सीधी कटी हुई, 2 छोटे चम्मच धनिया पाउडर, 1 छोटा चम्मच लाल मिर्च पाउडर, 2 छोटे चम्मच गरम मसाला पाउडर, 1 बड़ा चम्मच कसूरी मेथी, "&amp;"1 इंच अदरक - सीधा और पतला कटा हुआ, 2 बड़े चम्मच घी, 1 छोटा चम्मच जीरा, 1 दालचीनी, नमक - स्वादानुसार")</f>
        <v>2 बड़े चम्मच हरी मूंग दाल, 2 बड़े चम्मच सफेद उड़द दाल, 2 बड़े चम्मच काली उड़द दाल (विभाजित), 2 बड़े चम्मच मसूर दाल (विभाजित), 2 बड़े चम्मच मसूर दाल, 2 बड़े चम्मच राजमा, 2 बड़े चम्मच काबुली चना, 1/4 कप पीली मूंग दाल - 20 मिनट के लिए भिगोएँ, 1 बड़ा चम्मच अरहर दाल - 20 मिनट के लिए भिगोएँ, 1 प्याज - बारीक कटा हुआ, 1 टमाटर - बारीक कटा हुआ, 1 बड़ा चम्मच अदरक लहसुन का पेस्ट, 1 हरी मिर्च - सीधी कटी हुई, 2 छोटे चम्मच धनिया पाउडर, 1 छोटा चम्मच लाल मिर्च पाउडर, 2 छोटे चम्मच गरम मसाला पाउडर, 1 बड़ा चम्मच कसूरी मेथी, 1 इंच अदरक - सीधा और पतला कटा हुआ, 2 बड़े चम्मच घी, 1 छोटा चम्मच जीरा, 1 दालचीनी, नमक - स्वादानुसार</v>
      </c>
      <c r="H939" s="1" t="s">
        <v>34714</v>
      </c>
      <c r="I939" s="1" t="str">
        <f ca="1">IFERROR(__xludf.dummyfunction("IF(H939="""", """", GOOGLETRANSLATE(H939, ""en"", ""hi""))"),"नवरंग दाल रेसिपी बनाने के लिए सबसे पहले सारी दालों को रात भर पानी में भिगो कर रख दें. मूंग दाल और तुअर दाल को न भिगोएं. अब सारी दालों को प्रेशर कुकर में डालकर 3 से 4 सीटी आने तक पकाएं. प्रेशर अपने आप निकलने दें. कुकर खोलें, दालों को मैश करें और एक तरफ रख "&amp;"दें. अब एक पैन में तेल या घी गर्म करें. उसमें दालचीनी, जीरा डालें और जीरे को चटकने दें. अब इसमें प्याज़ डालें और हल्का भूरा होने तक पकाएं. अब इसमें अदरक लहसुन का पेस्ट डालें और 3 से 4 मिनट तक पकाएं. 3 से 4 मिनट बाद टमाटर, हरी मिर्च डालें और टमाटर के आधा प"&amp;"कने तक पकाएं. टमाटर के आधा पकने के बाद धनिया पाउडर, लाल मिर्च पाउडर, गरम मसाला पाउडर डालें और 3 से 4 मिनट तक पकाएं दोपहर के भोजन में नवरंग दाल को भिंडी मसाला और तवा परांठे के साथ परोसें।")</f>
        <v>नवरंग दाल रेसिपी बनाने के लिए सबसे पहले सारी दालों को रात भर पानी में भिगो कर रख दें. मूंग दाल और तुअर दाल को न भिगोएं. अब सारी दालों को प्रेशर कुकर में डालकर 3 से 4 सीटी आने तक पकाएं. प्रेशर अपने आप निकलने दें. कुकर खोलें, दालों को मैश करें और एक तरफ रख दें. अब एक पैन में तेल या घी गर्म करें. उसमें दालचीनी, जीरा डालें और जीरे को चटकने दें. अब इसमें प्याज़ डालें और हल्का भूरा होने तक पकाएं. अब इसमें अदरक लहसुन का पेस्ट डालें और 3 से 4 मिनट तक पकाएं. 3 से 4 मिनट बाद टमाटर, हरी मिर्च डालें और टमाटर के आधा पकने तक पकाएं. टमाटर के आधा पकने के बाद धनिया पाउडर, लाल मिर्च पाउडर, गरम मसाला पाउडर डालें और 3 से 4 मिनट तक पकाएं दोपहर के भोजन में नवरंग दाल को भिंडी मसाला और तवा परांठे के साथ परोसें।</v>
      </c>
      <c r="J939" s="3" t="s">
        <v>34715</v>
      </c>
      <c r="L939" s="1" t="s">
        <v>31003</v>
      </c>
    </row>
    <row r="940" spans="1:12" ht="13.8">
      <c r="L940" s="1"/>
    </row>
    <row r="941" spans="1:12" ht="13.8">
      <c r="L941" s="1"/>
    </row>
    <row r="942" spans="1:12" ht="13.8">
      <c r="L942" s="1"/>
    </row>
    <row r="943" spans="1:12" ht="13.8">
      <c r="L943" s="1"/>
    </row>
    <row r="944" spans="1:12" ht="13.8">
      <c r="L944" s="1"/>
    </row>
    <row r="945" spans="12:12" ht="13.8">
      <c r="L945" s="1"/>
    </row>
    <row r="946" spans="12:12" ht="13.8">
      <c r="L946" s="1"/>
    </row>
    <row r="947" spans="12:12" ht="13.8">
      <c r="L947" s="1"/>
    </row>
    <row r="948" spans="12:12" ht="13.8">
      <c r="L948" s="1"/>
    </row>
    <row r="949" spans="12:12" ht="13.8">
      <c r="L949" s="1"/>
    </row>
    <row r="950" spans="12:12" ht="13.8">
      <c r="L950" s="1"/>
    </row>
    <row r="951" spans="12:12" ht="13.8">
      <c r="L951" s="1"/>
    </row>
    <row r="952" spans="12:12" ht="13.8">
      <c r="L952" s="1"/>
    </row>
    <row r="953" spans="12:12" ht="13.8">
      <c r="L953" s="1"/>
    </row>
    <row r="954" spans="12:12" ht="13.8">
      <c r="L954" s="1"/>
    </row>
    <row r="955" spans="12:12" ht="13.8">
      <c r="L955" s="1"/>
    </row>
    <row r="956" spans="12:12" ht="13.8">
      <c r="L956" s="1"/>
    </row>
    <row r="957" spans="12:12" ht="13.8">
      <c r="L957" s="1"/>
    </row>
    <row r="958" spans="12:12" ht="13.8">
      <c r="L958" s="1"/>
    </row>
    <row r="959" spans="12:12" ht="13.8">
      <c r="L959" s="1"/>
    </row>
    <row r="960" spans="12:12" ht="13.8">
      <c r="L960" s="1"/>
    </row>
    <row r="961" spans="12:12" ht="13.8">
      <c r="L961" s="1"/>
    </row>
    <row r="962" spans="12:12" ht="13.8">
      <c r="L962" s="1"/>
    </row>
    <row r="963" spans="12:12" ht="13.8">
      <c r="L963" s="1"/>
    </row>
    <row r="964" spans="12:12" ht="13.8">
      <c r="L964" s="1"/>
    </row>
    <row r="965" spans="12:12" ht="13.8">
      <c r="L965" s="1"/>
    </row>
    <row r="966" spans="12:12" ht="13.8">
      <c r="L966" s="1"/>
    </row>
    <row r="967" spans="12:12" ht="13.8">
      <c r="L967" s="1"/>
    </row>
    <row r="968" spans="12:12" ht="13.8">
      <c r="L968" s="1"/>
    </row>
    <row r="969" spans="12:12" ht="13.8">
      <c r="L969" s="1"/>
    </row>
    <row r="970" spans="12:12" ht="13.8">
      <c r="L970" s="1"/>
    </row>
    <row r="971" spans="12:12" ht="13.8">
      <c r="L971" s="1"/>
    </row>
    <row r="972" spans="12:12" ht="13.8">
      <c r="L972" s="1"/>
    </row>
    <row r="973" spans="12:12" ht="13.8">
      <c r="L973" s="1"/>
    </row>
    <row r="974" spans="12:12" ht="13.8">
      <c r="L974" s="1"/>
    </row>
    <row r="975" spans="12:12" ht="13.8">
      <c r="L975" s="1"/>
    </row>
    <row r="976" spans="12:12" ht="13.8">
      <c r="L976" s="1"/>
    </row>
    <row r="977" spans="12:12" ht="13.8">
      <c r="L977" s="1"/>
    </row>
    <row r="978" spans="12:12" ht="13.8">
      <c r="L978" s="1"/>
    </row>
    <row r="979" spans="12:12" ht="13.8">
      <c r="L979" s="1"/>
    </row>
    <row r="980" spans="12:12" ht="13.8">
      <c r="L980" s="1"/>
    </row>
    <row r="981" spans="12:12" ht="13.8">
      <c r="L981" s="1"/>
    </row>
    <row r="982" spans="12:12" ht="13.8">
      <c r="L982" s="1"/>
    </row>
    <row r="983" spans="12:12" ht="13.8">
      <c r="L983" s="1"/>
    </row>
    <row r="984" spans="12:12" ht="13.8">
      <c r="L984" s="1"/>
    </row>
    <row r="985" spans="12:12" ht="13.8">
      <c r="L985" s="1"/>
    </row>
    <row r="986" spans="12:12" ht="13.8">
      <c r="L986" s="1"/>
    </row>
    <row r="987" spans="12:12" ht="13.8">
      <c r="L987" s="1"/>
    </row>
    <row r="988" spans="12:12" ht="13.8">
      <c r="L988" s="1"/>
    </row>
    <row r="989" spans="12:12" ht="13.8">
      <c r="L989" s="1"/>
    </row>
    <row r="990" spans="12:12" ht="13.8">
      <c r="L990" s="1"/>
    </row>
    <row r="991" spans="12:12" ht="13.8">
      <c r="L991" s="1"/>
    </row>
    <row r="992" spans="12:12" ht="13.8">
      <c r="L992" s="1"/>
    </row>
    <row r="993" spans="12:12" ht="13.8">
      <c r="L993" s="1"/>
    </row>
    <row r="994" spans="12:12" ht="13.8">
      <c r="L994" s="1"/>
    </row>
    <row r="995" spans="12:12" ht="13.8">
      <c r="L995" s="1"/>
    </row>
    <row r="996" spans="12:12" ht="13.8">
      <c r="L996" s="1"/>
    </row>
    <row r="997" spans="12:12" ht="13.8">
      <c r="L997" s="1"/>
    </row>
    <row r="998" spans="12:12" ht="13.8">
      <c r="L998" s="1"/>
    </row>
    <row r="999" spans="12:12" ht="13.8">
      <c r="L999" s="1"/>
    </row>
  </sheetData>
  <hyperlinks>
    <hyperlink ref="J2" r:id="rId1" xr:uid="{00000000-0004-0000-0A00-000000000000}"/>
    <hyperlink ref="J3" r:id="rId2" xr:uid="{00000000-0004-0000-0A00-000001000000}"/>
    <hyperlink ref="J4" r:id="rId3" xr:uid="{00000000-0004-0000-0A00-000002000000}"/>
    <hyperlink ref="J5" r:id="rId4" xr:uid="{00000000-0004-0000-0A00-000003000000}"/>
    <hyperlink ref="J6" r:id="rId5" xr:uid="{00000000-0004-0000-0A00-000004000000}"/>
    <hyperlink ref="J7" r:id="rId6" xr:uid="{00000000-0004-0000-0A00-000005000000}"/>
    <hyperlink ref="J8" r:id="rId7" xr:uid="{00000000-0004-0000-0A00-000006000000}"/>
    <hyperlink ref="J9" r:id="rId8" xr:uid="{00000000-0004-0000-0A00-000007000000}"/>
    <hyperlink ref="J10" r:id="rId9" xr:uid="{00000000-0004-0000-0A00-000008000000}"/>
    <hyperlink ref="J11" r:id="rId10" xr:uid="{00000000-0004-0000-0A00-000009000000}"/>
    <hyperlink ref="J12" r:id="rId11" xr:uid="{00000000-0004-0000-0A00-00000A000000}"/>
    <hyperlink ref="J13" r:id="rId12" xr:uid="{00000000-0004-0000-0A00-00000B000000}"/>
    <hyperlink ref="J14" r:id="rId13" xr:uid="{00000000-0004-0000-0A00-00000C000000}"/>
    <hyperlink ref="J15" r:id="rId14" xr:uid="{00000000-0004-0000-0A00-00000D000000}"/>
    <hyperlink ref="J16" r:id="rId15" xr:uid="{00000000-0004-0000-0A00-00000E000000}"/>
    <hyperlink ref="J17" r:id="rId16" xr:uid="{00000000-0004-0000-0A00-00000F000000}"/>
    <hyperlink ref="J18" r:id="rId17" xr:uid="{00000000-0004-0000-0A00-000010000000}"/>
    <hyperlink ref="J19" r:id="rId18" xr:uid="{00000000-0004-0000-0A00-000011000000}"/>
    <hyperlink ref="J20" r:id="rId19" xr:uid="{00000000-0004-0000-0A00-000012000000}"/>
    <hyperlink ref="J21" r:id="rId20" xr:uid="{00000000-0004-0000-0A00-000013000000}"/>
    <hyperlink ref="J22" r:id="rId21" xr:uid="{00000000-0004-0000-0A00-000014000000}"/>
    <hyperlink ref="J23" r:id="rId22" xr:uid="{00000000-0004-0000-0A00-000015000000}"/>
    <hyperlink ref="J24" r:id="rId23" xr:uid="{00000000-0004-0000-0A00-000016000000}"/>
    <hyperlink ref="J25" r:id="rId24" xr:uid="{00000000-0004-0000-0A00-000017000000}"/>
    <hyperlink ref="J26" r:id="rId25" xr:uid="{00000000-0004-0000-0A00-000018000000}"/>
    <hyperlink ref="J27" r:id="rId26" xr:uid="{00000000-0004-0000-0A00-000019000000}"/>
    <hyperlink ref="J28" r:id="rId27" xr:uid="{00000000-0004-0000-0A00-00001A000000}"/>
    <hyperlink ref="J29" r:id="rId28" xr:uid="{00000000-0004-0000-0A00-00001B000000}"/>
    <hyperlink ref="J30" r:id="rId29" xr:uid="{00000000-0004-0000-0A00-00001C000000}"/>
    <hyperlink ref="J31" r:id="rId30" xr:uid="{00000000-0004-0000-0A00-00001D000000}"/>
    <hyperlink ref="J32" r:id="rId31" xr:uid="{00000000-0004-0000-0A00-00001E000000}"/>
    <hyperlink ref="J33" r:id="rId32" xr:uid="{00000000-0004-0000-0A00-00001F000000}"/>
    <hyperlink ref="J34" r:id="rId33" xr:uid="{00000000-0004-0000-0A00-000020000000}"/>
    <hyperlink ref="J35" r:id="rId34" xr:uid="{00000000-0004-0000-0A00-000021000000}"/>
    <hyperlink ref="J36" r:id="rId35" xr:uid="{00000000-0004-0000-0A00-000022000000}"/>
    <hyperlink ref="J37" r:id="rId36" xr:uid="{00000000-0004-0000-0A00-000023000000}"/>
    <hyperlink ref="J38" r:id="rId37" xr:uid="{00000000-0004-0000-0A00-000024000000}"/>
    <hyperlink ref="J39" r:id="rId38" xr:uid="{00000000-0004-0000-0A00-000025000000}"/>
    <hyperlink ref="J40" r:id="rId39" xr:uid="{00000000-0004-0000-0A00-000026000000}"/>
    <hyperlink ref="J41" r:id="rId40" xr:uid="{00000000-0004-0000-0A00-000027000000}"/>
    <hyperlink ref="J42" r:id="rId41" xr:uid="{00000000-0004-0000-0A00-000028000000}"/>
    <hyperlink ref="J43" r:id="rId42" xr:uid="{00000000-0004-0000-0A00-000029000000}"/>
    <hyperlink ref="J44" r:id="rId43" xr:uid="{00000000-0004-0000-0A00-00002A000000}"/>
    <hyperlink ref="J45" r:id="rId44" xr:uid="{00000000-0004-0000-0A00-00002B000000}"/>
    <hyperlink ref="J46" r:id="rId45" xr:uid="{00000000-0004-0000-0A00-00002C000000}"/>
    <hyperlink ref="J47" r:id="rId46" xr:uid="{00000000-0004-0000-0A00-00002D000000}"/>
    <hyperlink ref="J48" r:id="rId47" xr:uid="{00000000-0004-0000-0A00-00002E000000}"/>
    <hyperlink ref="J49" r:id="rId48" xr:uid="{00000000-0004-0000-0A00-00002F000000}"/>
    <hyperlink ref="J50" r:id="rId49" xr:uid="{00000000-0004-0000-0A00-000030000000}"/>
    <hyperlink ref="J51" r:id="rId50" xr:uid="{00000000-0004-0000-0A00-000031000000}"/>
    <hyperlink ref="J52" r:id="rId51" xr:uid="{00000000-0004-0000-0A00-000032000000}"/>
    <hyperlink ref="J53" r:id="rId52" xr:uid="{00000000-0004-0000-0A00-000033000000}"/>
    <hyperlink ref="J54" r:id="rId53" xr:uid="{00000000-0004-0000-0A00-000034000000}"/>
    <hyperlink ref="J55" r:id="rId54" xr:uid="{00000000-0004-0000-0A00-000035000000}"/>
    <hyperlink ref="J56" r:id="rId55" xr:uid="{00000000-0004-0000-0A00-000036000000}"/>
    <hyperlink ref="J57" r:id="rId56" xr:uid="{00000000-0004-0000-0A00-000037000000}"/>
    <hyperlink ref="J58" r:id="rId57" xr:uid="{00000000-0004-0000-0A00-000038000000}"/>
    <hyperlink ref="J59" r:id="rId58" xr:uid="{00000000-0004-0000-0A00-000039000000}"/>
    <hyperlink ref="J60" r:id="rId59" xr:uid="{00000000-0004-0000-0A00-00003A000000}"/>
    <hyperlink ref="J61" r:id="rId60" xr:uid="{00000000-0004-0000-0A00-00003B000000}"/>
    <hyperlink ref="J62" r:id="rId61" xr:uid="{00000000-0004-0000-0A00-00003C000000}"/>
    <hyperlink ref="J63" r:id="rId62" xr:uid="{00000000-0004-0000-0A00-00003D000000}"/>
    <hyperlink ref="J64" r:id="rId63" xr:uid="{00000000-0004-0000-0A00-00003E000000}"/>
    <hyperlink ref="J65" r:id="rId64" xr:uid="{00000000-0004-0000-0A00-00003F000000}"/>
    <hyperlink ref="J66" r:id="rId65" xr:uid="{00000000-0004-0000-0A00-000040000000}"/>
    <hyperlink ref="J67" r:id="rId66" xr:uid="{00000000-0004-0000-0A00-000041000000}"/>
    <hyperlink ref="J68" r:id="rId67" xr:uid="{00000000-0004-0000-0A00-000042000000}"/>
    <hyperlink ref="J69" r:id="rId68" xr:uid="{00000000-0004-0000-0A00-000043000000}"/>
    <hyperlink ref="J70" r:id="rId69" xr:uid="{00000000-0004-0000-0A00-000044000000}"/>
    <hyperlink ref="J71" r:id="rId70" xr:uid="{00000000-0004-0000-0A00-000045000000}"/>
    <hyperlink ref="J72" r:id="rId71" xr:uid="{00000000-0004-0000-0A00-000046000000}"/>
    <hyperlink ref="J73" r:id="rId72" xr:uid="{00000000-0004-0000-0A00-000047000000}"/>
    <hyperlink ref="J74" r:id="rId73" xr:uid="{00000000-0004-0000-0A00-000048000000}"/>
    <hyperlink ref="J75" r:id="rId74" xr:uid="{00000000-0004-0000-0A00-000049000000}"/>
    <hyperlink ref="J76" r:id="rId75" xr:uid="{00000000-0004-0000-0A00-00004A000000}"/>
    <hyperlink ref="J77" r:id="rId76" xr:uid="{00000000-0004-0000-0A00-00004B000000}"/>
    <hyperlink ref="J78" r:id="rId77" xr:uid="{00000000-0004-0000-0A00-00004C000000}"/>
    <hyperlink ref="J79" r:id="rId78" xr:uid="{00000000-0004-0000-0A00-00004D000000}"/>
    <hyperlink ref="J80" r:id="rId79" xr:uid="{00000000-0004-0000-0A00-00004E000000}"/>
    <hyperlink ref="J81" r:id="rId80" xr:uid="{00000000-0004-0000-0A00-00004F000000}"/>
    <hyperlink ref="J82" r:id="rId81" xr:uid="{00000000-0004-0000-0A00-000050000000}"/>
    <hyperlink ref="J83" r:id="rId82" xr:uid="{00000000-0004-0000-0A00-000051000000}"/>
    <hyperlink ref="J84" r:id="rId83" xr:uid="{00000000-0004-0000-0A00-000052000000}"/>
    <hyperlink ref="J85" r:id="rId84" xr:uid="{00000000-0004-0000-0A00-000053000000}"/>
    <hyperlink ref="J86" r:id="rId85" xr:uid="{00000000-0004-0000-0A00-000054000000}"/>
    <hyperlink ref="J87" r:id="rId86" xr:uid="{00000000-0004-0000-0A00-000055000000}"/>
    <hyperlink ref="J88" r:id="rId87" xr:uid="{00000000-0004-0000-0A00-000056000000}"/>
    <hyperlink ref="J89" r:id="rId88" xr:uid="{00000000-0004-0000-0A00-000057000000}"/>
    <hyperlink ref="J90" r:id="rId89" xr:uid="{00000000-0004-0000-0A00-000058000000}"/>
    <hyperlink ref="J91" r:id="rId90" xr:uid="{00000000-0004-0000-0A00-000059000000}"/>
    <hyperlink ref="J92" r:id="rId91" xr:uid="{00000000-0004-0000-0A00-00005A000000}"/>
    <hyperlink ref="J93" r:id="rId92" xr:uid="{00000000-0004-0000-0A00-00005B000000}"/>
    <hyperlink ref="J94" r:id="rId93" xr:uid="{00000000-0004-0000-0A00-00005C000000}"/>
    <hyperlink ref="J95" r:id="rId94" xr:uid="{00000000-0004-0000-0A00-00005D000000}"/>
    <hyperlink ref="J96" r:id="rId95" xr:uid="{00000000-0004-0000-0A00-00005E000000}"/>
    <hyperlink ref="J97" r:id="rId96" xr:uid="{00000000-0004-0000-0A00-00005F000000}"/>
    <hyperlink ref="J98" r:id="rId97" xr:uid="{00000000-0004-0000-0A00-000060000000}"/>
    <hyperlink ref="J99" r:id="rId98" xr:uid="{00000000-0004-0000-0A00-000061000000}"/>
    <hyperlink ref="J100" r:id="rId99" xr:uid="{00000000-0004-0000-0A00-000062000000}"/>
    <hyperlink ref="J101" r:id="rId100" xr:uid="{00000000-0004-0000-0A00-000063000000}"/>
    <hyperlink ref="J102" r:id="rId101" xr:uid="{00000000-0004-0000-0A00-000064000000}"/>
    <hyperlink ref="J103" r:id="rId102" xr:uid="{00000000-0004-0000-0A00-000065000000}"/>
    <hyperlink ref="J104" r:id="rId103" xr:uid="{00000000-0004-0000-0A00-000066000000}"/>
    <hyperlink ref="J105" r:id="rId104" xr:uid="{00000000-0004-0000-0A00-000067000000}"/>
    <hyperlink ref="J106" r:id="rId105" xr:uid="{00000000-0004-0000-0A00-000068000000}"/>
    <hyperlink ref="J107" r:id="rId106" xr:uid="{00000000-0004-0000-0A00-000069000000}"/>
    <hyperlink ref="J108" r:id="rId107" xr:uid="{00000000-0004-0000-0A00-00006A000000}"/>
    <hyperlink ref="J109" r:id="rId108" xr:uid="{00000000-0004-0000-0A00-00006B000000}"/>
    <hyperlink ref="J110" r:id="rId109" xr:uid="{00000000-0004-0000-0A00-00006C000000}"/>
    <hyperlink ref="J111" r:id="rId110" xr:uid="{00000000-0004-0000-0A00-00006D000000}"/>
    <hyperlink ref="J112" r:id="rId111" xr:uid="{00000000-0004-0000-0A00-00006E000000}"/>
    <hyperlink ref="J113" r:id="rId112" xr:uid="{00000000-0004-0000-0A00-00006F000000}"/>
    <hyperlink ref="J114" r:id="rId113" xr:uid="{00000000-0004-0000-0A00-000070000000}"/>
    <hyperlink ref="J115" r:id="rId114" xr:uid="{00000000-0004-0000-0A00-000071000000}"/>
    <hyperlink ref="J116" r:id="rId115" xr:uid="{00000000-0004-0000-0A00-000072000000}"/>
    <hyperlink ref="J117" r:id="rId116" xr:uid="{00000000-0004-0000-0A00-000073000000}"/>
    <hyperlink ref="J118" r:id="rId117" xr:uid="{00000000-0004-0000-0A00-000074000000}"/>
    <hyperlink ref="J119" r:id="rId118" xr:uid="{00000000-0004-0000-0A00-000075000000}"/>
    <hyperlink ref="J120" r:id="rId119" xr:uid="{00000000-0004-0000-0A00-000076000000}"/>
    <hyperlink ref="J121" r:id="rId120" xr:uid="{00000000-0004-0000-0A00-000077000000}"/>
    <hyperlink ref="J122" r:id="rId121" xr:uid="{00000000-0004-0000-0A00-000078000000}"/>
    <hyperlink ref="J123" r:id="rId122" xr:uid="{00000000-0004-0000-0A00-000079000000}"/>
    <hyperlink ref="J124" r:id="rId123" xr:uid="{00000000-0004-0000-0A00-00007A000000}"/>
    <hyperlink ref="J125" r:id="rId124" xr:uid="{00000000-0004-0000-0A00-00007B000000}"/>
    <hyperlink ref="J126" r:id="rId125" xr:uid="{00000000-0004-0000-0A00-00007C000000}"/>
    <hyperlink ref="J127" r:id="rId126" xr:uid="{00000000-0004-0000-0A00-00007D000000}"/>
    <hyperlink ref="J128" r:id="rId127" xr:uid="{00000000-0004-0000-0A00-00007E000000}"/>
    <hyperlink ref="J129" r:id="rId128" xr:uid="{00000000-0004-0000-0A00-00007F000000}"/>
    <hyperlink ref="J130" r:id="rId129" xr:uid="{00000000-0004-0000-0A00-000080000000}"/>
    <hyperlink ref="J131" r:id="rId130" xr:uid="{00000000-0004-0000-0A00-000081000000}"/>
    <hyperlink ref="J132" r:id="rId131" xr:uid="{00000000-0004-0000-0A00-000082000000}"/>
    <hyperlink ref="J133" r:id="rId132" xr:uid="{00000000-0004-0000-0A00-000083000000}"/>
    <hyperlink ref="J134" r:id="rId133" xr:uid="{00000000-0004-0000-0A00-000084000000}"/>
    <hyperlink ref="J135" r:id="rId134" xr:uid="{00000000-0004-0000-0A00-000085000000}"/>
    <hyperlink ref="J136" r:id="rId135" xr:uid="{00000000-0004-0000-0A00-000086000000}"/>
    <hyperlink ref="J137" r:id="rId136" xr:uid="{00000000-0004-0000-0A00-000087000000}"/>
    <hyperlink ref="J138" r:id="rId137" xr:uid="{00000000-0004-0000-0A00-000088000000}"/>
    <hyperlink ref="J139" r:id="rId138" xr:uid="{00000000-0004-0000-0A00-000089000000}"/>
    <hyperlink ref="J140" r:id="rId139" xr:uid="{00000000-0004-0000-0A00-00008A000000}"/>
    <hyperlink ref="J141" r:id="rId140" xr:uid="{00000000-0004-0000-0A00-00008B000000}"/>
    <hyperlink ref="J142" r:id="rId141" xr:uid="{00000000-0004-0000-0A00-00008C000000}"/>
    <hyperlink ref="J143" r:id="rId142" xr:uid="{00000000-0004-0000-0A00-00008D000000}"/>
    <hyperlink ref="J144" r:id="rId143" xr:uid="{00000000-0004-0000-0A00-00008E000000}"/>
    <hyperlink ref="J145" r:id="rId144" xr:uid="{00000000-0004-0000-0A00-00008F000000}"/>
    <hyperlink ref="J146" r:id="rId145" xr:uid="{00000000-0004-0000-0A00-000090000000}"/>
    <hyperlink ref="J147" r:id="rId146" xr:uid="{00000000-0004-0000-0A00-000091000000}"/>
    <hyperlink ref="J148" r:id="rId147" xr:uid="{00000000-0004-0000-0A00-000092000000}"/>
    <hyperlink ref="J149" r:id="rId148" xr:uid="{00000000-0004-0000-0A00-000093000000}"/>
    <hyperlink ref="J150" r:id="rId149" xr:uid="{00000000-0004-0000-0A00-000094000000}"/>
    <hyperlink ref="J151" r:id="rId150" xr:uid="{00000000-0004-0000-0A00-000095000000}"/>
    <hyperlink ref="J152" r:id="rId151" xr:uid="{00000000-0004-0000-0A00-000096000000}"/>
    <hyperlink ref="J153" r:id="rId152" xr:uid="{00000000-0004-0000-0A00-000097000000}"/>
    <hyperlink ref="J154" r:id="rId153" xr:uid="{00000000-0004-0000-0A00-000098000000}"/>
    <hyperlink ref="J155" r:id="rId154" xr:uid="{00000000-0004-0000-0A00-000099000000}"/>
    <hyperlink ref="J156" r:id="rId155" xr:uid="{00000000-0004-0000-0A00-00009A000000}"/>
    <hyperlink ref="J157" r:id="rId156" xr:uid="{00000000-0004-0000-0A00-00009B000000}"/>
    <hyperlink ref="J158" r:id="rId157" xr:uid="{00000000-0004-0000-0A00-00009C000000}"/>
    <hyperlink ref="J159" r:id="rId158" xr:uid="{00000000-0004-0000-0A00-00009D000000}"/>
    <hyperlink ref="J160" r:id="rId159" xr:uid="{00000000-0004-0000-0A00-00009E000000}"/>
    <hyperlink ref="J161" r:id="rId160" xr:uid="{00000000-0004-0000-0A00-00009F000000}"/>
    <hyperlink ref="J162" r:id="rId161" xr:uid="{00000000-0004-0000-0A00-0000A0000000}"/>
    <hyperlink ref="J163" r:id="rId162" xr:uid="{00000000-0004-0000-0A00-0000A1000000}"/>
    <hyperlink ref="J164" r:id="rId163" xr:uid="{00000000-0004-0000-0A00-0000A2000000}"/>
    <hyperlink ref="J165" r:id="rId164" xr:uid="{00000000-0004-0000-0A00-0000A3000000}"/>
    <hyperlink ref="J166" r:id="rId165" xr:uid="{00000000-0004-0000-0A00-0000A4000000}"/>
    <hyperlink ref="J167" r:id="rId166" xr:uid="{00000000-0004-0000-0A00-0000A5000000}"/>
    <hyperlink ref="J168" r:id="rId167" xr:uid="{00000000-0004-0000-0A00-0000A6000000}"/>
    <hyperlink ref="J169" r:id="rId168" xr:uid="{00000000-0004-0000-0A00-0000A7000000}"/>
    <hyperlink ref="J170" r:id="rId169" xr:uid="{00000000-0004-0000-0A00-0000A8000000}"/>
    <hyperlink ref="J171" r:id="rId170" xr:uid="{00000000-0004-0000-0A00-0000A9000000}"/>
    <hyperlink ref="J172" r:id="rId171" xr:uid="{00000000-0004-0000-0A00-0000AA000000}"/>
    <hyperlink ref="J173" r:id="rId172" xr:uid="{00000000-0004-0000-0A00-0000AB000000}"/>
    <hyperlink ref="J174" r:id="rId173" xr:uid="{00000000-0004-0000-0A00-0000AC000000}"/>
    <hyperlink ref="J175" r:id="rId174" xr:uid="{00000000-0004-0000-0A00-0000AD000000}"/>
    <hyperlink ref="J176" r:id="rId175" xr:uid="{00000000-0004-0000-0A00-0000AE000000}"/>
    <hyperlink ref="J177" r:id="rId176" xr:uid="{00000000-0004-0000-0A00-0000AF000000}"/>
    <hyperlink ref="J178" r:id="rId177" xr:uid="{00000000-0004-0000-0A00-0000B0000000}"/>
    <hyperlink ref="J179" r:id="rId178" xr:uid="{00000000-0004-0000-0A00-0000B1000000}"/>
    <hyperlink ref="J180" r:id="rId179" xr:uid="{00000000-0004-0000-0A00-0000B2000000}"/>
    <hyperlink ref="J181" r:id="rId180" xr:uid="{00000000-0004-0000-0A00-0000B3000000}"/>
    <hyperlink ref="J182" r:id="rId181" xr:uid="{00000000-0004-0000-0A00-0000B4000000}"/>
    <hyperlink ref="J183" r:id="rId182" xr:uid="{00000000-0004-0000-0A00-0000B5000000}"/>
    <hyperlink ref="J184" r:id="rId183" xr:uid="{00000000-0004-0000-0A00-0000B6000000}"/>
    <hyperlink ref="J185" r:id="rId184" xr:uid="{00000000-0004-0000-0A00-0000B7000000}"/>
    <hyperlink ref="J186" r:id="rId185" xr:uid="{00000000-0004-0000-0A00-0000B8000000}"/>
    <hyperlink ref="J187" r:id="rId186" xr:uid="{00000000-0004-0000-0A00-0000B9000000}"/>
    <hyperlink ref="J188" r:id="rId187" xr:uid="{00000000-0004-0000-0A00-0000BA000000}"/>
    <hyperlink ref="J189" r:id="rId188" xr:uid="{00000000-0004-0000-0A00-0000BB000000}"/>
    <hyperlink ref="J190" r:id="rId189" xr:uid="{00000000-0004-0000-0A00-0000BC000000}"/>
    <hyperlink ref="J191" r:id="rId190" xr:uid="{00000000-0004-0000-0A00-0000BD000000}"/>
    <hyperlink ref="J192" r:id="rId191" xr:uid="{00000000-0004-0000-0A00-0000BE000000}"/>
    <hyperlink ref="J193" r:id="rId192" xr:uid="{00000000-0004-0000-0A00-0000BF000000}"/>
    <hyperlink ref="J194" r:id="rId193" xr:uid="{00000000-0004-0000-0A00-0000C0000000}"/>
    <hyperlink ref="J195" r:id="rId194" xr:uid="{00000000-0004-0000-0A00-0000C1000000}"/>
    <hyperlink ref="J196" r:id="rId195" xr:uid="{00000000-0004-0000-0A00-0000C2000000}"/>
    <hyperlink ref="J197" r:id="rId196" xr:uid="{00000000-0004-0000-0A00-0000C3000000}"/>
    <hyperlink ref="J198" r:id="rId197" xr:uid="{00000000-0004-0000-0A00-0000C4000000}"/>
    <hyperlink ref="J199" r:id="rId198" xr:uid="{00000000-0004-0000-0A00-0000C5000000}"/>
    <hyperlink ref="J200" r:id="rId199" xr:uid="{00000000-0004-0000-0A00-0000C6000000}"/>
    <hyperlink ref="J201" r:id="rId200" xr:uid="{00000000-0004-0000-0A00-0000C7000000}"/>
    <hyperlink ref="J202" r:id="rId201" xr:uid="{00000000-0004-0000-0A00-0000C8000000}"/>
    <hyperlink ref="J203" r:id="rId202" xr:uid="{00000000-0004-0000-0A00-0000C9000000}"/>
    <hyperlink ref="J204" r:id="rId203" xr:uid="{00000000-0004-0000-0A00-0000CA000000}"/>
    <hyperlink ref="J205" r:id="rId204" xr:uid="{00000000-0004-0000-0A00-0000CB000000}"/>
    <hyperlink ref="J206" r:id="rId205" xr:uid="{00000000-0004-0000-0A00-0000CC000000}"/>
    <hyperlink ref="J207" r:id="rId206" xr:uid="{00000000-0004-0000-0A00-0000CD000000}"/>
    <hyperlink ref="J208" r:id="rId207" xr:uid="{00000000-0004-0000-0A00-0000CE000000}"/>
    <hyperlink ref="J209" r:id="rId208" xr:uid="{00000000-0004-0000-0A00-0000CF000000}"/>
    <hyperlink ref="J210" r:id="rId209" xr:uid="{00000000-0004-0000-0A00-0000D0000000}"/>
    <hyperlink ref="J211" r:id="rId210" xr:uid="{00000000-0004-0000-0A00-0000D1000000}"/>
    <hyperlink ref="J212" r:id="rId211" xr:uid="{00000000-0004-0000-0A00-0000D2000000}"/>
    <hyperlink ref="J213" r:id="rId212" xr:uid="{00000000-0004-0000-0A00-0000D3000000}"/>
    <hyperlink ref="J214" r:id="rId213" xr:uid="{00000000-0004-0000-0A00-0000D4000000}"/>
    <hyperlink ref="J215" r:id="rId214" xr:uid="{00000000-0004-0000-0A00-0000D5000000}"/>
    <hyperlink ref="J216" r:id="rId215" xr:uid="{00000000-0004-0000-0A00-0000D6000000}"/>
    <hyperlink ref="J217" r:id="rId216" xr:uid="{00000000-0004-0000-0A00-0000D7000000}"/>
    <hyperlink ref="J218" r:id="rId217" xr:uid="{00000000-0004-0000-0A00-0000D8000000}"/>
    <hyperlink ref="J219" r:id="rId218" xr:uid="{00000000-0004-0000-0A00-0000D9000000}"/>
    <hyperlink ref="J220" r:id="rId219" xr:uid="{00000000-0004-0000-0A00-0000DA000000}"/>
    <hyperlink ref="J221" r:id="rId220" xr:uid="{00000000-0004-0000-0A00-0000DB000000}"/>
    <hyperlink ref="J222" r:id="rId221" xr:uid="{00000000-0004-0000-0A00-0000DC000000}"/>
    <hyperlink ref="J223" r:id="rId222" xr:uid="{00000000-0004-0000-0A00-0000DD000000}"/>
    <hyperlink ref="J224" r:id="rId223" xr:uid="{00000000-0004-0000-0A00-0000DE000000}"/>
    <hyperlink ref="J225" r:id="rId224" xr:uid="{00000000-0004-0000-0A00-0000DF000000}"/>
    <hyperlink ref="J226" r:id="rId225" xr:uid="{00000000-0004-0000-0A00-0000E0000000}"/>
    <hyperlink ref="J227" r:id="rId226" xr:uid="{00000000-0004-0000-0A00-0000E1000000}"/>
    <hyperlink ref="J228" r:id="rId227" xr:uid="{00000000-0004-0000-0A00-0000E2000000}"/>
    <hyperlink ref="J229" r:id="rId228" xr:uid="{00000000-0004-0000-0A00-0000E3000000}"/>
    <hyperlink ref="J230" r:id="rId229" xr:uid="{00000000-0004-0000-0A00-0000E4000000}"/>
    <hyperlink ref="J231" r:id="rId230" xr:uid="{00000000-0004-0000-0A00-0000E5000000}"/>
    <hyperlink ref="J232" r:id="rId231" xr:uid="{00000000-0004-0000-0A00-0000E6000000}"/>
    <hyperlink ref="J233" r:id="rId232" xr:uid="{00000000-0004-0000-0A00-0000E7000000}"/>
    <hyperlink ref="J234" r:id="rId233" xr:uid="{00000000-0004-0000-0A00-0000E8000000}"/>
    <hyperlink ref="J235" r:id="rId234" xr:uid="{00000000-0004-0000-0A00-0000E9000000}"/>
    <hyperlink ref="J236" r:id="rId235" xr:uid="{00000000-0004-0000-0A00-0000EA000000}"/>
    <hyperlink ref="J237" r:id="rId236" xr:uid="{00000000-0004-0000-0A00-0000EB000000}"/>
    <hyperlink ref="J238" r:id="rId237" xr:uid="{00000000-0004-0000-0A00-0000EC000000}"/>
    <hyperlink ref="J239" r:id="rId238" xr:uid="{00000000-0004-0000-0A00-0000ED000000}"/>
    <hyperlink ref="J240" r:id="rId239" xr:uid="{00000000-0004-0000-0A00-0000EE000000}"/>
    <hyperlink ref="J241" r:id="rId240" xr:uid="{00000000-0004-0000-0A00-0000EF000000}"/>
    <hyperlink ref="J242" r:id="rId241" xr:uid="{00000000-0004-0000-0A00-0000F0000000}"/>
    <hyperlink ref="J243" r:id="rId242" xr:uid="{00000000-0004-0000-0A00-0000F1000000}"/>
    <hyperlink ref="J244" r:id="rId243" xr:uid="{00000000-0004-0000-0A00-0000F2000000}"/>
    <hyperlink ref="J245" r:id="rId244" xr:uid="{00000000-0004-0000-0A00-0000F3000000}"/>
    <hyperlink ref="J246" r:id="rId245" xr:uid="{00000000-0004-0000-0A00-0000F4000000}"/>
    <hyperlink ref="J247" r:id="rId246" xr:uid="{00000000-0004-0000-0A00-0000F5000000}"/>
    <hyperlink ref="J248" r:id="rId247" xr:uid="{00000000-0004-0000-0A00-0000F6000000}"/>
    <hyperlink ref="J249" r:id="rId248" xr:uid="{00000000-0004-0000-0A00-0000F7000000}"/>
    <hyperlink ref="J250" r:id="rId249" xr:uid="{00000000-0004-0000-0A00-0000F8000000}"/>
    <hyperlink ref="J251" r:id="rId250" xr:uid="{00000000-0004-0000-0A00-0000F9000000}"/>
    <hyperlink ref="J252" r:id="rId251" xr:uid="{00000000-0004-0000-0A00-0000FA000000}"/>
    <hyperlink ref="J253" r:id="rId252" xr:uid="{00000000-0004-0000-0A00-0000FB000000}"/>
    <hyperlink ref="J254" r:id="rId253" xr:uid="{00000000-0004-0000-0A00-0000FC000000}"/>
    <hyperlink ref="J255" r:id="rId254" xr:uid="{00000000-0004-0000-0A00-0000FD000000}"/>
    <hyperlink ref="J256" r:id="rId255" xr:uid="{00000000-0004-0000-0A00-0000FE000000}"/>
    <hyperlink ref="J257" r:id="rId256" xr:uid="{00000000-0004-0000-0A00-0000FF000000}"/>
    <hyperlink ref="J258" r:id="rId257" xr:uid="{00000000-0004-0000-0A00-000000010000}"/>
    <hyperlink ref="J259" r:id="rId258" xr:uid="{00000000-0004-0000-0A00-000001010000}"/>
    <hyperlink ref="J260" r:id="rId259" xr:uid="{00000000-0004-0000-0A00-000002010000}"/>
    <hyperlink ref="J261" r:id="rId260" xr:uid="{00000000-0004-0000-0A00-000003010000}"/>
    <hyperlink ref="J262" r:id="rId261" xr:uid="{00000000-0004-0000-0A00-000004010000}"/>
    <hyperlink ref="J263" r:id="rId262" xr:uid="{00000000-0004-0000-0A00-000005010000}"/>
    <hyperlink ref="J264" r:id="rId263" xr:uid="{00000000-0004-0000-0A00-000006010000}"/>
    <hyperlink ref="J265" r:id="rId264" xr:uid="{00000000-0004-0000-0A00-000007010000}"/>
    <hyperlink ref="J266" r:id="rId265" xr:uid="{00000000-0004-0000-0A00-000008010000}"/>
    <hyperlink ref="J267" r:id="rId266" xr:uid="{00000000-0004-0000-0A00-000009010000}"/>
    <hyperlink ref="J268" r:id="rId267" xr:uid="{00000000-0004-0000-0A00-00000A010000}"/>
    <hyperlink ref="J269" r:id="rId268" xr:uid="{00000000-0004-0000-0A00-00000B010000}"/>
    <hyperlink ref="J270" r:id="rId269" xr:uid="{00000000-0004-0000-0A00-00000C010000}"/>
    <hyperlink ref="J271" r:id="rId270" xr:uid="{00000000-0004-0000-0A00-00000D010000}"/>
    <hyperlink ref="J272" r:id="rId271" xr:uid="{00000000-0004-0000-0A00-00000E010000}"/>
    <hyperlink ref="J273" r:id="rId272" xr:uid="{00000000-0004-0000-0A00-00000F010000}"/>
    <hyperlink ref="J274" r:id="rId273" xr:uid="{00000000-0004-0000-0A00-000010010000}"/>
    <hyperlink ref="J275" r:id="rId274" xr:uid="{00000000-0004-0000-0A00-000011010000}"/>
    <hyperlink ref="J276" r:id="rId275" xr:uid="{00000000-0004-0000-0A00-000012010000}"/>
    <hyperlink ref="J277" r:id="rId276" xr:uid="{00000000-0004-0000-0A00-000013010000}"/>
    <hyperlink ref="J278" r:id="rId277" xr:uid="{00000000-0004-0000-0A00-000014010000}"/>
    <hyperlink ref="J279" r:id="rId278" xr:uid="{00000000-0004-0000-0A00-000015010000}"/>
    <hyperlink ref="J280" r:id="rId279" xr:uid="{00000000-0004-0000-0A00-000016010000}"/>
    <hyperlink ref="J281" r:id="rId280" xr:uid="{00000000-0004-0000-0A00-000017010000}"/>
    <hyperlink ref="J282" r:id="rId281" xr:uid="{00000000-0004-0000-0A00-000018010000}"/>
    <hyperlink ref="J283" r:id="rId282" xr:uid="{00000000-0004-0000-0A00-000019010000}"/>
    <hyperlink ref="J284" r:id="rId283" xr:uid="{00000000-0004-0000-0A00-00001A010000}"/>
    <hyperlink ref="J285" r:id="rId284" xr:uid="{00000000-0004-0000-0A00-00001B010000}"/>
    <hyperlink ref="J286" r:id="rId285" xr:uid="{00000000-0004-0000-0A00-00001C010000}"/>
    <hyperlink ref="J287" r:id="rId286" xr:uid="{00000000-0004-0000-0A00-00001D010000}"/>
    <hyperlink ref="J288" r:id="rId287" xr:uid="{00000000-0004-0000-0A00-00001E010000}"/>
    <hyperlink ref="J289" r:id="rId288" xr:uid="{00000000-0004-0000-0A00-00001F010000}"/>
    <hyperlink ref="J290" r:id="rId289" xr:uid="{00000000-0004-0000-0A00-000020010000}"/>
    <hyperlink ref="J291" r:id="rId290" xr:uid="{00000000-0004-0000-0A00-000021010000}"/>
    <hyperlink ref="J292" r:id="rId291" xr:uid="{00000000-0004-0000-0A00-000022010000}"/>
    <hyperlink ref="J293" r:id="rId292" xr:uid="{00000000-0004-0000-0A00-000023010000}"/>
    <hyperlink ref="J294" r:id="rId293" xr:uid="{00000000-0004-0000-0A00-000024010000}"/>
    <hyperlink ref="J295" r:id="rId294" xr:uid="{00000000-0004-0000-0A00-000025010000}"/>
    <hyperlink ref="J296" r:id="rId295" xr:uid="{00000000-0004-0000-0A00-000026010000}"/>
    <hyperlink ref="J297" r:id="rId296" xr:uid="{00000000-0004-0000-0A00-000027010000}"/>
    <hyperlink ref="J298" r:id="rId297" xr:uid="{00000000-0004-0000-0A00-000028010000}"/>
    <hyperlink ref="J299" r:id="rId298" xr:uid="{00000000-0004-0000-0A00-000029010000}"/>
    <hyperlink ref="J300" r:id="rId299" xr:uid="{00000000-0004-0000-0A00-00002A010000}"/>
    <hyperlink ref="J301" r:id="rId300" xr:uid="{00000000-0004-0000-0A00-00002B010000}"/>
    <hyperlink ref="J302" r:id="rId301" xr:uid="{00000000-0004-0000-0A00-00002C010000}"/>
    <hyperlink ref="J303" r:id="rId302" xr:uid="{00000000-0004-0000-0A00-00002D010000}"/>
    <hyperlink ref="J304" r:id="rId303" xr:uid="{00000000-0004-0000-0A00-00002E010000}"/>
    <hyperlink ref="J305" r:id="rId304" xr:uid="{00000000-0004-0000-0A00-00002F010000}"/>
    <hyperlink ref="J306" r:id="rId305" xr:uid="{00000000-0004-0000-0A00-000030010000}"/>
    <hyperlink ref="J307" r:id="rId306" xr:uid="{00000000-0004-0000-0A00-000031010000}"/>
    <hyperlink ref="J308" r:id="rId307" xr:uid="{00000000-0004-0000-0A00-000032010000}"/>
    <hyperlink ref="J309" r:id="rId308" xr:uid="{00000000-0004-0000-0A00-000033010000}"/>
    <hyperlink ref="J310" r:id="rId309" xr:uid="{00000000-0004-0000-0A00-000034010000}"/>
    <hyperlink ref="J311" r:id="rId310" xr:uid="{00000000-0004-0000-0A00-000035010000}"/>
    <hyperlink ref="J312" r:id="rId311" xr:uid="{00000000-0004-0000-0A00-000036010000}"/>
    <hyperlink ref="J313" r:id="rId312" xr:uid="{00000000-0004-0000-0A00-000037010000}"/>
    <hyperlink ref="J314" r:id="rId313" xr:uid="{00000000-0004-0000-0A00-000038010000}"/>
    <hyperlink ref="J315" r:id="rId314" xr:uid="{00000000-0004-0000-0A00-000039010000}"/>
    <hyperlink ref="J316" r:id="rId315" xr:uid="{00000000-0004-0000-0A00-00003A010000}"/>
    <hyperlink ref="J317" r:id="rId316" xr:uid="{00000000-0004-0000-0A00-00003B010000}"/>
    <hyperlink ref="J318" r:id="rId317" xr:uid="{00000000-0004-0000-0A00-00003C010000}"/>
    <hyperlink ref="J319" r:id="rId318" xr:uid="{00000000-0004-0000-0A00-00003D010000}"/>
    <hyperlink ref="J320" r:id="rId319" xr:uid="{00000000-0004-0000-0A00-00003E010000}"/>
    <hyperlink ref="J321" r:id="rId320" xr:uid="{00000000-0004-0000-0A00-00003F010000}"/>
    <hyperlink ref="J322" r:id="rId321" xr:uid="{00000000-0004-0000-0A00-000040010000}"/>
    <hyperlink ref="J323" r:id="rId322" xr:uid="{00000000-0004-0000-0A00-000041010000}"/>
    <hyperlink ref="J324" r:id="rId323" xr:uid="{00000000-0004-0000-0A00-000042010000}"/>
    <hyperlink ref="J325" r:id="rId324" xr:uid="{00000000-0004-0000-0A00-000043010000}"/>
    <hyperlink ref="J326" r:id="rId325" xr:uid="{00000000-0004-0000-0A00-000044010000}"/>
    <hyperlink ref="J327" r:id="rId326" xr:uid="{00000000-0004-0000-0A00-000045010000}"/>
    <hyperlink ref="J328" r:id="rId327" xr:uid="{00000000-0004-0000-0A00-000046010000}"/>
    <hyperlink ref="J329" r:id="rId328" xr:uid="{00000000-0004-0000-0A00-000047010000}"/>
    <hyperlink ref="J330" r:id="rId329" xr:uid="{00000000-0004-0000-0A00-000048010000}"/>
    <hyperlink ref="J331" r:id="rId330" xr:uid="{00000000-0004-0000-0A00-000049010000}"/>
    <hyperlink ref="J332" r:id="rId331" xr:uid="{00000000-0004-0000-0A00-00004A010000}"/>
    <hyperlink ref="J333" r:id="rId332" xr:uid="{00000000-0004-0000-0A00-00004B010000}"/>
    <hyperlink ref="J334" r:id="rId333" xr:uid="{00000000-0004-0000-0A00-00004C010000}"/>
    <hyperlink ref="J335" r:id="rId334" xr:uid="{00000000-0004-0000-0A00-00004D010000}"/>
    <hyperlink ref="J336" r:id="rId335" xr:uid="{00000000-0004-0000-0A00-00004E010000}"/>
    <hyperlink ref="J337" r:id="rId336" xr:uid="{00000000-0004-0000-0A00-00004F010000}"/>
    <hyperlink ref="J338" r:id="rId337" xr:uid="{00000000-0004-0000-0A00-000050010000}"/>
    <hyperlink ref="J339" r:id="rId338" xr:uid="{00000000-0004-0000-0A00-000051010000}"/>
    <hyperlink ref="J340" r:id="rId339" xr:uid="{00000000-0004-0000-0A00-000052010000}"/>
    <hyperlink ref="J341" r:id="rId340" xr:uid="{00000000-0004-0000-0A00-000053010000}"/>
    <hyperlink ref="J342" r:id="rId341" xr:uid="{00000000-0004-0000-0A00-000054010000}"/>
    <hyperlink ref="J343" r:id="rId342" xr:uid="{00000000-0004-0000-0A00-000055010000}"/>
    <hyperlink ref="J344" r:id="rId343" xr:uid="{00000000-0004-0000-0A00-000056010000}"/>
    <hyperlink ref="J345" r:id="rId344" xr:uid="{00000000-0004-0000-0A00-000057010000}"/>
    <hyperlink ref="J346" r:id="rId345" xr:uid="{00000000-0004-0000-0A00-000058010000}"/>
    <hyperlink ref="J347" r:id="rId346" xr:uid="{00000000-0004-0000-0A00-000059010000}"/>
    <hyperlink ref="J348" r:id="rId347" xr:uid="{00000000-0004-0000-0A00-00005A010000}"/>
    <hyperlink ref="J349" r:id="rId348" xr:uid="{00000000-0004-0000-0A00-00005B010000}"/>
    <hyperlink ref="J350" r:id="rId349" xr:uid="{00000000-0004-0000-0A00-00005C010000}"/>
    <hyperlink ref="J351" r:id="rId350" xr:uid="{00000000-0004-0000-0A00-00005D010000}"/>
    <hyperlink ref="J352" r:id="rId351" xr:uid="{00000000-0004-0000-0A00-00005E010000}"/>
    <hyperlink ref="J353" r:id="rId352" xr:uid="{00000000-0004-0000-0A00-00005F010000}"/>
    <hyperlink ref="J354" r:id="rId353" xr:uid="{00000000-0004-0000-0A00-000060010000}"/>
    <hyperlink ref="J355" r:id="rId354" xr:uid="{00000000-0004-0000-0A00-000061010000}"/>
    <hyperlink ref="J356" r:id="rId355" xr:uid="{00000000-0004-0000-0A00-000062010000}"/>
    <hyperlink ref="J357" r:id="rId356" xr:uid="{00000000-0004-0000-0A00-000063010000}"/>
    <hyperlink ref="J358" r:id="rId357" xr:uid="{00000000-0004-0000-0A00-000064010000}"/>
    <hyperlink ref="J359" r:id="rId358" xr:uid="{00000000-0004-0000-0A00-000065010000}"/>
    <hyperlink ref="J360" r:id="rId359" xr:uid="{00000000-0004-0000-0A00-000066010000}"/>
    <hyperlink ref="J361" r:id="rId360" xr:uid="{00000000-0004-0000-0A00-000067010000}"/>
    <hyperlink ref="J362" r:id="rId361" xr:uid="{00000000-0004-0000-0A00-000068010000}"/>
    <hyperlink ref="J363" r:id="rId362" xr:uid="{00000000-0004-0000-0A00-000069010000}"/>
    <hyperlink ref="J364" r:id="rId363" xr:uid="{00000000-0004-0000-0A00-00006A010000}"/>
    <hyperlink ref="J365" r:id="rId364" xr:uid="{00000000-0004-0000-0A00-00006B010000}"/>
    <hyperlink ref="J366" r:id="rId365" xr:uid="{00000000-0004-0000-0A00-00006C010000}"/>
    <hyperlink ref="J367" r:id="rId366" xr:uid="{00000000-0004-0000-0A00-00006D010000}"/>
    <hyperlink ref="J368" r:id="rId367" xr:uid="{00000000-0004-0000-0A00-00006E010000}"/>
    <hyperlink ref="J369" r:id="rId368" xr:uid="{00000000-0004-0000-0A00-00006F010000}"/>
    <hyperlink ref="J370" r:id="rId369" xr:uid="{00000000-0004-0000-0A00-000070010000}"/>
    <hyperlink ref="J371" r:id="rId370" xr:uid="{00000000-0004-0000-0A00-000071010000}"/>
    <hyperlink ref="J372" r:id="rId371" xr:uid="{00000000-0004-0000-0A00-000072010000}"/>
    <hyperlink ref="J373" r:id="rId372" xr:uid="{00000000-0004-0000-0A00-000073010000}"/>
    <hyperlink ref="J374" r:id="rId373" xr:uid="{00000000-0004-0000-0A00-000074010000}"/>
    <hyperlink ref="J375" r:id="rId374" xr:uid="{00000000-0004-0000-0A00-000075010000}"/>
    <hyperlink ref="J376" r:id="rId375" xr:uid="{00000000-0004-0000-0A00-000076010000}"/>
    <hyperlink ref="J377" r:id="rId376" xr:uid="{00000000-0004-0000-0A00-000077010000}"/>
    <hyperlink ref="J378" r:id="rId377" xr:uid="{00000000-0004-0000-0A00-000078010000}"/>
    <hyperlink ref="J379" r:id="rId378" xr:uid="{00000000-0004-0000-0A00-000079010000}"/>
    <hyperlink ref="J380" r:id="rId379" xr:uid="{00000000-0004-0000-0A00-00007A010000}"/>
    <hyperlink ref="J381" r:id="rId380" xr:uid="{00000000-0004-0000-0A00-00007B010000}"/>
    <hyperlink ref="J382" r:id="rId381" xr:uid="{00000000-0004-0000-0A00-00007C010000}"/>
    <hyperlink ref="J383" r:id="rId382" xr:uid="{00000000-0004-0000-0A00-00007D010000}"/>
    <hyperlink ref="J384" r:id="rId383" xr:uid="{00000000-0004-0000-0A00-00007E010000}"/>
    <hyperlink ref="J385" r:id="rId384" xr:uid="{00000000-0004-0000-0A00-00007F010000}"/>
    <hyperlink ref="J386" r:id="rId385" xr:uid="{00000000-0004-0000-0A00-000080010000}"/>
    <hyperlink ref="J387" r:id="rId386" xr:uid="{00000000-0004-0000-0A00-000081010000}"/>
    <hyperlink ref="J388" r:id="rId387" xr:uid="{00000000-0004-0000-0A00-000082010000}"/>
    <hyperlink ref="J389" r:id="rId388" xr:uid="{00000000-0004-0000-0A00-000083010000}"/>
    <hyperlink ref="J390" r:id="rId389" xr:uid="{00000000-0004-0000-0A00-000084010000}"/>
    <hyperlink ref="J391" r:id="rId390" xr:uid="{00000000-0004-0000-0A00-000085010000}"/>
    <hyperlink ref="J392" r:id="rId391" xr:uid="{00000000-0004-0000-0A00-000086010000}"/>
    <hyperlink ref="J393" r:id="rId392" xr:uid="{00000000-0004-0000-0A00-000087010000}"/>
    <hyperlink ref="J394" r:id="rId393" xr:uid="{00000000-0004-0000-0A00-000088010000}"/>
    <hyperlink ref="J395" r:id="rId394" xr:uid="{00000000-0004-0000-0A00-000089010000}"/>
    <hyperlink ref="J396" r:id="rId395" xr:uid="{00000000-0004-0000-0A00-00008A010000}"/>
    <hyperlink ref="J397" r:id="rId396" xr:uid="{00000000-0004-0000-0A00-00008B010000}"/>
    <hyperlink ref="J398" r:id="rId397" xr:uid="{00000000-0004-0000-0A00-00008C010000}"/>
    <hyperlink ref="J399" r:id="rId398" xr:uid="{00000000-0004-0000-0A00-00008D010000}"/>
    <hyperlink ref="J400" r:id="rId399" xr:uid="{00000000-0004-0000-0A00-00008E010000}"/>
    <hyperlink ref="J401" r:id="rId400" xr:uid="{00000000-0004-0000-0A00-00008F010000}"/>
    <hyperlink ref="J402" r:id="rId401" xr:uid="{00000000-0004-0000-0A00-000090010000}"/>
    <hyperlink ref="J403" r:id="rId402" xr:uid="{00000000-0004-0000-0A00-000091010000}"/>
    <hyperlink ref="J404" r:id="rId403" xr:uid="{00000000-0004-0000-0A00-000092010000}"/>
    <hyperlink ref="J405" r:id="rId404" xr:uid="{00000000-0004-0000-0A00-000093010000}"/>
    <hyperlink ref="J406" r:id="rId405" xr:uid="{00000000-0004-0000-0A00-000094010000}"/>
    <hyperlink ref="J407" r:id="rId406" xr:uid="{00000000-0004-0000-0A00-000095010000}"/>
    <hyperlink ref="J408" r:id="rId407" xr:uid="{00000000-0004-0000-0A00-000096010000}"/>
    <hyperlink ref="J409" r:id="rId408" xr:uid="{00000000-0004-0000-0A00-000097010000}"/>
    <hyperlink ref="J410" r:id="rId409" xr:uid="{00000000-0004-0000-0A00-000098010000}"/>
    <hyperlink ref="J411" r:id="rId410" xr:uid="{00000000-0004-0000-0A00-000099010000}"/>
    <hyperlink ref="J412" r:id="rId411" xr:uid="{00000000-0004-0000-0A00-00009A010000}"/>
    <hyperlink ref="J413" r:id="rId412" xr:uid="{00000000-0004-0000-0A00-00009B010000}"/>
    <hyperlink ref="J414" r:id="rId413" xr:uid="{00000000-0004-0000-0A00-00009C010000}"/>
    <hyperlink ref="J415" r:id="rId414" xr:uid="{00000000-0004-0000-0A00-00009D010000}"/>
    <hyperlink ref="J416" r:id="rId415" xr:uid="{00000000-0004-0000-0A00-00009E010000}"/>
    <hyperlink ref="J417" r:id="rId416" xr:uid="{00000000-0004-0000-0A00-00009F010000}"/>
    <hyperlink ref="J418" r:id="rId417" xr:uid="{00000000-0004-0000-0A00-0000A0010000}"/>
    <hyperlink ref="J419" r:id="rId418" xr:uid="{00000000-0004-0000-0A00-0000A1010000}"/>
    <hyperlink ref="J420" r:id="rId419" xr:uid="{00000000-0004-0000-0A00-0000A2010000}"/>
    <hyperlink ref="J421" r:id="rId420" xr:uid="{00000000-0004-0000-0A00-0000A3010000}"/>
    <hyperlink ref="J422" r:id="rId421" xr:uid="{00000000-0004-0000-0A00-0000A4010000}"/>
    <hyperlink ref="J423" r:id="rId422" xr:uid="{00000000-0004-0000-0A00-0000A5010000}"/>
    <hyperlink ref="J424" r:id="rId423" xr:uid="{00000000-0004-0000-0A00-0000A6010000}"/>
    <hyperlink ref="J425" r:id="rId424" xr:uid="{00000000-0004-0000-0A00-0000A7010000}"/>
    <hyperlink ref="J426" r:id="rId425" xr:uid="{00000000-0004-0000-0A00-0000A8010000}"/>
    <hyperlink ref="J427" r:id="rId426" xr:uid="{00000000-0004-0000-0A00-0000A9010000}"/>
    <hyperlink ref="J428" r:id="rId427" xr:uid="{00000000-0004-0000-0A00-0000AA010000}"/>
    <hyperlink ref="J429" r:id="rId428" xr:uid="{00000000-0004-0000-0A00-0000AB010000}"/>
    <hyperlink ref="J430" r:id="rId429" xr:uid="{00000000-0004-0000-0A00-0000AC010000}"/>
    <hyperlink ref="J431" r:id="rId430" xr:uid="{00000000-0004-0000-0A00-0000AD010000}"/>
    <hyperlink ref="J432" r:id="rId431" xr:uid="{00000000-0004-0000-0A00-0000AE010000}"/>
    <hyperlink ref="J433" r:id="rId432" xr:uid="{00000000-0004-0000-0A00-0000AF010000}"/>
    <hyperlink ref="J434" r:id="rId433" xr:uid="{00000000-0004-0000-0A00-0000B0010000}"/>
    <hyperlink ref="J435" r:id="rId434" xr:uid="{00000000-0004-0000-0A00-0000B1010000}"/>
    <hyperlink ref="J436" r:id="rId435" xr:uid="{00000000-0004-0000-0A00-0000B2010000}"/>
    <hyperlink ref="J437" r:id="rId436" xr:uid="{00000000-0004-0000-0A00-0000B3010000}"/>
    <hyperlink ref="J438" r:id="rId437" xr:uid="{00000000-0004-0000-0A00-0000B4010000}"/>
    <hyperlink ref="J439" r:id="rId438" xr:uid="{00000000-0004-0000-0A00-0000B5010000}"/>
    <hyperlink ref="J440" r:id="rId439" xr:uid="{00000000-0004-0000-0A00-0000B6010000}"/>
    <hyperlink ref="J441" r:id="rId440" xr:uid="{00000000-0004-0000-0A00-0000B7010000}"/>
    <hyperlink ref="J442" r:id="rId441" xr:uid="{00000000-0004-0000-0A00-0000B8010000}"/>
    <hyperlink ref="J443" r:id="rId442" xr:uid="{00000000-0004-0000-0A00-0000B9010000}"/>
    <hyperlink ref="J444" r:id="rId443" xr:uid="{00000000-0004-0000-0A00-0000BA010000}"/>
    <hyperlink ref="J445" r:id="rId444" xr:uid="{00000000-0004-0000-0A00-0000BB010000}"/>
    <hyperlink ref="J446" r:id="rId445" xr:uid="{00000000-0004-0000-0A00-0000BC010000}"/>
    <hyperlink ref="J447" r:id="rId446" xr:uid="{00000000-0004-0000-0A00-0000BD010000}"/>
    <hyperlink ref="J448" r:id="rId447" xr:uid="{00000000-0004-0000-0A00-0000BE010000}"/>
    <hyperlink ref="J449" r:id="rId448" xr:uid="{00000000-0004-0000-0A00-0000BF010000}"/>
    <hyperlink ref="J450" r:id="rId449" xr:uid="{00000000-0004-0000-0A00-0000C0010000}"/>
    <hyperlink ref="J451" r:id="rId450" xr:uid="{00000000-0004-0000-0A00-0000C1010000}"/>
    <hyperlink ref="J452" r:id="rId451" xr:uid="{00000000-0004-0000-0A00-0000C2010000}"/>
    <hyperlink ref="J453" r:id="rId452" xr:uid="{00000000-0004-0000-0A00-0000C3010000}"/>
    <hyperlink ref="J454" r:id="rId453" xr:uid="{00000000-0004-0000-0A00-0000C4010000}"/>
    <hyperlink ref="J455" r:id="rId454" xr:uid="{00000000-0004-0000-0A00-0000C5010000}"/>
    <hyperlink ref="J456" r:id="rId455" xr:uid="{00000000-0004-0000-0A00-0000C6010000}"/>
    <hyperlink ref="J457" r:id="rId456" xr:uid="{00000000-0004-0000-0A00-0000C7010000}"/>
    <hyperlink ref="J458" r:id="rId457" xr:uid="{00000000-0004-0000-0A00-0000C8010000}"/>
    <hyperlink ref="J459" r:id="rId458" xr:uid="{00000000-0004-0000-0A00-0000C9010000}"/>
    <hyperlink ref="J460" r:id="rId459" xr:uid="{00000000-0004-0000-0A00-0000CA010000}"/>
    <hyperlink ref="J461" r:id="rId460" xr:uid="{00000000-0004-0000-0A00-0000CB010000}"/>
    <hyperlink ref="J462" r:id="rId461" xr:uid="{00000000-0004-0000-0A00-0000CC010000}"/>
    <hyperlink ref="J463" r:id="rId462" xr:uid="{00000000-0004-0000-0A00-0000CD010000}"/>
    <hyperlink ref="J464" r:id="rId463" xr:uid="{00000000-0004-0000-0A00-0000CE010000}"/>
    <hyperlink ref="J465" r:id="rId464" xr:uid="{00000000-0004-0000-0A00-0000CF010000}"/>
    <hyperlink ref="J466" r:id="rId465" xr:uid="{00000000-0004-0000-0A00-0000D0010000}"/>
    <hyperlink ref="J467" r:id="rId466" xr:uid="{00000000-0004-0000-0A00-0000D1010000}"/>
    <hyperlink ref="J468" r:id="rId467" xr:uid="{00000000-0004-0000-0A00-0000D2010000}"/>
    <hyperlink ref="J469" r:id="rId468" xr:uid="{00000000-0004-0000-0A00-0000D3010000}"/>
    <hyperlink ref="J470" r:id="rId469" xr:uid="{00000000-0004-0000-0A00-0000D4010000}"/>
    <hyperlink ref="J471" r:id="rId470" xr:uid="{00000000-0004-0000-0A00-0000D5010000}"/>
    <hyperlink ref="J472" r:id="rId471" xr:uid="{00000000-0004-0000-0A00-0000D6010000}"/>
    <hyperlink ref="J473" r:id="rId472" xr:uid="{00000000-0004-0000-0A00-0000D7010000}"/>
    <hyperlink ref="J474" r:id="rId473" xr:uid="{00000000-0004-0000-0A00-0000D8010000}"/>
    <hyperlink ref="J475" r:id="rId474" xr:uid="{00000000-0004-0000-0A00-0000D9010000}"/>
    <hyperlink ref="J476" r:id="rId475" xr:uid="{00000000-0004-0000-0A00-0000DA010000}"/>
    <hyperlink ref="J477" r:id="rId476" xr:uid="{00000000-0004-0000-0A00-0000DB010000}"/>
    <hyperlink ref="J478" r:id="rId477" xr:uid="{00000000-0004-0000-0A00-0000DC010000}"/>
    <hyperlink ref="J479" r:id="rId478" xr:uid="{00000000-0004-0000-0A00-0000DD010000}"/>
    <hyperlink ref="J480" r:id="rId479" xr:uid="{00000000-0004-0000-0A00-0000DE010000}"/>
    <hyperlink ref="J481" r:id="rId480" xr:uid="{00000000-0004-0000-0A00-0000DF010000}"/>
    <hyperlink ref="J482" r:id="rId481" xr:uid="{00000000-0004-0000-0A00-0000E0010000}"/>
    <hyperlink ref="J483" r:id="rId482" xr:uid="{00000000-0004-0000-0A00-0000E1010000}"/>
    <hyperlink ref="J484" r:id="rId483" xr:uid="{00000000-0004-0000-0A00-0000E2010000}"/>
    <hyperlink ref="J485" r:id="rId484" xr:uid="{00000000-0004-0000-0A00-0000E3010000}"/>
    <hyperlink ref="J486" r:id="rId485" xr:uid="{00000000-0004-0000-0A00-0000E4010000}"/>
    <hyperlink ref="J487" r:id="rId486" xr:uid="{00000000-0004-0000-0A00-0000E5010000}"/>
    <hyperlink ref="J488" r:id="rId487" xr:uid="{00000000-0004-0000-0A00-0000E6010000}"/>
    <hyperlink ref="J489" r:id="rId488" xr:uid="{00000000-0004-0000-0A00-0000E7010000}"/>
    <hyperlink ref="J490" r:id="rId489" xr:uid="{00000000-0004-0000-0A00-0000E8010000}"/>
    <hyperlink ref="J491" r:id="rId490" xr:uid="{00000000-0004-0000-0A00-0000E9010000}"/>
    <hyperlink ref="J492" r:id="rId491" xr:uid="{00000000-0004-0000-0A00-0000EA010000}"/>
    <hyperlink ref="J493" r:id="rId492" xr:uid="{00000000-0004-0000-0A00-0000EB010000}"/>
    <hyperlink ref="J494" r:id="rId493" xr:uid="{00000000-0004-0000-0A00-0000EC010000}"/>
    <hyperlink ref="J495" r:id="rId494" xr:uid="{00000000-0004-0000-0A00-0000ED010000}"/>
    <hyperlink ref="J496" r:id="rId495" xr:uid="{00000000-0004-0000-0A00-0000EE010000}"/>
    <hyperlink ref="J497" r:id="rId496" xr:uid="{00000000-0004-0000-0A00-0000EF010000}"/>
    <hyperlink ref="J498" r:id="rId497" xr:uid="{00000000-0004-0000-0A00-0000F0010000}"/>
    <hyperlink ref="J499" r:id="rId498" xr:uid="{00000000-0004-0000-0A00-0000F1010000}"/>
    <hyperlink ref="J500" r:id="rId499" xr:uid="{00000000-0004-0000-0A00-0000F2010000}"/>
    <hyperlink ref="J501" r:id="rId500" xr:uid="{00000000-0004-0000-0A00-0000F3010000}"/>
    <hyperlink ref="J502" r:id="rId501" xr:uid="{00000000-0004-0000-0A00-0000F4010000}"/>
    <hyperlink ref="J503" r:id="rId502" xr:uid="{00000000-0004-0000-0A00-0000F5010000}"/>
    <hyperlink ref="J504" r:id="rId503" xr:uid="{00000000-0004-0000-0A00-0000F6010000}"/>
    <hyperlink ref="J505" r:id="rId504" xr:uid="{00000000-0004-0000-0A00-0000F7010000}"/>
    <hyperlink ref="J506" r:id="rId505" xr:uid="{00000000-0004-0000-0A00-0000F8010000}"/>
    <hyperlink ref="J507" r:id="rId506" xr:uid="{00000000-0004-0000-0A00-0000F9010000}"/>
    <hyperlink ref="J508" r:id="rId507" xr:uid="{00000000-0004-0000-0A00-0000FA010000}"/>
    <hyperlink ref="J509" r:id="rId508" xr:uid="{00000000-0004-0000-0A00-0000FB010000}"/>
    <hyperlink ref="J510" r:id="rId509" xr:uid="{00000000-0004-0000-0A00-0000FC010000}"/>
    <hyperlink ref="J511" r:id="rId510" xr:uid="{00000000-0004-0000-0A00-0000FD010000}"/>
    <hyperlink ref="J512" r:id="rId511" xr:uid="{00000000-0004-0000-0A00-0000FE010000}"/>
    <hyperlink ref="J513" r:id="rId512" xr:uid="{00000000-0004-0000-0A00-0000FF010000}"/>
    <hyperlink ref="J514" r:id="rId513" xr:uid="{00000000-0004-0000-0A00-000000020000}"/>
    <hyperlink ref="J515" r:id="rId514" xr:uid="{00000000-0004-0000-0A00-000001020000}"/>
    <hyperlink ref="J516" r:id="rId515" xr:uid="{00000000-0004-0000-0A00-000002020000}"/>
    <hyperlink ref="J517" r:id="rId516" xr:uid="{00000000-0004-0000-0A00-000003020000}"/>
    <hyperlink ref="J518" r:id="rId517" xr:uid="{00000000-0004-0000-0A00-000004020000}"/>
    <hyperlink ref="J519" r:id="rId518" xr:uid="{00000000-0004-0000-0A00-000005020000}"/>
    <hyperlink ref="J520" r:id="rId519" xr:uid="{00000000-0004-0000-0A00-000006020000}"/>
    <hyperlink ref="J521" r:id="rId520" xr:uid="{00000000-0004-0000-0A00-000007020000}"/>
    <hyperlink ref="J522" r:id="rId521" xr:uid="{00000000-0004-0000-0A00-000008020000}"/>
    <hyperlink ref="J523" r:id="rId522" xr:uid="{00000000-0004-0000-0A00-000009020000}"/>
    <hyperlink ref="J524" r:id="rId523" xr:uid="{00000000-0004-0000-0A00-00000A020000}"/>
    <hyperlink ref="J525" r:id="rId524" xr:uid="{00000000-0004-0000-0A00-00000B020000}"/>
    <hyperlink ref="J526" r:id="rId525" xr:uid="{00000000-0004-0000-0A00-00000C020000}"/>
    <hyperlink ref="J527" r:id="rId526" xr:uid="{00000000-0004-0000-0A00-00000D020000}"/>
    <hyperlink ref="J528" r:id="rId527" xr:uid="{00000000-0004-0000-0A00-00000E020000}"/>
    <hyperlink ref="J529" r:id="rId528" xr:uid="{00000000-0004-0000-0A00-00000F020000}"/>
    <hyperlink ref="J530" r:id="rId529" xr:uid="{00000000-0004-0000-0A00-000010020000}"/>
    <hyperlink ref="J531" r:id="rId530" xr:uid="{00000000-0004-0000-0A00-000011020000}"/>
    <hyperlink ref="J532" r:id="rId531" xr:uid="{00000000-0004-0000-0A00-000012020000}"/>
    <hyperlink ref="J533" r:id="rId532" xr:uid="{00000000-0004-0000-0A00-000013020000}"/>
    <hyperlink ref="J534" r:id="rId533" xr:uid="{00000000-0004-0000-0A00-000014020000}"/>
    <hyperlink ref="J535" r:id="rId534" xr:uid="{00000000-0004-0000-0A00-000015020000}"/>
    <hyperlink ref="J536" r:id="rId535" xr:uid="{00000000-0004-0000-0A00-000016020000}"/>
    <hyperlink ref="J537" r:id="rId536" xr:uid="{00000000-0004-0000-0A00-000017020000}"/>
    <hyperlink ref="J538" r:id="rId537" xr:uid="{00000000-0004-0000-0A00-000018020000}"/>
    <hyperlink ref="J539" r:id="rId538" xr:uid="{00000000-0004-0000-0A00-000019020000}"/>
    <hyperlink ref="J540" r:id="rId539" xr:uid="{00000000-0004-0000-0A00-00001A020000}"/>
    <hyperlink ref="J541" r:id="rId540" xr:uid="{00000000-0004-0000-0A00-00001B020000}"/>
    <hyperlink ref="J542" r:id="rId541" xr:uid="{00000000-0004-0000-0A00-00001C020000}"/>
    <hyperlink ref="J543" r:id="rId542" xr:uid="{00000000-0004-0000-0A00-00001D020000}"/>
    <hyperlink ref="J544" r:id="rId543" xr:uid="{00000000-0004-0000-0A00-00001E020000}"/>
    <hyperlink ref="J545" r:id="rId544" xr:uid="{00000000-0004-0000-0A00-00001F020000}"/>
    <hyperlink ref="J546" r:id="rId545" xr:uid="{00000000-0004-0000-0A00-000020020000}"/>
    <hyperlink ref="J547" r:id="rId546" xr:uid="{00000000-0004-0000-0A00-000021020000}"/>
    <hyperlink ref="J548" r:id="rId547" xr:uid="{00000000-0004-0000-0A00-000022020000}"/>
    <hyperlink ref="J549" r:id="rId548" xr:uid="{00000000-0004-0000-0A00-000023020000}"/>
    <hyperlink ref="J550" r:id="rId549" xr:uid="{00000000-0004-0000-0A00-000024020000}"/>
    <hyperlink ref="J551" r:id="rId550" xr:uid="{00000000-0004-0000-0A00-000025020000}"/>
    <hyperlink ref="J552" r:id="rId551" xr:uid="{00000000-0004-0000-0A00-000026020000}"/>
    <hyperlink ref="J553" r:id="rId552" xr:uid="{00000000-0004-0000-0A00-000027020000}"/>
    <hyperlink ref="J554" r:id="rId553" xr:uid="{00000000-0004-0000-0A00-000028020000}"/>
    <hyperlink ref="J555" r:id="rId554" xr:uid="{00000000-0004-0000-0A00-000029020000}"/>
    <hyperlink ref="J556" r:id="rId555" xr:uid="{00000000-0004-0000-0A00-00002A020000}"/>
    <hyperlink ref="J557" r:id="rId556" xr:uid="{00000000-0004-0000-0A00-00002B020000}"/>
    <hyperlink ref="J558" r:id="rId557" xr:uid="{00000000-0004-0000-0A00-00002C020000}"/>
    <hyperlink ref="J559" r:id="rId558" xr:uid="{00000000-0004-0000-0A00-00002D020000}"/>
    <hyperlink ref="J560" r:id="rId559" xr:uid="{00000000-0004-0000-0A00-00002E020000}"/>
    <hyperlink ref="J561" r:id="rId560" xr:uid="{00000000-0004-0000-0A00-00002F020000}"/>
    <hyperlink ref="J562" r:id="rId561" xr:uid="{00000000-0004-0000-0A00-000030020000}"/>
    <hyperlink ref="J563" r:id="rId562" xr:uid="{00000000-0004-0000-0A00-000031020000}"/>
    <hyperlink ref="J564" r:id="rId563" xr:uid="{00000000-0004-0000-0A00-000032020000}"/>
    <hyperlink ref="J565" r:id="rId564" xr:uid="{00000000-0004-0000-0A00-000033020000}"/>
    <hyperlink ref="J566" r:id="rId565" xr:uid="{00000000-0004-0000-0A00-000034020000}"/>
    <hyperlink ref="J567" r:id="rId566" xr:uid="{00000000-0004-0000-0A00-000035020000}"/>
    <hyperlink ref="J568" r:id="rId567" xr:uid="{00000000-0004-0000-0A00-000036020000}"/>
    <hyperlink ref="J569" r:id="rId568" xr:uid="{00000000-0004-0000-0A00-000037020000}"/>
    <hyperlink ref="J570" r:id="rId569" xr:uid="{00000000-0004-0000-0A00-000038020000}"/>
    <hyperlink ref="J571" r:id="rId570" xr:uid="{00000000-0004-0000-0A00-000039020000}"/>
    <hyperlink ref="J572" r:id="rId571" xr:uid="{00000000-0004-0000-0A00-00003A020000}"/>
    <hyperlink ref="J573" r:id="rId572" xr:uid="{00000000-0004-0000-0A00-00003B020000}"/>
    <hyperlink ref="J574" r:id="rId573" xr:uid="{00000000-0004-0000-0A00-00003C020000}"/>
    <hyperlink ref="J575" r:id="rId574" xr:uid="{00000000-0004-0000-0A00-00003D020000}"/>
    <hyperlink ref="J576" r:id="rId575" xr:uid="{00000000-0004-0000-0A00-00003E020000}"/>
    <hyperlink ref="J577" r:id="rId576" xr:uid="{00000000-0004-0000-0A00-00003F020000}"/>
    <hyperlink ref="J578" r:id="rId577" xr:uid="{00000000-0004-0000-0A00-000040020000}"/>
    <hyperlink ref="J579" r:id="rId578" xr:uid="{00000000-0004-0000-0A00-000041020000}"/>
    <hyperlink ref="J580" r:id="rId579" xr:uid="{00000000-0004-0000-0A00-000042020000}"/>
    <hyperlink ref="J581" r:id="rId580" xr:uid="{00000000-0004-0000-0A00-000043020000}"/>
    <hyperlink ref="J582" r:id="rId581" xr:uid="{00000000-0004-0000-0A00-000044020000}"/>
    <hyperlink ref="J583" r:id="rId582" xr:uid="{00000000-0004-0000-0A00-000045020000}"/>
    <hyperlink ref="J584" r:id="rId583" xr:uid="{00000000-0004-0000-0A00-000046020000}"/>
    <hyperlink ref="J585" r:id="rId584" xr:uid="{00000000-0004-0000-0A00-000047020000}"/>
    <hyperlink ref="J586" r:id="rId585" xr:uid="{00000000-0004-0000-0A00-000048020000}"/>
    <hyperlink ref="J587" r:id="rId586" xr:uid="{00000000-0004-0000-0A00-000049020000}"/>
    <hyperlink ref="J588" r:id="rId587" xr:uid="{00000000-0004-0000-0A00-00004A020000}"/>
    <hyperlink ref="J589" r:id="rId588" xr:uid="{00000000-0004-0000-0A00-00004B020000}"/>
    <hyperlink ref="J590" r:id="rId589" xr:uid="{00000000-0004-0000-0A00-00004C020000}"/>
    <hyperlink ref="J591" r:id="rId590" xr:uid="{00000000-0004-0000-0A00-00004D020000}"/>
    <hyperlink ref="J592" r:id="rId591" xr:uid="{00000000-0004-0000-0A00-00004E020000}"/>
    <hyperlink ref="J593" r:id="rId592" xr:uid="{00000000-0004-0000-0A00-00004F020000}"/>
    <hyperlink ref="J594" r:id="rId593" xr:uid="{00000000-0004-0000-0A00-000050020000}"/>
    <hyperlink ref="J595" r:id="rId594" xr:uid="{00000000-0004-0000-0A00-000051020000}"/>
    <hyperlink ref="J596" r:id="rId595" xr:uid="{00000000-0004-0000-0A00-000052020000}"/>
    <hyperlink ref="J597" r:id="rId596" xr:uid="{00000000-0004-0000-0A00-000053020000}"/>
    <hyperlink ref="J598" r:id="rId597" xr:uid="{00000000-0004-0000-0A00-000054020000}"/>
    <hyperlink ref="J599" r:id="rId598" xr:uid="{00000000-0004-0000-0A00-000055020000}"/>
    <hyperlink ref="J600" r:id="rId599" xr:uid="{00000000-0004-0000-0A00-000056020000}"/>
    <hyperlink ref="J601" r:id="rId600" xr:uid="{00000000-0004-0000-0A00-000057020000}"/>
    <hyperlink ref="J602" r:id="rId601" xr:uid="{00000000-0004-0000-0A00-000058020000}"/>
    <hyperlink ref="J603" r:id="rId602" xr:uid="{00000000-0004-0000-0A00-000059020000}"/>
    <hyperlink ref="J604" r:id="rId603" xr:uid="{00000000-0004-0000-0A00-00005A020000}"/>
    <hyperlink ref="J605" r:id="rId604" xr:uid="{00000000-0004-0000-0A00-00005B020000}"/>
    <hyperlink ref="J606" r:id="rId605" xr:uid="{00000000-0004-0000-0A00-00005C020000}"/>
    <hyperlink ref="J607" r:id="rId606" xr:uid="{00000000-0004-0000-0A00-00005D020000}"/>
    <hyperlink ref="J608" r:id="rId607" xr:uid="{00000000-0004-0000-0A00-00005E020000}"/>
    <hyperlink ref="J609" r:id="rId608" xr:uid="{00000000-0004-0000-0A00-00005F020000}"/>
    <hyperlink ref="J610" r:id="rId609" xr:uid="{00000000-0004-0000-0A00-000060020000}"/>
    <hyperlink ref="J611" r:id="rId610" xr:uid="{00000000-0004-0000-0A00-000061020000}"/>
    <hyperlink ref="J612" r:id="rId611" xr:uid="{00000000-0004-0000-0A00-000062020000}"/>
    <hyperlink ref="J613" r:id="rId612" xr:uid="{00000000-0004-0000-0A00-000063020000}"/>
    <hyperlink ref="J614" r:id="rId613" xr:uid="{00000000-0004-0000-0A00-000064020000}"/>
    <hyperlink ref="J615" r:id="rId614" xr:uid="{00000000-0004-0000-0A00-000065020000}"/>
    <hyperlink ref="J616" r:id="rId615" xr:uid="{00000000-0004-0000-0A00-000066020000}"/>
    <hyperlink ref="J617" r:id="rId616" xr:uid="{00000000-0004-0000-0A00-000067020000}"/>
    <hyperlink ref="J618" r:id="rId617" xr:uid="{00000000-0004-0000-0A00-000068020000}"/>
    <hyperlink ref="J619" r:id="rId618" xr:uid="{00000000-0004-0000-0A00-000069020000}"/>
    <hyperlink ref="J620" r:id="rId619" xr:uid="{00000000-0004-0000-0A00-00006A020000}"/>
    <hyperlink ref="J621" r:id="rId620" xr:uid="{00000000-0004-0000-0A00-00006B020000}"/>
    <hyperlink ref="J622" r:id="rId621" xr:uid="{00000000-0004-0000-0A00-00006C020000}"/>
    <hyperlink ref="J623" r:id="rId622" xr:uid="{00000000-0004-0000-0A00-00006D020000}"/>
    <hyperlink ref="J624" r:id="rId623" xr:uid="{00000000-0004-0000-0A00-00006E020000}"/>
    <hyperlink ref="J625" r:id="rId624" xr:uid="{00000000-0004-0000-0A00-00006F020000}"/>
    <hyperlink ref="J626" r:id="rId625" xr:uid="{00000000-0004-0000-0A00-000070020000}"/>
    <hyperlink ref="J627" r:id="rId626" xr:uid="{00000000-0004-0000-0A00-000071020000}"/>
    <hyperlink ref="J628" r:id="rId627" xr:uid="{00000000-0004-0000-0A00-000072020000}"/>
    <hyperlink ref="J629" r:id="rId628" xr:uid="{00000000-0004-0000-0A00-000073020000}"/>
    <hyperlink ref="J630" r:id="rId629" xr:uid="{00000000-0004-0000-0A00-000074020000}"/>
    <hyperlink ref="J631" r:id="rId630" xr:uid="{00000000-0004-0000-0A00-000075020000}"/>
    <hyperlink ref="J632" r:id="rId631" xr:uid="{00000000-0004-0000-0A00-000076020000}"/>
    <hyperlink ref="J633" r:id="rId632" xr:uid="{00000000-0004-0000-0A00-000077020000}"/>
    <hyperlink ref="J634" r:id="rId633" xr:uid="{00000000-0004-0000-0A00-000078020000}"/>
    <hyperlink ref="J635" r:id="rId634" xr:uid="{00000000-0004-0000-0A00-000079020000}"/>
    <hyperlink ref="J636" r:id="rId635" xr:uid="{00000000-0004-0000-0A00-00007A020000}"/>
    <hyperlink ref="J637" r:id="rId636" xr:uid="{00000000-0004-0000-0A00-00007B020000}"/>
    <hyperlink ref="J638" r:id="rId637" xr:uid="{00000000-0004-0000-0A00-00007C020000}"/>
    <hyperlink ref="J639" r:id="rId638" xr:uid="{00000000-0004-0000-0A00-00007D020000}"/>
    <hyperlink ref="J640" r:id="rId639" xr:uid="{00000000-0004-0000-0A00-00007E020000}"/>
    <hyperlink ref="J641" r:id="rId640" xr:uid="{00000000-0004-0000-0A00-00007F020000}"/>
    <hyperlink ref="J642" r:id="rId641" xr:uid="{00000000-0004-0000-0A00-000080020000}"/>
    <hyperlink ref="J643" r:id="rId642" xr:uid="{00000000-0004-0000-0A00-000081020000}"/>
    <hyperlink ref="J644" r:id="rId643" xr:uid="{00000000-0004-0000-0A00-000082020000}"/>
    <hyperlink ref="J645" r:id="rId644" xr:uid="{00000000-0004-0000-0A00-000083020000}"/>
    <hyperlink ref="J646" r:id="rId645" xr:uid="{00000000-0004-0000-0A00-000084020000}"/>
    <hyperlink ref="J647" r:id="rId646" xr:uid="{00000000-0004-0000-0A00-000085020000}"/>
    <hyperlink ref="J648" r:id="rId647" xr:uid="{00000000-0004-0000-0A00-000086020000}"/>
    <hyperlink ref="J649" r:id="rId648" xr:uid="{00000000-0004-0000-0A00-000087020000}"/>
    <hyperlink ref="J650" r:id="rId649" xr:uid="{00000000-0004-0000-0A00-000088020000}"/>
    <hyperlink ref="J651" r:id="rId650" xr:uid="{00000000-0004-0000-0A00-000089020000}"/>
    <hyperlink ref="J652" r:id="rId651" xr:uid="{00000000-0004-0000-0A00-00008A020000}"/>
    <hyperlink ref="J653" r:id="rId652" xr:uid="{00000000-0004-0000-0A00-00008B020000}"/>
    <hyperlink ref="J654" r:id="rId653" xr:uid="{00000000-0004-0000-0A00-00008C020000}"/>
    <hyperlink ref="J655" r:id="rId654" xr:uid="{00000000-0004-0000-0A00-00008D020000}"/>
    <hyperlink ref="J656" r:id="rId655" xr:uid="{00000000-0004-0000-0A00-00008E020000}"/>
    <hyperlink ref="J657" r:id="rId656" xr:uid="{00000000-0004-0000-0A00-00008F020000}"/>
    <hyperlink ref="J658" r:id="rId657" xr:uid="{00000000-0004-0000-0A00-000090020000}"/>
    <hyperlink ref="J659" r:id="rId658" xr:uid="{00000000-0004-0000-0A00-000091020000}"/>
    <hyperlink ref="J660" r:id="rId659" xr:uid="{00000000-0004-0000-0A00-000092020000}"/>
    <hyperlink ref="J661" r:id="rId660" xr:uid="{00000000-0004-0000-0A00-000093020000}"/>
    <hyperlink ref="J662" r:id="rId661" xr:uid="{00000000-0004-0000-0A00-000094020000}"/>
    <hyperlink ref="J663" r:id="rId662" xr:uid="{00000000-0004-0000-0A00-000095020000}"/>
    <hyperlink ref="J664" r:id="rId663" xr:uid="{00000000-0004-0000-0A00-000096020000}"/>
    <hyperlink ref="J665" r:id="rId664" xr:uid="{00000000-0004-0000-0A00-000097020000}"/>
    <hyperlink ref="J666" r:id="rId665" xr:uid="{00000000-0004-0000-0A00-000098020000}"/>
    <hyperlink ref="J667" r:id="rId666" xr:uid="{00000000-0004-0000-0A00-000099020000}"/>
    <hyperlink ref="J668" r:id="rId667" xr:uid="{00000000-0004-0000-0A00-00009A020000}"/>
    <hyperlink ref="J669" r:id="rId668" xr:uid="{00000000-0004-0000-0A00-00009B020000}"/>
    <hyperlink ref="J670" r:id="rId669" xr:uid="{00000000-0004-0000-0A00-00009C020000}"/>
    <hyperlink ref="J671" r:id="rId670" xr:uid="{00000000-0004-0000-0A00-00009D020000}"/>
    <hyperlink ref="J672" r:id="rId671" xr:uid="{00000000-0004-0000-0A00-00009E020000}"/>
    <hyperlink ref="J673" r:id="rId672" xr:uid="{00000000-0004-0000-0A00-00009F020000}"/>
    <hyperlink ref="J674" r:id="rId673" xr:uid="{00000000-0004-0000-0A00-0000A0020000}"/>
    <hyperlink ref="J675" r:id="rId674" xr:uid="{00000000-0004-0000-0A00-0000A1020000}"/>
    <hyperlink ref="J676" r:id="rId675" xr:uid="{00000000-0004-0000-0A00-0000A2020000}"/>
    <hyperlink ref="J677" r:id="rId676" xr:uid="{00000000-0004-0000-0A00-0000A3020000}"/>
    <hyperlink ref="J678" r:id="rId677" xr:uid="{00000000-0004-0000-0A00-0000A4020000}"/>
    <hyperlink ref="J679" r:id="rId678" xr:uid="{00000000-0004-0000-0A00-0000A5020000}"/>
    <hyperlink ref="J680" r:id="rId679" xr:uid="{00000000-0004-0000-0A00-0000A6020000}"/>
    <hyperlink ref="J681" r:id="rId680" xr:uid="{00000000-0004-0000-0A00-0000A7020000}"/>
    <hyperlink ref="J682" r:id="rId681" xr:uid="{00000000-0004-0000-0A00-0000A8020000}"/>
    <hyperlink ref="J683" r:id="rId682" xr:uid="{00000000-0004-0000-0A00-0000A9020000}"/>
    <hyperlink ref="J684" r:id="rId683" xr:uid="{00000000-0004-0000-0A00-0000AA020000}"/>
    <hyperlink ref="J685" r:id="rId684" xr:uid="{00000000-0004-0000-0A00-0000AB020000}"/>
    <hyperlink ref="J686" r:id="rId685" xr:uid="{00000000-0004-0000-0A00-0000AC020000}"/>
    <hyperlink ref="J687" r:id="rId686" xr:uid="{00000000-0004-0000-0A00-0000AD020000}"/>
    <hyperlink ref="J688" r:id="rId687" xr:uid="{00000000-0004-0000-0A00-0000AE020000}"/>
    <hyperlink ref="J689" r:id="rId688" xr:uid="{00000000-0004-0000-0A00-0000AF020000}"/>
    <hyperlink ref="J690" r:id="rId689" xr:uid="{00000000-0004-0000-0A00-0000B0020000}"/>
    <hyperlink ref="J691" r:id="rId690" xr:uid="{00000000-0004-0000-0A00-0000B1020000}"/>
    <hyperlink ref="J692" r:id="rId691" xr:uid="{00000000-0004-0000-0A00-0000B2020000}"/>
    <hyperlink ref="J693" r:id="rId692" xr:uid="{00000000-0004-0000-0A00-0000B3020000}"/>
    <hyperlink ref="J694" r:id="rId693" xr:uid="{00000000-0004-0000-0A00-0000B4020000}"/>
    <hyperlink ref="J695" r:id="rId694" xr:uid="{00000000-0004-0000-0A00-0000B5020000}"/>
    <hyperlink ref="J696" r:id="rId695" xr:uid="{00000000-0004-0000-0A00-0000B6020000}"/>
    <hyperlink ref="J697" r:id="rId696" xr:uid="{00000000-0004-0000-0A00-0000B7020000}"/>
    <hyperlink ref="J698" r:id="rId697" xr:uid="{00000000-0004-0000-0A00-0000B8020000}"/>
    <hyperlink ref="J699" r:id="rId698" xr:uid="{00000000-0004-0000-0A00-0000B9020000}"/>
    <hyperlink ref="J700" r:id="rId699" xr:uid="{00000000-0004-0000-0A00-0000BA020000}"/>
    <hyperlink ref="J701" r:id="rId700" xr:uid="{00000000-0004-0000-0A00-0000BB020000}"/>
    <hyperlink ref="J702" r:id="rId701" xr:uid="{00000000-0004-0000-0A00-0000BC020000}"/>
    <hyperlink ref="J703" r:id="rId702" xr:uid="{00000000-0004-0000-0A00-0000BD020000}"/>
    <hyperlink ref="J704" r:id="rId703" xr:uid="{00000000-0004-0000-0A00-0000BE020000}"/>
    <hyperlink ref="J705" r:id="rId704" xr:uid="{00000000-0004-0000-0A00-0000BF020000}"/>
    <hyperlink ref="J706" r:id="rId705" xr:uid="{00000000-0004-0000-0A00-0000C0020000}"/>
    <hyperlink ref="J707" r:id="rId706" xr:uid="{00000000-0004-0000-0A00-0000C1020000}"/>
    <hyperlink ref="J708" r:id="rId707" xr:uid="{00000000-0004-0000-0A00-0000C2020000}"/>
    <hyperlink ref="J709" r:id="rId708" xr:uid="{00000000-0004-0000-0A00-0000C3020000}"/>
    <hyperlink ref="J710" r:id="rId709" xr:uid="{00000000-0004-0000-0A00-0000C4020000}"/>
    <hyperlink ref="J711" r:id="rId710" xr:uid="{00000000-0004-0000-0A00-0000C5020000}"/>
    <hyperlink ref="J712" r:id="rId711" xr:uid="{00000000-0004-0000-0A00-0000C6020000}"/>
    <hyperlink ref="J713" r:id="rId712" xr:uid="{00000000-0004-0000-0A00-0000C7020000}"/>
    <hyperlink ref="J714" r:id="rId713" xr:uid="{00000000-0004-0000-0A00-0000C8020000}"/>
    <hyperlink ref="J715" r:id="rId714" xr:uid="{00000000-0004-0000-0A00-0000C9020000}"/>
    <hyperlink ref="J716" r:id="rId715" xr:uid="{00000000-0004-0000-0A00-0000CA020000}"/>
    <hyperlink ref="J717" r:id="rId716" xr:uid="{00000000-0004-0000-0A00-0000CB020000}"/>
    <hyperlink ref="J718" r:id="rId717" xr:uid="{00000000-0004-0000-0A00-0000CC020000}"/>
    <hyperlink ref="J719" r:id="rId718" xr:uid="{00000000-0004-0000-0A00-0000CD020000}"/>
    <hyperlink ref="J720" r:id="rId719" xr:uid="{00000000-0004-0000-0A00-0000CE020000}"/>
    <hyperlink ref="J721" r:id="rId720" xr:uid="{00000000-0004-0000-0A00-0000CF020000}"/>
    <hyperlink ref="J722" r:id="rId721" xr:uid="{00000000-0004-0000-0A00-0000D0020000}"/>
    <hyperlink ref="J723" r:id="rId722" xr:uid="{00000000-0004-0000-0A00-0000D1020000}"/>
    <hyperlink ref="J724" r:id="rId723" xr:uid="{00000000-0004-0000-0A00-0000D2020000}"/>
    <hyperlink ref="J725" r:id="rId724" xr:uid="{00000000-0004-0000-0A00-0000D3020000}"/>
    <hyperlink ref="J726" r:id="rId725" xr:uid="{00000000-0004-0000-0A00-0000D4020000}"/>
    <hyperlink ref="J727" r:id="rId726" xr:uid="{00000000-0004-0000-0A00-0000D5020000}"/>
    <hyperlink ref="J728" r:id="rId727" xr:uid="{00000000-0004-0000-0A00-0000D6020000}"/>
    <hyperlink ref="J729" r:id="rId728" xr:uid="{00000000-0004-0000-0A00-0000D7020000}"/>
    <hyperlink ref="J730" r:id="rId729" xr:uid="{00000000-0004-0000-0A00-0000D8020000}"/>
    <hyperlink ref="J731" r:id="rId730" xr:uid="{00000000-0004-0000-0A00-0000D9020000}"/>
    <hyperlink ref="J732" r:id="rId731" xr:uid="{00000000-0004-0000-0A00-0000DA020000}"/>
    <hyperlink ref="J733" r:id="rId732" xr:uid="{00000000-0004-0000-0A00-0000DB020000}"/>
    <hyperlink ref="J734" r:id="rId733" xr:uid="{00000000-0004-0000-0A00-0000DC020000}"/>
    <hyperlink ref="J735" r:id="rId734" xr:uid="{00000000-0004-0000-0A00-0000DD020000}"/>
    <hyperlink ref="J736" r:id="rId735" xr:uid="{00000000-0004-0000-0A00-0000DE020000}"/>
    <hyperlink ref="J737" r:id="rId736" xr:uid="{00000000-0004-0000-0A00-0000DF020000}"/>
    <hyperlink ref="J738" r:id="rId737" xr:uid="{00000000-0004-0000-0A00-0000E0020000}"/>
    <hyperlink ref="J739" r:id="rId738" xr:uid="{00000000-0004-0000-0A00-0000E1020000}"/>
    <hyperlink ref="J740" r:id="rId739" xr:uid="{00000000-0004-0000-0A00-0000E2020000}"/>
    <hyperlink ref="J741" r:id="rId740" xr:uid="{00000000-0004-0000-0A00-0000E3020000}"/>
    <hyperlink ref="J742" r:id="rId741" xr:uid="{00000000-0004-0000-0A00-0000E4020000}"/>
    <hyperlink ref="J743" r:id="rId742" xr:uid="{00000000-0004-0000-0A00-0000E5020000}"/>
    <hyperlink ref="J744" r:id="rId743" xr:uid="{00000000-0004-0000-0A00-0000E6020000}"/>
    <hyperlink ref="J745" r:id="rId744" xr:uid="{00000000-0004-0000-0A00-0000E7020000}"/>
    <hyperlink ref="J746" r:id="rId745" xr:uid="{00000000-0004-0000-0A00-0000E8020000}"/>
    <hyperlink ref="J747" r:id="rId746" xr:uid="{00000000-0004-0000-0A00-0000E9020000}"/>
    <hyperlink ref="J748" r:id="rId747" xr:uid="{00000000-0004-0000-0A00-0000EA020000}"/>
    <hyperlink ref="J749" r:id="rId748" xr:uid="{00000000-0004-0000-0A00-0000EB020000}"/>
    <hyperlink ref="J750" r:id="rId749" xr:uid="{00000000-0004-0000-0A00-0000EC020000}"/>
    <hyperlink ref="J751" r:id="rId750" xr:uid="{00000000-0004-0000-0A00-0000ED020000}"/>
    <hyperlink ref="J752" r:id="rId751" xr:uid="{00000000-0004-0000-0A00-0000EE020000}"/>
    <hyperlink ref="J753" r:id="rId752" xr:uid="{00000000-0004-0000-0A00-0000EF020000}"/>
    <hyperlink ref="J754" r:id="rId753" xr:uid="{00000000-0004-0000-0A00-0000F0020000}"/>
    <hyperlink ref="J755" r:id="rId754" xr:uid="{00000000-0004-0000-0A00-0000F1020000}"/>
    <hyperlink ref="J756" r:id="rId755" xr:uid="{00000000-0004-0000-0A00-0000F2020000}"/>
    <hyperlink ref="J757" r:id="rId756" xr:uid="{00000000-0004-0000-0A00-0000F3020000}"/>
    <hyperlink ref="J758" r:id="rId757" xr:uid="{00000000-0004-0000-0A00-0000F4020000}"/>
    <hyperlink ref="J759" r:id="rId758" xr:uid="{00000000-0004-0000-0A00-0000F5020000}"/>
    <hyperlink ref="J760" r:id="rId759" xr:uid="{00000000-0004-0000-0A00-0000F6020000}"/>
    <hyperlink ref="J761" r:id="rId760" xr:uid="{00000000-0004-0000-0A00-0000F7020000}"/>
    <hyperlink ref="J762" r:id="rId761" xr:uid="{00000000-0004-0000-0A00-0000F8020000}"/>
    <hyperlink ref="J763" r:id="rId762" xr:uid="{00000000-0004-0000-0A00-0000F9020000}"/>
    <hyperlink ref="J764" r:id="rId763" xr:uid="{00000000-0004-0000-0A00-0000FA020000}"/>
    <hyperlink ref="J765" r:id="rId764" xr:uid="{00000000-0004-0000-0A00-0000FB020000}"/>
    <hyperlink ref="J766" r:id="rId765" xr:uid="{00000000-0004-0000-0A00-0000FC020000}"/>
    <hyperlink ref="J767" r:id="rId766" xr:uid="{00000000-0004-0000-0A00-0000FD020000}"/>
    <hyperlink ref="J768" r:id="rId767" xr:uid="{00000000-0004-0000-0A00-0000FE020000}"/>
    <hyperlink ref="J769" r:id="rId768" xr:uid="{00000000-0004-0000-0A00-0000FF020000}"/>
    <hyperlink ref="J770" r:id="rId769" xr:uid="{00000000-0004-0000-0A00-000000030000}"/>
    <hyperlink ref="J771" r:id="rId770" xr:uid="{00000000-0004-0000-0A00-000001030000}"/>
    <hyperlink ref="J772" r:id="rId771" xr:uid="{00000000-0004-0000-0A00-000002030000}"/>
    <hyperlink ref="J773" r:id="rId772" xr:uid="{00000000-0004-0000-0A00-000003030000}"/>
    <hyperlink ref="J774" r:id="rId773" xr:uid="{00000000-0004-0000-0A00-000004030000}"/>
    <hyperlink ref="J775" r:id="rId774" xr:uid="{00000000-0004-0000-0A00-000005030000}"/>
    <hyperlink ref="J776" r:id="rId775" xr:uid="{00000000-0004-0000-0A00-000006030000}"/>
    <hyperlink ref="J777" r:id="rId776" xr:uid="{00000000-0004-0000-0A00-000007030000}"/>
    <hyperlink ref="J778" r:id="rId777" xr:uid="{00000000-0004-0000-0A00-000008030000}"/>
    <hyperlink ref="J779" r:id="rId778" xr:uid="{00000000-0004-0000-0A00-000009030000}"/>
    <hyperlink ref="J780" r:id="rId779" xr:uid="{00000000-0004-0000-0A00-00000A030000}"/>
    <hyperlink ref="J781" r:id="rId780" xr:uid="{00000000-0004-0000-0A00-00000B030000}"/>
    <hyperlink ref="J782" r:id="rId781" xr:uid="{00000000-0004-0000-0A00-00000C030000}"/>
    <hyperlink ref="J783" r:id="rId782" xr:uid="{00000000-0004-0000-0A00-00000D030000}"/>
    <hyperlink ref="J784" r:id="rId783" xr:uid="{00000000-0004-0000-0A00-00000E030000}"/>
    <hyperlink ref="J785" r:id="rId784" xr:uid="{00000000-0004-0000-0A00-00000F030000}"/>
    <hyperlink ref="J786" r:id="rId785" xr:uid="{00000000-0004-0000-0A00-000010030000}"/>
    <hyperlink ref="J787" r:id="rId786" xr:uid="{00000000-0004-0000-0A00-000011030000}"/>
    <hyperlink ref="J788" r:id="rId787" xr:uid="{00000000-0004-0000-0A00-000012030000}"/>
    <hyperlink ref="J789" r:id="rId788" xr:uid="{00000000-0004-0000-0A00-000013030000}"/>
    <hyperlink ref="J790" r:id="rId789" xr:uid="{00000000-0004-0000-0A00-000014030000}"/>
    <hyperlink ref="J791" r:id="rId790" xr:uid="{00000000-0004-0000-0A00-000015030000}"/>
    <hyperlink ref="J792" r:id="rId791" xr:uid="{00000000-0004-0000-0A00-000016030000}"/>
    <hyperlink ref="J793" r:id="rId792" xr:uid="{00000000-0004-0000-0A00-000017030000}"/>
    <hyperlink ref="J794" r:id="rId793" xr:uid="{00000000-0004-0000-0A00-000018030000}"/>
    <hyperlink ref="J795" r:id="rId794" xr:uid="{00000000-0004-0000-0A00-000019030000}"/>
    <hyperlink ref="J796" r:id="rId795" xr:uid="{00000000-0004-0000-0A00-00001A030000}"/>
    <hyperlink ref="J797" r:id="rId796" xr:uid="{00000000-0004-0000-0A00-00001B030000}"/>
    <hyperlink ref="J798" r:id="rId797" xr:uid="{00000000-0004-0000-0A00-00001C030000}"/>
    <hyperlink ref="J799" r:id="rId798" xr:uid="{00000000-0004-0000-0A00-00001D030000}"/>
    <hyperlink ref="J800" r:id="rId799" xr:uid="{00000000-0004-0000-0A00-00001E030000}"/>
    <hyperlink ref="J801" r:id="rId800" xr:uid="{00000000-0004-0000-0A00-00001F030000}"/>
    <hyperlink ref="J802" r:id="rId801" xr:uid="{00000000-0004-0000-0A00-000020030000}"/>
    <hyperlink ref="J803" r:id="rId802" xr:uid="{00000000-0004-0000-0A00-000021030000}"/>
    <hyperlink ref="J804" r:id="rId803" xr:uid="{00000000-0004-0000-0A00-000022030000}"/>
    <hyperlink ref="J805" r:id="rId804" xr:uid="{00000000-0004-0000-0A00-000023030000}"/>
    <hyperlink ref="J806" r:id="rId805" xr:uid="{00000000-0004-0000-0A00-000024030000}"/>
    <hyperlink ref="J807" r:id="rId806" xr:uid="{00000000-0004-0000-0A00-000025030000}"/>
    <hyperlink ref="J808" r:id="rId807" xr:uid="{00000000-0004-0000-0A00-000026030000}"/>
    <hyperlink ref="J809" r:id="rId808" xr:uid="{00000000-0004-0000-0A00-000027030000}"/>
    <hyperlink ref="J810" r:id="rId809" xr:uid="{00000000-0004-0000-0A00-000028030000}"/>
    <hyperlink ref="J811" r:id="rId810" xr:uid="{00000000-0004-0000-0A00-000029030000}"/>
    <hyperlink ref="J812" r:id="rId811" xr:uid="{00000000-0004-0000-0A00-00002A030000}"/>
    <hyperlink ref="J813" r:id="rId812" xr:uid="{00000000-0004-0000-0A00-00002B030000}"/>
    <hyperlink ref="J814" r:id="rId813" xr:uid="{00000000-0004-0000-0A00-00002C030000}"/>
    <hyperlink ref="J815" r:id="rId814" xr:uid="{00000000-0004-0000-0A00-00002D030000}"/>
    <hyperlink ref="J816" r:id="rId815" xr:uid="{00000000-0004-0000-0A00-00002E030000}"/>
    <hyperlink ref="J817" r:id="rId816" xr:uid="{00000000-0004-0000-0A00-00002F030000}"/>
    <hyperlink ref="J818" r:id="rId817" xr:uid="{00000000-0004-0000-0A00-000030030000}"/>
    <hyperlink ref="J819" r:id="rId818" xr:uid="{00000000-0004-0000-0A00-000031030000}"/>
    <hyperlink ref="J820" r:id="rId819" xr:uid="{00000000-0004-0000-0A00-000032030000}"/>
    <hyperlink ref="J821" r:id="rId820" xr:uid="{00000000-0004-0000-0A00-000033030000}"/>
    <hyperlink ref="J822" r:id="rId821" xr:uid="{00000000-0004-0000-0A00-000034030000}"/>
    <hyperlink ref="J823" r:id="rId822" xr:uid="{00000000-0004-0000-0A00-000035030000}"/>
    <hyperlink ref="J824" r:id="rId823" xr:uid="{00000000-0004-0000-0A00-000036030000}"/>
    <hyperlink ref="J825" r:id="rId824" xr:uid="{00000000-0004-0000-0A00-000037030000}"/>
    <hyperlink ref="J826" r:id="rId825" xr:uid="{00000000-0004-0000-0A00-000038030000}"/>
    <hyperlink ref="J827" r:id="rId826" xr:uid="{00000000-0004-0000-0A00-000039030000}"/>
    <hyperlink ref="J828" r:id="rId827" xr:uid="{00000000-0004-0000-0A00-00003A030000}"/>
    <hyperlink ref="J829" r:id="rId828" xr:uid="{00000000-0004-0000-0A00-00003B030000}"/>
    <hyperlink ref="J830" r:id="rId829" xr:uid="{00000000-0004-0000-0A00-00003C030000}"/>
    <hyperlink ref="J831" r:id="rId830" xr:uid="{00000000-0004-0000-0A00-00003D030000}"/>
    <hyperlink ref="J832" r:id="rId831" xr:uid="{00000000-0004-0000-0A00-00003E030000}"/>
    <hyperlink ref="J833" r:id="rId832" xr:uid="{00000000-0004-0000-0A00-00003F030000}"/>
    <hyperlink ref="J834" r:id="rId833" xr:uid="{00000000-0004-0000-0A00-000040030000}"/>
    <hyperlink ref="J835" r:id="rId834" xr:uid="{00000000-0004-0000-0A00-000041030000}"/>
    <hyperlink ref="J836" r:id="rId835" xr:uid="{00000000-0004-0000-0A00-000042030000}"/>
    <hyperlink ref="J837" r:id="rId836" xr:uid="{00000000-0004-0000-0A00-000043030000}"/>
    <hyperlink ref="J838" r:id="rId837" xr:uid="{00000000-0004-0000-0A00-000044030000}"/>
    <hyperlink ref="J839" r:id="rId838" xr:uid="{00000000-0004-0000-0A00-000045030000}"/>
    <hyperlink ref="J840" r:id="rId839" xr:uid="{00000000-0004-0000-0A00-000046030000}"/>
    <hyperlink ref="J841" r:id="rId840" xr:uid="{00000000-0004-0000-0A00-000047030000}"/>
    <hyperlink ref="J842" r:id="rId841" xr:uid="{00000000-0004-0000-0A00-000048030000}"/>
    <hyperlink ref="J843" r:id="rId842" xr:uid="{00000000-0004-0000-0A00-000049030000}"/>
    <hyperlink ref="J844" r:id="rId843" xr:uid="{00000000-0004-0000-0A00-00004A030000}"/>
    <hyperlink ref="J845" r:id="rId844" xr:uid="{00000000-0004-0000-0A00-00004B030000}"/>
    <hyperlink ref="J846" r:id="rId845" xr:uid="{00000000-0004-0000-0A00-00004C030000}"/>
    <hyperlink ref="J847" r:id="rId846" xr:uid="{00000000-0004-0000-0A00-00004D030000}"/>
    <hyperlink ref="J848" r:id="rId847" xr:uid="{00000000-0004-0000-0A00-00004E030000}"/>
    <hyperlink ref="J849" r:id="rId848" xr:uid="{00000000-0004-0000-0A00-00004F030000}"/>
    <hyperlink ref="J850" r:id="rId849" xr:uid="{00000000-0004-0000-0A00-000050030000}"/>
    <hyperlink ref="J851" r:id="rId850" xr:uid="{00000000-0004-0000-0A00-000051030000}"/>
    <hyperlink ref="J852" r:id="rId851" xr:uid="{00000000-0004-0000-0A00-000052030000}"/>
    <hyperlink ref="J853" r:id="rId852" xr:uid="{00000000-0004-0000-0A00-000053030000}"/>
    <hyperlink ref="J854" r:id="rId853" xr:uid="{00000000-0004-0000-0A00-000054030000}"/>
    <hyperlink ref="J855" r:id="rId854" xr:uid="{00000000-0004-0000-0A00-000055030000}"/>
    <hyperlink ref="J856" r:id="rId855" xr:uid="{00000000-0004-0000-0A00-000056030000}"/>
    <hyperlink ref="J857" r:id="rId856" xr:uid="{00000000-0004-0000-0A00-000057030000}"/>
    <hyperlink ref="J858" r:id="rId857" xr:uid="{00000000-0004-0000-0A00-000058030000}"/>
    <hyperlink ref="J859" r:id="rId858" xr:uid="{00000000-0004-0000-0A00-000059030000}"/>
    <hyperlink ref="J860" r:id="rId859" xr:uid="{00000000-0004-0000-0A00-00005A030000}"/>
    <hyperlink ref="J861" r:id="rId860" xr:uid="{00000000-0004-0000-0A00-00005B030000}"/>
    <hyperlink ref="J862" r:id="rId861" xr:uid="{00000000-0004-0000-0A00-00005C030000}"/>
    <hyperlink ref="J863" r:id="rId862" xr:uid="{00000000-0004-0000-0A00-00005D030000}"/>
    <hyperlink ref="J864" r:id="rId863" xr:uid="{00000000-0004-0000-0A00-00005E030000}"/>
    <hyperlink ref="J865" r:id="rId864" xr:uid="{00000000-0004-0000-0A00-00005F030000}"/>
    <hyperlink ref="J866" r:id="rId865" xr:uid="{00000000-0004-0000-0A00-000060030000}"/>
    <hyperlink ref="J867" r:id="rId866" xr:uid="{00000000-0004-0000-0A00-000061030000}"/>
    <hyperlink ref="J868" r:id="rId867" xr:uid="{00000000-0004-0000-0A00-000062030000}"/>
    <hyperlink ref="J869" r:id="rId868" xr:uid="{00000000-0004-0000-0A00-000063030000}"/>
    <hyperlink ref="J870" r:id="rId869" xr:uid="{00000000-0004-0000-0A00-000064030000}"/>
    <hyperlink ref="J871" r:id="rId870" xr:uid="{00000000-0004-0000-0A00-000065030000}"/>
    <hyperlink ref="J872" r:id="rId871" xr:uid="{00000000-0004-0000-0A00-000066030000}"/>
    <hyperlink ref="J873" r:id="rId872" xr:uid="{00000000-0004-0000-0A00-000067030000}"/>
    <hyperlink ref="J874" r:id="rId873" xr:uid="{00000000-0004-0000-0A00-000068030000}"/>
    <hyperlink ref="J875" r:id="rId874" xr:uid="{00000000-0004-0000-0A00-000069030000}"/>
    <hyperlink ref="J876" r:id="rId875" xr:uid="{00000000-0004-0000-0A00-00006A030000}"/>
    <hyperlink ref="J877" r:id="rId876" xr:uid="{00000000-0004-0000-0A00-00006B030000}"/>
    <hyperlink ref="J878" r:id="rId877" xr:uid="{00000000-0004-0000-0A00-00006C030000}"/>
    <hyperlink ref="J879" r:id="rId878" xr:uid="{00000000-0004-0000-0A00-00006D030000}"/>
    <hyperlink ref="J880" r:id="rId879" xr:uid="{00000000-0004-0000-0A00-00006E030000}"/>
    <hyperlink ref="J881" r:id="rId880" xr:uid="{00000000-0004-0000-0A00-00006F030000}"/>
    <hyperlink ref="J882" r:id="rId881" xr:uid="{00000000-0004-0000-0A00-000070030000}"/>
    <hyperlink ref="J883" r:id="rId882" xr:uid="{00000000-0004-0000-0A00-000071030000}"/>
    <hyperlink ref="J884" r:id="rId883" xr:uid="{00000000-0004-0000-0A00-000072030000}"/>
    <hyperlink ref="J885" r:id="rId884" xr:uid="{00000000-0004-0000-0A00-000073030000}"/>
    <hyperlink ref="J886" r:id="rId885" xr:uid="{00000000-0004-0000-0A00-000074030000}"/>
    <hyperlink ref="J887" r:id="rId886" xr:uid="{00000000-0004-0000-0A00-000075030000}"/>
    <hyperlink ref="J888" r:id="rId887" xr:uid="{00000000-0004-0000-0A00-000076030000}"/>
    <hyperlink ref="J889" r:id="rId888" xr:uid="{00000000-0004-0000-0A00-000077030000}"/>
    <hyperlink ref="J890" r:id="rId889" xr:uid="{00000000-0004-0000-0A00-000078030000}"/>
    <hyperlink ref="J891" r:id="rId890" xr:uid="{00000000-0004-0000-0A00-000079030000}"/>
    <hyperlink ref="J892" r:id="rId891" xr:uid="{00000000-0004-0000-0A00-00007A030000}"/>
    <hyperlink ref="J893" r:id="rId892" xr:uid="{00000000-0004-0000-0A00-00007B030000}"/>
    <hyperlink ref="J894" r:id="rId893" xr:uid="{00000000-0004-0000-0A00-00007C030000}"/>
    <hyperlink ref="J895" r:id="rId894" xr:uid="{00000000-0004-0000-0A00-00007D030000}"/>
    <hyperlink ref="J896" r:id="rId895" xr:uid="{00000000-0004-0000-0A00-00007E030000}"/>
    <hyperlink ref="J897" r:id="rId896" xr:uid="{00000000-0004-0000-0A00-00007F030000}"/>
    <hyperlink ref="J898" r:id="rId897" xr:uid="{00000000-0004-0000-0A00-000080030000}"/>
    <hyperlink ref="J899" r:id="rId898" xr:uid="{00000000-0004-0000-0A00-000081030000}"/>
    <hyperlink ref="J900" r:id="rId899" xr:uid="{00000000-0004-0000-0A00-000082030000}"/>
    <hyperlink ref="J901" r:id="rId900" xr:uid="{00000000-0004-0000-0A00-000083030000}"/>
    <hyperlink ref="J902" r:id="rId901" xr:uid="{00000000-0004-0000-0A00-000084030000}"/>
    <hyperlink ref="J903" r:id="rId902" xr:uid="{00000000-0004-0000-0A00-000085030000}"/>
    <hyperlink ref="J904" r:id="rId903" xr:uid="{00000000-0004-0000-0A00-000086030000}"/>
    <hyperlink ref="J905" r:id="rId904" xr:uid="{00000000-0004-0000-0A00-000087030000}"/>
    <hyperlink ref="J906" r:id="rId905" xr:uid="{00000000-0004-0000-0A00-000088030000}"/>
    <hyperlink ref="J907" r:id="rId906" xr:uid="{00000000-0004-0000-0A00-000089030000}"/>
    <hyperlink ref="J908" r:id="rId907" xr:uid="{00000000-0004-0000-0A00-00008A030000}"/>
    <hyperlink ref="J909" r:id="rId908" xr:uid="{00000000-0004-0000-0A00-00008B030000}"/>
    <hyperlink ref="J910" r:id="rId909" xr:uid="{00000000-0004-0000-0A00-00008C030000}"/>
    <hyperlink ref="J911" r:id="rId910" xr:uid="{00000000-0004-0000-0A00-00008D030000}"/>
    <hyperlink ref="J912" r:id="rId911" xr:uid="{00000000-0004-0000-0A00-00008E030000}"/>
    <hyperlink ref="J913" r:id="rId912" xr:uid="{00000000-0004-0000-0A00-00008F030000}"/>
    <hyperlink ref="J914" r:id="rId913" xr:uid="{00000000-0004-0000-0A00-000090030000}"/>
    <hyperlink ref="J915" r:id="rId914" xr:uid="{00000000-0004-0000-0A00-000091030000}"/>
    <hyperlink ref="J916" r:id="rId915" xr:uid="{00000000-0004-0000-0A00-000092030000}"/>
    <hyperlink ref="J917" r:id="rId916" xr:uid="{00000000-0004-0000-0A00-000093030000}"/>
    <hyperlink ref="J918" r:id="rId917" xr:uid="{00000000-0004-0000-0A00-000094030000}"/>
    <hyperlink ref="J919" r:id="rId918" xr:uid="{00000000-0004-0000-0A00-000095030000}"/>
    <hyperlink ref="J920" r:id="rId919" xr:uid="{00000000-0004-0000-0A00-000096030000}"/>
    <hyperlink ref="J921" r:id="rId920" xr:uid="{00000000-0004-0000-0A00-000097030000}"/>
    <hyperlink ref="J922" r:id="rId921" xr:uid="{00000000-0004-0000-0A00-000098030000}"/>
    <hyperlink ref="J923" r:id="rId922" xr:uid="{00000000-0004-0000-0A00-000099030000}"/>
    <hyperlink ref="J924" r:id="rId923" xr:uid="{00000000-0004-0000-0A00-00009A030000}"/>
    <hyperlink ref="J925" r:id="rId924" xr:uid="{00000000-0004-0000-0A00-00009B030000}"/>
    <hyperlink ref="J926" r:id="rId925" xr:uid="{00000000-0004-0000-0A00-00009C030000}"/>
    <hyperlink ref="J927" r:id="rId926" xr:uid="{00000000-0004-0000-0A00-00009D030000}"/>
    <hyperlink ref="J928" r:id="rId927" xr:uid="{00000000-0004-0000-0A00-00009E030000}"/>
    <hyperlink ref="J929" r:id="rId928" xr:uid="{00000000-0004-0000-0A00-00009F030000}"/>
    <hyperlink ref="J930" r:id="rId929" xr:uid="{00000000-0004-0000-0A00-0000A0030000}"/>
    <hyperlink ref="J931" r:id="rId930" xr:uid="{00000000-0004-0000-0A00-0000A1030000}"/>
    <hyperlink ref="J932" r:id="rId931" xr:uid="{00000000-0004-0000-0A00-0000A2030000}"/>
    <hyperlink ref="J933" r:id="rId932" xr:uid="{00000000-0004-0000-0A00-0000A3030000}"/>
    <hyperlink ref="J934" r:id="rId933" xr:uid="{00000000-0004-0000-0A00-0000A4030000}"/>
    <hyperlink ref="J935" r:id="rId934" xr:uid="{00000000-0004-0000-0A00-0000A5030000}"/>
    <hyperlink ref="J936" r:id="rId935" xr:uid="{00000000-0004-0000-0A00-0000A6030000}"/>
    <hyperlink ref="J937" r:id="rId936" xr:uid="{00000000-0004-0000-0A00-0000A7030000}"/>
    <hyperlink ref="J938" r:id="rId937" xr:uid="{00000000-0004-0000-0A00-0000A8030000}"/>
    <hyperlink ref="J939" r:id="rId938" xr:uid="{00000000-0004-0000-0A00-0000A9030000}"/>
  </hyperlinks>
  <pageMargins left="0.74791666666666701" right="0.74791666666666701" top="0.98402777777777795" bottom="0.98402777777777795" header="0.511811023622047" footer="0.511811023622047"/>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Template/>
  <TotalTime>62</TotalTime>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Tamil</vt:lpstr>
      <vt:lpstr>Rajasthani</vt:lpstr>
      <vt:lpstr>Kerala Recipes</vt:lpstr>
      <vt:lpstr>Udupi</vt:lpstr>
      <vt:lpstr>Gujarati Recipes﻿</vt:lpstr>
      <vt:lpstr>Kongunadu</vt:lpstr>
      <vt:lpstr>Continental</vt:lpstr>
      <vt:lpstr>Chettinad</vt:lpstr>
      <vt:lpstr>Karnataka</vt:lpstr>
      <vt:lpstr>Andhra</vt:lpstr>
      <vt:lpstr>North Indian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Lakshmi Narayanan</dc:creator>
  <dc:description/>
  <cp:lastModifiedBy>Lakshmi Narayanan R</cp:lastModifiedBy>
  <cp:revision>2</cp:revision>
  <dcterms:created xsi:type="dcterms:W3CDTF">2025-07-09T07:02:58Z</dcterms:created>
  <dcterms:modified xsi:type="dcterms:W3CDTF">2025-07-10T16:43:26Z</dcterms:modified>
  <dc:language>en-IN</dc:language>
</cp:coreProperties>
</file>